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3.xml" ContentType="application/vnd.openxmlformats-officedocument.spreadsheetml.comment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C:\Users\Edward.000\Documents\Documents\!Contracts_02-21-2011\Lynker_NMFS_PS_Salmon_RMP\Data\"/>
    </mc:Choice>
  </mc:AlternateContent>
  <xr:revisionPtr revIDLastSave="0" documentId="13_ncr:1_{09EE6577-ED1C-44FA-BC0F-674E41D59CA7}" xr6:coauthVersionLast="47" xr6:coauthVersionMax="47" xr10:uidLastSave="{00000000-0000-0000-0000-000000000000}"/>
  <bookViews>
    <workbookView xWindow="37290" yWindow="555" windowWidth="19935" windowHeight="14475" tabRatio="740" activeTab="5" xr2:uid="{00000000-000D-0000-FFFF-FFFF00000000}"/>
  </bookViews>
  <sheets>
    <sheet name="Readme" sheetId="2" r:id="rId1"/>
    <sheet name="LUTs" sheetId="7" r:id="rId2"/>
    <sheet name="Rec_raw_catch_effort_2010-2021" sheetId="1" r:id="rId3"/>
    <sheet name="Pivot" sheetId="5" r:id="rId4"/>
    <sheet name="Data_For_Appx_Table_C-4" sheetId="6" r:id="rId5"/>
    <sheet name="Existing_Conditions" sheetId="8" r:id="rId6"/>
    <sheet name="FW_Salmon_by_Month_2010-2021" sheetId="9" r:id="rId7"/>
    <sheet name="Sheet1" sheetId="11" r:id="rId8"/>
    <sheet name="FW_Steelhead_by_Month_2010-2021" sheetId="10" r:id="rId9"/>
    <sheet name="Pivot_trips_propor_subr_yr" sheetId="3" r:id="rId10"/>
    <sheet name="Pivot_trips_by_subregion_yr" sheetId="4" r:id="rId11"/>
  </sheets>
  <externalReferences>
    <externalReference r:id="rId12"/>
  </externalReferences>
  <calcPr calcId="181029"/>
  <pivotCaches>
    <pivotCache cacheId="1" r:id="rId13"/>
    <pivotCache cacheId="2" r:id="rId14"/>
    <pivotCache cacheId="3" r:id="rId15"/>
    <pivotCache cacheId="4" r:id="rId16"/>
  </pivotCaches>
</workbook>
</file>

<file path=xl/calcChain.xml><?xml version="1.0" encoding="utf-8"?>
<calcChain xmlns="http://schemas.openxmlformats.org/spreadsheetml/2006/main">
  <c r="R2953" i="1" l="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D156" i="8"/>
  <c r="D155" i="8"/>
  <c r="C155" i="8"/>
  <c r="C156" i="8" s="1"/>
  <c r="O141" i="8"/>
  <c r="O140" i="8"/>
  <c r="O139" i="8"/>
  <c r="O138" i="8"/>
  <c r="O137" i="8"/>
  <c r="O136" i="8"/>
  <c r="O135" i="8"/>
  <c r="N141" i="8"/>
  <c r="N140" i="8"/>
  <c r="N139" i="8"/>
  <c r="N138" i="8"/>
  <c r="N137" i="8"/>
  <c r="N136" i="8"/>
  <c r="N135" i="8"/>
  <c r="AJ7" i="8"/>
  <c r="D154" i="8"/>
  <c r="D153" i="8"/>
  <c r="D152" i="8"/>
  <c r="D151" i="8"/>
  <c r="D150" i="8"/>
  <c r="D149" i="8"/>
  <c r="D148" i="8"/>
  <c r="D147" i="8"/>
  <c r="D146" i="8"/>
  <c r="D145" i="8"/>
  <c r="C146" i="8"/>
  <c r="C147" i="8" s="1"/>
  <c r="C148" i="8" s="1"/>
  <c r="C149" i="8" s="1"/>
  <c r="C150" i="8" s="1"/>
  <c r="C151" i="8" s="1"/>
  <c r="C152" i="8" s="1"/>
  <c r="C153" i="8" s="1"/>
  <c r="C154" i="8" s="1"/>
  <c r="M135" i="8"/>
  <c r="L135" i="8"/>
  <c r="K135" i="8"/>
  <c r="J135" i="8"/>
  <c r="I135" i="8"/>
  <c r="H135" i="8"/>
  <c r="G135" i="8"/>
  <c r="F135" i="8"/>
  <c r="E135" i="8"/>
  <c r="D135" i="8"/>
  <c r="M141" i="8"/>
  <c r="M140" i="8"/>
  <c r="M139" i="8"/>
  <c r="M138" i="8"/>
  <c r="M137" i="8"/>
  <c r="M136" i="8"/>
  <c r="L141" i="8"/>
  <c r="L140" i="8"/>
  <c r="L139" i="8"/>
  <c r="L138" i="8"/>
  <c r="L137" i="8"/>
  <c r="L136" i="8"/>
  <c r="K141" i="8"/>
  <c r="K140" i="8"/>
  <c r="K139" i="8"/>
  <c r="K138" i="8"/>
  <c r="K137" i="8"/>
  <c r="K136" i="8"/>
  <c r="J141" i="8"/>
  <c r="J140" i="8"/>
  <c r="J139" i="8"/>
  <c r="J138" i="8"/>
  <c r="J137" i="8"/>
  <c r="J136" i="8"/>
  <c r="I141" i="8"/>
  <c r="I140" i="8"/>
  <c r="I139" i="8"/>
  <c r="I138" i="8"/>
  <c r="I137" i="8"/>
  <c r="I136" i="8"/>
  <c r="H141" i="8"/>
  <c r="H140" i="8"/>
  <c r="H139" i="8"/>
  <c r="H138" i="8"/>
  <c r="H137" i="8"/>
  <c r="H136" i="8"/>
  <c r="G141" i="8"/>
  <c r="G140" i="8"/>
  <c r="G139" i="8"/>
  <c r="G138" i="8"/>
  <c r="G137" i="8"/>
  <c r="G136" i="8"/>
  <c r="F141" i="8"/>
  <c r="F140" i="8"/>
  <c r="F139" i="8"/>
  <c r="F138" i="8"/>
  <c r="F137" i="8"/>
  <c r="F136" i="8"/>
  <c r="E141" i="8"/>
  <c r="E140" i="8"/>
  <c r="E139" i="8"/>
  <c r="E138" i="8"/>
  <c r="E137" i="8"/>
  <c r="E136" i="8"/>
  <c r="D141" i="8"/>
  <c r="D140" i="8"/>
  <c r="D139" i="8"/>
  <c r="D138" i="8"/>
  <c r="D137" i="8"/>
  <c r="D136" i="8"/>
  <c r="F74" i="6"/>
  <c r="E74" i="6"/>
  <c r="F73" i="6"/>
  <c r="E73" i="6"/>
  <c r="F72" i="6"/>
  <c r="E72" i="6"/>
  <c r="F71" i="6"/>
  <c r="E71" i="6"/>
  <c r="F70" i="6"/>
  <c r="E70" i="6"/>
  <c r="F69" i="6"/>
  <c r="E69" i="6"/>
  <c r="F68" i="6"/>
  <c r="E68" i="6"/>
  <c r="F67" i="6"/>
  <c r="E67" i="6"/>
  <c r="F66" i="6"/>
  <c r="E66" i="6"/>
  <c r="F65" i="6"/>
  <c r="E65" i="6"/>
  <c r="F64" i="6"/>
  <c r="E64" i="6"/>
  <c r="F63" i="6"/>
  <c r="E63" i="6"/>
  <c r="F62" i="6"/>
  <c r="E62" i="6"/>
  <c r="F60" i="6"/>
  <c r="F59" i="6"/>
  <c r="E59" i="6"/>
  <c r="F58" i="6"/>
  <c r="F57" i="6"/>
  <c r="F56" i="6"/>
  <c r="E56" i="6"/>
  <c r="F55" i="6"/>
  <c r="F54" i="6"/>
  <c r="F53" i="6"/>
  <c r="F52" i="6"/>
  <c r="E52" i="6"/>
  <c r="F51" i="6"/>
  <c r="E51" i="6"/>
  <c r="F50" i="6"/>
  <c r="F49" i="6"/>
  <c r="E49" i="6"/>
  <c r="F48" i="6"/>
  <c r="F61" i="6" s="1"/>
  <c r="F46" i="6"/>
  <c r="F45" i="6"/>
  <c r="E45" i="6"/>
  <c r="F44" i="6"/>
  <c r="F43" i="6"/>
  <c r="F42" i="6"/>
  <c r="F41" i="6"/>
  <c r="F40" i="6"/>
  <c r="F39" i="6"/>
  <c r="F38" i="6"/>
  <c r="F37" i="6"/>
  <c r="F36" i="6"/>
  <c r="F35" i="6"/>
  <c r="F34" i="6"/>
  <c r="F32" i="6"/>
  <c r="F31" i="6"/>
  <c r="E31" i="6"/>
  <c r="F30" i="6"/>
  <c r="F29" i="6"/>
  <c r="F28" i="6"/>
  <c r="E28" i="6"/>
  <c r="F27" i="6"/>
  <c r="E27" i="6"/>
  <c r="F26" i="6"/>
  <c r="F25" i="6"/>
  <c r="F24" i="6"/>
  <c r="F23" i="6"/>
  <c r="F22" i="6"/>
  <c r="F21" i="6"/>
  <c r="F20" i="6"/>
  <c r="F33" i="6" s="1"/>
  <c r="F18" i="6"/>
  <c r="F17" i="6"/>
  <c r="F16" i="6"/>
  <c r="F15" i="6"/>
  <c r="F14" i="6"/>
  <c r="F13" i="6"/>
  <c r="F12" i="6"/>
  <c r="F11" i="6"/>
  <c r="F10" i="6"/>
  <c r="E10" i="6"/>
  <c r="F9" i="6"/>
  <c r="F8" i="6"/>
  <c r="F7" i="6"/>
  <c r="F6" i="6"/>
  <c r="D74" i="6"/>
  <c r="D73" i="6"/>
  <c r="D72" i="6"/>
  <c r="D71" i="6"/>
  <c r="D70" i="6"/>
  <c r="D69" i="6"/>
  <c r="D68" i="6"/>
  <c r="D67" i="6"/>
  <c r="D66" i="6"/>
  <c r="D65" i="6"/>
  <c r="D64" i="6"/>
  <c r="D63" i="6"/>
  <c r="D62" i="6"/>
  <c r="D60" i="6"/>
  <c r="D59" i="6"/>
  <c r="D58" i="6"/>
  <c r="D57" i="6"/>
  <c r="D56" i="6"/>
  <c r="D55" i="6"/>
  <c r="D54" i="6"/>
  <c r="D53" i="6"/>
  <c r="D52" i="6"/>
  <c r="D51" i="6"/>
  <c r="D50" i="6"/>
  <c r="D49" i="6"/>
  <c r="D48" i="6"/>
  <c r="D61" i="6" s="1"/>
  <c r="D46" i="6"/>
  <c r="D45" i="6"/>
  <c r="D44" i="6"/>
  <c r="D43" i="6"/>
  <c r="D42" i="6"/>
  <c r="D41" i="6"/>
  <c r="D40" i="6"/>
  <c r="D39" i="6"/>
  <c r="D38" i="6"/>
  <c r="D37" i="6"/>
  <c r="D36" i="6"/>
  <c r="D35" i="6"/>
  <c r="D34" i="6"/>
  <c r="D32" i="6"/>
  <c r="D31" i="6"/>
  <c r="D30" i="6"/>
  <c r="D29" i="6"/>
  <c r="D28" i="6"/>
  <c r="D27" i="6"/>
  <c r="D26" i="6"/>
  <c r="D25" i="6"/>
  <c r="D24" i="6"/>
  <c r="D23" i="6"/>
  <c r="D22" i="6"/>
  <c r="D21" i="6"/>
  <c r="D20" i="6"/>
  <c r="D18" i="6"/>
  <c r="D17" i="6"/>
  <c r="D16" i="6"/>
  <c r="D15" i="6"/>
  <c r="D14" i="6"/>
  <c r="D13" i="6"/>
  <c r="D12" i="6"/>
  <c r="D11" i="6"/>
  <c r="D10" i="6"/>
  <c r="D9" i="6"/>
  <c r="D8" i="6"/>
  <c r="D7" i="6"/>
  <c r="D6" i="6"/>
  <c r="C66" i="6"/>
  <c r="C52" i="6"/>
  <c r="C10" i="6"/>
  <c r="C9" i="6"/>
  <c r="C6" i="6"/>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L116" i="8"/>
  <c r="K116" i="8"/>
  <c r="J116" i="8"/>
  <c r="I116" i="8"/>
  <c r="H116" i="8"/>
  <c r="G116" i="8"/>
  <c r="F116" i="8"/>
  <c r="E116" i="8"/>
  <c r="D116" i="8"/>
  <c r="L114" i="8"/>
  <c r="K114" i="8"/>
  <c r="J114" i="8"/>
  <c r="I114" i="8"/>
  <c r="H114" i="8"/>
  <c r="G114" i="8"/>
  <c r="F114" i="8"/>
  <c r="E114" i="8"/>
  <c r="D114" i="8"/>
  <c r="L113" i="8"/>
  <c r="K113" i="8"/>
  <c r="J113" i="8"/>
  <c r="I113" i="8"/>
  <c r="H113" i="8"/>
  <c r="G113" i="8"/>
  <c r="F113" i="8"/>
  <c r="E113" i="8"/>
  <c r="D113" i="8"/>
  <c r="L112" i="8"/>
  <c r="L115" i="8" s="1"/>
  <c r="K112" i="8"/>
  <c r="J112" i="8"/>
  <c r="I112" i="8"/>
  <c r="H112" i="8"/>
  <c r="H115" i="8" s="1"/>
  <c r="G112" i="8"/>
  <c r="F112" i="8"/>
  <c r="E112" i="8"/>
  <c r="D112" i="8"/>
  <c r="D115" i="8" s="1"/>
  <c r="D117" i="8" s="1"/>
  <c r="C116" i="8"/>
  <c r="C114" i="8"/>
  <c r="C113" i="8"/>
  <c r="C112" i="8"/>
  <c r="L105" i="8"/>
  <c r="K105" i="8"/>
  <c r="J105" i="8"/>
  <c r="I105" i="8"/>
  <c r="H105" i="8"/>
  <c r="G105" i="8"/>
  <c r="F105" i="8"/>
  <c r="E105" i="8"/>
  <c r="D105" i="8"/>
  <c r="L103" i="8"/>
  <c r="K103" i="8"/>
  <c r="J103" i="8"/>
  <c r="I103" i="8"/>
  <c r="H103" i="8"/>
  <c r="G103" i="8"/>
  <c r="F103" i="8"/>
  <c r="E103" i="8"/>
  <c r="D103" i="8"/>
  <c r="L102" i="8"/>
  <c r="K102" i="8"/>
  <c r="J102" i="8"/>
  <c r="I102" i="8"/>
  <c r="H102" i="8"/>
  <c r="G102" i="8"/>
  <c r="F102" i="8"/>
  <c r="E102" i="8"/>
  <c r="D102" i="8"/>
  <c r="L101" i="8"/>
  <c r="K101" i="8"/>
  <c r="J101" i="8"/>
  <c r="I101" i="8"/>
  <c r="H101" i="8"/>
  <c r="G101" i="8"/>
  <c r="F101" i="8"/>
  <c r="E101" i="8"/>
  <c r="D101" i="8"/>
  <c r="C105" i="8"/>
  <c r="C103" i="8"/>
  <c r="C102" i="8"/>
  <c r="C101" i="8"/>
  <c r="AK32" i="8"/>
  <c r="AJ32" i="8"/>
  <c r="AI32" i="8"/>
  <c r="AH32" i="8"/>
  <c r="AG32" i="8"/>
  <c r="AF32" i="8"/>
  <c r="AE32" i="8"/>
  <c r="AD32" i="8"/>
  <c r="AC32" i="8"/>
  <c r="AK31" i="8"/>
  <c r="AJ31" i="8"/>
  <c r="AI31" i="8"/>
  <c r="AH31" i="8"/>
  <c r="AG31" i="8"/>
  <c r="AF31" i="8"/>
  <c r="AE31" i="8"/>
  <c r="AD31" i="8"/>
  <c r="AC31" i="8"/>
  <c r="AK30" i="8"/>
  <c r="AJ30" i="8"/>
  <c r="AI30" i="8"/>
  <c r="AH30" i="8"/>
  <c r="AG30" i="8"/>
  <c r="AF30" i="8"/>
  <c r="AE30" i="8"/>
  <c r="AD30" i="8"/>
  <c r="AC30" i="8"/>
  <c r="AK29" i="8"/>
  <c r="AJ29" i="8"/>
  <c r="AI29" i="8"/>
  <c r="AH29" i="8"/>
  <c r="AG29" i="8"/>
  <c r="AF29" i="8"/>
  <c r="AE29" i="8"/>
  <c r="AD29" i="8"/>
  <c r="AC29" i="8"/>
  <c r="AK28" i="8"/>
  <c r="AJ28" i="8"/>
  <c r="AI28" i="8"/>
  <c r="AH28" i="8"/>
  <c r="AG28" i="8"/>
  <c r="AF28" i="8"/>
  <c r="AE28" i="8"/>
  <c r="AD28" i="8"/>
  <c r="AC28" i="8"/>
  <c r="AK26" i="8"/>
  <c r="AJ26" i="8"/>
  <c r="AI26" i="8"/>
  <c r="AH26" i="8"/>
  <c r="AG26" i="8"/>
  <c r="AF26" i="8"/>
  <c r="AE26" i="8"/>
  <c r="AD26" i="8"/>
  <c r="AC26" i="8"/>
  <c r="AK25" i="8"/>
  <c r="AJ25" i="8"/>
  <c r="AI25" i="8"/>
  <c r="AH25" i="8"/>
  <c r="AG25" i="8"/>
  <c r="AF25" i="8"/>
  <c r="AE25" i="8"/>
  <c r="AD25" i="8"/>
  <c r="AC25" i="8"/>
  <c r="AK24" i="8"/>
  <c r="AJ24" i="8"/>
  <c r="AI24" i="8"/>
  <c r="AH24" i="8"/>
  <c r="AG24" i="8"/>
  <c r="AF24" i="8"/>
  <c r="AE24" i="8"/>
  <c r="AD24" i="8"/>
  <c r="AC24" i="8"/>
  <c r="AK23" i="8"/>
  <c r="AJ23" i="8"/>
  <c r="AI23" i="8"/>
  <c r="AH23" i="8"/>
  <c r="AG23" i="8"/>
  <c r="AF23" i="8"/>
  <c r="AE23" i="8"/>
  <c r="AD23" i="8"/>
  <c r="AC23" i="8"/>
  <c r="AK22" i="8"/>
  <c r="AJ22" i="8"/>
  <c r="AI22" i="8"/>
  <c r="AH22" i="8"/>
  <c r="AG22" i="8"/>
  <c r="AF22" i="8"/>
  <c r="AE22" i="8"/>
  <c r="AD22" i="8"/>
  <c r="AC22" i="8"/>
  <c r="AB32" i="8"/>
  <c r="AB31" i="8"/>
  <c r="AB30" i="8"/>
  <c r="AB29" i="8"/>
  <c r="AB28" i="8"/>
  <c r="AB26" i="8"/>
  <c r="AB25" i="8"/>
  <c r="AB24" i="8"/>
  <c r="AB23" i="8"/>
  <c r="AB22" i="8"/>
  <c r="AK15" i="8"/>
  <c r="AJ15" i="8"/>
  <c r="AI15" i="8"/>
  <c r="AH15" i="8"/>
  <c r="AG15" i="8"/>
  <c r="AF15" i="8"/>
  <c r="AE15" i="8"/>
  <c r="AD15" i="8"/>
  <c r="AC15" i="8"/>
  <c r="AK9" i="8"/>
  <c r="AJ9" i="8"/>
  <c r="AI9" i="8"/>
  <c r="AH9" i="8"/>
  <c r="AG9" i="8"/>
  <c r="AF9" i="8"/>
  <c r="AE9" i="8"/>
  <c r="AD9" i="8"/>
  <c r="AC9" i="8"/>
  <c r="AK8" i="8"/>
  <c r="AJ8" i="8"/>
  <c r="AI8" i="8"/>
  <c r="AH8" i="8"/>
  <c r="AG8" i="8"/>
  <c r="AF8" i="8"/>
  <c r="AE8" i="8"/>
  <c r="AD8" i="8"/>
  <c r="AC8" i="8"/>
  <c r="AK7" i="8"/>
  <c r="AI7" i="8"/>
  <c r="AH7" i="8"/>
  <c r="AG7" i="8"/>
  <c r="AE7" i="8"/>
  <c r="AD7" i="8"/>
  <c r="AC7" i="8"/>
  <c r="AK6" i="8"/>
  <c r="AJ6" i="8"/>
  <c r="AI6" i="8"/>
  <c r="AH6" i="8"/>
  <c r="AG6" i="8"/>
  <c r="AF6" i="8"/>
  <c r="AE6" i="8"/>
  <c r="AD6" i="8"/>
  <c r="AC6" i="8"/>
  <c r="AK5" i="8"/>
  <c r="AJ5" i="8"/>
  <c r="AI5" i="8"/>
  <c r="AH5" i="8"/>
  <c r="AG5" i="8"/>
  <c r="AF5" i="8"/>
  <c r="AE5" i="8"/>
  <c r="AD5" i="8"/>
  <c r="AC5" i="8"/>
  <c r="AB15" i="8"/>
  <c r="AB9" i="8"/>
  <c r="AB8" i="8"/>
  <c r="AB7" i="8"/>
  <c r="AB6" i="8"/>
  <c r="AB5" i="8"/>
  <c r="Y32" i="8"/>
  <c r="X32" i="8"/>
  <c r="W32" i="8"/>
  <c r="V32" i="8"/>
  <c r="U32" i="8"/>
  <c r="T32" i="8"/>
  <c r="S32" i="8"/>
  <c r="R32" i="8"/>
  <c r="Q32" i="8"/>
  <c r="Y31" i="8"/>
  <c r="X31" i="8"/>
  <c r="W31" i="8"/>
  <c r="V31" i="8"/>
  <c r="U31" i="8"/>
  <c r="T31" i="8"/>
  <c r="S31" i="8"/>
  <c r="R31" i="8"/>
  <c r="Q31" i="8"/>
  <c r="Y30" i="8"/>
  <c r="X30" i="8"/>
  <c r="W30" i="8"/>
  <c r="V30" i="8"/>
  <c r="U30" i="8"/>
  <c r="T30" i="8"/>
  <c r="S30" i="8"/>
  <c r="R30" i="8"/>
  <c r="Q30" i="8"/>
  <c r="Y29" i="8"/>
  <c r="X29" i="8"/>
  <c r="W29" i="8"/>
  <c r="V29" i="8"/>
  <c r="U29" i="8"/>
  <c r="T29" i="8"/>
  <c r="S29" i="8"/>
  <c r="R29" i="8"/>
  <c r="Q29" i="8"/>
  <c r="Y28" i="8"/>
  <c r="X28" i="8"/>
  <c r="W28" i="8"/>
  <c r="V28" i="8"/>
  <c r="U28" i="8"/>
  <c r="T28" i="8"/>
  <c r="S28" i="8"/>
  <c r="R28" i="8"/>
  <c r="Q28" i="8"/>
  <c r="Y26" i="8"/>
  <c r="X26" i="8"/>
  <c r="W26" i="8"/>
  <c r="V26" i="8"/>
  <c r="U26" i="8"/>
  <c r="T26" i="8"/>
  <c r="S26" i="8"/>
  <c r="R26" i="8"/>
  <c r="Q26" i="8"/>
  <c r="Y25" i="8"/>
  <c r="X25" i="8"/>
  <c r="W25" i="8"/>
  <c r="V25" i="8"/>
  <c r="U25" i="8"/>
  <c r="T25" i="8"/>
  <c r="S25" i="8"/>
  <c r="R25" i="8"/>
  <c r="Q25" i="8"/>
  <c r="Y24" i="8"/>
  <c r="X24" i="8"/>
  <c r="W24" i="8"/>
  <c r="V24" i="8"/>
  <c r="U24" i="8"/>
  <c r="T24" i="8"/>
  <c r="S24" i="8"/>
  <c r="R24" i="8"/>
  <c r="Q24" i="8"/>
  <c r="Y23" i="8"/>
  <c r="X23" i="8"/>
  <c r="W23" i="8"/>
  <c r="V23" i="8"/>
  <c r="U23" i="8"/>
  <c r="T23" i="8"/>
  <c r="S23" i="8"/>
  <c r="R23" i="8"/>
  <c r="Q23" i="8"/>
  <c r="Y22" i="8"/>
  <c r="X22" i="8"/>
  <c r="W22" i="8"/>
  <c r="V22" i="8"/>
  <c r="U22" i="8"/>
  <c r="T22" i="8"/>
  <c r="S22" i="8"/>
  <c r="R22" i="8"/>
  <c r="Q22" i="8"/>
  <c r="P32" i="8"/>
  <c r="P31" i="8"/>
  <c r="P30" i="8"/>
  <c r="P29" i="8"/>
  <c r="P28" i="8"/>
  <c r="P26" i="8"/>
  <c r="P25" i="8"/>
  <c r="P24" i="8"/>
  <c r="P23" i="8"/>
  <c r="P22" i="8"/>
  <c r="Y9" i="8"/>
  <c r="X9" i="8"/>
  <c r="W9" i="8"/>
  <c r="V9" i="8"/>
  <c r="U9" i="8"/>
  <c r="T9" i="8"/>
  <c r="S9" i="8"/>
  <c r="R9" i="8"/>
  <c r="Q9" i="8"/>
  <c r="Y8" i="8"/>
  <c r="X8" i="8"/>
  <c r="W8" i="8"/>
  <c r="V8" i="8"/>
  <c r="U8" i="8"/>
  <c r="T8" i="8"/>
  <c r="S8" i="8"/>
  <c r="R8" i="8"/>
  <c r="Q8" i="8"/>
  <c r="Y7" i="8"/>
  <c r="X7" i="8"/>
  <c r="W7" i="8"/>
  <c r="V7" i="8"/>
  <c r="U7" i="8"/>
  <c r="T7" i="8"/>
  <c r="S7" i="8"/>
  <c r="R7" i="8"/>
  <c r="Q7" i="8"/>
  <c r="Y6" i="8"/>
  <c r="X6" i="8"/>
  <c r="W6" i="8"/>
  <c r="V6" i="8"/>
  <c r="U6" i="8"/>
  <c r="T6" i="8"/>
  <c r="S6" i="8"/>
  <c r="R6" i="8"/>
  <c r="Q6" i="8"/>
  <c r="Y5" i="8"/>
  <c r="X5" i="8"/>
  <c r="W5" i="8"/>
  <c r="V5" i="8"/>
  <c r="U5" i="8"/>
  <c r="T5" i="8"/>
  <c r="S5" i="8"/>
  <c r="R5" i="8"/>
  <c r="Q5" i="8"/>
  <c r="P9" i="8"/>
  <c r="P8" i="8"/>
  <c r="P7" i="8"/>
  <c r="P6" i="8"/>
  <c r="P5" i="8"/>
  <c r="M32" i="8"/>
  <c r="L32" i="8"/>
  <c r="K32" i="8"/>
  <c r="J32" i="8"/>
  <c r="I32" i="8"/>
  <c r="H32" i="8"/>
  <c r="G32" i="8"/>
  <c r="F32" i="8"/>
  <c r="E32" i="8"/>
  <c r="M31" i="8"/>
  <c r="L31" i="8"/>
  <c r="K31" i="8"/>
  <c r="J31" i="8"/>
  <c r="I31" i="8"/>
  <c r="H31" i="8"/>
  <c r="G31" i="8"/>
  <c r="F31" i="8"/>
  <c r="E31" i="8"/>
  <c r="M30" i="8"/>
  <c r="L30" i="8"/>
  <c r="K30" i="8"/>
  <c r="J30" i="8"/>
  <c r="I30" i="8"/>
  <c r="H30" i="8"/>
  <c r="G30" i="8"/>
  <c r="F30" i="8"/>
  <c r="E30" i="8"/>
  <c r="M29" i="8"/>
  <c r="L29" i="8"/>
  <c r="K29" i="8"/>
  <c r="J29" i="8"/>
  <c r="I29" i="8"/>
  <c r="H29" i="8"/>
  <c r="G29" i="8"/>
  <c r="F29" i="8"/>
  <c r="E29" i="8"/>
  <c r="M28" i="8"/>
  <c r="L28" i="8"/>
  <c r="K28" i="8"/>
  <c r="J28" i="8"/>
  <c r="I28" i="8"/>
  <c r="H28" i="8"/>
  <c r="G28" i="8"/>
  <c r="F28" i="8"/>
  <c r="E28" i="8"/>
  <c r="M26" i="8"/>
  <c r="L26" i="8"/>
  <c r="K26" i="8"/>
  <c r="J26" i="8"/>
  <c r="I26" i="8"/>
  <c r="H26" i="8"/>
  <c r="G26" i="8"/>
  <c r="F26" i="8"/>
  <c r="E26" i="8"/>
  <c r="M25" i="8"/>
  <c r="L25" i="8"/>
  <c r="K25" i="8"/>
  <c r="J25" i="8"/>
  <c r="I25" i="8"/>
  <c r="H25" i="8"/>
  <c r="G25" i="8"/>
  <c r="F25" i="8"/>
  <c r="E25" i="8"/>
  <c r="M24" i="8"/>
  <c r="L24" i="8"/>
  <c r="K24" i="8"/>
  <c r="J24" i="8"/>
  <c r="I24" i="8"/>
  <c r="H24" i="8"/>
  <c r="G24" i="8"/>
  <c r="F24" i="8"/>
  <c r="E24" i="8"/>
  <c r="M23" i="8"/>
  <c r="L23" i="8"/>
  <c r="K23" i="8"/>
  <c r="J23" i="8"/>
  <c r="I23" i="8"/>
  <c r="H23" i="8"/>
  <c r="G23" i="8"/>
  <c r="F23" i="8"/>
  <c r="E23" i="8"/>
  <c r="M22" i="8"/>
  <c r="L22" i="8"/>
  <c r="K22" i="8"/>
  <c r="J22" i="8"/>
  <c r="I22" i="8"/>
  <c r="H22" i="8"/>
  <c r="G22" i="8"/>
  <c r="F22" i="8"/>
  <c r="E22" i="8"/>
  <c r="D32" i="8"/>
  <c r="D31" i="8"/>
  <c r="D30" i="8"/>
  <c r="D29" i="8"/>
  <c r="D28" i="8"/>
  <c r="D26" i="8"/>
  <c r="D25" i="8"/>
  <c r="D24" i="8"/>
  <c r="D23" i="8"/>
  <c r="D22" i="8"/>
  <c r="M9" i="8"/>
  <c r="L9" i="8"/>
  <c r="K9" i="8"/>
  <c r="J9" i="8"/>
  <c r="I9" i="8"/>
  <c r="H9" i="8"/>
  <c r="G9" i="8"/>
  <c r="F9" i="8"/>
  <c r="E9" i="8"/>
  <c r="M8" i="8"/>
  <c r="L8" i="8"/>
  <c r="K8" i="8"/>
  <c r="J8" i="8"/>
  <c r="I8" i="8"/>
  <c r="H8" i="8"/>
  <c r="G8" i="8"/>
  <c r="F8" i="8"/>
  <c r="E8" i="8"/>
  <c r="M7" i="8"/>
  <c r="L7" i="8"/>
  <c r="K7" i="8"/>
  <c r="J7" i="8"/>
  <c r="I7" i="8"/>
  <c r="H7" i="8"/>
  <c r="G7" i="8"/>
  <c r="F7" i="8"/>
  <c r="E7" i="8"/>
  <c r="M6" i="8"/>
  <c r="L6" i="8"/>
  <c r="K6" i="8"/>
  <c r="J6" i="8"/>
  <c r="I6" i="8"/>
  <c r="H6" i="8"/>
  <c r="G6" i="8"/>
  <c r="F6" i="8"/>
  <c r="E6" i="8"/>
  <c r="M5" i="8"/>
  <c r="L5" i="8"/>
  <c r="K5" i="8"/>
  <c r="J5" i="8"/>
  <c r="I5" i="8"/>
  <c r="H5" i="8"/>
  <c r="G5" i="8"/>
  <c r="F5" i="8"/>
  <c r="E5" i="8"/>
  <c r="D9" i="8"/>
  <c r="D8" i="8"/>
  <c r="D7" i="8"/>
  <c r="D6" i="8"/>
  <c r="D5" i="8"/>
  <c r="T3725" i="1"/>
  <c r="T3724" i="1"/>
  <c r="T3723" i="1"/>
  <c r="T3722" i="1"/>
  <c r="T3721" i="1"/>
  <c r="T3720" i="1"/>
  <c r="T3719" i="1"/>
  <c r="T3718" i="1"/>
  <c r="T3717" i="1"/>
  <c r="T3716" i="1"/>
  <c r="T3715" i="1"/>
  <c r="T3714" i="1"/>
  <c r="T3713" i="1"/>
  <c r="T3712" i="1"/>
  <c r="T3711" i="1"/>
  <c r="T3710" i="1"/>
  <c r="T3709" i="1"/>
  <c r="T3708" i="1"/>
  <c r="T3707" i="1"/>
  <c r="T3706" i="1"/>
  <c r="T3705" i="1"/>
  <c r="T3704" i="1"/>
  <c r="T3703" i="1"/>
  <c r="T3702" i="1"/>
  <c r="T3701" i="1"/>
  <c r="T3700" i="1"/>
  <c r="T3699" i="1"/>
  <c r="T3698" i="1"/>
  <c r="T3697" i="1"/>
  <c r="T3696" i="1"/>
  <c r="T3695" i="1"/>
  <c r="T3694" i="1"/>
  <c r="T3693" i="1"/>
  <c r="T3692" i="1"/>
  <c r="T3691" i="1"/>
  <c r="T3690" i="1"/>
  <c r="T3689" i="1"/>
  <c r="T3688" i="1"/>
  <c r="T3687" i="1"/>
  <c r="T3686" i="1"/>
  <c r="T3685" i="1"/>
  <c r="T3684" i="1"/>
  <c r="T3683" i="1"/>
  <c r="T3682" i="1"/>
  <c r="T3681" i="1"/>
  <c r="T3680" i="1"/>
  <c r="T3679" i="1"/>
  <c r="T3678" i="1"/>
  <c r="T3677" i="1"/>
  <c r="T3676" i="1"/>
  <c r="T3675" i="1"/>
  <c r="T3674" i="1"/>
  <c r="T3673" i="1"/>
  <c r="T3672" i="1"/>
  <c r="T3671" i="1"/>
  <c r="T3670" i="1"/>
  <c r="T3669" i="1"/>
  <c r="T3668" i="1"/>
  <c r="T3667" i="1"/>
  <c r="T3666" i="1"/>
  <c r="T3665" i="1"/>
  <c r="T3664" i="1"/>
  <c r="T3663" i="1"/>
  <c r="T3662" i="1"/>
  <c r="T3661" i="1"/>
  <c r="T3660" i="1"/>
  <c r="T3659" i="1"/>
  <c r="T3658" i="1"/>
  <c r="T3657" i="1"/>
  <c r="T3656" i="1"/>
  <c r="T3655" i="1"/>
  <c r="T3654" i="1"/>
  <c r="T3653" i="1"/>
  <c r="T3652" i="1"/>
  <c r="T3651" i="1"/>
  <c r="T3650" i="1"/>
  <c r="T3649" i="1"/>
  <c r="T3648" i="1"/>
  <c r="T3647" i="1"/>
  <c r="T3646" i="1"/>
  <c r="T3645" i="1"/>
  <c r="T3644" i="1"/>
  <c r="T3643" i="1"/>
  <c r="T3642" i="1"/>
  <c r="T3641" i="1"/>
  <c r="T3640" i="1"/>
  <c r="T3639" i="1"/>
  <c r="T3638" i="1"/>
  <c r="T3637" i="1"/>
  <c r="T3636" i="1"/>
  <c r="T3635" i="1"/>
  <c r="T3634" i="1"/>
  <c r="T3633" i="1"/>
  <c r="T3632" i="1"/>
  <c r="T3631" i="1"/>
  <c r="T3630" i="1"/>
  <c r="T3629" i="1"/>
  <c r="T3628" i="1"/>
  <c r="T3627" i="1"/>
  <c r="T3626" i="1"/>
  <c r="T3625" i="1"/>
  <c r="T3624" i="1"/>
  <c r="T3623" i="1"/>
  <c r="T3622" i="1"/>
  <c r="T3621" i="1"/>
  <c r="T3620" i="1"/>
  <c r="T3619" i="1"/>
  <c r="T3618" i="1"/>
  <c r="T3617" i="1"/>
  <c r="T3616" i="1"/>
  <c r="T3615" i="1"/>
  <c r="T3614" i="1"/>
  <c r="T3613" i="1"/>
  <c r="T3612" i="1"/>
  <c r="T3611" i="1"/>
  <c r="T3610" i="1"/>
  <c r="T3609" i="1"/>
  <c r="T3608" i="1"/>
  <c r="T3607" i="1"/>
  <c r="T3606" i="1"/>
  <c r="T3605" i="1"/>
  <c r="T3604" i="1"/>
  <c r="T3603" i="1"/>
  <c r="T3602" i="1"/>
  <c r="T3601" i="1"/>
  <c r="T3600" i="1"/>
  <c r="T3599" i="1"/>
  <c r="T3598" i="1"/>
  <c r="T3597" i="1"/>
  <c r="T3596" i="1"/>
  <c r="T3595" i="1"/>
  <c r="T3594" i="1"/>
  <c r="T3593" i="1"/>
  <c r="T3592" i="1"/>
  <c r="T3591" i="1"/>
  <c r="T3590" i="1"/>
  <c r="T3589" i="1"/>
  <c r="T3588" i="1"/>
  <c r="T3587" i="1"/>
  <c r="T3586" i="1"/>
  <c r="T3585" i="1"/>
  <c r="T3584" i="1"/>
  <c r="T3583" i="1"/>
  <c r="T3582" i="1"/>
  <c r="T3581" i="1"/>
  <c r="T3580" i="1"/>
  <c r="T3579" i="1"/>
  <c r="T3578" i="1"/>
  <c r="T3577" i="1"/>
  <c r="T3576" i="1"/>
  <c r="T3575" i="1"/>
  <c r="T3574" i="1"/>
  <c r="T3573" i="1"/>
  <c r="T3572" i="1"/>
  <c r="T3571" i="1"/>
  <c r="T3570" i="1"/>
  <c r="T3569" i="1"/>
  <c r="T3568" i="1"/>
  <c r="T3567" i="1"/>
  <c r="T3566" i="1"/>
  <c r="T3565" i="1"/>
  <c r="T3564" i="1"/>
  <c r="T3563" i="1"/>
  <c r="T3562" i="1"/>
  <c r="T3561" i="1"/>
  <c r="T3560" i="1"/>
  <c r="T3559" i="1"/>
  <c r="T3558" i="1"/>
  <c r="T3557" i="1"/>
  <c r="T3556" i="1"/>
  <c r="T3555" i="1"/>
  <c r="T3554" i="1"/>
  <c r="T3553" i="1"/>
  <c r="T3552" i="1"/>
  <c r="T3551" i="1"/>
  <c r="T3550" i="1"/>
  <c r="T3549" i="1"/>
  <c r="T3548" i="1"/>
  <c r="T3547" i="1"/>
  <c r="T3546" i="1"/>
  <c r="T3545" i="1"/>
  <c r="T3544" i="1"/>
  <c r="T3543" i="1"/>
  <c r="T3542" i="1"/>
  <c r="T3541" i="1"/>
  <c r="T3540" i="1"/>
  <c r="T3539" i="1"/>
  <c r="T3538" i="1"/>
  <c r="T3537" i="1"/>
  <c r="T3536" i="1"/>
  <c r="T3535" i="1"/>
  <c r="T3534" i="1"/>
  <c r="T3533" i="1"/>
  <c r="T3532" i="1"/>
  <c r="T3531" i="1"/>
  <c r="T3530" i="1"/>
  <c r="T3529" i="1"/>
  <c r="T3528" i="1"/>
  <c r="T3527" i="1"/>
  <c r="T3526" i="1"/>
  <c r="T3525" i="1"/>
  <c r="T3524" i="1"/>
  <c r="T3523" i="1"/>
  <c r="T3522" i="1"/>
  <c r="T3521" i="1"/>
  <c r="T3520" i="1"/>
  <c r="T3519" i="1"/>
  <c r="T3518" i="1"/>
  <c r="T3517" i="1"/>
  <c r="T3516" i="1"/>
  <c r="T3515" i="1"/>
  <c r="T3514" i="1"/>
  <c r="T3513" i="1"/>
  <c r="T3512" i="1"/>
  <c r="T3511" i="1"/>
  <c r="T3510" i="1"/>
  <c r="T3509" i="1"/>
  <c r="T3508" i="1"/>
  <c r="T3507" i="1"/>
  <c r="T3506" i="1"/>
  <c r="T3505" i="1"/>
  <c r="T3504" i="1"/>
  <c r="T3503" i="1"/>
  <c r="T3502" i="1"/>
  <c r="T3501" i="1"/>
  <c r="T3500" i="1"/>
  <c r="T3499" i="1"/>
  <c r="T3498" i="1"/>
  <c r="T3497" i="1"/>
  <c r="T3496" i="1"/>
  <c r="T3495" i="1"/>
  <c r="T3494" i="1"/>
  <c r="T3493" i="1"/>
  <c r="T3492" i="1"/>
  <c r="T3491" i="1"/>
  <c r="T3490" i="1"/>
  <c r="T3489" i="1"/>
  <c r="T3488" i="1"/>
  <c r="T3487" i="1"/>
  <c r="T3486" i="1"/>
  <c r="T3485" i="1"/>
  <c r="T3484" i="1"/>
  <c r="T3483" i="1"/>
  <c r="T3482" i="1"/>
  <c r="T3481" i="1"/>
  <c r="T3480" i="1"/>
  <c r="T3479" i="1"/>
  <c r="T3478" i="1"/>
  <c r="T3477" i="1"/>
  <c r="T3476" i="1"/>
  <c r="T3475" i="1"/>
  <c r="T3474" i="1"/>
  <c r="T3473" i="1"/>
  <c r="T3472" i="1"/>
  <c r="T3471" i="1"/>
  <c r="T3470" i="1"/>
  <c r="T3469" i="1"/>
  <c r="T3468" i="1"/>
  <c r="T3467" i="1"/>
  <c r="T3466" i="1"/>
  <c r="T3465" i="1"/>
  <c r="T3464" i="1"/>
  <c r="T3463" i="1"/>
  <c r="T3462" i="1"/>
  <c r="T3461" i="1"/>
  <c r="T3460" i="1"/>
  <c r="T3459" i="1"/>
  <c r="T3458" i="1"/>
  <c r="T3457" i="1"/>
  <c r="T3456" i="1"/>
  <c r="T3455" i="1"/>
  <c r="T3454" i="1"/>
  <c r="T3453" i="1"/>
  <c r="T3452" i="1"/>
  <c r="T3451" i="1"/>
  <c r="T3450" i="1"/>
  <c r="T3449" i="1"/>
  <c r="T3448" i="1"/>
  <c r="T3447" i="1"/>
  <c r="T3446" i="1"/>
  <c r="T3445" i="1"/>
  <c r="T3444" i="1"/>
  <c r="T3443" i="1"/>
  <c r="T3442" i="1"/>
  <c r="T3441" i="1"/>
  <c r="T3440" i="1"/>
  <c r="T3439" i="1"/>
  <c r="T3438" i="1"/>
  <c r="T3437" i="1"/>
  <c r="T3436" i="1"/>
  <c r="T3435" i="1"/>
  <c r="T3434" i="1"/>
  <c r="T3433" i="1"/>
  <c r="T3432" i="1"/>
  <c r="T3431" i="1"/>
  <c r="T3430" i="1"/>
  <c r="T3429" i="1"/>
  <c r="T3428" i="1"/>
  <c r="T3427" i="1"/>
  <c r="T3426" i="1"/>
  <c r="T3425" i="1"/>
  <c r="T3424" i="1"/>
  <c r="T3423" i="1"/>
  <c r="T3422" i="1"/>
  <c r="T3421" i="1"/>
  <c r="T3420" i="1"/>
  <c r="T3419" i="1"/>
  <c r="T3418" i="1"/>
  <c r="T3417" i="1"/>
  <c r="T3416" i="1"/>
  <c r="T3415" i="1"/>
  <c r="T3414" i="1"/>
  <c r="T3413" i="1"/>
  <c r="T3412" i="1"/>
  <c r="T3411" i="1"/>
  <c r="T3410" i="1"/>
  <c r="T3409" i="1"/>
  <c r="T3408" i="1"/>
  <c r="T3407" i="1"/>
  <c r="T3406" i="1"/>
  <c r="T3405" i="1"/>
  <c r="T3404" i="1"/>
  <c r="T3403" i="1"/>
  <c r="T3402" i="1"/>
  <c r="T3401" i="1"/>
  <c r="T3400" i="1"/>
  <c r="T3399" i="1"/>
  <c r="T3398" i="1"/>
  <c r="T3397" i="1"/>
  <c r="T3396" i="1"/>
  <c r="T3395" i="1"/>
  <c r="T3394" i="1"/>
  <c r="T3393" i="1"/>
  <c r="T3392" i="1"/>
  <c r="T3391" i="1"/>
  <c r="T3390" i="1"/>
  <c r="T3389" i="1"/>
  <c r="T3388" i="1"/>
  <c r="T3387" i="1"/>
  <c r="T3386" i="1"/>
  <c r="T3385" i="1"/>
  <c r="T3384" i="1"/>
  <c r="T3383" i="1"/>
  <c r="T3382" i="1"/>
  <c r="T3381" i="1"/>
  <c r="T3380" i="1"/>
  <c r="T3379" i="1"/>
  <c r="T3378" i="1"/>
  <c r="T3377" i="1"/>
  <c r="T3376" i="1"/>
  <c r="T3375" i="1"/>
  <c r="T3374" i="1"/>
  <c r="T3373" i="1"/>
  <c r="T3372" i="1"/>
  <c r="T3371" i="1"/>
  <c r="T3370" i="1"/>
  <c r="T3369" i="1"/>
  <c r="T3368" i="1"/>
  <c r="T3367" i="1"/>
  <c r="T3366" i="1"/>
  <c r="T3365" i="1"/>
  <c r="T3364" i="1"/>
  <c r="T3363" i="1"/>
  <c r="T3362" i="1"/>
  <c r="T3361" i="1"/>
  <c r="T3360" i="1"/>
  <c r="T3359" i="1"/>
  <c r="T3358" i="1"/>
  <c r="T3357" i="1"/>
  <c r="T3356" i="1"/>
  <c r="T3355" i="1"/>
  <c r="T3354" i="1"/>
  <c r="T3353" i="1"/>
  <c r="T3352" i="1"/>
  <c r="T3351" i="1"/>
  <c r="T3350" i="1"/>
  <c r="T3349" i="1"/>
  <c r="T3348" i="1"/>
  <c r="T3347" i="1"/>
  <c r="T3346" i="1"/>
  <c r="T3345" i="1"/>
  <c r="T3344" i="1"/>
  <c r="T3343" i="1"/>
  <c r="T3342" i="1"/>
  <c r="T3341" i="1"/>
  <c r="T3340" i="1"/>
  <c r="T3339" i="1"/>
  <c r="T3338" i="1"/>
  <c r="T3337" i="1"/>
  <c r="T3336" i="1"/>
  <c r="T3335" i="1"/>
  <c r="T3334" i="1"/>
  <c r="T3333" i="1"/>
  <c r="T3332" i="1"/>
  <c r="T3331" i="1"/>
  <c r="T3330" i="1"/>
  <c r="T3329" i="1"/>
  <c r="T3328" i="1"/>
  <c r="T3327" i="1"/>
  <c r="T3326" i="1"/>
  <c r="T3325" i="1"/>
  <c r="T3324" i="1"/>
  <c r="T3323" i="1"/>
  <c r="T3322" i="1"/>
  <c r="T3321" i="1"/>
  <c r="T3320" i="1"/>
  <c r="T3319" i="1"/>
  <c r="T3318" i="1"/>
  <c r="T3317" i="1"/>
  <c r="T3316" i="1"/>
  <c r="T3315" i="1"/>
  <c r="T3314" i="1"/>
  <c r="T3313" i="1"/>
  <c r="T3312" i="1"/>
  <c r="T3311" i="1"/>
  <c r="T3310" i="1"/>
  <c r="T3309" i="1"/>
  <c r="T3308" i="1"/>
  <c r="T3307" i="1"/>
  <c r="T3306" i="1"/>
  <c r="T3305" i="1"/>
  <c r="T3304" i="1"/>
  <c r="T3303" i="1"/>
  <c r="T3302" i="1"/>
  <c r="T3301" i="1"/>
  <c r="T3300" i="1"/>
  <c r="T3299" i="1"/>
  <c r="T3298" i="1"/>
  <c r="T3297" i="1"/>
  <c r="T3296" i="1"/>
  <c r="T3295" i="1"/>
  <c r="T3294" i="1"/>
  <c r="T3293" i="1"/>
  <c r="T3292" i="1"/>
  <c r="T3291" i="1"/>
  <c r="T3290" i="1"/>
  <c r="T3289" i="1"/>
  <c r="T3288" i="1"/>
  <c r="T3287" i="1"/>
  <c r="T3286" i="1"/>
  <c r="T3285" i="1"/>
  <c r="T3284" i="1"/>
  <c r="T3283" i="1"/>
  <c r="T3282" i="1"/>
  <c r="T3281" i="1"/>
  <c r="T3280" i="1"/>
  <c r="T3279" i="1"/>
  <c r="T3278" i="1"/>
  <c r="T3277" i="1"/>
  <c r="T3276" i="1"/>
  <c r="T3275" i="1"/>
  <c r="T3274" i="1"/>
  <c r="T3273" i="1"/>
  <c r="T3272" i="1"/>
  <c r="T3271" i="1"/>
  <c r="T3270" i="1"/>
  <c r="T3269" i="1"/>
  <c r="T3268" i="1"/>
  <c r="T3267" i="1"/>
  <c r="T3266" i="1"/>
  <c r="T3265" i="1"/>
  <c r="T3264" i="1"/>
  <c r="T3263" i="1"/>
  <c r="T3262" i="1"/>
  <c r="T3261" i="1"/>
  <c r="T3260" i="1"/>
  <c r="T3259" i="1"/>
  <c r="T3258" i="1"/>
  <c r="T3257" i="1"/>
  <c r="T3256" i="1"/>
  <c r="T3255" i="1"/>
  <c r="T3254" i="1"/>
  <c r="T3253" i="1"/>
  <c r="T3252" i="1"/>
  <c r="T3251" i="1"/>
  <c r="T3250" i="1"/>
  <c r="T3249" i="1"/>
  <c r="T3248" i="1"/>
  <c r="T3247" i="1"/>
  <c r="T3246" i="1"/>
  <c r="T3245" i="1"/>
  <c r="T3244" i="1"/>
  <c r="T3243" i="1"/>
  <c r="T3242" i="1"/>
  <c r="T3241" i="1"/>
  <c r="T3240" i="1"/>
  <c r="T3239" i="1"/>
  <c r="T3238" i="1"/>
  <c r="T3237" i="1"/>
  <c r="T3236" i="1"/>
  <c r="T3235" i="1"/>
  <c r="T3234" i="1"/>
  <c r="T3233" i="1"/>
  <c r="T3232" i="1"/>
  <c r="T3231" i="1"/>
  <c r="T3230" i="1"/>
  <c r="T3229" i="1"/>
  <c r="T3228" i="1"/>
  <c r="T3227" i="1"/>
  <c r="T3226" i="1"/>
  <c r="T3225" i="1"/>
  <c r="T3224" i="1"/>
  <c r="T3223" i="1"/>
  <c r="T3222" i="1"/>
  <c r="T3221" i="1"/>
  <c r="T3220" i="1"/>
  <c r="T3219" i="1"/>
  <c r="T3218" i="1"/>
  <c r="T3217" i="1"/>
  <c r="T3216" i="1"/>
  <c r="T3215" i="1"/>
  <c r="T3214" i="1"/>
  <c r="T3213" i="1"/>
  <c r="T3212" i="1"/>
  <c r="T3211" i="1"/>
  <c r="T3210" i="1"/>
  <c r="T3209" i="1"/>
  <c r="T3208" i="1"/>
  <c r="T3207" i="1"/>
  <c r="T3206" i="1"/>
  <c r="T3205" i="1"/>
  <c r="T3204" i="1"/>
  <c r="T3203" i="1"/>
  <c r="T3202" i="1"/>
  <c r="T3201" i="1"/>
  <c r="T3200" i="1"/>
  <c r="T3199" i="1"/>
  <c r="T3198" i="1"/>
  <c r="T3197" i="1"/>
  <c r="T3196" i="1"/>
  <c r="T3195" i="1"/>
  <c r="T3194" i="1"/>
  <c r="T3193" i="1"/>
  <c r="T3192" i="1"/>
  <c r="T3191" i="1"/>
  <c r="T3190" i="1"/>
  <c r="T3189" i="1"/>
  <c r="T3188" i="1"/>
  <c r="T3187" i="1"/>
  <c r="T3186" i="1"/>
  <c r="T3185" i="1"/>
  <c r="T3184" i="1"/>
  <c r="T3183" i="1"/>
  <c r="T3182" i="1"/>
  <c r="T3181" i="1"/>
  <c r="T3180" i="1"/>
  <c r="T3179" i="1"/>
  <c r="T3178" i="1"/>
  <c r="T3177" i="1"/>
  <c r="T3176" i="1"/>
  <c r="T3175" i="1"/>
  <c r="T3174" i="1"/>
  <c r="T3173" i="1"/>
  <c r="T3172" i="1"/>
  <c r="T3171" i="1"/>
  <c r="T3170" i="1"/>
  <c r="T3169" i="1"/>
  <c r="T3168" i="1"/>
  <c r="T3167" i="1"/>
  <c r="T3166" i="1"/>
  <c r="T3165" i="1"/>
  <c r="T3164" i="1"/>
  <c r="T3163" i="1"/>
  <c r="T3162" i="1"/>
  <c r="T3161" i="1"/>
  <c r="T3160" i="1"/>
  <c r="T3159" i="1"/>
  <c r="T3158" i="1"/>
  <c r="T3157" i="1"/>
  <c r="T3156" i="1"/>
  <c r="T3155" i="1"/>
  <c r="T3154" i="1"/>
  <c r="T3153" i="1"/>
  <c r="T3152" i="1"/>
  <c r="T3151" i="1"/>
  <c r="T3150" i="1"/>
  <c r="T3149" i="1"/>
  <c r="T3148" i="1"/>
  <c r="T3147" i="1"/>
  <c r="T3146" i="1"/>
  <c r="T3145" i="1"/>
  <c r="T3144" i="1"/>
  <c r="T3143" i="1"/>
  <c r="T3142" i="1"/>
  <c r="T3141" i="1"/>
  <c r="T3140" i="1"/>
  <c r="T3139" i="1"/>
  <c r="T3138" i="1"/>
  <c r="T3137" i="1"/>
  <c r="T3136" i="1"/>
  <c r="T3135" i="1"/>
  <c r="T3134" i="1"/>
  <c r="T3133" i="1"/>
  <c r="T3132" i="1"/>
  <c r="T3131" i="1"/>
  <c r="T3130" i="1"/>
  <c r="T3129" i="1"/>
  <c r="T3128" i="1"/>
  <c r="T3127" i="1"/>
  <c r="T3126" i="1"/>
  <c r="T3125" i="1"/>
  <c r="T3124" i="1"/>
  <c r="T3123" i="1"/>
  <c r="T3122" i="1"/>
  <c r="T3121" i="1"/>
  <c r="T3120" i="1"/>
  <c r="T3119" i="1"/>
  <c r="T3118" i="1"/>
  <c r="T3117" i="1"/>
  <c r="T3116" i="1"/>
  <c r="T3115" i="1"/>
  <c r="T3114" i="1"/>
  <c r="T3113" i="1"/>
  <c r="T3112" i="1"/>
  <c r="T3111" i="1"/>
  <c r="T3110" i="1"/>
  <c r="T3109" i="1"/>
  <c r="T3108" i="1"/>
  <c r="T3107" i="1"/>
  <c r="T3106" i="1"/>
  <c r="T3105" i="1"/>
  <c r="T3104" i="1"/>
  <c r="T3103" i="1"/>
  <c r="T3102" i="1"/>
  <c r="T3101" i="1"/>
  <c r="T3100" i="1"/>
  <c r="T3099" i="1"/>
  <c r="T3098" i="1"/>
  <c r="T3097" i="1"/>
  <c r="T3096" i="1"/>
  <c r="T3095" i="1"/>
  <c r="T3094" i="1"/>
  <c r="T3093" i="1"/>
  <c r="T3092" i="1"/>
  <c r="T3091" i="1"/>
  <c r="T3090" i="1"/>
  <c r="T3089" i="1"/>
  <c r="T3088" i="1"/>
  <c r="T3087" i="1"/>
  <c r="T3086" i="1"/>
  <c r="T3085" i="1"/>
  <c r="T3084" i="1"/>
  <c r="T3083" i="1"/>
  <c r="T3082" i="1"/>
  <c r="T3081" i="1"/>
  <c r="T3080" i="1"/>
  <c r="T3079" i="1"/>
  <c r="T3078" i="1"/>
  <c r="T3077" i="1"/>
  <c r="T3076" i="1"/>
  <c r="T3075" i="1"/>
  <c r="T3074" i="1"/>
  <c r="T3073" i="1"/>
  <c r="T3072" i="1"/>
  <c r="T3071" i="1"/>
  <c r="T3070" i="1"/>
  <c r="T3069" i="1"/>
  <c r="T3068" i="1"/>
  <c r="T3067" i="1"/>
  <c r="T3066" i="1"/>
  <c r="T3065" i="1"/>
  <c r="T3064" i="1"/>
  <c r="T3063" i="1"/>
  <c r="T3062" i="1"/>
  <c r="T3061" i="1"/>
  <c r="T3060" i="1"/>
  <c r="T3059" i="1"/>
  <c r="T3058" i="1"/>
  <c r="T3057" i="1"/>
  <c r="T3056" i="1"/>
  <c r="T3055" i="1"/>
  <c r="T3054" i="1"/>
  <c r="T3053" i="1"/>
  <c r="T3052" i="1"/>
  <c r="T3051" i="1"/>
  <c r="T3050" i="1"/>
  <c r="T3049" i="1"/>
  <c r="T3048" i="1"/>
  <c r="T3047" i="1"/>
  <c r="T3046" i="1"/>
  <c r="T3045" i="1"/>
  <c r="T3044" i="1"/>
  <c r="T3043" i="1"/>
  <c r="T3042" i="1"/>
  <c r="T3041" i="1"/>
  <c r="T3040" i="1"/>
  <c r="T3039" i="1"/>
  <c r="T3038" i="1"/>
  <c r="T3037" i="1"/>
  <c r="T3036" i="1"/>
  <c r="T3035" i="1"/>
  <c r="T3034" i="1"/>
  <c r="T3033" i="1"/>
  <c r="T3032" i="1"/>
  <c r="T3031" i="1"/>
  <c r="T3030" i="1"/>
  <c r="T3029" i="1"/>
  <c r="T3028" i="1"/>
  <c r="T3027" i="1"/>
  <c r="T3026" i="1"/>
  <c r="T3025" i="1"/>
  <c r="T3024" i="1"/>
  <c r="T3023" i="1"/>
  <c r="T3022" i="1"/>
  <c r="T3021" i="1"/>
  <c r="T3020" i="1"/>
  <c r="T3019" i="1"/>
  <c r="T3018" i="1"/>
  <c r="T3017" i="1"/>
  <c r="T3016" i="1"/>
  <c r="T3015" i="1"/>
  <c r="T3014" i="1"/>
  <c r="T3013" i="1"/>
  <c r="T3012" i="1"/>
  <c r="T3011" i="1"/>
  <c r="T3010" i="1"/>
  <c r="T3009" i="1"/>
  <c r="T3008" i="1"/>
  <c r="T3007" i="1"/>
  <c r="T3006" i="1"/>
  <c r="T3005" i="1"/>
  <c r="T3004" i="1"/>
  <c r="T3003" i="1"/>
  <c r="T3002" i="1"/>
  <c r="T3001" i="1"/>
  <c r="T3000" i="1"/>
  <c r="T2999" i="1"/>
  <c r="T2998" i="1"/>
  <c r="T2997" i="1"/>
  <c r="T2996" i="1"/>
  <c r="T2995" i="1"/>
  <c r="T2994" i="1"/>
  <c r="T2993" i="1"/>
  <c r="T2992" i="1"/>
  <c r="T2991" i="1"/>
  <c r="T2990" i="1"/>
  <c r="T2989" i="1"/>
  <c r="T2988" i="1"/>
  <c r="T2987" i="1"/>
  <c r="T2986" i="1"/>
  <c r="T2985" i="1"/>
  <c r="T2984" i="1"/>
  <c r="T2983" i="1"/>
  <c r="T2982" i="1"/>
  <c r="T2981" i="1"/>
  <c r="T2980" i="1"/>
  <c r="T2979" i="1"/>
  <c r="T2978" i="1"/>
  <c r="T2977" i="1"/>
  <c r="T2976" i="1"/>
  <c r="T2975" i="1"/>
  <c r="T2974" i="1"/>
  <c r="T2973" i="1"/>
  <c r="T2972" i="1"/>
  <c r="T2971" i="1"/>
  <c r="T2970" i="1"/>
  <c r="T2969" i="1"/>
  <c r="T2968" i="1"/>
  <c r="T2967" i="1"/>
  <c r="T2966" i="1"/>
  <c r="T2965" i="1"/>
  <c r="T2964" i="1"/>
  <c r="T2963" i="1"/>
  <c r="T2962" i="1"/>
  <c r="T2961" i="1"/>
  <c r="T2960" i="1"/>
  <c r="T2959" i="1"/>
  <c r="T2958" i="1"/>
  <c r="T2957" i="1"/>
  <c r="T2956" i="1"/>
  <c r="T2955" i="1"/>
  <c r="T2954" i="1"/>
  <c r="U2953" i="1"/>
  <c r="T2953" i="1"/>
  <c r="U2952" i="1"/>
  <c r="T2952" i="1"/>
  <c r="U2951" i="1"/>
  <c r="T2951" i="1"/>
  <c r="U2950" i="1"/>
  <c r="T2950" i="1"/>
  <c r="U2949" i="1"/>
  <c r="T2949" i="1"/>
  <c r="U2948" i="1"/>
  <c r="T2948" i="1"/>
  <c r="U2947" i="1"/>
  <c r="T2947" i="1"/>
  <c r="U2946" i="1"/>
  <c r="T2946" i="1"/>
  <c r="U2945" i="1"/>
  <c r="T2945" i="1"/>
  <c r="U2944" i="1"/>
  <c r="T2944" i="1"/>
  <c r="U2943" i="1"/>
  <c r="T2943" i="1"/>
  <c r="U2942" i="1"/>
  <c r="T2942" i="1"/>
  <c r="U2941" i="1"/>
  <c r="T2941" i="1"/>
  <c r="U2940" i="1"/>
  <c r="T2940" i="1"/>
  <c r="U2939" i="1"/>
  <c r="T2939" i="1"/>
  <c r="U2938" i="1"/>
  <c r="T2938" i="1"/>
  <c r="U2937" i="1"/>
  <c r="T2937" i="1"/>
  <c r="U2936" i="1"/>
  <c r="T2936" i="1"/>
  <c r="U2935" i="1"/>
  <c r="T2935" i="1"/>
  <c r="U2934" i="1"/>
  <c r="T2934" i="1"/>
  <c r="U2933" i="1"/>
  <c r="T2933" i="1"/>
  <c r="U2932" i="1"/>
  <c r="T2932" i="1"/>
  <c r="U2931" i="1"/>
  <c r="T2931" i="1"/>
  <c r="U2930" i="1"/>
  <c r="T2930" i="1"/>
  <c r="U2929" i="1"/>
  <c r="T2929" i="1"/>
  <c r="U2928" i="1"/>
  <c r="T2928" i="1"/>
  <c r="U2927" i="1"/>
  <c r="T2927" i="1"/>
  <c r="U2926" i="1"/>
  <c r="T2926" i="1"/>
  <c r="U2925" i="1"/>
  <c r="T2925" i="1"/>
  <c r="U2924" i="1"/>
  <c r="T2924" i="1"/>
  <c r="U2923" i="1"/>
  <c r="T2923" i="1"/>
  <c r="U2922" i="1"/>
  <c r="T2922" i="1"/>
  <c r="U2921" i="1"/>
  <c r="T2921" i="1"/>
  <c r="U2920" i="1"/>
  <c r="T2920" i="1"/>
  <c r="U2919" i="1"/>
  <c r="T2919" i="1"/>
  <c r="U2918" i="1"/>
  <c r="T2918" i="1"/>
  <c r="U2917" i="1"/>
  <c r="T2917" i="1"/>
  <c r="U2916" i="1"/>
  <c r="T2916" i="1"/>
  <c r="U2915" i="1"/>
  <c r="T2915" i="1"/>
  <c r="U2914" i="1"/>
  <c r="T2914" i="1"/>
  <c r="U2913" i="1"/>
  <c r="T2913" i="1"/>
  <c r="U2912" i="1"/>
  <c r="T2912" i="1"/>
  <c r="U2911" i="1"/>
  <c r="T2911" i="1"/>
  <c r="U2910" i="1"/>
  <c r="T2910" i="1"/>
  <c r="U2909" i="1"/>
  <c r="T2909" i="1"/>
  <c r="U2908" i="1"/>
  <c r="T2908" i="1"/>
  <c r="U2907" i="1"/>
  <c r="T2907" i="1"/>
  <c r="U2906" i="1"/>
  <c r="T2906" i="1"/>
  <c r="U2905" i="1"/>
  <c r="T2905" i="1"/>
  <c r="U2904" i="1"/>
  <c r="T2904" i="1"/>
  <c r="T2903" i="1"/>
  <c r="T2902" i="1"/>
  <c r="T2901" i="1"/>
  <c r="T2900" i="1"/>
  <c r="T2899" i="1"/>
  <c r="T2898" i="1"/>
  <c r="T2897" i="1"/>
  <c r="T2896" i="1"/>
  <c r="T2895" i="1"/>
  <c r="T2894" i="1"/>
  <c r="T2893" i="1"/>
  <c r="T2892" i="1"/>
  <c r="T2891" i="1"/>
  <c r="T2890" i="1"/>
  <c r="T2889" i="1"/>
  <c r="T2888" i="1"/>
  <c r="T2887" i="1"/>
  <c r="T2886" i="1"/>
  <c r="T2885" i="1"/>
  <c r="T2884" i="1"/>
  <c r="T2883" i="1"/>
  <c r="T2882" i="1"/>
  <c r="T2881" i="1"/>
  <c r="T2880" i="1"/>
  <c r="T2879" i="1"/>
  <c r="T2878" i="1"/>
  <c r="T2877" i="1"/>
  <c r="T2876" i="1"/>
  <c r="T2875" i="1"/>
  <c r="T2874" i="1"/>
  <c r="T2873" i="1"/>
  <c r="T2872" i="1"/>
  <c r="T2871" i="1"/>
  <c r="T2870" i="1"/>
  <c r="T2869" i="1"/>
  <c r="T2868" i="1"/>
  <c r="T2867" i="1"/>
  <c r="T2866" i="1"/>
  <c r="T2865" i="1"/>
  <c r="T2864" i="1"/>
  <c r="T2863" i="1"/>
  <c r="T2862" i="1"/>
  <c r="T2861" i="1"/>
  <c r="T2860" i="1"/>
  <c r="T2859" i="1"/>
  <c r="T2858" i="1"/>
  <c r="T2857" i="1"/>
  <c r="T2856" i="1"/>
  <c r="T2855" i="1"/>
  <c r="T2854" i="1"/>
  <c r="T2853" i="1"/>
  <c r="T2852" i="1"/>
  <c r="T2851" i="1"/>
  <c r="T2850" i="1"/>
  <c r="T2849" i="1"/>
  <c r="T2848" i="1"/>
  <c r="T2847" i="1"/>
  <c r="T2846" i="1"/>
  <c r="T2845" i="1"/>
  <c r="T2844" i="1"/>
  <c r="T2843" i="1"/>
  <c r="T2842" i="1"/>
  <c r="T2841" i="1"/>
  <c r="T2840" i="1"/>
  <c r="T2839" i="1"/>
  <c r="T2838" i="1"/>
  <c r="T2837" i="1"/>
  <c r="T2836" i="1"/>
  <c r="T2835" i="1"/>
  <c r="T2834" i="1"/>
  <c r="T2833" i="1"/>
  <c r="T2832" i="1"/>
  <c r="T2831" i="1"/>
  <c r="T2830" i="1"/>
  <c r="T2829" i="1"/>
  <c r="T2828" i="1"/>
  <c r="T2827" i="1"/>
  <c r="T2826" i="1"/>
  <c r="T2825" i="1"/>
  <c r="T2824" i="1"/>
  <c r="T2823" i="1"/>
  <c r="T2822" i="1"/>
  <c r="T2821" i="1"/>
  <c r="T2820" i="1"/>
  <c r="T2819" i="1"/>
  <c r="T2818" i="1"/>
  <c r="T2817" i="1"/>
  <c r="T2816" i="1"/>
  <c r="T2815" i="1"/>
  <c r="T2814" i="1"/>
  <c r="T2813" i="1"/>
  <c r="T2812" i="1"/>
  <c r="T2811" i="1"/>
  <c r="T2810" i="1"/>
  <c r="T2809" i="1"/>
  <c r="T2808" i="1"/>
  <c r="T2807" i="1"/>
  <c r="T2806" i="1"/>
  <c r="T2805" i="1"/>
  <c r="T2804" i="1"/>
  <c r="T2803" i="1"/>
  <c r="T2802" i="1"/>
  <c r="T2801" i="1"/>
  <c r="T2800" i="1"/>
  <c r="T2799" i="1"/>
  <c r="T2798" i="1"/>
  <c r="T2797" i="1"/>
  <c r="T2796" i="1"/>
  <c r="T2795" i="1"/>
  <c r="T2794" i="1"/>
  <c r="T2793" i="1"/>
  <c r="T2792" i="1"/>
  <c r="T2791" i="1"/>
  <c r="T2790" i="1"/>
  <c r="T2789" i="1"/>
  <c r="T2788" i="1"/>
  <c r="T2787" i="1"/>
  <c r="T2786" i="1"/>
  <c r="T2785" i="1"/>
  <c r="T2784" i="1"/>
  <c r="T2783" i="1"/>
  <c r="T2782" i="1"/>
  <c r="T2781" i="1"/>
  <c r="T2780" i="1"/>
  <c r="T2779" i="1"/>
  <c r="T2778" i="1"/>
  <c r="T2777" i="1"/>
  <c r="T2776" i="1"/>
  <c r="T2775" i="1"/>
  <c r="T2774" i="1"/>
  <c r="T2773" i="1"/>
  <c r="T2772" i="1"/>
  <c r="T2771" i="1"/>
  <c r="T2770" i="1"/>
  <c r="T2769" i="1"/>
  <c r="T2768" i="1"/>
  <c r="T2767" i="1"/>
  <c r="T2766" i="1"/>
  <c r="T2765" i="1"/>
  <c r="T2764" i="1"/>
  <c r="T2763" i="1"/>
  <c r="T2762" i="1"/>
  <c r="T2761" i="1"/>
  <c r="T2760" i="1"/>
  <c r="T2759" i="1"/>
  <c r="T2758" i="1"/>
  <c r="T2757" i="1"/>
  <c r="T2756" i="1"/>
  <c r="T2755" i="1"/>
  <c r="T2754" i="1"/>
  <c r="T2753" i="1"/>
  <c r="T2752" i="1"/>
  <c r="T2751" i="1"/>
  <c r="T2750" i="1"/>
  <c r="T2749" i="1"/>
  <c r="T2748" i="1"/>
  <c r="T2747" i="1"/>
  <c r="T2746" i="1"/>
  <c r="T2745" i="1"/>
  <c r="T2744" i="1"/>
  <c r="T2743" i="1"/>
  <c r="T2742" i="1"/>
  <c r="T2741" i="1"/>
  <c r="T2740" i="1"/>
  <c r="T2739" i="1"/>
  <c r="T2738" i="1"/>
  <c r="T2737" i="1"/>
  <c r="T2736" i="1"/>
  <c r="T2735" i="1"/>
  <c r="T2734" i="1"/>
  <c r="T2733" i="1"/>
  <c r="T2732" i="1"/>
  <c r="T2731" i="1"/>
  <c r="T2730" i="1"/>
  <c r="T2729" i="1"/>
  <c r="T2728" i="1"/>
  <c r="T2727" i="1"/>
  <c r="T2726" i="1"/>
  <c r="T2725" i="1"/>
  <c r="T2724" i="1"/>
  <c r="T2723" i="1"/>
  <c r="T2722" i="1"/>
  <c r="T2721" i="1"/>
  <c r="T2720" i="1"/>
  <c r="T2719" i="1"/>
  <c r="T2718" i="1"/>
  <c r="T2717" i="1"/>
  <c r="T2716" i="1"/>
  <c r="T2715" i="1"/>
  <c r="T2714" i="1"/>
  <c r="T2713" i="1"/>
  <c r="T2712" i="1"/>
  <c r="T2711" i="1"/>
  <c r="T2710" i="1"/>
  <c r="T2709" i="1"/>
  <c r="T2708" i="1"/>
  <c r="T2707" i="1"/>
  <c r="T2706" i="1"/>
  <c r="T2705" i="1"/>
  <c r="T2704" i="1"/>
  <c r="T2703" i="1"/>
  <c r="T2702" i="1"/>
  <c r="T2701" i="1"/>
  <c r="T2700" i="1"/>
  <c r="T2699" i="1"/>
  <c r="T2698" i="1"/>
  <c r="T2697" i="1"/>
  <c r="T2696" i="1"/>
  <c r="T2695" i="1"/>
  <c r="T2694" i="1"/>
  <c r="T2693" i="1"/>
  <c r="T2692" i="1"/>
  <c r="T2691" i="1"/>
  <c r="T2690" i="1"/>
  <c r="T2689" i="1"/>
  <c r="T2688" i="1"/>
  <c r="T2687" i="1"/>
  <c r="T2686" i="1"/>
  <c r="T2685" i="1"/>
  <c r="T2684" i="1"/>
  <c r="T2683" i="1"/>
  <c r="T2682" i="1"/>
  <c r="T2681" i="1"/>
  <c r="T2680" i="1"/>
  <c r="T2679" i="1"/>
  <c r="T2678" i="1"/>
  <c r="T2677" i="1"/>
  <c r="T2676" i="1"/>
  <c r="T2675" i="1"/>
  <c r="T2674" i="1"/>
  <c r="T2673" i="1"/>
  <c r="T2672" i="1"/>
  <c r="T2671" i="1"/>
  <c r="T2670" i="1"/>
  <c r="T2669" i="1"/>
  <c r="T2668" i="1"/>
  <c r="T2667" i="1"/>
  <c r="T2666" i="1"/>
  <c r="T2665" i="1"/>
  <c r="T2664" i="1"/>
  <c r="T2663" i="1"/>
  <c r="T2662" i="1"/>
  <c r="T2661" i="1"/>
  <c r="T2660" i="1"/>
  <c r="T2659" i="1"/>
  <c r="T2658" i="1"/>
  <c r="T2657" i="1"/>
  <c r="T2656" i="1"/>
  <c r="T2655" i="1"/>
  <c r="T2654" i="1"/>
  <c r="T2653" i="1"/>
  <c r="T2652" i="1"/>
  <c r="T2651" i="1"/>
  <c r="T2650" i="1"/>
  <c r="T2649" i="1"/>
  <c r="T2648" i="1"/>
  <c r="T2647" i="1"/>
  <c r="T2646" i="1"/>
  <c r="T2645" i="1"/>
  <c r="T2644" i="1"/>
  <c r="T2643" i="1"/>
  <c r="T2642" i="1"/>
  <c r="T2641" i="1"/>
  <c r="T2640" i="1"/>
  <c r="T2639" i="1"/>
  <c r="T2638" i="1"/>
  <c r="T2637" i="1"/>
  <c r="T2636" i="1"/>
  <c r="T2635" i="1"/>
  <c r="T2634" i="1"/>
  <c r="T2633" i="1"/>
  <c r="T2632" i="1"/>
  <c r="T2631" i="1"/>
  <c r="T2630" i="1"/>
  <c r="T2629" i="1"/>
  <c r="T2628" i="1"/>
  <c r="T2627" i="1"/>
  <c r="T2626" i="1"/>
  <c r="T2625" i="1"/>
  <c r="T2624" i="1"/>
  <c r="T2623" i="1"/>
  <c r="T2622" i="1"/>
  <c r="T2621" i="1"/>
  <c r="T2620" i="1"/>
  <c r="T2619" i="1"/>
  <c r="T2618" i="1"/>
  <c r="T2617" i="1"/>
  <c r="T2616" i="1"/>
  <c r="T2615" i="1"/>
  <c r="T2614" i="1"/>
  <c r="T2613" i="1"/>
  <c r="T2612" i="1"/>
  <c r="T2611" i="1"/>
  <c r="T2610" i="1"/>
  <c r="T2609" i="1"/>
  <c r="T2608" i="1"/>
  <c r="T2607" i="1"/>
  <c r="T2606" i="1"/>
  <c r="T2605" i="1"/>
  <c r="T2604" i="1"/>
  <c r="T2603" i="1"/>
  <c r="T2602" i="1"/>
  <c r="T2601" i="1"/>
  <c r="T2600" i="1"/>
  <c r="T2599" i="1"/>
  <c r="T2598" i="1"/>
  <c r="T2597" i="1"/>
  <c r="T2596" i="1"/>
  <c r="T2595" i="1"/>
  <c r="T2594" i="1"/>
  <c r="T2593" i="1"/>
  <c r="T2592" i="1"/>
  <c r="T2591" i="1"/>
  <c r="T2590" i="1"/>
  <c r="T2589" i="1"/>
  <c r="T2588" i="1"/>
  <c r="T2587" i="1"/>
  <c r="T2586" i="1"/>
  <c r="T2585" i="1"/>
  <c r="T2584" i="1"/>
  <c r="T2583" i="1"/>
  <c r="T2582" i="1"/>
  <c r="T2581" i="1"/>
  <c r="T2580" i="1"/>
  <c r="T2579" i="1"/>
  <c r="T2578" i="1"/>
  <c r="T2577" i="1"/>
  <c r="T2576" i="1"/>
  <c r="T2575" i="1"/>
  <c r="T2574" i="1"/>
  <c r="T2573" i="1"/>
  <c r="T2572" i="1"/>
  <c r="T2571" i="1"/>
  <c r="T2570" i="1"/>
  <c r="T2569" i="1"/>
  <c r="T2568" i="1"/>
  <c r="T2567" i="1"/>
  <c r="T2566" i="1"/>
  <c r="T2565" i="1"/>
  <c r="T2564" i="1"/>
  <c r="T2563" i="1"/>
  <c r="T2562" i="1"/>
  <c r="T2561" i="1"/>
  <c r="T2560" i="1"/>
  <c r="T2559" i="1"/>
  <c r="T2558" i="1"/>
  <c r="T2557" i="1"/>
  <c r="T2556" i="1"/>
  <c r="T2555" i="1"/>
  <c r="T2554" i="1"/>
  <c r="T2553" i="1"/>
  <c r="T2552" i="1"/>
  <c r="T2551" i="1"/>
  <c r="T2550" i="1"/>
  <c r="T2549" i="1"/>
  <c r="T2548" i="1"/>
  <c r="T2547" i="1"/>
  <c r="T2546" i="1"/>
  <c r="T2545" i="1"/>
  <c r="T2544" i="1"/>
  <c r="T2543" i="1"/>
  <c r="T2542" i="1"/>
  <c r="T2541" i="1"/>
  <c r="T2540" i="1"/>
  <c r="T2539" i="1"/>
  <c r="T2538" i="1"/>
  <c r="T2537" i="1"/>
  <c r="T2536" i="1"/>
  <c r="T2535" i="1"/>
  <c r="T2534" i="1"/>
  <c r="T2533" i="1"/>
  <c r="T2532" i="1"/>
  <c r="T2531" i="1"/>
  <c r="T2530" i="1"/>
  <c r="T2529" i="1"/>
  <c r="T2528" i="1"/>
  <c r="T2527" i="1"/>
  <c r="T2526" i="1"/>
  <c r="T2525" i="1"/>
  <c r="T2524" i="1"/>
  <c r="T2523" i="1"/>
  <c r="T2522" i="1"/>
  <c r="T2521" i="1"/>
  <c r="T2520" i="1"/>
  <c r="T2519" i="1"/>
  <c r="T2518" i="1"/>
  <c r="T2517" i="1"/>
  <c r="T2516" i="1"/>
  <c r="T2515" i="1"/>
  <c r="T2514" i="1"/>
  <c r="T2513" i="1"/>
  <c r="T2512" i="1"/>
  <c r="T2511" i="1"/>
  <c r="T2510" i="1"/>
  <c r="T2509" i="1"/>
  <c r="T2508" i="1"/>
  <c r="T2507" i="1"/>
  <c r="T2506" i="1"/>
  <c r="T2505" i="1"/>
  <c r="T2504" i="1"/>
  <c r="T2503" i="1"/>
  <c r="T2502" i="1"/>
  <c r="T2501" i="1"/>
  <c r="T2500" i="1"/>
  <c r="T2499" i="1"/>
  <c r="T2498" i="1"/>
  <c r="T2497" i="1"/>
  <c r="T2496" i="1"/>
  <c r="T2495" i="1"/>
  <c r="T2494" i="1"/>
  <c r="T2493" i="1"/>
  <c r="T2492" i="1"/>
  <c r="T2491" i="1"/>
  <c r="T2490" i="1"/>
  <c r="T2489" i="1"/>
  <c r="T2488" i="1"/>
  <c r="T2487" i="1"/>
  <c r="T2486" i="1"/>
  <c r="T2485" i="1"/>
  <c r="T2484" i="1"/>
  <c r="T2483" i="1"/>
  <c r="T2482" i="1"/>
  <c r="T2481" i="1"/>
  <c r="T2480" i="1"/>
  <c r="T2479" i="1"/>
  <c r="T2478" i="1"/>
  <c r="T2477" i="1"/>
  <c r="T2476" i="1"/>
  <c r="T2475" i="1"/>
  <c r="T2474" i="1"/>
  <c r="T2473" i="1"/>
  <c r="T2472" i="1"/>
  <c r="T2471" i="1"/>
  <c r="T2470" i="1"/>
  <c r="T2469" i="1"/>
  <c r="T2468" i="1"/>
  <c r="T2467" i="1"/>
  <c r="T2466" i="1"/>
  <c r="T2465" i="1"/>
  <c r="T2464" i="1"/>
  <c r="T2463" i="1"/>
  <c r="T2462" i="1"/>
  <c r="T2461" i="1"/>
  <c r="T2460" i="1"/>
  <c r="T2459" i="1"/>
  <c r="T2458" i="1"/>
  <c r="T2457" i="1"/>
  <c r="T2456" i="1"/>
  <c r="T2455" i="1"/>
  <c r="T2454" i="1"/>
  <c r="T2453" i="1"/>
  <c r="T2452" i="1"/>
  <c r="T2451" i="1"/>
  <c r="T2450" i="1"/>
  <c r="T2449" i="1"/>
  <c r="T2448" i="1"/>
  <c r="T2447" i="1"/>
  <c r="T2446" i="1"/>
  <c r="T2445" i="1"/>
  <c r="T2444" i="1"/>
  <c r="T2443" i="1"/>
  <c r="T2442" i="1"/>
  <c r="T2441" i="1"/>
  <c r="T2440" i="1"/>
  <c r="T2439" i="1"/>
  <c r="T2438"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407" i="1"/>
  <c r="T2406" i="1"/>
  <c r="T2405" i="1"/>
  <c r="T2404" i="1"/>
  <c r="T2403" i="1"/>
  <c r="T2402" i="1"/>
  <c r="T2401" i="1"/>
  <c r="T2400" i="1"/>
  <c r="T2399" i="1"/>
  <c r="T2398" i="1"/>
  <c r="T2397" i="1"/>
  <c r="T2396" i="1"/>
  <c r="T2395" i="1"/>
  <c r="T2394" i="1"/>
  <c r="T2393" i="1"/>
  <c r="T2392" i="1"/>
  <c r="T2391" i="1"/>
  <c r="T2390" i="1"/>
  <c r="T2389" i="1"/>
  <c r="T2388" i="1"/>
  <c r="T2387" i="1"/>
  <c r="T2386" i="1"/>
  <c r="T2385" i="1"/>
  <c r="T2384" i="1"/>
  <c r="T2383" i="1"/>
  <c r="T2382" i="1"/>
  <c r="T2381" i="1"/>
  <c r="T2380" i="1"/>
  <c r="T2379" i="1"/>
  <c r="T2378" i="1"/>
  <c r="T2377" i="1"/>
  <c r="T2376"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3" i="1"/>
  <c r="T2342" i="1"/>
  <c r="T2341" i="1"/>
  <c r="T2340" i="1"/>
  <c r="T2339" i="1"/>
  <c r="T2338" i="1"/>
  <c r="T2337" i="1"/>
  <c r="T2336" i="1"/>
  <c r="T2335" i="1"/>
  <c r="T2334" i="1"/>
  <c r="T2333" i="1"/>
  <c r="T2332" i="1"/>
  <c r="T2331" i="1"/>
  <c r="T2330" i="1"/>
  <c r="T2329" i="1"/>
  <c r="T2328" i="1"/>
  <c r="T2327" i="1"/>
  <c r="T2326" i="1"/>
  <c r="T2325" i="1"/>
  <c r="T2324" i="1"/>
  <c r="T2323" i="1"/>
  <c r="T2322" i="1"/>
  <c r="T2321" i="1"/>
  <c r="T2320" i="1"/>
  <c r="T2319" i="1"/>
  <c r="T2318" i="1"/>
  <c r="T2317" i="1"/>
  <c r="T2316" i="1"/>
  <c r="T2315" i="1"/>
  <c r="T2314" i="1"/>
  <c r="T2313" i="1"/>
  <c r="T2312" i="1"/>
  <c r="T2311" i="1"/>
  <c r="T2310" i="1"/>
  <c r="T2309" i="1"/>
  <c r="T2308" i="1"/>
  <c r="T2307" i="1"/>
  <c r="T2306" i="1"/>
  <c r="T2305" i="1"/>
  <c r="T2304" i="1"/>
  <c r="T2303" i="1"/>
  <c r="T2302" i="1"/>
  <c r="T2301" i="1"/>
  <c r="T2300" i="1"/>
  <c r="T2299" i="1"/>
  <c r="T2298" i="1"/>
  <c r="T2297" i="1"/>
  <c r="T2296" i="1"/>
  <c r="T2295" i="1"/>
  <c r="T2294" i="1"/>
  <c r="T2293" i="1"/>
  <c r="T2292" i="1"/>
  <c r="T2291" i="1"/>
  <c r="T2290" i="1"/>
  <c r="T2289" i="1"/>
  <c r="T2288" i="1"/>
  <c r="T2287" i="1"/>
  <c r="T2286" i="1"/>
  <c r="T2285" i="1"/>
  <c r="T2284" i="1"/>
  <c r="T2283" i="1"/>
  <c r="T2282" i="1"/>
  <c r="T2281" i="1"/>
  <c r="T2280" i="1"/>
  <c r="T2279" i="1"/>
  <c r="T2278" i="1"/>
  <c r="T2277" i="1"/>
  <c r="T2276" i="1"/>
  <c r="T2275" i="1"/>
  <c r="T2274" i="1"/>
  <c r="T2273" i="1"/>
  <c r="T2272" i="1"/>
  <c r="T2271" i="1"/>
  <c r="T2270" i="1"/>
  <c r="T2269" i="1"/>
  <c r="T2268" i="1"/>
  <c r="T2267" i="1"/>
  <c r="T2266" i="1"/>
  <c r="T2265" i="1"/>
  <c r="T2264" i="1"/>
  <c r="T2263" i="1"/>
  <c r="T2262" i="1"/>
  <c r="T2261" i="1"/>
  <c r="T2260" i="1"/>
  <c r="T2259" i="1"/>
  <c r="T2258" i="1"/>
  <c r="T2257" i="1"/>
  <c r="T2256" i="1"/>
  <c r="T2255" i="1"/>
  <c r="T2254" i="1"/>
  <c r="T2253" i="1"/>
  <c r="T2252" i="1"/>
  <c r="T2251" i="1"/>
  <c r="T2250" i="1"/>
  <c r="T2249" i="1"/>
  <c r="T2248" i="1"/>
  <c r="T2247" i="1"/>
  <c r="T2246" i="1"/>
  <c r="T2245" i="1"/>
  <c r="T2244" i="1"/>
  <c r="T2243" i="1"/>
  <c r="T2242" i="1"/>
  <c r="T2241" i="1"/>
  <c r="T2240" i="1"/>
  <c r="T2239" i="1"/>
  <c r="T2238" i="1"/>
  <c r="T2237" i="1"/>
  <c r="T2236" i="1"/>
  <c r="T2235" i="1"/>
  <c r="T2234" i="1"/>
  <c r="T2233" i="1"/>
  <c r="T2232" i="1"/>
  <c r="T2231" i="1"/>
  <c r="T2230" i="1"/>
  <c r="T2229" i="1"/>
  <c r="T2228" i="1"/>
  <c r="T2227" i="1"/>
  <c r="T2226" i="1"/>
  <c r="T2225" i="1"/>
  <c r="T2224" i="1"/>
  <c r="T2223" i="1"/>
  <c r="T2222" i="1"/>
  <c r="T2221" i="1"/>
  <c r="T2220" i="1"/>
  <c r="T2219" i="1"/>
  <c r="T2218" i="1"/>
  <c r="T2217" i="1"/>
  <c r="T2216" i="1"/>
  <c r="T2215" i="1"/>
  <c r="T2214" i="1"/>
  <c r="T2213" i="1"/>
  <c r="T2212" i="1"/>
  <c r="T2211" i="1"/>
  <c r="T2210" i="1"/>
  <c r="T2209" i="1"/>
  <c r="T2208" i="1"/>
  <c r="T2207" i="1"/>
  <c r="T2206" i="1"/>
  <c r="T2205" i="1"/>
  <c r="T2204" i="1"/>
  <c r="T2203" i="1"/>
  <c r="T2202" i="1"/>
  <c r="T2201" i="1"/>
  <c r="T2200" i="1"/>
  <c r="T2199" i="1"/>
  <c r="T2198" i="1"/>
  <c r="T2197" i="1"/>
  <c r="T2196" i="1"/>
  <c r="T2195" i="1"/>
  <c r="T2194" i="1"/>
  <c r="T2193" i="1"/>
  <c r="T2192" i="1"/>
  <c r="T2191" i="1"/>
  <c r="T2190" i="1"/>
  <c r="T2189" i="1"/>
  <c r="T2188" i="1"/>
  <c r="T2187" i="1"/>
  <c r="T2186" i="1"/>
  <c r="T2185" i="1"/>
  <c r="T2184" i="1"/>
  <c r="T2183" i="1"/>
  <c r="T2182" i="1"/>
  <c r="T2181" i="1"/>
  <c r="T2180" i="1"/>
  <c r="T2179" i="1"/>
  <c r="T2178" i="1"/>
  <c r="T2177" i="1"/>
  <c r="T2176" i="1"/>
  <c r="T2175" i="1"/>
  <c r="T2174" i="1"/>
  <c r="T2173" i="1"/>
  <c r="T2172" i="1"/>
  <c r="T2171" i="1"/>
  <c r="T2170" i="1"/>
  <c r="T2169" i="1"/>
  <c r="T2168" i="1"/>
  <c r="T2167" i="1"/>
  <c r="T2166" i="1"/>
  <c r="T2165" i="1"/>
  <c r="T2164" i="1"/>
  <c r="T2163" i="1"/>
  <c r="T2162" i="1"/>
  <c r="T2161" i="1"/>
  <c r="T2160" i="1"/>
  <c r="T2159" i="1"/>
  <c r="T2158" i="1"/>
  <c r="T2157" i="1"/>
  <c r="T2156" i="1"/>
  <c r="T2155" i="1"/>
  <c r="T2154" i="1"/>
  <c r="T2153" i="1"/>
  <c r="T2152" i="1"/>
  <c r="T2151" i="1"/>
  <c r="T2150" i="1"/>
  <c r="T2149" i="1"/>
  <c r="T2148" i="1"/>
  <c r="T2147" i="1"/>
  <c r="T2146" i="1"/>
  <c r="T2145" i="1"/>
  <c r="T2144" i="1"/>
  <c r="T2143" i="1"/>
  <c r="T2142" i="1"/>
  <c r="T2141" i="1"/>
  <c r="T2140" i="1"/>
  <c r="T2139" i="1"/>
  <c r="T2138" i="1"/>
  <c r="T2137" i="1"/>
  <c r="T2136" i="1"/>
  <c r="T2135" i="1"/>
  <c r="T2134" i="1"/>
  <c r="T2133" i="1"/>
  <c r="T2132" i="1"/>
  <c r="T2131" i="1"/>
  <c r="T2130" i="1"/>
  <c r="T2129" i="1"/>
  <c r="T2128" i="1"/>
  <c r="T2127" i="1"/>
  <c r="T2126" i="1"/>
  <c r="T2125" i="1"/>
  <c r="T2124" i="1"/>
  <c r="T2123" i="1"/>
  <c r="T2122" i="1"/>
  <c r="T2121" i="1"/>
  <c r="T2120" i="1"/>
  <c r="T2119" i="1"/>
  <c r="T2118" i="1"/>
  <c r="T2117" i="1"/>
  <c r="T2116" i="1"/>
  <c r="T2115" i="1"/>
  <c r="T2114" i="1"/>
  <c r="T2113" i="1"/>
  <c r="T2112" i="1"/>
  <c r="T2111" i="1"/>
  <c r="T2110" i="1"/>
  <c r="T2109" i="1"/>
  <c r="T2108" i="1"/>
  <c r="T2107" i="1"/>
  <c r="T2106" i="1"/>
  <c r="T2105" i="1"/>
  <c r="T2104" i="1"/>
  <c r="T2103" i="1"/>
  <c r="T2102" i="1"/>
  <c r="T2101" i="1"/>
  <c r="T2100" i="1"/>
  <c r="T2099" i="1"/>
  <c r="T2098" i="1"/>
  <c r="T2097" i="1"/>
  <c r="T2096" i="1"/>
  <c r="T2095" i="1"/>
  <c r="T2094" i="1"/>
  <c r="T2093" i="1"/>
  <c r="T2092" i="1"/>
  <c r="T2091" i="1"/>
  <c r="T2090" i="1"/>
  <c r="T2089" i="1"/>
  <c r="T2088" i="1"/>
  <c r="T2087" i="1"/>
  <c r="T2086" i="1"/>
  <c r="T2085" i="1"/>
  <c r="T2084" i="1"/>
  <c r="T2083" i="1"/>
  <c r="T2082" i="1"/>
  <c r="T2081" i="1"/>
  <c r="T2080" i="1"/>
  <c r="T2079" i="1"/>
  <c r="T2078" i="1"/>
  <c r="T2077" i="1"/>
  <c r="T2076" i="1"/>
  <c r="T2075" i="1"/>
  <c r="T2074" i="1"/>
  <c r="T2073" i="1"/>
  <c r="T2072" i="1"/>
  <c r="T2071" i="1"/>
  <c r="T2070" i="1"/>
  <c r="T2069" i="1"/>
  <c r="T2068" i="1"/>
  <c r="T2067" i="1"/>
  <c r="T2066" i="1"/>
  <c r="T2065" i="1"/>
  <c r="T2064" i="1"/>
  <c r="T2063" i="1"/>
  <c r="T2062" i="1"/>
  <c r="T2061" i="1"/>
  <c r="T2060" i="1"/>
  <c r="T2059" i="1"/>
  <c r="T2058" i="1"/>
  <c r="T2057" i="1"/>
  <c r="T2056" i="1"/>
  <c r="T2055" i="1"/>
  <c r="T2054" i="1"/>
  <c r="T2053" i="1"/>
  <c r="T2052" i="1"/>
  <c r="T2051" i="1"/>
  <c r="T2050" i="1"/>
  <c r="T2049" i="1"/>
  <c r="T2048" i="1"/>
  <c r="T2047" i="1"/>
  <c r="T2046" i="1"/>
  <c r="T2045" i="1"/>
  <c r="T2044" i="1"/>
  <c r="T2043" i="1"/>
  <c r="T2042" i="1"/>
  <c r="T2041" i="1"/>
  <c r="T2040" i="1"/>
  <c r="T2039" i="1"/>
  <c r="T2038" i="1"/>
  <c r="T2037" i="1"/>
  <c r="T2036" i="1"/>
  <c r="T2035" i="1"/>
  <c r="T2034" i="1"/>
  <c r="T2033" i="1"/>
  <c r="T2032" i="1"/>
  <c r="T2031" i="1"/>
  <c r="T2030" i="1"/>
  <c r="T2029" i="1"/>
  <c r="T2028" i="1"/>
  <c r="T2027" i="1"/>
  <c r="T2026" i="1"/>
  <c r="T2025" i="1"/>
  <c r="T2024" i="1"/>
  <c r="T2023" i="1"/>
  <c r="T2022" i="1"/>
  <c r="T2021" i="1"/>
  <c r="T2020" i="1"/>
  <c r="T2019" i="1"/>
  <c r="T2018" i="1"/>
  <c r="T2017" i="1"/>
  <c r="T2016" i="1"/>
  <c r="T2015" i="1"/>
  <c r="T2014" i="1"/>
  <c r="T2013" i="1"/>
  <c r="T2012" i="1"/>
  <c r="T2011" i="1"/>
  <c r="T2010" i="1"/>
  <c r="T2009" i="1"/>
  <c r="T2008" i="1"/>
  <c r="T2007" i="1"/>
  <c r="T2006" i="1"/>
  <c r="T2005" i="1"/>
  <c r="T2004" i="1"/>
  <c r="T2003" i="1"/>
  <c r="T2002" i="1"/>
  <c r="T2001" i="1"/>
  <c r="T2000" i="1"/>
  <c r="T1999" i="1"/>
  <c r="T1998" i="1"/>
  <c r="T1997" i="1"/>
  <c r="T1996" i="1"/>
  <c r="T1995" i="1"/>
  <c r="T1994" i="1"/>
  <c r="T1993" i="1"/>
  <c r="T1992" i="1"/>
  <c r="T1991" i="1"/>
  <c r="T1990" i="1"/>
  <c r="T1989" i="1"/>
  <c r="T1988" i="1"/>
  <c r="T1987" i="1"/>
  <c r="T1986" i="1"/>
  <c r="T1985" i="1"/>
  <c r="T1984" i="1"/>
  <c r="T1983" i="1"/>
  <c r="T1982" i="1"/>
  <c r="T1981" i="1"/>
  <c r="T1980" i="1"/>
  <c r="T1979" i="1"/>
  <c r="T1978" i="1"/>
  <c r="T1977" i="1"/>
  <c r="T1976" i="1"/>
  <c r="T1975" i="1"/>
  <c r="T1974" i="1"/>
  <c r="T1973" i="1"/>
  <c r="T1972" i="1"/>
  <c r="T1971" i="1"/>
  <c r="T1970" i="1"/>
  <c r="T1969" i="1"/>
  <c r="T1968" i="1"/>
  <c r="T1967" i="1"/>
  <c r="T1966" i="1"/>
  <c r="T1965" i="1"/>
  <c r="T1964" i="1"/>
  <c r="T1963" i="1"/>
  <c r="T1962" i="1"/>
  <c r="T1961" i="1"/>
  <c r="T1960" i="1"/>
  <c r="T1959" i="1"/>
  <c r="T1958" i="1"/>
  <c r="T1957" i="1"/>
  <c r="T1956" i="1"/>
  <c r="T1955" i="1"/>
  <c r="T1954" i="1"/>
  <c r="T1953" i="1"/>
  <c r="T1952" i="1"/>
  <c r="T1951" i="1"/>
  <c r="T1950" i="1"/>
  <c r="T1949" i="1"/>
  <c r="T1948" i="1"/>
  <c r="T1947" i="1"/>
  <c r="T1946" i="1"/>
  <c r="T1945" i="1"/>
  <c r="T1944" i="1"/>
  <c r="T1943" i="1"/>
  <c r="T1942" i="1"/>
  <c r="T1941" i="1"/>
  <c r="T1940" i="1"/>
  <c r="T1939" i="1"/>
  <c r="T1938" i="1"/>
  <c r="T1937" i="1"/>
  <c r="T1936" i="1"/>
  <c r="T1935" i="1"/>
  <c r="T1934" i="1"/>
  <c r="T1933" i="1"/>
  <c r="T1932" i="1"/>
  <c r="T1931" i="1"/>
  <c r="T1930" i="1"/>
  <c r="T1929" i="1"/>
  <c r="T1928" i="1"/>
  <c r="T1927" i="1"/>
  <c r="T1926" i="1"/>
  <c r="T1925" i="1"/>
  <c r="T1924" i="1"/>
  <c r="T1923" i="1"/>
  <c r="T1922" i="1"/>
  <c r="T1921" i="1"/>
  <c r="T1920" i="1"/>
  <c r="T1919" i="1"/>
  <c r="T1918" i="1"/>
  <c r="T1917" i="1"/>
  <c r="T1916" i="1"/>
  <c r="T1915" i="1"/>
  <c r="T1914" i="1"/>
  <c r="T1913" i="1"/>
  <c r="T1912" i="1"/>
  <c r="T1911" i="1"/>
  <c r="T1910" i="1"/>
  <c r="T1909" i="1"/>
  <c r="T1908" i="1"/>
  <c r="T1907" i="1"/>
  <c r="T1906" i="1"/>
  <c r="T1905" i="1"/>
  <c r="T1904" i="1"/>
  <c r="T1903" i="1"/>
  <c r="T1902" i="1"/>
  <c r="T1901" i="1"/>
  <c r="T1900" i="1"/>
  <c r="T1899" i="1"/>
  <c r="T1898" i="1"/>
  <c r="T1897" i="1"/>
  <c r="T1896" i="1"/>
  <c r="T1895" i="1"/>
  <c r="T1894" i="1"/>
  <c r="T1893" i="1"/>
  <c r="T1892" i="1"/>
  <c r="T1891" i="1"/>
  <c r="T1890" i="1"/>
  <c r="T1889" i="1"/>
  <c r="T1888" i="1"/>
  <c r="T1887" i="1"/>
  <c r="T1886" i="1"/>
  <c r="T1885" i="1"/>
  <c r="T1884" i="1"/>
  <c r="T1883" i="1"/>
  <c r="T1882" i="1"/>
  <c r="T1881" i="1"/>
  <c r="T1880" i="1"/>
  <c r="T1879" i="1"/>
  <c r="T1878" i="1"/>
  <c r="T1877" i="1"/>
  <c r="T1876" i="1"/>
  <c r="T1875" i="1"/>
  <c r="T1874" i="1"/>
  <c r="T1873" i="1"/>
  <c r="T1872" i="1"/>
  <c r="T1871" i="1"/>
  <c r="T1870" i="1"/>
  <c r="T1869" i="1"/>
  <c r="T1868" i="1"/>
  <c r="T1867" i="1"/>
  <c r="T1866" i="1"/>
  <c r="T1865" i="1"/>
  <c r="T1864" i="1"/>
  <c r="T1863" i="1"/>
  <c r="T1862" i="1"/>
  <c r="T1861" i="1"/>
  <c r="T1860" i="1"/>
  <c r="T1859" i="1"/>
  <c r="T1858" i="1"/>
  <c r="T1857" i="1"/>
  <c r="T1856" i="1"/>
  <c r="T1855" i="1"/>
  <c r="T1854" i="1"/>
  <c r="T1853" i="1"/>
  <c r="T1852" i="1"/>
  <c r="T1851" i="1"/>
  <c r="T1850" i="1"/>
  <c r="T1849" i="1"/>
  <c r="T1848" i="1"/>
  <c r="T1847" i="1"/>
  <c r="T1846" i="1"/>
  <c r="T1845" i="1"/>
  <c r="T1844" i="1"/>
  <c r="T1843" i="1"/>
  <c r="T1842" i="1"/>
  <c r="T1841" i="1"/>
  <c r="T1840" i="1"/>
  <c r="T1839" i="1"/>
  <c r="T1838" i="1"/>
  <c r="T1837" i="1"/>
  <c r="T1836" i="1"/>
  <c r="T1835" i="1"/>
  <c r="T1834" i="1"/>
  <c r="T1833" i="1"/>
  <c r="T1832" i="1"/>
  <c r="T1831" i="1"/>
  <c r="T1830" i="1"/>
  <c r="T1829" i="1"/>
  <c r="T1828" i="1"/>
  <c r="T1827" i="1"/>
  <c r="T1826" i="1"/>
  <c r="T1825" i="1"/>
  <c r="T1824" i="1"/>
  <c r="T1823" i="1"/>
  <c r="T1822" i="1"/>
  <c r="T1821" i="1"/>
  <c r="T1820" i="1"/>
  <c r="T1819" i="1"/>
  <c r="T1818" i="1"/>
  <c r="T1817" i="1"/>
  <c r="T1816" i="1"/>
  <c r="T1815" i="1"/>
  <c r="T1814" i="1"/>
  <c r="T1813" i="1"/>
  <c r="T1812" i="1"/>
  <c r="T1811" i="1"/>
  <c r="T1810" i="1"/>
  <c r="T1809" i="1"/>
  <c r="T1808" i="1"/>
  <c r="T1807" i="1"/>
  <c r="T1806" i="1"/>
  <c r="T1805" i="1"/>
  <c r="T1804" i="1"/>
  <c r="T1803" i="1"/>
  <c r="T1802" i="1"/>
  <c r="T1801" i="1"/>
  <c r="T1800" i="1"/>
  <c r="T1799" i="1"/>
  <c r="T1798" i="1"/>
  <c r="T1797" i="1"/>
  <c r="T1796" i="1"/>
  <c r="T1795" i="1"/>
  <c r="T1794" i="1"/>
  <c r="T1793" i="1"/>
  <c r="T1792" i="1"/>
  <c r="T1791" i="1"/>
  <c r="T1790" i="1"/>
  <c r="T1789" i="1"/>
  <c r="T1788" i="1"/>
  <c r="T1787" i="1"/>
  <c r="T1786" i="1"/>
  <c r="T1785" i="1"/>
  <c r="T1784" i="1"/>
  <c r="T1783" i="1"/>
  <c r="T1782" i="1"/>
  <c r="T1781" i="1"/>
  <c r="T1780" i="1"/>
  <c r="T1779" i="1"/>
  <c r="T1778" i="1"/>
  <c r="T1777" i="1"/>
  <c r="T1776" i="1"/>
  <c r="T1775" i="1"/>
  <c r="T1774" i="1"/>
  <c r="T1773" i="1"/>
  <c r="T1772" i="1"/>
  <c r="T1771" i="1"/>
  <c r="T1770" i="1"/>
  <c r="T1769" i="1"/>
  <c r="T1768" i="1"/>
  <c r="T1767" i="1"/>
  <c r="T1766" i="1"/>
  <c r="T1765" i="1"/>
  <c r="T1764" i="1"/>
  <c r="T1763" i="1"/>
  <c r="T1762" i="1"/>
  <c r="T1761" i="1"/>
  <c r="T1760" i="1"/>
  <c r="T1759" i="1"/>
  <c r="T1758" i="1"/>
  <c r="T1757" i="1"/>
  <c r="T1756" i="1"/>
  <c r="T1755" i="1"/>
  <c r="T1754" i="1"/>
  <c r="T1753" i="1"/>
  <c r="T1752" i="1"/>
  <c r="T1751" i="1"/>
  <c r="T1750" i="1"/>
  <c r="T1749" i="1"/>
  <c r="T1748" i="1"/>
  <c r="T1747" i="1"/>
  <c r="T1746" i="1"/>
  <c r="T1745" i="1"/>
  <c r="T1744" i="1"/>
  <c r="T1743" i="1"/>
  <c r="T1742" i="1"/>
  <c r="T1741" i="1"/>
  <c r="T1740" i="1"/>
  <c r="T1739" i="1"/>
  <c r="T1738" i="1"/>
  <c r="T1737" i="1"/>
  <c r="T1736" i="1"/>
  <c r="T1735" i="1"/>
  <c r="T1734" i="1"/>
  <c r="T1733" i="1"/>
  <c r="T1732" i="1"/>
  <c r="T1731" i="1"/>
  <c r="T1730" i="1"/>
  <c r="T1729" i="1"/>
  <c r="T1728" i="1"/>
  <c r="T1727" i="1"/>
  <c r="T1726" i="1"/>
  <c r="T1725" i="1"/>
  <c r="T1724" i="1"/>
  <c r="T1723" i="1"/>
  <c r="T1722" i="1"/>
  <c r="T1721" i="1"/>
  <c r="T1720" i="1"/>
  <c r="T1719" i="1"/>
  <c r="T1718" i="1"/>
  <c r="T1717" i="1"/>
  <c r="T1716" i="1"/>
  <c r="T1715" i="1"/>
  <c r="T1714" i="1"/>
  <c r="T1713" i="1"/>
  <c r="T1712" i="1"/>
  <c r="T1711" i="1"/>
  <c r="T1710" i="1"/>
  <c r="T1709" i="1"/>
  <c r="T1708" i="1"/>
  <c r="T1707" i="1"/>
  <c r="T1706" i="1"/>
  <c r="T1705" i="1"/>
  <c r="T1704" i="1"/>
  <c r="T1703" i="1"/>
  <c r="T1702" i="1"/>
  <c r="T1701" i="1"/>
  <c r="T1700" i="1"/>
  <c r="T1699" i="1"/>
  <c r="T1698" i="1"/>
  <c r="T1697" i="1"/>
  <c r="T1696" i="1"/>
  <c r="T1695" i="1"/>
  <c r="T1694" i="1"/>
  <c r="T1693" i="1"/>
  <c r="T1692" i="1"/>
  <c r="T1691" i="1"/>
  <c r="T1690" i="1"/>
  <c r="T1689" i="1"/>
  <c r="T1688" i="1"/>
  <c r="T1687" i="1"/>
  <c r="T1686" i="1"/>
  <c r="T1685" i="1"/>
  <c r="T1684" i="1"/>
  <c r="T1683" i="1"/>
  <c r="T1682" i="1"/>
  <c r="T1681" i="1"/>
  <c r="T1680" i="1"/>
  <c r="T1679" i="1"/>
  <c r="T1678" i="1"/>
  <c r="T1677" i="1"/>
  <c r="T1676" i="1"/>
  <c r="T1675" i="1"/>
  <c r="T1674" i="1"/>
  <c r="T1673" i="1"/>
  <c r="T1672" i="1"/>
  <c r="T1671" i="1"/>
  <c r="T1670" i="1"/>
  <c r="T1669" i="1"/>
  <c r="T1668" i="1"/>
  <c r="T1667" i="1"/>
  <c r="T1666" i="1"/>
  <c r="T1665" i="1"/>
  <c r="T1664" i="1"/>
  <c r="T1663" i="1"/>
  <c r="T1662" i="1"/>
  <c r="T1661" i="1"/>
  <c r="T1660" i="1"/>
  <c r="T1659" i="1"/>
  <c r="T1658" i="1"/>
  <c r="T1657" i="1"/>
  <c r="T1656" i="1"/>
  <c r="T1655" i="1"/>
  <c r="T1654" i="1"/>
  <c r="T1653" i="1"/>
  <c r="T1652" i="1"/>
  <c r="T1651" i="1"/>
  <c r="T1650" i="1"/>
  <c r="T1649" i="1"/>
  <c r="T1648" i="1"/>
  <c r="T1647" i="1"/>
  <c r="T1646" i="1"/>
  <c r="T1645" i="1"/>
  <c r="T1644" i="1"/>
  <c r="T1643" i="1"/>
  <c r="T1642" i="1"/>
  <c r="T1641" i="1"/>
  <c r="T1640" i="1"/>
  <c r="T1639" i="1"/>
  <c r="T1638" i="1"/>
  <c r="T1637" i="1"/>
  <c r="T1636" i="1"/>
  <c r="T1635" i="1"/>
  <c r="T1634" i="1"/>
  <c r="T1633" i="1"/>
  <c r="T1632" i="1"/>
  <c r="T1631" i="1"/>
  <c r="T1630" i="1"/>
  <c r="T1629" i="1"/>
  <c r="T1628" i="1"/>
  <c r="T1627" i="1"/>
  <c r="T1626" i="1"/>
  <c r="T1625" i="1"/>
  <c r="T1624" i="1"/>
  <c r="T1623" i="1"/>
  <c r="T1622" i="1"/>
  <c r="T1621" i="1"/>
  <c r="T1620" i="1"/>
  <c r="T1619" i="1"/>
  <c r="T1618" i="1"/>
  <c r="T1617" i="1"/>
  <c r="T1616" i="1"/>
  <c r="T1615" i="1"/>
  <c r="T1614" i="1"/>
  <c r="T1613" i="1"/>
  <c r="T1612" i="1"/>
  <c r="T1611" i="1"/>
  <c r="T1610" i="1"/>
  <c r="T1609" i="1"/>
  <c r="T1608" i="1"/>
  <c r="T1607" i="1"/>
  <c r="T1606" i="1"/>
  <c r="T1605" i="1"/>
  <c r="T1604" i="1"/>
  <c r="T1603" i="1"/>
  <c r="T1602" i="1"/>
  <c r="T1601" i="1"/>
  <c r="T1600" i="1"/>
  <c r="T1599" i="1"/>
  <c r="T1598" i="1"/>
  <c r="T1597" i="1"/>
  <c r="T1596" i="1"/>
  <c r="T1595" i="1"/>
  <c r="T1594" i="1"/>
  <c r="T1593" i="1"/>
  <c r="T1592" i="1"/>
  <c r="T1591" i="1"/>
  <c r="T1590" i="1"/>
  <c r="T1589" i="1"/>
  <c r="T1588" i="1"/>
  <c r="T1587" i="1"/>
  <c r="T1586" i="1"/>
  <c r="T1585" i="1"/>
  <c r="T1584" i="1"/>
  <c r="T1583" i="1"/>
  <c r="T1582" i="1"/>
  <c r="T1581" i="1"/>
  <c r="T1580" i="1"/>
  <c r="T1579" i="1"/>
  <c r="T1578" i="1"/>
  <c r="T1577" i="1"/>
  <c r="T1576" i="1"/>
  <c r="T1575" i="1"/>
  <c r="T1574" i="1"/>
  <c r="T1573" i="1"/>
  <c r="T1572" i="1"/>
  <c r="T1571" i="1"/>
  <c r="T1570" i="1"/>
  <c r="T1569" i="1"/>
  <c r="T1568" i="1"/>
  <c r="T1567" i="1"/>
  <c r="T1566" i="1"/>
  <c r="T1565" i="1"/>
  <c r="T1564" i="1"/>
  <c r="T1563" i="1"/>
  <c r="T1562" i="1"/>
  <c r="T1561" i="1"/>
  <c r="T1560" i="1"/>
  <c r="T1559" i="1"/>
  <c r="T1558" i="1"/>
  <c r="T1557" i="1"/>
  <c r="T1556" i="1"/>
  <c r="T1555" i="1"/>
  <c r="T1554" i="1"/>
  <c r="T1553" i="1"/>
  <c r="T1552" i="1"/>
  <c r="T1551" i="1"/>
  <c r="T1550" i="1"/>
  <c r="T1549" i="1"/>
  <c r="T1548" i="1"/>
  <c r="T1547" i="1"/>
  <c r="T1546" i="1"/>
  <c r="T1545" i="1"/>
  <c r="T1544" i="1"/>
  <c r="T1543" i="1"/>
  <c r="T1542" i="1"/>
  <c r="T1541" i="1"/>
  <c r="T1540" i="1"/>
  <c r="T1539" i="1"/>
  <c r="T1538" i="1"/>
  <c r="T1537" i="1"/>
  <c r="T1536" i="1"/>
  <c r="T1535" i="1"/>
  <c r="T1534" i="1"/>
  <c r="T1533" i="1"/>
  <c r="T1532" i="1"/>
  <c r="T1531" i="1"/>
  <c r="T1530" i="1"/>
  <c r="T1529" i="1"/>
  <c r="T1528" i="1"/>
  <c r="T1527" i="1"/>
  <c r="T1526" i="1"/>
  <c r="T1525" i="1"/>
  <c r="T1524" i="1"/>
  <c r="T1523" i="1"/>
  <c r="T1522" i="1"/>
  <c r="T1521" i="1"/>
  <c r="T1520" i="1"/>
  <c r="T1519" i="1"/>
  <c r="T1518" i="1"/>
  <c r="T1517" i="1"/>
  <c r="T1516" i="1"/>
  <c r="T1515" i="1"/>
  <c r="T1514" i="1"/>
  <c r="T1513" i="1"/>
  <c r="T1512" i="1"/>
  <c r="T1511" i="1"/>
  <c r="T1510" i="1"/>
  <c r="T1509" i="1"/>
  <c r="T1508" i="1"/>
  <c r="T1507" i="1"/>
  <c r="T1506" i="1"/>
  <c r="T1505" i="1"/>
  <c r="T1504" i="1"/>
  <c r="T1503" i="1"/>
  <c r="T1502" i="1"/>
  <c r="T1501" i="1"/>
  <c r="T1500" i="1"/>
  <c r="T1499" i="1"/>
  <c r="T1498" i="1"/>
  <c r="T1497" i="1"/>
  <c r="T1496" i="1"/>
  <c r="T1495" i="1"/>
  <c r="T1494" i="1"/>
  <c r="T1493" i="1"/>
  <c r="T1492" i="1"/>
  <c r="T1491" i="1"/>
  <c r="T1490" i="1"/>
  <c r="T1489" i="1"/>
  <c r="T1488" i="1"/>
  <c r="T1487" i="1"/>
  <c r="T1486" i="1"/>
  <c r="T1485" i="1"/>
  <c r="T1484" i="1"/>
  <c r="T1483" i="1"/>
  <c r="T1482" i="1"/>
  <c r="T1481" i="1"/>
  <c r="T1480" i="1"/>
  <c r="T1479" i="1"/>
  <c r="T1478" i="1"/>
  <c r="T1477" i="1"/>
  <c r="T1476" i="1"/>
  <c r="T1475" i="1"/>
  <c r="T1474" i="1"/>
  <c r="T1473" i="1"/>
  <c r="T1472" i="1"/>
  <c r="T1471" i="1"/>
  <c r="T1470" i="1"/>
  <c r="T1469" i="1"/>
  <c r="T1468" i="1"/>
  <c r="T1467" i="1"/>
  <c r="T1466" i="1"/>
  <c r="T1465" i="1"/>
  <c r="T1464" i="1"/>
  <c r="T1463" i="1"/>
  <c r="T1462" i="1"/>
  <c r="T1461" i="1"/>
  <c r="T1460" i="1"/>
  <c r="T1459" i="1"/>
  <c r="T1458" i="1"/>
  <c r="T1457" i="1"/>
  <c r="T1456" i="1"/>
  <c r="T1455" i="1"/>
  <c r="T1454" i="1"/>
  <c r="T1453" i="1"/>
  <c r="T1452" i="1"/>
  <c r="T1451" i="1"/>
  <c r="T1450" i="1"/>
  <c r="T1449" i="1"/>
  <c r="T1448" i="1"/>
  <c r="T1447" i="1"/>
  <c r="T1446" i="1"/>
  <c r="T1445" i="1"/>
  <c r="T1444" i="1"/>
  <c r="T1443" i="1"/>
  <c r="T1442" i="1"/>
  <c r="T1441" i="1"/>
  <c r="T1440" i="1"/>
  <c r="T1439" i="1"/>
  <c r="T1438" i="1"/>
  <c r="T1437" i="1"/>
  <c r="T1436"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U1256" i="1"/>
  <c r="T1256" i="1"/>
  <c r="U1255" i="1"/>
  <c r="T1255" i="1"/>
  <c r="U1254" i="1"/>
  <c r="T1254" i="1"/>
  <c r="U1253" i="1"/>
  <c r="T1253" i="1"/>
  <c r="U1252" i="1"/>
  <c r="T1252" i="1"/>
  <c r="U1251" i="1"/>
  <c r="T1251" i="1"/>
  <c r="U1250" i="1"/>
  <c r="T1250" i="1"/>
  <c r="U1249" i="1"/>
  <c r="T1249" i="1"/>
  <c r="U1248" i="1"/>
  <c r="T1248" i="1"/>
  <c r="U1247" i="1"/>
  <c r="T1247" i="1"/>
  <c r="U1246" i="1"/>
  <c r="T1246" i="1"/>
  <c r="U1245" i="1"/>
  <c r="T1245" i="1"/>
  <c r="U1244" i="1"/>
  <c r="T1244" i="1"/>
  <c r="U1243" i="1"/>
  <c r="T1243" i="1"/>
  <c r="U1242" i="1"/>
  <c r="T1242" i="1"/>
  <c r="U1241" i="1"/>
  <c r="T1241" i="1"/>
  <c r="U1240" i="1"/>
  <c r="T1240" i="1"/>
  <c r="U1239" i="1"/>
  <c r="T1239" i="1"/>
  <c r="U1238" i="1"/>
  <c r="T1238" i="1"/>
  <c r="U1237" i="1"/>
  <c r="T1237" i="1"/>
  <c r="U1236" i="1"/>
  <c r="T1236" i="1"/>
  <c r="U1235" i="1"/>
  <c r="T1235" i="1"/>
  <c r="U1234" i="1"/>
  <c r="T1234" i="1"/>
  <c r="U1233" i="1"/>
  <c r="T1233" i="1"/>
  <c r="U1232" i="1"/>
  <c r="T1232" i="1"/>
  <c r="U1231" i="1"/>
  <c r="T1231" i="1"/>
  <c r="U1230" i="1"/>
  <c r="T1230" i="1"/>
  <c r="U1229" i="1"/>
  <c r="T1229" i="1"/>
  <c r="U1228" i="1"/>
  <c r="T1228" i="1"/>
  <c r="U1227" i="1"/>
  <c r="T1227" i="1"/>
  <c r="U1226" i="1"/>
  <c r="T1226" i="1"/>
  <c r="U1225" i="1"/>
  <c r="T1225" i="1"/>
  <c r="U1224" i="1"/>
  <c r="T1224" i="1"/>
  <c r="U1223" i="1"/>
  <c r="T1223" i="1"/>
  <c r="U1222" i="1"/>
  <c r="T1222" i="1"/>
  <c r="U1221" i="1"/>
  <c r="T1221" i="1"/>
  <c r="U1220" i="1"/>
  <c r="T1220" i="1"/>
  <c r="U1219" i="1"/>
  <c r="T1219" i="1"/>
  <c r="U1218" i="1"/>
  <c r="T1218" i="1"/>
  <c r="U1217" i="1"/>
  <c r="T1217" i="1"/>
  <c r="U1216" i="1"/>
  <c r="T1216" i="1"/>
  <c r="U1215" i="1"/>
  <c r="T1215" i="1"/>
  <c r="U1214" i="1"/>
  <c r="T1214" i="1"/>
  <c r="U1213" i="1"/>
  <c r="T1213" i="1"/>
  <c r="U1212" i="1"/>
  <c r="T1212" i="1"/>
  <c r="U1211" i="1"/>
  <c r="T1211" i="1"/>
  <c r="U1210" i="1"/>
  <c r="T1210" i="1"/>
  <c r="U1209" i="1"/>
  <c r="T1209" i="1"/>
  <c r="U1208" i="1"/>
  <c r="T1208" i="1"/>
  <c r="U1207" i="1"/>
  <c r="T1207" i="1"/>
  <c r="U1206" i="1"/>
  <c r="T1206" i="1"/>
  <c r="U1205" i="1"/>
  <c r="T1205" i="1"/>
  <c r="U1204" i="1"/>
  <c r="T1204" i="1"/>
  <c r="U1203" i="1"/>
  <c r="T1203" i="1"/>
  <c r="U1202" i="1"/>
  <c r="T1202" i="1"/>
  <c r="U1201" i="1"/>
  <c r="T1201" i="1"/>
  <c r="U1200" i="1"/>
  <c r="T1200" i="1"/>
  <c r="U1199" i="1"/>
  <c r="T1199" i="1"/>
  <c r="U1198" i="1"/>
  <c r="T1198" i="1"/>
  <c r="U1197" i="1"/>
  <c r="T1197" i="1"/>
  <c r="U1196" i="1"/>
  <c r="T1196" i="1"/>
  <c r="U1195" i="1"/>
  <c r="T1195" i="1"/>
  <c r="U1194" i="1"/>
  <c r="T1194" i="1"/>
  <c r="U1193" i="1"/>
  <c r="T1193" i="1"/>
  <c r="U1192" i="1"/>
  <c r="T1192" i="1"/>
  <c r="U1191" i="1"/>
  <c r="T1191" i="1"/>
  <c r="U1190" i="1"/>
  <c r="T1190" i="1"/>
  <c r="U1189" i="1"/>
  <c r="T1189" i="1"/>
  <c r="U1188" i="1"/>
  <c r="T1188" i="1"/>
  <c r="U1187" i="1"/>
  <c r="T1187" i="1"/>
  <c r="U1186" i="1"/>
  <c r="T1186" i="1"/>
  <c r="U1185" i="1"/>
  <c r="T1185" i="1"/>
  <c r="U1184" i="1"/>
  <c r="T1184" i="1"/>
  <c r="U1183" i="1"/>
  <c r="T1183" i="1"/>
  <c r="U1182" i="1"/>
  <c r="T1182" i="1"/>
  <c r="U1181" i="1"/>
  <c r="T1181" i="1"/>
  <c r="U1180" i="1"/>
  <c r="T1180" i="1"/>
  <c r="U1179" i="1"/>
  <c r="T1179" i="1"/>
  <c r="U1178" i="1"/>
  <c r="T1178" i="1"/>
  <c r="U1177" i="1"/>
  <c r="T1177" i="1"/>
  <c r="U1176" i="1"/>
  <c r="T1176" i="1"/>
  <c r="U1175" i="1"/>
  <c r="T1175" i="1"/>
  <c r="U1174" i="1"/>
  <c r="T1174" i="1"/>
  <c r="U1173" i="1"/>
  <c r="T1173" i="1"/>
  <c r="U1172" i="1"/>
  <c r="T1172" i="1"/>
  <c r="U1171" i="1"/>
  <c r="T1171" i="1"/>
  <c r="U1170" i="1"/>
  <c r="T1170" i="1"/>
  <c r="U1169" i="1"/>
  <c r="T1169" i="1"/>
  <c r="U1168" i="1"/>
  <c r="T1168" i="1"/>
  <c r="U1167" i="1"/>
  <c r="T1167" i="1"/>
  <c r="U1166" i="1"/>
  <c r="T1166" i="1"/>
  <c r="U1165" i="1"/>
  <c r="T1165" i="1"/>
  <c r="U1164" i="1"/>
  <c r="T1164" i="1"/>
  <c r="U1163" i="1"/>
  <c r="T1163" i="1"/>
  <c r="U1162" i="1"/>
  <c r="T1162" i="1"/>
  <c r="U1161" i="1"/>
  <c r="T1161" i="1"/>
  <c r="U1160" i="1"/>
  <c r="T1160" i="1"/>
  <c r="U1159" i="1"/>
  <c r="T1159" i="1"/>
  <c r="U1158" i="1"/>
  <c r="T1158" i="1"/>
  <c r="U1157" i="1"/>
  <c r="T1157" i="1"/>
  <c r="U1156" i="1"/>
  <c r="T1156" i="1"/>
  <c r="U1155" i="1"/>
  <c r="T1155" i="1"/>
  <c r="U1154" i="1"/>
  <c r="T1154" i="1"/>
  <c r="U1153" i="1"/>
  <c r="T1153" i="1"/>
  <c r="U1152" i="1"/>
  <c r="T1152" i="1"/>
  <c r="U1151" i="1"/>
  <c r="T1151" i="1"/>
  <c r="U1150" i="1"/>
  <c r="T1150" i="1"/>
  <c r="U1149" i="1"/>
  <c r="T1149" i="1"/>
  <c r="U1148" i="1"/>
  <c r="T1148" i="1"/>
  <c r="U1147" i="1"/>
  <c r="T1147" i="1"/>
  <c r="U1146" i="1"/>
  <c r="T1146" i="1"/>
  <c r="U1145" i="1"/>
  <c r="T1145" i="1"/>
  <c r="U1144" i="1"/>
  <c r="T1144" i="1"/>
  <c r="U1143" i="1"/>
  <c r="T1143" i="1"/>
  <c r="U1142" i="1"/>
  <c r="T1142" i="1"/>
  <c r="U1141" i="1"/>
  <c r="T1141" i="1"/>
  <c r="U1140" i="1"/>
  <c r="T1140" i="1"/>
  <c r="U1139" i="1"/>
  <c r="T1139" i="1"/>
  <c r="U1138" i="1"/>
  <c r="T1138" i="1"/>
  <c r="U1137" i="1"/>
  <c r="T1137" i="1"/>
  <c r="U1136" i="1"/>
  <c r="T1136" i="1"/>
  <c r="U1135" i="1"/>
  <c r="T1135" i="1"/>
  <c r="U1134" i="1"/>
  <c r="T1134" i="1"/>
  <c r="U1133" i="1"/>
  <c r="T1133" i="1"/>
  <c r="U1132" i="1"/>
  <c r="T1132" i="1"/>
  <c r="U1131" i="1"/>
  <c r="T1131" i="1"/>
  <c r="U1130" i="1"/>
  <c r="T1130" i="1"/>
  <c r="U1129" i="1"/>
  <c r="T1129" i="1"/>
  <c r="U1128" i="1"/>
  <c r="T1128" i="1"/>
  <c r="U1127" i="1"/>
  <c r="T1127" i="1"/>
  <c r="U1126" i="1"/>
  <c r="T1126" i="1"/>
  <c r="U1125" i="1"/>
  <c r="T1125" i="1"/>
  <c r="U1124" i="1"/>
  <c r="T1124" i="1"/>
  <c r="U1123" i="1"/>
  <c r="T1123" i="1"/>
  <c r="U1122" i="1"/>
  <c r="T1122" i="1"/>
  <c r="U1121" i="1"/>
  <c r="T1121" i="1"/>
  <c r="U1120" i="1"/>
  <c r="T1120" i="1"/>
  <c r="U1119" i="1"/>
  <c r="T1119" i="1"/>
  <c r="U1118" i="1"/>
  <c r="T1118" i="1"/>
  <c r="U1117" i="1"/>
  <c r="T1117" i="1"/>
  <c r="U1116" i="1"/>
  <c r="T1116" i="1"/>
  <c r="U1115" i="1"/>
  <c r="T1115" i="1"/>
  <c r="U1114" i="1"/>
  <c r="T1114" i="1"/>
  <c r="U1113" i="1"/>
  <c r="T1113" i="1"/>
  <c r="U1112" i="1"/>
  <c r="T1112" i="1"/>
  <c r="U1111" i="1"/>
  <c r="T1111" i="1"/>
  <c r="U1110" i="1"/>
  <c r="T1110" i="1"/>
  <c r="U1109" i="1"/>
  <c r="T1109" i="1"/>
  <c r="U1108" i="1"/>
  <c r="T1108" i="1"/>
  <c r="U1107" i="1"/>
  <c r="T1107" i="1"/>
  <c r="U1106" i="1"/>
  <c r="T1106" i="1"/>
  <c r="U1105" i="1"/>
  <c r="T1105" i="1"/>
  <c r="U1104" i="1"/>
  <c r="T1104" i="1"/>
  <c r="U1103" i="1"/>
  <c r="T1103" i="1"/>
  <c r="U1102" i="1"/>
  <c r="T1102" i="1"/>
  <c r="U1101" i="1"/>
  <c r="T1101" i="1"/>
  <c r="U1100" i="1"/>
  <c r="T1100" i="1"/>
  <c r="U1099" i="1"/>
  <c r="T1099" i="1"/>
  <c r="U1098" i="1"/>
  <c r="T1098" i="1"/>
  <c r="U1097" i="1"/>
  <c r="T1097" i="1"/>
  <c r="U1096" i="1"/>
  <c r="T1096" i="1"/>
  <c r="U1095" i="1"/>
  <c r="T1095" i="1"/>
  <c r="U1094" i="1"/>
  <c r="T1094" i="1"/>
  <c r="U1093" i="1"/>
  <c r="T1093" i="1"/>
  <c r="U1092" i="1"/>
  <c r="T1092" i="1"/>
  <c r="U1091" i="1"/>
  <c r="T1091" i="1"/>
  <c r="U1090" i="1"/>
  <c r="T1090" i="1"/>
  <c r="U1089" i="1"/>
  <c r="T1089" i="1"/>
  <c r="U1088" i="1"/>
  <c r="T1088" i="1"/>
  <c r="U1087" i="1"/>
  <c r="T1087" i="1"/>
  <c r="U1086" i="1"/>
  <c r="T1086" i="1"/>
  <c r="U1085" i="1"/>
  <c r="T1085" i="1"/>
  <c r="U1084" i="1"/>
  <c r="T1084" i="1"/>
  <c r="U1083" i="1"/>
  <c r="T1083" i="1"/>
  <c r="U1082" i="1"/>
  <c r="T1082" i="1"/>
  <c r="U1081" i="1"/>
  <c r="T1081" i="1"/>
  <c r="U1080" i="1"/>
  <c r="T1080" i="1"/>
  <c r="U1079" i="1"/>
  <c r="T1079" i="1"/>
  <c r="U1078" i="1"/>
  <c r="T1078" i="1"/>
  <c r="U1077" i="1"/>
  <c r="T1077" i="1"/>
  <c r="U1076" i="1"/>
  <c r="T1076" i="1"/>
  <c r="U1075" i="1"/>
  <c r="T1075" i="1"/>
  <c r="U1074" i="1"/>
  <c r="T1074" i="1"/>
  <c r="U1073" i="1"/>
  <c r="T1073" i="1"/>
  <c r="U1072" i="1"/>
  <c r="T1072" i="1"/>
  <c r="U1071" i="1"/>
  <c r="T1071" i="1"/>
  <c r="U1070" i="1"/>
  <c r="T1070" i="1"/>
  <c r="U1069" i="1"/>
  <c r="T1069" i="1"/>
  <c r="U1068" i="1"/>
  <c r="T1068" i="1"/>
  <c r="U1067" i="1"/>
  <c r="T1067" i="1"/>
  <c r="U1066" i="1"/>
  <c r="T1066" i="1"/>
  <c r="U1065" i="1"/>
  <c r="T1065" i="1"/>
  <c r="U1064" i="1"/>
  <c r="T1064" i="1"/>
  <c r="U1063" i="1"/>
  <c r="T1063" i="1"/>
  <c r="U1062" i="1"/>
  <c r="T1062" i="1"/>
  <c r="U1061" i="1"/>
  <c r="T1061" i="1"/>
  <c r="U1060" i="1"/>
  <c r="T1060" i="1"/>
  <c r="U1059" i="1"/>
  <c r="T1059" i="1"/>
  <c r="U1058" i="1"/>
  <c r="T1058" i="1"/>
  <c r="U1057" i="1"/>
  <c r="T1057" i="1"/>
  <c r="U1056" i="1"/>
  <c r="T1056" i="1"/>
  <c r="U1055" i="1"/>
  <c r="T1055" i="1"/>
  <c r="U1054" i="1"/>
  <c r="T1054" i="1"/>
  <c r="U1053" i="1"/>
  <c r="T1053" i="1"/>
  <c r="U1052" i="1"/>
  <c r="T1052" i="1"/>
  <c r="U1051" i="1"/>
  <c r="T1051" i="1"/>
  <c r="U1050" i="1"/>
  <c r="T1050" i="1"/>
  <c r="U1049" i="1"/>
  <c r="T1049" i="1"/>
  <c r="U1048" i="1"/>
  <c r="T1048" i="1"/>
  <c r="U1047" i="1"/>
  <c r="T1047" i="1"/>
  <c r="U1046" i="1"/>
  <c r="T1046" i="1"/>
  <c r="U1045" i="1"/>
  <c r="T1045" i="1"/>
  <c r="U1044" i="1"/>
  <c r="T1044" i="1"/>
  <c r="U1043" i="1"/>
  <c r="T1043" i="1"/>
  <c r="U1042" i="1"/>
  <c r="T1042" i="1"/>
  <c r="U1041" i="1"/>
  <c r="T1041" i="1"/>
  <c r="U1040" i="1"/>
  <c r="T1040" i="1"/>
  <c r="U1039" i="1"/>
  <c r="T1039" i="1"/>
  <c r="U1038" i="1"/>
  <c r="T1038" i="1"/>
  <c r="U1037" i="1"/>
  <c r="T1037" i="1"/>
  <c r="U1036" i="1"/>
  <c r="T1036" i="1"/>
  <c r="U1035" i="1"/>
  <c r="T1035" i="1"/>
  <c r="U1034" i="1"/>
  <c r="T1034" i="1"/>
  <c r="U1033" i="1"/>
  <c r="T1033" i="1"/>
  <c r="U1032" i="1"/>
  <c r="T1032" i="1"/>
  <c r="U1031" i="1"/>
  <c r="T1031" i="1"/>
  <c r="U1030" i="1"/>
  <c r="T1030" i="1"/>
  <c r="U1029" i="1"/>
  <c r="T1029" i="1"/>
  <c r="U1028" i="1"/>
  <c r="T1028" i="1"/>
  <c r="U1027" i="1"/>
  <c r="T1027" i="1"/>
  <c r="U1026" i="1"/>
  <c r="T1026" i="1"/>
  <c r="U1025" i="1"/>
  <c r="T1025" i="1"/>
  <c r="U1024" i="1"/>
  <c r="T1024" i="1"/>
  <c r="U1023" i="1"/>
  <c r="T1023" i="1"/>
  <c r="U1022" i="1"/>
  <c r="T1022" i="1"/>
  <c r="U1021" i="1"/>
  <c r="T1021" i="1"/>
  <c r="U1020" i="1"/>
  <c r="T1020" i="1"/>
  <c r="U1019" i="1"/>
  <c r="T1019" i="1"/>
  <c r="U1018" i="1"/>
  <c r="T1018" i="1"/>
  <c r="U1017" i="1"/>
  <c r="T1017" i="1"/>
  <c r="U1016" i="1"/>
  <c r="T1016" i="1"/>
  <c r="U1015" i="1"/>
  <c r="T1015" i="1"/>
  <c r="U1014" i="1"/>
  <c r="T1014" i="1"/>
  <c r="U1013" i="1"/>
  <c r="T1013" i="1"/>
  <c r="U1012" i="1"/>
  <c r="T1012" i="1"/>
  <c r="U1011" i="1"/>
  <c r="T1011" i="1"/>
  <c r="U1010" i="1"/>
  <c r="T1010" i="1"/>
  <c r="U1009" i="1"/>
  <c r="T1009" i="1"/>
  <c r="U1008" i="1"/>
  <c r="T1008" i="1"/>
  <c r="U1007" i="1"/>
  <c r="T1007" i="1"/>
  <c r="U1006" i="1"/>
  <c r="T1006" i="1"/>
  <c r="U1005" i="1"/>
  <c r="T1005" i="1"/>
  <c r="U1004" i="1"/>
  <c r="T1004" i="1"/>
  <c r="U1003" i="1"/>
  <c r="T1003" i="1"/>
  <c r="U1002" i="1"/>
  <c r="T1002" i="1"/>
  <c r="U1001" i="1"/>
  <c r="T1001" i="1"/>
  <c r="U1000" i="1"/>
  <c r="T1000" i="1"/>
  <c r="U999" i="1"/>
  <c r="T999" i="1"/>
  <c r="U998" i="1"/>
  <c r="T998" i="1"/>
  <c r="U997" i="1"/>
  <c r="T997" i="1"/>
  <c r="U996" i="1"/>
  <c r="T996" i="1"/>
  <c r="U995" i="1"/>
  <c r="T995" i="1"/>
  <c r="U994" i="1"/>
  <c r="T994" i="1"/>
  <c r="U993" i="1"/>
  <c r="T993" i="1"/>
  <c r="U992" i="1"/>
  <c r="T992" i="1"/>
  <c r="U991" i="1"/>
  <c r="T991" i="1"/>
  <c r="U990" i="1"/>
  <c r="T990" i="1"/>
  <c r="U989" i="1"/>
  <c r="T989" i="1"/>
  <c r="U988" i="1"/>
  <c r="T988" i="1"/>
  <c r="U987" i="1"/>
  <c r="T987" i="1"/>
  <c r="U986" i="1"/>
  <c r="T986" i="1"/>
  <c r="U985" i="1"/>
  <c r="T985" i="1"/>
  <c r="U984" i="1"/>
  <c r="T984" i="1"/>
  <c r="U983" i="1"/>
  <c r="T983" i="1"/>
  <c r="U982" i="1"/>
  <c r="T982" i="1"/>
  <c r="U981" i="1"/>
  <c r="T981" i="1"/>
  <c r="U980" i="1"/>
  <c r="T980" i="1"/>
  <c r="U979" i="1"/>
  <c r="T979" i="1"/>
  <c r="U978" i="1"/>
  <c r="T978" i="1"/>
  <c r="U977" i="1"/>
  <c r="T977" i="1"/>
  <c r="U976" i="1"/>
  <c r="T976" i="1"/>
  <c r="U975" i="1"/>
  <c r="T975" i="1"/>
  <c r="U974" i="1"/>
  <c r="T974" i="1"/>
  <c r="U973" i="1"/>
  <c r="T973" i="1"/>
  <c r="U972" i="1"/>
  <c r="T972" i="1"/>
  <c r="U971" i="1"/>
  <c r="T971" i="1"/>
  <c r="U970" i="1"/>
  <c r="T970" i="1"/>
  <c r="U969" i="1"/>
  <c r="T969" i="1"/>
  <c r="U968" i="1"/>
  <c r="T968" i="1"/>
  <c r="U967" i="1"/>
  <c r="T967" i="1"/>
  <c r="U966" i="1"/>
  <c r="T966" i="1"/>
  <c r="U965" i="1"/>
  <c r="T965" i="1"/>
  <c r="U964" i="1"/>
  <c r="T964" i="1"/>
  <c r="U963" i="1"/>
  <c r="T963" i="1"/>
  <c r="U962" i="1"/>
  <c r="T962" i="1"/>
  <c r="U961" i="1"/>
  <c r="T961" i="1"/>
  <c r="U960" i="1"/>
  <c r="T960" i="1"/>
  <c r="U959" i="1"/>
  <c r="T959" i="1"/>
  <c r="U958" i="1"/>
  <c r="T958" i="1"/>
  <c r="U957" i="1"/>
  <c r="T957" i="1"/>
  <c r="U956" i="1"/>
  <c r="T956" i="1"/>
  <c r="U955" i="1"/>
  <c r="T955" i="1"/>
  <c r="U954" i="1"/>
  <c r="T954" i="1"/>
  <c r="U953" i="1"/>
  <c r="T953" i="1"/>
  <c r="U952" i="1"/>
  <c r="T952" i="1"/>
  <c r="U951" i="1"/>
  <c r="T951" i="1"/>
  <c r="U950" i="1"/>
  <c r="T950" i="1"/>
  <c r="U949" i="1"/>
  <c r="T949" i="1"/>
  <c r="U948" i="1"/>
  <c r="T948" i="1"/>
  <c r="U947" i="1"/>
  <c r="T947" i="1"/>
  <c r="U946" i="1"/>
  <c r="T946" i="1"/>
  <c r="U945" i="1"/>
  <c r="T945" i="1"/>
  <c r="U944" i="1"/>
  <c r="T944" i="1"/>
  <c r="U943" i="1"/>
  <c r="T943" i="1"/>
  <c r="U942" i="1"/>
  <c r="T942" i="1"/>
  <c r="U941" i="1"/>
  <c r="T941" i="1"/>
  <c r="U940" i="1"/>
  <c r="T940" i="1"/>
  <c r="U939" i="1"/>
  <c r="T939" i="1"/>
  <c r="U938" i="1"/>
  <c r="T938" i="1"/>
  <c r="U937" i="1"/>
  <c r="T937" i="1"/>
  <c r="U936" i="1"/>
  <c r="T936" i="1"/>
  <c r="U935" i="1"/>
  <c r="T935" i="1"/>
  <c r="U934" i="1"/>
  <c r="T934" i="1"/>
  <c r="U933" i="1"/>
  <c r="T933" i="1"/>
  <c r="U932" i="1"/>
  <c r="T932" i="1"/>
  <c r="U931" i="1"/>
  <c r="T931" i="1"/>
  <c r="U930" i="1"/>
  <c r="T930" i="1"/>
  <c r="U929" i="1"/>
  <c r="T929" i="1"/>
  <c r="U928" i="1"/>
  <c r="T928" i="1"/>
  <c r="U927" i="1"/>
  <c r="T927" i="1"/>
  <c r="U926" i="1"/>
  <c r="T926" i="1"/>
  <c r="U925" i="1"/>
  <c r="T925" i="1"/>
  <c r="U924" i="1"/>
  <c r="T924" i="1"/>
  <c r="U923" i="1"/>
  <c r="T923" i="1"/>
  <c r="U922" i="1"/>
  <c r="T922" i="1"/>
  <c r="U921" i="1"/>
  <c r="T921" i="1"/>
  <c r="U920" i="1"/>
  <c r="T920" i="1"/>
  <c r="U919" i="1"/>
  <c r="T919" i="1"/>
  <c r="U918" i="1"/>
  <c r="T918" i="1"/>
  <c r="U917" i="1"/>
  <c r="T917" i="1"/>
  <c r="U916" i="1"/>
  <c r="T916" i="1"/>
  <c r="U915" i="1"/>
  <c r="T915" i="1"/>
  <c r="U914" i="1"/>
  <c r="T914" i="1"/>
  <c r="U913" i="1"/>
  <c r="T913" i="1"/>
  <c r="U912" i="1"/>
  <c r="T912" i="1"/>
  <c r="U911" i="1"/>
  <c r="T911" i="1"/>
  <c r="U910" i="1"/>
  <c r="T910" i="1"/>
  <c r="U909" i="1"/>
  <c r="T909" i="1"/>
  <c r="U908" i="1"/>
  <c r="T908" i="1"/>
  <c r="U907" i="1"/>
  <c r="T907" i="1"/>
  <c r="U906" i="1"/>
  <c r="T906" i="1"/>
  <c r="U905" i="1"/>
  <c r="T905" i="1"/>
  <c r="U904" i="1"/>
  <c r="T904" i="1"/>
  <c r="U903" i="1"/>
  <c r="T903" i="1"/>
  <c r="U902" i="1"/>
  <c r="T902" i="1"/>
  <c r="U901" i="1"/>
  <c r="T901" i="1"/>
  <c r="U900" i="1"/>
  <c r="T900" i="1"/>
  <c r="U899" i="1"/>
  <c r="T899" i="1"/>
  <c r="U898" i="1"/>
  <c r="T898" i="1"/>
  <c r="U897" i="1"/>
  <c r="T897" i="1"/>
  <c r="U896" i="1"/>
  <c r="T896" i="1"/>
  <c r="U895" i="1"/>
  <c r="T895" i="1"/>
  <c r="U894" i="1"/>
  <c r="T894" i="1"/>
  <c r="U893" i="1"/>
  <c r="T893" i="1"/>
  <c r="U892" i="1"/>
  <c r="T892" i="1"/>
  <c r="U891" i="1"/>
  <c r="T891" i="1"/>
  <c r="U890" i="1"/>
  <c r="T890" i="1"/>
  <c r="U889" i="1"/>
  <c r="T889" i="1"/>
  <c r="U888" i="1"/>
  <c r="T888" i="1"/>
  <c r="U887" i="1"/>
  <c r="T887" i="1"/>
  <c r="U886" i="1"/>
  <c r="T886" i="1"/>
  <c r="U885" i="1"/>
  <c r="T885" i="1"/>
  <c r="U884" i="1"/>
  <c r="T884" i="1"/>
  <c r="U883" i="1"/>
  <c r="T883" i="1"/>
  <c r="U882" i="1"/>
  <c r="T882" i="1"/>
  <c r="U881" i="1"/>
  <c r="T881" i="1"/>
  <c r="U880" i="1"/>
  <c r="T880" i="1"/>
  <c r="U879" i="1"/>
  <c r="T879" i="1"/>
  <c r="U878" i="1"/>
  <c r="T878" i="1"/>
  <c r="U877" i="1"/>
  <c r="T877" i="1"/>
  <c r="U876" i="1"/>
  <c r="T876" i="1"/>
  <c r="U875" i="1"/>
  <c r="T875" i="1"/>
  <c r="U874" i="1"/>
  <c r="T874" i="1"/>
  <c r="U873" i="1"/>
  <c r="T873" i="1"/>
  <c r="U872" i="1"/>
  <c r="T872" i="1"/>
  <c r="U871" i="1"/>
  <c r="T871" i="1"/>
  <c r="U870" i="1"/>
  <c r="T870" i="1"/>
  <c r="U869" i="1"/>
  <c r="T869" i="1"/>
  <c r="U868" i="1"/>
  <c r="T868" i="1"/>
  <c r="U867" i="1"/>
  <c r="T867" i="1"/>
  <c r="U866" i="1"/>
  <c r="T866" i="1"/>
  <c r="U865" i="1"/>
  <c r="T865" i="1"/>
  <c r="U864" i="1"/>
  <c r="T864" i="1"/>
  <c r="U863" i="1"/>
  <c r="T863" i="1"/>
  <c r="U862" i="1"/>
  <c r="T862" i="1"/>
  <c r="U861" i="1"/>
  <c r="T861" i="1"/>
  <c r="U860" i="1"/>
  <c r="T860" i="1"/>
  <c r="U859" i="1"/>
  <c r="T859" i="1"/>
  <c r="U858" i="1"/>
  <c r="T858" i="1"/>
  <c r="U857" i="1"/>
  <c r="T857" i="1"/>
  <c r="U856" i="1"/>
  <c r="T856" i="1"/>
  <c r="U855" i="1"/>
  <c r="T855" i="1"/>
  <c r="U854" i="1"/>
  <c r="T854" i="1"/>
  <c r="U853" i="1"/>
  <c r="T853" i="1"/>
  <c r="U852" i="1"/>
  <c r="T852" i="1"/>
  <c r="U851" i="1"/>
  <c r="T851" i="1"/>
  <c r="U850" i="1"/>
  <c r="T850" i="1"/>
  <c r="U849" i="1"/>
  <c r="T849" i="1"/>
  <c r="U848" i="1"/>
  <c r="T848" i="1"/>
  <c r="U847" i="1"/>
  <c r="T847" i="1"/>
  <c r="U846" i="1"/>
  <c r="T846" i="1"/>
  <c r="U845" i="1"/>
  <c r="T845" i="1"/>
  <c r="U844" i="1"/>
  <c r="T844" i="1"/>
  <c r="U843" i="1"/>
  <c r="T843" i="1"/>
  <c r="U842" i="1"/>
  <c r="T842" i="1"/>
  <c r="U841" i="1"/>
  <c r="T841" i="1"/>
  <c r="U840" i="1"/>
  <c r="T840" i="1"/>
  <c r="U839" i="1"/>
  <c r="T839" i="1"/>
  <c r="U838" i="1"/>
  <c r="T838" i="1"/>
  <c r="U837" i="1"/>
  <c r="T837" i="1"/>
  <c r="U836" i="1"/>
  <c r="T836" i="1"/>
  <c r="U835" i="1"/>
  <c r="T835" i="1"/>
  <c r="U834" i="1"/>
  <c r="T834" i="1"/>
  <c r="U833" i="1"/>
  <c r="T833" i="1"/>
  <c r="U832" i="1"/>
  <c r="T832" i="1"/>
  <c r="U831" i="1"/>
  <c r="T831" i="1"/>
  <c r="U830" i="1"/>
  <c r="T830" i="1"/>
  <c r="U829" i="1"/>
  <c r="T829" i="1"/>
  <c r="U828" i="1"/>
  <c r="T828" i="1"/>
  <c r="U827" i="1"/>
  <c r="T827" i="1"/>
  <c r="U826" i="1"/>
  <c r="T826" i="1"/>
  <c r="U825" i="1"/>
  <c r="T825" i="1"/>
  <c r="U824" i="1"/>
  <c r="T824" i="1"/>
  <c r="U823" i="1"/>
  <c r="T823" i="1"/>
  <c r="U822" i="1"/>
  <c r="T822" i="1"/>
  <c r="U821" i="1"/>
  <c r="T821" i="1"/>
  <c r="U820" i="1"/>
  <c r="T820" i="1"/>
  <c r="U819" i="1"/>
  <c r="T819" i="1"/>
  <c r="U818" i="1"/>
  <c r="T818" i="1"/>
  <c r="U817" i="1"/>
  <c r="T817" i="1"/>
  <c r="U816" i="1"/>
  <c r="T816" i="1"/>
  <c r="U815" i="1"/>
  <c r="T815" i="1"/>
  <c r="U814" i="1"/>
  <c r="T814" i="1"/>
  <c r="U813" i="1"/>
  <c r="T813" i="1"/>
  <c r="U812" i="1"/>
  <c r="T812" i="1"/>
  <c r="U811" i="1"/>
  <c r="T811" i="1"/>
  <c r="U810" i="1"/>
  <c r="T810" i="1"/>
  <c r="U809" i="1"/>
  <c r="T809" i="1"/>
  <c r="U808" i="1"/>
  <c r="T808" i="1"/>
  <c r="U807" i="1"/>
  <c r="T807" i="1"/>
  <c r="U806" i="1"/>
  <c r="T806" i="1"/>
  <c r="U805" i="1"/>
  <c r="T805" i="1"/>
  <c r="U804" i="1"/>
  <c r="T804" i="1"/>
  <c r="U803" i="1"/>
  <c r="T803" i="1"/>
  <c r="U802" i="1"/>
  <c r="T802" i="1"/>
  <c r="U801" i="1"/>
  <c r="T801" i="1"/>
  <c r="U800" i="1"/>
  <c r="T800" i="1"/>
  <c r="U799" i="1"/>
  <c r="T799" i="1"/>
  <c r="U798" i="1"/>
  <c r="T798" i="1"/>
  <c r="U797" i="1"/>
  <c r="T797" i="1"/>
  <c r="U796" i="1"/>
  <c r="T796" i="1"/>
  <c r="U795" i="1"/>
  <c r="T795" i="1"/>
  <c r="U794" i="1"/>
  <c r="T794" i="1"/>
  <c r="U793" i="1"/>
  <c r="T793" i="1"/>
  <c r="U792" i="1"/>
  <c r="T792" i="1"/>
  <c r="U791" i="1"/>
  <c r="T791" i="1"/>
  <c r="U790" i="1"/>
  <c r="T790" i="1"/>
  <c r="U789" i="1"/>
  <c r="T789" i="1"/>
  <c r="U788" i="1"/>
  <c r="T788" i="1"/>
  <c r="U787" i="1"/>
  <c r="T787" i="1"/>
  <c r="U786" i="1"/>
  <c r="T786" i="1"/>
  <c r="U785" i="1"/>
  <c r="T785" i="1"/>
  <c r="U784" i="1"/>
  <c r="T784" i="1"/>
  <c r="U783" i="1"/>
  <c r="T783" i="1"/>
  <c r="U782" i="1"/>
  <c r="T782" i="1"/>
  <c r="U781" i="1"/>
  <c r="T781" i="1"/>
  <c r="U780" i="1"/>
  <c r="T780" i="1"/>
  <c r="U779" i="1"/>
  <c r="T779" i="1"/>
  <c r="U778" i="1"/>
  <c r="T778" i="1"/>
  <c r="U777" i="1"/>
  <c r="T777" i="1"/>
  <c r="U776" i="1"/>
  <c r="T776" i="1"/>
  <c r="U775" i="1"/>
  <c r="T775" i="1"/>
  <c r="U774" i="1"/>
  <c r="T774" i="1"/>
  <c r="U773" i="1"/>
  <c r="T773" i="1"/>
  <c r="U772" i="1"/>
  <c r="T772" i="1"/>
  <c r="U771" i="1"/>
  <c r="T771" i="1"/>
  <c r="U770" i="1"/>
  <c r="T770" i="1"/>
  <c r="U769" i="1"/>
  <c r="T769" i="1"/>
  <c r="U768" i="1"/>
  <c r="T768" i="1"/>
  <c r="U767" i="1"/>
  <c r="T767" i="1"/>
  <c r="U766" i="1"/>
  <c r="T766" i="1"/>
  <c r="U765" i="1"/>
  <c r="T765" i="1"/>
  <c r="U764" i="1"/>
  <c r="T764" i="1"/>
  <c r="U763" i="1"/>
  <c r="T763" i="1"/>
  <c r="U762" i="1"/>
  <c r="T762" i="1"/>
  <c r="U761" i="1"/>
  <c r="T761" i="1"/>
  <c r="U760" i="1"/>
  <c r="T760" i="1"/>
  <c r="U759" i="1"/>
  <c r="T759" i="1"/>
  <c r="U758" i="1"/>
  <c r="T758" i="1"/>
  <c r="U757" i="1"/>
  <c r="T757" i="1"/>
  <c r="U756" i="1"/>
  <c r="T756" i="1"/>
  <c r="U755" i="1"/>
  <c r="T755" i="1"/>
  <c r="U754" i="1"/>
  <c r="T754" i="1"/>
  <c r="U753" i="1"/>
  <c r="T753" i="1"/>
  <c r="U752" i="1"/>
  <c r="T752" i="1"/>
  <c r="U751" i="1"/>
  <c r="T751" i="1"/>
  <c r="U750" i="1"/>
  <c r="T750" i="1"/>
  <c r="U749" i="1"/>
  <c r="T749" i="1"/>
  <c r="U748" i="1"/>
  <c r="T748" i="1"/>
  <c r="U747" i="1"/>
  <c r="T747" i="1"/>
  <c r="U746" i="1"/>
  <c r="T746" i="1"/>
  <c r="U745" i="1"/>
  <c r="T745" i="1"/>
  <c r="U744" i="1"/>
  <c r="T744" i="1"/>
  <c r="U743" i="1"/>
  <c r="T743" i="1"/>
  <c r="U742" i="1"/>
  <c r="T742" i="1"/>
  <c r="U741" i="1"/>
  <c r="T741" i="1"/>
  <c r="U740" i="1"/>
  <c r="T740" i="1"/>
  <c r="U739" i="1"/>
  <c r="T739" i="1"/>
  <c r="U738" i="1"/>
  <c r="T738" i="1"/>
  <c r="U737" i="1"/>
  <c r="T737" i="1"/>
  <c r="U736" i="1"/>
  <c r="T736" i="1"/>
  <c r="U735" i="1"/>
  <c r="T735" i="1"/>
  <c r="U734" i="1"/>
  <c r="T734" i="1"/>
  <c r="U733" i="1"/>
  <c r="T733" i="1"/>
  <c r="U732" i="1"/>
  <c r="T732" i="1"/>
  <c r="U731" i="1"/>
  <c r="T731" i="1"/>
  <c r="U730" i="1"/>
  <c r="T730" i="1"/>
  <c r="U729" i="1"/>
  <c r="T729" i="1"/>
  <c r="U728" i="1"/>
  <c r="T728" i="1"/>
  <c r="U727" i="1"/>
  <c r="T727" i="1"/>
  <c r="U726" i="1"/>
  <c r="T726" i="1"/>
  <c r="U725" i="1"/>
  <c r="T725" i="1"/>
  <c r="U724" i="1"/>
  <c r="T724" i="1"/>
  <c r="U723" i="1"/>
  <c r="T723" i="1"/>
  <c r="U722" i="1"/>
  <c r="T722" i="1"/>
  <c r="U721" i="1"/>
  <c r="T721" i="1"/>
  <c r="U720" i="1"/>
  <c r="T720" i="1"/>
  <c r="U719" i="1"/>
  <c r="T719" i="1"/>
  <c r="U718" i="1"/>
  <c r="T718" i="1"/>
  <c r="U717" i="1"/>
  <c r="T717" i="1"/>
  <c r="U716" i="1"/>
  <c r="T716" i="1"/>
  <c r="U715" i="1"/>
  <c r="T715" i="1"/>
  <c r="U714" i="1"/>
  <c r="T714" i="1"/>
  <c r="U713" i="1"/>
  <c r="T713" i="1"/>
  <c r="U712" i="1"/>
  <c r="T712" i="1"/>
  <c r="U711" i="1"/>
  <c r="T711" i="1"/>
  <c r="U710" i="1"/>
  <c r="T710" i="1"/>
  <c r="U709" i="1"/>
  <c r="T709" i="1"/>
  <c r="U708" i="1"/>
  <c r="T708" i="1"/>
  <c r="U707" i="1"/>
  <c r="T707" i="1"/>
  <c r="U706" i="1"/>
  <c r="T706" i="1"/>
  <c r="U705" i="1"/>
  <c r="T705" i="1"/>
  <c r="U704" i="1"/>
  <c r="T704" i="1"/>
  <c r="U703" i="1"/>
  <c r="T703" i="1"/>
  <c r="U702" i="1"/>
  <c r="T702" i="1"/>
  <c r="U701" i="1"/>
  <c r="T701" i="1"/>
  <c r="U700" i="1"/>
  <c r="T700" i="1"/>
  <c r="U699" i="1"/>
  <c r="T699" i="1"/>
  <c r="U698" i="1"/>
  <c r="T698" i="1"/>
  <c r="U697" i="1"/>
  <c r="T697" i="1"/>
  <c r="U696" i="1"/>
  <c r="T696" i="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U675" i="1"/>
  <c r="T675" i="1"/>
  <c r="U674" i="1"/>
  <c r="T674" i="1"/>
  <c r="U673" i="1"/>
  <c r="T673" i="1"/>
  <c r="U672" i="1"/>
  <c r="T672" i="1"/>
  <c r="U671" i="1"/>
  <c r="T671" i="1"/>
  <c r="U670" i="1"/>
  <c r="T670" i="1"/>
  <c r="U669" i="1"/>
  <c r="T669" i="1"/>
  <c r="U668" i="1"/>
  <c r="T668" i="1"/>
  <c r="U667" i="1"/>
  <c r="T667" i="1"/>
  <c r="U666" i="1"/>
  <c r="T666" i="1"/>
  <c r="U665" i="1"/>
  <c r="T665" i="1"/>
  <c r="U664" i="1"/>
  <c r="T664" i="1"/>
  <c r="U663" i="1"/>
  <c r="T663" i="1"/>
  <c r="U662" i="1"/>
  <c r="T662" i="1"/>
  <c r="U661" i="1"/>
  <c r="T661" i="1"/>
  <c r="U660" i="1"/>
  <c r="T660" i="1"/>
  <c r="U659" i="1"/>
  <c r="T659" i="1"/>
  <c r="U658" i="1"/>
  <c r="T658" i="1"/>
  <c r="U657" i="1"/>
  <c r="T657" i="1"/>
  <c r="U656" i="1"/>
  <c r="T656" i="1"/>
  <c r="U655" i="1"/>
  <c r="T655" i="1"/>
  <c r="U654" i="1"/>
  <c r="T654" i="1"/>
  <c r="U653" i="1"/>
  <c r="T653" i="1"/>
  <c r="U652" i="1"/>
  <c r="T652" i="1"/>
  <c r="U651" i="1"/>
  <c r="T651" i="1"/>
  <c r="U650" i="1"/>
  <c r="T650" i="1"/>
  <c r="U649" i="1"/>
  <c r="T649" i="1"/>
  <c r="U648" i="1"/>
  <c r="T648" i="1"/>
  <c r="U647" i="1"/>
  <c r="T647" i="1"/>
  <c r="U646" i="1"/>
  <c r="T646" i="1"/>
  <c r="U645" i="1"/>
  <c r="T645" i="1"/>
  <c r="U644" i="1"/>
  <c r="T644" i="1"/>
  <c r="U643" i="1"/>
  <c r="T643" i="1"/>
  <c r="U642" i="1"/>
  <c r="T642" i="1"/>
  <c r="U641" i="1"/>
  <c r="T641" i="1"/>
  <c r="U640" i="1"/>
  <c r="T640" i="1"/>
  <c r="U639" i="1"/>
  <c r="T639" i="1"/>
  <c r="U638" i="1"/>
  <c r="T638" i="1"/>
  <c r="U637" i="1"/>
  <c r="T637" i="1"/>
  <c r="U636" i="1"/>
  <c r="T636" i="1"/>
  <c r="U635" i="1"/>
  <c r="T635" i="1"/>
  <c r="U634" i="1"/>
  <c r="T634" i="1"/>
  <c r="U633" i="1"/>
  <c r="T633" i="1"/>
  <c r="U632" i="1"/>
  <c r="T632" i="1"/>
  <c r="U631" i="1"/>
  <c r="T631" i="1"/>
  <c r="U630" i="1"/>
  <c r="T630" i="1"/>
  <c r="U629" i="1"/>
  <c r="T629" i="1"/>
  <c r="U628" i="1"/>
  <c r="T628" i="1"/>
  <c r="U627" i="1"/>
  <c r="T627" i="1"/>
  <c r="U626" i="1"/>
  <c r="T626" i="1"/>
  <c r="U625" i="1"/>
  <c r="T625" i="1"/>
  <c r="U624" i="1"/>
  <c r="T624" i="1"/>
  <c r="U623" i="1"/>
  <c r="T623" i="1"/>
  <c r="U622" i="1"/>
  <c r="T622" i="1"/>
  <c r="U621" i="1"/>
  <c r="T621" i="1"/>
  <c r="U620" i="1"/>
  <c r="T620" i="1"/>
  <c r="U619" i="1"/>
  <c r="T619" i="1"/>
  <c r="U618" i="1"/>
  <c r="T618" i="1"/>
  <c r="U617" i="1"/>
  <c r="T617" i="1"/>
  <c r="U616" i="1"/>
  <c r="T616" i="1"/>
  <c r="U615" i="1"/>
  <c r="T615" i="1"/>
  <c r="U614" i="1"/>
  <c r="T614" i="1"/>
  <c r="U613" i="1"/>
  <c r="T613" i="1"/>
  <c r="U612" i="1"/>
  <c r="T612" i="1"/>
  <c r="U611" i="1"/>
  <c r="T611" i="1"/>
  <c r="U610" i="1"/>
  <c r="T610" i="1"/>
  <c r="U609" i="1"/>
  <c r="T609" i="1"/>
  <c r="U608" i="1"/>
  <c r="T608" i="1"/>
  <c r="U607" i="1"/>
  <c r="T607" i="1"/>
  <c r="U606" i="1"/>
  <c r="T606" i="1"/>
  <c r="U605" i="1"/>
  <c r="T605" i="1"/>
  <c r="U604" i="1"/>
  <c r="T604" i="1"/>
  <c r="U603" i="1"/>
  <c r="T603" i="1"/>
  <c r="U602" i="1"/>
  <c r="T602" i="1"/>
  <c r="U601" i="1"/>
  <c r="T601" i="1"/>
  <c r="U600" i="1"/>
  <c r="T600" i="1"/>
  <c r="U599" i="1"/>
  <c r="T599" i="1"/>
  <c r="U598" i="1"/>
  <c r="T598" i="1"/>
  <c r="U597" i="1"/>
  <c r="T597" i="1"/>
  <c r="U596" i="1"/>
  <c r="T596" i="1"/>
  <c r="U595" i="1"/>
  <c r="T595" i="1"/>
  <c r="U594" i="1"/>
  <c r="T594" i="1"/>
  <c r="U593" i="1"/>
  <c r="T593" i="1"/>
  <c r="U592" i="1"/>
  <c r="T592" i="1"/>
  <c r="U591" i="1"/>
  <c r="T591" i="1"/>
  <c r="U590" i="1"/>
  <c r="T590" i="1"/>
  <c r="U589" i="1"/>
  <c r="T589" i="1"/>
  <c r="U588" i="1"/>
  <c r="T588" i="1"/>
  <c r="U587" i="1"/>
  <c r="T587" i="1"/>
  <c r="U586" i="1"/>
  <c r="T586" i="1"/>
  <c r="U585" i="1"/>
  <c r="T585" i="1"/>
  <c r="U584" i="1"/>
  <c r="T584" i="1"/>
  <c r="U583" i="1"/>
  <c r="T583" i="1"/>
  <c r="U582" i="1"/>
  <c r="T582" i="1"/>
  <c r="U581" i="1"/>
  <c r="T581" i="1"/>
  <c r="U580" i="1"/>
  <c r="T580" i="1"/>
  <c r="U579" i="1"/>
  <c r="T579" i="1"/>
  <c r="U578" i="1"/>
  <c r="T578" i="1"/>
  <c r="U577" i="1"/>
  <c r="T577" i="1"/>
  <c r="U576" i="1"/>
  <c r="T576" i="1"/>
  <c r="U575" i="1"/>
  <c r="T575" i="1"/>
  <c r="U574" i="1"/>
  <c r="T574" i="1"/>
  <c r="U573" i="1"/>
  <c r="T573" i="1"/>
  <c r="U572" i="1"/>
  <c r="T572" i="1"/>
  <c r="U571" i="1"/>
  <c r="T571" i="1"/>
  <c r="U570" i="1"/>
  <c r="T570" i="1"/>
  <c r="U569" i="1"/>
  <c r="T569" i="1"/>
  <c r="U568" i="1"/>
  <c r="T568" i="1"/>
  <c r="U567" i="1"/>
  <c r="T567" i="1"/>
  <c r="U566" i="1"/>
  <c r="T566" i="1"/>
  <c r="U565" i="1"/>
  <c r="T565" i="1"/>
  <c r="U564" i="1"/>
  <c r="T564" i="1"/>
  <c r="U563" i="1"/>
  <c r="T563" i="1"/>
  <c r="U562" i="1"/>
  <c r="T562" i="1"/>
  <c r="U561" i="1"/>
  <c r="T561" i="1"/>
  <c r="U560" i="1"/>
  <c r="T560" i="1"/>
  <c r="U559" i="1"/>
  <c r="T559" i="1"/>
  <c r="U558" i="1"/>
  <c r="T558" i="1"/>
  <c r="U557" i="1"/>
  <c r="T557" i="1"/>
  <c r="U556" i="1"/>
  <c r="T556" i="1"/>
  <c r="U555" i="1"/>
  <c r="T555" i="1"/>
  <c r="U554" i="1"/>
  <c r="T554" i="1"/>
  <c r="U553" i="1"/>
  <c r="T553" i="1"/>
  <c r="U552" i="1"/>
  <c r="T552" i="1"/>
  <c r="U551" i="1"/>
  <c r="T551" i="1"/>
  <c r="U550" i="1"/>
  <c r="T550" i="1"/>
  <c r="U549" i="1"/>
  <c r="T549" i="1"/>
  <c r="U548" i="1"/>
  <c r="T548" i="1"/>
  <c r="U547" i="1"/>
  <c r="T547" i="1"/>
  <c r="U546" i="1"/>
  <c r="T546" i="1"/>
  <c r="U545" i="1"/>
  <c r="T545" i="1"/>
  <c r="U544" i="1"/>
  <c r="T544" i="1"/>
  <c r="U543" i="1"/>
  <c r="T543" i="1"/>
  <c r="U542" i="1"/>
  <c r="T542" i="1"/>
  <c r="U541" i="1"/>
  <c r="T541" i="1"/>
  <c r="U540" i="1"/>
  <c r="T540" i="1"/>
  <c r="U539" i="1"/>
  <c r="T539" i="1"/>
  <c r="U538" i="1"/>
  <c r="T538" i="1"/>
  <c r="U537" i="1"/>
  <c r="T537" i="1"/>
  <c r="U536" i="1"/>
  <c r="T536" i="1"/>
  <c r="U535" i="1"/>
  <c r="T535" i="1"/>
  <c r="U534" i="1"/>
  <c r="T534" i="1"/>
  <c r="U533" i="1"/>
  <c r="T533" i="1"/>
  <c r="U532" i="1"/>
  <c r="T532" i="1"/>
  <c r="U531" i="1"/>
  <c r="T531" i="1"/>
  <c r="U530" i="1"/>
  <c r="T530" i="1"/>
  <c r="U529" i="1"/>
  <c r="T529" i="1"/>
  <c r="U528" i="1"/>
  <c r="T528" i="1"/>
  <c r="U527" i="1"/>
  <c r="T527" i="1"/>
  <c r="U526" i="1"/>
  <c r="T526" i="1"/>
  <c r="U525" i="1"/>
  <c r="T525" i="1"/>
  <c r="U524" i="1"/>
  <c r="T524" i="1"/>
  <c r="U523" i="1"/>
  <c r="T523" i="1"/>
  <c r="U522" i="1"/>
  <c r="T522" i="1"/>
  <c r="U521" i="1"/>
  <c r="T521" i="1"/>
  <c r="U520" i="1"/>
  <c r="T520" i="1"/>
  <c r="U519" i="1"/>
  <c r="T519" i="1"/>
  <c r="U518" i="1"/>
  <c r="T518" i="1"/>
  <c r="U517" i="1"/>
  <c r="T517" i="1"/>
  <c r="U516" i="1"/>
  <c r="T516" i="1"/>
  <c r="U515" i="1"/>
  <c r="T515" i="1"/>
  <c r="U514" i="1"/>
  <c r="T514" i="1"/>
  <c r="U513" i="1"/>
  <c r="T513" i="1"/>
  <c r="U512" i="1"/>
  <c r="T512" i="1"/>
  <c r="U511" i="1"/>
  <c r="T511" i="1"/>
  <c r="U510" i="1"/>
  <c r="T510" i="1"/>
  <c r="U509" i="1"/>
  <c r="T509" i="1"/>
  <c r="U508" i="1"/>
  <c r="T508" i="1"/>
  <c r="U507" i="1"/>
  <c r="T507" i="1"/>
  <c r="U506" i="1"/>
  <c r="T506" i="1"/>
  <c r="U505" i="1"/>
  <c r="T505" i="1"/>
  <c r="U504" i="1"/>
  <c r="T504" i="1"/>
  <c r="U503" i="1"/>
  <c r="T503" i="1"/>
  <c r="U502" i="1"/>
  <c r="T502" i="1"/>
  <c r="U501" i="1"/>
  <c r="T501" i="1"/>
  <c r="U500" i="1"/>
  <c r="T500" i="1"/>
  <c r="U499" i="1"/>
  <c r="T499" i="1"/>
  <c r="U498" i="1"/>
  <c r="T498" i="1"/>
  <c r="U497" i="1"/>
  <c r="T497" i="1"/>
  <c r="U496" i="1"/>
  <c r="T496" i="1"/>
  <c r="U495" i="1"/>
  <c r="T495" i="1"/>
  <c r="U494" i="1"/>
  <c r="T494" i="1"/>
  <c r="U493" i="1"/>
  <c r="T493" i="1"/>
  <c r="U492" i="1"/>
  <c r="T492" i="1"/>
  <c r="U491" i="1"/>
  <c r="T491" i="1"/>
  <c r="U490" i="1"/>
  <c r="T490" i="1"/>
  <c r="U489" i="1"/>
  <c r="T489" i="1"/>
  <c r="U488" i="1"/>
  <c r="T488" i="1"/>
  <c r="U487" i="1"/>
  <c r="T487" i="1"/>
  <c r="U486" i="1"/>
  <c r="T486" i="1"/>
  <c r="U485" i="1"/>
  <c r="T485" i="1"/>
  <c r="U484" i="1"/>
  <c r="T484" i="1"/>
  <c r="U483" i="1"/>
  <c r="T483" i="1"/>
  <c r="U482" i="1"/>
  <c r="T482" i="1"/>
  <c r="U481" i="1"/>
  <c r="T481" i="1"/>
  <c r="U480" i="1"/>
  <c r="T480" i="1"/>
  <c r="U479" i="1"/>
  <c r="T479" i="1"/>
  <c r="U478" i="1"/>
  <c r="T478" i="1"/>
  <c r="U477" i="1"/>
  <c r="T477" i="1"/>
  <c r="U476" i="1"/>
  <c r="T476" i="1"/>
  <c r="U475" i="1"/>
  <c r="T475" i="1"/>
  <c r="U474" i="1"/>
  <c r="T474" i="1"/>
  <c r="U473" i="1"/>
  <c r="T473" i="1"/>
  <c r="U472" i="1"/>
  <c r="T472" i="1"/>
  <c r="U471" i="1"/>
  <c r="T471" i="1"/>
  <c r="U470" i="1"/>
  <c r="T470" i="1"/>
  <c r="U469" i="1"/>
  <c r="T469" i="1"/>
  <c r="U468" i="1"/>
  <c r="T468" i="1"/>
  <c r="U467" i="1"/>
  <c r="T467" i="1"/>
  <c r="U466" i="1"/>
  <c r="T466" i="1"/>
  <c r="U465" i="1"/>
  <c r="T465" i="1"/>
  <c r="U464" i="1"/>
  <c r="T464" i="1"/>
  <c r="U463" i="1"/>
  <c r="T463" i="1"/>
  <c r="U462" i="1"/>
  <c r="T462" i="1"/>
  <c r="U461" i="1"/>
  <c r="T461" i="1"/>
  <c r="U460" i="1"/>
  <c r="T460" i="1"/>
  <c r="U459" i="1"/>
  <c r="T459" i="1"/>
  <c r="U458" i="1"/>
  <c r="T458" i="1"/>
  <c r="U457" i="1"/>
  <c r="T457" i="1"/>
  <c r="U456" i="1"/>
  <c r="T456" i="1"/>
  <c r="U455" i="1"/>
  <c r="T455" i="1"/>
  <c r="U454" i="1"/>
  <c r="T454" i="1"/>
  <c r="U453" i="1"/>
  <c r="T453" i="1"/>
  <c r="U452" i="1"/>
  <c r="T452" i="1"/>
  <c r="U451" i="1"/>
  <c r="T451" i="1"/>
  <c r="U450" i="1"/>
  <c r="T450" i="1"/>
  <c r="U449" i="1"/>
  <c r="T449" i="1"/>
  <c r="U448" i="1"/>
  <c r="T448" i="1"/>
  <c r="U447" i="1"/>
  <c r="T447" i="1"/>
  <c r="U446" i="1"/>
  <c r="T446" i="1"/>
  <c r="U445" i="1"/>
  <c r="T445" i="1"/>
  <c r="U444" i="1"/>
  <c r="T444" i="1"/>
  <c r="U443" i="1"/>
  <c r="T443" i="1"/>
  <c r="U442" i="1"/>
  <c r="T442" i="1"/>
  <c r="U441" i="1"/>
  <c r="T441" i="1"/>
  <c r="U440" i="1"/>
  <c r="T440" i="1"/>
  <c r="U439" i="1"/>
  <c r="T439" i="1"/>
  <c r="U438" i="1"/>
  <c r="T438" i="1"/>
  <c r="U437" i="1"/>
  <c r="T437" i="1"/>
  <c r="U436" i="1"/>
  <c r="T436" i="1"/>
  <c r="U435" i="1"/>
  <c r="T435" i="1"/>
  <c r="U434" i="1"/>
  <c r="T434" i="1"/>
  <c r="U433" i="1"/>
  <c r="T433" i="1"/>
  <c r="U432" i="1"/>
  <c r="T432" i="1"/>
  <c r="U431" i="1"/>
  <c r="T431" i="1"/>
  <c r="U430" i="1"/>
  <c r="T430" i="1"/>
  <c r="U429" i="1"/>
  <c r="T429" i="1"/>
  <c r="U428" i="1"/>
  <c r="T428" i="1"/>
  <c r="U427" i="1"/>
  <c r="T427" i="1"/>
  <c r="U426" i="1"/>
  <c r="T426" i="1"/>
  <c r="U425" i="1"/>
  <c r="T425" i="1"/>
  <c r="U424" i="1"/>
  <c r="T424" i="1"/>
  <c r="U423" i="1"/>
  <c r="T423" i="1"/>
  <c r="U422" i="1"/>
  <c r="T422" i="1"/>
  <c r="U421" i="1"/>
  <c r="T421" i="1"/>
  <c r="U420" i="1"/>
  <c r="T420" i="1"/>
  <c r="U419" i="1"/>
  <c r="T419" i="1"/>
  <c r="U418" i="1"/>
  <c r="T418" i="1"/>
  <c r="U417" i="1"/>
  <c r="T417" i="1"/>
  <c r="U416" i="1"/>
  <c r="T416" i="1"/>
  <c r="U415" i="1"/>
  <c r="T415" i="1"/>
  <c r="U414" i="1"/>
  <c r="T414" i="1"/>
  <c r="U413" i="1"/>
  <c r="T413" i="1"/>
  <c r="U412" i="1"/>
  <c r="T412" i="1"/>
  <c r="U411" i="1"/>
  <c r="T411" i="1"/>
  <c r="U410" i="1"/>
  <c r="T410" i="1"/>
  <c r="U409" i="1"/>
  <c r="T409" i="1"/>
  <c r="U408" i="1"/>
  <c r="T408" i="1"/>
  <c r="U407" i="1"/>
  <c r="T407" i="1"/>
  <c r="U406" i="1"/>
  <c r="T406" i="1"/>
  <c r="U405" i="1"/>
  <c r="T405" i="1"/>
  <c r="U404" i="1"/>
  <c r="T404" i="1"/>
  <c r="U403" i="1"/>
  <c r="T403" i="1"/>
  <c r="U402" i="1"/>
  <c r="T402" i="1"/>
  <c r="U401" i="1"/>
  <c r="T401" i="1"/>
  <c r="U400" i="1"/>
  <c r="T400" i="1"/>
  <c r="U399" i="1"/>
  <c r="T399" i="1"/>
  <c r="U398" i="1"/>
  <c r="T398" i="1"/>
  <c r="U397" i="1"/>
  <c r="T397" i="1"/>
  <c r="U396" i="1"/>
  <c r="T396" i="1"/>
  <c r="U395" i="1"/>
  <c r="T395" i="1"/>
  <c r="U394" i="1"/>
  <c r="T394" i="1"/>
  <c r="U393" i="1"/>
  <c r="T393" i="1"/>
  <c r="U392" i="1"/>
  <c r="T392" i="1"/>
  <c r="U391" i="1"/>
  <c r="T391" i="1"/>
  <c r="U390" i="1"/>
  <c r="T390" i="1"/>
  <c r="U389" i="1"/>
  <c r="T389" i="1"/>
  <c r="U388" i="1"/>
  <c r="T388" i="1"/>
  <c r="U387" i="1"/>
  <c r="T387" i="1"/>
  <c r="U386" i="1"/>
  <c r="T386" i="1"/>
  <c r="U385" i="1"/>
  <c r="T385" i="1"/>
  <c r="U384" i="1"/>
  <c r="T384" i="1"/>
  <c r="U383" i="1"/>
  <c r="T383" i="1"/>
  <c r="U382" i="1"/>
  <c r="T382" i="1"/>
  <c r="U381" i="1"/>
  <c r="T381" i="1"/>
  <c r="U380" i="1"/>
  <c r="T380" i="1"/>
  <c r="U379" i="1"/>
  <c r="T379" i="1"/>
  <c r="U378" i="1"/>
  <c r="T378" i="1"/>
  <c r="U377" i="1"/>
  <c r="T377" i="1"/>
  <c r="U376" i="1"/>
  <c r="T376" i="1"/>
  <c r="U375" i="1"/>
  <c r="T375" i="1"/>
  <c r="U374" i="1"/>
  <c r="T374" i="1"/>
  <c r="U373" i="1"/>
  <c r="T373" i="1"/>
  <c r="U372" i="1"/>
  <c r="T372" i="1"/>
  <c r="U371" i="1"/>
  <c r="T371" i="1"/>
  <c r="U370" i="1"/>
  <c r="T370" i="1"/>
  <c r="U369" i="1"/>
  <c r="T369" i="1"/>
  <c r="U368" i="1"/>
  <c r="T368" i="1"/>
  <c r="U367" i="1"/>
  <c r="T367" i="1"/>
  <c r="U366" i="1"/>
  <c r="T366" i="1"/>
  <c r="U365" i="1"/>
  <c r="T365" i="1"/>
  <c r="U364" i="1"/>
  <c r="T364" i="1"/>
  <c r="U363" i="1"/>
  <c r="T363" i="1"/>
  <c r="U362" i="1"/>
  <c r="T362" i="1"/>
  <c r="U361" i="1"/>
  <c r="T361" i="1"/>
  <c r="U360" i="1"/>
  <c r="T360" i="1"/>
  <c r="U359" i="1"/>
  <c r="T359" i="1"/>
  <c r="U358" i="1"/>
  <c r="T358" i="1"/>
  <c r="U357" i="1"/>
  <c r="T357" i="1"/>
  <c r="U356" i="1"/>
  <c r="T356" i="1"/>
  <c r="U355" i="1"/>
  <c r="T355" i="1"/>
  <c r="U354" i="1"/>
  <c r="T354" i="1"/>
  <c r="U353" i="1"/>
  <c r="T353" i="1"/>
  <c r="U352" i="1"/>
  <c r="T352" i="1"/>
  <c r="U351" i="1"/>
  <c r="T351" i="1"/>
  <c r="U350" i="1"/>
  <c r="T350" i="1"/>
  <c r="U349" i="1"/>
  <c r="T349" i="1"/>
  <c r="U348" i="1"/>
  <c r="T348" i="1"/>
  <c r="U347" i="1"/>
  <c r="T347" i="1"/>
  <c r="U346" i="1"/>
  <c r="T346" i="1"/>
  <c r="U345" i="1"/>
  <c r="T345" i="1"/>
  <c r="U344" i="1"/>
  <c r="T344" i="1"/>
  <c r="U343" i="1"/>
  <c r="T343" i="1"/>
  <c r="U342" i="1"/>
  <c r="T342" i="1"/>
  <c r="U341" i="1"/>
  <c r="T341" i="1"/>
  <c r="U340" i="1"/>
  <c r="T340" i="1"/>
  <c r="U339" i="1"/>
  <c r="T339" i="1"/>
  <c r="U338" i="1"/>
  <c r="T338" i="1"/>
  <c r="U337" i="1"/>
  <c r="T337" i="1"/>
  <c r="U336" i="1"/>
  <c r="T336" i="1"/>
  <c r="U335" i="1"/>
  <c r="T335" i="1"/>
  <c r="U334" i="1"/>
  <c r="T334" i="1"/>
  <c r="U333" i="1"/>
  <c r="T333" i="1"/>
  <c r="U332" i="1"/>
  <c r="T332" i="1"/>
  <c r="U331" i="1"/>
  <c r="T331" i="1"/>
  <c r="U330" i="1"/>
  <c r="T330" i="1"/>
  <c r="U329" i="1"/>
  <c r="T329" i="1"/>
  <c r="U328" i="1"/>
  <c r="T328" i="1"/>
  <c r="U327" i="1"/>
  <c r="T327" i="1"/>
  <c r="U326" i="1"/>
  <c r="T326" i="1"/>
  <c r="U325" i="1"/>
  <c r="T325" i="1"/>
  <c r="U324" i="1"/>
  <c r="T324" i="1"/>
  <c r="U323" i="1"/>
  <c r="T323" i="1"/>
  <c r="U322" i="1"/>
  <c r="T322" i="1"/>
  <c r="U321" i="1"/>
  <c r="T321" i="1"/>
  <c r="U320" i="1"/>
  <c r="T320" i="1"/>
  <c r="U319" i="1"/>
  <c r="T319" i="1"/>
  <c r="U318" i="1"/>
  <c r="T318" i="1"/>
  <c r="U317" i="1"/>
  <c r="T317" i="1"/>
  <c r="U316" i="1"/>
  <c r="T316" i="1"/>
  <c r="U315" i="1"/>
  <c r="T315" i="1"/>
  <c r="U314" i="1"/>
  <c r="T314" i="1"/>
  <c r="U313" i="1"/>
  <c r="T313" i="1"/>
  <c r="U312" i="1"/>
  <c r="T312" i="1"/>
  <c r="U311" i="1"/>
  <c r="T311" i="1"/>
  <c r="U310" i="1"/>
  <c r="T310" i="1"/>
  <c r="U309" i="1"/>
  <c r="T309" i="1"/>
  <c r="U308" i="1"/>
  <c r="T308" i="1"/>
  <c r="U307" i="1"/>
  <c r="T307" i="1"/>
  <c r="U306" i="1"/>
  <c r="T306" i="1"/>
  <c r="U305" i="1"/>
  <c r="T305" i="1"/>
  <c r="U304" i="1"/>
  <c r="T304" i="1"/>
  <c r="U303" i="1"/>
  <c r="T303" i="1"/>
  <c r="U302" i="1"/>
  <c r="T302" i="1"/>
  <c r="U301" i="1"/>
  <c r="T301" i="1"/>
  <c r="U300" i="1"/>
  <c r="T300" i="1"/>
  <c r="U299" i="1"/>
  <c r="T299" i="1"/>
  <c r="U298" i="1"/>
  <c r="T298" i="1"/>
  <c r="U297" i="1"/>
  <c r="T297" i="1"/>
  <c r="U296" i="1"/>
  <c r="T296" i="1"/>
  <c r="U295" i="1"/>
  <c r="T295" i="1"/>
  <c r="U294" i="1"/>
  <c r="T294" i="1"/>
  <c r="U293" i="1"/>
  <c r="T293" i="1"/>
  <c r="U292" i="1"/>
  <c r="T292" i="1"/>
  <c r="U291" i="1"/>
  <c r="T291" i="1"/>
  <c r="U290" i="1"/>
  <c r="T290" i="1"/>
  <c r="U289" i="1"/>
  <c r="T289" i="1"/>
  <c r="U288" i="1"/>
  <c r="T288" i="1"/>
  <c r="U287" i="1"/>
  <c r="T287" i="1"/>
  <c r="U286" i="1"/>
  <c r="T286" i="1"/>
  <c r="U285" i="1"/>
  <c r="T285" i="1"/>
  <c r="U284" i="1"/>
  <c r="T284" i="1"/>
  <c r="U283" i="1"/>
  <c r="T283" i="1"/>
  <c r="U282" i="1"/>
  <c r="T282" i="1"/>
  <c r="U281" i="1"/>
  <c r="T281" i="1"/>
  <c r="U280" i="1"/>
  <c r="T280" i="1"/>
  <c r="U279" i="1"/>
  <c r="T279" i="1"/>
  <c r="U278" i="1"/>
  <c r="T278" i="1"/>
  <c r="U277" i="1"/>
  <c r="T277" i="1"/>
  <c r="U276" i="1"/>
  <c r="T276" i="1"/>
  <c r="U275" i="1"/>
  <c r="T275" i="1"/>
  <c r="U274" i="1"/>
  <c r="T274" i="1"/>
  <c r="U273" i="1"/>
  <c r="T273" i="1"/>
  <c r="U272" i="1"/>
  <c r="T272" i="1"/>
  <c r="U271" i="1"/>
  <c r="T271" i="1"/>
  <c r="U270" i="1"/>
  <c r="T270" i="1"/>
  <c r="U269" i="1"/>
  <c r="T269" i="1"/>
  <c r="U268" i="1"/>
  <c r="T268" i="1"/>
  <c r="U267" i="1"/>
  <c r="T267" i="1"/>
  <c r="U266" i="1"/>
  <c r="T266" i="1"/>
  <c r="U265" i="1"/>
  <c r="T265" i="1"/>
  <c r="U264" i="1"/>
  <c r="T264" i="1"/>
  <c r="U263" i="1"/>
  <c r="T263" i="1"/>
  <c r="U262" i="1"/>
  <c r="T262" i="1"/>
  <c r="U261" i="1"/>
  <c r="T261" i="1"/>
  <c r="U260" i="1"/>
  <c r="T260" i="1"/>
  <c r="U259" i="1"/>
  <c r="T259" i="1"/>
  <c r="U258" i="1"/>
  <c r="T258" i="1"/>
  <c r="U257" i="1"/>
  <c r="T257" i="1"/>
  <c r="U256" i="1"/>
  <c r="T256" i="1"/>
  <c r="U255" i="1"/>
  <c r="T255" i="1"/>
  <c r="U254" i="1"/>
  <c r="T254" i="1"/>
  <c r="U253" i="1"/>
  <c r="T253" i="1"/>
  <c r="U252" i="1"/>
  <c r="T252" i="1"/>
  <c r="U251" i="1"/>
  <c r="T251" i="1"/>
  <c r="U250" i="1"/>
  <c r="T250" i="1"/>
  <c r="U249" i="1"/>
  <c r="T249" i="1"/>
  <c r="U248" i="1"/>
  <c r="T248" i="1"/>
  <c r="U247" i="1"/>
  <c r="T247" i="1"/>
  <c r="U246" i="1"/>
  <c r="T246" i="1"/>
  <c r="U245" i="1"/>
  <c r="T245" i="1"/>
  <c r="U244" i="1"/>
  <c r="T244" i="1"/>
  <c r="U243" i="1"/>
  <c r="T243" i="1"/>
  <c r="U242" i="1"/>
  <c r="T242" i="1"/>
  <c r="U241" i="1"/>
  <c r="T241" i="1"/>
  <c r="U240" i="1"/>
  <c r="T240" i="1"/>
  <c r="U239" i="1"/>
  <c r="T239" i="1"/>
  <c r="U238" i="1"/>
  <c r="T238" i="1"/>
  <c r="U237" i="1"/>
  <c r="T237" i="1"/>
  <c r="U236" i="1"/>
  <c r="T236" i="1"/>
  <c r="U235" i="1"/>
  <c r="T235" i="1"/>
  <c r="U234" i="1"/>
  <c r="T234" i="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U218" i="1"/>
  <c r="T218" i="1"/>
  <c r="U217" i="1"/>
  <c r="T217" i="1"/>
  <c r="U216" i="1"/>
  <c r="T216" i="1"/>
  <c r="U215" i="1"/>
  <c r="T215" i="1"/>
  <c r="U214" i="1"/>
  <c r="T214" i="1"/>
  <c r="U213" i="1"/>
  <c r="T213" i="1"/>
  <c r="U212" i="1"/>
  <c r="T212" i="1"/>
  <c r="U211" i="1"/>
  <c r="T211" i="1"/>
  <c r="U210" i="1"/>
  <c r="T210" i="1"/>
  <c r="U209" i="1"/>
  <c r="T209" i="1"/>
  <c r="U208" i="1"/>
  <c r="T208" i="1"/>
  <c r="U207" i="1"/>
  <c r="T207" i="1"/>
  <c r="U206" i="1"/>
  <c r="T206" i="1"/>
  <c r="U205" i="1"/>
  <c r="T205" i="1"/>
  <c r="U204" i="1"/>
  <c r="T204" i="1"/>
  <c r="U203" i="1"/>
  <c r="T203" i="1"/>
  <c r="U202" i="1"/>
  <c r="T202" i="1"/>
  <c r="U201" i="1"/>
  <c r="T201" i="1"/>
  <c r="U200" i="1"/>
  <c r="T200" i="1"/>
  <c r="U199" i="1"/>
  <c r="T199" i="1"/>
  <c r="U198" i="1"/>
  <c r="T198" i="1"/>
  <c r="U197" i="1"/>
  <c r="T197" i="1"/>
  <c r="U196" i="1"/>
  <c r="T196" i="1"/>
  <c r="U195" i="1"/>
  <c r="T195" i="1"/>
  <c r="U194" i="1"/>
  <c r="T194" i="1"/>
  <c r="U193" i="1"/>
  <c r="T193" i="1"/>
  <c r="U192" i="1"/>
  <c r="T192" i="1"/>
  <c r="U191" i="1"/>
  <c r="T191" i="1"/>
  <c r="U190" i="1"/>
  <c r="T190" i="1"/>
  <c r="U189" i="1"/>
  <c r="T189" i="1"/>
  <c r="U188" i="1"/>
  <c r="T188" i="1"/>
  <c r="U187" i="1"/>
  <c r="T187" i="1"/>
  <c r="U186" i="1"/>
  <c r="T186" i="1"/>
  <c r="U185" i="1"/>
  <c r="T185" i="1"/>
  <c r="U184" i="1"/>
  <c r="T184" i="1"/>
  <c r="U183" i="1"/>
  <c r="T183" i="1"/>
  <c r="U182" i="1"/>
  <c r="T182" i="1"/>
  <c r="U181" i="1"/>
  <c r="T181" i="1"/>
  <c r="U180" i="1"/>
  <c r="T180" i="1"/>
  <c r="U179" i="1"/>
  <c r="T179" i="1"/>
  <c r="U178" i="1"/>
  <c r="T178" i="1"/>
  <c r="U177" i="1"/>
  <c r="T177" i="1"/>
  <c r="U176" i="1"/>
  <c r="T176" i="1"/>
  <c r="U175" i="1"/>
  <c r="T175" i="1"/>
  <c r="U174" i="1"/>
  <c r="T174" i="1"/>
  <c r="U173" i="1"/>
  <c r="T173" i="1"/>
  <c r="U172" i="1"/>
  <c r="T172" i="1"/>
  <c r="U171" i="1"/>
  <c r="T171" i="1"/>
  <c r="U170" i="1"/>
  <c r="T170" i="1"/>
  <c r="U169" i="1"/>
  <c r="T169" i="1"/>
  <c r="U168" i="1"/>
  <c r="T168" i="1"/>
  <c r="U167" i="1"/>
  <c r="T167" i="1"/>
  <c r="U166" i="1"/>
  <c r="T166" i="1"/>
  <c r="U165" i="1"/>
  <c r="T165" i="1"/>
  <c r="U164" i="1"/>
  <c r="T164" i="1"/>
  <c r="U163" i="1"/>
  <c r="T163" i="1"/>
  <c r="U162" i="1"/>
  <c r="T162" i="1"/>
  <c r="U161" i="1"/>
  <c r="T161" i="1"/>
  <c r="U160" i="1"/>
  <c r="T160" i="1"/>
  <c r="U159" i="1"/>
  <c r="T159" i="1"/>
  <c r="U158" i="1"/>
  <c r="T158" i="1"/>
  <c r="U157" i="1"/>
  <c r="T157" i="1"/>
  <c r="U156" i="1"/>
  <c r="T156" i="1"/>
  <c r="U155" i="1"/>
  <c r="T155" i="1"/>
  <c r="U154" i="1"/>
  <c r="T154" i="1"/>
  <c r="U153" i="1"/>
  <c r="T153" i="1"/>
  <c r="U152" i="1"/>
  <c r="T152" i="1"/>
  <c r="U151" i="1"/>
  <c r="T151" i="1"/>
  <c r="U150" i="1"/>
  <c r="T150" i="1"/>
  <c r="U149" i="1"/>
  <c r="T149" i="1"/>
  <c r="U148" i="1"/>
  <c r="T148" i="1"/>
  <c r="U147" i="1"/>
  <c r="T147" i="1"/>
  <c r="U146" i="1"/>
  <c r="T146" i="1"/>
  <c r="U145" i="1"/>
  <c r="T145" i="1"/>
  <c r="U144" i="1"/>
  <c r="T144" i="1"/>
  <c r="U143" i="1"/>
  <c r="T143" i="1"/>
  <c r="U142" i="1"/>
  <c r="T142" i="1"/>
  <c r="U141" i="1"/>
  <c r="T141" i="1"/>
  <c r="U140" i="1"/>
  <c r="T140" i="1"/>
  <c r="U139" i="1"/>
  <c r="T139" i="1"/>
  <c r="U138" i="1"/>
  <c r="T138" i="1"/>
  <c r="U137" i="1"/>
  <c r="T137" i="1"/>
  <c r="U136" i="1"/>
  <c r="T136" i="1"/>
  <c r="U135" i="1"/>
  <c r="T135" i="1"/>
  <c r="U134" i="1"/>
  <c r="T134" i="1"/>
  <c r="U133" i="1"/>
  <c r="T133" i="1"/>
  <c r="U132" i="1"/>
  <c r="T132" i="1"/>
  <c r="U131" i="1"/>
  <c r="T131" i="1"/>
  <c r="U130" i="1"/>
  <c r="T130" i="1"/>
  <c r="U129" i="1"/>
  <c r="T129" i="1"/>
  <c r="U128" i="1"/>
  <c r="T128" i="1"/>
  <c r="U127" i="1"/>
  <c r="T127" i="1"/>
  <c r="U126" i="1"/>
  <c r="T126" i="1"/>
  <c r="U125" i="1"/>
  <c r="T125" i="1"/>
  <c r="U124" i="1"/>
  <c r="T124" i="1"/>
  <c r="U123" i="1"/>
  <c r="T123" i="1"/>
  <c r="U122" i="1"/>
  <c r="T122" i="1"/>
  <c r="U121" i="1"/>
  <c r="T121" i="1"/>
  <c r="U120" i="1"/>
  <c r="T120" i="1"/>
  <c r="U119" i="1"/>
  <c r="T119" i="1"/>
  <c r="U118" i="1"/>
  <c r="T118" i="1"/>
  <c r="U117" i="1"/>
  <c r="T117" i="1"/>
  <c r="U116" i="1"/>
  <c r="T116" i="1"/>
  <c r="U115" i="1"/>
  <c r="T115" i="1"/>
  <c r="U114" i="1"/>
  <c r="T114" i="1"/>
  <c r="U113" i="1"/>
  <c r="T113" i="1"/>
  <c r="U112" i="1"/>
  <c r="T112" i="1"/>
  <c r="U111" i="1"/>
  <c r="T111" i="1"/>
  <c r="U110" i="1"/>
  <c r="T110" i="1"/>
  <c r="U109" i="1"/>
  <c r="T109" i="1"/>
  <c r="U108" i="1"/>
  <c r="T108" i="1"/>
  <c r="U107" i="1"/>
  <c r="T107" i="1"/>
  <c r="U106" i="1"/>
  <c r="T106" i="1"/>
  <c r="U105" i="1"/>
  <c r="T105" i="1"/>
  <c r="U104" i="1"/>
  <c r="T104" i="1"/>
  <c r="U103" i="1"/>
  <c r="T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3" i="1"/>
  <c r="T3" i="1"/>
  <c r="U2" i="1"/>
  <c r="T2" i="1"/>
  <c r="R1846" i="1"/>
  <c r="U1846" i="1" s="1"/>
  <c r="R1806" i="1"/>
  <c r="U1806" i="1" s="1"/>
  <c r="R1782" i="1"/>
  <c r="U1782" i="1" s="1"/>
  <c r="R1766" i="1"/>
  <c r="U1766" i="1" s="1"/>
  <c r="R1758" i="1"/>
  <c r="U1758" i="1" s="1"/>
  <c r="R1742" i="1"/>
  <c r="U1742" i="1" s="1"/>
  <c r="R1726" i="1"/>
  <c r="U1726" i="1" s="1"/>
  <c r="R1710" i="1"/>
  <c r="U1710" i="1" s="1"/>
  <c r="R1686" i="1"/>
  <c r="U1686" i="1" s="1"/>
  <c r="R1678" i="1"/>
  <c r="U1678" i="1" s="1"/>
  <c r="R1638" i="1"/>
  <c r="U1638" i="1" s="1"/>
  <c r="R1622" i="1"/>
  <c r="U1622" i="1" s="1"/>
  <c r="R1598" i="1"/>
  <c r="U1598" i="1" s="1"/>
  <c r="R1590" i="1"/>
  <c r="U1590" i="1" s="1"/>
  <c r="R1574" i="1"/>
  <c r="U1574" i="1" s="1"/>
  <c r="R1558" i="1"/>
  <c r="U1558" i="1" s="1"/>
  <c r="R1542" i="1"/>
  <c r="U1542" i="1" s="1"/>
  <c r="R1518" i="1"/>
  <c r="U1518" i="1" s="1"/>
  <c r="R1510" i="1"/>
  <c r="U1510" i="1" s="1"/>
  <c r="R1494" i="1"/>
  <c r="U1494" i="1" s="1"/>
  <c r="R1486" i="1"/>
  <c r="U1486" i="1" s="1"/>
  <c r="R1446" i="1"/>
  <c r="U1446" i="1" s="1"/>
  <c r="R1430" i="1"/>
  <c r="U1430" i="1" s="1"/>
  <c r="R1406" i="1"/>
  <c r="U1406" i="1" s="1"/>
  <c r="R1398" i="1"/>
  <c r="U1398" i="1" s="1"/>
  <c r="R1366" i="1"/>
  <c r="U1366" i="1" s="1"/>
  <c r="R1342" i="1"/>
  <c r="R1336" i="1"/>
  <c r="R1326" i="1"/>
  <c r="R1302" i="1"/>
  <c r="R1280" i="1"/>
  <c r="R1264" i="1"/>
  <c r="B74" i="2"/>
  <c r="B72" i="2"/>
  <c r="B70" i="2"/>
  <c r="B68" i="2"/>
  <c r="R2154" i="1" s="1"/>
  <c r="U2154" i="1" s="1"/>
  <c r="B66" i="2"/>
  <c r="B64" i="2"/>
  <c r="R2022" i="1" s="1"/>
  <c r="U2022" i="1" s="1"/>
  <c r="B63" i="2"/>
  <c r="R2008" i="1" s="1"/>
  <c r="U2008" i="1" s="1"/>
  <c r="B59" i="2"/>
  <c r="C58" i="2"/>
  <c r="B62" i="2" s="1"/>
  <c r="B58" i="2"/>
  <c r="AF7" i="8" l="1"/>
  <c r="AF10" i="8" s="1"/>
  <c r="H117" i="8"/>
  <c r="L117" i="8"/>
  <c r="K115" i="8"/>
  <c r="K117" i="8" s="1"/>
  <c r="E104" i="8"/>
  <c r="E106" i="8" s="1"/>
  <c r="I104" i="8"/>
  <c r="I106" i="8" s="1"/>
  <c r="E115" i="8"/>
  <c r="I115" i="8"/>
  <c r="F27" i="8"/>
  <c r="J27" i="8"/>
  <c r="E117" i="8"/>
  <c r="I117" i="8"/>
  <c r="F104" i="8"/>
  <c r="F106" i="8" s="1"/>
  <c r="J104" i="8"/>
  <c r="J106" i="8" s="1"/>
  <c r="K104" i="8"/>
  <c r="K106" i="8" s="1"/>
  <c r="G115" i="8"/>
  <c r="G117" i="8" s="1"/>
  <c r="J10" i="8"/>
  <c r="F10" i="8"/>
  <c r="G104" i="8"/>
  <c r="G106" i="8" s="1"/>
  <c r="F115" i="8"/>
  <c r="F117" i="8" s="1"/>
  <c r="J115" i="8"/>
  <c r="J117" i="8" s="1"/>
  <c r="R10" i="8"/>
  <c r="V10" i="8"/>
  <c r="D104" i="8"/>
  <c r="D106" i="8" s="1"/>
  <c r="H104" i="8"/>
  <c r="H106" i="8" s="1"/>
  <c r="L104" i="8"/>
  <c r="L106" i="8" s="1"/>
  <c r="C74" i="2"/>
  <c r="C70" i="2"/>
  <c r="C66" i="2"/>
  <c r="C62" i="2"/>
  <c r="C72" i="2"/>
  <c r="C68" i="2"/>
  <c r="C64" i="2"/>
  <c r="C67" i="2"/>
  <c r="R2902" i="1"/>
  <c r="U2902" i="1" s="1"/>
  <c r="R2822" i="1"/>
  <c r="U2822" i="1" s="1"/>
  <c r="R2774" i="1"/>
  <c r="U2774" i="1" s="1"/>
  <c r="R2634" i="1"/>
  <c r="U2634" i="1" s="1"/>
  <c r="R2482" i="1"/>
  <c r="U2482" i="1" s="1"/>
  <c r="R2478" i="1"/>
  <c r="U2478" i="1" s="1"/>
  <c r="R2824" i="1"/>
  <c r="U2824" i="1" s="1"/>
  <c r="R2636" i="1"/>
  <c r="U2636" i="1" s="1"/>
  <c r="R2632" i="1"/>
  <c r="U2632" i="1" s="1"/>
  <c r="R2484" i="1"/>
  <c r="U2484" i="1" s="1"/>
  <c r="R2480" i="1"/>
  <c r="U2480" i="1" s="1"/>
  <c r="R2476" i="1"/>
  <c r="U2476" i="1" s="1"/>
  <c r="R2481" i="1"/>
  <c r="U2481" i="1" s="1"/>
  <c r="R2374" i="1"/>
  <c r="U2374" i="1" s="1"/>
  <c r="R2290" i="1"/>
  <c r="U2290" i="1" s="1"/>
  <c r="R2823" i="1"/>
  <c r="U2823" i="1" s="1"/>
  <c r="R2479" i="1"/>
  <c r="U2479" i="1" s="1"/>
  <c r="R2377" i="1"/>
  <c r="U2377" i="1" s="1"/>
  <c r="R2373" i="1"/>
  <c r="U2373" i="1" s="1"/>
  <c r="R2293" i="1"/>
  <c r="U2293" i="1" s="1"/>
  <c r="R2289" i="1"/>
  <c r="U2289" i="1" s="1"/>
  <c r="R2185" i="1"/>
  <c r="U2185" i="1" s="1"/>
  <c r="R2181" i="1"/>
  <c r="U2181" i="1" s="1"/>
  <c r="R2093" i="1"/>
  <c r="U2093" i="1" s="1"/>
  <c r="R2089" i="1"/>
  <c r="U2089" i="1" s="1"/>
  <c r="R1985" i="1"/>
  <c r="U1985" i="1" s="1"/>
  <c r="R1981" i="1"/>
  <c r="U1981" i="1" s="1"/>
  <c r="R1897" i="1"/>
  <c r="U1897" i="1" s="1"/>
  <c r="R1829" i="1"/>
  <c r="U1829" i="1" s="1"/>
  <c r="R1825" i="1"/>
  <c r="U1825" i="1" s="1"/>
  <c r="R1821" i="1"/>
  <c r="U1821" i="1" s="1"/>
  <c r="R1817" i="1"/>
  <c r="U1817" i="1" s="1"/>
  <c r="R1749" i="1"/>
  <c r="U1749" i="1" s="1"/>
  <c r="R1665" i="1"/>
  <c r="U1665" i="1" s="1"/>
  <c r="R1661" i="1"/>
  <c r="U1661" i="1" s="1"/>
  <c r="R1585" i="1"/>
  <c r="U1585" i="1" s="1"/>
  <c r="R1549" i="1"/>
  <c r="U1549" i="1" s="1"/>
  <c r="R1525" i="1"/>
  <c r="U1525" i="1" s="1"/>
  <c r="R1473" i="1"/>
  <c r="U1473" i="1" s="1"/>
  <c r="R1469" i="1"/>
  <c r="U1469" i="1" s="1"/>
  <c r="R1385" i="1"/>
  <c r="U1385" i="1" s="1"/>
  <c r="R2773" i="1"/>
  <c r="U2773" i="1" s="1"/>
  <c r="R2637" i="1"/>
  <c r="U2637" i="1" s="1"/>
  <c r="R2485" i="1"/>
  <c r="U2485" i="1" s="1"/>
  <c r="R2376" i="1"/>
  <c r="U2376" i="1" s="1"/>
  <c r="R2292" i="1"/>
  <c r="U2292" i="1" s="1"/>
  <c r="R2180" i="1"/>
  <c r="U2180" i="1" s="1"/>
  <c r="R2092" i="1"/>
  <c r="U2092" i="1" s="1"/>
  <c r="R2477" i="1"/>
  <c r="U2477" i="1" s="1"/>
  <c r="R2288" i="1"/>
  <c r="U2288" i="1" s="1"/>
  <c r="R2184" i="1"/>
  <c r="U2184" i="1" s="1"/>
  <c r="R2088" i="1"/>
  <c r="U2088" i="1" s="1"/>
  <c r="R2635" i="1"/>
  <c r="U2635" i="1" s="1"/>
  <c r="R2483" i="1"/>
  <c r="U2483" i="1" s="1"/>
  <c r="R2379" i="1"/>
  <c r="U2379" i="1" s="1"/>
  <c r="R2375" i="1"/>
  <c r="U2375" i="1" s="1"/>
  <c r="R2295" i="1"/>
  <c r="U2295" i="1" s="1"/>
  <c r="R2291" i="1"/>
  <c r="U2291" i="1" s="1"/>
  <c r="R2183" i="1"/>
  <c r="U2183" i="1" s="1"/>
  <c r="R2179" i="1"/>
  <c r="U2179" i="1" s="1"/>
  <c r="R2091" i="1"/>
  <c r="U2091" i="1" s="1"/>
  <c r="R2087" i="1"/>
  <c r="U2087" i="1" s="1"/>
  <c r="R1983" i="1"/>
  <c r="U1983" i="1" s="1"/>
  <c r="R1899" i="1"/>
  <c r="U1899" i="1" s="1"/>
  <c r="R1827" i="1"/>
  <c r="U1827" i="1" s="1"/>
  <c r="R1819" i="1"/>
  <c r="U1819" i="1" s="1"/>
  <c r="R1751" i="1"/>
  <c r="U1751" i="1" s="1"/>
  <c r="R1667" i="1"/>
  <c r="U1667" i="1" s="1"/>
  <c r="R1663" i="1"/>
  <c r="U1663" i="1" s="1"/>
  <c r="R1523" i="1"/>
  <c r="U1523" i="1" s="1"/>
  <c r="R1475" i="1"/>
  <c r="U1475" i="1" s="1"/>
  <c r="R1471" i="1"/>
  <c r="U1471" i="1" s="1"/>
  <c r="R1387" i="1"/>
  <c r="U1387" i="1" s="1"/>
  <c r="R1383" i="1"/>
  <c r="U1383" i="1" s="1"/>
  <c r="R1279" i="1"/>
  <c r="U1279" i="1" s="1"/>
  <c r="R2633" i="1"/>
  <c r="U2633" i="1" s="1"/>
  <c r="R2378" i="1"/>
  <c r="U2378" i="1" s="1"/>
  <c r="R2294" i="1"/>
  <c r="U2294" i="1" s="1"/>
  <c r="R1270" i="1"/>
  <c r="U1270" i="1" s="1"/>
  <c r="U1302" i="1"/>
  <c r="U1342" i="1"/>
  <c r="R1550" i="1"/>
  <c r="U1550" i="1" s="1"/>
  <c r="R1662" i="1"/>
  <c r="U1662" i="1" s="1"/>
  <c r="R1694" i="1"/>
  <c r="U1694" i="1" s="1"/>
  <c r="C69" i="2"/>
  <c r="R2874" i="1"/>
  <c r="U2874" i="1" s="1"/>
  <c r="R2842" i="1"/>
  <c r="U2842" i="1" s="1"/>
  <c r="R2810" i="1"/>
  <c r="U2810" i="1" s="1"/>
  <c r="R2806" i="1"/>
  <c r="U2806" i="1" s="1"/>
  <c r="R2750" i="1"/>
  <c r="U2750" i="1" s="1"/>
  <c r="R2690" i="1"/>
  <c r="U2690" i="1" s="1"/>
  <c r="R2686" i="1"/>
  <c r="U2686" i="1" s="1"/>
  <c r="R2594" i="1"/>
  <c r="U2594" i="1" s="1"/>
  <c r="R2590" i="1"/>
  <c r="U2590" i="1" s="1"/>
  <c r="R2542" i="1"/>
  <c r="U2542" i="1" s="1"/>
  <c r="R2538" i="1"/>
  <c r="U2538" i="1" s="1"/>
  <c r="R2872" i="1"/>
  <c r="U2872" i="1" s="1"/>
  <c r="R2844" i="1"/>
  <c r="U2844" i="1" s="1"/>
  <c r="R2808" i="1"/>
  <c r="U2808" i="1" s="1"/>
  <c r="R2748" i="1"/>
  <c r="U2748" i="1" s="1"/>
  <c r="R2688" i="1"/>
  <c r="U2688" i="1" s="1"/>
  <c r="R2684" i="1"/>
  <c r="U2684" i="1" s="1"/>
  <c r="R2596" i="1"/>
  <c r="U2596" i="1" s="1"/>
  <c r="R2592" i="1"/>
  <c r="U2592" i="1" s="1"/>
  <c r="R2588" i="1"/>
  <c r="U2588" i="1" s="1"/>
  <c r="R2540" i="1"/>
  <c r="U2540" i="1" s="1"/>
  <c r="R2536" i="1"/>
  <c r="U2536" i="1" s="1"/>
  <c r="R2873" i="1"/>
  <c r="U2873" i="1" s="1"/>
  <c r="R2841" i="1"/>
  <c r="U2841" i="1" s="1"/>
  <c r="R2809" i="1"/>
  <c r="U2809" i="1" s="1"/>
  <c r="R2689" i="1"/>
  <c r="U2689" i="1" s="1"/>
  <c r="R2593" i="1"/>
  <c r="U2593" i="1" s="1"/>
  <c r="R2430" i="1"/>
  <c r="U2430" i="1" s="1"/>
  <c r="R2338" i="1"/>
  <c r="U2338" i="1" s="1"/>
  <c r="R2871" i="1"/>
  <c r="U2871" i="1" s="1"/>
  <c r="R2807" i="1"/>
  <c r="U2807" i="1" s="1"/>
  <c r="R2687" i="1"/>
  <c r="U2687" i="1" s="1"/>
  <c r="R2591" i="1"/>
  <c r="U2591" i="1" s="1"/>
  <c r="R2543" i="1"/>
  <c r="U2543" i="1" s="1"/>
  <c r="R2535" i="1"/>
  <c r="U2535" i="1" s="1"/>
  <c r="R2433" i="1"/>
  <c r="U2433" i="1" s="1"/>
  <c r="R2429" i="1"/>
  <c r="U2429" i="1" s="1"/>
  <c r="R2341" i="1"/>
  <c r="U2341" i="1" s="1"/>
  <c r="R2337" i="1"/>
  <c r="U2337" i="1" s="1"/>
  <c r="R2241" i="1"/>
  <c r="U2241" i="1" s="1"/>
  <c r="R2237" i="1"/>
  <c r="U2237" i="1" s="1"/>
  <c r="R2141" i="1"/>
  <c r="U2141" i="1" s="1"/>
  <c r="R2137" i="1"/>
  <c r="U2137" i="1" s="1"/>
  <c r="R2041" i="1"/>
  <c r="U2041" i="1" s="1"/>
  <c r="R2037" i="1"/>
  <c r="U2037" i="1" s="1"/>
  <c r="R2033" i="1"/>
  <c r="U2033" i="1" s="1"/>
  <c r="R1945" i="1"/>
  <c r="U1945" i="1" s="1"/>
  <c r="R1941" i="1"/>
  <c r="U1941" i="1" s="1"/>
  <c r="R1865" i="1"/>
  <c r="U1865" i="1" s="1"/>
  <c r="R1781" i="1"/>
  <c r="U1781" i="1" s="1"/>
  <c r="R1713" i="1"/>
  <c r="U1713" i="1" s="1"/>
  <c r="R1709" i="1"/>
  <c r="U1709" i="1" s="1"/>
  <c r="R1625" i="1"/>
  <c r="U1625" i="1" s="1"/>
  <c r="R1621" i="1"/>
  <c r="U1621" i="1" s="1"/>
  <c r="R1569" i="1"/>
  <c r="U1569" i="1" s="1"/>
  <c r="R1537" i="1"/>
  <c r="U1537" i="1" s="1"/>
  <c r="R1505" i="1"/>
  <c r="U1505" i="1" s="1"/>
  <c r="R1433" i="1"/>
  <c r="U1433" i="1" s="1"/>
  <c r="R1429" i="1"/>
  <c r="U1429" i="1" s="1"/>
  <c r="R1357" i="1"/>
  <c r="U1357" i="1" s="1"/>
  <c r="R1313" i="1"/>
  <c r="U1313" i="1" s="1"/>
  <c r="R1289" i="1"/>
  <c r="U1289" i="1" s="1"/>
  <c r="R2749" i="1"/>
  <c r="U2749" i="1" s="1"/>
  <c r="R2685" i="1"/>
  <c r="U2685" i="1" s="1"/>
  <c r="R2589" i="1"/>
  <c r="U2589" i="1" s="1"/>
  <c r="R2436" i="1"/>
  <c r="U2436" i="1" s="1"/>
  <c r="R2428" i="1"/>
  <c r="U2428" i="1" s="1"/>
  <c r="R2236" i="1"/>
  <c r="U2236" i="1" s="1"/>
  <c r="R2140" i="1"/>
  <c r="U2140" i="1" s="1"/>
  <c r="R2040" i="1"/>
  <c r="U2040" i="1" s="1"/>
  <c r="R2541" i="1"/>
  <c r="U2541" i="1" s="1"/>
  <c r="R2432" i="1"/>
  <c r="U2432" i="1" s="1"/>
  <c r="R2340" i="1"/>
  <c r="U2340" i="1" s="1"/>
  <c r="R2240" i="1"/>
  <c r="U2240" i="1" s="1"/>
  <c r="R2036" i="1"/>
  <c r="U2036" i="1" s="1"/>
  <c r="R2875" i="1"/>
  <c r="U2875" i="1" s="1"/>
  <c r="R2843" i="1"/>
  <c r="U2843" i="1" s="1"/>
  <c r="R2691" i="1"/>
  <c r="U2691" i="1" s="1"/>
  <c r="R2595" i="1"/>
  <c r="U2595" i="1" s="1"/>
  <c r="R2539" i="1"/>
  <c r="U2539" i="1" s="1"/>
  <c r="R2435" i="1"/>
  <c r="U2435" i="1" s="1"/>
  <c r="R2431" i="1"/>
  <c r="U2431" i="1" s="1"/>
  <c r="R2339" i="1"/>
  <c r="U2339" i="1" s="1"/>
  <c r="R2239" i="1"/>
  <c r="U2239" i="1" s="1"/>
  <c r="R2235" i="1"/>
  <c r="U2235" i="1" s="1"/>
  <c r="R2139" i="1"/>
  <c r="U2139" i="1" s="1"/>
  <c r="R2039" i="1"/>
  <c r="U2039" i="1" s="1"/>
  <c r="R2035" i="1"/>
  <c r="U2035" i="1" s="1"/>
  <c r="R1943" i="1"/>
  <c r="U1943" i="1" s="1"/>
  <c r="R1939" i="1"/>
  <c r="U1939" i="1" s="1"/>
  <c r="R1867" i="1"/>
  <c r="U1867" i="1" s="1"/>
  <c r="R1863" i="1"/>
  <c r="U1863" i="1" s="1"/>
  <c r="R1783" i="1"/>
  <c r="U1783" i="1" s="1"/>
  <c r="R1779" i="1"/>
  <c r="U1779" i="1" s="1"/>
  <c r="R1711" i="1"/>
  <c r="U1711" i="1" s="1"/>
  <c r="R1707" i="1"/>
  <c r="U1707" i="1" s="1"/>
  <c r="R1623" i="1"/>
  <c r="U1623" i="1" s="1"/>
  <c r="R1619" i="1"/>
  <c r="U1619" i="1" s="1"/>
  <c r="R1571" i="1"/>
  <c r="U1571" i="1" s="1"/>
  <c r="R1503" i="1"/>
  <c r="U1503" i="1" s="1"/>
  <c r="R1435" i="1"/>
  <c r="U1435" i="1" s="1"/>
  <c r="R1431" i="1"/>
  <c r="U1431" i="1" s="1"/>
  <c r="R1355" i="1"/>
  <c r="R1331" i="1"/>
  <c r="U1331" i="1" s="1"/>
  <c r="R1287" i="1"/>
  <c r="R1275" i="1"/>
  <c r="U1275" i="1" s="1"/>
  <c r="R2537" i="1"/>
  <c r="U2537" i="1" s="1"/>
  <c r="R2434" i="1"/>
  <c r="U2434" i="1" s="1"/>
  <c r="R2342" i="1"/>
  <c r="U2342" i="1" s="1"/>
  <c r="R2238" i="1"/>
  <c r="U2238" i="1" s="1"/>
  <c r="U1264" i="1"/>
  <c r="U1280" i="1"/>
  <c r="R1296" i="1"/>
  <c r="U1296" i="1" s="1"/>
  <c r="R1312" i="1"/>
  <c r="U1336" i="1"/>
  <c r="R2850" i="1"/>
  <c r="U2850" i="1" s="1"/>
  <c r="R2846" i="1"/>
  <c r="U2846" i="1" s="1"/>
  <c r="R2734" i="1"/>
  <c r="U2734" i="1" s="1"/>
  <c r="R2650" i="1"/>
  <c r="U2650" i="1" s="1"/>
  <c r="R2562" i="1"/>
  <c r="U2562" i="1" s="1"/>
  <c r="R2558" i="1"/>
  <c r="U2558" i="1" s="1"/>
  <c r="R2506" i="1"/>
  <c r="U2506" i="1" s="1"/>
  <c r="R2502" i="1"/>
  <c r="U2502" i="1" s="1"/>
  <c r="R2498" i="1"/>
  <c r="U2498" i="1" s="1"/>
  <c r="R2848" i="1"/>
  <c r="U2848" i="1" s="1"/>
  <c r="R2780" i="1"/>
  <c r="U2780" i="1" s="1"/>
  <c r="R2736" i="1"/>
  <c r="U2736" i="1" s="1"/>
  <c r="R2652" i="1"/>
  <c r="U2652" i="1" s="1"/>
  <c r="R2648" i="1"/>
  <c r="U2648" i="1" s="1"/>
  <c r="R2560" i="1"/>
  <c r="U2560" i="1" s="1"/>
  <c r="R2504" i="1"/>
  <c r="U2504" i="1" s="1"/>
  <c r="R2500" i="1"/>
  <c r="U2500" i="1" s="1"/>
  <c r="R2496" i="1"/>
  <c r="U2496" i="1" s="1"/>
  <c r="R2561" i="1"/>
  <c r="U2561" i="1" s="1"/>
  <c r="R2497" i="1"/>
  <c r="U2497" i="1" s="1"/>
  <c r="R2390" i="1"/>
  <c r="R2306" i="1"/>
  <c r="U2306" i="1" s="1"/>
  <c r="R2847" i="1"/>
  <c r="U2847" i="1" s="1"/>
  <c r="R2735" i="1"/>
  <c r="U2735" i="1" s="1"/>
  <c r="R2647" i="1"/>
  <c r="U2647" i="1" s="1"/>
  <c r="R2559" i="1"/>
  <c r="U2559" i="1" s="1"/>
  <c r="R2503" i="1"/>
  <c r="U2503" i="1" s="1"/>
  <c r="R2393" i="1"/>
  <c r="R2389" i="1"/>
  <c r="U2389" i="1" s="1"/>
  <c r="R2309" i="1"/>
  <c r="U2309" i="1" s="1"/>
  <c r="R2305" i="1"/>
  <c r="U2305" i="1" s="1"/>
  <c r="R2201" i="1"/>
  <c r="U2201" i="1" s="1"/>
  <c r="R2193" i="1"/>
  <c r="U2193" i="1" s="1"/>
  <c r="R2109" i="1"/>
  <c r="U2109" i="1" s="1"/>
  <c r="R2105" i="1"/>
  <c r="U2105" i="1" s="1"/>
  <c r="R2001" i="1"/>
  <c r="R1997" i="1"/>
  <c r="U1997" i="1" s="1"/>
  <c r="R1905" i="1"/>
  <c r="U1905" i="1" s="1"/>
  <c r="R1841" i="1"/>
  <c r="U1841" i="1" s="1"/>
  <c r="R1761" i="1"/>
  <c r="U1761" i="1" s="1"/>
  <c r="R1757" i="1"/>
  <c r="R1681" i="1"/>
  <c r="U1681" i="1" s="1"/>
  <c r="R1677" i="1"/>
  <c r="U1677" i="1" s="1"/>
  <c r="R1593" i="1"/>
  <c r="U1593" i="1" s="1"/>
  <c r="R1589" i="1"/>
  <c r="U1589" i="1" s="1"/>
  <c r="R1557" i="1"/>
  <c r="U1557" i="1" s="1"/>
  <c r="R1489" i="1"/>
  <c r="U1489" i="1" s="1"/>
  <c r="R1485" i="1"/>
  <c r="U1485" i="1" s="1"/>
  <c r="R1401" i="1"/>
  <c r="R1337" i="1"/>
  <c r="R1297" i="1"/>
  <c r="U1297" i="1" s="1"/>
  <c r="R1281" i="1"/>
  <c r="U1281" i="1" s="1"/>
  <c r="R1265" i="1"/>
  <c r="R2845" i="1"/>
  <c r="U2845" i="1" s="1"/>
  <c r="R2781" i="1"/>
  <c r="U2781" i="1" s="1"/>
  <c r="R2501" i="1"/>
  <c r="U2501" i="1" s="1"/>
  <c r="R2388" i="1"/>
  <c r="U2388" i="1" s="1"/>
  <c r="R2308" i="1"/>
  <c r="U2308" i="1" s="1"/>
  <c r="R2204" i="1"/>
  <c r="U2204" i="1" s="1"/>
  <c r="R2196" i="1"/>
  <c r="U2196" i="1" s="1"/>
  <c r="R2108" i="1"/>
  <c r="U2108" i="1" s="1"/>
  <c r="R2557" i="1"/>
  <c r="U2557" i="1" s="1"/>
  <c r="R2392" i="1"/>
  <c r="U2392" i="1" s="1"/>
  <c r="R2200" i="1"/>
  <c r="U2200" i="1" s="1"/>
  <c r="R2104" i="1"/>
  <c r="U2104" i="1" s="1"/>
  <c r="R2851" i="1"/>
  <c r="U2851" i="1" s="1"/>
  <c r="R2651" i="1"/>
  <c r="U2651" i="1" s="1"/>
  <c r="R2499" i="1"/>
  <c r="U2499" i="1" s="1"/>
  <c r="R2391" i="1"/>
  <c r="U2391" i="1" s="1"/>
  <c r="R2387" i="1"/>
  <c r="U2387" i="1" s="1"/>
  <c r="R2311" i="1"/>
  <c r="U2311" i="1" s="1"/>
  <c r="R2307" i="1"/>
  <c r="U2307" i="1" s="1"/>
  <c r="R2203" i="1"/>
  <c r="U2203" i="1" s="1"/>
  <c r="R2199" i="1"/>
  <c r="U2199" i="1" s="1"/>
  <c r="R2195" i="1"/>
  <c r="U2195" i="1" s="1"/>
  <c r="R2107" i="1"/>
  <c r="R2103" i="1"/>
  <c r="U2103" i="1" s="1"/>
  <c r="R1999" i="1"/>
  <c r="U1999" i="1" s="1"/>
  <c r="R1907" i="1"/>
  <c r="U1907" i="1" s="1"/>
  <c r="R1839" i="1"/>
  <c r="U1839" i="1" s="1"/>
  <c r="R1759" i="1"/>
  <c r="R1679" i="1"/>
  <c r="U1679" i="1" s="1"/>
  <c r="R1675" i="1"/>
  <c r="U1675" i="1" s="1"/>
  <c r="R1591" i="1"/>
  <c r="U1591" i="1" s="1"/>
  <c r="R1587" i="1"/>
  <c r="U1587" i="1" s="1"/>
  <c r="R1555" i="1"/>
  <c r="U1555" i="1" s="1"/>
  <c r="R1527" i="1"/>
  <c r="R1487" i="1"/>
  <c r="U1487" i="1" s="1"/>
  <c r="R1403" i="1"/>
  <c r="U1403" i="1" s="1"/>
  <c r="R1399" i="1"/>
  <c r="U1399" i="1" s="1"/>
  <c r="R1395" i="1"/>
  <c r="U1395" i="1" s="1"/>
  <c r="R1335" i="1"/>
  <c r="R1323" i="1"/>
  <c r="R1263" i="1"/>
  <c r="R2849" i="1"/>
  <c r="U2849" i="1" s="1"/>
  <c r="R2649" i="1"/>
  <c r="U2649" i="1" s="1"/>
  <c r="R2505" i="1"/>
  <c r="U2505" i="1" s="1"/>
  <c r="R2386" i="1"/>
  <c r="R2310" i="1"/>
  <c r="U2310" i="1" s="1"/>
  <c r="C65" i="2"/>
  <c r="C73" i="2"/>
  <c r="R2770" i="1"/>
  <c r="U2770" i="1" s="1"/>
  <c r="R2718" i="1"/>
  <c r="U2718" i="1" s="1"/>
  <c r="R2714" i="1"/>
  <c r="U2714" i="1" s="1"/>
  <c r="R2626" i="1"/>
  <c r="U2626" i="1" s="1"/>
  <c r="R2622" i="1"/>
  <c r="U2622" i="1" s="1"/>
  <c r="R2466" i="1"/>
  <c r="U2466" i="1" s="1"/>
  <c r="R2896" i="1"/>
  <c r="U2896" i="1" s="1"/>
  <c r="R2756" i="1"/>
  <c r="U2756" i="1" s="1"/>
  <c r="R2716" i="1"/>
  <c r="U2716" i="1" s="1"/>
  <c r="R2624" i="1"/>
  <c r="U2624" i="1" s="1"/>
  <c r="R2620" i="1"/>
  <c r="U2620" i="1" s="1"/>
  <c r="R2552" i="1"/>
  <c r="U2552" i="1" s="1"/>
  <c r="R2464" i="1"/>
  <c r="U2464" i="1" s="1"/>
  <c r="R2460" i="1"/>
  <c r="U2460" i="1" s="1"/>
  <c r="R2625" i="1"/>
  <c r="U2625" i="1" s="1"/>
  <c r="R2465" i="1"/>
  <c r="U2465" i="1" s="1"/>
  <c r="R2358" i="1"/>
  <c r="U2358" i="1" s="1"/>
  <c r="R2274" i="1"/>
  <c r="U2274" i="1" s="1"/>
  <c r="R2623" i="1"/>
  <c r="U2623" i="1" s="1"/>
  <c r="R2463" i="1"/>
  <c r="U2463" i="1" s="1"/>
  <c r="R2361" i="1"/>
  <c r="U2361" i="1" s="1"/>
  <c r="R2277" i="1"/>
  <c r="U2277" i="1" s="1"/>
  <c r="R2273" i="1"/>
  <c r="U2273" i="1" s="1"/>
  <c r="R2169" i="1"/>
  <c r="U2169" i="1" s="1"/>
  <c r="R2165" i="1"/>
  <c r="U2165" i="1" s="1"/>
  <c r="R2073" i="1"/>
  <c r="U2073" i="1" s="1"/>
  <c r="R2069" i="1"/>
  <c r="U2069" i="1" s="1"/>
  <c r="R1969" i="1"/>
  <c r="U1969" i="1" s="1"/>
  <c r="R1965" i="1"/>
  <c r="U1965" i="1" s="1"/>
  <c r="R1885" i="1"/>
  <c r="U1885" i="1" s="1"/>
  <c r="R1809" i="1"/>
  <c r="U1809" i="1" s="1"/>
  <c r="R1805" i="1"/>
  <c r="U1805" i="1" s="1"/>
  <c r="R1741" i="1"/>
  <c r="U1741" i="1" s="1"/>
  <c r="R1737" i="1"/>
  <c r="U1737" i="1" s="1"/>
  <c r="R1653" i="1"/>
  <c r="U1653" i="1" s="1"/>
  <c r="R1649" i="1"/>
  <c r="U1649" i="1" s="1"/>
  <c r="R1545" i="1"/>
  <c r="R1457" i="1"/>
  <c r="R1377" i="1"/>
  <c r="U1377" i="1" s="1"/>
  <c r="R1293" i="1"/>
  <c r="R2717" i="1"/>
  <c r="U2717" i="1" s="1"/>
  <c r="R2621" i="1"/>
  <c r="U2621" i="1" s="1"/>
  <c r="R2360" i="1"/>
  <c r="U2360" i="1" s="1"/>
  <c r="R2276" i="1"/>
  <c r="U2276" i="1" s="1"/>
  <c r="R2164" i="1"/>
  <c r="U2164" i="1" s="1"/>
  <c r="R2068" i="1"/>
  <c r="U2068" i="1" s="1"/>
  <c r="R2462" i="1"/>
  <c r="U2462" i="1" s="1"/>
  <c r="R2364" i="1"/>
  <c r="U2364" i="1" s="1"/>
  <c r="R2280" i="1"/>
  <c r="U2280" i="1" s="1"/>
  <c r="R2272" i="1"/>
  <c r="U2272" i="1" s="1"/>
  <c r="R2168" i="1"/>
  <c r="U2168" i="1" s="1"/>
  <c r="R2072" i="1"/>
  <c r="U2072" i="1" s="1"/>
  <c r="R2755" i="1"/>
  <c r="U2755" i="1" s="1"/>
  <c r="R2715" i="1"/>
  <c r="U2715" i="1" s="1"/>
  <c r="R2467" i="1"/>
  <c r="U2467" i="1" s="1"/>
  <c r="R2461" i="1"/>
  <c r="U2461" i="1" s="1"/>
  <c r="R2363" i="1"/>
  <c r="U2363" i="1" s="1"/>
  <c r="R2359" i="1"/>
  <c r="U2359" i="1" s="1"/>
  <c r="R2279" i="1"/>
  <c r="U2279" i="1" s="1"/>
  <c r="R2275" i="1"/>
  <c r="U2275" i="1" s="1"/>
  <c r="R2271" i="1"/>
  <c r="U2271" i="1" s="1"/>
  <c r="R2171" i="1"/>
  <c r="U2171" i="1" s="1"/>
  <c r="R2167" i="1"/>
  <c r="U2167" i="1" s="1"/>
  <c r="R2075" i="1"/>
  <c r="U2075" i="1" s="1"/>
  <c r="R2071" i="1"/>
  <c r="U2071" i="1" s="1"/>
  <c r="R2067" i="1"/>
  <c r="U2067" i="1" s="1"/>
  <c r="R1967" i="1"/>
  <c r="U1967" i="1" s="1"/>
  <c r="R1887" i="1"/>
  <c r="U1887" i="1" s="1"/>
  <c r="R1807" i="1"/>
  <c r="U1807" i="1" s="1"/>
  <c r="R1743" i="1"/>
  <c r="U1743" i="1" s="1"/>
  <c r="R1739" i="1"/>
  <c r="U1739" i="1" s="1"/>
  <c r="R1651" i="1"/>
  <c r="U1651" i="1" s="1"/>
  <c r="R1647" i="1"/>
  <c r="U1647" i="1" s="1"/>
  <c r="R1575" i="1"/>
  <c r="U1575" i="1" s="1"/>
  <c r="R1519" i="1"/>
  <c r="U1519" i="1" s="1"/>
  <c r="R1459" i="1"/>
  <c r="U1459" i="1" s="1"/>
  <c r="R1319" i="1"/>
  <c r="R2897" i="1"/>
  <c r="U2897" i="1" s="1"/>
  <c r="R2769" i="1"/>
  <c r="U2769" i="1" s="1"/>
  <c r="R2362" i="1"/>
  <c r="U2362" i="1" s="1"/>
  <c r="R2278" i="1"/>
  <c r="U2278" i="1" s="1"/>
  <c r="R1268" i="1"/>
  <c r="R1276" i="1"/>
  <c r="R1284" i="1"/>
  <c r="U1284" i="1" s="1"/>
  <c r="R1300" i="1"/>
  <c r="U1300" i="1" s="1"/>
  <c r="R1308" i="1"/>
  <c r="R1316" i="1"/>
  <c r="R1324" i="1"/>
  <c r="U1324" i="1" s="1"/>
  <c r="R1340" i="1"/>
  <c r="U1340" i="1" s="1"/>
  <c r="R1348" i="1"/>
  <c r="U1348" i="1" s="1"/>
  <c r="R1356" i="1"/>
  <c r="U1356" i="1" s="1"/>
  <c r="R1364" i="1"/>
  <c r="U1364" i="1" s="1"/>
  <c r="R1396" i="1"/>
  <c r="U1396" i="1" s="1"/>
  <c r="R1404" i="1"/>
  <c r="R1412" i="1"/>
  <c r="U1412" i="1" s="1"/>
  <c r="R1444" i="1"/>
  <c r="U1444" i="1" s="1"/>
  <c r="R1460" i="1"/>
  <c r="U1460" i="1" s="1"/>
  <c r="R1476" i="1"/>
  <c r="U1476" i="1" s="1"/>
  <c r="R1492" i="1"/>
  <c r="U1492" i="1" s="1"/>
  <c r="R1524" i="1"/>
  <c r="U1524" i="1" s="1"/>
  <c r="R1532" i="1"/>
  <c r="U1532" i="1" s="1"/>
  <c r="R1556" i="1"/>
  <c r="U1556" i="1" s="1"/>
  <c r="R1564" i="1"/>
  <c r="U1564" i="1" s="1"/>
  <c r="R1588" i="1"/>
  <c r="U1588" i="1" s="1"/>
  <c r="R1596" i="1"/>
  <c r="U1596" i="1" s="1"/>
  <c r="R1604" i="1"/>
  <c r="U1604" i="1" s="1"/>
  <c r="R1620" i="1"/>
  <c r="U1620" i="1" s="1"/>
  <c r="R1636" i="1"/>
  <c r="U1636" i="1" s="1"/>
  <c r="R1652" i="1"/>
  <c r="U1652" i="1" s="1"/>
  <c r="R1676" i="1"/>
  <c r="U1676" i="1" s="1"/>
  <c r="R1684" i="1"/>
  <c r="U1684" i="1" s="1"/>
  <c r="R1692" i="1"/>
  <c r="U1692" i="1" s="1"/>
  <c r="R1708" i="1"/>
  <c r="U1708" i="1" s="1"/>
  <c r="R1724" i="1"/>
  <c r="U1724" i="1" s="1"/>
  <c r="R1740" i="1"/>
  <c r="U1740" i="1" s="1"/>
  <c r="R1764" i="1"/>
  <c r="U1764" i="1" s="1"/>
  <c r="R1780" i="1"/>
  <c r="U1780" i="1" s="1"/>
  <c r="R1796" i="1"/>
  <c r="U1796" i="1" s="1"/>
  <c r="R1820" i="1"/>
  <c r="U1820" i="1" s="1"/>
  <c r="R1828" i="1"/>
  <c r="U1828" i="1" s="1"/>
  <c r="R1844" i="1"/>
  <c r="U1844" i="1" s="1"/>
  <c r="R1852" i="1"/>
  <c r="U1852" i="1" s="1"/>
  <c r="R1868" i="1"/>
  <c r="U1868" i="1" s="1"/>
  <c r="R1884" i="1"/>
  <c r="U1884" i="1" s="1"/>
  <c r="R1908" i="1"/>
  <c r="U1908" i="1" s="1"/>
  <c r="R1916" i="1"/>
  <c r="U1916" i="1" s="1"/>
  <c r="R1924" i="1"/>
  <c r="U1924" i="1" s="1"/>
  <c r="R1940" i="1"/>
  <c r="U1940" i="1" s="1"/>
  <c r="R1964" i="1"/>
  <c r="U1964" i="1" s="1"/>
  <c r="R1996" i="1"/>
  <c r="R2004" i="1"/>
  <c r="R2012" i="1"/>
  <c r="U2012" i="1" s="1"/>
  <c r="R2020" i="1"/>
  <c r="R2034" i="1"/>
  <c r="U2034" i="1" s="1"/>
  <c r="R2050" i="1"/>
  <c r="U2050" i="1" s="1"/>
  <c r="R2114" i="1"/>
  <c r="U2114" i="1" s="1"/>
  <c r="R2194" i="1"/>
  <c r="U2194" i="1" s="1"/>
  <c r="R2210" i="1"/>
  <c r="U2210" i="1" s="1"/>
  <c r="R1854" i="1"/>
  <c r="U1854" i="1" s="1"/>
  <c r="R1878" i="1"/>
  <c r="U1878" i="1" s="1"/>
  <c r="R1886" i="1"/>
  <c r="U1886" i="1" s="1"/>
  <c r="R1910" i="1"/>
  <c r="U1910" i="1" s="1"/>
  <c r="R1918" i="1"/>
  <c r="U1918" i="1" s="1"/>
  <c r="R1926" i="1"/>
  <c r="U1926" i="1" s="1"/>
  <c r="R1942" i="1"/>
  <c r="U1942" i="1" s="1"/>
  <c r="R1966" i="1"/>
  <c r="U1966" i="1" s="1"/>
  <c r="R1982" i="1"/>
  <c r="U1982" i="1" s="1"/>
  <c r="R1998" i="1"/>
  <c r="U1998" i="1" s="1"/>
  <c r="R2006" i="1"/>
  <c r="U2006" i="1" s="1"/>
  <c r="R2014" i="1"/>
  <c r="U2014" i="1" s="1"/>
  <c r="R2038" i="1"/>
  <c r="U2038" i="1" s="1"/>
  <c r="R2054" i="1"/>
  <c r="U2054" i="1" s="1"/>
  <c r="R2070" i="1"/>
  <c r="U2070" i="1" s="1"/>
  <c r="R2086" i="1"/>
  <c r="U2086" i="1" s="1"/>
  <c r="R2118" i="1"/>
  <c r="U2118" i="1" s="1"/>
  <c r="R2150" i="1"/>
  <c r="U2150" i="1" s="1"/>
  <c r="R2166" i="1"/>
  <c r="U2166" i="1" s="1"/>
  <c r="R2182" i="1"/>
  <c r="U2182" i="1" s="1"/>
  <c r="R2198" i="1"/>
  <c r="U2198" i="1" s="1"/>
  <c r="R2214" i="1"/>
  <c r="U2214" i="1" s="1"/>
  <c r="R2858" i="1"/>
  <c r="U2858" i="1" s="1"/>
  <c r="R2834" i="1"/>
  <c r="U2834" i="1" s="1"/>
  <c r="R2794" i="1"/>
  <c r="U2794" i="1" s="1"/>
  <c r="R2742" i="1"/>
  <c r="U2742" i="1" s="1"/>
  <c r="R2670" i="1"/>
  <c r="U2670" i="1" s="1"/>
  <c r="R2666" i="1"/>
  <c r="U2666" i="1" s="1"/>
  <c r="R2574" i="1"/>
  <c r="U2574" i="1" s="1"/>
  <c r="R2526" i="1"/>
  <c r="U2526" i="1" s="1"/>
  <c r="R2522" i="1"/>
  <c r="U2522" i="1" s="1"/>
  <c r="R2518" i="1"/>
  <c r="U2518" i="1" s="1"/>
  <c r="R2860" i="1"/>
  <c r="U2860" i="1" s="1"/>
  <c r="R2836" i="1"/>
  <c r="U2836" i="1" s="1"/>
  <c r="R2832" i="1"/>
  <c r="U2832" i="1" s="1"/>
  <c r="R2796" i="1"/>
  <c r="U2796" i="1" s="1"/>
  <c r="R2792" i="1"/>
  <c r="U2792" i="1" s="1"/>
  <c r="R2740" i="1"/>
  <c r="U2740" i="1" s="1"/>
  <c r="R2672" i="1"/>
  <c r="U2672" i="1" s="1"/>
  <c r="R2668" i="1"/>
  <c r="U2668" i="1" s="1"/>
  <c r="R2664" i="1"/>
  <c r="U2664" i="1" s="1"/>
  <c r="R2576" i="1"/>
  <c r="U2576" i="1" s="1"/>
  <c r="R2572" i="1"/>
  <c r="U2572" i="1" s="1"/>
  <c r="R2524" i="1"/>
  <c r="U2524" i="1" s="1"/>
  <c r="R2520" i="1"/>
  <c r="U2520" i="1" s="1"/>
  <c r="R2857" i="1"/>
  <c r="U2857" i="1" s="1"/>
  <c r="R2793" i="1"/>
  <c r="U2793" i="1" s="1"/>
  <c r="R2577" i="1"/>
  <c r="U2577" i="1" s="1"/>
  <c r="R2414" i="1"/>
  <c r="U2414" i="1" s="1"/>
  <c r="R2322" i="1"/>
  <c r="U2322" i="1" s="1"/>
  <c r="R2831" i="1"/>
  <c r="U2831" i="1" s="1"/>
  <c r="R2791" i="1"/>
  <c r="U2791" i="1" s="1"/>
  <c r="R2671" i="1"/>
  <c r="U2671" i="1" s="1"/>
  <c r="R2575" i="1"/>
  <c r="U2575" i="1" s="1"/>
  <c r="R2519" i="1"/>
  <c r="U2519" i="1" s="1"/>
  <c r="R2413" i="1"/>
  <c r="U2413" i="1" s="1"/>
  <c r="R2409" i="1"/>
  <c r="U2409" i="1" s="1"/>
  <c r="R2329" i="1"/>
  <c r="U2329" i="1" s="1"/>
  <c r="R2325" i="1"/>
  <c r="U2325" i="1" s="1"/>
  <c r="R2321" i="1"/>
  <c r="U2321" i="1" s="1"/>
  <c r="R2225" i="1"/>
  <c r="U2225" i="1" s="1"/>
  <c r="R2221" i="1"/>
  <c r="U2221" i="1" s="1"/>
  <c r="R2217" i="1"/>
  <c r="U2217" i="1" s="1"/>
  <c r="R2125" i="1"/>
  <c r="U2125" i="1" s="1"/>
  <c r="R2121" i="1"/>
  <c r="U2121" i="1" s="1"/>
  <c r="R2021" i="1"/>
  <c r="U2021" i="1" s="1"/>
  <c r="R2017" i="1"/>
  <c r="U2017" i="1" s="1"/>
  <c r="R2013" i="1"/>
  <c r="U2013" i="1" s="1"/>
  <c r="R1925" i="1"/>
  <c r="U1925" i="1" s="1"/>
  <c r="R1921" i="1"/>
  <c r="U1921" i="1" s="1"/>
  <c r="R1853" i="1"/>
  <c r="U1853" i="1" s="1"/>
  <c r="R1769" i="1"/>
  <c r="U1769" i="1" s="1"/>
  <c r="R1697" i="1"/>
  <c r="U1697" i="1" s="1"/>
  <c r="R1693" i="1"/>
  <c r="U1693" i="1" s="1"/>
  <c r="R1609" i="1"/>
  <c r="U1609" i="1" s="1"/>
  <c r="R1605" i="1"/>
  <c r="U1605" i="1" s="1"/>
  <c r="R1497" i="1"/>
  <c r="U1497" i="1" s="1"/>
  <c r="R1417" i="1"/>
  <c r="U1417" i="1" s="1"/>
  <c r="R1413" i="1"/>
  <c r="R1345" i="1"/>
  <c r="U1345" i="1" s="1"/>
  <c r="R1309" i="1"/>
  <c r="R1269" i="1"/>
  <c r="U1269" i="1" s="1"/>
  <c r="R1257" i="1"/>
  <c r="R2861" i="1"/>
  <c r="U2861" i="1" s="1"/>
  <c r="R2741" i="1"/>
  <c r="U2741" i="1" s="1"/>
  <c r="R2669" i="1"/>
  <c r="U2669" i="1" s="1"/>
  <c r="R2412" i="1"/>
  <c r="U2412" i="1" s="1"/>
  <c r="R2324" i="1"/>
  <c r="U2324" i="1" s="1"/>
  <c r="R2220" i="1"/>
  <c r="U2220" i="1" s="1"/>
  <c r="R2124" i="1"/>
  <c r="U2124" i="1" s="1"/>
  <c r="R2573" i="1"/>
  <c r="U2573" i="1" s="1"/>
  <c r="R2525" i="1"/>
  <c r="U2525" i="1" s="1"/>
  <c r="R2408" i="1"/>
  <c r="U2408" i="1" s="1"/>
  <c r="R2328" i="1"/>
  <c r="U2328" i="1" s="1"/>
  <c r="R2224" i="1"/>
  <c r="U2224" i="1" s="1"/>
  <c r="R2216" i="1"/>
  <c r="U2216" i="1" s="1"/>
  <c r="R2128" i="1"/>
  <c r="U2128" i="1" s="1"/>
  <c r="R2120" i="1"/>
  <c r="U2120" i="1" s="1"/>
  <c r="R2859" i="1"/>
  <c r="U2859" i="1" s="1"/>
  <c r="R2835" i="1"/>
  <c r="U2835" i="1" s="1"/>
  <c r="R2795" i="1"/>
  <c r="U2795" i="1" s="1"/>
  <c r="R2667" i="1"/>
  <c r="U2667" i="1" s="1"/>
  <c r="R2571" i="1"/>
  <c r="U2571" i="1" s="1"/>
  <c r="R2523" i="1"/>
  <c r="U2523" i="1" s="1"/>
  <c r="R2415" i="1"/>
  <c r="U2415" i="1" s="1"/>
  <c r="R2411" i="1"/>
  <c r="U2411" i="1" s="1"/>
  <c r="R2407" i="1"/>
  <c r="U2407" i="1" s="1"/>
  <c r="R2327" i="1"/>
  <c r="U2327" i="1" s="1"/>
  <c r="R2323" i="1"/>
  <c r="U2323" i="1" s="1"/>
  <c r="R2223" i="1"/>
  <c r="U2223" i="1" s="1"/>
  <c r="R2219" i="1"/>
  <c r="U2219" i="1" s="1"/>
  <c r="R2215" i="1"/>
  <c r="U2215" i="1" s="1"/>
  <c r="R2127" i="1"/>
  <c r="U2127" i="1" s="1"/>
  <c r="R2123" i="1"/>
  <c r="U2123" i="1" s="1"/>
  <c r="R2019" i="1"/>
  <c r="U2019" i="1" s="1"/>
  <c r="R2015" i="1"/>
  <c r="U2015" i="1" s="1"/>
  <c r="R1927" i="1"/>
  <c r="U1927" i="1" s="1"/>
  <c r="R1923" i="1"/>
  <c r="U1923" i="1" s="1"/>
  <c r="R1771" i="1"/>
  <c r="U1771" i="1" s="1"/>
  <c r="R1767" i="1"/>
  <c r="U1767" i="1" s="1"/>
  <c r="R1695" i="1"/>
  <c r="U1695" i="1" s="1"/>
  <c r="R1691" i="1"/>
  <c r="U1691" i="1" s="1"/>
  <c r="R1607" i="1"/>
  <c r="U1607" i="1" s="1"/>
  <c r="R1603" i="1"/>
  <c r="U1603" i="1" s="1"/>
  <c r="R1563" i="1"/>
  <c r="U1563" i="1" s="1"/>
  <c r="R1531" i="1"/>
  <c r="R1495" i="1"/>
  <c r="U1495" i="1" s="1"/>
  <c r="R1419" i="1"/>
  <c r="U1419" i="1" s="1"/>
  <c r="R1415" i="1"/>
  <c r="R1347" i="1"/>
  <c r="U1347" i="1" s="1"/>
  <c r="R1299" i="1"/>
  <c r="R1283" i="1"/>
  <c r="R1271" i="1"/>
  <c r="R2833" i="1"/>
  <c r="U2833" i="1" s="1"/>
  <c r="R2665" i="1"/>
  <c r="U2665" i="1" s="1"/>
  <c r="R2521" i="1"/>
  <c r="U2521" i="1" s="1"/>
  <c r="R2410" i="1"/>
  <c r="U2410" i="1" s="1"/>
  <c r="R2326" i="1"/>
  <c r="U2326" i="1" s="1"/>
  <c r="R1278" i="1"/>
  <c r="U1278" i="1" s="1"/>
  <c r="R1334" i="1"/>
  <c r="U1334" i="1" s="1"/>
  <c r="R1414" i="1"/>
  <c r="U1414" i="1" s="1"/>
  <c r="R1470" i="1"/>
  <c r="U1470" i="1" s="1"/>
  <c r="R1526" i="1"/>
  <c r="U1526" i="1" s="1"/>
  <c r="R1344" i="1"/>
  <c r="R1368" i="1"/>
  <c r="R1376" i="1"/>
  <c r="R1384" i="1"/>
  <c r="U1384" i="1" s="1"/>
  <c r="R1400" i="1"/>
  <c r="U1400" i="1" s="1"/>
  <c r="R1408" i="1"/>
  <c r="U1408" i="1" s="1"/>
  <c r="R1416" i="1"/>
  <c r="U1416" i="1" s="1"/>
  <c r="R1432" i="1"/>
  <c r="U1432" i="1" s="1"/>
  <c r="R1448" i="1"/>
  <c r="U1448" i="1" s="1"/>
  <c r="R1456" i="1"/>
  <c r="U1456" i="1" s="1"/>
  <c r="R1472" i="1"/>
  <c r="U1472" i="1" s="1"/>
  <c r="R1488" i="1"/>
  <c r="U1488" i="1" s="1"/>
  <c r="R1496" i="1"/>
  <c r="U1496" i="1" s="1"/>
  <c r="R1504" i="1"/>
  <c r="U1504" i="1" s="1"/>
  <c r="R1512" i="1"/>
  <c r="U1512" i="1" s="1"/>
  <c r="R1528" i="1"/>
  <c r="R1536" i="1"/>
  <c r="R1560" i="1"/>
  <c r="R1584" i="1"/>
  <c r="U1584" i="1" s="1"/>
  <c r="R1592" i="1"/>
  <c r="U1592" i="1" s="1"/>
  <c r="R1600" i="1"/>
  <c r="U1600" i="1" s="1"/>
  <c r="R1608" i="1"/>
  <c r="U1608" i="1" s="1"/>
  <c r="R1624" i="1"/>
  <c r="U1624" i="1" s="1"/>
  <c r="R1640" i="1"/>
  <c r="U1640" i="1" s="1"/>
  <c r="R1648" i="1"/>
  <c r="U1648" i="1" s="1"/>
  <c r="R1664" i="1"/>
  <c r="U1664" i="1" s="1"/>
  <c r="R1680" i="1"/>
  <c r="U1680" i="1" s="1"/>
  <c r="R1688" i="1"/>
  <c r="U1688" i="1" s="1"/>
  <c r="R1696" i="1"/>
  <c r="U1696" i="1" s="1"/>
  <c r="R1712" i="1"/>
  <c r="U1712" i="1" s="1"/>
  <c r="R1728" i="1"/>
  <c r="U1728" i="1" s="1"/>
  <c r="R1752" i="1"/>
  <c r="U1752" i="1" s="1"/>
  <c r="R1760" i="1"/>
  <c r="R1768" i="1"/>
  <c r="U1768" i="1" s="1"/>
  <c r="R1784" i="1"/>
  <c r="U1784" i="1" s="1"/>
  <c r="R1808" i="1"/>
  <c r="U1808" i="1" s="1"/>
  <c r="R1840" i="1"/>
  <c r="U1840" i="1" s="1"/>
  <c r="R1848" i="1"/>
  <c r="U1848" i="1" s="1"/>
  <c r="R1864" i="1"/>
  <c r="U1864" i="1" s="1"/>
  <c r="R1880" i="1"/>
  <c r="U1880" i="1" s="1"/>
  <c r="R1896" i="1"/>
  <c r="U1896" i="1" s="1"/>
  <c r="R1912" i="1"/>
  <c r="U1912" i="1" s="1"/>
  <c r="R1920" i="1"/>
  <c r="U1920" i="1" s="1"/>
  <c r="R1928" i="1"/>
  <c r="U1928" i="1" s="1"/>
  <c r="R1944" i="1"/>
  <c r="U1944" i="1" s="1"/>
  <c r="R1968" i="1"/>
  <c r="U1968" i="1" s="1"/>
  <c r="R1984" i="1"/>
  <c r="U1984" i="1" s="1"/>
  <c r="R2000" i="1"/>
  <c r="U2000" i="1" s="1"/>
  <c r="R2016" i="1"/>
  <c r="U2016" i="1" s="1"/>
  <c r="R2058" i="1"/>
  <c r="U2058" i="1" s="1"/>
  <c r="R2074" i="1"/>
  <c r="U2074" i="1" s="1"/>
  <c r="R2090" i="1"/>
  <c r="U2090" i="1" s="1"/>
  <c r="R2106" i="1"/>
  <c r="U2106" i="1" s="1"/>
  <c r="R2122" i="1"/>
  <c r="U2122" i="1" s="1"/>
  <c r="R2138" i="1"/>
  <c r="U2138" i="1" s="1"/>
  <c r="R2170" i="1"/>
  <c r="U2170" i="1" s="1"/>
  <c r="R2202" i="1"/>
  <c r="U2202" i="1" s="1"/>
  <c r="R2218" i="1"/>
  <c r="U2218" i="1" s="1"/>
  <c r="U1326" i="1"/>
  <c r="R1606" i="1"/>
  <c r="U1606" i="1" s="1"/>
  <c r="R1750" i="1"/>
  <c r="U1750" i="1" s="1"/>
  <c r="R2854" i="1"/>
  <c r="U2854" i="1" s="1"/>
  <c r="R2830" i="1"/>
  <c r="U2830" i="1" s="1"/>
  <c r="R2826" i="1"/>
  <c r="U2826" i="1" s="1"/>
  <c r="R2790" i="1"/>
  <c r="U2790" i="1" s="1"/>
  <c r="R2786" i="1"/>
  <c r="U2786" i="1" s="1"/>
  <c r="R2782" i="1"/>
  <c r="U2782" i="1" s="1"/>
  <c r="R2738" i="1"/>
  <c r="U2738" i="1" s="1"/>
  <c r="R2662" i="1"/>
  <c r="U2662" i="1" s="1"/>
  <c r="R2658" i="1"/>
  <c r="U2658" i="1" s="1"/>
  <c r="R2654" i="1"/>
  <c r="U2654" i="1" s="1"/>
  <c r="R2570" i="1"/>
  <c r="U2570" i="1" s="1"/>
  <c r="R2566" i="1"/>
  <c r="U2566" i="1" s="1"/>
  <c r="R2554" i="1"/>
  <c r="U2554" i="1" s="1"/>
  <c r="R2514" i="1"/>
  <c r="U2514" i="1" s="1"/>
  <c r="R2510" i="1"/>
  <c r="U2510" i="1" s="1"/>
  <c r="R2856" i="1"/>
  <c r="U2856" i="1" s="1"/>
  <c r="R2852" i="1"/>
  <c r="U2852" i="1" s="1"/>
  <c r="R2828" i="1"/>
  <c r="U2828" i="1" s="1"/>
  <c r="R2788" i="1"/>
  <c r="U2788" i="1" s="1"/>
  <c r="R2784" i="1"/>
  <c r="U2784" i="1" s="1"/>
  <c r="R2760" i="1"/>
  <c r="U2760" i="1" s="1"/>
  <c r="R2660" i="1"/>
  <c r="U2660" i="1" s="1"/>
  <c r="R2656" i="1"/>
  <c r="U2656" i="1" s="1"/>
  <c r="R2568" i="1"/>
  <c r="U2568" i="1" s="1"/>
  <c r="R2564" i="1"/>
  <c r="U2564" i="1" s="1"/>
  <c r="R2516" i="1"/>
  <c r="U2516" i="1" s="1"/>
  <c r="R2512" i="1"/>
  <c r="U2512" i="1" s="1"/>
  <c r="R2508" i="1"/>
  <c r="U2508" i="1" s="1"/>
  <c r="R2657" i="1"/>
  <c r="U2657" i="1" s="1"/>
  <c r="R2513" i="1"/>
  <c r="U2513" i="1" s="1"/>
  <c r="R2406" i="1"/>
  <c r="U2406" i="1" s="1"/>
  <c r="R2398" i="1"/>
  <c r="R2318" i="1"/>
  <c r="U2318" i="1" s="1"/>
  <c r="R2855" i="1"/>
  <c r="U2855" i="1" s="1"/>
  <c r="R2783" i="1"/>
  <c r="U2783" i="1" s="1"/>
  <c r="R2663" i="1"/>
  <c r="U2663" i="1" s="1"/>
  <c r="R2655" i="1"/>
  <c r="U2655" i="1" s="1"/>
  <c r="R2567" i="1"/>
  <c r="U2567" i="1" s="1"/>
  <c r="R2511" i="1"/>
  <c r="U2511" i="1" s="1"/>
  <c r="R2405" i="1"/>
  <c r="U2405" i="1" s="1"/>
  <c r="R2401" i="1"/>
  <c r="U2401" i="1" s="1"/>
  <c r="R2397" i="1"/>
  <c r="U2397" i="1" s="1"/>
  <c r="R2317" i="1"/>
  <c r="U2317" i="1" s="1"/>
  <c r="R2313" i="1"/>
  <c r="U2313" i="1" s="1"/>
  <c r="R2213" i="1"/>
  <c r="U2213" i="1" s="1"/>
  <c r="R2209" i="1"/>
  <c r="U2209" i="1" s="1"/>
  <c r="R2205" i="1"/>
  <c r="U2205" i="1" s="1"/>
  <c r="R2197" i="1"/>
  <c r="U2197" i="1" s="1"/>
  <c r="R2117" i="1"/>
  <c r="U2117" i="1" s="1"/>
  <c r="R2113" i="1"/>
  <c r="U2113" i="1" s="1"/>
  <c r="R2009" i="1"/>
  <c r="U2009" i="1" s="1"/>
  <c r="R2005" i="1"/>
  <c r="U2005" i="1" s="1"/>
  <c r="R1917" i="1"/>
  <c r="U1917" i="1" s="1"/>
  <c r="R1913" i="1"/>
  <c r="U1913" i="1" s="1"/>
  <c r="R1909" i="1"/>
  <c r="U1909" i="1" s="1"/>
  <c r="R1849" i="1"/>
  <c r="U1849" i="1" s="1"/>
  <c r="R1845" i="1"/>
  <c r="U1845" i="1" s="1"/>
  <c r="R1765" i="1"/>
  <c r="U1765" i="1" s="1"/>
  <c r="R1689" i="1"/>
  <c r="U1689" i="1" s="1"/>
  <c r="R1685" i="1"/>
  <c r="U1685" i="1" s="1"/>
  <c r="R1601" i="1"/>
  <c r="U1601" i="1" s="1"/>
  <c r="R1597" i="1"/>
  <c r="U1597" i="1" s="1"/>
  <c r="R1561" i="1"/>
  <c r="U1561" i="1" s="1"/>
  <c r="R1529" i="1"/>
  <c r="R1493" i="1"/>
  <c r="U1493" i="1" s="1"/>
  <c r="R1409" i="1"/>
  <c r="R1405" i="1"/>
  <c r="U1405" i="1" s="1"/>
  <c r="R1397" i="1"/>
  <c r="U1397" i="1" s="1"/>
  <c r="R1341" i="1"/>
  <c r="R1325" i="1"/>
  <c r="U1325" i="1" s="1"/>
  <c r="R1321" i="1"/>
  <c r="U1321" i="1" s="1"/>
  <c r="R2853" i="1"/>
  <c r="U2853" i="1" s="1"/>
  <c r="R2829" i="1"/>
  <c r="U2829" i="1" s="1"/>
  <c r="R2789" i="1"/>
  <c r="U2789" i="1" s="1"/>
  <c r="R2661" i="1"/>
  <c r="U2661" i="1" s="1"/>
  <c r="R2653" i="1"/>
  <c r="U2653" i="1" s="1"/>
  <c r="R2565" i="1"/>
  <c r="U2565" i="1" s="1"/>
  <c r="R2517" i="1"/>
  <c r="U2517" i="1" s="1"/>
  <c r="R2404" i="1"/>
  <c r="U2404" i="1" s="1"/>
  <c r="R2396" i="1"/>
  <c r="R2316" i="1"/>
  <c r="U2316" i="1" s="1"/>
  <c r="R2212" i="1"/>
  <c r="U2212" i="1" s="1"/>
  <c r="R2116" i="1"/>
  <c r="U2116" i="1" s="1"/>
  <c r="R2509" i="1"/>
  <c r="U2509" i="1" s="1"/>
  <c r="R2400" i="1"/>
  <c r="U2400" i="1" s="1"/>
  <c r="R2320" i="1"/>
  <c r="U2320" i="1" s="1"/>
  <c r="R2312" i="1"/>
  <c r="U2312" i="1" s="1"/>
  <c r="R2208" i="1"/>
  <c r="U2208" i="1" s="1"/>
  <c r="R2112" i="1"/>
  <c r="U2112" i="1" s="1"/>
  <c r="R2827" i="1"/>
  <c r="U2827" i="1" s="1"/>
  <c r="R2787" i="1"/>
  <c r="U2787" i="1" s="1"/>
  <c r="R2739" i="1"/>
  <c r="U2739" i="1" s="1"/>
  <c r="R2659" i="1"/>
  <c r="U2659" i="1" s="1"/>
  <c r="R2563" i="1"/>
  <c r="U2563" i="1" s="1"/>
  <c r="R2555" i="1"/>
  <c r="U2555" i="1" s="1"/>
  <c r="R2515" i="1"/>
  <c r="U2515" i="1" s="1"/>
  <c r="R2507" i="1"/>
  <c r="U2507" i="1" s="1"/>
  <c r="R2403" i="1"/>
  <c r="U2403" i="1" s="1"/>
  <c r="R2399" i="1"/>
  <c r="R2395" i="1"/>
  <c r="U2395" i="1" s="1"/>
  <c r="R2319" i="1"/>
  <c r="U2319" i="1" s="1"/>
  <c r="R2315" i="1"/>
  <c r="U2315" i="1" s="1"/>
  <c r="R2211" i="1"/>
  <c r="U2211" i="1" s="1"/>
  <c r="R2207" i="1"/>
  <c r="U2207" i="1" s="1"/>
  <c r="R2119" i="1"/>
  <c r="U2119" i="1" s="1"/>
  <c r="R2115" i="1"/>
  <c r="U2115" i="1" s="1"/>
  <c r="R2111" i="1"/>
  <c r="R2011" i="1"/>
  <c r="U2011" i="1" s="1"/>
  <c r="R2007" i="1"/>
  <c r="U2007" i="1" s="1"/>
  <c r="R2003" i="1"/>
  <c r="U2003" i="1" s="1"/>
  <c r="R1995" i="1"/>
  <c r="U1995" i="1" s="1"/>
  <c r="R1919" i="1"/>
  <c r="U1919" i="1" s="1"/>
  <c r="R1915" i="1"/>
  <c r="U1915" i="1" s="1"/>
  <c r="R1911" i="1"/>
  <c r="U1911" i="1" s="1"/>
  <c r="R1851" i="1"/>
  <c r="U1851" i="1" s="1"/>
  <c r="R1847" i="1"/>
  <c r="U1847" i="1" s="1"/>
  <c r="R1843" i="1"/>
  <c r="U1843" i="1" s="1"/>
  <c r="R1763" i="1"/>
  <c r="R1687" i="1"/>
  <c r="U1687" i="1" s="1"/>
  <c r="R1683" i="1"/>
  <c r="U1683" i="1" s="1"/>
  <c r="R1599" i="1"/>
  <c r="U1599" i="1" s="1"/>
  <c r="R1595" i="1"/>
  <c r="U1595" i="1" s="1"/>
  <c r="R1559" i="1"/>
  <c r="U1559" i="1" s="1"/>
  <c r="R1491" i="1"/>
  <c r="U1491" i="1" s="1"/>
  <c r="R1411" i="1"/>
  <c r="U1411" i="1" s="1"/>
  <c r="R1407" i="1"/>
  <c r="U1407" i="1" s="1"/>
  <c r="R1343" i="1"/>
  <c r="R1339" i="1"/>
  <c r="R1327" i="1"/>
  <c r="U1327" i="1" s="1"/>
  <c r="R1307" i="1"/>
  <c r="R1267" i="1"/>
  <c r="U1267" i="1" s="1"/>
  <c r="R2785" i="1"/>
  <c r="U2785" i="1" s="1"/>
  <c r="R2737" i="1"/>
  <c r="U2737" i="1" s="1"/>
  <c r="R2569" i="1"/>
  <c r="U2569" i="1" s="1"/>
  <c r="R2402" i="1"/>
  <c r="R2394" i="1"/>
  <c r="R2314" i="1"/>
  <c r="U2314" i="1" s="1"/>
  <c r="R1288" i="1"/>
  <c r="R1304" i="1"/>
  <c r="U1304" i="1" s="1"/>
  <c r="R1320" i="1"/>
  <c r="U1320" i="1" s="1"/>
  <c r="B71" i="2"/>
  <c r="B67" i="2"/>
  <c r="B73" i="2"/>
  <c r="B69" i="2"/>
  <c r="B65" i="2"/>
  <c r="C63" i="2"/>
  <c r="C71" i="2"/>
  <c r="R2890" i="1"/>
  <c r="U2890" i="1" s="1"/>
  <c r="R2886" i="1"/>
  <c r="U2886" i="1" s="1"/>
  <c r="R2766" i="1"/>
  <c r="U2766" i="1" s="1"/>
  <c r="R2706" i="1"/>
  <c r="U2706" i="1" s="1"/>
  <c r="R2702" i="1"/>
  <c r="U2702" i="1" s="1"/>
  <c r="R2610" i="1"/>
  <c r="U2610" i="1" s="1"/>
  <c r="R2606" i="1"/>
  <c r="U2606" i="1" s="1"/>
  <c r="R2888" i="1"/>
  <c r="U2888" i="1" s="1"/>
  <c r="R2884" i="1"/>
  <c r="U2884" i="1" s="1"/>
  <c r="R2704" i="1"/>
  <c r="U2704" i="1" s="1"/>
  <c r="R2608" i="1"/>
  <c r="U2608" i="1" s="1"/>
  <c r="R2452" i="1"/>
  <c r="U2452" i="1" s="1"/>
  <c r="R2889" i="1"/>
  <c r="U2889" i="1" s="1"/>
  <c r="R2705" i="1"/>
  <c r="U2705" i="1" s="1"/>
  <c r="R2609" i="1"/>
  <c r="U2609" i="1" s="1"/>
  <c r="R2449" i="1"/>
  <c r="U2449" i="1" s="1"/>
  <c r="R2258" i="1"/>
  <c r="U2258" i="1" s="1"/>
  <c r="R2887" i="1"/>
  <c r="U2887" i="1" s="1"/>
  <c r="R2703" i="1"/>
  <c r="U2703" i="1" s="1"/>
  <c r="R2607" i="1"/>
  <c r="U2607" i="1" s="1"/>
  <c r="R2453" i="1"/>
  <c r="U2453" i="1" s="1"/>
  <c r="R2353" i="1"/>
  <c r="U2353" i="1" s="1"/>
  <c r="R2349" i="1"/>
  <c r="U2349" i="1" s="1"/>
  <c r="R2257" i="1"/>
  <c r="U2257" i="1" s="1"/>
  <c r="R2253" i="1"/>
  <c r="U2253" i="1" s="1"/>
  <c r="R2153" i="1"/>
  <c r="U2153" i="1" s="1"/>
  <c r="R2057" i="1"/>
  <c r="U2057" i="1" s="1"/>
  <c r="R2053" i="1"/>
  <c r="U2053" i="1" s="1"/>
  <c r="R2049" i="1"/>
  <c r="U2049" i="1" s="1"/>
  <c r="R1877" i="1"/>
  <c r="U1877" i="1" s="1"/>
  <c r="R1797" i="1"/>
  <c r="U1797" i="1" s="1"/>
  <c r="R1793" i="1"/>
  <c r="U1793" i="1" s="1"/>
  <c r="R1725" i="1"/>
  <c r="U1725" i="1" s="1"/>
  <c r="R1637" i="1"/>
  <c r="U1637" i="1" s="1"/>
  <c r="R1633" i="1"/>
  <c r="U1633" i="1" s="1"/>
  <c r="R1541" i="1"/>
  <c r="R1513" i="1"/>
  <c r="U1513" i="1" s="1"/>
  <c r="R1449" i="1"/>
  <c r="U1449" i="1" s="1"/>
  <c r="R1445" i="1"/>
  <c r="U1445" i="1" s="1"/>
  <c r="R1365" i="1"/>
  <c r="R1361" i="1"/>
  <c r="R1301" i="1"/>
  <c r="R2885" i="1"/>
  <c r="U2885" i="1" s="1"/>
  <c r="R2765" i="1"/>
  <c r="U2765" i="1" s="1"/>
  <c r="R2352" i="1"/>
  <c r="U2352" i="1" s="1"/>
  <c r="R2260" i="1"/>
  <c r="U2260" i="1" s="1"/>
  <c r="R2252" i="1"/>
  <c r="U2252" i="1" s="1"/>
  <c r="R2156" i="1"/>
  <c r="U2156" i="1" s="1"/>
  <c r="R2052" i="1"/>
  <c r="U2052" i="1" s="1"/>
  <c r="R2605" i="1"/>
  <c r="U2605" i="1" s="1"/>
  <c r="R2451" i="1"/>
  <c r="U2451" i="1" s="1"/>
  <c r="R2348" i="1"/>
  <c r="U2348" i="1" s="1"/>
  <c r="R2256" i="1"/>
  <c r="U2256" i="1" s="1"/>
  <c r="R2152" i="1"/>
  <c r="U2152" i="1" s="1"/>
  <c r="R2056" i="1"/>
  <c r="U2056" i="1" s="1"/>
  <c r="R2450" i="1"/>
  <c r="U2450" i="1" s="1"/>
  <c r="R2351" i="1"/>
  <c r="U2351" i="1" s="1"/>
  <c r="R2347" i="1"/>
  <c r="U2347" i="1" s="1"/>
  <c r="R2259" i="1"/>
  <c r="U2259" i="1" s="1"/>
  <c r="R2255" i="1"/>
  <c r="U2255" i="1" s="1"/>
  <c r="R2155" i="1"/>
  <c r="U2155" i="1" s="1"/>
  <c r="R2151" i="1"/>
  <c r="U2151" i="1" s="1"/>
  <c r="R2055" i="1"/>
  <c r="U2055" i="1" s="1"/>
  <c r="R2051" i="1"/>
  <c r="U2051" i="1" s="1"/>
  <c r="R1955" i="1"/>
  <c r="U1955" i="1" s="1"/>
  <c r="R1879" i="1"/>
  <c r="U1879" i="1" s="1"/>
  <c r="R1795" i="1"/>
  <c r="U1795" i="1" s="1"/>
  <c r="R1727" i="1"/>
  <c r="U1727" i="1" s="1"/>
  <c r="R1723" i="1"/>
  <c r="U1723" i="1" s="1"/>
  <c r="R1639" i="1"/>
  <c r="U1639" i="1" s="1"/>
  <c r="R1635" i="1"/>
  <c r="U1635" i="1" s="1"/>
  <c r="R1511" i="1"/>
  <c r="U1511" i="1" s="1"/>
  <c r="R1447" i="1"/>
  <c r="U1447" i="1" s="1"/>
  <c r="R1443" i="1"/>
  <c r="U1443" i="1" s="1"/>
  <c r="R1367" i="1"/>
  <c r="U1367" i="1" s="1"/>
  <c r="R1363" i="1"/>
  <c r="U1363" i="1" s="1"/>
  <c r="R1291" i="1"/>
  <c r="R2454" i="1"/>
  <c r="U2454" i="1" s="1"/>
  <c r="R2350" i="1"/>
  <c r="U2350" i="1" s="1"/>
  <c r="R2254" i="1"/>
  <c r="U2254" i="1" s="1"/>
  <c r="R1266" i="1"/>
  <c r="R1274" i="1"/>
  <c r="R1282" i="1"/>
  <c r="R1298" i="1"/>
  <c r="U1298" i="1" s="1"/>
  <c r="R1306" i="1"/>
  <c r="R1330" i="1"/>
  <c r="U1330" i="1" s="1"/>
  <c r="R1338" i="1"/>
  <c r="R1346" i="1"/>
  <c r="U1346" i="1" s="1"/>
  <c r="R1362" i="1"/>
  <c r="U1362" i="1" s="1"/>
  <c r="R1378" i="1"/>
  <c r="U1378" i="1" s="1"/>
  <c r="R1386" i="1"/>
  <c r="U1386" i="1" s="1"/>
  <c r="R1402" i="1"/>
  <c r="U1402" i="1" s="1"/>
  <c r="R1410" i="1"/>
  <c r="U1410" i="1" s="1"/>
  <c r="R1418" i="1"/>
  <c r="U1418" i="1" s="1"/>
  <c r="R1434" i="1"/>
  <c r="U1434" i="1" s="1"/>
  <c r="R1450" i="1"/>
  <c r="U1450" i="1" s="1"/>
  <c r="R1458" i="1"/>
  <c r="U1458" i="1" s="1"/>
  <c r="R1474" i="1"/>
  <c r="U1474" i="1" s="1"/>
  <c r="R1490" i="1"/>
  <c r="U1490" i="1" s="1"/>
  <c r="R1498" i="1"/>
  <c r="U1498" i="1" s="1"/>
  <c r="R1506" i="1"/>
  <c r="U1506" i="1" s="1"/>
  <c r="R1514" i="1"/>
  <c r="U1514" i="1" s="1"/>
  <c r="R1522" i="1"/>
  <c r="U1522" i="1" s="1"/>
  <c r="R1530" i="1"/>
  <c r="R1538" i="1"/>
  <c r="U1538" i="1" s="1"/>
  <c r="R1546" i="1"/>
  <c r="U1546" i="1" s="1"/>
  <c r="R1562" i="1"/>
  <c r="U1562" i="1" s="1"/>
  <c r="R1570" i="1"/>
  <c r="U1570" i="1" s="1"/>
  <c r="R1578" i="1"/>
  <c r="U1578" i="1" s="1"/>
  <c r="R1594" i="1"/>
  <c r="U1594" i="1" s="1"/>
  <c r="R1602" i="1"/>
  <c r="U1602" i="1" s="1"/>
  <c r="R1618" i="1"/>
  <c r="U1618" i="1" s="1"/>
  <c r="R1634" i="1"/>
  <c r="U1634" i="1" s="1"/>
  <c r="R1650" i="1"/>
  <c r="U1650" i="1" s="1"/>
  <c r="R1666" i="1"/>
  <c r="U1666" i="1" s="1"/>
  <c r="R1682" i="1"/>
  <c r="U1682" i="1" s="1"/>
  <c r="R1690" i="1"/>
  <c r="U1690" i="1" s="1"/>
  <c r="R1714" i="1"/>
  <c r="U1714" i="1" s="1"/>
  <c r="R1738" i="1"/>
  <c r="U1738" i="1" s="1"/>
  <c r="R1762" i="1"/>
  <c r="U1762" i="1" s="1"/>
  <c r="R1770" i="1"/>
  <c r="U1770" i="1" s="1"/>
  <c r="R1794" i="1"/>
  <c r="U1794" i="1" s="1"/>
  <c r="R1810" i="1"/>
  <c r="U1810" i="1" s="1"/>
  <c r="R1826" i="1"/>
  <c r="U1826" i="1" s="1"/>
  <c r="R1834" i="1"/>
  <c r="U1834" i="1" s="1"/>
  <c r="R1842" i="1"/>
  <c r="U1842" i="1" s="1"/>
  <c r="R1850" i="1"/>
  <c r="U1850" i="1" s="1"/>
  <c r="R1866" i="1"/>
  <c r="U1866" i="1" s="1"/>
  <c r="R1898" i="1"/>
  <c r="U1898" i="1" s="1"/>
  <c r="R1906" i="1"/>
  <c r="U1906" i="1" s="1"/>
  <c r="R1914" i="1"/>
  <c r="U1914" i="1" s="1"/>
  <c r="R1922" i="1"/>
  <c r="U1922" i="1" s="1"/>
  <c r="R1954" i="1"/>
  <c r="U1954" i="1" s="1"/>
  <c r="R1970" i="1"/>
  <c r="U1970" i="1" s="1"/>
  <c r="R1986" i="1"/>
  <c r="U1986" i="1" s="1"/>
  <c r="R2002" i="1"/>
  <c r="U2002" i="1" s="1"/>
  <c r="R2010" i="1"/>
  <c r="R2018" i="1"/>
  <c r="U2018" i="1" s="1"/>
  <c r="R2094" i="1"/>
  <c r="U2094" i="1" s="1"/>
  <c r="R2110" i="1"/>
  <c r="U2110" i="1" s="1"/>
  <c r="R2126" i="1"/>
  <c r="U2126" i="1" s="1"/>
  <c r="R2142" i="1"/>
  <c r="U2142" i="1" s="1"/>
  <c r="R2206" i="1"/>
  <c r="U2206" i="1" s="1"/>
  <c r="R2222" i="1"/>
  <c r="U2222" i="1" s="1"/>
  <c r="D75" i="6"/>
  <c r="D33" i="6"/>
  <c r="E75" i="6"/>
  <c r="D47" i="6"/>
  <c r="F19" i="6"/>
  <c r="F76" i="6" s="1"/>
  <c r="F47" i="6"/>
  <c r="F75" i="6"/>
  <c r="D19" i="6"/>
  <c r="D76" i="6"/>
  <c r="I10" i="8"/>
  <c r="L10" i="8"/>
  <c r="D27" i="8"/>
  <c r="H27" i="8"/>
  <c r="L27" i="8"/>
  <c r="P33" i="8"/>
  <c r="T27" i="8"/>
  <c r="X27" i="8"/>
  <c r="S33" i="8"/>
  <c r="W33" i="8"/>
  <c r="AJ10" i="8"/>
  <c r="AB33" i="8"/>
  <c r="AF27" i="8"/>
  <c r="AJ27" i="8"/>
  <c r="AE33" i="8"/>
  <c r="AI33" i="8"/>
  <c r="M10" i="8"/>
  <c r="H10" i="8"/>
  <c r="E10" i="8"/>
  <c r="D33" i="8"/>
  <c r="D34" i="8" s="1"/>
  <c r="H33" i="8"/>
  <c r="L33" i="8"/>
  <c r="G33" i="8"/>
  <c r="K33" i="8"/>
  <c r="Q10" i="8"/>
  <c r="U10" i="8"/>
  <c r="Y10" i="8"/>
  <c r="T10" i="8"/>
  <c r="X10" i="8"/>
  <c r="Q27" i="8"/>
  <c r="U27" i="8"/>
  <c r="Y27" i="8"/>
  <c r="T33" i="8"/>
  <c r="X33" i="8"/>
  <c r="AC10" i="8"/>
  <c r="AG10" i="8"/>
  <c r="AK10" i="8"/>
  <c r="AF33" i="8"/>
  <c r="AJ33" i="8"/>
  <c r="E27" i="8"/>
  <c r="I27" i="8"/>
  <c r="M27" i="8"/>
  <c r="E33" i="8"/>
  <c r="I33" i="8"/>
  <c r="M33" i="8"/>
  <c r="R27" i="8"/>
  <c r="V27" i="8"/>
  <c r="Q33" i="8"/>
  <c r="U33" i="8"/>
  <c r="Y33" i="8"/>
  <c r="AD27" i="8"/>
  <c r="AH27" i="8"/>
  <c r="AC27" i="8"/>
  <c r="AG27" i="8"/>
  <c r="AK27" i="8"/>
  <c r="AC33" i="8"/>
  <c r="AG33" i="8"/>
  <c r="AK33" i="8"/>
  <c r="G10" i="8"/>
  <c r="K10" i="8"/>
  <c r="G27" i="8"/>
  <c r="K27" i="8"/>
  <c r="F33" i="8"/>
  <c r="F34" i="8" s="1"/>
  <c r="J33" i="8"/>
  <c r="J34" i="8" s="1"/>
  <c r="S10" i="8"/>
  <c r="W10" i="8"/>
  <c r="S27" i="8"/>
  <c r="W27" i="8"/>
  <c r="W34" i="8" s="1"/>
  <c r="R33" i="8"/>
  <c r="V33" i="8"/>
  <c r="AE10" i="8"/>
  <c r="AI10" i="8"/>
  <c r="AD10" i="8"/>
  <c r="AH10" i="8"/>
  <c r="AE27" i="8"/>
  <c r="AE34" i="8" s="1"/>
  <c r="AI27" i="8"/>
  <c r="AI34" i="8" s="1"/>
  <c r="AD33" i="8"/>
  <c r="AH33" i="8"/>
  <c r="AD34" i="8"/>
  <c r="AH34" i="8"/>
  <c r="AB27" i="8"/>
  <c r="AB10" i="8"/>
  <c r="P27" i="8"/>
  <c r="P34" i="8" s="1"/>
  <c r="P10" i="8"/>
  <c r="D10" i="8"/>
  <c r="Y34" i="8" l="1"/>
  <c r="S34" i="8"/>
  <c r="U34" i="8"/>
  <c r="Q34" i="8"/>
  <c r="K34" i="8"/>
  <c r="AB34" i="8"/>
  <c r="G34" i="8"/>
  <c r="D79" i="8"/>
  <c r="Q11" i="8"/>
  <c r="U1338" i="1"/>
  <c r="U1409" i="1"/>
  <c r="Q13" i="8"/>
  <c r="U1528" i="1"/>
  <c r="E81" i="8"/>
  <c r="U1299" i="1"/>
  <c r="U2020" i="1"/>
  <c r="X13" i="8"/>
  <c r="U1545" i="1"/>
  <c r="U2010" i="1"/>
  <c r="Q15" i="8"/>
  <c r="E15" i="8"/>
  <c r="U1306" i="1"/>
  <c r="I77" i="8"/>
  <c r="V12" i="8"/>
  <c r="U1291" i="1"/>
  <c r="U2394" i="1"/>
  <c r="U2396" i="1"/>
  <c r="U1529" i="1"/>
  <c r="U2398" i="1"/>
  <c r="U1560" i="1"/>
  <c r="U1368" i="1"/>
  <c r="U1271" i="1"/>
  <c r="U1415" i="1"/>
  <c r="U1309" i="1"/>
  <c r="U2004" i="1"/>
  <c r="V15" i="8"/>
  <c r="J15" i="8"/>
  <c r="U1316" i="1"/>
  <c r="K78" i="8"/>
  <c r="X14" i="8"/>
  <c r="U1276" i="1"/>
  <c r="R3722" i="1"/>
  <c r="U3722" i="1" s="1"/>
  <c r="R3714" i="1"/>
  <c r="U3714" i="1" s="1"/>
  <c r="R3678" i="1"/>
  <c r="U3678" i="1" s="1"/>
  <c r="R3674" i="1"/>
  <c r="U3674" i="1" s="1"/>
  <c r="R3721" i="1"/>
  <c r="U3721" i="1" s="1"/>
  <c r="R3679" i="1"/>
  <c r="U3679" i="1" s="1"/>
  <c r="R3618" i="1"/>
  <c r="U3618" i="1" s="1"/>
  <c r="R3574" i="1"/>
  <c r="U3574" i="1" s="1"/>
  <c r="R3554" i="1"/>
  <c r="U3554" i="1" s="1"/>
  <c r="R3675" i="1"/>
  <c r="U3675" i="1" s="1"/>
  <c r="R3617" i="1"/>
  <c r="U3617" i="1" s="1"/>
  <c r="R3575" i="1"/>
  <c r="U3575" i="1" s="1"/>
  <c r="R3526" i="1"/>
  <c r="U3526" i="1" s="1"/>
  <c r="R3486" i="1"/>
  <c r="U3486" i="1" s="1"/>
  <c r="R3458" i="1"/>
  <c r="U3458" i="1" s="1"/>
  <c r="R3362" i="1"/>
  <c r="U3362" i="1" s="1"/>
  <c r="R3358" i="1"/>
  <c r="U3358" i="1" s="1"/>
  <c r="R3286" i="1"/>
  <c r="U3286" i="1" s="1"/>
  <c r="R3238" i="1"/>
  <c r="U3238" i="1" s="1"/>
  <c r="R3202" i="1"/>
  <c r="U3202" i="1" s="1"/>
  <c r="R3170" i="1"/>
  <c r="U3170" i="1" s="1"/>
  <c r="R3142" i="1"/>
  <c r="R3713" i="1"/>
  <c r="U3713" i="1" s="1"/>
  <c r="R3677" i="1"/>
  <c r="U3677" i="1" s="1"/>
  <c r="R3620" i="1"/>
  <c r="U3620" i="1" s="1"/>
  <c r="R3572" i="1"/>
  <c r="U3572" i="1" s="1"/>
  <c r="R3528" i="1"/>
  <c r="U3528" i="1" s="1"/>
  <c r="R3524" i="1"/>
  <c r="U3524" i="1" s="1"/>
  <c r="R3460" i="1"/>
  <c r="U3460" i="1" s="1"/>
  <c r="R3432" i="1"/>
  <c r="U3432" i="1" s="1"/>
  <c r="R3712" i="1"/>
  <c r="U3712" i="1" s="1"/>
  <c r="R3571" i="1"/>
  <c r="U3571" i="1" s="1"/>
  <c r="R3523" i="1"/>
  <c r="U3523" i="1" s="1"/>
  <c r="R3459" i="1"/>
  <c r="U3459" i="1" s="1"/>
  <c r="R3365" i="1"/>
  <c r="U3365" i="1" s="1"/>
  <c r="R3360" i="1"/>
  <c r="U3360" i="1" s="1"/>
  <c r="R3328" i="1"/>
  <c r="U3328" i="1" s="1"/>
  <c r="R3285" i="1"/>
  <c r="U3285" i="1" s="1"/>
  <c r="R3237" i="1"/>
  <c r="U3237" i="1" s="1"/>
  <c r="R3189" i="1"/>
  <c r="U3189" i="1" s="1"/>
  <c r="R3075" i="1"/>
  <c r="U3075" i="1" s="1"/>
  <c r="R3047" i="1"/>
  <c r="U3047" i="1" s="1"/>
  <c r="R3019" i="1"/>
  <c r="U3019" i="1" s="1"/>
  <c r="R3680" i="1"/>
  <c r="U3680" i="1" s="1"/>
  <c r="R3619" i="1"/>
  <c r="U3619" i="1" s="1"/>
  <c r="R3525" i="1"/>
  <c r="U3525" i="1" s="1"/>
  <c r="R3363" i="1"/>
  <c r="U3363" i="1" s="1"/>
  <c r="R3284" i="1"/>
  <c r="R3235" i="1"/>
  <c r="U3235" i="1" s="1"/>
  <c r="R3171" i="1"/>
  <c r="U3171" i="1" s="1"/>
  <c r="R3156" i="1"/>
  <c r="U3156" i="1" s="1"/>
  <c r="R3076" i="1"/>
  <c r="U3076" i="1" s="1"/>
  <c r="R3001" i="1"/>
  <c r="U3001" i="1" s="1"/>
  <c r="R2980" i="1"/>
  <c r="U2980" i="1" s="1"/>
  <c r="R3487" i="1"/>
  <c r="U3487" i="1" s="1"/>
  <c r="R3433" i="1"/>
  <c r="U3433" i="1" s="1"/>
  <c r="R3359" i="1"/>
  <c r="U3359" i="1" s="1"/>
  <c r="R3239" i="1"/>
  <c r="U3239" i="1" s="1"/>
  <c r="R3203" i="1"/>
  <c r="U3203" i="1" s="1"/>
  <c r="R3078" i="1"/>
  <c r="U3078" i="1" s="1"/>
  <c r="R3020" i="1"/>
  <c r="U3020" i="1" s="1"/>
  <c r="R2982" i="1"/>
  <c r="U2982" i="1" s="1"/>
  <c r="R2962" i="1"/>
  <c r="R3676" i="1"/>
  <c r="U3676" i="1" s="1"/>
  <c r="R3361" i="1"/>
  <c r="U3361" i="1" s="1"/>
  <c r="R3133" i="1"/>
  <c r="U3133" i="1" s="1"/>
  <c r="R3048" i="1"/>
  <c r="U3048" i="1" s="1"/>
  <c r="R3527" i="1"/>
  <c r="U3527" i="1" s="1"/>
  <c r="R3485" i="1"/>
  <c r="U3485" i="1" s="1"/>
  <c r="R3357" i="1"/>
  <c r="U3357" i="1" s="1"/>
  <c r="R3287" i="1"/>
  <c r="U3287" i="1" s="1"/>
  <c r="R3077" i="1"/>
  <c r="U3077" i="1" s="1"/>
  <c r="R3573" i="1"/>
  <c r="U3573" i="1" s="1"/>
  <c r="R3457" i="1"/>
  <c r="U3457" i="1" s="1"/>
  <c r="R3240" i="1"/>
  <c r="U3240" i="1" s="1"/>
  <c r="R3021" i="1"/>
  <c r="R2983" i="1"/>
  <c r="R3621" i="1"/>
  <c r="U3621" i="1" s="1"/>
  <c r="R3431" i="1"/>
  <c r="U3431" i="1" s="1"/>
  <c r="R3364" i="1"/>
  <c r="U3364" i="1" s="1"/>
  <c r="R3236" i="1"/>
  <c r="U3236" i="1" s="1"/>
  <c r="R3125" i="1"/>
  <c r="U3125" i="1" s="1"/>
  <c r="R3018" i="1"/>
  <c r="R2981" i="1"/>
  <c r="R2979" i="1"/>
  <c r="U2979" i="1" s="1"/>
  <c r="C79" i="8"/>
  <c r="P11" i="8"/>
  <c r="U1335" i="1"/>
  <c r="U2107" i="1"/>
  <c r="U2001" i="1"/>
  <c r="U2393" i="1"/>
  <c r="G81" i="8"/>
  <c r="T12" i="8"/>
  <c r="U1287" i="1"/>
  <c r="I78" i="8"/>
  <c r="R3626" i="1"/>
  <c r="U3626" i="1" s="1"/>
  <c r="R3582" i="1"/>
  <c r="U3582" i="1" s="1"/>
  <c r="R3534" i="1"/>
  <c r="U3534" i="1" s="1"/>
  <c r="R3466" i="1"/>
  <c r="U3466" i="1" s="1"/>
  <c r="R3438" i="1"/>
  <c r="U3438" i="1" s="1"/>
  <c r="R3378" i="1"/>
  <c r="U3378" i="1" s="1"/>
  <c r="R3294" i="1"/>
  <c r="R3250" i="1"/>
  <c r="U3250" i="1" s="1"/>
  <c r="R3174" i="1"/>
  <c r="U3174" i="1" s="1"/>
  <c r="R3158" i="1"/>
  <c r="R3625" i="1"/>
  <c r="U3625" i="1" s="1"/>
  <c r="R3556" i="1"/>
  <c r="U3556" i="1" s="1"/>
  <c r="R3581" i="1"/>
  <c r="U3581" i="1" s="1"/>
  <c r="R3491" i="1"/>
  <c r="U3491" i="1" s="1"/>
  <c r="R3376" i="1"/>
  <c r="U3376" i="1" s="1"/>
  <c r="R3248" i="1"/>
  <c r="U3248" i="1" s="1"/>
  <c r="R3087" i="1"/>
  <c r="R3027" i="1"/>
  <c r="U3027" i="1" s="1"/>
  <c r="R3535" i="1"/>
  <c r="U3535" i="1" s="1"/>
  <c r="R3377" i="1"/>
  <c r="U3377" i="1" s="1"/>
  <c r="R3249" i="1"/>
  <c r="U3249" i="1" s="1"/>
  <c r="R3028" i="1"/>
  <c r="U3028" i="1" s="1"/>
  <c r="R2988" i="1"/>
  <c r="R3627" i="1"/>
  <c r="U3627" i="1" s="1"/>
  <c r="R3555" i="1"/>
  <c r="U3555" i="1" s="1"/>
  <c r="R3465" i="1"/>
  <c r="U3465" i="1" s="1"/>
  <c r="R3380" i="1"/>
  <c r="U3380" i="1" s="1"/>
  <c r="R3089" i="1"/>
  <c r="U3089" i="1" s="1"/>
  <c r="R3533" i="1"/>
  <c r="U3533" i="1" s="1"/>
  <c r="R3247" i="1"/>
  <c r="U3247" i="1" s="1"/>
  <c r="R3090" i="1"/>
  <c r="U3090" i="1" s="1"/>
  <c r="R3026" i="1"/>
  <c r="R3088" i="1"/>
  <c r="U3088" i="1" s="1"/>
  <c r="R3437" i="1"/>
  <c r="U3437" i="1" s="1"/>
  <c r="R3379" i="1"/>
  <c r="U3379" i="1" s="1"/>
  <c r="R3251" i="1"/>
  <c r="U3251" i="1" s="1"/>
  <c r="R3050" i="1"/>
  <c r="U3050" i="1" s="1"/>
  <c r="R3029" i="1"/>
  <c r="R2965" i="1"/>
  <c r="R3319" i="1"/>
  <c r="U3319" i="1" s="1"/>
  <c r="R3698" i="1"/>
  <c r="U3698" i="1" s="1"/>
  <c r="R3658" i="1"/>
  <c r="U3658" i="1" s="1"/>
  <c r="R3654" i="1"/>
  <c r="U3654" i="1" s="1"/>
  <c r="R3606" i="1"/>
  <c r="U3606" i="1" s="1"/>
  <c r="R3558" i="1"/>
  <c r="U3558" i="1" s="1"/>
  <c r="R3546" i="1"/>
  <c r="U3546" i="1" s="1"/>
  <c r="R3703" i="1"/>
  <c r="U3703" i="1" s="1"/>
  <c r="R3655" i="1"/>
  <c r="U3655" i="1" s="1"/>
  <c r="R3559" i="1"/>
  <c r="U3559" i="1" s="1"/>
  <c r="R3506" i="1"/>
  <c r="U3506" i="1" s="1"/>
  <c r="R3474" i="1"/>
  <c r="U3474" i="1" s="1"/>
  <c r="R3450" i="1"/>
  <c r="U3450" i="1" s="1"/>
  <c r="R3422" i="1"/>
  <c r="U3422" i="1" s="1"/>
  <c r="R3334" i="1"/>
  <c r="U3334" i="1" s="1"/>
  <c r="R3330" i="1"/>
  <c r="U3330" i="1" s="1"/>
  <c r="R3322" i="1"/>
  <c r="U3322" i="1" s="1"/>
  <c r="R3270" i="1"/>
  <c r="U3270" i="1" s="1"/>
  <c r="R3266" i="1"/>
  <c r="U3266" i="1" s="1"/>
  <c r="R3258" i="1"/>
  <c r="R3218" i="1"/>
  <c r="U3218" i="1" s="1"/>
  <c r="R3214" i="1"/>
  <c r="U3214" i="1" s="1"/>
  <c r="R3194" i="1"/>
  <c r="U3194" i="1" s="1"/>
  <c r="R3166" i="1"/>
  <c r="U3166" i="1" s="1"/>
  <c r="R3150" i="1"/>
  <c r="U3150" i="1" s="1"/>
  <c r="R3138" i="1"/>
  <c r="R3657" i="1"/>
  <c r="U3657" i="1" s="1"/>
  <c r="R3604" i="1"/>
  <c r="U3604" i="1" s="1"/>
  <c r="R3561" i="1"/>
  <c r="U3561" i="1" s="1"/>
  <c r="R3545" i="1"/>
  <c r="U3545" i="1" s="1"/>
  <c r="R3508" i="1"/>
  <c r="U3508" i="1" s="1"/>
  <c r="R3504" i="1"/>
  <c r="U3504" i="1" s="1"/>
  <c r="R3472" i="1"/>
  <c r="U3472" i="1" s="1"/>
  <c r="R3448" i="1"/>
  <c r="U3448" i="1" s="1"/>
  <c r="R3420" i="1"/>
  <c r="U3420" i="1" s="1"/>
  <c r="R3656" i="1"/>
  <c r="R3603" i="1"/>
  <c r="U3603" i="1" s="1"/>
  <c r="R3560" i="1"/>
  <c r="U3560" i="1" s="1"/>
  <c r="R3507" i="1"/>
  <c r="U3507" i="1" s="1"/>
  <c r="R3475" i="1"/>
  <c r="U3475" i="1" s="1"/>
  <c r="R3419" i="1"/>
  <c r="U3419" i="1" s="1"/>
  <c r="R3333" i="1"/>
  <c r="U3333" i="1" s="1"/>
  <c r="R3323" i="1"/>
  <c r="U3323" i="1" s="1"/>
  <c r="R3312" i="1"/>
  <c r="U3312" i="1" s="1"/>
  <c r="R3269" i="1"/>
  <c r="U3269" i="1" s="1"/>
  <c r="R3259" i="1"/>
  <c r="R3216" i="1"/>
  <c r="U3216" i="1" s="1"/>
  <c r="R3211" i="1"/>
  <c r="U3211" i="1" s="1"/>
  <c r="R3184" i="1"/>
  <c r="U3184" i="1" s="1"/>
  <c r="R3152" i="1"/>
  <c r="U3152" i="1" s="1"/>
  <c r="R3111" i="1"/>
  <c r="U3111" i="1" s="1"/>
  <c r="R3107" i="1"/>
  <c r="U3107" i="1" s="1"/>
  <c r="R3059" i="1"/>
  <c r="U3059" i="1" s="1"/>
  <c r="R3055" i="1"/>
  <c r="U3055" i="1" s="1"/>
  <c r="R3007" i="1"/>
  <c r="R3003" i="1"/>
  <c r="R2999" i="1"/>
  <c r="U2999" i="1" s="1"/>
  <c r="R3719" i="1"/>
  <c r="U3719" i="1" s="1"/>
  <c r="R3605" i="1"/>
  <c r="U3605" i="1" s="1"/>
  <c r="R3547" i="1"/>
  <c r="U3547" i="1" s="1"/>
  <c r="R3503" i="1"/>
  <c r="U3503" i="1" s="1"/>
  <c r="R3449" i="1"/>
  <c r="U3449" i="1" s="1"/>
  <c r="R3335" i="1"/>
  <c r="U3335" i="1" s="1"/>
  <c r="R3313" i="1"/>
  <c r="U3313" i="1" s="1"/>
  <c r="R3213" i="1"/>
  <c r="U3213" i="1" s="1"/>
  <c r="R3192" i="1"/>
  <c r="U3192" i="1" s="1"/>
  <c r="R3185" i="1"/>
  <c r="U3185" i="1" s="1"/>
  <c r="R3164" i="1"/>
  <c r="U3164" i="1" s="1"/>
  <c r="R3149" i="1"/>
  <c r="R3129" i="1"/>
  <c r="U3129" i="1" s="1"/>
  <c r="R3113" i="1"/>
  <c r="U3113" i="1" s="1"/>
  <c r="R3108" i="1"/>
  <c r="U3108" i="1" s="1"/>
  <c r="R3060" i="1"/>
  <c r="R3054" i="1"/>
  <c r="U3054" i="1" s="1"/>
  <c r="R3006" i="1"/>
  <c r="R2956" i="1"/>
  <c r="R3509" i="1"/>
  <c r="U3509" i="1" s="1"/>
  <c r="R3337" i="1"/>
  <c r="U3337" i="1" s="1"/>
  <c r="R3331" i="1"/>
  <c r="U3331" i="1" s="1"/>
  <c r="R3267" i="1"/>
  <c r="U3267" i="1" s="1"/>
  <c r="R3217" i="1"/>
  <c r="U3217" i="1" s="1"/>
  <c r="R3196" i="1"/>
  <c r="U3196" i="1" s="1"/>
  <c r="R3181" i="1"/>
  <c r="U3181" i="1" s="1"/>
  <c r="R3110" i="1"/>
  <c r="U3110" i="1" s="1"/>
  <c r="R3057" i="1"/>
  <c r="U3057" i="1" s="1"/>
  <c r="R3052" i="1"/>
  <c r="U3052" i="1" s="1"/>
  <c r="R3004" i="1"/>
  <c r="U3004" i="1" s="1"/>
  <c r="R2998" i="1"/>
  <c r="U2998" i="1" s="1"/>
  <c r="R2966" i="1"/>
  <c r="U2966" i="1" s="1"/>
  <c r="R2958" i="1"/>
  <c r="R3447" i="1"/>
  <c r="U3447" i="1" s="1"/>
  <c r="R3332" i="1"/>
  <c r="U3332" i="1" s="1"/>
  <c r="R3112" i="1"/>
  <c r="U3112" i="1" s="1"/>
  <c r="R3005" i="1"/>
  <c r="R2971" i="1"/>
  <c r="U2971" i="1" s="1"/>
  <c r="R3704" i="1"/>
  <c r="U3704" i="1" s="1"/>
  <c r="R3505" i="1"/>
  <c r="U3505" i="1" s="1"/>
  <c r="R3421" i="1"/>
  <c r="U3421" i="1" s="1"/>
  <c r="R3215" i="1"/>
  <c r="R3109" i="1"/>
  <c r="U3109" i="1" s="1"/>
  <c r="R3056" i="1"/>
  <c r="U3056" i="1" s="1"/>
  <c r="R3045" i="1"/>
  <c r="U3045" i="1" s="1"/>
  <c r="R3002" i="1"/>
  <c r="R3311" i="1"/>
  <c r="U3311" i="1" s="1"/>
  <c r="R3268" i="1"/>
  <c r="U3268" i="1" s="1"/>
  <c r="R3212" i="1"/>
  <c r="U3212" i="1" s="1"/>
  <c r="R3197" i="1"/>
  <c r="U3197" i="1" s="1"/>
  <c r="R3053" i="1"/>
  <c r="R2959" i="1"/>
  <c r="R3595" i="1"/>
  <c r="U3595" i="1" s="1"/>
  <c r="R3473" i="1"/>
  <c r="U3473" i="1" s="1"/>
  <c r="R3336" i="1"/>
  <c r="R3321" i="1"/>
  <c r="U3321" i="1" s="1"/>
  <c r="R3165" i="1"/>
  <c r="U3165" i="1" s="1"/>
  <c r="R3114" i="1"/>
  <c r="U3114" i="1" s="1"/>
  <c r="R2997" i="1"/>
  <c r="U2997" i="1" s="1"/>
  <c r="R2957" i="1"/>
  <c r="R3643" i="1"/>
  <c r="U3643" i="1" s="1"/>
  <c r="R3557" i="1"/>
  <c r="U3557" i="1" s="1"/>
  <c r="R3058" i="1"/>
  <c r="U3058" i="1" s="1"/>
  <c r="D77" i="8"/>
  <c r="Q12" i="8"/>
  <c r="U1282" i="1"/>
  <c r="R3706" i="1"/>
  <c r="U3706" i="1" s="1"/>
  <c r="R3662" i="1"/>
  <c r="U3662" i="1" s="1"/>
  <c r="R3705" i="1"/>
  <c r="U3705" i="1" s="1"/>
  <c r="R3663" i="1"/>
  <c r="U3663" i="1" s="1"/>
  <c r="R3610" i="1"/>
  <c r="U3610" i="1" s="1"/>
  <c r="R3566" i="1"/>
  <c r="U3566" i="1" s="1"/>
  <c r="R3562" i="1"/>
  <c r="U3562" i="1" s="1"/>
  <c r="R3550" i="1"/>
  <c r="U3550" i="1" s="1"/>
  <c r="R3660" i="1"/>
  <c r="U3660" i="1" s="1"/>
  <c r="R3612" i="1"/>
  <c r="U3612" i="1" s="1"/>
  <c r="R3607" i="1"/>
  <c r="U3607" i="1" s="1"/>
  <c r="R3596" i="1"/>
  <c r="U3596" i="1" s="1"/>
  <c r="R3564" i="1"/>
  <c r="U3564" i="1" s="1"/>
  <c r="R3548" i="1"/>
  <c r="U3548" i="1" s="1"/>
  <c r="R3514" i="1"/>
  <c r="U3514" i="1" s="1"/>
  <c r="R3510" i="1"/>
  <c r="U3510" i="1" s="1"/>
  <c r="R3478" i="1"/>
  <c r="U3478" i="1" s="1"/>
  <c r="R3346" i="1"/>
  <c r="U3346" i="1" s="1"/>
  <c r="R3342" i="1"/>
  <c r="U3342" i="1" s="1"/>
  <c r="R3338" i="1"/>
  <c r="U3338" i="1" s="1"/>
  <c r="R3314" i="1"/>
  <c r="U3314" i="1" s="1"/>
  <c r="R3274" i="1"/>
  <c r="U3274" i="1" s="1"/>
  <c r="R3226" i="1"/>
  <c r="U3226" i="1" s="1"/>
  <c r="R3222" i="1"/>
  <c r="U3222" i="1" s="1"/>
  <c r="R3198" i="1"/>
  <c r="U3198" i="1" s="1"/>
  <c r="R3186" i="1"/>
  <c r="U3186" i="1" s="1"/>
  <c r="R3720" i="1"/>
  <c r="U3720" i="1" s="1"/>
  <c r="R3707" i="1"/>
  <c r="U3707" i="1" s="1"/>
  <c r="R3699" i="1"/>
  <c r="U3699" i="1" s="1"/>
  <c r="R3664" i="1"/>
  <c r="U3664" i="1" s="1"/>
  <c r="R3609" i="1"/>
  <c r="U3609" i="1" s="1"/>
  <c r="R3516" i="1"/>
  <c r="U3516" i="1" s="1"/>
  <c r="R3512" i="1"/>
  <c r="U3512" i="1" s="1"/>
  <c r="R3476" i="1"/>
  <c r="U3476" i="1" s="1"/>
  <c r="R3452" i="1"/>
  <c r="U3452" i="1" s="1"/>
  <c r="R3424" i="1"/>
  <c r="U3424" i="1" s="1"/>
  <c r="R3613" i="1"/>
  <c r="U3613" i="1" s="1"/>
  <c r="R3549" i="1"/>
  <c r="U3549" i="1" s="1"/>
  <c r="R3515" i="1"/>
  <c r="U3515" i="1" s="1"/>
  <c r="R3451" i="1"/>
  <c r="U3451" i="1" s="1"/>
  <c r="R3344" i="1"/>
  <c r="U3344" i="1" s="1"/>
  <c r="R3339" i="1"/>
  <c r="U3339" i="1" s="1"/>
  <c r="R3275" i="1"/>
  <c r="U3275" i="1" s="1"/>
  <c r="R3221" i="1"/>
  <c r="R3168" i="1"/>
  <c r="U3168" i="1" s="1"/>
  <c r="R3131" i="1"/>
  <c r="U3131" i="1" s="1"/>
  <c r="R3119" i="1"/>
  <c r="U3119" i="1" s="1"/>
  <c r="R3115" i="1"/>
  <c r="U3115" i="1" s="1"/>
  <c r="R3067" i="1"/>
  <c r="U3067" i="1" s="1"/>
  <c r="R3063" i="1"/>
  <c r="U3063" i="1" s="1"/>
  <c r="R3011" i="1"/>
  <c r="U3011" i="1" s="1"/>
  <c r="R3661" i="1"/>
  <c r="U3661" i="1" s="1"/>
  <c r="R3563" i="1"/>
  <c r="U3563" i="1" s="1"/>
  <c r="R3513" i="1"/>
  <c r="U3513" i="1" s="1"/>
  <c r="R3341" i="1"/>
  <c r="U3341" i="1" s="1"/>
  <c r="R3271" i="1"/>
  <c r="U3271" i="1" s="1"/>
  <c r="R3220" i="1"/>
  <c r="U3220" i="1" s="1"/>
  <c r="R3199" i="1"/>
  <c r="U3199" i="1" s="1"/>
  <c r="R3118" i="1"/>
  <c r="U3118" i="1" s="1"/>
  <c r="R3065" i="1"/>
  <c r="U3065" i="1" s="1"/>
  <c r="R3012" i="1"/>
  <c r="R2972" i="1"/>
  <c r="U2972" i="1" s="1"/>
  <c r="R2960" i="1"/>
  <c r="R3611" i="1"/>
  <c r="U3611" i="1" s="1"/>
  <c r="R3477" i="1"/>
  <c r="U3477" i="1" s="1"/>
  <c r="R3423" i="1"/>
  <c r="U3423" i="1" s="1"/>
  <c r="R3345" i="1"/>
  <c r="U3345" i="1" s="1"/>
  <c r="R3324" i="1"/>
  <c r="U3324" i="1" s="1"/>
  <c r="R3273" i="1"/>
  <c r="R3224" i="1"/>
  <c r="U3224" i="1" s="1"/>
  <c r="R3167" i="1"/>
  <c r="U3167" i="1" s="1"/>
  <c r="R3153" i="1"/>
  <c r="U3153" i="1" s="1"/>
  <c r="R3139" i="1"/>
  <c r="E12" i="8" s="1"/>
  <c r="R3121" i="1"/>
  <c r="U3121" i="1" s="1"/>
  <c r="R3116" i="1"/>
  <c r="U3116" i="1" s="1"/>
  <c r="R3105" i="1"/>
  <c r="R3062" i="1"/>
  <c r="U3062" i="1" s="1"/>
  <c r="R3046" i="1"/>
  <c r="U3046" i="1" s="1"/>
  <c r="R3009" i="1"/>
  <c r="R2974" i="1"/>
  <c r="R3425" i="1"/>
  <c r="U3425" i="1" s="1"/>
  <c r="R3276" i="1"/>
  <c r="U3276" i="1" s="1"/>
  <c r="R3219" i="1"/>
  <c r="U3219" i="1" s="1"/>
  <c r="R3665" i="1"/>
  <c r="U3665" i="1" s="1"/>
  <c r="R3608" i="1"/>
  <c r="U3608" i="1" s="1"/>
  <c r="R3343" i="1"/>
  <c r="U3343" i="1" s="1"/>
  <c r="R3272" i="1"/>
  <c r="U3272" i="1" s="1"/>
  <c r="R3187" i="1"/>
  <c r="U3187" i="1" s="1"/>
  <c r="R3130" i="1"/>
  <c r="U3130" i="1" s="1"/>
  <c r="R3120" i="1"/>
  <c r="U3120" i="1" s="1"/>
  <c r="R3066" i="1"/>
  <c r="U3066" i="1" s="1"/>
  <c r="R3659" i="1"/>
  <c r="U3659" i="1" s="1"/>
  <c r="R3479" i="1"/>
  <c r="U3479" i="1" s="1"/>
  <c r="R3340" i="1"/>
  <c r="R3325" i="1"/>
  <c r="U3325" i="1" s="1"/>
  <c r="R3225" i="1"/>
  <c r="U3225" i="1" s="1"/>
  <c r="R3169" i="1"/>
  <c r="U3169" i="1" s="1"/>
  <c r="R3140" i="1"/>
  <c r="U3140" i="1" s="1"/>
  <c r="R3117" i="1"/>
  <c r="U3117" i="1" s="1"/>
  <c r="R3106" i="1"/>
  <c r="U3106" i="1" s="1"/>
  <c r="R3064" i="1"/>
  <c r="U3064" i="1" s="1"/>
  <c r="R3010" i="1"/>
  <c r="U3010" i="1" s="1"/>
  <c r="R3000" i="1"/>
  <c r="U3000" i="1" s="1"/>
  <c r="R2967" i="1"/>
  <c r="U2967" i="1" s="1"/>
  <c r="R3565" i="1"/>
  <c r="U3565" i="1" s="1"/>
  <c r="R3453" i="1"/>
  <c r="U3453" i="1" s="1"/>
  <c r="R3223" i="1"/>
  <c r="U3223" i="1" s="1"/>
  <c r="R3061" i="1"/>
  <c r="U3061" i="1" s="1"/>
  <c r="R3008" i="1"/>
  <c r="R2973" i="1"/>
  <c r="R3511" i="1"/>
  <c r="U3511" i="1" s="1"/>
  <c r="R3347" i="1"/>
  <c r="U3347" i="1" s="1"/>
  <c r="U1307" i="1"/>
  <c r="U1763" i="1"/>
  <c r="U1413" i="1"/>
  <c r="U2386" i="1"/>
  <c r="Q14" i="8"/>
  <c r="E14" i="8"/>
  <c r="D78" i="8"/>
  <c r="U1266" i="1"/>
  <c r="V11" i="8"/>
  <c r="I79" i="8"/>
  <c r="U1361" i="1"/>
  <c r="R2894" i="1"/>
  <c r="U2894" i="1" s="1"/>
  <c r="R2754" i="1"/>
  <c r="U2754" i="1" s="1"/>
  <c r="R2710" i="1"/>
  <c r="U2710" i="1" s="1"/>
  <c r="R2618" i="1"/>
  <c r="U2618" i="1" s="1"/>
  <c r="R2614" i="1"/>
  <c r="U2614" i="1" s="1"/>
  <c r="R2892" i="1"/>
  <c r="U2892" i="1" s="1"/>
  <c r="R2768" i="1"/>
  <c r="U2768" i="1" s="1"/>
  <c r="R2712" i="1"/>
  <c r="U2712" i="1" s="1"/>
  <c r="R2708" i="1"/>
  <c r="U2708" i="1" s="1"/>
  <c r="R2616" i="1"/>
  <c r="U2616" i="1" s="1"/>
  <c r="R2612" i="1"/>
  <c r="U2612" i="1" s="1"/>
  <c r="R2456" i="1"/>
  <c r="U2456" i="1" s="1"/>
  <c r="R2713" i="1"/>
  <c r="U2713" i="1" s="1"/>
  <c r="R2266" i="1"/>
  <c r="U2266" i="1" s="1"/>
  <c r="R2895" i="1"/>
  <c r="U2895" i="1" s="1"/>
  <c r="R2767" i="1"/>
  <c r="U2767" i="1" s="1"/>
  <c r="R2711" i="1"/>
  <c r="U2711" i="1" s="1"/>
  <c r="R2615" i="1"/>
  <c r="U2615" i="1" s="1"/>
  <c r="R2458" i="1"/>
  <c r="U2458" i="1" s="1"/>
  <c r="R2357" i="1"/>
  <c r="U2357" i="1" s="1"/>
  <c r="R2269" i="1"/>
  <c r="U2269" i="1" s="1"/>
  <c r="R2265" i="1"/>
  <c r="U2265" i="1" s="1"/>
  <c r="R2261" i="1"/>
  <c r="U2261" i="1" s="1"/>
  <c r="R2161" i="1"/>
  <c r="U2161" i="1" s="1"/>
  <c r="R2157" i="1"/>
  <c r="U2157" i="1" s="1"/>
  <c r="R2065" i="1"/>
  <c r="U2065" i="1" s="1"/>
  <c r="R2061" i="1"/>
  <c r="U2061" i="1" s="1"/>
  <c r="R1961" i="1"/>
  <c r="U1961" i="1" s="1"/>
  <c r="R1957" i="1"/>
  <c r="U1957" i="1" s="1"/>
  <c r="R1881" i="1"/>
  <c r="U1881" i="1" s="1"/>
  <c r="R1801" i="1"/>
  <c r="U1801" i="1" s="1"/>
  <c r="R1733" i="1"/>
  <c r="U1733" i="1" s="1"/>
  <c r="R1729" i="1"/>
  <c r="U1729" i="1" s="1"/>
  <c r="R1645" i="1"/>
  <c r="U1645" i="1" s="1"/>
  <c r="R1641" i="1"/>
  <c r="U1641" i="1" s="1"/>
  <c r="R1573" i="1"/>
  <c r="R1517" i="1"/>
  <c r="U1517" i="1" s="1"/>
  <c r="R1453" i="1"/>
  <c r="U1453" i="1" s="1"/>
  <c r="R1373" i="1"/>
  <c r="U1373" i="1" s="1"/>
  <c r="R1369" i="1"/>
  <c r="R1317" i="1"/>
  <c r="R2893" i="1"/>
  <c r="U2893" i="1" s="1"/>
  <c r="R2709" i="1"/>
  <c r="U2709" i="1" s="1"/>
  <c r="R2613" i="1"/>
  <c r="U2613" i="1" s="1"/>
  <c r="R2457" i="1"/>
  <c r="U2457" i="1" s="1"/>
  <c r="R2268" i="1"/>
  <c r="U2268" i="1" s="1"/>
  <c r="R2060" i="1"/>
  <c r="U2060" i="1" s="1"/>
  <c r="R2356" i="1"/>
  <c r="U2356" i="1" s="1"/>
  <c r="R2264" i="1"/>
  <c r="U2264" i="1" s="1"/>
  <c r="R2160" i="1"/>
  <c r="U2160" i="1" s="1"/>
  <c r="R2064" i="1"/>
  <c r="U2064" i="1" s="1"/>
  <c r="R2891" i="1"/>
  <c r="U2891" i="1" s="1"/>
  <c r="R2707" i="1"/>
  <c r="U2707" i="1" s="1"/>
  <c r="R2619" i="1"/>
  <c r="U2619" i="1" s="1"/>
  <c r="R2611" i="1"/>
  <c r="U2611" i="1" s="1"/>
  <c r="R2455" i="1"/>
  <c r="U2455" i="1" s="1"/>
  <c r="R2355" i="1"/>
  <c r="U2355" i="1" s="1"/>
  <c r="R2267" i="1"/>
  <c r="U2267" i="1" s="1"/>
  <c r="R2263" i="1"/>
  <c r="U2263" i="1" s="1"/>
  <c r="R2163" i="1"/>
  <c r="U2163" i="1" s="1"/>
  <c r="R2159" i="1"/>
  <c r="U2159" i="1" s="1"/>
  <c r="R2063" i="1"/>
  <c r="U2063" i="1" s="1"/>
  <c r="R2059" i="1"/>
  <c r="U2059" i="1" s="1"/>
  <c r="R1963" i="1"/>
  <c r="U1963" i="1" s="1"/>
  <c r="R1959" i="1"/>
  <c r="U1959" i="1" s="1"/>
  <c r="R1883" i="1"/>
  <c r="U1883" i="1" s="1"/>
  <c r="R1803" i="1"/>
  <c r="U1803" i="1" s="1"/>
  <c r="R1799" i="1"/>
  <c r="U1799" i="1" s="1"/>
  <c r="R1735" i="1"/>
  <c r="U1735" i="1" s="1"/>
  <c r="R1731" i="1"/>
  <c r="U1731" i="1" s="1"/>
  <c r="R1643" i="1"/>
  <c r="U1643" i="1" s="1"/>
  <c r="R1543" i="1"/>
  <c r="R1515" i="1"/>
  <c r="U1515" i="1" s="1"/>
  <c r="R1455" i="1"/>
  <c r="U1455" i="1" s="1"/>
  <c r="R1451" i="1"/>
  <c r="U1451" i="1" s="1"/>
  <c r="R1375" i="1"/>
  <c r="U1375" i="1" s="1"/>
  <c r="R1371" i="1"/>
  <c r="U1371" i="1" s="1"/>
  <c r="R1303" i="1"/>
  <c r="R2753" i="1"/>
  <c r="U2753" i="1" s="1"/>
  <c r="R2617" i="1"/>
  <c r="U2617" i="1" s="1"/>
  <c r="R2459" i="1"/>
  <c r="U2459" i="1" s="1"/>
  <c r="R2354" i="1"/>
  <c r="U2354" i="1" s="1"/>
  <c r="R2270" i="1"/>
  <c r="U2270" i="1" s="1"/>
  <c r="R2262" i="1"/>
  <c r="U2262" i="1" s="1"/>
  <c r="R2158" i="1"/>
  <c r="U2158" i="1" s="1"/>
  <c r="R2062" i="1"/>
  <c r="U2062" i="1" s="1"/>
  <c r="R1962" i="1"/>
  <c r="U1962" i="1" s="1"/>
  <c r="R1882" i="1"/>
  <c r="U1882" i="1" s="1"/>
  <c r="R1802" i="1"/>
  <c r="U1802" i="1" s="1"/>
  <c r="R1730" i="1"/>
  <c r="U1730" i="1" s="1"/>
  <c r="R1642" i="1"/>
  <c r="U1642" i="1" s="1"/>
  <c r="R1370" i="1"/>
  <c r="U1370" i="1" s="1"/>
  <c r="R1734" i="1"/>
  <c r="U1734" i="1" s="1"/>
  <c r="R1960" i="1"/>
  <c r="U1960" i="1" s="1"/>
  <c r="R1800" i="1"/>
  <c r="U1800" i="1" s="1"/>
  <c r="R1736" i="1"/>
  <c r="U1736" i="1" s="1"/>
  <c r="R1544" i="1"/>
  <c r="U1544" i="1" s="1"/>
  <c r="R1454" i="1"/>
  <c r="U1454" i="1" s="1"/>
  <c r="R1374" i="1"/>
  <c r="R1958" i="1"/>
  <c r="U1958" i="1" s="1"/>
  <c r="R2162" i="1"/>
  <c r="U2162" i="1" s="1"/>
  <c r="R2066" i="1"/>
  <c r="U2066" i="1" s="1"/>
  <c r="R1956" i="1"/>
  <c r="U1956" i="1" s="1"/>
  <c r="R1804" i="1"/>
  <c r="U1804" i="1" s="1"/>
  <c r="R1732" i="1"/>
  <c r="U1732" i="1" s="1"/>
  <c r="R1644" i="1"/>
  <c r="U1644" i="1" s="1"/>
  <c r="R1572" i="1"/>
  <c r="U1572" i="1" s="1"/>
  <c r="R1516" i="1"/>
  <c r="U1516" i="1" s="1"/>
  <c r="R1452" i="1"/>
  <c r="U1452" i="1" s="1"/>
  <c r="R1372" i="1"/>
  <c r="U1372" i="1" s="1"/>
  <c r="R1332" i="1"/>
  <c r="R1292" i="1"/>
  <c r="R1798" i="1"/>
  <c r="U1798" i="1" s="1"/>
  <c r="R1646" i="1"/>
  <c r="U1646" i="1" s="1"/>
  <c r="R1318" i="1"/>
  <c r="U1318" i="1" s="1"/>
  <c r="U1339" i="1"/>
  <c r="U1530" i="1"/>
  <c r="U1365" i="1"/>
  <c r="V13" i="8"/>
  <c r="U1541" i="1"/>
  <c r="R3690" i="1"/>
  <c r="U3690" i="1" s="1"/>
  <c r="R3689" i="1"/>
  <c r="U3689" i="1" s="1"/>
  <c r="R3638" i="1"/>
  <c r="U3638" i="1" s="1"/>
  <c r="R3591" i="1"/>
  <c r="U3591" i="1" s="1"/>
  <c r="R3498" i="1"/>
  <c r="U3498" i="1" s="1"/>
  <c r="R3406" i="1"/>
  <c r="U3406" i="1" s="1"/>
  <c r="R3306" i="1"/>
  <c r="U3306" i="1" s="1"/>
  <c r="R3178" i="1"/>
  <c r="U3178" i="1" s="1"/>
  <c r="R3692" i="1"/>
  <c r="U3692" i="1" s="1"/>
  <c r="R3408" i="1"/>
  <c r="U3408" i="1" s="1"/>
  <c r="R3307" i="1"/>
  <c r="U3307" i="1" s="1"/>
  <c r="R3039" i="1"/>
  <c r="R3407" i="1"/>
  <c r="U3407" i="1" s="1"/>
  <c r="R3305" i="1"/>
  <c r="R3256" i="1"/>
  <c r="U3256" i="1" s="1"/>
  <c r="R3177" i="1"/>
  <c r="U3177" i="1" s="1"/>
  <c r="R3038" i="1"/>
  <c r="U3038" i="1" s="1"/>
  <c r="R3691" i="1"/>
  <c r="U3691" i="1" s="1"/>
  <c r="R3541" i="1"/>
  <c r="U3541" i="1" s="1"/>
  <c r="R3497" i="1"/>
  <c r="U3497" i="1" s="1"/>
  <c r="R2994" i="1"/>
  <c r="R2993" i="1"/>
  <c r="R3693" i="1"/>
  <c r="U3693" i="1" s="1"/>
  <c r="R3255" i="1"/>
  <c r="R3409" i="1"/>
  <c r="U3409" i="1" s="1"/>
  <c r="R3176" i="1"/>
  <c r="U3176" i="1" s="1"/>
  <c r="R3037" i="1"/>
  <c r="R2778" i="1"/>
  <c r="U2778" i="1" s="1"/>
  <c r="R2730" i="1"/>
  <c r="U2730" i="1" s="1"/>
  <c r="R2726" i="1"/>
  <c r="U2726" i="1" s="1"/>
  <c r="R2646" i="1"/>
  <c r="U2646" i="1" s="1"/>
  <c r="R2642" i="1"/>
  <c r="U2642" i="1" s="1"/>
  <c r="R2638" i="1"/>
  <c r="U2638" i="1" s="1"/>
  <c r="R2494" i="1"/>
  <c r="U2494" i="1" s="1"/>
  <c r="R2490" i="1"/>
  <c r="U2490" i="1" s="1"/>
  <c r="R2486" i="1"/>
  <c r="U2486" i="1" s="1"/>
  <c r="R2776" i="1"/>
  <c r="U2776" i="1" s="1"/>
  <c r="R2732" i="1"/>
  <c r="U2732" i="1" s="1"/>
  <c r="R2728" i="1"/>
  <c r="U2728" i="1" s="1"/>
  <c r="R2724" i="1"/>
  <c r="U2724" i="1" s="1"/>
  <c r="R2644" i="1"/>
  <c r="U2644" i="1" s="1"/>
  <c r="R2640" i="1"/>
  <c r="U2640" i="1" s="1"/>
  <c r="R2492" i="1"/>
  <c r="U2492" i="1" s="1"/>
  <c r="R2488" i="1"/>
  <c r="U2488" i="1" s="1"/>
  <c r="R2825" i="1"/>
  <c r="U2825" i="1" s="1"/>
  <c r="R2777" i="1"/>
  <c r="U2777" i="1" s="1"/>
  <c r="R2729" i="1"/>
  <c r="U2729" i="1" s="1"/>
  <c r="R2641" i="1"/>
  <c r="U2641" i="1" s="1"/>
  <c r="R2382" i="1"/>
  <c r="U2382" i="1" s="1"/>
  <c r="R2298" i="1"/>
  <c r="U2298" i="1" s="1"/>
  <c r="R2903" i="1"/>
  <c r="U2903" i="1" s="1"/>
  <c r="R2775" i="1"/>
  <c r="U2775" i="1" s="1"/>
  <c r="R2759" i="1"/>
  <c r="U2759" i="1" s="1"/>
  <c r="R2727" i="1"/>
  <c r="U2727" i="1" s="1"/>
  <c r="R2639" i="1"/>
  <c r="U2639" i="1" s="1"/>
  <c r="R2495" i="1"/>
  <c r="U2495" i="1" s="1"/>
  <c r="R2487" i="1"/>
  <c r="U2487" i="1" s="1"/>
  <c r="R2385" i="1"/>
  <c r="U2385" i="1" s="1"/>
  <c r="R2381" i="1"/>
  <c r="U2381" i="1" s="1"/>
  <c r="R2301" i="1"/>
  <c r="U2301" i="1" s="1"/>
  <c r="R2297" i="1"/>
  <c r="U2297" i="1" s="1"/>
  <c r="R2189" i="1"/>
  <c r="U2189" i="1" s="1"/>
  <c r="R2101" i="1"/>
  <c r="U2101" i="1" s="1"/>
  <c r="R2097" i="1"/>
  <c r="U2097" i="1" s="1"/>
  <c r="R1993" i="1"/>
  <c r="U1993" i="1" s="1"/>
  <c r="R1989" i="1"/>
  <c r="U1989" i="1" s="1"/>
  <c r="R1901" i="1"/>
  <c r="U1901" i="1" s="1"/>
  <c r="R1837" i="1"/>
  <c r="U1837" i="1" s="1"/>
  <c r="R1833" i="1"/>
  <c r="U1833" i="1" s="1"/>
  <c r="R1753" i="1"/>
  <c r="U1753" i="1" s="1"/>
  <c r="R1673" i="1"/>
  <c r="U1673" i="1" s="1"/>
  <c r="R1669" i="1"/>
  <c r="U1669" i="1" s="1"/>
  <c r="R1553" i="1"/>
  <c r="U1553" i="1" s="1"/>
  <c r="R1481" i="1"/>
  <c r="U1481" i="1" s="1"/>
  <c r="R1477" i="1"/>
  <c r="U1477" i="1" s="1"/>
  <c r="R1393" i="1"/>
  <c r="U1393" i="1" s="1"/>
  <c r="R1389" i="1"/>
  <c r="U1389" i="1" s="1"/>
  <c r="R1305" i="1"/>
  <c r="U1305" i="1" s="1"/>
  <c r="R2733" i="1"/>
  <c r="U2733" i="1" s="1"/>
  <c r="R2725" i="1"/>
  <c r="U2725" i="1" s="1"/>
  <c r="R2645" i="1"/>
  <c r="U2645" i="1" s="1"/>
  <c r="R2384" i="1"/>
  <c r="U2384" i="1" s="1"/>
  <c r="R2300" i="1"/>
  <c r="U2300" i="1" s="1"/>
  <c r="R2188" i="1"/>
  <c r="U2188" i="1" s="1"/>
  <c r="R2100" i="1"/>
  <c r="U2100" i="1" s="1"/>
  <c r="R2493" i="1"/>
  <c r="U2493" i="1" s="1"/>
  <c r="R2380" i="1"/>
  <c r="U2380" i="1" s="1"/>
  <c r="R2304" i="1"/>
  <c r="U2304" i="1" s="1"/>
  <c r="R2296" i="1"/>
  <c r="U2296" i="1" s="1"/>
  <c r="R2192" i="1"/>
  <c r="U2192" i="1" s="1"/>
  <c r="R2096" i="1"/>
  <c r="U2096" i="1" s="1"/>
  <c r="R2779" i="1"/>
  <c r="U2779" i="1" s="1"/>
  <c r="R2731" i="1"/>
  <c r="U2731" i="1" s="1"/>
  <c r="R2643" i="1"/>
  <c r="U2643" i="1" s="1"/>
  <c r="R2491" i="1"/>
  <c r="U2491" i="1" s="1"/>
  <c r="R2383" i="1"/>
  <c r="U2383" i="1" s="1"/>
  <c r="R2303" i="1"/>
  <c r="U2303" i="1" s="1"/>
  <c r="R2299" i="1"/>
  <c r="U2299" i="1" s="1"/>
  <c r="R2191" i="1"/>
  <c r="U2191" i="1" s="1"/>
  <c r="R2187" i="1"/>
  <c r="U2187" i="1" s="1"/>
  <c r="R2099" i="1"/>
  <c r="U2099" i="1" s="1"/>
  <c r="R2095" i="1"/>
  <c r="U2095" i="1" s="1"/>
  <c r="R1991" i="1"/>
  <c r="U1991" i="1" s="1"/>
  <c r="R1987" i="1"/>
  <c r="U1987" i="1" s="1"/>
  <c r="R1903" i="1"/>
  <c r="U1903" i="1" s="1"/>
  <c r="R1835" i="1"/>
  <c r="U1835" i="1" s="1"/>
  <c r="R1831" i="1"/>
  <c r="U1831" i="1" s="1"/>
  <c r="R1823" i="1"/>
  <c r="U1823" i="1" s="1"/>
  <c r="R1755" i="1"/>
  <c r="U1755" i="1" s="1"/>
  <c r="R1671" i="1"/>
  <c r="U1671" i="1" s="1"/>
  <c r="R1579" i="1"/>
  <c r="U1579" i="1" s="1"/>
  <c r="R1551" i="1"/>
  <c r="U1551" i="1" s="1"/>
  <c r="R1483" i="1"/>
  <c r="U1483" i="1" s="1"/>
  <c r="R1479" i="1"/>
  <c r="U1479" i="1" s="1"/>
  <c r="R1391" i="1"/>
  <c r="U1391" i="1" s="1"/>
  <c r="R2553" i="1"/>
  <c r="U2553" i="1" s="1"/>
  <c r="R2489" i="1"/>
  <c r="U2489" i="1" s="1"/>
  <c r="R2302" i="1"/>
  <c r="U2302" i="1" s="1"/>
  <c r="R2190" i="1"/>
  <c r="U2190" i="1" s="1"/>
  <c r="R1994" i="1"/>
  <c r="U1994" i="1" s="1"/>
  <c r="R1818" i="1"/>
  <c r="U1818" i="1" s="1"/>
  <c r="R1754" i="1"/>
  <c r="U1754" i="1" s="1"/>
  <c r="R1674" i="1"/>
  <c r="U1674" i="1" s="1"/>
  <c r="R1586" i="1"/>
  <c r="U1586" i="1" s="1"/>
  <c r="R1554" i="1"/>
  <c r="U1554" i="1" s="1"/>
  <c r="R1482" i="1"/>
  <c r="U1482" i="1" s="1"/>
  <c r="R1394" i="1"/>
  <c r="U1394" i="1" s="1"/>
  <c r="R1830" i="1"/>
  <c r="U1830" i="1" s="1"/>
  <c r="R1390" i="1"/>
  <c r="U1390" i="1" s="1"/>
  <c r="R2186" i="1"/>
  <c r="U2186" i="1" s="1"/>
  <c r="R1992" i="1"/>
  <c r="U1992" i="1" s="1"/>
  <c r="R1904" i="1"/>
  <c r="U1904" i="1" s="1"/>
  <c r="R1832" i="1"/>
  <c r="U1832" i="1" s="1"/>
  <c r="R1824" i="1"/>
  <c r="U1824" i="1" s="1"/>
  <c r="R1672" i="1"/>
  <c r="U1672" i="1" s="1"/>
  <c r="R1552" i="1"/>
  <c r="U1552" i="1" s="1"/>
  <c r="R1480" i="1"/>
  <c r="U1480" i="1" s="1"/>
  <c r="R1392" i="1"/>
  <c r="U1392" i="1" s="1"/>
  <c r="R1478" i="1"/>
  <c r="U1478" i="1" s="1"/>
  <c r="R2102" i="1"/>
  <c r="U2102" i="1" s="1"/>
  <c r="R1990" i="1"/>
  <c r="U1990" i="1" s="1"/>
  <c r="R1902" i="1"/>
  <c r="U1902" i="1" s="1"/>
  <c r="R2098" i="1"/>
  <c r="U2098" i="1" s="1"/>
  <c r="R1988" i="1"/>
  <c r="U1988" i="1" s="1"/>
  <c r="R1900" i="1"/>
  <c r="U1900" i="1" s="1"/>
  <c r="R1836" i="1"/>
  <c r="U1836" i="1" s="1"/>
  <c r="R1756" i="1"/>
  <c r="U1756" i="1" s="1"/>
  <c r="R1668" i="1"/>
  <c r="U1668" i="1" s="1"/>
  <c r="R1580" i="1"/>
  <c r="U1580" i="1" s="1"/>
  <c r="R1484" i="1"/>
  <c r="U1484" i="1" s="1"/>
  <c r="R1388" i="1"/>
  <c r="U1388" i="1" s="1"/>
  <c r="R1838" i="1"/>
  <c r="U1838" i="1" s="1"/>
  <c r="R1822" i="1"/>
  <c r="U1822" i="1" s="1"/>
  <c r="R1670" i="1"/>
  <c r="U1670" i="1" s="1"/>
  <c r="U2402" i="1"/>
  <c r="C7" i="6"/>
  <c r="U1343" i="1"/>
  <c r="U2111" i="1"/>
  <c r="U2399" i="1"/>
  <c r="U1760" i="1"/>
  <c r="T13" i="8"/>
  <c r="U1536" i="1"/>
  <c r="R11" i="8"/>
  <c r="E79" i="8"/>
  <c r="U1344" i="1"/>
  <c r="R12" i="8"/>
  <c r="U1283" i="1"/>
  <c r="U1996" i="1"/>
  <c r="U1404" i="1"/>
  <c r="R15" i="8"/>
  <c r="F15" i="8"/>
  <c r="U1308" i="1"/>
  <c r="E78" i="8"/>
  <c r="R14" i="8"/>
  <c r="U1268" i="1"/>
  <c r="K81" i="8"/>
  <c r="U1457" i="1"/>
  <c r="P13" i="8"/>
  <c r="D13" i="8"/>
  <c r="U1527" i="1"/>
  <c r="D12" i="8"/>
  <c r="R3634" i="1"/>
  <c r="U3634" i="1" s="1"/>
  <c r="R3602" i="1"/>
  <c r="U3602" i="1" s="1"/>
  <c r="R3586" i="1"/>
  <c r="U3586" i="1" s="1"/>
  <c r="R3633" i="1"/>
  <c r="U3633" i="1" s="1"/>
  <c r="R3601" i="1"/>
  <c r="U3601" i="1" s="1"/>
  <c r="R3585" i="1"/>
  <c r="U3585" i="1" s="1"/>
  <c r="R3538" i="1"/>
  <c r="U3538" i="1" s="1"/>
  <c r="R3494" i="1"/>
  <c r="U3494" i="1" s="1"/>
  <c r="R3442" i="1"/>
  <c r="U3442" i="1" s="1"/>
  <c r="R3394" i="1"/>
  <c r="U3394" i="1" s="1"/>
  <c r="R3390" i="1"/>
  <c r="U3390" i="1" s="1"/>
  <c r="R3134" i="1"/>
  <c r="U3134" i="1" s="1"/>
  <c r="R3652" i="1"/>
  <c r="U3652" i="1" s="1"/>
  <c r="R3588" i="1"/>
  <c r="U3588" i="1" s="1"/>
  <c r="R3536" i="1"/>
  <c r="U3536" i="1" s="1"/>
  <c r="R3468" i="1"/>
  <c r="U3468" i="1" s="1"/>
  <c r="R3635" i="1"/>
  <c r="U3635" i="1" s="1"/>
  <c r="R3467" i="1"/>
  <c r="U3467" i="1" s="1"/>
  <c r="R3443" i="1"/>
  <c r="U3443" i="1" s="1"/>
  <c r="R3397" i="1"/>
  <c r="U3397" i="1" s="1"/>
  <c r="R3392" i="1"/>
  <c r="R3301" i="1"/>
  <c r="U3301" i="1" s="1"/>
  <c r="R3253" i="1"/>
  <c r="U3253" i="1" s="1"/>
  <c r="R3099" i="1"/>
  <c r="U3099" i="1" s="1"/>
  <c r="R3051" i="1"/>
  <c r="U3051" i="1" s="1"/>
  <c r="R3632" i="1"/>
  <c r="U3632" i="1" s="1"/>
  <c r="R3391" i="1"/>
  <c r="U3391" i="1" s="1"/>
  <c r="R3299" i="1"/>
  <c r="R3097" i="1"/>
  <c r="U3097" i="1" s="1"/>
  <c r="R3033" i="1"/>
  <c r="U3033" i="1" s="1"/>
  <c r="R3395" i="1"/>
  <c r="U3395" i="1" s="1"/>
  <c r="R3160" i="1"/>
  <c r="U3160" i="1" s="1"/>
  <c r="R3145" i="1"/>
  <c r="U3145" i="1" s="1"/>
  <c r="R3100" i="1"/>
  <c r="U3100" i="1" s="1"/>
  <c r="R2990" i="1"/>
  <c r="R3441" i="1"/>
  <c r="U3441" i="1" s="1"/>
  <c r="R3300" i="1"/>
  <c r="U3300" i="1" s="1"/>
  <c r="R3159" i="1"/>
  <c r="R3098" i="1"/>
  <c r="U3098" i="1" s="1"/>
  <c r="R3034" i="1"/>
  <c r="U3034" i="1" s="1"/>
  <c r="R3396" i="1"/>
  <c r="U3396" i="1" s="1"/>
  <c r="R3032" i="1"/>
  <c r="R3687" i="1"/>
  <c r="U3687" i="1" s="1"/>
  <c r="R3537" i="1"/>
  <c r="U3537" i="1" s="1"/>
  <c r="R3495" i="1"/>
  <c r="U3495" i="1" s="1"/>
  <c r="R3393" i="1"/>
  <c r="U3393" i="1" s="1"/>
  <c r="R3137" i="1"/>
  <c r="R3587" i="1"/>
  <c r="U3587" i="1" s="1"/>
  <c r="R3469" i="1"/>
  <c r="U3469" i="1" s="1"/>
  <c r="R3101" i="1"/>
  <c r="U3101" i="1" s="1"/>
  <c r="R3710" i="1"/>
  <c r="U3710" i="1" s="1"/>
  <c r="R3670" i="1"/>
  <c r="U3670" i="1" s="1"/>
  <c r="R3666" i="1"/>
  <c r="U3666" i="1" s="1"/>
  <c r="R3711" i="1"/>
  <c r="U3711" i="1" s="1"/>
  <c r="R3700" i="1"/>
  <c r="U3700" i="1" s="1"/>
  <c r="R3673" i="1"/>
  <c r="U3673" i="1" s="1"/>
  <c r="R3668" i="1"/>
  <c r="U3668" i="1" s="1"/>
  <c r="R3614" i="1"/>
  <c r="U3614" i="1" s="1"/>
  <c r="R3598" i="1"/>
  <c r="U3598" i="1" s="1"/>
  <c r="R3570" i="1"/>
  <c r="U3570" i="1" s="1"/>
  <c r="R3709" i="1"/>
  <c r="U3709" i="1" s="1"/>
  <c r="R3667" i="1"/>
  <c r="U3667" i="1" s="1"/>
  <c r="R3644" i="1"/>
  <c r="U3644" i="1" s="1"/>
  <c r="R3569" i="1"/>
  <c r="U3569" i="1" s="1"/>
  <c r="R3553" i="1"/>
  <c r="U3553" i="1" s="1"/>
  <c r="R3522" i="1"/>
  <c r="U3522" i="1" s="1"/>
  <c r="R3518" i="1"/>
  <c r="U3518" i="1" s="1"/>
  <c r="R3482" i="1"/>
  <c r="U3482" i="1" s="1"/>
  <c r="R3454" i="1"/>
  <c r="U3454" i="1" s="1"/>
  <c r="R3430" i="1"/>
  <c r="U3430" i="1" s="1"/>
  <c r="R3426" i="1"/>
  <c r="U3426" i="1" s="1"/>
  <c r="R3354" i="1"/>
  <c r="U3354" i="1" s="1"/>
  <c r="R3350" i="1"/>
  <c r="U3350" i="1" s="1"/>
  <c r="R3326" i="1"/>
  <c r="U3326" i="1" s="1"/>
  <c r="R3282" i="1"/>
  <c r="U3282" i="1" s="1"/>
  <c r="R3278" i="1"/>
  <c r="U3278" i="1" s="1"/>
  <c r="R3234" i="1"/>
  <c r="U3234" i="1" s="1"/>
  <c r="R3230" i="1"/>
  <c r="U3230" i="1" s="1"/>
  <c r="R3154" i="1"/>
  <c r="R3671" i="1"/>
  <c r="U3671" i="1" s="1"/>
  <c r="R3615" i="1"/>
  <c r="U3615" i="1" s="1"/>
  <c r="R3567" i="1"/>
  <c r="U3567" i="1" s="1"/>
  <c r="R3551" i="1"/>
  <c r="U3551" i="1" s="1"/>
  <c r="R3520" i="1"/>
  <c r="U3520" i="1" s="1"/>
  <c r="R3484" i="1"/>
  <c r="U3484" i="1" s="1"/>
  <c r="R3480" i="1"/>
  <c r="U3480" i="1" s="1"/>
  <c r="R3456" i="1"/>
  <c r="U3456" i="1" s="1"/>
  <c r="R3428" i="1"/>
  <c r="U3428" i="1" s="1"/>
  <c r="R3669" i="1"/>
  <c r="U3669" i="1" s="1"/>
  <c r="R3645" i="1"/>
  <c r="U3645" i="1" s="1"/>
  <c r="R3483" i="1"/>
  <c r="U3483" i="1" s="1"/>
  <c r="R3427" i="1"/>
  <c r="U3427" i="1" s="1"/>
  <c r="R3355" i="1"/>
  <c r="U3355" i="1" s="1"/>
  <c r="R3349" i="1"/>
  <c r="U3349" i="1" s="1"/>
  <c r="R3280" i="1"/>
  <c r="U3280" i="1" s="1"/>
  <c r="R3232" i="1"/>
  <c r="U3232" i="1" s="1"/>
  <c r="R3227" i="1"/>
  <c r="U3227" i="1" s="1"/>
  <c r="R3200" i="1"/>
  <c r="U3200" i="1" s="1"/>
  <c r="R3141" i="1"/>
  <c r="R3136" i="1"/>
  <c r="U3136" i="1" s="1"/>
  <c r="R3123" i="1"/>
  <c r="U3123" i="1" s="1"/>
  <c r="R3071" i="1"/>
  <c r="R3015" i="1"/>
  <c r="U3015" i="1" s="1"/>
  <c r="R3481" i="1"/>
  <c r="U3481" i="1" s="1"/>
  <c r="R3429" i="1"/>
  <c r="U3429" i="1" s="1"/>
  <c r="R3356" i="1"/>
  <c r="U3356" i="1" s="1"/>
  <c r="R3348" i="1"/>
  <c r="U3348" i="1" s="1"/>
  <c r="R3327" i="1"/>
  <c r="U3327" i="1" s="1"/>
  <c r="R3277" i="1"/>
  <c r="R3228" i="1"/>
  <c r="U3228" i="1" s="1"/>
  <c r="R3135" i="1"/>
  <c r="U3135" i="1" s="1"/>
  <c r="R3124" i="1"/>
  <c r="U3124" i="1" s="1"/>
  <c r="R3070" i="1"/>
  <c r="U3070" i="1" s="1"/>
  <c r="R3017" i="1"/>
  <c r="U3017" i="1" s="1"/>
  <c r="R2976" i="1"/>
  <c r="R3708" i="1"/>
  <c r="U3708" i="1" s="1"/>
  <c r="R3672" i="1"/>
  <c r="U3672" i="1" s="1"/>
  <c r="R3597" i="1"/>
  <c r="U3597" i="1" s="1"/>
  <c r="R3568" i="1"/>
  <c r="U3568" i="1" s="1"/>
  <c r="R3519" i="1"/>
  <c r="U3519" i="1" s="1"/>
  <c r="R3455" i="1"/>
  <c r="U3455" i="1" s="1"/>
  <c r="R3352" i="1"/>
  <c r="U3352" i="1" s="1"/>
  <c r="R3316" i="1"/>
  <c r="U3316" i="1" s="1"/>
  <c r="R3281" i="1"/>
  <c r="U3281" i="1" s="1"/>
  <c r="R3231" i="1"/>
  <c r="U3231" i="1" s="1"/>
  <c r="R3188" i="1"/>
  <c r="U3188" i="1" s="1"/>
  <c r="R3132" i="1"/>
  <c r="U3132" i="1" s="1"/>
  <c r="R3073" i="1"/>
  <c r="U3073" i="1" s="1"/>
  <c r="R3068" i="1"/>
  <c r="U3068" i="1" s="1"/>
  <c r="R3014" i="1"/>
  <c r="U3014" i="1" s="1"/>
  <c r="R2978" i="1"/>
  <c r="R3616" i="1"/>
  <c r="U3616" i="1" s="1"/>
  <c r="R3069" i="1"/>
  <c r="U3069" i="1" s="1"/>
  <c r="R3552" i="1"/>
  <c r="U3552" i="1" s="1"/>
  <c r="R3315" i="1"/>
  <c r="U3315" i="1" s="1"/>
  <c r="R3229" i="1"/>
  <c r="U3229" i="1" s="1"/>
  <c r="R3201" i="1"/>
  <c r="U3201" i="1" s="1"/>
  <c r="R3013" i="1"/>
  <c r="R2977" i="1"/>
  <c r="R2961" i="1"/>
  <c r="F11" i="8" s="1"/>
  <c r="R3521" i="1"/>
  <c r="U3521" i="1" s="1"/>
  <c r="R3353" i="1"/>
  <c r="U3353" i="1" s="1"/>
  <c r="R3283" i="1"/>
  <c r="U3283" i="1" s="1"/>
  <c r="R3155" i="1"/>
  <c r="U3155" i="1" s="1"/>
  <c r="R3074" i="1"/>
  <c r="U3074" i="1" s="1"/>
  <c r="R2975" i="1"/>
  <c r="U2975" i="1" s="1"/>
  <c r="R3651" i="1"/>
  <c r="U3651" i="1" s="1"/>
  <c r="R3517" i="1"/>
  <c r="U3517" i="1" s="1"/>
  <c r="R3351" i="1"/>
  <c r="U3351" i="1" s="1"/>
  <c r="R3279" i="1"/>
  <c r="U3279" i="1" s="1"/>
  <c r="R3072" i="1"/>
  <c r="U3072" i="1" s="1"/>
  <c r="R3233" i="1"/>
  <c r="U3233" i="1" s="1"/>
  <c r="R3122" i="1"/>
  <c r="U3122" i="1" s="1"/>
  <c r="R3016" i="1"/>
  <c r="U3016" i="1" s="1"/>
  <c r="R3682" i="1"/>
  <c r="U3682" i="1" s="1"/>
  <c r="R3684" i="1"/>
  <c r="U3684" i="1" s="1"/>
  <c r="R3646" i="1"/>
  <c r="U3646" i="1" s="1"/>
  <c r="R3622" i="1"/>
  <c r="U3622" i="1" s="1"/>
  <c r="R3578" i="1"/>
  <c r="U3578" i="1" s="1"/>
  <c r="R3724" i="1"/>
  <c r="U3724" i="1" s="1"/>
  <c r="R3681" i="1"/>
  <c r="U3681" i="1" s="1"/>
  <c r="R3623" i="1"/>
  <c r="U3623" i="1" s="1"/>
  <c r="R3580" i="1"/>
  <c r="U3580" i="1" s="1"/>
  <c r="R3530" i="1"/>
  <c r="U3530" i="1" s="1"/>
  <c r="R3490" i="1"/>
  <c r="U3490" i="1" s="1"/>
  <c r="R3462" i="1"/>
  <c r="U3462" i="1" s="1"/>
  <c r="R3434" i="1"/>
  <c r="U3434" i="1" s="1"/>
  <c r="R3374" i="1"/>
  <c r="U3374" i="1" s="1"/>
  <c r="R3370" i="1"/>
  <c r="U3370" i="1" s="1"/>
  <c r="R3366" i="1"/>
  <c r="U3366" i="1" s="1"/>
  <c r="R3318" i="1"/>
  <c r="U3318" i="1" s="1"/>
  <c r="R3290" i="1"/>
  <c r="R3246" i="1"/>
  <c r="U3246" i="1" s="1"/>
  <c r="R3242" i="1"/>
  <c r="U3242" i="1" s="1"/>
  <c r="R3190" i="1"/>
  <c r="U3190" i="1" s="1"/>
  <c r="R3182" i="1"/>
  <c r="U3182" i="1" s="1"/>
  <c r="R3685" i="1"/>
  <c r="U3685" i="1" s="1"/>
  <c r="R3647" i="1"/>
  <c r="U3647" i="1" s="1"/>
  <c r="R3599" i="1"/>
  <c r="U3599" i="1" s="1"/>
  <c r="R3577" i="1"/>
  <c r="U3577" i="1" s="1"/>
  <c r="R3532" i="1"/>
  <c r="U3532" i="1" s="1"/>
  <c r="R3488" i="1"/>
  <c r="U3488" i="1" s="1"/>
  <c r="R3464" i="1"/>
  <c r="U3464" i="1" s="1"/>
  <c r="R3436" i="1"/>
  <c r="U3436" i="1" s="1"/>
  <c r="R3683" i="1"/>
  <c r="U3683" i="1" s="1"/>
  <c r="R3624" i="1"/>
  <c r="U3624" i="1" s="1"/>
  <c r="R3531" i="1"/>
  <c r="U3531" i="1" s="1"/>
  <c r="R3435" i="1"/>
  <c r="U3435" i="1" s="1"/>
  <c r="R3371" i="1"/>
  <c r="U3371" i="1" s="1"/>
  <c r="R3317" i="1"/>
  <c r="U3317" i="1" s="1"/>
  <c r="R3291" i="1"/>
  <c r="U3291" i="1" s="1"/>
  <c r="R3243" i="1"/>
  <c r="U3243" i="1" s="1"/>
  <c r="R3205" i="1"/>
  <c r="U3205" i="1" s="1"/>
  <c r="R3195" i="1"/>
  <c r="U3195" i="1" s="1"/>
  <c r="R3173" i="1"/>
  <c r="U3173" i="1" s="1"/>
  <c r="R3157" i="1"/>
  <c r="U3157" i="1" s="1"/>
  <c r="R3083" i="1"/>
  <c r="U3083" i="1" s="1"/>
  <c r="R3079" i="1"/>
  <c r="U3079" i="1" s="1"/>
  <c r="R3023" i="1"/>
  <c r="U3023" i="1" s="1"/>
  <c r="R3701" i="1"/>
  <c r="U3701" i="1" s="1"/>
  <c r="R3576" i="1"/>
  <c r="U3576" i="1" s="1"/>
  <c r="R3461" i="1"/>
  <c r="U3461" i="1" s="1"/>
  <c r="R3369" i="1"/>
  <c r="U3369" i="1" s="1"/>
  <c r="R3292" i="1"/>
  <c r="U3292" i="1" s="1"/>
  <c r="R3241" i="1"/>
  <c r="U3241" i="1" s="1"/>
  <c r="R3143" i="1"/>
  <c r="R3086" i="1"/>
  <c r="U3086" i="1" s="1"/>
  <c r="R3081" i="1"/>
  <c r="U3081" i="1" s="1"/>
  <c r="R3049" i="1"/>
  <c r="U3049" i="1" s="1"/>
  <c r="R3022" i="1"/>
  <c r="U3022" i="1" s="1"/>
  <c r="R2984" i="1"/>
  <c r="U2984" i="1" s="1"/>
  <c r="R2968" i="1"/>
  <c r="U2968" i="1" s="1"/>
  <c r="R2964" i="1"/>
  <c r="R3529" i="1"/>
  <c r="U3529" i="1" s="1"/>
  <c r="R3373" i="1"/>
  <c r="U3373" i="1" s="1"/>
  <c r="R3367" i="1"/>
  <c r="U3367" i="1" s="1"/>
  <c r="R3288" i="1"/>
  <c r="U3288" i="1" s="1"/>
  <c r="R3260" i="1"/>
  <c r="R3245" i="1"/>
  <c r="U3245" i="1" s="1"/>
  <c r="R3126" i="1"/>
  <c r="U3126" i="1" s="1"/>
  <c r="R3084" i="1"/>
  <c r="U3084" i="1" s="1"/>
  <c r="R3025" i="1"/>
  <c r="U3025" i="1" s="1"/>
  <c r="R2986" i="1"/>
  <c r="U2986" i="1" s="1"/>
  <c r="R2954" i="1"/>
  <c r="R3489" i="1"/>
  <c r="U3489" i="1" s="1"/>
  <c r="R2987" i="1"/>
  <c r="U2987" i="1" s="1"/>
  <c r="R2955" i="1"/>
  <c r="U2955" i="1" s="1"/>
  <c r="R3579" i="1"/>
  <c r="U3579" i="1" s="1"/>
  <c r="R3463" i="1"/>
  <c r="U3463" i="1" s="1"/>
  <c r="R3372" i="1"/>
  <c r="U3372" i="1" s="1"/>
  <c r="R3244" i="1"/>
  <c r="U3244" i="1" s="1"/>
  <c r="R3172" i="1"/>
  <c r="U3172" i="1" s="1"/>
  <c r="R3144" i="1"/>
  <c r="U3144" i="1" s="1"/>
  <c r="R3024" i="1"/>
  <c r="U3024" i="1" s="1"/>
  <c r="R2985" i="1"/>
  <c r="R3600" i="1"/>
  <c r="U3600" i="1" s="1"/>
  <c r="R3368" i="1"/>
  <c r="U3368" i="1" s="1"/>
  <c r="R3085" i="1"/>
  <c r="U3085" i="1" s="1"/>
  <c r="R3723" i="1"/>
  <c r="U3723" i="1" s="1"/>
  <c r="R3293" i="1"/>
  <c r="U3293" i="1" s="1"/>
  <c r="R3193" i="1"/>
  <c r="U3193" i="1" s="1"/>
  <c r="R3151" i="1"/>
  <c r="R3082" i="1"/>
  <c r="U3082" i="1" s="1"/>
  <c r="R3375" i="1"/>
  <c r="U3375" i="1" s="1"/>
  <c r="R3289" i="1"/>
  <c r="U3289" i="1" s="1"/>
  <c r="R3204" i="1"/>
  <c r="U3204" i="1" s="1"/>
  <c r="R3080" i="1"/>
  <c r="U3080" i="1" s="1"/>
  <c r="R2963" i="1"/>
  <c r="G77" i="8"/>
  <c r="U1288" i="1"/>
  <c r="E77" i="8"/>
  <c r="E80" i="8" s="1"/>
  <c r="E82" i="8" s="1"/>
  <c r="U1257" i="1"/>
  <c r="P12" i="8"/>
  <c r="T11" i="8"/>
  <c r="H11" i="8"/>
  <c r="G79" i="8"/>
  <c r="U1355" i="1"/>
  <c r="R3702" i="1"/>
  <c r="U3702" i="1" s="1"/>
  <c r="R3686" i="1"/>
  <c r="U3686" i="1" s="1"/>
  <c r="R3630" i="1"/>
  <c r="U3630" i="1" s="1"/>
  <c r="R3628" i="1"/>
  <c r="U3628" i="1" s="1"/>
  <c r="R3386" i="1"/>
  <c r="U3386" i="1" s="1"/>
  <c r="R3382" i="1"/>
  <c r="U3382" i="1" s="1"/>
  <c r="R3298" i="1"/>
  <c r="U3298" i="1" s="1"/>
  <c r="R3262" i="1"/>
  <c r="U3262" i="1" s="1"/>
  <c r="R3206" i="1"/>
  <c r="U3206" i="1" s="1"/>
  <c r="R3631" i="1"/>
  <c r="U3631" i="1" s="1"/>
  <c r="R3583" i="1"/>
  <c r="U3583" i="1" s="1"/>
  <c r="R3492" i="1"/>
  <c r="U3492" i="1" s="1"/>
  <c r="R3440" i="1"/>
  <c r="U3440" i="1" s="1"/>
  <c r="R3387" i="1"/>
  <c r="U3387" i="1" s="1"/>
  <c r="R3381" i="1"/>
  <c r="U3381" i="1" s="1"/>
  <c r="R3296" i="1"/>
  <c r="U3296" i="1" s="1"/>
  <c r="R3127" i="1"/>
  <c r="U3127" i="1" s="1"/>
  <c r="R3095" i="1"/>
  <c r="U3095" i="1" s="1"/>
  <c r="R3091" i="1"/>
  <c r="U3091" i="1" s="1"/>
  <c r="R3031" i="1"/>
  <c r="U3031" i="1" s="1"/>
  <c r="R3493" i="1"/>
  <c r="U3493" i="1" s="1"/>
  <c r="R3439" i="1"/>
  <c r="U3439" i="1" s="1"/>
  <c r="R3384" i="1"/>
  <c r="U3384" i="1" s="1"/>
  <c r="R3320" i="1"/>
  <c r="U3320" i="1" s="1"/>
  <c r="R3207" i="1"/>
  <c r="U3207" i="1" s="1"/>
  <c r="R3092" i="1"/>
  <c r="U3092" i="1" s="1"/>
  <c r="R3584" i="1"/>
  <c r="U3584" i="1" s="1"/>
  <c r="R3388" i="1"/>
  <c r="U3388" i="1" s="1"/>
  <c r="R3295" i="1"/>
  <c r="U3295" i="1" s="1"/>
  <c r="R3252" i="1"/>
  <c r="J12" i="8" s="1"/>
  <c r="R3094" i="1"/>
  <c r="R3030" i="1"/>
  <c r="R3389" i="1"/>
  <c r="U3389" i="1" s="1"/>
  <c r="R3191" i="1"/>
  <c r="U3191" i="1" s="1"/>
  <c r="R3385" i="1"/>
  <c r="U3385" i="1" s="1"/>
  <c r="R3329" i="1"/>
  <c r="U3329" i="1" s="1"/>
  <c r="R2969" i="1"/>
  <c r="J11" i="8" s="1"/>
  <c r="R3629" i="1"/>
  <c r="U3629" i="1" s="1"/>
  <c r="R3383" i="1"/>
  <c r="U3383" i="1" s="1"/>
  <c r="R3297" i="1"/>
  <c r="U3297" i="1" s="1"/>
  <c r="R3183" i="1"/>
  <c r="U3183" i="1" s="1"/>
  <c r="R3096" i="1"/>
  <c r="R3093" i="1"/>
  <c r="R2989" i="1"/>
  <c r="U2989" i="1" s="1"/>
  <c r="R3715" i="1"/>
  <c r="U3715" i="1" s="1"/>
  <c r="R3261" i="1"/>
  <c r="J13" i="8" s="1"/>
  <c r="R3590" i="1"/>
  <c r="U3590" i="1" s="1"/>
  <c r="R3688" i="1"/>
  <c r="U3688" i="1" s="1"/>
  <c r="R3649" i="1"/>
  <c r="U3649" i="1" s="1"/>
  <c r="R3470" i="1"/>
  <c r="U3470" i="1" s="1"/>
  <c r="R3402" i="1"/>
  <c r="U3402" i="1" s="1"/>
  <c r="R3398" i="1"/>
  <c r="U3398" i="1" s="1"/>
  <c r="R3302" i="1"/>
  <c r="U3302" i="1" s="1"/>
  <c r="R3254" i="1"/>
  <c r="U3254" i="1" s="1"/>
  <c r="R3162" i="1"/>
  <c r="U3162" i="1" s="1"/>
  <c r="R3146" i="1"/>
  <c r="R3636" i="1"/>
  <c r="U3636" i="1" s="1"/>
  <c r="R3540" i="1"/>
  <c r="U3540" i="1" s="1"/>
  <c r="R3496" i="1"/>
  <c r="U3496" i="1" s="1"/>
  <c r="R3444" i="1"/>
  <c r="U3444" i="1" s="1"/>
  <c r="R3404" i="1"/>
  <c r="U3404" i="1" s="1"/>
  <c r="R3725" i="1"/>
  <c r="U3725" i="1" s="1"/>
  <c r="R3539" i="1"/>
  <c r="U3539" i="1" s="1"/>
  <c r="R3403" i="1"/>
  <c r="U3403" i="1" s="1"/>
  <c r="R3264" i="1"/>
  <c r="U3264" i="1" s="1"/>
  <c r="R3147" i="1"/>
  <c r="U3147" i="1" s="1"/>
  <c r="R3103" i="1"/>
  <c r="R3035" i="1"/>
  <c r="R3648" i="1"/>
  <c r="U3648" i="1" s="1"/>
  <c r="R3589" i="1"/>
  <c r="U3589" i="1" s="1"/>
  <c r="R3471" i="1"/>
  <c r="U3471" i="1" s="1"/>
  <c r="R3399" i="1"/>
  <c r="U3399" i="1" s="1"/>
  <c r="R3263" i="1"/>
  <c r="R3102" i="1"/>
  <c r="U3102" i="1" s="1"/>
  <c r="R2992" i="1"/>
  <c r="R3653" i="1"/>
  <c r="U3653" i="1" s="1"/>
  <c r="R3445" i="1"/>
  <c r="U3445" i="1" s="1"/>
  <c r="R3401" i="1"/>
  <c r="U3401" i="1" s="1"/>
  <c r="R3303" i="1"/>
  <c r="U3303" i="1" s="1"/>
  <c r="R3175" i="1"/>
  <c r="U3175" i="1" s="1"/>
  <c r="R3036" i="1"/>
  <c r="R3304" i="1"/>
  <c r="U3304" i="1" s="1"/>
  <c r="R3161" i="1"/>
  <c r="U3161" i="1" s="1"/>
  <c r="R3637" i="1"/>
  <c r="U3637" i="1" s="1"/>
  <c r="R3400" i="1"/>
  <c r="U3400" i="1" s="1"/>
  <c r="R3128" i="1"/>
  <c r="U3128" i="1" s="1"/>
  <c r="R2991" i="1"/>
  <c r="R3265" i="1"/>
  <c r="R3208" i="1"/>
  <c r="U3208" i="1" s="1"/>
  <c r="R3405" i="1"/>
  <c r="U3405" i="1" s="1"/>
  <c r="R2882" i="1"/>
  <c r="U2882" i="1" s="1"/>
  <c r="R2878" i="1"/>
  <c r="U2878" i="1" s="1"/>
  <c r="R2814" i="1"/>
  <c r="U2814" i="1" s="1"/>
  <c r="R2762" i="1"/>
  <c r="U2762" i="1" s="1"/>
  <c r="R2698" i="1"/>
  <c r="U2698" i="1" s="1"/>
  <c r="R2694" i="1"/>
  <c r="U2694" i="1" s="1"/>
  <c r="R2602" i="1"/>
  <c r="U2602" i="1" s="1"/>
  <c r="R2598" i="1"/>
  <c r="U2598" i="1" s="1"/>
  <c r="R2550" i="1"/>
  <c r="U2550" i="1" s="1"/>
  <c r="R2546" i="1"/>
  <c r="U2546" i="1" s="1"/>
  <c r="R2880" i="1"/>
  <c r="U2880" i="1" s="1"/>
  <c r="R2876" i="1"/>
  <c r="U2876" i="1" s="1"/>
  <c r="R2812" i="1"/>
  <c r="U2812" i="1" s="1"/>
  <c r="R2764" i="1"/>
  <c r="U2764" i="1" s="1"/>
  <c r="R2752" i="1"/>
  <c r="U2752" i="1" s="1"/>
  <c r="R2700" i="1"/>
  <c r="U2700" i="1" s="1"/>
  <c r="R2696" i="1"/>
  <c r="U2696" i="1" s="1"/>
  <c r="R2692" i="1"/>
  <c r="U2692" i="1" s="1"/>
  <c r="R2604" i="1"/>
  <c r="U2604" i="1" s="1"/>
  <c r="R2600" i="1"/>
  <c r="U2600" i="1" s="1"/>
  <c r="R2548" i="1"/>
  <c r="U2548" i="1" s="1"/>
  <c r="R2544" i="1"/>
  <c r="U2544" i="1" s="1"/>
  <c r="R2448" i="1"/>
  <c r="U2448" i="1" s="1"/>
  <c r="R2444" i="1"/>
  <c r="U2444" i="1" s="1"/>
  <c r="R2440" i="1"/>
  <c r="U2440" i="1" s="1"/>
  <c r="R2761" i="1"/>
  <c r="U2761" i="1" s="1"/>
  <c r="R2545" i="1"/>
  <c r="U2545" i="1" s="1"/>
  <c r="R2438" i="1"/>
  <c r="U2438" i="1" s="1"/>
  <c r="R2346" i="1"/>
  <c r="U2346" i="1" s="1"/>
  <c r="R2250" i="1"/>
  <c r="U2250" i="1" s="1"/>
  <c r="R2242" i="1"/>
  <c r="U2242" i="1" s="1"/>
  <c r="R2879" i="1"/>
  <c r="U2879" i="1" s="1"/>
  <c r="R2815" i="1"/>
  <c r="U2815" i="1" s="1"/>
  <c r="R2751" i="1"/>
  <c r="U2751" i="1" s="1"/>
  <c r="R2695" i="1"/>
  <c r="U2695" i="1" s="1"/>
  <c r="R2599" i="1"/>
  <c r="U2599" i="1" s="1"/>
  <c r="R2551" i="1"/>
  <c r="U2551" i="1" s="1"/>
  <c r="R2447" i="1"/>
  <c r="U2447" i="1" s="1"/>
  <c r="R2442" i="1"/>
  <c r="U2442" i="1" s="1"/>
  <c r="R2437" i="1"/>
  <c r="U2437" i="1" s="1"/>
  <c r="R2345" i="1"/>
  <c r="U2345" i="1" s="1"/>
  <c r="R2249" i="1"/>
  <c r="U2249" i="1" s="1"/>
  <c r="R2245" i="1"/>
  <c r="R2149" i="1"/>
  <c r="U2149" i="1" s="1"/>
  <c r="R2145" i="1"/>
  <c r="U2145" i="1" s="1"/>
  <c r="R2045" i="1"/>
  <c r="U2045" i="1" s="1"/>
  <c r="R1953" i="1"/>
  <c r="U1953" i="1" s="1"/>
  <c r="R1949" i="1"/>
  <c r="U1949" i="1" s="1"/>
  <c r="R1873" i="1"/>
  <c r="U1873" i="1" s="1"/>
  <c r="R1869" i="1"/>
  <c r="U1869" i="1" s="1"/>
  <c r="R1789" i="1"/>
  <c r="U1789" i="1" s="1"/>
  <c r="R1785" i="1"/>
  <c r="U1785" i="1" s="1"/>
  <c r="R1721" i="1"/>
  <c r="U1721" i="1" s="1"/>
  <c r="R1717" i="1"/>
  <c r="U1717" i="1" s="1"/>
  <c r="R1629" i="1"/>
  <c r="U1629" i="1" s="1"/>
  <c r="R1509" i="1"/>
  <c r="U1509" i="1" s="1"/>
  <c r="R1441" i="1"/>
  <c r="U1441" i="1" s="1"/>
  <c r="R1437" i="1"/>
  <c r="U1437" i="1" s="1"/>
  <c r="R2877" i="1"/>
  <c r="U2877" i="1" s="1"/>
  <c r="R2813" i="1"/>
  <c r="U2813" i="1" s="1"/>
  <c r="R2701" i="1"/>
  <c r="U2701" i="1" s="1"/>
  <c r="R2693" i="1"/>
  <c r="U2693" i="1" s="1"/>
  <c r="R2597" i="1"/>
  <c r="U2597" i="1" s="1"/>
  <c r="R2549" i="1"/>
  <c r="U2549" i="1" s="1"/>
  <c r="R2446" i="1"/>
  <c r="U2446" i="1" s="1"/>
  <c r="R2344" i="1"/>
  <c r="U2344" i="1" s="1"/>
  <c r="R2244" i="1"/>
  <c r="U2244" i="1" s="1"/>
  <c r="R2148" i="1"/>
  <c r="U2148" i="1" s="1"/>
  <c r="R2048" i="1"/>
  <c r="U2048" i="1" s="1"/>
  <c r="R2441" i="1"/>
  <c r="U2441" i="1" s="1"/>
  <c r="R2248" i="1"/>
  <c r="U2248" i="1" s="1"/>
  <c r="R2144" i="1"/>
  <c r="R2044" i="1"/>
  <c r="U2044" i="1" s="1"/>
  <c r="R2883" i="1"/>
  <c r="U2883" i="1" s="1"/>
  <c r="R2811" i="1"/>
  <c r="U2811" i="1" s="1"/>
  <c r="R2763" i="1"/>
  <c r="U2763" i="1" s="1"/>
  <c r="R2699" i="1"/>
  <c r="U2699" i="1" s="1"/>
  <c r="R2603" i="1"/>
  <c r="U2603" i="1" s="1"/>
  <c r="R2547" i="1"/>
  <c r="U2547" i="1" s="1"/>
  <c r="R2445" i="1"/>
  <c r="U2445" i="1" s="1"/>
  <c r="R2439" i="1"/>
  <c r="U2439" i="1" s="1"/>
  <c r="R2343" i="1"/>
  <c r="U2343" i="1" s="1"/>
  <c r="R2251" i="1"/>
  <c r="U2251" i="1" s="1"/>
  <c r="R2247" i="1"/>
  <c r="U2247" i="1" s="1"/>
  <c r="R2243" i="1"/>
  <c r="U2243" i="1" s="1"/>
  <c r="R2147" i="1"/>
  <c r="U2147" i="1" s="1"/>
  <c r="R2143" i="1"/>
  <c r="U2143" i="1" s="1"/>
  <c r="R2047" i="1"/>
  <c r="U2047" i="1" s="1"/>
  <c r="R2043" i="1"/>
  <c r="U2043" i="1" s="1"/>
  <c r="R1951" i="1"/>
  <c r="U1951" i="1" s="1"/>
  <c r="R1947" i="1"/>
  <c r="U1947" i="1" s="1"/>
  <c r="R1875" i="1"/>
  <c r="U1875" i="1" s="1"/>
  <c r="R1871" i="1"/>
  <c r="U1871" i="1" s="1"/>
  <c r="R1791" i="1"/>
  <c r="U1791" i="1" s="1"/>
  <c r="R1787" i="1"/>
  <c r="U1787" i="1" s="1"/>
  <c r="R1719" i="1"/>
  <c r="U1719" i="1" s="1"/>
  <c r="R1715" i="1"/>
  <c r="U1715" i="1" s="1"/>
  <c r="R1631" i="1"/>
  <c r="U1631" i="1" s="1"/>
  <c r="R1627" i="1"/>
  <c r="U1627" i="1" s="1"/>
  <c r="R1539" i="1"/>
  <c r="R1507" i="1"/>
  <c r="U1507" i="1" s="1"/>
  <c r="R1439" i="1"/>
  <c r="U1439" i="1" s="1"/>
  <c r="R1359" i="1"/>
  <c r="U1359" i="1" s="1"/>
  <c r="R1315" i="1"/>
  <c r="U1315" i="1" s="1"/>
  <c r="R2881" i="1"/>
  <c r="U2881" i="1" s="1"/>
  <c r="R2697" i="1"/>
  <c r="U2697" i="1" s="1"/>
  <c r="R2601" i="1"/>
  <c r="U2601" i="1" s="1"/>
  <c r="R2443" i="1"/>
  <c r="U2443" i="1" s="1"/>
  <c r="R2246" i="1"/>
  <c r="U2246" i="1" s="1"/>
  <c r="R2046" i="1"/>
  <c r="U2046" i="1" s="1"/>
  <c r="R1946" i="1"/>
  <c r="U1946" i="1" s="1"/>
  <c r="R1874" i="1"/>
  <c r="U1874" i="1" s="1"/>
  <c r="R1786" i="1"/>
  <c r="U1786" i="1" s="1"/>
  <c r="R1722" i="1"/>
  <c r="U1722" i="1" s="1"/>
  <c r="R1626" i="1"/>
  <c r="U1626" i="1" s="1"/>
  <c r="R1442" i="1"/>
  <c r="U1442" i="1" s="1"/>
  <c r="R1322" i="1"/>
  <c r="U1322" i="1" s="1"/>
  <c r="R1314" i="1"/>
  <c r="R1290" i="1"/>
  <c r="R1718" i="1"/>
  <c r="U1718" i="1" s="1"/>
  <c r="R2042" i="1"/>
  <c r="U2042" i="1" s="1"/>
  <c r="R1952" i="1"/>
  <c r="U1952" i="1" s="1"/>
  <c r="R1872" i="1"/>
  <c r="U1872" i="1" s="1"/>
  <c r="R1792" i="1"/>
  <c r="U1792" i="1" s="1"/>
  <c r="R1720" i="1"/>
  <c r="U1720" i="1" s="1"/>
  <c r="R1632" i="1"/>
  <c r="U1632" i="1" s="1"/>
  <c r="R1440" i="1"/>
  <c r="U1440" i="1" s="1"/>
  <c r="R1360" i="1"/>
  <c r="U1360" i="1" s="1"/>
  <c r="R1438" i="1"/>
  <c r="U1438" i="1" s="1"/>
  <c r="R1358" i="1"/>
  <c r="R1950" i="1"/>
  <c r="U1950" i="1" s="1"/>
  <c r="R1870" i="1"/>
  <c r="U1870" i="1" s="1"/>
  <c r="R2146" i="1"/>
  <c r="U2146" i="1" s="1"/>
  <c r="R1948" i="1"/>
  <c r="U1948" i="1" s="1"/>
  <c r="R1876" i="1"/>
  <c r="U1876" i="1" s="1"/>
  <c r="R1788" i="1"/>
  <c r="U1788" i="1" s="1"/>
  <c r="R1716" i="1"/>
  <c r="U1716" i="1" s="1"/>
  <c r="R1628" i="1"/>
  <c r="U1628" i="1" s="1"/>
  <c r="R1540" i="1"/>
  <c r="U1540" i="1" s="1"/>
  <c r="R1508" i="1"/>
  <c r="U1508" i="1" s="1"/>
  <c r="R1436" i="1"/>
  <c r="U1436" i="1" s="1"/>
  <c r="R1260" i="1"/>
  <c r="R1790" i="1"/>
  <c r="U1790" i="1" s="1"/>
  <c r="R1630" i="1"/>
  <c r="U1630" i="1" s="1"/>
  <c r="X15" i="8"/>
  <c r="L15" i="8"/>
  <c r="U1319" i="1"/>
  <c r="P14" i="8"/>
  <c r="D14" i="8"/>
  <c r="C78" i="8"/>
  <c r="U1263" i="1"/>
  <c r="U1337" i="1"/>
  <c r="T15" i="8"/>
  <c r="H15" i="8"/>
  <c r="U1312" i="1"/>
  <c r="G78" i="8"/>
  <c r="T14" i="8"/>
  <c r="H14" i="8"/>
  <c r="U1274" i="1"/>
  <c r="I81" i="8"/>
  <c r="V14" i="8"/>
  <c r="J14" i="8"/>
  <c r="U1301" i="1"/>
  <c r="R2870" i="1"/>
  <c r="U2870" i="1" s="1"/>
  <c r="R2866" i="1"/>
  <c r="U2866" i="1" s="1"/>
  <c r="R2862" i="1"/>
  <c r="U2862" i="1" s="1"/>
  <c r="R2838" i="1"/>
  <c r="U2838" i="1" s="1"/>
  <c r="R2802" i="1"/>
  <c r="U2802" i="1" s="1"/>
  <c r="R2798" i="1"/>
  <c r="U2798" i="1" s="1"/>
  <c r="R2746" i="1"/>
  <c r="U2746" i="1" s="1"/>
  <c r="R2682" i="1"/>
  <c r="U2682" i="1" s="1"/>
  <c r="R2678" i="1"/>
  <c r="U2678" i="1" s="1"/>
  <c r="R2674" i="1"/>
  <c r="U2674" i="1" s="1"/>
  <c r="R2586" i="1"/>
  <c r="U2586" i="1" s="1"/>
  <c r="R2582" i="1"/>
  <c r="U2582" i="1" s="1"/>
  <c r="R2578" i="1"/>
  <c r="U2578" i="1" s="1"/>
  <c r="R2534" i="1"/>
  <c r="U2534" i="1" s="1"/>
  <c r="R2530" i="1"/>
  <c r="U2530" i="1" s="1"/>
  <c r="R2868" i="1"/>
  <c r="U2868" i="1" s="1"/>
  <c r="R2864" i="1"/>
  <c r="U2864" i="1" s="1"/>
  <c r="R2840" i="1"/>
  <c r="U2840" i="1" s="1"/>
  <c r="R2804" i="1"/>
  <c r="U2804" i="1" s="1"/>
  <c r="R2800" i="1"/>
  <c r="U2800" i="1" s="1"/>
  <c r="R2744" i="1"/>
  <c r="U2744" i="1" s="1"/>
  <c r="R2680" i="1"/>
  <c r="U2680" i="1" s="1"/>
  <c r="R2676" i="1"/>
  <c r="U2676" i="1" s="1"/>
  <c r="R2584" i="1"/>
  <c r="U2584" i="1" s="1"/>
  <c r="R2580" i="1"/>
  <c r="U2580" i="1" s="1"/>
  <c r="R2532" i="1"/>
  <c r="U2532" i="1" s="1"/>
  <c r="R2528" i="1"/>
  <c r="U2528" i="1" s="1"/>
  <c r="R2745" i="1"/>
  <c r="U2745" i="1" s="1"/>
  <c r="R2673" i="1"/>
  <c r="U2673" i="1" s="1"/>
  <c r="R2529" i="1"/>
  <c r="U2529" i="1" s="1"/>
  <c r="R2422" i="1"/>
  <c r="U2422" i="1" s="1"/>
  <c r="R2330" i="1"/>
  <c r="U2330" i="1" s="1"/>
  <c r="R2234" i="1"/>
  <c r="U2234" i="1" s="1"/>
  <c r="R2863" i="1"/>
  <c r="U2863" i="1" s="1"/>
  <c r="R2839" i="1"/>
  <c r="U2839" i="1" s="1"/>
  <c r="R2799" i="1"/>
  <c r="U2799" i="1" s="1"/>
  <c r="R2743" i="1"/>
  <c r="U2743" i="1" s="1"/>
  <c r="R2679" i="1"/>
  <c r="U2679" i="1" s="1"/>
  <c r="R2583" i="1"/>
  <c r="U2583" i="1" s="1"/>
  <c r="R2527" i="1"/>
  <c r="U2527" i="1" s="1"/>
  <c r="R2425" i="1"/>
  <c r="U2425" i="1" s="1"/>
  <c r="R2421" i="1"/>
  <c r="U2421" i="1" s="1"/>
  <c r="R2417" i="1"/>
  <c r="U2417" i="1" s="1"/>
  <c r="R2333" i="1"/>
  <c r="U2333" i="1" s="1"/>
  <c r="R2233" i="1"/>
  <c r="U2233" i="1" s="1"/>
  <c r="R2229" i="1"/>
  <c r="U2229" i="1" s="1"/>
  <c r="R2133" i="1"/>
  <c r="U2133" i="1" s="1"/>
  <c r="R2129" i="1"/>
  <c r="U2129" i="1" s="1"/>
  <c r="R2029" i="1"/>
  <c r="U2029" i="1" s="1"/>
  <c r="R2025" i="1"/>
  <c r="U2025" i="1" s="1"/>
  <c r="R1937" i="1"/>
  <c r="U1937" i="1" s="1"/>
  <c r="R1933" i="1"/>
  <c r="U1933" i="1" s="1"/>
  <c r="R1929" i="1"/>
  <c r="U1929" i="1" s="1"/>
  <c r="R1861" i="1"/>
  <c r="U1861" i="1" s="1"/>
  <c r="R1857" i="1"/>
  <c r="U1857" i="1" s="1"/>
  <c r="R1777" i="1"/>
  <c r="R1773" i="1"/>
  <c r="R1705" i="1"/>
  <c r="U1705" i="1" s="1"/>
  <c r="R1701" i="1"/>
  <c r="U1701" i="1" s="1"/>
  <c r="R1617" i="1"/>
  <c r="U1617" i="1" s="1"/>
  <c r="R1613" i="1"/>
  <c r="U1613" i="1" s="1"/>
  <c r="R1565" i="1"/>
  <c r="U1565" i="1" s="1"/>
  <c r="R1533" i="1"/>
  <c r="R1501" i="1"/>
  <c r="U1501" i="1" s="1"/>
  <c r="R1425" i="1"/>
  <c r="U1425" i="1" s="1"/>
  <c r="R1421" i="1"/>
  <c r="U1421" i="1" s="1"/>
  <c r="R1353" i="1"/>
  <c r="U1353" i="1" s="1"/>
  <c r="R1349" i="1"/>
  <c r="R1329" i="1"/>
  <c r="U1329" i="1" s="1"/>
  <c r="R1285" i="1"/>
  <c r="R1273" i="1"/>
  <c r="U1273" i="1" s="1"/>
  <c r="R2869" i="1"/>
  <c r="U2869" i="1" s="1"/>
  <c r="R2837" i="1"/>
  <c r="U2837" i="1" s="1"/>
  <c r="R2805" i="1"/>
  <c r="U2805" i="1" s="1"/>
  <c r="R2797" i="1"/>
  <c r="U2797" i="1" s="1"/>
  <c r="R2677" i="1"/>
  <c r="U2677" i="1" s="1"/>
  <c r="R2581" i="1"/>
  <c r="U2581" i="1" s="1"/>
  <c r="R2533" i="1"/>
  <c r="U2533" i="1" s="1"/>
  <c r="R2420" i="1"/>
  <c r="U2420" i="1" s="1"/>
  <c r="R2332" i="1"/>
  <c r="U2332" i="1" s="1"/>
  <c r="R2228" i="1"/>
  <c r="U2228" i="1" s="1"/>
  <c r="R2132" i="1"/>
  <c r="U2132" i="1" s="1"/>
  <c r="R2028" i="1"/>
  <c r="U2028" i="1" s="1"/>
  <c r="R2424" i="1"/>
  <c r="U2424" i="1" s="1"/>
  <c r="R2416" i="1"/>
  <c r="U2416" i="1" s="1"/>
  <c r="R2336" i="1"/>
  <c r="U2336" i="1" s="1"/>
  <c r="R2232" i="1"/>
  <c r="U2232" i="1" s="1"/>
  <c r="R2136" i="1"/>
  <c r="U2136" i="1" s="1"/>
  <c r="R2032" i="1"/>
  <c r="U2032" i="1" s="1"/>
  <c r="R2024" i="1"/>
  <c r="U2024" i="1" s="1"/>
  <c r="R2867" i="1"/>
  <c r="U2867" i="1" s="1"/>
  <c r="R2803" i="1"/>
  <c r="U2803" i="1" s="1"/>
  <c r="R2747" i="1"/>
  <c r="U2747" i="1" s="1"/>
  <c r="R2683" i="1"/>
  <c r="U2683" i="1" s="1"/>
  <c r="R2675" i="1"/>
  <c r="U2675" i="1" s="1"/>
  <c r="R2587" i="1"/>
  <c r="U2587" i="1" s="1"/>
  <c r="R2579" i="1"/>
  <c r="U2579" i="1" s="1"/>
  <c r="R2531" i="1"/>
  <c r="U2531" i="1" s="1"/>
  <c r="R2427" i="1"/>
  <c r="U2427" i="1" s="1"/>
  <c r="R2423" i="1"/>
  <c r="U2423" i="1" s="1"/>
  <c r="R2419" i="1"/>
  <c r="U2419" i="1" s="1"/>
  <c r="R2335" i="1"/>
  <c r="U2335" i="1" s="1"/>
  <c r="R2331" i="1"/>
  <c r="U2331" i="1" s="1"/>
  <c r="R2231" i="1"/>
  <c r="U2231" i="1" s="1"/>
  <c r="R2227" i="1"/>
  <c r="U2227" i="1" s="1"/>
  <c r="R2135" i="1"/>
  <c r="U2135" i="1" s="1"/>
  <c r="R2131" i="1"/>
  <c r="U2131" i="1" s="1"/>
  <c r="R2031" i="1"/>
  <c r="U2031" i="1" s="1"/>
  <c r="R2027" i="1"/>
  <c r="U2027" i="1" s="1"/>
  <c r="R2023" i="1"/>
  <c r="U2023" i="1" s="1"/>
  <c r="R1935" i="1"/>
  <c r="U1935" i="1" s="1"/>
  <c r="R1931" i="1"/>
  <c r="U1931" i="1" s="1"/>
  <c r="R1859" i="1"/>
  <c r="U1859" i="1" s="1"/>
  <c r="R1855" i="1"/>
  <c r="U1855" i="1" s="1"/>
  <c r="R1775" i="1"/>
  <c r="U1775" i="1" s="1"/>
  <c r="R1703" i="1"/>
  <c r="U1703" i="1" s="1"/>
  <c r="R1699" i="1"/>
  <c r="U1699" i="1" s="1"/>
  <c r="R1615" i="1"/>
  <c r="U1615" i="1" s="1"/>
  <c r="R1611" i="1"/>
  <c r="U1611" i="1" s="1"/>
  <c r="R1567" i="1"/>
  <c r="U1567" i="1" s="1"/>
  <c r="R1535" i="1"/>
  <c r="U1535" i="1" s="1"/>
  <c r="R1499" i="1"/>
  <c r="U1499" i="1" s="1"/>
  <c r="R1427" i="1"/>
  <c r="U1427" i="1" s="1"/>
  <c r="R1423" i="1"/>
  <c r="U1423" i="1" s="1"/>
  <c r="R1351" i="1"/>
  <c r="U1351" i="1" s="1"/>
  <c r="R1311" i="1"/>
  <c r="U1311" i="1" s="1"/>
  <c r="R1259" i="1"/>
  <c r="R2865" i="1"/>
  <c r="U2865" i="1" s="1"/>
  <c r="R2801" i="1"/>
  <c r="U2801" i="1" s="1"/>
  <c r="R2681" i="1"/>
  <c r="U2681" i="1" s="1"/>
  <c r="R2585" i="1"/>
  <c r="U2585" i="1" s="1"/>
  <c r="R2426" i="1"/>
  <c r="U2426" i="1" s="1"/>
  <c r="R2418" i="1"/>
  <c r="U2418" i="1" s="1"/>
  <c r="R2334" i="1"/>
  <c r="U2334" i="1" s="1"/>
  <c r="R2030" i="1"/>
  <c r="U2030" i="1" s="1"/>
  <c r="R1938" i="1"/>
  <c r="U1938" i="1" s="1"/>
  <c r="R1930" i="1"/>
  <c r="U1930" i="1" s="1"/>
  <c r="R1858" i="1"/>
  <c r="U1858" i="1" s="1"/>
  <c r="R1778" i="1"/>
  <c r="U1778" i="1" s="1"/>
  <c r="R1706" i="1"/>
  <c r="U1706" i="1" s="1"/>
  <c r="R1698" i="1"/>
  <c r="U1698" i="1" s="1"/>
  <c r="R1610" i="1"/>
  <c r="U1610" i="1" s="1"/>
  <c r="R1426" i="1"/>
  <c r="U1426" i="1" s="1"/>
  <c r="R1354" i="1"/>
  <c r="R1258" i="1"/>
  <c r="R1272" i="1"/>
  <c r="R1702" i="1"/>
  <c r="U1702" i="1" s="1"/>
  <c r="R1350" i="1"/>
  <c r="R2026" i="1"/>
  <c r="U2026" i="1" s="1"/>
  <c r="R1936" i="1"/>
  <c r="U1936" i="1" s="1"/>
  <c r="R1856" i="1"/>
  <c r="U1856" i="1" s="1"/>
  <c r="R1776" i="1"/>
  <c r="U1776" i="1" s="1"/>
  <c r="R1704" i="1"/>
  <c r="U1704" i="1" s="1"/>
  <c r="R1616" i="1"/>
  <c r="U1616" i="1" s="1"/>
  <c r="R1568" i="1"/>
  <c r="U1568" i="1" s="1"/>
  <c r="R1424" i="1"/>
  <c r="U1424" i="1" s="1"/>
  <c r="R1352" i="1"/>
  <c r="U1352" i="1" s="1"/>
  <c r="R1328" i="1"/>
  <c r="U1328" i="1" s="1"/>
  <c r="R1614" i="1"/>
  <c r="U1614" i="1" s="1"/>
  <c r="R1310" i="1"/>
  <c r="R2230" i="1"/>
  <c r="U2230" i="1" s="1"/>
  <c r="R2134" i="1"/>
  <c r="U2134" i="1" s="1"/>
  <c r="R1934" i="1"/>
  <c r="U1934" i="1" s="1"/>
  <c r="R1862" i="1"/>
  <c r="U1862" i="1" s="1"/>
  <c r="R2226" i="1"/>
  <c r="U2226" i="1" s="1"/>
  <c r="R2130" i="1"/>
  <c r="U2130" i="1" s="1"/>
  <c r="R1932" i="1"/>
  <c r="U1932" i="1" s="1"/>
  <c r="R1860" i="1"/>
  <c r="U1860" i="1" s="1"/>
  <c r="R1772" i="1"/>
  <c r="U1772" i="1" s="1"/>
  <c r="R1700" i="1"/>
  <c r="U1700" i="1" s="1"/>
  <c r="R1612" i="1"/>
  <c r="U1612" i="1" s="1"/>
  <c r="R1500" i="1"/>
  <c r="U1500" i="1" s="1"/>
  <c r="R1428" i="1"/>
  <c r="U1428" i="1" s="1"/>
  <c r="R1420" i="1"/>
  <c r="U1420" i="1" s="1"/>
  <c r="R1774" i="1"/>
  <c r="U1774" i="1" s="1"/>
  <c r="R1566" i="1"/>
  <c r="U1566" i="1" s="1"/>
  <c r="R1534" i="1"/>
  <c r="U1534" i="1" s="1"/>
  <c r="R1502" i="1"/>
  <c r="U1502" i="1" s="1"/>
  <c r="R1422" i="1"/>
  <c r="U1422" i="1" s="1"/>
  <c r="R1286" i="1"/>
  <c r="R2898" i="1"/>
  <c r="U2898" i="1" s="1"/>
  <c r="R2818" i="1"/>
  <c r="U2818" i="1" s="1"/>
  <c r="R2758" i="1"/>
  <c r="U2758" i="1" s="1"/>
  <c r="R2722" i="1"/>
  <c r="U2722" i="1" s="1"/>
  <c r="R2630" i="1"/>
  <c r="U2630" i="1" s="1"/>
  <c r="R2474" i="1"/>
  <c r="U2474" i="1" s="1"/>
  <c r="R2470" i="1"/>
  <c r="U2470" i="1" s="1"/>
  <c r="R2900" i="1"/>
  <c r="U2900" i="1" s="1"/>
  <c r="R2820" i="1"/>
  <c r="U2820" i="1" s="1"/>
  <c r="R2816" i="1"/>
  <c r="U2816" i="1" s="1"/>
  <c r="R2772" i="1"/>
  <c r="U2772" i="1" s="1"/>
  <c r="R2720" i="1"/>
  <c r="U2720" i="1" s="1"/>
  <c r="R2628" i="1"/>
  <c r="U2628" i="1" s="1"/>
  <c r="R2556" i="1"/>
  <c r="U2556" i="1" s="1"/>
  <c r="R2472" i="1"/>
  <c r="U2472" i="1" s="1"/>
  <c r="R2468" i="1"/>
  <c r="U2468" i="1" s="1"/>
  <c r="R2366" i="1"/>
  <c r="U2366" i="1" s="1"/>
  <c r="R2282" i="1"/>
  <c r="U2282" i="1" s="1"/>
  <c r="R2719" i="1"/>
  <c r="U2719" i="1" s="1"/>
  <c r="R2631" i="1"/>
  <c r="U2631" i="1" s="1"/>
  <c r="R2471" i="1"/>
  <c r="U2471" i="1" s="1"/>
  <c r="R2369" i="1"/>
  <c r="U2369" i="1" s="1"/>
  <c r="R2365" i="1"/>
  <c r="U2365" i="1" s="1"/>
  <c r="R2285" i="1"/>
  <c r="U2285" i="1" s="1"/>
  <c r="R2281" i="1"/>
  <c r="U2281" i="1" s="1"/>
  <c r="R2177" i="1"/>
  <c r="U2177" i="1" s="1"/>
  <c r="R2173" i="1"/>
  <c r="U2173" i="1" s="1"/>
  <c r="R2085" i="1"/>
  <c r="R2081" i="1"/>
  <c r="U2081" i="1" s="1"/>
  <c r="R2077" i="1"/>
  <c r="U2077" i="1" s="1"/>
  <c r="R1977" i="1"/>
  <c r="U1977" i="1" s="1"/>
  <c r="R1973" i="1"/>
  <c r="U1973" i="1" s="1"/>
  <c r="R1893" i="1"/>
  <c r="U1893" i="1" s="1"/>
  <c r="R1889" i="1"/>
  <c r="U1889" i="1" s="1"/>
  <c r="R1813" i="1"/>
  <c r="U1813" i="1" s="1"/>
  <c r="R1745" i="1"/>
  <c r="U1745" i="1" s="1"/>
  <c r="R1657" i="1"/>
  <c r="U1657" i="1" s="1"/>
  <c r="R1581" i="1"/>
  <c r="U1581" i="1" s="1"/>
  <c r="R1577" i="1"/>
  <c r="U1577" i="1" s="1"/>
  <c r="R1521" i="1"/>
  <c r="U1521" i="1" s="1"/>
  <c r="R1465" i="1"/>
  <c r="R1461" i="1"/>
  <c r="U1461" i="1" s="1"/>
  <c r="R1381" i="1"/>
  <c r="U1381" i="1" s="1"/>
  <c r="R1333" i="1"/>
  <c r="R1277" i="1"/>
  <c r="U1277" i="1" s="1"/>
  <c r="R1261" i="1"/>
  <c r="R2901" i="1"/>
  <c r="U2901" i="1" s="1"/>
  <c r="R2821" i="1"/>
  <c r="U2821" i="1" s="1"/>
  <c r="R2757" i="1"/>
  <c r="U2757" i="1" s="1"/>
  <c r="R2629" i="1"/>
  <c r="U2629" i="1" s="1"/>
  <c r="R2469" i="1"/>
  <c r="U2469" i="1" s="1"/>
  <c r="R2368" i="1"/>
  <c r="U2368" i="1" s="1"/>
  <c r="R2284" i="1"/>
  <c r="U2284" i="1" s="1"/>
  <c r="R2172" i="1"/>
  <c r="U2172" i="1" s="1"/>
  <c r="R2084" i="1"/>
  <c r="U2084" i="1" s="1"/>
  <c r="R2076" i="1"/>
  <c r="U2076" i="1" s="1"/>
  <c r="R2372" i="1"/>
  <c r="U2372" i="1" s="1"/>
  <c r="R2176" i="1"/>
  <c r="U2176" i="1" s="1"/>
  <c r="R2080" i="1"/>
  <c r="U2080" i="1" s="1"/>
  <c r="R2899" i="1"/>
  <c r="U2899" i="1" s="1"/>
  <c r="R2819" i="1"/>
  <c r="U2819" i="1" s="1"/>
  <c r="R2771" i="1"/>
  <c r="U2771" i="1" s="1"/>
  <c r="R2723" i="1"/>
  <c r="U2723" i="1" s="1"/>
  <c r="R2627" i="1"/>
  <c r="U2627" i="1" s="1"/>
  <c r="R2475" i="1"/>
  <c r="U2475" i="1" s="1"/>
  <c r="R2371" i="1"/>
  <c r="U2371" i="1" s="1"/>
  <c r="R2367" i="1"/>
  <c r="U2367" i="1" s="1"/>
  <c r="R2287" i="1"/>
  <c r="U2287" i="1" s="1"/>
  <c r="R2283" i="1"/>
  <c r="U2283" i="1" s="1"/>
  <c r="R2175" i="1"/>
  <c r="U2175" i="1" s="1"/>
  <c r="R2083" i="1"/>
  <c r="U2083" i="1" s="1"/>
  <c r="R2079" i="1"/>
  <c r="U2079" i="1" s="1"/>
  <c r="R1979" i="1"/>
  <c r="U1979" i="1" s="1"/>
  <c r="R1975" i="1"/>
  <c r="U1975" i="1" s="1"/>
  <c r="R1971" i="1"/>
  <c r="U1971" i="1" s="1"/>
  <c r="R1895" i="1"/>
  <c r="U1895" i="1" s="1"/>
  <c r="R1891" i="1"/>
  <c r="U1891" i="1" s="1"/>
  <c r="R1815" i="1"/>
  <c r="U1815" i="1" s="1"/>
  <c r="R1811" i="1"/>
  <c r="U1811" i="1" s="1"/>
  <c r="R1747" i="1"/>
  <c r="U1747" i="1" s="1"/>
  <c r="R1659" i="1"/>
  <c r="U1659" i="1" s="1"/>
  <c r="R1655" i="1"/>
  <c r="U1655" i="1" s="1"/>
  <c r="R1583" i="1"/>
  <c r="U1583" i="1" s="1"/>
  <c r="R1547" i="1"/>
  <c r="R1467" i="1"/>
  <c r="U1467" i="1" s="1"/>
  <c r="R1463" i="1"/>
  <c r="U1463" i="1" s="1"/>
  <c r="R1379" i="1"/>
  <c r="R1295" i="1"/>
  <c r="U1295" i="1" s="1"/>
  <c r="R2817" i="1"/>
  <c r="U2817" i="1" s="1"/>
  <c r="R2721" i="1"/>
  <c r="U2721" i="1" s="1"/>
  <c r="R2473" i="1"/>
  <c r="U2473" i="1" s="1"/>
  <c r="R2370" i="1"/>
  <c r="U2370" i="1" s="1"/>
  <c r="R2286" i="1"/>
  <c r="U2286" i="1" s="1"/>
  <c r="R2174" i="1"/>
  <c r="U2174" i="1" s="1"/>
  <c r="R2078" i="1"/>
  <c r="U2078" i="1" s="1"/>
  <c r="R1978" i="1"/>
  <c r="U1978" i="1" s="1"/>
  <c r="R1890" i="1"/>
  <c r="U1890" i="1" s="1"/>
  <c r="R1746" i="1"/>
  <c r="U1746" i="1" s="1"/>
  <c r="R1658" i="1"/>
  <c r="U1658" i="1" s="1"/>
  <c r="R1466" i="1"/>
  <c r="U1466" i="1" s="1"/>
  <c r="R1582" i="1"/>
  <c r="U1582" i="1" s="1"/>
  <c r="R1976" i="1"/>
  <c r="U1976" i="1" s="1"/>
  <c r="R1888" i="1"/>
  <c r="U1888" i="1" s="1"/>
  <c r="R1816" i="1"/>
  <c r="U1816" i="1" s="1"/>
  <c r="R1744" i="1"/>
  <c r="U1744" i="1" s="1"/>
  <c r="R1656" i="1"/>
  <c r="U1656" i="1" s="1"/>
  <c r="R1576" i="1"/>
  <c r="U1576" i="1" s="1"/>
  <c r="R1520" i="1"/>
  <c r="U1520" i="1" s="1"/>
  <c r="R1464" i="1"/>
  <c r="U1464" i="1" s="1"/>
  <c r="R1654" i="1"/>
  <c r="U1654" i="1" s="1"/>
  <c r="R1294" i="1"/>
  <c r="U1294" i="1" s="1"/>
  <c r="R1262" i="1"/>
  <c r="R1974" i="1"/>
  <c r="U1974" i="1" s="1"/>
  <c r="R1894" i="1"/>
  <c r="U1894" i="1" s="1"/>
  <c r="R2178" i="1"/>
  <c r="U2178" i="1" s="1"/>
  <c r="R2082" i="1"/>
  <c r="U2082" i="1" s="1"/>
  <c r="R1980" i="1"/>
  <c r="U1980" i="1" s="1"/>
  <c r="R1972" i="1"/>
  <c r="U1972" i="1" s="1"/>
  <c r="R1892" i="1"/>
  <c r="U1892" i="1" s="1"/>
  <c r="R1812" i="1"/>
  <c r="U1812" i="1" s="1"/>
  <c r="R1748" i="1"/>
  <c r="U1748" i="1" s="1"/>
  <c r="R1660" i="1"/>
  <c r="U1660" i="1" s="1"/>
  <c r="R1548" i="1"/>
  <c r="U1548" i="1" s="1"/>
  <c r="R1468" i="1"/>
  <c r="U1468" i="1" s="1"/>
  <c r="R1380" i="1"/>
  <c r="U1380" i="1" s="1"/>
  <c r="R1814" i="1"/>
  <c r="U1814" i="1" s="1"/>
  <c r="R1462" i="1"/>
  <c r="R1382" i="1"/>
  <c r="U1382" i="1" s="1"/>
  <c r="C18" i="6"/>
  <c r="U1341" i="1"/>
  <c r="D81" i="8"/>
  <c r="X11" i="8"/>
  <c r="L11" i="8"/>
  <c r="K79" i="8"/>
  <c r="U1376" i="1"/>
  <c r="R13" i="8"/>
  <c r="F13" i="8"/>
  <c r="U1531" i="1"/>
  <c r="K77" i="8"/>
  <c r="X12" i="8"/>
  <c r="L12" i="8"/>
  <c r="U1293" i="1"/>
  <c r="R3718" i="1"/>
  <c r="U3718" i="1" s="1"/>
  <c r="R3650" i="1"/>
  <c r="U3650" i="1" s="1"/>
  <c r="R3642" i="1"/>
  <c r="U3642" i="1" s="1"/>
  <c r="R3594" i="1"/>
  <c r="U3594" i="1" s="1"/>
  <c r="R3696" i="1"/>
  <c r="U3696" i="1" s="1"/>
  <c r="R3543" i="1"/>
  <c r="U3543" i="1" s="1"/>
  <c r="R3502" i="1"/>
  <c r="U3502" i="1" s="1"/>
  <c r="R3418" i="1"/>
  <c r="U3418" i="1" s="1"/>
  <c r="R3414" i="1"/>
  <c r="U3414" i="1" s="1"/>
  <c r="R3210" i="1"/>
  <c r="U3210" i="1" s="1"/>
  <c r="R3641" i="1"/>
  <c r="U3641" i="1" s="1"/>
  <c r="R3593" i="1"/>
  <c r="U3593" i="1" s="1"/>
  <c r="R3416" i="1"/>
  <c r="U3416" i="1" s="1"/>
  <c r="R3697" i="1"/>
  <c r="U3697" i="1" s="1"/>
  <c r="R3179" i="1"/>
  <c r="U3179" i="1" s="1"/>
  <c r="R3043" i="1"/>
  <c r="U3043" i="1" s="1"/>
  <c r="R3417" i="1"/>
  <c r="U3417" i="1" s="1"/>
  <c r="R3044" i="1"/>
  <c r="U3044" i="1" s="1"/>
  <c r="R2996" i="1"/>
  <c r="U2996" i="1" s="1"/>
  <c r="R3544" i="1"/>
  <c r="U3544" i="1" s="1"/>
  <c r="R3501" i="1"/>
  <c r="U3501" i="1" s="1"/>
  <c r="R3415" i="1"/>
  <c r="U3415" i="1" s="1"/>
  <c r="R3042" i="1"/>
  <c r="U3042" i="1" s="1"/>
  <c r="R3180" i="1"/>
  <c r="U3180" i="1" s="1"/>
  <c r="C81" i="8"/>
  <c r="C74" i="6"/>
  <c r="U1323" i="1"/>
  <c r="P15" i="8"/>
  <c r="D15" i="8"/>
  <c r="C26" i="6"/>
  <c r="U1759" i="1"/>
  <c r="C55" i="6"/>
  <c r="U1265" i="1"/>
  <c r="C50" i="6"/>
  <c r="U1401" i="1"/>
  <c r="C25" i="6"/>
  <c r="U1757" i="1"/>
  <c r="C35" i="6"/>
  <c r="U2390" i="1"/>
  <c r="C77" i="8"/>
  <c r="R3694" i="1"/>
  <c r="U3694" i="1" s="1"/>
  <c r="R3716" i="1"/>
  <c r="U3716" i="1" s="1"/>
  <c r="R3695" i="1"/>
  <c r="U3695" i="1" s="1"/>
  <c r="R3542" i="1"/>
  <c r="U3542" i="1" s="1"/>
  <c r="R3717" i="1"/>
  <c r="U3717" i="1" s="1"/>
  <c r="R3639" i="1"/>
  <c r="U3639" i="1" s="1"/>
  <c r="R3446" i="1"/>
  <c r="U3446" i="1" s="1"/>
  <c r="R3410" i="1"/>
  <c r="U3410" i="1" s="1"/>
  <c r="R3310" i="1"/>
  <c r="U3310" i="1" s="1"/>
  <c r="R3500" i="1"/>
  <c r="U3500" i="1" s="1"/>
  <c r="R3412" i="1"/>
  <c r="U3412" i="1" s="1"/>
  <c r="R3592" i="1"/>
  <c r="U3592" i="1" s="1"/>
  <c r="R3499" i="1"/>
  <c r="U3499" i="1" s="1"/>
  <c r="R3411" i="1"/>
  <c r="U3411" i="1" s="1"/>
  <c r="R3163" i="1"/>
  <c r="U3163" i="1" s="1"/>
  <c r="R3640" i="1"/>
  <c r="U3640" i="1" s="1"/>
  <c r="R3413" i="1"/>
  <c r="U3413" i="1" s="1"/>
  <c r="R3309" i="1"/>
  <c r="U3309" i="1" s="1"/>
  <c r="R3209" i="1"/>
  <c r="U3209" i="1" s="1"/>
  <c r="R3041" i="1"/>
  <c r="U3041" i="1" s="1"/>
  <c r="R2970" i="1"/>
  <c r="U2970" i="1" s="1"/>
  <c r="R3257" i="1"/>
  <c r="U3257" i="1" s="1"/>
  <c r="R3308" i="1"/>
  <c r="U3308" i="1" s="1"/>
  <c r="R3104" i="1"/>
  <c r="U3104" i="1" s="1"/>
  <c r="R3040" i="1"/>
  <c r="U3040" i="1" s="1"/>
  <c r="R3148" i="1"/>
  <c r="U3148" i="1" s="1"/>
  <c r="R2995" i="1"/>
  <c r="U2995" i="1" s="1"/>
  <c r="I34" i="8"/>
  <c r="AJ34" i="8"/>
  <c r="X34" i="8"/>
  <c r="AG34" i="8"/>
  <c r="V34" i="8"/>
  <c r="L34" i="8"/>
  <c r="M34" i="8"/>
  <c r="E34" i="8"/>
  <c r="AF34" i="8"/>
  <c r="T34" i="8"/>
  <c r="H34" i="8"/>
  <c r="AK34" i="8"/>
  <c r="AC34" i="8"/>
  <c r="R34" i="8"/>
  <c r="K80" i="8" l="1"/>
  <c r="K82" i="8" s="1"/>
  <c r="J16" i="8"/>
  <c r="J17" i="8" s="1"/>
  <c r="Y14" i="8"/>
  <c r="M14" i="8"/>
  <c r="C53" i="6"/>
  <c r="L78" i="8"/>
  <c r="U1261" i="1"/>
  <c r="F78" i="8"/>
  <c r="U1272" i="1"/>
  <c r="C32" i="6"/>
  <c r="S12" i="8"/>
  <c r="G12" i="8"/>
  <c r="U1285" i="1"/>
  <c r="C15" i="6"/>
  <c r="E34" i="6"/>
  <c r="U3265" i="1"/>
  <c r="AJ14" i="8"/>
  <c r="U3035" i="1"/>
  <c r="E23" i="6"/>
  <c r="AJ12" i="8"/>
  <c r="U3146" i="1"/>
  <c r="I89" i="8"/>
  <c r="AH14" i="8"/>
  <c r="U3030" i="1"/>
  <c r="C12" i="6"/>
  <c r="T16" i="8"/>
  <c r="T17" i="8" s="1"/>
  <c r="G89" i="8"/>
  <c r="U2985" i="1"/>
  <c r="E89" i="8"/>
  <c r="E15" i="6"/>
  <c r="U2977" i="1"/>
  <c r="E88" i="8"/>
  <c r="U2978" i="1"/>
  <c r="E17" i="6"/>
  <c r="U2976" i="1"/>
  <c r="AD12" i="8"/>
  <c r="U3141" i="1"/>
  <c r="E21" i="6"/>
  <c r="U3154" i="1"/>
  <c r="J88" i="8"/>
  <c r="AI12" i="8"/>
  <c r="E20" i="6"/>
  <c r="U3137" i="1"/>
  <c r="J90" i="8"/>
  <c r="AI11" i="8"/>
  <c r="U2990" i="1"/>
  <c r="C72" i="6"/>
  <c r="C21" i="6"/>
  <c r="C30" i="6"/>
  <c r="C38" i="6"/>
  <c r="L89" i="8"/>
  <c r="AK14" i="8"/>
  <c r="U3037" i="1"/>
  <c r="W14" i="8"/>
  <c r="K14" i="8"/>
  <c r="J78" i="8"/>
  <c r="U1303" i="1"/>
  <c r="E8" i="6"/>
  <c r="U2974" i="1"/>
  <c r="E44" i="6"/>
  <c r="AC13" i="8"/>
  <c r="U3105" i="1"/>
  <c r="E29" i="6"/>
  <c r="U3221" i="1"/>
  <c r="E41" i="6"/>
  <c r="U3336" i="1"/>
  <c r="E9" i="6"/>
  <c r="U3053" i="1"/>
  <c r="C90" i="8"/>
  <c r="E16" i="6"/>
  <c r="AB11" i="8"/>
  <c r="U2956" i="1"/>
  <c r="E57" i="6"/>
  <c r="U3003" i="1"/>
  <c r="E38" i="6"/>
  <c r="U3656" i="1"/>
  <c r="E46" i="6"/>
  <c r="AB13" i="8"/>
  <c r="U3258" i="1"/>
  <c r="H89" i="8"/>
  <c r="AG11" i="8"/>
  <c r="E11" i="6"/>
  <c r="U2965" i="1"/>
  <c r="H92" i="8"/>
  <c r="U2988" i="1"/>
  <c r="AG13" i="8"/>
  <c r="U3294" i="1"/>
  <c r="D11" i="8"/>
  <c r="D16" i="8" s="1"/>
  <c r="F89" i="8"/>
  <c r="U2981" i="1"/>
  <c r="F88" i="8"/>
  <c r="U3021" i="1"/>
  <c r="AE13" i="8"/>
  <c r="U3284" i="1"/>
  <c r="C65" i="6"/>
  <c r="C56" i="6"/>
  <c r="C13" i="6"/>
  <c r="C43" i="6"/>
  <c r="C45" i="6"/>
  <c r="C68" i="6"/>
  <c r="Q16" i="8"/>
  <c r="Q17" i="8" s="1"/>
  <c r="L81" i="8"/>
  <c r="U1465" i="1"/>
  <c r="F81" i="8"/>
  <c r="U1258" i="1"/>
  <c r="C29" i="6"/>
  <c r="U1773" i="1"/>
  <c r="U13" i="8"/>
  <c r="I13" i="8"/>
  <c r="U1539" i="1"/>
  <c r="C31" i="6"/>
  <c r="U2144" i="1"/>
  <c r="K90" i="8"/>
  <c r="AJ11" i="8"/>
  <c r="U2991" i="1"/>
  <c r="K89" i="8"/>
  <c r="U2992" i="1"/>
  <c r="K92" i="8"/>
  <c r="U3103" i="1"/>
  <c r="E14" i="6"/>
  <c r="U3093" i="1"/>
  <c r="I92" i="8"/>
  <c r="U3094" i="1"/>
  <c r="C54" i="6"/>
  <c r="E22" i="6"/>
  <c r="U3151" i="1"/>
  <c r="AF13" i="8"/>
  <c r="E39" i="6"/>
  <c r="U3260" i="1"/>
  <c r="AF12" i="8"/>
  <c r="E26" i="6"/>
  <c r="U3143" i="1"/>
  <c r="AD14" i="8"/>
  <c r="E58" i="6"/>
  <c r="U3013" i="1"/>
  <c r="E92" i="8"/>
  <c r="U3071" i="1"/>
  <c r="AI14" i="8"/>
  <c r="J89" i="8"/>
  <c r="U3032" i="1"/>
  <c r="E25" i="6"/>
  <c r="U3159" i="1"/>
  <c r="H13" i="8"/>
  <c r="L90" i="8"/>
  <c r="AK11" i="8"/>
  <c r="U2993" i="1"/>
  <c r="AK13" i="8"/>
  <c r="U3305" i="1"/>
  <c r="C36" i="6"/>
  <c r="C67" i="6"/>
  <c r="W15" i="8"/>
  <c r="K15" i="8"/>
  <c r="U1317" i="1"/>
  <c r="V16" i="8"/>
  <c r="V17" i="8" s="1"/>
  <c r="C37" i="6"/>
  <c r="C23" i="6"/>
  <c r="D92" i="8"/>
  <c r="U3009" i="1"/>
  <c r="D90" i="8"/>
  <c r="AC11" i="8"/>
  <c r="U2960" i="1"/>
  <c r="AB14" i="8"/>
  <c r="E53" i="6"/>
  <c r="U3002" i="1"/>
  <c r="E24" i="6"/>
  <c r="U3215" i="1"/>
  <c r="E50" i="6"/>
  <c r="U3006" i="1"/>
  <c r="E48" i="6"/>
  <c r="U3007" i="1"/>
  <c r="H88" i="8"/>
  <c r="U3029" i="1"/>
  <c r="AG12" i="8"/>
  <c r="U3158" i="1"/>
  <c r="H12" i="8"/>
  <c r="C34" i="6"/>
  <c r="C24" i="6"/>
  <c r="AE14" i="8"/>
  <c r="U3018" i="1"/>
  <c r="F90" i="8"/>
  <c r="AE11" i="8"/>
  <c r="U2962" i="1"/>
  <c r="L14" i="8"/>
  <c r="C49" i="6"/>
  <c r="X16" i="8"/>
  <c r="X17" i="8" s="1"/>
  <c r="L77" i="8"/>
  <c r="Y12" i="8"/>
  <c r="M12" i="8"/>
  <c r="C20" i="6"/>
  <c r="U1262" i="1"/>
  <c r="Y13" i="8"/>
  <c r="M13" i="8"/>
  <c r="U1547" i="1"/>
  <c r="Y15" i="8"/>
  <c r="M15" i="8"/>
  <c r="U1333" i="1"/>
  <c r="C62" i="6"/>
  <c r="U2085" i="1"/>
  <c r="F77" i="8"/>
  <c r="U1286" i="1"/>
  <c r="S15" i="8"/>
  <c r="G15" i="8"/>
  <c r="U1310" i="1"/>
  <c r="U1350" i="1"/>
  <c r="C11" i="6"/>
  <c r="C8" i="6"/>
  <c r="U1354" i="1"/>
  <c r="F79" i="8"/>
  <c r="S11" i="8"/>
  <c r="G11" i="8"/>
  <c r="U1349" i="1"/>
  <c r="C27" i="6"/>
  <c r="U1777" i="1"/>
  <c r="H77" i="8"/>
  <c r="U12" i="8"/>
  <c r="I12" i="8"/>
  <c r="U1290" i="1"/>
  <c r="C28" i="6"/>
  <c r="U2245" i="1"/>
  <c r="AH13" i="8"/>
  <c r="U3261" i="1"/>
  <c r="I88" i="8"/>
  <c r="U3096" i="1"/>
  <c r="AH12" i="8"/>
  <c r="U3252" i="1"/>
  <c r="G80" i="8"/>
  <c r="G82" i="8" s="1"/>
  <c r="G88" i="8"/>
  <c r="U2964" i="1"/>
  <c r="AD13" i="8"/>
  <c r="E37" i="6"/>
  <c r="U3277" i="1"/>
  <c r="J92" i="8"/>
  <c r="U3392" i="1"/>
  <c r="C51" i="6"/>
  <c r="F12" i="8"/>
  <c r="C42" i="6"/>
  <c r="L92" i="8"/>
  <c r="U2994" i="1"/>
  <c r="C17" i="6"/>
  <c r="J77" i="8"/>
  <c r="W12" i="8"/>
  <c r="K12" i="8"/>
  <c r="U1292" i="1"/>
  <c r="W13" i="8"/>
  <c r="K13" i="8"/>
  <c r="U1543" i="1"/>
  <c r="W11" i="8"/>
  <c r="K11" i="8"/>
  <c r="U1369" i="1"/>
  <c r="C41" i="6"/>
  <c r="U1573" i="1"/>
  <c r="D88" i="8"/>
  <c r="E7" i="6"/>
  <c r="U2973" i="1"/>
  <c r="E43" i="6"/>
  <c r="U3340" i="1"/>
  <c r="E54" i="6"/>
  <c r="U3005" i="1"/>
  <c r="E12" i="6"/>
  <c r="C89" i="8"/>
  <c r="U2958" i="1"/>
  <c r="E36" i="6"/>
  <c r="U3259" i="1"/>
  <c r="AB12" i="8"/>
  <c r="U3138" i="1"/>
  <c r="H90" i="8"/>
  <c r="U3087" i="1"/>
  <c r="C16" i="6"/>
  <c r="AE12" i="8"/>
  <c r="U3142" i="1"/>
  <c r="C70" i="6"/>
  <c r="C48" i="6"/>
  <c r="C40" i="6"/>
  <c r="C46" i="6"/>
  <c r="C44" i="6"/>
  <c r="I80" i="8"/>
  <c r="I82" i="8" s="1"/>
  <c r="C71" i="6"/>
  <c r="C63" i="6"/>
  <c r="E13" i="8"/>
  <c r="C22" i="6"/>
  <c r="C59" i="6"/>
  <c r="U1462" i="1"/>
  <c r="L79" i="8"/>
  <c r="L80" i="8" s="1"/>
  <c r="L82" i="8" s="1"/>
  <c r="Y11" i="8"/>
  <c r="Y16" i="8" s="1"/>
  <c r="Y17" i="8" s="1"/>
  <c r="M11" i="8"/>
  <c r="U1379" i="1"/>
  <c r="C60" i="6"/>
  <c r="S14" i="8"/>
  <c r="G14" i="8"/>
  <c r="U1259" i="1"/>
  <c r="S13" i="8"/>
  <c r="G13" i="8"/>
  <c r="U1533" i="1"/>
  <c r="C57" i="6"/>
  <c r="U14" i="8"/>
  <c r="I14" i="8"/>
  <c r="H81" i="8"/>
  <c r="U1260" i="1"/>
  <c r="H79" i="8"/>
  <c r="U11" i="8"/>
  <c r="I11" i="8"/>
  <c r="U1358" i="1"/>
  <c r="H78" i="8"/>
  <c r="U15" i="8"/>
  <c r="I15" i="8"/>
  <c r="U1314" i="1"/>
  <c r="K88" i="8"/>
  <c r="K91" i="8" s="1"/>
  <c r="K93" i="8" s="1"/>
  <c r="U3036" i="1"/>
  <c r="AJ13" i="8"/>
  <c r="E35" i="6"/>
  <c r="U3263" i="1"/>
  <c r="AH11" i="8"/>
  <c r="AH16" i="8" s="1"/>
  <c r="AH17" i="8" s="1"/>
  <c r="I90" i="8"/>
  <c r="U2969" i="1"/>
  <c r="H16" i="8"/>
  <c r="H17" i="8" s="1"/>
  <c r="G90" i="8"/>
  <c r="AF11" i="8"/>
  <c r="U2963" i="1"/>
  <c r="G92" i="8"/>
  <c r="E60" i="6"/>
  <c r="AF14" i="8"/>
  <c r="U2954" i="1"/>
  <c r="E42" i="6"/>
  <c r="U3290" i="1"/>
  <c r="AD11" i="8"/>
  <c r="AD16" i="8" s="1"/>
  <c r="AD17" i="8" s="1"/>
  <c r="E90" i="8"/>
  <c r="U2961" i="1"/>
  <c r="AI13" i="8"/>
  <c r="U3299" i="1"/>
  <c r="C39" i="6"/>
  <c r="F14" i="8"/>
  <c r="R16" i="8"/>
  <c r="R17" i="8" s="1"/>
  <c r="AK12" i="8"/>
  <c r="U3255" i="1"/>
  <c r="L88" i="8"/>
  <c r="L91" i="8" s="1"/>
  <c r="L93" i="8" s="1"/>
  <c r="U3039" i="1"/>
  <c r="C14" i="6"/>
  <c r="C73" i="6"/>
  <c r="J79" i="8"/>
  <c r="U1332" i="1"/>
  <c r="J81" i="8"/>
  <c r="U1374" i="1"/>
  <c r="C58" i="6"/>
  <c r="C69" i="6"/>
  <c r="D89" i="8"/>
  <c r="AC14" i="8"/>
  <c r="U3008" i="1"/>
  <c r="AC12" i="8"/>
  <c r="E32" i="6"/>
  <c r="U3139" i="1"/>
  <c r="E40" i="6"/>
  <c r="U3273" i="1"/>
  <c r="E55" i="6"/>
  <c r="U3012" i="1"/>
  <c r="D80" i="8"/>
  <c r="D82" i="8" s="1"/>
  <c r="E18" i="6"/>
  <c r="C92" i="8"/>
  <c r="U2957" i="1"/>
  <c r="E6" i="6"/>
  <c r="C88" i="8"/>
  <c r="C91" i="8" s="1"/>
  <c r="U2959" i="1"/>
  <c r="E13" i="6"/>
  <c r="U3060" i="1"/>
  <c r="E30" i="6"/>
  <c r="U3149" i="1"/>
  <c r="AG14" i="8"/>
  <c r="U3026" i="1"/>
  <c r="C64" i="6"/>
  <c r="P16" i="8"/>
  <c r="P17" i="8" s="1"/>
  <c r="F92" i="8"/>
  <c r="U2983" i="1"/>
  <c r="L13" i="8"/>
  <c r="L16" i="8" s="1"/>
  <c r="L17" i="8" s="1"/>
  <c r="E11" i="8"/>
  <c r="E16" i="8" s="1"/>
  <c r="E17" i="8" s="1"/>
  <c r="Q3774" i="1"/>
  <c r="P3774" i="1"/>
  <c r="O3774" i="1"/>
  <c r="Q3773" i="1"/>
  <c r="P3773" i="1"/>
  <c r="O3773" i="1"/>
  <c r="Q3772" i="1"/>
  <c r="P3772" i="1"/>
  <c r="O3772" i="1"/>
  <c r="Q3771" i="1"/>
  <c r="P3771" i="1"/>
  <c r="O3771" i="1"/>
  <c r="Q3770" i="1"/>
  <c r="P3770" i="1"/>
  <c r="O3770" i="1"/>
  <c r="Q3769" i="1"/>
  <c r="P3769" i="1"/>
  <c r="O3769" i="1"/>
  <c r="Q3768" i="1"/>
  <c r="P3768" i="1"/>
  <c r="O3768" i="1"/>
  <c r="Q3767" i="1"/>
  <c r="P3767" i="1"/>
  <c r="O3767" i="1"/>
  <c r="Q3766" i="1"/>
  <c r="P3766" i="1"/>
  <c r="O3766" i="1"/>
  <c r="R3765" i="1"/>
  <c r="Q3765" i="1"/>
  <c r="P3765" i="1"/>
  <c r="O3765" i="1"/>
  <c r="Q3764" i="1"/>
  <c r="P3764" i="1"/>
  <c r="O3764" i="1"/>
  <c r="R3763" i="1"/>
  <c r="Q3763" i="1"/>
  <c r="P3763" i="1"/>
  <c r="O3763" i="1"/>
  <c r="Q3762" i="1"/>
  <c r="P3762" i="1"/>
  <c r="O3762" i="1"/>
  <c r="R3761" i="1"/>
  <c r="Q3761" i="1"/>
  <c r="P3761" i="1"/>
  <c r="O3761" i="1"/>
  <c r="Q3760" i="1"/>
  <c r="P3760" i="1"/>
  <c r="O3760" i="1"/>
  <c r="R3759" i="1"/>
  <c r="U3759" i="1" s="1"/>
  <c r="Q3759" i="1"/>
  <c r="P3759" i="1"/>
  <c r="O3759" i="1"/>
  <c r="Q3758" i="1"/>
  <c r="P3758" i="1"/>
  <c r="O3758" i="1"/>
  <c r="R3757" i="1"/>
  <c r="U3757" i="1" s="1"/>
  <c r="Q3757" i="1"/>
  <c r="P3757" i="1"/>
  <c r="O3757" i="1"/>
  <c r="Q3756" i="1"/>
  <c r="P3756" i="1"/>
  <c r="O3756" i="1"/>
  <c r="R3755" i="1"/>
  <c r="U3755" i="1" s="1"/>
  <c r="Q3755" i="1"/>
  <c r="P3755" i="1"/>
  <c r="O3755" i="1"/>
  <c r="Q3754" i="1"/>
  <c r="P3754" i="1"/>
  <c r="O3754" i="1"/>
  <c r="R3753" i="1"/>
  <c r="U3753" i="1" s="1"/>
  <c r="Q3753" i="1"/>
  <c r="P3753" i="1"/>
  <c r="O3753" i="1"/>
  <c r="Q3752" i="1"/>
  <c r="P3752" i="1"/>
  <c r="O3752" i="1"/>
  <c r="R3751" i="1"/>
  <c r="U3751" i="1" s="1"/>
  <c r="Q3751" i="1"/>
  <c r="P3751" i="1"/>
  <c r="O3751" i="1"/>
  <c r="Q3750" i="1"/>
  <c r="P3750" i="1"/>
  <c r="T3750" i="1" s="1"/>
  <c r="O3750" i="1"/>
  <c r="R3749" i="1"/>
  <c r="U3749" i="1" s="1"/>
  <c r="Q3749" i="1"/>
  <c r="P3749" i="1"/>
  <c r="T3749" i="1" s="1"/>
  <c r="O3749" i="1"/>
  <c r="Q3748" i="1"/>
  <c r="P3748" i="1"/>
  <c r="O3748" i="1"/>
  <c r="R3747" i="1"/>
  <c r="U3747" i="1" s="1"/>
  <c r="Q3747" i="1"/>
  <c r="P3747" i="1"/>
  <c r="O3747" i="1"/>
  <c r="Q3746" i="1"/>
  <c r="P3746" i="1"/>
  <c r="O3746" i="1"/>
  <c r="R3745" i="1"/>
  <c r="U3745" i="1" s="1"/>
  <c r="Q3745" i="1"/>
  <c r="P3745" i="1"/>
  <c r="O3745" i="1"/>
  <c r="Q3744" i="1"/>
  <c r="P3744" i="1"/>
  <c r="O3744" i="1"/>
  <c r="R3743" i="1"/>
  <c r="U3743" i="1" s="1"/>
  <c r="Q3743" i="1"/>
  <c r="P3743" i="1"/>
  <c r="O3743" i="1"/>
  <c r="Q3742" i="1"/>
  <c r="P3742" i="1"/>
  <c r="O3742" i="1"/>
  <c r="R3741" i="1"/>
  <c r="U3741" i="1" s="1"/>
  <c r="Q3741" i="1"/>
  <c r="P3741" i="1"/>
  <c r="O3741" i="1"/>
  <c r="Q3740" i="1"/>
  <c r="P3740" i="1"/>
  <c r="O3740" i="1"/>
  <c r="R3739" i="1"/>
  <c r="U3739" i="1" s="1"/>
  <c r="Q3739" i="1"/>
  <c r="P3739" i="1"/>
  <c r="O3739" i="1"/>
  <c r="Q3738" i="1"/>
  <c r="P3738" i="1"/>
  <c r="O3738" i="1"/>
  <c r="R3737" i="1"/>
  <c r="U3737" i="1" s="1"/>
  <c r="Q3737" i="1"/>
  <c r="P3737" i="1"/>
  <c r="O3737" i="1"/>
  <c r="Q3736" i="1"/>
  <c r="P3736" i="1"/>
  <c r="O3736" i="1"/>
  <c r="R3735" i="1"/>
  <c r="U3735" i="1" s="1"/>
  <c r="Q3735" i="1"/>
  <c r="P3735" i="1"/>
  <c r="O3735" i="1"/>
  <c r="Q3734" i="1"/>
  <c r="P3734" i="1"/>
  <c r="O3734" i="1"/>
  <c r="R3733" i="1"/>
  <c r="U3733" i="1" s="1"/>
  <c r="Q3733" i="1"/>
  <c r="P3733" i="1"/>
  <c r="O3733" i="1"/>
  <c r="Q3732" i="1"/>
  <c r="P3732" i="1"/>
  <c r="O3732" i="1"/>
  <c r="R3731" i="1"/>
  <c r="U3731" i="1" s="1"/>
  <c r="Q3731" i="1"/>
  <c r="P3731" i="1"/>
  <c r="O3731" i="1"/>
  <c r="Q3730" i="1"/>
  <c r="P3730" i="1"/>
  <c r="O3730" i="1"/>
  <c r="R3729" i="1"/>
  <c r="Q3729" i="1"/>
  <c r="P3729" i="1"/>
  <c r="O3729" i="1"/>
  <c r="Q3728" i="1"/>
  <c r="P3728" i="1"/>
  <c r="O3728" i="1"/>
  <c r="R3727" i="1"/>
  <c r="Q3727" i="1"/>
  <c r="P3727" i="1"/>
  <c r="O3727" i="1"/>
  <c r="C19" i="6" l="1"/>
  <c r="E19" i="6"/>
  <c r="M16" i="8"/>
  <c r="M17" i="8" s="1"/>
  <c r="F16" i="8"/>
  <c r="F17" i="8" s="1"/>
  <c r="F80" i="8"/>
  <c r="F82" i="8" s="1"/>
  <c r="W16" i="8"/>
  <c r="W17" i="8" s="1"/>
  <c r="G91" i="8"/>
  <c r="G93" i="8" s="1"/>
  <c r="H91" i="8"/>
  <c r="H93" i="8" s="1"/>
  <c r="J91" i="8"/>
  <c r="J93" i="8" s="1"/>
  <c r="E91" i="8"/>
  <c r="E93" i="8" s="1"/>
  <c r="AF16" i="8"/>
  <c r="AF17" i="8" s="1"/>
  <c r="I16" i="8"/>
  <c r="I17" i="8" s="1"/>
  <c r="I91" i="8"/>
  <c r="I93" i="8" s="1"/>
  <c r="G16" i="8"/>
  <c r="G17" i="8" s="1"/>
  <c r="AJ16" i="8"/>
  <c r="AJ17" i="8" s="1"/>
  <c r="F91" i="8"/>
  <c r="F93" i="8" s="1"/>
  <c r="AB16" i="8"/>
  <c r="AB17" i="8" s="1"/>
  <c r="E47" i="6"/>
  <c r="C93" i="8"/>
  <c r="U16" i="8"/>
  <c r="U17" i="8" s="1"/>
  <c r="C61" i="6"/>
  <c r="D91" i="8"/>
  <c r="D93" i="8" s="1"/>
  <c r="K16" i="8"/>
  <c r="K17" i="8" s="1"/>
  <c r="J80" i="8"/>
  <c r="J82" i="8" s="1"/>
  <c r="S16" i="8"/>
  <c r="S17" i="8" s="1"/>
  <c r="C75" i="6"/>
  <c r="C33" i="6"/>
  <c r="AE16" i="8"/>
  <c r="AE17" i="8" s="1"/>
  <c r="E61" i="6"/>
  <c r="AK16" i="8"/>
  <c r="AK17" i="8" s="1"/>
  <c r="E33" i="6"/>
  <c r="H80" i="8"/>
  <c r="H82" i="8" s="1"/>
  <c r="C47" i="6"/>
  <c r="AC16" i="8"/>
  <c r="AC17" i="8" s="1"/>
  <c r="AG16" i="8"/>
  <c r="AG17" i="8" s="1"/>
  <c r="AI16" i="8"/>
  <c r="AI17" i="8" s="1"/>
  <c r="U3727" i="1"/>
  <c r="R3771" i="1"/>
  <c r="R3767" i="1"/>
  <c r="U3729" i="1"/>
  <c r="R3773" i="1"/>
  <c r="R3769" i="1"/>
  <c r="T3728" i="1"/>
  <c r="T3730" i="1"/>
  <c r="T3732" i="1"/>
  <c r="T3734" i="1"/>
  <c r="T3736" i="1"/>
  <c r="T3738" i="1"/>
  <c r="T3741" i="1"/>
  <c r="T3743" i="1"/>
  <c r="T3745" i="1"/>
  <c r="T3747" i="1"/>
  <c r="T3748" i="1"/>
  <c r="T3751" i="1"/>
  <c r="T3752" i="1"/>
  <c r="T3753" i="1"/>
  <c r="T3754" i="1"/>
  <c r="T3755" i="1"/>
  <c r="T3756" i="1"/>
  <c r="T3757" i="1"/>
  <c r="T3758" i="1"/>
  <c r="T3759" i="1"/>
  <c r="T3760" i="1"/>
  <c r="T3761" i="1"/>
  <c r="T3762" i="1"/>
  <c r="T3763" i="1"/>
  <c r="T3764" i="1"/>
  <c r="T3765" i="1"/>
  <c r="T3766" i="1"/>
  <c r="T3727" i="1"/>
  <c r="T3729" i="1"/>
  <c r="T3731" i="1"/>
  <c r="T3733" i="1"/>
  <c r="T3735" i="1"/>
  <c r="T3737" i="1"/>
  <c r="T3739" i="1"/>
  <c r="T3740" i="1"/>
  <c r="T3742" i="1"/>
  <c r="T3744" i="1"/>
  <c r="T3746" i="1"/>
  <c r="U3761" i="1"/>
  <c r="U3763" i="1"/>
  <c r="U3765" i="1"/>
  <c r="E76" i="6" l="1"/>
  <c r="C76" i="6"/>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N32" i="8"/>
  <c r="N31" i="8"/>
  <c r="N30" i="8"/>
  <c r="N29" i="8"/>
  <c r="N28" i="8"/>
  <c r="N33" i="8" s="1"/>
  <c r="N26" i="8"/>
  <c r="N25" i="8"/>
  <c r="N24" i="8"/>
  <c r="N23" i="8"/>
  <c r="N27" i="8" s="1"/>
  <c r="N22" i="8"/>
  <c r="N15" i="8"/>
  <c r="N14" i="8"/>
  <c r="H69" i="8" s="1"/>
  <c r="N13" i="8"/>
  <c r="H68" i="8" s="1"/>
  <c r="N12" i="8"/>
  <c r="N11" i="8"/>
  <c r="N9" i="8"/>
  <c r="H62" i="8" s="1"/>
  <c r="N8" i="8"/>
  <c r="H61" i="8" s="1"/>
  <c r="N7" i="8"/>
  <c r="N6" i="8"/>
  <c r="N5" i="8"/>
  <c r="Z32" i="8"/>
  <c r="Z31" i="8"/>
  <c r="Z30" i="8"/>
  <c r="Z29" i="8"/>
  <c r="Z28" i="8"/>
  <c r="Z33" i="8" s="1"/>
  <c r="Z26" i="8"/>
  <c r="Z25" i="8"/>
  <c r="Z24" i="8"/>
  <c r="Z23" i="8"/>
  <c r="Z27" i="8" s="1"/>
  <c r="Z22" i="8"/>
  <c r="Z15" i="8"/>
  <c r="Z14" i="8"/>
  <c r="I69" i="8" s="1"/>
  <c r="Z13" i="8"/>
  <c r="I68" i="8" s="1"/>
  <c r="Z12" i="8"/>
  <c r="Z11" i="8"/>
  <c r="Z9" i="8"/>
  <c r="I62" i="8" s="1"/>
  <c r="Z8" i="8"/>
  <c r="I61" i="8" s="1"/>
  <c r="Z7" i="8"/>
  <c r="Z6" i="8"/>
  <c r="Z5" i="8"/>
  <c r="I67" i="8" l="1"/>
  <c r="H67" i="8"/>
  <c r="I70" i="8"/>
  <c r="I66" i="8"/>
  <c r="I59" i="8"/>
  <c r="I60" i="8"/>
  <c r="I58" i="8"/>
  <c r="H70" i="8"/>
  <c r="H66" i="8"/>
  <c r="H59" i="8"/>
  <c r="H60" i="8"/>
  <c r="H58" i="8"/>
  <c r="Z10" i="8"/>
  <c r="I63" i="8" s="1"/>
  <c r="Z16" i="8"/>
  <c r="I71" i="8" s="1"/>
  <c r="N10" i="8"/>
  <c r="H63" i="8" s="1"/>
  <c r="N16" i="8"/>
  <c r="H71" i="8" s="1"/>
  <c r="N116" i="8"/>
  <c r="M116" i="8"/>
  <c r="C115" i="8"/>
  <c r="C117" i="8" s="1"/>
  <c r="N114" i="8"/>
  <c r="M114" i="8"/>
  <c r="N113" i="8"/>
  <c r="M113" i="8"/>
  <c r="N112" i="8"/>
  <c r="M112" i="8"/>
  <c r="N105" i="8"/>
  <c r="M105" i="8"/>
  <c r="C104" i="8"/>
  <c r="C106" i="8" s="1"/>
  <c r="N103" i="8"/>
  <c r="M103" i="8"/>
  <c r="N102" i="8"/>
  <c r="M102" i="8"/>
  <c r="N101" i="8"/>
  <c r="M101" i="8"/>
  <c r="N92" i="8"/>
  <c r="M92" i="8"/>
  <c r="N90" i="8"/>
  <c r="M90" i="8"/>
  <c r="N89" i="8"/>
  <c r="M89" i="8"/>
  <c r="N88" i="8"/>
  <c r="M88" i="8"/>
  <c r="N81" i="8"/>
  <c r="M81" i="8"/>
  <c r="C80" i="8"/>
  <c r="C82" i="8" s="1"/>
  <c r="N79" i="8"/>
  <c r="M79" i="8"/>
  <c r="N78" i="8"/>
  <c r="M78" i="8"/>
  <c r="N77" i="8"/>
  <c r="M77" i="8"/>
  <c r="N80" i="8" l="1"/>
  <c r="N82" i="8" s="1"/>
  <c r="N115" i="8"/>
  <c r="N117" i="8" s="1"/>
  <c r="M91" i="8"/>
  <c r="M93" i="8" s="1"/>
  <c r="N104" i="8"/>
  <c r="N106" i="8" s="1"/>
  <c r="M80" i="8"/>
  <c r="M82" i="8" s="1"/>
  <c r="M104" i="8"/>
  <c r="M106" i="8" s="1"/>
  <c r="M115" i="8"/>
  <c r="M117" i="8" s="1"/>
  <c r="N91" i="8"/>
  <c r="N93" i="8" s="1"/>
  <c r="N3718" i="1"/>
  <c r="M3718" i="1"/>
  <c r="N3697" i="1"/>
  <c r="M3697" i="1"/>
  <c r="N3696" i="1"/>
  <c r="M3696" i="1"/>
  <c r="N3650" i="1"/>
  <c r="M3650" i="1"/>
  <c r="N3642" i="1"/>
  <c r="M3642" i="1"/>
  <c r="N3641" i="1"/>
  <c r="M3641" i="1"/>
  <c r="N3594" i="1"/>
  <c r="M3594" i="1"/>
  <c r="N3593" i="1"/>
  <c r="M3593" i="1"/>
  <c r="N3544" i="1"/>
  <c r="M3544" i="1"/>
  <c r="N3543" i="1"/>
  <c r="M3543" i="1"/>
  <c r="N3502" i="1"/>
  <c r="M3502" i="1"/>
  <c r="N3501" i="1"/>
  <c r="M3501" i="1"/>
  <c r="N3418" i="1"/>
  <c r="M3418" i="1"/>
  <c r="N3417" i="1"/>
  <c r="M3417" i="1"/>
  <c r="N3416" i="1"/>
  <c r="M3416" i="1"/>
  <c r="N3415" i="1"/>
  <c r="M3415" i="1"/>
  <c r="N3414" i="1"/>
  <c r="M3414" i="1"/>
  <c r="N3210" i="1"/>
  <c r="M3210" i="1"/>
  <c r="N3180" i="1"/>
  <c r="M3180" i="1"/>
  <c r="N3179" i="1"/>
  <c r="M3179" i="1"/>
  <c r="N3044" i="1"/>
  <c r="M3044" i="1"/>
  <c r="N3043" i="1"/>
  <c r="M3043" i="1"/>
  <c r="N3042" i="1"/>
  <c r="M3042" i="1"/>
  <c r="N2996" i="1"/>
  <c r="M2996" i="1"/>
  <c r="N3717" i="1"/>
  <c r="M3717" i="1"/>
  <c r="N3716" i="1"/>
  <c r="M3716" i="1"/>
  <c r="N3695" i="1"/>
  <c r="M3695" i="1"/>
  <c r="N3694" i="1"/>
  <c r="M3694" i="1"/>
  <c r="N3640" i="1"/>
  <c r="M3640" i="1"/>
  <c r="N3639" i="1"/>
  <c r="M3639" i="1"/>
  <c r="N3592" i="1"/>
  <c r="M3592" i="1"/>
  <c r="N3542" i="1"/>
  <c r="M3542" i="1"/>
  <c r="N3500" i="1"/>
  <c r="M3500" i="1"/>
  <c r="N3499" i="1"/>
  <c r="M3499" i="1"/>
  <c r="N3446" i="1"/>
  <c r="M3446" i="1"/>
  <c r="N3413" i="1"/>
  <c r="M3413" i="1"/>
  <c r="N3412" i="1"/>
  <c r="M3412" i="1"/>
  <c r="N3411" i="1"/>
  <c r="M3411" i="1"/>
  <c r="N3410" i="1"/>
  <c r="M3410" i="1"/>
  <c r="N3310" i="1"/>
  <c r="M3310" i="1"/>
  <c r="N3309" i="1"/>
  <c r="M3309" i="1"/>
  <c r="N3308" i="1"/>
  <c r="M3308" i="1"/>
  <c r="N3257" i="1"/>
  <c r="M3257" i="1"/>
  <c r="N3209" i="1"/>
  <c r="M3209" i="1"/>
  <c r="N3163" i="1"/>
  <c r="M3163" i="1"/>
  <c r="N3148" i="1"/>
  <c r="M3148" i="1"/>
  <c r="N3104" i="1"/>
  <c r="M3104" i="1"/>
  <c r="N3041" i="1"/>
  <c r="M3041" i="1"/>
  <c r="N3040" i="1"/>
  <c r="M3040" i="1"/>
  <c r="N2995" i="1"/>
  <c r="M2995" i="1"/>
  <c r="N2970" i="1"/>
  <c r="M2970" i="1"/>
  <c r="N3693" i="1"/>
  <c r="M3693" i="1"/>
  <c r="N3692" i="1"/>
  <c r="M3692" i="1"/>
  <c r="N3691" i="1"/>
  <c r="M3691" i="1"/>
  <c r="N3690" i="1"/>
  <c r="M3690" i="1"/>
  <c r="N3689" i="1"/>
  <c r="M3689" i="1"/>
  <c r="N3638" i="1"/>
  <c r="M3638" i="1"/>
  <c r="N3591" i="1"/>
  <c r="M3591" i="1"/>
  <c r="N3541" i="1"/>
  <c r="M3541" i="1"/>
  <c r="N3498" i="1"/>
  <c r="M3498" i="1"/>
  <c r="N3497" i="1"/>
  <c r="M3497" i="1"/>
  <c r="N3409" i="1"/>
  <c r="M3409" i="1"/>
  <c r="N3408" i="1"/>
  <c r="M3408" i="1"/>
  <c r="N3407" i="1"/>
  <c r="M3407" i="1"/>
  <c r="N3406" i="1"/>
  <c r="M3406" i="1"/>
  <c r="N3307" i="1"/>
  <c r="M3307" i="1"/>
  <c r="N3306" i="1"/>
  <c r="M3306" i="1"/>
  <c r="N3305" i="1"/>
  <c r="M3305" i="1"/>
  <c r="N3256" i="1"/>
  <c r="M3256" i="1"/>
  <c r="N3255" i="1"/>
  <c r="M3255" i="1"/>
  <c r="N3178" i="1"/>
  <c r="M3178" i="1"/>
  <c r="N3177" i="1"/>
  <c r="M3177" i="1"/>
  <c r="N3176" i="1"/>
  <c r="M3176" i="1"/>
  <c r="N3039" i="1"/>
  <c r="M3039" i="1"/>
  <c r="N3038" i="1"/>
  <c r="M3038" i="1"/>
  <c r="N3037" i="1"/>
  <c r="M3037" i="1"/>
  <c r="N2994" i="1"/>
  <c r="M2994" i="1"/>
  <c r="N2993" i="1"/>
  <c r="M2993" i="1"/>
  <c r="N3725" i="1"/>
  <c r="M3725" i="1"/>
  <c r="N3688" i="1"/>
  <c r="M3688" i="1"/>
  <c r="N3653" i="1"/>
  <c r="M3653" i="1"/>
  <c r="N3649" i="1"/>
  <c r="M3649" i="1"/>
  <c r="N3648" i="1"/>
  <c r="M3648" i="1"/>
  <c r="N3637" i="1"/>
  <c r="M3637" i="1"/>
  <c r="N3636" i="1"/>
  <c r="M3636" i="1"/>
  <c r="N3590" i="1"/>
  <c r="M3590" i="1"/>
  <c r="N3589" i="1"/>
  <c r="M3589" i="1"/>
  <c r="N3540" i="1"/>
  <c r="M3540" i="1"/>
  <c r="N3539" i="1"/>
  <c r="M3539" i="1"/>
  <c r="N3496" i="1"/>
  <c r="M3496" i="1"/>
  <c r="N3471" i="1"/>
  <c r="M3471" i="1"/>
  <c r="N3470" i="1"/>
  <c r="M3470" i="1"/>
  <c r="N3445" i="1"/>
  <c r="M3445" i="1"/>
  <c r="N3444" i="1"/>
  <c r="M3444" i="1"/>
  <c r="N3405" i="1"/>
  <c r="M3405" i="1"/>
  <c r="N3404" i="1"/>
  <c r="M3404" i="1"/>
  <c r="N3403" i="1"/>
  <c r="M3403" i="1"/>
  <c r="N3402" i="1"/>
  <c r="M3402" i="1"/>
  <c r="N3401" i="1"/>
  <c r="M3401" i="1"/>
  <c r="N3400" i="1"/>
  <c r="M3400" i="1"/>
  <c r="N3399" i="1"/>
  <c r="M3399" i="1"/>
  <c r="N3398" i="1"/>
  <c r="M3398" i="1"/>
  <c r="N3304" i="1"/>
  <c r="M3304" i="1"/>
  <c r="N3303" i="1"/>
  <c r="M3303" i="1"/>
  <c r="N3302" i="1"/>
  <c r="M3302" i="1"/>
  <c r="N3265" i="1"/>
  <c r="M3265" i="1"/>
  <c r="N3264" i="1"/>
  <c r="M3264" i="1"/>
  <c r="N3263" i="1"/>
  <c r="M3263" i="1"/>
  <c r="N3254" i="1"/>
  <c r="M3254" i="1"/>
  <c r="N3208" i="1"/>
  <c r="M3208" i="1"/>
  <c r="N3175" i="1"/>
  <c r="M3175" i="1"/>
  <c r="N3162" i="1"/>
  <c r="M3162" i="1"/>
  <c r="N3161" i="1"/>
  <c r="M3161" i="1"/>
  <c r="N3147" i="1"/>
  <c r="M3147" i="1"/>
  <c r="N3146" i="1"/>
  <c r="M3146" i="1"/>
  <c r="N3128" i="1"/>
  <c r="M3128" i="1"/>
  <c r="N3103" i="1"/>
  <c r="M3103" i="1"/>
  <c r="N3102" i="1"/>
  <c r="M3102" i="1"/>
  <c r="N3036" i="1"/>
  <c r="M3036" i="1"/>
  <c r="N3035" i="1"/>
  <c r="M3035" i="1"/>
  <c r="N2992" i="1"/>
  <c r="M2992" i="1"/>
  <c r="N2991" i="1"/>
  <c r="M2991" i="1"/>
  <c r="N3687" i="1"/>
  <c r="M3687" i="1"/>
  <c r="N3652" i="1"/>
  <c r="M3652" i="1"/>
  <c r="N3635" i="1"/>
  <c r="M3635" i="1"/>
  <c r="N3634" i="1"/>
  <c r="M3634" i="1"/>
  <c r="N3633" i="1"/>
  <c r="M3633" i="1"/>
  <c r="N3632" i="1"/>
  <c r="M3632" i="1"/>
  <c r="N3602" i="1"/>
  <c r="M3602" i="1"/>
  <c r="N3601" i="1"/>
  <c r="M3601" i="1"/>
  <c r="N3588" i="1"/>
  <c r="M3588" i="1"/>
  <c r="N3587" i="1"/>
  <c r="M3587" i="1"/>
  <c r="N3586" i="1"/>
  <c r="M3586" i="1"/>
  <c r="N3585" i="1"/>
  <c r="M3585" i="1"/>
  <c r="N3538" i="1"/>
  <c r="M3538" i="1"/>
  <c r="N3537" i="1"/>
  <c r="M3537" i="1"/>
  <c r="N3536" i="1"/>
  <c r="M3536" i="1"/>
  <c r="N3495" i="1"/>
  <c r="M3495" i="1"/>
  <c r="N3494" i="1"/>
  <c r="M3494" i="1"/>
  <c r="N3469" i="1"/>
  <c r="M3469" i="1"/>
  <c r="N3468" i="1"/>
  <c r="M3468" i="1"/>
  <c r="N3467" i="1"/>
  <c r="M3467" i="1"/>
  <c r="N3443" i="1"/>
  <c r="M3443" i="1"/>
  <c r="N3442" i="1"/>
  <c r="M3442" i="1"/>
  <c r="N3441" i="1"/>
  <c r="M3441" i="1"/>
  <c r="N3397" i="1"/>
  <c r="M3397" i="1"/>
  <c r="N3396" i="1"/>
  <c r="M3396" i="1"/>
  <c r="N3395" i="1"/>
  <c r="M3395" i="1"/>
  <c r="N3394" i="1"/>
  <c r="M3394" i="1"/>
  <c r="N3393" i="1"/>
  <c r="M3393" i="1"/>
  <c r="N3392" i="1"/>
  <c r="M3392" i="1"/>
  <c r="N3391" i="1"/>
  <c r="M3391" i="1"/>
  <c r="N3390" i="1"/>
  <c r="M3390" i="1"/>
  <c r="N3301" i="1"/>
  <c r="M3301" i="1"/>
  <c r="N3300" i="1"/>
  <c r="M3300" i="1"/>
  <c r="N3299" i="1"/>
  <c r="M3299" i="1"/>
  <c r="N3253" i="1"/>
  <c r="M3253" i="1"/>
  <c r="N3160" i="1"/>
  <c r="M3160" i="1"/>
  <c r="N3159" i="1"/>
  <c r="M3159" i="1"/>
  <c r="N3145" i="1"/>
  <c r="M3145" i="1"/>
  <c r="N3137" i="1"/>
  <c r="M3137" i="1"/>
  <c r="N3134" i="1"/>
  <c r="M3134" i="1"/>
  <c r="N3101" i="1"/>
  <c r="M3101" i="1"/>
  <c r="N3100" i="1"/>
  <c r="M3100" i="1"/>
  <c r="N3099" i="1"/>
  <c r="M3099" i="1"/>
  <c r="N3098" i="1"/>
  <c r="M3098" i="1"/>
  <c r="N3097" i="1"/>
  <c r="M3097" i="1"/>
  <c r="N3051" i="1"/>
  <c r="M3051" i="1"/>
  <c r="N3034" i="1"/>
  <c r="M3034" i="1"/>
  <c r="N3033" i="1"/>
  <c r="M3033" i="1"/>
  <c r="N3032" i="1"/>
  <c r="M3032" i="1"/>
  <c r="N2990" i="1"/>
  <c r="M2990" i="1"/>
  <c r="N3715" i="1"/>
  <c r="M3715" i="1"/>
  <c r="N3702" i="1"/>
  <c r="M3702" i="1"/>
  <c r="N3686" i="1"/>
  <c r="M3686" i="1"/>
  <c r="N3631" i="1"/>
  <c r="M3631" i="1"/>
  <c r="N3630" i="1"/>
  <c r="M3630" i="1"/>
  <c r="N3629" i="1"/>
  <c r="M3629" i="1"/>
  <c r="N3628" i="1"/>
  <c r="M3628" i="1"/>
  <c r="N3584" i="1"/>
  <c r="M3584" i="1"/>
  <c r="N3583" i="1"/>
  <c r="M3583" i="1"/>
  <c r="N3493" i="1"/>
  <c r="M3493" i="1"/>
  <c r="N3492" i="1"/>
  <c r="M3492" i="1"/>
  <c r="N3440" i="1"/>
  <c r="M3440" i="1"/>
  <c r="N3439" i="1"/>
  <c r="M3439" i="1"/>
  <c r="N3389" i="1"/>
  <c r="M3389" i="1"/>
  <c r="N3388" i="1"/>
  <c r="M3388" i="1"/>
  <c r="N3387" i="1"/>
  <c r="M3387" i="1"/>
  <c r="N3386" i="1"/>
  <c r="M3386" i="1"/>
  <c r="N3385" i="1"/>
  <c r="M3385" i="1"/>
  <c r="N3384" i="1"/>
  <c r="M3384" i="1"/>
  <c r="N3383" i="1"/>
  <c r="M3383" i="1"/>
  <c r="N3382" i="1"/>
  <c r="M3382" i="1"/>
  <c r="N3381" i="1"/>
  <c r="M3381" i="1"/>
  <c r="N3329" i="1"/>
  <c r="M3329" i="1"/>
  <c r="N3320" i="1"/>
  <c r="M3320" i="1"/>
  <c r="N3298" i="1"/>
  <c r="M3298" i="1"/>
  <c r="N3297" i="1"/>
  <c r="M3297" i="1"/>
  <c r="N3296" i="1"/>
  <c r="M3296" i="1"/>
  <c r="N3295" i="1"/>
  <c r="M3295" i="1"/>
  <c r="N3262" i="1"/>
  <c r="M3262" i="1"/>
  <c r="N3261" i="1"/>
  <c r="M3261" i="1"/>
  <c r="N3252" i="1"/>
  <c r="M3252" i="1"/>
  <c r="N3207" i="1"/>
  <c r="M3207" i="1"/>
  <c r="N3206" i="1"/>
  <c r="M3206" i="1"/>
  <c r="N3191" i="1"/>
  <c r="M3191" i="1"/>
  <c r="N3183" i="1"/>
  <c r="M3183" i="1"/>
  <c r="N3127" i="1"/>
  <c r="M3127" i="1"/>
  <c r="N3096" i="1"/>
  <c r="M3096" i="1"/>
  <c r="N3095" i="1"/>
  <c r="M3095" i="1"/>
  <c r="N3094" i="1"/>
  <c r="M3094" i="1"/>
  <c r="N3093" i="1"/>
  <c r="M3093" i="1"/>
  <c r="N3092" i="1"/>
  <c r="M3092" i="1"/>
  <c r="N3091" i="1"/>
  <c r="M3091" i="1"/>
  <c r="N3031" i="1"/>
  <c r="M3031" i="1"/>
  <c r="N3030" i="1"/>
  <c r="M3030" i="1"/>
  <c r="N2989" i="1"/>
  <c r="M2989" i="1"/>
  <c r="N2969" i="1"/>
  <c r="M2969" i="1"/>
  <c r="N3627" i="1"/>
  <c r="M3627" i="1"/>
  <c r="N3626" i="1"/>
  <c r="M3626" i="1"/>
  <c r="N3625" i="1"/>
  <c r="M3625" i="1"/>
  <c r="N3582" i="1"/>
  <c r="M3582" i="1"/>
  <c r="N3581" i="1"/>
  <c r="M3581" i="1"/>
  <c r="N3556" i="1"/>
  <c r="M3556" i="1"/>
  <c r="N3555" i="1"/>
  <c r="M3555" i="1"/>
  <c r="N3535" i="1"/>
  <c r="M3535" i="1"/>
  <c r="N3534" i="1"/>
  <c r="M3534" i="1"/>
  <c r="N3533" i="1"/>
  <c r="M3533" i="1"/>
  <c r="N3491" i="1"/>
  <c r="M3491" i="1"/>
  <c r="N3466" i="1"/>
  <c r="M3466" i="1"/>
  <c r="N3465" i="1"/>
  <c r="M3465" i="1"/>
  <c r="N3438" i="1"/>
  <c r="M3438" i="1"/>
  <c r="N3437" i="1"/>
  <c r="M3437" i="1"/>
  <c r="N3380" i="1"/>
  <c r="M3380" i="1"/>
  <c r="N3379" i="1"/>
  <c r="M3379" i="1"/>
  <c r="N3378" i="1"/>
  <c r="M3378" i="1"/>
  <c r="N3377" i="1"/>
  <c r="M3377" i="1"/>
  <c r="N3376" i="1"/>
  <c r="M3376" i="1"/>
  <c r="N3319" i="1"/>
  <c r="M3319" i="1"/>
  <c r="N3294" i="1"/>
  <c r="M3294" i="1"/>
  <c r="N3251" i="1"/>
  <c r="M3251" i="1"/>
  <c r="N3250" i="1"/>
  <c r="M3250" i="1"/>
  <c r="N3249" i="1"/>
  <c r="M3249" i="1"/>
  <c r="N3248" i="1"/>
  <c r="M3248" i="1"/>
  <c r="N3247" i="1"/>
  <c r="M3247" i="1"/>
  <c r="N3174" i="1"/>
  <c r="M3174" i="1"/>
  <c r="N3158" i="1"/>
  <c r="M3158" i="1"/>
  <c r="N3090" i="1"/>
  <c r="M3090" i="1"/>
  <c r="N3089" i="1"/>
  <c r="M3089" i="1"/>
  <c r="N3088" i="1"/>
  <c r="M3088" i="1"/>
  <c r="N3087" i="1"/>
  <c r="M3087" i="1"/>
  <c r="N3050" i="1"/>
  <c r="M3050" i="1"/>
  <c r="N3029" i="1"/>
  <c r="M3029" i="1"/>
  <c r="N3028" i="1"/>
  <c r="M3028" i="1"/>
  <c r="N3027" i="1"/>
  <c r="M3027" i="1"/>
  <c r="N3026" i="1"/>
  <c r="M3026" i="1"/>
  <c r="N2988" i="1"/>
  <c r="M2988" i="1"/>
  <c r="N2965" i="1"/>
  <c r="M2965" i="1"/>
  <c r="N3724" i="1"/>
  <c r="M3724" i="1"/>
  <c r="N3723" i="1"/>
  <c r="M3723" i="1"/>
  <c r="N3701" i="1"/>
  <c r="M3701" i="1"/>
  <c r="N3685" i="1"/>
  <c r="M3685" i="1"/>
  <c r="N3684" i="1"/>
  <c r="M3684" i="1"/>
  <c r="N3683" i="1"/>
  <c r="M3683" i="1"/>
  <c r="N3682" i="1"/>
  <c r="M3682" i="1"/>
  <c r="N3681" i="1"/>
  <c r="M3681" i="1"/>
  <c r="N3647" i="1"/>
  <c r="M3647" i="1"/>
  <c r="N3646" i="1"/>
  <c r="M3646" i="1"/>
  <c r="N3624" i="1"/>
  <c r="M3624" i="1"/>
  <c r="N3623" i="1"/>
  <c r="M3623" i="1"/>
  <c r="N3622" i="1"/>
  <c r="M3622" i="1"/>
  <c r="N3600" i="1"/>
  <c r="M3600" i="1"/>
  <c r="N3599" i="1"/>
  <c r="M3599" i="1"/>
  <c r="N3580" i="1"/>
  <c r="M3580" i="1"/>
  <c r="N3579" i="1"/>
  <c r="M3579" i="1"/>
  <c r="N3578" i="1"/>
  <c r="M3578" i="1"/>
  <c r="N3577" i="1"/>
  <c r="M3577" i="1"/>
  <c r="N3576" i="1"/>
  <c r="M3576" i="1"/>
  <c r="N3532" i="1"/>
  <c r="M3532" i="1"/>
  <c r="N3531" i="1"/>
  <c r="M3531" i="1"/>
  <c r="N3530" i="1"/>
  <c r="M3530" i="1"/>
  <c r="N3529" i="1"/>
  <c r="M3529" i="1"/>
  <c r="N3490" i="1"/>
  <c r="M3490" i="1"/>
  <c r="N3489" i="1"/>
  <c r="M3489" i="1"/>
  <c r="N3488" i="1"/>
  <c r="M3488" i="1"/>
  <c r="N3464" i="1"/>
  <c r="M3464" i="1"/>
  <c r="N3463" i="1"/>
  <c r="M3463" i="1"/>
  <c r="N3462" i="1"/>
  <c r="M3462" i="1"/>
  <c r="N3461" i="1"/>
  <c r="M3461" i="1"/>
  <c r="N3436" i="1"/>
  <c r="M3436" i="1"/>
  <c r="N3435" i="1"/>
  <c r="M3435" i="1"/>
  <c r="N3434" i="1"/>
  <c r="M3434" i="1"/>
  <c r="N3375" i="1"/>
  <c r="M3375" i="1"/>
  <c r="N3374" i="1"/>
  <c r="M3374" i="1"/>
  <c r="N3373" i="1"/>
  <c r="M3373" i="1"/>
  <c r="N3372" i="1"/>
  <c r="M3372" i="1"/>
  <c r="N3371" i="1"/>
  <c r="M3371" i="1"/>
  <c r="N3370" i="1"/>
  <c r="M3370" i="1"/>
  <c r="N3369" i="1"/>
  <c r="M3369" i="1"/>
  <c r="N3368" i="1"/>
  <c r="M3368" i="1"/>
  <c r="N3367" i="1"/>
  <c r="M3367" i="1"/>
  <c r="N3366" i="1"/>
  <c r="M3366" i="1"/>
  <c r="N3318" i="1"/>
  <c r="M3318" i="1"/>
  <c r="N3317" i="1"/>
  <c r="M3317" i="1"/>
  <c r="N3293" i="1"/>
  <c r="M3293" i="1"/>
  <c r="N3292" i="1"/>
  <c r="M3292" i="1"/>
  <c r="N3291" i="1"/>
  <c r="M3291" i="1"/>
  <c r="N3290" i="1"/>
  <c r="M3290" i="1"/>
  <c r="N3289" i="1"/>
  <c r="M3289" i="1"/>
  <c r="N3288" i="1"/>
  <c r="M3288" i="1"/>
  <c r="N3260" i="1"/>
  <c r="M3260" i="1"/>
  <c r="N3246" i="1"/>
  <c r="M3246" i="1"/>
  <c r="N3245" i="1"/>
  <c r="M3245" i="1"/>
  <c r="N3244" i="1"/>
  <c r="M3244" i="1"/>
  <c r="N3243" i="1"/>
  <c r="M3243" i="1"/>
  <c r="N3242" i="1"/>
  <c r="M3242" i="1"/>
  <c r="N3241" i="1"/>
  <c r="M3241" i="1"/>
  <c r="N3205" i="1"/>
  <c r="M3205" i="1"/>
  <c r="N3204" i="1"/>
  <c r="M3204" i="1"/>
  <c r="N3195" i="1"/>
  <c r="M3195" i="1"/>
  <c r="N3193" i="1"/>
  <c r="M3193" i="1"/>
  <c r="N3190" i="1"/>
  <c r="M3190" i="1"/>
  <c r="N3182" i="1"/>
  <c r="M3182" i="1"/>
  <c r="N3173" i="1"/>
  <c r="M3173" i="1"/>
  <c r="N3172" i="1"/>
  <c r="M3172" i="1"/>
  <c r="N3157" i="1"/>
  <c r="M3157" i="1"/>
  <c r="N3151" i="1"/>
  <c r="M3151" i="1"/>
  <c r="N3144" i="1"/>
  <c r="M3144" i="1"/>
  <c r="N3143" i="1"/>
  <c r="M3143" i="1"/>
  <c r="N3126" i="1"/>
  <c r="M3126" i="1"/>
  <c r="N3086" i="1"/>
  <c r="M3086" i="1"/>
  <c r="N3085" i="1"/>
  <c r="M3085" i="1"/>
  <c r="N3084" i="1"/>
  <c r="M3084" i="1"/>
  <c r="N3083" i="1"/>
  <c r="M3083" i="1"/>
  <c r="N3082" i="1"/>
  <c r="M3082" i="1"/>
  <c r="N3081" i="1"/>
  <c r="M3081" i="1"/>
  <c r="N3080" i="1"/>
  <c r="M3080" i="1"/>
  <c r="N3079" i="1"/>
  <c r="M3079" i="1"/>
  <c r="N3049" i="1"/>
  <c r="M3049" i="1"/>
  <c r="N3025" i="1"/>
  <c r="M3025" i="1"/>
  <c r="N3024" i="1"/>
  <c r="M3024" i="1"/>
  <c r="N3023" i="1"/>
  <c r="M3023" i="1"/>
  <c r="N3022" i="1"/>
  <c r="M3022" i="1"/>
  <c r="N2987" i="1"/>
  <c r="M2987" i="1"/>
  <c r="N2986" i="1"/>
  <c r="M2986" i="1"/>
  <c r="N2985" i="1"/>
  <c r="M2985" i="1"/>
  <c r="N2984" i="1"/>
  <c r="M2984" i="1"/>
  <c r="N2968" i="1"/>
  <c r="M2968" i="1"/>
  <c r="N2964" i="1"/>
  <c r="M2964" i="1"/>
  <c r="N2963" i="1"/>
  <c r="M2963" i="1"/>
  <c r="N2955" i="1"/>
  <c r="M2955" i="1"/>
  <c r="N2954" i="1"/>
  <c r="M2954" i="1"/>
  <c r="N3722" i="1"/>
  <c r="M3722" i="1"/>
  <c r="N3721" i="1"/>
  <c r="M3721" i="1"/>
  <c r="N3714" i="1"/>
  <c r="M3714" i="1"/>
  <c r="N3713" i="1"/>
  <c r="M3713" i="1"/>
  <c r="N3712" i="1"/>
  <c r="M3712" i="1"/>
  <c r="N3680" i="1"/>
  <c r="M3680" i="1"/>
  <c r="N3679" i="1"/>
  <c r="M3679" i="1"/>
  <c r="N3678" i="1"/>
  <c r="M3678" i="1"/>
  <c r="N3677" i="1"/>
  <c r="M3677" i="1"/>
  <c r="N3676" i="1"/>
  <c r="M3676" i="1"/>
  <c r="N3675" i="1"/>
  <c r="M3675" i="1"/>
  <c r="N3674" i="1"/>
  <c r="M3674" i="1"/>
  <c r="N3621" i="1"/>
  <c r="M3621" i="1"/>
  <c r="N3620" i="1"/>
  <c r="M3620" i="1"/>
  <c r="N3619" i="1"/>
  <c r="M3619" i="1"/>
  <c r="N3618" i="1"/>
  <c r="M3618" i="1"/>
  <c r="N3617" i="1"/>
  <c r="M3617" i="1"/>
  <c r="N3575" i="1"/>
  <c r="M3575" i="1"/>
  <c r="N3574" i="1"/>
  <c r="M3574" i="1"/>
  <c r="N3573" i="1"/>
  <c r="M3573" i="1"/>
  <c r="N3572" i="1"/>
  <c r="M3572" i="1"/>
  <c r="N3571" i="1"/>
  <c r="M3571" i="1"/>
  <c r="N3554" i="1"/>
  <c r="M3554" i="1"/>
  <c r="N3528" i="1"/>
  <c r="M3528" i="1"/>
  <c r="N3527" i="1"/>
  <c r="M3527" i="1"/>
  <c r="N3526" i="1"/>
  <c r="M3526" i="1"/>
  <c r="N3525" i="1"/>
  <c r="M3525" i="1"/>
  <c r="N3524" i="1"/>
  <c r="M3524" i="1"/>
  <c r="N3523" i="1"/>
  <c r="M3523" i="1"/>
  <c r="N3487" i="1"/>
  <c r="M3487" i="1"/>
  <c r="N3486" i="1"/>
  <c r="M3486" i="1"/>
  <c r="N3485" i="1"/>
  <c r="M3485" i="1"/>
  <c r="N3460" i="1"/>
  <c r="M3460" i="1"/>
  <c r="N3459" i="1"/>
  <c r="M3459" i="1"/>
  <c r="N3458" i="1"/>
  <c r="M3458" i="1"/>
  <c r="N3457" i="1"/>
  <c r="M3457" i="1"/>
  <c r="N3433" i="1"/>
  <c r="M3433" i="1"/>
  <c r="N3432" i="1"/>
  <c r="M3432" i="1"/>
  <c r="N3431" i="1"/>
  <c r="M3431" i="1"/>
  <c r="N3365" i="1"/>
  <c r="M3365" i="1"/>
  <c r="N3364" i="1"/>
  <c r="M3364" i="1"/>
  <c r="N3363" i="1"/>
  <c r="M3363" i="1"/>
  <c r="N3362" i="1"/>
  <c r="M3362" i="1"/>
  <c r="N3361" i="1"/>
  <c r="M3361" i="1"/>
  <c r="N3360" i="1"/>
  <c r="M3360" i="1"/>
  <c r="N3359" i="1"/>
  <c r="M3359" i="1"/>
  <c r="N3358" i="1"/>
  <c r="M3358" i="1"/>
  <c r="N3357" i="1"/>
  <c r="M3357" i="1"/>
  <c r="N3328" i="1"/>
  <c r="M3328" i="1"/>
  <c r="N3287" i="1"/>
  <c r="M3287" i="1"/>
  <c r="N3286" i="1"/>
  <c r="M3286" i="1"/>
  <c r="N3285" i="1"/>
  <c r="M3285" i="1"/>
  <c r="N3284" i="1"/>
  <c r="M3284" i="1"/>
  <c r="N3240" i="1"/>
  <c r="M3240" i="1"/>
  <c r="N3239" i="1"/>
  <c r="M3239" i="1"/>
  <c r="N3238" i="1"/>
  <c r="M3238" i="1"/>
  <c r="N3237" i="1"/>
  <c r="M3237" i="1"/>
  <c r="N3236" i="1"/>
  <c r="M3236" i="1"/>
  <c r="N3235" i="1"/>
  <c r="M3235" i="1"/>
  <c r="N3203" i="1"/>
  <c r="M3203" i="1"/>
  <c r="N3202" i="1"/>
  <c r="M3202" i="1"/>
  <c r="N3189" i="1"/>
  <c r="M3189" i="1"/>
  <c r="N3171" i="1"/>
  <c r="M3171" i="1"/>
  <c r="N3170" i="1"/>
  <c r="M3170" i="1"/>
  <c r="N3156" i="1"/>
  <c r="M3156" i="1"/>
  <c r="N3142" i="1"/>
  <c r="M3142" i="1"/>
  <c r="N3133" i="1"/>
  <c r="M3133" i="1"/>
  <c r="N3125" i="1"/>
  <c r="M3125" i="1"/>
  <c r="N3078" i="1"/>
  <c r="M3078" i="1"/>
  <c r="N3077" i="1"/>
  <c r="M3077" i="1"/>
  <c r="N3076" i="1"/>
  <c r="M3076" i="1"/>
  <c r="N3075" i="1"/>
  <c r="M3075" i="1"/>
  <c r="N3048" i="1"/>
  <c r="M3048" i="1"/>
  <c r="N3047" i="1"/>
  <c r="M3047" i="1"/>
  <c r="N3021" i="1"/>
  <c r="M3021" i="1"/>
  <c r="N3020" i="1"/>
  <c r="M3020" i="1"/>
  <c r="N3019" i="1"/>
  <c r="M3019" i="1"/>
  <c r="N3018" i="1"/>
  <c r="M3018" i="1"/>
  <c r="N3001" i="1"/>
  <c r="M3001" i="1"/>
  <c r="N2983" i="1"/>
  <c r="M2983" i="1"/>
  <c r="N2982" i="1"/>
  <c r="M2982" i="1"/>
  <c r="N2981" i="1"/>
  <c r="M2981" i="1"/>
  <c r="N2980" i="1"/>
  <c r="M2980" i="1"/>
  <c r="N2979" i="1"/>
  <c r="M2979" i="1"/>
  <c r="N2962" i="1"/>
  <c r="M2962" i="1"/>
  <c r="N3711" i="1"/>
  <c r="M3711" i="1"/>
  <c r="N3710" i="1"/>
  <c r="M3710" i="1"/>
  <c r="N3709" i="1"/>
  <c r="M3709" i="1"/>
  <c r="N3708" i="1"/>
  <c r="M3708" i="1"/>
  <c r="N3700" i="1"/>
  <c r="M3700" i="1"/>
  <c r="N3673" i="1"/>
  <c r="M3673" i="1"/>
  <c r="N3672" i="1"/>
  <c r="M3672" i="1"/>
  <c r="N3671" i="1"/>
  <c r="M3671" i="1"/>
  <c r="N3670" i="1"/>
  <c r="M3670" i="1"/>
  <c r="N3669" i="1"/>
  <c r="M3669" i="1"/>
  <c r="N3668" i="1"/>
  <c r="M3668" i="1"/>
  <c r="N3667" i="1"/>
  <c r="M3667" i="1"/>
  <c r="N3666" i="1"/>
  <c r="M3666" i="1"/>
  <c r="N3651" i="1"/>
  <c r="M3651" i="1"/>
  <c r="N3645" i="1"/>
  <c r="M3645" i="1"/>
  <c r="N3644" i="1"/>
  <c r="M3644" i="1"/>
  <c r="N3616" i="1"/>
  <c r="M3616" i="1"/>
  <c r="N3615" i="1"/>
  <c r="M3615" i="1"/>
  <c r="N3614" i="1"/>
  <c r="M3614" i="1"/>
  <c r="N3598" i="1"/>
  <c r="M3598" i="1"/>
  <c r="N3597" i="1"/>
  <c r="M3597" i="1"/>
  <c r="N3570" i="1"/>
  <c r="M3570" i="1"/>
  <c r="N3569" i="1"/>
  <c r="M3569" i="1"/>
  <c r="N3568" i="1"/>
  <c r="M3568" i="1"/>
  <c r="N3567" i="1"/>
  <c r="M3567" i="1"/>
  <c r="N3553" i="1"/>
  <c r="M3553" i="1"/>
  <c r="N3552" i="1"/>
  <c r="M3552" i="1"/>
  <c r="N3551" i="1"/>
  <c r="M3551" i="1"/>
  <c r="N3522" i="1"/>
  <c r="M3522" i="1"/>
  <c r="N3521" i="1"/>
  <c r="M3521" i="1"/>
  <c r="N3520" i="1"/>
  <c r="M3520" i="1"/>
  <c r="N3519" i="1"/>
  <c r="M3519" i="1"/>
  <c r="N3518" i="1"/>
  <c r="M3518" i="1"/>
  <c r="N3517" i="1"/>
  <c r="M3517" i="1"/>
  <c r="N3484" i="1"/>
  <c r="M3484" i="1"/>
  <c r="N3483" i="1"/>
  <c r="M3483" i="1"/>
  <c r="N3482" i="1"/>
  <c r="M3482" i="1"/>
  <c r="N3481" i="1"/>
  <c r="M3481" i="1"/>
  <c r="N3480" i="1"/>
  <c r="M3480" i="1"/>
  <c r="N3456" i="1"/>
  <c r="M3456" i="1"/>
  <c r="N3455" i="1"/>
  <c r="M3455" i="1"/>
  <c r="N3454" i="1"/>
  <c r="M3454" i="1"/>
  <c r="N3430" i="1"/>
  <c r="M3430" i="1"/>
  <c r="N3429" i="1"/>
  <c r="M3429" i="1"/>
  <c r="N3428" i="1"/>
  <c r="M3428" i="1"/>
  <c r="N3427" i="1"/>
  <c r="M3427" i="1"/>
  <c r="N3426" i="1"/>
  <c r="M3426" i="1"/>
  <c r="N3356" i="1"/>
  <c r="M3356" i="1"/>
  <c r="N3355" i="1"/>
  <c r="M3355" i="1"/>
  <c r="N3354" i="1"/>
  <c r="M3354" i="1"/>
  <c r="N3353" i="1"/>
  <c r="M3353" i="1"/>
  <c r="N3352" i="1"/>
  <c r="M3352" i="1"/>
  <c r="N3351" i="1"/>
  <c r="M3351" i="1"/>
  <c r="N3350" i="1"/>
  <c r="M3350" i="1"/>
  <c r="N3349" i="1"/>
  <c r="M3349" i="1"/>
  <c r="N3348" i="1"/>
  <c r="M3348" i="1"/>
  <c r="N3327" i="1"/>
  <c r="M3327" i="1"/>
  <c r="N3326" i="1"/>
  <c r="M3326" i="1"/>
  <c r="N3316" i="1"/>
  <c r="M3316" i="1"/>
  <c r="N3315" i="1"/>
  <c r="M3315" i="1"/>
  <c r="N3283" i="1"/>
  <c r="M3283" i="1"/>
  <c r="N3282" i="1"/>
  <c r="M3282" i="1"/>
  <c r="N3281" i="1"/>
  <c r="M3281" i="1"/>
  <c r="N3280" i="1"/>
  <c r="M3280" i="1"/>
  <c r="N3279" i="1"/>
  <c r="M3279" i="1"/>
  <c r="N3278" i="1"/>
  <c r="M3278" i="1"/>
  <c r="N3277" i="1"/>
  <c r="M3277" i="1"/>
  <c r="N3234" i="1"/>
  <c r="M3234" i="1"/>
  <c r="N3233" i="1"/>
  <c r="M3233" i="1"/>
  <c r="N3232" i="1"/>
  <c r="M3232" i="1"/>
  <c r="N3231" i="1"/>
  <c r="M3231" i="1"/>
  <c r="N3230" i="1"/>
  <c r="M3230" i="1"/>
  <c r="N3229" i="1"/>
  <c r="M3229" i="1"/>
  <c r="N3228" i="1"/>
  <c r="M3228" i="1"/>
  <c r="N3227" i="1"/>
  <c r="M3227" i="1"/>
  <c r="N3201" i="1"/>
  <c r="M3201" i="1"/>
  <c r="N3200" i="1"/>
  <c r="M3200" i="1"/>
  <c r="N3188" i="1"/>
  <c r="M3188" i="1"/>
  <c r="N3155" i="1"/>
  <c r="M3155" i="1"/>
  <c r="N3154" i="1"/>
  <c r="M3154" i="1"/>
  <c r="N3141" i="1"/>
  <c r="M3141" i="1"/>
  <c r="N3136" i="1"/>
  <c r="M3136" i="1"/>
  <c r="N3135" i="1"/>
  <c r="M3135" i="1"/>
  <c r="N3132" i="1"/>
  <c r="M3132" i="1"/>
  <c r="N3124" i="1"/>
  <c r="M3124" i="1"/>
  <c r="N3123" i="1"/>
  <c r="M3123" i="1"/>
  <c r="N3122" i="1"/>
  <c r="M3122" i="1"/>
  <c r="N3074" i="1"/>
  <c r="M3074" i="1"/>
  <c r="N3073" i="1"/>
  <c r="M3073" i="1"/>
  <c r="N3072" i="1"/>
  <c r="M3072" i="1"/>
  <c r="N3071" i="1"/>
  <c r="M3071" i="1"/>
  <c r="N3070" i="1"/>
  <c r="M3070" i="1"/>
  <c r="N3069" i="1"/>
  <c r="M3069" i="1"/>
  <c r="N3068" i="1"/>
  <c r="M3068" i="1"/>
  <c r="N3017" i="1"/>
  <c r="M3017" i="1"/>
  <c r="N3016" i="1"/>
  <c r="M3016" i="1"/>
  <c r="N3015" i="1"/>
  <c r="M3015" i="1"/>
  <c r="N3014" i="1"/>
  <c r="M3014" i="1"/>
  <c r="N3013" i="1"/>
  <c r="M3013" i="1"/>
  <c r="N2978" i="1"/>
  <c r="M2978" i="1"/>
  <c r="N2977" i="1"/>
  <c r="M2977" i="1"/>
  <c r="N2976" i="1"/>
  <c r="M2976" i="1"/>
  <c r="N2975" i="1"/>
  <c r="M2975" i="1"/>
  <c r="N2961" i="1"/>
  <c r="M2961" i="1"/>
  <c r="N3720" i="1"/>
  <c r="M3720" i="1"/>
  <c r="N3707" i="1"/>
  <c r="M3707" i="1"/>
  <c r="N3706" i="1"/>
  <c r="M3706" i="1"/>
  <c r="N3705" i="1"/>
  <c r="M3705" i="1"/>
  <c r="N3699" i="1"/>
  <c r="M3699" i="1"/>
  <c r="N3665" i="1"/>
  <c r="M3665" i="1"/>
  <c r="N3664" i="1"/>
  <c r="M3664" i="1"/>
  <c r="N3663" i="1"/>
  <c r="M3663" i="1"/>
  <c r="N3662" i="1"/>
  <c r="M3662" i="1"/>
  <c r="N3661" i="1"/>
  <c r="M3661" i="1"/>
  <c r="N3660" i="1"/>
  <c r="M3660" i="1"/>
  <c r="N3659" i="1"/>
  <c r="M3659" i="1"/>
  <c r="N3613" i="1"/>
  <c r="M3613" i="1"/>
  <c r="N3612" i="1"/>
  <c r="M3612" i="1"/>
  <c r="N3611" i="1"/>
  <c r="M3611" i="1"/>
  <c r="N3610" i="1"/>
  <c r="M3610" i="1"/>
  <c r="N3609" i="1"/>
  <c r="M3609" i="1"/>
  <c r="N3608" i="1"/>
  <c r="M3608" i="1"/>
  <c r="N3607" i="1"/>
  <c r="M3607" i="1"/>
  <c r="N3596" i="1"/>
  <c r="M3596" i="1"/>
  <c r="N3566" i="1"/>
  <c r="M3566" i="1"/>
  <c r="N3565" i="1"/>
  <c r="M3565" i="1"/>
  <c r="N3564" i="1"/>
  <c r="M3564" i="1"/>
  <c r="N3563" i="1"/>
  <c r="M3563" i="1"/>
  <c r="N3562" i="1"/>
  <c r="M3562" i="1"/>
  <c r="N3550" i="1"/>
  <c r="M3550" i="1"/>
  <c r="N3549" i="1"/>
  <c r="M3549" i="1"/>
  <c r="N3548" i="1"/>
  <c r="M3548" i="1"/>
  <c r="N3516" i="1"/>
  <c r="M3516" i="1"/>
  <c r="N3515" i="1"/>
  <c r="M3515" i="1"/>
  <c r="N3514" i="1"/>
  <c r="M3514" i="1"/>
  <c r="N3513" i="1"/>
  <c r="M3513" i="1"/>
  <c r="N3512" i="1"/>
  <c r="M3512" i="1"/>
  <c r="N3511" i="1"/>
  <c r="M3511" i="1"/>
  <c r="N3510" i="1"/>
  <c r="M3510" i="1"/>
  <c r="N3479" i="1"/>
  <c r="M3479" i="1"/>
  <c r="N3478" i="1"/>
  <c r="M3478" i="1"/>
  <c r="N3477" i="1"/>
  <c r="M3477" i="1"/>
  <c r="N3476" i="1"/>
  <c r="M3476" i="1"/>
  <c r="N3453" i="1"/>
  <c r="M3453" i="1"/>
  <c r="N3452" i="1"/>
  <c r="M3452" i="1"/>
  <c r="N3451" i="1"/>
  <c r="M3451" i="1"/>
  <c r="N3425" i="1"/>
  <c r="M3425" i="1"/>
  <c r="N3424" i="1"/>
  <c r="M3424" i="1"/>
  <c r="N3423" i="1"/>
  <c r="M3423" i="1"/>
  <c r="N3347" i="1"/>
  <c r="M3347" i="1"/>
  <c r="N3346" i="1"/>
  <c r="M3346" i="1"/>
  <c r="N3345" i="1"/>
  <c r="M3345" i="1"/>
  <c r="N3344" i="1"/>
  <c r="M3344" i="1"/>
  <c r="N3343" i="1"/>
  <c r="M3343" i="1"/>
  <c r="N3342" i="1"/>
  <c r="M3342" i="1"/>
  <c r="N3341" i="1"/>
  <c r="M3341" i="1"/>
  <c r="N3340" i="1"/>
  <c r="M3340" i="1"/>
  <c r="N3339" i="1"/>
  <c r="M3339" i="1"/>
  <c r="N3338" i="1"/>
  <c r="M3338" i="1"/>
  <c r="N3325" i="1"/>
  <c r="M3325" i="1"/>
  <c r="N3324" i="1"/>
  <c r="M3324" i="1"/>
  <c r="N3314" i="1"/>
  <c r="M3314" i="1"/>
  <c r="N3276" i="1"/>
  <c r="M3276" i="1"/>
  <c r="N3275" i="1"/>
  <c r="M3275" i="1"/>
  <c r="N3274" i="1"/>
  <c r="M3274" i="1"/>
  <c r="N3273" i="1"/>
  <c r="M3273" i="1"/>
  <c r="N3272" i="1"/>
  <c r="M3272" i="1"/>
  <c r="N3271" i="1"/>
  <c r="M3271" i="1"/>
  <c r="N3226" i="1"/>
  <c r="M3226" i="1"/>
  <c r="N3225" i="1"/>
  <c r="M3225" i="1"/>
  <c r="N3224" i="1"/>
  <c r="M3224" i="1"/>
  <c r="N3223" i="1"/>
  <c r="M3223" i="1"/>
  <c r="N3222" i="1"/>
  <c r="M3222" i="1"/>
  <c r="N3221" i="1"/>
  <c r="M3221" i="1"/>
  <c r="N3220" i="1"/>
  <c r="M3220" i="1"/>
  <c r="N3219" i="1"/>
  <c r="M3219" i="1"/>
  <c r="N3199" i="1"/>
  <c r="M3199" i="1"/>
  <c r="N3198" i="1"/>
  <c r="M3198" i="1"/>
  <c r="N3187" i="1"/>
  <c r="M3187" i="1"/>
  <c r="N3186" i="1"/>
  <c r="M3186" i="1"/>
  <c r="N3169" i="1"/>
  <c r="M3169" i="1"/>
  <c r="N3168" i="1"/>
  <c r="M3168" i="1"/>
  <c r="N3167" i="1"/>
  <c r="M3167" i="1"/>
  <c r="N3153" i="1"/>
  <c r="M3153" i="1"/>
  <c r="N3140" i="1"/>
  <c r="M3140" i="1"/>
  <c r="N3139" i="1"/>
  <c r="M3139" i="1"/>
  <c r="N3131" i="1"/>
  <c r="M3131" i="1"/>
  <c r="N3130" i="1"/>
  <c r="M3130" i="1"/>
  <c r="N3121" i="1"/>
  <c r="M3121" i="1"/>
  <c r="N3120" i="1"/>
  <c r="M3120" i="1"/>
  <c r="N3119" i="1"/>
  <c r="M3119" i="1"/>
  <c r="N3118" i="1"/>
  <c r="M3118" i="1"/>
  <c r="N3117" i="1"/>
  <c r="M3117" i="1"/>
  <c r="N3116" i="1"/>
  <c r="M3116" i="1"/>
  <c r="N3115" i="1"/>
  <c r="M3115" i="1"/>
  <c r="N3106" i="1"/>
  <c r="M3106" i="1"/>
  <c r="N3105" i="1"/>
  <c r="M3105" i="1"/>
  <c r="N3067" i="1"/>
  <c r="M3067" i="1"/>
  <c r="N3066" i="1"/>
  <c r="M3066" i="1"/>
  <c r="N3065" i="1"/>
  <c r="M3065" i="1"/>
  <c r="N3064" i="1"/>
  <c r="M3064" i="1"/>
  <c r="N3063" i="1"/>
  <c r="M3063" i="1"/>
  <c r="N3062" i="1"/>
  <c r="M3062" i="1"/>
  <c r="N3061" i="1"/>
  <c r="M3061" i="1"/>
  <c r="N3046" i="1"/>
  <c r="M3046" i="1"/>
  <c r="N3012" i="1"/>
  <c r="M3012" i="1"/>
  <c r="N3011" i="1"/>
  <c r="M3011" i="1"/>
  <c r="N3010" i="1"/>
  <c r="M3010" i="1"/>
  <c r="N3009" i="1"/>
  <c r="M3009" i="1"/>
  <c r="N3008" i="1"/>
  <c r="M3008" i="1"/>
  <c r="N3000" i="1"/>
  <c r="M3000" i="1"/>
  <c r="N2974" i="1"/>
  <c r="M2974" i="1"/>
  <c r="N2973" i="1"/>
  <c r="M2973" i="1"/>
  <c r="N2972" i="1"/>
  <c r="M2972" i="1"/>
  <c r="N2967" i="1"/>
  <c r="M2967" i="1"/>
  <c r="N2960" i="1"/>
  <c r="M2960" i="1"/>
  <c r="N3719" i="1"/>
  <c r="M3719" i="1"/>
  <c r="N3704" i="1"/>
  <c r="M3704" i="1"/>
  <c r="N3703" i="1"/>
  <c r="M3703" i="1"/>
  <c r="N3698" i="1"/>
  <c r="M3698" i="1"/>
  <c r="N3658" i="1"/>
  <c r="M3658" i="1"/>
  <c r="N3657" i="1"/>
  <c r="M3657" i="1"/>
  <c r="N3656" i="1"/>
  <c r="M3656" i="1"/>
  <c r="N3655" i="1"/>
  <c r="M3655" i="1"/>
  <c r="N3654" i="1"/>
  <c r="M3654" i="1"/>
  <c r="N3643" i="1"/>
  <c r="M3643" i="1"/>
  <c r="N3606" i="1"/>
  <c r="M3606" i="1"/>
  <c r="N3605" i="1"/>
  <c r="M3605" i="1"/>
  <c r="N3604" i="1"/>
  <c r="M3604" i="1"/>
  <c r="N3603" i="1"/>
  <c r="M3603" i="1"/>
  <c r="N3595" i="1"/>
  <c r="M3595" i="1"/>
  <c r="N3561" i="1"/>
  <c r="M3561" i="1"/>
  <c r="N3560" i="1"/>
  <c r="M3560" i="1"/>
  <c r="N3559" i="1"/>
  <c r="M3559" i="1"/>
  <c r="N3558" i="1"/>
  <c r="M3558" i="1"/>
  <c r="N3557" i="1"/>
  <c r="M3557" i="1"/>
  <c r="N3547" i="1"/>
  <c r="M3547" i="1"/>
  <c r="N3546" i="1"/>
  <c r="M3546" i="1"/>
  <c r="N3545" i="1"/>
  <c r="M3545" i="1"/>
  <c r="N3509" i="1"/>
  <c r="M3509" i="1"/>
  <c r="N3508" i="1"/>
  <c r="M3508" i="1"/>
  <c r="N3507" i="1"/>
  <c r="M3507" i="1"/>
  <c r="N3506" i="1"/>
  <c r="M3506" i="1"/>
  <c r="N3505" i="1"/>
  <c r="M3505" i="1"/>
  <c r="N3504" i="1"/>
  <c r="M3504" i="1"/>
  <c r="N3503" i="1"/>
  <c r="M3503" i="1"/>
  <c r="N3475" i="1"/>
  <c r="M3475" i="1"/>
  <c r="N3474" i="1"/>
  <c r="M3474" i="1"/>
  <c r="N3473" i="1"/>
  <c r="M3473" i="1"/>
  <c r="N3472" i="1"/>
  <c r="M3472" i="1"/>
  <c r="N3450" i="1"/>
  <c r="M3450" i="1"/>
  <c r="N3449" i="1"/>
  <c r="M3449" i="1"/>
  <c r="N3448" i="1"/>
  <c r="M3448" i="1"/>
  <c r="N3447" i="1"/>
  <c r="M3447" i="1"/>
  <c r="N3422" i="1"/>
  <c r="M3422" i="1"/>
  <c r="N3421" i="1"/>
  <c r="M3421" i="1"/>
  <c r="N3420" i="1"/>
  <c r="M3420" i="1"/>
  <c r="N3419" i="1"/>
  <c r="M3419" i="1"/>
  <c r="N3337" i="1"/>
  <c r="M3337" i="1"/>
  <c r="N3336" i="1"/>
  <c r="M3336" i="1"/>
  <c r="N3335" i="1"/>
  <c r="M3335" i="1"/>
  <c r="N3334" i="1"/>
  <c r="M3334" i="1"/>
  <c r="N3333" i="1"/>
  <c r="M3333" i="1"/>
  <c r="N3332" i="1"/>
  <c r="M3332" i="1"/>
  <c r="N3331" i="1"/>
  <c r="M3331" i="1"/>
  <c r="N3330" i="1"/>
  <c r="M3330" i="1"/>
  <c r="N3323" i="1"/>
  <c r="M3323" i="1"/>
  <c r="N3322" i="1"/>
  <c r="M3322" i="1"/>
  <c r="N3321" i="1"/>
  <c r="M3321" i="1"/>
  <c r="N3313" i="1"/>
  <c r="M3313" i="1"/>
  <c r="N3312" i="1"/>
  <c r="M3312" i="1"/>
  <c r="N3311" i="1"/>
  <c r="M3311" i="1"/>
  <c r="N3270" i="1"/>
  <c r="M3270" i="1"/>
  <c r="N3269" i="1"/>
  <c r="M3269" i="1"/>
  <c r="N3268" i="1"/>
  <c r="M3268" i="1"/>
  <c r="N3267" i="1"/>
  <c r="M3267" i="1"/>
  <c r="N3266" i="1"/>
  <c r="M3266" i="1"/>
  <c r="N3259" i="1"/>
  <c r="M3259" i="1"/>
  <c r="N3258" i="1"/>
  <c r="M3258" i="1"/>
  <c r="N3218" i="1"/>
  <c r="M3218" i="1"/>
  <c r="N3217" i="1"/>
  <c r="M3217" i="1"/>
  <c r="N3216" i="1"/>
  <c r="M3216" i="1"/>
  <c r="N3215" i="1"/>
  <c r="M3215" i="1"/>
  <c r="N3214" i="1"/>
  <c r="M3214" i="1"/>
  <c r="N3213" i="1"/>
  <c r="M3213" i="1"/>
  <c r="N3212" i="1"/>
  <c r="M3212" i="1"/>
  <c r="N3211" i="1"/>
  <c r="M3211" i="1"/>
  <c r="N3197" i="1"/>
  <c r="M3197" i="1"/>
  <c r="N3196" i="1"/>
  <c r="M3196" i="1"/>
  <c r="N3194" i="1"/>
  <c r="M3194" i="1"/>
  <c r="N3192" i="1"/>
  <c r="M3192" i="1"/>
  <c r="N3185" i="1"/>
  <c r="M3185" i="1"/>
  <c r="N3184" i="1"/>
  <c r="M3184" i="1"/>
  <c r="N3181" i="1"/>
  <c r="M3181" i="1"/>
  <c r="N3166" i="1"/>
  <c r="M3166" i="1"/>
  <c r="N3165" i="1"/>
  <c r="M3165" i="1"/>
  <c r="N3164" i="1"/>
  <c r="M3164" i="1"/>
  <c r="N3152" i="1"/>
  <c r="M3152" i="1"/>
  <c r="N3150" i="1"/>
  <c r="M3150" i="1"/>
  <c r="N3149" i="1"/>
  <c r="M3149" i="1"/>
  <c r="N3138" i="1"/>
  <c r="M3138" i="1"/>
  <c r="N3129" i="1"/>
  <c r="M3129" i="1"/>
  <c r="N3114" i="1"/>
  <c r="M3114" i="1"/>
  <c r="N3113" i="1"/>
  <c r="M3113" i="1"/>
  <c r="N3112" i="1"/>
  <c r="M3112" i="1"/>
  <c r="N3111" i="1"/>
  <c r="M3111" i="1"/>
  <c r="N3110" i="1"/>
  <c r="M3110" i="1"/>
  <c r="N3109" i="1"/>
  <c r="M3109" i="1"/>
  <c r="N3108" i="1"/>
  <c r="M3108" i="1"/>
  <c r="N3107" i="1"/>
  <c r="M3107" i="1"/>
  <c r="N3060" i="1"/>
  <c r="M3060" i="1"/>
  <c r="N3059" i="1"/>
  <c r="M3059" i="1"/>
  <c r="N3058" i="1"/>
  <c r="M3058" i="1"/>
  <c r="N3057" i="1"/>
  <c r="M3057" i="1"/>
  <c r="N3056" i="1"/>
  <c r="M3056" i="1"/>
  <c r="N3055" i="1"/>
  <c r="M3055" i="1"/>
  <c r="N3054" i="1"/>
  <c r="M3054" i="1"/>
  <c r="N3053" i="1"/>
  <c r="M3053" i="1"/>
  <c r="N3052" i="1"/>
  <c r="M3052" i="1"/>
  <c r="N3045" i="1"/>
  <c r="M3045" i="1"/>
  <c r="N3007" i="1"/>
  <c r="M3007" i="1"/>
  <c r="N3006" i="1"/>
  <c r="M3006" i="1"/>
  <c r="N3005" i="1"/>
  <c r="M3005" i="1"/>
  <c r="N3004" i="1"/>
  <c r="M3004" i="1"/>
  <c r="N3003" i="1"/>
  <c r="M3003" i="1"/>
  <c r="N3002" i="1"/>
  <c r="M3002" i="1"/>
  <c r="N2999" i="1"/>
  <c r="M2999" i="1"/>
  <c r="N2998" i="1"/>
  <c r="M2998" i="1"/>
  <c r="N2997" i="1"/>
  <c r="M2997" i="1"/>
  <c r="N2971" i="1"/>
  <c r="M2971" i="1"/>
  <c r="N2966" i="1"/>
  <c r="M2966" i="1"/>
  <c r="N2959" i="1"/>
  <c r="M2959" i="1"/>
  <c r="N2958" i="1"/>
  <c r="M2958" i="1"/>
  <c r="N2957" i="1"/>
  <c r="M2957" i="1"/>
  <c r="N2956" i="1"/>
  <c r="M2956" i="1"/>
  <c r="N2903" i="1"/>
  <c r="M2903" i="1"/>
  <c r="N2825" i="1"/>
  <c r="M2825" i="1"/>
  <c r="N2779" i="1"/>
  <c r="M2779" i="1"/>
  <c r="N2778" i="1"/>
  <c r="M2778" i="1"/>
  <c r="N2777" i="1"/>
  <c r="M2777" i="1"/>
  <c r="N2776" i="1"/>
  <c r="M2776" i="1"/>
  <c r="N2775" i="1"/>
  <c r="M2775" i="1"/>
  <c r="N2759" i="1"/>
  <c r="M2759" i="1"/>
  <c r="N2733" i="1"/>
  <c r="M2733" i="1"/>
  <c r="N2732" i="1"/>
  <c r="M2732" i="1"/>
  <c r="N2731" i="1"/>
  <c r="M2731" i="1"/>
  <c r="N2730" i="1"/>
  <c r="M2730" i="1"/>
  <c r="N2729" i="1"/>
  <c r="M2729" i="1"/>
  <c r="N2728" i="1"/>
  <c r="M2728" i="1"/>
  <c r="N2727" i="1"/>
  <c r="M2727" i="1"/>
  <c r="N2726" i="1"/>
  <c r="M2726" i="1"/>
  <c r="N2725" i="1"/>
  <c r="M2725" i="1"/>
  <c r="N2724" i="1"/>
  <c r="M2724" i="1"/>
  <c r="N2646" i="1"/>
  <c r="M2646" i="1"/>
  <c r="N2645" i="1"/>
  <c r="M2645" i="1"/>
  <c r="N2644" i="1"/>
  <c r="M2644" i="1"/>
  <c r="N2643" i="1"/>
  <c r="M2643" i="1"/>
  <c r="N2642" i="1"/>
  <c r="M2642" i="1"/>
  <c r="N2641" i="1"/>
  <c r="M2641" i="1"/>
  <c r="N2640" i="1"/>
  <c r="M2640" i="1"/>
  <c r="N2639" i="1"/>
  <c r="M2639" i="1"/>
  <c r="N2638" i="1"/>
  <c r="M2638" i="1"/>
  <c r="N2553" i="1"/>
  <c r="M2553" i="1"/>
  <c r="N2495" i="1"/>
  <c r="M2495" i="1"/>
  <c r="N2494" i="1"/>
  <c r="M2494" i="1"/>
  <c r="N2493" i="1"/>
  <c r="M2493" i="1"/>
  <c r="N2492" i="1"/>
  <c r="M2492" i="1"/>
  <c r="N2491" i="1"/>
  <c r="M2491" i="1"/>
  <c r="N2490" i="1"/>
  <c r="M2490" i="1"/>
  <c r="N2489" i="1"/>
  <c r="M2489" i="1"/>
  <c r="N2488" i="1"/>
  <c r="M2488" i="1"/>
  <c r="N2487" i="1"/>
  <c r="M2487" i="1"/>
  <c r="N2486" i="1"/>
  <c r="M2486" i="1"/>
  <c r="N2385" i="1"/>
  <c r="M2385" i="1"/>
  <c r="N2384" i="1"/>
  <c r="M2384" i="1"/>
  <c r="N2383" i="1"/>
  <c r="M2383" i="1"/>
  <c r="N2382" i="1"/>
  <c r="M2382" i="1"/>
  <c r="N2381" i="1"/>
  <c r="M2381" i="1"/>
  <c r="N2380" i="1"/>
  <c r="M2380" i="1"/>
  <c r="N2304" i="1"/>
  <c r="M2304" i="1"/>
  <c r="N2303" i="1"/>
  <c r="M2303" i="1"/>
  <c r="N2302" i="1"/>
  <c r="M2302" i="1"/>
  <c r="N2301" i="1"/>
  <c r="M2301" i="1"/>
  <c r="N2300" i="1"/>
  <c r="M2300" i="1"/>
  <c r="N2299" i="1"/>
  <c r="M2299" i="1"/>
  <c r="N2298" i="1"/>
  <c r="M2298" i="1"/>
  <c r="N2297" i="1"/>
  <c r="M2297" i="1"/>
  <c r="N2296" i="1"/>
  <c r="M2296" i="1"/>
  <c r="N2192" i="1"/>
  <c r="M2192" i="1"/>
  <c r="N2191" i="1"/>
  <c r="M2191" i="1"/>
  <c r="N2190" i="1"/>
  <c r="M2190" i="1"/>
  <c r="N2189" i="1"/>
  <c r="M2189" i="1"/>
  <c r="N2188" i="1"/>
  <c r="M2188" i="1"/>
  <c r="N2187" i="1"/>
  <c r="M2187" i="1"/>
  <c r="N2186" i="1"/>
  <c r="M2186" i="1"/>
  <c r="N2102" i="1"/>
  <c r="M2102" i="1"/>
  <c r="N2101" i="1"/>
  <c r="M2101" i="1"/>
  <c r="N2100" i="1"/>
  <c r="M2100" i="1"/>
  <c r="N2099" i="1"/>
  <c r="M2099" i="1"/>
  <c r="N2098" i="1"/>
  <c r="M2098" i="1"/>
  <c r="N2097" i="1"/>
  <c r="M2097" i="1"/>
  <c r="N2096" i="1"/>
  <c r="M2096" i="1"/>
  <c r="N2095" i="1"/>
  <c r="M2095" i="1"/>
  <c r="N1994" i="1"/>
  <c r="M1994" i="1"/>
  <c r="N1993" i="1"/>
  <c r="M1993" i="1"/>
  <c r="N1992" i="1"/>
  <c r="M1992" i="1"/>
  <c r="N1991" i="1"/>
  <c r="M1991" i="1"/>
  <c r="N1990" i="1"/>
  <c r="M1990" i="1"/>
  <c r="N1989" i="1"/>
  <c r="M1989" i="1"/>
  <c r="N1988" i="1"/>
  <c r="M1988" i="1"/>
  <c r="N1987" i="1"/>
  <c r="M1987" i="1"/>
  <c r="N1904" i="1"/>
  <c r="M1904" i="1"/>
  <c r="N1903" i="1"/>
  <c r="M1903" i="1"/>
  <c r="N1902" i="1"/>
  <c r="M1902" i="1"/>
  <c r="N1901" i="1"/>
  <c r="M1901" i="1"/>
  <c r="N1900" i="1"/>
  <c r="M1900" i="1"/>
  <c r="N1838" i="1"/>
  <c r="M1838" i="1"/>
  <c r="N1837" i="1"/>
  <c r="M1837" i="1"/>
  <c r="N1836" i="1"/>
  <c r="M1836" i="1"/>
  <c r="N1835" i="1"/>
  <c r="M1835" i="1"/>
  <c r="N1833" i="1"/>
  <c r="M1833" i="1"/>
  <c r="N1832" i="1"/>
  <c r="M1832" i="1"/>
  <c r="N1831" i="1"/>
  <c r="M1831" i="1"/>
  <c r="N1830" i="1"/>
  <c r="M1830" i="1"/>
  <c r="N1824" i="1"/>
  <c r="M1824" i="1"/>
  <c r="N1823" i="1"/>
  <c r="M1823" i="1"/>
  <c r="N1822" i="1"/>
  <c r="M1822" i="1"/>
  <c r="N1818" i="1"/>
  <c r="M1818" i="1"/>
  <c r="N1756" i="1"/>
  <c r="M1756" i="1"/>
  <c r="N1755" i="1"/>
  <c r="M1755" i="1"/>
  <c r="N1754" i="1"/>
  <c r="M1754" i="1"/>
  <c r="N1753" i="1"/>
  <c r="M1753" i="1"/>
  <c r="N1674" i="1"/>
  <c r="M1674" i="1"/>
  <c r="N1673" i="1"/>
  <c r="M1673" i="1"/>
  <c r="N1672" i="1"/>
  <c r="M1672" i="1"/>
  <c r="N1671" i="1"/>
  <c r="M1671" i="1"/>
  <c r="N1670" i="1"/>
  <c r="M1670" i="1"/>
  <c r="N1669" i="1"/>
  <c r="M1669" i="1"/>
  <c r="N1668" i="1"/>
  <c r="M1668" i="1"/>
  <c r="N1586" i="1"/>
  <c r="M1586" i="1"/>
  <c r="N1580" i="1"/>
  <c r="M1580" i="1"/>
  <c r="N1579" i="1"/>
  <c r="M1579" i="1"/>
  <c r="N1554" i="1"/>
  <c r="M1554" i="1"/>
  <c r="N1553" i="1"/>
  <c r="M1553" i="1"/>
  <c r="N1552" i="1"/>
  <c r="M1552" i="1"/>
  <c r="N1551" i="1"/>
  <c r="M1551" i="1"/>
  <c r="N1484" i="1"/>
  <c r="M1484" i="1"/>
  <c r="N1483" i="1"/>
  <c r="M1483" i="1"/>
  <c r="N1482" i="1"/>
  <c r="M1482" i="1"/>
  <c r="N1481" i="1"/>
  <c r="M1481" i="1"/>
  <c r="N1480" i="1"/>
  <c r="M1480" i="1"/>
  <c r="N1479" i="1"/>
  <c r="M1479" i="1"/>
  <c r="N1478" i="1"/>
  <c r="M1478" i="1"/>
  <c r="N1477" i="1"/>
  <c r="M1477" i="1"/>
  <c r="N1394" i="1"/>
  <c r="M1394" i="1"/>
  <c r="N1393" i="1"/>
  <c r="M1393" i="1"/>
  <c r="N1392" i="1"/>
  <c r="M1392" i="1"/>
  <c r="N1391" i="1"/>
  <c r="M1391" i="1"/>
  <c r="N1390" i="1"/>
  <c r="M1390" i="1"/>
  <c r="N1389" i="1"/>
  <c r="M1389" i="1"/>
  <c r="N1388" i="1"/>
  <c r="M1388" i="1"/>
  <c r="N1305" i="1"/>
  <c r="M1305" i="1"/>
  <c r="N2902" i="1"/>
  <c r="M2902" i="1"/>
  <c r="N2824" i="1"/>
  <c r="M2824" i="1"/>
  <c r="N2823" i="1"/>
  <c r="M2823" i="1"/>
  <c r="N2822" i="1"/>
  <c r="M2822" i="1"/>
  <c r="N2774" i="1"/>
  <c r="M2774" i="1"/>
  <c r="N2773" i="1"/>
  <c r="M2773" i="1"/>
  <c r="N2637" i="1"/>
  <c r="M2637" i="1"/>
  <c r="N2636" i="1"/>
  <c r="M2636" i="1"/>
  <c r="N2635" i="1"/>
  <c r="M2635" i="1"/>
  <c r="N2634" i="1"/>
  <c r="M2634" i="1"/>
  <c r="N2633" i="1"/>
  <c r="M2633" i="1"/>
  <c r="N2632" i="1"/>
  <c r="M2632" i="1"/>
  <c r="N2485" i="1"/>
  <c r="M2485" i="1"/>
  <c r="N2484" i="1"/>
  <c r="M2484" i="1"/>
  <c r="N2483" i="1"/>
  <c r="M2483" i="1"/>
  <c r="N2482" i="1"/>
  <c r="M2482" i="1"/>
  <c r="N2481" i="1"/>
  <c r="M2481" i="1"/>
  <c r="N2480" i="1"/>
  <c r="M2480" i="1"/>
  <c r="N2479" i="1"/>
  <c r="M2479" i="1"/>
  <c r="N2478" i="1"/>
  <c r="M2478" i="1"/>
  <c r="N2477" i="1"/>
  <c r="M2477" i="1"/>
  <c r="N2476" i="1"/>
  <c r="M2476" i="1"/>
  <c r="N2379" i="1"/>
  <c r="M2379" i="1"/>
  <c r="N2378" i="1"/>
  <c r="M2378" i="1"/>
  <c r="N2377" i="1"/>
  <c r="M2377" i="1"/>
  <c r="N2376" i="1"/>
  <c r="M2376" i="1"/>
  <c r="N2375" i="1"/>
  <c r="M2375" i="1"/>
  <c r="N2374" i="1"/>
  <c r="M2374" i="1"/>
  <c r="N2373" i="1"/>
  <c r="M2373" i="1"/>
  <c r="N2295" i="1"/>
  <c r="M2295" i="1"/>
  <c r="N2294" i="1"/>
  <c r="M2294" i="1"/>
  <c r="N2293" i="1"/>
  <c r="M2293" i="1"/>
  <c r="N2292" i="1"/>
  <c r="M2292" i="1"/>
  <c r="N2291" i="1"/>
  <c r="M2291" i="1"/>
  <c r="N2290" i="1"/>
  <c r="M2290" i="1"/>
  <c r="N2289" i="1"/>
  <c r="M2289" i="1"/>
  <c r="N2288" i="1"/>
  <c r="M2288" i="1"/>
  <c r="N2185" i="1"/>
  <c r="M2185" i="1"/>
  <c r="N2184" i="1"/>
  <c r="M2184" i="1"/>
  <c r="N2183" i="1"/>
  <c r="M2183" i="1"/>
  <c r="N2182" i="1"/>
  <c r="M2182" i="1"/>
  <c r="N2181" i="1"/>
  <c r="M2181" i="1"/>
  <c r="N2180" i="1"/>
  <c r="M2180" i="1"/>
  <c r="N2179" i="1"/>
  <c r="M2179" i="1"/>
  <c r="N2094" i="1"/>
  <c r="M2094" i="1"/>
  <c r="N2093" i="1"/>
  <c r="M2093" i="1"/>
  <c r="N2092" i="1"/>
  <c r="M2092" i="1"/>
  <c r="N2091" i="1"/>
  <c r="M2091" i="1"/>
  <c r="N2090" i="1"/>
  <c r="M2090" i="1"/>
  <c r="N2089" i="1"/>
  <c r="M2089" i="1"/>
  <c r="N2088" i="1"/>
  <c r="M2088" i="1"/>
  <c r="N2087" i="1"/>
  <c r="M2087" i="1"/>
  <c r="N2086" i="1"/>
  <c r="M2086" i="1"/>
  <c r="N1986" i="1"/>
  <c r="M1986" i="1"/>
  <c r="N1985" i="1"/>
  <c r="M1985" i="1"/>
  <c r="N1984" i="1"/>
  <c r="M1984" i="1"/>
  <c r="N1983" i="1"/>
  <c r="M1983" i="1"/>
  <c r="N1982" i="1"/>
  <c r="M1982" i="1"/>
  <c r="N1981" i="1"/>
  <c r="M1981" i="1"/>
  <c r="N1899" i="1"/>
  <c r="M1899" i="1"/>
  <c r="N1898" i="1"/>
  <c r="M1898" i="1"/>
  <c r="N1897" i="1"/>
  <c r="M1897" i="1"/>
  <c r="N1896" i="1"/>
  <c r="M1896" i="1"/>
  <c r="N1834" i="1"/>
  <c r="M1834" i="1"/>
  <c r="N1829" i="1"/>
  <c r="M1829" i="1"/>
  <c r="N1828" i="1"/>
  <c r="M1828" i="1"/>
  <c r="N1827" i="1"/>
  <c r="M1827" i="1"/>
  <c r="N1826" i="1"/>
  <c r="M1826" i="1"/>
  <c r="N1825" i="1"/>
  <c r="M1825" i="1"/>
  <c r="N1821" i="1"/>
  <c r="M1821" i="1"/>
  <c r="N1820" i="1"/>
  <c r="M1820" i="1"/>
  <c r="N1819" i="1"/>
  <c r="M1819" i="1"/>
  <c r="N1817" i="1"/>
  <c r="M1817" i="1"/>
  <c r="N1752" i="1"/>
  <c r="M1752" i="1"/>
  <c r="N1751" i="1"/>
  <c r="M1751" i="1"/>
  <c r="N1750" i="1"/>
  <c r="M1750" i="1"/>
  <c r="N1749" i="1"/>
  <c r="M1749" i="1"/>
  <c r="N1667" i="1"/>
  <c r="M1667" i="1"/>
  <c r="N1666" i="1"/>
  <c r="M1666" i="1"/>
  <c r="N1665" i="1"/>
  <c r="M1665" i="1"/>
  <c r="N1664" i="1"/>
  <c r="M1664" i="1"/>
  <c r="N1663" i="1"/>
  <c r="M1663" i="1"/>
  <c r="N1662" i="1"/>
  <c r="M1662" i="1"/>
  <c r="N1661" i="1"/>
  <c r="M1661" i="1"/>
  <c r="N1585" i="1"/>
  <c r="M1585" i="1"/>
  <c r="N1578" i="1"/>
  <c r="M1578" i="1"/>
  <c r="N1550" i="1"/>
  <c r="M1550" i="1"/>
  <c r="N1549" i="1"/>
  <c r="M1549" i="1"/>
  <c r="N1526" i="1"/>
  <c r="M1526" i="1"/>
  <c r="N1525" i="1"/>
  <c r="M1525" i="1"/>
  <c r="N1524" i="1"/>
  <c r="M1524" i="1"/>
  <c r="N1523" i="1"/>
  <c r="M1523" i="1"/>
  <c r="N1522" i="1"/>
  <c r="M1522" i="1"/>
  <c r="N1476" i="1"/>
  <c r="M1476" i="1"/>
  <c r="N1475" i="1"/>
  <c r="M1475" i="1"/>
  <c r="N1474" i="1"/>
  <c r="M1474" i="1"/>
  <c r="N1473" i="1"/>
  <c r="M1473" i="1"/>
  <c r="N1472" i="1"/>
  <c r="M1472" i="1"/>
  <c r="N1471" i="1"/>
  <c r="M1471" i="1"/>
  <c r="N1470" i="1"/>
  <c r="M1470" i="1"/>
  <c r="N1469" i="1"/>
  <c r="M1469" i="1"/>
  <c r="N1387" i="1"/>
  <c r="M1387" i="1"/>
  <c r="N1386" i="1"/>
  <c r="M1386" i="1"/>
  <c r="N1385" i="1"/>
  <c r="M1385" i="1"/>
  <c r="N1384" i="1"/>
  <c r="M1384" i="1"/>
  <c r="N1383" i="1"/>
  <c r="M1383" i="1"/>
  <c r="N1334" i="1"/>
  <c r="M1334" i="1"/>
  <c r="N1304" i="1"/>
  <c r="M1304" i="1"/>
  <c r="N1296" i="1"/>
  <c r="M1296" i="1"/>
  <c r="N1279" i="1"/>
  <c r="M1279" i="1"/>
  <c r="N1278" i="1"/>
  <c r="M1278" i="1"/>
  <c r="N2901" i="1"/>
  <c r="M2901" i="1"/>
  <c r="N2900" i="1"/>
  <c r="M2900" i="1"/>
  <c r="N2899" i="1"/>
  <c r="M2899" i="1"/>
  <c r="N2898" i="1"/>
  <c r="M2898" i="1"/>
  <c r="N2821" i="1"/>
  <c r="M2821" i="1"/>
  <c r="N2820" i="1"/>
  <c r="M2820" i="1"/>
  <c r="N2819" i="1"/>
  <c r="M2819" i="1"/>
  <c r="N2818" i="1"/>
  <c r="M2818" i="1"/>
  <c r="N2817" i="1"/>
  <c r="M2817" i="1"/>
  <c r="N2816" i="1"/>
  <c r="M2816" i="1"/>
  <c r="N2772" i="1"/>
  <c r="M2772" i="1"/>
  <c r="N2771" i="1"/>
  <c r="M2771" i="1"/>
  <c r="N2758" i="1"/>
  <c r="M2758" i="1"/>
  <c r="N2757" i="1"/>
  <c r="M2757" i="1"/>
  <c r="N2723" i="1"/>
  <c r="M2723" i="1"/>
  <c r="N2722" i="1"/>
  <c r="M2722" i="1"/>
  <c r="N2721" i="1"/>
  <c r="M2721" i="1"/>
  <c r="N2720" i="1"/>
  <c r="M2720" i="1"/>
  <c r="N2719" i="1"/>
  <c r="M2719" i="1"/>
  <c r="N2631" i="1"/>
  <c r="M2631" i="1"/>
  <c r="N2630" i="1"/>
  <c r="M2630" i="1"/>
  <c r="N2629" i="1"/>
  <c r="M2629" i="1"/>
  <c r="N2628" i="1"/>
  <c r="M2628" i="1"/>
  <c r="N2627" i="1"/>
  <c r="M2627" i="1"/>
  <c r="N2556" i="1"/>
  <c r="M2556" i="1"/>
  <c r="N2475" i="1"/>
  <c r="M2475" i="1"/>
  <c r="N2474" i="1"/>
  <c r="M2474" i="1"/>
  <c r="N2473" i="1"/>
  <c r="M2473" i="1"/>
  <c r="N2472" i="1"/>
  <c r="M2472" i="1"/>
  <c r="N2471" i="1"/>
  <c r="M2471" i="1"/>
  <c r="N2470" i="1"/>
  <c r="M2470" i="1"/>
  <c r="N2469" i="1"/>
  <c r="M2469" i="1"/>
  <c r="N2468" i="1"/>
  <c r="M2468" i="1"/>
  <c r="N2372" i="1"/>
  <c r="M2372" i="1"/>
  <c r="N2371" i="1"/>
  <c r="M2371" i="1"/>
  <c r="N2370" i="1"/>
  <c r="M2370" i="1"/>
  <c r="N2369" i="1"/>
  <c r="M2369" i="1"/>
  <c r="N2368" i="1"/>
  <c r="M2368" i="1"/>
  <c r="N2367" i="1"/>
  <c r="M2367" i="1"/>
  <c r="N2366" i="1"/>
  <c r="M2366" i="1"/>
  <c r="N2365" i="1"/>
  <c r="M2365" i="1"/>
  <c r="N2287" i="1"/>
  <c r="M2287" i="1"/>
  <c r="N2286" i="1"/>
  <c r="M2286" i="1"/>
  <c r="N2285" i="1"/>
  <c r="M2285" i="1"/>
  <c r="N2284" i="1"/>
  <c r="M2284" i="1"/>
  <c r="N2283" i="1"/>
  <c r="M2283" i="1"/>
  <c r="N2282" i="1"/>
  <c r="M2282" i="1"/>
  <c r="N2281" i="1"/>
  <c r="M2281" i="1"/>
  <c r="N2178" i="1"/>
  <c r="M2178" i="1"/>
  <c r="N2177" i="1"/>
  <c r="M2177" i="1"/>
  <c r="N2176" i="1"/>
  <c r="M2176" i="1"/>
  <c r="N2175" i="1"/>
  <c r="M2175" i="1"/>
  <c r="N2174" i="1"/>
  <c r="M2174" i="1"/>
  <c r="N2173" i="1"/>
  <c r="M2173" i="1"/>
  <c r="N2172" i="1"/>
  <c r="M2172" i="1"/>
  <c r="N2085" i="1"/>
  <c r="M2085" i="1"/>
  <c r="N2084" i="1"/>
  <c r="M2084" i="1"/>
  <c r="N2083" i="1"/>
  <c r="M2083" i="1"/>
  <c r="N2082" i="1"/>
  <c r="M2082" i="1"/>
  <c r="N2081" i="1"/>
  <c r="M2081" i="1"/>
  <c r="N2080" i="1"/>
  <c r="M2080" i="1"/>
  <c r="N2079" i="1"/>
  <c r="M2079" i="1"/>
  <c r="N2078" i="1"/>
  <c r="M2078" i="1"/>
  <c r="N2077" i="1"/>
  <c r="M2077" i="1"/>
  <c r="N2076" i="1"/>
  <c r="M2076" i="1"/>
  <c r="N1980" i="1"/>
  <c r="M1980" i="1"/>
  <c r="N1979" i="1"/>
  <c r="M1979" i="1"/>
  <c r="N1978" i="1"/>
  <c r="M1978" i="1"/>
  <c r="N1977" i="1"/>
  <c r="M1977" i="1"/>
  <c r="N1976" i="1"/>
  <c r="M1976" i="1"/>
  <c r="N1975" i="1"/>
  <c r="M1975" i="1"/>
  <c r="N1974" i="1"/>
  <c r="M1974" i="1"/>
  <c r="N1973" i="1"/>
  <c r="M1973" i="1"/>
  <c r="N1972" i="1"/>
  <c r="M1972" i="1"/>
  <c r="N1971" i="1"/>
  <c r="M1971" i="1"/>
  <c r="N1895" i="1"/>
  <c r="M1895" i="1"/>
  <c r="N1894" i="1"/>
  <c r="M1894" i="1"/>
  <c r="N1893" i="1"/>
  <c r="M1893" i="1"/>
  <c r="N1892" i="1"/>
  <c r="M1892" i="1"/>
  <c r="N1891" i="1"/>
  <c r="M1891" i="1"/>
  <c r="N1890" i="1"/>
  <c r="M1890" i="1"/>
  <c r="N1889" i="1"/>
  <c r="M1889" i="1"/>
  <c r="N1888" i="1"/>
  <c r="M1888" i="1"/>
  <c r="N1816" i="1"/>
  <c r="M1816" i="1"/>
  <c r="N1815" i="1"/>
  <c r="M1815" i="1"/>
  <c r="N1814" i="1"/>
  <c r="M1814" i="1"/>
  <c r="N1813" i="1"/>
  <c r="M1813" i="1"/>
  <c r="N1812" i="1"/>
  <c r="M1812" i="1"/>
  <c r="N1811" i="1"/>
  <c r="M1811" i="1"/>
  <c r="N1748" i="1"/>
  <c r="M1748" i="1"/>
  <c r="N1747" i="1"/>
  <c r="M1747" i="1"/>
  <c r="N1746" i="1"/>
  <c r="M1746" i="1"/>
  <c r="N1745" i="1"/>
  <c r="M1745" i="1"/>
  <c r="N1744" i="1"/>
  <c r="M1744" i="1"/>
  <c r="N1660" i="1"/>
  <c r="M1660" i="1"/>
  <c r="N1659" i="1"/>
  <c r="M1659" i="1"/>
  <c r="N1658" i="1"/>
  <c r="M1658" i="1"/>
  <c r="N1657" i="1"/>
  <c r="M1657" i="1"/>
  <c r="N1656" i="1"/>
  <c r="M1656" i="1"/>
  <c r="N1655" i="1"/>
  <c r="M1655" i="1"/>
  <c r="N1654" i="1"/>
  <c r="M1654" i="1"/>
  <c r="N1583" i="1"/>
  <c r="M1583" i="1"/>
  <c r="N1582" i="1"/>
  <c r="M1582" i="1"/>
  <c r="N1581" i="1"/>
  <c r="M1581" i="1"/>
  <c r="N1577" i="1"/>
  <c r="M1577" i="1"/>
  <c r="N1576" i="1"/>
  <c r="M1576" i="1"/>
  <c r="N1548" i="1"/>
  <c r="M1548" i="1"/>
  <c r="N1547" i="1"/>
  <c r="M1547" i="1"/>
  <c r="N1521" i="1"/>
  <c r="M1521" i="1"/>
  <c r="N1520" i="1"/>
  <c r="M1520" i="1"/>
  <c r="N1468" i="1"/>
  <c r="M1468" i="1"/>
  <c r="N1467" i="1"/>
  <c r="M1467" i="1"/>
  <c r="N1466" i="1"/>
  <c r="M1466" i="1"/>
  <c r="N1465" i="1"/>
  <c r="M1465" i="1"/>
  <c r="N1464" i="1"/>
  <c r="M1464" i="1"/>
  <c r="N1463" i="1"/>
  <c r="M1463" i="1"/>
  <c r="N1462" i="1"/>
  <c r="M1462" i="1"/>
  <c r="N1461" i="1"/>
  <c r="M1461" i="1"/>
  <c r="N1382" i="1"/>
  <c r="M1382" i="1"/>
  <c r="N1381" i="1"/>
  <c r="M1381" i="1"/>
  <c r="N1380" i="1"/>
  <c r="M1380" i="1"/>
  <c r="N1379" i="1"/>
  <c r="M1379" i="1"/>
  <c r="N1333" i="1"/>
  <c r="M1333" i="1"/>
  <c r="N1295" i="1"/>
  <c r="M1295" i="1"/>
  <c r="N1294" i="1"/>
  <c r="M1294" i="1"/>
  <c r="N1277" i="1"/>
  <c r="M1277" i="1"/>
  <c r="N1262" i="1"/>
  <c r="M1262" i="1"/>
  <c r="N1261" i="1"/>
  <c r="M1261" i="1"/>
  <c r="N2897" i="1"/>
  <c r="M2897" i="1"/>
  <c r="N2896" i="1"/>
  <c r="M2896" i="1"/>
  <c r="N2770" i="1"/>
  <c r="M2770" i="1"/>
  <c r="N2769" i="1"/>
  <c r="M2769" i="1"/>
  <c r="N2756" i="1"/>
  <c r="M2756" i="1"/>
  <c r="N2755" i="1"/>
  <c r="M2755" i="1"/>
  <c r="N2718" i="1"/>
  <c r="M2718" i="1"/>
  <c r="N2717" i="1"/>
  <c r="M2717" i="1"/>
  <c r="N2716" i="1"/>
  <c r="M2716" i="1"/>
  <c r="N2715" i="1"/>
  <c r="M2715" i="1"/>
  <c r="N2714" i="1"/>
  <c r="M2714" i="1"/>
  <c r="N2626" i="1"/>
  <c r="M2626" i="1"/>
  <c r="N2625" i="1"/>
  <c r="M2625" i="1"/>
  <c r="N2624" i="1"/>
  <c r="M2624" i="1"/>
  <c r="N2623" i="1"/>
  <c r="M2623" i="1"/>
  <c r="N2622" i="1"/>
  <c r="M2622" i="1"/>
  <c r="N2621" i="1"/>
  <c r="M2621" i="1"/>
  <c r="N2620" i="1"/>
  <c r="M2620" i="1"/>
  <c r="N2552" i="1"/>
  <c r="M2552" i="1"/>
  <c r="N2467" i="1"/>
  <c r="M2467" i="1"/>
  <c r="N2466" i="1"/>
  <c r="M2466" i="1"/>
  <c r="N2465" i="1"/>
  <c r="M2465" i="1"/>
  <c r="N2464" i="1"/>
  <c r="M2464" i="1"/>
  <c r="N2463" i="1"/>
  <c r="M2463" i="1"/>
  <c r="N2462" i="1"/>
  <c r="M2462" i="1"/>
  <c r="N2461" i="1"/>
  <c r="M2461" i="1"/>
  <c r="N2460" i="1"/>
  <c r="M2460" i="1"/>
  <c r="N2364" i="1"/>
  <c r="M2364" i="1"/>
  <c r="N2363" i="1"/>
  <c r="M2363" i="1"/>
  <c r="N2362" i="1"/>
  <c r="M2362" i="1"/>
  <c r="N2361" i="1"/>
  <c r="M2361" i="1"/>
  <c r="N2360" i="1"/>
  <c r="M2360" i="1"/>
  <c r="N2359" i="1"/>
  <c r="M2359" i="1"/>
  <c r="N2358" i="1"/>
  <c r="M2358" i="1"/>
  <c r="N2280" i="1"/>
  <c r="M2280" i="1"/>
  <c r="N2279" i="1"/>
  <c r="M2279" i="1"/>
  <c r="N2278" i="1"/>
  <c r="M2278" i="1"/>
  <c r="N2277" i="1"/>
  <c r="M2277" i="1"/>
  <c r="N2276" i="1"/>
  <c r="M2276" i="1"/>
  <c r="N2275" i="1"/>
  <c r="M2275" i="1"/>
  <c r="N2274" i="1"/>
  <c r="M2274" i="1"/>
  <c r="N2273" i="1"/>
  <c r="M2273" i="1"/>
  <c r="N2272" i="1"/>
  <c r="M2272" i="1"/>
  <c r="N2271" i="1"/>
  <c r="M2271" i="1"/>
  <c r="N2171" i="1"/>
  <c r="M2171" i="1"/>
  <c r="N2170" i="1"/>
  <c r="M2170" i="1"/>
  <c r="N2169" i="1"/>
  <c r="M2169" i="1"/>
  <c r="N2168" i="1"/>
  <c r="M2168" i="1"/>
  <c r="N2167" i="1"/>
  <c r="M2167" i="1"/>
  <c r="N2166" i="1"/>
  <c r="M2166" i="1"/>
  <c r="N2165" i="1"/>
  <c r="M2165" i="1"/>
  <c r="N2164" i="1"/>
  <c r="M2164" i="1"/>
  <c r="N2075" i="1"/>
  <c r="M2075" i="1"/>
  <c r="N2074" i="1"/>
  <c r="M2074" i="1"/>
  <c r="N2073" i="1"/>
  <c r="M2073" i="1"/>
  <c r="N2072" i="1"/>
  <c r="M2072" i="1"/>
  <c r="N2071" i="1"/>
  <c r="M2071" i="1"/>
  <c r="N2070" i="1"/>
  <c r="M2070" i="1"/>
  <c r="N2069" i="1"/>
  <c r="M2069" i="1"/>
  <c r="N2068" i="1"/>
  <c r="M2068" i="1"/>
  <c r="N2067" i="1"/>
  <c r="M2067" i="1"/>
  <c r="N1970" i="1"/>
  <c r="M1970" i="1"/>
  <c r="N1969" i="1"/>
  <c r="M1969" i="1"/>
  <c r="N1968" i="1"/>
  <c r="M1968" i="1"/>
  <c r="N1967" i="1"/>
  <c r="M1967" i="1"/>
  <c r="N1966" i="1"/>
  <c r="M1966" i="1"/>
  <c r="N1965" i="1"/>
  <c r="M1965" i="1"/>
  <c r="N1964" i="1"/>
  <c r="M1964" i="1"/>
  <c r="N1887" i="1"/>
  <c r="M1887" i="1"/>
  <c r="N1886" i="1"/>
  <c r="M1886" i="1"/>
  <c r="N1885" i="1"/>
  <c r="M1885" i="1"/>
  <c r="N1884" i="1"/>
  <c r="M1884" i="1"/>
  <c r="N1810" i="1"/>
  <c r="M1810" i="1"/>
  <c r="N1809" i="1"/>
  <c r="M1809" i="1"/>
  <c r="N1808" i="1"/>
  <c r="M1808" i="1"/>
  <c r="N1807" i="1"/>
  <c r="M1807" i="1"/>
  <c r="N1806" i="1"/>
  <c r="M1806" i="1"/>
  <c r="N1805" i="1"/>
  <c r="M1805" i="1"/>
  <c r="N1743" i="1"/>
  <c r="M1743" i="1"/>
  <c r="N1742" i="1"/>
  <c r="M1742" i="1"/>
  <c r="N1741" i="1"/>
  <c r="M1741" i="1"/>
  <c r="N1740" i="1"/>
  <c r="M1740" i="1"/>
  <c r="N1739" i="1"/>
  <c r="M1739" i="1"/>
  <c r="N1738" i="1"/>
  <c r="M1738" i="1"/>
  <c r="N1737" i="1"/>
  <c r="M1737" i="1"/>
  <c r="N1653" i="1"/>
  <c r="M1653" i="1"/>
  <c r="N1652" i="1"/>
  <c r="M1652" i="1"/>
  <c r="N1651" i="1"/>
  <c r="M1651" i="1"/>
  <c r="N1650" i="1"/>
  <c r="M1650" i="1"/>
  <c r="N1649" i="1"/>
  <c r="M1649" i="1"/>
  <c r="N1648" i="1"/>
  <c r="M1648" i="1"/>
  <c r="N1647" i="1"/>
  <c r="M1647" i="1"/>
  <c r="N1584" i="1"/>
  <c r="M1584" i="1"/>
  <c r="N1575" i="1"/>
  <c r="M1575" i="1"/>
  <c r="N1574" i="1"/>
  <c r="M1574" i="1"/>
  <c r="N1546" i="1"/>
  <c r="M1546" i="1"/>
  <c r="N1545" i="1"/>
  <c r="M1545" i="1"/>
  <c r="N1519" i="1"/>
  <c r="M1519" i="1"/>
  <c r="N1518" i="1"/>
  <c r="M1518" i="1"/>
  <c r="N1460" i="1"/>
  <c r="M1460" i="1"/>
  <c r="N1459" i="1"/>
  <c r="M1459" i="1"/>
  <c r="N1458" i="1"/>
  <c r="M1458" i="1"/>
  <c r="N1457" i="1"/>
  <c r="M1457" i="1"/>
  <c r="N1456" i="1"/>
  <c r="M1456" i="1"/>
  <c r="N1378" i="1"/>
  <c r="M1378" i="1"/>
  <c r="N1377" i="1"/>
  <c r="M1377" i="1"/>
  <c r="N1376" i="1"/>
  <c r="M1376" i="1"/>
  <c r="N1319" i="1"/>
  <c r="M1319" i="1"/>
  <c r="N1293" i="1"/>
  <c r="M1293" i="1"/>
  <c r="N1276" i="1"/>
  <c r="M1276" i="1"/>
  <c r="N2895" i="1"/>
  <c r="M2895" i="1"/>
  <c r="N2894" i="1"/>
  <c r="M2894" i="1"/>
  <c r="N2893" i="1"/>
  <c r="M2893" i="1"/>
  <c r="N2892" i="1"/>
  <c r="M2892" i="1"/>
  <c r="N2891" i="1"/>
  <c r="M2891" i="1"/>
  <c r="N2768" i="1"/>
  <c r="M2768" i="1"/>
  <c r="N2767" i="1"/>
  <c r="M2767" i="1"/>
  <c r="N2754" i="1"/>
  <c r="M2754" i="1"/>
  <c r="N2753" i="1"/>
  <c r="M2753" i="1"/>
  <c r="N2713" i="1"/>
  <c r="M2713" i="1"/>
  <c r="N2712" i="1"/>
  <c r="M2712" i="1"/>
  <c r="N2711" i="1"/>
  <c r="M2711" i="1"/>
  <c r="N2710" i="1"/>
  <c r="M2710" i="1"/>
  <c r="N2709" i="1"/>
  <c r="M2709" i="1"/>
  <c r="N2708" i="1"/>
  <c r="M2708" i="1"/>
  <c r="N2707" i="1"/>
  <c r="M2707" i="1"/>
  <c r="N2619" i="1"/>
  <c r="M2619" i="1"/>
  <c r="N2618" i="1"/>
  <c r="M2618" i="1"/>
  <c r="N2617" i="1"/>
  <c r="M2617" i="1"/>
  <c r="N2616" i="1"/>
  <c r="M2616" i="1"/>
  <c r="N2615" i="1"/>
  <c r="M2615" i="1"/>
  <c r="N2614" i="1"/>
  <c r="M2614" i="1"/>
  <c r="N2613" i="1"/>
  <c r="M2613" i="1"/>
  <c r="N2612" i="1"/>
  <c r="M2612" i="1"/>
  <c r="N2611" i="1"/>
  <c r="M2611" i="1"/>
  <c r="N2459" i="1"/>
  <c r="M2459" i="1"/>
  <c r="N2458" i="1"/>
  <c r="M2458" i="1"/>
  <c r="N2457" i="1"/>
  <c r="M2457" i="1"/>
  <c r="N2456" i="1"/>
  <c r="M2456" i="1"/>
  <c r="N2455" i="1"/>
  <c r="M2455" i="1"/>
  <c r="N2357" i="1"/>
  <c r="M2357" i="1"/>
  <c r="N2356" i="1"/>
  <c r="M2356" i="1"/>
  <c r="N2355" i="1"/>
  <c r="M2355" i="1"/>
  <c r="N2354" i="1"/>
  <c r="M2354" i="1"/>
  <c r="N2270" i="1"/>
  <c r="M2270" i="1"/>
  <c r="N2269" i="1"/>
  <c r="M2269" i="1"/>
  <c r="N2268" i="1"/>
  <c r="M2268" i="1"/>
  <c r="N2267" i="1"/>
  <c r="M2267" i="1"/>
  <c r="N2266" i="1"/>
  <c r="M2266" i="1"/>
  <c r="N2265" i="1"/>
  <c r="M2265" i="1"/>
  <c r="N2264" i="1"/>
  <c r="M2264" i="1"/>
  <c r="N2263" i="1"/>
  <c r="M2263" i="1"/>
  <c r="N2262" i="1"/>
  <c r="M2262" i="1"/>
  <c r="N2261" i="1"/>
  <c r="M2261" i="1"/>
  <c r="N2163" i="1"/>
  <c r="M2163" i="1"/>
  <c r="N2162" i="1"/>
  <c r="M2162" i="1"/>
  <c r="N2161" i="1"/>
  <c r="M2161" i="1"/>
  <c r="N2160" i="1"/>
  <c r="M2160" i="1"/>
  <c r="N2159" i="1"/>
  <c r="M2159" i="1"/>
  <c r="N2158" i="1"/>
  <c r="M2158" i="1"/>
  <c r="N2157" i="1"/>
  <c r="M2157" i="1"/>
  <c r="N2066" i="1"/>
  <c r="M2066" i="1"/>
  <c r="N2065" i="1"/>
  <c r="M2065" i="1"/>
  <c r="N2064" i="1"/>
  <c r="M2064" i="1"/>
  <c r="N2063" i="1"/>
  <c r="M2063" i="1"/>
  <c r="N2062" i="1"/>
  <c r="M2062" i="1"/>
  <c r="N2061" i="1"/>
  <c r="M2061" i="1"/>
  <c r="N2060" i="1"/>
  <c r="M2060" i="1"/>
  <c r="N2059" i="1"/>
  <c r="M2059" i="1"/>
  <c r="N1963" i="1"/>
  <c r="M1963" i="1"/>
  <c r="N1962" i="1"/>
  <c r="M1962" i="1"/>
  <c r="N1961" i="1"/>
  <c r="M1961" i="1"/>
  <c r="N1960" i="1"/>
  <c r="M1960" i="1"/>
  <c r="N1959" i="1"/>
  <c r="M1959" i="1"/>
  <c r="N1958" i="1"/>
  <c r="M1958" i="1"/>
  <c r="N1957" i="1"/>
  <c r="M1957" i="1"/>
  <c r="N1956" i="1"/>
  <c r="M1956" i="1"/>
  <c r="N1883" i="1"/>
  <c r="M1883" i="1"/>
  <c r="N1882" i="1"/>
  <c r="M1882" i="1"/>
  <c r="N1881" i="1"/>
  <c r="M1881" i="1"/>
  <c r="N1804" i="1"/>
  <c r="M1804" i="1"/>
  <c r="N1803" i="1"/>
  <c r="M1803" i="1"/>
  <c r="N1802" i="1"/>
  <c r="M1802" i="1"/>
  <c r="N1801" i="1"/>
  <c r="M1801" i="1"/>
  <c r="N1800" i="1"/>
  <c r="M1800" i="1"/>
  <c r="N1799" i="1"/>
  <c r="M1799" i="1"/>
  <c r="N1798" i="1"/>
  <c r="M1798" i="1"/>
  <c r="N1736" i="1"/>
  <c r="M1736" i="1"/>
  <c r="N1735" i="1"/>
  <c r="M1735" i="1"/>
  <c r="N1734" i="1"/>
  <c r="M1734" i="1"/>
  <c r="N1733" i="1"/>
  <c r="M1733" i="1"/>
  <c r="N1732" i="1"/>
  <c r="M1732" i="1"/>
  <c r="N1731" i="1"/>
  <c r="M1731" i="1"/>
  <c r="N1730" i="1"/>
  <c r="M1730" i="1"/>
  <c r="N1729" i="1"/>
  <c r="M1729" i="1"/>
  <c r="N1646" i="1"/>
  <c r="M1646" i="1"/>
  <c r="N1645" i="1"/>
  <c r="M1645" i="1"/>
  <c r="N1644" i="1"/>
  <c r="M1644" i="1"/>
  <c r="N1643" i="1"/>
  <c r="M1643" i="1"/>
  <c r="N1642" i="1"/>
  <c r="M1642" i="1"/>
  <c r="N1641" i="1"/>
  <c r="M1641" i="1"/>
  <c r="N1573" i="1"/>
  <c r="M1573" i="1"/>
  <c r="N1572" i="1"/>
  <c r="M1572" i="1"/>
  <c r="N1544" i="1"/>
  <c r="M1544" i="1"/>
  <c r="N1543" i="1"/>
  <c r="M1543" i="1"/>
  <c r="N1517" i="1"/>
  <c r="M1517" i="1"/>
  <c r="N1516" i="1"/>
  <c r="M1516" i="1"/>
  <c r="N1515" i="1"/>
  <c r="M1515" i="1"/>
  <c r="N1455" i="1"/>
  <c r="M1455" i="1"/>
  <c r="N1454" i="1"/>
  <c r="M1454" i="1"/>
  <c r="N1453" i="1"/>
  <c r="M1453" i="1"/>
  <c r="N1452" i="1"/>
  <c r="M1452" i="1"/>
  <c r="N1451" i="1"/>
  <c r="M1451" i="1"/>
  <c r="N1375" i="1"/>
  <c r="M1375" i="1"/>
  <c r="N1374" i="1"/>
  <c r="M1374" i="1"/>
  <c r="N1373" i="1"/>
  <c r="M1373" i="1"/>
  <c r="N1372" i="1"/>
  <c r="M1372" i="1"/>
  <c r="N1371" i="1"/>
  <c r="M1371" i="1"/>
  <c r="N1370" i="1"/>
  <c r="M1370" i="1"/>
  <c r="N1369" i="1"/>
  <c r="M1369" i="1"/>
  <c r="N1332" i="1"/>
  <c r="M1332" i="1"/>
  <c r="N1318" i="1"/>
  <c r="M1318" i="1"/>
  <c r="N1317" i="1"/>
  <c r="M1317" i="1"/>
  <c r="N1303" i="1"/>
  <c r="M1303" i="1"/>
  <c r="N1292" i="1"/>
  <c r="M1292" i="1"/>
  <c r="N2890" i="1"/>
  <c r="M2890" i="1"/>
  <c r="N2889" i="1"/>
  <c r="M2889" i="1"/>
  <c r="N2888" i="1"/>
  <c r="M2888" i="1"/>
  <c r="N2887" i="1"/>
  <c r="M2887" i="1"/>
  <c r="N2886" i="1"/>
  <c r="M2886" i="1"/>
  <c r="N2885" i="1"/>
  <c r="M2885" i="1"/>
  <c r="N2884" i="1"/>
  <c r="M2884" i="1"/>
  <c r="N2766" i="1"/>
  <c r="M2766" i="1"/>
  <c r="N2765" i="1"/>
  <c r="M2765" i="1"/>
  <c r="N2706" i="1"/>
  <c r="M2706" i="1"/>
  <c r="N2705" i="1"/>
  <c r="M2705" i="1"/>
  <c r="N2704" i="1"/>
  <c r="M2704" i="1"/>
  <c r="N2703" i="1"/>
  <c r="M2703" i="1"/>
  <c r="N2702" i="1"/>
  <c r="M2702" i="1"/>
  <c r="N2610" i="1"/>
  <c r="M2610" i="1"/>
  <c r="N2609" i="1"/>
  <c r="M2609" i="1"/>
  <c r="N2608" i="1"/>
  <c r="M2608" i="1"/>
  <c r="N2607" i="1"/>
  <c r="M2607" i="1"/>
  <c r="N2606" i="1"/>
  <c r="M2606" i="1"/>
  <c r="N2605" i="1"/>
  <c r="M2605" i="1"/>
  <c r="N2454" i="1"/>
  <c r="M2454" i="1"/>
  <c r="N2453" i="1"/>
  <c r="M2453" i="1"/>
  <c r="N2452" i="1"/>
  <c r="M2452" i="1"/>
  <c r="N2451" i="1"/>
  <c r="M2451" i="1"/>
  <c r="N2450" i="1"/>
  <c r="M2450" i="1"/>
  <c r="N2449" i="1"/>
  <c r="M2449" i="1"/>
  <c r="N2353" i="1"/>
  <c r="M2353" i="1"/>
  <c r="N2352" i="1"/>
  <c r="M2352" i="1"/>
  <c r="N2351" i="1"/>
  <c r="M2351" i="1"/>
  <c r="N2350" i="1"/>
  <c r="M2350" i="1"/>
  <c r="N2349" i="1"/>
  <c r="M2349" i="1"/>
  <c r="N2348" i="1"/>
  <c r="M2348" i="1"/>
  <c r="N2347" i="1"/>
  <c r="M2347" i="1"/>
  <c r="N2260" i="1"/>
  <c r="M2260" i="1"/>
  <c r="N2259" i="1"/>
  <c r="M2259" i="1"/>
  <c r="N2258" i="1"/>
  <c r="M2258" i="1"/>
  <c r="N2257" i="1"/>
  <c r="M2257" i="1"/>
  <c r="N2256" i="1"/>
  <c r="M2256" i="1"/>
  <c r="N2255" i="1"/>
  <c r="M2255" i="1"/>
  <c r="N2254" i="1"/>
  <c r="M2254" i="1"/>
  <c r="N2253" i="1"/>
  <c r="M2253" i="1"/>
  <c r="N2252" i="1"/>
  <c r="M2252" i="1"/>
  <c r="N2156" i="1"/>
  <c r="M2156" i="1"/>
  <c r="N2155" i="1"/>
  <c r="M2155" i="1"/>
  <c r="N2154" i="1"/>
  <c r="M2154" i="1"/>
  <c r="N2153" i="1"/>
  <c r="M2153" i="1"/>
  <c r="N2152" i="1"/>
  <c r="M2152" i="1"/>
  <c r="N2151" i="1"/>
  <c r="M2151" i="1"/>
  <c r="N2150" i="1"/>
  <c r="M2150" i="1"/>
  <c r="N2058" i="1"/>
  <c r="M2058" i="1"/>
  <c r="N2057" i="1"/>
  <c r="M2057" i="1"/>
  <c r="N2056" i="1"/>
  <c r="M2056" i="1"/>
  <c r="N2055" i="1"/>
  <c r="M2055" i="1"/>
  <c r="N2054" i="1"/>
  <c r="M2054" i="1"/>
  <c r="N2053" i="1"/>
  <c r="M2053" i="1"/>
  <c r="N2052" i="1"/>
  <c r="M2052" i="1"/>
  <c r="N2051" i="1"/>
  <c r="M2051" i="1"/>
  <c r="N2050" i="1"/>
  <c r="M2050" i="1"/>
  <c r="N2049" i="1"/>
  <c r="M2049" i="1"/>
  <c r="N1955" i="1"/>
  <c r="M1955" i="1"/>
  <c r="N1954" i="1"/>
  <c r="M1954" i="1"/>
  <c r="N1880" i="1"/>
  <c r="M1880" i="1"/>
  <c r="N1879" i="1"/>
  <c r="M1879" i="1"/>
  <c r="N1878" i="1"/>
  <c r="M1878" i="1"/>
  <c r="N1877" i="1"/>
  <c r="M1877" i="1"/>
  <c r="N1797" i="1"/>
  <c r="M1797" i="1"/>
  <c r="N1796" i="1"/>
  <c r="M1796" i="1"/>
  <c r="N1795" i="1"/>
  <c r="M1795" i="1"/>
  <c r="N1794" i="1"/>
  <c r="M1794" i="1"/>
  <c r="N1793" i="1"/>
  <c r="M1793" i="1"/>
  <c r="N1728" i="1"/>
  <c r="M1728" i="1"/>
  <c r="N1727" i="1"/>
  <c r="M1727" i="1"/>
  <c r="N1726" i="1"/>
  <c r="M1726" i="1"/>
  <c r="N1725" i="1"/>
  <c r="M1725" i="1"/>
  <c r="N1724" i="1"/>
  <c r="M1724" i="1"/>
  <c r="N1723" i="1"/>
  <c r="M1723" i="1"/>
  <c r="N1640" i="1"/>
  <c r="M1640" i="1"/>
  <c r="N1639" i="1"/>
  <c r="M1639" i="1"/>
  <c r="N1638" i="1"/>
  <c r="M1638" i="1"/>
  <c r="N1637" i="1"/>
  <c r="M1637" i="1"/>
  <c r="N1636" i="1"/>
  <c r="M1636" i="1"/>
  <c r="N1635" i="1"/>
  <c r="M1635" i="1"/>
  <c r="N1634" i="1"/>
  <c r="M1634" i="1"/>
  <c r="N1633" i="1"/>
  <c r="M1633" i="1"/>
  <c r="N1542" i="1"/>
  <c r="M1542" i="1"/>
  <c r="N1541" i="1"/>
  <c r="M1541" i="1"/>
  <c r="N1514" i="1"/>
  <c r="M1514" i="1"/>
  <c r="N1513" i="1"/>
  <c r="M1513" i="1"/>
  <c r="N1512" i="1"/>
  <c r="M1512" i="1"/>
  <c r="N1511" i="1"/>
  <c r="M1511" i="1"/>
  <c r="N1510" i="1"/>
  <c r="M1510" i="1"/>
  <c r="N1450" i="1"/>
  <c r="M1450" i="1"/>
  <c r="N1449" i="1"/>
  <c r="M1449" i="1"/>
  <c r="N1448" i="1"/>
  <c r="M1448" i="1"/>
  <c r="N1447" i="1"/>
  <c r="M1447" i="1"/>
  <c r="N1446" i="1"/>
  <c r="M1446" i="1"/>
  <c r="N1445" i="1"/>
  <c r="M1445" i="1"/>
  <c r="N1444" i="1"/>
  <c r="M1444" i="1"/>
  <c r="N1443" i="1"/>
  <c r="M1443" i="1"/>
  <c r="N1368" i="1"/>
  <c r="M1368" i="1"/>
  <c r="N1367" i="1"/>
  <c r="M1367" i="1"/>
  <c r="N1366" i="1"/>
  <c r="M1366" i="1"/>
  <c r="N1365" i="1"/>
  <c r="M1365" i="1"/>
  <c r="N1364" i="1"/>
  <c r="M1364" i="1"/>
  <c r="N1363" i="1"/>
  <c r="M1363" i="1"/>
  <c r="N1362" i="1"/>
  <c r="M1362" i="1"/>
  <c r="N1361" i="1"/>
  <c r="M1361" i="1"/>
  <c r="N1316" i="1"/>
  <c r="M1316" i="1"/>
  <c r="N1302" i="1"/>
  <c r="M1302" i="1"/>
  <c r="N1301" i="1"/>
  <c r="M1301" i="1"/>
  <c r="N1291" i="1"/>
  <c r="M1291" i="1"/>
  <c r="N2883" i="1"/>
  <c r="M2883" i="1"/>
  <c r="N2882" i="1"/>
  <c r="M2882" i="1"/>
  <c r="N2881" i="1"/>
  <c r="M2881" i="1"/>
  <c r="N2880" i="1"/>
  <c r="M2880" i="1"/>
  <c r="N2879" i="1"/>
  <c r="M2879" i="1"/>
  <c r="N2878" i="1"/>
  <c r="M2878" i="1"/>
  <c r="N2877" i="1"/>
  <c r="M2877" i="1"/>
  <c r="N2876" i="1"/>
  <c r="M2876" i="1"/>
  <c r="N2815" i="1"/>
  <c r="M2815" i="1"/>
  <c r="N2814" i="1"/>
  <c r="M2814" i="1"/>
  <c r="N2813" i="1"/>
  <c r="M2813" i="1"/>
  <c r="N2812" i="1"/>
  <c r="M2812" i="1"/>
  <c r="N2811" i="1"/>
  <c r="M2811" i="1"/>
  <c r="N2764" i="1"/>
  <c r="M2764" i="1"/>
  <c r="N2763" i="1"/>
  <c r="M2763" i="1"/>
  <c r="N2762" i="1"/>
  <c r="M2762" i="1"/>
  <c r="N2761" i="1"/>
  <c r="M2761" i="1"/>
  <c r="N2752" i="1"/>
  <c r="M2752" i="1"/>
  <c r="N2751" i="1"/>
  <c r="M2751" i="1"/>
  <c r="N2701" i="1"/>
  <c r="M2701" i="1"/>
  <c r="N2700" i="1"/>
  <c r="M2700" i="1"/>
  <c r="N2699" i="1"/>
  <c r="M2699" i="1"/>
  <c r="N2698" i="1"/>
  <c r="M2698" i="1"/>
  <c r="N2697" i="1"/>
  <c r="M2697" i="1"/>
  <c r="N2696" i="1"/>
  <c r="M2696" i="1"/>
  <c r="N2695" i="1"/>
  <c r="M2695" i="1"/>
  <c r="N2694" i="1"/>
  <c r="M2694" i="1"/>
  <c r="N2693" i="1"/>
  <c r="M2693" i="1"/>
  <c r="N2692" i="1"/>
  <c r="M2692" i="1"/>
  <c r="N2604" i="1"/>
  <c r="M2604" i="1"/>
  <c r="N2603" i="1"/>
  <c r="M2603" i="1"/>
  <c r="N2602" i="1"/>
  <c r="M2602" i="1"/>
  <c r="N2601" i="1"/>
  <c r="M2601" i="1"/>
  <c r="N2600" i="1"/>
  <c r="M2600" i="1"/>
  <c r="N2599" i="1"/>
  <c r="M2599" i="1"/>
  <c r="N2598" i="1"/>
  <c r="M2598" i="1"/>
  <c r="N2597" i="1"/>
  <c r="M2597" i="1"/>
  <c r="N2551" i="1"/>
  <c r="M2551" i="1"/>
  <c r="N2550" i="1"/>
  <c r="M2550" i="1"/>
  <c r="N2549" i="1"/>
  <c r="M2549" i="1"/>
  <c r="N2548" i="1"/>
  <c r="M2548" i="1"/>
  <c r="N2547" i="1"/>
  <c r="M2547" i="1"/>
  <c r="N2546" i="1"/>
  <c r="M2546" i="1"/>
  <c r="N2545" i="1"/>
  <c r="M2545" i="1"/>
  <c r="N2544" i="1"/>
  <c r="M2544" i="1"/>
  <c r="N2448" i="1"/>
  <c r="M2448" i="1"/>
  <c r="N2447" i="1"/>
  <c r="M2447" i="1"/>
  <c r="N2446" i="1"/>
  <c r="M2446" i="1"/>
  <c r="N2445" i="1"/>
  <c r="M2445" i="1"/>
  <c r="N2444" i="1"/>
  <c r="M2444" i="1"/>
  <c r="N2443" i="1"/>
  <c r="M2443" i="1"/>
  <c r="N2442" i="1"/>
  <c r="M2442" i="1"/>
  <c r="N2441" i="1"/>
  <c r="M2441" i="1"/>
  <c r="N2440" i="1"/>
  <c r="M2440" i="1"/>
  <c r="N2439" i="1"/>
  <c r="M2439" i="1"/>
  <c r="N2438" i="1"/>
  <c r="M2438" i="1"/>
  <c r="N2437" i="1"/>
  <c r="M2437" i="1"/>
  <c r="N2346" i="1"/>
  <c r="M2346" i="1"/>
  <c r="N2345" i="1"/>
  <c r="M2345" i="1"/>
  <c r="N2344" i="1"/>
  <c r="M2344" i="1"/>
  <c r="N2343" i="1"/>
  <c r="M2343" i="1"/>
  <c r="N2251" i="1"/>
  <c r="M2251" i="1"/>
  <c r="N2250" i="1"/>
  <c r="M2250" i="1"/>
  <c r="N2249" i="1"/>
  <c r="M2249" i="1"/>
  <c r="N2248" i="1"/>
  <c r="M2248" i="1"/>
  <c r="N2247" i="1"/>
  <c r="M2247" i="1"/>
  <c r="N2246" i="1"/>
  <c r="M2246" i="1"/>
  <c r="N2245" i="1"/>
  <c r="M2245" i="1"/>
  <c r="N2244" i="1"/>
  <c r="M2244" i="1"/>
  <c r="N2243" i="1"/>
  <c r="M2243" i="1"/>
  <c r="N2242" i="1"/>
  <c r="M2242" i="1"/>
  <c r="N2149" i="1"/>
  <c r="M2149" i="1"/>
  <c r="N2148" i="1"/>
  <c r="M2148" i="1"/>
  <c r="N2147" i="1"/>
  <c r="M2147" i="1"/>
  <c r="N2146" i="1"/>
  <c r="M2146" i="1"/>
  <c r="N2145" i="1"/>
  <c r="M2145" i="1"/>
  <c r="N2144" i="1"/>
  <c r="M2144" i="1"/>
  <c r="N2143" i="1"/>
  <c r="M2143" i="1"/>
  <c r="N2048" i="1"/>
  <c r="M2048" i="1"/>
  <c r="N2047" i="1"/>
  <c r="M2047" i="1"/>
  <c r="N2046" i="1"/>
  <c r="M2046" i="1"/>
  <c r="N2045" i="1"/>
  <c r="M2045" i="1"/>
  <c r="N2044" i="1"/>
  <c r="M2044" i="1"/>
  <c r="N2043" i="1"/>
  <c r="M2043" i="1"/>
  <c r="N2042" i="1"/>
  <c r="M2042" i="1"/>
  <c r="N1953" i="1"/>
  <c r="M1953" i="1"/>
  <c r="N1952" i="1"/>
  <c r="M1952" i="1"/>
  <c r="N1951" i="1"/>
  <c r="M1951" i="1"/>
  <c r="N1950" i="1"/>
  <c r="M1950" i="1"/>
  <c r="N1949" i="1"/>
  <c r="M1949" i="1"/>
  <c r="N1948" i="1"/>
  <c r="M1948" i="1"/>
  <c r="N1947" i="1"/>
  <c r="M1947" i="1"/>
  <c r="N1946" i="1"/>
  <c r="M1946" i="1"/>
  <c r="N1876" i="1"/>
  <c r="M1876" i="1"/>
  <c r="N1875" i="1"/>
  <c r="M1875" i="1"/>
  <c r="N1874" i="1"/>
  <c r="M1874" i="1"/>
  <c r="N1873" i="1"/>
  <c r="M1873" i="1"/>
  <c r="N1872" i="1"/>
  <c r="M1872" i="1"/>
  <c r="N1871" i="1"/>
  <c r="M1871" i="1"/>
  <c r="N1870" i="1"/>
  <c r="M1870" i="1"/>
  <c r="N1869" i="1"/>
  <c r="M1869" i="1"/>
  <c r="N1792" i="1"/>
  <c r="M1792" i="1"/>
  <c r="N1791" i="1"/>
  <c r="M1791" i="1"/>
  <c r="N1790" i="1"/>
  <c r="M1790" i="1"/>
  <c r="N1789" i="1"/>
  <c r="M1789" i="1"/>
  <c r="N1788" i="1"/>
  <c r="M1788" i="1"/>
  <c r="N1787" i="1"/>
  <c r="M1787" i="1"/>
  <c r="N1786" i="1"/>
  <c r="M1786" i="1"/>
  <c r="N1785" i="1"/>
  <c r="M1785" i="1"/>
  <c r="N1722" i="1"/>
  <c r="M1722" i="1"/>
  <c r="N1721" i="1"/>
  <c r="M1721" i="1"/>
  <c r="N1720" i="1"/>
  <c r="M1720" i="1"/>
  <c r="N1719" i="1"/>
  <c r="M1719" i="1"/>
  <c r="N1718" i="1"/>
  <c r="M1718" i="1"/>
  <c r="N1717" i="1"/>
  <c r="M1717" i="1"/>
  <c r="N1716" i="1"/>
  <c r="M1716" i="1"/>
  <c r="N1715" i="1"/>
  <c r="M1715" i="1"/>
  <c r="N1632" i="1"/>
  <c r="M1632" i="1"/>
  <c r="N1631" i="1"/>
  <c r="M1631" i="1"/>
  <c r="N1630" i="1"/>
  <c r="M1630" i="1"/>
  <c r="N1629" i="1"/>
  <c r="M1629" i="1"/>
  <c r="N1628" i="1"/>
  <c r="M1628" i="1"/>
  <c r="N1627" i="1"/>
  <c r="M1627" i="1"/>
  <c r="N1626" i="1"/>
  <c r="M1626" i="1"/>
  <c r="N1540" i="1"/>
  <c r="M1540" i="1"/>
  <c r="N1539" i="1"/>
  <c r="M1539" i="1"/>
  <c r="N1509" i="1"/>
  <c r="M1509" i="1"/>
  <c r="N1508" i="1"/>
  <c r="M1508" i="1"/>
  <c r="N1507" i="1"/>
  <c r="M1507" i="1"/>
  <c r="N1442" i="1"/>
  <c r="M1442" i="1"/>
  <c r="N1441" i="1"/>
  <c r="M1441" i="1"/>
  <c r="N1440" i="1"/>
  <c r="M1440" i="1"/>
  <c r="N1439" i="1"/>
  <c r="M1439" i="1"/>
  <c r="N1438" i="1"/>
  <c r="M1438" i="1"/>
  <c r="N1437" i="1"/>
  <c r="M1437" i="1"/>
  <c r="N1436" i="1"/>
  <c r="M1436" i="1"/>
  <c r="N1360" i="1"/>
  <c r="M1360" i="1"/>
  <c r="N1359" i="1"/>
  <c r="M1359" i="1"/>
  <c r="N1358" i="1"/>
  <c r="M1358" i="1"/>
  <c r="N1322" i="1"/>
  <c r="M1322" i="1"/>
  <c r="N1315" i="1"/>
  <c r="M1315" i="1"/>
  <c r="N1314" i="1"/>
  <c r="M1314" i="1"/>
  <c r="N1290" i="1"/>
  <c r="M1290" i="1"/>
  <c r="N1260" i="1"/>
  <c r="M1260" i="1"/>
  <c r="N2875" i="1"/>
  <c r="M2875" i="1"/>
  <c r="N2874" i="1"/>
  <c r="M2874" i="1"/>
  <c r="N2873" i="1"/>
  <c r="M2873" i="1"/>
  <c r="N2872" i="1"/>
  <c r="M2872" i="1"/>
  <c r="N2871" i="1"/>
  <c r="M2871" i="1"/>
  <c r="N2844" i="1"/>
  <c r="M2844" i="1"/>
  <c r="N2843" i="1"/>
  <c r="M2843" i="1"/>
  <c r="N2842" i="1"/>
  <c r="M2842" i="1"/>
  <c r="N2841" i="1"/>
  <c r="M2841" i="1"/>
  <c r="N2810" i="1"/>
  <c r="M2810" i="1"/>
  <c r="N2809" i="1"/>
  <c r="M2809" i="1"/>
  <c r="N2808" i="1"/>
  <c r="M2808" i="1"/>
  <c r="N2807" i="1"/>
  <c r="M2807" i="1"/>
  <c r="N2806" i="1"/>
  <c r="M2806" i="1"/>
  <c r="N2750" i="1"/>
  <c r="M2750" i="1"/>
  <c r="N2749" i="1"/>
  <c r="M2749" i="1"/>
  <c r="N2748" i="1"/>
  <c r="M2748" i="1"/>
  <c r="N2691" i="1"/>
  <c r="M2691" i="1"/>
  <c r="N2690" i="1"/>
  <c r="M2690" i="1"/>
  <c r="N2689" i="1"/>
  <c r="M2689" i="1"/>
  <c r="N2688" i="1"/>
  <c r="M2688" i="1"/>
  <c r="N2687" i="1"/>
  <c r="M2687" i="1"/>
  <c r="N2686" i="1"/>
  <c r="M2686" i="1"/>
  <c r="N2685" i="1"/>
  <c r="M2685" i="1"/>
  <c r="N2684" i="1"/>
  <c r="M2684" i="1"/>
  <c r="N2596" i="1"/>
  <c r="M2596" i="1"/>
  <c r="N2595" i="1"/>
  <c r="M2595" i="1"/>
  <c r="N2594" i="1"/>
  <c r="M2594" i="1"/>
  <c r="N2593" i="1"/>
  <c r="M2593" i="1"/>
  <c r="N2592" i="1"/>
  <c r="M2592" i="1"/>
  <c r="N2591" i="1"/>
  <c r="M2591" i="1"/>
  <c r="N2590" i="1"/>
  <c r="M2590" i="1"/>
  <c r="N2589" i="1"/>
  <c r="M2589" i="1"/>
  <c r="N2588" i="1"/>
  <c r="M2588" i="1"/>
  <c r="N2543" i="1"/>
  <c r="M2543" i="1"/>
  <c r="N2542" i="1"/>
  <c r="M2542" i="1"/>
  <c r="N2541" i="1"/>
  <c r="M2541" i="1"/>
  <c r="N2540" i="1"/>
  <c r="M2540" i="1"/>
  <c r="N2539" i="1"/>
  <c r="M2539" i="1"/>
  <c r="N2538" i="1"/>
  <c r="M2538" i="1"/>
  <c r="N2537" i="1"/>
  <c r="M2537" i="1"/>
  <c r="N2536" i="1"/>
  <c r="M2536" i="1"/>
  <c r="N2535" i="1"/>
  <c r="M2535" i="1"/>
  <c r="N2436" i="1"/>
  <c r="M2436" i="1"/>
  <c r="N2435" i="1"/>
  <c r="M2435" i="1"/>
  <c r="N2434" i="1"/>
  <c r="M2434" i="1"/>
  <c r="N2433" i="1"/>
  <c r="M2433" i="1"/>
  <c r="N2432" i="1"/>
  <c r="M2432" i="1"/>
  <c r="N2431" i="1"/>
  <c r="M2431" i="1"/>
  <c r="N2430" i="1"/>
  <c r="M2430" i="1"/>
  <c r="N2429" i="1"/>
  <c r="M2429" i="1"/>
  <c r="N2428" i="1"/>
  <c r="M2428" i="1"/>
  <c r="N2342" i="1"/>
  <c r="M2342" i="1"/>
  <c r="N2341" i="1"/>
  <c r="M2341" i="1"/>
  <c r="N2340" i="1"/>
  <c r="M2340" i="1"/>
  <c r="N2339" i="1"/>
  <c r="M2339" i="1"/>
  <c r="N2338" i="1"/>
  <c r="M2338" i="1"/>
  <c r="N2337" i="1"/>
  <c r="M2337" i="1"/>
  <c r="N2241" i="1"/>
  <c r="M2241" i="1"/>
  <c r="N2240" i="1"/>
  <c r="M2240" i="1"/>
  <c r="N2239" i="1"/>
  <c r="M2239" i="1"/>
  <c r="N2238" i="1"/>
  <c r="M2238" i="1"/>
  <c r="N2237" i="1"/>
  <c r="M2237" i="1"/>
  <c r="N2236" i="1"/>
  <c r="M2236" i="1"/>
  <c r="N2235" i="1"/>
  <c r="M2235" i="1"/>
  <c r="N2142" i="1"/>
  <c r="M2142" i="1"/>
  <c r="N2141" i="1"/>
  <c r="M2141" i="1"/>
  <c r="N2140" i="1"/>
  <c r="M2140" i="1"/>
  <c r="N2139" i="1"/>
  <c r="M2139" i="1"/>
  <c r="N2138" i="1"/>
  <c r="M2138" i="1"/>
  <c r="N2137" i="1"/>
  <c r="M2137" i="1"/>
  <c r="N2041" i="1"/>
  <c r="M2041" i="1"/>
  <c r="N2040" i="1"/>
  <c r="M2040" i="1"/>
  <c r="N2039" i="1"/>
  <c r="M2039" i="1"/>
  <c r="N2038" i="1"/>
  <c r="M2038" i="1"/>
  <c r="N2037" i="1"/>
  <c r="M2037" i="1"/>
  <c r="N2036" i="1"/>
  <c r="M2036" i="1"/>
  <c r="N2035" i="1"/>
  <c r="M2035" i="1"/>
  <c r="N2034" i="1"/>
  <c r="M2034" i="1"/>
  <c r="N2033" i="1"/>
  <c r="M2033" i="1"/>
  <c r="N1945" i="1"/>
  <c r="M1945" i="1"/>
  <c r="N1944" i="1"/>
  <c r="M1944" i="1"/>
  <c r="N1943" i="1"/>
  <c r="M1943" i="1"/>
  <c r="N1942" i="1"/>
  <c r="M1942" i="1"/>
  <c r="N1941" i="1"/>
  <c r="M1941" i="1"/>
  <c r="N1940" i="1"/>
  <c r="M1940" i="1"/>
  <c r="N1939" i="1"/>
  <c r="M1939" i="1"/>
  <c r="N1868" i="1"/>
  <c r="M1868" i="1"/>
  <c r="N1867" i="1"/>
  <c r="M1867" i="1"/>
  <c r="N1866" i="1"/>
  <c r="M1866" i="1"/>
  <c r="N1865" i="1"/>
  <c r="M1865" i="1"/>
  <c r="N1864" i="1"/>
  <c r="M1864" i="1"/>
  <c r="N1863" i="1"/>
  <c r="M1863" i="1"/>
  <c r="N1784" i="1"/>
  <c r="M1784" i="1"/>
  <c r="N1783" i="1"/>
  <c r="M1783" i="1"/>
  <c r="N1782" i="1"/>
  <c r="M1782" i="1"/>
  <c r="N1781" i="1"/>
  <c r="M1781" i="1"/>
  <c r="N1780" i="1"/>
  <c r="M1780" i="1"/>
  <c r="N1779" i="1"/>
  <c r="M1779" i="1"/>
  <c r="N1714" i="1"/>
  <c r="M1714" i="1"/>
  <c r="N1713" i="1"/>
  <c r="M1713" i="1"/>
  <c r="N1712" i="1"/>
  <c r="M1712" i="1"/>
  <c r="N1711" i="1"/>
  <c r="M1711" i="1"/>
  <c r="N1710" i="1"/>
  <c r="M1710" i="1"/>
  <c r="N1709" i="1"/>
  <c r="M1709" i="1"/>
  <c r="N1708" i="1"/>
  <c r="M1708" i="1"/>
  <c r="N1707" i="1"/>
  <c r="M1707" i="1"/>
  <c r="N1625" i="1"/>
  <c r="M1625" i="1"/>
  <c r="N1624" i="1"/>
  <c r="M1624" i="1"/>
  <c r="N1623" i="1"/>
  <c r="M1623" i="1"/>
  <c r="N1622" i="1"/>
  <c r="M1622" i="1"/>
  <c r="N1621" i="1"/>
  <c r="M1621" i="1"/>
  <c r="N1620" i="1"/>
  <c r="M1620" i="1"/>
  <c r="N1619" i="1"/>
  <c r="M1619" i="1"/>
  <c r="N1618" i="1"/>
  <c r="M1618" i="1"/>
  <c r="N1571" i="1"/>
  <c r="M1571" i="1"/>
  <c r="N1570" i="1"/>
  <c r="M1570" i="1"/>
  <c r="N1569" i="1"/>
  <c r="M1569" i="1"/>
  <c r="N1538" i="1"/>
  <c r="M1538" i="1"/>
  <c r="N1537" i="1"/>
  <c r="M1537" i="1"/>
  <c r="N1536" i="1"/>
  <c r="M1536" i="1"/>
  <c r="N1506" i="1"/>
  <c r="M1506" i="1"/>
  <c r="N1505" i="1"/>
  <c r="M1505" i="1"/>
  <c r="N1504" i="1"/>
  <c r="M1504" i="1"/>
  <c r="N1503" i="1"/>
  <c r="M1503" i="1"/>
  <c r="N1435" i="1"/>
  <c r="M1435" i="1"/>
  <c r="N1434" i="1"/>
  <c r="M1434" i="1"/>
  <c r="N1433" i="1"/>
  <c r="M1433" i="1"/>
  <c r="N1432" i="1"/>
  <c r="M1432" i="1"/>
  <c r="N1431" i="1"/>
  <c r="M1431" i="1"/>
  <c r="N1430" i="1"/>
  <c r="M1430" i="1"/>
  <c r="N1429" i="1"/>
  <c r="M1429" i="1"/>
  <c r="N1357" i="1"/>
  <c r="M1357" i="1"/>
  <c r="N1356" i="1"/>
  <c r="M1356" i="1"/>
  <c r="N1355" i="1"/>
  <c r="M1355" i="1"/>
  <c r="N1331" i="1"/>
  <c r="M1331" i="1"/>
  <c r="N1330" i="1"/>
  <c r="M1330" i="1"/>
  <c r="N1313" i="1"/>
  <c r="M1313" i="1"/>
  <c r="N1312" i="1"/>
  <c r="M1312" i="1"/>
  <c r="N1289" i="1"/>
  <c r="M1289" i="1"/>
  <c r="N1288" i="1"/>
  <c r="M1288" i="1"/>
  <c r="N1287" i="1"/>
  <c r="M1287" i="1"/>
  <c r="N1275" i="1"/>
  <c r="M1275" i="1"/>
  <c r="N1274" i="1"/>
  <c r="M1274" i="1"/>
  <c r="N2870" i="1"/>
  <c r="M2870" i="1"/>
  <c r="N2869" i="1"/>
  <c r="M2869" i="1"/>
  <c r="N2868" i="1"/>
  <c r="M2868" i="1"/>
  <c r="N2867" i="1"/>
  <c r="M2867" i="1"/>
  <c r="N2866" i="1"/>
  <c r="M2866" i="1"/>
  <c r="N2865" i="1"/>
  <c r="M2865" i="1"/>
  <c r="N2864" i="1"/>
  <c r="M2864" i="1"/>
  <c r="N2863" i="1"/>
  <c r="M2863" i="1"/>
  <c r="N2862" i="1"/>
  <c r="M2862" i="1"/>
  <c r="N2840" i="1"/>
  <c r="M2840" i="1"/>
  <c r="N2839" i="1"/>
  <c r="M2839" i="1"/>
  <c r="N2838" i="1"/>
  <c r="M2838" i="1"/>
  <c r="N2837" i="1"/>
  <c r="M2837" i="1"/>
  <c r="N2805" i="1"/>
  <c r="M2805" i="1"/>
  <c r="N2804" i="1"/>
  <c r="M2804" i="1"/>
  <c r="N2803" i="1"/>
  <c r="M2803" i="1"/>
  <c r="N2802" i="1"/>
  <c r="M2802" i="1"/>
  <c r="N2801" i="1"/>
  <c r="M2801" i="1"/>
  <c r="N2800" i="1"/>
  <c r="M2800" i="1"/>
  <c r="N2799" i="1"/>
  <c r="M2799" i="1"/>
  <c r="N2798" i="1"/>
  <c r="M2798" i="1"/>
  <c r="N2797" i="1"/>
  <c r="M2797" i="1"/>
  <c r="N2747" i="1"/>
  <c r="M2747" i="1"/>
  <c r="N2746" i="1"/>
  <c r="M2746" i="1"/>
  <c r="N2745" i="1"/>
  <c r="M2745" i="1"/>
  <c r="N2744" i="1"/>
  <c r="M2744" i="1"/>
  <c r="N2743" i="1"/>
  <c r="M2743" i="1"/>
  <c r="N2683" i="1"/>
  <c r="M2683" i="1"/>
  <c r="N2682" i="1"/>
  <c r="M2682" i="1"/>
  <c r="N2681" i="1"/>
  <c r="M2681" i="1"/>
  <c r="N2680" i="1"/>
  <c r="M2680" i="1"/>
  <c r="N2679" i="1"/>
  <c r="M2679" i="1"/>
  <c r="N2678" i="1"/>
  <c r="M2678" i="1"/>
  <c r="N2677" i="1"/>
  <c r="M2677" i="1"/>
  <c r="N2676" i="1"/>
  <c r="M2676" i="1"/>
  <c r="N2675" i="1"/>
  <c r="M2675" i="1"/>
  <c r="N2674" i="1"/>
  <c r="M2674" i="1"/>
  <c r="N2673" i="1"/>
  <c r="M2673" i="1"/>
  <c r="N2587" i="1"/>
  <c r="M2587" i="1"/>
  <c r="N2586" i="1"/>
  <c r="M2586" i="1"/>
  <c r="N2585" i="1"/>
  <c r="M2585" i="1"/>
  <c r="N2584" i="1"/>
  <c r="M2584" i="1"/>
  <c r="N2583" i="1"/>
  <c r="M2583" i="1"/>
  <c r="N2582" i="1"/>
  <c r="M2582" i="1"/>
  <c r="N2581" i="1"/>
  <c r="M2581" i="1"/>
  <c r="N2580" i="1"/>
  <c r="M2580" i="1"/>
  <c r="N2579" i="1"/>
  <c r="M2579" i="1"/>
  <c r="N2578" i="1"/>
  <c r="M2578" i="1"/>
  <c r="N2534" i="1"/>
  <c r="M2534" i="1"/>
  <c r="N2533" i="1"/>
  <c r="M2533" i="1"/>
  <c r="N2532" i="1"/>
  <c r="M2532" i="1"/>
  <c r="N2531" i="1"/>
  <c r="M2531" i="1"/>
  <c r="N2530" i="1"/>
  <c r="M2530" i="1"/>
  <c r="N2529" i="1"/>
  <c r="M2529" i="1"/>
  <c r="N2528" i="1"/>
  <c r="M2528" i="1"/>
  <c r="N2527" i="1"/>
  <c r="M2527" i="1"/>
  <c r="N2427" i="1"/>
  <c r="M2427" i="1"/>
  <c r="N2426" i="1"/>
  <c r="M2426" i="1"/>
  <c r="N2425" i="1"/>
  <c r="M2425" i="1"/>
  <c r="N2424" i="1"/>
  <c r="M2424" i="1"/>
  <c r="N2423" i="1"/>
  <c r="M2423" i="1"/>
  <c r="N2422" i="1"/>
  <c r="M2422" i="1"/>
  <c r="N2421" i="1"/>
  <c r="M2421" i="1"/>
  <c r="N2420" i="1"/>
  <c r="M2420" i="1"/>
  <c r="N2419" i="1"/>
  <c r="M2419" i="1"/>
  <c r="N2418" i="1"/>
  <c r="M2418" i="1"/>
  <c r="N2417" i="1"/>
  <c r="M2417" i="1"/>
  <c r="N2416" i="1"/>
  <c r="M2416" i="1"/>
  <c r="N2336" i="1"/>
  <c r="M2336" i="1"/>
  <c r="N2335" i="1"/>
  <c r="M2335" i="1"/>
  <c r="N2334" i="1"/>
  <c r="M2334" i="1"/>
  <c r="N2333" i="1"/>
  <c r="M2333" i="1"/>
  <c r="N2332" i="1"/>
  <c r="M2332" i="1"/>
  <c r="N2331" i="1"/>
  <c r="M2331" i="1"/>
  <c r="N2330" i="1"/>
  <c r="M2330" i="1"/>
  <c r="N2234" i="1"/>
  <c r="M2234" i="1"/>
  <c r="N2233" i="1"/>
  <c r="M2233" i="1"/>
  <c r="N2232" i="1"/>
  <c r="M2232" i="1"/>
  <c r="N2231" i="1"/>
  <c r="M2231" i="1"/>
  <c r="N2230" i="1"/>
  <c r="M2230" i="1"/>
  <c r="N2229" i="1"/>
  <c r="M2229" i="1"/>
  <c r="N2228" i="1"/>
  <c r="M2228" i="1"/>
  <c r="N2227" i="1"/>
  <c r="M2227" i="1"/>
  <c r="N2226" i="1"/>
  <c r="M2226" i="1"/>
  <c r="N2136" i="1"/>
  <c r="M2136" i="1"/>
  <c r="N2135" i="1"/>
  <c r="M2135" i="1"/>
  <c r="N2134" i="1"/>
  <c r="M2134" i="1"/>
  <c r="N2133" i="1"/>
  <c r="M2133" i="1"/>
  <c r="N2132" i="1"/>
  <c r="M2132" i="1"/>
  <c r="N2131" i="1"/>
  <c r="M2131" i="1"/>
  <c r="N2130" i="1"/>
  <c r="M2130" i="1"/>
  <c r="N2129" i="1"/>
  <c r="M2129" i="1"/>
  <c r="N2032" i="1"/>
  <c r="M2032" i="1"/>
  <c r="N2031" i="1"/>
  <c r="M2031" i="1"/>
  <c r="N2030" i="1"/>
  <c r="M2030" i="1"/>
  <c r="N2029" i="1"/>
  <c r="M2029" i="1"/>
  <c r="N2028" i="1"/>
  <c r="M2028" i="1"/>
  <c r="N2027" i="1"/>
  <c r="M2027" i="1"/>
  <c r="N2026" i="1"/>
  <c r="M2026" i="1"/>
  <c r="N2025" i="1"/>
  <c r="M2025" i="1"/>
  <c r="N2024" i="1"/>
  <c r="M2024" i="1"/>
  <c r="N2023" i="1"/>
  <c r="M2023" i="1"/>
  <c r="N1938" i="1"/>
  <c r="M1938" i="1"/>
  <c r="N1937" i="1"/>
  <c r="M1937" i="1"/>
  <c r="N1936" i="1"/>
  <c r="M1936" i="1"/>
  <c r="N1935" i="1"/>
  <c r="M1935" i="1"/>
  <c r="N1934" i="1"/>
  <c r="M1934" i="1"/>
  <c r="N1933" i="1"/>
  <c r="M1933" i="1"/>
  <c r="N1932" i="1"/>
  <c r="M1932" i="1"/>
  <c r="N1931" i="1"/>
  <c r="M1931" i="1"/>
  <c r="N1930" i="1"/>
  <c r="M1930" i="1"/>
  <c r="N1929" i="1"/>
  <c r="M1929" i="1"/>
  <c r="N1862" i="1"/>
  <c r="M1862" i="1"/>
  <c r="N1861" i="1"/>
  <c r="M1861" i="1"/>
  <c r="N1860" i="1"/>
  <c r="M1860" i="1"/>
  <c r="N1859" i="1"/>
  <c r="M1859" i="1"/>
  <c r="N1858" i="1"/>
  <c r="M1858" i="1"/>
  <c r="N1857" i="1"/>
  <c r="M1857" i="1"/>
  <c r="N1856" i="1"/>
  <c r="M1856" i="1"/>
  <c r="N1855" i="1"/>
  <c r="M1855" i="1"/>
  <c r="N1778" i="1"/>
  <c r="M1778" i="1"/>
  <c r="N1777" i="1"/>
  <c r="M1777" i="1"/>
  <c r="N1776" i="1"/>
  <c r="M1776" i="1"/>
  <c r="N1775" i="1"/>
  <c r="M1775" i="1"/>
  <c r="N1774" i="1"/>
  <c r="M1774" i="1"/>
  <c r="N1773" i="1"/>
  <c r="M1773" i="1"/>
  <c r="N1772" i="1"/>
  <c r="M1772" i="1"/>
  <c r="N1706" i="1"/>
  <c r="M1706" i="1"/>
  <c r="N1705" i="1"/>
  <c r="M1705" i="1"/>
  <c r="N1704" i="1"/>
  <c r="M1704" i="1"/>
  <c r="N1703" i="1"/>
  <c r="M1703" i="1"/>
  <c r="N1702" i="1"/>
  <c r="M1702" i="1"/>
  <c r="N1701" i="1"/>
  <c r="M1701" i="1"/>
  <c r="N1700" i="1"/>
  <c r="M1700" i="1"/>
  <c r="N1699" i="1"/>
  <c r="M1699" i="1"/>
  <c r="N1698" i="1"/>
  <c r="M1698" i="1"/>
  <c r="N1617" i="1"/>
  <c r="M1617" i="1"/>
  <c r="N1616" i="1"/>
  <c r="M1616" i="1"/>
  <c r="N1615" i="1"/>
  <c r="M1615" i="1"/>
  <c r="N1614" i="1"/>
  <c r="M1614" i="1"/>
  <c r="N1613" i="1"/>
  <c r="M1613" i="1"/>
  <c r="N1612" i="1"/>
  <c r="M1612" i="1"/>
  <c r="N1611" i="1"/>
  <c r="M1611" i="1"/>
  <c r="N1610" i="1"/>
  <c r="M1610" i="1"/>
  <c r="N1568" i="1"/>
  <c r="M1568" i="1"/>
  <c r="N1567" i="1"/>
  <c r="M1567" i="1"/>
  <c r="N1566" i="1"/>
  <c r="M1566" i="1"/>
  <c r="N1565" i="1"/>
  <c r="M1565" i="1"/>
  <c r="N1535" i="1"/>
  <c r="M1535" i="1"/>
  <c r="N1534" i="1"/>
  <c r="M1534" i="1"/>
  <c r="N1533" i="1"/>
  <c r="M1533" i="1"/>
  <c r="N1502" i="1"/>
  <c r="M1502" i="1"/>
  <c r="N1501" i="1"/>
  <c r="M1501" i="1"/>
  <c r="N1500" i="1"/>
  <c r="M1500" i="1"/>
  <c r="N1499" i="1"/>
  <c r="M1499" i="1"/>
  <c r="N1428" i="1"/>
  <c r="M1428" i="1"/>
  <c r="N1427" i="1"/>
  <c r="M1427" i="1"/>
  <c r="N1426" i="1"/>
  <c r="M1426" i="1"/>
  <c r="N1425" i="1"/>
  <c r="M1425" i="1"/>
  <c r="N1424" i="1"/>
  <c r="M1424" i="1"/>
  <c r="N1423" i="1"/>
  <c r="M1423" i="1"/>
  <c r="N1422" i="1"/>
  <c r="M1422" i="1"/>
  <c r="N1421" i="1"/>
  <c r="M1421" i="1"/>
  <c r="N1420" i="1"/>
  <c r="M1420" i="1"/>
  <c r="N1354" i="1"/>
  <c r="M1354" i="1"/>
  <c r="N1353" i="1"/>
  <c r="M1353" i="1"/>
  <c r="N1352" i="1"/>
  <c r="M1352" i="1"/>
  <c r="N1351" i="1"/>
  <c r="M1351" i="1"/>
  <c r="N1350" i="1"/>
  <c r="M1350" i="1"/>
  <c r="N1349" i="1"/>
  <c r="M1349" i="1"/>
  <c r="N1329" i="1"/>
  <c r="M1329" i="1"/>
  <c r="N1328" i="1"/>
  <c r="M1328" i="1"/>
  <c r="N1311" i="1"/>
  <c r="M1311" i="1"/>
  <c r="N1310" i="1"/>
  <c r="M1310" i="1"/>
  <c r="N1286" i="1"/>
  <c r="M1286" i="1"/>
  <c r="N1285" i="1"/>
  <c r="M1285" i="1"/>
  <c r="N1273" i="1"/>
  <c r="M1273" i="1"/>
  <c r="N1272" i="1"/>
  <c r="M1272" i="1"/>
  <c r="N1259" i="1"/>
  <c r="M1259" i="1"/>
  <c r="N1258" i="1"/>
  <c r="M1258" i="1"/>
  <c r="N2861" i="1"/>
  <c r="M2861" i="1"/>
  <c r="N2860" i="1"/>
  <c r="M2860" i="1"/>
  <c r="N2859" i="1"/>
  <c r="M2859" i="1"/>
  <c r="N2858" i="1"/>
  <c r="M2858" i="1"/>
  <c r="N2857" i="1"/>
  <c r="M2857" i="1"/>
  <c r="N2836" i="1"/>
  <c r="M2836" i="1"/>
  <c r="N2835" i="1"/>
  <c r="M2835" i="1"/>
  <c r="N2834" i="1"/>
  <c r="M2834" i="1"/>
  <c r="N2833" i="1"/>
  <c r="M2833" i="1"/>
  <c r="N2832" i="1"/>
  <c r="M2832" i="1"/>
  <c r="N2831" i="1"/>
  <c r="M2831" i="1"/>
  <c r="N2796" i="1"/>
  <c r="M2796" i="1"/>
  <c r="N2795" i="1"/>
  <c r="M2795" i="1"/>
  <c r="N2794" i="1"/>
  <c r="M2794" i="1"/>
  <c r="N2793" i="1"/>
  <c r="M2793" i="1"/>
  <c r="N2792" i="1"/>
  <c r="M2792" i="1"/>
  <c r="N2791" i="1"/>
  <c r="M2791" i="1"/>
  <c r="N2742" i="1"/>
  <c r="M2742" i="1"/>
  <c r="N2741" i="1"/>
  <c r="M2741" i="1"/>
  <c r="N2740" i="1"/>
  <c r="M2740" i="1"/>
  <c r="N2672" i="1"/>
  <c r="M2672" i="1"/>
  <c r="N2671" i="1"/>
  <c r="M2671" i="1"/>
  <c r="N2670" i="1"/>
  <c r="M2670" i="1"/>
  <c r="N2669" i="1"/>
  <c r="M2669" i="1"/>
  <c r="N2668" i="1"/>
  <c r="M2668" i="1"/>
  <c r="N2667" i="1"/>
  <c r="M2667" i="1"/>
  <c r="N2666" i="1"/>
  <c r="M2666" i="1"/>
  <c r="N2665" i="1"/>
  <c r="M2665" i="1"/>
  <c r="N2664" i="1"/>
  <c r="M2664" i="1"/>
  <c r="N2577" i="1"/>
  <c r="M2577" i="1"/>
  <c r="N2576" i="1"/>
  <c r="M2576" i="1"/>
  <c r="N2575" i="1"/>
  <c r="M2575" i="1"/>
  <c r="N2574" i="1"/>
  <c r="M2574" i="1"/>
  <c r="N2573" i="1"/>
  <c r="M2573" i="1"/>
  <c r="N2572" i="1"/>
  <c r="M2572" i="1"/>
  <c r="N2571" i="1"/>
  <c r="M2571" i="1"/>
  <c r="N2526" i="1"/>
  <c r="M2526" i="1"/>
  <c r="N2525" i="1"/>
  <c r="M2525" i="1"/>
  <c r="N2524" i="1"/>
  <c r="M2524" i="1"/>
  <c r="N2523" i="1"/>
  <c r="M2523" i="1"/>
  <c r="N2522" i="1"/>
  <c r="M2522" i="1"/>
  <c r="N2521" i="1"/>
  <c r="M2521" i="1"/>
  <c r="N2520" i="1"/>
  <c r="M2520" i="1"/>
  <c r="N2519" i="1"/>
  <c r="M2519" i="1"/>
  <c r="N2518" i="1"/>
  <c r="M2518" i="1"/>
  <c r="N2415" i="1"/>
  <c r="M2415" i="1"/>
  <c r="N2414" i="1"/>
  <c r="M2414" i="1"/>
  <c r="N2413" i="1"/>
  <c r="M2413" i="1"/>
  <c r="N2412" i="1"/>
  <c r="M2412" i="1"/>
  <c r="N2411" i="1"/>
  <c r="M2411" i="1"/>
  <c r="N2410" i="1"/>
  <c r="M2410" i="1"/>
  <c r="N2409" i="1"/>
  <c r="M2409" i="1"/>
  <c r="N2408" i="1"/>
  <c r="M2408" i="1"/>
  <c r="N2407" i="1"/>
  <c r="M2407" i="1"/>
  <c r="N2329" i="1"/>
  <c r="M2329" i="1"/>
  <c r="N2328" i="1"/>
  <c r="M2328" i="1"/>
  <c r="N2327" i="1"/>
  <c r="M2327" i="1"/>
  <c r="N2326" i="1"/>
  <c r="M2326" i="1"/>
  <c r="N2325" i="1"/>
  <c r="M2325" i="1"/>
  <c r="N2324" i="1"/>
  <c r="M2324" i="1"/>
  <c r="N2323" i="1"/>
  <c r="M2323" i="1"/>
  <c r="N2322" i="1"/>
  <c r="M2322" i="1"/>
  <c r="N2321" i="1"/>
  <c r="M2321" i="1"/>
  <c r="N2225" i="1"/>
  <c r="M2225" i="1"/>
  <c r="N2224" i="1"/>
  <c r="M2224" i="1"/>
  <c r="N2223" i="1"/>
  <c r="M2223" i="1"/>
  <c r="N2222" i="1"/>
  <c r="M2222" i="1"/>
  <c r="N2221" i="1"/>
  <c r="M2221" i="1"/>
  <c r="N2220" i="1"/>
  <c r="M2220" i="1"/>
  <c r="N2219" i="1"/>
  <c r="M2219" i="1"/>
  <c r="N2218" i="1"/>
  <c r="M2218" i="1"/>
  <c r="N2217" i="1"/>
  <c r="M2217" i="1"/>
  <c r="N2216" i="1"/>
  <c r="M2216" i="1"/>
  <c r="N2215" i="1"/>
  <c r="M2215" i="1"/>
  <c r="N2128" i="1"/>
  <c r="M2128" i="1"/>
  <c r="N2127" i="1"/>
  <c r="M2127" i="1"/>
  <c r="N2126" i="1"/>
  <c r="M2126" i="1"/>
  <c r="N2125" i="1"/>
  <c r="M2125" i="1"/>
  <c r="N2124" i="1"/>
  <c r="M2124" i="1"/>
  <c r="N2123" i="1"/>
  <c r="M2123" i="1"/>
  <c r="N2122" i="1"/>
  <c r="M2122" i="1"/>
  <c r="N2121" i="1"/>
  <c r="M2121" i="1"/>
  <c r="N2120" i="1"/>
  <c r="M2120" i="1"/>
  <c r="N2022" i="1"/>
  <c r="M2022" i="1"/>
  <c r="N2021" i="1"/>
  <c r="M2021" i="1"/>
  <c r="N2020" i="1"/>
  <c r="M2020" i="1"/>
  <c r="N2019" i="1"/>
  <c r="M2019" i="1"/>
  <c r="N2018" i="1"/>
  <c r="M2018" i="1"/>
  <c r="N2017" i="1"/>
  <c r="M2017" i="1"/>
  <c r="N2016" i="1"/>
  <c r="M2016" i="1"/>
  <c r="N2015" i="1"/>
  <c r="M2015" i="1"/>
  <c r="N2014" i="1"/>
  <c r="M2014" i="1"/>
  <c r="N2013" i="1"/>
  <c r="M2013" i="1"/>
  <c r="N1928" i="1"/>
  <c r="M1928" i="1"/>
  <c r="N1927" i="1"/>
  <c r="M1927" i="1"/>
  <c r="N1926" i="1"/>
  <c r="M1926" i="1"/>
  <c r="N1925" i="1"/>
  <c r="M1925" i="1"/>
  <c r="N1924" i="1"/>
  <c r="M1924" i="1"/>
  <c r="N1923" i="1"/>
  <c r="M1923" i="1"/>
  <c r="N1922" i="1"/>
  <c r="M1922" i="1"/>
  <c r="N1921" i="1"/>
  <c r="M1921" i="1"/>
  <c r="N1854" i="1"/>
  <c r="M1854" i="1"/>
  <c r="N1853" i="1"/>
  <c r="M1853" i="1"/>
  <c r="N1852" i="1"/>
  <c r="M1852" i="1"/>
  <c r="N1771" i="1"/>
  <c r="M1771" i="1"/>
  <c r="N1770" i="1"/>
  <c r="M1770" i="1"/>
  <c r="N1769" i="1"/>
  <c r="M1769" i="1"/>
  <c r="N1768" i="1"/>
  <c r="M1768" i="1"/>
  <c r="N1767" i="1"/>
  <c r="M1767" i="1"/>
  <c r="N1697" i="1"/>
  <c r="M1697" i="1"/>
  <c r="N1696" i="1"/>
  <c r="M1696" i="1"/>
  <c r="N1695" i="1"/>
  <c r="M1695" i="1"/>
  <c r="N1694" i="1"/>
  <c r="M1694" i="1"/>
  <c r="N1693" i="1"/>
  <c r="M1693" i="1"/>
  <c r="N1692" i="1"/>
  <c r="M1692" i="1"/>
  <c r="N1691" i="1"/>
  <c r="M1691" i="1"/>
  <c r="N1690" i="1"/>
  <c r="M1690" i="1"/>
  <c r="N1609" i="1"/>
  <c r="M1609" i="1"/>
  <c r="N1608" i="1"/>
  <c r="M1608" i="1"/>
  <c r="N1607" i="1"/>
  <c r="M1607" i="1"/>
  <c r="N1606" i="1"/>
  <c r="M1606" i="1"/>
  <c r="N1605" i="1"/>
  <c r="M1605" i="1"/>
  <c r="N1604" i="1"/>
  <c r="M1604" i="1"/>
  <c r="N1603" i="1"/>
  <c r="M1603" i="1"/>
  <c r="N1602" i="1"/>
  <c r="M1602" i="1"/>
  <c r="N1564" i="1"/>
  <c r="M1564" i="1"/>
  <c r="N1563" i="1"/>
  <c r="M1563" i="1"/>
  <c r="N1562" i="1"/>
  <c r="M1562" i="1"/>
  <c r="N1532" i="1"/>
  <c r="M1532" i="1"/>
  <c r="N1531" i="1"/>
  <c r="M1531" i="1"/>
  <c r="N1498" i="1"/>
  <c r="M1498" i="1"/>
  <c r="N1497" i="1"/>
  <c r="M1497" i="1"/>
  <c r="N1496" i="1"/>
  <c r="M1496" i="1"/>
  <c r="N1495" i="1"/>
  <c r="M1495" i="1"/>
  <c r="N1419" i="1"/>
  <c r="M1419" i="1"/>
  <c r="N1418" i="1"/>
  <c r="M1418" i="1"/>
  <c r="N1417" i="1"/>
  <c r="M1417" i="1"/>
  <c r="N1416" i="1"/>
  <c r="M1416" i="1"/>
  <c r="N1415" i="1"/>
  <c r="M1415" i="1"/>
  <c r="N1414" i="1"/>
  <c r="M1414" i="1"/>
  <c r="N1413" i="1"/>
  <c r="M1413" i="1"/>
  <c r="N1348" i="1"/>
  <c r="M1348" i="1"/>
  <c r="N1347" i="1"/>
  <c r="M1347" i="1"/>
  <c r="N1346" i="1"/>
  <c r="M1346" i="1"/>
  <c r="N1345" i="1"/>
  <c r="M1345" i="1"/>
  <c r="N1344" i="1"/>
  <c r="M1344" i="1"/>
  <c r="N1309" i="1"/>
  <c r="M1309" i="1"/>
  <c r="N1308" i="1"/>
  <c r="M1308" i="1"/>
  <c r="N1300" i="1"/>
  <c r="M1300" i="1"/>
  <c r="N1299" i="1"/>
  <c r="M1299" i="1"/>
  <c r="N1284" i="1"/>
  <c r="M1284" i="1"/>
  <c r="N1283" i="1"/>
  <c r="M1283" i="1"/>
  <c r="N1271" i="1"/>
  <c r="M1271" i="1"/>
  <c r="N1270" i="1"/>
  <c r="M1270" i="1"/>
  <c r="N1269" i="1"/>
  <c r="M1269" i="1"/>
  <c r="N1268" i="1"/>
  <c r="M1268" i="1"/>
  <c r="N1257" i="1"/>
  <c r="M1257" i="1"/>
  <c r="N2856" i="1"/>
  <c r="M2856" i="1"/>
  <c r="N2855" i="1"/>
  <c r="M2855" i="1"/>
  <c r="N2854" i="1"/>
  <c r="M2854" i="1"/>
  <c r="N2853" i="1"/>
  <c r="M2853" i="1"/>
  <c r="N2852" i="1"/>
  <c r="M2852" i="1"/>
  <c r="N2830" i="1"/>
  <c r="M2830" i="1"/>
  <c r="N2829" i="1"/>
  <c r="M2829" i="1"/>
  <c r="N2828" i="1"/>
  <c r="M2828" i="1"/>
  <c r="N2827" i="1"/>
  <c r="M2827" i="1"/>
  <c r="N2826" i="1"/>
  <c r="M2826" i="1"/>
  <c r="N2790" i="1"/>
  <c r="M2790" i="1"/>
  <c r="N2789" i="1"/>
  <c r="M2789" i="1"/>
  <c r="N2788" i="1"/>
  <c r="M2788" i="1"/>
  <c r="N2787" i="1"/>
  <c r="M2787" i="1"/>
  <c r="N2786" i="1"/>
  <c r="M2786" i="1"/>
  <c r="N2785" i="1"/>
  <c r="M2785" i="1"/>
  <c r="N2784" i="1"/>
  <c r="M2784" i="1"/>
  <c r="N2783" i="1"/>
  <c r="M2783" i="1"/>
  <c r="N2782" i="1"/>
  <c r="M2782" i="1"/>
  <c r="N2760" i="1"/>
  <c r="M2760" i="1"/>
  <c r="N2739" i="1"/>
  <c r="M2739" i="1"/>
  <c r="N2738" i="1"/>
  <c r="M2738" i="1"/>
  <c r="N2737" i="1"/>
  <c r="M2737" i="1"/>
  <c r="N2663" i="1"/>
  <c r="M2663" i="1"/>
  <c r="N2662" i="1"/>
  <c r="M2662" i="1"/>
  <c r="N2661" i="1"/>
  <c r="M2661" i="1"/>
  <c r="N2660" i="1"/>
  <c r="M2660" i="1"/>
  <c r="N2659" i="1"/>
  <c r="M2659" i="1"/>
  <c r="N2658" i="1"/>
  <c r="M2658" i="1"/>
  <c r="N2657" i="1"/>
  <c r="M2657" i="1"/>
  <c r="N2656" i="1"/>
  <c r="M2656" i="1"/>
  <c r="N2655" i="1"/>
  <c r="M2655" i="1"/>
  <c r="N2654" i="1"/>
  <c r="M2654" i="1"/>
  <c r="N2653" i="1"/>
  <c r="M2653" i="1"/>
  <c r="N2570" i="1"/>
  <c r="M2570" i="1"/>
  <c r="N2569" i="1"/>
  <c r="M2569" i="1"/>
  <c r="N2568" i="1"/>
  <c r="M2568" i="1"/>
  <c r="N2567" i="1"/>
  <c r="M2567" i="1"/>
  <c r="N2566" i="1"/>
  <c r="M2566" i="1"/>
  <c r="N2565" i="1"/>
  <c r="M2565" i="1"/>
  <c r="N2564" i="1"/>
  <c r="M2564" i="1"/>
  <c r="N2563" i="1"/>
  <c r="M2563" i="1"/>
  <c r="N2555" i="1"/>
  <c r="M2555" i="1"/>
  <c r="N2554" i="1"/>
  <c r="M2554" i="1"/>
  <c r="N2517" i="1"/>
  <c r="M2517" i="1"/>
  <c r="N2516" i="1"/>
  <c r="M2516" i="1"/>
  <c r="N2515" i="1"/>
  <c r="M2515" i="1"/>
  <c r="N2514" i="1"/>
  <c r="M2514" i="1"/>
  <c r="N2513" i="1"/>
  <c r="M2513" i="1"/>
  <c r="N2512" i="1"/>
  <c r="M2512" i="1"/>
  <c r="N2511" i="1"/>
  <c r="M2511" i="1"/>
  <c r="N2510" i="1"/>
  <c r="M2510" i="1"/>
  <c r="N2509" i="1"/>
  <c r="M2509" i="1"/>
  <c r="N2508" i="1"/>
  <c r="M2508" i="1"/>
  <c r="N2507" i="1"/>
  <c r="M2507" i="1"/>
  <c r="N2406" i="1"/>
  <c r="M2406" i="1"/>
  <c r="N2405" i="1"/>
  <c r="M2405" i="1"/>
  <c r="N2404" i="1"/>
  <c r="M2404" i="1"/>
  <c r="N2403" i="1"/>
  <c r="M2403" i="1"/>
  <c r="N2402" i="1"/>
  <c r="M2402" i="1"/>
  <c r="N2401" i="1"/>
  <c r="M2401" i="1"/>
  <c r="N2400" i="1"/>
  <c r="M2400" i="1"/>
  <c r="N2399" i="1"/>
  <c r="M2399" i="1"/>
  <c r="N2398" i="1"/>
  <c r="M2398" i="1"/>
  <c r="N2397" i="1"/>
  <c r="M2397" i="1"/>
  <c r="N2396" i="1"/>
  <c r="M2396" i="1"/>
  <c r="N2395" i="1"/>
  <c r="M2395" i="1"/>
  <c r="N2394" i="1"/>
  <c r="M2394" i="1"/>
  <c r="N2320" i="1"/>
  <c r="M2320" i="1"/>
  <c r="N2319" i="1"/>
  <c r="M2319" i="1"/>
  <c r="N2318" i="1"/>
  <c r="M2318" i="1"/>
  <c r="N2317" i="1"/>
  <c r="M2317" i="1"/>
  <c r="N2316" i="1"/>
  <c r="M2316" i="1"/>
  <c r="N2315" i="1"/>
  <c r="M2315" i="1"/>
  <c r="N2314" i="1"/>
  <c r="M2314" i="1"/>
  <c r="N2313" i="1"/>
  <c r="M2313" i="1"/>
  <c r="N2312" i="1"/>
  <c r="M2312" i="1"/>
  <c r="N2214" i="1"/>
  <c r="M2214" i="1"/>
  <c r="N2213" i="1"/>
  <c r="M2213" i="1"/>
  <c r="N2212" i="1"/>
  <c r="M2212" i="1"/>
  <c r="N2211" i="1"/>
  <c r="M2211" i="1"/>
  <c r="N2210" i="1"/>
  <c r="M2210" i="1"/>
  <c r="N2209" i="1"/>
  <c r="M2209" i="1"/>
  <c r="N2208" i="1"/>
  <c r="M2208" i="1"/>
  <c r="N2207" i="1"/>
  <c r="M2207" i="1"/>
  <c r="N2206" i="1"/>
  <c r="M2206" i="1"/>
  <c r="N2205" i="1"/>
  <c r="M2205" i="1"/>
  <c r="N2197" i="1"/>
  <c r="M2197" i="1"/>
  <c r="N2119" i="1"/>
  <c r="M2119" i="1"/>
  <c r="N2118" i="1"/>
  <c r="M2118" i="1"/>
  <c r="N2117" i="1"/>
  <c r="M2117" i="1"/>
  <c r="N2116" i="1"/>
  <c r="M2116" i="1"/>
  <c r="N2115" i="1"/>
  <c r="M2115" i="1"/>
  <c r="N2114" i="1"/>
  <c r="M2114" i="1"/>
  <c r="N2113" i="1"/>
  <c r="M2113" i="1"/>
  <c r="N2112" i="1"/>
  <c r="M2112" i="1"/>
  <c r="N2111" i="1"/>
  <c r="M2111" i="1"/>
  <c r="N2012" i="1"/>
  <c r="M2012" i="1"/>
  <c r="N2011" i="1"/>
  <c r="M2011" i="1"/>
  <c r="N2010" i="1"/>
  <c r="M2010" i="1"/>
  <c r="N2009" i="1"/>
  <c r="M2009" i="1"/>
  <c r="N2008" i="1"/>
  <c r="M2008" i="1"/>
  <c r="N2007" i="1"/>
  <c r="M2007" i="1"/>
  <c r="N2006" i="1"/>
  <c r="M2006" i="1"/>
  <c r="N2005" i="1"/>
  <c r="M2005" i="1"/>
  <c r="N2004" i="1"/>
  <c r="M2004" i="1"/>
  <c r="N2003" i="1"/>
  <c r="M2003" i="1"/>
  <c r="N1995" i="1"/>
  <c r="M1995"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851" i="1"/>
  <c r="M1851" i="1"/>
  <c r="N1850" i="1"/>
  <c r="M1850" i="1"/>
  <c r="N1849" i="1"/>
  <c r="M1849" i="1"/>
  <c r="N1848" i="1"/>
  <c r="M1848" i="1"/>
  <c r="N1847" i="1"/>
  <c r="M1847" i="1"/>
  <c r="N1846" i="1"/>
  <c r="M1846" i="1"/>
  <c r="N1845" i="1"/>
  <c r="M1845" i="1"/>
  <c r="N1844" i="1"/>
  <c r="M1844" i="1"/>
  <c r="N1843" i="1"/>
  <c r="M1843" i="1"/>
  <c r="N1766" i="1"/>
  <c r="M1766" i="1"/>
  <c r="N1765" i="1"/>
  <c r="M1765" i="1"/>
  <c r="N1764" i="1"/>
  <c r="M1764" i="1"/>
  <c r="N1763" i="1"/>
  <c r="M1763" i="1"/>
  <c r="N1689" i="1"/>
  <c r="M1689" i="1"/>
  <c r="N1688" i="1"/>
  <c r="M1688" i="1"/>
  <c r="N1687" i="1"/>
  <c r="M1687" i="1"/>
  <c r="N1686" i="1"/>
  <c r="M1686" i="1"/>
  <c r="N1685" i="1"/>
  <c r="M1685" i="1"/>
  <c r="N1684" i="1"/>
  <c r="M1684" i="1"/>
  <c r="N1683" i="1"/>
  <c r="M1683" i="1"/>
  <c r="N1682" i="1"/>
  <c r="M1682" i="1"/>
  <c r="N1601" i="1"/>
  <c r="M1601" i="1"/>
  <c r="N1600" i="1"/>
  <c r="M1600" i="1"/>
  <c r="N1599" i="1"/>
  <c r="M1599" i="1"/>
  <c r="N1598" i="1"/>
  <c r="M1598" i="1"/>
  <c r="N1597" i="1"/>
  <c r="M1597" i="1"/>
  <c r="N1596" i="1"/>
  <c r="M1596" i="1"/>
  <c r="N1595" i="1"/>
  <c r="M1595" i="1"/>
  <c r="N1594" i="1"/>
  <c r="M1594" i="1"/>
  <c r="N1561" i="1"/>
  <c r="M1561" i="1"/>
  <c r="N1560" i="1"/>
  <c r="M1560" i="1"/>
  <c r="N1559" i="1"/>
  <c r="M1559" i="1"/>
  <c r="N1558" i="1"/>
  <c r="M1558" i="1"/>
  <c r="N1530" i="1"/>
  <c r="M1530" i="1"/>
  <c r="N1529" i="1"/>
  <c r="M1529" i="1"/>
  <c r="N1528" i="1"/>
  <c r="M1528" i="1"/>
  <c r="N1494" i="1"/>
  <c r="M1494" i="1"/>
  <c r="N1493" i="1"/>
  <c r="M1493" i="1"/>
  <c r="N1492" i="1"/>
  <c r="M1492" i="1"/>
  <c r="N1491" i="1"/>
  <c r="M1491" i="1"/>
  <c r="N1490" i="1"/>
  <c r="M1490" i="1"/>
  <c r="N1412" i="1"/>
  <c r="M1412" i="1"/>
  <c r="N1411" i="1"/>
  <c r="M1411" i="1"/>
  <c r="N1410" i="1"/>
  <c r="M1410" i="1"/>
  <c r="N1409" i="1"/>
  <c r="M1409" i="1"/>
  <c r="N1408" i="1"/>
  <c r="M1408" i="1"/>
  <c r="N1407" i="1"/>
  <c r="M1407" i="1"/>
  <c r="N1406" i="1"/>
  <c r="M1406" i="1"/>
  <c r="N1405" i="1"/>
  <c r="M1405" i="1"/>
  <c r="N1404" i="1"/>
  <c r="M1404" i="1"/>
  <c r="N1397" i="1"/>
  <c r="M1397" i="1"/>
  <c r="N1343" i="1"/>
  <c r="M1343" i="1"/>
  <c r="N1342" i="1"/>
  <c r="M1342" i="1"/>
  <c r="N1341" i="1"/>
  <c r="M1341" i="1"/>
  <c r="N1340" i="1"/>
  <c r="M1340" i="1"/>
  <c r="N1339" i="1"/>
  <c r="M1339" i="1"/>
  <c r="N1338" i="1"/>
  <c r="M1338" i="1"/>
  <c r="N1327" i="1"/>
  <c r="M1327" i="1"/>
  <c r="N1326" i="1"/>
  <c r="M1326" i="1"/>
  <c r="N1325" i="1"/>
  <c r="M1325" i="1"/>
  <c r="N1321" i="1"/>
  <c r="M1321" i="1"/>
  <c r="N1320" i="1"/>
  <c r="M1320" i="1"/>
  <c r="N1307" i="1"/>
  <c r="M1307" i="1"/>
  <c r="N1306" i="1"/>
  <c r="M1306" i="1"/>
  <c r="N1282" i="1"/>
  <c r="M1282" i="1"/>
  <c r="N1267" i="1"/>
  <c r="M1267" i="1"/>
  <c r="N1266" i="1"/>
  <c r="M1266" i="1"/>
  <c r="N2851" i="1"/>
  <c r="M2851" i="1"/>
  <c r="N2850" i="1"/>
  <c r="M2850" i="1"/>
  <c r="N2849" i="1"/>
  <c r="M2849" i="1"/>
  <c r="N2848" i="1"/>
  <c r="M2848" i="1"/>
  <c r="N2847" i="1"/>
  <c r="M2847" i="1"/>
  <c r="N2846" i="1"/>
  <c r="M2846" i="1"/>
  <c r="N2845" i="1"/>
  <c r="M2845" i="1"/>
  <c r="N2781" i="1"/>
  <c r="M2781" i="1"/>
  <c r="N2780" i="1"/>
  <c r="M2780" i="1"/>
  <c r="N2736" i="1"/>
  <c r="M2736" i="1"/>
  <c r="N2735" i="1"/>
  <c r="M2735" i="1"/>
  <c r="N2734" i="1"/>
  <c r="M2734" i="1"/>
  <c r="N2652" i="1"/>
  <c r="M2652" i="1"/>
  <c r="N2651" i="1"/>
  <c r="M2651" i="1"/>
  <c r="N2650" i="1"/>
  <c r="M2650" i="1"/>
  <c r="N2649" i="1"/>
  <c r="M2649" i="1"/>
  <c r="N2648" i="1"/>
  <c r="M2648" i="1"/>
  <c r="N2647" i="1"/>
  <c r="M2647" i="1"/>
  <c r="N2562" i="1"/>
  <c r="M2562" i="1"/>
  <c r="N2561" i="1"/>
  <c r="M2561" i="1"/>
  <c r="N2560" i="1"/>
  <c r="M2560" i="1"/>
  <c r="N2559" i="1"/>
  <c r="M2559" i="1"/>
  <c r="N2558" i="1"/>
  <c r="M2558" i="1"/>
  <c r="N2557" i="1"/>
  <c r="M2557" i="1"/>
  <c r="N2506" i="1"/>
  <c r="M2506" i="1"/>
  <c r="N2505" i="1"/>
  <c r="M2505" i="1"/>
  <c r="N2504" i="1"/>
  <c r="M2504" i="1"/>
  <c r="N2503" i="1"/>
  <c r="M2503" i="1"/>
  <c r="N2502" i="1"/>
  <c r="M2502" i="1"/>
  <c r="N2501" i="1"/>
  <c r="M2501" i="1"/>
  <c r="N2500" i="1"/>
  <c r="M2500" i="1"/>
  <c r="N2499" i="1"/>
  <c r="M2499" i="1"/>
  <c r="N2498" i="1"/>
  <c r="M2498" i="1"/>
  <c r="N2497" i="1"/>
  <c r="M2497" i="1"/>
  <c r="N2496" i="1"/>
  <c r="M2496" i="1"/>
  <c r="N2393" i="1"/>
  <c r="M2393" i="1"/>
  <c r="N2392" i="1"/>
  <c r="M2392" i="1"/>
  <c r="N2391" i="1"/>
  <c r="M2391" i="1"/>
  <c r="N2390" i="1"/>
  <c r="M2390" i="1"/>
  <c r="N2389" i="1"/>
  <c r="M2389" i="1"/>
  <c r="N2388" i="1"/>
  <c r="M2388" i="1"/>
  <c r="N2387" i="1"/>
  <c r="M2387" i="1"/>
  <c r="N2386" i="1"/>
  <c r="M2386" i="1"/>
  <c r="N2311" i="1"/>
  <c r="M2311" i="1"/>
  <c r="N2310" i="1"/>
  <c r="M2310" i="1"/>
  <c r="N2309" i="1"/>
  <c r="M2309" i="1"/>
  <c r="N2308" i="1"/>
  <c r="M2308" i="1"/>
  <c r="N2307" i="1"/>
  <c r="M2307" i="1"/>
  <c r="N2306" i="1"/>
  <c r="M2306" i="1"/>
  <c r="N2305" i="1"/>
  <c r="M2305" i="1"/>
  <c r="N2204" i="1"/>
  <c r="M2204" i="1"/>
  <c r="N2203" i="1"/>
  <c r="M2203" i="1"/>
  <c r="N2202" i="1"/>
  <c r="M2202" i="1"/>
  <c r="N2201" i="1"/>
  <c r="M2201" i="1"/>
  <c r="N2200" i="1"/>
  <c r="M2200" i="1"/>
  <c r="N2199" i="1"/>
  <c r="M2199" i="1"/>
  <c r="N2198" i="1"/>
  <c r="M2198" i="1"/>
  <c r="N2196" i="1"/>
  <c r="M2196" i="1"/>
  <c r="N2195" i="1"/>
  <c r="M2195" i="1"/>
  <c r="N2194" i="1"/>
  <c r="M2194" i="1"/>
  <c r="N2193" i="1"/>
  <c r="M2193" i="1"/>
  <c r="N2110" i="1"/>
  <c r="M2110" i="1"/>
  <c r="N2109" i="1"/>
  <c r="M2109" i="1"/>
  <c r="N2108" i="1"/>
  <c r="M2108" i="1"/>
  <c r="N2107" i="1"/>
  <c r="M2107" i="1"/>
  <c r="N2106" i="1"/>
  <c r="M2106" i="1"/>
  <c r="N2105" i="1"/>
  <c r="M2105" i="1"/>
  <c r="N2104" i="1"/>
  <c r="M2104" i="1"/>
  <c r="N2103" i="1"/>
  <c r="M2103" i="1"/>
  <c r="N2002" i="1"/>
  <c r="M2002" i="1"/>
  <c r="N2001" i="1"/>
  <c r="M2001" i="1"/>
  <c r="N2000" i="1"/>
  <c r="M2000" i="1"/>
  <c r="N1999" i="1"/>
  <c r="M1999" i="1"/>
  <c r="N1998" i="1"/>
  <c r="M1998" i="1"/>
  <c r="N1997" i="1"/>
  <c r="M1997" i="1"/>
  <c r="N1996" i="1"/>
  <c r="M1996" i="1"/>
  <c r="N1908" i="1"/>
  <c r="M1908" i="1"/>
  <c r="N1907" i="1"/>
  <c r="M1907" i="1"/>
  <c r="N1906" i="1"/>
  <c r="M1906" i="1"/>
  <c r="N1905" i="1"/>
  <c r="M1905" i="1"/>
  <c r="N1842" i="1"/>
  <c r="M1842" i="1"/>
  <c r="N1841" i="1"/>
  <c r="M1841" i="1"/>
  <c r="N1840" i="1"/>
  <c r="M1840" i="1"/>
  <c r="N1839" i="1"/>
  <c r="M1839" i="1"/>
  <c r="N1762" i="1"/>
  <c r="M1762" i="1"/>
  <c r="N1761" i="1"/>
  <c r="M1761" i="1"/>
  <c r="N1760" i="1"/>
  <c r="M1760" i="1"/>
  <c r="N1759" i="1"/>
  <c r="M1759" i="1"/>
  <c r="N1758" i="1"/>
  <c r="M1758" i="1"/>
  <c r="N1757" i="1"/>
  <c r="M1757" i="1"/>
  <c r="N1681" i="1"/>
  <c r="M1681" i="1"/>
  <c r="N1680" i="1"/>
  <c r="M1680" i="1"/>
  <c r="N1679" i="1"/>
  <c r="M1679" i="1"/>
  <c r="N1678" i="1"/>
  <c r="M1678" i="1"/>
  <c r="N1677" i="1"/>
  <c r="M1677" i="1"/>
  <c r="N1676" i="1"/>
  <c r="M1676" i="1"/>
  <c r="N1675" i="1"/>
  <c r="M1675" i="1"/>
  <c r="N1593" i="1"/>
  <c r="M1593" i="1"/>
  <c r="N1592" i="1"/>
  <c r="M1592" i="1"/>
  <c r="N1591" i="1"/>
  <c r="M1591" i="1"/>
  <c r="N1590" i="1"/>
  <c r="M1590" i="1"/>
  <c r="N1589" i="1"/>
  <c r="M1589" i="1"/>
  <c r="N1588" i="1"/>
  <c r="M1588" i="1"/>
  <c r="N1587" i="1"/>
  <c r="M1587" i="1"/>
  <c r="N1557" i="1"/>
  <c r="M1557" i="1"/>
  <c r="N1556" i="1"/>
  <c r="M1556" i="1"/>
  <c r="N1555" i="1"/>
  <c r="M1555" i="1"/>
  <c r="N1527" i="1"/>
  <c r="M1527" i="1"/>
  <c r="N1489" i="1"/>
  <c r="M1489" i="1"/>
  <c r="N1488" i="1"/>
  <c r="M1488" i="1"/>
  <c r="N1487" i="1"/>
  <c r="M1487" i="1"/>
  <c r="N1486" i="1"/>
  <c r="M1486" i="1"/>
  <c r="N1485" i="1"/>
  <c r="M1485" i="1"/>
  <c r="N1403" i="1"/>
  <c r="M1403" i="1"/>
  <c r="N1402" i="1"/>
  <c r="M1402" i="1"/>
  <c r="N1401" i="1"/>
  <c r="M1401" i="1"/>
  <c r="N1400" i="1"/>
  <c r="M1400" i="1"/>
  <c r="N1399" i="1"/>
  <c r="M1399" i="1"/>
  <c r="N1398" i="1"/>
  <c r="M1398" i="1"/>
  <c r="N1396" i="1"/>
  <c r="M1396" i="1"/>
  <c r="N1395" i="1"/>
  <c r="M1395" i="1"/>
  <c r="N1337" i="1"/>
  <c r="M1337" i="1"/>
  <c r="N1336" i="1"/>
  <c r="M1336" i="1"/>
  <c r="N1335" i="1"/>
  <c r="M1335" i="1"/>
  <c r="N1324" i="1"/>
  <c r="M1324" i="1"/>
  <c r="N1323" i="1"/>
  <c r="M1323" i="1"/>
  <c r="N1298" i="1"/>
  <c r="M1298" i="1"/>
  <c r="N1297" i="1"/>
  <c r="M1297" i="1"/>
  <c r="N1281" i="1"/>
  <c r="M1281" i="1"/>
  <c r="N1280" i="1"/>
  <c r="M1280" i="1"/>
  <c r="N1265" i="1"/>
  <c r="M1265" i="1"/>
  <c r="N1264" i="1"/>
  <c r="M1264" i="1"/>
  <c r="N1263" i="1"/>
  <c r="M1263" i="1"/>
  <c r="N2944" i="1"/>
  <c r="M2944" i="1"/>
  <c r="N2943" i="1"/>
  <c r="M2943" i="1"/>
  <c r="N2942" i="1"/>
  <c r="M2942" i="1"/>
  <c r="N2941" i="1"/>
  <c r="M2941" i="1"/>
  <c r="N2940" i="1"/>
  <c r="M2940" i="1"/>
  <c r="N2939" i="1"/>
  <c r="M2939" i="1"/>
  <c r="N2938" i="1"/>
  <c r="M2938" i="1"/>
  <c r="N2937" i="1"/>
  <c r="M2937" i="1"/>
  <c r="N2936" i="1"/>
  <c r="M2936" i="1"/>
  <c r="N2935" i="1"/>
  <c r="M2935" i="1"/>
  <c r="N2934" i="1"/>
  <c r="M2934" i="1"/>
  <c r="N2933" i="1"/>
  <c r="M2933" i="1"/>
  <c r="N2932" i="1"/>
  <c r="M2932" i="1"/>
  <c r="N2931" i="1"/>
  <c r="M2931" i="1"/>
  <c r="N2930" i="1"/>
  <c r="M2930" i="1"/>
  <c r="N2929" i="1"/>
  <c r="M2929" i="1"/>
  <c r="N2928" i="1"/>
  <c r="M2928" i="1"/>
  <c r="N2927" i="1"/>
  <c r="M2927" i="1"/>
  <c r="N2950" i="1"/>
  <c r="M2950" i="1"/>
  <c r="N2926" i="1"/>
  <c r="M2926" i="1"/>
  <c r="N2925" i="1"/>
  <c r="M2925" i="1"/>
  <c r="N2924" i="1"/>
  <c r="M2924" i="1"/>
  <c r="N2953" i="1"/>
  <c r="M2953" i="1"/>
  <c r="N2923" i="1"/>
  <c r="M2923" i="1"/>
  <c r="N2922" i="1"/>
  <c r="M2922" i="1"/>
  <c r="N2921" i="1"/>
  <c r="M2921" i="1"/>
  <c r="N2920" i="1"/>
  <c r="M2920" i="1"/>
  <c r="N2952" i="1"/>
  <c r="M2952" i="1"/>
  <c r="N2949" i="1"/>
  <c r="M2949" i="1"/>
  <c r="N2948" i="1"/>
  <c r="M2948" i="1"/>
  <c r="N2919" i="1"/>
  <c r="M2919" i="1"/>
  <c r="N2918" i="1"/>
  <c r="M2918" i="1"/>
  <c r="N2917" i="1"/>
  <c r="M2917" i="1"/>
  <c r="N2916" i="1"/>
  <c r="M2916" i="1"/>
  <c r="N2915" i="1"/>
  <c r="M2915" i="1"/>
  <c r="N2914" i="1"/>
  <c r="M2914" i="1"/>
  <c r="N2951" i="1"/>
  <c r="M2951" i="1"/>
  <c r="N2947" i="1"/>
  <c r="M2947" i="1"/>
  <c r="N2946" i="1"/>
  <c r="M2946" i="1"/>
  <c r="N2945" i="1"/>
  <c r="M2945" i="1"/>
  <c r="N2913" i="1"/>
  <c r="M2913" i="1"/>
  <c r="N2912" i="1"/>
  <c r="M2912" i="1"/>
  <c r="N2911" i="1"/>
  <c r="M2911" i="1"/>
  <c r="N2910" i="1"/>
  <c r="M2910" i="1"/>
  <c r="N2909" i="1"/>
  <c r="M2909" i="1"/>
  <c r="N2908" i="1"/>
  <c r="M2908" i="1"/>
  <c r="N2907" i="1"/>
  <c r="M2907" i="1"/>
  <c r="N2906" i="1"/>
  <c r="M2906" i="1"/>
  <c r="N2905" i="1"/>
  <c r="M2905" i="1"/>
  <c r="N2904" i="1"/>
  <c r="M2904" i="1"/>
  <c r="N1256" i="1"/>
  <c r="M1256" i="1"/>
  <c r="N1255" i="1"/>
  <c r="M1255" i="1"/>
  <c r="N1254" i="1"/>
  <c r="M1254" i="1"/>
  <c r="N1253" i="1"/>
  <c r="M1253" i="1"/>
  <c r="N1252" i="1"/>
  <c r="M1252" i="1"/>
  <c r="N1251" i="1"/>
  <c r="M1251" i="1"/>
  <c r="N1250" i="1"/>
  <c r="M1250" i="1"/>
  <c r="N1249" i="1"/>
  <c r="M1249" i="1"/>
  <c r="N1248" i="1"/>
  <c r="M1248" i="1"/>
  <c r="N1247" i="1"/>
  <c r="M1247" i="1"/>
  <c r="N1137" i="1"/>
  <c r="M1137" i="1"/>
  <c r="N1136" i="1"/>
  <c r="M1136" i="1"/>
  <c r="N1135" i="1"/>
  <c r="M1135" i="1"/>
  <c r="N1134" i="1"/>
  <c r="M1134" i="1"/>
  <c r="N1133" i="1"/>
  <c r="M1133" i="1"/>
  <c r="N1132" i="1"/>
  <c r="M1132" i="1"/>
  <c r="N1131" i="1"/>
  <c r="M1131" i="1"/>
  <c r="N1051" i="1"/>
  <c r="M1051" i="1"/>
  <c r="N1050" i="1"/>
  <c r="M1050" i="1"/>
  <c r="N1049" i="1"/>
  <c r="M1049" i="1"/>
  <c r="N1048" i="1"/>
  <c r="M1048" i="1"/>
  <c r="N1047" i="1"/>
  <c r="M1047" i="1"/>
  <c r="N1046" i="1"/>
  <c r="M1046" i="1"/>
  <c r="N965" i="1"/>
  <c r="M965" i="1"/>
  <c r="N964" i="1"/>
  <c r="M964" i="1"/>
  <c r="N963" i="1"/>
  <c r="M963" i="1"/>
  <c r="N962" i="1"/>
  <c r="M962" i="1"/>
  <c r="N961" i="1"/>
  <c r="M961" i="1"/>
  <c r="N960" i="1"/>
  <c r="M960" i="1"/>
  <c r="N959" i="1"/>
  <c r="M959" i="1"/>
  <c r="N958" i="1"/>
  <c r="M958" i="1"/>
  <c r="N957" i="1"/>
  <c r="M957" i="1"/>
  <c r="N956" i="1"/>
  <c r="M956" i="1"/>
  <c r="N955" i="1"/>
  <c r="M955" i="1"/>
  <c r="N850" i="1"/>
  <c r="M850" i="1"/>
  <c r="N849" i="1"/>
  <c r="M849" i="1"/>
  <c r="N848" i="1"/>
  <c r="M848" i="1"/>
  <c r="N847" i="1"/>
  <c r="M847" i="1"/>
  <c r="N846" i="1"/>
  <c r="M846" i="1"/>
  <c r="N845" i="1"/>
  <c r="M845" i="1"/>
  <c r="N844" i="1"/>
  <c r="M844" i="1"/>
  <c r="N843" i="1"/>
  <c r="M843" i="1"/>
  <c r="N842" i="1"/>
  <c r="M842" i="1"/>
  <c r="N841" i="1"/>
  <c r="M841" i="1"/>
  <c r="N840" i="1"/>
  <c r="M840"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591" i="1"/>
  <c r="M591" i="1"/>
  <c r="N590" i="1"/>
  <c r="M590" i="1"/>
  <c r="N589" i="1"/>
  <c r="M589" i="1"/>
  <c r="N588" i="1"/>
  <c r="M588" i="1"/>
  <c r="N587" i="1"/>
  <c r="M587" i="1"/>
  <c r="N586" i="1"/>
  <c r="M586" i="1"/>
  <c r="N585" i="1"/>
  <c r="M585" i="1"/>
  <c r="N584" i="1"/>
  <c r="M584" i="1"/>
  <c r="N583" i="1"/>
  <c r="M583" i="1"/>
  <c r="N582" i="1"/>
  <c r="M582" i="1"/>
  <c r="N581" i="1"/>
  <c r="M581" i="1"/>
  <c r="N580" i="1"/>
  <c r="M580" i="1"/>
  <c r="N442" i="1"/>
  <c r="M442" i="1"/>
  <c r="N441" i="1"/>
  <c r="M441" i="1"/>
  <c r="N440" i="1"/>
  <c r="M440" i="1"/>
  <c r="N439" i="1"/>
  <c r="M439" i="1"/>
  <c r="N438" i="1"/>
  <c r="M438" i="1"/>
  <c r="N437" i="1"/>
  <c r="M437" i="1"/>
  <c r="N436" i="1"/>
  <c r="M436" i="1"/>
  <c r="N435" i="1"/>
  <c r="M435" i="1"/>
  <c r="N434" i="1"/>
  <c r="M434" i="1"/>
  <c r="N433" i="1"/>
  <c r="M433" i="1"/>
  <c r="N432" i="1"/>
  <c r="M432" i="1"/>
  <c r="N431" i="1"/>
  <c r="M431" i="1"/>
  <c r="N295" i="1"/>
  <c r="M295" i="1"/>
  <c r="N294" i="1"/>
  <c r="M294" i="1"/>
  <c r="N293" i="1"/>
  <c r="M293" i="1"/>
  <c r="N292" i="1"/>
  <c r="M292" i="1"/>
  <c r="N291" i="1"/>
  <c r="M291" i="1"/>
  <c r="N290" i="1"/>
  <c r="M290" i="1"/>
  <c r="N289" i="1"/>
  <c r="M289" i="1"/>
  <c r="N288" i="1"/>
  <c r="M288" i="1"/>
  <c r="N287" i="1"/>
  <c r="M287" i="1"/>
  <c r="N286" i="1"/>
  <c r="M286" i="1"/>
  <c r="N285" i="1"/>
  <c r="M285" i="1"/>
  <c r="N284" i="1"/>
  <c r="M284" i="1"/>
  <c r="N148" i="1"/>
  <c r="M148" i="1"/>
  <c r="N147" i="1"/>
  <c r="M147" i="1"/>
  <c r="N146" i="1"/>
  <c r="M146" i="1"/>
  <c r="N145" i="1"/>
  <c r="M145" i="1"/>
  <c r="N144" i="1"/>
  <c r="M144" i="1"/>
  <c r="N143" i="1"/>
  <c r="M143" i="1"/>
  <c r="N142" i="1"/>
  <c r="M142" i="1"/>
  <c r="N141" i="1"/>
  <c r="M141" i="1"/>
  <c r="N140" i="1"/>
  <c r="M140" i="1"/>
  <c r="N139" i="1"/>
  <c r="M139" i="1"/>
  <c r="N138" i="1"/>
  <c r="M138" i="1"/>
  <c r="N137" i="1"/>
  <c r="M137" i="1"/>
  <c r="N1246" i="1"/>
  <c r="M1246" i="1"/>
  <c r="N1245" i="1"/>
  <c r="M1245" i="1"/>
  <c r="N1244" i="1"/>
  <c r="M1244" i="1"/>
  <c r="N1243" i="1"/>
  <c r="M1243" i="1"/>
  <c r="N1045" i="1"/>
  <c r="M1045" i="1"/>
  <c r="N1044" i="1"/>
  <c r="M1044" i="1"/>
  <c r="N1043" i="1"/>
  <c r="M1043" i="1"/>
  <c r="N1042" i="1"/>
  <c r="M1042" i="1"/>
  <c r="N1041" i="1"/>
  <c r="M1041" i="1"/>
  <c r="N1040" i="1"/>
  <c r="M1040" i="1"/>
  <c r="N1039" i="1"/>
  <c r="M1039" i="1"/>
  <c r="N954" i="1"/>
  <c r="M954" i="1"/>
  <c r="N953" i="1"/>
  <c r="M953" i="1"/>
  <c r="N952" i="1"/>
  <c r="M952" i="1"/>
  <c r="N951" i="1"/>
  <c r="M951" i="1"/>
  <c r="N950" i="1"/>
  <c r="M950" i="1"/>
  <c r="N949" i="1"/>
  <c r="M949" i="1"/>
  <c r="N948" i="1"/>
  <c r="M948" i="1"/>
  <c r="N947" i="1"/>
  <c r="M947" i="1"/>
  <c r="N946" i="1"/>
  <c r="M946" i="1"/>
  <c r="N839" i="1"/>
  <c r="M839" i="1"/>
  <c r="N838" i="1"/>
  <c r="M838" i="1"/>
  <c r="N837" i="1"/>
  <c r="M837" i="1"/>
  <c r="N836" i="1"/>
  <c r="M836" i="1"/>
  <c r="N835" i="1"/>
  <c r="M835" i="1"/>
  <c r="N834" i="1"/>
  <c r="M834" i="1"/>
  <c r="N833" i="1"/>
  <c r="M833" i="1"/>
  <c r="N721" i="1"/>
  <c r="M721" i="1"/>
  <c r="N720" i="1"/>
  <c r="M720" i="1"/>
  <c r="N719" i="1"/>
  <c r="M719" i="1"/>
  <c r="N718" i="1"/>
  <c r="M718" i="1"/>
  <c r="N717" i="1"/>
  <c r="M717" i="1"/>
  <c r="N716" i="1"/>
  <c r="M716" i="1"/>
  <c r="N715" i="1"/>
  <c r="M715" i="1"/>
  <c r="N714" i="1"/>
  <c r="M714" i="1"/>
  <c r="N713" i="1"/>
  <c r="M713" i="1"/>
  <c r="N712" i="1"/>
  <c r="M712" i="1"/>
  <c r="N711" i="1"/>
  <c r="M711" i="1"/>
  <c r="N579" i="1"/>
  <c r="M579" i="1"/>
  <c r="N578" i="1"/>
  <c r="M578" i="1"/>
  <c r="N577" i="1"/>
  <c r="M577" i="1"/>
  <c r="N576" i="1"/>
  <c r="M576" i="1"/>
  <c r="N575" i="1"/>
  <c r="M575" i="1"/>
  <c r="N574" i="1"/>
  <c r="M574" i="1"/>
  <c r="N573" i="1"/>
  <c r="M573" i="1"/>
  <c r="N572" i="1"/>
  <c r="M572" i="1"/>
  <c r="N571" i="1"/>
  <c r="M571" i="1"/>
  <c r="N570" i="1"/>
  <c r="M570" i="1"/>
  <c r="N569" i="1"/>
  <c r="M569" i="1"/>
  <c r="N568" i="1"/>
  <c r="M568" i="1"/>
  <c r="N430" i="1"/>
  <c r="M430" i="1"/>
  <c r="N429" i="1"/>
  <c r="M429" i="1"/>
  <c r="N428" i="1"/>
  <c r="M428" i="1"/>
  <c r="N427" i="1"/>
  <c r="M427" i="1"/>
  <c r="N426" i="1"/>
  <c r="M426" i="1"/>
  <c r="N425" i="1"/>
  <c r="M425" i="1"/>
  <c r="N424" i="1"/>
  <c r="M424" i="1"/>
  <c r="N423" i="1"/>
  <c r="M423" i="1"/>
  <c r="N422" i="1"/>
  <c r="M422" i="1"/>
  <c r="N421" i="1"/>
  <c r="M421" i="1"/>
  <c r="N420" i="1"/>
  <c r="M420" i="1"/>
  <c r="N419" i="1"/>
  <c r="M419" i="1"/>
  <c r="N283" i="1"/>
  <c r="M283" i="1"/>
  <c r="N282" i="1"/>
  <c r="M282" i="1"/>
  <c r="N281" i="1"/>
  <c r="M281" i="1"/>
  <c r="N280" i="1"/>
  <c r="M280" i="1"/>
  <c r="N279" i="1"/>
  <c r="M279" i="1"/>
  <c r="N278" i="1"/>
  <c r="M278" i="1"/>
  <c r="N277" i="1"/>
  <c r="M277" i="1"/>
  <c r="N276" i="1"/>
  <c r="M276" i="1"/>
  <c r="N275" i="1"/>
  <c r="M275" i="1"/>
  <c r="N274" i="1"/>
  <c r="M274" i="1"/>
  <c r="N136" i="1"/>
  <c r="M136" i="1"/>
  <c r="N135" i="1"/>
  <c r="M135" i="1"/>
  <c r="N134" i="1"/>
  <c r="M134" i="1"/>
  <c r="N133" i="1"/>
  <c r="M133" i="1"/>
  <c r="N132" i="1"/>
  <c r="M132" i="1"/>
  <c r="N131" i="1"/>
  <c r="M131" i="1"/>
  <c r="N130" i="1"/>
  <c r="M130" i="1"/>
  <c r="N129" i="1"/>
  <c r="M129" i="1"/>
  <c r="N128" i="1"/>
  <c r="M128" i="1"/>
  <c r="N127" i="1"/>
  <c r="M127" i="1"/>
  <c r="N126" i="1"/>
  <c r="M126" i="1"/>
  <c r="N125" i="1"/>
  <c r="M125"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130" i="1"/>
  <c r="M1130" i="1"/>
  <c r="N1129" i="1"/>
  <c r="M1129" i="1"/>
  <c r="N1128" i="1"/>
  <c r="M1128" i="1"/>
  <c r="N1127" i="1"/>
  <c r="M1127" i="1"/>
  <c r="N1126" i="1"/>
  <c r="M1126" i="1"/>
  <c r="N1125" i="1"/>
  <c r="M1125" i="1"/>
  <c r="N1124" i="1"/>
  <c r="M1124" i="1"/>
  <c r="N1038" i="1"/>
  <c r="M1038" i="1"/>
  <c r="N1037" i="1"/>
  <c r="M1037" i="1"/>
  <c r="N1036" i="1"/>
  <c r="M1036" i="1"/>
  <c r="N1035" i="1"/>
  <c r="M1035" i="1"/>
  <c r="N1034" i="1"/>
  <c r="M1034" i="1"/>
  <c r="N1033" i="1"/>
  <c r="M1033" i="1"/>
  <c r="N1032" i="1"/>
  <c r="M1032" i="1"/>
  <c r="N1031" i="1"/>
  <c r="M1031" i="1"/>
  <c r="N945" i="1"/>
  <c r="M945" i="1"/>
  <c r="N944" i="1"/>
  <c r="M944" i="1"/>
  <c r="N943" i="1"/>
  <c r="M943" i="1"/>
  <c r="N942" i="1"/>
  <c r="M942" i="1"/>
  <c r="N941" i="1"/>
  <c r="M941" i="1"/>
  <c r="N940" i="1"/>
  <c r="M940" i="1"/>
  <c r="N939" i="1"/>
  <c r="M939" i="1"/>
  <c r="N938" i="1"/>
  <c r="M938" i="1"/>
  <c r="N937" i="1"/>
  <c r="M937" i="1"/>
  <c r="N832" i="1"/>
  <c r="M832" i="1"/>
  <c r="N831" i="1"/>
  <c r="M831" i="1"/>
  <c r="N830" i="1"/>
  <c r="M830" i="1"/>
  <c r="N829" i="1"/>
  <c r="M829" i="1"/>
  <c r="N828" i="1"/>
  <c r="M828" i="1"/>
  <c r="N827" i="1"/>
  <c r="M827" i="1"/>
  <c r="N826" i="1"/>
  <c r="M826" i="1"/>
  <c r="N825" i="1"/>
  <c r="M825" i="1"/>
  <c r="N824" i="1"/>
  <c r="M824" i="1"/>
  <c r="N823" i="1"/>
  <c r="M823"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567" i="1"/>
  <c r="M567" i="1"/>
  <c r="N566" i="1"/>
  <c r="M566" i="1"/>
  <c r="N565" i="1"/>
  <c r="M565" i="1"/>
  <c r="N564" i="1"/>
  <c r="M564" i="1"/>
  <c r="N563" i="1"/>
  <c r="M563" i="1"/>
  <c r="N562" i="1"/>
  <c r="M562" i="1"/>
  <c r="N561" i="1"/>
  <c r="M561" i="1"/>
  <c r="N560" i="1"/>
  <c r="M560" i="1"/>
  <c r="N559" i="1"/>
  <c r="M559" i="1"/>
  <c r="N558" i="1"/>
  <c r="M558" i="1"/>
  <c r="N557" i="1"/>
  <c r="M557" i="1"/>
  <c r="N556" i="1"/>
  <c r="M556" i="1"/>
  <c r="N418" i="1"/>
  <c r="M418" i="1"/>
  <c r="N417" i="1"/>
  <c r="M417" i="1"/>
  <c r="N416" i="1"/>
  <c r="M416" i="1"/>
  <c r="N415" i="1"/>
  <c r="M415" i="1"/>
  <c r="N414" i="1"/>
  <c r="M414" i="1"/>
  <c r="N413" i="1"/>
  <c r="M413" i="1"/>
  <c r="N412" i="1"/>
  <c r="M412" i="1"/>
  <c r="N411" i="1"/>
  <c r="M411" i="1"/>
  <c r="N410" i="1"/>
  <c r="M410" i="1"/>
  <c r="N409" i="1"/>
  <c r="M409" i="1"/>
  <c r="N408" i="1"/>
  <c r="M408" i="1"/>
  <c r="N407" i="1"/>
  <c r="M407" i="1"/>
  <c r="N273" i="1"/>
  <c r="M273" i="1"/>
  <c r="N272" i="1"/>
  <c r="M272" i="1"/>
  <c r="N271" i="1"/>
  <c r="M271" i="1"/>
  <c r="N270" i="1"/>
  <c r="M270" i="1"/>
  <c r="N269" i="1"/>
  <c r="M269" i="1"/>
  <c r="N268" i="1"/>
  <c r="M268" i="1"/>
  <c r="N267" i="1"/>
  <c r="M267" i="1"/>
  <c r="N266" i="1"/>
  <c r="M266" i="1"/>
  <c r="N265" i="1"/>
  <c r="M265" i="1"/>
  <c r="N264" i="1"/>
  <c r="M264" i="1"/>
  <c r="N263" i="1"/>
  <c r="M263" i="1"/>
  <c r="N262" i="1"/>
  <c r="M262"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229" i="1"/>
  <c r="M1229" i="1"/>
  <c r="N1228" i="1"/>
  <c r="M1228" i="1"/>
  <c r="N1227" i="1"/>
  <c r="M1227" i="1"/>
  <c r="N1226" i="1"/>
  <c r="M1226" i="1"/>
  <c r="N1225" i="1"/>
  <c r="M1225" i="1"/>
  <c r="N1224" i="1"/>
  <c r="M1224" i="1"/>
  <c r="N1223" i="1"/>
  <c r="M1223" i="1"/>
  <c r="N1222" i="1"/>
  <c r="M1222" i="1"/>
  <c r="N1221" i="1"/>
  <c r="M1221" i="1"/>
  <c r="N1220" i="1"/>
  <c r="M1220" i="1"/>
  <c r="N1219" i="1"/>
  <c r="M1219" i="1"/>
  <c r="N1123" i="1"/>
  <c r="M1123" i="1"/>
  <c r="N1122" i="1"/>
  <c r="M1122" i="1"/>
  <c r="N1121" i="1"/>
  <c r="M1121" i="1"/>
  <c r="N1120" i="1"/>
  <c r="M1120" i="1"/>
  <c r="N1119" i="1"/>
  <c r="M1119" i="1"/>
  <c r="N1118" i="1"/>
  <c r="M1118" i="1"/>
  <c r="N1117" i="1"/>
  <c r="M1117" i="1"/>
  <c r="N1030" i="1"/>
  <c r="M1030" i="1"/>
  <c r="N1029" i="1"/>
  <c r="M1029" i="1"/>
  <c r="N1028" i="1"/>
  <c r="M1028" i="1"/>
  <c r="N1027" i="1"/>
  <c r="M1027" i="1"/>
  <c r="N1026" i="1"/>
  <c r="M1026" i="1"/>
  <c r="N1025" i="1"/>
  <c r="M1025" i="1"/>
  <c r="N1024" i="1"/>
  <c r="M1024" i="1"/>
  <c r="N936" i="1"/>
  <c r="M936" i="1"/>
  <c r="N935" i="1"/>
  <c r="M935" i="1"/>
  <c r="N934" i="1"/>
  <c r="M934" i="1"/>
  <c r="N933" i="1"/>
  <c r="M933" i="1"/>
  <c r="N932" i="1"/>
  <c r="M932" i="1"/>
  <c r="N931" i="1"/>
  <c r="M931" i="1"/>
  <c r="N930" i="1"/>
  <c r="M930" i="1"/>
  <c r="N929" i="1"/>
  <c r="M929" i="1"/>
  <c r="N928" i="1"/>
  <c r="M928" i="1"/>
  <c r="N822" i="1"/>
  <c r="M822" i="1"/>
  <c r="N821" i="1"/>
  <c r="M821" i="1"/>
  <c r="N820" i="1"/>
  <c r="M820" i="1"/>
  <c r="N819" i="1"/>
  <c r="M819" i="1"/>
  <c r="N818" i="1"/>
  <c r="M818" i="1"/>
  <c r="N817" i="1"/>
  <c r="M817" i="1"/>
  <c r="N816" i="1"/>
  <c r="M816" i="1"/>
  <c r="N815" i="1"/>
  <c r="M815" i="1"/>
  <c r="N814" i="1"/>
  <c r="M814" i="1"/>
  <c r="N813" i="1"/>
  <c r="M813" i="1"/>
  <c r="N697" i="1"/>
  <c r="M697" i="1"/>
  <c r="N696" i="1"/>
  <c r="M696" i="1"/>
  <c r="N695" i="1"/>
  <c r="M695" i="1"/>
  <c r="N694" i="1"/>
  <c r="M694" i="1"/>
  <c r="N693" i="1"/>
  <c r="M693" i="1"/>
  <c r="N692" i="1"/>
  <c r="M692" i="1"/>
  <c r="N691" i="1"/>
  <c r="M691" i="1"/>
  <c r="N690" i="1"/>
  <c r="M690" i="1"/>
  <c r="N689" i="1"/>
  <c r="M689" i="1"/>
  <c r="N688" i="1"/>
  <c r="M688" i="1"/>
  <c r="N687" i="1"/>
  <c r="M687" i="1"/>
  <c r="N686" i="1"/>
  <c r="M68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406" i="1"/>
  <c r="M406" i="1"/>
  <c r="N405" i="1"/>
  <c r="M405" i="1"/>
  <c r="N404" i="1"/>
  <c r="M404" i="1"/>
  <c r="N403" i="1"/>
  <c r="M403" i="1"/>
  <c r="N402" i="1"/>
  <c r="M402" i="1"/>
  <c r="N401" i="1"/>
  <c r="M401" i="1"/>
  <c r="N400" i="1"/>
  <c r="M400" i="1"/>
  <c r="N399" i="1"/>
  <c r="M399" i="1"/>
  <c r="N398" i="1"/>
  <c r="M398" i="1"/>
  <c r="N397" i="1"/>
  <c r="M397" i="1"/>
  <c r="N396" i="1"/>
  <c r="M396"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1218" i="1"/>
  <c r="M1218" i="1"/>
  <c r="N1217" i="1"/>
  <c r="M1217" i="1"/>
  <c r="N1216" i="1"/>
  <c r="M1216" i="1"/>
  <c r="N1215" i="1"/>
  <c r="M1215" i="1"/>
  <c r="N1214" i="1"/>
  <c r="M1214" i="1"/>
  <c r="N1213" i="1"/>
  <c r="M1213" i="1"/>
  <c r="N1212" i="1"/>
  <c r="M1212" i="1"/>
  <c r="N1116" i="1"/>
  <c r="M1116" i="1"/>
  <c r="N1115" i="1"/>
  <c r="M1115" i="1"/>
  <c r="N1114" i="1"/>
  <c r="M1114" i="1"/>
  <c r="N1113" i="1"/>
  <c r="M1113" i="1"/>
  <c r="N1112" i="1"/>
  <c r="M1112" i="1"/>
  <c r="N1023" i="1"/>
  <c r="M1023" i="1"/>
  <c r="N1022" i="1"/>
  <c r="M1022" i="1"/>
  <c r="N1021" i="1"/>
  <c r="M1021" i="1"/>
  <c r="N1020" i="1"/>
  <c r="M1020" i="1"/>
  <c r="N1019" i="1"/>
  <c r="M1019" i="1"/>
  <c r="N1018" i="1"/>
  <c r="M1018" i="1"/>
  <c r="N1017" i="1"/>
  <c r="M1017" i="1"/>
  <c r="N1016" i="1"/>
  <c r="M1016" i="1"/>
  <c r="N1015" i="1"/>
  <c r="M1015" i="1"/>
  <c r="N927" i="1"/>
  <c r="M927" i="1"/>
  <c r="N926" i="1"/>
  <c r="M926" i="1"/>
  <c r="N925" i="1"/>
  <c r="M925" i="1"/>
  <c r="N924" i="1"/>
  <c r="M924" i="1"/>
  <c r="N923" i="1"/>
  <c r="M923" i="1"/>
  <c r="N922" i="1"/>
  <c r="M922" i="1"/>
  <c r="N921" i="1"/>
  <c r="M921" i="1"/>
  <c r="N920" i="1"/>
  <c r="M920" i="1"/>
  <c r="N919" i="1"/>
  <c r="M919" i="1"/>
  <c r="N812" i="1"/>
  <c r="M812" i="1"/>
  <c r="N811" i="1"/>
  <c r="M811" i="1"/>
  <c r="N810" i="1"/>
  <c r="M810" i="1"/>
  <c r="N809" i="1"/>
  <c r="M809" i="1"/>
  <c r="N808" i="1"/>
  <c r="M808" i="1"/>
  <c r="N807" i="1"/>
  <c r="M807" i="1"/>
  <c r="N806" i="1"/>
  <c r="M806" i="1"/>
  <c r="N805" i="1"/>
  <c r="M805" i="1"/>
  <c r="N804" i="1"/>
  <c r="M804" i="1"/>
  <c r="N803" i="1"/>
  <c r="M803" i="1"/>
  <c r="N685" i="1"/>
  <c r="M685" i="1"/>
  <c r="N684" i="1"/>
  <c r="M684" i="1"/>
  <c r="N683" i="1"/>
  <c r="M683" i="1"/>
  <c r="N682" i="1"/>
  <c r="M682" i="1"/>
  <c r="N681" i="1"/>
  <c r="M681" i="1"/>
  <c r="N680" i="1"/>
  <c r="M680" i="1"/>
  <c r="N679" i="1"/>
  <c r="M679" i="1"/>
  <c r="N678" i="1"/>
  <c r="M678" i="1"/>
  <c r="N677" i="1"/>
  <c r="M677" i="1"/>
  <c r="N676" i="1"/>
  <c r="M676" i="1"/>
  <c r="N675" i="1"/>
  <c r="M675" i="1"/>
  <c r="N674" i="1"/>
  <c r="M674" i="1"/>
  <c r="N542" i="1"/>
  <c r="M542" i="1"/>
  <c r="N541" i="1"/>
  <c r="M541" i="1"/>
  <c r="N540" i="1"/>
  <c r="M540" i="1"/>
  <c r="N539" i="1"/>
  <c r="M539" i="1"/>
  <c r="N538" i="1"/>
  <c r="M538" i="1"/>
  <c r="N537" i="1"/>
  <c r="M537" i="1"/>
  <c r="N536" i="1"/>
  <c r="M536" i="1"/>
  <c r="N535" i="1"/>
  <c r="M535" i="1"/>
  <c r="N534" i="1"/>
  <c r="M534" i="1"/>
  <c r="N533" i="1"/>
  <c r="M533" i="1"/>
  <c r="N532" i="1"/>
  <c r="M532" i="1"/>
  <c r="N531" i="1"/>
  <c r="M531"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98" i="1"/>
  <c r="M98" i="1"/>
  <c r="N97" i="1"/>
  <c r="M97" i="1"/>
  <c r="N96" i="1"/>
  <c r="M96" i="1"/>
  <c r="N95" i="1"/>
  <c r="M95" i="1"/>
  <c r="N94" i="1"/>
  <c r="M94" i="1"/>
  <c r="N93" i="1"/>
  <c r="M93" i="1"/>
  <c r="N92" i="1"/>
  <c r="M92" i="1"/>
  <c r="N91" i="1"/>
  <c r="M91" i="1"/>
  <c r="N90" i="1"/>
  <c r="M90" i="1"/>
  <c r="N89" i="1"/>
  <c r="M89" i="1"/>
  <c r="N88" i="1"/>
  <c r="M88" i="1"/>
  <c r="N87" i="1"/>
  <c r="M87" i="1"/>
  <c r="N1211" i="1"/>
  <c r="M1211" i="1"/>
  <c r="N1210" i="1"/>
  <c r="M1210" i="1"/>
  <c r="N1209" i="1"/>
  <c r="M1209" i="1"/>
  <c r="N1208" i="1"/>
  <c r="M1208" i="1"/>
  <c r="N1207" i="1"/>
  <c r="M1207" i="1"/>
  <c r="N1206" i="1"/>
  <c r="M1206" i="1"/>
  <c r="N1205" i="1"/>
  <c r="M1205" i="1"/>
  <c r="N1204" i="1"/>
  <c r="M1204" i="1"/>
  <c r="N1111" i="1"/>
  <c r="M1111" i="1"/>
  <c r="N1110" i="1"/>
  <c r="M1110" i="1"/>
  <c r="N1109" i="1"/>
  <c r="M1109" i="1"/>
  <c r="N1108" i="1"/>
  <c r="M1108" i="1"/>
  <c r="N1107" i="1"/>
  <c r="M1107" i="1"/>
  <c r="N1106" i="1"/>
  <c r="M1106" i="1"/>
  <c r="N1014" i="1"/>
  <c r="M1014" i="1"/>
  <c r="N1013" i="1"/>
  <c r="M1013" i="1"/>
  <c r="N1012" i="1"/>
  <c r="M1012" i="1"/>
  <c r="N1011" i="1"/>
  <c r="M1011" i="1"/>
  <c r="N1010" i="1"/>
  <c r="M1010" i="1"/>
  <c r="N1009" i="1"/>
  <c r="M1009" i="1"/>
  <c r="N1008" i="1"/>
  <c r="M1008" i="1"/>
  <c r="N918" i="1"/>
  <c r="M918" i="1"/>
  <c r="N917" i="1"/>
  <c r="M917" i="1"/>
  <c r="N916" i="1"/>
  <c r="M916" i="1"/>
  <c r="N915" i="1"/>
  <c r="M915" i="1"/>
  <c r="N914" i="1"/>
  <c r="M914" i="1"/>
  <c r="N913" i="1"/>
  <c r="M913" i="1"/>
  <c r="N912" i="1"/>
  <c r="M912" i="1"/>
  <c r="N911" i="1"/>
  <c r="M911" i="1"/>
  <c r="N910" i="1"/>
  <c r="M910" i="1"/>
  <c r="N909" i="1"/>
  <c r="M909" i="1"/>
  <c r="N802" i="1"/>
  <c r="M802" i="1"/>
  <c r="N801" i="1"/>
  <c r="M801" i="1"/>
  <c r="N800" i="1"/>
  <c r="M800" i="1"/>
  <c r="N799" i="1"/>
  <c r="M799" i="1"/>
  <c r="N798" i="1"/>
  <c r="M798" i="1"/>
  <c r="N797" i="1"/>
  <c r="M797" i="1"/>
  <c r="N796" i="1"/>
  <c r="M796" i="1"/>
  <c r="N795" i="1"/>
  <c r="M795" i="1"/>
  <c r="N794" i="1"/>
  <c r="M794" i="1"/>
  <c r="N793" i="1"/>
  <c r="M793" i="1"/>
  <c r="N673" i="1"/>
  <c r="M673" i="1"/>
  <c r="N672" i="1"/>
  <c r="M672" i="1"/>
  <c r="N671" i="1"/>
  <c r="M671" i="1"/>
  <c r="N670" i="1"/>
  <c r="M670" i="1"/>
  <c r="N669" i="1"/>
  <c r="M669" i="1"/>
  <c r="N668" i="1"/>
  <c r="M668" i="1"/>
  <c r="N667" i="1"/>
  <c r="M667" i="1"/>
  <c r="N666" i="1"/>
  <c r="M666" i="1"/>
  <c r="N665" i="1"/>
  <c r="M665"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382" i="1"/>
  <c r="M382" i="1"/>
  <c r="N381" i="1"/>
  <c r="M381" i="1"/>
  <c r="N380" i="1"/>
  <c r="M380" i="1"/>
  <c r="N379" i="1"/>
  <c r="M379" i="1"/>
  <c r="N378" i="1"/>
  <c r="M378" i="1"/>
  <c r="N377" i="1"/>
  <c r="M377" i="1"/>
  <c r="N376" i="1"/>
  <c r="M376" i="1"/>
  <c r="N375" i="1"/>
  <c r="M375" i="1"/>
  <c r="N374" i="1"/>
  <c r="M374" i="1"/>
  <c r="N373" i="1"/>
  <c r="M373" i="1"/>
  <c r="N372" i="1"/>
  <c r="M372" i="1"/>
  <c r="N235" i="1"/>
  <c r="M235" i="1"/>
  <c r="N234" i="1"/>
  <c r="M234" i="1"/>
  <c r="N233" i="1"/>
  <c r="M233" i="1"/>
  <c r="N232" i="1"/>
  <c r="M232" i="1"/>
  <c r="N231" i="1"/>
  <c r="M231" i="1"/>
  <c r="N230" i="1"/>
  <c r="M230" i="1"/>
  <c r="N229" i="1"/>
  <c r="M229" i="1"/>
  <c r="N228" i="1"/>
  <c r="M228" i="1"/>
  <c r="N227" i="1"/>
  <c r="M227" i="1"/>
  <c r="N226" i="1"/>
  <c r="M226" i="1"/>
  <c r="N225" i="1"/>
  <c r="M225" i="1"/>
  <c r="N224" i="1"/>
  <c r="M224" i="1"/>
  <c r="N86" i="1"/>
  <c r="M86" i="1"/>
  <c r="N85" i="1"/>
  <c r="M85" i="1"/>
  <c r="N84" i="1"/>
  <c r="M84" i="1"/>
  <c r="N83" i="1"/>
  <c r="M83" i="1"/>
  <c r="N82" i="1"/>
  <c r="M82" i="1"/>
  <c r="N81" i="1"/>
  <c r="M81" i="1"/>
  <c r="N80" i="1"/>
  <c r="M80" i="1"/>
  <c r="N79" i="1"/>
  <c r="M79" i="1"/>
  <c r="N78" i="1"/>
  <c r="M78" i="1"/>
  <c r="N77" i="1"/>
  <c r="M77" i="1"/>
  <c r="N76" i="1"/>
  <c r="M76" i="1"/>
  <c r="N75" i="1"/>
  <c r="M75" i="1"/>
  <c r="N1203" i="1"/>
  <c r="M1203" i="1"/>
  <c r="N1202" i="1"/>
  <c r="M1202" i="1"/>
  <c r="N1201" i="1"/>
  <c r="M1201" i="1"/>
  <c r="N1200" i="1"/>
  <c r="M1200" i="1"/>
  <c r="N1199" i="1"/>
  <c r="M1199" i="1"/>
  <c r="N1198" i="1"/>
  <c r="M1198" i="1"/>
  <c r="N1197" i="1"/>
  <c r="M1197" i="1"/>
  <c r="N1196" i="1"/>
  <c r="M1196" i="1"/>
  <c r="N1195" i="1"/>
  <c r="M1195" i="1"/>
  <c r="N1194" i="1"/>
  <c r="M1194" i="1"/>
  <c r="N1193" i="1"/>
  <c r="M1193" i="1"/>
  <c r="N1105" i="1"/>
  <c r="M1105" i="1"/>
  <c r="N1104" i="1"/>
  <c r="M1104" i="1"/>
  <c r="N1103" i="1"/>
  <c r="M1103" i="1"/>
  <c r="N1102" i="1"/>
  <c r="M1102" i="1"/>
  <c r="N1101" i="1"/>
  <c r="M1101" i="1"/>
  <c r="N1100" i="1"/>
  <c r="M1100" i="1"/>
  <c r="N1099" i="1"/>
  <c r="M1099" i="1"/>
  <c r="N1098" i="1"/>
  <c r="M1098" i="1"/>
  <c r="N1097" i="1"/>
  <c r="M1097" i="1"/>
  <c r="N1096" i="1"/>
  <c r="M1096" i="1"/>
  <c r="N1007" i="1"/>
  <c r="M1007" i="1"/>
  <c r="N1006" i="1"/>
  <c r="M1006" i="1"/>
  <c r="N1005" i="1"/>
  <c r="M1005" i="1"/>
  <c r="N1004" i="1"/>
  <c r="M1004" i="1"/>
  <c r="N1003" i="1"/>
  <c r="M1003" i="1"/>
  <c r="N1002" i="1"/>
  <c r="M1002" i="1"/>
  <c r="N908" i="1"/>
  <c r="M908" i="1"/>
  <c r="N907" i="1"/>
  <c r="M907" i="1"/>
  <c r="N906" i="1"/>
  <c r="M906" i="1"/>
  <c r="N905" i="1"/>
  <c r="M905" i="1"/>
  <c r="N904" i="1"/>
  <c r="M904" i="1"/>
  <c r="N903" i="1"/>
  <c r="M903" i="1"/>
  <c r="N902" i="1"/>
  <c r="M902" i="1"/>
  <c r="N901" i="1"/>
  <c r="M901" i="1"/>
  <c r="N900" i="1"/>
  <c r="M900" i="1"/>
  <c r="N899" i="1"/>
  <c r="M899" i="1"/>
  <c r="N792" i="1"/>
  <c r="M792" i="1"/>
  <c r="N791" i="1"/>
  <c r="M791" i="1"/>
  <c r="N790" i="1"/>
  <c r="M790" i="1"/>
  <c r="N789" i="1"/>
  <c r="M789" i="1"/>
  <c r="N788" i="1"/>
  <c r="M788" i="1"/>
  <c r="N787" i="1"/>
  <c r="M787" i="1"/>
  <c r="N786" i="1"/>
  <c r="M786" i="1"/>
  <c r="N785" i="1"/>
  <c r="M785" i="1"/>
  <c r="N784" i="1"/>
  <c r="M784" i="1"/>
  <c r="N664" i="1"/>
  <c r="M664" i="1"/>
  <c r="N663" i="1"/>
  <c r="M663" i="1"/>
  <c r="N662" i="1"/>
  <c r="M662" i="1"/>
  <c r="N661" i="1"/>
  <c r="M661" i="1"/>
  <c r="N660" i="1"/>
  <c r="M660" i="1"/>
  <c r="N659" i="1"/>
  <c r="M659" i="1"/>
  <c r="N658" i="1"/>
  <c r="M658" i="1"/>
  <c r="N657" i="1"/>
  <c r="M657" i="1"/>
  <c r="N656" i="1"/>
  <c r="M656" i="1"/>
  <c r="N655" i="1"/>
  <c r="M655" i="1"/>
  <c r="N654" i="1"/>
  <c r="M654" i="1"/>
  <c r="N653" i="1"/>
  <c r="M653"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74" i="1"/>
  <c r="M74" i="1"/>
  <c r="N73" i="1"/>
  <c r="M73" i="1"/>
  <c r="N72" i="1"/>
  <c r="M72" i="1"/>
  <c r="N71" i="1"/>
  <c r="M71" i="1"/>
  <c r="N70" i="1"/>
  <c r="M70" i="1"/>
  <c r="N69" i="1"/>
  <c r="M69" i="1"/>
  <c r="N68" i="1"/>
  <c r="M68" i="1"/>
  <c r="N67" i="1"/>
  <c r="M67" i="1"/>
  <c r="N66" i="1"/>
  <c r="M66" i="1"/>
  <c r="N65" i="1"/>
  <c r="M65" i="1"/>
  <c r="N64" i="1"/>
  <c r="M64" i="1"/>
  <c r="N63" i="1"/>
  <c r="M63" i="1"/>
  <c r="N1192" i="1"/>
  <c r="M1192" i="1"/>
  <c r="N1191" i="1"/>
  <c r="M1191" i="1"/>
  <c r="N1190" i="1"/>
  <c r="M1190" i="1"/>
  <c r="N1189" i="1"/>
  <c r="M1189" i="1"/>
  <c r="N1188" i="1"/>
  <c r="M1188" i="1"/>
  <c r="N1187" i="1"/>
  <c r="M1187" i="1"/>
  <c r="N1186" i="1"/>
  <c r="M1186" i="1"/>
  <c r="N1185" i="1"/>
  <c r="M1185" i="1"/>
  <c r="N1184" i="1"/>
  <c r="M1184" i="1"/>
  <c r="N1095" i="1"/>
  <c r="M1095" i="1"/>
  <c r="N1094" i="1"/>
  <c r="M1094" i="1"/>
  <c r="N1093" i="1"/>
  <c r="M1093" i="1"/>
  <c r="N1092" i="1"/>
  <c r="M1092" i="1"/>
  <c r="N1091" i="1"/>
  <c r="M1091" i="1"/>
  <c r="N1090" i="1"/>
  <c r="M1090" i="1"/>
  <c r="N1089" i="1"/>
  <c r="M1089" i="1"/>
  <c r="N1088" i="1"/>
  <c r="M1088" i="1"/>
  <c r="N1001" i="1"/>
  <c r="M1001" i="1"/>
  <c r="N1000" i="1"/>
  <c r="M1000" i="1"/>
  <c r="N999" i="1"/>
  <c r="M999" i="1"/>
  <c r="N998" i="1"/>
  <c r="M998" i="1"/>
  <c r="N997" i="1"/>
  <c r="M997" i="1"/>
  <c r="N996" i="1"/>
  <c r="M996" i="1"/>
  <c r="N898" i="1"/>
  <c r="M898" i="1"/>
  <c r="N897" i="1"/>
  <c r="M897" i="1"/>
  <c r="N896" i="1"/>
  <c r="M896" i="1"/>
  <c r="N895" i="1"/>
  <c r="M895" i="1"/>
  <c r="N894" i="1"/>
  <c r="M894" i="1"/>
  <c r="N893" i="1"/>
  <c r="M893" i="1"/>
  <c r="N892" i="1"/>
  <c r="M892" i="1"/>
  <c r="N891" i="1"/>
  <c r="M891" i="1"/>
  <c r="N890" i="1"/>
  <c r="M890" i="1"/>
  <c r="N889" i="1"/>
  <c r="M889" i="1"/>
  <c r="N783" i="1"/>
  <c r="M783" i="1"/>
  <c r="N782" i="1"/>
  <c r="M782" i="1"/>
  <c r="N781" i="1"/>
  <c r="M781" i="1"/>
  <c r="N780" i="1"/>
  <c r="M780" i="1"/>
  <c r="N779" i="1"/>
  <c r="M779" i="1"/>
  <c r="N778" i="1"/>
  <c r="M778" i="1"/>
  <c r="N777" i="1"/>
  <c r="M777" i="1"/>
  <c r="N776" i="1"/>
  <c r="M776" i="1"/>
  <c r="N775" i="1"/>
  <c r="M775" i="1"/>
  <c r="N774" i="1"/>
  <c r="M774" i="1"/>
  <c r="N773" i="1"/>
  <c r="M773" i="1"/>
  <c r="N652" i="1"/>
  <c r="M652" i="1"/>
  <c r="N651" i="1"/>
  <c r="M651" i="1"/>
  <c r="N650" i="1"/>
  <c r="M650" i="1"/>
  <c r="N649" i="1"/>
  <c r="M649" i="1"/>
  <c r="N648" i="1"/>
  <c r="M648" i="1"/>
  <c r="N647" i="1"/>
  <c r="M647" i="1"/>
  <c r="N646" i="1"/>
  <c r="M646" i="1"/>
  <c r="N645" i="1"/>
  <c r="M645" i="1"/>
  <c r="N644" i="1"/>
  <c r="M644" i="1"/>
  <c r="N643" i="1"/>
  <c r="M643" i="1"/>
  <c r="N642" i="1"/>
  <c r="M642"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358" i="1"/>
  <c r="M358" i="1"/>
  <c r="N357" i="1"/>
  <c r="M357" i="1"/>
  <c r="N356" i="1"/>
  <c r="M356" i="1"/>
  <c r="N355" i="1"/>
  <c r="M355" i="1"/>
  <c r="N354" i="1"/>
  <c r="M354" i="1"/>
  <c r="N353" i="1"/>
  <c r="M353" i="1"/>
  <c r="N352" i="1"/>
  <c r="M352" i="1"/>
  <c r="N351" i="1"/>
  <c r="M351" i="1"/>
  <c r="N350" i="1"/>
  <c r="M350" i="1"/>
  <c r="N349" i="1"/>
  <c r="M349" i="1"/>
  <c r="N348" i="1"/>
  <c r="M348" i="1"/>
  <c r="N347" i="1"/>
  <c r="M347"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62" i="1"/>
  <c r="M62" i="1"/>
  <c r="N61" i="1"/>
  <c r="M61" i="1"/>
  <c r="N60" i="1"/>
  <c r="M60" i="1"/>
  <c r="N59" i="1"/>
  <c r="M59" i="1"/>
  <c r="N58" i="1"/>
  <c r="M58" i="1"/>
  <c r="N57" i="1"/>
  <c r="M57" i="1"/>
  <c r="N56" i="1"/>
  <c r="M56" i="1"/>
  <c r="N55" i="1"/>
  <c r="M55" i="1"/>
  <c r="N54" i="1"/>
  <c r="M54" i="1"/>
  <c r="N53" i="1"/>
  <c r="M53" i="1"/>
  <c r="N52" i="1"/>
  <c r="M52" i="1"/>
  <c r="N51" i="1"/>
  <c r="M51"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087" i="1"/>
  <c r="M1087" i="1"/>
  <c r="N1086" i="1"/>
  <c r="M1086" i="1"/>
  <c r="N1085" i="1"/>
  <c r="M1085" i="1"/>
  <c r="N1084" i="1"/>
  <c r="M1084" i="1"/>
  <c r="N1083" i="1"/>
  <c r="M1083" i="1"/>
  <c r="N1082" i="1"/>
  <c r="M1082" i="1"/>
  <c r="N1081" i="1"/>
  <c r="M1081" i="1"/>
  <c r="N1080" i="1"/>
  <c r="M1080" i="1"/>
  <c r="N1079" i="1"/>
  <c r="M1079" i="1"/>
  <c r="N1078" i="1"/>
  <c r="M1078" i="1"/>
  <c r="N1077" i="1"/>
  <c r="M1077" i="1"/>
  <c r="N995" i="1"/>
  <c r="M995" i="1"/>
  <c r="N994" i="1"/>
  <c r="M994" i="1"/>
  <c r="N993" i="1"/>
  <c r="M993" i="1"/>
  <c r="N992" i="1"/>
  <c r="M992" i="1"/>
  <c r="N991" i="1"/>
  <c r="M991" i="1"/>
  <c r="N990" i="1"/>
  <c r="M990" i="1"/>
  <c r="N989" i="1"/>
  <c r="M989" i="1"/>
  <c r="N988" i="1"/>
  <c r="M988" i="1"/>
  <c r="N987" i="1"/>
  <c r="M987" i="1"/>
  <c r="N888" i="1"/>
  <c r="M888" i="1"/>
  <c r="N887" i="1"/>
  <c r="M887" i="1"/>
  <c r="N886" i="1"/>
  <c r="M886" i="1"/>
  <c r="N885" i="1"/>
  <c r="M885" i="1"/>
  <c r="N884" i="1"/>
  <c r="M884" i="1"/>
  <c r="N883" i="1"/>
  <c r="M883" i="1"/>
  <c r="N882" i="1"/>
  <c r="M882" i="1"/>
  <c r="N881" i="1"/>
  <c r="M881" i="1"/>
  <c r="N880" i="1"/>
  <c r="M880" i="1"/>
  <c r="N772" i="1"/>
  <c r="M772" i="1"/>
  <c r="N771" i="1"/>
  <c r="M771" i="1"/>
  <c r="N770" i="1"/>
  <c r="M770" i="1"/>
  <c r="N769" i="1"/>
  <c r="M769" i="1"/>
  <c r="N768" i="1"/>
  <c r="M768" i="1"/>
  <c r="N767" i="1"/>
  <c r="M767" i="1"/>
  <c r="N766" i="1"/>
  <c r="M766" i="1"/>
  <c r="N765" i="1"/>
  <c r="M765" i="1"/>
  <c r="N764" i="1"/>
  <c r="M764" i="1"/>
  <c r="N763" i="1"/>
  <c r="M763"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491" i="1"/>
  <c r="M491" i="1"/>
  <c r="N490" i="1"/>
  <c r="M490" i="1"/>
  <c r="N489" i="1"/>
  <c r="M489" i="1"/>
  <c r="N488" i="1"/>
  <c r="M488" i="1"/>
  <c r="N487" i="1"/>
  <c r="M487" i="1"/>
  <c r="N486" i="1"/>
  <c r="M486" i="1"/>
  <c r="N485" i="1"/>
  <c r="M485" i="1"/>
  <c r="N484" i="1"/>
  <c r="M484" i="1"/>
  <c r="N483" i="1"/>
  <c r="M483" i="1"/>
  <c r="N482" i="1"/>
  <c r="M482" i="1"/>
  <c r="N481" i="1"/>
  <c r="M481" i="1"/>
  <c r="N480" i="1"/>
  <c r="M480"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197" i="1"/>
  <c r="M197" i="1"/>
  <c r="N196" i="1"/>
  <c r="M196" i="1"/>
  <c r="N195" i="1"/>
  <c r="M195" i="1"/>
  <c r="N194" i="1"/>
  <c r="M194" i="1"/>
  <c r="N193" i="1"/>
  <c r="M193" i="1"/>
  <c r="N192" i="1"/>
  <c r="M192" i="1"/>
  <c r="N191" i="1"/>
  <c r="M191" i="1"/>
  <c r="N190" i="1"/>
  <c r="M190" i="1"/>
  <c r="N189" i="1"/>
  <c r="M189" i="1"/>
  <c r="N188" i="1"/>
  <c r="M188" i="1"/>
  <c r="N187" i="1"/>
  <c r="M187" i="1"/>
  <c r="N186" i="1"/>
  <c r="M186" i="1"/>
  <c r="N50" i="1"/>
  <c r="M50" i="1"/>
  <c r="N49" i="1"/>
  <c r="M49" i="1"/>
  <c r="N48" i="1"/>
  <c r="M48" i="1"/>
  <c r="N47" i="1"/>
  <c r="M47" i="1"/>
  <c r="N46" i="1"/>
  <c r="M46" i="1"/>
  <c r="N45" i="1"/>
  <c r="M45" i="1"/>
  <c r="N44" i="1"/>
  <c r="M44" i="1"/>
  <c r="N43" i="1"/>
  <c r="M43" i="1"/>
  <c r="N42" i="1"/>
  <c r="M42" i="1"/>
  <c r="N41" i="1"/>
  <c r="M41" i="1"/>
  <c r="N40" i="1"/>
  <c r="M40" i="1"/>
  <c r="N39" i="1"/>
  <c r="M39"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076" i="1"/>
  <c r="M1076" i="1"/>
  <c r="N1075" i="1"/>
  <c r="M1075" i="1"/>
  <c r="N1074" i="1"/>
  <c r="M1074" i="1"/>
  <c r="N1073" i="1"/>
  <c r="M1073" i="1"/>
  <c r="N1072" i="1"/>
  <c r="M1072" i="1"/>
  <c r="N1071" i="1"/>
  <c r="M1071" i="1"/>
  <c r="N1070" i="1"/>
  <c r="M1070" i="1"/>
  <c r="N1069" i="1"/>
  <c r="M1069" i="1"/>
  <c r="N1068" i="1"/>
  <c r="M1068" i="1"/>
  <c r="N986" i="1"/>
  <c r="M986" i="1"/>
  <c r="N985" i="1"/>
  <c r="M985" i="1"/>
  <c r="N984" i="1"/>
  <c r="M984" i="1"/>
  <c r="N983" i="1"/>
  <c r="M983" i="1"/>
  <c r="N982" i="1"/>
  <c r="M982" i="1"/>
  <c r="N981" i="1"/>
  <c r="M981" i="1"/>
  <c r="N980" i="1"/>
  <c r="M980" i="1"/>
  <c r="N879" i="1"/>
  <c r="M879" i="1"/>
  <c r="N878" i="1"/>
  <c r="M878" i="1"/>
  <c r="N877" i="1"/>
  <c r="M877" i="1"/>
  <c r="N876" i="1"/>
  <c r="M876" i="1"/>
  <c r="N875" i="1"/>
  <c r="M875" i="1"/>
  <c r="N874" i="1"/>
  <c r="M874" i="1"/>
  <c r="N873" i="1"/>
  <c r="M873" i="1"/>
  <c r="N872" i="1"/>
  <c r="M872" i="1"/>
  <c r="N871" i="1"/>
  <c r="M871" i="1"/>
  <c r="N762" i="1"/>
  <c r="M762" i="1"/>
  <c r="N761" i="1"/>
  <c r="M761" i="1"/>
  <c r="N760" i="1"/>
  <c r="M760" i="1"/>
  <c r="N759" i="1"/>
  <c r="M759" i="1"/>
  <c r="N758" i="1"/>
  <c r="M758" i="1"/>
  <c r="N757" i="1"/>
  <c r="M757" i="1"/>
  <c r="N756" i="1"/>
  <c r="M756" i="1"/>
  <c r="N755" i="1"/>
  <c r="M755" i="1"/>
  <c r="N754" i="1"/>
  <c r="M754" i="1"/>
  <c r="N753" i="1"/>
  <c r="M753"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479" i="1"/>
  <c r="M479" i="1"/>
  <c r="N478" i="1"/>
  <c r="M478" i="1"/>
  <c r="N477" i="1"/>
  <c r="M477" i="1"/>
  <c r="N476" i="1"/>
  <c r="M476" i="1"/>
  <c r="N475" i="1"/>
  <c r="M475" i="1"/>
  <c r="N474" i="1"/>
  <c r="M474" i="1"/>
  <c r="N473" i="1"/>
  <c r="M473" i="1"/>
  <c r="N472" i="1"/>
  <c r="M472" i="1"/>
  <c r="N471" i="1"/>
  <c r="M471" i="1"/>
  <c r="N470" i="1"/>
  <c r="M470" i="1"/>
  <c r="N469" i="1"/>
  <c r="M469" i="1"/>
  <c r="N468" i="1"/>
  <c r="M468" i="1"/>
  <c r="N333" i="1"/>
  <c r="M333" i="1"/>
  <c r="N332" i="1"/>
  <c r="M332" i="1"/>
  <c r="N331" i="1"/>
  <c r="M331" i="1"/>
  <c r="N330" i="1"/>
  <c r="M330" i="1"/>
  <c r="N329" i="1"/>
  <c r="M329" i="1"/>
  <c r="N328" i="1"/>
  <c r="M328" i="1"/>
  <c r="N327" i="1"/>
  <c r="M327" i="1"/>
  <c r="N326" i="1"/>
  <c r="M326" i="1"/>
  <c r="N325" i="1"/>
  <c r="M325" i="1"/>
  <c r="N324" i="1"/>
  <c r="M324" i="1"/>
  <c r="N323" i="1"/>
  <c r="M323" i="1"/>
  <c r="N322" i="1"/>
  <c r="M322" i="1"/>
  <c r="N185" i="1"/>
  <c r="M185" i="1"/>
  <c r="N184" i="1"/>
  <c r="M184" i="1"/>
  <c r="N183" i="1"/>
  <c r="M183" i="1"/>
  <c r="N182" i="1"/>
  <c r="M182" i="1"/>
  <c r="N181" i="1"/>
  <c r="M181" i="1"/>
  <c r="N180" i="1"/>
  <c r="M180" i="1"/>
  <c r="N179" i="1"/>
  <c r="M179" i="1"/>
  <c r="N178" i="1"/>
  <c r="M178" i="1"/>
  <c r="N177" i="1"/>
  <c r="M177" i="1"/>
  <c r="N176" i="1"/>
  <c r="M176" i="1"/>
  <c r="N175" i="1"/>
  <c r="M175" i="1"/>
  <c r="N174" i="1"/>
  <c r="M174" i="1"/>
  <c r="N38" i="1"/>
  <c r="M38" i="1"/>
  <c r="N37" i="1"/>
  <c r="M37" i="1"/>
  <c r="N36" i="1"/>
  <c r="M36" i="1"/>
  <c r="N35" i="1"/>
  <c r="M35" i="1"/>
  <c r="N34" i="1"/>
  <c r="M34" i="1"/>
  <c r="N33" i="1"/>
  <c r="M33" i="1"/>
  <c r="N32" i="1"/>
  <c r="M32" i="1"/>
  <c r="N31" i="1"/>
  <c r="M31" i="1"/>
  <c r="N30" i="1"/>
  <c r="M30" i="1"/>
  <c r="N29" i="1"/>
  <c r="M29" i="1"/>
  <c r="N28" i="1"/>
  <c r="M28" i="1"/>
  <c r="N27" i="1"/>
  <c r="M27"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067" i="1"/>
  <c r="M1067" i="1"/>
  <c r="N1066" i="1"/>
  <c r="M1066" i="1"/>
  <c r="N1065" i="1"/>
  <c r="M1065" i="1"/>
  <c r="N1064" i="1"/>
  <c r="M1064" i="1"/>
  <c r="N1063" i="1"/>
  <c r="M1063" i="1"/>
  <c r="N1062" i="1"/>
  <c r="M1062" i="1"/>
  <c r="N1061" i="1"/>
  <c r="M1061" i="1"/>
  <c r="N1060" i="1"/>
  <c r="M1060" i="1"/>
  <c r="N1059" i="1"/>
  <c r="M1059" i="1"/>
  <c r="N979" i="1"/>
  <c r="M979" i="1"/>
  <c r="N978" i="1"/>
  <c r="M978" i="1"/>
  <c r="N977" i="1"/>
  <c r="M977" i="1"/>
  <c r="N976" i="1"/>
  <c r="M976" i="1"/>
  <c r="N975" i="1"/>
  <c r="M975" i="1"/>
  <c r="N974" i="1"/>
  <c r="M974" i="1"/>
  <c r="N870" i="1"/>
  <c r="M870" i="1"/>
  <c r="N869" i="1"/>
  <c r="M869" i="1"/>
  <c r="N868" i="1"/>
  <c r="M868" i="1"/>
  <c r="N867" i="1"/>
  <c r="M867" i="1"/>
  <c r="N866" i="1"/>
  <c r="M866" i="1"/>
  <c r="N865" i="1"/>
  <c r="M865" i="1"/>
  <c r="N864" i="1"/>
  <c r="M864" i="1"/>
  <c r="N863" i="1"/>
  <c r="M863" i="1"/>
  <c r="N862" i="1"/>
  <c r="M862" i="1"/>
  <c r="N752" i="1"/>
  <c r="M752" i="1"/>
  <c r="N751" i="1"/>
  <c r="M751" i="1"/>
  <c r="N750" i="1"/>
  <c r="M750" i="1"/>
  <c r="N749" i="1"/>
  <c r="M749" i="1"/>
  <c r="N748" i="1"/>
  <c r="M748" i="1"/>
  <c r="N747" i="1"/>
  <c r="M747" i="1"/>
  <c r="N746" i="1"/>
  <c r="M746" i="1"/>
  <c r="N745" i="1"/>
  <c r="M745" i="1"/>
  <c r="N744" i="1"/>
  <c r="M744" i="1"/>
  <c r="N743" i="1"/>
  <c r="M743"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467" i="1"/>
  <c r="M467" i="1"/>
  <c r="N466" i="1"/>
  <c r="M466" i="1"/>
  <c r="N465" i="1"/>
  <c r="M465" i="1"/>
  <c r="N464" i="1"/>
  <c r="M464" i="1"/>
  <c r="N463" i="1"/>
  <c r="M463" i="1"/>
  <c r="N462" i="1"/>
  <c r="M462" i="1"/>
  <c r="N461" i="1"/>
  <c r="M461" i="1"/>
  <c r="N460" i="1"/>
  <c r="M460" i="1"/>
  <c r="N459" i="1"/>
  <c r="M459" i="1"/>
  <c r="N458" i="1"/>
  <c r="M458" i="1"/>
  <c r="N457" i="1"/>
  <c r="M457" i="1"/>
  <c r="N456" i="1"/>
  <c r="M456"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26" i="1"/>
  <c r="M26" i="1"/>
  <c r="N25" i="1"/>
  <c r="M25" i="1"/>
  <c r="N24" i="1"/>
  <c r="M24" i="1"/>
  <c r="N23" i="1"/>
  <c r="M23" i="1"/>
  <c r="N22" i="1"/>
  <c r="M22" i="1"/>
  <c r="N21" i="1"/>
  <c r="M21" i="1"/>
  <c r="N20" i="1"/>
  <c r="M20" i="1"/>
  <c r="N19" i="1"/>
  <c r="M19" i="1"/>
  <c r="N18" i="1"/>
  <c r="M18" i="1"/>
  <c r="N17" i="1"/>
  <c r="M17" i="1"/>
  <c r="N16" i="1"/>
  <c r="M16" i="1"/>
  <c r="N15" i="1"/>
  <c r="M15" i="1"/>
  <c r="N14" i="1"/>
  <c r="M14" i="1"/>
  <c r="N1146" i="1"/>
  <c r="M1146" i="1"/>
  <c r="N1145" i="1"/>
  <c r="M1145" i="1"/>
  <c r="N1144" i="1"/>
  <c r="M1144" i="1"/>
  <c r="N1143" i="1"/>
  <c r="M1143" i="1"/>
  <c r="N1142" i="1"/>
  <c r="M1142" i="1"/>
  <c r="N1141" i="1"/>
  <c r="M1141" i="1"/>
  <c r="N1140" i="1"/>
  <c r="M1140" i="1"/>
  <c r="N1139" i="1"/>
  <c r="M1139" i="1"/>
  <c r="N1138" i="1"/>
  <c r="M1138" i="1"/>
  <c r="N1058" i="1"/>
  <c r="M1058" i="1"/>
  <c r="N1057" i="1"/>
  <c r="M1057" i="1"/>
  <c r="N1056" i="1"/>
  <c r="M1056" i="1"/>
  <c r="N1055" i="1"/>
  <c r="M1055" i="1"/>
  <c r="N1054" i="1"/>
  <c r="M1054" i="1"/>
  <c r="N1053" i="1"/>
  <c r="M1053" i="1"/>
  <c r="N1052" i="1"/>
  <c r="M1052" i="1"/>
  <c r="N973" i="1"/>
  <c r="M973" i="1"/>
  <c r="N972" i="1"/>
  <c r="M972" i="1"/>
  <c r="N971" i="1"/>
  <c r="M971" i="1"/>
  <c r="N970" i="1"/>
  <c r="M970" i="1"/>
  <c r="N969" i="1"/>
  <c r="M969" i="1"/>
  <c r="N968" i="1"/>
  <c r="M968" i="1"/>
  <c r="N967" i="1"/>
  <c r="M967" i="1"/>
  <c r="N966" i="1"/>
  <c r="M966" i="1"/>
  <c r="N861" i="1"/>
  <c r="M861" i="1"/>
  <c r="N860" i="1"/>
  <c r="M860" i="1"/>
  <c r="N859" i="1"/>
  <c r="M859" i="1"/>
  <c r="N858" i="1"/>
  <c r="M858" i="1"/>
  <c r="N857" i="1"/>
  <c r="M857" i="1"/>
  <c r="N856" i="1"/>
  <c r="M856" i="1"/>
  <c r="N855" i="1"/>
  <c r="M855" i="1"/>
  <c r="N854" i="1"/>
  <c r="M854" i="1"/>
  <c r="N853" i="1"/>
  <c r="M853" i="1"/>
  <c r="N852" i="1"/>
  <c r="M852" i="1"/>
  <c r="N851" i="1"/>
  <c r="M851" i="1"/>
  <c r="N742" i="1"/>
  <c r="M742" i="1"/>
  <c r="N741" i="1"/>
  <c r="M741" i="1"/>
  <c r="N740" i="1"/>
  <c r="M740" i="1"/>
  <c r="N739" i="1"/>
  <c r="M739" i="1"/>
  <c r="N738" i="1"/>
  <c r="M738" i="1"/>
  <c r="N737" i="1"/>
  <c r="M737" i="1"/>
  <c r="N736" i="1"/>
  <c r="M736" i="1"/>
  <c r="N735" i="1"/>
  <c r="M735" i="1"/>
  <c r="N602" i="1"/>
  <c r="M602" i="1"/>
  <c r="N601" i="1"/>
  <c r="M601" i="1"/>
  <c r="N600" i="1"/>
  <c r="M600" i="1"/>
  <c r="N599" i="1"/>
  <c r="M599" i="1"/>
  <c r="N598" i="1"/>
  <c r="M598" i="1"/>
  <c r="N597" i="1"/>
  <c r="M597" i="1"/>
  <c r="N596" i="1"/>
  <c r="M596" i="1"/>
  <c r="N595" i="1"/>
  <c r="M595" i="1"/>
  <c r="N594" i="1"/>
  <c r="M594" i="1"/>
  <c r="N593" i="1"/>
  <c r="M593" i="1"/>
  <c r="N592" i="1"/>
  <c r="M592"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160" i="1"/>
  <c r="M160" i="1"/>
  <c r="N159" i="1"/>
  <c r="M159" i="1"/>
  <c r="N158" i="1"/>
  <c r="M158" i="1"/>
  <c r="N157" i="1"/>
  <c r="M157" i="1"/>
  <c r="N156" i="1"/>
  <c r="M156" i="1"/>
  <c r="N155" i="1"/>
  <c r="M155" i="1"/>
  <c r="N154" i="1"/>
  <c r="M154" i="1"/>
  <c r="N153" i="1"/>
  <c r="M153" i="1"/>
  <c r="N152" i="1"/>
  <c r="M152" i="1"/>
  <c r="N151" i="1"/>
  <c r="M151" i="1"/>
  <c r="N150" i="1"/>
  <c r="M150" i="1"/>
  <c r="N149" i="1"/>
  <c r="M149" i="1"/>
  <c r="N13" i="1"/>
  <c r="M13" i="1"/>
  <c r="N12" i="1"/>
  <c r="M12" i="1"/>
  <c r="N11" i="1"/>
  <c r="M11" i="1"/>
  <c r="N10" i="1"/>
  <c r="M10" i="1"/>
  <c r="N9" i="1"/>
  <c r="M9" i="1"/>
  <c r="N8" i="1"/>
  <c r="M8" i="1"/>
  <c r="N7" i="1"/>
  <c r="M7" i="1"/>
  <c r="N6" i="1"/>
  <c r="M6" i="1"/>
  <c r="N5" i="1"/>
  <c r="M5" i="1"/>
  <c r="N4" i="1"/>
  <c r="M4" i="1"/>
  <c r="N3" i="1"/>
  <c r="M3" i="1"/>
  <c r="N2" i="1"/>
  <c r="M2" i="1"/>
  <c r="Y43" i="8"/>
  <c r="X43" i="8"/>
  <c r="W43" i="8"/>
  <c r="V43" i="8"/>
  <c r="U43" i="8"/>
  <c r="T43" i="8"/>
  <c r="S43" i="8"/>
  <c r="R43" i="8"/>
  <c r="Q43" i="8"/>
  <c r="P43" i="8"/>
  <c r="Y42" i="8"/>
  <c r="X42" i="8"/>
  <c r="W42" i="8"/>
  <c r="V42" i="8"/>
  <c r="U42" i="8"/>
  <c r="T42" i="8"/>
  <c r="S42" i="8"/>
  <c r="R42" i="8"/>
  <c r="Q42" i="8"/>
  <c r="P42" i="8"/>
  <c r="Y41" i="8"/>
  <c r="X41" i="8"/>
  <c r="W41" i="8"/>
  <c r="V41" i="8"/>
  <c r="U41" i="8"/>
  <c r="T41" i="8"/>
  <c r="S41" i="8"/>
  <c r="R41" i="8"/>
  <c r="Q41" i="8"/>
  <c r="P41" i="8"/>
  <c r="Y40" i="8"/>
  <c r="X40" i="8"/>
  <c r="W40" i="8"/>
  <c r="V40" i="8"/>
  <c r="U40" i="8"/>
  <c r="T40" i="8"/>
  <c r="S40" i="8"/>
  <c r="R40" i="8"/>
  <c r="Q40" i="8"/>
  <c r="P40" i="8"/>
  <c r="Y39" i="8"/>
  <c r="X39" i="8"/>
  <c r="W39" i="8"/>
  <c r="V39" i="8"/>
  <c r="U39" i="8"/>
  <c r="T39" i="8"/>
  <c r="S39" i="8"/>
  <c r="R39" i="8"/>
  <c r="Q39" i="8"/>
  <c r="P39" i="8"/>
  <c r="M43" i="8"/>
  <c r="L43" i="8"/>
  <c r="K43" i="8"/>
  <c r="J43" i="8"/>
  <c r="I43" i="8"/>
  <c r="H43" i="8"/>
  <c r="G43" i="8"/>
  <c r="F43" i="8"/>
  <c r="E43" i="8"/>
  <c r="D43" i="8"/>
  <c r="M42" i="8"/>
  <c r="L42" i="8"/>
  <c r="K42" i="8"/>
  <c r="J42" i="8"/>
  <c r="I42" i="8"/>
  <c r="H42" i="8"/>
  <c r="G42" i="8"/>
  <c r="F42" i="8"/>
  <c r="E42" i="8"/>
  <c r="D42" i="8"/>
  <c r="M41" i="8"/>
  <c r="L41" i="8"/>
  <c r="K41" i="8"/>
  <c r="J41" i="8"/>
  <c r="I41" i="8"/>
  <c r="H41" i="8"/>
  <c r="G41" i="8"/>
  <c r="F41" i="8"/>
  <c r="E41" i="8"/>
  <c r="D41" i="8"/>
  <c r="M40" i="8"/>
  <c r="L40" i="8"/>
  <c r="K40" i="8"/>
  <c r="J40" i="8"/>
  <c r="I40" i="8"/>
  <c r="H40" i="8"/>
  <c r="G40" i="8"/>
  <c r="F40" i="8"/>
  <c r="E40" i="8"/>
  <c r="D40" i="8"/>
  <c r="M39" i="8"/>
  <c r="L39" i="8"/>
  <c r="K39" i="8"/>
  <c r="J39" i="8"/>
  <c r="I39" i="8"/>
  <c r="H39" i="8"/>
  <c r="G39" i="8"/>
  <c r="F39" i="8"/>
  <c r="E39" i="8"/>
  <c r="D39" i="8"/>
  <c r="D68" i="8"/>
  <c r="D67" i="8"/>
  <c r="C68" i="8"/>
  <c r="C67" i="8"/>
  <c r="C61" i="8"/>
  <c r="D61" i="8"/>
  <c r="D60" i="8"/>
  <c r="D59" i="8"/>
  <c r="D58" i="8"/>
  <c r="C60" i="8"/>
  <c r="C58" i="8"/>
  <c r="D17" i="8"/>
  <c r="Q2944" i="1"/>
  <c r="Q2943" i="1"/>
  <c r="Q2942" i="1"/>
  <c r="Q2941" i="1"/>
  <c r="Q2940" i="1"/>
  <c r="Q2939" i="1"/>
  <c r="Q2938" i="1"/>
  <c r="Q2937" i="1"/>
  <c r="Q2936" i="1"/>
  <c r="Q2935" i="1"/>
  <c r="Q2934" i="1"/>
  <c r="Q2933" i="1"/>
  <c r="Q2932" i="1"/>
  <c r="Q2931" i="1"/>
  <c r="Q2930" i="1"/>
  <c r="Q2929" i="1"/>
  <c r="Q2928" i="1"/>
  <c r="Q2927" i="1"/>
  <c r="Q2950" i="1"/>
  <c r="Q2926" i="1"/>
  <c r="Q2925" i="1"/>
  <c r="Q2924" i="1"/>
  <c r="Q2953" i="1"/>
  <c r="Q2923" i="1"/>
  <c r="Q2922" i="1"/>
  <c r="Q2921" i="1"/>
  <c r="Q2920" i="1"/>
  <c r="Q2952" i="1"/>
  <c r="Q2949" i="1"/>
  <c r="Q2948" i="1"/>
  <c r="Q2919" i="1"/>
  <c r="Q2918" i="1"/>
  <c r="Q2917" i="1"/>
  <c r="Q2916" i="1"/>
  <c r="Q2915" i="1"/>
  <c r="Q2914" i="1"/>
  <c r="Q2951" i="1"/>
  <c r="Q2947" i="1"/>
  <c r="Q2946" i="1"/>
  <c r="Q2945" i="1"/>
  <c r="Q2913" i="1"/>
  <c r="Q2912" i="1"/>
  <c r="Q2911" i="1"/>
  <c r="Q2910" i="1"/>
  <c r="Q2909" i="1"/>
  <c r="Q2908" i="1"/>
  <c r="Q2907" i="1"/>
  <c r="Q2906" i="1"/>
  <c r="Q2905" i="1"/>
  <c r="Q2904" i="1"/>
  <c r="R1256" i="1"/>
  <c r="Q1256" i="1"/>
  <c r="R1255" i="1"/>
  <c r="Q1255" i="1"/>
  <c r="R1254" i="1"/>
  <c r="Q1254" i="1"/>
  <c r="R1253" i="1"/>
  <c r="Q1253" i="1"/>
  <c r="R1252" i="1"/>
  <c r="Q1252" i="1"/>
  <c r="R1251" i="1"/>
  <c r="Q1251" i="1"/>
  <c r="R1250" i="1"/>
  <c r="Q1250" i="1"/>
  <c r="R1249" i="1"/>
  <c r="Q1249" i="1"/>
  <c r="R1248" i="1"/>
  <c r="Q1248" i="1"/>
  <c r="R1247" i="1"/>
  <c r="Q1247" i="1"/>
  <c r="R1137" i="1"/>
  <c r="Q1137" i="1"/>
  <c r="R1136" i="1"/>
  <c r="Q1136" i="1"/>
  <c r="R1135" i="1"/>
  <c r="Q1135" i="1"/>
  <c r="R1134" i="1"/>
  <c r="Q1134" i="1"/>
  <c r="R1133" i="1"/>
  <c r="Q1133" i="1"/>
  <c r="R1132" i="1"/>
  <c r="Q1132" i="1"/>
  <c r="R1131" i="1"/>
  <c r="Q1131" i="1"/>
  <c r="R1051" i="1"/>
  <c r="Q1051" i="1"/>
  <c r="R1050" i="1"/>
  <c r="Q1050" i="1"/>
  <c r="R1049" i="1"/>
  <c r="Q1049" i="1"/>
  <c r="R1048" i="1"/>
  <c r="Q1048" i="1"/>
  <c r="R1047" i="1"/>
  <c r="Q1047" i="1"/>
  <c r="R1046" i="1"/>
  <c r="Q1046" i="1"/>
  <c r="R965" i="1"/>
  <c r="Q965" i="1"/>
  <c r="R964" i="1"/>
  <c r="Q964" i="1"/>
  <c r="R963" i="1"/>
  <c r="Q963" i="1"/>
  <c r="R962" i="1"/>
  <c r="Q962" i="1"/>
  <c r="R961" i="1"/>
  <c r="Q961" i="1"/>
  <c r="R960" i="1"/>
  <c r="Q960" i="1"/>
  <c r="R959" i="1"/>
  <c r="Q959" i="1"/>
  <c r="R958" i="1"/>
  <c r="Q958" i="1"/>
  <c r="R957" i="1"/>
  <c r="Q957" i="1"/>
  <c r="R956" i="1"/>
  <c r="Q956" i="1"/>
  <c r="R955" i="1"/>
  <c r="Q955" i="1"/>
  <c r="R850" i="1"/>
  <c r="Q850" i="1"/>
  <c r="R849" i="1"/>
  <c r="Q849" i="1"/>
  <c r="R848" i="1"/>
  <c r="Q848" i="1"/>
  <c r="R847" i="1"/>
  <c r="Q847" i="1"/>
  <c r="R846" i="1"/>
  <c r="Q846" i="1"/>
  <c r="R845" i="1"/>
  <c r="Q845" i="1"/>
  <c r="R844" i="1"/>
  <c r="Q844" i="1"/>
  <c r="R843" i="1"/>
  <c r="Q843" i="1"/>
  <c r="R842" i="1"/>
  <c r="Q842" i="1"/>
  <c r="R841" i="1"/>
  <c r="Q841" i="1"/>
  <c r="R840" i="1"/>
  <c r="Q840"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591" i="1"/>
  <c r="Q591" i="1"/>
  <c r="R590" i="1"/>
  <c r="Q590" i="1"/>
  <c r="R589" i="1"/>
  <c r="Q589" i="1"/>
  <c r="R588" i="1"/>
  <c r="Q588" i="1"/>
  <c r="R587" i="1"/>
  <c r="Q587" i="1"/>
  <c r="R586" i="1"/>
  <c r="Q586" i="1"/>
  <c r="R585" i="1"/>
  <c r="Q585" i="1"/>
  <c r="R584" i="1"/>
  <c r="Q584" i="1"/>
  <c r="R583" i="1"/>
  <c r="Q583" i="1"/>
  <c r="R582" i="1"/>
  <c r="Q582" i="1"/>
  <c r="R581" i="1"/>
  <c r="Q581" i="1"/>
  <c r="R580" i="1"/>
  <c r="Q580" i="1"/>
  <c r="R442" i="1"/>
  <c r="Q442" i="1"/>
  <c r="R441" i="1"/>
  <c r="Q441" i="1"/>
  <c r="R440" i="1"/>
  <c r="Q440" i="1"/>
  <c r="R439" i="1"/>
  <c r="Q439" i="1"/>
  <c r="R438" i="1"/>
  <c r="Q438" i="1"/>
  <c r="R437" i="1"/>
  <c r="Q437" i="1"/>
  <c r="R436" i="1"/>
  <c r="Q436" i="1"/>
  <c r="R435" i="1"/>
  <c r="Q435" i="1"/>
  <c r="R434" i="1"/>
  <c r="Q434" i="1"/>
  <c r="R433" i="1"/>
  <c r="Q433" i="1"/>
  <c r="R432" i="1"/>
  <c r="Q432" i="1"/>
  <c r="R431" i="1"/>
  <c r="Q431" i="1"/>
  <c r="R295" i="1"/>
  <c r="Q295" i="1"/>
  <c r="R294" i="1"/>
  <c r="Q294" i="1"/>
  <c r="R293" i="1"/>
  <c r="Q293" i="1"/>
  <c r="R292" i="1"/>
  <c r="Q292" i="1"/>
  <c r="R291" i="1"/>
  <c r="Q291" i="1"/>
  <c r="R290" i="1"/>
  <c r="Q290" i="1"/>
  <c r="R289" i="1"/>
  <c r="Q289" i="1"/>
  <c r="R288" i="1"/>
  <c r="Q288" i="1"/>
  <c r="R287" i="1"/>
  <c r="Q287" i="1"/>
  <c r="R286" i="1"/>
  <c r="Q286" i="1"/>
  <c r="R285" i="1"/>
  <c r="Q285" i="1"/>
  <c r="R284" i="1"/>
  <c r="Q284" i="1"/>
  <c r="R148" i="1"/>
  <c r="Q148" i="1"/>
  <c r="R147" i="1"/>
  <c r="Q147" i="1"/>
  <c r="R146" i="1"/>
  <c r="Q146" i="1"/>
  <c r="R145" i="1"/>
  <c r="Q145" i="1"/>
  <c r="R144" i="1"/>
  <c r="Q144" i="1"/>
  <c r="R143" i="1"/>
  <c r="Q143" i="1"/>
  <c r="R142" i="1"/>
  <c r="Q142" i="1"/>
  <c r="R141" i="1"/>
  <c r="Q141" i="1"/>
  <c r="R140" i="1"/>
  <c r="Q140" i="1"/>
  <c r="R139" i="1"/>
  <c r="Q139" i="1"/>
  <c r="R138" i="1"/>
  <c r="Q138" i="1"/>
  <c r="R137" i="1"/>
  <c r="Q137" i="1"/>
  <c r="R1246" i="1"/>
  <c r="Q1246" i="1"/>
  <c r="R1245" i="1"/>
  <c r="Q1245" i="1"/>
  <c r="R1244" i="1"/>
  <c r="Q1244" i="1"/>
  <c r="R1243" i="1"/>
  <c r="Q1243" i="1"/>
  <c r="R1045" i="1"/>
  <c r="Q1045" i="1"/>
  <c r="R1044" i="1"/>
  <c r="Q1044" i="1"/>
  <c r="R1043" i="1"/>
  <c r="Q1043" i="1"/>
  <c r="R1042" i="1"/>
  <c r="Q1042" i="1"/>
  <c r="R1041" i="1"/>
  <c r="Q1041" i="1"/>
  <c r="R1040" i="1"/>
  <c r="Q1040" i="1"/>
  <c r="R1039" i="1"/>
  <c r="Q1039" i="1"/>
  <c r="R954" i="1"/>
  <c r="Q954" i="1"/>
  <c r="R953" i="1"/>
  <c r="Q953" i="1"/>
  <c r="R952" i="1"/>
  <c r="Q952" i="1"/>
  <c r="R951" i="1"/>
  <c r="Q951" i="1"/>
  <c r="R950" i="1"/>
  <c r="Q950" i="1"/>
  <c r="R949" i="1"/>
  <c r="Q949" i="1"/>
  <c r="R948" i="1"/>
  <c r="Q948" i="1"/>
  <c r="R947" i="1"/>
  <c r="Q947" i="1"/>
  <c r="R946" i="1"/>
  <c r="Q946" i="1"/>
  <c r="R839" i="1"/>
  <c r="Q839" i="1"/>
  <c r="R838" i="1"/>
  <c r="Q838" i="1"/>
  <c r="R837" i="1"/>
  <c r="Q837" i="1"/>
  <c r="R836" i="1"/>
  <c r="Q836" i="1"/>
  <c r="R835" i="1"/>
  <c r="Q835" i="1"/>
  <c r="R834" i="1"/>
  <c r="Q834" i="1"/>
  <c r="R833" i="1"/>
  <c r="Q833" i="1"/>
  <c r="R721" i="1"/>
  <c r="Q721" i="1"/>
  <c r="R720" i="1"/>
  <c r="Q720" i="1"/>
  <c r="R719" i="1"/>
  <c r="Q719" i="1"/>
  <c r="R718" i="1"/>
  <c r="Q718" i="1"/>
  <c r="R717" i="1"/>
  <c r="Q717" i="1"/>
  <c r="R716" i="1"/>
  <c r="Q716" i="1"/>
  <c r="R715" i="1"/>
  <c r="Q715" i="1"/>
  <c r="R714" i="1"/>
  <c r="Q714" i="1"/>
  <c r="R713" i="1"/>
  <c r="Q713" i="1"/>
  <c r="R712" i="1"/>
  <c r="Q712" i="1"/>
  <c r="R711" i="1"/>
  <c r="Q711" i="1"/>
  <c r="R579" i="1"/>
  <c r="Q579" i="1"/>
  <c r="R578" i="1"/>
  <c r="Q578" i="1"/>
  <c r="R577" i="1"/>
  <c r="Q577" i="1"/>
  <c r="R576" i="1"/>
  <c r="Q576" i="1"/>
  <c r="R575" i="1"/>
  <c r="Q575" i="1"/>
  <c r="R574" i="1"/>
  <c r="Q574" i="1"/>
  <c r="R573" i="1"/>
  <c r="Q573" i="1"/>
  <c r="R572" i="1"/>
  <c r="Q572" i="1"/>
  <c r="R571" i="1"/>
  <c r="Q571" i="1"/>
  <c r="R570" i="1"/>
  <c r="Q570" i="1"/>
  <c r="R569" i="1"/>
  <c r="Q569" i="1"/>
  <c r="R568" i="1"/>
  <c r="Q568" i="1"/>
  <c r="R430" i="1"/>
  <c r="Q430" i="1"/>
  <c r="R429" i="1"/>
  <c r="Q429" i="1"/>
  <c r="R428" i="1"/>
  <c r="Q428" i="1"/>
  <c r="R427" i="1"/>
  <c r="Q427" i="1"/>
  <c r="R426" i="1"/>
  <c r="Q426" i="1"/>
  <c r="R425" i="1"/>
  <c r="Q425" i="1"/>
  <c r="R424" i="1"/>
  <c r="Q424" i="1"/>
  <c r="R423" i="1"/>
  <c r="Q423" i="1"/>
  <c r="R422" i="1"/>
  <c r="Q422" i="1"/>
  <c r="R421" i="1"/>
  <c r="Q421" i="1"/>
  <c r="R420" i="1"/>
  <c r="Q420" i="1"/>
  <c r="R419" i="1"/>
  <c r="Q419" i="1"/>
  <c r="R283" i="1"/>
  <c r="Q283" i="1"/>
  <c r="R282" i="1"/>
  <c r="Q282" i="1"/>
  <c r="R281" i="1"/>
  <c r="Q281" i="1"/>
  <c r="R280" i="1"/>
  <c r="Q280" i="1"/>
  <c r="R279" i="1"/>
  <c r="Q279" i="1"/>
  <c r="R278" i="1"/>
  <c r="Q278" i="1"/>
  <c r="R277" i="1"/>
  <c r="Q277" i="1"/>
  <c r="R276" i="1"/>
  <c r="Q276" i="1"/>
  <c r="R275" i="1"/>
  <c r="Q275" i="1"/>
  <c r="R274" i="1"/>
  <c r="Q274" i="1"/>
  <c r="R136" i="1"/>
  <c r="Q136" i="1"/>
  <c r="R135" i="1"/>
  <c r="Q135" i="1"/>
  <c r="R134" i="1"/>
  <c r="Q134" i="1"/>
  <c r="R133" i="1"/>
  <c r="Q133" i="1"/>
  <c r="R132" i="1"/>
  <c r="Q132" i="1"/>
  <c r="R131" i="1"/>
  <c r="Q131" i="1"/>
  <c r="R130" i="1"/>
  <c r="Q130" i="1"/>
  <c r="R129" i="1"/>
  <c r="Q129" i="1"/>
  <c r="R128" i="1"/>
  <c r="Q128" i="1"/>
  <c r="R127" i="1"/>
  <c r="Q127" i="1"/>
  <c r="R126" i="1"/>
  <c r="Q126" i="1"/>
  <c r="R125" i="1"/>
  <c r="Q125"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130" i="1"/>
  <c r="Q1130" i="1"/>
  <c r="R1129" i="1"/>
  <c r="Q1129" i="1"/>
  <c r="R1128" i="1"/>
  <c r="Q1128" i="1"/>
  <c r="R1127" i="1"/>
  <c r="Q1127" i="1"/>
  <c r="R1126" i="1"/>
  <c r="Q1126" i="1"/>
  <c r="R1125" i="1"/>
  <c r="Q1125" i="1"/>
  <c r="R1124" i="1"/>
  <c r="Q1124" i="1"/>
  <c r="R1038" i="1"/>
  <c r="Q1038" i="1"/>
  <c r="R1037" i="1"/>
  <c r="Q1037" i="1"/>
  <c r="R1036" i="1"/>
  <c r="Q1036" i="1"/>
  <c r="R1035" i="1"/>
  <c r="Q1035" i="1"/>
  <c r="R1034" i="1"/>
  <c r="Q1034" i="1"/>
  <c r="R1033" i="1"/>
  <c r="Q1033" i="1"/>
  <c r="R1032" i="1"/>
  <c r="Q1032" i="1"/>
  <c r="R1031" i="1"/>
  <c r="Q1031" i="1"/>
  <c r="R945" i="1"/>
  <c r="Q945" i="1"/>
  <c r="R944" i="1"/>
  <c r="Q944" i="1"/>
  <c r="R943" i="1"/>
  <c r="Q943" i="1"/>
  <c r="R942" i="1"/>
  <c r="Q942" i="1"/>
  <c r="R941" i="1"/>
  <c r="Q941" i="1"/>
  <c r="R940" i="1"/>
  <c r="Q940" i="1"/>
  <c r="R939" i="1"/>
  <c r="Q939" i="1"/>
  <c r="R938" i="1"/>
  <c r="Q938" i="1"/>
  <c r="R937" i="1"/>
  <c r="Q937" i="1"/>
  <c r="R832" i="1"/>
  <c r="Q832" i="1"/>
  <c r="R831" i="1"/>
  <c r="Q831" i="1"/>
  <c r="R830" i="1"/>
  <c r="Q830" i="1"/>
  <c r="R829" i="1"/>
  <c r="Q829" i="1"/>
  <c r="R828" i="1"/>
  <c r="Q828" i="1"/>
  <c r="R827" i="1"/>
  <c r="Q827" i="1"/>
  <c r="R826" i="1"/>
  <c r="Q826" i="1"/>
  <c r="R825" i="1"/>
  <c r="Q825" i="1"/>
  <c r="R824" i="1"/>
  <c r="Q824" i="1"/>
  <c r="R823" i="1"/>
  <c r="Q823"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567" i="1"/>
  <c r="Q567" i="1"/>
  <c r="R566" i="1"/>
  <c r="Q566" i="1"/>
  <c r="R565" i="1"/>
  <c r="Q565" i="1"/>
  <c r="R564" i="1"/>
  <c r="Q564" i="1"/>
  <c r="R563" i="1"/>
  <c r="Q563" i="1"/>
  <c r="R562" i="1"/>
  <c r="Q562" i="1"/>
  <c r="R561" i="1"/>
  <c r="Q561" i="1"/>
  <c r="R560" i="1"/>
  <c r="Q560" i="1"/>
  <c r="R559" i="1"/>
  <c r="Q559" i="1"/>
  <c r="R558" i="1"/>
  <c r="Q558" i="1"/>
  <c r="R557" i="1"/>
  <c r="Q557" i="1"/>
  <c r="R556" i="1"/>
  <c r="Q556" i="1"/>
  <c r="R418" i="1"/>
  <c r="Q418" i="1"/>
  <c r="R417" i="1"/>
  <c r="Q417" i="1"/>
  <c r="R416" i="1"/>
  <c r="Q416" i="1"/>
  <c r="R415" i="1"/>
  <c r="Q415" i="1"/>
  <c r="R414" i="1"/>
  <c r="Q414" i="1"/>
  <c r="R413" i="1"/>
  <c r="Q413" i="1"/>
  <c r="R412" i="1"/>
  <c r="Q412" i="1"/>
  <c r="R411" i="1"/>
  <c r="Q411" i="1"/>
  <c r="R410" i="1"/>
  <c r="Q410" i="1"/>
  <c r="R409" i="1"/>
  <c r="Q409" i="1"/>
  <c r="R408" i="1"/>
  <c r="Q408" i="1"/>
  <c r="R407" i="1"/>
  <c r="Q407" i="1"/>
  <c r="R273" i="1"/>
  <c r="Q273" i="1"/>
  <c r="R272" i="1"/>
  <c r="Q272" i="1"/>
  <c r="R271" i="1"/>
  <c r="Q271" i="1"/>
  <c r="R270" i="1"/>
  <c r="Q270" i="1"/>
  <c r="R269" i="1"/>
  <c r="Q269" i="1"/>
  <c r="R268" i="1"/>
  <c r="Q268" i="1"/>
  <c r="R267" i="1"/>
  <c r="Q267" i="1"/>
  <c r="R266" i="1"/>
  <c r="Q266" i="1"/>
  <c r="R265" i="1"/>
  <c r="Q265" i="1"/>
  <c r="R264" i="1"/>
  <c r="Q264" i="1"/>
  <c r="R263" i="1"/>
  <c r="Q263" i="1"/>
  <c r="R262" i="1"/>
  <c r="Q262"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229" i="1"/>
  <c r="Q1229" i="1"/>
  <c r="R1228" i="1"/>
  <c r="Q1228" i="1"/>
  <c r="R1227" i="1"/>
  <c r="Q1227" i="1"/>
  <c r="R1226" i="1"/>
  <c r="Q1226" i="1"/>
  <c r="R1225" i="1"/>
  <c r="Q1225" i="1"/>
  <c r="R1224" i="1"/>
  <c r="Q1224" i="1"/>
  <c r="R1223" i="1"/>
  <c r="Q1223" i="1"/>
  <c r="R1222" i="1"/>
  <c r="Q1222" i="1"/>
  <c r="R1221" i="1"/>
  <c r="Q1221" i="1"/>
  <c r="R1220" i="1"/>
  <c r="Q1220" i="1"/>
  <c r="R1219" i="1"/>
  <c r="Q1219" i="1"/>
  <c r="R1123" i="1"/>
  <c r="Q1123" i="1"/>
  <c r="R1122" i="1"/>
  <c r="Q1122" i="1"/>
  <c r="R1121" i="1"/>
  <c r="Q1121" i="1"/>
  <c r="R1120" i="1"/>
  <c r="Q1120" i="1"/>
  <c r="R1119" i="1"/>
  <c r="Q1119" i="1"/>
  <c r="R1118" i="1"/>
  <c r="Q1118" i="1"/>
  <c r="R1117" i="1"/>
  <c r="Q1117" i="1"/>
  <c r="R1030" i="1"/>
  <c r="Q1030" i="1"/>
  <c r="R1029" i="1"/>
  <c r="Q1029" i="1"/>
  <c r="R1028" i="1"/>
  <c r="Q1028" i="1"/>
  <c r="R1027" i="1"/>
  <c r="Q1027" i="1"/>
  <c r="R1026" i="1"/>
  <c r="Q1026" i="1"/>
  <c r="R1025" i="1"/>
  <c r="Q1025" i="1"/>
  <c r="R1024" i="1"/>
  <c r="Q1024" i="1"/>
  <c r="R936" i="1"/>
  <c r="Q936" i="1"/>
  <c r="R935" i="1"/>
  <c r="Q935" i="1"/>
  <c r="R934" i="1"/>
  <c r="Q934" i="1"/>
  <c r="R933" i="1"/>
  <c r="Q933" i="1"/>
  <c r="R932" i="1"/>
  <c r="Q932" i="1"/>
  <c r="R931" i="1"/>
  <c r="Q931" i="1"/>
  <c r="R930" i="1"/>
  <c r="Q930" i="1"/>
  <c r="R929" i="1"/>
  <c r="Q929" i="1"/>
  <c r="R928" i="1"/>
  <c r="Q928" i="1"/>
  <c r="R822" i="1"/>
  <c r="Q822" i="1"/>
  <c r="R821" i="1"/>
  <c r="Q821" i="1"/>
  <c r="R820" i="1"/>
  <c r="Q820" i="1"/>
  <c r="R819" i="1"/>
  <c r="Q819" i="1"/>
  <c r="R818" i="1"/>
  <c r="Q818" i="1"/>
  <c r="R817" i="1"/>
  <c r="Q817" i="1"/>
  <c r="R816" i="1"/>
  <c r="Q816" i="1"/>
  <c r="R815" i="1"/>
  <c r="Q815" i="1"/>
  <c r="R814" i="1"/>
  <c r="Q814" i="1"/>
  <c r="R813" i="1"/>
  <c r="Q813" i="1"/>
  <c r="R697" i="1"/>
  <c r="Q697" i="1"/>
  <c r="R696" i="1"/>
  <c r="Q696" i="1"/>
  <c r="R695" i="1"/>
  <c r="Q695" i="1"/>
  <c r="R694" i="1"/>
  <c r="Q694" i="1"/>
  <c r="R693" i="1"/>
  <c r="Q693" i="1"/>
  <c r="R692" i="1"/>
  <c r="Q692" i="1"/>
  <c r="R691" i="1"/>
  <c r="Q691" i="1"/>
  <c r="R690" i="1"/>
  <c r="Q690" i="1"/>
  <c r="R689" i="1"/>
  <c r="Q689" i="1"/>
  <c r="R688" i="1"/>
  <c r="Q688" i="1"/>
  <c r="R687" i="1"/>
  <c r="Q687" i="1"/>
  <c r="R686" i="1"/>
  <c r="Q68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406" i="1"/>
  <c r="Q406" i="1"/>
  <c r="R405" i="1"/>
  <c r="Q405" i="1"/>
  <c r="R404" i="1"/>
  <c r="Q404" i="1"/>
  <c r="R403" i="1"/>
  <c r="Q403" i="1"/>
  <c r="R402" i="1"/>
  <c r="Q402" i="1"/>
  <c r="R401" i="1"/>
  <c r="Q401" i="1"/>
  <c r="R400" i="1"/>
  <c r="Q400" i="1"/>
  <c r="R399" i="1"/>
  <c r="Q399" i="1"/>
  <c r="R398" i="1"/>
  <c r="Q398" i="1"/>
  <c r="R397" i="1"/>
  <c r="Q397" i="1"/>
  <c r="R396" i="1"/>
  <c r="Q396" i="1"/>
  <c r="R261" i="1"/>
  <c r="Q261" i="1"/>
  <c r="R260" i="1"/>
  <c r="Q260" i="1"/>
  <c r="R259" i="1"/>
  <c r="Q259" i="1"/>
  <c r="R258" i="1"/>
  <c r="Q258" i="1"/>
  <c r="R257" i="1"/>
  <c r="Q257" i="1"/>
  <c r="R256" i="1"/>
  <c r="Q256" i="1"/>
  <c r="R255" i="1"/>
  <c r="Q255" i="1"/>
  <c r="R254" i="1"/>
  <c r="Q254" i="1"/>
  <c r="R253" i="1"/>
  <c r="Q253" i="1"/>
  <c r="R252" i="1"/>
  <c r="Q252" i="1"/>
  <c r="R251" i="1"/>
  <c r="Q251" i="1"/>
  <c r="R250" i="1"/>
  <c r="Q250" i="1"/>
  <c r="R249" i="1"/>
  <c r="Q249"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1218" i="1"/>
  <c r="Q1218" i="1"/>
  <c r="R1217" i="1"/>
  <c r="Q1217" i="1"/>
  <c r="R1216" i="1"/>
  <c r="Q1216" i="1"/>
  <c r="R1215" i="1"/>
  <c r="Q1215" i="1"/>
  <c r="R1214" i="1"/>
  <c r="Q1214" i="1"/>
  <c r="R1213" i="1"/>
  <c r="Q1213" i="1"/>
  <c r="R1212" i="1"/>
  <c r="Q1212" i="1"/>
  <c r="R1116" i="1"/>
  <c r="Q1116" i="1"/>
  <c r="R1115" i="1"/>
  <c r="Q1115" i="1"/>
  <c r="R1114" i="1"/>
  <c r="Q1114" i="1"/>
  <c r="R1113" i="1"/>
  <c r="Q1113" i="1"/>
  <c r="R1112" i="1"/>
  <c r="Q1112" i="1"/>
  <c r="R1023" i="1"/>
  <c r="Q1023" i="1"/>
  <c r="R1022" i="1"/>
  <c r="Q1022" i="1"/>
  <c r="R1021" i="1"/>
  <c r="Q1021" i="1"/>
  <c r="R1020" i="1"/>
  <c r="Q1020" i="1"/>
  <c r="R1019" i="1"/>
  <c r="Q1019" i="1"/>
  <c r="R1018" i="1"/>
  <c r="Q1018" i="1"/>
  <c r="R1017" i="1"/>
  <c r="Q1017" i="1"/>
  <c r="R1016" i="1"/>
  <c r="Q1016" i="1"/>
  <c r="R1015" i="1"/>
  <c r="Q1015" i="1"/>
  <c r="R927" i="1"/>
  <c r="Q927" i="1"/>
  <c r="R926" i="1"/>
  <c r="Q926" i="1"/>
  <c r="R925" i="1"/>
  <c r="Q925" i="1"/>
  <c r="R924" i="1"/>
  <c r="Q924" i="1"/>
  <c r="R923" i="1"/>
  <c r="Q923" i="1"/>
  <c r="R922" i="1"/>
  <c r="Q922" i="1"/>
  <c r="R921" i="1"/>
  <c r="Q921" i="1"/>
  <c r="R920" i="1"/>
  <c r="Q920" i="1"/>
  <c r="R919" i="1"/>
  <c r="Q919" i="1"/>
  <c r="R812" i="1"/>
  <c r="Q812" i="1"/>
  <c r="R811" i="1"/>
  <c r="Q811" i="1"/>
  <c r="R810" i="1"/>
  <c r="Q810" i="1"/>
  <c r="R809" i="1"/>
  <c r="Q809" i="1"/>
  <c r="R808" i="1"/>
  <c r="Q808" i="1"/>
  <c r="R807" i="1"/>
  <c r="Q807" i="1"/>
  <c r="R806" i="1"/>
  <c r="Q806" i="1"/>
  <c r="R805" i="1"/>
  <c r="Q805" i="1"/>
  <c r="R804" i="1"/>
  <c r="Q804" i="1"/>
  <c r="R803" i="1"/>
  <c r="Q803" i="1"/>
  <c r="R685" i="1"/>
  <c r="Q685" i="1"/>
  <c r="R684" i="1"/>
  <c r="Q684" i="1"/>
  <c r="R683" i="1"/>
  <c r="Q683" i="1"/>
  <c r="R682" i="1"/>
  <c r="Q682" i="1"/>
  <c r="R681" i="1"/>
  <c r="Q681" i="1"/>
  <c r="R680" i="1"/>
  <c r="Q680" i="1"/>
  <c r="R679" i="1"/>
  <c r="Q679" i="1"/>
  <c r="R678" i="1"/>
  <c r="Q678" i="1"/>
  <c r="R677" i="1"/>
  <c r="Q677" i="1"/>
  <c r="R676" i="1"/>
  <c r="Q676" i="1"/>
  <c r="R675" i="1"/>
  <c r="Q675" i="1"/>
  <c r="R674" i="1"/>
  <c r="Q674" i="1"/>
  <c r="R542" i="1"/>
  <c r="Q542" i="1"/>
  <c r="R541" i="1"/>
  <c r="Q541" i="1"/>
  <c r="R540" i="1"/>
  <c r="Q540" i="1"/>
  <c r="R539" i="1"/>
  <c r="Q539" i="1"/>
  <c r="R538" i="1"/>
  <c r="Q538" i="1"/>
  <c r="R537" i="1"/>
  <c r="Q537" i="1"/>
  <c r="R536" i="1"/>
  <c r="Q536" i="1"/>
  <c r="R535" i="1"/>
  <c r="Q535" i="1"/>
  <c r="R534" i="1"/>
  <c r="Q534" i="1"/>
  <c r="R533" i="1"/>
  <c r="Q533" i="1"/>
  <c r="R532" i="1"/>
  <c r="Q532" i="1"/>
  <c r="R531" i="1"/>
  <c r="Q531"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98" i="1"/>
  <c r="Q98" i="1"/>
  <c r="R97" i="1"/>
  <c r="Q97" i="1"/>
  <c r="R96" i="1"/>
  <c r="Q96" i="1"/>
  <c r="R95" i="1"/>
  <c r="Q95" i="1"/>
  <c r="R94" i="1"/>
  <c r="Q94" i="1"/>
  <c r="R93" i="1"/>
  <c r="Q93" i="1"/>
  <c r="R92" i="1"/>
  <c r="Q92" i="1"/>
  <c r="R91" i="1"/>
  <c r="Q91" i="1"/>
  <c r="R90" i="1"/>
  <c r="Q90" i="1"/>
  <c r="R89" i="1"/>
  <c r="Q89" i="1"/>
  <c r="R88" i="1"/>
  <c r="Q88" i="1"/>
  <c r="R87" i="1"/>
  <c r="Q87" i="1"/>
  <c r="R1211" i="1"/>
  <c r="Q1211" i="1"/>
  <c r="R1210" i="1"/>
  <c r="Q1210" i="1"/>
  <c r="R1209" i="1"/>
  <c r="Q1209" i="1"/>
  <c r="R1208" i="1"/>
  <c r="Q1208" i="1"/>
  <c r="R1207" i="1"/>
  <c r="Q1207" i="1"/>
  <c r="R1206" i="1"/>
  <c r="Q1206" i="1"/>
  <c r="R1205" i="1"/>
  <c r="Q1205" i="1"/>
  <c r="R1204" i="1"/>
  <c r="Q1204" i="1"/>
  <c r="R1111" i="1"/>
  <c r="Q1111" i="1"/>
  <c r="R1110" i="1"/>
  <c r="Q1110" i="1"/>
  <c r="R1109" i="1"/>
  <c r="Q1109" i="1"/>
  <c r="R1108" i="1"/>
  <c r="Q1108" i="1"/>
  <c r="R1107" i="1"/>
  <c r="Q1107" i="1"/>
  <c r="R1106" i="1"/>
  <c r="Q1106" i="1"/>
  <c r="R1014" i="1"/>
  <c r="Q1014" i="1"/>
  <c r="R1013" i="1"/>
  <c r="Q1013" i="1"/>
  <c r="R1012" i="1"/>
  <c r="Q1012" i="1"/>
  <c r="R1011" i="1"/>
  <c r="Q1011" i="1"/>
  <c r="R1010" i="1"/>
  <c r="Q1010" i="1"/>
  <c r="R1009" i="1"/>
  <c r="Q1009" i="1"/>
  <c r="R1008" i="1"/>
  <c r="Q1008" i="1"/>
  <c r="R918" i="1"/>
  <c r="Q918" i="1"/>
  <c r="R917" i="1"/>
  <c r="Q917" i="1"/>
  <c r="R916" i="1"/>
  <c r="Q916" i="1"/>
  <c r="R915" i="1"/>
  <c r="Q915" i="1"/>
  <c r="R914" i="1"/>
  <c r="Q914" i="1"/>
  <c r="R913" i="1"/>
  <c r="Q913" i="1"/>
  <c r="R912" i="1"/>
  <c r="Q912" i="1"/>
  <c r="R911" i="1"/>
  <c r="Q911" i="1"/>
  <c r="R910" i="1"/>
  <c r="Q910" i="1"/>
  <c r="R909" i="1"/>
  <c r="Q909" i="1"/>
  <c r="R802" i="1"/>
  <c r="Q802" i="1"/>
  <c r="R801" i="1"/>
  <c r="Q801" i="1"/>
  <c r="R800" i="1"/>
  <c r="Q800" i="1"/>
  <c r="R799" i="1"/>
  <c r="Q799" i="1"/>
  <c r="R798" i="1"/>
  <c r="Q798" i="1"/>
  <c r="R797" i="1"/>
  <c r="Q797" i="1"/>
  <c r="R796" i="1"/>
  <c r="Q796" i="1"/>
  <c r="R795" i="1"/>
  <c r="Q795" i="1"/>
  <c r="R794" i="1"/>
  <c r="Q794" i="1"/>
  <c r="R793" i="1"/>
  <c r="Q793" i="1"/>
  <c r="R673" i="1"/>
  <c r="Q673" i="1"/>
  <c r="R672" i="1"/>
  <c r="Q672" i="1"/>
  <c r="R671" i="1"/>
  <c r="Q671" i="1"/>
  <c r="R670" i="1"/>
  <c r="Q670" i="1"/>
  <c r="R669" i="1"/>
  <c r="Q669" i="1"/>
  <c r="R668" i="1"/>
  <c r="Q668" i="1"/>
  <c r="R667" i="1"/>
  <c r="Q667" i="1"/>
  <c r="R666" i="1"/>
  <c r="Q666" i="1"/>
  <c r="R665" i="1"/>
  <c r="Q665"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382" i="1"/>
  <c r="Q382" i="1"/>
  <c r="R381" i="1"/>
  <c r="Q381" i="1"/>
  <c r="R380" i="1"/>
  <c r="Q380" i="1"/>
  <c r="R379" i="1"/>
  <c r="Q379" i="1"/>
  <c r="R378" i="1"/>
  <c r="Q378" i="1"/>
  <c r="R377" i="1"/>
  <c r="Q377" i="1"/>
  <c r="R376" i="1"/>
  <c r="Q376" i="1"/>
  <c r="R375" i="1"/>
  <c r="Q375" i="1"/>
  <c r="R374" i="1"/>
  <c r="Q374" i="1"/>
  <c r="R373" i="1"/>
  <c r="Q373" i="1"/>
  <c r="R372" i="1"/>
  <c r="Q372" i="1"/>
  <c r="R235" i="1"/>
  <c r="Q235" i="1"/>
  <c r="R234" i="1"/>
  <c r="Q234" i="1"/>
  <c r="R233" i="1"/>
  <c r="Q233" i="1"/>
  <c r="R232" i="1"/>
  <c r="Q232" i="1"/>
  <c r="R231" i="1"/>
  <c r="Q231" i="1"/>
  <c r="R230" i="1"/>
  <c r="Q230" i="1"/>
  <c r="R229" i="1"/>
  <c r="Q229" i="1"/>
  <c r="R228" i="1"/>
  <c r="Q228" i="1"/>
  <c r="R227" i="1"/>
  <c r="Q227" i="1"/>
  <c r="R226" i="1"/>
  <c r="Q226" i="1"/>
  <c r="R225" i="1"/>
  <c r="Q225" i="1"/>
  <c r="R224" i="1"/>
  <c r="Q224" i="1"/>
  <c r="R86" i="1"/>
  <c r="Q86" i="1"/>
  <c r="R85" i="1"/>
  <c r="Q85" i="1"/>
  <c r="R84" i="1"/>
  <c r="Q84" i="1"/>
  <c r="R83" i="1"/>
  <c r="Q83" i="1"/>
  <c r="R82" i="1"/>
  <c r="Q82" i="1"/>
  <c r="R81" i="1"/>
  <c r="Q81" i="1"/>
  <c r="R80" i="1"/>
  <c r="Q80" i="1"/>
  <c r="R79" i="1"/>
  <c r="Q79" i="1"/>
  <c r="R78" i="1"/>
  <c r="Q78" i="1"/>
  <c r="R77" i="1"/>
  <c r="Q77" i="1"/>
  <c r="R76" i="1"/>
  <c r="Q76" i="1"/>
  <c r="R75" i="1"/>
  <c r="Q75" i="1"/>
  <c r="R1203" i="1"/>
  <c r="Q1203" i="1"/>
  <c r="R1202" i="1"/>
  <c r="Q1202" i="1"/>
  <c r="R1201" i="1"/>
  <c r="Q1201" i="1"/>
  <c r="R1200" i="1"/>
  <c r="Q1200" i="1"/>
  <c r="R1199" i="1"/>
  <c r="Q1199" i="1"/>
  <c r="R1198" i="1"/>
  <c r="Q1198" i="1"/>
  <c r="R1197" i="1"/>
  <c r="Q1197" i="1"/>
  <c r="R1196" i="1"/>
  <c r="Q1196" i="1"/>
  <c r="R1195" i="1"/>
  <c r="Q1195" i="1"/>
  <c r="R1194" i="1"/>
  <c r="Q1194" i="1"/>
  <c r="R1193" i="1"/>
  <c r="Q1193" i="1"/>
  <c r="R1105" i="1"/>
  <c r="Q1105" i="1"/>
  <c r="R1104" i="1"/>
  <c r="Q1104" i="1"/>
  <c r="R1103" i="1"/>
  <c r="Q1103" i="1"/>
  <c r="R1102" i="1"/>
  <c r="Q1102" i="1"/>
  <c r="R1101" i="1"/>
  <c r="Q1101" i="1"/>
  <c r="R1100" i="1"/>
  <c r="Q1100" i="1"/>
  <c r="R1099" i="1"/>
  <c r="Q1099" i="1"/>
  <c r="R1098" i="1"/>
  <c r="Q1098" i="1"/>
  <c r="R1097" i="1"/>
  <c r="Q1097" i="1"/>
  <c r="R1096" i="1"/>
  <c r="Q1096" i="1"/>
  <c r="R1007" i="1"/>
  <c r="Q1007" i="1"/>
  <c r="R1006" i="1"/>
  <c r="Q1006" i="1"/>
  <c r="R1005" i="1"/>
  <c r="Q1005" i="1"/>
  <c r="R1004" i="1"/>
  <c r="Q1004" i="1"/>
  <c r="R1003" i="1"/>
  <c r="Q1003" i="1"/>
  <c r="R1002" i="1"/>
  <c r="Q1002" i="1"/>
  <c r="R908" i="1"/>
  <c r="Q908" i="1"/>
  <c r="R907" i="1"/>
  <c r="Q907" i="1"/>
  <c r="R906" i="1"/>
  <c r="Q906" i="1"/>
  <c r="R905" i="1"/>
  <c r="Q905" i="1"/>
  <c r="R904" i="1"/>
  <c r="Q904" i="1"/>
  <c r="R903" i="1"/>
  <c r="Q903" i="1"/>
  <c r="R902" i="1"/>
  <c r="Q902" i="1"/>
  <c r="R901" i="1"/>
  <c r="Q901" i="1"/>
  <c r="R900" i="1"/>
  <c r="Q900" i="1"/>
  <c r="R899" i="1"/>
  <c r="Q899" i="1"/>
  <c r="R792" i="1"/>
  <c r="Q792" i="1"/>
  <c r="R791" i="1"/>
  <c r="Q791" i="1"/>
  <c r="R790" i="1"/>
  <c r="Q790" i="1"/>
  <c r="R789" i="1"/>
  <c r="Q789" i="1"/>
  <c r="R788" i="1"/>
  <c r="Q788" i="1"/>
  <c r="R787" i="1"/>
  <c r="Q787" i="1"/>
  <c r="R786" i="1"/>
  <c r="Q786" i="1"/>
  <c r="R785" i="1"/>
  <c r="Q785" i="1"/>
  <c r="R784" i="1"/>
  <c r="Q784" i="1"/>
  <c r="R664" i="1"/>
  <c r="Q664" i="1"/>
  <c r="R663" i="1"/>
  <c r="Q663" i="1"/>
  <c r="R662" i="1"/>
  <c r="Q662" i="1"/>
  <c r="R661" i="1"/>
  <c r="Q661" i="1"/>
  <c r="R660" i="1"/>
  <c r="Q660" i="1"/>
  <c r="R659" i="1"/>
  <c r="Q659" i="1"/>
  <c r="R658" i="1"/>
  <c r="Q658" i="1"/>
  <c r="R657" i="1"/>
  <c r="Q657" i="1"/>
  <c r="R656" i="1"/>
  <c r="Q656" i="1"/>
  <c r="R655" i="1"/>
  <c r="Q655" i="1"/>
  <c r="R654" i="1"/>
  <c r="Q654" i="1"/>
  <c r="R653" i="1"/>
  <c r="Q653"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371" i="1"/>
  <c r="Q371" i="1"/>
  <c r="R370" i="1"/>
  <c r="Q370" i="1"/>
  <c r="R369" i="1"/>
  <c r="Q369" i="1"/>
  <c r="R368" i="1"/>
  <c r="Q368" i="1"/>
  <c r="R367" i="1"/>
  <c r="Q367" i="1"/>
  <c r="R366" i="1"/>
  <c r="Q366" i="1"/>
  <c r="R365" i="1"/>
  <c r="Q365" i="1"/>
  <c r="R364" i="1"/>
  <c r="Q364" i="1"/>
  <c r="R363" i="1"/>
  <c r="Q363" i="1"/>
  <c r="R362" i="1"/>
  <c r="Q362" i="1"/>
  <c r="R361" i="1"/>
  <c r="Q361" i="1"/>
  <c r="R360" i="1"/>
  <c r="Q360" i="1"/>
  <c r="R359" i="1"/>
  <c r="Q359"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74" i="1"/>
  <c r="Q74" i="1"/>
  <c r="R73" i="1"/>
  <c r="Q73" i="1"/>
  <c r="R72" i="1"/>
  <c r="Q72" i="1"/>
  <c r="R71" i="1"/>
  <c r="Q71" i="1"/>
  <c r="R70" i="1"/>
  <c r="Q70" i="1"/>
  <c r="R69" i="1"/>
  <c r="Q69" i="1"/>
  <c r="R68" i="1"/>
  <c r="Q68" i="1"/>
  <c r="R67" i="1"/>
  <c r="Q67" i="1"/>
  <c r="R66" i="1"/>
  <c r="Q66" i="1"/>
  <c r="R65" i="1"/>
  <c r="Q65" i="1"/>
  <c r="R64" i="1"/>
  <c r="Q64" i="1"/>
  <c r="R63" i="1"/>
  <c r="Q63" i="1"/>
  <c r="R1192" i="1"/>
  <c r="Q1192" i="1"/>
  <c r="R1191" i="1"/>
  <c r="Q1191" i="1"/>
  <c r="R1190" i="1"/>
  <c r="Q1190" i="1"/>
  <c r="R1189" i="1"/>
  <c r="Q1189" i="1"/>
  <c r="R1188" i="1"/>
  <c r="Q1188" i="1"/>
  <c r="R1187" i="1"/>
  <c r="Q1187" i="1"/>
  <c r="R1186" i="1"/>
  <c r="Q1186" i="1"/>
  <c r="R1185" i="1"/>
  <c r="Q1185" i="1"/>
  <c r="R1184" i="1"/>
  <c r="Q1184" i="1"/>
  <c r="R1095" i="1"/>
  <c r="Q1095" i="1"/>
  <c r="R1094" i="1"/>
  <c r="Q1094" i="1"/>
  <c r="R1093" i="1"/>
  <c r="Q1093" i="1"/>
  <c r="R1092" i="1"/>
  <c r="Q1092" i="1"/>
  <c r="R1091" i="1"/>
  <c r="Q1091" i="1"/>
  <c r="R1090" i="1"/>
  <c r="Q1090" i="1"/>
  <c r="R1089" i="1"/>
  <c r="Q1089" i="1"/>
  <c r="R1088" i="1"/>
  <c r="Q1088" i="1"/>
  <c r="R1001" i="1"/>
  <c r="Q1001" i="1"/>
  <c r="R1000" i="1"/>
  <c r="Q1000" i="1"/>
  <c r="R999" i="1"/>
  <c r="Q999" i="1"/>
  <c r="R998" i="1"/>
  <c r="Q998" i="1"/>
  <c r="R997" i="1"/>
  <c r="Q997" i="1"/>
  <c r="R996" i="1"/>
  <c r="Q996" i="1"/>
  <c r="R898" i="1"/>
  <c r="Q898" i="1"/>
  <c r="R897" i="1"/>
  <c r="Q897" i="1"/>
  <c r="R896" i="1"/>
  <c r="Q896" i="1"/>
  <c r="R895" i="1"/>
  <c r="Q895" i="1"/>
  <c r="R894" i="1"/>
  <c r="Q894" i="1"/>
  <c r="R893" i="1"/>
  <c r="Q893" i="1"/>
  <c r="R892" i="1"/>
  <c r="Q892" i="1"/>
  <c r="R891" i="1"/>
  <c r="Q891" i="1"/>
  <c r="R890" i="1"/>
  <c r="Q890" i="1"/>
  <c r="R889" i="1"/>
  <c r="Q889" i="1"/>
  <c r="R783" i="1"/>
  <c r="Q783" i="1"/>
  <c r="R782" i="1"/>
  <c r="Q782" i="1"/>
  <c r="R781" i="1"/>
  <c r="Q781" i="1"/>
  <c r="R780" i="1"/>
  <c r="Q780" i="1"/>
  <c r="R779" i="1"/>
  <c r="Q779" i="1"/>
  <c r="R778" i="1"/>
  <c r="Q778" i="1"/>
  <c r="R777" i="1"/>
  <c r="Q777" i="1"/>
  <c r="R776" i="1"/>
  <c r="Q776" i="1"/>
  <c r="R775" i="1"/>
  <c r="Q775" i="1"/>
  <c r="R774" i="1"/>
  <c r="Q774" i="1"/>
  <c r="R773" i="1"/>
  <c r="Q773" i="1"/>
  <c r="R652" i="1"/>
  <c r="Q652" i="1"/>
  <c r="R651" i="1"/>
  <c r="Q651" i="1"/>
  <c r="R650" i="1"/>
  <c r="Q650" i="1"/>
  <c r="R649" i="1"/>
  <c r="Q649" i="1"/>
  <c r="R648" i="1"/>
  <c r="Q648" i="1"/>
  <c r="R647" i="1"/>
  <c r="Q647" i="1"/>
  <c r="R646" i="1"/>
  <c r="Q646" i="1"/>
  <c r="R645" i="1"/>
  <c r="Q645" i="1"/>
  <c r="R644" i="1"/>
  <c r="Q644" i="1"/>
  <c r="R643" i="1"/>
  <c r="Q643" i="1"/>
  <c r="R642" i="1"/>
  <c r="Q642"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358" i="1"/>
  <c r="Q358" i="1"/>
  <c r="R357" i="1"/>
  <c r="Q357" i="1"/>
  <c r="R356" i="1"/>
  <c r="Q356" i="1"/>
  <c r="R355" i="1"/>
  <c r="Q355" i="1"/>
  <c r="R354" i="1"/>
  <c r="Q354" i="1"/>
  <c r="R353" i="1"/>
  <c r="Q353" i="1"/>
  <c r="R352" i="1"/>
  <c r="Q352" i="1"/>
  <c r="R351" i="1"/>
  <c r="Q351" i="1"/>
  <c r="R350" i="1"/>
  <c r="Q350" i="1"/>
  <c r="R349" i="1"/>
  <c r="Q349" i="1"/>
  <c r="R348" i="1"/>
  <c r="Q348" i="1"/>
  <c r="R347" i="1"/>
  <c r="Q347"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62" i="1"/>
  <c r="Q62" i="1"/>
  <c r="R61" i="1"/>
  <c r="Q61" i="1"/>
  <c r="R60" i="1"/>
  <c r="Q60" i="1"/>
  <c r="R59" i="1"/>
  <c r="Q59" i="1"/>
  <c r="R58" i="1"/>
  <c r="Q58" i="1"/>
  <c r="R57" i="1"/>
  <c r="Q57" i="1"/>
  <c r="R56" i="1"/>
  <c r="Q56" i="1"/>
  <c r="R55" i="1"/>
  <c r="Q55" i="1"/>
  <c r="R54" i="1"/>
  <c r="Q54" i="1"/>
  <c r="R53" i="1"/>
  <c r="Q53" i="1"/>
  <c r="R52" i="1"/>
  <c r="Q52" i="1"/>
  <c r="R51" i="1"/>
  <c r="Q51"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R1087" i="1"/>
  <c r="Q1087" i="1"/>
  <c r="R1086" i="1"/>
  <c r="Q1086" i="1"/>
  <c r="R1085" i="1"/>
  <c r="Q1085" i="1"/>
  <c r="R1084" i="1"/>
  <c r="Q1084" i="1"/>
  <c r="R1083" i="1"/>
  <c r="Q1083" i="1"/>
  <c r="R1082" i="1"/>
  <c r="Q1082" i="1"/>
  <c r="R1081" i="1"/>
  <c r="Q1081" i="1"/>
  <c r="R1080" i="1"/>
  <c r="Q1080" i="1"/>
  <c r="R1079" i="1"/>
  <c r="Q1079" i="1"/>
  <c r="R1078" i="1"/>
  <c r="Q1078" i="1"/>
  <c r="R1077" i="1"/>
  <c r="Q1077" i="1"/>
  <c r="R995" i="1"/>
  <c r="Q995" i="1"/>
  <c r="R994" i="1"/>
  <c r="Q994" i="1"/>
  <c r="R993" i="1"/>
  <c r="Q993" i="1"/>
  <c r="R992" i="1"/>
  <c r="Q992" i="1"/>
  <c r="R991" i="1"/>
  <c r="Q991" i="1"/>
  <c r="R990" i="1"/>
  <c r="Q990" i="1"/>
  <c r="R989" i="1"/>
  <c r="Q989" i="1"/>
  <c r="R988" i="1"/>
  <c r="Q988" i="1"/>
  <c r="R987" i="1"/>
  <c r="Q987" i="1"/>
  <c r="R888" i="1"/>
  <c r="Q888" i="1"/>
  <c r="R887" i="1"/>
  <c r="Q887" i="1"/>
  <c r="R886" i="1"/>
  <c r="Q886" i="1"/>
  <c r="R885" i="1"/>
  <c r="Q885" i="1"/>
  <c r="R884" i="1"/>
  <c r="Q884" i="1"/>
  <c r="R883" i="1"/>
  <c r="Q883" i="1"/>
  <c r="R882" i="1"/>
  <c r="Q882" i="1"/>
  <c r="R881" i="1"/>
  <c r="Q881" i="1"/>
  <c r="R880" i="1"/>
  <c r="Q880" i="1"/>
  <c r="R772" i="1"/>
  <c r="Q772" i="1"/>
  <c r="R771" i="1"/>
  <c r="Q771" i="1"/>
  <c r="R770" i="1"/>
  <c r="Q770" i="1"/>
  <c r="R769" i="1"/>
  <c r="Q769" i="1"/>
  <c r="R768" i="1"/>
  <c r="Q768" i="1"/>
  <c r="R767" i="1"/>
  <c r="Q767" i="1"/>
  <c r="R766" i="1"/>
  <c r="Q766" i="1"/>
  <c r="R765" i="1"/>
  <c r="Q765" i="1"/>
  <c r="R764" i="1"/>
  <c r="Q764" i="1"/>
  <c r="R763" i="1"/>
  <c r="Q763"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491" i="1"/>
  <c r="Q491" i="1"/>
  <c r="R490" i="1"/>
  <c r="Q490" i="1"/>
  <c r="R489" i="1"/>
  <c r="Q489" i="1"/>
  <c r="R488" i="1"/>
  <c r="Q488" i="1"/>
  <c r="R487" i="1"/>
  <c r="Q487" i="1"/>
  <c r="R486" i="1"/>
  <c r="Q486" i="1"/>
  <c r="R485" i="1"/>
  <c r="Q485" i="1"/>
  <c r="R484" i="1"/>
  <c r="Q484" i="1"/>
  <c r="R483" i="1"/>
  <c r="Q483" i="1"/>
  <c r="R482" i="1"/>
  <c r="Q482" i="1"/>
  <c r="R481" i="1"/>
  <c r="Q481" i="1"/>
  <c r="R480" i="1"/>
  <c r="Q480"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197" i="1"/>
  <c r="Q197" i="1"/>
  <c r="R196" i="1"/>
  <c r="Q196" i="1"/>
  <c r="R195" i="1"/>
  <c r="Q195" i="1"/>
  <c r="R194" i="1"/>
  <c r="Q194" i="1"/>
  <c r="R193" i="1"/>
  <c r="Q193" i="1"/>
  <c r="R192" i="1"/>
  <c r="Q192" i="1"/>
  <c r="R191" i="1"/>
  <c r="Q191" i="1"/>
  <c r="R190" i="1"/>
  <c r="Q190" i="1"/>
  <c r="R189" i="1"/>
  <c r="Q189" i="1"/>
  <c r="R188" i="1"/>
  <c r="Q188" i="1"/>
  <c r="R187" i="1"/>
  <c r="Q187" i="1"/>
  <c r="R186" i="1"/>
  <c r="Q186" i="1"/>
  <c r="R50" i="1"/>
  <c r="Q50" i="1"/>
  <c r="R49" i="1"/>
  <c r="Q49" i="1"/>
  <c r="R48" i="1"/>
  <c r="Q48" i="1"/>
  <c r="R47" i="1"/>
  <c r="Q47" i="1"/>
  <c r="R46" i="1"/>
  <c r="Q46" i="1"/>
  <c r="R45" i="1"/>
  <c r="Q45" i="1"/>
  <c r="R44" i="1"/>
  <c r="Q44" i="1"/>
  <c r="R43" i="1"/>
  <c r="Q43" i="1"/>
  <c r="R42" i="1"/>
  <c r="Q42" i="1"/>
  <c r="R41" i="1"/>
  <c r="Q41" i="1"/>
  <c r="R40" i="1"/>
  <c r="Q40" i="1"/>
  <c r="R39" i="1"/>
  <c r="Q39" i="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R1159" i="1"/>
  <c r="Q1159" i="1"/>
  <c r="R1076" i="1"/>
  <c r="Q1076" i="1"/>
  <c r="R1075" i="1"/>
  <c r="Q1075" i="1"/>
  <c r="R1074" i="1"/>
  <c r="Q1074" i="1"/>
  <c r="R1073" i="1"/>
  <c r="Q1073" i="1"/>
  <c r="R1072" i="1"/>
  <c r="Q1072" i="1"/>
  <c r="R1071" i="1"/>
  <c r="Q1071" i="1"/>
  <c r="R1070" i="1"/>
  <c r="Q1070" i="1"/>
  <c r="R1069" i="1"/>
  <c r="Q1069" i="1"/>
  <c r="R1068" i="1"/>
  <c r="Q1068" i="1"/>
  <c r="R986" i="1"/>
  <c r="Q986" i="1"/>
  <c r="R985" i="1"/>
  <c r="Q985" i="1"/>
  <c r="R984" i="1"/>
  <c r="Q984" i="1"/>
  <c r="R983" i="1"/>
  <c r="Q983" i="1"/>
  <c r="R982" i="1"/>
  <c r="Q982" i="1"/>
  <c r="R981" i="1"/>
  <c r="Q981" i="1"/>
  <c r="R980" i="1"/>
  <c r="Q980" i="1"/>
  <c r="R879" i="1"/>
  <c r="Q879" i="1"/>
  <c r="R878" i="1"/>
  <c r="Q878" i="1"/>
  <c r="R877" i="1"/>
  <c r="Q877" i="1"/>
  <c r="R876" i="1"/>
  <c r="Q876" i="1"/>
  <c r="R875" i="1"/>
  <c r="Q875" i="1"/>
  <c r="R874" i="1"/>
  <c r="Q874" i="1"/>
  <c r="R873" i="1"/>
  <c r="Q873" i="1"/>
  <c r="R872" i="1"/>
  <c r="Q872" i="1"/>
  <c r="R871" i="1"/>
  <c r="Q871" i="1"/>
  <c r="R762" i="1"/>
  <c r="Q762" i="1"/>
  <c r="R761" i="1"/>
  <c r="Q761" i="1"/>
  <c r="R760" i="1"/>
  <c r="Q760" i="1"/>
  <c r="R759" i="1"/>
  <c r="Q759" i="1"/>
  <c r="R758" i="1"/>
  <c r="Q758" i="1"/>
  <c r="R757" i="1"/>
  <c r="Q757" i="1"/>
  <c r="R756" i="1"/>
  <c r="Q756" i="1"/>
  <c r="R755" i="1"/>
  <c r="Q755" i="1"/>
  <c r="R754" i="1"/>
  <c r="Q754" i="1"/>
  <c r="R753" i="1"/>
  <c r="Q753"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479" i="1"/>
  <c r="Q479" i="1"/>
  <c r="R478" i="1"/>
  <c r="Q478" i="1"/>
  <c r="R477" i="1"/>
  <c r="Q477" i="1"/>
  <c r="R476" i="1"/>
  <c r="Q476" i="1"/>
  <c r="R475" i="1"/>
  <c r="Q475" i="1"/>
  <c r="R474" i="1"/>
  <c r="Q474" i="1"/>
  <c r="R473" i="1"/>
  <c r="Q473" i="1"/>
  <c r="R472" i="1"/>
  <c r="Q472" i="1"/>
  <c r="R471" i="1"/>
  <c r="Q471" i="1"/>
  <c r="R470" i="1"/>
  <c r="Q470" i="1"/>
  <c r="R469" i="1"/>
  <c r="Q469" i="1"/>
  <c r="R468" i="1"/>
  <c r="Q468" i="1"/>
  <c r="R333" i="1"/>
  <c r="Q333" i="1"/>
  <c r="R332" i="1"/>
  <c r="Q332" i="1"/>
  <c r="R331" i="1"/>
  <c r="Q331" i="1"/>
  <c r="R330" i="1"/>
  <c r="Q330" i="1"/>
  <c r="R329" i="1"/>
  <c r="Q329" i="1"/>
  <c r="R328" i="1"/>
  <c r="Q328" i="1"/>
  <c r="R327" i="1"/>
  <c r="Q327" i="1"/>
  <c r="R326" i="1"/>
  <c r="Q326" i="1"/>
  <c r="R325" i="1"/>
  <c r="Q325" i="1"/>
  <c r="R324" i="1"/>
  <c r="Q324" i="1"/>
  <c r="R323" i="1"/>
  <c r="Q323" i="1"/>
  <c r="R322" i="1"/>
  <c r="Q322" i="1"/>
  <c r="R185" i="1"/>
  <c r="Q185" i="1"/>
  <c r="R184" i="1"/>
  <c r="Q184" i="1"/>
  <c r="R183" i="1"/>
  <c r="Q183" i="1"/>
  <c r="R182" i="1"/>
  <c r="Q182" i="1"/>
  <c r="R181" i="1"/>
  <c r="Q181" i="1"/>
  <c r="R180" i="1"/>
  <c r="Q180" i="1"/>
  <c r="R179" i="1"/>
  <c r="Q179" i="1"/>
  <c r="R178" i="1"/>
  <c r="Q178" i="1"/>
  <c r="R177" i="1"/>
  <c r="Q177" i="1"/>
  <c r="R176" i="1"/>
  <c r="Q176" i="1"/>
  <c r="R175" i="1"/>
  <c r="Q175" i="1"/>
  <c r="R174" i="1"/>
  <c r="Q174" i="1"/>
  <c r="R38" i="1"/>
  <c r="Q38" i="1"/>
  <c r="R37" i="1"/>
  <c r="Q37" i="1"/>
  <c r="R36" i="1"/>
  <c r="Q36" i="1"/>
  <c r="R35" i="1"/>
  <c r="Q35" i="1"/>
  <c r="R34" i="1"/>
  <c r="Q34" i="1"/>
  <c r="R33" i="1"/>
  <c r="Q33" i="1"/>
  <c r="R32" i="1"/>
  <c r="Q32" i="1"/>
  <c r="R31" i="1"/>
  <c r="Q31" i="1"/>
  <c r="R30" i="1"/>
  <c r="Q30" i="1"/>
  <c r="R29" i="1"/>
  <c r="Q29" i="1"/>
  <c r="R28" i="1"/>
  <c r="Q28" i="1"/>
  <c r="R27" i="1"/>
  <c r="Q27"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R1067" i="1"/>
  <c r="Q1067" i="1"/>
  <c r="R1066" i="1"/>
  <c r="Q1066" i="1"/>
  <c r="R1065" i="1"/>
  <c r="Q1065" i="1"/>
  <c r="R1064" i="1"/>
  <c r="Q1064" i="1"/>
  <c r="R1063" i="1"/>
  <c r="Q1063" i="1"/>
  <c r="R1062" i="1"/>
  <c r="Q1062" i="1"/>
  <c r="R1061" i="1"/>
  <c r="Q1061" i="1"/>
  <c r="R1060" i="1"/>
  <c r="Q1060" i="1"/>
  <c r="R1059" i="1"/>
  <c r="Q1059" i="1"/>
  <c r="R979" i="1"/>
  <c r="Q979" i="1"/>
  <c r="R978" i="1"/>
  <c r="Q978" i="1"/>
  <c r="R977" i="1"/>
  <c r="Q977" i="1"/>
  <c r="R976" i="1"/>
  <c r="Q976" i="1"/>
  <c r="R975" i="1"/>
  <c r="Q975" i="1"/>
  <c r="R974" i="1"/>
  <c r="Q974" i="1"/>
  <c r="R870" i="1"/>
  <c r="Q870" i="1"/>
  <c r="R869" i="1"/>
  <c r="Q869" i="1"/>
  <c r="R868" i="1"/>
  <c r="Q868" i="1"/>
  <c r="R867" i="1"/>
  <c r="Q867" i="1"/>
  <c r="R866" i="1"/>
  <c r="Q866" i="1"/>
  <c r="R865" i="1"/>
  <c r="Q865" i="1"/>
  <c r="R864" i="1"/>
  <c r="Q864" i="1"/>
  <c r="R863" i="1"/>
  <c r="Q863" i="1"/>
  <c r="R862" i="1"/>
  <c r="Q862" i="1"/>
  <c r="R752" i="1"/>
  <c r="Q752" i="1"/>
  <c r="R751" i="1"/>
  <c r="Q751" i="1"/>
  <c r="R750" i="1"/>
  <c r="Q750" i="1"/>
  <c r="R749" i="1"/>
  <c r="Q749" i="1"/>
  <c r="R748" i="1"/>
  <c r="Q748" i="1"/>
  <c r="R747" i="1"/>
  <c r="Q747" i="1"/>
  <c r="R746" i="1"/>
  <c r="Q746" i="1"/>
  <c r="R745" i="1"/>
  <c r="Q745" i="1"/>
  <c r="R744" i="1"/>
  <c r="Q744" i="1"/>
  <c r="R743" i="1"/>
  <c r="Q743"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467" i="1"/>
  <c r="Q467" i="1"/>
  <c r="R466" i="1"/>
  <c r="Q466" i="1"/>
  <c r="R465" i="1"/>
  <c r="Q465" i="1"/>
  <c r="R464" i="1"/>
  <c r="Q464" i="1"/>
  <c r="R463" i="1"/>
  <c r="Q463" i="1"/>
  <c r="R462" i="1"/>
  <c r="Q462" i="1"/>
  <c r="R461" i="1"/>
  <c r="Q461" i="1"/>
  <c r="R460" i="1"/>
  <c r="Q460" i="1"/>
  <c r="R459" i="1"/>
  <c r="Q459" i="1"/>
  <c r="R458" i="1"/>
  <c r="Q458" i="1"/>
  <c r="R457" i="1"/>
  <c r="Q457" i="1"/>
  <c r="R456" i="1"/>
  <c r="Q456"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26" i="1"/>
  <c r="Q26" i="1"/>
  <c r="R25" i="1"/>
  <c r="Q25" i="1"/>
  <c r="R24" i="1"/>
  <c r="Q24" i="1"/>
  <c r="R23" i="1"/>
  <c r="Q23" i="1"/>
  <c r="R22" i="1"/>
  <c r="Q22" i="1"/>
  <c r="R21" i="1"/>
  <c r="Q21" i="1"/>
  <c r="R20" i="1"/>
  <c r="Q20" i="1"/>
  <c r="R19" i="1"/>
  <c r="Q19" i="1"/>
  <c r="R18" i="1"/>
  <c r="Q18" i="1"/>
  <c r="R17" i="1"/>
  <c r="Q17" i="1"/>
  <c r="R16" i="1"/>
  <c r="Q16" i="1"/>
  <c r="R15" i="1"/>
  <c r="Q15" i="1"/>
  <c r="R14" i="1"/>
  <c r="Q14" i="1"/>
  <c r="R1146" i="1"/>
  <c r="Q1146" i="1"/>
  <c r="R1145" i="1"/>
  <c r="Q1145" i="1"/>
  <c r="R1144" i="1"/>
  <c r="Q1144" i="1"/>
  <c r="R1143" i="1"/>
  <c r="Q1143" i="1"/>
  <c r="R1142" i="1"/>
  <c r="Q1142" i="1"/>
  <c r="R1141" i="1"/>
  <c r="Q1141" i="1"/>
  <c r="R1140" i="1"/>
  <c r="Q1140" i="1"/>
  <c r="R1139" i="1"/>
  <c r="Q1139" i="1"/>
  <c r="R1138" i="1"/>
  <c r="Q1138" i="1"/>
  <c r="R1058" i="1"/>
  <c r="Q1058" i="1"/>
  <c r="R1057" i="1"/>
  <c r="Q1057" i="1"/>
  <c r="R1056" i="1"/>
  <c r="Q1056" i="1"/>
  <c r="R1055" i="1"/>
  <c r="Q1055" i="1"/>
  <c r="R1054" i="1"/>
  <c r="Q1054" i="1"/>
  <c r="R1053" i="1"/>
  <c r="Q1053" i="1"/>
  <c r="R1052" i="1"/>
  <c r="Q1052" i="1"/>
  <c r="R973" i="1"/>
  <c r="Q973" i="1"/>
  <c r="R972" i="1"/>
  <c r="Q972" i="1"/>
  <c r="R971" i="1"/>
  <c r="Q971" i="1"/>
  <c r="R970" i="1"/>
  <c r="Q970" i="1"/>
  <c r="R969" i="1"/>
  <c r="Q969" i="1"/>
  <c r="R968" i="1"/>
  <c r="Q968" i="1"/>
  <c r="R967" i="1"/>
  <c r="Q967" i="1"/>
  <c r="R966" i="1"/>
  <c r="Q966" i="1"/>
  <c r="R861" i="1"/>
  <c r="Q861" i="1"/>
  <c r="R860" i="1"/>
  <c r="Q860" i="1"/>
  <c r="R859" i="1"/>
  <c r="Q859" i="1"/>
  <c r="R858" i="1"/>
  <c r="Q858" i="1"/>
  <c r="R857" i="1"/>
  <c r="Q857" i="1"/>
  <c r="R856" i="1"/>
  <c r="Q856" i="1"/>
  <c r="R855" i="1"/>
  <c r="Q855" i="1"/>
  <c r="R854" i="1"/>
  <c r="Q854" i="1"/>
  <c r="R853" i="1"/>
  <c r="Q853" i="1"/>
  <c r="R852" i="1"/>
  <c r="Q852" i="1"/>
  <c r="R851" i="1"/>
  <c r="Q851" i="1"/>
  <c r="R742" i="1"/>
  <c r="Q742" i="1"/>
  <c r="R741" i="1"/>
  <c r="Q741" i="1"/>
  <c r="R740" i="1"/>
  <c r="Q740" i="1"/>
  <c r="R739" i="1"/>
  <c r="Q739" i="1"/>
  <c r="R738" i="1"/>
  <c r="Q738" i="1"/>
  <c r="R737" i="1"/>
  <c r="Q737" i="1"/>
  <c r="R736" i="1"/>
  <c r="Q736" i="1"/>
  <c r="R735" i="1"/>
  <c r="Q735" i="1"/>
  <c r="R602" i="1"/>
  <c r="Q602" i="1"/>
  <c r="R601" i="1"/>
  <c r="Q601" i="1"/>
  <c r="R600" i="1"/>
  <c r="Q600" i="1"/>
  <c r="R599" i="1"/>
  <c r="Q599" i="1"/>
  <c r="R598" i="1"/>
  <c r="Q598" i="1"/>
  <c r="R597" i="1"/>
  <c r="Q597" i="1"/>
  <c r="R596" i="1"/>
  <c r="Q596" i="1"/>
  <c r="R595" i="1"/>
  <c r="Q595" i="1"/>
  <c r="R594" i="1"/>
  <c r="Q594" i="1"/>
  <c r="R593" i="1"/>
  <c r="Q593" i="1"/>
  <c r="R592" i="1"/>
  <c r="Q592"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308" i="1"/>
  <c r="Q308" i="1"/>
  <c r="R307" i="1"/>
  <c r="Q307" i="1"/>
  <c r="R306" i="1"/>
  <c r="Q306" i="1"/>
  <c r="R305" i="1"/>
  <c r="Q305" i="1"/>
  <c r="R304" i="1"/>
  <c r="Q304" i="1"/>
  <c r="R303" i="1"/>
  <c r="Q303" i="1"/>
  <c r="R302" i="1"/>
  <c r="Q302" i="1"/>
  <c r="R301" i="1"/>
  <c r="Q301" i="1"/>
  <c r="R300" i="1"/>
  <c r="Q300" i="1"/>
  <c r="R299" i="1"/>
  <c r="Q299" i="1"/>
  <c r="R298" i="1"/>
  <c r="Q298" i="1"/>
  <c r="R297" i="1"/>
  <c r="Q297" i="1"/>
  <c r="R296" i="1"/>
  <c r="Q296" i="1"/>
  <c r="R160" i="1"/>
  <c r="Q160" i="1"/>
  <c r="R159" i="1"/>
  <c r="Q159" i="1"/>
  <c r="R158" i="1"/>
  <c r="Q158" i="1"/>
  <c r="R157" i="1"/>
  <c r="Q157" i="1"/>
  <c r="R156" i="1"/>
  <c r="Q156" i="1"/>
  <c r="R155" i="1"/>
  <c r="Q155" i="1"/>
  <c r="R154" i="1"/>
  <c r="Q154" i="1"/>
  <c r="R153" i="1"/>
  <c r="Q153" i="1"/>
  <c r="R152" i="1"/>
  <c r="Q152" i="1"/>
  <c r="R151" i="1"/>
  <c r="Q151" i="1"/>
  <c r="R150" i="1"/>
  <c r="Q150" i="1"/>
  <c r="R149" i="1"/>
  <c r="Q149" i="1"/>
  <c r="R13" i="1"/>
  <c r="Q13" i="1"/>
  <c r="R12" i="1"/>
  <c r="Q12" i="1"/>
  <c r="R11" i="1"/>
  <c r="Q11" i="1"/>
  <c r="R10" i="1"/>
  <c r="Q10" i="1"/>
  <c r="R9" i="1"/>
  <c r="Q9" i="1"/>
  <c r="R8" i="1"/>
  <c r="Q8" i="1"/>
  <c r="R7" i="1"/>
  <c r="Q7" i="1"/>
  <c r="R6" i="1"/>
  <c r="Q6" i="1"/>
  <c r="R5" i="1"/>
  <c r="Q5" i="1"/>
  <c r="R4" i="1"/>
  <c r="Q4" i="1"/>
  <c r="R3" i="1"/>
  <c r="Q3" i="1"/>
  <c r="R2" i="1"/>
  <c r="Q2" i="1"/>
  <c r="Q2235" i="10"/>
  <c r="P2235" i="10"/>
  <c r="D3810" i="9"/>
  <c r="D3809" i="9"/>
  <c r="D3808" i="9"/>
  <c r="D3807" i="9"/>
  <c r="D3806" i="9"/>
  <c r="D3805" i="9"/>
  <c r="D3804" i="9"/>
  <c r="D3803" i="9"/>
  <c r="D3802" i="9"/>
  <c r="D3801" i="9"/>
  <c r="D3800" i="9"/>
  <c r="D3799" i="9"/>
  <c r="D3798" i="9"/>
  <c r="D3797" i="9"/>
  <c r="D3796" i="9"/>
  <c r="D3795" i="9"/>
  <c r="D3794" i="9"/>
  <c r="D3793" i="9"/>
  <c r="D3792" i="9"/>
  <c r="D3791" i="9"/>
  <c r="D3790" i="9"/>
  <c r="D3789" i="9"/>
  <c r="D3788" i="9"/>
  <c r="D3787" i="9"/>
  <c r="D3786" i="9"/>
  <c r="D3785" i="9"/>
  <c r="D3784" i="9"/>
  <c r="D3783" i="9"/>
  <c r="D3782" i="9"/>
  <c r="D3781" i="9"/>
  <c r="D3780" i="9"/>
  <c r="D3779" i="9"/>
  <c r="D3778" i="9"/>
  <c r="D3777" i="9"/>
  <c r="D3776" i="9"/>
  <c r="D3775" i="9"/>
  <c r="D3774" i="9"/>
  <c r="D3773" i="9"/>
  <c r="D3772" i="9"/>
  <c r="D3771" i="9"/>
  <c r="D3770" i="9"/>
  <c r="D3769" i="9"/>
  <c r="D3768" i="9"/>
  <c r="D3767" i="9"/>
  <c r="D3766" i="9"/>
  <c r="D3765" i="9"/>
  <c r="D3764" i="9"/>
  <c r="D3763" i="9"/>
  <c r="D3762" i="9"/>
  <c r="D3761" i="9"/>
  <c r="D3760" i="9"/>
  <c r="D3759" i="9"/>
  <c r="D3758" i="9"/>
  <c r="D3757" i="9"/>
  <c r="D3756" i="9"/>
  <c r="D3755" i="9"/>
  <c r="D3754" i="9"/>
  <c r="D3753" i="9"/>
  <c r="D3752" i="9"/>
  <c r="D3751" i="9"/>
  <c r="D3750" i="9"/>
  <c r="D3749" i="9"/>
  <c r="D3748" i="9"/>
  <c r="D3747" i="9"/>
  <c r="D3746" i="9"/>
  <c r="D3745" i="9"/>
  <c r="D3744" i="9"/>
  <c r="D3743" i="9"/>
  <c r="D3742" i="9"/>
  <c r="D3741" i="9"/>
  <c r="D3740" i="9"/>
  <c r="D3739" i="9"/>
  <c r="D3738" i="9"/>
  <c r="D3737" i="9"/>
  <c r="D3736" i="9"/>
  <c r="D3735" i="9"/>
  <c r="D3734" i="9"/>
  <c r="D3733" i="9"/>
  <c r="D3732" i="9"/>
  <c r="D3731" i="9"/>
  <c r="D3730" i="9"/>
  <c r="D3729" i="9"/>
  <c r="D3728" i="9"/>
  <c r="D3727" i="9"/>
  <c r="D3726" i="9"/>
  <c r="D3725" i="9"/>
  <c r="D3724" i="9"/>
  <c r="D3723" i="9"/>
  <c r="D3722" i="9"/>
  <c r="D3721" i="9"/>
  <c r="D3720" i="9"/>
  <c r="D3719" i="9"/>
  <c r="D3718" i="9"/>
  <c r="D3717" i="9"/>
  <c r="D3716" i="9"/>
  <c r="D3715" i="9"/>
  <c r="D3714" i="9"/>
  <c r="D3713" i="9"/>
  <c r="D3712" i="9"/>
  <c r="D3711" i="9"/>
  <c r="D3710" i="9"/>
  <c r="D3709" i="9"/>
  <c r="D3708" i="9"/>
  <c r="D3707" i="9"/>
  <c r="D3706" i="9"/>
  <c r="D3705" i="9"/>
  <c r="D3704" i="9"/>
  <c r="D3703" i="9"/>
  <c r="D3702" i="9"/>
  <c r="D3701" i="9"/>
  <c r="D3700" i="9"/>
  <c r="D3699" i="9"/>
  <c r="D3698" i="9"/>
  <c r="D3697" i="9"/>
  <c r="D3696" i="9"/>
  <c r="D3695" i="9"/>
  <c r="D3694" i="9"/>
  <c r="D3693" i="9"/>
  <c r="D3692" i="9"/>
  <c r="D3691" i="9"/>
  <c r="D3690" i="9"/>
  <c r="D3689" i="9"/>
  <c r="D3688" i="9"/>
  <c r="D3687" i="9"/>
  <c r="D3686" i="9"/>
  <c r="D3685" i="9"/>
  <c r="D3684" i="9"/>
  <c r="D3683" i="9"/>
  <c r="D3682" i="9"/>
  <c r="D3681" i="9"/>
  <c r="D3680" i="9"/>
  <c r="D3679" i="9"/>
  <c r="D3678" i="9"/>
  <c r="D3677" i="9"/>
  <c r="D3676" i="9"/>
  <c r="D3675" i="9"/>
  <c r="D3674" i="9"/>
  <c r="D3673" i="9"/>
  <c r="D3672" i="9"/>
  <c r="D3671" i="9"/>
  <c r="D3670" i="9"/>
  <c r="D3669" i="9"/>
  <c r="D3668" i="9"/>
  <c r="D3667" i="9"/>
  <c r="D3666" i="9"/>
  <c r="D3665" i="9"/>
  <c r="D3664" i="9"/>
  <c r="D3663" i="9"/>
  <c r="D3662" i="9"/>
  <c r="D3661" i="9"/>
  <c r="D3660" i="9"/>
  <c r="D3659" i="9"/>
  <c r="D3658" i="9"/>
  <c r="D3657" i="9"/>
  <c r="D3656" i="9"/>
  <c r="D3655" i="9"/>
  <c r="D3654" i="9"/>
  <c r="D3653" i="9"/>
  <c r="D3652" i="9"/>
  <c r="D3651" i="9"/>
  <c r="D3650" i="9"/>
  <c r="D3649" i="9"/>
  <c r="D3648" i="9"/>
  <c r="D3647" i="9"/>
  <c r="D3646" i="9"/>
  <c r="D3645" i="9"/>
  <c r="D3644" i="9"/>
  <c r="D3643" i="9"/>
  <c r="D3642" i="9"/>
  <c r="D3641" i="9"/>
  <c r="D3640" i="9"/>
  <c r="D3639" i="9"/>
  <c r="D3638" i="9"/>
  <c r="D3637" i="9"/>
  <c r="D3636" i="9"/>
  <c r="D3635" i="9"/>
  <c r="D3634" i="9"/>
  <c r="D3633" i="9"/>
  <c r="D3632" i="9"/>
  <c r="D3631" i="9"/>
  <c r="D3630" i="9"/>
  <c r="D3629" i="9"/>
  <c r="D3628" i="9"/>
  <c r="D3627" i="9"/>
  <c r="D3626" i="9"/>
  <c r="D3625" i="9"/>
  <c r="D3624" i="9"/>
  <c r="D3623" i="9"/>
  <c r="D3622" i="9"/>
  <c r="D3621" i="9"/>
  <c r="D3620" i="9"/>
  <c r="D3619" i="9"/>
  <c r="D3618" i="9"/>
  <c r="D3617" i="9"/>
  <c r="D3616" i="9"/>
  <c r="D3615" i="9"/>
  <c r="D3614" i="9"/>
  <c r="D3613" i="9"/>
  <c r="D3612" i="9"/>
  <c r="D3611" i="9"/>
  <c r="D3610" i="9"/>
  <c r="D3609" i="9"/>
  <c r="D3608" i="9"/>
  <c r="D3607" i="9"/>
  <c r="D3606" i="9"/>
  <c r="D3605" i="9"/>
  <c r="D3604" i="9"/>
  <c r="D3603" i="9"/>
  <c r="D3602" i="9"/>
  <c r="D3601" i="9"/>
  <c r="D3600" i="9"/>
  <c r="D3599" i="9"/>
  <c r="D3598" i="9"/>
  <c r="D3597" i="9"/>
  <c r="D3596" i="9"/>
  <c r="D3595" i="9"/>
  <c r="D3594" i="9"/>
  <c r="D3593" i="9"/>
  <c r="D3592" i="9"/>
  <c r="D3591" i="9"/>
  <c r="D3590" i="9"/>
  <c r="D3589" i="9"/>
  <c r="D3588" i="9"/>
  <c r="D3587" i="9"/>
  <c r="D3586" i="9"/>
  <c r="D3585" i="9"/>
  <c r="D3584" i="9"/>
  <c r="D3583" i="9"/>
  <c r="D3582" i="9"/>
  <c r="D3581" i="9"/>
  <c r="D3580" i="9"/>
  <c r="D3579" i="9"/>
  <c r="D3578" i="9"/>
  <c r="D3577" i="9"/>
  <c r="D3576" i="9"/>
  <c r="D3575" i="9"/>
  <c r="D3574" i="9"/>
  <c r="D3573" i="9"/>
  <c r="D3572" i="9"/>
  <c r="D3571" i="9"/>
  <c r="D3570" i="9"/>
  <c r="D3569" i="9"/>
  <c r="D3568" i="9"/>
  <c r="D3567" i="9"/>
  <c r="D3566" i="9"/>
  <c r="D3565" i="9"/>
  <c r="D3564" i="9"/>
  <c r="D3563" i="9"/>
  <c r="D3562" i="9"/>
  <c r="D3561" i="9"/>
  <c r="D3560" i="9"/>
  <c r="D3559" i="9"/>
  <c r="D3558" i="9"/>
  <c r="D3557" i="9"/>
  <c r="D3556" i="9"/>
  <c r="D3555" i="9"/>
  <c r="D3554" i="9"/>
  <c r="D3553" i="9"/>
  <c r="D3552" i="9"/>
  <c r="D3551" i="9"/>
  <c r="D3550" i="9"/>
  <c r="D3549" i="9"/>
  <c r="D3548" i="9"/>
  <c r="D3547" i="9"/>
  <c r="D3546" i="9"/>
  <c r="D3545" i="9"/>
  <c r="D3544" i="9"/>
  <c r="D3543" i="9"/>
  <c r="D3542" i="9"/>
  <c r="D3541" i="9"/>
  <c r="D3540" i="9"/>
  <c r="D3539" i="9"/>
  <c r="D3538" i="9"/>
  <c r="D3537" i="9"/>
  <c r="D3536" i="9"/>
  <c r="D3535" i="9"/>
  <c r="D3534" i="9"/>
  <c r="D3533" i="9"/>
  <c r="D3532" i="9"/>
  <c r="D3531" i="9"/>
  <c r="D3530" i="9"/>
  <c r="D3529" i="9"/>
  <c r="D3528" i="9"/>
  <c r="D3527" i="9"/>
  <c r="D3526" i="9"/>
  <c r="D3525" i="9"/>
  <c r="D3524" i="9"/>
  <c r="D3523" i="9"/>
  <c r="D3522" i="9"/>
  <c r="D3521" i="9"/>
  <c r="D3520" i="9"/>
  <c r="D3519" i="9"/>
  <c r="D3518" i="9"/>
  <c r="D3517" i="9"/>
  <c r="D3516" i="9"/>
  <c r="D3515" i="9"/>
  <c r="D3514" i="9"/>
  <c r="D3513" i="9"/>
  <c r="D3512" i="9"/>
  <c r="D3511" i="9"/>
  <c r="D3510" i="9"/>
  <c r="D3509" i="9"/>
  <c r="D3508" i="9"/>
  <c r="D3507" i="9"/>
  <c r="D3506" i="9"/>
  <c r="D3505" i="9"/>
  <c r="D3504" i="9"/>
  <c r="D3503" i="9"/>
  <c r="D3502" i="9"/>
  <c r="D3501" i="9"/>
  <c r="D3500" i="9"/>
  <c r="D3499" i="9"/>
  <c r="D3498" i="9"/>
  <c r="D3497" i="9"/>
  <c r="D3496" i="9"/>
  <c r="D3495" i="9"/>
  <c r="D3494" i="9"/>
  <c r="D3493" i="9"/>
  <c r="D3492" i="9"/>
  <c r="D3491" i="9"/>
  <c r="D3490" i="9"/>
  <c r="D3489" i="9"/>
  <c r="D3488" i="9"/>
  <c r="D3487" i="9"/>
  <c r="D3486" i="9"/>
  <c r="D3485" i="9"/>
  <c r="D3484" i="9"/>
  <c r="D3483" i="9"/>
  <c r="D3482" i="9"/>
  <c r="D3481" i="9"/>
  <c r="D3480" i="9"/>
  <c r="D3479" i="9"/>
  <c r="D3478" i="9"/>
  <c r="D3477" i="9"/>
  <c r="D3476" i="9"/>
  <c r="D3475" i="9"/>
  <c r="D3474" i="9"/>
  <c r="D3473" i="9"/>
  <c r="D3472" i="9"/>
  <c r="D3471" i="9"/>
  <c r="D3470" i="9"/>
  <c r="D3469" i="9"/>
  <c r="D3468" i="9"/>
  <c r="D3467" i="9"/>
  <c r="D3466" i="9"/>
  <c r="D3465" i="9"/>
  <c r="D3464" i="9"/>
  <c r="D3463" i="9"/>
  <c r="D3462" i="9"/>
  <c r="D3461" i="9"/>
  <c r="D3460" i="9"/>
  <c r="D3459" i="9"/>
  <c r="D3458" i="9"/>
  <c r="D3457" i="9"/>
  <c r="D3456" i="9"/>
  <c r="D3455" i="9"/>
  <c r="D3454" i="9"/>
  <c r="D3453" i="9"/>
  <c r="D3452" i="9"/>
  <c r="D3451" i="9"/>
  <c r="D3450" i="9"/>
  <c r="D3449" i="9"/>
  <c r="D3448" i="9"/>
  <c r="D3447" i="9"/>
  <c r="D3446" i="9"/>
  <c r="D3445" i="9"/>
  <c r="D3444" i="9"/>
  <c r="D3443" i="9"/>
  <c r="D3442" i="9"/>
  <c r="D3441" i="9"/>
  <c r="D3440" i="9"/>
  <c r="D3439" i="9"/>
  <c r="D3438" i="9"/>
  <c r="D3437" i="9"/>
  <c r="D3436" i="9"/>
  <c r="D3435" i="9"/>
  <c r="D3434" i="9"/>
  <c r="D3433" i="9"/>
  <c r="D3432" i="9"/>
  <c r="D3431" i="9"/>
  <c r="D3430" i="9"/>
  <c r="D3429" i="9"/>
  <c r="D3428" i="9"/>
  <c r="D3427" i="9"/>
  <c r="D3426" i="9"/>
  <c r="D3425" i="9"/>
  <c r="D3424" i="9"/>
  <c r="D3423" i="9"/>
  <c r="D3422" i="9"/>
  <c r="D3421" i="9"/>
  <c r="D3420" i="9"/>
  <c r="D3419" i="9"/>
  <c r="D3418" i="9"/>
  <c r="D3417" i="9"/>
  <c r="D3416" i="9"/>
  <c r="D3415" i="9"/>
  <c r="D3414" i="9"/>
  <c r="D3413" i="9"/>
  <c r="D3412" i="9"/>
  <c r="D3411" i="9"/>
  <c r="D3410" i="9"/>
  <c r="D3409" i="9"/>
  <c r="D3408" i="9"/>
  <c r="D3407" i="9"/>
  <c r="D3406" i="9"/>
  <c r="D3405" i="9"/>
  <c r="D3404" i="9"/>
  <c r="D3403" i="9"/>
  <c r="D3402" i="9"/>
  <c r="D3401" i="9"/>
  <c r="D3400" i="9"/>
  <c r="D3399" i="9"/>
  <c r="D3398" i="9"/>
  <c r="D3397" i="9"/>
  <c r="D3396" i="9"/>
  <c r="D3395" i="9"/>
  <c r="D3394" i="9"/>
  <c r="D3393" i="9"/>
  <c r="D3392" i="9"/>
  <c r="D3391" i="9"/>
  <c r="D3390" i="9"/>
  <c r="D3389" i="9"/>
  <c r="D3388" i="9"/>
  <c r="D3387" i="9"/>
  <c r="D3386" i="9"/>
  <c r="D3385" i="9"/>
  <c r="D3384" i="9"/>
  <c r="D3383" i="9"/>
  <c r="D3382" i="9"/>
  <c r="D3381" i="9"/>
  <c r="D3380" i="9"/>
  <c r="D3379" i="9"/>
  <c r="D3378" i="9"/>
  <c r="D3377" i="9"/>
  <c r="D3376" i="9"/>
  <c r="D3375" i="9"/>
  <c r="D3374" i="9"/>
  <c r="D3373" i="9"/>
  <c r="D3372" i="9"/>
  <c r="D3371" i="9"/>
  <c r="D3370" i="9"/>
  <c r="D3369" i="9"/>
  <c r="D3368" i="9"/>
  <c r="D3367" i="9"/>
  <c r="D3366" i="9"/>
  <c r="D3365" i="9"/>
  <c r="D3364" i="9"/>
  <c r="D3363" i="9"/>
  <c r="D3362" i="9"/>
  <c r="D3361" i="9"/>
  <c r="D3360" i="9"/>
  <c r="D3359" i="9"/>
  <c r="D3358" i="9"/>
  <c r="D3357" i="9"/>
  <c r="D3356" i="9"/>
  <c r="D3355" i="9"/>
  <c r="D3354" i="9"/>
  <c r="D3353" i="9"/>
  <c r="D3352" i="9"/>
  <c r="D3351" i="9"/>
  <c r="D3350" i="9"/>
  <c r="D3349" i="9"/>
  <c r="D3348" i="9"/>
  <c r="D3347" i="9"/>
  <c r="D3346" i="9"/>
  <c r="D3345" i="9"/>
  <c r="D3344" i="9"/>
  <c r="D3343" i="9"/>
  <c r="D3342" i="9"/>
  <c r="D3341" i="9"/>
  <c r="D3340" i="9"/>
  <c r="D3339" i="9"/>
  <c r="D3338" i="9"/>
  <c r="D3337" i="9"/>
  <c r="D3336" i="9"/>
  <c r="D3335" i="9"/>
  <c r="D3334" i="9"/>
  <c r="D3333" i="9"/>
  <c r="D3332" i="9"/>
  <c r="D3331" i="9"/>
  <c r="D3330" i="9"/>
  <c r="D3329" i="9"/>
  <c r="D3328" i="9"/>
  <c r="D3327" i="9"/>
  <c r="D3326" i="9"/>
  <c r="D3325" i="9"/>
  <c r="D3324" i="9"/>
  <c r="D3323" i="9"/>
  <c r="D3322" i="9"/>
  <c r="D3321" i="9"/>
  <c r="D3320" i="9"/>
  <c r="D3319" i="9"/>
  <c r="D3318" i="9"/>
  <c r="D3317" i="9"/>
  <c r="D3316" i="9"/>
  <c r="D3315" i="9"/>
  <c r="D3314" i="9"/>
  <c r="D3313" i="9"/>
  <c r="D3312" i="9"/>
  <c r="D3311" i="9"/>
  <c r="D3310" i="9"/>
  <c r="D3309" i="9"/>
  <c r="D3308" i="9"/>
  <c r="D3307" i="9"/>
  <c r="D3306" i="9"/>
  <c r="D3305" i="9"/>
  <c r="D3304" i="9"/>
  <c r="D3303" i="9"/>
  <c r="D3302" i="9"/>
  <c r="D3301" i="9"/>
  <c r="D3300" i="9"/>
  <c r="D3299" i="9"/>
  <c r="D3298" i="9"/>
  <c r="D3297" i="9"/>
  <c r="D3296" i="9"/>
  <c r="D3295" i="9"/>
  <c r="D3294" i="9"/>
  <c r="D3293" i="9"/>
  <c r="D3292" i="9"/>
  <c r="D3291" i="9"/>
  <c r="D3290" i="9"/>
  <c r="D3289" i="9"/>
  <c r="D3288" i="9"/>
  <c r="D3287" i="9"/>
  <c r="D3286" i="9"/>
  <c r="D3285" i="9"/>
  <c r="D3284" i="9"/>
  <c r="D3283" i="9"/>
  <c r="D3282" i="9"/>
  <c r="D3281" i="9"/>
  <c r="D3280" i="9"/>
  <c r="D3279" i="9"/>
  <c r="D3278" i="9"/>
  <c r="D3277" i="9"/>
  <c r="D3276" i="9"/>
  <c r="D3275" i="9"/>
  <c r="D3274" i="9"/>
  <c r="D3273" i="9"/>
  <c r="D3272" i="9"/>
  <c r="D3271" i="9"/>
  <c r="D3270" i="9"/>
  <c r="D3269" i="9"/>
  <c r="D3268" i="9"/>
  <c r="D3267" i="9"/>
  <c r="D3266" i="9"/>
  <c r="D3265" i="9"/>
  <c r="D3264" i="9"/>
  <c r="D3263" i="9"/>
  <c r="D3262" i="9"/>
  <c r="D3261" i="9"/>
  <c r="D3260" i="9"/>
  <c r="D3259" i="9"/>
  <c r="D3258" i="9"/>
  <c r="D3257" i="9"/>
  <c r="D3256" i="9"/>
  <c r="D3255" i="9"/>
  <c r="D3254" i="9"/>
  <c r="D3253" i="9"/>
  <c r="D3252" i="9"/>
  <c r="D3251" i="9"/>
  <c r="D3250" i="9"/>
  <c r="D3249" i="9"/>
  <c r="D3248" i="9"/>
  <c r="D3247" i="9"/>
  <c r="D3246" i="9"/>
  <c r="D3245" i="9"/>
  <c r="D3244" i="9"/>
  <c r="D3243" i="9"/>
  <c r="D3242" i="9"/>
  <c r="D3241" i="9"/>
  <c r="D3240" i="9"/>
  <c r="D3239" i="9"/>
  <c r="D3238" i="9"/>
  <c r="D3237" i="9"/>
  <c r="D3236" i="9"/>
  <c r="D3235" i="9"/>
  <c r="D3234" i="9"/>
  <c r="D3233" i="9"/>
  <c r="D3232" i="9"/>
  <c r="D3231" i="9"/>
  <c r="D3230" i="9"/>
  <c r="D3229" i="9"/>
  <c r="D3228" i="9"/>
  <c r="D3227" i="9"/>
  <c r="D3226" i="9"/>
  <c r="D3225" i="9"/>
  <c r="D3224" i="9"/>
  <c r="D3223" i="9"/>
  <c r="D3222" i="9"/>
  <c r="D3221" i="9"/>
  <c r="D3220" i="9"/>
  <c r="D3219" i="9"/>
  <c r="D3218" i="9"/>
  <c r="D3217" i="9"/>
  <c r="D3216" i="9"/>
  <c r="D3215" i="9"/>
  <c r="D3214" i="9"/>
  <c r="D3213" i="9"/>
  <c r="D3212" i="9"/>
  <c r="D3211" i="9"/>
  <c r="D3210" i="9"/>
  <c r="D3209" i="9"/>
  <c r="D3208" i="9"/>
  <c r="D3207" i="9"/>
  <c r="D3206" i="9"/>
  <c r="D3205" i="9"/>
  <c r="D3204" i="9"/>
  <c r="D3203" i="9"/>
  <c r="D3202" i="9"/>
  <c r="D3201" i="9"/>
  <c r="D3200" i="9"/>
  <c r="D3199" i="9"/>
  <c r="D3198" i="9"/>
  <c r="D3197" i="9"/>
  <c r="D3196" i="9"/>
  <c r="D3195" i="9"/>
  <c r="D3194" i="9"/>
  <c r="D3193" i="9"/>
  <c r="D3192" i="9"/>
  <c r="D3191" i="9"/>
  <c r="D3190" i="9"/>
  <c r="D3189" i="9"/>
  <c r="D3188" i="9"/>
  <c r="D3187" i="9"/>
  <c r="D3186" i="9"/>
  <c r="D3185" i="9"/>
  <c r="D3184" i="9"/>
  <c r="D3183" i="9"/>
  <c r="D3182" i="9"/>
  <c r="D3181" i="9"/>
  <c r="D3180" i="9"/>
  <c r="D3179" i="9"/>
  <c r="D3178" i="9"/>
  <c r="D3177" i="9"/>
  <c r="D3176" i="9"/>
  <c r="D3175" i="9"/>
  <c r="D3174" i="9"/>
  <c r="D3173" i="9"/>
  <c r="D3172" i="9"/>
  <c r="D3171" i="9"/>
  <c r="D3170" i="9"/>
  <c r="D3169" i="9"/>
  <c r="D3168" i="9"/>
  <c r="D3167" i="9"/>
  <c r="D3166" i="9"/>
  <c r="D3165" i="9"/>
  <c r="D3164" i="9"/>
  <c r="D3163" i="9"/>
  <c r="D3162" i="9"/>
  <c r="D3161" i="9"/>
  <c r="D3160" i="9"/>
  <c r="D3159" i="9"/>
  <c r="D3158" i="9"/>
  <c r="D3157" i="9"/>
  <c r="D3156" i="9"/>
  <c r="D3155" i="9"/>
  <c r="D3154" i="9"/>
  <c r="D3153" i="9"/>
  <c r="D3152" i="9"/>
  <c r="D3151" i="9"/>
  <c r="D3150" i="9"/>
  <c r="D3149" i="9"/>
  <c r="D3148" i="9"/>
  <c r="D3147" i="9"/>
  <c r="D3146" i="9"/>
  <c r="D3145" i="9"/>
  <c r="D3144" i="9"/>
  <c r="D3143" i="9"/>
  <c r="D3142" i="9"/>
  <c r="D3141" i="9"/>
  <c r="D3140" i="9"/>
  <c r="D3139" i="9"/>
  <c r="D3138" i="9"/>
  <c r="D3137" i="9"/>
  <c r="D3136" i="9"/>
  <c r="D3135" i="9"/>
  <c r="D3134" i="9"/>
  <c r="D3133" i="9"/>
  <c r="D3132" i="9"/>
  <c r="D3131" i="9"/>
  <c r="D3130" i="9"/>
  <c r="D3129" i="9"/>
  <c r="D3128" i="9"/>
  <c r="D3127" i="9"/>
  <c r="D3126" i="9"/>
  <c r="D3125" i="9"/>
  <c r="D3124" i="9"/>
  <c r="D3123" i="9"/>
  <c r="D3122" i="9"/>
  <c r="D3121" i="9"/>
  <c r="D3120" i="9"/>
  <c r="D3119" i="9"/>
  <c r="D3118" i="9"/>
  <c r="D3117" i="9"/>
  <c r="D3116" i="9"/>
  <c r="D3115" i="9"/>
  <c r="D3114" i="9"/>
  <c r="D3113" i="9"/>
  <c r="D3112" i="9"/>
  <c r="D3111" i="9"/>
  <c r="D3110" i="9"/>
  <c r="D3109" i="9"/>
  <c r="D3108" i="9"/>
  <c r="D3107" i="9"/>
  <c r="D3106" i="9"/>
  <c r="D3105" i="9"/>
  <c r="D3104" i="9"/>
  <c r="D3103" i="9"/>
  <c r="D3102" i="9"/>
  <c r="D3101" i="9"/>
  <c r="D3100" i="9"/>
  <c r="D3099" i="9"/>
  <c r="D3098" i="9"/>
  <c r="D3097" i="9"/>
  <c r="D3096" i="9"/>
  <c r="D3095" i="9"/>
  <c r="D3094" i="9"/>
  <c r="D3093" i="9"/>
  <c r="D3092" i="9"/>
  <c r="D3091" i="9"/>
  <c r="D3090" i="9"/>
  <c r="D3089" i="9"/>
  <c r="D3088" i="9"/>
  <c r="D3087" i="9"/>
  <c r="D3086" i="9"/>
  <c r="D3085" i="9"/>
  <c r="D3084" i="9"/>
  <c r="D3083" i="9"/>
  <c r="D3082" i="9"/>
  <c r="D3081" i="9"/>
  <c r="D3080" i="9"/>
  <c r="D3079" i="9"/>
  <c r="D3078" i="9"/>
  <c r="D3077" i="9"/>
  <c r="D3076" i="9"/>
  <c r="D3075" i="9"/>
  <c r="D3074" i="9"/>
  <c r="D3073" i="9"/>
  <c r="D3072" i="9"/>
  <c r="D3071" i="9"/>
  <c r="D3070" i="9"/>
  <c r="D3069" i="9"/>
  <c r="D3068" i="9"/>
  <c r="D3067" i="9"/>
  <c r="D3066" i="9"/>
  <c r="D3065" i="9"/>
  <c r="D3064" i="9"/>
  <c r="D3063" i="9"/>
  <c r="D3062" i="9"/>
  <c r="D3061" i="9"/>
  <c r="D3060" i="9"/>
  <c r="D3059" i="9"/>
  <c r="D3058" i="9"/>
  <c r="D3057" i="9"/>
  <c r="D3056" i="9"/>
  <c r="D3055" i="9"/>
  <c r="D3054" i="9"/>
  <c r="D3053" i="9"/>
  <c r="D3052" i="9"/>
  <c r="D3051" i="9"/>
  <c r="D3050" i="9"/>
  <c r="D3049" i="9"/>
  <c r="D3048" i="9"/>
  <c r="D3047" i="9"/>
  <c r="D3046" i="9"/>
  <c r="D3045" i="9"/>
  <c r="D3044" i="9"/>
  <c r="D3043" i="9"/>
  <c r="D3042" i="9"/>
  <c r="D3041" i="9"/>
  <c r="D3040" i="9"/>
  <c r="D3039" i="9"/>
  <c r="D3038" i="9"/>
  <c r="D3037" i="9"/>
  <c r="D3036" i="9"/>
  <c r="D3035" i="9"/>
  <c r="D3034" i="9"/>
  <c r="D3033" i="9"/>
  <c r="D3032" i="9"/>
  <c r="D3031" i="9"/>
  <c r="D3030" i="9"/>
  <c r="D3029" i="9"/>
  <c r="D3028" i="9"/>
  <c r="D3027" i="9"/>
  <c r="D3026" i="9"/>
  <c r="D3025" i="9"/>
  <c r="D3024" i="9"/>
  <c r="D3023" i="9"/>
  <c r="D3022" i="9"/>
  <c r="D3021" i="9"/>
  <c r="D3020" i="9"/>
  <c r="D3019" i="9"/>
  <c r="D3018" i="9"/>
  <c r="D3017" i="9"/>
  <c r="D3016" i="9"/>
  <c r="D3015" i="9"/>
  <c r="D3014" i="9"/>
  <c r="D3013" i="9"/>
  <c r="D3012" i="9"/>
  <c r="D3011" i="9"/>
  <c r="D3010" i="9"/>
  <c r="D3009" i="9"/>
  <c r="D3008" i="9"/>
  <c r="D3007" i="9"/>
  <c r="D3006" i="9"/>
  <c r="D3005" i="9"/>
  <c r="D3004" i="9"/>
  <c r="D3003" i="9"/>
  <c r="D3002" i="9"/>
  <c r="D3001" i="9"/>
  <c r="D3000" i="9"/>
  <c r="D2999" i="9"/>
  <c r="D2998" i="9"/>
  <c r="D2997" i="9"/>
  <c r="D2996" i="9"/>
  <c r="D2995" i="9"/>
  <c r="D2994" i="9"/>
  <c r="D2993" i="9"/>
  <c r="D2992" i="9"/>
  <c r="D2991" i="9"/>
  <c r="D2990" i="9"/>
  <c r="D2989" i="9"/>
  <c r="D2988" i="9"/>
  <c r="D2987" i="9"/>
  <c r="D2986" i="9"/>
  <c r="D2985" i="9"/>
  <c r="D2984" i="9"/>
  <c r="D2983" i="9"/>
  <c r="D2982" i="9"/>
  <c r="D2981" i="9"/>
  <c r="D2980" i="9"/>
  <c r="D2979" i="9"/>
  <c r="D2978" i="9"/>
  <c r="D2977" i="9"/>
  <c r="D2976" i="9"/>
  <c r="D2975" i="9"/>
  <c r="D2974" i="9"/>
  <c r="D2973" i="9"/>
  <c r="D2972" i="9"/>
  <c r="D2971" i="9"/>
  <c r="D2970" i="9"/>
  <c r="D2969" i="9"/>
  <c r="D2968" i="9"/>
  <c r="D2967" i="9"/>
  <c r="D2966" i="9"/>
  <c r="D2965" i="9"/>
  <c r="D2964" i="9"/>
  <c r="D2963" i="9"/>
  <c r="D2962" i="9"/>
  <c r="D2961" i="9"/>
  <c r="D2960" i="9"/>
  <c r="D2959" i="9"/>
  <c r="D2958" i="9"/>
  <c r="D2957" i="9"/>
  <c r="D2956" i="9"/>
  <c r="D2955" i="9"/>
  <c r="D2954" i="9"/>
  <c r="D2953" i="9"/>
  <c r="D2952" i="9"/>
  <c r="D2951" i="9"/>
  <c r="D2950" i="9"/>
  <c r="D2949" i="9"/>
  <c r="D2948" i="9"/>
  <c r="D2947" i="9"/>
  <c r="D2946" i="9"/>
  <c r="D2945" i="9"/>
  <c r="D2944" i="9"/>
  <c r="D2943" i="9"/>
  <c r="D2942" i="9"/>
  <c r="D2941" i="9"/>
  <c r="D2940" i="9"/>
  <c r="D2939" i="9"/>
  <c r="D2938" i="9"/>
  <c r="D2937" i="9"/>
  <c r="D2936" i="9"/>
  <c r="D2935" i="9"/>
  <c r="D2934" i="9"/>
  <c r="D2933" i="9"/>
  <c r="D2932" i="9"/>
  <c r="D2931" i="9"/>
  <c r="D2930" i="9"/>
  <c r="D2929" i="9"/>
  <c r="D2928" i="9"/>
  <c r="D2927" i="9"/>
  <c r="D2926" i="9"/>
  <c r="D2925" i="9"/>
  <c r="D2924" i="9"/>
  <c r="D2923" i="9"/>
  <c r="D2922" i="9"/>
  <c r="D2921" i="9"/>
  <c r="D2920" i="9"/>
  <c r="D2919" i="9"/>
  <c r="D2918" i="9"/>
  <c r="D2917" i="9"/>
  <c r="D2916" i="9"/>
  <c r="D2915" i="9"/>
  <c r="D2914" i="9"/>
  <c r="D2913" i="9"/>
  <c r="D2912" i="9"/>
  <c r="D2911" i="9"/>
  <c r="D2910" i="9"/>
  <c r="D2909" i="9"/>
  <c r="D2908" i="9"/>
  <c r="D2907" i="9"/>
  <c r="D2906" i="9"/>
  <c r="D2905" i="9"/>
  <c r="D2904" i="9"/>
  <c r="D2903" i="9"/>
  <c r="D2902" i="9"/>
  <c r="D2901" i="9"/>
  <c r="D2900" i="9"/>
  <c r="D2899" i="9"/>
  <c r="D2898" i="9"/>
  <c r="D2897" i="9"/>
  <c r="D2896" i="9"/>
  <c r="D2895" i="9"/>
  <c r="D2894" i="9"/>
  <c r="D2893" i="9"/>
  <c r="D2892" i="9"/>
  <c r="D2891" i="9"/>
  <c r="D2890" i="9"/>
  <c r="D2889" i="9"/>
  <c r="D2888" i="9"/>
  <c r="D2887" i="9"/>
  <c r="D2886" i="9"/>
  <c r="D2885" i="9"/>
  <c r="D2884" i="9"/>
  <c r="D2883" i="9"/>
  <c r="D2882" i="9"/>
  <c r="D2881" i="9"/>
  <c r="D2880" i="9"/>
  <c r="D2879" i="9"/>
  <c r="D2878" i="9"/>
  <c r="D2877" i="9"/>
  <c r="D2876" i="9"/>
  <c r="D2875" i="9"/>
  <c r="D2874" i="9"/>
  <c r="D2873" i="9"/>
  <c r="D2872" i="9"/>
  <c r="D2871" i="9"/>
  <c r="D2870" i="9"/>
  <c r="D2869" i="9"/>
  <c r="D2868" i="9"/>
  <c r="D2867" i="9"/>
  <c r="D2866" i="9"/>
  <c r="D2865" i="9"/>
  <c r="D2864" i="9"/>
  <c r="D2863" i="9"/>
  <c r="D2862" i="9"/>
  <c r="D2861" i="9"/>
  <c r="D2860" i="9"/>
  <c r="D2859" i="9"/>
  <c r="D2858" i="9"/>
  <c r="D2857" i="9"/>
  <c r="D2856" i="9"/>
  <c r="D2855" i="9"/>
  <c r="D2854" i="9"/>
  <c r="D2853" i="9"/>
  <c r="D2852" i="9"/>
  <c r="D2851" i="9"/>
  <c r="D2850" i="9"/>
  <c r="D2849" i="9"/>
  <c r="D2848" i="9"/>
  <c r="D2847" i="9"/>
  <c r="D2846" i="9"/>
  <c r="D2845" i="9"/>
  <c r="D2844" i="9"/>
  <c r="D2843" i="9"/>
  <c r="D2842" i="9"/>
  <c r="D2841" i="9"/>
  <c r="D2840" i="9"/>
  <c r="D2839" i="9"/>
  <c r="D2838" i="9"/>
  <c r="D2837" i="9"/>
  <c r="D2836" i="9"/>
  <c r="D2835" i="9"/>
  <c r="D2834" i="9"/>
  <c r="D2833" i="9"/>
  <c r="D2832" i="9"/>
  <c r="D2831" i="9"/>
  <c r="D2830" i="9"/>
  <c r="D2829" i="9"/>
  <c r="D2828" i="9"/>
  <c r="D2827" i="9"/>
  <c r="D2826" i="9"/>
  <c r="D2825" i="9"/>
  <c r="D2824" i="9"/>
  <c r="D2823" i="9"/>
  <c r="D2822" i="9"/>
  <c r="D2821" i="9"/>
  <c r="D2820" i="9"/>
  <c r="D2819" i="9"/>
  <c r="D2818" i="9"/>
  <c r="D2817" i="9"/>
  <c r="D2816" i="9"/>
  <c r="D2815" i="9"/>
  <c r="D2814" i="9"/>
  <c r="D2813" i="9"/>
  <c r="D2812" i="9"/>
  <c r="D2811" i="9"/>
  <c r="D2810" i="9"/>
  <c r="D2809" i="9"/>
  <c r="D2808" i="9"/>
  <c r="D2807" i="9"/>
  <c r="D2806" i="9"/>
  <c r="D2805" i="9"/>
  <c r="D2804" i="9"/>
  <c r="D2803" i="9"/>
  <c r="D2802" i="9"/>
  <c r="D2801" i="9"/>
  <c r="D2800" i="9"/>
  <c r="D2799" i="9"/>
  <c r="D2798" i="9"/>
  <c r="D2797" i="9"/>
  <c r="D2796" i="9"/>
  <c r="D2795" i="9"/>
  <c r="D2794" i="9"/>
  <c r="D2793" i="9"/>
  <c r="D2792" i="9"/>
  <c r="D2791" i="9"/>
  <c r="D2790" i="9"/>
  <c r="D2789" i="9"/>
  <c r="D2788" i="9"/>
  <c r="D2787" i="9"/>
  <c r="D2786" i="9"/>
  <c r="D2785" i="9"/>
  <c r="D2784" i="9"/>
  <c r="D2783" i="9"/>
  <c r="D2782" i="9"/>
  <c r="D2781" i="9"/>
  <c r="D2780" i="9"/>
  <c r="D2779" i="9"/>
  <c r="D2778" i="9"/>
  <c r="D2777" i="9"/>
  <c r="D2776" i="9"/>
  <c r="D2775" i="9"/>
  <c r="D2774" i="9"/>
  <c r="D2773" i="9"/>
  <c r="D2772" i="9"/>
  <c r="D2771" i="9"/>
  <c r="D2770" i="9"/>
  <c r="D2769" i="9"/>
  <c r="D2768" i="9"/>
  <c r="D2767" i="9"/>
  <c r="D2766" i="9"/>
  <c r="D2765" i="9"/>
  <c r="D2764" i="9"/>
  <c r="D2763" i="9"/>
  <c r="D2762" i="9"/>
  <c r="D2761" i="9"/>
  <c r="D2760" i="9"/>
  <c r="D2759" i="9"/>
  <c r="D2758" i="9"/>
  <c r="D2757" i="9"/>
  <c r="D2756" i="9"/>
  <c r="D2755" i="9"/>
  <c r="D2754" i="9"/>
  <c r="D2753" i="9"/>
  <c r="D2752" i="9"/>
  <c r="D2751" i="9"/>
  <c r="D2750" i="9"/>
  <c r="D2749" i="9"/>
  <c r="D2748" i="9"/>
  <c r="D2747" i="9"/>
  <c r="D2746" i="9"/>
  <c r="D2745" i="9"/>
  <c r="D2744" i="9"/>
  <c r="D2743" i="9"/>
  <c r="D2742" i="9"/>
  <c r="D2741" i="9"/>
  <c r="D2740" i="9"/>
  <c r="D2739" i="9"/>
  <c r="D2738" i="9"/>
  <c r="D2737" i="9"/>
  <c r="D2736" i="9"/>
  <c r="D2735" i="9"/>
  <c r="D2734" i="9"/>
  <c r="D2733" i="9"/>
  <c r="D2732" i="9"/>
  <c r="D2731" i="9"/>
  <c r="D2730" i="9"/>
  <c r="D2729" i="9"/>
  <c r="D2728" i="9"/>
  <c r="D2727" i="9"/>
  <c r="D2726" i="9"/>
  <c r="D2725" i="9"/>
  <c r="D2724" i="9"/>
  <c r="D2723" i="9"/>
  <c r="D2722" i="9"/>
  <c r="D2721" i="9"/>
  <c r="D2720" i="9"/>
  <c r="D2719" i="9"/>
  <c r="D2718" i="9"/>
  <c r="D2717" i="9"/>
  <c r="D2716" i="9"/>
  <c r="D2715" i="9"/>
  <c r="D2714" i="9"/>
  <c r="D2713" i="9"/>
  <c r="D2712" i="9"/>
  <c r="D2711" i="9"/>
  <c r="D2710" i="9"/>
  <c r="D2709" i="9"/>
  <c r="D2708" i="9"/>
  <c r="D2707" i="9"/>
  <c r="D2706" i="9"/>
  <c r="D2705" i="9"/>
  <c r="D2704" i="9"/>
  <c r="D2703" i="9"/>
  <c r="D2702" i="9"/>
  <c r="D2701" i="9"/>
  <c r="D2700" i="9"/>
  <c r="D2699" i="9"/>
  <c r="D2698" i="9"/>
  <c r="D2697" i="9"/>
  <c r="D2696" i="9"/>
  <c r="D2695" i="9"/>
  <c r="D2694" i="9"/>
  <c r="D2693" i="9"/>
  <c r="D2692" i="9"/>
  <c r="D2691" i="9"/>
  <c r="D2690" i="9"/>
  <c r="D2689" i="9"/>
  <c r="D2688" i="9"/>
  <c r="D2687" i="9"/>
  <c r="D2686" i="9"/>
  <c r="D2685" i="9"/>
  <c r="D2684" i="9"/>
  <c r="D2683" i="9"/>
  <c r="D2682" i="9"/>
  <c r="D2681" i="9"/>
  <c r="D2680" i="9"/>
  <c r="D2679" i="9"/>
  <c r="D2678" i="9"/>
  <c r="D2677" i="9"/>
  <c r="D2676" i="9"/>
  <c r="D2675" i="9"/>
  <c r="D2674" i="9"/>
  <c r="D2673" i="9"/>
  <c r="D2672" i="9"/>
  <c r="D2671" i="9"/>
  <c r="D2670" i="9"/>
  <c r="D2669" i="9"/>
  <c r="D2668" i="9"/>
  <c r="D2667" i="9"/>
  <c r="D2666" i="9"/>
  <c r="D2665" i="9"/>
  <c r="D2664" i="9"/>
  <c r="D2663" i="9"/>
  <c r="D2662" i="9"/>
  <c r="D2661" i="9"/>
  <c r="D2660" i="9"/>
  <c r="D2659" i="9"/>
  <c r="D2658" i="9"/>
  <c r="D2657" i="9"/>
  <c r="D2656" i="9"/>
  <c r="D2655" i="9"/>
  <c r="D2654" i="9"/>
  <c r="D2653" i="9"/>
  <c r="D2652" i="9"/>
  <c r="D2651" i="9"/>
  <c r="D2650" i="9"/>
  <c r="D2649" i="9"/>
  <c r="D2648" i="9"/>
  <c r="D2647" i="9"/>
  <c r="D2646" i="9"/>
  <c r="D2645" i="9"/>
  <c r="D2644" i="9"/>
  <c r="D2643" i="9"/>
  <c r="D2642" i="9"/>
  <c r="D2641" i="9"/>
  <c r="D2640" i="9"/>
  <c r="D2639" i="9"/>
  <c r="D2638" i="9"/>
  <c r="D2637" i="9"/>
  <c r="D2636" i="9"/>
  <c r="D2635" i="9"/>
  <c r="D2634" i="9"/>
  <c r="D2633" i="9"/>
  <c r="D2632" i="9"/>
  <c r="D2631" i="9"/>
  <c r="D2630" i="9"/>
  <c r="D2629" i="9"/>
  <c r="D2628" i="9"/>
  <c r="D2627" i="9"/>
  <c r="D2626" i="9"/>
  <c r="D2625" i="9"/>
  <c r="D2624" i="9"/>
  <c r="D2623" i="9"/>
  <c r="D2622" i="9"/>
  <c r="D2621" i="9"/>
  <c r="D2620" i="9"/>
  <c r="D2619" i="9"/>
  <c r="D2618" i="9"/>
  <c r="D2617" i="9"/>
  <c r="D2616" i="9"/>
  <c r="D2615" i="9"/>
  <c r="D2614" i="9"/>
  <c r="D2613" i="9"/>
  <c r="D2612" i="9"/>
  <c r="D2611" i="9"/>
  <c r="D2610" i="9"/>
  <c r="D2609" i="9"/>
  <c r="D2608" i="9"/>
  <c r="D2607" i="9"/>
  <c r="D2606" i="9"/>
  <c r="D2605" i="9"/>
  <c r="D2604" i="9"/>
  <c r="D2603" i="9"/>
  <c r="D2602" i="9"/>
  <c r="D2601" i="9"/>
  <c r="D2600" i="9"/>
  <c r="D2599" i="9"/>
  <c r="D2598" i="9"/>
  <c r="D2597" i="9"/>
  <c r="D2596" i="9"/>
  <c r="D2595" i="9"/>
  <c r="D2594" i="9"/>
  <c r="D2593" i="9"/>
  <c r="D2592" i="9"/>
  <c r="D2591" i="9"/>
  <c r="D2590" i="9"/>
  <c r="D2589" i="9"/>
  <c r="D2588" i="9"/>
  <c r="D2587" i="9"/>
  <c r="D2586" i="9"/>
  <c r="D2585" i="9"/>
  <c r="D2584" i="9"/>
  <c r="D2583" i="9"/>
  <c r="D2582" i="9"/>
  <c r="D2581" i="9"/>
  <c r="D2580" i="9"/>
  <c r="D2579" i="9"/>
  <c r="D2578" i="9"/>
  <c r="D2577" i="9"/>
  <c r="D2576" i="9"/>
  <c r="D2575" i="9"/>
  <c r="D2574" i="9"/>
  <c r="D2573" i="9"/>
  <c r="D2572" i="9"/>
  <c r="D2571" i="9"/>
  <c r="D2570" i="9"/>
  <c r="D2569" i="9"/>
  <c r="D2568" i="9"/>
  <c r="D2567" i="9"/>
  <c r="D2566" i="9"/>
  <c r="D2565" i="9"/>
  <c r="D2564" i="9"/>
  <c r="D2563" i="9"/>
  <c r="D2562" i="9"/>
  <c r="D2561" i="9"/>
  <c r="D2560" i="9"/>
  <c r="D2559" i="9"/>
  <c r="D2558" i="9"/>
  <c r="D2557" i="9"/>
  <c r="D2556" i="9"/>
  <c r="D2555" i="9"/>
  <c r="D2554" i="9"/>
  <c r="D2553" i="9"/>
  <c r="D2552" i="9"/>
  <c r="D2551" i="9"/>
  <c r="D2550" i="9"/>
  <c r="D2549" i="9"/>
  <c r="D2548" i="9"/>
  <c r="D2547" i="9"/>
  <c r="D2546" i="9"/>
  <c r="D2545" i="9"/>
  <c r="D2544" i="9"/>
  <c r="D2543" i="9"/>
  <c r="D2542" i="9"/>
  <c r="D2541" i="9"/>
  <c r="D2540" i="9"/>
  <c r="D2539" i="9"/>
  <c r="D2538" i="9"/>
  <c r="D2537" i="9"/>
  <c r="D2536" i="9"/>
  <c r="D2535" i="9"/>
  <c r="D2534" i="9"/>
  <c r="D2533" i="9"/>
  <c r="D2532" i="9"/>
  <c r="D2531" i="9"/>
  <c r="D2530" i="9"/>
  <c r="D2529" i="9"/>
  <c r="D2528" i="9"/>
  <c r="D2527" i="9"/>
  <c r="D2526" i="9"/>
  <c r="D2525" i="9"/>
  <c r="D2524" i="9"/>
  <c r="D2523" i="9"/>
  <c r="D2522" i="9"/>
  <c r="D2521" i="9"/>
  <c r="D2520" i="9"/>
  <c r="D2519" i="9"/>
  <c r="D2518" i="9"/>
  <c r="D2517" i="9"/>
  <c r="D2516" i="9"/>
  <c r="D2515" i="9"/>
  <c r="D2514" i="9"/>
  <c r="D2513" i="9"/>
  <c r="D2512" i="9"/>
  <c r="D2511" i="9"/>
  <c r="D2510" i="9"/>
  <c r="D2509" i="9"/>
  <c r="D2508" i="9"/>
  <c r="D2507" i="9"/>
  <c r="D2506" i="9"/>
  <c r="D2505" i="9"/>
  <c r="D2504" i="9"/>
  <c r="D2503" i="9"/>
  <c r="D2502" i="9"/>
  <c r="D2501" i="9"/>
  <c r="D2500" i="9"/>
  <c r="D2499" i="9"/>
  <c r="D2498" i="9"/>
  <c r="D2497" i="9"/>
  <c r="D2496" i="9"/>
  <c r="D2495" i="9"/>
  <c r="D2494" i="9"/>
  <c r="D2493" i="9"/>
  <c r="D2492" i="9"/>
  <c r="D2491" i="9"/>
  <c r="D2490" i="9"/>
  <c r="D2489" i="9"/>
  <c r="D2488" i="9"/>
  <c r="D2487" i="9"/>
  <c r="D2486" i="9"/>
  <c r="D2485" i="9"/>
  <c r="D2484" i="9"/>
  <c r="D2483" i="9"/>
  <c r="D2482" i="9"/>
  <c r="D2481" i="9"/>
  <c r="D2480" i="9"/>
  <c r="D2479" i="9"/>
  <c r="D2478" i="9"/>
  <c r="D2477" i="9"/>
  <c r="D2476" i="9"/>
  <c r="D2475" i="9"/>
  <c r="D2474" i="9"/>
  <c r="D2473" i="9"/>
  <c r="D2472" i="9"/>
  <c r="D2471" i="9"/>
  <c r="D2470" i="9"/>
  <c r="D2469" i="9"/>
  <c r="D2468" i="9"/>
  <c r="D2467" i="9"/>
  <c r="D2466" i="9"/>
  <c r="D2465" i="9"/>
  <c r="D2464" i="9"/>
  <c r="D2463" i="9"/>
  <c r="D2462" i="9"/>
  <c r="D2461" i="9"/>
  <c r="D2460" i="9"/>
  <c r="D2459" i="9"/>
  <c r="D2458" i="9"/>
  <c r="D2457" i="9"/>
  <c r="D2456" i="9"/>
  <c r="D2455" i="9"/>
  <c r="D2454" i="9"/>
  <c r="D2453" i="9"/>
  <c r="D2452" i="9"/>
  <c r="D2451" i="9"/>
  <c r="D2450" i="9"/>
  <c r="D2449" i="9"/>
  <c r="D2448" i="9"/>
  <c r="D2447" i="9"/>
  <c r="D2446" i="9"/>
  <c r="D2445" i="9"/>
  <c r="D2444" i="9"/>
  <c r="D2443" i="9"/>
  <c r="D2442" i="9"/>
  <c r="D2441" i="9"/>
  <c r="D2440" i="9"/>
  <c r="D2439" i="9"/>
  <c r="D2438" i="9"/>
  <c r="D2437" i="9"/>
  <c r="D2436" i="9"/>
  <c r="D2435" i="9"/>
  <c r="D2434" i="9"/>
  <c r="D2433" i="9"/>
  <c r="D2432" i="9"/>
  <c r="D2431" i="9"/>
  <c r="D2430" i="9"/>
  <c r="D2429" i="9"/>
  <c r="D2428" i="9"/>
  <c r="D2427" i="9"/>
  <c r="D2426" i="9"/>
  <c r="D2425" i="9"/>
  <c r="D2424" i="9"/>
  <c r="D2423" i="9"/>
  <c r="D2422" i="9"/>
  <c r="D2421" i="9"/>
  <c r="D2420" i="9"/>
  <c r="D2419" i="9"/>
  <c r="D2418" i="9"/>
  <c r="D2417" i="9"/>
  <c r="D2416" i="9"/>
  <c r="D2415" i="9"/>
  <c r="D2414" i="9"/>
  <c r="D2413" i="9"/>
  <c r="D2412" i="9"/>
  <c r="D2411" i="9"/>
  <c r="D2410" i="9"/>
  <c r="D2409" i="9"/>
  <c r="D2408" i="9"/>
  <c r="D2407" i="9"/>
  <c r="D2406" i="9"/>
  <c r="D2405" i="9"/>
  <c r="D2404" i="9"/>
  <c r="D2403" i="9"/>
  <c r="D2402" i="9"/>
  <c r="D2401" i="9"/>
  <c r="D2400" i="9"/>
  <c r="D2399" i="9"/>
  <c r="D2398" i="9"/>
  <c r="D2397" i="9"/>
  <c r="D2396" i="9"/>
  <c r="D2395" i="9"/>
  <c r="D2394" i="9"/>
  <c r="D2393" i="9"/>
  <c r="D2392" i="9"/>
  <c r="D2391" i="9"/>
  <c r="D2390" i="9"/>
  <c r="D2389" i="9"/>
  <c r="D2388" i="9"/>
  <c r="D2387" i="9"/>
  <c r="D2386" i="9"/>
  <c r="D2385" i="9"/>
  <c r="D2384" i="9"/>
  <c r="D2383" i="9"/>
  <c r="D2382" i="9"/>
  <c r="D2381" i="9"/>
  <c r="D2380" i="9"/>
  <c r="D2379" i="9"/>
  <c r="D2378" i="9"/>
  <c r="D2377" i="9"/>
  <c r="D2376" i="9"/>
  <c r="D2375" i="9"/>
  <c r="D2374" i="9"/>
  <c r="D2373" i="9"/>
  <c r="D2372" i="9"/>
  <c r="D2371" i="9"/>
  <c r="D2370" i="9"/>
  <c r="D2369" i="9"/>
  <c r="D2368" i="9"/>
  <c r="D2367" i="9"/>
  <c r="D2366" i="9"/>
  <c r="D2365" i="9"/>
  <c r="D2364" i="9"/>
  <c r="D2363" i="9"/>
  <c r="D2362" i="9"/>
  <c r="D2361" i="9"/>
  <c r="D2360" i="9"/>
  <c r="D2359" i="9"/>
  <c r="D2358" i="9"/>
  <c r="D2357" i="9"/>
  <c r="D2356" i="9"/>
  <c r="D2355" i="9"/>
  <c r="D2354" i="9"/>
  <c r="D2353" i="9"/>
  <c r="D2352" i="9"/>
  <c r="D2351" i="9"/>
  <c r="D2350" i="9"/>
  <c r="D2349" i="9"/>
  <c r="D2348" i="9"/>
  <c r="D2347" i="9"/>
  <c r="D2346" i="9"/>
  <c r="D2345" i="9"/>
  <c r="D2344" i="9"/>
  <c r="D2343" i="9"/>
  <c r="D2342" i="9"/>
  <c r="D2341" i="9"/>
  <c r="D2340" i="9"/>
  <c r="D2339" i="9"/>
  <c r="D2338" i="9"/>
  <c r="D2337" i="9"/>
  <c r="D2336" i="9"/>
  <c r="D2335" i="9"/>
  <c r="D2334" i="9"/>
  <c r="D2333" i="9"/>
  <c r="D2332" i="9"/>
  <c r="D2331" i="9"/>
  <c r="D2330" i="9"/>
  <c r="D2329" i="9"/>
  <c r="D2328" i="9"/>
  <c r="D2327" i="9"/>
  <c r="D2326" i="9"/>
  <c r="D2325" i="9"/>
  <c r="D2324" i="9"/>
  <c r="D2323" i="9"/>
  <c r="D2322" i="9"/>
  <c r="D2321" i="9"/>
  <c r="D2320" i="9"/>
  <c r="D2319" i="9"/>
  <c r="D2318" i="9"/>
  <c r="D2317" i="9"/>
  <c r="D2316" i="9"/>
  <c r="D2315" i="9"/>
  <c r="D2314" i="9"/>
  <c r="D2313" i="9"/>
  <c r="D2312" i="9"/>
  <c r="D2311" i="9"/>
  <c r="D2310" i="9"/>
  <c r="D2309" i="9"/>
  <c r="D2308" i="9"/>
  <c r="D2307" i="9"/>
  <c r="D2306" i="9"/>
  <c r="D2305" i="9"/>
  <c r="D2304" i="9"/>
  <c r="D2303" i="9"/>
  <c r="D2302" i="9"/>
  <c r="D2301" i="9"/>
  <c r="D2300" i="9"/>
  <c r="D2299" i="9"/>
  <c r="D2298" i="9"/>
  <c r="D2297" i="9"/>
  <c r="D2296" i="9"/>
  <c r="D2295" i="9"/>
  <c r="D2294" i="9"/>
  <c r="D2293" i="9"/>
  <c r="D2292" i="9"/>
  <c r="D2291" i="9"/>
  <c r="D2290" i="9"/>
  <c r="D2289" i="9"/>
  <c r="D2288" i="9"/>
  <c r="D2287" i="9"/>
  <c r="D2286" i="9"/>
  <c r="D2285" i="9"/>
  <c r="D2284" i="9"/>
  <c r="D2283" i="9"/>
  <c r="D2282" i="9"/>
  <c r="D2281" i="9"/>
  <c r="D2280" i="9"/>
  <c r="D2279" i="9"/>
  <c r="D2278" i="9"/>
  <c r="D2277" i="9"/>
  <c r="D2276" i="9"/>
  <c r="D2275" i="9"/>
  <c r="D2274" i="9"/>
  <c r="D2273" i="9"/>
  <c r="D2272" i="9"/>
  <c r="D2271" i="9"/>
  <c r="D2270" i="9"/>
  <c r="D2269" i="9"/>
  <c r="D2268" i="9"/>
  <c r="D2267" i="9"/>
  <c r="D2266" i="9"/>
  <c r="D2265" i="9"/>
  <c r="D2264" i="9"/>
  <c r="D2263" i="9"/>
  <c r="D2262" i="9"/>
  <c r="D2261" i="9"/>
  <c r="D2260" i="9"/>
  <c r="D2259" i="9"/>
  <c r="D2258" i="9"/>
  <c r="D2257" i="9"/>
  <c r="D2256" i="9"/>
  <c r="D2255" i="9"/>
  <c r="D2254" i="9"/>
  <c r="D2253" i="9"/>
  <c r="D2252" i="9"/>
  <c r="D2251" i="9"/>
  <c r="D2250" i="9"/>
  <c r="D2249" i="9"/>
  <c r="D2248" i="9"/>
  <c r="D2247" i="9"/>
  <c r="D2246" i="9"/>
  <c r="D2245" i="9"/>
  <c r="D2244" i="9"/>
  <c r="D2243" i="9"/>
  <c r="D2242" i="9"/>
  <c r="D2241" i="9"/>
  <c r="D2240" i="9"/>
  <c r="D2239" i="9"/>
  <c r="D2238" i="9"/>
  <c r="D2237" i="9"/>
  <c r="D2236" i="9"/>
  <c r="D2235" i="9"/>
  <c r="D2234" i="9"/>
  <c r="D2233" i="9"/>
  <c r="D2232" i="9"/>
  <c r="D2231" i="9"/>
  <c r="D2230" i="9"/>
  <c r="D2229" i="9"/>
  <c r="D2228" i="9"/>
  <c r="D2227" i="9"/>
  <c r="D2226" i="9"/>
  <c r="D2225" i="9"/>
  <c r="D2224" i="9"/>
  <c r="D2223" i="9"/>
  <c r="D2222" i="9"/>
  <c r="D2221" i="9"/>
  <c r="D2220" i="9"/>
  <c r="D2219" i="9"/>
  <c r="D2218" i="9"/>
  <c r="D2217" i="9"/>
  <c r="D2216" i="9"/>
  <c r="D2215" i="9"/>
  <c r="D2214" i="9"/>
  <c r="D2213" i="9"/>
  <c r="D2212" i="9"/>
  <c r="D2211" i="9"/>
  <c r="D2210" i="9"/>
  <c r="D2209" i="9"/>
  <c r="D2208" i="9"/>
  <c r="D2207" i="9"/>
  <c r="D2206" i="9"/>
  <c r="D2205" i="9"/>
  <c r="D2204" i="9"/>
  <c r="D2203" i="9"/>
  <c r="D2202" i="9"/>
  <c r="D2201" i="9"/>
  <c r="D2200" i="9"/>
  <c r="D2199" i="9"/>
  <c r="D2198" i="9"/>
  <c r="D2197" i="9"/>
  <c r="D2196" i="9"/>
  <c r="D2195" i="9"/>
  <c r="D2194" i="9"/>
  <c r="D2193" i="9"/>
  <c r="D2192" i="9"/>
  <c r="D2191" i="9"/>
  <c r="D2190" i="9"/>
  <c r="D2189" i="9"/>
  <c r="D2188" i="9"/>
  <c r="D2187" i="9"/>
  <c r="D2186" i="9"/>
  <c r="D2185" i="9"/>
  <c r="D2184" i="9"/>
  <c r="D2183" i="9"/>
  <c r="D2182" i="9"/>
  <c r="D2181" i="9"/>
  <c r="D2180" i="9"/>
  <c r="D2179" i="9"/>
  <c r="D2178" i="9"/>
  <c r="D2177" i="9"/>
  <c r="D2176" i="9"/>
  <c r="D2175" i="9"/>
  <c r="D2174" i="9"/>
  <c r="D2173" i="9"/>
  <c r="D2172" i="9"/>
  <c r="D2171" i="9"/>
  <c r="D2170" i="9"/>
  <c r="D2169" i="9"/>
  <c r="D2168" i="9"/>
  <c r="D2167" i="9"/>
  <c r="D2166" i="9"/>
  <c r="D2165" i="9"/>
  <c r="D2164" i="9"/>
  <c r="D2163" i="9"/>
  <c r="D2162" i="9"/>
  <c r="D2161" i="9"/>
  <c r="D2160" i="9"/>
  <c r="D2159" i="9"/>
  <c r="D2158" i="9"/>
  <c r="D2157" i="9"/>
  <c r="D2156" i="9"/>
  <c r="D2155" i="9"/>
  <c r="D2154" i="9"/>
  <c r="D2153" i="9"/>
  <c r="D2152" i="9"/>
  <c r="D2151" i="9"/>
  <c r="D2150" i="9"/>
  <c r="D2149" i="9"/>
  <c r="D2148" i="9"/>
  <c r="D2147" i="9"/>
  <c r="D2146" i="9"/>
  <c r="D2145" i="9"/>
  <c r="D2144" i="9"/>
  <c r="D2143" i="9"/>
  <c r="D2142" i="9"/>
  <c r="D2141" i="9"/>
  <c r="D2140" i="9"/>
  <c r="D2139" i="9"/>
  <c r="D2138" i="9"/>
  <c r="D2137" i="9"/>
  <c r="D2136" i="9"/>
  <c r="D2135" i="9"/>
  <c r="D2134" i="9"/>
  <c r="D2133" i="9"/>
  <c r="D2132" i="9"/>
  <c r="D2131" i="9"/>
  <c r="D2130" i="9"/>
  <c r="D2129" i="9"/>
  <c r="D2128" i="9"/>
  <c r="D2127" i="9"/>
  <c r="D2126" i="9"/>
  <c r="D2125" i="9"/>
  <c r="D2124" i="9"/>
  <c r="D2123" i="9"/>
  <c r="D2122" i="9"/>
  <c r="D2121" i="9"/>
  <c r="D2120" i="9"/>
  <c r="D2119" i="9"/>
  <c r="D2118" i="9"/>
  <c r="D2117" i="9"/>
  <c r="D2116" i="9"/>
  <c r="D2115" i="9"/>
  <c r="D2114" i="9"/>
  <c r="D2113" i="9"/>
  <c r="D2112" i="9"/>
  <c r="D2111" i="9"/>
  <c r="D2110" i="9"/>
  <c r="D2109" i="9"/>
  <c r="D2108" i="9"/>
  <c r="D2107" i="9"/>
  <c r="D2106" i="9"/>
  <c r="D2105" i="9"/>
  <c r="D2104" i="9"/>
  <c r="D2103" i="9"/>
  <c r="D2102" i="9"/>
  <c r="D2101" i="9"/>
  <c r="D2100" i="9"/>
  <c r="D2099" i="9"/>
  <c r="D2098" i="9"/>
  <c r="D2097" i="9"/>
  <c r="D2096" i="9"/>
  <c r="D2095" i="9"/>
  <c r="D2094" i="9"/>
  <c r="D2093" i="9"/>
  <c r="D2092" i="9"/>
  <c r="D2091" i="9"/>
  <c r="D2090" i="9"/>
  <c r="D2089" i="9"/>
  <c r="D2088" i="9"/>
  <c r="D2087" i="9"/>
  <c r="D2086" i="9"/>
  <c r="D2085" i="9"/>
  <c r="D2084" i="9"/>
  <c r="D2083" i="9"/>
  <c r="D2082" i="9"/>
  <c r="D2081" i="9"/>
  <c r="D2080" i="9"/>
  <c r="D2079" i="9"/>
  <c r="D2078" i="9"/>
  <c r="D2077" i="9"/>
  <c r="D2076" i="9"/>
  <c r="D2075" i="9"/>
  <c r="D2074" i="9"/>
  <c r="D2073" i="9"/>
  <c r="D2072" i="9"/>
  <c r="D2071" i="9"/>
  <c r="D2070" i="9"/>
  <c r="D2069" i="9"/>
  <c r="D2068" i="9"/>
  <c r="D2067" i="9"/>
  <c r="D2066" i="9"/>
  <c r="D2065" i="9"/>
  <c r="D2064" i="9"/>
  <c r="D2063" i="9"/>
  <c r="D2062" i="9"/>
  <c r="D2061" i="9"/>
  <c r="D2060" i="9"/>
  <c r="D2059" i="9"/>
  <c r="D2058" i="9"/>
  <c r="D2057" i="9"/>
  <c r="D2056" i="9"/>
  <c r="D2055" i="9"/>
  <c r="D2054" i="9"/>
  <c r="D2053" i="9"/>
  <c r="D2052" i="9"/>
  <c r="D2051" i="9"/>
  <c r="D2050" i="9"/>
  <c r="D2049" i="9"/>
  <c r="D2048" i="9"/>
  <c r="D2047" i="9"/>
  <c r="D2046" i="9"/>
  <c r="D2045" i="9"/>
  <c r="D2044" i="9"/>
  <c r="D2043" i="9"/>
  <c r="D2042" i="9"/>
  <c r="D2041" i="9"/>
  <c r="D2040" i="9"/>
  <c r="D2039" i="9"/>
  <c r="D2038" i="9"/>
  <c r="D2037" i="9"/>
  <c r="D2036" i="9"/>
  <c r="D2035" i="9"/>
  <c r="D2034" i="9"/>
  <c r="D2033" i="9"/>
  <c r="D2032" i="9"/>
  <c r="D2031" i="9"/>
  <c r="D2030" i="9"/>
  <c r="D2029" i="9"/>
  <c r="D2028" i="9"/>
  <c r="D2027" i="9"/>
  <c r="D2026" i="9"/>
  <c r="D2025" i="9"/>
  <c r="D2024" i="9"/>
  <c r="D2023" i="9"/>
  <c r="D2022" i="9"/>
  <c r="D2021" i="9"/>
  <c r="D2020" i="9"/>
  <c r="D2019" i="9"/>
  <c r="D2018" i="9"/>
  <c r="D2017" i="9"/>
  <c r="D2016" i="9"/>
  <c r="D2015" i="9"/>
  <c r="D2014" i="9"/>
  <c r="D2013" i="9"/>
  <c r="D2012" i="9"/>
  <c r="D2011" i="9"/>
  <c r="D2010" i="9"/>
  <c r="D2009" i="9"/>
  <c r="D2008" i="9"/>
  <c r="D2007" i="9"/>
  <c r="D2006" i="9"/>
  <c r="D2005" i="9"/>
  <c r="D2004" i="9"/>
  <c r="D2003" i="9"/>
  <c r="D2002" i="9"/>
  <c r="D2001" i="9"/>
  <c r="D2000" i="9"/>
  <c r="D1999" i="9"/>
  <c r="D1998" i="9"/>
  <c r="D1997" i="9"/>
  <c r="D1996" i="9"/>
  <c r="D1995" i="9"/>
  <c r="D1994" i="9"/>
  <c r="D1993" i="9"/>
  <c r="D1992" i="9"/>
  <c r="D1991" i="9"/>
  <c r="D1990" i="9"/>
  <c r="D1989" i="9"/>
  <c r="D1988" i="9"/>
  <c r="D1987" i="9"/>
  <c r="D1986" i="9"/>
  <c r="D1985" i="9"/>
  <c r="D1984" i="9"/>
  <c r="D1983" i="9"/>
  <c r="D1982" i="9"/>
  <c r="D1981" i="9"/>
  <c r="D1980" i="9"/>
  <c r="D1979" i="9"/>
  <c r="D1978" i="9"/>
  <c r="D1977" i="9"/>
  <c r="D1976" i="9"/>
  <c r="D1975" i="9"/>
  <c r="D1974" i="9"/>
  <c r="D1973" i="9"/>
  <c r="D1972" i="9"/>
  <c r="D1971" i="9"/>
  <c r="D1970" i="9"/>
  <c r="D1969" i="9"/>
  <c r="D1968" i="9"/>
  <c r="D1967" i="9"/>
  <c r="D1966" i="9"/>
  <c r="D1965" i="9"/>
  <c r="D1964" i="9"/>
  <c r="D1963" i="9"/>
  <c r="D1962" i="9"/>
  <c r="D1961" i="9"/>
  <c r="D1960" i="9"/>
  <c r="D1959" i="9"/>
  <c r="D1958" i="9"/>
  <c r="D1957" i="9"/>
  <c r="D1956" i="9"/>
  <c r="D1955" i="9"/>
  <c r="D1954" i="9"/>
  <c r="D1953" i="9"/>
  <c r="D1952" i="9"/>
  <c r="D1951" i="9"/>
  <c r="D1950" i="9"/>
  <c r="D1949" i="9"/>
  <c r="D1948" i="9"/>
  <c r="D1947" i="9"/>
  <c r="D1946" i="9"/>
  <c r="D1945" i="9"/>
  <c r="D1944" i="9"/>
  <c r="D1943" i="9"/>
  <c r="D1942" i="9"/>
  <c r="D1941" i="9"/>
  <c r="D1940" i="9"/>
  <c r="D1939" i="9"/>
  <c r="D1938" i="9"/>
  <c r="D1937" i="9"/>
  <c r="D1936" i="9"/>
  <c r="D1935" i="9"/>
  <c r="D1934" i="9"/>
  <c r="D1933" i="9"/>
  <c r="D1932" i="9"/>
  <c r="D1931" i="9"/>
  <c r="D1930" i="9"/>
  <c r="D1929" i="9"/>
  <c r="D1928" i="9"/>
  <c r="D1927" i="9"/>
  <c r="D1926" i="9"/>
  <c r="D1925" i="9"/>
  <c r="D1924" i="9"/>
  <c r="D1923" i="9"/>
  <c r="D1922" i="9"/>
  <c r="D1921" i="9"/>
  <c r="D1920" i="9"/>
  <c r="D1919" i="9"/>
  <c r="D1918" i="9"/>
  <c r="D1917" i="9"/>
  <c r="D1916" i="9"/>
  <c r="D1915" i="9"/>
  <c r="D1914" i="9"/>
  <c r="D1913" i="9"/>
  <c r="D1912" i="9"/>
  <c r="D1911" i="9"/>
  <c r="D1910" i="9"/>
  <c r="D1909" i="9"/>
  <c r="D1908" i="9"/>
  <c r="D1907" i="9"/>
  <c r="D1906" i="9"/>
  <c r="D1905" i="9"/>
  <c r="D1904" i="9"/>
  <c r="D1903" i="9"/>
  <c r="D1902" i="9"/>
  <c r="D1901" i="9"/>
  <c r="D1900" i="9"/>
  <c r="D1899" i="9"/>
  <c r="D1898" i="9"/>
  <c r="D1897" i="9"/>
  <c r="D1896" i="9"/>
  <c r="D1895" i="9"/>
  <c r="D1894" i="9"/>
  <c r="D1893" i="9"/>
  <c r="D1892" i="9"/>
  <c r="D1891" i="9"/>
  <c r="D1890" i="9"/>
  <c r="D1889" i="9"/>
  <c r="D1888" i="9"/>
  <c r="D1887" i="9"/>
  <c r="D1886" i="9"/>
  <c r="D1885" i="9"/>
  <c r="D1884" i="9"/>
  <c r="D1883" i="9"/>
  <c r="D1882" i="9"/>
  <c r="D1881" i="9"/>
  <c r="D1880" i="9"/>
  <c r="D1879" i="9"/>
  <c r="D1878" i="9"/>
  <c r="D1877" i="9"/>
  <c r="D1876" i="9"/>
  <c r="D1875" i="9"/>
  <c r="D1874" i="9"/>
  <c r="D1873" i="9"/>
  <c r="D1872" i="9"/>
  <c r="D1871" i="9"/>
  <c r="D1870" i="9"/>
  <c r="D1869" i="9"/>
  <c r="D1868" i="9"/>
  <c r="D1867" i="9"/>
  <c r="D1866" i="9"/>
  <c r="D1865" i="9"/>
  <c r="D1864" i="9"/>
  <c r="D1863" i="9"/>
  <c r="D1862" i="9"/>
  <c r="D1861" i="9"/>
  <c r="D1860" i="9"/>
  <c r="D1859" i="9"/>
  <c r="D1858" i="9"/>
  <c r="D1857" i="9"/>
  <c r="D1856" i="9"/>
  <c r="D1855" i="9"/>
  <c r="D1854" i="9"/>
  <c r="D1853" i="9"/>
  <c r="D1852" i="9"/>
  <c r="D1851" i="9"/>
  <c r="D1850" i="9"/>
  <c r="D1849" i="9"/>
  <c r="D1848" i="9"/>
  <c r="D1847" i="9"/>
  <c r="D1846" i="9"/>
  <c r="D1845" i="9"/>
  <c r="D1844" i="9"/>
  <c r="D1843" i="9"/>
  <c r="D1842" i="9"/>
  <c r="D1841" i="9"/>
  <c r="D1840" i="9"/>
  <c r="D1839" i="9"/>
  <c r="D1838" i="9"/>
  <c r="D1837" i="9"/>
  <c r="D1836" i="9"/>
  <c r="D1835" i="9"/>
  <c r="D1834" i="9"/>
  <c r="D1833" i="9"/>
  <c r="D1832" i="9"/>
  <c r="D1831" i="9"/>
  <c r="D1830" i="9"/>
  <c r="D1829" i="9"/>
  <c r="D1828" i="9"/>
  <c r="D1827" i="9"/>
  <c r="D1826" i="9"/>
  <c r="D1825" i="9"/>
  <c r="D1824" i="9"/>
  <c r="D1823" i="9"/>
  <c r="D1822" i="9"/>
  <c r="D1821" i="9"/>
  <c r="D1820" i="9"/>
  <c r="D1819" i="9"/>
  <c r="D1818" i="9"/>
  <c r="D1817" i="9"/>
  <c r="D1816" i="9"/>
  <c r="D1815" i="9"/>
  <c r="D1814" i="9"/>
  <c r="D1813" i="9"/>
  <c r="D1812" i="9"/>
  <c r="D1811" i="9"/>
  <c r="D1810" i="9"/>
  <c r="D1809" i="9"/>
  <c r="D1808" i="9"/>
  <c r="D1807" i="9"/>
  <c r="D1806" i="9"/>
  <c r="D1805" i="9"/>
  <c r="D1804" i="9"/>
  <c r="D1803" i="9"/>
  <c r="D1802" i="9"/>
  <c r="D1801" i="9"/>
  <c r="D1800" i="9"/>
  <c r="D1799" i="9"/>
  <c r="D1798" i="9"/>
  <c r="D1797" i="9"/>
  <c r="D1796" i="9"/>
  <c r="D1795" i="9"/>
  <c r="D1794" i="9"/>
  <c r="D1793" i="9"/>
  <c r="D1792" i="9"/>
  <c r="D1791" i="9"/>
  <c r="D1790" i="9"/>
  <c r="D1789" i="9"/>
  <c r="D1788" i="9"/>
  <c r="D1787" i="9"/>
  <c r="D1786" i="9"/>
  <c r="D1785" i="9"/>
  <c r="D1784" i="9"/>
  <c r="D1783" i="9"/>
  <c r="D1782" i="9"/>
  <c r="D1781" i="9"/>
  <c r="D1780" i="9"/>
  <c r="D1779" i="9"/>
  <c r="D1778" i="9"/>
  <c r="D1777" i="9"/>
  <c r="D1776" i="9"/>
  <c r="D1775" i="9"/>
  <c r="D1774" i="9"/>
  <c r="D1773" i="9"/>
  <c r="D1772" i="9"/>
  <c r="D1771" i="9"/>
  <c r="D1770" i="9"/>
  <c r="D1769" i="9"/>
  <c r="D1768" i="9"/>
  <c r="D1767" i="9"/>
  <c r="D1766" i="9"/>
  <c r="D1765" i="9"/>
  <c r="D1764" i="9"/>
  <c r="D1763" i="9"/>
  <c r="D1762" i="9"/>
  <c r="D1761" i="9"/>
  <c r="D1760" i="9"/>
  <c r="D1759" i="9"/>
  <c r="D1758" i="9"/>
  <c r="D1757" i="9"/>
  <c r="D1756" i="9"/>
  <c r="D1755" i="9"/>
  <c r="D1754" i="9"/>
  <c r="D1753" i="9"/>
  <c r="D1752" i="9"/>
  <c r="D1751" i="9"/>
  <c r="D1750" i="9"/>
  <c r="D1749" i="9"/>
  <c r="D1748" i="9"/>
  <c r="D1747" i="9"/>
  <c r="D1746" i="9"/>
  <c r="D1745" i="9"/>
  <c r="D1744" i="9"/>
  <c r="D1743" i="9"/>
  <c r="D1742" i="9"/>
  <c r="D1741" i="9"/>
  <c r="D1740" i="9"/>
  <c r="D1739" i="9"/>
  <c r="D1738" i="9"/>
  <c r="D1737" i="9"/>
  <c r="D1736" i="9"/>
  <c r="D1735" i="9"/>
  <c r="D1734" i="9"/>
  <c r="D1733" i="9"/>
  <c r="D1732" i="9"/>
  <c r="D1731" i="9"/>
  <c r="D1730" i="9"/>
  <c r="D1729" i="9"/>
  <c r="D1728" i="9"/>
  <c r="D1727" i="9"/>
  <c r="D1726" i="9"/>
  <c r="D1725" i="9"/>
  <c r="D1724" i="9"/>
  <c r="D1723" i="9"/>
  <c r="D1722" i="9"/>
  <c r="D1721" i="9"/>
  <c r="D1720" i="9"/>
  <c r="D1719" i="9"/>
  <c r="D1718" i="9"/>
  <c r="D1717" i="9"/>
  <c r="D1716" i="9"/>
  <c r="D1715" i="9"/>
  <c r="D1714" i="9"/>
  <c r="D1713" i="9"/>
  <c r="D1712" i="9"/>
  <c r="D1711" i="9"/>
  <c r="D1710" i="9"/>
  <c r="D1709" i="9"/>
  <c r="D1708" i="9"/>
  <c r="D1707" i="9"/>
  <c r="D1706" i="9"/>
  <c r="D1705" i="9"/>
  <c r="D1704" i="9"/>
  <c r="D1703" i="9"/>
  <c r="D1702" i="9"/>
  <c r="D1701" i="9"/>
  <c r="D1700" i="9"/>
  <c r="D1699" i="9"/>
  <c r="D1698" i="9"/>
  <c r="D1697" i="9"/>
  <c r="D1696" i="9"/>
  <c r="D1695" i="9"/>
  <c r="D1694" i="9"/>
  <c r="D1693" i="9"/>
  <c r="D1692" i="9"/>
  <c r="D1691" i="9"/>
  <c r="D1690" i="9"/>
  <c r="D1689" i="9"/>
  <c r="D1688" i="9"/>
  <c r="D1687" i="9"/>
  <c r="D1686" i="9"/>
  <c r="D1685" i="9"/>
  <c r="D1684" i="9"/>
  <c r="D1683" i="9"/>
  <c r="D1682" i="9"/>
  <c r="D1681" i="9"/>
  <c r="D1680" i="9"/>
  <c r="D1679" i="9"/>
  <c r="D1678" i="9"/>
  <c r="D1677" i="9"/>
  <c r="D1676" i="9"/>
  <c r="D1675" i="9"/>
  <c r="D1674" i="9"/>
  <c r="D1673" i="9"/>
  <c r="D1672" i="9"/>
  <c r="D1671" i="9"/>
  <c r="D1670" i="9"/>
  <c r="D1669" i="9"/>
  <c r="D1668" i="9"/>
  <c r="D1667" i="9"/>
  <c r="D1666" i="9"/>
  <c r="D1665" i="9"/>
  <c r="D1664" i="9"/>
  <c r="D1663" i="9"/>
  <c r="D1662" i="9"/>
  <c r="D1661" i="9"/>
  <c r="D1660" i="9"/>
  <c r="D1659" i="9"/>
  <c r="D1658" i="9"/>
  <c r="D1657" i="9"/>
  <c r="D1656" i="9"/>
  <c r="D1655" i="9"/>
  <c r="D1654" i="9"/>
  <c r="D1653" i="9"/>
  <c r="D1652" i="9"/>
  <c r="D1651" i="9"/>
  <c r="D1650" i="9"/>
  <c r="D1649" i="9"/>
  <c r="D1648" i="9"/>
  <c r="D1647" i="9"/>
  <c r="D1646" i="9"/>
  <c r="D1645" i="9"/>
  <c r="D1644" i="9"/>
  <c r="D1643" i="9"/>
  <c r="D1642" i="9"/>
  <c r="D1641" i="9"/>
  <c r="D1640" i="9"/>
  <c r="D1639" i="9"/>
  <c r="D1638" i="9"/>
  <c r="D1637" i="9"/>
  <c r="D1636" i="9"/>
  <c r="D1635" i="9"/>
  <c r="D1634" i="9"/>
  <c r="D1633" i="9"/>
  <c r="D1632" i="9"/>
  <c r="D1631" i="9"/>
  <c r="D1630" i="9"/>
  <c r="D1629" i="9"/>
  <c r="D1628" i="9"/>
  <c r="D1627" i="9"/>
  <c r="D1626" i="9"/>
  <c r="D1625" i="9"/>
  <c r="D1624" i="9"/>
  <c r="D1623" i="9"/>
  <c r="D1622" i="9"/>
  <c r="D1621" i="9"/>
  <c r="D1620" i="9"/>
  <c r="D1619" i="9"/>
  <c r="D1618" i="9"/>
  <c r="D1617" i="9"/>
  <c r="D1616" i="9"/>
  <c r="D1615" i="9"/>
  <c r="D1614" i="9"/>
  <c r="D1613" i="9"/>
  <c r="D1612" i="9"/>
  <c r="D1611" i="9"/>
  <c r="D1610" i="9"/>
  <c r="D1609" i="9"/>
  <c r="D1608" i="9"/>
  <c r="D1607" i="9"/>
  <c r="D1606" i="9"/>
  <c r="D1605" i="9"/>
  <c r="D1604" i="9"/>
  <c r="D1603" i="9"/>
  <c r="D1602" i="9"/>
  <c r="D1601" i="9"/>
  <c r="D1600" i="9"/>
  <c r="D1599" i="9"/>
  <c r="D1598" i="9"/>
  <c r="D1597" i="9"/>
  <c r="D1596" i="9"/>
  <c r="D1595" i="9"/>
  <c r="D1594" i="9"/>
  <c r="D1593" i="9"/>
  <c r="D1592" i="9"/>
  <c r="D1591" i="9"/>
  <c r="D1590" i="9"/>
  <c r="D1589" i="9"/>
  <c r="D1588" i="9"/>
  <c r="D1587" i="9"/>
  <c r="D1586" i="9"/>
  <c r="D1585" i="9"/>
  <c r="D1584" i="9"/>
  <c r="D1583" i="9"/>
  <c r="D1582" i="9"/>
  <c r="D1581" i="9"/>
  <c r="D1580" i="9"/>
  <c r="D1579" i="9"/>
  <c r="D1578" i="9"/>
  <c r="D1577" i="9"/>
  <c r="D1576" i="9"/>
  <c r="D1575" i="9"/>
  <c r="D1574" i="9"/>
  <c r="D1573" i="9"/>
  <c r="D1572" i="9"/>
  <c r="D1571" i="9"/>
  <c r="D1570" i="9"/>
  <c r="D1569" i="9"/>
  <c r="D1568" i="9"/>
  <c r="D1567" i="9"/>
  <c r="D1566" i="9"/>
  <c r="D1565" i="9"/>
  <c r="D1564" i="9"/>
  <c r="D1563" i="9"/>
  <c r="D1562" i="9"/>
  <c r="D1561" i="9"/>
  <c r="D1560" i="9"/>
  <c r="D1559" i="9"/>
  <c r="D1558" i="9"/>
  <c r="D1557" i="9"/>
  <c r="D1556" i="9"/>
  <c r="D1555" i="9"/>
  <c r="D1554" i="9"/>
  <c r="D1553" i="9"/>
  <c r="D1552" i="9"/>
  <c r="D1551" i="9"/>
  <c r="D1550" i="9"/>
  <c r="D1549" i="9"/>
  <c r="D1548" i="9"/>
  <c r="D1547" i="9"/>
  <c r="D1546" i="9"/>
  <c r="D1545" i="9"/>
  <c r="D1544" i="9"/>
  <c r="D1543" i="9"/>
  <c r="D1542" i="9"/>
  <c r="D1541" i="9"/>
  <c r="D1540" i="9"/>
  <c r="D1539" i="9"/>
  <c r="D1538" i="9"/>
  <c r="D1537" i="9"/>
  <c r="D1536" i="9"/>
  <c r="D1535" i="9"/>
  <c r="D1534" i="9"/>
  <c r="D1533" i="9"/>
  <c r="D1532" i="9"/>
  <c r="D1531" i="9"/>
  <c r="D1530" i="9"/>
  <c r="D1529" i="9"/>
  <c r="D1528" i="9"/>
  <c r="D1527" i="9"/>
  <c r="D1526" i="9"/>
  <c r="D1525" i="9"/>
  <c r="D1524" i="9"/>
  <c r="D1523" i="9"/>
  <c r="D1522" i="9"/>
  <c r="D1521" i="9"/>
  <c r="D1520" i="9"/>
  <c r="D1519" i="9"/>
  <c r="D1518" i="9"/>
  <c r="D1517" i="9"/>
  <c r="D1516" i="9"/>
  <c r="D1515" i="9"/>
  <c r="D1514" i="9"/>
  <c r="D1513" i="9"/>
  <c r="D1512" i="9"/>
  <c r="D1511" i="9"/>
  <c r="D1510" i="9"/>
  <c r="D1509" i="9"/>
  <c r="D1508" i="9"/>
  <c r="D1507" i="9"/>
  <c r="D1506" i="9"/>
  <c r="D1505" i="9"/>
  <c r="D1504" i="9"/>
  <c r="D1503" i="9"/>
  <c r="D1502" i="9"/>
  <c r="D1501" i="9"/>
  <c r="D1500" i="9"/>
  <c r="D1499" i="9"/>
  <c r="D1498" i="9"/>
  <c r="D1497" i="9"/>
  <c r="D1496" i="9"/>
  <c r="D1495" i="9"/>
  <c r="D1494" i="9"/>
  <c r="D1493" i="9"/>
  <c r="D1492" i="9"/>
  <c r="D1491" i="9"/>
  <c r="D1490" i="9"/>
  <c r="D1489" i="9"/>
  <c r="D1488" i="9"/>
  <c r="D1487" i="9"/>
  <c r="D1486" i="9"/>
  <c r="D1485" i="9"/>
  <c r="D1484" i="9"/>
  <c r="D1483" i="9"/>
  <c r="D1482" i="9"/>
  <c r="D1481" i="9"/>
  <c r="D1480" i="9"/>
  <c r="D1479" i="9"/>
  <c r="D1478" i="9"/>
  <c r="D1477" i="9"/>
  <c r="D1476" i="9"/>
  <c r="D1475" i="9"/>
  <c r="D1474" i="9"/>
  <c r="D1473" i="9"/>
  <c r="D1472" i="9"/>
  <c r="D1471" i="9"/>
  <c r="D1470" i="9"/>
  <c r="D1469" i="9"/>
  <c r="D1468" i="9"/>
  <c r="D1467" i="9"/>
  <c r="D1466" i="9"/>
  <c r="D1465" i="9"/>
  <c r="D1464" i="9"/>
  <c r="D1463" i="9"/>
  <c r="D1462" i="9"/>
  <c r="D1461" i="9"/>
  <c r="D1460" i="9"/>
  <c r="D1459" i="9"/>
  <c r="D1458" i="9"/>
  <c r="D1457" i="9"/>
  <c r="D1456" i="9"/>
  <c r="D1455" i="9"/>
  <c r="D1454" i="9"/>
  <c r="D1453" i="9"/>
  <c r="D1452" i="9"/>
  <c r="D1451" i="9"/>
  <c r="D1450" i="9"/>
  <c r="D1449" i="9"/>
  <c r="D1448" i="9"/>
  <c r="D1447" i="9"/>
  <c r="D1446" i="9"/>
  <c r="D1445" i="9"/>
  <c r="D1444" i="9"/>
  <c r="D1443" i="9"/>
  <c r="D1442" i="9"/>
  <c r="D1441" i="9"/>
  <c r="D1440" i="9"/>
  <c r="D1439" i="9"/>
  <c r="D1438" i="9"/>
  <c r="D1437" i="9"/>
  <c r="D1436" i="9"/>
  <c r="D1435" i="9"/>
  <c r="D1434" i="9"/>
  <c r="D1433" i="9"/>
  <c r="D1432" i="9"/>
  <c r="D1431" i="9"/>
  <c r="D1430" i="9"/>
  <c r="D1429" i="9"/>
  <c r="D1428" i="9"/>
  <c r="D1427" i="9"/>
  <c r="D1426" i="9"/>
  <c r="D1425" i="9"/>
  <c r="D1424" i="9"/>
  <c r="D1423" i="9"/>
  <c r="D1422" i="9"/>
  <c r="D1421" i="9"/>
  <c r="D1420" i="9"/>
  <c r="D1419" i="9"/>
  <c r="D1418" i="9"/>
  <c r="D1417" i="9"/>
  <c r="D1416" i="9"/>
  <c r="D1415" i="9"/>
  <c r="D1414" i="9"/>
  <c r="D1413" i="9"/>
  <c r="D1412" i="9"/>
  <c r="D1411" i="9"/>
  <c r="D1410" i="9"/>
  <c r="D1409" i="9"/>
  <c r="D1408" i="9"/>
  <c r="D1407" i="9"/>
  <c r="D1406" i="9"/>
  <c r="D1405" i="9"/>
  <c r="D1404" i="9"/>
  <c r="D1403" i="9"/>
  <c r="D1402" i="9"/>
  <c r="D1401" i="9"/>
  <c r="D1400" i="9"/>
  <c r="D1399" i="9"/>
  <c r="D1398" i="9"/>
  <c r="D1397" i="9"/>
  <c r="D1396" i="9"/>
  <c r="D1395" i="9"/>
  <c r="D1394" i="9"/>
  <c r="D1393" i="9"/>
  <c r="D1392" i="9"/>
  <c r="D1391" i="9"/>
  <c r="D1390" i="9"/>
  <c r="D1389" i="9"/>
  <c r="D1388" i="9"/>
  <c r="D1387" i="9"/>
  <c r="D1386" i="9"/>
  <c r="D1385" i="9"/>
  <c r="D1384" i="9"/>
  <c r="D1383" i="9"/>
  <c r="D1382" i="9"/>
  <c r="D1381" i="9"/>
  <c r="D1380" i="9"/>
  <c r="D1379" i="9"/>
  <c r="D1378" i="9"/>
  <c r="D1377" i="9"/>
  <c r="D1376" i="9"/>
  <c r="D1375" i="9"/>
  <c r="D1374" i="9"/>
  <c r="D1373" i="9"/>
  <c r="D1372" i="9"/>
  <c r="D1371" i="9"/>
  <c r="D1370" i="9"/>
  <c r="D1369" i="9"/>
  <c r="D1368" i="9"/>
  <c r="D1367" i="9"/>
  <c r="D1366" i="9"/>
  <c r="D1365" i="9"/>
  <c r="D1364" i="9"/>
  <c r="D1363" i="9"/>
  <c r="D1362" i="9"/>
  <c r="D1361" i="9"/>
  <c r="D1360" i="9"/>
  <c r="D1359" i="9"/>
  <c r="D1358" i="9"/>
  <c r="D1357" i="9"/>
  <c r="D1356" i="9"/>
  <c r="D1355" i="9"/>
  <c r="D1354" i="9"/>
  <c r="D1353" i="9"/>
  <c r="D1352" i="9"/>
  <c r="D1351" i="9"/>
  <c r="D1350" i="9"/>
  <c r="D1349" i="9"/>
  <c r="D1348" i="9"/>
  <c r="D1347" i="9"/>
  <c r="D1346" i="9"/>
  <c r="D1345" i="9"/>
  <c r="D1344" i="9"/>
  <c r="D1343" i="9"/>
  <c r="D1342" i="9"/>
  <c r="D1341" i="9"/>
  <c r="D1340" i="9"/>
  <c r="D1339" i="9"/>
  <c r="D1338" i="9"/>
  <c r="D1337" i="9"/>
  <c r="D1336" i="9"/>
  <c r="D1335" i="9"/>
  <c r="D1334" i="9"/>
  <c r="D1333" i="9"/>
  <c r="D1332" i="9"/>
  <c r="D1331" i="9"/>
  <c r="D1330" i="9"/>
  <c r="D1329" i="9"/>
  <c r="D1328" i="9"/>
  <c r="D1327" i="9"/>
  <c r="D1326" i="9"/>
  <c r="D1325" i="9"/>
  <c r="D1324" i="9"/>
  <c r="D1323" i="9"/>
  <c r="D1322" i="9"/>
  <c r="D1321" i="9"/>
  <c r="D1320" i="9"/>
  <c r="D1319" i="9"/>
  <c r="D1318" i="9"/>
  <c r="D1317" i="9"/>
  <c r="D1316" i="9"/>
  <c r="D1315" i="9"/>
  <c r="D1314" i="9"/>
  <c r="D1313" i="9"/>
  <c r="D1312" i="9"/>
  <c r="D1311" i="9"/>
  <c r="D1310" i="9"/>
  <c r="D1309" i="9"/>
  <c r="D1308" i="9"/>
  <c r="D1307" i="9"/>
  <c r="D1306" i="9"/>
  <c r="D1305" i="9"/>
  <c r="D1304" i="9"/>
  <c r="D1303" i="9"/>
  <c r="D1302" i="9"/>
  <c r="D1301" i="9"/>
  <c r="D1300" i="9"/>
  <c r="D1299" i="9"/>
  <c r="D1298" i="9"/>
  <c r="D1297" i="9"/>
  <c r="D1296" i="9"/>
  <c r="D1295" i="9"/>
  <c r="D1294" i="9"/>
  <c r="D1293" i="9"/>
  <c r="D1292" i="9"/>
  <c r="D1291" i="9"/>
  <c r="D1290" i="9"/>
  <c r="D1289" i="9"/>
  <c r="D1288" i="9"/>
  <c r="D1287" i="9"/>
  <c r="D1286" i="9"/>
  <c r="D1285" i="9"/>
  <c r="D1284" i="9"/>
  <c r="D1283" i="9"/>
  <c r="D1282" i="9"/>
  <c r="D1281" i="9"/>
  <c r="D1280" i="9"/>
  <c r="D1279" i="9"/>
  <c r="D1278" i="9"/>
  <c r="D1277" i="9"/>
  <c r="D1276" i="9"/>
  <c r="D1275" i="9"/>
  <c r="D1274" i="9"/>
  <c r="D1273" i="9"/>
  <c r="D1272" i="9"/>
  <c r="D1271" i="9"/>
  <c r="D1270" i="9"/>
  <c r="D1269" i="9"/>
  <c r="D1268" i="9"/>
  <c r="D1267" i="9"/>
  <c r="D1266" i="9"/>
  <c r="D1265" i="9"/>
  <c r="D1264" i="9"/>
  <c r="D1263" i="9"/>
  <c r="D1262" i="9"/>
  <c r="D1261" i="9"/>
  <c r="D1260" i="9"/>
  <c r="D1259" i="9"/>
  <c r="D1258" i="9"/>
  <c r="D1257" i="9"/>
  <c r="D1256" i="9"/>
  <c r="D1255" i="9"/>
  <c r="D1254" i="9"/>
  <c r="D1253" i="9"/>
  <c r="D1252" i="9"/>
  <c r="D1251" i="9"/>
  <c r="D1250" i="9"/>
  <c r="D1249" i="9"/>
  <c r="D1248" i="9"/>
  <c r="D1247" i="9"/>
  <c r="D1246" i="9"/>
  <c r="D1245" i="9"/>
  <c r="D1244" i="9"/>
  <c r="D1243" i="9"/>
  <c r="D1242" i="9"/>
  <c r="D1241" i="9"/>
  <c r="D1240" i="9"/>
  <c r="D1239" i="9"/>
  <c r="D1238" i="9"/>
  <c r="D1237" i="9"/>
  <c r="D1236" i="9"/>
  <c r="D1235" i="9"/>
  <c r="D1234" i="9"/>
  <c r="D1233" i="9"/>
  <c r="D1232" i="9"/>
  <c r="D1231" i="9"/>
  <c r="D1230" i="9"/>
  <c r="D1229" i="9"/>
  <c r="D1228" i="9"/>
  <c r="D1227" i="9"/>
  <c r="D1226" i="9"/>
  <c r="D1225" i="9"/>
  <c r="D1224" i="9"/>
  <c r="D1223" i="9"/>
  <c r="D1222" i="9"/>
  <c r="D1221" i="9"/>
  <c r="D1220" i="9"/>
  <c r="D1219" i="9"/>
  <c r="D1218" i="9"/>
  <c r="D1217" i="9"/>
  <c r="D1216" i="9"/>
  <c r="D1215" i="9"/>
  <c r="D1214" i="9"/>
  <c r="D1213" i="9"/>
  <c r="D1212" i="9"/>
  <c r="D1211" i="9"/>
  <c r="D1210" i="9"/>
  <c r="D1209" i="9"/>
  <c r="D1208" i="9"/>
  <c r="D1207" i="9"/>
  <c r="D1206" i="9"/>
  <c r="D1205" i="9"/>
  <c r="D1204" i="9"/>
  <c r="D1203" i="9"/>
  <c r="D1202" i="9"/>
  <c r="D1201" i="9"/>
  <c r="D1200" i="9"/>
  <c r="D1199" i="9"/>
  <c r="D1198" i="9"/>
  <c r="D1197" i="9"/>
  <c r="D1196" i="9"/>
  <c r="D1195" i="9"/>
  <c r="D1194" i="9"/>
  <c r="D1193" i="9"/>
  <c r="D1192" i="9"/>
  <c r="D1191" i="9"/>
  <c r="D1190" i="9"/>
  <c r="D1189" i="9"/>
  <c r="D1188" i="9"/>
  <c r="D1187" i="9"/>
  <c r="D1186" i="9"/>
  <c r="D1185" i="9"/>
  <c r="D1184" i="9"/>
  <c r="D1183" i="9"/>
  <c r="D1182" i="9"/>
  <c r="D1181" i="9"/>
  <c r="D1180" i="9"/>
  <c r="D1179" i="9"/>
  <c r="D1178" i="9"/>
  <c r="D1177" i="9"/>
  <c r="D1176" i="9"/>
  <c r="D1175" i="9"/>
  <c r="D1174" i="9"/>
  <c r="D1173" i="9"/>
  <c r="D1172" i="9"/>
  <c r="D1171" i="9"/>
  <c r="D1170" i="9"/>
  <c r="D1169" i="9"/>
  <c r="D1168" i="9"/>
  <c r="D1167" i="9"/>
  <c r="D1166" i="9"/>
  <c r="D1165" i="9"/>
  <c r="D1164" i="9"/>
  <c r="D1163" i="9"/>
  <c r="D1162" i="9"/>
  <c r="D1161" i="9"/>
  <c r="D1160" i="9"/>
  <c r="D1159" i="9"/>
  <c r="D1158" i="9"/>
  <c r="D1157" i="9"/>
  <c r="D1156" i="9"/>
  <c r="D1155" i="9"/>
  <c r="D1154" i="9"/>
  <c r="D1153" i="9"/>
  <c r="D1152" i="9"/>
  <c r="D1151" i="9"/>
  <c r="D1150" i="9"/>
  <c r="D1149" i="9"/>
  <c r="D1148" i="9"/>
  <c r="D1147" i="9"/>
  <c r="D1146" i="9"/>
  <c r="D1145" i="9"/>
  <c r="D1144" i="9"/>
  <c r="D1143" i="9"/>
  <c r="D1142" i="9"/>
  <c r="D1141" i="9"/>
  <c r="D1140" i="9"/>
  <c r="D1139" i="9"/>
  <c r="D1138" i="9"/>
  <c r="D1137" i="9"/>
  <c r="D1136" i="9"/>
  <c r="D1135" i="9"/>
  <c r="D1134" i="9"/>
  <c r="D1133" i="9"/>
  <c r="D1132" i="9"/>
  <c r="D1131" i="9"/>
  <c r="D1130" i="9"/>
  <c r="D1129" i="9"/>
  <c r="D1128" i="9"/>
  <c r="D1127" i="9"/>
  <c r="D1126" i="9"/>
  <c r="D1125" i="9"/>
  <c r="D1124" i="9"/>
  <c r="D1123" i="9"/>
  <c r="D1122" i="9"/>
  <c r="D1121" i="9"/>
  <c r="D1120" i="9"/>
  <c r="D1119" i="9"/>
  <c r="D1118" i="9"/>
  <c r="D1117" i="9"/>
  <c r="D1116" i="9"/>
  <c r="D1115" i="9"/>
  <c r="D1114" i="9"/>
  <c r="D1113" i="9"/>
  <c r="D1112" i="9"/>
  <c r="D1111" i="9"/>
  <c r="D1110" i="9"/>
  <c r="D1109" i="9"/>
  <c r="D1108" i="9"/>
  <c r="D1107" i="9"/>
  <c r="D1106" i="9"/>
  <c r="D1105" i="9"/>
  <c r="D1104" i="9"/>
  <c r="D1103" i="9"/>
  <c r="D1102" i="9"/>
  <c r="D1101" i="9"/>
  <c r="D1100" i="9"/>
  <c r="D1099" i="9"/>
  <c r="D1098" i="9"/>
  <c r="D1097" i="9"/>
  <c r="D1096" i="9"/>
  <c r="D1095" i="9"/>
  <c r="D1094" i="9"/>
  <c r="D1093" i="9"/>
  <c r="D1092" i="9"/>
  <c r="D1091" i="9"/>
  <c r="D1090" i="9"/>
  <c r="D1089" i="9"/>
  <c r="D1088" i="9"/>
  <c r="D1087" i="9"/>
  <c r="D1086" i="9"/>
  <c r="D1085" i="9"/>
  <c r="D1084" i="9"/>
  <c r="D1083" i="9"/>
  <c r="D1082" i="9"/>
  <c r="D1081" i="9"/>
  <c r="D1080" i="9"/>
  <c r="D1079" i="9"/>
  <c r="D1078" i="9"/>
  <c r="D1077" i="9"/>
  <c r="D1076" i="9"/>
  <c r="D1075" i="9"/>
  <c r="D1074" i="9"/>
  <c r="D1073" i="9"/>
  <c r="D1072" i="9"/>
  <c r="D1071" i="9"/>
  <c r="D1070" i="9"/>
  <c r="D1069" i="9"/>
  <c r="D1068" i="9"/>
  <c r="D1067" i="9"/>
  <c r="D1066" i="9"/>
  <c r="D1065" i="9"/>
  <c r="D1064" i="9"/>
  <c r="D1063" i="9"/>
  <c r="D1062" i="9"/>
  <c r="D1061" i="9"/>
  <c r="D1060" i="9"/>
  <c r="D1059" i="9"/>
  <c r="D1058" i="9"/>
  <c r="D1057" i="9"/>
  <c r="D1056" i="9"/>
  <c r="D1055" i="9"/>
  <c r="D1054" i="9"/>
  <c r="D1053" i="9"/>
  <c r="D1052" i="9"/>
  <c r="D1051" i="9"/>
  <c r="D1050" i="9"/>
  <c r="D1049" i="9"/>
  <c r="D1048" i="9"/>
  <c r="D1047" i="9"/>
  <c r="D1046" i="9"/>
  <c r="D1045" i="9"/>
  <c r="D1044" i="9"/>
  <c r="D1043" i="9"/>
  <c r="D1042" i="9"/>
  <c r="D1041" i="9"/>
  <c r="D1040" i="9"/>
  <c r="D1039" i="9"/>
  <c r="D1038" i="9"/>
  <c r="D1037" i="9"/>
  <c r="D1036" i="9"/>
  <c r="D1035" i="9"/>
  <c r="D1034" i="9"/>
  <c r="D1033" i="9"/>
  <c r="D1032" i="9"/>
  <c r="D1031" i="9"/>
  <c r="D1030" i="9"/>
  <c r="D1029" i="9"/>
  <c r="D1028" i="9"/>
  <c r="D1027" i="9"/>
  <c r="D1026" i="9"/>
  <c r="D1025" i="9"/>
  <c r="D1024" i="9"/>
  <c r="D1023" i="9"/>
  <c r="D1022" i="9"/>
  <c r="D1021" i="9"/>
  <c r="D1020" i="9"/>
  <c r="D1019" i="9"/>
  <c r="D1018" i="9"/>
  <c r="D1017" i="9"/>
  <c r="D1016" i="9"/>
  <c r="D1015" i="9"/>
  <c r="D1014" i="9"/>
  <c r="D1013" i="9"/>
  <c r="D1012" i="9"/>
  <c r="D1011" i="9"/>
  <c r="D1010" i="9"/>
  <c r="D1009" i="9"/>
  <c r="D1008" i="9"/>
  <c r="D1007" i="9"/>
  <c r="D1006" i="9"/>
  <c r="D1005" i="9"/>
  <c r="D1004" i="9"/>
  <c r="D1003" i="9"/>
  <c r="D1002" i="9"/>
  <c r="D1001" i="9"/>
  <c r="D1000" i="9"/>
  <c r="D999" i="9"/>
  <c r="D998" i="9"/>
  <c r="D997" i="9"/>
  <c r="D996" i="9"/>
  <c r="D995" i="9"/>
  <c r="D994" i="9"/>
  <c r="D993" i="9"/>
  <c r="D992" i="9"/>
  <c r="D991" i="9"/>
  <c r="D990" i="9"/>
  <c r="D989" i="9"/>
  <c r="D988" i="9"/>
  <c r="D987" i="9"/>
  <c r="D986" i="9"/>
  <c r="D985" i="9"/>
  <c r="D984" i="9"/>
  <c r="D983" i="9"/>
  <c r="D982" i="9"/>
  <c r="D981" i="9"/>
  <c r="D980" i="9"/>
  <c r="D979" i="9"/>
  <c r="D978" i="9"/>
  <c r="D977" i="9"/>
  <c r="D976" i="9"/>
  <c r="D975" i="9"/>
  <c r="D974" i="9"/>
  <c r="D973" i="9"/>
  <c r="D972" i="9"/>
  <c r="D971" i="9"/>
  <c r="D970" i="9"/>
  <c r="D969" i="9"/>
  <c r="D968" i="9"/>
  <c r="D967" i="9"/>
  <c r="D966" i="9"/>
  <c r="D965" i="9"/>
  <c r="D964" i="9"/>
  <c r="D963" i="9"/>
  <c r="D962" i="9"/>
  <c r="D961" i="9"/>
  <c r="D960" i="9"/>
  <c r="D959" i="9"/>
  <c r="D958" i="9"/>
  <c r="D957" i="9"/>
  <c r="D956" i="9"/>
  <c r="D955" i="9"/>
  <c r="D954" i="9"/>
  <c r="D953" i="9"/>
  <c r="D952" i="9"/>
  <c r="D951" i="9"/>
  <c r="D950" i="9"/>
  <c r="D949" i="9"/>
  <c r="D948" i="9"/>
  <c r="D947" i="9"/>
  <c r="D946" i="9"/>
  <c r="D945" i="9"/>
  <c r="D944" i="9"/>
  <c r="D943" i="9"/>
  <c r="D942" i="9"/>
  <c r="D941" i="9"/>
  <c r="D940" i="9"/>
  <c r="D939" i="9"/>
  <c r="D938" i="9"/>
  <c r="D937" i="9"/>
  <c r="D936" i="9"/>
  <c r="D935" i="9"/>
  <c r="D934" i="9"/>
  <c r="D933" i="9"/>
  <c r="D932" i="9"/>
  <c r="D931" i="9"/>
  <c r="D930" i="9"/>
  <c r="D929" i="9"/>
  <c r="D928" i="9"/>
  <c r="D927" i="9"/>
  <c r="D926" i="9"/>
  <c r="D925" i="9"/>
  <c r="D924" i="9"/>
  <c r="D923" i="9"/>
  <c r="D922" i="9"/>
  <c r="D921" i="9"/>
  <c r="D920" i="9"/>
  <c r="D919" i="9"/>
  <c r="D918" i="9"/>
  <c r="D917" i="9"/>
  <c r="D916" i="9"/>
  <c r="D915" i="9"/>
  <c r="D914" i="9"/>
  <c r="D913" i="9"/>
  <c r="D912" i="9"/>
  <c r="D911" i="9"/>
  <c r="D910" i="9"/>
  <c r="D909" i="9"/>
  <c r="D908" i="9"/>
  <c r="D907" i="9"/>
  <c r="D906" i="9"/>
  <c r="D905" i="9"/>
  <c r="D904" i="9"/>
  <c r="D903" i="9"/>
  <c r="D902" i="9"/>
  <c r="D901" i="9"/>
  <c r="D900" i="9"/>
  <c r="D899" i="9"/>
  <c r="D898" i="9"/>
  <c r="D897" i="9"/>
  <c r="D896" i="9"/>
  <c r="D895" i="9"/>
  <c r="D894" i="9"/>
  <c r="D893" i="9"/>
  <c r="D892" i="9"/>
  <c r="D891" i="9"/>
  <c r="D890" i="9"/>
  <c r="D889" i="9"/>
  <c r="D888" i="9"/>
  <c r="D887" i="9"/>
  <c r="D886" i="9"/>
  <c r="D885" i="9"/>
  <c r="D884" i="9"/>
  <c r="D883" i="9"/>
  <c r="D882" i="9"/>
  <c r="D881" i="9"/>
  <c r="D880" i="9"/>
  <c r="D879" i="9"/>
  <c r="D878" i="9"/>
  <c r="D877" i="9"/>
  <c r="D876" i="9"/>
  <c r="D875" i="9"/>
  <c r="D874" i="9"/>
  <c r="D873" i="9"/>
  <c r="D872" i="9"/>
  <c r="D871" i="9"/>
  <c r="D870" i="9"/>
  <c r="D869" i="9"/>
  <c r="D868" i="9"/>
  <c r="D867" i="9"/>
  <c r="D866" i="9"/>
  <c r="D865" i="9"/>
  <c r="D864" i="9"/>
  <c r="D863" i="9"/>
  <c r="D862" i="9"/>
  <c r="D861" i="9"/>
  <c r="D860" i="9"/>
  <c r="D859" i="9"/>
  <c r="D858" i="9"/>
  <c r="D857" i="9"/>
  <c r="D856" i="9"/>
  <c r="D855" i="9"/>
  <c r="D854" i="9"/>
  <c r="D853" i="9"/>
  <c r="D852" i="9"/>
  <c r="D851" i="9"/>
  <c r="D850" i="9"/>
  <c r="D849" i="9"/>
  <c r="D848" i="9"/>
  <c r="D847" i="9"/>
  <c r="D846" i="9"/>
  <c r="D845" i="9"/>
  <c r="D844" i="9"/>
  <c r="D843" i="9"/>
  <c r="D842" i="9"/>
  <c r="D841" i="9"/>
  <c r="D840" i="9"/>
  <c r="D839" i="9"/>
  <c r="D838" i="9"/>
  <c r="D837" i="9"/>
  <c r="D836" i="9"/>
  <c r="D835" i="9"/>
  <c r="D834" i="9"/>
  <c r="D833" i="9"/>
  <c r="D832" i="9"/>
  <c r="D831" i="9"/>
  <c r="D830" i="9"/>
  <c r="D829" i="9"/>
  <c r="D828" i="9"/>
  <c r="D827" i="9"/>
  <c r="D826" i="9"/>
  <c r="D825" i="9"/>
  <c r="D824" i="9"/>
  <c r="D823" i="9"/>
  <c r="D822" i="9"/>
  <c r="D821" i="9"/>
  <c r="D820" i="9"/>
  <c r="D819" i="9"/>
  <c r="D818" i="9"/>
  <c r="D817" i="9"/>
  <c r="D816" i="9"/>
  <c r="D815" i="9"/>
  <c r="D814" i="9"/>
  <c r="D813" i="9"/>
  <c r="D812" i="9"/>
  <c r="D811" i="9"/>
  <c r="D810" i="9"/>
  <c r="D809" i="9"/>
  <c r="D808" i="9"/>
  <c r="D807" i="9"/>
  <c r="D806" i="9"/>
  <c r="D805" i="9"/>
  <c r="D804" i="9"/>
  <c r="D803" i="9"/>
  <c r="D802" i="9"/>
  <c r="D801" i="9"/>
  <c r="D800" i="9"/>
  <c r="D799" i="9"/>
  <c r="D798" i="9"/>
  <c r="D797" i="9"/>
  <c r="D796" i="9"/>
  <c r="D795" i="9"/>
  <c r="D794" i="9"/>
  <c r="D793" i="9"/>
  <c r="D792" i="9"/>
  <c r="D791" i="9"/>
  <c r="D790" i="9"/>
  <c r="D789" i="9"/>
  <c r="D788" i="9"/>
  <c r="D787" i="9"/>
  <c r="D786" i="9"/>
  <c r="D785" i="9"/>
  <c r="D784" i="9"/>
  <c r="D783" i="9"/>
  <c r="D782" i="9"/>
  <c r="D781" i="9"/>
  <c r="D780" i="9"/>
  <c r="D779" i="9"/>
  <c r="D778" i="9"/>
  <c r="D777" i="9"/>
  <c r="D776" i="9"/>
  <c r="D775" i="9"/>
  <c r="D774" i="9"/>
  <c r="D773" i="9"/>
  <c r="D772" i="9"/>
  <c r="D771" i="9"/>
  <c r="D770" i="9"/>
  <c r="D769" i="9"/>
  <c r="D768" i="9"/>
  <c r="D767" i="9"/>
  <c r="D766" i="9"/>
  <c r="D765" i="9"/>
  <c r="D764" i="9"/>
  <c r="D763" i="9"/>
  <c r="D762" i="9"/>
  <c r="D761" i="9"/>
  <c r="D760" i="9"/>
  <c r="D759" i="9"/>
  <c r="D758" i="9"/>
  <c r="D757" i="9"/>
  <c r="D756" i="9"/>
  <c r="D755" i="9"/>
  <c r="D754" i="9"/>
  <c r="D753" i="9"/>
  <c r="D752" i="9"/>
  <c r="D751" i="9"/>
  <c r="D750" i="9"/>
  <c r="D749" i="9"/>
  <c r="D748" i="9"/>
  <c r="D747" i="9"/>
  <c r="D746" i="9"/>
  <c r="D745" i="9"/>
  <c r="D744" i="9"/>
  <c r="D743" i="9"/>
  <c r="D742" i="9"/>
  <c r="D741" i="9"/>
  <c r="D740" i="9"/>
  <c r="D739" i="9"/>
  <c r="D738" i="9"/>
  <c r="D737" i="9"/>
  <c r="D736" i="9"/>
  <c r="D735" i="9"/>
  <c r="D734" i="9"/>
  <c r="D733" i="9"/>
  <c r="D732" i="9"/>
  <c r="D731" i="9"/>
  <c r="D730" i="9"/>
  <c r="D729" i="9"/>
  <c r="D728" i="9"/>
  <c r="D727" i="9"/>
  <c r="D726" i="9"/>
  <c r="D725" i="9"/>
  <c r="D724" i="9"/>
  <c r="D723" i="9"/>
  <c r="D722" i="9"/>
  <c r="D721" i="9"/>
  <c r="D720" i="9"/>
  <c r="D719" i="9"/>
  <c r="D718" i="9"/>
  <c r="D717" i="9"/>
  <c r="D716" i="9"/>
  <c r="D715" i="9"/>
  <c r="D714" i="9"/>
  <c r="D713" i="9"/>
  <c r="D712" i="9"/>
  <c r="D711" i="9"/>
  <c r="D710" i="9"/>
  <c r="D709" i="9"/>
  <c r="D708" i="9"/>
  <c r="D707" i="9"/>
  <c r="D706" i="9"/>
  <c r="D705" i="9"/>
  <c r="D704" i="9"/>
  <c r="D703" i="9"/>
  <c r="D702" i="9"/>
  <c r="D701" i="9"/>
  <c r="D700" i="9"/>
  <c r="D699" i="9"/>
  <c r="D698" i="9"/>
  <c r="D697" i="9"/>
  <c r="D696" i="9"/>
  <c r="D695" i="9"/>
  <c r="D694" i="9"/>
  <c r="D693" i="9"/>
  <c r="D692" i="9"/>
  <c r="D691" i="9"/>
  <c r="D690" i="9"/>
  <c r="D689" i="9"/>
  <c r="D688" i="9"/>
  <c r="D687" i="9"/>
  <c r="D686" i="9"/>
  <c r="D685" i="9"/>
  <c r="D684" i="9"/>
  <c r="D683" i="9"/>
  <c r="D682" i="9"/>
  <c r="D681" i="9"/>
  <c r="D680" i="9"/>
  <c r="D679" i="9"/>
  <c r="D678" i="9"/>
  <c r="D677" i="9"/>
  <c r="D676" i="9"/>
  <c r="D675" i="9"/>
  <c r="D674" i="9"/>
  <c r="D673" i="9"/>
  <c r="D672" i="9"/>
  <c r="D671" i="9"/>
  <c r="D670" i="9"/>
  <c r="D669" i="9"/>
  <c r="D668" i="9"/>
  <c r="D667" i="9"/>
  <c r="D666" i="9"/>
  <c r="D665" i="9"/>
  <c r="D664" i="9"/>
  <c r="D663" i="9"/>
  <c r="D662" i="9"/>
  <c r="D661" i="9"/>
  <c r="D660" i="9"/>
  <c r="D659" i="9"/>
  <c r="D658" i="9"/>
  <c r="D657" i="9"/>
  <c r="D656" i="9"/>
  <c r="D655" i="9"/>
  <c r="D654" i="9"/>
  <c r="D653" i="9"/>
  <c r="D652" i="9"/>
  <c r="D651" i="9"/>
  <c r="D650" i="9"/>
  <c r="D649" i="9"/>
  <c r="D648" i="9"/>
  <c r="D647" i="9"/>
  <c r="D646" i="9"/>
  <c r="D645" i="9"/>
  <c r="D644" i="9"/>
  <c r="D643" i="9"/>
  <c r="D642" i="9"/>
  <c r="D641" i="9"/>
  <c r="D640" i="9"/>
  <c r="D639" i="9"/>
  <c r="D638" i="9"/>
  <c r="D637" i="9"/>
  <c r="D636" i="9"/>
  <c r="D635" i="9"/>
  <c r="D634" i="9"/>
  <c r="D633" i="9"/>
  <c r="D632" i="9"/>
  <c r="D631" i="9"/>
  <c r="D630" i="9"/>
  <c r="D629" i="9"/>
  <c r="D628" i="9"/>
  <c r="D627" i="9"/>
  <c r="D626" i="9"/>
  <c r="D625" i="9"/>
  <c r="D624" i="9"/>
  <c r="D623" i="9"/>
  <c r="D622" i="9"/>
  <c r="D621" i="9"/>
  <c r="D620" i="9"/>
  <c r="D619" i="9"/>
  <c r="D618" i="9"/>
  <c r="D617" i="9"/>
  <c r="D616" i="9"/>
  <c r="D615" i="9"/>
  <c r="D614" i="9"/>
  <c r="D613" i="9"/>
  <c r="D612" i="9"/>
  <c r="D611" i="9"/>
  <c r="D610" i="9"/>
  <c r="D609" i="9"/>
  <c r="D608" i="9"/>
  <c r="D607" i="9"/>
  <c r="D606" i="9"/>
  <c r="D605" i="9"/>
  <c r="D604" i="9"/>
  <c r="D603" i="9"/>
  <c r="D602" i="9"/>
  <c r="D601" i="9"/>
  <c r="D600" i="9"/>
  <c r="D599" i="9"/>
  <c r="D598" i="9"/>
  <c r="D597" i="9"/>
  <c r="D596" i="9"/>
  <c r="D595" i="9"/>
  <c r="D594" i="9"/>
  <c r="D593" i="9"/>
  <c r="D592" i="9"/>
  <c r="D591" i="9"/>
  <c r="D590" i="9"/>
  <c r="D589" i="9"/>
  <c r="D588" i="9"/>
  <c r="D587" i="9"/>
  <c r="D586" i="9"/>
  <c r="D585" i="9"/>
  <c r="D584" i="9"/>
  <c r="D583" i="9"/>
  <c r="D582" i="9"/>
  <c r="D581" i="9"/>
  <c r="D580" i="9"/>
  <c r="D579" i="9"/>
  <c r="D578" i="9"/>
  <c r="D577" i="9"/>
  <c r="D576" i="9"/>
  <c r="D575" i="9"/>
  <c r="D574" i="9"/>
  <c r="D573" i="9"/>
  <c r="D572" i="9"/>
  <c r="D571" i="9"/>
  <c r="D570" i="9"/>
  <c r="D569" i="9"/>
  <c r="D568" i="9"/>
  <c r="D567" i="9"/>
  <c r="D566" i="9"/>
  <c r="D565" i="9"/>
  <c r="D564" i="9"/>
  <c r="D563" i="9"/>
  <c r="D562" i="9"/>
  <c r="D561" i="9"/>
  <c r="D560" i="9"/>
  <c r="D559" i="9"/>
  <c r="D558" i="9"/>
  <c r="D557" i="9"/>
  <c r="D556" i="9"/>
  <c r="D555" i="9"/>
  <c r="D554" i="9"/>
  <c r="D553" i="9"/>
  <c r="D552" i="9"/>
  <c r="D551" i="9"/>
  <c r="D550" i="9"/>
  <c r="D549" i="9"/>
  <c r="D548" i="9"/>
  <c r="D547" i="9"/>
  <c r="D546" i="9"/>
  <c r="D545" i="9"/>
  <c r="D544" i="9"/>
  <c r="D543" i="9"/>
  <c r="D542" i="9"/>
  <c r="D541" i="9"/>
  <c r="D540" i="9"/>
  <c r="D539" i="9"/>
  <c r="D538" i="9"/>
  <c r="D537" i="9"/>
  <c r="D536" i="9"/>
  <c r="D535" i="9"/>
  <c r="D534" i="9"/>
  <c r="D533" i="9"/>
  <c r="D532" i="9"/>
  <c r="D531" i="9"/>
  <c r="D530" i="9"/>
  <c r="D529" i="9"/>
  <c r="D528" i="9"/>
  <c r="D527" i="9"/>
  <c r="D526" i="9"/>
  <c r="D525" i="9"/>
  <c r="D524" i="9"/>
  <c r="D523" i="9"/>
  <c r="D522" i="9"/>
  <c r="D521" i="9"/>
  <c r="D520" i="9"/>
  <c r="D519" i="9"/>
  <c r="D518" i="9"/>
  <c r="D517" i="9"/>
  <c r="D516" i="9"/>
  <c r="D515" i="9"/>
  <c r="D514" i="9"/>
  <c r="D513" i="9"/>
  <c r="D512" i="9"/>
  <c r="D511" i="9"/>
  <c r="D510" i="9"/>
  <c r="D509" i="9"/>
  <c r="D508" i="9"/>
  <c r="D507" i="9"/>
  <c r="D506" i="9"/>
  <c r="D505" i="9"/>
  <c r="D504" i="9"/>
  <c r="D503" i="9"/>
  <c r="D502" i="9"/>
  <c r="D501" i="9"/>
  <c r="D500" i="9"/>
  <c r="D499" i="9"/>
  <c r="D498" i="9"/>
  <c r="D497" i="9"/>
  <c r="D496" i="9"/>
  <c r="D495" i="9"/>
  <c r="D494" i="9"/>
  <c r="D493" i="9"/>
  <c r="D492" i="9"/>
  <c r="D491" i="9"/>
  <c r="D490" i="9"/>
  <c r="D489" i="9"/>
  <c r="D488" i="9"/>
  <c r="D487" i="9"/>
  <c r="D486" i="9"/>
  <c r="D485" i="9"/>
  <c r="D484" i="9"/>
  <c r="D483" i="9"/>
  <c r="D482" i="9"/>
  <c r="D481" i="9"/>
  <c r="D480" i="9"/>
  <c r="D479" i="9"/>
  <c r="D478" i="9"/>
  <c r="D477" i="9"/>
  <c r="D476" i="9"/>
  <c r="D475" i="9"/>
  <c r="D474" i="9"/>
  <c r="D473" i="9"/>
  <c r="D472" i="9"/>
  <c r="D471" i="9"/>
  <c r="D470" i="9"/>
  <c r="D469" i="9"/>
  <c r="D468" i="9"/>
  <c r="D467" i="9"/>
  <c r="D466" i="9"/>
  <c r="D465" i="9"/>
  <c r="D464" i="9"/>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1815" i="10"/>
  <c r="D1564" i="10"/>
  <c r="D1501" i="10"/>
  <c r="D1500" i="10"/>
  <c r="D1332" i="10"/>
  <c r="D1316" i="10"/>
  <c r="D1315" i="10"/>
  <c r="D1263" i="10"/>
  <c r="D1262" i="10"/>
  <c r="D732" i="10"/>
  <c r="D566" i="10"/>
  <c r="D346" i="10"/>
  <c r="D322" i="10"/>
  <c r="D1529" i="10"/>
  <c r="D1324" i="10"/>
  <c r="D289" i="10"/>
  <c r="D228" i="10"/>
  <c r="D227" i="10"/>
  <c r="D2146" i="10"/>
  <c r="D2054" i="10"/>
  <c r="D2018" i="10"/>
  <c r="D1957" i="10"/>
  <c r="D1938" i="10"/>
  <c r="D1907" i="10"/>
  <c r="D1709" i="10"/>
  <c r="D1570" i="10"/>
  <c r="D1528" i="10"/>
  <c r="D1527" i="10"/>
  <c r="D1431" i="10"/>
  <c r="D1323" i="10"/>
  <c r="D1284" i="10"/>
  <c r="D1231" i="10"/>
  <c r="D1034" i="10"/>
  <c r="D993" i="10"/>
  <c r="D928" i="10"/>
  <c r="D720" i="10"/>
  <c r="D719" i="10"/>
  <c r="D668" i="10"/>
  <c r="D667" i="10"/>
  <c r="D597" i="10"/>
  <c r="D543" i="10"/>
  <c r="D333" i="10"/>
  <c r="D288" i="10"/>
  <c r="D226" i="10"/>
  <c r="D125" i="10"/>
  <c r="D2154" i="10"/>
  <c r="D2044" i="10"/>
  <c r="D2017" i="10"/>
  <c r="D1936" i="10"/>
  <c r="D1935" i="10"/>
  <c r="D1905" i="10"/>
  <c r="D1708" i="10"/>
  <c r="D1672" i="10"/>
  <c r="D1526" i="10"/>
  <c r="D1464" i="10"/>
  <c r="D1430" i="10"/>
  <c r="D1283" i="10"/>
  <c r="D1033" i="10"/>
  <c r="D992" i="10"/>
  <c r="D991" i="10"/>
  <c r="D927" i="10"/>
  <c r="D718" i="10"/>
  <c r="D666" i="10"/>
  <c r="D596" i="10"/>
  <c r="D467" i="10"/>
  <c r="D287" i="10"/>
  <c r="D225" i="10"/>
  <c r="D1764" i="10"/>
  <c r="D1763" i="10"/>
  <c r="D413" i="10"/>
  <c r="D1615" i="10"/>
  <c r="D1614" i="10"/>
  <c r="D1147" i="10"/>
  <c r="D1146" i="10"/>
  <c r="D1145" i="10"/>
  <c r="D1112" i="10"/>
  <c r="D990" i="10"/>
  <c r="D665" i="10"/>
  <c r="D595" i="10"/>
  <c r="D542" i="10"/>
  <c r="D466" i="10"/>
  <c r="D465" i="10"/>
  <c r="D464" i="10"/>
  <c r="D420" i="10"/>
  <c r="D124" i="10"/>
  <c r="D91" i="10"/>
  <c r="D2227" i="10"/>
  <c r="D2220" i="10"/>
  <c r="D2207" i="10"/>
  <c r="D2206" i="10"/>
  <c r="D2150" i="10"/>
  <c r="D2141" i="10"/>
  <c r="D2134" i="10"/>
  <c r="D2121" i="10"/>
  <c r="D2106" i="10"/>
  <c r="D2049" i="10"/>
  <c r="D2039" i="10"/>
  <c r="D2038" i="10"/>
  <c r="D2022" i="10"/>
  <c r="D1948" i="10"/>
  <c r="D1947" i="10"/>
  <c r="D1946" i="10"/>
  <c r="D1921" i="10"/>
  <c r="D1920" i="10"/>
  <c r="D1880" i="10"/>
  <c r="D1849" i="10"/>
  <c r="D1724" i="10"/>
  <c r="D1687" i="10"/>
  <c r="D1686" i="10"/>
  <c r="D1685" i="10"/>
  <c r="D1684" i="10"/>
  <c r="D1651" i="10"/>
  <c r="D1624" i="10"/>
  <c r="D1609" i="10"/>
  <c r="D1593" i="10"/>
  <c r="D1549" i="10"/>
  <c r="D1548" i="10"/>
  <c r="D1547" i="10"/>
  <c r="D1489" i="10"/>
  <c r="D1488" i="10"/>
  <c r="D1487" i="10"/>
  <c r="D1486" i="10"/>
  <c r="D1437" i="10"/>
  <c r="D1419" i="10"/>
  <c r="D1409" i="10"/>
  <c r="D1391" i="10"/>
  <c r="D1357" i="10"/>
  <c r="D1327" i="10"/>
  <c r="D1304" i="10"/>
  <c r="D1303" i="10"/>
  <c r="D1302" i="10"/>
  <c r="D1301" i="10"/>
  <c r="D1250" i="10"/>
  <c r="D1249" i="10"/>
  <c r="D1248" i="10"/>
  <c r="D1247" i="10"/>
  <c r="D1246" i="10"/>
  <c r="D1245" i="10"/>
  <c r="D1207" i="10"/>
  <c r="D1206" i="10"/>
  <c r="D1205" i="10"/>
  <c r="D1204" i="10"/>
  <c r="D1174" i="10"/>
  <c r="D1075" i="10"/>
  <c r="D1074" i="10"/>
  <c r="D1039" i="10"/>
  <c r="D1012" i="10"/>
  <c r="D1011" i="10"/>
  <c r="D1010" i="10"/>
  <c r="D1009" i="10"/>
  <c r="D955" i="10"/>
  <c r="D954" i="10"/>
  <c r="D953" i="10"/>
  <c r="D952" i="10"/>
  <c r="D951" i="10"/>
  <c r="D897" i="10"/>
  <c r="D896" i="10"/>
  <c r="D816" i="10"/>
  <c r="D795" i="10"/>
  <c r="D767" i="10"/>
  <c r="D726" i="10"/>
  <c r="D725" i="10"/>
  <c r="D694" i="10"/>
  <c r="D693" i="10"/>
  <c r="D692" i="10"/>
  <c r="D691" i="10"/>
  <c r="D690" i="10"/>
  <c r="D629" i="10"/>
  <c r="D628" i="10"/>
  <c r="D627" i="10"/>
  <c r="D626" i="10"/>
  <c r="D625" i="10"/>
  <c r="D555" i="10"/>
  <c r="D514" i="10"/>
  <c r="D513" i="10"/>
  <c r="D512" i="10"/>
  <c r="D489" i="10"/>
  <c r="D446" i="10"/>
  <c r="D397" i="10"/>
  <c r="D369" i="10"/>
  <c r="D341" i="10"/>
  <c r="D309" i="10"/>
  <c r="D308" i="10"/>
  <c r="D259" i="10"/>
  <c r="D258" i="10"/>
  <c r="D257" i="10"/>
  <c r="D256" i="10"/>
  <c r="D255" i="10"/>
  <c r="D254" i="10"/>
  <c r="D180" i="10"/>
  <c r="D179" i="10"/>
  <c r="D178" i="10"/>
  <c r="D140" i="10"/>
  <c r="D139" i="10"/>
  <c r="D105" i="10"/>
  <c r="D71" i="10"/>
  <c r="D70" i="10"/>
  <c r="D69" i="10"/>
  <c r="D49" i="10"/>
  <c r="D48" i="10"/>
  <c r="D47" i="10"/>
  <c r="D25" i="10"/>
  <c r="D2000" i="10"/>
  <c r="D1983" i="10"/>
  <c r="D1944" i="10"/>
  <c r="D1918" i="10"/>
  <c r="D1917" i="10"/>
  <c r="D1890" i="10"/>
  <c r="D1871" i="10"/>
  <c r="D1865" i="10"/>
  <c r="D1847" i="10"/>
  <c r="D1722" i="10"/>
  <c r="D1721" i="10"/>
  <c r="D1720" i="10"/>
  <c r="D1682" i="10"/>
  <c r="D1621" i="10"/>
  <c r="D1606" i="10"/>
  <c r="D1591" i="10"/>
  <c r="D1545" i="10"/>
  <c r="D1544" i="10"/>
  <c r="D1483" i="10"/>
  <c r="D1388" i="10"/>
  <c r="D1387" i="10"/>
  <c r="D1386" i="10"/>
  <c r="D1372" i="10"/>
  <c r="D1371" i="10"/>
  <c r="D1355" i="10"/>
  <c r="D1242" i="10"/>
  <c r="D1201" i="10"/>
  <c r="D1133" i="10"/>
  <c r="D1096" i="10"/>
  <c r="D1071" i="10"/>
  <c r="D1005" i="10"/>
  <c r="D947" i="10"/>
  <c r="D856" i="10"/>
  <c r="D814" i="10"/>
  <c r="D791" i="10"/>
  <c r="D790" i="10"/>
  <c r="D763" i="10"/>
  <c r="D687" i="10"/>
  <c r="D442" i="10"/>
  <c r="D394" i="10"/>
  <c r="D305" i="10"/>
  <c r="D251" i="10"/>
  <c r="D250" i="10"/>
  <c r="D137" i="10"/>
  <c r="D102" i="10"/>
  <c r="D68" i="10"/>
  <c r="D67" i="10"/>
  <c r="D21" i="10"/>
  <c r="D2232" i="10"/>
  <c r="D2231" i="10"/>
  <c r="D2225" i="10"/>
  <c r="D2213" i="10"/>
  <c r="D2212" i="10"/>
  <c r="D2199" i="10"/>
  <c r="D2193" i="10"/>
  <c r="D2186" i="10"/>
  <c r="D2162" i="10"/>
  <c r="D2143" i="10"/>
  <c r="D2136" i="10"/>
  <c r="D2100" i="10"/>
  <c r="D2094" i="10"/>
  <c r="D2087" i="10"/>
  <c r="D2052" i="10"/>
  <c r="D2051" i="10"/>
  <c r="D2041" i="10"/>
  <c r="D2025" i="10"/>
  <c r="D2013" i="10"/>
  <c r="D2005" i="10"/>
  <c r="D2004" i="10"/>
  <c r="D1962" i="10"/>
  <c r="D1954" i="10"/>
  <c r="D1953" i="10"/>
  <c r="D1929" i="10"/>
  <c r="D1928" i="10"/>
  <c r="D1894" i="10"/>
  <c r="D1893" i="10"/>
  <c r="D1892" i="10"/>
  <c r="D1883" i="10"/>
  <c r="D1882" i="10"/>
  <c r="D1881" i="10"/>
  <c r="D1874" i="10"/>
  <c r="D1834" i="10"/>
  <c r="D1833" i="10"/>
  <c r="D1832" i="10"/>
  <c r="D1827" i="10"/>
  <c r="D1814" i="10"/>
  <c r="D1813" i="10"/>
  <c r="D1812" i="10"/>
  <c r="D1786" i="10"/>
  <c r="D1785" i="10"/>
  <c r="D1778" i="10"/>
  <c r="D1740" i="10"/>
  <c r="D1732" i="10"/>
  <c r="D1731" i="10"/>
  <c r="D1696" i="10"/>
  <c r="D1695" i="10"/>
  <c r="D1694" i="10"/>
  <c r="D1693" i="10"/>
  <c r="D1655" i="10"/>
  <c r="D1654" i="10"/>
  <c r="D1640" i="10"/>
  <c r="D1639" i="10"/>
  <c r="D1578" i="10"/>
  <c r="D1577" i="10"/>
  <c r="D1563" i="10"/>
  <c r="D1562" i="10"/>
  <c r="D1561" i="10"/>
  <c r="D1499" i="10"/>
  <c r="D1498" i="10"/>
  <c r="D1441" i="10"/>
  <c r="D1423" i="10"/>
  <c r="D1422" i="10"/>
  <c r="D1411" i="10"/>
  <c r="D1410" i="10"/>
  <c r="D1376" i="10"/>
  <c r="D1375" i="10"/>
  <c r="D1331" i="10"/>
  <c r="D1314" i="10"/>
  <c r="D1313" i="10"/>
  <c r="D1312" i="10"/>
  <c r="D1261" i="10"/>
  <c r="D1260" i="10"/>
  <c r="D1259" i="10"/>
  <c r="D1258" i="10"/>
  <c r="D1180" i="10"/>
  <c r="D1179" i="10"/>
  <c r="D1162" i="10"/>
  <c r="D1136" i="10"/>
  <c r="D1044" i="10"/>
  <c r="D1025" i="10"/>
  <c r="D1024" i="10"/>
  <c r="D969" i="10"/>
  <c r="D968" i="10"/>
  <c r="D967" i="10"/>
  <c r="D904" i="10"/>
  <c r="D903" i="10"/>
  <c r="D902" i="10"/>
  <c r="D867" i="10"/>
  <c r="D866" i="10"/>
  <c r="D865" i="10"/>
  <c r="D840" i="10"/>
  <c r="D804" i="10"/>
  <c r="D770" i="10"/>
  <c r="D731" i="10"/>
  <c r="D709" i="10"/>
  <c r="D708" i="10"/>
  <c r="D707" i="10"/>
  <c r="D706" i="10"/>
  <c r="D705" i="10"/>
  <c r="D643" i="10"/>
  <c r="D642" i="10"/>
  <c r="D641" i="10"/>
  <c r="D640" i="10"/>
  <c r="D639" i="10"/>
  <c r="D565" i="10"/>
  <c r="D564" i="10"/>
  <c r="D563" i="10"/>
  <c r="D562" i="10"/>
  <c r="D561" i="10"/>
  <c r="D521" i="10"/>
  <c r="D520" i="10"/>
  <c r="D376" i="10"/>
  <c r="D375" i="10"/>
  <c r="D345" i="10"/>
  <c r="D344" i="10"/>
  <c r="D321" i="10"/>
  <c r="D320" i="10"/>
  <c r="D319" i="10"/>
  <c r="D318" i="10"/>
  <c r="D268" i="10"/>
  <c r="D267" i="10"/>
  <c r="D266" i="10"/>
  <c r="D187" i="10"/>
  <c r="D186" i="10"/>
  <c r="D148" i="10"/>
  <c r="D147" i="10"/>
  <c r="D110" i="10"/>
  <c r="D1689" i="10"/>
  <c r="D1653" i="10"/>
  <c r="D1103" i="10"/>
  <c r="D1019" i="10"/>
  <c r="D1018" i="10"/>
  <c r="D1017" i="10"/>
  <c r="D962" i="10"/>
  <c r="D961" i="10"/>
  <c r="D901" i="10"/>
  <c r="D821" i="10"/>
  <c r="D699" i="10"/>
  <c r="D519" i="10"/>
  <c r="D495" i="10"/>
  <c r="D449" i="10"/>
  <c r="D404" i="10"/>
  <c r="D374" i="10"/>
  <c r="D373" i="10"/>
  <c r="D372" i="10"/>
  <c r="D312" i="10"/>
  <c r="D261" i="10"/>
  <c r="D185" i="10"/>
  <c r="D146" i="10"/>
  <c r="D145" i="10"/>
  <c r="D108" i="10"/>
  <c r="D75" i="10"/>
  <c r="D27" i="10"/>
  <c r="D2209" i="10"/>
  <c r="D2160" i="10"/>
  <c r="D2151" i="10"/>
  <c r="D2135" i="10"/>
  <c r="D1811" i="10"/>
  <c r="D1727" i="10"/>
  <c r="D1726" i="10"/>
  <c r="D1688" i="10"/>
  <c r="D1627" i="10"/>
  <c r="D1256" i="10"/>
  <c r="D1210" i="10"/>
  <c r="D1178" i="10"/>
  <c r="D1161" i="10"/>
  <c r="D1102" i="10"/>
  <c r="D1080" i="10"/>
  <c r="D1016" i="10"/>
  <c r="D960" i="10"/>
  <c r="D900" i="10"/>
  <c r="D864" i="10"/>
  <c r="D863" i="10"/>
  <c r="D862" i="10"/>
  <c r="D839" i="10"/>
  <c r="D838" i="10"/>
  <c r="D737" i="10"/>
  <c r="D698" i="10"/>
  <c r="D635" i="10"/>
  <c r="D634" i="10"/>
  <c r="D560" i="10"/>
  <c r="D518" i="10"/>
  <c r="D494" i="10"/>
  <c r="D493" i="10"/>
  <c r="D492" i="10"/>
  <c r="D144" i="10"/>
  <c r="D74" i="10"/>
  <c r="D1784" i="10"/>
  <c r="D1725" i="10"/>
  <c r="D1554" i="10"/>
  <c r="D1015" i="10"/>
  <c r="D861" i="10"/>
  <c r="D837" i="10"/>
  <c r="D820" i="10"/>
  <c r="D803" i="10"/>
  <c r="D491" i="10"/>
  <c r="D403" i="10"/>
  <c r="D143" i="10"/>
  <c r="D2228" i="10"/>
  <c r="D2222" i="10"/>
  <c r="D2221" i="10"/>
  <c r="D2208" i="10"/>
  <c r="D2192" i="10"/>
  <c r="D2191" i="10"/>
  <c r="D2142" i="10"/>
  <c r="D2140" i="10"/>
  <c r="D2139" i="10"/>
  <c r="D2107" i="10"/>
  <c r="D2099" i="10"/>
  <c r="D2093" i="10"/>
  <c r="D2092" i="10"/>
  <c r="D2091" i="10"/>
  <c r="D2086" i="10"/>
  <c r="D2056" i="10"/>
  <c r="D2040" i="10"/>
  <c r="D2023" i="10"/>
  <c r="D1949" i="10"/>
  <c r="D1922" i="10"/>
  <c r="D1891" i="10"/>
  <c r="D1783" i="10"/>
  <c r="D1652" i="10"/>
  <c r="D1626" i="10"/>
  <c r="D1625" i="10"/>
  <c r="D1574" i="10"/>
  <c r="D1553" i="10"/>
  <c r="D1552" i="10"/>
  <c r="D1551" i="10"/>
  <c r="D1550" i="10"/>
  <c r="D1492" i="10"/>
  <c r="D1491" i="10"/>
  <c r="D1490" i="10"/>
  <c r="D1439" i="10"/>
  <c r="D1438" i="10"/>
  <c r="D1421" i="10"/>
  <c r="D1420" i="10"/>
  <c r="D1393" i="10"/>
  <c r="D1358" i="10"/>
  <c r="D1328" i="10"/>
  <c r="D1306" i="10"/>
  <c r="D1305" i="10"/>
  <c r="D1255" i="10"/>
  <c r="D1254" i="10"/>
  <c r="D1253" i="10"/>
  <c r="D1252" i="10"/>
  <c r="D1251" i="10"/>
  <c r="D1209" i="10"/>
  <c r="D1208" i="10"/>
  <c r="D1177" i="10"/>
  <c r="D1176" i="10"/>
  <c r="D1175" i="10"/>
  <c r="D1160" i="10"/>
  <c r="D1101" i="10"/>
  <c r="D1079" i="10"/>
  <c r="D1078" i="10"/>
  <c r="D1040" i="10"/>
  <c r="D1014" i="10"/>
  <c r="D1013" i="10"/>
  <c r="D959" i="10"/>
  <c r="D958" i="10"/>
  <c r="D957" i="10"/>
  <c r="D956" i="10"/>
  <c r="D899" i="10"/>
  <c r="D898" i="10"/>
  <c r="D860" i="10"/>
  <c r="D859" i="10"/>
  <c r="D836" i="10"/>
  <c r="D835" i="10"/>
  <c r="D819" i="10"/>
  <c r="D818" i="10"/>
  <c r="D817" i="10"/>
  <c r="D802" i="10"/>
  <c r="D801" i="10"/>
  <c r="D800" i="10"/>
  <c r="D799" i="10"/>
  <c r="D798" i="10"/>
  <c r="D797" i="10"/>
  <c r="D796" i="10"/>
  <c r="D769" i="10"/>
  <c r="D768" i="10"/>
  <c r="D727" i="10"/>
  <c r="D697" i="10"/>
  <c r="D696" i="10"/>
  <c r="D695" i="10"/>
  <c r="D633" i="10"/>
  <c r="D632" i="10"/>
  <c r="D631" i="10"/>
  <c r="D630" i="10"/>
  <c r="D559" i="10"/>
  <c r="D558" i="10"/>
  <c r="D557" i="10"/>
  <c r="D556" i="10"/>
  <c r="D517" i="10"/>
  <c r="D516" i="10"/>
  <c r="D515" i="10"/>
  <c r="D490" i="10"/>
  <c r="D448" i="10"/>
  <c r="D447" i="10"/>
  <c r="D402" i="10"/>
  <c r="D401" i="10"/>
  <c r="D400" i="10"/>
  <c r="D399" i="10"/>
  <c r="D371" i="10"/>
  <c r="D370" i="10"/>
  <c r="D311" i="10"/>
  <c r="D310" i="10"/>
  <c r="D260" i="10"/>
  <c r="D184" i="10"/>
  <c r="D183" i="10"/>
  <c r="D182" i="10"/>
  <c r="D181" i="10"/>
  <c r="D142" i="10"/>
  <c r="D141" i="10"/>
  <c r="D107" i="10"/>
  <c r="D106" i="10"/>
  <c r="D73" i="10"/>
  <c r="D72" i="10"/>
  <c r="D26" i="10"/>
  <c r="D2219" i="10"/>
  <c r="D2205" i="10"/>
  <c r="D2197" i="10"/>
  <c r="D2190" i="10"/>
  <c r="D2185" i="10"/>
  <c r="D2159" i="10"/>
  <c r="D2120" i="10"/>
  <c r="D2119" i="10"/>
  <c r="D2105" i="10"/>
  <c r="D2085" i="10"/>
  <c r="D2063" i="10"/>
  <c r="D2048" i="10"/>
  <c r="D2037" i="10"/>
  <c r="D2021" i="10"/>
  <c r="D2012" i="10"/>
  <c r="D1995" i="10"/>
  <c r="D1984" i="10"/>
  <c r="D1945" i="10"/>
  <c r="D1919" i="10"/>
  <c r="D1873" i="10"/>
  <c r="D1872" i="10"/>
  <c r="D1858" i="10"/>
  <c r="D1848" i="10"/>
  <c r="D1810" i="10"/>
  <c r="D1809" i="10"/>
  <c r="D1782" i="10"/>
  <c r="D1762" i="10"/>
  <c r="D1749" i="10"/>
  <c r="D1723" i="10"/>
  <c r="D1683" i="10"/>
  <c r="D1638" i="10"/>
  <c r="D1637" i="10"/>
  <c r="D1623" i="10"/>
  <c r="D1622" i="10"/>
  <c r="D1608" i="10"/>
  <c r="D1607" i="10"/>
  <c r="D1592" i="10"/>
  <c r="D1546" i="10"/>
  <c r="D1485" i="10"/>
  <c r="D1484" i="10"/>
  <c r="D1436" i="10"/>
  <c r="D1390" i="10"/>
  <c r="D1389" i="10"/>
  <c r="D1373" i="10"/>
  <c r="D1356" i="10"/>
  <c r="D1300" i="10"/>
  <c r="D1299" i="10"/>
  <c r="D1244" i="10"/>
  <c r="D1243" i="10"/>
  <c r="D1203" i="10"/>
  <c r="D1202" i="10"/>
  <c r="D1173" i="10"/>
  <c r="D1172" i="10"/>
  <c r="D1171" i="10"/>
  <c r="D1159" i="10"/>
  <c r="D1158" i="10"/>
  <c r="D1135" i="10"/>
  <c r="D1134" i="10"/>
  <c r="D1098" i="10"/>
  <c r="D1097" i="10"/>
  <c r="D1073" i="10"/>
  <c r="D1072" i="10"/>
  <c r="D1008" i="10"/>
  <c r="D1007" i="10"/>
  <c r="D1006" i="10"/>
  <c r="D950" i="10"/>
  <c r="D949" i="10"/>
  <c r="D948" i="10"/>
  <c r="D895" i="10"/>
  <c r="D858" i="10"/>
  <c r="D857" i="10"/>
  <c r="D834" i="10"/>
  <c r="D833" i="10"/>
  <c r="D815" i="10"/>
  <c r="D794" i="10"/>
  <c r="D793" i="10"/>
  <c r="D792" i="10"/>
  <c r="D766" i="10"/>
  <c r="D765" i="10"/>
  <c r="D764" i="10"/>
  <c r="D736" i="10"/>
  <c r="D689" i="10"/>
  <c r="D688" i="10"/>
  <c r="D624" i="10"/>
  <c r="D623" i="10"/>
  <c r="D622" i="10"/>
  <c r="D621" i="10"/>
  <c r="D554" i="10"/>
  <c r="D553" i="10"/>
  <c r="D511" i="10"/>
  <c r="D510" i="10"/>
  <c r="D488" i="10"/>
  <c r="D487" i="10"/>
  <c r="D486" i="10"/>
  <c r="D485" i="10"/>
  <c r="D445" i="10"/>
  <c r="D444" i="10"/>
  <c r="D443" i="10"/>
  <c r="D396" i="10"/>
  <c r="D395" i="10"/>
  <c r="D368" i="10"/>
  <c r="D348" i="10"/>
  <c r="D307" i="10"/>
  <c r="D306" i="10"/>
  <c r="D253" i="10"/>
  <c r="D252" i="10"/>
  <c r="D177" i="10"/>
  <c r="D138" i="10"/>
  <c r="D104" i="10"/>
  <c r="D103" i="10"/>
  <c r="D46" i="10"/>
  <c r="D45" i="10"/>
  <c r="D24" i="10"/>
  <c r="D23" i="10"/>
  <c r="D22" i="10"/>
  <c r="D2149" i="10"/>
  <c r="D2036" i="10"/>
  <c r="D1999" i="10"/>
  <c r="D1994" i="10"/>
  <c r="D1982" i="10"/>
  <c r="D1981" i="10"/>
  <c r="D1943" i="10"/>
  <c r="D1916" i="10"/>
  <c r="D1915" i="10"/>
  <c r="D1864" i="10"/>
  <c r="D1846" i="10"/>
  <c r="D1808" i="10"/>
  <c r="D1777" i="10"/>
  <c r="D1773" i="10"/>
  <c r="D1761" i="10"/>
  <c r="D1719" i="10"/>
  <c r="D1650" i="10"/>
  <c r="D1636" i="10"/>
  <c r="D1635" i="10"/>
  <c r="D1605" i="10"/>
  <c r="D1599" i="10"/>
  <c r="D1590" i="10"/>
  <c r="D1543" i="10"/>
  <c r="D1542" i="10"/>
  <c r="D1482" i="10"/>
  <c r="D1481" i="10"/>
  <c r="D1435" i="10"/>
  <c r="D1418" i="10"/>
  <c r="D1408" i="10"/>
  <c r="D1407" i="10"/>
  <c r="D1385" i="10"/>
  <c r="D1384" i="10"/>
  <c r="D1383" i="10"/>
  <c r="D1370" i="10"/>
  <c r="D1369" i="10"/>
  <c r="D1354" i="10"/>
  <c r="D1353" i="10"/>
  <c r="D1352" i="10"/>
  <c r="D1298" i="10"/>
  <c r="D1241" i="10"/>
  <c r="D1240" i="10"/>
  <c r="D1200" i="10"/>
  <c r="D1170" i="10"/>
  <c r="D1157" i="10"/>
  <c r="D1132" i="10"/>
  <c r="D1095" i="10"/>
  <c r="D1094" i="10"/>
  <c r="D1070" i="10"/>
  <c r="D1069" i="10"/>
  <c r="D1068" i="10"/>
  <c r="D1004" i="10"/>
  <c r="D946" i="10"/>
  <c r="D945" i="10"/>
  <c r="D944" i="10"/>
  <c r="D855" i="10"/>
  <c r="D832" i="10"/>
  <c r="D831" i="10"/>
  <c r="D813" i="10"/>
  <c r="D789" i="10"/>
  <c r="D788" i="10"/>
  <c r="D787" i="10"/>
  <c r="D762" i="10"/>
  <c r="D686" i="10"/>
  <c r="D685" i="10"/>
  <c r="D620" i="10"/>
  <c r="D619" i="10"/>
  <c r="D552" i="10"/>
  <c r="D484" i="10"/>
  <c r="D441" i="10"/>
  <c r="D440" i="10"/>
  <c r="D393" i="10"/>
  <c r="D392" i="10"/>
  <c r="D367" i="10"/>
  <c r="D304" i="10"/>
  <c r="D249" i="10"/>
  <c r="D248" i="10"/>
  <c r="D247" i="10"/>
  <c r="D176" i="10"/>
  <c r="D175" i="10"/>
  <c r="D136" i="10"/>
  <c r="D135" i="10"/>
  <c r="D134" i="10"/>
  <c r="D101" i="10"/>
  <c r="D66" i="10"/>
  <c r="D65" i="10"/>
  <c r="D44" i="10"/>
  <c r="D20" i="10"/>
  <c r="D2218" i="10"/>
  <c r="D2217" i="10"/>
  <c r="D2216" i="10"/>
  <c r="D2204" i="10"/>
  <c r="D2203" i="10"/>
  <c r="D2202" i="10"/>
  <c r="D2196" i="10"/>
  <c r="D2195" i="10"/>
  <c r="D2189" i="10"/>
  <c r="D2184" i="10"/>
  <c r="D2181" i="10"/>
  <c r="D2180" i="10"/>
  <c r="D2179" i="10"/>
  <c r="D2173" i="10"/>
  <c r="D2172" i="10"/>
  <c r="D2171" i="10"/>
  <c r="D2169" i="10"/>
  <c r="D2168" i="10"/>
  <c r="D2167" i="10"/>
  <c r="D2166" i="10"/>
  <c r="D2165" i="10"/>
  <c r="D2163" i="10"/>
  <c r="D2158" i="10"/>
  <c r="D2157" i="10"/>
  <c r="D2156" i="10"/>
  <c r="D2148" i="10"/>
  <c r="D2147" i="10"/>
  <c r="D2133" i="10"/>
  <c r="D2132" i="10"/>
  <c r="D2130" i="10"/>
  <c r="D2129" i="10"/>
  <c r="D2125" i="10"/>
  <c r="D2124" i="10"/>
  <c r="D2118" i="10"/>
  <c r="D2117" i="10"/>
  <c r="D2116" i="10"/>
  <c r="D2114" i="10"/>
  <c r="D2110" i="10"/>
  <c r="D2090" i="10"/>
  <c r="D2084" i="10"/>
  <c r="D2080" i="10"/>
  <c r="D2079" i="10"/>
  <c r="D2078" i="10"/>
  <c r="D2074" i="10"/>
  <c r="D2073" i="10"/>
  <c r="D2072" i="10"/>
  <c r="D2068" i="10"/>
  <c r="D2067" i="10"/>
  <c r="D2066" i="10"/>
  <c r="D2062" i="10"/>
  <c r="D2061" i="10"/>
  <c r="D2055" i="10"/>
  <c r="D2047" i="10"/>
  <c r="D2046" i="10"/>
  <c r="D2035" i="10"/>
  <c r="D2034" i="10"/>
  <c r="D2020" i="10"/>
  <c r="D2019" i="10"/>
  <c r="D2011" i="10"/>
  <c r="D2010" i="10"/>
  <c r="D2009" i="10"/>
  <c r="D2003" i="10"/>
  <c r="D2002" i="10"/>
  <c r="D1998" i="10"/>
  <c r="D1997" i="10"/>
  <c r="D1993" i="10"/>
  <c r="D1992" i="10"/>
  <c r="D1991" i="10"/>
  <c r="D1990" i="10"/>
  <c r="D1989" i="10"/>
  <c r="D1988" i="10"/>
  <c r="D1980" i="10"/>
  <c r="D1979" i="10"/>
  <c r="D1978" i="10"/>
  <c r="D1977" i="10"/>
  <c r="D1976" i="10"/>
  <c r="D1975" i="10"/>
  <c r="D1974" i="10"/>
  <c r="D1973" i="10"/>
  <c r="D1960" i="10"/>
  <c r="D1959" i="10"/>
  <c r="D1958" i="10"/>
  <c r="D1942" i="10"/>
  <c r="D1941" i="10"/>
  <c r="D1940" i="10"/>
  <c r="D1914" i="10"/>
  <c r="D1913" i="10"/>
  <c r="D1912" i="10"/>
  <c r="D1911" i="10"/>
  <c r="D1910" i="10"/>
  <c r="D1889" i="10"/>
  <c r="D1888" i="10"/>
  <c r="D1887" i="10"/>
  <c r="D1879" i="10"/>
  <c r="D1878" i="10"/>
  <c r="D1870" i="10"/>
  <c r="D1869" i="10"/>
  <c r="D1863" i="10"/>
  <c r="D1862" i="10"/>
  <c r="D1857" i="10"/>
  <c r="D1856" i="10"/>
  <c r="D1855" i="10"/>
  <c r="D1854" i="10"/>
  <c r="D1845" i="10"/>
  <c r="D1844" i="10"/>
  <c r="D1843" i="10"/>
  <c r="D1842" i="10"/>
  <c r="D1841" i="10"/>
  <c r="D1840" i="10"/>
  <c r="D1839" i="10"/>
  <c r="D1831" i="10"/>
  <c r="D1830" i="10"/>
  <c r="D1824" i="10"/>
  <c r="D1823" i="10"/>
  <c r="D1807" i="10"/>
  <c r="D1806" i="10"/>
  <c r="D1805" i="10"/>
  <c r="D1804" i="10"/>
  <c r="D1803" i="10"/>
  <c r="D1802" i="10"/>
  <c r="D1801" i="10"/>
  <c r="D1800" i="10"/>
  <c r="D1799" i="10"/>
  <c r="D1781" i="10"/>
  <c r="D1780" i="10"/>
  <c r="D1776" i="10"/>
  <c r="D1775" i="10"/>
  <c r="D1772" i="10"/>
  <c r="D1771" i="10"/>
  <c r="D1769" i="10"/>
  <c r="D1768" i="10"/>
  <c r="D1760" i="10"/>
  <c r="D1759" i="10"/>
  <c r="D1758" i="10"/>
  <c r="D1757" i="10"/>
  <c r="D1756" i="10"/>
  <c r="D1755" i="10"/>
  <c r="D1754" i="10"/>
  <c r="D1748" i="10"/>
  <c r="D1747" i="10"/>
  <c r="D1746" i="10"/>
  <c r="D1743" i="10"/>
  <c r="D1737" i="10"/>
  <c r="D1736" i="10"/>
  <c r="D1718" i="10"/>
  <c r="D1717" i="10"/>
  <c r="D1716" i="10"/>
  <c r="D1715" i="10"/>
  <c r="D1681" i="10"/>
  <c r="D1680" i="10"/>
  <c r="D1679" i="10"/>
  <c r="D1678" i="10"/>
  <c r="D1677" i="10"/>
  <c r="D1676" i="10"/>
  <c r="D1649" i="10"/>
  <c r="D1648" i="10"/>
  <c r="D1647" i="10"/>
  <c r="D1634" i="10"/>
  <c r="D1633" i="10"/>
  <c r="D1620" i="10"/>
  <c r="D1619" i="10"/>
  <c r="D1618" i="10"/>
  <c r="D1617" i="10"/>
  <c r="D1616" i="10"/>
  <c r="D1604" i="10"/>
  <c r="D1603" i="10"/>
  <c r="D1602" i="10"/>
  <c r="D1598" i="10"/>
  <c r="D1597" i="10"/>
  <c r="D1589" i="10"/>
  <c r="D1588" i="10"/>
  <c r="D1587" i="10"/>
  <c r="D1586" i="10"/>
  <c r="D1585" i="10"/>
  <c r="D1573" i="10"/>
  <c r="D1572" i="10"/>
  <c r="D1541" i="10"/>
  <c r="D1540" i="10"/>
  <c r="D1539" i="10"/>
  <c r="D1538" i="10"/>
  <c r="D1537" i="10"/>
  <c r="D1536" i="10"/>
  <c r="D1480" i="10"/>
  <c r="D1479" i="10"/>
  <c r="D1478" i="10"/>
  <c r="D1477" i="10"/>
  <c r="D1476" i="10"/>
  <c r="D1475" i="10"/>
  <c r="D1434" i="10"/>
  <c r="D1433" i="10"/>
  <c r="D1417" i="10"/>
  <c r="D1416" i="10"/>
  <c r="D1406" i="10"/>
  <c r="D1405" i="10"/>
  <c r="D1404" i="10"/>
  <c r="D1382" i="10"/>
  <c r="D1381" i="10"/>
  <c r="D1380" i="10"/>
  <c r="D1379" i="10"/>
  <c r="D1368" i="10"/>
  <c r="D1367" i="10"/>
  <c r="D1366" i="10"/>
  <c r="D1365" i="10"/>
  <c r="D1364" i="10"/>
  <c r="D1363" i="10"/>
  <c r="D1351" i="10"/>
  <c r="D1350" i="10"/>
  <c r="D1349" i="10"/>
  <c r="D1348" i="10"/>
  <c r="D1347" i="10"/>
  <c r="D1346" i="10"/>
  <c r="D1345" i="10"/>
  <c r="D1344" i="10"/>
  <c r="D1343" i="10"/>
  <c r="D1342" i="10"/>
  <c r="D1326" i="10"/>
  <c r="D1325" i="10"/>
  <c r="D1297" i="10"/>
  <c r="D1296" i="10"/>
  <c r="D1295" i="10"/>
  <c r="D1294" i="10"/>
  <c r="D1293" i="10"/>
  <c r="D1292" i="10"/>
  <c r="D1291" i="10"/>
  <c r="D1239" i="10"/>
  <c r="D1238" i="10"/>
  <c r="D1237" i="10"/>
  <c r="D1236" i="10"/>
  <c r="D1199" i="10"/>
  <c r="D1198" i="10"/>
  <c r="D1197" i="10"/>
  <c r="D1196" i="10"/>
  <c r="D1195" i="10"/>
  <c r="D1169" i="10"/>
  <c r="D1168" i="10"/>
  <c r="D1167" i="10"/>
  <c r="D1156" i="10"/>
  <c r="D1155" i="10"/>
  <c r="D1154" i="10"/>
  <c r="D1131" i="10"/>
  <c r="D1130" i="10"/>
  <c r="D1129" i="10"/>
  <c r="D1128" i="10"/>
  <c r="D1127" i="10"/>
  <c r="D1126" i="10"/>
  <c r="D1093" i="10"/>
  <c r="D1092" i="10"/>
  <c r="D1091" i="10"/>
  <c r="D1090" i="10"/>
  <c r="D1089" i="10"/>
  <c r="D1088" i="10"/>
  <c r="D1087" i="10"/>
  <c r="D1067" i="10"/>
  <c r="D1066" i="10"/>
  <c r="D1065" i="10"/>
  <c r="D1064" i="10"/>
  <c r="D1063" i="10"/>
  <c r="D1062" i="10"/>
  <c r="D1061" i="10"/>
  <c r="D1052" i="10"/>
  <c r="D1038" i="10"/>
  <c r="D1037" i="10"/>
  <c r="D1036" i="10"/>
  <c r="D1003" i="10"/>
  <c r="D1002" i="10"/>
  <c r="D1001" i="10"/>
  <c r="D1000" i="10"/>
  <c r="D999" i="10"/>
  <c r="D943" i="10"/>
  <c r="D942" i="10"/>
  <c r="D941" i="10"/>
  <c r="D940" i="10"/>
  <c r="D939" i="10"/>
  <c r="D938" i="10"/>
  <c r="D937" i="10"/>
  <c r="D894" i="10"/>
  <c r="D893" i="10"/>
  <c r="D892" i="10"/>
  <c r="D891" i="10"/>
  <c r="D890" i="10"/>
  <c r="D854" i="10"/>
  <c r="D853" i="10"/>
  <c r="D852" i="10"/>
  <c r="D830" i="10"/>
  <c r="D829" i="10"/>
  <c r="D828" i="10"/>
  <c r="D812" i="10"/>
  <c r="D811" i="10"/>
  <c r="D810" i="10"/>
  <c r="D809" i="10"/>
  <c r="D808" i="10"/>
  <c r="D786" i="10"/>
  <c r="D785" i="10"/>
  <c r="D784" i="10"/>
  <c r="D783" i="10"/>
  <c r="D782" i="10"/>
  <c r="D781" i="10"/>
  <c r="D780" i="10"/>
  <c r="D761" i="10"/>
  <c r="D760" i="10"/>
  <c r="D759" i="10"/>
  <c r="D758" i="10"/>
  <c r="D757" i="10"/>
  <c r="D756" i="10"/>
  <c r="D755" i="10"/>
  <c r="D724" i="10"/>
  <c r="D723" i="10"/>
  <c r="D722" i="10"/>
  <c r="D721" i="10"/>
  <c r="D684" i="10"/>
  <c r="D683" i="10"/>
  <c r="D682" i="10"/>
  <c r="D681" i="10"/>
  <c r="D680" i="10"/>
  <c r="D618" i="10"/>
  <c r="D617" i="10"/>
  <c r="D616" i="10"/>
  <c r="D615" i="10"/>
  <c r="D614" i="10"/>
  <c r="D613" i="10"/>
  <c r="D612" i="10"/>
  <c r="D611" i="10"/>
  <c r="D551" i="10"/>
  <c r="D550" i="10"/>
  <c r="D549" i="10"/>
  <c r="D548" i="10"/>
  <c r="D509" i="10"/>
  <c r="D508" i="10"/>
  <c r="D507" i="10"/>
  <c r="D483" i="10"/>
  <c r="D482" i="10"/>
  <c r="D481" i="10"/>
  <c r="D439" i="10"/>
  <c r="D438" i="10"/>
  <c r="D437" i="10"/>
  <c r="D436" i="10"/>
  <c r="D435" i="10"/>
  <c r="D391" i="10"/>
  <c r="D390" i="10"/>
  <c r="D389" i="10"/>
  <c r="D388" i="10"/>
  <c r="D387" i="10"/>
  <c r="D386" i="10"/>
  <c r="D385" i="10"/>
  <c r="D366" i="10"/>
  <c r="D365" i="10"/>
  <c r="D364" i="10"/>
  <c r="D363" i="10"/>
  <c r="D362" i="10"/>
  <c r="D361" i="10"/>
  <c r="D360" i="10"/>
  <c r="D359" i="10"/>
  <c r="D340" i="10"/>
  <c r="D339" i="10"/>
  <c r="D338" i="10"/>
  <c r="D337" i="10"/>
  <c r="D336" i="10"/>
  <c r="D303" i="10"/>
  <c r="D302" i="10"/>
  <c r="D301" i="10"/>
  <c r="D300" i="10"/>
  <c r="D246" i="10"/>
  <c r="D245" i="10"/>
  <c r="D244" i="10"/>
  <c r="D243" i="10"/>
  <c r="D242" i="10"/>
  <c r="D241" i="10"/>
  <c r="D174" i="10"/>
  <c r="D173" i="10"/>
  <c r="D172" i="10"/>
  <c r="D133" i="10"/>
  <c r="D132" i="10"/>
  <c r="D131" i="10"/>
  <c r="D100" i="10"/>
  <c r="D99" i="10"/>
  <c r="D98" i="10"/>
  <c r="D64" i="10"/>
  <c r="D63" i="10"/>
  <c r="D62" i="10"/>
  <c r="D61" i="10"/>
  <c r="D43" i="10"/>
  <c r="D42" i="10"/>
  <c r="D41" i="10"/>
  <c r="D40" i="10"/>
  <c r="D39" i="10"/>
  <c r="D19" i="10"/>
  <c r="D18" i="10"/>
  <c r="D17" i="10"/>
  <c r="D16" i="10"/>
  <c r="D15" i="10"/>
  <c r="D14" i="10"/>
  <c r="D13" i="10"/>
  <c r="D1820" i="10"/>
  <c r="D1710" i="10"/>
  <c r="D1530" i="10"/>
  <c r="D1466" i="10"/>
  <c r="D1465" i="10"/>
  <c r="D1191" i="10"/>
  <c r="D1148" i="10"/>
  <c r="D995" i="10"/>
  <c r="D994" i="10"/>
  <c r="D929" i="10"/>
  <c r="D669" i="10"/>
  <c r="D598" i="10"/>
  <c r="D291" i="10"/>
  <c r="D290" i="10"/>
  <c r="D230" i="10"/>
  <c r="D229" i="10"/>
  <c r="D2200" i="10"/>
  <c r="D2026" i="10"/>
  <c r="D1986" i="10"/>
  <c r="D1583" i="10"/>
  <c r="D1507" i="10"/>
  <c r="D1506" i="10"/>
  <c r="D1339" i="10"/>
  <c r="D971" i="10"/>
  <c r="D774" i="10"/>
  <c r="D773" i="10"/>
  <c r="D746" i="10"/>
  <c r="D190" i="10"/>
  <c r="D112" i="10"/>
  <c r="D5" i="10"/>
  <c r="D2138" i="10"/>
  <c r="D2128" i="10"/>
  <c r="D2127" i="10"/>
  <c r="D2104" i="10"/>
  <c r="D2103" i="10"/>
  <c r="D2059" i="10"/>
  <c r="D2045" i="10"/>
  <c r="D2008" i="10"/>
  <c r="D2007" i="10"/>
  <c r="D1969" i="10"/>
  <c r="D1968" i="10"/>
  <c r="D1939" i="10"/>
  <c r="D1909" i="10"/>
  <c r="D1908" i="10"/>
  <c r="D1822" i="10"/>
  <c r="D1821" i="10"/>
  <c r="D1753" i="10"/>
  <c r="D1714" i="10"/>
  <c r="D1713" i="10"/>
  <c r="D1712" i="10"/>
  <c r="D1646" i="10"/>
  <c r="D1571" i="10"/>
  <c r="D1535" i="10"/>
  <c r="D1534" i="10"/>
  <c r="D1533" i="10"/>
  <c r="D1474" i="10"/>
  <c r="D1473" i="10"/>
  <c r="D1432" i="10"/>
  <c r="D1415" i="10"/>
  <c r="D1403" i="10"/>
  <c r="D1402" i="10"/>
  <c r="D1401" i="10"/>
  <c r="D1290" i="10"/>
  <c r="D1235" i="10"/>
  <c r="D1234" i="10"/>
  <c r="D1233" i="10"/>
  <c r="D1232" i="10"/>
  <c r="D1194" i="10"/>
  <c r="D1193" i="10"/>
  <c r="D1153" i="10"/>
  <c r="D1152" i="10"/>
  <c r="D1151" i="10"/>
  <c r="D1150" i="10"/>
  <c r="D1123" i="10"/>
  <c r="D1122" i="10"/>
  <c r="D1121" i="10"/>
  <c r="D1120" i="10"/>
  <c r="D1119" i="10"/>
  <c r="D1118" i="10"/>
  <c r="D1059" i="10"/>
  <c r="D1058" i="10"/>
  <c r="D1051" i="10"/>
  <c r="D1035" i="10"/>
  <c r="D998" i="10"/>
  <c r="D997" i="10"/>
  <c r="D936" i="10"/>
  <c r="D935" i="10"/>
  <c r="D934" i="10"/>
  <c r="D933" i="10"/>
  <c r="D932" i="10"/>
  <c r="D888" i="10"/>
  <c r="D887" i="10"/>
  <c r="D886" i="10"/>
  <c r="D851" i="10"/>
  <c r="D827" i="10"/>
  <c r="D779" i="10"/>
  <c r="D754" i="10"/>
  <c r="D753" i="10"/>
  <c r="D752" i="10"/>
  <c r="D751" i="10"/>
  <c r="D679" i="10"/>
  <c r="D678" i="10"/>
  <c r="D677" i="10"/>
  <c r="D676" i="10"/>
  <c r="D675" i="10"/>
  <c r="D610" i="10"/>
  <c r="D609" i="10"/>
  <c r="D608" i="10"/>
  <c r="D607" i="10"/>
  <c r="D606" i="10"/>
  <c r="D605" i="10"/>
  <c r="D546" i="10"/>
  <c r="D545" i="10"/>
  <c r="D479" i="10"/>
  <c r="D478" i="10"/>
  <c r="D477" i="10"/>
  <c r="D476" i="10"/>
  <c r="D428" i="10"/>
  <c r="D427" i="10"/>
  <c r="D426" i="10"/>
  <c r="D425" i="10"/>
  <c r="D424" i="10"/>
  <c r="D358" i="10"/>
  <c r="D299" i="10"/>
  <c r="D298" i="10"/>
  <c r="D297" i="10"/>
  <c r="D296" i="10"/>
  <c r="D240" i="10"/>
  <c r="D239" i="10"/>
  <c r="D238" i="10"/>
  <c r="D237" i="10"/>
  <c r="D171" i="10"/>
  <c r="D170" i="10"/>
  <c r="D169" i="10"/>
  <c r="D130" i="10"/>
  <c r="D129" i="10"/>
  <c r="D128" i="10"/>
  <c r="D97" i="10"/>
  <c r="D96" i="10"/>
  <c r="D60" i="10"/>
  <c r="D59" i="10"/>
  <c r="D645" i="10"/>
  <c r="D2058" i="10"/>
  <c r="D2001" i="10"/>
  <c r="D1996" i="10"/>
  <c r="D1797" i="10"/>
  <c r="D1796" i="10"/>
  <c r="D1414" i="10"/>
  <c r="D127" i="10"/>
  <c r="D95" i="10"/>
  <c r="D58" i="10"/>
  <c r="D38" i="10"/>
  <c r="D12" i="10"/>
  <c r="D2031" i="10"/>
  <c r="D1838" i="10"/>
  <c r="D1056" i="10"/>
  <c r="D807" i="10"/>
  <c r="D1471" i="10"/>
  <c r="D1287" i="10"/>
  <c r="D475" i="10"/>
  <c r="D423" i="10"/>
  <c r="D334" i="10"/>
  <c r="D2144" i="10"/>
  <c r="D2101" i="10"/>
  <c r="D2095" i="10"/>
  <c r="D2014" i="10"/>
  <c r="D1932" i="10"/>
  <c r="D1770" i="10"/>
  <c r="D1699" i="10"/>
  <c r="D1661" i="10"/>
  <c r="D1660" i="10"/>
  <c r="D1659" i="10"/>
  <c r="D1658" i="10"/>
  <c r="D1642" i="10"/>
  <c r="D1641" i="10"/>
  <c r="D1629" i="10"/>
  <c r="D1628" i="10"/>
  <c r="D1566" i="10"/>
  <c r="D1511" i="10"/>
  <c r="D1510" i="10"/>
  <c r="D1509" i="10"/>
  <c r="D1508" i="10"/>
  <c r="D1449" i="10"/>
  <c r="D1448" i="10"/>
  <c r="D1447" i="10"/>
  <c r="D1446" i="10"/>
  <c r="D1445" i="10"/>
  <c r="D1444" i="10"/>
  <c r="D1426" i="10"/>
  <c r="D1425" i="10"/>
  <c r="D1424" i="10"/>
  <c r="D1413" i="10"/>
  <c r="D1397" i="10"/>
  <c r="D1321" i="10"/>
  <c r="D1320" i="10"/>
  <c r="D1319" i="10"/>
  <c r="D1271" i="10"/>
  <c r="D1270" i="10"/>
  <c r="D1269" i="10"/>
  <c r="D1268" i="10"/>
  <c r="D1219" i="10"/>
  <c r="D1218" i="10"/>
  <c r="D1217" i="10"/>
  <c r="D1216" i="10"/>
  <c r="D1215" i="10"/>
  <c r="D1185" i="10"/>
  <c r="D1184" i="10"/>
  <c r="D1183" i="10"/>
  <c r="D1182" i="10"/>
  <c r="D1181" i="10"/>
  <c r="D1164" i="10"/>
  <c r="D1141" i="10"/>
  <c r="D1140" i="10"/>
  <c r="D1029" i="10"/>
  <c r="D1028" i="10"/>
  <c r="D1027" i="10"/>
  <c r="D977" i="10"/>
  <c r="D976" i="10"/>
  <c r="D975" i="10"/>
  <c r="D974" i="10"/>
  <c r="D973" i="10"/>
  <c r="D972" i="10"/>
  <c r="D913" i="10"/>
  <c r="D912" i="10"/>
  <c r="D911" i="10"/>
  <c r="D910" i="10"/>
  <c r="D909" i="10"/>
  <c r="D875" i="10"/>
  <c r="D874" i="10"/>
  <c r="D873" i="10"/>
  <c r="D872" i="10"/>
  <c r="D871" i="10"/>
  <c r="D870" i="10"/>
  <c r="D869" i="10"/>
  <c r="D845" i="10"/>
  <c r="D844" i="10"/>
  <c r="D843" i="10"/>
  <c r="D842" i="10"/>
  <c r="D823" i="10"/>
  <c r="D747" i="10"/>
  <c r="D714" i="10"/>
  <c r="D713" i="10"/>
  <c r="D712" i="10"/>
  <c r="D711" i="10"/>
  <c r="D652" i="10"/>
  <c r="D651" i="10"/>
  <c r="D650" i="10"/>
  <c r="D649" i="10"/>
  <c r="D648" i="10"/>
  <c r="D647" i="10"/>
  <c r="D646" i="10"/>
  <c r="D577" i="10"/>
  <c r="D576" i="10"/>
  <c r="D575" i="10"/>
  <c r="D574" i="10"/>
  <c r="D573" i="10"/>
  <c r="D572" i="10"/>
  <c r="D571" i="10"/>
  <c r="D570" i="10"/>
  <c r="D529" i="10"/>
  <c r="D528" i="10"/>
  <c r="D527" i="10"/>
  <c r="D526" i="10"/>
  <c r="D525" i="10"/>
  <c r="D457" i="10"/>
  <c r="D456" i="10"/>
  <c r="D380" i="10"/>
  <c r="D352" i="10"/>
  <c r="D326" i="10"/>
  <c r="D325" i="10"/>
  <c r="D324" i="10"/>
  <c r="D274" i="10"/>
  <c r="D273" i="10"/>
  <c r="D272" i="10"/>
  <c r="D271" i="10"/>
  <c r="D200" i="10"/>
  <c r="D199" i="10"/>
  <c r="D198" i="10"/>
  <c r="D197" i="10"/>
  <c r="D196" i="10"/>
  <c r="D195" i="10"/>
  <c r="D194" i="10"/>
  <c r="D193" i="10"/>
  <c r="D154" i="10"/>
  <c r="D153" i="10"/>
  <c r="D152" i="10"/>
  <c r="D151" i="10"/>
  <c r="D150" i="10"/>
  <c r="D117" i="10"/>
  <c r="D116" i="10"/>
  <c r="D115" i="10"/>
  <c r="D114" i="10"/>
  <c r="D113" i="10"/>
  <c r="D85" i="10"/>
  <c r="D84" i="10"/>
  <c r="D83" i="10"/>
  <c r="D82" i="10"/>
  <c r="D81" i="10"/>
  <c r="D80" i="10"/>
  <c r="D79" i="10"/>
  <c r="D6" i="10"/>
  <c r="D1828" i="10"/>
  <c r="D1565" i="10"/>
  <c r="D1317" i="10"/>
  <c r="D1264" i="10"/>
  <c r="D1211" i="10"/>
  <c r="D269" i="10"/>
  <c r="D77" i="10"/>
  <c r="D2178" i="10"/>
  <c r="D2177" i="10"/>
  <c r="D2113" i="10"/>
  <c r="D2032" i="10"/>
  <c r="D1673" i="10"/>
  <c r="D1632" i="10"/>
  <c r="D1468" i="10"/>
  <c r="D1467" i="10"/>
  <c r="D1286" i="10"/>
  <c r="D1285" i="10"/>
  <c r="D1116" i="10"/>
  <c r="D1115" i="10"/>
  <c r="D1114" i="10"/>
  <c r="D1113" i="10"/>
  <c r="D600" i="10"/>
  <c r="D599" i="10"/>
  <c r="D473" i="10"/>
  <c r="D472" i="10"/>
  <c r="D471" i="10"/>
  <c r="D470" i="10"/>
  <c r="D469" i="10"/>
  <c r="D468" i="10"/>
  <c r="D422" i="10"/>
  <c r="D421" i="10"/>
  <c r="D357" i="10"/>
  <c r="D231" i="10"/>
  <c r="D92" i="10"/>
  <c r="D1214" i="10"/>
  <c r="D455" i="10"/>
  <c r="D454" i="10"/>
  <c r="D192" i="10"/>
  <c r="D191" i="10"/>
  <c r="D1265" i="10"/>
  <c r="D1163" i="10"/>
  <c r="D1125" i="10"/>
  <c r="D1124" i="10"/>
  <c r="D1060" i="10"/>
  <c r="D889" i="10"/>
  <c r="D547" i="10"/>
  <c r="D480" i="10"/>
  <c r="D434" i="10"/>
  <c r="D433" i="10"/>
  <c r="D432" i="10"/>
  <c r="D431" i="10"/>
  <c r="D430" i="10"/>
  <c r="D429" i="10"/>
  <c r="D1967" i="10"/>
  <c r="D1937" i="10"/>
  <c r="D1906" i="10"/>
  <c r="D1190" i="10"/>
  <c r="D592" i="10"/>
  <c r="D541" i="10"/>
  <c r="D741" i="10"/>
  <c r="D2194" i="10"/>
  <c r="D2188" i="10"/>
  <c r="D2187" i="10"/>
  <c r="D2183" i="10"/>
  <c r="D2176" i="10"/>
  <c r="D2175" i="10"/>
  <c r="D2170" i="10"/>
  <c r="D2137" i="10"/>
  <c r="D2131" i="10"/>
  <c r="D2126" i="10"/>
  <c r="D2123" i="10"/>
  <c r="D2115" i="10"/>
  <c r="D2102" i="10"/>
  <c r="D2098" i="10"/>
  <c r="D2097" i="10"/>
  <c r="D2089" i="10"/>
  <c r="D2083" i="10"/>
  <c r="D2082" i="10"/>
  <c r="D2081" i="10"/>
  <c r="D2077" i="10"/>
  <c r="D2076" i="10"/>
  <c r="D2075" i="10"/>
  <c r="D2071" i="10"/>
  <c r="D2070" i="10"/>
  <c r="D2065" i="10"/>
  <c r="D2064" i="10"/>
  <c r="D2060" i="10"/>
  <c r="D2028" i="10"/>
  <c r="D2016" i="10"/>
  <c r="D1987" i="10"/>
  <c r="D1899" i="10"/>
  <c r="D1898" i="10"/>
  <c r="D1886" i="10"/>
  <c r="D1885" i="10"/>
  <c r="D1877" i="10"/>
  <c r="D1876" i="10"/>
  <c r="D1868" i="10"/>
  <c r="D1867" i="10"/>
  <c r="D1866" i="10"/>
  <c r="D1861" i="10"/>
  <c r="D1860" i="10"/>
  <c r="D1853" i="10"/>
  <c r="D1852" i="10"/>
  <c r="D1837" i="10"/>
  <c r="D1836" i="10"/>
  <c r="D1817" i="10"/>
  <c r="D1779" i="10"/>
  <c r="D1774" i="10"/>
  <c r="D1766" i="10"/>
  <c r="D1765" i="10"/>
  <c r="D1751" i="10"/>
  <c r="D1750" i="10"/>
  <c r="D1745" i="10"/>
  <c r="D1705" i="10"/>
  <c r="D1704" i="10"/>
  <c r="D1664" i="10"/>
  <c r="D1663" i="10"/>
  <c r="D1644" i="10"/>
  <c r="D1631" i="10"/>
  <c r="D1630" i="10"/>
  <c r="D1613" i="10"/>
  <c r="D1612" i="10"/>
  <c r="D1611" i="10"/>
  <c r="D1601" i="10"/>
  <c r="D1596" i="10"/>
  <c r="D1595" i="10"/>
  <c r="D1584" i="10"/>
  <c r="D1519" i="10"/>
  <c r="D1518" i="10"/>
  <c r="D1517" i="10"/>
  <c r="D1456" i="10"/>
  <c r="D1455" i="10"/>
  <c r="D1454" i="10"/>
  <c r="D1428" i="10"/>
  <c r="D1400" i="10"/>
  <c r="D1399" i="10"/>
  <c r="D1398" i="10"/>
  <c r="D1378" i="10"/>
  <c r="D1362" i="10"/>
  <c r="D1361" i="10"/>
  <c r="D1360" i="10"/>
  <c r="D1341" i="10"/>
  <c r="D1340" i="10"/>
  <c r="D1278" i="10"/>
  <c r="D1277" i="10"/>
  <c r="D1224" i="10"/>
  <c r="D1189" i="10"/>
  <c r="D1188" i="10"/>
  <c r="D1166" i="10"/>
  <c r="D1165" i="10"/>
  <c r="D1144" i="10"/>
  <c r="D1143" i="10"/>
  <c r="D1142" i="10"/>
  <c r="D1111" i="10"/>
  <c r="D1110" i="10"/>
  <c r="D1109" i="10"/>
  <c r="D1084" i="10"/>
  <c r="D1083" i="10"/>
  <c r="D1082" i="10"/>
  <c r="D1055" i="10"/>
  <c r="D1054" i="10"/>
  <c r="D1053" i="10"/>
  <c r="D983" i="10"/>
  <c r="D982" i="10"/>
  <c r="D981" i="10"/>
  <c r="D918" i="10"/>
  <c r="D917" i="10"/>
  <c r="D880" i="10"/>
  <c r="D879" i="10"/>
  <c r="D848" i="10"/>
  <c r="D847" i="10"/>
  <c r="D825" i="10"/>
  <c r="D824" i="10"/>
  <c r="D806" i="10"/>
  <c r="D805" i="10"/>
  <c r="D778" i="10"/>
  <c r="D777" i="10"/>
  <c r="D776" i="10"/>
  <c r="D775" i="10"/>
  <c r="D749" i="10"/>
  <c r="D748" i="10"/>
  <c r="D656" i="10"/>
  <c r="D655" i="10"/>
  <c r="D583" i="10"/>
  <c r="D582" i="10"/>
  <c r="D532" i="10"/>
  <c r="D501" i="10"/>
  <c r="D500" i="10"/>
  <c r="D461" i="10"/>
  <c r="D460" i="10"/>
  <c r="D459" i="10"/>
  <c r="D458" i="10"/>
  <c r="D417" i="10"/>
  <c r="D416" i="10"/>
  <c r="D415" i="10"/>
  <c r="D414" i="10"/>
  <c r="D383" i="10"/>
  <c r="D382" i="10"/>
  <c r="D381" i="10"/>
  <c r="D355" i="10"/>
  <c r="D354" i="10"/>
  <c r="D353" i="10"/>
  <c r="D350" i="10"/>
  <c r="D327" i="10"/>
  <c r="D281" i="10"/>
  <c r="D280" i="10"/>
  <c r="D212" i="10"/>
  <c r="D211" i="10"/>
  <c r="D210" i="10"/>
  <c r="D209" i="10"/>
  <c r="D208" i="10"/>
  <c r="D160" i="10"/>
  <c r="D159" i="10"/>
  <c r="D158" i="10"/>
  <c r="D121" i="10"/>
  <c r="D120" i="10"/>
  <c r="D119" i="10"/>
  <c r="D88" i="10"/>
  <c r="D87" i="10"/>
  <c r="D86" i="10"/>
  <c r="D55" i="10"/>
  <c r="D54" i="10"/>
  <c r="D53" i="10"/>
  <c r="D34" i="10"/>
  <c r="D33" i="10"/>
  <c r="D32" i="10"/>
  <c r="D31" i="10"/>
  <c r="D30" i="10"/>
  <c r="D8" i="10"/>
  <c r="D7" i="10"/>
  <c r="D1396" i="10"/>
  <c r="D2233" i="10"/>
  <c r="D2226" i="10"/>
  <c r="D2174" i="10"/>
  <c r="D2122" i="10"/>
  <c r="D2112" i="10"/>
  <c r="D2109" i="10"/>
  <c r="D2108" i="10"/>
  <c r="D2069" i="10"/>
  <c r="D1985" i="10"/>
  <c r="D1972" i="10"/>
  <c r="D1971" i="10"/>
  <c r="D1970" i="10"/>
  <c r="D1966" i="10"/>
  <c r="D1965" i="10"/>
  <c r="D1963" i="10"/>
  <c r="D1931" i="10"/>
  <c r="D1930" i="10"/>
  <c r="D1897" i="10"/>
  <c r="D1896" i="10"/>
  <c r="D1895" i="10"/>
  <c r="D1875" i="10"/>
  <c r="D1851" i="10"/>
  <c r="D1850" i="10"/>
  <c r="D1835" i="10"/>
  <c r="D1816" i="10"/>
  <c r="D1744" i="10"/>
  <c r="D1742" i="10"/>
  <c r="D1741" i="10"/>
  <c r="D1734" i="10"/>
  <c r="D1733" i="10"/>
  <c r="D1698" i="10"/>
  <c r="D1697" i="10"/>
  <c r="D1657" i="10"/>
  <c r="D1656" i="10"/>
  <c r="D1594" i="10"/>
  <c r="D1582" i="10"/>
  <c r="D1581" i="10"/>
  <c r="D1580" i="10"/>
  <c r="D1505" i="10"/>
  <c r="D1504" i="10"/>
  <c r="D1503" i="10"/>
  <c r="D1443" i="10"/>
  <c r="D1442" i="10"/>
  <c r="D1395" i="10"/>
  <c r="D1394" i="10"/>
  <c r="D1359" i="10"/>
  <c r="D1338" i="10"/>
  <c r="D1337" i="10"/>
  <c r="D1336" i="10"/>
  <c r="D1335" i="10"/>
  <c r="D1334" i="10"/>
  <c r="D1333" i="10"/>
  <c r="D1318" i="10"/>
  <c r="D1267" i="10"/>
  <c r="D1266" i="10"/>
  <c r="D1213" i="10"/>
  <c r="D1139" i="10"/>
  <c r="D1138" i="10"/>
  <c r="D1137" i="10"/>
  <c r="D1108" i="10"/>
  <c r="D1107" i="10"/>
  <c r="D1106" i="10"/>
  <c r="D1105" i="10"/>
  <c r="D1104" i="10"/>
  <c r="D1050" i="10"/>
  <c r="D1049" i="10"/>
  <c r="D1048" i="10"/>
  <c r="D1046" i="10"/>
  <c r="D970" i="10"/>
  <c r="D908" i="10"/>
  <c r="D907" i="10"/>
  <c r="D906" i="10"/>
  <c r="D868" i="10"/>
  <c r="D841" i="10"/>
  <c r="D822" i="10"/>
  <c r="D772" i="10"/>
  <c r="D771" i="10"/>
  <c r="D745" i="10"/>
  <c r="D744" i="10"/>
  <c r="D743" i="10"/>
  <c r="D740" i="10"/>
  <c r="D739" i="10"/>
  <c r="D738" i="10"/>
  <c r="D735" i="10"/>
  <c r="D710" i="10"/>
  <c r="D644" i="10"/>
  <c r="D569" i="10"/>
  <c r="D568" i="10"/>
  <c r="D567" i="10"/>
  <c r="D524" i="10"/>
  <c r="D497" i="10"/>
  <c r="D496" i="10"/>
  <c r="D453" i="10"/>
  <c r="D452" i="10"/>
  <c r="D451" i="10"/>
  <c r="D412" i="10"/>
  <c r="D411" i="10"/>
  <c r="D410" i="10"/>
  <c r="D409" i="10"/>
  <c r="D408" i="10"/>
  <c r="D379" i="10"/>
  <c r="D378" i="10"/>
  <c r="D377" i="10"/>
  <c r="D351" i="10"/>
  <c r="D349" i="10"/>
  <c r="D347" i="10"/>
  <c r="D323" i="10"/>
  <c r="D270" i="10"/>
  <c r="D189" i="10"/>
  <c r="D188" i="10"/>
  <c r="D149" i="10"/>
  <c r="D111" i="10"/>
  <c r="D78" i="10"/>
  <c r="D52" i="10"/>
  <c r="D51" i="10"/>
  <c r="D29" i="10"/>
  <c r="D28" i="10"/>
  <c r="D4" i="10"/>
  <c r="D3" i="10"/>
  <c r="D2" i="10"/>
  <c r="D1212" i="10"/>
  <c r="D1045" i="10"/>
  <c r="D905" i="10"/>
  <c r="D734" i="10"/>
  <c r="D407" i="10"/>
  <c r="D1502" i="10"/>
  <c r="D1026" i="10"/>
  <c r="D742" i="10"/>
  <c r="D733" i="10"/>
  <c r="D523" i="10"/>
  <c r="D522" i="10"/>
  <c r="D450" i="10"/>
  <c r="D406" i="10"/>
  <c r="D405" i="10"/>
  <c r="D2152" i="10"/>
  <c r="D1412" i="10"/>
  <c r="D1377" i="10"/>
  <c r="D1952" i="10"/>
  <c r="D1927" i="10"/>
  <c r="D1560" i="10"/>
  <c r="D1497" i="10"/>
  <c r="D1496" i="10"/>
  <c r="D1440" i="10"/>
  <c r="D966" i="10"/>
  <c r="D965" i="10"/>
  <c r="D638" i="10"/>
  <c r="D317" i="10"/>
  <c r="D265" i="10"/>
  <c r="D109" i="10"/>
  <c r="D76" i="10"/>
  <c r="D2230" i="10"/>
  <c r="D2229" i="10"/>
  <c r="D2224" i="10"/>
  <c r="D2223" i="10"/>
  <c r="D2211" i="10"/>
  <c r="D2210" i="10"/>
  <c r="D2198" i="10"/>
  <c r="D2182" i="10"/>
  <c r="D2164" i="10"/>
  <c r="D2161" i="10"/>
  <c r="D2111" i="10"/>
  <c r="D2050" i="10"/>
  <c r="D2024" i="10"/>
  <c r="D1961" i="10"/>
  <c r="D1951" i="10"/>
  <c r="D1950" i="10"/>
  <c r="D1926" i="10"/>
  <c r="D1925" i="10"/>
  <c r="D1924" i="10"/>
  <c r="D1923" i="10"/>
  <c r="D1826" i="10"/>
  <c r="D1825" i="10"/>
  <c r="D1739" i="10"/>
  <c r="D1738" i="10"/>
  <c r="D1730" i="10"/>
  <c r="D1729" i="10"/>
  <c r="D1728" i="10"/>
  <c r="D1692" i="10"/>
  <c r="D1691" i="10"/>
  <c r="D1690" i="10"/>
  <c r="D1576" i="10"/>
  <c r="D1575" i="10"/>
  <c r="D1559" i="10"/>
  <c r="D1558" i="10"/>
  <c r="D1557" i="10"/>
  <c r="D1556" i="10"/>
  <c r="D1555" i="10"/>
  <c r="D1495" i="10"/>
  <c r="D1494" i="10"/>
  <c r="D1493" i="10"/>
  <c r="D1330" i="10"/>
  <c r="D1329" i="10"/>
  <c r="D1311" i="10"/>
  <c r="D1310" i="10"/>
  <c r="D1309" i="10"/>
  <c r="D1308" i="10"/>
  <c r="D1307" i="10"/>
  <c r="D1257" i="10"/>
  <c r="D1043" i="10"/>
  <c r="D1042" i="10"/>
  <c r="D1041" i="10"/>
  <c r="D1023" i="10"/>
  <c r="D1022" i="10"/>
  <c r="D1021" i="10"/>
  <c r="D1020" i="10"/>
  <c r="D964" i="10"/>
  <c r="D963" i="10"/>
  <c r="D730" i="10"/>
  <c r="D729" i="10"/>
  <c r="D728" i="10"/>
  <c r="D704" i="10"/>
  <c r="D703" i="10"/>
  <c r="D702" i="10"/>
  <c r="D701" i="10"/>
  <c r="D700" i="10"/>
  <c r="D637" i="10"/>
  <c r="D636" i="10"/>
  <c r="D343" i="10"/>
  <c r="D342" i="10"/>
  <c r="D316" i="10"/>
  <c r="D315" i="10"/>
  <c r="D314" i="10"/>
  <c r="D313" i="10"/>
  <c r="D264" i="10"/>
  <c r="D263" i="10"/>
  <c r="D262" i="10"/>
  <c r="D1859" i="10"/>
  <c r="D1610" i="10"/>
  <c r="D1600" i="10"/>
  <c r="D1392" i="10"/>
  <c r="D1374" i="10"/>
  <c r="D1100" i="10"/>
  <c r="D1099" i="10"/>
  <c r="D1077" i="10"/>
  <c r="D1076" i="10"/>
  <c r="D398" i="10"/>
  <c r="D50" i="10"/>
  <c r="D1752" i="10"/>
  <c r="D1149" i="10"/>
  <c r="D1117" i="10"/>
  <c r="D1085" i="10"/>
  <c r="D1057" i="10"/>
  <c r="D850" i="10"/>
  <c r="D849" i="10"/>
  <c r="D826" i="10"/>
  <c r="D672" i="10"/>
  <c r="D671" i="10"/>
  <c r="D603" i="10"/>
  <c r="D544" i="10"/>
  <c r="D506" i="10"/>
  <c r="D293" i="10"/>
  <c r="D235" i="10"/>
  <c r="D234" i="10"/>
  <c r="D168" i="10"/>
  <c r="D126" i="10"/>
  <c r="D94" i="10"/>
  <c r="D93" i="10"/>
  <c r="D11" i="10"/>
  <c r="D10" i="10"/>
  <c r="D536" i="10"/>
  <c r="D1229" i="10"/>
  <c r="D535" i="10"/>
  <c r="D474" i="10"/>
  <c r="D2215" i="10"/>
  <c r="D2155" i="10"/>
  <c r="D2033" i="10"/>
  <c r="D1798" i="10"/>
  <c r="D1767" i="10"/>
  <c r="D1711" i="10"/>
  <c r="D1675" i="10"/>
  <c r="D1532" i="10"/>
  <c r="D1472" i="10"/>
  <c r="D1289" i="10"/>
  <c r="D1288" i="10"/>
  <c r="D931" i="10"/>
  <c r="D885" i="10"/>
  <c r="D674" i="10"/>
  <c r="D673" i="10"/>
  <c r="D604" i="10"/>
  <c r="D335" i="10"/>
  <c r="D295" i="10"/>
  <c r="D236" i="10"/>
  <c r="D1674" i="10"/>
  <c r="D1470" i="10"/>
  <c r="D1086" i="10"/>
  <c r="D750" i="10"/>
  <c r="D294" i="10"/>
  <c r="D1795" i="10"/>
  <c r="D1531" i="10"/>
  <c r="D1469" i="10"/>
  <c r="D1192" i="10"/>
  <c r="D996" i="10"/>
  <c r="D930" i="10"/>
  <c r="D670" i="10"/>
  <c r="D602" i="10"/>
  <c r="D601" i="10"/>
  <c r="D292" i="10"/>
  <c r="D233" i="10"/>
  <c r="D232" i="10"/>
  <c r="D1904" i="10"/>
  <c r="D1671" i="10"/>
  <c r="D1282" i="10"/>
  <c r="D989" i="10"/>
  <c r="D926" i="10"/>
  <c r="D664" i="10"/>
  <c r="D594" i="10"/>
  <c r="D593" i="10"/>
  <c r="D286" i="10"/>
  <c r="D224" i="10"/>
  <c r="D2030" i="10"/>
  <c r="D1819" i="10"/>
  <c r="D1525" i="10"/>
  <c r="D1463" i="10"/>
  <c r="D1281" i="10"/>
  <c r="D1230" i="10"/>
  <c r="D988" i="10"/>
  <c r="D925" i="10"/>
  <c r="D924" i="10"/>
  <c r="D884" i="10"/>
  <c r="D883" i="10"/>
  <c r="D663" i="10"/>
  <c r="D662" i="10"/>
  <c r="D591" i="10"/>
  <c r="D590" i="10"/>
  <c r="D589" i="10"/>
  <c r="D588" i="10"/>
  <c r="D540" i="10"/>
  <c r="D539" i="10"/>
  <c r="D538" i="10"/>
  <c r="D537" i="10"/>
  <c r="D505" i="10"/>
  <c r="D504" i="10"/>
  <c r="D503" i="10"/>
  <c r="D502" i="10"/>
  <c r="D463" i="10"/>
  <c r="D462" i="10"/>
  <c r="D419" i="10"/>
  <c r="D418" i="10"/>
  <c r="D384" i="10"/>
  <c r="D356" i="10"/>
  <c r="D332" i="10"/>
  <c r="D331" i="10"/>
  <c r="D330" i="10"/>
  <c r="D285" i="10"/>
  <c r="D284" i="10"/>
  <c r="D283" i="10"/>
  <c r="D223" i="10"/>
  <c r="D222" i="10"/>
  <c r="D221" i="10"/>
  <c r="D220" i="10"/>
  <c r="D167" i="10"/>
  <c r="D166" i="10"/>
  <c r="D123" i="10"/>
  <c r="D122" i="10"/>
  <c r="D90" i="10"/>
  <c r="D89" i="10"/>
  <c r="D57" i="10"/>
  <c r="D56" i="10"/>
  <c r="D37" i="10"/>
  <c r="D36" i="10"/>
  <c r="D35" i="10"/>
  <c r="D9" i="10"/>
  <c r="D2145" i="10"/>
  <c r="D2057" i="10"/>
  <c r="D2053" i="10"/>
  <c r="D2043" i="10"/>
  <c r="D2029" i="10"/>
  <c r="D1964" i="10"/>
  <c r="D1956" i="10"/>
  <c r="D1955" i="10"/>
  <c r="D1934" i="10"/>
  <c r="D1903" i="10"/>
  <c r="D1902" i="10"/>
  <c r="D1901" i="10"/>
  <c r="D1900" i="10"/>
  <c r="D1829" i="10"/>
  <c r="D1818" i="10"/>
  <c r="D1794" i="10"/>
  <c r="D1793" i="10"/>
  <c r="D1792" i="10"/>
  <c r="D1791" i="10"/>
  <c r="D1790" i="10"/>
  <c r="D1789" i="10"/>
  <c r="D1735" i="10"/>
  <c r="D1707" i="10"/>
  <c r="D1706" i="10"/>
  <c r="D1670" i="10"/>
  <c r="D1669" i="10"/>
  <c r="D1668" i="10"/>
  <c r="D1667" i="10"/>
  <c r="D1666" i="10"/>
  <c r="D1665" i="10"/>
  <c r="D1645" i="10"/>
  <c r="D1579" i="10"/>
  <c r="D1569" i="10"/>
  <c r="D1568" i="10"/>
  <c r="D1524" i="10"/>
  <c r="D1523" i="10"/>
  <c r="D1522" i="10"/>
  <c r="D1521" i="10"/>
  <c r="D1520" i="10"/>
  <c r="D1462" i="10"/>
  <c r="D1461" i="10"/>
  <c r="D1460" i="10"/>
  <c r="D1459" i="10"/>
  <c r="D1458" i="10"/>
  <c r="D1457" i="10"/>
  <c r="D1429" i="10"/>
  <c r="D1322" i="10"/>
  <c r="D1280" i="10"/>
  <c r="D1279" i="10"/>
  <c r="D1228" i="10"/>
  <c r="D1227" i="10"/>
  <c r="D1226" i="10"/>
  <c r="D1225" i="10"/>
  <c r="D1047" i="10"/>
  <c r="D1032" i="10"/>
  <c r="D1031" i="10"/>
  <c r="D1030" i="10"/>
  <c r="D987" i="10"/>
  <c r="D986" i="10"/>
  <c r="D985" i="10"/>
  <c r="D984" i="10"/>
  <c r="D923" i="10"/>
  <c r="D922" i="10"/>
  <c r="D921" i="10"/>
  <c r="D920" i="10"/>
  <c r="D919" i="10"/>
  <c r="D882" i="10"/>
  <c r="D881" i="10"/>
  <c r="D717" i="10"/>
  <c r="D716" i="10"/>
  <c r="D715" i="10"/>
  <c r="D661" i="10"/>
  <c r="D660" i="10"/>
  <c r="D659" i="10"/>
  <c r="D658" i="10"/>
  <c r="D657" i="10"/>
  <c r="D587" i="10"/>
  <c r="D586" i="10"/>
  <c r="D585" i="10"/>
  <c r="D584" i="10"/>
  <c r="D534" i="10"/>
  <c r="D533" i="10"/>
  <c r="D329" i="10"/>
  <c r="D328" i="10"/>
  <c r="D282" i="10"/>
  <c r="D219" i="10"/>
  <c r="D218" i="10"/>
  <c r="D217" i="10"/>
  <c r="D216" i="10"/>
  <c r="D215" i="10"/>
  <c r="D214" i="10"/>
  <c r="D213" i="10"/>
  <c r="D165" i="10"/>
  <c r="D164" i="10"/>
  <c r="D163" i="10"/>
  <c r="D162" i="10"/>
  <c r="D161" i="10"/>
  <c r="D1223" i="10"/>
  <c r="D581" i="10"/>
  <c r="D499" i="10"/>
  <c r="D279" i="10"/>
  <c r="D207" i="10"/>
  <c r="D206" i="10"/>
  <c r="D157" i="10"/>
  <c r="D156" i="10"/>
  <c r="D118" i="10"/>
  <c r="D2214" i="10"/>
  <c r="D2201" i="10"/>
  <c r="D2153" i="10"/>
  <c r="D2096" i="10"/>
  <c r="D2088" i="10"/>
  <c r="D2042" i="10"/>
  <c r="D2027" i="10"/>
  <c r="D2015" i="10"/>
  <c r="D2006" i="10"/>
  <c r="D1933" i="10"/>
  <c r="D1884" i="10"/>
  <c r="D1788" i="10"/>
  <c r="D1703" i="10"/>
  <c r="D1702" i="10"/>
  <c r="D1662" i="10"/>
  <c r="D1567" i="10"/>
  <c r="D1516" i="10"/>
  <c r="D1515" i="10"/>
  <c r="D1514" i="10"/>
  <c r="D1453" i="10"/>
  <c r="D1452" i="10"/>
  <c r="D1427" i="10"/>
  <c r="D1276" i="10"/>
  <c r="D1275" i="10"/>
  <c r="D1274" i="10"/>
  <c r="D1273" i="10"/>
  <c r="D1222" i="10"/>
  <c r="D1221" i="10"/>
  <c r="D1187" i="10"/>
  <c r="D1186" i="10"/>
  <c r="D1081" i="10"/>
  <c r="D980" i="10"/>
  <c r="D979" i="10"/>
  <c r="D916" i="10"/>
  <c r="D915" i="10"/>
  <c r="D914" i="10"/>
  <c r="D878" i="10"/>
  <c r="D877" i="10"/>
  <c r="D846" i="10"/>
  <c r="D654" i="10"/>
  <c r="D580" i="10"/>
  <c r="D531" i="10"/>
  <c r="D530" i="10"/>
  <c r="D498" i="10"/>
  <c r="D278" i="10"/>
  <c r="D205" i="10"/>
  <c r="D155" i="10"/>
  <c r="D1787" i="10"/>
  <c r="D1513" i="10"/>
  <c r="D579" i="10"/>
  <c r="D277" i="10"/>
  <c r="D1701" i="10"/>
  <c r="D1700" i="10"/>
  <c r="D1643" i="10"/>
  <c r="D1512" i="10"/>
  <c r="D1451" i="10"/>
  <c r="D1450" i="10"/>
  <c r="D1272" i="10"/>
  <c r="D1220" i="10"/>
  <c r="D978" i="10"/>
  <c r="D876" i="10"/>
  <c r="D653" i="10"/>
  <c r="D578" i="10"/>
  <c r="D276" i="10"/>
  <c r="D275" i="10"/>
  <c r="D204" i="10"/>
  <c r="D203" i="10"/>
  <c r="D202" i="10"/>
  <c r="D201" i="10"/>
  <c r="Z39" i="8" l="1"/>
  <c r="T44" i="8"/>
  <c r="Z41" i="8"/>
  <c r="Z43" i="8"/>
  <c r="F44" i="8"/>
  <c r="J44" i="8"/>
  <c r="N40" i="8"/>
  <c r="N42" i="8"/>
  <c r="Z40" i="8"/>
  <c r="N17" i="8"/>
  <c r="N39" i="8"/>
  <c r="N41" i="8"/>
  <c r="N43" i="8"/>
  <c r="Z42" i="8"/>
  <c r="K44" i="8"/>
  <c r="H44" i="8"/>
  <c r="L44" i="8"/>
  <c r="G44" i="8"/>
  <c r="E44" i="8"/>
  <c r="I44" i="8"/>
  <c r="M44" i="8"/>
  <c r="U44" i="8"/>
  <c r="W44" i="8"/>
  <c r="R44" i="8"/>
  <c r="V44" i="8"/>
  <c r="X44" i="8"/>
  <c r="S44" i="8"/>
  <c r="Y44" i="8"/>
  <c r="P44" i="8"/>
  <c r="D44" i="8"/>
  <c r="Q44" i="8"/>
  <c r="Z44" i="8" l="1"/>
  <c r="N44" i="8"/>
  <c r="AC9" i="9"/>
  <c r="AB9" i="9"/>
  <c r="AA9" i="9"/>
  <c r="Z9" i="9"/>
  <c r="Y9" i="9"/>
  <c r="X9" i="9"/>
  <c r="W9" i="9"/>
  <c r="V9" i="9"/>
  <c r="U9" i="9"/>
  <c r="T9" i="9"/>
  <c r="AC8" i="9"/>
  <c r="AB8" i="9"/>
  <c r="AA8" i="9"/>
  <c r="Z8" i="9"/>
  <c r="Y8" i="9"/>
  <c r="X8" i="9"/>
  <c r="W8" i="9"/>
  <c r="V8" i="9"/>
  <c r="U8" i="9"/>
  <c r="T8" i="9"/>
  <c r="AC7" i="9"/>
  <c r="AB7" i="9"/>
  <c r="AA7" i="9"/>
  <c r="Z7" i="9"/>
  <c r="Y7" i="9"/>
  <c r="X7" i="9"/>
  <c r="W7" i="9"/>
  <c r="V7" i="9"/>
  <c r="U7" i="9"/>
  <c r="T7" i="9"/>
  <c r="AC6" i="9"/>
  <c r="AB6" i="9"/>
  <c r="AA6" i="9"/>
  <c r="Z6" i="9"/>
  <c r="Y6" i="9"/>
  <c r="X6" i="9"/>
  <c r="W6" i="9"/>
  <c r="V6" i="9"/>
  <c r="U6" i="9"/>
  <c r="T6" i="9"/>
  <c r="AC5" i="9"/>
  <c r="AB5" i="9"/>
  <c r="AA5" i="9"/>
  <c r="Z5" i="9"/>
  <c r="Y5" i="9"/>
  <c r="X5" i="9"/>
  <c r="W5" i="9"/>
  <c r="V5" i="9"/>
  <c r="U5" i="9"/>
  <c r="T5" i="9"/>
  <c r="AD9" i="10"/>
  <c r="AC9" i="10"/>
  <c r="AB9" i="10"/>
  <c r="Z9" i="10"/>
  <c r="Y9" i="10"/>
  <c r="X9" i="10"/>
  <c r="V9" i="10"/>
  <c r="AD8" i="10"/>
  <c r="AB8" i="10"/>
  <c r="AA8" i="10"/>
  <c r="Z8" i="10"/>
  <c r="X8" i="10"/>
  <c r="W8" i="10"/>
  <c r="V8" i="10"/>
  <c r="AD7" i="10"/>
  <c r="AC7" i="10"/>
  <c r="AB7" i="10"/>
  <c r="Z7" i="10"/>
  <c r="Y7" i="10"/>
  <c r="X7" i="10"/>
  <c r="V7" i="10"/>
  <c r="AD6" i="10"/>
  <c r="AB6" i="10"/>
  <c r="AA6" i="10"/>
  <c r="Z6" i="10"/>
  <c r="X6" i="10"/>
  <c r="W6" i="10"/>
  <c r="V6" i="10"/>
  <c r="AC5" i="10"/>
  <c r="Y5" i="10"/>
  <c r="J2233" i="10"/>
  <c r="J2226" i="10"/>
  <c r="K2226" i="10" s="1"/>
  <c r="J2174" i="10"/>
  <c r="L2174" i="10" s="1"/>
  <c r="J2209" i="10"/>
  <c r="L2209" i="10" s="1"/>
  <c r="J2228" i="10"/>
  <c r="J2222" i="10"/>
  <c r="K2222" i="10" s="1"/>
  <c r="J2221" i="10"/>
  <c r="L2221" i="10" s="1"/>
  <c r="J2208" i="10"/>
  <c r="J2192" i="10"/>
  <c r="J2191" i="10"/>
  <c r="K2191" i="10" s="1"/>
  <c r="J2200" i="10"/>
  <c r="J2232" i="10"/>
  <c r="J2231" i="10"/>
  <c r="J2225" i="10"/>
  <c r="J2213" i="10"/>
  <c r="K2213" i="10" s="1"/>
  <c r="J2212" i="10"/>
  <c r="J2199" i="10"/>
  <c r="J2193" i="10"/>
  <c r="K2193" i="10" s="1"/>
  <c r="J2186" i="10"/>
  <c r="L2186" i="10" s="1"/>
  <c r="J2230" i="10"/>
  <c r="J2229" i="10"/>
  <c r="J2224" i="10"/>
  <c r="K2224" i="10" s="1"/>
  <c r="J2223" i="10"/>
  <c r="J2211" i="10"/>
  <c r="J2210" i="10"/>
  <c r="J2198" i="10"/>
  <c r="J2182" i="10"/>
  <c r="K2182" i="10" s="1"/>
  <c r="J2227" i="10"/>
  <c r="K2227" i="10" s="1"/>
  <c r="J2220" i="10"/>
  <c r="J2207" i="10"/>
  <c r="K2207" i="10" s="1"/>
  <c r="J2206" i="10"/>
  <c r="J2219" i="10"/>
  <c r="J2205" i="10"/>
  <c r="L2205" i="10" s="1"/>
  <c r="J2197" i="10"/>
  <c r="J2190" i="10"/>
  <c r="K2190" i="10" s="1"/>
  <c r="J2185" i="10"/>
  <c r="L2185" i="10" s="1"/>
  <c r="J2218" i="10"/>
  <c r="J2217" i="10"/>
  <c r="K2217" i="10" s="1"/>
  <c r="J2216" i="10"/>
  <c r="J2204" i="10"/>
  <c r="J2203" i="10"/>
  <c r="L2203" i="10" s="1"/>
  <c r="J2202" i="10"/>
  <c r="J2196" i="10"/>
  <c r="K2196" i="10" s="1"/>
  <c r="J2195" i="10"/>
  <c r="J2189" i="10"/>
  <c r="J2184" i="10"/>
  <c r="K2184" i="10" s="1"/>
  <c r="J2181" i="10"/>
  <c r="J2180" i="10"/>
  <c r="J2179" i="10"/>
  <c r="L2179" i="10" s="1"/>
  <c r="J2173" i="10"/>
  <c r="J2172" i="10"/>
  <c r="J2171" i="10"/>
  <c r="K2171" i="10" s="1"/>
  <c r="J2169" i="10"/>
  <c r="J2168" i="10"/>
  <c r="K2168" i="10" s="1"/>
  <c r="J2167" i="10"/>
  <c r="J2166" i="10"/>
  <c r="J2165" i="10"/>
  <c r="L2165" i="10" s="1"/>
  <c r="J2215" i="10"/>
  <c r="J2178" i="10"/>
  <c r="K2178" i="10" s="1"/>
  <c r="J2177" i="10"/>
  <c r="K2177" i="10" s="1"/>
  <c r="K2188" i="10"/>
  <c r="L2176" i="10"/>
  <c r="L2170" i="10"/>
  <c r="K2170" i="10"/>
  <c r="J2214" i="10"/>
  <c r="L2214" i="10" s="1"/>
  <c r="J2201" i="10"/>
  <c r="J2122" i="10"/>
  <c r="K2122" i="10" s="1"/>
  <c r="J2160" i="10"/>
  <c r="J2151" i="10"/>
  <c r="J2135" i="10"/>
  <c r="L2135" i="10" s="1"/>
  <c r="J2142" i="10"/>
  <c r="J2140" i="10"/>
  <c r="K2140" i="10" s="1"/>
  <c r="J2139" i="10"/>
  <c r="J2162" i="10"/>
  <c r="J2143" i="10"/>
  <c r="K2143" i="10" s="1"/>
  <c r="J2136" i="10"/>
  <c r="J2164" i="10"/>
  <c r="J2161" i="10"/>
  <c r="L2161" i="10" s="1"/>
  <c r="J2150" i="10"/>
  <c r="J2141" i="10"/>
  <c r="J2134" i="10"/>
  <c r="K2134" i="10" s="1"/>
  <c r="J2121" i="10"/>
  <c r="J2159" i="10"/>
  <c r="K2159" i="10" s="1"/>
  <c r="J2120" i="10"/>
  <c r="J2119" i="10"/>
  <c r="J2149" i="10"/>
  <c r="L2149" i="10" s="1"/>
  <c r="J2163" i="10"/>
  <c r="J2158" i="10"/>
  <c r="K2158" i="10" s="1"/>
  <c r="J2157" i="10"/>
  <c r="L2157" i="10" s="1"/>
  <c r="J2156" i="10"/>
  <c r="J2148" i="10"/>
  <c r="K2148" i="10" s="1"/>
  <c r="J2147" i="10"/>
  <c r="J2133" i="10"/>
  <c r="J2132" i="10"/>
  <c r="J2130" i="10"/>
  <c r="J2129" i="10"/>
  <c r="K2129" i="10" s="1"/>
  <c r="J2125" i="10"/>
  <c r="J2124" i="10"/>
  <c r="J2118" i="10"/>
  <c r="J2117" i="10"/>
  <c r="L2117" i="10" s="1"/>
  <c r="J2116" i="10"/>
  <c r="J2114" i="10"/>
  <c r="J2138" i="10"/>
  <c r="J2128" i="10"/>
  <c r="L2128" i="10" s="1"/>
  <c r="J2127" i="10"/>
  <c r="J2144" i="10"/>
  <c r="J2155" i="10"/>
  <c r="K2155" i="10" s="1"/>
  <c r="J2154" i="10"/>
  <c r="J2146" i="10"/>
  <c r="J2145" i="10"/>
  <c r="L2145" i="10" s="1"/>
  <c r="K2131" i="10"/>
  <c r="L2126" i="10"/>
  <c r="J2153" i="10"/>
  <c r="L2153" i="10" s="1"/>
  <c r="J2152" i="10"/>
  <c r="J2112" i="10"/>
  <c r="J2109" i="10"/>
  <c r="J2108" i="10"/>
  <c r="J2069" i="10"/>
  <c r="L2069" i="10" s="1"/>
  <c r="J2107" i="10"/>
  <c r="J2099" i="10"/>
  <c r="J2093" i="10"/>
  <c r="K2093" i="10" s="1"/>
  <c r="J2092" i="10"/>
  <c r="J2091" i="10"/>
  <c r="J2086" i="10"/>
  <c r="J2100" i="10"/>
  <c r="J2094" i="10"/>
  <c r="J2087" i="10"/>
  <c r="J2111" i="10"/>
  <c r="J2106" i="10"/>
  <c r="J2105" i="10"/>
  <c r="K2105" i="10" s="1"/>
  <c r="J2085" i="10"/>
  <c r="J2063" i="10"/>
  <c r="J2110" i="10"/>
  <c r="L2110" i="10" s="1"/>
  <c r="J2090" i="10"/>
  <c r="K2090" i="10" s="1"/>
  <c r="J2084" i="10"/>
  <c r="J2080" i="10"/>
  <c r="K2080" i="10" s="1"/>
  <c r="J2079" i="10"/>
  <c r="J2078" i="10"/>
  <c r="J2074" i="10"/>
  <c r="J2073" i="10"/>
  <c r="J2072" i="10"/>
  <c r="L2072" i="10" s="1"/>
  <c r="J2068" i="10"/>
  <c r="J2067" i="10"/>
  <c r="J2066" i="10"/>
  <c r="J2062" i="10"/>
  <c r="J2061" i="10"/>
  <c r="J2104" i="10"/>
  <c r="J2103" i="10"/>
  <c r="J2059" i="10"/>
  <c r="J2101" i="10"/>
  <c r="J2095" i="10"/>
  <c r="J2113" i="10"/>
  <c r="K2102" i="10"/>
  <c r="L2083" i="10"/>
  <c r="K2077" i="10"/>
  <c r="L2076" i="10"/>
  <c r="L2071" i="10"/>
  <c r="K2065" i="10"/>
  <c r="L2064" i="10"/>
  <c r="J2096" i="10"/>
  <c r="L2096" i="10" s="1"/>
  <c r="J2088" i="10"/>
  <c r="J1967" i="10"/>
  <c r="K1967" i="10" s="1"/>
  <c r="J1985" i="10"/>
  <c r="J1972" i="10"/>
  <c r="L1972" i="10" s="1"/>
  <c r="J1971" i="10"/>
  <c r="J1970" i="10"/>
  <c r="J1966" i="10"/>
  <c r="L1966" i="10" s="1"/>
  <c r="J1965" i="10"/>
  <c r="J2056" i="10"/>
  <c r="J2040" i="10"/>
  <c r="K2040" i="10" s="1"/>
  <c r="J2023" i="10"/>
  <c r="J2031" i="10"/>
  <c r="L2031" i="10" s="1"/>
  <c r="J2026" i="10"/>
  <c r="J1986" i="10"/>
  <c r="L1986" i="10" s="1"/>
  <c r="J2052" i="10"/>
  <c r="L2052" i="10" s="1"/>
  <c r="J2051" i="10"/>
  <c r="J2041" i="10"/>
  <c r="J2025" i="10"/>
  <c r="K2025" i="10" s="1"/>
  <c r="J2013" i="10"/>
  <c r="L2013" i="10" s="1"/>
  <c r="J2005" i="10"/>
  <c r="L2005" i="10" s="1"/>
  <c r="J2004" i="10"/>
  <c r="J2050" i="10"/>
  <c r="J2024" i="10"/>
  <c r="K2024" i="10" s="1"/>
  <c r="J2049" i="10"/>
  <c r="J2039" i="10"/>
  <c r="K2039" i="10" s="1"/>
  <c r="J2038" i="10"/>
  <c r="J2022" i="10"/>
  <c r="J2048" i="10"/>
  <c r="L2048" i="10" s="1"/>
  <c r="J2037" i="10"/>
  <c r="J2021" i="10"/>
  <c r="K2021" i="10" s="1"/>
  <c r="J2012" i="10"/>
  <c r="J1995" i="10"/>
  <c r="J1984" i="10"/>
  <c r="J2000" i="10"/>
  <c r="L2000" i="10" s="1"/>
  <c r="J1983" i="10"/>
  <c r="L1983" i="10" s="1"/>
  <c r="J2036" i="10"/>
  <c r="J1999" i="10"/>
  <c r="K1999" i="10" s="1"/>
  <c r="J1994" i="10"/>
  <c r="J1982" i="10"/>
  <c r="K1982" i="10" s="1"/>
  <c r="J1981" i="10"/>
  <c r="L1981" i="10" s="1"/>
  <c r="J2055" i="10"/>
  <c r="K2055" i="10" s="1"/>
  <c r="J2047" i="10"/>
  <c r="J2046" i="10"/>
  <c r="J2035" i="10"/>
  <c r="J2034" i="10"/>
  <c r="J2020" i="10"/>
  <c r="J2019" i="10"/>
  <c r="K2019" i="10" s="1"/>
  <c r="J2011" i="10"/>
  <c r="J2010" i="10"/>
  <c r="K2010" i="10" s="1"/>
  <c r="J2009" i="10"/>
  <c r="L2009" i="10" s="1"/>
  <c r="J2003" i="10"/>
  <c r="J2002" i="10"/>
  <c r="L2002" i="10" s="1"/>
  <c r="J1998" i="10"/>
  <c r="K1998" i="10" s="1"/>
  <c r="J1997" i="10"/>
  <c r="J1993" i="10"/>
  <c r="J1992" i="10"/>
  <c r="L1992" i="10" s="1"/>
  <c r="J1991" i="10"/>
  <c r="K1991" i="10" s="1"/>
  <c r="J1990" i="10"/>
  <c r="J1989" i="10"/>
  <c r="K1989" i="10" s="1"/>
  <c r="J1988" i="10"/>
  <c r="J1980" i="10"/>
  <c r="K1980" i="10" s="1"/>
  <c r="J1979" i="10"/>
  <c r="K1979" i="10" s="1"/>
  <c r="J1978" i="10"/>
  <c r="L1978" i="10" s="1"/>
  <c r="J1977" i="10"/>
  <c r="L1977" i="10" s="1"/>
  <c r="J1976" i="10"/>
  <c r="K1976" i="10" s="1"/>
  <c r="J1975" i="10"/>
  <c r="J1974" i="10"/>
  <c r="J1973" i="10"/>
  <c r="L1973" i="10" s="1"/>
  <c r="J2045" i="10"/>
  <c r="K2045" i="10" s="1"/>
  <c r="J2008" i="10"/>
  <c r="K2008" i="10" s="1"/>
  <c r="J2007" i="10"/>
  <c r="J1969" i="10"/>
  <c r="L1969" i="10" s="1"/>
  <c r="J1968" i="10"/>
  <c r="J2058" i="10"/>
  <c r="J2001" i="10"/>
  <c r="K2001" i="10" s="1"/>
  <c r="J1996" i="10"/>
  <c r="J2014" i="10"/>
  <c r="K2014" i="10" s="1"/>
  <c r="J2033" i="10"/>
  <c r="J2032" i="10"/>
  <c r="J2044" i="10"/>
  <c r="J2017" i="10"/>
  <c r="J2054" i="10"/>
  <c r="J2018" i="10"/>
  <c r="K2018" i="10" s="1"/>
  <c r="J2030" i="10"/>
  <c r="J2057" i="10"/>
  <c r="J2053" i="10"/>
  <c r="L2053" i="10" s="1"/>
  <c r="J2043" i="10"/>
  <c r="L2043" i="10" s="1"/>
  <c r="J2029" i="10"/>
  <c r="K2028" i="10"/>
  <c r="L2016" i="10"/>
  <c r="K2016" i="10"/>
  <c r="L1987" i="10"/>
  <c r="J2042" i="10"/>
  <c r="L2042" i="10" s="1"/>
  <c r="J2027" i="10"/>
  <c r="J2015" i="10"/>
  <c r="J2006" i="10"/>
  <c r="L2006" i="10" s="1"/>
  <c r="J1963" i="10"/>
  <c r="L1963" i="10" s="1"/>
  <c r="J1931" i="10"/>
  <c r="K1931" i="10" s="1"/>
  <c r="J1930" i="10"/>
  <c r="K1930" i="10" s="1"/>
  <c r="J1897" i="10"/>
  <c r="L1897" i="10" s="1"/>
  <c r="J1896" i="10"/>
  <c r="L1896" i="10" s="1"/>
  <c r="J1895" i="10"/>
  <c r="J1875" i="10"/>
  <c r="J1851" i="10"/>
  <c r="L1851" i="10" s="1"/>
  <c r="J1850" i="10"/>
  <c r="L1850" i="10" s="1"/>
  <c r="J1835" i="10"/>
  <c r="K1835" i="10" s="1"/>
  <c r="J1949" i="10"/>
  <c r="K1949" i="10" s="1"/>
  <c r="J1922" i="10"/>
  <c r="L1922" i="10" s="1"/>
  <c r="J1891" i="10"/>
  <c r="L1891" i="10" s="1"/>
  <c r="J1838" i="10"/>
  <c r="J1962" i="10"/>
  <c r="J1954" i="10"/>
  <c r="J1953" i="10"/>
  <c r="L1953" i="10" s="1"/>
  <c r="J1929" i="10"/>
  <c r="J1928" i="10"/>
  <c r="K1928" i="10" s="1"/>
  <c r="J1894" i="10"/>
  <c r="L1894" i="10" s="1"/>
  <c r="J1893" i="10"/>
  <c r="J1892" i="10"/>
  <c r="J1883" i="10"/>
  <c r="J1882" i="10"/>
  <c r="L1882" i="10" s="1"/>
  <c r="J1881" i="10"/>
  <c r="J1874" i="10"/>
  <c r="K1874" i="10" s="1"/>
  <c r="J1952" i="10"/>
  <c r="J1927" i="10"/>
  <c r="J1961" i="10"/>
  <c r="L1961" i="10" s="1"/>
  <c r="J1951" i="10"/>
  <c r="J1950" i="10"/>
  <c r="K1950" i="10" s="1"/>
  <c r="J1926" i="10"/>
  <c r="J1925" i="10"/>
  <c r="L1925" i="10" s="1"/>
  <c r="J1924" i="10"/>
  <c r="J1923" i="10"/>
  <c r="J1948" i="10"/>
  <c r="J1947" i="10"/>
  <c r="J1946" i="10"/>
  <c r="J1921" i="10"/>
  <c r="K1921" i="10" s="1"/>
  <c r="J1920" i="10"/>
  <c r="L1920" i="10" s="1"/>
  <c r="J1880" i="10"/>
  <c r="J1849" i="10"/>
  <c r="K1849" i="10" s="1"/>
  <c r="J1945" i="10"/>
  <c r="L1945" i="10" s="1"/>
  <c r="J1919" i="10"/>
  <c r="L1919" i="10" s="1"/>
  <c r="J1873" i="10"/>
  <c r="L1873" i="10" s="1"/>
  <c r="J1872" i="10"/>
  <c r="J1858" i="10"/>
  <c r="K1858" i="10" s="1"/>
  <c r="J1848" i="10"/>
  <c r="J1944" i="10"/>
  <c r="L1944" i="10" s="1"/>
  <c r="J1918" i="10"/>
  <c r="J1917" i="10"/>
  <c r="K1917" i="10" s="1"/>
  <c r="J1890" i="10"/>
  <c r="J1871" i="10"/>
  <c r="J1865" i="10"/>
  <c r="J1847" i="10"/>
  <c r="J1943" i="10"/>
  <c r="J1916" i="10"/>
  <c r="L1916" i="10" s="1"/>
  <c r="J1915" i="10"/>
  <c r="K1915" i="10" s="1"/>
  <c r="J1864" i="10"/>
  <c r="L1864" i="10" s="1"/>
  <c r="J1846" i="10"/>
  <c r="J1960" i="10"/>
  <c r="J1959" i="10"/>
  <c r="J1958" i="10"/>
  <c r="K1958" i="10" s="1"/>
  <c r="J1942" i="10"/>
  <c r="L1942" i="10" s="1"/>
  <c r="J1941" i="10"/>
  <c r="L1941" i="10" s="1"/>
  <c r="J1940" i="10"/>
  <c r="J1914" i="10"/>
  <c r="J1913" i="10"/>
  <c r="K1913" i="10" s="1"/>
  <c r="J1912" i="10"/>
  <c r="L1912" i="10" s="1"/>
  <c r="J1911" i="10"/>
  <c r="K1911" i="10" s="1"/>
  <c r="J1910" i="10"/>
  <c r="L1910" i="10" s="1"/>
  <c r="J1889" i="10"/>
  <c r="J1888" i="10"/>
  <c r="J1887" i="10"/>
  <c r="J1879" i="10"/>
  <c r="L1879" i="10" s="1"/>
  <c r="J1878" i="10"/>
  <c r="J1870" i="10"/>
  <c r="J1869" i="10"/>
  <c r="K1869" i="10" s="1"/>
  <c r="J1863" i="10"/>
  <c r="L1863" i="10" s="1"/>
  <c r="J1862" i="10"/>
  <c r="J1857" i="10"/>
  <c r="J1856" i="10"/>
  <c r="J1855" i="10"/>
  <c r="L1855" i="10" s="1"/>
  <c r="J1854" i="10"/>
  <c r="J1845" i="10"/>
  <c r="J1844" i="10"/>
  <c r="K1844" i="10" s="1"/>
  <c r="J1843" i="10"/>
  <c r="J1842" i="10"/>
  <c r="J1841" i="10"/>
  <c r="J1840" i="10"/>
  <c r="J1839" i="10"/>
  <c r="K1839" i="10" s="1"/>
  <c r="J1939" i="10"/>
  <c r="K1939" i="10" s="1"/>
  <c r="J1909" i="10"/>
  <c r="J1908" i="10"/>
  <c r="K1908" i="10" s="1"/>
  <c r="J1932" i="10"/>
  <c r="L1932" i="10" s="1"/>
  <c r="J1936" i="10"/>
  <c r="L1936" i="10" s="1"/>
  <c r="J1935" i="10"/>
  <c r="J1905" i="10"/>
  <c r="K1905" i="10" s="1"/>
  <c r="J1957" i="10"/>
  <c r="J1938" i="10"/>
  <c r="K1938" i="10" s="1"/>
  <c r="J1907" i="10"/>
  <c r="L1907" i="10" s="1"/>
  <c r="L1937" i="10"/>
  <c r="K1937" i="10"/>
  <c r="K1906" i="10"/>
  <c r="L1906" i="10"/>
  <c r="J1904" i="10"/>
  <c r="L1904" i="10" s="1"/>
  <c r="J1964" i="10"/>
  <c r="L1964" i="10" s="1"/>
  <c r="J1956" i="10"/>
  <c r="K1956" i="10" s="1"/>
  <c r="J1955" i="10"/>
  <c r="J1934" i="10"/>
  <c r="L1934" i="10" s="1"/>
  <c r="J1903" i="10"/>
  <c r="L1903" i="10" s="1"/>
  <c r="J1902" i="10"/>
  <c r="K1902" i="10" s="1"/>
  <c r="J1901" i="10"/>
  <c r="J1900" i="10"/>
  <c r="J1859" i="10"/>
  <c r="L1859" i="10" s="1"/>
  <c r="K1898" i="10"/>
  <c r="L1886" i="10"/>
  <c r="K1877" i="10"/>
  <c r="L1868" i="10"/>
  <c r="K1866" i="10"/>
  <c r="K1861" i="10"/>
  <c r="L1861" i="10"/>
  <c r="L1853" i="10"/>
  <c r="K1837" i="10"/>
  <c r="L1836" i="10"/>
  <c r="J1933" i="10"/>
  <c r="L1933" i="10" s="1"/>
  <c r="J1884" i="10"/>
  <c r="K1884" i="10" s="1"/>
  <c r="J1816" i="10"/>
  <c r="L1816" i="10" s="1"/>
  <c r="J1744" i="10"/>
  <c r="L1744" i="10" s="1"/>
  <c r="J1742" i="10"/>
  <c r="L1742" i="10" s="1"/>
  <c r="J1815" i="10"/>
  <c r="J1811" i="10"/>
  <c r="K1811" i="10" s="1"/>
  <c r="J1784" i="10"/>
  <c r="L1784" i="10" s="1"/>
  <c r="J1783" i="10"/>
  <c r="L1783" i="10" s="1"/>
  <c r="J1834" i="10"/>
  <c r="K1834" i="10" s="1"/>
  <c r="J1833" i="10"/>
  <c r="L1833" i="10" s="1"/>
  <c r="J1832" i="10"/>
  <c r="J1827" i="10"/>
  <c r="L1827" i="10" s="1"/>
  <c r="J1814" i="10"/>
  <c r="J1813" i="10"/>
  <c r="J1812" i="10"/>
  <c r="J1786" i="10"/>
  <c r="L1786" i="10" s="1"/>
  <c r="J1785" i="10"/>
  <c r="J1778" i="10"/>
  <c r="K1778" i="10" s="1"/>
  <c r="J1826" i="10"/>
  <c r="L1826" i="10" s="1"/>
  <c r="J1825" i="10"/>
  <c r="J1810" i="10"/>
  <c r="J1809" i="10"/>
  <c r="J1782" i="10"/>
  <c r="J1762" i="10"/>
  <c r="L1762" i="10" s="1"/>
  <c r="J1749" i="10"/>
  <c r="J1808" i="10"/>
  <c r="J1777" i="10"/>
  <c r="K1777" i="10" s="1"/>
  <c r="J1773" i="10"/>
  <c r="J1761" i="10"/>
  <c r="K1761" i="10" s="1"/>
  <c r="J1831" i="10"/>
  <c r="J1830" i="10"/>
  <c r="J1824" i="10"/>
  <c r="L1824" i="10" s="1"/>
  <c r="J1823" i="10"/>
  <c r="J1807" i="10"/>
  <c r="L1807" i="10" s="1"/>
  <c r="J1806" i="10"/>
  <c r="J1805" i="10"/>
  <c r="J1804" i="10"/>
  <c r="K1804" i="10" s="1"/>
  <c r="J1803" i="10"/>
  <c r="K1803" i="10" s="1"/>
  <c r="J1802" i="10"/>
  <c r="L1802" i="10" s="1"/>
  <c r="J1801" i="10"/>
  <c r="L1801" i="10" s="1"/>
  <c r="J1800" i="10"/>
  <c r="K1800" i="10" s="1"/>
  <c r="J1799" i="10"/>
  <c r="L1799" i="10" s="1"/>
  <c r="J1781" i="10"/>
  <c r="J1780" i="10"/>
  <c r="L1780" i="10" s="1"/>
  <c r="J1776" i="10"/>
  <c r="K1776" i="10" s="1"/>
  <c r="J1775" i="10"/>
  <c r="L1775" i="10" s="1"/>
  <c r="J1772" i="10"/>
  <c r="J1771" i="10"/>
  <c r="L1771" i="10" s="1"/>
  <c r="J1769" i="10"/>
  <c r="J1768" i="10"/>
  <c r="L1768" i="10" s="1"/>
  <c r="J1760" i="10"/>
  <c r="J1759" i="10"/>
  <c r="J1758" i="10"/>
  <c r="K1758" i="10" s="1"/>
  <c r="J1757" i="10"/>
  <c r="J1756" i="10"/>
  <c r="J1755" i="10"/>
  <c r="J1754" i="10"/>
  <c r="J1748" i="10"/>
  <c r="K1748" i="10" s="1"/>
  <c r="J1747" i="10"/>
  <c r="L1747" i="10" s="1"/>
  <c r="J1746" i="10"/>
  <c r="J1743" i="10"/>
  <c r="K1743" i="10" s="1"/>
  <c r="J1752" i="10"/>
  <c r="L1752" i="10" s="1"/>
  <c r="J1820" i="10"/>
  <c r="L1820" i="10" s="1"/>
  <c r="J1822" i="10"/>
  <c r="L1822" i="10" s="1"/>
  <c r="J1821" i="10"/>
  <c r="K1821" i="10" s="1"/>
  <c r="J1753" i="10"/>
  <c r="L1753" i="10" s="1"/>
  <c r="J1797" i="10"/>
  <c r="L1797" i="10" s="1"/>
  <c r="J1796" i="10"/>
  <c r="L1796" i="10" s="1"/>
  <c r="J1770" i="10"/>
  <c r="K1770" i="10" s="1"/>
  <c r="J1764" i="10"/>
  <c r="J1763" i="10"/>
  <c r="J1798" i="10"/>
  <c r="L1798" i="10" s="1"/>
  <c r="J1767" i="10"/>
  <c r="J1795" i="10"/>
  <c r="K1795" i="10" s="1"/>
  <c r="J1828" i="10"/>
  <c r="K1828" i="10" s="1"/>
  <c r="J1819" i="10"/>
  <c r="J1829" i="10"/>
  <c r="K1829" i="10" s="1"/>
  <c r="J1818" i="10"/>
  <c r="J1794" i="10"/>
  <c r="J1793" i="10"/>
  <c r="L1793" i="10" s="1"/>
  <c r="J1792" i="10"/>
  <c r="J1791" i="10"/>
  <c r="K1791" i="10" s="1"/>
  <c r="J1790" i="10"/>
  <c r="L1790" i="10" s="1"/>
  <c r="J1789" i="10"/>
  <c r="K1817" i="10"/>
  <c r="L1774" i="10"/>
  <c r="K1765" i="10"/>
  <c r="L1751" i="10"/>
  <c r="L1745" i="10"/>
  <c r="J1788" i="10"/>
  <c r="J1787" i="10"/>
  <c r="K1787" i="10" s="1"/>
  <c r="J1741" i="10"/>
  <c r="L1741" i="10" s="1"/>
  <c r="J1734" i="10"/>
  <c r="L1734" i="10" s="1"/>
  <c r="J1733" i="10"/>
  <c r="K1733" i="10" s="1"/>
  <c r="J1698" i="10"/>
  <c r="L1698" i="10" s="1"/>
  <c r="J1697" i="10"/>
  <c r="L1697" i="10" s="1"/>
  <c r="J1657" i="10"/>
  <c r="L1657" i="10" s="1"/>
  <c r="J1656" i="10"/>
  <c r="J1594" i="10"/>
  <c r="K1594" i="10" s="1"/>
  <c r="J1582" i="10"/>
  <c r="J1581" i="10"/>
  <c r="L1581" i="10" s="1"/>
  <c r="J1580" i="10"/>
  <c r="K1580" i="10" s="1"/>
  <c r="J1727" i="10"/>
  <c r="J1726" i="10"/>
  <c r="K1726" i="10" s="1"/>
  <c r="J1688" i="10"/>
  <c r="L1688" i="10" s="1"/>
  <c r="J1627" i="10"/>
  <c r="K1627" i="10" s="1"/>
  <c r="J1725" i="10"/>
  <c r="K1725" i="10" s="1"/>
  <c r="J1652" i="10"/>
  <c r="J1626" i="10"/>
  <c r="L1626" i="10" s="1"/>
  <c r="J1625" i="10"/>
  <c r="J1583" i="10"/>
  <c r="J1740" i="10"/>
  <c r="J1732" i="10"/>
  <c r="J1731" i="10"/>
  <c r="K1731" i="10" s="1"/>
  <c r="J1696" i="10"/>
  <c r="L1696" i="10" s="1"/>
  <c r="J1695" i="10"/>
  <c r="J1694" i="10"/>
  <c r="L1694" i="10" s="1"/>
  <c r="J1693" i="10"/>
  <c r="J1655" i="10"/>
  <c r="J1654" i="10"/>
  <c r="K1654" i="10" s="1"/>
  <c r="J1640" i="10"/>
  <c r="J1639" i="10"/>
  <c r="K1639" i="10" s="1"/>
  <c r="J1739" i="10"/>
  <c r="J1738" i="10"/>
  <c r="L1738" i="10" s="1"/>
  <c r="J1730" i="10"/>
  <c r="J1729" i="10"/>
  <c r="J1728" i="10"/>
  <c r="L1728" i="10" s="1"/>
  <c r="J1692" i="10"/>
  <c r="K1692" i="10" s="1"/>
  <c r="J1691" i="10"/>
  <c r="L1691" i="10" s="1"/>
  <c r="J1690" i="10"/>
  <c r="L1690" i="10" s="1"/>
  <c r="J1689" i="10"/>
  <c r="L1689" i="10" s="1"/>
  <c r="J1653" i="10"/>
  <c r="J1724" i="10"/>
  <c r="K1724" i="10" s="1"/>
  <c r="J1687" i="10"/>
  <c r="J1686" i="10"/>
  <c r="J1685" i="10"/>
  <c r="K1685" i="10" s="1"/>
  <c r="J1684" i="10"/>
  <c r="J1651" i="10"/>
  <c r="J1624" i="10"/>
  <c r="J1609" i="10"/>
  <c r="J1593" i="10"/>
  <c r="K1593" i="10" s="1"/>
  <c r="J1723" i="10"/>
  <c r="K1723" i="10" s="1"/>
  <c r="J1683" i="10"/>
  <c r="J1638" i="10"/>
  <c r="J1637" i="10"/>
  <c r="L1637" i="10" s="1"/>
  <c r="J1623" i="10"/>
  <c r="L1623" i="10" s="1"/>
  <c r="J1622" i="10"/>
  <c r="L1622" i="10" s="1"/>
  <c r="J1608" i="10"/>
  <c r="K1608" i="10" s="1"/>
  <c r="J1607" i="10"/>
  <c r="K1607" i="10" s="1"/>
  <c r="J1592" i="10"/>
  <c r="K1592" i="10" s="1"/>
  <c r="J1722" i="10"/>
  <c r="L1722" i="10" s="1"/>
  <c r="J1721" i="10"/>
  <c r="J1720" i="10"/>
  <c r="L1720" i="10" s="1"/>
  <c r="J1682" i="10"/>
  <c r="L1682" i="10" s="1"/>
  <c r="J1621" i="10"/>
  <c r="L1621" i="10" s="1"/>
  <c r="J1606" i="10"/>
  <c r="K1606" i="10" s="1"/>
  <c r="J1591" i="10"/>
  <c r="K1591" i="10" s="1"/>
  <c r="J1719" i="10"/>
  <c r="L1719" i="10" s="1"/>
  <c r="J1650" i="10"/>
  <c r="L1650" i="10" s="1"/>
  <c r="J1636" i="10"/>
  <c r="J1635" i="10"/>
  <c r="L1635" i="10" s="1"/>
  <c r="J1605" i="10"/>
  <c r="L1605" i="10" s="1"/>
  <c r="J1599" i="10"/>
  <c r="L1599" i="10" s="1"/>
  <c r="J1590" i="10"/>
  <c r="K1590" i="10" s="1"/>
  <c r="J1737" i="10"/>
  <c r="J1736" i="10"/>
  <c r="L1736" i="10" s="1"/>
  <c r="J1718" i="10"/>
  <c r="L1718" i="10" s="1"/>
  <c r="J1717" i="10"/>
  <c r="K1717" i="10" s="1"/>
  <c r="J1716" i="10"/>
  <c r="J1715" i="10"/>
  <c r="J1681" i="10"/>
  <c r="L1681" i="10" s="1"/>
  <c r="J1680" i="10"/>
  <c r="J1679" i="10"/>
  <c r="K1679" i="10" s="1"/>
  <c r="J1678" i="10"/>
  <c r="J1677" i="10"/>
  <c r="J1676" i="10"/>
  <c r="K1676" i="10" s="1"/>
  <c r="J1649" i="10"/>
  <c r="J1648" i="10"/>
  <c r="L1648" i="10" s="1"/>
  <c r="J1647" i="10"/>
  <c r="L1647" i="10" s="1"/>
  <c r="J1634" i="10"/>
  <c r="K1634" i="10" s="1"/>
  <c r="J1633" i="10"/>
  <c r="K1633" i="10" s="1"/>
  <c r="J1620" i="10"/>
  <c r="J1619" i="10"/>
  <c r="L1619" i="10" s="1"/>
  <c r="J1618" i="10"/>
  <c r="K1618" i="10" s="1"/>
  <c r="J1617" i="10"/>
  <c r="J1616" i="10"/>
  <c r="L1616" i="10" s="1"/>
  <c r="J1604" i="10"/>
  <c r="L1604" i="10" s="1"/>
  <c r="J1603" i="10"/>
  <c r="K1603" i="10" s="1"/>
  <c r="J1602" i="10"/>
  <c r="K1602" i="10" s="1"/>
  <c r="J1598" i="10"/>
  <c r="J1597" i="10"/>
  <c r="L1597" i="10" s="1"/>
  <c r="J1589" i="10"/>
  <c r="K1589" i="10" s="1"/>
  <c r="J1588" i="10"/>
  <c r="J1587" i="10"/>
  <c r="J1586" i="10"/>
  <c r="L1586" i="10" s="1"/>
  <c r="J1585" i="10"/>
  <c r="J1710" i="10"/>
  <c r="L1710" i="10" s="1"/>
  <c r="J1714" i="10"/>
  <c r="K1714" i="10" s="1"/>
  <c r="J1713" i="10"/>
  <c r="J1712" i="10"/>
  <c r="K1712" i="10" s="1"/>
  <c r="J1646" i="10"/>
  <c r="K1646" i="10" s="1"/>
  <c r="J1699" i="10"/>
  <c r="J1661" i="10"/>
  <c r="J1660" i="10"/>
  <c r="J1659" i="10"/>
  <c r="J1658" i="10"/>
  <c r="L1658" i="10" s="1"/>
  <c r="J1642" i="10"/>
  <c r="J1641" i="10"/>
  <c r="K1641" i="10" s="1"/>
  <c r="J1629" i="10"/>
  <c r="L1629" i="10" s="1"/>
  <c r="J1628" i="10"/>
  <c r="L1628" i="10" s="1"/>
  <c r="J1711" i="10"/>
  <c r="J1675" i="10"/>
  <c r="K1675" i="10" s="1"/>
  <c r="J1674" i="10"/>
  <c r="J1673" i="10"/>
  <c r="L1673" i="10" s="1"/>
  <c r="J1632" i="10"/>
  <c r="L1632" i="10" s="1"/>
  <c r="J1708" i="10"/>
  <c r="K1708" i="10" s="1"/>
  <c r="J1672" i="10"/>
  <c r="K1672" i="10" s="1"/>
  <c r="J1709" i="10"/>
  <c r="L1709" i="10" s="1"/>
  <c r="J1615" i="10"/>
  <c r="J1614" i="10"/>
  <c r="K1614" i="10" s="1"/>
  <c r="J1671" i="10"/>
  <c r="J1735" i="10"/>
  <c r="L1735" i="10" s="1"/>
  <c r="J1707" i="10"/>
  <c r="L1707" i="10" s="1"/>
  <c r="J1706" i="10"/>
  <c r="K1706" i="10" s="1"/>
  <c r="J1670" i="10"/>
  <c r="L1670" i="10" s="1"/>
  <c r="J1669" i="10"/>
  <c r="L1669" i="10" s="1"/>
  <c r="J1668" i="10"/>
  <c r="J1667" i="10"/>
  <c r="K1667" i="10" s="1"/>
  <c r="J1666" i="10"/>
  <c r="K1666" i="10" s="1"/>
  <c r="J1665" i="10"/>
  <c r="K1665" i="10" s="1"/>
  <c r="J1645" i="10"/>
  <c r="L1645" i="10" s="1"/>
  <c r="J1610" i="10"/>
  <c r="K1610" i="10" s="1"/>
  <c r="J1600" i="10"/>
  <c r="L1704" i="10"/>
  <c r="L1663" i="10"/>
  <c r="K1644" i="10"/>
  <c r="L1630" i="10"/>
  <c r="K1630" i="10"/>
  <c r="L1612" i="10"/>
  <c r="L1611" i="10"/>
  <c r="K1601" i="10"/>
  <c r="L1596" i="10"/>
  <c r="K1595" i="10"/>
  <c r="L1584" i="10"/>
  <c r="J1703" i="10"/>
  <c r="K1703" i="10" s="1"/>
  <c r="J1702" i="10"/>
  <c r="J1662" i="10"/>
  <c r="L1662" i="10" s="1"/>
  <c r="J1701" i="10"/>
  <c r="L1701" i="10" s="1"/>
  <c r="J1700" i="10"/>
  <c r="K1700" i="10" s="1"/>
  <c r="J1643" i="10"/>
  <c r="L1643" i="10" s="1"/>
  <c r="J1505" i="10"/>
  <c r="J1504" i="10"/>
  <c r="L1504" i="10" s="1"/>
  <c r="J1503" i="10"/>
  <c r="K1503" i="10" s="1"/>
  <c r="J1443" i="10"/>
  <c r="J1442" i="10"/>
  <c r="L1442" i="10" s="1"/>
  <c r="J1395" i="10"/>
  <c r="J1394" i="10"/>
  <c r="K1394" i="10" s="1"/>
  <c r="J1359" i="10"/>
  <c r="J1338" i="10"/>
  <c r="J1337" i="10"/>
  <c r="L1337" i="10" s="1"/>
  <c r="J1336" i="10"/>
  <c r="J1335" i="10"/>
  <c r="L1335" i="10" s="1"/>
  <c r="J1564" i="10"/>
  <c r="J1501" i="10"/>
  <c r="L1501" i="10" s="1"/>
  <c r="J1500" i="10"/>
  <c r="J1554" i="10"/>
  <c r="J1574" i="10"/>
  <c r="J1553" i="10"/>
  <c r="J1552" i="10"/>
  <c r="J1551" i="10"/>
  <c r="L1551" i="10" s="1"/>
  <c r="J1550" i="10"/>
  <c r="L1550" i="10" s="1"/>
  <c r="J1492" i="10"/>
  <c r="L1492" i="10" s="1"/>
  <c r="J1491" i="10"/>
  <c r="K1491" i="10" s="1"/>
  <c r="J1490" i="10"/>
  <c r="J1439" i="10"/>
  <c r="K1439" i="10" s="1"/>
  <c r="J1438" i="10"/>
  <c r="L1438" i="10" s="1"/>
  <c r="J1421" i="10"/>
  <c r="J1420" i="10"/>
  <c r="L1420" i="10" s="1"/>
  <c r="J1393" i="10"/>
  <c r="L1393" i="10" s="1"/>
  <c r="J1358" i="10"/>
  <c r="L1358" i="10" s="1"/>
  <c r="J1507" i="10"/>
  <c r="K1507" i="10" s="1"/>
  <c r="J1506" i="10"/>
  <c r="K1506" i="10" s="1"/>
  <c r="J1339" i="10"/>
  <c r="J1578" i="10"/>
  <c r="L1578" i="10" s="1"/>
  <c r="J1577" i="10"/>
  <c r="J1563" i="10"/>
  <c r="L1563" i="10" s="1"/>
  <c r="J1562" i="10"/>
  <c r="L1562" i="10" s="1"/>
  <c r="J1561" i="10"/>
  <c r="L1561" i="10" s="1"/>
  <c r="J1499" i="10"/>
  <c r="K1499" i="10" s="1"/>
  <c r="J1498" i="10"/>
  <c r="J1441" i="10"/>
  <c r="L1441" i="10" s="1"/>
  <c r="J1423" i="10"/>
  <c r="L1423" i="10" s="1"/>
  <c r="J1422" i="10"/>
  <c r="K1422" i="10" s="1"/>
  <c r="J1411" i="10"/>
  <c r="K1411" i="10" s="1"/>
  <c r="J1410" i="10"/>
  <c r="J1376" i="10"/>
  <c r="J1375" i="10"/>
  <c r="J1560" i="10"/>
  <c r="J1497" i="10"/>
  <c r="J1496" i="10"/>
  <c r="J1440" i="10"/>
  <c r="K1440" i="10" s="1"/>
  <c r="J1576" i="10"/>
  <c r="K1576" i="10" s="1"/>
  <c r="J1575" i="10"/>
  <c r="L1575" i="10" s="1"/>
  <c r="J1559" i="10"/>
  <c r="J1558" i="10"/>
  <c r="K1558" i="10" s="1"/>
  <c r="J1557" i="10"/>
  <c r="J1556" i="10"/>
  <c r="J1555" i="10"/>
  <c r="L1555" i="10" s="1"/>
  <c r="J1495" i="10"/>
  <c r="K1495" i="10" s="1"/>
  <c r="J1494" i="10"/>
  <c r="J1493" i="10"/>
  <c r="L1493" i="10" s="1"/>
  <c r="J1549" i="10"/>
  <c r="J1548" i="10"/>
  <c r="K1548" i="10" s="1"/>
  <c r="J1547" i="10"/>
  <c r="J1489" i="10"/>
  <c r="J1488" i="10"/>
  <c r="L1488" i="10" s="1"/>
  <c r="J1487" i="10"/>
  <c r="K1487" i="10" s="1"/>
  <c r="J1486" i="10"/>
  <c r="K1486" i="10" s="1"/>
  <c r="J1437" i="10"/>
  <c r="J1419" i="10"/>
  <c r="L1419" i="10" s="1"/>
  <c r="J1409" i="10"/>
  <c r="J1391" i="10"/>
  <c r="L1391" i="10" s="1"/>
  <c r="J1357" i="10"/>
  <c r="K1357" i="10" s="1"/>
  <c r="J1546" i="10"/>
  <c r="J1485" i="10"/>
  <c r="K1485" i="10" s="1"/>
  <c r="J1484" i="10"/>
  <c r="J1436" i="10"/>
  <c r="J1390" i="10"/>
  <c r="J1389" i="10"/>
  <c r="J1373" i="10"/>
  <c r="J1356" i="10"/>
  <c r="L1356" i="10" s="1"/>
  <c r="J1545" i="10"/>
  <c r="J1544" i="10"/>
  <c r="K1544" i="10" s="1"/>
  <c r="J1483" i="10"/>
  <c r="L1483" i="10" s="1"/>
  <c r="J1388" i="10"/>
  <c r="L1388" i="10" s="1"/>
  <c r="J1387" i="10"/>
  <c r="J1386" i="10"/>
  <c r="K1386" i="10" s="1"/>
  <c r="J1372" i="10"/>
  <c r="J1371" i="10"/>
  <c r="L1371" i="10" s="1"/>
  <c r="J1355" i="10"/>
  <c r="L1355" i="10" s="1"/>
  <c r="J1543" i="10"/>
  <c r="K1543" i="10" s="1"/>
  <c r="J1542" i="10"/>
  <c r="J1482" i="10"/>
  <c r="L1482" i="10" s="1"/>
  <c r="J1481" i="10"/>
  <c r="J1435" i="10"/>
  <c r="K1435" i="10" s="1"/>
  <c r="J1418" i="10"/>
  <c r="J1408" i="10"/>
  <c r="L1408" i="10" s="1"/>
  <c r="J1407" i="10"/>
  <c r="L1407" i="10" s="1"/>
  <c r="J1385" i="10"/>
  <c r="K1385" i="10" s="1"/>
  <c r="J1384" i="10"/>
  <c r="L1384" i="10" s="1"/>
  <c r="J1383" i="10"/>
  <c r="L1383" i="10" s="1"/>
  <c r="J1370" i="10"/>
  <c r="J1369" i="10"/>
  <c r="K1369" i="10" s="1"/>
  <c r="J1354" i="10"/>
  <c r="J1353" i="10"/>
  <c r="K1353" i="10" s="1"/>
  <c r="J1352" i="10"/>
  <c r="L1352" i="10" s="1"/>
  <c r="J1573" i="10"/>
  <c r="J1572" i="10"/>
  <c r="J1541" i="10"/>
  <c r="J1540" i="10"/>
  <c r="L1540" i="10" s="1"/>
  <c r="J1539" i="10"/>
  <c r="J1538" i="10"/>
  <c r="L1538" i="10" s="1"/>
  <c r="J1537" i="10"/>
  <c r="K1537" i="10" s="1"/>
  <c r="J1536" i="10"/>
  <c r="J1480" i="10"/>
  <c r="J1479" i="10"/>
  <c r="J1478" i="10"/>
  <c r="L1478" i="10" s="1"/>
  <c r="J1477" i="10"/>
  <c r="L1477" i="10" s="1"/>
  <c r="J1476" i="10"/>
  <c r="K1476" i="10" s="1"/>
  <c r="J1475" i="10"/>
  <c r="L1475" i="10" s="1"/>
  <c r="J1434" i="10"/>
  <c r="K1434" i="10" s="1"/>
  <c r="J1433" i="10"/>
  <c r="L1433" i="10" s="1"/>
  <c r="J1417" i="10"/>
  <c r="K1417" i="10" s="1"/>
  <c r="J1416" i="10"/>
  <c r="J1406" i="10"/>
  <c r="L1406" i="10" s="1"/>
  <c r="J1405" i="10"/>
  <c r="L1405" i="10" s="1"/>
  <c r="J1404" i="10"/>
  <c r="K1404" i="10" s="1"/>
  <c r="J1382" i="10"/>
  <c r="L1382" i="10" s="1"/>
  <c r="J1381" i="10"/>
  <c r="J1380" i="10"/>
  <c r="L1380" i="10" s="1"/>
  <c r="J1379" i="10"/>
  <c r="J1368" i="10"/>
  <c r="J1367" i="10"/>
  <c r="L1367" i="10" s="1"/>
  <c r="J1366" i="10"/>
  <c r="J1365" i="10"/>
  <c r="K1365" i="10" s="1"/>
  <c r="J1364" i="10"/>
  <c r="K1364" i="10" s="1"/>
  <c r="J1363" i="10"/>
  <c r="J1351" i="10"/>
  <c r="L1351" i="10" s="1"/>
  <c r="J1350" i="10"/>
  <c r="J1349" i="10"/>
  <c r="L1349" i="10" s="1"/>
  <c r="J1348" i="10"/>
  <c r="J1347" i="10"/>
  <c r="L1347" i="10" s="1"/>
  <c r="J1346" i="10"/>
  <c r="J1345" i="10"/>
  <c r="J1344" i="10"/>
  <c r="J1343" i="10"/>
  <c r="J1342" i="10"/>
  <c r="J1530" i="10"/>
  <c r="L1530" i="10" s="1"/>
  <c r="J1466" i="10"/>
  <c r="L1466" i="10" s="1"/>
  <c r="J1465" i="10"/>
  <c r="L1465" i="10" s="1"/>
  <c r="J1571" i="10"/>
  <c r="K1571" i="10" s="1"/>
  <c r="J1535" i="10"/>
  <c r="J1534" i="10"/>
  <c r="L1534" i="10" s="1"/>
  <c r="J1533" i="10"/>
  <c r="L1533" i="10" s="1"/>
  <c r="J1474" i="10"/>
  <c r="J1473" i="10"/>
  <c r="L1473" i="10" s="1"/>
  <c r="J1432" i="10"/>
  <c r="L1432" i="10" s="1"/>
  <c r="J1415" i="10"/>
  <c r="L1415" i="10" s="1"/>
  <c r="J1403" i="10"/>
  <c r="K1403" i="10" s="1"/>
  <c r="J1402" i="10"/>
  <c r="K1402" i="10" s="1"/>
  <c r="J1401" i="10"/>
  <c r="L1401" i="10" s="1"/>
  <c r="J1414" i="10"/>
  <c r="L1414" i="10" s="1"/>
  <c r="J1566" i="10"/>
  <c r="J1511" i="10"/>
  <c r="L1511" i="10" s="1"/>
  <c r="J1510" i="10"/>
  <c r="J1509" i="10"/>
  <c r="L1509" i="10" s="1"/>
  <c r="J1508" i="10"/>
  <c r="K1508" i="10" s="1"/>
  <c r="J1449" i="10"/>
  <c r="J1448" i="10"/>
  <c r="L1448" i="10" s="1"/>
  <c r="J1447" i="10"/>
  <c r="L1447" i="10" s="1"/>
  <c r="J1446" i="10"/>
  <c r="K1446" i="10" s="1"/>
  <c r="J1445" i="10"/>
  <c r="J1444" i="10"/>
  <c r="J1426" i="10"/>
  <c r="L1426" i="10" s="1"/>
  <c r="J1425" i="10"/>
  <c r="J1424" i="10"/>
  <c r="K1424" i="10" s="1"/>
  <c r="J1413" i="10"/>
  <c r="J1397" i="10"/>
  <c r="J1532" i="10"/>
  <c r="K1532" i="10" s="1"/>
  <c r="J1472" i="10"/>
  <c r="J1471" i="10"/>
  <c r="L1471" i="10" s="1"/>
  <c r="J1470" i="10"/>
  <c r="L1470" i="10" s="1"/>
  <c r="J1531" i="10"/>
  <c r="K1531" i="10" s="1"/>
  <c r="J1469" i="10"/>
  <c r="L1469" i="10" s="1"/>
  <c r="J1502" i="10"/>
  <c r="J1565" i="10"/>
  <c r="L1565" i="10" s="1"/>
  <c r="J1468" i="10"/>
  <c r="K1468" i="10" s="1"/>
  <c r="J1467" i="10"/>
  <c r="J1526" i="10"/>
  <c r="L1526" i="10" s="1"/>
  <c r="J1464" i="10"/>
  <c r="J1430" i="10"/>
  <c r="K1430" i="10" s="1"/>
  <c r="J1529" i="10"/>
  <c r="J1570" i="10"/>
  <c r="J1528" i="10"/>
  <c r="L1528" i="10" s="1"/>
  <c r="J1527" i="10"/>
  <c r="K1527" i="10" s="1"/>
  <c r="J1431" i="10"/>
  <c r="K1431" i="10" s="1"/>
  <c r="J1525" i="10"/>
  <c r="J1463" i="10"/>
  <c r="L1463" i="10" s="1"/>
  <c r="J1579" i="10"/>
  <c r="J1569" i="10"/>
  <c r="L1569" i="10" s="1"/>
  <c r="J1568" i="10"/>
  <c r="K1568" i="10" s="1"/>
  <c r="J1524" i="10"/>
  <c r="J1523" i="10"/>
  <c r="K1523" i="10" s="1"/>
  <c r="J1522" i="10"/>
  <c r="L1522" i="10" s="1"/>
  <c r="J1521" i="10"/>
  <c r="J1520" i="10"/>
  <c r="J1462" i="10"/>
  <c r="J1461" i="10"/>
  <c r="J1460" i="10"/>
  <c r="L1460" i="10" s="1"/>
  <c r="J1459" i="10"/>
  <c r="J1458" i="10"/>
  <c r="K1458" i="10" s="1"/>
  <c r="J1457" i="10"/>
  <c r="J1429" i="10"/>
  <c r="L1429" i="10" s="1"/>
  <c r="J1392" i="10"/>
  <c r="J1374" i="10"/>
  <c r="K1374" i="10" s="1"/>
  <c r="L1518" i="10"/>
  <c r="L1517" i="10"/>
  <c r="K1456" i="10"/>
  <c r="L1455" i="10"/>
  <c r="L1454" i="10"/>
  <c r="K1400" i="10"/>
  <c r="L1398" i="10"/>
  <c r="L1378" i="10"/>
  <c r="K1362" i="10"/>
  <c r="L1361" i="10"/>
  <c r="L1360" i="10"/>
  <c r="K1341" i="10"/>
  <c r="L1341" i="10"/>
  <c r="K1340" i="10"/>
  <c r="J1567" i="10"/>
  <c r="K1567" i="10" s="1"/>
  <c r="J1516" i="10"/>
  <c r="J1515" i="10"/>
  <c r="L1515" i="10" s="1"/>
  <c r="J1514" i="10"/>
  <c r="K1514" i="10" s="1"/>
  <c r="J1453" i="10"/>
  <c r="J1452" i="10"/>
  <c r="J1427" i="10"/>
  <c r="L1427" i="10" s="1"/>
  <c r="J1513" i="10"/>
  <c r="J1512" i="10"/>
  <c r="L1512" i="10" s="1"/>
  <c r="J1451" i="10"/>
  <c r="J1450" i="10"/>
  <c r="J1412" i="10"/>
  <c r="K1412" i="10" s="1"/>
  <c r="J1377" i="10"/>
  <c r="L1377" i="10" s="1"/>
  <c r="L1396" i="10"/>
  <c r="J1334" i="10"/>
  <c r="J1333" i="10"/>
  <c r="K1333" i="10" s="1"/>
  <c r="J1318" i="10"/>
  <c r="J1267" i="10"/>
  <c r="K1267" i="10" s="1"/>
  <c r="J1266" i="10"/>
  <c r="L1266" i="10" s="1"/>
  <c r="J1213" i="10"/>
  <c r="K1213" i="10" s="1"/>
  <c r="J1139" i="10"/>
  <c r="J1138" i="10"/>
  <c r="L1138" i="10" s="1"/>
  <c r="J1137" i="10"/>
  <c r="J1108" i="10"/>
  <c r="K1108" i="10" s="1"/>
  <c r="J1107" i="10"/>
  <c r="J1106" i="10"/>
  <c r="J1105" i="10"/>
  <c r="L1105" i="10" s="1"/>
  <c r="J1104" i="10"/>
  <c r="K1104" i="10" s="1"/>
  <c r="J1050" i="10"/>
  <c r="J1049" i="10"/>
  <c r="L1049" i="10" s="1"/>
  <c r="J1048" i="10"/>
  <c r="L1048" i="10" s="1"/>
  <c r="J1332" i="10"/>
  <c r="K1332" i="10" s="1"/>
  <c r="J1316" i="10"/>
  <c r="L1316" i="10" s="1"/>
  <c r="J1315" i="10"/>
  <c r="L1315" i="10" s="1"/>
  <c r="J1263" i="10"/>
  <c r="L1263" i="10" s="1"/>
  <c r="J1262" i="10"/>
  <c r="J1256" i="10"/>
  <c r="J1210" i="10"/>
  <c r="J1178" i="10"/>
  <c r="L1178" i="10" s="1"/>
  <c r="J1161" i="10"/>
  <c r="J1102" i="10"/>
  <c r="K1102" i="10" s="1"/>
  <c r="J1080" i="10"/>
  <c r="K1080" i="10" s="1"/>
  <c r="J1328" i="10"/>
  <c r="J1306" i="10"/>
  <c r="J1305" i="10"/>
  <c r="J1255" i="10"/>
  <c r="L1255" i="10" s="1"/>
  <c r="J1254" i="10"/>
  <c r="L1254" i="10" s="1"/>
  <c r="J1253" i="10"/>
  <c r="K1253" i="10" s="1"/>
  <c r="J1252" i="10"/>
  <c r="K1252" i="10" s="1"/>
  <c r="J1251" i="10"/>
  <c r="L1251" i="10" s="1"/>
  <c r="J1209" i="10"/>
  <c r="L1209" i="10" s="1"/>
  <c r="J1208" i="10"/>
  <c r="J1177" i="10"/>
  <c r="J1176" i="10"/>
  <c r="L1176" i="10" s="1"/>
  <c r="J1175" i="10"/>
  <c r="L1175" i="10" s="1"/>
  <c r="J1160" i="10"/>
  <c r="K1160" i="10" s="1"/>
  <c r="J1101" i="10"/>
  <c r="K1101" i="10" s="1"/>
  <c r="J1079" i="10"/>
  <c r="J1078" i="10"/>
  <c r="L1078" i="10" s="1"/>
  <c r="J1056" i="10"/>
  <c r="J1265" i="10"/>
  <c r="J1163" i="10"/>
  <c r="L1163" i="10" s="1"/>
  <c r="J1331" i="10"/>
  <c r="J1314" i="10"/>
  <c r="J1313" i="10"/>
  <c r="J1312" i="10"/>
  <c r="J1261" i="10"/>
  <c r="J1260" i="10"/>
  <c r="J1259" i="10"/>
  <c r="K1259" i="10" s="1"/>
  <c r="J1258" i="10"/>
  <c r="J1180" i="10"/>
  <c r="L1180" i="10" s="1"/>
  <c r="J1179" i="10"/>
  <c r="J1162" i="10"/>
  <c r="L1162" i="10" s="1"/>
  <c r="J1136" i="10"/>
  <c r="J1330" i="10"/>
  <c r="J1329" i="10"/>
  <c r="J1311" i="10"/>
  <c r="J1310" i="10"/>
  <c r="L1310" i="10" s="1"/>
  <c r="J1309" i="10"/>
  <c r="L1309" i="10" s="1"/>
  <c r="J1308" i="10"/>
  <c r="K1308" i="10" s="1"/>
  <c r="J1307" i="10"/>
  <c r="L1307" i="10" s="1"/>
  <c r="J1257" i="10"/>
  <c r="J1103" i="10"/>
  <c r="L1103" i="10" s="1"/>
  <c r="J1327" i="10"/>
  <c r="J1304" i="10"/>
  <c r="J1303" i="10"/>
  <c r="L1303" i="10" s="1"/>
  <c r="J1302" i="10"/>
  <c r="L1302" i="10" s="1"/>
  <c r="J1301" i="10"/>
  <c r="K1301" i="10" s="1"/>
  <c r="J1250" i="10"/>
  <c r="L1250" i="10" s="1"/>
  <c r="J1249" i="10"/>
  <c r="L1249" i="10" s="1"/>
  <c r="J1248" i="10"/>
  <c r="L1248" i="10" s="1"/>
  <c r="J1247" i="10"/>
  <c r="J1246" i="10"/>
  <c r="K1246" i="10" s="1"/>
  <c r="J1245" i="10"/>
  <c r="L1245" i="10" s="1"/>
  <c r="J1207" i="10"/>
  <c r="L1207" i="10" s="1"/>
  <c r="J1206" i="10"/>
  <c r="K1206" i="10" s="1"/>
  <c r="J1205" i="10"/>
  <c r="J1204" i="10"/>
  <c r="K1204" i="10" s="1"/>
  <c r="J1174" i="10"/>
  <c r="L1174" i="10" s="1"/>
  <c r="J1075" i="10"/>
  <c r="K1075" i="10" s="1"/>
  <c r="J1074" i="10"/>
  <c r="L1074" i="10" s="1"/>
  <c r="J1300" i="10"/>
  <c r="J1299" i="10"/>
  <c r="J1244" i="10"/>
  <c r="J1243" i="10"/>
  <c r="L1243" i="10" s="1"/>
  <c r="J1203" i="10"/>
  <c r="J1202" i="10"/>
  <c r="J1173" i="10"/>
  <c r="K1173" i="10" s="1"/>
  <c r="J1172" i="10"/>
  <c r="L1172" i="10" s="1"/>
  <c r="J1171" i="10"/>
  <c r="L1171" i="10" s="1"/>
  <c r="J1159" i="10"/>
  <c r="L1159" i="10" s="1"/>
  <c r="J1158" i="10"/>
  <c r="K1158" i="10" s="1"/>
  <c r="J1135" i="10"/>
  <c r="L1135" i="10" s="1"/>
  <c r="J1134" i="10"/>
  <c r="J1098" i="10"/>
  <c r="L1098" i="10" s="1"/>
  <c r="J1097" i="10"/>
  <c r="K1097" i="10" s="1"/>
  <c r="J1073" i="10"/>
  <c r="L1073" i="10" s="1"/>
  <c r="J1072" i="10"/>
  <c r="L1072" i="10" s="1"/>
  <c r="J1242" i="10"/>
  <c r="J1201" i="10"/>
  <c r="K1201" i="10" s="1"/>
  <c r="J1133" i="10"/>
  <c r="L1133" i="10" s="1"/>
  <c r="J1096" i="10"/>
  <c r="J1071" i="10"/>
  <c r="L1071" i="10" s="1"/>
  <c r="J1298" i="10"/>
  <c r="K1298" i="10" s="1"/>
  <c r="J1241" i="10"/>
  <c r="L1241" i="10" s="1"/>
  <c r="J1240" i="10"/>
  <c r="J1200" i="10"/>
  <c r="L1200" i="10" s="1"/>
  <c r="J1170" i="10"/>
  <c r="J1157" i="10"/>
  <c r="K1157" i="10" s="1"/>
  <c r="J1132" i="10"/>
  <c r="J1095" i="10"/>
  <c r="J1094" i="10"/>
  <c r="K1094" i="10" s="1"/>
  <c r="J1070" i="10"/>
  <c r="L1070" i="10" s="1"/>
  <c r="J1069" i="10"/>
  <c r="J1068" i="10"/>
  <c r="J1326" i="10"/>
  <c r="J1325" i="10"/>
  <c r="J1297" i="10"/>
  <c r="K1297" i="10" s="1"/>
  <c r="J1296" i="10"/>
  <c r="J1295" i="10"/>
  <c r="K1295" i="10" s="1"/>
  <c r="J1294" i="10"/>
  <c r="J1293" i="10"/>
  <c r="L1293" i="10" s="1"/>
  <c r="J1292" i="10"/>
  <c r="J1291" i="10"/>
  <c r="K1291" i="10" s="1"/>
  <c r="J1239" i="10"/>
  <c r="J1238" i="10"/>
  <c r="K1238" i="10" s="1"/>
  <c r="J1237" i="10"/>
  <c r="L1237" i="10" s="1"/>
  <c r="J1236" i="10"/>
  <c r="J1199" i="10"/>
  <c r="L1199" i="10" s="1"/>
  <c r="J1198" i="10"/>
  <c r="L1198" i="10" s="1"/>
  <c r="J1197" i="10"/>
  <c r="J1196" i="10"/>
  <c r="K1196" i="10" s="1"/>
  <c r="J1195" i="10"/>
  <c r="J1169" i="10"/>
  <c r="J1168" i="10"/>
  <c r="L1168" i="10" s="1"/>
  <c r="J1167" i="10"/>
  <c r="K1167" i="10" s="1"/>
  <c r="J1156" i="10"/>
  <c r="L1156" i="10" s="1"/>
  <c r="J1155" i="10"/>
  <c r="L1155" i="10" s="1"/>
  <c r="J1154" i="10"/>
  <c r="J1131" i="10"/>
  <c r="K1131" i="10" s="1"/>
  <c r="J1130" i="10"/>
  <c r="J1129" i="10"/>
  <c r="J1128" i="10"/>
  <c r="L1128" i="10" s="1"/>
  <c r="J1127" i="10"/>
  <c r="K1127" i="10" s="1"/>
  <c r="J1126" i="10"/>
  <c r="J1093" i="10"/>
  <c r="J1092" i="10"/>
  <c r="L1092" i="10" s="1"/>
  <c r="J1091" i="10"/>
  <c r="J1090" i="10"/>
  <c r="K1090" i="10" s="1"/>
  <c r="J1089" i="10"/>
  <c r="L1089" i="10" s="1"/>
  <c r="J1088" i="10"/>
  <c r="J1087" i="10"/>
  <c r="K1087" i="10" s="1"/>
  <c r="J1067" i="10"/>
  <c r="J1066" i="10"/>
  <c r="L1066" i="10" s="1"/>
  <c r="J1065" i="10"/>
  <c r="L1065" i="10" s="1"/>
  <c r="J1064" i="10"/>
  <c r="K1064" i="10" s="1"/>
  <c r="J1063" i="10"/>
  <c r="K1063" i="10" s="1"/>
  <c r="J1062" i="10"/>
  <c r="K1062" i="10" s="1"/>
  <c r="J1061" i="10"/>
  <c r="L1061" i="10" s="1"/>
  <c r="J1052" i="10"/>
  <c r="K1052" i="10" s="1"/>
  <c r="J1149" i="10"/>
  <c r="J1117" i="10"/>
  <c r="L1117" i="10" s="1"/>
  <c r="J1085" i="10"/>
  <c r="L1085" i="10" s="1"/>
  <c r="J1057" i="10"/>
  <c r="K1057" i="10" s="1"/>
  <c r="J1191" i="10"/>
  <c r="K1191" i="10" s="1"/>
  <c r="J1148" i="10"/>
  <c r="L1148" i="10" s="1"/>
  <c r="L1125" i="10"/>
  <c r="K1124" i="10"/>
  <c r="J1290" i="10"/>
  <c r="L1290" i="10" s="1"/>
  <c r="J1235" i="10"/>
  <c r="J1234" i="10"/>
  <c r="J1233" i="10"/>
  <c r="L1233" i="10" s="1"/>
  <c r="J1232" i="10"/>
  <c r="J1194" i="10"/>
  <c r="J1193" i="10"/>
  <c r="J1153" i="10"/>
  <c r="J1152" i="10"/>
  <c r="J1151" i="10"/>
  <c r="L1151" i="10" s="1"/>
  <c r="J1150" i="10"/>
  <c r="J1123" i="10"/>
  <c r="L1123" i="10" s="1"/>
  <c r="J1122" i="10"/>
  <c r="J1121" i="10"/>
  <c r="J1120" i="10"/>
  <c r="J1119" i="10"/>
  <c r="J1118" i="10"/>
  <c r="L1118" i="10" s="1"/>
  <c r="J1059" i="10"/>
  <c r="L1059" i="10" s="1"/>
  <c r="J1058" i="10"/>
  <c r="K1058" i="10" s="1"/>
  <c r="J1051" i="10"/>
  <c r="L1051" i="10" s="1"/>
  <c r="J1321" i="10"/>
  <c r="L1321" i="10" s="1"/>
  <c r="J1320" i="10"/>
  <c r="L1320" i="10" s="1"/>
  <c r="J1319" i="10"/>
  <c r="J1271" i="10"/>
  <c r="K1271" i="10" s="1"/>
  <c r="J1270" i="10"/>
  <c r="L1270" i="10" s="1"/>
  <c r="J1269" i="10"/>
  <c r="L1269" i="10" s="1"/>
  <c r="J1268" i="10"/>
  <c r="K1268" i="10" s="1"/>
  <c r="J1219" i="10"/>
  <c r="J1218" i="10"/>
  <c r="K1218" i="10" s="1"/>
  <c r="J1217" i="10"/>
  <c r="K1217" i="10" s="1"/>
  <c r="J1216" i="10"/>
  <c r="J1215" i="10"/>
  <c r="K1215" i="10" s="1"/>
  <c r="J1185" i="10"/>
  <c r="J1184" i="10"/>
  <c r="J1183" i="10"/>
  <c r="L1183" i="10" s="1"/>
  <c r="J1182" i="10"/>
  <c r="J1181" i="10"/>
  <c r="L1181" i="10" s="1"/>
  <c r="J1164" i="10"/>
  <c r="K1164" i="10" s="1"/>
  <c r="J1141" i="10"/>
  <c r="J1140" i="10"/>
  <c r="K1140" i="10" s="1"/>
  <c r="J1212" i="10"/>
  <c r="J1289" i="10"/>
  <c r="J1288" i="10"/>
  <c r="L1288" i="10" s="1"/>
  <c r="J1287" i="10"/>
  <c r="J1086" i="10"/>
  <c r="J1192" i="10"/>
  <c r="K1192" i="10" s="1"/>
  <c r="J1317" i="10"/>
  <c r="J1264" i="10"/>
  <c r="K1264" i="10" s="1"/>
  <c r="J1211" i="10"/>
  <c r="J1286" i="10"/>
  <c r="L1286" i="10" s="1"/>
  <c r="J1285" i="10"/>
  <c r="L1285" i="10" s="1"/>
  <c r="J1116" i="10"/>
  <c r="J1115" i="10"/>
  <c r="K1115" i="10" s="1"/>
  <c r="J1114" i="10"/>
  <c r="J1113" i="10"/>
  <c r="L1113" i="10" s="1"/>
  <c r="J1214" i="10"/>
  <c r="K1214" i="10" s="1"/>
  <c r="J1283" i="10"/>
  <c r="J1324" i="10"/>
  <c r="L1324" i="10" s="1"/>
  <c r="J1323" i="10"/>
  <c r="L1323" i="10" s="1"/>
  <c r="J1284" i="10"/>
  <c r="K1284" i="10" s="1"/>
  <c r="J1231" i="10"/>
  <c r="L1231" i="10" s="1"/>
  <c r="J1147" i="10"/>
  <c r="K1147" i="10" s="1"/>
  <c r="J1146" i="10"/>
  <c r="L1146" i="10" s="1"/>
  <c r="J1145" i="10"/>
  <c r="K1145" i="10" s="1"/>
  <c r="J1112" i="10"/>
  <c r="J1282" i="10"/>
  <c r="L1282" i="10" s="1"/>
  <c r="L1190" i="10"/>
  <c r="J1281" i="10"/>
  <c r="J1230" i="10"/>
  <c r="J1229" i="10"/>
  <c r="K1229" i="10" s="1"/>
  <c r="J1322" i="10"/>
  <c r="J1280" i="10"/>
  <c r="K1280" i="10" s="1"/>
  <c r="J1279" i="10"/>
  <c r="J1228" i="10"/>
  <c r="L1228" i="10" s="1"/>
  <c r="J1227" i="10"/>
  <c r="L1227" i="10" s="1"/>
  <c r="J1226" i="10"/>
  <c r="K1226" i="10" s="1"/>
  <c r="J1225" i="10"/>
  <c r="L1225" i="10" s="1"/>
  <c r="J1100" i="10"/>
  <c r="J1099" i="10"/>
  <c r="L1099" i="10" s="1"/>
  <c r="J1077" i="10"/>
  <c r="K1077" i="10" s="1"/>
  <c r="J1076" i="10"/>
  <c r="K1076" i="10" s="1"/>
  <c r="L1278" i="10"/>
  <c r="L1277" i="10"/>
  <c r="K1224" i="10"/>
  <c r="K1189" i="10"/>
  <c r="L1166" i="10"/>
  <c r="K1165" i="10"/>
  <c r="K1144" i="10"/>
  <c r="L1142" i="10"/>
  <c r="K1111" i="10"/>
  <c r="L1110" i="10"/>
  <c r="L1109" i="10"/>
  <c r="K1109" i="10"/>
  <c r="L1084" i="10"/>
  <c r="K1083" i="10"/>
  <c r="L1082" i="10"/>
  <c r="K1055" i="10"/>
  <c r="L1055" i="10"/>
  <c r="L1054" i="10"/>
  <c r="K1053" i="10"/>
  <c r="J1223" i="10"/>
  <c r="J1276" i="10"/>
  <c r="K1276" i="10" s="1"/>
  <c r="J1275" i="10"/>
  <c r="J1274" i="10"/>
  <c r="K1274" i="10" s="1"/>
  <c r="J1273" i="10"/>
  <c r="J1222" i="10"/>
  <c r="L1222" i="10" s="1"/>
  <c r="J1221" i="10"/>
  <c r="L1221" i="10" s="1"/>
  <c r="J1187" i="10"/>
  <c r="K1187" i="10" s="1"/>
  <c r="J1186" i="10"/>
  <c r="L1186" i="10" s="1"/>
  <c r="J1081" i="10"/>
  <c r="J1272" i="10"/>
  <c r="L1272" i="10" s="1"/>
  <c r="J1220" i="10"/>
  <c r="K1220" i="10" s="1"/>
  <c r="J1046" i="10"/>
  <c r="J970" i="10"/>
  <c r="L970" i="10" s="1"/>
  <c r="J908" i="10"/>
  <c r="L908" i="10" s="1"/>
  <c r="J907" i="10"/>
  <c r="K907" i="10" s="1"/>
  <c r="J906" i="10"/>
  <c r="K906" i="10" s="1"/>
  <c r="J868" i="10"/>
  <c r="J841" i="10"/>
  <c r="L841" i="10" s="1"/>
  <c r="J822" i="10"/>
  <c r="K822" i="10" s="1"/>
  <c r="J772" i="10"/>
  <c r="J771" i="10"/>
  <c r="J745" i="10"/>
  <c r="L745" i="10" s="1"/>
  <c r="J744" i="10"/>
  <c r="K744" i="10" s="1"/>
  <c r="J743" i="10"/>
  <c r="L743" i="10" s="1"/>
  <c r="J740" i="10"/>
  <c r="K740" i="10" s="1"/>
  <c r="J739" i="10"/>
  <c r="L739" i="10" s="1"/>
  <c r="J738" i="10"/>
  <c r="K738" i="10" s="1"/>
  <c r="J1016" i="10"/>
  <c r="J960" i="10"/>
  <c r="L960" i="10" s="1"/>
  <c r="J900" i="10"/>
  <c r="L900" i="10" s="1"/>
  <c r="J864" i="10"/>
  <c r="K864" i="10" s="1"/>
  <c r="J863" i="10"/>
  <c r="J862" i="10"/>
  <c r="K862" i="10" s="1"/>
  <c r="J839" i="10"/>
  <c r="J838" i="10"/>
  <c r="K838" i="10" s="1"/>
  <c r="J1015" i="10"/>
  <c r="J861" i="10"/>
  <c r="L861" i="10" s="1"/>
  <c r="J837" i="10"/>
  <c r="L837" i="10" s="1"/>
  <c r="J820" i="10"/>
  <c r="K820" i="10" s="1"/>
  <c r="J803" i="10"/>
  <c r="J1040" i="10"/>
  <c r="J1014" i="10"/>
  <c r="L1014" i="10" s="1"/>
  <c r="J1013" i="10"/>
  <c r="K1013" i="10" s="1"/>
  <c r="J959" i="10"/>
  <c r="L959" i="10" s="1"/>
  <c r="J958" i="10"/>
  <c r="J957" i="10"/>
  <c r="L957" i="10" s="1"/>
  <c r="J956" i="10"/>
  <c r="K956" i="10" s="1"/>
  <c r="J899" i="10"/>
  <c r="J898" i="10"/>
  <c r="J860" i="10"/>
  <c r="L860" i="10" s="1"/>
  <c r="J859" i="10"/>
  <c r="K859" i="10" s="1"/>
  <c r="J836" i="10"/>
  <c r="J835" i="10"/>
  <c r="J819" i="10"/>
  <c r="L819" i="10" s="1"/>
  <c r="J818" i="10"/>
  <c r="K818" i="10" s="1"/>
  <c r="J817" i="10"/>
  <c r="L817" i="10" s="1"/>
  <c r="J802" i="10"/>
  <c r="J801" i="10"/>
  <c r="J800" i="10"/>
  <c r="K800" i="10" s="1"/>
  <c r="J799" i="10"/>
  <c r="L799" i="10" s="1"/>
  <c r="J798" i="10"/>
  <c r="J797" i="10"/>
  <c r="L797" i="10" s="1"/>
  <c r="J796" i="10"/>
  <c r="K796" i="10" s="1"/>
  <c r="J769" i="10"/>
  <c r="J768" i="10"/>
  <c r="K768" i="10" s="1"/>
  <c r="J807" i="10"/>
  <c r="J971" i="10"/>
  <c r="K971" i="10" s="1"/>
  <c r="J774" i="10"/>
  <c r="J773" i="10"/>
  <c r="L773" i="10" s="1"/>
  <c r="J746" i="10"/>
  <c r="L746" i="10" s="1"/>
  <c r="J1044" i="10"/>
  <c r="K1044" i="10" s="1"/>
  <c r="J1025" i="10"/>
  <c r="J1024" i="10"/>
  <c r="K1024" i="10" s="1"/>
  <c r="J969" i="10"/>
  <c r="J968" i="10"/>
  <c r="K968" i="10" s="1"/>
  <c r="J967" i="10"/>
  <c r="L967" i="10" s="1"/>
  <c r="J904" i="10"/>
  <c r="L904" i="10" s="1"/>
  <c r="J903" i="10"/>
  <c r="L903" i="10" s="1"/>
  <c r="J902" i="10"/>
  <c r="K902" i="10" s="1"/>
  <c r="J867" i="10"/>
  <c r="J866" i="10"/>
  <c r="J865" i="10"/>
  <c r="J840" i="10"/>
  <c r="K840" i="10" s="1"/>
  <c r="J804" i="10"/>
  <c r="K804" i="10" s="1"/>
  <c r="J770" i="10"/>
  <c r="J966" i="10"/>
  <c r="L966" i="10" s="1"/>
  <c r="J965" i="10"/>
  <c r="K965" i="10" s="1"/>
  <c r="J1043" i="10"/>
  <c r="J1042" i="10"/>
  <c r="K1042" i="10" s="1"/>
  <c r="J1041" i="10"/>
  <c r="J1023" i="10"/>
  <c r="K1023" i="10" s="1"/>
  <c r="J1022" i="10"/>
  <c r="L1022" i="10" s="1"/>
  <c r="J1021" i="10"/>
  <c r="L1021" i="10" s="1"/>
  <c r="J1020" i="10"/>
  <c r="L1020" i="10" s="1"/>
  <c r="J964" i="10"/>
  <c r="K964" i="10" s="1"/>
  <c r="J963" i="10"/>
  <c r="K963" i="10" s="1"/>
  <c r="J1019" i="10"/>
  <c r="J1018" i="10"/>
  <c r="J1017" i="10"/>
  <c r="K1017" i="10" s="1"/>
  <c r="J962" i="10"/>
  <c r="J961" i="10"/>
  <c r="J901" i="10"/>
  <c r="L901" i="10" s="1"/>
  <c r="J821" i="10"/>
  <c r="K821" i="10" s="1"/>
  <c r="J1039" i="10"/>
  <c r="L1039" i="10" s="1"/>
  <c r="J1012" i="10"/>
  <c r="K1012" i="10" s="1"/>
  <c r="J1011" i="10"/>
  <c r="J1010" i="10"/>
  <c r="K1010" i="10" s="1"/>
  <c r="J1009" i="10"/>
  <c r="J955" i="10"/>
  <c r="L955" i="10" s="1"/>
  <c r="J954" i="10"/>
  <c r="L954" i="10" s="1"/>
  <c r="J953" i="10"/>
  <c r="K953" i="10" s="1"/>
  <c r="J952" i="10"/>
  <c r="J951" i="10"/>
  <c r="J897" i="10"/>
  <c r="J896" i="10"/>
  <c r="K896" i="10" s="1"/>
  <c r="J816" i="10"/>
  <c r="K816" i="10" s="1"/>
  <c r="J795" i="10"/>
  <c r="J767" i="10"/>
  <c r="L767" i="10" s="1"/>
  <c r="J1008" i="10"/>
  <c r="K1008" i="10" s="1"/>
  <c r="J1007" i="10"/>
  <c r="L1007" i="10" s="1"/>
  <c r="J1006" i="10"/>
  <c r="J950" i="10"/>
  <c r="J949" i="10"/>
  <c r="K949" i="10" s="1"/>
  <c r="J948" i="10"/>
  <c r="L948" i="10" s="1"/>
  <c r="J895" i="10"/>
  <c r="L895" i="10" s="1"/>
  <c r="J858" i="10"/>
  <c r="L858" i="10" s="1"/>
  <c r="J857" i="10"/>
  <c r="K857" i="10" s="1"/>
  <c r="J834" i="10"/>
  <c r="K834" i="10" s="1"/>
  <c r="J833" i="10"/>
  <c r="J815" i="10"/>
  <c r="J794" i="10"/>
  <c r="K794" i="10" s="1"/>
  <c r="J793" i="10"/>
  <c r="J792" i="10"/>
  <c r="J766" i="10"/>
  <c r="L766" i="10" s="1"/>
  <c r="J765" i="10"/>
  <c r="K765" i="10" s="1"/>
  <c r="J764" i="10"/>
  <c r="J1005" i="10"/>
  <c r="K1005" i="10" s="1"/>
  <c r="J947" i="10"/>
  <c r="J856" i="10"/>
  <c r="K856" i="10" s="1"/>
  <c r="J814" i="10"/>
  <c r="J791" i="10"/>
  <c r="L791" i="10" s="1"/>
  <c r="J790" i="10"/>
  <c r="L790" i="10" s="1"/>
  <c r="J763" i="10"/>
  <c r="K763" i="10" s="1"/>
  <c r="J1004" i="10"/>
  <c r="J946" i="10"/>
  <c r="J945" i="10"/>
  <c r="J944" i="10"/>
  <c r="K944" i="10" s="1"/>
  <c r="J855" i="10"/>
  <c r="K855" i="10" s="1"/>
  <c r="J832" i="10"/>
  <c r="J831" i="10"/>
  <c r="L831" i="10" s="1"/>
  <c r="J813" i="10"/>
  <c r="K813" i="10" s="1"/>
  <c r="J789" i="10"/>
  <c r="J788" i="10"/>
  <c r="K788" i="10" s="1"/>
  <c r="J787" i="10"/>
  <c r="L787" i="10" s="1"/>
  <c r="J762" i="10"/>
  <c r="K762" i="10" s="1"/>
  <c r="J1038" i="10"/>
  <c r="L1038" i="10" s="1"/>
  <c r="J1037" i="10"/>
  <c r="J1036" i="10"/>
  <c r="L1036" i="10" s="1"/>
  <c r="J1003" i="10"/>
  <c r="K1003" i="10" s="1"/>
  <c r="J1002" i="10"/>
  <c r="K1002" i="10" s="1"/>
  <c r="J1001" i="10"/>
  <c r="J1000" i="10"/>
  <c r="J999" i="10"/>
  <c r="K999" i="10" s="1"/>
  <c r="J943" i="10"/>
  <c r="J942" i="10"/>
  <c r="J941" i="10"/>
  <c r="L941" i="10" s="1"/>
  <c r="J940" i="10"/>
  <c r="K940" i="10" s="1"/>
  <c r="J939" i="10"/>
  <c r="L939" i="10" s="1"/>
  <c r="J938" i="10"/>
  <c r="J937" i="10"/>
  <c r="L937" i="10" s="1"/>
  <c r="J894" i="10"/>
  <c r="K894" i="10" s="1"/>
  <c r="J893" i="10"/>
  <c r="J892" i="10"/>
  <c r="L892" i="10" s="1"/>
  <c r="J891" i="10"/>
  <c r="L891" i="10" s="1"/>
  <c r="J890" i="10"/>
  <c r="K890" i="10" s="1"/>
  <c r="J854" i="10"/>
  <c r="J853" i="10"/>
  <c r="J852" i="10"/>
  <c r="J830" i="10"/>
  <c r="K830" i="10" s="1"/>
  <c r="J829" i="10"/>
  <c r="K829" i="10" s="1"/>
  <c r="J828" i="10"/>
  <c r="J812" i="10"/>
  <c r="L812" i="10" s="1"/>
  <c r="J811" i="10"/>
  <c r="K811" i="10" s="1"/>
  <c r="J810" i="10"/>
  <c r="J809" i="10"/>
  <c r="J808" i="10"/>
  <c r="J786" i="10"/>
  <c r="K786" i="10" s="1"/>
  <c r="J785" i="10"/>
  <c r="J784" i="10"/>
  <c r="J783" i="10"/>
  <c r="L783" i="10" s="1"/>
  <c r="J782" i="10"/>
  <c r="K782" i="10" s="1"/>
  <c r="J781" i="10"/>
  <c r="K781" i="10" s="1"/>
  <c r="J780" i="10"/>
  <c r="J761" i="10"/>
  <c r="J760" i="10"/>
  <c r="K760" i="10" s="1"/>
  <c r="J759" i="10"/>
  <c r="J758" i="10"/>
  <c r="J757" i="10"/>
  <c r="L757" i="10" s="1"/>
  <c r="J756" i="10"/>
  <c r="K756" i="10" s="1"/>
  <c r="J755" i="10"/>
  <c r="K755" i="10" s="1"/>
  <c r="J850" i="10"/>
  <c r="J849" i="10"/>
  <c r="L849" i="10" s="1"/>
  <c r="J826" i="10"/>
  <c r="K826" i="10" s="1"/>
  <c r="J995" i="10"/>
  <c r="J994" i="10"/>
  <c r="J929" i="10"/>
  <c r="L929" i="10" s="1"/>
  <c r="K889" i="10"/>
  <c r="J1035" i="10"/>
  <c r="J998" i="10"/>
  <c r="J997" i="10"/>
  <c r="J936" i="10"/>
  <c r="K936" i="10" s="1"/>
  <c r="J935" i="10"/>
  <c r="J934" i="10"/>
  <c r="J933" i="10"/>
  <c r="L933" i="10" s="1"/>
  <c r="J932" i="10"/>
  <c r="K932" i="10" s="1"/>
  <c r="J888" i="10"/>
  <c r="L888" i="10" s="1"/>
  <c r="J887" i="10"/>
  <c r="K887" i="10" s="1"/>
  <c r="J886" i="10"/>
  <c r="L886" i="10" s="1"/>
  <c r="J851" i="10"/>
  <c r="K851" i="10" s="1"/>
  <c r="J827" i="10"/>
  <c r="J779" i="10"/>
  <c r="L779" i="10" s="1"/>
  <c r="J754" i="10"/>
  <c r="L754" i="10" s="1"/>
  <c r="J753" i="10"/>
  <c r="K753" i="10" s="1"/>
  <c r="J752" i="10"/>
  <c r="K752" i="10" s="1"/>
  <c r="J751" i="10"/>
  <c r="J1029" i="10"/>
  <c r="J1028" i="10"/>
  <c r="K1028" i="10" s="1"/>
  <c r="J1027" i="10"/>
  <c r="J977" i="10"/>
  <c r="J976" i="10"/>
  <c r="L976" i="10" s="1"/>
  <c r="J975" i="10"/>
  <c r="K975" i="10" s="1"/>
  <c r="J974" i="10"/>
  <c r="K974" i="10" s="1"/>
  <c r="J973" i="10"/>
  <c r="J972" i="10"/>
  <c r="L972" i="10" s="1"/>
  <c r="J913" i="10"/>
  <c r="K913" i="10" s="1"/>
  <c r="J912" i="10"/>
  <c r="K912" i="10" s="1"/>
  <c r="J911" i="10"/>
  <c r="J910" i="10"/>
  <c r="L910" i="10" s="1"/>
  <c r="J909" i="10"/>
  <c r="K909" i="10" s="1"/>
  <c r="J875" i="10"/>
  <c r="J874" i="10"/>
  <c r="J873" i="10"/>
  <c r="J872" i="10"/>
  <c r="K872" i="10" s="1"/>
  <c r="J871" i="10"/>
  <c r="J870" i="10"/>
  <c r="J869" i="10"/>
  <c r="L869" i="10" s="1"/>
  <c r="J845" i="10"/>
  <c r="K845" i="10" s="1"/>
  <c r="J844" i="10"/>
  <c r="J843" i="10"/>
  <c r="J842" i="10"/>
  <c r="L842" i="10" s="1"/>
  <c r="J823" i="10"/>
  <c r="K823" i="10" s="1"/>
  <c r="J747" i="10"/>
  <c r="L747" i="10" s="1"/>
  <c r="J1045" i="10"/>
  <c r="J905" i="10"/>
  <c r="L905" i="10" s="1"/>
  <c r="J931" i="10"/>
  <c r="K931" i="10" s="1"/>
  <c r="J885" i="10"/>
  <c r="L885" i="10" s="1"/>
  <c r="J750" i="10"/>
  <c r="K750" i="10" s="1"/>
  <c r="J996" i="10"/>
  <c r="L996" i="10" s="1"/>
  <c r="J930" i="10"/>
  <c r="K930" i="10" s="1"/>
  <c r="J1026" i="10"/>
  <c r="J742" i="10"/>
  <c r="L742" i="10" s="1"/>
  <c r="J1033" i="10"/>
  <c r="L1033" i="10" s="1"/>
  <c r="J992" i="10"/>
  <c r="K992" i="10" s="1"/>
  <c r="J991" i="10"/>
  <c r="J927" i="10"/>
  <c r="K927" i="10" s="1"/>
  <c r="J1034" i="10"/>
  <c r="J993" i="10"/>
  <c r="K993" i="10" s="1"/>
  <c r="J928" i="10"/>
  <c r="J990" i="10"/>
  <c r="L990" i="10" s="1"/>
  <c r="J989" i="10"/>
  <c r="L989" i="10" s="1"/>
  <c r="J926" i="10"/>
  <c r="K926" i="10" s="1"/>
  <c r="K741" i="10"/>
  <c r="J988" i="10"/>
  <c r="J925" i="10"/>
  <c r="L925" i="10" s="1"/>
  <c r="J924" i="10"/>
  <c r="K924" i="10" s="1"/>
  <c r="J884" i="10"/>
  <c r="J883" i="10"/>
  <c r="J1047" i="10"/>
  <c r="L1047" i="10" s="1"/>
  <c r="J1032" i="10"/>
  <c r="K1032" i="10" s="1"/>
  <c r="J1031" i="10"/>
  <c r="L1031" i="10" s="1"/>
  <c r="J1030" i="10"/>
  <c r="J987" i="10"/>
  <c r="J986" i="10"/>
  <c r="K986" i="10" s="1"/>
  <c r="J985" i="10"/>
  <c r="J984" i="10"/>
  <c r="J923" i="10"/>
  <c r="L923" i="10" s="1"/>
  <c r="J922" i="10"/>
  <c r="K922" i="10" s="1"/>
  <c r="J921" i="10"/>
  <c r="J920" i="10"/>
  <c r="K920" i="10" s="1"/>
  <c r="J919" i="10"/>
  <c r="J882" i="10"/>
  <c r="K882" i="10" s="1"/>
  <c r="J881" i="10"/>
  <c r="L881" i="10" s="1"/>
  <c r="L983" i="10"/>
  <c r="L982" i="10"/>
  <c r="K981" i="10"/>
  <c r="L917" i="10"/>
  <c r="K917" i="10"/>
  <c r="K879" i="10"/>
  <c r="K847" i="10"/>
  <c r="L847" i="10"/>
  <c r="L825" i="10"/>
  <c r="K824" i="10"/>
  <c r="L806" i="10"/>
  <c r="K806" i="10"/>
  <c r="K805" i="10"/>
  <c r="L778" i="10"/>
  <c r="K777" i="10"/>
  <c r="K776" i="10"/>
  <c r="L775" i="10"/>
  <c r="L749" i="10"/>
  <c r="K748" i="10"/>
  <c r="J980" i="10"/>
  <c r="K980" i="10" s="1"/>
  <c r="J979" i="10"/>
  <c r="J916" i="10"/>
  <c r="J915" i="10"/>
  <c r="K915" i="10" s="1"/>
  <c r="J914" i="10"/>
  <c r="J878" i="10"/>
  <c r="J877" i="10"/>
  <c r="L877" i="10" s="1"/>
  <c r="J846" i="10"/>
  <c r="K846" i="10" s="1"/>
  <c r="J978" i="10"/>
  <c r="L978" i="10" s="1"/>
  <c r="J876" i="10"/>
  <c r="K876" i="10" s="1"/>
  <c r="J735" i="10"/>
  <c r="J710" i="10"/>
  <c r="K710" i="10" s="1"/>
  <c r="J644" i="10"/>
  <c r="L644" i="10" s="1"/>
  <c r="J569" i="10"/>
  <c r="L569" i="10" s="1"/>
  <c r="J568" i="10"/>
  <c r="L568" i="10" s="1"/>
  <c r="J567" i="10"/>
  <c r="K567" i="10" s="1"/>
  <c r="J524" i="10"/>
  <c r="J497" i="10"/>
  <c r="K497" i="10" s="1"/>
  <c r="J496" i="10"/>
  <c r="J453" i="10"/>
  <c r="K453" i="10" s="1"/>
  <c r="J452" i="10"/>
  <c r="J451" i="10"/>
  <c r="J412" i="10"/>
  <c r="L412" i="10" s="1"/>
  <c r="J411" i="10"/>
  <c r="K411" i="10" s="1"/>
  <c r="J410" i="10"/>
  <c r="J409" i="10"/>
  <c r="K409" i="10" s="1"/>
  <c r="J408" i="10"/>
  <c r="L408" i="10" s="1"/>
  <c r="J379" i="10"/>
  <c r="K379" i="10" s="1"/>
  <c r="J378" i="10"/>
  <c r="K378" i="10" s="1"/>
  <c r="J377" i="10"/>
  <c r="J351" i="10"/>
  <c r="L351" i="10" s="1"/>
  <c r="J349" i="10"/>
  <c r="K349" i="10" s="1"/>
  <c r="J732" i="10"/>
  <c r="L732" i="10" s="1"/>
  <c r="J566" i="10"/>
  <c r="J737" i="10"/>
  <c r="J698" i="10"/>
  <c r="K698" i="10" s="1"/>
  <c r="J635" i="10"/>
  <c r="J634" i="10"/>
  <c r="J560" i="10"/>
  <c r="L560" i="10" s="1"/>
  <c r="J518" i="10"/>
  <c r="K518" i="10" s="1"/>
  <c r="J494" i="10"/>
  <c r="L494" i="10" s="1"/>
  <c r="J493" i="10"/>
  <c r="K493" i="10" s="1"/>
  <c r="J492" i="10"/>
  <c r="J491" i="10"/>
  <c r="K491" i="10" s="1"/>
  <c r="J403" i="10"/>
  <c r="J727" i="10"/>
  <c r="L727" i="10" s="1"/>
  <c r="J697" i="10"/>
  <c r="L697" i="10" s="1"/>
  <c r="J696" i="10"/>
  <c r="K696" i="10" s="1"/>
  <c r="J695" i="10"/>
  <c r="J633" i="10"/>
  <c r="J632" i="10"/>
  <c r="J631" i="10"/>
  <c r="K631" i="10" s="1"/>
  <c r="J630" i="10"/>
  <c r="J559" i="10"/>
  <c r="L559" i="10" s="1"/>
  <c r="J558" i="10"/>
  <c r="L558" i="10" s="1"/>
  <c r="J557" i="10"/>
  <c r="K557" i="10" s="1"/>
  <c r="J556" i="10"/>
  <c r="K556" i="10" s="1"/>
  <c r="J517" i="10"/>
  <c r="J516" i="10"/>
  <c r="L516" i="10" s="1"/>
  <c r="J515" i="10"/>
  <c r="K515" i="10" s="1"/>
  <c r="J490" i="10"/>
  <c r="J448" i="10"/>
  <c r="L448" i="10" s="1"/>
  <c r="J447" i="10"/>
  <c r="L447" i="10" s="1"/>
  <c r="J402" i="10"/>
  <c r="K402" i="10" s="1"/>
  <c r="J401" i="10"/>
  <c r="J400" i="10"/>
  <c r="J399" i="10"/>
  <c r="L399" i="10" s="1"/>
  <c r="J371" i="10"/>
  <c r="K371" i="10" s="1"/>
  <c r="J370" i="10"/>
  <c r="K370" i="10" s="1"/>
  <c r="J731" i="10"/>
  <c r="J709" i="10"/>
  <c r="L709" i="10" s="1"/>
  <c r="J708" i="10"/>
  <c r="K708" i="10" s="1"/>
  <c r="J707" i="10"/>
  <c r="L707" i="10" s="1"/>
  <c r="J706" i="10"/>
  <c r="K706" i="10" s="1"/>
  <c r="J705" i="10"/>
  <c r="L705" i="10" s="1"/>
  <c r="J643" i="10"/>
  <c r="K643" i="10" s="1"/>
  <c r="J642" i="10"/>
  <c r="L642" i="10" s="1"/>
  <c r="J641" i="10"/>
  <c r="L641" i="10" s="1"/>
  <c r="J640" i="10"/>
  <c r="L640" i="10" s="1"/>
  <c r="J639" i="10"/>
  <c r="K639" i="10" s="1"/>
  <c r="J565" i="10"/>
  <c r="J564" i="10"/>
  <c r="K564" i="10" s="1"/>
  <c r="J563" i="10"/>
  <c r="J562" i="10"/>
  <c r="K562" i="10" s="1"/>
  <c r="J561" i="10"/>
  <c r="J521" i="10"/>
  <c r="J520" i="10"/>
  <c r="L520" i="10" s="1"/>
  <c r="J376" i="10"/>
  <c r="K376" i="10" s="1"/>
  <c r="J375" i="10"/>
  <c r="J638" i="10"/>
  <c r="K638" i="10" s="1"/>
  <c r="J730" i="10"/>
  <c r="L730" i="10" s="1"/>
  <c r="J729" i="10"/>
  <c r="K729" i="10" s="1"/>
  <c r="J728" i="10"/>
  <c r="K728" i="10" s="1"/>
  <c r="J704" i="10"/>
  <c r="J703" i="10"/>
  <c r="L703" i="10" s="1"/>
  <c r="J702" i="10"/>
  <c r="K702" i="10" s="1"/>
  <c r="J701" i="10"/>
  <c r="L701" i="10" s="1"/>
  <c r="J700" i="10"/>
  <c r="J637" i="10"/>
  <c r="J636" i="10"/>
  <c r="K636" i="10" s="1"/>
  <c r="J699" i="10"/>
  <c r="K699" i="10" s="1"/>
  <c r="J519" i="10"/>
  <c r="J495" i="10"/>
  <c r="L495" i="10" s="1"/>
  <c r="J449" i="10"/>
  <c r="K449" i="10" s="1"/>
  <c r="J404" i="10"/>
  <c r="J374" i="10"/>
  <c r="K374" i="10" s="1"/>
  <c r="J373" i="10"/>
  <c r="J372" i="10"/>
  <c r="K372" i="10" s="1"/>
  <c r="J726" i="10"/>
  <c r="J725" i="10"/>
  <c r="L725" i="10" s="1"/>
  <c r="J694" i="10"/>
  <c r="L694" i="10" s="1"/>
  <c r="J693" i="10"/>
  <c r="K693" i="10" s="1"/>
  <c r="J692" i="10"/>
  <c r="J691" i="10"/>
  <c r="K691" i="10" s="1"/>
  <c r="J690" i="10"/>
  <c r="J629" i="10"/>
  <c r="K629" i="10" s="1"/>
  <c r="J628" i="10"/>
  <c r="J627" i="10"/>
  <c r="J626" i="10"/>
  <c r="L626" i="10" s="1"/>
  <c r="J625" i="10"/>
  <c r="K625" i="10" s="1"/>
  <c r="J555" i="10"/>
  <c r="J514" i="10"/>
  <c r="J513" i="10"/>
  <c r="L513" i="10" s="1"/>
  <c r="J512" i="10"/>
  <c r="K512" i="10" s="1"/>
  <c r="J489" i="10"/>
  <c r="J446" i="10"/>
  <c r="J397" i="10"/>
  <c r="L397" i="10" s="1"/>
  <c r="J369" i="10"/>
  <c r="K369" i="10" s="1"/>
  <c r="J736" i="10"/>
  <c r="L736" i="10" s="1"/>
  <c r="J689" i="10"/>
  <c r="J688" i="10"/>
  <c r="J624" i="10"/>
  <c r="K624" i="10" s="1"/>
  <c r="J623" i="10"/>
  <c r="K623" i="10" s="1"/>
  <c r="J622" i="10"/>
  <c r="J621" i="10"/>
  <c r="L621" i="10" s="1"/>
  <c r="J554" i="10"/>
  <c r="K554" i="10" s="1"/>
  <c r="J553" i="10"/>
  <c r="L553" i="10" s="1"/>
  <c r="J511" i="10"/>
  <c r="K511" i="10" s="1"/>
  <c r="J510" i="10"/>
  <c r="J488" i="10"/>
  <c r="K488" i="10" s="1"/>
  <c r="J487" i="10"/>
  <c r="L487" i="10" s="1"/>
  <c r="J486" i="10"/>
  <c r="L486" i="10" s="1"/>
  <c r="J485" i="10"/>
  <c r="L485" i="10" s="1"/>
  <c r="J445" i="10"/>
  <c r="K445" i="10" s="1"/>
  <c r="J444" i="10"/>
  <c r="J443" i="10"/>
  <c r="J396" i="10"/>
  <c r="J395" i="10"/>
  <c r="K395" i="10" s="1"/>
  <c r="J368" i="10"/>
  <c r="J687" i="10"/>
  <c r="J442" i="10"/>
  <c r="L442" i="10" s="1"/>
  <c r="J394" i="10"/>
  <c r="K394" i="10" s="1"/>
  <c r="J686" i="10"/>
  <c r="J685" i="10"/>
  <c r="J620" i="10"/>
  <c r="L620" i="10" s="1"/>
  <c r="J619" i="10"/>
  <c r="K619" i="10" s="1"/>
  <c r="J552" i="10"/>
  <c r="J484" i="10"/>
  <c r="J441" i="10"/>
  <c r="L441" i="10" s="1"/>
  <c r="J440" i="10"/>
  <c r="K440" i="10" s="1"/>
  <c r="J393" i="10"/>
  <c r="L393" i="10" s="1"/>
  <c r="J392" i="10"/>
  <c r="J367" i="10"/>
  <c r="J724" i="10"/>
  <c r="K724" i="10" s="1"/>
  <c r="J723" i="10"/>
  <c r="J722" i="10"/>
  <c r="J721" i="10"/>
  <c r="L721" i="10" s="1"/>
  <c r="J684" i="10"/>
  <c r="K684" i="10" s="1"/>
  <c r="J683" i="10"/>
  <c r="L683" i="10" s="1"/>
  <c r="J682" i="10"/>
  <c r="K682" i="10" s="1"/>
  <c r="J681" i="10"/>
  <c r="J680" i="10"/>
  <c r="K680" i="10" s="1"/>
  <c r="J618" i="10"/>
  <c r="J617" i="10"/>
  <c r="J616" i="10"/>
  <c r="L616" i="10" s="1"/>
  <c r="J615" i="10"/>
  <c r="K615" i="10" s="1"/>
  <c r="J614" i="10"/>
  <c r="J613" i="10"/>
  <c r="K613" i="10" s="1"/>
  <c r="J612" i="10"/>
  <c r="J611" i="10"/>
  <c r="K611" i="10" s="1"/>
  <c r="J551" i="10"/>
  <c r="J550" i="10"/>
  <c r="J549" i="10"/>
  <c r="L549" i="10" s="1"/>
  <c r="J548" i="10"/>
  <c r="K548" i="10" s="1"/>
  <c r="J509" i="10"/>
  <c r="J508" i="10"/>
  <c r="J507" i="10"/>
  <c r="J483" i="10"/>
  <c r="K483" i="10" s="1"/>
  <c r="J482" i="10"/>
  <c r="K482" i="10" s="1"/>
  <c r="J481" i="10"/>
  <c r="J439" i="10"/>
  <c r="L439" i="10" s="1"/>
  <c r="J438" i="10"/>
  <c r="K438" i="10" s="1"/>
  <c r="J437" i="10"/>
  <c r="J436" i="10"/>
  <c r="J435" i="10"/>
  <c r="J391" i="10"/>
  <c r="K391" i="10" s="1"/>
  <c r="J390" i="10"/>
  <c r="J389" i="10"/>
  <c r="J388" i="10"/>
  <c r="L388" i="10" s="1"/>
  <c r="J387" i="10"/>
  <c r="K387" i="10" s="1"/>
  <c r="J386" i="10"/>
  <c r="L386" i="10" s="1"/>
  <c r="J385" i="10"/>
  <c r="K385" i="10" s="1"/>
  <c r="J366" i="10"/>
  <c r="L366" i="10" s="1"/>
  <c r="J365" i="10"/>
  <c r="K365" i="10" s="1"/>
  <c r="J364" i="10"/>
  <c r="J363" i="10"/>
  <c r="L363" i="10" s="1"/>
  <c r="J362" i="10"/>
  <c r="L362" i="10" s="1"/>
  <c r="J361" i="10"/>
  <c r="K361" i="10" s="1"/>
  <c r="J360" i="10"/>
  <c r="J359" i="10"/>
  <c r="J672" i="10"/>
  <c r="J671" i="10"/>
  <c r="K671" i="10" s="1"/>
  <c r="J603" i="10"/>
  <c r="J544" i="10"/>
  <c r="J506" i="10"/>
  <c r="L506" i="10" s="1"/>
  <c r="J669" i="10"/>
  <c r="K669" i="10" s="1"/>
  <c r="J598" i="10"/>
  <c r="L547" i="10"/>
  <c r="K547" i="10"/>
  <c r="K480" i="10"/>
  <c r="L480" i="10"/>
  <c r="K434" i="10"/>
  <c r="L433" i="10"/>
  <c r="K433" i="10"/>
  <c r="K432" i="10"/>
  <c r="L432" i="10"/>
  <c r="L431" i="10"/>
  <c r="K430" i="10"/>
  <c r="L429" i="10"/>
  <c r="K429" i="10"/>
  <c r="J679" i="10"/>
  <c r="J678" i="10"/>
  <c r="J677" i="10"/>
  <c r="K677" i="10" s="1"/>
  <c r="J676" i="10"/>
  <c r="L676" i="10" s="1"/>
  <c r="J675" i="10"/>
  <c r="J610" i="10"/>
  <c r="L610" i="10" s="1"/>
  <c r="J609" i="10"/>
  <c r="K609" i="10" s="1"/>
  <c r="J608" i="10"/>
  <c r="J607" i="10"/>
  <c r="J606" i="10"/>
  <c r="L606" i="10" s="1"/>
  <c r="J605" i="10"/>
  <c r="K605" i="10" s="1"/>
  <c r="J546" i="10"/>
  <c r="L546" i="10" s="1"/>
  <c r="J545" i="10"/>
  <c r="J479" i="10"/>
  <c r="L479" i="10" s="1"/>
  <c r="J478" i="10"/>
  <c r="K478" i="10" s="1"/>
  <c r="J477" i="10"/>
  <c r="J476" i="10"/>
  <c r="J428" i="10"/>
  <c r="J427" i="10"/>
  <c r="K427" i="10" s="1"/>
  <c r="J426" i="10"/>
  <c r="J425" i="10"/>
  <c r="J424" i="10"/>
  <c r="L424" i="10" s="1"/>
  <c r="J358" i="10"/>
  <c r="K358" i="10" s="1"/>
  <c r="J714" i="10"/>
  <c r="J713" i="10"/>
  <c r="J712" i="10"/>
  <c r="J711" i="10"/>
  <c r="K711" i="10" s="1"/>
  <c r="J652" i="10"/>
  <c r="J651" i="10"/>
  <c r="J650" i="10"/>
  <c r="L650" i="10" s="1"/>
  <c r="J649" i="10"/>
  <c r="K649" i="10" s="1"/>
  <c r="J648" i="10"/>
  <c r="L648" i="10" s="1"/>
  <c r="J647" i="10"/>
  <c r="J646" i="10"/>
  <c r="J577" i="10"/>
  <c r="K577" i="10" s="1"/>
  <c r="J576" i="10"/>
  <c r="K576" i="10" s="1"/>
  <c r="J575" i="10"/>
  <c r="J574" i="10"/>
  <c r="L574" i="10" s="1"/>
  <c r="J573" i="10"/>
  <c r="K573" i="10" s="1"/>
  <c r="J572" i="10"/>
  <c r="L572" i="10" s="1"/>
  <c r="J571" i="10"/>
  <c r="J570" i="10"/>
  <c r="L570" i="10" s="1"/>
  <c r="J529" i="10"/>
  <c r="K529" i="10" s="1"/>
  <c r="J528" i="10"/>
  <c r="J527" i="10"/>
  <c r="L527" i="10" s="1"/>
  <c r="J526" i="10"/>
  <c r="L526" i="10" s="1"/>
  <c r="J525" i="10"/>
  <c r="K525" i="10" s="1"/>
  <c r="J457" i="10"/>
  <c r="J456" i="10"/>
  <c r="K456" i="10" s="1"/>
  <c r="J380" i="10"/>
  <c r="J352" i="10"/>
  <c r="K352" i="10" s="1"/>
  <c r="J413" i="10"/>
  <c r="J645" i="10"/>
  <c r="J734" i="10"/>
  <c r="L734" i="10" s="1"/>
  <c r="J407" i="10"/>
  <c r="K407" i="10" s="1"/>
  <c r="J674" i="10"/>
  <c r="J673" i="10"/>
  <c r="J604" i="10"/>
  <c r="J475" i="10"/>
  <c r="K475" i="10" s="1"/>
  <c r="J423" i="10"/>
  <c r="L423" i="10" s="1"/>
  <c r="J474" i="10"/>
  <c r="L474" i="10" s="1"/>
  <c r="J670" i="10"/>
  <c r="L670" i="10" s="1"/>
  <c r="J602" i="10"/>
  <c r="K602" i="10" s="1"/>
  <c r="J601" i="10"/>
  <c r="K601" i="10" s="1"/>
  <c r="J733" i="10"/>
  <c r="J523" i="10"/>
  <c r="J522" i="10"/>
  <c r="K522" i="10" s="1"/>
  <c r="J450" i="10"/>
  <c r="K450" i="10" s="1"/>
  <c r="J406" i="10"/>
  <c r="J405" i="10"/>
  <c r="L405" i="10" s="1"/>
  <c r="J600" i="10"/>
  <c r="K600" i="10" s="1"/>
  <c r="J599" i="10"/>
  <c r="J473" i="10"/>
  <c r="K473" i="10" s="1"/>
  <c r="J472" i="10"/>
  <c r="J471" i="10"/>
  <c r="K471" i="10" s="1"/>
  <c r="J470" i="10"/>
  <c r="L470" i="10" s="1"/>
  <c r="J469" i="10"/>
  <c r="J468" i="10"/>
  <c r="L468" i="10" s="1"/>
  <c r="J422" i="10"/>
  <c r="K422" i="10" s="1"/>
  <c r="J421" i="10"/>
  <c r="J357" i="10"/>
  <c r="K357" i="10" s="1"/>
  <c r="J455" i="10"/>
  <c r="J454" i="10"/>
  <c r="K454" i="10" s="1"/>
  <c r="J718" i="10"/>
  <c r="J666" i="10"/>
  <c r="J596" i="10"/>
  <c r="L596" i="10" s="1"/>
  <c r="J467" i="10"/>
  <c r="K467" i="10" s="1"/>
  <c r="J720" i="10"/>
  <c r="K720" i="10" s="1"/>
  <c r="J719" i="10"/>
  <c r="J668" i="10"/>
  <c r="J667" i="10"/>
  <c r="K667" i="10" s="1"/>
  <c r="J597" i="10"/>
  <c r="J543" i="10"/>
  <c r="L543" i="10" s="1"/>
  <c r="J665" i="10"/>
  <c r="L665" i="10" s="1"/>
  <c r="J595" i="10"/>
  <c r="K595" i="10" s="1"/>
  <c r="J542" i="10"/>
  <c r="L542" i="10" s="1"/>
  <c r="J466" i="10"/>
  <c r="J465" i="10"/>
  <c r="L465" i="10" s="1"/>
  <c r="J464" i="10"/>
  <c r="K464" i="10" s="1"/>
  <c r="J420" i="10"/>
  <c r="L420" i="10" s="1"/>
  <c r="J664" i="10"/>
  <c r="J594" i="10"/>
  <c r="L594" i="10" s="1"/>
  <c r="J593" i="10"/>
  <c r="K593" i="10" s="1"/>
  <c r="K592" i="10"/>
  <c r="L592" i="10"/>
  <c r="L541" i="10"/>
  <c r="K541" i="10"/>
  <c r="J663" i="10"/>
  <c r="L663" i="10" s="1"/>
  <c r="J662" i="10"/>
  <c r="K662" i="10" s="1"/>
  <c r="J591" i="10"/>
  <c r="L591" i="10" s="1"/>
  <c r="J590" i="10"/>
  <c r="J589" i="10"/>
  <c r="L589" i="10" s="1"/>
  <c r="J588" i="10"/>
  <c r="K588" i="10" s="1"/>
  <c r="J540" i="10"/>
  <c r="J539" i="10"/>
  <c r="J538" i="10"/>
  <c r="J537" i="10"/>
  <c r="K537" i="10" s="1"/>
  <c r="J505" i="10"/>
  <c r="J504" i="10"/>
  <c r="L504" i="10" s="1"/>
  <c r="J503" i="10"/>
  <c r="L503" i="10" s="1"/>
  <c r="J502" i="10"/>
  <c r="K502" i="10" s="1"/>
  <c r="J463" i="10"/>
  <c r="K463" i="10" s="1"/>
  <c r="J462" i="10"/>
  <c r="J419" i="10"/>
  <c r="L419" i="10" s="1"/>
  <c r="J418" i="10"/>
  <c r="K418" i="10" s="1"/>
  <c r="J384" i="10"/>
  <c r="L384" i="10" s="1"/>
  <c r="J356" i="10"/>
  <c r="J535" i="10"/>
  <c r="L535" i="10" s="1"/>
  <c r="J536" i="10"/>
  <c r="K536" i="10" s="1"/>
  <c r="J717" i="10"/>
  <c r="L717" i="10" s="1"/>
  <c r="J716" i="10"/>
  <c r="J715" i="10"/>
  <c r="J661" i="10"/>
  <c r="K661" i="10" s="1"/>
  <c r="J660" i="10"/>
  <c r="L660" i="10" s="1"/>
  <c r="J659" i="10"/>
  <c r="J658" i="10"/>
  <c r="L658" i="10" s="1"/>
  <c r="J657" i="10"/>
  <c r="K657" i="10" s="1"/>
  <c r="J587" i="10"/>
  <c r="J586" i="10"/>
  <c r="J585" i="10"/>
  <c r="L585" i="10" s="1"/>
  <c r="J584" i="10"/>
  <c r="K584" i="10" s="1"/>
  <c r="J534" i="10"/>
  <c r="L534" i="10" s="1"/>
  <c r="J533" i="10"/>
  <c r="L533" i="10" s="1"/>
  <c r="J398" i="10"/>
  <c r="L398" i="10" s="1"/>
  <c r="K656" i="10"/>
  <c r="K583" i="10"/>
  <c r="K532" i="10"/>
  <c r="L500" i="10"/>
  <c r="L461" i="10"/>
  <c r="K460" i="10"/>
  <c r="L459" i="10"/>
  <c r="K458" i="10"/>
  <c r="L417" i="10"/>
  <c r="K416" i="10"/>
  <c r="L415" i="10"/>
  <c r="L414" i="10"/>
  <c r="L383" i="10"/>
  <c r="K382" i="10"/>
  <c r="L381" i="10"/>
  <c r="L354" i="10"/>
  <c r="K353" i="10"/>
  <c r="K350" i="10"/>
  <c r="J581" i="10"/>
  <c r="J499" i="10"/>
  <c r="L499" i="10" s="1"/>
  <c r="J654" i="10"/>
  <c r="K654" i="10" s="1"/>
  <c r="J580" i="10"/>
  <c r="L580" i="10" s="1"/>
  <c r="J531" i="10"/>
  <c r="K531" i="10" s="1"/>
  <c r="J530" i="10"/>
  <c r="L530" i="10" s="1"/>
  <c r="J498" i="10"/>
  <c r="K498" i="10" s="1"/>
  <c r="J579" i="10"/>
  <c r="L579" i="10" s="1"/>
  <c r="J653" i="10"/>
  <c r="L653" i="10" s="1"/>
  <c r="J578" i="10"/>
  <c r="L578" i="10" s="1"/>
  <c r="J347" i="10"/>
  <c r="K347" i="10" s="1"/>
  <c r="J323" i="10"/>
  <c r="J270" i="10"/>
  <c r="J189" i="10"/>
  <c r="J188" i="10"/>
  <c r="K188" i="10" s="1"/>
  <c r="J149" i="10"/>
  <c r="J111" i="10"/>
  <c r="L111" i="10" s="1"/>
  <c r="J78" i="10"/>
  <c r="L78" i="10" s="1"/>
  <c r="J52" i="10"/>
  <c r="K52" i="10" s="1"/>
  <c r="J51" i="10"/>
  <c r="K51" i="10" s="1"/>
  <c r="J29" i="10"/>
  <c r="J28" i="10"/>
  <c r="L28" i="10" s="1"/>
  <c r="J4" i="10"/>
  <c r="K4" i="10" s="1"/>
  <c r="J3" i="10"/>
  <c r="L3" i="10" s="1"/>
  <c r="J2" i="10"/>
  <c r="J346" i="10"/>
  <c r="L346" i="10" s="1"/>
  <c r="J322" i="10"/>
  <c r="K322" i="10" s="1"/>
  <c r="J144" i="10"/>
  <c r="L144" i="10" s="1"/>
  <c r="J74" i="10"/>
  <c r="J143" i="10"/>
  <c r="J311" i="10"/>
  <c r="K311" i="10" s="1"/>
  <c r="J310" i="10"/>
  <c r="K310" i="10" s="1"/>
  <c r="J260" i="10"/>
  <c r="J184" i="10"/>
  <c r="L184" i="10" s="1"/>
  <c r="J183" i="10"/>
  <c r="K183" i="10" s="1"/>
  <c r="J182" i="10"/>
  <c r="L182" i="10" s="1"/>
  <c r="J181" i="10"/>
  <c r="K181" i="10" s="1"/>
  <c r="J142" i="10"/>
  <c r="L142" i="10" s="1"/>
  <c r="J141" i="10"/>
  <c r="K141" i="10" s="1"/>
  <c r="J107" i="10"/>
  <c r="L107" i="10" s="1"/>
  <c r="J106" i="10"/>
  <c r="J73" i="10"/>
  <c r="L73" i="10" s="1"/>
  <c r="J72" i="10"/>
  <c r="K72" i="10" s="1"/>
  <c r="J26" i="10"/>
  <c r="J190" i="10"/>
  <c r="K190" i="10" s="1"/>
  <c r="J112" i="10"/>
  <c r="J5" i="10"/>
  <c r="K5" i="10" s="1"/>
  <c r="J345" i="10"/>
  <c r="J344" i="10"/>
  <c r="J321" i="10"/>
  <c r="L321" i="10" s="1"/>
  <c r="J320" i="10"/>
  <c r="K320" i="10" s="1"/>
  <c r="J319" i="10"/>
  <c r="L319" i="10" s="1"/>
  <c r="J318" i="10"/>
  <c r="K318" i="10" s="1"/>
  <c r="J268" i="10"/>
  <c r="J267" i="10"/>
  <c r="K267" i="10" s="1"/>
  <c r="J266" i="10"/>
  <c r="J187" i="10"/>
  <c r="L187" i="10" s="1"/>
  <c r="J186" i="10"/>
  <c r="L186" i="10" s="1"/>
  <c r="J148" i="10"/>
  <c r="K148" i="10" s="1"/>
  <c r="J147" i="10"/>
  <c r="K147" i="10" s="1"/>
  <c r="J110" i="10"/>
  <c r="J317" i="10"/>
  <c r="L317" i="10" s="1"/>
  <c r="J265" i="10"/>
  <c r="K265" i="10" s="1"/>
  <c r="J109" i="10"/>
  <c r="L109" i="10" s="1"/>
  <c r="J76" i="10"/>
  <c r="J343" i="10"/>
  <c r="L343" i="10" s="1"/>
  <c r="J342" i="10"/>
  <c r="K342" i="10" s="1"/>
  <c r="J316" i="10"/>
  <c r="J315" i="10"/>
  <c r="K315" i="10" s="1"/>
  <c r="J314" i="10"/>
  <c r="J313" i="10"/>
  <c r="K313" i="10" s="1"/>
  <c r="J264" i="10"/>
  <c r="L264" i="10" s="1"/>
  <c r="J263" i="10"/>
  <c r="J262" i="10"/>
  <c r="L262" i="10" s="1"/>
  <c r="J312" i="10"/>
  <c r="K312" i="10" s="1"/>
  <c r="J261" i="10"/>
  <c r="J185" i="10"/>
  <c r="K185" i="10" s="1"/>
  <c r="J146" i="10"/>
  <c r="J145" i="10"/>
  <c r="K145" i="10" s="1"/>
  <c r="J108" i="10"/>
  <c r="J75" i="10"/>
  <c r="J27" i="10"/>
  <c r="L27" i="10" s="1"/>
  <c r="J341" i="10"/>
  <c r="K341" i="10" s="1"/>
  <c r="J309" i="10"/>
  <c r="K309" i="10" s="1"/>
  <c r="J308" i="10"/>
  <c r="K308" i="10" s="1"/>
  <c r="J259" i="10"/>
  <c r="L259" i="10" s="1"/>
  <c r="J258" i="10"/>
  <c r="K258" i="10" s="1"/>
  <c r="J257" i="10"/>
  <c r="L257" i="10" s="1"/>
  <c r="J256" i="10"/>
  <c r="L256" i="10" s="1"/>
  <c r="J255" i="10"/>
  <c r="L255" i="10" s="1"/>
  <c r="J254" i="10"/>
  <c r="K254" i="10" s="1"/>
  <c r="J180" i="10"/>
  <c r="J179" i="10"/>
  <c r="J178" i="10"/>
  <c r="L178" i="10" s="1"/>
  <c r="J140" i="10"/>
  <c r="K140" i="10" s="1"/>
  <c r="J139" i="10"/>
  <c r="L139" i="10" s="1"/>
  <c r="J105" i="10"/>
  <c r="J71" i="10"/>
  <c r="L71" i="10" s="1"/>
  <c r="J70" i="10"/>
  <c r="K70" i="10" s="1"/>
  <c r="J69" i="10"/>
  <c r="L69" i="10" s="1"/>
  <c r="J49" i="10"/>
  <c r="K49" i="10" s="1"/>
  <c r="J48" i="10"/>
  <c r="L48" i="10" s="1"/>
  <c r="J47" i="10"/>
  <c r="K47" i="10" s="1"/>
  <c r="J25" i="10"/>
  <c r="L25" i="10" s="1"/>
  <c r="J348" i="10"/>
  <c r="L348" i="10" s="1"/>
  <c r="J307" i="10"/>
  <c r="L307" i="10" s="1"/>
  <c r="J306" i="10"/>
  <c r="K306" i="10" s="1"/>
  <c r="J253" i="10"/>
  <c r="J252" i="10"/>
  <c r="K252" i="10" s="1"/>
  <c r="J177" i="10"/>
  <c r="J138" i="10"/>
  <c r="K138" i="10" s="1"/>
  <c r="J104" i="10"/>
  <c r="J103" i="10"/>
  <c r="L103" i="10" s="1"/>
  <c r="J46" i="10"/>
  <c r="L46" i="10" s="1"/>
  <c r="J45" i="10"/>
  <c r="K45" i="10" s="1"/>
  <c r="J24" i="10"/>
  <c r="J23" i="10"/>
  <c r="K23" i="10" s="1"/>
  <c r="J22" i="10"/>
  <c r="L22" i="10" s="1"/>
  <c r="J305" i="10"/>
  <c r="K305" i="10" s="1"/>
  <c r="J251" i="10"/>
  <c r="L251" i="10" s="1"/>
  <c r="J250" i="10"/>
  <c r="L250" i="10" s="1"/>
  <c r="J137" i="10"/>
  <c r="L137" i="10" s="1"/>
  <c r="J102" i="10"/>
  <c r="K102" i="10" s="1"/>
  <c r="J68" i="10"/>
  <c r="J67" i="10"/>
  <c r="J21" i="10"/>
  <c r="J304" i="10"/>
  <c r="J249" i="10"/>
  <c r="K249" i="10" s="1"/>
  <c r="J248" i="10"/>
  <c r="L248" i="10" s="1"/>
  <c r="J247" i="10"/>
  <c r="J176" i="10"/>
  <c r="J175" i="10"/>
  <c r="L175" i="10" s="1"/>
  <c r="J136" i="10"/>
  <c r="K136" i="10" s="1"/>
  <c r="J135" i="10"/>
  <c r="L135" i="10" s="1"/>
  <c r="J134" i="10"/>
  <c r="J101" i="10"/>
  <c r="K101" i="10" s="1"/>
  <c r="J66" i="10"/>
  <c r="L66" i="10" s="1"/>
  <c r="J65" i="10"/>
  <c r="J44" i="10"/>
  <c r="K44" i="10" s="1"/>
  <c r="J20" i="10"/>
  <c r="K20" i="10" s="1"/>
  <c r="J340" i="10"/>
  <c r="K340" i="10" s="1"/>
  <c r="J339" i="10"/>
  <c r="L339" i="10" s="1"/>
  <c r="J338" i="10"/>
  <c r="J337" i="10"/>
  <c r="L337" i="10" s="1"/>
  <c r="J336" i="10"/>
  <c r="K336" i="10" s="1"/>
  <c r="J303" i="10"/>
  <c r="J302" i="10"/>
  <c r="J301" i="10"/>
  <c r="K301" i="10" s="1"/>
  <c r="J300" i="10"/>
  <c r="K300" i="10" s="1"/>
  <c r="J246" i="10"/>
  <c r="L246" i="10" s="1"/>
  <c r="J245" i="10"/>
  <c r="J244" i="10"/>
  <c r="L244" i="10" s="1"/>
  <c r="J243" i="10"/>
  <c r="L243" i="10" s="1"/>
  <c r="J242" i="10"/>
  <c r="J241" i="10"/>
  <c r="K241" i="10" s="1"/>
  <c r="J174" i="10"/>
  <c r="J173" i="10"/>
  <c r="K173" i="10" s="1"/>
  <c r="J172" i="10"/>
  <c r="J133" i="10"/>
  <c r="J132" i="10"/>
  <c r="J131" i="10"/>
  <c r="L131" i="10" s="1"/>
  <c r="J100" i="10"/>
  <c r="J99" i="10"/>
  <c r="J98" i="10"/>
  <c r="K98" i="10" s="1"/>
  <c r="J64" i="10"/>
  <c r="K64" i="10" s="1"/>
  <c r="J63" i="10"/>
  <c r="L63" i="10" s="1"/>
  <c r="J62" i="10"/>
  <c r="J61" i="10"/>
  <c r="L61" i="10" s="1"/>
  <c r="J43" i="10"/>
  <c r="J42" i="10"/>
  <c r="J41" i="10"/>
  <c r="K41" i="10" s="1"/>
  <c r="J40" i="10"/>
  <c r="L40" i="10" s="1"/>
  <c r="J39" i="10"/>
  <c r="K39" i="10" s="1"/>
  <c r="J19" i="10"/>
  <c r="L19" i="10" s="1"/>
  <c r="J18" i="10"/>
  <c r="J17" i="10"/>
  <c r="L17" i="10" s="1"/>
  <c r="J16" i="10"/>
  <c r="K16" i="10" s="1"/>
  <c r="J15" i="10"/>
  <c r="J14" i="10"/>
  <c r="J13" i="10"/>
  <c r="L13" i="10" s="1"/>
  <c r="J293" i="10"/>
  <c r="K293" i="10" s="1"/>
  <c r="J235" i="10"/>
  <c r="L235" i="10" s="1"/>
  <c r="J234" i="10"/>
  <c r="J168" i="10"/>
  <c r="L168" i="10" s="1"/>
  <c r="J126" i="10"/>
  <c r="L126" i="10" s="1"/>
  <c r="J94" i="10"/>
  <c r="J93" i="10"/>
  <c r="K93" i="10" s="1"/>
  <c r="J11" i="10"/>
  <c r="L11" i="10" s="1"/>
  <c r="J10" i="10"/>
  <c r="J291" i="10"/>
  <c r="L291" i="10" s="1"/>
  <c r="J290" i="10"/>
  <c r="J230" i="10"/>
  <c r="K230" i="10" s="1"/>
  <c r="J229" i="10"/>
  <c r="L229" i="10" s="1"/>
  <c r="J299" i="10"/>
  <c r="J298" i="10"/>
  <c r="K298" i="10" s="1"/>
  <c r="J297" i="10"/>
  <c r="L297" i="10" s="1"/>
  <c r="J296" i="10"/>
  <c r="K296" i="10" s="1"/>
  <c r="J240" i="10"/>
  <c r="L240" i="10" s="1"/>
  <c r="J239" i="10"/>
  <c r="J238" i="10"/>
  <c r="K238" i="10" s="1"/>
  <c r="J237" i="10"/>
  <c r="L237" i="10" s="1"/>
  <c r="J171" i="10"/>
  <c r="J170" i="10"/>
  <c r="K170" i="10" s="1"/>
  <c r="J169" i="10"/>
  <c r="K169" i="10" s="1"/>
  <c r="J130" i="10"/>
  <c r="K130" i="10" s="1"/>
  <c r="J129" i="10"/>
  <c r="L129" i="10" s="1"/>
  <c r="J128" i="10"/>
  <c r="J97" i="10"/>
  <c r="L97" i="10" s="1"/>
  <c r="J96" i="10"/>
  <c r="J60" i="10"/>
  <c r="J59" i="10"/>
  <c r="K59" i="10" s="1"/>
  <c r="J127" i="10"/>
  <c r="L127" i="10" s="1"/>
  <c r="J95" i="10"/>
  <c r="K95" i="10" s="1"/>
  <c r="J58" i="10"/>
  <c r="L58" i="10" s="1"/>
  <c r="J38" i="10"/>
  <c r="J12" i="10"/>
  <c r="K12" i="10" s="1"/>
  <c r="J326" i="10"/>
  <c r="L326" i="10" s="1"/>
  <c r="J325" i="10"/>
  <c r="J324" i="10"/>
  <c r="K324" i="10" s="1"/>
  <c r="J274" i="10"/>
  <c r="K274" i="10" s="1"/>
  <c r="J273" i="10"/>
  <c r="K273" i="10" s="1"/>
  <c r="J272" i="10"/>
  <c r="L272" i="10" s="1"/>
  <c r="J271" i="10"/>
  <c r="J200" i="10"/>
  <c r="J199" i="10"/>
  <c r="L199" i="10" s="1"/>
  <c r="J198" i="10"/>
  <c r="J197" i="10"/>
  <c r="K197" i="10" s="1"/>
  <c r="J196" i="10"/>
  <c r="K196" i="10" s="1"/>
  <c r="J195" i="10"/>
  <c r="K195" i="10" s="1"/>
  <c r="J194" i="10"/>
  <c r="L194" i="10" s="1"/>
  <c r="J193" i="10"/>
  <c r="J154" i="10"/>
  <c r="L154" i="10" s="1"/>
  <c r="J153" i="10"/>
  <c r="K153" i="10" s="1"/>
  <c r="J152" i="10"/>
  <c r="J151" i="10"/>
  <c r="K151" i="10" s="1"/>
  <c r="J150" i="10"/>
  <c r="L150" i="10" s="1"/>
  <c r="J117" i="10"/>
  <c r="J116" i="10"/>
  <c r="L116" i="10" s="1"/>
  <c r="J115" i="10"/>
  <c r="J114" i="10"/>
  <c r="K114" i="10" s="1"/>
  <c r="J113" i="10"/>
  <c r="K113" i="10" s="1"/>
  <c r="J85" i="10"/>
  <c r="J84" i="10"/>
  <c r="K84" i="10" s="1"/>
  <c r="J83" i="10"/>
  <c r="K83" i="10" s="1"/>
  <c r="J82" i="10"/>
  <c r="K82" i="10" s="1"/>
  <c r="J81" i="10"/>
  <c r="L81" i="10" s="1"/>
  <c r="J80" i="10"/>
  <c r="J79" i="10"/>
  <c r="L79" i="10" s="1"/>
  <c r="J6" i="10"/>
  <c r="L6" i="10" s="1"/>
  <c r="J335" i="10"/>
  <c r="J295" i="10"/>
  <c r="K295" i="10" s="1"/>
  <c r="J236" i="10"/>
  <c r="K236" i="10" s="1"/>
  <c r="J334" i="10"/>
  <c r="K334" i="10" s="1"/>
  <c r="J294" i="10"/>
  <c r="L294" i="10" s="1"/>
  <c r="J292" i="10"/>
  <c r="J233" i="10"/>
  <c r="L233" i="10" s="1"/>
  <c r="J232" i="10"/>
  <c r="L232" i="10" s="1"/>
  <c r="J269" i="10"/>
  <c r="J77" i="10"/>
  <c r="K77" i="10" s="1"/>
  <c r="J231" i="10"/>
  <c r="L231" i="10" s="1"/>
  <c r="J92" i="10"/>
  <c r="K92" i="10" s="1"/>
  <c r="J192" i="10"/>
  <c r="L192" i="10" s="1"/>
  <c r="J191" i="10"/>
  <c r="J287" i="10"/>
  <c r="K287" i="10" s="1"/>
  <c r="J225" i="10"/>
  <c r="L225" i="10" s="1"/>
  <c r="J289" i="10"/>
  <c r="J228" i="10"/>
  <c r="K228" i="10" s="1"/>
  <c r="J227" i="10"/>
  <c r="K227" i="10" s="1"/>
  <c r="J333" i="10"/>
  <c r="K333" i="10" s="1"/>
  <c r="J288" i="10"/>
  <c r="L288" i="10" s="1"/>
  <c r="J226" i="10"/>
  <c r="J125" i="10"/>
  <c r="L125" i="10" s="1"/>
  <c r="J124" i="10"/>
  <c r="J91" i="10"/>
  <c r="J286" i="10"/>
  <c r="K286" i="10" s="1"/>
  <c r="J224" i="10"/>
  <c r="K224" i="10" s="1"/>
  <c r="J332" i="10"/>
  <c r="K332" i="10" s="1"/>
  <c r="J331" i="10"/>
  <c r="L331" i="10" s="1"/>
  <c r="J330" i="10"/>
  <c r="J285" i="10"/>
  <c r="J284" i="10"/>
  <c r="L284" i="10" s="1"/>
  <c r="J283" i="10"/>
  <c r="J223" i="10"/>
  <c r="K223" i="10" s="1"/>
  <c r="J222" i="10"/>
  <c r="L222" i="10" s="1"/>
  <c r="J221" i="10"/>
  <c r="K221" i="10" s="1"/>
  <c r="J220" i="10"/>
  <c r="L220" i="10" s="1"/>
  <c r="J167" i="10"/>
  <c r="J166" i="10"/>
  <c r="L166" i="10" s="1"/>
  <c r="J123" i="10"/>
  <c r="L123" i="10" s="1"/>
  <c r="J122" i="10"/>
  <c r="J90" i="10"/>
  <c r="K90" i="10" s="1"/>
  <c r="J89" i="10"/>
  <c r="L89" i="10" s="1"/>
  <c r="J57" i="10"/>
  <c r="K57" i="10" s="1"/>
  <c r="J56" i="10"/>
  <c r="L56" i="10" s="1"/>
  <c r="J37" i="10"/>
  <c r="J36" i="10"/>
  <c r="L36" i="10" s="1"/>
  <c r="J35" i="10"/>
  <c r="K35" i="10" s="1"/>
  <c r="J9" i="10"/>
  <c r="J329" i="10"/>
  <c r="K329" i="10" s="1"/>
  <c r="J328" i="10"/>
  <c r="J282" i="10"/>
  <c r="K282" i="10" s="1"/>
  <c r="J219" i="10"/>
  <c r="L219" i="10" s="1"/>
  <c r="J218" i="10"/>
  <c r="J217" i="10"/>
  <c r="K217" i="10" s="1"/>
  <c r="J216" i="10"/>
  <c r="K216" i="10" s="1"/>
  <c r="J215" i="10"/>
  <c r="J214" i="10"/>
  <c r="K214" i="10" s="1"/>
  <c r="J213" i="10"/>
  <c r="J165" i="10"/>
  <c r="K165" i="10" s="1"/>
  <c r="J164" i="10"/>
  <c r="L164" i="10" s="1"/>
  <c r="J163" i="10"/>
  <c r="J162" i="10"/>
  <c r="L162" i="10" s="1"/>
  <c r="J161" i="10"/>
  <c r="L161" i="10" s="1"/>
  <c r="J50" i="10"/>
  <c r="K327" i="10"/>
  <c r="K281" i="10"/>
  <c r="K280" i="10"/>
  <c r="L212" i="10"/>
  <c r="L210" i="10"/>
  <c r="L209" i="10"/>
  <c r="K160" i="10"/>
  <c r="K159" i="10"/>
  <c r="K158" i="10"/>
  <c r="L121" i="10"/>
  <c r="K119" i="10"/>
  <c r="L119" i="10"/>
  <c r="L88" i="10"/>
  <c r="K86" i="10"/>
  <c r="K55" i="10"/>
  <c r="L55" i="10"/>
  <c r="K54" i="10"/>
  <c r="L53" i="10"/>
  <c r="L33" i="10"/>
  <c r="K32" i="10"/>
  <c r="K30" i="10"/>
  <c r="L8" i="10"/>
  <c r="K7" i="10"/>
  <c r="J279" i="10"/>
  <c r="L279" i="10" s="1"/>
  <c r="J207" i="10"/>
  <c r="J206" i="10"/>
  <c r="K206" i="10" s="1"/>
  <c r="J157" i="10"/>
  <c r="L157" i="10" s="1"/>
  <c r="J156" i="10"/>
  <c r="J118" i="10"/>
  <c r="K118" i="10" s="1"/>
  <c r="J278" i="10"/>
  <c r="L278" i="10" s="1"/>
  <c r="J205" i="10"/>
  <c r="K205" i="10" s="1"/>
  <c r="J155" i="10"/>
  <c r="J277" i="10"/>
  <c r="J276" i="10"/>
  <c r="J275" i="10"/>
  <c r="L275" i="10" s="1"/>
  <c r="J204" i="10"/>
  <c r="J203" i="10"/>
  <c r="K203" i="10" s="1"/>
  <c r="J202" i="10"/>
  <c r="L202" i="10" s="1"/>
  <c r="N2233" i="10"/>
  <c r="N2226" i="10"/>
  <c r="N2174" i="10"/>
  <c r="N2209" i="10"/>
  <c r="N2228" i="10"/>
  <c r="N2222" i="10"/>
  <c r="N2221" i="10"/>
  <c r="N2208" i="10"/>
  <c r="N2192" i="10"/>
  <c r="N2191" i="10"/>
  <c r="N2200" i="10"/>
  <c r="N2232" i="10"/>
  <c r="N2231" i="10"/>
  <c r="N2225" i="10"/>
  <c r="N2213" i="10"/>
  <c r="N2212" i="10"/>
  <c r="N2199" i="10"/>
  <c r="N2193" i="10"/>
  <c r="N2186" i="10"/>
  <c r="N2230" i="10"/>
  <c r="N2229" i="10"/>
  <c r="N2224" i="10"/>
  <c r="N2223" i="10"/>
  <c r="N2211" i="10"/>
  <c r="N2210" i="10"/>
  <c r="N2198" i="10"/>
  <c r="N2182" i="10"/>
  <c r="N2227" i="10"/>
  <c r="N2220" i="10"/>
  <c r="N2207" i="10"/>
  <c r="N2206" i="10"/>
  <c r="N2219" i="10"/>
  <c r="N2205" i="10"/>
  <c r="N2197" i="10"/>
  <c r="N2190" i="10"/>
  <c r="N2185" i="10"/>
  <c r="N2218" i="10"/>
  <c r="N2217" i="10"/>
  <c r="N2216" i="10"/>
  <c r="N2204" i="10"/>
  <c r="N2203" i="10"/>
  <c r="N2202" i="10"/>
  <c r="N2196" i="10"/>
  <c r="N2195" i="10"/>
  <c r="N2189" i="10"/>
  <c r="N2184" i="10"/>
  <c r="N2181" i="10"/>
  <c r="N2180" i="10"/>
  <c r="N2179" i="10"/>
  <c r="N2173" i="10"/>
  <c r="N2172" i="10"/>
  <c r="N2171" i="10"/>
  <c r="N2169" i="10"/>
  <c r="N2168" i="10"/>
  <c r="N2167" i="10"/>
  <c r="N2166" i="10"/>
  <c r="N2165" i="10"/>
  <c r="N2215" i="10"/>
  <c r="N2178" i="10"/>
  <c r="N2177" i="10"/>
  <c r="N2194" i="10"/>
  <c r="N2188" i="10"/>
  <c r="N2187" i="10"/>
  <c r="N2183" i="10"/>
  <c r="N2176" i="10"/>
  <c r="N2175" i="10"/>
  <c r="N2170" i="10"/>
  <c r="N2214" i="10"/>
  <c r="N2201" i="10"/>
  <c r="N2122" i="10"/>
  <c r="N2160" i="10"/>
  <c r="N2151" i="10"/>
  <c r="N2135" i="10"/>
  <c r="N2142" i="10"/>
  <c r="N2140" i="10"/>
  <c r="N2139" i="10"/>
  <c r="N2162" i="10"/>
  <c r="N2143" i="10"/>
  <c r="N2136" i="10"/>
  <c r="N2164" i="10"/>
  <c r="N2161" i="10"/>
  <c r="N2150" i="10"/>
  <c r="N2141" i="10"/>
  <c r="N2134" i="10"/>
  <c r="N2121" i="10"/>
  <c r="N2159" i="10"/>
  <c r="N2120" i="10"/>
  <c r="N2119" i="10"/>
  <c r="N2149" i="10"/>
  <c r="N2163" i="10"/>
  <c r="N2158" i="10"/>
  <c r="N2157" i="10"/>
  <c r="N2156" i="10"/>
  <c r="N2148" i="10"/>
  <c r="N2147" i="10"/>
  <c r="N2133" i="10"/>
  <c r="N2132" i="10"/>
  <c r="N2130" i="10"/>
  <c r="N2129" i="10"/>
  <c r="N2125" i="10"/>
  <c r="N2124" i="10"/>
  <c r="N2118" i="10"/>
  <c r="N2117" i="10"/>
  <c r="N2116" i="10"/>
  <c r="N2114" i="10"/>
  <c r="N2138" i="10"/>
  <c r="N2128" i="10"/>
  <c r="N2127" i="10"/>
  <c r="N2144" i="10"/>
  <c r="N2155" i="10"/>
  <c r="N2154" i="10"/>
  <c r="N2146" i="10"/>
  <c r="N2145" i="10"/>
  <c r="N2137" i="10"/>
  <c r="N2131" i="10"/>
  <c r="N2126" i="10"/>
  <c r="N2123" i="10"/>
  <c r="N2115" i="10"/>
  <c r="N2153" i="10"/>
  <c r="N2152" i="10"/>
  <c r="N2112" i="10"/>
  <c r="N2109" i="10"/>
  <c r="N2108" i="10"/>
  <c r="N2069" i="10"/>
  <c r="N2107" i="10"/>
  <c r="N2099" i="10"/>
  <c r="N2093" i="10"/>
  <c r="N2092" i="10"/>
  <c r="N2091" i="10"/>
  <c r="N2086" i="10"/>
  <c r="N2100" i="10"/>
  <c r="N2094" i="10"/>
  <c r="N2087" i="10"/>
  <c r="N2111" i="10"/>
  <c r="N2106" i="10"/>
  <c r="N2105" i="10"/>
  <c r="N2085" i="10"/>
  <c r="N2063" i="10"/>
  <c r="N2110" i="10"/>
  <c r="N2090" i="10"/>
  <c r="N2084" i="10"/>
  <c r="N2080" i="10"/>
  <c r="N2079" i="10"/>
  <c r="N2078" i="10"/>
  <c r="N2074" i="10"/>
  <c r="N2073" i="10"/>
  <c r="N2072" i="10"/>
  <c r="N2068" i="10"/>
  <c r="N2067" i="10"/>
  <c r="N2066" i="10"/>
  <c r="N2062" i="10"/>
  <c r="N2061" i="10"/>
  <c r="N2104" i="10"/>
  <c r="N2103" i="10"/>
  <c r="N2059" i="10"/>
  <c r="N2101" i="10"/>
  <c r="N2095" i="10"/>
  <c r="N2113" i="10"/>
  <c r="N2102" i="10"/>
  <c r="N2098" i="10"/>
  <c r="N2097" i="10"/>
  <c r="N2089" i="10"/>
  <c r="N2083" i="10"/>
  <c r="N2082" i="10"/>
  <c r="N2081" i="10"/>
  <c r="N2077" i="10"/>
  <c r="N2076" i="10"/>
  <c r="N2075" i="10"/>
  <c r="N2071" i="10"/>
  <c r="N2070" i="10"/>
  <c r="N2065" i="10"/>
  <c r="N2064" i="10"/>
  <c r="N2060" i="10"/>
  <c r="N2096" i="10"/>
  <c r="N2088" i="10"/>
  <c r="N1967" i="10"/>
  <c r="N1985" i="10"/>
  <c r="N1972" i="10"/>
  <c r="N1971" i="10"/>
  <c r="N1970" i="10"/>
  <c r="N1966" i="10"/>
  <c r="N1965" i="10"/>
  <c r="N2056" i="10"/>
  <c r="N2040" i="10"/>
  <c r="N2023" i="10"/>
  <c r="N2031" i="10"/>
  <c r="N2026" i="10"/>
  <c r="N1986" i="10"/>
  <c r="N2052" i="10"/>
  <c r="N2051" i="10"/>
  <c r="N2041" i="10"/>
  <c r="N2025" i="10"/>
  <c r="N2013" i="10"/>
  <c r="N2005" i="10"/>
  <c r="N2004" i="10"/>
  <c r="N2050" i="10"/>
  <c r="N2024" i="10"/>
  <c r="N2049" i="10"/>
  <c r="N2039" i="10"/>
  <c r="N2038" i="10"/>
  <c r="N2022" i="10"/>
  <c r="N2048" i="10"/>
  <c r="N2037" i="10"/>
  <c r="N2021" i="10"/>
  <c r="N2012" i="10"/>
  <c r="N1995" i="10"/>
  <c r="N1984" i="10"/>
  <c r="N2000" i="10"/>
  <c r="N1983" i="10"/>
  <c r="N2036" i="10"/>
  <c r="N1999" i="10"/>
  <c r="N1994" i="10"/>
  <c r="N1982" i="10"/>
  <c r="N1981" i="10"/>
  <c r="N2055" i="10"/>
  <c r="N2047" i="10"/>
  <c r="N2046" i="10"/>
  <c r="N2035" i="10"/>
  <c r="N2034" i="10"/>
  <c r="N2020" i="10"/>
  <c r="N2019" i="10"/>
  <c r="N2011" i="10"/>
  <c r="N2010" i="10"/>
  <c r="N2009" i="10"/>
  <c r="N2003" i="10"/>
  <c r="N2002" i="10"/>
  <c r="N1998" i="10"/>
  <c r="N1997" i="10"/>
  <c r="N1993" i="10"/>
  <c r="N1992" i="10"/>
  <c r="N1991" i="10"/>
  <c r="N1990" i="10"/>
  <c r="N1989" i="10"/>
  <c r="N1988" i="10"/>
  <c r="N1980" i="10"/>
  <c r="N1979" i="10"/>
  <c r="N1978" i="10"/>
  <c r="N1977" i="10"/>
  <c r="N1976" i="10"/>
  <c r="N1975" i="10"/>
  <c r="N1974" i="10"/>
  <c r="N1973" i="10"/>
  <c r="N2045" i="10"/>
  <c r="N2008" i="10"/>
  <c r="N2007" i="10"/>
  <c r="N1969" i="10"/>
  <c r="N1968" i="10"/>
  <c r="N2058" i="10"/>
  <c r="N2001" i="10"/>
  <c r="N1996" i="10"/>
  <c r="N2014" i="10"/>
  <c r="N2033" i="10"/>
  <c r="N2032" i="10"/>
  <c r="N2044" i="10"/>
  <c r="N2017" i="10"/>
  <c r="N2054" i="10"/>
  <c r="N2018" i="10"/>
  <c r="N2030" i="10"/>
  <c r="N2057" i="10"/>
  <c r="N2053" i="10"/>
  <c r="N2043" i="10"/>
  <c r="N2029" i="10"/>
  <c r="N2028" i="10"/>
  <c r="N2016" i="10"/>
  <c r="N1987" i="10"/>
  <c r="N2042" i="10"/>
  <c r="N2027" i="10"/>
  <c r="N2015" i="10"/>
  <c r="N2006" i="10"/>
  <c r="N1963" i="10"/>
  <c r="N1931" i="10"/>
  <c r="N1930" i="10"/>
  <c r="N1897" i="10"/>
  <c r="N1896" i="10"/>
  <c r="N1895" i="10"/>
  <c r="N1875" i="10"/>
  <c r="N1851" i="10"/>
  <c r="N1850" i="10"/>
  <c r="N1835" i="10"/>
  <c r="N1949" i="10"/>
  <c r="N1922" i="10"/>
  <c r="N1891" i="10"/>
  <c r="N1838" i="10"/>
  <c r="N1962" i="10"/>
  <c r="N1954" i="10"/>
  <c r="N1953" i="10"/>
  <c r="N1929" i="10"/>
  <c r="N1928" i="10"/>
  <c r="N1894" i="10"/>
  <c r="N1893" i="10"/>
  <c r="N1892" i="10"/>
  <c r="N1883" i="10"/>
  <c r="N1882" i="10"/>
  <c r="N1881" i="10"/>
  <c r="N1874" i="10"/>
  <c r="N1952" i="10"/>
  <c r="N1927" i="10"/>
  <c r="N1961" i="10"/>
  <c r="N1951" i="10"/>
  <c r="N1950" i="10"/>
  <c r="N1926" i="10"/>
  <c r="N1925" i="10"/>
  <c r="N1924" i="10"/>
  <c r="N1923" i="10"/>
  <c r="N1948" i="10"/>
  <c r="N1947" i="10"/>
  <c r="N1946" i="10"/>
  <c r="N1921" i="10"/>
  <c r="N1920" i="10"/>
  <c r="N1880" i="10"/>
  <c r="N1849" i="10"/>
  <c r="N1945" i="10"/>
  <c r="N1919" i="10"/>
  <c r="N1873" i="10"/>
  <c r="N1872" i="10"/>
  <c r="N1858" i="10"/>
  <c r="N1848" i="10"/>
  <c r="N1944" i="10"/>
  <c r="N1918" i="10"/>
  <c r="N1917" i="10"/>
  <c r="N1890" i="10"/>
  <c r="N1871" i="10"/>
  <c r="N1865" i="10"/>
  <c r="N1847" i="10"/>
  <c r="N1943" i="10"/>
  <c r="N1916" i="10"/>
  <c r="N1915" i="10"/>
  <c r="N1864" i="10"/>
  <c r="N1846" i="10"/>
  <c r="N1960" i="10"/>
  <c r="N1959" i="10"/>
  <c r="N1958" i="10"/>
  <c r="N1942" i="10"/>
  <c r="N1941" i="10"/>
  <c r="N1940" i="10"/>
  <c r="N1914" i="10"/>
  <c r="N1913" i="10"/>
  <c r="N1912" i="10"/>
  <c r="N1911" i="10"/>
  <c r="N1910" i="10"/>
  <c r="N1889" i="10"/>
  <c r="N1888" i="10"/>
  <c r="N1887" i="10"/>
  <c r="N1879" i="10"/>
  <c r="N1878" i="10"/>
  <c r="N1870" i="10"/>
  <c r="N1869" i="10"/>
  <c r="N1863" i="10"/>
  <c r="N1862" i="10"/>
  <c r="N1857" i="10"/>
  <c r="N1856" i="10"/>
  <c r="N1855" i="10"/>
  <c r="N1854" i="10"/>
  <c r="N1845" i="10"/>
  <c r="N1844" i="10"/>
  <c r="N1843" i="10"/>
  <c r="N1842" i="10"/>
  <c r="N1841" i="10"/>
  <c r="N1840" i="10"/>
  <c r="N1839" i="10"/>
  <c r="N1939" i="10"/>
  <c r="N1909" i="10"/>
  <c r="N1908" i="10"/>
  <c r="N1932" i="10"/>
  <c r="N1936" i="10"/>
  <c r="N1935" i="10"/>
  <c r="N1905" i="10"/>
  <c r="N1957" i="10"/>
  <c r="N1938" i="10"/>
  <c r="N1907" i="10"/>
  <c r="N1937" i="10"/>
  <c r="N1906" i="10"/>
  <c r="N1904" i="10"/>
  <c r="N1964" i="10"/>
  <c r="N1956" i="10"/>
  <c r="N1955" i="10"/>
  <c r="N1934" i="10"/>
  <c r="N1903" i="10"/>
  <c r="N1902" i="10"/>
  <c r="N1901" i="10"/>
  <c r="N1900" i="10"/>
  <c r="N1859" i="10"/>
  <c r="N1899" i="10"/>
  <c r="N1898" i="10"/>
  <c r="N1886" i="10"/>
  <c r="N1885" i="10"/>
  <c r="N1877" i="10"/>
  <c r="N1876" i="10"/>
  <c r="N1868" i="10"/>
  <c r="N1867" i="10"/>
  <c r="N1866" i="10"/>
  <c r="N1861" i="10"/>
  <c r="N1860" i="10"/>
  <c r="N1853" i="10"/>
  <c r="N1852" i="10"/>
  <c r="N1837" i="10"/>
  <c r="N1836" i="10"/>
  <c r="N1933" i="10"/>
  <c r="N1884" i="10"/>
  <c r="N1816" i="10"/>
  <c r="N1744" i="10"/>
  <c r="N1742" i="10"/>
  <c r="N1815" i="10"/>
  <c r="N1811" i="10"/>
  <c r="N1784" i="10"/>
  <c r="N1783" i="10"/>
  <c r="N1834" i="10"/>
  <c r="N1833" i="10"/>
  <c r="N1832" i="10"/>
  <c r="N1827" i="10"/>
  <c r="N1814" i="10"/>
  <c r="N1813" i="10"/>
  <c r="N1812" i="10"/>
  <c r="N1786" i="10"/>
  <c r="N1785" i="10"/>
  <c r="N1778" i="10"/>
  <c r="N1826" i="10"/>
  <c r="N1825" i="10"/>
  <c r="N1810" i="10"/>
  <c r="N1809" i="10"/>
  <c r="N1782" i="10"/>
  <c r="N1762" i="10"/>
  <c r="N1749" i="10"/>
  <c r="N1808" i="10"/>
  <c r="N1777" i="10"/>
  <c r="N1773" i="10"/>
  <c r="N1761" i="10"/>
  <c r="N1831" i="10"/>
  <c r="N1830" i="10"/>
  <c r="N1824" i="10"/>
  <c r="N1823" i="10"/>
  <c r="N1807" i="10"/>
  <c r="N1806" i="10"/>
  <c r="N1805" i="10"/>
  <c r="N1804" i="10"/>
  <c r="N1803" i="10"/>
  <c r="N1802" i="10"/>
  <c r="N1801" i="10"/>
  <c r="N1800" i="10"/>
  <c r="N1799" i="10"/>
  <c r="N1781" i="10"/>
  <c r="N1780" i="10"/>
  <c r="N1776" i="10"/>
  <c r="N1775" i="10"/>
  <c r="N1772" i="10"/>
  <c r="N1771" i="10"/>
  <c r="N1769" i="10"/>
  <c r="N1768" i="10"/>
  <c r="N1760" i="10"/>
  <c r="N1759" i="10"/>
  <c r="N1758" i="10"/>
  <c r="N1757" i="10"/>
  <c r="N1756" i="10"/>
  <c r="N1755" i="10"/>
  <c r="N1754" i="10"/>
  <c r="N1748" i="10"/>
  <c r="N1747" i="10"/>
  <c r="N1746" i="10"/>
  <c r="N1743" i="10"/>
  <c r="N1752" i="10"/>
  <c r="N1820" i="10"/>
  <c r="N1822" i="10"/>
  <c r="N1821" i="10"/>
  <c r="N1753" i="10"/>
  <c r="N1797" i="10"/>
  <c r="N1796" i="10"/>
  <c r="N1770" i="10"/>
  <c r="N1764" i="10"/>
  <c r="N1763" i="10"/>
  <c r="N1798" i="10"/>
  <c r="N1767" i="10"/>
  <c r="N1795" i="10"/>
  <c r="N1828" i="10"/>
  <c r="N1819" i="10"/>
  <c r="N1829" i="10"/>
  <c r="N1818" i="10"/>
  <c r="N1794" i="10"/>
  <c r="N1793" i="10"/>
  <c r="N1792" i="10"/>
  <c r="N1791" i="10"/>
  <c r="N1790" i="10"/>
  <c r="N1789" i="10"/>
  <c r="N1817" i="10"/>
  <c r="N1779" i="10"/>
  <c r="N1774" i="10"/>
  <c r="N1766" i="10"/>
  <c r="N1765" i="10"/>
  <c r="N1751" i="10"/>
  <c r="N1750" i="10"/>
  <c r="N1745" i="10"/>
  <c r="N1788" i="10"/>
  <c r="N1787" i="10"/>
  <c r="N1741" i="10"/>
  <c r="N1734" i="10"/>
  <c r="N1733" i="10"/>
  <c r="N1698" i="10"/>
  <c r="N1697" i="10"/>
  <c r="N1657" i="10"/>
  <c r="N1656" i="10"/>
  <c r="N1594" i="10"/>
  <c r="N1582" i="10"/>
  <c r="N1581" i="10"/>
  <c r="N1580" i="10"/>
  <c r="N1727" i="10"/>
  <c r="N1726" i="10"/>
  <c r="N1688" i="10"/>
  <c r="N1627" i="10"/>
  <c r="N1725" i="10"/>
  <c r="N1652" i="10"/>
  <c r="N1626" i="10"/>
  <c r="N1625" i="10"/>
  <c r="N1583" i="10"/>
  <c r="N1740" i="10"/>
  <c r="N1732" i="10"/>
  <c r="N1731" i="10"/>
  <c r="N1696" i="10"/>
  <c r="N1695" i="10"/>
  <c r="N1694" i="10"/>
  <c r="N1693" i="10"/>
  <c r="N1655" i="10"/>
  <c r="N1654" i="10"/>
  <c r="N1640" i="10"/>
  <c r="N1639" i="10"/>
  <c r="N1739" i="10"/>
  <c r="N1738" i="10"/>
  <c r="N1730" i="10"/>
  <c r="N1729" i="10"/>
  <c r="N1728" i="10"/>
  <c r="N1692" i="10"/>
  <c r="N1691" i="10"/>
  <c r="N1690" i="10"/>
  <c r="N1689" i="10"/>
  <c r="N1653" i="10"/>
  <c r="N1724" i="10"/>
  <c r="N1687" i="10"/>
  <c r="N1686" i="10"/>
  <c r="N1685" i="10"/>
  <c r="N1684" i="10"/>
  <c r="N1651" i="10"/>
  <c r="N1624" i="10"/>
  <c r="N1609" i="10"/>
  <c r="N1593" i="10"/>
  <c r="N1723" i="10"/>
  <c r="N1683" i="10"/>
  <c r="N1638" i="10"/>
  <c r="N1637" i="10"/>
  <c r="N1623" i="10"/>
  <c r="N1622" i="10"/>
  <c r="N1608" i="10"/>
  <c r="N1607" i="10"/>
  <c r="N1592" i="10"/>
  <c r="N1722" i="10"/>
  <c r="N1721" i="10"/>
  <c r="N1720" i="10"/>
  <c r="N1682" i="10"/>
  <c r="N1621" i="10"/>
  <c r="N1606" i="10"/>
  <c r="N1591" i="10"/>
  <c r="N1719" i="10"/>
  <c r="N1650" i="10"/>
  <c r="N1636" i="10"/>
  <c r="N1635" i="10"/>
  <c r="N1605" i="10"/>
  <c r="N1599" i="10"/>
  <c r="N1590" i="10"/>
  <c r="N1737" i="10"/>
  <c r="N1736" i="10"/>
  <c r="N1718" i="10"/>
  <c r="N1717" i="10"/>
  <c r="N1716" i="10"/>
  <c r="N1715" i="10"/>
  <c r="N1681" i="10"/>
  <c r="N1680" i="10"/>
  <c r="N1679" i="10"/>
  <c r="N1678" i="10"/>
  <c r="N1677" i="10"/>
  <c r="N1676" i="10"/>
  <c r="N1649" i="10"/>
  <c r="N1648" i="10"/>
  <c r="N1647" i="10"/>
  <c r="N1634" i="10"/>
  <c r="N1633" i="10"/>
  <c r="N1620" i="10"/>
  <c r="N1619" i="10"/>
  <c r="N1618" i="10"/>
  <c r="N1617" i="10"/>
  <c r="N1616" i="10"/>
  <c r="N1604" i="10"/>
  <c r="N1603" i="10"/>
  <c r="N1602" i="10"/>
  <c r="N1598" i="10"/>
  <c r="N1597" i="10"/>
  <c r="N1589" i="10"/>
  <c r="N1588" i="10"/>
  <c r="N1587" i="10"/>
  <c r="N1586" i="10"/>
  <c r="N1585" i="10"/>
  <c r="N1710" i="10"/>
  <c r="N1714" i="10"/>
  <c r="N1713" i="10"/>
  <c r="N1712" i="10"/>
  <c r="N1646" i="10"/>
  <c r="N1699" i="10"/>
  <c r="N1661" i="10"/>
  <c r="N1660" i="10"/>
  <c r="N1659" i="10"/>
  <c r="N1658" i="10"/>
  <c r="N1642" i="10"/>
  <c r="N1641" i="10"/>
  <c r="N1629" i="10"/>
  <c r="N1628" i="10"/>
  <c r="N1711" i="10"/>
  <c r="N1675" i="10"/>
  <c r="N1674" i="10"/>
  <c r="N1673" i="10"/>
  <c r="N1632" i="10"/>
  <c r="N1708" i="10"/>
  <c r="N1672" i="10"/>
  <c r="N1709" i="10"/>
  <c r="N1615" i="10"/>
  <c r="N1614" i="10"/>
  <c r="N1671" i="10"/>
  <c r="N1735" i="10"/>
  <c r="N1707" i="10"/>
  <c r="N1706" i="10"/>
  <c r="N1670" i="10"/>
  <c r="N1669" i="10"/>
  <c r="N1668" i="10"/>
  <c r="N1667" i="10"/>
  <c r="N1666" i="10"/>
  <c r="N1665" i="10"/>
  <c r="N1645" i="10"/>
  <c r="N1610" i="10"/>
  <c r="N1600" i="10"/>
  <c r="N1705" i="10"/>
  <c r="N1704" i="10"/>
  <c r="N1664" i="10"/>
  <c r="N1663" i="10"/>
  <c r="N1644" i="10"/>
  <c r="N1631" i="10"/>
  <c r="N1630" i="10"/>
  <c r="N1613" i="10"/>
  <c r="N1612" i="10"/>
  <c r="N1611" i="10"/>
  <c r="N1601" i="10"/>
  <c r="N1596" i="10"/>
  <c r="N1595" i="10"/>
  <c r="N1584" i="10"/>
  <c r="N1703" i="10"/>
  <c r="N1702" i="10"/>
  <c r="N1662" i="10"/>
  <c r="N1701" i="10"/>
  <c r="N1700" i="10"/>
  <c r="N1643" i="10"/>
  <c r="N1505" i="10"/>
  <c r="N1504" i="10"/>
  <c r="N1503" i="10"/>
  <c r="N1443" i="10"/>
  <c r="N1442" i="10"/>
  <c r="N1395" i="10"/>
  <c r="N1394" i="10"/>
  <c r="N1359" i="10"/>
  <c r="N1338" i="10"/>
  <c r="N1337" i="10"/>
  <c r="N1336" i="10"/>
  <c r="N1335" i="10"/>
  <c r="N1564" i="10"/>
  <c r="N1501" i="10"/>
  <c r="N1500" i="10"/>
  <c r="N1554" i="10"/>
  <c r="N1574" i="10"/>
  <c r="N1553" i="10"/>
  <c r="N1552" i="10"/>
  <c r="N1551" i="10"/>
  <c r="N1550" i="10"/>
  <c r="N1492" i="10"/>
  <c r="N1491" i="10"/>
  <c r="N1490" i="10"/>
  <c r="N1439" i="10"/>
  <c r="N1438" i="10"/>
  <c r="N1421" i="10"/>
  <c r="N1420" i="10"/>
  <c r="N1393" i="10"/>
  <c r="N1358" i="10"/>
  <c r="N1507" i="10"/>
  <c r="N1506" i="10"/>
  <c r="N1339" i="10"/>
  <c r="N1578" i="10"/>
  <c r="N1577" i="10"/>
  <c r="N1563" i="10"/>
  <c r="N1562" i="10"/>
  <c r="N1561" i="10"/>
  <c r="N1499" i="10"/>
  <c r="N1498" i="10"/>
  <c r="N1441" i="10"/>
  <c r="N1423" i="10"/>
  <c r="N1422" i="10"/>
  <c r="N1411" i="10"/>
  <c r="N1410" i="10"/>
  <c r="N1376" i="10"/>
  <c r="N1375" i="10"/>
  <c r="N1560" i="10"/>
  <c r="N1497" i="10"/>
  <c r="N1496" i="10"/>
  <c r="N1440" i="10"/>
  <c r="N1576" i="10"/>
  <c r="N1575" i="10"/>
  <c r="N1559" i="10"/>
  <c r="N1558" i="10"/>
  <c r="N1557" i="10"/>
  <c r="N1556" i="10"/>
  <c r="N1555" i="10"/>
  <c r="N1495" i="10"/>
  <c r="N1494" i="10"/>
  <c r="N1493" i="10"/>
  <c r="N1549" i="10"/>
  <c r="N1548" i="10"/>
  <c r="N1547" i="10"/>
  <c r="N1489" i="10"/>
  <c r="N1488" i="10"/>
  <c r="N1487" i="10"/>
  <c r="N1486" i="10"/>
  <c r="N1437" i="10"/>
  <c r="N1419" i="10"/>
  <c r="N1409" i="10"/>
  <c r="N1391" i="10"/>
  <c r="N1357" i="10"/>
  <c r="N1546" i="10"/>
  <c r="N1485" i="10"/>
  <c r="N1484" i="10"/>
  <c r="N1436" i="10"/>
  <c r="N1390" i="10"/>
  <c r="N1389" i="10"/>
  <c r="N1373" i="10"/>
  <c r="N1356" i="10"/>
  <c r="N1545" i="10"/>
  <c r="N1544" i="10"/>
  <c r="N1483" i="10"/>
  <c r="N1388" i="10"/>
  <c r="N1387" i="10"/>
  <c r="N1386" i="10"/>
  <c r="N1372" i="10"/>
  <c r="N1371" i="10"/>
  <c r="N1355" i="10"/>
  <c r="N1543" i="10"/>
  <c r="N1542" i="10"/>
  <c r="N1482" i="10"/>
  <c r="N1481" i="10"/>
  <c r="N1435" i="10"/>
  <c r="N1418" i="10"/>
  <c r="N1408" i="10"/>
  <c r="N1407" i="10"/>
  <c r="N1385" i="10"/>
  <c r="N1384" i="10"/>
  <c r="N1383" i="10"/>
  <c r="N1370" i="10"/>
  <c r="N1369" i="10"/>
  <c r="N1354" i="10"/>
  <c r="N1353" i="10"/>
  <c r="N1352" i="10"/>
  <c r="N1573" i="10"/>
  <c r="N1572" i="10"/>
  <c r="N1541" i="10"/>
  <c r="N1540" i="10"/>
  <c r="N1539" i="10"/>
  <c r="N1538" i="10"/>
  <c r="N1537" i="10"/>
  <c r="N1536" i="10"/>
  <c r="N1480" i="10"/>
  <c r="N1479" i="10"/>
  <c r="N1478" i="10"/>
  <c r="N1477" i="10"/>
  <c r="N1476" i="10"/>
  <c r="N1475" i="10"/>
  <c r="N1434" i="10"/>
  <c r="N1433" i="10"/>
  <c r="N1417" i="10"/>
  <c r="N1416" i="10"/>
  <c r="N1406" i="10"/>
  <c r="N1405" i="10"/>
  <c r="N1404" i="10"/>
  <c r="N1382" i="10"/>
  <c r="N1381" i="10"/>
  <c r="N1380" i="10"/>
  <c r="N1379" i="10"/>
  <c r="N1368" i="10"/>
  <c r="N1367" i="10"/>
  <c r="N1366" i="10"/>
  <c r="N1365" i="10"/>
  <c r="N1364" i="10"/>
  <c r="N1363" i="10"/>
  <c r="N1351" i="10"/>
  <c r="N1350" i="10"/>
  <c r="N1349" i="10"/>
  <c r="N1348" i="10"/>
  <c r="N1347" i="10"/>
  <c r="N1346" i="10"/>
  <c r="N1345" i="10"/>
  <c r="N1344" i="10"/>
  <c r="N1343" i="10"/>
  <c r="N1342" i="10"/>
  <c r="N1530" i="10"/>
  <c r="N1466" i="10"/>
  <c r="N1465" i="10"/>
  <c r="N1571" i="10"/>
  <c r="N1535" i="10"/>
  <c r="N1534" i="10"/>
  <c r="N1533" i="10"/>
  <c r="N1474" i="10"/>
  <c r="N1473" i="10"/>
  <c r="N1432" i="10"/>
  <c r="N1415" i="10"/>
  <c r="N1403" i="10"/>
  <c r="N1402" i="10"/>
  <c r="N1401" i="10"/>
  <c r="N1414" i="10"/>
  <c r="N1566" i="10"/>
  <c r="N1511" i="10"/>
  <c r="N1510" i="10"/>
  <c r="N1509" i="10"/>
  <c r="N1508" i="10"/>
  <c r="N1449" i="10"/>
  <c r="N1448" i="10"/>
  <c r="N1447" i="10"/>
  <c r="N1446" i="10"/>
  <c r="N1445" i="10"/>
  <c r="N1444" i="10"/>
  <c r="N1426" i="10"/>
  <c r="N1425" i="10"/>
  <c r="N1424" i="10"/>
  <c r="N1413" i="10"/>
  <c r="N1397" i="10"/>
  <c r="N1532" i="10"/>
  <c r="N1472" i="10"/>
  <c r="N1471" i="10"/>
  <c r="N1470" i="10"/>
  <c r="N1531" i="10"/>
  <c r="N1469" i="10"/>
  <c r="N1502" i="10"/>
  <c r="N1565" i="10"/>
  <c r="N1468" i="10"/>
  <c r="N1467" i="10"/>
  <c r="N1526" i="10"/>
  <c r="N1464" i="10"/>
  <c r="N1430" i="10"/>
  <c r="N1529" i="10"/>
  <c r="N1570" i="10"/>
  <c r="N1528" i="10"/>
  <c r="N1527" i="10"/>
  <c r="N1431" i="10"/>
  <c r="N1525" i="10"/>
  <c r="N1463" i="10"/>
  <c r="N1579" i="10"/>
  <c r="N1569" i="10"/>
  <c r="N1568" i="10"/>
  <c r="N1524" i="10"/>
  <c r="N1523" i="10"/>
  <c r="N1522" i="10"/>
  <c r="N1521" i="10"/>
  <c r="N1520" i="10"/>
  <c r="N1462" i="10"/>
  <c r="N1461" i="10"/>
  <c r="N1460" i="10"/>
  <c r="N1459" i="10"/>
  <c r="N1458" i="10"/>
  <c r="N1457" i="10"/>
  <c r="N1429" i="10"/>
  <c r="N1392" i="10"/>
  <c r="N1374" i="10"/>
  <c r="N1519" i="10"/>
  <c r="N1518" i="10"/>
  <c r="N1517" i="10"/>
  <c r="N1456" i="10"/>
  <c r="N1455" i="10"/>
  <c r="N1454" i="10"/>
  <c r="N1428" i="10"/>
  <c r="N1400" i="10"/>
  <c r="N1399" i="10"/>
  <c r="N1398" i="10"/>
  <c r="N1378" i="10"/>
  <c r="N1362" i="10"/>
  <c r="N1361" i="10"/>
  <c r="N1360" i="10"/>
  <c r="N1341" i="10"/>
  <c r="N1340" i="10"/>
  <c r="N1567" i="10"/>
  <c r="N1516" i="10"/>
  <c r="N1515" i="10"/>
  <c r="N1514" i="10"/>
  <c r="N1453" i="10"/>
  <c r="N1452" i="10"/>
  <c r="N1427" i="10"/>
  <c r="N1513" i="10"/>
  <c r="N1512" i="10"/>
  <c r="N1451" i="10"/>
  <c r="N1450" i="10"/>
  <c r="N1412" i="10"/>
  <c r="N1377" i="10"/>
  <c r="N1396" i="10"/>
  <c r="N1334" i="10"/>
  <c r="N1333" i="10"/>
  <c r="N1318" i="10"/>
  <c r="N1267" i="10"/>
  <c r="N1266" i="10"/>
  <c r="N1213" i="10"/>
  <c r="N1139" i="10"/>
  <c r="N1138" i="10"/>
  <c r="N1137" i="10"/>
  <c r="N1108" i="10"/>
  <c r="N1107" i="10"/>
  <c r="N1106" i="10"/>
  <c r="N1105" i="10"/>
  <c r="N1104" i="10"/>
  <c r="N1050" i="10"/>
  <c r="N1049" i="10"/>
  <c r="N1048" i="10"/>
  <c r="N1332" i="10"/>
  <c r="N1316" i="10"/>
  <c r="N1315" i="10"/>
  <c r="N1263" i="10"/>
  <c r="N1262" i="10"/>
  <c r="N1256" i="10"/>
  <c r="N1210" i="10"/>
  <c r="N1178" i="10"/>
  <c r="N1161" i="10"/>
  <c r="N1102" i="10"/>
  <c r="N1080" i="10"/>
  <c r="N1328" i="10"/>
  <c r="N1306" i="10"/>
  <c r="N1305" i="10"/>
  <c r="N1255" i="10"/>
  <c r="N1254" i="10"/>
  <c r="N1253" i="10"/>
  <c r="N1252" i="10"/>
  <c r="N1251" i="10"/>
  <c r="N1209" i="10"/>
  <c r="N1208" i="10"/>
  <c r="N1177" i="10"/>
  <c r="N1176" i="10"/>
  <c r="N1175" i="10"/>
  <c r="N1160" i="10"/>
  <c r="N1101" i="10"/>
  <c r="N1079" i="10"/>
  <c r="N1078" i="10"/>
  <c r="N1056" i="10"/>
  <c r="N1265" i="10"/>
  <c r="N1163" i="10"/>
  <c r="N1331" i="10"/>
  <c r="N1314" i="10"/>
  <c r="N1313" i="10"/>
  <c r="N1312" i="10"/>
  <c r="N1261" i="10"/>
  <c r="N1260" i="10"/>
  <c r="N1259" i="10"/>
  <c r="N1258" i="10"/>
  <c r="N1180" i="10"/>
  <c r="N1179" i="10"/>
  <c r="N1162" i="10"/>
  <c r="N1136" i="10"/>
  <c r="N1330" i="10"/>
  <c r="N1329" i="10"/>
  <c r="N1311" i="10"/>
  <c r="N1310" i="10"/>
  <c r="N1309" i="10"/>
  <c r="N1308" i="10"/>
  <c r="N1307" i="10"/>
  <c r="N1257" i="10"/>
  <c r="N1103" i="10"/>
  <c r="N1327" i="10"/>
  <c r="N1304" i="10"/>
  <c r="N1303" i="10"/>
  <c r="N1302" i="10"/>
  <c r="N1301" i="10"/>
  <c r="N1250" i="10"/>
  <c r="N1249" i="10"/>
  <c r="N1248" i="10"/>
  <c r="N1247" i="10"/>
  <c r="N1246" i="10"/>
  <c r="N1245" i="10"/>
  <c r="N1207" i="10"/>
  <c r="N1206" i="10"/>
  <c r="N1205" i="10"/>
  <c r="N1204" i="10"/>
  <c r="N1174" i="10"/>
  <c r="N1075" i="10"/>
  <c r="N1074" i="10"/>
  <c r="N1300" i="10"/>
  <c r="N1299" i="10"/>
  <c r="N1244" i="10"/>
  <c r="N1243" i="10"/>
  <c r="N1203" i="10"/>
  <c r="N1202" i="10"/>
  <c r="N1173" i="10"/>
  <c r="N1172" i="10"/>
  <c r="N1171" i="10"/>
  <c r="N1159" i="10"/>
  <c r="N1158" i="10"/>
  <c r="N1135" i="10"/>
  <c r="N1134" i="10"/>
  <c r="N1098" i="10"/>
  <c r="N1097" i="10"/>
  <c r="N1073" i="10"/>
  <c r="N1072" i="10"/>
  <c r="N1242" i="10"/>
  <c r="N1201" i="10"/>
  <c r="N1133" i="10"/>
  <c r="N1096" i="10"/>
  <c r="N1071" i="10"/>
  <c r="N1298" i="10"/>
  <c r="N1241" i="10"/>
  <c r="N1240" i="10"/>
  <c r="N1200" i="10"/>
  <c r="N1170" i="10"/>
  <c r="N1157" i="10"/>
  <c r="N1132" i="10"/>
  <c r="N1095" i="10"/>
  <c r="N1094" i="10"/>
  <c r="N1070" i="10"/>
  <c r="N1069" i="10"/>
  <c r="N1068" i="10"/>
  <c r="N1326" i="10"/>
  <c r="N1325" i="10"/>
  <c r="N1297" i="10"/>
  <c r="N1296" i="10"/>
  <c r="N1295" i="10"/>
  <c r="N1294" i="10"/>
  <c r="N1293" i="10"/>
  <c r="N1292" i="10"/>
  <c r="N1291" i="10"/>
  <c r="N1239" i="10"/>
  <c r="N1238" i="10"/>
  <c r="N1237" i="10"/>
  <c r="N1236" i="10"/>
  <c r="N1199" i="10"/>
  <c r="N1198" i="10"/>
  <c r="N1197" i="10"/>
  <c r="N1196" i="10"/>
  <c r="N1195" i="10"/>
  <c r="N1169" i="10"/>
  <c r="N1168" i="10"/>
  <c r="N1167" i="10"/>
  <c r="N1156" i="10"/>
  <c r="N1155" i="10"/>
  <c r="N1154" i="10"/>
  <c r="N1131" i="10"/>
  <c r="N1130" i="10"/>
  <c r="N1129" i="10"/>
  <c r="N1128" i="10"/>
  <c r="N1127" i="10"/>
  <c r="N1126" i="10"/>
  <c r="N1093" i="10"/>
  <c r="N1092" i="10"/>
  <c r="N1091" i="10"/>
  <c r="N1090" i="10"/>
  <c r="N1089" i="10"/>
  <c r="N1088" i="10"/>
  <c r="N1087" i="10"/>
  <c r="N1067" i="10"/>
  <c r="N1066" i="10"/>
  <c r="N1065" i="10"/>
  <c r="N1064" i="10"/>
  <c r="N1063" i="10"/>
  <c r="N1062" i="10"/>
  <c r="N1061" i="10"/>
  <c r="N1052" i="10"/>
  <c r="N1149" i="10"/>
  <c r="N1117" i="10"/>
  <c r="N1085" i="10"/>
  <c r="N1057" i="10"/>
  <c r="N1191" i="10"/>
  <c r="N1148" i="10"/>
  <c r="N1125" i="10"/>
  <c r="N1124" i="10"/>
  <c r="N1060" i="10"/>
  <c r="N1290" i="10"/>
  <c r="N1235" i="10"/>
  <c r="N1234" i="10"/>
  <c r="N1233" i="10"/>
  <c r="N1232" i="10"/>
  <c r="N1194" i="10"/>
  <c r="N1193" i="10"/>
  <c r="N1153" i="10"/>
  <c r="N1152" i="10"/>
  <c r="N1151" i="10"/>
  <c r="N1150" i="10"/>
  <c r="N1123" i="10"/>
  <c r="N1122" i="10"/>
  <c r="N1121" i="10"/>
  <c r="N1120" i="10"/>
  <c r="N1119" i="10"/>
  <c r="N1118" i="10"/>
  <c r="N1059" i="10"/>
  <c r="N1058" i="10"/>
  <c r="N1051" i="10"/>
  <c r="N1321" i="10"/>
  <c r="N1320" i="10"/>
  <c r="N1319" i="10"/>
  <c r="N1271" i="10"/>
  <c r="N1270" i="10"/>
  <c r="N1269" i="10"/>
  <c r="N1268" i="10"/>
  <c r="N1219" i="10"/>
  <c r="N1218" i="10"/>
  <c r="N1217" i="10"/>
  <c r="N1216" i="10"/>
  <c r="N1215" i="10"/>
  <c r="N1185" i="10"/>
  <c r="N1184" i="10"/>
  <c r="N1183" i="10"/>
  <c r="N1182" i="10"/>
  <c r="N1181" i="10"/>
  <c r="N1164" i="10"/>
  <c r="N1141" i="10"/>
  <c r="N1140" i="10"/>
  <c r="N1212" i="10"/>
  <c r="N1289" i="10"/>
  <c r="N1288" i="10"/>
  <c r="N1287" i="10"/>
  <c r="N1086" i="10"/>
  <c r="N1192" i="10"/>
  <c r="N1317" i="10"/>
  <c r="N1264" i="10"/>
  <c r="N1211" i="10"/>
  <c r="N1286" i="10"/>
  <c r="N1285" i="10"/>
  <c r="N1116" i="10"/>
  <c r="N1115" i="10"/>
  <c r="N1114" i="10"/>
  <c r="N1113" i="10"/>
  <c r="N1214" i="10"/>
  <c r="N1283" i="10"/>
  <c r="N1324" i="10"/>
  <c r="N1323" i="10"/>
  <c r="N1284" i="10"/>
  <c r="N1231" i="10"/>
  <c r="N1147" i="10"/>
  <c r="N1146" i="10"/>
  <c r="N1145" i="10"/>
  <c r="N1112" i="10"/>
  <c r="N1282" i="10"/>
  <c r="N1190" i="10"/>
  <c r="N1281" i="10"/>
  <c r="N1230" i="10"/>
  <c r="N1229" i="10"/>
  <c r="N1322" i="10"/>
  <c r="N1280" i="10"/>
  <c r="N1279" i="10"/>
  <c r="N1228" i="10"/>
  <c r="N1227" i="10"/>
  <c r="N1226" i="10"/>
  <c r="N1225" i="10"/>
  <c r="N1100" i="10"/>
  <c r="N1099" i="10"/>
  <c r="N1077" i="10"/>
  <c r="N1076" i="10"/>
  <c r="N1278" i="10"/>
  <c r="N1277" i="10"/>
  <c r="N1224" i="10"/>
  <c r="N1189" i="10"/>
  <c r="N1188" i="10"/>
  <c r="N1166" i="10"/>
  <c r="N1165" i="10"/>
  <c r="N1144" i="10"/>
  <c r="N1143" i="10"/>
  <c r="N1142" i="10"/>
  <c r="N1111" i="10"/>
  <c r="N1110" i="10"/>
  <c r="N1109" i="10"/>
  <c r="N1084" i="10"/>
  <c r="N1083" i="10"/>
  <c r="N1082" i="10"/>
  <c r="N1055" i="10"/>
  <c r="N1054" i="10"/>
  <c r="N1053" i="10"/>
  <c r="N1223" i="10"/>
  <c r="N1276" i="10"/>
  <c r="N1275" i="10"/>
  <c r="N1274" i="10"/>
  <c r="N1273" i="10"/>
  <c r="N1222" i="10"/>
  <c r="N1221" i="10"/>
  <c r="N1187" i="10"/>
  <c r="N1186" i="10"/>
  <c r="N1081" i="10"/>
  <c r="N1272" i="10"/>
  <c r="N1220" i="10"/>
  <c r="N1046" i="10"/>
  <c r="N970" i="10"/>
  <c r="N908" i="10"/>
  <c r="N907" i="10"/>
  <c r="N906" i="10"/>
  <c r="N868" i="10"/>
  <c r="N841" i="10"/>
  <c r="N822" i="10"/>
  <c r="N772" i="10"/>
  <c r="N771" i="10"/>
  <c r="N745" i="10"/>
  <c r="N744" i="10"/>
  <c r="N743" i="10"/>
  <c r="N740" i="10"/>
  <c r="N739" i="10"/>
  <c r="N738" i="10"/>
  <c r="N1016" i="10"/>
  <c r="N960" i="10"/>
  <c r="N900" i="10"/>
  <c r="N864" i="10"/>
  <c r="N863" i="10"/>
  <c r="N862" i="10"/>
  <c r="N839" i="10"/>
  <c r="N838" i="10"/>
  <c r="N1015" i="10"/>
  <c r="N861" i="10"/>
  <c r="N837" i="10"/>
  <c r="N820" i="10"/>
  <c r="N803" i="10"/>
  <c r="N1040" i="10"/>
  <c r="N1014" i="10"/>
  <c r="N1013" i="10"/>
  <c r="N959" i="10"/>
  <c r="N958" i="10"/>
  <c r="N957" i="10"/>
  <c r="N956" i="10"/>
  <c r="N899" i="10"/>
  <c r="N898" i="10"/>
  <c r="N860" i="10"/>
  <c r="N859" i="10"/>
  <c r="N836" i="10"/>
  <c r="N835" i="10"/>
  <c r="N819" i="10"/>
  <c r="N818" i="10"/>
  <c r="N817" i="10"/>
  <c r="N802" i="10"/>
  <c r="N801" i="10"/>
  <c r="N800" i="10"/>
  <c r="N799" i="10"/>
  <c r="N798" i="10"/>
  <c r="N797" i="10"/>
  <c r="N796" i="10"/>
  <c r="N769" i="10"/>
  <c r="N768" i="10"/>
  <c r="N807" i="10"/>
  <c r="N971" i="10"/>
  <c r="N774" i="10"/>
  <c r="N773" i="10"/>
  <c r="N746" i="10"/>
  <c r="N1044" i="10"/>
  <c r="N1025" i="10"/>
  <c r="N1024" i="10"/>
  <c r="N969" i="10"/>
  <c r="N968" i="10"/>
  <c r="N967" i="10"/>
  <c r="N904" i="10"/>
  <c r="N903" i="10"/>
  <c r="N902" i="10"/>
  <c r="N867" i="10"/>
  <c r="N866" i="10"/>
  <c r="N865" i="10"/>
  <c r="N840" i="10"/>
  <c r="N804" i="10"/>
  <c r="N770" i="10"/>
  <c r="N966" i="10"/>
  <c r="N965" i="10"/>
  <c r="N1043" i="10"/>
  <c r="N1042" i="10"/>
  <c r="N1041" i="10"/>
  <c r="N1023" i="10"/>
  <c r="N1022" i="10"/>
  <c r="N1021" i="10"/>
  <c r="N1020" i="10"/>
  <c r="N964" i="10"/>
  <c r="N963" i="10"/>
  <c r="N1019" i="10"/>
  <c r="N1018" i="10"/>
  <c r="N1017" i="10"/>
  <c r="N962" i="10"/>
  <c r="N961" i="10"/>
  <c r="N901" i="10"/>
  <c r="N821" i="10"/>
  <c r="N1039" i="10"/>
  <c r="N1012" i="10"/>
  <c r="N1011" i="10"/>
  <c r="N1010" i="10"/>
  <c r="N1009" i="10"/>
  <c r="N955" i="10"/>
  <c r="N954" i="10"/>
  <c r="N953" i="10"/>
  <c r="N952" i="10"/>
  <c r="N951" i="10"/>
  <c r="N897" i="10"/>
  <c r="N896" i="10"/>
  <c r="N816" i="10"/>
  <c r="N795" i="10"/>
  <c r="N767" i="10"/>
  <c r="N1008" i="10"/>
  <c r="N1007" i="10"/>
  <c r="N1006" i="10"/>
  <c r="N950" i="10"/>
  <c r="N949" i="10"/>
  <c r="N948" i="10"/>
  <c r="N895" i="10"/>
  <c r="N858" i="10"/>
  <c r="N857" i="10"/>
  <c r="N834" i="10"/>
  <c r="N833" i="10"/>
  <c r="N815" i="10"/>
  <c r="N794" i="10"/>
  <c r="N793" i="10"/>
  <c r="N792" i="10"/>
  <c r="N766" i="10"/>
  <c r="N765" i="10"/>
  <c r="N764" i="10"/>
  <c r="N1005" i="10"/>
  <c r="N947" i="10"/>
  <c r="N856" i="10"/>
  <c r="N814" i="10"/>
  <c r="N791" i="10"/>
  <c r="N790" i="10"/>
  <c r="N763" i="10"/>
  <c r="N1004" i="10"/>
  <c r="N946" i="10"/>
  <c r="N945" i="10"/>
  <c r="N944" i="10"/>
  <c r="N855" i="10"/>
  <c r="N832" i="10"/>
  <c r="N831" i="10"/>
  <c r="N813" i="10"/>
  <c r="N789" i="10"/>
  <c r="N788" i="10"/>
  <c r="N787" i="10"/>
  <c r="N762" i="10"/>
  <c r="N1038" i="10"/>
  <c r="N1037" i="10"/>
  <c r="N1036" i="10"/>
  <c r="N1003" i="10"/>
  <c r="N1002" i="10"/>
  <c r="N1001" i="10"/>
  <c r="N1000" i="10"/>
  <c r="N999" i="10"/>
  <c r="N943" i="10"/>
  <c r="N942" i="10"/>
  <c r="N941" i="10"/>
  <c r="N940" i="10"/>
  <c r="N939" i="10"/>
  <c r="N938" i="10"/>
  <c r="N937" i="10"/>
  <c r="N894" i="10"/>
  <c r="N893" i="10"/>
  <c r="N892" i="10"/>
  <c r="N891" i="10"/>
  <c r="N890" i="10"/>
  <c r="N854" i="10"/>
  <c r="N853" i="10"/>
  <c r="N852" i="10"/>
  <c r="N830" i="10"/>
  <c r="N829" i="10"/>
  <c r="N828" i="10"/>
  <c r="N812" i="10"/>
  <c r="N811" i="10"/>
  <c r="N810" i="10"/>
  <c r="N809" i="10"/>
  <c r="N808" i="10"/>
  <c r="N786" i="10"/>
  <c r="N785" i="10"/>
  <c r="N784" i="10"/>
  <c r="N783" i="10"/>
  <c r="N782" i="10"/>
  <c r="N781" i="10"/>
  <c r="N780" i="10"/>
  <c r="N761" i="10"/>
  <c r="N760" i="10"/>
  <c r="N759" i="10"/>
  <c r="N758" i="10"/>
  <c r="N757" i="10"/>
  <c r="N756" i="10"/>
  <c r="N755" i="10"/>
  <c r="N850" i="10"/>
  <c r="N849" i="10"/>
  <c r="N826" i="10"/>
  <c r="N995" i="10"/>
  <c r="N994" i="10"/>
  <c r="N929" i="10"/>
  <c r="N889" i="10"/>
  <c r="N1035" i="10"/>
  <c r="N998" i="10"/>
  <c r="N997" i="10"/>
  <c r="N936" i="10"/>
  <c r="N935" i="10"/>
  <c r="N934" i="10"/>
  <c r="N933" i="10"/>
  <c r="N932" i="10"/>
  <c r="N888" i="10"/>
  <c r="N887" i="10"/>
  <c r="N886" i="10"/>
  <c r="N851" i="10"/>
  <c r="N827" i="10"/>
  <c r="N779" i="10"/>
  <c r="N754" i="10"/>
  <c r="N753" i="10"/>
  <c r="N752" i="10"/>
  <c r="N751" i="10"/>
  <c r="N1029" i="10"/>
  <c r="N1028" i="10"/>
  <c r="N1027" i="10"/>
  <c r="N977" i="10"/>
  <c r="N976" i="10"/>
  <c r="N975" i="10"/>
  <c r="N974" i="10"/>
  <c r="N973" i="10"/>
  <c r="N972" i="10"/>
  <c r="N913" i="10"/>
  <c r="N912" i="10"/>
  <c r="N911" i="10"/>
  <c r="N910" i="10"/>
  <c r="N909" i="10"/>
  <c r="N875" i="10"/>
  <c r="N874" i="10"/>
  <c r="N873" i="10"/>
  <c r="N872" i="10"/>
  <c r="N871" i="10"/>
  <c r="N870" i="10"/>
  <c r="N869" i="10"/>
  <c r="N845" i="10"/>
  <c r="N844" i="10"/>
  <c r="N843" i="10"/>
  <c r="N842" i="10"/>
  <c r="N823" i="10"/>
  <c r="N747" i="10"/>
  <c r="N1045" i="10"/>
  <c r="N905" i="10"/>
  <c r="N931" i="10"/>
  <c r="N885" i="10"/>
  <c r="N750" i="10"/>
  <c r="N996" i="10"/>
  <c r="N930" i="10"/>
  <c r="N1026" i="10"/>
  <c r="N742" i="10"/>
  <c r="N1033" i="10"/>
  <c r="N992" i="10"/>
  <c r="N991" i="10"/>
  <c r="N927" i="10"/>
  <c r="N1034" i="10"/>
  <c r="N993" i="10"/>
  <c r="N928" i="10"/>
  <c r="N990" i="10"/>
  <c r="N989" i="10"/>
  <c r="N926" i="10"/>
  <c r="N741" i="10"/>
  <c r="N988" i="10"/>
  <c r="N925" i="10"/>
  <c r="N924" i="10"/>
  <c r="N884" i="10"/>
  <c r="N883" i="10"/>
  <c r="N1047" i="10"/>
  <c r="N1032" i="10"/>
  <c r="N1031" i="10"/>
  <c r="N1030" i="10"/>
  <c r="N987" i="10"/>
  <c r="N986" i="10"/>
  <c r="N985" i="10"/>
  <c r="N984" i="10"/>
  <c r="N923" i="10"/>
  <c r="N922" i="10"/>
  <c r="N921" i="10"/>
  <c r="N920" i="10"/>
  <c r="N919" i="10"/>
  <c r="N882" i="10"/>
  <c r="N881" i="10"/>
  <c r="N983" i="10"/>
  <c r="N982" i="10"/>
  <c r="N981" i="10"/>
  <c r="N918" i="10"/>
  <c r="N917" i="10"/>
  <c r="N880" i="10"/>
  <c r="N879" i="10"/>
  <c r="N848" i="10"/>
  <c r="N847" i="10"/>
  <c r="N825" i="10"/>
  <c r="N824" i="10"/>
  <c r="N806" i="10"/>
  <c r="N805" i="10"/>
  <c r="N778" i="10"/>
  <c r="N777" i="10"/>
  <c r="N776" i="10"/>
  <c r="N775" i="10"/>
  <c r="N749" i="10"/>
  <c r="N748" i="10"/>
  <c r="N980" i="10"/>
  <c r="N979" i="10"/>
  <c r="N916" i="10"/>
  <c r="N915" i="10"/>
  <c r="N914" i="10"/>
  <c r="N878" i="10"/>
  <c r="N877" i="10"/>
  <c r="N846" i="10"/>
  <c r="N978" i="10"/>
  <c r="N876" i="10"/>
  <c r="N735" i="10"/>
  <c r="N710" i="10"/>
  <c r="N644" i="10"/>
  <c r="N569" i="10"/>
  <c r="N568" i="10"/>
  <c r="N567" i="10"/>
  <c r="N524" i="10"/>
  <c r="N497" i="10"/>
  <c r="N496" i="10"/>
  <c r="N453" i="10"/>
  <c r="N452" i="10"/>
  <c r="N451" i="10"/>
  <c r="N412" i="10"/>
  <c r="N411" i="10"/>
  <c r="N410" i="10"/>
  <c r="N409" i="10"/>
  <c r="N408" i="10"/>
  <c r="N379" i="10"/>
  <c r="N378" i="10"/>
  <c r="N377" i="10"/>
  <c r="N351" i="10"/>
  <c r="N349" i="10"/>
  <c r="N732" i="10"/>
  <c r="N566" i="10"/>
  <c r="N737" i="10"/>
  <c r="N698" i="10"/>
  <c r="N635" i="10"/>
  <c r="N634" i="10"/>
  <c r="N560" i="10"/>
  <c r="N518" i="10"/>
  <c r="N494" i="10"/>
  <c r="N493" i="10"/>
  <c r="N492" i="10"/>
  <c r="N491" i="10"/>
  <c r="N403" i="10"/>
  <c r="N727" i="10"/>
  <c r="N697" i="10"/>
  <c r="N696" i="10"/>
  <c r="N695" i="10"/>
  <c r="N633" i="10"/>
  <c r="N632" i="10"/>
  <c r="N631" i="10"/>
  <c r="N630" i="10"/>
  <c r="N559" i="10"/>
  <c r="N558" i="10"/>
  <c r="N557" i="10"/>
  <c r="N556" i="10"/>
  <c r="N517" i="10"/>
  <c r="N516" i="10"/>
  <c r="N515" i="10"/>
  <c r="N490" i="10"/>
  <c r="N448" i="10"/>
  <c r="N447" i="10"/>
  <c r="N402" i="10"/>
  <c r="N401" i="10"/>
  <c r="N400" i="10"/>
  <c r="N399" i="10"/>
  <c r="N371" i="10"/>
  <c r="N370" i="10"/>
  <c r="N731" i="10"/>
  <c r="N709" i="10"/>
  <c r="N708" i="10"/>
  <c r="N707" i="10"/>
  <c r="N706" i="10"/>
  <c r="N705" i="10"/>
  <c r="N643" i="10"/>
  <c r="N642" i="10"/>
  <c r="N641" i="10"/>
  <c r="N640" i="10"/>
  <c r="N639" i="10"/>
  <c r="N565" i="10"/>
  <c r="N564" i="10"/>
  <c r="N563" i="10"/>
  <c r="N562" i="10"/>
  <c r="N561" i="10"/>
  <c r="N521" i="10"/>
  <c r="N520" i="10"/>
  <c r="N376" i="10"/>
  <c r="N375" i="10"/>
  <c r="N638" i="10"/>
  <c r="N730" i="10"/>
  <c r="N729" i="10"/>
  <c r="N728" i="10"/>
  <c r="N704" i="10"/>
  <c r="N703" i="10"/>
  <c r="N702" i="10"/>
  <c r="N701" i="10"/>
  <c r="N700" i="10"/>
  <c r="N637" i="10"/>
  <c r="N636" i="10"/>
  <c r="N699" i="10"/>
  <c r="N519" i="10"/>
  <c r="N495" i="10"/>
  <c r="N449" i="10"/>
  <c r="N404" i="10"/>
  <c r="N374" i="10"/>
  <c r="N373" i="10"/>
  <c r="N372" i="10"/>
  <c r="N726" i="10"/>
  <c r="N725" i="10"/>
  <c r="N694" i="10"/>
  <c r="N693" i="10"/>
  <c r="N692" i="10"/>
  <c r="N691" i="10"/>
  <c r="N690" i="10"/>
  <c r="N629" i="10"/>
  <c r="N628" i="10"/>
  <c r="N627" i="10"/>
  <c r="N626" i="10"/>
  <c r="N625" i="10"/>
  <c r="N555" i="10"/>
  <c r="N514" i="10"/>
  <c r="N513" i="10"/>
  <c r="N512" i="10"/>
  <c r="N489" i="10"/>
  <c r="N446" i="10"/>
  <c r="N397" i="10"/>
  <c r="N369" i="10"/>
  <c r="N736" i="10"/>
  <c r="N689" i="10"/>
  <c r="N688" i="10"/>
  <c r="N624" i="10"/>
  <c r="N623" i="10"/>
  <c r="N622" i="10"/>
  <c r="N621" i="10"/>
  <c r="N554" i="10"/>
  <c r="N553" i="10"/>
  <c r="N511" i="10"/>
  <c r="N510" i="10"/>
  <c r="N488" i="10"/>
  <c r="N487" i="10"/>
  <c r="N486" i="10"/>
  <c r="N485" i="10"/>
  <c r="N445" i="10"/>
  <c r="N444" i="10"/>
  <c r="N443" i="10"/>
  <c r="N396" i="10"/>
  <c r="N395" i="10"/>
  <c r="N368" i="10"/>
  <c r="N687" i="10"/>
  <c r="N442" i="10"/>
  <c r="N394" i="10"/>
  <c r="N686" i="10"/>
  <c r="N685" i="10"/>
  <c r="N620" i="10"/>
  <c r="N619" i="10"/>
  <c r="N552" i="10"/>
  <c r="N484" i="10"/>
  <c r="N441" i="10"/>
  <c r="N440" i="10"/>
  <c r="N393" i="10"/>
  <c r="N392" i="10"/>
  <c r="N367" i="10"/>
  <c r="N724" i="10"/>
  <c r="N723" i="10"/>
  <c r="N722" i="10"/>
  <c r="N721" i="10"/>
  <c r="N684" i="10"/>
  <c r="N683" i="10"/>
  <c r="N682" i="10"/>
  <c r="N681" i="10"/>
  <c r="N680" i="10"/>
  <c r="N618" i="10"/>
  <c r="N617" i="10"/>
  <c r="N616" i="10"/>
  <c r="N615" i="10"/>
  <c r="N614" i="10"/>
  <c r="N613" i="10"/>
  <c r="N612" i="10"/>
  <c r="N611" i="10"/>
  <c r="N551" i="10"/>
  <c r="N550" i="10"/>
  <c r="N549" i="10"/>
  <c r="N548" i="10"/>
  <c r="N509" i="10"/>
  <c r="N508" i="10"/>
  <c r="N507" i="10"/>
  <c r="N483" i="10"/>
  <c r="N482" i="10"/>
  <c r="N481" i="10"/>
  <c r="N439" i="10"/>
  <c r="N438" i="10"/>
  <c r="N437" i="10"/>
  <c r="N436" i="10"/>
  <c r="N435" i="10"/>
  <c r="N391" i="10"/>
  <c r="N390" i="10"/>
  <c r="N389" i="10"/>
  <c r="N388" i="10"/>
  <c r="N387" i="10"/>
  <c r="N386" i="10"/>
  <c r="N385" i="10"/>
  <c r="N366" i="10"/>
  <c r="N365" i="10"/>
  <c r="N364" i="10"/>
  <c r="N363" i="10"/>
  <c r="N362" i="10"/>
  <c r="N361" i="10"/>
  <c r="N360" i="10"/>
  <c r="N359" i="10"/>
  <c r="N672" i="10"/>
  <c r="N671" i="10"/>
  <c r="N603" i="10"/>
  <c r="N544" i="10"/>
  <c r="N506" i="10"/>
  <c r="N669" i="10"/>
  <c r="N598" i="10"/>
  <c r="N547" i="10"/>
  <c r="N480" i="10"/>
  <c r="N434" i="10"/>
  <c r="N433" i="10"/>
  <c r="N432" i="10"/>
  <c r="N431" i="10"/>
  <c r="N430" i="10"/>
  <c r="N429" i="10"/>
  <c r="N679" i="10"/>
  <c r="N678" i="10"/>
  <c r="N677" i="10"/>
  <c r="N676" i="10"/>
  <c r="N675" i="10"/>
  <c r="N610" i="10"/>
  <c r="N609" i="10"/>
  <c r="N608" i="10"/>
  <c r="N607" i="10"/>
  <c r="N606" i="10"/>
  <c r="N605" i="10"/>
  <c r="N546" i="10"/>
  <c r="N545" i="10"/>
  <c r="N479" i="10"/>
  <c r="N478" i="10"/>
  <c r="N477" i="10"/>
  <c r="N476" i="10"/>
  <c r="N428" i="10"/>
  <c r="N427" i="10"/>
  <c r="N426" i="10"/>
  <c r="N425" i="10"/>
  <c r="N424" i="10"/>
  <c r="N358" i="10"/>
  <c r="N714" i="10"/>
  <c r="N713" i="10"/>
  <c r="N712" i="10"/>
  <c r="N711" i="10"/>
  <c r="N652" i="10"/>
  <c r="N651" i="10"/>
  <c r="N650" i="10"/>
  <c r="N649" i="10"/>
  <c r="N648" i="10"/>
  <c r="N647" i="10"/>
  <c r="N646" i="10"/>
  <c r="N577" i="10"/>
  <c r="N576" i="10"/>
  <c r="N575" i="10"/>
  <c r="N574" i="10"/>
  <c r="N573" i="10"/>
  <c r="N572" i="10"/>
  <c r="N571" i="10"/>
  <c r="N570" i="10"/>
  <c r="N529" i="10"/>
  <c r="N528" i="10"/>
  <c r="N527" i="10"/>
  <c r="N526" i="10"/>
  <c r="N525" i="10"/>
  <c r="N457" i="10"/>
  <c r="N456" i="10"/>
  <c r="N380" i="10"/>
  <c r="N352" i="10"/>
  <c r="N413" i="10"/>
  <c r="N645" i="10"/>
  <c r="N734" i="10"/>
  <c r="N407" i="10"/>
  <c r="N674" i="10"/>
  <c r="N673" i="10"/>
  <c r="N604" i="10"/>
  <c r="N475" i="10"/>
  <c r="N423" i="10"/>
  <c r="N474" i="10"/>
  <c r="N670" i="10"/>
  <c r="N602" i="10"/>
  <c r="N601" i="10"/>
  <c r="N733" i="10"/>
  <c r="N523" i="10"/>
  <c r="N522" i="10"/>
  <c r="N450" i="10"/>
  <c r="N406" i="10"/>
  <c r="N405" i="10"/>
  <c r="N600" i="10"/>
  <c r="N599" i="10"/>
  <c r="N473" i="10"/>
  <c r="N472" i="10"/>
  <c r="N471" i="10"/>
  <c r="N470" i="10"/>
  <c r="N469" i="10"/>
  <c r="N468" i="10"/>
  <c r="N422" i="10"/>
  <c r="N421" i="10"/>
  <c r="N357" i="10"/>
  <c r="N455" i="10"/>
  <c r="N454" i="10"/>
  <c r="N718" i="10"/>
  <c r="N666" i="10"/>
  <c r="N596" i="10"/>
  <c r="N467" i="10"/>
  <c r="N720" i="10"/>
  <c r="N719" i="10"/>
  <c r="N668" i="10"/>
  <c r="N667" i="10"/>
  <c r="N597" i="10"/>
  <c r="N543" i="10"/>
  <c r="N665" i="10"/>
  <c r="N595" i="10"/>
  <c r="N542" i="10"/>
  <c r="N466" i="10"/>
  <c r="N465" i="10"/>
  <c r="N464" i="10"/>
  <c r="N420" i="10"/>
  <c r="N664" i="10"/>
  <c r="N594" i="10"/>
  <c r="N593" i="10"/>
  <c r="N592" i="10"/>
  <c r="N541" i="10"/>
  <c r="N663" i="10"/>
  <c r="N662" i="10"/>
  <c r="N591" i="10"/>
  <c r="N590" i="10"/>
  <c r="N589" i="10"/>
  <c r="N588" i="10"/>
  <c r="N540" i="10"/>
  <c r="N539" i="10"/>
  <c r="N538" i="10"/>
  <c r="N537" i="10"/>
  <c r="N505" i="10"/>
  <c r="N504" i="10"/>
  <c r="N503" i="10"/>
  <c r="N502" i="10"/>
  <c r="N463" i="10"/>
  <c r="N462" i="10"/>
  <c r="N419" i="10"/>
  <c r="N418" i="10"/>
  <c r="N384" i="10"/>
  <c r="N356" i="10"/>
  <c r="N535" i="10"/>
  <c r="N536" i="10"/>
  <c r="N717" i="10"/>
  <c r="N716" i="10"/>
  <c r="N715" i="10"/>
  <c r="N661" i="10"/>
  <c r="N660" i="10"/>
  <c r="N659" i="10"/>
  <c r="N658" i="10"/>
  <c r="N657" i="10"/>
  <c r="N587" i="10"/>
  <c r="N586" i="10"/>
  <c r="N585" i="10"/>
  <c r="N584" i="10"/>
  <c r="N534" i="10"/>
  <c r="N533" i="10"/>
  <c r="N398" i="10"/>
  <c r="N656" i="10"/>
  <c r="N655" i="10"/>
  <c r="N583" i="10"/>
  <c r="N582" i="10"/>
  <c r="N532" i="10"/>
  <c r="N501" i="10"/>
  <c r="N500" i="10"/>
  <c r="N461" i="10"/>
  <c r="N460" i="10"/>
  <c r="N459" i="10"/>
  <c r="N458" i="10"/>
  <c r="N417" i="10"/>
  <c r="N416" i="10"/>
  <c r="N415" i="10"/>
  <c r="N414" i="10"/>
  <c r="N383" i="10"/>
  <c r="N382" i="10"/>
  <c r="N381" i="10"/>
  <c r="N355" i="10"/>
  <c r="N354" i="10"/>
  <c r="N353" i="10"/>
  <c r="N350" i="10"/>
  <c r="N581" i="10"/>
  <c r="N499" i="10"/>
  <c r="N654" i="10"/>
  <c r="N580" i="10"/>
  <c r="N531" i="10"/>
  <c r="N530" i="10"/>
  <c r="N498" i="10"/>
  <c r="N579" i="10"/>
  <c r="N653" i="10"/>
  <c r="N578" i="10"/>
  <c r="N347" i="10"/>
  <c r="N323" i="10"/>
  <c r="N270" i="10"/>
  <c r="N189" i="10"/>
  <c r="N188" i="10"/>
  <c r="N149" i="10"/>
  <c r="N111" i="10"/>
  <c r="N78" i="10"/>
  <c r="N52" i="10"/>
  <c r="N51" i="10"/>
  <c r="N29" i="10"/>
  <c r="N28" i="10"/>
  <c r="N4" i="10"/>
  <c r="N3" i="10"/>
  <c r="N2" i="10"/>
  <c r="N346" i="10"/>
  <c r="N322" i="10"/>
  <c r="N144" i="10"/>
  <c r="N74" i="10"/>
  <c r="N143" i="10"/>
  <c r="N311" i="10"/>
  <c r="N310" i="10"/>
  <c r="N260" i="10"/>
  <c r="N184" i="10"/>
  <c r="N183" i="10"/>
  <c r="N182" i="10"/>
  <c r="N181" i="10"/>
  <c r="N142" i="10"/>
  <c r="N141" i="10"/>
  <c r="N107" i="10"/>
  <c r="N106" i="10"/>
  <c r="N73" i="10"/>
  <c r="N72" i="10"/>
  <c r="N26" i="10"/>
  <c r="N190" i="10"/>
  <c r="N112" i="10"/>
  <c r="N5" i="10"/>
  <c r="N345" i="10"/>
  <c r="N344" i="10"/>
  <c r="N321" i="10"/>
  <c r="N320" i="10"/>
  <c r="N319" i="10"/>
  <c r="N318" i="10"/>
  <c r="N268" i="10"/>
  <c r="N267" i="10"/>
  <c r="N266" i="10"/>
  <c r="N187" i="10"/>
  <c r="N186" i="10"/>
  <c r="N148" i="10"/>
  <c r="N147" i="10"/>
  <c r="N110" i="10"/>
  <c r="N317" i="10"/>
  <c r="N265" i="10"/>
  <c r="N109" i="10"/>
  <c r="N76" i="10"/>
  <c r="N343" i="10"/>
  <c r="N342" i="10"/>
  <c r="N316" i="10"/>
  <c r="N315" i="10"/>
  <c r="N314" i="10"/>
  <c r="N313" i="10"/>
  <c r="N264" i="10"/>
  <c r="N263" i="10"/>
  <c r="N262" i="10"/>
  <c r="N312" i="10"/>
  <c r="N261" i="10"/>
  <c r="N185" i="10"/>
  <c r="N146" i="10"/>
  <c r="N145" i="10"/>
  <c r="N108" i="10"/>
  <c r="N75" i="10"/>
  <c r="N27" i="10"/>
  <c r="N341" i="10"/>
  <c r="N309" i="10"/>
  <c r="N308" i="10"/>
  <c r="N259" i="10"/>
  <c r="N258" i="10"/>
  <c r="N257" i="10"/>
  <c r="N256" i="10"/>
  <c r="N255" i="10"/>
  <c r="N254" i="10"/>
  <c r="N180" i="10"/>
  <c r="N179" i="10"/>
  <c r="N178" i="10"/>
  <c r="N140" i="10"/>
  <c r="N139" i="10"/>
  <c r="N105" i="10"/>
  <c r="N71" i="10"/>
  <c r="N70" i="10"/>
  <c r="N69" i="10"/>
  <c r="N49" i="10"/>
  <c r="N48" i="10"/>
  <c r="N47" i="10"/>
  <c r="N25" i="10"/>
  <c r="N348" i="10"/>
  <c r="N307" i="10"/>
  <c r="N306" i="10"/>
  <c r="N253" i="10"/>
  <c r="N252" i="10"/>
  <c r="N177" i="10"/>
  <c r="N138" i="10"/>
  <c r="N104" i="10"/>
  <c r="N103" i="10"/>
  <c r="N46" i="10"/>
  <c r="N45" i="10"/>
  <c r="N24" i="10"/>
  <c r="N23" i="10"/>
  <c r="N22" i="10"/>
  <c r="N305" i="10"/>
  <c r="N251" i="10"/>
  <c r="N250" i="10"/>
  <c r="N137" i="10"/>
  <c r="N102" i="10"/>
  <c r="N68" i="10"/>
  <c r="N67" i="10"/>
  <c r="N21" i="10"/>
  <c r="N304" i="10"/>
  <c r="N249" i="10"/>
  <c r="N248" i="10"/>
  <c r="N247" i="10"/>
  <c r="N176" i="10"/>
  <c r="N175" i="10"/>
  <c r="N136" i="10"/>
  <c r="N135" i="10"/>
  <c r="N134" i="10"/>
  <c r="N101" i="10"/>
  <c r="N66" i="10"/>
  <c r="N65" i="10"/>
  <c r="N44" i="10"/>
  <c r="N20" i="10"/>
  <c r="N340" i="10"/>
  <c r="N339" i="10"/>
  <c r="N338" i="10"/>
  <c r="N337" i="10"/>
  <c r="N336" i="10"/>
  <c r="N303" i="10"/>
  <c r="N302" i="10"/>
  <c r="N301" i="10"/>
  <c r="N300" i="10"/>
  <c r="N246" i="10"/>
  <c r="N245" i="10"/>
  <c r="N244" i="10"/>
  <c r="N243" i="10"/>
  <c r="N242" i="10"/>
  <c r="N241" i="10"/>
  <c r="N174" i="10"/>
  <c r="N173" i="10"/>
  <c r="N172" i="10"/>
  <c r="N133" i="10"/>
  <c r="N132" i="10"/>
  <c r="N131" i="10"/>
  <c r="N100" i="10"/>
  <c r="N99" i="10"/>
  <c r="N98" i="10"/>
  <c r="N64" i="10"/>
  <c r="N63" i="10"/>
  <c r="N62" i="10"/>
  <c r="N61" i="10"/>
  <c r="N43" i="10"/>
  <c r="N42" i="10"/>
  <c r="N41" i="10"/>
  <c r="N40" i="10"/>
  <c r="N39" i="10"/>
  <c r="N19" i="10"/>
  <c r="N18" i="10"/>
  <c r="N17" i="10"/>
  <c r="N16" i="10"/>
  <c r="N15" i="10"/>
  <c r="N14" i="10"/>
  <c r="N13" i="10"/>
  <c r="N293" i="10"/>
  <c r="N235" i="10"/>
  <c r="N234" i="10"/>
  <c r="N168" i="10"/>
  <c r="N126" i="10"/>
  <c r="N94" i="10"/>
  <c r="N93" i="10"/>
  <c r="N11" i="10"/>
  <c r="N10" i="10"/>
  <c r="N291" i="10"/>
  <c r="N290" i="10"/>
  <c r="N230" i="10"/>
  <c r="N229" i="10"/>
  <c r="N299" i="10"/>
  <c r="N298" i="10"/>
  <c r="N297" i="10"/>
  <c r="N296" i="10"/>
  <c r="N240" i="10"/>
  <c r="N239" i="10"/>
  <c r="N238" i="10"/>
  <c r="N237" i="10"/>
  <c r="N171" i="10"/>
  <c r="N170" i="10"/>
  <c r="N169" i="10"/>
  <c r="N130" i="10"/>
  <c r="N129" i="10"/>
  <c r="N128" i="10"/>
  <c r="N97" i="10"/>
  <c r="N96" i="10"/>
  <c r="N60" i="10"/>
  <c r="N59" i="10"/>
  <c r="N127" i="10"/>
  <c r="N95" i="10"/>
  <c r="N58" i="10"/>
  <c r="N38" i="10"/>
  <c r="N12" i="10"/>
  <c r="N326" i="10"/>
  <c r="N325" i="10"/>
  <c r="N324" i="10"/>
  <c r="N274" i="10"/>
  <c r="N273" i="10"/>
  <c r="N272" i="10"/>
  <c r="N271" i="10"/>
  <c r="N200" i="10"/>
  <c r="N199" i="10"/>
  <c r="N198" i="10"/>
  <c r="N197" i="10"/>
  <c r="N196" i="10"/>
  <c r="N195" i="10"/>
  <c r="N194" i="10"/>
  <c r="N193" i="10"/>
  <c r="N154" i="10"/>
  <c r="N153" i="10"/>
  <c r="N152" i="10"/>
  <c r="N151" i="10"/>
  <c r="N150" i="10"/>
  <c r="N117" i="10"/>
  <c r="N116" i="10"/>
  <c r="N115" i="10"/>
  <c r="N114" i="10"/>
  <c r="N113" i="10"/>
  <c r="N85" i="10"/>
  <c r="N84" i="10"/>
  <c r="N83" i="10"/>
  <c r="N82" i="10"/>
  <c r="N81" i="10"/>
  <c r="N80" i="10"/>
  <c r="N79" i="10"/>
  <c r="N6" i="10"/>
  <c r="N335" i="10"/>
  <c r="N295" i="10"/>
  <c r="N236" i="10"/>
  <c r="N334" i="10"/>
  <c r="N294" i="10"/>
  <c r="N292" i="10"/>
  <c r="N233" i="10"/>
  <c r="N232" i="10"/>
  <c r="N269" i="10"/>
  <c r="N77" i="10"/>
  <c r="N231" i="10"/>
  <c r="N92" i="10"/>
  <c r="N192" i="10"/>
  <c r="N191" i="10"/>
  <c r="N287" i="10"/>
  <c r="N225" i="10"/>
  <c r="N289" i="10"/>
  <c r="N228" i="10"/>
  <c r="N227" i="10"/>
  <c r="N333" i="10"/>
  <c r="N288" i="10"/>
  <c r="N226" i="10"/>
  <c r="N125" i="10"/>
  <c r="N124" i="10"/>
  <c r="N91" i="10"/>
  <c r="N286" i="10"/>
  <c r="N224" i="10"/>
  <c r="N332" i="10"/>
  <c r="N331" i="10"/>
  <c r="N330" i="10"/>
  <c r="N285" i="10"/>
  <c r="N284" i="10"/>
  <c r="N283" i="10"/>
  <c r="N223" i="10"/>
  <c r="N222" i="10"/>
  <c r="N221" i="10"/>
  <c r="N220" i="10"/>
  <c r="N167" i="10"/>
  <c r="N166" i="10"/>
  <c r="N123" i="10"/>
  <c r="N122" i="10"/>
  <c r="N90" i="10"/>
  <c r="N89" i="10"/>
  <c r="N57" i="10"/>
  <c r="N56" i="10"/>
  <c r="N37" i="10"/>
  <c r="N36" i="10"/>
  <c r="N35" i="10"/>
  <c r="N9" i="10"/>
  <c r="N329" i="10"/>
  <c r="N328" i="10"/>
  <c r="N282" i="10"/>
  <c r="N219" i="10"/>
  <c r="N218" i="10"/>
  <c r="N217" i="10"/>
  <c r="N216" i="10"/>
  <c r="N215" i="10"/>
  <c r="N214" i="10"/>
  <c r="N213" i="10"/>
  <c r="N165" i="10"/>
  <c r="N164" i="10"/>
  <c r="N163" i="10"/>
  <c r="N162" i="10"/>
  <c r="N161" i="10"/>
  <c r="N50" i="10"/>
  <c r="N327" i="10"/>
  <c r="N281" i="10"/>
  <c r="N280" i="10"/>
  <c r="N212" i="10"/>
  <c r="N211" i="10"/>
  <c r="N210" i="10"/>
  <c r="N209" i="10"/>
  <c r="N208" i="10"/>
  <c r="N160" i="10"/>
  <c r="N159" i="10"/>
  <c r="N158" i="10"/>
  <c r="N121" i="10"/>
  <c r="N120" i="10"/>
  <c r="N119" i="10"/>
  <c r="N88" i="10"/>
  <c r="N87" i="10"/>
  <c r="N86" i="10"/>
  <c r="N55" i="10"/>
  <c r="N54" i="10"/>
  <c r="N53" i="10"/>
  <c r="N34" i="10"/>
  <c r="N33" i="10"/>
  <c r="N32" i="10"/>
  <c r="N31" i="10"/>
  <c r="N30" i="10"/>
  <c r="N8" i="10"/>
  <c r="N7" i="10"/>
  <c r="N279" i="10"/>
  <c r="N207" i="10"/>
  <c r="N206" i="10"/>
  <c r="N157" i="10"/>
  <c r="N156" i="10"/>
  <c r="N118" i="10"/>
  <c r="N278" i="10"/>
  <c r="N205" i="10"/>
  <c r="N155" i="10"/>
  <c r="N277" i="10"/>
  <c r="N276" i="10"/>
  <c r="N275" i="10"/>
  <c r="N204" i="10"/>
  <c r="N203" i="10"/>
  <c r="N202" i="10"/>
  <c r="N201" i="10"/>
  <c r="J201" i="10"/>
  <c r="L201" i="10" s="1"/>
  <c r="N3810" i="9"/>
  <c r="N3809" i="9"/>
  <c r="N3808" i="9"/>
  <c r="N3807" i="9"/>
  <c r="N3806" i="9"/>
  <c r="N3805" i="9"/>
  <c r="N3804" i="9"/>
  <c r="N3803" i="9"/>
  <c r="N3802" i="9"/>
  <c r="N3801" i="9"/>
  <c r="N3800" i="9"/>
  <c r="N3799" i="9"/>
  <c r="N3798" i="9"/>
  <c r="N3797" i="9"/>
  <c r="N3796" i="9"/>
  <c r="N3795" i="9"/>
  <c r="N3794" i="9"/>
  <c r="N3793" i="9"/>
  <c r="N3792" i="9"/>
  <c r="N3791" i="9"/>
  <c r="N3790" i="9"/>
  <c r="N3789" i="9"/>
  <c r="N3788" i="9"/>
  <c r="N3787" i="9"/>
  <c r="N3786" i="9"/>
  <c r="N3785" i="9"/>
  <c r="N3784" i="9"/>
  <c r="N3783" i="9"/>
  <c r="N3782" i="9"/>
  <c r="N3781" i="9"/>
  <c r="N3780" i="9"/>
  <c r="N3779" i="9"/>
  <c r="N3778" i="9"/>
  <c r="N3777" i="9"/>
  <c r="N3776" i="9"/>
  <c r="N3775" i="9"/>
  <c r="N3774" i="9"/>
  <c r="N3773" i="9"/>
  <c r="N3772" i="9"/>
  <c r="N3771" i="9"/>
  <c r="N3770" i="9"/>
  <c r="N3769" i="9"/>
  <c r="N3768" i="9"/>
  <c r="N3767" i="9"/>
  <c r="N3766" i="9"/>
  <c r="N3765" i="9"/>
  <c r="N3764" i="9"/>
  <c r="N3763" i="9"/>
  <c r="N3762" i="9"/>
  <c r="N3761" i="9"/>
  <c r="N3760" i="9"/>
  <c r="N3759" i="9"/>
  <c r="N3758" i="9"/>
  <c r="N3757" i="9"/>
  <c r="N3756" i="9"/>
  <c r="N3755" i="9"/>
  <c r="N3754" i="9"/>
  <c r="N3753" i="9"/>
  <c r="N3752" i="9"/>
  <c r="N3751" i="9"/>
  <c r="N3750" i="9"/>
  <c r="N3749" i="9"/>
  <c r="N3748" i="9"/>
  <c r="N3747" i="9"/>
  <c r="N3746" i="9"/>
  <c r="N3745" i="9"/>
  <c r="N3744" i="9"/>
  <c r="N3743" i="9"/>
  <c r="N3742" i="9"/>
  <c r="N3741" i="9"/>
  <c r="N3740" i="9"/>
  <c r="N3739" i="9"/>
  <c r="N3738" i="9"/>
  <c r="N3737" i="9"/>
  <c r="N3736" i="9"/>
  <c r="N3735" i="9"/>
  <c r="N3734" i="9"/>
  <c r="N3733" i="9"/>
  <c r="N3732" i="9"/>
  <c r="N3731" i="9"/>
  <c r="N3730" i="9"/>
  <c r="N3729" i="9"/>
  <c r="N3728" i="9"/>
  <c r="N3727" i="9"/>
  <c r="N3726" i="9"/>
  <c r="N3725" i="9"/>
  <c r="N3724" i="9"/>
  <c r="N3723" i="9"/>
  <c r="N3722" i="9"/>
  <c r="N3721" i="9"/>
  <c r="N3720" i="9"/>
  <c r="N3719" i="9"/>
  <c r="N3718" i="9"/>
  <c r="N3717" i="9"/>
  <c r="N3716" i="9"/>
  <c r="N3715" i="9"/>
  <c r="N3714" i="9"/>
  <c r="N3713" i="9"/>
  <c r="N3712" i="9"/>
  <c r="N3711" i="9"/>
  <c r="N3710" i="9"/>
  <c r="N3709" i="9"/>
  <c r="N3708" i="9"/>
  <c r="N3707" i="9"/>
  <c r="N3706" i="9"/>
  <c r="N3705" i="9"/>
  <c r="N3704" i="9"/>
  <c r="N3703" i="9"/>
  <c r="N3702" i="9"/>
  <c r="N3701" i="9"/>
  <c r="N3700" i="9"/>
  <c r="N3699" i="9"/>
  <c r="N3698" i="9"/>
  <c r="N3697" i="9"/>
  <c r="N3696" i="9"/>
  <c r="N3695" i="9"/>
  <c r="N3694" i="9"/>
  <c r="N3693" i="9"/>
  <c r="N3692" i="9"/>
  <c r="N3691" i="9"/>
  <c r="N3690" i="9"/>
  <c r="N3689" i="9"/>
  <c r="N3688" i="9"/>
  <c r="N3687" i="9"/>
  <c r="N3686" i="9"/>
  <c r="N3685" i="9"/>
  <c r="N3684" i="9"/>
  <c r="N3683" i="9"/>
  <c r="N3682" i="9"/>
  <c r="N3681" i="9"/>
  <c r="N3680" i="9"/>
  <c r="N3679" i="9"/>
  <c r="N3678" i="9"/>
  <c r="N3677" i="9"/>
  <c r="N3676" i="9"/>
  <c r="N3675" i="9"/>
  <c r="N3674" i="9"/>
  <c r="N3673" i="9"/>
  <c r="N3672" i="9"/>
  <c r="N3671" i="9"/>
  <c r="N3670" i="9"/>
  <c r="N3669" i="9"/>
  <c r="N3668" i="9"/>
  <c r="N3667" i="9"/>
  <c r="N3666" i="9"/>
  <c r="N3665" i="9"/>
  <c r="N3664" i="9"/>
  <c r="N3663" i="9"/>
  <c r="N3662" i="9"/>
  <c r="N3661" i="9"/>
  <c r="N3660" i="9"/>
  <c r="N3659" i="9"/>
  <c r="N3658" i="9"/>
  <c r="N3657" i="9"/>
  <c r="N3656" i="9"/>
  <c r="N3655" i="9"/>
  <c r="N3654" i="9"/>
  <c r="N3653" i="9"/>
  <c r="N3652" i="9"/>
  <c r="N3651" i="9"/>
  <c r="N3650" i="9"/>
  <c r="N3649" i="9"/>
  <c r="N3648" i="9"/>
  <c r="N3647" i="9"/>
  <c r="N3646" i="9"/>
  <c r="N3645" i="9"/>
  <c r="N3644" i="9"/>
  <c r="N3643" i="9"/>
  <c r="N3642" i="9"/>
  <c r="N3641" i="9"/>
  <c r="N3640" i="9"/>
  <c r="N3639" i="9"/>
  <c r="N3638" i="9"/>
  <c r="N3637" i="9"/>
  <c r="N3636" i="9"/>
  <c r="N3635" i="9"/>
  <c r="N3634" i="9"/>
  <c r="N3633" i="9"/>
  <c r="N3632" i="9"/>
  <c r="N3631" i="9"/>
  <c r="N3630" i="9"/>
  <c r="N3629" i="9"/>
  <c r="N3628" i="9"/>
  <c r="N3627" i="9"/>
  <c r="N3626" i="9"/>
  <c r="N3625" i="9"/>
  <c r="N3624" i="9"/>
  <c r="N3623" i="9"/>
  <c r="N3622" i="9"/>
  <c r="N3621" i="9"/>
  <c r="N3620" i="9"/>
  <c r="N3619" i="9"/>
  <c r="N3618" i="9"/>
  <c r="N3617" i="9"/>
  <c r="N3616" i="9"/>
  <c r="N3615" i="9"/>
  <c r="N3614" i="9"/>
  <c r="N3613" i="9"/>
  <c r="N3612" i="9"/>
  <c r="N3611" i="9"/>
  <c r="N3610" i="9"/>
  <c r="N3609" i="9"/>
  <c r="N3608" i="9"/>
  <c r="N3607" i="9"/>
  <c r="N3606" i="9"/>
  <c r="N3605" i="9"/>
  <c r="N3604" i="9"/>
  <c r="N3603" i="9"/>
  <c r="N3602" i="9"/>
  <c r="N3601" i="9"/>
  <c r="N3600" i="9"/>
  <c r="N3599" i="9"/>
  <c r="N3598" i="9"/>
  <c r="N3597" i="9"/>
  <c r="N3596" i="9"/>
  <c r="N3595" i="9"/>
  <c r="N3594" i="9"/>
  <c r="N3593" i="9"/>
  <c r="N3592" i="9"/>
  <c r="N3591" i="9"/>
  <c r="N3590" i="9"/>
  <c r="N3589" i="9"/>
  <c r="N3588" i="9"/>
  <c r="N3587" i="9"/>
  <c r="N3586" i="9"/>
  <c r="N3585" i="9"/>
  <c r="N3584" i="9"/>
  <c r="N3583" i="9"/>
  <c r="N3582" i="9"/>
  <c r="N3581" i="9"/>
  <c r="N3580" i="9"/>
  <c r="N3579" i="9"/>
  <c r="N3578" i="9"/>
  <c r="N3577" i="9"/>
  <c r="N3576" i="9"/>
  <c r="N3575" i="9"/>
  <c r="N3574" i="9"/>
  <c r="N3573" i="9"/>
  <c r="N3572" i="9"/>
  <c r="N3571" i="9"/>
  <c r="N3570" i="9"/>
  <c r="N3569" i="9"/>
  <c r="N3568" i="9"/>
  <c r="N3567" i="9"/>
  <c r="N3566" i="9"/>
  <c r="N3565" i="9"/>
  <c r="N3564" i="9"/>
  <c r="N3563" i="9"/>
  <c r="N3562" i="9"/>
  <c r="N3561" i="9"/>
  <c r="N3560" i="9"/>
  <c r="N3559" i="9"/>
  <c r="N3558" i="9"/>
  <c r="N3557" i="9"/>
  <c r="N3556" i="9"/>
  <c r="N3555" i="9"/>
  <c r="N3554" i="9"/>
  <c r="N3553" i="9"/>
  <c r="N3552" i="9"/>
  <c r="N3551" i="9"/>
  <c r="N3550" i="9"/>
  <c r="N3549" i="9"/>
  <c r="N3548" i="9"/>
  <c r="N3547" i="9"/>
  <c r="N3546" i="9"/>
  <c r="N3545" i="9"/>
  <c r="N3544" i="9"/>
  <c r="N3543" i="9"/>
  <c r="N3542" i="9"/>
  <c r="N3541" i="9"/>
  <c r="N3540" i="9"/>
  <c r="N3539" i="9"/>
  <c r="N3538" i="9"/>
  <c r="N3537" i="9"/>
  <c r="N3536" i="9"/>
  <c r="N3535" i="9"/>
  <c r="N3534" i="9"/>
  <c r="N3533" i="9"/>
  <c r="N3532" i="9"/>
  <c r="N3531" i="9"/>
  <c r="N3530" i="9"/>
  <c r="N3529" i="9"/>
  <c r="N3528" i="9"/>
  <c r="N3527" i="9"/>
  <c r="N3526" i="9"/>
  <c r="N3525" i="9"/>
  <c r="N3524" i="9"/>
  <c r="N3523" i="9"/>
  <c r="N3522" i="9"/>
  <c r="N3521" i="9"/>
  <c r="N3520" i="9"/>
  <c r="N3519" i="9"/>
  <c r="N3518" i="9"/>
  <c r="N3517" i="9"/>
  <c r="N3516" i="9"/>
  <c r="N3515" i="9"/>
  <c r="N3514" i="9"/>
  <c r="N3513" i="9"/>
  <c r="N3512" i="9"/>
  <c r="N3511" i="9"/>
  <c r="N3510" i="9"/>
  <c r="N3509" i="9"/>
  <c r="N3508" i="9"/>
  <c r="N3507" i="9"/>
  <c r="N3506" i="9"/>
  <c r="N3505" i="9"/>
  <c r="N3504" i="9"/>
  <c r="N3503" i="9"/>
  <c r="N3502" i="9"/>
  <c r="N3501" i="9"/>
  <c r="N3500" i="9"/>
  <c r="N3499" i="9"/>
  <c r="N3498" i="9"/>
  <c r="N3497" i="9"/>
  <c r="N3496" i="9"/>
  <c r="N3495" i="9"/>
  <c r="N3494" i="9"/>
  <c r="N3493" i="9"/>
  <c r="N3492" i="9"/>
  <c r="N3491" i="9"/>
  <c r="N3490" i="9"/>
  <c r="N3489" i="9"/>
  <c r="N3488" i="9"/>
  <c r="N3487" i="9"/>
  <c r="N3486" i="9"/>
  <c r="N3485" i="9"/>
  <c r="N3484" i="9"/>
  <c r="N3483" i="9"/>
  <c r="N3482" i="9"/>
  <c r="N3481" i="9"/>
  <c r="N3480" i="9"/>
  <c r="N3479" i="9"/>
  <c r="N3478" i="9"/>
  <c r="N3477" i="9"/>
  <c r="N3476" i="9"/>
  <c r="N3475" i="9"/>
  <c r="N3474" i="9"/>
  <c r="N3473" i="9"/>
  <c r="N3472" i="9"/>
  <c r="N3471" i="9"/>
  <c r="N3470" i="9"/>
  <c r="N3469" i="9"/>
  <c r="N3468" i="9"/>
  <c r="N3467" i="9"/>
  <c r="N3466" i="9"/>
  <c r="N3465" i="9"/>
  <c r="N3464" i="9"/>
  <c r="N3463" i="9"/>
  <c r="N3462" i="9"/>
  <c r="N3461" i="9"/>
  <c r="N3460" i="9"/>
  <c r="N3459" i="9"/>
  <c r="N3458" i="9"/>
  <c r="N3457" i="9"/>
  <c r="N3456" i="9"/>
  <c r="N3455" i="9"/>
  <c r="N3454" i="9"/>
  <c r="N3453" i="9"/>
  <c r="N3452" i="9"/>
  <c r="N3451" i="9"/>
  <c r="N3450" i="9"/>
  <c r="N3449" i="9"/>
  <c r="N3448" i="9"/>
  <c r="N3447" i="9"/>
  <c r="N3446" i="9"/>
  <c r="N3445" i="9"/>
  <c r="N3444" i="9"/>
  <c r="N3443" i="9"/>
  <c r="N3442" i="9"/>
  <c r="N3441" i="9"/>
  <c r="N3440" i="9"/>
  <c r="N3439" i="9"/>
  <c r="N3438" i="9"/>
  <c r="N3437" i="9"/>
  <c r="N3436" i="9"/>
  <c r="N3435" i="9"/>
  <c r="N3434" i="9"/>
  <c r="N3433" i="9"/>
  <c r="N3432" i="9"/>
  <c r="N3431" i="9"/>
  <c r="N3430" i="9"/>
  <c r="N3429" i="9"/>
  <c r="N3428" i="9"/>
  <c r="N3427" i="9"/>
  <c r="N3426" i="9"/>
  <c r="N3425" i="9"/>
  <c r="N3424" i="9"/>
  <c r="N3423" i="9"/>
  <c r="N3422" i="9"/>
  <c r="N3421" i="9"/>
  <c r="N3420" i="9"/>
  <c r="N3419" i="9"/>
  <c r="N3418" i="9"/>
  <c r="N3417" i="9"/>
  <c r="N3416" i="9"/>
  <c r="N3415" i="9"/>
  <c r="N3414" i="9"/>
  <c r="N3413" i="9"/>
  <c r="N3412" i="9"/>
  <c r="N3411" i="9"/>
  <c r="N3410" i="9"/>
  <c r="N3409" i="9"/>
  <c r="N3408" i="9"/>
  <c r="N3407" i="9"/>
  <c r="N3406" i="9"/>
  <c r="N3405" i="9"/>
  <c r="N3404" i="9"/>
  <c r="N3403" i="9"/>
  <c r="N3402" i="9"/>
  <c r="N3401" i="9"/>
  <c r="N3400" i="9"/>
  <c r="N3399" i="9"/>
  <c r="N3398" i="9"/>
  <c r="N3397" i="9"/>
  <c r="N3396" i="9"/>
  <c r="N3395" i="9"/>
  <c r="N3394" i="9"/>
  <c r="N3393" i="9"/>
  <c r="N3392" i="9"/>
  <c r="N3391" i="9"/>
  <c r="N3390" i="9"/>
  <c r="N3389" i="9"/>
  <c r="N3388" i="9"/>
  <c r="N3387" i="9"/>
  <c r="N3386" i="9"/>
  <c r="N3385" i="9"/>
  <c r="N3384" i="9"/>
  <c r="N3383" i="9"/>
  <c r="N3382" i="9"/>
  <c r="N3381" i="9"/>
  <c r="N3380" i="9"/>
  <c r="N3379" i="9"/>
  <c r="N3378" i="9"/>
  <c r="N3377" i="9"/>
  <c r="N3376" i="9"/>
  <c r="N3375" i="9"/>
  <c r="N3374" i="9"/>
  <c r="N3373" i="9"/>
  <c r="N3372" i="9"/>
  <c r="N3371" i="9"/>
  <c r="N3370" i="9"/>
  <c r="N3369" i="9"/>
  <c r="N3368" i="9"/>
  <c r="N3367" i="9"/>
  <c r="N3366" i="9"/>
  <c r="N3365" i="9"/>
  <c r="N3364" i="9"/>
  <c r="N3363" i="9"/>
  <c r="N3362" i="9"/>
  <c r="N3361" i="9"/>
  <c r="N3360" i="9"/>
  <c r="N3359" i="9"/>
  <c r="N3358" i="9"/>
  <c r="N3357" i="9"/>
  <c r="N3356" i="9"/>
  <c r="N3355" i="9"/>
  <c r="N3354" i="9"/>
  <c r="N3353" i="9"/>
  <c r="N3352" i="9"/>
  <c r="N3351" i="9"/>
  <c r="N3350" i="9"/>
  <c r="N3349" i="9"/>
  <c r="N3348" i="9"/>
  <c r="N3347" i="9"/>
  <c r="N3346" i="9"/>
  <c r="N3345" i="9"/>
  <c r="N3344" i="9"/>
  <c r="N3343" i="9"/>
  <c r="N3342" i="9"/>
  <c r="N3341" i="9"/>
  <c r="N3340" i="9"/>
  <c r="N3339" i="9"/>
  <c r="N3338" i="9"/>
  <c r="N3337" i="9"/>
  <c r="N3336" i="9"/>
  <c r="N3335" i="9"/>
  <c r="N3334" i="9"/>
  <c r="N3333" i="9"/>
  <c r="N3332" i="9"/>
  <c r="N3331" i="9"/>
  <c r="N3330" i="9"/>
  <c r="N3329" i="9"/>
  <c r="N3328" i="9"/>
  <c r="N3327" i="9"/>
  <c r="N3326" i="9"/>
  <c r="N3325" i="9"/>
  <c r="N3324" i="9"/>
  <c r="N3323" i="9"/>
  <c r="N3322" i="9"/>
  <c r="N3321" i="9"/>
  <c r="N3320" i="9"/>
  <c r="N3319" i="9"/>
  <c r="N3318" i="9"/>
  <c r="N3317" i="9"/>
  <c r="N3316" i="9"/>
  <c r="N3315" i="9"/>
  <c r="N3314" i="9"/>
  <c r="N3313" i="9"/>
  <c r="N3312" i="9"/>
  <c r="N3311" i="9"/>
  <c r="N3310" i="9"/>
  <c r="N3309" i="9"/>
  <c r="N3308" i="9"/>
  <c r="N3307" i="9"/>
  <c r="N3306" i="9"/>
  <c r="N3305" i="9"/>
  <c r="N3304" i="9"/>
  <c r="N3303" i="9"/>
  <c r="N3302" i="9"/>
  <c r="N3301" i="9"/>
  <c r="N3300" i="9"/>
  <c r="N3299" i="9"/>
  <c r="N3298" i="9"/>
  <c r="N3297" i="9"/>
  <c r="N3296" i="9"/>
  <c r="N3295" i="9"/>
  <c r="N3294" i="9"/>
  <c r="N3293" i="9"/>
  <c r="N3292" i="9"/>
  <c r="N3291" i="9"/>
  <c r="N3290" i="9"/>
  <c r="N3289" i="9"/>
  <c r="N3288" i="9"/>
  <c r="N3287" i="9"/>
  <c r="N3286" i="9"/>
  <c r="N3285" i="9"/>
  <c r="N3284" i="9"/>
  <c r="N3283" i="9"/>
  <c r="N3282" i="9"/>
  <c r="N3281" i="9"/>
  <c r="N3280" i="9"/>
  <c r="N3279" i="9"/>
  <c r="N3278" i="9"/>
  <c r="N3277" i="9"/>
  <c r="N3276" i="9"/>
  <c r="N3275" i="9"/>
  <c r="N3274" i="9"/>
  <c r="N3273" i="9"/>
  <c r="N3272" i="9"/>
  <c r="N3271" i="9"/>
  <c r="N3270" i="9"/>
  <c r="N3269" i="9"/>
  <c r="N3268" i="9"/>
  <c r="N3267" i="9"/>
  <c r="N3266" i="9"/>
  <c r="N3265" i="9"/>
  <c r="N3264" i="9"/>
  <c r="N3263" i="9"/>
  <c r="N3262" i="9"/>
  <c r="N3261" i="9"/>
  <c r="N3260" i="9"/>
  <c r="N3259" i="9"/>
  <c r="N3258" i="9"/>
  <c r="N3257" i="9"/>
  <c r="N3256" i="9"/>
  <c r="N3255" i="9"/>
  <c r="N3254" i="9"/>
  <c r="N3253" i="9"/>
  <c r="N3252" i="9"/>
  <c r="N3251" i="9"/>
  <c r="N3250" i="9"/>
  <c r="N3249" i="9"/>
  <c r="N3248" i="9"/>
  <c r="N3247" i="9"/>
  <c r="N3246" i="9"/>
  <c r="N3245" i="9"/>
  <c r="N3244" i="9"/>
  <c r="N3243" i="9"/>
  <c r="N3242" i="9"/>
  <c r="N3241" i="9"/>
  <c r="N3240" i="9"/>
  <c r="N3239" i="9"/>
  <c r="N3238" i="9"/>
  <c r="N3237" i="9"/>
  <c r="N3236" i="9"/>
  <c r="N3235" i="9"/>
  <c r="N3234" i="9"/>
  <c r="N3233" i="9"/>
  <c r="N3232" i="9"/>
  <c r="N3231" i="9"/>
  <c r="N3230" i="9"/>
  <c r="N3229" i="9"/>
  <c r="N3228" i="9"/>
  <c r="N3227" i="9"/>
  <c r="N3226" i="9"/>
  <c r="N3225" i="9"/>
  <c r="N3224" i="9"/>
  <c r="N3223" i="9"/>
  <c r="N3222" i="9"/>
  <c r="N3221" i="9"/>
  <c r="N3220" i="9"/>
  <c r="N3219" i="9"/>
  <c r="N3218" i="9"/>
  <c r="N3217" i="9"/>
  <c r="N3216" i="9"/>
  <c r="N3215" i="9"/>
  <c r="N3214" i="9"/>
  <c r="N3213" i="9"/>
  <c r="N3212" i="9"/>
  <c r="N3211" i="9"/>
  <c r="N3210" i="9"/>
  <c r="N3209" i="9"/>
  <c r="N3208" i="9"/>
  <c r="N3207" i="9"/>
  <c r="N3206" i="9"/>
  <c r="N3205" i="9"/>
  <c r="N3204" i="9"/>
  <c r="N3203" i="9"/>
  <c r="N3202" i="9"/>
  <c r="N3201" i="9"/>
  <c r="N3200" i="9"/>
  <c r="N3199" i="9"/>
  <c r="N3198" i="9"/>
  <c r="N3197" i="9"/>
  <c r="N3196" i="9"/>
  <c r="N3195" i="9"/>
  <c r="N3194" i="9"/>
  <c r="N3193" i="9"/>
  <c r="N3192" i="9"/>
  <c r="N3191" i="9"/>
  <c r="N3190" i="9"/>
  <c r="N3189" i="9"/>
  <c r="N3188" i="9"/>
  <c r="N3187" i="9"/>
  <c r="N3186" i="9"/>
  <c r="N3185" i="9"/>
  <c r="N3184" i="9"/>
  <c r="N3183" i="9"/>
  <c r="N3182" i="9"/>
  <c r="N3181" i="9"/>
  <c r="N3180" i="9"/>
  <c r="N3179" i="9"/>
  <c r="N3178" i="9"/>
  <c r="N3177" i="9"/>
  <c r="N3176" i="9"/>
  <c r="N3175" i="9"/>
  <c r="N3174" i="9"/>
  <c r="N3173" i="9"/>
  <c r="N3172" i="9"/>
  <c r="N3171" i="9"/>
  <c r="N3170" i="9"/>
  <c r="N3169" i="9"/>
  <c r="N3168" i="9"/>
  <c r="N3167" i="9"/>
  <c r="N3166" i="9"/>
  <c r="N3165" i="9"/>
  <c r="N3164" i="9"/>
  <c r="N3163" i="9"/>
  <c r="N3162" i="9"/>
  <c r="N3161" i="9"/>
  <c r="N3160" i="9"/>
  <c r="N3159" i="9"/>
  <c r="N3158" i="9"/>
  <c r="N3157" i="9"/>
  <c r="N3156" i="9"/>
  <c r="N3155" i="9"/>
  <c r="N3154" i="9"/>
  <c r="N3153" i="9"/>
  <c r="N3152" i="9"/>
  <c r="N3151" i="9"/>
  <c r="N3150" i="9"/>
  <c r="N3149" i="9"/>
  <c r="N3148" i="9"/>
  <c r="N3147" i="9"/>
  <c r="N3146" i="9"/>
  <c r="N3145" i="9"/>
  <c r="N3144" i="9"/>
  <c r="N3143" i="9"/>
  <c r="N3142" i="9"/>
  <c r="N3141" i="9"/>
  <c r="N3140" i="9"/>
  <c r="N3139" i="9"/>
  <c r="N3138" i="9"/>
  <c r="N3137" i="9"/>
  <c r="N3136" i="9"/>
  <c r="N3135" i="9"/>
  <c r="N3134" i="9"/>
  <c r="N3133" i="9"/>
  <c r="N3132" i="9"/>
  <c r="N3131" i="9"/>
  <c r="N3130" i="9"/>
  <c r="N3129" i="9"/>
  <c r="N3128" i="9"/>
  <c r="N3127" i="9"/>
  <c r="N3126" i="9"/>
  <c r="N3125" i="9"/>
  <c r="N3124" i="9"/>
  <c r="N3123" i="9"/>
  <c r="N3122" i="9"/>
  <c r="N3121" i="9"/>
  <c r="N3120" i="9"/>
  <c r="N3119" i="9"/>
  <c r="N3118" i="9"/>
  <c r="N3117" i="9"/>
  <c r="N3116" i="9"/>
  <c r="N3115" i="9"/>
  <c r="N3114" i="9"/>
  <c r="N3113" i="9"/>
  <c r="N3112" i="9"/>
  <c r="N3111" i="9"/>
  <c r="N3110" i="9"/>
  <c r="N3109" i="9"/>
  <c r="N3108" i="9"/>
  <c r="N3107" i="9"/>
  <c r="N3106" i="9"/>
  <c r="N3105" i="9"/>
  <c r="N3104" i="9"/>
  <c r="N3103" i="9"/>
  <c r="N3102" i="9"/>
  <c r="N3101" i="9"/>
  <c r="N3100" i="9"/>
  <c r="N3099" i="9"/>
  <c r="N3098" i="9"/>
  <c r="N3097" i="9"/>
  <c r="N3096" i="9"/>
  <c r="N3095" i="9"/>
  <c r="N3094" i="9"/>
  <c r="N3093" i="9"/>
  <c r="N3092" i="9"/>
  <c r="N3091" i="9"/>
  <c r="N3090" i="9"/>
  <c r="N3089" i="9"/>
  <c r="N3088" i="9"/>
  <c r="N3087" i="9"/>
  <c r="N3086" i="9"/>
  <c r="N3085" i="9"/>
  <c r="N3084" i="9"/>
  <c r="N3083" i="9"/>
  <c r="N3082" i="9"/>
  <c r="N3081" i="9"/>
  <c r="N3080" i="9"/>
  <c r="N3079" i="9"/>
  <c r="N3078" i="9"/>
  <c r="N3077" i="9"/>
  <c r="N3076" i="9"/>
  <c r="N3075" i="9"/>
  <c r="N3074" i="9"/>
  <c r="N3073" i="9"/>
  <c r="N3072" i="9"/>
  <c r="N3071" i="9"/>
  <c r="N3070" i="9"/>
  <c r="N3069" i="9"/>
  <c r="N3068" i="9"/>
  <c r="N3067" i="9"/>
  <c r="N3066" i="9"/>
  <c r="N3065" i="9"/>
  <c r="N3064" i="9"/>
  <c r="N3063" i="9"/>
  <c r="N3062" i="9"/>
  <c r="N3061" i="9"/>
  <c r="N3060" i="9"/>
  <c r="N3059" i="9"/>
  <c r="N3058" i="9"/>
  <c r="N3057" i="9"/>
  <c r="N3056" i="9"/>
  <c r="N3055" i="9"/>
  <c r="N3054" i="9"/>
  <c r="N3053" i="9"/>
  <c r="N3052" i="9"/>
  <c r="N3051" i="9"/>
  <c r="N3050" i="9"/>
  <c r="N3049" i="9"/>
  <c r="N3048" i="9"/>
  <c r="N3047" i="9"/>
  <c r="N3046" i="9"/>
  <c r="N3045" i="9"/>
  <c r="N3044" i="9"/>
  <c r="N3043" i="9"/>
  <c r="N3042" i="9"/>
  <c r="N3041" i="9"/>
  <c r="N3040" i="9"/>
  <c r="N3039" i="9"/>
  <c r="N3038" i="9"/>
  <c r="N3037" i="9"/>
  <c r="N3036" i="9"/>
  <c r="N3035" i="9"/>
  <c r="N3034" i="9"/>
  <c r="N3033" i="9"/>
  <c r="N3032" i="9"/>
  <c r="N3031" i="9"/>
  <c r="N3030" i="9"/>
  <c r="N3029" i="9"/>
  <c r="N3028" i="9"/>
  <c r="N3027" i="9"/>
  <c r="N3026" i="9"/>
  <c r="N3025" i="9"/>
  <c r="N3024" i="9"/>
  <c r="N3023" i="9"/>
  <c r="N3022" i="9"/>
  <c r="N3021" i="9"/>
  <c r="N3020" i="9"/>
  <c r="N3019" i="9"/>
  <c r="N3018" i="9"/>
  <c r="N3017" i="9"/>
  <c r="N3016" i="9"/>
  <c r="N3015" i="9"/>
  <c r="N3014" i="9"/>
  <c r="N3013" i="9"/>
  <c r="N3012" i="9"/>
  <c r="N3011" i="9"/>
  <c r="N3010" i="9"/>
  <c r="N3009" i="9"/>
  <c r="N3008" i="9"/>
  <c r="N3007" i="9"/>
  <c r="N3006" i="9"/>
  <c r="N3005" i="9"/>
  <c r="N3004" i="9"/>
  <c r="N3003" i="9"/>
  <c r="N3002" i="9"/>
  <c r="N3001" i="9"/>
  <c r="N3000" i="9"/>
  <c r="N2999" i="9"/>
  <c r="N2998" i="9"/>
  <c r="N2997" i="9"/>
  <c r="N2996" i="9"/>
  <c r="N2995" i="9"/>
  <c r="N2994" i="9"/>
  <c r="N2993" i="9"/>
  <c r="N2992" i="9"/>
  <c r="N2991" i="9"/>
  <c r="N2990" i="9"/>
  <c r="N2989" i="9"/>
  <c r="N2988" i="9"/>
  <c r="N2987" i="9"/>
  <c r="N2986" i="9"/>
  <c r="N2985" i="9"/>
  <c r="N2984" i="9"/>
  <c r="N2983" i="9"/>
  <c r="N2982" i="9"/>
  <c r="N2981" i="9"/>
  <c r="N2980" i="9"/>
  <c r="N2979" i="9"/>
  <c r="N2978" i="9"/>
  <c r="N2977" i="9"/>
  <c r="N2976" i="9"/>
  <c r="N2975" i="9"/>
  <c r="N2974" i="9"/>
  <c r="N2973" i="9"/>
  <c r="N2972" i="9"/>
  <c r="N2971" i="9"/>
  <c r="N2970" i="9"/>
  <c r="N2969" i="9"/>
  <c r="N2968" i="9"/>
  <c r="N2967" i="9"/>
  <c r="N2966" i="9"/>
  <c r="N2965" i="9"/>
  <c r="N2964" i="9"/>
  <c r="N2963" i="9"/>
  <c r="N2962" i="9"/>
  <c r="N2961" i="9"/>
  <c r="N2960" i="9"/>
  <c r="N2959" i="9"/>
  <c r="N2958" i="9"/>
  <c r="N2957" i="9"/>
  <c r="N2956" i="9"/>
  <c r="N2955" i="9"/>
  <c r="N2954" i="9"/>
  <c r="N2953" i="9"/>
  <c r="N2952" i="9"/>
  <c r="N2951" i="9"/>
  <c r="N2950" i="9"/>
  <c r="N2949" i="9"/>
  <c r="N2948" i="9"/>
  <c r="N2947" i="9"/>
  <c r="N2946" i="9"/>
  <c r="N2945" i="9"/>
  <c r="N2944" i="9"/>
  <c r="N2943" i="9"/>
  <c r="N2942" i="9"/>
  <c r="N2941" i="9"/>
  <c r="N2940" i="9"/>
  <c r="N2939" i="9"/>
  <c r="N2938" i="9"/>
  <c r="N2937" i="9"/>
  <c r="N2936" i="9"/>
  <c r="N2935" i="9"/>
  <c r="N2934" i="9"/>
  <c r="N2933" i="9"/>
  <c r="N2932" i="9"/>
  <c r="N2931" i="9"/>
  <c r="N2930" i="9"/>
  <c r="N2929" i="9"/>
  <c r="N2928" i="9"/>
  <c r="N2927" i="9"/>
  <c r="N2926" i="9"/>
  <c r="N2925" i="9"/>
  <c r="N2924" i="9"/>
  <c r="N2923" i="9"/>
  <c r="N2922" i="9"/>
  <c r="N2921" i="9"/>
  <c r="N2920" i="9"/>
  <c r="N2919" i="9"/>
  <c r="N2918" i="9"/>
  <c r="N2917" i="9"/>
  <c r="N2916" i="9"/>
  <c r="N2915" i="9"/>
  <c r="N2914" i="9"/>
  <c r="N2913" i="9"/>
  <c r="N2912" i="9"/>
  <c r="N2911" i="9"/>
  <c r="N2910" i="9"/>
  <c r="N2909" i="9"/>
  <c r="N2908" i="9"/>
  <c r="N2907" i="9"/>
  <c r="N2906" i="9"/>
  <c r="N2905" i="9"/>
  <c r="N2904" i="9"/>
  <c r="N2903" i="9"/>
  <c r="N2902" i="9"/>
  <c r="N2901" i="9"/>
  <c r="N2900" i="9"/>
  <c r="N2899" i="9"/>
  <c r="N2898" i="9"/>
  <c r="N2897" i="9"/>
  <c r="N2896" i="9"/>
  <c r="N2895" i="9"/>
  <c r="N2894" i="9"/>
  <c r="N2893" i="9"/>
  <c r="N2892" i="9"/>
  <c r="N2891" i="9"/>
  <c r="N2890" i="9"/>
  <c r="N2889" i="9"/>
  <c r="N2888" i="9"/>
  <c r="N2887" i="9"/>
  <c r="N2886" i="9"/>
  <c r="N2885" i="9"/>
  <c r="N2884" i="9"/>
  <c r="N2883" i="9"/>
  <c r="N2882" i="9"/>
  <c r="N2881" i="9"/>
  <c r="N2880" i="9"/>
  <c r="N2879" i="9"/>
  <c r="N2878" i="9"/>
  <c r="N2877" i="9"/>
  <c r="N2876" i="9"/>
  <c r="N2875" i="9"/>
  <c r="N2874" i="9"/>
  <c r="N2873" i="9"/>
  <c r="N2872" i="9"/>
  <c r="N2871" i="9"/>
  <c r="N2870" i="9"/>
  <c r="N2869" i="9"/>
  <c r="N2868" i="9"/>
  <c r="N2867" i="9"/>
  <c r="N2866" i="9"/>
  <c r="N2865" i="9"/>
  <c r="N2864" i="9"/>
  <c r="N2863" i="9"/>
  <c r="N2862" i="9"/>
  <c r="N2861" i="9"/>
  <c r="N2860" i="9"/>
  <c r="N2859" i="9"/>
  <c r="N2858" i="9"/>
  <c r="N2857" i="9"/>
  <c r="N2856" i="9"/>
  <c r="N2855" i="9"/>
  <c r="N2854" i="9"/>
  <c r="N2853" i="9"/>
  <c r="N2852" i="9"/>
  <c r="N2851" i="9"/>
  <c r="N2850" i="9"/>
  <c r="N2849" i="9"/>
  <c r="N2848" i="9"/>
  <c r="N2847" i="9"/>
  <c r="N2846" i="9"/>
  <c r="N2845" i="9"/>
  <c r="N2844" i="9"/>
  <c r="N2843" i="9"/>
  <c r="N2842" i="9"/>
  <c r="N2841" i="9"/>
  <c r="N2840" i="9"/>
  <c r="N2839" i="9"/>
  <c r="N2838" i="9"/>
  <c r="N2837" i="9"/>
  <c r="N2836" i="9"/>
  <c r="N2835" i="9"/>
  <c r="N2834" i="9"/>
  <c r="N2833" i="9"/>
  <c r="N2832" i="9"/>
  <c r="N2831" i="9"/>
  <c r="N2830" i="9"/>
  <c r="N2829" i="9"/>
  <c r="N2828" i="9"/>
  <c r="N2827" i="9"/>
  <c r="N2826" i="9"/>
  <c r="N2825" i="9"/>
  <c r="N2824" i="9"/>
  <c r="N2823" i="9"/>
  <c r="N2822" i="9"/>
  <c r="N2821" i="9"/>
  <c r="N2820" i="9"/>
  <c r="N2819" i="9"/>
  <c r="N2818" i="9"/>
  <c r="N2817" i="9"/>
  <c r="N2816" i="9"/>
  <c r="N2815" i="9"/>
  <c r="N2814" i="9"/>
  <c r="N2813" i="9"/>
  <c r="N2812" i="9"/>
  <c r="N2811" i="9"/>
  <c r="N2810" i="9"/>
  <c r="N2809" i="9"/>
  <c r="N2808" i="9"/>
  <c r="N2807" i="9"/>
  <c r="N2806" i="9"/>
  <c r="N2805" i="9"/>
  <c r="N2804" i="9"/>
  <c r="N2803" i="9"/>
  <c r="N2802" i="9"/>
  <c r="N2801" i="9"/>
  <c r="N2800" i="9"/>
  <c r="N2799" i="9"/>
  <c r="N2798" i="9"/>
  <c r="N2797" i="9"/>
  <c r="N2796" i="9"/>
  <c r="N2795" i="9"/>
  <c r="N2794" i="9"/>
  <c r="N2793" i="9"/>
  <c r="N2792" i="9"/>
  <c r="N2791" i="9"/>
  <c r="N2790" i="9"/>
  <c r="N2789" i="9"/>
  <c r="N2788" i="9"/>
  <c r="N2787" i="9"/>
  <c r="N2786" i="9"/>
  <c r="N2785" i="9"/>
  <c r="N2784" i="9"/>
  <c r="N2783" i="9"/>
  <c r="N2782" i="9"/>
  <c r="N2781" i="9"/>
  <c r="N2780" i="9"/>
  <c r="N2779" i="9"/>
  <c r="N2778" i="9"/>
  <c r="N2777" i="9"/>
  <c r="N2776" i="9"/>
  <c r="N2775" i="9"/>
  <c r="N2774" i="9"/>
  <c r="N2773" i="9"/>
  <c r="N2772" i="9"/>
  <c r="N2771" i="9"/>
  <c r="N2770" i="9"/>
  <c r="N2769" i="9"/>
  <c r="N2768" i="9"/>
  <c r="N2767" i="9"/>
  <c r="N2766" i="9"/>
  <c r="N2765" i="9"/>
  <c r="N2764" i="9"/>
  <c r="N2763" i="9"/>
  <c r="N2762" i="9"/>
  <c r="N2761" i="9"/>
  <c r="N2760" i="9"/>
  <c r="N2759" i="9"/>
  <c r="N2758" i="9"/>
  <c r="N2757" i="9"/>
  <c r="N2756" i="9"/>
  <c r="N2755" i="9"/>
  <c r="N2754" i="9"/>
  <c r="N2753" i="9"/>
  <c r="N2752" i="9"/>
  <c r="N2751" i="9"/>
  <c r="N2750" i="9"/>
  <c r="N2749" i="9"/>
  <c r="N2748" i="9"/>
  <c r="N2747" i="9"/>
  <c r="N2746" i="9"/>
  <c r="N2745" i="9"/>
  <c r="N2744" i="9"/>
  <c r="N2743" i="9"/>
  <c r="N2742" i="9"/>
  <c r="N2741" i="9"/>
  <c r="N2740" i="9"/>
  <c r="N2739" i="9"/>
  <c r="N2738" i="9"/>
  <c r="N2737" i="9"/>
  <c r="N2736" i="9"/>
  <c r="N2735" i="9"/>
  <c r="N2734" i="9"/>
  <c r="N2733" i="9"/>
  <c r="N2732" i="9"/>
  <c r="N2731" i="9"/>
  <c r="N2730" i="9"/>
  <c r="N2729" i="9"/>
  <c r="N2728" i="9"/>
  <c r="N2727" i="9"/>
  <c r="N2726" i="9"/>
  <c r="N2725" i="9"/>
  <c r="N2724" i="9"/>
  <c r="N2723" i="9"/>
  <c r="N2722" i="9"/>
  <c r="N2721" i="9"/>
  <c r="N2720" i="9"/>
  <c r="N2719" i="9"/>
  <c r="N2718" i="9"/>
  <c r="N2717" i="9"/>
  <c r="N2716" i="9"/>
  <c r="N2715" i="9"/>
  <c r="N2714" i="9"/>
  <c r="N2713" i="9"/>
  <c r="N2712" i="9"/>
  <c r="N2711" i="9"/>
  <c r="N2710" i="9"/>
  <c r="N2709" i="9"/>
  <c r="N2708" i="9"/>
  <c r="N2707" i="9"/>
  <c r="N2706" i="9"/>
  <c r="N2705" i="9"/>
  <c r="N2704" i="9"/>
  <c r="N2703" i="9"/>
  <c r="N2702" i="9"/>
  <c r="N2701" i="9"/>
  <c r="N2700" i="9"/>
  <c r="N2699" i="9"/>
  <c r="N2698" i="9"/>
  <c r="N2697" i="9"/>
  <c r="N2696" i="9"/>
  <c r="N2695" i="9"/>
  <c r="N2694" i="9"/>
  <c r="N2693" i="9"/>
  <c r="N2692" i="9"/>
  <c r="N2691" i="9"/>
  <c r="N2690" i="9"/>
  <c r="N2689" i="9"/>
  <c r="N2688" i="9"/>
  <c r="N2687" i="9"/>
  <c r="N2686" i="9"/>
  <c r="N2685" i="9"/>
  <c r="N2684" i="9"/>
  <c r="N2683" i="9"/>
  <c r="N2682" i="9"/>
  <c r="N2681" i="9"/>
  <c r="N2680" i="9"/>
  <c r="N2679" i="9"/>
  <c r="N2678" i="9"/>
  <c r="N2677" i="9"/>
  <c r="N2676" i="9"/>
  <c r="N2675" i="9"/>
  <c r="N2674" i="9"/>
  <c r="N2673" i="9"/>
  <c r="N2672" i="9"/>
  <c r="N2671" i="9"/>
  <c r="N2670" i="9"/>
  <c r="N2669" i="9"/>
  <c r="N2668" i="9"/>
  <c r="N2667" i="9"/>
  <c r="N2666" i="9"/>
  <c r="N2665" i="9"/>
  <c r="N2664" i="9"/>
  <c r="N2663" i="9"/>
  <c r="N2662" i="9"/>
  <c r="N2661" i="9"/>
  <c r="N2660" i="9"/>
  <c r="N2659" i="9"/>
  <c r="N2658" i="9"/>
  <c r="N2657" i="9"/>
  <c r="N2656" i="9"/>
  <c r="N2655" i="9"/>
  <c r="N2654" i="9"/>
  <c r="N2653" i="9"/>
  <c r="N2652" i="9"/>
  <c r="N2651" i="9"/>
  <c r="N2650" i="9"/>
  <c r="N2649" i="9"/>
  <c r="N2648" i="9"/>
  <c r="N2647" i="9"/>
  <c r="N2646" i="9"/>
  <c r="N2645" i="9"/>
  <c r="N2644" i="9"/>
  <c r="N2643" i="9"/>
  <c r="N2642" i="9"/>
  <c r="N2641" i="9"/>
  <c r="N2640" i="9"/>
  <c r="N2639" i="9"/>
  <c r="N2638" i="9"/>
  <c r="N2637" i="9"/>
  <c r="N2636" i="9"/>
  <c r="N2635" i="9"/>
  <c r="N2634" i="9"/>
  <c r="N2633" i="9"/>
  <c r="N2632" i="9"/>
  <c r="N2631" i="9"/>
  <c r="N2630" i="9"/>
  <c r="N2629" i="9"/>
  <c r="N2628" i="9"/>
  <c r="N2627" i="9"/>
  <c r="N2626" i="9"/>
  <c r="N2625" i="9"/>
  <c r="N2624" i="9"/>
  <c r="N2623" i="9"/>
  <c r="N2622" i="9"/>
  <c r="N2621" i="9"/>
  <c r="N2620" i="9"/>
  <c r="N2619" i="9"/>
  <c r="N2618" i="9"/>
  <c r="N2617" i="9"/>
  <c r="N2616" i="9"/>
  <c r="N2615" i="9"/>
  <c r="N2614" i="9"/>
  <c r="N2613" i="9"/>
  <c r="N2612" i="9"/>
  <c r="N2611" i="9"/>
  <c r="N2610" i="9"/>
  <c r="N2609" i="9"/>
  <c r="N2608" i="9"/>
  <c r="N2607" i="9"/>
  <c r="N2606" i="9"/>
  <c r="N2605" i="9"/>
  <c r="N2604" i="9"/>
  <c r="N2603" i="9"/>
  <c r="N2602" i="9"/>
  <c r="N2601" i="9"/>
  <c r="N2600" i="9"/>
  <c r="N2599" i="9"/>
  <c r="N2598" i="9"/>
  <c r="N2597" i="9"/>
  <c r="N2596" i="9"/>
  <c r="N2595" i="9"/>
  <c r="N2594" i="9"/>
  <c r="N2593" i="9"/>
  <c r="N2592" i="9"/>
  <c r="N2591" i="9"/>
  <c r="N2590" i="9"/>
  <c r="N2589" i="9"/>
  <c r="N2588" i="9"/>
  <c r="N2587" i="9"/>
  <c r="N2586" i="9"/>
  <c r="N2585" i="9"/>
  <c r="N2584" i="9"/>
  <c r="N2583" i="9"/>
  <c r="N2582" i="9"/>
  <c r="N2581" i="9"/>
  <c r="N2580" i="9"/>
  <c r="N2579" i="9"/>
  <c r="N2578" i="9"/>
  <c r="N2577" i="9"/>
  <c r="N2576" i="9"/>
  <c r="N2575" i="9"/>
  <c r="N2574" i="9"/>
  <c r="N2573" i="9"/>
  <c r="N2572" i="9"/>
  <c r="N2571" i="9"/>
  <c r="N2570" i="9"/>
  <c r="N2569" i="9"/>
  <c r="N2568" i="9"/>
  <c r="N2567" i="9"/>
  <c r="N2566" i="9"/>
  <c r="N2565" i="9"/>
  <c r="N2564" i="9"/>
  <c r="N2563" i="9"/>
  <c r="N2562" i="9"/>
  <c r="N2561" i="9"/>
  <c r="N2560" i="9"/>
  <c r="N2559" i="9"/>
  <c r="N2558" i="9"/>
  <c r="N2557" i="9"/>
  <c r="N2556" i="9"/>
  <c r="N2555" i="9"/>
  <c r="N2554" i="9"/>
  <c r="N2553" i="9"/>
  <c r="N2552" i="9"/>
  <c r="N2551" i="9"/>
  <c r="N2550" i="9"/>
  <c r="N2549" i="9"/>
  <c r="N2548" i="9"/>
  <c r="N2547" i="9"/>
  <c r="N2546" i="9"/>
  <c r="N2545" i="9"/>
  <c r="N2544" i="9"/>
  <c r="N2543" i="9"/>
  <c r="N2542" i="9"/>
  <c r="N2541" i="9"/>
  <c r="N2540" i="9"/>
  <c r="N2539" i="9"/>
  <c r="N2538" i="9"/>
  <c r="N2537" i="9"/>
  <c r="N2536" i="9"/>
  <c r="N2535" i="9"/>
  <c r="N2534" i="9"/>
  <c r="N2533" i="9"/>
  <c r="N2532" i="9"/>
  <c r="N2531" i="9"/>
  <c r="N2530" i="9"/>
  <c r="N2529" i="9"/>
  <c r="N2528" i="9"/>
  <c r="N2527" i="9"/>
  <c r="N2526" i="9"/>
  <c r="N2525" i="9"/>
  <c r="N2524" i="9"/>
  <c r="N2523" i="9"/>
  <c r="N2522" i="9"/>
  <c r="N2521" i="9"/>
  <c r="N2520" i="9"/>
  <c r="N2519" i="9"/>
  <c r="N2518" i="9"/>
  <c r="N2517" i="9"/>
  <c r="N2516" i="9"/>
  <c r="N2515" i="9"/>
  <c r="N2514" i="9"/>
  <c r="N2513" i="9"/>
  <c r="N2512" i="9"/>
  <c r="N2511" i="9"/>
  <c r="N2510" i="9"/>
  <c r="N2509" i="9"/>
  <c r="N2508" i="9"/>
  <c r="N2507" i="9"/>
  <c r="N2506" i="9"/>
  <c r="N2505" i="9"/>
  <c r="N2504" i="9"/>
  <c r="N2503" i="9"/>
  <c r="N2502" i="9"/>
  <c r="N2501" i="9"/>
  <c r="N2500" i="9"/>
  <c r="N2499" i="9"/>
  <c r="N2498" i="9"/>
  <c r="N2497" i="9"/>
  <c r="N2496" i="9"/>
  <c r="N2495" i="9"/>
  <c r="N2494" i="9"/>
  <c r="N2493" i="9"/>
  <c r="N2492" i="9"/>
  <c r="N2491" i="9"/>
  <c r="N2490" i="9"/>
  <c r="N2489" i="9"/>
  <c r="N2488" i="9"/>
  <c r="N2487" i="9"/>
  <c r="N2486" i="9"/>
  <c r="N2485" i="9"/>
  <c r="N2484" i="9"/>
  <c r="N2483" i="9"/>
  <c r="N2482" i="9"/>
  <c r="N2481" i="9"/>
  <c r="N2480" i="9"/>
  <c r="N2479" i="9"/>
  <c r="N2478" i="9"/>
  <c r="N2477" i="9"/>
  <c r="N2476" i="9"/>
  <c r="N2475" i="9"/>
  <c r="N2474" i="9"/>
  <c r="N2473" i="9"/>
  <c r="N2472" i="9"/>
  <c r="N2471" i="9"/>
  <c r="N2470" i="9"/>
  <c r="N2469" i="9"/>
  <c r="N2468" i="9"/>
  <c r="N2467" i="9"/>
  <c r="N2466" i="9"/>
  <c r="N2465" i="9"/>
  <c r="N2464" i="9"/>
  <c r="N2463" i="9"/>
  <c r="N2462" i="9"/>
  <c r="N2461" i="9"/>
  <c r="N2460" i="9"/>
  <c r="N2459" i="9"/>
  <c r="N2458" i="9"/>
  <c r="N2457" i="9"/>
  <c r="N2456" i="9"/>
  <c r="N2455" i="9"/>
  <c r="N2454" i="9"/>
  <c r="N2453" i="9"/>
  <c r="N2452" i="9"/>
  <c r="N2451" i="9"/>
  <c r="N2450" i="9"/>
  <c r="N2449" i="9"/>
  <c r="N2448" i="9"/>
  <c r="N2447" i="9"/>
  <c r="N2446" i="9"/>
  <c r="N2445" i="9"/>
  <c r="N2444" i="9"/>
  <c r="N2443" i="9"/>
  <c r="N2442" i="9"/>
  <c r="N2441" i="9"/>
  <c r="N2440" i="9"/>
  <c r="N2439" i="9"/>
  <c r="N2438" i="9"/>
  <c r="N2437" i="9"/>
  <c r="N2436" i="9"/>
  <c r="N2435" i="9"/>
  <c r="N2434" i="9"/>
  <c r="N2433" i="9"/>
  <c r="N2432" i="9"/>
  <c r="N2431" i="9"/>
  <c r="N2430" i="9"/>
  <c r="N2429" i="9"/>
  <c r="N2428" i="9"/>
  <c r="N2427" i="9"/>
  <c r="N2426" i="9"/>
  <c r="N2425" i="9"/>
  <c r="N2424" i="9"/>
  <c r="N2423" i="9"/>
  <c r="N2422" i="9"/>
  <c r="N2421" i="9"/>
  <c r="N2420" i="9"/>
  <c r="N2419" i="9"/>
  <c r="N2418" i="9"/>
  <c r="N2417" i="9"/>
  <c r="N2416" i="9"/>
  <c r="N2415" i="9"/>
  <c r="N2414" i="9"/>
  <c r="N2413" i="9"/>
  <c r="N2412" i="9"/>
  <c r="N2411" i="9"/>
  <c r="N2410" i="9"/>
  <c r="N2409" i="9"/>
  <c r="N2408" i="9"/>
  <c r="N2407" i="9"/>
  <c r="N2406" i="9"/>
  <c r="N2405" i="9"/>
  <c r="N2404" i="9"/>
  <c r="N2403" i="9"/>
  <c r="N2402" i="9"/>
  <c r="N2401" i="9"/>
  <c r="N2400" i="9"/>
  <c r="N2399" i="9"/>
  <c r="N2398" i="9"/>
  <c r="N2397" i="9"/>
  <c r="N2396" i="9"/>
  <c r="N2395" i="9"/>
  <c r="N2394" i="9"/>
  <c r="N2393" i="9"/>
  <c r="N2392" i="9"/>
  <c r="N2391" i="9"/>
  <c r="N2390" i="9"/>
  <c r="N2389" i="9"/>
  <c r="N2388" i="9"/>
  <c r="N2387" i="9"/>
  <c r="N2386" i="9"/>
  <c r="N2385" i="9"/>
  <c r="N2384" i="9"/>
  <c r="N2383" i="9"/>
  <c r="N2382" i="9"/>
  <c r="N2381" i="9"/>
  <c r="N2380" i="9"/>
  <c r="N2379" i="9"/>
  <c r="N2378" i="9"/>
  <c r="N2377" i="9"/>
  <c r="N2376" i="9"/>
  <c r="N2375" i="9"/>
  <c r="N2374" i="9"/>
  <c r="N2373" i="9"/>
  <c r="N2372" i="9"/>
  <c r="N2371" i="9"/>
  <c r="N2370" i="9"/>
  <c r="N2369" i="9"/>
  <c r="N2368" i="9"/>
  <c r="N2367" i="9"/>
  <c r="N2366" i="9"/>
  <c r="N2365" i="9"/>
  <c r="N2364" i="9"/>
  <c r="N2363" i="9"/>
  <c r="N2362" i="9"/>
  <c r="N2361" i="9"/>
  <c r="N2360" i="9"/>
  <c r="N2359" i="9"/>
  <c r="N2358" i="9"/>
  <c r="N2357" i="9"/>
  <c r="N2356" i="9"/>
  <c r="N2355" i="9"/>
  <c r="N2354" i="9"/>
  <c r="N2353" i="9"/>
  <c r="N2352" i="9"/>
  <c r="N2351" i="9"/>
  <c r="N2350" i="9"/>
  <c r="N2349" i="9"/>
  <c r="N2348" i="9"/>
  <c r="N2347" i="9"/>
  <c r="N2346" i="9"/>
  <c r="N2345" i="9"/>
  <c r="N2344" i="9"/>
  <c r="N2343" i="9"/>
  <c r="N2342" i="9"/>
  <c r="N2341" i="9"/>
  <c r="N2340" i="9"/>
  <c r="N2339" i="9"/>
  <c r="N2338" i="9"/>
  <c r="N2337" i="9"/>
  <c r="N2336" i="9"/>
  <c r="N2335" i="9"/>
  <c r="N2334" i="9"/>
  <c r="N2333" i="9"/>
  <c r="N2332" i="9"/>
  <c r="N2331" i="9"/>
  <c r="N2330" i="9"/>
  <c r="N2329" i="9"/>
  <c r="N2328" i="9"/>
  <c r="N2327" i="9"/>
  <c r="N2326" i="9"/>
  <c r="N2325" i="9"/>
  <c r="N2324" i="9"/>
  <c r="N2323" i="9"/>
  <c r="N2322" i="9"/>
  <c r="N2321" i="9"/>
  <c r="N2320" i="9"/>
  <c r="N2319" i="9"/>
  <c r="N2318" i="9"/>
  <c r="N2317" i="9"/>
  <c r="N2316" i="9"/>
  <c r="N2315" i="9"/>
  <c r="N2314" i="9"/>
  <c r="N2313" i="9"/>
  <c r="N2312" i="9"/>
  <c r="N2311" i="9"/>
  <c r="N2310" i="9"/>
  <c r="N2309" i="9"/>
  <c r="N2308" i="9"/>
  <c r="N2307" i="9"/>
  <c r="N2306" i="9"/>
  <c r="N2305" i="9"/>
  <c r="N2304" i="9"/>
  <c r="N2303" i="9"/>
  <c r="N2302" i="9"/>
  <c r="N2301" i="9"/>
  <c r="N2300" i="9"/>
  <c r="N2299" i="9"/>
  <c r="N2298" i="9"/>
  <c r="N2297" i="9"/>
  <c r="N2296" i="9"/>
  <c r="N2295" i="9"/>
  <c r="N2294" i="9"/>
  <c r="N2293" i="9"/>
  <c r="N2292" i="9"/>
  <c r="N2291" i="9"/>
  <c r="N2290" i="9"/>
  <c r="N2289" i="9"/>
  <c r="N2288" i="9"/>
  <c r="N2287" i="9"/>
  <c r="N2286" i="9"/>
  <c r="N2285" i="9"/>
  <c r="N2284" i="9"/>
  <c r="N2283" i="9"/>
  <c r="N2282" i="9"/>
  <c r="N2281" i="9"/>
  <c r="N2280" i="9"/>
  <c r="N2279" i="9"/>
  <c r="N2278" i="9"/>
  <c r="N2277" i="9"/>
  <c r="N2276" i="9"/>
  <c r="N2275" i="9"/>
  <c r="N2274" i="9"/>
  <c r="N2273" i="9"/>
  <c r="N2272" i="9"/>
  <c r="N2271" i="9"/>
  <c r="N2270" i="9"/>
  <c r="N2269" i="9"/>
  <c r="N2268" i="9"/>
  <c r="N2267" i="9"/>
  <c r="N2266" i="9"/>
  <c r="N2265" i="9"/>
  <c r="N2264" i="9"/>
  <c r="N2263" i="9"/>
  <c r="N2262" i="9"/>
  <c r="N2261" i="9"/>
  <c r="N2260" i="9"/>
  <c r="N2259" i="9"/>
  <c r="N2258" i="9"/>
  <c r="N2257" i="9"/>
  <c r="N2256" i="9"/>
  <c r="N2255" i="9"/>
  <c r="N2254" i="9"/>
  <c r="N2253" i="9"/>
  <c r="N2252" i="9"/>
  <c r="N2251" i="9"/>
  <c r="N2250" i="9"/>
  <c r="N2249" i="9"/>
  <c r="N2248" i="9"/>
  <c r="N2247" i="9"/>
  <c r="N2246" i="9"/>
  <c r="N2245" i="9"/>
  <c r="N2244" i="9"/>
  <c r="N2243" i="9"/>
  <c r="N2242" i="9"/>
  <c r="N2241" i="9"/>
  <c r="N2240" i="9"/>
  <c r="N2239" i="9"/>
  <c r="N2238" i="9"/>
  <c r="N2237" i="9"/>
  <c r="N2236" i="9"/>
  <c r="N2235" i="9"/>
  <c r="N2234" i="9"/>
  <c r="N2233" i="9"/>
  <c r="N2232" i="9"/>
  <c r="N2231" i="9"/>
  <c r="N2230" i="9"/>
  <c r="N2229" i="9"/>
  <c r="N2228" i="9"/>
  <c r="N2227" i="9"/>
  <c r="N2226" i="9"/>
  <c r="N2225" i="9"/>
  <c r="N2224" i="9"/>
  <c r="N2223" i="9"/>
  <c r="N2222" i="9"/>
  <c r="N2221" i="9"/>
  <c r="N2220" i="9"/>
  <c r="N2219" i="9"/>
  <c r="N2218" i="9"/>
  <c r="N2217" i="9"/>
  <c r="N2216" i="9"/>
  <c r="N2215" i="9"/>
  <c r="N2214" i="9"/>
  <c r="N2213" i="9"/>
  <c r="N2212" i="9"/>
  <c r="N2211" i="9"/>
  <c r="N2210" i="9"/>
  <c r="N2209" i="9"/>
  <c r="N2208" i="9"/>
  <c r="N2207" i="9"/>
  <c r="N2206" i="9"/>
  <c r="N2205" i="9"/>
  <c r="N2204" i="9"/>
  <c r="N2203" i="9"/>
  <c r="N2202" i="9"/>
  <c r="N2201" i="9"/>
  <c r="N2200" i="9"/>
  <c r="N2199" i="9"/>
  <c r="N2198" i="9"/>
  <c r="N2197" i="9"/>
  <c r="N2196" i="9"/>
  <c r="N2195" i="9"/>
  <c r="N2194" i="9"/>
  <c r="N2193" i="9"/>
  <c r="N2192" i="9"/>
  <c r="N2191" i="9"/>
  <c r="N2190" i="9"/>
  <c r="N2189" i="9"/>
  <c r="N2188" i="9"/>
  <c r="N2187" i="9"/>
  <c r="N2186" i="9"/>
  <c r="N2185" i="9"/>
  <c r="N2184" i="9"/>
  <c r="N2183" i="9"/>
  <c r="N2182" i="9"/>
  <c r="N2181" i="9"/>
  <c r="N2180" i="9"/>
  <c r="N2179" i="9"/>
  <c r="N2178" i="9"/>
  <c r="N2177" i="9"/>
  <c r="N2176" i="9"/>
  <c r="N2175" i="9"/>
  <c r="N2174" i="9"/>
  <c r="N2173" i="9"/>
  <c r="N2172" i="9"/>
  <c r="N2171" i="9"/>
  <c r="N2170" i="9"/>
  <c r="N2169" i="9"/>
  <c r="N2168" i="9"/>
  <c r="N2167" i="9"/>
  <c r="N2166" i="9"/>
  <c r="N2165" i="9"/>
  <c r="N2164" i="9"/>
  <c r="N2163" i="9"/>
  <c r="N2162" i="9"/>
  <c r="N2161" i="9"/>
  <c r="N2160" i="9"/>
  <c r="N2159" i="9"/>
  <c r="N2158" i="9"/>
  <c r="N2157" i="9"/>
  <c r="N2156" i="9"/>
  <c r="N2155" i="9"/>
  <c r="N2154" i="9"/>
  <c r="N2153" i="9"/>
  <c r="N2152" i="9"/>
  <c r="N2151" i="9"/>
  <c r="N2150" i="9"/>
  <c r="N2149" i="9"/>
  <c r="N2148" i="9"/>
  <c r="N2147" i="9"/>
  <c r="N2146" i="9"/>
  <c r="N2145" i="9"/>
  <c r="N2144" i="9"/>
  <c r="N2143" i="9"/>
  <c r="N2142" i="9"/>
  <c r="N2141" i="9"/>
  <c r="N2140" i="9"/>
  <c r="N2139" i="9"/>
  <c r="N2138" i="9"/>
  <c r="N2137" i="9"/>
  <c r="N2136" i="9"/>
  <c r="N2135" i="9"/>
  <c r="N2134" i="9"/>
  <c r="N2133" i="9"/>
  <c r="N2132" i="9"/>
  <c r="N2131" i="9"/>
  <c r="N2130" i="9"/>
  <c r="N2129" i="9"/>
  <c r="N2128" i="9"/>
  <c r="N2127" i="9"/>
  <c r="N2126" i="9"/>
  <c r="N2125" i="9"/>
  <c r="N2124" i="9"/>
  <c r="N2123" i="9"/>
  <c r="N2122" i="9"/>
  <c r="N2121" i="9"/>
  <c r="N2120" i="9"/>
  <c r="N2119" i="9"/>
  <c r="N2118" i="9"/>
  <c r="N2117" i="9"/>
  <c r="N2116" i="9"/>
  <c r="N2115" i="9"/>
  <c r="N2114" i="9"/>
  <c r="N2113" i="9"/>
  <c r="N2112" i="9"/>
  <c r="N2111" i="9"/>
  <c r="N2110" i="9"/>
  <c r="N2109" i="9"/>
  <c r="N2108" i="9"/>
  <c r="N2107" i="9"/>
  <c r="N2106" i="9"/>
  <c r="N2105" i="9"/>
  <c r="N2104" i="9"/>
  <c r="N2103" i="9"/>
  <c r="N2102" i="9"/>
  <c r="N2101" i="9"/>
  <c r="N2100" i="9"/>
  <c r="N2099" i="9"/>
  <c r="N2098" i="9"/>
  <c r="N2097" i="9"/>
  <c r="N2096" i="9"/>
  <c r="N2095" i="9"/>
  <c r="N2094" i="9"/>
  <c r="N2093" i="9"/>
  <c r="N2092" i="9"/>
  <c r="N2091" i="9"/>
  <c r="N2090" i="9"/>
  <c r="N2089" i="9"/>
  <c r="N2088" i="9"/>
  <c r="N2087" i="9"/>
  <c r="N2086" i="9"/>
  <c r="N2085" i="9"/>
  <c r="N2084" i="9"/>
  <c r="N2083" i="9"/>
  <c r="N2082" i="9"/>
  <c r="N2081" i="9"/>
  <c r="N2080" i="9"/>
  <c r="N2079" i="9"/>
  <c r="N2078" i="9"/>
  <c r="N2077" i="9"/>
  <c r="N2076" i="9"/>
  <c r="N2075" i="9"/>
  <c r="N2074" i="9"/>
  <c r="N2073" i="9"/>
  <c r="N2072" i="9"/>
  <c r="N2071" i="9"/>
  <c r="N2070" i="9"/>
  <c r="N2069" i="9"/>
  <c r="N2068" i="9"/>
  <c r="N2067" i="9"/>
  <c r="N2066" i="9"/>
  <c r="N2065" i="9"/>
  <c r="N2064" i="9"/>
  <c r="N2063" i="9"/>
  <c r="N2062" i="9"/>
  <c r="N2061" i="9"/>
  <c r="N2060" i="9"/>
  <c r="N2059" i="9"/>
  <c r="N2058" i="9"/>
  <c r="N2057" i="9"/>
  <c r="N2056" i="9"/>
  <c r="N2055" i="9"/>
  <c r="N2054" i="9"/>
  <c r="N2053" i="9"/>
  <c r="N2052" i="9"/>
  <c r="N2051" i="9"/>
  <c r="N2050" i="9"/>
  <c r="N2049" i="9"/>
  <c r="N2048" i="9"/>
  <c r="N2047" i="9"/>
  <c r="N2046" i="9"/>
  <c r="N2045" i="9"/>
  <c r="N2044" i="9"/>
  <c r="N2043" i="9"/>
  <c r="N2042" i="9"/>
  <c r="N2041" i="9"/>
  <c r="N2040" i="9"/>
  <c r="N2039" i="9"/>
  <c r="N2038" i="9"/>
  <c r="N2037" i="9"/>
  <c r="N2036" i="9"/>
  <c r="N2035" i="9"/>
  <c r="N2034" i="9"/>
  <c r="N2033" i="9"/>
  <c r="N2032" i="9"/>
  <c r="N2031" i="9"/>
  <c r="N2030" i="9"/>
  <c r="N2029" i="9"/>
  <c r="N2028" i="9"/>
  <c r="N2027" i="9"/>
  <c r="N2026" i="9"/>
  <c r="N2025" i="9"/>
  <c r="N2024" i="9"/>
  <c r="N2023" i="9"/>
  <c r="N2022" i="9"/>
  <c r="N2021" i="9"/>
  <c r="N2020" i="9"/>
  <c r="N2019" i="9"/>
  <c r="N2018" i="9"/>
  <c r="N2017" i="9"/>
  <c r="N2016" i="9"/>
  <c r="N2015" i="9"/>
  <c r="N2014" i="9"/>
  <c r="N2013" i="9"/>
  <c r="N2012" i="9"/>
  <c r="N2011" i="9"/>
  <c r="N2010" i="9"/>
  <c r="N2009" i="9"/>
  <c r="N2008" i="9"/>
  <c r="N2007" i="9"/>
  <c r="N2006" i="9"/>
  <c r="N2005" i="9"/>
  <c r="N2004" i="9"/>
  <c r="N2003" i="9"/>
  <c r="N2002" i="9"/>
  <c r="N2001" i="9"/>
  <c r="N2000" i="9"/>
  <c r="N1999" i="9"/>
  <c r="N1998" i="9"/>
  <c r="N1997" i="9"/>
  <c r="N1996" i="9"/>
  <c r="N1995" i="9"/>
  <c r="N1994" i="9"/>
  <c r="N1993" i="9"/>
  <c r="N1992" i="9"/>
  <c r="N1991" i="9"/>
  <c r="N1990" i="9"/>
  <c r="N1989" i="9"/>
  <c r="N1988" i="9"/>
  <c r="N1987" i="9"/>
  <c r="N1986" i="9"/>
  <c r="N1985" i="9"/>
  <c r="N1984" i="9"/>
  <c r="N1983" i="9"/>
  <c r="N1982" i="9"/>
  <c r="N1981" i="9"/>
  <c r="N1980" i="9"/>
  <c r="N1979" i="9"/>
  <c r="N1978" i="9"/>
  <c r="N1977" i="9"/>
  <c r="N1976" i="9"/>
  <c r="N1975" i="9"/>
  <c r="N1974" i="9"/>
  <c r="N1973" i="9"/>
  <c r="N1972" i="9"/>
  <c r="N1971" i="9"/>
  <c r="N1970" i="9"/>
  <c r="N1969" i="9"/>
  <c r="N1968" i="9"/>
  <c r="N1967" i="9"/>
  <c r="N1966" i="9"/>
  <c r="N1965" i="9"/>
  <c r="N1964" i="9"/>
  <c r="N1963" i="9"/>
  <c r="N1962" i="9"/>
  <c r="N1961" i="9"/>
  <c r="N1960" i="9"/>
  <c r="N1959" i="9"/>
  <c r="N1958" i="9"/>
  <c r="N1957" i="9"/>
  <c r="N1956" i="9"/>
  <c r="N1955" i="9"/>
  <c r="N1954" i="9"/>
  <c r="N1953" i="9"/>
  <c r="N1952" i="9"/>
  <c r="N1951" i="9"/>
  <c r="N1950" i="9"/>
  <c r="N1949" i="9"/>
  <c r="N1948" i="9"/>
  <c r="N1947" i="9"/>
  <c r="N1946" i="9"/>
  <c r="N1945" i="9"/>
  <c r="N1944" i="9"/>
  <c r="N1943" i="9"/>
  <c r="N1942" i="9"/>
  <c r="N1941" i="9"/>
  <c r="N1940" i="9"/>
  <c r="N1939" i="9"/>
  <c r="N1938" i="9"/>
  <c r="N1937" i="9"/>
  <c r="N1936" i="9"/>
  <c r="N1935" i="9"/>
  <c r="N1934" i="9"/>
  <c r="N1933" i="9"/>
  <c r="N1932" i="9"/>
  <c r="N1931" i="9"/>
  <c r="N1930" i="9"/>
  <c r="N1929" i="9"/>
  <c r="N1928" i="9"/>
  <c r="N1927" i="9"/>
  <c r="N1926" i="9"/>
  <c r="N1925" i="9"/>
  <c r="N1924" i="9"/>
  <c r="N1923" i="9"/>
  <c r="N1922" i="9"/>
  <c r="N1921" i="9"/>
  <c r="N1920" i="9"/>
  <c r="N1919" i="9"/>
  <c r="N1918" i="9"/>
  <c r="N1917" i="9"/>
  <c r="N1916" i="9"/>
  <c r="N1915" i="9"/>
  <c r="N1914" i="9"/>
  <c r="N1913" i="9"/>
  <c r="N1912" i="9"/>
  <c r="N1911" i="9"/>
  <c r="N1910" i="9"/>
  <c r="N1909" i="9"/>
  <c r="N1908" i="9"/>
  <c r="N1907" i="9"/>
  <c r="N1906" i="9"/>
  <c r="N1905" i="9"/>
  <c r="N1904" i="9"/>
  <c r="N1903" i="9"/>
  <c r="N1902" i="9"/>
  <c r="N1901" i="9"/>
  <c r="N1900" i="9"/>
  <c r="N1899" i="9"/>
  <c r="N1898" i="9"/>
  <c r="N1897" i="9"/>
  <c r="N1896" i="9"/>
  <c r="N1895" i="9"/>
  <c r="N1894" i="9"/>
  <c r="N1893" i="9"/>
  <c r="N1892" i="9"/>
  <c r="N1891" i="9"/>
  <c r="N1890" i="9"/>
  <c r="N1889" i="9"/>
  <c r="N1888" i="9"/>
  <c r="N1887" i="9"/>
  <c r="N1886" i="9"/>
  <c r="N1885" i="9"/>
  <c r="N1884" i="9"/>
  <c r="N1883" i="9"/>
  <c r="N1882" i="9"/>
  <c r="N1881" i="9"/>
  <c r="N1880" i="9"/>
  <c r="N1879" i="9"/>
  <c r="N1878" i="9"/>
  <c r="N1877" i="9"/>
  <c r="N1876" i="9"/>
  <c r="N1875" i="9"/>
  <c r="N1874" i="9"/>
  <c r="N1873" i="9"/>
  <c r="N1872" i="9"/>
  <c r="N1871" i="9"/>
  <c r="N1870" i="9"/>
  <c r="N1869" i="9"/>
  <c r="N1868" i="9"/>
  <c r="N1867" i="9"/>
  <c r="N1866" i="9"/>
  <c r="N1865" i="9"/>
  <c r="N1864" i="9"/>
  <c r="N1863" i="9"/>
  <c r="N1862" i="9"/>
  <c r="N1861" i="9"/>
  <c r="N1860" i="9"/>
  <c r="N1859" i="9"/>
  <c r="N1858" i="9"/>
  <c r="N1857" i="9"/>
  <c r="N1856" i="9"/>
  <c r="N1855" i="9"/>
  <c r="N1854" i="9"/>
  <c r="N1853" i="9"/>
  <c r="N1852" i="9"/>
  <c r="N1851" i="9"/>
  <c r="N1850" i="9"/>
  <c r="N1849" i="9"/>
  <c r="N1848" i="9"/>
  <c r="N1847" i="9"/>
  <c r="N1846" i="9"/>
  <c r="N1845" i="9"/>
  <c r="N1844" i="9"/>
  <c r="N1843" i="9"/>
  <c r="N1842" i="9"/>
  <c r="N1841" i="9"/>
  <c r="N1840" i="9"/>
  <c r="N1839" i="9"/>
  <c r="N1838" i="9"/>
  <c r="N1837" i="9"/>
  <c r="N1836" i="9"/>
  <c r="N1835" i="9"/>
  <c r="N1834" i="9"/>
  <c r="N1833" i="9"/>
  <c r="N1832" i="9"/>
  <c r="N1831" i="9"/>
  <c r="N1830" i="9"/>
  <c r="N1829" i="9"/>
  <c r="N1828" i="9"/>
  <c r="N1827" i="9"/>
  <c r="N1826" i="9"/>
  <c r="N1825" i="9"/>
  <c r="N1824" i="9"/>
  <c r="N1823" i="9"/>
  <c r="N1822" i="9"/>
  <c r="N1821" i="9"/>
  <c r="N1820" i="9"/>
  <c r="N1819" i="9"/>
  <c r="N1818" i="9"/>
  <c r="N1817" i="9"/>
  <c r="N1816" i="9"/>
  <c r="N1815" i="9"/>
  <c r="N1814" i="9"/>
  <c r="N1813" i="9"/>
  <c r="N1812" i="9"/>
  <c r="N1811" i="9"/>
  <c r="N1810" i="9"/>
  <c r="N1809" i="9"/>
  <c r="N1808" i="9"/>
  <c r="N1807" i="9"/>
  <c r="N1806" i="9"/>
  <c r="N1805" i="9"/>
  <c r="N1804" i="9"/>
  <c r="N1803" i="9"/>
  <c r="N1802" i="9"/>
  <c r="N1801" i="9"/>
  <c r="N1800" i="9"/>
  <c r="N1799" i="9"/>
  <c r="N1798" i="9"/>
  <c r="N1797" i="9"/>
  <c r="N1796" i="9"/>
  <c r="N1795" i="9"/>
  <c r="N1794" i="9"/>
  <c r="N1793" i="9"/>
  <c r="N1792" i="9"/>
  <c r="N1791" i="9"/>
  <c r="N1790" i="9"/>
  <c r="N1789" i="9"/>
  <c r="N1788" i="9"/>
  <c r="N1787" i="9"/>
  <c r="N1786" i="9"/>
  <c r="N1785" i="9"/>
  <c r="N1784" i="9"/>
  <c r="N1783" i="9"/>
  <c r="N1782" i="9"/>
  <c r="N1781" i="9"/>
  <c r="N1780" i="9"/>
  <c r="N1779" i="9"/>
  <c r="N1778" i="9"/>
  <c r="N1777" i="9"/>
  <c r="N1776" i="9"/>
  <c r="N1775" i="9"/>
  <c r="N1774" i="9"/>
  <c r="N1773" i="9"/>
  <c r="N1772" i="9"/>
  <c r="N1771" i="9"/>
  <c r="N1770" i="9"/>
  <c r="N1769" i="9"/>
  <c r="N1768" i="9"/>
  <c r="N1767" i="9"/>
  <c r="N1766" i="9"/>
  <c r="N1765" i="9"/>
  <c r="N1764" i="9"/>
  <c r="N1763" i="9"/>
  <c r="N1762" i="9"/>
  <c r="N1761" i="9"/>
  <c r="N1760" i="9"/>
  <c r="N1759" i="9"/>
  <c r="N1758" i="9"/>
  <c r="N1757" i="9"/>
  <c r="N1756" i="9"/>
  <c r="N1755" i="9"/>
  <c r="N1754" i="9"/>
  <c r="N1753" i="9"/>
  <c r="N1752" i="9"/>
  <c r="N1751" i="9"/>
  <c r="N1750" i="9"/>
  <c r="N1749" i="9"/>
  <c r="N1748" i="9"/>
  <c r="N1747" i="9"/>
  <c r="N1746" i="9"/>
  <c r="N1745" i="9"/>
  <c r="N1744" i="9"/>
  <c r="N1743" i="9"/>
  <c r="N1742" i="9"/>
  <c r="N1741" i="9"/>
  <c r="N1740" i="9"/>
  <c r="N1739" i="9"/>
  <c r="N1738" i="9"/>
  <c r="N1737" i="9"/>
  <c r="N1736" i="9"/>
  <c r="N1735" i="9"/>
  <c r="N1734" i="9"/>
  <c r="N1733" i="9"/>
  <c r="N1732" i="9"/>
  <c r="N1731" i="9"/>
  <c r="N1730" i="9"/>
  <c r="N1729" i="9"/>
  <c r="N1728" i="9"/>
  <c r="N1727" i="9"/>
  <c r="N1726" i="9"/>
  <c r="N1725" i="9"/>
  <c r="N1724" i="9"/>
  <c r="N1723" i="9"/>
  <c r="N1722" i="9"/>
  <c r="N1721" i="9"/>
  <c r="N1720" i="9"/>
  <c r="N1719" i="9"/>
  <c r="N1718" i="9"/>
  <c r="N1717" i="9"/>
  <c r="N1716" i="9"/>
  <c r="N1715" i="9"/>
  <c r="N1714" i="9"/>
  <c r="N1713" i="9"/>
  <c r="N1712" i="9"/>
  <c r="N1711" i="9"/>
  <c r="N1710" i="9"/>
  <c r="N1709" i="9"/>
  <c r="N1708" i="9"/>
  <c r="N1707" i="9"/>
  <c r="N1706" i="9"/>
  <c r="N1705" i="9"/>
  <c r="N1704" i="9"/>
  <c r="N1703" i="9"/>
  <c r="N1702" i="9"/>
  <c r="N1701" i="9"/>
  <c r="N1700" i="9"/>
  <c r="N1699" i="9"/>
  <c r="N1698" i="9"/>
  <c r="N1697" i="9"/>
  <c r="N1696" i="9"/>
  <c r="N1695" i="9"/>
  <c r="N1694" i="9"/>
  <c r="N1693" i="9"/>
  <c r="N1692" i="9"/>
  <c r="N1691" i="9"/>
  <c r="N1690" i="9"/>
  <c r="N1689" i="9"/>
  <c r="N1688" i="9"/>
  <c r="N1687" i="9"/>
  <c r="N1686" i="9"/>
  <c r="N1685" i="9"/>
  <c r="N1684" i="9"/>
  <c r="N1683" i="9"/>
  <c r="N1682" i="9"/>
  <c r="N1681" i="9"/>
  <c r="N1680" i="9"/>
  <c r="N1679" i="9"/>
  <c r="N1678" i="9"/>
  <c r="N1677" i="9"/>
  <c r="N1676" i="9"/>
  <c r="N1675" i="9"/>
  <c r="N1674" i="9"/>
  <c r="N1673" i="9"/>
  <c r="N1672" i="9"/>
  <c r="N1671" i="9"/>
  <c r="N1670" i="9"/>
  <c r="N1669" i="9"/>
  <c r="N1668" i="9"/>
  <c r="N1667" i="9"/>
  <c r="N1666" i="9"/>
  <c r="N1665" i="9"/>
  <c r="N1664" i="9"/>
  <c r="N1663" i="9"/>
  <c r="N1662" i="9"/>
  <c r="N1661" i="9"/>
  <c r="N1660" i="9"/>
  <c r="N1659" i="9"/>
  <c r="N1658" i="9"/>
  <c r="N1657" i="9"/>
  <c r="N1656" i="9"/>
  <c r="N1655" i="9"/>
  <c r="N1654" i="9"/>
  <c r="N1653" i="9"/>
  <c r="N1652" i="9"/>
  <c r="N1651" i="9"/>
  <c r="N1650" i="9"/>
  <c r="N1649" i="9"/>
  <c r="N1648" i="9"/>
  <c r="N1647" i="9"/>
  <c r="N1646" i="9"/>
  <c r="N1645" i="9"/>
  <c r="N1644" i="9"/>
  <c r="N1643" i="9"/>
  <c r="N1642" i="9"/>
  <c r="N1641" i="9"/>
  <c r="N1640" i="9"/>
  <c r="N1639" i="9"/>
  <c r="N1638" i="9"/>
  <c r="N1637" i="9"/>
  <c r="N1636" i="9"/>
  <c r="N1635" i="9"/>
  <c r="N1634" i="9"/>
  <c r="N1633" i="9"/>
  <c r="N1632" i="9"/>
  <c r="N1631" i="9"/>
  <c r="N1630" i="9"/>
  <c r="N1629" i="9"/>
  <c r="N1628" i="9"/>
  <c r="N1627" i="9"/>
  <c r="N1626" i="9"/>
  <c r="N1625" i="9"/>
  <c r="N1624" i="9"/>
  <c r="N1623" i="9"/>
  <c r="N1622" i="9"/>
  <c r="N1621" i="9"/>
  <c r="N1620" i="9"/>
  <c r="N1619" i="9"/>
  <c r="N1618" i="9"/>
  <c r="N1617" i="9"/>
  <c r="N1616" i="9"/>
  <c r="N1615" i="9"/>
  <c r="N1614" i="9"/>
  <c r="N1613" i="9"/>
  <c r="N1612" i="9"/>
  <c r="N1611" i="9"/>
  <c r="N1610" i="9"/>
  <c r="N1609" i="9"/>
  <c r="N1608" i="9"/>
  <c r="N1607" i="9"/>
  <c r="N1606" i="9"/>
  <c r="N1605" i="9"/>
  <c r="N1604" i="9"/>
  <c r="N1603" i="9"/>
  <c r="N1602" i="9"/>
  <c r="N1601" i="9"/>
  <c r="N1600" i="9"/>
  <c r="N1599" i="9"/>
  <c r="N1598" i="9"/>
  <c r="N1597" i="9"/>
  <c r="N1596" i="9"/>
  <c r="N1595" i="9"/>
  <c r="N1594" i="9"/>
  <c r="N1593" i="9"/>
  <c r="N1592" i="9"/>
  <c r="N1591" i="9"/>
  <c r="N1590" i="9"/>
  <c r="N1589" i="9"/>
  <c r="N1588" i="9"/>
  <c r="N1587" i="9"/>
  <c r="N1586" i="9"/>
  <c r="N1585" i="9"/>
  <c r="N1584" i="9"/>
  <c r="N1583" i="9"/>
  <c r="N1582" i="9"/>
  <c r="N1581" i="9"/>
  <c r="N1580" i="9"/>
  <c r="N1579" i="9"/>
  <c r="N1578" i="9"/>
  <c r="N1577" i="9"/>
  <c r="N1576" i="9"/>
  <c r="N1575" i="9"/>
  <c r="N1574" i="9"/>
  <c r="N1573" i="9"/>
  <c r="N1572" i="9"/>
  <c r="N1571" i="9"/>
  <c r="N1570" i="9"/>
  <c r="N1569" i="9"/>
  <c r="N1568" i="9"/>
  <c r="N1567" i="9"/>
  <c r="N1566" i="9"/>
  <c r="N1565" i="9"/>
  <c r="N1564" i="9"/>
  <c r="N1563" i="9"/>
  <c r="N1562" i="9"/>
  <c r="N1561" i="9"/>
  <c r="N1560" i="9"/>
  <c r="N1559" i="9"/>
  <c r="N1558" i="9"/>
  <c r="N1557" i="9"/>
  <c r="N1556" i="9"/>
  <c r="N1555" i="9"/>
  <c r="N1554" i="9"/>
  <c r="N1553" i="9"/>
  <c r="N1552" i="9"/>
  <c r="N1551" i="9"/>
  <c r="N1550" i="9"/>
  <c r="N1549" i="9"/>
  <c r="N1548" i="9"/>
  <c r="N1547" i="9"/>
  <c r="N1546" i="9"/>
  <c r="N1545" i="9"/>
  <c r="N1544" i="9"/>
  <c r="N1543" i="9"/>
  <c r="N1542" i="9"/>
  <c r="N1541" i="9"/>
  <c r="N1540" i="9"/>
  <c r="N1539" i="9"/>
  <c r="N1538" i="9"/>
  <c r="N1537" i="9"/>
  <c r="N1536" i="9"/>
  <c r="N1535" i="9"/>
  <c r="N1534" i="9"/>
  <c r="N1533" i="9"/>
  <c r="N1532" i="9"/>
  <c r="N1531" i="9"/>
  <c r="N1530" i="9"/>
  <c r="N1529" i="9"/>
  <c r="N1528" i="9"/>
  <c r="N1527" i="9"/>
  <c r="N1526" i="9"/>
  <c r="N1525" i="9"/>
  <c r="N1524" i="9"/>
  <c r="N1523" i="9"/>
  <c r="N1522" i="9"/>
  <c r="N1521" i="9"/>
  <c r="N1520" i="9"/>
  <c r="N1519" i="9"/>
  <c r="N1518" i="9"/>
  <c r="N1517" i="9"/>
  <c r="N1516" i="9"/>
  <c r="N1515" i="9"/>
  <c r="N1514" i="9"/>
  <c r="N1513" i="9"/>
  <c r="N1512" i="9"/>
  <c r="N1511" i="9"/>
  <c r="N1510" i="9"/>
  <c r="N1509" i="9"/>
  <c r="N1508" i="9"/>
  <c r="N1507" i="9"/>
  <c r="N1506" i="9"/>
  <c r="N1505" i="9"/>
  <c r="N1504" i="9"/>
  <c r="N1503" i="9"/>
  <c r="N1502" i="9"/>
  <c r="N1501" i="9"/>
  <c r="N1500" i="9"/>
  <c r="N1499" i="9"/>
  <c r="N1498" i="9"/>
  <c r="N1497" i="9"/>
  <c r="N1496" i="9"/>
  <c r="N1495" i="9"/>
  <c r="N1494" i="9"/>
  <c r="N1493" i="9"/>
  <c r="N1492" i="9"/>
  <c r="N1491" i="9"/>
  <c r="N1490" i="9"/>
  <c r="N1489" i="9"/>
  <c r="N1488" i="9"/>
  <c r="N1487" i="9"/>
  <c r="N1486" i="9"/>
  <c r="N1485" i="9"/>
  <c r="N1484" i="9"/>
  <c r="N1483" i="9"/>
  <c r="N1482" i="9"/>
  <c r="N1481" i="9"/>
  <c r="N1480" i="9"/>
  <c r="N1479" i="9"/>
  <c r="N1478" i="9"/>
  <c r="N1477" i="9"/>
  <c r="N1476" i="9"/>
  <c r="N1475" i="9"/>
  <c r="N1474" i="9"/>
  <c r="N1473" i="9"/>
  <c r="N1472" i="9"/>
  <c r="N1471" i="9"/>
  <c r="N1470" i="9"/>
  <c r="N1469" i="9"/>
  <c r="N1468" i="9"/>
  <c r="N1467" i="9"/>
  <c r="N1466" i="9"/>
  <c r="N1465" i="9"/>
  <c r="N1464" i="9"/>
  <c r="N1463" i="9"/>
  <c r="N1462" i="9"/>
  <c r="N1461" i="9"/>
  <c r="N1460" i="9"/>
  <c r="N1459" i="9"/>
  <c r="N1458" i="9"/>
  <c r="N1457" i="9"/>
  <c r="N1456" i="9"/>
  <c r="N1455" i="9"/>
  <c r="N1454" i="9"/>
  <c r="N1453" i="9"/>
  <c r="N1452" i="9"/>
  <c r="N1451" i="9"/>
  <c r="N1450" i="9"/>
  <c r="N1449" i="9"/>
  <c r="N1448" i="9"/>
  <c r="N1447" i="9"/>
  <c r="N1446" i="9"/>
  <c r="N1445" i="9"/>
  <c r="N1444" i="9"/>
  <c r="N1443" i="9"/>
  <c r="N1442" i="9"/>
  <c r="N1441" i="9"/>
  <c r="N1440" i="9"/>
  <c r="N1439" i="9"/>
  <c r="N1438" i="9"/>
  <c r="N1437" i="9"/>
  <c r="N1436" i="9"/>
  <c r="N1435" i="9"/>
  <c r="N1434" i="9"/>
  <c r="N1433" i="9"/>
  <c r="N1432" i="9"/>
  <c r="N1431" i="9"/>
  <c r="N1430" i="9"/>
  <c r="N1429" i="9"/>
  <c r="N1428" i="9"/>
  <c r="N1427" i="9"/>
  <c r="N1426" i="9"/>
  <c r="N1425" i="9"/>
  <c r="N1424" i="9"/>
  <c r="N1423" i="9"/>
  <c r="N1422" i="9"/>
  <c r="N1421" i="9"/>
  <c r="N1420" i="9"/>
  <c r="N1419" i="9"/>
  <c r="N1418" i="9"/>
  <c r="N1417" i="9"/>
  <c r="N1416" i="9"/>
  <c r="N1415" i="9"/>
  <c r="N1414" i="9"/>
  <c r="N1413" i="9"/>
  <c r="N1412" i="9"/>
  <c r="N1411" i="9"/>
  <c r="N1410" i="9"/>
  <c r="N1409" i="9"/>
  <c r="N1408" i="9"/>
  <c r="N1407" i="9"/>
  <c r="N1406" i="9"/>
  <c r="N1405" i="9"/>
  <c r="N1404" i="9"/>
  <c r="N1403" i="9"/>
  <c r="N1402" i="9"/>
  <c r="N1401" i="9"/>
  <c r="N1400" i="9"/>
  <c r="N1399" i="9"/>
  <c r="N1398" i="9"/>
  <c r="N1397" i="9"/>
  <c r="N1396" i="9"/>
  <c r="N1395" i="9"/>
  <c r="N1394" i="9"/>
  <c r="N1393" i="9"/>
  <c r="N1392" i="9"/>
  <c r="N1391" i="9"/>
  <c r="N1390" i="9"/>
  <c r="N1389" i="9"/>
  <c r="N1388" i="9"/>
  <c r="N1387" i="9"/>
  <c r="N1386" i="9"/>
  <c r="N1385" i="9"/>
  <c r="N1384" i="9"/>
  <c r="N1383" i="9"/>
  <c r="N1382" i="9"/>
  <c r="N1381" i="9"/>
  <c r="N1380" i="9"/>
  <c r="N1379" i="9"/>
  <c r="N1378" i="9"/>
  <c r="N1377" i="9"/>
  <c r="N1376" i="9"/>
  <c r="N1375" i="9"/>
  <c r="N1374" i="9"/>
  <c r="N1373" i="9"/>
  <c r="N1372" i="9"/>
  <c r="N1371" i="9"/>
  <c r="N1370" i="9"/>
  <c r="N1369" i="9"/>
  <c r="N1368" i="9"/>
  <c r="N1367" i="9"/>
  <c r="N1366" i="9"/>
  <c r="N1365" i="9"/>
  <c r="N1364" i="9"/>
  <c r="N1363" i="9"/>
  <c r="N1362" i="9"/>
  <c r="N1361" i="9"/>
  <c r="N1360" i="9"/>
  <c r="N1359" i="9"/>
  <c r="N1358" i="9"/>
  <c r="N1357" i="9"/>
  <c r="N1356" i="9"/>
  <c r="N1355" i="9"/>
  <c r="N1354" i="9"/>
  <c r="N1353" i="9"/>
  <c r="N1352" i="9"/>
  <c r="N1351" i="9"/>
  <c r="N1350" i="9"/>
  <c r="N1349" i="9"/>
  <c r="N1348" i="9"/>
  <c r="N1347" i="9"/>
  <c r="N1346" i="9"/>
  <c r="N1345" i="9"/>
  <c r="N1344" i="9"/>
  <c r="N1343" i="9"/>
  <c r="N1342" i="9"/>
  <c r="N1341" i="9"/>
  <c r="N1340" i="9"/>
  <c r="N1339" i="9"/>
  <c r="N1338" i="9"/>
  <c r="N1337" i="9"/>
  <c r="N1336" i="9"/>
  <c r="N1335" i="9"/>
  <c r="N1334" i="9"/>
  <c r="N1333" i="9"/>
  <c r="N1332" i="9"/>
  <c r="N1331" i="9"/>
  <c r="N1330" i="9"/>
  <c r="N1329" i="9"/>
  <c r="N1328" i="9"/>
  <c r="N1327" i="9"/>
  <c r="N1326" i="9"/>
  <c r="N1325" i="9"/>
  <c r="N1324" i="9"/>
  <c r="N1323" i="9"/>
  <c r="N1322" i="9"/>
  <c r="N1321" i="9"/>
  <c r="N1320" i="9"/>
  <c r="N1319" i="9"/>
  <c r="N1318" i="9"/>
  <c r="N1317" i="9"/>
  <c r="N1316" i="9"/>
  <c r="N1315" i="9"/>
  <c r="N1314" i="9"/>
  <c r="N1313" i="9"/>
  <c r="N1312" i="9"/>
  <c r="N1311" i="9"/>
  <c r="N1310" i="9"/>
  <c r="N1309" i="9"/>
  <c r="N1308" i="9"/>
  <c r="N1307" i="9"/>
  <c r="N1306" i="9"/>
  <c r="N1305" i="9"/>
  <c r="N1304" i="9"/>
  <c r="N1303" i="9"/>
  <c r="N1302" i="9"/>
  <c r="N1301" i="9"/>
  <c r="N1300" i="9"/>
  <c r="N1299" i="9"/>
  <c r="N1298" i="9"/>
  <c r="N1297" i="9"/>
  <c r="N1296" i="9"/>
  <c r="N1295" i="9"/>
  <c r="N1294" i="9"/>
  <c r="N1293" i="9"/>
  <c r="N1292" i="9"/>
  <c r="N1291" i="9"/>
  <c r="N1290" i="9"/>
  <c r="N1289" i="9"/>
  <c r="N1288" i="9"/>
  <c r="N1287" i="9"/>
  <c r="N1286" i="9"/>
  <c r="N1285" i="9"/>
  <c r="N1284" i="9"/>
  <c r="N1283" i="9"/>
  <c r="N1282" i="9"/>
  <c r="N1281" i="9"/>
  <c r="N1280" i="9"/>
  <c r="N1279" i="9"/>
  <c r="N1278" i="9"/>
  <c r="N1277" i="9"/>
  <c r="N1276" i="9"/>
  <c r="N1275" i="9"/>
  <c r="N1274" i="9"/>
  <c r="N1273" i="9"/>
  <c r="N1272" i="9"/>
  <c r="N1271" i="9"/>
  <c r="N1270" i="9"/>
  <c r="N1269" i="9"/>
  <c r="N1268" i="9"/>
  <c r="N1267" i="9"/>
  <c r="N1266" i="9"/>
  <c r="N1265" i="9"/>
  <c r="N1264" i="9"/>
  <c r="N1263" i="9"/>
  <c r="N1262" i="9"/>
  <c r="N1261" i="9"/>
  <c r="N1260" i="9"/>
  <c r="N1259" i="9"/>
  <c r="N1258" i="9"/>
  <c r="N1257" i="9"/>
  <c r="N1256" i="9"/>
  <c r="N1255" i="9"/>
  <c r="N1254" i="9"/>
  <c r="N1253" i="9"/>
  <c r="N1252" i="9"/>
  <c r="N1251" i="9"/>
  <c r="N1250" i="9"/>
  <c r="N1249" i="9"/>
  <c r="N1248" i="9"/>
  <c r="N1247" i="9"/>
  <c r="N1246" i="9"/>
  <c r="N1245" i="9"/>
  <c r="N1244" i="9"/>
  <c r="N1243" i="9"/>
  <c r="N1242" i="9"/>
  <c r="N1241" i="9"/>
  <c r="N1240" i="9"/>
  <c r="N1239" i="9"/>
  <c r="N1238" i="9"/>
  <c r="N1237" i="9"/>
  <c r="N1236" i="9"/>
  <c r="N1235" i="9"/>
  <c r="N1234" i="9"/>
  <c r="N1233" i="9"/>
  <c r="N1232" i="9"/>
  <c r="N1231" i="9"/>
  <c r="N1230" i="9"/>
  <c r="N1229" i="9"/>
  <c r="N1228" i="9"/>
  <c r="N1227" i="9"/>
  <c r="N1226" i="9"/>
  <c r="N1225" i="9"/>
  <c r="N1224" i="9"/>
  <c r="N1223" i="9"/>
  <c r="N1222" i="9"/>
  <c r="N1221" i="9"/>
  <c r="N1220" i="9"/>
  <c r="N1219" i="9"/>
  <c r="N1218" i="9"/>
  <c r="N1217" i="9"/>
  <c r="N1216" i="9"/>
  <c r="N1215" i="9"/>
  <c r="N1214" i="9"/>
  <c r="N1213" i="9"/>
  <c r="N1212" i="9"/>
  <c r="N1211" i="9"/>
  <c r="N1210" i="9"/>
  <c r="N1209" i="9"/>
  <c r="N1208" i="9"/>
  <c r="N1207" i="9"/>
  <c r="N1206" i="9"/>
  <c r="N1205" i="9"/>
  <c r="N1204" i="9"/>
  <c r="N1203" i="9"/>
  <c r="N1202" i="9"/>
  <c r="N1201" i="9"/>
  <c r="N1200" i="9"/>
  <c r="N1199" i="9"/>
  <c r="N1198" i="9"/>
  <c r="N1197" i="9"/>
  <c r="N1196" i="9"/>
  <c r="N1195" i="9"/>
  <c r="N1194" i="9"/>
  <c r="N1193" i="9"/>
  <c r="N1192" i="9"/>
  <c r="N1191" i="9"/>
  <c r="N1190" i="9"/>
  <c r="N1189" i="9"/>
  <c r="N1188" i="9"/>
  <c r="N1187" i="9"/>
  <c r="N1186" i="9"/>
  <c r="N1185" i="9"/>
  <c r="N1184" i="9"/>
  <c r="N1183" i="9"/>
  <c r="N1182" i="9"/>
  <c r="N1181" i="9"/>
  <c r="N1180" i="9"/>
  <c r="N1179" i="9"/>
  <c r="N1178" i="9"/>
  <c r="N1177" i="9"/>
  <c r="N1176" i="9"/>
  <c r="N1175" i="9"/>
  <c r="N1174" i="9"/>
  <c r="N1173" i="9"/>
  <c r="N1172" i="9"/>
  <c r="N1171" i="9"/>
  <c r="N1170" i="9"/>
  <c r="N1169" i="9"/>
  <c r="N1168" i="9"/>
  <c r="N1167" i="9"/>
  <c r="N1166" i="9"/>
  <c r="N1165" i="9"/>
  <c r="N1164" i="9"/>
  <c r="N1163" i="9"/>
  <c r="N1162" i="9"/>
  <c r="N1161" i="9"/>
  <c r="N1160" i="9"/>
  <c r="N1159" i="9"/>
  <c r="N1158" i="9"/>
  <c r="N1157" i="9"/>
  <c r="N1156" i="9"/>
  <c r="N1155" i="9"/>
  <c r="N1154" i="9"/>
  <c r="N1153" i="9"/>
  <c r="N1152" i="9"/>
  <c r="N1151" i="9"/>
  <c r="N1150" i="9"/>
  <c r="N1149" i="9"/>
  <c r="N1148" i="9"/>
  <c r="N1147" i="9"/>
  <c r="N1146" i="9"/>
  <c r="N1145" i="9"/>
  <c r="N1144" i="9"/>
  <c r="N1143" i="9"/>
  <c r="N1142" i="9"/>
  <c r="N1141" i="9"/>
  <c r="N1140" i="9"/>
  <c r="N1139" i="9"/>
  <c r="N1138" i="9"/>
  <c r="N1137" i="9"/>
  <c r="N1136" i="9"/>
  <c r="N1135" i="9"/>
  <c r="N1134" i="9"/>
  <c r="N1133" i="9"/>
  <c r="N1132" i="9"/>
  <c r="N1131" i="9"/>
  <c r="N1130" i="9"/>
  <c r="N1129" i="9"/>
  <c r="N1128" i="9"/>
  <c r="N1127" i="9"/>
  <c r="N1126" i="9"/>
  <c r="N1125" i="9"/>
  <c r="N1124" i="9"/>
  <c r="N1123" i="9"/>
  <c r="N1122" i="9"/>
  <c r="N1121" i="9"/>
  <c r="N1120" i="9"/>
  <c r="N1119" i="9"/>
  <c r="N1118" i="9"/>
  <c r="N1117" i="9"/>
  <c r="N1116" i="9"/>
  <c r="N1115" i="9"/>
  <c r="N1114" i="9"/>
  <c r="N1113" i="9"/>
  <c r="N1112" i="9"/>
  <c r="N1111" i="9"/>
  <c r="N1110" i="9"/>
  <c r="N1109" i="9"/>
  <c r="N1108" i="9"/>
  <c r="N1107" i="9"/>
  <c r="N1106" i="9"/>
  <c r="N1105" i="9"/>
  <c r="N1104" i="9"/>
  <c r="N1103" i="9"/>
  <c r="N1102" i="9"/>
  <c r="N1101" i="9"/>
  <c r="N1100" i="9"/>
  <c r="N1099" i="9"/>
  <c r="N1098" i="9"/>
  <c r="N1097" i="9"/>
  <c r="N1096" i="9"/>
  <c r="N1095" i="9"/>
  <c r="N1094" i="9"/>
  <c r="N1093" i="9"/>
  <c r="N1092" i="9"/>
  <c r="N1091" i="9"/>
  <c r="N1090" i="9"/>
  <c r="N1089" i="9"/>
  <c r="N1088" i="9"/>
  <c r="N1087" i="9"/>
  <c r="N1086" i="9"/>
  <c r="N1085" i="9"/>
  <c r="N1084" i="9"/>
  <c r="N1083" i="9"/>
  <c r="N1082" i="9"/>
  <c r="N1081" i="9"/>
  <c r="N1080" i="9"/>
  <c r="N1079" i="9"/>
  <c r="N1078" i="9"/>
  <c r="N1077" i="9"/>
  <c r="N1076" i="9"/>
  <c r="N1075" i="9"/>
  <c r="N1074" i="9"/>
  <c r="N1073" i="9"/>
  <c r="N1072" i="9"/>
  <c r="N1071" i="9"/>
  <c r="N1070" i="9"/>
  <c r="N1069" i="9"/>
  <c r="N1068" i="9"/>
  <c r="N1067" i="9"/>
  <c r="N1066" i="9"/>
  <c r="N1065" i="9"/>
  <c r="N1064" i="9"/>
  <c r="N1063" i="9"/>
  <c r="N1062" i="9"/>
  <c r="N1061" i="9"/>
  <c r="N1060" i="9"/>
  <c r="N1059" i="9"/>
  <c r="N1058" i="9"/>
  <c r="N1057" i="9"/>
  <c r="N1056" i="9"/>
  <c r="N1055" i="9"/>
  <c r="N1054" i="9"/>
  <c r="N1053" i="9"/>
  <c r="N1052" i="9"/>
  <c r="N1051" i="9"/>
  <c r="N1050" i="9"/>
  <c r="N1049" i="9"/>
  <c r="N1048" i="9"/>
  <c r="N1047" i="9"/>
  <c r="N1046" i="9"/>
  <c r="N1045" i="9"/>
  <c r="N1044" i="9"/>
  <c r="N1043" i="9"/>
  <c r="N1042" i="9"/>
  <c r="N1041" i="9"/>
  <c r="N1040" i="9"/>
  <c r="N1039" i="9"/>
  <c r="N1038" i="9"/>
  <c r="N1037" i="9"/>
  <c r="N1036" i="9"/>
  <c r="N1035" i="9"/>
  <c r="N1034" i="9"/>
  <c r="N1033" i="9"/>
  <c r="N1032" i="9"/>
  <c r="N1031" i="9"/>
  <c r="N1030" i="9"/>
  <c r="N1029" i="9"/>
  <c r="N1028" i="9"/>
  <c r="N1027" i="9"/>
  <c r="N1026" i="9"/>
  <c r="N1025" i="9"/>
  <c r="N1024" i="9"/>
  <c r="N1023" i="9"/>
  <c r="N1022" i="9"/>
  <c r="N1021" i="9"/>
  <c r="N1020" i="9"/>
  <c r="N1019" i="9"/>
  <c r="N1018" i="9"/>
  <c r="N1017" i="9"/>
  <c r="N1016" i="9"/>
  <c r="N1015" i="9"/>
  <c r="N1014" i="9"/>
  <c r="N1013" i="9"/>
  <c r="N1012" i="9"/>
  <c r="N1011" i="9"/>
  <c r="N1010" i="9"/>
  <c r="N1009" i="9"/>
  <c r="N1008" i="9"/>
  <c r="N1007" i="9"/>
  <c r="N1006" i="9"/>
  <c r="N1005" i="9"/>
  <c r="N1004" i="9"/>
  <c r="N1003" i="9"/>
  <c r="N1002" i="9"/>
  <c r="N1001" i="9"/>
  <c r="N1000" i="9"/>
  <c r="N999" i="9"/>
  <c r="N998" i="9"/>
  <c r="N997" i="9"/>
  <c r="N996" i="9"/>
  <c r="N995" i="9"/>
  <c r="N994" i="9"/>
  <c r="N993" i="9"/>
  <c r="N992" i="9"/>
  <c r="N991" i="9"/>
  <c r="N990" i="9"/>
  <c r="N989" i="9"/>
  <c r="N988" i="9"/>
  <c r="N987" i="9"/>
  <c r="N986" i="9"/>
  <c r="N985" i="9"/>
  <c r="N984" i="9"/>
  <c r="N983" i="9"/>
  <c r="N982" i="9"/>
  <c r="N981" i="9"/>
  <c r="N980" i="9"/>
  <c r="N979" i="9"/>
  <c r="N978" i="9"/>
  <c r="N977" i="9"/>
  <c r="N976" i="9"/>
  <c r="N975" i="9"/>
  <c r="N974" i="9"/>
  <c r="N973" i="9"/>
  <c r="N972" i="9"/>
  <c r="N971" i="9"/>
  <c r="N970" i="9"/>
  <c r="N969" i="9"/>
  <c r="N968" i="9"/>
  <c r="N967" i="9"/>
  <c r="N966" i="9"/>
  <c r="N965" i="9"/>
  <c r="N964" i="9"/>
  <c r="N963" i="9"/>
  <c r="N962" i="9"/>
  <c r="N961" i="9"/>
  <c r="N960" i="9"/>
  <c r="N959" i="9"/>
  <c r="N958" i="9"/>
  <c r="N957" i="9"/>
  <c r="N956" i="9"/>
  <c r="N955" i="9"/>
  <c r="N954" i="9"/>
  <c r="N953" i="9"/>
  <c r="N952" i="9"/>
  <c r="N951" i="9"/>
  <c r="N950" i="9"/>
  <c r="N949" i="9"/>
  <c r="N948" i="9"/>
  <c r="N947" i="9"/>
  <c r="N946" i="9"/>
  <c r="N945" i="9"/>
  <c r="N944" i="9"/>
  <c r="N943" i="9"/>
  <c r="N942" i="9"/>
  <c r="N941" i="9"/>
  <c r="N940" i="9"/>
  <c r="N939" i="9"/>
  <c r="N938" i="9"/>
  <c r="N937" i="9"/>
  <c r="N936" i="9"/>
  <c r="N935" i="9"/>
  <c r="N934" i="9"/>
  <c r="N933" i="9"/>
  <c r="N932" i="9"/>
  <c r="N931" i="9"/>
  <c r="N930" i="9"/>
  <c r="N929" i="9"/>
  <c r="N928" i="9"/>
  <c r="N927" i="9"/>
  <c r="N926" i="9"/>
  <c r="N925" i="9"/>
  <c r="N924" i="9"/>
  <c r="N923" i="9"/>
  <c r="N922" i="9"/>
  <c r="N921" i="9"/>
  <c r="N920" i="9"/>
  <c r="N919" i="9"/>
  <c r="N918" i="9"/>
  <c r="N917" i="9"/>
  <c r="N916" i="9"/>
  <c r="N915" i="9"/>
  <c r="N914" i="9"/>
  <c r="N913" i="9"/>
  <c r="N912" i="9"/>
  <c r="N911" i="9"/>
  <c r="N910" i="9"/>
  <c r="N909" i="9"/>
  <c r="N908" i="9"/>
  <c r="N907" i="9"/>
  <c r="N906" i="9"/>
  <c r="N905" i="9"/>
  <c r="N904" i="9"/>
  <c r="N903" i="9"/>
  <c r="N902" i="9"/>
  <c r="N901" i="9"/>
  <c r="N900" i="9"/>
  <c r="N899" i="9"/>
  <c r="N898" i="9"/>
  <c r="N897" i="9"/>
  <c r="N896" i="9"/>
  <c r="N895" i="9"/>
  <c r="N894" i="9"/>
  <c r="N893" i="9"/>
  <c r="N892" i="9"/>
  <c r="N891" i="9"/>
  <c r="N890" i="9"/>
  <c r="N889" i="9"/>
  <c r="N888" i="9"/>
  <c r="N887" i="9"/>
  <c r="N886" i="9"/>
  <c r="N885" i="9"/>
  <c r="N884" i="9"/>
  <c r="N883" i="9"/>
  <c r="N882" i="9"/>
  <c r="N881" i="9"/>
  <c r="N880" i="9"/>
  <c r="N879" i="9"/>
  <c r="N878" i="9"/>
  <c r="N877" i="9"/>
  <c r="N876" i="9"/>
  <c r="N875" i="9"/>
  <c r="N874" i="9"/>
  <c r="N873" i="9"/>
  <c r="N872" i="9"/>
  <c r="N871" i="9"/>
  <c r="N870" i="9"/>
  <c r="N869" i="9"/>
  <c r="N868" i="9"/>
  <c r="N867" i="9"/>
  <c r="N866" i="9"/>
  <c r="N865" i="9"/>
  <c r="N864" i="9"/>
  <c r="N863" i="9"/>
  <c r="N862" i="9"/>
  <c r="N861" i="9"/>
  <c r="N860" i="9"/>
  <c r="N859" i="9"/>
  <c r="N858" i="9"/>
  <c r="N857" i="9"/>
  <c r="N856" i="9"/>
  <c r="N855" i="9"/>
  <c r="N854" i="9"/>
  <c r="N853" i="9"/>
  <c r="N852" i="9"/>
  <c r="N851" i="9"/>
  <c r="N850" i="9"/>
  <c r="N849" i="9"/>
  <c r="N848" i="9"/>
  <c r="N847" i="9"/>
  <c r="N846" i="9"/>
  <c r="N845" i="9"/>
  <c r="N844" i="9"/>
  <c r="N843" i="9"/>
  <c r="N842" i="9"/>
  <c r="N841" i="9"/>
  <c r="N840" i="9"/>
  <c r="N839" i="9"/>
  <c r="N838" i="9"/>
  <c r="N837" i="9"/>
  <c r="N836" i="9"/>
  <c r="N835" i="9"/>
  <c r="N834" i="9"/>
  <c r="N833" i="9"/>
  <c r="N832" i="9"/>
  <c r="N831" i="9"/>
  <c r="N830" i="9"/>
  <c r="N829" i="9"/>
  <c r="N828" i="9"/>
  <c r="N827" i="9"/>
  <c r="N826" i="9"/>
  <c r="N825" i="9"/>
  <c r="N824" i="9"/>
  <c r="N823" i="9"/>
  <c r="N822" i="9"/>
  <c r="N821" i="9"/>
  <c r="N820" i="9"/>
  <c r="N819" i="9"/>
  <c r="N818" i="9"/>
  <c r="N817" i="9"/>
  <c r="N816" i="9"/>
  <c r="N815" i="9"/>
  <c r="N814" i="9"/>
  <c r="N813" i="9"/>
  <c r="N812" i="9"/>
  <c r="N811" i="9"/>
  <c r="N810" i="9"/>
  <c r="N809" i="9"/>
  <c r="N808" i="9"/>
  <c r="N807" i="9"/>
  <c r="N806" i="9"/>
  <c r="N805" i="9"/>
  <c r="N804" i="9"/>
  <c r="N803" i="9"/>
  <c r="N802" i="9"/>
  <c r="N801" i="9"/>
  <c r="N800" i="9"/>
  <c r="N799" i="9"/>
  <c r="N798" i="9"/>
  <c r="N797" i="9"/>
  <c r="N796" i="9"/>
  <c r="N795" i="9"/>
  <c r="N794" i="9"/>
  <c r="N793" i="9"/>
  <c r="N792" i="9"/>
  <c r="N791" i="9"/>
  <c r="N790" i="9"/>
  <c r="N789" i="9"/>
  <c r="N788" i="9"/>
  <c r="N787" i="9"/>
  <c r="N786" i="9"/>
  <c r="N785" i="9"/>
  <c r="N784" i="9"/>
  <c r="N783" i="9"/>
  <c r="N782" i="9"/>
  <c r="N781" i="9"/>
  <c r="N780" i="9"/>
  <c r="N779" i="9"/>
  <c r="N778" i="9"/>
  <c r="N777" i="9"/>
  <c r="N776" i="9"/>
  <c r="N775" i="9"/>
  <c r="N774" i="9"/>
  <c r="N773" i="9"/>
  <c r="N772" i="9"/>
  <c r="N771" i="9"/>
  <c r="N770" i="9"/>
  <c r="N769" i="9"/>
  <c r="N768" i="9"/>
  <c r="N767" i="9"/>
  <c r="N766" i="9"/>
  <c r="N765" i="9"/>
  <c r="N764" i="9"/>
  <c r="N763" i="9"/>
  <c r="N762" i="9"/>
  <c r="N761" i="9"/>
  <c r="N760" i="9"/>
  <c r="N759" i="9"/>
  <c r="N758" i="9"/>
  <c r="N757" i="9"/>
  <c r="N756" i="9"/>
  <c r="N755" i="9"/>
  <c r="N754" i="9"/>
  <c r="N753" i="9"/>
  <c r="N752" i="9"/>
  <c r="N751" i="9"/>
  <c r="N750" i="9"/>
  <c r="N749" i="9"/>
  <c r="N748" i="9"/>
  <c r="N747" i="9"/>
  <c r="N746" i="9"/>
  <c r="N745" i="9"/>
  <c r="N744" i="9"/>
  <c r="N743" i="9"/>
  <c r="N742" i="9"/>
  <c r="N741" i="9"/>
  <c r="N740" i="9"/>
  <c r="N739" i="9"/>
  <c r="N738" i="9"/>
  <c r="N737" i="9"/>
  <c r="N736" i="9"/>
  <c r="N735" i="9"/>
  <c r="N734" i="9"/>
  <c r="N733" i="9"/>
  <c r="N732" i="9"/>
  <c r="N731" i="9"/>
  <c r="N730" i="9"/>
  <c r="N729" i="9"/>
  <c r="N728" i="9"/>
  <c r="N727" i="9"/>
  <c r="N726" i="9"/>
  <c r="N725" i="9"/>
  <c r="N724" i="9"/>
  <c r="N723" i="9"/>
  <c r="N722" i="9"/>
  <c r="N721" i="9"/>
  <c r="N720" i="9"/>
  <c r="N719" i="9"/>
  <c r="N718" i="9"/>
  <c r="N717" i="9"/>
  <c r="N716" i="9"/>
  <c r="N715" i="9"/>
  <c r="N714" i="9"/>
  <c r="N713" i="9"/>
  <c r="N712" i="9"/>
  <c r="N711" i="9"/>
  <c r="N710" i="9"/>
  <c r="N709" i="9"/>
  <c r="N708" i="9"/>
  <c r="N707" i="9"/>
  <c r="N706" i="9"/>
  <c r="N705" i="9"/>
  <c r="N704" i="9"/>
  <c r="N703" i="9"/>
  <c r="N702" i="9"/>
  <c r="N701" i="9"/>
  <c r="N700" i="9"/>
  <c r="N699" i="9"/>
  <c r="N698" i="9"/>
  <c r="N697" i="9"/>
  <c r="N696" i="9"/>
  <c r="N695" i="9"/>
  <c r="N694" i="9"/>
  <c r="N693" i="9"/>
  <c r="N692" i="9"/>
  <c r="N691" i="9"/>
  <c r="N690" i="9"/>
  <c r="N689" i="9"/>
  <c r="N688" i="9"/>
  <c r="N687" i="9"/>
  <c r="N686" i="9"/>
  <c r="N685" i="9"/>
  <c r="N684" i="9"/>
  <c r="N683" i="9"/>
  <c r="N682" i="9"/>
  <c r="N681" i="9"/>
  <c r="N680" i="9"/>
  <c r="N679" i="9"/>
  <c r="N678" i="9"/>
  <c r="N677" i="9"/>
  <c r="N676" i="9"/>
  <c r="N675" i="9"/>
  <c r="N674" i="9"/>
  <c r="N673" i="9"/>
  <c r="N672" i="9"/>
  <c r="N671" i="9"/>
  <c r="N670" i="9"/>
  <c r="N669" i="9"/>
  <c r="N668" i="9"/>
  <c r="N667" i="9"/>
  <c r="N666" i="9"/>
  <c r="N665" i="9"/>
  <c r="N664" i="9"/>
  <c r="N663" i="9"/>
  <c r="N662" i="9"/>
  <c r="N661" i="9"/>
  <c r="N660" i="9"/>
  <c r="N659" i="9"/>
  <c r="N658" i="9"/>
  <c r="N657" i="9"/>
  <c r="N656" i="9"/>
  <c r="N655" i="9"/>
  <c r="N654" i="9"/>
  <c r="N653" i="9"/>
  <c r="N652" i="9"/>
  <c r="N651" i="9"/>
  <c r="N650" i="9"/>
  <c r="N649" i="9"/>
  <c r="N648" i="9"/>
  <c r="N647" i="9"/>
  <c r="N646" i="9"/>
  <c r="N645" i="9"/>
  <c r="N644" i="9"/>
  <c r="N643" i="9"/>
  <c r="N642" i="9"/>
  <c r="N641" i="9"/>
  <c r="N640" i="9"/>
  <c r="N639" i="9"/>
  <c r="N638" i="9"/>
  <c r="N637" i="9"/>
  <c r="N636" i="9"/>
  <c r="N635" i="9"/>
  <c r="N634" i="9"/>
  <c r="N633" i="9"/>
  <c r="N632" i="9"/>
  <c r="N631" i="9"/>
  <c r="N630" i="9"/>
  <c r="N629" i="9"/>
  <c r="N628" i="9"/>
  <c r="N627" i="9"/>
  <c r="N626" i="9"/>
  <c r="N625" i="9"/>
  <c r="N624" i="9"/>
  <c r="N623" i="9"/>
  <c r="N622" i="9"/>
  <c r="N621" i="9"/>
  <c r="N620" i="9"/>
  <c r="N619" i="9"/>
  <c r="N618" i="9"/>
  <c r="N617" i="9"/>
  <c r="N616" i="9"/>
  <c r="N615" i="9"/>
  <c r="N614" i="9"/>
  <c r="N613" i="9"/>
  <c r="N612" i="9"/>
  <c r="N611" i="9"/>
  <c r="N610" i="9"/>
  <c r="N609" i="9"/>
  <c r="N608" i="9"/>
  <c r="N607" i="9"/>
  <c r="N606" i="9"/>
  <c r="N605" i="9"/>
  <c r="N604" i="9"/>
  <c r="N603" i="9"/>
  <c r="N602" i="9"/>
  <c r="N601" i="9"/>
  <c r="N600" i="9"/>
  <c r="N599" i="9"/>
  <c r="N598" i="9"/>
  <c r="N597" i="9"/>
  <c r="N596" i="9"/>
  <c r="N595" i="9"/>
  <c r="N594" i="9"/>
  <c r="N593" i="9"/>
  <c r="N592" i="9"/>
  <c r="N591" i="9"/>
  <c r="N590" i="9"/>
  <c r="N589" i="9"/>
  <c r="N588" i="9"/>
  <c r="N587" i="9"/>
  <c r="N586" i="9"/>
  <c r="N585" i="9"/>
  <c r="N584" i="9"/>
  <c r="N583" i="9"/>
  <c r="N582" i="9"/>
  <c r="N581" i="9"/>
  <c r="N580" i="9"/>
  <c r="N579" i="9"/>
  <c r="N578" i="9"/>
  <c r="N577" i="9"/>
  <c r="N576" i="9"/>
  <c r="N575" i="9"/>
  <c r="N574" i="9"/>
  <c r="N573" i="9"/>
  <c r="N572" i="9"/>
  <c r="N571" i="9"/>
  <c r="N570" i="9"/>
  <c r="N569" i="9"/>
  <c r="N568" i="9"/>
  <c r="N567" i="9"/>
  <c r="N566" i="9"/>
  <c r="N565" i="9"/>
  <c r="N564" i="9"/>
  <c r="N563" i="9"/>
  <c r="N562" i="9"/>
  <c r="N561" i="9"/>
  <c r="N560" i="9"/>
  <c r="N559" i="9"/>
  <c r="N558" i="9"/>
  <c r="N557" i="9"/>
  <c r="N556" i="9"/>
  <c r="N555" i="9"/>
  <c r="N554" i="9"/>
  <c r="N553" i="9"/>
  <c r="N552" i="9"/>
  <c r="N551" i="9"/>
  <c r="N550" i="9"/>
  <c r="N549" i="9"/>
  <c r="N548" i="9"/>
  <c r="N547" i="9"/>
  <c r="N546" i="9"/>
  <c r="N545" i="9"/>
  <c r="N544" i="9"/>
  <c r="N543" i="9"/>
  <c r="N542" i="9"/>
  <c r="N541" i="9"/>
  <c r="N540" i="9"/>
  <c r="N539" i="9"/>
  <c r="N538" i="9"/>
  <c r="N537" i="9"/>
  <c r="N536" i="9"/>
  <c r="N535" i="9"/>
  <c r="N534" i="9"/>
  <c r="N533" i="9"/>
  <c r="N532" i="9"/>
  <c r="N531" i="9"/>
  <c r="N530" i="9"/>
  <c r="N529" i="9"/>
  <c r="N528" i="9"/>
  <c r="N527" i="9"/>
  <c r="N526" i="9"/>
  <c r="N525" i="9"/>
  <c r="N524" i="9"/>
  <c r="N523" i="9"/>
  <c r="N522" i="9"/>
  <c r="N521" i="9"/>
  <c r="N520" i="9"/>
  <c r="N519" i="9"/>
  <c r="N518" i="9"/>
  <c r="N517" i="9"/>
  <c r="N516" i="9"/>
  <c r="N515" i="9"/>
  <c r="N514" i="9"/>
  <c r="N513" i="9"/>
  <c r="N512" i="9"/>
  <c r="N511" i="9"/>
  <c r="N510" i="9"/>
  <c r="N509" i="9"/>
  <c r="N508" i="9"/>
  <c r="N507" i="9"/>
  <c r="N506" i="9"/>
  <c r="N505" i="9"/>
  <c r="N504" i="9"/>
  <c r="N503" i="9"/>
  <c r="N502" i="9"/>
  <c r="N501" i="9"/>
  <c r="N500" i="9"/>
  <c r="N499" i="9"/>
  <c r="N498" i="9"/>
  <c r="N497" i="9"/>
  <c r="N496" i="9"/>
  <c r="N495" i="9"/>
  <c r="N494" i="9"/>
  <c r="N493" i="9"/>
  <c r="N492" i="9"/>
  <c r="N491" i="9"/>
  <c r="N490" i="9"/>
  <c r="N489" i="9"/>
  <c r="N488" i="9"/>
  <c r="N487" i="9"/>
  <c r="N486" i="9"/>
  <c r="N485" i="9"/>
  <c r="N484" i="9"/>
  <c r="N483" i="9"/>
  <c r="N482" i="9"/>
  <c r="N481" i="9"/>
  <c r="N480" i="9"/>
  <c r="N479" i="9"/>
  <c r="N478" i="9"/>
  <c r="N477" i="9"/>
  <c r="N476" i="9"/>
  <c r="N475" i="9"/>
  <c r="N474" i="9"/>
  <c r="N473" i="9"/>
  <c r="N472" i="9"/>
  <c r="N471" i="9"/>
  <c r="N470" i="9"/>
  <c r="N469" i="9"/>
  <c r="N468" i="9"/>
  <c r="N467" i="9"/>
  <c r="N466" i="9"/>
  <c r="N465" i="9"/>
  <c r="N464" i="9"/>
  <c r="N463" i="9"/>
  <c r="N462" i="9"/>
  <c r="N461" i="9"/>
  <c r="N460" i="9"/>
  <c r="N459" i="9"/>
  <c r="N458" i="9"/>
  <c r="N457" i="9"/>
  <c r="N456" i="9"/>
  <c r="N455" i="9"/>
  <c r="N454" i="9"/>
  <c r="N453" i="9"/>
  <c r="N452" i="9"/>
  <c r="N451" i="9"/>
  <c r="N450" i="9"/>
  <c r="N449" i="9"/>
  <c r="N448" i="9"/>
  <c r="N447" i="9"/>
  <c r="N446" i="9"/>
  <c r="N445" i="9"/>
  <c r="N444" i="9"/>
  <c r="N443" i="9"/>
  <c r="N442" i="9"/>
  <c r="N441" i="9"/>
  <c r="N440" i="9"/>
  <c r="N439" i="9"/>
  <c r="N438" i="9"/>
  <c r="N437" i="9"/>
  <c r="N436" i="9"/>
  <c r="N435" i="9"/>
  <c r="N434" i="9"/>
  <c r="N433" i="9"/>
  <c r="N432" i="9"/>
  <c r="N431" i="9"/>
  <c r="N430" i="9"/>
  <c r="N429" i="9"/>
  <c r="N428" i="9"/>
  <c r="N427" i="9"/>
  <c r="N426" i="9"/>
  <c r="N425" i="9"/>
  <c r="N424" i="9"/>
  <c r="N423" i="9"/>
  <c r="N422" i="9"/>
  <c r="N421" i="9"/>
  <c r="N420" i="9"/>
  <c r="N419" i="9"/>
  <c r="N418" i="9"/>
  <c r="N417" i="9"/>
  <c r="N416" i="9"/>
  <c r="N415" i="9"/>
  <c r="N414" i="9"/>
  <c r="N413" i="9"/>
  <c r="N412" i="9"/>
  <c r="N411" i="9"/>
  <c r="N410" i="9"/>
  <c r="N409" i="9"/>
  <c r="N408" i="9"/>
  <c r="N407" i="9"/>
  <c r="N406" i="9"/>
  <c r="N405" i="9"/>
  <c r="N404" i="9"/>
  <c r="N403" i="9"/>
  <c r="N402" i="9"/>
  <c r="N401" i="9"/>
  <c r="N400" i="9"/>
  <c r="N399" i="9"/>
  <c r="N398" i="9"/>
  <c r="N397" i="9"/>
  <c r="N396" i="9"/>
  <c r="N395" i="9"/>
  <c r="N394" i="9"/>
  <c r="N393" i="9"/>
  <c r="N392" i="9"/>
  <c r="N391" i="9"/>
  <c r="N390" i="9"/>
  <c r="N389" i="9"/>
  <c r="N388" i="9"/>
  <c r="N387" i="9"/>
  <c r="N386" i="9"/>
  <c r="N385" i="9"/>
  <c r="N384" i="9"/>
  <c r="N383" i="9"/>
  <c r="N382" i="9"/>
  <c r="N381" i="9"/>
  <c r="N380" i="9"/>
  <c r="N379" i="9"/>
  <c r="N378" i="9"/>
  <c r="N377" i="9"/>
  <c r="N376" i="9"/>
  <c r="N375" i="9"/>
  <c r="N374" i="9"/>
  <c r="N373" i="9"/>
  <c r="N372" i="9"/>
  <c r="N371" i="9"/>
  <c r="N370" i="9"/>
  <c r="N369" i="9"/>
  <c r="N368" i="9"/>
  <c r="N367" i="9"/>
  <c r="N366" i="9"/>
  <c r="N365" i="9"/>
  <c r="N364" i="9"/>
  <c r="N363" i="9"/>
  <c r="N362" i="9"/>
  <c r="N361" i="9"/>
  <c r="N360" i="9"/>
  <c r="N359" i="9"/>
  <c r="N358" i="9"/>
  <c r="N357" i="9"/>
  <c r="N356" i="9"/>
  <c r="N355" i="9"/>
  <c r="N354" i="9"/>
  <c r="N353" i="9"/>
  <c r="N352" i="9"/>
  <c r="N351" i="9"/>
  <c r="N350" i="9"/>
  <c r="N349" i="9"/>
  <c r="N348" i="9"/>
  <c r="N347" i="9"/>
  <c r="N346" i="9"/>
  <c r="N345" i="9"/>
  <c r="N344" i="9"/>
  <c r="N343" i="9"/>
  <c r="N342" i="9"/>
  <c r="N341" i="9"/>
  <c r="N340" i="9"/>
  <c r="N339" i="9"/>
  <c r="N338" i="9"/>
  <c r="N337" i="9"/>
  <c r="N336" i="9"/>
  <c r="N335" i="9"/>
  <c r="N334" i="9"/>
  <c r="N333" i="9"/>
  <c r="N332" i="9"/>
  <c r="N331" i="9"/>
  <c r="N330" i="9"/>
  <c r="N329" i="9"/>
  <c r="N328" i="9"/>
  <c r="N327" i="9"/>
  <c r="N326" i="9"/>
  <c r="N325" i="9"/>
  <c r="N324" i="9"/>
  <c r="N323" i="9"/>
  <c r="N322" i="9"/>
  <c r="N321" i="9"/>
  <c r="N320" i="9"/>
  <c r="N319" i="9"/>
  <c r="N318" i="9"/>
  <c r="N317" i="9"/>
  <c r="N316" i="9"/>
  <c r="N315" i="9"/>
  <c r="N314" i="9"/>
  <c r="N313" i="9"/>
  <c r="N312" i="9"/>
  <c r="N311" i="9"/>
  <c r="N310" i="9"/>
  <c r="N309" i="9"/>
  <c r="N308" i="9"/>
  <c r="N307" i="9"/>
  <c r="N306" i="9"/>
  <c r="N305" i="9"/>
  <c r="N304" i="9"/>
  <c r="N303" i="9"/>
  <c r="N302" i="9"/>
  <c r="N301" i="9"/>
  <c r="N300" i="9"/>
  <c r="N299" i="9"/>
  <c r="N298" i="9"/>
  <c r="N297" i="9"/>
  <c r="N296" i="9"/>
  <c r="N295" i="9"/>
  <c r="N294" i="9"/>
  <c r="N293" i="9"/>
  <c r="N292" i="9"/>
  <c r="N291" i="9"/>
  <c r="N290" i="9"/>
  <c r="N289" i="9"/>
  <c r="N288" i="9"/>
  <c r="N287" i="9"/>
  <c r="N286" i="9"/>
  <c r="N285" i="9"/>
  <c r="N284" i="9"/>
  <c r="N283" i="9"/>
  <c r="N282" i="9"/>
  <c r="N281" i="9"/>
  <c r="N280" i="9"/>
  <c r="N279" i="9"/>
  <c r="N278" i="9"/>
  <c r="N277" i="9"/>
  <c r="N276" i="9"/>
  <c r="N275" i="9"/>
  <c r="N274" i="9"/>
  <c r="N273" i="9"/>
  <c r="N272" i="9"/>
  <c r="N271" i="9"/>
  <c r="N270" i="9"/>
  <c r="N269" i="9"/>
  <c r="N268" i="9"/>
  <c r="N267" i="9"/>
  <c r="N266" i="9"/>
  <c r="N265" i="9"/>
  <c r="N264" i="9"/>
  <c r="N263" i="9"/>
  <c r="N262" i="9"/>
  <c r="N261" i="9"/>
  <c r="N260" i="9"/>
  <c r="N259" i="9"/>
  <c r="N258" i="9"/>
  <c r="N257" i="9"/>
  <c r="N256" i="9"/>
  <c r="N255" i="9"/>
  <c r="N254" i="9"/>
  <c r="N253" i="9"/>
  <c r="N252" i="9"/>
  <c r="N251" i="9"/>
  <c r="N250" i="9"/>
  <c r="N249" i="9"/>
  <c r="N248" i="9"/>
  <c r="N247" i="9"/>
  <c r="N246" i="9"/>
  <c r="N245" i="9"/>
  <c r="N244" i="9"/>
  <c r="N243" i="9"/>
  <c r="N242" i="9"/>
  <c r="N241" i="9"/>
  <c r="N240" i="9"/>
  <c r="N239" i="9"/>
  <c r="N238" i="9"/>
  <c r="N237" i="9"/>
  <c r="N236" i="9"/>
  <c r="N235" i="9"/>
  <c r="N234" i="9"/>
  <c r="N233" i="9"/>
  <c r="N232" i="9"/>
  <c r="N231" i="9"/>
  <c r="N230" i="9"/>
  <c r="N229" i="9"/>
  <c r="N228" i="9"/>
  <c r="N227" i="9"/>
  <c r="N226" i="9"/>
  <c r="N225" i="9"/>
  <c r="N224" i="9"/>
  <c r="N223" i="9"/>
  <c r="N222" i="9"/>
  <c r="N221" i="9"/>
  <c r="N220" i="9"/>
  <c r="N219" i="9"/>
  <c r="N218" i="9"/>
  <c r="N217" i="9"/>
  <c r="N216" i="9"/>
  <c r="N215" i="9"/>
  <c r="N214" i="9"/>
  <c r="N213" i="9"/>
  <c r="N212" i="9"/>
  <c r="N211" i="9"/>
  <c r="N210" i="9"/>
  <c r="N209" i="9"/>
  <c r="N208" i="9"/>
  <c r="N207" i="9"/>
  <c r="N206" i="9"/>
  <c r="N205" i="9"/>
  <c r="N204" i="9"/>
  <c r="N203" i="9"/>
  <c r="N202" i="9"/>
  <c r="N201" i="9"/>
  <c r="N200" i="9"/>
  <c r="N199" i="9"/>
  <c r="N198" i="9"/>
  <c r="N197" i="9"/>
  <c r="N196" i="9"/>
  <c r="N195" i="9"/>
  <c r="N194" i="9"/>
  <c r="N193" i="9"/>
  <c r="N192" i="9"/>
  <c r="N191" i="9"/>
  <c r="N190" i="9"/>
  <c r="N189" i="9"/>
  <c r="N188" i="9"/>
  <c r="N187" i="9"/>
  <c r="N186" i="9"/>
  <c r="N185" i="9"/>
  <c r="N184" i="9"/>
  <c r="N183" i="9"/>
  <c r="N182" i="9"/>
  <c r="N181" i="9"/>
  <c r="N180" i="9"/>
  <c r="N179" i="9"/>
  <c r="N178" i="9"/>
  <c r="N177" i="9"/>
  <c r="N176" i="9"/>
  <c r="N175" i="9"/>
  <c r="N174" i="9"/>
  <c r="N173" i="9"/>
  <c r="N172" i="9"/>
  <c r="N171" i="9"/>
  <c r="N170" i="9"/>
  <c r="N169" i="9"/>
  <c r="N168" i="9"/>
  <c r="N167" i="9"/>
  <c r="N166" i="9"/>
  <c r="N165" i="9"/>
  <c r="N164" i="9"/>
  <c r="N163" i="9"/>
  <c r="N162" i="9"/>
  <c r="N161" i="9"/>
  <c r="N160" i="9"/>
  <c r="N159" i="9"/>
  <c r="N158" i="9"/>
  <c r="N157" i="9"/>
  <c r="N156" i="9"/>
  <c r="N155" i="9"/>
  <c r="N154" i="9"/>
  <c r="N153" i="9"/>
  <c r="N152" i="9"/>
  <c r="N151" i="9"/>
  <c r="N150" i="9"/>
  <c r="N149" i="9"/>
  <c r="N148" i="9"/>
  <c r="N147" i="9"/>
  <c r="N146" i="9"/>
  <c r="N145" i="9"/>
  <c r="N144" i="9"/>
  <c r="N143" i="9"/>
  <c r="N142" i="9"/>
  <c r="N141" i="9"/>
  <c r="N140" i="9"/>
  <c r="N139" i="9"/>
  <c r="N138" i="9"/>
  <c r="N137" i="9"/>
  <c r="N136" i="9"/>
  <c r="N135" i="9"/>
  <c r="N134" i="9"/>
  <c r="O133" i="9"/>
  <c r="N133" i="9"/>
  <c r="N132" i="9"/>
  <c r="N131" i="9"/>
  <c r="N130" i="9"/>
  <c r="N129" i="9"/>
  <c r="N128" i="9"/>
  <c r="N127" i="9"/>
  <c r="N126" i="9"/>
  <c r="O125" i="9"/>
  <c r="N125" i="9"/>
  <c r="N124" i="9"/>
  <c r="N123" i="9"/>
  <c r="N122" i="9"/>
  <c r="N121" i="9"/>
  <c r="N120" i="9"/>
  <c r="N119" i="9"/>
  <c r="N118" i="9"/>
  <c r="N117" i="9"/>
  <c r="N116" i="9"/>
  <c r="N115" i="9"/>
  <c r="N114" i="9"/>
  <c r="O113" i="9"/>
  <c r="N113" i="9"/>
  <c r="N112" i="9"/>
  <c r="N111" i="9"/>
  <c r="N110" i="9"/>
  <c r="N109" i="9"/>
  <c r="N108" i="9"/>
  <c r="N107" i="9"/>
  <c r="N106" i="9"/>
  <c r="N105" i="9"/>
  <c r="N104" i="9"/>
  <c r="N103" i="9"/>
  <c r="N102" i="9"/>
  <c r="O101" i="9"/>
  <c r="N101" i="9"/>
  <c r="N100" i="9"/>
  <c r="N99" i="9"/>
  <c r="N98" i="9"/>
  <c r="N97" i="9"/>
  <c r="N96" i="9"/>
  <c r="N95" i="9"/>
  <c r="N94" i="9"/>
  <c r="O93" i="9"/>
  <c r="N93" i="9"/>
  <c r="N92" i="9"/>
  <c r="O91" i="9"/>
  <c r="N91" i="9"/>
  <c r="N90" i="9"/>
  <c r="N89" i="9"/>
  <c r="N88" i="9"/>
  <c r="O87" i="9"/>
  <c r="N87" i="9"/>
  <c r="N86" i="9"/>
  <c r="O85" i="9"/>
  <c r="N85" i="9"/>
  <c r="N84" i="9"/>
  <c r="O83" i="9"/>
  <c r="N83" i="9"/>
  <c r="N82" i="9"/>
  <c r="N81" i="9"/>
  <c r="N80" i="9"/>
  <c r="O79" i="9"/>
  <c r="N79" i="9"/>
  <c r="N78" i="9"/>
  <c r="O77" i="9"/>
  <c r="N77" i="9"/>
  <c r="N76" i="9"/>
  <c r="N75" i="9"/>
  <c r="N74" i="9"/>
  <c r="N73" i="9"/>
  <c r="N72" i="9"/>
  <c r="N71" i="9"/>
  <c r="N70" i="9"/>
  <c r="O69" i="9"/>
  <c r="N69" i="9"/>
  <c r="N68" i="9"/>
  <c r="N67" i="9"/>
  <c r="N66" i="9"/>
  <c r="N65" i="9"/>
  <c r="N64" i="9"/>
  <c r="N63" i="9"/>
  <c r="N62" i="9"/>
  <c r="O61" i="9"/>
  <c r="N61" i="9"/>
  <c r="N60" i="9"/>
  <c r="N59" i="9"/>
  <c r="N58" i="9"/>
  <c r="N57" i="9"/>
  <c r="N56" i="9"/>
  <c r="O55" i="9"/>
  <c r="N55" i="9"/>
  <c r="N54" i="9"/>
  <c r="O53" i="9"/>
  <c r="N53" i="9"/>
  <c r="N52" i="9"/>
  <c r="N51" i="9"/>
  <c r="N50" i="9"/>
  <c r="N49" i="9"/>
  <c r="N48" i="9"/>
  <c r="N47" i="9"/>
  <c r="N46" i="9"/>
  <c r="O45" i="9"/>
  <c r="N45" i="9"/>
  <c r="N44" i="9"/>
  <c r="O43" i="9"/>
  <c r="N43" i="9"/>
  <c r="N42" i="9"/>
  <c r="N41" i="9"/>
  <c r="N40" i="9"/>
  <c r="N39" i="9"/>
  <c r="N38" i="9"/>
  <c r="O37" i="9"/>
  <c r="N37" i="9"/>
  <c r="N36" i="9"/>
  <c r="N35" i="9"/>
  <c r="N34" i="9"/>
  <c r="N33" i="9"/>
  <c r="N32" i="9"/>
  <c r="N31" i="9"/>
  <c r="N30" i="9"/>
  <c r="O29" i="9"/>
  <c r="N29" i="9"/>
  <c r="N28" i="9"/>
  <c r="N27" i="9"/>
  <c r="N26" i="9"/>
  <c r="N25" i="9"/>
  <c r="N24" i="9"/>
  <c r="N23" i="9"/>
  <c r="N22" i="9"/>
  <c r="O21" i="9"/>
  <c r="N21" i="9"/>
  <c r="N20" i="9"/>
  <c r="O19" i="9"/>
  <c r="N19" i="9"/>
  <c r="N18" i="9"/>
  <c r="O17" i="9"/>
  <c r="N17" i="9"/>
  <c r="N16" i="9"/>
  <c r="O15" i="9"/>
  <c r="N15" i="9"/>
  <c r="N14" i="9"/>
  <c r="O13" i="9"/>
  <c r="N13" i="9"/>
  <c r="N12" i="9"/>
  <c r="N11" i="9"/>
  <c r="N10" i="9"/>
  <c r="N9" i="9"/>
  <c r="N8" i="9"/>
  <c r="O7" i="9"/>
  <c r="N7" i="9"/>
  <c r="N6" i="9"/>
  <c r="O5" i="9"/>
  <c r="N5" i="9"/>
  <c r="N4" i="9"/>
  <c r="O3" i="9"/>
  <c r="N3" i="9"/>
  <c r="N2" i="9"/>
  <c r="H14" i="7"/>
  <c r="H13" i="7"/>
  <c r="H12" i="7"/>
  <c r="H11" i="7"/>
  <c r="O97" i="9" s="1"/>
  <c r="H10" i="7"/>
  <c r="H9" i="7"/>
  <c r="H8" i="7"/>
  <c r="H7" i="7"/>
  <c r="O65" i="9" s="1"/>
  <c r="H6" i="7"/>
  <c r="H5" i="7"/>
  <c r="H4" i="7"/>
  <c r="H3" i="7"/>
  <c r="H2" i="7"/>
  <c r="J3810" i="9"/>
  <c r="L3810" i="9" s="1"/>
  <c r="J3809" i="9"/>
  <c r="J3808" i="9"/>
  <c r="L3808" i="9" s="1"/>
  <c r="J3807" i="9"/>
  <c r="K3807" i="9" s="1"/>
  <c r="J3806" i="9"/>
  <c r="L3806" i="9" s="1"/>
  <c r="J3805" i="9"/>
  <c r="K3805" i="9" s="1"/>
  <c r="J3804" i="9"/>
  <c r="J3803" i="9"/>
  <c r="L3803" i="9" s="1"/>
  <c r="J3802" i="9"/>
  <c r="L3802" i="9" s="1"/>
  <c r="J3801" i="9"/>
  <c r="J3800" i="9"/>
  <c r="K3800" i="9" s="1"/>
  <c r="J3799" i="9"/>
  <c r="J3798" i="9"/>
  <c r="L3798" i="9" s="1"/>
  <c r="J3797" i="9"/>
  <c r="K3797" i="9" s="1"/>
  <c r="L3796" i="9"/>
  <c r="J3796" i="9"/>
  <c r="K3796" i="9" s="1"/>
  <c r="J3795" i="9"/>
  <c r="J3794" i="9"/>
  <c r="L3794" i="9" s="1"/>
  <c r="J3793" i="9"/>
  <c r="J3792" i="9"/>
  <c r="L3792" i="9" s="1"/>
  <c r="J3791" i="9"/>
  <c r="K3791" i="9" s="1"/>
  <c r="K3790" i="9"/>
  <c r="J3790" i="9"/>
  <c r="L3790" i="9" s="1"/>
  <c r="J3789" i="9"/>
  <c r="K3789" i="9" s="1"/>
  <c r="L3788" i="9"/>
  <c r="K3788" i="9"/>
  <c r="J3788" i="9"/>
  <c r="J3787" i="9"/>
  <c r="J3786" i="9"/>
  <c r="L3786" i="9" s="1"/>
  <c r="J3785" i="9"/>
  <c r="J3784" i="9"/>
  <c r="L3784" i="9" s="1"/>
  <c r="J3783" i="9"/>
  <c r="K3783" i="9" s="1"/>
  <c r="J3782" i="9"/>
  <c r="L3782" i="9" s="1"/>
  <c r="J3781" i="9"/>
  <c r="K3781" i="9" s="1"/>
  <c r="J3780" i="9"/>
  <c r="L3780" i="9" s="1"/>
  <c r="J3779" i="9"/>
  <c r="J3778" i="9"/>
  <c r="L3778" i="9" s="1"/>
  <c r="J3777" i="9"/>
  <c r="K3776" i="9"/>
  <c r="J3776" i="9"/>
  <c r="L3776" i="9" s="1"/>
  <c r="J3775" i="9"/>
  <c r="K3775" i="9" s="1"/>
  <c r="J3774" i="9"/>
  <c r="L3774" i="9" s="1"/>
  <c r="J3773" i="9"/>
  <c r="K3773" i="9" s="1"/>
  <c r="J3772" i="9"/>
  <c r="L3772" i="9" s="1"/>
  <c r="J3771" i="9"/>
  <c r="L3771" i="9" s="1"/>
  <c r="J3770" i="9"/>
  <c r="L3770" i="9" s="1"/>
  <c r="J3769" i="9"/>
  <c r="J3768" i="9"/>
  <c r="L3768" i="9" s="1"/>
  <c r="J3767" i="9"/>
  <c r="K3767" i="9" s="1"/>
  <c r="J3766" i="9"/>
  <c r="L3766" i="9" s="1"/>
  <c r="J3765" i="9"/>
  <c r="K3765" i="9" s="1"/>
  <c r="J3764" i="9"/>
  <c r="L3764" i="9" s="1"/>
  <c r="J3763" i="9"/>
  <c r="L3763" i="9" s="1"/>
  <c r="J3762" i="9"/>
  <c r="L3762" i="9" s="1"/>
  <c r="J3761" i="9"/>
  <c r="J3760" i="9"/>
  <c r="L3760" i="9" s="1"/>
  <c r="J3759" i="9"/>
  <c r="J3758" i="9"/>
  <c r="L3758" i="9" s="1"/>
  <c r="J3757" i="9"/>
  <c r="K3757" i="9" s="1"/>
  <c r="J3756" i="9"/>
  <c r="L3756" i="9" s="1"/>
  <c r="J3755" i="9"/>
  <c r="J3754" i="9"/>
  <c r="L3754" i="9" s="1"/>
  <c r="J3753" i="9"/>
  <c r="L3752" i="9"/>
  <c r="K3752" i="9"/>
  <c r="J3752" i="9"/>
  <c r="J3751" i="9"/>
  <c r="K3751" i="9" s="1"/>
  <c r="K3750" i="9"/>
  <c r="J3750" i="9"/>
  <c r="L3750" i="9" s="1"/>
  <c r="J3749" i="9"/>
  <c r="K3749" i="9" s="1"/>
  <c r="J3748" i="9"/>
  <c r="L3748" i="9" s="1"/>
  <c r="J3747" i="9"/>
  <c r="J3746" i="9"/>
  <c r="L3746" i="9" s="1"/>
  <c r="J3745" i="9"/>
  <c r="J3744" i="9"/>
  <c r="L3744" i="9" s="1"/>
  <c r="J3743" i="9"/>
  <c r="K3743" i="9" s="1"/>
  <c r="J3742" i="9"/>
  <c r="L3742" i="9" s="1"/>
  <c r="J3741" i="9"/>
  <c r="K3741" i="9" s="1"/>
  <c r="J3740" i="9"/>
  <c r="L3740" i="9" s="1"/>
  <c r="J3739" i="9"/>
  <c r="L3739" i="9" s="1"/>
  <c r="J3738" i="9"/>
  <c r="L3738" i="9" s="1"/>
  <c r="J3737" i="9"/>
  <c r="J3736" i="9"/>
  <c r="L3736" i="9" s="1"/>
  <c r="J3735" i="9"/>
  <c r="K3735" i="9" s="1"/>
  <c r="J3734" i="9"/>
  <c r="L3734" i="9" s="1"/>
  <c r="J3733" i="9"/>
  <c r="K3733" i="9" s="1"/>
  <c r="L3732" i="9"/>
  <c r="J3732" i="9"/>
  <c r="K3732" i="9" s="1"/>
  <c r="J3731" i="9"/>
  <c r="L3731" i="9" s="1"/>
  <c r="J3730" i="9"/>
  <c r="L3730" i="9" s="1"/>
  <c r="J3729" i="9"/>
  <c r="J3728" i="9"/>
  <c r="J3727" i="9"/>
  <c r="K3727" i="9" s="1"/>
  <c r="J3726" i="9"/>
  <c r="J3725" i="9"/>
  <c r="K3725" i="9" s="1"/>
  <c r="J3724" i="9"/>
  <c r="J3723" i="9"/>
  <c r="J3722" i="9"/>
  <c r="L3722" i="9" s="1"/>
  <c r="J3721" i="9"/>
  <c r="J3720" i="9"/>
  <c r="L3720" i="9" s="1"/>
  <c r="J3719" i="9"/>
  <c r="J3718" i="9"/>
  <c r="L3718" i="9" s="1"/>
  <c r="J3717" i="9"/>
  <c r="K3717" i="9" s="1"/>
  <c r="K3716" i="9"/>
  <c r="J3716" i="9"/>
  <c r="L3716" i="9" s="1"/>
  <c r="J3715" i="9"/>
  <c r="J3714" i="9"/>
  <c r="L3714" i="9" s="1"/>
  <c r="J3713" i="9"/>
  <c r="J3712" i="9"/>
  <c r="J3711" i="9"/>
  <c r="K3711" i="9" s="1"/>
  <c r="J3710" i="9"/>
  <c r="J3709" i="9"/>
  <c r="K3709" i="9" s="1"/>
  <c r="J3708" i="9"/>
  <c r="J3707" i="9"/>
  <c r="L3707" i="9" s="1"/>
  <c r="J3706" i="9"/>
  <c r="L3706" i="9" s="1"/>
  <c r="J3705" i="9"/>
  <c r="J3704" i="9"/>
  <c r="L3704" i="9" s="1"/>
  <c r="J3703" i="9"/>
  <c r="J3702" i="9"/>
  <c r="L3702" i="9" s="1"/>
  <c r="J3701" i="9"/>
  <c r="K3701" i="9" s="1"/>
  <c r="J3700" i="9"/>
  <c r="K3700" i="9" s="1"/>
  <c r="J3699" i="9"/>
  <c r="J3698" i="9"/>
  <c r="L3698" i="9" s="1"/>
  <c r="J3697" i="9"/>
  <c r="J3696" i="9"/>
  <c r="L3696" i="9" s="1"/>
  <c r="J3695" i="9"/>
  <c r="K3695" i="9" s="1"/>
  <c r="J3694" i="9"/>
  <c r="L3694" i="9" s="1"/>
  <c r="J3693" i="9"/>
  <c r="K3693" i="9" s="1"/>
  <c r="J3692" i="9"/>
  <c r="L3692" i="9" s="1"/>
  <c r="J3691" i="9"/>
  <c r="L3691" i="9" s="1"/>
  <c r="J3690" i="9"/>
  <c r="L3690" i="9" s="1"/>
  <c r="J3689" i="9"/>
  <c r="J3688" i="9"/>
  <c r="J3687" i="9"/>
  <c r="K3687" i="9" s="1"/>
  <c r="J3686" i="9"/>
  <c r="J3685" i="9"/>
  <c r="K3685" i="9" s="1"/>
  <c r="J3684" i="9"/>
  <c r="J3683" i="9"/>
  <c r="J3682" i="9"/>
  <c r="L3682" i="9" s="1"/>
  <c r="J3681" i="9"/>
  <c r="K3680" i="9"/>
  <c r="J3680" i="9"/>
  <c r="L3680" i="9" s="1"/>
  <c r="J3679" i="9"/>
  <c r="K3679" i="9" s="1"/>
  <c r="J3678" i="9"/>
  <c r="L3678" i="9" s="1"/>
  <c r="J3677" i="9"/>
  <c r="J3676" i="9"/>
  <c r="L3676" i="9" s="1"/>
  <c r="J3675" i="9"/>
  <c r="J3674" i="9"/>
  <c r="J3673" i="9"/>
  <c r="K3673" i="9" s="1"/>
  <c r="J3672" i="9"/>
  <c r="L3672" i="9" s="1"/>
  <c r="J3671" i="9"/>
  <c r="K3671" i="9" s="1"/>
  <c r="J3670" i="9"/>
  <c r="J3669" i="9"/>
  <c r="J3668" i="9"/>
  <c r="J3667" i="9"/>
  <c r="K3667" i="9" s="1"/>
  <c r="J3666" i="9"/>
  <c r="L3665" i="9"/>
  <c r="J3665" i="9"/>
  <c r="K3665" i="9" s="1"/>
  <c r="J3664" i="9"/>
  <c r="L3664" i="9" s="1"/>
  <c r="J3663" i="9"/>
  <c r="K3663" i="9" s="1"/>
  <c r="K3662" i="9"/>
  <c r="J3662" i="9"/>
  <c r="L3662" i="9" s="1"/>
  <c r="J3661" i="9"/>
  <c r="K3660" i="9"/>
  <c r="J3660" i="9"/>
  <c r="L3660" i="9" s="1"/>
  <c r="J3659" i="9"/>
  <c r="J3658" i="9"/>
  <c r="L3657" i="9"/>
  <c r="J3657" i="9"/>
  <c r="K3657" i="9" s="1"/>
  <c r="J3656" i="9"/>
  <c r="J3655" i="9"/>
  <c r="J3654" i="9"/>
  <c r="L3654" i="9" s="1"/>
  <c r="J3653" i="9"/>
  <c r="J3652" i="9"/>
  <c r="K3652" i="9" s="1"/>
  <c r="J3651" i="9"/>
  <c r="L3651" i="9" s="1"/>
  <c r="J3650" i="9"/>
  <c r="J3649" i="9"/>
  <c r="K3648" i="9"/>
  <c r="J3648" i="9"/>
  <c r="L3648" i="9" s="1"/>
  <c r="J3647" i="9"/>
  <c r="K3647" i="9" s="1"/>
  <c r="J3646" i="9"/>
  <c r="L3646" i="9" s="1"/>
  <c r="J3645" i="9"/>
  <c r="J3644" i="9"/>
  <c r="L3644" i="9" s="1"/>
  <c r="J3643" i="9"/>
  <c r="J3642" i="9"/>
  <c r="J3641" i="9"/>
  <c r="J3640" i="9"/>
  <c r="J3639" i="9"/>
  <c r="L3639" i="9" s="1"/>
  <c r="J3638" i="9"/>
  <c r="J3637" i="9"/>
  <c r="K3637" i="9" s="1"/>
  <c r="L3636" i="9"/>
  <c r="J3636" i="9"/>
  <c r="K3636" i="9" s="1"/>
  <c r="J3635" i="9"/>
  <c r="L3634" i="9"/>
  <c r="J3634" i="9"/>
  <c r="K3634" i="9" s="1"/>
  <c r="J3633" i="9"/>
  <c r="J3632" i="9"/>
  <c r="L3632" i="9" s="1"/>
  <c r="J3631" i="9"/>
  <c r="L3631" i="9" s="1"/>
  <c r="J3630" i="9"/>
  <c r="K3630" i="9" s="1"/>
  <c r="J3629" i="9"/>
  <c r="K3629" i="9" s="1"/>
  <c r="L3628" i="9"/>
  <c r="J3628" i="9"/>
  <c r="K3628" i="9" s="1"/>
  <c r="J3627" i="9"/>
  <c r="L3627" i="9" s="1"/>
  <c r="J3626" i="9"/>
  <c r="K3626" i="9" s="1"/>
  <c r="J3625" i="9"/>
  <c r="K3624" i="9"/>
  <c r="J3624" i="9"/>
  <c r="L3624" i="9" s="1"/>
  <c r="J3623" i="9"/>
  <c r="J3622" i="9"/>
  <c r="K3622" i="9" s="1"/>
  <c r="K3621" i="9"/>
  <c r="J3621" i="9"/>
  <c r="L3621" i="9" s="1"/>
  <c r="J3620" i="9"/>
  <c r="K3619" i="9"/>
  <c r="J3619" i="9"/>
  <c r="L3619" i="9" s="1"/>
  <c r="J3618" i="9"/>
  <c r="J3617" i="9"/>
  <c r="K3617" i="9" s="1"/>
  <c r="K3616" i="9"/>
  <c r="J3616" i="9"/>
  <c r="L3616" i="9" s="1"/>
  <c r="J3615" i="9"/>
  <c r="L3615" i="9" s="1"/>
  <c r="L3614" i="9"/>
  <c r="J3614" i="9"/>
  <c r="K3614" i="9" s="1"/>
  <c r="J3613" i="9"/>
  <c r="J3612" i="9"/>
  <c r="K3612" i="9" s="1"/>
  <c r="K3611" i="9"/>
  <c r="J3611" i="9"/>
  <c r="L3611" i="9" s="1"/>
  <c r="J3610" i="9"/>
  <c r="K3610" i="9" s="1"/>
  <c r="K3609" i="9"/>
  <c r="J3609" i="9"/>
  <c r="L3609" i="9" s="1"/>
  <c r="J3608" i="9"/>
  <c r="J3607" i="9"/>
  <c r="L3607" i="9" s="1"/>
  <c r="J3606" i="9"/>
  <c r="J3605" i="9"/>
  <c r="L3605" i="9" s="1"/>
  <c r="J3604" i="9"/>
  <c r="J3603" i="9"/>
  <c r="J3602" i="9"/>
  <c r="K3602" i="9" s="1"/>
  <c r="J3601" i="9"/>
  <c r="L3601" i="9" s="1"/>
  <c r="J3600" i="9"/>
  <c r="L3600" i="9" s="1"/>
  <c r="J3599" i="9"/>
  <c r="L3599" i="9" s="1"/>
  <c r="J3598" i="9"/>
  <c r="K3598" i="9" s="1"/>
  <c r="J3597" i="9"/>
  <c r="L3597" i="9" s="1"/>
  <c r="J3596" i="9"/>
  <c r="J3595" i="9"/>
  <c r="L3595" i="9" s="1"/>
  <c r="J3594" i="9"/>
  <c r="K3594" i="9" s="1"/>
  <c r="J3593" i="9"/>
  <c r="J3592" i="9"/>
  <c r="K3591" i="9"/>
  <c r="J3591" i="9"/>
  <c r="L3591" i="9" s="1"/>
  <c r="J3590" i="9"/>
  <c r="J3589" i="9"/>
  <c r="K3589" i="9" s="1"/>
  <c r="J3588" i="9"/>
  <c r="L3588" i="9" s="1"/>
  <c r="J3587" i="9"/>
  <c r="J3586" i="9"/>
  <c r="J3585" i="9"/>
  <c r="L3585" i="9" s="1"/>
  <c r="J3584" i="9"/>
  <c r="L3584" i="9" s="1"/>
  <c r="J3583" i="9"/>
  <c r="J3582" i="9"/>
  <c r="K3582" i="9" s="1"/>
  <c r="J3581" i="9"/>
  <c r="L3580" i="9"/>
  <c r="J3580" i="9"/>
  <c r="K3580" i="9" s="1"/>
  <c r="J3579" i="9"/>
  <c r="L3579" i="9" s="1"/>
  <c r="J3578" i="9"/>
  <c r="K3578" i="9" s="1"/>
  <c r="J3577" i="9"/>
  <c r="L3577" i="9" s="1"/>
  <c r="J3576" i="9"/>
  <c r="J3575" i="9"/>
  <c r="J3574" i="9"/>
  <c r="J3573" i="9"/>
  <c r="L3572" i="9"/>
  <c r="J3572" i="9"/>
  <c r="K3572" i="9" s="1"/>
  <c r="J3571" i="9"/>
  <c r="J3570" i="9"/>
  <c r="J3569" i="9"/>
  <c r="L3569" i="9" s="1"/>
  <c r="J3568" i="9"/>
  <c r="L3568" i="9" s="1"/>
  <c r="J3567" i="9"/>
  <c r="J3566" i="9"/>
  <c r="K3566" i="9" s="1"/>
  <c r="J3565" i="9"/>
  <c r="J3564" i="9"/>
  <c r="J3563" i="9"/>
  <c r="L3563" i="9" s="1"/>
  <c r="L3562" i="9"/>
  <c r="J3562" i="9"/>
  <c r="K3562" i="9" s="1"/>
  <c r="J3561" i="9"/>
  <c r="J3560" i="9"/>
  <c r="L3560" i="9" s="1"/>
  <c r="J3559" i="9"/>
  <c r="L3559" i="9" s="1"/>
  <c r="J3558" i="9"/>
  <c r="K3558" i="9" s="1"/>
  <c r="L3557" i="9"/>
  <c r="J3557" i="9"/>
  <c r="K3557" i="9" s="1"/>
  <c r="J3556" i="9"/>
  <c r="J3555" i="9"/>
  <c r="L3555" i="9" s="1"/>
  <c r="J3554" i="9"/>
  <c r="J3553" i="9"/>
  <c r="K3552" i="9"/>
  <c r="J3552" i="9"/>
  <c r="L3552" i="9" s="1"/>
  <c r="J3551" i="9"/>
  <c r="J3550" i="9"/>
  <c r="J3549" i="9"/>
  <c r="J3548" i="9"/>
  <c r="K3548" i="9" s="1"/>
  <c r="J3547" i="9"/>
  <c r="J3546" i="9"/>
  <c r="K3546" i="9" s="1"/>
  <c r="J3545" i="9"/>
  <c r="K3544" i="9"/>
  <c r="J3544" i="9"/>
  <c r="L3544" i="9" s="1"/>
  <c r="J3543" i="9"/>
  <c r="L3543" i="9" s="1"/>
  <c r="J3542" i="9"/>
  <c r="L3541" i="9"/>
  <c r="J3541" i="9"/>
  <c r="K3541" i="9" s="1"/>
  <c r="J3540" i="9"/>
  <c r="J3539" i="9"/>
  <c r="J3538" i="9"/>
  <c r="K3538" i="9" s="1"/>
  <c r="J3537" i="9"/>
  <c r="L3537" i="9" s="1"/>
  <c r="J3536" i="9"/>
  <c r="J3535" i="9"/>
  <c r="L3535" i="9" s="1"/>
  <c r="J3534" i="9"/>
  <c r="K3534" i="9" s="1"/>
  <c r="J3533" i="9"/>
  <c r="L3533" i="9" s="1"/>
  <c r="J3532" i="9"/>
  <c r="K3532" i="9" s="1"/>
  <c r="J3531" i="9"/>
  <c r="J3530" i="9"/>
  <c r="K3530" i="9" s="1"/>
  <c r="J3529" i="9"/>
  <c r="K3528" i="9"/>
  <c r="J3528" i="9"/>
  <c r="L3528" i="9" s="1"/>
  <c r="J3527" i="9"/>
  <c r="L3527" i="9" s="1"/>
  <c r="J3526" i="9"/>
  <c r="K3526" i="9" s="1"/>
  <c r="J3525" i="9"/>
  <c r="L3524" i="9"/>
  <c r="J3524" i="9"/>
  <c r="K3524" i="9" s="1"/>
  <c r="J3523" i="9"/>
  <c r="J3522" i="9"/>
  <c r="K3522" i="9" s="1"/>
  <c r="L3521" i="9"/>
  <c r="J3521" i="9"/>
  <c r="K3521" i="9" s="1"/>
  <c r="J3520" i="9"/>
  <c r="J3519" i="9"/>
  <c r="L3519" i="9" s="1"/>
  <c r="J3518" i="9"/>
  <c r="J3517" i="9"/>
  <c r="L3517" i="9" s="1"/>
  <c r="J3516" i="9"/>
  <c r="J3515" i="9"/>
  <c r="J3514" i="9"/>
  <c r="K3514" i="9" s="1"/>
  <c r="J3513" i="9"/>
  <c r="L3513" i="9" s="1"/>
  <c r="J3512" i="9"/>
  <c r="L3512" i="9" s="1"/>
  <c r="J3511" i="9"/>
  <c r="L3511" i="9" s="1"/>
  <c r="J3510" i="9"/>
  <c r="J3509" i="9"/>
  <c r="L3508" i="9"/>
  <c r="J3508" i="9"/>
  <c r="K3508" i="9" s="1"/>
  <c r="J3507" i="9"/>
  <c r="J3506" i="9"/>
  <c r="K3506" i="9" s="1"/>
  <c r="L3505" i="9"/>
  <c r="J3505" i="9"/>
  <c r="K3505" i="9" s="1"/>
  <c r="J3504" i="9"/>
  <c r="L3504" i="9" s="1"/>
  <c r="J3503" i="9"/>
  <c r="L3503" i="9" s="1"/>
  <c r="J3502" i="9"/>
  <c r="K3502" i="9" s="1"/>
  <c r="J3501" i="9"/>
  <c r="L3501" i="9" s="1"/>
  <c r="J3500" i="9"/>
  <c r="J3499" i="9"/>
  <c r="J3498" i="9"/>
  <c r="K3498" i="9" s="1"/>
  <c r="J3497" i="9"/>
  <c r="J3496" i="9"/>
  <c r="L3496" i="9" s="1"/>
  <c r="J3495" i="9"/>
  <c r="L3495" i="9" s="1"/>
  <c r="J3494" i="9"/>
  <c r="K3494" i="9" s="1"/>
  <c r="J3493" i="9"/>
  <c r="L3493" i="9" s="1"/>
  <c r="J3492" i="9"/>
  <c r="K3492" i="9" s="1"/>
  <c r="J3491" i="9"/>
  <c r="J3490" i="9"/>
  <c r="K3490" i="9" s="1"/>
  <c r="J3489" i="9"/>
  <c r="J3488" i="9"/>
  <c r="L3488" i="9" s="1"/>
  <c r="J3487" i="9"/>
  <c r="L3487" i="9" s="1"/>
  <c r="L3486" i="9"/>
  <c r="J3486" i="9"/>
  <c r="K3486" i="9" s="1"/>
  <c r="J3485" i="9"/>
  <c r="J3484" i="9"/>
  <c r="J3483" i="9"/>
  <c r="J3482" i="9"/>
  <c r="K3482" i="9" s="1"/>
  <c r="J3481" i="9"/>
  <c r="J3480" i="9"/>
  <c r="L3480" i="9" s="1"/>
  <c r="J3479" i="9"/>
  <c r="L3479" i="9" s="1"/>
  <c r="J3478" i="9"/>
  <c r="J3477" i="9"/>
  <c r="L3477" i="9" s="1"/>
  <c r="J3476" i="9"/>
  <c r="K3476" i="9" s="1"/>
  <c r="J3475" i="9"/>
  <c r="J3474" i="9"/>
  <c r="K3474" i="9" s="1"/>
  <c r="J3473" i="9"/>
  <c r="J3472" i="9"/>
  <c r="J3471" i="9"/>
  <c r="L3471" i="9" s="1"/>
  <c r="J3470" i="9"/>
  <c r="K3470" i="9" s="1"/>
  <c r="L3469" i="9"/>
  <c r="K3469" i="9"/>
  <c r="J3469" i="9"/>
  <c r="J3468" i="9"/>
  <c r="J3467" i="9"/>
  <c r="J3466" i="9"/>
  <c r="K3466" i="9" s="1"/>
  <c r="K3465" i="9"/>
  <c r="J3465" i="9"/>
  <c r="L3465" i="9" s="1"/>
  <c r="J3464" i="9"/>
  <c r="L3464" i="9" s="1"/>
  <c r="J3463" i="9"/>
  <c r="L3463" i="9" s="1"/>
  <c r="L3462" i="9"/>
  <c r="J3462" i="9"/>
  <c r="K3462" i="9" s="1"/>
  <c r="J3461" i="9"/>
  <c r="L3461" i="9" s="1"/>
  <c r="L3460" i="9"/>
  <c r="J3460" i="9"/>
  <c r="K3460" i="9" s="1"/>
  <c r="J3459" i="9"/>
  <c r="J3458" i="9"/>
  <c r="K3458" i="9" s="1"/>
  <c r="L3457" i="9"/>
  <c r="J3457" i="9"/>
  <c r="K3457" i="9" s="1"/>
  <c r="J3456" i="9"/>
  <c r="L3456" i="9" s="1"/>
  <c r="J3455" i="9"/>
  <c r="L3455" i="9" s="1"/>
  <c r="J3454" i="9"/>
  <c r="K3454" i="9" s="1"/>
  <c r="J3453" i="9"/>
  <c r="J3452" i="9"/>
  <c r="K3452" i="9" s="1"/>
  <c r="J3451" i="9"/>
  <c r="J3450" i="9"/>
  <c r="K3450" i="9" s="1"/>
  <c r="J3449" i="9"/>
  <c r="L3449" i="9" s="1"/>
  <c r="J3448" i="9"/>
  <c r="L3448" i="9" s="1"/>
  <c r="J3447" i="9"/>
  <c r="L3447" i="9" s="1"/>
  <c r="J3446" i="9"/>
  <c r="J3445" i="9"/>
  <c r="J3444" i="9"/>
  <c r="K3444" i="9" s="1"/>
  <c r="J3443" i="9"/>
  <c r="J3442" i="9"/>
  <c r="K3442" i="9" s="1"/>
  <c r="L3441" i="9"/>
  <c r="K3441" i="9"/>
  <c r="J3441" i="9"/>
  <c r="J3440" i="9"/>
  <c r="J3439" i="9"/>
  <c r="L3439" i="9" s="1"/>
  <c r="J3438" i="9"/>
  <c r="K3438" i="9" s="1"/>
  <c r="J3437" i="9"/>
  <c r="J3436" i="9"/>
  <c r="K3436" i="9" s="1"/>
  <c r="J3435" i="9"/>
  <c r="J3434" i="9"/>
  <c r="K3434" i="9" s="1"/>
  <c r="J3433" i="9"/>
  <c r="K3433" i="9" s="1"/>
  <c r="J3432" i="9"/>
  <c r="L3432" i="9" s="1"/>
  <c r="J3431" i="9"/>
  <c r="L3431" i="9" s="1"/>
  <c r="J3430" i="9"/>
  <c r="J3429" i="9"/>
  <c r="J3428" i="9"/>
  <c r="K3428" i="9" s="1"/>
  <c r="J3427" i="9"/>
  <c r="J3426" i="9"/>
  <c r="J3425" i="9"/>
  <c r="J3424" i="9"/>
  <c r="J3423" i="9"/>
  <c r="K3423" i="9" s="1"/>
  <c r="J3422" i="9"/>
  <c r="J3421" i="9"/>
  <c r="J3420" i="9"/>
  <c r="K3420" i="9" s="1"/>
  <c r="J3419" i="9"/>
  <c r="J3418" i="9"/>
  <c r="J3417" i="9"/>
  <c r="J3416" i="9"/>
  <c r="J3415" i="9"/>
  <c r="K3415" i="9" s="1"/>
  <c r="J3414" i="9"/>
  <c r="J3413" i="9"/>
  <c r="J3412" i="9"/>
  <c r="K3412" i="9" s="1"/>
  <c r="J3411" i="9"/>
  <c r="J3410" i="9"/>
  <c r="J3409" i="9"/>
  <c r="J3408" i="9"/>
  <c r="J3407" i="9"/>
  <c r="K3407" i="9" s="1"/>
  <c r="J3406" i="9"/>
  <c r="J3405" i="9"/>
  <c r="J3404" i="9"/>
  <c r="K3404" i="9" s="1"/>
  <c r="J3403" i="9"/>
  <c r="J3402" i="9"/>
  <c r="J3401" i="9"/>
  <c r="J3400" i="9"/>
  <c r="J3399" i="9"/>
  <c r="K3399" i="9" s="1"/>
  <c r="J3398" i="9"/>
  <c r="J3397" i="9"/>
  <c r="J3396" i="9"/>
  <c r="K3396" i="9" s="1"/>
  <c r="J3395" i="9"/>
  <c r="J3394" i="9"/>
  <c r="J3393" i="9"/>
  <c r="J3392" i="9"/>
  <c r="J3391" i="9"/>
  <c r="K3391" i="9" s="1"/>
  <c r="J3390" i="9"/>
  <c r="J3389" i="9"/>
  <c r="J3388" i="9"/>
  <c r="K3388" i="9" s="1"/>
  <c r="J3387" i="9"/>
  <c r="J3386" i="9"/>
  <c r="J3385" i="9"/>
  <c r="J3384" i="9"/>
  <c r="J3383" i="9"/>
  <c r="K3383" i="9" s="1"/>
  <c r="J3382" i="9"/>
  <c r="J3381" i="9"/>
  <c r="J3380" i="9"/>
  <c r="K3380" i="9" s="1"/>
  <c r="J3379" i="9"/>
  <c r="J3378" i="9"/>
  <c r="J3377" i="9"/>
  <c r="J3376" i="9"/>
  <c r="J3375" i="9"/>
  <c r="K3375" i="9" s="1"/>
  <c r="J3374" i="9"/>
  <c r="J3373" i="9"/>
  <c r="J3372" i="9"/>
  <c r="K3372" i="9" s="1"/>
  <c r="J3371" i="9"/>
  <c r="J3370" i="9"/>
  <c r="J3369" i="9"/>
  <c r="J3368" i="9"/>
  <c r="J3367" i="9"/>
  <c r="K3367" i="9" s="1"/>
  <c r="J3366" i="9"/>
  <c r="J3365" i="9"/>
  <c r="J3364" i="9"/>
  <c r="K3364" i="9" s="1"/>
  <c r="J3363" i="9"/>
  <c r="J3362" i="9"/>
  <c r="J3361" i="9"/>
  <c r="J3360" i="9"/>
  <c r="L3359" i="9"/>
  <c r="J3359" i="9"/>
  <c r="K3359" i="9" s="1"/>
  <c r="J3358" i="9"/>
  <c r="J3357" i="9"/>
  <c r="J3356" i="9"/>
  <c r="K3356" i="9" s="1"/>
  <c r="J3355" i="9"/>
  <c r="J3354" i="9"/>
  <c r="K3354" i="9" s="1"/>
  <c r="J3353" i="9"/>
  <c r="J3352" i="9"/>
  <c r="J3351" i="9"/>
  <c r="J3350" i="9"/>
  <c r="K3350" i="9" s="1"/>
  <c r="J3349" i="9"/>
  <c r="L3348" i="9"/>
  <c r="J3348" i="9"/>
  <c r="K3348" i="9" s="1"/>
  <c r="J3347" i="9"/>
  <c r="J3346" i="9"/>
  <c r="K3346" i="9" s="1"/>
  <c r="J3345" i="9"/>
  <c r="J3344" i="9"/>
  <c r="J3343" i="9"/>
  <c r="K3343" i="9" s="1"/>
  <c r="J3342" i="9"/>
  <c r="J3341" i="9"/>
  <c r="J3340" i="9"/>
  <c r="K3340" i="9" s="1"/>
  <c r="J3339" i="9"/>
  <c r="J3338" i="9"/>
  <c r="J3337" i="9"/>
  <c r="L3337" i="9" s="1"/>
  <c r="J3336" i="9"/>
  <c r="K3335" i="9"/>
  <c r="J3335" i="9"/>
  <c r="L3335" i="9" s="1"/>
  <c r="J3334" i="9"/>
  <c r="L3334" i="9" s="1"/>
  <c r="J3333" i="9"/>
  <c r="J3332" i="9"/>
  <c r="J3331" i="9"/>
  <c r="L3331" i="9" s="1"/>
  <c r="L3330" i="9"/>
  <c r="J3330" i="9"/>
  <c r="K3330" i="9" s="1"/>
  <c r="J3329" i="9"/>
  <c r="L3329" i="9" s="1"/>
  <c r="J3328" i="9"/>
  <c r="J3327" i="9"/>
  <c r="K3327" i="9" s="1"/>
  <c r="J3326" i="9"/>
  <c r="L3326" i="9" s="1"/>
  <c r="J3325" i="9"/>
  <c r="J3324" i="9"/>
  <c r="J3323" i="9"/>
  <c r="J3322" i="9"/>
  <c r="J3321" i="9"/>
  <c r="J3320" i="9"/>
  <c r="J3319" i="9"/>
  <c r="L3319" i="9" s="1"/>
  <c r="J3318" i="9"/>
  <c r="J3317" i="9"/>
  <c r="J3316" i="9"/>
  <c r="J3315" i="9"/>
  <c r="J3314" i="9"/>
  <c r="K3314" i="9" s="1"/>
  <c r="J3313" i="9"/>
  <c r="J3312" i="9"/>
  <c r="J3311" i="9"/>
  <c r="J3310" i="9"/>
  <c r="J3309" i="9"/>
  <c r="J3308" i="9"/>
  <c r="K3308" i="9" s="1"/>
  <c r="L3307" i="9"/>
  <c r="J3307" i="9"/>
  <c r="K3307" i="9" s="1"/>
  <c r="J3306" i="9"/>
  <c r="J3305" i="9"/>
  <c r="J3304" i="9"/>
  <c r="K3303" i="9"/>
  <c r="J3303" i="9"/>
  <c r="L3303" i="9" s="1"/>
  <c r="J3302" i="9"/>
  <c r="J3301" i="9"/>
  <c r="J3300" i="9"/>
  <c r="J3299" i="9"/>
  <c r="L3299" i="9" s="1"/>
  <c r="J3298" i="9"/>
  <c r="J3297" i="9"/>
  <c r="L3297" i="9" s="1"/>
  <c r="J3296" i="9"/>
  <c r="J3295" i="9"/>
  <c r="L3295" i="9" s="1"/>
  <c r="J3294" i="9"/>
  <c r="J3293" i="9"/>
  <c r="J3292" i="9"/>
  <c r="K3292" i="9" s="1"/>
  <c r="J3291" i="9"/>
  <c r="L3291" i="9" s="1"/>
  <c r="L3290" i="9"/>
  <c r="J3290" i="9"/>
  <c r="K3290" i="9" s="1"/>
  <c r="J3289" i="9"/>
  <c r="J3288" i="9"/>
  <c r="J3287" i="9"/>
  <c r="K3287" i="9" s="1"/>
  <c r="J3286" i="9"/>
  <c r="J3285" i="9"/>
  <c r="J3284" i="9"/>
  <c r="J3283" i="9"/>
  <c r="J3282" i="9"/>
  <c r="K3282" i="9" s="1"/>
  <c r="J3281" i="9"/>
  <c r="J3280" i="9"/>
  <c r="J3279" i="9"/>
  <c r="K3279" i="9" s="1"/>
  <c r="J3278" i="9"/>
  <c r="J3277" i="9"/>
  <c r="J3276" i="9"/>
  <c r="K3276" i="9" s="1"/>
  <c r="J3275" i="9"/>
  <c r="K3275" i="9" s="1"/>
  <c r="J3274" i="9"/>
  <c r="J3273" i="9"/>
  <c r="L3273" i="9" s="1"/>
  <c r="J3272" i="9"/>
  <c r="J3271" i="9"/>
  <c r="L3271" i="9" s="1"/>
  <c r="J3270" i="9"/>
  <c r="L3270" i="9" s="1"/>
  <c r="J3269" i="9"/>
  <c r="J3268" i="9"/>
  <c r="J3267" i="9"/>
  <c r="L3267" i="9" s="1"/>
  <c r="J3266" i="9"/>
  <c r="J3265" i="9"/>
  <c r="L3265" i="9" s="1"/>
  <c r="J3264" i="9"/>
  <c r="J3263" i="9"/>
  <c r="L3262" i="9"/>
  <c r="J3262" i="9"/>
  <c r="K3262" i="9" s="1"/>
  <c r="J3261" i="9"/>
  <c r="J3260" i="9"/>
  <c r="J3259" i="9"/>
  <c r="K3259" i="9" s="1"/>
  <c r="J3258" i="9"/>
  <c r="J3257" i="9"/>
  <c r="J3256" i="9"/>
  <c r="J3255" i="9"/>
  <c r="J3254" i="9"/>
  <c r="K3254" i="9" s="1"/>
  <c r="J3253" i="9"/>
  <c r="J3252" i="9"/>
  <c r="L3251" i="9"/>
  <c r="K3251" i="9"/>
  <c r="J3251" i="9"/>
  <c r="J3250" i="9"/>
  <c r="K3250" i="9" s="1"/>
  <c r="J3249" i="9"/>
  <c r="J3248" i="9"/>
  <c r="J3247" i="9"/>
  <c r="J3246" i="9"/>
  <c r="J3245" i="9"/>
  <c r="J3244" i="9"/>
  <c r="K3244" i="9" s="1"/>
  <c r="J3243" i="9"/>
  <c r="K3243" i="9" s="1"/>
  <c r="J3242" i="9"/>
  <c r="K3241" i="9"/>
  <c r="J3241" i="9"/>
  <c r="L3241" i="9" s="1"/>
  <c r="J3240" i="9"/>
  <c r="L3239" i="9"/>
  <c r="K3239" i="9"/>
  <c r="J3239" i="9"/>
  <c r="J3238" i="9"/>
  <c r="J3237" i="9"/>
  <c r="J3236" i="9"/>
  <c r="J3235" i="9"/>
  <c r="J3234" i="9"/>
  <c r="J3233" i="9"/>
  <c r="L3233" i="9" s="1"/>
  <c r="J3232" i="9"/>
  <c r="L3231" i="9"/>
  <c r="J3231" i="9"/>
  <c r="K3231" i="9" s="1"/>
  <c r="J3230" i="9"/>
  <c r="K3230" i="9" s="1"/>
  <c r="J3229" i="9"/>
  <c r="J3228" i="9"/>
  <c r="K3228" i="9" s="1"/>
  <c r="J3227" i="9"/>
  <c r="J3226" i="9"/>
  <c r="K3226" i="9" s="1"/>
  <c r="J3225" i="9"/>
  <c r="J3224" i="9"/>
  <c r="J3223" i="9"/>
  <c r="K3223" i="9" s="1"/>
  <c r="J3222" i="9"/>
  <c r="J3221" i="9"/>
  <c r="J3220" i="9"/>
  <c r="K3220" i="9" s="1"/>
  <c r="J3219" i="9"/>
  <c r="J3218" i="9"/>
  <c r="K3218" i="9" s="1"/>
  <c r="J3217" i="9"/>
  <c r="J3216" i="9"/>
  <c r="J3215" i="9"/>
  <c r="J3214" i="9"/>
  <c r="J3213" i="9"/>
  <c r="J3212" i="9"/>
  <c r="J3211" i="9"/>
  <c r="K3211" i="9" s="1"/>
  <c r="J3210" i="9"/>
  <c r="J3209" i="9"/>
  <c r="K3209" i="9" s="1"/>
  <c r="K3208" i="9"/>
  <c r="J3208" i="9"/>
  <c r="L3208" i="9" s="1"/>
  <c r="J3207" i="9"/>
  <c r="L3207" i="9" s="1"/>
  <c r="J3206" i="9"/>
  <c r="L3206" i="9" s="1"/>
  <c r="L3205" i="9"/>
  <c r="J3205" i="9"/>
  <c r="K3205" i="9" s="1"/>
  <c r="J3204" i="9"/>
  <c r="K3204" i="9" s="1"/>
  <c r="J3203" i="9"/>
  <c r="J3202" i="9"/>
  <c r="J3201" i="9"/>
  <c r="K3201" i="9" s="1"/>
  <c r="L3200" i="9"/>
  <c r="K3200" i="9"/>
  <c r="J3200" i="9"/>
  <c r="J3199" i="9"/>
  <c r="L3199" i="9" s="1"/>
  <c r="J3198" i="9"/>
  <c r="L3198" i="9" s="1"/>
  <c r="L3197" i="9"/>
  <c r="J3197" i="9"/>
  <c r="K3197" i="9" s="1"/>
  <c r="J3196" i="9"/>
  <c r="K3196" i="9" s="1"/>
  <c r="J3195" i="9"/>
  <c r="J3194" i="9"/>
  <c r="J3193" i="9"/>
  <c r="K3193" i="9" s="1"/>
  <c r="J3192" i="9"/>
  <c r="K3192" i="9" s="1"/>
  <c r="J3191" i="9"/>
  <c r="L3191" i="9" s="1"/>
  <c r="J3190" i="9"/>
  <c r="L3190" i="9" s="1"/>
  <c r="J3189" i="9"/>
  <c r="J3188" i="9"/>
  <c r="L3188" i="9" s="1"/>
  <c r="J3187" i="9"/>
  <c r="J3186" i="9"/>
  <c r="J3185" i="9"/>
  <c r="K3185" i="9" s="1"/>
  <c r="J3184" i="9"/>
  <c r="J3183" i="9"/>
  <c r="L3183" i="9" s="1"/>
  <c r="J3182" i="9"/>
  <c r="L3182" i="9" s="1"/>
  <c r="J3181" i="9"/>
  <c r="L3180" i="9"/>
  <c r="J3180" i="9"/>
  <c r="K3180" i="9" s="1"/>
  <c r="J3179" i="9"/>
  <c r="J3178" i="9"/>
  <c r="L3178" i="9" s="1"/>
  <c r="J3177" i="9"/>
  <c r="K3177" i="9" s="1"/>
  <c r="L3176" i="9"/>
  <c r="J3176" i="9"/>
  <c r="K3176" i="9" s="1"/>
  <c r="J3175" i="9"/>
  <c r="L3175" i="9" s="1"/>
  <c r="J3174" i="9"/>
  <c r="L3174" i="9" s="1"/>
  <c r="J3173" i="9"/>
  <c r="K3173" i="9" s="1"/>
  <c r="J3172" i="9"/>
  <c r="J3171" i="9"/>
  <c r="J3170" i="9"/>
  <c r="J3169" i="9"/>
  <c r="K3169" i="9" s="1"/>
  <c r="J3168" i="9"/>
  <c r="L3168" i="9" s="1"/>
  <c r="J3167" i="9"/>
  <c r="L3167" i="9" s="1"/>
  <c r="J3166" i="9"/>
  <c r="L3166" i="9" s="1"/>
  <c r="J3165" i="9"/>
  <c r="K3165" i="9" s="1"/>
  <c r="J3164" i="9"/>
  <c r="J3163" i="9"/>
  <c r="J3162" i="9"/>
  <c r="J3161" i="9"/>
  <c r="K3161" i="9" s="1"/>
  <c r="L3160" i="9"/>
  <c r="J3160" i="9"/>
  <c r="K3160" i="9" s="1"/>
  <c r="J3159" i="9"/>
  <c r="L3159" i="9" s="1"/>
  <c r="J3158" i="9"/>
  <c r="L3158" i="9" s="1"/>
  <c r="J3157" i="9"/>
  <c r="K3156" i="9"/>
  <c r="J3156" i="9"/>
  <c r="L3156" i="9" s="1"/>
  <c r="J3155" i="9"/>
  <c r="K3155" i="9" s="1"/>
  <c r="J3154" i="9"/>
  <c r="J3153" i="9"/>
  <c r="K3153" i="9" s="1"/>
  <c r="J3152" i="9"/>
  <c r="K3152" i="9" s="1"/>
  <c r="J3151" i="9"/>
  <c r="L3151" i="9" s="1"/>
  <c r="J3150" i="9"/>
  <c r="L3150" i="9" s="1"/>
  <c r="J3149" i="9"/>
  <c r="K3149" i="9" s="1"/>
  <c r="K3148" i="9"/>
  <c r="J3148" i="9"/>
  <c r="L3148" i="9" s="1"/>
  <c r="J3147" i="9"/>
  <c r="K3147" i="9" s="1"/>
  <c r="K3146" i="9"/>
  <c r="J3146" i="9"/>
  <c r="L3146" i="9" s="1"/>
  <c r="J3145" i="9"/>
  <c r="K3145" i="9" s="1"/>
  <c r="J3144" i="9"/>
  <c r="L3144" i="9" s="1"/>
  <c r="J3143" i="9"/>
  <c r="L3143" i="9" s="1"/>
  <c r="J3142" i="9"/>
  <c r="L3142" i="9" s="1"/>
  <c r="J3141" i="9"/>
  <c r="K3141" i="9" s="1"/>
  <c r="J3140" i="9"/>
  <c r="J3139" i="9"/>
  <c r="K3139" i="9" s="1"/>
  <c r="J3138" i="9"/>
  <c r="J3137" i="9"/>
  <c r="K3137" i="9" s="1"/>
  <c r="K3136" i="9"/>
  <c r="J3136" i="9"/>
  <c r="L3136" i="9" s="1"/>
  <c r="J3135" i="9"/>
  <c r="L3135" i="9" s="1"/>
  <c r="J3134" i="9"/>
  <c r="L3134" i="9" s="1"/>
  <c r="L3133" i="9"/>
  <c r="J3133" i="9"/>
  <c r="K3133" i="9" s="1"/>
  <c r="J3132" i="9"/>
  <c r="K3132" i="9" s="1"/>
  <c r="J3131" i="9"/>
  <c r="J3130" i="9"/>
  <c r="J3129" i="9"/>
  <c r="K3129" i="9" s="1"/>
  <c r="J3128" i="9"/>
  <c r="L3128" i="9" s="1"/>
  <c r="J3127" i="9"/>
  <c r="L3127" i="9" s="1"/>
  <c r="J3126" i="9"/>
  <c r="L3126" i="9" s="1"/>
  <c r="J3125" i="9"/>
  <c r="K3125" i="9" s="1"/>
  <c r="K3124" i="9"/>
  <c r="J3124" i="9"/>
  <c r="L3124" i="9" s="1"/>
  <c r="J3123" i="9"/>
  <c r="K3123" i="9" s="1"/>
  <c r="J3122" i="9"/>
  <c r="J3121" i="9"/>
  <c r="K3121" i="9" s="1"/>
  <c r="J3120" i="9"/>
  <c r="K3120" i="9" s="1"/>
  <c r="J3119" i="9"/>
  <c r="L3119" i="9" s="1"/>
  <c r="J3118" i="9"/>
  <c r="L3118" i="9" s="1"/>
  <c r="J3117" i="9"/>
  <c r="L3116" i="9"/>
  <c r="K3116" i="9"/>
  <c r="J3116" i="9"/>
  <c r="J3115" i="9"/>
  <c r="K3115" i="9" s="1"/>
  <c r="K3114" i="9"/>
  <c r="J3114" i="9"/>
  <c r="L3114" i="9" s="1"/>
  <c r="J3113" i="9"/>
  <c r="K3113" i="9" s="1"/>
  <c r="L3112" i="9"/>
  <c r="K3112" i="9"/>
  <c r="J3112" i="9"/>
  <c r="J3111" i="9"/>
  <c r="L3111" i="9" s="1"/>
  <c r="J3110" i="9"/>
  <c r="L3110" i="9" s="1"/>
  <c r="L3109" i="9"/>
  <c r="J3109" i="9"/>
  <c r="K3109" i="9" s="1"/>
  <c r="J3108" i="9"/>
  <c r="J3107" i="9"/>
  <c r="J3106" i="9"/>
  <c r="J3105" i="9"/>
  <c r="K3105" i="9" s="1"/>
  <c r="J3104" i="9"/>
  <c r="J3103" i="9"/>
  <c r="L3103" i="9" s="1"/>
  <c r="J3102" i="9"/>
  <c r="L3102" i="9" s="1"/>
  <c r="J3101" i="9"/>
  <c r="J3100" i="9"/>
  <c r="J3099" i="9"/>
  <c r="J3098" i="9"/>
  <c r="J3097" i="9"/>
  <c r="K3097" i="9" s="1"/>
  <c r="J3096" i="9"/>
  <c r="J3095" i="9"/>
  <c r="L3095" i="9" s="1"/>
  <c r="J3094" i="9"/>
  <c r="L3094" i="9" s="1"/>
  <c r="J3093" i="9"/>
  <c r="J3092" i="9"/>
  <c r="K3092" i="9" s="1"/>
  <c r="J3091" i="9"/>
  <c r="J3090" i="9"/>
  <c r="J3089" i="9"/>
  <c r="K3089" i="9" s="1"/>
  <c r="J3088" i="9"/>
  <c r="J3087" i="9"/>
  <c r="L3087" i="9" s="1"/>
  <c r="J3086" i="9"/>
  <c r="L3086" i="9" s="1"/>
  <c r="J3085" i="9"/>
  <c r="J3084" i="9"/>
  <c r="L3084" i="9" s="1"/>
  <c r="L3083" i="9"/>
  <c r="J3083" i="9"/>
  <c r="K3083" i="9" s="1"/>
  <c r="J3082" i="9"/>
  <c r="L3082" i="9" s="1"/>
  <c r="J3081" i="9"/>
  <c r="K3081" i="9" s="1"/>
  <c r="K3080" i="9"/>
  <c r="J3080" i="9"/>
  <c r="L3080" i="9" s="1"/>
  <c r="J3079" i="9"/>
  <c r="L3079" i="9" s="1"/>
  <c r="J3078" i="9"/>
  <c r="L3078" i="9" s="1"/>
  <c r="L3077" i="9"/>
  <c r="J3077" i="9"/>
  <c r="K3077" i="9" s="1"/>
  <c r="J3076" i="9"/>
  <c r="L3075" i="9"/>
  <c r="J3075" i="9"/>
  <c r="K3075" i="9" s="1"/>
  <c r="J3074" i="9"/>
  <c r="J3073" i="9"/>
  <c r="K3073" i="9" s="1"/>
  <c r="L3072" i="9"/>
  <c r="J3072" i="9"/>
  <c r="K3072" i="9" s="1"/>
  <c r="J3071" i="9"/>
  <c r="L3071" i="9" s="1"/>
  <c r="J3070" i="9"/>
  <c r="L3070" i="9" s="1"/>
  <c r="J3069" i="9"/>
  <c r="J3068" i="9"/>
  <c r="J3067" i="9"/>
  <c r="J3066" i="9"/>
  <c r="J3065" i="9"/>
  <c r="K3065" i="9" s="1"/>
  <c r="J3064" i="9"/>
  <c r="J3063" i="9"/>
  <c r="L3063" i="9" s="1"/>
  <c r="J3062" i="9"/>
  <c r="L3062" i="9" s="1"/>
  <c r="J3061" i="9"/>
  <c r="J3060" i="9"/>
  <c r="L3060" i="9" s="1"/>
  <c r="J3059" i="9"/>
  <c r="K3059" i="9" s="1"/>
  <c r="K3058" i="9"/>
  <c r="J3058" i="9"/>
  <c r="L3058" i="9" s="1"/>
  <c r="J3057" i="9"/>
  <c r="J3056" i="9"/>
  <c r="J3055" i="9"/>
  <c r="J3054" i="9"/>
  <c r="J3053" i="9"/>
  <c r="K3053" i="9" s="1"/>
  <c r="J3052" i="9"/>
  <c r="K3052" i="9" s="1"/>
  <c r="J3051" i="9"/>
  <c r="J3050" i="9"/>
  <c r="L3050" i="9" s="1"/>
  <c r="J3049" i="9"/>
  <c r="J3048" i="9"/>
  <c r="J3047" i="9"/>
  <c r="J3046" i="9"/>
  <c r="J3045" i="9"/>
  <c r="J3044" i="9"/>
  <c r="J3043" i="9"/>
  <c r="J3042" i="9"/>
  <c r="K3042" i="9" s="1"/>
  <c r="J3041" i="9"/>
  <c r="J3040" i="9"/>
  <c r="L3039" i="9"/>
  <c r="J3039" i="9"/>
  <c r="K3039" i="9" s="1"/>
  <c r="J3038" i="9"/>
  <c r="J3037" i="9"/>
  <c r="K3036" i="9"/>
  <c r="J3036" i="9"/>
  <c r="L3036" i="9" s="1"/>
  <c r="J3035" i="9"/>
  <c r="K3034" i="9"/>
  <c r="J3034" i="9"/>
  <c r="L3034" i="9" s="1"/>
  <c r="J3033" i="9"/>
  <c r="K3033" i="9" s="1"/>
  <c r="J3032" i="9"/>
  <c r="J3031" i="9"/>
  <c r="J3030" i="9"/>
  <c r="J3029" i="9"/>
  <c r="J3028" i="9"/>
  <c r="J3027" i="9"/>
  <c r="J3026" i="9"/>
  <c r="K3026" i="9" s="1"/>
  <c r="J3025" i="9"/>
  <c r="J3024" i="9"/>
  <c r="L3023" i="9"/>
  <c r="J3023" i="9"/>
  <c r="K3023" i="9" s="1"/>
  <c r="J3022" i="9"/>
  <c r="J3021" i="9"/>
  <c r="K3020" i="9"/>
  <c r="J3020" i="9"/>
  <c r="L3020" i="9" s="1"/>
  <c r="J3019" i="9"/>
  <c r="L3018" i="9"/>
  <c r="K3018" i="9"/>
  <c r="J3018" i="9"/>
  <c r="J3017" i="9"/>
  <c r="J3016" i="9"/>
  <c r="J3015" i="9"/>
  <c r="J3014" i="9"/>
  <c r="J3013" i="9"/>
  <c r="J3012" i="9"/>
  <c r="J3011" i="9"/>
  <c r="J3010" i="9"/>
  <c r="J3009" i="9"/>
  <c r="J3008" i="9"/>
  <c r="J3007" i="9"/>
  <c r="J3006" i="9"/>
  <c r="J3005" i="9"/>
  <c r="J3004" i="9"/>
  <c r="J3003" i="9"/>
  <c r="J3002" i="9"/>
  <c r="L3002" i="9" s="1"/>
  <c r="L3001" i="9"/>
  <c r="J3001" i="9"/>
  <c r="K3001" i="9" s="1"/>
  <c r="J3000" i="9"/>
  <c r="J2999" i="9"/>
  <c r="J2998" i="9"/>
  <c r="J2997" i="9"/>
  <c r="J2996" i="9"/>
  <c r="J2995" i="9"/>
  <c r="J2994" i="9"/>
  <c r="K2994" i="9" s="1"/>
  <c r="J2993" i="9"/>
  <c r="J2992" i="9"/>
  <c r="J2991" i="9"/>
  <c r="J2990" i="9"/>
  <c r="J2989" i="9"/>
  <c r="J2988" i="9"/>
  <c r="J2987" i="9"/>
  <c r="J2986" i="9"/>
  <c r="L2985" i="9"/>
  <c r="J2985" i="9"/>
  <c r="K2985" i="9" s="1"/>
  <c r="J2984" i="9"/>
  <c r="J2983" i="9"/>
  <c r="J2982" i="9"/>
  <c r="J2981" i="9"/>
  <c r="J2980" i="9"/>
  <c r="J2979" i="9"/>
  <c r="L2978" i="9"/>
  <c r="J2978" i="9"/>
  <c r="K2978" i="9" s="1"/>
  <c r="J2977" i="9"/>
  <c r="J2976" i="9"/>
  <c r="L2975" i="9"/>
  <c r="J2975" i="9"/>
  <c r="K2975" i="9" s="1"/>
  <c r="J2974" i="9"/>
  <c r="J2973" i="9"/>
  <c r="K2972" i="9"/>
  <c r="J2972" i="9"/>
  <c r="L2972" i="9" s="1"/>
  <c r="J2971" i="9"/>
  <c r="K2970" i="9"/>
  <c r="J2970" i="9"/>
  <c r="L2970" i="9" s="1"/>
  <c r="J2969" i="9"/>
  <c r="K2969" i="9" s="1"/>
  <c r="J2968" i="9"/>
  <c r="J2967" i="9"/>
  <c r="J2966" i="9"/>
  <c r="J2965" i="9"/>
  <c r="J2964" i="9"/>
  <c r="L2964" i="9" s="1"/>
  <c r="J2963" i="9"/>
  <c r="J2962" i="9"/>
  <c r="L2962" i="9" s="1"/>
  <c r="J2961" i="9"/>
  <c r="J2960" i="9"/>
  <c r="L2959" i="9"/>
  <c r="J2959" i="9"/>
  <c r="K2959" i="9" s="1"/>
  <c r="J2958" i="9"/>
  <c r="J2957" i="9"/>
  <c r="K2956" i="9"/>
  <c r="J2956" i="9"/>
  <c r="L2956" i="9" s="1"/>
  <c r="J2955" i="9"/>
  <c r="L2954" i="9"/>
  <c r="K2954" i="9"/>
  <c r="J2954" i="9"/>
  <c r="J2953" i="9"/>
  <c r="J2952" i="9"/>
  <c r="J2951" i="9"/>
  <c r="J2950" i="9"/>
  <c r="J2949" i="9"/>
  <c r="J2948" i="9"/>
  <c r="J2947" i="9"/>
  <c r="J2946" i="9"/>
  <c r="J2945" i="9"/>
  <c r="K2945" i="9" s="1"/>
  <c r="J2944" i="9"/>
  <c r="J2943" i="9"/>
  <c r="K2943" i="9" s="1"/>
  <c r="J2942" i="9"/>
  <c r="J2941" i="9"/>
  <c r="J2940" i="9"/>
  <c r="L2940" i="9" s="1"/>
  <c r="J2939" i="9"/>
  <c r="K2938" i="9"/>
  <c r="J2938" i="9"/>
  <c r="L2938" i="9" s="1"/>
  <c r="J2937" i="9"/>
  <c r="K2937" i="9" s="1"/>
  <c r="J2936" i="9"/>
  <c r="J2935" i="9"/>
  <c r="K2935" i="9" s="1"/>
  <c r="J2934" i="9"/>
  <c r="J2933" i="9"/>
  <c r="J2932" i="9"/>
  <c r="L2932" i="9" s="1"/>
  <c r="J2931" i="9"/>
  <c r="J2930" i="9"/>
  <c r="L2930" i="9" s="1"/>
  <c r="J2929" i="9"/>
  <c r="J2928" i="9"/>
  <c r="L2927" i="9"/>
  <c r="J2927" i="9"/>
  <c r="K2927" i="9" s="1"/>
  <c r="J2926" i="9"/>
  <c r="J2925" i="9"/>
  <c r="K2924" i="9"/>
  <c r="J2924" i="9"/>
  <c r="L2924" i="9" s="1"/>
  <c r="J2923" i="9"/>
  <c r="L2922" i="9"/>
  <c r="K2922" i="9"/>
  <c r="J2922" i="9"/>
  <c r="J2921" i="9"/>
  <c r="J2920" i="9"/>
  <c r="J2919" i="9"/>
  <c r="J2918" i="9"/>
  <c r="J2917" i="9"/>
  <c r="J2916" i="9"/>
  <c r="J2915" i="9"/>
  <c r="J2914" i="9"/>
  <c r="J2913" i="9"/>
  <c r="K2913" i="9" s="1"/>
  <c r="J2912" i="9"/>
  <c r="J2911" i="9"/>
  <c r="J2910" i="9"/>
  <c r="J2909" i="9"/>
  <c r="J2908" i="9"/>
  <c r="J2907" i="9"/>
  <c r="J2906" i="9"/>
  <c r="L2906" i="9" s="1"/>
  <c r="L2905" i="9"/>
  <c r="J2905" i="9"/>
  <c r="K2905" i="9" s="1"/>
  <c r="J2904" i="9"/>
  <c r="J2903" i="9"/>
  <c r="J2902" i="9"/>
  <c r="J2901" i="9"/>
  <c r="J2900" i="9"/>
  <c r="J2899" i="9"/>
  <c r="J2898" i="9"/>
  <c r="J2897" i="9"/>
  <c r="J2896" i="9"/>
  <c r="J2895" i="9"/>
  <c r="J2894" i="9"/>
  <c r="J2893" i="9"/>
  <c r="J2892" i="9"/>
  <c r="J2891" i="9"/>
  <c r="J2890" i="9"/>
  <c r="J2889" i="9"/>
  <c r="K2889" i="9" s="1"/>
  <c r="J2888" i="9"/>
  <c r="J2887" i="9"/>
  <c r="J2886" i="9"/>
  <c r="J2885" i="9"/>
  <c r="J2884" i="9"/>
  <c r="J2883" i="9"/>
  <c r="J2882" i="9"/>
  <c r="K2882" i="9" s="1"/>
  <c r="L2881" i="9"/>
  <c r="J2881" i="9"/>
  <c r="K2881" i="9" s="1"/>
  <c r="J2880" i="9"/>
  <c r="L2879" i="9"/>
  <c r="J2879" i="9"/>
  <c r="K2879" i="9" s="1"/>
  <c r="J2878" i="9"/>
  <c r="J2877" i="9"/>
  <c r="K2876" i="9"/>
  <c r="J2876" i="9"/>
  <c r="L2876" i="9" s="1"/>
  <c r="J2875" i="9"/>
  <c r="J2874" i="9"/>
  <c r="L2874" i="9" s="1"/>
  <c r="L2873" i="9"/>
  <c r="J2873" i="9"/>
  <c r="K2873" i="9" s="1"/>
  <c r="J2872" i="9"/>
  <c r="J2871" i="9"/>
  <c r="J2870" i="9"/>
  <c r="J2869" i="9"/>
  <c r="J2868" i="9"/>
  <c r="J2867" i="9"/>
  <c r="J2866" i="9"/>
  <c r="L2866" i="9" s="1"/>
  <c r="J2865" i="9"/>
  <c r="J2864" i="9"/>
  <c r="J2863" i="9"/>
  <c r="K2863" i="9" s="1"/>
  <c r="J2862" i="9"/>
  <c r="J2861" i="9"/>
  <c r="J2860" i="9"/>
  <c r="L2860" i="9" s="1"/>
  <c r="J2859" i="9"/>
  <c r="L2858" i="9"/>
  <c r="J2858" i="9"/>
  <c r="K2858" i="9" s="1"/>
  <c r="J2857" i="9"/>
  <c r="K2857" i="9" s="1"/>
  <c r="J2856" i="9"/>
  <c r="J2855" i="9"/>
  <c r="J2854" i="9"/>
  <c r="J2853" i="9"/>
  <c r="K2852" i="9"/>
  <c r="J2852" i="9"/>
  <c r="L2852" i="9" s="1"/>
  <c r="J2851" i="9"/>
  <c r="K2850" i="9"/>
  <c r="J2850" i="9"/>
  <c r="L2850" i="9" s="1"/>
  <c r="J2849" i="9"/>
  <c r="K2849" i="9" s="1"/>
  <c r="J2848" i="9"/>
  <c r="L2847" i="9"/>
  <c r="J2847" i="9"/>
  <c r="K2847" i="9" s="1"/>
  <c r="J2846" i="9"/>
  <c r="J2845" i="9"/>
  <c r="K2844" i="9"/>
  <c r="J2844" i="9"/>
  <c r="L2844" i="9" s="1"/>
  <c r="J2843" i="9"/>
  <c r="K2842" i="9"/>
  <c r="J2842" i="9"/>
  <c r="L2842" i="9" s="1"/>
  <c r="J2841" i="9"/>
  <c r="K2841" i="9" s="1"/>
  <c r="J2840" i="9"/>
  <c r="J2839" i="9"/>
  <c r="K2839" i="9" s="1"/>
  <c r="J2838" i="9"/>
  <c r="J2837" i="9"/>
  <c r="J2836" i="9"/>
  <c r="L2836" i="9" s="1"/>
  <c r="J2835" i="9"/>
  <c r="L2834" i="9"/>
  <c r="J2834" i="9"/>
  <c r="K2834" i="9" s="1"/>
  <c r="J2833" i="9"/>
  <c r="J2832" i="9"/>
  <c r="J2831" i="9"/>
  <c r="K2831" i="9" s="1"/>
  <c r="J2830" i="9"/>
  <c r="J2829" i="9"/>
  <c r="J2828" i="9"/>
  <c r="L2828" i="9" s="1"/>
  <c r="J2827" i="9"/>
  <c r="J2826" i="9"/>
  <c r="L2826" i="9" s="1"/>
  <c r="L2825" i="9"/>
  <c r="J2825" i="9"/>
  <c r="K2825" i="9" s="1"/>
  <c r="J2824" i="9"/>
  <c r="J2823" i="9"/>
  <c r="J2822" i="9"/>
  <c r="J2821" i="9"/>
  <c r="J2820" i="9"/>
  <c r="J2819" i="9"/>
  <c r="J2818" i="9"/>
  <c r="L2818" i="9" s="1"/>
  <c r="J2817" i="9"/>
  <c r="K2817" i="9" s="1"/>
  <c r="J2816" i="9"/>
  <c r="J2815" i="9"/>
  <c r="K2815" i="9" s="1"/>
  <c r="J2814" i="9"/>
  <c r="J2813" i="9"/>
  <c r="J2812" i="9"/>
  <c r="L2812" i="9" s="1"/>
  <c r="J2811" i="9"/>
  <c r="L2810" i="9"/>
  <c r="J2810" i="9"/>
  <c r="K2810" i="9" s="1"/>
  <c r="J2809" i="9"/>
  <c r="K2809" i="9" s="1"/>
  <c r="J2808" i="9"/>
  <c r="J2807" i="9"/>
  <c r="K2807" i="9" s="1"/>
  <c r="J2806" i="9"/>
  <c r="J2805" i="9"/>
  <c r="J2804" i="9"/>
  <c r="L2804" i="9" s="1"/>
  <c r="J2803" i="9"/>
  <c r="J2802" i="9"/>
  <c r="L2801" i="9"/>
  <c r="J2801" i="9"/>
  <c r="K2801" i="9" s="1"/>
  <c r="J2800" i="9"/>
  <c r="J2799" i="9"/>
  <c r="K2799" i="9" s="1"/>
  <c r="J2798" i="9"/>
  <c r="J2797" i="9"/>
  <c r="J2796" i="9"/>
  <c r="L2796" i="9" s="1"/>
  <c r="J2795" i="9"/>
  <c r="J2794" i="9"/>
  <c r="L2794" i="9" s="1"/>
  <c r="J2793" i="9"/>
  <c r="K2793" i="9" s="1"/>
  <c r="J2792" i="9"/>
  <c r="L2791" i="9"/>
  <c r="J2791" i="9"/>
  <c r="K2791" i="9" s="1"/>
  <c r="J2790" i="9"/>
  <c r="K2790" i="9" s="1"/>
  <c r="J2789" i="9"/>
  <c r="K2788" i="9"/>
  <c r="J2788" i="9"/>
  <c r="L2788" i="9" s="1"/>
  <c r="J2787" i="9"/>
  <c r="K2786" i="9"/>
  <c r="J2786" i="9"/>
  <c r="L2786" i="9" s="1"/>
  <c r="J2785" i="9"/>
  <c r="J2784" i="9"/>
  <c r="L2783" i="9"/>
  <c r="J2783" i="9"/>
  <c r="K2783" i="9" s="1"/>
  <c r="J2782" i="9"/>
  <c r="K2782" i="9" s="1"/>
  <c r="J2781" i="9"/>
  <c r="K2780" i="9"/>
  <c r="J2780" i="9"/>
  <c r="L2780" i="9" s="1"/>
  <c r="J2779" i="9"/>
  <c r="K2778" i="9"/>
  <c r="J2778" i="9"/>
  <c r="L2778" i="9" s="1"/>
  <c r="J2777" i="9"/>
  <c r="K2777" i="9" s="1"/>
  <c r="J2776" i="9"/>
  <c r="J2775" i="9"/>
  <c r="K2775" i="9" s="1"/>
  <c r="J2774" i="9"/>
  <c r="K2774" i="9" s="1"/>
  <c r="J2773" i="9"/>
  <c r="J2772" i="9"/>
  <c r="L2772" i="9" s="1"/>
  <c r="J2771" i="9"/>
  <c r="L2770" i="9"/>
  <c r="J2770" i="9"/>
  <c r="K2770" i="9" s="1"/>
  <c r="J2769" i="9"/>
  <c r="J2768" i="9"/>
  <c r="J2767" i="9"/>
  <c r="K2767" i="9" s="1"/>
  <c r="J2766" i="9"/>
  <c r="K2766" i="9" s="1"/>
  <c r="J2765" i="9"/>
  <c r="J2764" i="9"/>
  <c r="L2764" i="9" s="1"/>
  <c r="J2763" i="9"/>
  <c r="J2762" i="9"/>
  <c r="L2762" i="9" s="1"/>
  <c r="J2761" i="9"/>
  <c r="L2761" i="9" s="1"/>
  <c r="J2760" i="9"/>
  <c r="J2759" i="9"/>
  <c r="K2759" i="9" s="1"/>
  <c r="J2758" i="9"/>
  <c r="J2757" i="9"/>
  <c r="J2756" i="9"/>
  <c r="L2756" i="9" s="1"/>
  <c r="J2755" i="9"/>
  <c r="J2754" i="9"/>
  <c r="L2754" i="9" s="1"/>
  <c r="L2753" i="9"/>
  <c r="J2753" i="9"/>
  <c r="K2753" i="9" s="1"/>
  <c r="J2752" i="9"/>
  <c r="J2751" i="9"/>
  <c r="J2750" i="9"/>
  <c r="K2750" i="9" s="1"/>
  <c r="J2749" i="9"/>
  <c r="J2748" i="9"/>
  <c r="J2747" i="9"/>
  <c r="J2746" i="9"/>
  <c r="J2745" i="9"/>
  <c r="L2745" i="9" s="1"/>
  <c r="J2744" i="9"/>
  <c r="J2743" i="9"/>
  <c r="J2742" i="9"/>
  <c r="K2742" i="9" s="1"/>
  <c r="J2741" i="9"/>
  <c r="J2740" i="9"/>
  <c r="L2740" i="9" s="1"/>
  <c r="J2739" i="9"/>
  <c r="L2738" i="9"/>
  <c r="J2738" i="9"/>
  <c r="K2738" i="9" s="1"/>
  <c r="J2737" i="9"/>
  <c r="J2736" i="9"/>
  <c r="J2735" i="9"/>
  <c r="K2735" i="9" s="1"/>
  <c r="J2734" i="9"/>
  <c r="K2734" i="9" s="1"/>
  <c r="J2733" i="9"/>
  <c r="J2732" i="9"/>
  <c r="L2732" i="9" s="1"/>
  <c r="J2731" i="9"/>
  <c r="L2730" i="9"/>
  <c r="J2730" i="9"/>
  <c r="K2730" i="9" s="1"/>
  <c r="J2729" i="9"/>
  <c r="L2729" i="9" s="1"/>
  <c r="J2728" i="9"/>
  <c r="J2727" i="9"/>
  <c r="K2727" i="9" s="1"/>
  <c r="J2726" i="9"/>
  <c r="J2725" i="9"/>
  <c r="J2724" i="9"/>
  <c r="L2724" i="9" s="1"/>
  <c r="J2723" i="9"/>
  <c r="J2722" i="9"/>
  <c r="K2722" i="9" s="1"/>
  <c r="L2721" i="9"/>
  <c r="K2721" i="9"/>
  <c r="J2721" i="9"/>
  <c r="J2720" i="9"/>
  <c r="L2719" i="9"/>
  <c r="J2719" i="9"/>
  <c r="K2719" i="9" s="1"/>
  <c r="J2718" i="9"/>
  <c r="K2718" i="9" s="1"/>
  <c r="J2717" i="9"/>
  <c r="K2716" i="9"/>
  <c r="J2716" i="9"/>
  <c r="L2716" i="9" s="1"/>
  <c r="J2715" i="9"/>
  <c r="J2714" i="9"/>
  <c r="J2713" i="9"/>
  <c r="L2713" i="9" s="1"/>
  <c r="J2712" i="9"/>
  <c r="J2711" i="9"/>
  <c r="J2710" i="9"/>
  <c r="K2710" i="9" s="1"/>
  <c r="J2709" i="9"/>
  <c r="J2708" i="9"/>
  <c r="L2708" i="9" s="1"/>
  <c r="J2707" i="9"/>
  <c r="L2706" i="9"/>
  <c r="J2706" i="9"/>
  <c r="K2706" i="9" s="1"/>
  <c r="J2705" i="9"/>
  <c r="J2704" i="9"/>
  <c r="J2703" i="9"/>
  <c r="K2703" i="9" s="1"/>
  <c r="J2702" i="9"/>
  <c r="K2702" i="9" s="1"/>
  <c r="J2701" i="9"/>
  <c r="K2700" i="9"/>
  <c r="J2700" i="9"/>
  <c r="L2700" i="9" s="1"/>
  <c r="J2699" i="9"/>
  <c r="L2698" i="9"/>
  <c r="K2698" i="9"/>
  <c r="J2698" i="9"/>
  <c r="J2697" i="9"/>
  <c r="L2697" i="9" s="1"/>
  <c r="J2696" i="9"/>
  <c r="L2695" i="9"/>
  <c r="J2695" i="9"/>
  <c r="K2695" i="9" s="1"/>
  <c r="J2694" i="9"/>
  <c r="J2693" i="9"/>
  <c r="K2692" i="9"/>
  <c r="J2692" i="9"/>
  <c r="L2692" i="9" s="1"/>
  <c r="J2691" i="9"/>
  <c r="L2690" i="9"/>
  <c r="K2690" i="9"/>
  <c r="J2690" i="9"/>
  <c r="J2689" i="9"/>
  <c r="J2688" i="9"/>
  <c r="J2687" i="9"/>
  <c r="K2687" i="9" s="1"/>
  <c r="J2686" i="9"/>
  <c r="K2686" i="9" s="1"/>
  <c r="J2685" i="9"/>
  <c r="J2684" i="9"/>
  <c r="L2684" i="9" s="1"/>
  <c r="J2683" i="9"/>
  <c r="J2682" i="9"/>
  <c r="L2682" i="9" s="1"/>
  <c r="K2681" i="9"/>
  <c r="J2681" i="9"/>
  <c r="L2681" i="9" s="1"/>
  <c r="J2680" i="9"/>
  <c r="J2679" i="9"/>
  <c r="L2678" i="9"/>
  <c r="J2678" i="9"/>
  <c r="K2678" i="9" s="1"/>
  <c r="J2677" i="9"/>
  <c r="J2676" i="9"/>
  <c r="J2675" i="9"/>
  <c r="J2674" i="9"/>
  <c r="L2674" i="9" s="1"/>
  <c r="J2673" i="9"/>
  <c r="J2672" i="9"/>
  <c r="J2671" i="9"/>
  <c r="K2671" i="9" s="1"/>
  <c r="J2670" i="9"/>
  <c r="J2669" i="9"/>
  <c r="J2668" i="9"/>
  <c r="L2668" i="9" s="1"/>
  <c r="J2667" i="9"/>
  <c r="K2666" i="9"/>
  <c r="J2666" i="9"/>
  <c r="L2666" i="9" s="1"/>
  <c r="J2665" i="9"/>
  <c r="K2665" i="9" s="1"/>
  <c r="J2664" i="9"/>
  <c r="L2663" i="9"/>
  <c r="J2663" i="9"/>
  <c r="K2663" i="9" s="1"/>
  <c r="J2662" i="9"/>
  <c r="J2661" i="9"/>
  <c r="K2660" i="9"/>
  <c r="J2660" i="9"/>
  <c r="L2660" i="9" s="1"/>
  <c r="J2659" i="9"/>
  <c r="L2658" i="9"/>
  <c r="K2658" i="9"/>
  <c r="J2658" i="9"/>
  <c r="J2657" i="9"/>
  <c r="J2656" i="9"/>
  <c r="J2655" i="9"/>
  <c r="K2655" i="9" s="1"/>
  <c r="J2654" i="9"/>
  <c r="K2654" i="9" s="1"/>
  <c r="J2653" i="9"/>
  <c r="J2652" i="9"/>
  <c r="L2652" i="9" s="1"/>
  <c r="J2651" i="9"/>
  <c r="J2650" i="9"/>
  <c r="L2650" i="9" s="1"/>
  <c r="K2649" i="9"/>
  <c r="J2649" i="9"/>
  <c r="L2649" i="9" s="1"/>
  <c r="J2648" i="9"/>
  <c r="J2647" i="9"/>
  <c r="L2646" i="9"/>
  <c r="J2646" i="9"/>
  <c r="K2646" i="9" s="1"/>
  <c r="J2645" i="9"/>
  <c r="J2644" i="9"/>
  <c r="J2643" i="9"/>
  <c r="J2642" i="9"/>
  <c r="L2642" i="9" s="1"/>
  <c r="J2641" i="9"/>
  <c r="J2640" i="9"/>
  <c r="J2639" i="9"/>
  <c r="J2638" i="9"/>
  <c r="J2637" i="9"/>
  <c r="K2637" i="9" s="1"/>
  <c r="J2636" i="9"/>
  <c r="L2636" i="9" s="1"/>
  <c r="J2635" i="9"/>
  <c r="L2634" i="9"/>
  <c r="J2634" i="9"/>
  <c r="K2634" i="9" s="1"/>
  <c r="J2633" i="9"/>
  <c r="K2633" i="9" s="1"/>
  <c r="J2632" i="9"/>
  <c r="J2631" i="9"/>
  <c r="J2630" i="9"/>
  <c r="L2630" i="9" s="1"/>
  <c r="J2629" i="9"/>
  <c r="J2628" i="9"/>
  <c r="J2627" i="9"/>
  <c r="J2626" i="9"/>
  <c r="J2625" i="9"/>
  <c r="L2625" i="9" s="1"/>
  <c r="J2624" i="9"/>
  <c r="J2623" i="9"/>
  <c r="J2622" i="9"/>
  <c r="K2622" i="9" s="1"/>
  <c r="J2621" i="9"/>
  <c r="K2621" i="9" s="1"/>
  <c r="J2620" i="9"/>
  <c r="J2619" i="9"/>
  <c r="J2618" i="9"/>
  <c r="K2618" i="9" s="1"/>
  <c r="J2617" i="9"/>
  <c r="K2617" i="9" s="1"/>
  <c r="J2616" i="9"/>
  <c r="J2615" i="9"/>
  <c r="K2615" i="9" s="1"/>
  <c r="J2614" i="9"/>
  <c r="J2613" i="9"/>
  <c r="J2612" i="9"/>
  <c r="J2611" i="9"/>
  <c r="L2610" i="9"/>
  <c r="J2610" i="9"/>
  <c r="K2610" i="9" s="1"/>
  <c r="J2609" i="9"/>
  <c r="J2608" i="9"/>
  <c r="J2607" i="9"/>
  <c r="J2606" i="9"/>
  <c r="J2605" i="9"/>
  <c r="J2604" i="9"/>
  <c r="J2603" i="9"/>
  <c r="J2602" i="9"/>
  <c r="J2601" i="9"/>
  <c r="J2600" i="9"/>
  <c r="J2599" i="9"/>
  <c r="K2598" i="9"/>
  <c r="J2598" i="9"/>
  <c r="L2598" i="9" s="1"/>
  <c r="J2597" i="9"/>
  <c r="J2596" i="9"/>
  <c r="J2595" i="9"/>
  <c r="J2594" i="9"/>
  <c r="K2594" i="9" s="1"/>
  <c r="J2593" i="9"/>
  <c r="L2593" i="9" s="1"/>
  <c r="J2592" i="9"/>
  <c r="J2591" i="9"/>
  <c r="J2590" i="9"/>
  <c r="K2590" i="9" s="1"/>
  <c r="J2589" i="9"/>
  <c r="J2588" i="9"/>
  <c r="J2587" i="9"/>
  <c r="J2586" i="9"/>
  <c r="J2585" i="9"/>
  <c r="J2584" i="9"/>
  <c r="J2583" i="9"/>
  <c r="K2582" i="9"/>
  <c r="J2582" i="9"/>
  <c r="L2582" i="9" s="1"/>
  <c r="J2581" i="9"/>
  <c r="J2580" i="9"/>
  <c r="J2579" i="9"/>
  <c r="J2578" i="9"/>
  <c r="K2578" i="9" s="1"/>
  <c r="K2577" i="9"/>
  <c r="J2577" i="9"/>
  <c r="L2577" i="9" s="1"/>
  <c r="J2576" i="9"/>
  <c r="J2575" i="9"/>
  <c r="L2574" i="9"/>
  <c r="J2574" i="9"/>
  <c r="K2574" i="9" s="1"/>
  <c r="J2573" i="9"/>
  <c r="K2573" i="9" s="1"/>
  <c r="J2572" i="9"/>
  <c r="J2571" i="9"/>
  <c r="J2570" i="9"/>
  <c r="K2570" i="9" s="1"/>
  <c r="J2569" i="9"/>
  <c r="J2568" i="9"/>
  <c r="J2567" i="9"/>
  <c r="J2566" i="9"/>
  <c r="L2566" i="9" s="1"/>
  <c r="J2565" i="9"/>
  <c r="J2564" i="9"/>
  <c r="J2563" i="9"/>
  <c r="J2562" i="9"/>
  <c r="J2561" i="9"/>
  <c r="K2561" i="9" s="1"/>
  <c r="J2560" i="9"/>
  <c r="J2559" i="9"/>
  <c r="J2558" i="9"/>
  <c r="K2558" i="9" s="1"/>
  <c r="J2557" i="9"/>
  <c r="K2557" i="9" s="1"/>
  <c r="J2556" i="9"/>
  <c r="J2555" i="9"/>
  <c r="J2554" i="9"/>
  <c r="J2553" i="9"/>
  <c r="J2552" i="9"/>
  <c r="J2551" i="9"/>
  <c r="J2550" i="9"/>
  <c r="J2549" i="9"/>
  <c r="J2548" i="9"/>
  <c r="J2547" i="9"/>
  <c r="J2546" i="9"/>
  <c r="L2546" i="9" s="1"/>
  <c r="J2545" i="9"/>
  <c r="K2545" i="9" s="1"/>
  <c r="J2544" i="9"/>
  <c r="J2543" i="9"/>
  <c r="J2542" i="9"/>
  <c r="J2541" i="9"/>
  <c r="K2541" i="9" s="1"/>
  <c r="J2540" i="9"/>
  <c r="J2539" i="9"/>
  <c r="J2538" i="9"/>
  <c r="J2537" i="9"/>
  <c r="J2536" i="9"/>
  <c r="J2535" i="9"/>
  <c r="J2534" i="9"/>
  <c r="J2533" i="9"/>
  <c r="K2533" i="9" s="1"/>
  <c r="J2532" i="9"/>
  <c r="J2531" i="9"/>
  <c r="J2530" i="9"/>
  <c r="L2530" i="9" s="1"/>
  <c r="J2529" i="9"/>
  <c r="K2529" i="9" s="1"/>
  <c r="J2528" i="9"/>
  <c r="J2527" i="9"/>
  <c r="J2526" i="9"/>
  <c r="J2525" i="9"/>
  <c r="J2524" i="9"/>
  <c r="J2523" i="9"/>
  <c r="J2522" i="9"/>
  <c r="J2521" i="9"/>
  <c r="J2520" i="9"/>
  <c r="J2519" i="9"/>
  <c r="J2518" i="9"/>
  <c r="L2518" i="9" s="1"/>
  <c r="J2517" i="9"/>
  <c r="J2516" i="9"/>
  <c r="J2515" i="9"/>
  <c r="K2514" i="9"/>
  <c r="J2514" i="9"/>
  <c r="L2514" i="9" s="1"/>
  <c r="J2513" i="9"/>
  <c r="J2512" i="9"/>
  <c r="J2511" i="9"/>
  <c r="L2510" i="9"/>
  <c r="J2510" i="9"/>
  <c r="K2510" i="9" s="1"/>
  <c r="J2509" i="9"/>
  <c r="J2508" i="9"/>
  <c r="J2507" i="9"/>
  <c r="J2506" i="9"/>
  <c r="L2506" i="9" s="1"/>
  <c r="J2505" i="9"/>
  <c r="J2504" i="9"/>
  <c r="J2503" i="9"/>
  <c r="J2502" i="9"/>
  <c r="L2502" i="9" s="1"/>
  <c r="J2501" i="9"/>
  <c r="K2501" i="9" s="1"/>
  <c r="J2500" i="9"/>
  <c r="J2499" i="9"/>
  <c r="J2498" i="9"/>
  <c r="J2497" i="9"/>
  <c r="K2497" i="9" s="1"/>
  <c r="J2496" i="9"/>
  <c r="J2495" i="9"/>
  <c r="J2494" i="9"/>
  <c r="L2494" i="9" s="1"/>
  <c r="J2493" i="9"/>
  <c r="K2493" i="9" s="1"/>
  <c r="J2492" i="9"/>
  <c r="J2491" i="9"/>
  <c r="J2490" i="9"/>
  <c r="J2489" i="9"/>
  <c r="J2488" i="9"/>
  <c r="J2487" i="9"/>
  <c r="J2486" i="9"/>
  <c r="L2486" i="9" s="1"/>
  <c r="J2485" i="9"/>
  <c r="K2485" i="9" s="1"/>
  <c r="J2484" i="9"/>
  <c r="J2483" i="9"/>
  <c r="J2482" i="9"/>
  <c r="K2482" i="9" s="1"/>
  <c r="J2481" i="9"/>
  <c r="J2480" i="9"/>
  <c r="J2479" i="9"/>
  <c r="K2478" i="9"/>
  <c r="J2478" i="9"/>
  <c r="L2478" i="9" s="1"/>
  <c r="J2477" i="9"/>
  <c r="K2477" i="9" s="1"/>
  <c r="J2476" i="9"/>
  <c r="J2475" i="9"/>
  <c r="J2474" i="9"/>
  <c r="J2473" i="9"/>
  <c r="J2472" i="9"/>
  <c r="J2471" i="9"/>
  <c r="J2470" i="9"/>
  <c r="K2470" i="9" s="1"/>
  <c r="J2469" i="9"/>
  <c r="J2468" i="9"/>
  <c r="J2467" i="9"/>
  <c r="J2466" i="9"/>
  <c r="J2465" i="9"/>
  <c r="K2465" i="9" s="1"/>
  <c r="J2464" i="9"/>
  <c r="J2463" i="9"/>
  <c r="J2462" i="9"/>
  <c r="J2461" i="9"/>
  <c r="K2461" i="9" s="1"/>
  <c r="J2460" i="9"/>
  <c r="J2459" i="9"/>
  <c r="J2458" i="9"/>
  <c r="L2458" i="9" s="1"/>
  <c r="J2457" i="9"/>
  <c r="J2456" i="9"/>
  <c r="J2455" i="9"/>
  <c r="J2454" i="9"/>
  <c r="J2453" i="9"/>
  <c r="K2453" i="9" s="1"/>
  <c r="J2452" i="9"/>
  <c r="J2451" i="9"/>
  <c r="J2450" i="9"/>
  <c r="L2449" i="9"/>
  <c r="J2449" i="9"/>
  <c r="K2449" i="9" s="1"/>
  <c r="J2448" i="9"/>
  <c r="J2447" i="9"/>
  <c r="J2446" i="9"/>
  <c r="L2446" i="9" s="1"/>
  <c r="J2445" i="9"/>
  <c r="J2444" i="9"/>
  <c r="J2443" i="9"/>
  <c r="L2442" i="9"/>
  <c r="J2442" i="9"/>
  <c r="K2442" i="9" s="1"/>
  <c r="J2441" i="9"/>
  <c r="J2440" i="9"/>
  <c r="J2439" i="9"/>
  <c r="J2438" i="9"/>
  <c r="L2438" i="9" s="1"/>
  <c r="J2437" i="9"/>
  <c r="J2436" i="9"/>
  <c r="J2435" i="9"/>
  <c r="K2435" i="9" s="1"/>
  <c r="J2434" i="9"/>
  <c r="L2434" i="9" s="1"/>
  <c r="J2433" i="9"/>
  <c r="J2432" i="9"/>
  <c r="J2431" i="9"/>
  <c r="J2430" i="9"/>
  <c r="J2429" i="9"/>
  <c r="L2429" i="9" s="1"/>
  <c r="J2428" i="9"/>
  <c r="J2427" i="9"/>
  <c r="J2426" i="9"/>
  <c r="L2426" i="9" s="1"/>
  <c r="L2425" i="9"/>
  <c r="J2425" i="9"/>
  <c r="K2425" i="9" s="1"/>
  <c r="J2424" i="9"/>
  <c r="L2424" i="9" s="1"/>
  <c r="J2423" i="9"/>
  <c r="J2422" i="9"/>
  <c r="L2422" i="9" s="1"/>
  <c r="J2421" i="9"/>
  <c r="J2420" i="9"/>
  <c r="J2419" i="9"/>
  <c r="K2419" i="9" s="1"/>
  <c r="J2418" i="9"/>
  <c r="L2417" i="9"/>
  <c r="J2417" i="9"/>
  <c r="K2417" i="9" s="1"/>
  <c r="J2416" i="9"/>
  <c r="J2415" i="9"/>
  <c r="J2414" i="9"/>
  <c r="L2414" i="9" s="1"/>
  <c r="J2413" i="9"/>
  <c r="J2412" i="9"/>
  <c r="J2411" i="9"/>
  <c r="K2411" i="9" s="1"/>
  <c r="J2410" i="9"/>
  <c r="J2409" i="9"/>
  <c r="K2409" i="9" s="1"/>
  <c r="J2408" i="9"/>
  <c r="J2407" i="9"/>
  <c r="J2406" i="9"/>
  <c r="J2405" i="9"/>
  <c r="J2404" i="9"/>
  <c r="J2403" i="9"/>
  <c r="J2402" i="9"/>
  <c r="L2402" i="9" s="1"/>
  <c r="J2401" i="9"/>
  <c r="J2400" i="9"/>
  <c r="J2399" i="9"/>
  <c r="J2398" i="9"/>
  <c r="J2397" i="9"/>
  <c r="J2396" i="9"/>
  <c r="J2395" i="9"/>
  <c r="J2394" i="9"/>
  <c r="L2394" i="9" s="1"/>
  <c r="J2393" i="9"/>
  <c r="J2392" i="9"/>
  <c r="J2391" i="9"/>
  <c r="J2390" i="9"/>
  <c r="J2389" i="9"/>
  <c r="L2389" i="9" s="1"/>
  <c r="J2388" i="9"/>
  <c r="J2387" i="9"/>
  <c r="J2386" i="9"/>
  <c r="J2385" i="9"/>
  <c r="J2384" i="9"/>
  <c r="J2383" i="9"/>
  <c r="J2382" i="9"/>
  <c r="L2382" i="9" s="1"/>
  <c r="J2381" i="9"/>
  <c r="K2381" i="9" s="1"/>
  <c r="J2380" i="9"/>
  <c r="L2379" i="9"/>
  <c r="J2379" i="9"/>
  <c r="K2379" i="9" s="1"/>
  <c r="J2378" i="9"/>
  <c r="J2377" i="9"/>
  <c r="J2376" i="9"/>
  <c r="L2376" i="9" s="1"/>
  <c r="J2375" i="9"/>
  <c r="J2374" i="9"/>
  <c r="J2373" i="9"/>
  <c r="J2372" i="9"/>
  <c r="J2371" i="9"/>
  <c r="K2371" i="9" s="1"/>
  <c r="L2370" i="9"/>
  <c r="J2370" i="9"/>
  <c r="K2370" i="9" s="1"/>
  <c r="J2369" i="9"/>
  <c r="K2368" i="9"/>
  <c r="J2368" i="9"/>
  <c r="L2368" i="9" s="1"/>
  <c r="J2367" i="9"/>
  <c r="J2366" i="9"/>
  <c r="J2365" i="9"/>
  <c r="L2365" i="9" s="1"/>
  <c r="J2364" i="9"/>
  <c r="J2363" i="9"/>
  <c r="J2362" i="9"/>
  <c r="J2361" i="9"/>
  <c r="K2361" i="9" s="1"/>
  <c r="J2360" i="9"/>
  <c r="L2360" i="9" s="1"/>
  <c r="J2359" i="9"/>
  <c r="J2358" i="9"/>
  <c r="K2358" i="9" s="1"/>
  <c r="L2357" i="9"/>
  <c r="K2357" i="9"/>
  <c r="J2357" i="9"/>
  <c r="J2356" i="9"/>
  <c r="L2355" i="9"/>
  <c r="J2355" i="9"/>
  <c r="K2355" i="9" s="1"/>
  <c r="J2354" i="9"/>
  <c r="J2353" i="9"/>
  <c r="J2352" i="9"/>
  <c r="J2351" i="9"/>
  <c r="J2350" i="9"/>
  <c r="J2349" i="9"/>
  <c r="K2349" i="9" s="1"/>
  <c r="J2348" i="9"/>
  <c r="J2347" i="9"/>
  <c r="J2346" i="9"/>
  <c r="L2345" i="9"/>
  <c r="J2345" i="9"/>
  <c r="K2345" i="9" s="1"/>
  <c r="J2344" i="9"/>
  <c r="J2343" i="9"/>
  <c r="J2342" i="9"/>
  <c r="J2341" i="9"/>
  <c r="K2341" i="9" s="1"/>
  <c r="J2340" i="9"/>
  <c r="J2339" i="9"/>
  <c r="L2338" i="9"/>
  <c r="J2338" i="9"/>
  <c r="K2338" i="9" s="1"/>
  <c r="J2337" i="9"/>
  <c r="J2336" i="9"/>
  <c r="J2335" i="9"/>
  <c r="J2334" i="9"/>
  <c r="J2333" i="9"/>
  <c r="L2333" i="9" s="1"/>
  <c r="J2332" i="9"/>
  <c r="J2331" i="9"/>
  <c r="J2330" i="9"/>
  <c r="J2329" i="9"/>
  <c r="J2328" i="9"/>
  <c r="J2327" i="9"/>
  <c r="J2326" i="9"/>
  <c r="L2325" i="9"/>
  <c r="J2325" i="9"/>
  <c r="K2325" i="9" s="1"/>
  <c r="J2324" i="9"/>
  <c r="J2323" i="9"/>
  <c r="K2322" i="9"/>
  <c r="J2322" i="9"/>
  <c r="L2322" i="9" s="1"/>
  <c r="J2321" i="9"/>
  <c r="K2321" i="9" s="1"/>
  <c r="J2320" i="9"/>
  <c r="J2319" i="9"/>
  <c r="J2318" i="9"/>
  <c r="J2317" i="9"/>
  <c r="J2316" i="9"/>
  <c r="L2315" i="9"/>
  <c r="J2315" i="9"/>
  <c r="K2315" i="9" s="1"/>
  <c r="J2314" i="9"/>
  <c r="J2313" i="9"/>
  <c r="K2313" i="9" s="1"/>
  <c r="J2312" i="9"/>
  <c r="J2311" i="9"/>
  <c r="J2310" i="9"/>
  <c r="J2309" i="9"/>
  <c r="K2309" i="9" s="1"/>
  <c r="J2308" i="9"/>
  <c r="L2307" i="9"/>
  <c r="J2307" i="9"/>
  <c r="K2307" i="9" s="1"/>
  <c r="J2306" i="9"/>
  <c r="J2305" i="9"/>
  <c r="J2304" i="9"/>
  <c r="L2304" i="9" s="1"/>
  <c r="J2303" i="9"/>
  <c r="K2302" i="9"/>
  <c r="J2302" i="9"/>
  <c r="L2302" i="9" s="1"/>
  <c r="J2301" i="9"/>
  <c r="J2300" i="9"/>
  <c r="J2299" i="9"/>
  <c r="J2298" i="9"/>
  <c r="J2297" i="9"/>
  <c r="J2296" i="9"/>
  <c r="J2295" i="9"/>
  <c r="J2294" i="9"/>
  <c r="J2293" i="9"/>
  <c r="J2292" i="9"/>
  <c r="J2291" i="9"/>
  <c r="J2290" i="9"/>
  <c r="L2289" i="9"/>
  <c r="J2289" i="9"/>
  <c r="K2289" i="9" s="1"/>
  <c r="J2288" i="9"/>
  <c r="J2287" i="9"/>
  <c r="L2286" i="9"/>
  <c r="J2286" i="9"/>
  <c r="K2286" i="9" s="1"/>
  <c r="J2285" i="9"/>
  <c r="J2284" i="9"/>
  <c r="J2283" i="9"/>
  <c r="J2282" i="9"/>
  <c r="J2281" i="9"/>
  <c r="J2280" i="9"/>
  <c r="L2280" i="9" s="1"/>
  <c r="J2279" i="9"/>
  <c r="J2278" i="9"/>
  <c r="L2278" i="9" s="1"/>
  <c r="J2277" i="9"/>
  <c r="J2276" i="9"/>
  <c r="J2275" i="9"/>
  <c r="K2275" i="9" s="1"/>
  <c r="K2274" i="9"/>
  <c r="J2274" i="9"/>
  <c r="L2274" i="9" s="1"/>
  <c r="J2273" i="9"/>
  <c r="J2272" i="9"/>
  <c r="J2271" i="9"/>
  <c r="J2270" i="9"/>
  <c r="J2269" i="9"/>
  <c r="J2268" i="9"/>
  <c r="K2267" i="9"/>
  <c r="J2267" i="9"/>
  <c r="L2267" i="9" s="1"/>
  <c r="J2266" i="9"/>
  <c r="K2265" i="9"/>
  <c r="J2265" i="9"/>
  <c r="L2265" i="9" s="1"/>
  <c r="J2264" i="9"/>
  <c r="L2264" i="9" s="1"/>
  <c r="J2263" i="9"/>
  <c r="J2262" i="9"/>
  <c r="J2261" i="9"/>
  <c r="K2261" i="9" s="1"/>
  <c r="J2260" i="9"/>
  <c r="J2259" i="9"/>
  <c r="J2258" i="9"/>
  <c r="J2257" i="9"/>
  <c r="J2256" i="9"/>
  <c r="J2255" i="9"/>
  <c r="J2254" i="9"/>
  <c r="J2253" i="9"/>
  <c r="J2252" i="9"/>
  <c r="K2251" i="9"/>
  <c r="J2251" i="9"/>
  <c r="L2251" i="9" s="1"/>
  <c r="J2250" i="9"/>
  <c r="J2249" i="9"/>
  <c r="L2249" i="9" s="1"/>
  <c r="K2248" i="9"/>
  <c r="J2248" i="9"/>
  <c r="L2248" i="9" s="1"/>
  <c r="J2247" i="9"/>
  <c r="J2246" i="9"/>
  <c r="L2245" i="9"/>
  <c r="J2245" i="9"/>
  <c r="K2245" i="9" s="1"/>
  <c r="J2244" i="9"/>
  <c r="K2243" i="9"/>
  <c r="J2243" i="9"/>
  <c r="L2243" i="9" s="1"/>
  <c r="J2242" i="9"/>
  <c r="L2241" i="9"/>
  <c r="K2241" i="9"/>
  <c r="J2241" i="9"/>
  <c r="J2240" i="9"/>
  <c r="L2240" i="9" s="1"/>
  <c r="J2239" i="9"/>
  <c r="J2238" i="9"/>
  <c r="L2237" i="9"/>
  <c r="J2237" i="9"/>
  <c r="K2237" i="9" s="1"/>
  <c r="J2236" i="9"/>
  <c r="K2235" i="9"/>
  <c r="J2235" i="9"/>
  <c r="L2235" i="9" s="1"/>
  <c r="J2234" i="9"/>
  <c r="L2233" i="9"/>
  <c r="K2233" i="9"/>
  <c r="J2233" i="9"/>
  <c r="J2232" i="9"/>
  <c r="J2231" i="9"/>
  <c r="J2230" i="9"/>
  <c r="J2229" i="9"/>
  <c r="J2228" i="9"/>
  <c r="J2227" i="9"/>
  <c r="L2227" i="9" s="1"/>
  <c r="J2226" i="9"/>
  <c r="K2225" i="9"/>
  <c r="J2225" i="9"/>
  <c r="L2225" i="9" s="1"/>
  <c r="K2224" i="9"/>
  <c r="J2224" i="9"/>
  <c r="L2224" i="9" s="1"/>
  <c r="J2223" i="9"/>
  <c r="J2222" i="9"/>
  <c r="L2221" i="9"/>
  <c r="J2221" i="9"/>
  <c r="K2221" i="9" s="1"/>
  <c r="J2220" i="9"/>
  <c r="J2219" i="9"/>
  <c r="J2218" i="9"/>
  <c r="J2217" i="9"/>
  <c r="K2216" i="9"/>
  <c r="J2216" i="9"/>
  <c r="L2216" i="9" s="1"/>
  <c r="J2215" i="9"/>
  <c r="J2214" i="9"/>
  <c r="L2213" i="9"/>
  <c r="J2213" i="9"/>
  <c r="K2213" i="9" s="1"/>
  <c r="J2212" i="9"/>
  <c r="J2211" i="9"/>
  <c r="L2211" i="9" s="1"/>
  <c r="J2210" i="9"/>
  <c r="J2209" i="9"/>
  <c r="L2209" i="9" s="1"/>
  <c r="J2208" i="9"/>
  <c r="L2208" i="9" s="1"/>
  <c r="J2207" i="9"/>
  <c r="J2206" i="9"/>
  <c r="L2205" i="9"/>
  <c r="J2205" i="9"/>
  <c r="K2205" i="9" s="1"/>
  <c r="J2204" i="9"/>
  <c r="J2203" i="9"/>
  <c r="L2203" i="9" s="1"/>
  <c r="J2202" i="9"/>
  <c r="K2201" i="9"/>
  <c r="J2201" i="9"/>
  <c r="L2201" i="9" s="1"/>
  <c r="K2200" i="9"/>
  <c r="J2200" i="9"/>
  <c r="L2200" i="9" s="1"/>
  <c r="J2199" i="9"/>
  <c r="J2198" i="9"/>
  <c r="L2197" i="9"/>
  <c r="J2197" i="9"/>
  <c r="K2197" i="9" s="1"/>
  <c r="J2196" i="9"/>
  <c r="J2195" i="9"/>
  <c r="L2195" i="9" s="1"/>
  <c r="J2194" i="9"/>
  <c r="J2193" i="9"/>
  <c r="K2193" i="9" s="1"/>
  <c r="J2192" i="9"/>
  <c r="J2191" i="9"/>
  <c r="J2190" i="9"/>
  <c r="J2189" i="9"/>
  <c r="J2188" i="9"/>
  <c r="K2187" i="9"/>
  <c r="J2187" i="9"/>
  <c r="L2187" i="9" s="1"/>
  <c r="J2186" i="9"/>
  <c r="J2185" i="9"/>
  <c r="L2185" i="9" s="1"/>
  <c r="K2184" i="9"/>
  <c r="J2184" i="9"/>
  <c r="L2184" i="9" s="1"/>
  <c r="J2183" i="9"/>
  <c r="J2182" i="9"/>
  <c r="L2181" i="9"/>
  <c r="J2181" i="9"/>
  <c r="K2181" i="9" s="1"/>
  <c r="J2180" i="9"/>
  <c r="J2179" i="9"/>
  <c r="J2178" i="9"/>
  <c r="J2177" i="9"/>
  <c r="J2176" i="9"/>
  <c r="L2176" i="9" s="1"/>
  <c r="J2175" i="9"/>
  <c r="J2174" i="9"/>
  <c r="J2173" i="9"/>
  <c r="K2173" i="9" s="1"/>
  <c r="J2172" i="9"/>
  <c r="J2171" i="9"/>
  <c r="J2170" i="9"/>
  <c r="J2169" i="9"/>
  <c r="J2168" i="9"/>
  <c r="L2168" i="9" s="1"/>
  <c r="J2167" i="9"/>
  <c r="J2166" i="9"/>
  <c r="J2165" i="9"/>
  <c r="K2165" i="9" s="1"/>
  <c r="J2164" i="9"/>
  <c r="K2163" i="9"/>
  <c r="J2163" i="9"/>
  <c r="L2163" i="9" s="1"/>
  <c r="J2162" i="9"/>
  <c r="J2161" i="9"/>
  <c r="L2161" i="9" s="1"/>
  <c r="J2160" i="9"/>
  <c r="J2159" i="9"/>
  <c r="J2158" i="9"/>
  <c r="J2157" i="9"/>
  <c r="J2156" i="9"/>
  <c r="K2155" i="9"/>
  <c r="J2155" i="9"/>
  <c r="L2155" i="9" s="1"/>
  <c r="J2154" i="9"/>
  <c r="L2153" i="9"/>
  <c r="K2153" i="9"/>
  <c r="J2153" i="9"/>
  <c r="J2152" i="9"/>
  <c r="J2151" i="9"/>
  <c r="J2150" i="9"/>
  <c r="J2149" i="9"/>
  <c r="J2148" i="9"/>
  <c r="J2147" i="9"/>
  <c r="L2147" i="9" s="1"/>
  <c r="J2146" i="9"/>
  <c r="J2145" i="9"/>
  <c r="K2145" i="9" s="1"/>
  <c r="J2144" i="9"/>
  <c r="L2144" i="9" s="1"/>
  <c r="J2143" i="9"/>
  <c r="J2142" i="9"/>
  <c r="J2141" i="9"/>
  <c r="J2140" i="9"/>
  <c r="K2139" i="9"/>
  <c r="J2139" i="9"/>
  <c r="L2139" i="9" s="1"/>
  <c r="J2138" i="9"/>
  <c r="J2137" i="9"/>
  <c r="L2137" i="9" s="1"/>
  <c r="K2136" i="9"/>
  <c r="J2136" i="9"/>
  <c r="L2136" i="9" s="1"/>
  <c r="J2135" i="9"/>
  <c r="J2134" i="9"/>
  <c r="L2133" i="9"/>
  <c r="J2133" i="9"/>
  <c r="K2133" i="9" s="1"/>
  <c r="J2132" i="9"/>
  <c r="J2131" i="9"/>
  <c r="J2130" i="9"/>
  <c r="J2129" i="9"/>
  <c r="J2128" i="9"/>
  <c r="L2128" i="9" s="1"/>
  <c r="J2127" i="9"/>
  <c r="J2126" i="9"/>
  <c r="J2125" i="9"/>
  <c r="K2125" i="9" s="1"/>
  <c r="J2124" i="9"/>
  <c r="J2123" i="9"/>
  <c r="L2123" i="9" s="1"/>
  <c r="J2122" i="9"/>
  <c r="K2121" i="9"/>
  <c r="J2121" i="9"/>
  <c r="L2121" i="9" s="1"/>
  <c r="K2120" i="9"/>
  <c r="J2120" i="9"/>
  <c r="L2120" i="9" s="1"/>
  <c r="J2119" i="9"/>
  <c r="J2118" i="9"/>
  <c r="L2117" i="9"/>
  <c r="J2117" i="9"/>
  <c r="K2117" i="9" s="1"/>
  <c r="J2116" i="9"/>
  <c r="J2115" i="9"/>
  <c r="L2115" i="9" s="1"/>
  <c r="J2114" i="9"/>
  <c r="J2113" i="9"/>
  <c r="L2113" i="9" s="1"/>
  <c r="J2112" i="9"/>
  <c r="L2112" i="9" s="1"/>
  <c r="J2111" i="9"/>
  <c r="J2110" i="9"/>
  <c r="J2109" i="9"/>
  <c r="K2109" i="9" s="1"/>
  <c r="J2108" i="9"/>
  <c r="J2107" i="9"/>
  <c r="L2107" i="9" s="1"/>
  <c r="J2106" i="9"/>
  <c r="J2105" i="9"/>
  <c r="L2105" i="9" s="1"/>
  <c r="J2104" i="9"/>
  <c r="J2103" i="9"/>
  <c r="J2102" i="9"/>
  <c r="J2101" i="9"/>
  <c r="J2100" i="9"/>
  <c r="K2099" i="9"/>
  <c r="J2099" i="9"/>
  <c r="L2099" i="9" s="1"/>
  <c r="J2098" i="9"/>
  <c r="J2097" i="9"/>
  <c r="L2097" i="9" s="1"/>
  <c r="K2096" i="9"/>
  <c r="J2096" i="9"/>
  <c r="L2096" i="9" s="1"/>
  <c r="J2095" i="9"/>
  <c r="J2094" i="9"/>
  <c r="L2093" i="9"/>
  <c r="J2093" i="9"/>
  <c r="K2093" i="9" s="1"/>
  <c r="J2092" i="9"/>
  <c r="J2091" i="9"/>
  <c r="J2090" i="9"/>
  <c r="J2089" i="9"/>
  <c r="J2088" i="9"/>
  <c r="L2088" i="9" s="1"/>
  <c r="J2087" i="9"/>
  <c r="J2086" i="9"/>
  <c r="J2085" i="9"/>
  <c r="K2085" i="9" s="1"/>
  <c r="J2084" i="9"/>
  <c r="K2083" i="9"/>
  <c r="J2083" i="9"/>
  <c r="L2083" i="9" s="1"/>
  <c r="J2082" i="9"/>
  <c r="J2081" i="9"/>
  <c r="L2081" i="9" s="1"/>
  <c r="J2080" i="9"/>
  <c r="L2080" i="9" s="1"/>
  <c r="J2079" i="9"/>
  <c r="J2078" i="9"/>
  <c r="L2077" i="9"/>
  <c r="J2077" i="9"/>
  <c r="K2077" i="9" s="1"/>
  <c r="J2076" i="9"/>
  <c r="J2075" i="9"/>
  <c r="L2075" i="9" s="1"/>
  <c r="J2074" i="9"/>
  <c r="J2073" i="9"/>
  <c r="L2073" i="9" s="1"/>
  <c r="K2072" i="9"/>
  <c r="J2072" i="9"/>
  <c r="L2072" i="9" s="1"/>
  <c r="J2071" i="9"/>
  <c r="J2070" i="9"/>
  <c r="L2069" i="9"/>
  <c r="J2069" i="9"/>
  <c r="K2069" i="9" s="1"/>
  <c r="J2068" i="9"/>
  <c r="J2067" i="9"/>
  <c r="L2067" i="9" s="1"/>
  <c r="J2066" i="9"/>
  <c r="J2065" i="9"/>
  <c r="K2065" i="9" s="1"/>
  <c r="J2064" i="9"/>
  <c r="J2063" i="9"/>
  <c r="J2062" i="9"/>
  <c r="K2061" i="9"/>
  <c r="J2061" i="9"/>
  <c r="L2061" i="9" s="1"/>
  <c r="J2060" i="9"/>
  <c r="J2059" i="9"/>
  <c r="J2058" i="9"/>
  <c r="J2057" i="9"/>
  <c r="K2057" i="9" s="1"/>
  <c r="J2056" i="9"/>
  <c r="L2056" i="9" s="1"/>
  <c r="J2055" i="9"/>
  <c r="J2054" i="9"/>
  <c r="J2053" i="9"/>
  <c r="L2053" i="9" s="1"/>
  <c r="J2052" i="9"/>
  <c r="J2051" i="9"/>
  <c r="L2051" i="9" s="1"/>
  <c r="J2050" i="9"/>
  <c r="J2049" i="9"/>
  <c r="L2049" i="9" s="1"/>
  <c r="J2048" i="9"/>
  <c r="L2048" i="9" s="1"/>
  <c r="J2047" i="9"/>
  <c r="J2046" i="9"/>
  <c r="J2045" i="9"/>
  <c r="K2045" i="9" s="1"/>
  <c r="J2044" i="9"/>
  <c r="K2043" i="9"/>
  <c r="J2043" i="9"/>
  <c r="L2043" i="9" s="1"/>
  <c r="J2042" i="9"/>
  <c r="L2041" i="9"/>
  <c r="K2041" i="9"/>
  <c r="J2041" i="9"/>
  <c r="J2040" i="9"/>
  <c r="L2040" i="9" s="1"/>
  <c r="J2039" i="9"/>
  <c r="J2038" i="9"/>
  <c r="J2037" i="9"/>
  <c r="L2037" i="9" s="1"/>
  <c r="J2036" i="9"/>
  <c r="J2035" i="9"/>
  <c r="J2034" i="9"/>
  <c r="J2033" i="9"/>
  <c r="K2033" i="9" s="1"/>
  <c r="K2032" i="9"/>
  <c r="J2032" i="9"/>
  <c r="L2032" i="9" s="1"/>
  <c r="J2031" i="9"/>
  <c r="J2030" i="9"/>
  <c r="L2029" i="9"/>
  <c r="J2029" i="9"/>
  <c r="K2029" i="9" s="1"/>
  <c r="J2028" i="9"/>
  <c r="K2027" i="9"/>
  <c r="J2027" i="9"/>
  <c r="L2027" i="9" s="1"/>
  <c r="J2026" i="9"/>
  <c r="J2025" i="9"/>
  <c r="K2025" i="9" s="1"/>
  <c r="J2024" i="9"/>
  <c r="L2024" i="9" s="1"/>
  <c r="J2023" i="9"/>
  <c r="J2022" i="9"/>
  <c r="J2021" i="9"/>
  <c r="K2021" i="9" s="1"/>
  <c r="J2020" i="9"/>
  <c r="J2019" i="9"/>
  <c r="L2019" i="9" s="1"/>
  <c r="J2018" i="9"/>
  <c r="J2017" i="9"/>
  <c r="L2017" i="9" s="1"/>
  <c r="J2016" i="9"/>
  <c r="L2016" i="9" s="1"/>
  <c r="J2015" i="9"/>
  <c r="J2014" i="9"/>
  <c r="L2013" i="9"/>
  <c r="J2013" i="9"/>
  <c r="K2013" i="9" s="1"/>
  <c r="J2012" i="9"/>
  <c r="J2011" i="9"/>
  <c r="L2011" i="9" s="1"/>
  <c r="J2010" i="9"/>
  <c r="J2009" i="9"/>
  <c r="L2009" i="9" s="1"/>
  <c r="J2008" i="9"/>
  <c r="L2008" i="9" s="1"/>
  <c r="J2007" i="9"/>
  <c r="J2006" i="9"/>
  <c r="J2005" i="9"/>
  <c r="K2005" i="9" s="1"/>
  <c r="J2004" i="9"/>
  <c r="J2003" i="9"/>
  <c r="L2003" i="9" s="1"/>
  <c r="J2002" i="9"/>
  <c r="J2001" i="9"/>
  <c r="L2001" i="9" s="1"/>
  <c r="K2000" i="9"/>
  <c r="J2000" i="9"/>
  <c r="L2000" i="9" s="1"/>
  <c r="J1999" i="9"/>
  <c r="J1998" i="9"/>
  <c r="L1997" i="9"/>
  <c r="J1997" i="9"/>
  <c r="K1997" i="9" s="1"/>
  <c r="J1996" i="9"/>
  <c r="K1995" i="9"/>
  <c r="J1995" i="9"/>
  <c r="L1995" i="9" s="1"/>
  <c r="J1994" i="9"/>
  <c r="L1993" i="9"/>
  <c r="K1993" i="9"/>
  <c r="J1993" i="9"/>
  <c r="J1992" i="9"/>
  <c r="L1992" i="9" s="1"/>
  <c r="J1991" i="9"/>
  <c r="J1990" i="9"/>
  <c r="J1989" i="9"/>
  <c r="K1989" i="9" s="1"/>
  <c r="J1988" i="9"/>
  <c r="J1987" i="9"/>
  <c r="L1987" i="9" s="1"/>
  <c r="J1986" i="9"/>
  <c r="J1985" i="9"/>
  <c r="L1985" i="9" s="1"/>
  <c r="J1984" i="9"/>
  <c r="L1984" i="9" s="1"/>
  <c r="J1983" i="9"/>
  <c r="J1982" i="9"/>
  <c r="J1981" i="9"/>
  <c r="K1981" i="9" s="1"/>
  <c r="J1980" i="9"/>
  <c r="J1979" i="9"/>
  <c r="L1979" i="9" s="1"/>
  <c r="J1978" i="9"/>
  <c r="J1977" i="9"/>
  <c r="L1977" i="9" s="1"/>
  <c r="J1976" i="9"/>
  <c r="L1976" i="9" s="1"/>
  <c r="J1975" i="9"/>
  <c r="J1974" i="9"/>
  <c r="J1973" i="9"/>
  <c r="K1973" i="9" s="1"/>
  <c r="J1972" i="9"/>
  <c r="J1971" i="9"/>
  <c r="L1971" i="9" s="1"/>
  <c r="J1970" i="9"/>
  <c r="J1969" i="9"/>
  <c r="L1969" i="9" s="1"/>
  <c r="J1968" i="9"/>
  <c r="L1968" i="9" s="1"/>
  <c r="J1967" i="9"/>
  <c r="J1966" i="9"/>
  <c r="L1965" i="9"/>
  <c r="J1965" i="9"/>
  <c r="K1965" i="9" s="1"/>
  <c r="J1964" i="9"/>
  <c r="J1963" i="9"/>
  <c r="L1963" i="9" s="1"/>
  <c r="J1962" i="9"/>
  <c r="J1961" i="9"/>
  <c r="K1961" i="9" s="1"/>
  <c r="J1960" i="9"/>
  <c r="L1960" i="9" s="1"/>
  <c r="J1959" i="9"/>
  <c r="J1958" i="9"/>
  <c r="J1957" i="9"/>
  <c r="K1957" i="9" s="1"/>
  <c r="J1956" i="9"/>
  <c r="J1955" i="9"/>
  <c r="L1955" i="9" s="1"/>
  <c r="J1954" i="9"/>
  <c r="J1953" i="9"/>
  <c r="L1953" i="9" s="1"/>
  <c r="J1952" i="9"/>
  <c r="L1952" i="9" s="1"/>
  <c r="J1951" i="9"/>
  <c r="J1950" i="9"/>
  <c r="L1949" i="9"/>
  <c r="K1949" i="9"/>
  <c r="J1949" i="9"/>
  <c r="J1948" i="9"/>
  <c r="J1947" i="9"/>
  <c r="L1947" i="9" s="1"/>
  <c r="J1946" i="9"/>
  <c r="J1945" i="9"/>
  <c r="L1945" i="9" s="1"/>
  <c r="J1944" i="9"/>
  <c r="L1944" i="9" s="1"/>
  <c r="J1943" i="9"/>
  <c r="J1942" i="9"/>
  <c r="J1941" i="9"/>
  <c r="K1941" i="9" s="1"/>
  <c r="J1940" i="9"/>
  <c r="J1939" i="9"/>
  <c r="L1939" i="9" s="1"/>
  <c r="J1938" i="9"/>
  <c r="J1937" i="9"/>
  <c r="L1937" i="9" s="1"/>
  <c r="J1936" i="9"/>
  <c r="L1936" i="9" s="1"/>
  <c r="J1935" i="9"/>
  <c r="J1934" i="9"/>
  <c r="J1933" i="9"/>
  <c r="K1933" i="9" s="1"/>
  <c r="J1932" i="9"/>
  <c r="J1931" i="9"/>
  <c r="L1931" i="9" s="1"/>
  <c r="J1930" i="9"/>
  <c r="J1929" i="9"/>
  <c r="L1929" i="9" s="1"/>
  <c r="J1928" i="9"/>
  <c r="L1928" i="9" s="1"/>
  <c r="J1927" i="9"/>
  <c r="J1926" i="9"/>
  <c r="J1925" i="9"/>
  <c r="K1925" i="9" s="1"/>
  <c r="J1924" i="9"/>
  <c r="J1923" i="9"/>
  <c r="L1923" i="9" s="1"/>
  <c r="J1922" i="9"/>
  <c r="J1921" i="9"/>
  <c r="L1921" i="9" s="1"/>
  <c r="K1920" i="9"/>
  <c r="J1920" i="9"/>
  <c r="L1920" i="9" s="1"/>
  <c r="J1919" i="9"/>
  <c r="J1918" i="9"/>
  <c r="L1917" i="9"/>
  <c r="J1917" i="9"/>
  <c r="K1917" i="9" s="1"/>
  <c r="J1916" i="9"/>
  <c r="K1915" i="9"/>
  <c r="J1915" i="9"/>
  <c r="L1915" i="9" s="1"/>
  <c r="J1914" i="9"/>
  <c r="L1913" i="9"/>
  <c r="K1913" i="9"/>
  <c r="J1913" i="9"/>
  <c r="J1912" i="9"/>
  <c r="L1912" i="9" s="1"/>
  <c r="J1911" i="9"/>
  <c r="J1910" i="9"/>
  <c r="J1909" i="9"/>
  <c r="K1909" i="9" s="1"/>
  <c r="J1908" i="9"/>
  <c r="J1907" i="9"/>
  <c r="L1907" i="9" s="1"/>
  <c r="J1906" i="9"/>
  <c r="J1905" i="9"/>
  <c r="L1905" i="9" s="1"/>
  <c r="J1904" i="9"/>
  <c r="L1904" i="9" s="1"/>
  <c r="J1903" i="9"/>
  <c r="J1902" i="9"/>
  <c r="J1901" i="9"/>
  <c r="K1901" i="9" s="1"/>
  <c r="J1900" i="9"/>
  <c r="J1899" i="9"/>
  <c r="L1899" i="9" s="1"/>
  <c r="J1898" i="9"/>
  <c r="J1897" i="9"/>
  <c r="K1897" i="9" s="1"/>
  <c r="J1896" i="9"/>
  <c r="L1896" i="9" s="1"/>
  <c r="J1895" i="9"/>
  <c r="J1894" i="9"/>
  <c r="L1893" i="9"/>
  <c r="J1893" i="9"/>
  <c r="K1893" i="9" s="1"/>
  <c r="J1892" i="9"/>
  <c r="J1891" i="9"/>
  <c r="L1891" i="9" s="1"/>
  <c r="J1890" i="9"/>
  <c r="J1889" i="9"/>
  <c r="L1889" i="9" s="1"/>
  <c r="J1888" i="9"/>
  <c r="L1888" i="9" s="1"/>
  <c r="J1887" i="9"/>
  <c r="L1886" i="9"/>
  <c r="J1886" i="9"/>
  <c r="K1886" i="9" s="1"/>
  <c r="J1885" i="9"/>
  <c r="J1884" i="9"/>
  <c r="K1883" i="9"/>
  <c r="J1883" i="9"/>
  <c r="L1883" i="9" s="1"/>
  <c r="J1882" i="9"/>
  <c r="J1881" i="9"/>
  <c r="L1881" i="9" s="1"/>
  <c r="J1880" i="9"/>
  <c r="K1880" i="9" s="1"/>
  <c r="J1879" i="9"/>
  <c r="J1878" i="9"/>
  <c r="K1878" i="9" s="1"/>
  <c r="J1877" i="9"/>
  <c r="J1876" i="9"/>
  <c r="J1875" i="9"/>
  <c r="L1875" i="9" s="1"/>
  <c r="J1874" i="9"/>
  <c r="J1873" i="9"/>
  <c r="K1873" i="9" s="1"/>
  <c r="J1872" i="9"/>
  <c r="L1872" i="9" s="1"/>
  <c r="J1871" i="9"/>
  <c r="J1870" i="9"/>
  <c r="K1870" i="9" s="1"/>
  <c r="J1869" i="9"/>
  <c r="J1868" i="9"/>
  <c r="J1867" i="9"/>
  <c r="J1866" i="9"/>
  <c r="J1865" i="9"/>
  <c r="L1865" i="9" s="1"/>
  <c r="J1864" i="9"/>
  <c r="K1864" i="9" s="1"/>
  <c r="J1863" i="9"/>
  <c r="J1862" i="9"/>
  <c r="K1862" i="9" s="1"/>
  <c r="J1861" i="9"/>
  <c r="J1860" i="9"/>
  <c r="J1859" i="9"/>
  <c r="L1859" i="9" s="1"/>
  <c r="J1858" i="9"/>
  <c r="L1857" i="9"/>
  <c r="J1857" i="9"/>
  <c r="K1857" i="9" s="1"/>
  <c r="J1856" i="9"/>
  <c r="J1855" i="9"/>
  <c r="J1854" i="9"/>
  <c r="K1854" i="9" s="1"/>
  <c r="J1853" i="9"/>
  <c r="J1852" i="9"/>
  <c r="J1851" i="9"/>
  <c r="L1851" i="9" s="1"/>
  <c r="J1850" i="9"/>
  <c r="J1849" i="9"/>
  <c r="L1849" i="9" s="1"/>
  <c r="J1848" i="9"/>
  <c r="J1847" i="9"/>
  <c r="J1846" i="9"/>
  <c r="K1846" i="9" s="1"/>
  <c r="J1845" i="9"/>
  <c r="J1844" i="9"/>
  <c r="J1843" i="9"/>
  <c r="L1843" i="9" s="1"/>
  <c r="J1842" i="9"/>
  <c r="J1841" i="9"/>
  <c r="K1841" i="9" s="1"/>
  <c r="J1840" i="9"/>
  <c r="K1840" i="9" s="1"/>
  <c r="J1839" i="9"/>
  <c r="L1838" i="9"/>
  <c r="J1838" i="9"/>
  <c r="K1838" i="9" s="1"/>
  <c r="J1837" i="9"/>
  <c r="J1836" i="9"/>
  <c r="K1835" i="9"/>
  <c r="J1835" i="9"/>
  <c r="L1835" i="9" s="1"/>
  <c r="J1834" i="9"/>
  <c r="J1833" i="9"/>
  <c r="L1832" i="9"/>
  <c r="J1832" i="9"/>
  <c r="K1832" i="9" s="1"/>
  <c r="J1831" i="9"/>
  <c r="J1830" i="9"/>
  <c r="K1830" i="9" s="1"/>
  <c r="J1829" i="9"/>
  <c r="J1828" i="9"/>
  <c r="J1827" i="9"/>
  <c r="L1827" i="9" s="1"/>
  <c r="J1826" i="9"/>
  <c r="J1825" i="9"/>
  <c r="K1825" i="9" s="1"/>
  <c r="J1824" i="9"/>
  <c r="K1824" i="9" s="1"/>
  <c r="J1823" i="9"/>
  <c r="L1822" i="9"/>
  <c r="J1822" i="9"/>
  <c r="K1822" i="9" s="1"/>
  <c r="J1821" i="9"/>
  <c r="J1820" i="9"/>
  <c r="K1819" i="9"/>
  <c r="J1819" i="9"/>
  <c r="L1819" i="9" s="1"/>
  <c r="J1818" i="9"/>
  <c r="J1817" i="9"/>
  <c r="L1817" i="9" s="1"/>
  <c r="J1816" i="9"/>
  <c r="J1815" i="9"/>
  <c r="J1814" i="9"/>
  <c r="K1814" i="9" s="1"/>
  <c r="J1813" i="9"/>
  <c r="J1812" i="9"/>
  <c r="J1811" i="9"/>
  <c r="L1811" i="9" s="1"/>
  <c r="J1810" i="9"/>
  <c r="J1809" i="9"/>
  <c r="L1809" i="9" s="1"/>
  <c r="L1808" i="9"/>
  <c r="J1808" i="9"/>
  <c r="K1808" i="9" s="1"/>
  <c r="J1807" i="9"/>
  <c r="J1806" i="9"/>
  <c r="K1806" i="9" s="1"/>
  <c r="J1805" i="9"/>
  <c r="J1804" i="9"/>
  <c r="J1803" i="9"/>
  <c r="L1803" i="9" s="1"/>
  <c r="J1802" i="9"/>
  <c r="J1801" i="9"/>
  <c r="J1800" i="9"/>
  <c r="K1800" i="9" s="1"/>
  <c r="J1799" i="9"/>
  <c r="J1798" i="9"/>
  <c r="K1798" i="9" s="1"/>
  <c r="J1797" i="9"/>
  <c r="J1796" i="9"/>
  <c r="J1795" i="9"/>
  <c r="L1795" i="9" s="1"/>
  <c r="J1794" i="9"/>
  <c r="J1793" i="9"/>
  <c r="L1793" i="9" s="1"/>
  <c r="L1792" i="9"/>
  <c r="J1792" i="9"/>
  <c r="K1792" i="9" s="1"/>
  <c r="J1791" i="9"/>
  <c r="J1790" i="9"/>
  <c r="K1790" i="9" s="1"/>
  <c r="J1789" i="9"/>
  <c r="J1788" i="9"/>
  <c r="J1787" i="9"/>
  <c r="L1787" i="9" s="1"/>
  <c r="J1786" i="9"/>
  <c r="J1785" i="9"/>
  <c r="L1785" i="9" s="1"/>
  <c r="J1784" i="9"/>
  <c r="J1783" i="9"/>
  <c r="J1782" i="9"/>
  <c r="K1782" i="9" s="1"/>
  <c r="J1781" i="9"/>
  <c r="J1780" i="9"/>
  <c r="J1779" i="9"/>
  <c r="L1779" i="9" s="1"/>
  <c r="J1778" i="9"/>
  <c r="L1777" i="9"/>
  <c r="J1777" i="9"/>
  <c r="K1777" i="9" s="1"/>
  <c r="J1776" i="9"/>
  <c r="L1776" i="9" s="1"/>
  <c r="J1775" i="9"/>
  <c r="J1774" i="9"/>
  <c r="K1774" i="9" s="1"/>
  <c r="J1773" i="9"/>
  <c r="J1772" i="9"/>
  <c r="J1771" i="9"/>
  <c r="L1771" i="9" s="1"/>
  <c r="J1770" i="9"/>
  <c r="J1769" i="9"/>
  <c r="J1768" i="9"/>
  <c r="K1768" i="9" s="1"/>
  <c r="J1767" i="9"/>
  <c r="J1766" i="9"/>
  <c r="K1766" i="9" s="1"/>
  <c r="J1765" i="9"/>
  <c r="J1764" i="9"/>
  <c r="J1763" i="9"/>
  <c r="L1763" i="9" s="1"/>
  <c r="J1762" i="9"/>
  <c r="J1761" i="9"/>
  <c r="L1761" i="9" s="1"/>
  <c r="J1760" i="9"/>
  <c r="K1760" i="9" s="1"/>
  <c r="J1759" i="9"/>
  <c r="J1758" i="9"/>
  <c r="K1758" i="9" s="1"/>
  <c r="J1757" i="9"/>
  <c r="J1756" i="9"/>
  <c r="J1755" i="9"/>
  <c r="L1755" i="9" s="1"/>
  <c r="J1754" i="9"/>
  <c r="J1753" i="9"/>
  <c r="L1753" i="9" s="1"/>
  <c r="J1752" i="9"/>
  <c r="J1751" i="9"/>
  <c r="J1750" i="9"/>
  <c r="K1750" i="9" s="1"/>
  <c r="J1749" i="9"/>
  <c r="J1748" i="9"/>
  <c r="J1747" i="9"/>
  <c r="L1747" i="9" s="1"/>
  <c r="J1746" i="9"/>
  <c r="L1745" i="9"/>
  <c r="J1745" i="9"/>
  <c r="K1745" i="9" s="1"/>
  <c r="J1744" i="9"/>
  <c r="K1744" i="9" s="1"/>
  <c r="J1743" i="9"/>
  <c r="J1742" i="9"/>
  <c r="K1742" i="9" s="1"/>
  <c r="J1741" i="9"/>
  <c r="J1740" i="9"/>
  <c r="J1739" i="9"/>
  <c r="L1739" i="9" s="1"/>
  <c r="J1738" i="9"/>
  <c r="J1737" i="9"/>
  <c r="J1736" i="9"/>
  <c r="K1736" i="9" s="1"/>
  <c r="J1735" i="9"/>
  <c r="J1734" i="9"/>
  <c r="K1734" i="9" s="1"/>
  <c r="J1733" i="9"/>
  <c r="J1732" i="9"/>
  <c r="J1731" i="9"/>
  <c r="L1731" i="9" s="1"/>
  <c r="J1730" i="9"/>
  <c r="L1729" i="9"/>
  <c r="J1729" i="9"/>
  <c r="K1729" i="9" s="1"/>
  <c r="J1728" i="9"/>
  <c r="K1728" i="9" s="1"/>
  <c r="J1727" i="9"/>
  <c r="J1726" i="9"/>
  <c r="K1726" i="9" s="1"/>
  <c r="J1725" i="9"/>
  <c r="J1724" i="9"/>
  <c r="J1723" i="9"/>
  <c r="L1723" i="9" s="1"/>
  <c r="J1722" i="9"/>
  <c r="J1721" i="9"/>
  <c r="L1721" i="9" s="1"/>
  <c r="J1720" i="9"/>
  <c r="J1719" i="9"/>
  <c r="J1718" i="9"/>
  <c r="K1718" i="9" s="1"/>
  <c r="J1717" i="9"/>
  <c r="J1716" i="9"/>
  <c r="J1715" i="9"/>
  <c r="L1715" i="9" s="1"/>
  <c r="J1714" i="9"/>
  <c r="L1713" i="9"/>
  <c r="J1713" i="9"/>
  <c r="K1713" i="9" s="1"/>
  <c r="L1712" i="9"/>
  <c r="K1712" i="9"/>
  <c r="J1712" i="9"/>
  <c r="J1711" i="9"/>
  <c r="J1710" i="9"/>
  <c r="K1710" i="9" s="1"/>
  <c r="J1709" i="9"/>
  <c r="J1708" i="9"/>
  <c r="J1707" i="9"/>
  <c r="L1707" i="9" s="1"/>
  <c r="J1706" i="9"/>
  <c r="J1705" i="9"/>
  <c r="J1704" i="9"/>
  <c r="L1704" i="9" s="1"/>
  <c r="J1703" i="9"/>
  <c r="J1702" i="9"/>
  <c r="K1702" i="9" s="1"/>
  <c r="J1701" i="9"/>
  <c r="J1700" i="9"/>
  <c r="J1699" i="9"/>
  <c r="L1699" i="9" s="1"/>
  <c r="J1698" i="9"/>
  <c r="J1697" i="9"/>
  <c r="K1697" i="9" s="1"/>
  <c r="J1696" i="9"/>
  <c r="L1696" i="9" s="1"/>
  <c r="J1695" i="9"/>
  <c r="J1694" i="9"/>
  <c r="J1693" i="9"/>
  <c r="J1692" i="9"/>
  <c r="J1691" i="9"/>
  <c r="J1690" i="9"/>
  <c r="J1689" i="9"/>
  <c r="K1689" i="9" s="1"/>
  <c r="J1688" i="9"/>
  <c r="L1688" i="9" s="1"/>
  <c r="J1687" i="9"/>
  <c r="J1686" i="9"/>
  <c r="K1686" i="9" s="1"/>
  <c r="J1685" i="9"/>
  <c r="J1684" i="9"/>
  <c r="J1683" i="9"/>
  <c r="L1683" i="9" s="1"/>
  <c r="J1682" i="9"/>
  <c r="J1681" i="9"/>
  <c r="K1681" i="9" s="1"/>
  <c r="J1680" i="9"/>
  <c r="L1680" i="9" s="1"/>
  <c r="J1679" i="9"/>
  <c r="J1678" i="9"/>
  <c r="J1677" i="9"/>
  <c r="J1676" i="9"/>
  <c r="J1675" i="9"/>
  <c r="J1674" i="9"/>
  <c r="J1673" i="9"/>
  <c r="K1673" i="9" s="1"/>
  <c r="J1672" i="9"/>
  <c r="L1672" i="9" s="1"/>
  <c r="J1671" i="9"/>
  <c r="J1670" i="9"/>
  <c r="K1670" i="9" s="1"/>
  <c r="J1669" i="9"/>
  <c r="J1668" i="9"/>
  <c r="J1667" i="9"/>
  <c r="L1667" i="9" s="1"/>
  <c r="J1666" i="9"/>
  <c r="J1665" i="9"/>
  <c r="K1665" i="9" s="1"/>
  <c r="J1664" i="9"/>
  <c r="L1664" i="9" s="1"/>
  <c r="J1663" i="9"/>
  <c r="J1662" i="9"/>
  <c r="J1661" i="9"/>
  <c r="J1660" i="9"/>
  <c r="J1659" i="9"/>
  <c r="J1658" i="9"/>
  <c r="J1657" i="9"/>
  <c r="K1657" i="9" s="1"/>
  <c r="J1656" i="9"/>
  <c r="L1656" i="9" s="1"/>
  <c r="J1655" i="9"/>
  <c r="J1654" i="9"/>
  <c r="K1654" i="9" s="1"/>
  <c r="J1653" i="9"/>
  <c r="J1652" i="9"/>
  <c r="J1651" i="9"/>
  <c r="L1651" i="9" s="1"/>
  <c r="J1650" i="9"/>
  <c r="J1649" i="9"/>
  <c r="K1649" i="9" s="1"/>
  <c r="J1648" i="9"/>
  <c r="L1648" i="9" s="1"/>
  <c r="J1647" i="9"/>
  <c r="J1646" i="9"/>
  <c r="J1645" i="9"/>
  <c r="J1644" i="9"/>
  <c r="J1643" i="9"/>
  <c r="J1642" i="9"/>
  <c r="J1641" i="9"/>
  <c r="K1641" i="9" s="1"/>
  <c r="J1640" i="9"/>
  <c r="L1640" i="9" s="1"/>
  <c r="J1639" i="9"/>
  <c r="J1638" i="9"/>
  <c r="K1638" i="9" s="1"/>
  <c r="J1637" i="9"/>
  <c r="J1636" i="9"/>
  <c r="J1635" i="9"/>
  <c r="L1635" i="9" s="1"/>
  <c r="J1634" i="9"/>
  <c r="J1633" i="9"/>
  <c r="K1633" i="9" s="1"/>
  <c r="J1632" i="9"/>
  <c r="L1632" i="9" s="1"/>
  <c r="J1631" i="9"/>
  <c r="J1630" i="9"/>
  <c r="J1629" i="9"/>
  <c r="J1628" i="9"/>
  <c r="J1627" i="9"/>
  <c r="J1626" i="9"/>
  <c r="J1625" i="9"/>
  <c r="J1624" i="9"/>
  <c r="L1624" i="9" s="1"/>
  <c r="J1623" i="9"/>
  <c r="J1622" i="9"/>
  <c r="K1622" i="9" s="1"/>
  <c r="J1621" i="9"/>
  <c r="J1620" i="9"/>
  <c r="J1619" i="9"/>
  <c r="L1619" i="9" s="1"/>
  <c r="J1618" i="9"/>
  <c r="J1617" i="9"/>
  <c r="K1617" i="9" s="1"/>
  <c r="J1616" i="9"/>
  <c r="J1615" i="9"/>
  <c r="J1614" i="9"/>
  <c r="J1613" i="9"/>
  <c r="J1612" i="9"/>
  <c r="J1611" i="9"/>
  <c r="J1610" i="9"/>
  <c r="J1609" i="9"/>
  <c r="J1608" i="9"/>
  <c r="L1608" i="9" s="1"/>
  <c r="J1607" i="9"/>
  <c r="J1606" i="9"/>
  <c r="K1606" i="9" s="1"/>
  <c r="J1605" i="9"/>
  <c r="J1604" i="9"/>
  <c r="J1603" i="9"/>
  <c r="L1603" i="9" s="1"/>
  <c r="J1602" i="9"/>
  <c r="J1601" i="9"/>
  <c r="K1601" i="9" s="1"/>
  <c r="J1600" i="9"/>
  <c r="J1599" i="9"/>
  <c r="J1598" i="9"/>
  <c r="J1597" i="9"/>
  <c r="J1596" i="9"/>
  <c r="J1595" i="9"/>
  <c r="J1594" i="9"/>
  <c r="J1593" i="9"/>
  <c r="J1592" i="9"/>
  <c r="L1592" i="9" s="1"/>
  <c r="J1591" i="9"/>
  <c r="J1590" i="9"/>
  <c r="K1590" i="9" s="1"/>
  <c r="J1589" i="9"/>
  <c r="J1588" i="9"/>
  <c r="J1587" i="9"/>
  <c r="L1587" i="9" s="1"/>
  <c r="J1586" i="9"/>
  <c r="J1585" i="9"/>
  <c r="K1585" i="9" s="1"/>
  <c r="J1584" i="9"/>
  <c r="J1583" i="9"/>
  <c r="J1582" i="9"/>
  <c r="J1581" i="9"/>
  <c r="J1580" i="9"/>
  <c r="J1579" i="9"/>
  <c r="J1578" i="9"/>
  <c r="J1577" i="9"/>
  <c r="J1576" i="9"/>
  <c r="L1576" i="9" s="1"/>
  <c r="J1575" i="9"/>
  <c r="J1574" i="9"/>
  <c r="K1574" i="9" s="1"/>
  <c r="J1573" i="9"/>
  <c r="J1572" i="9"/>
  <c r="J1571" i="9"/>
  <c r="L1571" i="9" s="1"/>
  <c r="J1570" i="9"/>
  <c r="J1569" i="9"/>
  <c r="K1569" i="9" s="1"/>
  <c r="J1568" i="9"/>
  <c r="L1568" i="9" s="1"/>
  <c r="J1567" i="9"/>
  <c r="J1566" i="9"/>
  <c r="J1565" i="9"/>
  <c r="J1564" i="9"/>
  <c r="J1563" i="9"/>
  <c r="J1562" i="9"/>
  <c r="J1561" i="9"/>
  <c r="K1561" i="9" s="1"/>
  <c r="L1560" i="9"/>
  <c r="K1560" i="9"/>
  <c r="J1560" i="9"/>
  <c r="J1559" i="9"/>
  <c r="J1558" i="9"/>
  <c r="K1558" i="9" s="1"/>
  <c r="J1557" i="9"/>
  <c r="J1556" i="9"/>
  <c r="J1555" i="9"/>
  <c r="L1555" i="9" s="1"/>
  <c r="J1554" i="9"/>
  <c r="J1553" i="9"/>
  <c r="K1553" i="9" s="1"/>
  <c r="J1552" i="9"/>
  <c r="L1552" i="9" s="1"/>
  <c r="J1551" i="9"/>
  <c r="J1550" i="9"/>
  <c r="J1549" i="9"/>
  <c r="J1548" i="9"/>
  <c r="J1547" i="9"/>
  <c r="J1546" i="9"/>
  <c r="J1545" i="9"/>
  <c r="L1545" i="9" s="1"/>
  <c r="J1544" i="9"/>
  <c r="K1544" i="9" s="1"/>
  <c r="J1543" i="9"/>
  <c r="L1542" i="9"/>
  <c r="J1542" i="9"/>
  <c r="K1542" i="9" s="1"/>
  <c r="J1541" i="9"/>
  <c r="J1540" i="9"/>
  <c r="K1539" i="9"/>
  <c r="J1539" i="9"/>
  <c r="L1539" i="9" s="1"/>
  <c r="J1538" i="9"/>
  <c r="L1537" i="9"/>
  <c r="K1537" i="9"/>
  <c r="J1537" i="9"/>
  <c r="J1536" i="9"/>
  <c r="K1536" i="9" s="1"/>
  <c r="J1535" i="9"/>
  <c r="J1534" i="9"/>
  <c r="K1534" i="9" s="1"/>
  <c r="J1533" i="9"/>
  <c r="J1532" i="9"/>
  <c r="J1531" i="9"/>
  <c r="L1531" i="9" s="1"/>
  <c r="J1530" i="9"/>
  <c r="J1529" i="9"/>
  <c r="L1529" i="9" s="1"/>
  <c r="J1528" i="9"/>
  <c r="K1528" i="9" s="1"/>
  <c r="J1527" i="9"/>
  <c r="J1526" i="9"/>
  <c r="K1526" i="9" s="1"/>
  <c r="J1525" i="9"/>
  <c r="J1524" i="9"/>
  <c r="J1523" i="9"/>
  <c r="L1523" i="9" s="1"/>
  <c r="J1522" i="9"/>
  <c r="L1521" i="9"/>
  <c r="J1521" i="9"/>
  <c r="K1521" i="9" s="1"/>
  <c r="J1520" i="9"/>
  <c r="K1520" i="9" s="1"/>
  <c r="J1519" i="9"/>
  <c r="J1518" i="9"/>
  <c r="K1518" i="9" s="1"/>
  <c r="J1517" i="9"/>
  <c r="J1516" i="9"/>
  <c r="J1515" i="9"/>
  <c r="L1515" i="9" s="1"/>
  <c r="J1514" i="9"/>
  <c r="J1513" i="9"/>
  <c r="L1513" i="9" s="1"/>
  <c r="L1512" i="9"/>
  <c r="K1512" i="9"/>
  <c r="J1512" i="9"/>
  <c r="J1511" i="9"/>
  <c r="J1510" i="9"/>
  <c r="J1509" i="9"/>
  <c r="J1508" i="9"/>
  <c r="J1507" i="9"/>
  <c r="J1506" i="9"/>
  <c r="J1505" i="9"/>
  <c r="J1504" i="9"/>
  <c r="J1503" i="9"/>
  <c r="J1502" i="9"/>
  <c r="K1502" i="9" s="1"/>
  <c r="J1501" i="9"/>
  <c r="J1500" i="9"/>
  <c r="J1499" i="9"/>
  <c r="L1499" i="9" s="1"/>
  <c r="J1498" i="9"/>
  <c r="J1497" i="9"/>
  <c r="L1497" i="9" s="1"/>
  <c r="J1496" i="9"/>
  <c r="L1496" i="9" s="1"/>
  <c r="J1495" i="9"/>
  <c r="J1494" i="9"/>
  <c r="K1494" i="9" s="1"/>
  <c r="J1493" i="9"/>
  <c r="J1492" i="9"/>
  <c r="J1491" i="9"/>
  <c r="L1491" i="9" s="1"/>
  <c r="J1490" i="9"/>
  <c r="L1489" i="9"/>
  <c r="J1489" i="9"/>
  <c r="K1489" i="9" s="1"/>
  <c r="J1488" i="9"/>
  <c r="J1487" i="9"/>
  <c r="J1486" i="9"/>
  <c r="K1486" i="9" s="1"/>
  <c r="J1485" i="9"/>
  <c r="J1484" i="9"/>
  <c r="J1483" i="9"/>
  <c r="L1483" i="9" s="1"/>
  <c r="J1482" i="9"/>
  <c r="J1481" i="9"/>
  <c r="L1481" i="9" s="1"/>
  <c r="L1480" i="9"/>
  <c r="K1480" i="9"/>
  <c r="J1480" i="9"/>
  <c r="J1479" i="9"/>
  <c r="J1478" i="9"/>
  <c r="J1477" i="9"/>
  <c r="J1476" i="9"/>
  <c r="J1475" i="9"/>
  <c r="J1474" i="9"/>
  <c r="J1473" i="9"/>
  <c r="J1472" i="9"/>
  <c r="J1471" i="9"/>
  <c r="J1470" i="9"/>
  <c r="K1470" i="9" s="1"/>
  <c r="J1469" i="9"/>
  <c r="J1468" i="9"/>
  <c r="J1467" i="9"/>
  <c r="L1467" i="9" s="1"/>
  <c r="J1466" i="9"/>
  <c r="J1465" i="9"/>
  <c r="L1465" i="9" s="1"/>
  <c r="J1464" i="9"/>
  <c r="L1464" i="9" s="1"/>
  <c r="J1463" i="9"/>
  <c r="J1462" i="9"/>
  <c r="K1462" i="9" s="1"/>
  <c r="J1461" i="9"/>
  <c r="J1460" i="9"/>
  <c r="J1459" i="9"/>
  <c r="L1459" i="9" s="1"/>
  <c r="J1458" i="9"/>
  <c r="L1457" i="9"/>
  <c r="J1457" i="9"/>
  <c r="K1457" i="9" s="1"/>
  <c r="J1456" i="9"/>
  <c r="J1455" i="9"/>
  <c r="J1454" i="9"/>
  <c r="K1454" i="9" s="1"/>
  <c r="J1453" i="9"/>
  <c r="J1452" i="9"/>
  <c r="J1451" i="9"/>
  <c r="L1451" i="9" s="1"/>
  <c r="J1450" i="9"/>
  <c r="J1449" i="9"/>
  <c r="L1449" i="9" s="1"/>
  <c r="L1448" i="9"/>
  <c r="K1448" i="9"/>
  <c r="J1448" i="9"/>
  <c r="J1447" i="9"/>
  <c r="J1446" i="9"/>
  <c r="J1445" i="9"/>
  <c r="J1444" i="9"/>
  <c r="J1443" i="9"/>
  <c r="J1442" i="9"/>
  <c r="J1441" i="9"/>
  <c r="J1440" i="9"/>
  <c r="J1439" i="9"/>
  <c r="J1438" i="9"/>
  <c r="K1438" i="9" s="1"/>
  <c r="J1437" i="9"/>
  <c r="J1436" i="9"/>
  <c r="J1435" i="9"/>
  <c r="L1435" i="9" s="1"/>
  <c r="J1434" i="9"/>
  <c r="J1433" i="9"/>
  <c r="L1433" i="9" s="1"/>
  <c r="J1432" i="9"/>
  <c r="L1432" i="9" s="1"/>
  <c r="J1431" i="9"/>
  <c r="J1430" i="9"/>
  <c r="K1430" i="9" s="1"/>
  <c r="J1429" i="9"/>
  <c r="J1428" i="9"/>
  <c r="J1427" i="9"/>
  <c r="L1427" i="9" s="1"/>
  <c r="J1426" i="9"/>
  <c r="L1425" i="9"/>
  <c r="J1425" i="9"/>
  <c r="K1425" i="9" s="1"/>
  <c r="J1424" i="9"/>
  <c r="J1423" i="9"/>
  <c r="J1422" i="9"/>
  <c r="K1422" i="9" s="1"/>
  <c r="J1421" i="9"/>
  <c r="J1420" i="9"/>
  <c r="J1419" i="9"/>
  <c r="J1418" i="9"/>
  <c r="J1417" i="9"/>
  <c r="L1416" i="9"/>
  <c r="K1416" i="9"/>
  <c r="J1416" i="9"/>
  <c r="J1415" i="9"/>
  <c r="J1414" i="9"/>
  <c r="J1413" i="9"/>
  <c r="J1412" i="9"/>
  <c r="J1411" i="9"/>
  <c r="J1410" i="9"/>
  <c r="J1409" i="9"/>
  <c r="J1408" i="9"/>
  <c r="L1408" i="9" s="1"/>
  <c r="J1407" i="9"/>
  <c r="J1406" i="9"/>
  <c r="J1405" i="9"/>
  <c r="J1404" i="9"/>
  <c r="J1403" i="9"/>
  <c r="J1402" i="9"/>
  <c r="J1401" i="9"/>
  <c r="J1400" i="9"/>
  <c r="J1399" i="9"/>
  <c r="L1398" i="9"/>
  <c r="J1398" i="9"/>
  <c r="K1398" i="9" s="1"/>
  <c r="J1397" i="9"/>
  <c r="J1396" i="9"/>
  <c r="K1395" i="9"/>
  <c r="J1395" i="9"/>
  <c r="L1395" i="9" s="1"/>
  <c r="J1394" i="9"/>
  <c r="K1393" i="9"/>
  <c r="J1393" i="9"/>
  <c r="L1393" i="9" s="1"/>
  <c r="J1392" i="9"/>
  <c r="L1392" i="9" s="1"/>
  <c r="J1391" i="9"/>
  <c r="J1390" i="9"/>
  <c r="J1389" i="9"/>
  <c r="J1388" i="9"/>
  <c r="J1387" i="9"/>
  <c r="J1386" i="9"/>
  <c r="J1385" i="9"/>
  <c r="L1384" i="9"/>
  <c r="J1384" i="9"/>
  <c r="K1384" i="9" s="1"/>
  <c r="J1383" i="9"/>
  <c r="L1382" i="9"/>
  <c r="J1382" i="9"/>
  <c r="K1382" i="9" s="1"/>
  <c r="J1381" i="9"/>
  <c r="J1380" i="9"/>
  <c r="K1379" i="9"/>
  <c r="J1379" i="9"/>
  <c r="L1379" i="9" s="1"/>
  <c r="J1378" i="9"/>
  <c r="J1377" i="9"/>
  <c r="J1376" i="9"/>
  <c r="L1376" i="9" s="1"/>
  <c r="J1375" i="9"/>
  <c r="J1374" i="9"/>
  <c r="J1373" i="9"/>
  <c r="J1372" i="9"/>
  <c r="J1371" i="9"/>
  <c r="J1370" i="9"/>
  <c r="J1369" i="9"/>
  <c r="K1369" i="9" s="1"/>
  <c r="L1368" i="9"/>
  <c r="K1368" i="9"/>
  <c r="J1368" i="9"/>
  <c r="J1367" i="9"/>
  <c r="J1366" i="9"/>
  <c r="J1365" i="9"/>
  <c r="J1364" i="9"/>
  <c r="J1363" i="9"/>
  <c r="J1362" i="9"/>
  <c r="K1361" i="9"/>
  <c r="J1361" i="9"/>
  <c r="L1361" i="9" s="1"/>
  <c r="K1360" i="9"/>
  <c r="J1360" i="9"/>
  <c r="L1360" i="9" s="1"/>
  <c r="J1359" i="9"/>
  <c r="J1358" i="9"/>
  <c r="J1357" i="9"/>
  <c r="J1356" i="9"/>
  <c r="J1355" i="9"/>
  <c r="J1354" i="9"/>
  <c r="L1353" i="9"/>
  <c r="J1353" i="9"/>
  <c r="K1353" i="9" s="1"/>
  <c r="J1352" i="9"/>
  <c r="J1351" i="9"/>
  <c r="J1350" i="9"/>
  <c r="K1350" i="9" s="1"/>
  <c r="J1349" i="9"/>
  <c r="J1348" i="9"/>
  <c r="J1347" i="9"/>
  <c r="L1347" i="9" s="1"/>
  <c r="J1346" i="9"/>
  <c r="J1345" i="9"/>
  <c r="L1345" i="9" s="1"/>
  <c r="K1344" i="9"/>
  <c r="J1344" i="9"/>
  <c r="L1344" i="9" s="1"/>
  <c r="J1343" i="9"/>
  <c r="J1342" i="9"/>
  <c r="J1341" i="9"/>
  <c r="J1340" i="9"/>
  <c r="J1339" i="9"/>
  <c r="J1338" i="9"/>
  <c r="L1337" i="9"/>
  <c r="J1337" i="9"/>
  <c r="K1337" i="9" s="1"/>
  <c r="J1336" i="9"/>
  <c r="J1335" i="9"/>
  <c r="J1334" i="9"/>
  <c r="K1334" i="9" s="1"/>
  <c r="J1333" i="9"/>
  <c r="J1332" i="9"/>
  <c r="J1331" i="9"/>
  <c r="L1331" i="9" s="1"/>
  <c r="J1330" i="9"/>
  <c r="J1329" i="9"/>
  <c r="L1329" i="9" s="1"/>
  <c r="K1328" i="9"/>
  <c r="J1328" i="9"/>
  <c r="L1328" i="9" s="1"/>
  <c r="J1327" i="9"/>
  <c r="J1326" i="9"/>
  <c r="J1325" i="9"/>
  <c r="J1324" i="9"/>
  <c r="J1323" i="9"/>
  <c r="J1322" i="9"/>
  <c r="L1321" i="9"/>
  <c r="J1321" i="9"/>
  <c r="K1321" i="9" s="1"/>
  <c r="J1320" i="9"/>
  <c r="J1319" i="9"/>
  <c r="J1318" i="9"/>
  <c r="K1318" i="9" s="1"/>
  <c r="J1317" i="9"/>
  <c r="J1316" i="9"/>
  <c r="J1315" i="9"/>
  <c r="L1315" i="9" s="1"/>
  <c r="J1314" i="9"/>
  <c r="J1313" i="9"/>
  <c r="L1313" i="9" s="1"/>
  <c r="K1312" i="9"/>
  <c r="J1312" i="9"/>
  <c r="L1312" i="9" s="1"/>
  <c r="J1311" i="9"/>
  <c r="J1310" i="9"/>
  <c r="J1309" i="9"/>
  <c r="J1308" i="9"/>
  <c r="J1307" i="9"/>
  <c r="J1306" i="9"/>
  <c r="L1305" i="9"/>
  <c r="J1305" i="9"/>
  <c r="K1305" i="9" s="1"/>
  <c r="J1304" i="9"/>
  <c r="J1303" i="9"/>
  <c r="J1302" i="9"/>
  <c r="K1302" i="9" s="1"/>
  <c r="J1301" i="9"/>
  <c r="J1300" i="9"/>
  <c r="J1299" i="9"/>
  <c r="L1299" i="9" s="1"/>
  <c r="J1298" i="9"/>
  <c r="J1297" i="9"/>
  <c r="L1297" i="9" s="1"/>
  <c r="K1296" i="9"/>
  <c r="J1296" i="9"/>
  <c r="L1296" i="9" s="1"/>
  <c r="J1295" i="9"/>
  <c r="J1294" i="9"/>
  <c r="J1293" i="9"/>
  <c r="J1292" i="9"/>
  <c r="J1291" i="9"/>
  <c r="J1290" i="9"/>
  <c r="L1289" i="9"/>
  <c r="J1289" i="9"/>
  <c r="K1289" i="9" s="1"/>
  <c r="J1288" i="9"/>
  <c r="J1287" i="9"/>
  <c r="J1286" i="9"/>
  <c r="K1286" i="9" s="1"/>
  <c r="J1285" i="9"/>
  <c r="J1284" i="9"/>
  <c r="J1283" i="9"/>
  <c r="L1283" i="9" s="1"/>
  <c r="J1282" i="9"/>
  <c r="J1281" i="9"/>
  <c r="L1281" i="9" s="1"/>
  <c r="K1280" i="9"/>
  <c r="J1280" i="9"/>
  <c r="L1280" i="9" s="1"/>
  <c r="J1279" i="9"/>
  <c r="J1278" i="9"/>
  <c r="J1277" i="9"/>
  <c r="J1276" i="9"/>
  <c r="J1275" i="9"/>
  <c r="J1274" i="9"/>
  <c r="L1273" i="9"/>
  <c r="J1273" i="9"/>
  <c r="K1273" i="9" s="1"/>
  <c r="J1272" i="9"/>
  <c r="J1271" i="9"/>
  <c r="J1270" i="9"/>
  <c r="K1270" i="9" s="1"/>
  <c r="J1269" i="9"/>
  <c r="J1268" i="9"/>
  <c r="J1267" i="9"/>
  <c r="L1267" i="9" s="1"/>
  <c r="J1266" i="9"/>
  <c r="J1265" i="9"/>
  <c r="L1265" i="9" s="1"/>
  <c r="K1264" i="9"/>
  <c r="J1264" i="9"/>
  <c r="L1264" i="9" s="1"/>
  <c r="J1263" i="9"/>
  <c r="J1262" i="9"/>
  <c r="J1261" i="9"/>
  <c r="J1260" i="9"/>
  <c r="J1259" i="9"/>
  <c r="J1258" i="9"/>
  <c r="L1257" i="9"/>
  <c r="J1257" i="9"/>
  <c r="K1257" i="9" s="1"/>
  <c r="J1256" i="9"/>
  <c r="J1255" i="9"/>
  <c r="J1254" i="9"/>
  <c r="K1254" i="9" s="1"/>
  <c r="J1253" i="9"/>
  <c r="J1252" i="9"/>
  <c r="J1251" i="9"/>
  <c r="L1251" i="9" s="1"/>
  <c r="J1250" i="9"/>
  <c r="J1249" i="9"/>
  <c r="L1249" i="9" s="1"/>
  <c r="K1248" i="9"/>
  <c r="J1248" i="9"/>
  <c r="L1248" i="9" s="1"/>
  <c r="J1247" i="9"/>
  <c r="J1246" i="9"/>
  <c r="J1245" i="9"/>
  <c r="J1244" i="9"/>
  <c r="J1243" i="9"/>
  <c r="J1242" i="9"/>
  <c r="L1241" i="9"/>
  <c r="J1241" i="9"/>
  <c r="K1241" i="9" s="1"/>
  <c r="J1240" i="9"/>
  <c r="J1239" i="9"/>
  <c r="J1238" i="9"/>
  <c r="K1238" i="9" s="1"/>
  <c r="J1237" i="9"/>
  <c r="J1236" i="9"/>
  <c r="J1235" i="9"/>
  <c r="L1235" i="9" s="1"/>
  <c r="J1234" i="9"/>
  <c r="J1233" i="9"/>
  <c r="L1233" i="9" s="1"/>
  <c r="K1232" i="9"/>
  <c r="J1232" i="9"/>
  <c r="L1232" i="9" s="1"/>
  <c r="J1231" i="9"/>
  <c r="J1230" i="9"/>
  <c r="J1229" i="9"/>
  <c r="J1228" i="9"/>
  <c r="J1227" i="9"/>
  <c r="J1226" i="9"/>
  <c r="L1225" i="9"/>
  <c r="J1225" i="9"/>
  <c r="K1225" i="9" s="1"/>
  <c r="L1224" i="9"/>
  <c r="J1224" i="9"/>
  <c r="K1224" i="9" s="1"/>
  <c r="J1223" i="9"/>
  <c r="J1222" i="9"/>
  <c r="K1222" i="9" s="1"/>
  <c r="J1221" i="9"/>
  <c r="J1220" i="9"/>
  <c r="J1219" i="9"/>
  <c r="L1219" i="9" s="1"/>
  <c r="J1218" i="9"/>
  <c r="J1217" i="9"/>
  <c r="L1217" i="9" s="1"/>
  <c r="J1216" i="9"/>
  <c r="L1216" i="9" s="1"/>
  <c r="J1215" i="9"/>
  <c r="J1214" i="9"/>
  <c r="J1213" i="9"/>
  <c r="J1212" i="9"/>
  <c r="J1211" i="9"/>
  <c r="J1210" i="9"/>
  <c r="J1209" i="9"/>
  <c r="K1209" i="9" s="1"/>
  <c r="L1208" i="9"/>
  <c r="K1208" i="9"/>
  <c r="J1208" i="9"/>
  <c r="J1207" i="9"/>
  <c r="J1206" i="9"/>
  <c r="K1206" i="9" s="1"/>
  <c r="J1205" i="9"/>
  <c r="J1204" i="9"/>
  <c r="J1203" i="9"/>
  <c r="L1203" i="9" s="1"/>
  <c r="J1202" i="9"/>
  <c r="J1201" i="9"/>
  <c r="L1201" i="9" s="1"/>
  <c r="J1200" i="9"/>
  <c r="L1200" i="9" s="1"/>
  <c r="J1199" i="9"/>
  <c r="J1198" i="9"/>
  <c r="J1197" i="9"/>
  <c r="J1196" i="9"/>
  <c r="J1195" i="9"/>
  <c r="J1194" i="9"/>
  <c r="J1193" i="9"/>
  <c r="K1193" i="9" s="1"/>
  <c r="L1192" i="9"/>
  <c r="K1192" i="9"/>
  <c r="J1192" i="9"/>
  <c r="J1191" i="9"/>
  <c r="J1190" i="9"/>
  <c r="K1190" i="9" s="1"/>
  <c r="J1189" i="9"/>
  <c r="J1188" i="9"/>
  <c r="J1187" i="9"/>
  <c r="L1187" i="9" s="1"/>
  <c r="J1186" i="9"/>
  <c r="J1185" i="9"/>
  <c r="L1185" i="9" s="1"/>
  <c r="J1184" i="9"/>
  <c r="L1184" i="9" s="1"/>
  <c r="J1183" i="9"/>
  <c r="J1182" i="9"/>
  <c r="J1181" i="9"/>
  <c r="J1180" i="9"/>
  <c r="J1179" i="9"/>
  <c r="J1178" i="9"/>
  <c r="J1177" i="9"/>
  <c r="K1177" i="9" s="1"/>
  <c r="L1176" i="9"/>
  <c r="K1176" i="9"/>
  <c r="J1176" i="9"/>
  <c r="J1175" i="9"/>
  <c r="J1174" i="9"/>
  <c r="K1174" i="9" s="1"/>
  <c r="J1173" i="9"/>
  <c r="J1172" i="9"/>
  <c r="J1171" i="9"/>
  <c r="L1171" i="9" s="1"/>
  <c r="J1170" i="9"/>
  <c r="J1169" i="9"/>
  <c r="L1169" i="9" s="1"/>
  <c r="J1168" i="9"/>
  <c r="L1168" i="9" s="1"/>
  <c r="J1167" i="9"/>
  <c r="J1166" i="9"/>
  <c r="J1165" i="9"/>
  <c r="J1164" i="9"/>
  <c r="J1163" i="9"/>
  <c r="J1162" i="9"/>
  <c r="J1161" i="9"/>
  <c r="K1161" i="9" s="1"/>
  <c r="K1160" i="9"/>
  <c r="J1160" i="9"/>
  <c r="L1160" i="9" s="1"/>
  <c r="J1159" i="9"/>
  <c r="J1158" i="9"/>
  <c r="K1158" i="9" s="1"/>
  <c r="J1157" i="9"/>
  <c r="J1156" i="9"/>
  <c r="J1155" i="9"/>
  <c r="L1155" i="9" s="1"/>
  <c r="J1154" i="9"/>
  <c r="J1153" i="9"/>
  <c r="L1153" i="9" s="1"/>
  <c r="J1152" i="9"/>
  <c r="L1152" i="9" s="1"/>
  <c r="J1151" i="9"/>
  <c r="J1150" i="9"/>
  <c r="J1149" i="9"/>
  <c r="J1148" i="9"/>
  <c r="J1147" i="9"/>
  <c r="J1146" i="9"/>
  <c r="J1145" i="9"/>
  <c r="K1145" i="9" s="1"/>
  <c r="L1144" i="9"/>
  <c r="K1144" i="9"/>
  <c r="J1144" i="9"/>
  <c r="J1143" i="9"/>
  <c r="J1142" i="9"/>
  <c r="K1142" i="9" s="1"/>
  <c r="J1141" i="9"/>
  <c r="J1140" i="9"/>
  <c r="J1139" i="9"/>
  <c r="L1139" i="9" s="1"/>
  <c r="J1138" i="9"/>
  <c r="J1137" i="9"/>
  <c r="L1137" i="9" s="1"/>
  <c r="J1136" i="9"/>
  <c r="L1136" i="9" s="1"/>
  <c r="J1135" i="9"/>
  <c r="J1134" i="9"/>
  <c r="J1133" i="9"/>
  <c r="J1132" i="9"/>
  <c r="J1131" i="9"/>
  <c r="J1130" i="9"/>
  <c r="J1129" i="9"/>
  <c r="K1129" i="9" s="1"/>
  <c r="K1128" i="9"/>
  <c r="J1128" i="9"/>
  <c r="L1128" i="9" s="1"/>
  <c r="J1127" i="9"/>
  <c r="J1126" i="9"/>
  <c r="K1126" i="9" s="1"/>
  <c r="J1125" i="9"/>
  <c r="J1124" i="9"/>
  <c r="J1123" i="9"/>
  <c r="L1123" i="9" s="1"/>
  <c r="J1122" i="9"/>
  <c r="J1121" i="9"/>
  <c r="L1121" i="9" s="1"/>
  <c r="J1120" i="9"/>
  <c r="L1120" i="9" s="1"/>
  <c r="J1119" i="9"/>
  <c r="J1118" i="9"/>
  <c r="J1117" i="9"/>
  <c r="J1116" i="9"/>
  <c r="J1115" i="9"/>
  <c r="J1114" i="9"/>
  <c r="J1113" i="9"/>
  <c r="K1113" i="9" s="1"/>
  <c r="L1112" i="9"/>
  <c r="K1112" i="9"/>
  <c r="J1112" i="9"/>
  <c r="J1111" i="9"/>
  <c r="J1110" i="9"/>
  <c r="K1110" i="9" s="1"/>
  <c r="J1109" i="9"/>
  <c r="J1108" i="9"/>
  <c r="J1107" i="9"/>
  <c r="L1107" i="9" s="1"/>
  <c r="J1106" i="9"/>
  <c r="J1105" i="9"/>
  <c r="L1105" i="9" s="1"/>
  <c r="J1104" i="9"/>
  <c r="L1104" i="9" s="1"/>
  <c r="J1103" i="9"/>
  <c r="J1102" i="9"/>
  <c r="J1101" i="9"/>
  <c r="J1100" i="9"/>
  <c r="J1099" i="9"/>
  <c r="J1098" i="9"/>
  <c r="J1097" i="9"/>
  <c r="K1097" i="9" s="1"/>
  <c r="K1096" i="9"/>
  <c r="J1096" i="9"/>
  <c r="L1096" i="9" s="1"/>
  <c r="J1095" i="9"/>
  <c r="J1094" i="9"/>
  <c r="K1094" i="9" s="1"/>
  <c r="J1093" i="9"/>
  <c r="J1092" i="9"/>
  <c r="J1091" i="9"/>
  <c r="L1091" i="9" s="1"/>
  <c r="J1090" i="9"/>
  <c r="J1089" i="9"/>
  <c r="L1089" i="9" s="1"/>
  <c r="J1088" i="9"/>
  <c r="L1088" i="9" s="1"/>
  <c r="J1087" i="9"/>
  <c r="J1086" i="9"/>
  <c r="J1085" i="9"/>
  <c r="J1084" i="9"/>
  <c r="J1083" i="9"/>
  <c r="J1082" i="9"/>
  <c r="J1081" i="9"/>
  <c r="K1081" i="9" s="1"/>
  <c r="L1080" i="9"/>
  <c r="K1080" i="9"/>
  <c r="J1080" i="9"/>
  <c r="J1079" i="9"/>
  <c r="J1078" i="9"/>
  <c r="K1078" i="9" s="1"/>
  <c r="J1077" i="9"/>
  <c r="J1076" i="9"/>
  <c r="J1075" i="9"/>
  <c r="L1075" i="9" s="1"/>
  <c r="J1074" i="9"/>
  <c r="J1073" i="9"/>
  <c r="L1073" i="9" s="1"/>
  <c r="J1072" i="9"/>
  <c r="L1072" i="9" s="1"/>
  <c r="J1071" i="9"/>
  <c r="J1070" i="9"/>
  <c r="J1069" i="9"/>
  <c r="J1068" i="9"/>
  <c r="J1067" i="9"/>
  <c r="J1066" i="9"/>
  <c r="J1065" i="9"/>
  <c r="K1065" i="9" s="1"/>
  <c r="K1064" i="9"/>
  <c r="J1064" i="9"/>
  <c r="L1064" i="9" s="1"/>
  <c r="J1063" i="9"/>
  <c r="J1062" i="9"/>
  <c r="K1062" i="9" s="1"/>
  <c r="J1061" i="9"/>
  <c r="J1060" i="9"/>
  <c r="J1059" i="9"/>
  <c r="L1059" i="9" s="1"/>
  <c r="J1058" i="9"/>
  <c r="J1057" i="9"/>
  <c r="L1057" i="9" s="1"/>
  <c r="J1056" i="9"/>
  <c r="L1056" i="9" s="1"/>
  <c r="J1055" i="9"/>
  <c r="J1054" i="9"/>
  <c r="J1053" i="9"/>
  <c r="J1052" i="9"/>
  <c r="J1051" i="9"/>
  <c r="J1050" i="9"/>
  <c r="J1049" i="9"/>
  <c r="K1049" i="9" s="1"/>
  <c r="L1048" i="9"/>
  <c r="K1048" i="9"/>
  <c r="J1048" i="9"/>
  <c r="J1047" i="9"/>
  <c r="J1046" i="9"/>
  <c r="K1046" i="9" s="1"/>
  <c r="J1045" i="9"/>
  <c r="J1044" i="9"/>
  <c r="J1043" i="9"/>
  <c r="L1043" i="9" s="1"/>
  <c r="J1042" i="9"/>
  <c r="J1041" i="9"/>
  <c r="L1041" i="9" s="1"/>
  <c r="J1040" i="9"/>
  <c r="L1040" i="9" s="1"/>
  <c r="J1039" i="9"/>
  <c r="J1038" i="9"/>
  <c r="J1037" i="9"/>
  <c r="J1036" i="9"/>
  <c r="J1035" i="9"/>
  <c r="J1034" i="9"/>
  <c r="J1033" i="9"/>
  <c r="K1033" i="9" s="1"/>
  <c r="K1032" i="9"/>
  <c r="J1032" i="9"/>
  <c r="L1032" i="9" s="1"/>
  <c r="J1031" i="9"/>
  <c r="J1030" i="9"/>
  <c r="K1030" i="9" s="1"/>
  <c r="J1029" i="9"/>
  <c r="J1028" i="9"/>
  <c r="J1027" i="9"/>
  <c r="L1027" i="9" s="1"/>
  <c r="J1026" i="9"/>
  <c r="J1025" i="9"/>
  <c r="L1025" i="9" s="1"/>
  <c r="J1024" i="9"/>
  <c r="L1024" i="9" s="1"/>
  <c r="J1023" i="9"/>
  <c r="J1022" i="9"/>
  <c r="J1021" i="9"/>
  <c r="J1020" i="9"/>
  <c r="J1019" i="9"/>
  <c r="J1018" i="9"/>
  <c r="J1017" i="9"/>
  <c r="K1017" i="9" s="1"/>
  <c r="L1016" i="9"/>
  <c r="K1016" i="9"/>
  <c r="J1016" i="9"/>
  <c r="J1015" i="9"/>
  <c r="J1014" i="9"/>
  <c r="K1014" i="9" s="1"/>
  <c r="J1013" i="9"/>
  <c r="J1012" i="9"/>
  <c r="J1011" i="9"/>
  <c r="L1011" i="9" s="1"/>
  <c r="J1010" i="9"/>
  <c r="J1009" i="9"/>
  <c r="L1009" i="9" s="1"/>
  <c r="J1008" i="9"/>
  <c r="L1008" i="9" s="1"/>
  <c r="J1007" i="9"/>
  <c r="J1006" i="9"/>
  <c r="J1005" i="9"/>
  <c r="J1004" i="9"/>
  <c r="J1003" i="9"/>
  <c r="L1002" i="9"/>
  <c r="K1002" i="9"/>
  <c r="J1002" i="9"/>
  <c r="J1001" i="9"/>
  <c r="J1000" i="9"/>
  <c r="L1000" i="9" s="1"/>
  <c r="J999" i="9"/>
  <c r="K999" i="9" s="1"/>
  <c r="K998" i="9"/>
  <c r="J998" i="9"/>
  <c r="L998" i="9" s="1"/>
  <c r="J997" i="9"/>
  <c r="J996" i="9"/>
  <c r="L996" i="9" s="1"/>
  <c r="L995" i="9"/>
  <c r="J995" i="9"/>
  <c r="K995" i="9" s="1"/>
  <c r="L994" i="9"/>
  <c r="J994" i="9"/>
  <c r="K994" i="9" s="1"/>
  <c r="J993" i="9"/>
  <c r="J992" i="9"/>
  <c r="L992" i="9" s="1"/>
  <c r="J991" i="9"/>
  <c r="K991" i="9" s="1"/>
  <c r="J990" i="9"/>
  <c r="L990" i="9" s="1"/>
  <c r="J989" i="9"/>
  <c r="J988" i="9"/>
  <c r="L988" i="9" s="1"/>
  <c r="J987" i="9"/>
  <c r="K987" i="9" s="1"/>
  <c r="K986" i="9"/>
  <c r="J986" i="9"/>
  <c r="L986" i="9" s="1"/>
  <c r="J985" i="9"/>
  <c r="J984" i="9"/>
  <c r="L984" i="9" s="1"/>
  <c r="J983" i="9"/>
  <c r="K983" i="9" s="1"/>
  <c r="L982" i="9"/>
  <c r="K982" i="9"/>
  <c r="J982" i="9"/>
  <c r="J981" i="9"/>
  <c r="J980" i="9"/>
  <c r="L980" i="9" s="1"/>
  <c r="L979" i="9"/>
  <c r="J979" i="9"/>
  <c r="K979" i="9" s="1"/>
  <c r="J978" i="9"/>
  <c r="L978" i="9" s="1"/>
  <c r="J977" i="9"/>
  <c r="J976" i="9"/>
  <c r="L976" i="9" s="1"/>
  <c r="J975" i="9"/>
  <c r="K975" i="9" s="1"/>
  <c r="L974" i="9"/>
  <c r="J974" i="9"/>
  <c r="K974" i="9" s="1"/>
  <c r="J973" i="9"/>
  <c r="J972" i="9"/>
  <c r="L972" i="9" s="1"/>
  <c r="J971" i="9"/>
  <c r="K971" i="9" s="1"/>
  <c r="L970" i="9"/>
  <c r="K970" i="9"/>
  <c r="J970" i="9"/>
  <c r="J969" i="9"/>
  <c r="J968" i="9"/>
  <c r="L968" i="9" s="1"/>
  <c r="J967" i="9"/>
  <c r="K967" i="9" s="1"/>
  <c r="K966" i="9"/>
  <c r="J966" i="9"/>
  <c r="L966" i="9" s="1"/>
  <c r="J965" i="9"/>
  <c r="J964" i="9"/>
  <c r="L964" i="9" s="1"/>
  <c r="L963" i="9"/>
  <c r="J963" i="9"/>
  <c r="K963" i="9" s="1"/>
  <c r="L962" i="9"/>
  <c r="J962" i="9"/>
  <c r="K962" i="9" s="1"/>
  <c r="J961" i="9"/>
  <c r="J960" i="9"/>
  <c r="L960" i="9" s="1"/>
  <c r="J959" i="9"/>
  <c r="K959" i="9" s="1"/>
  <c r="J958" i="9"/>
  <c r="L958" i="9" s="1"/>
  <c r="J957" i="9"/>
  <c r="J956" i="9"/>
  <c r="L956" i="9" s="1"/>
  <c r="J955" i="9"/>
  <c r="K955" i="9" s="1"/>
  <c r="K954" i="9"/>
  <c r="J954" i="9"/>
  <c r="L954" i="9" s="1"/>
  <c r="J953" i="9"/>
  <c r="J952" i="9"/>
  <c r="L952" i="9" s="1"/>
  <c r="J951" i="9"/>
  <c r="K951" i="9" s="1"/>
  <c r="L950" i="9"/>
  <c r="K950" i="9"/>
  <c r="J950" i="9"/>
  <c r="J949" i="9"/>
  <c r="J948" i="9"/>
  <c r="L948" i="9" s="1"/>
  <c r="L947" i="9"/>
  <c r="J947" i="9"/>
  <c r="K947" i="9" s="1"/>
  <c r="J946" i="9"/>
  <c r="L946" i="9" s="1"/>
  <c r="J945" i="9"/>
  <c r="J944" i="9"/>
  <c r="L944" i="9" s="1"/>
  <c r="J943" i="9"/>
  <c r="K943" i="9" s="1"/>
  <c r="L942" i="9"/>
  <c r="J942" i="9"/>
  <c r="K942" i="9" s="1"/>
  <c r="J941" i="9"/>
  <c r="J940" i="9"/>
  <c r="L940" i="9" s="1"/>
  <c r="J939" i="9"/>
  <c r="K939" i="9" s="1"/>
  <c r="J938" i="9"/>
  <c r="K938" i="9" s="1"/>
  <c r="J937" i="9"/>
  <c r="J936" i="9"/>
  <c r="L936" i="9" s="1"/>
  <c r="L935" i="9"/>
  <c r="K935" i="9"/>
  <c r="J935" i="9"/>
  <c r="L934" i="9"/>
  <c r="J934" i="9"/>
  <c r="K934" i="9" s="1"/>
  <c r="J933" i="9"/>
  <c r="J932" i="9"/>
  <c r="L932" i="9" s="1"/>
  <c r="J931" i="9"/>
  <c r="L931" i="9" s="1"/>
  <c r="J930" i="9"/>
  <c r="K930" i="9" s="1"/>
  <c r="J929" i="9"/>
  <c r="J928" i="9"/>
  <c r="L928" i="9" s="1"/>
  <c r="K927" i="9"/>
  <c r="J927" i="9"/>
  <c r="L927" i="9" s="1"/>
  <c r="L926" i="9"/>
  <c r="J926" i="9"/>
  <c r="K926" i="9" s="1"/>
  <c r="J925" i="9"/>
  <c r="J924" i="9"/>
  <c r="L924" i="9" s="1"/>
  <c r="L923" i="9"/>
  <c r="J923" i="9"/>
  <c r="K923" i="9" s="1"/>
  <c r="J922" i="9"/>
  <c r="K922" i="9" s="1"/>
  <c r="J921" i="9"/>
  <c r="J920" i="9"/>
  <c r="L920" i="9" s="1"/>
  <c r="L919" i="9"/>
  <c r="K919" i="9"/>
  <c r="J919" i="9"/>
  <c r="L918" i="9"/>
  <c r="J918" i="9"/>
  <c r="K918" i="9" s="1"/>
  <c r="J917" i="9"/>
  <c r="J916" i="9"/>
  <c r="L916" i="9" s="1"/>
  <c r="J915" i="9"/>
  <c r="L915" i="9" s="1"/>
  <c r="J914" i="9"/>
  <c r="K914" i="9" s="1"/>
  <c r="J913" i="9"/>
  <c r="J912" i="9"/>
  <c r="L912" i="9" s="1"/>
  <c r="K911" i="9"/>
  <c r="J911" i="9"/>
  <c r="L911" i="9" s="1"/>
  <c r="L910" i="9"/>
  <c r="J910" i="9"/>
  <c r="K910" i="9" s="1"/>
  <c r="J909" i="9"/>
  <c r="J908" i="9"/>
  <c r="L908" i="9" s="1"/>
  <c r="L907" i="9"/>
  <c r="J907" i="9"/>
  <c r="K907" i="9" s="1"/>
  <c r="J906" i="9"/>
  <c r="K906" i="9" s="1"/>
  <c r="J905" i="9"/>
  <c r="J904" i="9"/>
  <c r="L904" i="9" s="1"/>
  <c r="L903" i="9"/>
  <c r="K903" i="9"/>
  <c r="J903" i="9"/>
  <c r="L902" i="9"/>
  <c r="J902" i="9"/>
  <c r="K902" i="9" s="1"/>
  <c r="J901" i="9"/>
  <c r="J900" i="9"/>
  <c r="L900" i="9" s="1"/>
  <c r="J899" i="9"/>
  <c r="L899" i="9" s="1"/>
  <c r="J898" i="9"/>
  <c r="K898" i="9" s="1"/>
  <c r="J897" i="9"/>
  <c r="J896" i="9"/>
  <c r="L896" i="9" s="1"/>
  <c r="K895" i="9"/>
  <c r="J895" i="9"/>
  <c r="L895" i="9" s="1"/>
  <c r="L894" i="9"/>
  <c r="J894" i="9"/>
  <c r="K894" i="9" s="1"/>
  <c r="J893" i="9"/>
  <c r="J892" i="9"/>
  <c r="L892" i="9" s="1"/>
  <c r="L891" i="9"/>
  <c r="J891" i="9"/>
  <c r="K891" i="9" s="1"/>
  <c r="J890" i="9"/>
  <c r="K890" i="9" s="1"/>
  <c r="J889" i="9"/>
  <c r="J888" i="9"/>
  <c r="L888" i="9" s="1"/>
  <c r="L887" i="9"/>
  <c r="K887" i="9"/>
  <c r="J887" i="9"/>
  <c r="L886" i="9"/>
  <c r="J886" i="9"/>
  <c r="K886" i="9" s="1"/>
  <c r="J885" i="9"/>
  <c r="J884" i="9"/>
  <c r="J883" i="9"/>
  <c r="J882" i="9"/>
  <c r="L882" i="9" s="1"/>
  <c r="J881" i="9"/>
  <c r="L881" i="9" s="1"/>
  <c r="J880" i="9"/>
  <c r="K879" i="9"/>
  <c r="J879" i="9"/>
  <c r="L879" i="9" s="1"/>
  <c r="J878" i="9"/>
  <c r="J877" i="9"/>
  <c r="L877" i="9" s="1"/>
  <c r="J876" i="9"/>
  <c r="J875" i="9"/>
  <c r="L875" i="9" s="1"/>
  <c r="J874" i="9"/>
  <c r="L874" i="9" s="1"/>
  <c r="J873" i="9"/>
  <c r="J872" i="9"/>
  <c r="L871" i="9"/>
  <c r="K871" i="9"/>
  <c r="J871" i="9"/>
  <c r="K870" i="9"/>
  <c r="J870" i="9"/>
  <c r="L870" i="9" s="1"/>
  <c r="K869" i="9"/>
  <c r="J869" i="9"/>
  <c r="L869" i="9" s="1"/>
  <c r="J868" i="9"/>
  <c r="L867" i="9"/>
  <c r="K867" i="9"/>
  <c r="J867" i="9"/>
  <c r="L866" i="9"/>
  <c r="J866" i="9"/>
  <c r="K866" i="9" s="1"/>
  <c r="J865" i="9"/>
  <c r="J864" i="9"/>
  <c r="J863" i="9"/>
  <c r="J862" i="9"/>
  <c r="L862" i="9" s="1"/>
  <c r="J861" i="9"/>
  <c r="L861" i="9" s="1"/>
  <c r="J860" i="9"/>
  <c r="K859" i="9"/>
  <c r="J859" i="9"/>
  <c r="L859" i="9" s="1"/>
  <c r="J858" i="9"/>
  <c r="J857" i="9"/>
  <c r="J856" i="9"/>
  <c r="J855" i="9"/>
  <c r="L855" i="9" s="1"/>
  <c r="J854" i="9"/>
  <c r="J853" i="9"/>
  <c r="L853" i="9" s="1"/>
  <c r="J852" i="9"/>
  <c r="K851" i="9"/>
  <c r="J851" i="9"/>
  <c r="L851" i="9" s="1"/>
  <c r="K850" i="9"/>
  <c r="J850" i="9"/>
  <c r="L850" i="9" s="1"/>
  <c r="K849" i="9"/>
  <c r="J849" i="9"/>
  <c r="L849" i="9" s="1"/>
  <c r="J848" i="9"/>
  <c r="J847" i="9"/>
  <c r="L847" i="9" s="1"/>
  <c r="J846" i="9"/>
  <c r="L846" i="9" s="1"/>
  <c r="J845" i="9"/>
  <c r="J844" i="9"/>
  <c r="J843" i="9"/>
  <c r="J842" i="9"/>
  <c r="K842" i="9" s="1"/>
  <c r="J841" i="9"/>
  <c r="J840" i="9"/>
  <c r="J839" i="9"/>
  <c r="J838" i="9"/>
  <c r="L838" i="9" s="1"/>
  <c r="J837" i="9"/>
  <c r="L837" i="9" s="1"/>
  <c r="J836" i="9"/>
  <c r="J835" i="9"/>
  <c r="L835" i="9" s="1"/>
  <c r="J834" i="9"/>
  <c r="J833" i="9"/>
  <c r="L833" i="9" s="1"/>
  <c r="J832" i="9"/>
  <c r="J831" i="9"/>
  <c r="L831" i="9" s="1"/>
  <c r="J830" i="9"/>
  <c r="L830" i="9" s="1"/>
  <c r="J829" i="9"/>
  <c r="L829" i="9" s="1"/>
  <c r="J828" i="9"/>
  <c r="L827" i="9"/>
  <c r="J827" i="9"/>
  <c r="K827" i="9" s="1"/>
  <c r="K826" i="9"/>
  <c r="J826" i="9"/>
  <c r="L826" i="9" s="1"/>
  <c r="J825" i="9"/>
  <c r="J824" i="9"/>
  <c r="L823" i="9"/>
  <c r="J823" i="9"/>
  <c r="K823" i="9" s="1"/>
  <c r="K822" i="9"/>
  <c r="J822" i="9"/>
  <c r="L822" i="9" s="1"/>
  <c r="J821" i="9"/>
  <c r="J820" i="9"/>
  <c r="J819" i="9"/>
  <c r="K818" i="9"/>
  <c r="J818" i="9"/>
  <c r="L818" i="9" s="1"/>
  <c r="K817" i="9"/>
  <c r="J817" i="9"/>
  <c r="L817" i="9" s="1"/>
  <c r="J816" i="9"/>
  <c r="J815" i="9"/>
  <c r="L815" i="9" s="1"/>
  <c r="J814" i="9"/>
  <c r="J813" i="9"/>
  <c r="L813" i="9" s="1"/>
  <c r="J812" i="9"/>
  <c r="J811" i="9"/>
  <c r="K811" i="9" s="1"/>
  <c r="J810" i="9"/>
  <c r="L810" i="9" s="1"/>
  <c r="J809" i="9"/>
  <c r="J808" i="9"/>
  <c r="K807" i="9"/>
  <c r="J807" i="9"/>
  <c r="L807" i="9" s="1"/>
  <c r="J806" i="9"/>
  <c r="L806" i="9" s="1"/>
  <c r="J805" i="9"/>
  <c r="L805" i="9" s="1"/>
  <c r="J804" i="9"/>
  <c r="J803" i="9"/>
  <c r="L803" i="9" s="1"/>
  <c r="J802" i="9"/>
  <c r="L802" i="9" s="1"/>
  <c r="J801" i="9"/>
  <c r="J800" i="9"/>
  <c r="J799" i="9"/>
  <c r="K798" i="9"/>
  <c r="J798" i="9"/>
  <c r="L798" i="9" s="1"/>
  <c r="K797" i="9"/>
  <c r="J797" i="9"/>
  <c r="L797" i="9" s="1"/>
  <c r="J796" i="9"/>
  <c r="J795" i="9"/>
  <c r="L795" i="9" s="1"/>
  <c r="J794" i="9"/>
  <c r="J793" i="9"/>
  <c r="J792" i="9"/>
  <c r="J791" i="9"/>
  <c r="L791" i="9" s="1"/>
  <c r="J790" i="9"/>
  <c r="J789" i="9"/>
  <c r="L789" i="9" s="1"/>
  <c r="J788" i="9"/>
  <c r="K787" i="9"/>
  <c r="J787" i="9"/>
  <c r="L787" i="9" s="1"/>
  <c r="J786" i="9"/>
  <c r="L786" i="9" s="1"/>
  <c r="J785" i="9"/>
  <c r="L785" i="9" s="1"/>
  <c r="J784" i="9"/>
  <c r="J783" i="9"/>
  <c r="L783" i="9" s="1"/>
  <c r="L782" i="9"/>
  <c r="J782" i="9"/>
  <c r="K782" i="9" s="1"/>
  <c r="J781" i="9"/>
  <c r="J780" i="9"/>
  <c r="J779" i="9"/>
  <c r="K778" i="9"/>
  <c r="J778" i="9"/>
  <c r="L778" i="9" s="1"/>
  <c r="J777" i="9"/>
  <c r="J776" i="9"/>
  <c r="J775" i="9"/>
  <c r="L774" i="9"/>
  <c r="K774" i="9"/>
  <c r="J774" i="9"/>
  <c r="K773" i="9"/>
  <c r="J773" i="9"/>
  <c r="L773" i="9" s="1"/>
  <c r="J772" i="9"/>
  <c r="J771" i="9"/>
  <c r="L771" i="9" s="1"/>
  <c r="J770" i="9"/>
  <c r="J769" i="9"/>
  <c r="L769" i="9" s="1"/>
  <c r="J768" i="9"/>
  <c r="J767" i="9"/>
  <c r="K767" i="9" s="1"/>
  <c r="J766" i="9"/>
  <c r="L766" i="9" s="1"/>
  <c r="J765" i="9"/>
  <c r="L765" i="9" s="1"/>
  <c r="J764" i="9"/>
  <c r="L763" i="9"/>
  <c r="J763" i="9"/>
  <c r="K763" i="9" s="1"/>
  <c r="K762" i="9"/>
  <c r="J762" i="9"/>
  <c r="L762" i="9" s="1"/>
  <c r="J761" i="9"/>
  <c r="J760" i="9"/>
  <c r="K760" i="9" s="1"/>
  <c r="J759" i="9"/>
  <c r="J758" i="9"/>
  <c r="J757" i="9"/>
  <c r="L757" i="9" s="1"/>
  <c r="J756" i="9"/>
  <c r="J755" i="9"/>
  <c r="L755" i="9" s="1"/>
  <c r="K754" i="9"/>
  <c r="J754" i="9"/>
  <c r="L754" i="9" s="1"/>
  <c r="J753" i="9"/>
  <c r="J752" i="9"/>
  <c r="K752" i="9" s="1"/>
  <c r="J751" i="9"/>
  <c r="J750" i="9"/>
  <c r="J749" i="9"/>
  <c r="L749" i="9" s="1"/>
  <c r="J748" i="9"/>
  <c r="L747" i="9"/>
  <c r="J747" i="9"/>
  <c r="K747" i="9" s="1"/>
  <c r="K746" i="9"/>
  <c r="J746" i="9"/>
  <c r="L746" i="9" s="1"/>
  <c r="J745" i="9"/>
  <c r="J744" i="9"/>
  <c r="K744" i="9" s="1"/>
  <c r="J743" i="9"/>
  <c r="J742" i="9"/>
  <c r="J741" i="9"/>
  <c r="L741" i="9" s="1"/>
  <c r="J740" i="9"/>
  <c r="J739" i="9"/>
  <c r="L739" i="9" s="1"/>
  <c r="K738" i="9"/>
  <c r="J738" i="9"/>
  <c r="L738" i="9" s="1"/>
  <c r="J737" i="9"/>
  <c r="J736" i="9"/>
  <c r="K736" i="9" s="1"/>
  <c r="J735" i="9"/>
  <c r="J734" i="9"/>
  <c r="J733" i="9"/>
  <c r="L733" i="9" s="1"/>
  <c r="J732" i="9"/>
  <c r="L731" i="9"/>
  <c r="J731" i="9"/>
  <c r="K731" i="9" s="1"/>
  <c r="K730" i="9"/>
  <c r="J730" i="9"/>
  <c r="L730" i="9" s="1"/>
  <c r="J729" i="9"/>
  <c r="J728" i="9"/>
  <c r="K728" i="9" s="1"/>
  <c r="J727" i="9"/>
  <c r="J726" i="9"/>
  <c r="J725" i="9"/>
  <c r="L725" i="9" s="1"/>
  <c r="J724" i="9"/>
  <c r="J723" i="9"/>
  <c r="L723" i="9" s="1"/>
  <c r="K722" i="9"/>
  <c r="J722" i="9"/>
  <c r="L722" i="9" s="1"/>
  <c r="J721" i="9"/>
  <c r="J720" i="9"/>
  <c r="K720" i="9" s="1"/>
  <c r="J719" i="9"/>
  <c r="J718" i="9"/>
  <c r="J717" i="9"/>
  <c r="L717" i="9" s="1"/>
  <c r="J716" i="9"/>
  <c r="L715" i="9"/>
  <c r="J715" i="9"/>
  <c r="K715" i="9" s="1"/>
  <c r="K714" i="9"/>
  <c r="J714" i="9"/>
  <c r="L714" i="9" s="1"/>
  <c r="J713" i="9"/>
  <c r="J712" i="9"/>
  <c r="K712" i="9" s="1"/>
  <c r="J711" i="9"/>
  <c r="J710" i="9"/>
  <c r="J709" i="9"/>
  <c r="L709" i="9" s="1"/>
  <c r="J708" i="9"/>
  <c r="J707" i="9"/>
  <c r="L707" i="9" s="1"/>
  <c r="K706" i="9"/>
  <c r="J706" i="9"/>
  <c r="L706" i="9" s="1"/>
  <c r="J705" i="9"/>
  <c r="J704" i="9"/>
  <c r="K704" i="9" s="1"/>
  <c r="J703" i="9"/>
  <c r="J702" i="9"/>
  <c r="J701" i="9"/>
  <c r="L701" i="9" s="1"/>
  <c r="J700" i="9"/>
  <c r="L699" i="9"/>
  <c r="J699" i="9"/>
  <c r="K699" i="9" s="1"/>
  <c r="K698" i="9"/>
  <c r="J698" i="9"/>
  <c r="L698" i="9" s="1"/>
  <c r="J697" i="9"/>
  <c r="J696" i="9"/>
  <c r="K696" i="9" s="1"/>
  <c r="J695" i="9"/>
  <c r="J694" i="9"/>
  <c r="J693" i="9"/>
  <c r="L693" i="9" s="1"/>
  <c r="J692" i="9"/>
  <c r="J691" i="9"/>
  <c r="L691" i="9" s="1"/>
  <c r="K690" i="9"/>
  <c r="J690" i="9"/>
  <c r="L690" i="9" s="1"/>
  <c r="J689" i="9"/>
  <c r="J688" i="9"/>
  <c r="K688" i="9" s="1"/>
  <c r="J687" i="9"/>
  <c r="J686" i="9"/>
  <c r="J685" i="9"/>
  <c r="L685" i="9" s="1"/>
  <c r="J684" i="9"/>
  <c r="L683" i="9"/>
  <c r="J683" i="9"/>
  <c r="K683" i="9" s="1"/>
  <c r="K682" i="9"/>
  <c r="J682" i="9"/>
  <c r="L682" i="9" s="1"/>
  <c r="J681" i="9"/>
  <c r="J680" i="9"/>
  <c r="K680" i="9" s="1"/>
  <c r="J679" i="9"/>
  <c r="J678" i="9"/>
  <c r="J677" i="9"/>
  <c r="L677" i="9" s="1"/>
  <c r="J676" i="9"/>
  <c r="J675" i="9"/>
  <c r="L675" i="9" s="1"/>
  <c r="K674" i="9"/>
  <c r="J674" i="9"/>
  <c r="L674" i="9" s="1"/>
  <c r="J673" i="9"/>
  <c r="J672" i="9"/>
  <c r="K672" i="9" s="1"/>
  <c r="J671" i="9"/>
  <c r="J670" i="9"/>
  <c r="J669" i="9"/>
  <c r="L669" i="9" s="1"/>
  <c r="J668" i="9"/>
  <c r="L667" i="9"/>
  <c r="J667" i="9"/>
  <c r="K667" i="9" s="1"/>
  <c r="K666" i="9"/>
  <c r="J666" i="9"/>
  <c r="L666" i="9" s="1"/>
  <c r="J665" i="9"/>
  <c r="J664" i="9"/>
  <c r="K664" i="9" s="1"/>
  <c r="J663" i="9"/>
  <c r="J662" i="9"/>
  <c r="J661" i="9"/>
  <c r="L661" i="9" s="1"/>
  <c r="J660" i="9"/>
  <c r="J659" i="9"/>
  <c r="L659" i="9" s="1"/>
  <c r="K658" i="9"/>
  <c r="J658" i="9"/>
  <c r="L658" i="9" s="1"/>
  <c r="J657" i="9"/>
  <c r="J656" i="9"/>
  <c r="K656" i="9" s="1"/>
  <c r="J655" i="9"/>
  <c r="J654" i="9"/>
  <c r="J653" i="9"/>
  <c r="L653" i="9" s="1"/>
  <c r="J652" i="9"/>
  <c r="L651" i="9"/>
  <c r="J651" i="9"/>
  <c r="K651" i="9" s="1"/>
  <c r="K650" i="9"/>
  <c r="J650" i="9"/>
  <c r="L650" i="9" s="1"/>
  <c r="J649" i="9"/>
  <c r="J648" i="9"/>
  <c r="K648" i="9" s="1"/>
  <c r="J647" i="9"/>
  <c r="J646" i="9"/>
  <c r="J645" i="9"/>
  <c r="L645" i="9" s="1"/>
  <c r="J644" i="9"/>
  <c r="J643" i="9"/>
  <c r="L643" i="9" s="1"/>
  <c r="K642" i="9"/>
  <c r="J642" i="9"/>
  <c r="L642" i="9" s="1"/>
  <c r="J641" i="9"/>
  <c r="J640" i="9"/>
  <c r="K640" i="9" s="1"/>
  <c r="J639" i="9"/>
  <c r="J638" i="9"/>
  <c r="J637" i="9"/>
  <c r="L637" i="9" s="1"/>
  <c r="J636" i="9"/>
  <c r="L635" i="9"/>
  <c r="J635" i="9"/>
  <c r="K635" i="9" s="1"/>
  <c r="K634" i="9"/>
  <c r="J634" i="9"/>
  <c r="L634" i="9" s="1"/>
  <c r="J633" i="9"/>
  <c r="J632" i="9"/>
  <c r="K632" i="9" s="1"/>
  <c r="J631" i="9"/>
  <c r="J630" i="9"/>
  <c r="J629" i="9"/>
  <c r="L629" i="9" s="1"/>
  <c r="J628" i="9"/>
  <c r="J627" i="9"/>
  <c r="L627" i="9" s="1"/>
  <c r="K626" i="9"/>
  <c r="J626" i="9"/>
  <c r="L626" i="9" s="1"/>
  <c r="J625" i="9"/>
  <c r="J624" i="9"/>
  <c r="K624" i="9" s="1"/>
  <c r="J623" i="9"/>
  <c r="J622" i="9"/>
  <c r="J621" i="9"/>
  <c r="L621" i="9" s="1"/>
  <c r="J620" i="9"/>
  <c r="L619" i="9"/>
  <c r="J619" i="9"/>
  <c r="K619" i="9" s="1"/>
  <c r="K618" i="9"/>
  <c r="J618" i="9"/>
  <c r="L618" i="9" s="1"/>
  <c r="J617" i="9"/>
  <c r="J616" i="9"/>
  <c r="K616" i="9" s="1"/>
  <c r="J615" i="9"/>
  <c r="J614" i="9"/>
  <c r="J613" i="9"/>
  <c r="L613" i="9" s="1"/>
  <c r="J612" i="9"/>
  <c r="J611" i="9"/>
  <c r="L611" i="9" s="1"/>
  <c r="K610" i="9"/>
  <c r="J610" i="9"/>
  <c r="L610" i="9" s="1"/>
  <c r="J609" i="9"/>
  <c r="J608" i="9"/>
  <c r="K608" i="9" s="1"/>
  <c r="J607" i="9"/>
  <c r="J606" i="9"/>
  <c r="J605" i="9"/>
  <c r="L605" i="9" s="1"/>
  <c r="J604" i="9"/>
  <c r="L603" i="9"/>
  <c r="J603" i="9"/>
  <c r="K603" i="9" s="1"/>
  <c r="K602" i="9"/>
  <c r="J602" i="9"/>
  <c r="L602" i="9" s="1"/>
  <c r="J601" i="9"/>
  <c r="J600" i="9"/>
  <c r="K600" i="9" s="1"/>
  <c r="J599" i="9"/>
  <c r="J598" i="9"/>
  <c r="K597" i="9"/>
  <c r="J597" i="9"/>
  <c r="L597" i="9" s="1"/>
  <c r="J596" i="9"/>
  <c r="K595" i="9"/>
  <c r="J595" i="9"/>
  <c r="L595" i="9" s="1"/>
  <c r="L594" i="9"/>
  <c r="J594" i="9"/>
  <c r="K594" i="9" s="1"/>
  <c r="J593" i="9"/>
  <c r="J592" i="9"/>
  <c r="K592" i="9" s="1"/>
  <c r="J591" i="9"/>
  <c r="J590" i="9"/>
  <c r="J589" i="9"/>
  <c r="L589" i="9" s="1"/>
  <c r="J588" i="9"/>
  <c r="K587" i="9"/>
  <c r="J587" i="9"/>
  <c r="L587" i="9" s="1"/>
  <c r="K586" i="9"/>
  <c r="J586" i="9"/>
  <c r="L586" i="9" s="1"/>
  <c r="J585" i="9"/>
  <c r="J584" i="9"/>
  <c r="K584" i="9" s="1"/>
  <c r="L583" i="9"/>
  <c r="J583" i="9"/>
  <c r="K583" i="9" s="1"/>
  <c r="J582" i="9"/>
  <c r="J581" i="9"/>
  <c r="L581" i="9" s="1"/>
  <c r="J580" i="9"/>
  <c r="J579" i="9"/>
  <c r="K579" i="9" s="1"/>
  <c r="J578" i="9"/>
  <c r="L578" i="9" s="1"/>
  <c r="J577" i="9"/>
  <c r="J576" i="9"/>
  <c r="K576" i="9" s="1"/>
  <c r="L575" i="9"/>
  <c r="J575" i="9"/>
  <c r="K575" i="9" s="1"/>
  <c r="J574" i="9"/>
  <c r="J573" i="9"/>
  <c r="L573" i="9" s="1"/>
  <c r="J572" i="9"/>
  <c r="J571" i="9"/>
  <c r="K571" i="9" s="1"/>
  <c r="J570" i="9"/>
  <c r="K570" i="9" s="1"/>
  <c r="J569" i="9"/>
  <c r="J568" i="9"/>
  <c r="K568" i="9" s="1"/>
  <c r="J567" i="9"/>
  <c r="K567" i="9" s="1"/>
  <c r="J566" i="9"/>
  <c r="J565" i="9"/>
  <c r="L565" i="9" s="1"/>
  <c r="J564" i="9"/>
  <c r="J563" i="9"/>
  <c r="L563" i="9" s="1"/>
  <c r="J562" i="9"/>
  <c r="K562" i="9" s="1"/>
  <c r="J561" i="9"/>
  <c r="L560" i="9"/>
  <c r="J560" i="9"/>
  <c r="K560" i="9" s="1"/>
  <c r="J559" i="9"/>
  <c r="K559" i="9" s="1"/>
  <c r="J558" i="9"/>
  <c r="K557" i="9"/>
  <c r="J557" i="9"/>
  <c r="L557" i="9" s="1"/>
  <c r="J556" i="9"/>
  <c r="J555" i="9"/>
  <c r="L555" i="9" s="1"/>
  <c r="J554" i="9"/>
  <c r="L554" i="9" s="1"/>
  <c r="J553" i="9"/>
  <c r="J552" i="9"/>
  <c r="K552" i="9" s="1"/>
  <c r="J551" i="9"/>
  <c r="K551" i="9" s="1"/>
  <c r="J550" i="9"/>
  <c r="J549" i="9"/>
  <c r="L549" i="9" s="1"/>
  <c r="J548" i="9"/>
  <c r="L547" i="9"/>
  <c r="J547" i="9"/>
  <c r="K547" i="9" s="1"/>
  <c r="J546" i="9"/>
  <c r="L546" i="9" s="1"/>
  <c r="J545" i="9"/>
  <c r="J544" i="9"/>
  <c r="K544" i="9" s="1"/>
  <c r="J543" i="9"/>
  <c r="K543" i="9" s="1"/>
  <c r="J542" i="9"/>
  <c r="J541" i="9"/>
  <c r="L541" i="9" s="1"/>
  <c r="J540" i="9"/>
  <c r="L539" i="9"/>
  <c r="J539" i="9"/>
  <c r="K539" i="9" s="1"/>
  <c r="J538" i="9"/>
  <c r="K538" i="9" s="1"/>
  <c r="J537" i="9"/>
  <c r="L536" i="9"/>
  <c r="J536" i="9"/>
  <c r="K536" i="9" s="1"/>
  <c r="J535" i="9"/>
  <c r="K535" i="9" s="1"/>
  <c r="J534" i="9"/>
  <c r="K533" i="9"/>
  <c r="J533" i="9"/>
  <c r="L533" i="9" s="1"/>
  <c r="J532" i="9"/>
  <c r="L531" i="9"/>
  <c r="K531" i="9"/>
  <c r="J531" i="9"/>
  <c r="L530" i="9"/>
  <c r="J530" i="9"/>
  <c r="K530" i="9" s="1"/>
  <c r="J529" i="9"/>
  <c r="J528" i="9"/>
  <c r="K528" i="9" s="1"/>
  <c r="J527" i="9"/>
  <c r="K527" i="9" s="1"/>
  <c r="J526" i="9"/>
  <c r="J525" i="9"/>
  <c r="L525" i="9" s="1"/>
  <c r="J524" i="9"/>
  <c r="K523" i="9"/>
  <c r="J523" i="9"/>
  <c r="L523" i="9" s="1"/>
  <c r="K522" i="9"/>
  <c r="J522" i="9"/>
  <c r="L522" i="9" s="1"/>
  <c r="J521" i="9"/>
  <c r="J520" i="9"/>
  <c r="K520" i="9" s="1"/>
  <c r="L519" i="9"/>
  <c r="J519" i="9"/>
  <c r="K519" i="9" s="1"/>
  <c r="J518" i="9"/>
  <c r="J517" i="9"/>
  <c r="L517" i="9" s="1"/>
  <c r="J516" i="9"/>
  <c r="J515" i="9"/>
  <c r="K515" i="9" s="1"/>
  <c r="J514" i="9"/>
  <c r="L514" i="9" s="1"/>
  <c r="J513" i="9"/>
  <c r="J512" i="9"/>
  <c r="K512" i="9" s="1"/>
  <c r="L511" i="9"/>
  <c r="J511" i="9"/>
  <c r="K511" i="9" s="1"/>
  <c r="J510" i="9"/>
  <c r="J509" i="9"/>
  <c r="L509" i="9" s="1"/>
  <c r="J508" i="9"/>
  <c r="J507" i="9"/>
  <c r="K507" i="9" s="1"/>
  <c r="J506" i="9"/>
  <c r="K506" i="9" s="1"/>
  <c r="J505" i="9"/>
  <c r="J504" i="9"/>
  <c r="K504" i="9" s="1"/>
  <c r="J503" i="9"/>
  <c r="K503" i="9" s="1"/>
  <c r="J502" i="9"/>
  <c r="J501" i="9"/>
  <c r="L501" i="9" s="1"/>
  <c r="J500" i="9"/>
  <c r="L499" i="9"/>
  <c r="J499" i="9"/>
  <c r="K499" i="9" s="1"/>
  <c r="J498" i="9"/>
  <c r="K498" i="9" s="1"/>
  <c r="J497" i="9"/>
  <c r="L496" i="9"/>
  <c r="J496" i="9"/>
  <c r="K496" i="9" s="1"/>
  <c r="J495" i="9"/>
  <c r="K495" i="9" s="1"/>
  <c r="J494" i="9"/>
  <c r="K493" i="9"/>
  <c r="J493" i="9"/>
  <c r="L493" i="9" s="1"/>
  <c r="J492" i="9"/>
  <c r="J491" i="9"/>
  <c r="L491" i="9" s="1"/>
  <c r="J490" i="9"/>
  <c r="L490" i="9" s="1"/>
  <c r="J489" i="9"/>
  <c r="J488" i="9"/>
  <c r="K488" i="9" s="1"/>
  <c r="J487" i="9"/>
  <c r="K487" i="9" s="1"/>
  <c r="J486" i="9"/>
  <c r="J485" i="9"/>
  <c r="L485" i="9" s="1"/>
  <c r="J484" i="9"/>
  <c r="L483" i="9"/>
  <c r="J483" i="9"/>
  <c r="K483" i="9" s="1"/>
  <c r="J482" i="9"/>
  <c r="L482" i="9" s="1"/>
  <c r="J481" i="9"/>
  <c r="J480" i="9"/>
  <c r="K480" i="9" s="1"/>
  <c r="J479" i="9"/>
  <c r="K479" i="9" s="1"/>
  <c r="J478" i="9"/>
  <c r="J477" i="9"/>
  <c r="L477" i="9" s="1"/>
  <c r="J476" i="9"/>
  <c r="L475" i="9"/>
  <c r="J475" i="9"/>
  <c r="K475" i="9" s="1"/>
  <c r="J474" i="9"/>
  <c r="K474" i="9" s="1"/>
  <c r="J473" i="9"/>
  <c r="L472" i="9"/>
  <c r="J472" i="9"/>
  <c r="K472" i="9" s="1"/>
  <c r="J471" i="9"/>
  <c r="K471" i="9" s="1"/>
  <c r="J470" i="9"/>
  <c r="K469" i="9"/>
  <c r="J469" i="9"/>
  <c r="L469" i="9" s="1"/>
  <c r="J468" i="9"/>
  <c r="K467" i="9"/>
  <c r="J467" i="9"/>
  <c r="L467" i="9" s="1"/>
  <c r="L466" i="9"/>
  <c r="J466" i="9"/>
  <c r="K466" i="9" s="1"/>
  <c r="J465" i="9"/>
  <c r="J464" i="9"/>
  <c r="K464" i="9" s="1"/>
  <c r="J463" i="9"/>
  <c r="K463" i="9" s="1"/>
  <c r="J462" i="9"/>
  <c r="J461" i="9"/>
  <c r="L461" i="9" s="1"/>
  <c r="J460" i="9"/>
  <c r="K459" i="9"/>
  <c r="J459" i="9"/>
  <c r="L459" i="9" s="1"/>
  <c r="K458" i="9"/>
  <c r="J458" i="9"/>
  <c r="L458" i="9" s="1"/>
  <c r="J457" i="9"/>
  <c r="J456" i="9"/>
  <c r="K456" i="9" s="1"/>
  <c r="L455" i="9"/>
  <c r="J455" i="9"/>
  <c r="K455" i="9" s="1"/>
  <c r="J454" i="9"/>
  <c r="J453" i="9"/>
  <c r="L453" i="9" s="1"/>
  <c r="J452" i="9"/>
  <c r="J451" i="9"/>
  <c r="K451" i="9" s="1"/>
  <c r="J450" i="9"/>
  <c r="L450" i="9" s="1"/>
  <c r="J449" i="9"/>
  <c r="J448" i="9"/>
  <c r="K448" i="9" s="1"/>
  <c r="L447" i="9"/>
  <c r="J447" i="9"/>
  <c r="K447" i="9" s="1"/>
  <c r="J446" i="9"/>
  <c r="J445" i="9"/>
  <c r="L445" i="9" s="1"/>
  <c r="J444" i="9"/>
  <c r="J443" i="9"/>
  <c r="K443" i="9" s="1"/>
  <c r="J442" i="9"/>
  <c r="K442" i="9" s="1"/>
  <c r="J441" i="9"/>
  <c r="J440" i="9"/>
  <c r="K440" i="9" s="1"/>
  <c r="J439" i="9"/>
  <c r="K439" i="9" s="1"/>
  <c r="J438" i="9"/>
  <c r="J437" i="9"/>
  <c r="L437" i="9" s="1"/>
  <c r="J436" i="9"/>
  <c r="J435" i="9"/>
  <c r="L435" i="9" s="1"/>
  <c r="J434" i="9"/>
  <c r="K434" i="9" s="1"/>
  <c r="J433" i="9"/>
  <c r="L432" i="9"/>
  <c r="J432" i="9"/>
  <c r="K432" i="9" s="1"/>
  <c r="J431" i="9"/>
  <c r="K431" i="9" s="1"/>
  <c r="J430" i="9"/>
  <c r="K429" i="9"/>
  <c r="J429" i="9"/>
  <c r="L429" i="9" s="1"/>
  <c r="J428" i="9"/>
  <c r="J427" i="9"/>
  <c r="L427" i="9" s="1"/>
  <c r="J426" i="9"/>
  <c r="L426" i="9" s="1"/>
  <c r="J425" i="9"/>
  <c r="J424" i="9"/>
  <c r="K424" i="9" s="1"/>
  <c r="J423" i="9"/>
  <c r="K423" i="9" s="1"/>
  <c r="J422" i="9"/>
  <c r="J421" i="9"/>
  <c r="L421" i="9" s="1"/>
  <c r="J420" i="9"/>
  <c r="L419" i="9"/>
  <c r="J419" i="9"/>
  <c r="K419" i="9" s="1"/>
  <c r="J418" i="9"/>
  <c r="L418" i="9" s="1"/>
  <c r="J417" i="9"/>
  <c r="J416" i="9"/>
  <c r="K416" i="9" s="1"/>
  <c r="J415" i="9"/>
  <c r="K415" i="9" s="1"/>
  <c r="J414" i="9"/>
  <c r="J413" i="9"/>
  <c r="L413" i="9" s="1"/>
  <c r="J412" i="9"/>
  <c r="L411" i="9"/>
  <c r="J411" i="9"/>
  <c r="K411" i="9" s="1"/>
  <c r="J410" i="9"/>
  <c r="K410" i="9" s="1"/>
  <c r="J409" i="9"/>
  <c r="L408" i="9"/>
  <c r="J408" i="9"/>
  <c r="K408" i="9" s="1"/>
  <c r="J407" i="9"/>
  <c r="K407" i="9" s="1"/>
  <c r="J406" i="9"/>
  <c r="K405" i="9"/>
  <c r="J405" i="9"/>
  <c r="L405" i="9" s="1"/>
  <c r="J404" i="9"/>
  <c r="L403" i="9"/>
  <c r="K403" i="9"/>
  <c r="J403" i="9"/>
  <c r="L402" i="9"/>
  <c r="J402" i="9"/>
  <c r="K402" i="9" s="1"/>
  <c r="J401" i="9"/>
  <c r="J400" i="9"/>
  <c r="K400" i="9" s="1"/>
  <c r="J399" i="9"/>
  <c r="K399" i="9" s="1"/>
  <c r="J398" i="9"/>
  <c r="K398" i="9" s="1"/>
  <c r="J397" i="9"/>
  <c r="J396" i="9"/>
  <c r="J395" i="9"/>
  <c r="K395" i="9" s="1"/>
  <c r="J394" i="9"/>
  <c r="L394" i="9" s="1"/>
  <c r="J393" i="9"/>
  <c r="J392" i="9"/>
  <c r="J391" i="9"/>
  <c r="K391" i="9" s="1"/>
  <c r="J390" i="9"/>
  <c r="K390" i="9" s="1"/>
  <c r="K389" i="9"/>
  <c r="J389" i="9"/>
  <c r="L389" i="9" s="1"/>
  <c r="J388" i="9"/>
  <c r="J387" i="9"/>
  <c r="L387" i="9" s="1"/>
  <c r="J386" i="9"/>
  <c r="J385" i="9"/>
  <c r="J384" i="9"/>
  <c r="K384" i="9" s="1"/>
  <c r="J383" i="9"/>
  <c r="L383" i="9" s="1"/>
  <c r="J382" i="9"/>
  <c r="K382" i="9" s="1"/>
  <c r="J381" i="9"/>
  <c r="L381" i="9" s="1"/>
  <c r="J380" i="9"/>
  <c r="J379" i="9"/>
  <c r="L379" i="9" s="1"/>
  <c r="J378" i="9"/>
  <c r="K378" i="9" s="1"/>
  <c r="J377" i="9"/>
  <c r="J376" i="9"/>
  <c r="K376" i="9" s="1"/>
  <c r="J375" i="9"/>
  <c r="K375" i="9" s="1"/>
  <c r="J374" i="9"/>
  <c r="J373" i="9"/>
  <c r="L373" i="9" s="1"/>
  <c r="J372" i="9"/>
  <c r="J371" i="9"/>
  <c r="L371" i="9" s="1"/>
  <c r="J370" i="9"/>
  <c r="K370" i="9" s="1"/>
  <c r="J369" i="9"/>
  <c r="J368" i="9"/>
  <c r="K368" i="9" s="1"/>
  <c r="J367" i="9"/>
  <c r="K367" i="9" s="1"/>
  <c r="J366" i="9"/>
  <c r="J365" i="9"/>
  <c r="L365" i="9" s="1"/>
  <c r="J364" i="9"/>
  <c r="J363" i="9"/>
  <c r="L363" i="9" s="1"/>
  <c r="J362" i="9"/>
  <c r="L362" i="9" s="1"/>
  <c r="J361" i="9"/>
  <c r="J360" i="9"/>
  <c r="K360" i="9" s="1"/>
  <c r="J359" i="9"/>
  <c r="L359" i="9" s="1"/>
  <c r="J358" i="9"/>
  <c r="K358" i="9" s="1"/>
  <c r="J357" i="9"/>
  <c r="J356" i="9"/>
  <c r="J355" i="9"/>
  <c r="K355" i="9" s="1"/>
  <c r="J354" i="9"/>
  <c r="L354" i="9" s="1"/>
  <c r="J353" i="9"/>
  <c r="J352" i="9"/>
  <c r="K352" i="9" s="1"/>
  <c r="J351" i="9"/>
  <c r="L351" i="9" s="1"/>
  <c r="J350" i="9"/>
  <c r="K350" i="9" s="1"/>
  <c r="J349" i="9"/>
  <c r="L349" i="9" s="1"/>
  <c r="J348" i="9"/>
  <c r="J347" i="9"/>
  <c r="L347" i="9" s="1"/>
  <c r="J346" i="9"/>
  <c r="K346" i="9" s="1"/>
  <c r="J345" i="9"/>
  <c r="J344" i="9"/>
  <c r="K344" i="9" s="1"/>
  <c r="J343" i="9"/>
  <c r="K343" i="9" s="1"/>
  <c r="J342" i="9"/>
  <c r="K342" i="9" s="1"/>
  <c r="J341" i="9"/>
  <c r="L341" i="9" s="1"/>
  <c r="J340" i="9"/>
  <c r="J339" i="9"/>
  <c r="L339" i="9" s="1"/>
  <c r="J338" i="9"/>
  <c r="L338" i="9" s="1"/>
  <c r="J337" i="9"/>
  <c r="J336" i="9"/>
  <c r="K336" i="9" s="1"/>
  <c r="J335" i="9"/>
  <c r="K335" i="9" s="1"/>
  <c r="J334" i="9"/>
  <c r="K334" i="9" s="1"/>
  <c r="J333" i="9"/>
  <c r="J332" i="9"/>
  <c r="J331" i="9"/>
  <c r="K331" i="9" s="1"/>
  <c r="J330" i="9"/>
  <c r="L330" i="9" s="1"/>
  <c r="J329" i="9"/>
  <c r="J328" i="9"/>
  <c r="J327" i="9"/>
  <c r="L327" i="9" s="1"/>
  <c r="J326" i="9"/>
  <c r="K326" i="9" s="1"/>
  <c r="J325" i="9"/>
  <c r="L325" i="9" s="1"/>
  <c r="J324" i="9"/>
  <c r="L323" i="9"/>
  <c r="J323" i="9"/>
  <c r="K323" i="9" s="1"/>
  <c r="J322" i="9"/>
  <c r="J321" i="9"/>
  <c r="J320" i="9"/>
  <c r="K320" i="9" s="1"/>
  <c r="J319" i="9"/>
  <c r="L319" i="9" s="1"/>
  <c r="J318" i="9"/>
  <c r="K318" i="9" s="1"/>
  <c r="J317" i="9"/>
  <c r="L317" i="9" s="1"/>
  <c r="J316" i="9"/>
  <c r="J315" i="9"/>
  <c r="L315" i="9" s="1"/>
  <c r="J314" i="9"/>
  <c r="K314" i="9" s="1"/>
  <c r="J313" i="9"/>
  <c r="J312" i="9"/>
  <c r="K312" i="9" s="1"/>
  <c r="J311" i="9"/>
  <c r="L311" i="9" s="1"/>
  <c r="J310" i="9"/>
  <c r="J309" i="9"/>
  <c r="L309" i="9" s="1"/>
  <c r="J308" i="9"/>
  <c r="J307" i="9"/>
  <c r="L307" i="9" s="1"/>
  <c r="J306" i="9"/>
  <c r="K306" i="9" s="1"/>
  <c r="J305" i="9"/>
  <c r="L304" i="9"/>
  <c r="J304" i="9"/>
  <c r="K304" i="9" s="1"/>
  <c r="L303" i="9"/>
  <c r="J303" i="9"/>
  <c r="K303" i="9" s="1"/>
  <c r="J302" i="9"/>
  <c r="J301" i="9"/>
  <c r="L301" i="9" s="1"/>
  <c r="J300" i="9"/>
  <c r="J299" i="9"/>
  <c r="K299" i="9" s="1"/>
  <c r="J298" i="9"/>
  <c r="L298" i="9" s="1"/>
  <c r="J297" i="9"/>
  <c r="J296" i="9"/>
  <c r="K296" i="9" s="1"/>
  <c r="J295" i="9"/>
  <c r="L295" i="9" s="1"/>
  <c r="J294" i="9"/>
  <c r="K294" i="9" s="1"/>
  <c r="J293" i="9"/>
  <c r="J292" i="9"/>
  <c r="J291" i="9"/>
  <c r="K291" i="9" s="1"/>
  <c r="J290" i="9"/>
  <c r="L290" i="9" s="1"/>
  <c r="J289" i="9"/>
  <c r="J288" i="9"/>
  <c r="K288" i="9" s="1"/>
  <c r="K287" i="9"/>
  <c r="J287" i="9"/>
  <c r="L287" i="9" s="1"/>
  <c r="L286" i="9"/>
  <c r="J286" i="9"/>
  <c r="K286" i="9" s="1"/>
  <c r="K285" i="9"/>
  <c r="J285" i="9"/>
  <c r="L285" i="9" s="1"/>
  <c r="J284" i="9"/>
  <c r="J283" i="9"/>
  <c r="L283" i="9" s="1"/>
  <c r="J282" i="9"/>
  <c r="K282" i="9" s="1"/>
  <c r="J281" i="9"/>
  <c r="J280" i="9"/>
  <c r="K280" i="9" s="1"/>
  <c r="J279" i="9"/>
  <c r="K279" i="9" s="1"/>
  <c r="L278" i="9"/>
  <c r="J278" i="9"/>
  <c r="K278" i="9" s="1"/>
  <c r="J277" i="9"/>
  <c r="L277" i="9" s="1"/>
  <c r="J276" i="9"/>
  <c r="L275" i="9"/>
  <c r="J275" i="9"/>
  <c r="K275" i="9" s="1"/>
  <c r="K274" i="9"/>
  <c r="J274" i="9"/>
  <c r="L274" i="9" s="1"/>
  <c r="J273" i="9"/>
  <c r="J272" i="9"/>
  <c r="K272" i="9" s="1"/>
  <c r="J271" i="9"/>
  <c r="K271" i="9" s="1"/>
  <c r="J270" i="9"/>
  <c r="K270" i="9" s="1"/>
  <c r="J269" i="9"/>
  <c r="J268" i="9"/>
  <c r="J267" i="9"/>
  <c r="K267" i="9" s="1"/>
  <c r="J266" i="9"/>
  <c r="L266" i="9" s="1"/>
  <c r="J265" i="9"/>
  <c r="J264" i="9"/>
  <c r="L263" i="9"/>
  <c r="J263" i="9"/>
  <c r="K263" i="9" s="1"/>
  <c r="J262" i="9"/>
  <c r="K262" i="9" s="1"/>
  <c r="J261" i="9"/>
  <c r="L261" i="9" s="1"/>
  <c r="J260" i="9"/>
  <c r="K259" i="9"/>
  <c r="J259" i="9"/>
  <c r="L259" i="9" s="1"/>
  <c r="J258" i="9"/>
  <c r="J257" i="9"/>
  <c r="J256" i="9"/>
  <c r="K256" i="9" s="1"/>
  <c r="J255" i="9"/>
  <c r="L255" i="9" s="1"/>
  <c r="L254" i="9"/>
  <c r="J254" i="9"/>
  <c r="K254" i="9" s="1"/>
  <c r="J253" i="9"/>
  <c r="L253" i="9" s="1"/>
  <c r="J252" i="9"/>
  <c r="K251" i="9"/>
  <c r="J251" i="9"/>
  <c r="L251" i="9" s="1"/>
  <c r="J250" i="9"/>
  <c r="K250" i="9" s="1"/>
  <c r="J249" i="9"/>
  <c r="L248" i="9"/>
  <c r="J248" i="9"/>
  <c r="K248" i="9" s="1"/>
  <c r="L247" i="9"/>
  <c r="J247" i="9"/>
  <c r="K247" i="9" s="1"/>
  <c r="J246" i="9"/>
  <c r="J245" i="9"/>
  <c r="L245" i="9" s="1"/>
  <c r="J244" i="9"/>
  <c r="J243" i="9"/>
  <c r="L243" i="9" s="1"/>
  <c r="J242" i="9"/>
  <c r="K242" i="9" s="1"/>
  <c r="J241" i="9"/>
  <c r="J240" i="9"/>
  <c r="K240" i="9" s="1"/>
  <c r="J239" i="9"/>
  <c r="K239" i="9" s="1"/>
  <c r="J238" i="9"/>
  <c r="J237" i="9"/>
  <c r="L237" i="9" s="1"/>
  <c r="J236" i="9"/>
  <c r="L235" i="9"/>
  <c r="J235" i="9"/>
  <c r="K235" i="9" s="1"/>
  <c r="J234" i="9"/>
  <c r="L234" i="9" s="1"/>
  <c r="J233" i="9"/>
  <c r="J232" i="9"/>
  <c r="K232" i="9" s="1"/>
  <c r="J231" i="9"/>
  <c r="L231" i="9" s="1"/>
  <c r="J230" i="9"/>
  <c r="K230" i="9" s="1"/>
  <c r="J229" i="9"/>
  <c r="J228" i="9"/>
  <c r="J227" i="9"/>
  <c r="K227" i="9" s="1"/>
  <c r="J226" i="9"/>
  <c r="L226" i="9" s="1"/>
  <c r="J225" i="9"/>
  <c r="J224" i="9"/>
  <c r="K224" i="9" s="1"/>
  <c r="J223" i="9"/>
  <c r="K223" i="9" s="1"/>
  <c r="J222" i="9"/>
  <c r="K222" i="9" s="1"/>
  <c r="J221" i="9"/>
  <c r="L221" i="9" s="1"/>
  <c r="J220" i="9"/>
  <c r="L219" i="9"/>
  <c r="J219" i="9"/>
  <c r="K219" i="9" s="1"/>
  <c r="J218" i="9"/>
  <c r="K218" i="9" s="1"/>
  <c r="J217" i="9"/>
  <c r="L216" i="9"/>
  <c r="J216" i="9"/>
  <c r="K216" i="9" s="1"/>
  <c r="J215" i="9"/>
  <c r="K215" i="9" s="1"/>
  <c r="J214" i="9"/>
  <c r="K214" i="9" s="1"/>
  <c r="J213" i="9"/>
  <c r="L213" i="9" s="1"/>
  <c r="J212" i="9"/>
  <c r="J211" i="9"/>
  <c r="L211" i="9" s="1"/>
  <c r="J210" i="9"/>
  <c r="K210" i="9" s="1"/>
  <c r="J209" i="9"/>
  <c r="J208" i="9"/>
  <c r="K208" i="9" s="1"/>
  <c r="J207" i="9"/>
  <c r="K207" i="9" s="1"/>
  <c r="J206" i="9"/>
  <c r="K206" i="9" s="1"/>
  <c r="J205" i="9"/>
  <c r="J204" i="9"/>
  <c r="J203" i="9"/>
  <c r="K203" i="9" s="1"/>
  <c r="J202" i="9"/>
  <c r="L202" i="9" s="1"/>
  <c r="J201" i="9"/>
  <c r="J200" i="9"/>
  <c r="K199" i="9"/>
  <c r="J199" i="9"/>
  <c r="L199" i="9" s="1"/>
  <c r="J198" i="9"/>
  <c r="K198" i="9" s="1"/>
  <c r="J197" i="9"/>
  <c r="L197" i="9" s="1"/>
  <c r="J196" i="9"/>
  <c r="J195" i="9"/>
  <c r="K195" i="9" s="1"/>
  <c r="J194" i="9"/>
  <c r="J193" i="9"/>
  <c r="J192" i="9"/>
  <c r="K192" i="9" s="1"/>
  <c r="J191" i="9"/>
  <c r="L191" i="9" s="1"/>
  <c r="J190" i="9"/>
  <c r="K190" i="9" s="1"/>
  <c r="J189" i="9"/>
  <c r="L189" i="9" s="1"/>
  <c r="J188" i="9"/>
  <c r="J187" i="9"/>
  <c r="L187" i="9" s="1"/>
  <c r="J186" i="9"/>
  <c r="K186" i="9" s="1"/>
  <c r="J185" i="9"/>
  <c r="J184" i="9"/>
  <c r="K184" i="9" s="1"/>
  <c r="L183" i="9"/>
  <c r="J183" i="9"/>
  <c r="K183" i="9" s="1"/>
  <c r="J182" i="9"/>
  <c r="J181" i="9"/>
  <c r="L181" i="9" s="1"/>
  <c r="J180" i="9"/>
  <c r="J179" i="9"/>
  <c r="L179" i="9" s="1"/>
  <c r="J178" i="9"/>
  <c r="K178" i="9" s="1"/>
  <c r="J177" i="9"/>
  <c r="J176" i="9"/>
  <c r="K176" i="9" s="1"/>
  <c r="J175" i="9"/>
  <c r="K175" i="9" s="1"/>
  <c r="J174" i="9"/>
  <c r="J173" i="9"/>
  <c r="L173" i="9" s="1"/>
  <c r="J172" i="9"/>
  <c r="J171" i="9"/>
  <c r="L171" i="9" s="1"/>
  <c r="J170" i="9"/>
  <c r="L170" i="9" s="1"/>
  <c r="J169" i="9"/>
  <c r="J168" i="9"/>
  <c r="K168" i="9" s="1"/>
  <c r="J167" i="9"/>
  <c r="L167" i="9" s="1"/>
  <c r="J166" i="9"/>
  <c r="K166" i="9" s="1"/>
  <c r="J165" i="9"/>
  <c r="J164" i="9"/>
  <c r="J163" i="9"/>
  <c r="K163" i="9" s="1"/>
  <c r="J162" i="9"/>
  <c r="L162" i="9" s="1"/>
  <c r="J161" i="9"/>
  <c r="J160" i="9"/>
  <c r="K160" i="9" s="1"/>
  <c r="L159" i="9"/>
  <c r="J159" i="9"/>
  <c r="K159" i="9" s="1"/>
  <c r="J158" i="9"/>
  <c r="K158" i="9" s="1"/>
  <c r="J157" i="9"/>
  <c r="L157" i="9" s="1"/>
  <c r="J156" i="9"/>
  <c r="L155" i="9"/>
  <c r="J155" i="9"/>
  <c r="K155" i="9" s="1"/>
  <c r="J154" i="9"/>
  <c r="K154" i="9" s="1"/>
  <c r="J153" i="9"/>
  <c r="J152" i="9"/>
  <c r="K152" i="9" s="1"/>
  <c r="J151" i="9"/>
  <c r="K151" i="9" s="1"/>
  <c r="L150" i="9"/>
  <c r="J150" i="9"/>
  <c r="K150" i="9" s="1"/>
  <c r="J149" i="9"/>
  <c r="L149" i="9" s="1"/>
  <c r="J148" i="9"/>
  <c r="J147" i="9"/>
  <c r="L147" i="9" s="1"/>
  <c r="K146" i="9"/>
  <c r="J146" i="9"/>
  <c r="L146" i="9" s="1"/>
  <c r="J145" i="9"/>
  <c r="J144" i="9"/>
  <c r="K144" i="9" s="1"/>
  <c r="J143" i="9"/>
  <c r="K143" i="9" s="1"/>
  <c r="J142" i="9"/>
  <c r="K142" i="9" s="1"/>
  <c r="J141" i="9"/>
  <c r="J140" i="9"/>
  <c r="J139" i="9"/>
  <c r="K139" i="9" s="1"/>
  <c r="J138" i="9"/>
  <c r="L138" i="9" s="1"/>
  <c r="J137" i="9"/>
  <c r="J136" i="9"/>
  <c r="J135" i="9"/>
  <c r="L135" i="9" s="1"/>
  <c r="J134" i="9"/>
  <c r="K134" i="9" s="1"/>
  <c r="K133" i="9"/>
  <c r="J133" i="9"/>
  <c r="L133" i="9" s="1"/>
  <c r="J132" i="9"/>
  <c r="L131" i="9"/>
  <c r="K131" i="9"/>
  <c r="J131" i="9"/>
  <c r="J130" i="9"/>
  <c r="J129" i="9"/>
  <c r="J128" i="9"/>
  <c r="K128" i="9" s="1"/>
  <c r="J127" i="9"/>
  <c r="L127" i="9" s="1"/>
  <c r="L126" i="9"/>
  <c r="J126" i="9"/>
  <c r="K126" i="9" s="1"/>
  <c r="J125" i="9"/>
  <c r="L125" i="9" s="1"/>
  <c r="J124" i="9"/>
  <c r="K123" i="9"/>
  <c r="J123" i="9"/>
  <c r="L123" i="9" s="1"/>
  <c r="J122" i="9"/>
  <c r="K122" i="9" s="1"/>
  <c r="J121" i="9"/>
  <c r="L120" i="9"/>
  <c r="J120" i="9"/>
  <c r="K120" i="9" s="1"/>
  <c r="J119" i="9"/>
  <c r="L119" i="9" s="1"/>
  <c r="J118" i="9"/>
  <c r="J117" i="9"/>
  <c r="L117" i="9" s="1"/>
  <c r="J116" i="9"/>
  <c r="J115" i="9"/>
  <c r="L115" i="9" s="1"/>
  <c r="J114" i="9"/>
  <c r="K114" i="9" s="1"/>
  <c r="J113" i="9"/>
  <c r="J112" i="9"/>
  <c r="K112" i="9" s="1"/>
  <c r="J111" i="9"/>
  <c r="K111" i="9" s="1"/>
  <c r="J110" i="9"/>
  <c r="K109" i="9"/>
  <c r="J109" i="9"/>
  <c r="L109" i="9" s="1"/>
  <c r="J108" i="9"/>
  <c r="J107" i="9"/>
  <c r="L107" i="9" s="1"/>
  <c r="J106" i="9"/>
  <c r="L106" i="9" s="1"/>
  <c r="J105" i="9"/>
  <c r="J104" i="9"/>
  <c r="K104" i="9" s="1"/>
  <c r="J103" i="9"/>
  <c r="L103" i="9" s="1"/>
  <c r="J102" i="9"/>
  <c r="K102" i="9" s="1"/>
  <c r="J101" i="9"/>
  <c r="J100" i="9"/>
  <c r="J99" i="9"/>
  <c r="K99" i="9" s="1"/>
  <c r="J98" i="9"/>
  <c r="L98" i="9" s="1"/>
  <c r="J97" i="9"/>
  <c r="J96" i="9"/>
  <c r="K96" i="9" s="1"/>
  <c r="J95" i="9"/>
  <c r="L95" i="9" s="1"/>
  <c r="J94" i="9"/>
  <c r="K94" i="9" s="1"/>
  <c r="J93" i="9"/>
  <c r="L93" i="9" s="1"/>
  <c r="J92" i="9"/>
  <c r="J91" i="9"/>
  <c r="L91" i="9" s="1"/>
  <c r="J90" i="9"/>
  <c r="K90" i="9" s="1"/>
  <c r="J89" i="9"/>
  <c r="L88" i="9"/>
  <c r="J88" i="9"/>
  <c r="K88" i="9" s="1"/>
  <c r="J87" i="9"/>
  <c r="K87" i="9" s="1"/>
  <c r="J86" i="9"/>
  <c r="K86" i="9" s="1"/>
  <c r="J85" i="9"/>
  <c r="L85" i="9" s="1"/>
  <c r="J84" i="9"/>
  <c r="K83" i="9"/>
  <c r="J83" i="9"/>
  <c r="L83" i="9" s="1"/>
  <c r="J82" i="9"/>
  <c r="L82" i="9" s="1"/>
  <c r="J81" i="9"/>
  <c r="J80" i="9"/>
  <c r="K80" i="9" s="1"/>
  <c r="J79" i="9"/>
  <c r="K79" i="9" s="1"/>
  <c r="J78" i="9"/>
  <c r="K78" i="9" s="1"/>
  <c r="J77" i="9"/>
  <c r="J76" i="9"/>
  <c r="J75" i="9"/>
  <c r="K75" i="9" s="1"/>
  <c r="J74" i="9"/>
  <c r="L74" i="9" s="1"/>
  <c r="J73" i="9"/>
  <c r="J72" i="9"/>
  <c r="J71" i="9"/>
  <c r="L71" i="9" s="1"/>
  <c r="J70" i="9"/>
  <c r="K70" i="9" s="1"/>
  <c r="J69" i="9"/>
  <c r="L69" i="9" s="1"/>
  <c r="J68" i="9"/>
  <c r="J67" i="9"/>
  <c r="L67" i="9" s="1"/>
  <c r="J66" i="9"/>
  <c r="J65" i="9"/>
  <c r="J64" i="9"/>
  <c r="K64" i="9" s="1"/>
  <c r="J63" i="9"/>
  <c r="L63" i="9" s="1"/>
  <c r="J62" i="9"/>
  <c r="K62" i="9" s="1"/>
  <c r="J61" i="9"/>
  <c r="L61" i="9" s="1"/>
  <c r="J60" i="9"/>
  <c r="J59" i="9"/>
  <c r="L59" i="9" s="1"/>
  <c r="J58" i="9"/>
  <c r="K58" i="9" s="1"/>
  <c r="J57" i="9"/>
  <c r="J56" i="9"/>
  <c r="K56" i="9" s="1"/>
  <c r="K55" i="9"/>
  <c r="J55" i="9"/>
  <c r="L55" i="9" s="1"/>
  <c r="J54" i="9"/>
  <c r="J53" i="9"/>
  <c r="L53" i="9" s="1"/>
  <c r="J52" i="9"/>
  <c r="J51" i="9"/>
  <c r="L51" i="9" s="1"/>
  <c r="J50" i="9"/>
  <c r="K50" i="9" s="1"/>
  <c r="J49" i="9"/>
  <c r="L48" i="9"/>
  <c r="J48" i="9"/>
  <c r="K48" i="9" s="1"/>
  <c r="L47" i="9"/>
  <c r="J47" i="9"/>
  <c r="K47" i="9" s="1"/>
  <c r="J46" i="9"/>
  <c r="J45" i="9"/>
  <c r="L45" i="9" s="1"/>
  <c r="J44" i="9"/>
  <c r="J43" i="9"/>
  <c r="K43" i="9" s="1"/>
  <c r="J42" i="9"/>
  <c r="L42" i="9" s="1"/>
  <c r="J41" i="9"/>
  <c r="J40" i="9"/>
  <c r="K40" i="9" s="1"/>
  <c r="J39" i="9"/>
  <c r="L39" i="9" s="1"/>
  <c r="J38" i="9"/>
  <c r="K38" i="9" s="1"/>
  <c r="J37" i="9"/>
  <c r="J36" i="9"/>
  <c r="J35" i="9"/>
  <c r="K35" i="9" s="1"/>
  <c r="J34" i="9"/>
  <c r="L34" i="9" s="1"/>
  <c r="J33" i="9"/>
  <c r="J32" i="9"/>
  <c r="K32" i="9" s="1"/>
  <c r="J31" i="9"/>
  <c r="L31" i="9" s="1"/>
  <c r="L30" i="9"/>
  <c r="J30" i="9"/>
  <c r="K30" i="9" s="1"/>
  <c r="J29" i="9"/>
  <c r="L29" i="9" s="1"/>
  <c r="J28" i="9"/>
  <c r="J27" i="9"/>
  <c r="L27" i="9" s="1"/>
  <c r="J26" i="9"/>
  <c r="K26" i="9" s="1"/>
  <c r="J25" i="9"/>
  <c r="J24" i="9"/>
  <c r="K24" i="9" s="1"/>
  <c r="J23" i="9"/>
  <c r="K23" i="9" s="1"/>
  <c r="L22" i="9"/>
  <c r="J22" i="9"/>
  <c r="K22" i="9" s="1"/>
  <c r="J21" i="9"/>
  <c r="L21" i="9" s="1"/>
  <c r="J20" i="9"/>
  <c r="L19" i="9"/>
  <c r="J19" i="9"/>
  <c r="K19" i="9" s="1"/>
  <c r="J18" i="9"/>
  <c r="L18" i="9" s="1"/>
  <c r="J17" i="9"/>
  <c r="J16" i="9"/>
  <c r="K16" i="9" s="1"/>
  <c r="J15" i="9"/>
  <c r="K15" i="9" s="1"/>
  <c r="J14" i="9"/>
  <c r="K14" i="9" s="1"/>
  <c r="J13" i="9"/>
  <c r="J12" i="9"/>
  <c r="J11" i="9"/>
  <c r="K11" i="9" s="1"/>
  <c r="J10" i="9"/>
  <c r="L10" i="9" s="1"/>
  <c r="J9" i="9"/>
  <c r="J8" i="9"/>
  <c r="J7" i="9"/>
  <c r="K7" i="9" s="1"/>
  <c r="J6" i="9"/>
  <c r="K6" i="9" s="1"/>
  <c r="J5" i="9"/>
  <c r="L5" i="9" s="1"/>
  <c r="J4" i="9"/>
  <c r="K3" i="9"/>
  <c r="J3" i="9"/>
  <c r="L3" i="9" s="1"/>
  <c r="J2" i="9"/>
  <c r="L2" i="9" s="1"/>
  <c r="C41" i="2"/>
  <c r="B41" i="2"/>
  <c r="C40" i="2"/>
  <c r="C48" i="2" s="1"/>
  <c r="B40" i="2"/>
  <c r="Q321" i="9" s="1"/>
  <c r="R2038" i="10" l="1"/>
  <c r="R2034" i="10"/>
  <c r="R2030" i="10"/>
  <c r="R2026" i="10"/>
  <c r="R2022" i="10"/>
  <c r="R2018" i="10"/>
  <c r="R2014" i="10"/>
  <c r="R2010" i="10"/>
  <c r="R2006" i="10"/>
  <c r="R2002" i="10"/>
  <c r="R1998" i="10"/>
  <c r="R1994" i="10"/>
  <c r="R1990" i="10"/>
  <c r="R1986" i="10"/>
  <c r="R1982" i="10"/>
  <c r="R1978" i="10"/>
  <c r="R1974" i="10"/>
  <c r="R1970" i="10"/>
  <c r="R1966" i="10"/>
  <c r="R1962" i="10"/>
  <c r="R1958" i="10"/>
  <c r="R1954" i="10"/>
  <c r="R1950" i="10"/>
  <c r="R1946" i="10"/>
  <c r="R1942" i="10"/>
  <c r="R1938" i="10"/>
  <c r="R1934" i="10"/>
  <c r="R1930" i="10"/>
  <c r="R2041" i="10"/>
  <c r="R2037" i="10"/>
  <c r="R2033" i="10"/>
  <c r="R2029" i="10"/>
  <c r="R2025" i="10"/>
  <c r="R2021" i="10"/>
  <c r="R2017" i="10"/>
  <c r="R2013" i="10"/>
  <c r="R2009" i="10"/>
  <c r="R2005" i="10"/>
  <c r="R2001" i="10"/>
  <c r="R1997" i="10"/>
  <c r="R1993" i="10"/>
  <c r="R1989" i="10"/>
  <c r="R1985" i="10"/>
  <c r="R1981" i="10"/>
  <c r="R1977" i="10"/>
  <c r="R1973" i="10"/>
  <c r="R1969" i="10"/>
  <c r="R1965" i="10"/>
  <c r="R1961" i="10"/>
  <c r="R1957" i="10"/>
  <c r="R1953" i="10"/>
  <c r="R1949" i="10"/>
  <c r="R1945" i="10"/>
  <c r="R1941" i="10"/>
  <c r="R1937" i="10"/>
  <c r="R1933" i="10"/>
  <c r="R2040" i="10"/>
  <c r="R2036" i="10"/>
  <c r="R2032" i="10"/>
  <c r="R2028" i="10"/>
  <c r="R2024" i="10"/>
  <c r="R2020" i="10"/>
  <c r="R2016" i="10"/>
  <c r="R2012" i="10"/>
  <c r="R2008" i="10"/>
  <c r="R2004" i="10"/>
  <c r="R2000" i="10"/>
  <c r="R1996" i="10"/>
  <c r="R1992" i="10"/>
  <c r="R1988" i="10"/>
  <c r="R1984" i="10"/>
  <c r="R1980" i="10"/>
  <c r="R1976" i="10"/>
  <c r="R1972" i="10"/>
  <c r="R1968" i="10"/>
  <c r="R1964" i="10"/>
  <c r="R1960" i="10"/>
  <c r="R1956" i="10"/>
  <c r="R1952" i="10"/>
  <c r="R1948" i="10"/>
  <c r="R1944" i="10"/>
  <c r="R1940" i="10"/>
  <c r="R1936" i="10"/>
  <c r="R1932" i="10"/>
  <c r="R2035" i="10"/>
  <c r="R2019" i="10"/>
  <c r="R2003" i="10"/>
  <c r="R1987" i="10"/>
  <c r="R1971" i="10"/>
  <c r="R1955" i="10"/>
  <c r="R1939" i="10"/>
  <c r="R2031" i="10"/>
  <c r="R2015" i="10"/>
  <c r="R1999" i="10"/>
  <c r="R1983" i="10"/>
  <c r="R1967" i="10"/>
  <c r="R1951" i="10"/>
  <c r="R1935" i="10"/>
  <c r="R2027" i="10"/>
  <c r="R2011" i="10"/>
  <c r="R1995" i="10"/>
  <c r="R1979" i="10"/>
  <c r="R1963" i="10"/>
  <c r="R1947" i="10"/>
  <c r="R1931" i="10"/>
  <c r="R2039" i="10"/>
  <c r="R2023" i="10"/>
  <c r="R2007" i="10"/>
  <c r="R1991" i="10"/>
  <c r="R1975" i="10"/>
  <c r="R1959" i="10"/>
  <c r="R1943" i="10"/>
  <c r="B44" i="2"/>
  <c r="B48" i="2"/>
  <c r="B43" i="2"/>
  <c r="B47" i="2"/>
  <c r="B51" i="2"/>
  <c r="Q4" i="9"/>
  <c r="Q8" i="9"/>
  <c r="Q12" i="9"/>
  <c r="Q16" i="9"/>
  <c r="Q20" i="9"/>
  <c r="Q24" i="9"/>
  <c r="Q28" i="9"/>
  <c r="Q32" i="9"/>
  <c r="Q36" i="9"/>
  <c r="Q40" i="9"/>
  <c r="Q44" i="9"/>
  <c r="Q48" i="9"/>
  <c r="Q52" i="9"/>
  <c r="Q56" i="9"/>
  <c r="Q60" i="9"/>
  <c r="Q64" i="9"/>
  <c r="Q68" i="9"/>
  <c r="Q72" i="9"/>
  <c r="Q76" i="9"/>
  <c r="Q80" i="9"/>
  <c r="Q84" i="9"/>
  <c r="Q88" i="9"/>
  <c r="Q92" i="9"/>
  <c r="Q96" i="9"/>
  <c r="Q100" i="9"/>
  <c r="Q104" i="9"/>
  <c r="Q108" i="9"/>
  <c r="Q112" i="9"/>
  <c r="Q116" i="9"/>
  <c r="Q120" i="9"/>
  <c r="Q124" i="9"/>
  <c r="Q128" i="9"/>
  <c r="Q132" i="9"/>
  <c r="Q136" i="9"/>
  <c r="Q140" i="9"/>
  <c r="Q144" i="9"/>
  <c r="Q148" i="9"/>
  <c r="Q152" i="9"/>
  <c r="Q156" i="9"/>
  <c r="Q160" i="9"/>
  <c r="Q164" i="9"/>
  <c r="Q168" i="9"/>
  <c r="Q172" i="9"/>
  <c r="Q176" i="9"/>
  <c r="Q180" i="9"/>
  <c r="Q184" i="9"/>
  <c r="Q188" i="9"/>
  <c r="Q192" i="9"/>
  <c r="Q196" i="9"/>
  <c r="Q200" i="9"/>
  <c r="Q204" i="9"/>
  <c r="Q208" i="9"/>
  <c r="Q212" i="9"/>
  <c r="Q216" i="9"/>
  <c r="Q220" i="9"/>
  <c r="Q224" i="9"/>
  <c r="Q228" i="9"/>
  <c r="Q232" i="9"/>
  <c r="Q236" i="9"/>
  <c r="Q240" i="9"/>
  <c r="Q244" i="9"/>
  <c r="Q248" i="9"/>
  <c r="Q252" i="9"/>
  <c r="Q256" i="9"/>
  <c r="Q260" i="9"/>
  <c r="Q264" i="9"/>
  <c r="Q268" i="9"/>
  <c r="Q272" i="9"/>
  <c r="Q276" i="9"/>
  <c r="Q280" i="9"/>
  <c r="Q284" i="9"/>
  <c r="Q288" i="9"/>
  <c r="Q292" i="9"/>
  <c r="Q296" i="9"/>
  <c r="Q300" i="9"/>
  <c r="Q304" i="9"/>
  <c r="Q308" i="9"/>
  <c r="Q312" i="9"/>
  <c r="Q316" i="9"/>
  <c r="Q320" i="9"/>
  <c r="Q324" i="9"/>
  <c r="Q328" i="9"/>
  <c r="Q332" i="9"/>
  <c r="Q336" i="9"/>
  <c r="Q340" i="9"/>
  <c r="Q344" i="9"/>
  <c r="Q348" i="9"/>
  <c r="Q352" i="9"/>
  <c r="Q356" i="9"/>
  <c r="Q360" i="9"/>
  <c r="Q364" i="9"/>
  <c r="Q368" i="9"/>
  <c r="Q372" i="9"/>
  <c r="Q376" i="9"/>
  <c r="Q380" i="9"/>
  <c r="Q384" i="9"/>
  <c r="Q388" i="9"/>
  <c r="Q392" i="9"/>
  <c r="Q396" i="9"/>
  <c r="Q400" i="9"/>
  <c r="Q404" i="9"/>
  <c r="Q408" i="9"/>
  <c r="Q412" i="9"/>
  <c r="Q416" i="9"/>
  <c r="Q420" i="9"/>
  <c r="Q424" i="9"/>
  <c r="Q428" i="9"/>
  <c r="Q432" i="9"/>
  <c r="Q436" i="9"/>
  <c r="Q444" i="9"/>
  <c r="Q448" i="9"/>
  <c r="Q452" i="9"/>
  <c r="Q456" i="9"/>
  <c r="Q460" i="9"/>
  <c r="Q464" i="9"/>
  <c r="Q468" i="9"/>
  <c r="Q472" i="9"/>
  <c r="Q476" i="9"/>
  <c r="Q480" i="9"/>
  <c r="Q484" i="9"/>
  <c r="Q488" i="9"/>
  <c r="Q492" i="9"/>
  <c r="Q496" i="9"/>
  <c r="Q500" i="9"/>
  <c r="Q504" i="9"/>
  <c r="Q508" i="9"/>
  <c r="Q512" i="9"/>
  <c r="Q516" i="9"/>
  <c r="Q520" i="9"/>
  <c r="Q524" i="9"/>
  <c r="Q528" i="9"/>
  <c r="Q532" i="9"/>
  <c r="Q536" i="9"/>
  <c r="Q540" i="9"/>
  <c r="Q544" i="9"/>
  <c r="Q548" i="9"/>
  <c r="Q552" i="9"/>
  <c r="Q556" i="9"/>
  <c r="Q560" i="9"/>
  <c r="Q564" i="9"/>
  <c r="Q568" i="9"/>
  <c r="Q572" i="9"/>
  <c r="Q576" i="9"/>
  <c r="Q580" i="9"/>
  <c r="Q584" i="9"/>
  <c r="Q588" i="9"/>
  <c r="Q592" i="9"/>
  <c r="Q596" i="9"/>
  <c r="Q600" i="9"/>
  <c r="Q604" i="9"/>
  <c r="Q608" i="9"/>
  <c r="Q612" i="9"/>
  <c r="Q616" i="9"/>
  <c r="Q620" i="9"/>
  <c r="Q624" i="9"/>
  <c r="Q628" i="9"/>
  <c r="Q632" i="9"/>
  <c r="Q636" i="9"/>
  <c r="Q640" i="9"/>
  <c r="Q644" i="9"/>
  <c r="Q648" i="9"/>
  <c r="Q652" i="9"/>
  <c r="Q656" i="9"/>
  <c r="Q660" i="9"/>
  <c r="Q664" i="9"/>
  <c r="Q668" i="9"/>
  <c r="Q672" i="9"/>
  <c r="Q676" i="9"/>
  <c r="Q680" i="9"/>
  <c r="Q684" i="9"/>
  <c r="Q688" i="9"/>
  <c r="Q692" i="9"/>
  <c r="Q696" i="9"/>
  <c r="Q700" i="9"/>
  <c r="Q704" i="9"/>
  <c r="Q708" i="9"/>
  <c r="Q712" i="9"/>
  <c r="Q716" i="9"/>
  <c r="Q720" i="9"/>
  <c r="Q724" i="9"/>
  <c r="Q728" i="9"/>
  <c r="Q732" i="9"/>
  <c r="Q736" i="9"/>
  <c r="Q740" i="9"/>
  <c r="Q744" i="9"/>
  <c r="Q748" i="9"/>
  <c r="Q752" i="9"/>
  <c r="Q756" i="9"/>
  <c r="Q760" i="9"/>
  <c r="Q764" i="9"/>
  <c r="Q768" i="9"/>
  <c r="Q772" i="9"/>
  <c r="Q776" i="9"/>
  <c r="Q780" i="9"/>
  <c r="R642" i="10"/>
  <c r="R638" i="10"/>
  <c r="R634" i="10"/>
  <c r="R630" i="10"/>
  <c r="R626" i="10"/>
  <c r="R622" i="10"/>
  <c r="R618" i="10"/>
  <c r="R614" i="10"/>
  <c r="R610" i="10"/>
  <c r="R606" i="10"/>
  <c r="R602" i="10"/>
  <c r="R598" i="10"/>
  <c r="R594" i="10"/>
  <c r="R590" i="10"/>
  <c r="R586" i="10"/>
  <c r="R582" i="10"/>
  <c r="R578" i="10"/>
  <c r="R574" i="10"/>
  <c r="R570" i="10"/>
  <c r="R566" i="10"/>
  <c r="R562" i="10"/>
  <c r="R558" i="10"/>
  <c r="R554" i="10"/>
  <c r="R550" i="10"/>
  <c r="R546" i="10"/>
  <c r="R542" i="10"/>
  <c r="R538" i="10"/>
  <c r="R534" i="10"/>
  <c r="R530" i="10"/>
  <c r="R526" i="10"/>
  <c r="R522" i="10"/>
  <c r="R518" i="10"/>
  <c r="R514" i="10"/>
  <c r="R510" i="10"/>
  <c r="R506" i="10"/>
  <c r="R502" i="10"/>
  <c r="R498" i="10"/>
  <c r="R494" i="10"/>
  <c r="R490" i="10"/>
  <c r="R486" i="10"/>
  <c r="R482" i="10"/>
  <c r="R478" i="10"/>
  <c r="R474" i="10"/>
  <c r="R470" i="10"/>
  <c r="R466" i="10"/>
  <c r="R462" i="10"/>
  <c r="R458" i="10"/>
  <c r="R454" i="10"/>
  <c r="R450" i="10"/>
  <c r="R446" i="10"/>
  <c r="R442" i="10"/>
  <c r="R438" i="10"/>
  <c r="R434" i="10"/>
  <c r="R430" i="10"/>
  <c r="R426" i="10"/>
  <c r="R422" i="10"/>
  <c r="R418" i="10"/>
  <c r="R414" i="10"/>
  <c r="R410" i="10"/>
  <c r="R406" i="10"/>
  <c r="R402" i="10"/>
  <c r="R398" i="10"/>
  <c r="R394" i="10"/>
  <c r="R390" i="10"/>
  <c r="R386" i="10"/>
  <c r="R382" i="10"/>
  <c r="R378" i="10"/>
  <c r="R374" i="10"/>
  <c r="R370" i="10"/>
  <c r="R366" i="10"/>
  <c r="R362" i="10"/>
  <c r="R358" i="10"/>
  <c r="R354" i="10"/>
  <c r="R350" i="10"/>
  <c r="R346" i="10"/>
  <c r="R342" i="10"/>
  <c r="R338" i="10"/>
  <c r="R334" i="10"/>
  <c r="R330" i="10"/>
  <c r="R326" i="10"/>
  <c r="R322" i="10"/>
  <c r="R318" i="10"/>
  <c r="R314" i="10"/>
  <c r="R310" i="10"/>
  <c r="R306" i="10"/>
  <c r="R302" i="10"/>
  <c r="R298" i="10"/>
  <c r="R294" i="10"/>
  <c r="R290" i="10"/>
  <c r="R286" i="10"/>
  <c r="R282" i="10"/>
  <c r="R278" i="10"/>
  <c r="R274" i="10"/>
  <c r="R270" i="10"/>
  <c r="R640" i="10"/>
  <c r="R636" i="10"/>
  <c r="R632" i="10"/>
  <c r="R628" i="10"/>
  <c r="R624" i="10"/>
  <c r="R620" i="10"/>
  <c r="R616" i="10"/>
  <c r="R612" i="10"/>
  <c r="R608" i="10"/>
  <c r="R604" i="10"/>
  <c r="R600" i="10"/>
  <c r="R596" i="10"/>
  <c r="R592" i="10"/>
  <c r="R588" i="10"/>
  <c r="R584" i="10"/>
  <c r="R580" i="10"/>
  <c r="R576" i="10"/>
  <c r="R568" i="10"/>
  <c r="R564" i="10"/>
  <c r="R560" i="10"/>
  <c r="R556" i="10"/>
  <c r="R552" i="10"/>
  <c r="R548" i="10"/>
  <c r="R544" i="10"/>
  <c r="R540" i="10"/>
  <c r="R536" i="10"/>
  <c r="R532" i="10"/>
  <c r="R528" i="10"/>
  <c r="R524" i="10"/>
  <c r="R520" i="10"/>
  <c r="R516" i="10"/>
  <c r="R512" i="10"/>
  <c r="R508" i="10"/>
  <c r="R504" i="10"/>
  <c r="R500" i="10"/>
  <c r="R496" i="10"/>
  <c r="R492" i="10"/>
  <c r="R488" i="10"/>
  <c r="R484" i="10"/>
  <c r="R480" i="10"/>
  <c r="R476" i="10"/>
  <c r="R472" i="10"/>
  <c r="R468" i="10"/>
  <c r="R464" i="10"/>
  <c r="R460" i="10"/>
  <c r="R456" i="10"/>
  <c r="R452" i="10"/>
  <c r="R448" i="10"/>
  <c r="R444" i="10"/>
  <c r="R440" i="10"/>
  <c r="R436" i="10"/>
  <c r="R432" i="10"/>
  <c r="R428" i="10"/>
  <c r="R424" i="10"/>
  <c r="R420" i="10"/>
  <c r="R416" i="10"/>
  <c r="R412" i="10"/>
  <c r="R408" i="10"/>
  <c r="R404" i="10"/>
  <c r="R400" i="10"/>
  <c r="R396" i="10"/>
  <c r="R392" i="10"/>
  <c r="R388" i="10"/>
  <c r="R384" i="10"/>
  <c r="R380" i="10"/>
  <c r="R376" i="10"/>
  <c r="R372" i="10"/>
  <c r="R368" i="10"/>
  <c r="R364" i="10"/>
  <c r="R360" i="10"/>
  <c r="R356" i="10"/>
  <c r="R352" i="10"/>
  <c r="R348" i="10"/>
  <c r="R344" i="10"/>
  <c r="R340" i="10"/>
  <c r="R336" i="10"/>
  <c r="R332" i="10"/>
  <c r="R328" i="10"/>
  <c r="R324" i="10"/>
  <c r="R320" i="10"/>
  <c r="R316" i="10"/>
  <c r="R312" i="10"/>
  <c r="R308" i="10"/>
  <c r="R304" i="10"/>
  <c r="R300" i="10"/>
  <c r="R296" i="10"/>
  <c r="R292" i="10"/>
  <c r="R288" i="10"/>
  <c r="R284" i="10"/>
  <c r="R280" i="10"/>
  <c r="R276" i="10"/>
  <c r="R272" i="10"/>
  <c r="R641" i="10"/>
  <c r="R637" i="10"/>
  <c r="R633" i="10"/>
  <c r="R629" i="10"/>
  <c r="R625" i="10"/>
  <c r="R621" i="10"/>
  <c r="R617" i="10"/>
  <c r="R613" i="10"/>
  <c r="R609" i="10"/>
  <c r="R605" i="10"/>
  <c r="R601" i="10"/>
  <c r="R597" i="10"/>
  <c r="R593" i="10"/>
  <c r="R589" i="10"/>
  <c r="R585" i="10"/>
  <c r="R581" i="10"/>
  <c r="R577" i="10"/>
  <c r="R573" i="10"/>
  <c r="R569" i="10"/>
  <c r="R565" i="10"/>
  <c r="R561" i="10"/>
  <c r="R557" i="10"/>
  <c r="R553" i="10"/>
  <c r="R549" i="10"/>
  <c r="R545" i="10"/>
  <c r="R541" i="10"/>
  <c r="R537" i="10"/>
  <c r="R533" i="10"/>
  <c r="R529" i="10"/>
  <c r="R525" i="10"/>
  <c r="R521" i="10"/>
  <c r="R517" i="10"/>
  <c r="R513" i="10"/>
  <c r="R509" i="10"/>
  <c r="R505" i="10"/>
  <c r="R501" i="10"/>
  <c r="R497" i="10"/>
  <c r="R493" i="10"/>
  <c r="R489" i="10"/>
  <c r="R485" i="10"/>
  <c r="R481" i="10"/>
  <c r="R477" i="10"/>
  <c r="R473" i="10"/>
  <c r="R469" i="10"/>
  <c r="R465" i="10"/>
  <c r="R461" i="10"/>
  <c r="R457" i="10"/>
  <c r="R453" i="10"/>
  <c r="R449" i="10"/>
  <c r="R445" i="10"/>
  <c r="R441" i="10"/>
  <c r="R437" i="10"/>
  <c r="R433" i="10"/>
  <c r="R429" i="10"/>
  <c r="R425" i="10"/>
  <c r="R421" i="10"/>
  <c r="R417" i="10"/>
  <c r="R413" i="10"/>
  <c r="R409" i="10"/>
  <c r="R405" i="10"/>
  <c r="R401" i="10"/>
  <c r="R397" i="10"/>
  <c r="R393" i="10"/>
  <c r="R389" i="10"/>
  <c r="R385" i="10"/>
  <c r="R381" i="10"/>
  <c r="R377" i="10"/>
  <c r="R373" i="10"/>
  <c r="R369" i="10"/>
  <c r="R365" i="10"/>
  <c r="R361" i="10"/>
  <c r="R357" i="10"/>
  <c r="R353" i="10"/>
  <c r="R349" i="10"/>
  <c r="R345" i="10"/>
  <c r="R341" i="10"/>
  <c r="R337" i="10"/>
  <c r="R333" i="10"/>
  <c r="R329" i="10"/>
  <c r="R325" i="10"/>
  <c r="R321" i="10"/>
  <c r="R317" i="10"/>
  <c r="R313" i="10"/>
  <c r="R309" i="10"/>
  <c r="R305" i="10"/>
  <c r="R301" i="10"/>
  <c r="R297" i="10"/>
  <c r="R293" i="10"/>
  <c r="R289" i="10"/>
  <c r="R285" i="10"/>
  <c r="R281" i="10"/>
  <c r="R277" i="10"/>
  <c r="R273" i="10"/>
  <c r="R643" i="10"/>
  <c r="R639" i="10"/>
  <c r="R635" i="10"/>
  <c r="R631" i="10"/>
  <c r="R627" i="10"/>
  <c r="R623" i="10"/>
  <c r="R619" i="10"/>
  <c r="R615" i="10"/>
  <c r="R611" i="10"/>
  <c r="R607" i="10"/>
  <c r="R603" i="10"/>
  <c r="R599" i="10"/>
  <c r="R595" i="10"/>
  <c r="R591" i="10"/>
  <c r="R587" i="10"/>
  <c r="R583" i="10"/>
  <c r="R579" i="10"/>
  <c r="R575" i="10"/>
  <c r="R571" i="10"/>
  <c r="R567" i="10"/>
  <c r="R563" i="10"/>
  <c r="R559" i="10"/>
  <c r="R555" i="10"/>
  <c r="R551" i="10"/>
  <c r="R547" i="10"/>
  <c r="R543" i="10"/>
  <c r="R539" i="10"/>
  <c r="R535" i="10"/>
  <c r="R531" i="10"/>
  <c r="R527" i="10"/>
  <c r="R523" i="10"/>
  <c r="R519" i="10"/>
  <c r="R515" i="10"/>
  <c r="R511" i="10"/>
  <c r="R507" i="10"/>
  <c r="R503" i="10"/>
  <c r="R499" i="10"/>
  <c r="R495" i="10"/>
  <c r="R491" i="10"/>
  <c r="R487" i="10"/>
  <c r="R483" i="10"/>
  <c r="R479" i="10"/>
  <c r="R475" i="10"/>
  <c r="R471" i="10"/>
  <c r="R467" i="10"/>
  <c r="R463" i="10"/>
  <c r="R459" i="10"/>
  <c r="R455" i="10"/>
  <c r="R451" i="10"/>
  <c r="R447" i="10"/>
  <c r="R443" i="10"/>
  <c r="R439" i="10"/>
  <c r="R435" i="10"/>
  <c r="R431" i="10"/>
  <c r="R427" i="10"/>
  <c r="R423" i="10"/>
  <c r="R419" i="10"/>
  <c r="R415" i="10"/>
  <c r="R411" i="10"/>
  <c r="R407" i="10"/>
  <c r="R403" i="10"/>
  <c r="R399" i="10"/>
  <c r="R395" i="10"/>
  <c r="R391" i="10"/>
  <c r="R387" i="10"/>
  <c r="R383" i="10"/>
  <c r="R379" i="10"/>
  <c r="R375" i="10"/>
  <c r="R371" i="10"/>
  <c r="R367" i="10"/>
  <c r="R363" i="10"/>
  <c r="R359" i="10"/>
  <c r="R355" i="10"/>
  <c r="R351" i="10"/>
  <c r="R347" i="10"/>
  <c r="R343" i="10"/>
  <c r="R339" i="10"/>
  <c r="R335" i="10"/>
  <c r="R331" i="10"/>
  <c r="R327" i="10"/>
  <c r="R323" i="10"/>
  <c r="R319" i="10"/>
  <c r="R315" i="10"/>
  <c r="R311" i="10"/>
  <c r="R307" i="10"/>
  <c r="R303" i="10"/>
  <c r="R299" i="10"/>
  <c r="R295" i="10"/>
  <c r="R291" i="10"/>
  <c r="R287" i="10"/>
  <c r="R283" i="10"/>
  <c r="R279" i="10"/>
  <c r="R275" i="10"/>
  <c r="R271" i="10"/>
  <c r="R572" i="10"/>
  <c r="C44" i="2"/>
  <c r="C43" i="2"/>
  <c r="C47" i="2"/>
  <c r="C51" i="2"/>
  <c r="Q5" i="9"/>
  <c r="Q9" i="9"/>
  <c r="Q13" i="9"/>
  <c r="Q17" i="9"/>
  <c r="Q21" i="9"/>
  <c r="Q25" i="9"/>
  <c r="Q29" i="9"/>
  <c r="Q33" i="9"/>
  <c r="Q37" i="9"/>
  <c r="Q41" i="9"/>
  <c r="Q45" i="9"/>
  <c r="Q49" i="9"/>
  <c r="Q53" i="9"/>
  <c r="Q57" i="9"/>
  <c r="Q61" i="9"/>
  <c r="Q65" i="9"/>
  <c r="Q69" i="9"/>
  <c r="Q73" i="9"/>
  <c r="Q77" i="9"/>
  <c r="Q81" i="9"/>
  <c r="Q85" i="9"/>
  <c r="Q89" i="9"/>
  <c r="Q93" i="9"/>
  <c r="Q97" i="9"/>
  <c r="Q101" i="9"/>
  <c r="Q105" i="9"/>
  <c r="Q109" i="9"/>
  <c r="Q113" i="9"/>
  <c r="Q117" i="9"/>
  <c r="Q121" i="9"/>
  <c r="Q125" i="9"/>
  <c r="Q129" i="9"/>
  <c r="Q133" i="9"/>
  <c r="Q137" i="9"/>
  <c r="Q141" i="9"/>
  <c r="Q145" i="9"/>
  <c r="Q149" i="9"/>
  <c r="Q153" i="9"/>
  <c r="Q157" i="9"/>
  <c r="Q161" i="9"/>
  <c r="Q165" i="9"/>
  <c r="Q169" i="9"/>
  <c r="Q173" i="9"/>
  <c r="Q177" i="9"/>
  <c r="Q181" i="9"/>
  <c r="Q185" i="9"/>
  <c r="Q189" i="9"/>
  <c r="Q193" i="9"/>
  <c r="Q197" i="9"/>
  <c r="Q201" i="9"/>
  <c r="Q205" i="9"/>
  <c r="Q209" i="9"/>
  <c r="Q213" i="9"/>
  <c r="Q217" i="9"/>
  <c r="Q221" i="9"/>
  <c r="Q225" i="9"/>
  <c r="Q229" i="9"/>
  <c r="Q233" i="9"/>
  <c r="Q237" i="9"/>
  <c r="Q241" i="9"/>
  <c r="Q245" i="9"/>
  <c r="Q249" i="9"/>
  <c r="Q253" i="9"/>
  <c r="Q257" i="9"/>
  <c r="Q261" i="9"/>
  <c r="Q265" i="9"/>
  <c r="Q269" i="9"/>
  <c r="Q273" i="9"/>
  <c r="Q277" i="9"/>
  <c r="Q281" i="9"/>
  <c r="Q285" i="9"/>
  <c r="Q289" i="9"/>
  <c r="Q293" i="9"/>
  <c r="Q297" i="9"/>
  <c r="Q301" i="9"/>
  <c r="Q305" i="9"/>
  <c r="Q309" i="9"/>
  <c r="Q313" i="9"/>
  <c r="Q317" i="9"/>
  <c r="Q325" i="9"/>
  <c r="Q329" i="9"/>
  <c r="Q333" i="9"/>
  <c r="Q337" i="9"/>
  <c r="Q341" i="9"/>
  <c r="Q345" i="9"/>
  <c r="Q349" i="9"/>
  <c r="Q353" i="9"/>
  <c r="Q357" i="9"/>
  <c r="Q361" i="9"/>
  <c r="Q365" i="9"/>
  <c r="Q369" i="9"/>
  <c r="Q373" i="9"/>
  <c r="Q377" i="9"/>
  <c r="Q381" i="9"/>
  <c r="Q385" i="9"/>
  <c r="Q389" i="9"/>
  <c r="Q393" i="9"/>
  <c r="Q397" i="9"/>
  <c r="Q401" i="9"/>
  <c r="Q405" i="9"/>
  <c r="Q409" i="9"/>
  <c r="Q413" i="9"/>
  <c r="Q417" i="9"/>
  <c r="Q421" i="9"/>
  <c r="Q425" i="9"/>
  <c r="Q429" i="9"/>
  <c r="Q433" i="9"/>
  <c r="Q441" i="9"/>
  <c r="Q445" i="9"/>
  <c r="Q449" i="9"/>
  <c r="Q453" i="9"/>
  <c r="Q457" i="9"/>
  <c r="Q461" i="9"/>
  <c r="Q465" i="9"/>
  <c r="Q469" i="9"/>
  <c r="Q473" i="9"/>
  <c r="Q477" i="9"/>
  <c r="Q481" i="9"/>
  <c r="Q485" i="9"/>
  <c r="Q489" i="9"/>
  <c r="Q493" i="9"/>
  <c r="Q497" i="9"/>
  <c r="Q501" i="9"/>
  <c r="Q505" i="9"/>
  <c r="Q509" i="9"/>
  <c r="Q513" i="9"/>
  <c r="Q517" i="9"/>
  <c r="Q521" i="9"/>
  <c r="Q525" i="9"/>
  <c r="Q529" i="9"/>
  <c r="Q533" i="9"/>
  <c r="Q537" i="9"/>
  <c r="Q541" i="9"/>
  <c r="Q545" i="9"/>
  <c r="Q549" i="9"/>
  <c r="Q553" i="9"/>
  <c r="Q557" i="9"/>
  <c r="Q561" i="9"/>
  <c r="Q565" i="9"/>
  <c r="Q569" i="9"/>
  <c r="Q573" i="9"/>
  <c r="Q577" i="9"/>
  <c r="Q581" i="9"/>
  <c r="Q585" i="9"/>
  <c r="Q589" i="9"/>
  <c r="Q593" i="9"/>
  <c r="Q597" i="9"/>
  <c r="Q601" i="9"/>
  <c r="Q605" i="9"/>
  <c r="Q609" i="9"/>
  <c r="Q613" i="9"/>
  <c r="Q617" i="9"/>
  <c r="Q621" i="9"/>
  <c r="Q625" i="9"/>
  <c r="Q629" i="9"/>
  <c r="Q633" i="9"/>
  <c r="Q637" i="9"/>
  <c r="Q641" i="9"/>
  <c r="Q645" i="9"/>
  <c r="Q649" i="9"/>
  <c r="Q653" i="9"/>
  <c r="Q657" i="9"/>
  <c r="Q661" i="9"/>
  <c r="Q665" i="9"/>
  <c r="Q669" i="9"/>
  <c r="Q673" i="9"/>
  <c r="Q677" i="9"/>
  <c r="Q681" i="9"/>
  <c r="Q685" i="9"/>
  <c r="Q689" i="9"/>
  <c r="Q693" i="9"/>
  <c r="Q697" i="9"/>
  <c r="Q701" i="9"/>
  <c r="Q705" i="9"/>
  <c r="Q709" i="9"/>
  <c r="Q713" i="9"/>
  <c r="Q717" i="9"/>
  <c r="Q721" i="9"/>
  <c r="Q725" i="9"/>
  <c r="Q729" i="9"/>
  <c r="Q733" i="9"/>
  <c r="Q737" i="9"/>
  <c r="Q741" i="9"/>
  <c r="Q745" i="9"/>
  <c r="Q749" i="9"/>
  <c r="Q753" i="9"/>
  <c r="Q757" i="9"/>
  <c r="Q761" i="9"/>
  <c r="Q765" i="9"/>
  <c r="Q769" i="9"/>
  <c r="Q773" i="9"/>
  <c r="Q777" i="9"/>
  <c r="B52" i="2"/>
  <c r="B42" i="2"/>
  <c r="B46" i="2"/>
  <c r="B50" i="2"/>
  <c r="B45" i="2"/>
  <c r="B49" i="2"/>
  <c r="Q2" i="9"/>
  <c r="Q6" i="9"/>
  <c r="Q10" i="9"/>
  <c r="Q14" i="9"/>
  <c r="Q18" i="9"/>
  <c r="Q22" i="9"/>
  <c r="Q26" i="9"/>
  <c r="Q30" i="9"/>
  <c r="Q34" i="9"/>
  <c r="Q38" i="9"/>
  <c r="Q42" i="9"/>
  <c r="Q46" i="9"/>
  <c r="Q50" i="9"/>
  <c r="Q54" i="9"/>
  <c r="Q58" i="9"/>
  <c r="Q62" i="9"/>
  <c r="Q66" i="9"/>
  <c r="Q70" i="9"/>
  <c r="Q74" i="9"/>
  <c r="Q78" i="9"/>
  <c r="Q82" i="9"/>
  <c r="Q86" i="9"/>
  <c r="Q90" i="9"/>
  <c r="Q94" i="9"/>
  <c r="Q98" i="9"/>
  <c r="Q102" i="9"/>
  <c r="Q106" i="9"/>
  <c r="Q110" i="9"/>
  <c r="Q114" i="9"/>
  <c r="Q118" i="9"/>
  <c r="Q122" i="9"/>
  <c r="Q126" i="9"/>
  <c r="Q130" i="9"/>
  <c r="Q134" i="9"/>
  <c r="Q138" i="9"/>
  <c r="Q142" i="9"/>
  <c r="Q146" i="9"/>
  <c r="Q150" i="9"/>
  <c r="Q154" i="9"/>
  <c r="Q158" i="9"/>
  <c r="Q162" i="9"/>
  <c r="Q166" i="9"/>
  <c r="Q170" i="9"/>
  <c r="Q174" i="9"/>
  <c r="Q178" i="9"/>
  <c r="Q182" i="9"/>
  <c r="Q186" i="9"/>
  <c r="Q190" i="9"/>
  <c r="Q194" i="9"/>
  <c r="Q198" i="9"/>
  <c r="Q202" i="9"/>
  <c r="Q206" i="9"/>
  <c r="Q210" i="9"/>
  <c r="Q214" i="9"/>
  <c r="Q218" i="9"/>
  <c r="Q222" i="9"/>
  <c r="Q226" i="9"/>
  <c r="Q230" i="9"/>
  <c r="Q234" i="9"/>
  <c r="Q238" i="9"/>
  <c r="Q242" i="9"/>
  <c r="Q246" i="9"/>
  <c r="Q250" i="9"/>
  <c r="Q254" i="9"/>
  <c r="Q258" i="9"/>
  <c r="Q262" i="9"/>
  <c r="Q266" i="9"/>
  <c r="Q270" i="9"/>
  <c r="Q274" i="9"/>
  <c r="Q278" i="9"/>
  <c r="Q282" i="9"/>
  <c r="Q286" i="9"/>
  <c r="Q290" i="9"/>
  <c r="Q294" i="9"/>
  <c r="Q298" i="9"/>
  <c r="Q302" i="9"/>
  <c r="Q306" i="9"/>
  <c r="Q310" i="9"/>
  <c r="Q314" i="9"/>
  <c r="Q318" i="9"/>
  <c r="Q322" i="9"/>
  <c r="Q326" i="9"/>
  <c r="Q330" i="9"/>
  <c r="Q334" i="9"/>
  <c r="Q338" i="9"/>
  <c r="Q342" i="9"/>
  <c r="Q346" i="9"/>
  <c r="Q350" i="9"/>
  <c r="Q354" i="9"/>
  <c r="Q358" i="9"/>
  <c r="Q362" i="9"/>
  <c r="Q366" i="9"/>
  <c r="Q370" i="9"/>
  <c r="Q374" i="9"/>
  <c r="Q378" i="9"/>
  <c r="Q382" i="9"/>
  <c r="Q386" i="9"/>
  <c r="Q390" i="9"/>
  <c r="Q394" i="9"/>
  <c r="Q398" i="9"/>
  <c r="Q402" i="9"/>
  <c r="Q406" i="9"/>
  <c r="Q410" i="9"/>
  <c r="Q414" i="9"/>
  <c r="Q418" i="9"/>
  <c r="Q422" i="9"/>
  <c r="Q426" i="9"/>
  <c r="Q430" i="9"/>
  <c r="Q434" i="9"/>
  <c r="Q442" i="9"/>
  <c r="Q446" i="9"/>
  <c r="Q450" i="9"/>
  <c r="Q454" i="9"/>
  <c r="Q458" i="9"/>
  <c r="Q462" i="9"/>
  <c r="Q466" i="9"/>
  <c r="Q470" i="9"/>
  <c r="Q474" i="9"/>
  <c r="Q478" i="9"/>
  <c r="Q482" i="9"/>
  <c r="Q486" i="9"/>
  <c r="Q490" i="9"/>
  <c r="Q494" i="9"/>
  <c r="Q498" i="9"/>
  <c r="Q502" i="9"/>
  <c r="Q506" i="9"/>
  <c r="Q510" i="9"/>
  <c r="Q514" i="9"/>
  <c r="Q518" i="9"/>
  <c r="Q522" i="9"/>
  <c r="Q526" i="9"/>
  <c r="Q530" i="9"/>
  <c r="Q534" i="9"/>
  <c r="Q538" i="9"/>
  <c r="Q542" i="9"/>
  <c r="Q546" i="9"/>
  <c r="Q550" i="9"/>
  <c r="Q554" i="9"/>
  <c r="Q558" i="9"/>
  <c r="Q562" i="9"/>
  <c r="Q566" i="9"/>
  <c r="Q570" i="9"/>
  <c r="Q574" i="9"/>
  <c r="Q578" i="9"/>
  <c r="Q582" i="9"/>
  <c r="Q586" i="9"/>
  <c r="Q590" i="9"/>
  <c r="Q594" i="9"/>
  <c r="Q598" i="9"/>
  <c r="Q602" i="9"/>
  <c r="Q606" i="9"/>
  <c r="Q610" i="9"/>
  <c r="Q614" i="9"/>
  <c r="Q618" i="9"/>
  <c r="Q622" i="9"/>
  <c r="Q626" i="9"/>
  <c r="Q630" i="9"/>
  <c r="Q634" i="9"/>
  <c r="Q638" i="9"/>
  <c r="Q642" i="9"/>
  <c r="Q646" i="9"/>
  <c r="Q650" i="9"/>
  <c r="Q654" i="9"/>
  <c r="Q658" i="9"/>
  <c r="Q662" i="9"/>
  <c r="Q666" i="9"/>
  <c r="Q670" i="9"/>
  <c r="Q674" i="9"/>
  <c r="Q678" i="9"/>
  <c r="Q682" i="9"/>
  <c r="Q686" i="9"/>
  <c r="Q690" i="9"/>
  <c r="Q694" i="9"/>
  <c r="Q698" i="9"/>
  <c r="Q702" i="9"/>
  <c r="Q706" i="9"/>
  <c r="Q710" i="9"/>
  <c r="Q714" i="9"/>
  <c r="Q718" i="9"/>
  <c r="Q722" i="9"/>
  <c r="Q726" i="9"/>
  <c r="Q730" i="9"/>
  <c r="Q734" i="9"/>
  <c r="Q738" i="9"/>
  <c r="Q742" i="9"/>
  <c r="Q746" i="9"/>
  <c r="Q750" i="9"/>
  <c r="Q754" i="9"/>
  <c r="Q758" i="9"/>
  <c r="Q762" i="9"/>
  <c r="Q766" i="9"/>
  <c r="Q770" i="9"/>
  <c r="Q774" i="9"/>
  <c r="Q778" i="9"/>
  <c r="R266" i="10"/>
  <c r="R262" i="10"/>
  <c r="R258" i="10"/>
  <c r="R254" i="10"/>
  <c r="R250" i="10"/>
  <c r="R246" i="10"/>
  <c r="R242" i="10"/>
  <c r="R238" i="10"/>
  <c r="R234" i="10"/>
  <c r="R230" i="10"/>
  <c r="R226" i="10"/>
  <c r="R222" i="10"/>
  <c r="R218" i="10"/>
  <c r="R214" i="10"/>
  <c r="R210" i="10"/>
  <c r="R206" i="10"/>
  <c r="R202" i="10"/>
  <c r="R198" i="10"/>
  <c r="R194" i="10"/>
  <c r="R190" i="10"/>
  <c r="R186" i="10"/>
  <c r="R182" i="10"/>
  <c r="R178" i="10"/>
  <c r="R174" i="10"/>
  <c r="R170" i="10"/>
  <c r="R166" i="10"/>
  <c r="R162" i="10"/>
  <c r="R158" i="10"/>
  <c r="R154" i="10"/>
  <c r="R150" i="10"/>
  <c r="R146" i="10"/>
  <c r="R142" i="10"/>
  <c r="R138" i="10"/>
  <c r="R134" i="10"/>
  <c r="R130" i="10"/>
  <c r="R126" i="10"/>
  <c r="R122" i="10"/>
  <c r="R118" i="10"/>
  <c r="R114" i="10"/>
  <c r="R110" i="10"/>
  <c r="R106" i="10"/>
  <c r="R102" i="10"/>
  <c r="R98" i="10"/>
  <c r="R94" i="10"/>
  <c r="R90" i="10"/>
  <c r="R86" i="10"/>
  <c r="R82" i="10"/>
  <c r="R78" i="10"/>
  <c r="R74" i="10"/>
  <c r="R70" i="10"/>
  <c r="R66" i="10"/>
  <c r="R62" i="10"/>
  <c r="R58" i="10"/>
  <c r="R54" i="10"/>
  <c r="R50" i="10"/>
  <c r="R46" i="10"/>
  <c r="R42" i="10"/>
  <c r="R38" i="10"/>
  <c r="R34" i="10"/>
  <c r="R30" i="10"/>
  <c r="R26" i="10"/>
  <c r="R22" i="10"/>
  <c r="R18" i="10"/>
  <c r="R14" i="10"/>
  <c r="R10" i="10"/>
  <c r="R6" i="10"/>
  <c r="R2" i="10"/>
  <c r="R268" i="10"/>
  <c r="R264" i="10"/>
  <c r="R260" i="10"/>
  <c r="R256" i="10"/>
  <c r="R252" i="10"/>
  <c r="R248" i="10"/>
  <c r="R244" i="10"/>
  <c r="R240" i="10"/>
  <c r="R236" i="10"/>
  <c r="R232" i="10"/>
  <c r="R228" i="10"/>
  <c r="R224" i="10"/>
  <c r="R220" i="10"/>
  <c r="R216" i="10"/>
  <c r="R212" i="10"/>
  <c r="R208" i="10"/>
  <c r="R204" i="10"/>
  <c r="R200" i="10"/>
  <c r="R196" i="10"/>
  <c r="R192" i="10"/>
  <c r="R188" i="10"/>
  <c r="R184" i="10"/>
  <c r="R180" i="10"/>
  <c r="R176" i="10"/>
  <c r="R172" i="10"/>
  <c r="R168" i="10"/>
  <c r="R164" i="10"/>
  <c r="R160" i="10"/>
  <c r="R156" i="10"/>
  <c r="R152" i="10"/>
  <c r="R148" i="10"/>
  <c r="R144" i="10"/>
  <c r="R140" i="10"/>
  <c r="R136" i="10"/>
  <c r="R132" i="10"/>
  <c r="R128" i="10"/>
  <c r="R124" i="10"/>
  <c r="R120" i="10"/>
  <c r="R116" i="10"/>
  <c r="R112" i="10"/>
  <c r="R108" i="10"/>
  <c r="R104" i="10"/>
  <c r="R100" i="10"/>
  <c r="R96" i="10"/>
  <c r="R269" i="10"/>
  <c r="R265" i="10"/>
  <c r="R261" i="10"/>
  <c r="R257" i="10"/>
  <c r="R253" i="10"/>
  <c r="R249" i="10"/>
  <c r="R245" i="10"/>
  <c r="R241" i="10"/>
  <c r="R237" i="10"/>
  <c r="R233" i="10"/>
  <c r="R229" i="10"/>
  <c r="R225" i="10"/>
  <c r="R221" i="10"/>
  <c r="R217" i="10"/>
  <c r="R213" i="10"/>
  <c r="R209" i="10"/>
  <c r="R205" i="10"/>
  <c r="R201" i="10"/>
  <c r="R197" i="10"/>
  <c r="R193" i="10"/>
  <c r="R189" i="10"/>
  <c r="R185" i="10"/>
  <c r="R181" i="10"/>
  <c r="R177" i="10"/>
  <c r="R173" i="10"/>
  <c r="R169" i="10"/>
  <c r="R165" i="10"/>
  <c r="R161" i="10"/>
  <c r="R157" i="10"/>
  <c r="R153" i="10"/>
  <c r="R149" i="10"/>
  <c r="R145" i="10"/>
  <c r="R141" i="10"/>
  <c r="R137" i="10"/>
  <c r="R133" i="10"/>
  <c r="R129" i="10"/>
  <c r="R125" i="10"/>
  <c r="R121" i="10"/>
  <c r="R117" i="10"/>
  <c r="R113" i="10"/>
  <c r="R109" i="10"/>
  <c r="R105" i="10"/>
  <c r="R101" i="10"/>
  <c r="R97" i="10"/>
  <c r="R93" i="10"/>
  <c r="R89" i="10"/>
  <c r="R85" i="10"/>
  <c r="R81" i="10"/>
  <c r="R77" i="10"/>
  <c r="R73" i="10"/>
  <c r="R69" i="10"/>
  <c r="R65" i="10"/>
  <c r="R61" i="10"/>
  <c r="R57" i="10"/>
  <c r="R53" i="10"/>
  <c r="R49" i="10"/>
  <c r="R45" i="10"/>
  <c r="R41" i="10"/>
  <c r="R37" i="10"/>
  <c r="R33" i="10"/>
  <c r="R29" i="10"/>
  <c r="R25" i="10"/>
  <c r="R21" i="10"/>
  <c r="R17" i="10"/>
  <c r="R13" i="10"/>
  <c r="R9" i="10"/>
  <c r="R5" i="10"/>
  <c r="R267" i="10"/>
  <c r="R263" i="10"/>
  <c r="R259" i="10"/>
  <c r="R243" i="10"/>
  <c r="R227" i="10"/>
  <c r="R211" i="10"/>
  <c r="R195" i="10"/>
  <c r="R179" i="10"/>
  <c r="R163" i="10"/>
  <c r="R147" i="10"/>
  <c r="R131" i="10"/>
  <c r="R115" i="10"/>
  <c r="R99" i="10"/>
  <c r="R88" i="10"/>
  <c r="R80" i="10"/>
  <c r="R72" i="10"/>
  <c r="R64" i="10"/>
  <c r="R56" i="10"/>
  <c r="R48" i="10"/>
  <c r="R40" i="10"/>
  <c r="R32" i="10"/>
  <c r="R24" i="10"/>
  <c r="R16" i="10"/>
  <c r="R8" i="10"/>
  <c r="R79" i="10"/>
  <c r="R255" i="10"/>
  <c r="R239" i="10"/>
  <c r="R223" i="10"/>
  <c r="R207" i="10"/>
  <c r="R191" i="10"/>
  <c r="R175" i="10"/>
  <c r="R159" i="10"/>
  <c r="R143" i="10"/>
  <c r="R127" i="10"/>
  <c r="R111" i="10"/>
  <c r="R95" i="10"/>
  <c r="R87" i="10"/>
  <c r="R71" i="10"/>
  <c r="R63" i="10"/>
  <c r="R55" i="10"/>
  <c r="R47" i="10"/>
  <c r="R39" i="10"/>
  <c r="R31" i="10"/>
  <c r="R23" i="10"/>
  <c r="R15" i="10"/>
  <c r="R7" i="10"/>
  <c r="R251" i="10"/>
  <c r="R235" i="10"/>
  <c r="R219" i="10"/>
  <c r="R203" i="10"/>
  <c r="R187" i="10"/>
  <c r="R171" i="10"/>
  <c r="R155" i="10"/>
  <c r="R139" i="10"/>
  <c r="R123" i="10"/>
  <c r="R107" i="10"/>
  <c r="R92" i="10"/>
  <c r="R84" i="10"/>
  <c r="R76" i="10"/>
  <c r="R68" i="10"/>
  <c r="R60" i="10"/>
  <c r="R52" i="10"/>
  <c r="R44" i="10"/>
  <c r="R36" i="10"/>
  <c r="R28" i="10"/>
  <c r="R20" i="10"/>
  <c r="R12" i="10"/>
  <c r="R4" i="10"/>
  <c r="R247" i="10"/>
  <c r="R231" i="10"/>
  <c r="R215" i="10"/>
  <c r="R199" i="10"/>
  <c r="R183" i="10"/>
  <c r="R167" i="10"/>
  <c r="R151" i="10"/>
  <c r="R135" i="10"/>
  <c r="R119" i="10"/>
  <c r="R103" i="10"/>
  <c r="R91" i="10"/>
  <c r="R83" i="10"/>
  <c r="R75" i="10"/>
  <c r="R67" i="10"/>
  <c r="R59" i="10"/>
  <c r="R51" i="10"/>
  <c r="R43" i="10"/>
  <c r="R35" i="10"/>
  <c r="R27" i="10"/>
  <c r="R19" i="10"/>
  <c r="R11" i="10"/>
  <c r="R3" i="10"/>
  <c r="C52" i="2"/>
  <c r="C42" i="2"/>
  <c r="C46" i="2"/>
  <c r="C50" i="2"/>
  <c r="C45" i="2"/>
  <c r="C49" i="2"/>
  <c r="Q3" i="9"/>
  <c r="Q7" i="9"/>
  <c r="Q11" i="9"/>
  <c r="Q15" i="9"/>
  <c r="Q19" i="9"/>
  <c r="Q23" i="9"/>
  <c r="Q27" i="9"/>
  <c r="Q31" i="9"/>
  <c r="Q35" i="9"/>
  <c r="Q39" i="9"/>
  <c r="Q43" i="9"/>
  <c r="Q47" i="9"/>
  <c r="Q51" i="9"/>
  <c r="Q55" i="9"/>
  <c r="Q59" i="9"/>
  <c r="Q63" i="9"/>
  <c r="Q67" i="9"/>
  <c r="Q71" i="9"/>
  <c r="Q75" i="9"/>
  <c r="Q79" i="9"/>
  <c r="Q83" i="9"/>
  <c r="Q87" i="9"/>
  <c r="Q91" i="9"/>
  <c r="Q95" i="9"/>
  <c r="Q99" i="9"/>
  <c r="Q103" i="9"/>
  <c r="Q107" i="9"/>
  <c r="Q111" i="9"/>
  <c r="Q115" i="9"/>
  <c r="Q119" i="9"/>
  <c r="Q123" i="9"/>
  <c r="Q127" i="9"/>
  <c r="Q131" i="9"/>
  <c r="Q135" i="9"/>
  <c r="Q139" i="9"/>
  <c r="Q143" i="9"/>
  <c r="Q147" i="9"/>
  <c r="Q151" i="9"/>
  <c r="Q155" i="9"/>
  <c r="Q159" i="9"/>
  <c r="Q163" i="9"/>
  <c r="Q167" i="9"/>
  <c r="Q171" i="9"/>
  <c r="Q175" i="9"/>
  <c r="Q179" i="9"/>
  <c r="Q183" i="9"/>
  <c r="Q187" i="9"/>
  <c r="Q191" i="9"/>
  <c r="Q195" i="9"/>
  <c r="Q199" i="9"/>
  <c r="Q203" i="9"/>
  <c r="Q207" i="9"/>
  <c r="Q211" i="9"/>
  <c r="Q215" i="9"/>
  <c r="Q219" i="9"/>
  <c r="Q223" i="9"/>
  <c r="Q227" i="9"/>
  <c r="Q231" i="9"/>
  <c r="Q235" i="9"/>
  <c r="Q239" i="9"/>
  <c r="Q243" i="9"/>
  <c r="Q247" i="9"/>
  <c r="Q251" i="9"/>
  <c r="Q255" i="9"/>
  <c r="Q259" i="9"/>
  <c r="Q263" i="9"/>
  <c r="Q267" i="9"/>
  <c r="Q271" i="9"/>
  <c r="Q275" i="9"/>
  <c r="Q279" i="9"/>
  <c r="Q283" i="9"/>
  <c r="Q287" i="9"/>
  <c r="Q291" i="9"/>
  <c r="Q295" i="9"/>
  <c r="Q299" i="9"/>
  <c r="Q303" i="9"/>
  <c r="Q307" i="9"/>
  <c r="Q311" i="9"/>
  <c r="Q315" i="9"/>
  <c r="Q319" i="9"/>
  <c r="Q323" i="9"/>
  <c r="Q327" i="9"/>
  <c r="Q331" i="9"/>
  <c r="Q335" i="9"/>
  <c r="Q339" i="9"/>
  <c r="Q343" i="9"/>
  <c r="Q347" i="9"/>
  <c r="Q351" i="9"/>
  <c r="Q355" i="9"/>
  <c r="Q359" i="9"/>
  <c r="Q363" i="9"/>
  <c r="Q367" i="9"/>
  <c r="Q371" i="9"/>
  <c r="Q375" i="9"/>
  <c r="Q379" i="9"/>
  <c r="Q383" i="9"/>
  <c r="Q387" i="9"/>
  <c r="Q391" i="9"/>
  <c r="Q395" i="9"/>
  <c r="Q399" i="9"/>
  <c r="Q403" i="9"/>
  <c r="Q407" i="9"/>
  <c r="Q411" i="9"/>
  <c r="Q415" i="9"/>
  <c r="Q419" i="9"/>
  <c r="Q423" i="9"/>
  <c r="Q427" i="9"/>
  <c r="Q431" i="9"/>
  <c r="Q435" i="9"/>
  <c r="Q443" i="9"/>
  <c r="Q447" i="9"/>
  <c r="Q451" i="9"/>
  <c r="Q455" i="9"/>
  <c r="Q459" i="9"/>
  <c r="Q463" i="9"/>
  <c r="Q467" i="9"/>
  <c r="Q471" i="9"/>
  <c r="Q475" i="9"/>
  <c r="Q479" i="9"/>
  <c r="Q483" i="9"/>
  <c r="Q487" i="9"/>
  <c r="Q491" i="9"/>
  <c r="Q495" i="9"/>
  <c r="Q499" i="9"/>
  <c r="Q503" i="9"/>
  <c r="Q507" i="9"/>
  <c r="Q511" i="9"/>
  <c r="Q515" i="9"/>
  <c r="Q519" i="9"/>
  <c r="Q523" i="9"/>
  <c r="Q527" i="9"/>
  <c r="Q531" i="9"/>
  <c r="Q535" i="9"/>
  <c r="Q539" i="9"/>
  <c r="Q543" i="9"/>
  <c r="Q547" i="9"/>
  <c r="Q551" i="9"/>
  <c r="Q555" i="9"/>
  <c r="Q559" i="9"/>
  <c r="Q563" i="9"/>
  <c r="Q567" i="9"/>
  <c r="Q571" i="9"/>
  <c r="Q575" i="9"/>
  <c r="Q579" i="9"/>
  <c r="Q583" i="9"/>
  <c r="Q587" i="9"/>
  <c r="Q591" i="9"/>
  <c r="Q595" i="9"/>
  <c r="Q599" i="9"/>
  <c r="Q603" i="9"/>
  <c r="Q607" i="9"/>
  <c r="Q611" i="9"/>
  <c r="Q615" i="9"/>
  <c r="Q619" i="9"/>
  <c r="Q623" i="9"/>
  <c r="Q627" i="9"/>
  <c r="Q631" i="9"/>
  <c r="Q635" i="9"/>
  <c r="Q639" i="9"/>
  <c r="Q643" i="9"/>
  <c r="Q647" i="9"/>
  <c r="Q651" i="9"/>
  <c r="Q655" i="9"/>
  <c r="Q659" i="9"/>
  <c r="Q663" i="9"/>
  <c r="Q667" i="9"/>
  <c r="Q671" i="9"/>
  <c r="Q675" i="9"/>
  <c r="Q679" i="9"/>
  <c r="Q683" i="9"/>
  <c r="Q687" i="9"/>
  <c r="Q691" i="9"/>
  <c r="Q695" i="9"/>
  <c r="Q699" i="9"/>
  <c r="Q703" i="9"/>
  <c r="Q707" i="9"/>
  <c r="Q711" i="9"/>
  <c r="Q715" i="9"/>
  <c r="Q719" i="9"/>
  <c r="Q723" i="9"/>
  <c r="Q727" i="9"/>
  <c r="Q731" i="9"/>
  <c r="Q735" i="9"/>
  <c r="Q739" i="9"/>
  <c r="Q743" i="9"/>
  <c r="Q747" i="9"/>
  <c r="Q751" i="9"/>
  <c r="Q755" i="9"/>
  <c r="Q759" i="9"/>
  <c r="Q763" i="9"/>
  <c r="Q767" i="9"/>
  <c r="Q771" i="9"/>
  <c r="Q775" i="9"/>
  <c r="Q779" i="9"/>
  <c r="AL11" i="8"/>
  <c r="AL23" i="8"/>
  <c r="AL25" i="8"/>
  <c r="U5" i="10"/>
  <c r="AL28" i="8"/>
  <c r="U7" i="10"/>
  <c r="AL30" i="8"/>
  <c r="U9" i="10"/>
  <c r="AL32" i="8"/>
  <c r="AL22" i="8"/>
  <c r="AL24" i="8"/>
  <c r="AL26" i="8"/>
  <c r="AL29" i="8"/>
  <c r="AL31" i="8"/>
  <c r="AC50" i="8"/>
  <c r="AE53" i="8"/>
  <c r="AE39" i="8"/>
  <c r="AI39" i="8"/>
  <c r="AC40" i="8"/>
  <c r="AG40" i="8"/>
  <c r="AK40" i="8"/>
  <c r="AE41" i="8"/>
  <c r="AI41" i="8"/>
  <c r="AC42" i="8"/>
  <c r="AG42" i="8"/>
  <c r="AK42" i="8"/>
  <c r="AE43" i="8"/>
  <c r="AI43" i="8"/>
  <c r="AG50" i="8"/>
  <c r="AK50" i="8"/>
  <c r="AE51" i="8"/>
  <c r="AI51" i="8"/>
  <c r="AC52" i="8"/>
  <c r="AG52" i="8"/>
  <c r="AK52" i="8"/>
  <c r="AI53" i="8"/>
  <c r="AD39" i="8"/>
  <c r="AH39" i="8"/>
  <c r="AB40" i="8"/>
  <c r="AF40" i="8"/>
  <c r="AJ40" i="8"/>
  <c r="AD41" i="8"/>
  <c r="AH41" i="8"/>
  <c r="AB42" i="8"/>
  <c r="AF42" i="8"/>
  <c r="AJ42" i="8"/>
  <c r="AD43" i="8"/>
  <c r="AH43" i="8"/>
  <c r="Z10" i="9"/>
  <c r="X10" i="9"/>
  <c r="AB10" i="9"/>
  <c r="AC39" i="8"/>
  <c r="AG39" i="8"/>
  <c r="AK39" i="8"/>
  <c r="AE40" i="8"/>
  <c r="AI40" i="8"/>
  <c r="AC41" i="8"/>
  <c r="AG41" i="8"/>
  <c r="AK41" i="8"/>
  <c r="AE42" i="8"/>
  <c r="AI42" i="8"/>
  <c r="AC43" i="8"/>
  <c r="AG43" i="8"/>
  <c r="AK43" i="8"/>
  <c r="AE49" i="8"/>
  <c r="AD8" i="9"/>
  <c r="AB39" i="8"/>
  <c r="AF39" i="8"/>
  <c r="AJ39" i="8"/>
  <c r="AD40" i="8"/>
  <c r="AH40" i="8"/>
  <c r="AB41" i="8"/>
  <c r="AF41" i="8"/>
  <c r="AJ41" i="8"/>
  <c r="AD42" i="8"/>
  <c r="AH42" i="8"/>
  <c r="AB43" i="8"/>
  <c r="AF43" i="8"/>
  <c r="AJ43" i="8"/>
  <c r="AB49" i="8"/>
  <c r="AF49" i="8"/>
  <c r="AJ49" i="8"/>
  <c r="AD50" i="8"/>
  <c r="AH50" i="8"/>
  <c r="AB51" i="8"/>
  <c r="AF51" i="8"/>
  <c r="AJ51" i="8"/>
  <c r="AH52" i="8"/>
  <c r="AB53" i="8"/>
  <c r="AF53" i="8"/>
  <c r="AJ53" i="8"/>
  <c r="E58" i="8"/>
  <c r="E66" i="8"/>
  <c r="E67" i="8"/>
  <c r="E59" i="8"/>
  <c r="E60" i="8"/>
  <c r="E65" i="8"/>
  <c r="AG49" i="8"/>
  <c r="AE50" i="8"/>
  <c r="AC51" i="8"/>
  <c r="AK51" i="8"/>
  <c r="AI52" i="8"/>
  <c r="AG53" i="8"/>
  <c r="AH51" i="8"/>
  <c r="AF52" i="8"/>
  <c r="AJ52" i="8"/>
  <c r="AH53" i="8"/>
  <c r="AI49" i="8"/>
  <c r="U10" i="9"/>
  <c r="Y10" i="9"/>
  <c r="AC10" i="9"/>
  <c r="W10" i="9"/>
  <c r="AA10" i="9"/>
  <c r="AC49" i="8"/>
  <c r="AK49" i="8"/>
  <c r="AI50" i="8"/>
  <c r="AG51" i="8"/>
  <c r="AE52" i="8"/>
  <c r="AC53" i="8"/>
  <c r="AK53" i="8"/>
  <c r="AD52" i="8"/>
  <c r="V5" i="10"/>
  <c r="Z5" i="10"/>
  <c r="AD5" i="10"/>
  <c r="AD10" i="10" s="1"/>
  <c r="AD22" i="10" s="1"/>
  <c r="W5" i="10"/>
  <c r="AA5" i="10"/>
  <c r="U6" i="10"/>
  <c r="Y6" i="10"/>
  <c r="AC6" i="10"/>
  <c r="W7" i="10"/>
  <c r="AA7" i="10"/>
  <c r="U8" i="10"/>
  <c r="Y8" i="10"/>
  <c r="AC8" i="10"/>
  <c r="W9" i="10"/>
  <c r="AA9" i="10"/>
  <c r="AD49" i="8"/>
  <c r="AH49" i="8"/>
  <c r="AB50" i="8"/>
  <c r="AF50" i="8"/>
  <c r="AJ50" i="8"/>
  <c r="AD51" i="8"/>
  <c r="AB52" i="8"/>
  <c r="AD53" i="8"/>
  <c r="X5" i="10"/>
  <c r="X10" i="10" s="1"/>
  <c r="X22" i="10" s="1"/>
  <c r="AB5" i="10"/>
  <c r="AB10" i="10" s="1"/>
  <c r="AB22" i="10" s="1"/>
  <c r="AL9" i="8"/>
  <c r="J62" i="8" s="1"/>
  <c r="AL13" i="8"/>
  <c r="AL15" i="8"/>
  <c r="J70" i="8" s="1"/>
  <c r="AL12" i="8"/>
  <c r="J67" i="8" s="1"/>
  <c r="AL5" i="8"/>
  <c r="AL6" i="8"/>
  <c r="J59" i="8" s="1"/>
  <c r="AL7" i="8"/>
  <c r="AL8" i="8"/>
  <c r="AL14" i="8"/>
  <c r="J69" i="8" s="1"/>
  <c r="L1514" i="10"/>
  <c r="L1127" i="10"/>
  <c r="K1199" i="10"/>
  <c r="L1238" i="10"/>
  <c r="L309" i="10"/>
  <c r="K736" i="10"/>
  <c r="V10" i="10"/>
  <c r="V22" i="10" s="1"/>
  <c r="K799" i="10"/>
  <c r="L1062" i="10"/>
  <c r="L1930" i="10"/>
  <c r="L2129" i="10"/>
  <c r="K2157" i="10"/>
  <c r="L980" i="10"/>
  <c r="K1384" i="10"/>
  <c r="K1698" i="10"/>
  <c r="K1822" i="10"/>
  <c r="L1743" i="10"/>
  <c r="L1803" i="10"/>
  <c r="L206" i="10"/>
  <c r="K572" i="10"/>
  <c r="L912" i="10"/>
  <c r="K1146" i="10"/>
  <c r="L1206" i="10"/>
  <c r="L1246" i="10"/>
  <c r="K1249" i="10"/>
  <c r="K1048" i="10"/>
  <c r="L1104" i="10"/>
  <c r="L1939" i="10"/>
  <c r="K1256" i="9"/>
  <c r="L1256" i="9"/>
  <c r="K1288" i="9"/>
  <c r="L1288" i="9"/>
  <c r="K1320" i="9"/>
  <c r="L1320" i="9"/>
  <c r="K1352" i="9"/>
  <c r="L1352" i="9"/>
  <c r="K1409" i="9"/>
  <c r="L1409" i="9"/>
  <c r="K1446" i="9"/>
  <c r="L1446" i="9"/>
  <c r="L1475" i="9"/>
  <c r="K1475" i="9"/>
  <c r="L154" i="9"/>
  <c r="L158" i="9"/>
  <c r="L175" i="9"/>
  <c r="L195" i="9"/>
  <c r="K211" i="9"/>
  <c r="L223" i="9"/>
  <c r="K261" i="9"/>
  <c r="K283" i="9"/>
  <c r="L299" i="9"/>
  <c r="L312" i="9"/>
  <c r="K315" i="9"/>
  <c r="L318" i="9"/>
  <c r="L344" i="9"/>
  <c r="L367" i="9"/>
  <c r="L376" i="9"/>
  <c r="K379" i="9"/>
  <c r="L382" i="9"/>
  <c r="L391" i="9"/>
  <c r="L415" i="9"/>
  <c r="K427" i="9"/>
  <c r="K435" i="9"/>
  <c r="K437" i="9"/>
  <c r="L440" i="9"/>
  <c r="L443" i="9"/>
  <c r="K461" i="9"/>
  <c r="L464" i="9"/>
  <c r="L487" i="9"/>
  <c r="K490" i="9"/>
  <c r="L498" i="9"/>
  <c r="L515" i="9"/>
  <c r="L543" i="9"/>
  <c r="K555" i="9"/>
  <c r="K563" i="9"/>
  <c r="K565" i="9"/>
  <c r="L568" i="9"/>
  <c r="L571" i="9"/>
  <c r="K589" i="9"/>
  <c r="L592" i="9"/>
  <c r="K789" i="9"/>
  <c r="K802" i="9"/>
  <c r="L811" i="9"/>
  <c r="K831" i="9"/>
  <c r="K833" i="9"/>
  <c r="K847" i="9"/>
  <c r="L890" i="9"/>
  <c r="K899" i="9"/>
  <c r="L906" i="9"/>
  <c r="K915" i="9"/>
  <c r="L922" i="9"/>
  <c r="K931" i="9"/>
  <c r="L938" i="9"/>
  <c r="K946" i="9"/>
  <c r="L955" i="9"/>
  <c r="K958" i="9"/>
  <c r="K978" i="9"/>
  <c r="L987" i="9"/>
  <c r="K990" i="9"/>
  <c r="K1366" i="9"/>
  <c r="L1366" i="9"/>
  <c r="K1414" i="9"/>
  <c r="L1414" i="9"/>
  <c r="L1443" i="9"/>
  <c r="K1443" i="9"/>
  <c r="K1505" i="9"/>
  <c r="L1505" i="9"/>
  <c r="L1584" i="9"/>
  <c r="K1584" i="9"/>
  <c r="L1600" i="9"/>
  <c r="K1600" i="9"/>
  <c r="L1616" i="9"/>
  <c r="K1616" i="9"/>
  <c r="L26" i="9"/>
  <c r="L7" i="9"/>
  <c r="K18" i="9"/>
  <c r="K1240" i="9"/>
  <c r="L1240" i="9"/>
  <c r="K1272" i="9"/>
  <c r="L1272" i="9"/>
  <c r="K1304" i="9"/>
  <c r="L1304" i="9"/>
  <c r="K1336" i="9"/>
  <c r="L1336" i="9"/>
  <c r="L1363" i="9"/>
  <c r="K1363" i="9"/>
  <c r="L1377" i="9"/>
  <c r="K1377" i="9"/>
  <c r="L1411" i="9"/>
  <c r="K1411" i="9"/>
  <c r="K1473" i="9"/>
  <c r="L1473" i="9"/>
  <c r="K1510" i="9"/>
  <c r="L1510" i="9"/>
  <c r="K1577" i="9"/>
  <c r="L1577" i="9"/>
  <c r="K1593" i="9"/>
  <c r="L1593" i="9"/>
  <c r="K1609" i="9"/>
  <c r="L1609" i="9"/>
  <c r="K1625" i="9"/>
  <c r="L1625" i="9"/>
  <c r="K29" i="9"/>
  <c r="K31" i="9"/>
  <c r="K5" i="9"/>
  <c r="K27" i="9"/>
  <c r="L43" i="9"/>
  <c r="K71" i="9"/>
  <c r="L104" i="9"/>
  <c r="K107" i="9"/>
  <c r="K157" i="9"/>
  <c r="L176" i="9"/>
  <c r="L210" i="9"/>
  <c r="L232" i="9"/>
  <c r="K237" i="9"/>
  <c r="L282" i="9"/>
  <c r="K325" i="9"/>
  <c r="L336" i="9"/>
  <c r="K339" i="9"/>
  <c r="L368" i="9"/>
  <c r="L375" i="9"/>
  <c r="K387" i="9"/>
  <c r="L400" i="9"/>
  <c r="L423" i="9"/>
  <c r="K426" i="9"/>
  <c r="L434" i="9"/>
  <c r="L451" i="9"/>
  <c r="L479" i="9"/>
  <c r="K491" i="9"/>
  <c r="K501" i="9"/>
  <c r="L504" i="9"/>
  <c r="L507" i="9"/>
  <c r="K525" i="9"/>
  <c r="L528" i="9"/>
  <c r="L551" i="9"/>
  <c r="K554" i="9"/>
  <c r="L562" i="9"/>
  <c r="L579" i="9"/>
  <c r="L767" i="9"/>
  <c r="L842" i="9"/>
  <c r="K853" i="9"/>
  <c r="L898" i="9"/>
  <c r="L914" i="9"/>
  <c r="L930" i="9"/>
  <c r="L939" i="9"/>
  <c r="L971" i="9"/>
  <c r="L1177" i="9"/>
  <c r="K1184" i="9"/>
  <c r="L1193" i="9"/>
  <c r="K1200" i="9"/>
  <c r="L1209" i="9"/>
  <c r="K1216" i="9"/>
  <c r="K1400" i="9"/>
  <c r="L1400" i="9"/>
  <c r="K1441" i="9"/>
  <c r="L1441" i="9"/>
  <c r="K1478" i="9"/>
  <c r="L1478" i="9"/>
  <c r="L1507" i="9"/>
  <c r="K1507" i="9"/>
  <c r="K1432" i="9"/>
  <c r="K1464" i="9"/>
  <c r="K1496" i="9"/>
  <c r="L1528" i="9"/>
  <c r="K1576" i="9"/>
  <c r="K1592" i="9"/>
  <c r="K1608" i="9"/>
  <c r="K1624" i="9"/>
  <c r="K1640" i="9"/>
  <c r="K1656" i="9"/>
  <c r="K1672" i="9"/>
  <c r="K1688" i="9"/>
  <c r="K1704" i="9"/>
  <c r="K1723" i="9"/>
  <c r="L1726" i="9"/>
  <c r="K1755" i="9"/>
  <c r="L1758" i="9"/>
  <c r="K1761" i="9"/>
  <c r="K1763" i="9"/>
  <c r="L1766" i="9"/>
  <c r="K1793" i="9"/>
  <c r="K1795" i="9"/>
  <c r="L1798" i="9"/>
  <c r="K1809" i="9"/>
  <c r="K1811" i="9"/>
  <c r="L1814" i="9"/>
  <c r="L1825" i="9"/>
  <c r="L1841" i="9"/>
  <c r="L1864" i="9"/>
  <c r="L1873" i="9"/>
  <c r="L1901" i="9"/>
  <c r="K1929" i="9"/>
  <c r="K1931" i="9"/>
  <c r="L1933" i="9"/>
  <c r="K1936" i="9"/>
  <c r="L1957" i="9"/>
  <c r="K1977" i="9"/>
  <c r="K1979" i="9"/>
  <c r="L1981" i="9"/>
  <c r="K1984" i="9"/>
  <c r="L2005" i="9"/>
  <c r="L2033" i="9"/>
  <c r="K2053" i="9"/>
  <c r="L2065" i="9"/>
  <c r="K2073" i="9"/>
  <c r="K2089" i="9"/>
  <c r="L2089" i="9"/>
  <c r="L2145" i="9"/>
  <c r="K2157" i="9"/>
  <c r="L2157" i="9"/>
  <c r="L2193" i="9"/>
  <c r="K2281" i="9"/>
  <c r="L2281" i="9"/>
  <c r="K2347" i="9"/>
  <c r="L2347" i="9"/>
  <c r="L2657" i="9"/>
  <c r="K2657" i="9"/>
  <c r="L2676" i="9"/>
  <c r="K2676" i="9"/>
  <c r="L2714" i="9"/>
  <c r="K2714" i="9"/>
  <c r="L2748" i="9"/>
  <c r="K2748" i="9"/>
  <c r="K2833" i="9"/>
  <c r="L2833" i="9"/>
  <c r="L2890" i="9"/>
  <c r="K2890" i="9"/>
  <c r="L2898" i="9"/>
  <c r="K2898" i="9"/>
  <c r="K2921" i="9"/>
  <c r="L2921" i="9"/>
  <c r="K2991" i="9"/>
  <c r="L2991" i="9"/>
  <c r="K3010" i="9"/>
  <c r="L3010" i="9"/>
  <c r="K3076" i="9"/>
  <c r="L3076" i="9"/>
  <c r="L1369" i="9"/>
  <c r="K1376" i="9"/>
  <c r="K1408" i="9"/>
  <c r="K1427" i="9"/>
  <c r="L1430" i="9"/>
  <c r="K1459" i="9"/>
  <c r="L1462" i="9"/>
  <c r="K1491" i="9"/>
  <c r="L1494" i="9"/>
  <c r="K1523" i="9"/>
  <c r="L1526" i="9"/>
  <c r="L1544" i="9"/>
  <c r="K1715" i="9"/>
  <c r="L1718" i="9"/>
  <c r="K1721" i="9"/>
  <c r="K1731" i="9"/>
  <c r="L1734" i="9"/>
  <c r="K1747" i="9"/>
  <c r="L1750" i="9"/>
  <c r="K1753" i="9"/>
  <c r="L1774" i="9"/>
  <c r="K1779" i="9"/>
  <c r="L1782" i="9"/>
  <c r="L1824" i="9"/>
  <c r="L1840" i="9"/>
  <c r="K1851" i="9"/>
  <c r="L1854" i="9"/>
  <c r="K1859" i="9"/>
  <c r="L1862" i="9"/>
  <c r="K1872" i="9"/>
  <c r="L1909" i="9"/>
  <c r="K2037" i="9"/>
  <c r="L2045" i="9"/>
  <c r="K2048" i="9"/>
  <c r="K2051" i="9"/>
  <c r="L2109" i="9"/>
  <c r="L2125" i="9"/>
  <c r="K2128" i="9"/>
  <c r="K2137" i="9"/>
  <c r="K2161" i="9"/>
  <c r="K2185" i="9"/>
  <c r="K2278" i="9"/>
  <c r="L2309" i="9"/>
  <c r="L2334" i="9"/>
  <c r="K2334" i="9"/>
  <c r="K2394" i="9"/>
  <c r="L2466" i="9"/>
  <c r="K2466" i="9"/>
  <c r="L2644" i="9"/>
  <c r="K2644" i="9"/>
  <c r="K2823" i="9"/>
  <c r="L2823" i="9"/>
  <c r="K2871" i="9"/>
  <c r="L2871" i="9"/>
  <c r="K2895" i="9"/>
  <c r="L2895" i="9"/>
  <c r="K2903" i="9"/>
  <c r="L2903" i="9"/>
  <c r="K2914" i="9"/>
  <c r="L2914" i="9"/>
  <c r="K2953" i="9"/>
  <c r="L2953" i="9"/>
  <c r="L2988" i="9"/>
  <c r="K2988" i="9"/>
  <c r="K3007" i="9"/>
  <c r="L3007" i="9"/>
  <c r="K3048" i="9"/>
  <c r="L3048" i="9"/>
  <c r="K2129" i="9"/>
  <c r="L2129" i="9"/>
  <c r="K2169" i="9"/>
  <c r="L2169" i="9"/>
  <c r="L2256" i="9"/>
  <c r="K2256" i="9"/>
  <c r="L2314" i="9"/>
  <c r="K2314" i="9"/>
  <c r="L2522" i="9"/>
  <c r="K2522" i="9"/>
  <c r="L2626" i="9"/>
  <c r="K2626" i="9"/>
  <c r="K2670" i="9"/>
  <c r="L2670" i="9"/>
  <c r="L2746" i="9"/>
  <c r="K2746" i="9"/>
  <c r="L2820" i="9"/>
  <c r="K2820" i="9"/>
  <c r="L2868" i="9"/>
  <c r="K2868" i="9"/>
  <c r="L2892" i="9"/>
  <c r="K2892" i="9"/>
  <c r="L2900" i="9"/>
  <c r="K2900" i="9"/>
  <c r="K2911" i="9"/>
  <c r="L2911" i="9"/>
  <c r="K2946" i="9"/>
  <c r="L2946" i="9"/>
  <c r="L3004" i="9"/>
  <c r="K3004" i="9"/>
  <c r="K1632" i="9"/>
  <c r="L1641" i="9"/>
  <c r="K1648" i="9"/>
  <c r="L1657" i="9"/>
  <c r="K1664" i="9"/>
  <c r="L1673" i="9"/>
  <c r="K1680" i="9"/>
  <c r="L1689" i="9"/>
  <c r="K1696" i="9"/>
  <c r="L1728" i="9"/>
  <c r="K1787" i="9"/>
  <c r="L1790" i="9"/>
  <c r="L1800" i="9"/>
  <c r="K1803" i="9"/>
  <c r="L1806" i="9"/>
  <c r="K1827" i="9"/>
  <c r="L1830" i="9"/>
  <c r="K1843" i="9"/>
  <c r="L1846" i="9"/>
  <c r="K1875" i="9"/>
  <c r="L1878" i="9"/>
  <c r="K1881" i="9"/>
  <c r="L1973" i="9"/>
  <c r="L2021" i="9"/>
  <c r="K2067" i="9"/>
  <c r="K2075" i="9"/>
  <c r="K2081" i="9"/>
  <c r="K2097" i="9"/>
  <c r="K2147" i="9"/>
  <c r="L2160" i="9"/>
  <c r="K2160" i="9"/>
  <c r="K2195" i="9"/>
  <c r="K2203" i="9"/>
  <c r="K2209" i="9"/>
  <c r="K2227" i="9"/>
  <c r="K2253" i="9"/>
  <c r="L2253" i="9"/>
  <c r="L2298" i="9"/>
  <c r="K2298" i="9"/>
  <c r="L2349" i="9"/>
  <c r="K2362" i="9"/>
  <c r="L2362" i="9"/>
  <c r="L2381" i="9"/>
  <c r="L2482" i="9"/>
  <c r="L2485" i="9"/>
  <c r="K2546" i="9"/>
  <c r="L2550" i="9"/>
  <c r="K2550" i="9"/>
  <c r="L2590" i="9"/>
  <c r="K2593" i="9"/>
  <c r="K2638" i="9"/>
  <c r="L2638" i="9"/>
  <c r="L2689" i="9"/>
  <c r="K2689" i="9"/>
  <c r="K2751" i="9"/>
  <c r="L2751" i="9"/>
  <c r="K2802" i="9"/>
  <c r="L2802" i="9"/>
  <c r="L2908" i="9"/>
  <c r="K2908" i="9"/>
  <c r="L2986" i="9"/>
  <c r="K2986" i="9"/>
  <c r="K3017" i="9"/>
  <c r="L3017" i="9"/>
  <c r="K3108" i="9"/>
  <c r="L3108" i="9"/>
  <c r="L3115" i="9"/>
  <c r="L3120" i="9"/>
  <c r="L3123" i="9"/>
  <c r="L3125" i="9"/>
  <c r="K3128" i="9"/>
  <c r="L3147" i="9"/>
  <c r="L3149" i="9"/>
  <c r="L3152" i="9"/>
  <c r="L3155" i="9"/>
  <c r="L3196" i="9"/>
  <c r="L3204" i="9"/>
  <c r="K3273" i="9"/>
  <c r="K3291" i="9"/>
  <c r="L3343" i="9"/>
  <c r="L3436" i="9"/>
  <c r="K3449" i="9"/>
  <c r="K3456" i="9"/>
  <c r="K3461" i="9"/>
  <c r="L3494" i="9"/>
  <c r="K3501" i="9"/>
  <c r="K3517" i="9"/>
  <c r="K3588" i="9"/>
  <c r="K3601" i="9"/>
  <c r="K3607" i="9"/>
  <c r="L3626" i="9"/>
  <c r="K3646" i="9"/>
  <c r="K3651" i="9"/>
  <c r="K3692" i="9"/>
  <c r="K3720" i="9"/>
  <c r="K3748" i="9"/>
  <c r="K3760" i="9"/>
  <c r="K3774" i="9"/>
  <c r="L3783" i="9"/>
  <c r="L3800" i="9"/>
  <c r="L2409" i="9"/>
  <c r="K2434" i="9"/>
  <c r="L2470" i="9"/>
  <c r="K2502" i="9"/>
  <c r="L2533" i="9"/>
  <c r="L2558" i="9"/>
  <c r="L2561" i="9"/>
  <c r="L2594" i="9"/>
  <c r="K2636" i="9"/>
  <c r="K2642" i="9"/>
  <c r="K2668" i="9"/>
  <c r="K2674" i="9"/>
  <c r="K2708" i="9"/>
  <c r="L2722" i="9"/>
  <c r="L2766" i="9"/>
  <c r="L2793" i="9"/>
  <c r="K2812" i="9"/>
  <c r="L2815" i="9"/>
  <c r="K2818" i="9"/>
  <c r="K2860" i="9"/>
  <c r="L2863" i="9"/>
  <c r="K2866" i="9"/>
  <c r="K2906" i="9"/>
  <c r="L2937" i="9"/>
  <c r="L2969" i="9"/>
  <c r="K3002" i="9"/>
  <c r="L3033" i="9"/>
  <c r="L3132" i="9"/>
  <c r="L3165" i="9"/>
  <c r="K3168" i="9"/>
  <c r="K3271" i="9"/>
  <c r="K3299" i="9"/>
  <c r="K3331" i="9"/>
  <c r="K3477" i="9"/>
  <c r="K3537" i="9"/>
  <c r="L3667" i="9"/>
  <c r="L3700" i="9"/>
  <c r="K3718" i="9"/>
  <c r="L3727" i="9"/>
  <c r="K3772" i="9"/>
  <c r="K3798" i="9"/>
  <c r="K3808" i="9"/>
  <c r="AD5" i="9"/>
  <c r="AD6" i="9"/>
  <c r="AD7" i="9"/>
  <c r="AD9" i="9"/>
  <c r="T10" i="9"/>
  <c r="V10" i="9"/>
  <c r="K1007" i="10"/>
  <c r="K1231" i="10"/>
  <c r="L1192" i="10"/>
  <c r="K1135" i="10"/>
  <c r="L1080" i="10"/>
  <c r="L1364" i="10"/>
  <c r="L1950" i="10"/>
  <c r="L2014" i="10"/>
  <c r="L2008" i="10"/>
  <c r="L249" i="10"/>
  <c r="K103" i="10"/>
  <c r="L51" i="10"/>
  <c r="K653" i="10"/>
  <c r="K530" i="10"/>
  <c r="L370" i="10"/>
  <c r="L286" i="10"/>
  <c r="K125" i="10"/>
  <c r="K542" i="10"/>
  <c r="L482" i="10"/>
  <c r="L613" i="10"/>
  <c r="L855" i="10"/>
  <c r="K791" i="10"/>
  <c r="L1076" i="10"/>
  <c r="L1828" i="10"/>
  <c r="L169" i="10"/>
  <c r="K237" i="10"/>
  <c r="K972" i="10"/>
  <c r="K1051" i="10"/>
  <c r="K1133" i="10"/>
  <c r="K1163" i="10"/>
  <c r="L1602" i="10"/>
  <c r="L1592" i="10"/>
  <c r="L1725" i="10"/>
  <c r="L1726" i="10"/>
  <c r="L1902" i="10"/>
  <c r="L1921" i="10"/>
  <c r="K36" i="10"/>
  <c r="L227" i="10"/>
  <c r="K225" i="10"/>
  <c r="L83" i="10"/>
  <c r="L301" i="10"/>
  <c r="K66" i="10"/>
  <c r="K348" i="10"/>
  <c r="K319" i="10"/>
  <c r="K384" i="10"/>
  <c r="K419" i="10"/>
  <c r="L601" i="10"/>
  <c r="K474" i="10"/>
  <c r="L385" i="10"/>
  <c r="K701" i="10"/>
  <c r="L564" i="10"/>
  <c r="K732" i="10"/>
  <c r="L497" i="10"/>
  <c r="K1031" i="10"/>
  <c r="L927" i="10"/>
  <c r="K996" i="10"/>
  <c r="K787" i="10"/>
  <c r="K895" i="10"/>
  <c r="K1039" i="10"/>
  <c r="L804" i="10"/>
  <c r="K904" i="10"/>
  <c r="K817" i="10"/>
  <c r="K1014" i="10"/>
  <c r="L740" i="10"/>
  <c r="K1225" i="10"/>
  <c r="K1290" i="10"/>
  <c r="K1148" i="10"/>
  <c r="L1052" i="10"/>
  <c r="K1089" i="10"/>
  <c r="K1243" i="10"/>
  <c r="K1162" i="10"/>
  <c r="K1180" i="10"/>
  <c r="L1101" i="10"/>
  <c r="K1251" i="10"/>
  <c r="K1316" i="10"/>
  <c r="L1213" i="10"/>
  <c r="K1377" i="10"/>
  <c r="K1522" i="10"/>
  <c r="L1424" i="10"/>
  <c r="L1434" i="10"/>
  <c r="K1483" i="10"/>
  <c r="K1670" i="10"/>
  <c r="L1679" i="10"/>
  <c r="K1605" i="10"/>
  <c r="L1723" i="10"/>
  <c r="K1771" i="10"/>
  <c r="K1833" i="10"/>
  <c r="K1783" i="10"/>
  <c r="L2010" i="10"/>
  <c r="L2171" i="10"/>
  <c r="K166" i="10"/>
  <c r="K294" i="10"/>
  <c r="L196" i="10"/>
  <c r="L238" i="10"/>
  <c r="K109" i="10"/>
  <c r="K317" i="10"/>
  <c r="L720" i="10"/>
  <c r="L456" i="10"/>
  <c r="K676" i="10"/>
  <c r="K683" i="10"/>
  <c r="L755" i="10"/>
  <c r="K959" i="10"/>
  <c r="L1147" i="10"/>
  <c r="K1181" i="10"/>
  <c r="L1157" i="10"/>
  <c r="K1469" i="10"/>
  <c r="K1470" i="10"/>
  <c r="L1402" i="10"/>
  <c r="K1534" i="10"/>
  <c r="L1353" i="10"/>
  <c r="K1423" i="10"/>
  <c r="L1499" i="10"/>
  <c r="L1646" i="10"/>
  <c r="L1714" i="10"/>
  <c r="K1964" i="10"/>
  <c r="L1938" i="10"/>
  <c r="L1917" i="10"/>
  <c r="L1874" i="10"/>
  <c r="L1949" i="10"/>
  <c r="K1897" i="10"/>
  <c r="L2055" i="10"/>
  <c r="L2021" i="10"/>
  <c r="L2024" i="10"/>
  <c r="K1972" i="10"/>
  <c r="L287" i="10"/>
  <c r="L12" i="10"/>
  <c r="K11" i="10"/>
  <c r="K243" i="10"/>
  <c r="K139" i="10"/>
  <c r="K580" i="10"/>
  <c r="K533" i="10"/>
  <c r="K504" i="10"/>
  <c r="K663" i="10"/>
  <c r="K470" i="10"/>
  <c r="L473" i="10"/>
  <c r="K606" i="10"/>
  <c r="K363" i="10"/>
  <c r="K366" i="10"/>
  <c r="K386" i="10"/>
  <c r="K553" i="10"/>
  <c r="K642" i="10"/>
  <c r="K978" i="10"/>
  <c r="L974" i="10"/>
  <c r="L887" i="10"/>
  <c r="K849" i="10"/>
  <c r="K948" i="10"/>
  <c r="K1022" i="10"/>
  <c r="L1042" i="10"/>
  <c r="K967" i="10"/>
  <c r="K960" i="10"/>
  <c r="K739" i="10"/>
  <c r="K743" i="10"/>
  <c r="K1059" i="10"/>
  <c r="L1486" i="10"/>
  <c r="L1503" i="10"/>
  <c r="L1665" i="10"/>
  <c r="L1591" i="10"/>
  <c r="L1724" i="10"/>
  <c r="L1639" i="10"/>
  <c r="K1696" i="10"/>
  <c r="K2117" i="10"/>
  <c r="L2140" i="10"/>
  <c r="K2214" i="10"/>
  <c r="L214" i="10"/>
  <c r="L217" i="10"/>
  <c r="L282" i="10"/>
  <c r="K222" i="10"/>
  <c r="K79" i="10"/>
  <c r="L274" i="10"/>
  <c r="K168" i="10"/>
  <c r="L98" i="10"/>
  <c r="L173" i="10"/>
  <c r="K337" i="10"/>
  <c r="K339" i="10"/>
  <c r="L20" i="10"/>
  <c r="L101" i="10"/>
  <c r="L463" i="10"/>
  <c r="K673" i="10"/>
  <c r="L673" i="10"/>
  <c r="L608" i="10"/>
  <c r="K608" i="10"/>
  <c r="L618" i="10"/>
  <c r="K618" i="10"/>
  <c r="K443" i="10"/>
  <c r="L443" i="10"/>
  <c r="L726" i="10"/>
  <c r="K726" i="10"/>
  <c r="L401" i="10"/>
  <c r="K401" i="10"/>
  <c r="L403" i="10"/>
  <c r="K403" i="10"/>
  <c r="L921" i="10"/>
  <c r="K921" i="10"/>
  <c r="L1009" i="10"/>
  <c r="K1009" i="10"/>
  <c r="K1122" i="10"/>
  <c r="L1122" i="10"/>
  <c r="K1381" i="10"/>
  <c r="L1381" i="10"/>
  <c r="L1339" i="10"/>
  <c r="K1339" i="10"/>
  <c r="L523" i="10"/>
  <c r="K523" i="10"/>
  <c r="L545" i="10"/>
  <c r="K545" i="10"/>
  <c r="K359" i="10"/>
  <c r="L359" i="10"/>
  <c r="L507" i="10"/>
  <c r="K507" i="10"/>
  <c r="K723" i="10"/>
  <c r="L723" i="10"/>
  <c r="L688" i="10"/>
  <c r="K688" i="10"/>
  <c r="K809" i="10"/>
  <c r="L809" i="10"/>
  <c r="K938" i="10"/>
  <c r="L938" i="10"/>
  <c r="L950" i="10"/>
  <c r="K950" i="10"/>
  <c r="L969" i="10"/>
  <c r="K969" i="10"/>
  <c r="K836" i="10"/>
  <c r="L836" i="10"/>
  <c r="K1116" i="10"/>
  <c r="L1116" i="10"/>
  <c r="K1119" i="10"/>
  <c r="L1119" i="10"/>
  <c r="L1242" i="10"/>
  <c r="K1242" i="10"/>
  <c r="L1516" i="10"/>
  <c r="K1516" i="10"/>
  <c r="L1529" i="10"/>
  <c r="K1529" i="10"/>
  <c r="K1505" i="10"/>
  <c r="L1505" i="10"/>
  <c r="L230" i="10"/>
  <c r="K17" i="10"/>
  <c r="L39" i="10"/>
  <c r="K251" i="10"/>
  <c r="K22" i="10"/>
  <c r="K257" i="10"/>
  <c r="K259" i="10"/>
  <c r="L315" i="10"/>
  <c r="K144" i="10"/>
  <c r="K591" i="10"/>
  <c r="K420" i="10"/>
  <c r="K465" i="10"/>
  <c r="K543" i="10"/>
  <c r="K527" i="10"/>
  <c r="K570" i="10"/>
  <c r="L576" i="10"/>
  <c r="L714" i="10"/>
  <c r="K714" i="10"/>
  <c r="L598" i="10"/>
  <c r="K598" i="10"/>
  <c r="K390" i="10"/>
  <c r="L390" i="10"/>
  <c r="K508" i="10"/>
  <c r="L508" i="10"/>
  <c r="L550" i="10"/>
  <c r="K550" i="10"/>
  <c r="L785" i="10"/>
  <c r="K785" i="10"/>
  <c r="L893" i="10"/>
  <c r="K893" i="10"/>
  <c r="L1011" i="10"/>
  <c r="K1011" i="10"/>
  <c r="L801" i="10"/>
  <c r="K801" i="10"/>
  <c r="K1081" i="10"/>
  <c r="L1081" i="10"/>
  <c r="K1234" i="10"/>
  <c r="L1234" i="10"/>
  <c r="L1129" i="10"/>
  <c r="K1129" i="10"/>
  <c r="K1106" i="10"/>
  <c r="L1106" i="10"/>
  <c r="L1344" i="10"/>
  <c r="K1344" i="10"/>
  <c r="K25" i="10"/>
  <c r="L49" i="10"/>
  <c r="L147" i="10"/>
  <c r="K3" i="10"/>
  <c r="L531" i="10"/>
  <c r="K534" i="10"/>
  <c r="L666" i="10"/>
  <c r="K666" i="10"/>
  <c r="L450" i="10"/>
  <c r="K571" i="10"/>
  <c r="L571" i="10"/>
  <c r="K546" i="10"/>
  <c r="L678" i="10"/>
  <c r="K678" i="10"/>
  <c r="K509" i="10"/>
  <c r="L509" i="10"/>
  <c r="L617" i="10"/>
  <c r="K617" i="10"/>
  <c r="L510" i="10"/>
  <c r="K510" i="10"/>
  <c r="L623" i="10"/>
  <c r="L446" i="10"/>
  <c r="K446" i="10"/>
  <c r="L789" i="10"/>
  <c r="K789" i="10"/>
  <c r="L1025" i="10"/>
  <c r="K1025" i="10"/>
  <c r="L803" i="10"/>
  <c r="K803" i="10"/>
  <c r="L1046" i="10"/>
  <c r="K1046" i="10"/>
  <c r="L1194" i="10"/>
  <c r="K1194" i="10"/>
  <c r="L1299" i="10"/>
  <c r="K1299" i="10"/>
  <c r="L1464" i="10"/>
  <c r="K1464" i="10"/>
  <c r="K1535" i="10"/>
  <c r="L1535" i="10"/>
  <c r="L1654" i="10"/>
  <c r="K1694" i="10"/>
  <c r="L1787" i="10"/>
  <c r="K1797" i="10"/>
  <c r="K1747" i="10"/>
  <c r="K1775" i="10"/>
  <c r="K1801" i="10"/>
  <c r="L1778" i="10"/>
  <c r="K1816" i="10"/>
  <c r="K1910" i="10"/>
  <c r="K1942" i="10"/>
  <c r="K1925" i="10"/>
  <c r="K1894" i="10"/>
  <c r="L2001" i="10"/>
  <c r="L1979" i="10"/>
  <c r="L1989" i="10"/>
  <c r="K1986" i="10"/>
  <c r="K2031" i="10"/>
  <c r="L1967" i="10"/>
  <c r="K2153" i="10"/>
  <c r="L2177" i="10"/>
  <c r="L2227" i="10"/>
  <c r="L728" i="10"/>
  <c r="L638" i="10"/>
  <c r="K707" i="10"/>
  <c r="L556" i="10"/>
  <c r="K559" i="10"/>
  <c r="L378" i="10"/>
  <c r="L409" i="10"/>
  <c r="K990" i="10"/>
  <c r="K747" i="10"/>
  <c r="L829" i="10"/>
  <c r="K892" i="10"/>
  <c r="K1038" i="10"/>
  <c r="L1005" i="10"/>
  <c r="L1024" i="10"/>
  <c r="L906" i="10"/>
  <c r="K970" i="10"/>
  <c r="K1099" i="10"/>
  <c r="L1115" i="10"/>
  <c r="L1218" i="10"/>
  <c r="K1269" i="10"/>
  <c r="L1087" i="10"/>
  <c r="K1156" i="10"/>
  <c r="L1295" i="10"/>
  <c r="K1070" i="10"/>
  <c r="K1200" i="10"/>
  <c r="K1159" i="10"/>
  <c r="L1204" i="10"/>
  <c r="L1252" i="10"/>
  <c r="L1568" i="10"/>
  <c r="K1426" i="10"/>
  <c r="L1411" i="10"/>
  <c r="L1439" i="10"/>
  <c r="L1672" i="10"/>
  <c r="L1633" i="10"/>
  <c r="L1791" i="10"/>
  <c r="K1753" i="10"/>
  <c r="L1908" i="10"/>
  <c r="K1944" i="10"/>
  <c r="L1928" i="10"/>
  <c r="L2018" i="10"/>
  <c r="L2019" i="10"/>
  <c r="K2013" i="10"/>
  <c r="K2072" i="10"/>
  <c r="L2155" i="10"/>
  <c r="K2128" i="10"/>
  <c r="L2134" i="10"/>
  <c r="L2190" i="10"/>
  <c r="L2224" i="10"/>
  <c r="K2186" i="10"/>
  <c r="K67" i="9"/>
  <c r="K69" i="9"/>
  <c r="K82" i="9"/>
  <c r="L86" i="9"/>
  <c r="K91" i="9"/>
  <c r="K93" i="9"/>
  <c r="K95" i="9"/>
  <c r="L112" i="9"/>
  <c r="K119" i="9"/>
  <c r="K135" i="9"/>
  <c r="K147" i="9"/>
  <c r="L152" i="9"/>
  <c r="L168" i="9"/>
  <c r="K171" i="9"/>
  <c r="K173" i="9"/>
  <c r="L184" i="9"/>
  <c r="K187" i="9"/>
  <c r="L190" i="9"/>
  <c r="L218" i="9"/>
  <c r="L222" i="9"/>
  <c r="L239" i="9"/>
  <c r="K311" i="9"/>
  <c r="K327" i="9"/>
  <c r="K338" i="9"/>
  <c r="L342" i="9"/>
  <c r="K347" i="9"/>
  <c r="K349" i="9"/>
  <c r="K351" i="9"/>
  <c r="L360" i="9"/>
  <c r="K363" i="9"/>
  <c r="K365" i="9"/>
  <c r="L370" i="9"/>
  <c r="L395" i="9"/>
  <c r="L398" i="9"/>
  <c r="L410" i="9"/>
  <c r="L442" i="9"/>
  <c r="L474" i="9"/>
  <c r="L506" i="9"/>
  <c r="L538" i="9"/>
  <c r="L570" i="9"/>
  <c r="K611" i="9"/>
  <c r="K613" i="9"/>
  <c r="L616" i="9"/>
  <c r="K627" i="9"/>
  <c r="K629" i="9"/>
  <c r="L632" i="9"/>
  <c r="K643" i="9"/>
  <c r="K645" i="9"/>
  <c r="L648" i="9"/>
  <c r="K659" i="9"/>
  <c r="K661" i="9"/>
  <c r="L664" i="9"/>
  <c r="K675" i="9"/>
  <c r="K677" i="9"/>
  <c r="L680" i="9"/>
  <c r="K691" i="9"/>
  <c r="K693" i="9"/>
  <c r="L696" i="9"/>
  <c r="K707" i="9"/>
  <c r="K709" i="9"/>
  <c r="L712" i="9"/>
  <c r="K723" i="9"/>
  <c r="K725" i="9"/>
  <c r="L728" i="9"/>
  <c r="K739" i="9"/>
  <c r="K741" i="9"/>
  <c r="L744" i="9"/>
  <c r="K755" i="9"/>
  <c r="K757" i="9"/>
  <c r="L760" i="9"/>
  <c r="K766" i="9"/>
  <c r="K783" i="9"/>
  <c r="K785" i="9"/>
  <c r="K803" i="9"/>
  <c r="K805" i="9"/>
  <c r="K810" i="9"/>
  <c r="K835" i="9"/>
  <c r="K838" i="9"/>
  <c r="K846" i="9"/>
  <c r="K862" i="9"/>
  <c r="K875" i="9"/>
  <c r="K877" i="9"/>
  <c r="K882" i="9"/>
  <c r="L943" i="9"/>
  <c r="L959" i="9"/>
  <c r="L975" i="9"/>
  <c r="L991" i="9"/>
  <c r="L1003" i="9"/>
  <c r="K1003" i="9"/>
  <c r="K1009" i="9"/>
  <c r="K1011" i="9"/>
  <c r="L1014" i="9"/>
  <c r="L1019" i="9"/>
  <c r="K1019" i="9"/>
  <c r="K1025" i="9"/>
  <c r="K1027" i="9"/>
  <c r="L1030" i="9"/>
  <c r="L1035" i="9"/>
  <c r="K1035" i="9"/>
  <c r="K1041" i="9"/>
  <c r="K1043" i="9"/>
  <c r="L1046" i="9"/>
  <c r="L1051" i="9"/>
  <c r="K1051" i="9"/>
  <c r="K1057" i="9"/>
  <c r="K1059" i="9"/>
  <c r="L1062" i="9"/>
  <c r="L1067" i="9"/>
  <c r="K1067" i="9"/>
  <c r="K1073" i="9"/>
  <c r="K1075" i="9"/>
  <c r="L1078" i="9"/>
  <c r="L1083" i="9"/>
  <c r="K1083" i="9"/>
  <c r="K1089" i="9"/>
  <c r="K1091" i="9"/>
  <c r="L1094" i="9"/>
  <c r="L1099" i="9"/>
  <c r="K1099" i="9"/>
  <c r="K1105" i="9"/>
  <c r="K1107" i="9"/>
  <c r="L1110" i="9"/>
  <c r="L1115" i="9"/>
  <c r="K1115" i="9"/>
  <c r="K1121" i="9"/>
  <c r="K1123" i="9"/>
  <c r="L1126" i="9"/>
  <c r="L1131" i="9"/>
  <c r="K1131" i="9"/>
  <c r="K1137" i="9"/>
  <c r="K1139" i="9"/>
  <c r="L1142" i="9"/>
  <c r="L1147" i="9"/>
  <c r="K1147" i="9"/>
  <c r="K1153" i="9"/>
  <c r="K1155" i="9"/>
  <c r="L1158" i="9"/>
  <c r="L1163" i="9"/>
  <c r="K1163" i="9"/>
  <c r="K1169" i="9"/>
  <c r="K1171" i="9"/>
  <c r="L1174" i="9"/>
  <c r="L1179" i="9"/>
  <c r="K1179" i="9"/>
  <c r="K1185" i="9"/>
  <c r="K1187" i="9"/>
  <c r="L1190" i="9"/>
  <c r="L1195" i="9"/>
  <c r="K1195" i="9"/>
  <c r="K1201" i="9"/>
  <c r="K1203" i="9"/>
  <c r="L1206" i="9"/>
  <c r="L1211" i="9"/>
  <c r="K1211" i="9"/>
  <c r="K1217" i="9"/>
  <c r="K1219" i="9"/>
  <c r="L1222" i="9"/>
  <c r="L1227" i="9"/>
  <c r="K1227" i="9"/>
  <c r="K1233" i="9"/>
  <c r="K1235" i="9"/>
  <c r="L1238" i="9"/>
  <c r="L1243" i="9"/>
  <c r="K1243" i="9"/>
  <c r="K1249" i="9"/>
  <c r="K1251" i="9"/>
  <c r="L1254" i="9"/>
  <c r="L1259" i="9"/>
  <c r="K1259" i="9"/>
  <c r="K1265" i="9"/>
  <c r="K1267" i="9"/>
  <c r="L1270" i="9"/>
  <c r="L1275" i="9"/>
  <c r="K1275" i="9"/>
  <c r="K1281" i="9"/>
  <c r="K1283" i="9"/>
  <c r="L1286" i="9"/>
  <c r="L1291" i="9"/>
  <c r="K1291" i="9"/>
  <c r="K1297" i="9"/>
  <c r="K1299" i="9"/>
  <c r="L1302" i="9"/>
  <c r="L1307" i="9"/>
  <c r="K1307" i="9"/>
  <c r="K1313" i="9"/>
  <c r="K1315" i="9"/>
  <c r="L1318" i="9"/>
  <c r="L1323" i="9"/>
  <c r="K1323" i="9"/>
  <c r="K1329" i="9"/>
  <c r="K1331" i="9"/>
  <c r="L1334" i="9"/>
  <c r="L1339" i="9"/>
  <c r="K1339" i="9"/>
  <c r="K1345" i="9"/>
  <c r="K1347" i="9"/>
  <c r="L1350" i="9"/>
  <c r="L1355" i="9"/>
  <c r="K1355" i="9"/>
  <c r="L1371" i="9"/>
  <c r="K1371" i="9"/>
  <c r="L1401" i="9"/>
  <c r="K1401" i="9"/>
  <c r="K1440" i="9"/>
  <c r="L1440" i="9"/>
  <c r="K1472" i="9"/>
  <c r="L1472" i="9"/>
  <c r="K1504" i="9"/>
  <c r="L1504" i="9"/>
  <c r="L1385" i="9"/>
  <c r="K1385" i="9"/>
  <c r="K1392" i="9"/>
  <c r="K1406" i="9"/>
  <c r="L1406" i="9"/>
  <c r="L1419" i="9"/>
  <c r="K1419" i="9"/>
  <c r="L24" i="9"/>
  <c r="L40" i="9"/>
  <c r="K45" i="9"/>
  <c r="L56" i="9"/>
  <c r="K59" i="9"/>
  <c r="L62" i="9"/>
  <c r="L90" i="9"/>
  <c r="L94" i="9"/>
  <c r="L111" i="9"/>
  <c r="K197" i="9"/>
  <c r="L214" i="9"/>
  <c r="K221" i="9"/>
  <c r="L240" i="9"/>
  <c r="L280" i="9"/>
  <c r="L296" i="9"/>
  <c r="K301" i="9"/>
  <c r="L306" i="9"/>
  <c r="L331" i="9"/>
  <c r="L334" i="9"/>
  <c r="L346" i="9"/>
  <c r="L350" i="9"/>
  <c r="L355" i="9"/>
  <c r="K413" i="9"/>
  <c r="K421" i="9"/>
  <c r="K445" i="9"/>
  <c r="K453" i="9"/>
  <c r="K477" i="9"/>
  <c r="K485" i="9"/>
  <c r="K509" i="9"/>
  <c r="K517" i="9"/>
  <c r="K541" i="9"/>
  <c r="K549" i="9"/>
  <c r="K573" i="9"/>
  <c r="K581" i="9"/>
  <c r="K605" i="9"/>
  <c r="L608" i="9"/>
  <c r="K621" i="9"/>
  <c r="L624" i="9"/>
  <c r="K637" i="9"/>
  <c r="L640" i="9"/>
  <c r="K653" i="9"/>
  <c r="L656" i="9"/>
  <c r="K669" i="9"/>
  <c r="L672" i="9"/>
  <c r="K685" i="9"/>
  <c r="L688" i="9"/>
  <c r="K701" i="9"/>
  <c r="L704" i="9"/>
  <c r="K717" i="9"/>
  <c r="L720" i="9"/>
  <c r="K733" i="9"/>
  <c r="L736" i="9"/>
  <c r="K749" i="9"/>
  <c r="L752" i="9"/>
  <c r="K765" i="9"/>
  <c r="K769" i="9"/>
  <c r="K791" i="9"/>
  <c r="K813" i="9"/>
  <c r="K829" i="9"/>
  <c r="K855" i="9"/>
  <c r="K861" i="9"/>
  <c r="K874" i="9"/>
  <c r="K881" i="9"/>
  <c r="L951" i="9"/>
  <c r="L967" i="9"/>
  <c r="L983" i="9"/>
  <c r="L999" i="9"/>
  <c r="K1008" i="9"/>
  <c r="L1017" i="9"/>
  <c r="K1024" i="9"/>
  <c r="L1033" i="9"/>
  <c r="K1040" i="9"/>
  <c r="L1049" i="9"/>
  <c r="K1056" i="9"/>
  <c r="L1065" i="9"/>
  <c r="K1072" i="9"/>
  <c r="L1081" i="9"/>
  <c r="K1088" i="9"/>
  <c r="L1097" i="9"/>
  <c r="K1104" i="9"/>
  <c r="L1113" i="9"/>
  <c r="K1120" i="9"/>
  <c r="L1129" i="9"/>
  <c r="K1136" i="9"/>
  <c r="L1145" i="9"/>
  <c r="K1152" i="9"/>
  <c r="L1161" i="9"/>
  <c r="K1168" i="9"/>
  <c r="K1390" i="9"/>
  <c r="L1390" i="9"/>
  <c r="L1403" i="9"/>
  <c r="K1403" i="9"/>
  <c r="K1424" i="9"/>
  <c r="L1424" i="9"/>
  <c r="K1456" i="9"/>
  <c r="L1456" i="9"/>
  <c r="K1488" i="9"/>
  <c r="L1488" i="9"/>
  <c r="K1006" i="9"/>
  <c r="L1006" i="9"/>
  <c r="K1022" i="9"/>
  <c r="L1022" i="9"/>
  <c r="K1038" i="9"/>
  <c r="L1038" i="9"/>
  <c r="K1054" i="9"/>
  <c r="L1054" i="9"/>
  <c r="K1070" i="9"/>
  <c r="L1070" i="9"/>
  <c r="K1086" i="9"/>
  <c r="L1086" i="9"/>
  <c r="K1102" i="9"/>
  <c r="L1102" i="9"/>
  <c r="K1118" i="9"/>
  <c r="L1118" i="9"/>
  <c r="K1134" i="9"/>
  <c r="L1134" i="9"/>
  <c r="K1150" i="9"/>
  <c r="L1150" i="9"/>
  <c r="K1166" i="9"/>
  <c r="L1166" i="9"/>
  <c r="K1182" i="9"/>
  <c r="L1182" i="9"/>
  <c r="K1198" i="9"/>
  <c r="L1198" i="9"/>
  <c r="K1214" i="9"/>
  <c r="L1214" i="9"/>
  <c r="K1230" i="9"/>
  <c r="L1230" i="9"/>
  <c r="K1246" i="9"/>
  <c r="L1246" i="9"/>
  <c r="K1262" i="9"/>
  <c r="L1262" i="9"/>
  <c r="K1278" i="9"/>
  <c r="L1278" i="9"/>
  <c r="K1294" i="9"/>
  <c r="L1294" i="9"/>
  <c r="K1310" i="9"/>
  <c r="L1310" i="9"/>
  <c r="K1326" i="9"/>
  <c r="L1326" i="9"/>
  <c r="K1342" i="9"/>
  <c r="L1342" i="9"/>
  <c r="K1358" i="9"/>
  <c r="L1358" i="9"/>
  <c r="K1374" i="9"/>
  <c r="L1374" i="9"/>
  <c r="L1387" i="9"/>
  <c r="K1387" i="9"/>
  <c r="L1417" i="9"/>
  <c r="K1417" i="9"/>
  <c r="L1422" i="9"/>
  <c r="K1433" i="9"/>
  <c r="K1435" i="9"/>
  <c r="L1438" i="9"/>
  <c r="K1449" i="9"/>
  <c r="K1451" i="9"/>
  <c r="L1454" i="9"/>
  <c r="K1465" i="9"/>
  <c r="K1467" i="9"/>
  <c r="L1470" i="9"/>
  <c r="K1481" i="9"/>
  <c r="K1483" i="9"/>
  <c r="L1486" i="9"/>
  <c r="K1497" i="9"/>
  <c r="K1499" i="9"/>
  <c r="L1502" i="9"/>
  <c r="K1513" i="9"/>
  <c r="K1515" i="9"/>
  <c r="L1518" i="9"/>
  <c r="L1520" i="9"/>
  <c r="K1529" i="9"/>
  <c r="K1531" i="9"/>
  <c r="L1534" i="9"/>
  <c r="L1536" i="9"/>
  <c r="K1545" i="9"/>
  <c r="L1553" i="9"/>
  <c r="L1569" i="9"/>
  <c r="L1585" i="9"/>
  <c r="L1601" i="9"/>
  <c r="L1617" i="9"/>
  <c r="L1633" i="9"/>
  <c r="L1649" i="9"/>
  <c r="L1665" i="9"/>
  <c r="L1681" i="9"/>
  <c r="L1697" i="9"/>
  <c r="L1705" i="9"/>
  <c r="K1705" i="9"/>
  <c r="L1736" i="9"/>
  <c r="K1739" i="9"/>
  <c r="L1742" i="9"/>
  <c r="L1744" i="9"/>
  <c r="K1752" i="9"/>
  <c r="L1752" i="9"/>
  <c r="L1760" i="9"/>
  <c r="K1776" i="9"/>
  <c r="K1817" i="9"/>
  <c r="L1833" i="9"/>
  <c r="K1833" i="9"/>
  <c r="K1552" i="9"/>
  <c r="L1561" i="9"/>
  <c r="K1568" i="9"/>
  <c r="L1737" i="9"/>
  <c r="K1737" i="9"/>
  <c r="L1768" i="9"/>
  <c r="K1771" i="9"/>
  <c r="K1784" i="9"/>
  <c r="L1784" i="9"/>
  <c r="K1849" i="9"/>
  <c r="K1550" i="9"/>
  <c r="L1550" i="9"/>
  <c r="K1566" i="9"/>
  <c r="L1566" i="9"/>
  <c r="K1582" i="9"/>
  <c r="L1582" i="9"/>
  <c r="K1598" i="9"/>
  <c r="L1598" i="9"/>
  <c r="K1614" i="9"/>
  <c r="L1614" i="9"/>
  <c r="K1630" i="9"/>
  <c r="L1630" i="9"/>
  <c r="K1646" i="9"/>
  <c r="L1646" i="9"/>
  <c r="K1662" i="9"/>
  <c r="L1662" i="9"/>
  <c r="K1678" i="9"/>
  <c r="L1678" i="9"/>
  <c r="K1694" i="9"/>
  <c r="L1694" i="9"/>
  <c r="L1769" i="9"/>
  <c r="K1769" i="9"/>
  <c r="K1816" i="9"/>
  <c r="L1816" i="9"/>
  <c r="L1856" i="9"/>
  <c r="K1856" i="9"/>
  <c r="L1867" i="9"/>
  <c r="K1867" i="9"/>
  <c r="L1547" i="9"/>
  <c r="K1547" i="9"/>
  <c r="K1555" i="9"/>
  <c r="L1558" i="9"/>
  <c r="L1563" i="9"/>
  <c r="K1563" i="9"/>
  <c r="K1571" i="9"/>
  <c r="L1574" i="9"/>
  <c r="L1579" i="9"/>
  <c r="K1579" i="9"/>
  <c r="K1587" i="9"/>
  <c r="L1590" i="9"/>
  <c r="L1595" i="9"/>
  <c r="K1595" i="9"/>
  <c r="K1603" i="9"/>
  <c r="L1606" i="9"/>
  <c r="L1611" i="9"/>
  <c r="K1611" i="9"/>
  <c r="K1619" i="9"/>
  <c r="L1622" i="9"/>
  <c r="L1627" i="9"/>
  <c r="K1627" i="9"/>
  <c r="K1635" i="9"/>
  <c r="L1638" i="9"/>
  <c r="L1643" i="9"/>
  <c r="K1643" i="9"/>
  <c r="K1651" i="9"/>
  <c r="L1654" i="9"/>
  <c r="L1659" i="9"/>
  <c r="K1659" i="9"/>
  <c r="K1667" i="9"/>
  <c r="L1670" i="9"/>
  <c r="L1675" i="9"/>
  <c r="K1675" i="9"/>
  <c r="K1683" i="9"/>
  <c r="L1686" i="9"/>
  <c r="L1691" i="9"/>
  <c r="K1691" i="9"/>
  <c r="K1699" i="9"/>
  <c r="L1702" i="9"/>
  <c r="K1707" i="9"/>
  <c r="L1710" i="9"/>
  <c r="K1720" i="9"/>
  <c r="L1720" i="9"/>
  <c r="K1785" i="9"/>
  <c r="L1801" i="9"/>
  <c r="K1801" i="9"/>
  <c r="K1848" i="9"/>
  <c r="L1848" i="9"/>
  <c r="K1865" i="9"/>
  <c r="L1880" i="9"/>
  <c r="K1888" i="9"/>
  <c r="L1897" i="9"/>
  <c r="L1925" i="9"/>
  <c r="K1945" i="9"/>
  <c r="K1947" i="9"/>
  <c r="K1952" i="9"/>
  <c r="L1961" i="9"/>
  <c r="L1989" i="9"/>
  <c r="K2009" i="9"/>
  <c r="K2011" i="9"/>
  <c r="K2016" i="9"/>
  <c r="L2025" i="9"/>
  <c r="K2049" i="9"/>
  <c r="L2057" i="9"/>
  <c r="L2064" i="9"/>
  <c r="K2064" i="9"/>
  <c r="L2085" i="9"/>
  <c r="K2088" i="9"/>
  <c r="L2091" i="9"/>
  <c r="K2091" i="9"/>
  <c r="K2105" i="9"/>
  <c r="K2107" i="9"/>
  <c r="K2113" i="9"/>
  <c r="K2115" i="9"/>
  <c r="K2123" i="9"/>
  <c r="L2152" i="9"/>
  <c r="K2152" i="9"/>
  <c r="L2173" i="9"/>
  <c r="L2177" i="9"/>
  <c r="K2177" i="9"/>
  <c r="L2192" i="9"/>
  <c r="K2192" i="9"/>
  <c r="K2249" i="9"/>
  <c r="L2261" i="9"/>
  <c r="K2264" i="9"/>
  <c r="K2269" i="9"/>
  <c r="L2269" i="9"/>
  <c r="L2285" i="9"/>
  <c r="K2285" i="9"/>
  <c r="K2317" i="9"/>
  <c r="L2317" i="9"/>
  <c r="K2350" i="9"/>
  <c r="L2350" i="9"/>
  <c r="L2366" i="9"/>
  <c r="K2366" i="9"/>
  <c r="L2398" i="9"/>
  <c r="K2398" i="9"/>
  <c r="L2413" i="9"/>
  <c r="K2413" i="9"/>
  <c r="L2526" i="9"/>
  <c r="K2526" i="9"/>
  <c r="K2149" i="9"/>
  <c r="L2149" i="9"/>
  <c r="L2165" i="9"/>
  <c r="K2168" i="9"/>
  <c r="L2171" i="9"/>
  <c r="K2171" i="9"/>
  <c r="K2189" i="9"/>
  <c r="L2189" i="9"/>
  <c r="K2211" i="9"/>
  <c r="L2217" i="9"/>
  <c r="K2217" i="9"/>
  <c r="L2232" i="9"/>
  <c r="K2232" i="9"/>
  <c r="L2259" i="9"/>
  <c r="K2259" i="9"/>
  <c r="K2282" i="9"/>
  <c r="L2282" i="9"/>
  <c r="K2385" i="9"/>
  <c r="L2385" i="9"/>
  <c r="L2421" i="9"/>
  <c r="K2421" i="9"/>
  <c r="L2432" i="9"/>
  <c r="K2432" i="9"/>
  <c r="K2517" i="9"/>
  <c r="L2517" i="9"/>
  <c r="L2538" i="9"/>
  <c r="K2538" i="9"/>
  <c r="K2562" i="9"/>
  <c r="L2562" i="9"/>
  <c r="L2586" i="9"/>
  <c r="K2586" i="9"/>
  <c r="L2606" i="9"/>
  <c r="K2606" i="9"/>
  <c r="L2059" i="9"/>
  <c r="K2059" i="9"/>
  <c r="L2104" i="9"/>
  <c r="K2104" i="9"/>
  <c r="K2141" i="9"/>
  <c r="L2141" i="9"/>
  <c r="L2179" i="9"/>
  <c r="K2179" i="9"/>
  <c r="K2229" i="9"/>
  <c r="L2229" i="9"/>
  <c r="K2293" i="9"/>
  <c r="L2293" i="9"/>
  <c r="K2329" i="9"/>
  <c r="L2329" i="9"/>
  <c r="K2377" i="9"/>
  <c r="L2377" i="9"/>
  <c r="L2400" i="9"/>
  <c r="K2400" i="9"/>
  <c r="L2454" i="9"/>
  <c r="K2454" i="9"/>
  <c r="K2583" i="9"/>
  <c r="L2583" i="9"/>
  <c r="L1870" i="9"/>
  <c r="K1899" i="9"/>
  <c r="K1904" i="9"/>
  <c r="L1941" i="9"/>
  <c r="K1963" i="9"/>
  <c r="K1968" i="9"/>
  <c r="L2035" i="9"/>
  <c r="K2035" i="9"/>
  <c r="K2101" i="9"/>
  <c r="L2101" i="9"/>
  <c r="L2131" i="9"/>
  <c r="K2131" i="9"/>
  <c r="L2219" i="9"/>
  <c r="K2219" i="9"/>
  <c r="L2257" i="9"/>
  <c r="K2257" i="9"/>
  <c r="L2272" i="9"/>
  <c r="K2272" i="9"/>
  <c r="K2323" i="9"/>
  <c r="L2323" i="9"/>
  <c r="K2353" i="9"/>
  <c r="L2353" i="9"/>
  <c r="K2374" i="9"/>
  <c r="L2374" i="9"/>
  <c r="L2430" i="9"/>
  <c r="K2430" i="9"/>
  <c r="L2490" i="9"/>
  <c r="K2490" i="9"/>
  <c r="L2588" i="9"/>
  <c r="K2588" i="9"/>
  <c r="K2929" i="9"/>
  <c r="L2929" i="9"/>
  <c r="K2951" i="9"/>
  <c r="L2951" i="9"/>
  <c r="K2967" i="9"/>
  <c r="L2967" i="9"/>
  <c r="K2993" i="9"/>
  <c r="L2993" i="9"/>
  <c r="L2996" i="9"/>
  <c r="K2996" i="9"/>
  <c r="K3015" i="9"/>
  <c r="L3015" i="9"/>
  <c r="K3041" i="9"/>
  <c r="L3041" i="9"/>
  <c r="L3044" i="9"/>
  <c r="K3044" i="9"/>
  <c r="K3069" i="9"/>
  <c r="L3069" i="9"/>
  <c r="K3091" i="9"/>
  <c r="L3091" i="9"/>
  <c r="K3172" i="9"/>
  <c r="L3172" i="9"/>
  <c r="K3179" i="9"/>
  <c r="L3179" i="9"/>
  <c r="K3219" i="9"/>
  <c r="L3219" i="9"/>
  <c r="K3227" i="9"/>
  <c r="L3227" i="9"/>
  <c r="K3247" i="9"/>
  <c r="L3247" i="9"/>
  <c r="K3355" i="9"/>
  <c r="L3355" i="9"/>
  <c r="K3481" i="9"/>
  <c r="L3481" i="9"/>
  <c r="K3564" i="9"/>
  <c r="L3564" i="9"/>
  <c r="K3586" i="9"/>
  <c r="L3586" i="9"/>
  <c r="L2615" i="9"/>
  <c r="L2618" i="9"/>
  <c r="L2621" i="9"/>
  <c r="K2630" i="9"/>
  <c r="K2650" i="9"/>
  <c r="K2652" i="9"/>
  <c r="L2655" i="9"/>
  <c r="K2682" i="9"/>
  <c r="K2684" i="9"/>
  <c r="L2687" i="9"/>
  <c r="L2734" i="9"/>
  <c r="L2742" i="9"/>
  <c r="K2745" i="9"/>
  <c r="K2754" i="9"/>
  <c r="K2756" i="9"/>
  <c r="L2759" i="9"/>
  <c r="K2762" i="9"/>
  <c r="K2764" i="9"/>
  <c r="L2777" i="9"/>
  <c r="K2794" i="9"/>
  <c r="K2796" i="9"/>
  <c r="L2799" i="9"/>
  <c r="L2809" i="9"/>
  <c r="K2826" i="9"/>
  <c r="K2828" i="9"/>
  <c r="L2831" i="9"/>
  <c r="L2841" i="9"/>
  <c r="K2874" i="9"/>
  <c r="L2882" i="9"/>
  <c r="L2889" i="9"/>
  <c r="K2897" i="9"/>
  <c r="L2897" i="9"/>
  <c r="K2919" i="9"/>
  <c r="L2919" i="9"/>
  <c r="L2945" i="9"/>
  <c r="L2948" i="9"/>
  <c r="K2948" i="9"/>
  <c r="K2962" i="9"/>
  <c r="K2964" i="9"/>
  <c r="K2983" i="9"/>
  <c r="L2983" i="9"/>
  <c r="K3009" i="9"/>
  <c r="L3009" i="9"/>
  <c r="L3012" i="9"/>
  <c r="K3012" i="9"/>
  <c r="L3026" i="9"/>
  <c r="K3099" i="9"/>
  <c r="L3099" i="9"/>
  <c r="L3130" i="9"/>
  <c r="K3130" i="9"/>
  <c r="K3187" i="9"/>
  <c r="L3187" i="9"/>
  <c r="L3212" i="9"/>
  <c r="K3212" i="9"/>
  <c r="L3235" i="9"/>
  <c r="K3235" i="9"/>
  <c r="K3318" i="9"/>
  <c r="L3318" i="9"/>
  <c r="K3363" i="9"/>
  <c r="L3363" i="9"/>
  <c r="K3371" i="9"/>
  <c r="L3371" i="9"/>
  <c r="K3379" i="9"/>
  <c r="L3379" i="9"/>
  <c r="K3387" i="9"/>
  <c r="L3387" i="9"/>
  <c r="K3395" i="9"/>
  <c r="L3395" i="9"/>
  <c r="K3403" i="9"/>
  <c r="L3403" i="9"/>
  <c r="K3411" i="9"/>
  <c r="L3411" i="9"/>
  <c r="K3419" i="9"/>
  <c r="L3419" i="9"/>
  <c r="L3427" i="9"/>
  <c r="K3427" i="9"/>
  <c r="L2358" i="9"/>
  <c r="L2361" i="9"/>
  <c r="L2411" i="9"/>
  <c r="L2419" i="9"/>
  <c r="L2461" i="9"/>
  <c r="L2497" i="9"/>
  <c r="L2529" i="9"/>
  <c r="K2566" i="9"/>
  <c r="L2578" i="9"/>
  <c r="K2625" i="9"/>
  <c r="L2665" i="9"/>
  <c r="L2702" i="9"/>
  <c r="L2710" i="9"/>
  <c r="K2713" i="9"/>
  <c r="K2724" i="9"/>
  <c r="L2727" i="9"/>
  <c r="K2732" i="9"/>
  <c r="K2740" i="9"/>
  <c r="L2767" i="9"/>
  <c r="K2772" i="9"/>
  <c r="L2775" i="9"/>
  <c r="L2782" i="9"/>
  <c r="K2804" i="9"/>
  <c r="L2807" i="9"/>
  <c r="L2817" i="9"/>
  <c r="K2836" i="9"/>
  <c r="L2839" i="9"/>
  <c r="L2849" i="9"/>
  <c r="L2857" i="9"/>
  <c r="K2865" i="9"/>
  <c r="L2865" i="9"/>
  <c r="K2887" i="9"/>
  <c r="L2887" i="9"/>
  <c r="L2913" i="9"/>
  <c r="L2916" i="9"/>
  <c r="K2916" i="9"/>
  <c r="K2930" i="9"/>
  <c r="K2932" i="9"/>
  <c r="L2935" i="9"/>
  <c r="K2940" i="9"/>
  <c r="L2943" i="9"/>
  <c r="K2977" i="9"/>
  <c r="L2977" i="9"/>
  <c r="L2980" i="9"/>
  <c r="K2980" i="9"/>
  <c r="L2994" i="9"/>
  <c r="K3031" i="9"/>
  <c r="L3031" i="9"/>
  <c r="L3042" i="9"/>
  <c r="L3052" i="9"/>
  <c r="L3056" i="9"/>
  <c r="K3056" i="9"/>
  <c r="L3092" i="9"/>
  <c r="K3096" i="9"/>
  <c r="L3096" i="9"/>
  <c r="K3100" i="9"/>
  <c r="L3100" i="9"/>
  <c r="L3104" i="9"/>
  <c r="K3104" i="9"/>
  <c r="K3184" i="9"/>
  <c r="L3184" i="9"/>
  <c r="K3255" i="9"/>
  <c r="L3255" i="9"/>
  <c r="K3266" i="9"/>
  <c r="L3266" i="9"/>
  <c r="K3284" i="9"/>
  <c r="L3284" i="9"/>
  <c r="L3315" i="9"/>
  <c r="K3315" i="9"/>
  <c r="K3368" i="9"/>
  <c r="L3368" i="9"/>
  <c r="K3376" i="9"/>
  <c r="L3376" i="9"/>
  <c r="K3384" i="9"/>
  <c r="L3384" i="9"/>
  <c r="K3392" i="9"/>
  <c r="L3392" i="9"/>
  <c r="K3400" i="9"/>
  <c r="L3400" i="9"/>
  <c r="K3408" i="9"/>
  <c r="L3408" i="9"/>
  <c r="K3416" i="9"/>
  <c r="L3416" i="9"/>
  <c r="K3424" i="9"/>
  <c r="L3424" i="9"/>
  <c r="L3556" i="9"/>
  <c r="K3556" i="9"/>
  <c r="K3570" i="9"/>
  <c r="L3570" i="9"/>
  <c r="K3593" i="9"/>
  <c r="L3593" i="9"/>
  <c r="K2855" i="9"/>
  <c r="L2855" i="9"/>
  <c r="L2884" i="9"/>
  <c r="K2884" i="9"/>
  <c r="K2961" i="9"/>
  <c r="L2961" i="9"/>
  <c r="K2999" i="9"/>
  <c r="L2999" i="9"/>
  <c r="K3025" i="9"/>
  <c r="L3025" i="9"/>
  <c r="L3028" i="9"/>
  <c r="K3028" i="9"/>
  <c r="L3068" i="9"/>
  <c r="K3068" i="9"/>
  <c r="K3101" i="9"/>
  <c r="L3101" i="9"/>
  <c r="L3210" i="9"/>
  <c r="K3210" i="9"/>
  <c r="L3305" i="9"/>
  <c r="K3305" i="9"/>
  <c r="K3453" i="9"/>
  <c r="L3453" i="9"/>
  <c r="K3484" i="9"/>
  <c r="L3484" i="9"/>
  <c r="K3550" i="9"/>
  <c r="L3550" i="9"/>
  <c r="K3599" i="9"/>
  <c r="L3173" i="9"/>
  <c r="K3178" i="9"/>
  <c r="K3188" i="9"/>
  <c r="L3211" i="9"/>
  <c r="L3220" i="9"/>
  <c r="L3223" i="9"/>
  <c r="L3226" i="9"/>
  <c r="L3254" i="9"/>
  <c r="L3259" i="9"/>
  <c r="K3267" i="9"/>
  <c r="L3279" i="9"/>
  <c r="K3295" i="9"/>
  <c r="K3319" i="9"/>
  <c r="K3326" i="9"/>
  <c r="K3337" i="9"/>
  <c r="L3354" i="9"/>
  <c r="L3364" i="9"/>
  <c r="L3367" i="9"/>
  <c r="L3372" i="9"/>
  <c r="L3375" i="9"/>
  <c r="L3380" i="9"/>
  <c r="L3383" i="9"/>
  <c r="L3388" i="9"/>
  <c r="L3391" i="9"/>
  <c r="L3396" i="9"/>
  <c r="L3399" i="9"/>
  <c r="L3404" i="9"/>
  <c r="L3407" i="9"/>
  <c r="L3412" i="9"/>
  <c r="L3415" i="9"/>
  <c r="L3420" i="9"/>
  <c r="L3423" i="9"/>
  <c r="L3428" i="9"/>
  <c r="K3488" i="9"/>
  <c r="L3526" i="9"/>
  <c r="K3569" i="9"/>
  <c r="L3578" i="9"/>
  <c r="L3589" i="9"/>
  <c r="K3597" i="9"/>
  <c r="K3605" i="9"/>
  <c r="L3612" i="9"/>
  <c r="L3617" i="9"/>
  <c r="L3622" i="9"/>
  <c r="L3629" i="9"/>
  <c r="L3637" i="9"/>
  <c r="K3644" i="9"/>
  <c r="K3672" i="9"/>
  <c r="K3678" i="9"/>
  <c r="L3687" i="9"/>
  <c r="K3696" i="9"/>
  <c r="K3704" i="9"/>
  <c r="K3736" i="9"/>
  <c r="K3756" i="9"/>
  <c r="K3758" i="9"/>
  <c r="K3763" i="9"/>
  <c r="K3792" i="9"/>
  <c r="L3652" i="9"/>
  <c r="K3664" i="9"/>
  <c r="K3676" i="9"/>
  <c r="K3694" i="9"/>
  <c r="K3702" i="9"/>
  <c r="L3711" i="9"/>
  <c r="K3734" i="9"/>
  <c r="L3743" i="9"/>
  <c r="L3767" i="9"/>
  <c r="O2209" i="10"/>
  <c r="O2222" i="10"/>
  <c r="O2208" i="10"/>
  <c r="O2232" i="10"/>
  <c r="O2193" i="10"/>
  <c r="O2230" i="10"/>
  <c r="O2224" i="10"/>
  <c r="O2211" i="10"/>
  <c r="O2219" i="10"/>
  <c r="O2185" i="10"/>
  <c r="O2204" i="10"/>
  <c r="O2184" i="10"/>
  <c r="O2173" i="10"/>
  <c r="O2166" i="10"/>
  <c r="O2215" i="10"/>
  <c r="O2192" i="10"/>
  <c r="O2205" i="10"/>
  <c r="O2228" i="10"/>
  <c r="O2218" i="10"/>
  <c r="O2189" i="10"/>
  <c r="O2169" i="10"/>
  <c r="O2174" i="10"/>
  <c r="O2200" i="10"/>
  <c r="O2186" i="10"/>
  <c r="O2190" i="10"/>
  <c r="O2196" i="10"/>
  <c r="O2178" i="10"/>
  <c r="O2160" i="10"/>
  <c r="O2140" i="10"/>
  <c r="O2162" i="10"/>
  <c r="O2120" i="10"/>
  <c r="O2149" i="10"/>
  <c r="O2158" i="10"/>
  <c r="O2114" i="10"/>
  <c r="O2128" i="10"/>
  <c r="O2093" i="10"/>
  <c r="O2100" i="10"/>
  <c r="O2087" i="10"/>
  <c r="O2084" i="10"/>
  <c r="O2074" i="10"/>
  <c r="O2062" i="10"/>
  <c r="O2083" i="10"/>
  <c r="O1971" i="10"/>
  <c r="O1966" i="10"/>
  <c r="O2151" i="10"/>
  <c r="O2133" i="10"/>
  <c r="O2125" i="10"/>
  <c r="O2094" i="10"/>
  <c r="O2090" i="10"/>
  <c r="O2068" i="10"/>
  <c r="O2213" i="10"/>
  <c r="O2181" i="10"/>
  <c r="O2142" i="10"/>
  <c r="O2130" i="10"/>
  <c r="O2086" i="10"/>
  <c r="O2063" i="10"/>
  <c r="O1972" i="10"/>
  <c r="O2056" i="10"/>
  <c r="O2023" i="10"/>
  <c r="O2026" i="10"/>
  <c r="O2052" i="10"/>
  <c r="O2041" i="10"/>
  <c r="O2013" i="10"/>
  <c r="O2024" i="10"/>
  <c r="O2037" i="10"/>
  <c r="O2012" i="10"/>
  <c r="O1984" i="10"/>
  <c r="O1982" i="10"/>
  <c r="O2003" i="10"/>
  <c r="O1998" i="10"/>
  <c r="O1993" i="10"/>
  <c r="O1980" i="10"/>
  <c r="O2028" i="10"/>
  <c r="O1931" i="10"/>
  <c r="O1897" i="10"/>
  <c r="O1851" i="10"/>
  <c r="O1922" i="10"/>
  <c r="O1954" i="10"/>
  <c r="O1929" i="10"/>
  <c r="O1894" i="10"/>
  <c r="O1882" i="10"/>
  <c r="O1874" i="10"/>
  <c r="O1948" i="10"/>
  <c r="O1919" i="10"/>
  <c r="O1848" i="10"/>
  <c r="O1918" i="10"/>
  <c r="O1846" i="10"/>
  <c r="O1959" i="10"/>
  <c r="O1942" i="10"/>
  <c r="O1889" i="10"/>
  <c r="O1856" i="10"/>
  <c r="O1844" i="10"/>
  <c r="O1744" i="10"/>
  <c r="O1815" i="10"/>
  <c r="O1784" i="10"/>
  <c r="O1834" i="10"/>
  <c r="O1814" i="10"/>
  <c r="O1810" i="10"/>
  <c r="O1782" i="10"/>
  <c r="O1749" i="10"/>
  <c r="O1806" i="10"/>
  <c r="O1781" i="10"/>
  <c r="O1776" i="10"/>
  <c r="O1772" i="10"/>
  <c r="O1769" i="10"/>
  <c r="O1743" i="10"/>
  <c r="O1820" i="10"/>
  <c r="O1797" i="10"/>
  <c r="O1770" i="10"/>
  <c r="O2080" i="10"/>
  <c r="O2031" i="10"/>
  <c r="O2005" i="10"/>
  <c r="O2048" i="10"/>
  <c r="O2035" i="10"/>
  <c r="O1891" i="10"/>
  <c r="O1873" i="10"/>
  <c r="O1871" i="10"/>
  <c r="O1870" i="10"/>
  <c r="O1909" i="10"/>
  <c r="O1742" i="10"/>
  <c r="O1827" i="10"/>
  <c r="O1759" i="10"/>
  <c r="O2159" i="10"/>
  <c r="O2105" i="10"/>
  <c r="O2040" i="10"/>
  <c r="O2047" i="10"/>
  <c r="O2058" i="10"/>
  <c r="O1949" i="10"/>
  <c r="O1945" i="10"/>
  <c r="O1864" i="10"/>
  <c r="O1914" i="10"/>
  <c r="O1879" i="10"/>
  <c r="O1778" i="10"/>
  <c r="O1748" i="10"/>
  <c r="O1734" i="10"/>
  <c r="O1698" i="10"/>
  <c r="O1657" i="10"/>
  <c r="O1594" i="10"/>
  <c r="O1727" i="10"/>
  <c r="O1688" i="10"/>
  <c r="O1725" i="10"/>
  <c r="O1626" i="10"/>
  <c r="O1583" i="10"/>
  <c r="O1732" i="10"/>
  <c r="O1696" i="10"/>
  <c r="O1655" i="10"/>
  <c r="O1640" i="10"/>
  <c r="O1739" i="10"/>
  <c r="O1730" i="10"/>
  <c r="O1689" i="10"/>
  <c r="O1686" i="10"/>
  <c r="O1683" i="10"/>
  <c r="O1737" i="10"/>
  <c r="O1718" i="10"/>
  <c r="O1649" i="10"/>
  <c r="O1710" i="10"/>
  <c r="O1713" i="10"/>
  <c r="O1646" i="10"/>
  <c r="O1674" i="10"/>
  <c r="O1670" i="10"/>
  <c r="O1443" i="10"/>
  <c r="O1492" i="10"/>
  <c r="O1358" i="10"/>
  <c r="O1578" i="10"/>
  <c r="O1423" i="10"/>
  <c r="O1411" i="10"/>
  <c r="O1376" i="10"/>
  <c r="O1576" i="10"/>
  <c r="O1549" i="10"/>
  <c r="O1546" i="10"/>
  <c r="O1390" i="10"/>
  <c r="O1373" i="10"/>
  <c r="O1372" i="10"/>
  <c r="O1355" i="10"/>
  <c r="O1418" i="10"/>
  <c r="O1370" i="10"/>
  <c r="O1354" i="10"/>
  <c r="O1540" i="10"/>
  <c r="O1479" i="10"/>
  <c r="O1382" i="10"/>
  <c r="O1368" i="10"/>
  <c r="O1349" i="10"/>
  <c r="O1470" i="10"/>
  <c r="O1529" i="10"/>
  <c r="O1569" i="10"/>
  <c r="O1461" i="10"/>
  <c r="O1519" i="10"/>
  <c r="O1334" i="10"/>
  <c r="O1139" i="10"/>
  <c r="O1256" i="10"/>
  <c r="O1178" i="10"/>
  <c r="O1328" i="10"/>
  <c r="O1254" i="10"/>
  <c r="O1209" i="10"/>
  <c r="O1177" i="10"/>
  <c r="O1331" i="10"/>
  <c r="O1261" i="10"/>
  <c r="O1180" i="10"/>
  <c r="O1330" i="10"/>
  <c r="O1103" i="10"/>
  <c r="O1304" i="10"/>
  <c r="O1174" i="10"/>
  <c r="O1172" i="10"/>
  <c r="O1159" i="10"/>
  <c r="O1135" i="10"/>
  <c r="O1098" i="10"/>
  <c r="O1073" i="10"/>
  <c r="O1242" i="10"/>
  <c r="O1133" i="10"/>
  <c r="O1241" i="10"/>
  <c r="O1095" i="10"/>
  <c r="O1070" i="10"/>
  <c r="O1296" i="10"/>
  <c r="O1239" i="10"/>
  <c r="O1199" i="10"/>
  <c r="O1156" i="10"/>
  <c r="O1130" i="10"/>
  <c r="O1092" i="10"/>
  <c r="O1191" i="10"/>
  <c r="O1235" i="10"/>
  <c r="O1194" i="10"/>
  <c r="O2148" i="10"/>
  <c r="O2111" i="10"/>
  <c r="O2077" i="10"/>
  <c r="O1995" i="10"/>
  <c r="O2011" i="10"/>
  <c r="O1969" i="10"/>
  <c r="O1925" i="10"/>
  <c r="O1944" i="10"/>
  <c r="O1783" i="10"/>
  <c r="O1786" i="10"/>
  <c r="O1762" i="10"/>
  <c r="O1824" i="10"/>
  <c r="O2118" i="10"/>
  <c r="O2021" i="10"/>
  <c r="O2020" i="10"/>
  <c r="O1962" i="10"/>
  <c r="O1921" i="10"/>
  <c r="O1858" i="10"/>
  <c r="O1847" i="10"/>
  <c r="O1863" i="10"/>
  <c r="O1811" i="10"/>
  <c r="O1831" i="10"/>
  <c r="O1741" i="10"/>
  <c r="O1582" i="10"/>
  <c r="O1580" i="10"/>
  <c r="O1652" i="10"/>
  <c r="O1740" i="10"/>
  <c r="O1723" i="10"/>
  <c r="O1638" i="10"/>
  <c r="O1623" i="10"/>
  <c r="O1608" i="10"/>
  <c r="O1592" i="10"/>
  <c r="O1719" i="10"/>
  <c r="O1636" i="10"/>
  <c r="O1605" i="10"/>
  <c r="O1590" i="10"/>
  <c r="O1680" i="10"/>
  <c r="O1634" i="10"/>
  <c r="O1620" i="10"/>
  <c r="O1603" i="10"/>
  <c r="O1598" i="10"/>
  <c r="O1589" i="10"/>
  <c r="O1660" i="10"/>
  <c r="O1505" i="10"/>
  <c r="O1336" i="10"/>
  <c r="O1500" i="10"/>
  <c r="O1552" i="10"/>
  <c r="O1439" i="10"/>
  <c r="O1421" i="10"/>
  <c r="O1507" i="10"/>
  <c r="O1339" i="10"/>
  <c r="O1562" i="10"/>
  <c r="O1499" i="10"/>
  <c r="O1441" i="10"/>
  <c r="O1558" i="10"/>
  <c r="O1495" i="10"/>
  <c r="O1489" i="10"/>
  <c r="O1409" i="10"/>
  <c r="O1485" i="10"/>
  <c r="O1436" i="10"/>
  <c r="O1356" i="10"/>
  <c r="O1544" i="10"/>
  <c r="O1388" i="10"/>
  <c r="O1543" i="10"/>
  <c r="O1482" i="10"/>
  <c r="O1435" i="10"/>
  <c r="O1408" i="10"/>
  <c r="O1385" i="10"/>
  <c r="O1573" i="10"/>
  <c r="O1434" i="10"/>
  <c r="O1417" i="10"/>
  <c r="O1406" i="10"/>
  <c r="O1510" i="10"/>
  <c r="O1448" i="10"/>
  <c r="O1425" i="10"/>
  <c r="O1413" i="10"/>
  <c r="O1502" i="10"/>
  <c r="O1456" i="10"/>
  <c r="O1400" i="10"/>
  <c r="O1516" i="10"/>
  <c r="O1267" i="10"/>
  <c r="O1108" i="10"/>
  <c r="O1049" i="10"/>
  <c r="O1315" i="10"/>
  <c r="O1262" i="10"/>
  <c r="O1210" i="10"/>
  <c r="O1080" i="10"/>
  <c r="O1306" i="10"/>
  <c r="O1160" i="10"/>
  <c r="O1056" i="10"/>
  <c r="O1163" i="10"/>
  <c r="O1314" i="10"/>
  <c r="O1136" i="10"/>
  <c r="O1310" i="10"/>
  <c r="O1249" i="10"/>
  <c r="O1206" i="10"/>
  <c r="O1075" i="10"/>
  <c r="O1300" i="10"/>
  <c r="O1244" i="10"/>
  <c r="O1203" i="10"/>
  <c r="O1066" i="10"/>
  <c r="O1152" i="10"/>
  <c r="O1270" i="10"/>
  <c r="O1218" i="10"/>
  <c r="O1086" i="10"/>
  <c r="O1317" i="10"/>
  <c r="O1211" i="10"/>
  <c r="O908" i="10"/>
  <c r="O772" i="10"/>
  <c r="O1016" i="10"/>
  <c r="O839" i="10"/>
  <c r="O1015" i="10"/>
  <c r="O837" i="10"/>
  <c r="O803" i="10"/>
  <c r="O1014" i="10"/>
  <c r="O899" i="10"/>
  <c r="O860" i="10"/>
  <c r="O836" i="10"/>
  <c r="O801" i="10"/>
  <c r="O1298" i="10"/>
  <c r="O1052" i="10"/>
  <c r="O1169" i="10"/>
  <c r="O1148" i="10"/>
  <c r="O1123" i="10"/>
  <c r="O1059" i="10"/>
  <c r="O1320" i="10"/>
  <c r="O1184" i="10"/>
  <c r="O1140" i="10"/>
  <c r="O1264" i="10"/>
  <c r="O1111" i="10"/>
  <c r="O868" i="10"/>
  <c r="O822" i="10"/>
  <c r="O960" i="10"/>
  <c r="O864" i="10"/>
  <c r="O861" i="10"/>
  <c r="O820" i="10"/>
  <c r="O1040" i="10"/>
  <c r="O958" i="10"/>
  <c r="O818" i="10"/>
  <c r="O971" i="10"/>
  <c r="O1044" i="10"/>
  <c r="O904" i="10"/>
  <c r="O840" i="10"/>
  <c r="O770" i="10"/>
  <c r="O1023" i="10"/>
  <c r="O964" i="10"/>
  <c r="O1019" i="10"/>
  <c r="O821" i="10"/>
  <c r="O955" i="10"/>
  <c r="O949" i="10"/>
  <c r="O895" i="10"/>
  <c r="O794" i="10"/>
  <c r="O765" i="10"/>
  <c r="O1005" i="10"/>
  <c r="O856" i="10"/>
  <c r="O763" i="10"/>
  <c r="O813" i="10"/>
  <c r="O942" i="10"/>
  <c r="O894" i="10"/>
  <c r="O830" i="10"/>
  <c r="O811" i="10"/>
  <c r="O760" i="10"/>
  <c r="O779" i="10"/>
  <c r="O874" i="10"/>
  <c r="O1045" i="10"/>
  <c r="O750" i="10"/>
  <c r="O1032" i="10"/>
  <c r="O983" i="10"/>
  <c r="O569" i="10"/>
  <c r="O497" i="10"/>
  <c r="O453" i="10"/>
  <c r="O379" i="10"/>
  <c r="O698" i="10"/>
  <c r="O518" i="10"/>
  <c r="O491" i="10"/>
  <c r="O727" i="10"/>
  <c r="O633" i="10"/>
  <c r="O517" i="10"/>
  <c r="O448" i="10"/>
  <c r="O402" i="10"/>
  <c r="O371" i="10"/>
  <c r="O731" i="10"/>
  <c r="O1326" i="10"/>
  <c r="O769" i="10"/>
  <c r="O774" i="10"/>
  <c r="O746" i="10"/>
  <c r="O1025" i="10"/>
  <c r="O969" i="10"/>
  <c r="O867" i="10"/>
  <c r="O966" i="10"/>
  <c r="O1043" i="10"/>
  <c r="O962" i="10"/>
  <c r="O901" i="10"/>
  <c r="O1011" i="10"/>
  <c r="O897" i="10"/>
  <c r="O1007" i="10"/>
  <c r="O858" i="10"/>
  <c r="O834" i="10"/>
  <c r="O815" i="10"/>
  <c r="O947" i="10"/>
  <c r="O945" i="10"/>
  <c r="O831" i="10"/>
  <c r="O789" i="10"/>
  <c r="O1038" i="10"/>
  <c r="O1002" i="10"/>
  <c r="O854" i="10"/>
  <c r="O785" i="10"/>
  <c r="O995" i="10"/>
  <c r="O929" i="10"/>
  <c r="O935" i="10"/>
  <c r="O888" i="10"/>
  <c r="O754" i="10"/>
  <c r="O976" i="10"/>
  <c r="O912" i="10"/>
  <c r="O844" i="10"/>
  <c r="O747" i="10"/>
  <c r="O905" i="10"/>
  <c r="O412" i="10"/>
  <c r="O737" i="10"/>
  <c r="O635" i="10"/>
  <c r="O560" i="10"/>
  <c r="O494" i="10"/>
  <c r="O403" i="10"/>
  <c r="O697" i="10"/>
  <c r="O490" i="10"/>
  <c r="O642" i="10"/>
  <c r="O376" i="10"/>
  <c r="O704" i="10"/>
  <c r="O519" i="10"/>
  <c r="O449" i="10"/>
  <c r="O374" i="10"/>
  <c r="O693" i="10"/>
  <c r="O629" i="10"/>
  <c r="O689" i="10"/>
  <c r="O624" i="10"/>
  <c r="O554" i="10"/>
  <c r="O488" i="10"/>
  <c r="O445" i="10"/>
  <c r="O687" i="10"/>
  <c r="O484" i="10"/>
  <c r="O684" i="10"/>
  <c r="O617" i="10"/>
  <c r="O483" i="10"/>
  <c r="O438" i="10"/>
  <c r="O389" i="10"/>
  <c r="O669" i="10"/>
  <c r="O679" i="10"/>
  <c r="O609" i="10"/>
  <c r="O427" i="10"/>
  <c r="O651" i="10"/>
  <c r="O407" i="10"/>
  <c r="O475" i="10"/>
  <c r="O406" i="10"/>
  <c r="O600" i="10"/>
  <c r="O661" i="10"/>
  <c r="O460" i="10"/>
  <c r="O498" i="10"/>
  <c r="O347" i="10"/>
  <c r="O52" i="10"/>
  <c r="O29" i="10"/>
  <c r="O4" i="10"/>
  <c r="O2" i="10"/>
  <c r="O565" i="10"/>
  <c r="O730" i="10"/>
  <c r="O699" i="10"/>
  <c r="O404" i="10"/>
  <c r="O736" i="10"/>
  <c r="O396" i="10"/>
  <c r="O368" i="10"/>
  <c r="O686" i="10"/>
  <c r="O620" i="10"/>
  <c r="O393" i="10"/>
  <c r="O367" i="10"/>
  <c r="O723" i="10"/>
  <c r="O551" i="10"/>
  <c r="O509" i="10"/>
  <c r="O364" i="10"/>
  <c r="O672" i="10"/>
  <c r="O598" i="10"/>
  <c r="O546" i="10"/>
  <c r="O479" i="10"/>
  <c r="O576" i="10"/>
  <c r="O528" i="10"/>
  <c r="O457" i="10"/>
  <c r="O413" i="10"/>
  <c r="O734" i="10"/>
  <c r="O523" i="10"/>
  <c r="O472" i="10"/>
  <c r="O417" i="10"/>
  <c r="O189" i="10"/>
  <c r="O78" i="10"/>
  <c r="O558" i="10"/>
  <c r="O709" i="10"/>
  <c r="O143" i="10"/>
  <c r="O184" i="10"/>
  <c r="O142" i="10"/>
  <c r="O107" i="10"/>
  <c r="O73" i="10"/>
  <c r="O26" i="10"/>
  <c r="O112" i="10"/>
  <c r="O345" i="10"/>
  <c r="O321" i="10"/>
  <c r="O268" i="10"/>
  <c r="O343" i="10"/>
  <c r="O316" i="10"/>
  <c r="O146" i="10"/>
  <c r="O27" i="10"/>
  <c r="O71" i="10"/>
  <c r="O307" i="10"/>
  <c r="O253" i="10"/>
  <c r="O177" i="10"/>
  <c r="O104" i="10"/>
  <c r="O46" i="10"/>
  <c r="O24" i="10"/>
  <c r="O251" i="10"/>
  <c r="O137" i="10"/>
  <c r="O249" i="10"/>
  <c r="O101" i="10"/>
  <c r="O303" i="10"/>
  <c r="O246" i="10"/>
  <c r="O174" i="10"/>
  <c r="O132" i="10"/>
  <c r="O63" i="10"/>
  <c r="O94" i="10"/>
  <c r="O11" i="10"/>
  <c r="O291" i="10"/>
  <c r="O230" i="10"/>
  <c r="O240" i="10"/>
  <c r="O97" i="10"/>
  <c r="O127" i="10"/>
  <c r="O12" i="10"/>
  <c r="O325" i="10"/>
  <c r="O116" i="10"/>
  <c r="O3809" i="9"/>
  <c r="O3807" i="9"/>
  <c r="O3791" i="9"/>
  <c r="O3769" i="9"/>
  <c r="O3763" i="9"/>
  <c r="O3759" i="9"/>
  <c r="O3755" i="9"/>
  <c r="O3743" i="9"/>
  <c r="O3737" i="9"/>
  <c r="O3729" i="9"/>
  <c r="O3719" i="9"/>
  <c r="O3711" i="9"/>
  <c r="O3707" i="9"/>
  <c r="O3705" i="9"/>
  <c r="O3669" i="9"/>
  <c r="O3663" i="9"/>
  <c r="O3625" i="9"/>
  <c r="O3613" i="9"/>
  <c r="O3581" i="9"/>
  <c r="O3551" i="9"/>
  <c r="O3545" i="9"/>
  <c r="O3539" i="9"/>
  <c r="O3533" i="9"/>
  <c r="O74" i="10"/>
  <c r="O311" i="10"/>
  <c r="O260" i="10"/>
  <c r="O190" i="10"/>
  <c r="O5" i="10"/>
  <c r="O187" i="10"/>
  <c r="O148" i="10"/>
  <c r="O258" i="10"/>
  <c r="O140" i="10"/>
  <c r="O49" i="10"/>
  <c r="O348" i="10"/>
  <c r="O138" i="10"/>
  <c r="O305" i="10"/>
  <c r="O304" i="10"/>
  <c r="O176" i="10"/>
  <c r="O136" i="10"/>
  <c r="O66" i="10"/>
  <c r="O340" i="10"/>
  <c r="O99" i="10"/>
  <c r="O43" i="10"/>
  <c r="O18" i="10"/>
  <c r="O298" i="10"/>
  <c r="O130" i="10"/>
  <c r="O95" i="10"/>
  <c r="O38" i="10"/>
  <c r="O273" i="10"/>
  <c r="O199" i="10"/>
  <c r="O153" i="10"/>
  <c r="O84" i="10"/>
  <c r="O211" i="10"/>
  <c r="O160" i="10"/>
  <c r="O34" i="10"/>
  <c r="O207" i="10"/>
  <c r="O3808" i="9"/>
  <c r="O3804" i="9"/>
  <c r="O3798" i="9"/>
  <c r="O3782" i="9"/>
  <c r="O3774" i="9"/>
  <c r="O3750" i="9"/>
  <c r="O3746" i="9"/>
  <c r="O3700" i="9"/>
  <c r="O3696" i="9"/>
  <c r="O3692" i="9"/>
  <c r="O3686" i="9"/>
  <c r="O3676" i="9"/>
  <c r="O3632" i="9"/>
  <c r="O3576" i="9"/>
  <c r="O3558" i="9"/>
  <c r="O3556" i="9"/>
  <c r="O3514" i="9"/>
  <c r="O3510" i="9"/>
  <c r="O3508" i="9"/>
  <c r="O3500" i="9"/>
  <c r="O3474" i="9"/>
  <c r="O3511" i="9"/>
  <c r="O3471" i="9"/>
  <c r="O3505" i="9"/>
  <c r="O3497" i="9"/>
  <c r="O3481" i="9"/>
  <c r="O3465" i="9"/>
  <c r="O3460" i="9"/>
  <c r="O3454" i="9"/>
  <c r="O3446" i="9"/>
  <c r="O3408" i="9"/>
  <c r="O3364" i="9"/>
  <c r="O3360" i="9"/>
  <c r="O3344" i="9"/>
  <c r="O3322" i="9"/>
  <c r="O3294" i="9"/>
  <c r="O3290" i="9"/>
  <c r="O3288" i="9"/>
  <c r="O3286" i="9"/>
  <c r="O3280" i="9"/>
  <c r="O3276" i="9"/>
  <c r="O3268" i="9"/>
  <c r="O3266" i="9"/>
  <c r="O3258" i="9"/>
  <c r="O3256" i="9"/>
  <c r="O3252" i="9"/>
  <c r="O3248" i="9"/>
  <c r="O3242" i="9"/>
  <c r="O3230" i="9"/>
  <c r="O3210" i="9"/>
  <c r="O3196" i="9"/>
  <c r="O3192" i="9"/>
  <c r="O3186" i="9"/>
  <c r="O3178" i="9"/>
  <c r="O3144" i="9"/>
  <c r="O3122" i="9"/>
  <c r="O3116" i="9"/>
  <c r="O3106" i="9"/>
  <c r="O3070" i="9"/>
  <c r="O3052" i="9"/>
  <c r="O3044" i="9"/>
  <c r="O3038" i="9"/>
  <c r="O3030" i="9"/>
  <c r="O3010" i="9"/>
  <c r="O3008" i="9"/>
  <c r="O2998" i="9"/>
  <c r="O2990" i="9"/>
  <c r="O2984" i="9"/>
  <c r="O2974" i="9"/>
  <c r="O2968" i="9"/>
  <c r="O2940" i="9"/>
  <c r="O2934" i="9"/>
  <c r="O2930" i="9"/>
  <c r="O2926" i="9"/>
  <c r="O2924" i="9"/>
  <c r="O2906" i="9"/>
  <c r="O2894" i="9"/>
  <c r="O2888" i="9"/>
  <c r="O2852" i="9"/>
  <c r="O2812" i="9"/>
  <c r="O2806" i="9"/>
  <c r="O2792" i="9"/>
  <c r="O2766" i="9"/>
  <c r="O2760" i="9"/>
  <c r="O2756" i="9"/>
  <c r="O2754" i="9"/>
  <c r="O2752" i="9"/>
  <c r="O2746" i="9"/>
  <c r="O2728" i="9"/>
  <c r="O2704" i="9"/>
  <c r="O2696" i="9"/>
  <c r="O2674" i="9"/>
  <c r="O2668" i="9"/>
  <c r="O2612" i="9"/>
  <c r="O2588" i="9"/>
  <c r="O2580" i="9"/>
  <c r="O2572" i="9"/>
  <c r="O2566" i="9"/>
  <c r="O2552" i="9"/>
  <c r="O2550" i="9"/>
  <c r="O2542" i="9"/>
  <c r="O2538" i="9"/>
  <c r="O2512" i="9"/>
  <c r="O2496" i="9"/>
  <c r="O2494" i="9"/>
  <c r="O2486" i="9"/>
  <c r="O2474" i="9"/>
  <c r="O2464" i="9"/>
  <c r="O2456" i="9"/>
  <c r="O2450" i="9"/>
  <c r="O2446" i="9"/>
  <c r="O2440" i="9"/>
  <c r="O2436" i="9"/>
  <c r="O2434" i="9"/>
  <c r="O2428" i="9"/>
  <c r="O2404" i="9"/>
  <c r="O2342" i="9"/>
  <c r="O2330" i="9"/>
  <c r="O2328" i="9"/>
  <c r="O2316" i="9"/>
  <c r="O3515" i="9"/>
  <c r="O3491" i="9"/>
  <c r="O3459" i="9"/>
  <c r="O3457" i="9"/>
  <c r="O3439" i="9"/>
  <c r="O3423" i="9"/>
  <c r="O3413" i="9"/>
  <c r="O3391" i="9"/>
  <c r="O3389" i="9"/>
  <c r="O3385" i="9"/>
  <c r="O3379" i="9"/>
  <c r="O3335" i="9"/>
  <c r="O3333" i="9"/>
  <c r="O3307" i="9"/>
  <c r="O3303" i="9"/>
  <c r="O3299" i="9"/>
  <c r="O3297" i="9"/>
  <c r="O3291" i="9"/>
  <c r="O3271" i="9"/>
  <c r="O3267" i="9"/>
  <c r="O3263" i="9"/>
  <c r="O3235" i="9"/>
  <c r="O3227" i="9"/>
  <c r="O3219" i="9"/>
  <c r="O3217" i="9"/>
  <c r="O3181" i="9"/>
  <c r="O3171" i="9"/>
  <c r="O3159" i="9"/>
  <c r="O3135" i="9"/>
  <c r="O3077" i="9"/>
  <c r="O3061" i="9"/>
  <c r="O3057" i="9"/>
  <c r="O3049" i="9"/>
  <c r="O3015" i="9"/>
  <c r="O3007" i="9"/>
  <c r="O3003" i="9"/>
  <c r="O2993" i="9"/>
  <c r="O2979" i="9"/>
  <c r="O2961" i="9"/>
  <c r="O2955" i="9"/>
  <c r="O2953" i="9"/>
  <c r="O2945" i="9"/>
  <c r="O2917" i="9"/>
  <c r="O2901" i="9"/>
  <c r="O2879" i="9"/>
  <c r="O2867" i="9"/>
  <c r="O2845" i="9"/>
  <c r="O2839" i="9"/>
  <c r="O2831" i="9"/>
  <c r="O2817" i="9"/>
  <c r="O2801" i="9"/>
  <c r="O2799" i="9"/>
  <c r="O2789" i="9"/>
  <c r="O2761" i="9"/>
  <c r="O2759" i="9"/>
  <c r="O2757" i="9"/>
  <c r="O2739" i="9"/>
  <c r="O2733" i="9"/>
  <c r="O2723" i="9"/>
  <c r="O2721" i="9"/>
  <c r="O2717" i="9"/>
  <c r="O2711" i="9"/>
  <c r="O2709" i="9"/>
  <c r="O2699" i="9"/>
  <c r="O2691" i="9"/>
  <c r="O2683" i="9"/>
  <c r="O2661" i="9"/>
  <c r="O2633" i="9"/>
  <c r="O2607" i="9"/>
  <c r="O2565" i="9"/>
  <c r="O2559" i="9"/>
  <c r="O2533" i="9"/>
  <c r="O2507" i="9"/>
  <c r="O2497" i="9"/>
  <c r="O2491" i="9"/>
  <c r="O2481" i="9"/>
  <c r="O2479" i="9"/>
  <c r="O2471" i="9"/>
  <c r="O2453" i="9"/>
  <c r="O2451" i="9"/>
  <c r="O2419" i="9"/>
  <c r="O2413" i="9"/>
  <c r="O2411" i="9"/>
  <c r="O2397" i="9"/>
  <c r="O2377" i="9"/>
  <c r="O2335" i="9"/>
  <c r="O2311" i="9"/>
  <c r="O2285" i="9"/>
  <c r="O2273" i="9"/>
  <c r="O2269" i="9"/>
  <c r="O2263" i="9"/>
  <c r="O2257" i="9"/>
  <c r="O2255" i="9"/>
  <c r="O2251" i="9"/>
  <c r="O2243" i="9"/>
  <c r="O2233" i="9"/>
  <c r="O2227" i="9"/>
  <c r="O2225" i="9"/>
  <c r="O2221" i="9"/>
  <c r="O2203" i="9"/>
  <c r="O2191" i="9"/>
  <c r="O2153" i="9"/>
  <c r="O2141" i="9"/>
  <c r="O2139" i="9"/>
  <c r="O2135" i="9"/>
  <c r="O2123" i="9"/>
  <c r="O2160" i="9"/>
  <c r="O2108" i="9"/>
  <c r="O2102" i="9"/>
  <c r="O2086" i="9"/>
  <c r="O2080" i="9"/>
  <c r="O2056" i="9"/>
  <c r="O2040" i="9"/>
  <c r="O2036" i="9"/>
  <c r="O2004" i="9"/>
  <c r="O1970" i="9"/>
  <c r="O1946" i="9"/>
  <c r="O1934" i="9"/>
  <c r="O1926" i="9"/>
  <c r="O1920" i="9"/>
  <c r="O1914" i="9"/>
  <c r="O1910" i="9"/>
  <c r="O1908" i="9"/>
  <c r="O1904" i="9"/>
  <c r="O1890" i="9"/>
  <c r="O1884" i="9"/>
  <c r="O1880" i="9"/>
  <c r="O1874" i="9"/>
  <c r="O1860" i="9"/>
  <c r="O1846" i="9"/>
  <c r="O1840" i="9"/>
  <c r="O1830" i="9"/>
  <c r="O1816" i="9"/>
  <c r="O1812" i="9"/>
  <c r="O1810" i="9"/>
  <c r="O1806" i="9"/>
  <c r="O1770" i="9"/>
  <c r="O1730" i="9"/>
  <c r="O1688" i="9"/>
  <c r="O1674" i="9"/>
  <c r="O1660" i="9"/>
  <c r="O1632" i="9"/>
  <c r="O1618" i="9"/>
  <c r="O1616" i="9"/>
  <c r="O1606" i="9"/>
  <c r="O1602" i="9"/>
  <c r="O1594" i="9"/>
  <c r="O1588" i="9"/>
  <c r="O1586" i="9"/>
  <c r="O1582" i="9"/>
  <c r="O1572" i="9"/>
  <c r="O1556" i="9"/>
  <c r="O1546" i="9"/>
  <c r="O1538" i="9"/>
  <c r="O1534" i="9"/>
  <c r="O1532" i="9"/>
  <c r="O1520" i="9"/>
  <c r="O1492" i="9"/>
  <c r="O1488" i="9"/>
  <c r="O2226" i="9"/>
  <c r="O2178" i="9"/>
  <c r="O2170" i="9"/>
  <c r="O2146" i="9"/>
  <c r="O2130" i="9"/>
  <c r="O2114" i="9"/>
  <c r="O2073" i="9"/>
  <c r="O2017" i="9"/>
  <c r="O1999" i="9"/>
  <c r="O1977" i="9"/>
  <c r="O1965" i="9"/>
  <c r="O1949" i="9"/>
  <c r="O1941" i="9"/>
  <c r="O1935" i="9"/>
  <c r="O1929" i="9"/>
  <c r="O1923" i="9"/>
  <c r="O1899" i="9"/>
  <c r="O1895" i="9"/>
  <c r="O1833" i="9"/>
  <c r="O1829" i="9"/>
  <c r="O1827" i="9"/>
  <c r="O1823" i="9"/>
  <c r="O1821" i="9"/>
  <c r="O1799" i="9"/>
  <c r="O1791" i="9"/>
  <c r="O1785" i="9"/>
  <c r="O1779" i="9"/>
  <c r="O1747" i="9"/>
  <c r="O1733" i="9"/>
  <c r="O1707" i="9"/>
  <c r="O1693" i="9"/>
  <c r="O1679" i="9"/>
  <c r="O1677" i="9"/>
  <c r="O1671" i="9"/>
  <c r="O1657" i="9"/>
  <c r="O1653" i="9"/>
  <c r="O1649" i="9"/>
  <c r="O1625" i="9"/>
  <c r="O1607" i="9"/>
  <c r="O1579" i="9"/>
  <c r="O1575" i="9"/>
  <c r="O1571" i="9"/>
  <c r="O1565" i="9"/>
  <c r="O1527" i="9"/>
  <c r="O1511" i="9"/>
  <c r="O1505" i="9"/>
  <c r="O1499" i="9"/>
  <c r="O1481" i="9"/>
  <c r="O2214" i="9"/>
  <c r="O1467" i="9"/>
  <c r="O1445" i="9"/>
  <c r="O1425" i="9"/>
  <c r="O1391" i="9"/>
  <c r="O1373" i="9"/>
  <c r="O1365" i="9"/>
  <c r="O1363" i="9"/>
  <c r="O1351" i="9"/>
  <c r="O1347" i="9"/>
  <c r="O1343" i="9"/>
  <c r="O1327" i="9"/>
  <c r="O1323" i="9"/>
  <c r="O1311" i="9"/>
  <c r="O1229" i="9"/>
  <c r="O1209" i="9"/>
  <c r="O1165" i="9"/>
  <c r="O1139" i="9"/>
  <c r="O1127" i="9"/>
  <c r="O1123" i="9"/>
  <c r="O1105" i="9"/>
  <c r="O1097" i="9"/>
  <c r="O1093" i="9"/>
  <c r="O1087" i="9"/>
  <c r="O1063" i="9"/>
  <c r="O1055" i="9"/>
  <c r="O1047" i="9"/>
  <c r="O1029" i="9"/>
  <c r="O1017" i="9"/>
  <c r="O999" i="9"/>
  <c r="O989" i="9"/>
  <c r="O973" i="9"/>
  <c r="O963" i="9"/>
  <c r="O955" i="9"/>
  <c r="O947" i="9"/>
  <c r="O941" i="9"/>
  <c r="O933" i="9"/>
  <c r="O925" i="9"/>
  <c r="O887" i="9"/>
  <c r="O881" i="9"/>
  <c r="O853" i="9"/>
  <c r="O831" i="9"/>
  <c r="O811" i="9"/>
  <c r="O777" i="9"/>
  <c r="O765" i="9"/>
  <c r="O763" i="9"/>
  <c r="O745" i="9"/>
  <c r="O743" i="9"/>
  <c r="O741" i="9"/>
  <c r="O729" i="9"/>
  <c r="O719" i="9"/>
  <c r="O709" i="9"/>
  <c r="O703" i="9"/>
  <c r="O675" i="9"/>
  <c r="O653" i="9"/>
  <c r="O641" i="9"/>
  <c r="O635" i="9"/>
  <c r="O613" i="9"/>
  <c r="O601" i="9"/>
  <c r="O595" i="9"/>
  <c r="O589" i="9"/>
  <c r="O587" i="9"/>
  <c r="O575" i="9"/>
  <c r="O561" i="9"/>
  <c r="O541" i="9"/>
  <c r="O487" i="9"/>
  <c r="O463" i="9"/>
  <c r="O457" i="9"/>
  <c r="O435" i="9"/>
  <c r="O419" i="9"/>
  <c r="O405" i="9"/>
  <c r="O367" i="9"/>
  <c r="O361" i="9"/>
  <c r="O315" i="9"/>
  <c r="O311" i="9"/>
  <c r="O309" i="9"/>
  <c r="O307" i="9"/>
  <c r="O301" i="9"/>
  <c r="O291" i="9"/>
  <c r="O289" i="9"/>
  <c r="O283" i="9"/>
  <c r="O275" i="9"/>
  <c r="O225" i="9"/>
  <c r="O211" i="9"/>
  <c r="O203" i="9"/>
  <c r="O183" i="9"/>
  <c r="O179" i="9"/>
  <c r="O165" i="9"/>
  <c r="O147" i="9"/>
  <c r="O141" i="9"/>
  <c r="O139" i="9"/>
  <c r="O135" i="9"/>
  <c r="O1460" i="9"/>
  <c r="O1450" i="9"/>
  <c r="O1436" i="9"/>
  <c r="O1414" i="9"/>
  <c r="O1402" i="9"/>
  <c r="O1398" i="9"/>
  <c r="O1386" i="9"/>
  <c r="O1380" i="9"/>
  <c r="O1358" i="9"/>
  <c r="O1318" i="9"/>
  <c r="O1302" i="9"/>
  <c r="O1290" i="9"/>
  <c r="O1284" i="9"/>
  <c r="O1258" i="9"/>
  <c r="O1242" i="9"/>
  <c r="O1236" i="9"/>
  <c r="O1222" i="9"/>
  <c r="O1216" i="9"/>
  <c r="O1204" i="9"/>
  <c r="O1194" i="9"/>
  <c r="O1192" i="9"/>
  <c r="O1186" i="9"/>
  <c r="O1180" i="9"/>
  <c r="O1172" i="9"/>
  <c r="O1134" i="9"/>
  <c r="O1132" i="9"/>
  <c r="O1120" i="9"/>
  <c r="O1116" i="9"/>
  <c r="O1114" i="9"/>
  <c r="O1100" i="9"/>
  <c r="O1090" i="9"/>
  <c r="O1084" i="9"/>
  <c r="O1080" i="9"/>
  <c r="O1076" i="9"/>
  <c r="O1044" i="9"/>
  <c r="O1038" i="9"/>
  <c r="O1024" i="9"/>
  <c r="O1012" i="9"/>
  <c r="O1006" i="9"/>
  <c r="O994" i="9"/>
  <c r="O992" i="9"/>
  <c r="O982" i="9"/>
  <c r="O908" i="9"/>
  <c r="O902" i="9"/>
  <c r="O890" i="9"/>
  <c r="O868" i="9"/>
  <c r="O860" i="9"/>
  <c r="O840" i="9"/>
  <c r="O826" i="9"/>
  <c r="O824" i="9"/>
  <c r="O806" i="9"/>
  <c r="O788" i="9"/>
  <c r="O756" i="9"/>
  <c r="O750" i="9"/>
  <c r="O738" i="9"/>
  <c r="O736" i="9"/>
  <c r="O712" i="9"/>
  <c r="O696" i="9"/>
  <c r="O690" i="9"/>
  <c r="O686" i="9"/>
  <c r="O682" i="9"/>
  <c r="O678" i="9"/>
  <c r="O668" i="9"/>
  <c r="O660" i="9"/>
  <c r="O624" i="9"/>
  <c r="O604" i="9"/>
  <c r="O582" i="9"/>
  <c r="O570" i="9"/>
  <c r="O550" i="9"/>
  <c r="O534" i="9"/>
  <c r="O528" i="9"/>
  <c r="O520" i="9"/>
  <c r="O510" i="9"/>
  <c r="O494" i="9"/>
  <c r="O478" i="9"/>
  <c r="O430" i="9"/>
  <c r="O398" i="9"/>
  <c r="O390" i="9"/>
  <c r="O384" i="9"/>
  <c r="O354" i="9"/>
  <c r="O322" i="9"/>
  <c r="O310" i="9"/>
  <c r="O304" i="9"/>
  <c r="O300" i="9"/>
  <c r="O296" i="9"/>
  <c r="O286" i="9"/>
  <c r="O280" i="9"/>
  <c r="O260" i="9"/>
  <c r="O250" i="9"/>
  <c r="O242" i="9"/>
  <c r="O228" i="9"/>
  <c r="O218" i="9"/>
  <c r="O206" i="9"/>
  <c r="O200" i="9"/>
  <c r="O198" i="9"/>
  <c r="O194" i="9"/>
  <c r="O192" i="9"/>
  <c r="O190" i="9"/>
  <c r="O188" i="9"/>
  <c r="O172" i="9"/>
  <c r="O160" i="9"/>
  <c r="O154" i="9"/>
  <c r="O128" i="9"/>
  <c r="O102" i="9"/>
  <c r="O94" i="9"/>
  <c r="O80" i="9"/>
  <c r="O30" i="9"/>
  <c r="O26" i="9"/>
  <c r="O2030" i="10"/>
  <c r="O1791" i="10"/>
  <c r="O1387" i="10"/>
  <c r="O1402" i="10"/>
  <c r="O1124" i="10"/>
  <c r="O539" i="10"/>
  <c r="O386" i="10"/>
  <c r="O431" i="10"/>
  <c r="O505" i="10"/>
  <c r="O3787" i="9"/>
  <c r="O3629" i="9"/>
  <c r="O3573" i="9"/>
  <c r="O57" i="10"/>
  <c r="O3660" i="9"/>
  <c r="O3652" i="9"/>
  <c r="O3644" i="9"/>
  <c r="O3568" i="9"/>
  <c r="O3564" i="9"/>
  <c r="O3528" i="9"/>
  <c r="O3522" i="9"/>
  <c r="O3428" i="9"/>
  <c r="O3354" i="9"/>
  <c r="O3350" i="9"/>
  <c r="O3156" i="9"/>
  <c r="O3132" i="9"/>
  <c r="O3114" i="9"/>
  <c r="O3086" i="9"/>
  <c r="O3020" i="9"/>
  <c r="O2884" i="9"/>
  <c r="O2876" i="9"/>
  <c r="O2828" i="9"/>
  <c r="O2504" i="9"/>
  <c r="O2384" i="9"/>
  <c r="O2346" i="9"/>
  <c r="O3421" i="9"/>
  <c r="O3405" i="9"/>
  <c r="O3401" i="9"/>
  <c r="O3337" i="9"/>
  <c r="O3141" i="9"/>
  <c r="O2965" i="9"/>
  <c r="O2823" i="9"/>
  <c r="O2809" i="9"/>
  <c r="O2679" i="9"/>
  <c r="O2651" i="9"/>
  <c r="O2585" i="9"/>
  <c r="O2577" i="9"/>
  <c r="O2547" i="9"/>
  <c r="O2375" i="9"/>
  <c r="O2323" i="9"/>
  <c r="O2297" i="9"/>
  <c r="O2181" i="9"/>
  <c r="O2119" i="9"/>
  <c r="O2200" i="9"/>
  <c r="O2060" i="9"/>
  <c r="O2052" i="9"/>
  <c r="O2014" i="9"/>
  <c r="O1996" i="9"/>
  <c r="O1938" i="9"/>
  <c r="O1622" i="9"/>
  <c r="O1610" i="9"/>
  <c r="O1598" i="9"/>
  <c r="O1552" i="9"/>
  <c r="O1524" i="9"/>
  <c r="O1478" i="9"/>
  <c r="O2210" i="9"/>
  <c r="O2194" i="9"/>
  <c r="O2188" i="9"/>
  <c r="O2077" i="9"/>
  <c r="O2069" i="9"/>
  <c r="O2007" i="9"/>
  <c r="O1877" i="9"/>
  <c r="O1871" i="9"/>
  <c r="O1865" i="9"/>
  <c r="O1857" i="9"/>
  <c r="O1697" i="9"/>
  <c r="O1685" i="9"/>
  <c r="O1667" i="9"/>
  <c r="O1663" i="9"/>
  <c r="O1635" i="9"/>
  <c r="O1485" i="9"/>
  <c r="O2206" i="9"/>
  <c r="O2166" i="9"/>
  <c r="O1471" i="9"/>
  <c r="O1457" i="9"/>
  <c r="O1441" i="9"/>
  <c r="O1411" i="9"/>
  <c r="O1315" i="9"/>
  <c r="O1299" i="9"/>
  <c r="O1253" i="9"/>
  <c r="O1233" i="9"/>
  <c r="O1213" i="9"/>
  <c r="O1199" i="9"/>
  <c r="O1141" i="9"/>
  <c r="O1137" i="9"/>
  <c r="O1073" i="9"/>
  <c r="O1067" i="9"/>
  <c r="O905" i="9"/>
  <c r="O865" i="9"/>
  <c r="O857" i="9"/>
  <c r="O837" i="9"/>
  <c r="O803" i="9"/>
  <c r="O793" i="9"/>
  <c r="O769" i="9"/>
  <c r="O725" i="9"/>
  <c r="O665" i="9"/>
  <c r="O657" i="9"/>
  <c r="O517" i="9"/>
  <c r="O491" i="9"/>
  <c r="O483" i="9"/>
  <c r="O475" i="9"/>
  <c r="O415" i="9"/>
  <c r="O395" i="9"/>
  <c r="O377" i="9"/>
  <c r="O247" i="9"/>
  <c r="O239" i="9"/>
  <c r="O231" i="9"/>
  <c r="O127" i="9"/>
  <c r="O1464" i="9"/>
  <c r="O1432" i="9"/>
  <c r="O1420" i="9"/>
  <c r="O1340" i="9"/>
  <c r="O1332" i="9"/>
  <c r="O1308" i="9"/>
  <c r="O1156" i="9"/>
  <c r="O1060" i="9"/>
  <c r="O1052" i="9"/>
  <c r="O938" i="9"/>
  <c r="O930" i="9"/>
  <c r="O850" i="9"/>
  <c r="O844" i="9"/>
  <c r="O672" i="9"/>
  <c r="O650" i="9"/>
  <c r="O620" i="9"/>
  <c r="O526" i="9"/>
  <c r="O508" i="9"/>
  <c r="O460" i="9"/>
  <c r="O428" i="9"/>
  <c r="O402" i="9"/>
  <c r="O374" i="9"/>
  <c r="O264" i="9"/>
  <c r="O256" i="9"/>
  <c r="O134" i="9"/>
  <c r="O54" i="9"/>
  <c r="O1896" i="10"/>
  <c r="O1105" i="10"/>
  <c r="O1521" i="10"/>
  <c r="O1274" i="10"/>
  <c r="O915" i="10"/>
  <c r="O468" i="10"/>
  <c r="O663" i="10"/>
  <c r="O589" i="10"/>
  <c r="O538" i="10"/>
  <c r="O503" i="10"/>
  <c r="O463" i="10"/>
  <c r="O323" i="10"/>
  <c r="O331" i="10"/>
  <c r="O215" i="10"/>
  <c r="O3657" i="9"/>
  <c r="O3649" i="9"/>
  <c r="O3641" i="9"/>
  <c r="O3525" i="9"/>
  <c r="O3519" i="9"/>
  <c r="O221" i="10"/>
  <c r="O3432" i="9"/>
  <c r="O3418" i="9"/>
  <c r="O3138" i="9"/>
  <c r="O2648" i="9"/>
  <c r="O2642" i="9"/>
  <c r="O2294" i="9"/>
  <c r="O3485" i="9"/>
  <c r="O3425" i="9"/>
  <c r="O3315" i="9"/>
  <c r="O3313" i="9"/>
  <c r="O3161" i="9"/>
  <c r="O3153" i="9"/>
  <c r="O3129" i="9"/>
  <c r="O3033" i="9"/>
  <c r="O3023" i="9"/>
  <c r="O3019" i="9"/>
  <c r="O2881" i="9"/>
  <c r="O2873" i="9"/>
  <c r="O2859" i="9"/>
  <c r="O2527" i="9"/>
  <c r="O2521" i="9"/>
  <c r="O2519" i="9"/>
  <c r="O2475" i="9"/>
  <c r="O2389" i="9"/>
  <c r="O2381" i="9"/>
  <c r="O2373" i="9"/>
  <c r="O2281" i="9"/>
  <c r="O2185" i="9"/>
  <c r="O2096" i="9"/>
  <c r="O1862" i="9"/>
  <c r="O1764" i="9"/>
  <c r="O1540" i="9"/>
  <c r="O2111" i="9"/>
  <c r="O2089" i="9"/>
  <c r="O1345" i="9"/>
  <c r="O1337" i="9"/>
  <c r="O1329" i="9"/>
  <c r="O1049" i="9"/>
  <c r="O935" i="9"/>
  <c r="O927" i="9"/>
  <c r="O799" i="9"/>
  <c r="O647" i="9"/>
  <c r="O523" i="9"/>
  <c r="O505" i="9"/>
  <c r="O345" i="9"/>
  <c r="O339" i="9"/>
  <c r="O137" i="9"/>
  <c r="O131" i="9"/>
  <c r="O1475" i="9"/>
  <c r="O1296" i="9"/>
  <c r="O920" i="9"/>
  <c r="O766" i="9"/>
  <c r="O628" i="9"/>
  <c r="O514" i="9"/>
  <c r="O472" i="9"/>
  <c r="O292" i="9"/>
  <c r="O126" i="9"/>
  <c r="O11" i="9"/>
  <c r="O27" i="9"/>
  <c r="O35" i="9"/>
  <c r="O51" i="9"/>
  <c r="O59" i="9"/>
  <c r="O67" i="9"/>
  <c r="O75" i="9"/>
  <c r="O99" i="9"/>
  <c r="O2226" i="10"/>
  <c r="O2233" i="10"/>
  <c r="O2135" i="10"/>
  <c r="O2112" i="10"/>
  <c r="O1985" i="10"/>
  <c r="O2116" i="10"/>
  <c r="O2069" i="10"/>
  <c r="O1970" i="10"/>
  <c r="O2109" i="10"/>
  <c r="O1974" i="10"/>
  <c r="O2018" i="10"/>
  <c r="O1895" i="10"/>
  <c r="O1832" i="10"/>
  <c r="O1800" i="10"/>
  <c r="O1754" i="10"/>
  <c r="O2099" i="10"/>
  <c r="O1930" i="10"/>
  <c r="O1839" i="10"/>
  <c r="O1816" i="10"/>
  <c r="O1581" i="10"/>
  <c r="O1666" i="10"/>
  <c r="O1337" i="10"/>
  <c r="O1335" i="10"/>
  <c r="O1343" i="10"/>
  <c r="O1533" i="10"/>
  <c r="O1318" i="10"/>
  <c r="O1266" i="10"/>
  <c r="O1137" i="10"/>
  <c r="O1048" i="10"/>
  <c r="O1175" i="10"/>
  <c r="O1307" i="10"/>
  <c r="O1195" i="10"/>
  <c r="O1965" i="10"/>
  <c r="O1963" i="10"/>
  <c r="O1910" i="10"/>
  <c r="O1697" i="10"/>
  <c r="O1693" i="10"/>
  <c r="O1676" i="10"/>
  <c r="O1616" i="10"/>
  <c r="O1503" i="10"/>
  <c r="O1442" i="10"/>
  <c r="O1394" i="10"/>
  <c r="O1338" i="10"/>
  <c r="O1550" i="10"/>
  <c r="O1444" i="10"/>
  <c r="O1458" i="10"/>
  <c r="O1333" i="10"/>
  <c r="O1213" i="10"/>
  <c r="O1104" i="10"/>
  <c r="O1251" i="10"/>
  <c r="O1258" i="10"/>
  <c r="O1245" i="10"/>
  <c r="O1118" i="10"/>
  <c r="O1181" i="10"/>
  <c r="O1046" i="10"/>
  <c r="O906" i="10"/>
  <c r="O743" i="10"/>
  <c r="O1236" i="10"/>
  <c r="O1215" i="10"/>
  <c r="O1226" i="10"/>
  <c r="O740" i="10"/>
  <c r="O738" i="10"/>
  <c r="O862" i="10"/>
  <c r="O796" i="10"/>
  <c r="O762" i="10"/>
  <c r="O890" i="10"/>
  <c r="O780" i="10"/>
  <c r="O751" i="10"/>
  <c r="O909" i="10"/>
  <c r="O920" i="10"/>
  <c r="O567" i="10"/>
  <c r="O451" i="10"/>
  <c r="O377" i="10"/>
  <c r="O349" i="10"/>
  <c r="O937" i="10"/>
  <c r="O755" i="10"/>
  <c r="O972" i="10"/>
  <c r="O925" i="10"/>
  <c r="O735" i="10"/>
  <c r="O644" i="10"/>
  <c r="O524" i="10"/>
  <c r="O408" i="10"/>
  <c r="O351" i="10"/>
  <c r="O630" i="10"/>
  <c r="O370" i="10"/>
  <c r="O680" i="10"/>
  <c r="O611" i="10"/>
  <c r="O359" i="10"/>
  <c r="O711" i="10"/>
  <c r="O522" i="10"/>
  <c r="O270" i="10"/>
  <c r="O188" i="10"/>
  <c r="O561" i="10"/>
  <c r="O646" i="10"/>
  <c r="O570" i="10"/>
  <c r="O405" i="10"/>
  <c r="O419" i="10"/>
  <c r="O149" i="10"/>
  <c r="O144" i="10"/>
  <c r="O172" i="10"/>
  <c r="O13" i="10"/>
  <c r="O150" i="10"/>
  <c r="O79" i="10"/>
  <c r="O233" i="10"/>
  <c r="O3761" i="9"/>
  <c r="O3739" i="9"/>
  <c r="O3713" i="9"/>
  <c r="O3701" i="9"/>
  <c r="O3697" i="9"/>
  <c r="O3671" i="9"/>
  <c r="O3595" i="9"/>
  <c r="O3553" i="9"/>
  <c r="O3" i="10"/>
  <c r="O254" i="10"/>
  <c r="O45" i="10"/>
  <c r="O336" i="10"/>
  <c r="O241" i="10"/>
  <c r="O193" i="10"/>
  <c r="O90" i="10"/>
  <c r="O214" i="10"/>
  <c r="O3794" i="9"/>
  <c r="O3784" i="9"/>
  <c r="O3776" i="9"/>
  <c r="O3764" i="9"/>
  <c r="O3752" i="9"/>
  <c r="O3732" i="9"/>
  <c r="O3722" i="9"/>
  <c r="O3680" i="9"/>
  <c r="O3664" i="9"/>
  <c r="O3600" i="9"/>
  <c r="O3512" i="9"/>
  <c r="O3484" i="9"/>
  <c r="O3448" i="9"/>
  <c r="O3434" i="9"/>
  <c r="O3386" i="9"/>
  <c r="O3330" i="9"/>
  <c r="O3206" i="9"/>
  <c r="O3198" i="9"/>
  <c r="O3182" i="9"/>
  <c r="O3166" i="9"/>
  <c r="O3108" i="9"/>
  <c r="O3072" i="9"/>
  <c r="O3046" i="9"/>
  <c r="O3040" i="9"/>
  <c r="O3032" i="9"/>
  <c r="O2994" i="9"/>
  <c r="O2980" i="9"/>
  <c r="O2928" i="9"/>
  <c r="O2920" i="9"/>
  <c r="O2910" i="9"/>
  <c r="O2896" i="9"/>
  <c r="O2890" i="9"/>
  <c r="O2712" i="9"/>
  <c r="O2686" i="9"/>
  <c r="O2670" i="9"/>
  <c r="O2658" i="9"/>
  <c r="O2602" i="9"/>
  <c r="O2502" i="9"/>
  <c r="O2460" i="9"/>
  <c r="O2454" i="9"/>
  <c r="O2414" i="9"/>
  <c r="O2406" i="9"/>
  <c r="O2380" i="9"/>
  <c r="O2360" i="9"/>
  <c r="O3467" i="9"/>
  <c r="O3461" i="9"/>
  <c r="O3441" i="9"/>
  <c r="O3245" i="9"/>
  <c r="O3237" i="9"/>
  <c r="O3231" i="9"/>
  <c r="O3223" i="9"/>
  <c r="O3211" i="9"/>
  <c r="O3173" i="9"/>
  <c r="O3103" i="9"/>
  <c r="O2999" i="9"/>
  <c r="O2963" i="9"/>
  <c r="O2957" i="9"/>
  <c r="O2951" i="9"/>
  <c r="O2931" i="9"/>
  <c r="O2841" i="9"/>
  <c r="O2835" i="9"/>
  <c r="O2747" i="9"/>
  <c r="O2741" i="9"/>
  <c r="O2735" i="9"/>
  <c r="O2725" i="9"/>
  <c r="O2677" i="9"/>
  <c r="O2663" i="9"/>
  <c r="O2609" i="9"/>
  <c r="O2509" i="9"/>
  <c r="O2487" i="9"/>
  <c r="O2441" i="9"/>
  <c r="O2423" i="9"/>
  <c r="O2399" i="9"/>
  <c r="O2393" i="9"/>
  <c r="O2265" i="9"/>
  <c r="O2173" i="9"/>
  <c r="O2163" i="9"/>
  <c r="O2117" i="9"/>
  <c r="O2280" i="9"/>
  <c r="O2136" i="9"/>
  <c r="O2110" i="9"/>
  <c r="O2104" i="9"/>
  <c r="O2046" i="9"/>
  <c r="O1842" i="9"/>
  <c r="O1836" i="9"/>
  <c r="O1794" i="9"/>
  <c r="O1776" i="9"/>
  <c r="O1690" i="9"/>
  <c r="O1682" i="9"/>
  <c r="O1620" i="9"/>
  <c r="O1604" i="9"/>
  <c r="O1576" i="9"/>
  <c r="O1514" i="9"/>
  <c r="O2236" i="9"/>
  <c r="O2228" i="9"/>
  <c r="O2156" i="9"/>
  <c r="O2148" i="9"/>
  <c r="O2095" i="9"/>
  <c r="O2043" i="9"/>
  <c r="O1931" i="9"/>
  <c r="O1911" i="9"/>
  <c r="O1885" i="9"/>
  <c r="O1817" i="9"/>
  <c r="O1801" i="9"/>
  <c r="O1787" i="9"/>
  <c r="O1781" i="9"/>
  <c r="O1721" i="9"/>
  <c r="O1595" i="9"/>
  <c r="O1589" i="9"/>
  <c r="O1559" i="9"/>
  <c r="O1549" i="9"/>
  <c r="O1539" i="9"/>
  <c r="O1535" i="9"/>
  <c r="O1495" i="9"/>
  <c r="O2278" i="9"/>
  <c r="O2270" i="9"/>
  <c r="O2246" i="9"/>
  <c r="O2142" i="9"/>
  <c r="O2126" i="9"/>
  <c r="O1439" i="9"/>
  <c r="O1429" i="9"/>
  <c r="O1417" i="9"/>
  <c r="O1409" i="9"/>
  <c r="O1393" i="9"/>
  <c r="O1353" i="9"/>
  <c r="O1313" i="9"/>
  <c r="O1305" i="9"/>
  <c r="O1295" i="9"/>
  <c r="O1279" i="9"/>
  <c r="O1267" i="9"/>
  <c r="O1125" i="9"/>
  <c r="O1109" i="9"/>
  <c r="O1101" i="9"/>
  <c r="O1057" i="9"/>
  <c r="O1031" i="9"/>
  <c r="O1019" i="9"/>
  <c r="O1009" i="9"/>
  <c r="O1001" i="9"/>
  <c r="O985" i="9"/>
  <c r="O977" i="9"/>
  <c r="O967" i="9"/>
  <c r="O949" i="9"/>
  <c r="O943" i="9"/>
  <c r="O889" i="9"/>
  <c r="O885" i="9"/>
  <c r="O775" i="9"/>
  <c r="O759" i="9"/>
  <c r="O643" i="9"/>
  <c r="O627" i="9"/>
  <c r="O617" i="9"/>
  <c r="O607" i="9"/>
  <c r="O577" i="9"/>
  <c r="O565" i="9"/>
  <c r="O555" i="9"/>
  <c r="O545" i="9"/>
  <c r="O529" i="9"/>
  <c r="O513" i="9"/>
  <c r="O355" i="9"/>
  <c r="O317" i="9"/>
  <c r="O253" i="9"/>
  <c r="O221" i="9"/>
  <c r="O213" i="9"/>
  <c r="O189" i="9"/>
  <c r="O167" i="9"/>
  <c r="O149" i="9"/>
  <c r="O1404" i="9"/>
  <c r="O1400" i="9"/>
  <c r="O1368" i="9"/>
  <c r="O1348" i="9"/>
  <c r="O1166" i="9"/>
  <c r="O1128" i="9"/>
  <c r="O1094" i="9"/>
  <c r="O1048" i="9"/>
  <c r="O1040" i="9"/>
  <c r="O996" i="9"/>
  <c r="O958" i="9"/>
  <c r="O834" i="9"/>
  <c r="O832" i="9"/>
  <c r="O752" i="9"/>
  <c r="O722" i="9"/>
  <c r="O714" i="9"/>
  <c r="O646" i="9"/>
  <c r="O638" i="9"/>
  <c r="O596" i="9"/>
  <c r="O590" i="9"/>
  <c r="O536" i="9"/>
  <c r="O504" i="9"/>
  <c r="O480" i="9"/>
  <c r="O452" i="9"/>
  <c r="O448" i="9"/>
  <c r="O308" i="9"/>
  <c r="O236" i="9"/>
  <c r="O208" i="9"/>
  <c r="O184" i="9"/>
  <c r="O174" i="9"/>
  <c r="O156" i="9"/>
  <c r="O142" i="9"/>
  <c r="O2104" i="10"/>
  <c r="O2101" i="10"/>
  <c r="O2138" i="10"/>
  <c r="O2001" i="10"/>
  <c r="O2017" i="10"/>
  <c r="O1926" i="10"/>
  <c r="O1936" i="10"/>
  <c r="O1905" i="10"/>
  <c r="O1938" i="10"/>
  <c r="O1937" i="10"/>
  <c r="O1760" i="10"/>
  <c r="O1996" i="10"/>
  <c r="O1907" i="10"/>
  <c r="O2054" i="10"/>
  <c r="O1957" i="10"/>
  <c r="O1807" i="10"/>
  <c r="O1591" i="10"/>
  <c r="O1681" i="10"/>
  <c r="O1661" i="10"/>
  <c r="O1672" i="10"/>
  <c r="O1501" i="10"/>
  <c r="O1553" i="10"/>
  <c r="O1563" i="10"/>
  <c r="O1351" i="10"/>
  <c r="O1511" i="10"/>
  <c r="O1449" i="10"/>
  <c r="O1426" i="10"/>
  <c r="O1397" i="10"/>
  <c r="O1464" i="10"/>
  <c r="O1528" i="10"/>
  <c r="O1431" i="10"/>
  <c r="O1512" i="10"/>
  <c r="O1316" i="10"/>
  <c r="O1263" i="10"/>
  <c r="O1153" i="10"/>
  <c r="O2044" i="10"/>
  <c r="O1857" i="10"/>
  <c r="O2146" i="10"/>
  <c r="O1883" i="10"/>
  <c r="O1906" i="10"/>
  <c r="O1764" i="10"/>
  <c r="O1714" i="10"/>
  <c r="O1708" i="10"/>
  <c r="O1709" i="10"/>
  <c r="O1644" i="10"/>
  <c r="O1564" i="10"/>
  <c r="O1541" i="10"/>
  <c r="O1480" i="10"/>
  <c r="O1432" i="10"/>
  <c r="O1403" i="10"/>
  <c r="O1526" i="10"/>
  <c r="O1430" i="10"/>
  <c r="O1570" i="10"/>
  <c r="O1451" i="10"/>
  <c r="O1332" i="10"/>
  <c r="O1255" i="10"/>
  <c r="O1079" i="10"/>
  <c r="O1173" i="10"/>
  <c r="O1093" i="10"/>
  <c r="O1321" i="10"/>
  <c r="O1185" i="10"/>
  <c r="O1141" i="10"/>
  <c r="O1283" i="10"/>
  <c r="O1323" i="10"/>
  <c r="O1231" i="10"/>
  <c r="O959" i="10"/>
  <c r="O819" i="10"/>
  <c r="O1297" i="10"/>
  <c r="O1271" i="10"/>
  <c r="O1219" i="10"/>
  <c r="O1324" i="10"/>
  <c r="O1284" i="10"/>
  <c r="O1008" i="10"/>
  <c r="O946" i="10"/>
  <c r="O832" i="10"/>
  <c r="O786" i="10"/>
  <c r="O998" i="10"/>
  <c r="O936" i="10"/>
  <c r="O977" i="10"/>
  <c r="O913" i="10"/>
  <c r="O845" i="10"/>
  <c r="O823" i="10"/>
  <c r="O992" i="10"/>
  <c r="O927" i="10"/>
  <c r="O993" i="10"/>
  <c r="O566" i="10"/>
  <c r="O559" i="10"/>
  <c r="O643" i="10"/>
  <c r="O1131" i="10"/>
  <c r="O802" i="10"/>
  <c r="O943" i="10"/>
  <c r="O812" i="10"/>
  <c r="O761" i="10"/>
  <c r="O1029" i="10"/>
  <c r="O875" i="10"/>
  <c r="O1033" i="10"/>
  <c r="O1034" i="10"/>
  <c r="O928" i="10"/>
  <c r="O916" i="10"/>
  <c r="O732" i="10"/>
  <c r="O724" i="10"/>
  <c r="O391" i="10"/>
  <c r="O577" i="10"/>
  <c r="O529" i="10"/>
  <c r="O666" i="10"/>
  <c r="O467" i="10"/>
  <c r="O543" i="10"/>
  <c r="O694" i="10"/>
  <c r="O441" i="10"/>
  <c r="O366" i="10"/>
  <c r="O610" i="10"/>
  <c r="O428" i="10"/>
  <c r="O714" i="10"/>
  <c r="O652" i="10"/>
  <c r="O718" i="10"/>
  <c r="O596" i="10"/>
  <c r="O720" i="10"/>
  <c r="O668" i="10"/>
  <c r="O597" i="10"/>
  <c r="O346" i="10"/>
  <c r="O100" i="10"/>
  <c r="O299" i="10"/>
  <c r="O171" i="10"/>
  <c r="O274" i="10"/>
  <c r="O200" i="10"/>
  <c r="O154" i="10"/>
  <c r="O85" i="10"/>
  <c r="O287" i="10"/>
  <c r="O289" i="10"/>
  <c r="O288" i="10"/>
  <c r="O125" i="10"/>
  <c r="O285" i="10"/>
  <c r="O212" i="10"/>
  <c r="O204" i="10"/>
  <c r="O3793" i="9"/>
  <c r="O3783" i="9"/>
  <c r="O3775" i="9"/>
  <c r="O3747" i="9"/>
  <c r="O3731" i="9"/>
  <c r="O3721" i="9"/>
  <c r="O3687" i="9"/>
  <c r="O3677" i="9"/>
  <c r="O3609" i="9"/>
  <c r="O3603" i="9"/>
  <c r="O3599" i="9"/>
  <c r="O3597" i="9"/>
  <c r="O3547" i="9"/>
  <c r="O3541" i="9"/>
  <c r="O322" i="10"/>
  <c r="O64" i="10"/>
  <c r="O326" i="10"/>
  <c r="O117" i="10"/>
  <c r="O225" i="10"/>
  <c r="O228" i="10"/>
  <c r="O333" i="10"/>
  <c r="O226" i="10"/>
  <c r="O3810" i="9"/>
  <c r="O3770" i="9"/>
  <c r="O3744" i="9"/>
  <c r="O3738" i="9"/>
  <c r="O3712" i="9"/>
  <c r="O3708" i="9"/>
  <c r="O3706" i="9"/>
  <c r="O3694" i="9"/>
  <c r="O3670" i="9"/>
  <c r="O3614" i="9"/>
  <c r="O3608" i="9"/>
  <c r="O3604" i="9"/>
  <c r="O3596" i="9"/>
  <c r="O3594" i="9"/>
  <c r="O3516" i="9"/>
  <c r="O3492" i="9"/>
  <c r="O3482" i="9"/>
  <c r="O3472" i="9"/>
  <c r="O3466" i="9"/>
  <c r="O3495" i="9"/>
  <c r="O3458" i="9"/>
  <c r="O3440" i="9"/>
  <c r="O3394" i="9"/>
  <c r="O3392" i="9"/>
  <c r="O3390" i="9"/>
  <c r="O3380" i="9"/>
  <c r="O3378" i="9"/>
  <c r="O3308" i="9"/>
  <c r="O3304" i="9"/>
  <c r="O3302" i="9"/>
  <c r="O3298" i="9"/>
  <c r="O3244" i="9"/>
  <c r="O3236" i="9"/>
  <c r="O3228" i="9"/>
  <c r="O3222" i="9"/>
  <c r="O3188" i="9"/>
  <c r="O3172" i="9"/>
  <c r="O3164" i="9"/>
  <c r="O3110" i="9"/>
  <c r="O3102" i="9"/>
  <c r="O3016" i="9"/>
  <c r="O2962" i="9"/>
  <c r="O2950" i="9"/>
  <c r="O2936" i="9"/>
  <c r="O2908" i="9"/>
  <c r="O2846" i="9"/>
  <c r="O2840" i="9"/>
  <c r="O2834" i="9"/>
  <c r="O2768" i="9"/>
  <c r="O2762" i="9"/>
  <c r="O2740" i="9"/>
  <c r="O2730" i="9"/>
  <c r="O2710" i="9"/>
  <c r="O2700" i="9"/>
  <c r="O2692" i="9"/>
  <c r="O2662" i="9"/>
  <c r="O2608" i="9"/>
  <c r="O2596" i="9"/>
  <c r="O2582" i="9"/>
  <c r="O2574" i="9"/>
  <c r="O2514" i="9"/>
  <c r="O2508" i="9"/>
  <c r="O2498" i="9"/>
  <c r="O2430" i="9"/>
  <c r="O2412" i="9"/>
  <c r="O2398" i="9"/>
  <c r="O2306" i="9"/>
  <c r="O2290" i="9"/>
  <c r="O3455" i="9"/>
  <c r="O3447" i="9"/>
  <c r="O3395" i="9"/>
  <c r="O3393" i="9"/>
  <c r="O3383" i="9"/>
  <c r="O3381" i="9"/>
  <c r="O3301" i="9"/>
  <c r="O3249" i="9"/>
  <c r="O3203" i="9"/>
  <c r="O3201" i="9"/>
  <c r="O3197" i="9"/>
  <c r="O3193" i="9"/>
  <c r="O3179" i="9"/>
  <c r="O3107" i="9"/>
  <c r="O3099" i="9"/>
  <c r="O3013" i="9"/>
  <c r="O3011" i="9"/>
  <c r="O3009" i="9"/>
  <c r="O3005" i="9"/>
  <c r="O2975" i="9"/>
  <c r="O2969" i="9"/>
  <c r="O2947" i="9"/>
  <c r="O2941" i="9"/>
  <c r="O2935" i="9"/>
  <c r="O2925" i="9"/>
  <c r="O2919" i="9"/>
  <c r="O2909" i="9"/>
  <c r="O2903" i="9"/>
  <c r="O2895" i="9"/>
  <c r="O2833" i="9"/>
  <c r="O2771" i="9"/>
  <c r="O2767" i="9"/>
  <c r="O2705" i="9"/>
  <c r="O2697" i="9"/>
  <c r="O2685" i="9"/>
  <c r="O2675" i="9"/>
  <c r="O2669" i="9"/>
  <c r="O2627" i="9"/>
  <c r="O2613" i="9"/>
  <c r="O2601" i="9"/>
  <c r="O2599" i="9"/>
  <c r="O2513" i="9"/>
  <c r="O2501" i="9"/>
  <c r="O2469" i="9"/>
  <c r="O2465" i="9"/>
  <c r="O2459" i="9"/>
  <c r="O2457" i="9"/>
  <c r="O2447" i="9"/>
  <c r="O2439" i="9"/>
  <c r="O2435" i="9"/>
  <c r="O2421" i="9"/>
  <c r="O2405" i="9"/>
  <c r="O2365" i="9"/>
  <c r="O2363" i="9"/>
  <c r="O2359" i="9"/>
  <c r="O2337" i="9"/>
  <c r="O2317" i="9"/>
  <c r="O2289" i="9"/>
  <c r="O2287" i="9"/>
  <c r="O2279" i="9"/>
  <c r="O2277" i="9"/>
  <c r="O2253" i="9"/>
  <c r="O2245" i="9"/>
  <c r="O2235" i="9"/>
  <c r="O2179" i="9"/>
  <c r="O2161" i="9"/>
  <c r="O2155" i="9"/>
  <c r="O2147" i="9"/>
  <c r="O2131" i="9"/>
  <c r="O2125" i="9"/>
  <c r="O2115" i="9"/>
  <c r="O2264" i="9"/>
  <c r="O2048" i="9"/>
  <c r="O2042" i="9"/>
  <c r="O2028" i="9"/>
  <c r="O1952" i="9"/>
  <c r="O1950" i="9"/>
  <c r="O1942" i="9"/>
  <c r="O1900" i="9"/>
  <c r="O1882" i="9"/>
  <c r="O1834" i="9"/>
  <c r="O1828" i="9"/>
  <c r="O1824" i="9"/>
  <c r="O1800" i="9"/>
  <c r="O1792" i="9"/>
  <c r="O1786" i="9"/>
  <c r="O1780" i="9"/>
  <c r="O1724" i="9"/>
  <c r="O1720" i="9"/>
  <c r="O1558" i="9"/>
  <c r="O1548" i="9"/>
  <c r="O2276" i="9"/>
  <c r="O2172" i="9"/>
  <c r="O2109" i="9"/>
  <c r="O2103" i="9"/>
  <c r="O2045" i="9"/>
  <c r="O2037" i="9"/>
  <c r="O2033" i="9"/>
  <c r="O2011" i="9"/>
  <c r="O1947" i="9"/>
  <c r="O1847" i="9"/>
  <c r="O1841" i="9"/>
  <c r="O1809" i="9"/>
  <c r="O1807" i="9"/>
  <c r="O1793" i="9"/>
  <c r="O1749" i="9"/>
  <c r="O1725" i="9"/>
  <c r="O1717" i="9"/>
  <c r="O1709" i="9"/>
  <c r="O1633" i="9"/>
  <c r="O1627" i="9"/>
  <c r="O1619" i="9"/>
  <c r="O1617" i="9"/>
  <c r="O1613" i="9"/>
  <c r="O1603" i="9"/>
  <c r="O1567" i="9"/>
  <c r="O1521" i="9"/>
  <c r="O1513" i="9"/>
  <c r="O2222" i="9"/>
  <c r="O1451" i="9"/>
  <c r="O1427" i="9"/>
  <c r="O1415" i="9"/>
  <c r="O1403" i="9"/>
  <c r="O1399" i="9"/>
  <c r="O1387" i="9"/>
  <c r="O1381" i="9"/>
  <c r="O1375" i="9"/>
  <c r="O1271" i="9"/>
  <c r="O1153" i="9"/>
  <c r="O1145" i="9"/>
  <c r="O1133" i="9"/>
  <c r="O1115" i="9"/>
  <c r="O1107" i="9"/>
  <c r="O1045" i="9"/>
  <c r="O1039" i="9"/>
  <c r="O1025" i="9"/>
  <c r="O1013" i="9"/>
  <c r="O1007" i="9"/>
  <c r="O995" i="9"/>
  <c r="O993" i="9"/>
  <c r="O975" i="9"/>
  <c r="O891" i="9"/>
  <c r="O789" i="9"/>
  <c r="O787" i="9"/>
  <c r="O771" i="9"/>
  <c r="O737" i="9"/>
  <c r="O731" i="9"/>
  <c r="O721" i="9"/>
  <c r="O637" i="9"/>
  <c r="O615" i="9"/>
  <c r="O605" i="9"/>
  <c r="O583" i="9"/>
  <c r="O563" i="9"/>
  <c r="O551" i="9"/>
  <c r="O543" i="9"/>
  <c r="O535" i="9"/>
  <c r="O499" i="9"/>
  <c r="O489" i="9"/>
  <c r="O465" i="9"/>
  <c r="O451" i="9"/>
  <c r="O447" i="9"/>
  <c r="O407" i="9"/>
  <c r="O329" i="9"/>
  <c r="O323" i="9"/>
  <c r="O287" i="9"/>
  <c r="O269" i="9"/>
  <c r="O195" i="9"/>
  <c r="O173" i="9"/>
  <c r="O161" i="9"/>
  <c r="O155" i="9"/>
  <c r="O107" i="9"/>
  <c r="O1446" i="9"/>
  <c r="O1438" i="9"/>
  <c r="O1408" i="9"/>
  <c r="O1392" i="9"/>
  <c r="O1384" i="9"/>
  <c r="O1366" i="9"/>
  <c r="O1364" i="9"/>
  <c r="O1360" i="9"/>
  <c r="O1352" i="9"/>
  <c r="O1304" i="9"/>
  <c r="O1286" i="9"/>
  <c r="O1272" i="9"/>
  <c r="O1266" i="9"/>
  <c r="O1262" i="9"/>
  <c r="O1260" i="9"/>
  <c r="O1256" i="9"/>
  <c r="O1238" i="9"/>
  <c r="O1188" i="9"/>
  <c r="O1182" i="9"/>
  <c r="O1174" i="9"/>
  <c r="O1154" i="9"/>
  <c r="O1148" i="9"/>
  <c r="O1144" i="9"/>
  <c r="O1098" i="9"/>
  <c r="O1030" i="9"/>
  <c r="O1018" i="9"/>
  <c r="O1000" i="9"/>
  <c r="O990" i="9"/>
  <c r="O984" i="9"/>
  <c r="O964" i="9"/>
  <c r="O956" i="9"/>
  <c r="O948" i="9"/>
  <c r="O918" i="9"/>
  <c r="O916" i="9"/>
  <c r="O912" i="9"/>
  <c r="O888" i="9"/>
  <c r="O884" i="9"/>
  <c r="O882" i="9"/>
  <c r="O862" i="9"/>
  <c r="O780" i="9"/>
  <c r="O778" i="9"/>
  <c r="O774" i="9"/>
  <c r="O772" i="9"/>
  <c r="O764" i="9"/>
  <c r="O758" i="9"/>
  <c r="O698" i="9"/>
  <c r="O662" i="9"/>
  <c r="O644" i="9"/>
  <c r="O642" i="9"/>
  <c r="O626" i="9"/>
  <c r="O576" i="9"/>
  <c r="O572" i="9"/>
  <c r="O496" i="9"/>
  <c r="O454" i="9"/>
  <c r="O444" i="9"/>
  <c r="O442" i="9"/>
  <c r="O362" i="9"/>
  <c r="O328" i="9"/>
  <c r="O324" i="9"/>
  <c r="O316" i="9"/>
  <c r="O284" i="9"/>
  <c r="O244" i="9"/>
  <c r="O226" i="9"/>
  <c r="O220" i="9"/>
  <c r="O212" i="9"/>
  <c r="O204" i="9"/>
  <c r="O180" i="9"/>
  <c r="O166" i="9"/>
  <c r="O148" i="9"/>
  <c r="O106" i="9"/>
  <c r="O98" i="9"/>
  <c r="O36" i="9"/>
  <c r="O32" i="9"/>
  <c r="O10" i="9"/>
  <c r="O8" i="9"/>
  <c r="O2207" i="10"/>
  <c r="O2168" i="10"/>
  <c r="O2203" i="10"/>
  <c r="O2172" i="10"/>
  <c r="O2176" i="10"/>
  <c r="O2170" i="10"/>
  <c r="O2131" i="10"/>
  <c r="O2123" i="10"/>
  <c r="O2067" i="10"/>
  <c r="O2076" i="10"/>
  <c r="O2071" i="10"/>
  <c r="O2065" i="10"/>
  <c r="O2183" i="10"/>
  <c r="O2177" i="10"/>
  <c r="O2126" i="10"/>
  <c r="O2082" i="10"/>
  <c r="O2103" i="10"/>
  <c r="O2039" i="10"/>
  <c r="O1983" i="10"/>
  <c r="O2010" i="10"/>
  <c r="O1991" i="10"/>
  <c r="O1978" i="10"/>
  <c r="O2032" i="10"/>
  <c r="O1987" i="10"/>
  <c r="O1927" i="10"/>
  <c r="O1951" i="10"/>
  <c r="O1924" i="10"/>
  <c r="O1913" i="10"/>
  <c r="O1842" i="10"/>
  <c r="O1902" i="10"/>
  <c r="O1899" i="10"/>
  <c r="O1886" i="10"/>
  <c r="O1877" i="10"/>
  <c r="O1804" i="10"/>
  <c r="O1828" i="10"/>
  <c r="O1853" i="10"/>
  <c r="O2152" i="10"/>
  <c r="O2016" i="10"/>
  <c r="O1861" i="10"/>
  <c r="O1751" i="10"/>
  <c r="O1716" i="10"/>
  <c r="O1679" i="10"/>
  <c r="O1632" i="10"/>
  <c r="O1600" i="10"/>
  <c r="O1631" i="10"/>
  <c r="O1613" i="10"/>
  <c r="O1584" i="10"/>
  <c r="O1557" i="10"/>
  <c r="O1494" i="10"/>
  <c r="O1488" i="10"/>
  <c r="O1405" i="10"/>
  <c r="O1347" i="10"/>
  <c r="O1472" i="10"/>
  <c r="O1524" i="10"/>
  <c r="O1392" i="10"/>
  <c r="O1455" i="10"/>
  <c r="O1399" i="10"/>
  <c r="O1378" i="10"/>
  <c r="O1341" i="10"/>
  <c r="O1309" i="10"/>
  <c r="O1248" i="10"/>
  <c r="O1205" i="10"/>
  <c r="O1294" i="10"/>
  <c r="O1128" i="10"/>
  <c r="O1090" i="10"/>
  <c r="O1125" i="10"/>
  <c r="O2188" i="10"/>
  <c r="O2115" i="10"/>
  <c r="O1850" i="10"/>
  <c r="O1859" i="10"/>
  <c r="O1867" i="10"/>
  <c r="O1793" i="10"/>
  <c r="O1766" i="10"/>
  <c r="O2098" i="10"/>
  <c r="O1932" i="10"/>
  <c r="O1837" i="10"/>
  <c r="O1729" i="10"/>
  <c r="O1692" i="10"/>
  <c r="O1685" i="10"/>
  <c r="O1648" i="10"/>
  <c r="O1587" i="10"/>
  <c r="O1673" i="10"/>
  <c r="O1669" i="10"/>
  <c r="O1610" i="10"/>
  <c r="O1705" i="10"/>
  <c r="O1601" i="10"/>
  <c r="O1539" i="10"/>
  <c r="O1478" i="10"/>
  <c r="O1367" i="10"/>
  <c r="O1468" i="10"/>
  <c r="O1527" i="10"/>
  <c r="O1460" i="10"/>
  <c r="O1374" i="10"/>
  <c r="O1518" i="10"/>
  <c r="O1362" i="10"/>
  <c r="O1303" i="10"/>
  <c r="O1198" i="10"/>
  <c r="O1216" i="10"/>
  <c r="O1115" i="10"/>
  <c r="O1146" i="10"/>
  <c r="O1190" i="10"/>
  <c r="O1189" i="10"/>
  <c r="O1166" i="10"/>
  <c r="O1144" i="10"/>
  <c r="O1110" i="10"/>
  <c r="O1084" i="10"/>
  <c r="O1121" i="10"/>
  <c r="O1289" i="10"/>
  <c r="O1286" i="10"/>
  <c r="O1229" i="10"/>
  <c r="O1280" i="10"/>
  <c r="O1228" i="10"/>
  <c r="O1100" i="10"/>
  <c r="O1077" i="10"/>
  <c r="O1278" i="10"/>
  <c r="O1055" i="10"/>
  <c r="O1042" i="10"/>
  <c r="O853" i="10"/>
  <c r="O784" i="10"/>
  <c r="O758" i="10"/>
  <c r="O922" i="10"/>
  <c r="O882" i="10"/>
  <c r="O777" i="10"/>
  <c r="O799" i="10"/>
  <c r="O807" i="10"/>
  <c r="O1022" i="10"/>
  <c r="O954" i="10"/>
  <c r="O893" i="10"/>
  <c r="O829" i="10"/>
  <c r="O810" i="10"/>
  <c r="O933" i="10"/>
  <c r="O885" i="10"/>
  <c r="O987" i="10"/>
  <c r="O982" i="10"/>
  <c r="O918" i="10"/>
  <c r="O880" i="10"/>
  <c r="O825" i="10"/>
  <c r="O806" i="10"/>
  <c r="O749" i="10"/>
  <c r="O1064" i="10"/>
  <c r="O514" i="10"/>
  <c r="O394" i="10"/>
  <c r="O615" i="10"/>
  <c r="O547" i="10"/>
  <c r="O677" i="10"/>
  <c r="O607" i="10"/>
  <c r="O733" i="10"/>
  <c r="O471" i="10"/>
  <c r="O422" i="10"/>
  <c r="O595" i="10"/>
  <c r="O541" i="10"/>
  <c r="O656" i="10"/>
  <c r="O583" i="10"/>
  <c r="O416" i="10"/>
  <c r="O355" i="10"/>
  <c r="O707" i="10"/>
  <c r="O563" i="10"/>
  <c r="O703" i="10"/>
  <c r="O637" i="10"/>
  <c r="O692" i="10"/>
  <c r="O628" i="10"/>
  <c r="O362" i="10"/>
  <c r="O480" i="10"/>
  <c r="O433" i="10"/>
  <c r="O477" i="10"/>
  <c r="O423" i="10"/>
  <c r="O599" i="10"/>
  <c r="O455" i="10"/>
  <c r="O542" i="10"/>
  <c r="O465" i="10"/>
  <c r="O420" i="10"/>
  <c r="O592" i="10"/>
  <c r="O660" i="10"/>
  <c r="O587" i="10"/>
  <c r="O501" i="10"/>
  <c r="O459" i="10"/>
  <c r="O383" i="10"/>
  <c r="O350" i="10"/>
  <c r="O640" i="10"/>
  <c r="O257" i="10"/>
  <c r="O180" i="10"/>
  <c r="O68" i="10"/>
  <c r="O21" i="10"/>
  <c r="O135" i="10"/>
  <c r="O339" i="10"/>
  <c r="O244" i="10"/>
  <c r="O235" i="10"/>
  <c r="O196" i="10"/>
  <c r="O81" i="10"/>
  <c r="O231" i="10"/>
  <c r="O192" i="10"/>
  <c r="O164" i="10"/>
  <c r="O281" i="10"/>
  <c r="O210" i="10"/>
  <c r="O159" i="10"/>
  <c r="O121" i="10"/>
  <c r="O55" i="10"/>
  <c r="O33" i="10"/>
  <c r="O8" i="10"/>
  <c r="O276" i="10"/>
  <c r="O3803" i="9"/>
  <c r="O3797" i="9"/>
  <c r="O3789" i="9"/>
  <c r="O3773" i="9"/>
  <c r="O3767" i="9"/>
  <c r="O3735" i="9"/>
  <c r="O3717" i="9"/>
  <c r="O3683" i="9"/>
  <c r="O3679" i="9"/>
  <c r="O3667" i="9"/>
  <c r="O3661" i="9"/>
  <c r="O3637" i="9"/>
  <c r="O3631" i="9"/>
  <c r="O3575" i="9"/>
  <c r="O3569" i="9"/>
  <c r="O3565" i="9"/>
  <c r="O3561" i="9"/>
  <c r="O3555" i="9"/>
  <c r="O3537" i="9"/>
  <c r="O3529" i="9"/>
  <c r="O320" i="10"/>
  <c r="O267" i="10"/>
  <c r="O315" i="10"/>
  <c r="O302" i="10"/>
  <c r="O41" i="10"/>
  <c r="O16" i="10"/>
  <c r="O293" i="10"/>
  <c r="O229" i="10"/>
  <c r="O6" i="10"/>
  <c r="O92" i="10"/>
  <c r="O124" i="10"/>
  <c r="O218" i="10"/>
  <c r="O88" i="10"/>
  <c r="O203" i="10"/>
  <c r="O3780" i="9"/>
  <c r="O3758" i="9"/>
  <c r="O3754" i="9"/>
  <c r="O3726" i="9"/>
  <c r="O3690" i="9"/>
  <c r="O3674" i="9"/>
  <c r="O3654" i="9"/>
  <c r="O3646" i="9"/>
  <c r="O3638" i="9"/>
  <c r="O3624" i="9"/>
  <c r="O3620" i="9"/>
  <c r="O3618" i="9"/>
  <c r="O3616" i="9"/>
  <c r="O3612" i="9"/>
  <c r="O3606" i="9"/>
  <c r="O3592" i="9"/>
  <c r="O3588" i="9"/>
  <c r="O3584" i="9"/>
  <c r="O3580" i="9"/>
  <c r="O3560" i="9"/>
  <c r="O3550" i="9"/>
  <c r="O3544" i="9"/>
  <c r="O3532" i="9"/>
  <c r="O3503" i="9"/>
  <c r="O3479" i="9"/>
  <c r="O3463" i="9"/>
  <c r="O3489" i="9"/>
  <c r="O3452" i="9"/>
  <c r="O3430" i="9"/>
  <c r="O3422" i="9"/>
  <c r="O3416" i="9"/>
  <c r="O3412" i="9"/>
  <c r="O3366" i="9"/>
  <c r="O3346" i="9"/>
  <c r="O3338" i="9"/>
  <c r="O3332" i="9"/>
  <c r="O3326" i="9"/>
  <c r="O3310" i="9"/>
  <c r="O3274" i="9"/>
  <c r="O3262" i="9"/>
  <c r="O3254" i="9"/>
  <c r="O3240" i="9"/>
  <c r="O3214" i="9"/>
  <c r="O3208" i="9"/>
  <c r="O3176" i="9"/>
  <c r="O3158" i="9"/>
  <c r="O3150" i="9"/>
  <c r="O3134" i="9"/>
  <c r="O3126" i="9"/>
  <c r="O3112" i="9"/>
  <c r="O3092" i="9"/>
  <c r="O3088" i="9"/>
  <c r="O3076" i="9"/>
  <c r="O3066" i="9"/>
  <c r="O3060" i="9"/>
  <c r="O3058" i="9"/>
  <c r="O3054" i="9"/>
  <c r="O3048" i="9"/>
  <c r="O3024" i="9"/>
  <c r="O3014" i="9"/>
  <c r="O3002" i="9"/>
  <c r="O2996" i="9"/>
  <c r="O2988" i="9"/>
  <c r="O2972" i="9"/>
  <c r="O2966" i="9"/>
  <c r="O2914" i="9"/>
  <c r="O2886" i="9"/>
  <c r="O2878" i="9"/>
  <c r="O2870" i="9"/>
  <c r="O2868" i="9"/>
  <c r="O2866" i="9"/>
  <c r="O2862" i="9"/>
  <c r="O2858" i="9"/>
  <c r="O2830" i="9"/>
  <c r="O2816" i="9"/>
  <c r="O2796" i="9"/>
  <c r="O2794" i="9"/>
  <c r="O2788" i="9"/>
  <c r="O2784" i="9"/>
  <c r="O2778" i="9"/>
  <c r="O2770" i="9"/>
  <c r="O2764" i="9"/>
  <c r="O2750" i="9"/>
  <c r="O2744" i="9"/>
  <c r="O2732" i="9"/>
  <c r="O2716" i="9"/>
  <c r="O2666" i="9"/>
  <c r="O2646" i="9"/>
  <c r="O2640" i="9"/>
  <c r="O2620" i="9"/>
  <c r="O2618" i="9"/>
  <c r="O2614" i="9"/>
  <c r="O2564" i="9"/>
  <c r="O2558" i="9"/>
  <c r="O2548" i="9"/>
  <c r="O2546" i="9"/>
  <c r="O2532" i="9"/>
  <c r="O2484" i="9"/>
  <c r="O2478" i="9"/>
  <c r="O2432" i="9"/>
  <c r="O2426" i="9"/>
  <c r="O2402" i="9"/>
  <c r="O2386" i="9"/>
  <c r="O2376" i="9"/>
  <c r="O2368" i="9"/>
  <c r="O2366" i="9"/>
  <c r="O2364" i="9"/>
  <c r="O2348" i="9"/>
  <c r="O2334" i="9"/>
  <c r="O2310" i="9"/>
  <c r="O3407" i="9"/>
  <c r="O3403" i="9"/>
  <c r="O3399" i="9"/>
  <c r="O3375" i="9"/>
  <c r="O3373" i="9"/>
  <c r="O3369" i="9"/>
  <c r="O3363" i="9"/>
  <c r="O3359" i="9"/>
  <c r="O3355" i="9"/>
  <c r="O3351" i="9"/>
  <c r="O3347" i="9"/>
  <c r="O3345" i="9"/>
  <c r="O3341" i="9"/>
  <c r="O3321" i="9"/>
  <c r="O3317" i="9"/>
  <c r="O3311" i="9"/>
  <c r="O3293" i="9"/>
  <c r="O3169" i="9"/>
  <c r="O3163" i="9"/>
  <c r="O3147" i="9"/>
  <c r="O3143" i="9"/>
  <c r="O3127" i="9"/>
  <c r="O3121" i="9"/>
  <c r="O3115" i="9"/>
  <c r="O3095" i="9"/>
  <c r="O3083" i="9"/>
  <c r="O3069" i="9"/>
  <c r="O3063" i="9"/>
  <c r="O3053" i="9"/>
  <c r="O3051" i="9"/>
  <c r="O3043" i="9"/>
  <c r="O3037" i="9"/>
  <c r="O3029" i="9"/>
  <c r="O3021" i="9"/>
  <c r="O2997" i="9"/>
  <c r="O2983" i="9"/>
  <c r="O2899" i="9"/>
  <c r="O2855" i="9"/>
  <c r="O2851" i="9"/>
  <c r="O2849" i="9"/>
  <c r="O2825" i="9"/>
  <c r="O2819" i="9"/>
  <c r="O2811" i="9"/>
  <c r="O2805" i="9"/>
  <c r="O2781" i="9"/>
  <c r="O2775" i="9"/>
  <c r="O2769" i="9"/>
  <c r="O2689" i="9"/>
  <c r="O2681" i="9"/>
  <c r="O2657" i="9"/>
  <c r="O2653" i="9"/>
  <c r="O2639" i="9"/>
  <c r="O2637" i="9"/>
  <c r="O2631" i="9"/>
  <c r="O2625" i="9"/>
  <c r="O2621" i="9"/>
  <c r="O2605" i="9"/>
  <c r="O2595" i="9"/>
  <c r="O2593" i="9"/>
  <c r="O2587" i="9"/>
  <c r="O2579" i="9"/>
  <c r="O2571" i="9"/>
  <c r="O2545" i="9"/>
  <c r="O2541" i="9"/>
  <c r="O2537" i="9"/>
  <c r="O2525" i="9"/>
  <c r="O2417" i="9"/>
  <c r="O2409" i="9"/>
  <c r="O2395" i="9"/>
  <c r="O2371" i="9"/>
  <c r="O2355" i="9"/>
  <c r="O2353" i="9"/>
  <c r="O2341" i="9"/>
  <c r="O2325" i="9"/>
  <c r="O2319" i="9"/>
  <c r="O2315" i="9"/>
  <c r="O2305" i="9"/>
  <c r="O2299" i="9"/>
  <c r="O2283" i="9"/>
  <c r="O2275" i="9"/>
  <c r="O2231" i="9"/>
  <c r="O2219" i="9"/>
  <c r="O2183" i="9"/>
  <c r="O2121" i="9"/>
  <c r="O2240" i="9"/>
  <c r="O2208" i="9"/>
  <c r="O2168" i="9"/>
  <c r="O2088" i="9"/>
  <c r="O2084" i="9"/>
  <c r="O2066" i="9"/>
  <c r="O2062" i="9"/>
  <c r="O2054" i="9"/>
  <c r="O2024" i="9"/>
  <c r="O2022" i="9"/>
  <c r="O2016" i="9"/>
  <c r="O1998" i="9"/>
  <c r="O1988" i="9"/>
  <c r="O1964" i="9"/>
  <c r="O1960" i="9"/>
  <c r="O1918" i="9"/>
  <c r="O1894" i="9"/>
  <c r="O1888" i="9"/>
  <c r="O1804" i="9"/>
  <c r="O1768" i="9"/>
  <c r="O1762" i="9"/>
  <c r="O1754" i="9"/>
  <c r="O1746" i="9"/>
  <c r="O1732" i="9"/>
  <c r="O1706" i="9"/>
  <c r="O1704" i="9"/>
  <c r="O1692" i="9"/>
  <c r="O1668" i="9"/>
  <c r="O1664" i="9"/>
  <c r="O1656" i="9"/>
  <c r="O1652" i="9"/>
  <c r="O1630" i="9"/>
  <c r="O1600" i="9"/>
  <c r="O1592" i="9"/>
  <c r="O1574" i="9"/>
  <c r="O1554" i="9"/>
  <c r="O1544" i="9"/>
  <c r="O1526" i="9"/>
  <c r="O1518" i="9"/>
  <c r="O1504" i="9"/>
  <c r="O1494" i="9"/>
  <c r="O1480" i="9"/>
  <c r="O2250" i="9"/>
  <c r="O2202" i="9"/>
  <c r="O2196" i="9"/>
  <c r="O2093" i="9"/>
  <c r="O2087" i="9"/>
  <c r="O2083" i="9"/>
  <c r="O2079" i="9"/>
  <c r="O2071" i="9"/>
  <c r="O2063" i="9"/>
  <c r="O2049" i="9"/>
  <c r="O2035" i="9"/>
  <c r="O2031" i="9"/>
  <c r="O2025" i="9"/>
  <c r="O2009" i="9"/>
  <c r="O2003" i="9"/>
  <c r="O1985" i="9"/>
  <c r="O1983" i="9"/>
  <c r="O1981" i="9"/>
  <c r="O1975" i="9"/>
  <c r="O1969" i="9"/>
  <c r="O1879" i="9"/>
  <c r="O1873" i="9"/>
  <c r="O1867" i="9"/>
  <c r="O1859" i="9"/>
  <c r="O1853" i="9"/>
  <c r="O1797" i="9"/>
  <c r="O1757" i="9"/>
  <c r="O1751" i="9"/>
  <c r="O1741" i="9"/>
  <c r="O1737" i="9"/>
  <c r="O1735" i="9"/>
  <c r="O1729" i="9"/>
  <c r="O1723" i="9"/>
  <c r="O1715" i="9"/>
  <c r="O1713" i="9"/>
  <c r="O1699" i="9"/>
  <c r="O1687" i="9"/>
  <c r="O1681" i="9"/>
  <c r="O1659" i="9"/>
  <c r="O1647" i="9"/>
  <c r="O1615" i="9"/>
  <c r="O1611" i="9"/>
  <c r="O1563" i="9"/>
  <c r="O1509" i="9"/>
  <c r="O1491" i="9"/>
  <c r="O1487" i="9"/>
  <c r="O2190" i="9"/>
  <c r="O1473" i="9"/>
  <c r="O1459" i="9"/>
  <c r="O1443" i="9"/>
  <c r="O1371" i="9"/>
  <c r="O1317" i="9"/>
  <c r="O1301" i="9"/>
  <c r="O1293" i="9"/>
  <c r="O1291" i="9"/>
  <c r="O1289" i="9"/>
  <c r="O1283" i="9"/>
  <c r="O1241" i="9"/>
  <c r="O1235" i="9"/>
  <c r="O1223" i="9"/>
  <c r="O1221" i="9"/>
  <c r="O1215" i="9"/>
  <c r="O1191" i="9"/>
  <c r="O1185" i="9"/>
  <c r="O1163" i="9"/>
  <c r="O1143" i="9"/>
  <c r="O1089" i="9"/>
  <c r="O1083" i="9"/>
  <c r="O1075" i="9"/>
  <c r="O1069" i="9"/>
  <c r="O1035" i="9"/>
  <c r="O961" i="9"/>
  <c r="O953" i="9"/>
  <c r="O939" i="9"/>
  <c r="O917" i="9"/>
  <c r="O911" i="9"/>
  <c r="O907" i="9"/>
  <c r="O901" i="9"/>
  <c r="O899" i="9"/>
  <c r="O897" i="9"/>
  <c r="O895" i="9"/>
  <c r="O867" i="9"/>
  <c r="O859" i="9"/>
  <c r="O839" i="9"/>
  <c r="O829" i="9"/>
  <c r="O821" i="9"/>
  <c r="O817" i="9"/>
  <c r="O813" i="9"/>
  <c r="O805" i="9"/>
  <c r="O797" i="9"/>
  <c r="O761" i="9"/>
  <c r="O735" i="9"/>
  <c r="O727" i="9"/>
  <c r="O717" i="9"/>
  <c r="O707" i="9"/>
  <c r="O701" i="9"/>
  <c r="O689" i="9"/>
  <c r="O681" i="9"/>
  <c r="O667" i="9"/>
  <c r="O659" i="9"/>
  <c r="O611" i="9"/>
  <c r="O539" i="9"/>
  <c r="O527" i="9"/>
  <c r="O519" i="9"/>
  <c r="O493" i="9"/>
  <c r="O485" i="9"/>
  <c r="O477" i="9"/>
  <c r="O469" i="9"/>
  <c r="O439" i="9"/>
  <c r="O429" i="9"/>
  <c r="O417" i="9"/>
  <c r="O411" i="9"/>
  <c r="O397" i="9"/>
  <c r="O387" i="9"/>
  <c r="O379" i="9"/>
  <c r="O359" i="9"/>
  <c r="O353" i="9"/>
  <c r="O325" i="9"/>
  <c r="O313" i="9"/>
  <c r="O295" i="9"/>
  <c r="O273" i="9"/>
  <c r="O249" i="9"/>
  <c r="O241" i="9"/>
  <c r="O233" i="9"/>
  <c r="O207" i="9"/>
  <c r="O177" i="9"/>
  <c r="O163" i="9"/>
  <c r="O123" i="9"/>
  <c r="O121" i="9"/>
  <c r="O119" i="9"/>
  <c r="O115" i="9"/>
  <c r="O111" i="9"/>
  <c r="O105" i="9"/>
  <c r="O1466" i="9"/>
  <c r="O1434" i="9"/>
  <c r="O1422" i="9"/>
  <c r="O1378" i="9"/>
  <c r="O1356" i="9"/>
  <c r="O1334" i="9"/>
  <c r="O1326" i="9"/>
  <c r="O1322" i="9"/>
  <c r="O1310" i="9"/>
  <c r="O1278" i="9"/>
  <c r="O1254" i="9"/>
  <c r="O1250" i="9"/>
  <c r="O1246" i="9"/>
  <c r="O1228" i="9"/>
  <c r="O1208" i="9"/>
  <c r="O1196" i="9"/>
  <c r="O1178" i="9"/>
  <c r="O1170" i="9"/>
  <c r="O1150" i="9"/>
  <c r="O1142" i="9"/>
  <c r="O1138" i="9"/>
  <c r="O1112" i="9"/>
  <c r="O1062" i="9"/>
  <c r="O1054" i="9"/>
  <c r="O1022" i="9"/>
  <c r="O1004" i="9"/>
  <c r="O980" i="9"/>
  <c r="O970" i="9"/>
  <c r="O932" i="9"/>
  <c r="O924" i="9"/>
  <c r="O914" i="9"/>
  <c r="O878" i="9"/>
  <c r="O876" i="9"/>
  <c r="O872" i="9"/>
  <c r="O852" i="9"/>
  <c r="O846" i="9"/>
  <c r="O810" i="9"/>
  <c r="O786" i="9"/>
  <c r="O784" i="9"/>
  <c r="O782" i="9"/>
  <c r="O770" i="9"/>
  <c r="O694" i="9"/>
  <c r="O674" i="9"/>
  <c r="O652" i="9"/>
  <c r="O632" i="9"/>
  <c r="O622" i="9"/>
  <c r="O580" i="9"/>
  <c r="O568" i="9"/>
  <c r="O558" i="9"/>
  <c r="O548" i="9"/>
  <c r="O532" i="9"/>
  <c r="O500" i="9"/>
  <c r="O498" i="9"/>
  <c r="O470" i="9"/>
  <c r="O468" i="9"/>
  <c r="O462" i="9"/>
  <c r="O456" i="9"/>
  <c r="O434" i="9"/>
  <c r="O424" i="9"/>
  <c r="O404" i="9"/>
  <c r="O372" i="9"/>
  <c r="O370" i="9"/>
  <c r="O366" i="9"/>
  <c r="O350" i="9"/>
  <c r="O342" i="9"/>
  <c r="O320" i="9"/>
  <c r="O298" i="9"/>
  <c r="O290" i="9"/>
  <c r="O278" i="9"/>
  <c r="O270" i="9"/>
  <c r="O266" i="9"/>
  <c r="O258" i="9"/>
  <c r="O216" i="9"/>
  <c r="O186" i="9"/>
  <c r="O170" i="9"/>
  <c r="O124" i="9"/>
  <c r="O112" i="9"/>
  <c r="O108" i="9"/>
  <c r="O96" i="9"/>
  <c r="O88" i="9"/>
  <c r="O66" i="9"/>
  <c r="O62" i="9"/>
  <c r="O56" i="9"/>
  <c r="O44" i="9"/>
  <c r="O34" i="9"/>
  <c r="O12" i="9"/>
  <c r="O2180" i="10"/>
  <c r="O2107" i="10"/>
  <c r="O2079" i="10"/>
  <c r="O2088" i="10"/>
  <c r="O2119" i="10"/>
  <c r="O2157" i="10"/>
  <c r="O2127" i="10"/>
  <c r="O2073" i="10"/>
  <c r="O1872" i="10"/>
  <c r="O1826" i="10"/>
  <c r="O1777" i="10"/>
  <c r="O1761" i="10"/>
  <c r="O1767" i="10"/>
  <c r="O1792" i="10"/>
  <c r="O1893" i="10"/>
  <c r="O1947" i="10"/>
  <c r="O1912" i="10"/>
  <c r="O1990" i="10"/>
  <c r="O1855" i="10"/>
  <c r="O1753" i="10"/>
  <c r="O1691" i="10"/>
  <c r="O1722" i="10"/>
  <c r="O1650" i="10"/>
  <c r="O1619" i="10"/>
  <c r="O1586" i="10"/>
  <c r="O1707" i="10"/>
  <c r="O1596" i="10"/>
  <c r="O1554" i="10"/>
  <c r="O1506" i="10"/>
  <c r="O1419" i="10"/>
  <c r="O1384" i="10"/>
  <c r="O1538" i="10"/>
  <c r="O1477" i="10"/>
  <c r="O1366" i="10"/>
  <c r="O1473" i="10"/>
  <c r="O1467" i="10"/>
  <c r="O1459" i="10"/>
  <c r="O1361" i="10"/>
  <c r="O1453" i="10"/>
  <c r="O1377" i="10"/>
  <c r="O1107" i="10"/>
  <c r="O1101" i="10"/>
  <c r="O1302" i="10"/>
  <c r="O1197" i="10"/>
  <c r="O1168" i="10"/>
  <c r="O1063" i="10"/>
  <c r="O1233" i="10"/>
  <c r="O1977" i="10"/>
  <c r="O2029" i="10"/>
  <c r="O1941" i="10"/>
  <c r="O1888" i="10"/>
  <c r="O1841" i="10"/>
  <c r="O2122" i="10"/>
  <c r="O1967" i="10"/>
  <c r="O1875" i="10"/>
  <c r="O1803" i="10"/>
  <c r="O1757" i="10"/>
  <c r="O1752" i="10"/>
  <c r="O1733" i="10"/>
  <c r="O1695" i="10"/>
  <c r="O1653" i="10"/>
  <c r="O1614" i="10"/>
  <c r="O1664" i="10"/>
  <c r="O1612" i="10"/>
  <c r="O1703" i="10"/>
  <c r="O1556" i="10"/>
  <c r="O1548" i="10"/>
  <c r="O1487" i="10"/>
  <c r="O1389" i="10"/>
  <c r="O1353" i="10"/>
  <c r="O1381" i="10"/>
  <c r="O1346" i="10"/>
  <c r="O1466" i="10"/>
  <c r="O1523" i="10"/>
  <c r="O1412" i="10"/>
  <c r="O1396" i="10"/>
  <c r="O1260" i="10"/>
  <c r="O1247" i="10"/>
  <c r="O1069" i="10"/>
  <c r="O1293" i="10"/>
  <c r="O1155" i="10"/>
  <c r="O1150" i="10"/>
  <c r="O1120" i="10"/>
  <c r="O1212" i="10"/>
  <c r="O1054" i="10"/>
  <c r="O745" i="10"/>
  <c r="O863" i="10"/>
  <c r="O1127" i="10"/>
  <c r="O1238" i="10"/>
  <c r="O1089" i="10"/>
  <c r="O1114" i="10"/>
  <c r="O1145" i="10"/>
  <c r="O1143" i="10"/>
  <c r="O1083" i="10"/>
  <c r="O1276" i="10"/>
  <c r="O907" i="10"/>
  <c r="O838" i="10"/>
  <c r="O1201" i="10"/>
  <c r="O798" i="10"/>
  <c r="O1024" i="10"/>
  <c r="O968" i="10"/>
  <c r="O866" i="10"/>
  <c r="O1021" i="10"/>
  <c r="O961" i="10"/>
  <c r="O1010" i="10"/>
  <c r="O953" i="10"/>
  <c r="O791" i="10"/>
  <c r="O1037" i="10"/>
  <c r="O940" i="10"/>
  <c r="O892" i="10"/>
  <c r="O809" i="10"/>
  <c r="O850" i="10"/>
  <c r="O889" i="10"/>
  <c r="O990" i="10"/>
  <c r="O986" i="10"/>
  <c r="O710" i="10"/>
  <c r="O493" i="10"/>
  <c r="O706" i="10"/>
  <c r="O903" i="10"/>
  <c r="O1018" i="10"/>
  <c r="O793" i="10"/>
  <c r="O1000" i="10"/>
  <c r="O783" i="10"/>
  <c r="O757" i="10"/>
  <c r="O752" i="10"/>
  <c r="O1027" i="10"/>
  <c r="O910" i="10"/>
  <c r="O871" i="10"/>
  <c r="O741" i="10"/>
  <c r="O884" i="10"/>
  <c r="O496" i="10"/>
  <c r="O410" i="10"/>
  <c r="O521" i="10"/>
  <c r="O702" i="10"/>
  <c r="O691" i="10"/>
  <c r="O627" i="10"/>
  <c r="O511" i="10"/>
  <c r="O395" i="10"/>
  <c r="O508" i="10"/>
  <c r="O436" i="10"/>
  <c r="O387" i="10"/>
  <c r="O361" i="10"/>
  <c r="O432" i="10"/>
  <c r="O476" i="10"/>
  <c r="O425" i="10"/>
  <c r="O649" i="10"/>
  <c r="O573" i="10"/>
  <c r="O645" i="10"/>
  <c r="O474" i="10"/>
  <c r="O357" i="10"/>
  <c r="O719" i="10"/>
  <c r="O667" i="10"/>
  <c r="O586" i="10"/>
  <c r="O382" i="10"/>
  <c r="O111" i="10"/>
  <c r="O399" i="10"/>
  <c r="O373" i="10"/>
  <c r="O726" i="10"/>
  <c r="O513" i="10"/>
  <c r="O623" i="10"/>
  <c r="O553" i="10"/>
  <c r="O487" i="10"/>
  <c r="O444" i="10"/>
  <c r="O683" i="10"/>
  <c r="O614" i="10"/>
  <c r="O549" i="10"/>
  <c r="O482" i="10"/>
  <c r="O676" i="10"/>
  <c r="O606" i="10"/>
  <c r="O712" i="10"/>
  <c r="O450" i="10"/>
  <c r="O470" i="10"/>
  <c r="O594" i="10"/>
  <c r="O540" i="10"/>
  <c r="O415" i="10"/>
  <c r="O354" i="10"/>
  <c r="O182" i="10"/>
  <c r="O319" i="10"/>
  <c r="O314" i="10"/>
  <c r="O108" i="10"/>
  <c r="O48" i="10"/>
  <c r="O20" i="10"/>
  <c r="O301" i="10"/>
  <c r="O40" i="10"/>
  <c r="O15" i="10"/>
  <c r="O238" i="10"/>
  <c r="O169" i="10"/>
  <c r="O58" i="10"/>
  <c r="O269" i="10"/>
  <c r="O87" i="10"/>
  <c r="O202" i="10"/>
  <c r="O3779" i="9"/>
  <c r="O3757" i="9"/>
  <c r="O3741" i="9"/>
  <c r="O3725" i="9"/>
  <c r="O3703" i="9"/>
  <c r="O3689" i="9"/>
  <c r="O3673" i="9"/>
  <c r="O3653" i="9"/>
  <c r="O3645" i="9"/>
  <c r="O3623" i="9"/>
  <c r="O3617" i="9"/>
  <c r="O3611" i="9"/>
  <c r="O3605" i="9"/>
  <c r="O3591" i="9"/>
  <c r="O3587" i="9"/>
  <c r="O3583" i="9"/>
  <c r="O3579" i="9"/>
  <c r="O3549" i="9"/>
  <c r="O3531" i="9"/>
  <c r="O3523" i="9"/>
  <c r="O263" i="10"/>
  <c r="O145" i="10"/>
  <c r="O256" i="10"/>
  <c r="O179" i="10"/>
  <c r="O70" i="10"/>
  <c r="O23" i="10"/>
  <c r="O250" i="10"/>
  <c r="O248" i="10"/>
  <c r="O338" i="10"/>
  <c r="O243" i="10"/>
  <c r="O62" i="10"/>
  <c r="O128" i="10"/>
  <c r="O59" i="10"/>
  <c r="O195" i="10"/>
  <c r="O77" i="10"/>
  <c r="O191" i="10"/>
  <c r="O284" i="10"/>
  <c r="O223" i="10"/>
  <c r="O167" i="10"/>
  <c r="O123" i="10"/>
  <c r="O37" i="10"/>
  <c r="O163" i="10"/>
  <c r="O209" i="10"/>
  <c r="O120" i="10"/>
  <c r="O32" i="10"/>
  <c r="O3802" i="9"/>
  <c r="O3796" i="9"/>
  <c r="O3788" i="9"/>
  <c r="O3772" i="9"/>
  <c r="O3766" i="9"/>
  <c r="O3734" i="9"/>
  <c r="O3716" i="9"/>
  <c r="O3682" i="9"/>
  <c r="O3666" i="9"/>
  <c r="O3662" i="9"/>
  <c r="O3636" i="9"/>
  <c r="O3630" i="9"/>
  <c r="O3574" i="9"/>
  <c r="O3536" i="9"/>
  <c r="O3488" i="9"/>
  <c r="O3478" i="9"/>
  <c r="O3444" i="9"/>
  <c r="O3406" i="9"/>
  <c r="O3402" i="9"/>
  <c r="O3398" i="9"/>
  <c r="O3396" i="9"/>
  <c r="O3372" i="9"/>
  <c r="O3368" i="9"/>
  <c r="O3358" i="9"/>
  <c r="O3340" i="9"/>
  <c r="O3316" i="9"/>
  <c r="O3312" i="9"/>
  <c r="O3292" i="9"/>
  <c r="O3278" i="9"/>
  <c r="O3270" i="9"/>
  <c r="O3250" i="9"/>
  <c r="O3200" i="9"/>
  <c r="O3194" i="9"/>
  <c r="O3190" i="9"/>
  <c r="O3184" i="9"/>
  <c r="O3168" i="9"/>
  <c r="O3142" i="9"/>
  <c r="O3120" i="9"/>
  <c r="O3098" i="9"/>
  <c r="O3082" i="9"/>
  <c r="O3042" i="9"/>
  <c r="O3036" i="9"/>
  <c r="O3028" i="9"/>
  <c r="O2982" i="9"/>
  <c r="O2938" i="9"/>
  <c r="O2922" i="9"/>
  <c r="O2898" i="9"/>
  <c r="O2892" i="9"/>
  <c r="O2824" i="9"/>
  <c r="O2810" i="9"/>
  <c r="O2804" i="9"/>
  <c r="O2780" i="9"/>
  <c r="O2702" i="9"/>
  <c r="O2688" i="9"/>
  <c r="O2680" i="9"/>
  <c r="O2672" i="9"/>
  <c r="O2652" i="9"/>
  <c r="O2636" i="9"/>
  <c r="O2630" i="9"/>
  <c r="O2624" i="9"/>
  <c r="O2610" i="9"/>
  <c r="O2604" i="9"/>
  <c r="O2600" i="9"/>
  <c r="O2586" i="9"/>
  <c r="O2578" i="9"/>
  <c r="O2570" i="9"/>
  <c r="O2544" i="9"/>
  <c r="O2540" i="9"/>
  <c r="O2536" i="9"/>
  <c r="O2524" i="9"/>
  <c r="O2510" i="9"/>
  <c r="O2462" i="9"/>
  <c r="O2444" i="9"/>
  <c r="O2416" i="9"/>
  <c r="O2408" i="9"/>
  <c r="O2370" i="9"/>
  <c r="O2352" i="9"/>
  <c r="O2340" i="9"/>
  <c r="O2324" i="9"/>
  <c r="O2320" i="9"/>
  <c r="O2314" i="9"/>
  <c r="O2304" i="9"/>
  <c r="O2298" i="9"/>
  <c r="O2282" i="9"/>
  <c r="O3499" i="9"/>
  <c r="O3517" i="9"/>
  <c r="O3469" i="9"/>
  <c r="O3451" i="9"/>
  <c r="O3437" i="9"/>
  <c r="O3429" i="9"/>
  <c r="O3415" i="9"/>
  <c r="O3411" i="9"/>
  <c r="O3377" i="9"/>
  <c r="O3309" i="9"/>
  <c r="O3283" i="9"/>
  <c r="O3273" i="9"/>
  <c r="O3265" i="9"/>
  <c r="O3261" i="9"/>
  <c r="O3239" i="9"/>
  <c r="O3233" i="9"/>
  <c r="O3225" i="9"/>
  <c r="O3213" i="9"/>
  <c r="O3175" i="9"/>
  <c r="O3165" i="9"/>
  <c r="O3157" i="9"/>
  <c r="O3133" i="9"/>
  <c r="O3125" i="9"/>
  <c r="O3101" i="9"/>
  <c r="O3091" i="9"/>
  <c r="O3087" i="9"/>
  <c r="O3075" i="9"/>
  <c r="O3001" i="9"/>
  <c r="O2987" i="9"/>
  <c r="O2971" i="9"/>
  <c r="O2959" i="9"/>
  <c r="O2949" i="9"/>
  <c r="O2943" i="9"/>
  <c r="O2913" i="9"/>
  <c r="O2885" i="9"/>
  <c r="O2877" i="9"/>
  <c r="O2871" i="9"/>
  <c r="O2865" i="9"/>
  <c r="O2861" i="9"/>
  <c r="O2843" i="9"/>
  <c r="O2837" i="9"/>
  <c r="O2829" i="9"/>
  <c r="O2787" i="9"/>
  <c r="O2783" i="9"/>
  <c r="O2753" i="9"/>
  <c r="O2749" i="9"/>
  <c r="O2743" i="9"/>
  <c r="O2737" i="9"/>
  <c r="O2727" i="9"/>
  <c r="O2719" i="9"/>
  <c r="O2715" i="9"/>
  <c r="O2707" i="9"/>
  <c r="O2665" i="9"/>
  <c r="O2645" i="9"/>
  <c r="O2597" i="9"/>
  <c r="O2591" i="9"/>
  <c r="O2567" i="9"/>
  <c r="O2563" i="9"/>
  <c r="O2557" i="9"/>
  <c r="O2531" i="9"/>
  <c r="O2505" i="9"/>
  <c r="O2489" i="9"/>
  <c r="O2483" i="9"/>
  <c r="O2477" i="9"/>
  <c r="O2473" i="9"/>
  <c r="O2467" i="9"/>
  <c r="O2431" i="9"/>
  <c r="O2425" i="9"/>
  <c r="O2401" i="9"/>
  <c r="O2391" i="9"/>
  <c r="O2385" i="9"/>
  <c r="O2347" i="9"/>
  <c r="O2333" i="9"/>
  <c r="O2291" i="9"/>
  <c r="O2267" i="9"/>
  <c r="O2249" i="9"/>
  <c r="O2239" i="9"/>
  <c r="O2211" i="9"/>
  <c r="O2207" i="9"/>
  <c r="O2201" i="9"/>
  <c r="O2195" i="9"/>
  <c r="O2189" i="9"/>
  <c r="O2175" i="9"/>
  <c r="O2167" i="9"/>
  <c r="O2151" i="9"/>
  <c r="O2272" i="9"/>
  <c r="O2224" i="9"/>
  <c r="O2144" i="9"/>
  <c r="O2128" i="9"/>
  <c r="O2120" i="9"/>
  <c r="O2106" i="9"/>
  <c r="O2100" i="9"/>
  <c r="O2098" i="9"/>
  <c r="O2092" i="9"/>
  <c r="O2078" i="9"/>
  <c r="O2070" i="9"/>
  <c r="O2038" i="9"/>
  <c r="O2034" i="9"/>
  <c r="O2030" i="9"/>
  <c r="O2008" i="9"/>
  <c r="O2002" i="9"/>
  <c r="O1992" i="9"/>
  <c r="O1984" i="9"/>
  <c r="O1980" i="9"/>
  <c r="O1974" i="9"/>
  <c r="O1968" i="9"/>
  <c r="O1944" i="9"/>
  <c r="O1940" i="9"/>
  <c r="O1898" i="9"/>
  <c r="O1878" i="9"/>
  <c r="O1872" i="9"/>
  <c r="O1866" i="9"/>
  <c r="O1858" i="9"/>
  <c r="O1852" i="9"/>
  <c r="O1848" i="9"/>
  <c r="O1838" i="9"/>
  <c r="O1814" i="9"/>
  <c r="O1796" i="9"/>
  <c r="O1774" i="9"/>
  <c r="O1740" i="9"/>
  <c r="O1728" i="9"/>
  <c r="O1718" i="9"/>
  <c r="O1712" i="9"/>
  <c r="O1698" i="9"/>
  <c r="O1694" i="9"/>
  <c r="O1686" i="9"/>
  <c r="O1678" i="9"/>
  <c r="O1646" i="9"/>
  <c r="O1640" i="9"/>
  <c r="O1584" i="9"/>
  <c r="O1578" i="9"/>
  <c r="O1570" i="9"/>
  <c r="O1562" i="9"/>
  <c r="O1508" i="9"/>
  <c r="O1498" i="9"/>
  <c r="O1486" i="9"/>
  <c r="O2274" i="9"/>
  <c r="O2218" i="9"/>
  <c r="O2260" i="9"/>
  <c r="O2061" i="9"/>
  <c r="O2053" i="9"/>
  <c r="O2021" i="9"/>
  <c r="O2015" i="9"/>
  <c r="O1997" i="9"/>
  <c r="O1987" i="9"/>
  <c r="O1963" i="9"/>
  <c r="O1951" i="9"/>
  <c r="O1925" i="9"/>
  <c r="O1917" i="9"/>
  <c r="O1913" i="9"/>
  <c r="O1893" i="9"/>
  <c r="O1887" i="9"/>
  <c r="O1825" i="9"/>
  <c r="O1819" i="9"/>
  <c r="O1803" i="9"/>
  <c r="O1789" i="9"/>
  <c r="O1783" i="9"/>
  <c r="O1767" i="9"/>
  <c r="O1753" i="9"/>
  <c r="O1745" i="9"/>
  <c r="O1703" i="9"/>
  <c r="O1673" i="9"/>
  <c r="O1655" i="9"/>
  <c r="O1643" i="9"/>
  <c r="O1637" i="9"/>
  <c r="O1631" i="9"/>
  <c r="O1623" i="9"/>
  <c r="O1599" i="9"/>
  <c r="O1591" i="9"/>
  <c r="O1581" i="9"/>
  <c r="O1553" i="9"/>
  <c r="O1543" i="9"/>
  <c r="O1531" i="9"/>
  <c r="O1525" i="9"/>
  <c r="O1517" i="9"/>
  <c r="O1503" i="9"/>
  <c r="O1479" i="9"/>
  <c r="O2262" i="9"/>
  <c r="O2230" i="9"/>
  <c r="O2182" i="9"/>
  <c r="O2158" i="9"/>
  <c r="O1465" i="9"/>
  <c r="O1453" i="9"/>
  <c r="O1433" i="9"/>
  <c r="O1421" i="9"/>
  <c r="O1395" i="9"/>
  <c r="O1389" i="9"/>
  <c r="O1377" i="9"/>
  <c r="O1355" i="9"/>
  <c r="O1341" i="9"/>
  <c r="O1333" i="9"/>
  <c r="O1321" i="9"/>
  <c r="O1309" i="9"/>
  <c r="O1277" i="9"/>
  <c r="O1273" i="9"/>
  <c r="O1261" i="9"/>
  <c r="O1257" i="9"/>
  <c r="O1249" i="9"/>
  <c r="O1245" i="9"/>
  <c r="O1227" i="9"/>
  <c r="O1207" i="9"/>
  <c r="O1205" i="9"/>
  <c r="O1203" i="9"/>
  <c r="O1177" i="9"/>
  <c r="O1169" i="9"/>
  <c r="O1149" i="9"/>
  <c r="O1119" i="9"/>
  <c r="O1117" i="9"/>
  <c r="O1111" i="9"/>
  <c r="O1103" i="9"/>
  <c r="O1061" i="9"/>
  <c r="O1053" i="9"/>
  <c r="O1027" i="9"/>
  <c r="O1021" i="9"/>
  <c r="O1015" i="9"/>
  <c r="O987" i="9"/>
  <c r="O979" i="9"/>
  <c r="O969" i="9"/>
  <c r="O965" i="9"/>
  <c r="O945" i="9"/>
  <c r="O931" i="9"/>
  <c r="O923" i="9"/>
  <c r="O875" i="9"/>
  <c r="O871" i="9"/>
  <c r="O851" i="9"/>
  <c r="O845" i="9"/>
  <c r="O809" i="9"/>
  <c r="O693" i="9"/>
  <c r="O685" i="9"/>
  <c r="O673" i="9"/>
  <c r="O651" i="9"/>
  <c r="O631" i="9"/>
  <c r="O621" i="9"/>
  <c r="O599" i="9"/>
  <c r="O585" i="9"/>
  <c r="O579" i="9"/>
  <c r="O573" i="9"/>
  <c r="O567" i="9"/>
  <c r="O557" i="9"/>
  <c r="O547" i="9"/>
  <c r="O531" i="9"/>
  <c r="O509" i="9"/>
  <c r="O461" i="9"/>
  <c r="O453" i="9"/>
  <c r="O443" i="9"/>
  <c r="O441" i="9"/>
  <c r="O433" i="9"/>
  <c r="O423" i="9"/>
  <c r="O403" i="9"/>
  <c r="O389" i="9"/>
  <c r="O369" i="9"/>
  <c r="O365" i="9"/>
  <c r="O341" i="9"/>
  <c r="O335" i="9"/>
  <c r="O319" i="9"/>
  <c r="O277" i="9"/>
  <c r="O265" i="9"/>
  <c r="O257" i="9"/>
  <c r="O223" i="9"/>
  <c r="O215" i="9"/>
  <c r="O209" i="9"/>
  <c r="O185" i="9"/>
  <c r="O169" i="9"/>
  <c r="O1472" i="9"/>
  <c r="O1458" i="9"/>
  <c r="O1448" i="9"/>
  <c r="O1442" i="9"/>
  <c r="O1412" i="9"/>
  <c r="O1406" i="9"/>
  <c r="O1370" i="9"/>
  <c r="O1316" i="9"/>
  <c r="O1300" i="9"/>
  <c r="O1288" i="9"/>
  <c r="O1282" i="9"/>
  <c r="O1274" i="9"/>
  <c r="O1268" i="9"/>
  <c r="O1264" i="9"/>
  <c r="O1240" i="9"/>
  <c r="O1234" i="9"/>
  <c r="O1220" i="9"/>
  <c r="O1214" i="9"/>
  <c r="O1190" i="9"/>
  <c r="O1184" i="9"/>
  <c r="O1162" i="9"/>
  <c r="O1152" i="9"/>
  <c r="O1130" i="9"/>
  <c r="O1122" i="9"/>
  <c r="O1096" i="9"/>
  <c r="O1092" i="9"/>
  <c r="O1082" i="9"/>
  <c r="O1078" i="9"/>
  <c r="O1074" i="9"/>
  <c r="O1068" i="9"/>
  <c r="O1042" i="9"/>
  <c r="O1034" i="9"/>
  <c r="O1010" i="9"/>
  <c r="O960" i="9"/>
  <c r="O952" i="9"/>
  <c r="O906" i="9"/>
  <c r="O894" i="9"/>
  <c r="O866" i="9"/>
  <c r="O858" i="9"/>
  <c r="O838" i="9"/>
  <c r="O820" i="9"/>
  <c r="O816" i="9"/>
  <c r="O804" i="9"/>
  <c r="O796" i="9"/>
  <c r="O790" i="9"/>
  <c r="O754" i="9"/>
  <c r="O740" i="9"/>
  <c r="O734" i="9"/>
  <c r="O726" i="9"/>
  <c r="O716" i="9"/>
  <c r="O706" i="9"/>
  <c r="O700" i="9"/>
  <c r="O688" i="9"/>
  <c r="O680" i="9"/>
  <c r="O666" i="9"/>
  <c r="O658" i="9"/>
  <c r="O610" i="9"/>
  <c r="O606" i="9"/>
  <c r="O602" i="9"/>
  <c r="O552" i="9"/>
  <c r="O538" i="9"/>
  <c r="O518" i="9"/>
  <c r="O492" i="9"/>
  <c r="O484" i="9"/>
  <c r="O476" i="9"/>
  <c r="O450" i="9"/>
  <c r="O446" i="9"/>
  <c r="O438" i="9"/>
  <c r="O416" i="9"/>
  <c r="O410" i="9"/>
  <c r="O396" i="9"/>
  <c r="O386" i="9"/>
  <c r="O382" i="9"/>
  <c r="O378" i="9"/>
  <c r="O358" i="9"/>
  <c r="O352" i="9"/>
  <c r="O294" i="9"/>
  <c r="O248" i="9"/>
  <c r="O240" i="9"/>
  <c r="O232" i="9"/>
  <c r="O176" i="9"/>
  <c r="O158" i="9"/>
  <c r="O152" i="9"/>
  <c r="O144" i="9"/>
  <c r="O122" i="9"/>
  <c r="O118" i="9"/>
  <c r="O110" i="9"/>
  <c r="O100" i="9"/>
  <c r="O92" i="9"/>
  <c r="O84" i="9"/>
  <c r="O78" i="9"/>
  <c r="O72" i="9"/>
  <c r="O48" i="9"/>
  <c r="O40" i="9"/>
  <c r="O28" i="9"/>
  <c r="O24" i="9"/>
  <c r="O9" i="9"/>
  <c r="O25" i="9"/>
  <c r="O33" i="9"/>
  <c r="O41" i="9"/>
  <c r="O49" i="9"/>
  <c r="O57" i="9"/>
  <c r="O73" i="9"/>
  <c r="O81" i="9"/>
  <c r="O89" i="9"/>
  <c r="O1305" i="10"/>
  <c r="O1641" i="10"/>
  <c r="O1446" i="10"/>
  <c r="O1013" i="10"/>
  <c r="O872" i="10"/>
  <c r="O696" i="10"/>
  <c r="O400" i="10"/>
  <c r="O632" i="10"/>
  <c r="O574" i="10"/>
  <c r="O526" i="10"/>
  <c r="O310" i="10"/>
  <c r="O114" i="10"/>
  <c r="O3727" i="9"/>
  <c r="O197" i="10"/>
  <c r="O151" i="10"/>
  <c r="O82" i="10"/>
  <c r="O3684" i="9"/>
  <c r="O2720" i="9"/>
  <c r="O3215" i="9"/>
  <c r="O2915" i="9"/>
  <c r="O2241" i="9"/>
  <c r="O2176" i="9"/>
  <c r="O1423" i="9"/>
  <c r="O971" i="9"/>
  <c r="O633" i="9"/>
  <c r="O593" i="9"/>
  <c r="O559" i="9"/>
  <c r="O145" i="9"/>
  <c r="O1396" i="9"/>
  <c r="O1036" i="9"/>
  <c r="O140" i="9"/>
  <c r="O2191" i="10"/>
  <c r="O2225" i="10"/>
  <c r="O2212" i="10"/>
  <c r="O2198" i="10"/>
  <c r="O2227" i="10"/>
  <c r="O2197" i="10"/>
  <c r="O2202" i="10"/>
  <c r="O2195" i="10"/>
  <c r="O2171" i="10"/>
  <c r="O2199" i="10"/>
  <c r="O2210" i="10"/>
  <c r="O2179" i="10"/>
  <c r="O2165" i="10"/>
  <c r="O2231" i="10"/>
  <c r="O2229" i="10"/>
  <c r="O2220" i="10"/>
  <c r="O2182" i="10"/>
  <c r="O2187" i="10"/>
  <c r="O2136" i="10"/>
  <c r="O2161" i="10"/>
  <c r="O2141" i="10"/>
  <c r="O2121" i="10"/>
  <c r="O2156" i="10"/>
  <c r="O2147" i="10"/>
  <c r="O2132" i="10"/>
  <c r="O2129" i="10"/>
  <c r="O2124" i="10"/>
  <c r="O2117" i="10"/>
  <c r="O2144" i="10"/>
  <c r="O2154" i="10"/>
  <c r="O2108" i="10"/>
  <c r="O2091" i="10"/>
  <c r="O2106" i="10"/>
  <c r="O2085" i="10"/>
  <c r="O2110" i="10"/>
  <c r="O2072" i="10"/>
  <c r="O2102" i="10"/>
  <c r="O2097" i="10"/>
  <c r="O2081" i="10"/>
  <c r="O2060" i="10"/>
  <c r="O2223" i="10"/>
  <c r="O2167" i="10"/>
  <c r="O2164" i="10"/>
  <c r="O2221" i="10"/>
  <c r="O2216" i="10"/>
  <c r="O2139" i="10"/>
  <c r="O2134" i="10"/>
  <c r="O2064" i="10"/>
  <c r="O2175" i="10"/>
  <c r="O2150" i="10"/>
  <c r="O2163" i="10"/>
  <c r="O2137" i="10"/>
  <c r="O2089" i="10"/>
  <c r="O2070" i="10"/>
  <c r="O2004" i="10"/>
  <c r="O2022" i="10"/>
  <c r="O1999" i="10"/>
  <c r="O2055" i="10"/>
  <c r="O2046" i="10"/>
  <c r="O2034" i="10"/>
  <c r="O2019" i="10"/>
  <c r="O2045" i="10"/>
  <c r="O2007" i="10"/>
  <c r="O2014" i="10"/>
  <c r="O1835" i="10"/>
  <c r="O1838" i="10"/>
  <c r="O1892" i="10"/>
  <c r="O1946" i="10"/>
  <c r="O1920" i="10"/>
  <c r="O1849" i="10"/>
  <c r="O1865" i="10"/>
  <c r="O1943" i="10"/>
  <c r="O1915" i="10"/>
  <c r="O1940" i="10"/>
  <c r="O1911" i="10"/>
  <c r="O1887" i="10"/>
  <c r="O1878" i="10"/>
  <c r="O1869" i="10"/>
  <c r="O1862" i="10"/>
  <c r="O1854" i="10"/>
  <c r="O1840" i="10"/>
  <c r="O1908" i="10"/>
  <c r="O1866" i="10"/>
  <c r="O1860" i="10"/>
  <c r="O1852" i="10"/>
  <c r="O1836" i="10"/>
  <c r="O1812" i="10"/>
  <c r="O1785" i="10"/>
  <c r="O1830" i="10"/>
  <c r="O1823" i="10"/>
  <c r="O1821" i="10"/>
  <c r="O1763" i="10"/>
  <c r="O1817" i="10"/>
  <c r="O1774" i="10"/>
  <c r="O1765" i="10"/>
  <c r="O2143" i="10"/>
  <c r="O2113" i="10"/>
  <c r="O2036" i="10"/>
  <c r="O2002" i="10"/>
  <c r="O1988" i="10"/>
  <c r="O1961" i="10"/>
  <c r="O1885" i="10"/>
  <c r="O1825" i="10"/>
  <c r="O1773" i="10"/>
  <c r="O1780" i="10"/>
  <c r="O1746" i="10"/>
  <c r="O1796" i="10"/>
  <c r="O2061" i="10"/>
  <c r="O2075" i="10"/>
  <c r="O2025" i="10"/>
  <c r="O2038" i="10"/>
  <c r="O2000" i="10"/>
  <c r="O2009" i="10"/>
  <c r="O1975" i="10"/>
  <c r="O1928" i="10"/>
  <c r="O1952" i="10"/>
  <c r="O1923" i="10"/>
  <c r="O1917" i="10"/>
  <c r="O1898" i="10"/>
  <c r="O1833" i="10"/>
  <c r="O1808" i="10"/>
  <c r="O1768" i="10"/>
  <c r="O1745" i="10"/>
  <c r="O1694" i="10"/>
  <c r="O1728" i="10"/>
  <c r="O1724" i="10"/>
  <c r="O1684" i="10"/>
  <c r="O1624" i="10"/>
  <c r="O1593" i="10"/>
  <c r="O1637" i="10"/>
  <c r="O1622" i="10"/>
  <c r="O1607" i="10"/>
  <c r="O1720" i="10"/>
  <c r="O1621" i="10"/>
  <c r="O1635" i="10"/>
  <c r="O1599" i="10"/>
  <c r="O1677" i="10"/>
  <c r="O1647" i="10"/>
  <c r="O1633" i="10"/>
  <c r="O1617" i="10"/>
  <c r="O1602" i="10"/>
  <c r="O1597" i="10"/>
  <c r="O1704" i="10"/>
  <c r="O1663" i="10"/>
  <c r="O1611" i="10"/>
  <c r="O1701" i="10"/>
  <c r="O1504" i="10"/>
  <c r="O1395" i="10"/>
  <c r="O1359" i="10"/>
  <c r="O1490" i="10"/>
  <c r="O1420" i="10"/>
  <c r="O1561" i="10"/>
  <c r="O1498" i="10"/>
  <c r="O1560" i="10"/>
  <c r="O1555" i="10"/>
  <c r="O1547" i="10"/>
  <c r="O1486" i="10"/>
  <c r="O1391" i="10"/>
  <c r="O1484" i="10"/>
  <c r="O1483" i="10"/>
  <c r="O1542" i="10"/>
  <c r="O1481" i="10"/>
  <c r="O1407" i="10"/>
  <c r="O1352" i="10"/>
  <c r="O1572" i="10"/>
  <c r="O1536" i="10"/>
  <c r="O1433" i="10"/>
  <c r="O1416" i="10"/>
  <c r="O1380" i="10"/>
  <c r="O1364" i="10"/>
  <c r="O1530" i="10"/>
  <c r="O1465" i="10"/>
  <c r="O1414" i="10"/>
  <c r="O1445" i="10"/>
  <c r="O1565" i="10"/>
  <c r="O1517" i="10"/>
  <c r="O1428" i="10"/>
  <c r="O1515" i="10"/>
  <c r="O1252" i="10"/>
  <c r="O1078" i="10"/>
  <c r="O1265" i="10"/>
  <c r="O1259" i="10"/>
  <c r="O1162" i="10"/>
  <c r="O1246" i="10"/>
  <c r="O1074" i="10"/>
  <c r="O1299" i="10"/>
  <c r="O1243" i="10"/>
  <c r="O1202" i="10"/>
  <c r="O1200" i="10"/>
  <c r="O1157" i="10"/>
  <c r="O1068" i="10"/>
  <c r="O1325" i="10"/>
  <c r="O1237" i="10"/>
  <c r="O1154" i="10"/>
  <c r="O1126" i="10"/>
  <c r="O1061" i="10"/>
  <c r="O1149" i="10"/>
  <c r="O1085" i="10"/>
  <c r="O1060" i="10"/>
  <c r="O2206" i="10"/>
  <c r="O2066" i="10"/>
  <c r="O2051" i="10"/>
  <c r="O2049" i="10"/>
  <c r="O1981" i="10"/>
  <c r="O1953" i="10"/>
  <c r="O1881" i="10"/>
  <c r="O1880" i="10"/>
  <c r="O1935" i="10"/>
  <c r="O1801" i="10"/>
  <c r="O1771" i="10"/>
  <c r="O1755" i="10"/>
  <c r="O2078" i="10"/>
  <c r="O1986" i="10"/>
  <c r="O2050" i="10"/>
  <c r="O1994" i="10"/>
  <c r="O1997" i="10"/>
  <c r="O1950" i="10"/>
  <c r="O1958" i="10"/>
  <c r="O1901" i="10"/>
  <c r="O1876" i="10"/>
  <c r="O1809" i="10"/>
  <c r="O1775" i="10"/>
  <c r="O1779" i="10"/>
  <c r="O1750" i="10"/>
  <c r="O1726" i="10"/>
  <c r="O1627" i="10"/>
  <c r="O1625" i="10"/>
  <c r="O1731" i="10"/>
  <c r="O1654" i="10"/>
  <c r="O1639" i="10"/>
  <c r="O1738" i="10"/>
  <c r="O1690" i="10"/>
  <c r="O1651" i="10"/>
  <c r="O1609" i="10"/>
  <c r="O1682" i="10"/>
  <c r="O1606" i="10"/>
  <c r="O1736" i="10"/>
  <c r="O1715" i="10"/>
  <c r="O1585" i="10"/>
  <c r="O1628" i="10"/>
  <c r="O1667" i="10"/>
  <c r="O1630" i="10"/>
  <c r="O1595" i="10"/>
  <c r="O1577" i="10"/>
  <c r="O1422" i="10"/>
  <c r="O1410" i="10"/>
  <c r="O1375" i="10"/>
  <c r="O1497" i="10"/>
  <c r="O1440" i="10"/>
  <c r="O1575" i="10"/>
  <c r="O1493" i="10"/>
  <c r="O1437" i="10"/>
  <c r="O1357" i="10"/>
  <c r="O1386" i="10"/>
  <c r="O1371" i="10"/>
  <c r="O1383" i="10"/>
  <c r="O1369" i="10"/>
  <c r="O1476" i="10"/>
  <c r="O1404" i="10"/>
  <c r="O1344" i="10"/>
  <c r="O1534" i="10"/>
  <c r="O1401" i="10"/>
  <c r="O1508" i="10"/>
  <c r="O1471" i="10"/>
  <c r="O1454" i="10"/>
  <c r="O1398" i="10"/>
  <c r="O1360" i="10"/>
  <c r="O1340" i="10"/>
  <c r="O1106" i="10"/>
  <c r="O1161" i="10"/>
  <c r="O1208" i="10"/>
  <c r="O1176" i="10"/>
  <c r="O1312" i="10"/>
  <c r="O1179" i="10"/>
  <c r="O1329" i="10"/>
  <c r="O1308" i="10"/>
  <c r="O1257" i="10"/>
  <c r="O1327" i="10"/>
  <c r="O1301" i="10"/>
  <c r="O1204" i="10"/>
  <c r="O1171" i="10"/>
  <c r="O1158" i="10"/>
  <c r="O1072" i="10"/>
  <c r="O1240" i="10"/>
  <c r="O1117" i="10"/>
  <c r="O1268" i="10"/>
  <c r="O1285" i="10"/>
  <c r="O1113" i="10"/>
  <c r="O1227" i="10"/>
  <c r="O1099" i="10"/>
  <c r="O1076" i="10"/>
  <c r="O1277" i="10"/>
  <c r="O1142" i="10"/>
  <c r="O1082" i="10"/>
  <c r="O817" i="10"/>
  <c r="O1097" i="10"/>
  <c r="O1094" i="10"/>
  <c r="O1167" i="10"/>
  <c r="O1087" i="10"/>
  <c r="O1134" i="10"/>
  <c r="O1096" i="10"/>
  <c r="O1132" i="10"/>
  <c r="O1232" i="10"/>
  <c r="O1119" i="10"/>
  <c r="O1182" i="10"/>
  <c r="O1214" i="10"/>
  <c r="O1224" i="10"/>
  <c r="O1188" i="10"/>
  <c r="O1165" i="10"/>
  <c r="O1109" i="10"/>
  <c r="O1053" i="10"/>
  <c r="O1222" i="10"/>
  <c r="O970" i="10"/>
  <c r="O744" i="10"/>
  <c r="O956" i="10"/>
  <c r="O1196" i="10"/>
  <c r="O1057" i="10"/>
  <c r="O768" i="10"/>
  <c r="O773" i="10"/>
  <c r="O902" i="10"/>
  <c r="O965" i="10"/>
  <c r="O1017" i="10"/>
  <c r="O951" i="10"/>
  <c r="O896" i="10"/>
  <c r="O795" i="10"/>
  <c r="O1006" i="10"/>
  <c r="O857" i="10"/>
  <c r="O833" i="10"/>
  <c r="O792" i="10"/>
  <c r="O944" i="10"/>
  <c r="O999" i="10"/>
  <c r="O938" i="10"/>
  <c r="O828" i="10"/>
  <c r="O756" i="10"/>
  <c r="O826" i="10"/>
  <c r="O994" i="10"/>
  <c r="O932" i="10"/>
  <c r="O973" i="10"/>
  <c r="O742" i="10"/>
  <c r="O981" i="10"/>
  <c r="O917" i="10"/>
  <c r="O879" i="10"/>
  <c r="O847" i="10"/>
  <c r="O824" i="10"/>
  <c r="O805" i="10"/>
  <c r="O748" i="10"/>
  <c r="O409" i="10"/>
  <c r="O634" i="10"/>
  <c r="O631" i="10"/>
  <c r="O515" i="10"/>
  <c r="O639" i="10"/>
  <c r="O1170" i="10"/>
  <c r="O797" i="10"/>
  <c r="O967" i="10"/>
  <c r="O865" i="10"/>
  <c r="O804" i="10"/>
  <c r="O1041" i="10"/>
  <c r="O1020" i="10"/>
  <c r="O963" i="10"/>
  <c r="O1039" i="10"/>
  <c r="O1009" i="10"/>
  <c r="O816" i="10"/>
  <c r="O767" i="10"/>
  <c r="O948" i="10"/>
  <c r="O764" i="10"/>
  <c r="O814" i="10"/>
  <c r="O790" i="10"/>
  <c r="O1004" i="10"/>
  <c r="O855" i="10"/>
  <c r="O787" i="10"/>
  <c r="O1036" i="10"/>
  <c r="O891" i="10"/>
  <c r="O852" i="10"/>
  <c r="O808" i="10"/>
  <c r="O781" i="10"/>
  <c r="O849" i="10"/>
  <c r="O886" i="10"/>
  <c r="O869" i="10"/>
  <c r="O842" i="10"/>
  <c r="O1031" i="10"/>
  <c r="O985" i="10"/>
  <c r="O921" i="10"/>
  <c r="O776" i="10"/>
  <c r="O568" i="10"/>
  <c r="O378" i="10"/>
  <c r="O492" i="10"/>
  <c r="O1291" i="10"/>
  <c r="O562" i="10"/>
  <c r="O638" i="10"/>
  <c r="O700" i="10"/>
  <c r="O636" i="10"/>
  <c r="O372" i="10"/>
  <c r="O725" i="10"/>
  <c r="O625" i="10"/>
  <c r="O512" i="10"/>
  <c r="O446" i="10"/>
  <c r="O369" i="10"/>
  <c r="O622" i="10"/>
  <c r="O486" i="10"/>
  <c r="O443" i="10"/>
  <c r="O685" i="10"/>
  <c r="O619" i="10"/>
  <c r="O440" i="10"/>
  <c r="O392" i="10"/>
  <c r="O548" i="10"/>
  <c r="O481" i="10"/>
  <c r="O385" i="10"/>
  <c r="O671" i="10"/>
  <c r="O544" i="10"/>
  <c r="O675" i="10"/>
  <c r="O605" i="10"/>
  <c r="O647" i="10"/>
  <c r="O571" i="10"/>
  <c r="O525" i="10"/>
  <c r="O456" i="10"/>
  <c r="O469" i="10"/>
  <c r="O454" i="10"/>
  <c r="O464" i="10"/>
  <c r="O590" i="10"/>
  <c r="O504" i="10"/>
  <c r="O716" i="10"/>
  <c r="O532" i="10"/>
  <c r="O500" i="10"/>
  <c r="O458" i="10"/>
  <c r="O414" i="10"/>
  <c r="O353" i="10"/>
  <c r="O705" i="10"/>
  <c r="O695" i="10"/>
  <c r="O556" i="10"/>
  <c r="O520" i="10"/>
  <c r="O375" i="10"/>
  <c r="O728" i="10"/>
  <c r="O495" i="10"/>
  <c r="O690" i="10"/>
  <c r="O555" i="10"/>
  <c r="O489" i="10"/>
  <c r="O397" i="10"/>
  <c r="O688" i="10"/>
  <c r="O510" i="10"/>
  <c r="O442" i="10"/>
  <c r="O552" i="10"/>
  <c r="O721" i="10"/>
  <c r="O681" i="10"/>
  <c r="O612" i="10"/>
  <c r="O507" i="10"/>
  <c r="O435" i="10"/>
  <c r="O360" i="10"/>
  <c r="O603" i="10"/>
  <c r="O506" i="10"/>
  <c r="O429" i="10"/>
  <c r="O424" i="10"/>
  <c r="O380" i="10"/>
  <c r="O674" i="10"/>
  <c r="O421" i="10"/>
  <c r="O658" i="10"/>
  <c r="O585" i="10"/>
  <c r="O534" i="10"/>
  <c r="O398" i="10"/>
  <c r="O655" i="10"/>
  <c r="O582" i="10"/>
  <c r="O381" i="10"/>
  <c r="O51" i="10"/>
  <c r="O28" i="10"/>
  <c r="O447" i="10"/>
  <c r="O266" i="10"/>
  <c r="O186" i="10"/>
  <c r="O147" i="10"/>
  <c r="O317" i="10"/>
  <c r="O109" i="10"/>
  <c r="O262" i="10"/>
  <c r="O261" i="10"/>
  <c r="O255" i="10"/>
  <c r="O178" i="10"/>
  <c r="O139" i="10"/>
  <c r="O69" i="10"/>
  <c r="O25" i="10"/>
  <c r="O22" i="10"/>
  <c r="O247" i="10"/>
  <c r="O175" i="10"/>
  <c r="O65" i="10"/>
  <c r="O337" i="10"/>
  <c r="O242" i="10"/>
  <c r="O98" i="10"/>
  <c r="O61" i="10"/>
  <c r="O168" i="10"/>
  <c r="O194" i="10"/>
  <c r="O335" i="10"/>
  <c r="O91" i="10"/>
  <c r="O222" i="10"/>
  <c r="O162" i="10"/>
  <c r="O50" i="10"/>
  <c r="O208" i="10"/>
  <c r="O119" i="10"/>
  <c r="O53" i="10"/>
  <c r="O3801" i="9"/>
  <c r="O3795" i="9"/>
  <c r="O3785" i="9"/>
  <c r="O3777" i="9"/>
  <c r="O3771" i="9"/>
  <c r="O3765" i="9"/>
  <c r="O3753" i="9"/>
  <c r="O3749" i="9"/>
  <c r="O3745" i="9"/>
  <c r="O3733" i="9"/>
  <c r="O3723" i="9"/>
  <c r="O3681" i="9"/>
  <c r="O3665" i="9"/>
  <c r="O3639" i="9"/>
  <c r="O3627" i="9"/>
  <c r="O3621" i="9"/>
  <c r="O3619" i="9"/>
  <c r="O3615" i="9"/>
  <c r="O3601" i="9"/>
  <c r="O3571" i="9"/>
  <c r="O3559" i="9"/>
  <c r="O3557" i="9"/>
  <c r="O3535" i="9"/>
  <c r="O181" i="10"/>
  <c r="O141" i="10"/>
  <c r="O106" i="10"/>
  <c r="O344" i="10"/>
  <c r="O318" i="10"/>
  <c r="O110" i="10"/>
  <c r="O265" i="10"/>
  <c r="O76" i="10"/>
  <c r="O342" i="10"/>
  <c r="O313" i="10"/>
  <c r="O312" i="10"/>
  <c r="O185" i="10"/>
  <c r="O75" i="10"/>
  <c r="O341" i="10"/>
  <c r="O308" i="10"/>
  <c r="O105" i="10"/>
  <c r="O47" i="10"/>
  <c r="O306" i="10"/>
  <c r="O252" i="10"/>
  <c r="O103" i="10"/>
  <c r="O102" i="10"/>
  <c r="O67" i="10"/>
  <c r="O134" i="10"/>
  <c r="O44" i="10"/>
  <c r="O300" i="10"/>
  <c r="O173" i="10"/>
  <c r="O131" i="10"/>
  <c r="O39" i="10"/>
  <c r="O14" i="10"/>
  <c r="O234" i="10"/>
  <c r="O126" i="10"/>
  <c r="O93" i="10"/>
  <c r="O10" i="10"/>
  <c r="O290" i="10"/>
  <c r="O296" i="10"/>
  <c r="O237" i="10"/>
  <c r="O271" i="10"/>
  <c r="O113" i="10"/>
  <c r="O80" i="10"/>
  <c r="O334" i="10"/>
  <c r="O216" i="10"/>
  <c r="O327" i="10"/>
  <c r="O280" i="10"/>
  <c r="O158" i="10"/>
  <c r="O86" i="10"/>
  <c r="O30" i="10"/>
  <c r="O7" i="10"/>
  <c r="O157" i="10"/>
  <c r="O3806" i="9"/>
  <c r="O3800" i="9"/>
  <c r="O3762" i="9"/>
  <c r="O3756" i="9"/>
  <c r="O3740" i="9"/>
  <c r="O3714" i="9"/>
  <c r="O3702" i="9"/>
  <c r="O3698" i="9"/>
  <c r="O3688" i="9"/>
  <c r="O3672" i="9"/>
  <c r="O3658" i="9"/>
  <c r="O3650" i="9"/>
  <c r="O3642" i="9"/>
  <c r="O3634" i="9"/>
  <c r="O3610" i="9"/>
  <c r="O3598" i="9"/>
  <c r="O3590" i="9"/>
  <c r="O3586" i="9"/>
  <c r="O3582" i="9"/>
  <c r="O3578" i="9"/>
  <c r="O3566" i="9"/>
  <c r="O3562" i="9"/>
  <c r="O3554" i="9"/>
  <c r="O3552" i="9"/>
  <c r="O3548" i="9"/>
  <c r="O3542" i="9"/>
  <c r="O3530" i="9"/>
  <c r="O3526" i="9"/>
  <c r="O3520" i="9"/>
  <c r="O3506" i="9"/>
  <c r="O3502" i="9"/>
  <c r="O3498" i="9"/>
  <c r="O3496" i="9"/>
  <c r="O3486" i="9"/>
  <c r="O3476" i="9"/>
  <c r="O3468" i="9"/>
  <c r="O3462" i="9"/>
  <c r="O3513" i="9"/>
  <c r="O3473" i="9"/>
  <c r="O3442" i="9"/>
  <c r="O3426" i="9"/>
  <c r="O3410" i="9"/>
  <c r="O3404" i="9"/>
  <c r="O3400" i="9"/>
  <c r="O3362" i="9"/>
  <c r="O3356" i="9"/>
  <c r="O3348" i="9"/>
  <c r="O3336" i="9"/>
  <c r="O3320" i="9"/>
  <c r="O3300" i="9"/>
  <c r="O3284" i="9"/>
  <c r="O3282" i="9"/>
  <c r="O3272" i="9"/>
  <c r="O3264" i="9"/>
  <c r="O3260" i="9"/>
  <c r="O3246" i="9"/>
  <c r="O3238" i="9"/>
  <c r="O3232" i="9"/>
  <c r="O3224" i="9"/>
  <c r="O3220" i="9"/>
  <c r="O3212" i="9"/>
  <c r="O3204" i="9"/>
  <c r="O3202" i="9"/>
  <c r="O3174" i="9"/>
  <c r="O3154" i="9"/>
  <c r="O3146" i="9"/>
  <c r="O3130" i="9"/>
  <c r="O3124" i="9"/>
  <c r="O3118" i="9"/>
  <c r="O3104" i="9"/>
  <c r="O3100" i="9"/>
  <c r="O3094" i="9"/>
  <c r="O3090" i="9"/>
  <c r="O3064" i="9"/>
  <c r="O3056" i="9"/>
  <c r="O3050" i="9"/>
  <c r="O3034" i="9"/>
  <c r="O3026" i="9"/>
  <c r="O3012" i="9"/>
  <c r="O3006" i="9"/>
  <c r="O3004" i="9"/>
  <c r="O3000" i="9"/>
  <c r="O2992" i="9"/>
  <c r="O2986" i="9"/>
  <c r="O2978" i="9"/>
  <c r="O2970" i="9"/>
  <c r="O2964" i="9"/>
  <c r="O2958" i="9"/>
  <c r="O2942" i="9"/>
  <c r="O2932" i="9"/>
  <c r="O2904" i="9"/>
  <c r="O2882" i="9"/>
  <c r="O2874" i="9"/>
  <c r="O2864" i="9"/>
  <c r="O2860" i="9"/>
  <c r="O2856" i="9"/>
  <c r="O2854" i="9"/>
  <c r="O2850" i="9"/>
  <c r="O2848" i="9"/>
  <c r="O2842" i="9"/>
  <c r="O2836" i="9"/>
  <c r="O2814" i="9"/>
  <c r="O2800" i="9"/>
  <c r="O2798" i="9"/>
  <c r="O2786" i="9"/>
  <c r="O2782" i="9"/>
  <c r="O2758" i="9"/>
  <c r="O2748" i="9"/>
  <c r="O2742" i="9"/>
  <c r="O2736" i="9"/>
  <c r="O2734" i="9"/>
  <c r="O2726" i="9"/>
  <c r="O2722" i="9"/>
  <c r="O2718" i="9"/>
  <c r="O2706" i="9"/>
  <c r="O2694" i="9"/>
  <c r="O2678" i="9"/>
  <c r="O2664" i="9"/>
  <c r="O2638" i="9"/>
  <c r="O2628" i="9"/>
  <c r="O2622" i="9"/>
  <c r="O2616" i="9"/>
  <c r="O2590" i="9"/>
  <c r="O2534" i="9"/>
  <c r="O2530" i="9"/>
  <c r="O2528" i="9"/>
  <c r="O2522" i="9"/>
  <c r="O2516" i="9"/>
  <c r="O2492" i="9"/>
  <c r="O2488" i="9"/>
  <c r="O2482" i="9"/>
  <c r="O2480" i="9"/>
  <c r="O2476" i="9"/>
  <c r="O2472" i="9"/>
  <c r="O2466" i="9"/>
  <c r="O2448" i="9"/>
  <c r="O2442" i="9"/>
  <c r="O2424" i="9"/>
  <c r="O2400" i="9"/>
  <c r="O2394" i="9"/>
  <c r="O2382" i="9"/>
  <c r="O2350" i="9"/>
  <c r="O2344" i="9"/>
  <c r="O2338" i="9"/>
  <c r="O2322" i="9"/>
  <c r="O2318" i="9"/>
  <c r="O2308" i="9"/>
  <c r="O3507" i="9"/>
  <c r="O3509" i="9"/>
  <c r="O3493" i="9"/>
  <c r="O3449" i="9"/>
  <c r="O3435" i="9"/>
  <c r="O3419" i="9"/>
  <c r="O3397" i="9"/>
  <c r="O3387" i="9"/>
  <c r="O3371" i="9"/>
  <c r="O3367" i="9"/>
  <c r="O3353" i="9"/>
  <c r="O3343" i="9"/>
  <c r="O3331" i="9"/>
  <c r="O3325" i="9"/>
  <c r="O3305" i="9"/>
  <c r="O3295" i="9"/>
  <c r="O3289" i="9"/>
  <c r="O3287" i="9"/>
  <c r="O3285" i="9"/>
  <c r="O3281" i="9"/>
  <c r="O3277" i="9"/>
  <c r="O3269" i="9"/>
  <c r="O3259" i="9"/>
  <c r="O3257" i="9"/>
  <c r="O3253" i="9"/>
  <c r="O3251" i="9"/>
  <c r="O3207" i="9"/>
  <c r="O3199" i="9"/>
  <c r="O3189" i="9"/>
  <c r="O3183" i="9"/>
  <c r="O3167" i="9"/>
  <c r="O3149" i="9"/>
  <c r="O3139" i="9"/>
  <c r="O3113" i="9"/>
  <c r="O3097" i="9"/>
  <c r="O3085" i="9"/>
  <c r="O3081" i="9"/>
  <c r="O3079" i="9"/>
  <c r="O3073" i="9"/>
  <c r="O3067" i="9"/>
  <c r="O3059" i="9"/>
  <c r="O3047" i="9"/>
  <c r="O3041" i="9"/>
  <c r="O3025" i="9"/>
  <c r="O3017" i="9"/>
  <c r="O2995" i="9"/>
  <c r="O2981" i="9"/>
  <c r="O2977" i="9"/>
  <c r="O2937" i="9"/>
  <c r="O2929" i="9"/>
  <c r="O2927" i="9"/>
  <c r="O2921" i="9"/>
  <c r="O2911" i="9"/>
  <c r="O2897" i="9"/>
  <c r="O2891" i="9"/>
  <c r="O2847" i="9"/>
  <c r="O2827" i="9"/>
  <c r="O2821" i="9"/>
  <c r="O2807" i="9"/>
  <c r="O2803" i="9"/>
  <c r="O2793" i="9"/>
  <c r="O2791" i="9"/>
  <c r="O2779" i="9"/>
  <c r="O2777" i="9"/>
  <c r="O2763" i="9"/>
  <c r="O2731" i="9"/>
  <c r="O2713" i="9"/>
  <c r="O2701" i="9"/>
  <c r="O2687" i="9"/>
  <c r="O2671" i="9"/>
  <c r="O2659" i="9"/>
  <c r="O2649" i="9"/>
  <c r="O2643" i="9"/>
  <c r="O2635" i="9"/>
  <c r="O2619" i="9"/>
  <c r="O2603" i="9"/>
  <c r="O2583" i="9"/>
  <c r="O2575" i="9"/>
  <c r="O2569" i="9"/>
  <c r="O2561" i="9"/>
  <c r="O2555" i="9"/>
  <c r="O2553" i="9"/>
  <c r="O2551" i="9"/>
  <c r="O2549" i="9"/>
  <c r="O2543" i="9"/>
  <c r="O2539" i="9"/>
  <c r="O2515" i="9"/>
  <c r="O2503" i="9"/>
  <c r="O2499" i="9"/>
  <c r="O2495" i="9"/>
  <c r="O2493" i="9"/>
  <c r="O2461" i="9"/>
  <c r="O2437" i="9"/>
  <c r="O2415" i="9"/>
  <c r="O2407" i="9"/>
  <c r="O2367" i="9"/>
  <c r="O2361" i="9"/>
  <c r="O2357" i="9"/>
  <c r="O2331" i="9"/>
  <c r="O2329" i="9"/>
  <c r="O2327" i="9"/>
  <c r="O2313" i="9"/>
  <c r="O2303" i="9"/>
  <c r="O2295" i="9"/>
  <c r="O2271" i="9"/>
  <c r="O2261" i="9"/>
  <c r="O2259" i="9"/>
  <c r="O2247" i="9"/>
  <c r="O2237" i="9"/>
  <c r="O2229" i="9"/>
  <c r="O2223" i="9"/>
  <c r="O2205" i="9"/>
  <c r="O2157" i="9"/>
  <c r="O2149" i="9"/>
  <c r="O2143" i="9"/>
  <c r="O2137" i="9"/>
  <c r="O2127" i="9"/>
  <c r="O2256" i="9"/>
  <c r="O2216" i="9"/>
  <c r="O2112" i="9"/>
  <c r="O2090" i="9"/>
  <c r="O2082" i="9"/>
  <c r="O2064" i="9"/>
  <c r="O2058" i="9"/>
  <c r="O2050" i="9"/>
  <c r="O2012" i="9"/>
  <c r="O1994" i="9"/>
  <c r="O1990" i="9"/>
  <c r="O1982" i="9"/>
  <c r="O1972" i="9"/>
  <c r="O1966" i="9"/>
  <c r="O1936" i="9"/>
  <c r="O1932" i="9"/>
  <c r="O1928" i="9"/>
  <c r="O1924" i="9"/>
  <c r="O1922" i="9"/>
  <c r="O1912" i="9"/>
  <c r="O1906" i="9"/>
  <c r="O1902" i="9"/>
  <c r="O1892" i="9"/>
  <c r="O1886" i="9"/>
  <c r="O1876" i="9"/>
  <c r="O1850" i="9"/>
  <c r="O1818" i="9"/>
  <c r="O1802" i="9"/>
  <c r="O1788" i="9"/>
  <c r="O1782" i="9"/>
  <c r="O1772" i="9"/>
  <c r="O1760" i="9"/>
  <c r="O1756" i="9"/>
  <c r="O1752" i="9"/>
  <c r="O1750" i="9"/>
  <c r="O1738" i="9"/>
  <c r="O1736" i="9"/>
  <c r="O1726" i="9"/>
  <c r="O1722" i="9"/>
  <c r="O1696" i="9"/>
  <c r="O1680" i="9"/>
  <c r="O1676" i="9"/>
  <c r="O1672" i="9"/>
  <c r="O1670" i="9"/>
  <c r="O1666" i="9"/>
  <c r="O1662" i="9"/>
  <c r="O1658" i="9"/>
  <c r="O1654" i="9"/>
  <c r="O1614" i="9"/>
  <c r="O1608" i="9"/>
  <c r="O1596" i="9"/>
  <c r="O1590" i="9"/>
  <c r="O1580" i="9"/>
  <c r="O1568" i="9"/>
  <c r="O1560" i="9"/>
  <c r="O1550" i="9"/>
  <c r="O1536" i="9"/>
  <c r="O1522" i="9"/>
  <c r="O1506" i="9"/>
  <c r="O1496" i="9"/>
  <c r="O1490" i="9"/>
  <c r="O1476" i="9"/>
  <c r="O2266" i="9"/>
  <c r="O2258" i="9"/>
  <c r="O2186" i="9"/>
  <c r="O2212" i="9"/>
  <c r="O2164" i="9"/>
  <c r="O2105" i="9"/>
  <c r="O2099" i="9"/>
  <c r="O2075" i="9"/>
  <c r="O2067" i="9"/>
  <c r="O2029" i="9"/>
  <c r="O2019" i="9"/>
  <c r="O2005" i="9"/>
  <c r="O2001" i="9"/>
  <c r="O1993" i="9"/>
  <c r="O1991" i="9"/>
  <c r="O1979" i="9"/>
  <c r="O1961" i="9"/>
  <c r="O1943" i="9"/>
  <c r="O1927" i="9"/>
  <c r="O1915" i="9"/>
  <c r="O1909" i="9"/>
  <c r="O1897" i="9"/>
  <c r="O1883" i="9"/>
  <c r="O1869" i="9"/>
  <c r="O1863" i="9"/>
  <c r="O1855" i="9"/>
  <c r="O1843" i="9"/>
  <c r="O1837" i="9"/>
  <c r="O1831" i="9"/>
  <c r="O1795" i="9"/>
  <c r="O1777" i="9"/>
  <c r="O1765" i="9"/>
  <c r="O1743" i="9"/>
  <c r="O1731" i="9"/>
  <c r="O1711" i="9"/>
  <c r="O1701" i="9"/>
  <c r="O1691" i="9"/>
  <c r="O1683" i="9"/>
  <c r="O1675" i="9"/>
  <c r="O1651" i="9"/>
  <c r="O1645" i="9"/>
  <c r="O1629" i="9"/>
  <c r="O1621" i="9"/>
  <c r="O1605" i="9"/>
  <c r="O1585" i="9"/>
  <c r="O1583" i="9"/>
  <c r="O1577" i="9"/>
  <c r="O1573" i="9"/>
  <c r="O1541" i="9"/>
  <c r="O1533" i="9"/>
  <c r="O1529" i="9"/>
  <c r="O1515" i="9"/>
  <c r="O1501" i="9"/>
  <c r="O1493" i="9"/>
  <c r="O1483" i="9"/>
  <c r="O2254" i="9"/>
  <c r="O2198" i="9"/>
  <c r="O2174" i="9"/>
  <c r="O2118" i="9"/>
  <c r="O1469" i="9"/>
  <c r="O1455" i="9"/>
  <c r="O1447" i="9"/>
  <c r="O1405" i="9"/>
  <c r="O1369" i="9"/>
  <c r="O1361" i="9"/>
  <c r="O1349" i="9"/>
  <c r="O1325" i="9"/>
  <c r="O1297" i="9"/>
  <c r="O1287" i="9"/>
  <c r="O1275" i="9"/>
  <c r="O1239" i="9"/>
  <c r="O1231" i="9"/>
  <c r="O1225" i="9"/>
  <c r="O1211" i="9"/>
  <c r="O1201" i="9"/>
  <c r="O1195" i="9"/>
  <c r="O1193" i="9"/>
  <c r="O1189" i="9"/>
  <c r="O1183" i="9"/>
  <c r="O1175" i="9"/>
  <c r="O1167" i="9"/>
  <c r="O1135" i="9"/>
  <c r="O1129" i="9"/>
  <c r="O1121" i="9"/>
  <c r="O1099" i="9"/>
  <c r="O1095" i="9"/>
  <c r="O1091" i="9"/>
  <c r="O1085" i="9"/>
  <c r="O1081" i="9"/>
  <c r="O1071" i="9"/>
  <c r="O1065" i="9"/>
  <c r="O1041" i="9"/>
  <c r="O997" i="9"/>
  <c r="O959" i="9"/>
  <c r="O921" i="9"/>
  <c r="O913" i="9"/>
  <c r="O903" i="9"/>
  <c r="O893" i="9"/>
  <c r="O879" i="9"/>
  <c r="O863" i="9"/>
  <c r="O855" i="9"/>
  <c r="O849" i="9"/>
  <c r="O835" i="9"/>
  <c r="O827" i="9"/>
  <c r="O825" i="9"/>
  <c r="O823" i="9"/>
  <c r="O819" i="9"/>
  <c r="O815" i="9"/>
  <c r="O783" i="9"/>
  <c r="O781" i="9"/>
  <c r="O773" i="9"/>
  <c r="O767" i="9"/>
  <c r="O753" i="9"/>
  <c r="O749" i="9"/>
  <c r="O747" i="9"/>
  <c r="O739" i="9"/>
  <c r="O733" i="9"/>
  <c r="O723" i="9"/>
  <c r="O715" i="9"/>
  <c r="O711" i="9"/>
  <c r="O699" i="9"/>
  <c r="O691" i="9"/>
  <c r="O687" i="9"/>
  <c r="O679" i="9"/>
  <c r="O677" i="9"/>
  <c r="O663" i="9"/>
  <c r="O655" i="9"/>
  <c r="O639" i="9"/>
  <c r="O629" i="9"/>
  <c r="O597" i="9"/>
  <c r="O591" i="9"/>
  <c r="O537" i="9"/>
  <c r="O515" i="9"/>
  <c r="O497" i="9"/>
  <c r="O481" i="9"/>
  <c r="O473" i="9"/>
  <c r="O455" i="9"/>
  <c r="O449" i="9"/>
  <c r="O445" i="9"/>
  <c r="O427" i="9"/>
  <c r="O421" i="9"/>
  <c r="O413" i="9"/>
  <c r="O409" i="9"/>
  <c r="O393" i="9"/>
  <c r="O391" i="9"/>
  <c r="O385" i="9"/>
  <c r="O383" i="9"/>
  <c r="O381" i="9"/>
  <c r="O373" i="9"/>
  <c r="O371" i="9"/>
  <c r="O363" i="9"/>
  <c r="O351" i="9"/>
  <c r="O305" i="9"/>
  <c r="O303" i="9"/>
  <c r="O297" i="9"/>
  <c r="O293" i="9"/>
  <c r="O285" i="9"/>
  <c r="O281" i="9"/>
  <c r="O279" i="9"/>
  <c r="O271" i="9"/>
  <c r="O245" i="9"/>
  <c r="O237" i="9"/>
  <c r="O229" i="9"/>
  <c r="O201" i="9"/>
  <c r="O181" i="9"/>
  <c r="O175" i="9"/>
  <c r="O157" i="9"/>
  <c r="O143" i="9"/>
  <c r="O117" i="9"/>
  <c r="O109" i="9"/>
  <c r="O1462" i="9"/>
  <c r="O1440" i="9"/>
  <c r="O1430" i="9"/>
  <c r="O1418" i="9"/>
  <c r="O1410" i="9"/>
  <c r="O1394" i="9"/>
  <c r="O1388" i="9"/>
  <c r="O1382" i="9"/>
  <c r="O1376" i="9"/>
  <c r="O1354" i="9"/>
  <c r="O1338" i="9"/>
  <c r="O1330" i="9"/>
  <c r="O1320" i="9"/>
  <c r="O1314" i="9"/>
  <c r="O1306" i="9"/>
  <c r="O1292" i="9"/>
  <c r="O1280" i="9"/>
  <c r="O1248" i="9"/>
  <c r="O1244" i="9"/>
  <c r="O1218" i="9"/>
  <c r="O1206" i="9"/>
  <c r="O1202" i="9"/>
  <c r="O1198" i="9"/>
  <c r="O1160" i="9"/>
  <c r="O1146" i="9"/>
  <c r="O1126" i="9"/>
  <c r="O1124" i="9"/>
  <c r="O1118" i="9"/>
  <c r="O1110" i="9"/>
  <c r="O1102" i="9"/>
  <c r="O1088" i="9"/>
  <c r="O1058" i="9"/>
  <c r="O1050" i="9"/>
  <c r="O1032" i="9"/>
  <c r="O1026" i="9"/>
  <c r="O1020" i="9"/>
  <c r="O1014" i="9"/>
  <c r="O1002" i="9"/>
  <c r="O978" i="9"/>
  <c r="O968" i="9"/>
  <c r="O950" i="9"/>
  <c r="O944" i="9"/>
  <c r="O936" i="9"/>
  <c r="O928" i="9"/>
  <c r="O910" i="9"/>
  <c r="O900" i="9"/>
  <c r="O898" i="9"/>
  <c r="O896" i="9"/>
  <c r="O874" i="9"/>
  <c r="O870" i="9"/>
  <c r="O842" i="9"/>
  <c r="O830" i="9"/>
  <c r="O828" i="9"/>
  <c r="O814" i="9"/>
  <c r="O812" i="9"/>
  <c r="O808" i="9"/>
  <c r="O802" i="9"/>
  <c r="O760" i="9"/>
  <c r="O748" i="9"/>
  <c r="O746" i="9"/>
  <c r="O744" i="9"/>
  <c r="O742" i="9"/>
  <c r="O704" i="9"/>
  <c r="O684" i="9"/>
  <c r="O670" i="9"/>
  <c r="O648" i="9"/>
  <c r="O618" i="9"/>
  <c r="O608" i="9"/>
  <c r="O584" i="9"/>
  <c r="O578" i="9"/>
  <c r="O566" i="9"/>
  <c r="O556" i="9"/>
  <c r="O546" i="9"/>
  <c r="O530" i="9"/>
  <c r="O524" i="9"/>
  <c r="O506" i="9"/>
  <c r="O490" i="9"/>
  <c r="O466" i="9"/>
  <c r="O458" i="9"/>
  <c r="O432" i="9"/>
  <c r="O400" i="9"/>
  <c r="O392" i="9"/>
  <c r="O388" i="9"/>
  <c r="O376" i="9"/>
  <c r="O368" i="9"/>
  <c r="O356" i="9"/>
  <c r="O332" i="9"/>
  <c r="O318" i="9"/>
  <c r="O312" i="9"/>
  <c r="O306" i="9"/>
  <c r="O302" i="9"/>
  <c r="O288" i="9"/>
  <c r="O276" i="9"/>
  <c r="O272" i="9"/>
  <c r="O262" i="9"/>
  <c r="O254" i="9"/>
  <c r="O222" i="9"/>
  <c r="O214" i="9"/>
  <c r="O168" i="9"/>
  <c r="O150" i="9"/>
  <c r="O132" i="9"/>
  <c r="O114" i="9"/>
  <c r="O104" i="9"/>
  <c r="O90" i="9"/>
  <c r="O82" i="9"/>
  <c r="O52" i="9"/>
  <c r="O50" i="9"/>
  <c r="O46" i="9"/>
  <c r="O22" i="9"/>
  <c r="O16" i="9"/>
  <c r="O1868" i="10"/>
  <c r="O1960" i="10"/>
  <c r="O1845" i="10"/>
  <c r="O1903" i="10"/>
  <c r="O1604" i="10"/>
  <c r="O1615" i="10"/>
  <c r="O1559" i="10"/>
  <c r="O1545" i="10"/>
  <c r="O1050" i="10"/>
  <c r="O1311" i="10"/>
  <c r="O1250" i="10"/>
  <c r="O1207" i="10"/>
  <c r="O1071" i="10"/>
  <c r="O1067" i="10"/>
  <c r="O1687" i="10"/>
  <c r="O1350" i="10"/>
  <c r="O1462" i="10"/>
  <c r="O1112" i="10"/>
  <c r="O739" i="10"/>
  <c r="O1116" i="10"/>
  <c r="O1147" i="10"/>
  <c r="O1012" i="10"/>
  <c r="O1003" i="10"/>
  <c r="O950" i="10"/>
  <c r="O766" i="10"/>
  <c r="O1026" i="10"/>
  <c r="O848" i="10"/>
  <c r="O778" i="10"/>
  <c r="O365" i="10"/>
  <c r="O434" i="10"/>
  <c r="O473" i="10"/>
  <c r="O466" i="10"/>
  <c r="O618" i="10"/>
  <c r="O439" i="10"/>
  <c r="O390" i="10"/>
  <c r="O665" i="10"/>
  <c r="O717" i="10"/>
  <c r="O461" i="10"/>
  <c r="O264" i="10"/>
  <c r="O259" i="10"/>
  <c r="O19" i="10"/>
  <c r="O3805" i="9"/>
  <c r="O3799" i="9"/>
  <c r="O3693" i="9"/>
  <c r="O3655" i="9"/>
  <c r="O3647" i="9"/>
  <c r="O3633" i="9"/>
  <c r="O3593" i="9"/>
  <c r="O3589" i="9"/>
  <c r="O3585" i="9"/>
  <c r="O3577" i="9"/>
  <c r="O133" i="10"/>
  <c r="O165" i="10"/>
  <c r="O3792" i="9"/>
  <c r="O3760" i="9"/>
  <c r="O3748" i="9"/>
  <c r="O3730" i="9"/>
  <c r="O3720" i="9"/>
  <c r="O3626" i="9"/>
  <c r="O3570" i="9"/>
  <c r="O3546" i="9"/>
  <c r="O3540" i="9"/>
  <c r="O3534" i="9"/>
  <c r="O3414" i="9"/>
  <c r="O3376" i="9"/>
  <c r="O3374" i="9"/>
  <c r="O3370" i="9"/>
  <c r="O3352" i="9"/>
  <c r="O3342" i="9"/>
  <c r="O3334" i="9"/>
  <c r="O3328" i="9"/>
  <c r="O3160" i="9"/>
  <c r="O3136" i="9"/>
  <c r="O3096" i="9"/>
  <c r="O3084" i="9"/>
  <c r="O3080" i="9"/>
  <c r="O3062" i="9"/>
  <c r="O2946" i="9"/>
  <c r="O2918" i="9"/>
  <c r="O2902" i="9"/>
  <c r="O2832" i="9"/>
  <c r="O2826" i="9"/>
  <c r="O2820" i="9"/>
  <c r="O2818" i="9"/>
  <c r="O2802" i="9"/>
  <c r="O2790" i="9"/>
  <c r="O2724" i="9"/>
  <c r="O2684" i="9"/>
  <c r="O2654" i="9"/>
  <c r="O2634" i="9"/>
  <c r="O2626" i="9"/>
  <c r="O2594" i="9"/>
  <c r="O2592" i="9"/>
  <c r="O2568" i="9"/>
  <c r="O2560" i="9"/>
  <c r="O2554" i="9"/>
  <c r="O2420" i="9"/>
  <c r="O2392" i="9"/>
  <c r="O2378" i="9"/>
  <c r="O2356" i="9"/>
  <c r="O2354" i="9"/>
  <c r="O2336" i="9"/>
  <c r="O2326" i="9"/>
  <c r="O2312" i="9"/>
  <c r="O2300" i="9"/>
  <c r="O2288" i="9"/>
  <c r="O2286" i="9"/>
  <c r="O3501" i="9"/>
  <c r="O3431" i="9"/>
  <c r="O3409" i="9"/>
  <c r="O3365" i="9"/>
  <c r="O3361" i="9"/>
  <c r="O3339" i="9"/>
  <c r="O3323" i="9"/>
  <c r="O3243" i="9"/>
  <c r="O3187" i="9"/>
  <c r="O3151" i="9"/>
  <c r="O3145" i="9"/>
  <c r="O3123" i="9"/>
  <c r="O3093" i="9"/>
  <c r="O3089" i="9"/>
  <c r="O3071" i="9"/>
  <c r="O3055" i="9"/>
  <c r="O3045" i="9"/>
  <c r="O3039" i="9"/>
  <c r="O3031" i="9"/>
  <c r="O2991" i="9"/>
  <c r="O2985" i="9"/>
  <c r="O2907" i="9"/>
  <c r="O2869" i="9"/>
  <c r="O2863" i="9"/>
  <c r="O2853" i="9"/>
  <c r="O2813" i="9"/>
  <c r="O2797" i="9"/>
  <c r="O2795" i="9"/>
  <c r="O2785" i="9"/>
  <c r="O2729" i="9"/>
  <c r="O2647" i="9"/>
  <c r="O2589" i="9"/>
  <c r="O2581" i="9"/>
  <c r="O2573" i="9"/>
  <c r="O2429" i="9"/>
  <c r="O2387" i="9"/>
  <c r="O2369" i="9"/>
  <c r="O2349" i="9"/>
  <c r="O2343" i="9"/>
  <c r="O2321" i="9"/>
  <c r="O2215" i="9"/>
  <c r="O2209" i="9"/>
  <c r="O2197" i="9"/>
  <c r="O2171" i="9"/>
  <c r="O2192" i="9"/>
  <c r="O2184" i="9"/>
  <c r="O2074" i="9"/>
  <c r="O2026" i="9"/>
  <c r="O2018" i="9"/>
  <c r="O2010" i="9"/>
  <c r="O2000" i="9"/>
  <c r="O1986" i="9"/>
  <c r="O1978" i="9"/>
  <c r="O1954" i="9"/>
  <c r="O1930" i="9"/>
  <c r="O1896" i="9"/>
  <c r="O1868" i="9"/>
  <c r="O1854" i="9"/>
  <c r="O1758" i="9"/>
  <c r="O1748" i="9"/>
  <c r="O1742" i="9"/>
  <c r="O1734" i="9"/>
  <c r="O1716" i="9"/>
  <c r="O1714" i="9"/>
  <c r="O1710" i="9"/>
  <c r="O1708" i="9"/>
  <c r="O1700" i="9"/>
  <c r="O1650" i="9"/>
  <c r="O1628" i="9"/>
  <c r="O1626" i="9"/>
  <c r="O1612" i="9"/>
  <c r="O1566" i="9"/>
  <c r="O1528" i="9"/>
  <c r="O1512" i="9"/>
  <c r="O1500" i="9"/>
  <c r="O1482" i="9"/>
  <c r="O1474" i="9"/>
  <c r="O2234" i="9"/>
  <c r="O2154" i="9"/>
  <c r="O2252" i="9"/>
  <c r="O2244" i="9"/>
  <c r="O2204" i="9"/>
  <c r="O2124" i="9"/>
  <c r="O2081" i="9"/>
  <c r="O2057" i="9"/>
  <c r="O2041" i="9"/>
  <c r="O2027" i="9"/>
  <c r="O2023" i="9"/>
  <c r="O1989" i="9"/>
  <c r="O1971" i="9"/>
  <c r="O1955" i="9"/>
  <c r="O1939" i="9"/>
  <c r="O1921" i="9"/>
  <c r="O1905" i="9"/>
  <c r="O1891" i="9"/>
  <c r="O1881" i="9"/>
  <c r="O1875" i="9"/>
  <c r="O1861" i="9"/>
  <c r="O1771" i="9"/>
  <c r="O1755" i="9"/>
  <c r="O1705" i="9"/>
  <c r="O1695" i="9"/>
  <c r="O1689" i="9"/>
  <c r="O1669" i="9"/>
  <c r="O1665" i="9"/>
  <c r="O1661" i="9"/>
  <c r="O1557" i="9"/>
  <c r="O1547" i="9"/>
  <c r="O1489" i="9"/>
  <c r="O1461" i="9"/>
  <c r="O1437" i="9"/>
  <c r="O1359" i="9"/>
  <c r="O1335" i="9"/>
  <c r="O1319" i="9"/>
  <c r="O1303" i="9"/>
  <c r="O1285" i="9"/>
  <c r="O1259" i="9"/>
  <c r="O1255" i="9"/>
  <c r="O1247" i="9"/>
  <c r="O1243" i="9"/>
  <c r="O1237" i="9"/>
  <c r="O1217" i="9"/>
  <c r="O1197" i="9"/>
  <c r="O1187" i="9"/>
  <c r="O1181" i="9"/>
  <c r="O1173" i="9"/>
  <c r="O1151" i="9"/>
  <c r="O1079" i="9"/>
  <c r="O1077" i="9"/>
  <c r="O983" i="9"/>
  <c r="O915" i="9"/>
  <c r="O909" i="9"/>
  <c r="O877" i="9"/>
  <c r="O873" i="9"/>
  <c r="O869" i="9"/>
  <c r="O861" i="9"/>
  <c r="O847" i="9"/>
  <c r="O841" i="9"/>
  <c r="O807" i="9"/>
  <c r="O791" i="9"/>
  <c r="O785" i="9"/>
  <c r="O757" i="9"/>
  <c r="O697" i="9"/>
  <c r="O683" i="9"/>
  <c r="O669" i="9"/>
  <c r="O661" i="9"/>
  <c r="O625" i="9"/>
  <c r="O571" i="9"/>
  <c r="O521" i="9"/>
  <c r="O511" i="9"/>
  <c r="O495" i="9"/>
  <c r="O479" i="9"/>
  <c r="O431" i="9"/>
  <c r="O399" i="9"/>
  <c r="O375" i="9"/>
  <c r="O331" i="9"/>
  <c r="O327" i="9"/>
  <c r="O261" i="9"/>
  <c r="O251" i="9"/>
  <c r="O243" i="9"/>
  <c r="O219" i="9"/>
  <c r="O129" i="9"/>
  <c r="O1468" i="9"/>
  <c r="O1426" i="9"/>
  <c r="O1374" i="9"/>
  <c r="O1324" i="9"/>
  <c r="O1312" i="9"/>
  <c r="O1294" i="9"/>
  <c r="O1270" i="9"/>
  <c r="O1252" i="9"/>
  <c r="O1230" i="9"/>
  <c r="O1224" i="9"/>
  <c r="O1200" i="9"/>
  <c r="O1140" i="9"/>
  <c r="O1106" i="9"/>
  <c r="O1070" i="9"/>
  <c r="O1064" i="9"/>
  <c r="O1056" i="9"/>
  <c r="O974" i="9"/>
  <c r="O942" i="9"/>
  <c r="O934" i="9"/>
  <c r="O854" i="9"/>
  <c r="O848" i="9"/>
  <c r="O822" i="9"/>
  <c r="O818" i="9"/>
  <c r="O730" i="9"/>
  <c r="O720" i="9"/>
  <c r="O710" i="9"/>
  <c r="O676" i="9"/>
  <c r="O654" i="9"/>
  <c r="O636" i="9"/>
  <c r="O614" i="9"/>
  <c r="O562" i="9"/>
  <c r="O542" i="9"/>
  <c r="O488" i="9"/>
  <c r="O464" i="9"/>
  <c r="O440" i="9"/>
  <c r="O436" i="9"/>
  <c r="O426" i="9"/>
  <c r="O420" i="9"/>
  <c r="O412" i="9"/>
  <c r="O408" i="9"/>
  <c r="O406" i="9"/>
  <c r="O380" i="9"/>
  <c r="O336" i="9"/>
  <c r="O326" i="9"/>
  <c r="O268" i="9"/>
  <c r="O234" i="9"/>
  <c r="O136" i="9"/>
  <c r="O120" i="9"/>
  <c r="O116" i="9"/>
  <c r="O86" i="9"/>
  <c r="O74" i="9"/>
  <c r="O68" i="9"/>
  <c r="O64" i="9"/>
  <c r="O58" i="9"/>
  <c r="O42" i="9"/>
  <c r="O14" i="9"/>
  <c r="O6" i="9"/>
  <c r="O23" i="9"/>
  <c r="O31" i="9"/>
  <c r="O39" i="9"/>
  <c r="O47" i="9"/>
  <c r="O63" i="9"/>
  <c r="O71" i="9"/>
  <c r="O95" i="9"/>
  <c r="O103" i="9"/>
  <c r="O2059" i="10"/>
  <c r="O2095" i="10"/>
  <c r="O1968" i="10"/>
  <c r="O1939" i="10"/>
  <c r="O1758" i="10"/>
  <c r="O1794" i="10"/>
  <c r="O1805" i="10"/>
  <c r="O1588" i="10"/>
  <c r="O1659" i="10"/>
  <c r="O1642" i="10"/>
  <c r="O1629" i="10"/>
  <c r="O1551" i="10"/>
  <c r="O1438" i="10"/>
  <c r="O1535" i="10"/>
  <c r="O1415" i="10"/>
  <c r="O1509" i="10"/>
  <c r="O1447" i="10"/>
  <c r="O1424" i="10"/>
  <c r="O1102" i="10"/>
  <c r="O1313" i="10"/>
  <c r="O1065" i="10"/>
  <c r="O1992" i="10"/>
  <c r="O1916" i="10"/>
  <c r="O1822" i="10"/>
  <c r="O2092" i="10"/>
  <c r="O1979" i="10"/>
  <c r="O2008" i="10"/>
  <c r="O1843" i="10"/>
  <c r="O1813" i="10"/>
  <c r="O1656" i="10"/>
  <c r="O1717" i="10"/>
  <c r="O1712" i="10"/>
  <c r="O1699" i="10"/>
  <c r="O1574" i="10"/>
  <c r="O1491" i="10"/>
  <c r="O1393" i="10"/>
  <c r="O1348" i="10"/>
  <c r="O1571" i="10"/>
  <c r="O1474" i="10"/>
  <c r="O1566" i="10"/>
  <c r="O1253" i="10"/>
  <c r="O1290" i="10"/>
  <c r="O1122" i="10"/>
  <c r="O1058" i="10"/>
  <c r="O1319" i="10"/>
  <c r="O1183" i="10"/>
  <c r="O900" i="10"/>
  <c r="O957" i="10"/>
  <c r="O1295" i="10"/>
  <c r="O1193" i="10"/>
  <c r="O1129" i="10"/>
  <c r="O1151" i="10"/>
  <c r="O1051" i="10"/>
  <c r="O1269" i="10"/>
  <c r="O1217" i="10"/>
  <c r="O1164" i="10"/>
  <c r="O1287" i="10"/>
  <c r="O898" i="10"/>
  <c r="O859" i="10"/>
  <c r="O835" i="10"/>
  <c r="O800" i="10"/>
  <c r="O788" i="10"/>
  <c r="O1001" i="10"/>
  <c r="O934" i="10"/>
  <c r="O887" i="10"/>
  <c r="O851" i="10"/>
  <c r="O753" i="10"/>
  <c r="O1028" i="10"/>
  <c r="O975" i="10"/>
  <c r="O911" i="10"/>
  <c r="O843" i="10"/>
  <c r="O411" i="10"/>
  <c r="O557" i="10"/>
  <c r="O708" i="10"/>
  <c r="O641" i="10"/>
  <c r="O1234" i="10"/>
  <c r="O1091" i="10"/>
  <c r="O941" i="10"/>
  <c r="O759" i="10"/>
  <c r="O1035" i="10"/>
  <c r="O997" i="10"/>
  <c r="O827" i="10"/>
  <c r="O873" i="10"/>
  <c r="O991" i="10"/>
  <c r="O923" i="10"/>
  <c r="O452" i="10"/>
  <c r="O564" i="10"/>
  <c r="O550" i="10"/>
  <c r="O363" i="10"/>
  <c r="O545" i="10"/>
  <c r="O478" i="10"/>
  <c r="O358" i="10"/>
  <c r="O713" i="10"/>
  <c r="O575" i="10"/>
  <c r="O527" i="10"/>
  <c r="O352" i="10"/>
  <c r="O531" i="10"/>
  <c r="O516" i="10"/>
  <c r="O401" i="10"/>
  <c r="O616" i="10"/>
  <c r="O437" i="10"/>
  <c r="O388" i="10"/>
  <c r="O678" i="10"/>
  <c r="O608" i="10"/>
  <c r="O426" i="10"/>
  <c r="O650" i="10"/>
  <c r="O42" i="10"/>
  <c r="O17" i="10"/>
  <c r="O297" i="10"/>
  <c r="O129" i="10"/>
  <c r="O60" i="10"/>
  <c r="O272" i="10"/>
  <c r="O198" i="10"/>
  <c r="O152" i="10"/>
  <c r="O83" i="10"/>
  <c r="O219" i="10"/>
  <c r="O3781" i="9"/>
  <c r="O3709" i="9"/>
  <c r="O3699" i="9"/>
  <c r="O3695" i="9"/>
  <c r="O3691" i="9"/>
  <c r="O3685" i="9"/>
  <c r="O3675" i="9"/>
  <c r="O3607" i="9"/>
  <c r="O183" i="10"/>
  <c r="O72" i="10"/>
  <c r="O245" i="10"/>
  <c r="O239" i="10"/>
  <c r="O170" i="10"/>
  <c r="O96" i="10"/>
  <c r="O324" i="10"/>
  <c r="O115" i="10"/>
  <c r="O329" i="10"/>
  <c r="O3790" i="9"/>
  <c r="O3768" i="9"/>
  <c r="O3742" i="9"/>
  <c r="O3736" i="9"/>
  <c r="O3728" i="9"/>
  <c r="O3718" i="9"/>
  <c r="O3710" i="9"/>
  <c r="O3704" i="9"/>
  <c r="O3678" i="9"/>
  <c r="O3668" i="9"/>
  <c r="O3602" i="9"/>
  <c r="O3538" i="9"/>
  <c r="O3504" i="9"/>
  <c r="O3494" i="9"/>
  <c r="O3490" i="9"/>
  <c r="O3480" i="9"/>
  <c r="O3470" i="9"/>
  <c r="O3464" i="9"/>
  <c r="O3456" i="9"/>
  <c r="O3438" i="9"/>
  <c r="O3388" i="9"/>
  <c r="O3384" i="9"/>
  <c r="O3382" i="9"/>
  <c r="O3306" i="9"/>
  <c r="O3296" i="9"/>
  <c r="O3234" i="9"/>
  <c r="O3226" i="9"/>
  <c r="O3218" i="9"/>
  <c r="O3216" i="9"/>
  <c r="O3180" i="9"/>
  <c r="O3170" i="9"/>
  <c r="O3148" i="9"/>
  <c r="O2976" i="9"/>
  <c r="O2960" i="9"/>
  <c r="O2956" i="9"/>
  <c r="O2954" i="9"/>
  <c r="O2952" i="9"/>
  <c r="O2948" i="9"/>
  <c r="O2944" i="9"/>
  <c r="O2916" i="9"/>
  <c r="O2900" i="9"/>
  <c r="O2844" i="9"/>
  <c r="O2838" i="9"/>
  <c r="O2738" i="9"/>
  <c r="O2708" i="9"/>
  <c r="O2698" i="9"/>
  <c r="O2690" i="9"/>
  <c r="O2682" i="9"/>
  <c r="O2660" i="9"/>
  <c r="O2632" i="9"/>
  <c r="O2606" i="9"/>
  <c r="O2598" i="9"/>
  <c r="O2506" i="9"/>
  <c r="O2500" i="9"/>
  <c r="O2490" i="9"/>
  <c r="O2470" i="9"/>
  <c r="O2468" i="9"/>
  <c r="O2458" i="9"/>
  <c r="O2452" i="9"/>
  <c r="O2438" i="9"/>
  <c r="O2418" i="9"/>
  <c r="O2410" i="9"/>
  <c r="O2396" i="9"/>
  <c r="O2362" i="9"/>
  <c r="O2358" i="9"/>
  <c r="O2284" i="9"/>
  <c r="O3475" i="9"/>
  <c r="O3453" i="9"/>
  <c r="O3445" i="9"/>
  <c r="O3327" i="9"/>
  <c r="O3279" i="9"/>
  <c r="O3275" i="9"/>
  <c r="O3255" i="9"/>
  <c r="O3247" i="9"/>
  <c r="O3241" i="9"/>
  <c r="O3229" i="9"/>
  <c r="O3221" i="9"/>
  <c r="O3209" i="9"/>
  <c r="O3205" i="9"/>
  <c r="O3195" i="9"/>
  <c r="O3191" i="9"/>
  <c r="O3185" i="9"/>
  <c r="O3177" i="9"/>
  <c r="O3111" i="9"/>
  <c r="O3109" i="9"/>
  <c r="O3105" i="9"/>
  <c r="O2989" i="9"/>
  <c r="O2973" i="9"/>
  <c r="O2967" i="9"/>
  <c r="O2939" i="9"/>
  <c r="O2933" i="9"/>
  <c r="O2923" i="9"/>
  <c r="O2905" i="9"/>
  <c r="O2893" i="9"/>
  <c r="O2887" i="9"/>
  <c r="O2765" i="9"/>
  <c r="O2751" i="9"/>
  <c r="O2745" i="9"/>
  <c r="O2703" i="9"/>
  <c r="O2695" i="9"/>
  <c r="O2693" i="9"/>
  <c r="O2673" i="9"/>
  <c r="O2667" i="9"/>
  <c r="O2615" i="9"/>
  <c r="O2611" i="9"/>
  <c r="O2511" i="9"/>
  <c r="O2485" i="9"/>
  <c r="O2463" i="9"/>
  <c r="O2455" i="9"/>
  <c r="O2449" i="9"/>
  <c r="O2445" i="9"/>
  <c r="O2433" i="9"/>
  <c r="O2427" i="9"/>
  <c r="O2403" i="9"/>
  <c r="O2177" i="9"/>
  <c r="O2169" i="9"/>
  <c r="O2159" i="9"/>
  <c r="O2145" i="9"/>
  <c r="O2133" i="9"/>
  <c r="O2129" i="9"/>
  <c r="O2113" i="9"/>
  <c r="O2232" i="9"/>
  <c r="O2152" i="9"/>
  <c r="O2094" i="9"/>
  <c r="O2072" i="9"/>
  <c r="O2044" i="9"/>
  <c r="O2032" i="9"/>
  <c r="O1976" i="9"/>
  <c r="O1948" i="9"/>
  <c r="O1832" i="9"/>
  <c r="O1826" i="9"/>
  <c r="O1822" i="9"/>
  <c r="O1820" i="9"/>
  <c r="O1808" i="9"/>
  <c r="O1798" i="9"/>
  <c r="O1790" i="9"/>
  <c r="O1784" i="9"/>
  <c r="O1778" i="9"/>
  <c r="O1648" i="9"/>
  <c r="O1624" i="9"/>
  <c r="O1564" i="9"/>
  <c r="O1510" i="9"/>
  <c r="O2242" i="9"/>
  <c r="O2138" i="9"/>
  <c r="O2122" i="9"/>
  <c r="O2268" i="9"/>
  <c r="O2220" i="9"/>
  <c r="O2140" i="9"/>
  <c r="O2132" i="9"/>
  <c r="O2107" i="9"/>
  <c r="O2101" i="9"/>
  <c r="O2085" i="9"/>
  <c r="O2055" i="9"/>
  <c r="O2047" i="9"/>
  <c r="O2039" i="9"/>
  <c r="O1945" i="9"/>
  <c r="O1933" i="9"/>
  <c r="O1919" i="9"/>
  <c r="O1907" i="9"/>
  <c r="O1903" i="9"/>
  <c r="O1889" i="9"/>
  <c r="O1849" i="9"/>
  <c r="O1845" i="9"/>
  <c r="O1839" i="9"/>
  <c r="O1815" i="9"/>
  <c r="O1813" i="9"/>
  <c r="O1811" i="9"/>
  <c r="O1805" i="9"/>
  <c r="O1775" i="9"/>
  <c r="O1769" i="9"/>
  <c r="O1719" i="9"/>
  <c r="O1601" i="9"/>
  <c r="O1593" i="9"/>
  <c r="O1587" i="9"/>
  <c r="O1555" i="9"/>
  <c r="O1545" i="9"/>
  <c r="O1537" i="9"/>
  <c r="O1519" i="9"/>
  <c r="O2134" i="9"/>
  <c r="O2217" i="10"/>
  <c r="O2194" i="10"/>
  <c r="O2153" i="10"/>
  <c r="O1989" i="10"/>
  <c r="O1976" i="10"/>
  <c r="O2006" i="10"/>
  <c r="O1890" i="10"/>
  <c r="O1956" i="10"/>
  <c r="O1802" i="10"/>
  <c r="O1756" i="10"/>
  <c r="O1747" i="10"/>
  <c r="O1790" i="10"/>
  <c r="O2155" i="10"/>
  <c r="O1668" i="10"/>
  <c r="O1345" i="10"/>
  <c r="O1522" i="10"/>
  <c r="O1292" i="10"/>
  <c r="O1088" i="10"/>
  <c r="O1721" i="10"/>
  <c r="O1678" i="10"/>
  <c r="O1618" i="10"/>
  <c r="O1658" i="10"/>
  <c r="O1537" i="10"/>
  <c r="O1365" i="10"/>
  <c r="O1138" i="10"/>
  <c r="O1275" i="10"/>
  <c r="O841" i="10"/>
  <c r="O1062" i="10"/>
  <c r="O1192" i="10"/>
  <c r="O1187" i="10"/>
  <c r="O771" i="10"/>
  <c r="O782" i="10"/>
  <c r="O870" i="10"/>
  <c r="O878" i="10"/>
  <c r="O952" i="10"/>
  <c r="O939" i="10"/>
  <c r="O974" i="10"/>
  <c r="O980" i="10"/>
  <c r="O729" i="10"/>
  <c r="O722" i="10"/>
  <c r="O682" i="10"/>
  <c r="O613" i="10"/>
  <c r="O430" i="10"/>
  <c r="O602" i="10"/>
  <c r="O659" i="10"/>
  <c r="O701" i="10"/>
  <c r="O626" i="10"/>
  <c r="O648" i="10"/>
  <c r="O572" i="10"/>
  <c r="O670" i="10"/>
  <c r="O591" i="10"/>
  <c r="O309" i="10"/>
  <c r="O36" i="10"/>
  <c r="O217" i="10"/>
  <c r="O31" i="10"/>
  <c r="O3715" i="9"/>
  <c r="O3659" i="9"/>
  <c r="O3651" i="9"/>
  <c r="O3643" i="9"/>
  <c r="O3635" i="9"/>
  <c r="O3567" i="9"/>
  <c r="O3563" i="9"/>
  <c r="O3543" i="9"/>
  <c r="O3527" i="9"/>
  <c r="O3521" i="9"/>
  <c r="O332" i="10"/>
  <c r="O54" i="10"/>
  <c r="O3786" i="9"/>
  <c r="O3778" i="9"/>
  <c r="O3724" i="9"/>
  <c r="O3628" i="9"/>
  <c r="O3622" i="9"/>
  <c r="O3572" i="9"/>
  <c r="O3487" i="9"/>
  <c r="O3450" i="9"/>
  <c r="O3436" i="9"/>
  <c r="O3420" i="9"/>
  <c r="O3162" i="9"/>
  <c r="O3140" i="9"/>
  <c r="O3078" i="9"/>
  <c r="O3074" i="9"/>
  <c r="O3068" i="9"/>
  <c r="O2912" i="9"/>
  <c r="O2822" i="9"/>
  <c r="O2808" i="9"/>
  <c r="O2774" i="9"/>
  <c r="O2772" i="9"/>
  <c r="O2714" i="9"/>
  <c r="O2656" i="9"/>
  <c r="O2650" i="9"/>
  <c r="O2644" i="9"/>
  <c r="O2584" i="9"/>
  <c r="O2576" i="9"/>
  <c r="O2562" i="9"/>
  <c r="O2556" i="9"/>
  <c r="O2518" i="9"/>
  <c r="O2390" i="9"/>
  <c r="O2374" i="9"/>
  <c r="O2332" i="9"/>
  <c r="O2302" i="9"/>
  <c r="O2296" i="9"/>
  <c r="O2292" i="9"/>
  <c r="O3477" i="9"/>
  <c r="O3443" i="9"/>
  <c r="O3433" i="9"/>
  <c r="O3427" i="9"/>
  <c r="O3357" i="9"/>
  <c r="O3349" i="9"/>
  <c r="O3319" i="9"/>
  <c r="O3155" i="9"/>
  <c r="O3131" i="9"/>
  <c r="O3119" i="9"/>
  <c r="O3065" i="9"/>
  <c r="O3035" i="9"/>
  <c r="O3027" i="9"/>
  <c r="O2889" i="9"/>
  <c r="O2883" i="9"/>
  <c r="O2875" i="9"/>
  <c r="O2857" i="9"/>
  <c r="O2815" i="9"/>
  <c r="O2629" i="9"/>
  <c r="O2623" i="9"/>
  <c r="O2617" i="9"/>
  <c r="O2535" i="9"/>
  <c r="O2523" i="9"/>
  <c r="O2517" i="9"/>
  <c r="O2443" i="9"/>
  <c r="O2383" i="9"/>
  <c r="O2351" i="9"/>
  <c r="O2345" i="9"/>
  <c r="O2339" i="9"/>
  <c r="O2309" i="9"/>
  <c r="O2217" i="9"/>
  <c r="O2213" i="9"/>
  <c r="O2199" i="9"/>
  <c r="O2193" i="9"/>
  <c r="O2187" i="9"/>
  <c r="O2165" i="9"/>
  <c r="O2248" i="9"/>
  <c r="O2076" i="9"/>
  <c r="O2068" i="9"/>
  <c r="O2020" i="9"/>
  <c r="O2006" i="9"/>
  <c r="O1962" i="9"/>
  <c r="O1916" i="9"/>
  <c r="O1870" i="9"/>
  <c r="O1864" i="9"/>
  <c r="O1856" i="9"/>
  <c r="O1844" i="9"/>
  <c r="O1766" i="9"/>
  <c r="O1744" i="9"/>
  <c r="O1702" i="9"/>
  <c r="O1684" i="9"/>
  <c r="O1642" i="9"/>
  <c r="O1636" i="9"/>
  <c r="O1634" i="9"/>
  <c r="O1542" i="9"/>
  <c r="O1530" i="9"/>
  <c r="O1516" i="9"/>
  <c r="O1502" i="9"/>
  <c r="O1484" i="9"/>
  <c r="O2180" i="9"/>
  <c r="O2097" i="9"/>
  <c r="O2091" i="9"/>
  <c r="O2065" i="9"/>
  <c r="O2059" i="9"/>
  <c r="O2051" i="9"/>
  <c r="O2013" i="9"/>
  <c r="O1995" i="9"/>
  <c r="O1973" i="9"/>
  <c r="O1967" i="9"/>
  <c r="O1959" i="9"/>
  <c r="O1953" i="9"/>
  <c r="O1937" i="9"/>
  <c r="O1851" i="9"/>
  <c r="O1773" i="9"/>
  <c r="O1761" i="9"/>
  <c r="O1739" i="9"/>
  <c r="O1727" i="9"/>
  <c r="O1639" i="9"/>
  <c r="O1609" i="9"/>
  <c r="O1597" i="9"/>
  <c r="O1569" i="9"/>
  <c r="O1561" i="9"/>
  <c r="O1551" i="9"/>
  <c r="O1523" i="9"/>
  <c r="O1507" i="9"/>
  <c r="O1497" i="9"/>
  <c r="O2238" i="9"/>
  <c r="O2150" i="9"/>
  <c r="O2201" i="10"/>
  <c r="O2145" i="10"/>
  <c r="O2214" i="10"/>
  <c r="O2057" i="10"/>
  <c r="O2043" i="10"/>
  <c r="O2027" i="10"/>
  <c r="O1904" i="10"/>
  <c r="O1934" i="10"/>
  <c r="O1900" i="10"/>
  <c r="O1884" i="10"/>
  <c r="O1829" i="10"/>
  <c r="O2096" i="10"/>
  <c r="O1973" i="10"/>
  <c r="O2042" i="10"/>
  <c r="O1819" i="10"/>
  <c r="O1789" i="10"/>
  <c r="O1955" i="10"/>
  <c r="O1799" i="10"/>
  <c r="O1795" i="10"/>
  <c r="O1787" i="10"/>
  <c r="O1711" i="10"/>
  <c r="O1671" i="10"/>
  <c r="O1645" i="10"/>
  <c r="O1702" i="10"/>
  <c r="O1643" i="10"/>
  <c r="O1496" i="10"/>
  <c r="O1475" i="10"/>
  <c r="O1469" i="10"/>
  <c r="O1463" i="10"/>
  <c r="O1520" i="10"/>
  <c r="O1457" i="10"/>
  <c r="O1567" i="10"/>
  <c r="O1427" i="10"/>
  <c r="O1450" i="10"/>
  <c r="O1964" i="10"/>
  <c r="O1933" i="10"/>
  <c r="O1798" i="10"/>
  <c r="O2033" i="10"/>
  <c r="O2053" i="10"/>
  <c r="O2015" i="10"/>
  <c r="O1818" i="10"/>
  <c r="O1788" i="10"/>
  <c r="O1675" i="10"/>
  <c r="O1735" i="10"/>
  <c r="O1706" i="10"/>
  <c r="O1665" i="10"/>
  <c r="O1662" i="10"/>
  <c r="O1700" i="10"/>
  <c r="O1379" i="10"/>
  <c r="O1363" i="10"/>
  <c r="O1342" i="10"/>
  <c r="O1532" i="10"/>
  <c r="O1531" i="10"/>
  <c r="O1525" i="10"/>
  <c r="O1579" i="10"/>
  <c r="O1568" i="10"/>
  <c r="O1429" i="10"/>
  <c r="O1514" i="10"/>
  <c r="O1452" i="10"/>
  <c r="O1513" i="10"/>
  <c r="O1288" i="10"/>
  <c r="O1230" i="10"/>
  <c r="O1322" i="10"/>
  <c r="O1279" i="10"/>
  <c r="O1225" i="10"/>
  <c r="O1223" i="10"/>
  <c r="O1273" i="10"/>
  <c r="O1221" i="10"/>
  <c r="O1186" i="10"/>
  <c r="O1272" i="10"/>
  <c r="O1282" i="10"/>
  <c r="O1281" i="10"/>
  <c r="O1081" i="10"/>
  <c r="O1220" i="10"/>
  <c r="O931" i="10"/>
  <c r="O930" i="10"/>
  <c r="O926" i="10"/>
  <c r="O988" i="10"/>
  <c r="O924" i="10"/>
  <c r="O883" i="10"/>
  <c r="O1030" i="10"/>
  <c r="O984" i="10"/>
  <c r="O775" i="10"/>
  <c r="O979" i="10"/>
  <c r="O846" i="10"/>
  <c r="O876" i="10"/>
  <c r="O996" i="10"/>
  <c r="O989" i="10"/>
  <c r="O1047" i="10"/>
  <c r="O919" i="10"/>
  <c r="O881" i="10"/>
  <c r="O914" i="10"/>
  <c r="O877" i="10"/>
  <c r="O978" i="10"/>
  <c r="O673" i="10"/>
  <c r="O664" i="10"/>
  <c r="O593" i="10"/>
  <c r="O662" i="10"/>
  <c r="O588" i="10"/>
  <c r="O537" i="10"/>
  <c r="O502" i="10"/>
  <c r="O462" i="10"/>
  <c r="O418" i="10"/>
  <c r="O356" i="10"/>
  <c r="O536" i="10"/>
  <c r="O657" i="10"/>
  <c r="O584" i="10"/>
  <c r="O533" i="10"/>
  <c r="O581" i="10"/>
  <c r="O654" i="10"/>
  <c r="O653" i="10"/>
  <c r="O621" i="10"/>
  <c r="O485" i="10"/>
  <c r="O604" i="10"/>
  <c r="O601" i="10"/>
  <c r="O384" i="10"/>
  <c r="O535" i="10"/>
  <c r="O715" i="10"/>
  <c r="O499" i="10"/>
  <c r="O580" i="10"/>
  <c r="O530" i="10"/>
  <c r="O579" i="10"/>
  <c r="O578" i="10"/>
  <c r="O236" i="10"/>
  <c r="O294" i="10"/>
  <c r="O227" i="10"/>
  <c r="O224" i="10"/>
  <c r="O283" i="10"/>
  <c r="O220" i="10"/>
  <c r="O166" i="10"/>
  <c r="O122" i="10"/>
  <c r="O89" i="10"/>
  <c r="O56" i="10"/>
  <c r="O9" i="10"/>
  <c r="O328" i="10"/>
  <c r="O213" i="10"/>
  <c r="O279" i="10"/>
  <c r="O206" i="10"/>
  <c r="O156" i="10"/>
  <c r="O278" i="10"/>
  <c r="O155" i="10"/>
  <c r="O3751" i="9"/>
  <c r="O295" i="10"/>
  <c r="O292" i="10"/>
  <c r="O232" i="10"/>
  <c r="O286" i="10"/>
  <c r="O330" i="10"/>
  <c r="O35" i="10"/>
  <c r="O282" i="10"/>
  <c r="O161" i="10"/>
  <c r="O118" i="10"/>
  <c r="O205" i="10"/>
  <c r="O277" i="10"/>
  <c r="O275" i="10"/>
  <c r="O201" i="10"/>
  <c r="O3656" i="9"/>
  <c r="O3648" i="9"/>
  <c r="O3640" i="9"/>
  <c r="O3524" i="9"/>
  <c r="O3518" i="9"/>
  <c r="O3424" i="9"/>
  <c r="O3324" i="9"/>
  <c r="O3318" i="9"/>
  <c r="O3314" i="9"/>
  <c r="O3152" i="9"/>
  <c r="O3128" i="9"/>
  <c r="O3022" i="9"/>
  <c r="O3018" i="9"/>
  <c r="O2880" i="9"/>
  <c r="O2872" i="9"/>
  <c r="O2776" i="9"/>
  <c r="O2676" i="9"/>
  <c r="O2526" i="9"/>
  <c r="O2520" i="9"/>
  <c r="O2422" i="9"/>
  <c r="O2388" i="9"/>
  <c r="O2372" i="9"/>
  <c r="O3483" i="9"/>
  <c r="O3417" i="9"/>
  <c r="O3329" i="9"/>
  <c r="O3137" i="9"/>
  <c r="O3117" i="9"/>
  <c r="O2773" i="9"/>
  <c r="O2755" i="9"/>
  <c r="O2655" i="9"/>
  <c r="O2641" i="9"/>
  <c r="O2529" i="9"/>
  <c r="O2379" i="9"/>
  <c r="O2307" i="9"/>
  <c r="O2301" i="9"/>
  <c r="O2293" i="9"/>
  <c r="O1958" i="9"/>
  <c r="O1956" i="9"/>
  <c r="O1644" i="9"/>
  <c r="O1638" i="9"/>
  <c r="O2162" i="9"/>
  <c r="O2116" i="9"/>
  <c r="O1957" i="9"/>
  <c r="O1901" i="9"/>
  <c r="O1835" i="9"/>
  <c r="O1763" i="9"/>
  <c r="O1759" i="9"/>
  <c r="O1641" i="9"/>
  <c r="O2" i="9"/>
  <c r="O4" i="9"/>
  <c r="O18" i="9"/>
  <c r="O20" i="9"/>
  <c r="O38" i="9"/>
  <c r="O60" i="9"/>
  <c r="O70" i="9"/>
  <c r="O76" i="9"/>
  <c r="O130" i="9"/>
  <c r="O138" i="9"/>
  <c r="O146" i="9"/>
  <c r="O162" i="9"/>
  <c r="O164" i="9"/>
  <c r="O178" i="9"/>
  <c r="O182" i="9"/>
  <c r="O196" i="9"/>
  <c r="O202" i="9"/>
  <c r="O210" i="9"/>
  <c r="O224" i="9"/>
  <c r="O230" i="9"/>
  <c r="O238" i="9"/>
  <c r="O246" i="9"/>
  <c r="O252" i="9"/>
  <c r="O274" i="9"/>
  <c r="O282" i="9"/>
  <c r="O314" i="9"/>
  <c r="O330" i="9"/>
  <c r="O334" i="9"/>
  <c r="O338" i="9"/>
  <c r="O340" i="9"/>
  <c r="O344" i="9"/>
  <c r="O346" i="9"/>
  <c r="O348" i="9"/>
  <c r="O360" i="9"/>
  <c r="O364" i="9"/>
  <c r="O394" i="9"/>
  <c r="O414" i="9"/>
  <c r="O418" i="9"/>
  <c r="O422" i="9"/>
  <c r="O474" i="9"/>
  <c r="O482" i="9"/>
  <c r="O486" i="9"/>
  <c r="O502" i="9"/>
  <c r="O512" i="9"/>
  <c r="O516" i="9"/>
  <c r="O522" i="9"/>
  <c r="O540" i="9"/>
  <c r="O544" i="9"/>
  <c r="O554" i="9"/>
  <c r="O560" i="9"/>
  <c r="O564" i="9"/>
  <c r="O574" i="9"/>
  <c r="O586" i="9"/>
  <c r="O588" i="9"/>
  <c r="O592" i="9"/>
  <c r="O594" i="9"/>
  <c r="O598" i="9"/>
  <c r="O600" i="9"/>
  <c r="O612" i="9"/>
  <c r="O616" i="9"/>
  <c r="O630" i="9"/>
  <c r="O634" i="9"/>
  <c r="O640" i="9"/>
  <c r="O656" i="9"/>
  <c r="O664" i="9"/>
  <c r="O692" i="9"/>
  <c r="O702" i="9"/>
  <c r="O708" i="9"/>
  <c r="O718" i="9"/>
  <c r="O724" i="9"/>
  <c r="O728" i="9"/>
  <c r="O732" i="9"/>
  <c r="O762" i="9"/>
  <c r="O768" i="9"/>
  <c r="O776" i="9"/>
  <c r="O792" i="9"/>
  <c r="O794" i="9"/>
  <c r="O798" i="9"/>
  <c r="O800" i="9"/>
  <c r="O836" i="9"/>
  <c r="O856" i="9"/>
  <c r="O864" i="9"/>
  <c r="O880" i="9"/>
  <c r="O886" i="9"/>
  <c r="O892" i="9"/>
  <c r="O904" i="9"/>
  <c r="O922" i="9"/>
  <c r="O926" i="9"/>
  <c r="O940" i="9"/>
  <c r="O946" i="9"/>
  <c r="O954" i="9"/>
  <c r="O962" i="9"/>
  <c r="O966" i="9"/>
  <c r="O972" i="9"/>
  <c r="O976" i="9"/>
  <c r="O986" i="9"/>
  <c r="O988" i="9"/>
  <c r="O998" i="9"/>
  <c r="O1008" i="9"/>
  <c r="O1016" i="9"/>
  <c r="O1028" i="9"/>
  <c r="O1046" i="9"/>
  <c r="O1066" i="9"/>
  <c r="O1072" i="9"/>
  <c r="O1086" i="9"/>
  <c r="O1104" i="9"/>
  <c r="O1108" i="9"/>
  <c r="O1136" i="9"/>
  <c r="O1158" i="9"/>
  <c r="O1164" i="9"/>
  <c r="O1168" i="9"/>
  <c r="O1176" i="9"/>
  <c r="O1210" i="9"/>
  <c r="O1212" i="9"/>
  <c r="O1226" i="9"/>
  <c r="O1232" i="9"/>
  <c r="O1276" i="9"/>
  <c r="O1298" i="9"/>
  <c r="O1328" i="9"/>
  <c r="O1336" i="9"/>
  <c r="O1342" i="9"/>
  <c r="O1344" i="9"/>
  <c r="O1346" i="9"/>
  <c r="O1350" i="9"/>
  <c r="O1362" i="9"/>
  <c r="O1372" i="9"/>
  <c r="O1390" i="9"/>
  <c r="O1416" i="9"/>
  <c r="O1424" i="9"/>
  <c r="O1428" i="9"/>
  <c r="O1444" i="9"/>
  <c r="O1452" i="9"/>
  <c r="O1454" i="9"/>
  <c r="O1456" i="9"/>
  <c r="O1470" i="9"/>
  <c r="O1477" i="9"/>
  <c r="O151" i="9"/>
  <c r="O153" i="9"/>
  <c r="O159" i="9"/>
  <c r="O171" i="9"/>
  <c r="O187" i="9"/>
  <c r="O191" i="9"/>
  <c r="O193" i="9"/>
  <c r="O197" i="9"/>
  <c r="O199" i="9"/>
  <c r="O205" i="9"/>
  <c r="O217" i="9"/>
  <c r="O227" i="9"/>
  <c r="O235" i="9"/>
  <c r="O255" i="9"/>
  <c r="O259" i="9"/>
  <c r="O263" i="9"/>
  <c r="O267" i="9"/>
  <c r="O299" i="9"/>
  <c r="O321" i="9"/>
  <c r="O333" i="9"/>
  <c r="O337" i="9"/>
  <c r="O343" i="9"/>
  <c r="O347" i="9"/>
  <c r="O349" i="9"/>
  <c r="O357" i="9"/>
  <c r="O401" i="9"/>
  <c r="O425" i="9"/>
  <c r="O437" i="9"/>
  <c r="O459" i="9"/>
  <c r="O467" i="9"/>
  <c r="O471" i="9"/>
  <c r="O501" i="9"/>
  <c r="O503" i="9"/>
  <c r="O507" i="9"/>
  <c r="O525" i="9"/>
  <c r="O533" i="9"/>
  <c r="O549" i="9"/>
  <c r="O553" i="9"/>
  <c r="O569" i="9"/>
  <c r="O581" i="9"/>
  <c r="O603" i="9"/>
  <c r="O609" i="9"/>
  <c r="O619" i="9"/>
  <c r="O623" i="9"/>
  <c r="O645" i="9"/>
  <c r="O649" i="9"/>
  <c r="O671" i="9"/>
  <c r="O695" i="9"/>
  <c r="O705" i="9"/>
  <c r="O713" i="9"/>
  <c r="O751" i="9"/>
  <c r="O755" i="9"/>
  <c r="O779" i="9"/>
  <c r="O795" i="9"/>
  <c r="O801" i="9"/>
  <c r="O833" i="9"/>
  <c r="O843" i="9"/>
  <c r="O883" i="9"/>
  <c r="O919" i="9"/>
  <c r="O929" i="9"/>
  <c r="O937" i="9"/>
  <c r="O951" i="9"/>
  <c r="O957" i="9"/>
  <c r="O981" i="9"/>
  <c r="O991" i="9"/>
  <c r="O1003" i="9"/>
  <c r="O1005" i="9"/>
  <c r="O1011" i="9"/>
  <c r="O1023" i="9"/>
  <c r="O1033" i="9"/>
  <c r="O1037" i="9"/>
  <c r="O1043" i="9"/>
  <c r="O1051" i="9"/>
  <c r="O1059" i="9"/>
  <c r="O1113" i="9"/>
  <c r="O1131" i="9"/>
  <c r="O1147" i="9"/>
  <c r="O1155" i="9"/>
  <c r="O1157" i="9"/>
  <c r="O1159" i="9"/>
  <c r="O1161" i="9"/>
  <c r="O1171" i="9"/>
  <c r="O1179" i="9"/>
  <c r="O1219" i="9"/>
  <c r="O1251" i="9"/>
  <c r="O1263" i="9"/>
  <c r="O1265" i="9"/>
  <c r="O1269" i="9"/>
  <c r="O1281" i="9"/>
  <c r="O1307" i="9"/>
  <c r="O1331" i="9"/>
  <c r="O1339" i="9"/>
  <c r="O1357" i="9"/>
  <c r="O1367" i="9"/>
  <c r="O1379" i="9"/>
  <c r="O1383" i="9"/>
  <c r="O1385" i="9"/>
  <c r="O1397" i="9"/>
  <c r="O1401" i="9"/>
  <c r="O1407" i="9"/>
  <c r="O1413" i="9"/>
  <c r="O1419" i="9"/>
  <c r="O1431" i="9"/>
  <c r="O1435" i="9"/>
  <c r="O1449" i="9"/>
  <c r="O1463" i="9"/>
  <c r="K213" i="10"/>
  <c r="L213" i="10"/>
  <c r="K176" i="10"/>
  <c r="L176" i="10"/>
  <c r="L68" i="10"/>
  <c r="K68" i="10"/>
  <c r="L180" i="10"/>
  <c r="K180" i="10"/>
  <c r="L75" i="10"/>
  <c r="K75" i="10"/>
  <c r="L268" i="10"/>
  <c r="K268" i="10"/>
  <c r="L143" i="10"/>
  <c r="K143" i="10"/>
  <c r="L715" i="10"/>
  <c r="K715" i="10"/>
  <c r="K539" i="10"/>
  <c r="L539" i="10"/>
  <c r="L599" i="10"/>
  <c r="K599" i="10"/>
  <c r="L528" i="10"/>
  <c r="K528" i="10"/>
  <c r="L651" i="10"/>
  <c r="K651" i="10"/>
  <c r="K607" i="10"/>
  <c r="L607" i="10"/>
  <c r="L364" i="10"/>
  <c r="K364" i="10"/>
  <c r="L437" i="10"/>
  <c r="K437" i="10"/>
  <c r="K514" i="10"/>
  <c r="L514" i="10"/>
  <c r="L627" i="10"/>
  <c r="K627" i="10"/>
  <c r="L637" i="10"/>
  <c r="K637" i="10"/>
  <c r="L521" i="10"/>
  <c r="K521" i="10"/>
  <c r="K633" i="10"/>
  <c r="L633" i="10"/>
  <c r="L914" i="10"/>
  <c r="K914" i="10"/>
  <c r="L919" i="10"/>
  <c r="K919" i="10"/>
  <c r="L883" i="10"/>
  <c r="K883" i="10"/>
  <c r="L784" i="10"/>
  <c r="K784" i="10"/>
  <c r="K1006" i="10"/>
  <c r="L1006" i="10"/>
  <c r="K802" i="10"/>
  <c r="L802" i="10"/>
  <c r="K772" i="10"/>
  <c r="L772" i="10"/>
  <c r="K1283" i="10"/>
  <c r="L1283" i="10"/>
  <c r="L1317" i="10"/>
  <c r="K1317" i="10"/>
  <c r="L1185" i="10"/>
  <c r="K1185" i="10"/>
  <c r="K1120" i="10"/>
  <c r="L1120" i="10"/>
  <c r="K1153" i="10"/>
  <c r="L1153" i="10"/>
  <c r="L1130" i="10"/>
  <c r="K1130" i="10"/>
  <c r="K1169" i="10"/>
  <c r="L1169" i="10"/>
  <c r="L1132" i="10"/>
  <c r="K1132" i="10"/>
  <c r="L1136" i="10"/>
  <c r="K1136" i="10"/>
  <c r="L1079" i="10"/>
  <c r="K1079" i="10"/>
  <c r="L1139" i="10"/>
  <c r="K1139" i="10"/>
  <c r="K1472" i="10"/>
  <c r="L1472" i="10"/>
  <c r="K1379" i="10"/>
  <c r="L1379" i="10"/>
  <c r="L1547" i="10"/>
  <c r="K1547" i="10"/>
  <c r="K1494" i="10"/>
  <c r="L1494" i="10"/>
  <c r="K1655" i="10"/>
  <c r="L1655" i="10"/>
  <c r="L1582" i="10"/>
  <c r="K1582" i="10"/>
  <c r="L1888" i="10"/>
  <c r="K1888" i="10"/>
  <c r="L1923" i="10"/>
  <c r="K1923" i="10"/>
  <c r="L1997" i="10"/>
  <c r="K1997" i="10"/>
  <c r="L2195" i="10"/>
  <c r="K2195" i="10"/>
  <c r="L155" i="10"/>
  <c r="K155" i="10"/>
  <c r="K233" i="10"/>
  <c r="K14" i="10"/>
  <c r="L14" i="10"/>
  <c r="K107" i="10"/>
  <c r="L181" i="10"/>
  <c r="K586" i="10"/>
  <c r="L586" i="10"/>
  <c r="K462" i="10"/>
  <c r="L462" i="10"/>
  <c r="L668" i="10"/>
  <c r="K668" i="10"/>
  <c r="L357" i="10"/>
  <c r="L469" i="10"/>
  <c r="K469" i="10"/>
  <c r="L645" i="10"/>
  <c r="K645" i="10"/>
  <c r="K648" i="10"/>
  <c r="L652" i="10"/>
  <c r="K652" i="10"/>
  <c r="L425" i="10"/>
  <c r="K425" i="10"/>
  <c r="K487" i="10"/>
  <c r="K489" i="10"/>
  <c r="L489" i="10"/>
  <c r="K555" i="10"/>
  <c r="L555" i="10"/>
  <c r="L737" i="10"/>
  <c r="K737" i="10"/>
  <c r="L451" i="10"/>
  <c r="K451" i="10"/>
  <c r="L735" i="10"/>
  <c r="K735" i="10"/>
  <c r="L987" i="10"/>
  <c r="K987" i="10"/>
  <c r="L844" i="10"/>
  <c r="K844" i="10"/>
  <c r="L994" i="10"/>
  <c r="K994" i="10"/>
  <c r="L788" i="10"/>
  <c r="L814" i="10"/>
  <c r="K814" i="10"/>
  <c r="K1040" i="10"/>
  <c r="L1040" i="10"/>
  <c r="L1112" i="10"/>
  <c r="K1112" i="10"/>
  <c r="K1304" i="10"/>
  <c r="L1304" i="10"/>
  <c r="K1311" i="10"/>
  <c r="L1311" i="10"/>
  <c r="K1314" i="10"/>
  <c r="L1314" i="10"/>
  <c r="K1451" i="10"/>
  <c r="L1451" i="10"/>
  <c r="K285" i="10"/>
  <c r="L285" i="10"/>
  <c r="L200" i="10"/>
  <c r="K200" i="10"/>
  <c r="L316" i="10"/>
  <c r="K316" i="10"/>
  <c r="L266" i="10"/>
  <c r="K266" i="10"/>
  <c r="L587" i="10"/>
  <c r="K587" i="10"/>
  <c r="L356" i="10"/>
  <c r="K356" i="10"/>
  <c r="K719" i="10"/>
  <c r="L719" i="10"/>
  <c r="L674" i="10"/>
  <c r="K674" i="10"/>
  <c r="L681" i="10"/>
  <c r="K681" i="10"/>
  <c r="L484" i="10"/>
  <c r="K484" i="10"/>
  <c r="K685" i="10"/>
  <c r="L685" i="10"/>
  <c r="L404" i="10"/>
  <c r="K404" i="10"/>
  <c r="K410" i="10"/>
  <c r="L410" i="10"/>
  <c r="L916" i="10"/>
  <c r="K916" i="10"/>
  <c r="K779" i="10"/>
  <c r="K886" i="10"/>
  <c r="K888" i="10"/>
  <c r="K935" i="10"/>
  <c r="L935" i="10"/>
  <c r="L995" i="10"/>
  <c r="K995" i="10"/>
  <c r="L958" i="10"/>
  <c r="K958" i="10"/>
  <c r="K1100" i="10"/>
  <c r="L1100" i="10"/>
  <c r="K202" i="10"/>
  <c r="L276" i="10"/>
  <c r="K276" i="10"/>
  <c r="L328" i="10"/>
  <c r="K328" i="10"/>
  <c r="K117" i="10"/>
  <c r="L117" i="10"/>
  <c r="K24" i="10"/>
  <c r="L24" i="10"/>
  <c r="L344" i="10"/>
  <c r="K344" i="10"/>
  <c r="K28" i="10"/>
  <c r="K111" i="10"/>
  <c r="K270" i="10"/>
  <c r="L270" i="10"/>
  <c r="K717" i="10"/>
  <c r="K597" i="10"/>
  <c r="L597" i="10"/>
  <c r="L604" i="10"/>
  <c r="K604" i="10"/>
  <c r="L712" i="10"/>
  <c r="K712" i="10"/>
  <c r="L481" i="10"/>
  <c r="K481" i="10"/>
  <c r="K393" i="10"/>
  <c r="K552" i="10"/>
  <c r="L552" i="10"/>
  <c r="K490" i="10"/>
  <c r="L490" i="10"/>
  <c r="K494" i="10"/>
  <c r="K635" i="10"/>
  <c r="L635" i="10"/>
  <c r="L985" i="10"/>
  <c r="K985" i="10"/>
  <c r="L1026" i="10"/>
  <c r="K1026" i="10"/>
  <c r="K973" i="10"/>
  <c r="L973" i="10"/>
  <c r="L810" i="10"/>
  <c r="K810" i="10"/>
  <c r="K899" i="10"/>
  <c r="L899" i="10"/>
  <c r="L1370" i="10"/>
  <c r="K1370" i="10"/>
  <c r="L1757" i="10"/>
  <c r="K1757" i="10"/>
  <c r="L1880" i="10"/>
  <c r="K1880" i="10"/>
  <c r="L1970" i="10"/>
  <c r="K1970" i="10"/>
  <c r="L314" i="10"/>
  <c r="K314" i="10"/>
  <c r="K29" i="10"/>
  <c r="L29" i="10"/>
  <c r="L590" i="10"/>
  <c r="K590" i="10"/>
  <c r="L472" i="10"/>
  <c r="K472" i="10"/>
  <c r="L646" i="10"/>
  <c r="K646" i="10"/>
  <c r="K476" i="10"/>
  <c r="L476" i="10"/>
  <c r="L544" i="10"/>
  <c r="K544" i="10"/>
  <c r="L367" i="10"/>
  <c r="K367" i="10"/>
  <c r="L687" i="10"/>
  <c r="K687" i="10"/>
  <c r="K375" i="10"/>
  <c r="L375" i="10"/>
  <c r="L492" i="10"/>
  <c r="K492" i="10"/>
  <c r="L377" i="10"/>
  <c r="K377" i="10"/>
  <c r="K988" i="10"/>
  <c r="L988" i="10"/>
  <c r="L827" i="10"/>
  <c r="K827" i="10"/>
  <c r="L808" i="10"/>
  <c r="K808" i="10"/>
  <c r="L1037" i="10"/>
  <c r="K1037" i="10"/>
  <c r="L764" i="10"/>
  <c r="K764" i="10"/>
  <c r="L1043" i="10"/>
  <c r="K1043" i="10"/>
  <c r="L1016" i="10"/>
  <c r="K1016" i="10"/>
  <c r="K1281" i="10"/>
  <c r="L1281" i="10"/>
  <c r="L1211" i="10"/>
  <c r="K1211" i="10"/>
  <c r="L1154" i="10"/>
  <c r="K1154" i="10"/>
  <c r="L1261" i="10"/>
  <c r="K1261" i="10"/>
  <c r="L1510" i="10"/>
  <c r="K1510" i="10"/>
  <c r="K1573" i="10"/>
  <c r="L1573" i="10"/>
  <c r="L1376" i="10"/>
  <c r="K1376" i="10"/>
  <c r="K1490" i="10"/>
  <c r="L1490" i="10"/>
  <c r="K1554" i="10"/>
  <c r="L1554" i="10"/>
  <c r="L1843" i="10"/>
  <c r="K1843" i="10"/>
  <c r="K2057" i="10"/>
  <c r="L2057" i="10"/>
  <c r="L2047" i="10"/>
  <c r="K2047" i="10"/>
  <c r="L2012" i="10"/>
  <c r="K2012" i="10"/>
  <c r="L35" i="10"/>
  <c r="K89" i="10"/>
  <c r="L224" i="10"/>
  <c r="L84" i="10"/>
  <c r="L59" i="10"/>
  <c r="K97" i="10"/>
  <c r="L16" i="10"/>
  <c r="K61" i="10"/>
  <c r="L21" i="10"/>
  <c r="K21" i="10"/>
  <c r="L252" i="10"/>
  <c r="K178" i="10"/>
  <c r="K256" i="10"/>
  <c r="L308" i="10"/>
  <c r="L185" i="10"/>
  <c r="L263" i="10"/>
  <c r="K263" i="10"/>
  <c r="L190" i="10"/>
  <c r="L106" i="10"/>
  <c r="K106" i="10"/>
  <c r="L310" i="10"/>
  <c r="L2" i="10"/>
  <c r="K2" i="10"/>
  <c r="K585" i="10"/>
  <c r="K660" i="10"/>
  <c r="K423" i="10"/>
  <c r="K713" i="10"/>
  <c r="L713" i="10"/>
  <c r="L435" i="10"/>
  <c r="K435" i="10"/>
  <c r="K686" i="10"/>
  <c r="L686" i="10"/>
  <c r="L691" i="10"/>
  <c r="L373" i="10"/>
  <c r="K373" i="10"/>
  <c r="L699" i="10"/>
  <c r="L704" i="10"/>
  <c r="K704" i="10"/>
  <c r="K705" i="10"/>
  <c r="K399" i="10"/>
  <c r="K448" i="10"/>
  <c r="K517" i="10"/>
  <c r="L517" i="10"/>
  <c r="K644" i="10"/>
  <c r="K881" i="10"/>
  <c r="K884" i="10"/>
  <c r="L884" i="10"/>
  <c r="K885" i="10"/>
  <c r="K842" i="10"/>
  <c r="L875" i="10"/>
  <c r="K875" i="10"/>
  <c r="K850" i="10"/>
  <c r="L850" i="10"/>
  <c r="K937" i="10"/>
  <c r="K939" i="10"/>
  <c r="L947" i="10"/>
  <c r="K947" i="10"/>
  <c r="L816" i="10"/>
  <c r="K955" i="10"/>
  <c r="L1012" i="10"/>
  <c r="L963" i="10"/>
  <c r="K1021" i="10"/>
  <c r="L1041" i="10"/>
  <c r="K1041" i="10"/>
  <c r="L798" i="10"/>
  <c r="K798" i="10"/>
  <c r="K1272" i="10"/>
  <c r="K1186" i="10"/>
  <c r="L1086" i="10"/>
  <c r="K1086" i="10"/>
  <c r="K1236" i="10"/>
  <c r="L1236" i="10"/>
  <c r="L1457" i="10"/>
  <c r="K1457" i="10"/>
  <c r="K1588" i="10"/>
  <c r="L1588" i="10"/>
  <c r="L1955" i="10"/>
  <c r="K1955" i="10"/>
  <c r="L2003" i="10"/>
  <c r="K2003" i="10"/>
  <c r="K1467" i="10"/>
  <c r="L1467" i="10"/>
  <c r="K1345" i="10"/>
  <c r="L1345" i="10"/>
  <c r="L1542" i="10"/>
  <c r="K1542" i="10"/>
  <c r="L1557" i="10"/>
  <c r="K1557" i="10"/>
  <c r="L1359" i="10"/>
  <c r="K1359" i="10"/>
  <c r="L1668" i="10"/>
  <c r="K1668" i="10"/>
  <c r="K1617" i="10"/>
  <c r="L1617" i="10"/>
  <c r="K1940" i="10"/>
  <c r="L1940" i="10"/>
  <c r="L1890" i="10"/>
  <c r="K1890" i="10"/>
  <c r="K1892" i="10"/>
  <c r="L1892" i="10"/>
  <c r="K1895" i="10"/>
  <c r="L1895" i="10"/>
  <c r="L2033" i="10"/>
  <c r="K2033" i="10"/>
  <c r="L2049" i="10"/>
  <c r="K2049" i="10"/>
  <c r="K2172" i="10"/>
  <c r="L2172" i="10"/>
  <c r="L1164" i="10"/>
  <c r="L1217" i="10"/>
  <c r="K1321" i="10"/>
  <c r="K1123" i="10"/>
  <c r="K1151" i="10"/>
  <c r="L1191" i="10"/>
  <c r="L1063" i="10"/>
  <c r="L1090" i="10"/>
  <c r="L1167" i="10"/>
  <c r="L1297" i="10"/>
  <c r="L1094" i="10"/>
  <c r="K1241" i="10"/>
  <c r="K1073" i="10"/>
  <c r="K1172" i="10"/>
  <c r="K1074" i="10"/>
  <c r="K1174" i="10"/>
  <c r="K1245" i="10"/>
  <c r="K1250" i="10"/>
  <c r="K1302" i="10"/>
  <c r="K1307" i="10"/>
  <c r="K1309" i="10"/>
  <c r="L1259" i="10"/>
  <c r="L1102" i="10"/>
  <c r="K1315" i="10"/>
  <c r="L1267" i="10"/>
  <c r="L1412" i="10"/>
  <c r="L1567" i="10"/>
  <c r="L1431" i="10"/>
  <c r="K1447" i="10"/>
  <c r="L1508" i="10"/>
  <c r="K1401" i="10"/>
  <c r="L1417" i="10"/>
  <c r="L1537" i="10"/>
  <c r="K1354" i="10"/>
  <c r="L1354" i="10"/>
  <c r="L1549" i="10"/>
  <c r="K1549" i="10"/>
  <c r="L1576" i="10"/>
  <c r="L1560" i="10"/>
  <c r="K1560" i="10"/>
  <c r="L1610" i="10"/>
  <c r="K1629" i="10"/>
  <c r="K1649" i="10"/>
  <c r="L1649" i="10"/>
  <c r="K1718" i="10"/>
  <c r="L1590" i="10"/>
  <c r="K1719" i="10"/>
  <c r="L1739" i="10"/>
  <c r="K1739" i="10"/>
  <c r="K1734" i="10"/>
  <c r="K1790" i="10"/>
  <c r="L1755" i="10"/>
  <c r="K1755" i="10"/>
  <c r="L1831" i="10"/>
  <c r="K1831" i="10"/>
  <c r="K1809" i="10"/>
  <c r="L1809" i="10"/>
  <c r="L1832" i="10"/>
  <c r="K1832" i="10"/>
  <c r="K1933" i="10"/>
  <c r="L1841" i="10"/>
  <c r="K1841" i="10"/>
  <c r="K1863" i="10"/>
  <c r="K1912" i="10"/>
  <c r="K1864" i="10"/>
  <c r="K1847" i="10"/>
  <c r="L1847" i="10"/>
  <c r="K1945" i="10"/>
  <c r="K1922" i="10"/>
  <c r="K1969" i="10"/>
  <c r="L1975" i="10"/>
  <c r="K1975" i="10"/>
  <c r="L1998" i="10"/>
  <c r="K1984" i="10"/>
  <c r="L1984" i="10"/>
  <c r="L2106" i="10"/>
  <c r="K2106" i="10"/>
  <c r="L2139" i="10"/>
  <c r="K2139" i="10"/>
  <c r="L2196" i="10"/>
  <c r="K2185" i="10"/>
  <c r="L2222" i="10"/>
  <c r="K2174" i="10"/>
  <c r="K1445" i="10"/>
  <c r="L1445" i="10"/>
  <c r="K1480" i="10"/>
  <c r="L1480" i="10"/>
  <c r="L1484" i="10"/>
  <c r="K1484" i="10"/>
  <c r="L1559" i="10"/>
  <c r="K1559" i="10"/>
  <c r="L1574" i="10"/>
  <c r="K1574" i="10"/>
  <c r="K1716" i="10"/>
  <c r="L1716" i="10"/>
  <c r="L1684" i="10"/>
  <c r="K1684" i="10"/>
  <c r="K1729" i="10"/>
  <c r="L1729" i="10"/>
  <c r="L1583" i="10"/>
  <c r="K1583" i="10"/>
  <c r="K1749" i="10"/>
  <c r="L1749" i="10"/>
  <c r="K1813" i="10"/>
  <c r="L1813" i="10"/>
  <c r="L1857" i="10"/>
  <c r="K1857" i="10"/>
  <c r="L1960" i="10"/>
  <c r="K1960" i="10"/>
  <c r="L1952" i="10"/>
  <c r="K1952" i="10"/>
  <c r="K1838" i="10"/>
  <c r="L1838" i="10"/>
  <c r="K2027" i="10"/>
  <c r="L2027" i="10"/>
  <c r="K2058" i="10"/>
  <c r="L2058" i="10"/>
  <c r="L2038" i="10"/>
  <c r="K2038" i="10"/>
  <c r="K2061" i="10"/>
  <c r="L2061" i="10"/>
  <c r="K2141" i="10"/>
  <c r="L2141" i="10"/>
  <c r="L1357" i="10"/>
  <c r="K1562" i="10"/>
  <c r="L1506" i="10"/>
  <c r="L1703" i="10"/>
  <c r="L1666" i="10"/>
  <c r="K1604" i="10"/>
  <c r="K1647" i="10"/>
  <c r="K1681" i="10"/>
  <c r="L1607" i="10"/>
  <c r="K1689" i="10"/>
  <c r="L1692" i="10"/>
  <c r="L1594" i="10"/>
  <c r="K1697" i="10"/>
  <c r="L1795" i="10"/>
  <c r="L1748" i="10"/>
  <c r="K1824" i="10"/>
  <c r="L1777" i="10"/>
  <c r="K1786" i="10"/>
  <c r="L1811" i="10"/>
  <c r="K1744" i="10"/>
  <c r="K1934" i="10"/>
  <c r="K1932" i="10"/>
  <c r="L1839" i="10"/>
  <c r="K1855" i="10"/>
  <c r="K1879" i="10"/>
  <c r="L1913" i="10"/>
  <c r="L1958" i="10"/>
  <c r="L1858" i="10"/>
  <c r="K1919" i="10"/>
  <c r="K1961" i="10"/>
  <c r="K1882" i="10"/>
  <c r="K2053" i="10"/>
  <c r="K2002" i="10"/>
  <c r="K2009" i="10"/>
  <c r="L1982" i="10"/>
  <c r="K2048" i="10"/>
  <c r="L2025" i="10"/>
  <c r="L2040" i="10"/>
  <c r="K1966" i="10"/>
  <c r="K2096" i="10"/>
  <c r="L2093" i="10"/>
  <c r="K2069" i="10"/>
  <c r="L2158" i="10"/>
  <c r="L2178" i="10"/>
  <c r="L2182" i="10"/>
  <c r="L2213" i="10"/>
  <c r="K210" i="10"/>
  <c r="K381" i="10"/>
  <c r="L1595" i="10"/>
  <c r="K1886" i="10"/>
  <c r="L583" i="10"/>
  <c r="L1189" i="10"/>
  <c r="K1278" i="10"/>
  <c r="K1361" i="10"/>
  <c r="L1765" i="10"/>
  <c r="L1877" i="10"/>
  <c r="K2076" i="10"/>
  <c r="K2071" i="10"/>
  <c r="L741" i="10"/>
  <c r="K1084" i="10"/>
  <c r="K1110" i="10"/>
  <c r="K1455" i="10"/>
  <c r="K1868" i="10"/>
  <c r="K1987" i="10"/>
  <c r="L2065" i="10"/>
  <c r="K2083" i="10"/>
  <c r="K459" i="10"/>
  <c r="K1853" i="10"/>
  <c r="L30" i="10"/>
  <c r="L159" i="10"/>
  <c r="K212" i="10"/>
  <c r="L350" i="10"/>
  <c r="K415" i="10"/>
  <c r="K417" i="10"/>
  <c r="K500" i="10"/>
  <c r="K1082" i="10"/>
  <c r="L1144" i="10"/>
  <c r="L1644" i="10"/>
  <c r="K1774" i="10"/>
  <c r="L1837" i="10"/>
  <c r="L1866" i="10"/>
  <c r="L1898" i="10"/>
  <c r="L2102" i="10"/>
  <c r="L2131" i="10"/>
  <c r="L54" i="10"/>
  <c r="L281" i="10"/>
  <c r="K354" i="10"/>
  <c r="L776" i="10"/>
  <c r="L805" i="10"/>
  <c r="K775" i="10"/>
  <c r="K1745" i="10"/>
  <c r="K124" i="10"/>
  <c r="L124" i="10"/>
  <c r="K10" i="10"/>
  <c r="L10" i="10"/>
  <c r="L43" i="10"/>
  <c r="K43" i="10"/>
  <c r="L132" i="10"/>
  <c r="K132" i="10"/>
  <c r="K67" i="10"/>
  <c r="L67" i="10"/>
  <c r="L253" i="10"/>
  <c r="K253" i="10"/>
  <c r="L105" i="10"/>
  <c r="K105" i="10"/>
  <c r="L146" i="10"/>
  <c r="K146" i="10"/>
  <c r="L149" i="10"/>
  <c r="K149" i="10"/>
  <c r="K355" i="10"/>
  <c r="L355" i="10"/>
  <c r="L655" i="10"/>
  <c r="K655" i="10"/>
  <c r="L659" i="10"/>
  <c r="K659" i="10"/>
  <c r="L538" i="10"/>
  <c r="K538" i="10"/>
  <c r="L413" i="10"/>
  <c r="K413" i="10"/>
  <c r="K647" i="10"/>
  <c r="L647" i="10"/>
  <c r="L477" i="10"/>
  <c r="K477" i="10"/>
  <c r="L675" i="10"/>
  <c r="K675" i="10"/>
  <c r="L672" i="10"/>
  <c r="K672" i="10"/>
  <c r="L614" i="10"/>
  <c r="K614" i="10"/>
  <c r="L396" i="10"/>
  <c r="K396" i="10"/>
  <c r="K689" i="10"/>
  <c r="L689" i="10"/>
  <c r="L628" i="10"/>
  <c r="K628" i="10"/>
  <c r="L563" i="10"/>
  <c r="K563" i="10"/>
  <c r="K400" i="10"/>
  <c r="L400" i="10"/>
  <c r="L630" i="10"/>
  <c r="K630" i="10"/>
  <c r="L496" i="10"/>
  <c r="K496" i="10"/>
  <c r="K979" i="10"/>
  <c r="L979" i="10"/>
  <c r="L848" i="10"/>
  <c r="K848" i="10"/>
  <c r="L1034" i="10"/>
  <c r="K1034" i="10"/>
  <c r="K843" i="10"/>
  <c r="L843" i="10"/>
  <c r="K1035" i="10"/>
  <c r="L1035" i="10"/>
  <c r="K943" i="10"/>
  <c r="L943" i="10"/>
  <c r="K833" i="10"/>
  <c r="L833" i="10"/>
  <c r="L774" i="10"/>
  <c r="K774" i="10"/>
  <c r="L769" i="10"/>
  <c r="K769" i="10"/>
  <c r="L835" i="10"/>
  <c r="K835" i="10"/>
  <c r="L839" i="10"/>
  <c r="K839" i="10"/>
  <c r="L1273" i="10"/>
  <c r="K1273" i="10"/>
  <c r="L1223" i="10"/>
  <c r="K1223" i="10"/>
  <c r="L1143" i="10"/>
  <c r="K1143" i="10"/>
  <c r="L1322" i="10"/>
  <c r="K1322" i="10"/>
  <c r="L1212" i="10"/>
  <c r="K1212" i="10"/>
  <c r="L1239" i="10"/>
  <c r="K1239" i="10"/>
  <c r="L1294" i="10"/>
  <c r="K1294" i="10"/>
  <c r="K1208" i="10"/>
  <c r="L1208" i="10"/>
  <c r="L1334" i="10"/>
  <c r="K1334" i="10"/>
  <c r="L1399" i="10"/>
  <c r="K1399" i="10"/>
  <c r="L1392" i="10"/>
  <c r="K1392" i="10"/>
  <c r="L1461" i="10"/>
  <c r="K1461" i="10"/>
  <c r="L1524" i="10"/>
  <c r="K1524" i="10"/>
  <c r="K1579" i="10"/>
  <c r="L1579" i="10"/>
  <c r="K1566" i="10"/>
  <c r="L1566" i="10"/>
  <c r="L1366" i="10"/>
  <c r="K1366" i="10"/>
  <c r="L1416" i="10"/>
  <c r="K1416" i="10"/>
  <c r="L1572" i="10"/>
  <c r="K1572" i="10"/>
  <c r="L1498" i="10"/>
  <c r="K1498" i="10"/>
  <c r="K1336" i="10"/>
  <c r="L1336" i="10"/>
  <c r="L1615" i="10"/>
  <c r="K1615" i="10"/>
  <c r="L1674" i="10"/>
  <c r="K1674" i="10"/>
  <c r="L1661" i="10"/>
  <c r="K1661" i="10"/>
  <c r="L1587" i="10"/>
  <c r="K1587" i="10"/>
  <c r="K1638" i="10"/>
  <c r="L1638" i="10"/>
  <c r="L1935" i="10"/>
  <c r="K1935" i="10"/>
  <c r="K1840" i="10"/>
  <c r="L1840" i="10"/>
  <c r="L1914" i="10"/>
  <c r="K1914" i="10"/>
  <c r="K1959" i="10"/>
  <c r="L1959" i="10"/>
  <c r="L1943" i="10"/>
  <c r="K1943" i="10"/>
  <c r="L1988" i="10"/>
  <c r="K1988" i="10"/>
  <c r="K2004" i="10"/>
  <c r="L2004" i="10"/>
  <c r="L2147" i="10"/>
  <c r="K2147" i="10"/>
  <c r="L2187" i="10"/>
  <c r="K2187" i="10"/>
  <c r="L2206" i="10"/>
  <c r="K2206" i="10"/>
  <c r="K278" i="10"/>
  <c r="K8" i="10"/>
  <c r="K33" i="10"/>
  <c r="K88" i="10"/>
  <c r="K162" i="10"/>
  <c r="L216" i="10"/>
  <c r="K220" i="10"/>
  <c r="L114" i="10"/>
  <c r="K154" i="10"/>
  <c r="K127" i="10"/>
  <c r="L130" i="10"/>
  <c r="K297" i="10"/>
  <c r="K19" i="10"/>
  <c r="K40" i="10"/>
  <c r="K99" i="10"/>
  <c r="L99" i="10"/>
  <c r="L174" i="10"/>
  <c r="K174" i="10"/>
  <c r="L336" i="10"/>
  <c r="L340" i="10"/>
  <c r="K175" i="10"/>
  <c r="L177" i="10"/>
  <c r="K177" i="10"/>
  <c r="K48" i="10"/>
  <c r="K69" i="10"/>
  <c r="K264" i="10"/>
  <c r="K187" i="10"/>
  <c r="L318" i="10"/>
  <c r="L345" i="10"/>
  <c r="K345" i="10"/>
  <c r="K74" i="10"/>
  <c r="L74" i="10"/>
  <c r="L323" i="10"/>
  <c r="K323" i="10"/>
  <c r="L581" i="10"/>
  <c r="K581" i="10"/>
  <c r="L582" i="10"/>
  <c r="K582" i="10"/>
  <c r="L718" i="10"/>
  <c r="K718" i="10"/>
  <c r="K733" i="10"/>
  <c r="L733" i="10"/>
  <c r="L457" i="10"/>
  <c r="K457" i="10"/>
  <c r="L575" i="10"/>
  <c r="K575" i="10"/>
  <c r="L428" i="10"/>
  <c r="K428" i="10"/>
  <c r="L612" i="10"/>
  <c r="K612" i="10"/>
  <c r="L622" i="10"/>
  <c r="K622" i="10"/>
  <c r="L692" i="10"/>
  <c r="K692" i="10"/>
  <c r="L731" i="10"/>
  <c r="K731" i="10"/>
  <c r="L695" i="10"/>
  <c r="K695" i="10"/>
  <c r="L878" i="10"/>
  <c r="K878" i="10"/>
  <c r="L918" i="10"/>
  <c r="K918" i="10"/>
  <c r="L1045" i="10"/>
  <c r="K1045" i="10"/>
  <c r="L873" i="10"/>
  <c r="K873" i="10"/>
  <c r="K751" i="10"/>
  <c r="L751" i="10"/>
  <c r="K854" i="10"/>
  <c r="L854" i="10"/>
  <c r="K793" i="10"/>
  <c r="L793" i="10"/>
  <c r="K1019" i="10"/>
  <c r="L1019" i="10"/>
  <c r="K867" i="10"/>
  <c r="L867" i="10"/>
  <c r="K96" i="10"/>
  <c r="L96" i="10"/>
  <c r="L172" i="10"/>
  <c r="K172" i="10"/>
  <c r="K302" i="10"/>
  <c r="L302" i="10"/>
  <c r="L108" i="10"/>
  <c r="K108" i="10"/>
  <c r="K110" i="10"/>
  <c r="L110" i="10"/>
  <c r="L26" i="10"/>
  <c r="K26" i="10"/>
  <c r="L260" i="10"/>
  <c r="K260" i="10"/>
  <c r="L189" i="10"/>
  <c r="K189" i="10"/>
  <c r="L505" i="10"/>
  <c r="K505" i="10"/>
  <c r="K466" i="10"/>
  <c r="L466" i="10"/>
  <c r="L421" i="10"/>
  <c r="K421" i="10"/>
  <c r="L406" i="10"/>
  <c r="K406" i="10"/>
  <c r="L380" i="10"/>
  <c r="K380" i="10"/>
  <c r="L603" i="10"/>
  <c r="K603" i="10"/>
  <c r="K436" i="10"/>
  <c r="L436" i="10"/>
  <c r="K392" i="10"/>
  <c r="L392" i="10"/>
  <c r="L368" i="10"/>
  <c r="K368" i="10"/>
  <c r="L690" i="10"/>
  <c r="K690" i="10"/>
  <c r="K700" i="10"/>
  <c r="L700" i="10"/>
  <c r="L561" i="10"/>
  <c r="K561" i="10"/>
  <c r="L632" i="10"/>
  <c r="K632" i="10"/>
  <c r="K566" i="10"/>
  <c r="L566" i="10"/>
  <c r="L452" i="10"/>
  <c r="K452" i="10"/>
  <c r="L880" i="10"/>
  <c r="K880" i="10"/>
  <c r="K1030" i="10"/>
  <c r="L1030" i="10"/>
  <c r="L928" i="10"/>
  <c r="K928" i="10"/>
  <c r="K1027" i="10"/>
  <c r="L1027" i="10"/>
  <c r="K780" i="10"/>
  <c r="L780" i="10"/>
  <c r="K1004" i="10"/>
  <c r="L1004" i="10"/>
  <c r="K962" i="10"/>
  <c r="L962" i="10"/>
  <c r="L32" i="10"/>
  <c r="L333" i="10"/>
  <c r="K231" i="10"/>
  <c r="L236" i="10"/>
  <c r="L113" i="10"/>
  <c r="K150" i="10"/>
  <c r="L153" i="10"/>
  <c r="K272" i="10"/>
  <c r="L298" i="10"/>
  <c r="K291" i="10"/>
  <c r="K126" i="10"/>
  <c r="K13" i="10"/>
  <c r="K244" i="10"/>
  <c r="K250" i="10"/>
  <c r="L23" i="10"/>
  <c r="L104" i="10"/>
  <c r="K104" i="10"/>
  <c r="K179" i="10"/>
  <c r="L179" i="10"/>
  <c r="L261" i="10"/>
  <c r="K261" i="10"/>
  <c r="L76" i="10"/>
  <c r="K76" i="10"/>
  <c r="L112" i="10"/>
  <c r="K112" i="10"/>
  <c r="K142" i="10"/>
  <c r="K182" i="10"/>
  <c r="K579" i="10"/>
  <c r="K414" i="10"/>
  <c r="L458" i="10"/>
  <c r="L501" i="10"/>
  <c r="K501" i="10"/>
  <c r="K716" i="10"/>
  <c r="L716" i="10"/>
  <c r="L540" i="10"/>
  <c r="K540" i="10"/>
  <c r="L664" i="10"/>
  <c r="K664" i="10"/>
  <c r="L455" i="10"/>
  <c r="K455" i="10"/>
  <c r="L426" i="10"/>
  <c r="K426" i="10"/>
  <c r="K679" i="10"/>
  <c r="L679" i="10"/>
  <c r="L360" i="10"/>
  <c r="K360" i="10"/>
  <c r="L389" i="10"/>
  <c r="K389" i="10"/>
  <c r="L551" i="10"/>
  <c r="K551" i="10"/>
  <c r="L722" i="10"/>
  <c r="K722" i="10"/>
  <c r="L444" i="10"/>
  <c r="K444" i="10"/>
  <c r="L519" i="10"/>
  <c r="K519" i="10"/>
  <c r="L565" i="10"/>
  <c r="K565" i="10"/>
  <c r="L634" i="10"/>
  <c r="K634" i="10"/>
  <c r="L524" i="10"/>
  <c r="K524" i="10"/>
  <c r="L984" i="10"/>
  <c r="K984" i="10"/>
  <c r="L991" i="10"/>
  <c r="K991" i="10"/>
  <c r="L871" i="10"/>
  <c r="K871" i="10"/>
  <c r="L911" i="10"/>
  <c r="K911" i="10"/>
  <c r="K759" i="10"/>
  <c r="L759" i="10"/>
  <c r="K1001" i="10"/>
  <c r="L1001" i="10"/>
  <c r="K952" i="10"/>
  <c r="L952" i="10"/>
  <c r="K898" i="10"/>
  <c r="L898" i="10"/>
  <c r="K1188" i="10"/>
  <c r="L1188" i="10"/>
  <c r="K1287" i="10"/>
  <c r="L1287" i="10"/>
  <c r="K1319" i="10"/>
  <c r="L1319" i="10"/>
  <c r="L1331" i="10"/>
  <c r="K1331" i="10"/>
  <c r="K1056" i="10"/>
  <c r="L1056" i="10"/>
  <c r="L1050" i="10"/>
  <c r="K1050" i="10"/>
  <c r="L682" i="10"/>
  <c r="K620" i="10"/>
  <c r="K486" i="10"/>
  <c r="L511" i="10"/>
  <c r="K513" i="10"/>
  <c r="K725" i="10"/>
  <c r="L374" i="10"/>
  <c r="K730" i="10"/>
  <c r="K641" i="10"/>
  <c r="L706" i="10"/>
  <c r="K516" i="10"/>
  <c r="K727" i="10"/>
  <c r="L493" i="10"/>
  <c r="K408" i="10"/>
  <c r="K569" i="10"/>
  <c r="L876" i="10"/>
  <c r="K778" i="10"/>
  <c r="K983" i="10"/>
  <c r="L920" i="10"/>
  <c r="K925" i="10"/>
  <c r="K742" i="10"/>
  <c r="L750" i="10"/>
  <c r="K874" i="10"/>
  <c r="L874" i="10"/>
  <c r="L752" i="10"/>
  <c r="L934" i="10"/>
  <c r="K934" i="10"/>
  <c r="L997" i="10"/>
  <c r="K997" i="10"/>
  <c r="L781" i="10"/>
  <c r="L828" i="10"/>
  <c r="K828" i="10"/>
  <c r="L852" i="10"/>
  <c r="K852" i="10"/>
  <c r="L1002" i="10"/>
  <c r="L832" i="10"/>
  <c r="K832" i="10"/>
  <c r="L945" i="10"/>
  <c r="K945" i="10"/>
  <c r="L834" i="10"/>
  <c r="L795" i="10"/>
  <c r="K795" i="10"/>
  <c r="L897" i="10"/>
  <c r="K897" i="10"/>
  <c r="L770" i="10"/>
  <c r="K770" i="10"/>
  <c r="L865" i="10"/>
  <c r="K865" i="10"/>
  <c r="L807" i="10"/>
  <c r="K807" i="10"/>
  <c r="L1015" i="10"/>
  <c r="K1015" i="10"/>
  <c r="L863" i="10"/>
  <c r="K863" i="10"/>
  <c r="L771" i="10"/>
  <c r="K771" i="10"/>
  <c r="L1275" i="10"/>
  <c r="K1275" i="10"/>
  <c r="L1279" i="10"/>
  <c r="K1279" i="10"/>
  <c r="L1230" i="10"/>
  <c r="K1230" i="10"/>
  <c r="K1260" i="10"/>
  <c r="L1260" i="10"/>
  <c r="L1313" i="10"/>
  <c r="K1313" i="10"/>
  <c r="K1262" i="10"/>
  <c r="L1262" i="10"/>
  <c r="L870" i="10"/>
  <c r="K870" i="10"/>
  <c r="L977" i="10"/>
  <c r="K977" i="10"/>
  <c r="L1029" i="10"/>
  <c r="K1029" i="10"/>
  <c r="K998" i="10"/>
  <c r="L998" i="10"/>
  <c r="L758" i="10"/>
  <c r="K758" i="10"/>
  <c r="L761" i="10"/>
  <c r="K761" i="10"/>
  <c r="K853" i="10"/>
  <c r="L853" i="10"/>
  <c r="L942" i="10"/>
  <c r="K942" i="10"/>
  <c r="L1000" i="10"/>
  <c r="K1000" i="10"/>
  <c r="K946" i="10"/>
  <c r="L946" i="10"/>
  <c r="L792" i="10"/>
  <c r="K792" i="10"/>
  <c r="L815" i="10"/>
  <c r="K815" i="10"/>
  <c r="K951" i="10"/>
  <c r="L951" i="10"/>
  <c r="L961" i="10"/>
  <c r="K961" i="10"/>
  <c r="L1018" i="10"/>
  <c r="K1018" i="10"/>
  <c r="K866" i="10"/>
  <c r="L866" i="10"/>
  <c r="K868" i="10"/>
  <c r="L868" i="10"/>
  <c r="K1114" i="10"/>
  <c r="L1114" i="10"/>
  <c r="L1240" i="10"/>
  <c r="K1240" i="10"/>
  <c r="L1257" i="10"/>
  <c r="K1257" i="10"/>
  <c r="K1306" i="10"/>
  <c r="L1306" i="10"/>
  <c r="L1232" i="10"/>
  <c r="K1232" i="10"/>
  <c r="L1060" i="10"/>
  <c r="K1060" i="10"/>
  <c r="L1149" i="10"/>
  <c r="K1149" i="10"/>
  <c r="L1067" i="10"/>
  <c r="K1067" i="10"/>
  <c r="L1126" i="10"/>
  <c r="K1126" i="10"/>
  <c r="L1195" i="10"/>
  <c r="K1195" i="10"/>
  <c r="L1068" i="10"/>
  <c r="K1068" i="10"/>
  <c r="K1170" i="10"/>
  <c r="L1170" i="10"/>
  <c r="L1205" i="10"/>
  <c r="K1205" i="10"/>
  <c r="K1247" i="10"/>
  <c r="L1247" i="10"/>
  <c r="L1137" i="10"/>
  <c r="K1137" i="10"/>
  <c r="L1453" i="10"/>
  <c r="K1453" i="10"/>
  <c r="L1449" i="10"/>
  <c r="K1449" i="10"/>
  <c r="K1350" i="10"/>
  <c r="L1350" i="10"/>
  <c r="L1481" i="10"/>
  <c r="K1481" i="10"/>
  <c r="L1372" i="10"/>
  <c r="K1372" i="10"/>
  <c r="L1390" i="10"/>
  <c r="K1390" i="10"/>
  <c r="L1437" i="10"/>
  <c r="K1437" i="10"/>
  <c r="K1552" i="10"/>
  <c r="L1552" i="10"/>
  <c r="L1443" i="10"/>
  <c r="K1443" i="10"/>
  <c r="L1613" i="10"/>
  <c r="K1613" i="10"/>
  <c r="L1598" i="10"/>
  <c r="K1598" i="10"/>
  <c r="L1620" i="10"/>
  <c r="K1620" i="10"/>
  <c r="L1678" i="10"/>
  <c r="K1678" i="10"/>
  <c r="K1721" i="10"/>
  <c r="L1721" i="10"/>
  <c r="L1687" i="10"/>
  <c r="K1687" i="10"/>
  <c r="K1810" i="10"/>
  <c r="L1810" i="10"/>
  <c r="K1193" i="10"/>
  <c r="L1193" i="10"/>
  <c r="L1235" i="10"/>
  <c r="K1235" i="10"/>
  <c r="L1292" i="10"/>
  <c r="K1292" i="10"/>
  <c r="L1096" i="10"/>
  <c r="K1096" i="10"/>
  <c r="L1134" i="10"/>
  <c r="K1134" i="10"/>
  <c r="L1203" i="10"/>
  <c r="K1203" i="10"/>
  <c r="K1327" i="10"/>
  <c r="L1327" i="10"/>
  <c r="L1318" i="10"/>
  <c r="K1318" i="10"/>
  <c r="L1428" i="10"/>
  <c r="K1428" i="10"/>
  <c r="L1519" i="10"/>
  <c r="K1519" i="10"/>
  <c r="L1520" i="10"/>
  <c r="K1520" i="10"/>
  <c r="L1525" i="10"/>
  <c r="K1525" i="10"/>
  <c r="K1342" i="10"/>
  <c r="L1342" i="10"/>
  <c r="L1368" i="10"/>
  <c r="K1368" i="10"/>
  <c r="L1479" i="10"/>
  <c r="K1479" i="10"/>
  <c r="L1489" i="10"/>
  <c r="K1489" i="10"/>
  <c r="L1556" i="10"/>
  <c r="K1556" i="10"/>
  <c r="L1497" i="10"/>
  <c r="K1497" i="10"/>
  <c r="K1421" i="10"/>
  <c r="L1421" i="10"/>
  <c r="L1338" i="10"/>
  <c r="K1338" i="10"/>
  <c r="L1671" i="10"/>
  <c r="K1671" i="10"/>
  <c r="L1711" i="10"/>
  <c r="K1711" i="10"/>
  <c r="L1659" i="10"/>
  <c r="K1659" i="10"/>
  <c r="L1713" i="10"/>
  <c r="K1713" i="10"/>
  <c r="K1585" i="10"/>
  <c r="L1585" i="10"/>
  <c r="K1636" i="10"/>
  <c r="L1636" i="10"/>
  <c r="L1695" i="10"/>
  <c r="K1695" i="10"/>
  <c r="K1754" i="10"/>
  <c r="L1754" i="10"/>
  <c r="L1808" i="10"/>
  <c r="K1808" i="10"/>
  <c r="L1782" i="10"/>
  <c r="K1782" i="10"/>
  <c r="K773" i="10"/>
  <c r="L768" i="10"/>
  <c r="K860" i="10"/>
  <c r="K861" i="10"/>
  <c r="L862" i="10"/>
  <c r="K841" i="10"/>
  <c r="K1222" i="10"/>
  <c r="L1276" i="10"/>
  <c r="K1166" i="10"/>
  <c r="K1228" i="10"/>
  <c r="L1229" i="10"/>
  <c r="L1284" i="10"/>
  <c r="K1113" i="10"/>
  <c r="L1271" i="10"/>
  <c r="K1233" i="10"/>
  <c r="L1124" i="10"/>
  <c r="L1197" i="10"/>
  <c r="K1197" i="10"/>
  <c r="L1325" i="10"/>
  <c r="K1325" i="10"/>
  <c r="L1095" i="10"/>
  <c r="K1095" i="10"/>
  <c r="K1329" i="10"/>
  <c r="L1329" i="10"/>
  <c r="L1312" i="10"/>
  <c r="K1312" i="10"/>
  <c r="L1265" i="10"/>
  <c r="K1265" i="10"/>
  <c r="L1177" i="10"/>
  <c r="K1177" i="10"/>
  <c r="L1305" i="10"/>
  <c r="K1305" i="10"/>
  <c r="L1256" i="10"/>
  <c r="K1256" i="10"/>
  <c r="L1107" i="10"/>
  <c r="K1107" i="10"/>
  <c r="L1570" i="10"/>
  <c r="K1570" i="10"/>
  <c r="L1502" i="10"/>
  <c r="K1502" i="10"/>
  <c r="L1413" i="10"/>
  <c r="K1413" i="10"/>
  <c r="K1474" i="10"/>
  <c r="L1474" i="10"/>
  <c r="L1363" i="10"/>
  <c r="K1363" i="10"/>
  <c r="L1418" i="10"/>
  <c r="K1418" i="10"/>
  <c r="L1387" i="10"/>
  <c r="K1387" i="10"/>
  <c r="L1373" i="10"/>
  <c r="K1373" i="10"/>
  <c r="L1546" i="10"/>
  <c r="K1546" i="10"/>
  <c r="K1409" i="10"/>
  <c r="L1409" i="10"/>
  <c r="K1577" i="10"/>
  <c r="L1577" i="10"/>
  <c r="L1395" i="10"/>
  <c r="K1395" i="10"/>
  <c r="L1702" i="10"/>
  <c r="K1702" i="10"/>
  <c r="L1600" i="10"/>
  <c r="K1600" i="10"/>
  <c r="L1737" i="10"/>
  <c r="K1737" i="10"/>
  <c r="L1773" i="10"/>
  <c r="K1773" i="10"/>
  <c r="L1624" i="10"/>
  <c r="K1624" i="10"/>
  <c r="L1730" i="10"/>
  <c r="K1730" i="10"/>
  <c r="K1693" i="10"/>
  <c r="L1693" i="10"/>
  <c r="L1727" i="10"/>
  <c r="K1727" i="10"/>
  <c r="K1656" i="10"/>
  <c r="L1656" i="10"/>
  <c r="L1750" i="10"/>
  <c r="K1750" i="10"/>
  <c r="L1779" i="10"/>
  <c r="K1779" i="10"/>
  <c r="L1818" i="10"/>
  <c r="K1818" i="10"/>
  <c r="L1764" i="10"/>
  <c r="K1764" i="10"/>
  <c r="L1760" i="10"/>
  <c r="K1760" i="10"/>
  <c r="L1781" i="10"/>
  <c r="K1781" i="10"/>
  <c r="L1806" i="10"/>
  <c r="K1806" i="10"/>
  <c r="K1814" i="10"/>
  <c r="L1814" i="10"/>
  <c r="L1854" i="10"/>
  <c r="K1854" i="10"/>
  <c r="L1878" i="10"/>
  <c r="K1878" i="10"/>
  <c r="L2044" i="10"/>
  <c r="K2044" i="10"/>
  <c r="K1968" i="10"/>
  <c r="L1968" i="10"/>
  <c r="L2035" i="10"/>
  <c r="K2035" i="10"/>
  <c r="K2075" i="10"/>
  <c r="L2075" i="10"/>
  <c r="L2079" i="10"/>
  <c r="K2079" i="10"/>
  <c r="L2125" i="10"/>
  <c r="K2125" i="10"/>
  <c r="L2160" i="10"/>
  <c r="K2160" i="10"/>
  <c r="L2216" i="10"/>
  <c r="K2216" i="10"/>
  <c r="K1512" i="10"/>
  <c r="K1427" i="10"/>
  <c r="K1515" i="10"/>
  <c r="L1340" i="10"/>
  <c r="K1360" i="10"/>
  <c r="K1398" i="10"/>
  <c r="K1518" i="10"/>
  <c r="K1460" i="10"/>
  <c r="K1569" i="10"/>
  <c r="L1527" i="10"/>
  <c r="L1468" i="10"/>
  <c r="L1532" i="10"/>
  <c r="L1446" i="10"/>
  <c r="K1448" i="10"/>
  <c r="K1509" i="10"/>
  <c r="K1511" i="10"/>
  <c r="K1473" i="10"/>
  <c r="K1530" i="10"/>
  <c r="K1349" i="10"/>
  <c r="K1382" i="10"/>
  <c r="K1405" i="10"/>
  <c r="K1475" i="10"/>
  <c r="K1477" i="10"/>
  <c r="K1538" i="10"/>
  <c r="K1540" i="10"/>
  <c r="K1352" i="10"/>
  <c r="L1369" i="10"/>
  <c r="K1383" i="10"/>
  <c r="K1408" i="10"/>
  <c r="K1371" i="10"/>
  <c r="K1356" i="10"/>
  <c r="K1391" i="10"/>
  <c r="L1487" i="10"/>
  <c r="L1495" i="10"/>
  <c r="L1440" i="10"/>
  <c r="L1422" i="10"/>
  <c r="K1441" i="10"/>
  <c r="K1561" i="10"/>
  <c r="K1563" i="10"/>
  <c r="K1420" i="10"/>
  <c r="K1551" i="10"/>
  <c r="K1335" i="10"/>
  <c r="K1643" i="10"/>
  <c r="K1701" i="10"/>
  <c r="K1596" i="10"/>
  <c r="K1611" i="10"/>
  <c r="K1663" i="10"/>
  <c r="K1704" i="10"/>
  <c r="K1645" i="10"/>
  <c r="L1667" i="10"/>
  <c r="K1669" i="10"/>
  <c r="K1735" i="10"/>
  <c r="K1673" i="10"/>
  <c r="K1658" i="10"/>
  <c r="K1710" i="10"/>
  <c r="L1589" i="10"/>
  <c r="L1618" i="10"/>
  <c r="L1676" i="10"/>
  <c r="L1717" i="10"/>
  <c r="K1736" i="10"/>
  <c r="K1599" i="10"/>
  <c r="K1635" i="10"/>
  <c r="K1720" i="10"/>
  <c r="K1637" i="10"/>
  <c r="L1685" i="10"/>
  <c r="K1653" i="10"/>
  <c r="L1653" i="10"/>
  <c r="L1740" i="10"/>
  <c r="K1740" i="10"/>
  <c r="K1688" i="10"/>
  <c r="K1788" i="10"/>
  <c r="L1788" i="10"/>
  <c r="L1766" i="10"/>
  <c r="K1766" i="10"/>
  <c r="L1746" i="10"/>
  <c r="K1746" i="10"/>
  <c r="K1815" i="10"/>
  <c r="L1815" i="10"/>
  <c r="L1860" i="10"/>
  <c r="K1860" i="10"/>
  <c r="L1876" i="10"/>
  <c r="K1876" i="10"/>
  <c r="L1901" i="10"/>
  <c r="K1901" i="10"/>
  <c r="L1957" i="10"/>
  <c r="K1957" i="10"/>
  <c r="L1909" i="10"/>
  <c r="K1909" i="10"/>
  <c r="L2029" i="10"/>
  <c r="K2029" i="10"/>
  <c r="L1993" i="10"/>
  <c r="K1993" i="10"/>
  <c r="K2056" i="10"/>
  <c r="L2056" i="10"/>
  <c r="L2060" i="10"/>
  <c r="K2060" i="10"/>
  <c r="L2100" i="10"/>
  <c r="K2100" i="10"/>
  <c r="L2136" i="10"/>
  <c r="K2136" i="10"/>
  <c r="L2181" i="10"/>
  <c r="K2181" i="10"/>
  <c r="K1085" i="10"/>
  <c r="K1065" i="10"/>
  <c r="K1092" i="10"/>
  <c r="K1128" i="10"/>
  <c r="L1131" i="10"/>
  <c r="K1155" i="10"/>
  <c r="L1298" i="10"/>
  <c r="L1097" i="10"/>
  <c r="L1173" i="10"/>
  <c r="L1075" i="10"/>
  <c r="K1207" i="10"/>
  <c r="K1175" i="10"/>
  <c r="K1254" i="10"/>
  <c r="K1178" i="10"/>
  <c r="K1263" i="10"/>
  <c r="L1332" i="10"/>
  <c r="K1049" i="10"/>
  <c r="L1362" i="10"/>
  <c r="L1456" i="10"/>
  <c r="L1458" i="10"/>
  <c r="L1523" i="10"/>
  <c r="K1463" i="10"/>
  <c r="K1415" i="10"/>
  <c r="K1465" i="10"/>
  <c r="K1347" i="10"/>
  <c r="K1351" i="10"/>
  <c r="L1365" i="10"/>
  <c r="K1367" i="10"/>
  <c r="L1385" i="10"/>
  <c r="L1543" i="10"/>
  <c r="L1544" i="10"/>
  <c r="L1485" i="10"/>
  <c r="K1419" i="10"/>
  <c r="K1358" i="10"/>
  <c r="K1492" i="10"/>
  <c r="K1501" i="10"/>
  <c r="K1337" i="10"/>
  <c r="L1394" i="10"/>
  <c r="K1442" i="10"/>
  <c r="L1706" i="10"/>
  <c r="L1708" i="10"/>
  <c r="L1641" i="10"/>
  <c r="L1712" i="10"/>
  <c r="K1586" i="10"/>
  <c r="K1621" i="10"/>
  <c r="K1622" i="10"/>
  <c r="L1593" i="10"/>
  <c r="L1686" i="10"/>
  <c r="K1686" i="10"/>
  <c r="K1691" i="10"/>
  <c r="L1640" i="10"/>
  <c r="K1640" i="10"/>
  <c r="K1626" i="10"/>
  <c r="L1580" i="10"/>
  <c r="K1751" i="10"/>
  <c r="L1817" i="10"/>
  <c r="L1829" i="10"/>
  <c r="L1770" i="10"/>
  <c r="K1752" i="10"/>
  <c r="L1756" i="10"/>
  <c r="K1756" i="10"/>
  <c r="K1768" i="10"/>
  <c r="K1799" i="10"/>
  <c r="K1807" i="10"/>
  <c r="K1826" i="10"/>
  <c r="K1852" i="10"/>
  <c r="L1852" i="10"/>
  <c r="L1867" i="10"/>
  <c r="K1867" i="10"/>
  <c r="L1842" i="10"/>
  <c r="K1842" i="10"/>
  <c r="L1846" i="10"/>
  <c r="K1846" i="10"/>
  <c r="K1865" i="10"/>
  <c r="L1865" i="10"/>
  <c r="L1948" i="10"/>
  <c r="K1948" i="10"/>
  <c r="L1990" i="10"/>
  <c r="K1990" i="10"/>
  <c r="L2085" i="10"/>
  <c r="K2085" i="10"/>
  <c r="L2120" i="10"/>
  <c r="K2120" i="10"/>
  <c r="L2167" i="10"/>
  <c r="K2167" i="10"/>
  <c r="L2223" i="10"/>
  <c r="K2223" i="10"/>
  <c r="K1872" i="10"/>
  <c r="L1872" i="10"/>
  <c r="L1974" i="10"/>
  <c r="K1974" i="10"/>
  <c r="L1994" i="10"/>
  <c r="K1994" i="10"/>
  <c r="L1995" i="10"/>
  <c r="K1995" i="10"/>
  <c r="K2088" i="10"/>
  <c r="L2088" i="10"/>
  <c r="L2070" i="10"/>
  <c r="K2070" i="10"/>
  <c r="L2059" i="10"/>
  <c r="K2059" i="10"/>
  <c r="L2112" i="10"/>
  <c r="K2112" i="10"/>
  <c r="L2154" i="10"/>
  <c r="K2154" i="10"/>
  <c r="L2200" i="10"/>
  <c r="K2200" i="10"/>
  <c r="K1690" i="10"/>
  <c r="L1731" i="10"/>
  <c r="L1627" i="10"/>
  <c r="K1581" i="10"/>
  <c r="K1793" i="10"/>
  <c r="K1798" i="10"/>
  <c r="K1796" i="10"/>
  <c r="L1821" i="10"/>
  <c r="K1820" i="10"/>
  <c r="L1758" i="10"/>
  <c r="L1776" i="10"/>
  <c r="L1804" i="10"/>
  <c r="L1761" i="10"/>
  <c r="K1762" i="10"/>
  <c r="K1859" i="10"/>
  <c r="K1903" i="10"/>
  <c r="L1956" i="10"/>
  <c r="K1904" i="10"/>
  <c r="L1844" i="10"/>
  <c r="L1869" i="10"/>
  <c r="L1911" i="10"/>
  <c r="K1941" i="10"/>
  <c r="L1915" i="10"/>
  <c r="K1946" i="10"/>
  <c r="L1946" i="10"/>
  <c r="L1927" i="10"/>
  <c r="K1927" i="10"/>
  <c r="L1883" i="10"/>
  <c r="K1883" i="10"/>
  <c r="L1962" i="10"/>
  <c r="K1962" i="10"/>
  <c r="L1875" i="10"/>
  <c r="K1875" i="10"/>
  <c r="L2015" i="10"/>
  <c r="K2015" i="10"/>
  <c r="L2054" i="10"/>
  <c r="K2054" i="10"/>
  <c r="L1996" i="10"/>
  <c r="K1996" i="10"/>
  <c r="K1977" i="10"/>
  <c r="L1991" i="10"/>
  <c r="L2020" i="10"/>
  <c r="K2020" i="10"/>
  <c r="K2000" i="10"/>
  <c r="L2022" i="10"/>
  <c r="K2022" i="10"/>
  <c r="K2052" i="10"/>
  <c r="K2064" i="10"/>
  <c r="L2082" i="10"/>
  <c r="K2082" i="10"/>
  <c r="K2113" i="10"/>
  <c r="L2113" i="10"/>
  <c r="L2062" i="10"/>
  <c r="K2062" i="10"/>
  <c r="L2080" i="10"/>
  <c r="K2110" i="10"/>
  <c r="K2116" i="10"/>
  <c r="L2116" i="10"/>
  <c r="L2148" i="10"/>
  <c r="L2159" i="10"/>
  <c r="L2143" i="10"/>
  <c r="L2122" i="10"/>
  <c r="L2188" i="10"/>
  <c r="L2168" i="10"/>
  <c r="L2184" i="10"/>
  <c r="L2217" i="10"/>
  <c r="L2207" i="10"/>
  <c r="K2225" i="10"/>
  <c r="L2225" i="10"/>
  <c r="K1951" i="10"/>
  <c r="L1951" i="10"/>
  <c r="L1881" i="10"/>
  <c r="K1881" i="10"/>
  <c r="L2007" i="10"/>
  <c r="K2007" i="10"/>
  <c r="L2036" i="10"/>
  <c r="K2036" i="10"/>
  <c r="K2037" i="10"/>
  <c r="L2037" i="10"/>
  <c r="L2050" i="10"/>
  <c r="K2050" i="10"/>
  <c r="K2041" i="10"/>
  <c r="L2041" i="10"/>
  <c r="L2104" i="10"/>
  <c r="K2104" i="10"/>
  <c r="L2094" i="10"/>
  <c r="K2094" i="10"/>
  <c r="L2108" i="10"/>
  <c r="K2108" i="10"/>
  <c r="L2191" i="10"/>
  <c r="K2221" i="10"/>
  <c r="K1916" i="10"/>
  <c r="K1953" i="10"/>
  <c r="K1850" i="10"/>
  <c r="K1963" i="10"/>
  <c r="K2042" i="10"/>
  <c r="L2028" i="10"/>
  <c r="K2043" i="10"/>
  <c r="L2045" i="10"/>
  <c r="L1980" i="10"/>
  <c r="K1992" i="10"/>
  <c r="L2039" i="10"/>
  <c r="K2005" i="10"/>
  <c r="L2077" i="10"/>
  <c r="L2105" i="10"/>
  <c r="K2145" i="10"/>
  <c r="K2149" i="10"/>
  <c r="K2161" i="10"/>
  <c r="K2135" i="10"/>
  <c r="K2176" i="10"/>
  <c r="K2165" i="10"/>
  <c r="K2179" i="10"/>
  <c r="K2203" i="10"/>
  <c r="K2205" i="10"/>
  <c r="L2193" i="10"/>
  <c r="L2226" i="10"/>
  <c r="L156" i="10"/>
  <c r="K156" i="10"/>
  <c r="K34" i="10"/>
  <c r="L34" i="10"/>
  <c r="K218" i="10"/>
  <c r="L218" i="10"/>
  <c r="L335" i="10"/>
  <c r="K335" i="10"/>
  <c r="K115" i="10"/>
  <c r="L115" i="10"/>
  <c r="L325" i="10"/>
  <c r="K325" i="10"/>
  <c r="K128" i="10"/>
  <c r="L128" i="10"/>
  <c r="K1326" i="10"/>
  <c r="L1326" i="10"/>
  <c r="K1513" i="10"/>
  <c r="L1513" i="10"/>
  <c r="L1459" i="10"/>
  <c r="K1459" i="10"/>
  <c r="K1539" i="10"/>
  <c r="L1539" i="10"/>
  <c r="L1545" i="10"/>
  <c r="K1545" i="10"/>
  <c r="L1564" i="10"/>
  <c r="K1564" i="10"/>
  <c r="L1845" i="10"/>
  <c r="K1845" i="10"/>
  <c r="K275" i="10"/>
  <c r="K279" i="10"/>
  <c r="L31" i="10"/>
  <c r="K31" i="10"/>
  <c r="L86" i="10"/>
  <c r="K120" i="10"/>
  <c r="L120" i="10"/>
  <c r="L158" i="10"/>
  <c r="K209" i="10"/>
  <c r="K164" i="10"/>
  <c r="L215" i="10"/>
  <c r="K215" i="10"/>
  <c r="L329" i="10"/>
  <c r="K37" i="10"/>
  <c r="L37" i="10"/>
  <c r="L57" i="10"/>
  <c r="K123" i="10"/>
  <c r="K331" i="10"/>
  <c r="L91" i="10"/>
  <c r="K91" i="10"/>
  <c r="L228" i="10"/>
  <c r="K191" i="10"/>
  <c r="L191" i="10"/>
  <c r="L92" i="10"/>
  <c r="K232" i="10"/>
  <c r="K81" i="10"/>
  <c r="L85" i="10"/>
  <c r="K85" i="10"/>
  <c r="L151" i="10"/>
  <c r="K193" i="10"/>
  <c r="L193" i="10"/>
  <c r="L195" i="10"/>
  <c r="K199" i="10"/>
  <c r="K58" i="10"/>
  <c r="L60" i="10"/>
  <c r="K60" i="10"/>
  <c r="L170" i="10"/>
  <c r="K239" i="10"/>
  <c r="L239" i="10"/>
  <c r="L296" i="10"/>
  <c r="K229" i="10"/>
  <c r="K235" i="10"/>
  <c r="L15" i="10"/>
  <c r="K15" i="10"/>
  <c r="L41" i="10"/>
  <c r="K62" i="10"/>
  <c r="L62" i="10"/>
  <c r="L64" i="10"/>
  <c r="K131" i="10"/>
  <c r="K246" i="10"/>
  <c r="L303" i="10"/>
  <c r="K303" i="10"/>
  <c r="L44" i="10"/>
  <c r="K134" i="10"/>
  <c r="L134" i="10"/>
  <c r="L136" i="10"/>
  <c r="K248" i="10"/>
  <c r="L1289" i="10"/>
  <c r="K1289" i="10"/>
  <c r="K1219" i="10"/>
  <c r="L1219" i="10"/>
  <c r="L1152" i="10"/>
  <c r="K1152" i="10"/>
  <c r="K1091" i="10"/>
  <c r="L1091" i="10"/>
  <c r="L1296" i="10"/>
  <c r="K1296" i="10"/>
  <c r="L1258" i="10"/>
  <c r="K1258" i="10"/>
  <c r="K1161" i="10"/>
  <c r="L1161" i="10"/>
  <c r="L1450" i="10"/>
  <c r="K1450" i="10"/>
  <c r="L1444" i="10"/>
  <c r="K1444" i="10"/>
  <c r="K1346" i="10"/>
  <c r="L1346" i="10"/>
  <c r="L1536" i="10"/>
  <c r="K1536" i="10"/>
  <c r="L1410" i="10"/>
  <c r="K1410" i="10"/>
  <c r="K1500" i="10"/>
  <c r="L1500" i="10"/>
  <c r="L1631" i="10"/>
  <c r="K1631" i="10"/>
  <c r="L1715" i="10"/>
  <c r="K1715" i="10"/>
  <c r="K1609" i="10"/>
  <c r="L1609" i="10"/>
  <c r="K1767" i="10"/>
  <c r="L1767" i="10"/>
  <c r="L1812" i="10"/>
  <c r="K1812" i="10"/>
  <c r="K1918" i="10"/>
  <c r="L1918" i="10"/>
  <c r="K1924" i="10"/>
  <c r="L1924" i="10"/>
  <c r="L2230" i="10"/>
  <c r="K2230" i="10"/>
  <c r="L50" i="10"/>
  <c r="K50" i="10"/>
  <c r="K226" i="10"/>
  <c r="L226" i="10"/>
  <c r="K18" i="10"/>
  <c r="L18" i="10"/>
  <c r="L242" i="10"/>
  <c r="K242" i="10"/>
  <c r="L1210" i="10"/>
  <c r="K1210" i="10"/>
  <c r="L1348" i="10"/>
  <c r="K1348" i="10"/>
  <c r="K1664" i="10"/>
  <c r="L1664" i="10"/>
  <c r="L1642" i="10"/>
  <c r="K1642" i="10"/>
  <c r="L1651" i="10"/>
  <c r="K1651" i="10"/>
  <c r="L1805" i="10"/>
  <c r="K1805" i="10"/>
  <c r="L2212" i="10"/>
  <c r="K2212" i="10"/>
  <c r="K157" i="10"/>
  <c r="L87" i="10"/>
  <c r="K87" i="10"/>
  <c r="K161" i="10"/>
  <c r="K219" i="10"/>
  <c r="K167" i="10"/>
  <c r="L167" i="10"/>
  <c r="L221" i="10"/>
  <c r="K288" i="10"/>
  <c r="K292" i="10"/>
  <c r="L292" i="10"/>
  <c r="L334" i="10"/>
  <c r="L152" i="10"/>
  <c r="K152" i="10"/>
  <c r="L197" i="10"/>
  <c r="K326" i="10"/>
  <c r="L171" i="10"/>
  <c r="K171" i="10"/>
  <c r="K290" i="10"/>
  <c r="L290" i="10"/>
  <c r="L42" i="10"/>
  <c r="K42" i="10"/>
  <c r="L65" i="10"/>
  <c r="K65" i="10"/>
  <c r="K304" i="10"/>
  <c r="L304" i="10"/>
  <c r="K1282" i="10"/>
  <c r="K1324" i="10"/>
  <c r="K1286" i="10"/>
  <c r="L1141" i="10"/>
  <c r="K1141" i="10"/>
  <c r="L1184" i="10"/>
  <c r="K1184" i="10"/>
  <c r="K1150" i="10"/>
  <c r="L1150" i="10"/>
  <c r="L1088" i="10"/>
  <c r="K1088" i="10"/>
  <c r="L1300" i="10"/>
  <c r="K1300" i="10"/>
  <c r="K1179" i="10"/>
  <c r="L1179" i="10"/>
  <c r="L1328" i="10"/>
  <c r="K1328" i="10"/>
  <c r="L1521" i="10"/>
  <c r="K1521" i="10"/>
  <c r="K1425" i="10"/>
  <c r="L1425" i="10"/>
  <c r="L1343" i="10"/>
  <c r="K1343" i="10"/>
  <c r="L1436" i="10"/>
  <c r="K1436" i="10"/>
  <c r="K1375" i="10"/>
  <c r="L1375" i="10"/>
  <c r="L1553" i="10"/>
  <c r="K1553" i="10"/>
  <c r="L1699" i="10"/>
  <c r="K1699" i="10"/>
  <c r="K1680" i="10"/>
  <c r="L1680" i="10"/>
  <c r="L1683" i="10"/>
  <c r="K1683" i="10"/>
  <c r="L1789" i="10"/>
  <c r="K1789" i="10"/>
  <c r="L1819" i="10"/>
  <c r="K1819" i="10"/>
  <c r="L1830" i="10"/>
  <c r="K1830" i="10"/>
  <c r="L1889" i="10"/>
  <c r="K1889" i="10"/>
  <c r="L1947" i="10"/>
  <c r="K1947" i="10"/>
  <c r="L2211" i="10"/>
  <c r="K2211" i="10"/>
  <c r="L2208" i="10"/>
  <c r="K2208" i="10"/>
  <c r="L283" i="10"/>
  <c r="K283" i="10"/>
  <c r="L94" i="10"/>
  <c r="K94" i="10"/>
  <c r="K338" i="10"/>
  <c r="L338" i="10"/>
  <c r="K1182" i="10"/>
  <c r="L1182" i="10"/>
  <c r="L1093" i="10"/>
  <c r="K1093" i="10"/>
  <c r="L1202" i="10"/>
  <c r="K1202" i="10"/>
  <c r="L1763" i="10"/>
  <c r="K1763" i="10"/>
  <c r="L1870" i="10"/>
  <c r="K1870" i="10"/>
  <c r="L1926" i="10"/>
  <c r="K1926" i="10"/>
  <c r="L203" i="10"/>
  <c r="K277" i="10"/>
  <c r="L277" i="10"/>
  <c r="L205" i="10"/>
  <c r="K53" i="10"/>
  <c r="L160" i="10"/>
  <c r="K211" i="10"/>
  <c r="L211" i="10"/>
  <c r="L280" i="10"/>
  <c r="L9" i="10"/>
  <c r="K9" i="10"/>
  <c r="L90" i="10"/>
  <c r="K284" i="10"/>
  <c r="L289" i="10"/>
  <c r="K289" i="10"/>
  <c r="L77" i="10"/>
  <c r="K6" i="10"/>
  <c r="K116" i="10"/>
  <c r="K271" i="10"/>
  <c r="L271" i="10"/>
  <c r="L273" i="10"/>
  <c r="K129" i="10"/>
  <c r="K133" i="10"/>
  <c r="L133" i="10"/>
  <c r="L204" i="10"/>
  <c r="K204" i="10"/>
  <c r="L118" i="10"/>
  <c r="K207" i="10"/>
  <c r="L207" i="10"/>
  <c r="L7" i="10"/>
  <c r="K121" i="10"/>
  <c r="L208" i="10"/>
  <c r="K208" i="10"/>
  <c r="L327" i="10"/>
  <c r="K163" i="10"/>
  <c r="L163" i="10"/>
  <c r="L165" i="10"/>
  <c r="K56" i="10"/>
  <c r="L122" i="10"/>
  <c r="K122" i="10"/>
  <c r="L223" i="10"/>
  <c r="K330" i="10"/>
  <c r="L330" i="10"/>
  <c r="L332" i="10"/>
  <c r="K192" i="10"/>
  <c r="L269" i="10"/>
  <c r="K269" i="10"/>
  <c r="L295" i="10"/>
  <c r="K80" i="10"/>
  <c r="L80" i="10"/>
  <c r="L82" i="10"/>
  <c r="K194" i="10"/>
  <c r="L198" i="10"/>
  <c r="K198" i="10"/>
  <c r="L324" i="10"/>
  <c r="K38" i="10"/>
  <c r="L38" i="10"/>
  <c r="L95" i="10"/>
  <c r="K240" i="10"/>
  <c r="L299" i="10"/>
  <c r="K299" i="10"/>
  <c r="L93" i="10"/>
  <c r="K234" i="10"/>
  <c r="L234" i="10"/>
  <c r="L293" i="10"/>
  <c r="K63" i="10"/>
  <c r="L100" i="10"/>
  <c r="K100" i="10"/>
  <c r="L241" i="10"/>
  <c r="K245" i="10"/>
  <c r="L245" i="10"/>
  <c r="L300" i="10"/>
  <c r="K135" i="10"/>
  <c r="L247" i="10"/>
  <c r="K247" i="10"/>
  <c r="L102" i="10"/>
  <c r="L45" i="10"/>
  <c r="L306" i="10"/>
  <c r="L70" i="10"/>
  <c r="L254" i="10"/>
  <c r="L341" i="10"/>
  <c r="L312" i="10"/>
  <c r="L342" i="10"/>
  <c r="L148" i="10"/>
  <c r="L320" i="10"/>
  <c r="L72" i="10"/>
  <c r="L183" i="10"/>
  <c r="L322" i="10"/>
  <c r="L52" i="10"/>
  <c r="L347" i="10"/>
  <c r="L654" i="10"/>
  <c r="L382" i="10"/>
  <c r="L460" i="10"/>
  <c r="L656" i="10"/>
  <c r="L657" i="10"/>
  <c r="L536" i="10"/>
  <c r="L502" i="10"/>
  <c r="L588" i="10"/>
  <c r="L593" i="10"/>
  <c r="L595" i="10"/>
  <c r="L467" i="10"/>
  <c r="L422" i="10"/>
  <c r="L600" i="10"/>
  <c r="L602" i="10"/>
  <c r="L407" i="10"/>
  <c r="L525" i="10"/>
  <c r="L573" i="10"/>
  <c r="L649" i="10"/>
  <c r="L358" i="10"/>
  <c r="L478" i="10"/>
  <c r="L609" i="10"/>
  <c r="L430" i="10"/>
  <c r="L669" i="10"/>
  <c r="L361" i="10"/>
  <c r="L387" i="10"/>
  <c r="L438" i="10"/>
  <c r="L548" i="10"/>
  <c r="L615" i="10"/>
  <c r="L684" i="10"/>
  <c r="L440" i="10"/>
  <c r="L394" i="10"/>
  <c r="L445" i="10"/>
  <c r="L554" i="10"/>
  <c r="L369" i="10"/>
  <c r="L625" i="10"/>
  <c r="L693" i="10"/>
  <c r="L449" i="10"/>
  <c r="L702" i="10"/>
  <c r="L376" i="10"/>
  <c r="L639" i="10"/>
  <c r="L708" i="10"/>
  <c r="L402" i="10"/>
  <c r="L557" i="10"/>
  <c r="L696" i="10"/>
  <c r="L518" i="10"/>
  <c r="L349" i="10"/>
  <c r="L411" i="10"/>
  <c r="L567" i="10"/>
  <c r="L846" i="10"/>
  <c r="L748" i="10"/>
  <c r="L824" i="10"/>
  <c r="L981" i="10"/>
  <c r="L922" i="10"/>
  <c r="L1032" i="10"/>
  <c r="L926" i="10"/>
  <c r="L992" i="10"/>
  <c r="L931" i="10"/>
  <c r="L845" i="10"/>
  <c r="L909" i="10"/>
  <c r="L975" i="10"/>
  <c r="L753" i="10"/>
  <c r="L932" i="10"/>
  <c r="L889" i="10"/>
  <c r="L756" i="10"/>
  <c r="L782" i="10"/>
  <c r="L811" i="10"/>
  <c r="L890" i="10"/>
  <c r="L940" i="10"/>
  <c r="L1003" i="10"/>
  <c r="L813" i="10"/>
  <c r="L763" i="10"/>
  <c r="L765" i="10"/>
  <c r="L857" i="10"/>
  <c r="L1008" i="10"/>
  <c r="L953" i="10"/>
  <c r="L821" i="10"/>
  <c r="L964" i="10"/>
  <c r="L965" i="10"/>
  <c r="L902" i="10"/>
  <c r="L1044" i="10"/>
  <c r="L796" i="10"/>
  <c r="L818" i="10"/>
  <c r="L956" i="10"/>
  <c r="L820" i="10"/>
  <c r="L864" i="10"/>
  <c r="L744" i="10"/>
  <c r="L907" i="10"/>
  <c r="L1187" i="10"/>
  <c r="L1053" i="10"/>
  <c r="L1111" i="10"/>
  <c r="L1224" i="10"/>
  <c r="L1226" i="10"/>
  <c r="L1216" i="10"/>
  <c r="K1216" i="10"/>
  <c r="L1121" i="10"/>
  <c r="K1121" i="10"/>
  <c r="L1069" i="10"/>
  <c r="K1069" i="10"/>
  <c r="K1244" i="10"/>
  <c r="L1244" i="10"/>
  <c r="L1330" i="10"/>
  <c r="K1330" i="10"/>
  <c r="L1452" i="10"/>
  <c r="K1452" i="10"/>
  <c r="K1462" i="10"/>
  <c r="L1462" i="10"/>
  <c r="L1397" i="10"/>
  <c r="K1397" i="10"/>
  <c r="L1541" i="10"/>
  <c r="K1541" i="10"/>
  <c r="K1389" i="10"/>
  <c r="L1389" i="10"/>
  <c r="L1496" i="10"/>
  <c r="K1496" i="10"/>
  <c r="L1705" i="10"/>
  <c r="K1705" i="10"/>
  <c r="K1660" i="10"/>
  <c r="L1660" i="10"/>
  <c r="L1677" i="10"/>
  <c r="K1677" i="10"/>
  <c r="K1769" i="10"/>
  <c r="L1769" i="10"/>
  <c r="K1823" i="10"/>
  <c r="L1823" i="10"/>
  <c r="K1887" i="10"/>
  <c r="L1887" i="10"/>
  <c r="L1954" i="10"/>
  <c r="K1954" i="10"/>
  <c r="L2081" i="10"/>
  <c r="K2081" i="10"/>
  <c r="L2097" i="10"/>
  <c r="K2097" i="10"/>
  <c r="K2101" i="10"/>
  <c r="L2101" i="10"/>
  <c r="L2087" i="10"/>
  <c r="K2087" i="10"/>
  <c r="L2091" i="10"/>
  <c r="K2091" i="10"/>
  <c r="L2123" i="10"/>
  <c r="K2123" i="10"/>
  <c r="K2133" i="10"/>
  <c r="L2133" i="10"/>
  <c r="L2232" i="10"/>
  <c r="K2232" i="10"/>
  <c r="L1652" i="10"/>
  <c r="K1652" i="10"/>
  <c r="L1759" i="10"/>
  <c r="K1759" i="10"/>
  <c r="K1785" i="10"/>
  <c r="L1785" i="10"/>
  <c r="L1900" i="10"/>
  <c r="K1900" i="10"/>
  <c r="L1871" i="10"/>
  <c r="K1871" i="10"/>
  <c r="K1929" i="10"/>
  <c r="L1929" i="10"/>
  <c r="L2032" i="10"/>
  <c r="K2032" i="10"/>
  <c r="L1985" i="10"/>
  <c r="K1985" i="10"/>
  <c r="K2092" i="10"/>
  <c r="L2092" i="10"/>
  <c r="L2119" i="10"/>
  <c r="K2119" i="10"/>
  <c r="L2164" i="10"/>
  <c r="K2164" i="10"/>
  <c r="L2151" i="10"/>
  <c r="K2151" i="10"/>
  <c r="L2183" i="10"/>
  <c r="K2183" i="10"/>
  <c r="L2166" i="10"/>
  <c r="K2166" i="10"/>
  <c r="L2180" i="10"/>
  <c r="K2180" i="10"/>
  <c r="L2204" i="10"/>
  <c r="K2204" i="10"/>
  <c r="L2219" i="10"/>
  <c r="K2219" i="10"/>
  <c r="K2209" i="10"/>
  <c r="K1320" i="10"/>
  <c r="K1061" i="10"/>
  <c r="L1064" i="10"/>
  <c r="K1066" i="10"/>
  <c r="K1237" i="10"/>
  <c r="L1291" i="10"/>
  <c r="K1293" i="10"/>
  <c r="L1158" i="10"/>
  <c r="K1209" i="10"/>
  <c r="L1253" i="10"/>
  <c r="K1255" i="10"/>
  <c r="L1333" i="10"/>
  <c r="K1396" i="10"/>
  <c r="K1517" i="10"/>
  <c r="K1429" i="10"/>
  <c r="L1531" i="10"/>
  <c r="L1571" i="10"/>
  <c r="K1433" i="10"/>
  <c r="L1476" i="10"/>
  <c r="K1478" i="10"/>
  <c r="K1355" i="10"/>
  <c r="K1388" i="10"/>
  <c r="L1634" i="10"/>
  <c r="L1058" i="10"/>
  <c r="K1118" i="10"/>
  <c r="K1098" i="10"/>
  <c r="K1171" i="10"/>
  <c r="K1103" i="10"/>
  <c r="L1308" i="10"/>
  <c r="K1310" i="10"/>
  <c r="K1266" i="10"/>
  <c r="L1374" i="10"/>
  <c r="K1565" i="10"/>
  <c r="K1471" i="10"/>
  <c r="K1533" i="10"/>
  <c r="K1466" i="10"/>
  <c r="L1386" i="10"/>
  <c r="K1555" i="10"/>
  <c r="L1558" i="10"/>
  <c r="K1575" i="10"/>
  <c r="K1438" i="10"/>
  <c r="L1491" i="10"/>
  <c r="K1550" i="10"/>
  <c r="K1584" i="10"/>
  <c r="L1601" i="10"/>
  <c r="K1612" i="10"/>
  <c r="K1632" i="10"/>
  <c r="L1675" i="10"/>
  <c r="K1628" i="10"/>
  <c r="K1619" i="10"/>
  <c r="K1648" i="10"/>
  <c r="K1722" i="10"/>
  <c r="L1608" i="10"/>
  <c r="K1623" i="10"/>
  <c r="K1738" i="10"/>
  <c r="K1625" i="10"/>
  <c r="L1625" i="10"/>
  <c r="L1794" i="10"/>
  <c r="K1794" i="10"/>
  <c r="K1780" i="10"/>
  <c r="L1800" i="10"/>
  <c r="K1802" i="10"/>
  <c r="L1825" i="10"/>
  <c r="K1825" i="10"/>
  <c r="K1742" i="10"/>
  <c r="L1884" i="10"/>
  <c r="K1836" i="10"/>
  <c r="K1899" i="10"/>
  <c r="L1899" i="10"/>
  <c r="L1862" i="10"/>
  <c r="K1862" i="10"/>
  <c r="K1873" i="10"/>
  <c r="L1849" i="10"/>
  <c r="K1920" i="10"/>
  <c r="L1893" i="10"/>
  <c r="K1893" i="10"/>
  <c r="K1896" i="10"/>
  <c r="L1931" i="10"/>
  <c r="K2006" i="10"/>
  <c r="K2017" i="10"/>
  <c r="L2017" i="10"/>
  <c r="L2011" i="10"/>
  <c r="K2011" i="10"/>
  <c r="K2026" i="10"/>
  <c r="L2026" i="10"/>
  <c r="K1971" i="10"/>
  <c r="L1971" i="10"/>
  <c r="L2068" i="10"/>
  <c r="K2068" i="10"/>
  <c r="L2084" i="10"/>
  <c r="K2084" i="10"/>
  <c r="K2118" i="10"/>
  <c r="L2118" i="10"/>
  <c r="K137" i="10"/>
  <c r="L305" i="10"/>
  <c r="K46" i="10"/>
  <c r="L138" i="10"/>
  <c r="K307" i="10"/>
  <c r="L47" i="10"/>
  <c r="K71" i="10"/>
  <c r="L140" i="10"/>
  <c r="K255" i="10"/>
  <c r="L258" i="10"/>
  <c r="K27" i="10"/>
  <c r="L145" i="10"/>
  <c r="K262" i="10"/>
  <c r="L313" i="10"/>
  <c r="K343" i="10"/>
  <c r="L265" i="10"/>
  <c r="K186" i="10"/>
  <c r="L267" i="10"/>
  <c r="K321" i="10"/>
  <c r="L5" i="10"/>
  <c r="K73" i="10"/>
  <c r="L141" i="10"/>
  <c r="K184" i="10"/>
  <c r="L311" i="10"/>
  <c r="K346" i="10"/>
  <c r="L4" i="10"/>
  <c r="K78" i="10"/>
  <c r="L188" i="10"/>
  <c r="K578" i="10"/>
  <c r="L498" i="10"/>
  <c r="K499" i="10"/>
  <c r="L353" i="10"/>
  <c r="K383" i="10"/>
  <c r="L416" i="10"/>
  <c r="K461" i="10"/>
  <c r="L532" i="10"/>
  <c r="K398" i="10"/>
  <c r="L584" i="10"/>
  <c r="K658" i="10"/>
  <c r="L661" i="10"/>
  <c r="K535" i="10"/>
  <c r="L418" i="10"/>
  <c r="K503" i="10"/>
  <c r="L537" i="10"/>
  <c r="K589" i="10"/>
  <c r="L662" i="10"/>
  <c r="K594" i="10"/>
  <c r="L464" i="10"/>
  <c r="K665" i="10"/>
  <c r="L667" i="10"/>
  <c r="K596" i="10"/>
  <c r="L454" i="10"/>
  <c r="K468" i="10"/>
  <c r="L471" i="10"/>
  <c r="K405" i="10"/>
  <c r="L522" i="10"/>
  <c r="K670" i="10"/>
  <c r="L475" i="10"/>
  <c r="K734" i="10"/>
  <c r="L352" i="10"/>
  <c r="K526" i="10"/>
  <c r="L529" i="10"/>
  <c r="K574" i="10"/>
  <c r="L577" i="10"/>
  <c r="K650" i="10"/>
  <c r="L711" i="10"/>
  <c r="K424" i="10"/>
  <c r="L427" i="10"/>
  <c r="K479" i="10"/>
  <c r="L605" i="10"/>
  <c r="K610" i="10"/>
  <c r="L677" i="10"/>
  <c r="K431" i="10"/>
  <c r="L434" i="10"/>
  <c r="K506" i="10"/>
  <c r="L671" i="10"/>
  <c r="K362" i="10"/>
  <c r="L365" i="10"/>
  <c r="K388" i="10"/>
  <c r="L391" i="10"/>
  <c r="K439" i="10"/>
  <c r="L483" i="10"/>
  <c r="K549" i="10"/>
  <c r="L611" i="10"/>
  <c r="K616" i="10"/>
  <c r="L680" i="10"/>
  <c r="K721" i="10"/>
  <c r="L724" i="10"/>
  <c r="K441" i="10"/>
  <c r="L619" i="10"/>
  <c r="K442" i="10"/>
  <c r="L395" i="10"/>
  <c r="K485" i="10"/>
  <c r="L488" i="10"/>
  <c r="K621" i="10"/>
  <c r="L624" i="10"/>
  <c r="K397" i="10"/>
  <c r="L512" i="10"/>
  <c r="K626" i="10"/>
  <c r="L629" i="10"/>
  <c r="K694" i="10"/>
  <c r="L372" i="10"/>
  <c r="K495" i="10"/>
  <c r="L636" i="10"/>
  <c r="K703" i="10"/>
  <c r="L729" i="10"/>
  <c r="K520" i="10"/>
  <c r="L562" i="10"/>
  <c r="K640" i="10"/>
  <c r="L643" i="10"/>
  <c r="K709" i="10"/>
  <c r="L371" i="10"/>
  <c r="K447" i="10"/>
  <c r="L515" i="10"/>
  <c r="K558" i="10"/>
  <c r="L631" i="10"/>
  <c r="K697" i="10"/>
  <c r="L491" i="10"/>
  <c r="K560" i="10"/>
  <c r="L698" i="10"/>
  <c r="K351" i="10"/>
  <c r="L379" i="10"/>
  <c r="K412" i="10"/>
  <c r="L453" i="10"/>
  <c r="K568" i="10"/>
  <c r="L710" i="10"/>
  <c r="K877" i="10"/>
  <c r="L915" i="10"/>
  <c r="K749" i="10"/>
  <c r="L777" i="10"/>
  <c r="K825" i="10"/>
  <c r="L879" i="10"/>
  <c r="K982" i="10"/>
  <c r="L882" i="10"/>
  <c r="K923" i="10"/>
  <c r="L986" i="10"/>
  <c r="K1047" i="10"/>
  <c r="L924" i="10"/>
  <c r="K989" i="10"/>
  <c r="L993" i="10"/>
  <c r="K1033" i="10"/>
  <c r="L930" i="10"/>
  <c r="K905" i="10"/>
  <c r="L823" i="10"/>
  <c r="K869" i="10"/>
  <c r="L872" i="10"/>
  <c r="K910" i="10"/>
  <c r="L913" i="10"/>
  <c r="K976" i="10"/>
  <c r="L1028" i="10"/>
  <c r="K754" i="10"/>
  <c r="L851" i="10"/>
  <c r="K933" i="10"/>
  <c r="L936" i="10"/>
  <c r="K929" i="10"/>
  <c r="L826" i="10"/>
  <c r="K757" i="10"/>
  <c r="L760" i="10"/>
  <c r="K783" i="10"/>
  <c r="L786" i="10"/>
  <c r="K812" i="10"/>
  <c r="L830" i="10"/>
  <c r="K891" i="10"/>
  <c r="L894" i="10"/>
  <c r="K941" i="10"/>
  <c r="L999" i="10"/>
  <c r="K1036" i="10"/>
  <c r="L762" i="10"/>
  <c r="K831" i="10"/>
  <c r="L944" i="10"/>
  <c r="K790" i="10"/>
  <c r="L856" i="10"/>
  <c r="K766" i="10"/>
  <c r="L794" i="10"/>
  <c r="K858" i="10"/>
  <c r="L949" i="10"/>
  <c r="K767" i="10"/>
  <c r="L896" i="10"/>
  <c r="K954" i="10"/>
  <c r="L1010" i="10"/>
  <c r="K901" i="10"/>
  <c r="L1017" i="10"/>
  <c r="K1020" i="10"/>
  <c r="L1023" i="10"/>
  <c r="K966" i="10"/>
  <c r="L840" i="10"/>
  <c r="K903" i="10"/>
  <c r="L968" i="10"/>
  <c r="K746" i="10"/>
  <c r="L971" i="10"/>
  <c r="K797" i="10"/>
  <c r="L800" i="10"/>
  <c r="K819" i="10"/>
  <c r="L859" i="10"/>
  <c r="K957" i="10"/>
  <c r="L1013" i="10"/>
  <c r="K837" i="10"/>
  <c r="L838" i="10"/>
  <c r="K900" i="10"/>
  <c r="L738" i="10"/>
  <c r="K745" i="10"/>
  <c r="L822" i="10"/>
  <c r="K908" i="10"/>
  <c r="L1220" i="10"/>
  <c r="K1221" i="10"/>
  <c r="L1274" i="10"/>
  <c r="K1054" i="10"/>
  <c r="L1083" i="10"/>
  <c r="K1142" i="10"/>
  <c r="L1165" i="10"/>
  <c r="K1277" i="10"/>
  <c r="L1077" i="10"/>
  <c r="K1227" i="10"/>
  <c r="L1280" i="10"/>
  <c r="K1190" i="10"/>
  <c r="L1145" i="10"/>
  <c r="K1323" i="10"/>
  <c r="L1214" i="10"/>
  <c r="K1285" i="10"/>
  <c r="L1264" i="10"/>
  <c r="K1288" i="10"/>
  <c r="L1140" i="10"/>
  <c r="K1183" i="10"/>
  <c r="L1215" i="10"/>
  <c r="L1268" i="10"/>
  <c r="K1270" i="10"/>
  <c r="K1125" i="10"/>
  <c r="L1057" i="10"/>
  <c r="K1117" i="10"/>
  <c r="K1168" i="10"/>
  <c r="L1196" i="10"/>
  <c r="K1198" i="10"/>
  <c r="K1071" i="10"/>
  <c r="L1201" i="10"/>
  <c r="K1072" i="10"/>
  <c r="K1248" i="10"/>
  <c r="L1301" i="10"/>
  <c r="K1303" i="10"/>
  <c r="K1078" i="10"/>
  <c r="L1160" i="10"/>
  <c r="K1176" i="10"/>
  <c r="K1105" i="10"/>
  <c r="L1108" i="10"/>
  <c r="K1138" i="10"/>
  <c r="K1378" i="10"/>
  <c r="L1400" i="10"/>
  <c r="K1454" i="10"/>
  <c r="K1528" i="10"/>
  <c r="L1430" i="10"/>
  <c r="K1526" i="10"/>
  <c r="K1414" i="10"/>
  <c r="L1403" i="10"/>
  <c r="K1432" i="10"/>
  <c r="K1380" i="10"/>
  <c r="L1404" i="10"/>
  <c r="K1406" i="10"/>
  <c r="K1407" i="10"/>
  <c r="L1435" i="10"/>
  <c r="K1482" i="10"/>
  <c r="K1488" i="10"/>
  <c r="L1548" i="10"/>
  <c r="K1493" i="10"/>
  <c r="K1578" i="10"/>
  <c r="L1507" i="10"/>
  <c r="K1393" i="10"/>
  <c r="K1504" i="10"/>
  <c r="L1700" i="10"/>
  <c r="K1662" i="10"/>
  <c r="K1707" i="10"/>
  <c r="L1614" i="10"/>
  <c r="K1709" i="10"/>
  <c r="K1597" i="10"/>
  <c r="L1603" i="10"/>
  <c r="K1616" i="10"/>
  <c r="K1650" i="10"/>
  <c r="L1606" i="10"/>
  <c r="K1682" i="10"/>
  <c r="K1728" i="10"/>
  <c r="L1732" i="10"/>
  <c r="K1732" i="10"/>
  <c r="K1657" i="10"/>
  <c r="L1733" i="10"/>
  <c r="K1741" i="10"/>
  <c r="K1792" i="10"/>
  <c r="L1792" i="10"/>
  <c r="L1772" i="10"/>
  <c r="K1772" i="10"/>
  <c r="K1827" i="10"/>
  <c r="L1834" i="10"/>
  <c r="K1784" i="10"/>
  <c r="L1885" i="10"/>
  <c r="K1885" i="10"/>
  <c r="K1907" i="10"/>
  <c r="L1905" i="10"/>
  <c r="K1936" i="10"/>
  <c r="K1856" i="10"/>
  <c r="L1856" i="10"/>
  <c r="L1848" i="10"/>
  <c r="K1848" i="10"/>
  <c r="K1891" i="10"/>
  <c r="L1835" i="10"/>
  <c r="K1851" i="10"/>
  <c r="L2030" i="10"/>
  <c r="K2030" i="10"/>
  <c r="K1973" i="10"/>
  <c r="L1976" i="10"/>
  <c r="K1978" i="10"/>
  <c r="K1981" i="10"/>
  <c r="L1999" i="10"/>
  <c r="K1983" i="10"/>
  <c r="L2051" i="10"/>
  <c r="K2051" i="10"/>
  <c r="L1965" i="10"/>
  <c r="K1965" i="10"/>
  <c r="K2089" i="10"/>
  <c r="L2089" i="10"/>
  <c r="L2074" i="10"/>
  <c r="K2074" i="10"/>
  <c r="K2152" i="10"/>
  <c r="L2152" i="10"/>
  <c r="K2127" i="10"/>
  <c r="L2127" i="10"/>
  <c r="L2046" i="10"/>
  <c r="K2046" i="10"/>
  <c r="K2098" i="10"/>
  <c r="L2098" i="10"/>
  <c r="K2103" i="10"/>
  <c r="L2103" i="10"/>
  <c r="K2066" i="10"/>
  <c r="L2066" i="10"/>
  <c r="K2099" i="10"/>
  <c r="L2099" i="10"/>
  <c r="K2146" i="10"/>
  <c r="L2146" i="10"/>
  <c r="K2138" i="10"/>
  <c r="L2138" i="10"/>
  <c r="K2130" i="10"/>
  <c r="L2130" i="10"/>
  <c r="K2163" i="10"/>
  <c r="L2163" i="10"/>
  <c r="K2150" i="10"/>
  <c r="L2150" i="10"/>
  <c r="K2142" i="10"/>
  <c r="L2142" i="10"/>
  <c r="K2175" i="10"/>
  <c r="L2175" i="10"/>
  <c r="K2215" i="10"/>
  <c r="L2215" i="10"/>
  <c r="K2173" i="10"/>
  <c r="L2173" i="10"/>
  <c r="K2202" i="10"/>
  <c r="L2202" i="10"/>
  <c r="K2197" i="10"/>
  <c r="L2197" i="10"/>
  <c r="K2198" i="10"/>
  <c r="L2198" i="10"/>
  <c r="K2034" i="10"/>
  <c r="L2034" i="10"/>
  <c r="L2023" i="10"/>
  <c r="K2023" i="10"/>
  <c r="L2067" i="10"/>
  <c r="K2067" i="10"/>
  <c r="K2078" i="10"/>
  <c r="L2078" i="10"/>
  <c r="L2090" i="10"/>
  <c r="K2063" i="10"/>
  <c r="L2063" i="10"/>
  <c r="K2111" i="10"/>
  <c r="L2111" i="10"/>
  <c r="K2126" i="10"/>
  <c r="L2114" i="10"/>
  <c r="K2114" i="10"/>
  <c r="K2086" i="10"/>
  <c r="L2086" i="10"/>
  <c r="K2109" i="10"/>
  <c r="L2109" i="10"/>
  <c r="K2115" i="10"/>
  <c r="L2115" i="10"/>
  <c r="L2144" i="10"/>
  <c r="K2144" i="10"/>
  <c r="L2124" i="10"/>
  <c r="K2124" i="10"/>
  <c r="L2132" i="10"/>
  <c r="K2132" i="10"/>
  <c r="L2095" i="10"/>
  <c r="K2095" i="10"/>
  <c r="K2073" i="10"/>
  <c r="L2073" i="10"/>
  <c r="L2107" i="10"/>
  <c r="K2107" i="10"/>
  <c r="K2137" i="10"/>
  <c r="L2137" i="10"/>
  <c r="L2156" i="10"/>
  <c r="K2156" i="10"/>
  <c r="L2121" i="10"/>
  <c r="K2121" i="10"/>
  <c r="L2162" i="10"/>
  <c r="K2162" i="10"/>
  <c r="L2201" i="10"/>
  <c r="K2201" i="10"/>
  <c r="L2194" i="10"/>
  <c r="K2194" i="10"/>
  <c r="L2169" i="10"/>
  <c r="K2169" i="10"/>
  <c r="L2189" i="10"/>
  <c r="K2189" i="10"/>
  <c r="L2218" i="10"/>
  <c r="K2218" i="10"/>
  <c r="L2220" i="10"/>
  <c r="K2220" i="10"/>
  <c r="L2210" i="10"/>
  <c r="K2210" i="10"/>
  <c r="L2229" i="10"/>
  <c r="K2229" i="10"/>
  <c r="L2199" i="10"/>
  <c r="K2199" i="10"/>
  <c r="L2231" i="10"/>
  <c r="K2231" i="10"/>
  <c r="L2192" i="10"/>
  <c r="K2192" i="10"/>
  <c r="L2228" i="10"/>
  <c r="K2228" i="10"/>
  <c r="L2233" i="10"/>
  <c r="K2233" i="10"/>
  <c r="K201" i="10"/>
  <c r="K366" i="9"/>
  <c r="L366" i="9"/>
  <c r="K392" i="9"/>
  <c r="L392" i="9"/>
  <c r="L23" i="9"/>
  <c r="K39" i="9"/>
  <c r="K54" i="9"/>
  <c r="L54" i="9"/>
  <c r="L58" i="9"/>
  <c r="L66" i="9"/>
  <c r="K66" i="9"/>
  <c r="K118" i="9"/>
  <c r="L118" i="9"/>
  <c r="L122" i="9"/>
  <c r="L130" i="9"/>
  <c r="K130" i="9"/>
  <c r="K182" i="9"/>
  <c r="L182" i="9"/>
  <c r="L186" i="9"/>
  <c r="L194" i="9"/>
  <c r="K194" i="9"/>
  <c r="L279" i="9"/>
  <c r="K295" i="9"/>
  <c r="K310" i="9"/>
  <c r="L310" i="9"/>
  <c r="L314" i="9"/>
  <c r="L322" i="9"/>
  <c r="K322" i="9"/>
  <c r="L343" i="9"/>
  <c r="L378" i="9"/>
  <c r="K418" i="9"/>
  <c r="L439" i="9"/>
  <c r="K450" i="9"/>
  <c r="L471" i="9"/>
  <c r="L488" i="9"/>
  <c r="K514" i="9"/>
  <c r="L535" i="9"/>
  <c r="L552" i="9"/>
  <c r="K578" i="9"/>
  <c r="L591" i="9"/>
  <c r="K591" i="9"/>
  <c r="L600" i="9"/>
  <c r="L655" i="9"/>
  <c r="K655" i="9"/>
  <c r="L671" i="9"/>
  <c r="K671" i="9"/>
  <c r="L687" i="9"/>
  <c r="K687" i="9"/>
  <c r="L703" i="9"/>
  <c r="K703" i="9"/>
  <c r="L719" i="9"/>
  <c r="K719" i="9"/>
  <c r="L735" i="9"/>
  <c r="K735" i="9"/>
  <c r="L751" i="9"/>
  <c r="K751" i="9"/>
  <c r="L775" i="9"/>
  <c r="K775" i="9"/>
  <c r="L781" i="9"/>
  <c r="K781" i="9"/>
  <c r="L799" i="9"/>
  <c r="K799" i="9"/>
  <c r="L819" i="9"/>
  <c r="K819" i="9"/>
  <c r="L834" i="9"/>
  <c r="K834" i="9"/>
  <c r="L858" i="9"/>
  <c r="K858" i="9"/>
  <c r="L878" i="9"/>
  <c r="K878" i="9"/>
  <c r="L1013" i="9"/>
  <c r="K1013" i="9"/>
  <c r="L1029" i="9"/>
  <c r="K1029" i="9"/>
  <c r="L1045" i="9"/>
  <c r="K1045" i="9"/>
  <c r="L1061" i="9"/>
  <c r="K1061" i="9"/>
  <c r="L1077" i="9"/>
  <c r="K1077" i="9"/>
  <c r="L1093" i="9"/>
  <c r="K1093" i="9"/>
  <c r="L1109" i="9"/>
  <c r="K1109" i="9"/>
  <c r="L1125" i="9"/>
  <c r="K1125" i="9"/>
  <c r="L1141" i="9"/>
  <c r="K1141" i="9"/>
  <c r="L1157" i="9"/>
  <c r="K1157" i="9"/>
  <c r="L1173" i="9"/>
  <c r="K1173" i="9"/>
  <c r="L1189" i="9"/>
  <c r="K1189" i="9"/>
  <c r="L1205" i="9"/>
  <c r="K1205" i="9"/>
  <c r="L1221" i="9"/>
  <c r="K1221" i="9"/>
  <c r="L1237" i="9"/>
  <c r="K1237" i="9"/>
  <c r="L1253" i="9"/>
  <c r="K1253" i="9"/>
  <c r="L1269" i="9"/>
  <c r="K1269" i="9"/>
  <c r="L1285" i="9"/>
  <c r="K1285" i="9"/>
  <c r="L1301" i="9"/>
  <c r="K1301" i="9"/>
  <c r="L1317" i="9"/>
  <c r="K1317" i="9"/>
  <c r="L1333" i="9"/>
  <c r="K1333" i="9"/>
  <c r="L1349" i="9"/>
  <c r="K1349" i="9"/>
  <c r="L1365" i="9"/>
  <c r="K1365" i="9"/>
  <c r="L1381" i="9"/>
  <c r="K1381" i="9"/>
  <c r="L1397" i="9"/>
  <c r="K1397" i="9"/>
  <c r="L1413" i="9"/>
  <c r="K1413" i="9"/>
  <c r="L1429" i="9"/>
  <c r="K1429" i="9"/>
  <c r="L1445" i="9"/>
  <c r="K1445" i="9"/>
  <c r="L1461" i="9"/>
  <c r="K1461" i="9"/>
  <c r="L1477" i="9"/>
  <c r="K1477" i="9"/>
  <c r="L1493" i="9"/>
  <c r="K1493" i="9"/>
  <c r="L1509" i="9"/>
  <c r="K1509" i="9"/>
  <c r="L1525" i="9"/>
  <c r="K1525" i="9"/>
  <c r="L1541" i="9"/>
  <c r="K1541" i="9"/>
  <c r="L1557" i="9"/>
  <c r="K1557" i="9"/>
  <c r="L1573" i="9"/>
  <c r="K1573" i="9"/>
  <c r="L1589" i="9"/>
  <c r="K1589" i="9"/>
  <c r="L1605" i="9"/>
  <c r="K1605" i="9"/>
  <c r="L1621" i="9"/>
  <c r="K1621" i="9"/>
  <c r="L1637" i="9"/>
  <c r="K1637" i="9"/>
  <c r="L1653" i="9"/>
  <c r="K1653" i="9"/>
  <c r="L1669" i="9"/>
  <c r="K1669" i="9"/>
  <c r="L1685" i="9"/>
  <c r="K1685" i="9"/>
  <c r="L1701" i="9"/>
  <c r="K1701" i="9"/>
  <c r="L1717" i="9"/>
  <c r="K1717" i="9"/>
  <c r="L1733" i="9"/>
  <c r="K1733" i="9"/>
  <c r="L1749" i="9"/>
  <c r="K1749" i="9"/>
  <c r="L1765" i="9"/>
  <c r="K1765" i="9"/>
  <c r="L1781" i="9"/>
  <c r="K1781" i="9"/>
  <c r="L1797" i="9"/>
  <c r="K1797" i="9"/>
  <c r="L1813" i="9"/>
  <c r="K1813" i="9"/>
  <c r="L1829" i="9"/>
  <c r="K1829" i="9"/>
  <c r="L1845" i="9"/>
  <c r="K1845" i="9"/>
  <c r="L1861" i="9"/>
  <c r="K1861" i="9"/>
  <c r="L1877" i="9"/>
  <c r="K1877" i="9"/>
  <c r="L11" i="9"/>
  <c r="K46" i="9"/>
  <c r="L46" i="9"/>
  <c r="L50" i="9"/>
  <c r="K72" i="9"/>
  <c r="L72" i="9"/>
  <c r="L75" i="9"/>
  <c r="L78" i="9"/>
  <c r="L80" i="9"/>
  <c r="L99" i="9"/>
  <c r="K110" i="9"/>
  <c r="L110" i="9"/>
  <c r="L114" i="9"/>
  <c r="K136" i="9"/>
  <c r="L136" i="9"/>
  <c r="L139" i="9"/>
  <c r="L142" i="9"/>
  <c r="L144" i="9"/>
  <c r="L163" i="9"/>
  <c r="K174" i="9"/>
  <c r="L174" i="9"/>
  <c r="L178" i="9"/>
  <c r="K200" i="9"/>
  <c r="L200" i="9"/>
  <c r="L203" i="9"/>
  <c r="L206" i="9"/>
  <c r="L208" i="9"/>
  <c r="L227" i="9"/>
  <c r="K238" i="9"/>
  <c r="L238" i="9"/>
  <c r="L242" i="9"/>
  <c r="K264" i="9"/>
  <c r="L264" i="9"/>
  <c r="L267" i="9"/>
  <c r="L272" i="9"/>
  <c r="L291" i="9"/>
  <c r="K328" i="9"/>
  <c r="L328" i="9"/>
  <c r="L87" i="9"/>
  <c r="K103" i="9"/>
  <c r="L151" i="9"/>
  <c r="K167" i="9"/>
  <c r="L215" i="9"/>
  <c r="K231" i="9"/>
  <c r="K246" i="9"/>
  <c r="L246" i="9"/>
  <c r="L250" i="9"/>
  <c r="L258" i="9"/>
  <c r="K258" i="9"/>
  <c r="K359" i="9"/>
  <c r="K374" i="9"/>
  <c r="L374" i="9"/>
  <c r="L386" i="9"/>
  <c r="K386" i="9"/>
  <c r="L407" i="9"/>
  <c r="L424" i="9"/>
  <c r="L456" i="9"/>
  <c r="K482" i="9"/>
  <c r="L503" i="9"/>
  <c r="L520" i="9"/>
  <c r="K546" i="9"/>
  <c r="L567" i="9"/>
  <c r="L584" i="9"/>
  <c r="L607" i="9"/>
  <c r="K607" i="9"/>
  <c r="L623" i="9"/>
  <c r="K623" i="9"/>
  <c r="L639" i="9"/>
  <c r="K639" i="9"/>
  <c r="L13" i="9"/>
  <c r="K13" i="9"/>
  <c r="L15" i="9"/>
  <c r="K34" i="9"/>
  <c r="L37" i="9"/>
  <c r="K37" i="9"/>
  <c r="K51" i="9"/>
  <c r="K61" i="9"/>
  <c r="K63" i="9"/>
  <c r="L77" i="9"/>
  <c r="K77" i="9"/>
  <c r="L79" i="9"/>
  <c r="K98" i="9"/>
  <c r="L101" i="9"/>
  <c r="K101" i="9"/>
  <c r="K115" i="9"/>
  <c r="K125" i="9"/>
  <c r="K127" i="9"/>
  <c r="L141" i="9"/>
  <c r="K141" i="9"/>
  <c r="L143" i="9"/>
  <c r="K162" i="9"/>
  <c r="L165" i="9"/>
  <c r="K165" i="9"/>
  <c r="K179" i="9"/>
  <c r="K189" i="9"/>
  <c r="K191" i="9"/>
  <c r="L205" i="9"/>
  <c r="K205" i="9"/>
  <c r="L207" i="9"/>
  <c r="K226" i="9"/>
  <c r="L229" i="9"/>
  <c r="K229" i="9"/>
  <c r="K243" i="9"/>
  <c r="K253" i="9"/>
  <c r="K255" i="9"/>
  <c r="L269" i="9"/>
  <c r="K269" i="9"/>
  <c r="L271" i="9"/>
  <c r="K290" i="9"/>
  <c r="L293" i="9"/>
  <c r="K293" i="9"/>
  <c r="K307" i="9"/>
  <c r="K317" i="9"/>
  <c r="K319" i="9"/>
  <c r="L333" i="9"/>
  <c r="K333" i="9"/>
  <c r="L335" i="9"/>
  <c r="K354" i="9"/>
  <c r="L357" i="9"/>
  <c r="K357" i="9"/>
  <c r="K371" i="9"/>
  <c r="K381" i="9"/>
  <c r="K383" i="9"/>
  <c r="L397" i="9"/>
  <c r="K397" i="9"/>
  <c r="L399" i="9"/>
  <c r="L416" i="9"/>
  <c r="L431" i="9"/>
  <c r="L448" i="9"/>
  <c r="L463" i="9"/>
  <c r="L480" i="9"/>
  <c r="L495" i="9"/>
  <c r="L512" i="9"/>
  <c r="L527" i="9"/>
  <c r="L544" i="9"/>
  <c r="L559" i="9"/>
  <c r="L576" i="9"/>
  <c r="K771" i="9"/>
  <c r="K795" i="9"/>
  <c r="K806" i="9"/>
  <c r="K815" i="9"/>
  <c r="K830" i="9"/>
  <c r="K837" i="9"/>
  <c r="L839" i="9"/>
  <c r="K839" i="9"/>
  <c r="L845" i="9"/>
  <c r="K845" i="9"/>
  <c r="L863" i="9"/>
  <c r="K863" i="9"/>
  <c r="L883" i="9"/>
  <c r="K883" i="9"/>
  <c r="L599" i="9"/>
  <c r="K599" i="9"/>
  <c r="L615" i="9"/>
  <c r="K615" i="9"/>
  <c r="L631" i="9"/>
  <c r="K631" i="9"/>
  <c r="L647" i="9"/>
  <c r="K647" i="9"/>
  <c r="L663" i="9"/>
  <c r="K663" i="9"/>
  <c r="L679" i="9"/>
  <c r="K679" i="9"/>
  <c r="L695" i="9"/>
  <c r="K695" i="9"/>
  <c r="L711" i="9"/>
  <c r="K711" i="9"/>
  <c r="L727" i="9"/>
  <c r="K727" i="9"/>
  <c r="L743" i="9"/>
  <c r="K743" i="9"/>
  <c r="L759" i="9"/>
  <c r="K759" i="9"/>
  <c r="L779" i="9"/>
  <c r="K779" i="9"/>
  <c r="L790" i="9"/>
  <c r="K790" i="9"/>
  <c r="L801" i="9"/>
  <c r="K801" i="9"/>
  <c r="L821" i="9"/>
  <c r="K821" i="9"/>
  <c r="L1005" i="9"/>
  <c r="K1005" i="9"/>
  <c r="L1021" i="9"/>
  <c r="K1021" i="9"/>
  <c r="L1037" i="9"/>
  <c r="K1037" i="9"/>
  <c r="L1053" i="9"/>
  <c r="K1053" i="9"/>
  <c r="L1069" i="9"/>
  <c r="K1069" i="9"/>
  <c r="L1085" i="9"/>
  <c r="K1085" i="9"/>
  <c r="L1101" i="9"/>
  <c r="K1101" i="9"/>
  <c r="L1117" i="9"/>
  <c r="K1117" i="9"/>
  <c r="L1133" i="9"/>
  <c r="K1133" i="9"/>
  <c r="L1149" i="9"/>
  <c r="K1149" i="9"/>
  <c r="L1165" i="9"/>
  <c r="K1165" i="9"/>
  <c r="L1181" i="9"/>
  <c r="K1181" i="9"/>
  <c r="L1197" i="9"/>
  <c r="K1197" i="9"/>
  <c r="L1213" i="9"/>
  <c r="K1213" i="9"/>
  <c r="L1229" i="9"/>
  <c r="K1229" i="9"/>
  <c r="L1245" i="9"/>
  <c r="K1245" i="9"/>
  <c r="L1261" i="9"/>
  <c r="K1261" i="9"/>
  <c r="L1277" i="9"/>
  <c r="K1277" i="9"/>
  <c r="L1293" i="9"/>
  <c r="K1293" i="9"/>
  <c r="L1309" i="9"/>
  <c r="K1309" i="9"/>
  <c r="L1325" i="9"/>
  <c r="K1325" i="9"/>
  <c r="L1341" i="9"/>
  <c r="K1341" i="9"/>
  <c r="L1357" i="9"/>
  <c r="K1357" i="9"/>
  <c r="L1373" i="9"/>
  <c r="K1373" i="9"/>
  <c r="L1389" i="9"/>
  <c r="K1389" i="9"/>
  <c r="L1405" i="9"/>
  <c r="K1405" i="9"/>
  <c r="L1421" i="9"/>
  <c r="K1421" i="9"/>
  <c r="L1437" i="9"/>
  <c r="K1437" i="9"/>
  <c r="L1453" i="9"/>
  <c r="K1453" i="9"/>
  <c r="L1469" i="9"/>
  <c r="K1469" i="9"/>
  <c r="L1485" i="9"/>
  <c r="K1485" i="9"/>
  <c r="L1501" i="9"/>
  <c r="K1501" i="9"/>
  <c r="L1517" i="9"/>
  <c r="K1517" i="9"/>
  <c r="L1533" i="9"/>
  <c r="K1533" i="9"/>
  <c r="L1549" i="9"/>
  <c r="K1549" i="9"/>
  <c r="L1565" i="9"/>
  <c r="K1565" i="9"/>
  <c r="L1581" i="9"/>
  <c r="K1581" i="9"/>
  <c r="L1597" i="9"/>
  <c r="K1597" i="9"/>
  <c r="L1613" i="9"/>
  <c r="K1613" i="9"/>
  <c r="L1629" i="9"/>
  <c r="K1629" i="9"/>
  <c r="L1645" i="9"/>
  <c r="K1645" i="9"/>
  <c r="L1661" i="9"/>
  <c r="K1661" i="9"/>
  <c r="L1677" i="9"/>
  <c r="K1677" i="9"/>
  <c r="L1693" i="9"/>
  <c r="K1693" i="9"/>
  <c r="L1709" i="9"/>
  <c r="K1709" i="9"/>
  <c r="L1725" i="9"/>
  <c r="K1725" i="9"/>
  <c r="L1741" i="9"/>
  <c r="K1741" i="9"/>
  <c r="L1757" i="9"/>
  <c r="K1757" i="9"/>
  <c r="L1773" i="9"/>
  <c r="K1773" i="9"/>
  <c r="L1789" i="9"/>
  <c r="K1789" i="9"/>
  <c r="L1805" i="9"/>
  <c r="K1805" i="9"/>
  <c r="L1821" i="9"/>
  <c r="K1821" i="9"/>
  <c r="L1837" i="9"/>
  <c r="K1837" i="9"/>
  <c r="L1853" i="9"/>
  <c r="K1853" i="9"/>
  <c r="L1869" i="9"/>
  <c r="K1869" i="9"/>
  <c r="L1885" i="9"/>
  <c r="K1885" i="9"/>
  <c r="K8" i="9"/>
  <c r="L8" i="9"/>
  <c r="L14" i="9"/>
  <c r="L16" i="9"/>
  <c r="L35" i="9"/>
  <c r="L270" i="9"/>
  <c r="K302" i="9"/>
  <c r="L302" i="9"/>
  <c r="L770" i="9"/>
  <c r="K770" i="9"/>
  <c r="K786" i="9"/>
  <c r="L794" i="9"/>
  <c r="K794" i="9"/>
  <c r="L814" i="9"/>
  <c r="K814" i="9"/>
  <c r="L843" i="9"/>
  <c r="K843" i="9"/>
  <c r="L854" i="9"/>
  <c r="K854" i="9"/>
  <c r="L865" i="9"/>
  <c r="K865" i="9"/>
  <c r="L885" i="9"/>
  <c r="K885" i="9"/>
  <c r="K1902" i="9"/>
  <c r="L1902" i="9"/>
  <c r="K1918" i="9"/>
  <c r="L1918" i="9"/>
  <c r="K1950" i="9"/>
  <c r="L1950" i="9"/>
  <c r="K1966" i="9"/>
  <c r="L1966" i="9"/>
  <c r="K1982" i="9"/>
  <c r="L1982" i="9"/>
  <c r="K1998" i="9"/>
  <c r="L1998" i="9"/>
  <c r="K2014" i="9"/>
  <c r="L2014" i="9"/>
  <c r="K2030" i="9"/>
  <c r="L2030" i="9"/>
  <c r="K2046" i="9"/>
  <c r="L2046" i="9"/>
  <c r="K2062" i="9"/>
  <c r="L2062" i="9"/>
  <c r="K2126" i="9"/>
  <c r="L2126" i="9"/>
  <c r="K2158" i="9"/>
  <c r="L2158" i="9"/>
  <c r="K2190" i="9"/>
  <c r="L2190" i="9"/>
  <c r="K2254" i="9"/>
  <c r="L2254" i="9"/>
  <c r="K2277" i="9"/>
  <c r="L2277" i="9"/>
  <c r="L2342" i="9"/>
  <c r="K2342" i="9"/>
  <c r="L2392" i="9"/>
  <c r="K2392" i="9"/>
  <c r="K2403" i="9"/>
  <c r="L2403" i="9"/>
  <c r="L2410" i="9"/>
  <c r="K2410" i="9"/>
  <c r="L2418" i="9"/>
  <c r="K2418" i="9"/>
  <c r="L2450" i="9"/>
  <c r="K2450" i="9"/>
  <c r="L2534" i="9"/>
  <c r="K2534" i="9"/>
  <c r="L2602" i="9"/>
  <c r="K2602" i="9"/>
  <c r="K2647" i="9"/>
  <c r="L2647" i="9"/>
  <c r="K2726" i="9"/>
  <c r="L2726" i="9"/>
  <c r="K2769" i="9"/>
  <c r="L2769" i="9"/>
  <c r="L2806" i="9"/>
  <c r="K2806" i="9"/>
  <c r="L2870" i="9"/>
  <c r="K2870" i="9"/>
  <c r="L2902" i="9"/>
  <c r="K2902" i="9"/>
  <c r="L2966" i="9"/>
  <c r="K2966" i="9"/>
  <c r="L3030" i="9"/>
  <c r="K3030" i="9"/>
  <c r="L3098" i="9"/>
  <c r="K3098" i="9"/>
  <c r="K3140" i="9"/>
  <c r="L3140" i="9"/>
  <c r="K3181" i="9"/>
  <c r="L3181" i="9"/>
  <c r="K3258" i="9"/>
  <c r="L3258" i="9"/>
  <c r="K3263" i="9"/>
  <c r="L3263" i="9"/>
  <c r="K3294" i="9"/>
  <c r="L3294" i="9"/>
  <c r="L3339" i="9"/>
  <c r="K3339" i="9"/>
  <c r="L3358" i="9"/>
  <c r="K3358" i="9"/>
  <c r="L3366" i="9"/>
  <c r="K3366" i="9"/>
  <c r="L3374" i="9"/>
  <c r="K3374" i="9"/>
  <c r="L3382" i="9"/>
  <c r="K3382" i="9"/>
  <c r="L3390" i="9"/>
  <c r="K3390" i="9"/>
  <c r="L3398" i="9"/>
  <c r="K3398" i="9"/>
  <c r="L3406" i="9"/>
  <c r="K3406" i="9"/>
  <c r="L3414" i="9"/>
  <c r="K3414" i="9"/>
  <c r="L3422" i="9"/>
  <c r="K3422" i="9"/>
  <c r="L3437" i="9"/>
  <c r="K3437" i="9"/>
  <c r="L3497" i="9"/>
  <c r="K3497" i="9"/>
  <c r="L3525" i="9"/>
  <c r="K3525" i="9"/>
  <c r="L3596" i="9"/>
  <c r="K3596" i="9"/>
  <c r="L3604" i="9"/>
  <c r="K3604" i="9"/>
  <c r="L3643" i="9"/>
  <c r="K3643" i="9"/>
  <c r="L3686" i="9"/>
  <c r="K3686" i="9"/>
  <c r="K3703" i="9"/>
  <c r="L3703" i="9"/>
  <c r="L3712" i="9"/>
  <c r="K3712" i="9"/>
  <c r="L3755" i="9"/>
  <c r="K3755" i="9"/>
  <c r="L3804" i="9"/>
  <c r="K3804" i="9"/>
  <c r="K1934" i="9"/>
  <c r="L1934" i="9"/>
  <c r="K2094" i="9"/>
  <c r="L2094" i="9"/>
  <c r="K2222" i="9"/>
  <c r="L2222" i="9"/>
  <c r="L2296" i="9"/>
  <c r="K2296" i="9"/>
  <c r="K2469" i="9"/>
  <c r="L2469" i="9"/>
  <c r="K2481" i="9"/>
  <c r="L2481" i="9"/>
  <c r="L2572" i="9"/>
  <c r="K2572" i="9"/>
  <c r="L2609" i="9"/>
  <c r="K2609" i="9"/>
  <c r="K2679" i="9"/>
  <c r="L2679" i="9"/>
  <c r="L2737" i="9"/>
  <c r="K2737" i="9"/>
  <c r="L2838" i="9"/>
  <c r="K2838" i="9"/>
  <c r="L2934" i="9"/>
  <c r="K2934" i="9"/>
  <c r="L2998" i="9"/>
  <c r="K2998" i="9"/>
  <c r="K1889" i="9"/>
  <c r="K1891" i="9"/>
  <c r="K1896" i="9"/>
  <c r="K1905" i="9"/>
  <c r="K1907" i="9"/>
  <c r="K1912" i="9"/>
  <c r="K1921" i="9"/>
  <c r="K1923" i="9"/>
  <c r="K1928" i="9"/>
  <c r="K1937" i="9"/>
  <c r="K1939" i="9"/>
  <c r="K1944" i="9"/>
  <c r="K1953" i="9"/>
  <c r="K1955" i="9"/>
  <c r="K1960" i="9"/>
  <c r="K1969" i="9"/>
  <c r="K1971" i="9"/>
  <c r="K1976" i="9"/>
  <c r="K1985" i="9"/>
  <c r="K1987" i="9"/>
  <c r="K1992" i="9"/>
  <c r="K2001" i="9"/>
  <c r="K2003" i="9"/>
  <c r="K2008" i="9"/>
  <c r="K2017" i="9"/>
  <c r="K2019" i="9"/>
  <c r="K2024" i="9"/>
  <c r="K2040" i="9"/>
  <c r="K2056" i="9"/>
  <c r="K2070" i="9"/>
  <c r="L2070" i="9"/>
  <c r="K2080" i="9"/>
  <c r="K2102" i="9"/>
  <c r="L2102" i="9"/>
  <c r="K2112" i="9"/>
  <c r="K2134" i="9"/>
  <c r="L2134" i="9"/>
  <c r="K2144" i="9"/>
  <c r="K2166" i="9"/>
  <c r="L2166" i="9"/>
  <c r="K2176" i="9"/>
  <c r="K2198" i="9"/>
  <c r="L2198" i="9"/>
  <c r="K2208" i="9"/>
  <c r="K2230" i="9"/>
  <c r="L2230" i="9"/>
  <c r="K2240" i="9"/>
  <c r="K2262" i="9"/>
  <c r="L2262" i="9"/>
  <c r="L2290" i="9"/>
  <c r="K2290" i="9"/>
  <c r="L2306" i="9"/>
  <c r="K2306" i="9"/>
  <c r="L2326" i="9"/>
  <c r="K2326" i="9"/>
  <c r="K2339" i="9"/>
  <c r="L2339" i="9"/>
  <c r="L2346" i="9"/>
  <c r="K2346" i="9"/>
  <c r="L2408" i="9"/>
  <c r="K2408" i="9"/>
  <c r="L2554" i="9"/>
  <c r="K2554" i="9"/>
  <c r="K2599" i="9"/>
  <c r="L2599" i="9"/>
  <c r="K2662" i="9"/>
  <c r="L2662" i="9"/>
  <c r="K2694" i="9"/>
  <c r="L2694" i="9"/>
  <c r="L2705" i="9"/>
  <c r="K2705" i="9"/>
  <c r="K1894" i="9"/>
  <c r="L1894" i="9"/>
  <c r="K1910" i="9"/>
  <c r="L1910" i="9"/>
  <c r="K1926" i="9"/>
  <c r="L1926" i="9"/>
  <c r="K1942" i="9"/>
  <c r="L1942" i="9"/>
  <c r="K1958" i="9"/>
  <c r="L1958" i="9"/>
  <c r="K1974" i="9"/>
  <c r="L1974" i="9"/>
  <c r="K1990" i="9"/>
  <c r="L1990" i="9"/>
  <c r="K2006" i="9"/>
  <c r="L2006" i="9"/>
  <c r="K2022" i="9"/>
  <c r="L2022" i="9"/>
  <c r="K2038" i="9"/>
  <c r="L2038" i="9"/>
  <c r="K2054" i="9"/>
  <c r="L2054" i="9"/>
  <c r="K2078" i="9"/>
  <c r="L2078" i="9"/>
  <c r="K2110" i="9"/>
  <c r="L2110" i="9"/>
  <c r="K2142" i="9"/>
  <c r="L2142" i="9"/>
  <c r="K2174" i="9"/>
  <c r="L2174" i="9"/>
  <c r="K2206" i="9"/>
  <c r="L2206" i="9"/>
  <c r="K2238" i="9"/>
  <c r="L2238" i="9"/>
  <c r="K2270" i="9"/>
  <c r="L2270" i="9"/>
  <c r="L2294" i="9"/>
  <c r="K2294" i="9"/>
  <c r="L2301" i="9"/>
  <c r="K2301" i="9"/>
  <c r="L2318" i="9"/>
  <c r="K2318" i="9"/>
  <c r="L2330" i="9"/>
  <c r="K2330" i="9"/>
  <c r="L2344" i="9"/>
  <c r="K2344" i="9"/>
  <c r="L2354" i="9"/>
  <c r="K2354" i="9"/>
  <c r="L2378" i="9"/>
  <c r="K2378" i="9"/>
  <c r="L2386" i="9"/>
  <c r="K2386" i="9"/>
  <c r="L2390" i="9"/>
  <c r="K2390" i="9"/>
  <c r="K2513" i="9"/>
  <c r="L2513" i="9"/>
  <c r="L2542" i="9"/>
  <c r="K2542" i="9"/>
  <c r="K2549" i="9"/>
  <c r="L2549" i="9"/>
  <c r="K2589" i="9"/>
  <c r="L2589" i="9"/>
  <c r="L2604" i="9"/>
  <c r="K2604" i="9"/>
  <c r="L2641" i="9"/>
  <c r="K2641" i="9"/>
  <c r="L2673" i="9"/>
  <c r="K2673" i="9"/>
  <c r="K2743" i="9"/>
  <c r="L2743" i="9"/>
  <c r="K2785" i="9"/>
  <c r="L2785" i="9"/>
  <c r="K2086" i="9"/>
  <c r="L2086" i="9"/>
  <c r="K2118" i="9"/>
  <c r="L2118" i="9"/>
  <c r="K2150" i="9"/>
  <c r="L2150" i="9"/>
  <c r="K2182" i="9"/>
  <c r="L2182" i="9"/>
  <c r="K2214" i="9"/>
  <c r="L2214" i="9"/>
  <c r="K2246" i="9"/>
  <c r="L2246" i="9"/>
  <c r="L2310" i="9"/>
  <c r="K2310" i="9"/>
  <c r="L2328" i="9"/>
  <c r="K2328" i="9"/>
  <c r="L2397" i="9"/>
  <c r="K2397" i="9"/>
  <c r="L2406" i="9"/>
  <c r="K2406" i="9"/>
  <c r="L2462" i="9"/>
  <c r="K2462" i="9"/>
  <c r="L2474" i="9"/>
  <c r="K2474" i="9"/>
  <c r="L2498" i="9"/>
  <c r="K2498" i="9"/>
  <c r="K2525" i="9"/>
  <c r="L2525" i="9"/>
  <c r="K2614" i="9"/>
  <c r="L2614" i="9"/>
  <c r="K2711" i="9"/>
  <c r="L2711" i="9"/>
  <c r="K2758" i="9"/>
  <c r="L2758" i="9"/>
  <c r="K2585" i="9"/>
  <c r="L2585" i="9"/>
  <c r="L2814" i="9"/>
  <c r="K2814" i="9"/>
  <c r="L2846" i="9"/>
  <c r="K2846" i="9"/>
  <c r="L2878" i="9"/>
  <c r="K2878" i="9"/>
  <c r="L2910" i="9"/>
  <c r="K2910" i="9"/>
  <c r="L2942" i="9"/>
  <c r="K2942" i="9"/>
  <c r="L2974" i="9"/>
  <c r="K2974" i="9"/>
  <c r="L3006" i="9"/>
  <c r="K3006" i="9"/>
  <c r="L3038" i="9"/>
  <c r="K3038" i="9"/>
  <c r="L3064" i="9"/>
  <c r="K3064" i="9"/>
  <c r="K3157" i="9"/>
  <c r="L3157" i="9"/>
  <c r="K3164" i="9"/>
  <c r="L3164" i="9"/>
  <c r="L2275" i="9"/>
  <c r="L2313" i="9"/>
  <c r="L2321" i="9"/>
  <c r="K2333" i="9"/>
  <c r="K2360" i="9"/>
  <c r="L2371" i="9"/>
  <c r="K2382" i="9"/>
  <c r="K2389" i="9"/>
  <c r="K2402" i="9"/>
  <c r="K2414" i="9"/>
  <c r="K2422" i="9"/>
  <c r="K2424" i="9"/>
  <c r="K2426" i="9"/>
  <c r="L2435" i="9"/>
  <c r="K2438" i="9"/>
  <c r="K2446" i="9"/>
  <c r="L2453" i="9"/>
  <c r="K2458" i="9"/>
  <c r="L2465" i="9"/>
  <c r="L2477" i="9"/>
  <c r="K2486" i="9"/>
  <c r="K2494" i="9"/>
  <c r="L2501" i="9"/>
  <c r="K2506" i="9"/>
  <c r="K2518" i="9"/>
  <c r="K2530" i="9"/>
  <c r="L2545" i="9"/>
  <c r="K2565" i="9"/>
  <c r="L2565" i="9"/>
  <c r="L2570" i="9"/>
  <c r="L2573" i="9"/>
  <c r="K2605" i="9"/>
  <c r="L2605" i="9"/>
  <c r="L2617" i="9"/>
  <c r="L2620" i="9"/>
  <c r="K2620" i="9"/>
  <c r="L2622" i="9"/>
  <c r="L2633" i="9"/>
  <c r="L2637" i="9"/>
  <c r="L2654" i="9"/>
  <c r="L2671" i="9"/>
  <c r="L2686" i="9"/>
  <c r="K2697" i="9"/>
  <c r="L2703" i="9"/>
  <c r="L2718" i="9"/>
  <c r="K2729" i="9"/>
  <c r="L2735" i="9"/>
  <c r="L2750" i="9"/>
  <c r="K2761" i="9"/>
  <c r="L2774" i="9"/>
  <c r="L2790" i="9"/>
  <c r="L2822" i="9"/>
  <c r="K2822" i="9"/>
  <c r="L2854" i="9"/>
  <c r="K2854" i="9"/>
  <c r="L2886" i="9"/>
  <c r="K2886" i="9"/>
  <c r="L2918" i="9"/>
  <c r="K2918" i="9"/>
  <c r="L2950" i="9"/>
  <c r="K2950" i="9"/>
  <c r="L2982" i="9"/>
  <c r="K2982" i="9"/>
  <c r="L3014" i="9"/>
  <c r="K3014" i="9"/>
  <c r="K3061" i="9"/>
  <c r="L3061" i="9"/>
  <c r="L3088" i="9"/>
  <c r="K3088" i="9"/>
  <c r="K3283" i="9"/>
  <c r="L3283" i="9"/>
  <c r="K3323" i="9"/>
  <c r="L3323" i="9"/>
  <c r="K2631" i="9"/>
  <c r="L2631" i="9"/>
  <c r="L2798" i="9"/>
  <c r="K2798" i="9"/>
  <c r="L2830" i="9"/>
  <c r="K2830" i="9"/>
  <c r="L2862" i="9"/>
  <c r="K2862" i="9"/>
  <c r="L2894" i="9"/>
  <c r="K2894" i="9"/>
  <c r="L2926" i="9"/>
  <c r="K2926" i="9"/>
  <c r="L2958" i="9"/>
  <c r="K2958" i="9"/>
  <c r="L2990" i="9"/>
  <c r="K2990" i="9"/>
  <c r="L3022" i="9"/>
  <c r="K3022" i="9"/>
  <c r="L3066" i="9"/>
  <c r="K3066" i="9"/>
  <c r="K3085" i="9"/>
  <c r="L3085" i="9"/>
  <c r="K3117" i="9"/>
  <c r="L3117" i="9"/>
  <c r="K3215" i="9"/>
  <c r="L3215" i="9"/>
  <c r="K3311" i="9"/>
  <c r="L3311" i="9"/>
  <c r="K3107" i="9"/>
  <c r="L3107" i="9"/>
  <c r="K3131" i="9"/>
  <c r="L3131" i="9"/>
  <c r="L3194" i="9"/>
  <c r="K3194" i="9"/>
  <c r="K3286" i="9"/>
  <c r="L3286" i="9"/>
  <c r="L3347" i="9"/>
  <c r="K3347" i="9"/>
  <c r="L3485" i="9"/>
  <c r="K3485" i="9"/>
  <c r="L3520" i="9"/>
  <c r="K3520" i="9"/>
  <c r="L3551" i="9"/>
  <c r="K3551" i="9"/>
  <c r="K3554" i="9"/>
  <c r="L3554" i="9"/>
  <c r="K3067" i="9"/>
  <c r="L3067" i="9"/>
  <c r="K3093" i="9"/>
  <c r="L3093" i="9"/>
  <c r="L3162" i="9"/>
  <c r="K3162" i="9"/>
  <c r="K3171" i="9"/>
  <c r="L3171" i="9"/>
  <c r="K3195" i="9"/>
  <c r="L3195" i="9"/>
  <c r="K3203" i="9"/>
  <c r="L3203" i="9"/>
  <c r="K3222" i="9"/>
  <c r="L3222" i="9"/>
  <c r="L3249" i="9"/>
  <c r="K3249" i="9"/>
  <c r="L3351" i="9"/>
  <c r="K3351" i="9"/>
  <c r="L3362" i="9"/>
  <c r="K3362" i="9"/>
  <c r="L3370" i="9"/>
  <c r="K3370" i="9"/>
  <c r="L3378" i="9"/>
  <c r="K3378" i="9"/>
  <c r="L3386" i="9"/>
  <c r="K3386" i="9"/>
  <c r="L3394" i="9"/>
  <c r="K3394" i="9"/>
  <c r="L3402" i="9"/>
  <c r="K3402" i="9"/>
  <c r="L3410" i="9"/>
  <c r="K3410" i="9"/>
  <c r="L3418" i="9"/>
  <c r="K3418" i="9"/>
  <c r="L3426" i="9"/>
  <c r="K3426" i="9"/>
  <c r="K3445" i="9"/>
  <c r="L3445" i="9"/>
  <c r="L3473" i="9"/>
  <c r="K3473" i="9"/>
  <c r="L3545" i="9"/>
  <c r="K3545" i="9"/>
  <c r="L3549" i="9"/>
  <c r="K3549" i="9"/>
  <c r="L3575" i="9"/>
  <c r="K3575" i="9"/>
  <c r="K3050" i="9"/>
  <c r="K3060" i="9"/>
  <c r="K3082" i="9"/>
  <c r="K3084" i="9"/>
  <c r="L3139" i="9"/>
  <c r="L3141" i="9"/>
  <c r="K3144" i="9"/>
  <c r="K3163" i="9"/>
  <c r="L3163" i="9"/>
  <c r="K3189" i="9"/>
  <c r="L3189" i="9"/>
  <c r="L3192" i="9"/>
  <c r="L3230" i="9"/>
  <c r="L3243" i="9"/>
  <c r="K3252" i="9"/>
  <c r="L3252" i="9"/>
  <c r="L3275" i="9"/>
  <c r="L3287" i="9"/>
  <c r="L3313" i="9"/>
  <c r="K3313" i="9"/>
  <c r="K3316" i="9"/>
  <c r="L3316" i="9"/>
  <c r="K3322" i="9"/>
  <c r="L3322" i="9"/>
  <c r="L3327" i="9"/>
  <c r="K3468" i="9"/>
  <c r="L3468" i="9"/>
  <c r="K3500" i="9"/>
  <c r="L3500" i="9"/>
  <c r="K3540" i="9"/>
  <c r="L3540" i="9"/>
  <c r="L3561" i="9"/>
  <c r="K3561" i="9"/>
  <c r="L3567" i="9"/>
  <c r="K3567" i="9"/>
  <c r="L3581" i="9"/>
  <c r="K3581" i="9"/>
  <c r="L3587" i="9"/>
  <c r="K3587" i="9"/>
  <c r="L3668" i="9"/>
  <c r="K3668" i="9"/>
  <c r="L3675" i="9"/>
  <c r="K3675" i="9"/>
  <c r="L3699" i="9"/>
  <c r="K3699" i="9"/>
  <c r="L3710" i="9"/>
  <c r="K3710" i="9"/>
  <c r="L3724" i="9"/>
  <c r="K3724" i="9"/>
  <c r="K3799" i="9"/>
  <c r="L3799" i="9"/>
  <c r="L3489" i="9"/>
  <c r="K3489" i="9"/>
  <c r="L3509" i="9"/>
  <c r="K3509" i="9"/>
  <c r="K3516" i="9"/>
  <c r="L3516" i="9"/>
  <c r="L3529" i="9"/>
  <c r="K3529" i="9"/>
  <c r="L3536" i="9"/>
  <c r="K3536" i="9"/>
  <c r="K3559" i="9"/>
  <c r="L3573" i="9"/>
  <c r="K3573" i="9"/>
  <c r="K3585" i="9"/>
  <c r="L3592" i="9"/>
  <c r="K3592" i="9"/>
  <c r="L3620" i="9"/>
  <c r="K3620" i="9"/>
  <c r="L3625" i="9"/>
  <c r="K3625" i="9"/>
  <c r="L3633" i="9"/>
  <c r="K3633" i="9"/>
  <c r="L3641" i="9"/>
  <c r="K3641" i="9"/>
  <c r="L3684" i="9"/>
  <c r="K3684" i="9"/>
  <c r="K3719" i="9"/>
  <c r="L3719" i="9"/>
  <c r="L3728" i="9"/>
  <c r="K3728" i="9"/>
  <c r="L3795" i="9"/>
  <c r="K3795" i="9"/>
  <c r="L3350" i="9"/>
  <c r="K3430" i="9"/>
  <c r="L3430" i="9"/>
  <c r="L3433" i="9"/>
  <c r="L3444" i="9"/>
  <c r="L3452" i="9"/>
  <c r="K3493" i="9"/>
  <c r="K3504" i="9"/>
  <c r="K3513" i="9"/>
  <c r="K3533" i="9"/>
  <c r="L3553" i="9"/>
  <c r="K3553" i="9"/>
  <c r="L3565" i="9"/>
  <c r="K3565" i="9"/>
  <c r="K3577" i="9"/>
  <c r="L3583" i="9"/>
  <c r="K3583" i="9"/>
  <c r="K3590" i="9"/>
  <c r="L3590" i="9"/>
  <c r="L3613" i="9"/>
  <c r="K3613" i="9"/>
  <c r="K3618" i="9"/>
  <c r="L3618" i="9"/>
  <c r="L3623" i="9"/>
  <c r="K3623" i="9"/>
  <c r="L3656" i="9"/>
  <c r="K3656" i="9"/>
  <c r="L3688" i="9"/>
  <c r="K3688" i="9"/>
  <c r="L3708" i="9"/>
  <c r="K3708" i="9"/>
  <c r="L3726" i="9"/>
  <c r="K3726" i="9"/>
  <c r="K3759" i="9"/>
  <c r="L3759" i="9"/>
  <c r="L3476" i="9"/>
  <c r="L3492" i="9"/>
  <c r="K3496" i="9"/>
  <c r="K3512" i="9"/>
  <c r="L3532" i="9"/>
  <c r="L3548" i="9"/>
  <c r="K3555" i="9"/>
  <c r="L3558" i="9"/>
  <c r="K3560" i="9"/>
  <c r="L3594" i="9"/>
  <c r="L3602" i="9"/>
  <c r="L3610" i="9"/>
  <c r="K3615" i="9"/>
  <c r="K3631" i="9"/>
  <c r="K3639" i="9"/>
  <c r="K3654" i="9"/>
  <c r="L3663" i="9"/>
  <c r="L3671" i="9"/>
  <c r="K3691" i="9"/>
  <c r="L3695" i="9"/>
  <c r="K3731" i="9"/>
  <c r="L3735" i="9"/>
  <c r="K3740" i="9"/>
  <c r="K3742" i="9"/>
  <c r="K3744" i="9"/>
  <c r="L3751" i="9"/>
  <c r="K3764" i="9"/>
  <c r="K3766" i="9"/>
  <c r="K3768" i="9"/>
  <c r="L3775" i="9"/>
  <c r="K3780" i="9"/>
  <c r="K3782" i="9"/>
  <c r="K3784" i="9"/>
  <c r="L3791" i="9"/>
  <c r="L3807" i="9"/>
  <c r="L113" i="9"/>
  <c r="K113" i="9"/>
  <c r="K124" i="9"/>
  <c r="L124" i="9"/>
  <c r="K284" i="9"/>
  <c r="L284" i="9"/>
  <c r="L305" i="9"/>
  <c r="K305" i="9"/>
  <c r="L337" i="9"/>
  <c r="K337" i="9"/>
  <c r="L417" i="9"/>
  <c r="K417" i="9"/>
  <c r="L441" i="9"/>
  <c r="K441" i="9"/>
  <c r="L465" i="9"/>
  <c r="K465" i="9"/>
  <c r="L521" i="9"/>
  <c r="K521" i="9"/>
  <c r="L529" i="9"/>
  <c r="K529" i="9"/>
  <c r="L569" i="9"/>
  <c r="K569" i="9"/>
  <c r="L593" i="9"/>
  <c r="K593" i="9"/>
  <c r="L601" i="9"/>
  <c r="K601" i="9"/>
  <c r="L633" i="9"/>
  <c r="K633" i="9"/>
  <c r="L649" i="9"/>
  <c r="K649" i="9"/>
  <c r="L665" i="9"/>
  <c r="K665" i="9"/>
  <c r="L689" i="9"/>
  <c r="K689" i="9"/>
  <c r="L697" i="9"/>
  <c r="K697" i="9"/>
  <c r="L705" i="9"/>
  <c r="K705" i="9"/>
  <c r="L713" i="9"/>
  <c r="K713" i="9"/>
  <c r="L721" i="9"/>
  <c r="K721" i="9"/>
  <c r="L729" i="9"/>
  <c r="K729" i="9"/>
  <c r="L737" i="9"/>
  <c r="K737" i="9"/>
  <c r="L745" i="9"/>
  <c r="K745" i="9"/>
  <c r="L753" i="9"/>
  <c r="K753" i="9"/>
  <c r="L761" i="9"/>
  <c r="K761" i="9"/>
  <c r="L812" i="9"/>
  <c r="K812" i="9"/>
  <c r="L825" i="9"/>
  <c r="K825" i="9"/>
  <c r="L876" i="9"/>
  <c r="K876" i="9"/>
  <c r="L889" i="9"/>
  <c r="K889" i="9"/>
  <c r="L893" i="9"/>
  <c r="K893" i="9"/>
  <c r="L897" i="9"/>
  <c r="K897" i="9"/>
  <c r="L901" i="9"/>
  <c r="K901" i="9"/>
  <c r="L905" i="9"/>
  <c r="K905" i="9"/>
  <c r="L909" i="9"/>
  <c r="K909" i="9"/>
  <c r="L913" i="9"/>
  <c r="K913" i="9"/>
  <c r="L917" i="9"/>
  <c r="K917" i="9"/>
  <c r="L921" i="9"/>
  <c r="K921" i="9"/>
  <c r="L925" i="9"/>
  <c r="K925" i="9"/>
  <c r="L929" i="9"/>
  <c r="K929" i="9"/>
  <c r="L933" i="9"/>
  <c r="K933" i="9"/>
  <c r="L937" i="9"/>
  <c r="K937" i="9"/>
  <c r="L941" i="9"/>
  <c r="K941" i="9"/>
  <c r="L945" i="9"/>
  <c r="K945" i="9"/>
  <c r="L949" i="9"/>
  <c r="K949" i="9"/>
  <c r="L953" i="9"/>
  <c r="K953" i="9"/>
  <c r="L957" i="9"/>
  <c r="K957" i="9"/>
  <c r="L961" i="9"/>
  <c r="K961" i="9"/>
  <c r="L965" i="9"/>
  <c r="K965" i="9"/>
  <c r="L969" i="9"/>
  <c r="K969" i="9"/>
  <c r="L973" i="9"/>
  <c r="K973" i="9"/>
  <c r="L977" i="9"/>
  <c r="K977" i="9"/>
  <c r="L981" i="9"/>
  <c r="K981" i="9"/>
  <c r="L985" i="9"/>
  <c r="K985" i="9"/>
  <c r="L989" i="9"/>
  <c r="K989" i="9"/>
  <c r="L993" i="9"/>
  <c r="K993" i="9"/>
  <c r="L997" i="9"/>
  <c r="K997" i="9"/>
  <c r="L1001" i="9"/>
  <c r="K1001" i="9"/>
  <c r="L1007" i="9"/>
  <c r="K1007" i="9"/>
  <c r="L1015" i="9"/>
  <c r="K1015" i="9"/>
  <c r="L1023" i="9"/>
  <c r="K1023" i="9"/>
  <c r="L1031" i="9"/>
  <c r="K1031" i="9"/>
  <c r="L1039" i="9"/>
  <c r="K1039" i="9"/>
  <c r="L1047" i="9"/>
  <c r="K1047" i="9"/>
  <c r="L1055" i="9"/>
  <c r="K1055" i="9"/>
  <c r="L1063" i="9"/>
  <c r="K1063" i="9"/>
  <c r="L1071" i="9"/>
  <c r="K1071" i="9"/>
  <c r="L1079" i="9"/>
  <c r="K1079" i="9"/>
  <c r="L1087" i="9"/>
  <c r="K1087" i="9"/>
  <c r="L1095" i="9"/>
  <c r="K1095" i="9"/>
  <c r="L1103" i="9"/>
  <c r="K1103" i="9"/>
  <c r="L1111" i="9"/>
  <c r="K1111" i="9"/>
  <c r="L1119" i="9"/>
  <c r="K1119" i="9"/>
  <c r="L1127" i="9"/>
  <c r="K1127" i="9"/>
  <c r="L1135" i="9"/>
  <c r="K1135" i="9"/>
  <c r="L1143" i="9"/>
  <c r="K1143" i="9"/>
  <c r="L1151" i="9"/>
  <c r="K1151" i="9"/>
  <c r="L1159" i="9"/>
  <c r="K1159" i="9"/>
  <c r="L1167" i="9"/>
  <c r="K1167" i="9"/>
  <c r="L1175" i="9"/>
  <c r="K1175" i="9"/>
  <c r="L1183" i="9"/>
  <c r="K1183" i="9"/>
  <c r="L1191" i="9"/>
  <c r="K1191" i="9"/>
  <c r="L1199" i="9"/>
  <c r="K1199" i="9"/>
  <c r="L1207" i="9"/>
  <c r="K1207" i="9"/>
  <c r="L1215" i="9"/>
  <c r="K1215" i="9"/>
  <c r="L1223" i="9"/>
  <c r="K1223" i="9"/>
  <c r="L1231" i="9"/>
  <c r="K1231" i="9"/>
  <c r="L1239" i="9"/>
  <c r="K1239" i="9"/>
  <c r="L1247" i="9"/>
  <c r="K1247" i="9"/>
  <c r="L1255" i="9"/>
  <c r="K1255" i="9"/>
  <c r="L1263" i="9"/>
  <c r="K1263" i="9"/>
  <c r="L1271" i="9"/>
  <c r="K1271" i="9"/>
  <c r="L1279" i="9"/>
  <c r="K1279" i="9"/>
  <c r="L1287" i="9"/>
  <c r="K1287" i="9"/>
  <c r="L1295" i="9"/>
  <c r="K1295" i="9"/>
  <c r="L1303" i="9"/>
  <c r="K1303" i="9"/>
  <c r="L1311" i="9"/>
  <c r="K1311" i="9"/>
  <c r="L1319" i="9"/>
  <c r="K1319" i="9"/>
  <c r="L1327" i="9"/>
  <c r="K1327" i="9"/>
  <c r="L1335" i="9"/>
  <c r="K1335" i="9"/>
  <c r="L1343" i="9"/>
  <c r="K1343" i="9"/>
  <c r="L1351" i="9"/>
  <c r="K1351" i="9"/>
  <c r="L1359" i="9"/>
  <c r="K1359" i="9"/>
  <c r="L1367" i="9"/>
  <c r="K1367" i="9"/>
  <c r="L1375" i="9"/>
  <c r="K1375" i="9"/>
  <c r="K4" i="9"/>
  <c r="L4" i="9"/>
  <c r="L6" i="9"/>
  <c r="K10" i="9"/>
  <c r="K21" i="9"/>
  <c r="L25" i="9"/>
  <c r="K25" i="9"/>
  <c r="L32" i="9"/>
  <c r="K36" i="9"/>
  <c r="L36" i="9"/>
  <c r="L38" i="9"/>
  <c r="K42" i="9"/>
  <c r="K53" i="9"/>
  <c r="L57" i="9"/>
  <c r="K57" i="9"/>
  <c r="L64" i="9"/>
  <c r="K68" i="9"/>
  <c r="L68" i="9"/>
  <c r="L70" i="9"/>
  <c r="K74" i="9"/>
  <c r="K85" i="9"/>
  <c r="L89" i="9"/>
  <c r="K89" i="9"/>
  <c r="L96" i="9"/>
  <c r="K100" i="9"/>
  <c r="L100" i="9"/>
  <c r="L102" i="9"/>
  <c r="K106" i="9"/>
  <c r="K117" i="9"/>
  <c r="L121" i="9"/>
  <c r="K121" i="9"/>
  <c r="L128" i="9"/>
  <c r="K132" i="9"/>
  <c r="L132" i="9"/>
  <c r="L134" i="9"/>
  <c r="K138" i="9"/>
  <c r="K149" i="9"/>
  <c r="L153" i="9"/>
  <c r="K153" i="9"/>
  <c r="L160" i="9"/>
  <c r="K164" i="9"/>
  <c r="L164" i="9"/>
  <c r="L166" i="9"/>
  <c r="K170" i="9"/>
  <c r="K181" i="9"/>
  <c r="L185" i="9"/>
  <c r="K185" i="9"/>
  <c r="L192" i="9"/>
  <c r="K196" i="9"/>
  <c r="L196" i="9"/>
  <c r="L198" i="9"/>
  <c r="K202" i="9"/>
  <c r="K213" i="9"/>
  <c r="L217" i="9"/>
  <c r="K217" i="9"/>
  <c r="L224" i="9"/>
  <c r="K228" i="9"/>
  <c r="L228" i="9"/>
  <c r="L230" i="9"/>
  <c r="K234" i="9"/>
  <c r="K245" i="9"/>
  <c r="L249" i="9"/>
  <c r="K249" i="9"/>
  <c r="L256" i="9"/>
  <c r="K260" i="9"/>
  <c r="L260" i="9"/>
  <c r="L262" i="9"/>
  <c r="K266" i="9"/>
  <c r="K277" i="9"/>
  <c r="L281" i="9"/>
  <c r="K281" i="9"/>
  <c r="L288" i="9"/>
  <c r="K292" i="9"/>
  <c r="L292" i="9"/>
  <c r="L294" i="9"/>
  <c r="K298" i="9"/>
  <c r="K309" i="9"/>
  <c r="L313" i="9"/>
  <c r="K313" i="9"/>
  <c r="L320" i="9"/>
  <c r="K324" i="9"/>
  <c r="L324" i="9"/>
  <c r="L326" i="9"/>
  <c r="K330" i="9"/>
  <c r="K341" i="9"/>
  <c r="L345" i="9"/>
  <c r="K345" i="9"/>
  <c r="L352" i="9"/>
  <c r="K356" i="9"/>
  <c r="L356" i="9"/>
  <c r="L358" i="9"/>
  <c r="K362" i="9"/>
  <c r="K373" i="9"/>
  <c r="L377" i="9"/>
  <c r="K377" i="9"/>
  <c r="L384" i="9"/>
  <c r="K388" i="9"/>
  <c r="L388" i="9"/>
  <c r="L390" i="9"/>
  <c r="K394" i="9"/>
  <c r="L796" i="9"/>
  <c r="K796" i="9"/>
  <c r="L809" i="9"/>
  <c r="K809" i="9"/>
  <c r="L860" i="9"/>
  <c r="K860" i="9"/>
  <c r="L873" i="9"/>
  <c r="K873" i="9"/>
  <c r="L49" i="9"/>
  <c r="K49" i="9"/>
  <c r="K60" i="9"/>
  <c r="L60" i="9"/>
  <c r="L81" i="9"/>
  <c r="K81" i="9"/>
  <c r="K92" i="9"/>
  <c r="L92" i="9"/>
  <c r="L145" i="9"/>
  <c r="K145" i="9"/>
  <c r="K156" i="9"/>
  <c r="L156" i="9"/>
  <c r="L177" i="9"/>
  <c r="K177" i="9"/>
  <c r="K188" i="9"/>
  <c r="L188" i="9"/>
  <c r="L209" i="9"/>
  <c r="K209" i="9"/>
  <c r="K220" i="9"/>
  <c r="L220" i="9"/>
  <c r="L241" i="9"/>
  <c r="K241" i="9"/>
  <c r="K252" i="9"/>
  <c r="L252" i="9"/>
  <c r="K316" i="9"/>
  <c r="L316" i="9"/>
  <c r="K348" i="9"/>
  <c r="L348" i="9"/>
  <c r="K380" i="9"/>
  <c r="L380" i="9"/>
  <c r="L489" i="9"/>
  <c r="K489" i="9"/>
  <c r="L513" i="9"/>
  <c r="K513" i="9"/>
  <c r="L537" i="9"/>
  <c r="K537" i="9"/>
  <c r="L561" i="9"/>
  <c r="K561" i="9"/>
  <c r="L585" i="9"/>
  <c r="K585" i="9"/>
  <c r="L609" i="9"/>
  <c r="K609" i="9"/>
  <c r="L617" i="9"/>
  <c r="K617" i="9"/>
  <c r="L625" i="9"/>
  <c r="K625" i="9"/>
  <c r="L641" i="9"/>
  <c r="K641" i="9"/>
  <c r="L657" i="9"/>
  <c r="K657" i="9"/>
  <c r="L673" i="9"/>
  <c r="K673" i="9"/>
  <c r="L681" i="9"/>
  <c r="K681" i="9"/>
  <c r="K12" i="9"/>
  <c r="L12" i="9"/>
  <c r="L33" i="9"/>
  <c r="K33" i="9"/>
  <c r="K44" i="9"/>
  <c r="L44" i="9"/>
  <c r="L65" i="9"/>
  <c r="K65" i="9"/>
  <c r="K76" i="9"/>
  <c r="L76" i="9"/>
  <c r="L97" i="9"/>
  <c r="K97" i="9"/>
  <c r="K108" i="9"/>
  <c r="L108" i="9"/>
  <c r="L129" i="9"/>
  <c r="K129" i="9"/>
  <c r="K140" i="9"/>
  <c r="L140" i="9"/>
  <c r="L161" i="9"/>
  <c r="K161" i="9"/>
  <c r="K172" i="9"/>
  <c r="L172" i="9"/>
  <c r="L193" i="9"/>
  <c r="K193" i="9"/>
  <c r="K204" i="9"/>
  <c r="L204" i="9"/>
  <c r="L225" i="9"/>
  <c r="K225" i="9"/>
  <c r="K236" i="9"/>
  <c r="L236" i="9"/>
  <c r="L257" i="9"/>
  <c r="K257" i="9"/>
  <c r="K268" i="9"/>
  <c r="L268" i="9"/>
  <c r="L289" i="9"/>
  <c r="K289" i="9"/>
  <c r="K300" i="9"/>
  <c r="L300" i="9"/>
  <c r="L321" i="9"/>
  <c r="K321" i="9"/>
  <c r="K332" i="9"/>
  <c r="L332" i="9"/>
  <c r="L353" i="9"/>
  <c r="K353" i="9"/>
  <c r="K364" i="9"/>
  <c r="L364" i="9"/>
  <c r="L385" i="9"/>
  <c r="K385" i="9"/>
  <c r="K396" i="9"/>
  <c r="L396" i="9"/>
  <c r="L406" i="9"/>
  <c r="K406" i="9"/>
  <c r="L414" i="9"/>
  <c r="K414" i="9"/>
  <c r="L422" i="9"/>
  <c r="K422" i="9"/>
  <c r="L430" i="9"/>
  <c r="K430" i="9"/>
  <c r="L438" i="9"/>
  <c r="K438" i="9"/>
  <c r="L446" i="9"/>
  <c r="K446" i="9"/>
  <c r="L454" i="9"/>
  <c r="K454" i="9"/>
  <c r="L462" i="9"/>
  <c r="K462" i="9"/>
  <c r="L470" i="9"/>
  <c r="K470" i="9"/>
  <c r="L478" i="9"/>
  <c r="K478" i="9"/>
  <c r="L486" i="9"/>
  <c r="K486" i="9"/>
  <c r="L494" i="9"/>
  <c r="K494" i="9"/>
  <c r="L502" i="9"/>
  <c r="K502" i="9"/>
  <c r="L510" i="9"/>
  <c r="K510" i="9"/>
  <c r="L518" i="9"/>
  <c r="K518" i="9"/>
  <c r="L526" i="9"/>
  <c r="K526" i="9"/>
  <c r="L534" i="9"/>
  <c r="K534" i="9"/>
  <c r="L542" i="9"/>
  <c r="K542" i="9"/>
  <c r="L550" i="9"/>
  <c r="K550" i="9"/>
  <c r="L558" i="9"/>
  <c r="K558" i="9"/>
  <c r="L566" i="9"/>
  <c r="K566" i="9"/>
  <c r="L574" i="9"/>
  <c r="K574" i="9"/>
  <c r="L582" i="9"/>
  <c r="K582" i="9"/>
  <c r="L590" i="9"/>
  <c r="K590" i="9"/>
  <c r="L598" i="9"/>
  <c r="K598" i="9"/>
  <c r="L606" i="9"/>
  <c r="K606" i="9"/>
  <c r="L614" i="9"/>
  <c r="K614" i="9"/>
  <c r="L622" i="9"/>
  <c r="K622" i="9"/>
  <c r="L630" i="9"/>
  <c r="K630" i="9"/>
  <c r="L638" i="9"/>
  <c r="K638" i="9"/>
  <c r="L646" i="9"/>
  <c r="K646" i="9"/>
  <c r="L654" i="9"/>
  <c r="K654" i="9"/>
  <c r="L662" i="9"/>
  <c r="K662" i="9"/>
  <c r="L670" i="9"/>
  <c r="K670" i="9"/>
  <c r="L678" i="9"/>
  <c r="K678" i="9"/>
  <c r="L686" i="9"/>
  <c r="K686" i="9"/>
  <c r="L694" i="9"/>
  <c r="K694" i="9"/>
  <c r="L702" i="9"/>
  <c r="K702" i="9"/>
  <c r="L710" i="9"/>
  <c r="K710" i="9"/>
  <c r="L718" i="9"/>
  <c r="K718" i="9"/>
  <c r="L726" i="9"/>
  <c r="K726" i="9"/>
  <c r="L734" i="9"/>
  <c r="K734" i="9"/>
  <c r="L742" i="9"/>
  <c r="K742" i="9"/>
  <c r="L750" i="9"/>
  <c r="K750" i="9"/>
  <c r="L758" i="9"/>
  <c r="K758" i="9"/>
  <c r="L780" i="9"/>
  <c r="K780" i="9"/>
  <c r="L793" i="9"/>
  <c r="K793" i="9"/>
  <c r="L844" i="9"/>
  <c r="K844" i="9"/>
  <c r="L857" i="9"/>
  <c r="K857" i="9"/>
  <c r="L17" i="9"/>
  <c r="K17" i="9"/>
  <c r="K28" i="9"/>
  <c r="L28" i="9"/>
  <c r="L273" i="9"/>
  <c r="K273" i="9"/>
  <c r="L369" i="9"/>
  <c r="K369" i="9"/>
  <c r="L401" i="9"/>
  <c r="K401" i="9"/>
  <c r="L409" i="9"/>
  <c r="K409" i="9"/>
  <c r="L425" i="9"/>
  <c r="K425" i="9"/>
  <c r="L433" i="9"/>
  <c r="K433" i="9"/>
  <c r="L449" i="9"/>
  <c r="K449" i="9"/>
  <c r="L457" i="9"/>
  <c r="K457" i="9"/>
  <c r="L473" i="9"/>
  <c r="K473" i="9"/>
  <c r="L481" i="9"/>
  <c r="K481" i="9"/>
  <c r="L497" i="9"/>
  <c r="K497" i="9"/>
  <c r="L505" i="9"/>
  <c r="K505" i="9"/>
  <c r="L545" i="9"/>
  <c r="K545" i="9"/>
  <c r="L553" i="9"/>
  <c r="K553" i="9"/>
  <c r="L577" i="9"/>
  <c r="K577" i="9"/>
  <c r="L9" i="9"/>
  <c r="K9" i="9"/>
  <c r="K20" i="9"/>
  <c r="L20" i="9"/>
  <c r="L41" i="9"/>
  <c r="K41" i="9"/>
  <c r="K52" i="9"/>
  <c r="L52" i="9"/>
  <c r="L73" i="9"/>
  <c r="K73" i="9"/>
  <c r="K84" i="9"/>
  <c r="L84" i="9"/>
  <c r="L105" i="9"/>
  <c r="K105" i="9"/>
  <c r="K116" i="9"/>
  <c r="L116" i="9"/>
  <c r="L137" i="9"/>
  <c r="K137" i="9"/>
  <c r="K148" i="9"/>
  <c r="L148" i="9"/>
  <c r="L169" i="9"/>
  <c r="K169" i="9"/>
  <c r="K180" i="9"/>
  <c r="L180" i="9"/>
  <c r="L201" i="9"/>
  <c r="K201" i="9"/>
  <c r="K212" i="9"/>
  <c r="L212" i="9"/>
  <c r="L233" i="9"/>
  <c r="K233" i="9"/>
  <c r="K244" i="9"/>
  <c r="L244" i="9"/>
  <c r="L265" i="9"/>
  <c r="K265" i="9"/>
  <c r="K276" i="9"/>
  <c r="L276" i="9"/>
  <c r="L297" i="9"/>
  <c r="K297" i="9"/>
  <c r="K308" i="9"/>
  <c r="L308" i="9"/>
  <c r="L329" i="9"/>
  <c r="K329" i="9"/>
  <c r="K340" i="9"/>
  <c r="L340" i="9"/>
  <c r="L361" i="9"/>
  <c r="K361" i="9"/>
  <c r="K372" i="9"/>
  <c r="L372" i="9"/>
  <c r="L393" i="9"/>
  <c r="K393" i="9"/>
  <c r="K404" i="9"/>
  <c r="L404" i="9"/>
  <c r="K412" i="9"/>
  <c r="L412" i="9"/>
  <c r="K420" i="9"/>
  <c r="L420" i="9"/>
  <c r="K428" i="9"/>
  <c r="L428" i="9"/>
  <c r="K436" i="9"/>
  <c r="L436" i="9"/>
  <c r="K444" i="9"/>
  <c r="L444" i="9"/>
  <c r="K452" i="9"/>
  <c r="L452" i="9"/>
  <c r="K460" i="9"/>
  <c r="L460" i="9"/>
  <c r="K468" i="9"/>
  <c r="L468" i="9"/>
  <c r="K476" i="9"/>
  <c r="L476" i="9"/>
  <c r="K484" i="9"/>
  <c r="L484" i="9"/>
  <c r="K492" i="9"/>
  <c r="L492" i="9"/>
  <c r="K500" i="9"/>
  <c r="L500" i="9"/>
  <c r="K508" i="9"/>
  <c r="L508" i="9"/>
  <c r="K516" i="9"/>
  <c r="L516" i="9"/>
  <c r="K524" i="9"/>
  <c r="L524" i="9"/>
  <c r="K532" i="9"/>
  <c r="L532" i="9"/>
  <c r="K540" i="9"/>
  <c r="L540" i="9"/>
  <c r="K548" i="9"/>
  <c r="L548" i="9"/>
  <c r="K556" i="9"/>
  <c r="L556" i="9"/>
  <c r="K564" i="9"/>
  <c r="L564" i="9"/>
  <c r="K572" i="9"/>
  <c r="L572" i="9"/>
  <c r="K580" i="9"/>
  <c r="L580" i="9"/>
  <c r="K588" i="9"/>
  <c r="L588" i="9"/>
  <c r="K596" i="9"/>
  <c r="L596" i="9"/>
  <c r="K604" i="9"/>
  <c r="L604" i="9"/>
  <c r="K612" i="9"/>
  <c r="L612" i="9"/>
  <c r="K620" i="9"/>
  <c r="L620" i="9"/>
  <c r="K628" i="9"/>
  <c r="L628" i="9"/>
  <c r="K636" i="9"/>
  <c r="L636" i="9"/>
  <c r="K644" i="9"/>
  <c r="L644" i="9"/>
  <c r="K652" i="9"/>
  <c r="L652" i="9"/>
  <c r="K660" i="9"/>
  <c r="L660" i="9"/>
  <c r="K668" i="9"/>
  <c r="L668" i="9"/>
  <c r="K676" i="9"/>
  <c r="L676" i="9"/>
  <c r="K684" i="9"/>
  <c r="L684" i="9"/>
  <c r="K692" i="9"/>
  <c r="L692" i="9"/>
  <c r="K700" i="9"/>
  <c r="L700" i="9"/>
  <c r="K708" i="9"/>
  <c r="L708" i="9"/>
  <c r="K716" i="9"/>
  <c r="L716" i="9"/>
  <c r="K724" i="9"/>
  <c r="L724" i="9"/>
  <c r="K732" i="9"/>
  <c r="L732" i="9"/>
  <c r="K740" i="9"/>
  <c r="L740" i="9"/>
  <c r="K748" i="9"/>
  <c r="L748" i="9"/>
  <c r="K756" i="9"/>
  <c r="L756" i="9"/>
  <c r="L764" i="9"/>
  <c r="K764" i="9"/>
  <c r="L777" i="9"/>
  <c r="K777" i="9"/>
  <c r="L828" i="9"/>
  <c r="K828" i="9"/>
  <c r="L841" i="9"/>
  <c r="K841" i="9"/>
  <c r="L1615" i="9"/>
  <c r="K1615" i="9"/>
  <c r="L1623" i="9"/>
  <c r="K1623" i="9"/>
  <c r="L1639" i="9"/>
  <c r="K1639" i="9"/>
  <c r="L1655" i="9"/>
  <c r="K1655" i="9"/>
  <c r="L1671" i="9"/>
  <c r="K1671" i="9"/>
  <c r="L1687" i="9"/>
  <c r="K1687" i="9"/>
  <c r="L1703" i="9"/>
  <c r="K1703" i="9"/>
  <c r="L1383" i="9"/>
  <c r="K1383" i="9"/>
  <c r="L1391" i="9"/>
  <c r="K1391" i="9"/>
  <c r="L1399" i="9"/>
  <c r="K1399" i="9"/>
  <c r="L1407" i="9"/>
  <c r="K1407" i="9"/>
  <c r="L1415" i="9"/>
  <c r="K1415" i="9"/>
  <c r="L1423" i="9"/>
  <c r="K1423" i="9"/>
  <c r="L1431" i="9"/>
  <c r="K1431" i="9"/>
  <c r="L1439" i="9"/>
  <c r="K1439" i="9"/>
  <c r="L1447" i="9"/>
  <c r="K1447" i="9"/>
  <c r="L1455" i="9"/>
  <c r="K1455" i="9"/>
  <c r="L1463" i="9"/>
  <c r="K1463" i="9"/>
  <c r="L1471" i="9"/>
  <c r="K1471" i="9"/>
  <c r="L1479" i="9"/>
  <c r="K1479" i="9"/>
  <c r="L1487" i="9"/>
  <c r="K1487" i="9"/>
  <c r="L1495" i="9"/>
  <c r="K1495" i="9"/>
  <c r="L1503" i="9"/>
  <c r="K1503" i="9"/>
  <c r="L1511" i="9"/>
  <c r="K1511" i="9"/>
  <c r="L1519" i="9"/>
  <c r="K1519" i="9"/>
  <c r="L1527" i="9"/>
  <c r="K1527" i="9"/>
  <c r="L1535" i="9"/>
  <c r="K1535" i="9"/>
  <c r="L1543" i="9"/>
  <c r="K1543" i="9"/>
  <c r="L1551" i="9"/>
  <c r="K1551" i="9"/>
  <c r="L1559" i="9"/>
  <c r="K1559" i="9"/>
  <c r="L1567" i="9"/>
  <c r="K1567" i="9"/>
  <c r="L1575" i="9"/>
  <c r="K1575" i="9"/>
  <c r="L1583" i="9"/>
  <c r="K1583" i="9"/>
  <c r="L1591" i="9"/>
  <c r="K1591" i="9"/>
  <c r="L1599" i="9"/>
  <c r="K1599" i="9"/>
  <c r="L1607" i="9"/>
  <c r="K1607" i="9"/>
  <c r="L1631" i="9"/>
  <c r="K1631" i="9"/>
  <c r="L1647" i="9"/>
  <c r="K1647" i="9"/>
  <c r="L1663" i="9"/>
  <c r="K1663" i="9"/>
  <c r="L1679" i="9"/>
  <c r="K1679" i="9"/>
  <c r="L1695" i="9"/>
  <c r="K1695" i="9"/>
  <c r="L1711" i="9"/>
  <c r="K1711" i="9"/>
  <c r="L1719" i="9"/>
  <c r="K1719" i="9"/>
  <c r="L1727" i="9"/>
  <c r="K1727" i="9"/>
  <c r="L1735" i="9"/>
  <c r="K1735" i="9"/>
  <c r="L1743" i="9"/>
  <c r="K1743" i="9"/>
  <c r="L1751" i="9"/>
  <c r="K1751" i="9"/>
  <c r="L1759" i="9"/>
  <c r="K1759" i="9"/>
  <c r="L1767" i="9"/>
  <c r="K1767" i="9"/>
  <c r="L1775" i="9"/>
  <c r="K1775" i="9"/>
  <c r="L1783" i="9"/>
  <c r="K1783" i="9"/>
  <c r="L1791" i="9"/>
  <c r="K1791" i="9"/>
  <c r="L1799" i="9"/>
  <c r="K1799" i="9"/>
  <c r="L1807" i="9"/>
  <c r="K1807" i="9"/>
  <c r="L1815" i="9"/>
  <c r="K1815" i="9"/>
  <c r="L1823" i="9"/>
  <c r="K1823" i="9"/>
  <c r="L1831" i="9"/>
  <c r="K1831" i="9"/>
  <c r="L1839" i="9"/>
  <c r="K1839" i="9"/>
  <c r="L1847" i="9"/>
  <c r="K1847" i="9"/>
  <c r="L1855" i="9"/>
  <c r="K1855" i="9"/>
  <c r="L1863" i="9"/>
  <c r="K1863" i="9"/>
  <c r="L1871" i="9"/>
  <c r="K1871" i="9"/>
  <c r="L1879" i="9"/>
  <c r="K1879" i="9"/>
  <c r="L1887" i="9"/>
  <c r="K1887" i="9"/>
  <c r="L1895" i="9"/>
  <c r="K1895" i="9"/>
  <c r="L1903" i="9"/>
  <c r="K1903" i="9"/>
  <c r="L1911" i="9"/>
  <c r="K1911" i="9"/>
  <c r="L1919" i="9"/>
  <c r="K1919" i="9"/>
  <c r="L1927" i="9"/>
  <c r="K1927" i="9"/>
  <c r="L1935" i="9"/>
  <c r="K1935" i="9"/>
  <c r="L1943" i="9"/>
  <c r="K1943" i="9"/>
  <c r="L1951" i="9"/>
  <c r="K1951" i="9"/>
  <c r="L1959" i="9"/>
  <c r="K1959" i="9"/>
  <c r="L1967" i="9"/>
  <c r="K1967" i="9"/>
  <c r="L1975" i="9"/>
  <c r="K1975" i="9"/>
  <c r="L1983" i="9"/>
  <c r="K1983" i="9"/>
  <c r="L1991" i="9"/>
  <c r="K1991" i="9"/>
  <c r="L1999" i="9"/>
  <c r="K1999" i="9"/>
  <c r="L2007" i="9"/>
  <c r="K2007" i="9"/>
  <c r="L2015" i="9"/>
  <c r="K2015" i="9"/>
  <c r="L2023" i="9"/>
  <c r="K2023" i="9"/>
  <c r="L2031" i="9"/>
  <c r="K2031" i="9"/>
  <c r="L2039" i="9"/>
  <c r="K2039" i="9"/>
  <c r="L2047" i="9"/>
  <c r="K2047" i="9"/>
  <c r="L2055" i="9"/>
  <c r="K2055" i="9"/>
  <c r="L2063" i="9"/>
  <c r="K2063" i="9"/>
  <c r="L2071" i="9"/>
  <c r="K2071" i="9"/>
  <c r="L2079" i="9"/>
  <c r="K2079" i="9"/>
  <c r="L2087" i="9"/>
  <c r="K2087" i="9"/>
  <c r="L2095" i="9"/>
  <c r="K2095" i="9"/>
  <c r="L2103" i="9"/>
  <c r="K2103" i="9"/>
  <c r="L2111" i="9"/>
  <c r="K2111" i="9"/>
  <c r="L2119" i="9"/>
  <c r="K2119" i="9"/>
  <c r="L2127" i="9"/>
  <c r="K2127" i="9"/>
  <c r="L2135" i="9"/>
  <c r="K2135" i="9"/>
  <c r="L2143" i="9"/>
  <c r="K2143" i="9"/>
  <c r="L2151" i="9"/>
  <c r="K2151" i="9"/>
  <c r="L2159" i="9"/>
  <c r="K2159" i="9"/>
  <c r="L2167" i="9"/>
  <c r="K2167" i="9"/>
  <c r="L2175" i="9"/>
  <c r="K2175" i="9"/>
  <c r="L2183" i="9"/>
  <c r="K2183" i="9"/>
  <c r="L2191" i="9"/>
  <c r="K2191" i="9"/>
  <c r="L2199" i="9"/>
  <c r="K2199" i="9"/>
  <c r="L2207" i="9"/>
  <c r="K2207" i="9"/>
  <c r="L2215" i="9"/>
  <c r="K2215" i="9"/>
  <c r="L2223" i="9"/>
  <c r="K2223" i="9"/>
  <c r="L2231" i="9"/>
  <c r="K2231" i="9"/>
  <c r="L2239" i="9"/>
  <c r="K2239" i="9"/>
  <c r="L2247" i="9"/>
  <c r="K2247" i="9"/>
  <c r="L2255" i="9"/>
  <c r="K2255" i="9"/>
  <c r="L2263" i="9"/>
  <c r="K2263" i="9"/>
  <c r="L2271" i="9"/>
  <c r="K2271" i="9"/>
  <c r="K2297" i="9"/>
  <c r="L2297" i="9"/>
  <c r="L2340" i="9"/>
  <c r="K2340" i="9"/>
  <c r="K2393" i="9"/>
  <c r="L2393" i="9"/>
  <c r="K2509" i="9"/>
  <c r="L2509" i="9"/>
  <c r="L2624" i="9"/>
  <c r="K2624" i="9"/>
  <c r="K2629" i="9"/>
  <c r="L2629" i="9"/>
  <c r="K2635" i="9"/>
  <c r="L2635" i="9"/>
  <c r="K2639" i="9"/>
  <c r="L2639" i="9"/>
  <c r="K3051" i="9"/>
  <c r="L3051" i="9"/>
  <c r="L3074" i="9"/>
  <c r="K3074" i="9"/>
  <c r="L3138" i="9"/>
  <c r="K3138" i="9"/>
  <c r="L3202" i="9"/>
  <c r="K3202" i="9"/>
  <c r="K3306" i="9"/>
  <c r="L3306" i="9"/>
  <c r="K3324" i="9"/>
  <c r="L3324" i="9"/>
  <c r="L3531" i="9"/>
  <c r="K3531" i="9"/>
  <c r="K3542" i="9"/>
  <c r="L3542" i="9"/>
  <c r="K3638" i="9"/>
  <c r="L3638" i="9"/>
  <c r="L768" i="9"/>
  <c r="K768" i="9"/>
  <c r="L784" i="9"/>
  <c r="K784" i="9"/>
  <c r="L800" i="9"/>
  <c r="K800" i="9"/>
  <c r="L816" i="9"/>
  <c r="K816" i="9"/>
  <c r="L832" i="9"/>
  <c r="K832" i="9"/>
  <c r="L848" i="9"/>
  <c r="K848" i="9"/>
  <c r="L864" i="9"/>
  <c r="K864" i="9"/>
  <c r="L880" i="9"/>
  <c r="K880" i="9"/>
  <c r="K2291" i="9"/>
  <c r="L2291" i="9"/>
  <c r="K2319" i="9"/>
  <c r="L2319" i="9"/>
  <c r="K2327" i="9"/>
  <c r="L2327" i="9"/>
  <c r="K2331" i="9"/>
  <c r="L2331" i="9"/>
  <c r="L2336" i="9"/>
  <c r="K2336" i="9"/>
  <c r="K2387" i="9"/>
  <c r="L2387" i="9"/>
  <c r="K2451" i="9"/>
  <c r="L2451" i="9"/>
  <c r="L2456" i="9"/>
  <c r="K2456" i="9"/>
  <c r="K2463" i="9"/>
  <c r="L2463" i="9"/>
  <c r="L2468" i="9"/>
  <c r="K2468" i="9"/>
  <c r="K2473" i="9"/>
  <c r="L2473" i="9"/>
  <c r="K2581" i="9"/>
  <c r="L2581" i="9"/>
  <c r="K2587" i="9"/>
  <c r="L2587" i="9"/>
  <c r="K2591" i="9"/>
  <c r="L2591" i="9"/>
  <c r="L2596" i="9"/>
  <c r="K2596" i="9"/>
  <c r="K2601" i="9"/>
  <c r="L2601" i="9"/>
  <c r="L772" i="9"/>
  <c r="K772" i="9"/>
  <c r="L788" i="9"/>
  <c r="K788" i="9"/>
  <c r="L804" i="9"/>
  <c r="K804" i="9"/>
  <c r="L820" i="9"/>
  <c r="K820" i="9"/>
  <c r="L836" i="9"/>
  <c r="K836" i="9"/>
  <c r="L852" i="9"/>
  <c r="K852" i="9"/>
  <c r="L868" i="9"/>
  <c r="K868" i="9"/>
  <c r="L884" i="9"/>
  <c r="K884" i="9"/>
  <c r="L1004" i="9"/>
  <c r="K1004" i="9"/>
  <c r="L1012" i="9"/>
  <c r="K1012" i="9"/>
  <c r="L1020" i="9"/>
  <c r="K1020" i="9"/>
  <c r="L1028" i="9"/>
  <c r="K1028" i="9"/>
  <c r="L1036" i="9"/>
  <c r="K1036" i="9"/>
  <c r="L1044" i="9"/>
  <c r="K1044" i="9"/>
  <c r="L1052" i="9"/>
  <c r="K1052" i="9"/>
  <c r="L1060" i="9"/>
  <c r="K1060" i="9"/>
  <c r="L1068" i="9"/>
  <c r="K1068" i="9"/>
  <c r="L1076" i="9"/>
  <c r="K1076" i="9"/>
  <c r="L1084" i="9"/>
  <c r="K1084" i="9"/>
  <c r="L1092" i="9"/>
  <c r="K1092" i="9"/>
  <c r="L1100" i="9"/>
  <c r="K1100" i="9"/>
  <c r="L1108" i="9"/>
  <c r="K1108" i="9"/>
  <c r="L1116" i="9"/>
  <c r="K1116" i="9"/>
  <c r="L1124" i="9"/>
  <c r="K1124" i="9"/>
  <c r="L1132" i="9"/>
  <c r="K1132" i="9"/>
  <c r="L1140" i="9"/>
  <c r="K1140" i="9"/>
  <c r="L1148" i="9"/>
  <c r="K1148" i="9"/>
  <c r="L1156" i="9"/>
  <c r="K1156" i="9"/>
  <c r="L1164" i="9"/>
  <c r="K1164" i="9"/>
  <c r="L1172" i="9"/>
  <c r="K1172" i="9"/>
  <c r="L1180" i="9"/>
  <c r="K1180" i="9"/>
  <c r="L1188" i="9"/>
  <c r="K1188" i="9"/>
  <c r="L1196" i="9"/>
  <c r="K1196" i="9"/>
  <c r="L1204" i="9"/>
  <c r="K1204" i="9"/>
  <c r="L1212" i="9"/>
  <c r="K1212" i="9"/>
  <c r="L1220" i="9"/>
  <c r="K1220" i="9"/>
  <c r="L1228" i="9"/>
  <c r="K1228" i="9"/>
  <c r="L1236" i="9"/>
  <c r="K1236" i="9"/>
  <c r="L1244" i="9"/>
  <c r="K1244" i="9"/>
  <c r="L1252" i="9"/>
  <c r="K1252" i="9"/>
  <c r="L1260" i="9"/>
  <c r="K1260" i="9"/>
  <c r="L1268" i="9"/>
  <c r="K1268" i="9"/>
  <c r="L1276" i="9"/>
  <c r="K1276" i="9"/>
  <c r="L1284" i="9"/>
  <c r="K1284" i="9"/>
  <c r="L1292" i="9"/>
  <c r="K1292" i="9"/>
  <c r="L1300" i="9"/>
  <c r="K1300" i="9"/>
  <c r="L1308" i="9"/>
  <c r="K1308" i="9"/>
  <c r="L1316" i="9"/>
  <c r="K1316" i="9"/>
  <c r="L1324" i="9"/>
  <c r="K1324" i="9"/>
  <c r="L1332" i="9"/>
  <c r="K1332" i="9"/>
  <c r="L1340" i="9"/>
  <c r="K1340" i="9"/>
  <c r="L1348" i="9"/>
  <c r="K1348" i="9"/>
  <c r="L1356" i="9"/>
  <c r="K1356" i="9"/>
  <c r="L1364" i="9"/>
  <c r="K1364" i="9"/>
  <c r="L1372" i="9"/>
  <c r="K1372" i="9"/>
  <c r="L1380" i="9"/>
  <c r="K1380" i="9"/>
  <c r="L1388" i="9"/>
  <c r="K1388" i="9"/>
  <c r="L1396" i="9"/>
  <c r="K1396" i="9"/>
  <c r="L1404" i="9"/>
  <c r="K1404" i="9"/>
  <c r="L1412" i="9"/>
  <c r="K1412" i="9"/>
  <c r="L1420" i="9"/>
  <c r="K1420" i="9"/>
  <c r="L1428" i="9"/>
  <c r="K1428" i="9"/>
  <c r="L1436" i="9"/>
  <c r="K1436" i="9"/>
  <c r="L1444" i="9"/>
  <c r="K1444" i="9"/>
  <c r="L1452" i="9"/>
  <c r="K1452" i="9"/>
  <c r="L1460" i="9"/>
  <c r="K1460" i="9"/>
  <c r="L1468" i="9"/>
  <c r="K1468" i="9"/>
  <c r="L1476" i="9"/>
  <c r="K1476" i="9"/>
  <c r="L1484" i="9"/>
  <c r="K1484" i="9"/>
  <c r="L1492" i="9"/>
  <c r="K1492" i="9"/>
  <c r="L1500" i="9"/>
  <c r="K1500" i="9"/>
  <c r="L1508" i="9"/>
  <c r="K1508" i="9"/>
  <c r="L1516" i="9"/>
  <c r="K1516" i="9"/>
  <c r="L1524" i="9"/>
  <c r="K1524" i="9"/>
  <c r="L1532" i="9"/>
  <c r="K1532" i="9"/>
  <c r="L1540" i="9"/>
  <c r="K1540" i="9"/>
  <c r="L1548" i="9"/>
  <c r="K1548" i="9"/>
  <c r="L1556" i="9"/>
  <c r="K1556" i="9"/>
  <c r="L1564" i="9"/>
  <c r="K1564" i="9"/>
  <c r="L1572" i="9"/>
  <c r="K1572" i="9"/>
  <c r="L1580" i="9"/>
  <c r="K1580" i="9"/>
  <c r="L1588" i="9"/>
  <c r="K1588" i="9"/>
  <c r="L1596" i="9"/>
  <c r="K1596" i="9"/>
  <c r="L1604" i="9"/>
  <c r="K1604" i="9"/>
  <c r="L1612" i="9"/>
  <c r="K1612" i="9"/>
  <c r="L1620" i="9"/>
  <c r="K1620" i="9"/>
  <c r="L1628" i="9"/>
  <c r="K1628" i="9"/>
  <c r="L1636" i="9"/>
  <c r="K1636" i="9"/>
  <c r="L1644" i="9"/>
  <c r="K1644" i="9"/>
  <c r="L1652" i="9"/>
  <c r="K1652" i="9"/>
  <c r="L1660" i="9"/>
  <c r="K1660" i="9"/>
  <c r="L1668" i="9"/>
  <c r="K1668" i="9"/>
  <c r="L1676" i="9"/>
  <c r="K1676" i="9"/>
  <c r="L1684" i="9"/>
  <c r="K1684" i="9"/>
  <c r="L1692" i="9"/>
  <c r="K1692" i="9"/>
  <c r="L1700" i="9"/>
  <c r="K1700" i="9"/>
  <c r="L1708" i="9"/>
  <c r="K1708" i="9"/>
  <c r="L1716" i="9"/>
  <c r="K1716" i="9"/>
  <c r="L1724" i="9"/>
  <c r="K1724" i="9"/>
  <c r="L1732" i="9"/>
  <c r="K1732" i="9"/>
  <c r="L1740" i="9"/>
  <c r="K1740" i="9"/>
  <c r="L1748" i="9"/>
  <c r="K1748" i="9"/>
  <c r="L1756" i="9"/>
  <c r="K1756" i="9"/>
  <c r="L1764" i="9"/>
  <c r="K1764" i="9"/>
  <c r="L1772" i="9"/>
  <c r="K1772" i="9"/>
  <c r="L1780" i="9"/>
  <c r="K1780" i="9"/>
  <c r="L1788" i="9"/>
  <c r="K1788" i="9"/>
  <c r="L1796" i="9"/>
  <c r="K1796" i="9"/>
  <c r="L1804" i="9"/>
  <c r="K1804" i="9"/>
  <c r="L1812" i="9"/>
  <c r="K1812" i="9"/>
  <c r="L1820" i="9"/>
  <c r="K1820" i="9"/>
  <c r="L1828" i="9"/>
  <c r="K1828" i="9"/>
  <c r="L1836" i="9"/>
  <c r="K1836" i="9"/>
  <c r="L1844" i="9"/>
  <c r="K1844" i="9"/>
  <c r="L1852" i="9"/>
  <c r="K1852" i="9"/>
  <c r="L1860" i="9"/>
  <c r="K1860" i="9"/>
  <c r="L1868" i="9"/>
  <c r="K1868" i="9"/>
  <c r="L1876" i="9"/>
  <c r="K1876" i="9"/>
  <c r="L1884" i="9"/>
  <c r="K1884" i="9"/>
  <c r="L1892" i="9"/>
  <c r="K1892" i="9"/>
  <c r="L1900" i="9"/>
  <c r="K1900" i="9"/>
  <c r="L1908" i="9"/>
  <c r="K1908" i="9"/>
  <c r="L1916" i="9"/>
  <c r="K1916" i="9"/>
  <c r="L1924" i="9"/>
  <c r="K1924" i="9"/>
  <c r="L1932" i="9"/>
  <c r="K1932" i="9"/>
  <c r="L1940" i="9"/>
  <c r="K1940" i="9"/>
  <c r="L1948" i="9"/>
  <c r="K1948" i="9"/>
  <c r="L1956" i="9"/>
  <c r="K1956" i="9"/>
  <c r="L1964" i="9"/>
  <c r="K1964" i="9"/>
  <c r="L1972" i="9"/>
  <c r="K1972" i="9"/>
  <c r="L1980" i="9"/>
  <c r="K1980" i="9"/>
  <c r="L1988" i="9"/>
  <c r="K1988" i="9"/>
  <c r="L1996" i="9"/>
  <c r="K1996" i="9"/>
  <c r="L2004" i="9"/>
  <c r="K2004" i="9"/>
  <c r="L2012" i="9"/>
  <c r="K2012" i="9"/>
  <c r="L2020" i="9"/>
  <c r="K2020" i="9"/>
  <c r="L2028" i="9"/>
  <c r="K2028" i="9"/>
  <c r="L2036" i="9"/>
  <c r="K2036" i="9"/>
  <c r="L2044" i="9"/>
  <c r="K2044" i="9"/>
  <c r="L2052" i="9"/>
  <c r="K2052" i="9"/>
  <c r="L2060" i="9"/>
  <c r="K2060" i="9"/>
  <c r="L2068" i="9"/>
  <c r="K2068" i="9"/>
  <c r="L2076" i="9"/>
  <c r="K2076" i="9"/>
  <c r="L2084" i="9"/>
  <c r="K2084" i="9"/>
  <c r="L2092" i="9"/>
  <c r="K2092" i="9"/>
  <c r="L2100" i="9"/>
  <c r="K2100" i="9"/>
  <c r="L2108" i="9"/>
  <c r="K2108" i="9"/>
  <c r="L2116" i="9"/>
  <c r="K2116" i="9"/>
  <c r="L2124" i="9"/>
  <c r="K2124" i="9"/>
  <c r="L2132" i="9"/>
  <c r="K2132" i="9"/>
  <c r="L2140" i="9"/>
  <c r="K2140" i="9"/>
  <c r="L2148" i="9"/>
  <c r="K2148" i="9"/>
  <c r="L2156" i="9"/>
  <c r="K2156" i="9"/>
  <c r="L2164" i="9"/>
  <c r="K2164" i="9"/>
  <c r="L2172" i="9"/>
  <c r="K2172" i="9"/>
  <c r="L2180" i="9"/>
  <c r="K2180" i="9"/>
  <c r="L2188" i="9"/>
  <c r="K2188" i="9"/>
  <c r="L2196" i="9"/>
  <c r="K2196" i="9"/>
  <c r="L2204" i="9"/>
  <c r="K2204" i="9"/>
  <c r="L2212" i="9"/>
  <c r="K2212" i="9"/>
  <c r="L2220" i="9"/>
  <c r="K2220" i="9"/>
  <c r="L2228" i="9"/>
  <c r="K2228" i="9"/>
  <c r="L2236" i="9"/>
  <c r="K2236" i="9"/>
  <c r="L2244" i="9"/>
  <c r="K2244" i="9"/>
  <c r="L2252" i="9"/>
  <c r="K2252" i="9"/>
  <c r="L2260" i="9"/>
  <c r="K2260" i="9"/>
  <c r="L2268" i="9"/>
  <c r="K2268" i="9"/>
  <c r="K2283" i="9"/>
  <c r="L2283" i="9"/>
  <c r="L2312" i="9"/>
  <c r="K2312" i="9"/>
  <c r="L2373" i="9"/>
  <c r="K2373" i="9"/>
  <c r="L2437" i="9"/>
  <c r="K2437" i="9"/>
  <c r="K2445" i="9"/>
  <c r="L2445" i="9"/>
  <c r="L776" i="9"/>
  <c r="K776" i="9"/>
  <c r="L792" i="9"/>
  <c r="K792" i="9"/>
  <c r="L808" i="9"/>
  <c r="K808" i="9"/>
  <c r="L824" i="9"/>
  <c r="K824" i="9"/>
  <c r="L840" i="9"/>
  <c r="K840" i="9"/>
  <c r="L856" i="9"/>
  <c r="K856" i="9"/>
  <c r="L872" i="9"/>
  <c r="K872" i="9"/>
  <c r="K1010" i="9"/>
  <c r="L1010" i="9"/>
  <c r="K1018" i="9"/>
  <c r="L1018" i="9"/>
  <c r="K1026" i="9"/>
  <c r="L1026" i="9"/>
  <c r="K1034" i="9"/>
  <c r="L1034" i="9"/>
  <c r="K1042" i="9"/>
  <c r="L1042" i="9"/>
  <c r="K1050" i="9"/>
  <c r="L1050" i="9"/>
  <c r="K1058" i="9"/>
  <c r="L1058" i="9"/>
  <c r="K1066" i="9"/>
  <c r="L1066" i="9"/>
  <c r="K1074" i="9"/>
  <c r="L1074" i="9"/>
  <c r="K1082" i="9"/>
  <c r="L1082" i="9"/>
  <c r="K1090" i="9"/>
  <c r="L1090" i="9"/>
  <c r="K1098" i="9"/>
  <c r="L1098" i="9"/>
  <c r="K1106" i="9"/>
  <c r="L1106" i="9"/>
  <c r="K1114" i="9"/>
  <c r="L1114" i="9"/>
  <c r="K1122" i="9"/>
  <c r="L1122" i="9"/>
  <c r="K1130" i="9"/>
  <c r="L1130" i="9"/>
  <c r="K1138" i="9"/>
  <c r="L1138" i="9"/>
  <c r="K1146" i="9"/>
  <c r="L1146" i="9"/>
  <c r="K1154" i="9"/>
  <c r="L1154" i="9"/>
  <c r="K1162" i="9"/>
  <c r="L1162" i="9"/>
  <c r="K1170" i="9"/>
  <c r="L1170" i="9"/>
  <c r="K1178" i="9"/>
  <c r="L1178" i="9"/>
  <c r="K1186" i="9"/>
  <c r="L1186" i="9"/>
  <c r="K1194" i="9"/>
  <c r="L1194" i="9"/>
  <c r="K1202" i="9"/>
  <c r="L1202" i="9"/>
  <c r="K1210" i="9"/>
  <c r="L1210" i="9"/>
  <c r="K1218" i="9"/>
  <c r="L1218" i="9"/>
  <c r="K1226" i="9"/>
  <c r="L1226" i="9"/>
  <c r="K1234" i="9"/>
  <c r="L1234" i="9"/>
  <c r="K1242" i="9"/>
  <c r="L1242" i="9"/>
  <c r="K1250" i="9"/>
  <c r="L1250" i="9"/>
  <c r="K1258" i="9"/>
  <c r="L1258" i="9"/>
  <c r="K1266" i="9"/>
  <c r="L1266" i="9"/>
  <c r="K1274" i="9"/>
  <c r="L1274" i="9"/>
  <c r="K1282" i="9"/>
  <c r="L1282" i="9"/>
  <c r="K1290" i="9"/>
  <c r="L1290" i="9"/>
  <c r="K1298" i="9"/>
  <c r="L1298" i="9"/>
  <c r="K1306" i="9"/>
  <c r="L1306" i="9"/>
  <c r="K1314" i="9"/>
  <c r="L1314" i="9"/>
  <c r="K1322" i="9"/>
  <c r="L1322" i="9"/>
  <c r="K1330" i="9"/>
  <c r="L1330" i="9"/>
  <c r="K1338" i="9"/>
  <c r="L1338" i="9"/>
  <c r="K1346" i="9"/>
  <c r="L1346" i="9"/>
  <c r="K1354" i="9"/>
  <c r="L1354" i="9"/>
  <c r="K1362" i="9"/>
  <c r="L1362" i="9"/>
  <c r="K1370" i="9"/>
  <c r="L1370" i="9"/>
  <c r="K1378" i="9"/>
  <c r="L1378" i="9"/>
  <c r="K1386" i="9"/>
  <c r="L1386" i="9"/>
  <c r="K1394" i="9"/>
  <c r="L1394" i="9"/>
  <c r="K1402" i="9"/>
  <c r="L1402" i="9"/>
  <c r="K1410" i="9"/>
  <c r="L1410" i="9"/>
  <c r="K1418" i="9"/>
  <c r="L1418" i="9"/>
  <c r="K1426" i="9"/>
  <c r="L1426" i="9"/>
  <c r="K1434" i="9"/>
  <c r="L1434" i="9"/>
  <c r="K1442" i="9"/>
  <c r="L1442" i="9"/>
  <c r="K1450" i="9"/>
  <c r="L1450" i="9"/>
  <c r="K1458" i="9"/>
  <c r="L1458" i="9"/>
  <c r="K1466" i="9"/>
  <c r="L1466" i="9"/>
  <c r="K1474" i="9"/>
  <c r="L1474" i="9"/>
  <c r="K1482" i="9"/>
  <c r="L1482" i="9"/>
  <c r="K1490" i="9"/>
  <c r="L1490" i="9"/>
  <c r="K1498" i="9"/>
  <c r="L1498" i="9"/>
  <c r="K1506" i="9"/>
  <c r="L1506" i="9"/>
  <c r="K1514" i="9"/>
  <c r="L1514" i="9"/>
  <c r="K1522" i="9"/>
  <c r="L1522" i="9"/>
  <c r="K1530" i="9"/>
  <c r="L1530" i="9"/>
  <c r="K1538" i="9"/>
  <c r="L1538" i="9"/>
  <c r="K1546" i="9"/>
  <c r="L1546" i="9"/>
  <c r="K1554" i="9"/>
  <c r="L1554" i="9"/>
  <c r="K1562" i="9"/>
  <c r="L1562" i="9"/>
  <c r="K1570" i="9"/>
  <c r="L1570" i="9"/>
  <c r="K1578" i="9"/>
  <c r="L1578" i="9"/>
  <c r="K1586" i="9"/>
  <c r="L1586" i="9"/>
  <c r="K1594" i="9"/>
  <c r="L1594" i="9"/>
  <c r="K1602" i="9"/>
  <c r="L1602" i="9"/>
  <c r="K1610" i="9"/>
  <c r="L1610" i="9"/>
  <c r="K1618" i="9"/>
  <c r="L1618" i="9"/>
  <c r="K1626" i="9"/>
  <c r="L1626" i="9"/>
  <c r="K1634" i="9"/>
  <c r="L1634" i="9"/>
  <c r="K1642" i="9"/>
  <c r="L1642" i="9"/>
  <c r="K1650" i="9"/>
  <c r="L1650" i="9"/>
  <c r="K1658" i="9"/>
  <c r="L1658" i="9"/>
  <c r="K1666" i="9"/>
  <c r="L1666" i="9"/>
  <c r="K1674" i="9"/>
  <c r="L1674" i="9"/>
  <c r="K1682" i="9"/>
  <c r="L1682" i="9"/>
  <c r="K1690" i="9"/>
  <c r="L1690" i="9"/>
  <c r="K1698" i="9"/>
  <c r="L1698" i="9"/>
  <c r="K1706" i="9"/>
  <c r="L1706" i="9"/>
  <c r="K1714" i="9"/>
  <c r="L1714" i="9"/>
  <c r="K1722" i="9"/>
  <c r="L1722" i="9"/>
  <c r="K1730" i="9"/>
  <c r="L1730" i="9"/>
  <c r="K1738" i="9"/>
  <c r="L1738" i="9"/>
  <c r="K1746" i="9"/>
  <c r="L1746" i="9"/>
  <c r="K1754" i="9"/>
  <c r="L1754" i="9"/>
  <c r="K1762" i="9"/>
  <c r="L1762" i="9"/>
  <c r="K1770" i="9"/>
  <c r="L1770" i="9"/>
  <c r="K1778" i="9"/>
  <c r="L1778" i="9"/>
  <c r="K1786" i="9"/>
  <c r="L1786" i="9"/>
  <c r="K1794" i="9"/>
  <c r="L1794" i="9"/>
  <c r="K1802" i="9"/>
  <c r="L1802" i="9"/>
  <c r="K1810" i="9"/>
  <c r="L1810" i="9"/>
  <c r="K1818" i="9"/>
  <c r="L1818" i="9"/>
  <c r="K1826" i="9"/>
  <c r="L1826" i="9"/>
  <c r="K1834" i="9"/>
  <c r="L1834" i="9"/>
  <c r="K1842" i="9"/>
  <c r="L1842" i="9"/>
  <c r="K1850" i="9"/>
  <c r="L1850" i="9"/>
  <c r="K1858" i="9"/>
  <c r="L1858" i="9"/>
  <c r="K1866" i="9"/>
  <c r="L1866" i="9"/>
  <c r="K1874" i="9"/>
  <c r="L1874" i="9"/>
  <c r="K1882" i="9"/>
  <c r="L1882" i="9"/>
  <c r="K1890" i="9"/>
  <c r="L1890" i="9"/>
  <c r="K1898" i="9"/>
  <c r="L1898" i="9"/>
  <c r="K1906" i="9"/>
  <c r="L1906" i="9"/>
  <c r="K1914" i="9"/>
  <c r="L1914" i="9"/>
  <c r="K1922" i="9"/>
  <c r="L1922" i="9"/>
  <c r="K1930" i="9"/>
  <c r="L1930" i="9"/>
  <c r="K1938" i="9"/>
  <c r="L1938" i="9"/>
  <c r="K1946" i="9"/>
  <c r="L1946" i="9"/>
  <c r="K1954" i="9"/>
  <c r="L1954" i="9"/>
  <c r="K1962" i="9"/>
  <c r="L1962" i="9"/>
  <c r="K1970" i="9"/>
  <c r="L1970" i="9"/>
  <c r="K1978" i="9"/>
  <c r="L1978" i="9"/>
  <c r="K1986" i="9"/>
  <c r="L1986" i="9"/>
  <c r="K1994" i="9"/>
  <c r="L1994" i="9"/>
  <c r="K2002" i="9"/>
  <c r="L2002" i="9"/>
  <c r="K2010" i="9"/>
  <c r="L2010" i="9"/>
  <c r="K2018" i="9"/>
  <c r="L2018" i="9"/>
  <c r="K2026" i="9"/>
  <c r="L2026" i="9"/>
  <c r="K2034" i="9"/>
  <c r="L2034" i="9"/>
  <c r="K2042" i="9"/>
  <c r="L2042" i="9"/>
  <c r="K2050" i="9"/>
  <c r="L2050" i="9"/>
  <c r="K2058" i="9"/>
  <c r="L2058" i="9"/>
  <c r="K2066" i="9"/>
  <c r="L2066" i="9"/>
  <c r="K2074" i="9"/>
  <c r="L2074" i="9"/>
  <c r="K2082" i="9"/>
  <c r="L2082" i="9"/>
  <c r="K2090" i="9"/>
  <c r="L2090" i="9"/>
  <c r="K2098" i="9"/>
  <c r="L2098" i="9"/>
  <c r="K2106" i="9"/>
  <c r="L2106" i="9"/>
  <c r="K2114" i="9"/>
  <c r="L2114" i="9"/>
  <c r="K2122" i="9"/>
  <c r="L2122" i="9"/>
  <c r="K2130" i="9"/>
  <c r="L2130" i="9"/>
  <c r="K2138" i="9"/>
  <c r="L2138" i="9"/>
  <c r="K2146" i="9"/>
  <c r="L2146" i="9"/>
  <c r="K2154" i="9"/>
  <c r="L2154" i="9"/>
  <c r="K2162" i="9"/>
  <c r="L2162" i="9"/>
  <c r="K2170" i="9"/>
  <c r="L2170" i="9"/>
  <c r="K2178" i="9"/>
  <c r="L2178" i="9"/>
  <c r="K2186" i="9"/>
  <c r="L2186" i="9"/>
  <c r="K2194" i="9"/>
  <c r="L2194" i="9"/>
  <c r="K2202" i="9"/>
  <c r="L2202" i="9"/>
  <c r="K2210" i="9"/>
  <c r="L2210" i="9"/>
  <c r="K2218" i="9"/>
  <c r="L2218" i="9"/>
  <c r="K2226" i="9"/>
  <c r="L2226" i="9"/>
  <c r="K2234" i="9"/>
  <c r="L2234" i="9"/>
  <c r="K2242" i="9"/>
  <c r="L2242" i="9"/>
  <c r="K2250" i="9"/>
  <c r="L2250" i="9"/>
  <c r="K2258" i="9"/>
  <c r="L2258" i="9"/>
  <c r="K2266" i="9"/>
  <c r="L2266" i="9"/>
  <c r="K2273" i="9"/>
  <c r="L2273" i="9"/>
  <c r="K2279" i="9"/>
  <c r="L2279" i="9"/>
  <c r="L2348" i="9"/>
  <c r="K2348" i="9"/>
  <c r="L2352" i="9"/>
  <c r="K2352" i="9"/>
  <c r="L2412" i="9"/>
  <c r="K2412" i="9"/>
  <c r="L2416" i="9"/>
  <c r="K2416" i="9"/>
  <c r="K2515" i="9"/>
  <c r="L2515" i="9"/>
  <c r="L2520" i="9"/>
  <c r="K2520" i="9"/>
  <c r="K2527" i="9"/>
  <c r="L2527" i="9"/>
  <c r="L2532" i="9"/>
  <c r="K2532" i="9"/>
  <c r="K2537" i="9"/>
  <c r="L2537" i="9"/>
  <c r="K2287" i="9"/>
  <c r="L2287" i="9"/>
  <c r="K2295" i="9"/>
  <c r="L2295" i="9"/>
  <c r="K2299" i="9"/>
  <c r="L2299" i="9"/>
  <c r="L2308" i="9"/>
  <c r="K2308" i="9"/>
  <c r="L2316" i="9"/>
  <c r="K2316" i="9"/>
  <c r="L2320" i="9"/>
  <c r="K2320" i="9"/>
  <c r="L2332" i="9"/>
  <c r="K2332" i="9"/>
  <c r="K2369" i="9"/>
  <c r="L2369" i="9"/>
  <c r="K2383" i="9"/>
  <c r="L2383" i="9"/>
  <c r="K2391" i="9"/>
  <c r="L2391" i="9"/>
  <c r="K2395" i="9"/>
  <c r="L2395" i="9"/>
  <c r="L2404" i="9"/>
  <c r="K2404" i="9"/>
  <c r="K2433" i="9"/>
  <c r="L2433" i="9"/>
  <c r="L2440" i="9"/>
  <c r="K2440" i="9"/>
  <c r="K2447" i="9"/>
  <c r="L2447" i="9"/>
  <c r="L2452" i="9"/>
  <c r="K2452" i="9"/>
  <c r="K2457" i="9"/>
  <c r="L2457" i="9"/>
  <c r="K2499" i="9"/>
  <c r="L2499" i="9"/>
  <c r="L2504" i="9"/>
  <c r="K2504" i="9"/>
  <c r="K2511" i="9"/>
  <c r="L2511" i="9"/>
  <c r="L2516" i="9"/>
  <c r="K2516" i="9"/>
  <c r="K2521" i="9"/>
  <c r="L2521" i="9"/>
  <c r="K2563" i="9"/>
  <c r="L2563" i="9"/>
  <c r="L2568" i="9"/>
  <c r="K2568" i="9"/>
  <c r="L2592" i="9"/>
  <c r="K2592" i="9"/>
  <c r="K2597" i="9"/>
  <c r="L2597" i="9"/>
  <c r="K2603" i="9"/>
  <c r="L2603" i="9"/>
  <c r="K2607" i="9"/>
  <c r="L2607" i="9"/>
  <c r="L2640" i="9"/>
  <c r="K2640" i="9"/>
  <c r="L2648" i="9"/>
  <c r="K2648" i="9"/>
  <c r="L2656" i="9"/>
  <c r="K2656" i="9"/>
  <c r="L2664" i="9"/>
  <c r="K2664" i="9"/>
  <c r="L2672" i="9"/>
  <c r="K2672" i="9"/>
  <c r="L2680" i="9"/>
  <c r="K2680" i="9"/>
  <c r="L2688" i="9"/>
  <c r="K2688" i="9"/>
  <c r="L2696" i="9"/>
  <c r="K2696" i="9"/>
  <c r="L2704" i="9"/>
  <c r="K2704" i="9"/>
  <c r="L2712" i="9"/>
  <c r="K2712" i="9"/>
  <c r="L2720" i="9"/>
  <c r="K2720" i="9"/>
  <c r="L2728" i="9"/>
  <c r="K2728" i="9"/>
  <c r="L2736" i="9"/>
  <c r="K2736" i="9"/>
  <c r="L2744" i="9"/>
  <c r="K2744" i="9"/>
  <c r="L2752" i="9"/>
  <c r="K2752" i="9"/>
  <c r="L2760" i="9"/>
  <c r="K2760" i="9"/>
  <c r="L2768" i="9"/>
  <c r="K2768" i="9"/>
  <c r="L2776" i="9"/>
  <c r="K2776" i="9"/>
  <c r="L2784" i="9"/>
  <c r="K2784" i="9"/>
  <c r="L2792" i="9"/>
  <c r="K2792" i="9"/>
  <c r="L2800" i="9"/>
  <c r="K2800" i="9"/>
  <c r="L2808" i="9"/>
  <c r="K2808" i="9"/>
  <c r="L2816" i="9"/>
  <c r="K2816" i="9"/>
  <c r="L2824" i="9"/>
  <c r="K2824" i="9"/>
  <c r="L2832" i="9"/>
  <c r="K2832" i="9"/>
  <c r="L2840" i="9"/>
  <c r="K2840" i="9"/>
  <c r="L2848" i="9"/>
  <c r="K2848" i="9"/>
  <c r="L2856" i="9"/>
  <c r="K2856" i="9"/>
  <c r="L2864" i="9"/>
  <c r="K2864" i="9"/>
  <c r="L2872" i="9"/>
  <c r="K2872" i="9"/>
  <c r="L2880" i="9"/>
  <c r="K2880" i="9"/>
  <c r="L2888" i="9"/>
  <c r="K2888" i="9"/>
  <c r="L2896" i="9"/>
  <c r="K2896" i="9"/>
  <c r="L2904" i="9"/>
  <c r="K2904" i="9"/>
  <c r="L2912" i="9"/>
  <c r="K2912" i="9"/>
  <c r="L2920" i="9"/>
  <c r="K2920" i="9"/>
  <c r="L2928" i="9"/>
  <c r="K2928" i="9"/>
  <c r="L2936" i="9"/>
  <c r="K2936" i="9"/>
  <c r="L2944" i="9"/>
  <c r="K2944" i="9"/>
  <c r="L2952" i="9"/>
  <c r="K2952" i="9"/>
  <c r="L2960" i="9"/>
  <c r="K2960" i="9"/>
  <c r="L2968" i="9"/>
  <c r="K2968" i="9"/>
  <c r="L2976" i="9"/>
  <c r="K2976" i="9"/>
  <c r="L2984" i="9"/>
  <c r="K2984" i="9"/>
  <c r="L2992" i="9"/>
  <c r="K2992" i="9"/>
  <c r="L3000" i="9"/>
  <c r="K3000" i="9"/>
  <c r="L3008" i="9"/>
  <c r="K3008" i="9"/>
  <c r="L3016" i="9"/>
  <c r="K3016" i="9"/>
  <c r="L3024" i="9"/>
  <c r="K3024" i="9"/>
  <c r="L3032" i="9"/>
  <c r="K3032" i="9"/>
  <c r="L3040" i="9"/>
  <c r="K3040" i="9"/>
  <c r="L3047" i="9"/>
  <c r="K3047" i="9"/>
  <c r="L3090" i="9"/>
  <c r="K3090" i="9"/>
  <c r="L3154" i="9"/>
  <c r="K3154" i="9"/>
  <c r="L3225" i="9"/>
  <c r="K3225" i="9"/>
  <c r="K3234" i="9"/>
  <c r="L3234" i="9"/>
  <c r="K3268" i="9"/>
  <c r="L3268" i="9"/>
  <c r="L3281" i="9"/>
  <c r="K3281" i="9"/>
  <c r="L3302" i="9"/>
  <c r="K3302" i="9"/>
  <c r="L3353" i="9"/>
  <c r="K3353" i="9"/>
  <c r="L3435" i="9"/>
  <c r="K3435" i="9"/>
  <c r="L3440" i="9"/>
  <c r="K3440" i="9"/>
  <c r="K3518" i="9"/>
  <c r="L3518" i="9"/>
  <c r="K888" i="9"/>
  <c r="K892" i="9"/>
  <c r="K896" i="9"/>
  <c r="K900" i="9"/>
  <c r="K904" i="9"/>
  <c r="K908" i="9"/>
  <c r="K912" i="9"/>
  <c r="K916" i="9"/>
  <c r="K920" i="9"/>
  <c r="K924" i="9"/>
  <c r="K928" i="9"/>
  <c r="K932" i="9"/>
  <c r="K936" i="9"/>
  <c r="K940" i="9"/>
  <c r="K944" i="9"/>
  <c r="K948" i="9"/>
  <c r="K952" i="9"/>
  <c r="K956" i="9"/>
  <c r="K960" i="9"/>
  <c r="K964" i="9"/>
  <c r="K968" i="9"/>
  <c r="K972" i="9"/>
  <c r="K976" i="9"/>
  <c r="K980" i="9"/>
  <c r="K984" i="9"/>
  <c r="K988" i="9"/>
  <c r="K992" i="9"/>
  <c r="K996" i="9"/>
  <c r="K1000" i="9"/>
  <c r="L2276" i="9"/>
  <c r="K2276" i="9"/>
  <c r="K2280" i="9"/>
  <c r="L2284" i="9"/>
  <c r="K2284" i="9"/>
  <c r="L2288" i="9"/>
  <c r="K2288" i="9"/>
  <c r="L2300" i="9"/>
  <c r="K2300" i="9"/>
  <c r="K2304" i="9"/>
  <c r="K2337" i="9"/>
  <c r="L2337" i="9"/>
  <c r="L2341" i="9"/>
  <c r="K2365" i="9"/>
  <c r="K2376" i="9"/>
  <c r="L2380" i="9"/>
  <c r="K2380" i="9"/>
  <c r="L2384" i="9"/>
  <c r="K2384" i="9"/>
  <c r="L2405" i="9"/>
  <c r="K2405" i="9"/>
  <c r="K2429" i="9"/>
  <c r="K2441" i="9"/>
  <c r="L2441" i="9"/>
  <c r="K2483" i="9"/>
  <c r="L2483" i="9"/>
  <c r="L2488" i="9"/>
  <c r="K2488" i="9"/>
  <c r="L2493" i="9"/>
  <c r="K2495" i="9"/>
  <c r="L2495" i="9"/>
  <c r="L2500" i="9"/>
  <c r="K2500" i="9"/>
  <c r="K2505" i="9"/>
  <c r="L2505" i="9"/>
  <c r="K2547" i="9"/>
  <c r="L2547" i="9"/>
  <c r="L2552" i="9"/>
  <c r="K2552" i="9"/>
  <c r="L2557" i="9"/>
  <c r="K2559" i="9"/>
  <c r="L2559" i="9"/>
  <c r="L2564" i="9"/>
  <c r="K2564" i="9"/>
  <c r="K2569" i="9"/>
  <c r="L2569" i="9"/>
  <c r="K2305" i="9"/>
  <c r="L2305" i="9"/>
  <c r="K2311" i="9"/>
  <c r="L2311" i="9"/>
  <c r="K2351" i="9"/>
  <c r="L2351" i="9"/>
  <c r="K2359" i="9"/>
  <c r="L2359" i="9"/>
  <c r="K2363" i="9"/>
  <c r="L2363" i="9"/>
  <c r="L2372" i="9"/>
  <c r="K2372" i="9"/>
  <c r="K2401" i="9"/>
  <c r="L2401" i="9"/>
  <c r="K2415" i="9"/>
  <c r="L2415" i="9"/>
  <c r="K2423" i="9"/>
  <c r="L2423" i="9"/>
  <c r="K2427" i="9"/>
  <c r="L2427" i="9"/>
  <c r="L2436" i="9"/>
  <c r="K2436" i="9"/>
  <c r="K2467" i="9"/>
  <c r="L2467" i="9"/>
  <c r="L2472" i="9"/>
  <c r="K2472" i="9"/>
  <c r="K2479" i="9"/>
  <c r="L2479" i="9"/>
  <c r="L2484" i="9"/>
  <c r="K2484" i="9"/>
  <c r="K2489" i="9"/>
  <c r="L2489" i="9"/>
  <c r="K2531" i="9"/>
  <c r="L2531" i="9"/>
  <c r="L2536" i="9"/>
  <c r="K2536" i="9"/>
  <c r="L2541" i="9"/>
  <c r="K2543" i="9"/>
  <c r="L2543" i="9"/>
  <c r="L2548" i="9"/>
  <c r="K2548" i="9"/>
  <c r="K2553" i="9"/>
  <c r="L2553" i="9"/>
  <c r="L2292" i="9"/>
  <c r="K2292" i="9"/>
  <c r="K2303" i="9"/>
  <c r="L2303" i="9"/>
  <c r="L2324" i="9"/>
  <c r="K2324" i="9"/>
  <c r="K2335" i="9"/>
  <c r="L2335" i="9"/>
  <c r="L2356" i="9"/>
  <c r="K2356" i="9"/>
  <c r="K2367" i="9"/>
  <c r="L2367" i="9"/>
  <c r="L2388" i="9"/>
  <c r="K2388" i="9"/>
  <c r="K2399" i="9"/>
  <c r="L2399" i="9"/>
  <c r="L2420" i="9"/>
  <c r="K2420" i="9"/>
  <c r="K2431" i="9"/>
  <c r="L2431" i="9"/>
  <c r="K2443" i="9"/>
  <c r="L2443" i="9"/>
  <c r="L2448" i="9"/>
  <c r="K2448" i="9"/>
  <c r="K2459" i="9"/>
  <c r="L2459" i="9"/>
  <c r="L2464" i="9"/>
  <c r="K2464" i="9"/>
  <c r="K2475" i="9"/>
  <c r="L2475" i="9"/>
  <c r="L2480" i="9"/>
  <c r="K2480" i="9"/>
  <c r="K2491" i="9"/>
  <c r="L2491" i="9"/>
  <c r="L2496" i="9"/>
  <c r="K2496" i="9"/>
  <c r="K2507" i="9"/>
  <c r="L2507" i="9"/>
  <c r="L2512" i="9"/>
  <c r="K2512" i="9"/>
  <c r="K2523" i="9"/>
  <c r="L2523" i="9"/>
  <c r="L2528" i="9"/>
  <c r="K2528" i="9"/>
  <c r="K2539" i="9"/>
  <c r="L2539" i="9"/>
  <c r="L2544" i="9"/>
  <c r="K2544" i="9"/>
  <c r="K2555" i="9"/>
  <c r="L2555" i="9"/>
  <c r="L2560" i="9"/>
  <c r="K2560" i="9"/>
  <c r="K2571" i="9"/>
  <c r="L2571" i="9"/>
  <c r="K2575" i="9"/>
  <c r="L2575" i="9"/>
  <c r="L2608" i="9"/>
  <c r="K2608" i="9"/>
  <c r="L2612" i="9"/>
  <c r="K2612" i="9"/>
  <c r="L3055" i="9"/>
  <c r="K3055" i="9"/>
  <c r="L3106" i="9"/>
  <c r="K3106" i="9"/>
  <c r="L3170" i="9"/>
  <c r="K3170" i="9"/>
  <c r="K3242" i="9"/>
  <c r="L3242" i="9"/>
  <c r="K3260" i="9"/>
  <c r="L3260" i="9"/>
  <c r="K2343" i="9"/>
  <c r="L2343" i="9"/>
  <c r="L2364" i="9"/>
  <c r="K2364" i="9"/>
  <c r="K2375" i="9"/>
  <c r="L2375" i="9"/>
  <c r="L2396" i="9"/>
  <c r="K2396" i="9"/>
  <c r="K2407" i="9"/>
  <c r="L2407" i="9"/>
  <c r="L2428" i="9"/>
  <c r="K2428" i="9"/>
  <c r="K2439" i="9"/>
  <c r="L2439" i="9"/>
  <c r="L2444" i="9"/>
  <c r="K2444" i="9"/>
  <c r="K2455" i="9"/>
  <c r="L2455" i="9"/>
  <c r="L2460" i="9"/>
  <c r="K2460" i="9"/>
  <c r="K2471" i="9"/>
  <c r="L2471" i="9"/>
  <c r="L2476" i="9"/>
  <c r="K2476" i="9"/>
  <c r="K2487" i="9"/>
  <c r="L2487" i="9"/>
  <c r="L2492" i="9"/>
  <c r="K2492" i="9"/>
  <c r="K2503" i="9"/>
  <c r="L2503" i="9"/>
  <c r="L2508" i="9"/>
  <c r="K2508" i="9"/>
  <c r="K2519" i="9"/>
  <c r="L2519" i="9"/>
  <c r="L2524" i="9"/>
  <c r="K2524" i="9"/>
  <c r="K2535" i="9"/>
  <c r="L2535" i="9"/>
  <c r="L2540" i="9"/>
  <c r="K2540" i="9"/>
  <c r="K2551" i="9"/>
  <c r="L2551" i="9"/>
  <c r="L2556" i="9"/>
  <c r="K2556" i="9"/>
  <c r="K2567" i="9"/>
  <c r="L2567" i="9"/>
  <c r="L2576" i="9"/>
  <c r="K2576" i="9"/>
  <c r="L2580" i="9"/>
  <c r="K2580" i="9"/>
  <c r="K2613" i="9"/>
  <c r="L2613" i="9"/>
  <c r="K2619" i="9"/>
  <c r="L2619" i="9"/>
  <c r="K2623" i="9"/>
  <c r="L2623" i="9"/>
  <c r="L2628" i="9"/>
  <c r="K2628" i="9"/>
  <c r="L2645" i="9"/>
  <c r="K2645" i="9"/>
  <c r="L2653" i="9"/>
  <c r="K2653" i="9"/>
  <c r="L2661" i="9"/>
  <c r="K2661" i="9"/>
  <c r="L2669" i="9"/>
  <c r="K2669" i="9"/>
  <c r="L2677" i="9"/>
  <c r="K2677" i="9"/>
  <c r="L2685" i="9"/>
  <c r="K2685" i="9"/>
  <c r="L2693" i="9"/>
  <c r="K2693" i="9"/>
  <c r="L2701" i="9"/>
  <c r="K2701" i="9"/>
  <c r="L2709" i="9"/>
  <c r="K2709" i="9"/>
  <c r="L2717" i="9"/>
  <c r="K2717" i="9"/>
  <c r="L2725" i="9"/>
  <c r="K2725" i="9"/>
  <c r="L2733" i="9"/>
  <c r="K2733" i="9"/>
  <c r="L2741" i="9"/>
  <c r="K2741" i="9"/>
  <c r="L2749" i="9"/>
  <c r="K2749" i="9"/>
  <c r="L2757" i="9"/>
  <c r="K2757" i="9"/>
  <c r="L2765" i="9"/>
  <c r="K2765" i="9"/>
  <c r="L2773" i="9"/>
  <c r="K2773" i="9"/>
  <c r="L2781" i="9"/>
  <c r="K2781" i="9"/>
  <c r="L2789" i="9"/>
  <c r="K2789" i="9"/>
  <c r="L2797" i="9"/>
  <c r="K2797" i="9"/>
  <c r="L2805" i="9"/>
  <c r="K2805" i="9"/>
  <c r="L2813" i="9"/>
  <c r="K2813" i="9"/>
  <c r="L2821" i="9"/>
  <c r="K2821" i="9"/>
  <c r="L2829" i="9"/>
  <c r="K2829" i="9"/>
  <c r="L2837" i="9"/>
  <c r="K2837" i="9"/>
  <c r="L2845" i="9"/>
  <c r="K2845" i="9"/>
  <c r="L2853" i="9"/>
  <c r="K2853" i="9"/>
  <c r="L2861" i="9"/>
  <c r="K2861" i="9"/>
  <c r="L2869" i="9"/>
  <c r="K2869" i="9"/>
  <c r="L2877" i="9"/>
  <c r="K2877" i="9"/>
  <c r="L2885" i="9"/>
  <c r="K2885" i="9"/>
  <c r="L2893" i="9"/>
  <c r="K2893" i="9"/>
  <c r="L2901" i="9"/>
  <c r="K2901" i="9"/>
  <c r="L2909" i="9"/>
  <c r="K2909" i="9"/>
  <c r="L2917" i="9"/>
  <c r="K2917" i="9"/>
  <c r="L2925" i="9"/>
  <c r="K2925" i="9"/>
  <c r="L2933" i="9"/>
  <c r="K2933" i="9"/>
  <c r="L2941" i="9"/>
  <c r="K2941" i="9"/>
  <c r="L2949" i="9"/>
  <c r="K2949" i="9"/>
  <c r="L2957" i="9"/>
  <c r="K2957" i="9"/>
  <c r="L2965" i="9"/>
  <c r="K2965" i="9"/>
  <c r="L2973" i="9"/>
  <c r="K2973" i="9"/>
  <c r="L2981" i="9"/>
  <c r="K2981" i="9"/>
  <c r="L2989" i="9"/>
  <c r="K2989" i="9"/>
  <c r="L2997" i="9"/>
  <c r="K2997" i="9"/>
  <c r="L3005" i="9"/>
  <c r="K3005" i="9"/>
  <c r="L3013" i="9"/>
  <c r="K3013" i="9"/>
  <c r="L3021" i="9"/>
  <c r="K3021" i="9"/>
  <c r="L3029" i="9"/>
  <c r="K3029" i="9"/>
  <c r="L3037" i="9"/>
  <c r="K3037" i="9"/>
  <c r="K3045" i="9"/>
  <c r="L3045" i="9"/>
  <c r="L3122" i="9"/>
  <c r="K3122" i="9"/>
  <c r="L3186" i="9"/>
  <c r="K3186" i="9"/>
  <c r="L3217" i="9"/>
  <c r="K3217" i="9"/>
  <c r="L3238" i="9"/>
  <c r="K3238" i="9"/>
  <c r="L3289" i="9"/>
  <c r="K3289" i="9"/>
  <c r="K3298" i="9"/>
  <c r="L3298" i="9"/>
  <c r="K3332" i="9"/>
  <c r="L3332" i="9"/>
  <c r="L3345" i="9"/>
  <c r="K3345" i="9"/>
  <c r="L3467" i="9"/>
  <c r="K3467" i="9"/>
  <c r="L3472" i="9"/>
  <c r="K3472" i="9"/>
  <c r="K2579" i="9"/>
  <c r="L2579" i="9"/>
  <c r="L2600" i="9"/>
  <c r="K2600" i="9"/>
  <c r="K2611" i="9"/>
  <c r="L2611" i="9"/>
  <c r="L2632" i="9"/>
  <c r="K2632" i="9"/>
  <c r="K2643" i="9"/>
  <c r="L2643" i="9"/>
  <c r="K2651" i="9"/>
  <c r="L2651" i="9"/>
  <c r="K2659" i="9"/>
  <c r="L2659" i="9"/>
  <c r="K2667" i="9"/>
  <c r="L2667" i="9"/>
  <c r="K2675" i="9"/>
  <c r="L2675" i="9"/>
  <c r="K2683" i="9"/>
  <c r="L2683" i="9"/>
  <c r="K2691" i="9"/>
  <c r="L2691" i="9"/>
  <c r="K2699" i="9"/>
  <c r="L2699" i="9"/>
  <c r="K2707" i="9"/>
  <c r="L2707" i="9"/>
  <c r="K2715" i="9"/>
  <c r="L2715" i="9"/>
  <c r="K2723" i="9"/>
  <c r="L2723" i="9"/>
  <c r="K2731" i="9"/>
  <c r="L2731" i="9"/>
  <c r="K2739" i="9"/>
  <c r="L2739" i="9"/>
  <c r="K2747" i="9"/>
  <c r="L2747" i="9"/>
  <c r="K2755" i="9"/>
  <c r="L2755" i="9"/>
  <c r="K2763" i="9"/>
  <c r="L2763" i="9"/>
  <c r="K2771" i="9"/>
  <c r="L2771" i="9"/>
  <c r="K2779" i="9"/>
  <c r="L2779" i="9"/>
  <c r="K2787" i="9"/>
  <c r="L2787" i="9"/>
  <c r="K2795" i="9"/>
  <c r="L2795" i="9"/>
  <c r="K2803" i="9"/>
  <c r="L2803" i="9"/>
  <c r="K2811" i="9"/>
  <c r="L2811" i="9"/>
  <c r="K2819" i="9"/>
  <c r="L2819" i="9"/>
  <c r="K2827" i="9"/>
  <c r="L2827" i="9"/>
  <c r="K2835" i="9"/>
  <c r="L2835" i="9"/>
  <c r="K2843" i="9"/>
  <c r="L2843" i="9"/>
  <c r="K2851" i="9"/>
  <c r="L2851" i="9"/>
  <c r="K2859" i="9"/>
  <c r="L2859" i="9"/>
  <c r="K2867" i="9"/>
  <c r="L2867" i="9"/>
  <c r="K2875" i="9"/>
  <c r="L2875" i="9"/>
  <c r="K2883" i="9"/>
  <c r="L2883" i="9"/>
  <c r="K2891" i="9"/>
  <c r="L2891" i="9"/>
  <c r="K2899" i="9"/>
  <c r="L2899" i="9"/>
  <c r="K2907" i="9"/>
  <c r="L2907" i="9"/>
  <c r="K2915" i="9"/>
  <c r="L2915" i="9"/>
  <c r="K2923" i="9"/>
  <c r="L2923" i="9"/>
  <c r="K2931" i="9"/>
  <c r="L2931" i="9"/>
  <c r="K2939" i="9"/>
  <c r="L2939" i="9"/>
  <c r="K2947" i="9"/>
  <c r="L2947" i="9"/>
  <c r="K2955" i="9"/>
  <c r="L2955" i="9"/>
  <c r="K2963" i="9"/>
  <c r="L2963" i="9"/>
  <c r="K2971" i="9"/>
  <c r="L2971" i="9"/>
  <c r="K2979" i="9"/>
  <c r="L2979" i="9"/>
  <c r="K2987" i="9"/>
  <c r="L2987" i="9"/>
  <c r="K2995" i="9"/>
  <c r="L2995" i="9"/>
  <c r="K3003" i="9"/>
  <c r="L3003" i="9"/>
  <c r="K3011" i="9"/>
  <c r="L3011" i="9"/>
  <c r="K3019" i="9"/>
  <c r="L3019" i="9"/>
  <c r="K3027" i="9"/>
  <c r="L3027" i="9"/>
  <c r="K3035" i="9"/>
  <c r="L3035" i="9"/>
  <c r="K3043" i="9"/>
  <c r="L3043" i="9"/>
  <c r="L3214" i="9"/>
  <c r="K3214" i="9"/>
  <c r="L3221" i="9"/>
  <c r="K3221" i="9"/>
  <c r="L3278" i="9"/>
  <c r="K3278" i="9"/>
  <c r="L3285" i="9"/>
  <c r="K3285" i="9"/>
  <c r="L3342" i="9"/>
  <c r="K3342" i="9"/>
  <c r="L3349" i="9"/>
  <c r="K3349" i="9"/>
  <c r="K3478" i="9"/>
  <c r="L3478" i="9"/>
  <c r="L3523" i="9"/>
  <c r="K3523" i="9"/>
  <c r="K3761" i="9"/>
  <c r="L3761" i="9"/>
  <c r="K3801" i="9"/>
  <c r="L3801" i="9"/>
  <c r="L2584" i="9"/>
  <c r="K2584" i="9"/>
  <c r="K2595" i="9"/>
  <c r="L2595" i="9"/>
  <c r="L2616" i="9"/>
  <c r="K2616" i="9"/>
  <c r="K2627" i="9"/>
  <c r="L2627" i="9"/>
  <c r="L3054" i="9"/>
  <c r="K3054" i="9"/>
  <c r="L3245" i="9"/>
  <c r="K3245" i="9"/>
  <c r="K3256" i="9"/>
  <c r="L3256" i="9"/>
  <c r="K3264" i="9"/>
  <c r="L3264" i="9"/>
  <c r="L3309" i="9"/>
  <c r="K3309" i="9"/>
  <c r="K3320" i="9"/>
  <c r="L3320" i="9"/>
  <c r="K3328" i="9"/>
  <c r="L3328" i="9"/>
  <c r="K3446" i="9"/>
  <c r="L3446" i="9"/>
  <c r="K3049" i="9"/>
  <c r="L3049" i="9"/>
  <c r="K3236" i="9"/>
  <c r="L3236" i="9"/>
  <c r="L3246" i="9"/>
  <c r="K3246" i="9"/>
  <c r="L3257" i="9"/>
  <c r="K3257" i="9"/>
  <c r="K3274" i="9"/>
  <c r="L3274" i="9"/>
  <c r="K3300" i="9"/>
  <c r="L3300" i="9"/>
  <c r="L3310" i="9"/>
  <c r="K3310" i="9"/>
  <c r="L3321" i="9"/>
  <c r="K3321" i="9"/>
  <c r="K3338" i="9"/>
  <c r="L3338" i="9"/>
  <c r="L3499" i="9"/>
  <c r="K3499" i="9"/>
  <c r="K3510" i="9"/>
  <c r="L3510" i="9"/>
  <c r="L3576" i="9"/>
  <c r="K3576" i="9"/>
  <c r="K3697" i="9"/>
  <c r="L3697" i="9"/>
  <c r="K3737" i="9"/>
  <c r="L3737" i="9"/>
  <c r="L3747" i="9"/>
  <c r="K3747" i="9"/>
  <c r="L3787" i="9"/>
  <c r="K3787" i="9"/>
  <c r="L3046" i="9"/>
  <c r="K3046" i="9"/>
  <c r="L3053" i="9"/>
  <c r="K3057" i="9"/>
  <c r="L3057" i="9"/>
  <c r="L3059" i="9"/>
  <c r="K3063" i="9"/>
  <c r="K3071" i="9"/>
  <c r="K3079" i="9"/>
  <c r="K3087" i="9"/>
  <c r="K3095" i="9"/>
  <c r="K3103" i="9"/>
  <c r="K3111" i="9"/>
  <c r="K3119" i="9"/>
  <c r="K3127" i="9"/>
  <c r="K3135" i="9"/>
  <c r="K3143" i="9"/>
  <c r="K3151" i="9"/>
  <c r="K3159" i="9"/>
  <c r="K3167" i="9"/>
  <c r="K3175" i="9"/>
  <c r="K3183" i="9"/>
  <c r="K3191" i="9"/>
  <c r="K3199" i="9"/>
  <c r="K3207" i="9"/>
  <c r="L3213" i="9"/>
  <c r="K3213" i="9"/>
  <c r="K3224" i="9"/>
  <c r="L3224" i="9"/>
  <c r="L3228" i="9"/>
  <c r="K3232" i="9"/>
  <c r="L3232" i="9"/>
  <c r="L3253" i="9"/>
  <c r="K3253" i="9"/>
  <c r="K3270" i="9"/>
  <c r="L3277" i="9"/>
  <c r="K3277" i="9"/>
  <c r="K3288" i="9"/>
  <c r="L3288" i="9"/>
  <c r="L3292" i="9"/>
  <c r="K3296" i="9"/>
  <c r="L3296" i="9"/>
  <c r="L3317" i="9"/>
  <c r="K3317" i="9"/>
  <c r="K3334" i="9"/>
  <c r="L3341" i="9"/>
  <c r="K3341" i="9"/>
  <c r="K3352" i="9"/>
  <c r="L3352" i="9"/>
  <c r="L3356" i="9"/>
  <c r="K3360" i="9"/>
  <c r="L3360" i="9"/>
  <c r="K3448" i="9"/>
  <c r="L3454" i="9"/>
  <c r="L3459" i="9"/>
  <c r="K3459" i="9"/>
  <c r="K3480" i="9"/>
  <c r="L3491" i="9"/>
  <c r="K3491" i="9"/>
  <c r="K3574" i="9"/>
  <c r="L3574" i="9"/>
  <c r="L3603" i="9"/>
  <c r="K3603" i="9"/>
  <c r="L3640" i="9"/>
  <c r="K3640" i="9"/>
  <c r="L3683" i="9"/>
  <c r="K3683" i="9"/>
  <c r="L3723" i="9"/>
  <c r="K3723" i="9"/>
  <c r="L3229" i="9"/>
  <c r="K3229" i="9"/>
  <c r="K3240" i="9"/>
  <c r="L3240" i="9"/>
  <c r="L3261" i="9"/>
  <c r="K3261" i="9"/>
  <c r="K3272" i="9"/>
  <c r="L3272" i="9"/>
  <c r="L3293" i="9"/>
  <c r="K3293" i="9"/>
  <c r="K3304" i="9"/>
  <c r="L3304" i="9"/>
  <c r="L3325" i="9"/>
  <c r="K3325" i="9"/>
  <c r="K3336" i="9"/>
  <c r="L3336" i="9"/>
  <c r="L3357" i="9"/>
  <c r="K3357" i="9"/>
  <c r="L3361" i="9"/>
  <c r="K3361" i="9"/>
  <c r="L3365" i="9"/>
  <c r="K3365" i="9"/>
  <c r="L3369" i="9"/>
  <c r="K3369" i="9"/>
  <c r="L3373" i="9"/>
  <c r="K3373" i="9"/>
  <c r="L3377" i="9"/>
  <c r="K3377" i="9"/>
  <c r="L3381" i="9"/>
  <c r="K3381" i="9"/>
  <c r="L3385" i="9"/>
  <c r="K3385" i="9"/>
  <c r="L3389" i="9"/>
  <c r="K3389" i="9"/>
  <c r="L3393" i="9"/>
  <c r="K3393" i="9"/>
  <c r="L3397" i="9"/>
  <c r="K3397" i="9"/>
  <c r="L3401" i="9"/>
  <c r="K3401" i="9"/>
  <c r="L3405" i="9"/>
  <c r="K3405" i="9"/>
  <c r="L3409" i="9"/>
  <c r="K3409" i="9"/>
  <c r="L3413" i="9"/>
  <c r="K3413" i="9"/>
  <c r="L3417" i="9"/>
  <c r="K3417" i="9"/>
  <c r="L3421" i="9"/>
  <c r="K3421" i="9"/>
  <c r="L3425" i="9"/>
  <c r="K3425" i="9"/>
  <c r="L3429" i="9"/>
  <c r="K3429" i="9"/>
  <c r="L3451" i="9"/>
  <c r="K3451" i="9"/>
  <c r="L3483" i="9"/>
  <c r="K3483" i="9"/>
  <c r="L3515" i="9"/>
  <c r="K3515" i="9"/>
  <c r="L3547" i="9"/>
  <c r="K3547" i="9"/>
  <c r="L3571" i="9"/>
  <c r="K3571" i="9"/>
  <c r="L3608" i="9"/>
  <c r="K3608" i="9"/>
  <c r="L3635" i="9"/>
  <c r="K3635" i="9"/>
  <c r="L3666" i="9"/>
  <c r="K3666" i="9"/>
  <c r="L3670" i="9"/>
  <c r="K3670" i="9"/>
  <c r="K3729" i="9"/>
  <c r="L3729" i="9"/>
  <c r="K3793" i="9"/>
  <c r="L3793" i="9"/>
  <c r="K3062" i="9"/>
  <c r="L3065" i="9"/>
  <c r="K3070" i="9"/>
  <c r="L3073" i="9"/>
  <c r="K3078" i="9"/>
  <c r="L3081" i="9"/>
  <c r="K3086" i="9"/>
  <c r="L3089" i="9"/>
  <c r="K3094" i="9"/>
  <c r="L3097" i="9"/>
  <c r="K3102" i="9"/>
  <c r="L3105" i="9"/>
  <c r="K3110" i="9"/>
  <c r="L3113" i="9"/>
  <c r="K3118" i="9"/>
  <c r="L3121" i="9"/>
  <c r="K3126" i="9"/>
  <c r="L3129" i="9"/>
  <c r="K3134" i="9"/>
  <c r="L3137" i="9"/>
  <c r="K3142" i="9"/>
  <c r="L3145" i="9"/>
  <c r="K3150" i="9"/>
  <c r="L3153" i="9"/>
  <c r="K3158" i="9"/>
  <c r="L3161" i="9"/>
  <c r="K3166" i="9"/>
  <c r="L3169" i="9"/>
  <c r="K3174" i="9"/>
  <c r="L3177" i="9"/>
  <c r="K3182" i="9"/>
  <c r="L3185" i="9"/>
  <c r="K3190" i="9"/>
  <c r="L3193" i="9"/>
  <c r="K3198" i="9"/>
  <c r="L3201" i="9"/>
  <c r="K3206" i="9"/>
  <c r="L3209" i="9"/>
  <c r="K3216" i="9"/>
  <c r="L3216" i="9"/>
  <c r="L3218" i="9"/>
  <c r="K3233" i="9"/>
  <c r="L3237" i="9"/>
  <c r="K3237" i="9"/>
  <c r="L3244" i="9"/>
  <c r="K3248" i="9"/>
  <c r="L3248" i="9"/>
  <c r="L3250" i="9"/>
  <c r="K3265" i="9"/>
  <c r="L3269" i="9"/>
  <c r="K3269" i="9"/>
  <c r="L3276" i="9"/>
  <c r="K3280" i="9"/>
  <c r="L3280" i="9"/>
  <c r="L3282" i="9"/>
  <c r="K3297" i="9"/>
  <c r="L3301" i="9"/>
  <c r="K3301" i="9"/>
  <c r="L3308" i="9"/>
  <c r="K3312" i="9"/>
  <c r="L3312" i="9"/>
  <c r="L3314" i="9"/>
  <c r="K3329" i="9"/>
  <c r="L3333" i="9"/>
  <c r="K3333" i="9"/>
  <c r="L3340" i="9"/>
  <c r="K3344" i="9"/>
  <c r="L3344" i="9"/>
  <c r="L3346" i="9"/>
  <c r="K3432" i="9"/>
  <c r="L3438" i="9"/>
  <c r="L3443" i="9"/>
  <c r="K3443" i="9"/>
  <c r="K3464" i="9"/>
  <c r="L3470" i="9"/>
  <c r="L3475" i="9"/>
  <c r="K3475" i="9"/>
  <c r="L3502" i="9"/>
  <c r="L3507" i="9"/>
  <c r="K3507" i="9"/>
  <c r="L3534" i="9"/>
  <c r="L3539" i="9"/>
  <c r="K3539" i="9"/>
  <c r="K3579" i="9"/>
  <c r="L3582" i="9"/>
  <c r="K3584" i="9"/>
  <c r="K3606" i="9"/>
  <c r="L3606" i="9"/>
  <c r="K3645" i="9"/>
  <c r="L3645" i="9"/>
  <c r="L3647" i="9"/>
  <c r="K3649" i="9"/>
  <c r="L3649" i="9"/>
  <c r="L3658" i="9"/>
  <c r="K3658" i="9"/>
  <c r="K3705" i="9"/>
  <c r="L3705" i="9"/>
  <c r="L3715" i="9"/>
  <c r="K3715" i="9"/>
  <c r="K3769" i="9"/>
  <c r="L3769" i="9"/>
  <c r="L3779" i="9"/>
  <c r="K3779" i="9"/>
  <c r="L3659" i="9"/>
  <c r="K3659" i="9"/>
  <c r="K3689" i="9"/>
  <c r="L3689" i="9"/>
  <c r="K3721" i="9"/>
  <c r="L3721" i="9"/>
  <c r="K3753" i="9"/>
  <c r="L3753" i="9"/>
  <c r="K3785" i="9"/>
  <c r="L3785" i="9"/>
  <c r="K3809" i="9"/>
  <c r="L3809" i="9"/>
  <c r="K3563" i="9"/>
  <c r="L3566" i="9"/>
  <c r="K3568" i="9"/>
  <c r="K3595" i="9"/>
  <c r="L3598" i="9"/>
  <c r="K3600" i="9"/>
  <c r="K3627" i="9"/>
  <c r="L3630" i="9"/>
  <c r="K3632" i="9"/>
  <c r="K3655" i="9"/>
  <c r="L3655" i="9"/>
  <c r="K3669" i="9"/>
  <c r="L3669" i="9"/>
  <c r="L3673" i="9"/>
  <c r="K3677" i="9"/>
  <c r="L3677" i="9"/>
  <c r="L3679" i="9"/>
  <c r="K3681" i="9"/>
  <c r="L3681" i="9"/>
  <c r="K3707" i="9"/>
  <c r="K3713" i="9"/>
  <c r="L3713" i="9"/>
  <c r="K3739" i="9"/>
  <c r="K3745" i="9"/>
  <c r="L3745" i="9"/>
  <c r="K3771" i="9"/>
  <c r="K3777" i="9"/>
  <c r="L3777" i="9"/>
  <c r="K3803" i="9"/>
  <c r="L3642" i="9"/>
  <c r="K3642" i="9"/>
  <c r="K3653" i="9"/>
  <c r="L3653" i="9"/>
  <c r="L3674" i="9"/>
  <c r="K3674" i="9"/>
  <c r="K3431" i="9"/>
  <c r="L3434" i="9"/>
  <c r="K3439" i="9"/>
  <c r="L3442" i="9"/>
  <c r="K3447" i="9"/>
  <c r="L3450" i="9"/>
  <c r="K3455" i="9"/>
  <c r="L3458" i="9"/>
  <c r="K3463" i="9"/>
  <c r="L3466" i="9"/>
  <c r="K3471" i="9"/>
  <c r="L3474" i="9"/>
  <c r="K3479" i="9"/>
  <c r="L3482" i="9"/>
  <c r="K3487" i="9"/>
  <c r="L3490" i="9"/>
  <c r="K3495" i="9"/>
  <c r="L3498" i="9"/>
  <c r="K3503" i="9"/>
  <c r="L3506" i="9"/>
  <c r="K3511" i="9"/>
  <c r="L3514" i="9"/>
  <c r="K3519" i="9"/>
  <c r="L3522" i="9"/>
  <c r="K3527" i="9"/>
  <c r="L3530" i="9"/>
  <c r="K3535" i="9"/>
  <c r="L3538" i="9"/>
  <c r="K3543" i="9"/>
  <c r="L3546" i="9"/>
  <c r="L3650" i="9"/>
  <c r="K3650" i="9"/>
  <c r="K3661" i="9"/>
  <c r="L3661" i="9"/>
  <c r="K3806" i="9"/>
  <c r="K3682" i="9"/>
  <c r="L3685" i="9"/>
  <c r="K3690" i="9"/>
  <c r="L3693" i="9"/>
  <c r="K3698" i="9"/>
  <c r="L3701" i="9"/>
  <c r="K3706" i="9"/>
  <c r="L3709" i="9"/>
  <c r="K3714" i="9"/>
  <c r="L3717" i="9"/>
  <c r="K3722" i="9"/>
  <c r="L3725" i="9"/>
  <c r="K3730" i="9"/>
  <c r="L3733" i="9"/>
  <c r="K3738" i="9"/>
  <c r="L3741" i="9"/>
  <c r="K3746" i="9"/>
  <c r="L3749" i="9"/>
  <c r="K3754" i="9"/>
  <c r="L3757" i="9"/>
  <c r="K3762" i="9"/>
  <c r="L3765" i="9"/>
  <c r="K3770" i="9"/>
  <c r="L3773" i="9"/>
  <c r="K3778" i="9"/>
  <c r="L3781" i="9"/>
  <c r="K3786" i="9"/>
  <c r="L3789" i="9"/>
  <c r="K3794" i="9"/>
  <c r="L3797" i="9"/>
  <c r="K3802" i="9"/>
  <c r="L3805" i="9"/>
  <c r="K3810" i="9"/>
  <c r="K2" i="9"/>
  <c r="C59" i="8"/>
  <c r="Y53" i="8"/>
  <c r="X53" i="8"/>
  <c r="W53" i="8"/>
  <c r="V53" i="8"/>
  <c r="U53" i="8"/>
  <c r="T53" i="8"/>
  <c r="S53" i="8"/>
  <c r="R53" i="8"/>
  <c r="Q53" i="8"/>
  <c r="P53" i="8"/>
  <c r="Y52" i="8"/>
  <c r="X52" i="8"/>
  <c r="W52" i="8"/>
  <c r="V52" i="8"/>
  <c r="U52" i="8"/>
  <c r="T52" i="8"/>
  <c r="S52" i="8"/>
  <c r="R52" i="8"/>
  <c r="Q52" i="8"/>
  <c r="P52" i="8"/>
  <c r="Y51" i="8"/>
  <c r="X51" i="8"/>
  <c r="W51" i="8"/>
  <c r="V51" i="8"/>
  <c r="U51" i="8"/>
  <c r="T51" i="8"/>
  <c r="S51" i="8"/>
  <c r="R51" i="8"/>
  <c r="Q51" i="8"/>
  <c r="P51" i="8"/>
  <c r="Y50" i="8"/>
  <c r="X50" i="8"/>
  <c r="W50" i="8"/>
  <c r="V50" i="8"/>
  <c r="U50" i="8"/>
  <c r="T50" i="8"/>
  <c r="S50" i="8"/>
  <c r="R50" i="8"/>
  <c r="Q50" i="8"/>
  <c r="P50" i="8"/>
  <c r="Y49" i="8"/>
  <c r="X49" i="8"/>
  <c r="W49" i="8"/>
  <c r="V49" i="8"/>
  <c r="U49" i="8"/>
  <c r="T49" i="8"/>
  <c r="S49" i="8"/>
  <c r="R49" i="8"/>
  <c r="Q49" i="8"/>
  <c r="P49" i="8"/>
  <c r="Z49" i="8" s="1"/>
  <c r="M53" i="8"/>
  <c r="L53" i="8"/>
  <c r="K53" i="8"/>
  <c r="J53" i="8"/>
  <c r="I53" i="8"/>
  <c r="H53" i="8"/>
  <c r="G53" i="8"/>
  <c r="F53" i="8"/>
  <c r="E53" i="8"/>
  <c r="D53" i="8"/>
  <c r="M52" i="8"/>
  <c r="L52" i="8"/>
  <c r="K52" i="8"/>
  <c r="J52" i="8"/>
  <c r="I52" i="8"/>
  <c r="H52" i="8"/>
  <c r="G52" i="8"/>
  <c r="F52" i="8"/>
  <c r="E52" i="8"/>
  <c r="D52" i="8"/>
  <c r="N52" i="8" s="1"/>
  <c r="M51" i="8"/>
  <c r="L51" i="8"/>
  <c r="K51" i="8"/>
  <c r="J51" i="8"/>
  <c r="I51" i="8"/>
  <c r="H51" i="8"/>
  <c r="G51" i="8"/>
  <c r="F51" i="8"/>
  <c r="E51" i="8"/>
  <c r="D51" i="8"/>
  <c r="M50" i="8"/>
  <c r="L50" i="8"/>
  <c r="K50" i="8"/>
  <c r="J50" i="8"/>
  <c r="I50" i="8"/>
  <c r="H50" i="8"/>
  <c r="G50" i="8"/>
  <c r="F50" i="8"/>
  <c r="E50" i="8"/>
  <c r="D50" i="8"/>
  <c r="N50" i="8" s="1"/>
  <c r="M49" i="8"/>
  <c r="L49" i="8"/>
  <c r="K49" i="8"/>
  <c r="J49" i="8"/>
  <c r="I49" i="8"/>
  <c r="H49" i="8"/>
  <c r="G49" i="8"/>
  <c r="F49" i="8"/>
  <c r="E49" i="8"/>
  <c r="D49" i="8"/>
  <c r="D66" i="8"/>
  <c r="D65" i="8"/>
  <c r="C66" i="8"/>
  <c r="C65" i="8"/>
  <c r="Z34" i="8"/>
  <c r="Z17" i="8"/>
  <c r="J3043" i="1"/>
  <c r="J3044" i="1"/>
  <c r="J3042" i="1"/>
  <c r="J3041" i="1"/>
  <c r="J3040" i="1"/>
  <c r="J3038" i="1"/>
  <c r="J3037" i="1"/>
  <c r="J3039" i="1"/>
  <c r="J3035" i="1"/>
  <c r="J3036" i="1"/>
  <c r="J3137" i="1"/>
  <c r="J3034" i="1"/>
  <c r="J3033" i="1"/>
  <c r="J3032" i="1"/>
  <c r="J3031" i="1"/>
  <c r="J3030" i="1"/>
  <c r="J3027" i="1"/>
  <c r="J3028" i="1"/>
  <c r="J3026" i="1"/>
  <c r="J3029" i="1"/>
  <c r="J3023" i="1"/>
  <c r="J3024" i="1"/>
  <c r="J3022" i="1"/>
  <c r="J3025" i="1"/>
  <c r="J2954" i="1"/>
  <c r="J3019" i="1"/>
  <c r="J3020" i="1"/>
  <c r="J3018" i="1"/>
  <c r="J3021" i="1"/>
  <c r="J3013" i="1"/>
  <c r="J3017" i="1"/>
  <c r="J3015" i="1"/>
  <c r="J3014" i="1"/>
  <c r="J3016" i="1"/>
  <c r="J3009" i="1"/>
  <c r="J3012" i="1"/>
  <c r="J3010" i="1"/>
  <c r="J3008" i="1"/>
  <c r="J3011" i="1"/>
  <c r="J3004" i="1"/>
  <c r="J3003" i="1"/>
  <c r="J3005" i="1"/>
  <c r="J3002" i="1"/>
  <c r="J3006" i="1"/>
  <c r="J3007" i="1"/>
  <c r="J1831" i="1"/>
  <c r="J1830" i="1"/>
  <c r="J1832" i="1"/>
  <c r="J1833" i="1"/>
  <c r="J1823" i="1"/>
  <c r="J1822" i="1"/>
  <c r="J1824" i="1"/>
  <c r="J1818" i="1"/>
  <c r="J1826" i="1"/>
  <c r="J1825" i="1"/>
  <c r="J1828" i="1"/>
  <c r="J1827" i="1"/>
  <c r="J1829" i="1"/>
  <c r="J1820" i="1"/>
  <c r="J1819" i="1"/>
  <c r="J1821" i="1"/>
  <c r="J1817" i="1"/>
  <c r="I3043" i="1"/>
  <c r="I3044" i="1"/>
  <c r="I3042" i="1"/>
  <c r="I3041" i="1"/>
  <c r="I3040" i="1"/>
  <c r="I3038" i="1"/>
  <c r="I3037" i="1"/>
  <c r="I3039" i="1"/>
  <c r="I3035" i="1"/>
  <c r="I3036" i="1"/>
  <c r="I3137" i="1"/>
  <c r="I3034" i="1"/>
  <c r="I3033" i="1"/>
  <c r="I3032" i="1"/>
  <c r="I3031" i="1"/>
  <c r="I3030" i="1"/>
  <c r="I3027" i="1"/>
  <c r="I3028" i="1"/>
  <c r="I3026" i="1"/>
  <c r="I3029" i="1"/>
  <c r="I3023" i="1"/>
  <c r="I3024" i="1"/>
  <c r="I3022" i="1"/>
  <c r="I3025" i="1"/>
  <c r="I2954" i="1"/>
  <c r="I3019" i="1"/>
  <c r="I3020" i="1"/>
  <c r="I3018" i="1"/>
  <c r="I3021" i="1"/>
  <c r="I3013" i="1"/>
  <c r="I3017" i="1"/>
  <c r="I3015" i="1"/>
  <c r="I3014" i="1"/>
  <c r="I3016" i="1"/>
  <c r="I3009" i="1"/>
  <c r="I3012" i="1"/>
  <c r="I3010" i="1"/>
  <c r="I3008" i="1"/>
  <c r="I3011" i="1"/>
  <c r="I3004" i="1"/>
  <c r="I3003" i="1"/>
  <c r="I3005" i="1"/>
  <c r="I3002" i="1"/>
  <c r="I3006" i="1"/>
  <c r="I3007" i="1"/>
  <c r="I1831" i="1"/>
  <c r="I1830" i="1"/>
  <c r="I1832" i="1"/>
  <c r="I1833" i="1"/>
  <c r="I1823" i="1"/>
  <c r="I1822" i="1"/>
  <c r="I1824" i="1"/>
  <c r="I1818" i="1"/>
  <c r="I1826" i="1"/>
  <c r="I1825" i="1"/>
  <c r="I1828" i="1"/>
  <c r="I1827" i="1"/>
  <c r="I1829" i="1"/>
  <c r="I1820" i="1"/>
  <c r="I1819" i="1"/>
  <c r="I1821" i="1"/>
  <c r="I1817" i="1"/>
  <c r="H1262" i="1"/>
  <c r="H1584" i="1"/>
  <c r="H1258" i="1"/>
  <c r="H1257" i="1"/>
  <c r="H961" i="1"/>
  <c r="H957" i="1"/>
  <c r="H955" i="1"/>
  <c r="H959" i="1"/>
  <c r="H960" i="1"/>
  <c r="H964" i="1"/>
  <c r="H962" i="1"/>
  <c r="H958" i="1"/>
  <c r="H956" i="1"/>
  <c r="H963" i="1"/>
  <c r="H965" i="1"/>
  <c r="H951" i="1"/>
  <c r="H947" i="1"/>
  <c r="H946" i="1"/>
  <c r="H949" i="1"/>
  <c r="H950" i="1"/>
  <c r="H954" i="1"/>
  <c r="H952" i="1"/>
  <c r="H948" i="1"/>
  <c r="H953" i="1"/>
  <c r="H942" i="1"/>
  <c r="H938" i="1"/>
  <c r="H937" i="1"/>
  <c r="H940" i="1"/>
  <c r="H941" i="1"/>
  <c r="H945" i="1"/>
  <c r="H943" i="1"/>
  <c r="H939" i="1"/>
  <c r="H944" i="1"/>
  <c r="H933" i="1"/>
  <c r="H929" i="1"/>
  <c r="H928" i="1"/>
  <c r="H931" i="1"/>
  <c r="H932" i="1"/>
  <c r="H936" i="1"/>
  <c r="H934" i="1"/>
  <c r="H930" i="1"/>
  <c r="H935" i="1"/>
  <c r="H924" i="1"/>
  <c r="H920" i="1"/>
  <c r="H919" i="1"/>
  <c r="H922" i="1"/>
  <c r="H923" i="1"/>
  <c r="H927" i="1"/>
  <c r="H925" i="1"/>
  <c r="H921" i="1"/>
  <c r="H926" i="1"/>
  <c r="H914" i="1"/>
  <c r="H910" i="1"/>
  <c r="H909" i="1"/>
  <c r="H912" i="1"/>
  <c r="H913" i="1"/>
  <c r="H917" i="1"/>
  <c r="H915" i="1"/>
  <c r="H911" i="1"/>
  <c r="H916" i="1"/>
  <c r="H918" i="1"/>
  <c r="H904" i="1"/>
  <c r="H900" i="1"/>
  <c r="H902" i="1"/>
  <c r="H903" i="1"/>
  <c r="H908" i="1"/>
  <c r="H905" i="1"/>
  <c r="H901" i="1"/>
  <c r="H899" i="1"/>
  <c r="H907" i="1"/>
  <c r="H906" i="1"/>
  <c r="H894" i="1"/>
  <c r="H890" i="1"/>
  <c r="H889" i="1"/>
  <c r="H892" i="1"/>
  <c r="H893" i="1"/>
  <c r="H898" i="1"/>
  <c r="H895" i="1"/>
  <c r="H891" i="1"/>
  <c r="H896" i="1"/>
  <c r="H897" i="1"/>
  <c r="H885" i="1"/>
  <c r="H881" i="1"/>
  <c r="H880" i="1"/>
  <c r="H883" i="1"/>
  <c r="H884" i="1"/>
  <c r="H888" i="1"/>
  <c r="H886" i="1"/>
  <c r="H882" i="1"/>
  <c r="H887" i="1"/>
  <c r="H876" i="1"/>
  <c r="H872" i="1"/>
  <c r="H871" i="1"/>
  <c r="H874" i="1"/>
  <c r="H875" i="1"/>
  <c r="H879" i="1"/>
  <c r="H877" i="1"/>
  <c r="H873" i="1"/>
  <c r="H878" i="1"/>
  <c r="H867" i="1"/>
  <c r="H863" i="1"/>
  <c r="H862" i="1"/>
  <c r="H865" i="1"/>
  <c r="H866" i="1"/>
  <c r="H870" i="1"/>
  <c r="H868" i="1"/>
  <c r="H864" i="1"/>
  <c r="H869" i="1"/>
  <c r="H857" i="1"/>
  <c r="H853" i="1"/>
  <c r="H851" i="1"/>
  <c r="H855" i="1"/>
  <c r="H856" i="1"/>
  <c r="H860" i="1"/>
  <c r="H858" i="1"/>
  <c r="H854" i="1"/>
  <c r="H852" i="1"/>
  <c r="H859" i="1"/>
  <c r="H861" i="1"/>
  <c r="H2553" i="1"/>
  <c r="H2552" i="1"/>
  <c r="H2548" i="1"/>
  <c r="H2544" i="1"/>
  <c r="H2546" i="1"/>
  <c r="H2547" i="1"/>
  <c r="H2551" i="1"/>
  <c r="H2549" i="1"/>
  <c r="H2545" i="1"/>
  <c r="H2550" i="1"/>
  <c r="H2539" i="1"/>
  <c r="H2535" i="1"/>
  <c r="H2537" i="1"/>
  <c r="H2538" i="1"/>
  <c r="H2542" i="1"/>
  <c r="H2540" i="1"/>
  <c r="H2536" i="1"/>
  <c r="H2541" i="1"/>
  <c r="H2543" i="1"/>
  <c r="H2531" i="1"/>
  <c r="H2527" i="1"/>
  <c r="H2529" i="1"/>
  <c r="H2530" i="1"/>
  <c r="H2534" i="1"/>
  <c r="H2532" i="1"/>
  <c r="H2528" i="1"/>
  <c r="H2533" i="1"/>
  <c r="H2523" i="1"/>
  <c r="H2519" i="1"/>
  <c r="H2521" i="1"/>
  <c r="H2522" i="1"/>
  <c r="H2526" i="1"/>
  <c r="H2524" i="1"/>
  <c r="H2520" i="1"/>
  <c r="H2518" i="1"/>
  <c r="H2525" i="1"/>
  <c r="H2513" i="1"/>
  <c r="H2509" i="1"/>
  <c r="H2507" i="1"/>
  <c r="H2511" i="1"/>
  <c r="H2512" i="1"/>
  <c r="H2516" i="1"/>
  <c r="H2514" i="1"/>
  <c r="H2510" i="1"/>
  <c r="H2508" i="1"/>
  <c r="H2515" i="1"/>
  <c r="H2517" i="1"/>
  <c r="H2501" i="1"/>
  <c r="H2496" i="1"/>
  <c r="H2499" i="1"/>
  <c r="H2500" i="1"/>
  <c r="H2505" i="1"/>
  <c r="H2502" i="1"/>
  <c r="H2498" i="1"/>
  <c r="H2497" i="1"/>
  <c r="H2504" i="1"/>
  <c r="H2503" i="1"/>
  <c r="H2506" i="1"/>
  <c r="H2100" i="1"/>
  <c r="H2096" i="1"/>
  <c r="H2095" i="1"/>
  <c r="H2098" i="1"/>
  <c r="H2099" i="1"/>
  <c r="H2102" i="1"/>
  <c r="H2101" i="1"/>
  <c r="H2097" i="1"/>
  <c r="H2091" i="1"/>
  <c r="H2087" i="1"/>
  <c r="H2086" i="1"/>
  <c r="H2089" i="1"/>
  <c r="H2090" i="1"/>
  <c r="H2094" i="1"/>
  <c r="H2092" i="1"/>
  <c r="H2088" i="1"/>
  <c r="H2093" i="1"/>
  <c r="H1334" i="1"/>
  <c r="H2081" i="1"/>
  <c r="H2077" i="1"/>
  <c r="H2076" i="1"/>
  <c r="H2079" i="1"/>
  <c r="H2080" i="1"/>
  <c r="H2084" i="1"/>
  <c r="H2082" i="1"/>
  <c r="H2078" i="1"/>
  <c r="H2083" i="1"/>
  <c r="H2085" i="1"/>
  <c r="H1333" i="1"/>
  <c r="H2072" i="1"/>
  <c r="H2068" i="1"/>
  <c r="H2067" i="1"/>
  <c r="H2070" i="1"/>
  <c r="H2071" i="1"/>
  <c r="H2073" i="1"/>
  <c r="H2069" i="1"/>
  <c r="H2075" i="1"/>
  <c r="H2074" i="1"/>
  <c r="H2064" i="1"/>
  <c r="H2060" i="1"/>
  <c r="H2059" i="1"/>
  <c r="H2062" i="1"/>
  <c r="H2063" i="1"/>
  <c r="H2066" i="1"/>
  <c r="H2065" i="1"/>
  <c r="H2061" i="1"/>
  <c r="H1332" i="1"/>
  <c r="H2055" i="1"/>
  <c r="H2051" i="1"/>
  <c r="H2049" i="1"/>
  <c r="H2053" i="1"/>
  <c r="H2054" i="1"/>
  <c r="H2058" i="1"/>
  <c r="H2056" i="1"/>
  <c r="H2052" i="1"/>
  <c r="H2050" i="1"/>
  <c r="H2057" i="1"/>
  <c r="H2046" i="1"/>
  <c r="H2043" i="1"/>
  <c r="H2045" i="1"/>
  <c r="H2047" i="1"/>
  <c r="H2044" i="1"/>
  <c r="H2042" i="1"/>
  <c r="H2048" i="1"/>
  <c r="H1322" i="1"/>
  <c r="H2037" i="1"/>
  <c r="H2034" i="1"/>
  <c r="H2033" i="1"/>
  <c r="H2036" i="1"/>
  <c r="H2041" i="1"/>
  <c r="H2038" i="1"/>
  <c r="H2035" i="1"/>
  <c r="H2040" i="1"/>
  <c r="H2039" i="1"/>
  <c r="H1331" i="1"/>
  <c r="H1330" i="1"/>
  <c r="H2028" i="1"/>
  <c r="H2024" i="1"/>
  <c r="H2023" i="1"/>
  <c r="H2026" i="1"/>
  <c r="H2027" i="1"/>
  <c r="H2032" i="1"/>
  <c r="H2029" i="1"/>
  <c r="H2025" i="1"/>
  <c r="H2031" i="1"/>
  <c r="H2030" i="1"/>
  <c r="H1328" i="1"/>
  <c r="H1329" i="1"/>
  <c r="H2018" i="1"/>
  <c r="H2014" i="1"/>
  <c r="H2013" i="1"/>
  <c r="H2016" i="1"/>
  <c r="H2017" i="1"/>
  <c r="H2022" i="1"/>
  <c r="H2019" i="1"/>
  <c r="H2015" i="1"/>
  <c r="H2021" i="1"/>
  <c r="H2020" i="1"/>
  <c r="H2009" i="1"/>
  <c r="H2005" i="1"/>
  <c r="H2003" i="1"/>
  <c r="H2007" i="1"/>
  <c r="H2008" i="1"/>
  <c r="H2012" i="1"/>
  <c r="H2010" i="1"/>
  <c r="H2006" i="1"/>
  <c r="H2004" i="1"/>
  <c r="H2011" i="1"/>
  <c r="H1326" i="1"/>
  <c r="H1325" i="1"/>
  <c r="H1327" i="1"/>
  <c r="H1321" i="1"/>
  <c r="H1320" i="1"/>
  <c r="H1997" i="1"/>
  <c r="H1996" i="1"/>
  <c r="H1999" i="1"/>
  <c r="H2000" i="1"/>
  <c r="H2002" i="1"/>
  <c r="H1998" i="1"/>
  <c r="H2001" i="1"/>
  <c r="H1323" i="1"/>
  <c r="H1324" i="1"/>
  <c r="H3135" i="1"/>
  <c r="H3136" i="1"/>
  <c r="H1754" i="1"/>
  <c r="H1756" i="1"/>
  <c r="H1755" i="1"/>
  <c r="H1753" i="1"/>
  <c r="H1750" i="1"/>
  <c r="H1752" i="1"/>
  <c r="H1751" i="1"/>
  <c r="H1749" i="1"/>
  <c r="H1746" i="1"/>
  <c r="H1745" i="1"/>
  <c r="H1748" i="1"/>
  <c r="H1747" i="1"/>
  <c r="H1744" i="1"/>
  <c r="H1740" i="1"/>
  <c r="H1738" i="1"/>
  <c r="H1739" i="1"/>
  <c r="H1743" i="1"/>
  <c r="H1741" i="1"/>
  <c r="H1737" i="1"/>
  <c r="H1742" i="1"/>
  <c r="H1732" i="1"/>
  <c r="H1730" i="1"/>
  <c r="H1731" i="1"/>
  <c r="H1735" i="1"/>
  <c r="H1733" i="1"/>
  <c r="H1729" i="1"/>
  <c r="H1734" i="1"/>
  <c r="H1736" i="1"/>
  <c r="H1726" i="1"/>
  <c r="H1724" i="1"/>
  <c r="H1725" i="1"/>
  <c r="H1728" i="1"/>
  <c r="H1727" i="1"/>
  <c r="H1723" i="1"/>
  <c r="H1718" i="1"/>
  <c r="H1716" i="1"/>
  <c r="H1717" i="1"/>
  <c r="H1721" i="1"/>
  <c r="H1719" i="1"/>
  <c r="H1715" i="1"/>
  <c r="H1720" i="1"/>
  <c r="H1722" i="1"/>
  <c r="H1710" i="1"/>
  <c r="H1708" i="1"/>
  <c r="H1709" i="1"/>
  <c r="H1713" i="1"/>
  <c r="H1711" i="1"/>
  <c r="H1707" i="1"/>
  <c r="H1712" i="1"/>
  <c r="H1714" i="1"/>
  <c r="H1701" i="1"/>
  <c r="H1699" i="1"/>
  <c r="H1700" i="1"/>
  <c r="H1705" i="1"/>
  <c r="H1702" i="1"/>
  <c r="H1698" i="1"/>
  <c r="H1704" i="1"/>
  <c r="H1703" i="1"/>
  <c r="H1706" i="1"/>
  <c r="H1693" i="1"/>
  <c r="H1691" i="1"/>
  <c r="H1692" i="1"/>
  <c r="H1696" i="1"/>
  <c r="H1694" i="1"/>
  <c r="H1690" i="1"/>
  <c r="H1695" i="1"/>
  <c r="H1697" i="1"/>
  <c r="H1685" i="1"/>
  <c r="H1683" i="1"/>
  <c r="H1684" i="1"/>
  <c r="H1689" i="1"/>
  <c r="H1686" i="1"/>
  <c r="H1682" i="1"/>
  <c r="H1688" i="1"/>
  <c r="H1687" i="1"/>
  <c r="H1678" i="1"/>
  <c r="H1676" i="1"/>
  <c r="H1677" i="1"/>
  <c r="H1681" i="1"/>
  <c r="H1679" i="1"/>
  <c r="H1675" i="1"/>
  <c r="H1680" i="1"/>
  <c r="H1305" i="1"/>
  <c r="H1304" i="1"/>
  <c r="H1261" i="1"/>
  <c r="H1303" i="1"/>
  <c r="H1301" i="1"/>
  <c r="H1302" i="1"/>
  <c r="H1260" i="1"/>
  <c r="H1259" i="1"/>
  <c r="H1299" i="1"/>
  <c r="H1300" i="1"/>
  <c r="H1298" i="1"/>
  <c r="H1297" i="1"/>
  <c r="H3544" i="1"/>
  <c r="H3543" i="1"/>
  <c r="H3542" i="1"/>
  <c r="H3541" i="1"/>
  <c r="H3540" i="1"/>
  <c r="H3539" i="1"/>
  <c r="H3471" i="1"/>
  <c r="H3470" i="1"/>
  <c r="H3537" i="1"/>
  <c r="H3536" i="1"/>
  <c r="H3538" i="1"/>
  <c r="H3468" i="1"/>
  <c r="H3467" i="1"/>
  <c r="H3469" i="1"/>
  <c r="H3534" i="1"/>
  <c r="H3533" i="1"/>
  <c r="H3535" i="1"/>
  <c r="H3466" i="1"/>
  <c r="H3465" i="1"/>
  <c r="H3530" i="1"/>
  <c r="H3531" i="1"/>
  <c r="H3529" i="1"/>
  <c r="H3532" i="1"/>
  <c r="H3462" i="1"/>
  <c r="H3464" i="1"/>
  <c r="H3461" i="1"/>
  <c r="H3463" i="1"/>
  <c r="H3525" i="1"/>
  <c r="H3528" i="1"/>
  <c r="H3526" i="1"/>
  <c r="H3524" i="1"/>
  <c r="H3523" i="1"/>
  <c r="H3527" i="1"/>
  <c r="H3458" i="1"/>
  <c r="H3460" i="1"/>
  <c r="H3457" i="1"/>
  <c r="H3459" i="1"/>
  <c r="H3519" i="1"/>
  <c r="H3518" i="1"/>
  <c r="H3522" i="1"/>
  <c r="H3520" i="1"/>
  <c r="H3517" i="1"/>
  <c r="H3521" i="1"/>
  <c r="H3455" i="1"/>
  <c r="H3454" i="1"/>
  <c r="H3456" i="1"/>
  <c r="H3512" i="1"/>
  <c r="H3511" i="1"/>
  <c r="H3513" i="1"/>
  <c r="H3510" i="1"/>
  <c r="H3515" i="1"/>
  <c r="H3514" i="1"/>
  <c r="H3516" i="1"/>
  <c r="H3452" i="1"/>
  <c r="H3451" i="1"/>
  <c r="H3453" i="1"/>
  <c r="H3506" i="1"/>
  <c r="H3505" i="1"/>
  <c r="H3509" i="1"/>
  <c r="H3507" i="1"/>
  <c r="H3504" i="1"/>
  <c r="H3503" i="1"/>
  <c r="H3508" i="1"/>
  <c r="H3448" i="1"/>
  <c r="H3449" i="1"/>
  <c r="H3447" i="1"/>
  <c r="H3450" i="1"/>
  <c r="H2759" i="1"/>
  <c r="H2758" i="1"/>
  <c r="H2757" i="1"/>
  <c r="H2755" i="1"/>
  <c r="H2756" i="1"/>
  <c r="H2753" i="1"/>
  <c r="H2754" i="1"/>
  <c r="H2751" i="1"/>
  <c r="H2752" i="1"/>
  <c r="H2749" i="1"/>
  <c r="H2748" i="1"/>
  <c r="H2750" i="1"/>
  <c r="H2745" i="1"/>
  <c r="H2746" i="1"/>
  <c r="H2744" i="1"/>
  <c r="H2743" i="1"/>
  <c r="H2747" i="1"/>
  <c r="H2741" i="1"/>
  <c r="H2740" i="1"/>
  <c r="H2742" i="1"/>
  <c r="H2738" i="1"/>
  <c r="H2737" i="1"/>
  <c r="H2739" i="1"/>
  <c r="H2735" i="1"/>
  <c r="H2734" i="1"/>
  <c r="H2736" i="1"/>
  <c r="H3179" i="1"/>
  <c r="H3180" i="1"/>
  <c r="H3177" i="1"/>
  <c r="H3176" i="1"/>
  <c r="H3178" i="1"/>
  <c r="H3175" i="1"/>
  <c r="H3183" i="1"/>
  <c r="H3174" i="1"/>
  <c r="H3182" i="1"/>
  <c r="H3172" i="1"/>
  <c r="H3173" i="1"/>
  <c r="H3171" i="1"/>
  <c r="H3170" i="1"/>
  <c r="H3167" i="1"/>
  <c r="H3168" i="1"/>
  <c r="H3169" i="1"/>
  <c r="H3181" i="1"/>
  <c r="H3166" i="1"/>
  <c r="H3164" i="1"/>
  <c r="H3165" i="1"/>
  <c r="H1994" i="1"/>
  <c r="H1990" i="1"/>
  <c r="H1988" i="1"/>
  <c r="H1989" i="1"/>
  <c r="H1993" i="1"/>
  <c r="H1991" i="1"/>
  <c r="H1987" i="1"/>
  <c r="H1992" i="1"/>
  <c r="H1901" i="1"/>
  <c r="H1902" i="1"/>
  <c r="H1900" i="1"/>
  <c r="H1903" i="1"/>
  <c r="H1904" i="1"/>
  <c r="H1983" i="1"/>
  <c r="H1982" i="1"/>
  <c r="H1986" i="1"/>
  <c r="H1984" i="1"/>
  <c r="H1981" i="1"/>
  <c r="H1985" i="1"/>
  <c r="H1898" i="1"/>
  <c r="H1897" i="1"/>
  <c r="H1899" i="1"/>
  <c r="H1896" i="1"/>
  <c r="H1278" i="1"/>
  <c r="H1279" i="1"/>
  <c r="H1976" i="1"/>
  <c r="H1972" i="1"/>
  <c r="H1971" i="1"/>
  <c r="H1974" i="1"/>
  <c r="H1975" i="1"/>
  <c r="H1980" i="1"/>
  <c r="H1977" i="1"/>
  <c r="H1973" i="1"/>
  <c r="H1979" i="1"/>
  <c r="H1978" i="1"/>
  <c r="H1892" i="1"/>
  <c r="H1888" i="1"/>
  <c r="H1890" i="1"/>
  <c r="H1891" i="1"/>
  <c r="H1895" i="1"/>
  <c r="H1893" i="1"/>
  <c r="H1889" i="1"/>
  <c r="H1894" i="1"/>
  <c r="H1277" i="1"/>
  <c r="H1967" i="1"/>
  <c r="H1964" i="1"/>
  <c r="H1966" i="1"/>
  <c r="H1970" i="1"/>
  <c r="H1968" i="1"/>
  <c r="H1965" i="1"/>
  <c r="H1969" i="1"/>
  <c r="H1887" i="1"/>
  <c r="H1885" i="1"/>
  <c r="H1884" i="1"/>
  <c r="H1886" i="1"/>
  <c r="H1276" i="1"/>
  <c r="H1958" i="1"/>
  <c r="H1957" i="1"/>
  <c r="H1962" i="1"/>
  <c r="H1959" i="1"/>
  <c r="H1956" i="1"/>
  <c r="H1961" i="1"/>
  <c r="H1960" i="1"/>
  <c r="H1963" i="1"/>
  <c r="H1882" i="1"/>
  <c r="H1883" i="1"/>
  <c r="H1881" i="1"/>
  <c r="H1954" i="1"/>
  <c r="H1955" i="1"/>
  <c r="H1880" i="1"/>
  <c r="H1878" i="1"/>
  <c r="H1877" i="1"/>
  <c r="H1879" i="1"/>
  <c r="H1949" i="1"/>
  <c r="H1947" i="1"/>
  <c r="H1948" i="1"/>
  <c r="H1953" i="1"/>
  <c r="H1950" i="1"/>
  <c r="H1946" i="1"/>
  <c r="H1952" i="1"/>
  <c r="H1951" i="1"/>
  <c r="H1872" i="1"/>
  <c r="H1870" i="1"/>
  <c r="H1871" i="1"/>
  <c r="H1876" i="1"/>
  <c r="H1873" i="1"/>
  <c r="H1869" i="1"/>
  <c r="H1875" i="1"/>
  <c r="H1874" i="1"/>
  <c r="H1941" i="1"/>
  <c r="H1940" i="1"/>
  <c r="H1944" i="1"/>
  <c r="H1942" i="1"/>
  <c r="H1939" i="1"/>
  <c r="H1943" i="1"/>
  <c r="H1945" i="1"/>
  <c r="H1865" i="1"/>
  <c r="H1864" i="1"/>
  <c r="H1868" i="1"/>
  <c r="H1866" i="1"/>
  <c r="H1863" i="1"/>
  <c r="H1867" i="1"/>
  <c r="H1275" i="1"/>
  <c r="H1274" i="1"/>
  <c r="H1934" i="1"/>
  <c r="H1930" i="1"/>
  <c r="H1932" i="1"/>
  <c r="H1933" i="1"/>
  <c r="H1937" i="1"/>
  <c r="H1935" i="1"/>
  <c r="H1931" i="1"/>
  <c r="H1929" i="1"/>
  <c r="H1936" i="1"/>
  <c r="H1938" i="1"/>
  <c r="H1858" i="1"/>
  <c r="H1857" i="1"/>
  <c r="H1861" i="1"/>
  <c r="H1859" i="1"/>
  <c r="H1856" i="1"/>
  <c r="H1855" i="1"/>
  <c r="H1860" i="1"/>
  <c r="H1862" i="1"/>
  <c r="H1273" i="1"/>
  <c r="H1272" i="1"/>
  <c r="H1924" i="1"/>
  <c r="H1922" i="1"/>
  <c r="H1923" i="1"/>
  <c r="H1927" i="1"/>
  <c r="H1925" i="1"/>
  <c r="H1921" i="1"/>
  <c r="H1926" i="1"/>
  <c r="H1928" i="1"/>
  <c r="H1853" i="1"/>
  <c r="H1854" i="1"/>
  <c r="H1852" i="1"/>
  <c r="H1270" i="1"/>
  <c r="H1269" i="1"/>
  <c r="H1268" i="1"/>
  <c r="H1271" i="1"/>
  <c r="H1915" i="1"/>
  <c r="H1911" i="1"/>
  <c r="H1909" i="1"/>
  <c r="H1913" i="1"/>
  <c r="H1914" i="1"/>
  <c r="H1919" i="1"/>
  <c r="H1916" i="1"/>
  <c r="H1912" i="1"/>
  <c r="H1910" i="1"/>
  <c r="H1918" i="1"/>
  <c r="H1917" i="1"/>
  <c r="H1920" i="1"/>
  <c r="H1846" i="1"/>
  <c r="H1844" i="1"/>
  <c r="H1845" i="1"/>
  <c r="H1850" i="1"/>
  <c r="H1847" i="1"/>
  <c r="H1843" i="1"/>
  <c r="H1849" i="1"/>
  <c r="H1848" i="1"/>
  <c r="H1851" i="1"/>
  <c r="H1267" i="1"/>
  <c r="H1266" i="1"/>
  <c r="H1906" i="1"/>
  <c r="H1908" i="1"/>
  <c r="H1907" i="1"/>
  <c r="H1905" i="1"/>
  <c r="H1840" i="1"/>
  <c r="H1841" i="1"/>
  <c r="H1839" i="1"/>
  <c r="H1842" i="1"/>
  <c r="H1263" i="1"/>
  <c r="H1265" i="1"/>
  <c r="H1264" i="1"/>
  <c r="H1049" i="1"/>
  <c r="H1047" i="1"/>
  <c r="H1048" i="1"/>
  <c r="H1051" i="1"/>
  <c r="H1050" i="1"/>
  <c r="H1046" i="1"/>
  <c r="H845" i="1"/>
  <c r="H841" i="1"/>
  <c r="H840" i="1"/>
  <c r="H843" i="1"/>
  <c r="H844" i="1"/>
  <c r="H849" i="1"/>
  <c r="H846" i="1"/>
  <c r="H842" i="1"/>
  <c r="H848" i="1"/>
  <c r="H847" i="1"/>
  <c r="H850" i="1"/>
  <c r="H728" i="1"/>
  <c r="H724" i="1"/>
  <c r="H722" i="1"/>
  <c r="H726" i="1"/>
  <c r="H727" i="1"/>
  <c r="H733" i="1"/>
  <c r="H729" i="1"/>
  <c r="H725" i="1"/>
  <c r="H730" i="1"/>
  <c r="H723" i="1"/>
  <c r="H732" i="1"/>
  <c r="H731" i="1"/>
  <c r="H734" i="1"/>
  <c r="H1042" i="1"/>
  <c r="H1040" i="1"/>
  <c r="H1041" i="1"/>
  <c r="H1045" i="1"/>
  <c r="H1043" i="1"/>
  <c r="H1039" i="1"/>
  <c r="H1044" i="1"/>
  <c r="H835" i="1"/>
  <c r="H834" i="1"/>
  <c r="H839" i="1"/>
  <c r="H836" i="1"/>
  <c r="H833" i="1"/>
  <c r="H838" i="1"/>
  <c r="H837" i="1"/>
  <c r="H716" i="1"/>
  <c r="H712" i="1"/>
  <c r="H714" i="1"/>
  <c r="H715" i="1"/>
  <c r="H720" i="1"/>
  <c r="H717" i="1"/>
  <c r="H713" i="1"/>
  <c r="H711" i="1"/>
  <c r="H719" i="1"/>
  <c r="H718" i="1"/>
  <c r="H721" i="1"/>
  <c r="H1035" i="1"/>
  <c r="H1031" i="1"/>
  <c r="H1033" i="1"/>
  <c r="H1034" i="1"/>
  <c r="H1038" i="1"/>
  <c r="H1036" i="1"/>
  <c r="H1032" i="1"/>
  <c r="H1037" i="1"/>
  <c r="H828" i="1"/>
  <c r="H823" i="1"/>
  <c r="H826" i="1"/>
  <c r="H827" i="1"/>
  <c r="H831" i="1"/>
  <c r="H829" i="1"/>
  <c r="H825" i="1"/>
  <c r="H824" i="1"/>
  <c r="H830" i="1"/>
  <c r="H832" i="1"/>
  <c r="H704" i="1"/>
  <c r="H700" i="1"/>
  <c r="H698" i="1"/>
  <c r="H702" i="1"/>
  <c r="H703" i="1"/>
  <c r="H709" i="1"/>
  <c r="H705" i="1"/>
  <c r="H701" i="1"/>
  <c r="H706" i="1"/>
  <c r="H699" i="1"/>
  <c r="H708" i="1"/>
  <c r="H707" i="1"/>
  <c r="H710" i="1"/>
  <c r="H1027" i="1"/>
  <c r="H1025" i="1"/>
  <c r="H1026" i="1"/>
  <c r="H1030" i="1"/>
  <c r="H1028" i="1"/>
  <c r="H1024" i="1"/>
  <c r="H1029" i="1"/>
  <c r="H817" i="1"/>
  <c r="H815" i="1"/>
  <c r="H816" i="1"/>
  <c r="H821" i="1"/>
  <c r="H818" i="1"/>
  <c r="H814" i="1"/>
  <c r="H813" i="1"/>
  <c r="H820" i="1"/>
  <c r="H819" i="1"/>
  <c r="H822" i="1"/>
  <c r="H692" i="1"/>
  <c r="H688" i="1"/>
  <c r="H686" i="1"/>
  <c r="H690" i="1"/>
  <c r="H691" i="1"/>
  <c r="H696" i="1"/>
  <c r="H693" i="1"/>
  <c r="H689" i="1"/>
  <c r="H687" i="1"/>
  <c r="H695" i="1"/>
  <c r="H694" i="1"/>
  <c r="H697" i="1"/>
  <c r="H1020" i="1"/>
  <c r="H1016" i="1"/>
  <c r="H1015" i="1"/>
  <c r="H1018" i="1"/>
  <c r="H1019" i="1"/>
  <c r="H1022" i="1"/>
  <c r="H1021" i="1"/>
  <c r="H1017" i="1"/>
  <c r="H1023" i="1"/>
  <c r="H807" i="1"/>
  <c r="H803" i="1"/>
  <c r="H805" i="1"/>
  <c r="H806" i="1"/>
  <c r="H811" i="1"/>
  <c r="H808" i="1"/>
  <c r="H804" i="1"/>
  <c r="H810" i="1"/>
  <c r="H809" i="1"/>
  <c r="H812" i="1"/>
  <c r="H680" i="1"/>
  <c r="H676" i="1"/>
  <c r="H674" i="1"/>
  <c r="H678" i="1"/>
  <c r="H679" i="1"/>
  <c r="H684" i="1"/>
  <c r="H681" i="1"/>
  <c r="H677" i="1"/>
  <c r="H675" i="1"/>
  <c r="H683" i="1"/>
  <c r="H682" i="1"/>
  <c r="H685" i="1"/>
  <c r="H1012" i="1"/>
  <c r="H1010" i="1"/>
  <c r="H1011" i="1"/>
  <c r="H1014" i="1"/>
  <c r="H1013" i="1"/>
  <c r="H1009" i="1"/>
  <c r="H1008" i="1"/>
  <c r="H797" i="1"/>
  <c r="H793" i="1"/>
  <c r="H796" i="1"/>
  <c r="H801" i="1"/>
  <c r="H798" i="1"/>
  <c r="H795" i="1"/>
  <c r="H794" i="1"/>
  <c r="H800" i="1"/>
  <c r="H799" i="1"/>
  <c r="H802" i="1"/>
  <c r="H670" i="1"/>
  <c r="H666" i="1"/>
  <c r="H668" i="1"/>
  <c r="H669" i="1"/>
  <c r="H673" i="1"/>
  <c r="H671" i="1"/>
  <c r="H667" i="1"/>
  <c r="H665" i="1"/>
  <c r="H672" i="1"/>
  <c r="H1005" i="1"/>
  <c r="H1003" i="1"/>
  <c r="H1004" i="1"/>
  <c r="H1007" i="1"/>
  <c r="H1006" i="1"/>
  <c r="H1002" i="1"/>
  <c r="H788" i="1"/>
  <c r="H786" i="1"/>
  <c r="H787" i="1"/>
  <c r="H792" i="1"/>
  <c r="H789" i="1"/>
  <c r="H785" i="1"/>
  <c r="H784" i="1"/>
  <c r="H791" i="1"/>
  <c r="H790" i="1"/>
  <c r="H659" i="1"/>
  <c r="H655" i="1"/>
  <c r="H653" i="1"/>
  <c r="H657" i="1"/>
  <c r="H658" i="1"/>
  <c r="H663" i="1"/>
  <c r="H660" i="1"/>
  <c r="H656" i="1"/>
  <c r="H654" i="1"/>
  <c r="H662" i="1"/>
  <c r="H661" i="1"/>
  <c r="H664" i="1"/>
  <c r="H999" i="1"/>
  <c r="H997" i="1"/>
  <c r="H998" i="1"/>
  <c r="H1001" i="1"/>
  <c r="H1000" i="1"/>
  <c r="H996" i="1"/>
  <c r="H778" i="1"/>
  <c r="H773" i="1"/>
  <c r="H776" i="1"/>
  <c r="H777" i="1"/>
  <c r="H782" i="1"/>
  <c r="H779" i="1"/>
  <c r="H775" i="1"/>
  <c r="H774" i="1"/>
  <c r="H781" i="1"/>
  <c r="H780" i="1"/>
  <c r="H783" i="1"/>
  <c r="H648" i="1"/>
  <c r="H644" i="1"/>
  <c r="H642" i="1"/>
  <c r="H646" i="1"/>
  <c r="H647" i="1"/>
  <c r="H652" i="1"/>
  <c r="H649" i="1"/>
  <c r="H645" i="1"/>
  <c r="H643" i="1"/>
  <c r="H651" i="1"/>
  <c r="H650" i="1"/>
  <c r="H991" i="1"/>
  <c r="H987" i="1"/>
  <c r="H989" i="1"/>
  <c r="H990" i="1"/>
  <c r="H995" i="1"/>
  <c r="H992" i="1"/>
  <c r="H988" i="1"/>
  <c r="H994" i="1"/>
  <c r="H993" i="1"/>
  <c r="H768" i="1"/>
  <c r="H763" i="1"/>
  <c r="H766" i="1"/>
  <c r="H767" i="1"/>
  <c r="H772" i="1"/>
  <c r="H769" i="1"/>
  <c r="H765" i="1"/>
  <c r="H764" i="1"/>
  <c r="H771" i="1"/>
  <c r="H770" i="1"/>
  <c r="H635" i="1"/>
  <c r="H631" i="1"/>
  <c r="H629" i="1"/>
  <c r="H633" i="1"/>
  <c r="H634" i="1"/>
  <c r="H640" i="1"/>
  <c r="H636" i="1"/>
  <c r="H632" i="1"/>
  <c r="H637" i="1"/>
  <c r="H630" i="1"/>
  <c r="H639" i="1"/>
  <c r="H638" i="1"/>
  <c r="H641" i="1"/>
  <c r="H983" i="1"/>
  <c r="H981" i="1"/>
  <c r="H982" i="1"/>
  <c r="H986" i="1"/>
  <c r="H984" i="1"/>
  <c r="H980" i="1"/>
  <c r="H985" i="1"/>
  <c r="H758" i="1"/>
  <c r="H753" i="1"/>
  <c r="H756" i="1"/>
  <c r="H757" i="1"/>
  <c r="H761" i="1"/>
  <c r="H759" i="1"/>
  <c r="H755" i="1"/>
  <c r="H754" i="1"/>
  <c r="H760" i="1"/>
  <c r="H762" i="1"/>
  <c r="H622" i="1"/>
  <c r="H618" i="1"/>
  <c r="H616" i="1"/>
  <c r="H620" i="1"/>
  <c r="H621" i="1"/>
  <c r="H627" i="1"/>
  <c r="H623" i="1"/>
  <c r="H619" i="1"/>
  <c r="H624" i="1"/>
  <c r="H617" i="1"/>
  <c r="H626" i="1"/>
  <c r="H625" i="1"/>
  <c r="H628" i="1"/>
  <c r="H976" i="1"/>
  <c r="H975" i="1"/>
  <c r="H979" i="1"/>
  <c r="H977" i="1"/>
  <c r="H974" i="1"/>
  <c r="H978" i="1"/>
  <c r="H747" i="1"/>
  <c r="H743" i="1"/>
  <c r="H745" i="1"/>
  <c r="H746" i="1"/>
  <c r="H752" i="1"/>
  <c r="H748" i="1"/>
  <c r="H744" i="1"/>
  <c r="H749" i="1"/>
  <c r="H751" i="1"/>
  <c r="H750" i="1"/>
  <c r="H609" i="1"/>
  <c r="H605" i="1"/>
  <c r="H603" i="1"/>
  <c r="H607" i="1"/>
  <c r="H608" i="1"/>
  <c r="H614" i="1"/>
  <c r="H610" i="1"/>
  <c r="H606" i="1"/>
  <c r="H611" i="1"/>
  <c r="H604" i="1"/>
  <c r="H613" i="1"/>
  <c r="H612" i="1"/>
  <c r="H615" i="1"/>
  <c r="H970" i="1"/>
  <c r="H966" i="1"/>
  <c r="H968" i="1"/>
  <c r="H969" i="1"/>
  <c r="H973" i="1"/>
  <c r="H971" i="1"/>
  <c r="H967" i="1"/>
  <c r="H972" i="1"/>
  <c r="H739" i="1"/>
  <c r="H735" i="1"/>
  <c r="H737" i="1"/>
  <c r="H738" i="1"/>
  <c r="H742" i="1"/>
  <c r="H740" i="1"/>
  <c r="H736" i="1"/>
  <c r="H741" i="1"/>
  <c r="H597" i="1"/>
  <c r="H592" i="1"/>
  <c r="H595" i="1"/>
  <c r="H596" i="1"/>
  <c r="H601" i="1"/>
  <c r="H598" i="1"/>
  <c r="H594" i="1"/>
  <c r="H599" i="1"/>
  <c r="H593" i="1"/>
  <c r="H600" i="1"/>
  <c r="H602" i="1"/>
  <c r="H1524" i="1"/>
  <c r="H1523" i="1"/>
  <c r="H1526" i="1"/>
  <c r="H1525" i="1"/>
  <c r="H1522" i="1"/>
  <c r="H1521" i="1"/>
  <c r="H1520" i="1"/>
  <c r="H1519" i="1"/>
  <c r="H1518" i="1"/>
  <c r="H1515" i="1"/>
  <c r="H1517" i="1"/>
  <c r="H1516" i="1"/>
  <c r="H1512" i="1"/>
  <c r="H1511" i="1"/>
  <c r="H1514" i="1"/>
  <c r="H1513" i="1"/>
  <c r="H1510" i="1"/>
  <c r="H1507" i="1"/>
  <c r="H1509" i="1"/>
  <c r="H1508" i="1"/>
  <c r="H1504" i="1"/>
  <c r="H1506" i="1"/>
  <c r="H1505" i="1"/>
  <c r="H1503" i="1"/>
  <c r="H1500" i="1"/>
  <c r="H1502" i="1"/>
  <c r="H1501" i="1"/>
  <c r="H1499" i="1"/>
  <c r="H1496" i="1"/>
  <c r="H1498" i="1"/>
  <c r="H1497" i="1"/>
  <c r="H1495" i="1"/>
  <c r="H1492" i="1"/>
  <c r="H1491" i="1"/>
  <c r="H1494" i="1"/>
  <c r="H1493" i="1"/>
  <c r="H1490" i="1"/>
  <c r="H1487" i="1"/>
  <c r="H1486" i="1"/>
  <c r="H1489" i="1"/>
  <c r="H1488" i="1"/>
  <c r="H2970" i="1"/>
  <c r="H1319" i="1"/>
  <c r="H1318" i="1"/>
  <c r="H1317" i="1"/>
  <c r="H1316" i="1"/>
  <c r="H1314" i="1"/>
  <c r="H1315" i="1"/>
  <c r="H2842" i="1"/>
  <c r="H2843" i="1"/>
  <c r="H2844" i="1"/>
  <c r="H2841" i="1"/>
  <c r="H1312" i="1"/>
  <c r="H1313" i="1"/>
  <c r="H2838" i="1"/>
  <c r="H2839" i="1"/>
  <c r="H2840" i="1"/>
  <c r="H2837" i="1"/>
  <c r="H1310" i="1"/>
  <c r="H1311" i="1"/>
  <c r="H2832" i="1"/>
  <c r="H2833" i="1"/>
  <c r="H2836" i="1"/>
  <c r="H2834" i="1"/>
  <c r="H2831" i="1"/>
  <c r="H2835" i="1"/>
  <c r="H1308" i="1"/>
  <c r="H1309" i="1"/>
  <c r="H2826" i="1"/>
  <c r="H2828" i="1"/>
  <c r="H2829" i="1"/>
  <c r="H2830" i="1"/>
  <c r="H2827" i="1"/>
  <c r="H1306" i="1"/>
  <c r="H1307" i="1"/>
  <c r="H1671" i="1"/>
  <c r="H1669" i="1"/>
  <c r="H1670" i="1"/>
  <c r="H1674" i="1"/>
  <c r="H1672" i="1"/>
  <c r="H1668" i="1"/>
  <c r="H1673" i="1"/>
  <c r="H1664" i="1"/>
  <c r="H1662" i="1"/>
  <c r="H1663" i="1"/>
  <c r="H1667" i="1"/>
  <c r="H1665" i="1"/>
  <c r="H1661" i="1"/>
  <c r="H1666" i="1"/>
  <c r="H1657" i="1"/>
  <c r="H1656" i="1"/>
  <c r="H1660" i="1"/>
  <c r="H1658" i="1"/>
  <c r="H1655" i="1"/>
  <c r="H1654" i="1"/>
  <c r="H1659" i="1"/>
  <c r="H1650" i="1"/>
  <c r="H1648" i="1"/>
  <c r="H1649" i="1"/>
  <c r="H1653" i="1"/>
  <c r="H1651" i="1"/>
  <c r="H1647" i="1"/>
  <c r="H1652" i="1"/>
  <c r="H1643" i="1"/>
  <c r="H1642" i="1"/>
  <c r="H1646" i="1"/>
  <c r="H1644" i="1"/>
  <c r="H1641" i="1"/>
  <c r="H1645" i="1"/>
  <c r="H1636" i="1"/>
  <c r="H1634" i="1"/>
  <c r="H1635" i="1"/>
  <c r="H1639" i="1"/>
  <c r="H1637" i="1"/>
  <c r="H1633" i="1"/>
  <c r="H1638" i="1"/>
  <c r="H1640" i="1"/>
  <c r="H1629" i="1"/>
  <c r="H1627" i="1"/>
  <c r="H1628" i="1"/>
  <c r="H1632" i="1"/>
  <c r="H1630" i="1"/>
  <c r="H1626" i="1"/>
  <c r="H1631" i="1"/>
  <c r="H1622" i="1"/>
  <c r="H1620" i="1"/>
  <c r="H1621" i="1"/>
  <c r="H1625" i="1"/>
  <c r="H1623" i="1"/>
  <c r="H1619" i="1"/>
  <c r="H1618" i="1"/>
  <c r="H1624" i="1"/>
  <c r="H1614" i="1"/>
  <c r="H1610" i="1"/>
  <c r="H1612" i="1"/>
  <c r="H1613" i="1"/>
  <c r="H1617" i="1"/>
  <c r="H1615" i="1"/>
  <c r="H1611" i="1"/>
  <c r="H1616" i="1"/>
  <c r="H1606" i="1"/>
  <c r="H1604" i="1"/>
  <c r="H1605" i="1"/>
  <c r="H1609" i="1"/>
  <c r="H1607" i="1"/>
  <c r="H1603" i="1"/>
  <c r="H1602" i="1"/>
  <c r="H1608" i="1"/>
  <c r="H1597" i="1"/>
  <c r="H1595" i="1"/>
  <c r="H1596" i="1"/>
  <c r="H1600" i="1"/>
  <c r="H1598" i="1"/>
  <c r="H1594" i="1"/>
  <c r="H1599" i="1"/>
  <c r="H1601" i="1"/>
  <c r="H1590" i="1"/>
  <c r="H1588" i="1"/>
  <c r="H1589" i="1"/>
  <c r="H1593" i="1"/>
  <c r="H1591" i="1"/>
  <c r="H1587" i="1"/>
  <c r="H1592" i="1"/>
  <c r="H2955" i="1"/>
  <c r="H3051" i="1"/>
  <c r="H3329" i="1"/>
  <c r="H3050" i="1"/>
  <c r="H3049" i="1"/>
  <c r="H3328" i="1"/>
  <c r="H3048" i="1"/>
  <c r="H3047" i="1"/>
  <c r="H3327" i="1"/>
  <c r="H3326" i="1"/>
  <c r="H3324" i="1"/>
  <c r="H3325" i="1"/>
  <c r="H3106" i="1"/>
  <c r="H3105" i="1"/>
  <c r="H3046" i="1"/>
  <c r="H3322" i="1"/>
  <c r="H3321" i="1"/>
  <c r="H3323" i="1"/>
  <c r="H3045" i="1"/>
  <c r="H1580" i="1"/>
  <c r="H1579" i="1"/>
  <c r="H1553" i="1"/>
  <c r="H1552" i="1"/>
  <c r="H1551" i="1"/>
  <c r="H1554" i="1"/>
  <c r="H1479" i="1"/>
  <c r="H1478" i="1"/>
  <c r="H1483" i="1"/>
  <c r="H1480" i="1"/>
  <c r="H1477" i="1"/>
  <c r="H1482" i="1"/>
  <c r="H1481" i="1"/>
  <c r="H1484" i="1"/>
  <c r="H1578" i="1"/>
  <c r="H1549" i="1"/>
  <c r="H1550" i="1"/>
  <c r="H1469" i="1"/>
  <c r="H1472" i="1"/>
  <c r="H1476" i="1"/>
  <c r="H1473" i="1"/>
  <c r="H1471" i="1"/>
  <c r="H1470" i="1"/>
  <c r="H1475" i="1"/>
  <c r="H1474" i="1"/>
  <c r="H1577" i="1"/>
  <c r="H1576" i="1"/>
  <c r="H1547" i="1"/>
  <c r="H1548" i="1"/>
  <c r="H1465" i="1"/>
  <c r="H1462" i="1"/>
  <c r="H1464" i="1"/>
  <c r="H1468" i="1"/>
  <c r="H1466" i="1"/>
  <c r="H1463" i="1"/>
  <c r="H1461" i="1"/>
  <c r="H1467" i="1"/>
  <c r="H1574" i="1"/>
  <c r="H1575" i="1"/>
  <c r="H1545" i="1"/>
  <c r="H1546" i="1"/>
  <c r="H1457" i="1"/>
  <c r="H1460" i="1"/>
  <c r="H1458" i="1"/>
  <c r="H1456" i="1"/>
  <c r="H1459" i="1"/>
  <c r="H1573" i="1"/>
  <c r="H1572" i="1"/>
  <c r="H1543" i="1"/>
  <c r="H1544" i="1"/>
  <c r="H1453" i="1"/>
  <c r="H1452" i="1"/>
  <c r="H1454" i="1"/>
  <c r="H1451" i="1"/>
  <c r="H1455" i="1"/>
  <c r="H1541" i="1"/>
  <c r="H1542" i="1"/>
  <c r="H1446" i="1"/>
  <c r="H1443" i="1"/>
  <c r="H1445" i="1"/>
  <c r="H1449" i="1"/>
  <c r="H1447" i="1"/>
  <c r="H1444" i="1"/>
  <c r="H1448" i="1"/>
  <c r="H1450" i="1"/>
  <c r="H1540" i="1"/>
  <c r="H1539" i="1"/>
  <c r="H1438" i="1"/>
  <c r="H1437" i="1"/>
  <c r="H1442" i="1"/>
  <c r="H1439" i="1"/>
  <c r="H1436" i="1"/>
  <c r="H1441" i="1"/>
  <c r="H1440" i="1"/>
  <c r="H1570" i="1"/>
  <c r="H1569" i="1"/>
  <c r="H1571" i="1"/>
  <c r="H1537" i="1"/>
  <c r="H1536" i="1"/>
  <c r="H1538" i="1"/>
  <c r="H1431" i="1"/>
  <c r="H1429" i="1"/>
  <c r="H1435" i="1"/>
  <c r="H1432" i="1"/>
  <c r="H1430" i="1"/>
  <c r="H1434" i="1"/>
  <c r="H1433" i="1"/>
  <c r="H1566" i="1"/>
  <c r="H1567" i="1"/>
  <c r="H1565" i="1"/>
  <c r="H1568" i="1"/>
  <c r="H1534" i="1"/>
  <c r="H1533" i="1"/>
  <c r="H1535" i="1"/>
  <c r="H1423" i="1"/>
  <c r="H1422" i="1"/>
  <c r="H1427" i="1"/>
  <c r="H1424" i="1"/>
  <c r="H1421" i="1"/>
  <c r="H1420" i="1"/>
  <c r="H1426" i="1"/>
  <c r="H1425" i="1"/>
  <c r="H1428" i="1"/>
  <c r="H1563" i="1"/>
  <c r="H1562" i="1"/>
  <c r="H1564" i="1"/>
  <c r="H1531" i="1"/>
  <c r="H1532" i="1"/>
  <c r="H1416" i="1"/>
  <c r="H1413" i="1"/>
  <c r="H1415" i="1"/>
  <c r="H1419" i="1"/>
  <c r="H1417" i="1"/>
  <c r="H1414" i="1"/>
  <c r="H1418" i="1"/>
  <c r="H1559" i="1"/>
  <c r="H1560" i="1"/>
  <c r="H1558" i="1"/>
  <c r="H1561" i="1"/>
  <c r="H1529" i="1"/>
  <c r="H1528" i="1"/>
  <c r="H1530" i="1"/>
  <c r="H1407" i="1"/>
  <c r="H1406" i="1"/>
  <c r="H1411" i="1"/>
  <c r="H1408" i="1"/>
  <c r="H1405" i="1"/>
  <c r="H1404" i="1"/>
  <c r="H1410" i="1"/>
  <c r="H1409" i="1"/>
  <c r="H1412" i="1"/>
  <c r="H1556" i="1"/>
  <c r="H1555" i="1"/>
  <c r="H1557" i="1"/>
  <c r="H1527" i="1"/>
  <c r="H1399" i="1"/>
  <c r="H1402" i="1"/>
  <c r="H1400" i="1"/>
  <c r="H1398" i="1"/>
  <c r="H1401" i="1"/>
  <c r="H1403" i="1"/>
  <c r="H3718" i="1"/>
  <c r="H3696" i="1"/>
  <c r="H3697" i="1"/>
  <c r="H3650" i="1"/>
  <c r="H3641" i="1"/>
  <c r="H3642" i="1"/>
  <c r="H3501" i="1"/>
  <c r="H3502" i="1"/>
  <c r="H3416" i="1"/>
  <c r="H3415" i="1"/>
  <c r="H3417" i="1"/>
  <c r="H3414" i="1"/>
  <c r="H3418" i="1"/>
  <c r="H3716" i="1"/>
  <c r="H3717" i="1"/>
  <c r="H3694" i="1"/>
  <c r="H3695" i="1"/>
  <c r="H3639" i="1"/>
  <c r="H3640" i="1"/>
  <c r="H3499" i="1"/>
  <c r="H3500" i="1"/>
  <c r="H3446" i="1"/>
  <c r="H3412" i="1"/>
  <c r="H3411" i="1"/>
  <c r="H3410" i="1"/>
  <c r="H3413" i="1"/>
  <c r="H3691" i="1"/>
  <c r="H3690" i="1"/>
  <c r="H3689" i="1"/>
  <c r="H3693" i="1"/>
  <c r="H3692" i="1"/>
  <c r="H3638" i="1"/>
  <c r="H3497" i="1"/>
  <c r="H3498" i="1"/>
  <c r="H3407" i="1"/>
  <c r="H3408" i="1"/>
  <c r="H3406" i="1"/>
  <c r="H3409" i="1"/>
  <c r="H3688" i="1"/>
  <c r="H3648" i="1"/>
  <c r="H3649" i="1"/>
  <c r="H3636" i="1"/>
  <c r="H3637" i="1"/>
  <c r="H3496" i="1"/>
  <c r="H3444" i="1"/>
  <c r="H3445" i="1"/>
  <c r="H3402" i="1"/>
  <c r="H3398" i="1"/>
  <c r="H3401" i="1"/>
  <c r="H3403" i="1"/>
  <c r="H3400" i="1"/>
  <c r="H3399" i="1"/>
  <c r="H3405" i="1"/>
  <c r="H3404" i="1"/>
  <c r="H3687" i="1"/>
  <c r="H3633" i="1"/>
  <c r="H3632" i="1"/>
  <c r="H3634" i="1"/>
  <c r="H3635" i="1"/>
  <c r="H3494" i="1"/>
  <c r="H3495" i="1"/>
  <c r="H3441" i="1"/>
  <c r="H3443" i="1"/>
  <c r="H3442" i="1"/>
  <c r="H3392" i="1"/>
  <c r="H3396" i="1"/>
  <c r="H3393" i="1"/>
  <c r="H3391" i="1"/>
  <c r="H3390" i="1"/>
  <c r="H3395" i="1"/>
  <c r="H3394" i="1"/>
  <c r="H3397" i="1"/>
  <c r="H3715" i="1"/>
  <c r="H3702" i="1"/>
  <c r="H3686" i="1"/>
  <c r="H3629" i="1"/>
  <c r="H3628" i="1"/>
  <c r="H3631" i="1"/>
  <c r="H3630" i="1"/>
  <c r="H3492" i="1"/>
  <c r="H3493" i="1"/>
  <c r="H3440" i="1"/>
  <c r="H3439" i="1"/>
  <c r="H3385" i="1"/>
  <c r="H3381" i="1"/>
  <c r="H3384" i="1"/>
  <c r="H3386" i="1"/>
  <c r="H3383" i="1"/>
  <c r="H3382" i="1"/>
  <c r="H3388" i="1"/>
  <c r="H3387" i="1"/>
  <c r="H3389" i="1"/>
  <c r="H3320" i="1"/>
  <c r="H3626" i="1"/>
  <c r="H3625" i="1"/>
  <c r="H3627" i="1"/>
  <c r="H3555" i="1"/>
  <c r="H3556" i="1"/>
  <c r="H3491" i="1"/>
  <c r="H3437" i="1"/>
  <c r="H3438" i="1"/>
  <c r="H3378" i="1"/>
  <c r="H3379" i="1"/>
  <c r="H3377" i="1"/>
  <c r="H3376" i="1"/>
  <c r="H3380" i="1"/>
  <c r="H3319" i="1"/>
  <c r="H3701" i="1"/>
  <c r="H3682" i="1"/>
  <c r="H3681" i="1"/>
  <c r="H3684" i="1"/>
  <c r="H3683" i="1"/>
  <c r="H3685" i="1"/>
  <c r="H3646" i="1"/>
  <c r="H3647" i="1"/>
  <c r="H3622" i="1"/>
  <c r="H3623" i="1"/>
  <c r="H3624" i="1"/>
  <c r="H3489" i="1"/>
  <c r="H3488" i="1"/>
  <c r="H3490" i="1"/>
  <c r="H3435" i="1"/>
  <c r="H3434" i="1"/>
  <c r="H3436" i="1"/>
  <c r="H3370" i="1"/>
  <c r="H3366" i="1"/>
  <c r="H3369" i="1"/>
  <c r="H3374" i="1"/>
  <c r="H3371" i="1"/>
  <c r="H3368" i="1"/>
  <c r="H3367" i="1"/>
  <c r="H3373" i="1"/>
  <c r="H3372" i="1"/>
  <c r="H3375" i="1"/>
  <c r="H3318" i="1"/>
  <c r="H3317" i="1"/>
  <c r="H3712" i="1"/>
  <c r="H3714" i="1"/>
  <c r="H3713" i="1"/>
  <c r="H3676" i="1"/>
  <c r="H3675" i="1"/>
  <c r="H3677" i="1"/>
  <c r="H3674" i="1"/>
  <c r="H3679" i="1"/>
  <c r="H3678" i="1"/>
  <c r="H3680" i="1"/>
  <c r="H3619" i="1"/>
  <c r="H3618" i="1"/>
  <c r="H3617" i="1"/>
  <c r="H3621" i="1"/>
  <c r="H3620" i="1"/>
  <c r="H3554" i="1"/>
  <c r="H3485" i="1"/>
  <c r="H3486" i="1"/>
  <c r="H3487" i="1"/>
  <c r="H3432" i="1"/>
  <c r="H3431" i="1"/>
  <c r="H3433" i="1"/>
  <c r="H3360" i="1"/>
  <c r="H3359" i="1"/>
  <c r="H3364" i="1"/>
  <c r="H3361" i="1"/>
  <c r="H3358" i="1"/>
  <c r="H3357" i="1"/>
  <c r="H3363" i="1"/>
  <c r="H3362" i="1"/>
  <c r="H3365" i="1"/>
  <c r="H3709" i="1"/>
  <c r="H3708" i="1"/>
  <c r="H3711" i="1"/>
  <c r="H3710" i="1"/>
  <c r="H3700" i="1"/>
  <c r="H3668" i="1"/>
  <c r="H3669" i="1"/>
  <c r="H3667" i="1"/>
  <c r="H3670" i="1"/>
  <c r="H3666" i="1"/>
  <c r="H3672" i="1"/>
  <c r="H3671" i="1"/>
  <c r="H3673" i="1"/>
  <c r="H3644" i="1"/>
  <c r="H3645" i="1"/>
  <c r="H3615" i="1"/>
  <c r="H3614" i="1"/>
  <c r="H3616" i="1"/>
  <c r="H3552" i="1"/>
  <c r="H3551" i="1"/>
  <c r="H3553" i="1"/>
  <c r="H3481" i="1"/>
  <c r="H3483" i="1"/>
  <c r="H3480" i="1"/>
  <c r="H3482" i="1"/>
  <c r="H3484" i="1"/>
  <c r="H3427" i="1"/>
  <c r="H3426" i="1"/>
  <c r="H3429" i="1"/>
  <c r="H3428" i="1"/>
  <c r="H3430" i="1"/>
  <c r="H3351" i="1"/>
  <c r="H3350" i="1"/>
  <c r="H3355" i="1"/>
  <c r="H3352" i="1"/>
  <c r="H3349" i="1"/>
  <c r="H3348" i="1"/>
  <c r="H3354" i="1"/>
  <c r="H3353" i="1"/>
  <c r="H3356" i="1"/>
  <c r="H3315" i="1"/>
  <c r="H3316" i="1"/>
  <c r="H3706" i="1"/>
  <c r="H3705" i="1"/>
  <c r="H3707" i="1"/>
  <c r="H3699" i="1"/>
  <c r="H3661" i="1"/>
  <c r="H3660" i="1"/>
  <c r="H3662" i="1"/>
  <c r="H3659" i="1"/>
  <c r="H3664" i="1"/>
  <c r="H3663" i="1"/>
  <c r="H3665" i="1"/>
  <c r="H3609" i="1"/>
  <c r="H3610" i="1"/>
  <c r="H3608" i="1"/>
  <c r="H3607" i="1"/>
  <c r="H3612" i="1"/>
  <c r="H3611" i="1"/>
  <c r="H3613" i="1"/>
  <c r="H3549" i="1"/>
  <c r="H3548" i="1"/>
  <c r="H3550" i="1"/>
  <c r="H3478" i="1"/>
  <c r="H3476" i="1"/>
  <c r="H3477" i="1"/>
  <c r="H3479" i="1"/>
  <c r="H3423" i="1"/>
  <c r="H3424" i="1"/>
  <c r="H3425" i="1"/>
  <c r="H3342" i="1"/>
  <c r="H3340" i="1"/>
  <c r="H3341" i="1"/>
  <c r="H3346" i="1"/>
  <c r="H3343" i="1"/>
  <c r="H3339" i="1"/>
  <c r="H3338" i="1"/>
  <c r="H3345" i="1"/>
  <c r="H3344" i="1"/>
  <c r="H3347" i="1"/>
  <c r="H3314" i="1"/>
  <c r="H3703" i="1"/>
  <c r="H3704" i="1"/>
  <c r="H3698" i="1"/>
  <c r="H3655" i="1"/>
  <c r="H3654" i="1"/>
  <c r="H3656" i="1"/>
  <c r="H3658" i="1"/>
  <c r="H3657" i="1"/>
  <c r="H3643" i="1"/>
  <c r="H3604" i="1"/>
  <c r="H3605" i="1"/>
  <c r="H3603" i="1"/>
  <c r="H3606" i="1"/>
  <c r="H3546" i="1"/>
  <c r="H3545" i="1"/>
  <c r="H3547" i="1"/>
  <c r="H3474" i="1"/>
  <c r="H3473" i="1"/>
  <c r="H3472" i="1"/>
  <c r="H3475" i="1"/>
  <c r="H3420" i="1"/>
  <c r="H3421" i="1"/>
  <c r="H3419" i="1"/>
  <c r="H3422" i="1"/>
  <c r="H3332" i="1"/>
  <c r="H3336" i="1"/>
  <c r="H3333" i="1"/>
  <c r="H3331" i="1"/>
  <c r="H3330" i="1"/>
  <c r="H3335" i="1"/>
  <c r="H3334" i="1"/>
  <c r="H3337" i="1"/>
  <c r="H3312" i="1"/>
  <c r="H3311" i="1"/>
  <c r="H3313" i="1"/>
  <c r="H2825" i="1"/>
  <c r="H2776" i="1"/>
  <c r="H2779" i="1"/>
  <c r="H2777" i="1"/>
  <c r="H2775" i="1"/>
  <c r="H2778" i="1"/>
  <c r="H2728" i="1"/>
  <c r="H2726" i="1"/>
  <c r="H2727" i="1"/>
  <c r="H2732" i="1"/>
  <c r="H2729" i="1"/>
  <c r="H2725" i="1"/>
  <c r="H2724" i="1"/>
  <c r="H2731" i="1"/>
  <c r="H2730" i="1"/>
  <c r="H2733" i="1"/>
  <c r="H2641" i="1"/>
  <c r="H2638" i="1"/>
  <c r="H2645" i="1"/>
  <c r="H2642" i="1"/>
  <c r="H2640" i="1"/>
  <c r="H2639" i="1"/>
  <c r="H2644" i="1"/>
  <c r="H2643" i="1"/>
  <c r="H2646" i="1"/>
  <c r="H2823" i="1"/>
  <c r="H2822" i="1"/>
  <c r="H2824" i="1"/>
  <c r="H2773" i="1"/>
  <c r="H2774" i="1"/>
  <c r="H2633" i="1"/>
  <c r="H2637" i="1"/>
  <c r="H2634" i="1"/>
  <c r="H2632" i="1"/>
  <c r="H2636" i="1"/>
  <c r="H2635" i="1"/>
  <c r="H2817" i="1"/>
  <c r="H2818" i="1"/>
  <c r="H2816" i="1"/>
  <c r="H2820" i="1"/>
  <c r="H2819" i="1"/>
  <c r="H2821" i="1"/>
  <c r="H2771" i="1"/>
  <c r="H2772" i="1"/>
  <c r="H2720" i="1"/>
  <c r="H2721" i="1"/>
  <c r="H2719" i="1"/>
  <c r="H2723" i="1"/>
  <c r="H2722" i="1"/>
  <c r="H2628" i="1"/>
  <c r="H2629" i="1"/>
  <c r="H2627" i="1"/>
  <c r="H2631" i="1"/>
  <c r="H2630" i="1"/>
  <c r="H2556" i="1"/>
  <c r="H2769" i="1"/>
  <c r="H2770" i="1"/>
  <c r="H2716" i="1"/>
  <c r="H2717" i="1"/>
  <c r="H2715" i="1"/>
  <c r="H2714" i="1"/>
  <c r="H2718" i="1"/>
  <c r="H2622" i="1"/>
  <c r="H2626" i="1"/>
  <c r="H2623" i="1"/>
  <c r="H2621" i="1"/>
  <c r="H2620" i="1"/>
  <c r="H2625" i="1"/>
  <c r="H2624" i="1"/>
  <c r="H2767" i="1"/>
  <c r="H2768" i="1"/>
  <c r="H2709" i="1"/>
  <c r="H2710" i="1"/>
  <c r="H2708" i="1"/>
  <c r="H2707" i="1"/>
  <c r="H2712" i="1"/>
  <c r="H2711" i="1"/>
  <c r="H2713" i="1"/>
  <c r="H2614" i="1"/>
  <c r="H2613" i="1"/>
  <c r="H2618" i="1"/>
  <c r="H2615" i="1"/>
  <c r="H2612" i="1"/>
  <c r="H2616" i="1"/>
  <c r="H2611" i="1"/>
  <c r="H2617" i="1"/>
  <c r="H2619" i="1"/>
  <c r="H2765" i="1"/>
  <c r="H2766" i="1"/>
  <c r="H2704" i="1"/>
  <c r="H2703" i="1"/>
  <c r="H2702" i="1"/>
  <c r="H2706" i="1"/>
  <c r="H2705" i="1"/>
  <c r="H2607" i="1"/>
  <c r="H2605" i="1"/>
  <c r="H2608" i="1"/>
  <c r="H2606" i="1"/>
  <c r="H2610" i="1"/>
  <c r="H2609" i="1"/>
  <c r="H2813" i="1"/>
  <c r="H2812" i="1"/>
  <c r="H2811" i="1"/>
  <c r="H2815" i="1"/>
  <c r="H2814" i="1"/>
  <c r="H2762" i="1"/>
  <c r="H2761" i="1"/>
  <c r="H2763" i="1"/>
  <c r="H2764" i="1"/>
  <c r="H2695" i="1"/>
  <c r="H2694" i="1"/>
  <c r="H2700" i="1"/>
  <c r="H2696" i="1"/>
  <c r="H2693" i="1"/>
  <c r="H2697" i="1"/>
  <c r="H2692" i="1"/>
  <c r="H2699" i="1"/>
  <c r="H2698" i="1"/>
  <c r="H2701" i="1"/>
  <c r="H2599" i="1"/>
  <c r="H2598" i="1"/>
  <c r="H2603" i="1"/>
  <c r="H2600" i="1"/>
  <c r="H2597" i="1"/>
  <c r="H2602" i="1"/>
  <c r="H2601" i="1"/>
  <c r="H2604" i="1"/>
  <c r="H2810" i="1"/>
  <c r="H2807" i="1"/>
  <c r="H2806" i="1"/>
  <c r="H2809" i="1"/>
  <c r="H2808" i="1"/>
  <c r="H2687" i="1"/>
  <c r="H2686" i="1"/>
  <c r="H2691" i="1"/>
  <c r="H2688" i="1"/>
  <c r="H2685" i="1"/>
  <c r="H2684" i="1"/>
  <c r="H2690" i="1"/>
  <c r="H2689" i="1"/>
  <c r="H2591" i="1"/>
  <c r="H2588" i="1"/>
  <c r="H2595" i="1"/>
  <c r="H2592" i="1"/>
  <c r="H2590" i="1"/>
  <c r="H2589" i="1"/>
  <c r="H2594" i="1"/>
  <c r="H2593" i="1"/>
  <c r="H2596" i="1"/>
  <c r="H2801" i="1"/>
  <c r="H2799" i="1"/>
  <c r="H2800" i="1"/>
  <c r="H2802" i="1"/>
  <c r="H2798" i="1"/>
  <c r="H2797" i="1"/>
  <c r="H2804" i="1"/>
  <c r="H2803" i="1"/>
  <c r="H2805" i="1"/>
  <c r="H2678" i="1"/>
  <c r="H2674" i="1"/>
  <c r="H2676" i="1"/>
  <c r="H2677" i="1"/>
  <c r="H2682" i="1"/>
  <c r="H2679" i="1"/>
  <c r="H2675" i="1"/>
  <c r="H2673" i="1"/>
  <c r="H2681" i="1"/>
  <c r="H2680" i="1"/>
  <c r="H2683" i="1"/>
  <c r="H2582" i="1"/>
  <c r="H2580" i="1"/>
  <c r="H2581" i="1"/>
  <c r="H2586" i="1"/>
  <c r="H2583" i="1"/>
  <c r="H2579" i="1"/>
  <c r="H2578" i="1"/>
  <c r="H2585" i="1"/>
  <c r="H2584" i="1"/>
  <c r="H2587" i="1"/>
  <c r="H2793" i="1"/>
  <c r="H2792" i="1"/>
  <c r="H2791" i="1"/>
  <c r="H2795" i="1"/>
  <c r="H2794" i="1"/>
  <c r="H2796" i="1"/>
  <c r="H2667" i="1"/>
  <c r="H2664" i="1"/>
  <c r="H2671" i="1"/>
  <c r="H2668" i="1"/>
  <c r="H2666" i="1"/>
  <c r="H2665" i="1"/>
  <c r="H2670" i="1"/>
  <c r="H2669" i="1"/>
  <c r="H2672" i="1"/>
  <c r="H2574" i="1"/>
  <c r="H2573" i="1"/>
  <c r="H2575" i="1"/>
  <c r="H2572" i="1"/>
  <c r="H2571" i="1"/>
  <c r="H2576" i="1"/>
  <c r="H2577" i="1"/>
  <c r="H2785" i="1"/>
  <c r="H2782" i="1"/>
  <c r="H2789" i="1"/>
  <c r="H2786" i="1"/>
  <c r="H2784" i="1"/>
  <c r="H2783" i="1"/>
  <c r="H2788" i="1"/>
  <c r="H2787" i="1"/>
  <c r="H2790" i="1"/>
  <c r="H2658" i="1"/>
  <c r="H2653" i="1"/>
  <c r="H2656" i="1"/>
  <c r="H2657" i="1"/>
  <c r="H2662" i="1"/>
  <c r="H2659" i="1"/>
  <c r="H2655" i="1"/>
  <c r="H2654" i="1"/>
  <c r="H2661" i="1"/>
  <c r="H2660" i="1"/>
  <c r="H2663" i="1"/>
  <c r="H2565" i="1"/>
  <c r="H2564" i="1"/>
  <c r="H2569" i="1"/>
  <c r="H2566" i="1"/>
  <c r="H2563" i="1"/>
  <c r="H2568" i="1"/>
  <c r="H2567" i="1"/>
  <c r="H2570" i="1"/>
  <c r="H2554" i="1"/>
  <c r="H2555" i="1"/>
  <c r="H2780" i="1"/>
  <c r="H2781" i="1"/>
  <c r="H2649" i="1"/>
  <c r="H2647" i="1"/>
  <c r="H2650" i="1"/>
  <c r="H2648" i="1"/>
  <c r="H2652" i="1"/>
  <c r="H2651" i="1"/>
  <c r="H2558" i="1"/>
  <c r="H2559" i="1"/>
  <c r="H2557" i="1"/>
  <c r="H2561" i="1"/>
  <c r="H2560" i="1"/>
  <c r="H2562" i="1"/>
  <c r="H2943" i="1"/>
  <c r="H2944" i="1"/>
  <c r="H2942" i="1"/>
  <c r="H2941" i="1"/>
  <c r="H2940" i="1"/>
  <c r="H2938" i="1"/>
  <c r="H2939" i="1"/>
  <c r="H2935" i="1"/>
  <c r="H2933" i="1"/>
  <c r="H2936" i="1"/>
  <c r="H2934" i="1"/>
  <c r="H2932" i="1"/>
  <c r="H2937" i="1"/>
  <c r="H2930" i="1"/>
  <c r="H2931" i="1"/>
  <c r="H2928" i="1"/>
  <c r="H2927" i="1"/>
  <c r="H2929" i="1"/>
  <c r="H2925" i="1"/>
  <c r="H2924" i="1"/>
  <c r="H2926" i="1"/>
  <c r="H2950" i="1"/>
  <c r="H2921" i="1"/>
  <c r="H2923" i="1"/>
  <c r="H2920" i="1"/>
  <c r="H2922" i="1"/>
  <c r="H2953" i="1"/>
  <c r="H2917" i="1"/>
  <c r="H2916" i="1"/>
  <c r="H2919" i="1"/>
  <c r="H2915" i="1"/>
  <c r="H2914" i="1"/>
  <c r="H2918" i="1"/>
  <c r="H2952" i="1"/>
  <c r="H2949" i="1"/>
  <c r="H2948" i="1"/>
  <c r="H2911" i="1"/>
  <c r="H2910" i="1"/>
  <c r="H2909" i="1"/>
  <c r="H2913" i="1"/>
  <c r="H2912" i="1"/>
  <c r="H2951" i="1"/>
  <c r="H2946" i="1"/>
  <c r="H2945" i="1"/>
  <c r="H2947" i="1"/>
  <c r="H2907" i="1"/>
  <c r="H2905" i="1"/>
  <c r="H2906" i="1"/>
  <c r="H2904" i="1"/>
  <c r="H2908" i="1"/>
  <c r="H586" i="1"/>
  <c r="H582" i="1"/>
  <c r="H580" i="1"/>
  <c r="H584" i="1"/>
  <c r="H585" i="1"/>
  <c r="H590" i="1"/>
  <c r="H587" i="1"/>
  <c r="H583" i="1"/>
  <c r="H581" i="1"/>
  <c r="H589" i="1"/>
  <c r="H588" i="1"/>
  <c r="H591" i="1"/>
  <c r="H1251" i="1"/>
  <c r="H1248" i="1"/>
  <c r="H1250" i="1"/>
  <c r="H1255" i="1"/>
  <c r="H1252" i="1"/>
  <c r="H1249" i="1"/>
  <c r="H1247" i="1"/>
  <c r="H1254" i="1"/>
  <c r="H1253" i="1"/>
  <c r="H1256" i="1"/>
  <c r="H1133" i="1"/>
  <c r="H1134" i="1"/>
  <c r="H1132" i="1"/>
  <c r="H1131" i="1"/>
  <c r="H1136" i="1"/>
  <c r="H1135" i="1"/>
  <c r="H1137" i="1"/>
  <c r="H574" i="1"/>
  <c r="H570" i="1"/>
  <c r="H568" i="1"/>
  <c r="H572" i="1"/>
  <c r="H573" i="1"/>
  <c r="H575" i="1"/>
  <c r="H571" i="1"/>
  <c r="H576" i="1"/>
  <c r="H569" i="1"/>
  <c r="H578" i="1"/>
  <c r="H577" i="1"/>
  <c r="H579" i="1"/>
  <c r="H1245" i="1"/>
  <c r="H1244" i="1"/>
  <c r="H1243" i="1"/>
  <c r="H1246" i="1"/>
  <c r="H561" i="1"/>
  <c r="H558" i="1"/>
  <c r="H556" i="1"/>
  <c r="H560" i="1"/>
  <c r="H566" i="1"/>
  <c r="H562" i="1"/>
  <c r="H559" i="1"/>
  <c r="H563" i="1"/>
  <c r="H557" i="1"/>
  <c r="H565" i="1"/>
  <c r="H564" i="1"/>
  <c r="H567" i="1"/>
  <c r="H1236" i="1"/>
  <c r="H1232" i="1"/>
  <c r="H1230" i="1"/>
  <c r="H1234" i="1"/>
  <c r="H1235" i="1"/>
  <c r="H1241" i="1"/>
  <c r="H1237" i="1"/>
  <c r="H1233" i="1"/>
  <c r="H1238" i="1"/>
  <c r="H1231" i="1"/>
  <c r="H1240" i="1"/>
  <c r="H1239" i="1"/>
  <c r="H1242" i="1"/>
  <c r="H1127" i="1"/>
  <c r="H1126" i="1"/>
  <c r="H1125" i="1"/>
  <c r="H1124" i="1"/>
  <c r="H1129" i="1"/>
  <c r="H1128" i="1"/>
  <c r="H1130" i="1"/>
  <c r="H549" i="1"/>
  <c r="H545" i="1"/>
  <c r="H543" i="1"/>
  <c r="H547" i="1"/>
  <c r="H548" i="1"/>
  <c r="H554" i="1"/>
  <c r="H550" i="1"/>
  <c r="H546" i="1"/>
  <c r="H551" i="1"/>
  <c r="H544" i="1"/>
  <c r="H553" i="1"/>
  <c r="H552" i="1"/>
  <c r="H555" i="1"/>
  <c r="H1224" i="1"/>
  <c r="H1221" i="1"/>
  <c r="H1219" i="1"/>
  <c r="H1223" i="1"/>
  <c r="H1228" i="1"/>
  <c r="H1225" i="1"/>
  <c r="H1222" i="1"/>
  <c r="H1220" i="1"/>
  <c r="H1227" i="1"/>
  <c r="H1226" i="1"/>
  <c r="H1229" i="1"/>
  <c r="H1120" i="1"/>
  <c r="H1118" i="1"/>
  <c r="H1119" i="1"/>
  <c r="H1117" i="1"/>
  <c r="H1122" i="1"/>
  <c r="H1121" i="1"/>
  <c r="H1123" i="1"/>
  <c r="H537" i="1"/>
  <c r="H533" i="1"/>
  <c r="H531" i="1"/>
  <c r="H535" i="1"/>
  <c r="H536" i="1"/>
  <c r="H541" i="1"/>
  <c r="H538" i="1"/>
  <c r="H534" i="1"/>
  <c r="H532" i="1"/>
  <c r="H540" i="1"/>
  <c r="H539" i="1"/>
  <c r="H542" i="1"/>
  <c r="H1215" i="1"/>
  <c r="H1214" i="1"/>
  <c r="H1213" i="1"/>
  <c r="H1212" i="1"/>
  <c r="H1217" i="1"/>
  <c r="H1216" i="1"/>
  <c r="H1218" i="1"/>
  <c r="H1114" i="1"/>
  <c r="H1113" i="1"/>
  <c r="H1112" i="1"/>
  <c r="H1116" i="1"/>
  <c r="H1115" i="1"/>
  <c r="H524" i="1"/>
  <c r="H520" i="1"/>
  <c r="H518" i="1"/>
  <c r="H522" i="1"/>
  <c r="H523" i="1"/>
  <c r="H529" i="1"/>
  <c r="H525" i="1"/>
  <c r="H521" i="1"/>
  <c r="H526" i="1"/>
  <c r="H519" i="1"/>
  <c r="H528" i="1"/>
  <c r="H527" i="1"/>
  <c r="H530" i="1"/>
  <c r="H1207" i="1"/>
  <c r="H1206" i="1"/>
  <c r="H1208" i="1"/>
  <c r="H1205" i="1"/>
  <c r="H1204" i="1"/>
  <c r="H1210" i="1"/>
  <c r="H1209" i="1"/>
  <c r="H1211" i="1"/>
  <c r="H1108" i="1"/>
  <c r="H1109" i="1"/>
  <c r="H1107" i="1"/>
  <c r="H1106" i="1"/>
  <c r="H1111" i="1"/>
  <c r="H1110" i="1"/>
  <c r="H511" i="1"/>
  <c r="H507" i="1"/>
  <c r="H505" i="1"/>
  <c r="H509" i="1"/>
  <c r="H510" i="1"/>
  <c r="H516" i="1"/>
  <c r="H512" i="1"/>
  <c r="H508" i="1"/>
  <c r="H513" i="1"/>
  <c r="H506" i="1"/>
  <c r="H515" i="1"/>
  <c r="H514" i="1"/>
  <c r="H517" i="1"/>
  <c r="H1198" i="1"/>
  <c r="H1193" i="1"/>
  <c r="H1196" i="1"/>
  <c r="H1197" i="1"/>
  <c r="H1202" i="1"/>
  <c r="H1199" i="1"/>
  <c r="H1195" i="1"/>
  <c r="H1194" i="1"/>
  <c r="H1201" i="1"/>
  <c r="H1200" i="1"/>
  <c r="H1203" i="1"/>
  <c r="H1100" i="1"/>
  <c r="H1096" i="1"/>
  <c r="H1099" i="1"/>
  <c r="H1104" i="1"/>
  <c r="H1101" i="1"/>
  <c r="H1098" i="1"/>
  <c r="H1097" i="1"/>
  <c r="H1103" i="1"/>
  <c r="H1102" i="1"/>
  <c r="H1105" i="1"/>
  <c r="H498" i="1"/>
  <c r="H494" i="1"/>
  <c r="H492" i="1"/>
  <c r="H496" i="1"/>
  <c r="H497" i="1"/>
  <c r="H503" i="1"/>
  <c r="H499" i="1"/>
  <c r="H495" i="1"/>
  <c r="H500" i="1"/>
  <c r="H493" i="1"/>
  <c r="H502" i="1"/>
  <c r="H501" i="1"/>
  <c r="H504" i="1"/>
  <c r="H1187" i="1"/>
  <c r="H1186" i="1"/>
  <c r="H1191" i="1"/>
  <c r="H1188" i="1"/>
  <c r="H1185" i="1"/>
  <c r="H1184" i="1"/>
  <c r="H1190" i="1"/>
  <c r="H1189" i="1"/>
  <c r="H1192" i="1"/>
  <c r="H1091" i="1"/>
  <c r="H1090" i="1"/>
  <c r="H1092" i="1"/>
  <c r="H1089" i="1"/>
  <c r="H1088" i="1"/>
  <c r="H1094" i="1"/>
  <c r="H1093" i="1"/>
  <c r="H1095" i="1"/>
  <c r="H486" i="1"/>
  <c r="H482" i="1"/>
  <c r="H480" i="1"/>
  <c r="H484" i="1"/>
  <c r="H485" i="1"/>
  <c r="H490" i="1"/>
  <c r="H487" i="1"/>
  <c r="H483" i="1"/>
  <c r="H481" i="1"/>
  <c r="H489" i="1"/>
  <c r="H488" i="1"/>
  <c r="H491" i="1"/>
  <c r="H1178" i="1"/>
  <c r="H1174" i="1"/>
  <c r="H1172" i="1"/>
  <c r="H1176" i="1"/>
  <c r="H1177" i="1"/>
  <c r="H1182" i="1"/>
  <c r="H1179" i="1"/>
  <c r="H1175" i="1"/>
  <c r="H1173" i="1"/>
  <c r="H1181" i="1"/>
  <c r="H1180" i="1"/>
  <c r="H1183" i="1"/>
  <c r="H1081" i="1"/>
  <c r="H1077" i="1"/>
  <c r="H1080" i="1"/>
  <c r="H1086" i="1"/>
  <c r="H1082" i="1"/>
  <c r="H1079" i="1"/>
  <c r="H1083" i="1"/>
  <c r="H1078" i="1"/>
  <c r="H1085" i="1"/>
  <c r="H1084" i="1"/>
  <c r="H1087" i="1"/>
  <c r="H474" i="1"/>
  <c r="H470" i="1"/>
  <c r="H468" i="1"/>
  <c r="H472" i="1"/>
  <c r="H473" i="1"/>
  <c r="H478" i="1"/>
  <c r="H475" i="1"/>
  <c r="H471" i="1"/>
  <c r="H469" i="1"/>
  <c r="H477" i="1"/>
  <c r="H476" i="1"/>
  <c r="H479" i="1"/>
  <c r="H1165" i="1"/>
  <c r="H1161" i="1"/>
  <c r="H1159" i="1"/>
  <c r="H1163" i="1"/>
  <c r="H1164" i="1"/>
  <c r="H1170" i="1"/>
  <c r="H1166" i="1"/>
  <c r="H1162" i="1"/>
  <c r="H1167" i="1"/>
  <c r="H1160" i="1"/>
  <c r="H1169" i="1"/>
  <c r="H1168" i="1"/>
  <c r="H1171" i="1"/>
  <c r="H1072" i="1"/>
  <c r="H1070" i="1"/>
  <c r="H1071" i="1"/>
  <c r="H1073" i="1"/>
  <c r="H1069" i="1"/>
  <c r="H1068" i="1"/>
  <c r="H1075" i="1"/>
  <c r="H1074" i="1"/>
  <c r="H1076" i="1"/>
  <c r="H462" i="1"/>
  <c r="H458" i="1"/>
  <c r="H456" i="1"/>
  <c r="H460" i="1"/>
  <c r="H461" i="1"/>
  <c r="H466" i="1"/>
  <c r="H463" i="1"/>
  <c r="H459" i="1"/>
  <c r="H457" i="1"/>
  <c r="H465" i="1"/>
  <c r="H464" i="1"/>
  <c r="H467" i="1"/>
  <c r="H1152" i="1"/>
  <c r="H1147" i="1"/>
  <c r="H1150" i="1"/>
  <c r="H1151" i="1"/>
  <c r="H1157" i="1"/>
  <c r="H1153" i="1"/>
  <c r="H1149" i="1"/>
  <c r="H1154" i="1"/>
  <c r="H1148" i="1"/>
  <c r="H1156" i="1"/>
  <c r="H1155" i="1"/>
  <c r="H1158" i="1"/>
  <c r="H1062" i="1"/>
  <c r="H1061" i="1"/>
  <c r="H1066" i="1"/>
  <c r="H1063" i="1"/>
  <c r="H1060" i="1"/>
  <c r="H1059" i="1"/>
  <c r="H1065" i="1"/>
  <c r="H1064" i="1"/>
  <c r="H1067" i="1"/>
  <c r="H449" i="1"/>
  <c r="H445" i="1"/>
  <c r="H443" i="1"/>
  <c r="H447" i="1"/>
  <c r="H448" i="1"/>
  <c r="H454" i="1"/>
  <c r="H450" i="1"/>
  <c r="H446" i="1"/>
  <c r="H451" i="1"/>
  <c r="H444" i="1"/>
  <c r="H453" i="1"/>
  <c r="H452" i="1"/>
  <c r="H455" i="1"/>
  <c r="H1141" i="1"/>
  <c r="H1140" i="1"/>
  <c r="H1145" i="1"/>
  <c r="H1142" i="1"/>
  <c r="H1139" i="1"/>
  <c r="H1138" i="1"/>
  <c r="H1144" i="1"/>
  <c r="H1143" i="1"/>
  <c r="H1146" i="1"/>
  <c r="H1054" i="1"/>
  <c r="H1058" i="1"/>
  <c r="H1055" i="1"/>
  <c r="H1053" i="1"/>
  <c r="H1052" i="1"/>
  <c r="H1057" i="1"/>
  <c r="H1056" i="1"/>
  <c r="H3163" i="1"/>
  <c r="H3148" i="1"/>
  <c r="H3161" i="1"/>
  <c r="H3162" i="1"/>
  <c r="H3146" i="1"/>
  <c r="H3147" i="1"/>
  <c r="H3159" i="1"/>
  <c r="H3160" i="1"/>
  <c r="H3145" i="1"/>
  <c r="H3158" i="1"/>
  <c r="H3723" i="1"/>
  <c r="H3724" i="1"/>
  <c r="H3157" i="1"/>
  <c r="H3151" i="1"/>
  <c r="H3143" i="1"/>
  <c r="H3144" i="1"/>
  <c r="H3721" i="1"/>
  <c r="H3722" i="1"/>
  <c r="H3156" i="1"/>
  <c r="H3142" i="1"/>
  <c r="H3154" i="1"/>
  <c r="H3155" i="1"/>
  <c r="H3141" i="1"/>
  <c r="H3720" i="1"/>
  <c r="H3153" i="1"/>
  <c r="H3139" i="1"/>
  <c r="H3140" i="1"/>
  <c r="H3719" i="1"/>
  <c r="H3152" i="1"/>
  <c r="H3149" i="1"/>
  <c r="H3150" i="1"/>
  <c r="H3138" i="1"/>
  <c r="H2903" i="1"/>
  <c r="H2298" i="1"/>
  <c r="H2303" i="1"/>
  <c r="H2299" i="1"/>
  <c r="H2297" i="1"/>
  <c r="H2300" i="1"/>
  <c r="H2296" i="1"/>
  <c r="H2302" i="1"/>
  <c r="H2301" i="1"/>
  <c r="H2304" i="1"/>
  <c r="H1835" i="1"/>
  <c r="H1836" i="1"/>
  <c r="H1837" i="1"/>
  <c r="H1838" i="1"/>
  <c r="H2902" i="1"/>
  <c r="H2291" i="1"/>
  <c r="H2290" i="1"/>
  <c r="H2292" i="1"/>
  <c r="H2289" i="1"/>
  <c r="H2288" i="1"/>
  <c r="H2294" i="1"/>
  <c r="H2293" i="1"/>
  <c r="H2295" i="1"/>
  <c r="H1834" i="1"/>
  <c r="H1296" i="1"/>
  <c r="H2898" i="1"/>
  <c r="H2900" i="1"/>
  <c r="H2899" i="1"/>
  <c r="H2901" i="1"/>
  <c r="H2283" i="1"/>
  <c r="H2286" i="1"/>
  <c r="H2282" i="1"/>
  <c r="H2281" i="1"/>
  <c r="H2285" i="1"/>
  <c r="H2284" i="1"/>
  <c r="H2287" i="1"/>
  <c r="H1813" i="1"/>
  <c r="H1812" i="1"/>
  <c r="H1811" i="1"/>
  <c r="H1815" i="1"/>
  <c r="H1814" i="1"/>
  <c r="H1816" i="1"/>
  <c r="H1294" i="1"/>
  <c r="H1295" i="1"/>
  <c r="H2896" i="1"/>
  <c r="H2897" i="1"/>
  <c r="H2274" i="1"/>
  <c r="H2273" i="1"/>
  <c r="H2279" i="1"/>
  <c r="H2275" i="1"/>
  <c r="H2272" i="1"/>
  <c r="H2276" i="1"/>
  <c r="H2271" i="1"/>
  <c r="H2278" i="1"/>
  <c r="H2277" i="1"/>
  <c r="H2280" i="1"/>
  <c r="H1807" i="1"/>
  <c r="H1806" i="1"/>
  <c r="H1805" i="1"/>
  <c r="H1809" i="1"/>
  <c r="H1808" i="1"/>
  <c r="H1810" i="1"/>
  <c r="H1293" i="1"/>
  <c r="H2892" i="1"/>
  <c r="H2891" i="1"/>
  <c r="H2894" i="1"/>
  <c r="H2893" i="1"/>
  <c r="H2895" i="1"/>
  <c r="H2265" i="1"/>
  <c r="H2261" i="1"/>
  <c r="H2264" i="1"/>
  <c r="H2269" i="1"/>
  <c r="H2266" i="1"/>
  <c r="H2263" i="1"/>
  <c r="H2262" i="1"/>
  <c r="H2268" i="1"/>
  <c r="H2267" i="1"/>
  <c r="H2270" i="1"/>
  <c r="H1800" i="1"/>
  <c r="H1801" i="1"/>
  <c r="H1799" i="1"/>
  <c r="H1798" i="1"/>
  <c r="H1803" i="1"/>
  <c r="H1802" i="1"/>
  <c r="H1804" i="1"/>
  <c r="H1292" i="1"/>
  <c r="H2887" i="1"/>
  <c r="H2886" i="1"/>
  <c r="H2885" i="1"/>
  <c r="H2884" i="1"/>
  <c r="H2889" i="1"/>
  <c r="H2888" i="1"/>
  <c r="H2890" i="1"/>
  <c r="H2255" i="1"/>
  <c r="H2252" i="1"/>
  <c r="H2259" i="1"/>
  <c r="H2256" i="1"/>
  <c r="H2254" i="1"/>
  <c r="H2253" i="1"/>
  <c r="H2258" i="1"/>
  <c r="H2257" i="1"/>
  <c r="H2260" i="1"/>
  <c r="H1795" i="1"/>
  <c r="H1794" i="1"/>
  <c r="H1793" i="1"/>
  <c r="H1796" i="1"/>
  <c r="H1797" i="1"/>
  <c r="H1291" i="1"/>
  <c r="H2878" i="1"/>
  <c r="H2877" i="1"/>
  <c r="H2882" i="1"/>
  <c r="H2879" i="1"/>
  <c r="H2876" i="1"/>
  <c r="H2881" i="1"/>
  <c r="H2880" i="1"/>
  <c r="H2883" i="1"/>
  <c r="H2246" i="1"/>
  <c r="H2242" i="1"/>
  <c r="H2245" i="1"/>
  <c r="H2250" i="1"/>
  <c r="H2247" i="1"/>
  <c r="H2244" i="1"/>
  <c r="H2243" i="1"/>
  <c r="H2249" i="1"/>
  <c r="H2248" i="1"/>
  <c r="H2251" i="1"/>
  <c r="H1787" i="1"/>
  <c r="H1791" i="1"/>
  <c r="H1788" i="1"/>
  <c r="H1786" i="1"/>
  <c r="H1785" i="1"/>
  <c r="H1790" i="1"/>
  <c r="H1789" i="1"/>
  <c r="H1792" i="1"/>
  <c r="H1290" i="1"/>
  <c r="H2872" i="1"/>
  <c r="H2871" i="1"/>
  <c r="H2874" i="1"/>
  <c r="H2873" i="1"/>
  <c r="H2875" i="1"/>
  <c r="H2237" i="1"/>
  <c r="H2238" i="1"/>
  <c r="H2236" i="1"/>
  <c r="H2235" i="1"/>
  <c r="H2240" i="1"/>
  <c r="H2239" i="1"/>
  <c r="H2241" i="1"/>
  <c r="H1781" i="1"/>
  <c r="H1782" i="1"/>
  <c r="H1780" i="1"/>
  <c r="H1779" i="1"/>
  <c r="H1783" i="1"/>
  <c r="H1784" i="1"/>
  <c r="H1287" i="1"/>
  <c r="H1288" i="1"/>
  <c r="H1289" i="1"/>
  <c r="H2865" i="1"/>
  <c r="H2864" i="1"/>
  <c r="H2869" i="1"/>
  <c r="H2866" i="1"/>
  <c r="H2863" i="1"/>
  <c r="H2862" i="1"/>
  <c r="H2868" i="1"/>
  <c r="H2867" i="1"/>
  <c r="H2870" i="1"/>
  <c r="H2229" i="1"/>
  <c r="H2226" i="1"/>
  <c r="H2233" i="1"/>
  <c r="H2230" i="1"/>
  <c r="H2228" i="1"/>
  <c r="H2227" i="1"/>
  <c r="H2232" i="1"/>
  <c r="H2231" i="1"/>
  <c r="H2234" i="1"/>
  <c r="H1774" i="1"/>
  <c r="H1773" i="1"/>
  <c r="H1777" i="1"/>
  <c r="H1772" i="1"/>
  <c r="H1776" i="1"/>
  <c r="H1775" i="1"/>
  <c r="H1778" i="1"/>
  <c r="H1285" i="1"/>
  <c r="H1286" i="1"/>
  <c r="H2858" i="1"/>
  <c r="H2859" i="1"/>
  <c r="H2857" i="1"/>
  <c r="H2860" i="1"/>
  <c r="H2861" i="1"/>
  <c r="H2219" i="1"/>
  <c r="H2215" i="1"/>
  <c r="H2218" i="1"/>
  <c r="H2224" i="1"/>
  <c r="H2220" i="1"/>
  <c r="H2217" i="1"/>
  <c r="H2221" i="1"/>
  <c r="H2216" i="1"/>
  <c r="H2223" i="1"/>
  <c r="H2222" i="1"/>
  <c r="H2225" i="1"/>
  <c r="H1768" i="1"/>
  <c r="H1767" i="1"/>
  <c r="H1770" i="1"/>
  <c r="H1769" i="1"/>
  <c r="H1771" i="1"/>
  <c r="H1283" i="1"/>
  <c r="H1284" i="1"/>
  <c r="H2853" i="1"/>
  <c r="H2852" i="1"/>
  <c r="H2855" i="1"/>
  <c r="H2854" i="1"/>
  <c r="H2856" i="1"/>
  <c r="H2208" i="1"/>
  <c r="H2205" i="1"/>
  <c r="H2213" i="1"/>
  <c r="H2209" i="1"/>
  <c r="H2207" i="1"/>
  <c r="H2210" i="1"/>
  <c r="H2206" i="1"/>
  <c r="H2212" i="1"/>
  <c r="H2211" i="1"/>
  <c r="H2214" i="1"/>
  <c r="H1765" i="1"/>
  <c r="H1764" i="1"/>
  <c r="H1763" i="1"/>
  <c r="H1766" i="1"/>
  <c r="H1282" i="1"/>
  <c r="H2847" i="1"/>
  <c r="H2848" i="1"/>
  <c r="H2846" i="1"/>
  <c r="H2845" i="1"/>
  <c r="H2850" i="1"/>
  <c r="H2849" i="1"/>
  <c r="H2851" i="1"/>
  <c r="H2200" i="1"/>
  <c r="H2201" i="1"/>
  <c r="H2199" i="1"/>
  <c r="H2198" i="1"/>
  <c r="H2203" i="1"/>
  <c r="H2202" i="1"/>
  <c r="H2204" i="1"/>
  <c r="H1758" i="1"/>
  <c r="H1759" i="1"/>
  <c r="H1757" i="1"/>
  <c r="H1761" i="1"/>
  <c r="H1760" i="1"/>
  <c r="H1762" i="1"/>
  <c r="H1280" i="1"/>
  <c r="H1281" i="1"/>
  <c r="H3308" i="1"/>
  <c r="H3309" i="1"/>
  <c r="H3310" i="1"/>
  <c r="H3305" i="1"/>
  <c r="H3306" i="1"/>
  <c r="H3307" i="1"/>
  <c r="H3302" i="1"/>
  <c r="H3304" i="1"/>
  <c r="H3303" i="1"/>
  <c r="H3299" i="1"/>
  <c r="H3301" i="1"/>
  <c r="H3300" i="1"/>
  <c r="H3296" i="1"/>
  <c r="H3295" i="1"/>
  <c r="H3298" i="1"/>
  <c r="H3297" i="1"/>
  <c r="H3294" i="1"/>
  <c r="H3291" i="1"/>
  <c r="H3290" i="1"/>
  <c r="H3289" i="1"/>
  <c r="H3288" i="1"/>
  <c r="H3292" i="1"/>
  <c r="H3293" i="1"/>
  <c r="H3285" i="1"/>
  <c r="H3284" i="1"/>
  <c r="H3287" i="1"/>
  <c r="H3286" i="1"/>
  <c r="H3279" i="1"/>
  <c r="H3280" i="1"/>
  <c r="H3278" i="1"/>
  <c r="H3277" i="1"/>
  <c r="H3282" i="1"/>
  <c r="H3281" i="1"/>
  <c r="H3283" i="1"/>
  <c r="H3272" i="1"/>
  <c r="H3273" i="1"/>
  <c r="H3271" i="1"/>
  <c r="H3275" i="1"/>
  <c r="H3274" i="1"/>
  <c r="H3276" i="1"/>
  <c r="H3267" i="1"/>
  <c r="H3266" i="1"/>
  <c r="H3269" i="1"/>
  <c r="H3268" i="1"/>
  <c r="H3270" i="1"/>
  <c r="H2489" i="1"/>
  <c r="H2488" i="1"/>
  <c r="H2494" i="1"/>
  <c r="H2490" i="1"/>
  <c r="H2487" i="1"/>
  <c r="H2491" i="1"/>
  <c r="H2486" i="1"/>
  <c r="H2493" i="1"/>
  <c r="H2492" i="1"/>
  <c r="H2495" i="1"/>
  <c r="H2481" i="1"/>
  <c r="H2478" i="1"/>
  <c r="H2476" i="1"/>
  <c r="H2480" i="1"/>
  <c r="H2482" i="1"/>
  <c r="H2479" i="1"/>
  <c r="H2477" i="1"/>
  <c r="H2484" i="1"/>
  <c r="H2483" i="1"/>
  <c r="H2485" i="1"/>
  <c r="H2470" i="1"/>
  <c r="H2474" i="1"/>
  <c r="H2471" i="1"/>
  <c r="H2469" i="1"/>
  <c r="H2468" i="1"/>
  <c r="H2473" i="1"/>
  <c r="H2472" i="1"/>
  <c r="H2475" i="1"/>
  <c r="H2463" i="1"/>
  <c r="H2462" i="1"/>
  <c r="H2464" i="1"/>
  <c r="H2461" i="1"/>
  <c r="H2460" i="1"/>
  <c r="H2466" i="1"/>
  <c r="H2465" i="1"/>
  <c r="H2467" i="1"/>
  <c r="H2456" i="1"/>
  <c r="H2455" i="1"/>
  <c r="H2458" i="1"/>
  <c r="H2457" i="1"/>
  <c r="H2459" i="1"/>
  <c r="H2451" i="1"/>
  <c r="H2450" i="1"/>
  <c r="H2449" i="1"/>
  <c r="H2453" i="1"/>
  <c r="H2452" i="1"/>
  <c r="H2454" i="1"/>
  <c r="H2442" i="1"/>
  <c r="H2437" i="1"/>
  <c r="H2440" i="1"/>
  <c r="H2441" i="1"/>
  <c r="H2447" i="1"/>
  <c r="H2443" i="1"/>
  <c r="H2439" i="1"/>
  <c r="H2444" i="1"/>
  <c r="H2438" i="1"/>
  <c r="H2446" i="1"/>
  <c r="H2445" i="1"/>
  <c r="H2448" i="1"/>
  <c r="H2432" i="1"/>
  <c r="H2428" i="1"/>
  <c r="H2431" i="1"/>
  <c r="H2435" i="1"/>
  <c r="H2430" i="1"/>
  <c r="H2429" i="1"/>
  <c r="H2434" i="1"/>
  <c r="H2433" i="1"/>
  <c r="H2436" i="1"/>
  <c r="H2421" i="1"/>
  <c r="H2416" i="1"/>
  <c r="H2419" i="1"/>
  <c r="H2420" i="1"/>
  <c r="H2426" i="1"/>
  <c r="H2422" i="1"/>
  <c r="H2418" i="1"/>
  <c r="H2423" i="1"/>
  <c r="H2417" i="1"/>
  <c r="H2425" i="1"/>
  <c r="H2424" i="1"/>
  <c r="H2427" i="1"/>
  <c r="H2410" i="1"/>
  <c r="H2409" i="1"/>
  <c r="H2411" i="1"/>
  <c r="H2408" i="1"/>
  <c r="H2412" i="1"/>
  <c r="H2407" i="1"/>
  <c r="H2414" i="1"/>
  <c r="H2413" i="1"/>
  <c r="H2415" i="1"/>
  <c r="H2400" i="1"/>
  <c r="H2396" i="1"/>
  <c r="H2394" i="1"/>
  <c r="H2398" i="1"/>
  <c r="H2399" i="1"/>
  <c r="H2405" i="1"/>
  <c r="H2401" i="1"/>
  <c r="H2397" i="1"/>
  <c r="H2402" i="1"/>
  <c r="H2395" i="1"/>
  <c r="H2404" i="1"/>
  <c r="H2403" i="1"/>
  <c r="H2406" i="1"/>
  <c r="H2197" i="1"/>
  <c r="H2388" i="1"/>
  <c r="H2392" i="1"/>
  <c r="H2389" i="1"/>
  <c r="H2387" i="1"/>
  <c r="H2386" i="1"/>
  <c r="H2391" i="1"/>
  <c r="H2390" i="1"/>
  <c r="H2393" i="1"/>
  <c r="H2193" i="1"/>
  <c r="H2195" i="1"/>
  <c r="H2194" i="1"/>
  <c r="H2196" i="1"/>
  <c r="H3653" i="1"/>
  <c r="H3264" i="1"/>
  <c r="H3263" i="1"/>
  <c r="H3265" i="1"/>
  <c r="H3652" i="1"/>
  <c r="H3261" i="1"/>
  <c r="H3262" i="1"/>
  <c r="H3260" i="1"/>
  <c r="H3651" i="1"/>
  <c r="H3258" i="1"/>
  <c r="H3259" i="1"/>
  <c r="H3257" i="1"/>
  <c r="H3255" i="1"/>
  <c r="H3256" i="1"/>
  <c r="H3254" i="1"/>
  <c r="H3253" i="1"/>
  <c r="H3252" i="1"/>
  <c r="H3248" i="1"/>
  <c r="H3247" i="1"/>
  <c r="H3249" i="1"/>
  <c r="H3251" i="1"/>
  <c r="H3250" i="1"/>
  <c r="H3242" i="1"/>
  <c r="H3243" i="1"/>
  <c r="H3241" i="1"/>
  <c r="H3245" i="1"/>
  <c r="H3244" i="1"/>
  <c r="H3246" i="1"/>
  <c r="H3195" i="1"/>
  <c r="H3237" i="1"/>
  <c r="H3236" i="1"/>
  <c r="H3235" i="1"/>
  <c r="H3239" i="1"/>
  <c r="H3238" i="1"/>
  <c r="H3240" i="1"/>
  <c r="H3230" i="1"/>
  <c r="H3229" i="1"/>
  <c r="H3228" i="1"/>
  <c r="H3231" i="1"/>
  <c r="H3227" i="1"/>
  <c r="H3233" i="1"/>
  <c r="H3232" i="1"/>
  <c r="H3234" i="1"/>
  <c r="H3222" i="1"/>
  <c r="H3221" i="1"/>
  <c r="H3220" i="1"/>
  <c r="H3223" i="1"/>
  <c r="H3219" i="1"/>
  <c r="H3225" i="1"/>
  <c r="H3224" i="1"/>
  <c r="H3226" i="1"/>
  <c r="H3213" i="1"/>
  <c r="H3214" i="1"/>
  <c r="H3212" i="1"/>
  <c r="H3215" i="1"/>
  <c r="H3211" i="1"/>
  <c r="H3217" i="1"/>
  <c r="H3216" i="1"/>
  <c r="H3218" i="1"/>
  <c r="H3194" i="1"/>
  <c r="H2382" i="1"/>
  <c r="H2381" i="1"/>
  <c r="H2380" i="1"/>
  <c r="H2384" i="1"/>
  <c r="H2383" i="1"/>
  <c r="H2385" i="1"/>
  <c r="H2188" i="1"/>
  <c r="H2189" i="1"/>
  <c r="H2187" i="1"/>
  <c r="H2186" i="1"/>
  <c r="H2191" i="1"/>
  <c r="H2190" i="1"/>
  <c r="H2192" i="1"/>
  <c r="H2375" i="1"/>
  <c r="H2376" i="1"/>
  <c r="H2374" i="1"/>
  <c r="H2373" i="1"/>
  <c r="H2378" i="1"/>
  <c r="H2377" i="1"/>
  <c r="H2379" i="1"/>
  <c r="H2182" i="1"/>
  <c r="H2181" i="1"/>
  <c r="H2180" i="1"/>
  <c r="H2179" i="1"/>
  <c r="H2184" i="1"/>
  <c r="H2183" i="1"/>
  <c r="H2185" i="1"/>
  <c r="H2367" i="1"/>
  <c r="H2368" i="1"/>
  <c r="H2366" i="1"/>
  <c r="H2369" i="1"/>
  <c r="H2365" i="1"/>
  <c r="H2371" i="1"/>
  <c r="H2370" i="1"/>
  <c r="H2372" i="1"/>
  <c r="H2174" i="1"/>
  <c r="H2175" i="1"/>
  <c r="H2173" i="1"/>
  <c r="H2172" i="1"/>
  <c r="H2177" i="1"/>
  <c r="H2176" i="1"/>
  <c r="H2178" i="1"/>
  <c r="H2360" i="1"/>
  <c r="H2363" i="1"/>
  <c r="H2359" i="1"/>
  <c r="H2358" i="1"/>
  <c r="H2362" i="1"/>
  <c r="H2361" i="1"/>
  <c r="H2364" i="1"/>
  <c r="H2166" i="1"/>
  <c r="H2170" i="1"/>
  <c r="H2167" i="1"/>
  <c r="H2165" i="1"/>
  <c r="H2164" i="1"/>
  <c r="H2169" i="1"/>
  <c r="H2168" i="1"/>
  <c r="H2171" i="1"/>
  <c r="H2354" i="1"/>
  <c r="H2356" i="1"/>
  <c r="H2355" i="1"/>
  <c r="H2357" i="1"/>
  <c r="H2159" i="1"/>
  <c r="H2160" i="1"/>
  <c r="H2158" i="1"/>
  <c r="H2157" i="1"/>
  <c r="H2162" i="1"/>
  <c r="H2161" i="1"/>
  <c r="H2163" i="1"/>
  <c r="H2350" i="1"/>
  <c r="H2349" i="1"/>
  <c r="H2348" i="1"/>
  <c r="H2347" i="1"/>
  <c r="H2352" i="1"/>
  <c r="H2351" i="1"/>
  <c r="H2353" i="1"/>
  <c r="H2152" i="1"/>
  <c r="H2153" i="1"/>
  <c r="H2151" i="1"/>
  <c r="H2150" i="1"/>
  <c r="H2155" i="1"/>
  <c r="H2154" i="1"/>
  <c r="H2156" i="1"/>
  <c r="H2344" i="1"/>
  <c r="H2343" i="1"/>
  <c r="H2346" i="1"/>
  <c r="H2345" i="1"/>
  <c r="H2146" i="1"/>
  <c r="H2144" i="1"/>
  <c r="H2145" i="1"/>
  <c r="H2143" i="1"/>
  <c r="H2148" i="1"/>
  <c r="H2147" i="1"/>
  <c r="H2149" i="1"/>
  <c r="H2339" i="1"/>
  <c r="H2338" i="1"/>
  <c r="H2337" i="1"/>
  <c r="H2341" i="1"/>
  <c r="H2340" i="1"/>
  <c r="H2342" i="1"/>
  <c r="H2139" i="1"/>
  <c r="H2138" i="1"/>
  <c r="H2137" i="1"/>
  <c r="H2141" i="1"/>
  <c r="H2140" i="1"/>
  <c r="H2142" i="1"/>
  <c r="H2332" i="1"/>
  <c r="H2331" i="1"/>
  <c r="H2333" i="1"/>
  <c r="H2330" i="1"/>
  <c r="H2335" i="1"/>
  <c r="H2334" i="1"/>
  <c r="H2336" i="1"/>
  <c r="H2131" i="1"/>
  <c r="H2135" i="1"/>
  <c r="H2132" i="1"/>
  <c r="H2130" i="1"/>
  <c r="H2129" i="1"/>
  <c r="H2134" i="1"/>
  <c r="H2133" i="1"/>
  <c r="H2136" i="1"/>
  <c r="H2325" i="1"/>
  <c r="H2321" i="1"/>
  <c r="H2324" i="1"/>
  <c r="H2326" i="1"/>
  <c r="H2323" i="1"/>
  <c r="H2322" i="1"/>
  <c r="H2328" i="1"/>
  <c r="H2327" i="1"/>
  <c r="H2329" i="1"/>
  <c r="H2124" i="1"/>
  <c r="H2120" i="1"/>
  <c r="H2123" i="1"/>
  <c r="H2125" i="1"/>
  <c r="H2122" i="1"/>
  <c r="H2121" i="1"/>
  <c r="H2127" i="1"/>
  <c r="H2126" i="1"/>
  <c r="H2128" i="1"/>
  <c r="H2315" i="1"/>
  <c r="H2314" i="1"/>
  <c r="H2316" i="1"/>
  <c r="H2313" i="1"/>
  <c r="H2317" i="1"/>
  <c r="H2312" i="1"/>
  <c r="H2319" i="1"/>
  <c r="H2318" i="1"/>
  <c r="H2320" i="1"/>
  <c r="H2114" i="1"/>
  <c r="H2111" i="1"/>
  <c r="H2118" i="1"/>
  <c r="H2115" i="1"/>
  <c r="H2113" i="1"/>
  <c r="H2112" i="1"/>
  <c r="H2117" i="1"/>
  <c r="H2116" i="1"/>
  <c r="H2119" i="1"/>
  <c r="H2307" i="1"/>
  <c r="H2306" i="1"/>
  <c r="H2308" i="1"/>
  <c r="H2305" i="1"/>
  <c r="H2310" i="1"/>
  <c r="H2309" i="1"/>
  <c r="H2311" i="1"/>
  <c r="H2106" i="1"/>
  <c r="H2105" i="1"/>
  <c r="H2104" i="1"/>
  <c r="H2107" i="1"/>
  <c r="H2103" i="1"/>
  <c r="H2109" i="1"/>
  <c r="H2108" i="1"/>
  <c r="H2110" i="1"/>
  <c r="H436" i="1"/>
  <c r="H432" i="1"/>
  <c r="H434" i="1"/>
  <c r="H435" i="1"/>
  <c r="H441" i="1"/>
  <c r="H437" i="1"/>
  <c r="H433" i="1"/>
  <c r="H438" i="1"/>
  <c r="H431" i="1"/>
  <c r="H440" i="1"/>
  <c r="H439" i="1"/>
  <c r="H442" i="1"/>
  <c r="H424" i="1"/>
  <c r="H419" i="1"/>
  <c r="H422" i="1"/>
  <c r="H423" i="1"/>
  <c r="H429" i="1"/>
  <c r="H425" i="1"/>
  <c r="H421" i="1"/>
  <c r="H426" i="1"/>
  <c r="H420" i="1"/>
  <c r="H428" i="1"/>
  <c r="H427" i="1"/>
  <c r="H430" i="1"/>
  <c r="H412" i="1"/>
  <c r="H409" i="1"/>
  <c r="H407" i="1"/>
  <c r="H411" i="1"/>
  <c r="H417" i="1"/>
  <c r="H413" i="1"/>
  <c r="H410" i="1"/>
  <c r="H414" i="1"/>
  <c r="H408" i="1"/>
  <c r="H416" i="1"/>
  <c r="H415" i="1"/>
  <c r="H418" i="1"/>
  <c r="H400" i="1"/>
  <c r="H396" i="1"/>
  <c r="H399" i="1"/>
  <c r="H405" i="1"/>
  <c r="H401" i="1"/>
  <c r="H398" i="1"/>
  <c r="H402" i="1"/>
  <c r="H397" i="1"/>
  <c r="H404" i="1"/>
  <c r="H403" i="1"/>
  <c r="H406" i="1"/>
  <c r="H389" i="1"/>
  <c r="H385" i="1"/>
  <c r="H383" i="1"/>
  <c r="H387" i="1"/>
  <c r="H388" i="1"/>
  <c r="H394" i="1"/>
  <c r="H390" i="1"/>
  <c r="H386" i="1"/>
  <c r="H391" i="1"/>
  <c r="H384" i="1"/>
  <c r="H393" i="1"/>
  <c r="H392" i="1"/>
  <c r="H395" i="1"/>
  <c r="H376" i="1"/>
  <c r="H372" i="1"/>
  <c r="H375" i="1"/>
  <c r="H381" i="1"/>
  <c r="H377" i="1"/>
  <c r="H374" i="1"/>
  <c r="H378" i="1"/>
  <c r="H373" i="1"/>
  <c r="H380" i="1"/>
  <c r="H379" i="1"/>
  <c r="H382" i="1"/>
  <c r="H365" i="1"/>
  <c r="H361" i="1"/>
  <c r="H359" i="1"/>
  <c r="H363" i="1"/>
  <c r="H364" i="1"/>
  <c r="H370" i="1"/>
  <c r="H366" i="1"/>
  <c r="H362" i="1"/>
  <c r="H367" i="1"/>
  <c r="H360" i="1"/>
  <c r="H369" i="1"/>
  <c r="H368" i="1"/>
  <c r="H371" i="1"/>
  <c r="H352" i="1"/>
  <c r="H349" i="1"/>
  <c r="H347" i="1"/>
  <c r="H351" i="1"/>
  <c r="H357" i="1"/>
  <c r="H353" i="1"/>
  <c r="H350" i="1"/>
  <c r="H354" i="1"/>
  <c r="H348" i="1"/>
  <c r="H356" i="1"/>
  <c r="H355" i="1"/>
  <c r="H358" i="1"/>
  <c r="H340" i="1"/>
  <c r="H336" i="1"/>
  <c r="H334" i="1"/>
  <c r="H338" i="1"/>
  <c r="H339" i="1"/>
  <c r="H345" i="1"/>
  <c r="H341" i="1"/>
  <c r="H337" i="1"/>
  <c r="H342" i="1"/>
  <c r="H335" i="1"/>
  <c r="H344" i="1"/>
  <c r="H343" i="1"/>
  <c r="H346" i="1"/>
  <c r="H328" i="1"/>
  <c r="H324" i="1"/>
  <c r="H322" i="1"/>
  <c r="H326" i="1"/>
  <c r="H327" i="1"/>
  <c r="H329" i="1"/>
  <c r="H325" i="1"/>
  <c r="H330" i="1"/>
  <c r="H323" i="1"/>
  <c r="H332" i="1"/>
  <c r="H331" i="1"/>
  <c r="H333" i="1"/>
  <c r="H315" i="1"/>
  <c r="H311" i="1"/>
  <c r="H309" i="1"/>
  <c r="H313" i="1"/>
  <c r="H314" i="1"/>
  <c r="H320" i="1"/>
  <c r="H316" i="1"/>
  <c r="H312" i="1"/>
  <c r="H317" i="1"/>
  <c r="H310" i="1"/>
  <c r="H319" i="1"/>
  <c r="H318" i="1"/>
  <c r="H321" i="1"/>
  <c r="H302" i="1"/>
  <c r="H298" i="1"/>
  <c r="H296" i="1"/>
  <c r="H300" i="1"/>
  <c r="H301" i="1"/>
  <c r="H307" i="1"/>
  <c r="H303" i="1"/>
  <c r="H299" i="1"/>
  <c r="H304" i="1"/>
  <c r="H297" i="1"/>
  <c r="H306" i="1"/>
  <c r="H305" i="1"/>
  <c r="H308" i="1"/>
  <c r="H3593" i="1"/>
  <c r="H3594" i="1"/>
  <c r="H3592" i="1"/>
  <c r="H3591" i="1"/>
  <c r="H3589" i="1"/>
  <c r="H3590" i="1"/>
  <c r="H3602" i="1"/>
  <c r="H3601" i="1"/>
  <c r="H3586" i="1"/>
  <c r="H3585" i="1"/>
  <c r="H3587" i="1"/>
  <c r="H3588" i="1"/>
  <c r="H3584" i="1"/>
  <c r="H3583" i="1"/>
  <c r="H3582" i="1"/>
  <c r="H3581" i="1"/>
  <c r="H3599" i="1"/>
  <c r="H3600" i="1"/>
  <c r="H3577" i="1"/>
  <c r="H3580" i="1"/>
  <c r="H3578" i="1"/>
  <c r="H3576" i="1"/>
  <c r="H3579" i="1"/>
  <c r="H3575" i="1"/>
  <c r="H3573" i="1"/>
  <c r="H3572" i="1"/>
  <c r="H3571" i="1"/>
  <c r="H3574" i="1"/>
  <c r="H3597" i="1"/>
  <c r="H3598" i="1"/>
  <c r="H3568" i="1"/>
  <c r="H3569" i="1"/>
  <c r="H3567" i="1"/>
  <c r="H3570" i="1"/>
  <c r="H3596" i="1"/>
  <c r="H3564" i="1"/>
  <c r="H3563" i="1"/>
  <c r="H3565" i="1"/>
  <c r="H3562" i="1"/>
  <c r="H3566" i="1"/>
  <c r="H3595" i="1"/>
  <c r="H3558" i="1"/>
  <c r="H3561" i="1"/>
  <c r="H3559" i="1"/>
  <c r="H3557" i="1"/>
  <c r="H3560" i="1"/>
  <c r="H2760" i="1"/>
  <c r="H290" i="1"/>
  <c r="H286" i="1"/>
  <c r="H284" i="1"/>
  <c r="H288" i="1"/>
  <c r="H289" i="1"/>
  <c r="H291" i="1"/>
  <c r="H287" i="1"/>
  <c r="H292" i="1"/>
  <c r="H285" i="1"/>
  <c r="H294" i="1"/>
  <c r="H293" i="1"/>
  <c r="H295" i="1"/>
  <c r="H143" i="1"/>
  <c r="H139" i="1"/>
  <c r="H137" i="1"/>
  <c r="H141" i="1"/>
  <c r="H142" i="1"/>
  <c r="H147" i="1"/>
  <c r="H144" i="1"/>
  <c r="H140" i="1"/>
  <c r="H138" i="1"/>
  <c r="H146" i="1"/>
  <c r="H145" i="1"/>
  <c r="H148" i="1"/>
  <c r="H279" i="1"/>
  <c r="H276" i="1"/>
  <c r="H274" i="1"/>
  <c r="H278" i="1"/>
  <c r="H283" i="1"/>
  <c r="H280" i="1"/>
  <c r="H277" i="1"/>
  <c r="H275" i="1"/>
  <c r="H282" i="1"/>
  <c r="H281" i="1"/>
  <c r="H131" i="1"/>
  <c r="H127" i="1"/>
  <c r="H125" i="1"/>
  <c r="H129" i="1"/>
  <c r="H130" i="1"/>
  <c r="H135" i="1"/>
  <c r="H132" i="1"/>
  <c r="H128" i="1"/>
  <c r="H126" i="1"/>
  <c r="H134" i="1"/>
  <c r="H133" i="1"/>
  <c r="H136" i="1"/>
  <c r="H268" i="1"/>
  <c r="H264" i="1"/>
  <c r="H262" i="1"/>
  <c r="H266" i="1"/>
  <c r="H267" i="1"/>
  <c r="H272" i="1"/>
  <c r="H269" i="1"/>
  <c r="H265" i="1"/>
  <c r="H263" i="1"/>
  <c r="H271" i="1"/>
  <c r="H270" i="1"/>
  <c r="H273" i="1"/>
  <c r="H118" i="1"/>
  <c r="H114" i="1"/>
  <c r="H112" i="1"/>
  <c r="H116" i="1"/>
  <c r="H117" i="1"/>
  <c r="H123" i="1"/>
  <c r="H119" i="1"/>
  <c r="H115" i="1"/>
  <c r="H120" i="1"/>
  <c r="H113" i="1"/>
  <c r="H122" i="1"/>
  <c r="H121" i="1"/>
  <c r="H124" i="1"/>
  <c r="H255" i="1"/>
  <c r="H251" i="1"/>
  <c r="H249" i="1"/>
  <c r="H253" i="1"/>
  <c r="H254" i="1"/>
  <c r="H260" i="1"/>
  <c r="H256" i="1"/>
  <c r="H252" i="1"/>
  <c r="H257" i="1"/>
  <c r="H250" i="1"/>
  <c r="H259" i="1"/>
  <c r="H258" i="1"/>
  <c r="H261" i="1"/>
  <c r="H105" i="1"/>
  <c r="H101" i="1"/>
  <c r="H99" i="1"/>
  <c r="H103" i="1"/>
  <c r="H104" i="1"/>
  <c r="H110" i="1"/>
  <c r="H106" i="1"/>
  <c r="H102" i="1"/>
  <c r="H107" i="1"/>
  <c r="H100" i="1"/>
  <c r="H109" i="1"/>
  <c r="H108" i="1"/>
  <c r="H111" i="1"/>
  <c r="H242" i="1"/>
  <c r="H238" i="1"/>
  <c r="H236" i="1"/>
  <c r="H240" i="1"/>
  <c r="H241" i="1"/>
  <c r="H247" i="1"/>
  <c r="H243" i="1"/>
  <c r="H239" i="1"/>
  <c r="H244" i="1"/>
  <c r="H237" i="1"/>
  <c r="H246" i="1"/>
  <c r="H245" i="1"/>
  <c r="H248" i="1"/>
  <c r="H93" i="1"/>
  <c r="H89" i="1"/>
  <c r="H87" i="1"/>
  <c r="H91" i="1"/>
  <c r="H92" i="1"/>
  <c r="H97" i="1"/>
  <c r="H94" i="1"/>
  <c r="H90" i="1"/>
  <c r="H88" i="1"/>
  <c r="H96" i="1"/>
  <c r="H95" i="1"/>
  <c r="H98" i="1"/>
  <c r="H230" i="1"/>
  <c r="H226" i="1"/>
  <c r="H224" i="1"/>
  <c r="H228" i="1"/>
  <c r="H229" i="1"/>
  <c r="H234" i="1"/>
  <c r="H231" i="1"/>
  <c r="H227" i="1"/>
  <c r="H225" i="1"/>
  <c r="H233" i="1"/>
  <c r="H232" i="1"/>
  <c r="H235" i="1"/>
  <c r="H81" i="1"/>
  <c r="H77" i="1"/>
  <c r="H75" i="1"/>
  <c r="H79" i="1"/>
  <c r="H80" i="1"/>
  <c r="H85" i="1"/>
  <c r="H82" i="1"/>
  <c r="H78" i="1"/>
  <c r="H76" i="1"/>
  <c r="H84" i="1"/>
  <c r="H83" i="1"/>
  <c r="H86" i="1"/>
  <c r="H217" i="1"/>
  <c r="H213" i="1"/>
  <c r="H211" i="1"/>
  <c r="H215" i="1"/>
  <c r="H216" i="1"/>
  <c r="H222" i="1"/>
  <c r="H218" i="1"/>
  <c r="H214" i="1"/>
  <c r="H219" i="1"/>
  <c r="H212" i="1"/>
  <c r="H221" i="1"/>
  <c r="H220" i="1"/>
  <c r="H223" i="1"/>
  <c r="H69" i="1"/>
  <c r="H65" i="1"/>
  <c r="H63" i="1"/>
  <c r="H67" i="1"/>
  <c r="H68" i="1"/>
  <c r="H73" i="1"/>
  <c r="H70" i="1"/>
  <c r="H66" i="1"/>
  <c r="H64" i="1"/>
  <c r="H72" i="1"/>
  <c r="H71" i="1"/>
  <c r="H74" i="1"/>
  <c r="H204" i="1"/>
  <c r="H200" i="1"/>
  <c r="H198" i="1"/>
  <c r="H202" i="1"/>
  <c r="H203" i="1"/>
  <c r="H209" i="1"/>
  <c r="H205" i="1"/>
  <c r="H201" i="1"/>
  <c r="H206" i="1"/>
  <c r="H199" i="1"/>
  <c r="H208" i="1"/>
  <c r="H207" i="1"/>
  <c r="H210" i="1"/>
  <c r="H57" i="1"/>
  <c r="H53" i="1"/>
  <c r="H51" i="1"/>
  <c r="H55" i="1"/>
  <c r="H56" i="1"/>
  <c r="H61" i="1"/>
  <c r="H58" i="1"/>
  <c r="H54" i="1"/>
  <c r="H52" i="1"/>
  <c r="H60" i="1"/>
  <c r="H59" i="1"/>
  <c r="H62" i="1"/>
  <c r="H192" i="1"/>
  <c r="H188" i="1"/>
  <c r="H186" i="1"/>
  <c r="H190" i="1"/>
  <c r="H191" i="1"/>
  <c r="H196" i="1"/>
  <c r="H193" i="1"/>
  <c r="H189" i="1"/>
  <c r="H187" i="1"/>
  <c r="H195" i="1"/>
  <c r="H194" i="1"/>
  <c r="H197" i="1"/>
  <c r="H45" i="1"/>
  <c r="H41" i="1"/>
  <c r="H39" i="1"/>
  <c r="H43" i="1"/>
  <c r="H44" i="1"/>
  <c r="H49" i="1"/>
  <c r="H46" i="1"/>
  <c r="H42" i="1"/>
  <c r="H40" i="1"/>
  <c r="H48" i="1"/>
  <c r="H47" i="1"/>
  <c r="H50" i="1"/>
  <c r="H180" i="1"/>
  <c r="H176" i="1"/>
  <c r="H174" i="1"/>
  <c r="H178" i="1"/>
  <c r="H179" i="1"/>
  <c r="H184" i="1"/>
  <c r="H181" i="1"/>
  <c r="H177" i="1"/>
  <c r="H175" i="1"/>
  <c r="H183" i="1"/>
  <c r="H182" i="1"/>
  <c r="H185" i="1"/>
  <c r="H33" i="1"/>
  <c r="H29" i="1"/>
  <c r="H27" i="1"/>
  <c r="H31" i="1"/>
  <c r="H32" i="1"/>
  <c r="H37" i="1"/>
  <c r="H34" i="1"/>
  <c r="H30" i="1"/>
  <c r="H28" i="1"/>
  <c r="H36" i="1"/>
  <c r="H35" i="1"/>
  <c r="H38" i="1"/>
  <c r="H167" i="1"/>
  <c r="H163" i="1"/>
  <c r="H161" i="1"/>
  <c r="H165" i="1"/>
  <c r="H166" i="1"/>
  <c r="H172" i="1"/>
  <c r="H168" i="1"/>
  <c r="H164" i="1"/>
  <c r="H169" i="1"/>
  <c r="H162" i="1"/>
  <c r="H171" i="1"/>
  <c r="H170" i="1"/>
  <c r="H173" i="1"/>
  <c r="H20" i="1"/>
  <c r="H16" i="1"/>
  <c r="H14" i="1"/>
  <c r="H18" i="1"/>
  <c r="H19" i="1"/>
  <c r="H25" i="1"/>
  <c r="H21" i="1"/>
  <c r="H17" i="1"/>
  <c r="H22" i="1"/>
  <c r="H15" i="1"/>
  <c r="H24" i="1"/>
  <c r="H23" i="1"/>
  <c r="H26" i="1"/>
  <c r="H155" i="1"/>
  <c r="H151" i="1"/>
  <c r="H149" i="1"/>
  <c r="H153" i="1"/>
  <c r="H154" i="1"/>
  <c r="H159" i="1"/>
  <c r="H156" i="1"/>
  <c r="H152" i="1"/>
  <c r="H150" i="1"/>
  <c r="H158" i="1"/>
  <c r="H157" i="1"/>
  <c r="H160" i="1"/>
  <c r="H8" i="1"/>
  <c r="H4" i="1"/>
  <c r="H2" i="1"/>
  <c r="H6" i="1"/>
  <c r="H7" i="1"/>
  <c r="H12" i="1"/>
  <c r="H9" i="1"/>
  <c r="H5" i="1"/>
  <c r="H3" i="1"/>
  <c r="H11" i="1"/>
  <c r="H10" i="1"/>
  <c r="H13" i="1"/>
  <c r="H3210" i="1"/>
  <c r="H2996" i="1"/>
  <c r="H3209" i="1"/>
  <c r="H3104" i="1"/>
  <c r="H2995" i="1"/>
  <c r="H2994" i="1"/>
  <c r="H2993" i="1"/>
  <c r="H3208" i="1"/>
  <c r="H3128" i="1"/>
  <c r="H3103" i="1"/>
  <c r="H3102" i="1"/>
  <c r="H2991" i="1"/>
  <c r="H2992" i="1"/>
  <c r="H3134" i="1"/>
  <c r="H3097" i="1"/>
  <c r="H3099" i="1"/>
  <c r="H3101" i="1"/>
  <c r="H3100" i="1"/>
  <c r="H3098" i="1"/>
  <c r="H2990" i="1"/>
  <c r="H3207" i="1"/>
  <c r="H3206" i="1"/>
  <c r="H3191" i="1"/>
  <c r="H3127" i="1"/>
  <c r="H3094" i="1"/>
  <c r="H3091" i="1"/>
  <c r="H3092" i="1"/>
  <c r="H3093" i="1"/>
  <c r="H3095" i="1"/>
  <c r="H3096" i="1"/>
  <c r="H2989" i="1"/>
  <c r="H2969" i="1"/>
  <c r="H3087" i="1"/>
  <c r="H3089" i="1"/>
  <c r="H3088" i="1"/>
  <c r="H3090" i="1"/>
  <c r="H2988" i="1"/>
  <c r="H2965" i="1"/>
  <c r="H3204" i="1"/>
  <c r="H3205" i="1"/>
  <c r="H3193" i="1"/>
  <c r="H3190" i="1"/>
  <c r="H3126" i="1"/>
  <c r="H3083" i="1"/>
  <c r="H3081" i="1"/>
  <c r="H3079" i="1"/>
  <c r="H3082" i="1"/>
  <c r="H3086" i="1"/>
  <c r="H3084" i="1"/>
  <c r="H3080" i="1"/>
  <c r="H3085" i="1"/>
  <c r="H2986" i="1"/>
  <c r="H2984" i="1"/>
  <c r="H2985" i="1"/>
  <c r="H2987" i="1"/>
  <c r="H2968" i="1"/>
  <c r="H2963" i="1"/>
  <c r="H2964" i="1"/>
  <c r="H3202" i="1"/>
  <c r="H3203" i="1"/>
  <c r="H3189" i="1"/>
  <c r="H3133" i="1"/>
  <c r="H3125" i="1"/>
  <c r="H3075" i="1"/>
  <c r="H3078" i="1"/>
  <c r="H3077" i="1"/>
  <c r="H3076" i="1"/>
  <c r="H3001" i="1"/>
  <c r="H2983" i="1"/>
  <c r="H2980" i="1"/>
  <c r="H2979" i="1"/>
  <c r="H2982" i="1"/>
  <c r="H2981" i="1"/>
  <c r="H2962" i="1"/>
  <c r="H3200" i="1"/>
  <c r="H3201" i="1"/>
  <c r="H3188" i="1"/>
  <c r="H3132" i="1"/>
  <c r="H3124" i="1"/>
  <c r="H3122" i="1"/>
  <c r="H3123" i="1"/>
  <c r="H3071" i="1"/>
  <c r="H3068" i="1"/>
  <c r="H3072" i="1"/>
  <c r="H3070" i="1"/>
  <c r="H3069" i="1"/>
  <c r="H3074" i="1"/>
  <c r="H3073" i="1"/>
  <c r="H2976" i="1"/>
  <c r="H2975" i="1"/>
  <c r="H2977" i="1"/>
  <c r="H2978" i="1"/>
  <c r="H2961" i="1"/>
  <c r="H3198" i="1"/>
  <c r="H3199" i="1"/>
  <c r="H3186" i="1"/>
  <c r="H3187" i="1"/>
  <c r="H3131" i="1"/>
  <c r="H3130" i="1"/>
  <c r="H3121" i="1"/>
  <c r="H3117" i="1"/>
  <c r="H3115" i="1"/>
  <c r="H3119" i="1"/>
  <c r="H3120" i="1"/>
  <c r="H3118" i="1"/>
  <c r="H3116" i="1"/>
  <c r="H3064" i="1"/>
  <c r="H3061" i="1"/>
  <c r="H3063" i="1"/>
  <c r="H3067" i="1"/>
  <c r="H3065" i="1"/>
  <c r="H3062" i="1"/>
  <c r="H3066" i="1"/>
  <c r="H3000" i="1"/>
  <c r="H2972" i="1"/>
  <c r="H2974" i="1"/>
  <c r="H2973" i="1"/>
  <c r="H2967" i="1"/>
  <c r="H2960" i="1"/>
  <c r="H3196" i="1"/>
  <c r="H3197" i="1"/>
  <c r="H3192" i="1"/>
  <c r="H3184" i="1"/>
  <c r="H3185" i="1"/>
  <c r="H3129" i="1"/>
  <c r="H3113" i="1"/>
  <c r="H3109" i="1"/>
  <c r="H3107" i="1"/>
  <c r="H3111" i="1"/>
  <c r="H3112" i="1"/>
  <c r="H3110" i="1"/>
  <c r="H3108" i="1"/>
  <c r="H3114" i="1"/>
  <c r="H3057" i="1"/>
  <c r="H3054" i="1"/>
  <c r="H3052" i="1"/>
  <c r="H3056" i="1"/>
  <c r="H3060" i="1"/>
  <c r="H3058" i="1"/>
  <c r="H3055" i="1"/>
  <c r="H3053" i="1"/>
  <c r="H3059" i="1"/>
  <c r="H2997" i="1"/>
  <c r="H2998" i="1"/>
  <c r="H2999" i="1"/>
  <c r="H2971" i="1"/>
  <c r="H2966" i="1"/>
  <c r="H2957" i="1"/>
  <c r="H2956" i="1"/>
  <c r="H2958" i="1"/>
  <c r="H2959" i="1"/>
  <c r="H1393" i="1"/>
  <c r="H1389" i="1"/>
  <c r="H1388" i="1"/>
  <c r="H1391" i="1"/>
  <c r="H1392" i="1"/>
  <c r="H1394" i="1"/>
  <c r="H1390" i="1"/>
  <c r="H1386" i="1"/>
  <c r="H1384" i="1"/>
  <c r="H1383" i="1"/>
  <c r="H1385" i="1"/>
  <c r="H1387" i="1"/>
  <c r="H1583" i="1"/>
  <c r="H1581" i="1"/>
  <c r="H1582" i="1"/>
  <c r="H1380" i="1"/>
  <c r="H1379" i="1"/>
  <c r="H1381" i="1"/>
  <c r="H1382" i="1"/>
  <c r="H1376" i="1"/>
  <c r="H1377" i="1"/>
  <c r="H1378" i="1"/>
  <c r="H1374" i="1"/>
  <c r="H1370" i="1"/>
  <c r="H1369" i="1"/>
  <c r="H1372" i="1"/>
  <c r="H1373" i="1"/>
  <c r="H1375" i="1"/>
  <c r="H1371" i="1"/>
  <c r="H1366" i="1"/>
  <c r="H1362" i="1"/>
  <c r="H1361" i="1"/>
  <c r="H1364" i="1"/>
  <c r="H1365" i="1"/>
  <c r="H1368" i="1"/>
  <c r="H1367" i="1"/>
  <c r="H1363" i="1"/>
  <c r="H1358" i="1"/>
  <c r="H1359" i="1"/>
  <c r="H1360" i="1"/>
  <c r="H1357" i="1"/>
  <c r="H1355" i="1"/>
  <c r="H1356" i="1"/>
  <c r="H1352" i="1"/>
  <c r="H1349" i="1"/>
  <c r="H1351" i="1"/>
  <c r="H1353" i="1"/>
  <c r="H1350" i="1"/>
  <c r="H1354" i="1"/>
  <c r="H1347" i="1"/>
  <c r="H1345" i="1"/>
  <c r="H1344" i="1"/>
  <c r="H1346" i="1"/>
  <c r="H1348" i="1"/>
  <c r="H1995" i="1"/>
  <c r="H1397" i="1"/>
  <c r="H1341" i="1"/>
  <c r="H1339" i="1"/>
  <c r="H1338" i="1"/>
  <c r="H1340" i="1"/>
  <c r="H1342" i="1"/>
  <c r="H1343" i="1"/>
  <c r="H1485" i="1"/>
  <c r="H1395" i="1"/>
  <c r="H1396" i="1"/>
  <c r="H1335" i="1"/>
  <c r="H1337" i="1"/>
  <c r="H1336" i="1"/>
  <c r="H1585" i="1"/>
  <c r="H3725" i="1"/>
  <c r="H1586" i="1"/>
  <c r="L2943" i="1"/>
  <c r="L2944" i="1"/>
  <c r="L3718" i="1"/>
  <c r="L3696" i="1"/>
  <c r="L3697" i="1"/>
  <c r="L3650" i="1"/>
  <c r="L3641" i="1"/>
  <c r="L3642" i="1"/>
  <c r="L3593" i="1"/>
  <c r="L3594" i="1"/>
  <c r="L3544" i="1"/>
  <c r="L3543" i="1"/>
  <c r="L3501" i="1"/>
  <c r="L3502" i="1"/>
  <c r="L3416" i="1"/>
  <c r="L3415" i="1"/>
  <c r="L3417" i="1"/>
  <c r="L3414" i="1"/>
  <c r="L3418" i="1"/>
  <c r="L3210" i="1"/>
  <c r="L3179" i="1"/>
  <c r="L3180" i="1"/>
  <c r="L3043" i="1"/>
  <c r="L3044" i="1"/>
  <c r="L3042" i="1"/>
  <c r="L2996" i="1"/>
  <c r="L2942" i="1"/>
  <c r="L3716" i="1"/>
  <c r="L3717" i="1"/>
  <c r="L3694" i="1"/>
  <c r="L3695" i="1"/>
  <c r="L3639" i="1"/>
  <c r="L3640" i="1"/>
  <c r="L3592" i="1"/>
  <c r="L3542" i="1"/>
  <c r="L3499" i="1"/>
  <c r="L3500" i="1"/>
  <c r="L3446" i="1"/>
  <c r="L3412" i="1"/>
  <c r="L3411" i="1"/>
  <c r="L3410" i="1"/>
  <c r="L3413" i="1"/>
  <c r="L3308" i="1"/>
  <c r="L3309" i="1"/>
  <c r="L3310" i="1"/>
  <c r="L3257" i="1"/>
  <c r="L3209" i="1"/>
  <c r="L3163" i="1"/>
  <c r="L3148" i="1"/>
  <c r="L3104" i="1"/>
  <c r="L3041" i="1"/>
  <c r="L3040" i="1"/>
  <c r="L2995" i="1"/>
  <c r="L2970" i="1"/>
  <c r="L2941" i="1"/>
  <c r="L2940" i="1"/>
  <c r="L3691" i="1"/>
  <c r="L3690" i="1"/>
  <c r="L3689" i="1"/>
  <c r="L3693" i="1"/>
  <c r="L3692" i="1"/>
  <c r="L3638" i="1"/>
  <c r="L3591" i="1"/>
  <c r="L3541" i="1"/>
  <c r="L3497" i="1"/>
  <c r="L3498" i="1"/>
  <c r="L3407" i="1"/>
  <c r="L3408" i="1"/>
  <c r="L3406" i="1"/>
  <c r="L3409" i="1"/>
  <c r="L3305" i="1"/>
  <c r="L3306" i="1"/>
  <c r="L3307" i="1"/>
  <c r="L3255" i="1"/>
  <c r="L3256" i="1"/>
  <c r="L3177" i="1"/>
  <c r="L3176" i="1"/>
  <c r="L3178" i="1"/>
  <c r="L3038" i="1"/>
  <c r="L3037" i="1"/>
  <c r="L3039" i="1"/>
  <c r="L2994" i="1"/>
  <c r="L2993" i="1"/>
  <c r="L3725" i="1"/>
  <c r="L2938" i="1"/>
  <c r="L2939" i="1"/>
  <c r="L3688" i="1"/>
  <c r="L3653" i="1"/>
  <c r="L3648" i="1"/>
  <c r="L3649" i="1"/>
  <c r="L3636" i="1"/>
  <c r="L3637" i="1"/>
  <c r="L3589" i="1"/>
  <c r="L3590" i="1"/>
  <c r="L3540" i="1"/>
  <c r="L3539" i="1"/>
  <c r="L3496" i="1"/>
  <c r="L3471" i="1"/>
  <c r="L3470" i="1"/>
  <c r="L3444" i="1"/>
  <c r="L3445" i="1"/>
  <c r="L3402" i="1"/>
  <c r="L3398" i="1"/>
  <c r="L3401" i="1"/>
  <c r="L3403" i="1"/>
  <c r="L3400" i="1"/>
  <c r="L3399" i="1"/>
  <c r="L3405" i="1"/>
  <c r="L3404" i="1"/>
  <c r="L3302" i="1"/>
  <c r="L3304" i="1"/>
  <c r="L3303" i="1"/>
  <c r="L3264" i="1"/>
  <c r="L3263" i="1"/>
  <c r="L3265" i="1"/>
  <c r="L3254" i="1"/>
  <c r="L3208" i="1"/>
  <c r="L3175" i="1"/>
  <c r="L3161" i="1"/>
  <c r="L3162" i="1"/>
  <c r="L3146" i="1"/>
  <c r="L3147" i="1"/>
  <c r="L3128" i="1"/>
  <c r="L3103" i="1"/>
  <c r="L3102" i="1"/>
  <c r="L3035" i="1"/>
  <c r="L3036" i="1"/>
  <c r="L2991" i="1"/>
  <c r="L2992" i="1"/>
  <c r="L2935" i="1"/>
  <c r="L2933" i="1"/>
  <c r="L2936" i="1"/>
  <c r="L2934" i="1"/>
  <c r="L2932" i="1"/>
  <c r="L2937" i="1"/>
  <c r="L3687" i="1"/>
  <c r="L3652" i="1"/>
  <c r="L3633" i="1"/>
  <c r="L3632" i="1"/>
  <c r="L3634" i="1"/>
  <c r="L3635" i="1"/>
  <c r="L3602" i="1"/>
  <c r="L3601" i="1"/>
  <c r="L3586" i="1"/>
  <c r="L3585" i="1"/>
  <c r="L3587" i="1"/>
  <c r="L3588" i="1"/>
  <c r="L3537" i="1"/>
  <c r="L3536" i="1"/>
  <c r="L3538" i="1"/>
  <c r="L3494" i="1"/>
  <c r="L3495" i="1"/>
  <c r="L3468" i="1"/>
  <c r="L3467" i="1"/>
  <c r="L3469" i="1"/>
  <c r="L3441" i="1"/>
  <c r="L3443" i="1"/>
  <c r="L3442" i="1"/>
  <c r="L3392" i="1"/>
  <c r="L3396" i="1"/>
  <c r="L3393" i="1"/>
  <c r="L3391" i="1"/>
  <c r="L3390" i="1"/>
  <c r="L3395" i="1"/>
  <c r="L3394" i="1"/>
  <c r="L3397" i="1"/>
  <c r="L3299" i="1"/>
  <c r="L3301" i="1"/>
  <c r="L3300" i="1"/>
  <c r="L3253" i="1"/>
  <c r="L3159" i="1"/>
  <c r="L3160" i="1"/>
  <c r="L3145" i="1"/>
  <c r="L3137" i="1"/>
  <c r="L3134" i="1"/>
  <c r="L3097" i="1"/>
  <c r="L3099" i="1"/>
  <c r="L3101" i="1"/>
  <c r="L3100" i="1"/>
  <c r="L3098" i="1"/>
  <c r="L3051" i="1"/>
  <c r="L3034" i="1"/>
  <c r="L3033" i="1"/>
  <c r="L3032" i="1"/>
  <c r="L2990" i="1"/>
  <c r="L2930" i="1"/>
  <c r="L2931" i="1"/>
  <c r="L3715" i="1"/>
  <c r="L3702" i="1"/>
  <c r="L3686" i="1"/>
  <c r="L3629" i="1"/>
  <c r="L3628" i="1"/>
  <c r="L3631" i="1"/>
  <c r="L3630" i="1"/>
  <c r="L3584" i="1"/>
  <c r="L3583" i="1"/>
  <c r="L3492" i="1"/>
  <c r="L3493" i="1"/>
  <c r="L3440" i="1"/>
  <c r="L3439" i="1"/>
  <c r="L3385" i="1"/>
  <c r="L3381" i="1"/>
  <c r="L3384" i="1"/>
  <c r="L3386" i="1"/>
  <c r="L3383" i="1"/>
  <c r="L3382" i="1"/>
  <c r="L3388" i="1"/>
  <c r="L3387" i="1"/>
  <c r="L3389" i="1"/>
  <c r="L3329" i="1"/>
  <c r="L3320" i="1"/>
  <c r="L3296" i="1"/>
  <c r="L3295" i="1"/>
  <c r="L3298" i="1"/>
  <c r="L3297" i="1"/>
  <c r="L3261" i="1"/>
  <c r="L3262" i="1"/>
  <c r="L3252" i="1"/>
  <c r="L3207" i="1"/>
  <c r="L3206" i="1"/>
  <c r="L3191" i="1"/>
  <c r="L3183" i="1"/>
  <c r="L3127" i="1"/>
  <c r="L3094" i="1"/>
  <c r="L3091" i="1"/>
  <c r="L3092" i="1"/>
  <c r="L3093" i="1"/>
  <c r="L3095" i="1"/>
  <c r="L3096" i="1"/>
  <c r="L3031" i="1"/>
  <c r="L3030" i="1"/>
  <c r="L2989" i="1"/>
  <c r="L2969" i="1"/>
  <c r="L2928" i="1"/>
  <c r="L2927" i="1"/>
  <c r="L2929" i="1"/>
  <c r="L3626" i="1"/>
  <c r="L3625" i="1"/>
  <c r="L3627" i="1"/>
  <c r="L3582" i="1"/>
  <c r="L3581" i="1"/>
  <c r="L3555" i="1"/>
  <c r="L3556" i="1"/>
  <c r="L3534" i="1"/>
  <c r="L3533" i="1"/>
  <c r="L3535" i="1"/>
  <c r="L3491" i="1"/>
  <c r="L3466" i="1"/>
  <c r="L3465" i="1"/>
  <c r="L3437" i="1"/>
  <c r="L3438" i="1"/>
  <c r="L3378" i="1"/>
  <c r="L3379" i="1"/>
  <c r="L3377" i="1"/>
  <c r="L3376" i="1"/>
  <c r="L3380" i="1"/>
  <c r="L3319" i="1"/>
  <c r="L3294" i="1"/>
  <c r="L3248" i="1"/>
  <c r="L3247" i="1"/>
  <c r="L3249" i="1"/>
  <c r="L3251" i="1"/>
  <c r="L3250" i="1"/>
  <c r="L3174" i="1"/>
  <c r="L3158" i="1"/>
  <c r="L3087" i="1"/>
  <c r="L3089" i="1"/>
  <c r="L3088" i="1"/>
  <c r="L3090" i="1"/>
  <c r="L3050" i="1"/>
  <c r="L3027" i="1"/>
  <c r="L3028" i="1"/>
  <c r="L3026" i="1"/>
  <c r="L3029" i="1"/>
  <c r="L2988" i="1"/>
  <c r="L2965" i="1"/>
  <c r="L2925" i="1"/>
  <c r="L2924" i="1"/>
  <c r="L2926" i="1"/>
  <c r="L3723" i="1"/>
  <c r="L3724" i="1"/>
  <c r="L3701" i="1"/>
  <c r="L3682" i="1"/>
  <c r="L3681" i="1"/>
  <c r="L3684" i="1"/>
  <c r="L3683" i="1"/>
  <c r="L3685" i="1"/>
  <c r="L3646" i="1"/>
  <c r="L3647" i="1"/>
  <c r="L3622" i="1"/>
  <c r="L3623" i="1"/>
  <c r="L3624" i="1"/>
  <c r="L3599" i="1"/>
  <c r="L3600" i="1"/>
  <c r="L3577" i="1"/>
  <c r="L3580" i="1"/>
  <c r="L3578" i="1"/>
  <c r="L3576" i="1"/>
  <c r="L3579" i="1"/>
  <c r="L3530" i="1"/>
  <c r="L3531" i="1"/>
  <c r="L3529" i="1"/>
  <c r="L3532" i="1"/>
  <c r="L3489" i="1"/>
  <c r="L3488" i="1"/>
  <c r="L3490" i="1"/>
  <c r="L3462" i="1"/>
  <c r="L3464" i="1"/>
  <c r="L3461" i="1"/>
  <c r="L3463" i="1"/>
  <c r="L3435" i="1"/>
  <c r="L3434" i="1"/>
  <c r="L3436" i="1"/>
  <c r="L3370" i="1"/>
  <c r="L3366" i="1"/>
  <c r="L3369" i="1"/>
  <c r="L3374" i="1"/>
  <c r="L3371" i="1"/>
  <c r="L3368" i="1"/>
  <c r="L3367" i="1"/>
  <c r="L3373" i="1"/>
  <c r="L3372" i="1"/>
  <c r="L3375" i="1"/>
  <c r="L3318" i="1"/>
  <c r="L3317" i="1"/>
  <c r="L3291" i="1"/>
  <c r="L3290" i="1"/>
  <c r="L3289" i="1"/>
  <c r="L3288" i="1"/>
  <c r="L3292" i="1"/>
  <c r="L3293" i="1"/>
  <c r="L3260" i="1"/>
  <c r="L3242" i="1"/>
  <c r="L3243" i="1"/>
  <c r="L3241" i="1"/>
  <c r="L3245" i="1"/>
  <c r="L3244" i="1"/>
  <c r="L3246" i="1"/>
  <c r="L3204" i="1"/>
  <c r="L3205" i="1"/>
  <c r="L3195" i="1"/>
  <c r="L3193" i="1"/>
  <c r="L3190" i="1"/>
  <c r="L2950" i="1"/>
  <c r="L3182" i="1"/>
  <c r="L3172" i="1"/>
  <c r="L3173" i="1"/>
  <c r="L3157" i="1"/>
  <c r="L3151" i="1"/>
  <c r="L3143" i="1"/>
  <c r="L3144" i="1"/>
  <c r="L3126" i="1"/>
  <c r="L3083" i="1"/>
  <c r="L3081" i="1"/>
  <c r="L3079" i="1"/>
  <c r="L3082" i="1"/>
  <c r="L3086" i="1"/>
  <c r="L3084" i="1"/>
  <c r="L3080" i="1"/>
  <c r="L3085" i="1"/>
  <c r="L3049" i="1"/>
  <c r="L3023" i="1"/>
  <c r="L3024" i="1"/>
  <c r="L3022" i="1"/>
  <c r="L3025" i="1"/>
  <c r="L2986" i="1"/>
  <c r="L2984" i="1"/>
  <c r="L2985" i="1"/>
  <c r="L2987" i="1"/>
  <c r="L2968" i="1"/>
  <c r="L2963" i="1"/>
  <c r="L2964" i="1"/>
  <c r="L2955" i="1"/>
  <c r="L2954" i="1"/>
  <c r="L2921" i="1"/>
  <c r="L2923" i="1"/>
  <c r="L2920" i="1"/>
  <c r="L2922" i="1"/>
  <c r="L3721" i="1"/>
  <c r="L3722" i="1"/>
  <c r="L3712" i="1"/>
  <c r="L3714" i="1"/>
  <c r="L3713" i="1"/>
  <c r="L3676" i="1"/>
  <c r="L3675" i="1"/>
  <c r="L3677" i="1"/>
  <c r="L3674" i="1"/>
  <c r="L3679" i="1"/>
  <c r="L3678" i="1"/>
  <c r="L3680" i="1"/>
  <c r="L3619" i="1"/>
  <c r="L3618" i="1"/>
  <c r="L3617" i="1"/>
  <c r="L3621" i="1"/>
  <c r="L3620" i="1"/>
  <c r="L3575" i="1"/>
  <c r="L3573" i="1"/>
  <c r="L3572" i="1"/>
  <c r="L3571" i="1"/>
  <c r="L3574" i="1"/>
  <c r="L3554" i="1"/>
  <c r="L3525" i="1"/>
  <c r="L3528" i="1"/>
  <c r="L3526" i="1"/>
  <c r="L3524" i="1"/>
  <c r="L3523" i="1"/>
  <c r="L3527" i="1"/>
  <c r="L3485" i="1"/>
  <c r="L3486" i="1"/>
  <c r="L3487" i="1"/>
  <c r="L3458" i="1"/>
  <c r="L3460" i="1"/>
  <c r="L3457" i="1"/>
  <c r="L3459" i="1"/>
  <c r="L3432" i="1"/>
  <c r="L3431" i="1"/>
  <c r="L3433" i="1"/>
  <c r="L3360" i="1"/>
  <c r="L3359" i="1"/>
  <c r="L3364" i="1"/>
  <c r="L3361" i="1"/>
  <c r="L3358" i="1"/>
  <c r="L3357" i="1"/>
  <c r="L3363" i="1"/>
  <c r="L3362" i="1"/>
  <c r="L3365" i="1"/>
  <c r="L3328" i="1"/>
  <c r="L3285" i="1"/>
  <c r="L3284" i="1"/>
  <c r="L3287" i="1"/>
  <c r="L3286" i="1"/>
  <c r="L3237" i="1"/>
  <c r="L3236" i="1"/>
  <c r="L3235" i="1"/>
  <c r="L3239" i="1"/>
  <c r="L3238" i="1"/>
  <c r="L3240" i="1"/>
  <c r="L2953" i="1"/>
  <c r="L3202" i="1"/>
  <c r="L3203" i="1"/>
  <c r="L3189" i="1"/>
  <c r="L3171" i="1"/>
  <c r="L3170" i="1"/>
  <c r="L3156" i="1"/>
  <c r="L3142" i="1"/>
  <c r="L3133" i="1"/>
  <c r="L3125" i="1"/>
  <c r="L3075" i="1"/>
  <c r="L3078" i="1"/>
  <c r="L3077" i="1"/>
  <c r="L3076" i="1"/>
  <c r="L3048" i="1"/>
  <c r="L3047" i="1"/>
  <c r="L3019" i="1"/>
  <c r="L3020" i="1"/>
  <c r="L3018" i="1"/>
  <c r="L3021" i="1"/>
  <c r="L3001" i="1"/>
  <c r="L2983" i="1"/>
  <c r="L2980" i="1"/>
  <c r="L2979" i="1"/>
  <c r="L2982" i="1"/>
  <c r="L2981" i="1"/>
  <c r="L2962" i="1"/>
  <c r="L2917" i="1"/>
  <c r="L2916" i="1"/>
  <c r="L2919" i="1"/>
  <c r="L2915" i="1"/>
  <c r="L2914" i="1"/>
  <c r="L2918" i="1"/>
  <c r="L3709" i="1"/>
  <c r="L3708" i="1"/>
  <c r="L3711" i="1"/>
  <c r="L3710" i="1"/>
  <c r="L3700" i="1"/>
  <c r="L3668" i="1"/>
  <c r="L3669" i="1"/>
  <c r="L3667" i="1"/>
  <c r="L3670" i="1"/>
  <c r="L3666" i="1"/>
  <c r="L3672" i="1"/>
  <c r="L3671" i="1"/>
  <c r="L3673" i="1"/>
  <c r="L3651" i="1"/>
  <c r="L3644" i="1"/>
  <c r="L3645" i="1"/>
  <c r="L3615" i="1"/>
  <c r="L3614" i="1"/>
  <c r="L3616" i="1"/>
  <c r="L3597" i="1"/>
  <c r="L3598" i="1"/>
  <c r="L3568" i="1"/>
  <c r="L3569" i="1"/>
  <c r="L3567" i="1"/>
  <c r="L3570" i="1"/>
  <c r="L3552" i="1"/>
  <c r="L3551" i="1"/>
  <c r="L3553" i="1"/>
  <c r="L3519" i="1"/>
  <c r="L3518" i="1"/>
  <c r="L3522" i="1"/>
  <c r="L3520" i="1"/>
  <c r="L3517" i="1"/>
  <c r="L3521" i="1"/>
  <c r="L3481" i="1"/>
  <c r="L3483" i="1"/>
  <c r="L3480" i="1"/>
  <c r="L3482" i="1"/>
  <c r="L3484" i="1"/>
  <c r="L3455" i="1"/>
  <c r="L3454" i="1"/>
  <c r="L3456" i="1"/>
  <c r="L3427" i="1"/>
  <c r="L3426" i="1"/>
  <c r="L3429" i="1"/>
  <c r="L3428" i="1"/>
  <c r="L3430" i="1"/>
  <c r="L3351" i="1"/>
  <c r="L3350" i="1"/>
  <c r="L3355" i="1"/>
  <c r="L3352" i="1"/>
  <c r="L3349" i="1"/>
  <c r="L3348" i="1"/>
  <c r="L3354" i="1"/>
  <c r="L3353" i="1"/>
  <c r="L3356" i="1"/>
  <c r="L3327" i="1"/>
  <c r="L3326" i="1"/>
  <c r="L3315" i="1"/>
  <c r="L3316" i="1"/>
  <c r="L3279" i="1"/>
  <c r="L3280" i="1"/>
  <c r="L3278" i="1"/>
  <c r="L3277" i="1"/>
  <c r="L3282" i="1"/>
  <c r="L3281" i="1"/>
  <c r="L3283" i="1"/>
  <c r="L3230" i="1"/>
  <c r="L3229" i="1"/>
  <c r="L3228" i="1"/>
  <c r="L3231" i="1"/>
  <c r="L3227" i="1"/>
  <c r="L3233" i="1"/>
  <c r="L3232" i="1"/>
  <c r="L3234" i="1"/>
  <c r="L2952" i="1"/>
  <c r="L3200" i="1"/>
  <c r="L3201" i="1"/>
  <c r="L3188" i="1"/>
  <c r="L2949" i="1"/>
  <c r="L2948" i="1"/>
  <c r="L3154" i="1"/>
  <c r="L3155" i="1"/>
  <c r="L3141" i="1"/>
  <c r="L3135" i="1"/>
  <c r="L3136" i="1"/>
  <c r="L3132" i="1"/>
  <c r="L3124" i="1"/>
  <c r="L3122" i="1"/>
  <c r="L3123" i="1"/>
  <c r="L3071" i="1"/>
  <c r="L3068" i="1"/>
  <c r="L3072" i="1"/>
  <c r="L3070" i="1"/>
  <c r="L3069" i="1"/>
  <c r="L3074" i="1"/>
  <c r="L3073" i="1"/>
  <c r="L3013" i="1"/>
  <c r="L3017" i="1"/>
  <c r="L3015" i="1"/>
  <c r="L3014" i="1"/>
  <c r="L3016" i="1"/>
  <c r="L2976" i="1"/>
  <c r="L2975" i="1"/>
  <c r="L2977" i="1"/>
  <c r="L2978" i="1"/>
  <c r="L2961" i="1"/>
  <c r="L2911" i="1"/>
  <c r="L2910" i="1"/>
  <c r="L2909" i="1"/>
  <c r="L2913" i="1"/>
  <c r="L2912" i="1"/>
  <c r="L3720" i="1"/>
  <c r="L3706" i="1"/>
  <c r="L3705" i="1"/>
  <c r="L3707" i="1"/>
  <c r="L3699" i="1"/>
  <c r="L3661" i="1"/>
  <c r="L3660" i="1"/>
  <c r="L3662" i="1"/>
  <c r="L3659" i="1"/>
  <c r="L3664" i="1"/>
  <c r="L3663" i="1"/>
  <c r="L3665" i="1"/>
  <c r="L3609" i="1"/>
  <c r="L3610" i="1"/>
  <c r="L3608" i="1"/>
  <c r="L3607" i="1"/>
  <c r="L3612" i="1"/>
  <c r="L3611" i="1"/>
  <c r="L3613" i="1"/>
  <c r="L3596" i="1"/>
  <c r="L3564" i="1"/>
  <c r="L3563" i="1"/>
  <c r="L3565" i="1"/>
  <c r="L3562" i="1"/>
  <c r="L3566" i="1"/>
  <c r="L3549" i="1"/>
  <c r="L3548" i="1"/>
  <c r="L3550" i="1"/>
  <c r="L3512" i="1"/>
  <c r="L3511" i="1"/>
  <c r="L3513" i="1"/>
  <c r="L3510" i="1"/>
  <c r="L3515" i="1"/>
  <c r="L3514" i="1"/>
  <c r="L3516" i="1"/>
  <c r="L3478" i="1"/>
  <c r="L3476" i="1"/>
  <c r="L3477" i="1"/>
  <c r="L3479" i="1"/>
  <c r="L3452" i="1"/>
  <c r="L3451" i="1"/>
  <c r="L3453" i="1"/>
  <c r="L3423" i="1"/>
  <c r="L3424" i="1"/>
  <c r="L3425" i="1"/>
  <c r="L3342" i="1"/>
  <c r="L3340" i="1"/>
  <c r="L3341" i="1"/>
  <c r="L3346" i="1"/>
  <c r="L3343" i="1"/>
  <c r="L3339" i="1"/>
  <c r="L3338" i="1"/>
  <c r="L3345" i="1"/>
  <c r="L3344" i="1"/>
  <c r="L3347" i="1"/>
  <c r="L3324" i="1"/>
  <c r="L3325" i="1"/>
  <c r="L3314" i="1"/>
  <c r="L3272" i="1"/>
  <c r="L3273" i="1"/>
  <c r="L3271" i="1"/>
  <c r="L3275" i="1"/>
  <c r="L3274" i="1"/>
  <c r="L3276" i="1"/>
  <c r="L3222" i="1"/>
  <c r="L3221" i="1"/>
  <c r="L3220" i="1"/>
  <c r="L3223" i="1"/>
  <c r="L3219" i="1"/>
  <c r="L3225" i="1"/>
  <c r="L3224" i="1"/>
  <c r="L3226" i="1"/>
  <c r="L2951" i="1"/>
  <c r="L3198" i="1"/>
  <c r="L3199" i="1"/>
  <c r="L3186" i="1"/>
  <c r="L3187" i="1"/>
  <c r="L2946" i="1"/>
  <c r="L2945" i="1"/>
  <c r="L2947" i="1"/>
  <c r="L3167" i="1"/>
  <c r="L3168" i="1"/>
  <c r="L3169" i="1"/>
  <c r="L3153" i="1"/>
  <c r="L3139" i="1"/>
  <c r="L3140" i="1"/>
  <c r="L3131" i="1"/>
  <c r="L3130" i="1"/>
  <c r="L3121" i="1"/>
  <c r="L3117" i="1"/>
  <c r="L3115" i="1"/>
  <c r="L3119" i="1"/>
  <c r="L3120" i="1"/>
  <c r="L3118" i="1"/>
  <c r="L3116" i="1"/>
  <c r="L3106" i="1"/>
  <c r="L3105" i="1"/>
  <c r="L3064" i="1"/>
  <c r="L3061" i="1"/>
  <c r="L3063" i="1"/>
  <c r="L3067" i="1"/>
  <c r="L3065" i="1"/>
  <c r="L3062" i="1"/>
  <c r="L3066" i="1"/>
  <c r="L3046" i="1"/>
  <c r="L3009" i="1"/>
  <c r="L3012" i="1"/>
  <c r="L3010" i="1"/>
  <c r="L3008" i="1"/>
  <c r="L3011" i="1"/>
  <c r="L3000" i="1"/>
  <c r="L2972" i="1"/>
  <c r="L2974" i="1"/>
  <c r="L2973" i="1"/>
  <c r="L2967" i="1"/>
  <c r="L2960" i="1"/>
  <c r="L2907" i="1"/>
  <c r="L2905" i="1"/>
  <c r="L2906" i="1"/>
  <c r="L2904" i="1"/>
  <c r="L2908" i="1"/>
  <c r="L3719" i="1"/>
  <c r="L3703" i="1"/>
  <c r="L3704" i="1"/>
  <c r="L3698" i="1"/>
  <c r="L3655" i="1"/>
  <c r="L3654" i="1"/>
  <c r="L3656" i="1"/>
  <c r="L3658" i="1"/>
  <c r="L3657" i="1"/>
  <c r="L3643" i="1"/>
  <c r="L3604" i="1"/>
  <c r="L3605" i="1"/>
  <c r="L3603" i="1"/>
  <c r="L3606" i="1"/>
  <c r="L3595" i="1"/>
  <c r="L3558" i="1"/>
  <c r="L3561" i="1"/>
  <c r="L3559" i="1"/>
  <c r="L3557" i="1"/>
  <c r="L3560" i="1"/>
  <c r="L3546" i="1"/>
  <c r="L3545" i="1"/>
  <c r="L3547" i="1"/>
  <c r="L3506" i="1"/>
  <c r="L3505" i="1"/>
  <c r="L3509" i="1"/>
  <c r="L3507" i="1"/>
  <c r="L3504" i="1"/>
  <c r="L3503" i="1"/>
  <c r="L3508" i="1"/>
  <c r="L3474" i="1"/>
  <c r="L3473" i="1"/>
  <c r="L3472" i="1"/>
  <c r="L3475" i="1"/>
  <c r="L3448" i="1"/>
  <c r="L3449" i="1"/>
  <c r="L3447" i="1"/>
  <c r="L3450" i="1"/>
  <c r="L3420" i="1"/>
  <c r="L3421" i="1"/>
  <c r="L3419" i="1"/>
  <c r="L3422" i="1"/>
  <c r="L3332" i="1"/>
  <c r="L3336" i="1"/>
  <c r="L3333" i="1"/>
  <c r="L3331" i="1"/>
  <c r="L3330" i="1"/>
  <c r="L3335" i="1"/>
  <c r="L3334" i="1"/>
  <c r="L3337" i="1"/>
  <c r="L3322" i="1"/>
  <c r="L3321" i="1"/>
  <c r="L3323" i="1"/>
  <c r="L3312" i="1"/>
  <c r="L3311" i="1"/>
  <c r="L3313" i="1"/>
  <c r="L3267" i="1"/>
  <c r="L3266" i="1"/>
  <c r="L3269" i="1"/>
  <c r="L3268" i="1"/>
  <c r="L3270" i="1"/>
  <c r="L3258" i="1"/>
  <c r="L3259" i="1"/>
  <c r="L3213" i="1"/>
  <c r="L3214" i="1"/>
  <c r="L3212" i="1"/>
  <c r="L3215" i="1"/>
  <c r="L3211" i="1"/>
  <c r="L3217" i="1"/>
  <c r="L3216" i="1"/>
  <c r="L3218" i="1"/>
  <c r="L3196" i="1"/>
  <c r="L3197" i="1"/>
  <c r="L3194" i="1"/>
  <c r="L3192" i="1"/>
  <c r="L3184" i="1"/>
  <c r="L3185" i="1"/>
  <c r="L3181" i="1"/>
  <c r="L3166" i="1"/>
  <c r="L3164" i="1"/>
  <c r="L3165" i="1"/>
  <c r="L3152" i="1"/>
  <c r="L3149" i="1"/>
  <c r="L3150" i="1"/>
  <c r="L3138" i="1"/>
  <c r="L3129" i="1"/>
  <c r="L3113" i="1"/>
  <c r="L3109" i="1"/>
  <c r="L3107" i="1"/>
  <c r="L3111" i="1"/>
  <c r="L3112" i="1"/>
  <c r="L3110" i="1"/>
  <c r="L3108" i="1"/>
  <c r="L3114" i="1"/>
  <c r="L3057" i="1"/>
  <c r="L3054" i="1"/>
  <c r="L3052" i="1"/>
  <c r="L3056" i="1"/>
  <c r="L3060" i="1"/>
  <c r="L3058" i="1"/>
  <c r="L3055" i="1"/>
  <c r="L3053" i="1"/>
  <c r="L3059" i="1"/>
  <c r="L3045" i="1"/>
  <c r="L3004" i="1"/>
  <c r="L3003" i="1"/>
  <c r="L3005" i="1"/>
  <c r="L3002" i="1"/>
  <c r="L3006" i="1"/>
  <c r="L3007" i="1"/>
  <c r="L2997" i="1"/>
  <c r="L2998" i="1"/>
  <c r="L2999" i="1"/>
  <c r="L2971" i="1"/>
  <c r="L2966" i="1"/>
  <c r="L2957" i="1"/>
  <c r="L2956" i="1"/>
  <c r="L2958" i="1"/>
  <c r="L2959" i="1"/>
  <c r="L2903" i="1"/>
  <c r="L2825" i="1"/>
  <c r="L2776" i="1"/>
  <c r="L2779" i="1"/>
  <c r="L2777" i="1"/>
  <c r="L2775" i="1"/>
  <c r="L2778" i="1"/>
  <c r="L2759" i="1"/>
  <c r="L2728" i="1"/>
  <c r="L2726" i="1"/>
  <c r="L2727" i="1"/>
  <c r="L2732" i="1"/>
  <c r="L2729" i="1"/>
  <c r="L2725" i="1"/>
  <c r="L2724" i="1"/>
  <c r="L2731" i="1"/>
  <c r="L2730" i="1"/>
  <c r="L2733" i="1"/>
  <c r="L2641" i="1"/>
  <c r="L2638" i="1"/>
  <c r="L2645" i="1"/>
  <c r="L2642" i="1"/>
  <c r="L2640" i="1"/>
  <c r="L2639" i="1"/>
  <c r="L2644" i="1"/>
  <c r="L2643" i="1"/>
  <c r="L2646" i="1"/>
  <c r="L2553" i="1"/>
  <c r="L2489" i="1"/>
  <c r="L2488" i="1"/>
  <c r="L2494" i="1"/>
  <c r="L2490" i="1"/>
  <c r="L2487" i="1"/>
  <c r="L2491" i="1"/>
  <c r="L2486" i="1"/>
  <c r="L2493" i="1"/>
  <c r="L2492" i="1"/>
  <c r="L2495" i="1"/>
  <c r="L2382" i="1"/>
  <c r="L2381" i="1"/>
  <c r="L2380" i="1"/>
  <c r="L2384" i="1"/>
  <c r="L2383" i="1"/>
  <c r="L2385" i="1"/>
  <c r="L2298" i="1"/>
  <c r="L2303" i="1"/>
  <c r="L2299" i="1"/>
  <c r="L2297" i="1"/>
  <c r="L2300" i="1"/>
  <c r="L2296" i="1"/>
  <c r="L2302" i="1"/>
  <c r="L2301" i="1"/>
  <c r="L2304" i="1"/>
  <c r="L2188" i="1"/>
  <c r="L2189" i="1"/>
  <c r="L2187" i="1"/>
  <c r="L2186" i="1"/>
  <c r="L2191" i="1"/>
  <c r="L2190" i="1"/>
  <c r="L2192" i="1"/>
  <c r="L2100" i="1"/>
  <c r="L2096" i="1"/>
  <c r="L2095" i="1"/>
  <c r="L2098" i="1"/>
  <c r="L2099" i="1"/>
  <c r="L2102" i="1"/>
  <c r="L2101" i="1"/>
  <c r="L2097" i="1"/>
  <c r="L1994" i="1"/>
  <c r="L1990" i="1"/>
  <c r="L1988" i="1"/>
  <c r="L1989" i="1"/>
  <c r="L1993" i="1"/>
  <c r="L1991" i="1"/>
  <c r="L1987" i="1"/>
  <c r="L1992" i="1"/>
  <c r="L1901" i="1"/>
  <c r="L1902" i="1"/>
  <c r="L1900" i="1"/>
  <c r="L1903" i="1"/>
  <c r="L1904" i="1"/>
  <c r="L1835" i="1"/>
  <c r="L1836" i="1"/>
  <c r="L1837" i="1"/>
  <c r="L1838" i="1"/>
  <c r="L1831" i="1"/>
  <c r="L1830" i="1"/>
  <c r="L1832" i="1"/>
  <c r="L1833" i="1"/>
  <c r="L1823" i="1"/>
  <c r="L1822" i="1"/>
  <c r="L1824" i="1"/>
  <c r="L1818" i="1"/>
  <c r="L1754" i="1"/>
  <c r="L1756" i="1"/>
  <c r="L1755" i="1"/>
  <c r="L1753" i="1"/>
  <c r="L1671" i="1"/>
  <c r="L1669" i="1"/>
  <c r="L1670" i="1"/>
  <c r="L1674" i="1"/>
  <c r="L1672" i="1"/>
  <c r="L1668" i="1"/>
  <c r="L1673" i="1"/>
  <c r="L1586" i="1"/>
  <c r="L1580" i="1"/>
  <c r="L1579" i="1"/>
  <c r="L1553" i="1"/>
  <c r="L1552" i="1"/>
  <c r="L1551" i="1"/>
  <c r="L1554" i="1"/>
  <c r="L1479" i="1"/>
  <c r="L1478" i="1"/>
  <c r="L1483" i="1"/>
  <c r="L1480" i="1"/>
  <c r="L1477" i="1"/>
  <c r="L1482" i="1"/>
  <c r="L1481" i="1"/>
  <c r="L1484" i="1"/>
  <c r="L1393" i="1"/>
  <c r="L1389" i="1"/>
  <c r="L1388" i="1"/>
  <c r="L1391" i="1"/>
  <c r="L1392" i="1"/>
  <c r="L1394" i="1"/>
  <c r="L1390" i="1"/>
  <c r="L1305" i="1"/>
  <c r="L2902" i="1"/>
  <c r="L2823" i="1"/>
  <c r="L2822" i="1"/>
  <c r="L2824" i="1"/>
  <c r="L2773" i="1"/>
  <c r="L2774" i="1"/>
  <c r="L2633" i="1"/>
  <c r="L2637" i="1"/>
  <c r="L2634" i="1"/>
  <c r="L2632" i="1"/>
  <c r="L2636" i="1"/>
  <c r="L2635" i="1"/>
  <c r="L2481" i="1"/>
  <c r="L2478" i="1"/>
  <c r="L2476" i="1"/>
  <c r="L2480" i="1"/>
  <c r="L2482" i="1"/>
  <c r="L2479" i="1"/>
  <c r="L2477" i="1"/>
  <c r="L2484" i="1"/>
  <c r="L2483" i="1"/>
  <c r="L2485" i="1"/>
  <c r="L2375" i="1"/>
  <c r="L2376" i="1"/>
  <c r="L2374" i="1"/>
  <c r="L2373" i="1"/>
  <c r="L2378" i="1"/>
  <c r="L2377" i="1"/>
  <c r="L2379" i="1"/>
  <c r="L2291" i="1"/>
  <c r="L2290" i="1"/>
  <c r="L2292" i="1"/>
  <c r="L2289" i="1"/>
  <c r="L2288" i="1"/>
  <c r="L2294" i="1"/>
  <c r="L2293" i="1"/>
  <c r="L2295" i="1"/>
  <c r="L2182" i="1"/>
  <c r="L2181" i="1"/>
  <c r="L2180" i="1"/>
  <c r="L2179" i="1"/>
  <c r="L2184" i="1"/>
  <c r="L2183" i="1"/>
  <c r="L2185" i="1"/>
  <c r="L2091" i="1"/>
  <c r="L2087" i="1"/>
  <c r="L2086" i="1"/>
  <c r="L2089" i="1"/>
  <c r="L2090" i="1"/>
  <c r="L2094" i="1"/>
  <c r="L2092" i="1"/>
  <c r="L2088" i="1"/>
  <c r="L2093" i="1"/>
  <c r="L1983" i="1"/>
  <c r="L1982" i="1"/>
  <c r="L1986" i="1"/>
  <c r="L1984" i="1"/>
  <c r="L1981" i="1"/>
  <c r="L1985" i="1"/>
  <c r="L1898" i="1"/>
  <c r="L1897" i="1"/>
  <c r="L1899" i="1"/>
  <c r="L1896" i="1"/>
  <c r="L1834" i="1"/>
  <c r="L1826" i="1"/>
  <c r="L1825" i="1"/>
  <c r="L1828" i="1"/>
  <c r="L1827" i="1"/>
  <c r="L1829" i="1"/>
  <c r="L1820" i="1"/>
  <c r="L1819" i="1"/>
  <c r="L1821" i="1"/>
  <c r="L1817" i="1"/>
  <c r="L1750" i="1"/>
  <c r="L1752" i="1"/>
  <c r="L1751" i="1"/>
  <c r="L1749" i="1"/>
  <c r="L1664" i="1"/>
  <c r="L1662" i="1"/>
  <c r="L1663" i="1"/>
  <c r="L1667" i="1"/>
  <c r="L1665" i="1"/>
  <c r="L1661" i="1"/>
  <c r="L1666" i="1"/>
  <c r="L1585" i="1"/>
  <c r="L1578" i="1"/>
  <c r="L1549" i="1"/>
  <c r="L1550" i="1"/>
  <c r="L1524" i="1"/>
  <c r="L1523" i="1"/>
  <c r="L1526" i="1"/>
  <c r="L1525" i="1"/>
  <c r="L1522" i="1"/>
  <c r="L1469" i="1"/>
  <c r="L1472" i="1"/>
  <c r="L1476" i="1"/>
  <c r="L1473" i="1"/>
  <c r="L1471" i="1"/>
  <c r="L1470" i="1"/>
  <c r="L1475" i="1"/>
  <c r="L1474" i="1"/>
  <c r="L1386" i="1"/>
  <c r="L1384" i="1"/>
  <c r="L1383" i="1"/>
  <c r="L1385" i="1"/>
  <c r="L1387" i="1"/>
  <c r="L1334" i="1"/>
  <c r="L1304" i="1"/>
  <c r="L1296" i="1"/>
  <c r="L1278" i="1"/>
  <c r="L1279" i="1"/>
  <c r="L2898" i="1"/>
  <c r="L2900" i="1"/>
  <c r="L2899" i="1"/>
  <c r="L2901" i="1"/>
  <c r="L2817" i="1"/>
  <c r="L2818" i="1"/>
  <c r="L2816" i="1"/>
  <c r="L2820" i="1"/>
  <c r="L2819" i="1"/>
  <c r="L2821" i="1"/>
  <c r="L2771" i="1"/>
  <c r="L2772" i="1"/>
  <c r="L2758" i="1"/>
  <c r="L2757" i="1"/>
  <c r="L2720" i="1"/>
  <c r="L2721" i="1"/>
  <c r="L2719" i="1"/>
  <c r="L2723" i="1"/>
  <c r="L2722" i="1"/>
  <c r="L2628" i="1"/>
  <c r="L2629" i="1"/>
  <c r="L2627" i="1"/>
  <c r="L2631" i="1"/>
  <c r="L2630" i="1"/>
  <c r="L2556" i="1"/>
  <c r="L2470" i="1"/>
  <c r="L2474" i="1"/>
  <c r="L2471" i="1"/>
  <c r="L2469" i="1"/>
  <c r="L2468" i="1"/>
  <c r="L2473" i="1"/>
  <c r="L2472" i="1"/>
  <c r="L2475" i="1"/>
  <c r="L2367" i="1"/>
  <c r="L2368" i="1"/>
  <c r="L2366" i="1"/>
  <c r="L2369" i="1"/>
  <c r="L2365" i="1"/>
  <c r="L2371" i="1"/>
  <c r="L2370" i="1"/>
  <c r="L2372" i="1"/>
  <c r="L2283" i="1"/>
  <c r="L2286" i="1"/>
  <c r="L2282" i="1"/>
  <c r="L2281" i="1"/>
  <c r="L2285" i="1"/>
  <c r="L2284" i="1"/>
  <c r="L2287" i="1"/>
  <c r="L2174" i="1"/>
  <c r="L2175" i="1"/>
  <c r="L2173" i="1"/>
  <c r="L2172" i="1"/>
  <c r="L2177" i="1"/>
  <c r="L2176" i="1"/>
  <c r="L2178" i="1"/>
  <c r="L2081" i="1"/>
  <c r="L2077" i="1"/>
  <c r="L2076" i="1"/>
  <c r="L2079" i="1"/>
  <c r="L2080" i="1"/>
  <c r="L2084" i="1"/>
  <c r="L2082" i="1"/>
  <c r="L2078" i="1"/>
  <c r="L2083" i="1"/>
  <c r="L2085" i="1"/>
  <c r="L1976" i="1"/>
  <c r="L1972" i="1"/>
  <c r="L1971" i="1"/>
  <c r="L1974" i="1"/>
  <c r="L1975" i="1"/>
  <c r="L1980" i="1"/>
  <c r="L1977" i="1"/>
  <c r="L1973" i="1"/>
  <c r="L1979" i="1"/>
  <c r="L1978" i="1"/>
  <c r="L1892" i="1"/>
  <c r="L1888" i="1"/>
  <c r="L1890" i="1"/>
  <c r="L1891" i="1"/>
  <c r="L1895" i="1"/>
  <c r="L1893" i="1"/>
  <c r="L1889" i="1"/>
  <c r="L1894" i="1"/>
  <c r="L1813" i="1"/>
  <c r="L1812" i="1"/>
  <c r="L1811" i="1"/>
  <c r="L1815" i="1"/>
  <c r="L1814" i="1"/>
  <c r="L1816" i="1"/>
  <c r="L1746" i="1"/>
  <c r="L1745" i="1"/>
  <c r="L1748" i="1"/>
  <c r="L1747" i="1"/>
  <c r="L1744" i="1"/>
  <c r="L1657" i="1"/>
  <c r="L1656" i="1"/>
  <c r="L1660" i="1"/>
  <c r="L1658" i="1"/>
  <c r="L1655" i="1"/>
  <c r="L1654" i="1"/>
  <c r="L1659" i="1"/>
  <c r="L1583" i="1"/>
  <c r="L1581" i="1"/>
  <c r="L1582" i="1"/>
  <c r="L1577" i="1"/>
  <c r="L1576" i="1"/>
  <c r="L1547" i="1"/>
  <c r="L1548" i="1"/>
  <c r="L1521" i="1"/>
  <c r="L1520" i="1"/>
  <c r="L1465" i="1"/>
  <c r="L1462" i="1"/>
  <c r="L1464" i="1"/>
  <c r="L1468" i="1"/>
  <c r="L1466" i="1"/>
  <c r="L1463" i="1"/>
  <c r="L1461" i="1"/>
  <c r="L1467" i="1"/>
  <c r="L1380" i="1"/>
  <c r="L1379" i="1"/>
  <c r="L1381" i="1"/>
  <c r="L1382" i="1"/>
  <c r="L1333" i="1"/>
  <c r="L1294" i="1"/>
  <c r="L1295" i="1"/>
  <c r="L1277" i="1"/>
  <c r="L1262" i="1"/>
  <c r="L1261" i="1"/>
  <c r="L2896" i="1"/>
  <c r="L2897" i="1"/>
  <c r="L2769" i="1"/>
  <c r="L2770" i="1"/>
  <c r="L2755" i="1"/>
  <c r="L2756" i="1"/>
  <c r="L2716" i="1"/>
  <c r="L2717" i="1"/>
  <c r="L2715" i="1"/>
  <c r="L2714" i="1"/>
  <c r="L2718" i="1"/>
  <c r="L2622" i="1"/>
  <c r="L2626" i="1"/>
  <c r="L2623" i="1"/>
  <c r="L2621" i="1"/>
  <c r="L2620" i="1"/>
  <c r="L2625" i="1"/>
  <c r="L2624" i="1"/>
  <c r="L2552" i="1"/>
  <c r="L2463" i="1"/>
  <c r="L2462" i="1"/>
  <c r="L2464" i="1"/>
  <c r="L2461" i="1"/>
  <c r="L2460" i="1"/>
  <c r="L2466" i="1"/>
  <c r="L2465" i="1"/>
  <c r="L2467" i="1"/>
  <c r="L2360" i="1"/>
  <c r="L2363" i="1"/>
  <c r="L2359" i="1"/>
  <c r="L2358" i="1"/>
  <c r="L2362" i="1"/>
  <c r="L2361" i="1"/>
  <c r="L2364" i="1"/>
  <c r="L2274" i="1"/>
  <c r="L2273" i="1"/>
  <c r="L2279" i="1"/>
  <c r="L2275" i="1"/>
  <c r="L2272" i="1"/>
  <c r="L2276" i="1"/>
  <c r="L2271" i="1"/>
  <c r="L2278" i="1"/>
  <c r="L2277" i="1"/>
  <c r="L2280" i="1"/>
  <c r="L2166" i="1"/>
  <c r="L2170" i="1"/>
  <c r="L2167" i="1"/>
  <c r="L2165" i="1"/>
  <c r="L2164" i="1"/>
  <c r="L2169" i="1"/>
  <c r="L2168" i="1"/>
  <c r="L2171" i="1"/>
  <c r="L2072" i="1"/>
  <c r="L2068" i="1"/>
  <c r="L2067" i="1"/>
  <c r="L2070" i="1"/>
  <c r="L2071" i="1"/>
  <c r="L2073" i="1"/>
  <c r="L2069" i="1"/>
  <c r="L2075" i="1"/>
  <c r="L2074" i="1"/>
  <c r="L1967" i="1"/>
  <c r="L1964" i="1"/>
  <c r="L1966" i="1"/>
  <c r="L1970" i="1"/>
  <c r="L1968" i="1"/>
  <c r="L1965" i="1"/>
  <c r="L1969" i="1"/>
  <c r="L1887" i="1"/>
  <c r="L1885" i="1"/>
  <c r="L1884" i="1"/>
  <c r="L1886" i="1"/>
  <c r="L1807" i="1"/>
  <c r="L1806" i="1"/>
  <c r="L1805" i="1"/>
  <c r="L1809" i="1"/>
  <c r="L1808" i="1"/>
  <c r="L1810" i="1"/>
  <c r="L1740" i="1"/>
  <c r="L1738" i="1"/>
  <c r="L1739" i="1"/>
  <c r="L1743" i="1"/>
  <c r="L1741" i="1"/>
  <c r="L1737" i="1"/>
  <c r="L1742" i="1"/>
  <c r="L1650" i="1"/>
  <c r="L1648" i="1"/>
  <c r="L1649" i="1"/>
  <c r="L1653" i="1"/>
  <c r="L1651" i="1"/>
  <c r="L1647" i="1"/>
  <c r="L1652" i="1"/>
  <c r="L1584" i="1"/>
  <c r="L1574" i="1"/>
  <c r="L1575" i="1"/>
  <c r="L1545" i="1"/>
  <c r="L1546" i="1"/>
  <c r="L1519" i="1"/>
  <c r="L1518" i="1"/>
  <c r="L1457" i="1"/>
  <c r="L1460" i="1"/>
  <c r="L1458" i="1"/>
  <c r="L1456" i="1"/>
  <c r="L1459" i="1"/>
  <c r="L1376" i="1"/>
  <c r="L1377" i="1"/>
  <c r="L1378" i="1"/>
  <c r="L1319" i="1"/>
  <c r="L1293" i="1"/>
  <c r="L1276" i="1"/>
  <c r="L2892" i="1"/>
  <c r="L2891" i="1"/>
  <c r="L2894" i="1"/>
  <c r="L2893" i="1"/>
  <c r="L2895" i="1"/>
  <c r="L2767" i="1"/>
  <c r="L2768" i="1"/>
  <c r="L2753" i="1"/>
  <c r="L2754" i="1"/>
  <c r="L2709" i="1"/>
  <c r="L2710" i="1"/>
  <c r="L2708" i="1"/>
  <c r="L2707" i="1"/>
  <c r="L2712" i="1"/>
  <c r="L2711" i="1"/>
  <c r="L2713" i="1"/>
  <c r="L2614" i="1"/>
  <c r="L2613" i="1"/>
  <c r="L2618" i="1"/>
  <c r="L2615" i="1"/>
  <c r="L2612" i="1"/>
  <c r="L2616" i="1"/>
  <c r="L2611" i="1"/>
  <c r="L2617" i="1"/>
  <c r="L2619" i="1"/>
  <c r="L2456" i="1"/>
  <c r="L2455" i="1"/>
  <c r="L2458" i="1"/>
  <c r="L2457" i="1"/>
  <c r="L2459" i="1"/>
  <c r="L2354" i="1"/>
  <c r="L2356" i="1"/>
  <c r="L2355" i="1"/>
  <c r="L2357" i="1"/>
  <c r="L2265" i="1"/>
  <c r="L2261" i="1"/>
  <c r="L2264" i="1"/>
  <c r="L2269" i="1"/>
  <c r="L2266" i="1"/>
  <c r="L2263" i="1"/>
  <c r="L2262" i="1"/>
  <c r="L2268" i="1"/>
  <c r="L2267" i="1"/>
  <c r="L2270" i="1"/>
  <c r="L2159" i="1"/>
  <c r="L2160" i="1"/>
  <c r="L2158" i="1"/>
  <c r="L2157" i="1"/>
  <c r="L2162" i="1"/>
  <c r="L2161" i="1"/>
  <c r="L2163" i="1"/>
  <c r="L2064" i="1"/>
  <c r="L2060" i="1"/>
  <c r="L2059" i="1"/>
  <c r="L2062" i="1"/>
  <c r="L2063" i="1"/>
  <c r="L2066" i="1"/>
  <c r="L2065" i="1"/>
  <c r="L2061" i="1"/>
  <c r="L1958" i="1"/>
  <c r="L1957" i="1"/>
  <c r="L1962" i="1"/>
  <c r="L1959" i="1"/>
  <c r="L1956" i="1"/>
  <c r="L1961" i="1"/>
  <c r="L1960" i="1"/>
  <c r="L1963" i="1"/>
  <c r="L1882" i="1"/>
  <c r="L1883" i="1"/>
  <c r="L1881" i="1"/>
  <c r="L1800" i="1"/>
  <c r="L1801" i="1"/>
  <c r="L1799" i="1"/>
  <c r="L1798" i="1"/>
  <c r="L1803" i="1"/>
  <c r="L1802" i="1"/>
  <c r="L1804" i="1"/>
  <c r="L1732" i="1"/>
  <c r="L1730" i="1"/>
  <c r="L1731" i="1"/>
  <c r="L1735" i="1"/>
  <c r="L1733" i="1"/>
  <c r="L1729" i="1"/>
  <c r="L1734" i="1"/>
  <c r="L1736" i="1"/>
  <c r="L1643" i="1"/>
  <c r="L1642" i="1"/>
  <c r="L1646" i="1"/>
  <c r="L1644" i="1"/>
  <c r="L1641" i="1"/>
  <c r="L1645" i="1"/>
  <c r="L1573" i="1"/>
  <c r="L1572" i="1"/>
  <c r="L1543" i="1"/>
  <c r="L1544" i="1"/>
  <c r="L1515" i="1"/>
  <c r="L1517" i="1"/>
  <c r="L1516" i="1"/>
  <c r="L1453" i="1"/>
  <c r="L1452" i="1"/>
  <c r="L1454" i="1"/>
  <c r="L1451" i="1"/>
  <c r="L1455" i="1"/>
  <c r="L1374" i="1"/>
  <c r="L1370" i="1"/>
  <c r="L1369" i="1"/>
  <c r="L1372" i="1"/>
  <c r="L1373" i="1"/>
  <c r="L1375" i="1"/>
  <c r="L1371" i="1"/>
  <c r="L1332" i="1"/>
  <c r="L1318" i="1"/>
  <c r="L1317" i="1"/>
  <c r="L1303" i="1"/>
  <c r="L1292" i="1"/>
  <c r="L2887" i="1"/>
  <c r="L2886" i="1"/>
  <c r="L2885" i="1"/>
  <c r="L2884" i="1"/>
  <c r="L2889" i="1"/>
  <c r="L2888" i="1"/>
  <c r="L2890" i="1"/>
  <c r="L2765" i="1"/>
  <c r="L2766" i="1"/>
  <c r="L2704" i="1"/>
  <c r="L2703" i="1"/>
  <c r="L2702" i="1"/>
  <c r="L2706" i="1"/>
  <c r="L2705" i="1"/>
  <c r="L2607" i="1"/>
  <c r="L2605" i="1"/>
  <c r="L2608" i="1"/>
  <c r="L2606" i="1"/>
  <c r="L2610" i="1"/>
  <c r="L2609" i="1"/>
  <c r="L2451" i="1"/>
  <c r="L2450" i="1"/>
  <c r="L2449" i="1"/>
  <c r="L2453" i="1"/>
  <c r="L2452" i="1"/>
  <c r="L2454" i="1"/>
  <c r="L2350" i="1"/>
  <c r="L2349" i="1"/>
  <c r="L2348" i="1"/>
  <c r="L2347" i="1"/>
  <c r="L2352" i="1"/>
  <c r="L2351" i="1"/>
  <c r="L2353" i="1"/>
  <c r="L2255" i="1"/>
  <c r="L2252" i="1"/>
  <c r="L2259" i="1"/>
  <c r="L2256" i="1"/>
  <c r="L2254" i="1"/>
  <c r="L2253" i="1"/>
  <c r="L2258" i="1"/>
  <c r="L2257" i="1"/>
  <c r="L2260" i="1"/>
  <c r="L2152" i="1"/>
  <c r="L2153" i="1"/>
  <c r="L2151" i="1"/>
  <c r="L2150" i="1"/>
  <c r="L2155" i="1"/>
  <c r="L2154" i="1"/>
  <c r="L2156" i="1"/>
  <c r="L2055" i="1"/>
  <c r="L2051" i="1"/>
  <c r="L2049" i="1"/>
  <c r="L2053" i="1"/>
  <c r="L2054" i="1"/>
  <c r="L2058" i="1"/>
  <c r="L2056" i="1"/>
  <c r="L2052" i="1"/>
  <c r="L2050" i="1"/>
  <c r="L2057" i="1"/>
  <c r="L1954" i="1"/>
  <c r="L1955" i="1"/>
  <c r="L1880" i="1"/>
  <c r="L1878" i="1"/>
  <c r="L1877" i="1"/>
  <c r="L1879" i="1"/>
  <c r="L1795" i="1"/>
  <c r="L1794" i="1"/>
  <c r="L1793" i="1"/>
  <c r="L1796" i="1"/>
  <c r="L1797" i="1"/>
  <c r="L1726" i="1"/>
  <c r="L1724" i="1"/>
  <c r="L1725" i="1"/>
  <c r="L1728" i="1"/>
  <c r="L1727" i="1"/>
  <c r="L1723" i="1"/>
  <c r="L1636" i="1"/>
  <c r="L1634" i="1"/>
  <c r="L1635" i="1"/>
  <c r="L1639" i="1"/>
  <c r="L1637" i="1"/>
  <c r="L1633" i="1"/>
  <c r="L1638" i="1"/>
  <c r="L1640" i="1"/>
  <c r="L1541" i="1"/>
  <c r="L1542" i="1"/>
  <c r="L1512" i="1"/>
  <c r="L1511" i="1"/>
  <c r="L1514" i="1"/>
  <c r="L1513" i="1"/>
  <c r="L1510" i="1"/>
  <c r="L1446" i="1"/>
  <c r="L1443" i="1"/>
  <c r="L1445" i="1"/>
  <c r="L1449" i="1"/>
  <c r="L1447" i="1"/>
  <c r="L1444" i="1"/>
  <c r="L1448" i="1"/>
  <c r="L1450" i="1"/>
  <c r="L1366" i="1"/>
  <c r="L1362" i="1"/>
  <c r="L1361" i="1"/>
  <c r="L1364" i="1"/>
  <c r="L1365" i="1"/>
  <c r="L1368" i="1"/>
  <c r="L1367" i="1"/>
  <c r="L1363" i="1"/>
  <c r="L1316" i="1"/>
  <c r="L1301" i="1"/>
  <c r="L1302" i="1"/>
  <c r="L1291" i="1"/>
  <c r="L2878" i="1"/>
  <c r="L2877" i="1"/>
  <c r="L2882" i="1"/>
  <c r="L2879" i="1"/>
  <c r="L2876" i="1"/>
  <c r="L2881" i="1"/>
  <c r="L2880" i="1"/>
  <c r="L2883" i="1"/>
  <c r="L2813" i="1"/>
  <c r="L2812" i="1"/>
  <c r="L2811" i="1"/>
  <c r="L2815" i="1"/>
  <c r="L2814" i="1"/>
  <c r="L2762" i="1"/>
  <c r="L2761" i="1"/>
  <c r="L2763" i="1"/>
  <c r="L2764" i="1"/>
  <c r="L2751" i="1"/>
  <c r="L2752" i="1"/>
  <c r="L2695" i="1"/>
  <c r="L2694" i="1"/>
  <c r="L2700" i="1"/>
  <c r="L2696" i="1"/>
  <c r="L2693" i="1"/>
  <c r="L2697" i="1"/>
  <c r="L2692" i="1"/>
  <c r="L2699" i="1"/>
  <c r="L2698" i="1"/>
  <c r="L2701" i="1"/>
  <c r="L2599" i="1"/>
  <c r="L2598" i="1"/>
  <c r="L2603" i="1"/>
  <c r="L2600" i="1"/>
  <c r="L2597" i="1"/>
  <c r="L2602" i="1"/>
  <c r="L2601" i="1"/>
  <c r="L2604" i="1"/>
  <c r="L2548" i="1"/>
  <c r="L2544" i="1"/>
  <c r="L2546" i="1"/>
  <c r="L2547" i="1"/>
  <c r="L2551" i="1"/>
  <c r="L2549" i="1"/>
  <c r="L2545" i="1"/>
  <c r="L2550" i="1"/>
  <c r="L2442" i="1"/>
  <c r="L2437" i="1"/>
  <c r="L2440" i="1"/>
  <c r="L2441" i="1"/>
  <c r="L2447" i="1"/>
  <c r="L2443" i="1"/>
  <c r="L2439" i="1"/>
  <c r="L2444" i="1"/>
  <c r="L2438" i="1"/>
  <c r="L2446" i="1"/>
  <c r="L2445" i="1"/>
  <c r="L2448" i="1"/>
  <c r="L2344" i="1"/>
  <c r="L2343" i="1"/>
  <c r="L2346" i="1"/>
  <c r="L2345" i="1"/>
  <c r="L2246" i="1"/>
  <c r="L2242" i="1"/>
  <c r="L2245" i="1"/>
  <c r="L2250" i="1"/>
  <c r="L2247" i="1"/>
  <c r="L2244" i="1"/>
  <c r="L2243" i="1"/>
  <c r="L2249" i="1"/>
  <c r="L2248" i="1"/>
  <c r="L2251" i="1"/>
  <c r="L2146" i="1"/>
  <c r="L2144" i="1"/>
  <c r="L2145" i="1"/>
  <c r="L2143" i="1"/>
  <c r="L2148" i="1"/>
  <c r="L2147" i="1"/>
  <c r="L2149" i="1"/>
  <c r="L2046" i="1"/>
  <c r="L2043" i="1"/>
  <c r="L2045" i="1"/>
  <c r="L2047" i="1"/>
  <c r="L2044" i="1"/>
  <c r="L2042" i="1"/>
  <c r="L2048" i="1"/>
  <c r="L1949" i="1"/>
  <c r="L1947" i="1"/>
  <c r="L1948" i="1"/>
  <c r="L1953" i="1"/>
  <c r="L1950" i="1"/>
  <c r="L1946" i="1"/>
  <c r="L1952" i="1"/>
  <c r="L1951" i="1"/>
  <c r="L1872" i="1"/>
  <c r="L1870" i="1"/>
  <c r="L1871" i="1"/>
  <c r="L1876" i="1"/>
  <c r="L1873" i="1"/>
  <c r="L1869" i="1"/>
  <c r="L1875" i="1"/>
  <c r="L1874" i="1"/>
  <c r="L1787" i="1"/>
  <c r="L1791" i="1"/>
  <c r="L1788" i="1"/>
  <c r="L1786" i="1"/>
  <c r="L1785" i="1"/>
  <c r="L1790" i="1"/>
  <c r="L1789" i="1"/>
  <c r="L1792" i="1"/>
  <c r="L1718" i="1"/>
  <c r="L1716" i="1"/>
  <c r="L1717" i="1"/>
  <c r="L1721" i="1"/>
  <c r="L1719" i="1"/>
  <c r="L1715" i="1"/>
  <c r="L1720" i="1"/>
  <c r="L1722" i="1"/>
  <c r="L1629" i="1"/>
  <c r="L1627" i="1"/>
  <c r="L1628" i="1"/>
  <c r="L1632" i="1"/>
  <c r="L1630" i="1"/>
  <c r="L1626" i="1"/>
  <c r="L1631" i="1"/>
  <c r="L1540" i="1"/>
  <c r="L1539" i="1"/>
  <c r="L1507" i="1"/>
  <c r="L1509" i="1"/>
  <c r="L1508" i="1"/>
  <c r="L1438" i="1"/>
  <c r="L1437" i="1"/>
  <c r="L1442" i="1"/>
  <c r="L1439" i="1"/>
  <c r="L1436" i="1"/>
  <c r="L1441" i="1"/>
  <c r="L1440" i="1"/>
  <c r="L1358" i="1"/>
  <c r="L1359" i="1"/>
  <c r="L1360" i="1"/>
  <c r="L1322" i="1"/>
  <c r="L1314" i="1"/>
  <c r="L1315" i="1"/>
  <c r="L1290" i="1"/>
  <c r="L1260" i="1"/>
  <c r="L2872" i="1"/>
  <c r="L2871" i="1"/>
  <c r="L2874" i="1"/>
  <c r="L2873" i="1"/>
  <c r="L2875" i="1"/>
  <c r="L2842" i="1"/>
  <c r="L2843" i="1"/>
  <c r="L2844" i="1"/>
  <c r="L2841" i="1"/>
  <c r="L2810" i="1"/>
  <c r="L2807" i="1"/>
  <c r="L2806" i="1"/>
  <c r="L2809" i="1"/>
  <c r="L2808" i="1"/>
  <c r="L2749" i="1"/>
  <c r="L2748" i="1"/>
  <c r="L2750" i="1"/>
  <c r="L2687" i="1"/>
  <c r="L2686" i="1"/>
  <c r="L2691" i="1"/>
  <c r="L2688" i="1"/>
  <c r="L2685" i="1"/>
  <c r="L2684" i="1"/>
  <c r="L2690" i="1"/>
  <c r="L2689" i="1"/>
  <c r="L2591" i="1"/>
  <c r="L2588" i="1"/>
  <c r="L2595" i="1"/>
  <c r="L2592" i="1"/>
  <c r="L2590" i="1"/>
  <c r="L2589" i="1"/>
  <c r="L2594" i="1"/>
  <c r="L2593" i="1"/>
  <c r="L2596" i="1"/>
  <c r="L2539" i="1"/>
  <c r="L2535" i="1"/>
  <c r="L2537" i="1"/>
  <c r="L2538" i="1"/>
  <c r="L2542" i="1"/>
  <c r="L2540" i="1"/>
  <c r="L2536" i="1"/>
  <c r="L2541" i="1"/>
  <c r="L2543" i="1"/>
  <c r="L2432" i="1"/>
  <c r="L2428" i="1"/>
  <c r="L2431" i="1"/>
  <c r="L2435" i="1"/>
  <c r="L2430" i="1"/>
  <c r="L2429" i="1"/>
  <c r="L2434" i="1"/>
  <c r="L2433" i="1"/>
  <c r="L2436" i="1"/>
  <c r="L2339" i="1"/>
  <c r="L2338" i="1"/>
  <c r="L2337" i="1"/>
  <c r="L2341" i="1"/>
  <c r="L2340" i="1"/>
  <c r="L2342" i="1"/>
  <c r="L2237" i="1"/>
  <c r="L2238" i="1"/>
  <c r="L2236" i="1"/>
  <c r="L2235" i="1"/>
  <c r="L2240" i="1"/>
  <c r="L2239" i="1"/>
  <c r="L2241" i="1"/>
  <c r="L2139" i="1"/>
  <c r="L2138" i="1"/>
  <c r="L2137" i="1"/>
  <c r="L2141" i="1"/>
  <c r="L2140" i="1"/>
  <c r="L2142" i="1"/>
  <c r="L2037" i="1"/>
  <c r="L2034" i="1"/>
  <c r="L2033" i="1"/>
  <c r="L2036" i="1"/>
  <c r="L2041" i="1"/>
  <c r="L2038" i="1"/>
  <c r="L2035" i="1"/>
  <c r="L2040" i="1"/>
  <c r="L2039" i="1"/>
  <c r="L1941" i="1"/>
  <c r="L1940" i="1"/>
  <c r="L1944" i="1"/>
  <c r="L1942" i="1"/>
  <c r="L1939" i="1"/>
  <c r="L1943" i="1"/>
  <c r="L1945" i="1"/>
  <c r="L1865" i="1"/>
  <c r="L1864" i="1"/>
  <c r="L1868" i="1"/>
  <c r="L1866" i="1"/>
  <c r="L1863" i="1"/>
  <c r="L1867" i="1"/>
  <c r="L1781" i="1"/>
  <c r="L1782" i="1"/>
  <c r="L1780" i="1"/>
  <c r="L1779" i="1"/>
  <c r="L1783" i="1"/>
  <c r="L1784" i="1"/>
  <c r="L1710" i="1"/>
  <c r="L1708" i="1"/>
  <c r="L1709" i="1"/>
  <c r="L1713" i="1"/>
  <c r="L1711" i="1"/>
  <c r="L1707" i="1"/>
  <c r="L1712" i="1"/>
  <c r="L1714" i="1"/>
  <c r="L1622" i="1"/>
  <c r="L1620" i="1"/>
  <c r="L1621" i="1"/>
  <c r="L1625" i="1"/>
  <c r="L1623" i="1"/>
  <c r="L1619" i="1"/>
  <c r="L1618" i="1"/>
  <c r="L1624" i="1"/>
  <c r="L1570" i="1"/>
  <c r="L1569" i="1"/>
  <c r="L1571" i="1"/>
  <c r="L1537" i="1"/>
  <c r="L1536" i="1"/>
  <c r="L1538" i="1"/>
  <c r="L1504" i="1"/>
  <c r="L1506" i="1"/>
  <c r="L1505" i="1"/>
  <c r="L1503" i="1"/>
  <c r="L1431" i="1"/>
  <c r="L1429" i="1"/>
  <c r="L1435" i="1"/>
  <c r="L1432" i="1"/>
  <c r="L1430" i="1"/>
  <c r="L1434" i="1"/>
  <c r="L1433" i="1"/>
  <c r="L1357" i="1"/>
  <c r="L1355" i="1"/>
  <c r="L1356" i="1"/>
  <c r="L1331" i="1"/>
  <c r="L1330" i="1"/>
  <c r="L1312" i="1"/>
  <c r="L1313" i="1"/>
  <c r="L1287" i="1"/>
  <c r="L1288" i="1"/>
  <c r="L1289" i="1"/>
  <c r="L1275" i="1"/>
  <c r="L1274" i="1"/>
  <c r="L2865" i="1"/>
  <c r="L2864" i="1"/>
  <c r="L2869" i="1"/>
  <c r="L2866" i="1"/>
  <c r="L2863" i="1"/>
  <c r="L2862" i="1"/>
  <c r="L2868" i="1"/>
  <c r="L2867" i="1"/>
  <c r="L2870" i="1"/>
  <c r="L2838" i="1"/>
  <c r="L2839" i="1"/>
  <c r="L2840" i="1"/>
  <c r="L2837" i="1"/>
  <c r="L2801" i="1"/>
  <c r="L2799" i="1"/>
  <c r="L2800" i="1"/>
  <c r="L2802" i="1"/>
  <c r="L2798" i="1"/>
  <c r="L2797" i="1"/>
  <c r="L2804" i="1"/>
  <c r="L2803" i="1"/>
  <c r="L2805" i="1"/>
  <c r="L2745" i="1"/>
  <c r="L2746" i="1"/>
  <c r="L2744" i="1"/>
  <c r="L2743" i="1"/>
  <c r="L2747" i="1"/>
  <c r="L2678" i="1"/>
  <c r="L2674" i="1"/>
  <c r="L2676" i="1"/>
  <c r="L2677" i="1"/>
  <c r="L2682" i="1"/>
  <c r="L2679" i="1"/>
  <c r="L2675" i="1"/>
  <c r="L2673" i="1"/>
  <c r="L2681" i="1"/>
  <c r="L2680" i="1"/>
  <c r="L2683" i="1"/>
  <c r="L2582" i="1"/>
  <c r="L2580" i="1"/>
  <c r="L2581" i="1"/>
  <c r="L2586" i="1"/>
  <c r="L2583" i="1"/>
  <c r="L2579" i="1"/>
  <c r="L2578" i="1"/>
  <c r="L2585" i="1"/>
  <c r="L2584" i="1"/>
  <c r="L2587" i="1"/>
  <c r="L2531" i="1"/>
  <c r="L2527" i="1"/>
  <c r="L2529" i="1"/>
  <c r="L2530" i="1"/>
  <c r="L2534" i="1"/>
  <c r="L2532" i="1"/>
  <c r="L2528" i="1"/>
  <c r="L2533" i="1"/>
  <c r="L2421" i="1"/>
  <c r="L2416" i="1"/>
  <c r="L2419" i="1"/>
  <c r="L2420" i="1"/>
  <c r="L2426" i="1"/>
  <c r="L2422" i="1"/>
  <c r="L2418" i="1"/>
  <c r="L2423" i="1"/>
  <c r="L2417" i="1"/>
  <c r="L2425" i="1"/>
  <c r="L2424" i="1"/>
  <c r="L2427" i="1"/>
  <c r="L2332" i="1"/>
  <c r="L2331" i="1"/>
  <c r="L2333" i="1"/>
  <c r="L2330" i="1"/>
  <c r="L2335" i="1"/>
  <c r="L2334" i="1"/>
  <c r="L2336" i="1"/>
  <c r="L2229" i="1"/>
  <c r="L2226" i="1"/>
  <c r="L2233" i="1"/>
  <c r="L2230" i="1"/>
  <c r="L2228" i="1"/>
  <c r="L2227" i="1"/>
  <c r="L2232" i="1"/>
  <c r="L2231" i="1"/>
  <c r="L2234" i="1"/>
  <c r="L2131" i="1"/>
  <c r="L2135" i="1"/>
  <c r="L2132" i="1"/>
  <c r="L2130" i="1"/>
  <c r="L2129" i="1"/>
  <c r="L2134" i="1"/>
  <c r="L2133" i="1"/>
  <c r="L2136" i="1"/>
  <c r="L2028" i="1"/>
  <c r="L2024" i="1"/>
  <c r="L2023" i="1"/>
  <c r="L2026" i="1"/>
  <c r="L2027" i="1"/>
  <c r="L2032" i="1"/>
  <c r="L2029" i="1"/>
  <c r="L2025" i="1"/>
  <c r="L2031" i="1"/>
  <c r="L2030" i="1"/>
  <c r="L1934" i="1"/>
  <c r="L1930" i="1"/>
  <c r="L1932" i="1"/>
  <c r="L1933" i="1"/>
  <c r="L1937" i="1"/>
  <c r="L1935" i="1"/>
  <c r="L1931" i="1"/>
  <c r="L1929" i="1"/>
  <c r="L1936" i="1"/>
  <c r="L1938" i="1"/>
  <c r="L1858" i="1"/>
  <c r="L1857" i="1"/>
  <c r="L1861" i="1"/>
  <c r="L1859" i="1"/>
  <c r="L1856" i="1"/>
  <c r="L1855" i="1"/>
  <c r="L1860" i="1"/>
  <c r="L1862" i="1"/>
  <c r="L1258" i="1"/>
  <c r="L1774" i="1"/>
  <c r="L1773" i="1"/>
  <c r="L1777" i="1"/>
  <c r="L1772" i="1"/>
  <c r="L1776" i="1"/>
  <c r="L1775" i="1"/>
  <c r="L1778" i="1"/>
  <c r="L1701" i="1"/>
  <c r="L1699" i="1"/>
  <c r="L1700" i="1"/>
  <c r="L1705" i="1"/>
  <c r="L1702" i="1"/>
  <c r="L1698" i="1"/>
  <c r="L1704" i="1"/>
  <c r="L1703" i="1"/>
  <c r="L1706" i="1"/>
  <c r="L1614" i="1"/>
  <c r="L1610" i="1"/>
  <c r="L1612" i="1"/>
  <c r="L1613" i="1"/>
  <c r="L1617" i="1"/>
  <c r="L1615" i="1"/>
  <c r="L1611" i="1"/>
  <c r="L1616" i="1"/>
  <c r="L1566" i="1"/>
  <c r="L1567" i="1"/>
  <c r="L1565" i="1"/>
  <c r="L1568" i="1"/>
  <c r="L1534" i="1"/>
  <c r="L1533" i="1"/>
  <c r="L1535" i="1"/>
  <c r="L1500" i="1"/>
  <c r="L1502" i="1"/>
  <c r="L1501" i="1"/>
  <c r="L1499" i="1"/>
  <c r="L1423" i="1"/>
  <c r="L1422" i="1"/>
  <c r="L1427" i="1"/>
  <c r="L1424" i="1"/>
  <c r="L1421" i="1"/>
  <c r="L1420" i="1"/>
  <c r="L1426" i="1"/>
  <c r="L1425" i="1"/>
  <c r="L1428" i="1"/>
  <c r="L1352" i="1"/>
  <c r="L1349" i="1"/>
  <c r="L1351" i="1"/>
  <c r="L1353" i="1"/>
  <c r="L1350" i="1"/>
  <c r="L1354" i="1"/>
  <c r="L1328" i="1"/>
  <c r="L1329" i="1"/>
  <c r="L1310" i="1"/>
  <c r="L1311" i="1"/>
  <c r="L1285" i="1"/>
  <c r="L1286" i="1"/>
  <c r="L1273" i="1"/>
  <c r="L1272" i="1"/>
  <c r="L1259" i="1"/>
  <c r="L2858" i="1"/>
  <c r="L2859" i="1"/>
  <c r="L2857" i="1"/>
  <c r="L2860" i="1"/>
  <c r="L2861" i="1"/>
  <c r="L2832" i="1"/>
  <c r="L2833" i="1"/>
  <c r="L2836" i="1"/>
  <c r="L2834" i="1"/>
  <c r="L2831" i="1"/>
  <c r="L2835" i="1"/>
  <c r="L2793" i="1"/>
  <c r="L2792" i="1"/>
  <c r="L2791" i="1"/>
  <c r="L2795" i="1"/>
  <c r="L2794" i="1"/>
  <c r="L2796" i="1"/>
  <c r="L2741" i="1"/>
  <c r="L2740" i="1"/>
  <c r="L2742" i="1"/>
  <c r="L2667" i="1"/>
  <c r="L2664" i="1"/>
  <c r="L2671" i="1"/>
  <c r="L2668" i="1"/>
  <c r="L2666" i="1"/>
  <c r="L2665" i="1"/>
  <c r="L2670" i="1"/>
  <c r="L2669" i="1"/>
  <c r="L2672" i="1"/>
  <c r="L2574" i="1"/>
  <c r="L2573" i="1"/>
  <c r="L2575" i="1"/>
  <c r="L2572" i="1"/>
  <c r="L2571" i="1"/>
  <c r="L2576" i="1"/>
  <c r="L2577" i="1"/>
  <c r="L2523" i="1"/>
  <c r="L2519" i="1"/>
  <c r="L2521" i="1"/>
  <c r="L2522" i="1"/>
  <c r="L2526" i="1"/>
  <c r="L2524" i="1"/>
  <c r="L2520" i="1"/>
  <c r="L2518" i="1"/>
  <c r="L2525" i="1"/>
  <c r="L2410" i="1"/>
  <c r="L2409" i="1"/>
  <c r="L2411" i="1"/>
  <c r="L2408" i="1"/>
  <c r="L2412" i="1"/>
  <c r="L2407" i="1"/>
  <c r="L2414" i="1"/>
  <c r="L2413" i="1"/>
  <c r="L2415" i="1"/>
  <c r="L2325" i="1"/>
  <c r="L2321" i="1"/>
  <c r="L2324" i="1"/>
  <c r="L2326" i="1"/>
  <c r="L2323" i="1"/>
  <c r="L2322" i="1"/>
  <c r="L2328" i="1"/>
  <c r="L2327" i="1"/>
  <c r="L2329" i="1"/>
  <c r="L2219" i="1"/>
  <c r="L2215" i="1"/>
  <c r="L2218" i="1"/>
  <c r="L2224" i="1"/>
  <c r="L2220" i="1"/>
  <c r="L2217" i="1"/>
  <c r="L2221" i="1"/>
  <c r="L2216" i="1"/>
  <c r="L2223" i="1"/>
  <c r="L2222" i="1"/>
  <c r="L2225" i="1"/>
  <c r="L2124" i="1"/>
  <c r="L2120" i="1"/>
  <c r="L2123" i="1"/>
  <c r="L2125" i="1"/>
  <c r="L2122" i="1"/>
  <c r="L2121" i="1"/>
  <c r="L2127" i="1"/>
  <c r="L2126" i="1"/>
  <c r="L2128" i="1"/>
  <c r="L2018" i="1"/>
  <c r="L2014" i="1"/>
  <c r="L2013" i="1"/>
  <c r="L2016" i="1"/>
  <c r="L2017" i="1"/>
  <c r="L2022" i="1"/>
  <c r="L2019" i="1"/>
  <c r="L2015" i="1"/>
  <c r="L2021" i="1"/>
  <c r="L2020" i="1"/>
  <c r="L1924" i="1"/>
  <c r="L1922" i="1"/>
  <c r="L1923" i="1"/>
  <c r="L1927" i="1"/>
  <c r="L1925" i="1"/>
  <c r="L1921" i="1"/>
  <c r="L1926" i="1"/>
  <c r="L1928" i="1"/>
  <c r="L1853" i="1"/>
  <c r="L1854" i="1"/>
  <c r="L1852" i="1"/>
  <c r="L1257" i="1"/>
  <c r="L1768" i="1"/>
  <c r="L1767" i="1"/>
  <c r="L1770" i="1"/>
  <c r="L1769" i="1"/>
  <c r="L1771" i="1"/>
  <c r="L1693" i="1"/>
  <c r="L1691" i="1"/>
  <c r="L1692" i="1"/>
  <c r="L1696" i="1"/>
  <c r="L1694" i="1"/>
  <c r="L1690" i="1"/>
  <c r="L1695" i="1"/>
  <c r="L1697" i="1"/>
  <c r="L1606" i="1"/>
  <c r="L1604" i="1"/>
  <c r="L1605" i="1"/>
  <c r="L1609" i="1"/>
  <c r="L1607" i="1"/>
  <c r="L1603" i="1"/>
  <c r="L1602" i="1"/>
  <c r="L1608" i="1"/>
  <c r="L1563" i="1"/>
  <c r="L1562" i="1"/>
  <c r="L1564" i="1"/>
  <c r="L1531" i="1"/>
  <c r="L1532" i="1"/>
  <c r="L1496" i="1"/>
  <c r="L1498" i="1"/>
  <c r="L1497" i="1"/>
  <c r="L1495" i="1"/>
  <c r="L1416" i="1"/>
  <c r="L1413" i="1"/>
  <c r="L1415" i="1"/>
  <c r="L1419" i="1"/>
  <c r="L1417" i="1"/>
  <c r="L1414" i="1"/>
  <c r="L1418" i="1"/>
  <c r="L1347" i="1"/>
  <c r="L1345" i="1"/>
  <c r="L1344" i="1"/>
  <c r="L1346" i="1"/>
  <c r="L1348" i="1"/>
  <c r="L1308" i="1"/>
  <c r="L1309" i="1"/>
  <c r="L1299" i="1"/>
  <c r="L1300" i="1"/>
  <c r="L1283" i="1"/>
  <c r="L1284" i="1"/>
  <c r="L1270" i="1"/>
  <c r="L1269" i="1"/>
  <c r="L1268" i="1"/>
  <c r="L1271" i="1"/>
  <c r="L2853" i="1"/>
  <c r="L2852" i="1"/>
  <c r="L2855" i="1"/>
  <c r="L2854" i="1"/>
  <c r="L2856" i="1"/>
  <c r="L2826" i="1"/>
  <c r="L2828" i="1"/>
  <c r="L2829" i="1"/>
  <c r="L2830" i="1"/>
  <c r="L2827" i="1"/>
  <c r="L2785" i="1"/>
  <c r="L2782" i="1"/>
  <c r="L2789" i="1"/>
  <c r="L2786" i="1"/>
  <c r="L2784" i="1"/>
  <c r="L2783" i="1"/>
  <c r="L2788" i="1"/>
  <c r="L2787" i="1"/>
  <c r="L2790" i="1"/>
  <c r="L2760" i="1"/>
  <c r="L2738" i="1"/>
  <c r="L2737" i="1"/>
  <c r="L2739" i="1"/>
  <c r="L2658" i="1"/>
  <c r="L2653" i="1"/>
  <c r="L2656" i="1"/>
  <c r="L2657" i="1"/>
  <c r="L2662" i="1"/>
  <c r="L2659" i="1"/>
  <c r="L2655" i="1"/>
  <c r="L2654" i="1"/>
  <c r="L2661" i="1"/>
  <c r="L2660" i="1"/>
  <c r="L2663" i="1"/>
  <c r="L2565" i="1"/>
  <c r="L2564" i="1"/>
  <c r="L2569" i="1"/>
  <c r="L2566" i="1"/>
  <c r="L2563" i="1"/>
  <c r="L2568" i="1"/>
  <c r="L2567" i="1"/>
  <c r="L2570" i="1"/>
  <c r="L2554" i="1"/>
  <c r="L2555" i="1"/>
  <c r="L2513" i="1"/>
  <c r="L2509" i="1"/>
  <c r="L2507" i="1"/>
  <c r="L2511" i="1"/>
  <c r="L2512" i="1"/>
  <c r="L2516" i="1"/>
  <c r="L2514" i="1"/>
  <c r="L2510" i="1"/>
  <c r="L2508" i="1"/>
  <c r="L2515" i="1"/>
  <c r="L2517" i="1"/>
  <c r="L2400" i="1"/>
  <c r="L2396" i="1"/>
  <c r="L2394" i="1"/>
  <c r="L2398" i="1"/>
  <c r="L2399" i="1"/>
  <c r="L2405" i="1"/>
  <c r="L2401" i="1"/>
  <c r="L2397" i="1"/>
  <c r="L2402" i="1"/>
  <c r="L2395" i="1"/>
  <c r="L2404" i="1"/>
  <c r="L2403" i="1"/>
  <c r="L2406" i="1"/>
  <c r="L2315" i="1"/>
  <c r="L2314" i="1"/>
  <c r="L2316" i="1"/>
  <c r="L2313" i="1"/>
  <c r="L2317" i="1"/>
  <c r="L2312" i="1"/>
  <c r="L2319" i="1"/>
  <c r="L2318" i="1"/>
  <c r="L2320" i="1"/>
  <c r="L2208" i="1"/>
  <c r="L2205" i="1"/>
  <c r="L2213" i="1"/>
  <c r="L2209" i="1"/>
  <c r="L2207" i="1"/>
  <c r="L2210" i="1"/>
  <c r="L2206" i="1"/>
  <c r="L2212" i="1"/>
  <c r="L2211" i="1"/>
  <c r="L2214" i="1"/>
  <c r="L2197" i="1"/>
  <c r="L2114" i="1"/>
  <c r="L2111" i="1"/>
  <c r="L2118" i="1"/>
  <c r="L2115" i="1"/>
  <c r="L2113" i="1"/>
  <c r="L2112" i="1"/>
  <c r="L2117" i="1"/>
  <c r="L2116" i="1"/>
  <c r="L2119" i="1"/>
  <c r="L2009" i="1"/>
  <c r="L2005" i="1"/>
  <c r="L2003" i="1"/>
  <c r="L2007" i="1"/>
  <c r="L2008" i="1"/>
  <c r="L2012" i="1"/>
  <c r="L2010" i="1"/>
  <c r="L2006" i="1"/>
  <c r="L2004" i="1"/>
  <c r="L2011" i="1"/>
  <c r="L1995" i="1"/>
  <c r="L1915" i="1"/>
  <c r="L1911" i="1"/>
  <c r="L1909" i="1"/>
  <c r="L1913" i="1"/>
  <c r="L1914" i="1"/>
  <c r="L1919" i="1"/>
  <c r="L1916" i="1"/>
  <c r="L1912" i="1"/>
  <c r="L1910" i="1"/>
  <c r="L1918" i="1"/>
  <c r="L1917" i="1"/>
  <c r="L1920" i="1"/>
  <c r="L1846" i="1"/>
  <c r="L1844" i="1"/>
  <c r="L1845" i="1"/>
  <c r="L1850" i="1"/>
  <c r="L1847" i="1"/>
  <c r="L1843" i="1"/>
  <c r="L1849" i="1"/>
  <c r="L1848" i="1"/>
  <c r="L1851" i="1"/>
  <c r="L1765" i="1"/>
  <c r="L1764" i="1"/>
  <c r="L1763" i="1"/>
  <c r="L1766" i="1"/>
  <c r="L1685" i="1"/>
  <c r="L1683" i="1"/>
  <c r="L1684" i="1"/>
  <c r="L1689" i="1"/>
  <c r="L1686" i="1"/>
  <c r="L1682" i="1"/>
  <c r="L1688" i="1"/>
  <c r="L1687" i="1"/>
  <c r="L1597" i="1"/>
  <c r="L1595" i="1"/>
  <c r="L1596" i="1"/>
  <c r="L1600" i="1"/>
  <c r="L1598" i="1"/>
  <c r="L1594" i="1"/>
  <c r="L1599" i="1"/>
  <c r="L1601" i="1"/>
  <c r="L1559" i="1"/>
  <c r="L1560" i="1"/>
  <c r="L1558" i="1"/>
  <c r="L1561" i="1"/>
  <c r="L1529" i="1"/>
  <c r="L1528" i="1"/>
  <c r="L1530" i="1"/>
  <c r="L1492" i="1"/>
  <c r="L1491" i="1"/>
  <c r="L1494" i="1"/>
  <c r="L1493" i="1"/>
  <c r="L1490" i="1"/>
  <c r="L1407" i="1"/>
  <c r="L1406" i="1"/>
  <c r="L1411" i="1"/>
  <c r="L1408" i="1"/>
  <c r="L1405" i="1"/>
  <c r="L1404" i="1"/>
  <c r="L1410" i="1"/>
  <c r="L1409" i="1"/>
  <c r="L1412" i="1"/>
  <c r="L1397" i="1"/>
  <c r="L1341" i="1"/>
  <c r="L1339" i="1"/>
  <c r="L1338" i="1"/>
  <c r="L1340" i="1"/>
  <c r="L1342" i="1"/>
  <c r="L1343" i="1"/>
  <c r="L1326" i="1"/>
  <c r="L1325" i="1"/>
  <c r="L1327" i="1"/>
  <c r="L1321" i="1"/>
  <c r="L1320" i="1"/>
  <c r="L1306" i="1"/>
  <c r="L1307" i="1"/>
  <c r="L1282" i="1"/>
  <c r="L1267" i="1"/>
  <c r="L1266" i="1"/>
  <c r="L2847" i="1"/>
  <c r="L2848" i="1"/>
  <c r="L2846" i="1"/>
  <c r="L2845" i="1"/>
  <c r="L2850" i="1"/>
  <c r="L2849" i="1"/>
  <c r="L2851" i="1"/>
  <c r="L2780" i="1"/>
  <c r="L2781" i="1"/>
  <c r="L2735" i="1"/>
  <c r="L2734" i="1"/>
  <c r="L2736" i="1"/>
  <c r="L2649" i="1"/>
  <c r="L2647" i="1"/>
  <c r="L2650" i="1"/>
  <c r="L2648" i="1"/>
  <c r="L2652" i="1"/>
  <c r="L2651" i="1"/>
  <c r="L2558" i="1"/>
  <c r="L2559" i="1"/>
  <c r="L2557" i="1"/>
  <c r="L2561" i="1"/>
  <c r="L2560" i="1"/>
  <c r="L2562" i="1"/>
  <c r="L2501" i="1"/>
  <c r="L2496" i="1"/>
  <c r="L2499" i="1"/>
  <c r="L2500" i="1"/>
  <c r="L2505" i="1"/>
  <c r="L2502" i="1"/>
  <c r="L2498" i="1"/>
  <c r="L2497" i="1"/>
  <c r="L2504" i="1"/>
  <c r="L2503" i="1"/>
  <c r="L2506" i="1"/>
  <c r="L2388" i="1"/>
  <c r="L2392" i="1"/>
  <c r="L2389" i="1"/>
  <c r="L2387" i="1"/>
  <c r="L2386" i="1"/>
  <c r="L2391" i="1"/>
  <c r="L2390" i="1"/>
  <c r="L2393" i="1"/>
  <c r="L2307" i="1"/>
  <c r="L2306" i="1"/>
  <c r="L2308" i="1"/>
  <c r="L2305" i="1"/>
  <c r="L2310" i="1"/>
  <c r="L2309" i="1"/>
  <c r="L2311" i="1"/>
  <c r="L2200" i="1"/>
  <c r="L2201" i="1"/>
  <c r="L2199" i="1"/>
  <c r="L2198" i="1"/>
  <c r="L2203" i="1"/>
  <c r="L2202" i="1"/>
  <c r="L2204" i="1"/>
  <c r="L2193" i="1"/>
  <c r="L2195" i="1"/>
  <c r="L2194" i="1"/>
  <c r="L2196" i="1"/>
  <c r="L2106" i="1"/>
  <c r="L2105" i="1"/>
  <c r="L2104" i="1"/>
  <c r="L2107" i="1"/>
  <c r="L2103" i="1"/>
  <c r="L2109" i="1"/>
  <c r="L2108" i="1"/>
  <c r="L2110" i="1"/>
  <c r="L1997" i="1"/>
  <c r="L1996" i="1"/>
  <c r="L1999" i="1"/>
  <c r="L2000" i="1"/>
  <c r="L2002" i="1"/>
  <c r="L1998" i="1"/>
  <c r="L2001" i="1"/>
  <c r="L1906" i="1"/>
  <c r="L1908" i="1"/>
  <c r="L1907" i="1"/>
  <c r="L1905" i="1"/>
  <c r="L1840" i="1"/>
  <c r="L1841" i="1"/>
  <c r="L1839" i="1"/>
  <c r="L1842" i="1"/>
  <c r="L1758" i="1"/>
  <c r="L1759" i="1"/>
  <c r="L1757" i="1"/>
  <c r="L1761" i="1"/>
  <c r="L1760" i="1"/>
  <c r="L1762" i="1"/>
  <c r="L1678" i="1"/>
  <c r="L1676" i="1"/>
  <c r="L1677" i="1"/>
  <c r="L1681" i="1"/>
  <c r="L1679" i="1"/>
  <c r="L1675" i="1"/>
  <c r="L1680" i="1"/>
  <c r="L1590" i="1"/>
  <c r="L1588" i="1"/>
  <c r="L1589" i="1"/>
  <c r="L1593" i="1"/>
  <c r="L1591" i="1"/>
  <c r="L1587" i="1"/>
  <c r="L1592" i="1"/>
  <c r="L1556" i="1"/>
  <c r="L1555" i="1"/>
  <c r="L1557" i="1"/>
  <c r="L1527" i="1"/>
  <c r="L1487" i="1"/>
  <c r="L1486" i="1"/>
  <c r="L1489" i="1"/>
  <c r="L1488" i="1"/>
  <c r="L1485" i="1"/>
  <c r="L1399" i="1"/>
  <c r="L1402" i="1"/>
  <c r="L1400" i="1"/>
  <c r="L1398" i="1"/>
  <c r="L1401" i="1"/>
  <c r="L1403" i="1"/>
  <c r="L1395" i="1"/>
  <c r="L1396" i="1"/>
  <c r="L1335" i="1"/>
  <c r="L1337" i="1"/>
  <c r="L1336" i="1"/>
  <c r="L1323" i="1"/>
  <c r="L1324" i="1"/>
  <c r="L1298" i="1"/>
  <c r="L1297" i="1"/>
  <c r="L1280" i="1"/>
  <c r="L1281" i="1"/>
  <c r="L1263" i="1"/>
  <c r="L1265" i="1"/>
  <c r="L1264" i="1"/>
  <c r="L1049" i="1"/>
  <c r="L1047" i="1"/>
  <c r="L1048" i="1"/>
  <c r="L1051" i="1"/>
  <c r="L1050" i="1"/>
  <c r="L1046" i="1"/>
  <c r="L961" i="1"/>
  <c r="L957" i="1"/>
  <c r="L955" i="1"/>
  <c r="L959" i="1"/>
  <c r="L960" i="1"/>
  <c r="L964" i="1"/>
  <c r="L962" i="1"/>
  <c r="L958" i="1"/>
  <c r="L956" i="1"/>
  <c r="L963" i="1"/>
  <c r="L965" i="1"/>
  <c r="L845" i="1"/>
  <c r="L841" i="1"/>
  <c r="L840" i="1"/>
  <c r="L843" i="1"/>
  <c r="L844" i="1"/>
  <c r="L849" i="1"/>
  <c r="L846" i="1"/>
  <c r="L842" i="1"/>
  <c r="L848" i="1"/>
  <c r="L847" i="1"/>
  <c r="L850" i="1"/>
  <c r="L728" i="1"/>
  <c r="L724" i="1"/>
  <c r="L722" i="1"/>
  <c r="L726" i="1"/>
  <c r="L727" i="1"/>
  <c r="L733" i="1"/>
  <c r="L729" i="1"/>
  <c r="L725" i="1"/>
  <c r="L730" i="1"/>
  <c r="L723" i="1"/>
  <c r="L732" i="1"/>
  <c r="L731" i="1"/>
  <c r="L734" i="1"/>
  <c r="L586" i="1"/>
  <c r="L582" i="1"/>
  <c r="L580" i="1"/>
  <c r="L584" i="1"/>
  <c r="L585" i="1"/>
  <c r="L590" i="1"/>
  <c r="L587" i="1"/>
  <c r="L583" i="1"/>
  <c r="L581" i="1"/>
  <c r="L589" i="1"/>
  <c r="L588" i="1"/>
  <c r="L591" i="1"/>
  <c r="L1251" i="1"/>
  <c r="L1248" i="1"/>
  <c r="L1250" i="1"/>
  <c r="L1255" i="1"/>
  <c r="L1252" i="1"/>
  <c r="L1249" i="1"/>
  <c r="L1247" i="1"/>
  <c r="L1254" i="1"/>
  <c r="L1253" i="1"/>
  <c r="L1256" i="1"/>
  <c r="L1133" i="1"/>
  <c r="L1134" i="1"/>
  <c r="L1132" i="1"/>
  <c r="L1131" i="1"/>
  <c r="L1136" i="1"/>
  <c r="L1135" i="1"/>
  <c r="L1137" i="1"/>
  <c r="L436" i="1"/>
  <c r="L432" i="1"/>
  <c r="L434" i="1"/>
  <c r="L435" i="1"/>
  <c r="L441" i="1"/>
  <c r="L437" i="1"/>
  <c r="L433" i="1"/>
  <c r="L438" i="1"/>
  <c r="L431" i="1"/>
  <c r="L440" i="1"/>
  <c r="L439" i="1"/>
  <c r="L442" i="1"/>
  <c r="L290" i="1"/>
  <c r="L286" i="1"/>
  <c r="L284" i="1"/>
  <c r="L288" i="1"/>
  <c r="L289" i="1"/>
  <c r="L291" i="1"/>
  <c r="L287" i="1"/>
  <c r="L292" i="1"/>
  <c r="L285" i="1"/>
  <c r="L294" i="1"/>
  <c r="L293" i="1"/>
  <c r="L295" i="1"/>
  <c r="L143" i="1"/>
  <c r="L139" i="1"/>
  <c r="L137" i="1"/>
  <c r="L141" i="1"/>
  <c r="L142" i="1"/>
  <c r="L147" i="1"/>
  <c r="L144" i="1"/>
  <c r="L140" i="1"/>
  <c r="L138" i="1"/>
  <c r="L146" i="1"/>
  <c r="L145" i="1"/>
  <c r="L148" i="1"/>
  <c r="L1042" i="1"/>
  <c r="L1040" i="1"/>
  <c r="L1041" i="1"/>
  <c r="L1045" i="1"/>
  <c r="L1043" i="1"/>
  <c r="L1039" i="1"/>
  <c r="L1044" i="1"/>
  <c r="L951" i="1"/>
  <c r="L947" i="1"/>
  <c r="L946" i="1"/>
  <c r="L949" i="1"/>
  <c r="L950" i="1"/>
  <c r="L954" i="1"/>
  <c r="L952" i="1"/>
  <c r="L948" i="1"/>
  <c r="L953" i="1"/>
  <c r="L835" i="1"/>
  <c r="L834" i="1"/>
  <c r="L839" i="1"/>
  <c r="L836" i="1"/>
  <c r="L833" i="1"/>
  <c r="L838" i="1"/>
  <c r="L837" i="1"/>
  <c r="L716" i="1"/>
  <c r="L712" i="1"/>
  <c r="L714" i="1"/>
  <c r="L715" i="1"/>
  <c r="L720" i="1"/>
  <c r="L717" i="1"/>
  <c r="L713" i="1"/>
  <c r="L711" i="1"/>
  <c r="L719" i="1"/>
  <c r="L718" i="1"/>
  <c r="L721" i="1"/>
  <c r="L574" i="1"/>
  <c r="L570" i="1"/>
  <c r="L568" i="1"/>
  <c r="L572" i="1"/>
  <c r="L573" i="1"/>
  <c r="L575" i="1"/>
  <c r="L571" i="1"/>
  <c r="L576" i="1"/>
  <c r="L569" i="1"/>
  <c r="L578" i="1"/>
  <c r="L577" i="1"/>
  <c r="L579" i="1"/>
  <c r="L1245" i="1"/>
  <c r="L1244" i="1"/>
  <c r="L1243" i="1"/>
  <c r="L1246" i="1"/>
  <c r="L424" i="1"/>
  <c r="L419" i="1"/>
  <c r="L422" i="1"/>
  <c r="L423" i="1"/>
  <c r="L429" i="1"/>
  <c r="L425" i="1"/>
  <c r="L421" i="1"/>
  <c r="L426" i="1"/>
  <c r="L420" i="1"/>
  <c r="L428" i="1"/>
  <c r="L427" i="1"/>
  <c r="L430" i="1"/>
  <c r="L279" i="1"/>
  <c r="L276" i="1"/>
  <c r="L274" i="1"/>
  <c r="L278" i="1"/>
  <c r="L283" i="1"/>
  <c r="L280" i="1"/>
  <c r="L277" i="1"/>
  <c r="L275" i="1"/>
  <c r="L282" i="1"/>
  <c r="L281" i="1"/>
  <c r="L131" i="1"/>
  <c r="L127" i="1"/>
  <c r="L125" i="1"/>
  <c r="L129" i="1"/>
  <c r="L130" i="1"/>
  <c r="L135" i="1"/>
  <c r="L132" i="1"/>
  <c r="L128" i="1"/>
  <c r="L126" i="1"/>
  <c r="L134" i="1"/>
  <c r="L133" i="1"/>
  <c r="L136" i="1"/>
  <c r="L1035" i="1"/>
  <c r="L1031" i="1"/>
  <c r="L1033" i="1"/>
  <c r="L1034" i="1"/>
  <c r="L1038" i="1"/>
  <c r="L1036" i="1"/>
  <c r="L1032" i="1"/>
  <c r="L1037" i="1"/>
  <c r="L942" i="1"/>
  <c r="L938" i="1"/>
  <c r="L937" i="1"/>
  <c r="L940" i="1"/>
  <c r="L941" i="1"/>
  <c r="L945" i="1"/>
  <c r="L943" i="1"/>
  <c r="L939" i="1"/>
  <c r="L944" i="1"/>
  <c r="L828" i="1"/>
  <c r="L823" i="1"/>
  <c r="L826" i="1"/>
  <c r="L827" i="1"/>
  <c r="L831" i="1"/>
  <c r="L829" i="1"/>
  <c r="L825" i="1"/>
  <c r="L824" i="1"/>
  <c r="L830" i="1"/>
  <c r="L832" i="1"/>
  <c r="L704" i="1"/>
  <c r="L700" i="1"/>
  <c r="L698" i="1"/>
  <c r="L702" i="1"/>
  <c r="L703" i="1"/>
  <c r="L709" i="1"/>
  <c r="L705" i="1"/>
  <c r="L701" i="1"/>
  <c r="L706" i="1"/>
  <c r="L699" i="1"/>
  <c r="L708" i="1"/>
  <c r="L707" i="1"/>
  <c r="L710" i="1"/>
  <c r="L561" i="1"/>
  <c r="L558" i="1"/>
  <c r="L556" i="1"/>
  <c r="L560" i="1"/>
  <c r="L566" i="1"/>
  <c r="L562" i="1"/>
  <c r="L559" i="1"/>
  <c r="L563" i="1"/>
  <c r="L557" i="1"/>
  <c r="L565" i="1"/>
  <c r="L564" i="1"/>
  <c r="L567" i="1"/>
  <c r="L1236" i="1"/>
  <c r="L1232" i="1"/>
  <c r="L1230" i="1"/>
  <c r="L1234" i="1"/>
  <c r="L1235" i="1"/>
  <c r="L1241" i="1"/>
  <c r="L1237" i="1"/>
  <c r="L1233" i="1"/>
  <c r="L1238" i="1"/>
  <c r="L1231" i="1"/>
  <c r="L1240" i="1"/>
  <c r="L1239" i="1"/>
  <c r="L1242" i="1"/>
  <c r="L1127" i="1"/>
  <c r="L1126" i="1"/>
  <c r="L1125" i="1"/>
  <c r="L1124" i="1"/>
  <c r="L1129" i="1"/>
  <c r="L1128" i="1"/>
  <c r="L1130" i="1"/>
  <c r="L412" i="1"/>
  <c r="L409" i="1"/>
  <c r="L407" i="1"/>
  <c r="L411" i="1"/>
  <c r="L417" i="1"/>
  <c r="L413" i="1"/>
  <c r="L410" i="1"/>
  <c r="L414" i="1"/>
  <c r="L408" i="1"/>
  <c r="L416" i="1"/>
  <c r="L415" i="1"/>
  <c r="L418" i="1"/>
  <c r="L268" i="1"/>
  <c r="L264" i="1"/>
  <c r="L262" i="1"/>
  <c r="L266" i="1"/>
  <c r="L267" i="1"/>
  <c r="L272" i="1"/>
  <c r="L269" i="1"/>
  <c r="L265" i="1"/>
  <c r="L263" i="1"/>
  <c r="L271" i="1"/>
  <c r="L270" i="1"/>
  <c r="L273" i="1"/>
  <c r="L118" i="1"/>
  <c r="L114" i="1"/>
  <c r="L112" i="1"/>
  <c r="L116" i="1"/>
  <c r="L117" i="1"/>
  <c r="L123" i="1"/>
  <c r="L119" i="1"/>
  <c r="L115" i="1"/>
  <c r="L120" i="1"/>
  <c r="L113" i="1"/>
  <c r="L122" i="1"/>
  <c r="L121" i="1"/>
  <c r="L124" i="1"/>
  <c r="L1027" i="1"/>
  <c r="L1025" i="1"/>
  <c r="L1026" i="1"/>
  <c r="L1030" i="1"/>
  <c r="L1028" i="1"/>
  <c r="L1024" i="1"/>
  <c r="L1029" i="1"/>
  <c r="L933" i="1"/>
  <c r="L929" i="1"/>
  <c r="L928" i="1"/>
  <c r="L931" i="1"/>
  <c r="L932" i="1"/>
  <c r="L936" i="1"/>
  <c r="L934" i="1"/>
  <c r="L930" i="1"/>
  <c r="L935" i="1"/>
  <c r="L817" i="1"/>
  <c r="L815" i="1"/>
  <c r="L816" i="1"/>
  <c r="L821" i="1"/>
  <c r="L818" i="1"/>
  <c r="L814" i="1"/>
  <c r="L813" i="1"/>
  <c r="L820" i="1"/>
  <c r="L819" i="1"/>
  <c r="L822" i="1"/>
  <c r="L692" i="1"/>
  <c r="L688" i="1"/>
  <c r="L686" i="1"/>
  <c r="L690" i="1"/>
  <c r="L691" i="1"/>
  <c r="L696" i="1"/>
  <c r="L693" i="1"/>
  <c r="L689" i="1"/>
  <c r="L687" i="1"/>
  <c r="L695" i="1"/>
  <c r="L694" i="1"/>
  <c r="L697" i="1"/>
  <c r="L549" i="1"/>
  <c r="L545" i="1"/>
  <c r="L543" i="1"/>
  <c r="L547" i="1"/>
  <c r="L548" i="1"/>
  <c r="L554" i="1"/>
  <c r="L550" i="1"/>
  <c r="L546" i="1"/>
  <c r="L551" i="1"/>
  <c r="L544" i="1"/>
  <c r="L553" i="1"/>
  <c r="L552" i="1"/>
  <c r="L555" i="1"/>
  <c r="L1224" i="1"/>
  <c r="L1221" i="1"/>
  <c r="L1219" i="1"/>
  <c r="L1223" i="1"/>
  <c r="L1228" i="1"/>
  <c r="L1225" i="1"/>
  <c r="L1222" i="1"/>
  <c r="L1220" i="1"/>
  <c r="L1227" i="1"/>
  <c r="L1226" i="1"/>
  <c r="L1229" i="1"/>
  <c r="L1120" i="1"/>
  <c r="L1118" i="1"/>
  <c r="L1119" i="1"/>
  <c r="L1117" i="1"/>
  <c r="L1122" i="1"/>
  <c r="L1121" i="1"/>
  <c r="L1123" i="1"/>
  <c r="L400" i="1"/>
  <c r="L396" i="1"/>
  <c r="L399" i="1"/>
  <c r="L405" i="1"/>
  <c r="L401" i="1"/>
  <c r="L398" i="1"/>
  <c r="L402" i="1"/>
  <c r="L397" i="1"/>
  <c r="L404" i="1"/>
  <c r="L403" i="1"/>
  <c r="L406" i="1"/>
  <c r="L255" i="1"/>
  <c r="L251" i="1"/>
  <c r="L249" i="1"/>
  <c r="L253" i="1"/>
  <c r="L254" i="1"/>
  <c r="L260" i="1"/>
  <c r="L256" i="1"/>
  <c r="L252" i="1"/>
  <c r="L257" i="1"/>
  <c r="L250" i="1"/>
  <c r="L259" i="1"/>
  <c r="L258" i="1"/>
  <c r="L261" i="1"/>
  <c r="L105" i="1"/>
  <c r="L101" i="1"/>
  <c r="L99" i="1"/>
  <c r="L103" i="1"/>
  <c r="L104" i="1"/>
  <c r="L110" i="1"/>
  <c r="L106" i="1"/>
  <c r="L102" i="1"/>
  <c r="L107" i="1"/>
  <c r="L100" i="1"/>
  <c r="L109" i="1"/>
  <c r="L108" i="1"/>
  <c r="L111" i="1"/>
  <c r="L1020" i="1"/>
  <c r="L1016" i="1"/>
  <c r="L1015" i="1"/>
  <c r="L1018" i="1"/>
  <c r="L1019" i="1"/>
  <c r="L1022" i="1"/>
  <c r="L1021" i="1"/>
  <c r="L1017" i="1"/>
  <c r="L1023" i="1"/>
  <c r="L924" i="1"/>
  <c r="L920" i="1"/>
  <c r="L919" i="1"/>
  <c r="L922" i="1"/>
  <c r="L923" i="1"/>
  <c r="L927" i="1"/>
  <c r="L925" i="1"/>
  <c r="L921" i="1"/>
  <c r="L926" i="1"/>
  <c r="L807" i="1"/>
  <c r="L803" i="1"/>
  <c r="L805" i="1"/>
  <c r="L806" i="1"/>
  <c r="L811" i="1"/>
  <c r="L808" i="1"/>
  <c r="L804" i="1"/>
  <c r="L810" i="1"/>
  <c r="L809" i="1"/>
  <c r="L812" i="1"/>
  <c r="L680" i="1"/>
  <c r="L676" i="1"/>
  <c r="L674" i="1"/>
  <c r="L678" i="1"/>
  <c r="L679" i="1"/>
  <c r="L684" i="1"/>
  <c r="L681" i="1"/>
  <c r="L677" i="1"/>
  <c r="L675" i="1"/>
  <c r="L683" i="1"/>
  <c r="L682" i="1"/>
  <c r="L685" i="1"/>
  <c r="L537" i="1"/>
  <c r="L533" i="1"/>
  <c r="L531" i="1"/>
  <c r="L535" i="1"/>
  <c r="L536" i="1"/>
  <c r="L541" i="1"/>
  <c r="L538" i="1"/>
  <c r="L534" i="1"/>
  <c r="L532" i="1"/>
  <c r="L540" i="1"/>
  <c r="L539" i="1"/>
  <c r="L542" i="1"/>
  <c r="L1215" i="1"/>
  <c r="L1214" i="1"/>
  <c r="L1213" i="1"/>
  <c r="L1212" i="1"/>
  <c r="L1217" i="1"/>
  <c r="L1216" i="1"/>
  <c r="L1218" i="1"/>
  <c r="L1114" i="1"/>
  <c r="L1113" i="1"/>
  <c r="L1112" i="1"/>
  <c r="L1116" i="1"/>
  <c r="L1115" i="1"/>
  <c r="L389" i="1"/>
  <c r="L385" i="1"/>
  <c r="L383" i="1"/>
  <c r="L387" i="1"/>
  <c r="L388" i="1"/>
  <c r="L394" i="1"/>
  <c r="L390" i="1"/>
  <c r="L386" i="1"/>
  <c r="L391" i="1"/>
  <c r="L384" i="1"/>
  <c r="L393" i="1"/>
  <c r="L392" i="1"/>
  <c r="L395" i="1"/>
  <c r="L242" i="1"/>
  <c r="L238" i="1"/>
  <c r="L236" i="1"/>
  <c r="L240" i="1"/>
  <c r="L241" i="1"/>
  <c r="L247" i="1"/>
  <c r="L243" i="1"/>
  <c r="L239" i="1"/>
  <c r="L244" i="1"/>
  <c r="L237" i="1"/>
  <c r="L246" i="1"/>
  <c r="L245" i="1"/>
  <c r="L248" i="1"/>
  <c r="L93" i="1"/>
  <c r="L89" i="1"/>
  <c r="L87" i="1"/>
  <c r="L91" i="1"/>
  <c r="L92" i="1"/>
  <c r="L97" i="1"/>
  <c r="L94" i="1"/>
  <c r="L90" i="1"/>
  <c r="L88" i="1"/>
  <c r="L96" i="1"/>
  <c r="L95" i="1"/>
  <c r="L98" i="1"/>
  <c r="L1012" i="1"/>
  <c r="L1010" i="1"/>
  <c r="L1011" i="1"/>
  <c r="L1014" i="1"/>
  <c r="L1013" i="1"/>
  <c r="L1009" i="1"/>
  <c r="L1008" i="1"/>
  <c r="L914" i="1"/>
  <c r="L910" i="1"/>
  <c r="L909" i="1"/>
  <c r="L912" i="1"/>
  <c r="L913" i="1"/>
  <c r="L917" i="1"/>
  <c r="L915" i="1"/>
  <c r="L911" i="1"/>
  <c r="L916" i="1"/>
  <c r="L918" i="1"/>
  <c r="L797" i="1"/>
  <c r="L793" i="1"/>
  <c r="L796" i="1"/>
  <c r="L801" i="1"/>
  <c r="L798" i="1"/>
  <c r="L795" i="1"/>
  <c r="L794" i="1"/>
  <c r="L800" i="1"/>
  <c r="L799" i="1"/>
  <c r="L802" i="1"/>
  <c r="L670" i="1"/>
  <c r="L666" i="1"/>
  <c r="L668" i="1"/>
  <c r="L669" i="1"/>
  <c r="L673" i="1"/>
  <c r="L671" i="1"/>
  <c r="L667" i="1"/>
  <c r="L665" i="1"/>
  <c r="L672" i="1"/>
  <c r="L524" i="1"/>
  <c r="L520" i="1"/>
  <c r="L518" i="1"/>
  <c r="L522" i="1"/>
  <c r="L523" i="1"/>
  <c r="L529" i="1"/>
  <c r="L525" i="1"/>
  <c r="L521" i="1"/>
  <c r="L526" i="1"/>
  <c r="L519" i="1"/>
  <c r="L528" i="1"/>
  <c r="L527" i="1"/>
  <c r="L530" i="1"/>
  <c r="L1207" i="1"/>
  <c r="L1206" i="1"/>
  <c r="L1208" i="1"/>
  <c r="L1205" i="1"/>
  <c r="L1204" i="1"/>
  <c r="L1210" i="1"/>
  <c r="L1209" i="1"/>
  <c r="L1211" i="1"/>
  <c r="L1108" i="1"/>
  <c r="L1109" i="1"/>
  <c r="L1107" i="1"/>
  <c r="L1106" i="1"/>
  <c r="L1111" i="1"/>
  <c r="L1110" i="1"/>
  <c r="L376" i="1"/>
  <c r="L372" i="1"/>
  <c r="L375" i="1"/>
  <c r="L381" i="1"/>
  <c r="L377" i="1"/>
  <c r="L374" i="1"/>
  <c r="L378" i="1"/>
  <c r="L373" i="1"/>
  <c r="L380" i="1"/>
  <c r="L379" i="1"/>
  <c r="L382" i="1"/>
  <c r="L230" i="1"/>
  <c r="L226" i="1"/>
  <c r="L224" i="1"/>
  <c r="L228" i="1"/>
  <c r="L229" i="1"/>
  <c r="L234" i="1"/>
  <c r="L231" i="1"/>
  <c r="L227" i="1"/>
  <c r="L225" i="1"/>
  <c r="L233" i="1"/>
  <c r="L232" i="1"/>
  <c r="L235" i="1"/>
  <c r="L81" i="1"/>
  <c r="L77" i="1"/>
  <c r="L75" i="1"/>
  <c r="L79" i="1"/>
  <c r="L80" i="1"/>
  <c r="L85" i="1"/>
  <c r="L82" i="1"/>
  <c r="L78" i="1"/>
  <c r="L76" i="1"/>
  <c r="L84" i="1"/>
  <c r="L83" i="1"/>
  <c r="L86" i="1"/>
  <c r="L1005" i="1"/>
  <c r="L1003" i="1"/>
  <c r="L1004" i="1"/>
  <c r="L1007" i="1"/>
  <c r="L1006" i="1"/>
  <c r="L1002" i="1"/>
  <c r="L904" i="1"/>
  <c r="L900" i="1"/>
  <c r="L902" i="1"/>
  <c r="L903" i="1"/>
  <c r="L908" i="1"/>
  <c r="L905" i="1"/>
  <c r="L901" i="1"/>
  <c r="L899" i="1"/>
  <c r="L907" i="1"/>
  <c r="L906" i="1"/>
  <c r="L788" i="1"/>
  <c r="L786" i="1"/>
  <c r="L787" i="1"/>
  <c r="L792" i="1"/>
  <c r="L789" i="1"/>
  <c r="L785" i="1"/>
  <c r="L784" i="1"/>
  <c r="L791" i="1"/>
  <c r="L790" i="1"/>
  <c r="L659" i="1"/>
  <c r="L655" i="1"/>
  <c r="L653" i="1"/>
  <c r="L657" i="1"/>
  <c r="L658" i="1"/>
  <c r="L663" i="1"/>
  <c r="L660" i="1"/>
  <c r="L656" i="1"/>
  <c r="L654" i="1"/>
  <c r="L662" i="1"/>
  <c r="L661" i="1"/>
  <c r="L664" i="1"/>
  <c r="L511" i="1"/>
  <c r="L507" i="1"/>
  <c r="L505" i="1"/>
  <c r="L509" i="1"/>
  <c r="L510" i="1"/>
  <c r="L516" i="1"/>
  <c r="L512" i="1"/>
  <c r="L508" i="1"/>
  <c r="L513" i="1"/>
  <c r="L506" i="1"/>
  <c r="L515" i="1"/>
  <c r="L514" i="1"/>
  <c r="L517" i="1"/>
  <c r="L1198" i="1"/>
  <c r="L1193" i="1"/>
  <c r="L1196" i="1"/>
  <c r="L1197" i="1"/>
  <c r="L1202" i="1"/>
  <c r="L1199" i="1"/>
  <c r="L1195" i="1"/>
  <c r="L1194" i="1"/>
  <c r="L1201" i="1"/>
  <c r="L1200" i="1"/>
  <c r="L1203" i="1"/>
  <c r="L1100" i="1"/>
  <c r="L1096" i="1"/>
  <c r="L1099" i="1"/>
  <c r="L1104" i="1"/>
  <c r="L1101" i="1"/>
  <c r="L1098" i="1"/>
  <c r="L1097" i="1"/>
  <c r="L1103" i="1"/>
  <c r="L1102" i="1"/>
  <c r="L1105" i="1"/>
  <c r="L365" i="1"/>
  <c r="L361" i="1"/>
  <c r="L359" i="1"/>
  <c r="L363" i="1"/>
  <c r="L364" i="1"/>
  <c r="L370" i="1"/>
  <c r="L366" i="1"/>
  <c r="L362" i="1"/>
  <c r="L367" i="1"/>
  <c r="L360" i="1"/>
  <c r="L369" i="1"/>
  <c r="L368" i="1"/>
  <c r="L371" i="1"/>
  <c r="L217" i="1"/>
  <c r="L213" i="1"/>
  <c r="L211" i="1"/>
  <c r="L215" i="1"/>
  <c r="L216" i="1"/>
  <c r="L222" i="1"/>
  <c r="L218" i="1"/>
  <c r="L214" i="1"/>
  <c r="L219" i="1"/>
  <c r="L212" i="1"/>
  <c r="L221" i="1"/>
  <c r="L220" i="1"/>
  <c r="L223" i="1"/>
  <c r="L69" i="1"/>
  <c r="L65" i="1"/>
  <c r="L63" i="1"/>
  <c r="L67" i="1"/>
  <c r="L68" i="1"/>
  <c r="L73" i="1"/>
  <c r="L70" i="1"/>
  <c r="L66" i="1"/>
  <c r="L64" i="1"/>
  <c r="L72" i="1"/>
  <c r="L71" i="1"/>
  <c r="L74" i="1"/>
  <c r="L999" i="1"/>
  <c r="L997" i="1"/>
  <c r="L998" i="1"/>
  <c r="L1001" i="1"/>
  <c r="L1000" i="1"/>
  <c r="L996" i="1"/>
  <c r="L894" i="1"/>
  <c r="L890" i="1"/>
  <c r="L889" i="1"/>
  <c r="L892" i="1"/>
  <c r="L893" i="1"/>
  <c r="L898" i="1"/>
  <c r="L895" i="1"/>
  <c r="L891" i="1"/>
  <c r="L896" i="1"/>
  <c r="L897" i="1"/>
  <c r="L778" i="1"/>
  <c r="L773" i="1"/>
  <c r="L776" i="1"/>
  <c r="L777" i="1"/>
  <c r="L782" i="1"/>
  <c r="L779" i="1"/>
  <c r="L775" i="1"/>
  <c r="L774" i="1"/>
  <c r="L781" i="1"/>
  <c r="L780" i="1"/>
  <c r="L783" i="1"/>
  <c r="L648" i="1"/>
  <c r="L644" i="1"/>
  <c r="L642" i="1"/>
  <c r="L646" i="1"/>
  <c r="L647" i="1"/>
  <c r="L652" i="1"/>
  <c r="L649" i="1"/>
  <c r="L645" i="1"/>
  <c r="L643" i="1"/>
  <c r="L651" i="1"/>
  <c r="L650" i="1"/>
  <c r="L498" i="1"/>
  <c r="L494" i="1"/>
  <c r="L492" i="1"/>
  <c r="L496" i="1"/>
  <c r="L497" i="1"/>
  <c r="L503" i="1"/>
  <c r="L499" i="1"/>
  <c r="L495" i="1"/>
  <c r="L500" i="1"/>
  <c r="L493" i="1"/>
  <c r="L502" i="1"/>
  <c r="L501" i="1"/>
  <c r="L504" i="1"/>
  <c r="L1187" i="1"/>
  <c r="L1186" i="1"/>
  <c r="L1191" i="1"/>
  <c r="L1188" i="1"/>
  <c r="L1185" i="1"/>
  <c r="L1184" i="1"/>
  <c r="L1190" i="1"/>
  <c r="L1189" i="1"/>
  <c r="L1192" i="1"/>
  <c r="L1091" i="1"/>
  <c r="L1090" i="1"/>
  <c r="L1092" i="1"/>
  <c r="L1089" i="1"/>
  <c r="L1088" i="1"/>
  <c r="L1094" i="1"/>
  <c r="L1093" i="1"/>
  <c r="L1095" i="1"/>
  <c r="L352" i="1"/>
  <c r="L349" i="1"/>
  <c r="L347" i="1"/>
  <c r="L351" i="1"/>
  <c r="L357" i="1"/>
  <c r="L353" i="1"/>
  <c r="L350" i="1"/>
  <c r="L354" i="1"/>
  <c r="L348" i="1"/>
  <c r="L356" i="1"/>
  <c r="L355" i="1"/>
  <c r="L358" i="1"/>
  <c r="L204" i="1"/>
  <c r="L200" i="1"/>
  <c r="L198" i="1"/>
  <c r="L202" i="1"/>
  <c r="L203" i="1"/>
  <c r="L209" i="1"/>
  <c r="L205" i="1"/>
  <c r="L201" i="1"/>
  <c r="L206" i="1"/>
  <c r="L199" i="1"/>
  <c r="L208" i="1"/>
  <c r="L207" i="1"/>
  <c r="L210" i="1"/>
  <c r="L57" i="1"/>
  <c r="L53" i="1"/>
  <c r="L51" i="1"/>
  <c r="L55" i="1"/>
  <c r="L56" i="1"/>
  <c r="L61" i="1"/>
  <c r="L58" i="1"/>
  <c r="L54" i="1"/>
  <c r="L52" i="1"/>
  <c r="L60" i="1"/>
  <c r="L59" i="1"/>
  <c r="L62" i="1"/>
  <c r="L991" i="1"/>
  <c r="L987" i="1"/>
  <c r="L989" i="1"/>
  <c r="L990" i="1"/>
  <c r="L995" i="1"/>
  <c r="L992" i="1"/>
  <c r="L988" i="1"/>
  <c r="L994" i="1"/>
  <c r="L993" i="1"/>
  <c r="L885" i="1"/>
  <c r="L881" i="1"/>
  <c r="L880" i="1"/>
  <c r="L883" i="1"/>
  <c r="L884" i="1"/>
  <c r="L888" i="1"/>
  <c r="L886" i="1"/>
  <c r="L882" i="1"/>
  <c r="L887" i="1"/>
  <c r="L768" i="1"/>
  <c r="L763" i="1"/>
  <c r="L766" i="1"/>
  <c r="L767" i="1"/>
  <c r="L772" i="1"/>
  <c r="L769" i="1"/>
  <c r="L765" i="1"/>
  <c r="L764" i="1"/>
  <c r="L771" i="1"/>
  <c r="L770" i="1"/>
  <c r="L635" i="1"/>
  <c r="L631" i="1"/>
  <c r="L629" i="1"/>
  <c r="L633" i="1"/>
  <c r="L634" i="1"/>
  <c r="L640" i="1"/>
  <c r="L636" i="1"/>
  <c r="L632" i="1"/>
  <c r="L637" i="1"/>
  <c r="L630" i="1"/>
  <c r="L639" i="1"/>
  <c r="L638" i="1"/>
  <c r="L641" i="1"/>
  <c r="L486" i="1"/>
  <c r="L482" i="1"/>
  <c r="L480" i="1"/>
  <c r="L484" i="1"/>
  <c r="L485" i="1"/>
  <c r="L490" i="1"/>
  <c r="L487" i="1"/>
  <c r="L483" i="1"/>
  <c r="L481" i="1"/>
  <c r="L489" i="1"/>
  <c r="L488" i="1"/>
  <c r="L491" i="1"/>
  <c r="L1178" i="1"/>
  <c r="L1174" i="1"/>
  <c r="L1172" i="1"/>
  <c r="L1176" i="1"/>
  <c r="L1177" i="1"/>
  <c r="L1182" i="1"/>
  <c r="L1179" i="1"/>
  <c r="L1175" i="1"/>
  <c r="L1173" i="1"/>
  <c r="L1181" i="1"/>
  <c r="L1180" i="1"/>
  <c r="L1183" i="1"/>
  <c r="L1081" i="1"/>
  <c r="L1077" i="1"/>
  <c r="L1080" i="1"/>
  <c r="L1086" i="1"/>
  <c r="L1082" i="1"/>
  <c r="L1079" i="1"/>
  <c r="L1083" i="1"/>
  <c r="L1078" i="1"/>
  <c r="L1085" i="1"/>
  <c r="L1084" i="1"/>
  <c r="L1087" i="1"/>
  <c r="L340" i="1"/>
  <c r="L336" i="1"/>
  <c r="L334" i="1"/>
  <c r="L338" i="1"/>
  <c r="L339" i="1"/>
  <c r="L345" i="1"/>
  <c r="L341" i="1"/>
  <c r="L337" i="1"/>
  <c r="L342" i="1"/>
  <c r="L335" i="1"/>
  <c r="L344" i="1"/>
  <c r="L343" i="1"/>
  <c r="L346" i="1"/>
  <c r="L192" i="1"/>
  <c r="L188" i="1"/>
  <c r="L186" i="1"/>
  <c r="L190" i="1"/>
  <c r="L191" i="1"/>
  <c r="L196" i="1"/>
  <c r="L193" i="1"/>
  <c r="L189" i="1"/>
  <c r="L187" i="1"/>
  <c r="L195" i="1"/>
  <c r="L194" i="1"/>
  <c r="L197" i="1"/>
  <c r="L45" i="1"/>
  <c r="L41" i="1"/>
  <c r="L39" i="1"/>
  <c r="L43" i="1"/>
  <c r="L44" i="1"/>
  <c r="L49" i="1"/>
  <c r="L46" i="1"/>
  <c r="L42" i="1"/>
  <c r="L40" i="1"/>
  <c r="L48" i="1"/>
  <c r="L47" i="1"/>
  <c r="L50" i="1"/>
  <c r="L983" i="1"/>
  <c r="L981" i="1"/>
  <c r="L982" i="1"/>
  <c r="L986" i="1"/>
  <c r="L984" i="1"/>
  <c r="L980" i="1"/>
  <c r="L985" i="1"/>
  <c r="L876" i="1"/>
  <c r="L872" i="1"/>
  <c r="L871" i="1"/>
  <c r="L874" i="1"/>
  <c r="L875" i="1"/>
  <c r="L879" i="1"/>
  <c r="L877" i="1"/>
  <c r="L873" i="1"/>
  <c r="L878" i="1"/>
  <c r="L758" i="1"/>
  <c r="L753" i="1"/>
  <c r="L756" i="1"/>
  <c r="L757" i="1"/>
  <c r="L761" i="1"/>
  <c r="L759" i="1"/>
  <c r="L755" i="1"/>
  <c r="L754" i="1"/>
  <c r="L760" i="1"/>
  <c r="L762" i="1"/>
  <c r="L622" i="1"/>
  <c r="L618" i="1"/>
  <c r="L616" i="1"/>
  <c r="L620" i="1"/>
  <c r="L621" i="1"/>
  <c r="L627" i="1"/>
  <c r="L623" i="1"/>
  <c r="L619" i="1"/>
  <c r="L624" i="1"/>
  <c r="L617" i="1"/>
  <c r="L626" i="1"/>
  <c r="L625" i="1"/>
  <c r="L628" i="1"/>
  <c r="L474" i="1"/>
  <c r="L470" i="1"/>
  <c r="L468" i="1"/>
  <c r="L472" i="1"/>
  <c r="L473" i="1"/>
  <c r="L478" i="1"/>
  <c r="L475" i="1"/>
  <c r="L471" i="1"/>
  <c r="L469" i="1"/>
  <c r="L477" i="1"/>
  <c r="L476" i="1"/>
  <c r="L479" i="1"/>
  <c r="L1165" i="1"/>
  <c r="L1161" i="1"/>
  <c r="L1159" i="1"/>
  <c r="L1163" i="1"/>
  <c r="L1164" i="1"/>
  <c r="L1170" i="1"/>
  <c r="L1166" i="1"/>
  <c r="L1162" i="1"/>
  <c r="L1167" i="1"/>
  <c r="L1160" i="1"/>
  <c r="L1169" i="1"/>
  <c r="L1168" i="1"/>
  <c r="L1171" i="1"/>
  <c r="L1072" i="1"/>
  <c r="L1070" i="1"/>
  <c r="L1071" i="1"/>
  <c r="L1073" i="1"/>
  <c r="L1069" i="1"/>
  <c r="L1068" i="1"/>
  <c r="L1075" i="1"/>
  <c r="L1074" i="1"/>
  <c r="L1076" i="1"/>
  <c r="L328" i="1"/>
  <c r="L324" i="1"/>
  <c r="L322" i="1"/>
  <c r="L326" i="1"/>
  <c r="L327" i="1"/>
  <c r="L329" i="1"/>
  <c r="L325" i="1"/>
  <c r="L330" i="1"/>
  <c r="L323" i="1"/>
  <c r="L332" i="1"/>
  <c r="L331" i="1"/>
  <c r="L333" i="1"/>
  <c r="L180" i="1"/>
  <c r="L176" i="1"/>
  <c r="L174" i="1"/>
  <c r="L178" i="1"/>
  <c r="L179" i="1"/>
  <c r="L184" i="1"/>
  <c r="L181" i="1"/>
  <c r="L177" i="1"/>
  <c r="L175" i="1"/>
  <c r="L183" i="1"/>
  <c r="L182" i="1"/>
  <c r="L185" i="1"/>
  <c r="L33" i="1"/>
  <c r="L29" i="1"/>
  <c r="L27" i="1"/>
  <c r="L31" i="1"/>
  <c r="L32" i="1"/>
  <c r="L37" i="1"/>
  <c r="L34" i="1"/>
  <c r="L30" i="1"/>
  <c r="L28" i="1"/>
  <c r="L36" i="1"/>
  <c r="L35" i="1"/>
  <c r="L38" i="1"/>
  <c r="L976" i="1"/>
  <c r="L975" i="1"/>
  <c r="L979" i="1"/>
  <c r="L977" i="1"/>
  <c r="L974" i="1"/>
  <c r="L978" i="1"/>
  <c r="L867" i="1"/>
  <c r="L863" i="1"/>
  <c r="L862" i="1"/>
  <c r="L865" i="1"/>
  <c r="L866" i="1"/>
  <c r="L870" i="1"/>
  <c r="L868" i="1"/>
  <c r="L864" i="1"/>
  <c r="L869" i="1"/>
  <c r="L747" i="1"/>
  <c r="L743" i="1"/>
  <c r="L745" i="1"/>
  <c r="L746" i="1"/>
  <c r="L752" i="1"/>
  <c r="L748" i="1"/>
  <c r="L744" i="1"/>
  <c r="L749" i="1"/>
  <c r="L751" i="1"/>
  <c r="L750" i="1"/>
  <c r="L609" i="1"/>
  <c r="L605" i="1"/>
  <c r="L603" i="1"/>
  <c r="L607" i="1"/>
  <c r="L608" i="1"/>
  <c r="L614" i="1"/>
  <c r="L610" i="1"/>
  <c r="L606" i="1"/>
  <c r="L611" i="1"/>
  <c r="L604" i="1"/>
  <c r="L613" i="1"/>
  <c r="L612" i="1"/>
  <c r="L615" i="1"/>
  <c r="L462" i="1"/>
  <c r="L458" i="1"/>
  <c r="L456" i="1"/>
  <c r="L460" i="1"/>
  <c r="L461" i="1"/>
  <c r="L466" i="1"/>
  <c r="L463" i="1"/>
  <c r="L459" i="1"/>
  <c r="L457" i="1"/>
  <c r="L465" i="1"/>
  <c r="L464" i="1"/>
  <c r="L467" i="1"/>
  <c r="L1152" i="1"/>
  <c r="L1147" i="1"/>
  <c r="L1150" i="1"/>
  <c r="L1151" i="1"/>
  <c r="L1157" i="1"/>
  <c r="L1153" i="1"/>
  <c r="L1149" i="1"/>
  <c r="L1154" i="1"/>
  <c r="L1148" i="1"/>
  <c r="L1156" i="1"/>
  <c r="L1155" i="1"/>
  <c r="L1158" i="1"/>
  <c r="L1062" i="1"/>
  <c r="L1061" i="1"/>
  <c r="L1066" i="1"/>
  <c r="L1063" i="1"/>
  <c r="L1060" i="1"/>
  <c r="L1059" i="1"/>
  <c r="L1065" i="1"/>
  <c r="L1064" i="1"/>
  <c r="L1067" i="1"/>
  <c r="L315" i="1"/>
  <c r="L311" i="1"/>
  <c r="L309" i="1"/>
  <c r="L313" i="1"/>
  <c r="L314" i="1"/>
  <c r="L320" i="1"/>
  <c r="L316" i="1"/>
  <c r="L312" i="1"/>
  <c r="L317" i="1"/>
  <c r="L310" i="1"/>
  <c r="L319" i="1"/>
  <c r="L318" i="1"/>
  <c r="L321" i="1"/>
  <c r="L167" i="1"/>
  <c r="L163" i="1"/>
  <c r="L161" i="1"/>
  <c r="L165" i="1"/>
  <c r="L166" i="1"/>
  <c r="L172" i="1"/>
  <c r="L168" i="1"/>
  <c r="L164" i="1"/>
  <c r="L169" i="1"/>
  <c r="L162" i="1"/>
  <c r="L171" i="1"/>
  <c r="L170" i="1"/>
  <c r="L173" i="1"/>
  <c r="L20" i="1"/>
  <c r="L16" i="1"/>
  <c r="L14" i="1"/>
  <c r="L18" i="1"/>
  <c r="L19" i="1"/>
  <c r="L25" i="1"/>
  <c r="L21" i="1"/>
  <c r="L17" i="1"/>
  <c r="L22" i="1"/>
  <c r="L15" i="1"/>
  <c r="L24" i="1"/>
  <c r="L23" i="1"/>
  <c r="L26" i="1"/>
  <c r="L970" i="1"/>
  <c r="L966" i="1"/>
  <c r="L968" i="1"/>
  <c r="L969" i="1"/>
  <c r="L973" i="1"/>
  <c r="L971" i="1"/>
  <c r="L967" i="1"/>
  <c r="L972" i="1"/>
  <c r="L857" i="1"/>
  <c r="L853" i="1"/>
  <c r="L851" i="1"/>
  <c r="L855" i="1"/>
  <c r="L856" i="1"/>
  <c r="L860" i="1"/>
  <c r="L858" i="1"/>
  <c r="L854" i="1"/>
  <c r="L852" i="1"/>
  <c r="L859" i="1"/>
  <c r="L861" i="1"/>
  <c r="L739" i="1"/>
  <c r="L735" i="1"/>
  <c r="L737" i="1"/>
  <c r="L738" i="1"/>
  <c r="L742" i="1"/>
  <c r="L740" i="1"/>
  <c r="L736" i="1"/>
  <c r="L741" i="1"/>
  <c r="L597" i="1"/>
  <c r="L592" i="1"/>
  <c r="L595" i="1"/>
  <c r="L596" i="1"/>
  <c r="L601" i="1"/>
  <c r="L598" i="1"/>
  <c r="L594" i="1"/>
  <c r="L599" i="1"/>
  <c r="L593" i="1"/>
  <c r="L600" i="1"/>
  <c r="L602" i="1"/>
  <c r="L449" i="1"/>
  <c r="L445" i="1"/>
  <c r="L443" i="1"/>
  <c r="L447" i="1"/>
  <c r="L448" i="1"/>
  <c r="L454" i="1"/>
  <c r="L450" i="1"/>
  <c r="L446" i="1"/>
  <c r="L451" i="1"/>
  <c r="L444" i="1"/>
  <c r="L453" i="1"/>
  <c r="L452" i="1"/>
  <c r="L455" i="1"/>
  <c r="L1141" i="1"/>
  <c r="L1140" i="1"/>
  <c r="L1145" i="1"/>
  <c r="L1142" i="1"/>
  <c r="L1139" i="1"/>
  <c r="L1138" i="1"/>
  <c r="L1144" i="1"/>
  <c r="L1143" i="1"/>
  <c r="L1146" i="1"/>
  <c r="L1054" i="1"/>
  <c r="L1058" i="1"/>
  <c r="L1055" i="1"/>
  <c r="L1053" i="1"/>
  <c r="L1052" i="1"/>
  <c r="L1057" i="1"/>
  <c r="L1056" i="1"/>
  <c r="L302" i="1"/>
  <c r="L298" i="1"/>
  <c r="L296" i="1"/>
  <c r="L300" i="1"/>
  <c r="L301" i="1"/>
  <c r="L307" i="1"/>
  <c r="L303" i="1"/>
  <c r="L299" i="1"/>
  <c r="L304" i="1"/>
  <c r="L297" i="1"/>
  <c r="L306" i="1"/>
  <c r="L305" i="1"/>
  <c r="L308" i="1"/>
  <c r="L155" i="1"/>
  <c r="L151" i="1"/>
  <c r="L149" i="1"/>
  <c r="L153" i="1"/>
  <c r="L154" i="1"/>
  <c r="L159" i="1"/>
  <c r="L156" i="1"/>
  <c r="L152" i="1"/>
  <c r="L150" i="1"/>
  <c r="L158" i="1"/>
  <c r="L157" i="1"/>
  <c r="L160" i="1"/>
  <c r="L8" i="1"/>
  <c r="L4" i="1"/>
  <c r="L2" i="1"/>
  <c r="L6" i="1"/>
  <c r="L7" i="1"/>
  <c r="L12" i="1"/>
  <c r="L9" i="1"/>
  <c r="L5" i="1"/>
  <c r="L3" i="1"/>
  <c r="L11" i="1"/>
  <c r="L10" i="1"/>
  <c r="L13" i="1"/>
  <c r="J60" i="8" l="1"/>
  <c r="Z53" i="8"/>
  <c r="J68" i="8"/>
  <c r="Z50" i="8"/>
  <c r="J61" i="8"/>
  <c r="Z51" i="8"/>
  <c r="Z52" i="8"/>
  <c r="J58" i="8"/>
  <c r="J66" i="8"/>
  <c r="R1814" i="10"/>
  <c r="R1810" i="10"/>
  <c r="R1806" i="10"/>
  <c r="R1802" i="10"/>
  <c r="R1798" i="10"/>
  <c r="R1794" i="10"/>
  <c r="R1790" i="10"/>
  <c r="R1786" i="10"/>
  <c r="R1782" i="10"/>
  <c r="R1778" i="10"/>
  <c r="R1774" i="10"/>
  <c r="R1770" i="10"/>
  <c r="R1766" i="10"/>
  <c r="R1762" i="10"/>
  <c r="R1758" i="10"/>
  <c r="R1754" i="10"/>
  <c r="R1750" i="10"/>
  <c r="R1746" i="10"/>
  <c r="R1813" i="10"/>
  <c r="R1809" i="10"/>
  <c r="R1805" i="10"/>
  <c r="R1801" i="10"/>
  <c r="R1797" i="10"/>
  <c r="R1793" i="10"/>
  <c r="R1789" i="10"/>
  <c r="R1785" i="10"/>
  <c r="R1781" i="10"/>
  <c r="R1777" i="10"/>
  <c r="R1773" i="10"/>
  <c r="R1769" i="10"/>
  <c r="R1765" i="10"/>
  <c r="R1761" i="10"/>
  <c r="R1757" i="10"/>
  <c r="R1753" i="10"/>
  <c r="R1749" i="10"/>
  <c r="R1812" i="10"/>
  <c r="R1808" i="10"/>
  <c r="R1804" i="10"/>
  <c r="R1800" i="10"/>
  <c r="R1796" i="10"/>
  <c r="R1792" i="10"/>
  <c r="R1788" i="10"/>
  <c r="R1784" i="10"/>
  <c r="R1780" i="10"/>
  <c r="R1776" i="10"/>
  <c r="R1772" i="10"/>
  <c r="R1768" i="10"/>
  <c r="R1764" i="10"/>
  <c r="R1760" i="10"/>
  <c r="R1756" i="10"/>
  <c r="R1752" i="10"/>
  <c r="R1748" i="10"/>
  <c r="R1811" i="10"/>
  <c r="R1795" i="10"/>
  <c r="R1779" i="10"/>
  <c r="R1763" i="10"/>
  <c r="R1747" i="10"/>
  <c r="R1742" i="10"/>
  <c r="R1738" i="10"/>
  <c r="R1734" i="10"/>
  <c r="R1730" i="10"/>
  <c r="R1726" i="10"/>
  <c r="R1722" i="10"/>
  <c r="R1718" i="10"/>
  <c r="R1714" i="10"/>
  <c r="R1710" i="10"/>
  <c r="R1706" i="10"/>
  <c r="R1702" i="10"/>
  <c r="R1698" i="10"/>
  <c r="R1807" i="10"/>
  <c r="R1791" i="10"/>
  <c r="R1775" i="10"/>
  <c r="R1759" i="10"/>
  <c r="R1745" i="10"/>
  <c r="R1741" i="10"/>
  <c r="R1737" i="10"/>
  <c r="R1733" i="10"/>
  <c r="R1729" i="10"/>
  <c r="R1725" i="10"/>
  <c r="R1721" i="10"/>
  <c r="R1717" i="10"/>
  <c r="R1713" i="10"/>
  <c r="R1709" i="10"/>
  <c r="R1705" i="10"/>
  <c r="R1701" i="10"/>
  <c r="R1697" i="10"/>
  <c r="R1803" i="10"/>
  <c r="R1787" i="10"/>
  <c r="R1771" i="10"/>
  <c r="R1755" i="10"/>
  <c r="R1744" i="10"/>
  <c r="R1740" i="10"/>
  <c r="R1736" i="10"/>
  <c r="R1732" i="10"/>
  <c r="R1728" i="10"/>
  <c r="R1724" i="10"/>
  <c r="R1720" i="10"/>
  <c r="R1716" i="10"/>
  <c r="R1712" i="10"/>
  <c r="R1708" i="10"/>
  <c r="R1704" i="10"/>
  <c r="R1700" i="10"/>
  <c r="R1815" i="10"/>
  <c r="R1799" i="10"/>
  <c r="R1783" i="10"/>
  <c r="R1767" i="10"/>
  <c r="R1751" i="10"/>
  <c r="R1743" i="10"/>
  <c r="R1739" i="10"/>
  <c r="R1735" i="10"/>
  <c r="R1731" i="10"/>
  <c r="R1727" i="10"/>
  <c r="R1723" i="10"/>
  <c r="R1719" i="10"/>
  <c r="R1715" i="10"/>
  <c r="R1711" i="10"/>
  <c r="R1707" i="10"/>
  <c r="R1703" i="10"/>
  <c r="R1699" i="10"/>
  <c r="Q3305" i="9"/>
  <c r="Q3301" i="9"/>
  <c r="Q3297" i="9"/>
  <c r="Q3293" i="9"/>
  <c r="Q3289" i="9"/>
  <c r="Q3285" i="9"/>
  <c r="Q3281" i="9"/>
  <c r="Q3277" i="9"/>
  <c r="Q3273" i="9"/>
  <c r="Q3269" i="9"/>
  <c r="Q3265" i="9"/>
  <c r="Q3261" i="9"/>
  <c r="Q3257" i="9"/>
  <c r="Q3253" i="9"/>
  <c r="Q3249" i="9"/>
  <c r="Q3245" i="9"/>
  <c r="Q3241" i="9"/>
  <c r="Q3237" i="9"/>
  <c r="Q3233" i="9"/>
  <c r="Q3229" i="9"/>
  <c r="Q3225" i="9"/>
  <c r="Q3221" i="9"/>
  <c r="Q3217" i="9"/>
  <c r="Q3213" i="9"/>
  <c r="Q3209" i="9"/>
  <c r="Q3205" i="9"/>
  <c r="Q3201" i="9"/>
  <c r="Q3197" i="9"/>
  <c r="Q3193" i="9"/>
  <c r="Q3189" i="9"/>
  <c r="Q3185" i="9"/>
  <c r="Q3181" i="9"/>
  <c r="Q3177" i="9"/>
  <c r="Q3173" i="9"/>
  <c r="Q3169" i="9"/>
  <c r="Q3165" i="9"/>
  <c r="Q3161" i="9"/>
  <c r="Q3157" i="9"/>
  <c r="Q3153" i="9"/>
  <c r="Q3149" i="9"/>
  <c r="Q3145" i="9"/>
  <c r="Q3141" i="9"/>
  <c r="Q3137" i="9"/>
  <c r="Q3133" i="9"/>
  <c r="Q3129" i="9"/>
  <c r="Q3125" i="9"/>
  <c r="Q3121" i="9"/>
  <c r="Q3117" i="9"/>
  <c r="Q3113" i="9"/>
  <c r="Q3109" i="9"/>
  <c r="Q3105" i="9"/>
  <c r="Q3101" i="9"/>
  <c r="Q3097" i="9"/>
  <c r="Q3093" i="9"/>
  <c r="Q3089" i="9"/>
  <c r="Q3085" i="9"/>
  <c r="Q3081" i="9"/>
  <c r="Q3077" i="9"/>
  <c r="Q3073" i="9"/>
  <c r="Q3069" i="9"/>
  <c r="Q3065" i="9"/>
  <c r="Q3061" i="9"/>
  <c r="Q3057" i="9"/>
  <c r="Q3053" i="9"/>
  <c r="Q3049" i="9"/>
  <c r="Q3045" i="9"/>
  <c r="Q3041" i="9"/>
  <c r="Q3037" i="9"/>
  <c r="Q3033" i="9"/>
  <c r="Q3029" i="9"/>
  <c r="Q3025" i="9"/>
  <c r="Q3021" i="9"/>
  <c r="Q3017" i="9"/>
  <c r="Q3013" i="9"/>
  <c r="Q2801" i="9"/>
  <c r="Q2793" i="9"/>
  <c r="Q3308" i="9"/>
  <c r="Q3304" i="9"/>
  <c r="Q3300" i="9"/>
  <c r="Q3296" i="9"/>
  <c r="Q3292" i="9"/>
  <c r="Q3288" i="9"/>
  <c r="Q3284" i="9"/>
  <c r="Q3280" i="9"/>
  <c r="Q3276" i="9"/>
  <c r="Q3272" i="9"/>
  <c r="Q3268" i="9"/>
  <c r="Q3264" i="9"/>
  <c r="Q3260" i="9"/>
  <c r="Q3256" i="9"/>
  <c r="Q3252" i="9"/>
  <c r="Q3248" i="9"/>
  <c r="Q3244" i="9"/>
  <c r="Q3240" i="9"/>
  <c r="Q3236" i="9"/>
  <c r="Q3232" i="9"/>
  <c r="Q3228" i="9"/>
  <c r="Q3224" i="9"/>
  <c r="Q3220" i="9"/>
  <c r="Q3216" i="9"/>
  <c r="Q3212" i="9"/>
  <c r="Q3208" i="9"/>
  <c r="Q3204" i="9"/>
  <c r="Q3200" i="9"/>
  <c r="Q3196" i="9"/>
  <c r="Q3192" i="9"/>
  <c r="Q3188" i="9"/>
  <c r="Q3184" i="9"/>
  <c r="Q3180" i="9"/>
  <c r="Q3176" i="9"/>
  <c r="Q3172" i="9"/>
  <c r="Q3168" i="9"/>
  <c r="Q3164" i="9"/>
  <c r="Q3160" i="9"/>
  <c r="Q3156" i="9"/>
  <c r="Q3152" i="9"/>
  <c r="Q3148" i="9"/>
  <c r="Q3144" i="9"/>
  <c r="Q3140" i="9"/>
  <c r="Q3136" i="9"/>
  <c r="Q3132" i="9"/>
  <c r="Q3128" i="9"/>
  <c r="Q3124" i="9"/>
  <c r="Q3120" i="9"/>
  <c r="Q3116" i="9"/>
  <c r="Q3112" i="9"/>
  <c r="Q3108" i="9"/>
  <c r="Q3104" i="9"/>
  <c r="Q3100" i="9"/>
  <c r="Q3096" i="9"/>
  <c r="Q3092" i="9"/>
  <c r="Q3088" i="9"/>
  <c r="Q3084" i="9"/>
  <c r="Q3080" i="9"/>
  <c r="Q3076" i="9"/>
  <c r="Q3072" i="9"/>
  <c r="Q3068" i="9"/>
  <c r="Q3064" i="9"/>
  <c r="Q3060" i="9"/>
  <c r="Q3056" i="9"/>
  <c r="Q3052" i="9"/>
  <c r="Q3048" i="9"/>
  <c r="Q3044" i="9"/>
  <c r="Q3040" i="9"/>
  <c r="Q3036" i="9"/>
  <c r="Q3032" i="9"/>
  <c r="Q3028" i="9"/>
  <c r="Q3024" i="9"/>
  <c r="Q3020" i="9"/>
  <c r="Q3016" i="9"/>
  <c r="Q3012" i="9"/>
  <c r="Q3307" i="9"/>
  <c r="Q3303" i="9"/>
  <c r="Q3299" i="9"/>
  <c r="Q3295" i="9"/>
  <c r="Q3291" i="9"/>
  <c r="Q3287" i="9"/>
  <c r="Q3283" i="9"/>
  <c r="Q3279" i="9"/>
  <c r="Q3275" i="9"/>
  <c r="Q3271" i="9"/>
  <c r="Q3267" i="9"/>
  <c r="Q3263" i="9"/>
  <c r="Q3259" i="9"/>
  <c r="Q3255" i="9"/>
  <c r="Q3251" i="9"/>
  <c r="Q3247" i="9"/>
  <c r="Q3243" i="9"/>
  <c r="Q3239" i="9"/>
  <c r="Q3235" i="9"/>
  <c r="Q3231" i="9"/>
  <c r="Q3227" i="9"/>
  <c r="Q3223" i="9"/>
  <c r="Q3219" i="9"/>
  <c r="Q3215" i="9"/>
  <c r="Q3211" i="9"/>
  <c r="Q3207" i="9"/>
  <c r="Q3203" i="9"/>
  <c r="Q3199" i="9"/>
  <c r="Q3195" i="9"/>
  <c r="Q3191" i="9"/>
  <c r="Q3187" i="9"/>
  <c r="Q3183" i="9"/>
  <c r="Q3179" i="9"/>
  <c r="Q3175" i="9"/>
  <c r="Q3171" i="9"/>
  <c r="Q3167" i="9"/>
  <c r="Q3163" i="9"/>
  <c r="Q3159" i="9"/>
  <c r="Q3155" i="9"/>
  <c r="Q3151" i="9"/>
  <c r="Q3147" i="9"/>
  <c r="Q3143" i="9"/>
  <c r="Q3139" i="9"/>
  <c r="Q3135" i="9"/>
  <c r="Q3131" i="9"/>
  <c r="Q3127" i="9"/>
  <c r="Q3123" i="9"/>
  <c r="Q3119" i="9"/>
  <c r="Q3115" i="9"/>
  <c r="Q3111" i="9"/>
  <c r="Q3107" i="9"/>
  <c r="Q3103" i="9"/>
  <c r="Q3099" i="9"/>
  <c r="Q3095" i="9"/>
  <c r="Q3091" i="9"/>
  <c r="Q3087" i="9"/>
  <c r="Q3083" i="9"/>
  <c r="Q3079" i="9"/>
  <c r="Q3075" i="9"/>
  <c r="Q3071" i="9"/>
  <c r="Q3067" i="9"/>
  <c r="Q3063" i="9"/>
  <c r="Q3059" i="9"/>
  <c r="Q3055" i="9"/>
  <c r="Q3051" i="9"/>
  <c r="Q3047" i="9"/>
  <c r="Q3043" i="9"/>
  <c r="Q3039" i="9"/>
  <c r="Q3035" i="9"/>
  <c r="Q3031" i="9"/>
  <c r="Q3027" i="9"/>
  <c r="Q3023" i="9"/>
  <c r="Q3019" i="9"/>
  <c r="Q3015" i="9"/>
  <c r="Q3306" i="9"/>
  <c r="Q3302" i="9"/>
  <c r="Q3298" i="9"/>
  <c r="Q3294" i="9"/>
  <c r="Q3290" i="9"/>
  <c r="Q3286" i="9"/>
  <c r="Q3282" i="9"/>
  <c r="Q3278" i="9"/>
  <c r="Q3274" i="9"/>
  <c r="Q3270" i="9"/>
  <c r="Q3266" i="9"/>
  <c r="Q3262" i="9"/>
  <c r="Q3258" i="9"/>
  <c r="Q3254" i="9"/>
  <c r="Q3250" i="9"/>
  <c r="Q3246" i="9"/>
  <c r="Q3242" i="9"/>
  <c r="Q3238" i="9"/>
  <c r="Q3234" i="9"/>
  <c r="Q3230" i="9"/>
  <c r="Q3226" i="9"/>
  <c r="Q3222" i="9"/>
  <c r="Q3218" i="9"/>
  <c r="Q3214" i="9"/>
  <c r="Q3210" i="9"/>
  <c r="Q3206" i="9"/>
  <c r="Q3202" i="9"/>
  <c r="Q3198" i="9"/>
  <c r="Q3194" i="9"/>
  <c r="Q3190" i="9"/>
  <c r="Q3186" i="9"/>
  <c r="Q3182" i="9"/>
  <c r="Q3178" i="9"/>
  <c r="Q3174" i="9"/>
  <c r="Q3170" i="9"/>
  <c r="Q3166" i="9"/>
  <c r="Q3162" i="9"/>
  <c r="Q3158" i="9"/>
  <c r="Q3154" i="9"/>
  <c r="Q3150" i="9"/>
  <c r="Q3146" i="9"/>
  <c r="Q3142" i="9"/>
  <c r="Q3138" i="9"/>
  <c r="Q3134" i="9"/>
  <c r="Q3130" i="9"/>
  <c r="Q3126" i="9"/>
  <c r="Q3122" i="9"/>
  <c r="Q3118" i="9"/>
  <c r="Q3114" i="9"/>
  <c r="Q3110" i="9"/>
  <c r="Q3106" i="9"/>
  <c r="Q3102" i="9"/>
  <c r="Q3098" i="9"/>
  <c r="Q3094" i="9"/>
  <c r="Q3090" i="9"/>
  <c r="Q3086" i="9"/>
  <c r="Q3082" i="9"/>
  <c r="Q3078" i="9"/>
  <c r="Q3074" i="9"/>
  <c r="Q3070" i="9"/>
  <c r="Q3066" i="9"/>
  <c r="Q3062" i="9"/>
  <c r="Q3058" i="9"/>
  <c r="Q3054" i="9"/>
  <c r="Q3050" i="9"/>
  <c r="Q3046" i="9"/>
  <c r="Q3042" i="9"/>
  <c r="Q3038" i="9"/>
  <c r="Q3034" i="9"/>
  <c r="Q3030" i="9"/>
  <c r="Q3026" i="9"/>
  <c r="Q3022" i="9"/>
  <c r="Q3018" i="9"/>
  <c r="Q3014" i="9"/>
  <c r="Q1148" i="9"/>
  <c r="Q1144" i="9"/>
  <c r="Q1140" i="9"/>
  <c r="Q1136" i="9"/>
  <c r="Q1132" i="9"/>
  <c r="Q1128" i="9"/>
  <c r="Q1124" i="9"/>
  <c r="Q1120" i="9"/>
  <c r="Q1116" i="9"/>
  <c r="Q1112" i="9"/>
  <c r="Q1108" i="9"/>
  <c r="Q1104" i="9"/>
  <c r="Q1100" i="9"/>
  <c r="Q1096" i="9"/>
  <c r="Q1092" i="9"/>
  <c r="Q1088" i="9"/>
  <c r="Q1147" i="9"/>
  <c r="Q1143" i="9"/>
  <c r="Q1139" i="9"/>
  <c r="Q1135" i="9"/>
  <c r="Q1131" i="9"/>
  <c r="Q1127" i="9"/>
  <c r="Q1123" i="9"/>
  <c r="Q1119" i="9"/>
  <c r="Q1115" i="9"/>
  <c r="Q1111" i="9"/>
  <c r="Q1107" i="9"/>
  <c r="Q1103" i="9"/>
  <c r="Q1099" i="9"/>
  <c r="Q1095" i="9"/>
  <c r="Q1091" i="9"/>
  <c r="Q1087" i="9"/>
  <c r="Q1083" i="9"/>
  <c r="Q1146" i="9"/>
  <c r="Q1142" i="9"/>
  <c r="Q1138" i="9"/>
  <c r="Q1134" i="9"/>
  <c r="Q1130" i="9"/>
  <c r="Q1126" i="9"/>
  <c r="Q1122" i="9"/>
  <c r="Q1118" i="9"/>
  <c r="Q1114" i="9"/>
  <c r="Q1110" i="9"/>
  <c r="Q1106" i="9"/>
  <c r="Q1102" i="9"/>
  <c r="Q1098" i="9"/>
  <c r="Q1094" i="9"/>
  <c r="Q1090" i="9"/>
  <c r="Q1086" i="9"/>
  <c r="Q1145" i="9"/>
  <c r="Q1129" i="9"/>
  <c r="Q1113" i="9"/>
  <c r="Q1097" i="9"/>
  <c r="Q1084" i="9"/>
  <c r="Q1079" i="9"/>
  <c r="Q1075" i="9"/>
  <c r="Q1071" i="9"/>
  <c r="Q1067" i="9"/>
  <c r="Q1063" i="9"/>
  <c r="Q1059" i="9"/>
  <c r="Q1055" i="9"/>
  <c r="Q1051" i="9"/>
  <c r="Q1047" i="9"/>
  <c r="Q1043" i="9"/>
  <c r="Q1039" i="9"/>
  <c r="Q1035" i="9"/>
  <c r="Q1031" i="9"/>
  <c r="Q1027" i="9"/>
  <c r="Q1023" i="9"/>
  <c r="Q1019" i="9"/>
  <c r="Q1015" i="9"/>
  <c r="Q1011" i="9"/>
  <c r="Q1007" i="9"/>
  <c r="Q1003" i="9"/>
  <c r="Q999" i="9"/>
  <c r="Q995" i="9"/>
  <c r="Q991" i="9"/>
  <c r="Q987" i="9"/>
  <c r="Q983" i="9"/>
  <c r="Q979" i="9"/>
  <c r="Q975" i="9"/>
  <c r="Q971" i="9"/>
  <c r="Q967" i="9"/>
  <c r="Q963" i="9"/>
  <c r="Q959" i="9"/>
  <c r="Q955" i="9"/>
  <c r="Q951" i="9"/>
  <c r="Q947" i="9"/>
  <c r="Q943" i="9"/>
  <c r="Q939" i="9"/>
  <c r="Q935" i="9"/>
  <c r="Q931" i="9"/>
  <c r="Q927" i="9"/>
  <c r="Q923" i="9"/>
  <c r="Q919" i="9"/>
  <c r="Q915" i="9"/>
  <c r="Q911" i="9"/>
  <c r="Q907" i="9"/>
  <c r="Q903" i="9"/>
  <c r="Q899" i="9"/>
  <c r="Q895" i="9"/>
  <c r="Q891" i="9"/>
  <c r="Q887" i="9"/>
  <c r="Q883" i="9"/>
  <c r="Q879" i="9"/>
  <c r="Q875" i="9"/>
  <c r="Q871" i="9"/>
  <c r="Q867" i="9"/>
  <c r="Q863" i="9"/>
  <c r="Q859" i="9"/>
  <c r="Q855" i="9"/>
  <c r="Q851" i="9"/>
  <c r="Q847" i="9"/>
  <c r="Q843" i="9"/>
  <c r="Q839" i="9"/>
  <c r="Q835" i="9"/>
  <c r="Q831" i="9"/>
  <c r="Q827" i="9"/>
  <c r="Q823" i="9"/>
  <c r="Q819" i="9"/>
  <c r="Q815" i="9"/>
  <c r="Q811" i="9"/>
  <c r="Q807" i="9"/>
  <c r="Q803" i="9"/>
  <c r="Q799" i="9"/>
  <c r="Q795" i="9"/>
  <c r="Q791" i="9"/>
  <c r="Q787" i="9"/>
  <c r="Q783" i="9"/>
  <c r="Q439" i="9"/>
  <c r="Q1141" i="9"/>
  <c r="Q1125" i="9"/>
  <c r="Q1109" i="9"/>
  <c r="Q1093" i="9"/>
  <c r="Q1082" i="9"/>
  <c r="Q1078" i="9"/>
  <c r="Q1074" i="9"/>
  <c r="Q1070" i="9"/>
  <c r="Q1066" i="9"/>
  <c r="Q1062" i="9"/>
  <c r="Q1058" i="9"/>
  <c r="Q1054" i="9"/>
  <c r="Q1050" i="9"/>
  <c r="Q1046" i="9"/>
  <c r="Q1042" i="9"/>
  <c r="Q1038" i="9"/>
  <c r="Q1034" i="9"/>
  <c r="Q1030" i="9"/>
  <c r="Q1026" i="9"/>
  <c r="Q1022" i="9"/>
  <c r="Q1018" i="9"/>
  <c r="Q1014" i="9"/>
  <c r="Q1010" i="9"/>
  <c r="Q1006" i="9"/>
  <c r="Q1002" i="9"/>
  <c r="Q998" i="9"/>
  <c r="Q994" i="9"/>
  <c r="Q990" i="9"/>
  <c r="Q986" i="9"/>
  <c r="Q982" i="9"/>
  <c r="Q978" i="9"/>
  <c r="Q974" i="9"/>
  <c r="Q970" i="9"/>
  <c r="Q966" i="9"/>
  <c r="Q962" i="9"/>
  <c r="Q958" i="9"/>
  <c r="Q954" i="9"/>
  <c r="Q950" i="9"/>
  <c r="Q946" i="9"/>
  <c r="Q942" i="9"/>
  <c r="Q938" i="9"/>
  <c r="Q934" i="9"/>
  <c r="Q930" i="9"/>
  <c r="Q926" i="9"/>
  <c r="Q922" i="9"/>
  <c r="Q918" i="9"/>
  <c r="Q914" i="9"/>
  <c r="Q910" i="9"/>
  <c r="Q906" i="9"/>
  <c r="Q902" i="9"/>
  <c r="Q898" i="9"/>
  <c r="Q894" i="9"/>
  <c r="Q890" i="9"/>
  <c r="Q886" i="9"/>
  <c r="Q882" i="9"/>
  <c r="Q874" i="9"/>
  <c r="Q870" i="9"/>
  <c r="Q866" i="9"/>
  <c r="Q862" i="9"/>
  <c r="Q858" i="9"/>
  <c r="Q854" i="9"/>
  <c r="Q850" i="9"/>
  <c r="Q846" i="9"/>
  <c r="Q842" i="9"/>
  <c r="Q838" i="9"/>
  <c r="Q834" i="9"/>
  <c r="Q830" i="9"/>
  <c r="Q826" i="9"/>
  <c r="Q822" i="9"/>
  <c r="Q818" i="9"/>
  <c r="Q814" i="9"/>
  <c r="Q810" i="9"/>
  <c r="Q806" i="9"/>
  <c r="Q802" i="9"/>
  <c r="Q798" i="9"/>
  <c r="Q794" i="9"/>
  <c r="Q790" i="9"/>
  <c r="Q786" i="9"/>
  <c r="Q782" i="9"/>
  <c r="Q438" i="9"/>
  <c r="Q1137" i="9"/>
  <c r="Q1121" i="9"/>
  <c r="Q1105" i="9"/>
  <c r="Q1089" i="9"/>
  <c r="Q1081" i="9"/>
  <c r="Q1077" i="9"/>
  <c r="Q1073" i="9"/>
  <c r="Q1069" i="9"/>
  <c r="Q1065" i="9"/>
  <c r="Q1061" i="9"/>
  <c r="Q1057" i="9"/>
  <c r="Q1053" i="9"/>
  <c r="Q1049" i="9"/>
  <c r="Q1045" i="9"/>
  <c r="Q1041" i="9"/>
  <c r="Q1037" i="9"/>
  <c r="Q1033" i="9"/>
  <c r="Q1029" i="9"/>
  <c r="Q1025" i="9"/>
  <c r="Q1021" i="9"/>
  <c r="Q1017" i="9"/>
  <c r="Q1013" i="9"/>
  <c r="Q1009" i="9"/>
  <c r="Q1005" i="9"/>
  <c r="Q1001" i="9"/>
  <c r="Q997" i="9"/>
  <c r="Q993" i="9"/>
  <c r="Q989" i="9"/>
  <c r="Q985" i="9"/>
  <c r="Q981" i="9"/>
  <c r="Q977" i="9"/>
  <c r="Q973" i="9"/>
  <c r="Q969" i="9"/>
  <c r="Q965" i="9"/>
  <c r="Q961" i="9"/>
  <c r="Q957" i="9"/>
  <c r="Q953" i="9"/>
  <c r="Q949" i="9"/>
  <c r="Q945" i="9"/>
  <c r="Q941" i="9"/>
  <c r="Q937" i="9"/>
  <c r="Q933" i="9"/>
  <c r="Q929" i="9"/>
  <c r="Q925" i="9"/>
  <c r="Q921" i="9"/>
  <c r="Q917" i="9"/>
  <c r="Q913" i="9"/>
  <c r="Q909" i="9"/>
  <c r="Q905" i="9"/>
  <c r="Q901" i="9"/>
  <c r="Q897" i="9"/>
  <c r="Q893" i="9"/>
  <c r="Q889" i="9"/>
  <c r="Q885" i="9"/>
  <c r="Q881" i="9"/>
  <c r="Q877" i="9"/>
  <c r="Q873" i="9"/>
  <c r="Q869" i="9"/>
  <c r="Q865" i="9"/>
  <c r="Q861" i="9"/>
  <c r="Q857" i="9"/>
  <c r="Q853" i="9"/>
  <c r="Q849" i="9"/>
  <c r="Q845" i="9"/>
  <c r="Q841" i="9"/>
  <c r="Q837" i="9"/>
  <c r="Q833" i="9"/>
  <c r="Q829" i="9"/>
  <c r="Q825" i="9"/>
  <c r="Q821" i="9"/>
  <c r="Q817" i="9"/>
  <c r="Q813" i="9"/>
  <c r="Q809" i="9"/>
  <c r="Q805" i="9"/>
  <c r="Q801" i="9"/>
  <c r="Q797" i="9"/>
  <c r="Q793" i="9"/>
  <c r="Q789" i="9"/>
  <c r="Q785" i="9"/>
  <c r="Q781" i="9"/>
  <c r="Q437" i="9"/>
  <c r="Q1133" i="9"/>
  <c r="Q1117" i="9"/>
  <c r="Q1101" i="9"/>
  <c r="Q1085" i="9"/>
  <c r="Q1080" i="9"/>
  <c r="Q1076" i="9"/>
  <c r="Q1072" i="9"/>
  <c r="Q1068" i="9"/>
  <c r="Q1064" i="9"/>
  <c r="Q1060" i="9"/>
  <c r="Q1056" i="9"/>
  <c r="Q1052" i="9"/>
  <c r="Q1048" i="9"/>
  <c r="Q1044" i="9"/>
  <c r="Q1040" i="9"/>
  <c r="Q1036" i="9"/>
  <c r="Q1032" i="9"/>
  <c r="Q1028" i="9"/>
  <c r="Q1024" i="9"/>
  <c r="Q1020" i="9"/>
  <c r="Q1016" i="9"/>
  <c r="Q1012" i="9"/>
  <c r="Q1008" i="9"/>
  <c r="Q1004" i="9"/>
  <c r="Q1000" i="9"/>
  <c r="Q996" i="9"/>
  <c r="Q992" i="9"/>
  <c r="Q988" i="9"/>
  <c r="Q984" i="9"/>
  <c r="Q980" i="9"/>
  <c r="Q976" i="9"/>
  <c r="Q972" i="9"/>
  <c r="Q968" i="9"/>
  <c r="Q964" i="9"/>
  <c r="Q960" i="9"/>
  <c r="Q956" i="9"/>
  <c r="Q952" i="9"/>
  <c r="Q948" i="9"/>
  <c r="Q944" i="9"/>
  <c r="Q940" i="9"/>
  <c r="Q936" i="9"/>
  <c r="Q932" i="9"/>
  <c r="Q928" i="9"/>
  <c r="Q924" i="9"/>
  <c r="Q920" i="9"/>
  <c r="Q916" i="9"/>
  <c r="Q912" i="9"/>
  <c r="Q908" i="9"/>
  <c r="Q904" i="9"/>
  <c r="Q900" i="9"/>
  <c r="Q896" i="9"/>
  <c r="Q888" i="9"/>
  <c r="Q884" i="9"/>
  <c r="Q880" i="9"/>
  <c r="Q876" i="9"/>
  <c r="Q872" i="9"/>
  <c r="Q868" i="9"/>
  <c r="Q864" i="9"/>
  <c r="Q860" i="9"/>
  <c r="Q856" i="9"/>
  <c r="Q852" i="9"/>
  <c r="Q848" i="9"/>
  <c r="Q844" i="9"/>
  <c r="Q840" i="9"/>
  <c r="Q836" i="9"/>
  <c r="Q832" i="9"/>
  <c r="Q828" i="9"/>
  <c r="Q824" i="9"/>
  <c r="Q820" i="9"/>
  <c r="Q816" i="9"/>
  <c r="Q812" i="9"/>
  <c r="Q808" i="9"/>
  <c r="Q804" i="9"/>
  <c r="Q800" i="9"/>
  <c r="Q796" i="9"/>
  <c r="Q792" i="9"/>
  <c r="Q788" i="9"/>
  <c r="Q784" i="9"/>
  <c r="Q440" i="9"/>
  <c r="R1926" i="10"/>
  <c r="R1922" i="10"/>
  <c r="R1918" i="10"/>
  <c r="R1914" i="10"/>
  <c r="R1910" i="10"/>
  <c r="R1906" i="10"/>
  <c r="R1902" i="10"/>
  <c r="R1898" i="10"/>
  <c r="R1894" i="10"/>
  <c r="R1890" i="10"/>
  <c r="R1886" i="10"/>
  <c r="R1882" i="10"/>
  <c r="R1878" i="10"/>
  <c r="R1874" i="10"/>
  <c r="R1870" i="10"/>
  <c r="R1866" i="10"/>
  <c r="R1862" i="10"/>
  <c r="R1858" i="10"/>
  <c r="R1854" i="10"/>
  <c r="R1850" i="10"/>
  <c r="R1846" i="10"/>
  <c r="R1842" i="10"/>
  <c r="R1838" i="10"/>
  <c r="R1834" i="10"/>
  <c r="R1830" i="10"/>
  <c r="R1826" i="10"/>
  <c r="R1822" i="10"/>
  <c r="R1818" i="10"/>
  <c r="R1929" i="10"/>
  <c r="R1925" i="10"/>
  <c r="R1921" i="10"/>
  <c r="R1917" i="10"/>
  <c r="R1913" i="10"/>
  <c r="R1909" i="10"/>
  <c r="R1905" i="10"/>
  <c r="R1901" i="10"/>
  <c r="R1897" i="10"/>
  <c r="R1893" i="10"/>
  <c r="R1889" i="10"/>
  <c r="R1885" i="10"/>
  <c r="R1881" i="10"/>
  <c r="R1877" i="10"/>
  <c r="R1873" i="10"/>
  <c r="R1869" i="10"/>
  <c r="R1865" i="10"/>
  <c r="R1861" i="10"/>
  <c r="R1857" i="10"/>
  <c r="R1853" i="10"/>
  <c r="R1849" i="10"/>
  <c r="R1845" i="10"/>
  <c r="R1841" i="10"/>
  <c r="R1837" i="10"/>
  <c r="R1833" i="10"/>
  <c r="R1829" i="10"/>
  <c r="R1825" i="10"/>
  <c r="R1821" i="10"/>
  <c r="R1817" i="10"/>
  <c r="R1928" i="10"/>
  <c r="R1924" i="10"/>
  <c r="R1920" i="10"/>
  <c r="R1916" i="10"/>
  <c r="R1912" i="10"/>
  <c r="R1908" i="10"/>
  <c r="R1904" i="10"/>
  <c r="R1900" i="10"/>
  <c r="R1896" i="10"/>
  <c r="R1892" i="10"/>
  <c r="R1888" i="10"/>
  <c r="R1884" i="10"/>
  <c r="R1880" i="10"/>
  <c r="R1876" i="10"/>
  <c r="R1872" i="10"/>
  <c r="R1868" i="10"/>
  <c r="R1864" i="10"/>
  <c r="R1860" i="10"/>
  <c r="R1856" i="10"/>
  <c r="R1852" i="10"/>
  <c r="R1848" i="10"/>
  <c r="R1844" i="10"/>
  <c r="R1840" i="10"/>
  <c r="R1836" i="10"/>
  <c r="R1832" i="10"/>
  <c r="R1828" i="10"/>
  <c r="R1824" i="10"/>
  <c r="R1820" i="10"/>
  <c r="R1816" i="10"/>
  <c r="R1923" i="10"/>
  <c r="R1907" i="10"/>
  <c r="R1891" i="10"/>
  <c r="R1875" i="10"/>
  <c r="R1859" i="10"/>
  <c r="R1843" i="10"/>
  <c r="R1827" i="10"/>
  <c r="R1919" i="10"/>
  <c r="R1903" i="10"/>
  <c r="R1887" i="10"/>
  <c r="R1871" i="10"/>
  <c r="R1855" i="10"/>
  <c r="R1839" i="10"/>
  <c r="R1823" i="10"/>
  <c r="R1915" i="10"/>
  <c r="R1899" i="10"/>
  <c r="R1883" i="10"/>
  <c r="R1867" i="10"/>
  <c r="R1851" i="10"/>
  <c r="R1835" i="10"/>
  <c r="R1819" i="10"/>
  <c r="R1927" i="10"/>
  <c r="R1911" i="10"/>
  <c r="R1895" i="10"/>
  <c r="R1879" i="10"/>
  <c r="R1863" i="10"/>
  <c r="R1847" i="10"/>
  <c r="R1831" i="10"/>
  <c r="Q2765" i="9"/>
  <c r="Q2761" i="9"/>
  <c r="Q2757" i="9"/>
  <c r="Q2753" i="9"/>
  <c r="Q2749" i="9"/>
  <c r="Q2745" i="9"/>
  <c r="Q2741" i="9"/>
  <c r="Q2737" i="9"/>
  <c r="Q2733" i="9"/>
  <c r="Q2729" i="9"/>
  <c r="Q2725" i="9"/>
  <c r="Q2721" i="9"/>
  <c r="Q2717" i="9"/>
  <c r="Q2713" i="9"/>
  <c r="Q2709" i="9"/>
  <c r="Q2705" i="9"/>
  <c r="Q2701" i="9"/>
  <c r="Q2697" i="9"/>
  <c r="Q2693" i="9"/>
  <c r="Q2689" i="9"/>
  <c r="Q2685" i="9"/>
  <c r="Q2681" i="9"/>
  <c r="Q2677" i="9"/>
  <c r="Q2673" i="9"/>
  <c r="Q2669" i="9"/>
  <c r="Q2665" i="9"/>
  <c r="Q2661" i="9"/>
  <c r="Q2657" i="9"/>
  <c r="Q2653" i="9"/>
  <c r="Q2649" i="9"/>
  <c r="Q2645" i="9"/>
  <c r="Q2641" i="9"/>
  <c r="Q2637" i="9"/>
  <c r="Q2633" i="9"/>
  <c r="Q2629" i="9"/>
  <c r="Q2625" i="9"/>
  <c r="Q2621" i="9"/>
  <c r="Q2617" i="9"/>
  <c r="Q2613" i="9"/>
  <c r="Q2609" i="9"/>
  <c r="Q2605" i="9"/>
  <c r="Q2601" i="9"/>
  <c r="Q2597" i="9"/>
  <c r="Q2593" i="9"/>
  <c r="Q2589" i="9"/>
  <c r="Q2585" i="9"/>
  <c r="Q2581" i="9"/>
  <c r="Q2577" i="9"/>
  <c r="Q2573" i="9"/>
  <c r="Q2569" i="9"/>
  <c r="Q2565" i="9"/>
  <c r="Q2561" i="9"/>
  <c r="Q2557" i="9"/>
  <c r="Q2553" i="9"/>
  <c r="Q2549" i="9"/>
  <c r="Q2545" i="9"/>
  <c r="Q2541" i="9"/>
  <c r="Q2537" i="9"/>
  <c r="Q2533" i="9"/>
  <c r="Q2529" i="9"/>
  <c r="Q2525" i="9"/>
  <c r="Q2521" i="9"/>
  <c r="Q2517" i="9"/>
  <c r="Q2768" i="9"/>
  <c r="Q2764" i="9"/>
  <c r="Q2760" i="9"/>
  <c r="Q2756" i="9"/>
  <c r="Q2752" i="9"/>
  <c r="Q2748" i="9"/>
  <c r="Q2744" i="9"/>
  <c r="Q2740" i="9"/>
  <c r="Q2736" i="9"/>
  <c r="Q2732" i="9"/>
  <c r="Q2728" i="9"/>
  <c r="Q2724" i="9"/>
  <c r="Q2720" i="9"/>
  <c r="Q2716" i="9"/>
  <c r="Q2712" i="9"/>
  <c r="Q2708" i="9"/>
  <c r="Q2704" i="9"/>
  <c r="Q2700" i="9"/>
  <c r="Q2696" i="9"/>
  <c r="Q2692" i="9"/>
  <c r="Q2688" i="9"/>
  <c r="Q2684" i="9"/>
  <c r="Q2680" i="9"/>
  <c r="Q2676" i="9"/>
  <c r="Q2672" i="9"/>
  <c r="Q2668" i="9"/>
  <c r="Q2664" i="9"/>
  <c r="Q2660" i="9"/>
  <c r="Q2656" i="9"/>
  <c r="Q2652" i="9"/>
  <c r="Q2648" i="9"/>
  <c r="Q2644" i="9"/>
  <c r="Q2640" i="9"/>
  <c r="Q2636" i="9"/>
  <c r="Q2632" i="9"/>
  <c r="Q2628" i="9"/>
  <c r="Q2624" i="9"/>
  <c r="Q2620" i="9"/>
  <c r="Q2616" i="9"/>
  <c r="Q2612" i="9"/>
  <c r="Q2608" i="9"/>
  <c r="Q2604" i="9"/>
  <c r="Q2600" i="9"/>
  <c r="Q2596" i="9"/>
  <c r="Q2592" i="9"/>
  <c r="Q2588" i="9"/>
  <c r="Q2584" i="9"/>
  <c r="Q2580" i="9"/>
  <c r="Q2576" i="9"/>
  <c r="Q2572" i="9"/>
  <c r="Q2568" i="9"/>
  <c r="Q2564" i="9"/>
  <c r="Q2560" i="9"/>
  <c r="Q2556" i="9"/>
  <c r="Q2552" i="9"/>
  <c r="Q2548" i="9"/>
  <c r="Q2544" i="9"/>
  <c r="Q2540" i="9"/>
  <c r="Q2536" i="9"/>
  <c r="Q2532" i="9"/>
  <c r="Q2528" i="9"/>
  <c r="Q2524" i="9"/>
  <c r="Q2520" i="9"/>
  <c r="Q2516" i="9"/>
  <c r="Q2767" i="9"/>
  <c r="Q2763" i="9"/>
  <c r="Q2759" i="9"/>
  <c r="Q2755" i="9"/>
  <c r="Q2751" i="9"/>
  <c r="Q2747" i="9"/>
  <c r="Q2743" i="9"/>
  <c r="Q2739" i="9"/>
  <c r="Q2735" i="9"/>
  <c r="Q2731" i="9"/>
  <c r="Q2727" i="9"/>
  <c r="Q2723" i="9"/>
  <c r="Q2719" i="9"/>
  <c r="Q2715" i="9"/>
  <c r="Q2711" i="9"/>
  <c r="Q2707" i="9"/>
  <c r="Q2703" i="9"/>
  <c r="Q2699" i="9"/>
  <c r="Q2695" i="9"/>
  <c r="Q2691" i="9"/>
  <c r="Q2687" i="9"/>
  <c r="Q2683" i="9"/>
  <c r="Q2679" i="9"/>
  <c r="Q2675" i="9"/>
  <c r="Q2671" i="9"/>
  <c r="Q2667" i="9"/>
  <c r="Q2663" i="9"/>
  <c r="Q2659" i="9"/>
  <c r="Q2655" i="9"/>
  <c r="Q2651" i="9"/>
  <c r="Q2647" i="9"/>
  <c r="Q2643" i="9"/>
  <c r="Q2639" i="9"/>
  <c r="Q2635" i="9"/>
  <c r="Q2631" i="9"/>
  <c r="Q2627" i="9"/>
  <c r="Q2623" i="9"/>
  <c r="Q2619" i="9"/>
  <c r="Q2615" i="9"/>
  <c r="Q2611" i="9"/>
  <c r="Q2607" i="9"/>
  <c r="Q2603" i="9"/>
  <c r="Q2599" i="9"/>
  <c r="Q2591" i="9"/>
  <c r="Q2587" i="9"/>
  <c r="Q2583" i="9"/>
  <c r="Q2579" i="9"/>
  <c r="Q2575" i="9"/>
  <c r="Q2571" i="9"/>
  <c r="Q2567" i="9"/>
  <c r="Q2563" i="9"/>
  <c r="Q2559" i="9"/>
  <c r="Q2555" i="9"/>
  <c r="Q2551" i="9"/>
  <c r="Q2547" i="9"/>
  <c r="Q2543" i="9"/>
  <c r="Q2539" i="9"/>
  <c r="Q2535" i="9"/>
  <c r="Q2531" i="9"/>
  <c r="Q2527" i="9"/>
  <c r="Q2523" i="9"/>
  <c r="Q2519" i="9"/>
  <c r="Q2515" i="9"/>
  <c r="Q2451" i="9"/>
  <c r="Q2766" i="9"/>
  <c r="Q2762" i="9"/>
  <c r="Q2758" i="9"/>
  <c r="Q2754" i="9"/>
  <c r="Q2750" i="9"/>
  <c r="Q2746" i="9"/>
  <c r="Q2742" i="9"/>
  <c r="Q2738" i="9"/>
  <c r="Q2734" i="9"/>
  <c r="Q2730" i="9"/>
  <c r="Q2726" i="9"/>
  <c r="Q2722" i="9"/>
  <c r="Q2718" i="9"/>
  <c r="Q2714" i="9"/>
  <c r="Q2710" i="9"/>
  <c r="Q2706" i="9"/>
  <c r="Q2702" i="9"/>
  <c r="Q2698" i="9"/>
  <c r="Q2694" i="9"/>
  <c r="Q2690" i="9"/>
  <c r="Q2686" i="9"/>
  <c r="Q2682" i="9"/>
  <c r="Q2678" i="9"/>
  <c r="Q2674" i="9"/>
  <c r="Q2670" i="9"/>
  <c r="Q2666" i="9"/>
  <c r="Q2662" i="9"/>
  <c r="Q2658" i="9"/>
  <c r="Q2654" i="9"/>
  <c r="Q2650" i="9"/>
  <c r="Q2646" i="9"/>
  <c r="Q2642" i="9"/>
  <c r="Q2638" i="9"/>
  <c r="Q2634" i="9"/>
  <c r="Q2630" i="9"/>
  <c r="Q2626" i="9"/>
  <c r="Q2622" i="9"/>
  <c r="Q2618" i="9"/>
  <c r="Q2614" i="9"/>
  <c r="Q2610" i="9"/>
  <c r="Q2606" i="9"/>
  <c r="Q2602" i="9"/>
  <c r="Q2598" i="9"/>
  <c r="Q2594" i="9"/>
  <c r="Q2590" i="9"/>
  <c r="Q2586" i="9"/>
  <c r="Q2582" i="9"/>
  <c r="Q2578" i="9"/>
  <c r="Q2574" i="9"/>
  <c r="Q2570" i="9"/>
  <c r="Q2562" i="9"/>
  <c r="Q2558" i="9"/>
  <c r="Q2554" i="9"/>
  <c r="Q2550" i="9"/>
  <c r="Q2546" i="9"/>
  <c r="Q2542" i="9"/>
  <c r="Q2538" i="9"/>
  <c r="Q2534" i="9"/>
  <c r="Q2530" i="9"/>
  <c r="Q2526" i="9"/>
  <c r="Q2522" i="9"/>
  <c r="Q2518" i="9"/>
  <c r="Q2514" i="9"/>
  <c r="R3762" i="1"/>
  <c r="U3762" i="1" s="1"/>
  <c r="R2106" i="10"/>
  <c r="R2102" i="10"/>
  <c r="R2098" i="10"/>
  <c r="R2094" i="10"/>
  <c r="R2090" i="10"/>
  <c r="R2086" i="10"/>
  <c r="R2082" i="10"/>
  <c r="R2078" i="10"/>
  <c r="R2074" i="10"/>
  <c r="R2070" i="10"/>
  <c r="R2066" i="10"/>
  <c r="R2062" i="10"/>
  <c r="R2058" i="10"/>
  <c r="R2054" i="10"/>
  <c r="R2050" i="10"/>
  <c r="R2046" i="10"/>
  <c r="R2042" i="10"/>
  <c r="R2105" i="10"/>
  <c r="R2101" i="10"/>
  <c r="R2097" i="10"/>
  <c r="R2093" i="10"/>
  <c r="R2089" i="10"/>
  <c r="R2085" i="10"/>
  <c r="R2081" i="10"/>
  <c r="R2077" i="10"/>
  <c r="R2073" i="10"/>
  <c r="R2069" i="10"/>
  <c r="R2065" i="10"/>
  <c r="R2061" i="10"/>
  <c r="R2057" i="10"/>
  <c r="R2053" i="10"/>
  <c r="R2049" i="10"/>
  <c r="R2045" i="10"/>
  <c r="R2104" i="10"/>
  <c r="R2100" i="10"/>
  <c r="R2096" i="10"/>
  <c r="R2092" i="10"/>
  <c r="R2088" i="10"/>
  <c r="R2084" i="10"/>
  <c r="R2080" i="10"/>
  <c r="R2076" i="10"/>
  <c r="R2072" i="10"/>
  <c r="R2068" i="10"/>
  <c r="R2064" i="10"/>
  <c r="R2060" i="10"/>
  <c r="R2056" i="10"/>
  <c r="R2052" i="10"/>
  <c r="R2048" i="10"/>
  <c r="R2044" i="10"/>
  <c r="R2099" i="10"/>
  <c r="R2083" i="10"/>
  <c r="R2067" i="10"/>
  <c r="R2051" i="10"/>
  <c r="R2095" i="10"/>
  <c r="R2079" i="10"/>
  <c r="R2063" i="10"/>
  <c r="R2047" i="10"/>
  <c r="R2107" i="10"/>
  <c r="R2091" i="10"/>
  <c r="R2075" i="10"/>
  <c r="R2059" i="10"/>
  <c r="R2043" i="10"/>
  <c r="R2103" i="10"/>
  <c r="R2087" i="10"/>
  <c r="R2071" i="10"/>
  <c r="R2055" i="10"/>
  <c r="R966" i="10"/>
  <c r="R962" i="10"/>
  <c r="R958" i="10"/>
  <c r="R954" i="10"/>
  <c r="R950" i="10"/>
  <c r="R946" i="10"/>
  <c r="R942" i="10"/>
  <c r="R938" i="10"/>
  <c r="R934" i="10"/>
  <c r="R930" i="10"/>
  <c r="R926" i="10"/>
  <c r="R922" i="10"/>
  <c r="R918" i="10"/>
  <c r="R914" i="10"/>
  <c r="R910" i="10"/>
  <c r="R906" i="10"/>
  <c r="R902" i="10"/>
  <c r="R898" i="10"/>
  <c r="R894" i="10"/>
  <c r="R890" i="10"/>
  <c r="R886" i="10"/>
  <c r="R882" i="10"/>
  <c r="R878" i="10"/>
  <c r="R874" i="10"/>
  <c r="R870" i="10"/>
  <c r="R866" i="10"/>
  <c r="R862" i="10"/>
  <c r="R858" i="10"/>
  <c r="R854" i="10"/>
  <c r="R850" i="10"/>
  <c r="R846" i="10"/>
  <c r="R842" i="10"/>
  <c r="R838" i="10"/>
  <c r="R834" i="10"/>
  <c r="R830" i="10"/>
  <c r="R826" i="10"/>
  <c r="R822" i="10"/>
  <c r="R818" i="10"/>
  <c r="R814" i="10"/>
  <c r="R810" i="10"/>
  <c r="R806" i="10"/>
  <c r="R802" i="10"/>
  <c r="R798" i="10"/>
  <c r="R794" i="10"/>
  <c r="R790" i="10"/>
  <c r="R786" i="10"/>
  <c r="R782" i="10"/>
  <c r="R778" i="10"/>
  <c r="R774" i="10"/>
  <c r="R770" i="10"/>
  <c r="R766" i="10"/>
  <c r="R762" i="10"/>
  <c r="R758" i="10"/>
  <c r="R754" i="10"/>
  <c r="R750" i="10"/>
  <c r="R746" i="10"/>
  <c r="R742" i="10"/>
  <c r="R738" i="10"/>
  <c r="R734" i="10"/>
  <c r="R730" i="10"/>
  <c r="R726" i="10"/>
  <c r="R722" i="10"/>
  <c r="R718" i="10"/>
  <c r="R714" i="10"/>
  <c r="R710" i="10"/>
  <c r="R706" i="10"/>
  <c r="R702" i="10"/>
  <c r="R698" i="10"/>
  <c r="R694" i="10"/>
  <c r="R690" i="10"/>
  <c r="R686" i="10"/>
  <c r="R682" i="10"/>
  <c r="R678" i="10"/>
  <c r="R674" i="10"/>
  <c r="R670" i="10"/>
  <c r="R666" i="10"/>
  <c r="R662" i="10"/>
  <c r="R658" i="10"/>
  <c r="R654" i="10"/>
  <c r="R650" i="10"/>
  <c r="R646" i="10"/>
  <c r="R736" i="10"/>
  <c r="R732" i="10"/>
  <c r="R728" i="10"/>
  <c r="R724" i="10"/>
  <c r="R720" i="10"/>
  <c r="R716" i="10"/>
  <c r="R712" i="10"/>
  <c r="R708" i="10"/>
  <c r="R704" i="10"/>
  <c r="R700" i="10"/>
  <c r="R696" i="10"/>
  <c r="R692" i="10"/>
  <c r="R688" i="10"/>
  <c r="R684" i="10"/>
  <c r="R680" i="10"/>
  <c r="R676" i="10"/>
  <c r="R672" i="10"/>
  <c r="R668" i="10"/>
  <c r="R664" i="10"/>
  <c r="R660" i="10"/>
  <c r="R656" i="10"/>
  <c r="R652" i="10"/>
  <c r="R648" i="10"/>
  <c r="R644" i="10"/>
  <c r="R969" i="10"/>
  <c r="R965" i="10"/>
  <c r="R961" i="10"/>
  <c r="R957" i="10"/>
  <c r="R953" i="10"/>
  <c r="R949" i="10"/>
  <c r="R945" i="10"/>
  <c r="R941" i="10"/>
  <c r="R937" i="10"/>
  <c r="R933" i="10"/>
  <c r="R929" i="10"/>
  <c r="R925" i="10"/>
  <c r="R921" i="10"/>
  <c r="R917" i="10"/>
  <c r="R913" i="10"/>
  <c r="R909" i="10"/>
  <c r="R905" i="10"/>
  <c r="R901" i="10"/>
  <c r="R897" i="10"/>
  <c r="R893" i="10"/>
  <c r="R889" i="10"/>
  <c r="R885" i="10"/>
  <c r="R881" i="10"/>
  <c r="R877" i="10"/>
  <c r="R873" i="10"/>
  <c r="R869" i="10"/>
  <c r="R865" i="10"/>
  <c r="R861" i="10"/>
  <c r="R857" i="10"/>
  <c r="R853" i="10"/>
  <c r="R849" i="10"/>
  <c r="R845" i="10"/>
  <c r="R841" i="10"/>
  <c r="R837" i="10"/>
  <c r="R833" i="10"/>
  <c r="R829" i="10"/>
  <c r="R825" i="10"/>
  <c r="R821" i="10"/>
  <c r="R817" i="10"/>
  <c r="R813" i="10"/>
  <c r="R809" i="10"/>
  <c r="R805" i="10"/>
  <c r="R801" i="10"/>
  <c r="R797" i="10"/>
  <c r="R793" i="10"/>
  <c r="R789" i="10"/>
  <c r="R785" i="10"/>
  <c r="R781" i="10"/>
  <c r="R777" i="10"/>
  <c r="R773" i="10"/>
  <c r="R769" i="10"/>
  <c r="R765" i="10"/>
  <c r="R761" i="10"/>
  <c r="R757" i="10"/>
  <c r="R753" i="10"/>
  <c r="R749" i="10"/>
  <c r="R745" i="10"/>
  <c r="R741" i="10"/>
  <c r="R737" i="10"/>
  <c r="R733" i="10"/>
  <c r="R729" i="10"/>
  <c r="R725" i="10"/>
  <c r="R721" i="10"/>
  <c r="R717" i="10"/>
  <c r="R713" i="10"/>
  <c r="R709" i="10"/>
  <c r="R705" i="10"/>
  <c r="R701" i="10"/>
  <c r="R697" i="10"/>
  <c r="R693" i="10"/>
  <c r="R689" i="10"/>
  <c r="R685" i="10"/>
  <c r="R681" i="10"/>
  <c r="R677" i="10"/>
  <c r="R673" i="10"/>
  <c r="R669" i="10"/>
  <c r="R665" i="10"/>
  <c r="R661" i="10"/>
  <c r="R657" i="10"/>
  <c r="R653" i="10"/>
  <c r="R649" i="10"/>
  <c r="R645" i="10"/>
  <c r="R2235" i="10" s="1"/>
  <c r="R968" i="10"/>
  <c r="R964" i="10"/>
  <c r="R960" i="10"/>
  <c r="R956" i="10"/>
  <c r="R952" i="10"/>
  <c r="R948" i="10"/>
  <c r="R944" i="10"/>
  <c r="R940" i="10"/>
  <c r="R936" i="10"/>
  <c r="R932" i="10"/>
  <c r="R928" i="10"/>
  <c r="R924" i="10"/>
  <c r="R920" i="10"/>
  <c r="R916" i="10"/>
  <c r="R912" i="10"/>
  <c r="R908" i="10"/>
  <c r="R904" i="10"/>
  <c r="R900" i="10"/>
  <c r="R896" i="10"/>
  <c r="R892" i="10"/>
  <c r="R888" i="10"/>
  <c r="R884" i="10"/>
  <c r="R880" i="10"/>
  <c r="R876" i="10"/>
  <c r="R872" i="10"/>
  <c r="R868" i="10"/>
  <c r="R864" i="10"/>
  <c r="R860" i="10"/>
  <c r="R856" i="10"/>
  <c r="R852" i="10"/>
  <c r="R848" i="10"/>
  <c r="R844" i="10"/>
  <c r="R840" i="10"/>
  <c r="R836" i="10"/>
  <c r="R832" i="10"/>
  <c r="R828" i="10"/>
  <c r="R824" i="10"/>
  <c r="R820" i="10"/>
  <c r="R816" i="10"/>
  <c r="R812" i="10"/>
  <c r="R808" i="10"/>
  <c r="R804" i="10"/>
  <c r="R800" i="10"/>
  <c r="R796" i="10"/>
  <c r="R792" i="10"/>
  <c r="R788" i="10"/>
  <c r="R784" i="10"/>
  <c r="R780" i="10"/>
  <c r="R776" i="10"/>
  <c r="R772" i="10"/>
  <c r="R768" i="10"/>
  <c r="R764" i="10"/>
  <c r="R760" i="10"/>
  <c r="R756" i="10"/>
  <c r="R752" i="10"/>
  <c r="R748" i="10"/>
  <c r="R744" i="10"/>
  <c r="R740" i="10"/>
  <c r="R967" i="10"/>
  <c r="R963" i="10"/>
  <c r="R959" i="10"/>
  <c r="R955" i="10"/>
  <c r="R951" i="10"/>
  <c r="R947" i="10"/>
  <c r="R943" i="10"/>
  <c r="R939" i="10"/>
  <c r="R935" i="10"/>
  <c r="R931" i="10"/>
  <c r="R927" i="10"/>
  <c r="R923" i="10"/>
  <c r="R919" i="10"/>
  <c r="R915" i="10"/>
  <c r="R911" i="10"/>
  <c r="R907" i="10"/>
  <c r="R903" i="10"/>
  <c r="R899" i="10"/>
  <c r="R895" i="10"/>
  <c r="R891" i="10"/>
  <c r="R887" i="10"/>
  <c r="R883" i="10"/>
  <c r="R879" i="10"/>
  <c r="R875" i="10"/>
  <c r="R871" i="10"/>
  <c r="R867" i="10"/>
  <c r="R863" i="10"/>
  <c r="R859" i="10"/>
  <c r="R855" i="10"/>
  <c r="R851" i="10"/>
  <c r="R847" i="10"/>
  <c r="R843" i="10"/>
  <c r="R839" i="10"/>
  <c r="R835" i="10"/>
  <c r="R831" i="10"/>
  <c r="R827" i="10"/>
  <c r="R823" i="10"/>
  <c r="R819" i="10"/>
  <c r="R815" i="10"/>
  <c r="R811" i="10"/>
  <c r="R807" i="10"/>
  <c r="R803" i="10"/>
  <c r="R799" i="10"/>
  <c r="R795" i="10"/>
  <c r="R791" i="10"/>
  <c r="R787" i="10"/>
  <c r="R783" i="10"/>
  <c r="R779" i="10"/>
  <c r="R775" i="10"/>
  <c r="R771" i="10"/>
  <c r="R767" i="10"/>
  <c r="R763" i="10"/>
  <c r="R759" i="10"/>
  <c r="R755" i="10"/>
  <c r="R751" i="10"/>
  <c r="R747" i="10"/>
  <c r="R743" i="10"/>
  <c r="R739" i="10"/>
  <c r="R735" i="10"/>
  <c r="R731" i="10"/>
  <c r="R727" i="10"/>
  <c r="R723" i="10"/>
  <c r="R719" i="10"/>
  <c r="R715" i="10"/>
  <c r="R711" i="10"/>
  <c r="R707" i="10"/>
  <c r="R703" i="10"/>
  <c r="R699" i="10"/>
  <c r="R695" i="10"/>
  <c r="R691" i="10"/>
  <c r="R687" i="10"/>
  <c r="R683" i="10"/>
  <c r="R679" i="10"/>
  <c r="R675" i="10"/>
  <c r="R671" i="10"/>
  <c r="R667" i="10"/>
  <c r="R663" i="10"/>
  <c r="R659" i="10"/>
  <c r="R655" i="10"/>
  <c r="R651" i="10"/>
  <c r="R647" i="10"/>
  <c r="R3730" i="1"/>
  <c r="Q2289" i="9"/>
  <c r="Q2285" i="9"/>
  <c r="Q2281" i="9"/>
  <c r="Q2277" i="9"/>
  <c r="Q2273" i="9"/>
  <c r="Q2269" i="9"/>
  <c r="Q2265" i="9"/>
  <c r="Q2261" i="9"/>
  <c r="Q2257" i="9"/>
  <c r="Q2253" i="9"/>
  <c r="Q2249" i="9"/>
  <c r="Q2245" i="9"/>
  <c r="Q2241" i="9"/>
  <c r="Q2237" i="9"/>
  <c r="Q2233" i="9"/>
  <c r="Q2229" i="9"/>
  <c r="Q2225" i="9"/>
  <c r="Q2221" i="9"/>
  <c r="Q2217" i="9"/>
  <c r="Q2213" i="9"/>
  <c r="Q2209" i="9"/>
  <c r="Q2205" i="9"/>
  <c r="Q2201" i="9"/>
  <c r="Q2197" i="9"/>
  <c r="Q2193" i="9"/>
  <c r="Q2189" i="9"/>
  <c r="Q2185" i="9"/>
  <c r="Q2181" i="9"/>
  <c r="Q2177" i="9"/>
  <c r="Q2173" i="9"/>
  <c r="Q2169" i="9"/>
  <c r="Q2165" i="9"/>
  <c r="Q2161" i="9"/>
  <c r="Q2157" i="9"/>
  <c r="Q2153" i="9"/>
  <c r="Q2149" i="9"/>
  <c r="Q2145" i="9"/>
  <c r="Q2141" i="9"/>
  <c r="Q2137" i="9"/>
  <c r="Q2133" i="9"/>
  <c r="Q2129" i="9"/>
  <c r="Q2125" i="9"/>
  <c r="Q2121" i="9"/>
  <c r="Q2117" i="9"/>
  <c r="Q2113" i="9"/>
  <c r="Q2109" i="9"/>
  <c r="Q2105" i="9"/>
  <c r="Q2101" i="9"/>
  <c r="Q2097" i="9"/>
  <c r="Q2093" i="9"/>
  <c r="Q2089" i="9"/>
  <c r="Q2085" i="9"/>
  <c r="Q2081" i="9"/>
  <c r="Q2077" i="9"/>
  <c r="Q2073" i="9"/>
  <c r="Q2069" i="9"/>
  <c r="Q2065" i="9"/>
  <c r="Q2061" i="9"/>
  <c r="Q2057" i="9"/>
  <c r="Q2053" i="9"/>
  <c r="Q2049" i="9"/>
  <c r="Q2045" i="9"/>
  <c r="Q2041" i="9"/>
  <c r="Q2037" i="9"/>
  <c r="Q2033" i="9"/>
  <c r="Q2029" i="9"/>
  <c r="Q2025" i="9"/>
  <c r="Q2021" i="9"/>
  <c r="Q2017" i="9"/>
  <c r="Q2013" i="9"/>
  <c r="Q2009" i="9"/>
  <c r="Q2005" i="9"/>
  <c r="Q2001" i="9"/>
  <c r="Q1997" i="9"/>
  <c r="Q1993" i="9"/>
  <c r="Q1989" i="9"/>
  <c r="Q1985" i="9"/>
  <c r="Q1981" i="9"/>
  <c r="Q1977" i="9"/>
  <c r="Q1973" i="9"/>
  <c r="Q1969" i="9"/>
  <c r="Q1965" i="9"/>
  <c r="Q1961" i="9"/>
  <c r="Q1957" i="9"/>
  <c r="Q1953" i="9"/>
  <c r="Q2288" i="9"/>
  <c r="Q2284" i="9"/>
  <c r="Q2280" i="9"/>
  <c r="Q2276" i="9"/>
  <c r="Q2272" i="9"/>
  <c r="Q2268" i="9"/>
  <c r="Q2264" i="9"/>
  <c r="Q2260" i="9"/>
  <c r="Q2256" i="9"/>
  <c r="Q2252" i="9"/>
  <c r="Q2248" i="9"/>
  <c r="Q2244" i="9"/>
  <c r="Q2240" i="9"/>
  <c r="Q2236" i="9"/>
  <c r="Q2232" i="9"/>
  <c r="Q2228" i="9"/>
  <c r="Q2224" i="9"/>
  <c r="Q2220" i="9"/>
  <c r="Q2216" i="9"/>
  <c r="Q2212" i="9"/>
  <c r="Q2208" i="9"/>
  <c r="Q2204" i="9"/>
  <c r="Q2200" i="9"/>
  <c r="Q2196" i="9"/>
  <c r="Q2192" i="9"/>
  <c r="Q2188" i="9"/>
  <c r="Q2184" i="9"/>
  <c r="Q2180" i="9"/>
  <c r="Q2176" i="9"/>
  <c r="Q2172" i="9"/>
  <c r="Q2168" i="9"/>
  <c r="Q2164" i="9"/>
  <c r="Q2160" i="9"/>
  <c r="Q2156" i="9"/>
  <c r="Q2152" i="9"/>
  <c r="Q2148" i="9"/>
  <c r="Q2144" i="9"/>
  <c r="Q2140" i="9"/>
  <c r="Q2136" i="9"/>
  <c r="Q2132" i="9"/>
  <c r="Q2128" i="9"/>
  <c r="Q2124" i="9"/>
  <c r="Q2120" i="9"/>
  <c r="Q2116" i="9"/>
  <c r="Q2112" i="9"/>
  <c r="Q2108" i="9"/>
  <c r="Q2104" i="9"/>
  <c r="Q2100" i="9"/>
  <c r="Q2096" i="9"/>
  <c r="Q2092" i="9"/>
  <c r="Q2088" i="9"/>
  <c r="Q2084" i="9"/>
  <c r="Q2080" i="9"/>
  <c r="Q2076" i="9"/>
  <c r="Q2072" i="9"/>
  <c r="Q2068" i="9"/>
  <c r="Q2064" i="9"/>
  <c r="Q2060" i="9"/>
  <c r="Q2056" i="9"/>
  <c r="Q2052" i="9"/>
  <c r="Q2048" i="9"/>
  <c r="Q2044" i="9"/>
  <c r="Q2040" i="9"/>
  <c r="Q2036" i="9"/>
  <c r="Q2032" i="9"/>
  <c r="Q2028" i="9"/>
  <c r="Q2024" i="9"/>
  <c r="Q2020" i="9"/>
  <c r="Q2016" i="9"/>
  <c r="Q2012" i="9"/>
  <c r="Q2008" i="9"/>
  <c r="Q2004" i="9"/>
  <c r="Q2000" i="9"/>
  <c r="Q1996" i="9"/>
  <c r="Q1992" i="9"/>
  <c r="Q1988" i="9"/>
  <c r="Q1984" i="9"/>
  <c r="Q1980" i="9"/>
  <c r="Q1976" i="9"/>
  <c r="Q1972" i="9"/>
  <c r="Q1968" i="9"/>
  <c r="Q1964" i="9"/>
  <c r="Q1960" i="9"/>
  <c r="Q1956" i="9"/>
  <c r="Q1952" i="9"/>
  <c r="Q1716" i="9"/>
  <c r="Q2287" i="9"/>
  <c r="Q2283" i="9"/>
  <c r="Q2279" i="9"/>
  <c r="Q2275" i="9"/>
  <c r="Q2271" i="9"/>
  <c r="Q2267" i="9"/>
  <c r="Q2263" i="9"/>
  <c r="Q2259" i="9"/>
  <c r="Q2255" i="9"/>
  <c r="Q2251" i="9"/>
  <c r="Q2247" i="9"/>
  <c r="Q2243" i="9"/>
  <c r="Q2239" i="9"/>
  <c r="Q2235" i="9"/>
  <c r="Q2231" i="9"/>
  <c r="Q2227" i="9"/>
  <c r="Q2223" i="9"/>
  <c r="Q2219" i="9"/>
  <c r="Q2215" i="9"/>
  <c r="Q2211" i="9"/>
  <c r="Q2207" i="9"/>
  <c r="Q2203" i="9"/>
  <c r="Q2199" i="9"/>
  <c r="Q2195" i="9"/>
  <c r="Q2191" i="9"/>
  <c r="Q2187" i="9"/>
  <c r="Q2183" i="9"/>
  <c r="Q2179" i="9"/>
  <c r="Q2175" i="9"/>
  <c r="Q2171" i="9"/>
  <c r="Q2167" i="9"/>
  <c r="Q2163" i="9"/>
  <c r="Q2159" i="9"/>
  <c r="Q2155" i="9"/>
  <c r="Q2151" i="9"/>
  <c r="Q2147" i="9"/>
  <c r="Q2143" i="9"/>
  <c r="Q2139" i="9"/>
  <c r="Q2135" i="9"/>
  <c r="Q2131" i="9"/>
  <c r="Q2127" i="9"/>
  <c r="Q2123" i="9"/>
  <c r="Q2119" i="9"/>
  <c r="Q2115" i="9"/>
  <c r="Q2111" i="9"/>
  <c r="Q2107" i="9"/>
  <c r="Q2103" i="9"/>
  <c r="Q2099" i="9"/>
  <c r="Q2095" i="9"/>
  <c r="Q2091" i="9"/>
  <c r="Q2087" i="9"/>
  <c r="Q2083" i="9"/>
  <c r="Q2079" i="9"/>
  <c r="Q2075" i="9"/>
  <c r="Q2071" i="9"/>
  <c r="Q2067" i="9"/>
  <c r="Q2063" i="9"/>
  <c r="Q2059" i="9"/>
  <c r="Q2055" i="9"/>
  <c r="Q2051" i="9"/>
  <c r="Q2047" i="9"/>
  <c r="Q2043" i="9"/>
  <c r="Q2039" i="9"/>
  <c r="Q2035" i="9"/>
  <c r="Q2031" i="9"/>
  <c r="Q2023" i="9"/>
  <c r="Q2019" i="9"/>
  <c r="Q2015" i="9"/>
  <c r="Q2011" i="9"/>
  <c r="Q2007" i="9"/>
  <c r="Q2003" i="9"/>
  <c r="Q1999" i="9"/>
  <c r="Q1995" i="9"/>
  <c r="Q1991" i="9"/>
  <c r="Q1987" i="9"/>
  <c r="Q1983" i="9"/>
  <c r="Q1979" i="9"/>
  <c r="Q1975" i="9"/>
  <c r="Q1971" i="9"/>
  <c r="Q1967" i="9"/>
  <c r="Q1963" i="9"/>
  <c r="Q1959" i="9"/>
  <c r="Q1955" i="9"/>
  <c r="Q1951" i="9"/>
  <c r="Q1715" i="9"/>
  <c r="Q2286" i="9"/>
  <c r="Q2282" i="9"/>
  <c r="Q2278" i="9"/>
  <c r="Q2274" i="9"/>
  <c r="Q2270" i="9"/>
  <c r="Q2266" i="9"/>
  <c r="Q2262" i="9"/>
  <c r="Q2258" i="9"/>
  <c r="Q2254" i="9"/>
  <c r="Q2250" i="9"/>
  <c r="Q2246" i="9"/>
  <c r="Q2242" i="9"/>
  <c r="Q2238" i="9"/>
  <c r="Q2234" i="9"/>
  <c r="Q2230" i="9"/>
  <c r="Q2226" i="9"/>
  <c r="Q2222" i="9"/>
  <c r="Q2218" i="9"/>
  <c r="Q2214" i="9"/>
  <c r="Q2210" i="9"/>
  <c r="Q2206" i="9"/>
  <c r="Q2202" i="9"/>
  <c r="Q2198" i="9"/>
  <c r="Q2194" i="9"/>
  <c r="Q2190" i="9"/>
  <c r="Q2186" i="9"/>
  <c r="Q2182" i="9"/>
  <c r="Q2178" i="9"/>
  <c r="Q2174" i="9"/>
  <c r="Q2170" i="9"/>
  <c r="Q2166" i="9"/>
  <c r="Q2162" i="9"/>
  <c r="Q2158" i="9"/>
  <c r="Q2154" i="9"/>
  <c r="Q2150" i="9"/>
  <c r="Q2146" i="9"/>
  <c r="Q2142" i="9"/>
  <c r="Q2138" i="9"/>
  <c r="Q2134" i="9"/>
  <c r="Q2130" i="9"/>
  <c r="Q2126" i="9"/>
  <c r="Q2122" i="9"/>
  <c r="Q2118" i="9"/>
  <c r="Q2114" i="9"/>
  <c r="Q2110" i="9"/>
  <c r="Q2106" i="9"/>
  <c r="Q2102" i="9"/>
  <c r="Q2098" i="9"/>
  <c r="Q2094" i="9"/>
  <c r="Q2090" i="9"/>
  <c r="Q2086" i="9"/>
  <c r="Q2082" i="9"/>
  <c r="Q2078" i="9"/>
  <c r="Q2074" i="9"/>
  <c r="Q2070" i="9"/>
  <c r="Q2066" i="9"/>
  <c r="Q2062" i="9"/>
  <c r="Q2058" i="9"/>
  <c r="Q2054" i="9"/>
  <c r="Q2050" i="9"/>
  <c r="Q2046" i="9"/>
  <c r="Q2042" i="9"/>
  <c r="Q2038" i="9"/>
  <c r="Q2034" i="9"/>
  <c r="Q2030" i="9"/>
  <c r="Q2026" i="9"/>
  <c r="Q2022" i="9"/>
  <c r="Q2018" i="9"/>
  <c r="Q2014" i="9"/>
  <c r="Q2010" i="9"/>
  <c r="Q2006" i="9"/>
  <c r="Q2002" i="9"/>
  <c r="Q1998" i="9"/>
  <c r="Q1994" i="9"/>
  <c r="Q1990" i="9"/>
  <c r="Q1986" i="9"/>
  <c r="Q1982" i="9"/>
  <c r="Q1978" i="9"/>
  <c r="Q1974" i="9"/>
  <c r="Q1970" i="9"/>
  <c r="Q1966" i="9"/>
  <c r="Q1962" i="9"/>
  <c r="Q1958" i="9"/>
  <c r="Q1954" i="9"/>
  <c r="R3728" i="1"/>
  <c r="R1262" i="10"/>
  <c r="R1258" i="10"/>
  <c r="R1254" i="10"/>
  <c r="R1250" i="10"/>
  <c r="R1246" i="10"/>
  <c r="R1242" i="10"/>
  <c r="R1238" i="10"/>
  <c r="R1234" i="10"/>
  <c r="R1230" i="10"/>
  <c r="R1226" i="10"/>
  <c r="R1222" i="10"/>
  <c r="R1218" i="10"/>
  <c r="R1214" i="10"/>
  <c r="R1210" i="10"/>
  <c r="R1206" i="10"/>
  <c r="R1202" i="10"/>
  <c r="R1198" i="10"/>
  <c r="R1194" i="10"/>
  <c r="R1190" i="10"/>
  <c r="R1186" i="10"/>
  <c r="R1182" i="10"/>
  <c r="R1178" i="10"/>
  <c r="R1174" i="10"/>
  <c r="R1170" i="10"/>
  <c r="R1166" i="10"/>
  <c r="R1162" i="10"/>
  <c r="R1158" i="10"/>
  <c r="R1154" i="10"/>
  <c r="R1150" i="10"/>
  <c r="R1146" i="10"/>
  <c r="R1142" i="10"/>
  <c r="R1138" i="10"/>
  <c r="R1134" i="10"/>
  <c r="R1130" i="10"/>
  <c r="R1126" i="10"/>
  <c r="R1122" i="10"/>
  <c r="R1118" i="10"/>
  <c r="R1114" i="10"/>
  <c r="R1110" i="10"/>
  <c r="R1106" i="10"/>
  <c r="R1102" i="10"/>
  <c r="R1098" i="10"/>
  <c r="R1094" i="10"/>
  <c r="R1090" i="10"/>
  <c r="R1086" i="10"/>
  <c r="R1082" i="10"/>
  <c r="R1078" i="10"/>
  <c r="R1074" i="10"/>
  <c r="R1070" i="10"/>
  <c r="R1066" i="10"/>
  <c r="R1062" i="10"/>
  <c r="R1058" i="10"/>
  <c r="R1054" i="10"/>
  <c r="R1050" i="10"/>
  <c r="R1046" i="10"/>
  <c r="R1042" i="10"/>
  <c r="R1038" i="10"/>
  <c r="R1034" i="10"/>
  <c r="R1030" i="10"/>
  <c r="R1026" i="10"/>
  <c r="R1022" i="10"/>
  <c r="R1018" i="10"/>
  <c r="R1014" i="10"/>
  <c r="R1010" i="10"/>
  <c r="R1006" i="10"/>
  <c r="R1002" i="10"/>
  <c r="R998" i="10"/>
  <c r="R994" i="10"/>
  <c r="R990" i="10"/>
  <c r="R986" i="10"/>
  <c r="R982" i="10"/>
  <c r="R978" i="10"/>
  <c r="R974" i="10"/>
  <c r="R970" i="10"/>
  <c r="R1265" i="10"/>
  <c r="R1261" i="10"/>
  <c r="R1257" i="10"/>
  <c r="R1253" i="10"/>
  <c r="R1249" i="10"/>
  <c r="R1245" i="10"/>
  <c r="R1241" i="10"/>
  <c r="R1237" i="10"/>
  <c r="R1233" i="10"/>
  <c r="R1229" i="10"/>
  <c r="R1225" i="10"/>
  <c r="R1221" i="10"/>
  <c r="R1217" i="10"/>
  <c r="R1213" i="10"/>
  <c r="R1209" i="10"/>
  <c r="R1205" i="10"/>
  <c r="R1201" i="10"/>
  <c r="R1197" i="10"/>
  <c r="R1193" i="10"/>
  <c r="R1189" i="10"/>
  <c r="R1185" i="10"/>
  <c r="R1181" i="10"/>
  <c r="R1177" i="10"/>
  <c r="R1173" i="10"/>
  <c r="R1169" i="10"/>
  <c r="R1165" i="10"/>
  <c r="R1161" i="10"/>
  <c r="R1157" i="10"/>
  <c r="R1153" i="10"/>
  <c r="R1149" i="10"/>
  <c r="R1145" i="10"/>
  <c r="R1141" i="10"/>
  <c r="R1137" i="10"/>
  <c r="R1133" i="10"/>
  <c r="R1129" i="10"/>
  <c r="R1125" i="10"/>
  <c r="R1121" i="10"/>
  <c r="R1117" i="10"/>
  <c r="R1113" i="10"/>
  <c r="R1109" i="10"/>
  <c r="R1105" i="10"/>
  <c r="R1101" i="10"/>
  <c r="R1097" i="10"/>
  <c r="R1093" i="10"/>
  <c r="R1089" i="10"/>
  <c r="R1085" i="10"/>
  <c r="R1081" i="10"/>
  <c r="R1077" i="10"/>
  <c r="R1073" i="10"/>
  <c r="R1069" i="10"/>
  <c r="R1065" i="10"/>
  <c r="R1061" i="10"/>
  <c r="R1057" i="10"/>
  <c r="R1053" i="10"/>
  <c r="R1049" i="10"/>
  <c r="R1045" i="10"/>
  <c r="R1041" i="10"/>
  <c r="R1037" i="10"/>
  <c r="R1033" i="10"/>
  <c r="R1029" i="10"/>
  <c r="R1025" i="10"/>
  <c r="R1021" i="10"/>
  <c r="R1017" i="10"/>
  <c r="R1013" i="10"/>
  <c r="R1009" i="10"/>
  <c r="R1005" i="10"/>
  <c r="R1001" i="10"/>
  <c r="R997" i="10"/>
  <c r="R993" i="10"/>
  <c r="R989" i="10"/>
  <c r="R985" i="10"/>
  <c r="R981" i="10"/>
  <c r="R977" i="10"/>
  <c r="R973" i="10"/>
  <c r="R1264" i="10"/>
  <c r="R1260" i="10"/>
  <c r="R1256" i="10"/>
  <c r="R1252" i="10"/>
  <c r="R1248" i="10"/>
  <c r="R1244" i="10"/>
  <c r="R1240" i="10"/>
  <c r="R1236" i="10"/>
  <c r="R1232" i="10"/>
  <c r="R1228" i="10"/>
  <c r="R1224" i="10"/>
  <c r="R1220" i="10"/>
  <c r="R1216" i="10"/>
  <c r="R1212" i="10"/>
  <c r="R1208" i="10"/>
  <c r="R1204" i="10"/>
  <c r="R1200" i="10"/>
  <c r="R1196" i="10"/>
  <c r="R1192" i="10"/>
  <c r="R1188" i="10"/>
  <c r="R1184" i="10"/>
  <c r="R1180" i="10"/>
  <c r="R1176" i="10"/>
  <c r="R1172" i="10"/>
  <c r="R1168" i="10"/>
  <c r="R1164" i="10"/>
  <c r="R1160" i="10"/>
  <c r="R1156" i="10"/>
  <c r="R1152" i="10"/>
  <c r="R1148" i="10"/>
  <c r="R1144" i="10"/>
  <c r="R1140" i="10"/>
  <c r="R1136" i="10"/>
  <c r="R1132" i="10"/>
  <c r="R1128" i="10"/>
  <c r="R1124" i="10"/>
  <c r="R1120" i="10"/>
  <c r="R1116" i="10"/>
  <c r="R1112" i="10"/>
  <c r="R1108" i="10"/>
  <c r="R1104" i="10"/>
  <c r="R1100" i="10"/>
  <c r="R1096" i="10"/>
  <c r="R1092" i="10"/>
  <c r="R1088" i="10"/>
  <c r="R1084" i="10"/>
  <c r="R1080" i="10"/>
  <c r="R1076" i="10"/>
  <c r="R1072" i="10"/>
  <c r="R1068" i="10"/>
  <c r="R1064" i="10"/>
  <c r="R1060" i="10"/>
  <c r="R1056" i="10"/>
  <c r="R1052" i="10"/>
  <c r="R1048" i="10"/>
  <c r="R1044" i="10"/>
  <c r="R1040" i="10"/>
  <c r="R1036" i="10"/>
  <c r="R1032" i="10"/>
  <c r="R1028" i="10"/>
  <c r="R1024" i="10"/>
  <c r="R1020" i="10"/>
  <c r="R1016" i="10"/>
  <c r="R1012" i="10"/>
  <c r="R1008" i="10"/>
  <c r="R1004" i="10"/>
  <c r="R1000" i="10"/>
  <c r="R996" i="10"/>
  <c r="R992" i="10"/>
  <c r="R988" i="10"/>
  <c r="R984" i="10"/>
  <c r="R980" i="10"/>
  <c r="R976" i="10"/>
  <c r="R972" i="10"/>
  <c r="R1263" i="10"/>
  <c r="R1259" i="10"/>
  <c r="R1255" i="10"/>
  <c r="R1251" i="10"/>
  <c r="R1247" i="10"/>
  <c r="R1243" i="10"/>
  <c r="R1239" i="10"/>
  <c r="R1235" i="10"/>
  <c r="R1231" i="10"/>
  <c r="R1227" i="10"/>
  <c r="R1223" i="10"/>
  <c r="R1219" i="10"/>
  <c r="R1215" i="10"/>
  <c r="R1211" i="10"/>
  <c r="R1207" i="10"/>
  <c r="R1203" i="10"/>
  <c r="R1199" i="10"/>
  <c r="R1195" i="10"/>
  <c r="R1191" i="10"/>
  <c r="R1187" i="10"/>
  <c r="R1183" i="10"/>
  <c r="R1179" i="10"/>
  <c r="R1175" i="10"/>
  <c r="R1171" i="10"/>
  <c r="R1167" i="10"/>
  <c r="R1163" i="10"/>
  <c r="R1159" i="10"/>
  <c r="R1155" i="10"/>
  <c r="R1151" i="10"/>
  <c r="R1147" i="10"/>
  <c r="R1143" i="10"/>
  <c r="R1139" i="10"/>
  <c r="R1135" i="10"/>
  <c r="R1131" i="10"/>
  <c r="R1127" i="10"/>
  <c r="R1123" i="10"/>
  <c r="R1119" i="10"/>
  <c r="R1115" i="10"/>
  <c r="R1111" i="10"/>
  <c r="R1107" i="10"/>
  <c r="R1103" i="10"/>
  <c r="R1099" i="10"/>
  <c r="R1095" i="10"/>
  <c r="R1091" i="10"/>
  <c r="R1087" i="10"/>
  <c r="R1083" i="10"/>
  <c r="R1079" i="10"/>
  <c r="R1075" i="10"/>
  <c r="R1071" i="10"/>
  <c r="R1067" i="10"/>
  <c r="R1063" i="10"/>
  <c r="R1059" i="10"/>
  <c r="R1055" i="10"/>
  <c r="R1051" i="10"/>
  <c r="R1047" i="10"/>
  <c r="R1043" i="10"/>
  <c r="R1039" i="10"/>
  <c r="R1035" i="10"/>
  <c r="R1031" i="10"/>
  <c r="R1027" i="10"/>
  <c r="R1023" i="10"/>
  <c r="R1019" i="10"/>
  <c r="R1015" i="10"/>
  <c r="R1011" i="10"/>
  <c r="R1007" i="10"/>
  <c r="R1003" i="10"/>
  <c r="R999" i="10"/>
  <c r="R995" i="10"/>
  <c r="R991" i="10"/>
  <c r="R987" i="10"/>
  <c r="R983" i="10"/>
  <c r="R979" i="10"/>
  <c r="R975" i="10"/>
  <c r="R971" i="10"/>
  <c r="R3734" i="1"/>
  <c r="U3734" i="1" s="1"/>
  <c r="Q1625" i="9"/>
  <c r="Q1621" i="9"/>
  <c r="Q1617" i="9"/>
  <c r="Q1613" i="9"/>
  <c r="Q1609" i="9"/>
  <c r="Q1605" i="9"/>
  <c r="Q1601" i="9"/>
  <c r="Q1597" i="9"/>
  <c r="Q1593" i="9"/>
  <c r="Q1589" i="9"/>
  <c r="Q1585" i="9"/>
  <c r="Q1581" i="9"/>
  <c r="Q1577" i="9"/>
  <c r="Q1573" i="9"/>
  <c r="Q1569" i="9"/>
  <c r="Q1565" i="9"/>
  <c r="Q1561" i="9"/>
  <c r="Q1557" i="9"/>
  <c r="Q1553" i="9"/>
  <c r="Q1549" i="9"/>
  <c r="Q1545" i="9"/>
  <c r="Q1541" i="9"/>
  <c r="Q1537" i="9"/>
  <c r="Q1533" i="9"/>
  <c r="Q1529" i="9"/>
  <c r="Q1525" i="9"/>
  <c r="Q1521" i="9"/>
  <c r="Q1517" i="9"/>
  <c r="Q1513" i="9"/>
  <c r="Q1509" i="9"/>
  <c r="Q1505" i="9"/>
  <c r="Q1501" i="9"/>
  <c r="Q1497" i="9"/>
  <c r="Q1493" i="9"/>
  <c r="Q1489" i="9"/>
  <c r="Q1485" i="9"/>
  <c r="Q1481" i="9"/>
  <c r="Q1477" i="9"/>
  <c r="Q1473" i="9"/>
  <c r="Q1469" i="9"/>
  <c r="Q1465" i="9"/>
  <c r="Q1628" i="9"/>
  <c r="Q1624" i="9"/>
  <c r="Q1620" i="9"/>
  <c r="Q1616" i="9"/>
  <c r="Q1612" i="9"/>
  <c r="Q1608" i="9"/>
  <c r="Q1604" i="9"/>
  <c r="Q1600" i="9"/>
  <c r="Q1596" i="9"/>
  <c r="Q1592" i="9"/>
  <c r="Q1588" i="9"/>
  <c r="Q1584" i="9"/>
  <c r="Q1580" i="9"/>
  <c r="Q1576" i="9"/>
  <c r="Q1568" i="9"/>
  <c r="Q1564" i="9"/>
  <c r="Q1560" i="9"/>
  <c r="Q1556" i="9"/>
  <c r="Q1552" i="9"/>
  <c r="Q1548" i="9"/>
  <c r="Q1544" i="9"/>
  <c r="Q1540" i="9"/>
  <c r="Q1536" i="9"/>
  <c r="Q1532" i="9"/>
  <c r="Q1528" i="9"/>
  <c r="Q1524" i="9"/>
  <c r="Q1520" i="9"/>
  <c r="Q1516" i="9"/>
  <c r="Q1512" i="9"/>
  <c r="Q1508" i="9"/>
  <c r="Q1504" i="9"/>
  <c r="Q1500" i="9"/>
  <c r="Q1496" i="9"/>
  <c r="Q1492" i="9"/>
  <c r="Q1488" i="9"/>
  <c r="Q1484" i="9"/>
  <c r="Q1480" i="9"/>
  <c r="Q1476" i="9"/>
  <c r="Q1472" i="9"/>
  <c r="Q1468" i="9"/>
  <c r="Q1464" i="9"/>
  <c r="Q1460" i="9"/>
  <c r="Q1456" i="9"/>
  <c r="Q1452" i="9"/>
  <c r="Q1448" i="9"/>
  <c r="Q1444" i="9"/>
  <c r="Q1440" i="9"/>
  <c r="Q1436" i="9"/>
  <c r="Q1432" i="9"/>
  <c r="Q1428" i="9"/>
  <c r="Q1424" i="9"/>
  <c r="Q1420" i="9"/>
  <c r="Q1416" i="9"/>
  <c r="Q1412" i="9"/>
  <c r="Q1408" i="9"/>
  <c r="Q1404" i="9"/>
  <c r="Q1400" i="9"/>
  <c r="Q1396" i="9"/>
  <c r="Q1392" i="9"/>
  <c r="Q1388" i="9"/>
  <c r="Q1384" i="9"/>
  <c r="Q1380" i="9"/>
  <c r="Q1376" i="9"/>
  <c r="Q1372" i="9"/>
  <c r="Q1368" i="9"/>
  <c r="Q1364" i="9"/>
  <c r="Q1360" i="9"/>
  <c r="Q1356" i="9"/>
  <c r="Q1352" i="9"/>
  <c r="Q1348" i="9"/>
  <c r="Q1344" i="9"/>
  <c r="Q1340" i="9"/>
  <c r="Q1336" i="9"/>
  <c r="Q1332" i="9"/>
  <c r="Q1328" i="9"/>
  <c r="Q1324" i="9"/>
  <c r="Q1320" i="9"/>
  <c r="Q1316" i="9"/>
  <c r="Q1312" i="9"/>
  <c r="Q1308" i="9"/>
  <c r="Q1304" i="9"/>
  <c r="Q1300" i="9"/>
  <c r="Q1296" i="9"/>
  <c r="Q1292" i="9"/>
  <c r="Q1288" i="9"/>
  <c r="Q1284" i="9"/>
  <c r="Q1280" i="9"/>
  <c r="Q1276" i="9"/>
  <c r="Q1272" i="9"/>
  <c r="Q1268" i="9"/>
  <c r="Q1264" i="9"/>
  <c r="Q1260" i="9"/>
  <c r="Q1256" i="9"/>
  <c r="Q1252" i="9"/>
  <c r="Q1248" i="9"/>
  <c r="Q1244" i="9"/>
  <c r="Q1240" i="9"/>
  <c r="Q1236" i="9"/>
  <c r="Q1232" i="9"/>
  <c r="Q1228" i="9"/>
  <c r="Q1224" i="9"/>
  <c r="Q1220" i="9"/>
  <c r="Q1216" i="9"/>
  <c r="Q1212" i="9"/>
  <c r="Q1208" i="9"/>
  <c r="Q1204" i="9"/>
  <c r="Q1200" i="9"/>
  <c r="Q1196" i="9"/>
  <c r="Q1192" i="9"/>
  <c r="Q1188" i="9"/>
  <c r="Q1184" i="9"/>
  <c r="Q1180" i="9"/>
  <c r="Q1176" i="9"/>
  <c r="Q1172" i="9"/>
  <c r="Q1168" i="9"/>
  <c r="Q1164" i="9"/>
  <c r="Q1160" i="9"/>
  <c r="Q1156" i="9"/>
  <c r="Q1152" i="9"/>
  <c r="Q1627" i="9"/>
  <c r="Q1623" i="9"/>
  <c r="Q1619" i="9"/>
  <c r="Q1615" i="9"/>
  <c r="Q1611" i="9"/>
  <c r="Q1607" i="9"/>
  <c r="Q1603" i="9"/>
  <c r="Q1599" i="9"/>
  <c r="Q1595" i="9"/>
  <c r="Q1591" i="9"/>
  <c r="Q1587" i="9"/>
  <c r="Q1583" i="9"/>
  <c r="Q1579" i="9"/>
  <c r="Q1575" i="9"/>
  <c r="Q1571" i="9"/>
  <c r="Q1567" i="9"/>
  <c r="Q1563" i="9"/>
  <c r="Q1559" i="9"/>
  <c r="Q1555" i="9"/>
  <c r="Q1551" i="9"/>
  <c r="Q1547" i="9"/>
  <c r="Q1543" i="9"/>
  <c r="Q1539" i="9"/>
  <c r="Q1535" i="9"/>
  <c r="Q1531" i="9"/>
  <c r="Q1527" i="9"/>
  <c r="Q1523" i="9"/>
  <c r="Q1519" i="9"/>
  <c r="Q1515" i="9"/>
  <c r="Q1511" i="9"/>
  <c r="Q1507" i="9"/>
  <c r="Q1503" i="9"/>
  <c r="Q1499" i="9"/>
  <c r="Q1495" i="9"/>
  <c r="Q1491" i="9"/>
  <c r="Q1487" i="9"/>
  <c r="Q1483" i="9"/>
  <c r="Q1479" i="9"/>
  <c r="Q1475" i="9"/>
  <c r="Q1471" i="9"/>
  <c r="Q1467" i="9"/>
  <c r="Q1463" i="9"/>
  <c r="Q1459" i="9"/>
  <c r="Q1455" i="9"/>
  <c r="Q1451" i="9"/>
  <c r="Q1447" i="9"/>
  <c r="Q1443" i="9"/>
  <c r="Q1439" i="9"/>
  <c r="Q1435" i="9"/>
  <c r="Q1431" i="9"/>
  <c r="Q1427" i="9"/>
  <c r="Q1423" i="9"/>
  <c r="Q1419" i="9"/>
  <c r="Q1415" i="9"/>
  <c r="Q1411" i="9"/>
  <c r="Q1407" i="9"/>
  <c r="Q1403" i="9"/>
  <c r="Q1399" i="9"/>
  <c r="Q1395" i="9"/>
  <c r="Q1391" i="9"/>
  <c r="Q1387" i="9"/>
  <c r="Q1383" i="9"/>
  <c r="Q1379" i="9"/>
  <c r="Q1375" i="9"/>
  <c r="Q1371" i="9"/>
  <c r="Q1367" i="9"/>
  <c r="Q1363" i="9"/>
  <c r="Q1359" i="9"/>
  <c r="Q1355" i="9"/>
  <c r="Q1351" i="9"/>
  <c r="Q1347" i="9"/>
  <c r="Q1343" i="9"/>
  <c r="Q1339" i="9"/>
  <c r="Q1335" i="9"/>
  <c r="Q1331" i="9"/>
  <c r="Q1327" i="9"/>
  <c r="Q1323" i="9"/>
  <c r="Q1319" i="9"/>
  <c r="Q1315" i="9"/>
  <c r="Q1311" i="9"/>
  <c r="Q1307" i="9"/>
  <c r="Q1303" i="9"/>
  <c r="Q1299" i="9"/>
  <c r="Q1295" i="9"/>
  <c r="Q1291" i="9"/>
  <c r="Q1287" i="9"/>
  <c r="Q1283" i="9"/>
  <c r="Q1279" i="9"/>
  <c r="Q1275" i="9"/>
  <c r="Q1271" i="9"/>
  <c r="Q1267" i="9"/>
  <c r="Q1263" i="9"/>
  <c r="Q1259" i="9"/>
  <c r="Q1251" i="9"/>
  <c r="Q1247" i="9"/>
  <c r="Q1243" i="9"/>
  <c r="Q1239" i="9"/>
  <c r="Q1235" i="9"/>
  <c r="Q1231" i="9"/>
  <c r="Q1227" i="9"/>
  <c r="Q1223" i="9"/>
  <c r="Q1219" i="9"/>
  <c r="Q1215" i="9"/>
  <c r="Q1211" i="9"/>
  <c r="Q1207" i="9"/>
  <c r="Q1203" i="9"/>
  <c r="Q1199" i="9"/>
  <c r="Q1195" i="9"/>
  <c r="Q1191" i="9"/>
  <c r="Q1187" i="9"/>
  <c r="Q1183" i="9"/>
  <c r="Q1179" i="9"/>
  <c r="Q1175" i="9"/>
  <c r="Q1171" i="9"/>
  <c r="Q1167" i="9"/>
  <c r="Q1163" i="9"/>
  <c r="Q1159" i="9"/>
  <c r="Q1155" i="9"/>
  <c r="Q1151" i="9"/>
  <c r="Q1626" i="9"/>
  <c r="Q1622" i="9"/>
  <c r="Q1618" i="9"/>
  <c r="Q1614" i="9"/>
  <c r="Q1610" i="9"/>
  <c r="Q1606" i="9"/>
  <c r="Q1602" i="9"/>
  <c r="Q1598" i="9"/>
  <c r="Q1594" i="9"/>
  <c r="Q1590" i="9"/>
  <c r="Q1586" i="9"/>
  <c r="Q1582" i="9"/>
  <c r="Q1578" i="9"/>
  <c r="Q1574" i="9"/>
  <c r="Q1570" i="9"/>
  <c r="Q1566" i="9"/>
  <c r="Q1562" i="9"/>
  <c r="Q1558" i="9"/>
  <c r="Q1554" i="9"/>
  <c r="Q1550" i="9"/>
  <c r="Q1546" i="9"/>
  <c r="Q1542" i="9"/>
  <c r="Q1538" i="9"/>
  <c r="Q1534" i="9"/>
  <c r="Q1530" i="9"/>
  <c r="Q1526" i="9"/>
  <c r="Q1522" i="9"/>
  <c r="Q1518" i="9"/>
  <c r="Q1514" i="9"/>
  <c r="Q1510" i="9"/>
  <c r="Q1506" i="9"/>
  <c r="Q1502" i="9"/>
  <c r="Q1498" i="9"/>
  <c r="Q1494" i="9"/>
  <c r="Q1490" i="9"/>
  <c r="Q1486" i="9"/>
  <c r="Q1482" i="9"/>
  <c r="Q1478" i="9"/>
  <c r="Q1474" i="9"/>
  <c r="Q1470" i="9"/>
  <c r="Q1466" i="9"/>
  <c r="Q1462" i="9"/>
  <c r="Q1458" i="9"/>
  <c r="Q1454" i="9"/>
  <c r="Q1450" i="9"/>
  <c r="Q1446" i="9"/>
  <c r="Q1442" i="9"/>
  <c r="Q1438" i="9"/>
  <c r="Q1434" i="9"/>
  <c r="Q1430" i="9"/>
  <c r="Q1426" i="9"/>
  <c r="Q1422" i="9"/>
  <c r="Q1418" i="9"/>
  <c r="Q1414" i="9"/>
  <c r="Q1410" i="9"/>
  <c r="Q1406" i="9"/>
  <c r="Q1402" i="9"/>
  <c r="Q1398" i="9"/>
  <c r="Q1394" i="9"/>
  <c r="Q1390" i="9"/>
  <c r="Q1386" i="9"/>
  <c r="Q1382" i="9"/>
  <c r="Q1378" i="9"/>
  <c r="Q1374" i="9"/>
  <c r="Q1370" i="9"/>
  <c r="Q1366" i="9"/>
  <c r="Q1362" i="9"/>
  <c r="Q1358" i="9"/>
  <c r="Q1354" i="9"/>
  <c r="Q1350" i="9"/>
  <c r="Q1346" i="9"/>
  <c r="Q1342" i="9"/>
  <c r="Q1338" i="9"/>
  <c r="Q1334" i="9"/>
  <c r="Q1330" i="9"/>
  <c r="Q1326" i="9"/>
  <c r="Q1322" i="9"/>
  <c r="Q1318" i="9"/>
  <c r="Q1314" i="9"/>
  <c r="Q1310" i="9"/>
  <c r="Q1306" i="9"/>
  <c r="Q1302" i="9"/>
  <c r="Q1298" i="9"/>
  <c r="Q1294" i="9"/>
  <c r="Q1290" i="9"/>
  <c r="Q1286" i="9"/>
  <c r="Q1282" i="9"/>
  <c r="Q1278" i="9"/>
  <c r="Q1274" i="9"/>
  <c r="Q1270" i="9"/>
  <c r="Q1266" i="9"/>
  <c r="Q1262" i="9"/>
  <c r="Q1258" i="9"/>
  <c r="Q1250" i="9"/>
  <c r="Q1246" i="9"/>
  <c r="Q1242" i="9"/>
  <c r="Q1238" i="9"/>
  <c r="Q1234" i="9"/>
  <c r="Q1230" i="9"/>
  <c r="Q1226" i="9"/>
  <c r="Q1222" i="9"/>
  <c r="Q1218" i="9"/>
  <c r="Q1214" i="9"/>
  <c r="Q1210" i="9"/>
  <c r="Q1206" i="9"/>
  <c r="Q1202" i="9"/>
  <c r="Q1198" i="9"/>
  <c r="Q1194" i="9"/>
  <c r="Q1190" i="9"/>
  <c r="Q1186" i="9"/>
  <c r="Q1182" i="9"/>
  <c r="Q1178" i="9"/>
  <c r="Q1174" i="9"/>
  <c r="Q1170" i="9"/>
  <c r="Q1166" i="9"/>
  <c r="Q1162" i="9"/>
  <c r="Q1158" i="9"/>
  <c r="Q1154" i="9"/>
  <c r="Q1150" i="9"/>
  <c r="Q1449" i="9"/>
  <c r="Q1433" i="9"/>
  <c r="Q1417" i="9"/>
  <c r="Q1401" i="9"/>
  <c r="Q1385" i="9"/>
  <c r="Q1369" i="9"/>
  <c r="Q1353" i="9"/>
  <c r="Q1337" i="9"/>
  <c r="Q1321" i="9"/>
  <c r="Q1305" i="9"/>
  <c r="Q1289" i="9"/>
  <c r="Q1273" i="9"/>
  <c r="Q1257" i="9"/>
  <c r="Q1241" i="9"/>
  <c r="Q1225" i="9"/>
  <c r="Q1209" i="9"/>
  <c r="Q1193" i="9"/>
  <c r="Q1177" i="9"/>
  <c r="Q1161" i="9"/>
  <c r="Q1461" i="9"/>
  <c r="Q1445" i="9"/>
  <c r="Q1429" i="9"/>
  <c r="Q1413" i="9"/>
  <c r="Q1397" i="9"/>
  <c r="Q1381" i="9"/>
  <c r="Q1365" i="9"/>
  <c r="Q1349" i="9"/>
  <c r="Q1333" i="9"/>
  <c r="Q1317" i="9"/>
  <c r="Q1301" i="9"/>
  <c r="Q1285" i="9"/>
  <c r="Q1269" i="9"/>
  <c r="Q1237" i="9"/>
  <c r="Q1221" i="9"/>
  <c r="Q1205" i="9"/>
  <c r="Q1189" i="9"/>
  <c r="Q1173" i="9"/>
  <c r="Q1157" i="9"/>
  <c r="Q878" i="9"/>
  <c r="Q1457" i="9"/>
  <c r="Q1441" i="9"/>
  <c r="Q1425" i="9"/>
  <c r="Q1409" i="9"/>
  <c r="Q1393" i="9"/>
  <c r="Q1377" i="9"/>
  <c r="Q1361" i="9"/>
  <c r="Q1345" i="9"/>
  <c r="Q1329" i="9"/>
  <c r="Q1313" i="9"/>
  <c r="Q1297" i="9"/>
  <c r="Q1281" i="9"/>
  <c r="Q1265" i="9"/>
  <c r="Q1249" i="9"/>
  <c r="Q1233" i="9"/>
  <c r="Q1217" i="9"/>
  <c r="Q1201" i="9"/>
  <c r="Q1185" i="9"/>
  <c r="Q1169" i="9"/>
  <c r="Q1153" i="9"/>
  <c r="Q1453" i="9"/>
  <c r="Q1437" i="9"/>
  <c r="Q1421" i="9"/>
  <c r="Q1405" i="9"/>
  <c r="Q1389" i="9"/>
  <c r="Q1373" i="9"/>
  <c r="Q1357" i="9"/>
  <c r="Q1341" i="9"/>
  <c r="Q1325" i="9"/>
  <c r="Q1309" i="9"/>
  <c r="Q1293" i="9"/>
  <c r="Q1277" i="9"/>
  <c r="Q1261" i="9"/>
  <c r="Q1245" i="9"/>
  <c r="Q1229" i="9"/>
  <c r="Q1213" i="9"/>
  <c r="Q1197" i="9"/>
  <c r="Q1181" i="9"/>
  <c r="Q1165" i="9"/>
  <c r="Q1149" i="9"/>
  <c r="Q892" i="9"/>
  <c r="R1694" i="10"/>
  <c r="R1690" i="10"/>
  <c r="R1686" i="10"/>
  <c r="R1682" i="10"/>
  <c r="R1678" i="10"/>
  <c r="R1674" i="10"/>
  <c r="R1670" i="10"/>
  <c r="R1666" i="10"/>
  <c r="R1662" i="10"/>
  <c r="R1658" i="10"/>
  <c r="R1654" i="10"/>
  <c r="R1650" i="10"/>
  <c r="R1646" i="10"/>
  <c r="R1642" i="10"/>
  <c r="R1638" i="10"/>
  <c r="R1634" i="10"/>
  <c r="R1630" i="10"/>
  <c r="R1626" i="10"/>
  <c r="R1622" i="10"/>
  <c r="R1618" i="10"/>
  <c r="R1614" i="10"/>
  <c r="R1610" i="10"/>
  <c r="R1606" i="10"/>
  <c r="R1602" i="10"/>
  <c r="R1598" i="10"/>
  <c r="R1594" i="10"/>
  <c r="R1590" i="10"/>
  <c r="R1586" i="10"/>
  <c r="R1582" i="10"/>
  <c r="R1578" i="10"/>
  <c r="R1574" i="10"/>
  <c r="R1570" i="10"/>
  <c r="R1566" i="10"/>
  <c r="R1562" i="10"/>
  <c r="R1558" i="10"/>
  <c r="R1554" i="10"/>
  <c r="R1550" i="10"/>
  <c r="R1546" i="10"/>
  <c r="R1542" i="10"/>
  <c r="R1538" i="10"/>
  <c r="R1534" i="10"/>
  <c r="R1530" i="10"/>
  <c r="R1526" i="10"/>
  <c r="R1522" i="10"/>
  <c r="R1518" i="10"/>
  <c r="R1514" i="10"/>
  <c r="R1510" i="10"/>
  <c r="R1506" i="10"/>
  <c r="R1502" i="10"/>
  <c r="R1693" i="10"/>
  <c r="R1689" i="10"/>
  <c r="R1685" i="10"/>
  <c r="R1681" i="10"/>
  <c r="R1677" i="10"/>
  <c r="R1673" i="10"/>
  <c r="R1669" i="10"/>
  <c r="R1665" i="10"/>
  <c r="R1661" i="10"/>
  <c r="R1657" i="10"/>
  <c r="R1653" i="10"/>
  <c r="R1649" i="10"/>
  <c r="R1645" i="10"/>
  <c r="R1641" i="10"/>
  <c r="R1637" i="10"/>
  <c r="R1633" i="10"/>
  <c r="R1629" i="10"/>
  <c r="R1625" i="10"/>
  <c r="R1621" i="10"/>
  <c r="R1617" i="10"/>
  <c r="R1613" i="10"/>
  <c r="R1609" i="10"/>
  <c r="R1605" i="10"/>
  <c r="R1601" i="10"/>
  <c r="R1597" i="10"/>
  <c r="R1593" i="10"/>
  <c r="R1589" i="10"/>
  <c r="R1585" i="10"/>
  <c r="R1581" i="10"/>
  <c r="R1577" i="10"/>
  <c r="R1573" i="10"/>
  <c r="R1569" i="10"/>
  <c r="R1565" i="10"/>
  <c r="R1561" i="10"/>
  <c r="R1557" i="10"/>
  <c r="R1553" i="10"/>
  <c r="R1549" i="10"/>
  <c r="R1545" i="10"/>
  <c r="R1541" i="10"/>
  <c r="R1537" i="10"/>
  <c r="R1533" i="10"/>
  <c r="R1529" i="10"/>
  <c r="R1525" i="10"/>
  <c r="R1521" i="10"/>
  <c r="R1517" i="10"/>
  <c r="R1513" i="10"/>
  <c r="R1509" i="10"/>
  <c r="R1505" i="10"/>
  <c r="R1696" i="10"/>
  <c r="R1692" i="10"/>
  <c r="R1688" i="10"/>
  <c r="R1684" i="10"/>
  <c r="R1680" i="10"/>
  <c r="R1676" i="10"/>
  <c r="R1672" i="10"/>
  <c r="R1668" i="10"/>
  <c r="R1664" i="10"/>
  <c r="R1660" i="10"/>
  <c r="R1656" i="10"/>
  <c r="R1652" i="10"/>
  <c r="R1648" i="10"/>
  <c r="R1644" i="10"/>
  <c r="R1640" i="10"/>
  <c r="R1636" i="10"/>
  <c r="R1632" i="10"/>
  <c r="R1628" i="10"/>
  <c r="R1624" i="10"/>
  <c r="R1620" i="10"/>
  <c r="R1616" i="10"/>
  <c r="R1612" i="10"/>
  <c r="R1608" i="10"/>
  <c r="R1604" i="10"/>
  <c r="R1600" i="10"/>
  <c r="R1596" i="10"/>
  <c r="R1592" i="10"/>
  <c r="R1588" i="10"/>
  <c r="R1584" i="10"/>
  <c r="R1580" i="10"/>
  <c r="R1576" i="10"/>
  <c r="R1572" i="10"/>
  <c r="R1568" i="10"/>
  <c r="R1564" i="10"/>
  <c r="R1560" i="10"/>
  <c r="R1556" i="10"/>
  <c r="R1552" i="10"/>
  <c r="R1548" i="10"/>
  <c r="R1544" i="10"/>
  <c r="R1540" i="10"/>
  <c r="R1536" i="10"/>
  <c r="R1532" i="10"/>
  <c r="R1528" i="10"/>
  <c r="R1524" i="10"/>
  <c r="R1520" i="10"/>
  <c r="R1516" i="10"/>
  <c r="R1512" i="10"/>
  <c r="R1508" i="10"/>
  <c r="R1504" i="10"/>
  <c r="R1695" i="10"/>
  <c r="R1691" i="10"/>
  <c r="R1687" i="10"/>
  <c r="R1683" i="10"/>
  <c r="R1679" i="10"/>
  <c r="R1675" i="10"/>
  <c r="R1671" i="10"/>
  <c r="R1667" i="10"/>
  <c r="R1663" i="10"/>
  <c r="R1659" i="10"/>
  <c r="R1655" i="10"/>
  <c r="R1651" i="10"/>
  <c r="R1647" i="10"/>
  <c r="R1643" i="10"/>
  <c r="R1639" i="10"/>
  <c r="R1635" i="10"/>
  <c r="R1631" i="10"/>
  <c r="R1627" i="10"/>
  <c r="R1623" i="10"/>
  <c r="R1619" i="10"/>
  <c r="R1615" i="10"/>
  <c r="R1611" i="10"/>
  <c r="R1607" i="10"/>
  <c r="R1603" i="10"/>
  <c r="R1599" i="10"/>
  <c r="R1595" i="10"/>
  <c r="R1591" i="10"/>
  <c r="R1587" i="10"/>
  <c r="R1583" i="10"/>
  <c r="R1579" i="10"/>
  <c r="R1575" i="10"/>
  <c r="R1571" i="10"/>
  <c r="R1567" i="10"/>
  <c r="R1563" i="10"/>
  <c r="R1559" i="10"/>
  <c r="R1555" i="10"/>
  <c r="R1551" i="10"/>
  <c r="R1547" i="10"/>
  <c r="R1543" i="10"/>
  <c r="R1539" i="10"/>
  <c r="R1535" i="10"/>
  <c r="R1531" i="10"/>
  <c r="R1527" i="10"/>
  <c r="R1523" i="10"/>
  <c r="R1519" i="10"/>
  <c r="R1515" i="10"/>
  <c r="R1511" i="10"/>
  <c r="R1507" i="10"/>
  <c r="R1503" i="10"/>
  <c r="R2230" i="10"/>
  <c r="R2226" i="10"/>
  <c r="R2222" i="10"/>
  <c r="R2218" i="10"/>
  <c r="R2214" i="10"/>
  <c r="R2233" i="10"/>
  <c r="R2229" i="10"/>
  <c r="R2225" i="10"/>
  <c r="R2221" i="10"/>
  <c r="R2217" i="10"/>
  <c r="R2232" i="10"/>
  <c r="R2228" i="10"/>
  <c r="R2224" i="10"/>
  <c r="R2220" i="10"/>
  <c r="R2216" i="10"/>
  <c r="R2227" i="10"/>
  <c r="R2223" i="10"/>
  <c r="R2219" i="10"/>
  <c r="R2231" i="10"/>
  <c r="R2215" i="10"/>
  <c r="Q3513" i="9"/>
  <c r="Q3509" i="9"/>
  <c r="Q3505" i="9"/>
  <c r="Q3501" i="9"/>
  <c r="Q3497" i="9"/>
  <c r="Q3493" i="9"/>
  <c r="Q3489" i="9"/>
  <c r="Q3485" i="9"/>
  <c r="Q3481" i="9"/>
  <c r="Q3477" i="9"/>
  <c r="Q3473" i="9"/>
  <c r="Q3469" i="9"/>
  <c r="Q3465" i="9"/>
  <c r="Q3461" i="9"/>
  <c r="Q3457" i="9"/>
  <c r="Q3453" i="9"/>
  <c r="Q3449" i="9"/>
  <c r="Q3445" i="9"/>
  <c r="Q3441" i="9"/>
  <c r="Q3437" i="9"/>
  <c r="Q3433" i="9"/>
  <c r="Q3429" i="9"/>
  <c r="Q3425" i="9"/>
  <c r="Q3421" i="9"/>
  <c r="Q3417" i="9"/>
  <c r="Q3413" i="9"/>
  <c r="Q3409" i="9"/>
  <c r="Q3405" i="9"/>
  <c r="Q3401" i="9"/>
  <c r="Q3397" i="9"/>
  <c r="Q3393" i="9"/>
  <c r="Q3389" i="9"/>
  <c r="Q3385" i="9"/>
  <c r="Q3381" i="9"/>
  <c r="Q3373" i="9"/>
  <c r="Q3369" i="9"/>
  <c r="Q3365" i="9"/>
  <c r="Q3361" i="9"/>
  <c r="Q3357" i="9"/>
  <c r="Q3353" i="9"/>
  <c r="Q3349" i="9"/>
  <c r="Q3345" i="9"/>
  <c r="Q3341" i="9"/>
  <c r="Q3337" i="9"/>
  <c r="Q3333" i="9"/>
  <c r="Q3329" i="9"/>
  <c r="Q3325" i="9"/>
  <c r="Q3321" i="9"/>
  <c r="Q3317" i="9"/>
  <c r="Q3313" i="9"/>
  <c r="Q3309" i="9"/>
  <c r="Q3516" i="9"/>
  <c r="Q3512" i="9"/>
  <c r="Q3508" i="9"/>
  <c r="Q3504" i="9"/>
  <c r="Q3500" i="9"/>
  <c r="Q3496" i="9"/>
  <c r="Q3492" i="9"/>
  <c r="Q3488" i="9"/>
  <c r="Q3484" i="9"/>
  <c r="Q3480" i="9"/>
  <c r="Q3476" i="9"/>
  <c r="Q3472" i="9"/>
  <c r="Q3468" i="9"/>
  <c r="Q3464" i="9"/>
  <c r="Q3460" i="9"/>
  <c r="Q3456" i="9"/>
  <c r="Q3452" i="9"/>
  <c r="Q3448" i="9"/>
  <c r="Q3444" i="9"/>
  <c r="Q3440" i="9"/>
  <c r="Q3436" i="9"/>
  <c r="Q3432" i="9"/>
  <c r="Q3428" i="9"/>
  <c r="Q3424" i="9"/>
  <c r="Q3420" i="9"/>
  <c r="Q3416" i="9"/>
  <c r="Q3412" i="9"/>
  <c r="Q3408" i="9"/>
  <c r="Q3404" i="9"/>
  <c r="Q3400" i="9"/>
  <c r="Q3396" i="9"/>
  <c r="Q3392" i="9"/>
  <c r="Q3388" i="9"/>
  <c r="Q3384" i="9"/>
  <c r="Q3380" i="9"/>
  <c r="Q3376" i="9"/>
  <c r="Q3372" i="9"/>
  <c r="Q3368" i="9"/>
  <c r="Q3364" i="9"/>
  <c r="Q3360" i="9"/>
  <c r="Q3356" i="9"/>
  <c r="Q3352" i="9"/>
  <c r="Q3348" i="9"/>
  <c r="Q3344" i="9"/>
  <c r="Q3340" i="9"/>
  <c r="Q3336" i="9"/>
  <c r="Q3332" i="9"/>
  <c r="Q3328" i="9"/>
  <c r="Q3324" i="9"/>
  <c r="Q3320" i="9"/>
  <c r="Q3316" i="9"/>
  <c r="Q3312" i="9"/>
  <c r="Q3515" i="9"/>
  <c r="Q3511" i="9"/>
  <c r="Q3507" i="9"/>
  <c r="Q3503" i="9"/>
  <c r="Q3499" i="9"/>
  <c r="Q3495" i="9"/>
  <c r="Q3491" i="9"/>
  <c r="Q3487" i="9"/>
  <c r="Q3483" i="9"/>
  <c r="Q3479" i="9"/>
  <c r="Q3475" i="9"/>
  <c r="Q3471" i="9"/>
  <c r="Q3467" i="9"/>
  <c r="Q3463" i="9"/>
  <c r="Q3459" i="9"/>
  <c r="Q3455" i="9"/>
  <c r="Q3451" i="9"/>
  <c r="Q3447" i="9"/>
  <c r="Q3443" i="9"/>
  <c r="Q3439" i="9"/>
  <c r="Q3435" i="9"/>
  <c r="Q3431" i="9"/>
  <c r="Q3427" i="9"/>
  <c r="Q3423" i="9"/>
  <c r="Q3419" i="9"/>
  <c r="Q3415" i="9"/>
  <c r="Q3411" i="9"/>
  <c r="Q3407" i="9"/>
  <c r="Q3403" i="9"/>
  <c r="Q3399" i="9"/>
  <c r="Q3395" i="9"/>
  <c r="Q3391" i="9"/>
  <c r="Q3387" i="9"/>
  <c r="Q3383" i="9"/>
  <c r="Q3379" i="9"/>
  <c r="Q3375" i="9"/>
  <c r="Q3371" i="9"/>
  <c r="Q3367" i="9"/>
  <c r="Q3363" i="9"/>
  <c r="Q3359" i="9"/>
  <c r="Q3355" i="9"/>
  <c r="Q3351" i="9"/>
  <c r="Q3347" i="9"/>
  <c r="Q3343" i="9"/>
  <c r="Q3339" i="9"/>
  <c r="Q3335" i="9"/>
  <c r="Q3331" i="9"/>
  <c r="Q3327" i="9"/>
  <c r="Q3323" i="9"/>
  <c r="Q3319" i="9"/>
  <c r="Q3315" i="9"/>
  <c r="Q3311" i="9"/>
  <c r="Q3514" i="9"/>
  <c r="Q3510" i="9"/>
  <c r="Q3506" i="9"/>
  <c r="Q3502" i="9"/>
  <c r="Q3498" i="9"/>
  <c r="Q3494" i="9"/>
  <c r="Q3490" i="9"/>
  <c r="Q3486" i="9"/>
  <c r="Q3482" i="9"/>
  <c r="Q3478" i="9"/>
  <c r="Q3474" i="9"/>
  <c r="Q3470" i="9"/>
  <c r="Q3466" i="9"/>
  <c r="Q3462" i="9"/>
  <c r="Q3458" i="9"/>
  <c r="Q3454" i="9"/>
  <c r="Q3450" i="9"/>
  <c r="Q3446" i="9"/>
  <c r="Q3442" i="9"/>
  <c r="Q3438" i="9"/>
  <c r="Q3434" i="9"/>
  <c r="Q3430" i="9"/>
  <c r="Q3426" i="9"/>
  <c r="Q3422" i="9"/>
  <c r="Q3418" i="9"/>
  <c r="Q3414" i="9"/>
  <c r="Q3410" i="9"/>
  <c r="Q3406" i="9"/>
  <c r="Q3402" i="9"/>
  <c r="Q3398" i="9"/>
  <c r="Q3394" i="9"/>
  <c r="Q3390" i="9"/>
  <c r="Q3386" i="9"/>
  <c r="Q3382" i="9"/>
  <c r="Q3378" i="9"/>
  <c r="Q3374" i="9"/>
  <c r="Q3370" i="9"/>
  <c r="Q3366" i="9"/>
  <c r="Q3362" i="9"/>
  <c r="Q3358" i="9"/>
  <c r="Q3354" i="9"/>
  <c r="Q3350" i="9"/>
  <c r="Q3346" i="9"/>
  <c r="Q3342" i="9"/>
  <c r="Q3338" i="9"/>
  <c r="Q3334" i="9"/>
  <c r="Q3330" i="9"/>
  <c r="Q3326" i="9"/>
  <c r="Q3322" i="9"/>
  <c r="Q3318" i="9"/>
  <c r="Q3314" i="9"/>
  <c r="Q3310" i="9"/>
  <c r="R1498" i="10"/>
  <c r="R1494" i="10"/>
  <c r="R1490" i="10"/>
  <c r="R1486" i="10"/>
  <c r="R1482" i="10"/>
  <c r="R1478" i="10"/>
  <c r="R1474" i="10"/>
  <c r="R1470" i="10"/>
  <c r="R1466" i="10"/>
  <c r="R1462" i="10"/>
  <c r="R1458" i="10"/>
  <c r="R1454" i="10"/>
  <c r="R1450" i="10"/>
  <c r="R1446" i="10"/>
  <c r="R1442" i="10"/>
  <c r="R1438" i="10"/>
  <c r="R1434" i="10"/>
  <c r="R1430" i="10"/>
  <c r="R1426" i="10"/>
  <c r="R1422" i="10"/>
  <c r="R1418" i="10"/>
  <c r="R1414" i="10"/>
  <c r="R1410" i="10"/>
  <c r="R1406" i="10"/>
  <c r="R1402" i="10"/>
  <c r="R1398" i="10"/>
  <c r="R1394" i="10"/>
  <c r="R1390" i="10"/>
  <c r="R1386" i="10"/>
  <c r="R1382" i="10"/>
  <c r="R1378" i="10"/>
  <c r="R1374" i="10"/>
  <c r="R1370" i="10"/>
  <c r="R1366" i="10"/>
  <c r="R1362" i="10"/>
  <c r="R1358" i="10"/>
  <c r="R1354" i="10"/>
  <c r="R1350" i="10"/>
  <c r="R1346" i="10"/>
  <c r="R1342" i="10"/>
  <c r="R1338" i="10"/>
  <c r="R1334" i="10"/>
  <c r="R1330" i="10"/>
  <c r="R1326" i="10"/>
  <c r="R1322" i="10"/>
  <c r="R1318" i="10"/>
  <c r="R1314" i="10"/>
  <c r="R1310" i="10"/>
  <c r="R1306" i="10"/>
  <c r="R1302" i="10"/>
  <c r="R1298" i="10"/>
  <c r="R1294" i="10"/>
  <c r="R1290" i="10"/>
  <c r="R1286" i="10"/>
  <c r="R1282" i="10"/>
  <c r="R1278" i="10"/>
  <c r="R1274" i="10"/>
  <c r="R1270" i="10"/>
  <c r="R1266" i="10"/>
  <c r="R1501" i="10"/>
  <c r="R1497" i="10"/>
  <c r="R1493" i="10"/>
  <c r="R1489" i="10"/>
  <c r="R1485" i="10"/>
  <c r="R1481" i="10"/>
  <c r="R1477" i="10"/>
  <c r="R1473" i="10"/>
  <c r="R1469" i="10"/>
  <c r="R1465" i="10"/>
  <c r="R1461" i="10"/>
  <c r="R1457" i="10"/>
  <c r="R1453" i="10"/>
  <c r="R1449" i="10"/>
  <c r="R1445" i="10"/>
  <c r="R1441" i="10"/>
  <c r="R1437" i="10"/>
  <c r="R1433" i="10"/>
  <c r="R1429" i="10"/>
  <c r="R1425" i="10"/>
  <c r="R1421" i="10"/>
  <c r="R1417" i="10"/>
  <c r="R1413" i="10"/>
  <c r="R1409" i="10"/>
  <c r="R1405" i="10"/>
  <c r="R1401" i="10"/>
  <c r="R1397" i="10"/>
  <c r="R1393" i="10"/>
  <c r="R1389" i="10"/>
  <c r="R1385" i="10"/>
  <c r="R1381" i="10"/>
  <c r="R1377" i="10"/>
  <c r="R1373" i="10"/>
  <c r="R1369" i="10"/>
  <c r="R1365" i="10"/>
  <c r="R1361" i="10"/>
  <c r="R1357" i="10"/>
  <c r="R1353" i="10"/>
  <c r="R1349" i="10"/>
  <c r="R1345" i="10"/>
  <c r="R1341" i="10"/>
  <c r="R1337" i="10"/>
  <c r="R1333" i="10"/>
  <c r="R1329" i="10"/>
  <c r="R1325" i="10"/>
  <c r="R1321" i="10"/>
  <c r="R1317" i="10"/>
  <c r="R1313" i="10"/>
  <c r="R1309" i="10"/>
  <c r="R1305" i="10"/>
  <c r="R1301" i="10"/>
  <c r="R1297" i="10"/>
  <c r="R1293" i="10"/>
  <c r="R1289" i="10"/>
  <c r="R1285" i="10"/>
  <c r="R1281" i="10"/>
  <c r="R1277" i="10"/>
  <c r="R1273" i="10"/>
  <c r="R1269" i="10"/>
  <c r="R1500" i="10"/>
  <c r="R1496" i="10"/>
  <c r="R1492" i="10"/>
  <c r="R1488" i="10"/>
  <c r="R1484" i="10"/>
  <c r="R1480" i="10"/>
  <c r="R1476" i="10"/>
  <c r="R1472" i="10"/>
  <c r="R1468" i="10"/>
  <c r="R1464" i="10"/>
  <c r="R1460" i="10"/>
  <c r="R1456" i="10"/>
  <c r="R1452" i="10"/>
  <c r="R1448" i="10"/>
  <c r="R1444" i="10"/>
  <c r="R1440" i="10"/>
  <c r="R1436" i="10"/>
  <c r="R1432" i="10"/>
  <c r="R1428" i="10"/>
  <c r="R1424" i="10"/>
  <c r="R1420" i="10"/>
  <c r="R1416" i="10"/>
  <c r="R1412" i="10"/>
  <c r="R1408" i="10"/>
  <c r="R1404" i="10"/>
  <c r="R1400" i="10"/>
  <c r="R1396" i="10"/>
  <c r="R1392" i="10"/>
  <c r="R1388" i="10"/>
  <c r="R1384" i="10"/>
  <c r="R1380" i="10"/>
  <c r="R1376" i="10"/>
  <c r="R1372" i="10"/>
  <c r="R1368" i="10"/>
  <c r="R1364" i="10"/>
  <c r="R1360" i="10"/>
  <c r="R1356" i="10"/>
  <c r="R1352" i="10"/>
  <c r="R1348" i="10"/>
  <c r="R1344" i="10"/>
  <c r="R1340" i="10"/>
  <c r="R1336" i="10"/>
  <c r="R1332" i="10"/>
  <c r="R1328" i="10"/>
  <c r="R1324" i="10"/>
  <c r="R1320" i="10"/>
  <c r="R1316" i="10"/>
  <c r="R1312" i="10"/>
  <c r="R1308" i="10"/>
  <c r="R1304" i="10"/>
  <c r="R1300" i="10"/>
  <c r="R1296" i="10"/>
  <c r="R1292" i="10"/>
  <c r="R1288" i="10"/>
  <c r="R1284" i="10"/>
  <c r="R1280" i="10"/>
  <c r="R1276" i="10"/>
  <c r="R1272" i="10"/>
  <c r="R1268" i="10"/>
  <c r="R1499" i="10"/>
  <c r="R1495" i="10"/>
  <c r="R1491" i="10"/>
  <c r="R1487" i="10"/>
  <c r="R1483" i="10"/>
  <c r="R1479" i="10"/>
  <c r="R1475" i="10"/>
  <c r="R1471" i="10"/>
  <c r="R1467" i="10"/>
  <c r="R1463" i="10"/>
  <c r="R1459" i="10"/>
  <c r="R1455" i="10"/>
  <c r="R1451" i="10"/>
  <c r="R1447" i="10"/>
  <c r="R1443" i="10"/>
  <c r="R1439" i="10"/>
  <c r="R1435" i="10"/>
  <c r="R1431" i="10"/>
  <c r="R1427" i="10"/>
  <c r="R1423" i="10"/>
  <c r="R1419" i="10"/>
  <c r="R1415" i="10"/>
  <c r="R1411" i="10"/>
  <c r="R1407" i="10"/>
  <c r="R1403" i="10"/>
  <c r="R1399" i="10"/>
  <c r="R1395" i="10"/>
  <c r="R1391" i="10"/>
  <c r="R1387" i="10"/>
  <c r="R1383" i="10"/>
  <c r="R1379" i="10"/>
  <c r="R1375" i="10"/>
  <c r="R1371" i="10"/>
  <c r="R1367" i="10"/>
  <c r="R1363" i="10"/>
  <c r="R1359" i="10"/>
  <c r="R1355" i="10"/>
  <c r="R1351" i="10"/>
  <c r="R1347" i="10"/>
  <c r="R1343" i="10"/>
  <c r="R1339" i="10"/>
  <c r="R1335" i="10"/>
  <c r="R1331" i="10"/>
  <c r="R1327" i="10"/>
  <c r="R1323" i="10"/>
  <c r="R1319" i="10"/>
  <c r="R1315" i="10"/>
  <c r="R1311" i="10"/>
  <c r="R1307" i="10"/>
  <c r="R1303" i="10"/>
  <c r="R1299" i="10"/>
  <c r="R1295" i="10"/>
  <c r="R1291" i="10"/>
  <c r="R1287" i="10"/>
  <c r="R1283" i="10"/>
  <c r="R1279" i="10"/>
  <c r="R1275" i="10"/>
  <c r="R1271" i="10"/>
  <c r="R1267" i="10"/>
  <c r="Q3009" i="9"/>
  <c r="Q3005" i="9"/>
  <c r="Q3001" i="9"/>
  <c r="Q2997" i="9"/>
  <c r="Q2993" i="9"/>
  <c r="Q2989" i="9"/>
  <c r="Q2985" i="9"/>
  <c r="Q2981" i="9"/>
  <c r="Q2977" i="9"/>
  <c r="Q2973" i="9"/>
  <c r="Q2969" i="9"/>
  <c r="Q2965" i="9"/>
  <c r="Q2961" i="9"/>
  <c r="Q2957" i="9"/>
  <c r="Q2953" i="9"/>
  <c r="Q2949" i="9"/>
  <c r="Q2945" i="9"/>
  <c r="Q2941" i="9"/>
  <c r="Q2937" i="9"/>
  <c r="Q2933" i="9"/>
  <c r="Q2929" i="9"/>
  <c r="Q2925" i="9"/>
  <c r="Q2921" i="9"/>
  <c r="Q2917" i="9"/>
  <c r="Q2913" i="9"/>
  <c r="Q2909" i="9"/>
  <c r="Q2905" i="9"/>
  <c r="Q2901" i="9"/>
  <c r="Q2897" i="9"/>
  <c r="Q2893" i="9"/>
  <c r="Q2889" i="9"/>
  <c r="Q2885" i="9"/>
  <c r="Q2881" i="9"/>
  <c r="Q2877" i="9"/>
  <c r="Q2873" i="9"/>
  <c r="Q2869" i="9"/>
  <c r="Q2865" i="9"/>
  <c r="Q2861" i="9"/>
  <c r="Q2857" i="9"/>
  <c r="Q2853" i="9"/>
  <c r="Q2849" i="9"/>
  <c r="Q2845" i="9"/>
  <c r="Q2841" i="9"/>
  <c r="Q2837" i="9"/>
  <c r="Q2833" i="9"/>
  <c r="Q2829" i="9"/>
  <c r="Q2825" i="9"/>
  <c r="Q2821" i="9"/>
  <c r="Q2817" i="9"/>
  <c r="Q2813" i="9"/>
  <c r="Q2809" i="9"/>
  <c r="Q2805" i="9"/>
  <c r="Q2797" i="9"/>
  <c r="Q2789" i="9"/>
  <c r="Q2785" i="9"/>
  <c r="Q2781" i="9"/>
  <c r="Q2777" i="9"/>
  <c r="Q2773" i="9"/>
  <c r="Q2769" i="9"/>
  <c r="Q3008" i="9"/>
  <c r="Q3004" i="9"/>
  <c r="Q3000" i="9"/>
  <c r="Q2996" i="9"/>
  <c r="Q2992" i="9"/>
  <c r="Q2988" i="9"/>
  <c r="Q2984" i="9"/>
  <c r="Q2980" i="9"/>
  <c r="Q2976" i="9"/>
  <c r="Q2972" i="9"/>
  <c r="Q2968" i="9"/>
  <c r="Q2964" i="9"/>
  <c r="Q2960" i="9"/>
  <c r="Q2956" i="9"/>
  <c r="Q2952" i="9"/>
  <c r="Q2948" i="9"/>
  <c r="Q2944" i="9"/>
  <c r="Q2940" i="9"/>
  <c r="Q2936" i="9"/>
  <c r="Q2932" i="9"/>
  <c r="Q2928" i="9"/>
  <c r="Q2924" i="9"/>
  <c r="Q2920" i="9"/>
  <c r="Q2916" i="9"/>
  <c r="Q2912" i="9"/>
  <c r="Q2908" i="9"/>
  <c r="Q2904" i="9"/>
  <c r="Q2900" i="9"/>
  <c r="Q2896" i="9"/>
  <c r="Q2892" i="9"/>
  <c r="Q2888" i="9"/>
  <c r="Q2884" i="9"/>
  <c r="Q2880" i="9"/>
  <c r="Q2876" i="9"/>
  <c r="Q2872" i="9"/>
  <c r="Q2868" i="9"/>
  <c r="Q2864" i="9"/>
  <c r="Q2860" i="9"/>
  <c r="Q2856" i="9"/>
  <c r="Q2852" i="9"/>
  <c r="Q2848" i="9"/>
  <c r="Q2844" i="9"/>
  <c r="Q2840" i="9"/>
  <c r="Q2836" i="9"/>
  <c r="Q2832" i="9"/>
  <c r="Q2828" i="9"/>
  <c r="Q2824" i="9"/>
  <c r="Q2820" i="9"/>
  <c r="Q2816" i="9"/>
  <c r="Q2812" i="9"/>
  <c r="Q2808" i="9"/>
  <c r="Q2804" i="9"/>
  <c r="Q2800" i="9"/>
  <c r="Q2796" i="9"/>
  <c r="Q2792" i="9"/>
  <c r="Q2788" i="9"/>
  <c r="Q2784" i="9"/>
  <c r="Q2780" i="9"/>
  <c r="Q2776" i="9"/>
  <c r="Q2772" i="9"/>
  <c r="Q3011" i="9"/>
  <c r="Q3007" i="9"/>
  <c r="Q3003" i="9"/>
  <c r="Q2999" i="9"/>
  <c r="Q2995" i="9"/>
  <c r="Q2991" i="9"/>
  <c r="Q2987" i="9"/>
  <c r="Q2983" i="9"/>
  <c r="Q2979" i="9"/>
  <c r="Q2975" i="9"/>
  <c r="Q2971" i="9"/>
  <c r="Q2967" i="9"/>
  <c r="Q2963" i="9"/>
  <c r="Q2959" i="9"/>
  <c r="Q2955" i="9"/>
  <c r="Q2951" i="9"/>
  <c r="Q2947" i="9"/>
  <c r="Q2943" i="9"/>
  <c r="Q2939" i="9"/>
  <c r="Q2935" i="9"/>
  <c r="Q2931" i="9"/>
  <c r="Q2927" i="9"/>
  <c r="Q2923" i="9"/>
  <c r="Q2919" i="9"/>
  <c r="Q2915" i="9"/>
  <c r="Q2911" i="9"/>
  <c r="Q2907" i="9"/>
  <c r="Q2903" i="9"/>
  <c r="Q2899" i="9"/>
  <c r="Q2895" i="9"/>
  <c r="Q2891" i="9"/>
  <c r="Q2887" i="9"/>
  <c r="Q2883" i="9"/>
  <c r="Q2879" i="9"/>
  <c r="Q2875" i="9"/>
  <c r="Q2871" i="9"/>
  <c r="Q2867" i="9"/>
  <c r="Q2863" i="9"/>
  <c r="Q2859" i="9"/>
  <c r="Q2855" i="9"/>
  <c r="Q2851" i="9"/>
  <c r="Q2847" i="9"/>
  <c r="Q2843" i="9"/>
  <c r="Q2839" i="9"/>
  <c r="Q2835" i="9"/>
  <c r="Q2831" i="9"/>
  <c r="Q2827" i="9"/>
  <c r="Q2823" i="9"/>
  <c r="Q2819" i="9"/>
  <c r="Q2815" i="9"/>
  <c r="Q2811" i="9"/>
  <c r="Q2807" i="9"/>
  <c r="Q2803" i="9"/>
  <c r="Q2799" i="9"/>
  <c r="Q2795" i="9"/>
  <c r="Q2791" i="9"/>
  <c r="Q2787" i="9"/>
  <c r="Q2783" i="9"/>
  <c r="Q2779" i="9"/>
  <c r="Q2775" i="9"/>
  <c r="Q2771" i="9"/>
  <c r="Q2595" i="9"/>
  <c r="Q3010" i="9"/>
  <c r="Q3006" i="9"/>
  <c r="Q3002" i="9"/>
  <c r="Q2998" i="9"/>
  <c r="Q2994" i="9"/>
  <c r="Q2990" i="9"/>
  <c r="Q2986" i="9"/>
  <c r="Q2982" i="9"/>
  <c r="Q2978" i="9"/>
  <c r="Q2974" i="9"/>
  <c r="Q2970" i="9"/>
  <c r="Q2966" i="9"/>
  <c r="Q2962" i="9"/>
  <c r="Q2958" i="9"/>
  <c r="Q2954" i="9"/>
  <c r="Q2950" i="9"/>
  <c r="Q2946" i="9"/>
  <c r="Q2942" i="9"/>
  <c r="Q2938" i="9"/>
  <c r="Q2934" i="9"/>
  <c r="Q2930" i="9"/>
  <c r="Q2926" i="9"/>
  <c r="Q2922" i="9"/>
  <c r="Q2918" i="9"/>
  <c r="Q2914" i="9"/>
  <c r="Q2910" i="9"/>
  <c r="Q2906" i="9"/>
  <c r="Q2902" i="9"/>
  <c r="Q2898" i="9"/>
  <c r="Q2894" i="9"/>
  <c r="Q2890" i="9"/>
  <c r="Q2886" i="9"/>
  <c r="Q2882" i="9"/>
  <c r="Q2878" i="9"/>
  <c r="Q2874" i="9"/>
  <c r="Q2870" i="9"/>
  <c r="Q2866" i="9"/>
  <c r="Q2862" i="9"/>
  <c r="Q2858" i="9"/>
  <c r="Q2854" i="9"/>
  <c r="Q2850" i="9"/>
  <c r="Q2846" i="9"/>
  <c r="Q2842" i="9"/>
  <c r="Q2838" i="9"/>
  <c r="Q2834" i="9"/>
  <c r="Q2830" i="9"/>
  <c r="Q2826" i="9"/>
  <c r="Q2822" i="9"/>
  <c r="Q2818" i="9"/>
  <c r="Q2814" i="9"/>
  <c r="Q2810" i="9"/>
  <c r="Q2806" i="9"/>
  <c r="Q2802" i="9"/>
  <c r="Q2798" i="9"/>
  <c r="Q2794" i="9"/>
  <c r="Q2790" i="9"/>
  <c r="Q2786" i="9"/>
  <c r="Q2782" i="9"/>
  <c r="Q2778" i="9"/>
  <c r="Q2774" i="9"/>
  <c r="Q2770" i="9"/>
  <c r="Q2566" i="9"/>
  <c r="R2150" i="10"/>
  <c r="R2146" i="10"/>
  <c r="R2142" i="10"/>
  <c r="R2138" i="10"/>
  <c r="R2134" i="10"/>
  <c r="R2130" i="10"/>
  <c r="R2126" i="10"/>
  <c r="R2122" i="10"/>
  <c r="R2118" i="10"/>
  <c r="R2114" i="10"/>
  <c r="R2110" i="10"/>
  <c r="R2149" i="10"/>
  <c r="R2145" i="10"/>
  <c r="R2141" i="10"/>
  <c r="R2137" i="10"/>
  <c r="R2133" i="10"/>
  <c r="R2129" i="10"/>
  <c r="R2125" i="10"/>
  <c r="R2121" i="10"/>
  <c r="R2117" i="10"/>
  <c r="R2113" i="10"/>
  <c r="R2109" i="10"/>
  <c r="R2148" i="10"/>
  <c r="R2144" i="10"/>
  <c r="R2140" i="10"/>
  <c r="R2136" i="10"/>
  <c r="R2132" i="10"/>
  <c r="R2128" i="10"/>
  <c r="R2124" i="10"/>
  <c r="R2120" i="10"/>
  <c r="R2116" i="10"/>
  <c r="R2112" i="10"/>
  <c r="R2108" i="10"/>
  <c r="R2147" i="10"/>
  <c r="R2131" i="10"/>
  <c r="R2115" i="10"/>
  <c r="R2143" i="10"/>
  <c r="R2127" i="10"/>
  <c r="R2111" i="10"/>
  <c r="R2139" i="10"/>
  <c r="R2123" i="10"/>
  <c r="R2151" i="10"/>
  <c r="R2135" i="10"/>
  <c r="R2119" i="10"/>
  <c r="Q2513" i="9"/>
  <c r="Q2509" i="9"/>
  <c r="Q2505" i="9"/>
  <c r="Q2501" i="9"/>
  <c r="Q2497" i="9"/>
  <c r="Q2493" i="9"/>
  <c r="Q2489" i="9"/>
  <c r="Q2485" i="9"/>
  <c r="Q2481" i="9"/>
  <c r="Q2477" i="9"/>
  <c r="Q2473" i="9"/>
  <c r="Q2469" i="9"/>
  <c r="Q2465" i="9"/>
  <c r="Q2461" i="9"/>
  <c r="Q2457" i="9"/>
  <c r="Q2453" i="9"/>
  <c r="Q2449" i="9"/>
  <c r="Q2445" i="9"/>
  <c r="Q2441" i="9"/>
  <c r="Q2437" i="9"/>
  <c r="Q2433" i="9"/>
  <c r="Q2429" i="9"/>
  <c r="Q2425" i="9"/>
  <c r="Q2421" i="9"/>
  <c r="Q2417" i="9"/>
  <c r="Q2413" i="9"/>
  <c r="Q2409" i="9"/>
  <c r="Q2405" i="9"/>
  <c r="Q2401" i="9"/>
  <c r="Q2397" i="9"/>
  <c r="Q2393" i="9"/>
  <c r="Q2389" i="9"/>
  <c r="Q2385" i="9"/>
  <c r="Q2381" i="9"/>
  <c r="Q2377" i="9"/>
  <c r="Q2373" i="9"/>
  <c r="Q2369" i="9"/>
  <c r="Q2365" i="9"/>
  <c r="Q2361" i="9"/>
  <c r="Q2357" i="9"/>
  <c r="Q2353" i="9"/>
  <c r="Q2349" i="9"/>
  <c r="Q2345" i="9"/>
  <c r="Q2341" i="9"/>
  <c r="Q2337" i="9"/>
  <c r="Q2333" i="9"/>
  <c r="Q2329" i="9"/>
  <c r="Q2325" i="9"/>
  <c r="Q2321" i="9"/>
  <c r="Q2317" i="9"/>
  <c r="Q2313" i="9"/>
  <c r="Q2309" i="9"/>
  <c r="Q2305" i="9"/>
  <c r="Q2301" i="9"/>
  <c r="Q2297" i="9"/>
  <c r="Q2293" i="9"/>
  <c r="Q2512" i="9"/>
  <c r="Q2508" i="9"/>
  <c r="Q2504" i="9"/>
  <c r="Q2500" i="9"/>
  <c r="Q2496" i="9"/>
  <c r="Q2492" i="9"/>
  <c r="Q2488" i="9"/>
  <c r="Q2484" i="9"/>
  <c r="Q2480" i="9"/>
  <c r="Q2476" i="9"/>
  <c r="Q2472" i="9"/>
  <c r="Q2468" i="9"/>
  <c r="Q2464" i="9"/>
  <c r="Q2460" i="9"/>
  <c r="Q2456" i="9"/>
  <c r="Q2452" i="9"/>
  <c r="Q2448" i="9"/>
  <c r="Q2444" i="9"/>
  <c r="Q2440" i="9"/>
  <c r="Q2436" i="9"/>
  <c r="Q2432" i="9"/>
  <c r="Q2428" i="9"/>
  <c r="Q2424" i="9"/>
  <c r="Q2420" i="9"/>
  <c r="Q2416" i="9"/>
  <c r="Q2412" i="9"/>
  <c r="Q2408" i="9"/>
  <c r="Q2404" i="9"/>
  <c r="Q2400" i="9"/>
  <c r="Q2396" i="9"/>
  <c r="Q2392" i="9"/>
  <c r="Q2388" i="9"/>
  <c r="Q2384" i="9"/>
  <c r="Q2380" i="9"/>
  <c r="Q2376" i="9"/>
  <c r="Q2372" i="9"/>
  <c r="Q2368" i="9"/>
  <c r="Q2364" i="9"/>
  <c r="Q2360" i="9"/>
  <c r="Q2356" i="9"/>
  <c r="Q2352" i="9"/>
  <c r="Q2348" i="9"/>
  <c r="Q2344" i="9"/>
  <c r="Q2340" i="9"/>
  <c r="Q2336" i="9"/>
  <c r="Q2332" i="9"/>
  <c r="Q2328" i="9"/>
  <c r="Q2324" i="9"/>
  <c r="Q2320" i="9"/>
  <c r="Q2316" i="9"/>
  <c r="Q2312" i="9"/>
  <c r="Q2308" i="9"/>
  <c r="Q2304" i="9"/>
  <c r="Q2300" i="9"/>
  <c r="Q2296" i="9"/>
  <c r="Q2292" i="9"/>
  <c r="Q2511" i="9"/>
  <c r="Q2507" i="9"/>
  <c r="Q2503" i="9"/>
  <c r="Q2499" i="9"/>
  <c r="Q2495" i="9"/>
  <c r="Q2491" i="9"/>
  <c r="Q2487" i="9"/>
  <c r="Q2483" i="9"/>
  <c r="Q2479" i="9"/>
  <c r="Q2475" i="9"/>
  <c r="Q2471" i="9"/>
  <c r="Q2467" i="9"/>
  <c r="Q2463" i="9"/>
  <c r="Q2459" i="9"/>
  <c r="Q2455" i="9"/>
  <c r="Q2447" i="9"/>
  <c r="Q2443" i="9"/>
  <c r="Q2439" i="9"/>
  <c r="Q2435" i="9"/>
  <c r="Q2431" i="9"/>
  <c r="Q2427" i="9"/>
  <c r="Q2423" i="9"/>
  <c r="Q2419" i="9"/>
  <c r="Q2415" i="9"/>
  <c r="Q2411" i="9"/>
  <c r="Q2407" i="9"/>
  <c r="Q2403" i="9"/>
  <c r="Q2399" i="9"/>
  <c r="Q2395" i="9"/>
  <c r="Q2391" i="9"/>
  <c r="Q2387" i="9"/>
  <c r="Q2383" i="9"/>
  <c r="Q2379" i="9"/>
  <c r="Q2375" i="9"/>
  <c r="Q2371" i="9"/>
  <c r="Q2367" i="9"/>
  <c r="Q2363" i="9"/>
  <c r="Q2359" i="9"/>
  <c r="Q2355" i="9"/>
  <c r="Q2351" i="9"/>
  <c r="Q2347" i="9"/>
  <c r="Q2343" i="9"/>
  <c r="Q2339" i="9"/>
  <c r="Q2335" i="9"/>
  <c r="Q2331" i="9"/>
  <c r="Q2327" i="9"/>
  <c r="Q2323" i="9"/>
  <c r="Q2319" i="9"/>
  <c r="Q2315" i="9"/>
  <c r="Q2311" i="9"/>
  <c r="Q2307" i="9"/>
  <c r="Q2303" i="9"/>
  <c r="Q2299" i="9"/>
  <c r="Q2295" i="9"/>
  <c r="Q2291" i="9"/>
  <c r="Q2027" i="9"/>
  <c r="Q2510" i="9"/>
  <c r="Q2506" i="9"/>
  <c r="Q2502" i="9"/>
  <c r="Q2498" i="9"/>
  <c r="Q2494" i="9"/>
  <c r="Q2490" i="9"/>
  <c r="Q2486" i="9"/>
  <c r="Q2482" i="9"/>
  <c r="Q2478" i="9"/>
  <c r="Q2474" i="9"/>
  <c r="Q2470" i="9"/>
  <c r="Q2466" i="9"/>
  <c r="Q2462" i="9"/>
  <c r="Q2458" i="9"/>
  <c r="Q2454" i="9"/>
  <c r="Q2450" i="9"/>
  <c r="Q2446" i="9"/>
  <c r="Q2442" i="9"/>
  <c r="Q2438" i="9"/>
  <c r="Q2434" i="9"/>
  <c r="Q2430" i="9"/>
  <c r="Q2426" i="9"/>
  <c r="Q2422" i="9"/>
  <c r="Q2418" i="9"/>
  <c r="Q2414" i="9"/>
  <c r="Q2410" i="9"/>
  <c r="Q2406" i="9"/>
  <c r="Q2402" i="9"/>
  <c r="Q2398" i="9"/>
  <c r="Q2394" i="9"/>
  <c r="Q2390" i="9"/>
  <c r="Q2386" i="9"/>
  <c r="Q2382" i="9"/>
  <c r="Q2378" i="9"/>
  <c r="Q2374" i="9"/>
  <c r="Q2370" i="9"/>
  <c r="Q2366" i="9"/>
  <c r="Q2362" i="9"/>
  <c r="Q2358" i="9"/>
  <c r="Q2354" i="9"/>
  <c r="Q2350" i="9"/>
  <c r="Q2346" i="9"/>
  <c r="Q2342" i="9"/>
  <c r="Q2338" i="9"/>
  <c r="Q2334" i="9"/>
  <c r="Q2330" i="9"/>
  <c r="Q2326" i="9"/>
  <c r="Q2322" i="9"/>
  <c r="Q2318" i="9"/>
  <c r="Q2314" i="9"/>
  <c r="Q2310" i="9"/>
  <c r="Q2306" i="9"/>
  <c r="Q2302" i="9"/>
  <c r="Q2298" i="9"/>
  <c r="Q2294" i="9"/>
  <c r="Q2290" i="9"/>
  <c r="R2210" i="10"/>
  <c r="R2206" i="10"/>
  <c r="R2202" i="10"/>
  <c r="R2198" i="10"/>
  <c r="R2194" i="10"/>
  <c r="R2190" i="10"/>
  <c r="R2186" i="10"/>
  <c r="R2182" i="10"/>
  <c r="R2178" i="10"/>
  <c r="R2174" i="10"/>
  <c r="R2170" i="10"/>
  <c r="R2166" i="10"/>
  <c r="R2162" i="10"/>
  <c r="R2158" i="10"/>
  <c r="R2154" i="10"/>
  <c r="R2213" i="10"/>
  <c r="R2209" i="10"/>
  <c r="R2205" i="10"/>
  <c r="R2201" i="10"/>
  <c r="R2197" i="10"/>
  <c r="R2193" i="10"/>
  <c r="R2189" i="10"/>
  <c r="R2185" i="10"/>
  <c r="R2181" i="10"/>
  <c r="R2177" i="10"/>
  <c r="R2173" i="10"/>
  <c r="R2169" i="10"/>
  <c r="R2165" i="10"/>
  <c r="R2161" i="10"/>
  <c r="R2157" i="10"/>
  <c r="R2153" i="10"/>
  <c r="R2212" i="10"/>
  <c r="R2208" i="10"/>
  <c r="R2204" i="10"/>
  <c r="R2200" i="10"/>
  <c r="R2196" i="10"/>
  <c r="R2192" i="10"/>
  <c r="R2188" i="10"/>
  <c r="R2184" i="10"/>
  <c r="R2180" i="10"/>
  <c r="R2176" i="10"/>
  <c r="R2172" i="10"/>
  <c r="R2168" i="10"/>
  <c r="R2164" i="10"/>
  <c r="R2160" i="10"/>
  <c r="R2156" i="10"/>
  <c r="R2152" i="10"/>
  <c r="R2211" i="10"/>
  <c r="R2195" i="10"/>
  <c r="R2179" i="10"/>
  <c r="R2163" i="10"/>
  <c r="R2207" i="10"/>
  <c r="R2191" i="10"/>
  <c r="R2175" i="10"/>
  <c r="R2159" i="10"/>
  <c r="R2203" i="10"/>
  <c r="R2187" i="10"/>
  <c r="R2171" i="10"/>
  <c r="R2155" i="10"/>
  <c r="R2199" i="10"/>
  <c r="R2183" i="10"/>
  <c r="R2167" i="10"/>
  <c r="Q3809" i="9"/>
  <c r="Q3805" i="9"/>
  <c r="Q3801" i="9"/>
  <c r="Q3797" i="9"/>
  <c r="Q3793" i="9"/>
  <c r="Q3789" i="9"/>
  <c r="Q3785" i="9"/>
  <c r="Q3781" i="9"/>
  <c r="Q3777" i="9"/>
  <c r="Q3773" i="9"/>
  <c r="Q3769" i="9"/>
  <c r="Q3765" i="9"/>
  <c r="Q3761" i="9"/>
  <c r="Q3757" i="9"/>
  <c r="Q3753" i="9"/>
  <c r="Q3749" i="9"/>
  <c r="Q3745" i="9"/>
  <c r="Q3741" i="9"/>
  <c r="Q3737" i="9"/>
  <c r="Q3733" i="9"/>
  <c r="Q3729" i="9"/>
  <c r="Q3725" i="9"/>
  <c r="Q3721" i="9"/>
  <c r="Q3717" i="9"/>
  <c r="Q3713" i="9"/>
  <c r="Q3709" i="9"/>
  <c r="Q3705" i="9"/>
  <c r="Q3701" i="9"/>
  <c r="Q3697" i="9"/>
  <c r="Q3693" i="9"/>
  <c r="Q3689" i="9"/>
  <c r="Q3685" i="9"/>
  <c r="Q3681" i="9"/>
  <c r="Q3677" i="9"/>
  <c r="Q3673" i="9"/>
  <c r="Q3669" i="9"/>
  <c r="Q3665" i="9"/>
  <c r="Q3661" i="9"/>
  <c r="Q3657" i="9"/>
  <c r="Q3653" i="9"/>
  <c r="Q3649" i="9"/>
  <c r="Q3645" i="9"/>
  <c r="Q3641" i="9"/>
  <c r="Q3637" i="9"/>
  <c r="Q3633" i="9"/>
  <c r="Q3629" i="9"/>
  <c r="Q3625" i="9"/>
  <c r="Q3621" i="9"/>
  <c r="Q3617" i="9"/>
  <c r="Q3613" i="9"/>
  <c r="Q3609" i="9"/>
  <c r="Q3605" i="9"/>
  <c r="Q3601" i="9"/>
  <c r="Q3597" i="9"/>
  <c r="Q3593" i="9"/>
  <c r="Q3589" i="9"/>
  <c r="Q3585" i="9"/>
  <c r="Q3581" i="9"/>
  <c r="Q3577" i="9"/>
  <c r="Q3573" i="9"/>
  <c r="Q3569" i="9"/>
  <c r="Q3565" i="9"/>
  <c r="Q3561" i="9"/>
  <c r="Q3557" i="9"/>
  <c r="Q3553" i="9"/>
  <c r="Q3549" i="9"/>
  <c r="Q3545" i="9"/>
  <c r="Q3541" i="9"/>
  <c r="Q3537" i="9"/>
  <c r="Q3533" i="9"/>
  <c r="Q3529" i="9"/>
  <c r="Q3525" i="9"/>
  <c r="Q3521" i="9"/>
  <c r="Q3517" i="9"/>
  <c r="Q3377" i="9"/>
  <c r="Q3808" i="9"/>
  <c r="Q3804" i="9"/>
  <c r="Q3800" i="9"/>
  <c r="Q3796" i="9"/>
  <c r="Q3792" i="9"/>
  <c r="Q3788" i="9"/>
  <c r="Q3784" i="9"/>
  <c r="Q3780" i="9"/>
  <c r="Q3776" i="9"/>
  <c r="Q3772" i="9"/>
  <c r="Q3768" i="9"/>
  <c r="Q3764" i="9"/>
  <c r="Q3760" i="9"/>
  <c r="Q3756" i="9"/>
  <c r="Q3752" i="9"/>
  <c r="Q3748" i="9"/>
  <c r="Q3744" i="9"/>
  <c r="Q3740" i="9"/>
  <c r="Q3736" i="9"/>
  <c r="Q3732" i="9"/>
  <c r="Q3728" i="9"/>
  <c r="Q3724" i="9"/>
  <c r="Q3720" i="9"/>
  <c r="Q3716" i="9"/>
  <c r="Q3712" i="9"/>
  <c r="Q3708" i="9"/>
  <c r="Q3704" i="9"/>
  <c r="Q3700" i="9"/>
  <c r="Q3696" i="9"/>
  <c r="Q3692" i="9"/>
  <c r="Q3688" i="9"/>
  <c r="Q3684" i="9"/>
  <c r="Q3680" i="9"/>
  <c r="Q3676" i="9"/>
  <c r="Q3672" i="9"/>
  <c r="Q3668" i="9"/>
  <c r="Q3664" i="9"/>
  <c r="Q3660" i="9"/>
  <c r="Q3656" i="9"/>
  <c r="Q3652" i="9"/>
  <c r="Q3648" i="9"/>
  <c r="Q3644" i="9"/>
  <c r="Q3640" i="9"/>
  <c r="Q3636" i="9"/>
  <c r="Q3632" i="9"/>
  <c r="Q3628" i="9"/>
  <c r="Q3624" i="9"/>
  <c r="Q3620" i="9"/>
  <c r="Q3616" i="9"/>
  <c r="Q3612" i="9"/>
  <c r="Q3608" i="9"/>
  <c r="Q3604" i="9"/>
  <c r="Q3600" i="9"/>
  <c r="Q3596" i="9"/>
  <c r="Q3592" i="9"/>
  <c r="Q3588" i="9"/>
  <c r="Q3584" i="9"/>
  <c r="Q3580" i="9"/>
  <c r="Q3576" i="9"/>
  <c r="Q3572" i="9"/>
  <c r="Q3568" i="9"/>
  <c r="Q3564" i="9"/>
  <c r="Q3560" i="9"/>
  <c r="Q3556" i="9"/>
  <c r="Q3552" i="9"/>
  <c r="Q3548" i="9"/>
  <c r="Q3544" i="9"/>
  <c r="Q3540" i="9"/>
  <c r="Q3536" i="9"/>
  <c r="Q3532" i="9"/>
  <c r="Q3528" i="9"/>
  <c r="Q3524" i="9"/>
  <c r="Q3520" i="9"/>
  <c r="Q3807" i="9"/>
  <c r="Q3803" i="9"/>
  <c r="Q3799" i="9"/>
  <c r="Q3795" i="9"/>
  <c r="Q3791" i="9"/>
  <c r="Q3787" i="9"/>
  <c r="Q3783" i="9"/>
  <c r="Q3779" i="9"/>
  <c r="Q3775" i="9"/>
  <c r="Q3771" i="9"/>
  <c r="Q3767" i="9"/>
  <c r="Q3763" i="9"/>
  <c r="Q3759" i="9"/>
  <c r="Q3755" i="9"/>
  <c r="Q3751" i="9"/>
  <c r="Q3747" i="9"/>
  <c r="Q3743" i="9"/>
  <c r="Q3739" i="9"/>
  <c r="Q3735" i="9"/>
  <c r="Q3731" i="9"/>
  <c r="Q3727" i="9"/>
  <c r="Q3723" i="9"/>
  <c r="Q3719" i="9"/>
  <c r="Q3715" i="9"/>
  <c r="Q3711" i="9"/>
  <c r="Q3707" i="9"/>
  <c r="Q3703" i="9"/>
  <c r="Q3699" i="9"/>
  <c r="Q3695" i="9"/>
  <c r="Q3691" i="9"/>
  <c r="Q3687" i="9"/>
  <c r="Q3683" i="9"/>
  <c r="Q3679" i="9"/>
  <c r="Q3675" i="9"/>
  <c r="Q3671" i="9"/>
  <c r="Q3667" i="9"/>
  <c r="Q3663" i="9"/>
  <c r="Q3659" i="9"/>
  <c r="Q3655" i="9"/>
  <c r="Q3651" i="9"/>
  <c r="Q3647" i="9"/>
  <c r="Q3643" i="9"/>
  <c r="Q3639" i="9"/>
  <c r="Q3635" i="9"/>
  <c r="Q3631" i="9"/>
  <c r="Q3627" i="9"/>
  <c r="Q3623" i="9"/>
  <c r="Q3619" i="9"/>
  <c r="Q3615" i="9"/>
  <c r="Q3611" i="9"/>
  <c r="Q3607" i="9"/>
  <c r="Q3603" i="9"/>
  <c r="Q3599" i="9"/>
  <c r="Q3595" i="9"/>
  <c r="Q3591" i="9"/>
  <c r="Q3587" i="9"/>
  <c r="Q3583" i="9"/>
  <c r="Q3579" i="9"/>
  <c r="Q3575" i="9"/>
  <c r="Q3571" i="9"/>
  <c r="Q3567" i="9"/>
  <c r="Q3563" i="9"/>
  <c r="Q3559" i="9"/>
  <c r="Q3555" i="9"/>
  <c r="Q3551" i="9"/>
  <c r="Q3547" i="9"/>
  <c r="Q3543" i="9"/>
  <c r="Q3539" i="9"/>
  <c r="Q3535" i="9"/>
  <c r="Q3531" i="9"/>
  <c r="Q3527" i="9"/>
  <c r="Q3523" i="9"/>
  <c r="Q3519" i="9"/>
  <c r="Q3810" i="9"/>
  <c r="Q3806" i="9"/>
  <c r="Q3802" i="9"/>
  <c r="Q3798" i="9"/>
  <c r="Q3794" i="9"/>
  <c r="Q3790" i="9"/>
  <c r="Q3786" i="9"/>
  <c r="Q3782" i="9"/>
  <c r="Q3778" i="9"/>
  <c r="Q3774" i="9"/>
  <c r="Q3770" i="9"/>
  <c r="Q3766" i="9"/>
  <c r="Q3762" i="9"/>
  <c r="Q3758" i="9"/>
  <c r="Q3754" i="9"/>
  <c r="Q3750" i="9"/>
  <c r="Q3746" i="9"/>
  <c r="Q3742" i="9"/>
  <c r="Q3738" i="9"/>
  <c r="Q3734" i="9"/>
  <c r="Q3730" i="9"/>
  <c r="Q3726" i="9"/>
  <c r="Q3722" i="9"/>
  <c r="Q3718" i="9"/>
  <c r="Q3714" i="9"/>
  <c r="Q3710" i="9"/>
  <c r="Q3706" i="9"/>
  <c r="Q3702" i="9"/>
  <c r="Q3698" i="9"/>
  <c r="Q3694" i="9"/>
  <c r="Q3690" i="9"/>
  <c r="Q3686" i="9"/>
  <c r="Q3682" i="9"/>
  <c r="Q3678" i="9"/>
  <c r="Q3674" i="9"/>
  <c r="Q3670" i="9"/>
  <c r="Q3666" i="9"/>
  <c r="Q3662" i="9"/>
  <c r="Q3658" i="9"/>
  <c r="Q3654" i="9"/>
  <c r="Q3650" i="9"/>
  <c r="Q3646" i="9"/>
  <c r="Q3642" i="9"/>
  <c r="Q3638" i="9"/>
  <c r="Q3634" i="9"/>
  <c r="Q3630" i="9"/>
  <c r="Q3626" i="9"/>
  <c r="Q3622" i="9"/>
  <c r="Q3618" i="9"/>
  <c r="Q3614" i="9"/>
  <c r="Q3610" i="9"/>
  <c r="Q3606" i="9"/>
  <c r="Q3602" i="9"/>
  <c r="Q3598" i="9"/>
  <c r="Q3594" i="9"/>
  <c r="Q3590" i="9"/>
  <c r="Q3586" i="9"/>
  <c r="Q3582" i="9"/>
  <c r="Q3578" i="9"/>
  <c r="Q3574" i="9"/>
  <c r="Q3570" i="9"/>
  <c r="Q3566" i="9"/>
  <c r="Q3562" i="9"/>
  <c r="Q3558" i="9"/>
  <c r="Q3554" i="9"/>
  <c r="Q3550" i="9"/>
  <c r="Q3546" i="9"/>
  <c r="Q3542" i="9"/>
  <c r="Q3538" i="9"/>
  <c r="Q3534" i="9"/>
  <c r="Q3530" i="9"/>
  <c r="Q3526" i="9"/>
  <c r="Q3522" i="9"/>
  <c r="Q3518" i="9"/>
  <c r="Q1949" i="9"/>
  <c r="Q1945" i="9"/>
  <c r="Q1941" i="9"/>
  <c r="Q1937" i="9"/>
  <c r="Q1933" i="9"/>
  <c r="Q1929" i="9"/>
  <c r="Q1925" i="9"/>
  <c r="Q1921" i="9"/>
  <c r="Q1917" i="9"/>
  <c r="Q1913" i="9"/>
  <c r="Q1909" i="9"/>
  <c r="Q1905" i="9"/>
  <c r="Q1901" i="9"/>
  <c r="Q1897" i="9"/>
  <c r="Q1893" i="9"/>
  <c r="Q1889" i="9"/>
  <c r="Q1885" i="9"/>
  <c r="Q1881" i="9"/>
  <c r="Q1877" i="9"/>
  <c r="Q1873" i="9"/>
  <c r="Q1869" i="9"/>
  <c r="Q1865" i="9"/>
  <c r="Q1861" i="9"/>
  <c r="Q1857" i="9"/>
  <c r="Q1853" i="9"/>
  <c r="Q1849" i="9"/>
  <c r="Q1845" i="9"/>
  <c r="Q1841" i="9"/>
  <c r="Q1837" i="9"/>
  <c r="Q1833" i="9"/>
  <c r="Q1829" i="9"/>
  <c r="Q1825" i="9"/>
  <c r="Q1821" i="9"/>
  <c r="Q1817" i="9"/>
  <c r="Q1813" i="9"/>
  <c r="Q1809" i="9"/>
  <c r="Q1805" i="9"/>
  <c r="Q1801" i="9"/>
  <c r="Q1797" i="9"/>
  <c r="Q1793" i="9"/>
  <c r="Q1789" i="9"/>
  <c r="Q1785" i="9"/>
  <c r="Q1781" i="9"/>
  <c r="Q1777" i="9"/>
  <c r="Q1773" i="9"/>
  <c r="Q1769" i="9"/>
  <c r="Q1765" i="9"/>
  <c r="Q1761" i="9"/>
  <c r="Q1757" i="9"/>
  <c r="Q1753" i="9"/>
  <c r="Q1749" i="9"/>
  <c r="Q1745" i="9"/>
  <c r="Q1741" i="9"/>
  <c r="Q1737" i="9"/>
  <c r="Q1733" i="9"/>
  <c r="Q1729" i="9"/>
  <c r="Q1725" i="9"/>
  <c r="Q1721" i="9"/>
  <c r="Q1717" i="9"/>
  <c r="Q1713" i="9"/>
  <c r="Q1709" i="9"/>
  <c r="Q1705" i="9"/>
  <c r="Q1701" i="9"/>
  <c r="Q1697" i="9"/>
  <c r="Q1693" i="9"/>
  <c r="Q1689" i="9"/>
  <c r="Q1685" i="9"/>
  <c r="Q1681" i="9"/>
  <c r="Q1677" i="9"/>
  <c r="Q1673" i="9"/>
  <c r="Q1669" i="9"/>
  <c r="Q1665" i="9"/>
  <c r="Q1661" i="9"/>
  <c r="Q1657" i="9"/>
  <c r="Q1653" i="9"/>
  <c r="Q1649" i="9"/>
  <c r="Q1645" i="9"/>
  <c r="Q1641" i="9"/>
  <c r="Q1637" i="9"/>
  <c r="Q1633" i="9"/>
  <c r="Q1629" i="9"/>
  <c r="Q1948" i="9"/>
  <c r="Q1944" i="9"/>
  <c r="Q1940" i="9"/>
  <c r="Q1936" i="9"/>
  <c r="Q1932" i="9"/>
  <c r="Q1928" i="9"/>
  <c r="Q1924" i="9"/>
  <c r="Q1920" i="9"/>
  <c r="Q1916" i="9"/>
  <c r="Q1912" i="9"/>
  <c r="Q1908" i="9"/>
  <c r="Q1904" i="9"/>
  <c r="Q1900" i="9"/>
  <c r="Q1896" i="9"/>
  <c r="Q1892" i="9"/>
  <c r="Q1888" i="9"/>
  <c r="Q1884" i="9"/>
  <c r="Q1880" i="9"/>
  <c r="Q1876" i="9"/>
  <c r="Q1872" i="9"/>
  <c r="Q1868" i="9"/>
  <c r="Q1864" i="9"/>
  <c r="Q1860" i="9"/>
  <c r="Q1856" i="9"/>
  <c r="Q1852" i="9"/>
  <c r="Q1848" i="9"/>
  <c r="Q1844" i="9"/>
  <c r="Q1840" i="9"/>
  <c r="Q1836" i="9"/>
  <c r="Q1832" i="9"/>
  <c r="Q1828" i="9"/>
  <c r="Q1824" i="9"/>
  <c r="Q1820" i="9"/>
  <c r="Q1816" i="9"/>
  <c r="Q1812" i="9"/>
  <c r="Q1808" i="9"/>
  <c r="Q1804" i="9"/>
  <c r="Q1800" i="9"/>
  <c r="Q1796" i="9"/>
  <c r="Q1792" i="9"/>
  <c r="Q1788" i="9"/>
  <c r="Q1784" i="9"/>
  <c r="Q1780" i="9"/>
  <c r="Q1776" i="9"/>
  <c r="Q1772" i="9"/>
  <c r="Q1768" i="9"/>
  <c r="Q1764" i="9"/>
  <c r="Q1760" i="9"/>
  <c r="Q1756" i="9"/>
  <c r="Q1752" i="9"/>
  <c r="Q1748" i="9"/>
  <c r="Q1744" i="9"/>
  <c r="Q1740" i="9"/>
  <c r="Q1736" i="9"/>
  <c r="Q1732" i="9"/>
  <c r="Q1728" i="9"/>
  <c r="Q1724" i="9"/>
  <c r="Q1720" i="9"/>
  <c r="Q1712" i="9"/>
  <c r="Q1708" i="9"/>
  <c r="Q1704" i="9"/>
  <c r="Q1700" i="9"/>
  <c r="Q1696" i="9"/>
  <c r="Q1692" i="9"/>
  <c r="Q1688" i="9"/>
  <c r="Q1684" i="9"/>
  <c r="Q1680" i="9"/>
  <c r="Q1676" i="9"/>
  <c r="Q1672" i="9"/>
  <c r="Q1668" i="9"/>
  <c r="Q1664" i="9"/>
  <c r="Q1660" i="9"/>
  <c r="Q1656" i="9"/>
  <c r="Q1652" i="9"/>
  <c r="Q1648" i="9"/>
  <c r="Q1644" i="9"/>
  <c r="Q1640" i="9"/>
  <c r="Q1636" i="9"/>
  <c r="Q1632" i="9"/>
  <c r="Q1572" i="9"/>
  <c r="Q1947" i="9"/>
  <c r="Q1943" i="9"/>
  <c r="Q1939" i="9"/>
  <c r="Q1935" i="9"/>
  <c r="Q1931" i="9"/>
  <c r="Q1927" i="9"/>
  <c r="Q1923" i="9"/>
  <c r="Q1919" i="9"/>
  <c r="Q1915" i="9"/>
  <c r="Q1911" i="9"/>
  <c r="Q1907" i="9"/>
  <c r="Q1903" i="9"/>
  <c r="Q1899" i="9"/>
  <c r="Q1895" i="9"/>
  <c r="Q1891" i="9"/>
  <c r="Q1887" i="9"/>
  <c r="Q1883" i="9"/>
  <c r="Q1879" i="9"/>
  <c r="Q1875" i="9"/>
  <c r="Q1871" i="9"/>
  <c r="Q1867" i="9"/>
  <c r="Q1863" i="9"/>
  <c r="Q1859" i="9"/>
  <c r="Q1855" i="9"/>
  <c r="Q1851" i="9"/>
  <c r="Q1847" i="9"/>
  <c r="Q1843" i="9"/>
  <c r="Q1839" i="9"/>
  <c r="Q1835" i="9"/>
  <c r="Q1831" i="9"/>
  <c r="Q1827" i="9"/>
  <c r="Q1823" i="9"/>
  <c r="Q1819" i="9"/>
  <c r="Q1815" i="9"/>
  <c r="Q1811" i="9"/>
  <c r="Q1807" i="9"/>
  <c r="Q1803" i="9"/>
  <c r="Q1799" i="9"/>
  <c r="Q1795" i="9"/>
  <c r="Q1791" i="9"/>
  <c r="Q1787" i="9"/>
  <c r="Q1783" i="9"/>
  <c r="Q1779" i="9"/>
  <c r="Q1775" i="9"/>
  <c r="Q1771" i="9"/>
  <c r="Q1767" i="9"/>
  <c r="Q1763" i="9"/>
  <c r="Q1759" i="9"/>
  <c r="Q1755" i="9"/>
  <c r="Q1751" i="9"/>
  <c r="Q1747" i="9"/>
  <c r="Q1743" i="9"/>
  <c r="Q1739" i="9"/>
  <c r="Q1735" i="9"/>
  <c r="Q1731" i="9"/>
  <c r="Q1727" i="9"/>
  <c r="Q1723" i="9"/>
  <c r="Q1719" i="9"/>
  <c r="Q1711" i="9"/>
  <c r="Q1707" i="9"/>
  <c r="Q1703" i="9"/>
  <c r="Q1699" i="9"/>
  <c r="Q1695" i="9"/>
  <c r="Q1691" i="9"/>
  <c r="Q1687" i="9"/>
  <c r="Q1683" i="9"/>
  <c r="Q1679" i="9"/>
  <c r="Q1675" i="9"/>
  <c r="Q1671" i="9"/>
  <c r="Q1667" i="9"/>
  <c r="Q1663" i="9"/>
  <c r="Q1659" i="9"/>
  <c r="Q1655" i="9"/>
  <c r="Q1651" i="9"/>
  <c r="Q1647" i="9"/>
  <c r="Q1643" i="9"/>
  <c r="Q1639" i="9"/>
  <c r="Q1635" i="9"/>
  <c r="Q1631" i="9"/>
  <c r="Q1255" i="9"/>
  <c r="Q1950" i="9"/>
  <c r="Q1946" i="9"/>
  <c r="Q1942" i="9"/>
  <c r="Q1938" i="9"/>
  <c r="Q1934" i="9"/>
  <c r="Q1930" i="9"/>
  <c r="Q1926" i="9"/>
  <c r="Q1922" i="9"/>
  <c r="Q1918" i="9"/>
  <c r="Q1914" i="9"/>
  <c r="Q1910" i="9"/>
  <c r="Q1906" i="9"/>
  <c r="Q1902" i="9"/>
  <c r="Q1898" i="9"/>
  <c r="Q1894" i="9"/>
  <c r="Q1890" i="9"/>
  <c r="Q1886" i="9"/>
  <c r="Q1882" i="9"/>
  <c r="Q1878" i="9"/>
  <c r="Q1874" i="9"/>
  <c r="Q1870" i="9"/>
  <c r="Q1866" i="9"/>
  <c r="Q1862" i="9"/>
  <c r="Q1858" i="9"/>
  <c r="Q1854" i="9"/>
  <c r="Q1850" i="9"/>
  <c r="Q1846" i="9"/>
  <c r="Q1842" i="9"/>
  <c r="Q1838" i="9"/>
  <c r="Q1834" i="9"/>
  <c r="Q1830" i="9"/>
  <c r="Q1826" i="9"/>
  <c r="Q1822" i="9"/>
  <c r="Q1818" i="9"/>
  <c r="Q1814" i="9"/>
  <c r="Q1810" i="9"/>
  <c r="Q1806" i="9"/>
  <c r="Q1802" i="9"/>
  <c r="Q1798" i="9"/>
  <c r="Q1794" i="9"/>
  <c r="Q1790" i="9"/>
  <c r="Q1786" i="9"/>
  <c r="Q1782" i="9"/>
  <c r="Q1778" i="9"/>
  <c r="Q1774" i="9"/>
  <c r="Q1770" i="9"/>
  <c r="Q1766" i="9"/>
  <c r="Q1762" i="9"/>
  <c r="Q1758" i="9"/>
  <c r="Q1754" i="9"/>
  <c r="Q1750" i="9"/>
  <c r="Q1746" i="9"/>
  <c r="Q1742" i="9"/>
  <c r="Q1738" i="9"/>
  <c r="Q1734" i="9"/>
  <c r="Q1730" i="9"/>
  <c r="Q1726" i="9"/>
  <c r="Q1722" i="9"/>
  <c r="Q1718" i="9"/>
  <c r="Q1714" i="9"/>
  <c r="Q1710" i="9"/>
  <c r="Q1706" i="9"/>
  <c r="Q1702" i="9"/>
  <c r="Q1698" i="9"/>
  <c r="Q1694" i="9"/>
  <c r="Q1690" i="9"/>
  <c r="Q1686" i="9"/>
  <c r="Q1682" i="9"/>
  <c r="Q1678" i="9"/>
  <c r="Q1674" i="9"/>
  <c r="Q1670" i="9"/>
  <c r="Q1666" i="9"/>
  <c r="Q1662" i="9"/>
  <c r="Q1658" i="9"/>
  <c r="Q1654" i="9"/>
  <c r="Q1650" i="9"/>
  <c r="Q1646" i="9"/>
  <c r="Q1642" i="9"/>
  <c r="Q1638" i="9"/>
  <c r="Q1634" i="9"/>
  <c r="Q1630" i="9"/>
  <c r="Q1254" i="9"/>
  <c r="Q1253" i="9"/>
  <c r="R3732" i="1"/>
  <c r="U3732" i="1" s="1"/>
  <c r="N51" i="8"/>
  <c r="AL10" i="8"/>
  <c r="AG54" i="8"/>
  <c r="AL27" i="8"/>
  <c r="N34" i="8"/>
  <c r="N49" i="8"/>
  <c r="N53" i="8"/>
  <c r="AL33" i="8"/>
  <c r="AL16" i="8"/>
  <c r="AJ54" i="8"/>
  <c r="AB54" i="8"/>
  <c r="U10" i="10"/>
  <c r="U22" i="10" s="1"/>
  <c r="AE5" i="10"/>
  <c r="AI54" i="8"/>
  <c r="AI44" i="8"/>
  <c r="AF44" i="8"/>
  <c r="Z10" i="10"/>
  <c r="Z22" i="10" s="1"/>
  <c r="AE7" i="10"/>
  <c r="AJ44" i="8"/>
  <c r="AK44" i="8"/>
  <c r="AL52" i="8"/>
  <c r="AL51" i="8"/>
  <c r="AE54" i="8"/>
  <c r="AE44" i="8"/>
  <c r="AL40" i="8"/>
  <c r="AL53" i="8"/>
  <c r="AF54" i="8"/>
  <c r="AK54" i="8"/>
  <c r="AL49" i="8"/>
  <c r="AL42" i="8"/>
  <c r="AL41" i="8"/>
  <c r="AE9" i="10"/>
  <c r="AE6" i="10"/>
  <c r="AH54" i="8"/>
  <c r="AC54" i="8"/>
  <c r="AD44" i="8"/>
  <c r="E61" i="8"/>
  <c r="AG44" i="8"/>
  <c r="AL39" i="8"/>
  <c r="E68" i="8"/>
  <c r="AC44" i="8"/>
  <c r="AH44" i="8"/>
  <c r="AE8" i="10"/>
  <c r="AD54" i="8"/>
  <c r="AC10" i="10"/>
  <c r="AC22" i="10" s="1"/>
  <c r="W10" i="10"/>
  <c r="Y10" i="10"/>
  <c r="Y22" i="10" s="1"/>
  <c r="AL50" i="8"/>
  <c r="AA10" i="10"/>
  <c r="AA22" i="10" s="1"/>
  <c r="AD10" i="9"/>
  <c r="E54" i="8"/>
  <c r="I54" i="8"/>
  <c r="M54" i="8"/>
  <c r="G54" i="8"/>
  <c r="K54" i="8"/>
  <c r="H54" i="8"/>
  <c r="L54" i="8"/>
  <c r="F54" i="8"/>
  <c r="J54" i="8"/>
  <c r="V54" i="8"/>
  <c r="D54" i="8"/>
  <c r="P54" i="8"/>
  <c r="T54" i="8"/>
  <c r="X54" i="8"/>
  <c r="R54" i="8"/>
  <c r="Q54" i="8"/>
  <c r="U54" i="8"/>
  <c r="Y54" i="8"/>
  <c r="S54" i="8"/>
  <c r="W54" i="8"/>
  <c r="J1585" i="1"/>
  <c r="I1585" i="1"/>
  <c r="J1396" i="1"/>
  <c r="I1396" i="1"/>
  <c r="J1342" i="1"/>
  <c r="I1342" i="1"/>
  <c r="J1341" i="1"/>
  <c r="I1341" i="1"/>
  <c r="J1346" i="1"/>
  <c r="I1346" i="1"/>
  <c r="J1354" i="1"/>
  <c r="I1354" i="1"/>
  <c r="J1349" i="1"/>
  <c r="I1349" i="1"/>
  <c r="J1357" i="1"/>
  <c r="I1357" i="1"/>
  <c r="J1363" i="1"/>
  <c r="I1363" i="1"/>
  <c r="J1364" i="1"/>
  <c r="I1364" i="1"/>
  <c r="J1371" i="1"/>
  <c r="I1371" i="1"/>
  <c r="J1369" i="1"/>
  <c r="I1369" i="1"/>
  <c r="J1377" i="1"/>
  <c r="I1377" i="1"/>
  <c r="J1379" i="1"/>
  <c r="I1379" i="1"/>
  <c r="J1583" i="1"/>
  <c r="I1583" i="1"/>
  <c r="J1384" i="1"/>
  <c r="I1384" i="1"/>
  <c r="J1392" i="1"/>
  <c r="I1392" i="1"/>
  <c r="J1393" i="1"/>
  <c r="I1393" i="1"/>
  <c r="J2957" i="1"/>
  <c r="I2957" i="1"/>
  <c r="J2998" i="1"/>
  <c r="I2998" i="1"/>
  <c r="J3055" i="1"/>
  <c r="I3055" i="1"/>
  <c r="J3052" i="1"/>
  <c r="I3052" i="1"/>
  <c r="J3108" i="1"/>
  <c r="I3108" i="1"/>
  <c r="J3107" i="1"/>
  <c r="I3107" i="1"/>
  <c r="J3185" i="1"/>
  <c r="I3185" i="1"/>
  <c r="J3196" i="1"/>
  <c r="I3196" i="1"/>
  <c r="J2974" i="1"/>
  <c r="I2974" i="1"/>
  <c r="J3062" i="1"/>
  <c r="I3062" i="1"/>
  <c r="J3061" i="1"/>
  <c r="I3061" i="1"/>
  <c r="J3120" i="1"/>
  <c r="I3120" i="1"/>
  <c r="J3121" i="1"/>
  <c r="I3121" i="1"/>
  <c r="J3186" i="1"/>
  <c r="I3186" i="1"/>
  <c r="J2978" i="1"/>
  <c r="I2978" i="1"/>
  <c r="J3073" i="1"/>
  <c r="I3073" i="1"/>
  <c r="J3072" i="1"/>
  <c r="I3072" i="1"/>
  <c r="J3122" i="1"/>
  <c r="I3122" i="1"/>
  <c r="J3201" i="1"/>
  <c r="I3201" i="1"/>
  <c r="J2982" i="1"/>
  <c r="I2982" i="1"/>
  <c r="J3001" i="1"/>
  <c r="I3001" i="1"/>
  <c r="J3075" i="1"/>
  <c r="I3075" i="1"/>
  <c r="J3203" i="1"/>
  <c r="I3203" i="1"/>
  <c r="J2968" i="1"/>
  <c r="I2968" i="1"/>
  <c r="J2986" i="1"/>
  <c r="I2986" i="1"/>
  <c r="J3086" i="1"/>
  <c r="I3086" i="1"/>
  <c r="J3083" i="1"/>
  <c r="I3083" i="1"/>
  <c r="J3205" i="1"/>
  <c r="I3205" i="1"/>
  <c r="J3090" i="1"/>
  <c r="I3090" i="1"/>
  <c r="J2969" i="1"/>
  <c r="I2969" i="1"/>
  <c r="J3093" i="1"/>
  <c r="I3093" i="1"/>
  <c r="J3127" i="1"/>
  <c r="I3127" i="1"/>
  <c r="J2990" i="1"/>
  <c r="I2990" i="1"/>
  <c r="J3099" i="1"/>
  <c r="I3099" i="1"/>
  <c r="J2991" i="1"/>
  <c r="I2991" i="1"/>
  <c r="J3208" i="1"/>
  <c r="I3208" i="1"/>
  <c r="J3104" i="1"/>
  <c r="I3104" i="1"/>
  <c r="J13" i="1"/>
  <c r="I13" i="1"/>
  <c r="J5" i="1"/>
  <c r="I5" i="1"/>
  <c r="J6" i="1"/>
  <c r="I6" i="1"/>
  <c r="J160" i="1"/>
  <c r="I160" i="1"/>
  <c r="J152" i="1"/>
  <c r="I152" i="1"/>
  <c r="J153" i="1"/>
  <c r="I153" i="1"/>
  <c r="J26" i="1"/>
  <c r="I26" i="1"/>
  <c r="J22" i="1"/>
  <c r="I22" i="1"/>
  <c r="J19" i="1"/>
  <c r="I19" i="1"/>
  <c r="J20" i="1"/>
  <c r="I20" i="1"/>
  <c r="J162" i="1"/>
  <c r="I162" i="1"/>
  <c r="J172" i="1"/>
  <c r="I172" i="1"/>
  <c r="J163" i="1"/>
  <c r="I163" i="1"/>
  <c r="J36" i="1"/>
  <c r="I36" i="1"/>
  <c r="J37" i="1"/>
  <c r="I37" i="1"/>
  <c r="J29" i="1"/>
  <c r="I29" i="1"/>
  <c r="J183" i="1"/>
  <c r="I183" i="1"/>
  <c r="J184" i="1"/>
  <c r="I184" i="1"/>
  <c r="J176" i="1"/>
  <c r="I176" i="1"/>
  <c r="J48" i="1"/>
  <c r="I48" i="1"/>
  <c r="J49" i="1"/>
  <c r="I49" i="1"/>
  <c r="J41" i="1"/>
  <c r="I41" i="1"/>
  <c r="J195" i="1"/>
  <c r="I195" i="1"/>
  <c r="J196" i="1"/>
  <c r="I196" i="1"/>
  <c r="J188" i="1"/>
  <c r="I188" i="1"/>
  <c r="J60" i="1"/>
  <c r="I60" i="1"/>
  <c r="J61" i="1"/>
  <c r="I61" i="1"/>
  <c r="J53" i="1"/>
  <c r="I53" i="1"/>
  <c r="J208" i="1"/>
  <c r="I208" i="1"/>
  <c r="J205" i="1"/>
  <c r="I205" i="1"/>
  <c r="J198" i="1"/>
  <c r="I198" i="1"/>
  <c r="J71" i="1"/>
  <c r="I71" i="1"/>
  <c r="J70" i="1"/>
  <c r="I70" i="1"/>
  <c r="J63" i="1"/>
  <c r="I63" i="1"/>
  <c r="J220" i="1"/>
  <c r="I220" i="1"/>
  <c r="J214" i="1"/>
  <c r="I214" i="1"/>
  <c r="J215" i="1"/>
  <c r="I215" i="1"/>
  <c r="J86" i="1"/>
  <c r="I86" i="1"/>
  <c r="J78" i="1"/>
  <c r="I78" i="1"/>
  <c r="J79" i="1"/>
  <c r="I79" i="1"/>
  <c r="J235" i="1"/>
  <c r="I235" i="1"/>
  <c r="J227" i="1"/>
  <c r="I227" i="1"/>
  <c r="J228" i="1"/>
  <c r="I228" i="1"/>
  <c r="J98" i="1"/>
  <c r="I98" i="1"/>
  <c r="J90" i="1"/>
  <c r="I90" i="1"/>
  <c r="J91" i="1"/>
  <c r="I91" i="1"/>
  <c r="J248" i="1"/>
  <c r="I248" i="1"/>
  <c r="J244" i="1"/>
  <c r="I244" i="1"/>
  <c r="J241" i="1"/>
  <c r="I241" i="1"/>
  <c r="J242" i="1"/>
  <c r="I242" i="1"/>
  <c r="J100" i="1"/>
  <c r="I100" i="1"/>
  <c r="J110" i="1"/>
  <c r="I110" i="1"/>
  <c r="J101" i="1"/>
  <c r="I101" i="1"/>
  <c r="J259" i="1"/>
  <c r="I259" i="1"/>
  <c r="J256" i="1"/>
  <c r="I256" i="1"/>
  <c r="J249" i="1"/>
  <c r="I249" i="1"/>
  <c r="J121" i="1"/>
  <c r="I121" i="1"/>
  <c r="J115" i="1"/>
  <c r="I115" i="1"/>
  <c r="J116" i="1"/>
  <c r="I116" i="1"/>
  <c r="J273" i="1"/>
  <c r="I273" i="1"/>
  <c r="J265" i="1"/>
  <c r="I265" i="1"/>
  <c r="J266" i="1"/>
  <c r="I266" i="1"/>
  <c r="J136" i="1"/>
  <c r="I136" i="1"/>
  <c r="J128" i="1"/>
  <c r="I128" i="1"/>
  <c r="J129" i="1"/>
  <c r="I129" i="1"/>
  <c r="J281" i="1"/>
  <c r="I281" i="1"/>
  <c r="J280" i="1"/>
  <c r="I280" i="1"/>
  <c r="J276" i="1"/>
  <c r="I276" i="1"/>
  <c r="J146" i="1"/>
  <c r="I146" i="1"/>
  <c r="J147" i="1"/>
  <c r="I147" i="1"/>
  <c r="J139" i="1"/>
  <c r="I139" i="1"/>
  <c r="J294" i="1"/>
  <c r="I294" i="1"/>
  <c r="J291" i="1"/>
  <c r="I291" i="1"/>
  <c r="J286" i="1"/>
  <c r="I286" i="1"/>
  <c r="J3557" i="1"/>
  <c r="I3557" i="1"/>
  <c r="J3595" i="1"/>
  <c r="I3595" i="1"/>
  <c r="J3563" i="1"/>
  <c r="I3563" i="1"/>
  <c r="J3567" i="1"/>
  <c r="I3567" i="1"/>
  <c r="J3597" i="1"/>
  <c r="I3597" i="1"/>
  <c r="J3573" i="1"/>
  <c r="I3573" i="1"/>
  <c r="J3578" i="1"/>
  <c r="I3578" i="1"/>
  <c r="J3599" i="1"/>
  <c r="I3599" i="1"/>
  <c r="J3584" i="1"/>
  <c r="I3584" i="1"/>
  <c r="J3586" i="1"/>
  <c r="I3586" i="1"/>
  <c r="J3589" i="1"/>
  <c r="I3589" i="1"/>
  <c r="J3593" i="1"/>
  <c r="I3593" i="1"/>
  <c r="J297" i="1"/>
  <c r="I297" i="1"/>
  <c r="J307" i="1"/>
  <c r="I307" i="1"/>
  <c r="J298" i="1"/>
  <c r="I298" i="1"/>
  <c r="J319" i="1"/>
  <c r="I319" i="1"/>
  <c r="J316" i="1"/>
  <c r="I316" i="1"/>
  <c r="J309" i="1"/>
  <c r="I309" i="1"/>
  <c r="J331" i="1"/>
  <c r="I331" i="1"/>
  <c r="J325" i="1"/>
  <c r="I325" i="1"/>
  <c r="J322" i="1"/>
  <c r="I322" i="1"/>
  <c r="J343" i="1"/>
  <c r="I343" i="1"/>
  <c r="J337" i="1"/>
  <c r="I337" i="1"/>
  <c r="J338" i="1"/>
  <c r="I338" i="1"/>
  <c r="J358" i="1"/>
  <c r="I358" i="1"/>
  <c r="J354" i="1"/>
  <c r="I354" i="1"/>
  <c r="J351" i="1"/>
  <c r="I351" i="1"/>
  <c r="J371" i="1"/>
  <c r="I371" i="1"/>
  <c r="J367" i="1"/>
  <c r="I367" i="1"/>
  <c r="J364" i="1"/>
  <c r="I364" i="1"/>
  <c r="J365" i="1"/>
  <c r="I365" i="1"/>
  <c r="J373" i="1"/>
  <c r="I373" i="1"/>
  <c r="J381" i="1"/>
  <c r="I381" i="1"/>
  <c r="J395" i="1"/>
  <c r="I395" i="1"/>
  <c r="J391" i="1"/>
  <c r="I391" i="1"/>
  <c r="J388" i="1"/>
  <c r="I388" i="1"/>
  <c r="J389" i="1"/>
  <c r="I389" i="1"/>
  <c r="J397" i="1"/>
  <c r="I397" i="1"/>
  <c r="J405" i="1"/>
  <c r="I405" i="1"/>
  <c r="J418" i="1"/>
  <c r="I418" i="1"/>
  <c r="J414" i="1"/>
  <c r="I414" i="1"/>
  <c r="J411" i="1"/>
  <c r="I411" i="1"/>
  <c r="J430" i="1"/>
  <c r="I430" i="1"/>
  <c r="J426" i="1"/>
  <c r="I426" i="1"/>
  <c r="J423" i="1"/>
  <c r="I423" i="1"/>
  <c r="J442" i="1"/>
  <c r="I442" i="1"/>
  <c r="J438" i="1"/>
  <c r="I438" i="1"/>
  <c r="J435" i="1"/>
  <c r="I435" i="1"/>
  <c r="J2110" i="1"/>
  <c r="I2110" i="1"/>
  <c r="J2107" i="1"/>
  <c r="I2107" i="1"/>
  <c r="J2311" i="1"/>
  <c r="I2311" i="1"/>
  <c r="J2308" i="1"/>
  <c r="I2308" i="1"/>
  <c r="J2116" i="1"/>
  <c r="I2116" i="1"/>
  <c r="J2115" i="1"/>
  <c r="I2115" i="1"/>
  <c r="J2320" i="1"/>
  <c r="I2320" i="1"/>
  <c r="J2317" i="1"/>
  <c r="I2317" i="1"/>
  <c r="J2315" i="1"/>
  <c r="I2315" i="1"/>
  <c r="J2121" i="1"/>
  <c r="I2121" i="1"/>
  <c r="J2120" i="1"/>
  <c r="I2120" i="1"/>
  <c r="J2328" i="1"/>
  <c r="I2328" i="1"/>
  <c r="J2324" i="1"/>
  <c r="I2324" i="1"/>
  <c r="J2133" i="1"/>
  <c r="I2133" i="1"/>
  <c r="J2132" i="1"/>
  <c r="I2132" i="1"/>
  <c r="J2334" i="1"/>
  <c r="I2334" i="1"/>
  <c r="J2331" i="1"/>
  <c r="I2331" i="1"/>
  <c r="J2141" i="1"/>
  <c r="I2141" i="1"/>
  <c r="J2342" i="1"/>
  <c r="I2342" i="1"/>
  <c r="J2338" i="1"/>
  <c r="I2338" i="1"/>
  <c r="J2148" i="1"/>
  <c r="I2148" i="1"/>
  <c r="J2146" i="1"/>
  <c r="I2146" i="1"/>
  <c r="J2344" i="1"/>
  <c r="I2344" i="1"/>
  <c r="J2150" i="1"/>
  <c r="I2150" i="1"/>
  <c r="J2353" i="1"/>
  <c r="I2353" i="1"/>
  <c r="J2348" i="1"/>
  <c r="I2348" i="1"/>
  <c r="J2161" i="1"/>
  <c r="I2161" i="1"/>
  <c r="J2160" i="1"/>
  <c r="I2160" i="1"/>
  <c r="J2356" i="1"/>
  <c r="I2356" i="1"/>
  <c r="J2169" i="1"/>
  <c r="I2169" i="1"/>
  <c r="J2170" i="1"/>
  <c r="I2170" i="1"/>
  <c r="J2362" i="1"/>
  <c r="I2362" i="1"/>
  <c r="J2360" i="1"/>
  <c r="I2360" i="1"/>
  <c r="J2172" i="1"/>
  <c r="I2172" i="1"/>
  <c r="J2372" i="1"/>
  <c r="I2372" i="1"/>
  <c r="J2369" i="1"/>
  <c r="I2369" i="1"/>
  <c r="J2185" i="1"/>
  <c r="I2185" i="1"/>
  <c r="J2180" i="1"/>
  <c r="I2180" i="1"/>
  <c r="J2377" i="1"/>
  <c r="I2377" i="1"/>
  <c r="J2376" i="1"/>
  <c r="I2376" i="1"/>
  <c r="J2191" i="1"/>
  <c r="I2191" i="1"/>
  <c r="J2188" i="1"/>
  <c r="I2188" i="1"/>
  <c r="J2380" i="1"/>
  <c r="I2380" i="1"/>
  <c r="J3218" i="1"/>
  <c r="I3218" i="1"/>
  <c r="J3215" i="1"/>
  <c r="I3215" i="1"/>
  <c r="J3226" i="1"/>
  <c r="I3226" i="1"/>
  <c r="J3223" i="1"/>
  <c r="I3223" i="1"/>
  <c r="J3234" i="1"/>
  <c r="I3234" i="1"/>
  <c r="J3231" i="1"/>
  <c r="I3231" i="1"/>
  <c r="J3240" i="1"/>
  <c r="I3240" i="1"/>
  <c r="J3236" i="1"/>
  <c r="I3236" i="1"/>
  <c r="J3244" i="1"/>
  <c r="I3244" i="1"/>
  <c r="J3242" i="1"/>
  <c r="I3242" i="1"/>
  <c r="J3247" i="1"/>
  <c r="I3247" i="1"/>
  <c r="J3254" i="1"/>
  <c r="I3254" i="1"/>
  <c r="J3259" i="1"/>
  <c r="I3259" i="1"/>
  <c r="J3262" i="1"/>
  <c r="I3262" i="1"/>
  <c r="J3263" i="1"/>
  <c r="I3263" i="1"/>
  <c r="J2194" i="1"/>
  <c r="I2194" i="1"/>
  <c r="J2390" i="1"/>
  <c r="I2390" i="1"/>
  <c r="J2389" i="1"/>
  <c r="I2389" i="1"/>
  <c r="J2406" i="1"/>
  <c r="I2406" i="1"/>
  <c r="J2402" i="1"/>
  <c r="I2402" i="1"/>
  <c r="J2399" i="1"/>
  <c r="I2399" i="1"/>
  <c r="J2400" i="1"/>
  <c r="I2400" i="1"/>
  <c r="J2407" i="1"/>
  <c r="I2407" i="1"/>
  <c r="J2409" i="1"/>
  <c r="I2409" i="1"/>
  <c r="J2425" i="1"/>
  <c r="I2425" i="1"/>
  <c r="J2422" i="1"/>
  <c r="I2422" i="1"/>
  <c r="J2416" i="1"/>
  <c r="I2416" i="1"/>
  <c r="J2434" i="1"/>
  <c r="I2434" i="1"/>
  <c r="J2431" i="1"/>
  <c r="I2431" i="1"/>
  <c r="J2445" i="1"/>
  <c r="I2445" i="1"/>
  <c r="J2439" i="1"/>
  <c r="I2439" i="1"/>
  <c r="J2440" i="1"/>
  <c r="I2440" i="1"/>
  <c r="J2452" i="1"/>
  <c r="I2452" i="1"/>
  <c r="J2451" i="1"/>
  <c r="I2451" i="1"/>
  <c r="J2455" i="1"/>
  <c r="I2455" i="1"/>
  <c r="J2466" i="1"/>
  <c r="I2466" i="1"/>
  <c r="J2462" i="1"/>
  <c r="I2462" i="1"/>
  <c r="J2473" i="1"/>
  <c r="I2473" i="1"/>
  <c r="J2474" i="1"/>
  <c r="I2474" i="1"/>
  <c r="J2484" i="1"/>
  <c r="I2484" i="1"/>
  <c r="J2480" i="1"/>
  <c r="I2480" i="1"/>
  <c r="J2495" i="1"/>
  <c r="I2495" i="1"/>
  <c r="J2491" i="1"/>
  <c r="I2491" i="1"/>
  <c r="J2488" i="1"/>
  <c r="I2488" i="1"/>
  <c r="J3269" i="1"/>
  <c r="I3269" i="1"/>
  <c r="J3274" i="1"/>
  <c r="I3274" i="1"/>
  <c r="J3272" i="1"/>
  <c r="I3272" i="1"/>
  <c r="J3277" i="1"/>
  <c r="I3277" i="1"/>
  <c r="J3286" i="1"/>
  <c r="I3286" i="1"/>
  <c r="J3293" i="1"/>
  <c r="I3293" i="1"/>
  <c r="J3290" i="1"/>
  <c r="I3290" i="1"/>
  <c r="J3298" i="1"/>
  <c r="I3298" i="1"/>
  <c r="J3301" i="1"/>
  <c r="I3301" i="1"/>
  <c r="J3302" i="1"/>
  <c r="I3302" i="1"/>
  <c r="J3310" i="1"/>
  <c r="I3310" i="1"/>
  <c r="J1280" i="1"/>
  <c r="I1280" i="1"/>
  <c r="J1757" i="1"/>
  <c r="I1757" i="1"/>
  <c r="J2202" i="1"/>
  <c r="I2202" i="1"/>
  <c r="J2201" i="1"/>
  <c r="I2201" i="1"/>
  <c r="J2850" i="1"/>
  <c r="I2850" i="1"/>
  <c r="J2847" i="1"/>
  <c r="I2847" i="1"/>
  <c r="J1764" i="1"/>
  <c r="I1764" i="1"/>
  <c r="J2212" i="1"/>
  <c r="I2212" i="1"/>
  <c r="J2209" i="1"/>
  <c r="I2209" i="1"/>
  <c r="J2856" i="1"/>
  <c r="I2856" i="1"/>
  <c r="J2853" i="1"/>
  <c r="I2853" i="1"/>
  <c r="J1769" i="1"/>
  <c r="I1769" i="1"/>
  <c r="J2225" i="1"/>
  <c r="I2225" i="1"/>
  <c r="J2221" i="1"/>
  <c r="I2221" i="1"/>
  <c r="J2218" i="1"/>
  <c r="I2218" i="1"/>
  <c r="J2860" i="1"/>
  <c r="I2860" i="1"/>
  <c r="J1286" i="1"/>
  <c r="I1286" i="1"/>
  <c r="J1776" i="1"/>
  <c r="I1776" i="1"/>
  <c r="J1774" i="1"/>
  <c r="I1774" i="1"/>
  <c r="J2227" i="1"/>
  <c r="I2227" i="1"/>
  <c r="J2226" i="1"/>
  <c r="I2226" i="1"/>
  <c r="J2868" i="1"/>
  <c r="I2868" i="1"/>
  <c r="J2869" i="1"/>
  <c r="I2869" i="1"/>
  <c r="J1288" i="1"/>
  <c r="I1288" i="1"/>
  <c r="J1779" i="1"/>
  <c r="I1779" i="1"/>
  <c r="J2241" i="1"/>
  <c r="I2241" i="1"/>
  <c r="J2236" i="1"/>
  <c r="I2236" i="1"/>
  <c r="J2873" i="1"/>
  <c r="I2873" i="1"/>
  <c r="J1290" i="1"/>
  <c r="I1290" i="1"/>
  <c r="J1785" i="1"/>
  <c r="I1785" i="1"/>
  <c r="J1787" i="1"/>
  <c r="I1787" i="1"/>
  <c r="J2243" i="1"/>
  <c r="I2243" i="1"/>
  <c r="J2245" i="1"/>
  <c r="I2245" i="1"/>
  <c r="J2880" i="1"/>
  <c r="I2880" i="1"/>
  <c r="J2882" i="1"/>
  <c r="I2882" i="1"/>
  <c r="J1797" i="1"/>
  <c r="I1797" i="1"/>
  <c r="J1795" i="1"/>
  <c r="I1795" i="1"/>
  <c r="J2253" i="1"/>
  <c r="I2253" i="1"/>
  <c r="J2252" i="1"/>
  <c r="I2252" i="1"/>
  <c r="J2889" i="1"/>
  <c r="I2889" i="1"/>
  <c r="J2887" i="1"/>
  <c r="I2887" i="1"/>
  <c r="J1803" i="1"/>
  <c r="I1803" i="1"/>
  <c r="J1800" i="1"/>
  <c r="I1800" i="1"/>
  <c r="J2262" i="1"/>
  <c r="I2262" i="1"/>
  <c r="J2264" i="1"/>
  <c r="I2264" i="1"/>
  <c r="J2893" i="1"/>
  <c r="I2893" i="1"/>
  <c r="J1293" i="1"/>
  <c r="I1293" i="1"/>
  <c r="J1805" i="1"/>
  <c r="I1805" i="1"/>
  <c r="J2277" i="1"/>
  <c r="I2277" i="1"/>
  <c r="J2272" i="1"/>
  <c r="I2272" i="1"/>
  <c r="J2274" i="1"/>
  <c r="I2274" i="1"/>
  <c r="J1294" i="1"/>
  <c r="I1294" i="1"/>
  <c r="J1811" i="1"/>
  <c r="I1811" i="1"/>
  <c r="J2284" i="1"/>
  <c r="I2284" i="1"/>
  <c r="J2286" i="1"/>
  <c r="I2286" i="1"/>
  <c r="J2900" i="1"/>
  <c r="I2900" i="1"/>
  <c r="J2295" i="1"/>
  <c r="I2295" i="1"/>
  <c r="J2289" i="1"/>
  <c r="I2289" i="1"/>
  <c r="J2902" i="1"/>
  <c r="I2902" i="1"/>
  <c r="J1835" i="1"/>
  <c r="I1835" i="1"/>
  <c r="J2296" i="1"/>
  <c r="I2296" i="1"/>
  <c r="J2303" i="1"/>
  <c r="I2303" i="1"/>
  <c r="J3150" i="1"/>
  <c r="I3150" i="1"/>
  <c r="J3140" i="1"/>
  <c r="I3140" i="1"/>
  <c r="J3141" i="1"/>
  <c r="I3141" i="1"/>
  <c r="J3156" i="1"/>
  <c r="I3156" i="1"/>
  <c r="J3143" i="1"/>
  <c r="I3143" i="1"/>
  <c r="J3723" i="1"/>
  <c r="I3723" i="1"/>
  <c r="J3159" i="1"/>
  <c r="I3159" i="1"/>
  <c r="J3161" i="1"/>
  <c r="I3161" i="1"/>
  <c r="J1057" i="1"/>
  <c r="I1057" i="1"/>
  <c r="J1058" i="1"/>
  <c r="I1058" i="1"/>
  <c r="J1144" i="1"/>
  <c r="I1144" i="1"/>
  <c r="J1145" i="1"/>
  <c r="I1145" i="1"/>
  <c r="J452" i="1"/>
  <c r="I452" i="1"/>
  <c r="J446" i="1"/>
  <c r="I446" i="1"/>
  <c r="J447" i="1"/>
  <c r="I447" i="1"/>
  <c r="J1067" i="1"/>
  <c r="I1067" i="1"/>
  <c r="J1060" i="1"/>
  <c r="I1060" i="1"/>
  <c r="J1062" i="1"/>
  <c r="I1062" i="1"/>
  <c r="J1148" i="1"/>
  <c r="I1148" i="1"/>
  <c r="J1157" i="1"/>
  <c r="I1157" i="1"/>
  <c r="J1152" i="1"/>
  <c r="I1152" i="1"/>
  <c r="J457" i="1"/>
  <c r="I457" i="1"/>
  <c r="J461" i="1"/>
  <c r="I461" i="1"/>
  <c r="J462" i="1"/>
  <c r="I462" i="1"/>
  <c r="J1068" i="1"/>
  <c r="I1068" i="1"/>
  <c r="J1070" i="1"/>
  <c r="I1070" i="1"/>
  <c r="J1169" i="1"/>
  <c r="I1169" i="1"/>
  <c r="J1166" i="1"/>
  <c r="I1166" i="1"/>
  <c r="J1159" i="1"/>
  <c r="I1159" i="1"/>
  <c r="J476" i="1"/>
  <c r="I476" i="1"/>
  <c r="J475" i="1"/>
  <c r="I475" i="1"/>
  <c r="J468" i="1"/>
  <c r="I468" i="1"/>
  <c r="J1084" i="1"/>
  <c r="I1084" i="1"/>
  <c r="J1079" i="1"/>
  <c r="I1079" i="1"/>
  <c r="J1077" i="1"/>
  <c r="I1077" i="1"/>
  <c r="J1181" i="1"/>
  <c r="I1181" i="1"/>
  <c r="J1182" i="1"/>
  <c r="I1182" i="1"/>
  <c r="J1174" i="1"/>
  <c r="I1174" i="1"/>
  <c r="J489" i="1"/>
  <c r="I489" i="1"/>
  <c r="J490" i="1"/>
  <c r="I490" i="1"/>
  <c r="J482" i="1"/>
  <c r="I482" i="1"/>
  <c r="J1094" i="1"/>
  <c r="I1094" i="1"/>
  <c r="J1090" i="1"/>
  <c r="I1090" i="1"/>
  <c r="J1190" i="1"/>
  <c r="I1190" i="1"/>
  <c r="J1191" i="1"/>
  <c r="I1191" i="1"/>
  <c r="J501" i="1"/>
  <c r="I501" i="1"/>
  <c r="J495" i="1"/>
  <c r="I495" i="1"/>
  <c r="J496" i="1"/>
  <c r="I496" i="1"/>
  <c r="J1105" i="1"/>
  <c r="I1105" i="1"/>
  <c r="J1098" i="1"/>
  <c r="I1098" i="1"/>
  <c r="J1096" i="1"/>
  <c r="I1096" i="1"/>
  <c r="J1201" i="1"/>
  <c r="I1201" i="1"/>
  <c r="J1202" i="1"/>
  <c r="I1202" i="1"/>
  <c r="J1198" i="1"/>
  <c r="I1198" i="1"/>
  <c r="J506" i="1"/>
  <c r="I506" i="1"/>
  <c r="J516" i="1"/>
  <c r="I516" i="1"/>
  <c r="J507" i="1"/>
  <c r="I507" i="1"/>
  <c r="J1106" i="1"/>
  <c r="I1106" i="1"/>
  <c r="J1211" i="1"/>
  <c r="I1211" i="1"/>
  <c r="J1205" i="1"/>
  <c r="I1205" i="1"/>
  <c r="J530" i="1"/>
  <c r="I530" i="1"/>
  <c r="J526" i="1"/>
  <c r="I526" i="1"/>
  <c r="J523" i="1"/>
  <c r="I523" i="1"/>
  <c r="J524" i="1"/>
  <c r="I524" i="1"/>
  <c r="J1113" i="1"/>
  <c r="I1113" i="1"/>
  <c r="J1217" i="1"/>
  <c r="I1217" i="1"/>
  <c r="J1215" i="1"/>
  <c r="I1215" i="1"/>
  <c r="J532" i="1"/>
  <c r="I532" i="1"/>
  <c r="J536" i="1"/>
  <c r="I536" i="1"/>
  <c r="J537" i="1"/>
  <c r="I537" i="1"/>
  <c r="J1117" i="1"/>
  <c r="I1117" i="1"/>
  <c r="J1229" i="1"/>
  <c r="I1229" i="1"/>
  <c r="J1222" i="1"/>
  <c r="I1222" i="1"/>
  <c r="J1219" i="1"/>
  <c r="I1219" i="1"/>
  <c r="J552" i="1"/>
  <c r="I552" i="1"/>
  <c r="J546" i="1"/>
  <c r="I546" i="1"/>
  <c r="J547" i="1"/>
  <c r="I547" i="1"/>
  <c r="J1130" i="1"/>
  <c r="I1130" i="1"/>
  <c r="J1125" i="1"/>
  <c r="I1125" i="1"/>
  <c r="J1239" i="1"/>
  <c r="I1239" i="1"/>
  <c r="J1233" i="1"/>
  <c r="I1233" i="1"/>
  <c r="J1234" i="1"/>
  <c r="I1234" i="1"/>
  <c r="J567" i="1"/>
  <c r="I567" i="1"/>
  <c r="J563" i="1"/>
  <c r="I563" i="1"/>
  <c r="J560" i="1"/>
  <c r="I560" i="1"/>
  <c r="J1246" i="1"/>
  <c r="I1246" i="1"/>
  <c r="J579" i="1"/>
  <c r="I579" i="1"/>
  <c r="J576" i="1"/>
  <c r="I576" i="1"/>
  <c r="J572" i="1"/>
  <c r="I572" i="1"/>
  <c r="J1137" i="1"/>
  <c r="I1137" i="1"/>
  <c r="J1132" i="1"/>
  <c r="I1132" i="1"/>
  <c r="J1253" i="1"/>
  <c r="I1253" i="1"/>
  <c r="J1252" i="1"/>
  <c r="I1252" i="1"/>
  <c r="J1251" i="1"/>
  <c r="I1251" i="1"/>
  <c r="J581" i="1"/>
  <c r="I581" i="1"/>
  <c r="J585" i="1"/>
  <c r="I585" i="1"/>
  <c r="J586" i="1"/>
  <c r="I586" i="1"/>
  <c r="J2905" i="1"/>
  <c r="I2905" i="1"/>
  <c r="J2946" i="1"/>
  <c r="I2946" i="1"/>
  <c r="J2909" i="1"/>
  <c r="I2909" i="1"/>
  <c r="J2949" i="1"/>
  <c r="I2949" i="1"/>
  <c r="J2915" i="1"/>
  <c r="I2915" i="1"/>
  <c r="J2953" i="1"/>
  <c r="I2953" i="1"/>
  <c r="J2921" i="1"/>
  <c r="I2921" i="1"/>
  <c r="J2925" i="1"/>
  <c r="I2925" i="1"/>
  <c r="J2931" i="1"/>
  <c r="I2931" i="1"/>
  <c r="J2934" i="1"/>
  <c r="I2934" i="1"/>
  <c r="J2939" i="1"/>
  <c r="I2939" i="1"/>
  <c r="J2942" i="1"/>
  <c r="I2942" i="1"/>
  <c r="J2560" i="1"/>
  <c r="I2560" i="1"/>
  <c r="J2558" i="1"/>
  <c r="I2558" i="1"/>
  <c r="J2650" i="1"/>
  <c r="I2650" i="1"/>
  <c r="J2780" i="1"/>
  <c r="I2780" i="1"/>
  <c r="J2567" i="1"/>
  <c r="I2567" i="1"/>
  <c r="J2569" i="1"/>
  <c r="I2569" i="1"/>
  <c r="J2660" i="1"/>
  <c r="I2660" i="1"/>
  <c r="J2659" i="1"/>
  <c r="I2659" i="1"/>
  <c r="J2653" i="1"/>
  <c r="I2653" i="1"/>
  <c r="J2788" i="1"/>
  <c r="I2788" i="1"/>
  <c r="J2789" i="1"/>
  <c r="I2789" i="1"/>
  <c r="J2576" i="1"/>
  <c r="I2576" i="1"/>
  <c r="J2573" i="1"/>
  <c r="I2573" i="1"/>
  <c r="J2670" i="1"/>
  <c r="I2670" i="1"/>
  <c r="J2671" i="1"/>
  <c r="I2671" i="1"/>
  <c r="J2794" i="1"/>
  <c r="I2794" i="1"/>
  <c r="J2793" i="1"/>
  <c r="I2793" i="1"/>
  <c r="J2578" i="1"/>
  <c r="I2578" i="1"/>
  <c r="J2581" i="1"/>
  <c r="I2581" i="1"/>
  <c r="J2680" i="1"/>
  <c r="I2680" i="1"/>
  <c r="J2679" i="1"/>
  <c r="I2679" i="1"/>
  <c r="J2674" i="1"/>
  <c r="I2674" i="1"/>
  <c r="J2804" i="1"/>
  <c r="I2804" i="1"/>
  <c r="J2800" i="1"/>
  <c r="I2800" i="1"/>
  <c r="J2593" i="1"/>
  <c r="I2593" i="1"/>
  <c r="J2592" i="1"/>
  <c r="I2592" i="1"/>
  <c r="J2689" i="1"/>
  <c r="I2689" i="1"/>
  <c r="J2688" i="1"/>
  <c r="I2688" i="1"/>
  <c r="J2808" i="1"/>
  <c r="I2808" i="1"/>
  <c r="J2810" i="1"/>
  <c r="I2810" i="1"/>
  <c r="J2597" i="1"/>
  <c r="I2597" i="1"/>
  <c r="J2599" i="1"/>
  <c r="I2599" i="1"/>
  <c r="J2692" i="1"/>
  <c r="I2692" i="1"/>
  <c r="J2700" i="1"/>
  <c r="I2700" i="1"/>
  <c r="J2763" i="1"/>
  <c r="I2763" i="1"/>
  <c r="J2815" i="1"/>
  <c r="I2815" i="1"/>
  <c r="J2609" i="1"/>
  <c r="I2609" i="1"/>
  <c r="J2605" i="1"/>
  <c r="I2605" i="1"/>
  <c r="J2702" i="1"/>
  <c r="I2702" i="1"/>
  <c r="J2765" i="1"/>
  <c r="I2765" i="1"/>
  <c r="J2616" i="1"/>
  <c r="I2616" i="1"/>
  <c r="J2613" i="1"/>
  <c r="I2613" i="1"/>
  <c r="J2712" i="1"/>
  <c r="I2712" i="1"/>
  <c r="J2709" i="1"/>
  <c r="I2709" i="1"/>
  <c r="J2625" i="1"/>
  <c r="I2625" i="1"/>
  <c r="J2626" i="1"/>
  <c r="I2626" i="1"/>
  <c r="J2715" i="1"/>
  <c r="I2715" i="1"/>
  <c r="J2769" i="1"/>
  <c r="I2769" i="1"/>
  <c r="J2627" i="1"/>
  <c r="I2627" i="1"/>
  <c r="J2723" i="1"/>
  <c r="I2723" i="1"/>
  <c r="J2772" i="1"/>
  <c r="I2772" i="1"/>
  <c r="J2820" i="1"/>
  <c r="I2820" i="1"/>
  <c r="J2635" i="1"/>
  <c r="I2635" i="1"/>
  <c r="J2637" i="1"/>
  <c r="I2637" i="1"/>
  <c r="J2824" i="1"/>
  <c r="I2824" i="1"/>
  <c r="J2643" i="1"/>
  <c r="I2643" i="1"/>
  <c r="J2642" i="1"/>
  <c r="I2642" i="1"/>
  <c r="J2733" i="1"/>
  <c r="I2733" i="1"/>
  <c r="J2725" i="1"/>
  <c r="I2725" i="1"/>
  <c r="J2726" i="1"/>
  <c r="I2726" i="1"/>
  <c r="J2777" i="1"/>
  <c r="I2777" i="1"/>
  <c r="J3313" i="1"/>
  <c r="I3313" i="1"/>
  <c r="J3334" i="1"/>
  <c r="I3334" i="1"/>
  <c r="J3333" i="1"/>
  <c r="I3333" i="1"/>
  <c r="J3419" i="1"/>
  <c r="I3419" i="1"/>
  <c r="J3472" i="1"/>
  <c r="I3472" i="1"/>
  <c r="J3545" i="1"/>
  <c r="I3545" i="1"/>
  <c r="J3605" i="1"/>
  <c r="I3605" i="1"/>
  <c r="J3658" i="1"/>
  <c r="I3658" i="1"/>
  <c r="J3698" i="1"/>
  <c r="I3698" i="1"/>
  <c r="J3347" i="1"/>
  <c r="I3347" i="1"/>
  <c r="J3339" i="1"/>
  <c r="I3339" i="1"/>
  <c r="J3340" i="1"/>
  <c r="I3340" i="1"/>
  <c r="J3423" i="1"/>
  <c r="I3423" i="1"/>
  <c r="J3478" i="1"/>
  <c r="I3478" i="1"/>
  <c r="J3613" i="1"/>
  <c r="I3613" i="1"/>
  <c r="J3608" i="1"/>
  <c r="I3608" i="1"/>
  <c r="J3663" i="1"/>
  <c r="I3663" i="1"/>
  <c r="J3660" i="1"/>
  <c r="I3660" i="1"/>
  <c r="J3705" i="1"/>
  <c r="I3705" i="1"/>
  <c r="J3356" i="1"/>
  <c r="I3356" i="1"/>
  <c r="J3349" i="1"/>
  <c r="I3349" i="1"/>
  <c r="J3351" i="1"/>
  <c r="I3351" i="1"/>
  <c r="J3426" i="1"/>
  <c r="I3426" i="1"/>
  <c r="J3480" i="1"/>
  <c r="I3480" i="1"/>
  <c r="J3551" i="1"/>
  <c r="I3551" i="1"/>
  <c r="J3615" i="1"/>
  <c r="I3615" i="1"/>
  <c r="J3671" i="1"/>
  <c r="I3671" i="1"/>
  <c r="J3667" i="1"/>
  <c r="I3667" i="1"/>
  <c r="J3710" i="1"/>
  <c r="I3710" i="1"/>
  <c r="J3365" i="1"/>
  <c r="I3365" i="1"/>
  <c r="J3358" i="1"/>
  <c r="I3358" i="1"/>
  <c r="J3360" i="1"/>
  <c r="I3360" i="1"/>
  <c r="J3487" i="1"/>
  <c r="I3487" i="1"/>
  <c r="J3620" i="1"/>
  <c r="I3620" i="1"/>
  <c r="J3619" i="1"/>
  <c r="I3619" i="1"/>
  <c r="J3674" i="1"/>
  <c r="I3674" i="1"/>
  <c r="J3713" i="1"/>
  <c r="I3713" i="1"/>
  <c r="J1336" i="1"/>
  <c r="I1336" i="1"/>
  <c r="J1395" i="1"/>
  <c r="I1395" i="1"/>
  <c r="J1340" i="1"/>
  <c r="I1340" i="1"/>
  <c r="J1397" i="1"/>
  <c r="I1397" i="1"/>
  <c r="J1344" i="1"/>
  <c r="I1344" i="1"/>
  <c r="J1350" i="1"/>
  <c r="I1350" i="1"/>
  <c r="J1352" i="1"/>
  <c r="I1352" i="1"/>
  <c r="J1360" i="1"/>
  <c r="I1360" i="1"/>
  <c r="J1367" i="1"/>
  <c r="I1367" i="1"/>
  <c r="J1361" i="1"/>
  <c r="I1361" i="1"/>
  <c r="J1375" i="1"/>
  <c r="I1375" i="1"/>
  <c r="J1370" i="1"/>
  <c r="I1370" i="1"/>
  <c r="J1376" i="1"/>
  <c r="I1376" i="1"/>
  <c r="J1380" i="1"/>
  <c r="I1380" i="1"/>
  <c r="J1387" i="1"/>
  <c r="I1387" i="1"/>
  <c r="J1386" i="1"/>
  <c r="I1386" i="1"/>
  <c r="J1391" i="1"/>
  <c r="I1391" i="1"/>
  <c r="J2959" i="1"/>
  <c r="I2959" i="1"/>
  <c r="J2966" i="1"/>
  <c r="I2966" i="1"/>
  <c r="J2997" i="1"/>
  <c r="I2997" i="1"/>
  <c r="J3058" i="1"/>
  <c r="I3058" i="1"/>
  <c r="J3054" i="1"/>
  <c r="I3054" i="1"/>
  <c r="J3110" i="1"/>
  <c r="I3110" i="1"/>
  <c r="J3109" i="1"/>
  <c r="I3109" i="1"/>
  <c r="J3184" i="1"/>
  <c r="I3184" i="1"/>
  <c r="J2960" i="1"/>
  <c r="I2960" i="1"/>
  <c r="J2972" i="1"/>
  <c r="I2972" i="1"/>
  <c r="J3065" i="1"/>
  <c r="I3065" i="1"/>
  <c r="J3064" i="1"/>
  <c r="I3064" i="1"/>
  <c r="J3119" i="1"/>
  <c r="I3119" i="1"/>
  <c r="J3130" i="1"/>
  <c r="I3130" i="1"/>
  <c r="J3199" i="1"/>
  <c r="I3199" i="1"/>
  <c r="J2977" i="1"/>
  <c r="I2977" i="1"/>
  <c r="J3074" i="1"/>
  <c r="I3074" i="1"/>
  <c r="J3068" i="1"/>
  <c r="I3068" i="1"/>
  <c r="J3124" i="1"/>
  <c r="I3124" i="1"/>
  <c r="J3200" i="1"/>
  <c r="I3200" i="1"/>
  <c r="J2979" i="1"/>
  <c r="I2979" i="1"/>
  <c r="J3076" i="1"/>
  <c r="I3076" i="1"/>
  <c r="J3125" i="1"/>
  <c r="I3125" i="1"/>
  <c r="J3202" i="1"/>
  <c r="I3202" i="1"/>
  <c r="J2987" i="1"/>
  <c r="I2987" i="1"/>
  <c r="J3085" i="1"/>
  <c r="I3085" i="1"/>
  <c r="J3082" i="1"/>
  <c r="I3082" i="1"/>
  <c r="J3126" i="1"/>
  <c r="I3126" i="1"/>
  <c r="J3204" i="1"/>
  <c r="I3204" i="1"/>
  <c r="J3088" i="1"/>
  <c r="I3088" i="1"/>
  <c r="J2989" i="1"/>
  <c r="I2989" i="1"/>
  <c r="J3092" i="1"/>
  <c r="I3092" i="1"/>
  <c r="J3191" i="1"/>
  <c r="I3191" i="1"/>
  <c r="J3098" i="1"/>
  <c r="I3098" i="1"/>
  <c r="J3097" i="1"/>
  <c r="I3097" i="1"/>
  <c r="J3102" i="1"/>
  <c r="I3102" i="1"/>
  <c r="J2993" i="1"/>
  <c r="I2993" i="1"/>
  <c r="J3209" i="1"/>
  <c r="I3209" i="1"/>
  <c r="J10" i="1"/>
  <c r="I10" i="1"/>
  <c r="J9" i="1"/>
  <c r="I9" i="1"/>
  <c r="J2" i="1"/>
  <c r="I2" i="1"/>
  <c r="J157" i="1"/>
  <c r="I157" i="1"/>
  <c r="J156" i="1"/>
  <c r="I156" i="1"/>
  <c r="J149" i="1"/>
  <c r="I149" i="1"/>
  <c r="J23" i="1"/>
  <c r="I23" i="1"/>
  <c r="J17" i="1"/>
  <c r="I17" i="1"/>
  <c r="J18" i="1"/>
  <c r="I18" i="1"/>
  <c r="J173" i="1"/>
  <c r="I173" i="1"/>
  <c r="J169" i="1"/>
  <c r="I169" i="1"/>
  <c r="J166" i="1"/>
  <c r="I166" i="1"/>
  <c r="J167" i="1"/>
  <c r="I167" i="1"/>
  <c r="J28" i="1"/>
  <c r="I28" i="1"/>
  <c r="J32" i="1"/>
  <c r="I32" i="1"/>
  <c r="J33" i="1"/>
  <c r="I33" i="1"/>
  <c r="J175" i="1"/>
  <c r="I175" i="1"/>
  <c r="J179" i="1"/>
  <c r="I179" i="1"/>
  <c r="J180" i="1"/>
  <c r="I180" i="1"/>
  <c r="J40" i="1"/>
  <c r="I40" i="1"/>
  <c r="J44" i="1"/>
  <c r="I44" i="1"/>
  <c r="J45" i="1"/>
  <c r="I45" i="1"/>
  <c r="J187" i="1"/>
  <c r="I187" i="1"/>
  <c r="J191" i="1"/>
  <c r="I191" i="1"/>
  <c r="J192" i="1"/>
  <c r="I192" i="1"/>
  <c r="J52" i="1"/>
  <c r="I52" i="1"/>
  <c r="J56" i="1"/>
  <c r="I56" i="1"/>
  <c r="J57" i="1"/>
  <c r="I57" i="1"/>
  <c r="J199" i="1"/>
  <c r="I199" i="1"/>
  <c r="J209" i="1"/>
  <c r="I209" i="1"/>
  <c r="J200" i="1"/>
  <c r="I200" i="1"/>
  <c r="J72" i="1"/>
  <c r="I72" i="1"/>
  <c r="J73" i="1"/>
  <c r="I73" i="1"/>
  <c r="J65" i="1"/>
  <c r="I65" i="1"/>
  <c r="J221" i="1"/>
  <c r="I221" i="1"/>
  <c r="J218" i="1"/>
  <c r="I218" i="1"/>
  <c r="J211" i="1"/>
  <c r="I211" i="1"/>
  <c r="J83" i="1"/>
  <c r="I83" i="1"/>
  <c r="J82" i="1"/>
  <c r="I82" i="1"/>
  <c r="J75" i="1"/>
  <c r="I75" i="1"/>
  <c r="J232" i="1"/>
  <c r="I232" i="1"/>
  <c r="J231" i="1"/>
  <c r="I231" i="1"/>
  <c r="J224" i="1"/>
  <c r="I224" i="1"/>
  <c r="J95" i="1"/>
  <c r="I95" i="1"/>
  <c r="J94" i="1"/>
  <c r="I94" i="1"/>
  <c r="J87" i="1"/>
  <c r="I87" i="1"/>
  <c r="J245" i="1"/>
  <c r="I245" i="1"/>
  <c r="J239" i="1"/>
  <c r="I239" i="1"/>
  <c r="J240" i="1"/>
  <c r="I240" i="1"/>
  <c r="J111" i="1"/>
  <c r="I111" i="1"/>
  <c r="J107" i="1"/>
  <c r="I107" i="1"/>
  <c r="J104" i="1"/>
  <c r="I104" i="1"/>
  <c r="J105" i="1"/>
  <c r="I105" i="1"/>
  <c r="J250" i="1"/>
  <c r="I250" i="1"/>
  <c r="J260" i="1"/>
  <c r="I260" i="1"/>
  <c r="J251" i="1"/>
  <c r="I251" i="1"/>
  <c r="J122" i="1"/>
  <c r="I122" i="1"/>
  <c r="J119" i="1"/>
  <c r="I119" i="1"/>
  <c r="J112" i="1"/>
  <c r="I112" i="1"/>
  <c r="J270" i="1"/>
  <c r="I270" i="1"/>
  <c r="J269" i="1"/>
  <c r="I269" i="1"/>
  <c r="J262" i="1"/>
  <c r="I262" i="1"/>
  <c r="J133" i="1"/>
  <c r="I133" i="1"/>
  <c r="J132" i="1"/>
  <c r="I132" i="1"/>
  <c r="J125" i="1"/>
  <c r="I125" i="1"/>
  <c r="J282" i="1"/>
  <c r="I282" i="1"/>
  <c r="J283" i="1"/>
  <c r="I283" i="1"/>
  <c r="J279" i="1"/>
  <c r="I279" i="1"/>
  <c r="J138" i="1"/>
  <c r="I138" i="1"/>
  <c r="J142" i="1"/>
  <c r="I142" i="1"/>
  <c r="J143" i="1"/>
  <c r="I143" i="1"/>
  <c r="J285" i="1"/>
  <c r="I285" i="1"/>
  <c r="J289" i="1"/>
  <c r="I289" i="1"/>
  <c r="J290" i="1"/>
  <c r="I290" i="1"/>
  <c r="J3559" i="1"/>
  <c r="I3559" i="1"/>
  <c r="J3566" i="1"/>
  <c r="I3566" i="1"/>
  <c r="J3564" i="1"/>
  <c r="I3564" i="1"/>
  <c r="J3569" i="1"/>
  <c r="I3569" i="1"/>
  <c r="J3574" i="1"/>
  <c r="I3574" i="1"/>
  <c r="J3575" i="1"/>
  <c r="I3575" i="1"/>
  <c r="J3580" i="1"/>
  <c r="I3580" i="1"/>
  <c r="J3581" i="1"/>
  <c r="I3581" i="1"/>
  <c r="J3588" i="1"/>
  <c r="I3588" i="1"/>
  <c r="J3601" i="1"/>
  <c r="I3601" i="1"/>
  <c r="J3591" i="1"/>
  <c r="I3591" i="1"/>
  <c r="J308" i="1"/>
  <c r="I308" i="1"/>
  <c r="J304" i="1"/>
  <c r="I304" i="1"/>
  <c r="J301" i="1"/>
  <c r="I301" i="1"/>
  <c r="J302" i="1"/>
  <c r="I302" i="1"/>
  <c r="J310" i="1"/>
  <c r="I310" i="1"/>
  <c r="J320" i="1"/>
  <c r="I320" i="1"/>
  <c r="J311" i="1"/>
  <c r="I311" i="1"/>
  <c r="J332" i="1"/>
  <c r="I332" i="1"/>
  <c r="J329" i="1"/>
  <c r="I329" i="1"/>
  <c r="J324" i="1"/>
  <c r="I324" i="1"/>
  <c r="J344" i="1"/>
  <c r="I344" i="1"/>
  <c r="J341" i="1"/>
  <c r="I341" i="1"/>
  <c r="J334" i="1"/>
  <c r="I334" i="1"/>
  <c r="J355" i="1"/>
  <c r="I355" i="1"/>
  <c r="J350" i="1"/>
  <c r="I350" i="1"/>
  <c r="J347" i="1"/>
  <c r="I347" i="1"/>
  <c r="J368" i="1"/>
  <c r="I368" i="1"/>
  <c r="J362" i="1"/>
  <c r="I362" i="1"/>
  <c r="J363" i="1"/>
  <c r="I363" i="1"/>
  <c r="J382" i="1"/>
  <c r="I382" i="1"/>
  <c r="J378" i="1"/>
  <c r="I378" i="1"/>
  <c r="J375" i="1"/>
  <c r="I375" i="1"/>
  <c r="J392" i="1"/>
  <c r="I392" i="1"/>
  <c r="J386" i="1"/>
  <c r="I386" i="1"/>
  <c r="J387" i="1"/>
  <c r="I387" i="1"/>
  <c r="J406" i="1"/>
  <c r="I406" i="1"/>
  <c r="J402" i="1"/>
  <c r="I402" i="1"/>
  <c r="J399" i="1"/>
  <c r="I399" i="1"/>
  <c r="J415" i="1"/>
  <c r="I415" i="1"/>
  <c r="J410" i="1"/>
  <c r="I410" i="1"/>
  <c r="J407" i="1"/>
  <c r="I407" i="1"/>
  <c r="J427" i="1"/>
  <c r="I427" i="1"/>
  <c r="J421" i="1"/>
  <c r="I421" i="1"/>
  <c r="J422" i="1"/>
  <c r="I422" i="1"/>
  <c r="J439" i="1"/>
  <c r="I439" i="1"/>
  <c r="J433" i="1"/>
  <c r="I433" i="1"/>
  <c r="J434" i="1"/>
  <c r="I434" i="1"/>
  <c r="J2108" i="1"/>
  <c r="I2108" i="1"/>
  <c r="J2104" i="1"/>
  <c r="I2104" i="1"/>
  <c r="J2309" i="1"/>
  <c r="I2309" i="1"/>
  <c r="J2306" i="1"/>
  <c r="I2306" i="1"/>
  <c r="J2117" i="1"/>
  <c r="I2117" i="1"/>
  <c r="J2118" i="1"/>
  <c r="I2118" i="1"/>
  <c r="J2318" i="1"/>
  <c r="I2318" i="1"/>
  <c r="J2313" i="1"/>
  <c r="I2313" i="1"/>
  <c r="J2128" i="1"/>
  <c r="I2128" i="1"/>
  <c r="J2122" i="1"/>
  <c r="I2122" i="1"/>
  <c r="J2124" i="1"/>
  <c r="I2124" i="1"/>
  <c r="J2322" i="1"/>
  <c r="I2322" i="1"/>
  <c r="J2321" i="1"/>
  <c r="I2321" i="1"/>
  <c r="J2134" i="1"/>
  <c r="I2134" i="1"/>
  <c r="J2135" i="1"/>
  <c r="I2135" i="1"/>
  <c r="J2335" i="1"/>
  <c r="I2335" i="1"/>
  <c r="J2332" i="1"/>
  <c r="I2332" i="1"/>
  <c r="J2137" i="1"/>
  <c r="I2137" i="1"/>
  <c r="J2340" i="1"/>
  <c r="I2340" i="1"/>
  <c r="J2339" i="1"/>
  <c r="I2339" i="1"/>
  <c r="J2143" i="1"/>
  <c r="I2143" i="1"/>
  <c r="J2345" i="1"/>
  <c r="I2345" i="1"/>
  <c r="J2156" i="1"/>
  <c r="I2156" i="1"/>
  <c r="J2151" i="1"/>
  <c r="I2151" i="1"/>
  <c r="J2351" i="1"/>
  <c r="I2351" i="1"/>
  <c r="J2349" i="1"/>
  <c r="I2349" i="1"/>
  <c r="J2162" i="1"/>
  <c r="I2162" i="1"/>
  <c r="J2159" i="1"/>
  <c r="I2159" i="1"/>
  <c r="J2354" i="1"/>
  <c r="I2354" i="1"/>
  <c r="J2164" i="1"/>
  <c r="I2164" i="1"/>
  <c r="J2166" i="1"/>
  <c r="I2166" i="1"/>
  <c r="J2358" i="1"/>
  <c r="I2358" i="1"/>
  <c r="J2178" i="1"/>
  <c r="I2178" i="1"/>
  <c r="J2173" i="1"/>
  <c r="I2173" i="1"/>
  <c r="J2370" i="1"/>
  <c r="I2370" i="1"/>
  <c r="J2366" i="1"/>
  <c r="I2366" i="1"/>
  <c r="J2183" i="1"/>
  <c r="I2183" i="1"/>
  <c r="J2181" i="1"/>
  <c r="I2181" i="1"/>
  <c r="J2378" i="1"/>
  <c r="I2378" i="1"/>
  <c r="J2375" i="1"/>
  <c r="I2375" i="1"/>
  <c r="J2186" i="1"/>
  <c r="I2186" i="1"/>
  <c r="J2385" i="1"/>
  <c r="I2385" i="1"/>
  <c r="J2381" i="1"/>
  <c r="I2381" i="1"/>
  <c r="J3216" i="1"/>
  <c r="I3216" i="1"/>
  <c r="J3212" i="1"/>
  <c r="I3212" i="1"/>
  <c r="J3224" i="1"/>
  <c r="I3224" i="1"/>
  <c r="J3220" i="1"/>
  <c r="I3220" i="1"/>
  <c r="J3232" i="1"/>
  <c r="I3232" i="1"/>
  <c r="J3228" i="1"/>
  <c r="I3228" i="1"/>
  <c r="J3238" i="1"/>
  <c r="I3238" i="1"/>
  <c r="J3237" i="1"/>
  <c r="I3237" i="1"/>
  <c r="J3245" i="1"/>
  <c r="I3245" i="1"/>
  <c r="J3250" i="1"/>
  <c r="I3250" i="1"/>
  <c r="J3248" i="1"/>
  <c r="I3248" i="1"/>
  <c r="J3256" i="1"/>
  <c r="I3256" i="1"/>
  <c r="J3258" i="1"/>
  <c r="I3258" i="1"/>
  <c r="J3261" i="1"/>
  <c r="I3261" i="1"/>
  <c r="J3264" i="1"/>
  <c r="I3264" i="1"/>
  <c r="J2195" i="1"/>
  <c r="I2195" i="1"/>
  <c r="J2391" i="1"/>
  <c r="I2391" i="1"/>
  <c r="J2392" i="1"/>
  <c r="I2392" i="1"/>
  <c r="J2403" i="1"/>
  <c r="I2403" i="1"/>
  <c r="J2397" i="1"/>
  <c r="I2397" i="1"/>
  <c r="J2398" i="1"/>
  <c r="I2398" i="1"/>
  <c r="J2415" i="1"/>
  <c r="I2415" i="1"/>
  <c r="J2412" i="1"/>
  <c r="I2412" i="1"/>
  <c r="J2410" i="1"/>
  <c r="I2410" i="1"/>
  <c r="J2417" i="1"/>
  <c r="I2417" i="1"/>
  <c r="J2426" i="1"/>
  <c r="I2426" i="1"/>
  <c r="J2421" i="1"/>
  <c r="I2421" i="1"/>
  <c r="J2429" i="1"/>
  <c r="I2429" i="1"/>
  <c r="J2428" i="1"/>
  <c r="I2428" i="1"/>
  <c r="J2446" i="1"/>
  <c r="I2446" i="1"/>
  <c r="J2443" i="1"/>
  <c r="I2443" i="1"/>
  <c r="J2437" i="1"/>
  <c r="I2437" i="1"/>
  <c r="J2453" i="1"/>
  <c r="I2453" i="1"/>
  <c r="J2459" i="1"/>
  <c r="I2459" i="1"/>
  <c r="J2456" i="1"/>
  <c r="I2456" i="1"/>
  <c r="J2460" i="1"/>
  <c r="I2460" i="1"/>
  <c r="J2463" i="1"/>
  <c r="I2463" i="1"/>
  <c r="J2468" i="1"/>
  <c r="I2468" i="1"/>
  <c r="J2470" i="1"/>
  <c r="I2470" i="1"/>
  <c r="J2477" i="1"/>
  <c r="I2477" i="1"/>
  <c r="J2476" i="1"/>
  <c r="I2476" i="1"/>
  <c r="J2492" i="1"/>
  <c r="I2492" i="1"/>
  <c r="J2487" i="1"/>
  <c r="I2487" i="1"/>
  <c r="J2489" i="1"/>
  <c r="I2489" i="1"/>
  <c r="J3266" i="1"/>
  <c r="I3266" i="1"/>
  <c r="J3275" i="1"/>
  <c r="I3275" i="1"/>
  <c r="J3283" i="1"/>
  <c r="I3283" i="1"/>
  <c r="J3278" i="1"/>
  <c r="I3278" i="1"/>
  <c r="J3287" i="1"/>
  <c r="I3287" i="1"/>
  <c r="J3292" i="1"/>
  <c r="I3292" i="1"/>
  <c r="J3291" i="1"/>
  <c r="I3291" i="1"/>
  <c r="J3295" i="1"/>
  <c r="I3295" i="1"/>
  <c r="J3299" i="1"/>
  <c r="I3299" i="1"/>
  <c r="J3307" i="1"/>
  <c r="I3307" i="1"/>
  <c r="J3309" i="1"/>
  <c r="I3309" i="1"/>
  <c r="J1762" i="1"/>
  <c r="I1762" i="1"/>
  <c r="J1759" i="1"/>
  <c r="I1759" i="1"/>
  <c r="J2203" i="1"/>
  <c r="I2203" i="1"/>
  <c r="J2200" i="1"/>
  <c r="I2200" i="1"/>
  <c r="J2845" i="1"/>
  <c r="I2845" i="1"/>
  <c r="J1282" i="1"/>
  <c r="I1282" i="1"/>
  <c r="J1765" i="1"/>
  <c r="I1765" i="1"/>
  <c r="J2206" i="1"/>
  <c r="I2206" i="1"/>
  <c r="J2213" i="1"/>
  <c r="I2213" i="1"/>
  <c r="J2854" i="1"/>
  <c r="I2854" i="1"/>
  <c r="J1284" i="1"/>
  <c r="I1284" i="1"/>
  <c r="J1770" i="1"/>
  <c r="I1770" i="1"/>
  <c r="J2222" i="1"/>
  <c r="I2222" i="1"/>
  <c r="J2217" i="1"/>
  <c r="I2217" i="1"/>
  <c r="J2215" i="1"/>
  <c r="I2215" i="1"/>
  <c r="J2857" i="1"/>
  <c r="I2857" i="1"/>
  <c r="J1285" i="1"/>
  <c r="I1285" i="1"/>
  <c r="J1772" i="1"/>
  <c r="I1772" i="1"/>
  <c r="J2234" i="1"/>
  <c r="I2234" i="1"/>
  <c r="J2228" i="1"/>
  <c r="I2228" i="1"/>
  <c r="J2229" i="1"/>
  <c r="I2229" i="1"/>
  <c r="J2862" i="1"/>
  <c r="I2862" i="1"/>
  <c r="J2864" i="1"/>
  <c r="I2864" i="1"/>
  <c r="J1287" i="1"/>
  <c r="I1287" i="1"/>
  <c r="J1780" i="1"/>
  <c r="I1780" i="1"/>
  <c r="J2239" i="1"/>
  <c r="I2239" i="1"/>
  <c r="J2238" i="1"/>
  <c r="I2238" i="1"/>
  <c r="J2874" i="1"/>
  <c r="I2874" i="1"/>
  <c r="J1792" i="1"/>
  <c r="I1792" i="1"/>
  <c r="J1786" i="1"/>
  <c r="I1786" i="1"/>
  <c r="J2251" i="1"/>
  <c r="I2251" i="1"/>
  <c r="J2244" i="1"/>
  <c r="I2244" i="1"/>
  <c r="J2242" i="1"/>
  <c r="I2242" i="1"/>
  <c r="J2881" i="1"/>
  <c r="I2881" i="1"/>
  <c r="J2877" i="1"/>
  <c r="I2877" i="1"/>
  <c r="J1796" i="1"/>
  <c r="I1796" i="1"/>
  <c r="J2260" i="1"/>
  <c r="I2260" i="1"/>
  <c r="J2254" i="1"/>
  <c r="I2254" i="1"/>
  <c r="J2255" i="1"/>
  <c r="I2255" i="1"/>
  <c r="J2884" i="1"/>
  <c r="I2884" i="1"/>
  <c r="J1292" i="1"/>
  <c r="I1292" i="1"/>
  <c r="J1798" i="1"/>
  <c r="I1798" i="1"/>
  <c r="J2270" i="1"/>
  <c r="I2270" i="1"/>
  <c r="J2263" i="1"/>
  <c r="I2263" i="1"/>
  <c r="J2261" i="1"/>
  <c r="I2261" i="1"/>
  <c r="J2894" i="1"/>
  <c r="I2894" i="1"/>
  <c r="J1810" i="1"/>
  <c r="I1810" i="1"/>
  <c r="J1806" i="1"/>
  <c r="I1806" i="1"/>
  <c r="J2278" i="1"/>
  <c r="I2278" i="1"/>
  <c r="J2275" i="1"/>
  <c r="I2275" i="1"/>
  <c r="J2897" i="1"/>
  <c r="I2897" i="1"/>
  <c r="J1816" i="1"/>
  <c r="I1816" i="1"/>
  <c r="J1812" i="1"/>
  <c r="I1812" i="1"/>
  <c r="J2285" i="1"/>
  <c r="I2285" i="1"/>
  <c r="J2283" i="1"/>
  <c r="I2283" i="1"/>
  <c r="J2898" i="1"/>
  <c r="I2898" i="1"/>
  <c r="J2293" i="1"/>
  <c r="I2293" i="1"/>
  <c r="J2292" i="1"/>
  <c r="I2292" i="1"/>
  <c r="J1838" i="1"/>
  <c r="I1838" i="1"/>
  <c r="J2304" i="1"/>
  <c r="I2304" i="1"/>
  <c r="J2300" i="1"/>
  <c r="I2300" i="1"/>
  <c r="J2298" i="1"/>
  <c r="I2298" i="1"/>
  <c r="J3149" i="1"/>
  <c r="I3149" i="1"/>
  <c r="J3139" i="1"/>
  <c r="I3139" i="1"/>
  <c r="J3155" i="1"/>
  <c r="I3155" i="1"/>
  <c r="J3722" i="1"/>
  <c r="I3722" i="1"/>
  <c r="J3151" i="1"/>
  <c r="I3151" i="1"/>
  <c r="J3158" i="1"/>
  <c r="I3158" i="1"/>
  <c r="J3147" i="1"/>
  <c r="I3147" i="1"/>
  <c r="J3148" i="1"/>
  <c r="I3148" i="1"/>
  <c r="J1052" i="1"/>
  <c r="I1052" i="1"/>
  <c r="J1054" i="1"/>
  <c r="I1054" i="1"/>
  <c r="J1138" i="1"/>
  <c r="I1138" i="1"/>
  <c r="J1140" i="1"/>
  <c r="I1140" i="1"/>
  <c r="J453" i="1"/>
  <c r="I453" i="1"/>
  <c r="J450" i="1"/>
  <c r="I450" i="1"/>
  <c r="J443" i="1"/>
  <c r="I443" i="1"/>
  <c r="J1064" i="1"/>
  <c r="I1064" i="1"/>
  <c r="J1063" i="1"/>
  <c r="I1063" i="1"/>
  <c r="J1158" i="1"/>
  <c r="I1158" i="1"/>
  <c r="J1154" i="1"/>
  <c r="I1154" i="1"/>
  <c r="J1151" i="1"/>
  <c r="I1151" i="1"/>
  <c r="J467" i="1"/>
  <c r="I467" i="1"/>
  <c r="J459" i="1"/>
  <c r="I459" i="1"/>
  <c r="J460" i="1"/>
  <c r="I460" i="1"/>
  <c r="J1076" i="1"/>
  <c r="I1076" i="1"/>
  <c r="J1069" i="1"/>
  <c r="I1069" i="1"/>
  <c r="J1072" i="1"/>
  <c r="I1072" i="1"/>
  <c r="J1160" i="1"/>
  <c r="I1160" i="1"/>
  <c r="J1170" i="1"/>
  <c r="I1170" i="1"/>
  <c r="J1161" i="1"/>
  <c r="I1161" i="1"/>
  <c r="J477" i="1"/>
  <c r="I477" i="1"/>
  <c r="J478" i="1"/>
  <c r="I478" i="1"/>
  <c r="J470" i="1"/>
  <c r="I470" i="1"/>
  <c r="J1085" i="1"/>
  <c r="I1085" i="1"/>
  <c r="J1082" i="1"/>
  <c r="I1082" i="1"/>
  <c r="J1081" i="1"/>
  <c r="I1081" i="1"/>
  <c r="J1173" i="1"/>
  <c r="I1173" i="1"/>
  <c r="J1177" i="1"/>
  <c r="I1177" i="1"/>
  <c r="J1178" i="1"/>
  <c r="I1178" i="1"/>
  <c r="J481" i="1"/>
  <c r="I481" i="1"/>
  <c r="J485" i="1"/>
  <c r="I485" i="1"/>
  <c r="J486" i="1"/>
  <c r="I486" i="1"/>
  <c r="J1088" i="1"/>
  <c r="I1088" i="1"/>
  <c r="J1091" i="1"/>
  <c r="I1091" i="1"/>
  <c r="J1184" i="1"/>
  <c r="I1184" i="1"/>
  <c r="J1186" i="1"/>
  <c r="I1186" i="1"/>
  <c r="J502" i="1"/>
  <c r="I502" i="1"/>
  <c r="J499" i="1"/>
  <c r="I499" i="1"/>
  <c r="J492" i="1"/>
  <c r="I492" i="1"/>
  <c r="J1102" i="1"/>
  <c r="I1102" i="1"/>
  <c r="J1101" i="1"/>
  <c r="I1101" i="1"/>
  <c r="J1100" i="1"/>
  <c r="I1100" i="1"/>
  <c r="J1194" i="1"/>
  <c r="I1194" i="1"/>
  <c r="J1197" i="1"/>
  <c r="I1197" i="1"/>
  <c r="J517" i="1"/>
  <c r="I517" i="1"/>
  <c r="J513" i="1"/>
  <c r="I513" i="1"/>
  <c r="J510" i="1"/>
  <c r="I510" i="1"/>
  <c r="J511" i="1"/>
  <c r="I511" i="1"/>
  <c r="J1107" i="1"/>
  <c r="I1107" i="1"/>
  <c r="J1209" i="1"/>
  <c r="I1209" i="1"/>
  <c r="J1208" i="1"/>
  <c r="I1208" i="1"/>
  <c r="J527" i="1"/>
  <c r="I527" i="1"/>
  <c r="J521" i="1"/>
  <c r="I521" i="1"/>
  <c r="J522" i="1"/>
  <c r="I522" i="1"/>
  <c r="J1115" i="1"/>
  <c r="I1115" i="1"/>
  <c r="J1114" i="1"/>
  <c r="I1114" i="1"/>
  <c r="J1212" i="1"/>
  <c r="I1212" i="1"/>
  <c r="J542" i="1"/>
  <c r="I542" i="1"/>
  <c r="J534" i="1"/>
  <c r="I534" i="1"/>
  <c r="J535" i="1"/>
  <c r="I535" i="1"/>
  <c r="J1123" i="1"/>
  <c r="I1123" i="1"/>
  <c r="J1119" i="1"/>
  <c r="I1119" i="1"/>
  <c r="J1226" i="1"/>
  <c r="I1226" i="1"/>
  <c r="J1225" i="1"/>
  <c r="I1225" i="1"/>
  <c r="J1221" i="1"/>
  <c r="I1221" i="1"/>
  <c r="J553" i="1"/>
  <c r="I553" i="1"/>
  <c r="J550" i="1"/>
  <c r="I550" i="1"/>
  <c r="J543" i="1"/>
  <c r="I543" i="1"/>
  <c r="J1128" i="1"/>
  <c r="I1128" i="1"/>
  <c r="J1126" i="1"/>
  <c r="I1126" i="1"/>
  <c r="J1240" i="1"/>
  <c r="I1240" i="1"/>
  <c r="J1237" i="1"/>
  <c r="I1237" i="1"/>
  <c r="J1230" i="1"/>
  <c r="I1230" i="1"/>
  <c r="J564" i="1"/>
  <c r="I564" i="1"/>
  <c r="J559" i="1"/>
  <c r="I559" i="1"/>
  <c r="J556" i="1"/>
  <c r="I556" i="1"/>
  <c r="J1243" i="1"/>
  <c r="I1243" i="1"/>
  <c r="J577" i="1"/>
  <c r="I577" i="1"/>
  <c r="J571" i="1"/>
  <c r="I571" i="1"/>
  <c r="J568" i="1"/>
  <c r="I568" i="1"/>
  <c r="J1135" i="1"/>
  <c r="I1135" i="1"/>
  <c r="J1134" i="1"/>
  <c r="I1134" i="1"/>
  <c r="J1254" i="1"/>
  <c r="I1254" i="1"/>
  <c r="J1255" i="1"/>
  <c r="I1255" i="1"/>
  <c r="J591" i="1"/>
  <c r="I591" i="1"/>
  <c r="J583" i="1"/>
  <c r="I583" i="1"/>
  <c r="J584" i="1"/>
  <c r="I584" i="1"/>
  <c r="J2908" i="1"/>
  <c r="I2908" i="1"/>
  <c r="J2907" i="1"/>
  <c r="I2907" i="1"/>
  <c r="J2951" i="1"/>
  <c r="I2951" i="1"/>
  <c r="J2910" i="1"/>
  <c r="I2910" i="1"/>
  <c r="J2952" i="1"/>
  <c r="I2952" i="1"/>
  <c r="J2919" i="1"/>
  <c r="I2919" i="1"/>
  <c r="J2922" i="1"/>
  <c r="I2922" i="1"/>
  <c r="J2950" i="1"/>
  <c r="I2950" i="1"/>
  <c r="J2929" i="1"/>
  <c r="I2929" i="1"/>
  <c r="J2930" i="1"/>
  <c r="I2930" i="1"/>
  <c r="J2936" i="1"/>
  <c r="I2936" i="1"/>
  <c r="J2938" i="1"/>
  <c r="I2938" i="1"/>
  <c r="J2944" i="1"/>
  <c r="I2944" i="1"/>
  <c r="J2561" i="1"/>
  <c r="I2561" i="1"/>
  <c r="J2651" i="1"/>
  <c r="I2651" i="1"/>
  <c r="J2647" i="1"/>
  <c r="I2647" i="1"/>
  <c r="J2555" i="1"/>
  <c r="I2555" i="1"/>
  <c r="J2568" i="1"/>
  <c r="I2568" i="1"/>
  <c r="J2564" i="1"/>
  <c r="I2564" i="1"/>
  <c r="J2661" i="1"/>
  <c r="I2661" i="1"/>
  <c r="J2662" i="1"/>
  <c r="I2662" i="1"/>
  <c r="J2658" i="1"/>
  <c r="I2658" i="1"/>
  <c r="J2783" i="1"/>
  <c r="I2783" i="1"/>
  <c r="J2782" i="1"/>
  <c r="I2782" i="1"/>
  <c r="J2571" i="1"/>
  <c r="I2571" i="1"/>
  <c r="J2574" i="1"/>
  <c r="I2574" i="1"/>
  <c r="J2665" i="1"/>
  <c r="I2665" i="1"/>
  <c r="J2664" i="1"/>
  <c r="I2664" i="1"/>
  <c r="J2795" i="1"/>
  <c r="I2795" i="1"/>
  <c r="J2587" i="1"/>
  <c r="I2587" i="1"/>
  <c r="J2579" i="1"/>
  <c r="I2579" i="1"/>
  <c r="J2580" i="1"/>
  <c r="I2580" i="1"/>
  <c r="J2681" i="1"/>
  <c r="I2681" i="1"/>
  <c r="J2682" i="1"/>
  <c r="I2682" i="1"/>
  <c r="J2678" i="1"/>
  <c r="I2678" i="1"/>
  <c r="J2797" i="1"/>
  <c r="I2797" i="1"/>
  <c r="J2799" i="1"/>
  <c r="I2799" i="1"/>
  <c r="J2594" i="1"/>
  <c r="I2594" i="1"/>
  <c r="J2595" i="1"/>
  <c r="I2595" i="1"/>
  <c r="J2690" i="1"/>
  <c r="I2690" i="1"/>
  <c r="J2691" i="1"/>
  <c r="I2691" i="1"/>
  <c r="J2809" i="1"/>
  <c r="I2809" i="1"/>
  <c r="J2604" i="1"/>
  <c r="I2604" i="1"/>
  <c r="J2600" i="1"/>
  <c r="I2600" i="1"/>
  <c r="J2701" i="1"/>
  <c r="I2701" i="1"/>
  <c r="J2697" i="1"/>
  <c r="I2697" i="1"/>
  <c r="J2694" i="1"/>
  <c r="I2694" i="1"/>
  <c r="J2761" i="1"/>
  <c r="I2761" i="1"/>
  <c r="J2811" i="1"/>
  <c r="I2811" i="1"/>
  <c r="J2610" i="1"/>
  <c r="I2610" i="1"/>
  <c r="J2607" i="1"/>
  <c r="I2607" i="1"/>
  <c r="J2703" i="1"/>
  <c r="I2703" i="1"/>
  <c r="J2619" i="1"/>
  <c r="I2619" i="1"/>
  <c r="J2612" i="1"/>
  <c r="I2612" i="1"/>
  <c r="J2614" i="1"/>
  <c r="I2614" i="1"/>
  <c r="J2707" i="1"/>
  <c r="I2707" i="1"/>
  <c r="J2768" i="1"/>
  <c r="I2768" i="1"/>
  <c r="J2620" i="1"/>
  <c r="I2620" i="1"/>
  <c r="J2622" i="1"/>
  <c r="I2622" i="1"/>
  <c r="J2717" i="1"/>
  <c r="I2717" i="1"/>
  <c r="J2556" i="1"/>
  <c r="I2556" i="1"/>
  <c r="J2629" i="1"/>
  <c r="I2629" i="1"/>
  <c r="J2719" i="1"/>
  <c r="I2719" i="1"/>
  <c r="J2771" i="1"/>
  <c r="I2771" i="1"/>
  <c r="J2816" i="1"/>
  <c r="I2816" i="1"/>
  <c r="J2636" i="1"/>
  <c r="I2636" i="1"/>
  <c r="J2633" i="1"/>
  <c r="I2633" i="1"/>
  <c r="J2822" i="1"/>
  <c r="I2822" i="1"/>
  <c r="J2644" i="1"/>
  <c r="I2644" i="1"/>
  <c r="J2645" i="1"/>
  <c r="I2645" i="1"/>
  <c r="J2730" i="1"/>
  <c r="I2730" i="1"/>
  <c r="J2729" i="1"/>
  <c r="I2729" i="1"/>
  <c r="J2728" i="1"/>
  <c r="I2728" i="1"/>
  <c r="J2779" i="1"/>
  <c r="I2779" i="1"/>
  <c r="J3311" i="1"/>
  <c r="I3311" i="1"/>
  <c r="J3335" i="1"/>
  <c r="I3335" i="1"/>
  <c r="J3336" i="1"/>
  <c r="I3336" i="1"/>
  <c r="J3421" i="1"/>
  <c r="I3421" i="1"/>
  <c r="J3473" i="1"/>
  <c r="I3473" i="1"/>
  <c r="J3546" i="1"/>
  <c r="I3546" i="1"/>
  <c r="J3604" i="1"/>
  <c r="I3604" i="1"/>
  <c r="J3656" i="1"/>
  <c r="I3656" i="1"/>
  <c r="J3704" i="1"/>
  <c r="I3704" i="1"/>
  <c r="J3344" i="1"/>
  <c r="I3344" i="1"/>
  <c r="J3343" i="1"/>
  <c r="I3343" i="1"/>
  <c r="J3342" i="1"/>
  <c r="I3342" i="1"/>
  <c r="J3479" i="1"/>
  <c r="I3479" i="1"/>
  <c r="J3550" i="1"/>
  <c r="I3550" i="1"/>
  <c r="J3611" i="1"/>
  <c r="I3611" i="1"/>
  <c r="J3610" i="1"/>
  <c r="I3610" i="1"/>
  <c r="J3664" i="1"/>
  <c r="I3664" i="1"/>
  <c r="J3661" i="1"/>
  <c r="I3661" i="1"/>
  <c r="J3706" i="1"/>
  <c r="I3706" i="1"/>
  <c r="J3353" i="1"/>
  <c r="I3353" i="1"/>
  <c r="J3352" i="1"/>
  <c r="I3352" i="1"/>
  <c r="J3430" i="1"/>
  <c r="I3430" i="1"/>
  <c r="J3427" i="1"/>
  <c r="I3427" i="1"/>
  <c r="J3483" i="1"/>
  <c r="I3483" i="1"/>
  <c r="J3552" i="1"/>
  <c r="I3552" i="1"/>
  <c r="J3645" i="1"/>
  <c r="I3645" i="1"/>
  <c r="J3672" i="1"/>
  <c r="I3672" i="1"/>
  <c r="J3669" i="1"/>
  <c r="I3669" i="1"/>
  <c r="J3711" i="1"/>
  <c r="I3711" i="1"/>
  <c r="J3362" i="1"/>
  <c r="I3362" i="1"/>
  <c r="J3361" i="1"/>
  <c r="I3361" i="1"/>
  <c r="J3433" i="1"/>
  <c r="I3433" i="1"/>
  <c r="J3486" i="1"/>
  <c r="I3486" i="1"/>
  <c r="J3621" i="1"/>
  <c r="I3621" i="1"/>
  <c r="J3680" i="1"/>
  <c r="I3680" i="1"/>
  <c r="J3677" i="1"/>
  <c r="I3677" i="1"/>
  <c r="J3714" i="1"/>
  <c r="I3714" i="1"/>
  <c r="J3375" i="1"/>
  <c r="I3375" i="1"/>
  <c r="J3368" i="1"/>
  <c r="I3368" i="1"/>
  <c r="J3366" i="1"/>
  <c r="I3366" i="1"/>
  <c r="J3435" i="1"/>
  <c r="I3435" i="1"/>
  <c r="J3624" i="1"/>
  <c r="I3624" i="1"/>
  <c r="J3646" i="1"/>
  <c r="I3646" i="1"/>
  <c r="J3681" i="1"/>
  <c r="I3681" i="1"/>
  <c r="J3380" i="1"/>
  <c r="I3380" i="1"/>
  <c r="J3378" i="1"/>
  <c r="I3378" i="1"/>
  <c r="J3556" i="1"/>
  <c r="I3556" i="1"/>
  <c r="J3626" i="1"/>
  <c r="I3626" i="1"/>
  <c r="J3388" i="1"/>
  <c r="I3388" i="1"/>
  <c r="J3384" i="1"/>
  <c r="I3384" i="1"/>
  <c r="J3440" i="1"/>
  <c r="I3440" i="1"/>
  <c r="J1586" i="1"/>
  <c r="I1586" i="1"/>
  <c r="J1337" i="1"/>
  <c r="I1337" i="1"/>
  <c r="J1485" i="1"/>
  <c r="I1485" i="1"/>
  <c r="J1338" i="1"/>
  <c r="I1338" i="1"/>
  <c r="J1995" i="1"/>
  <c r="I1995" i="1"/>
  <c r="J1345" i="1"/>
  <c r="I1345" i="1"/>
  <c r="J1353" i="1"/>
  <c r="I1353" i="1"/>
  <c r="J1356" i="1"/>
  <c r="I1356" i="1"/>
  <c r="J1359" i="1"/>
  <c r="I1359" i="1"/>
  <c r="J1368" i="1"/>
  <c r="I1368" i="1"/>
  <c r="J1362" i="1"/>
  <c r="I1362" i="1"/>
  <c r="J1373" i="1"/>
  <c r="I1373" i="1"/>
  <c r="J1374" i="1"/>
  <c r="I1374" i="1"/>
  <c r="J1382" i="1"/>
  <c r="I1382" i="1"/>
  <c r="J1582" i="1"/>
  <c r="I1582" i="1"/>
  <c r="J1385" i="1"/>
  <c r="I1385" i="1"/>
  <c r="J1390" i="1"/>
  <c r="I1390" i="1"/>
  <c r="J1388" i="1"/>
  <c r="I1388" i="1"/>
  <c r="J2958" i="1"/>
  <c r="I2958" i="1"/>
  <c r="J2971" i="1"/>
  <c r="I2971" i="1"/>
  <c r="J3059" i="1"/>
  <c r="I3059" i="1"/>
  <c r="J3060" i="1"/>
  <c r="I3060" i="1"/>
  <c r="J3057" i="1"/>
  <c r="I3057" i="1"/>
  <c r="J3112" i="1"/>
  <c r="I3112" i="1"/>
  <c r="J3113" i="1"/>
  <c r="I3113" i="1"/>
  <c r="J3192" i="1"/>
  <c r="I3192" i="1"/>
  <c r="J2967" i="1"/>
  <c r="I2967" i="1"/>
  <c r="J3000" i="1"/>
  <c r="I3000" i="1"/>
  <c r="J3067" i="1"/>
  <c r="I3067" i="1"/>
  <c r="J3116" i="1"/>
  <c r="I3116" i="1"/>
  <c r="J3115" i="1"/>
  <c r="I3115" i="1"/>
  <c r="J3131" i="1"/>
  <c r="I3131" i="1"/>
  <c r="J3198" i="1"/>
  <c r="I3198" i="1"/>
  <c r="J2975" i="1"/>
  <c r="I2975" i="1"/>
  <c r="J3069" i="1"/>
  <c r="I3069" i="1"/>
  <c r="J3071" i="1"/>
  <c r="I3071" i="1"/>
  <c r="J3132" i="1"/>
  <c r="I3132" i="1"/>
  <c r="J2962" i="1"/>
  <c r="I2962" i="1"/>
  <c r="J2980" i="1"/>
  <c r="I2980" i="1"/>
  <c r="J3077" i="1"/>
  <c r="I3077" i="1"/>
  <c r="J3133" i="1"/>
  <c r="I3133" i="1"/>
  <c r="J2964" i="1"/>
  <c r="I2964" i="1"/>
  <c r="J2985" i="1"/>
  <c r="I2985" i="1"/>
  <c r="J3080" i="1"/>
  <c r="I3080" i="1"/>
  <c r="J3079" i="1"/>
  <c r="I3079" i="1"/>
  <c r="J3190" i="1"/>
  <c r="I3190" i="1"/>
  <c r="J2965" i="1"/>
  <c r="I2965" i="1"/>
  <c r="J3089" i="1"/>
  <c r="I3089" i="1"/>
  <c r="J3096" i="1"/>
  <c r="I3096" i="1"/>
  <c r="J3091" i="1"/>
  <c r="I3091" i="1"/>
  <c r="J3206" i="1"/>
  <c r="I3206" i="1"/>
  <c r="J3100" i="1"/>
  <c r="I3100" i="1"/>
  <c r="J3134" i="1"/>
  <c r="I3134" i="1"/>
  <c r="J3103" i="1"/>
  <c r="I3103" i="1"/>
  <c r="J2994" i="1"/>
  <c r="I2994" i="1"/>
  <c r="J2996" i="1"/>
  <c r="I2996" i="1"/>
  <c r="J11" i="1"/>
  <c r="I11" i="1"/>
  <c r="J12" i="1"/>
  <c r="I12" i="1"/>
  <c r="J4" i="1"/>
  <c r="I4" i="1"/>
  <c r="J158" i="1"/>
  <c r="I158" i="1"/>
  <c r="J159" i="1"/>
  <c r="I159" i="1"/>
  <c r="J151" i="1"/>
  <c r="I151" i="1"/>
  <c r="J24" i="1"/>
  <c r="I24" i="1"/>
  <c r="J21" i="1"/>
  <c r="I21" i="1"/>
  <c r="J14" i="1"/>
  <c r="I14" i="1"/>
  <c r="J170" i="1"/>
  <c r="I170" i="1"/>
  <c r="J164" i="1"/>
  <c r="I164" i="1"/>
  <c r="J165" i="1"/>
  <c r="I165" i="1"/>
  <c r="J38" i="1"/>
  <c r="I38" i="1"/>
  <c r="J30" i="1"/>
  <c r="I30" i="1"/>
  <c r="J31" i="1"/>
  <c r="I31" i="1"/>
  <c r="J185" i="1"/>
  <c r="I185" i="1"/>
  <c r="J177" i="1"/>
  <c r="I177" i="1"/>
  <c r="J178" i="1"/>
  <c r="I178" i="1"/>
  <c r="J50" i="1"/>
  <c r="I50" i="1"/>
  <c r="J42" i="1"/>
  <c r="I42" i="1"/>
  <c r="J43" i="1"/>
  <c r="I43" i="1"/>
  <c r="J197" i="1"/>
  <c r="I197" i="1"/>
  <c r="J189" i="1"/>
  <c r="I189" i="1"/>
  <c r="J190" i="1"/>
  <c r="I190" i="1"/>
  <c r="J62" i="1"/>
  <c r="I62" i="1"/>
  <c r="J54" i="1"/>
  <c r="I54" i="1"/>
  <c r="J55" i="1"/>
  <c r="I55" i="1"/>
  <c r="J210" i="1"/>
  <c r="I210" i="1"/>
  <c r="J206" i="1"/>
  <c r="I206" i="1"/>
  <c r="J203" i="1"/>
  <c r="I203" i="1"/>
  <c r="J204" i="1"/>
  <c r="I204" i="1"/>
  <c r="J64" i="1"/>
  <c r="I64" i="1"/>
  <c r="J68" i="1"/>
  <c r="I68" i="1"/>
  <c r="J69" i="1"/>
  <c r="I69" i="1"/>
  <c r="J212" i="1"/>
  <c r="I212" i="1"/>
  <c r="J222" i="1"/>
  <c r="I222" i="1"/>
  <c r="J213" i="1"/>
  <c r="I213" i="1"/>
  <c r="J84" i="1"/>
  <c r="I84" i="1"/>
  <c r="J85" i="1"/>
  <c r="I85" i="1"/>
  <c r="J77" i="1"/>
  <c r="I77" i="1"/>
  <c r="J233" i="1"/>
  <c r="I233" i="1"/>
  <c r="J234" i="1"/>
  <c r="I234" i="1"/>
  <c r="J226" i="1"/>
  <c r="I226" i="1"/>
  <c r="J96" i="1"/>
  <c r="I96" i="1"/>
  <c r="J97" i="1"/>
  <c r="I97" i="1"/>
  <c r="J89" i="1"/>
  <c r="I89" i="1"/>
  <c r="J246" i="1"/>
  <c r="I246" i="1"/>
  <c r="J243" i="1"/>
  <c r="I243" i="1"/>
  <c r="J236" i="1"/>
  <c r="I236" i="1"/>
  <c r="J108" i="1"/>
  <c r="I108" i="1"/>
  <c r="J102" i="1"/>
  <c r="I102" i="1"/>
  <c r="J103" i="1"/>
  <c r="I103" i="1"/>
  <c r="J261" i="1"/>
  <c r="I261" i="1"/>
  <c r="J257" i="1"/>
  <c r="I257" i="1"/>
  <c r="J254" i="1"/>
  <c r="I254" i="1"/>
  <c r="J255" i="1"/>
  <c r="I255" i="1"/>
  <c r="J113" i="1"/>
  <c r="I113" i="1"/>
  <c r="J123" i="1"/>
  <c r="I123" i="1"/>
  <c r="J114" i="1"/>
  <c r="I114" i="1"/>
  <c r="J271" i="1"/>
  <c r="I271" i="1"/>
  <c r="J272" i="1"/>
  <c r="I272" i="1"/>
  <c r="J264" i="1"/>
  <c r="I264" i="1"/>
  <c r="J134" i="1"/>
  <c r="I134" i="1"/>
  <c r="J135" i="1"/>
  <c r="I135" i="1"/>
  <c r="J127" i="1"/>
  <c r="I127" i="1"/>
  <c r="J275" i="1"/>
  <c r="I275" i="1"/>
  <c r="J278" i="1"/>
  <c r="I278" i="1"/>
  <c r="J148" i="1"/>
  <c r="I148" i="1"/>
  <c r="J140" i="1"/>
  <c r="I140" i="1"/>
  <c r="J141" i="1"/>
  <c r="I141" i="1"/>
  <c r="J295" i="1"/>
  <c r="I295" i="1"/>
  <c r="J292" i="1"/>
  <c r="I292" i="1"/>
  <c r="J288" i="1"/>
  <c r="I288" i="1"/>
  <c r="J2760" i="1"/>
  <c r="I2760" i="1"/>
  <c r="J3561" i="1"/>
  <c r="I3561" i="1"/>
  <c r="J3562" i="1"/>
  <c r="I3562" i="1"/>
  <c r="J3596" i="1"/>
  <c r="I3596" i="1"/>
  <c r="J3568" i="1"/>
  <c r="I3568" i="1"/>
  <c r="J3571" i="1"/>
  <c r="I3571" i="1"/>
  <c r="J3579" i="1"/>
  <c r="I3579" i="1"/>
  <c r="J3577" i="1"/>
  <c r="I3577" i="1"/>
  <c r="J3582" i="1"/>
  <c r="I3582" i="1"/>
  <c r="J3587" i="1"/>
  <c r="I3587" i="1"/>
  <c r="J3602" i="1"/>
  <c r="I3602" i="1"/>
  <c r="J3592" i="1"/>
  <c r="I3592" i="1"/>
  <c r="J305" i="1"/>
  <c r="I305" i="1"/>
  <c r="J299" i="1"/>
  <c r="I299" i="1"/>
  <c r="J300" i="1"/>
  <c r="I300" i="1"/>
  <c r="J321" i="1"/>
  <c r="I321" i="1"/>
  <c r="J317" i="1"/>
  <c r="I317" i="1"/>
  <c r="J314" i="1"/>
  <c r="I314" i="1"/>
  <c r="J315" i="1"/>
  <c r="I315" i="1"/>
  <c r="J323" i="1"/>
  <c r="I323" i="1"/>
  <c r="J327" i="1"/>
  <c r="I327" i="1"/>
  <c r="J328" i="1"/>
  <c r="I328" i="1"/>
  <c r="J335" i="1"/>
  <c r="I335" i="1"/>
  <c r="J345" i="1"/>
  <c r="I345" i="1"/>
  <c r="J336" i="1"/>
  <c r="I336" i="1"/>
  <c r="J356" i="1"/>
  <c r="I356" i="1"/>
  <c r="J353" i="1"/>
  <c r="I353" i="1"/>
  <c r="J349" i="1"/>
  <c r="I349" i="1"/>
  <c r="J369" i="1"/>
  <c r="I369" i="1"/>
  <c r="J366" i="1"/>
  <c r="I366" i="1"/>
  <c r="J359" i="1"/>
  <c r="I359" i="1"/>
  <c r="J379" i="1"/>
  <c r="I379" i="1"/>
  <c r="J374" i="1"/>
  <c r="I374" i="1"/>
  <c r="J372" i="1"/>
  <c r="I372" i="1"/>
  <c r="J393" i="1"/>
  <c r="I393" i="1"/>
  <c r="J390" i="1"/>
  <c r="I390" i="1"/>
  <c r="J383" i="1"/>
  <c r="I383" i="1"/>
  <c r="J403" i="1"/>
  <c r="I403" i="1"/>
  <c r="J398" i="1"/>
  <c r="I398" i="1"/>
  <c r="J396" i="1"/>
  <c r="I396" i="1"/>
  <c r="J416" i="1"/>
  <c r="I416" i="1"/>
  <c r="J413" i="1"/>
  <c r="I413" i="1"/>
  <c r="J409" i="1"/>
  <c r="I409" i="1"/>
  <c r="J428" i="1"/>
  <c r="I428" i="1"/>
  <c r="J425" i="1"/>
  <c r="I425" i="1"/>
  <c r="J419" i="1"/>
  <c r="I419" i="1"/>
  <c r="J440" i="1"/>
  <c r="I440" i="1"/>
  <c r="J437" i="1"/>
  <c r="I437" i="1"/>
  <c r="J432" i="1"/>
  <c r="I432" i="1"/>
  <c r="J2109" i="1"/>
  <c r="I2109" i="1"/>
  <c r="J2105" i="1"/>
  <c r="I2105" i="1"/>
  <c r="J2310" i="1"/>
  <c r="I2310" i="1"/>
  <c r="J2307" i="1"/>
  <c r="I2307" i="1"/>
  <c r="J2112" i="1"/>
  <c r="I2112" i="1"/>
  <c r="J2111" i="1"/>
  <c r="I2111" i="1"/>
  <c r="J2319" i="1"/>
  <c r="I2319" i="1"/>
  <c r="J2316" i="1"/>
  <c r="I2316" i="1"/>
  <c r="J2126" i="1"/>
  <c r="I2126" i="1"/>
  <c r="J2125" i="1"/>
  <c r="I2125" i="1"/>
  <c r="J2329" i="1"/>
  <c r="I2329" i="1"/>
  <c r="J2323" i="1"/>
  <c r="I2323" i="1"/>
  <c r="J2325" i="1"/>
  <c r="I2325" i="1"/>
  <c r="J2129" i="1"/>
  <c r="I2129" i="1"/>
  <c r="J2131" i="1"/>
  <c r="I2131" i="1"/>
  <c r="J2330" i="1"/>
  <c r="I2330" i="1"/>
  <c r="J2142" i="1"/>
  <c r="I2142" i="1"/>
  <c r="J2138" i="1"/>
  <c r="I2138" i="1"/>
  <c r="J2341" i="1"/>
  <c r="I2341" i="1"/>
  <c r="J2149" i="1"/>
  <c r="I2149" i="1"/>
  <c r="J2145" i="1"/>
  <c r="I2145" i="1"/>
  <c r="J2346" i="1"/>
  <c r="I2346" i="1"/>
  <c r="J2154" i="1"/>
  <c r="I2154" i="1"/>
  <c r="J2153" i="1"/>
  <c r="I2153" i="1"/>
  <c r="J2352" i="1"/>
  <c r="I2352" i="1"/>
  <c r="J2350" i="1"/>
  <c r="I2350" i="1"/>
  <c r="J2157" i="1"/>
  <c r="I2157" i="1"/>
  <c r="J2357" i="1"/>
  <c r="I2357" i="1"/>
  <c r="J2171" i="1"/>
  <c r="I2171" i="1"/>
  <c r="J2165" i="1"/>
  <c r="I2165" i="1"/>
  <c r="J2364" i="1"/>
  <c r="I2364" i="1"/>
  <c r="J2359" i="1"/>
  <c r="I2359" i="1"/>
  <c r="J2176" i="1"/>
  <c r="I2176" i="1"/>
  <c r="J2175" i="1"/>
  <c r="I2175" i="1"/>
  <c r="J2371" i="1"/>
  <c r="I2371" i="1"/>
  <c r="J2368" i="1"/>
  <c r="I2368" i="1"/>
  <c r="J2184" i="1"/>
  <c r="I2184" i="1"/>
  <c r="J2182" i="1"/>
  <c r="I2182" i="1"/>
  <c r="J2373" i="1"/>
  <c r="I2373" i="1"/>
  <c r="J2192" i="1"/>
  <c r="I2192" i="1"/>
  <c r="J2187" i="1"/>
  <c r="I2187" i="1"/>
  <c r="J2383" i="1"/>
  <c r="I2383" i="1"/>
  <c r="J2382" i="1"/>
  <c r="I2382" i="1"/>
  <c r="J3217" i="1"/>
  <c r="I3217" i="1"/>
  <c r="J3214" i="1"/>
  <c r="I3214" i="1"/>
  <c r="J3225" i="1"/>
  <c r="I3225" i="1"/>
  <c r="J3221" i="1"/>
  <c r="I3221" i="1"/>
  <c r="J3233" i="1"/>
  <c r="I3233" i="1"/>
  <c r="J3229" i="1"/>
  <c r="I3229" i="1"/>
  <c r="J3239" i="1"/>
  <c r="I3239" i="1"/>
  <c r="J3195" i="1"/>
  <c r="I3195" i="1"/>
  <c r="J3241" i="1"/>
  <c r="I3241" i="1"/>
  <c r="J3251" i="1"/>
  <c r="I3251" i="1"/>
  <c r="J3252" i="1"/>
  <c r="I3252" i="1"/>
  <c r="J3255" i="1"/>
  <c r="I3255" i="1"/>
  <c r="J3651" i="1"/>
  <c r="I3651" i="1"/>
  <c r="J3652" i="1"/>
  <c r="I3652" i="1"/>
  <c r="J3653" i="1"/>
  <c r="I3653" i="1"/>
  <c r="J2193" i="1"/>
  <c r="I2193" i="1"/>
  <c r="J2386" i="1"/>
  <c r="I2386" i="1"/>
  <c r="J2388" i="1"/>
  <c r="I2388" i="1"/>
  <c r="J2404" i="1"/>
  <c r="I2404" i="1"/>
  <c r="J2401" i="1"/>
  <c r="I2401" i="1"/>
  <c r="J2394" i="1"/>
  <c r="I2394" i="1"/>
  <c r="J2413" i="1"/>
  <c r="I2413" i="1"/>
  <c r="J2408" i="1"/>
  <c r="I2408" i="1"/>
  <c r="J2427" i="1"/>
  <c r="I2427" i="1"/>
  <c r="J2423" i="1"/>
  <c r="I2423" i="1"/>
  <c r="J2420" i="1"/>
  <c r="I2420" i="1"/>
  <c r="J2436" i="1"/>
  <c r="I2436" i="1"/>
  <c r="J2430" i="1"/>
  <c r="I2430" i="1"/>
  <c r="J2432" i="1"/>
  <c r="I2432" i="1"/>
  <c r="J2438" i="1"/>
  <c r="I2438" i="1"/>
  <c r="J2447" i="1"/>
  <c r="I2447" i="1"/>
  <c r="J2442" i="1"/>
  <c r="I2442" i="1"/>
  <c r="J2449" i="1"/>
  <c r="I2449" i="1"/>
  <c r="J2457" i="1"/>
  <c r="I2457" i="1"/>
  <c r="J2467" i="1"/>
  <c r="I2467" i="1"/>
  <c r="J2461" i="1"/>
  <c r="I2461" i="1"/>
  <c r="J2475" i="1"/>
  <c r="I2475" i="1"/>
  <c r="J2469" i="1"/>
  <c r="I2469" i="1"/>
  <c r="J2485" i="1"/>
  <c r="I2485" i="1"/>
  <c r="J2479" i="1"/>
  <c r="I2479" i="1"/>
  <c r="J2478" i="1"/>
  <c r="I2478" i="1"/>
  <c r="J2493" i="1"/>
  <c r="I2493" i="1"/>
  <c r="J2490" i="1"/>
  <c r="I2490" i="1"/>
  <c r="J3270" i="1"/>
  <c r="I3270" i="1"/>
  <c r="J3267" i="1"/>
  <c r="I3267" i="1"/>
  <c r="J3271" i="1"/>
  <c r="I3271" i="1"/>
  <c r="J3281" i="1"/>
  <c r="I3281" i="1"/>
  <c r="J3280" i="1"/>
  <c r="I3280" i="1"/>
  <c r="J3284" i="1"/>
  <c r="I3284" i="1"/>
  <c r="J3288" i="1"/>
  <c r="I3288" i="1"/>
  <c r="J3294" i="1"/>
  <c r="I3294" i="1"/>
  <c r="J3296" i="1"/>
  <c r="I3296" i="1"/>
  <c r="J3303" i="1"/>
  <c r="I3303" i="1"/>
  <c r="J3306" i="1"/>
  <c r="I3306" i="1"/>
  <c r="J3308" i="1"/>
  <c r="I3308" i="1"/>
  <c r="J1760" i="1"/>
  <c r="I1760" i="1"/>
  <c r="J1758" i="1"/>
  <c r="I1758" i="1"/>
  <c r="J2198" i="1"/>
  <c r="I2198" i="1"/>
  <c r="J2851" i="1"/>
  <c r="I2851" i="1"/>
  <c r="J2846" i="1"/>
  <c r="I2846" i="1"/>
  <c r="J1766" i="1"/>
  <c r="I1766" i="1"/>
  <c r="J2214" i="1"/>
  <c r="I2214" i="1"/>
  <c r="J2210" i="1"/>
  <c r="I2210" i="1"/>
  <c r="J2205" i="1"/>
  <c r="I2205" i="1"/>
  <c r="J2855" i="1"/>
  <c r="I2855" i="1"/>
  <c r="J1283" i="1"/>
  <c r="I1283" i="1"/>
  <c r="J1767" i="1"/>
  <c r="I1767" i="1"/>
  <c r="J2223" i="1"/>
  <c r="I2223" i="1"/>
  <c r="J2220" i="1"/>
  <c r="I2220" i="1"/>
  <c r="J2219" i="1"/>
  <c r="I2219" i="1"/>
  <c r="J2859" i="1"/>
  <c r="I2859" i="1"/>
  <c r="J1778" i="1"/>
  <c r="I1778" i="1"/>
  <c r="J1777" i="1"/>
  <c r="I1777" i="1"/>
  <c r="J2231" i="1"/>
  <c r="I2231" i="1"/>
  <c r="J2230" i="1"/>
  <c r="I2230" i="1"/>
  <c r="J2870" i="1"/>
  <c r="I2870" i="1"/>
  <c r="J2863" i="1"/>
  <c r="I2863" i="1"/>
  <c r="J2865" i="1"/>
  <c r="I2865" i="1"/>
  <c r="J1784" i="1"/>
  <c r="I1784" i="1"/>
  <c r="J1782" i="1"/>
  <c r="I1782" i="1"/>
  <c r="J2240" i="1"/>
  <c r="I2240" i="1"/>
  <c r="J2237" i="1"/>
  <c r="I2237" i="1"/>
  <c r="J2871" i="1"/>
  <c r="I2871" i="1"/>
  <c r="J1789" i="1"/>
  <c r="I1789" i="1"/>
  <c r="J1788" i="1"/>
  <c r="I1788" i="1"/>
  <c r="J2248" i="1"/>
  <c r="I2248" i="1"/>
  <c r="J2247" i="1"/>
  <c r="I2247" i="1"/>
  <c r="J2246" i="1"/>
  <c r="I2246" i="1"/>
  <c r="J2876" i="1"/>
  <c r="I2876" i="1"/>
  <c r="J2878" i="1"/>
  <c r="I2878" i="1"/>
  <c r="J1793" i="1"/>
  <c r="I1793" i="1"/>
  <c r="J2257" i="1"/>
  <c r="I2257" i="1"/>
  <c r="J2256" i="1"/>
  <c r="I2256" i="1"/>
  <c r="J2890" i="1"/>
  <c r="I2890" i="1"/>
  <c r="J2885" i="1"/>
  <c r="I2885" i="1"/>
  <c r="J1804" i="1"/>
  <c r="I1804" i="1"/>
  <c r="J1799" i="1"/>
  <c r="I1799" i="1"/>
  <c r="J2267" i="1"/>
  <c r="I2267" i="1"/>
  <c r="J2266" i="1"/>
  <c r="I2266" i="1"/>
  <c r="J2265" i="1"/>
  <c r="I2265" i="1"/>
  <c r="J2891" i="1"/>
  <c r="I2891" i="1"/>
  <c r="J1808" i="1"/>
  <c r="I1808" i="1"/>
  <c r="J1807" i="1"/>
  <c r="I1807" i="1"/>
  <c r="J2271" i="1"/>
  <c r="I2271" i="1"/>
  <c r="J2279" i="1"/>
  <c r="I2279" i="1"/>
  <c r="J2896" i="1"/>
  <c r="I2896" i="1"/>
  <c r="J1814" i="1"/>
  <c r="I1814" i="1"/>
  <c r="J1813" i="1"/>
  <c r="I1813" i="1"/>
  <c r="J2281" i="1"/>
  <c r="I2281" i="1"/>
  <c r="J2901" i="1"/>
  <c r="I2901" i="1"/>
  <c r="J1296" i="1"/>
  <c r="I1296" i="1"/>
  <c r="J2294" i="1"/>
  <c r="I2294" i="1"/>
  <c r="J2290" i="1"/>
  <c r="I2290" i="1"/>
  <c r="J1837" i="1"/>
  <c r="I1837" i="1"/>
  <c r="J2301" i="1"/>
  <c r="I2301" i="1"/>
  <c r="J2297" i="1"/>
  <c r="I2297" i="1"/>
  <c r="J2903" i="1"/>
  <c r="I2903" i="1"/>
  <c r="J3152" i="1"/>
  <c r="I3152" i="1"/>
  <c r="J3153" i="1"/>
  <c r="I3153" i="1"/>
  <c r="J3154" i="1"/>
  <c r="I3154" i="1"/>
  <c r="J3721" i="1"/>
  <c r="I3721" i="1"/>
  <c r="J3157" i="1"/>
  <c r="I3157" i="1"/>
  <c r="J3145" i="1"/>
  <c r="I3145" i="1"/>
  <c r="J3146" i="1"/>
  <c r="I3146" i="1"/>
  <c r="J3163" i="1"/>
  <c r="I3163" i="1"/>
  <c r="J1053" i="1"/>
  <c r="I1053" i="1"/>
  <c r="J1146" i="1"/>
  <c r="I1146" i="1"/>
  <c r="J1139" i="1"/>
  <c r="I1139" i="1"/>
  <c r="J1141" i="1"/>
  <c r="I1141" i="1"/>
  <c r="J444" i="1"/>
  <c r="I444" i="1"/>
  <c r="J454" i="1"/>
  <c r="I454" i="1"/>
  <c r="J445" i="1"/>
  <c r="I445" i="1"/>
  <c r="J1065" i="1"/>
  <c r="I1065" i="1"/>
  <c r="J1066" i="1"/>
  <c r="I1066" i="1"/>
  <c r="J1155" i="1"/>
  <c r="I1155" i="1"/>
  <c r="J1149" i="1"/>
  <c r="I1149" i="1"/>
  <c r="J1150" i="1"/>
  <c r="I1150" i="1"/>
  <c r="J464" i="1"/>
  <c r="I464" i="1"/>
  <c r="J463" i="1"/>
  <c r="I463" i="1"/>
  <c r="J456" i="1"/>
  <c r="I456" i="1"/>
  <c r="J1074" i="1"/>
  <c r="I1074" i="1"/>
  <c r="J1073" i="1"/>
  <c r="I1073" i="1"/>
  <c r="J1171" i="1"/>
  <c r="I1171" i="1"/>
  <c r="J1167" i="1"/>
  <c r="I1167" i="1"/>
  <c r="J1164" i="1"/>
  <c r="I1164" i="1"/>
  <c r="J1165" i="1"/>
  <c r="I1165" i="1"/>
  <c r="J469" i="1"/>
  <c r="I469" i="1"/>
  <c r="J473" i="1"/>
  <c r="I473" i="1"/>
  <c r="J474" i="1"/>
  <c r="I474" i="1"/>
  <c r="J1078" i="1"/>
  <c r="I1078" i="1"/>
  <c r="J1086" i="1"/>
  <c r="I1086" i="1"/>
  <c r="J1183" i="1"/>
  <c r="I1183" i="1"/>
  <c r="J1175" i="1"/>
  <c r="I1175" i="1"/>
  <c r="J1176" i="1"/>
  <c r="I1176" i="1"/>
  <c r="J491" i="1"/>
  <c r="I491" i="1"/>
  <c r="J483" i="1"/>
  <c r="I483" i="1"/>
  <c r="J484" i="1"/>
  <c r="I484" i="1"/>
  <c r="J1095" i="1"/>
  <c r="I1095" i="1"/>
  <c r="J1089" i="1"/>
  <c r="I1089" i="1"/>
  <c r="J1192" i="1"/>
  <c r="I1192" i="1"/>
  <c r="J1185" i="1"/>
  <c r="I1185" i="1"/>
  <c r="J1187" i="1"/>
  <c r="I1187" i="1"/>
  <c r="J493" i="1"/>
  <c r="I493" i="1"/>
  <c r="J503" i="1"/>
  <c r="I503" i="1"/>
  <c r="J494" i="1"/>
  <c r="I494" i="1"/>
  <c r="J1103" i="1"/>
  <c r="I1103" i="1"/>
  <c r="J1104" i="1"/>
  <c r="I1104" i="1"/>
  <c r="J1203" i="1"/>
  <c r="I1203" i="1"/>
  <c r="J1195" i="1"/>
  <c r="I1195" i="1"/>
  <c r="J1196" i="1"/>
  <c r="I1196" i="1"/>
  <c r="J514" i="1"/>
  <c r="I514" i="1"/>
  <c r="J508" i="1"/>
  <c r="I508" i="1"/>
  <c r="J509" i="1"/>
  <c r="I509" i="1"/>
  <c r="J1110" i="1"/>
  <c r="I1110" i="1"/>
  <c r="J1109" i="1"/>
  <c r="I1109" i="1"/>
  <c r="J1210" i="1"/>
  <c r="I1210" i="1"/>
  <c r="J1206" i="1"/>
  <c r="I1206" i="1"/>
  <c r="J528" i="1"/>
  <c r="I528" i="1"/>
  <c r="J525" i="1"/>
  <c r="I525" i="1"/>
  <c r="J518" i="1"/>
  <c r="I518" i="1"/>
  <c r="J1116" i="1"/>
  <c r="I1116" i="1"/>
  <c r="J1218" i="1"/>
  <c r="I1218" i="1"/>
  <c r="J1213" i="1"/>
  <c r="I1213" i="1"/>
  <c r="J539" i="1"/>
  <c r="I539" i="1"/>
  <c r="J538" i="1"/>
  <c r="I538" i="1"/>
  <c r="J531" i="1"/>
  <c r="I531" i="1"/>
  <c r="J1121" i="1"/>
  <c r="I1121" i="1"/>
  <c r="J1118" i="1"/>
  <c r="I1118" i="1"/>
  <c r="J1227" i="1"/>
  <c r="I1227" i="1"/>
  <c r="J1228" i="1"/>
  <c r="I1228" i="1"/>
  <c r="J1224" i="1"/>
  <c r="I1224" i="1"/>
  <c r="J544" i="1"/>
  <c r="I544" i="1"/>
  <c r="J554" i="1"/>
  <c r="I554" i="1"/>
  <c r="J545" i="1"/>
  <c r="I545" i="1"/>
  <c r="J1129" i="1"/>
  <c r="I1129" i="1"/>
  <c r="J1127" i="1"/>
  <c r="I1127" i="1"/>
  <c r="J1231" i="1"/>
  <c r="I1231" i="1"/>
  <c r="J1241" i="1"/>
  <c r="I1241" i="1"/>
  <c r="J1232" i="1"/>
  <c r="I1232" i="1"/>
  <c r="J565" i="1"/>
  <c r="I565" i="1"/>
  <c r="J562" i="1"/>
  <c r="I562" i="1"/>
  <c r="J558" i="1"/>
  <c r="I558" i="1"/>
  <c r="J1244" i="1"/>
  <c r="I1244" i="1"/>
  <c r="J578" i="1"/>
  <c r="I578" i="1"/>
  <c r="J575" i="1"/>
  <c r="I575" i="1"/>
  <c r="J570" i="1"/>
  <c r="I570" i="1"/>
  <c r="J1136" i="1"/>
  <c r="I1136" i="1"/>
  <c r="J1133" i="1"/>
  <c r="I1133" i="1"/>
  <c r="J1247" i="1"/>
  <c r="I1247" i="1"/>
  <c r="J1250" i="1"/>
  <c r="I1250" i="1"/>
  <c r="J588" i="1"/>
  <c r="I588" i="1"/>
  <c r="J587" i="1"/>
  <c r="I587" i="1"/>
  <c r="J580" i="1"/>
  <c r="I580" i="1"/>
  <c r="J2904" i="1"/>
  <c r="I2904" i="1"/>
  <c r="J2947" i="1"/>
  <c r="I2947" i="1"/>
  <c r="J2912" i="1"/>
  <c r="I2912" i="1"/>
  <c r="J2911" i="1"/>
  <c r="I2911" i="1"/>
  <c r="J2918" i="1"/>
  <c r="I2918" i="1"/>
  <c r="J2916" i="1"/>
  <c r="I2916" i="1"/>
  <c r="J2920" i="1"/>
  <c r="I2920" i="1"/>
  <c r="J2926" i="1"/>
  <c r="I2926" i="1"/>
  <c r="J2927" i="1"/>
  <c r="I2927" i="1"/>
  <c r="J2937" i="1"/>
  <c r="I2937" i="1"/>
  <c r="J2933" i="1"/>
  <c r="I2933" i="1"/>
  <c r="J2940" i="1"/>
  <c r="I2940" i="1"/>
  <c r="J2943" i="1"/>
  <c r="I2943" i="1"/>
  <c r="J2557" i="1"/>
  <c r="I2557" i="1"/>
  <c r="J2652" i="1"/>
  <c r="I2652" i="1"/>
  <c r="J2649" i="1"/>
  <c r="I2649" i="1"/>
  <c r="J2554" i="1"/>
  <c r="I2554" i="1"/>
  <c r="J2563" i="1"/>
  <c r="I2563" i="1"/>
  <c r="J2565" i="1"/>
  <c r="I2565" i="1"/>
  <c r="J2654" i="1"/>
  <c r="I2654" i="1"/>
  <c r="J2657" i="1"/>
  <c r="I2657" i="1"/>
  <c r="J2790" i="1"/>
  <c r="I2790" i="1"/>
  <c r="J2784" i="1"/>
  <c r="I2784" i="1"/>
  <c r="J2785" i="1"/>
  <c r="I2785" i="1"/>
  <c r="J2572" i="1"/>
  <c r="I2572" i="1"/>
  <c r="J2672" i="1"/>
  <c r="I2672" i="1"/>
  <c r="J2666" i="1"/>
  <c r="I2666" i="1"/>
  <c r="J2667" i="1"/>
  <c r="I2667" i="1"/>
  <c r="J2791" i="1"/>
  <c r="I2791" i="1"/>
  <c r="J2584" i="1"/>
  <c r="I2584" i="1"/>
  <c r="J2583" i="1"/>
  <c r="I2583" i="1"/>
  <c r="J2582" i="1"/>
  <c r="I2582" i="1"/>
  <c r="J2673" i="1"/>
  <c r="I2673" i="1"/>
  <c r="J2677" i="1"/>
  <c r="I2677" i="1"/>
  <c r="J2805" i="1"/>
  <c r="I2805" i="1"/>
  <c r="J2798" i="1"/>
  <c r="I2798" i="1"/>
  <c r="J2801" i="1"/>
  <c r="I2801" i="1"/>
  <c r="J2589" i="1"/>
  <c r="I2589" i="1"/>
  <c r="J2588" i="1"/>
  <c r="I2588" i="1"/>
  <c r="J2684" i="1"/>
  <c r="I2684" i="1"/>
  <c r="J2686" i="1"/>
  <c r="I2686" i="1"/>
  <c r="J2806" i="1"/>
  <c r="I2806" i="1"/>
  <c r="J2601" i="1"/>
  <c r="I2601" i="1"/>
  <c r="J2603" i="1"/>
  <c r="I2603" i="1"/>
  <c r="J2698" i="1"/>
  <c r="I2698" i="1"/>
  <c r="J2693" i="1"/>
  <c r="I2693" i="1"/>
  <c r="J2695" i="1"/>
  <c r="I2695" i="1"/>
  <c r="J2762" i="1"/>
  <c r="I2762" i="1"/>
  <c r="J2812" i="1"/>
  <c r="I2812" i="1"/>
  <c r="J2606" i="1"/>
  <c r="I2606" i="1"/>
  <c r="J2705" i="1"/>
  <c r="I2705" i="1"/>
  <c r="J2704" i="1"/>
  <c r="I2704" i="1"/>
  <c r="J2617" i="1"/>
  <c r="I2617" i="1"/>
  <c r="J2615" i="1"/>
  <c r="I2615" i="1"/>
  <c r="J2713" i="1"/>
  <c r="I2713" i="1"/>
  <c r="J2708" i="1"/>
  <c r="I2708" i="1"/>
  <c r="J2767" i="1"/>
  <c r="I2767" i="1"/>
  <c r="J2621" i="1"/>
  <c r="I2621" i="1"/>
  <c r="J2718" i="1"/>
  <c r="I2718" i="1"/>
  <c r="J2716" i="1"/>
  <c r="I2716" i="1"/>
  <c r="J2630" i="1"/>
  <c r="I2630" i="1"/>
  <c r="J2628" i="1"/>
  <c r="I2628" i="1"/>
  <c r="J2721" i="1"/>
  <c r="I2721" i="1"/>
  <c r="J2821" i="1"/>
  <c r="I2821" i="1"/>
  <c r="J2818" i="1"/>
  <c r="I2818" i="1"/>
  <c r="J2632" i="1"/>
  <c r="I2632" i="1"/>
  <c r="J2774" i="1"/>
  <c r="I2774" i="1"/>
  <c r="J2823" i="1"/>
  <c r="I2823" i="1"/>
  <c r="J2639" i="1"/>
  <c r="I2639" i="1"/>
  <c r="J2638" i="1"/>
  <c r="I2638" i="1"/>
  <c r="J2731" i="1"/>
  <c r="I2731" i="1"/>
  <c r="J2732" i="1"/>
  <c r="I2732" i="1"/>
  <c r="J2778" i="1"/>
  <c r="I2778" i="1"/>
  <c r="J2776" i="1"/>
  <c r="I2776" i="1"/>
  <c r="J3312" i="1"/>
  <c r="I3312" i="1"/>
  <c r="J3330" i="1"/>
  <c r="I3330" i="1"/>
  <c r="J3332" i="1"/>
  <c r="I3332" i="1"/>
  <c r="J3420" i="1"/>
  <c r="I3420" i="1"/>
  <c r="J3474" i="1"/>
  <c r="I3474" i="1"/>
  <c r="J3606" i="1"/>
  <c r="I3606" i="1"/>
  <c r="J3643" i="1"/>
  <c r="I3643" i="1"/>
  <c r="J3654" i="1"/>
  <c r="I3654" i="1"/>
  <c r="J3703" i="1"/>
  <c r="I3703" i="1"/>
  <c r="J3345" i="1"/>
  <c r="I3345" i="1"/>
  <c r="J3346" i="1"/>
  <c r="I3346" i="1"/>
  <c r="J3425" i="1"/>
  <c r="I3425" i="1"/>
  <c r="J3477" i="1"/>
  <c r="I3477" i="1"/>
  <c r="J3548" i="1"/>
  <c r="I3548" i="1"/>
  <c r="J3612" i="1"/>
  <c r="I3612" i="1"/>
  <c r="J3609" i="1"/>
  <c r="I3609" i="1"/>
  <c r="J3659" i="1"/>
  <c r="I3659" i="1"/>
  <c r="J3699" i="1"/>
  <c r="I3699" i="1"/>
  <c r="J3316" i="1"/>
  <c r="I3316" i="1"/>
  <c r="J3354" i="1"/>
  <c r="I3354" i="1"/>
  <c r="J3355" i="1"/>
  <c r="I3355" i="1"/>
  <c r="J3428" i="1"/>
  <c r="I3428" i="1"/>
  <c r="J3484" i="1"/>
  <c r="I3484" i="1"/>
  <c r="J3481" i="1"/>
  <c r="I3481" i="1"/>
  <c r="J3616" i="1"/>
  <c r="I3616" i="1"/>
  <c r="J3644" i="1"/>
  <c r="I3644" i="1"/>
  <c r="J3666" i="1"/>
  <c r="I3666" i="1"/>
  <c r="J3668" i="1"/>
  <c r="I3668" i="1"/>
  <c r="J3708" i="1"/>
  <c r="I3708" i="1"/>
  <c r="J3363" i="1"/>
  <c r="I3363" i="1"/>
  <c r="J3364" i="1"/>
  <c r="I3364" i="1"/>
  <c r="J3431" i="1"/>
  <c r="I3431" i="1"/>
  <c r="J3485" i="1"/>
  <c r="I3485" i="1"/>
  <c r="J3617" i="1"/>
  <c r="I3617" i="1"/>
  <c r="J3678" i="1"/>
  <c r="I3678" i="1"/>
  <c r="J3675" i="1"/>
  <c r="I3675" i="1"/>
  <c r="J3725" i="1"/>
  <c r="I3725" i="1"/>
  <c r="J1335" i="1"/>
  <c r="I1335" i="1"/>
  <c r="J1343" i="1"/>
  <c r="I1343" i="1"/>
  <c r="J1339" i="1"/>
  <c r="I1339" i="1"/>
  <c r="J1348" i="1"/>
  <c r="I1348" i="1"/>
  <c r="J1347" i="1"/>
  <c r="I1347" i="1"/>
  <c r="J1351" i="1"/>
  <c r="I1351" i="1"/>
  <c r="J1355" i="1"/>
  <c r="I1355" i="1"/>
  <c r="J1358" i="1"/>
  <c r="I1358" i="1"/>
  <c r="J1365" i="1"/>
  <c r="I1365" i="1"/>
  <c r="J1366" i="1"/>
  <c r="I1366" i="1"/>
  <c r="J1372" i="1"/>
  <c r="I1372" i="1"/>
  <c r="J1378" i="1"/>
  <c r="I1378" i="1"/>
  <c r="J1381" i="1"/>
  <c r="I1381" i="1"/>
  <c r="J1581" i="1"/>
  <c r="I1581" i="1"/>
  <c r="J1383" i="1"/>
  <c r="I1383" i="1"/>
  <c r="J1394" i="1"/>
  <c r="I1394" i="1"/>
  <c r="J1389" i="1"/>
  <c r="I1389" i="1"/>
  <c r="J2956" i="1"/>
  <c r="I2956" i="1"/>
  <c r="J2999" i="1"/>
  <c r="I2999" i="1"/>
  <c r="J3053" i="1"/>
  <c r="I3053" i="1"/>
  <c r="J3056" i="1"/>
  <c r="I3056" i="1"/>
  <c r="J3114" i="1"/>
  <c r="I3114" i="1"/>
  <c r="J3111" i="1"/>
  <c r="I3111" i="1"/>
  <c r="J3129" i="1"/>
  <c r="I3129" i="1"/>
  <c r="J3197" i="1"/>
  <c r="I3197" i="1"/>
  <c r="J2973" i="1"/>
  <c r="I2973" i="1"/>
  <c r="J3066" i="1"/>
  <c r="I3066" i="1"/>
  <c r="J3063" i="1"/>
  <c r="I3063" i="1"/>
  <c r="J3118" i="1"/>
  <c r="I3118" i="1"/>
  <c r="J3117" i="1"/>
  <c r="I3117" i="1"/>
  <c r="J3187" i="1"/>
  <c r="I3187" i="1"/>
  <c r="J2961" i="1"/>
  <c r="I2961" i="1"/>
  <c r="J2976" i="1"/>
  <c r="I2976" i="1"/>
  <c r="J3070" i="1"/>
  <c r="I3070" i="1"/>
  <c r="J3123" i="1"/>
  <c r="I3123" i="1"/>
  <c r="J3188" i="1"/>
  <c r="I3188" i="1"/>
  <c r="J2981" i="1"/>
  <c r="I2981" i="1"/>
  <c r="J2983" i="1"/>
  <c r="I2983" i="1"/>
  <c r="J3078" i="1"/>
  <c r="I3078" i="1"/>
  <c r="J3189" i="1"/>
  <c r="I3189" i="1"/>
  <c r="J2963" i="1"/>
  <c r="I2963" i="1"/>
  <c r="J2984" i="1"/>
  <c r="I2984" i="1"/>
  <c r="J3084" i="1"/>
  <c r="I3084" i="1"/>
  <c r="J3081" i="1"/>
  <c r="I3081" i="1"/>
  <c r="J3193" i="1"/>
  <c r="I3193" i="1"/>
  <c r="J2988" i="1"/>
  <c r="I2988" i="1"/>
  <c r="J3087" i="1"/>
  <c r="I3087" i="1"/>
  <c r="J3095" i="1"/>
  <c r="I3095" i="1"/>
  <c r="J3094" i="1"/>
  <c r="I3094" i="1"/>
  <c r="J3207" i="1"/>
  <c r="I3207" i="1"/>
  <c r="J3101" i="1"/>
  <c r="I3101" i="1"/>
  <c r="J2992" i="1"/>
  <c r="I2992" i="1"/>
  <c r="J3128" i="1"/>
  <c r="I3128" i="1"/>
  <c r="J2995" i="1"/>
  <c r="I2995" i="1"/>
  <c r="J3210" i="1"/>
  <c r="I3210" i="1"/>
  <c r="J3" i="1"/>
  <c r="I3" i="1"/>
  <c r="J7" i="1"/>
  <c r="I7" i="1"/>
  <c r="J8" i="1"/>
  <c r="I8" i="1"/>
  <c r="J150" i="1"/>
  <c r="I150" i="1"/>
  <c r="J154" i="1"/>
  <c r="I154" i="1"/>
  <c r="J155" i="1"/>
  <c r="I155" i="1"/>
  <c r="J15" i="1"/>
  <c r="I15" i="1"/>
  <c r="J25" i="1"/>
  <c r="I25" i="1"/>
  <c r="J16" i="1"/>
  <c r="I16" i="1"/>
  <c r="J171" i="1"/>
  <c r="I171" i="1"/>
  <c r="J168" i="1"/>
  <c r="I168" i="1"/>
  <c r="J161" i="1"/>
  <c r="I161" i="1"/>
  <c r="J35" i="1"/>
  <c r="I35" i="1"/>
  <c r="J34" i="1"/>
  <c r="I34" i="1"/>
  <c r="J27" i="1"/>
  <c r="I27" i="1"/>
  <c r="J182" i="1"/>
  <c r="I182" i="1"/>
  <c r="J181" i="1"/>
  <c r="I181" i="1"/>
  <c r="J174" i="1"/>
  <c r="I174" i="1"/>
  <c r="J47" i="1"/>
  <c r="I47" i="1"/>
  <c r="J46" i="1"/>
  <c r="I46" i="1"/>
  <c r="J39" i="1"/>
  <c r="I39" i="1"/>
  <c r="J194" i="1"/>
  <c r="I194" i="1"/>
  <c r="J193" i="1"/>
  <c r="I193" i="1"/>
  <c r="J186" i="1"/>
  <c r="I186" i="1"/>
  <c r="J59" i="1"/>
  <c r="I59" i="1"/>
  <c r="J58" i="1"/>
  <c r="I58" i="1"/>
  <c r="J51" i="1"/>
  <c r="I51" i="1"/>
  <c r="J207" i="1"/>
  <c r="I207" i="1"/>
  <c r="J201" i="1"/>
  <c r="I201" i="1"/>
  <c r="J202" i="1"/>
  <c r="I202" i="1"/>
  <c r="J74" i="1"/>
  <c r="I74" i="1"/>
  <c r="J66" i="1"/>
  <c r="I66" i="1"/>
  <c r="J67" i="1"/>
  <c r="I67" i="1"/>
  <c r="J223" i="1"/>
  <c r="I223" i="1"/>
  <c r="J219" i="1"/>
  <c r="I219" i="1"/>
  <c r="J216" i="1"/>
  <c r="I216" i="1"/>
  <c r="J217" i="1"/>
  <c r="I217" i="1"/>
  <c r="J76" i="1"/>
  <c r="I76" i="1"/>
  <c r="J80" i="1"/>
  <c r="I80" i="1"/>
  <c r="J81" i="1"/>
  <c r="I81" i="1"/>
  <c r="J225" i="1"/>
  <c r="I225" i="1"/>
  <c r="J229" i="1"/>
  <c r="I229" i="1"/>
  <c r="J230" i="1"/>
  <c r="I230" i="1"/>
  <c r="J88" i="1"/>
  <c r="I88" i="1"/>
  <c r="J92" i="1"/>
  <c r="I92" i="1"/>
  <c r="J93" i="1"/>
  <c r="I93" i="1"/>
  <c r="J237" i="1"/>
  <c r="I237" i="1"/>
  <c r="J247" i="1"/>
  <c r="I247" i="1"/>
  <c r="J238" i="1"/>
  <c r="I238" i="1"/>
  <c r="J109" i="1"/>
  <c r="I109" i="1"/>
  <c r="J106" i="1"/>
  <c r="I106" i="1"/>
  <c r="J99" i="1"/>
  <c r="I99" i="1"/>
  <c r="J258" i="1"/>
  <c r="I258" i="1"/>
  <c r="J252" i="1"/>
  <c r="I252" i="1"/>
  <c r="J253" i="1"/>
  <c r="I253" i="1"/>
  <c r="J124" i="1"/>
  <c r="I124" i="1"/>
  <c r="J120" i="1"/>
  <c r="I120" i="1"/>
  <c r="J117" i="1"/>
  <c r="I117" i="1"/>
  <c r="J118" i="1"/>
  <c r="I118" i="1"/>
  <c r="J263" i="1"/>
  <c r="I263" i="1"/>
  <c r="J267" i="1"/>
  <c r="I267" i="1"/>
  <c r="J268" i="1"/>
  <c r="I268" i="1"/>
  <c r="J126" i="1"/>
  <c r="I126" i="1"/>
  <c r="J130" i="1"/>
  <c r="I130" i="1"/>
  <c r="J131" i="1"/>
  <c r="I131" i="1"/>
  <c r="J277" i="1"/>
  <c r="I277" i="1"/>
  <c r="J274" i="1"/>
  <c r="I274" i="1"/>
  <c r="J145" i="1"/>
  <c r="I145" i="1"/>
  <c r="J144" i="1"/>
  <c r="I144" i="1"/>
  <c r="J137" i="1"/>
  <c r="I137" i="1"/>
  <c r="J293" i="1"/>
  <c r="I293" i="1"/>
  <c r="J287" i="1"/>
  <c r="I287" i="1"/>
  <c r="J284" i="1"/>
  <c r="I284" i="1"/>
  <c r="J3560" i="1"/>
  <c r="I3560" i="1"/>
  <c r="J3558" i="1"/>
  <c r="I3558" i="1"/>
  <c r="J3565" i="1"/>
  <c r="I3565" i="1"/>
  <c r="J3570" i="1"/>
  <c r="I3570" i="1"/>
  <c r="J3598" i="1"/>
  <c r="I3598" i="1"/>
  <c r="J3572" i="1"/>
  <c r="I3572" i="1"/>
  <c r="J3576" i="1"/>
  <c r="I3576" i="1"/>
  <c r="J3600" i="1"/>
  <c r="I3600" i="1"/>
  <c r="J3583" i="1"/>
  <c r="I3583" i="1"/>
  <c r="J3585" i="1"/>
  <c r="I3585" i="1"/>
  <c r="J3590" i="1"/>
  <c r="I3590" i="1"/>
  <c r="J3594" i="1"/>
  <c r="I3594" i="1"/>
  <c r="J306" i="1"/>
  <c r="I306" i="1"/>
  <c r="J303" i="1"/>
  <c r="I303" i="1"/>
  <c r="J296" i="1"/>
  <c r="I296" i="1"/>
  <c r="J318" i="1"/>
  <c r="I318" i="1"/>
  <c r="J312" i="1"/>
  <c r="I312" i="1"/>
  <c r="J313" i="1"/>
  <c r="I313" i="1"/>
  <c r="J333" i="1"/>
  <c r="I333" i="1"/>
  <c r="J330" i="1"/>
  <c r="I330" i="1"/>
  <c r="J326" i="1"/>
  <c r="I326" i="1"/>
  <c r="J346" i="1"/>
  <c r="I346" i="1"/>
  <c r="J342" i="1"/>
  <c r="I342" i="1"/>
  <c r="J339" i="1"/>
  <c r="I339" i="1"/>
  <c r="J340" i="1"/>
  <c r="I340" i="1"/>
  <c r="J348" i="1"/>
  <c r="I348" i="1"/>
  <c r="J357" i="1"/>
  <c r="I357" i="1"/>
  <c r="J352" i="1"/>
  <c r="I352" i="1"/>
  <c r="J360" i="1"/>
  <c r="I360" i="1"/>
  <c r="J370" i="1"/>
  <c r="I370" i="1"/>
  <c r="J361" i="1"/>
  <c r="I361" i="1"/>
  <c r="J380" i="1"/>
  <c r="I380" i="1"/>
  <c r="J377" i="1"/>
  <c r="I377" i="1"/>
  <c r="J376" i="1"/>
  <c r="I376" i="1"/>
  <c r="J384" i="1"/>
  <c r="I384" i="1"/>
  <c r="J394" i="1"/>
  <c r="I394" i="1"/>
  <c r="J385" i="1"/>
  <c r="I385" i="1"/>
  <c r="J404" i="1"/>
  <c r="I404" i="1"/>
  <c r="J401" i="1"/>
  <c r="I401" i="1"/>
  <c r="J400" i="1"/>
  <c r="I400" i="1"/>
  <c r="J408" i="1"/>
  <c r="I408" i="1"/>
  <c r="J417" i="1"/>
  <c r="I417" i="1"/>
  <c r="J412" i="1"/>
  <c r="I412" i="1"/>
  <c r="J420" i="1"/>
  <c r="I420" i="1"/>
  <c r="J429" i="1"/>
  <c r="I429" i="1"/>
  <c r="J424" i="1"/>
  <c r="I424" i="1"/>
  <c r="J431" i="1"/>
  <c r="I431" i="1"/>
  <c r="J441" i="1"/>
  <c r="I441" i="1"/>
  <c r="J436" i="1"/>
  <c r="I436" i="1"/>
  <c r="J2103" i="1"/>
  <c r="I2103" i="1"/>
  <c r="J2106" i="1"/>
  <c r="I2106" i="1"/>
  <c r="J2305" i="1"/>
  <c r="I2305" i="1"/>
  <c r="J2119" i="1"/>
  <c r="I2119" i="1"/>
  <c r="J2113" i="1"/>
  <c r="I2113" i="1"/>
  <c r="J2114" i="1"/>
  <c r="I2114" i="1"/>
  <c r="J2312" i="1"/>
  <c r="I2312" i="1"/>
  <c r="J2314" i="1"/>
  <c r="I2314" i="1"/>
  <c r="J2127" i="1"/>
  <c r="I2127" i="1"/>
  <c r="J2123" i="1"/>
  <c r="I2123" i="1"/>
  <c r="J2327" i="1"/>
  <c r="I2327" i="1"/>
  <c r="J2326" i="1"/>
  <c r="I2326" i="1"/>
  <c r="J2136" i="1"/>
  <c r="I2136" i="1"/>
  <c r="J2130" i="1"/>
  <c r="I2130" i="1"/>
  <c r="J2336" i="1"/>
  <c r="I2336" i="1"/>
  <c r="J2333" i="1"/>
  <c r="I2333" i="1"/>
  <c r="J2140" i="1"/>
  <c r="I2140" i="1"/>
  <c r="J2139" i="1"/>
  <c r="I2139" i="1"/>
  <c r="J2337" i="1"/>
  <c r="I2337" i="1"/>
  <c r="J2147" i="1"/>
  <c r="I2147" i="1"/>
  <c r="J2144" i="1"/>
  <c r="I2144" i="1"/>
  <c r="J2343" i="1"/>
  <c r="I2343" i="1"/>
  <c r="J2155" i="1"/>
  <c r="I2155" i="1"/>
  <c r="J2152" i="1"/>
  <c r="I2152" i="1"/>
  <c r="J2347" i="1"/>
  <c r="I2347" i="1"/>
  <c r="J2163" i="1"/>
  <c r="I2163" i="1"/>
  <c r="J2158" i="1"/>
  <c r="I2158" i="1"/>
  <c r="J2355" i="1"/>
  <c r="I2355" i="1"/>
  <c r="J2168" i="1"/>
  <c r="I2168" i="1"/>
  <c r="J2167" i="1"/>
  <c r="I2167" i="1"/>
  <c r="J2361" i="1"/>
  <c r="I2361" i="1"/>
  <c r="J2363" i="1"/>
  <c r="I2363" i="1"/>
  <c r="J2177" i="1"/>
  <c r="I2177" i="1"/>
  <c r="J2174" i="1"/>
  <c r="I2174" i="1"/>
  <c r="J2365" i="1"/>
  <c r="I2365" i="1"/>
  <c r="J2367" i="1"/>
  <c r="I2367" i="1"/>
  <c r="J2179" i="1"/>
  <c r="I2179" i="1"/>
  <c r="J2379" i="1"/>
  <c r="I2379" i="1"/>
  <c r="J2374" i="1"/>
  <c r="I2374" i="1"/>
  <c r="J2190" i="1"/>
  <c r="I2190" i="1"/>
  <c r="J2189" i="1"/>
  <c r="I2189" i="1"/>
  <c r="J2384" i="1"/>
  <c r="I2384" i="1"/>
  <c r="J3194" i="1"/>
  <c r="I3194" i="1"/>
  <c r="J3211" i="1"/>
  <c r="I3211" i="1"/>
  <c r="J3213" i="1"/>
  <c r="I3213" i="1"/>
  <c r="J3219" i="1"/>
  <c r="I3219" i="1"/>
  <c r="J3222" i="1"/>
  <c r="I3222" i="1"/>
  <c r="J3227" i="1"/>
  <c r="I3227" i="1"/>
  <c r="J3230" i="1"/>
  <c r="I3230" i="1"/>
  <c r="J3235" i="1"/>
  <c r="I3235" i="1"/>
  <c r="J3246" i="1"/>
  <c r="I3246" i="1"/>
  <c r="J3243" i="1"/>
  <c r="I3243" i="1"/>
  <c r="J3249" i="1"/>
  <c r="I3249" i="1"/>
  <c r="J3253" i="1"/>
  <c r="I3253" i="1"/>
  <c r="J3257" i="1"/>
  <c r="I3257" i="1"/>
  <c r="J3260" i="1"/>
  <c r="I3260" i="1"/>
  <c r="J3265" i="1"/>
  <c r="I3265" i="1"/>
  <c r="J2196" i="1"/>
  <c r="I2196" i="1"/>
  <c r="J2393" i="1"/>
  <c r="I2393" i="1"/>
  <c r="J2387" i="1"/>
  <c r="I2387" i="1"/>
  <c r="J2197" i="1"/>
  <c r="I2197" i="1"/>
  <c r="J2395" i="1"/>
  <c r="I2395" i="1"/>
  <c r="J2405" i="1"/>
  <c r="I2405" i="1"/>
  <c r="J2396" i="1"/>
  <c r="I2396" i="1"/>
  <c r="J2414" i="1"/>
  <c r="I2414" i="1"/>
  <c r="J2411" i="1"/>
  <c r="I2411" i="1"/>
  <c r="J2424" i="1"/>
  <c r="I2424" i="1"/>
  <c r="J2418" i="1"/>
  <c r="I2418" i="1"/>
  <c r="J2419" i="1"/>
  <c r="I2419" i="1"/>
  <c r="J2433" i="1"/>
  <c r="I2433" i="1"/>
  <c r="J2435" i="1"/>
  <c r="I2435" i="1"/>
  <c r="J2448" i="1"/>
  <c r="I2448" i="1"/>
  <c r="J2444" i="1"/>
  <c r="I2444" i="1"/>
  <c r="J2441" i="1"/>
  <c r="I2441" i="1"/>
  <c r="J2454" i="1"/>
  <c r="I2454" i="1"/>
  <c r="J2450" i="1"/>
  <c r="I2450" i="1"/>
  <c r="J2458" i="1"/>
  <c r="I2458" i="1"/>
  <c r="J2465" i="1"/>
  <c r="I2465" i="1"/>
  <c r="J2464" i="1"/>
  <c r="I2464" i="1"/>
  <c r="J2472" i="1"/>
  <c r="I2472" i="1"/>
  <c r="J2471" i="1"/>
  <c r="I2471" i="1"/>
  <c r="J2483" i="1"/>
  <c r="I2483" i="1"/>
  <c r="J2482" i="1"/>
  <c r="I2482" i="1"/>
  <c r="J2481" i="1"/>
  <c r="I2481" i="1"/>
  <c r="J2486" i="1"/>
  <c r="I2486" i="1"/>
  <c r="J2494" i="1"/>
  <c r="I2494" i="1"/>
  <c r="J3268" i="1"/>
  <c r="I3268" i="1"/>
  <c r="J3276" i="1"/>
  <c r="I3276" i="1"/>
  <c r="J3273" i="1"/>
  <c r="I3273" i="1"/>
  <c r="J3282" i="1"/>
  <c r="I3282" i="1"/>
  <c r="J3279" i="1"/>
  <c r="I3279" i="1"/>
  <c r="J3285" i="1"/>
  <c r="I3285" i="1"/>
  <c r="J3289" i="1"/>
  <c r="I3289" i="1"/>
  <c r="J3297" i="1"/>
  <c r="I3297" i="1"/>
  <c r="J3300" i="1"/>
  <c r="I3300" i="1"/>
  <c r="J3304" i="1"/>
  <c r="I3304" i="1"/>
  <c r="J3305" i="1"/>
  <c r="I3305" i="1"/>
  <c r="J1281" i="1"/>
  <c r="I1281" i="1"/>
  <c r="J1761" i="1"/>
  <c r="I1761" i="1"/>
  <c r="J2204" i="1"/>
  <c r="I2204" i="1"/>
  <c r="J2199" i="1"/>
  <c r="I2199" i="1"/>
  <c r="J2849" i="1"/>
  <c r="I2849" i="1"/>
  <c r="J2848" i="1"/>
  <c r="I2848" i="1"/>
  <c r="J1763" i="1"/>
  <c r="I1763" i="1"/>
  <c r="J2211" i="1"/>
  <c r="I2211" i="1"/>
  <c r="J2207" i="1"/>
  <c r="I2207" i="1"/>
  <c r="J2208" i="1"/>
  <c r="I2208" i="1"/>
  <c r="J2852" i="1"/>
  <c r="I2852" i="1"/>
  <c r="J1771" i="1"/>
  <c r="I1771" i="1"/>
  <c r="J1768" i="1"/>
  <c r="I1768" i="1"/>
  <c r="J2216" i="1"/>
  <c r="I2216" i="1"/>
  <c r="J2224" i="1"/>
  <c r="I2224" i="1"/>
  <c r="J2861" i="1"/>
  <c r="I2861" i="1"/>
  <c r="J2858" i="1"/>
  <c r="I2858" i="1"/>
  <c r="J1775" i="1"/>
  <c r="I1775" i="1"/>
  <c r="J1773" i="1"/>
  <c r="I1773" i="1"/>
  <c r="J2232" i="1"/>
  <c r="I2232" i="1"/>
  <c r="J2233" i="1"/>
  <c r="I2233" i="1"/>
  <c r="J2867" i="1"/>
  <c r="I2867" i="1"/>
  <c r="J2866" i="1"/>
  <c r="I2866" i="1"/>
  <c r="J1289" i="1"/>
  <c r="I1289" i="1"/>
  <c r="J1783" i="1"/>
  <c r="I1783" i="1"/>
  <c r="J1781" i="1"/>
  <c r="I1781" i="1"/>
  <c r="J2235" i="1"/>
  <c r="I2235" i="1"/>
  <c r="J2875" i="1"/>
  <c r="I2875" i="1"/>
  <c r="J2872" i="1"/>
  <c r="I2872" i="1"/>
  <c r="J1790" i="1"/>
  <c r="I1790" i="1"/>
  <c r="J1791" i="1"/>
  <c r="I1791" i="1"/>
  <c r="J2249" i="1"/>
  <c r="I2249" i="1"/>
  <c r="J2250" i="1"/>
  <c r="I2250" i="1"/>
  <c r="J2883" i="1"/>
  <c r="I2883" i="1"/>
  <c r="J2879" i="1"/>
  <c r="I2879" i="1"/>
  <c r="J1291" i="1"/>
  <c r="I1291" i="1"/>
  <c r="J1794" i="1"/>
  <c r="I1794" i="1"/>
  <c r="J2258" i="1"/>
  <c r="I2258" i="1"/>
  <c r="J2259" i="1"/>
  <c r="I2259" i="1"/>
  <c r="J2888" i="1"/>
  <c r="I2888" i="1"/>
  <c r="J2886" i="1"/>
  <c r="I2886" i="1"/>
  <c r="J1802" i="1"/>
  <c r="I1802" i="1"/>
  <c r="J1801" i="1"/>
  <c r="I1801" i="1"/>
  <c r="J2268" i="1"/>
  <c r="I2268" i="1"/>
  <c r="J2269" i="1"/>
  <c r="I2269" i="1"/>
  <c r="J2895" i="1"/>
  <c r="I2895" i="1"/>
  <c r="J2892" i="1"/>
  <c r="I2892" i="1"/>
  <c r="J1809" i="1"/>
  <c r="I1809" i="1"/>
  <c r="J2280" i="1"/>
  <c r="I2280" i="1"/>
  <c r="J2276" i="1"/>
  <c r="I2276" i="1"/>
  <c r="J2273" i="1"/>
  <c r="I2273" i="1"/>
  <c r="J1295" i="1"/>
  <c r="I1295" i="1"/>
  <c r="J1815" i="1"/>
  <c r="I1815" i="1"/>
  <c r="J2287" i="1"/>
  <c r="I2287" i="1"/>
  <c r="J2282" i="1"/>
  <c r="I2282" i="1"/>
  <c r="J2899" i="1"/>
  <c r="I2899" i="1"/>
  <c r="J1834" i="1"/>
  <c r="I1834" i="1"/>
  <c r="J2288" i="1"/>
  <c r="I2288" i="1"/>
  <c r="J2291" i="1"/>
  <c r="I2291" i="1"/>
  <c r="J1836" i="1"/>
  <c r="I1836" i="1"/>
  <c r="J2302" i="1"/>
  <c r="I2302" i="1"/>
  <c r="J2299" i="1"/>
  <c r="I2299" i="1"/>
  <c r="J3138" i="1"/>
  <c r="I3138" i="1"/>
  <c r="J3719" i="1"/>
  <c r="I3719" i="1"/>
  <c r="J3720" i="1"/>
  <c r="I3720" i="1"/>
  <c r="J3142" i="1"/>
  <c r="I3142" i="1"/>
  <c r="J3144" i="1"/>
  <c r="I3144" i="1"/>
  <c r="J3724" i="1"/>
  <c r="I3724" i="1"/>
  <c r="J3160" i="1"/>
  <c r="I3160" i="1"/>
  <c r="J3162" i="1"/>
  <c r="I3162" i="1"/>
  <c r="J1056" i="1"/>
  <c r="I1056" i="1"/>
  <c r="J1055" i="1"/>
  <c r="I1055" i="1"/>
  <c r="J1143" i="1"/>
  <c r="I1143" i="1"/>
  <c r="J1142" i="1"/>
  <c r="I1142" i="1"/>
  <c r="J455" i="1"/>
  <c r="I455" i="1"/>
  <c r="J451" i="1"/>
  <c r="I451" i="1"/>
  <c r="J448" i="1"/>
  <c r="I448" i="1"/>
  <c r="J449" i="1"/>
  <c r="I449" i="1"/>
  <c r="J1059" i="1"/>
  <c r="I1059" i="1"/>
  <c r="J1061" i="1"/>
  <c r="I1061" i="1"/>
  <c r="J1156" i="1"/>
  <c r="I1156" i="1"/>
  <c r="J1153" i="1"/>
  <c r="I1153" i="1"/>
  <c r="J1147" i="1"/>
  <c r="I1147" i="1"/>
  <c r="J465" i="1"/>
  <c r="I465" i="1"/>
  <c r="J466" i="1"/>
  <c r="I466" i="1"/>
  <c r="J458" i="1"/>
  <c r="I458" i="1"/>
  <c r="J1075" i="1"/>
  <c r="I1075" i="1"/>
  <c r="J1071" i="1"/>
  <c r="I1071" i="1"/>
  <c r="J1168" i="1"/>
  <c r="I1168" i="1"/>
  <c r="J1162" i="1"/>
  <c r="I1162" i="1"/>
  <c r="J1163" i="1"/>
  <c r="I1163" i="1"/>
  <c r="J479" i="1"/>
  <c r="I479" i="1"/>
  <c r="J471" i="1"/>
  <c r="I471" i="1"/>
  <c r="J472" i="1"/>
  <c r="I472" i="1"/>
  <c r="J1087" i="1"/>
  <c r="I1087" i="1"/>
  <c r="J1083" i="1"/>
  <c r="I1083" i="1"/>
  <c r="J1080" i="1"/>
  <c r="I1080" i="1"/>
  <c r="J1180" i="1"/>
  <c r="I1180" i="1"/>
  <c r="J1179" i="1"/>
  <c r="I1179" i="1"/>
  <c r="J1172" i="1"/>
  <c r="I1172" i="1"/>
  <c r="J488" i="1"/>
  <c r="I488" i="1"/>
  <c r="J487" i="1"/>
  <c r="I487" i="1"/>
  <c r="J480" i="1"/>
  <c r="I480" i="1"/>
  <c r="J1093" i="1"/>
  <c r="I1093" i="1"/>
  <c r="J1092" i="1"/>
  <c r="I1092" i="1"/>
  <c r="J1189" i="1"/>
  <c r="I1189" i="1"/>
  <c r="J1188" i="1"/>
  <c r="I1188" i="1"/>
  <c r="J504" i="1"/>
  <c r="I504" i="1"/>
  <c r="J500" i="1"/>
  <c r="I500" i="1"/>
  <c r="J497" i="1"/>
  <c r="I497" i="1"/>
  <c r="J498" i="1"/>
  <c r="I498" i="1"/>
  <c r="J1097" i="1"/>
  <c r="I1097" i="1"/>
  <c r="J1099" i="1"/>
  <c r="I1099" i="1"/>
  <c r="J1200" i="1"/>
  <c r="I1200" i="1"/>
  <c r="J1199" i="1"/>
  <c r="I1199" i="1"/>
  <c r="J1193" i="1"/>
  <c r="I1193" i="1"/>
  <c r="J515" i="1"/>
  <c r="I515" i="1"/>
  <c r="J512" i="1"/>
  <c r="I512" i="1"/>
  <c r="J505" i="1"/>
  <c r="I505" i="1"/>
  <c r="J1111" i="1"/>
  <c r="I1111" i="1"/>
  <c r="J1108" i="1"/>
  <c r="I1108" i="1"/>
  <c r="J1204" i="1"/>
  <c r="I1204" i="1"/>
  <c r="J1207" i="1"/>
  <c r="I1207" i="1"/>
  <c r="J519" i="1"/>
  <c r="I519" i="1"/>
  <c r="J529" i="1"/>
  <c r="I529" i="1"/>
  <c r="J520" i="1"/>
  <c r="I520" i="1"/>
  <c r="J1112" i="1"/>
  <c r="I1112" i="1"/>
  <c r="J1216" i="1"/>
  <c r="I1216" i="1"/>
  <c r="J1214" i="1"/>
  <c r="I1214" i="1"/>
  <c r="J540" i="1"/>
  <c r="I540" i="1"/>
  <c r="J541" i="1"/>
  <c r="I541" i="1"/>
  <c r="J533" i="1"/>
  <c r="I533" i="1"/>
  <c r="J1122" i="1"/>
  <c r="I1122" i="1"/>
  <c r="J1120" i="1"/>
  <c r="I1120" i="1"/>
  <c r="J1220" i="1"/>
  <c r="I1220" i="1"/>
  <c r="J1223" i="1"/>
  <c r="I1223" i="1"/>
  <c r="J555" i="1"/>
  <c r="I555" i="1"/>
  <c r="J551" i="1"/>
  <c r="I551" i="1"/>
  <c r="J548" i="1"/>
  <c r="I548" i="1"/>
  <c r="J549" i="1"/>
  <c r="I549" i="1"/>
  <c r="J1124" i="1"/>
  <c r="I1124" i="1"/>
  <c r="J1242" i="1"/>
  <c r="I1242" i="1"/>
  <c r="J1238" i="1"/>
  <c r="I1238" i="1"/>
  <c r="J1235" i="1"/>
  <c r="I1235" i="1"/>
  <c r="J1236" i="1"/>
  <c r="I1236" i="1"/>
  <c r="J557" i="1"/>
  <c r="I557" i="1"/>
  <c r="J566" i="1"/>
  <c r="I566" i="1"/>
  <c r="J561" i="1"/>
  <c r="I561" i="1"/>
  <c r="J1245" i="1"/>
  <c r="I1245" i="1"/>
  <c r="J569" i="1"/>
  <c r="I569" i="1"/>
  <c r="J573" i="1"/>
  <c r="I573" i="1"/>
  <c r="J574" i="1"/>
  <c r="I574" i="1"/>
  <c r="J1131" i="1"/>
  <c r="I1131" i="1"/>
  <c r="J1256" i="1"/>
  <c r="I1256" i="1"/>
  <c r="J1249" i="1"/>
  <c r="I1249" i="1"/>
  <c r="J1248" i="1"/>
  <c r="I1248" i="1"/>
  <c r="J589" i="1"/>
  <c r="I589" i="1"/>
  <c r="J590" i="1"/>
  <c r="I590" i="1"/>
  <c r="J582" i="1"/>
  <c r="I582" i="1"/>
  <c r="J2906" i="1"/>
  <c r="I2906" i="1"/>
  <c r="J2945" i="1"/>
  <c r="I2945" i="1"/>
  <c r="J2913" i="1"/>
  <c r="I2913" i="1"/>
  <c r="J2948" i="1"/>
  <c r="I2948" i="1"/>
  <c r="J2914" i="1"/>
  <c r="I2914" i="1"/>
  <c r="J2917" i="1"/>
  <c r="I2917" i="1"/>
  <c r="J2923" i="1"/>
  <c r="I2923" i="1"/>
  <c r="J2924" i="1"/>
  <c r="I2924" i="1"/>
  <c r="J2928" i="1"/>
  <c r="I2928" i="1"/>
  <c r="J2932" i="1"/>
  <c r="I2932" i="1"/>
  <c r="J2935" i="1"/>
  <c r="I2935" i="1"/>
  <c r="J2941" i="1"/>
  <c r="I2941" i="1"/>
  <c r="J2562" i="1"/>
  <c r="I2562" i="1"/>
  <c r="J2559" i="1"/>
  <c r="I2559" i="1"/>
  <c r="J2648" i="1"/>
  <c r="I2648" i="1"/>
  <c r="J2781" i="1"/>
  <c r="I2781" i="1"/>
  <c r="J2570" i="1"/>
  <c r="I2570" i="1"/>
  <c r="J2566" i="1"/>
  <c r="I2566" i="1"/>
  <c r="J2663" i="1"/>
  <c r="I2663" i="1"/>
  <c r="J2655" i="1"/>
  <c r="I2655" i="1"/>
  <c r="J2656" i="1"/>
  <c r="I2656" i="1"/>
  <c r="J2787" i="1"/>
  <c r="I2787" i="1"/>
  <c r="J2786" i="1"/>
  <c r="I2786" i="1"/>
  <c r="J2577" i="1"/>
  <c r="I2577" i="1"/>
  <c r="J2575" i="1"/>
  <c r="I2575" i="1"/>
  <c r="J2669" i="1"/>
  <c r="I2669" i="1"/>
  <c r="J2668" i="1"/>
  <c r="I2668" i="1"/>
  <c r="J2796" i="1"/>
  <c r="I2796" i="1"/>
  <c r="J2792" i="1"/>
  <c r="I2792" i="1"/>
  <c r="J2585" i="1"/>
  <c r="I2585" i="1"/>
  <c r="J2586" i="1"/>
  <c r="I2586" i="1"/>
  <c r="J2683" i="1"/>
  <c r="I2683" i="1"/>
  <c r="J2675" i="1"/>
  <c r="I2675" i="1"/>
  <c r="J2676" i="1"/>
  <c r="I2676" i="1"/>
  <c r="J2803" i="1"/>
  <c r="I2803" i="1"/>
  <c r="J2802" i="1"/>
  <c r="I2802" i="1"/>
  <c r="J2596" i="1"/>
  <c r="I2596" i="1"/>
  <c r="J2590" i="1"/>
  <c r="I2590" i="1"/>
  <c r="J2591" i="1"/>
  <c r="I2591" i="1"/>
  <c r="J2685" i="1"/>
  <c r="I2685" i="1"/>
  <c r="J2687" i="1"/>
  <c r="I2687" i="1"/>
  <c r="J2807" i="1"/>
  <c r="I2807" i="1"/>
  <c r="J2602" i="1"/>
  <c r="I2602" i="1"/>
  <c r="J2598" i="1"/>
  <c r="I2598" i="1"/>
  <c r="J2699" i="1"/>
  <c r="I2699" i="1"/>
  <c r="J2696" i="1"/>
  <c r="I2696" i="1"/>
  <c r="J2764" i="1"/>
  <c r="I2764" i="1"/>
  <c r="J2814" i="1"/>
  <c r="I2814" i="1"/>
  <c r="J2813" i="1"/>
  <c r="I2813" i="1"/>
  <c r="J2608" i="1"/>
  <c r="I2608" i="1"/>
  <c r="J2706" i="1"/>
  <c r="I2706" i="1"/>
  <c r="J2766" i="1"/>
  <c r="I2766" i="1"/>
  <c r="J2611" i="1"/>
  <c r="I2611" i="1"/>
  <c r="J2618" i="1"/>
  <c r="I2618" i="1"/>
  <c r="J2711" i="1"/>
  <c r="I2711" i="1"/>
  <c r="J2710" i="1"/>
  <c r="I2710" i="1"/>
  <c r="J2624" i="1"/>
  <c r="I2624" i="1"/>
  <c r="J2623" i="1"/>
  <c r="I2623" i="1"/>
  <c r="J2714" i="1"/>
  <c r="I2714" i="1"/>
  <c r="J2770" i="1"/>
  <c r="I2770" i="1"/>
  <c r="J2631" i="1"/>
  <c r="I2631" i="1"/>
  <c r="J2722" i="1"/>
  <c r="I2722" i="1"/>
  <c r="J2720" i="1"/>
  <c r="I2720" i="1"/>
  <c r="J2819" i="1"/>
  <c r="I2819" i="1"/>
  <c r="J2817" i="1"/>
  <c r="I2817" i="1"/>
  <c r="J2634" i="1"/>
  <c r="I2634" i="1"/>
  <c r="J2773" i="1"/>
  <c r="I2773" i="1"/>
  <c r="J2646" i="1"/>
  <c r="I2646" i="1"/>
  <c r="J2640" i="1"/>
  <c r="I2640" i="1"/>
  <c r="J2641" i="1"/>
  <c r="I2641" i="1"/>
  <c r="J2724" i="1"/>
  <c r="I2724" i="1"/>
  <c r="J2727" i="1"/>
  <c r="I2727" i="1"/>
  <c r="J2775" i="1"/>
  <c r="I2775" i="1"/>
  <c r="J2825" i="1"/>
  <c r="I2825" i="1"/>
  <c r="J3337" i="1"/>
  <c r="I3337" i="1"/>
  <c r="J3331" i="1"/>
  <c r="I3331" i="1"/>
  <c r="J3422" i="1"/>
  <c r="I3422" i="1"/>
  <c r="J3475" i="1"/>
  <c r="I3475" i="1"/>
  <c r="J3547" i="1"/>
  <c r="I3547" i="1"/>
  <c r="J3603" i="1"/>
  <c r="I3603" i="1"/>
  <c r="J3657" i="1"/>
  <c r="I3657" i="1"/>
  <c r="J3655" i="1"/>
  <c r="I3655" i="1"/>
  <c r="J3314" i="1"/>
  <c r="I3314" i="1"/>
  <c r="J3338" i="1"/>
  <c r="I3338" i="1"/>
  <c r="J3341" i="1"/>
  <c r="I3341" i="1"/>
  <c r="J3424" i="1"/>
  <c r="I3424" i="1"/>
  <c r="J3476" i="1"/>
  <c r="I3476" i="1"/>
  <c r="J3549" i="1"/>
  <c r="I3549" i="1"/>
  <c r="J3607" i="1"/>
  <c r="I3607" i="1"/>
  <c r="J3665" i="1"/>
  <c r="I3665" i="1"/>
  <c r="J3662" i="1"/>
  <c r="I3662" i="1"/>
  <c r="J3707" i="1"/>
  <c r="I3707" i="1"/>
  <c r="J3315" i="1"/>
  <c r="I3315" i="1"/>
  <c r="J3348" i="1"/>
  <c r="I3348" i="1"/>
  <c r="J3350" i="1"/>
  <c r="I3350" i="1"/>
  <c r="J3429" i="1"/>
  <c r="I3429" i="1"/>
  <c r="J3482" i="1"/>
  <c r="I3482" i="1"/>
  <c r="J3553" i="1"/>
  <c r="I3553" i="1"/>
  <c r="J3614" i="1"/>
  <c r="I3614" i="1"/>
  <c r="J3673" i="1"/>
  <c r="I3673" i="1"/>
  <c r="J3670" i="1"/>
  <c r="I3670" i="1"/>
  <c r="J3700" i="1"/>
  <c r="I3700" i="1"/>
  <c r="J3709" i="1"/>
  <c r="I3709" i="1"/>
  <c r="J3357" i="1"/>
  <c r="I3357" i="1"/>
  <c r="J3359" i="1"/>
  <c r="I3359" i="1"/>
  <c r="J3432" i="1"/>
  <c r="I3432" i="1"/>
  <c r="J3554" i="1"/>
  <c r="I3554" i="1"/>
  <c r="J3618" i="1"/>
  <c r="I3618" i="1"/>
  <c r="J3679" i="1"/>
  <c r="I3679" i="1"/>
  <c r="J3676" i="1"/>
  <c r="I3676" i="1"/>
  <c r="J3317" i="1"/>
  <c r="I3317" i="1"/>
  <c r="J3373" i="1"/>
  <c r="I3373" i="1"/>
  <c r="J3374" i="1"/>
  <c r="I3374" i="1"/>
  <c r="J3436" i="1"/>
  <c r="I3436" i="1"/>
  <c r="J3488" i="1"/>
  <c r="I3488" i="1"/>
  <c r="J3622" i="1"/>
  <c r="I3622" i="1"/>
  <c r="J3683" i="1"/>
  <c r="I3683" i="1"/>
  <c r="J3701" i="1"/>
  <c r="I3701" i="1"/>
  <c r="J3377" i="1"/>
  <c r="I3377" i="1"/>
  <c r="J3437" i="1"/>
  <c r="I3437" i="1"/>
  <c r="J3627" i="1"/>
  <c r="I3627" i="1"/>
  <c r="J3389" i="1"/>
  <c r="I3389" i="1"/>
  <c r="J3383" i="1"/>
  <c r="I3383" i="1"/>
  <c r="J3385" i="1"/>
  <c r="I3385" i="1"/>
  <c r="J3492" i="1"/>
  <c r="I3492" i="1"/>
  <c r="J3629" i="1"/>
  <c r="I3629" i="1"/>
  <c r="J3397" i="1"/>
  <c r="I3397" i="1"/>
  <c r="J3391" i="1"/>
  <c r="I3391" i="1"/>
  <c r="J3442" i="1"/>
  <c r="I3442" i="1"/>
  <c r="J3494" i="1"/>
  <c r="I3494" i="1"/>
  <c r="J3633" i="1"/>
  <c r="I3633" i="1"/>
  <c r="J3399" i="1"/>
  <c r="I3399" i="1"/>
  <c r="J3398" i="1"/>
  <c r="I3398" i="1"/>
  <c r="J3496" i="1"/>
  <c r="I3496" i="1"/>
  <c r="J3648" i="1"/>
  <c r="I3648" i="1"/>
  <c r="J3408" i="1"/>
  <c r="I3408" i="1"/>
  <c r="J3638" i="1"/>
  <c r="I3638" i="1"/>
  <c r="J3690" i="1"/>
  <c r="I3690" i="1"/>
  <c r="J3411" i="1"/>
  <c r="I3411" i="1"/>
  <c r="J3499" i="1"/>
  <c r="I3499" i="1"/>
  <c r="J3694" i="1"/>
  <c r="I3694" i="1"/>
  <c r="J3414" i="1"/>
  <c r="I3414" i="1"/>
  <c r="J3502" i="1"/>
  <c r="I3502" i="1"/>
  <c r="J3650" i="1"/>
  <c r="I3650" i="1"/>
  <c r="J3712" i="1"/>
  <c r="I3712" i="1"/>
  <c r="J3372" i="1"/>
  <c r="I3372" i="1"/>
  <c r="J3371" i="1"/>
  <c r="I3371" i="1"/>
  <c r="J3370" i="1"/>
  <c r="I3370" i="1"/>
  <c r="J3490" i="1"/>
  <c r="I3490" i="1"/>
  <c r="J3623" i="1"/>
  <c r="I3623" i="1"/>
  <c r="J3685" i="1"/>
  <c r="I3685" i="1"/>
  <c r="J3682" i="1"/>
  <c r="I3682" i="1"/>
  <c r="J3376" i="1"/>
  <c r="I3376" i="1"/>
  <c r="J3438" i="1"/>
  <c r="I3438" i="1"/>
  <c r="J3555" i="1"/>
  <c r="I3555" i="1"/>
  <c r="J3320" i="1"/>
  <c r="I3320" i="1"/>
  <c r="J3382" i="1"/>
  <c r="I3382" i="1"/>
  <c r="J3381" i="1"/>
  <c r="I3381" i="1"/>
  <c r="J3493" i="1"/>
  <c r="I3493" i="1"/>
  <c r="J3628" i="1"/>
  <c r="I3628" i="1"/>
  <c r="J3715" i="1"/>
  <c r="I3715" i="1"/>
  <c r="J3390" i="1"/>
  <c r="I3390" i="1"/>
  <c r="J3392" i="1"/>
  <c r="I3392" i="1"/>
  <c r="J3495" i="1"/>
  <c r="I3495" i="1"/>
  <c r="J3632" i="1"/>
  <c r="I3632" i="1"/>
  <c r="J3405" i="1"/>
  <c r="I3405" i="1"/>
  <c r="J3401" i="1"/>
  <c r="I3401" i="1"/>
  <c r="J3444" i="1"/>
  <c r="I3444" i="1"/>
  <c r="J3649" i="1"/>
  <c r="I3649" i="1"/>
  <c r="J3406" i="1"/>
  <c r="I3406" i="1"/>
  <c r="J3497" i="1"/>
  <c r="I3497" i="1"/>
  <c r="J3689" i="1"/>
  <c r="I3689" i="1"/>
  <c r="J3410" i="1"/>
  <c r="I3410" i="1"/>
  <c r="J3500" i="1"/>
  <c r="I3500" i="1"/>
  <c r="J3695" i="1"/>
  <c r="I3695" i="1"/>
  <c r="J3418" i="1"/>
  <c r="I3418" i="1"/>
  <c r="J3416" i="1"/>
  <c r="I3416" i="1"/>
  <c r="J3641" i="1"/>
  <c r="I3641" i="1"/>
  <c r="J3718" i="1"/>
  <c r="I3718" i="1"/>
  <c r="J1400" i="1"/>
  <c r="I1400" i="1"/>
  <c r="J1557" i="1"/>
  <c r="I1557" i="1"/>
  <c r="J1409" i="1"/>
  <c r="I1409" i="1"/>
  <c r="J1408" i="1"/>
  <c r="I1408" i="1"/>
  <c r="J1530" i="1"/>
  <c r="I1530" i="1"/>
  <c r="J1558" i="1"/>
  <c r="I1558" i="1"/>
  <c r="J1414" i="1"/>
  <c r="I1414" i="1"/>
  <c r="J1413" i="1"/>
  <c r="I1413" i="1"/>
  <c r="J1564" i="1"/>
  <c r="I1564" i="1"/>
  <c r="J1425" i="1"/>
  <c r="I1425" i="1"/>
  <c r="J1424" i="1"/>
  <c r="I1424" i="1"/>
  <c r="J1535" i="1"/>
  <c r="I1535" i="1"/>
  <c r="J1565" i="1"/>
  <c r="I1565" i="1"/>
  <c r="J1434" i="1"/>
  <c r="I1434" i="1"/>
  <c r="J1429" i="1"/>
  <c r="I1429" i="1"/>
  <c r="J1537" i="1"/>
  <c r="I1537" i="1"/>
  <c r="J1440" i="1"/>
  <c r="I1440" i="1"/>
  <c r="J1442" i="1"/>
  <c r="I1442" i="1"/>
  <c r="J1540" i="1"/>
  <c r="I1540" i="1"/>
  <c r="J1447" i="1"/>
  <c r="I1447" i="1"/>
  <c r="J1446" i="1"/>
  <c r="I1446" i="1"/>
  <c r="J1451" i="1"/>
  <c r="I1451" i="1"/>
  <c r="J1544" i="1"/>
  <c r="I1544" i="1"/>
  <c r="J1459" i="1"/>
  <c r="I1459" i="1"/>
  <c r="J1457" i="1"/>
  <c r="I1457" i="1"/>
  <c r="J1574" i="1"/>
  <c r="I1574" i="1"/>
  <c r="J1466" i="1"/>
  <c r="I1466" i="1"/>
  <c r="J1465" i="1"/>
  <c r="I1465" i="1"/>
  <c r="J1577" i="1"/>
  <c r="I1577" i="1"/>
  <c r="J1471" i="1"/>
  <c r="I1471" i="1"/>
  <c r="J1469" i="1"/>
  <c r="I1469" i="1"/>
  <c r="J1484" i="1"/>
  <c r="I1484" i="1"/>
  <c r="J1480" i="1"/>
  <c r="I1480" i="1"/>
  <c r="J1554" i="1"/>
  <c r="I1554" i="1"/>
  <c r="J1579" i="1"/>
  <c r="I1579" i="1"/>
  <c r="J3321" i="1"/>
  <c r="I3321" i="1"/>
  <c r="J3106" i="1"/>
  <c r="I3106" i="1"/>
  <c r="J3327" i="1"/>
  <c r="I3327" i="1"/>
  <c r="J3049" i="1"/>
  <c r="I3049" i="1"/>
  <c r="J2955" i="1"/>
  <c r="I2955" i="1"/>
  <c r="J1593" i="1"/>
  <c r="I1593" i="1"/>
  <c r="J1601" i="1"/>
  <c r="I1601" i="1"/>
  <c r="J1600" i="1"/>
  <c r="I1600" i="1"/>
  <c r="J1608" i="1"/>
  <c r="I1608" i="1"/>
  <c r="J1609" i="1"/>
  <c r="I1609" i="1"/>
  <c r="J1616" i="1"/>
  <c r="I1616" i="1"/>
  <c r="J1613" i="1"/>
  <c r="I1613" i="1"/>
  <c r="J1624" i="1"/>
  <c r="I1624" i="1"/>
  <c r="J1625" i="1"/>
  <c r="I1625" i="1"/>
  <c r="J1631" i="1"/>
  <c r="I1631" i="1"/>
  <c r="J1628" i="1"/>
  <c r="I1628" i="1"/>
  <c r="J1638" i="1"/>
  <c r="I1638" i="1"/>
  <c r="J1635" i="1"/>
  <c r="I1635" i="1"/>
  <c r="J1641" i="1"/>
  <c r="I1641" i="1"/>
  <c r="J1643" i="1"/>
  <c r="I1643" i="1"/>
  <c r="J1653" i="1"/>
  <c r="I1653" i="1"/>
  <c r="J1659" i="1"/>
  <c r="I1659" i="1"/>
  <c r="J1660" i="1"/>
  <c r="I1660" i="1"/>
  <c r="J1661" i="1"/>
  <c r="I1661" i="1"/>
  <c r="J1662" i="1"/>
  <c r="I1662" i="1"/>
  <c r="J1672" i="1"/>
  <c r="I1672" i="1"/>
  <c r="J1671" i="1"/>
  <c r="I1671" i="1"/>
  <c r="J2830" i="1"/>
  <c r="I2830" i="1"/>
  <c r="J1309" i="1"/>
  <c r="I1309" i="1"/>
  <c r="J2834" i="1"/>
  <c r="I2834" i="1"/>
  <c r="J1311" i="1"/>
  <c r="I1311" i="1"/>
  <c r="J2839" i="1"/>
  <c r="I2839" i="1"/>
  <c r="J2841" i="1"/>
  <c r="I2841" i="1"/>
  <c r="J1315" i="1"/>
  <c r="I1315" i="1"/>
  <c r="J1318" i="1"/>
  <c r="I1318" i="1"/>
  <c r="J1489" i="1"/>
  <c r="I1489" i="1"/>
  <c r="J1493" i="1"/>
  <c r="I1493" i="1"/>
  <c r="J1495" i="1"/>
  <c r="I1495" i="1"/>
  <c r="J1499" i="1"/>
  <c r="I1499" i="1"/>
  <c r="J1503" i="1"/>
  <c r="I1503" i="1"/>
  <c r="J1508" i="1"/>
  <c r="I1508" i="1"/>
  <c r="J1513" i="1"/>
  <c r="I1513" i="1"/>
  <c r="J1516" i="1"/>
  <c r="I1516" i="1"/>
  <c r="J1519" i="1"/>
  <c r="I1519" i="1"/>
  <c r="J1525" i="1"/>
  <c r="I1525" i="1"/>
  <c r="J602" i="1"/>
  <c r="I602" i="1"/>
  <c r="J594" i="1"/>
  <c r="I594" i="1"/>
  <c r="J595" i="1"/>
  <c r="I595" i="1"/>
  <c r="J736" i="1"/>
  <c r="I736" i="1"/>
  <c r="J737" i="1"/>
  <c r="I737" i="1"/>
  <c r="J967" i="1"/>
  <c r="I967" i="1"/>
  <c r="J968" i="1"/>
  <c r="I968" i="1"/>
  <c r="J612" i="1"/>
  <c r="I612" i="1"/>
  <c r="J606" i="1"/>
  <c r="I606" i="1"/>
  <c r="J607" i="1"/>
  <c r="I607" i="1"/>
  <c r="J750" i="1"/>
  <c r="I750" i="1"/>
  <c r="J748" i="1"/>
  <c r="I748" i="1"/>
  <c r="J743" i="1"/>
  <c r="I743" i="1"/>
  <c r="J977" i="1"/>
  <c r="I977" i="1"/>
  <c r="J628" i="1"/>
  <c r="I628" i="1"/>
  <c r="J624" i="1"/>
  <c r="I624" i="1"/>
  <c r="J621" i="1"/>
  <c r="I621" i="1"/>
  <c r="J622" i="1"/>
  <c r="I622" i="1"/>
  <c r="J755" i="1"/>
  <c r="I755" i="1"/>
  <c r="J756" i="1"/>
  <c r="I756" i="1"/>
  <c r="J980" i="1"/>
  <c r="I980" i="1"/>
  <c r="J981" i="1"/>
  <c r="I981" i="1"/>
  <c r="J639" i="1"/>
  <c r="I639" i="1"/>
  <c r="J636" i="1"/>
  <c r="I636" i="1"/>
  <c r="J629" i="1"/>
  <c r="I629" i="1"/>
  <c r="J771" i="1"/>
  <c r="I771" i="1"/>
  <c r="J772" i="1"/>
  <c r="I772" i="1"/>
  <c r="J768" i="1"/>
  <c r="I768" i="1"/>
  <c r="J992" i="1"/>
  <c r="I992" i="1"/>
  <c r="J987" i="1"/>
  <c r="I987" i="1"/>
  <c r="J643" i="1"/>
  <c r="I643" i="1"/>
  <c r="J647" i="1"/>
  <c r="I647" i="1"/>
  <c r="J648" i="1"/>
  <c r="I648" i="1"/>
  <c r="J774" i="1"/>
  <c r="I774" i="1"/>
  <c r="J777" i="1"/>
  <c r="I777" i="1"/>
  <c r="J996" i="1"/>
  <c r="I996" i="1"/>
  <c r="J997" i="1"/>
  <c r="I997" i="1"/>
  <c r="J662" i="1"/>
  <c r="I662" i="1"/>
  <c r="J663" i="1"/>
  <c r="I663" i="1"/>
  <c r="J655" i="1"/>
  <c r="I655" i="1"/>
  <c r="J784" i="1"/>
  <c r="I784" i="1"/>
  <c r="J787" i="1"/>
  <c r="I787" i="1"/>
  <c r="J1006" i="1"/>
  <c r="I1006" i="1"/>
  <c r="J1005" i="1"/>
  <c r="I1005" i="1"/>
  <c r="J671" i="1"/>
  <c r="I671" i="1"/>
  <c r="J666" i="1"/>
  <c r="I666" i="1"/>
  <c r="J800" i="1"/>
  <c r="I800" i="1"/>
  <c r="J801" i="1"/>
  <c r="I801" i="1"/>
  <c r="J1008" i="1"/>
  <c r="I1008" i="1"/>
  <c r="J1011" i="1"/>
  <c r="I1011" i="1"/>
  <c r="J682" i="1"/>
  <c r="I682" i="1"/>
  <c r="J681" i="1"/>
  <c r="I681" i="1"/>
  <c r="J674" i="1"/>
  <c r="I674" i="1"/>
  <c r="J809" i="1"/>
  <c r="I809" i="1"/>
  <c r="J811" i="1"/>
  <c r="I811" i="1"/>
  <c r="J807" i="1"/>
  <c r="I807" i="1"/>
  <c r="J1022" i="1"/>
  <c r="I1022" i="1"/>
  <c r="J1016" i="1"/>
  <c r="I1016" i="1"/>
  <c r="J695" i="1"/>
  <c r="I695" i="1"/>
  <c r="J696" i="1"/>
  <c r="I696" i="1"/>
  <c r="J688" i="1"/>
  <c r="I688" i="1"/>
  <c r="J820" i="1"/>
  <c r="I820" i="1"/>
  <c r="J821" i="1"/>
  <c r="I821" i="1"/>
  <c r="J1029" i="1"/>
  <c r="I1029" i="1"/>
  <c r="J1026" i="1"/>
  <c r="I1026" i="1"/>
  <c r="J707" i="1"/>
  <c r="I707" i="1"/>
  <c r="J701" i="1"/>
  <c r="I701" i="1"/>
  <c r="J702" i="1"/>
  <c r="I702" i="1"/>
  <c r="J832" i="1"/>
  <c r="I832" i="1"/>
  <c r="J829" i="1"/>
  <c r="I829" i="1"/>
  <c r="J823" i="1"/>
  <c r="I823" i="1"/>
  <c r="J1036" i="1"/>
  <c r="I1036" i="1"/>
  <c r="J1031" i="1"/>
  <c r="I1031" i="1"/>
  <c r="J719" i="1"/>
  <c r="I719" i="1"/>
  <c r="J720" i="1"/>
  <c r="I720" i="1"/>
  <c r="J716" i="1"/>
  <c r="I716" i="1"/>
  <c r="J836" i="1"/>
  <c r="I836" i="1"/>
  <c r="J1044" i="1"/>
  <c r="I1044" i="1"/>
  <c r="J1041" i="1"/>
  <c r="I1041" i="1"/>
  <c r="J731" i="1"/>
  <c r="I731" i="1"/>
  <c r="J725" i="1"/>
  <c r="I725" i="1"/>
  <c r="J726" i="1"/>
  <c r="I726" i="1"/>
  <c r="J850" i="1"/>
  <c r="I850" i="1"/>
  <c r="J846" i="1"/>
  <c r="I846" i="1"/>
  <c r="J840" i="1"/>
  <c r="I840" i="1"/>
  <c r="J1050" i="1"/>
  <c r="I1050" i="1"/>
  <c r="J1049" i="1"/>
  <c r="I1049" i="1"/>
  <c r="J1842" i="1"/>
  <c r="I1842" i="1"/>
  <c r="J1905" i="1"/>
  <c r="I1905" i="1"/>
  <c r="J1266" i="1"/>
  <c r="I1266" i="1"/>
  <c r="J1849" i="1"/>
  <c r="I1849" i="1"/>
  <c r="J1845" i="1"/>
  <c r="I1845" i="1"/>
  <c r="J1917" i="1"/>
  <c r="I1917" i="1"/>
  <c r="J1916" i="1"/>
  <c r="I1916" i="1"/>
  <c r="J1909" i="1"/>
  <c r="I1909" i="1"/>
  <c r="J1268" i="1"/>
  <c r="I1268" i="1"/>
  <c r="J1854" i="1"/>
  <c r="I1854" i="1"/>
  <c r="J1921" i="1"/>
  <c r="I1921" i="1"/>
  <c r="J1922" i="1"/>
  <c r="I1922" i="1"/>
  <c r="J1862" i="1"/>
  <c r="I1862" i="1"/>
  <c r="J1859" i="1"/>
  <c r="I1859" i="1"/>
  <c r="J1938" i="1"/>
  <c r="I1938" i="1"/>
  <c r="J1935" i="1"/>
  <c r="I1935" i="1"/>
  <c r="J1930" i="1"/>
  <c r="I1930" i="1"/>
  <c r="J1867" i="1"/>
  <c r="I1867" i="1"/>
  <c r="J1864" i="1"/>
  <c r="I1864" i="1"/>
  <c r="J1939" i="1"/>
  <c r="I1939" i="1"/>
  <c r="J1941" i="1"/>
  <c r="I1941" i="1"/>
  <c r="J1873" i="1"/>
  <c r="I1873" i="1"/>
  <c r="J1872" i="1"/>
  <c r="I1872" i="1"/>
  <c r="J1950" i="1"/>
  <c r="I1950" i="1"/>
  <c r="J1949" i="1"/>
  <c r="I1949" i="1"/>
  <c r="J1880" i="1"/>
  <c r="I1880" i="1"/>
  <c r="J1883" i="1"/>
  <c r="I1883" i="1"/>
  <c r="J1961" i="1"/>
  <c r="I1961" i="1"/>
  <c r="J1957" i="1"/>
  <c r="I1957" i="1"/>
  <c r="J1884" i="1"/>
  <c r="I1884" i="1"/>
  <c r="J1965" i="1"/>
  <c r="I1965" i="1"/>
  <c r="J1964" i="1"/>
  <c r="I1964" i="1"/>
  <c r="J1889" i="1"/>
  <c r="I1889" i="1"/>
  <c r="J1890" i="1"/>
  <c r="I1890" i="1"/>
  <c r="J1979" i="1"/>
  <c r="I1979" i="1"/>
  <c r="J1975" i="1"/>
  <c r="I1975" i="1"/>
  <c r="J1976" i="1"/>
  <c r="I1976" i="1"/>
  <c r="J1899" i="1"/>
  <c r="I1899" i="1"/>
  <c r="J1981" i="1"/>
  <c r="I1981" i="1"/>
  <c r="J1983" i="1"/>
  <c r="I1983" i="1"/>
  <c r="J1902" i="1"/>
  <c r="I1902" i="1"/>
  <c r="J1991" i="1"/>
  <c r="I1991" i="1"/>
  <c r="J1990" i="1"/>
  <c r="I1990" i="1"/>
  <c r="J3166" i="1"/>
  <c r="I3166" i="1"/>
  <c r="J3167" i="1"/>
  <c r="I3167" i="1"/>
  <c r="J3172" i="1"/>
  <c r="I3172" i="1"/>
  <c r="J3175" i="1"/>
  <c r="I3175" i="1"/>
  <c r="J3180" i="1"/>
  <c r="I3180" i="1"/>
  <c r="J2735" i="1"/>
  <c r="I2735" i="1"/>
  <c r="J2742" i="1"/>
  <c r="I2742" i="1"/>
  <c r="J2743" i="1"/>
  <c r="I2743" i="1"/>
  <c r="J2750" i="1"/>
  <c r="I2750" i="1"/>
  <c r="J2751" i="1"/>
  <c r="I2751" i="1"/>
  <c r="J2755" i="1"/>
  <c r="I2755" i="1"/>
  <c r="J3450" i="1"/>
  <c r="I3450" i="1"/>
  <c r="J3508" i="1"/>
  <c r="I3508" i="1"/>
  <c r="J3509" i="1"/>
  <c r="I3509" i="1"/>
  <c r="J3451" i="1"/>
  <c r="I3451" i="1"/>
  <c r="J3515" i="1"/>
  <c r="I3515" i="1"/>
  <c r="J3512" i="1"/>
  <c r="I3512" i="1"/>
  <c r="J3521" i="1"/>
  <c r="I3521" i="1"/>
  <c r="J3518" i="1"/>
  <c r="I3518" i="1"/>
  <c r="J3460" i="1"/>
  <c r="I3460" i="1"/>
  <c r="J3524" i="1"/>
  <c r="I3524" i="1"/>
  <c r="J3463" i="1"/>
  <c r="I3463" i="1"/>
  <c r="J3532" i="1"/>
  <c r="I3532" i="1"/>
  <c r="J3465" i="1"/>
  <c r="I3465" i="1"/>
  <c r="J3534" i="1"/>
  <c r="I3534" i="1"/>
  <c r="J3538" i="1"/>
  <c r="I3538" i="1"/>
  <c r="J3471" i="1"/>
  <c r="I3471" i="1"/>
  <c r="J3542" i="1"/>
  <c r="I3542" i="1"/>
  <c r="J1298" i="1"/>
  <c r="I1298" i="1"/>
  <c r="J1260" i="1"/>
  <c r="I1260" i="1"/>
  <c r="J1261" i="1"/>
  <c r="I1261" i="1"/>
  <c r="J1675" i="1"/>
  <c r="I1675" i="1"/>
  <c r="J1676" i="1"/>
  <c r="I1676" i="1"/>
  <c r="J1682" i="1"/>
  <c r="I1682" i="1"/>
  <c r="J1683" i="1"/>
  <c r="I1683" i="1"/>
  <c r="J1690" i="1"/>
  <c r="I1690" i="1"/>
  <c r="J1691" i="1"/>
  <c r="I1691" i="1"/>
  <c r="J1704" i="1"/>
  <c r="I1704" i="1"/>
  <c r="J1700" i="1"/>
  <c r="I1700" i="1"/>
  <c r="J1712" i="1"/>
  <c r="I1712" i="1"/>
  <c r="J1709" i="1"/>
  <c r="I1709" i="1"/>
  <c r="J1720" i="1"/>
  <c r="I1720" i="1"/>
  <c r="J1717" i="1"/>
  <c r="I1717" i="1"/>
  <c r="J1727" i="1"/>
  <c r="I1727" i="1"/>
  <c r="J1726" i="1"/>
  <c r="I1726" i="1"/>
  <c r="J1733" i="1"/>
  <c r="I1733" i="1"/>
  <c r="J1732" i="1"/>
  <c r="I1732" i="1"/>
  <c r="J1743" i="1"/>
  <c r="I1743" i="1"/>
  <c r="J1744" i="1"/>
  <c r="I1744" i="1"/>
  <c r="J1746" i="1"/>
  <c r="I1746" i="1"/>
  <c r="J1750" i="1"/>
  <c r="I1750" i="1"/>
  <c r="J1754" i="1"/>
  <c r="I1754" i="1"/>
  <c r="J1323" i="1"/>
  <c r="I1323" i="1"/>
  <c r="J2000" i="1"/>
  <c r="I2000" i="1"/>
  <c r="J1320" i="1"/>
  <c r="I1320" i="1"/>
  <c r="J1326" i="1"/>
  <c r="I1326" i="1"/>
  <c r="J2010" i="1"/>
  <c r="I2010" i="1"/>
  <c r="J2003" i="1"/>
  <c r="I2003" i="1"/>
  <c r="J2021" i="1"/>
  <c r="I2021" i="1"/>
  <c r="J2017" i="1"/>
  <c r="I2017" i="1"/>
  <c r="J2018" i="1"/>
  <c r="I2018" i="1"/>
  <c r="J2031" i="1"/>
  <c r="I2031" i="1"/>
  <c r="J2027" i="1"/>
  <c r="I2027" i="1"/>
  <c r="J2028" i="1"/>
  <c r="I2028" i="1"/>
  <c r="J2040" i="1"/>
  <c r="I2040" i="1"/>
  <c r="J2036" i="1"/>
  <c r="I2036" i="1"/>
  <c r="J1322" i="1"/>
  <c r="I1322" i="1"/>
  <c r="J2047" i="1"/>
  <c r="I2047" i="1"/>
  <c r="J2057" i="1"/>
  <c r="I2057" i="1"/>
  <c r="J2058" i="1"/>
  <c r="I2058" i="1"/>
  <c r="J2051" i="1"/>
  <c r="I2051" i="1"/>
  <c r="J2065" i="1"/>
  <c r="I2065" i="1"/>
  <c r="J2059" i="1"/>
  <c r="I2059" i="1"/>
  <c r="J2075" i="1"/>
  <c r="I2075" i="1"/>
  <c r="J2070" i="1"/>
  <c r="I2070" i="1"/>
  <c r="J1333" i="1"/>
  <c r="I1333" i="1"/>
  <c r="J2082" i="1"/>
  <c r="I2082" i="1"/>
  <c r="J2076" i="1"/>
  <c r="I2076" i="1"/>
  <c r="J2093" i="1"/>
  <c r="I2093" i="1"/>
  <c r="J2090" i="1"/>
  <c r="I2090" i="1"/>
  <c r="J2091" i="1"/>
  <c r="I2091" i="1"/>
  <c r="J2099" i="1"/>
  <c r="I2099" i="1"/>
  <c r="J2100" i="1"/>
  <c r="I2100" i="1"/>
  <c r="J2497" i="1"/>
  <c r="I2497" i="1"/>
  <c r="J2500" i="1"/>
  <c r="I2500" i="1"/>
  <c r="J2517" i="1"/>
  <c r="I2517" i="1"/>
  <c r="J2514" i="1"/>
  <c r="I2514" i="1"/>
  <c r="J2507" i="1"/>
  <c r="I2507" i="1"/>
  <c r="J2518" i="1"/>
  <c r="I2518" i="1"/>
  <c r="J2522" i="1"/>
  <c r="I2522" i="1"/>
  <c r="J2533" i="1"/>
  <c r="I2533" i="1"/>
  <c r="J2530" i="1"/>
  <c r="I2530" i="1"/>
  <c r="J2543" i="1"/>
  <c r="I2543" i="1"/>
  <c r="J2542" i="1"/>
  <c r="I2542" i="1"/>
  <c r="J2539" i="1"/>
  <c r="I2539" i="1"/>
  <c r="J2551" i="1"/>
  <c r="I2551" i="1"/>
  <c r="J2548" i="1"/>
  <c r="I2548" i="1"/>
  <c r="J859" i="1"/>
  <c r="I859" i="1"/>
  <c r="J860" i="1"/>
  <c r="I860" i="1"/>
  <c r="J853" i="1"/>
  <c r="I853" i="1"/>
  <c r="J868" i="1"/>
  <c r="I868" i="1"/>
  <c r="J862" i="1"/>
  <c r="I862" i="1"/>
  <c r="J873" i="1"/>
  <c r="I873" i="1"/>
  <c r="J874" i="1"/>
  <c r="I874" i="1"/>
  <c r="J887" i="1"/>
  <c r="I887" i="1"/>
  <c r="J884" i="1"/>
  <c r="I884" i="1"/>
  <c r="J885" i="1"/>
  <c r="I885" i="1"/>
  <c r="J895" i="1"/>
  <c r="I895" i="1"/>
  <c r="J889" i="1"/>
  <c r="I889" i="1"/>
  <c r="J907" i="1"/>
  <c r="I907" i="1"/>
  <c r="J908" i="1"/>
  <c r="I908" i="1"/>
  <c r="J904" i="1"/>
  <c r="I904" i="1"/>
  <c r="J915" i="1"/>
  <c r="I915" i="1"/>
  <c r="J909" i="1"/>
  <c r="I909" i="1"/>
  <c r="J921" i="1"/>
  <c r="I921" i="1"/>
  <c r="J922" i="1"/>
  <c r="I922" i="1"/>
  <c r="J935" i="1"/>
  <c r="I935" i="1"/>
  <c r="J932" i="1"/>
  <c r="I932" i="1"/>
  <c r="J933" i="1"/>
  <c r="I933" i="1"/>
  <c r="J945" i="1"/>
  <c r="I945" i="1"/>
  <c r="J938" i="1"/>
  <c r="I938" i="1"/>
  <c r="J952" i="1"/>
  <c r="I952" i="1"/>
  <c r="J946" i="1"/>
  <c r="I946" i="1"/>
  <c r="J963" i="1"/>
  <c r="I963" i="1"/>
  <c r="J964" i="1"/>
  <c r="I964" i="1"/>
  <c r="J957" i="1"/>
  <c r="I957" i="1"/>
  <c r="J1584" i="1"/>
  <c r="I1584" i="1"/>
  <c r="J1403" i="1"/>
  <c r="I1403" i="1"/>
  <c r="J1402" i="1"/>
  <c r="I1402" i="1"/>
  <c r="J1555" i="1"/>
  <c r="I1555" i="1"/>
  <c r="J1410" i="1"/>
  <c r="I1410" i="1"/>
  <c r="J1411" i="1"/>
  <c r="I1411" i="1"/>
  <c r="J1528" i="1"/>
  <c r="I1528" i="1"/>
  <c r="J1560" i="1"/>
  <c r="I1560" i="1"/>
  <c r="J1417" i="1"/>
  <c r="I1417" i="1"/>
  <c r="J1416" i="1"/>
  <c r="I1416" i="1"/>
  <c r="J1562" i="1"/>
  <c r="I1562" i="1"/>
  <c r="J1426" i="1"/>
  <c r="I1426" i="1"/>
  <c r="J1427" i="1"/>
  <c r="I1427" i="1"/>
  <c r="J1533" i="1"/>
  <c r="I1533" i="1"/>
  <c r="J1567" i="1"/>
  <c r="I1567" i="1"/>
  <c r="J1430" i="1"/>
  <c r="I1430" i="1"/>
  <c r="J1431" i="1"/>
  <c r="I1431" i="1"/>
  <c r="J1571" i="1"/>
  <c r="I1571" i="1"/>
  <c r="J1441" i="1"/>
  <c r="I1441" i="1"/>
  <c r="J1437" i="1"/>
  <c r="I1437" i="1"/>
  <c r="J1450" i="1"/>
  <c r="I1450" i="1"/>
  <c r="J1449" i="1"/>
  <c r="I1449" i="1"/>
  <c r="J1542" i="1"/>
  <c r="I1542" i="1"/>
  <c r="J1454" i="1"/>
  <c r="I1454" i="1"/>
  <c r="J1543" i="1"/>
  <c r="I1543" i="1"/>
  <c r="J1456" i="1"/>
  <c r="I1456" i="1"/>
  <c r="J1546" i="1"/>
  <c r="I1546" i="1"/>
  <c r="J1467" i="1"/>
  <c r="I1467" i="1"/>
  <c r="J1468" i="1"/>
  <c r="I1468" i="1"/>
  <c r="J1548" i="1"/>
  <c r="I1548" i="1"/>
  <c r="J1474" i="1"/>
  <c r="I1474" i="1"/>
  <c r="J1473" i="1"/>
  <c r="I1473" i="1"/>
  <c r="J1550" i="1"/>
  <c r="I1550" i="1"/>
  <c r="J1481" i="1"/>
  <c r="I1481" i="1"/>
  <c r="J1483" i="1"/>
  <c r="I1483" i="1"/>
  <c r="J1551" i="1"/>
  <c r="I1551" i="1"/>
  <c r="J1580" i="1"/>
  <c r="I1580" i="1"/>
  <c r="J3322" i="1"/>
  <c r="I3322" i="1"/>
  <c r="J3325" i="1"/>
  <c r="I3325" i="1"/>
  <c r="J3047" i="1"/>
  <c r="I3047" i="1"/>
  <c r="J3050" i="1"/>
  <c r="I3050" i="1"/>
  <c r="J1592" i="1"/>
  <c r="I1592" i="1"/>
  <c r="J1589" i="1"/>
  <c r="I1589" i="1"/>
  <c r="J1599" i="1"/>
  <c r="I1599" i="1"/>
  <c r="J1596" i="1"/>
  <c r="I1596" i="1"/>
  <c r="J1602" i="1"/>
  <c r="I1602" i="1"/>
  <c r="J1605" i="1"/>
  <c r="I1605" i="1"/>
  <c r="J1611" i="1"/>
  <c r="I1611" i="1"/>
  <c r="J1612" i="1"/>
  <c r="I1612" i="1"/>
  <c r="J1618" i="1"/>
  <c r="I1618" i="1"/>
  <c r="J1621" i="1"/>
  <c r="I1621" i="1"/>
  <c r="J1626" i="1"/>
  <c r="I1626" i="1"/>
  <c r="J1627" i="1"/>
  <c r="I1627" i="1"/>
  <c r="J1633" i="1"/>
  <c r="I1633" i="1"/>
  <c r="J1634" i="1"/>
  <c r="I1634" i="1"/>
  <c r="J1644" i="1"/>
  <c r="I1644" i="1"/>
  <c r="J1652" i="1"/>
  <c r="I1652" i="1"/>
  <c r="J1649" i="1"/>
  <c r="I1649" i="1"/>
  <c r="J1654" i="1"/>
  <c r="I1654" i="1"/>
  <c r="J1656" i="1"/>
  <c r="I1656" i="1"/>
  <c r="J1665" i="1"/>
  <c r="I1665" i="1"/>
  <c r="J1664" i="1"/>
  <c r="I1664" i="1"/>
  <c r="J1674" i="1"/>
  <c r="I1674" i="1"/>
  <c r="J1307" i="1"/>
  <c r="I1307" i="1"/>
  <c r="J2829" i="1"/>
  <c r="I2829" i="1"/>
  <c r="J1308" i="1"/>
  <c r="I1308" i="1"/>
  <c r="J2836" i="1"/>
  <c r="I2836" i="1"/>
  <c r="J1310" i="1"/>
  <c r="I1310" i="1"/>
  <c r="J2838" i="1"/>
  <c r="I2838" i="1"/>
  <c r="J2844" i="1"/>
  <c r="I2844" i="1"/>
  <c r="J1314" i="1"/>
  <c r="I1314" i="1"/>
  <c r="J1319" i="1"/>
  <c r="I1319" i="1"/>
  <c r="J1486" i="1"/>
  <c r="I1486" i="1"/>
  <c r="J1494" i="1"/>
  <c r="I1494" i="1"/>
  <c r="J1497" i="1"/>
  <c r="I1497" i="1"/>
  <c r="J1501" i="1"/>
  <c r="I1501" i="1"/>
  <c r="J1505" i="1"/>
  <c r="I1505" i="1"/>
  <c r="J1509" i="1"/>
  <c r="I1509" i="1"/>
  <c r="J1514" i="1"/>
  <c r="I1514" i="1"/>
  <c r="J1517" i="1"/>
  <c r="I1517" i="1"/>
  <c r="J1520" i="1"/>
  <c r="I1520" i="1"/>
  <c r="J1526" i="1"/>
  <c r="I1526" i="1"/>
  <c r="J600" i="1"/>
  <c r="I600" i="1"/>
  <c r="J598" i="1"/>
  <c r="I598" i="1"/>
  <c r="J592" i="1"/>
  <c r="I592" i="1"/>
  <c r="J740" i="1"/>
  <c r="I740" i="1"/>
  <c r="J735" i="1"/>
  <c r="I735" i="1"/>
  <c r="J971" i="1"/>
  <c r="I971" i="1"/>
  <c r="J966" i="1"/>
  <c r="I966" i="1"/>
  <c r="J613" i="1"/>
  <c r="I613" i="1"/>
  <c r="J610" i="1"/>
  <c r="I610" i="1"/>
  <c r="J603" i="1"/>
  <c r="I603" i="1"/>
  <c r="J751" i="1"/>
  <c r="I751" i="1"/>
  <c r="J752" i="1"/>
  <c r="I752" i="1"/>
  <c r="J747" i="1"/>
  <c r="I747" i="1"/>
  <c r="J979" i="1"/>
  <c r="I979" i="1"/>
  <c r="J625" i="1"/>
  <c r="I625" i="1"/>
  <c r="J619" i="1"/>
  <c r="I619" i="1"/>
  <c r="J620" i="1"/>
  <c r="I620" i="1"/>
  <c r="J762" i="1"/>
  <c r="I762" i="1"/>
  <c r="J759" i="1"/>
  <c r="I759" i="1"/>
  <c r="J753" i="1"/>
  <c r="I753" i="1"/>
  <c r="J984" i="1"/>
  <c r="I984" i="1"/>
  <c r="J983" i="1"/>
  <c r="I983" i="1"/>
  <c r="J630" i="1"/>
  <c r="I630" i="1"/>
  <c r="J640" i="1"/>
  <c r="I640" i="1"/>
  <c r="J631" i="1"/>
  <c r="I631" i="1"/>
  <c r="J764" i="1"/>
  <c r="I764" i="1"/>
  <c r="J767" i="1"/>
  <c r="I767" i="1"/>
  <c r="J993" i="1"/>
  <c r="I993" i="1"/>
  <c r="J995" i="1"/>
  <c r="I995" i="1"/>
  <c r="J991" i="1"/>
  <c r="I991" i="1"/>
  <c r="J645" i="1"/>
  <c r="I645" i="1"/>
  <c r="J646" i="1"/>
  <c r="I646" i="1"/>
  <c r="J783" i="1"/>
  <c r="I783" i="1"/>
  <c r="J775" i="1"/>
  <c r="I775" i="1"/>
  <c r="J776" i="1"/>
  <c r="I776" i="1"/>
  <c r="J1000" i="1"/>
  <c r="I1000" i="1"/>
  <c r="J999" i="1"/>
  <c r="I999" i="1"/>
  <c r="J654" i="1"/>
  <c r="I654" i="1"/>
  <c r="J658" i="1"/>
  <c r="I658" i="1"/>
  <c r="J659" i="1"/>
  <c r="I659" i="1"/>
  <c r="J785" i="1"/>
  <c r="I785" i="1"/>
  <c r="J786" i="1"/>
  <c r="I786" i="1"/>
  <c r="J1007" i="1"/>
  <c r="I1007" i="1"/>
  <c r="J672" i="1"/>
  <c r="I672" i="1"/>
  <c r="J673" i="1"/>
  <c r="I673" i="1"/>
  <c r="J670" i="1"/>
  <c r="I670" i="1"/>
  <c r="J794" i="1"/>
  <c r="I794" i="1"/>
  <c r="J796" i="1"/>
  <c r="I796" i="1"/>
  <c r="J1009" i="1"/>
  <c r="I1009" i="1"/>
  <c r="J1010" i="1"/>
  <c r="I1010" i="1"/>
  <c r="J683" i="1"/>
  <c r="I683" i="1"/>
  <c r="J684" i="1"/>
  <c r="I684" i="1"/>
  <c r="J676" i="1"/>
  <c r="I676" i="1"/>
  <c r="J810" i="1"/>
  <c r="I810" i="1"/>
  <c r="J806" i="1"/>
  <c r="I806" i="1"/>
  <c r="J1023" i="1"/>
  <c r="I1023" i="1"/>
  <c r="J1019" i="1"/>
  <c r="I1019" i="1"/>
  <c r="J1020" i="1"/>
  <c r="I1020" i="1"/>
  <c r="J687" i="1"/>
  <c r="I687" i="1"/>
  <c r="J691" i="1"/>
  <c r="I691" i="1"/>
  <c r="J692" i="1"/>
  <c r="I692" i="1"/>
  <c r="J813" i="1"/>
  <c r="I813" i="1"/>
  <c r="J816" i="1"/>
  <c r="I816" i="1"/>
  <c r="J1024" i="1"/>
  <c r="I1024" i="1"/>
  <c r="J1025" i="1"/>
  <c r="I1025" i="1"/>
  <c r="J708" i="1"/>
  <c r="I708" i="1"/>
  <c r="J705" i="1"/>
  <c r="I705" i="1"/>
  <c r="J698" i="1"/>
  <c r="I698" i="1"/>
  <c r="J830" i="1"/>
  <c r="I830" i="1"/>
  <c r="J831" i="1"/>
  <c r="I831" i="1"/>
  <c r="J828" i="1"/>
  <c r="I828" i="1"/>
  <c r="J1038" i="1"/>
  <c r="I1038" i="1"/>
  <c r="J1035" i="1"/>
  <c r="I1035" i="1"/>
  <c r="J711" i="1"/>
  <c r="I711" i="1"/>
  <c r="J715" i="1"/>
  <c r="I715" i="1"/>
  <c r="J837" i="1"/>
  <c r="I837" i="1"/>
  <c r="J839" i="1"/>
  <c r="I839" i="1"/>
  <c r="J1039" i="1"/>
  <c r="I1039" i="1"/>
  <c r="J1040" i="1"/>
  <c r="I1040" i="1"/>
  <c r="J732" i="1"/>
  <c r="I732" i="1"/>
  <c r="J729" i="1"/>
  <c r="I729" i="1"/>
  <c r="J722" i="1"/>
  <c r="I722" i="1"/>
  <c r="J847" i="1"/>
  <c r="I847" i="1"/>
  <c r="J849" i="1"/>
  <c r="I849" i="1"/>
  <c r="J841" i="1"/>
  <c r="I841" i="1"/>
  <c r="J1051" i="1"/>
  <c r="I1051" i="1"/>
  <c r="J1264" i="1"/>
  <c r="I1264" i="1"/>
  <c r="J1839" i="1"/>
  <c r="I1839" i="1"/>
  <c r="J1907" i="1"/>
  <c r="I1907" i="1"/>
  <c r="J1267" i="1"/>
  <c r="I1267" i="1"/>
  <c r="J1843" i="1"/>
  <c r="I1843" i="1"/>
  <c r="J1844" i="1"/>
  <c r="I1844" i="1"/>
  <c r="J1918" i="1"/>
  <c r="I1918" i="1"/>
  <c r="J1919" i="1"/>
  <c r="I1919" i="1"/>
  <c r="J1911" i="1"/>
  <c r="I1911" i="1"/>
  <c r="J1269" i="1"/>
  <c r="I1269" i="1"/>
  <c r="J1853" i="1"/>
  <c r="I1853" i="1"/>
  <c r="J1925" i="1"/>
  <c r="I1925" i="1"/>
  <c r="J1924" i="1"/>
  <c r="I1924" i="1"/>
  <c r="J1860" i="1"/>
  <c r="I1860" i="1"/>
  <c r="J1861" i="1"/>
  <c r="I1861" i="1"/>
  <c r="J1936" i="1"/>
  <c r="I1936" i="1"/>
  <c r="J1937" i="1"/>
  <c r="I1937" i="1"/>
  <c r="J1934" i="1"/>
  <c r="I1934" i="1"/>
  <c r="J1863" i="1"/>
  <c r="I1863" i="1"/>
  <c r="J1865" i="1"/>
  <c r="I1865" i="1"/>
  <c r="J1942" i="1"/>
  <c r="I1942" i="1"/>
  <c r="J1874" i="1"/>
  <c r="I1874" i="1"/>
  <c r="J1876" i="1"/>
  <c r="I1876" i="1"/>
  <c r="J1951" i="1"/>
  <c r="I1951" i="1"/>
  <c r="J1953" i="1"/>
  <c r="I1953" i="1"/>
  <c r="J1879" i="1"/>
  <c r="I1879" i="1"/>
  <c r="J1955" i="1"/>
  <c r="I1955" i="1"/>
  <c r="J1882" i="1"/>
  <c r="I1882" i="1"/>
  <c r="J1956" i="1"/>
  <c r="I1956" i="1"/>
  <c r="J1958" i="1"/>
  <c r="I1958" i="1"/>
  <c r="J1885" i="1"/>
  <c r="I1885" i="1"/>
  <c r="J1968" i="1"/>
  <c r="I1968" i="1"/>
  <c r="J1967" i="1"/>
  <c r="I1967" i="1"/>
  <c r="J1893" i="1"/>
  <c r="I1893" i="1"/>
  <c r="J1888" i="1"/>
  <c r="I1888" i="1"/>
  <c r="J1973" i="1"/>
  <c r="I1973" i="1"/>
  <c r="J1974" i="1"/>
  <c r="I1974" i="1"/>
  <c r="J1279" i="1"/>
  <c r="I1279" i="1"/>
  <c r="J1897" i="1"/>
  <c r="I1897" i="1"/>
  <c r="J1984" i="1"/>
  <c r="I1984" i="1"/>
  <c r="J1904" i="1"/>
  <c r="I1904" i="1"/>
  <c r="J1901" i="1"/>
  <c r="I1901" i="1"/>
  <c r="J1993" i="1"/>
  <c r="I1993" i="1"/>
  <c r="J1994" i="1"/>
  <c r="I1994" i="1"/>
  <c r="J3181" i="1"/>
  <c r="I3181" i="1"/>
  <c r="J3170" i="1"/>
  <c r="I3170" i="1"/>
  <c r="J3182" i="1"/>
  <c r="I3182" i="1"/>
  <c r="J3178" i="1"/>
  <c r="I3178" i="1"/>
  <c r="J3179" i="1"/>
  <c r="I3179" i="1"/>
  <c r="J2739" i="1"/>
  <c r="I2739" i="1"/>
  <c r="J2740" i="1"/>
  <c r="I2740" i="1"/>
  <c r="J2744" i="1"/>
  <c r="I2744" i="1"/>
  <c r="J2748" i="1"/>
  <c r="I2748" i="1"/>
  <c r="J2754" i="1"/>
  <c r="I2754" i="1"/>
  <c r="J2757" i="1"/>
  <c r="I2757" i="1"/>
  <c r="J3447" i="1"/>
  <c r="I3447" i="1"/>
  <c r="J3503" i="1"/>
  <c r="I3503" i="1"/>
  <c r="J3505" i="1"/>
  <c r="I3505" i="1"/>
  <c r="J3452" i="1"/>
  <c r="I3452" i="1"/>
  <c r="J3510" i="1"/>
  <c r="I3510" i="1"/>
  <c r="J3456" i="1"/>
  <c r="I3456" i="1"/>
  <c r="J3517" i="1"/>
  <c r="I3517" i="1"/>
  <c r="J3519" i="1"/>
  <c r="I3519" i="1"/>
  <c r="J3458" i="1"/>
  <c r="I3458" i="1"/>
  <c r="J3526" i="1"/>
  <c r="I3526" i="1"/>
  <c r="J3461" i="1"/>
  <c r="I3461" i="1"/>
  <c r="J3529" i="1"/>
  <c r="I3529" i="1"/>
  <c r="J3466" i="1"/>
  <c r="I3466" i="1"/>
  <c r="J3469" i="1"/>
  <c r="I3469" i="1"/>
  <c r="J3536" i="1"/>
  <c r="I3536" i="1"/>
  <c r="J3539" i="1"/>
  <c r="I3539" i="1"/>
  <c r="J3543" i="1"/>
  <c r="I3543" i="1"/>
  <c r="J1300" i="1"/>
  <c r="I1300" i="1"/>
  <c r="J1302" i="1"/>
  <c r="I1302" i="1"/>
  <c r="J1304" i="1"/>
  <c r="I1304" i="1"/>
  <c r="J1679" i="1"/>
  <c r="I1679" i="1"/>
  <c r="J1678" i="1"/>
  <c r="I1678" i="1"/>
  <c r="J1686" i="1"/>
  <c r="I1686" i="1"/>
  <c r="J1685" i="1"/>
  <c r="I1685" i="1"/>
  <c r="J1694" i="1"/>
  <c r="I1694" i="1"/>
  <c r="J1693" i="1"/>
  <c r="I1693" i="1"/>
  <c r="J1698" i="1"/>
  <c r="I1698" i="1"/>
  <c r="J1699" i="1"/>
  <c r="I1699" i="1"/>
  <c r="J1707" i="1"/>
  <c r="I1707" i="1"/>
  <c r="J1708" i="1"/>
  <c r="I1708" i="1"/>
  <c r="J1715" i="1"/>
  <c r="I1715" i="1"/>
  <c r="J1716" i="1"/>
  <c r="I1716" i="1"/>
  <c r="J1728" i="1"/>
  <c r="I1728" i="1"/>
  <c r="J1736" i="1"/>
  <c r="I1736" i="1"/>
  <c r="J1735" i="1"/>
  <c r="I1735" i="1"/>
  <c r="J1742" i="1"/>
  <c r="I1742" i="1"/>
  <c r="J1739" i="1"/>
  <c r="I1739" i="1"/>
  <c r="J1747" i="1"/>
  <c r="I1747" i="1"/>
  <c r="J1749" i="1"/>
  <c r="I1749" i="1"/>
  <c r="J1753" i="1"/>
  <c r="I1753" i="1"/>
  <c r="J3136" i="1"/>
  <c r="I3136" i="1"/>
  <c r="J2001" i="1"/>
  <c r="I2001" i="1"/>
  <c r="J1999" i="1"/>
  <c r="I1999" i="1"/>
  <c r="J1321" i="1"/>
  <c r="I1321" i="1"/>
  <c r="J2011" i="1"/>
  <c r="I2011" i="1"/>
  <c r="J2012" i="1"/>
  <c r="I2012" i="1"/>
  <c r="J2005" i="1"/>
  <c r="I2005" i="1"/>
  <c r="J2015" i="1"/>
  <c r="I2015" i="1"/>
  <c r="J2016" i="1"/>
  <c r="I2016" i="1"/>
  <c r="J1329" i="1"/>
  <c r="I1329" i="1"/>
  <c r="J2025" i="1"/>
  <c r="I2025" i="1"/>
  <c r="J2026" i="1"/>
  <c r="I2026" i="1"/>
  <c r="J1330" i="1"/>
  <c r="I1330" i="1"/>
  <c r="J2035" i="1"/>
  <c r="I2035" i="1"/>
  <c r="J2033" i="1"/>
  <c r="I2033" i="1"/>
  <c r="J2048" i="1"/>
  <c r="I2048" i="1"/>
  <c r="J2045" i="1"/>
  <c r="I2045" i="1"/>
  <c r="J2050" i="1"/>
  <c r="I2050" i="1"/>
  <c r="J2054" i="1"/>
  <c r="I2054" i="1"/>
  <c r="J2055" i="1"/>
  <c r="I2055" i="1"/>
  <c r="J2066" i="1"/>
  <c r="I2066" i="1"/>
  <c r="J2060" i="1"/>
  <c r="I2060" i="1"/>
  <c r="J2069" i="1"/>
  <c r="I2069" i="1"/>
  <c r="J2067" i="1"/>
  <c r="I2067" i="1"/>
  <c r="J2085" i="1"/>
  <c r="I2085" i="1"/>
  <c r="J2084" i="1"/>
  <c r="I2084" i="1"/>
  <c r="J2077" i="1"/>
  <c r="I2077" i="1"/>
  <c r="J2088" i="1"/>
  <c r="I2088" i="1"/>
  <c r="J2089" i="1"/>
  <c r="I2089" i="1"/>
  <c r="J2097" i="1"/>
  <c r="I2097" i="1"/>
  <c r="J2098" i="1"/>
  <c r="I2098" i="1"/>
  <c r="J2506" i="1"/>
  <c r="I2506" i="1"/>
  <c r="J2498" i="1"/>
  <c r="I2498" i="1"/>
  <c r="J2499" i="1"/>
  <c r="I2499" i="1"/>
  <c r="J2515" i="1"/>
  <c r="I2515" i="1"/>
  <c r="J2516" i="1"/>
  <c r="I2516" i="1"/>
  <c r="J2509" i="1"/>
  <c r="I2509" i="1"/>
  <c r="J2520" i="1"/>
  <c r="I2520" i="1"/>
  <c r="J2521" i="1"/>
  <c r="I2521" i="1"/>
  <c r="J2528" i="1"/>
  <c r="I2528" i="1"/>
  <c r="J2529" i="1"/>
  <c r="I2529" i="1"/>
  <c r="J2541" i="1"/>
  <c r="I2541" i="1"/>
  <c r="J2538" i="1"/>
  <c r="I2538" i="1"/>
  <c r="J2550" i="1"/>
  <c r="I2550" i="1"/>
  <c r="J2547" i="1"/>
  <c r="I2547" i="1"/>
  <c r="J2552" i="1"/>
  <c r="I2552" i="1"/>
  <c r="J852" i="1"/>
  <c r="I852" i="1"/>
  <c r="J856" i="1"/>
  <c r="I856" i="1"/>
  <c r="J857" i="1"/>
  <c r="I857" i="1"/>
  <c r="J870" i="1"/>
  <c r="I870" i="1"/>
  <c r="J863" i="1"/>
  <c r="I863" i="1"/>
  <c r="J877" i="1"/>
  <c r="I877" i="1"/>
  <c r="J871" i="1"/>
  <c r="I871" i="1"/>
  <c r="J882" i="1"/>
  <c r="I882" i="1"/>
  <c r="J883" i="1"/>
  <c r="I883" i="1"/>
  <c r="J897" i="1"/>
  <c r="I897" i="1"/>
  <c r="J898" i="1"/>
  <c r="I898" i="1"/>
  <c r="J890" i="1"/>
  <c r="I890" i="1"/>
  <c r="J899" i="1"/>
  <c r="I899" i="1"/>
  <c r="J903" i="1"/>
  <c r="I903" i="1"/>
  <c r="J918" i="1"/>
  <c r="I918" i="1"/>
  <c r="J917" i="1"/>
  <c r="I917" i="1"/>
  <c r="J910" i="1"/>
  <c r="I910" i="1"/>
  <c r="J925" i="1"/>
  <c r="I925" i="1"/>
  <c r="J919" i="1"/>
  <c r="I919" i="1"/>
  <c r="J930" i="1"/>
  <c r="I930" i="1"/>
  <c r="J931" i="1"/>
  <c r="I931" i="1"/>
  <c r="J944" i="1"/>
  <c r="I944" i="1"/>
  <c r="J941" i="1"/>
  <c r="I941" i="1"/>
  <c r="J942" i="1"/>
  <c r="I942" i="1"/>
  <c r="J954" i="1"/>
  <c r="I954" i="1"/>
  <c r="J947" i="1"/>
  <c r="I947" i="1"/>
  <c r="J956" i="1"/>
  <c r="I956" i="1"/>
  <c r="J960" i="1"/>
  <c r="I960" i="1"/>
  <c r="J961" i="1"/>
  <c r="I961" i="1"/>
  <c r="J1262" i="1"/>
  <c r="I1262" i="1"/>
  <c r="J3318" i="1"/>
  <c r="I3318" i="1"/>
  <c r="J3367" i="1"/>
  <c r="I3367" i="1"/>
  <c r="J3369" i="1"/>
  <c r="I3369" i="1"/>
  <c r="J3434" i="1"/>
  <c r="I3434" i="1"/>
  <c r="J3489" i="1"/>
  <c r="I3489" i="1"/>
  <c r="J3647" i="1"/>
  <c r="I3647" i="1"/>
  <c r="J3684" i="1"/>
  <c r="I3684" i="1"/>
  <c r="J3319" i="1"/>
  <c r="I3319" i="1"/>
  <c r="J3379" i="1"/>
  <c r="I3379" i="1"/>
  <c r="J3491" i="1"/>
  <c r="I3491" i="1"/>
  <c r="J3625" i="1"/>
  <c r="I3625" i="1"/>
  <c r="J3387" i="1"/>
  <c r="I3387" i="1"/>
  <c r="J3386" i="1"/>
  <c r="I3386" i="1"/>
  <c r="J3439" i="1"/>
  <c r="I3439" i="1"/>
  <c r="J3630" i="1"/>
  <c r="I3630" i="1"/>
  <c r="J3686" i="1"/>
  <c r="I3686" i="1"/>
  <c r="J3394" i="1"/>
  <c r="I3394" i="1"/>
  <c r="J3393" i="1"/>
  <c r="I3393" i="1"/>
  <c r="J3443" i="1"/>
  <c r="I3443" i="1"/>
  <c r="J3635" i="1"/>
  <c r="I3635" i="1"/>
  <c r="J3687" i="1"/>
  <c r="I3687" i="1"/>
  <c r="J3400" i="1"/>
  <c r="I3400" i="1"/>
  <c r="J3402" i="1"/>
  <c r="I3402" i="1"/>
  <c r="J3637" i="1"/>
  <c r="I3637" i="1"/>
  <c r="J3688" i="1"/>
  <c r="I3688" i="1"/>
  <c r="J3407" i="1"/>
  <c r="I3407" i="1"/>
  <c r="J3692" i="1"/>
  <c r="I3692" i="1"/>
  <c r="J3691" i="1"/>
  <c r="I3691" i="1"/>
  <c r="J3412" i="1"/>
  <c r="I3412" i="1"/>
  <c r="J3640" i="1"/>
  <c r="I3640" i="1"/>
  <c r="J3717" i="1"/>
  <c r="I3717" i="1"/>
  <c r="J3417" i="1"/>
  <c r="I3417" i="1"/>
  <c r="J3501" i="1"/>
  <c r="I3501" i="1"/>
  <c r="J3697" i="1"/>
  <c r="I3697" i="1"/>
  <c r="J1401" i="1"/>
  <c r="I1401" i="1"/>
  <c r="J1399" i="1"/>
  <c r="I1399" i="1"/>
  <c r="J1556" i="1"/>
  <c r="I1556" i="1"/>
  <c r="J1404" i="1"/>
  <c r="I1404" i="1"/>
  <c r="J1406" i="1"/>
  <c r="I1406" i="1"/>
  <c r="J1529" i="1"/>
  <c r="I1529" i="1"/>
  <c r="J1559" i="1"/>
  <c r="I1559" i="1"/>
  <c r="J1419" i="1"/>
  <c r="I1419" i="1"/>
  <c r="J1532" i="1"/>
  <c r="I1532" i="1"/>
  <c r="J1563" i="1"/>
  <c r="I1563" i="1"/>
  <c r="J1420" i="1"/>
  <c r="I1420" i="1"/>
  <c r="J1422" i="1"/>
  <c r="I1422" i="1"/>
  <c r="J1534" i="1"/>
  <c r="I1534" i="1"/>
  <c r="J1566" i="1"/>
  <c r="I1566" i="1"/>
  <c r="J1432" i="1"/>
  <c r="I1432" i="1"/>
  <c r="J1538" i="1"/>
  <c r="I1538" i="1"/>
  <c r="J1569" i="1"/>
  <c r="I1569" i="1"/>
  <c r="J1436" i="1"/>
  <c r="I1436" i="1"/>
  <c r="J1438" i="1"/>
  <c r="I1438" i="1"/>
  <c r="J1448" i="1"/>
  <c r="I1448" i="1"/>
  <c r="J1445" i="1"/>
  <c r="I1445" i="1"/>
  <c r="J1541" i="1"/>
  <c r="I1541" i="1"/>
  <c r="J1452" i="1"/>
  <c r="I1452" i="1"/>
  <c r="J1572" i="1"/>
  <c r="I1572" i="1"/>
  <c r="J1458" i="1"/>
  <c r="I1458" i="1"/>
  <c r="J1545" i="1"/>
  <c r="I1545" i="1"/>
  <c r="J1461" i="1"/>
  <c r="I1461" i="1"/>
  <c r="J1464" i="1"/>
  <c r="I1464" i="1"/>
  <c r="J1547" i="1"/>
  <c r="I1547" i="1"/>
  <c r="J1475" i="1"/>
  <c r="I1475" i="1"/>
  <c r="J1476" i="1"/>
  <c r="I1476" i="1"/>
  <c r="J1549" i="1"/>
  <c r="I1549" i="1"/>
  <c r="J1482" i="1"/>
  <c r="I1482" i="1"/>
  <c r="J1478" i="1"/>
  <c r="I1478" i="1"/>
  <c r="J1552" i="1"/>
  <c r="I1552" i="1"/>
  <c r="J3045" i="1"/>
  <c r="I3045" i="1"/>
  <c r="J3046" i="1"/>
  <c r="I3046" i="1"/>
  <c r="J3324" i="1"/>
  <c r="I3324" i="1"/>
  <c r="J3048" i="1"/>
  <c r="I3048" i="1"/>
  <c r="J3329" i="1"/>
  <c r="I3329" i="1"/>
  <c r="J1587" i="1"/>
  <c r="I1587" i="1"/>
  <c r="J1588" i="1"/>
  <c r="I1588" i="1"/>
  <c r="J1594" i="1"/>
  <c r="I1594" i="1"/>
  <c r="J1595" i="1"/>
  <c r="I1595" i="1"/>
  <c r="J1603" i="1"/>
  <c r="I1603" i="1"/>
  <c r="J1604" i="1"/>
  <c r="I1604" i="1"/>
  <c r="J1615" i="1"/>
  <c r="I1615" i="1"/>
  <c r="J1610" i="1"/>
  <c r="I1610" i="1"/>
  <c r="J1619" i="1"/>
  <c r="I1619" i="1"/>
  <c r="J1620" i="1"/>
  <c r="I1620" i="1"/>
  <c r="J1630" i="1"/>
  <c r="I1630" i="1"/>
  <c r="J1629" i="1"/>
  <c r="I1629" i="1"/>
  <c r="J1637" i="1"/>
  <c r="I1637" i="1"/>
  <c r="J1636" i="1"/>
  <c r="I1636" i="1"/>
  <c r="J1646" i="1"/>
  <c r="I1646" i="1"/>
  <c r="J1647" i="1"/>
  <c r="I1647" i="1"/>
  <c r="J1648" i="1"/>
  <c r="I1648" i="1"/>
  <c r="J1655" i="1"/>
  <c r="I1655" i="1"/>
  <c r="J1657" i="1"/>
  <c r="I1657" i="1"/>
  <c r="J1667" i="1"/>
  <c r="I1667" i="1"/>
  <c r="J1673" i="1"/>
  <c r="I1673" i="1"/>
  <c r="J1670" i="1"/>
  <c r="I1670" i="1"/>
  <c r="J1306" i="1"/>
  <c r="I1306" i="1"/>
  <c r="J2828" i="1"/>
  <c r="I2828" i="1"/>
  <c r="J2835" i="1"/>
  <c r="I2835" i="1"/>
  <c r="J2833" i="1"/>
  <c r="I2833" i="1"/>
  <c r="J2837" i="1"/>
  <c r="I2837" i="1"/>
  <c r="J1313" i="1"/>
  <c r="I1313" i="1"/>
  <c r="J2843" i="1"/>
  <c r="I2843" i="1"/>
  <c r="J1316" i="1"/>
  <c r="I1316" i="1"/>
  <c r="J2970" i="1"/>
  <c r="I2970" i="1"/>
  <c r="J1487" i="1"/>
  <c r="I1487" i="1"/>
  <c r="J1491" i="1"/>
  <c r="I1491" i="1"/>
  <c r="J1498" i="1"/>
  <c r="I1498" i="1"/>
  <c r="J1502" i="1"/>
  <c r="I1502" i="1"/>
  <c r="J1506" i="1"/>
  <c r="I1506" i="1"/>
  <c r="J1507" i="1"/>
  <c r="I1507" i="1"/>
  <c r="J1511" i="1"/>
  <c r="I1511" i="1"/>
  <c r="J1515" i="1"/>
  <c r="I1515" i="1"/>
  <c r="J1521" i="1"/>
  <c r="I1521" i="1"/>
  <c r="J1523" i="1"/>
  <c r="I1523" i="1"/>
  <c r="J593" i="1"/>
  <c r="I593" i="1"/>
  <c r="J601" i="1"/>
  <c r="I601" i="1"/>
  <c r="J597" i="1"/>
  <c r="I597" i="1"/>
  <c r="J742" i="1"/>
  <c r="I742" i="1"/>
  <c r="J739" i="1"/>
  <c r="I739" i="1"/>
  <c r="J973" i="1"/>
  <c r="I973" i="1"/>
  <c r="J970" i="1"/>
  <c r="I970" i="1"/>
  <c r="J604" i="1"/>
  <c r="I604" i="1"/>
  <c r="J614" i="1"/>
  <c r="I614" i="1"/>
  <c r="J605" i="1"/>
  <c r="I605" i="1"/>
  <c r="J749" i="1"/>
  <c r="I749" i="1"/>
  <c r="J746" i="1"/>
  <c r="I746" i="1"/>
  <c r="J978" i="1"/>
  <c r="I978" i="1"/>
  <c r="J975" i="1"/>
  <c r="I975" i="1"/>
  <c r="J626" i="1"/>
  <c r="I626" i="1"/>
  <c r="J623" i="1"/>
  <c r="I623" i="1"/>
  <c r="J616" i="1"/>
  <c r="I616" i="1"/>
  <c r="J760" i="1"/>
  <c r="I760" i="1"/>
  <c r="J761" i="1"/>
  <c r="I761" i="1"/>
  <c r="J758" i="1"/>
  <c r="I758" i="1"/>
  <c r="J986" i="1"/>
  <c r="I986" i="1"/>
  <c r="J641" i="1"/>
  <c r="I641" i="1"/>
  <c r="J637" i="1"/>
  <c r="I637" i="1"/>
  <c r="J634" i="1"/>
  <c r="I634" i="1"/>
  <c r="J635" i="1"/>
  <c r="I635" i="1"/>
  <c r="J765" i="1"/>
  <c r="I765" i="1"/>
  <c r="J766" i="1"/>
  <c r="I766" i="1"/>
  <c r="J994" i="1"/>
  <c r="I994" i="1"/>
  <c r="J990" i="1"/>
  <c r="I990" i="1"/>
  <c r="J650" i="1"/>
  <c r="I650" i="1"/>
  <c r="J649" i="1"/>
  <c r="I649" i="1"/>
  <c r="J642" i="1"/>
  <c r="I642" i="1"/>
  <c r="J780" i="1"/>
  <c r="I780" i="1"/>
  <c r="J779" i="1"/>
  <c r="I779" i="1"/>
  <c r="J773" i="1"/>
  <c r="I773" i="1"/>
  <c r="J1001" i="1"/>
  <c r="I1001" i="1"/>
  <c r="J664" i="1"/>
  <c r="I664" i="1"/>
  <c r="J656" i="1"/>
  <c r="I656" i="1"/>
  <c r="J657" i="1"/>
  <c r="I657" i="1"/>
  <c r="J790" i="1"/>
  <c r="I790" i="1"/>
  <c r="J789" i="1"/>
  <c r="I789" i="1"/>
  <c r="J788" i="1"/>
  <c r="I788" i="1"/>
  <c r="J1004" i="1"/>
  <c r="I1004" i="1"/>
  <c r="J665" i="1"/>
  <c r="I665" i="1"/>
  <c r="J669" i="1"/>
  <c r="I669" i="1"/>
  <c r="J802" i="1"/>
  <c r="I802" i="1"/>
  <c r="J795" i="1"/>
  <c r="I795" i="1"/>
  <c r="J793" i="1"/>
  <c r="I793" i="1"/>
  <c r="J1013" i="1"/>
  <c r="I1013" i="1"/>
  <c r="J1012" i="1"/>
  <c r="I1012" i="1"/>
  <c r="J675" i="1"/>
  <c r="I675" i="1"/>
  <c r="J679" i="1"/>
  <c r="I679" i="1"/>
  <c r="J680" i="1"/>
  <c r="I680" i="1"/>
  <c r="J804" i="1"/>
  <c r="I804" i="1"/>
  <c r="J805" i="1"/>
  <c r="I805" i="1"/>
  <c r="J1017" i="1"/>
  <c r="I1017" i="1"/>
  <c r="J1018" i="1"/>
  <c r="I1018" i="1"/>
  <c r="J697" i="1"/>
  <c r="I697" i="1"/>
  <c r="J689" i="1"/>
  <c r="I689" i="1"/>
  <c r="J690" i="1"/>
  <c r="I690" i="1"/>
  <c r="J822" i="1"/>
  <c r="I822" i="1"/>
  <c r="J814" i="1"/>
  <c r="I814" i="1"/>
  <c r="J815" i="1"/>
  <c r="I815" i="1"/>
  <c r="J1028" i="1"/>
  <c r="I1028" i="1"/>
  <c r="J1027" i="1"/>
  <c r="I1027" i="1"/>
  <c r="J699" i="1"/>
  <c r="I699" i="1"/>
  <c r="J709" i="1"/>
  <c r="I709" i="1"/>
  <c r="J700" i="1"/>
  <c r="I700" i="1"/>
  <c r="J824" i="1"/>
  <c r="I824" i="1"/>
  <c r="J827" i="1"/>
  <c r="I827" i="1"/>
  <c r="J1037" i="1"/>
  <c r="I1037" i="1"/>
  <c r="J1034" i="1"/>
  <c r="I1034" i="1"/>
  <c r="J721" i="1"/>
  <c r="I721" i="1"/>
  <c r="J713" i="1"/>
  <c r="I713" i="1"/>
  <c r="J714" i="1"/>
  <c r="I714" i="1"/>
  <c r="J838" i="1"/>
  <c r="I838" i="1"/>
  <c r="J834" i="1"/>
  <c r="I834" i="1"/>
  <c r="J1043" i="1"/>
  <c r="I1043" i="1"/>
  <c r="J1042" i="1"/>
  <c r="I1042" i="1"/>
  <c r="J723" i="1"/>
  <c r="I723" i="1"/>
  <c r="J733" i="1"/>
  <c r="I733" i="1"/>
  <c r="J724" i="1"/>
  <c r="I724" i="1"/>
  <c r="J848" i="1"/>
  <c r="I848" i="1"/>
  <c r="J844" i="1"/>
  <c r="I844" i="1"/>
  <c r="J845" i="1"/>
  <c r="I845" i="1"/>
  <c r="J1048" i="1"/>
  <c r="I1048" i="1"/>
  <c r="J1265" i="1"/>
  <c r="I1265" i="1"/>
  <c r="J1841" i="1"/>
  <c r="I1841" i="1"/>
  <c r="J1908" i="1"/>
  <c r="I1908" i="1"/>
  <c r="J1851" i="1"/>
  <c r="I1851" i="1"/>
  <c r="J1847" i="1"/>
  <c r="I1847" i="1"/>
  <c r="J1846" i="1"/>
  <c r="I1846" i="1"/>
  <c r="J1910" i="1"/>
  <c r="I1910" i="1"/>
  <c r="J1914" i="1"/>
  <c r="I1914" i="1"/>
  <c r="J1915" i="1"/>
  <c r="I1915" i="1"/>
  <c r="J1270" i="1"/>
  <c r="I1270" i="1"/>
  <c r="J1928" i="1"/>
  <c r="I1928" i="1"/>
  <c r="J1927" i="1"/>
  <c r="I1927" i="1"/>
  <c r="J1272" i="1"/>
  <c r="I1272" i="1"/>
  <c r="J1855" i="1"/>
  <c r="I1855" i="1"/>
  <c r="J1857" i="1"/>
  <c r="I1857" i="1"/>
  <c r="J1929" i="1"/>
  <c r="I1929" i="1"/>
  <c r="J1933" i="1"/>
  <c r="I1933" i="1"/>
  <c r="J1274" i="1"/>
  <c r="I1274" i="1"/>
  <c r="J1866" i="1"/>
  <c r="I1866" i="1"/>
  <c r="J1945" i="1"/>
  <c r="I1945" i="1"/>
  <c r="J1944" i="1"/>
  <c r="I1944" i="1"/>
  <c r="J1875" i="1"/>
  <c r="I1875" i="1"/>
  <c r="J1871" i="1"/>
  <c r="I1871" i="1"/>
  <c r="J1952" i="1"/>
  <c r="I1952" i="1"/>
  <c r="J1948" i="1"/>
  <c r="I1948" i="1"/>
  <c r="J1877" i="1"/>
  <c r="I1877" i="1"/>
  <c r="J1954" i="1"/>
  <c r="I1954" i="1"/>
  <c r="J1963" i="1"/>
  <c r="I1963" i="1"/>
  <c r="J1959" i="1"/>
  <c r="I1959" i="1"/>
  <c r="J1276" i="1"/>
  <c r="I1276" i="1"/>
  <c r="J1887" i="1"/>
  <c r="I1887" i="1"/>
  <c r="J1970" i="1"/>
  <c r="I1970" i="1"/>
  <c r="J1277" i="1"/>
  <c r="I1277" i="1"/>
  <c r="J1895" i="1"/>
  <c r="I1895" i="1"/>
  <c r="J1892" i="1"/>
  <c r="I1892" i="1"/>
  <c r="J1977" i="1"/>
  <c r="I1977" i="1"/>
  <c r="J1971" i="1"/>
  <c r="I1971" i="1"/>
  <c r="J1278" i="1"/>
  <c r="I1278" i="1"/>
  <c r="J1898" i="1"/>
  <c r="I1898" i="1"/>
  <c r="J1986" i="1"/>
  <c r="I1986" i="1"/>
  <c r="J1903" i="1"/>
  <c r="I1903" i="1"/>
  <c r="J1992" i="1"/>
  <c r="I1992" i="1"/>
  <c r="J1989" i="1"/>
  <c r="I1989" i="1"/>
  <c r="J3165" i="1"/>
  <c r="I3165" i="1"/>
  <c r="J3169" i="1"/>
  <c r="I3169" i="1"/>
  <c r="J3171" i="1"/>
  <c r="I3171" i="1"/>
  <c r="J3174" i="1"/>
  <c r="I3174" i="1"/>
  <c r="J3176" i="1"/>
  <c r="I3176" i="1"/>
  <c r="J2736" i="1"/>
  <c r="I2736" i="1"/>
  <c r="J2737" i="1"/>
  <c r="I2737" i="1"/>
  <c r="J2741" i="1"/>
  <c r="I2741" i="1"/>
  <c r="J2746" i="1"/>
  <c r="I2746" i="1"/>
  <c r="J2749" i="1"/>
  <c r="I2749" i="1"/>
  <c r="J2753" i="1"/>
  <c r="I2753" i="1"/>
  <c r="J2758" i="1"/>
  <c r="I2758" i="1"/>
  <c r="J3449" i="1"/>
  <c r="I3449" i="1"/>
  <c r="J3504" i="1"/>
  <c r="I3504" i="1"/>
  <c r="J3506" i="1"/>
  <c r="I3506" i="1"/>
  <c r="J3516" i="1"/>
  <c r="I3516" i="1"/>
  <c r="J3513" i="1"/>
  <c r="I3513" i="1"/>
  <c r="J3454" i="1"/>
  <c r="I3454" i="1"/>
  <c r="J3520" i="1"/>
  <c r="I3520" i="1"/>
  <c r="J3459" i="1"/>
  <c r="I3459" i="1"/>
  <c r="J3527" i="1"/>
  <c r="I3527" i="1"/>
  <c r="J3528" i="1"/>
  <c r="I3528" i="1"/>
  <c r="J3464" i="1"/>
  <c r="I3464" i="1"/>
  <c r="J3531" i="1"/>
  <c r="I3531" i="1"/>
  <c r="J3535" i="1"/>
  <c r="I3535" i="1"/>
  <c r="J3467" i="1"/>
  <c r="I3467" i="1"/>
  <c r="J3537" i="1"/>
  <c r="I3537" i="1"/>
  <c r="J3540" i="1"/>
  <c r="I3540" i="1"/>
  <c r="J3544" i="1"/>
  <c r="I3544" i="1"/>
  <c r="J1299" i="1"/>
  <c r="I1299" i="1"/>
  <c r="J1301" i="1"/>
  <c r="I1301" i="1"/>
  <c r="J1305" i="1"/>
  <c r="I1305" i="1"/>
  <c r="J1681" i="1"/>
  <c r="I1681" i="1"/>
  <c r="J1687" i="1"/>
  <c r="I1687" i="1"/>
  <c r="J1689" i="1"/>
  <c r="I1689" i="1"/>
  <c r="J1697" i="1"/>
  <c r="I1697" i="1"/>
  <c r="J1696" i="1"/>
  <c r="I1696" i="1"/>
  <c r="J1706" i="1"/>
  <c r="I1706" i="1"/>
  <c r="J1702" i="1"/>
  <c r="I1702" i="1"/>
  <c r="J1701" i="1"/>
  <c r="I1701" i="1"/>
  <c r="J1711" i="1"/>
  <c r="I1711" i="1"/>
  <c r="J1710" i="1"/>
  <c r="I1710" i="1"/>
  <c r="J1719" i="1"/>
  <c r="I1719" i="1"/>
  <c r="J1718" i="1"/>
  <c r="I1718" i="1"/>
  <c r="J1725" i="1"/>
  <c r="I1725" i="1"/>
  <c r="J1734" i="1"/>
  <c r="I1734" i="1"/>
  <c r="J1731" i="1"/>
  <c r="I1731" i="1"/>
  <c r="J1737" i="1"/>
  <c r="I1737" i="1"/>
  <c r="J1738" i="1"/>
  <c r="I1738" i="1"/>
  <c r="J1748" i="1"/>
  <c r="I1748" i="1"/>
  <c r="J1751" i="1"/>
  <c r="I1751" i="1"/>
  <c r="J1755" i="1"/>
  <c r="I1755" i="1"/>
  <c r="J3135" i="1"/>
  <c r="I3135" i="1"/>
  <c r="J1998" i="1"/>
  <c r="I1998" i="1"/>
  <c r="J1996" i="1"/>
  <c r="I1996" i="1"/>
  <c r="J1327" i="1"/>
  <c r="I1327" i="1"/>
  <c r="J2004" i="1"/>
  <c r="I2004" i="1"/>
  <c r="J2008" i="1"/>
  <c r="I2008" i="1"/>
  <c r="J2009" i="1"/>
  <c r="I2009" i="1"/>
  <c r="J2019" i="1"/>
  <c r="I2019" i="1"/>
  <c r="J2013" i="1"/>
  <c r="I2013" i="1"/>
  <c r="J1328" i="1"/>
  <c r="I1328" i="1"/>
  <c r="J2029" i="1"/>
  <c r="I2029" i="1"/>
  <c r="J2023" i="1"/>
  <c r="I2023" i="1"/>
  <c r="J1331" i="1"/>
  <c r="I1331" i="1"/>
  <c r="J2038" i="1"/>
  <c r="I2038" i="1"/>
  <c r="J2034" i="1"/>
  <c r="I2034" i="1"/>
  <c r="J2042" i="1"/>
  <c r="I2042" i="1"/>
  <c r="J2043" i="1"/>
  <c r="I2043" i="1"/>
  <c r="J2052" i="1"/>
  <c r="I2052" i="1"/>
  <c r="J2053" i="1"/>
  <c r="I2053" i="1"/>
  <c r="J1332" i="1"/>
  <c r="I1332" i="1"/>
  <c r="J2063" i="1"/>
  <c r="I2063" i="1"/>
  <c r="J2064" i="1"/>
  <c r="I2064" i="1"/>
  <c r="J2073" i="1"/>
  <c r="I2073" i="1"/>
  <c r="J2068" i="1"/>
  <c r="I2068" i="1"/>
  <c r="J2083" i="1"/>
  <c r="I2083" i="1"/>
  <c r="J2080" i="1"/>
  <c r="I2080" i="1"/>
  <c r="J2081" i="1"/>
  <c r="I2081" i="1"/>
  <c r="J2092" i="1"/>
  <c r="I2092" i="1"/>
  <c r="J2086" i="1"/>
  <c r="I2086" i="1"/>
  <c r="J2101" i="1"/>
  <c r="I2101" i="1"/>
  <c r="J2095" i="1"/>
  <c r="I2095" i="1"/>
  <c r="J2503" i="1"/>
  <c r="I2503" i="1"/>
  <c r="J2502" i="1"/>
  <c r="I2502" i="1"/>
  <c r="J2496" i="1"/>
  <c r="I2496" i="1"/>
  <c r="J2508" i="1"/>
  <c r="I2508" i="1"/>
  <c r="J2512" i="1"/>
  <c r="I2512" i="1"/>
  <c r="J2513" i="1"/>
  <c r="I2513" i="1"/>
  <c r="J2524" i="1"/>
  <c r="I2524" i="1"/>
  <c r="J2519" i="1"/>
  <c r="I2519" i="1"/>
  <c r="J2532" i="1"/>
  <c r="I2532" i="1"/>
  <c r="J2527" i="1"/>
  <c r="I2527" i="1"/>
  <c r="J2536" i="1"/>
  <c r="I2536" i="1"/>
  <c r="J2537" i="1"/>
  <c r="I2537" i="1"/>
  <c r="J2545" i="1"/>
  <c r="I2545" i="1"/>
  <c r="J2546" i="1"/>
  <c r="I2546" i="1"/>
  <c r="J2553" i="1"/>
  <c r="I2553" i="1"/>
  <c r="J854" i="1"/>
  <c r="I854" i="1"/>
  <c r="J855" i="1"/>
  <c r="I855" i="1"/>
  <c r="J869" i="1"/>
  <c r="I869" i="1"/>
  <c r="J866" i="1"/>
  <c r="I866" i="1"/>
  <c r="J867" i="1"/>
  <c r="I867" i="1"/>
  <c r="J879" i="1"/>
  <c r="I879" i="1"/>
  <c r="J872" i="1"/>
  <c r="I872" i="1"/>
  <c r="J886" i="1"/>
  <c r="I886" i="1"/>
  <c r="J880" i="1"/>
  <c r="I880" i="1"/>
  <c r="J896" i="1"/>
  <c r="I896" i="1"/>
  <c r="J893" i="1"/>
  <c r="I893" i="1"/>
  <c r="J894" i="1"/>
  <c r="I894" i="1"/>
  <c r="J901" i="1"/>
  <c r="I901" i="1"/>
  <c r="J902" i="1"/>
  <c r="I902" i="1"/>
  <c r="J916" i="1"/>
  <c r="I916" i="1"/>
  <c r="J913" i="1"/>
  <c r="I913" i="1"/>
  <c r="J914" i="1"/>
  <c r="I914" i="1"/>
  <c r="J927" i="1"/>
  <c r="I927" i="1"/>
  <c r="J920" i="1"/>
  <c r="I920" i="1"/>
  <c r="J934" i="1"/>
  <c r="I934" i="1"/>
  <c r="J928" i="1"/>
  <c r="I928" i="1"/>
  <c r="J939" i="1"/>
  <c r="I939" i="1"/>
  <c r="J940" i="1"/>
  <c r="I940" i="1"/>
  <c r="J953" i="1"/>
  <c r="I953" i="1"/>
  <c r="J950" i="1"/>
  <c r="I950" i="1"/>
  <c r="J951" i="1"/>
  <c r="I951" i="1"/>
  <c r="J958" i="1"/>
  <c r="I958" i="1"/>
  <c r="J959" i="1"/>
  <c r="I959" i="1"/>
  <c r="J1257" i="1"/>
  <c r="I1257" i="1"/>
  <c r="J3631" i="1"/>
  <c r="I3631" i="1"/>
  <c r="J3702" i="1"/>
  <c r="I3702" i="1"/>
  <c r="J3395" i="1"/>
  <c r="I3395" i="1"/>
  <c r="J3396" i="1"/>
  <c r="I3396" i="1"/>
  <c r="J3441" i="1"/>
  <c r="I3441" i="1"/>
  <c r="J3634" i="1"/>
  <c r="I3634" i="1"/>
  <c r="J3404" i="1"/>
  <c r="I3404" i="1"/>
  <c r="J3403" i="1"/>
  <c r="I3403" i="1"/>
  <c r="J3445" i="1"/>
  <c r="I3445" i="1"/>
  <c r="J3636" i="1"/>
  <c r="I3636" i="1"/>
  <c r="J3409" i="1"/>
  <c r="I3409" i="1"/>
  <c r="J3498" i="1"/>
  <c r="I3498" i="1"/>
  <c r="J3693" i="1"/>
  <c r="I3693" i="1"/>
  <c r="J3413" i="1"/>
  <c r="I3413" i="1"/>
  <c r="J3446" i="1"/>
  <c r="I3446" i="1"/>
  <c r="J3639" i="1"/>
  <c r="I3639" i="1"/>
  <c r="J3716" i="1"/>
  <c r="I3716" i="1"/>
  <c r="J3415" i="1"/>
  <c r="I3415" i="1"/>
  <c r="J3642" i="1"/>
  <c r="I3642" i="1"/>
  <c r="J3696" i="1"/>
  <c r="I3696" i="1"/>
  <c r="J1398" i="1"/>
  <c r="I1398" i="1"/>
  <c r="J1527" i="1"/>
  <c r="I1527" i="1"/>
  <c r="J1412" i="1"/>
  <c r="I1412" i="1"/>
  <c r="J1405" i="1"/>
  <c r="I1405" i="1"/>
  <c r="J1407" i="1"/>
  <c r="I1407" i="1"/>
  <c r="J1561" i="1"/>
  <c r="I1561" i="1"/>
  <c r="J1418" i="1"/>
  <c r="I1418" i="1"/>
  <c r="J1415" i="1"/>
  <c r="I1415" i="1"/>
  <c r="J1531" i="1"/>
  <c r="I1531" i="1"/>
  <c r="J1428" i="1"/>
  <c r="I1428" i="1"/>
  <c r="J1421" i="1"/>
  <c r="I1421" i="1"/>
  <c r="J1423" i="1"/>
  <c r="I1423" i="1"/>
  <c r="J1568" i="1"/>
  <c r="I1568" i="1"/>
  <c r="J1433" i="1"/>
  <c r="I1433" i="1"/>
  <c r="J1435" i="1"/>
  <c r="I1435" i="1"/>
  <c r="J1536" i="1"/>
  <c r="I1536" i="1"/>
  <c r="J1570" i="1"/>
  <c r="I1570" i="1"/>
  <c r="J1439" i="1"/>
  <c r="I1439" i="1"/>
  <c r="J1539" i="1"/>
  <c r="I1539" i="1"/>
  <c r="J1444" i="1"/>
  <c r="I1444" i="1"/>
  <c r="J1443" i="1"/>
  <c r="I1443" i="1"/>
  <c r="J1455" i="1"/>
  <c r="I1455" i="1"/>
  <c r="J1453" i="1"/>
  <c r="I1453" i="1"/>
  <c r="J1573" i="1"/>
  <c r="I1573" i="1"/>
  <c r="J1460" i="1"/>
  <c r="I1460" i="1"/>
  <c r="J1575" i="1"/>
  <c r="I1575" i="1"/>
  <c r="J1463" i="1"/>
  <c r="I1463" i="1"/>
  <c r="J1462" i="1"/>
  <c r="I1462" i="1"/>
  <c r="J1576" i="1"/>
  <c r="I1576" i="1"/>
  <c r="J1470" i="1"/>
  <c r="I1470" i="1"/>
  <c r="J1472" i="1"/>
  <c r="I1472" i="1"/>
  <c r="J1578" i="1"/>
  <c r="I1578" i="1"/>
  <c r="J1477" i="1"/>
  <c r="I1477" i="1"/>
  <c r="J1479" i="1"/>
  <c r="I1479" i="1"/>
  <c r="J1553" i="1"/>
  <c r="I1553" i="1"/>
  <c r="J3323" i="1"/>
  <c r="I3323" i="1"/>
  <c r="J3105" i="1"/>
  <c r="I3105" i="1"/>
  <c r="J3326" i="1"/>
  <c r="I3326" i="1"/>
  <c r="J3328" i="1"/>
  <c r="I3328" i="1"/>
  <c r="J3051" i="1"/>
  <c r="I3051" i="1"/>
  <c r="J1591" i="1"/>
  <c r="I1591" i="1"/>
  <c r="J1590" i="1"/>
  <c r="I1590" i="1"/>
  <c r="J1598" i="1"/>
  <c r="I1598" i="1"/>
  <c r="J1597" i="1"/>
  <c r="I1597" i="1"/>
  <c r="J1607" i="1"/>
  <c r="I1607" i="1"/>
  <c r="J1606" i="1"/>
  <c r="I1606" i="1"/>
  <c r="J1617" i="1"/>
  <c r="I1617" i="1"/>
  <c r="J1614" i="1"/>
  <c r="I1614" i="1"/>
  <c r="J1623" i="1"/>
  <c r="I1623" i="1"/>
  <c r="J1622" i="1"/>
  <c r="I1622" i="1"/>
  <c r="J1632" i="1"/>
  <c r="I1632" i="1"/>
  <c r="J1640" i="1"/>
  <c r="I1640" i="1"/>
  <c r="J1639" i="1"/>
  <c r="I1639" i="1"/>
  <c r="J1645" i="1"/>
  <c r="I1645" i="1"/>
  <c r="J1642" i="1"/>
  <c r="I1642" i="1"/>
  <c r="J1651" i="1"/>
  <c r="I1651" i="1"/>
  <c r="J1650" i="1"/>
  <c r="I1650" i="1"/>
  <c r="J1658" i="1"/>
  <c r="I1658" i="1"/>
  <c r="J1666" i="1"/>
  <c r="I1666" i="1"/>
  <c r="J1663" i="1"/>
  <c r="I1663" i="1"/>
  <c r="J1668" i="1"/>
  <c r="I1668" i="1"/>
  <c r="J1669" i="1"/>
  <c r="I1669" i="1"/>
  <c r="J2827" i="1"/>
  <c r="I2827" i="1"/>
  <c r="J2826" i="1"/>
  <c r="I2826" i="1"/>
  <c r="J2831" i="1"/>
  <c r="I2831" i="1"/>
  <c r="J2832" i="1"/>
  <c r="I2832" i="1"/>
  <c r="J2840" i="1"/>
  <c r="I2840" i="1"/>
  <c r="J1312" i="1"/>
  <c r="I1312" i="1"/>
  <c r="J2842" i="1"/>
  <c r="I2842" i="1"/>
  <c r="J1317" i="1"/>
  <c r="I1317" i="1"/>
  <c r="J1488" i="1"/>
  <c r="I1488" i="1"/>
  <c r="J1490" i="1"/>
  <c r="I1490" i="1"/>
  <c r="J1492" i="1"/>
  <c r="I1492" i="1"/>
  <c r="J1496" i="1"/>
  <c r="I1496" i="1"/>
  <c r="J1500" i="1"/>
  <c r="I1500" i="1"/>
  <c r="J1504" i="1"/>
  <c r="I1504" i="1"/>
  <c r="J1510" i="1"/>
  <c r="I1510" i="1"/>
  <c r="J1512" i="1"/>
  <c r="I1512" i="1"/>
  <c r="J1518" i="1"/>
  <c r="I1518" i="1"/>
  <c r="J1522" i="1"/>
  <c r="I1522" i="1"/>
  <c r="J1524" i="1"/>
  <c r="I1524" i="1"/>
  <c r="J599" i="1"/>
  <c r="I599" i="1"/>
  <c r="J596" i="1"/>
  <c r="I596" i="1"/>
  <c r="J741" i="1"/>
  <c r="I741" i="1"/>
  <c r="J738" i="1"/>
  <c r="I738" i="1"/>
  <c r="J972" i="1"/>
  <c r="I972" i="1"/>
  <c r="J969" i="1"/>
  <c r="I969" i="1"/>
  <c r="J615" i="1"/>
  <c r="I615" i="1"/>
  <c r="J611" i="1"/>
  <c r="I611" i="1"/>
  <c r="J608" i="1"/>
  <c r="I608" i="1"/>
  <c r="J609" i="1"/>
  <c r="I609" i="1"/>
  <c r="J744" i="1"/>
  <c r="I744" i="1"/>
  <c r="J745" i="1"/>
  <c r="I745" i="1"/>
  <c r="J974" i="1"/>
  <c r="I974" i="1"/>
  <c r="J976" i="1"/>
  <c r="I976" i="1"/>
  <c r="J617" i="1"/>
  <c r="I617" i="1"/>
  <c r="J627" i="1"/>
  <c r="I627" i="1"/>
  <c r="J618" i="1"/>
  <c r="I618" i="1"/>
  <c r="J754" i="1"/>
  <c r="I754" i="1"/>
  <c r="J757" i="1"/>
  <c r="I757" i="1"/>
  <c r="J985" i="1"/>
  <c r="I985" i="1"/>
  <c r="J982" i="1"/>
  <c r="I982" i="1"/>
  <c r="J638" i="1"/>
  <c r="I638" i="1"/>
  <c r="J632" i="1"/>
  <c r="I632" i="1"/>
  <c r="J633" i="1"/>
  <c r="I633" i="1"/>
  <c r="J770" i="1"/>
  <c r="I770" i="1"/>
  <c r="J769" i="1"/>
  <c r="I769" i="1"/>
  <c r="J763" i="1"/>
  <c r="I763" i="1"/>
  <c r="J988" i="1"/>
  <c r="I988" i="1"/>
  <c r="J989" i="1"/>
  <c r="I989" i="1"/>
  <c r="J651" i="1"/>
  <c r="I651" i="1"/>
  <c r="J652" i="1"/>
  <c r="I652" i="1"/>
  <c r="J644" i="1"/>
  <c r="I644" i="1"/>
  <c r="J781" i="1"/>
  <c r="I781" i="1"/>
  <c r="J782" i="1"/>
  <c r="I782" i="1"/>
  <c r="J778" i="1"/>
  <c r="I778" i="1"/>
  <c r="J998" i="1"/>
  <c r="I998" i="1"/>
  <c r="J661" i="1"/>
  <c r="I661" i="1"/>
  <c r="J660" i="1"/>
  <c r="I660" i="1"/>
  <c r="J653" i="1"/>
  <c r="I653" i="1"/>
  <c r="J791" i="1"/>
  <c r="I791" i="1"/>
  <c r="J792" i="1"/>
  <c r="I792" i="1"/>
  <c r="J1002" i="1"/>
  <c r="I1002" i="1"/>
  <c r="J1003" i="1"/>
  <c r="I1003" i="1"/>
  <c r="J667" i="1"/>
  <c r="I667" i="1"/>
  <c r="J668" i="1"/>
  <c r="I668" i="1"/>
  <c r="J799" i="1"/>
  <c r="I799" i="1"/>
  <c r="J798" i="1"/>
  <c r="I798" i="1"/>
  <c r="J797" i="1"/>
  <c r="I797" i="1"/>
  <c r="J1014" i="1"/>
  <c r="I1014" i="1"/>
  <c r="J685" i="1"/>
  <c r="I685" i="1"/>
  <c r="J677" i="1"/>
  <c r="I677" i="1"/>
  <c r="J678" i="1"/>
  <c r="I678" i="1"/>
  <c r="J812" i="1"/>
  <c r="I812" i="1"/>
  <c r="J808" i="1"/>
  <c r="I808" i="1"/>
  <c r="J803" i="1"/>
  <c r="I803" i="1"/>
  <c r="J1021" i="1"/>
  <c r="I1021" i="1"/>
  <c r="J1015" i="1"/>
  <c r="I1015" i="1"/>
  <c r="J694" i="1"/>
  <c r="I694" i="1"/>
  <c r="J693" i="1"/>
  <c r="I693" i="1"/>
  <c r="J686" i="1"/>
  <c r="I686" i="1"/>
  <c r="J819" i="1"/>
  <c r="I819" i="1"/>
  <c r="J818" i="1"/>
  <c r="I818" i="1"/>
  <c r="J817" i="1"/>
  <c r="I817" i="1"/>
  <c r="J1030" i="1"/>
  <c r="I1030" i="1"/>
  <c r="J710" i="1"/>
  <c r="I710" i="1"/>
  <c r="J706" i="1"/>
  <c r="I706" i="1"/>
  <c r="J703" i="1"/>
  <c r="I703" i="1"/>
  <c r="J704" i="1"/>
  <c r="I704" i="1"/>
  <c r="J825" i="1"/>
  <c r="I825" i="1"/>
  <c r="J826" i="1"/>
  <c r="I826" i="1"/>
  <c r="J1032" i="1"/>
  <c r="I1032" i="1"/>
  <c r="J1033" i="1"/>
  <c r="I1033" i="1"/>
  <c r="J718" i="1"/>
  <c r="I718" i="1"/>
  <c r="J717" i="1"/>
  <c r="I717" i="1"/>
  <c r="J712" i="1"/>
  <c r="I712" i="1"/>
  <c r="J833" i="1"/>
  <c r="I833" i="1"/>
  <c r="J835" i="1"/>
  <c r="I835" i="1"/>
  <c r="J1045" i="1"/>
  <c r="I1045" i="1"/>
  <c r="J734" i="1"/>
  <c r="I734" i="1"/>
  <c r="J730" i="1"/>
  <c r="I730" i="1"/>
  <c r="J727" i="1"/>
  <c r="I727" i="1"/>
  <c r="J728" i="1"/>
  <c r="I728" i="1"/>
  <c r="J842" i="1"/>
  <c r="I842" i="1"/>
  <c r="J843" i="1"/>
  <c r="I843" i="1"/>
  <c r="J1046" i="1"/>
  <c r="I1046" i="1"/>
  <c r="J1047" i="1"/>
  <c r="I1047" i="1"/>
  <c r="J1263" i="1"/>
  <c r="I1263" i="1"/>
  <c r="J1840" i="1"/>
  <c r="I1840" i="1"/>
  <c r="J1906" i="1"/>
  <c r="I1906" i="1"/>
  <c r="J1848" i="1"/>
  <c r="I1848" i="1"/>
  <c r="J1850" i="1"/>
  <c r="I1850" i="1"/>
  <c r="J1920" i="1"/>
  <c r="I1920" i="1"/>
  <c r="J1912" i="1"/>
  <c r="I1912" i="1"/>
  <c r="J1913" i="1"/>
  <c r="I1913" i="1"/>
  <c r="J1271" i="1"/>
  <c r="I1271" i="1"/>
  <c r="J1852" i="1"/>
  <c r="I1852" i="1"/>
  <c r="J1926" i="1"/>
  <c r="I1926" i="1"/>
  <c r="J1923" i="1"/>
  <c r="I1923" i="1"/>
  <c r="J1273" i="1"/>
  <c r="I1273" i="1"/>
  <c r="J1856" i="1"/>
  <c r="I1856" i="1"/>
  <c r="J1858" i="1"/>
  <c r="I1858" i="1"/>
  <c r="J1931" i="1"/>
  <c r="I1931" i="1"/>
  <c r="J1932" i="1"/>
  <c r="I1932" i="1"/>
  <c r="J1275" i="1"/>
  <c r="I1275" i="1"/>
  <c r="J1868" i="1"/>
  <c r="I1868" i="1"/>
  <c r="J1943" i="1"/>
  <c r="I1943" i="1"/>
  <c r="J1940" i="1"/>
  <c r="I1940" i="1"/>
  <c r="J1869" i="1"/>
  <c r="I1869" i="1"/>
  <c r="J1870" i="1"/>
  <c r="I1870" i="1"/>
  <c r="J1946" i="1"/>
  <c r="I1946" i="1"/>
  <c r="J1947" i="1"/>
  <c r="I1947" i="1"/>
  <c r="J1878" i="1"/>
  <c r="I1878" i="1"/>
  <c r="J1881" i="1"/>
  <c r="I1881" i="1"/>
  <c r="J1960" i="1"/>
  <c r="I1960" i="1"/>
  <c r="J1962" i="1"/>
  <c r="I1962" i="1"/>
  <c r="J1886" i="1"/>
  <c r="I1886" i="1"/>
  <c r="J1969" i="1"/>
  <c r="I1969" i="1"/>
  <c r="J1966" i="1"/>
  <c r="I1966" i="1"/>
  <c r="J1894" i="1"/>
  <c r="I1894" i="1"/>
  <c r="J1891" i="1"/>
  <c r="I1891" i="1"/>
  <c r="J1978" i="1"/>
  <c r="I1978" i="1"/>
  <c r="J1980" i="1"/>
  <c r="I1980" i="1"/>
  <c r="J1972" i="1"/>
  <c r="I1972" i="1"/>
  <c r="J1896" i="1"/>
  <c r="I1896" i="1"/>
  <c r="J1985" i="1"/>
  <c r="I1985" i="1"/>
  <c r="J1982" i="1"/>
  <c r="I1982" i="1"/>
  <c r="J1900" i="1"/>
  <c r="I1900" i="1"/>
  <c r="J1987" i="1"/>
  <c r="I1987" i="1"/>
  <c r="J1988" i="1"/>
  <c r="I1988" i="1"/>
  <c r="J3164" i="1"/>
  <c r="I3164" i="1"/>
  <c r="J3168" i="1"/>
  <c r="I3168" i="1"/>
  <c r="J3173" i="1"/>
  <c r="I3173" i="1"/>
  <c r="J3183" i="1"/>
  <c r="I3183" i="1"/>
  <c r="J3177" i="1"/>
  <c r="I3177" i="1"/>
  <c r="J2734" i="1"/>
  <c r="I2734" i="1"/>
  <c r="J2738" i="1"/>
  <c r="I2738" i="1"/>
  <c r="J2747" i="1"/>
  <c r="I2747" i="1"/>
  <c r="J2745" i="1"/>
  <c r="I2745" i="1"/>
  <c r="J2752" i="1"/>
  <c r="I2752" i="1"/>
  <c r="J2756" i="1"/>
  <c r="I2756" i="1"/>
  <c r="J2759" i="1"/>
  <c r="I2759" i="1"/>
  <c r="J3448" i="1"/>
  <c r="I3448" i="1"/>
  <c r="J3507" i="1"/>
  <c r="I3507" i="1"/>
  <c r="J3453" i="1"/>
  <c r="I3453" i="1"/>
  <c r="J3514" i="1"/>
  <c r="I3514" i="1"/>
  <c r="J3511" i="1"/>
  <c r="I3511" i="1"/>
  <c r="J3455" i="1"/>
  <c r="I3455" i="1"/>
  <c r="J3522" i="1"/>
  <c r="I3522" i="1"/>
  <c r="J3457" i="1"/>
  <c r="I3457" i="1"/>
  <c r="J3523" i="1"/>
  <c r="I3523" i="1"/>
  <c r="J3525" i="1"/>
  <c r="I3525" i="1"/>
  <c r="J3462" i="1"/>
  <c r="I3462" i="1"/>
  <c r="J3530" i="1"/>
  <c r="I3530" i="1"/>
  <c r="J3533" i="1"/>
  <c r="I3533" i="1"/>
  <c r="J3468" i="1"/>
  <c r="I3468" i="1"/>
  <c r="J3470" i="1"/>
  <c r="I3470" i="1"/>
  <c r="J3541" i="1"/>
  <c r="I3541" i="1"/>
  <c r="J1297" i="1"/>
  <c r="I1297" i="1"/>
  <c r="J1259" i="1"/>
  <c r="I1259" i="1"/>
  <c r="J1303" i="1"/>
  <c r="I1303" i="1"/>
  <c r="J1680" i="1"/>
  <c r="I1680" i="1"/>
  <c r="J1677" i="1"/>
  <c r="I1677" i="1"/>
  <c r="J1688" i="1"/>
  <c r="I1688" i="1"/>
  <c r="J1684" i="1"/>
  <c r="I1684" i="1"/>
  <c r="J1695" i="1"/>
  <c r="I1695" i="1"/>
  <c r="J1692" i="1"/>
  <c r="I1692" i="1"/>
  <c r="J1703" i="1"/>
  <c r="I1703" i="1"/>
  <c r="J1705" i="1"/>
  <c r="I1705" i="1"/>
  <c r="J1714" i="1"/>
  <c r="I1714" i="1"/>
  <c r="J1713" i="1"/>
  <c r="I1713" i="1"/>
  <c r="J1722" i="1"/>
  <c r="I1722" i="1"/>
  <c r="J1721" i="1"/>
  <c r="I1721" i="1"/>
  <c r="J1723" i="1"/>
  <c r="I1723" i="1"/>
  <c r="J1724" i="1"/>
  <c r="I1724" i="1"/>
  <c r="J1729" i="1"/>
  <c r="I1729" i="1"/>
  <c r="J1730" i="1"/>
  <c r="I1730" i="1"/>
  <c r="J1741" i="1"/>
  <c r="I1741" i="1"/>
  <c r="J1740" i="1"/>
  <c r="I1740" i="1"/>
  <c r="J1745" i="1"/>
  <c r="I1745" i="1"/>
  <c r="J1752" i="1"/>
  <c r="I1752" i="1"/>
  <c r="J1756" i="1"/>
  <c r="I1756" i="1"/>
  <c r="J1324" i="1"/>
  <c r="I1324" i="1"/>
  <c r="J2002" i="1"/>
  <c r="I2002" i="1"/>
  <c r="J1997" i="1"/>
  <c r="I1997" i="1"/>
  <c r="J1325" i="1"/>
  <c r="I1325" i="1"/>
  <c r="J2006" i="1"/>
  <c r="I2006" i="1"/>
  <c r="J2007" i="1"/>
  <c r="I2007" i="1"/>
  <c r="J2020" i="1"/>
  <c r="I2020" i="1"/>
  <c r="J2022" i="1"/>
  <c r="I2022" i="1"/>
  <c r="J2014" i="1"/>
  <c r="I2014" i="1"/>
  <c r="J2030" i="1"/>
  <c r="I2030" i="1"/>
  <c r="J2032" i="1"/>
  <c r="I2032" i="1"/>
  <c r="J2024" i="1"/>
  <c r="I2024" i="1"/>
  <c r="J2039" i="1"/>
  <c r="I2039" i="1"/>
  <c r="J2041" i="1"/>
  <c r="I2041" i="1"/>
  <c r="J2037" i="1"/>
  <c r="I2037" i="1"/>
  <c r="J2044" i="1"/>
  <c r="I2044" i="1"/>
  <c r="J2046" i="1"/>
  <c r="I2046" i="1"/>
  <c r="J2056" i="1"/>
  <c r="I2056" i="1"/>
  <c r="J2049" i="1"/>
  <c r="I2049" i="1"/>
  <c r="J2061" i="1"/>
  <c r="I2061" i="1"/>
  <c r="J2062" i="1"/>
  <c r="I2062" i="1"/>
  <c r="J2074" i="1"/>
  <c r="I2074" i="1"/>
  <c r="J2071" i="1"/>
  <c r="I2071" i="1"/>
  <c r="J2072" i="1"/>
  <c r="I2072" i="1"/>
  <c r="J2078" i="1"/>
  <c r="I2078" i="1"/>
  <c r="J2079" i="1"/>
  <c r="I2079" i="1"/>
  <c r="J1334" i="1"/>
  <c r="I1334" i="1"/>
  <c r="J2094" i="1"/>
  <c r="I2094" i="1"/>
  <c r="J2087" i="1"/>
  <c r="I2087" i="1"/>
  <c r="J2102" i="1"/>
  <c r="I2102" i="1"/>
  <c r="J2096" i="1"/>
  <c r="I2096" i="1"/>
  <c r="J2504" i="1"/>
  <c r="I2504" i="1"/>
  <c r="J2505" i="1"/>
  <c r="I2505" i="1"/>
  <c r="J2501" i="1"/>
  <c r="I2501" i="1"/>
  <c r="J2510" i="1"/>
  <c r="I2510" i="1"/>
  <c r="J2511" i="1"/>
  <c r="I2511" i="1"/>
  <c r="J2525" i="1"/>
  <c r="I2525" i="1"/>
  <c r="J2526" i="1"/>
  <c r="I2526" i="1"/>
  <c r="J2523" i="1"/>
  <c r="I2523" i="1"/>
  <c r="J2534" i="1"/>
  <c r="I2534" i="1"/>
  <c r="J2531" i="1"/>
  <c r="I2531" i="1"/>
  <c r="J2540" i="1"/>
  <c r="I2540" i="1"/>
  <c r="J2535" i="1"/>
  <c r="I2535" i="1"/>
  <c r="J2549" i="1"/>
  <c r="I2549" i="1"/>
  <c r="J2544" i="1"/>
  <c r="I2544" i="1"/>
  <c r="J861" i="1"/>
  <c r="I861" i="1"/>
  <c r="J858" i="1"/>
  <c r="I858" i="1"/>
  <c r="J851" i="1"/>
  <c r="I851" i="1"/>
  <c r="J864" i="1"/>
  <c r="I864" i="1"/>
  <c r="J865" i="1"/>
  <c r="I865" i="1"/>
  <c r="J878" i="1"/>
  <c r="I878" i="1"/>
  <c r="J875" i="1"/>
  <c r="I875" i="1"/>
  <c r="J876" i="1"/>
  <c r="I876" i="1"/>
  <c r="J888" i="1"/>
  <c r="I888" i="1"/>
  <c r="J881" i="1"/>
  <c r="I881" i="1"/>
  <c r="J891" i="1"/>
  <c r="I891" i="1"/>
  <c r="J892" i="1"/>
  <c r="I892" i="1"/>
  <c r="J906" i="1"/>
  <c r="I906" i="1"/>
  <c r="J905" i="1"/>
  <c r="I905" i="1"/>
  <c r="J900" i="1"/>
  <c r="I900" i="1"/>
  <c r="J911" i="1"/>
  <c r="I911" i="1"/>
  <c r="J912" i="1"/>
  <c r="I912" i="1"/>
  <c r="J926" i="1"/>
  <c r="I926" i="1"/>
  <c r="J923" i="1"/>
  <c r="I923" i="1"/>
  <c r="J924" i="1"/>
  <c r="I924" i="1"/>
  <c r="J936" i="1"/>
  <c r="I936" i="1"/>
  <c r="J929" i="1"/>
  <c r="I929" i="1"/>
  <c r="J943" i="1"/>
  <c r="I943" i="1"/>
  <c r="J937" i="1"/>
  <c r="I937" i="1"/>
  <c r="J948" i="1"/>
  <c r="I948" i="1"/>
  <c r="J949" i="1"/>
  <c r="I949" i="1"/>
  <c r="J965" i="1"/>
  <c r="I965" i="1"/>
  <c r="J962" i="1"/>
  <c r="I962" i="1"/>
  <c r="J955" i="1"/>
  <c r="I955" i="1"/>
  <c r="J1258" i="1"/>
  <c r="I1258" i="1"/>
  <c r="AL34" i="8" l="1"/>
  <c r="Z54" i="8"/>
  <c r="J63" i="8"/>
  <c r="J71" i="8"/>
  <c r="R3750" i="1"/>
  <c r="U3750" i="1" s="1"/>
  <c r="R3742" i="1"/>
  <c r="U3742" i="1" s="1"/>
  <c r="R3736" i="1"/>
  <c r="U3736" i="1" s="1"/>
  <c r="R3744" i="1"/>
  <c r="U3744" i="1" s="1"/>
  <c r="U3730" i="1"/>
  <c r="R3738" i="1"/>
  <c r="U3738" i="1" s="1"/>
  <c r="R3756" i="1"/>
  <c r="U3756" i="1" s="1"/>
  <c r="R3758" i="1"/>
  <c r="U3758" i="1" s="1"/>
  <c r="R3754" i="1"/>
  <c r="U3754" i="1" s="1"/>
  <c r="R3752" i="1"/>
  <c r="U3752" i="1" s="1"/>
  <c r="R3760" i="1"/>
  <c r="U3760" i="1" s="1"/>
  <c r="R3746" i="1"/>
  <c r="U3746" i="1" s="1"/>
  <c r="R3740" i="1"/>
  <c r="U3740" i="1" s="1"/>
  <c r="U3728" i="1"/>
  <c r="R3748" i="1"/>
  <c r="U3748" i="1" s="1"/>
  <c r="R3766" i="1"/>
  <c r="U3766" i="1" s="1"/>
  <c r="R3764" i="1"/>
  <c r="U3764" i="1" s="1"/>
  <c r="AL54" i="8"/>
  <c r="N54" i="8"/>
  <c r="AL17" i="8"/>
  <c r="AL43" i="8"/>
  <c r="AL44" i="8" s="1"/>
  <c r="AB44" i="8"/>
  <c r="W22" i="10"/>
  <c r="AE10" i="10"/>
  <c r="AE22" i="10" s="1"/>
  <c r="R3772" i="1" l="1"/>
  <c r="R3770" i="1"/>
  <c r="R3774" i="1"/>
  <c r="R376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Edward Waters</author>
  </authors>
  <commentList>
    <comment ref="C1" authorId="0" shapeId="0" xr:uid="{5C50049D-0DAD-4B9B-BCDB-DC063448CEC7}">
      <text>
        <r>
          <rPr>
            <b/>
            <sz val="9"/>
            <color indexed="81"/>
            <rFont val="Tahoma"/>
            <family val="2"/>
          </rPr>
          <t>Edward Waters:</t>
        </r>
        <r>
          <rPr>
            <sz val="9"/>
            <color indexed="81"/>
            <rFont val="Tahoma"/>
            <family val="2"/>
          </rPr>
          <t xml:space="preserve">
Corrected based on comments from James Dixon 10-01-2023</t>
        </r>
      </text>
    </comment>
    <comment ref="C26" authorId="0" shapeId="0" xr:uid="{3AE810C7-4F11-420C-9DE2-E17EA94B095E}">
      <text>
        <r>
          <rPr>
            <b/>
            <sz val="9"/>
            <color indexed="81"/>
            <rFont val="Tahoma"/>
            <family val="2"/>
          </rPr>
          <t>Edward Waters:</t>
        </r>
        <r>
          <rPr>
            <sz val="9"/>
            <color indexed="81"/>
            <rFont val="Tahoma"/>
            <family val="2"/>
          </rPr>
          <t xml:space="preserve">
changed from NPS</t>
        </r>
      </text>
    </comment>
    <comment ref="C27" authorId="0" shapeId="0" xr:uid="{E7792FD7-B883-46D5-A318-B3991CB83BE4}">
      <text>
        <r>
          <rPr>
            <b/>
            <sz val="9"/>
            <color indexed="81"/>
            <rFont val="Tahoma"/>
            <family val="2"/>
          </rPr>
          <t>Edward Waters:</t>
        </r>
        <r>
          <rPr>
            <sz val="9"/>
            <color indexed="81"/>
            <rFont val="Tahoma"/>
            <family val="2"/>
          </rPr>
          <t xml:space="preserve">
changed from NPS</t>
        </r>
      </text>
    </comment>
    <comment ref="C28" authorId="0" shapeId="0" xr:uid="{C9424868-B702-426C-86AE-1659865B7E00}">
      <text>
        <r>
          <rPr>
            <b/>
            <sz val="9"/>
            <color indexed="81"/>
            <rFont val="Tahoma"/>
            <family val="2"/>
          </rPr>
          <t>Edward Waters:</t>
        </r>
        <r>
          <rPr>
            <sz val="9"/>
            <color indexed="81"/>
            <rFont val="Tahoma"/>
            <family val="2"/>
          </rPr>
          <t xml:space="preserve">
changed from NPS</t>
        </r>
      </text>
    </comment>
    <comment ref="C29" authorId="0" shapeId="0" xr:uid="{E536185E-FD5B-4D8F-ACBF-9BEF093DA121}">
      <text>
        <r>
          <rPr>
            <b/>
            <sz val="9"/>
            <color indexed="81"/>
            <rFont val="Tahoma"/>
            <family val="2"/>
          </rPr>
          <t>Edward Waters:</t>
        </r>
        <r>
          <rPr>
            <sz val="9"/>
            <color indexed="81"/>
            <rFont val="Tahoma"/>
            <family val="2"/>
          </rPr>
          <t xml:space="preserve">
changed from NPS</t>
        </r>
      </text>
    </comment>
    <comment ref="C30" authorId="0" shapeId="0" xr:uid="{5E127D07-94BC-45FD-B5B7-10EDA8EAD77A}">
      <text>
        <r>
          <rPr>
            <b/>
            <sz val="9"/>
            <color indexed="81"/>
            <rFont val="Tahoma"/>
            <family val="2"/>
          </rPr>
          <t>Edward Waters:</t>
        </r>
        <r>
          <rPr>
            <sz val="9"/>
            <color indexed="81"/>
            <rFont val="Tahoma"/>
            <family val="2"/>
          </rPr>
          <t xml:space="preserve">
changed from SPS</t>
        </r>
      </text>
    </comment>
    <comment ref="C31" authorId="0" shapeId="0" xr:uid="{61813E45-FD8A-4FB0-8CC7-1E3F1041766C}">
      <text>
        <r>
          <rPr>
            <b/>
            <sz val="9"/>
            <color indexed="81"/>
            <rFont val="Tahoma"/>
            <family val="2"/>
          </rPr>
          <t>Edward Waters:</t>
        </r>
        <r>
          <rPr>
            <sz val="9"/>
            <color indexed="81"/>
            <rFont val="Tahoma"/>
            <family val="2"/>
          </rPr>
          <t xml:space="preserve">
changed from SPS</t>
        </r>
      </text>
    </comment>
    <comment ref="C32" authorId="0" shapeId="0" xr:uid="{7F016275-8BAD-44F9-A278-0147AED386E9}">
      <text>
        <r>
          <rPr>
            <b/>
            <sz val="9"/>
            <color indexed="81"/>
            <rFont val="Tahoma"/>
            <family val="2"/>
          </rPr>
          <t>Edward Waters:</t>
        </r>
        <r>
          <rPr>
            <sz val="9"/>
            <color indexed="81"/>
            <rFont val="Tahoma"/>
            <family val="2"/>
          </rPr>
          <t xml:space="preserve">
changed from NPS</t>
        </r>
      </text>
    </comment>
    <comment ref="C33" authorId="0" shapeId="0" xr:uid="{52502043-0AC2-4BD3-B38B-289AC1D23F78}">
      <text>
        <r>
          <rPr>
            <b/>
            <sz val="9"/>
            <color indexed="81"/>
            <rFont val="Tahoma"/>
            <family val="2"/>
          </rPr>
          <t>Edward Waters:</t>
        </r>
        <r>
          <rPr>
            <sz val="9"/>
            <color indexed="81"/>
            <rFont val="Tahoma"/>
            <family val="2"/>
          </rPr>
          <t xml:space="preserve">
changed from NPS</t>
        </r>
      </text>
    </comment>
    <comment ref="C34" authorId="0" shapeId="0" xr:uid="{188C9521-7419-49C8-BA3E-19DA7BBD500F}">
      <text>
        <r>
          <rPr>
            <b/>
            <sz val="9"/>
            <color indexed="81"/>
            <rFont val="Tahoma"/>
            <family val="2"/>
          </rPr>
          <t>Edward Waters:</t>
        </r>
        <r>
          <rPr>
            <sz val="9"/>
            <color indexed="81"/>
            <rFont val="Tahoma"/>
            <family val="2"/>
          </rPr>
          <t xml:space="preserve">
changed from SPS</t>
        </r>
      </text>
    </comment>
    <comment ref="C35" authorId="0" shapeId="0" xr:uid="{671CECAD-5B20-4564-9148-E71BCA90041C}">
      <text>
        <r>
          <rPr>
            <b/>
            <sz val="9"/>
            <color indexed="81"/>
            <rFont val="Tahoma"/>
            <family val="2"/>
          </rPr>
          <t>Edward Waters:</t>
        </r>
        <r>
          <rPr>
            <sz val="9"/>
            <color indexed="81"/>
            <rFont val="Tahoma"/>
            <family val="2"/>
          </rPr>
          <t xml:space="preserve">
changed from NPS</t>
        </r>
      </text>
    </comment>
    <comment ref="C36" authorId="0" shapeId="0" xr:uid="{6507F240-8FF5-4A91-ACEA-64A543428022}">
      <text>
        <r>
          <rPr>
            <b/>
            <sz val="9"/>
            <color indexed="81"/>
            <rFont val="Tahoma"/>
            <family val="2"/>
          </rPr>
          <t>Edward Waters:</t>
        </r>
        <r>
          <rPr>
            <sz val="9"/>
            <color indexed="81"/>
            <rFont val="Tahoma"/>
            <family val="2"/>
          </rPr>
          <t xml:space="preserve">
changed from NPS</t>
        </r>
      </text>
    </comment>
    <comment ref="C37" authorId="0" shapeId="0" xr:uid="{7329229A-9EDD-454E-A5D9-82785135A23F}">
      <text>
        <r>
          <rPr>
            <b/>
            <sz val="9"/>
            <color indexed="81"/>
            <rFont val="Tahoma"/>
            <family val="2"/>
          </rPr>
          <t>Edward Waters:</t>
        </r>
        <r>
          <rPr>
            <sz val="9"/>
            <color indexed="81"/>
            <rFont val="Tahoma"/>
            <family val="2"/>
          </rPr>
          <t xml:space="preserve">
changed from NPS</t>
        </r>
      </text>
    </comment>
    <comment ref="C38" authorId="0" shapeId="0" xr:uid="{2AE91150-9FE2-49B9-B97B-2C57DE8F0C05}">
      <text>
        <r>
          <rPr>
            <b/>
            <sz val="9"/>
            <color indexed="81"/>
            <rFont val="Tahoma"/>
            <family val="2"/>
          </rPr>
          <t>Edward Waters:</t>
        </r>
        <r>
          <rPr>
            <sz val="9"/>
            <color indexed="81"/>
            <rFont val="Tahoma"/>
            <family val="2"/>
          </rPr>
          <t xml:space="preserve">
changed from NPS</t>
        </r>
      </text>
    </comment>
    <comment ref="C39" authorId="0" shapeId="0" xr:uid="{E6183C16-9A0F-4481-91B0-46132712E611}">
      <text>
        <r>
          <rPr>
            <b/>
            <sz val="9"/>
            <color indexed="81"/>
            <rFont val="Tahoma"/>
            <family val="2"/>
          </rPr>
          <t>Edward Waters:</t>
        </r>
        <r>
          <rPr>
            <sz val="9"/>
            <color indexed="81"/>
            <rFont val="Tahoma"/>
            <family val="2"/>
          </rPr>
          <t xml:space="preserve">
changed from SPS</t>
        </r>
      </text>
    </comment>
    <comment ref="C40" authorId="0" shapeId="0" xr:uid="{A7CBEF3E-4A72-4080-A424-C8588358593B}">
      <text>
        <r>
          <rPr>
            <b/>
            <sz val="9"/>
            <color indexed="81"/>
            <rFont val="Tahoma"/>
            <family val="2"/>
          </rPr>
          <t>Edward Waters:</t>
        </r>
        <r>
          <rPr>
            <sz val="9"/>
            <color indexed="81"/>
            <rFont val="Tahoma"/>
            <family val="2"/>
          </rPr>
          <t xml:space="preserve">
changed from NPS</t>
        </r>
      </text>
    </comment>
    <comment ref="C41" authorId="0" shapeId="0" xr:uid="{3DE70364-9755-4E3A-B6D3-5AFDCEB9A479}">
      <text>
        <r>
          <rPr>
            <b/>
            <sz val="9"/>
            <color indexed="81"/>
            <rFont val="Tahoma"/>
            <family val="2"/>
          </rPr>
          <t>Edward Waters:</t>
        </r>
        <r>
          <rPr>
            <sz val="9"/>
            <color indexed="81"/>
            <rFont val="Tahoma"/>
            <family val="2"/>
          </rPr>
          <t xml:space="preserve">
changed from SPS</t>
        </r>
      </text>
    </comment>
    <comment ref="C42" authorId="0" shapeId="0" xr:uid="{9DEACC1D-0B37-419E-8CEC-57D090F76DD3}">
      <text>
        <r>
          <rPr>
            <b/>
            <sz val="9"/>
            <color indexed="81"/>
            <rFont val="Tahoma"/>
            <family val="2"/>
          </rPr>
          <t>Edward Waters:</t>
        </r>
        <r>
          <rPr>
            <sz val="9"/>
            <color indexed="81"/>
            <rFont val="Tahoma"/>
            <family val="2"/>
          </rPr>
          <t xml:space="preserve">
changed from NPS</t>
        </r>
      </text>
    </comment>
    <comment ref="C43" authorId="0" shapeId="0" xr:uid="{9A336080-D42E-4628-BE9E-FA194BEBF5CE}">
      <text>
        <r>
          <rPr>
            <b/>
            <sz val="9"/>
            <color indexed="81"/>
            <rFont val="Tahoma"/>
            <family val="2"/>
          </rPr>
          <t>Edward Waters:</t>
        </r>
        <r>
          <rPr>
            <sz val="9"/>
            <color indexed="81"/>
            <rFont val="Tahoma"/>
            <family val="2"/>
          </rPr>
          <t xml:space="preserve">
changed from NPS</t>
        </r>
      </text>
    </comment>
    <comment ref="C44" authorId="0" shapeId="0" xr:uid="{0D544672-CFB0-49E2-A8E8-704D307D33AF}">
      <text>
        <r>
          <rPr>
            <b/>
            <sz val="9"/>
            <color indexed="81"/>
            <rFont val="Tahoma"/>
            <family val="2"/>
          </rPr>
          <t>Edward Waters:</t>
        </r>
        <r>
          <rPr>
            <sz val="9"/>
            <color indexed="81"/>
            <rFont val="Tahoma"/>
            <family val="2"/>
          </rPr>
          <t xml:space="preserve">
changed from NPS</t>
        </r>
      </text>
    </comment>
    <comment ref="C45" authorId="0" shapeId="0" xr:uid="{AE0A9428-4DB4-44FA-BC09-C6F9B9F0BF4B}">
      <text>
        <r>
          <rPr>
            <b/>
            <sz val="9"/>
            <color indexed="81"/>
            <rFont val="Tahoma"/>
            <family val="2"/>
          </rPr>
          <t>Edward Waters:</t>
        </r>
        <r>
          <rPr>
            <sz val="9"/>
            <color indexed="81"/>
            <rFont val="Tahoma"/>
            <family val="2"/>
          </rPr>
          <t xml:space="preserve">
changed from NPS</t>
        </r>
      </text>
    </comment>
    <comment ref="C46" authorId="0" shapeId="0" xr:uid="{C9D9ED73-1FA4-4DB7-A941-944820FAEF70}">
      <text>
        <r>
          <rPr>
            <b/>
            <sz val="9"/>
            <color indexed="81"/>
            <rFont val="Tahoma"/>
            <family val="2"/>
          </rPr>
          <t>Edward Waters:</t>
        </r>
        <r>
          <rPr>
            <sz val="9"/>
            <color indexed="81"/>
            <rFont val="Tahoma"/>
            <family val="2"/>
          </rPr>
          <t xml:space="preserve">
changed from NPS</t>
        </r>
      </text>
    </comment>
    <comment ref="C47" authorId="0" shapeId="0" xr:uid="{3A37129A-A3EC-48F5-BD88-3BBB110C9B67}">
      <text>
        <r>
          <rPr>
            <b/>
            <sz val="9"/>
            <color indexed="81"/>
            <rFont val="Tahoma"/>
            <family val="2"/>
          </rPr>
          <t>Edward Waters:</t>
        </r>
        <r>
          <rPr>
            <sz val="9"/>
            <color indexed="81"/>
            <rFont val="Tahoma"/>
            <family val="2"/>
          </rPr>
          <t xml:space="preserve">
changed from NPS</t>
        </r>
      </text>
    </comment>
    <comment ref="C48" authorId="0" shapeId="0" xr:uid="{317B9282-B466-4675-BA08-FF3EC4497806}">
      <text>
        <r>
          <rPr>
            <b/>
            <sz val="9"/>
            <color indexed="81"/>
            <rFont val="Tahoma"/>
            <family val="2"/>
          </rPr>
          <t>Edward Waters:</t>
        </r>
        <r>
          <rPr>
            <sz val="9"/>
            <color indexed="81"/>
            <rFont val="Tahoma"/>
            <family val="2"/>
          </rPr>
          <t xml:space="preserve">
changed from NPS</t>
        </r>
      </text>
    </comment>
    <comment ref="C49" authorId="0" shapeId="0" xr:uid="{DF920FE7-717C-4CD5-8AB2-D354193EC128}">
      <text>
        <r>
          <rPr>
            <b/>
            <sz val="9"/>
            <color indexed="81"/>
            <rFont val="Tahoma"/>
            <family val="2"/>
          </rPr>
          <t>Edward Waters:</t>
        </r>
        <r>
          <rPr>
            <sz val="9"/>
            <color indexed="81"/>
            <rFont val="Tahoma"/>
            <family val="2"/>
          </rPr>
          <t xml:space="preserve">
Added 10-04-2023</t>
        </r>
      </text>
    </comment>
    <comment ref="C68" authorId="0" shapeId="0" xr:uid="{2221285D-C886-41F6-9299-5F49E4808A41}">
      <text>
        <r>
          <rPr>
            <b/>
            <sz val="9"/>
            <color indexed="81"/>
            <rFont val="Tahoma"/>
            <family val="2"/>
          </rPr>
          <t>Edward Waters:</t>
        </r>
        <r>
          <rPr>
            <sz val="9"/>
            <color indexed="81"/>
            <rFont val="Tahoma"/>
            <family val="2"/>
          </rPr>
          <t xml:space="preserve">
Changed from SPS</t>
        </r>
      </text>
    </comment>
    <comment ref="C69" authorId="0" shapeId="0" xr:uid="{B01E407F-1915-4207-803D-EA15D8DEC0B1}">
      <text>
        <r>
          <rPr>
            <b/>
            <sz val="9"/>
            <color indexed="81"/>
            <rFont val="Tahoma"/>
            <family val="2"/>
          </rPr>
          <t>Edward Waters:</t>
        </r>
        <r>
          <rPr>
            <sz val="9"/>
            <color indexed="81"/>
            <rFont val="Tahoma"/>
            <family val="2"/>
          </rPr>
          <t xml:space="preserve">
Changed from SJDF</t>
        </r>
      </text>
    </comment>
    <comment ref="C70" authorId="0" shapeId="0" xr:uid="{4F505A6C-FC02-4717-8BA5-57589143A221}">
      <text>
        <r>
          <rPr>
            <b/>
            <sz val="9"/>
            <color indexed="81"/>
            <rFont val="Tahoma"/>
            <family val="2"/>
          </rPr>
          <t>Edward Waters:</t>
        </r>
        <r>
          <rPr>
            <sz val="9"/>
            <color indexed="81"/>
            <rFont val="Tahoma"/>
            <family val="2"/>
          </rPr>
          <t xml:space="preserve">
Changed from SJDF</t>
        </r>
      </text>
    </comment>
    <comment ref="C71" authorId="0" shapeId="0" xr:uid="{048B861A-6FC6-45BF-B6E0-C88D88F86092}">
      <text>
        <r>
          <rPr>
            <b/>
            <sz val="9"/>
            <color indexed="81"/>
            <rFont val="Tahoma"/>
            <family val="2"/>
          </rPr>
          <t>Edward Waters:</t>
        </r>
        <r>
          <rPr>
            <sz val="9"/>
            <color indexed="81"/>
            <rFont val="Tahoma"/>
            <family val="2"/>
          </rPr>
          <t xml:space="preserve">
Changed from SJDF</t>
        </r>
      </text>
    </comment>
    <comment ref="C72" authorId="0" shapeId="0" xr:uid="{171E19B2-C8CF-402B-AB6F-64DBBB5EF072}">
      <text>
        <r>
          <rPr>
            <b/>
            <sz val="9"/>
            <color indexed="81"/>
            <rFont val="Tahoma"/>
            <family val="2"/>
          </rPr>
          <t>Edward Waters:</t>
        </r>
        <r>
          <rPr>
            <sz val="9"/>
            <color indexed="81"/>
            <rFont val="Tahoma"/>
            <family val="2"/>
          </rPr>
          <t xml:space="preserve">
Changed from SPS</t>
        </r>
      </text>
    </comment>
    <comment ref="C73" authorId="0" shapeId="0" xr:uid="{25B94FA4-BAEF-4D67-AF7F-C9B2C9256447}">
      <text>
        <r>
          <rPr>
            <b/>
            <sz val="9"/>
            <color indexed="81"/>
            <rFont val="Tahoma"/>
            <family val="2"/>
          </rPr>
          <t>Edward Waters:</t>
        </r>
        <r>
          <rPr>
            <sz val="9"/>
            <color indexed="81"/>
            <rFont val="Tahoma"/>
            <family val="2"/>
          </rPr>
          <t xml:space="preserve">
Changed from SPS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Edward Waters</author>
  </authors>
  <commentList>
    <comment ref="Q1" authorId="0" shapeId="0" xr:uid="{44106B9E-CCB0-4FA7-9E71-38BEEB8D0DCB}">
      <text>
        <r>
          <rPr>
            <b/>
            <sz val="9"/>
            <color indexed="81"/>
            <rFont val="Tahoma"/>
            <family val="2"/>
          </rPr>
          <t>Edward Waters:</t>
        </r>
        <r>
          <rPr>
            <sz val="9"/>
            <color indexed="81"/>
            <rFont val="Tahoma"/>
            <family val="2"/>
          </rPr>
          <t xml:space="preserve">
FW Salmon and Steelhead values adjusted using data from FW Salmon by month and FW Steelhead by month tabs, where applicable</t>
        </r>
      </text>
    </comment>
    <comment ref="R1" authorId="0" shapeId="0" xr:uid="{D115E0A6-31FC-4CC8-9719-ED59907EE7A3}">
      <text>
        <r>
          <rPr>
            <b/>
            <sz val="9"/>
            <color indexed="81"/>
            <rFont val="Tahoma"/>
            <family val="2"/>
          </rPr>
          <t>Edward Waters:</t>
        </r>
        <r>
          <rPr>
            <sz val="9"/>
            <color indexed="81"/>
            <rFont val="Tahoma"/>
            <family val="2"/>
          </rPr>
          <t xml:space="preserve">
FW values revised using data from FW Salmon and Steelhead tabs, where applicable</t>
        </r>
      </text>
    </comment>
    <comment ref="R2904" authorId="0" shapeId="0" xr:uid="{085BD10F-0910-421D-A6EB-E8E0C6C1156B}">
      <text>
        <r>
          <rPr>
            <b/>
            <sz val="9"/>
            <color indexed="81"/>
            <rFont val="Tahoma"/>
            <family val="2"/>
          </rPr>
          <t>Edward Waters:</t>
        </r>
        <r>
          <rPr>
            <sz val="9"/>
            <color indexed="81"/>
            <rFont val="Tahoma"/>
            <family val="2"/>
          </rPr>
          <t xml:space="preserve">
Assuming salmon were actually the target spp, not steelhead</t>
        </r>
      </text>
    </comment>
    <comment ref="R2905" authorId="0" shapeId="0" xr:uid="{D67AA8CC-A66E-48E4-846F-5A235B53C2B9}">
      <text>
        <r>
          <rPr>
            <b/>
            <sz val="9"/>
            <color indexed="81"/>
            <rFont val="Tahoma"/>
            <family val="2"/>
          </rPr>
          <t>Edward Waters:</t>
        </r>
        <r>
          <rPr>
            <sz val="9"/>
            <color indexed="81"/>
            <rFont val="Tahoma"/>
            <family val="2"/>
          </rPr>
          <t xml:space="preserve">
Assuming salmon were actually the target spp, not steelhead</t>
        </r>
      </text>
    </comment>
    <comment ref="R2906" authorId="0" shapeId="0" xr:uid="{EBD0B7FF-2893-468B-981E-0E29C6BD7E9B}">
      <text>
        <r>
          <rPr>
            <b/>
            <sz val="9"/>
            <color indexed="81"/>
            <rFont val="Tahoma"/>
            <family val="2"/>
          </rPr>
          <t>Edward Waters:</t>
        </r>
        <r>
          <rPr>
            <sz val="9"/>
            <color indexed="81"/>
            <rFont val="Tahoma"/>
            <family val="2"/>
          </rPr>
          <t xml:space="preserve">
Assuming salmon were actually the target spp, not steelhead</t>
        </r>
      </text>
    </comment>
    <comment ref="R2907" authorId="0" shapeId="0" xr:uid="{B12C8B26-4599-44EE-A36D-DD31FE6BE473}">
      <text>
        <r>
          <rPr>
            <b/>
            <sz val="9"/>
            <color indexed="81"/>
            <rFont val="Tahoma"/>
            <family val="2"/>
          </rPr>
          <t>Edward Waters:</t>
        </r>
        <r>
          <rPr>
            <sz val="9"/>
            <color indexed="81"/>
            <rFont val="Tahoma"/>
            <family val="2"/>
          </rPr>
          <t xml:space="preserve">
Assuming salmon were actually the target spp, not steelhead</t>
        </r>
      </text>
    </comment>
    <comment ref="R2908" authorId="0" shapeId="0" xr:uid="{E62F9C4A-9DF6-43AF-BC86-D989C6B3EBB8}">
      <text>
        <r>
          <rPr>
            <b/>
            <sz val="9"/>
            <color indexed="81"/>
            <rFont val="Tahoma"/>
            <family val="2"/>
          </rPr>
          <t>Edward Waters:</t>
        </r>
        <r>
          <rPr>
            <sz val="9"/>
            <color indexed="81"/>
            <rFont val="Tahoma"/>
            <family val="2"/>
          </rPr>
          <t xml:space="preserve">
Assuming salmon were actually the target spp, not steelhead</t>
        </r>
      </text>
    </comment>
    <comment ref="R2909" authorId="0" shapeId="0" xr:uid="{B447A06F-FA9F-46FC-9D39-01CDB9B0297D}">
      <text>
        <r>
          <rPr>
            <b/>
            <sz val="9"/>
            <color indexed="81"/>
            <rFont val="Tahoma"/>
            <family val="2"/>
          </rPr>
          <t>Edward Waters:</t>
        </r>
        <r>
          <rPr>
            <sz val="9"/>
            <color indexed="81"/>
            <rFont val="Tahoma"/>
            <family val="2"/>
          </rPr>
          <t xml:space="preserve">
Assuming salmon were actually the target spp, not steelhead</t>
        </r>
      </text>
    </comment>
    <comment ref="R2910" authorId="0" shapeId="0" xr:uid="{B78AFB59-2377-4C42-9D3A-74CFC2B4985E}">
      <text>
        <r>
          <rPr>
            <b/>
            <sz val="9"/>
            <color indexed="81"/>
            <rFont val="Tahoma"/>
            <family val="2"/>
          </rPr>
          <t>Edward Waters:</t>
        </r>
        <r>
          <rPr>
            <sz val="9"/>
            <color indexed="81"/>
            <rFont val="Tahoma"/>
            <family val="2"/>
          </rPr>
          <t xml:space="preserve">
Assuming salmon were actually the target spp, not steelhead</t>
        </r>
      </text>
    </comment>
    <comment ref="R2911" authorId="0" shapeId="0" xr:uid="{CB76AA6B-D649-4DCD-A96E-38689B569A3B}">
      <text>
        <r>
          <rPr>
            <b/>
            <sz val="9"/>
            <color indexed="81"/>
            <rFont val="Tahoma"/>
            <family val="2"/>
          </rPr>
          <t>Edward Waters:</t>
        </r>
        <r>
          <rPr>
            <sz val="9"/>
            <color indexed="81"/>
            <rFont val="Tahoma"/>
            <family val="2"/>
          </rPr>
          <t xml:space="preserve">
Assuming salmon were actually the target spp, not steelhead</t>
        </r>
      </text>
    </comment>
    <comment ref="R2912" authorId="0" shapeId="0" xr:uid="{AFB0333B-CA82-4074-BB33-2C1B5C019891}">
      <text>
        <r>
          <rPr>
            <b/>
            <sz val="9"/>
            <color indexed="81"/>
            <rFont val="Tahoma"/>
            <family val="2"/>
          </rPr>
          <t>Edward Waters:</t>
        </r>
        <r>
          <rPr>
            <sz val="9"/>
            <color indexed="81"/>
            <rFont val="Tahoma"/>
            <family val="2"/>
          </rPr>
          <t xml:space="preserve">
Assuming salmon were actually the target spp, not steelhead</t>
        </r>
      </text>
    </comment>
    <comment ref="R2913" authorId="0" shapeId="0" xr:uid="{60C0DA8F-8B08-4C6A-B4B7-F3945BA5794D}">
      <text>
        <r>
          <rPr>
            <b/>
            <sz val="9"/>
            <color indexed="81"/>
            <rFont val="Tahoma"/>
            <family val="2"/>
          </rPr>
          <t>Edward Waters:</t>
        </r>
        <r>
          <rPr>
            <sz val="9"/>
            <color indexed="81"/>
            <rFont val="Tahoma"/>
            <family val="2"/>
          </rPr>
          <t xml:space="preserve">
Assuming salmon were actually the target spp, not steelhead</t>
        </r>
      </text>
    </comment>
    <comment ref="R2914" authorId="0" shapeId="0" xr:uid="{DFA6AAE8-747B-417D-8E69-C7C6E1B01942}">
      <text>
        <r>
          <rPr>
            <b/>
            <sz val="9"/>
            <color indexed="81"/>
            <rFont val="Tahoma"/>
            <family val="2"/>
          </rPr>
          <t>Edward Waters:</t>
        </r>
        <r>
          <rPr>
            <sz val="9"/>
            <color indexed="81"/>
            <rFont val="Tahoma"/>
            <family val="2"/>
          </rPr>
          <t xml:space="preserve">
Assuming salmon were actually the target spp, not steelhead</t>
        </r>
      </text>
    </comment>
    <comment ref="R2915" authorId="0" shapeId="0" xr:uid="{DB5E79BA-F428-45A1-8D61-8767F5A47584}">
      <text>
        <r>
          <rPr>
            <b/>
            <sz val="9"/>
            <color indexed="81"/>
            <rFont val="Tahoma"/>
            <family val="2"/>
          </rPr>
          <t>Edward Waters:</t>
        </r>
        <r>
          <rPr>
            <sz val="9"/>
            <color indexed="81"/>
            <rFont val="Tahoma"/>
            <family val="2"/>
          </rPr>
          <t xml:space="preserve">
Assuming salmon were actually the target spp, not steelhead</t>
        </r>
      </text>
    </comment>
    <comment ref="R2916" authorId="0" shapeId="0" xr:uid="{857F1DBE-995B-4EDE-92F3-AC33CE6A9F72}">
      <text>
        <r>
          <rPr>
            <b/>
            <sz val="9"/>
            <color indexed="81"/>
            <rFont val="Tahoma"/>
            <family val="2"/>
          </rPr>
          <t>Edward Waters:</t>
        </r>
        <r>
          <rPr>
            <sz val="9"/>
            <color indexed="81"/>
            <rFont val="Tahoma"/>
            <family val="2"/>
          </rPr>
          <t xml:space="preserve">
Assuming salmon were actually the target spp, not steelhead</t>
        </r>
      </text>
    </comment>
    <comment ref="R2917" authorId="0" shapeId="0" xr:uid="{2D46DA1C-6179-4E07-BADD-6DDFBA60ABEE}">
      <text>
        <r>
          <rPr>
            <b/>
            <sz val="9"/>
            <color indexed="81"/>
            <rFont val="Tahoma"/>
            <family val="2"/>
          </rPr>
          <t>Edward Waters:</t>
        </r>
        <r>
          <rPr>
            <sz val="9"/>
            <color indexed="81"/>
            <rFont val="Tahoma"/>
            <family val="2"/>
          </rPr>
          <t xml:space="preserve">
Assuming salmon were actually the target spp, not steelhead</t>
        </r>
      </text>
    </comment>
    <comment ref="R2918" authorId="0" shapeId="0" xr:uid="{0FFB842D-A9AD-4C81-B07B-50341326EEF1}">
      <text>
        <r>
          <rPr>
            <b/>
            <sz val="9"/>
            <color indexed="81"/>
            <rFont val="Tahoma"/>
            <family val="2"/>
          </rPr>
          <t>Edward Waters:</t>
        </r>
        <r>
          <rPr>
            <sz val="9"/>
            <color indexed="81"/>
            <rFont val="Tahoma"/>
            <family val="2"/>
          </rPr>
          <t xml:space="preserve">
Assuming salmon were actually the target spp, not steelhead</t>
        </r>
      </text>
    </comment>
    <comment ref="R2919" authorId="0" shapeId="0" xr:uid="{A684D0CA-B291-409D-960F-2837843FE5A3}">
      <text>
        <r>
          <rPr>
            <b/>
            <sz val="9"/>
            <color indexed="81"/>
            <rFont val="Tahoma"/>
            <family val="2"/>
          </rPr>
          <t>Edward Waters:</t>
        </r>
        <r>
          <rPr>
            <sz val="9"/>
            <color indexed="81"/>
            <rFont val="Tahoma"/>
            <family val="2"/>
          </rPr>
          <t xml:space="preserve">
Assuming salmon were actually the target spp, not steelhead</t>
        </r>
      </text>
    </comment>
    <comment ref="R2920" authorId="0" shapeId="0" xr:uid="{1F1DB983-23EC-4A01-A344-1F5795FF8519}">
      <text>
        <r>
          <rPr>
            <b/>
            <sz val="9"/>
            <color indexed="81"/>
            <rFont val="Tahoma"/>
            <family val="2"/>
          </rPr>
          <t>Edward Waters:</t>
        </r>
        <r>
          <rPr>
            <sz val="9"/>
            <color indexed="81"/>
            <rFont val="Tahoma"/>
            <family val="2"/>
          </rPr>
          <t xml:space="preserve">
Assuming salmon were actually the target spp, not steelhead</t>
        </r>
      </text>
    </comment>
    <comment ref="R2921" authorId="0" shapeId="0" xr:uid="{243D79DC-4544-4ADD-B147-4C46A153153F}">
      <text>
        <r>
          <rPr>
            <b/>
            <sz val="9"/>
            <color indexed="81"/>
            <rFont val="Tahoma"/>
            <family val="2"/>
          </rPr>
          <t>Edward Waters:</t>
        </r>
        <r>
          <rPr>
            <sz val="9"/>
            <color indexed="81"/>
            <rFont val="Tahoma"/>
            <family val="2"/>
          </rPr>
          <t xml:space="preserve">
Assuming salmon were actually the target spp, not steelhead</t>
        </r>
      </text>
    </comment>
    <comment ref="R2922" authorId="0" shapeId="0" xr:uid="{427A2A8E-ADA7-4B33-BB02-B8C1A7A11B6C}">
      <text>
        <r>
          <rPr>
            <b/>
            <sz val="9"/>
            <color indexed="81"/>
            <rFont val="Tahoma"/>
            <family val="2"/>
          </rPr>
          <t>Edward Waters:</t>
        </r>
        <r>
          <rPr>
            <sz val="9"/>
            <color indexed="81"/>
            <rFont val="Tahoma"/>
            <family val="2"/>
          </rPr>
          <t xml:space="preserve">
Assuming salmon were actually the target spp, not steelhead</t>
        </r>
      </text>
    </comment>
    <comment ref="R2923" authorId="0" shapeId="0" xr:uid="{A62C326D-3F34-4914-ABB8-F12D36BA5DFB}">
      <text>
        <r>
          <rPr>
            <b/>
            <sz val="9"/>
            <color indexed="81"/>
            <rFont val="Tahoma"/>
            <family val="2"/>
          </rPr>
          <t>Edward Waters:</t>
        </r>
        <r>
          <rPr>
            <sz val="9"/>
            <color indexed="81"/>
            <rFont val="Tahoma"/>
            <family val="2"/>
          </rPr>
          <t xml:space="preserve">
Assuming salmon were actually the target spp, not steelhead</t>
        </r>
      </text>
    </comment>
    <comment ref="R2924" authorId="0" shapeId="0" xr:uid="{D2DF5392-355D-48A1-A510-D95397EB3E2C}">
      <text>
        <r>
          <rPr>
            <b/>
            <sz val="9"/>
            <color indexed="81"/>
            <rFont val="Tahoma"/>
            <family val="2"/>
          </rPr>
          <t>Edward Waters:</t>
        </r>
        <r>
          <rPr>
            <sz val="9"/>
            <color indexed="81"/>
            <rFont val="Tahoma"/>
            <family val="2"/>
          </rPr>
          <t xml:space="preserve">
Assuming salmon were actually the target spp, not steelhead</t>
        </r>
      </text>
    </comment>
    <comment ref="R2925" authorId="0" shapeId="0" xr:uid="{4CAF596D-4FB0-4E9B-8B92-7254244D764C}">
      <text>
        <r>
          <rPr>
            <b/>
            <sz val="9"/>
            <color indexed="81"/>
            <rFont val="Tahoma"/>
            <family val="2"/>
          </rPr>
          <t>Edward Waters:</t>
        </r>
        <r>
          <rPr>
            <sz val="9"/>
            <color indexed="81"/>
            <rFont val="Tahoma"/>
            <family val="2"/>
          </rPr>
          <t xml:space="preserve">
Assuming salmon were actually the target spp, not steelhead</t>
        </r>
      </text>
    </comment>
    <comment ref="R2926" authorId="0" shapeId="0" xr:uid="{607EEFE6-DA42-4E37-9890-F8974B4018B1}">
      <text>
        <r>
          <rPr>
            <b/>
            <sz val="9"/>
            <color indexed="81"/>
            <rFont val="Tahoma"/>
            <family val="2"/>
          </rPr>
          <t>Edward Waters:</t>
        </r>
        <r>
          <rPr>
            <sz val="9"/>
            <color indexed="81"/>
            <rFont val="Tahoma"/>
            <family val="2"/>
          </rPr>
          <t xml:space="preserve">
Assuming salmon were actually the target spp, not steelhead</t>
        </r>
      </text>
    </comment>
    <comment ref="R2927" authorId="0" shapeId="0" xr:uid="{163BAC27-43A6-4F7B-ACFC-5CF4751D95B2}">
      <text>
        <r>
          <rPr>
            <b/>
            <sz val="9"/>
            <color indexed="81"/>
            <rFont val="Tahoma"/>
            <family val="2"/>
          </rPr>
          <t>Edward Waters:</t>
        </r>
        <r>
          <rPr>
            <sz val="9"/>
            <color indexed="81"/>
            <rFont val="Tahoma"/>
            <family val="2"/>
          </rPr>
          <t xml:space="preserve">
Assuming salmon were actually the target spp, not steelhead</t>
        </r>
      </text>
    </comment>
    <comment ref="R2928" authorId="0" shapeId="0" xr:uid="{E670FA86-5150-4166-BB38-D93537E933DB}">
      <text>
        <r>
          <rPr>
            <b/>
            <sz val="9"/>
            <color indexed="81"/>
            <rFont val="Tahoma"/>
            <family val="2"/>
          </rPr>
          <t>Edward Waters:</t>
        </r>
        <r>
          <rPr>
            <sz val="9"/>
            <color indexed="81"/>
            <rFont val="Tahoma"/>
            <family val="2"/>
          </rPr>
          <t xml:space="preserve">
Assuming salmon were actually the target spp, not steelhead</t>
        </r>
      </text>
    </comment>
    <comment ref="R2929" authorId="0" shapeId="0" xr:uid="{F0E83C97-A5AA-4D62-957D-6CDFC5A392D8}">
      <text>
        <r>
          <rPr>
            <b/>
            <sz val="9"/>
            <color indexed="81"/>
            <rFont val="Tahoma"/>
            <family val="2"/>
          </rPr>
          <t>Edward Waters:</t>
        </r>
        <r>
          <rPr>
            <sz val="9"/>
            <color indexed="81"/>
            <rFont val="Tahoma"/>
            <family val="2"/>
          </rPr>
          <t xml:space="preserve">
Assuming salmon were actually the target spp, not steelhead</t>
        </r>
      </text>
    </comment>
    <comment ref="R2930" authorId="0" shapeId="0" xr:uid="{3021EF7F-7AF5-4A40-94C6-34C99FFAD9DC}">
      <text>
        <r>
          <rPr>
            <b/>
            <sz val="9"/>
            <color indexed="81"/>
            <rFont val="Tahoma"/>
            <family val="2"/>
          </rPr>
          <t>Edward Waters:</t>
        </r>
        <r>
          <rPr>
            <sz val="9"/>
            <color indexed="81"/>
            <rFont val="Tahoma"/>
            <family val="2"/>
          </rPr>
          <t xml:space="preserve">
Assuming salmon were actually the target spp, not steelhead</t>
        </r>
      </text>
    </comment>
    <comment ref="R2931" authorId="0" shapeId="0" xr:uid="{947B3D5B-2082-4252-AD46-D42522C0990F}">
      <text>
        <r>
          <rPr>
            <b/>
            <sz val="9"/>
            <color indexed="81"/>
            <rFont val="Tahoma"/>
            <family val="2"/>
          </rPr>
          <t>Edward Waters:</t>
        </r>
        <r>
          <rPr>
            <sz val="9"/>
            <color indexed="81"/>
            <rFont val="Tahoma"/>
            <family val="2"/>
          </rPr>
          <t xml:space="preserve">
Assuming salmon were actually the target spp, not steelhead</t>
        </r>
      </text>
    </comment>
    <comment ref="R2932" authorId="0" shapeId="0" xr:uid="{B4034959-E8D9-4972-8D8B-11C1720D3120}">
      <text>
        <r>
          <rPr>
            <b/>
            <sz val="9"/>
            <color indexed="81"/>
            <rFont val="Tahoma"/>
            <family val="2"/>
          </rPr>
          <t>Edward Waters:</t>
        </r>
        <r>
          <rPr>
            <sz val="9"/>
            <color indexed="81"/>
            <rFont val="Tahoma"/>
            <family val="2"/>
          </rPr>
          <t xml:space="preserve">
Assuming salmon were actually the target spp, not steelhead</t>
        </r>
      </text>
    </comment>
    <comment ref="R2933" authorId="0" shapeId="0" xr:uid="{5C165E85-7514-47B0-931B-3A6ADD40D326}">
      <text>
        <r>
          <rPr>
            <b/>
            <sz val="9"/>
            <color indexed="81"/>
            <rFont val="Tahoma"/>
            <family val="2"/>
          </rPr>
          <t>Edward Waters:</t>
        </r>
        <r>
          <rPr>
            <sz val="9"/>
            <color indexed="81"/>
            <rFont val="Tahoma"/>
            <family val="2"/>
          </rPr>
          <t xml:space="preserve">
Assuming salmon were actually the target spp, not steelhead</t>
        </r>
      </text>
    </comment>
    <comment ref="R2934" authorId="0" shapeId="0" xr:uid="{1E87736F-C48D-4363-82DA-C748B237DDAF}">
      <text>
        <r>
          <rPr>
            <b/>
            <sz val="9"/>
            <color indexed="81"/>
            <rFont val="Tahoma"/>
            <family val="2"/>
          </rPr>
          <t>Edward Waters:</t>
        </r>
        <r>
          <rPr>
            <sz val="9"/>
            <color indexed="81"/>
            <rFont val="Tahoma"/>
            <family val="2"/>
          </rPr>
          <t xml:space="preserve">
Assuming salmon were actually the target spp, not steelhead</t>
        </r>
      </text>
    </comment>
    <comment ref="R2935" authorId="0" shapeId="0" xr:uid="{0E4350F5-2B3E-4E48-8877-0EECF33EF0CF}">
      <text>
        <r>
          <rPr>
            <b/>
            <sz val="9"/>
            <color indexed="81"/>
            <rFont val="Tahoma"/>
            <family val="2"/>
          </rPr>
          <t>Edward Waters:</t>
        </r>
        <r>
          <rPr>
            <sz val="9"/>
            <color indexed="81"/>
            <rFont val="Tahoma"/>
            <family val="2"/>
          </rPr>
          <t xml:space="preserve">
Assuming salmon were actually the target spp, not steelhead</t>
        </r>
      </text>
    </comment>
    <comment ref="R2936" authorId="0" shapeId="0" xr:uid="{6D926A29-D2B0-489C-BD3C-39533A2D6756}">
      <text>
        <r>
          <rPr>
            <b/>
            <sz val="9"/>
            <color indexed="81"/>
            <rFont val="Tahoma"/>
            <family val="2"/>
          </rPr>
          <t>Edward Waters:</t>
        </r>
        <r>
          <rPr>
            <sz val="9"/>
            <color indexed="81"/>
            <rFont val="Tahoma"/>
            <family val="2"/>
          </rPr>
          <t xml:space="preserve">
Assuming salmon were actually the target spp, not steelhead</t>
        </r>
      </text>
    </comment>
    <comment ref="R2937" authorId="0" shapeId="0" xr:uid="{7AED18A5-F46E-44D4-A107-B317A659F9C4}">
      <text>
        <r>
          <rPr>
            <b/>
            <sz val="9"/>
            <color indexed="81"/>
            <rFont val="Tahoma"/>
            <family val="2"/>
          </rPr>
          <t>Edward Waters:</t>
        </r>
        <r>
          <rPr>
            <sz val="9"/>
            <color indexed="81"/>
            <rFont val="Tahoma"/>
            <family val="2"/>
          </rPr>
          <t xml:space="preserve">
Assuming salmon were actually the target spp, not steelhead</t>
        </r>
      </text>
    </comment>
    <comment ref="R2938" authorId="0" shapeId="0" xr:uid="{1F787F58-B0CC-4E9A-A445-9A3C04A41685}">
      <text>
        <r>
          <rPr>
            <b/>
            <sz val="9"/>
            <color indexed="81"/>
            <rFont val="Tahoma"/>
            <family val="2"/>
          </rPr>
          <t>Edward Waters:</t>
        </r>
        <r>
          <rPr>
            <sz val="9"/>
            <color indexed="81"/>
            <rFont val="Tahoma"/>
            <family val="2"/>
          </rPr>
          <t xml:space="preserve">
Assuming salmon were actually the target spp, not steelhead</t>
        </r>
      </text>
    </comment>
    <comment ref="R2939" authorId="0" shapeId="0" xr:uid="{330B6FD5-D7CF-4FE9-BB1A-DE73690EA5E3}">
      <text>
        <r>
          <rPr>
            <b/>
            <sz val="9"/>
            <color indexed="81"/>
            <rFont val="Tahoma"/>
            <family val="2"/>
          </rPr>
          <t>Edward Waters:</t>
        </r>
        <r>
          <rPr>
            <sz val="9"/>
            <color indexed="81"/>
            <rFont val="Tahoma"/>
            <family val="2"/>
          </rPr>
          <t xml:space="preserve">
Assuming salmon were actually the target spp, not steelhead</t>
        </r>
      </text>
    </comment>
    <comment ref="R2940" authorId="0" shapeId="0" xr:uid="{B79CA8D8-C761-45CA-9808-79DD1AAC5321}">
      <text>
        <r>
          <rPr>
            <b/>
            <sz val="9"/>
            <color indexed="81"/>
            <rFont val="Tahoma"/>
            <family val="2"/>
          </rPr>
          <t>Edward Waters:</t>
        </r>
        <r>
          <rPr>
            <sz val="9"/>
            <color indexed="81"/>
            <rFont val="Tahoma"/>
            <family val="2"/>
          </rPr>
          <t xml:space="preserve">
Assuming salmon were actually the target spp, not steelhead</t>
        </r>
      </text>
    </comment>
    <comment ref="R2941" authorId="0" shapeId="0" xr:uid="{4BEAAD69-B30E-42AC-9D78-ACCF2071E47C}">
      <text>
        <r>
          <rPr>
            <b/>
            <sz val="9"/>
            <color indexed="81"/>
            <rFont val="Tahoma"/>
            <family val="2"/>
          </rPr>
          <t>Edward Waters:</t>
        </r>
        <r>
          <rPr>
            <sz val="9"/>
            <color indexed="81"/>
            <rFont val="Tahoma"/>
            <family val="2"/>
          </rPr>
          <t xml:space="preserve">
Assuming salmon were actually the target spp, not steelhead</t>
        </r>
      </text>
    </comment>
    <comment ref="R2942" authorId="0" shapeId="0" xr:uid="{E4C276CB-E2F8-4170-92FE-51CEAEE801E7}">
      <text>
        <r>
          <rPr>
            <b/>
            <sz val="9"/>
            <color indexed="81"/>
            <rFont val="Tahoma"/>
            <family val="2"/>
          </rPr>
          <t>Edward Waters:</t>
        </r>
        <r>
          <rPr>
            <sz val="9"/>
            <color indexed="81"/>
            <rFont val="Tahoma"/>
            <family val="2"/>
          </rPr>
          <t xml:space="preserve">
Assuming salmon were actually the target spp, not steelhead</t>
        </r>
      </text>
    </comment>
    <comment ref="R2943" authorId="0" shapeId="0" xr:uid="{880294BE-B45F-4565-B11F-62E29C1054AF}">
      <text>
        <r>
          <rPr>
            <b/>
            <sz val="9"/>
            <color indexed="81"/>
            <rFont val="Tahoma"/>
            <family val="2"/>
          </rPr>
          <t>Edward Waters:</t>
        </r>
        <r>
          <rPr>
            <sz val="9"/>
            <color indexed="81"/>
            <rFont val="Tahoma"/>
            <family val="2"/>
          </rPr>
          <t xml:space="preserve">
Assuming salmon were actually the target spp, not steelhead</t>
        </r>
      </text>
    </comment>
    <comment ref="R2944" authorId="0" shapeId="0" xr:uid="{475E18F7-58A5-4F96-9C98-D245E39BEB82}">
      <text>
        <r>
          <rPr>
            <b/>
            <sz val="9"/>
            <color indexed="81"/>
            <rFont val="Tahoma"/>
            <family val="2"/>
          </rPr>
          <t>Edward Waters:</t>
        </r>
        <r>
          <rPr>
            <sz val="9"/>
            <color indexed="81"/>
            <rFont val="Tahoma"/>
            <family val="2"/>
          </rPr>
          <t xml:space="preserve">
Assuming salmon were actually the target spp, not steelhead</t>
        </r>
      </text>
    </comment>
    <comment ref="R2945" authorId="0" shapeId="0" xr:uid="{CB74E791-3B29-4545-9F7C-731C0A17FBAA}">
      <text>
        <r>
          <rPr>
            <b/>
            <sz val="9"/>
            <color indexed="81"/>
            <rFont val="Tahoma"/>
            <family val="2"/>
          </rPr>
          <t>Edward Waters:</t>
        </r>
        <r>
          <rPr>
            <sz val="9"/>
            <color indexed="81"/>
            <rFont val="Tahoma"/>
            <family val="2"/>
          </rPr>
          <t xml:space="preserve">
Assuming salmon were actually the target spp, not steelhead</t>
        </r>
      </text>
    </comment>
    <comment ref="R2946" authorId="0" shapeId="0" xr:uid="{4C7789B2-E141-44BF-829E-07B33AC6DA5F}">
      <text>
        <r>
          <rPr>
            <b/>
            <sz val="9"/>
            <color indexed="81"/>
            <rFont val="Tahoma"/>
            <family val="2"/>
          </rPr>
          <t>Edward Waters:</t>
        </r>
        <r>
          <rPr>
            <sz val="9"/>
            <color indexed="81"/>
            <rFont val="Tahoma"/>
            <family val="2"/>
          </rPr>
          <t xml:space="preserve">
Assuming salmon were actually the target spp, not steelhead</t>
        </r>
      </text>
    </comment>
    <comment ref="R2947" authorId="0" shapeId="0" xr:uid="{C69A2887-48FA-40F8-A61A-80BF5AAD8B2B}">
      <text>
        <r>
          <rPr>
            <b/>
            <sz val="9"/>
            <color indexed="81"/>
            <rFont val="Tahoma"/>
            <family val="2"/>
          </rPr>
          <t>Edward Waters:</t>
        </r>
        <r>
          <rPr>
            <sz val="9"/>
            <color indexed="81"/>
            <rFont val="Tahoma"/>
            <family val="2"/>
          </rPr>
          <t xml:space="preserve">
Assuming salmon were actually the target spp, not steelhead</t>
        </r>
      </text>
    </comment>
    <comment ref="R2948" authorId="0" shapeId="0" xr:uid="{C9AA4016-7CE4-497C-B9AE-F8B6BDBAB08C}">
      <text>
        <r>
          <rPr>
            <b/>
            <sz val="9"/>
            <color indexed="81"/>
            <rFont val="Tahoma"/>
            <family val="2"/>
          </rPr>
          <t>Edward Waters:</t>
        </r>
        <r>
          <rPr>
            <sz val="9"/>
            <color indexed="81"/>
            <rFont val="Tahoma"/>
            <family val="2"/>
          </rPr>
          <t xml:space="preserve">
Assuming salmon were actually the target spp, not steelhead</t>
        </r>
      </text>
    </comment>
    <comment ref="R2949" authorId="0" shapeId="0" xr:uid="{4A8DF186-6D84-4EE7-BFC3-8728496AB200}">
      <text>
        <r>
          <rPr>
            <b/>
            <sz val="9"/>
            <color indexed="81"/>
            <rFont val="Tahoma"/>
            <family val="2"/>
          </rPr>
          <t>Edward Waters:</t>
        </r>
        <r>
          <rPr>
            <sz val="9"/>
            <color indexed="81"/>
            <rFont val="Tahoma"/>
            <family val="2"/>
          </rPr>
          <t xml:space="preserve">
Assuming salmon were actually the target spp, not steelhead</t>
        </r>
      </text>
    </comment>
    <comment ref="R2950" authorId="0" shapeId="0" xr:uid="{CA5A0335-4547-4494-BAE5-69C95399607C}">
      <text>
        <r>
          <rPr>
            <b/>
            <sz val="9"/>
            <color indexed="81"/>
            <rFont val="Tahoma"/>
            <family val="2"/>
          </rPr>
          <t>Edward Waters:</t>
        </r>
        <r>
          <rPr>
            <sz val="9"/>
            <color indexed="81"/>
            <rFont val="Tahoma"/>
            <family val="2"/>
          </rPr>
          <t xml:space="preserve">
Assuming salmon were actually the target spp, not steelhead</t>
        </r>
      </text>
    </comment>
    <comment ref="R2951" authorId="0" shapeId="0" xr:uid="{C99173C5-41E5-4770-9654-9C183E0B01A5}">
      <text>
        <r>
          <rPr>
            <b/>
            <sz val="9"/>
            <color indexed="81"/>
            <rFont val="Tahoma"/>
            <family val="2"/>
          </rPr>
          <t>Edward Waters:</t>
        </r>
        <r>
          <rPr>
            <sz val="9"/>
            <color indexed="81"/>
            <rFont val="Tahoma"/>
            <family val="2"/>
          </rPr>
          <t xml:space="preserve">
Assuming salmon were actually the target spp, not steelhead</t>
        </r>
      </text>
    </comment>
    <comment ref="R2952" authorId="0" shapeId="0" xr:uid="{269F3F18-D7F1-4778-B37B-4FFEFFD96BBE}">
      <text>
        <r>
          <rPr>
            <b/>
            <sz val="9"/>
            <color indexed="81"/>
            <rFont val="Tahoma"/>
            <family val="2"/>
          </rPr>
          <t>Edward Waters:</t>
        </r>
        <r>
          <rPr>
            <sz val="9"/>
            <color indexed="81"/>
            <rFont val="Tahoma"/>
            <family val="2"/>
          </rPr>
          <t xml:space="preserve">
Assuming salmon were actually the target spp, not steelhead</t>
        </r>
      </text>
    </comment>
    <comment ref="R2953" authorId="0" shapeId="0" xr:uid="{8F4EA421-DCA3-436C-8B30-79C777D1F309}">
      <text>
        <r>
          <rPr>
            <b/>
            <sz val="9"/>
            <color indexed="81"/>
            <rFont val="Tahoma"/>
            <family val="2"/>
          </rPr>
          <t>Edward Waters:</t>
        </r>
        <r>
          <rPr>
            <sz val="9"/>
            <color indexed="81"/>
            <rFont val="Tahoma"/>
            <family val="2"/>
          </rPr>
          <t xml:space="preserve">
Assuming salmon were actually the target spp, not steelhead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Edward Waters</author>
  </authors>
  <commentList>
    <comment ref="D1" authorId="0" shapeId="0" xr:uid="{1E3D358A-A903-4F18-967B-A48117F8E849}">
      <text>
        <r>
          <rPr>
            <b/>
            <sz val="9"/>
            <color indexed="81"/>
            <rFont val="Tahoma"/>
            <family val="2"/>
          </rPr>
          <t>Edward Waters:</t>
        </r>
        <r>
          <rPr>
            <sz val="9"/>
            <color indexed="81"/>
            <rFont val="Tahoma"/>
            <family val="2"/>
          </rPr>
          <t xml:space="preserve">
The WA rec angling license year is April thru March, so, e.g., Fish caught in March 2011 were caught during the 2010 license year,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Edward Waters</author>
  </authors>
  <commentList>
    <comment ref="D1" authorId="0" shapeId="0" xr:uid="{CFDB8541-FF60-4CB0-BB40-9B0FA63C5591}">
      <text>
        <r>
          <rPr>
            <b/>
            <sz val="9"/>
            <color indexed="81"/>
            <rFont val="Tahoma"/>
            <family val="2"/>
          </rPr>
          <t>Edward Waters:</t>
        </r>
        <r>
          <rPr>
            <sz val="9"/>
            <color indexed="81"/>
            <rFont val="Tahoma"/>
            <family val="2"/>
          </rPr>
          <t xml:space="preserve">
The WA rec angling license year is April thru March, so, e.g., Fish caught in March 2011 were caught during the 2010 license year, etc.</t>
        </r>
      </text>
    </comment>
    <comment ref="Q1" authorId="0" shapeId="0" xr:uid="{F3E94DDB-5739-4625-AFFA-91D568DEC891}">
      <text>
        <r>
          <rPr>
            <b/>
            <sz val="9"/>
            <color indexed="81"/>
            <rFont val="Tahoma"/>
            <family val="2"/>
          </rPr>
          <t>Edward Waters:</t>
        </r>
        <r>
          <rPr>
            <sz val="9"/>
            <color indexed="81"/>
            <rFont val="Tahoma"/>
            <family val="2"/>
          </rPr>
          <t xml:space="preserve">
Eric Kraig 10-17-2023: adjustment for when wild fish retention ended (beginning April 2013)</t>
        </r>
      </text>
    </comment>
    <comment ref="R1" authorId="0" shapeId="0" xr:uid="{01C1291C-11DF-40C9-9802-F6DDB470A480}">
      <text>
        <r>
          <rPr>
            <b/>
            <sz val="9"/>
            <color indexed="81"/>
            <rFont val="Tahoma"/>
            <family val="2"/>
          </rPr>
          <t>Edward Waters:</t>
        </r>
        <r>
          <rPr>
            <sz val="9"/>
            <color indexed="81"/>
            <rFont val="Tahoma"/>
            <family val="2"/>
          </rPr>
          <t xml:space="preserve">
based on adj_raw_catch</t>
        </r>
      </text>
    </comment>
  </commentList>
</comments>
</file>

<file path=xl/sharedStrings.xml><?xml version="1.0" encoding="utf-8"?>
<sst xmlns="http://schemas.openxmlformats.org/spreadsheetml/2006/main" count="55402" uniqueCount="356">
  <si>
    <t>Year</t>
  </si>
  <si>
    <t>Water_Type</t>
  </si>
  <si>
    <t>Species</t>
  </si>
  <si>
    <t>CatchAreaCode</t>
  </si>
  <si>
    <t>CatchArea</t>
  </si>
  <si>
    <t>Subregion_CatchArea</t>
  </si>
  <si>
    <t>Subregion_County</t>
  </si>
  <si>
    <t>Catch</t>
  </si>
  <si>
    <t>Trips</t>
  </si>
  <si>
    <t>Marine</t>
  </si>
  <si>
    <t>Salmon</t>
  </si>
  <si>
    <t>Area 5: W Juan de Fuca</t>
  </si>
  <si>
    <t>Strait of Juan de Fuca</t>
  </si>
  <si>
    <t>Whatcom</t>
  </si>
  <si>
    <t>North Puget Sound</t>
  </si>
  <si>
    <t>Skagit</t>
  </si>
  <si>
    <t>Snohomish</t>
  </si>
  <si>
    <t>Island</t>
  </si>
  <si>
    <t>King</t>
  </si>
  <si>
    <t>South Puget Sound</t>
  </si>
  <si>
    <t>Pierce</t>
  </si>
  <si>
    <t>Thurston</t>
  </si>
  <si>
    <t>Mason</t>
  </si>
  <si>
    <t>Kitsap</t>
  </si>
  <si>
    <t>Clallam</t>
  </si>
  <si>
    <t>Jefferson</t>
  </si>
  <si>
    <t>Other</t>
  </si>
  <si>
    <t>Non Puget Sound</t>
  </si>
  <si>
    <t>Area 6: E Juan de Fuca</t>
  </si>
  <si>
    <t>Area 7: San Juan Islands</t>
  </si>
  <si>
    <t>San Juan</t>
  </si>
  <si>
    <t>Area 8-1: Skagit Bay-Saratoga Psg.</t>
  </si>
  <si>
    <t>Area 8-2: Port Susan-Port Gardner</t>
  </si>
  <si>
    <t>Area 9: Admiralty Inlet</t>
  </si>
  <si>
    <t>Area 10: N Puget Sound</t>
  </si>
  <si>
    <t>Area 11: Mid-Puget Sound</t>
  </si>
  <si>
    <t>Area 12: Hood Canal</t>
  </si>
  <si>
    <t>Area 13: S Puget Sound</t>
  </si>
  <si>
    <t>Freshwater</t>
  </si>
  <si>
    <t>Chambers Creek</t>
  </si>
  <si>
    <t>Dakota Creek (Whatcom Co)</t>
  </si>
  <si>
    <t>Deschutes River</t>
  </si>
  <si>
    <t>Duckabush River</t>
  </si>
  <si>
    <t>Dungeness River</t>
  </si>
  <si>
    <t>Elwha River</t>
  </si>
  <si>
    <t>Green - Duwamish River</t>
  </si>
  <si>
    <t>Hoko River</t>
  </si>
  <si>
    <t>Kennedy Creek</t>
  </si>
  <si>
    <t>Lake Washington</t>
  </si>
  <si>
    <t>Lake Sammamish</t>
  </si>
  <si>
    <t>Minter Creek</t>
  </si>
  <si>
    <t>Nisqually River</t>
  </si>
  <si>
    <t>Nooksack River</t>
  </si>
  <si>
    <t>Carbon River</t>
  </si>
  <si>
    <t>Puyallup River</t>
  </si>
  <si>
    <t>Quilcene River</t>
  </si>
  <si>
    <t>Samish River</t>
  </si>
  <si>
    <t>Baker River</t>
  </si>
  <si>
    <t>Baker Lake</t>
  </si>
  <si>
    <t>Cascade River</t>
  </si>
  <si>
    <t>Skagit River</t>
  </si>
  <si>
    <t>Skokomish River</t>
  </si>
  <si>
    <t>Skykomish River</t>
  </si>
  <si>
    <t>Snohomish River</t>
  </si>
  <si>
    <t>Snoqualmie River</t>
  </si>
  <si>
    <t>Stillaguamish River</t>
  </si>
  <si>
    <t>Whatcom Creek</t>
  </si>
  <si>
    <t>Dewatto River</t>
  </si>
  <si>
    <t>Dosewallips River</t>
  </si>
  <si>
    <t>Pysht River</t>
  </si>
  <si>
    <t>Pilchuck River (Snohomish System)</t>
  </si>
  <si>
    <t>Tolt River</t>
  </si>
  <si>
    <t>Tahuya River</t>
  </si>
  <si>
    <t>Unknown</t>
  </si>
  <si>
    <t>NA</t>
  </si>
  <si>
    <t>Black River (Thurston Co)</t>
  </si>
  <si>
    <t>Wallace River</t>
  </si>
  <si>
    <t>McAllister Creek</t>
  </si>
  <si>
    <t>California Creek</t>
  </si>
  <si>
    <t>Lyre River</t>
  </si>
  <si>
    <t>Nooksack River, Middle Fork</t>
  </si>
  <si>
    <t>Nooksack River, North Fork</t>
  </si>
  <si>
    <t>Nooksack River, South Fork</t>
  </si>
  <si>
    <t>Nooksack River, below North Fork</t>
  </si>
  <si>
    <t>McLane Creek</t>
  </si>
  <si>
    <t>White (Stuck) River</t>
  </si>
  <si>
    <t>Steelhead</t>
  </si>
  <si>
    <t>Clallam River</t>
  </si>
  <si>
    <t>Deep Creek (Clallam Co.)</t>
  </si>
  <si>
    <t>Green (Duwamish River) (King Co.)</t>
  </si>
  <si>
    <t>Soos Creek</t>
  </si>
  <si>
    <t>Morse Creek (Clallam Co.)</t>
  </si>
  <si>
    <t>Nooksack River, No. Fork</t>
  </si>
  <si>
    <t>Nooksack River, So. Fork</t>
  </si>
  <si>
    <t>Salt Creek (Clallam Co.)</t>
  </si>
  <si>
    <t>Sekiu River</t>
  </si>
  <si>
    <t>Sauk River</t>
  </si>
  <si>
    <t>Raging River</t>
  </si>
  <si>
    <t>Skykomish River, No. Fork</t>
  </si>
  <si>
    <t>Skykomish River, So. Fork</t>
  </si>
  <si>
    <t>Sultan River</t>
  </si>
  <si>
    <t>Tokul Creek</t>
  </si>
  <si>
    <t>Canyon Creek</t>
  </si>
  <si>
    <t>Stillaguamish R, No. Fork</t>
  </si>
  <si>
    <t>Stillaguamish R, So. Fork</t>
  </si>
  <si>
    <t>Pilchuck Creek (Stillaguamish System)</t>
  </si>
  <si>
    <t>Black River (Thurston Co.)</t>
  </si>
  <si>
    <t>Burley Creek (Kitsap Co.)</t>
  </si>
  <si>
    <t>Nooksack River, Mid. Fork</t>
  </si>
  <si>
    <t>Other Lakes</t>
  </si>
  <si>
    <t>Row</t>
  </si>
  <si>
    <t>From: Jonathan Carey - NOAA Federal &lt;jonathan.carey@noaa.gov&gt;</t>
  </si>
  <si>
    <t>Date: Fri, Aug 18, 2023 at 5:17 PM</t>
  </si>
  <si>
    <t>Subject: Rec data for EIS</t>
  </si>
  <si>
    <t>To: James Dixon &lt;james.dixon@noaa.gov&gt;</t>
  </si>
  <si>
    <t>Here you go, I've gone through the rec data that Eric sent and 4 files are attached here:</t>
  </si>
  <si>
    <t>1. "Recreational Effort for RMP EIS.xlsx" - this is the file from 2018 which you probably already have.</t>
  </si>
  <si>
    <t>2. "Rec_raw_catch_effort__raw_2010-2021.csv" - this is the raw data in the same format as what was in the 'Data' tab of the 2018 file, updated with what Eric sent through 2021.</t>
  </si>
  <si>
    <t>3. "Rec_pivot_trips_by_subregion_year.csv" -  this is an updated version of the pivot table in cells A3:I9 of the 'Pivot' tab of the 2018 file, updated with what Eric sent through 2021.</t>
  </si>
  <si>
    <t>4. "Rec_pivot_trips_proportion_subregion_year.csv" -  this is an updated version of the pivot table in cells K3:O32 of the 'Pivot' tab of the 2018 file, updated with what Eric sent through 2021.</t>
  </si>
  <si>
    <t>Hope that's what you were looking for?  Note that I used the same values as we did in 2018 to convert steelhead and freshwater salmon catches into trips, let me know if you know of better numbers to use for that and I can easily update.</t>
  </si>
  <si>
    <t>--</t>
  </si>
  <si>
    <t>Jon Carey</t>
  </si>
  <si>
    <t>Fish Biologist, West Coast Region</t>
  </si>
  <si>
    <t>NOAA Fisheries | U.S. Department of Commerce</t>
  </si>
  <si>
    <t>Office: (360) 522-6724</t>
  </si>
  <si>
    <t>www.fisheries.noaa.gov</t>
  </si>
  <si>
    <t>Total</t>
  </si>
  <si>
    <t>Average</t>
  </si>
  <si>
    <t>Sum of Trips</t>
  </si>
  <si>
    <t>Water Type</t>
  </si>
  <si>
    <t>County_N-S_Order</t>
  </si>
  <si>
    <t>1Marine</t>
  </si>
  <si>
    <t>0Strait of Juan de Fuca</t>
  </si>
  <si>
    <t>01Whatcom</t>
  </si>
  <si>
    <t>1North Puget Sound</t>
  </si>
  <si>
    <t>02Skagit</t>
  </si>
  <si>
    <t>2Central Puget Sound</t>
  </si>
  <si>
    <t>03Snohomish</t>
  </si>
  <si>
    <t>3South Puget Sound</t>
  </si>
  <si>
    <t>04Island</t>
  </si>
  <si>
    <t>4 Hood Canal</t>
  </si>
  <si>
    <t>05San Juan</t>
  </si>
  <si>
    <t>2Freshwater</t>
  </si>
  <si>
    <t>06King</t>
  </si>
  <si>
    <t>07Pierce</t>
  </si>
  <si>
    <t>08Thurston</t>
  </si>
  <si>
    <t>09Mason</t>
  </si>
  <si>
    <t>10Kitsap</t>
  </si>
  <si>
    <t>11Clallam</t>
  </si>
  <si>
    <t>12Jefferson</t>
  </si>
  <si>
    <t>20Other</t>
  </si>
  <si>
    <t>0Strait of Juan de Fuca Total</t>
  </si>
  <si>
    <t>1North Puget Sound Total</t>
  </si>
  <si>
    <t>2Central Puget Sound Total</t>
  </si>
  <si>
    <t>3South Puget Sound Total</t>
  </si>
  <si>
    <t>4 Hood Canal Total</t>
  </si>
  <si>
    <t>Grand Total</t>
  </si>
  <si>
    <t>Catch Area</t>
  </si>
  <si>
    <t>County_CatchArea</t>
  </si>
  <si>
    <t>Skagit/Whatcom</t>
  </si>
  <si>
    <t>Skagit/Snohomish</t>
  </si>
  <si>
    <t>Mason/Thurston</t>
  </si>
  <si>
    <t>Kitsap/Pierce</t>
  </si>
  <si>
    <t>Thurston/Pierce</t>
  </si>
  <si>
    <t>Snohomish/King</t>
  </si>
  <si>
    <t>Avg</t>
  </si>
  <si>
    <t>1Marine Total</t>
  </si>
  <si>
    <t>2Freshwater Total</t>
  </si>
  <si>
    <t>Sum of Catch</t>
  </si>
  <si>
    <t>Avg # of FW trips per fish caught</t>
  </si>
  <si>
    <t>County_of_Residence</t>
  </si>
  <si>
    <t>Subregion_County_of_Residence</t>
  </si>
  <si>
    <t>CatchArea2</t>
  </si>
  <si>
    <t>Water_Type2</t>
  </si>
  <si>
    <t>(Multiple Items)</t>
  </si>
  <si>
    <t>2010-2019</t>
  </si>
  <si>
    <t>Existing Conditions Effort and Catch Estimates (Average of 2010-2019):</t>
  </si>
  <si>
    <t>County_of_Res_N-S_Order</t>
  </si>
  <si>
    <t>Salmon+Steelhead</t>
  </si>
  <si>
    <t>1North + Central Puget Sound</t>
  </si>
  <si>
    <t>3South Puget Sound + Hood Canal</t>
  </si>
  <si>
    <t>(Marine+Freshwater)</t>
  </si>
  <si>
    <t>Avg # of Marine trips per fish caught</t>
  </si>
  <si>
    <t>Data Sources:</t>
  </si>
  <si>
    <t>- Marine_Salmon: [PS Marine Salmon by County 2010-2016.xlsx] provided by WDFW (E. Kraig) on 12/10/2018</t>
  </si>
  <si>
    <t>- Freshwater_Salmon: [PS Freshwater Salmon by County 2010-2016.xlsx] provided by WDFW (E. Kraig) on 12/10/2018</t>
  </si>
  <si>
    <t>- Steelhead: [Statewide Steelhead Data 1961-2017.xls] provided by WDFW (E. Kraig) on 11/26/2018</t>
  </si>
  <si>
    <t xml:space="preserve">(trips per fish caught) identified below and in the 2013 NOAA memo: </t>
  </si>
  <si>
    <t>"Derivation of freshwater trips/salmon or steelhead caught used for the economic analysis for the NEPA analysis of the 2015 Puget Sound Chinook harvest plan"</t>
  </si>
  <si>
    <t>Angler Trips/Fish Caught</t>
  </si>
  <si>
    <t>Even Year</t>
  </si>
  <si>
    <t>Odd Year</t>
  </si>
  <si>
    <t>from 2018 data version:</t>
  </si>
  <si>
    <r>
      <t xml:space="preserve">Skagit Bay in </t>
    </r>
    <r>
      <rPr>
        <sz val="12"/>
        <color rgb="FFFF0000"/>
        <rFont val="Arial"/>
        <family val="2"/>
      </rPr>
      <t>Central</t>
    </r>
    <r>
      <rPr>
        <sz val="12"/>
        <color rgb="FF222222"/>
        <rFont val="Arial"/>
        <family val="2"/>
      </rPr>
      <t xml:space="preserve"> but the rest of Skagit River in North Puget Sound?</t>
    </r>
  </si>
  <si>
    <r>
      <t xml:space="preserve">the Tokul Cr assignment to the North Puget Sound (King County), when the rest of the Snohomish basin is in </t>
    </r>
    <r>
      <rPr>
        <sz val="12"/>
        <color rgb="FFFF0000"/>
        <rFont val="Arial"/>
        <family val="2"/>
      </rPr>
      <t>Central</t>
    </r>
    <r>
      <rPr>
        <sz val="12"/>
        <color rgb="FF222222"/>
        <rFont val="Arial"/>
        <family val="2"/>
      </rPr>
      <t xml:space="preserve"> Sound?</t>
    </r>
  </si>
  <si>
    <t>Month</t>
  </si>
  <si>
    <t>714</t>
  </si>
  <si>
    <t>724</t>
  </si>
  <si>
    <t>728</t>
  </si>
  <si>
    <t>736</t>
  </si>
  <si>
    <t>738</t>
  </si>
  <si>
    <t>742</t>
  </si>
  <si>
    <t>746</t>
  </si>
  <si>
    <t>752</t>
  </si>
  <si>
    <t>754</t>
  </si>
  <si>
    <t>762</t>
  </si>
  <si>
    <t>764</t>
  </si>
  <si>
    <t>778</t>
  </si>
  <si>
    <t>786</t>
  </si>
  <si>
    <t>788</t>
  </si>
  <si>
    <t>802</t>
  </si>
  <si>
    <t>804</t>
  </si>
  <si>
    <t>812</t>
  </si>
  <si>
    <t>816</t>
  </si>
  <si>
    <t>824</t>
  </si>
  <si>
    <t>825</t>
  </si>
  <si>
    <t>826</t>
  </si>
  <si>
    <t>830</t>
  </si>
  <si>
    <t>834</t>
  </si>
  <si>
    <t>844</t>
  </si>
  <si>
    <t>850</t>
  </si>
  <si>
    <t>852</t>
  </si>
  <si>
    <t>872</t>
  </si>
  <si>
    <t>884</t>
  </si>
  <si>
    <t>732</t>
  </si>
  <si>
    <t>734</t>
  </si>
  <si>
    <t>810</t>
  </si>
  <si>
    <t>840</t>
  </si>
  <si>
    <t>858</t>
  </si>
  <si>
    <t>878</t>
  </si>
  <si>
    <t>8</t>
  </si>
  <si>
    <t>706</t>
  </si>
  <si>
    <t>860</t>
  </si>
  <si>
    <t>718</t>
  </si>
  <si>
    <t>726</t>
  </si>
  <si>
    <t>748</t>
  </si>
  <si>
    <t>768</t>
  </si>
  <si>
    <t>782</t>
  </si>
  <si>
    <t>790</t>
  </si>
  <si>
    <t>792</t>
  </si>
  <si>
    <t>794</t>
  </si>
  <si>
    <t>808</t>
  </si>
  <si>
    <t>814</t>
  </si>
  <si>
    <t>818</t>
  </si>
  <si>
    <t>828</t>
  </si>
  <si>
    <t>842</t>
  </si>
  <si>
    <t>846</t>
  </si>
  <si>
    <t>848</t>
  </si>
  <si>
    <t>854</t>
  </si>
  <si>
    <t>856</t>
  </si>
  <si>
    <t>866</t>
  </si>
  <si>
    <t>874</t>
  </si>
  <si>
    <t>876</t>
  </si>
  <si>
    <t>9</t>
  </si>
  <si>
    <t>763</t>
  </si>
  <si>
    <t>Minter Creek (Pierce/Kitsap Co.)</t>
  </si>
  <si>
    <t>81</t>
  </si>
  <si>
    <t>82</t>
  </si>
  <si>
    <t>Skokomish River (Mason Co.)</t>
  </si>
  <si>
    <t>774</t>
  </si>
  <si>
    <t>McLane Creek (Thurston Co.)</t>
  </si>
  <si>
    <t>870</t>
  </si>
  <si>
    <t>862</t>
  </si>
  <si>
    <t>Woods Creek</t>
  </si>
  <si>
    <t>708</t>
  </si>
  <si>
    <t>900</t>
  </si>
  <si>
    <t>Lookups:</t>
  </si>
  <si>
    <t>Subregion_Co_of_Res_N-S_Order</t>
  </si>
  <si>
    <t>Subregion_N-S_Order</t>
  </si>
  <si>
    <t>Subregion_of_Residence</t>
  </si>
  <si>
    <t>County of Res</t>
  </si>
  <si>
    <t>Subregion of Res</t>
  </si>
  <si>
    <t>Calc Trips</t>
  </si>
  <si>
    <t>Row Labels</t>
  </si>
  <si>
    <t>Column Labels</t>
  </si>
  <si>
    <t>New</t>
  </si>
  <si>
    <t>(All)</t>
  </si>
  <si>
    <t>Sum of Calc Trips</t>
  </si>
  <si>
    <t>From: Augmented FW data set with "Month" field added - FW Rec Salmon catch 2010-2019 by month (# of fish)</t>
  </si>
  <si>
    <t>From: Augmented FW data set with "Month" field added - FW Rec Salmon catch 2010-2019 by month (% of fish)</t>
  </si>
  <si>
    <t>From: Augmented FW data set with "Month" field added - FW Rec Salmon effort 2010-2019 by month (# of trips)</t>
  </si>
  <si>
    <t>From: Augmented FW data set with "Month" field added - FW Rec Salmon effort 2010-2019 by month (% of trips)</t>
  </si>
  <si>
    <t>From: Augmented FW data set with "Month" field added - FW Rec Steelhead effort 2010-2019 by month (# of trips)</t>
  </si>
  <si>
    <t>From: Augmented FW data set with "Month" field added - FW Rec Steelhead effort 2010-2019 by month (% of trips)</t>
  </si>
  <si>
    <t>From: Original draft of Existing Conditions: FW Rec Salmon catch by Year # of fish</t>
  </si>
  <si>
    <t>From: Original draft of Existing Conditions: FW Rec Steelhead catch by Year # of fish</t>
  </si>
  <si>
    <t>License_year</t>
  </si>
  <si>
    <t>From: Augmented FW data set with "Month" field added: FW Rec Salmon catch by license year # of fish</t>
  </si>
  <si>
    <t>Raw_Catch</t>
  </si>
  <si>
    <t>Adj_Raw_Catch</t>
  </si>
  <si>
    <t>Sum of Adj_Raw_Catch</t>
  </si>
  <si>
    <t>From: Augmented FW data set with "Month" field added: FW Rec Steelhead Adjusted Raw Catch by license year # of fish</t>
  </si>
  <si>
    <t>Note: apparently these are WRONG ?</t>
  </si>
  <si>
    <t>From: Augmented FW data set with "Month" field added - FW Rec Steelhead Adjusted Raw Catch 2010-2019 by month (# of fish)</t>
  </si>
  <si>
    <t>From: Augmented FW data set with "Month" field added - FW Rec Steelhead Adjusted Raw Catch 2010-2019 by month (% of fish)</t>
  </si>
  <si>
    <t>Note: apparently these are OK according to Eric Kraig 10-17-2023</t>
  </si>
  <si>
    <t>From: Augmented FW data set with "Month" field added: FW Rec Steelhead Effort by license year # of fish</t>
  </si>
  <si>
    <r>
      <t xml:space="preserve">Angler trips were estimated for </t>
    </r>
    <r>
      <rPr>
        <b/>
        <sz val="11"/>
        <color theme="1"/>
        <rFont val="Calibri"/>
        <family val="2"/>
        <scheme val="minor"/>
      </rPr>
      <t>freshwater</t>
    </r>
    <r>
      <rPr>
        <sz val="11"/>
        <color theme="1"/>
        <rFont val="Calibri"/>
        <family val="2"/>
        <scheme val="minor"/>
      </rPr>
      <t xml:space="preserve"> salmon and steelhead by multiplying CRC-based catch estimates by the even/odd year angler success rates</t>
    </r>
  </si>
  <si>
    <t>Catch2</t>
  </si>
  <si>
    <t>Trips2</t>
  </si>
  <si>
    <t>Steelhead only</t>
  </si>
  <si>
    <t>Salmon only</t>
  </si>
  <si>
    <t>Combined Marine and FW</t>
  </si>
  <si>
    <t>8-1</t>
  </si>
  <si>
    <t>8-2</t>
  </si>
  <si>
    <t>PS Total</t>
  </si>
  <si>
    <t>Grand Total (incl. Non PS)</t>
  </si>
  <si>
    <r>
      <t xml:space="preserve">PS Salmon and Steelhead Recreational </t>
    </r>
    <r>
      <rPr>
        <b/>
        <sz val="12"/>
        <color rgb="FFFF0000"/>
        <rFont val="Calibri"/>
        <family val="2"/>
        <scheme val="minor"/>
      </rPr>
      <t>Catch</t>
    </r>
    <r>
      <rPr>
        <b/>
        <sz val="12"/>
        <color theme="1"/>
        <rFont val="Calibri"/>
        <family val="2"/>
        <scheme val="minor"/>
      </rPr>
      <t xml:space="preserve"> by Subregion of County of angler residence</t>
    </r>
  </si>
  <si>
    <r>
      <t xml:space="preserve">PS Salmon and Steelhead Recreational Angler </t>
    </r>
    <r>
      <rPr>
        <b/>
        <sz val="12"/>
        <color rgb="FFFF0000"/>
        <rFont val="Calibri"/>
        <family val="2"/>
        <scheme val="minor"/>
      </rPr>
      <t>Effort</t>
    </r>
    <r>
      <rPr>
        <b/>
        <sz val="12"/>
        <color theme="1"/>
        <rFont val="Calibri"/>
        <family val="2"/>
        <scheme val="minor"/>
      </rPr>
      <t xml:space="preserve"> by Subregion of County of angler residence</t>
    </r>
  </si>
  <si>
    <t>Marine+FW</t>
  </si>
  <si>
    <t>Sum of Catch2</t>
  </si>
  <si>
    <t>SJDF</t>
  </si>
  <si>
    <t>NPS</t>
  </si>
  <si>
    <t>CPS</t>
  </si>
  <si>
    <t>SPS</t>
  </si>
  <si>
    <t>HC</t>
  </si>
  <si>
    <t>FW</t>
  </si>
  <si>
    <t>Avg # of Sport Trips per Fish Caught (2010-2019) by Disaggregated Catch Areas</t>
  </si>
  <si>
    <t>Trips/Catch</t>
  </si>
  <si>
    <t>Trips2/Catch2</t>
  </si>
  <si>
    <t>Updated May 10, 2024 from: &lt;Updated FW trips-per-fish estimates including steelhead for PS RMP EIS_05-10-2024_ecw.xlsx&gt;</t>
  </si>
  <si>
    <t xml:space="preserve">Use the following angler success rate estimates to calculate est. number of angler trips associated with FW Salmon and FW Steelhead recreational catch during each odd and even year in the 2010-2019 Existing Conditions baseline period </t>
  </si>
  <si>
    <t>Odd Years</t>
  </si>
  <si>
    <t>Even Years</t>
  </si>
  <si>
    <t xml:space="preserve"> (Based on re-examination of 2006 and 2011 FW angler data plus incorporation of 2022 FW angler data)</t>
  </si>
  <si>
    <r>
      <t xml:space="preserve">PS </t>
    </r>
    <r>
      <rPr>
        <b/>
        <sz val="12"/>
        <color theme="1"/>
        <rFont val="Calibri"/>
        <family val="2"/>
        <scheme val="minor"/>
      </rPr>
      <t>Salmon</t>
    </r>
    <r>
      <rPr>
        <sz val="12"/>
        <color theme="1"/>
        <rFont val="Calibri"/>
        <family val="2"/>
        <scheme val="minor"/>
      </rPr>
      <t xml:space="preserve"> FW angler success rates (for 2011 and 2022, respectively)</t>
    </r>
  </si>
  <si>
    <r>
      <t xml:space="preserve">PS </t>
    </r>
    <r>
      <rPr>
        <b/>
        <sz val="12"/>
        <color theme="1"/>
        <rFont val="Calibri"/>
        <family val="2"/>
        <scheme val="minor"/>
      </rPr>
      <t>Steelhead</t>
    </r>
    <r>
      <rPr>
        <sz val="12"/>
        <color theme="1"/>
        <rFont val="Calibri"/>
        <family val="2"/>
        <scheme val="minor"/>
      </rPr>
      <t xml:space="preserve"> FW angler success rates (straight avg of 2011 and 2022 FW steelhead angler success rates - assumes no difference between odd- vs even-years)</t>
    </r>
  </si>
  <si>
    <t>2010-2019 Total</t>
  </si>
  <si>
    <t>2010-2019 Annual Average</t>
  </si>
  <si>
    <t>Spp</t>
  </si>
  <si>
    <t>All</t>
  </si>
  <si>
    <t>Corrected FW area assignments 10-02-2023. Corrected Freshwater Catch and Effort estimates 10-17-2023. Updated Effort-per-Fish for FW Salmon and Steelhead 05-15-2024</t>
  </si>
  <si>
    <t>Sum of Trips2</t>
  </si>
  <si>
    <t>Trips2: Salmon only (no Steelhead)</t>
  </si>
  <si>
    <t>Catch2: Salmon only (no Steelhead)</t>
  </si>
  <si>
    <t>Trips2: Steelhead only</t>
  </si>
  <si>
    <t>Catch2: Steelhead only</t>
  </si>
  <si>
    <t>Trips2: Salmon+Steelhead</t>
  </si>
  <si>
    <t>Catch2: Salmon+Steelhead</t>
  </si>
  <si>
    <r>
      <t xml:space="preserve">Data for Appx Table C-4  </t>
    </r>
    <r>
      <rPr>
        <b/>
        <sz val="14"/>
        <color rgb="FFFF0000"/>
        <rFont val="Calibri"/>
        <family val="2"/>
        <scheme val="minor"/>
      </rPr>
      <t>Corrected and Updated 05-15-2024</t>
    </r>
  </si>
  <si>
    <t>Total Trips2</t>
  </si>
  <si>
    <t>Total Catch2</t>
  </si>
  <si>
    <t>2010-2019?</t>
  </si>
  <si>
    <t>Y</t>
  </si>
  <si>
    <t>Year:</t>
  </si>
  <si>
    <t>Waters:</t>
  </si>
  <si>
    <t>Updated FW Angler Success Rate Lookups:</t>
  </si>
  <si>
    <t>Values</t>
  </si>
  <si>
    <t>Total Sum of Catch</t>
  </si>
  <si>
    <t>Total Sum of Trips</t>
  </si>
  <si>
    <t>Average #Trips/fish for Marine Recreational Salmon by Subregion_CatchArea</t>
  </si>
  <si>
    <t>Central Puget Sound Catch Region # of Marine salmon trips per fish caught by year</t>
  </si>
  <si>
    <t>Trips/fish</t>
  </si>
  <si>
    <t>(Assume marine steelhead in CPS were caught while targeting salmon)</t>
  </si>
  <si>
    <t>Catch and corresponding # of trips for Marine Recreational Salmon by Subregion_CatchArea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</si>
</sst>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
    <numFmt numFmtId="169" formatCode="0_);\(0\)"/>
  </numFmts>
  <fonts count="4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222222"/>
      <name val="Arial"/>
      <family val="2"/>
    </font>
    <font>
      <sz val="12"/>
      <color rgb="FF222222"/>
      <name val="Verdana"/>
      <family val="2"/>
    </font>
    <font>
      <b/>
      <sz val="12"/>
      <color rgb="FF666666"/>
      <name val="Calibri"/>
      <family val="2"/>
    </font>
    <font>
      <i/>
      <sz val="10"/>
      <color rgb="FF666666"/>
      <name val="Arial"/>
      <family val="2"/>
    </font>
    <font>
      <sz val="10"/>
      <color rgb="FF666666"/>
      <name val="Arial"/>
      <family val="2"/>
    </font>
    <font>
      <u/>
      <sz val="11"/>
      <color theme="10"/>
      <name val="Calibri"/>
      <family val="2"/>
      <scheme val="minor"/>
    </font>
    <font>
      <b/>
      <sz val="14"/>
      <color theme="1"/>
      <name val="Calibri"/>
      <family val="2"/>
      <scheme val="minor"/>
    </font>
    <font>
      <b/>
      <sz val="9"/>
      <color indexed="81"/>
      <name val="Tahoma"/>
      <family val="2"/>
    </font>
    <font>
      <sz val="9"/>
      <color indexed="81"/>
      <name val="Tahoma"/>
      <family val="2"/>
    </font>
    <font>
      <b/>
      <u/>
      <sz val="11"/>
      <color theme="1"/>
      <name val="Calibri"/>
      <family val="2"/>
      <scheme val="minor"/>
    </font>
    <font>
      <sz val="12"/>
      <color rgb="FFFF0000"/>
      <name val="Arial"/>
      <family val="2"/>
    </font>
    <font>
      <sz val="9.5"/>
      <color rgb="FF000000"/>
      <name val="Arial"/>
      <family val="2"/>
    </font>
    <font>
      <b/>
      <sz val="9.5"/>
      <color rgb="FF000000"/>
      <name val="Arial"/>
      <family val="2"/>
    </font>
    <font>
      <sz val="11"/>
      <color rgb="FF000000"/>
      <name val="Arial"/>
      <family val="2"/>
    </font>
    <font>
      <b/>
      <sz val="12"/>
      <color theme="1"/>
      <name val="Calibri"/>
      <family val="2"/>
      <scheme val="minor"/>
    </font>
    <font>
      <b/>
      <sz val="12"/>
      <color rgb="FFFF0000"/>
      <name val="Calibri"/>
      <family val="2"/>
      <scheme val="minor"/>
    </font>
    <font>
      <b/>
      <sz val="10"/>
      <name val="Arial"/>
      <family val="2"/>
    </font>
    <font>
      <sz val="10"/>
      <name val="Arial"/>
      <family val="2"/>
    </font>
    <font>
      <b/>
      <sz val="11"/>
      <color rgb="FFFF0000"/>
      <name val="Calibri"/>
      <family val="2"/>
      <scheme val="minor"/>
    </font>
    <font>
      <sz val="12"/>
      <color theme="1"/>
      <name val="Calibri"/>
      <family val="2"/>
      <scheme val="minor"/>
    </font>
    <font>
      <sz val="11"/>
      <name val="Calibri"/>
      <family val="2"/>
      <scheme val="minor"/>
    </font>
    <font>
      <b/>
      <sz val="14"/>
      <color rgb="FFFF0000"/>
      <name val="Calibri"/>
      <family val="2"/>
      <scheme val="minor"/>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AFBFE"/>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FF00"/>
        <bgColor theme="4" tint="0.79998168889431442"/>
      </patternFill>
    </fill>
    <fill>
      <patternFill patternType="solid">
        <fgColor rgb="FFFFFF0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F0"/>
        <bgColor indexed="64"/>
      </patternFill>
    </fill>
    <fill>
      <patternFill patternType="solid">
        <fgColor rgb="FF00B050"/>
        <bgColor indexed="64"/>
      </patternFill>
    </fill>
    <fill>
      <patternFill patternType="solid">
        <fgColor rgb="FF92D050"/>
        <bgColor indexed="64"/>
      </patternFill>
    </fill>
    <fill>
      <patternFill patternType="solid">
        <fgColor theme="9" tint="-0.249977111117893"/>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theme="4"/>
      </top>
      <bottom/>
      <diagonal/>
    </border>
    <border>
      <left style="thin">
        <color rgb="FFC1C1C1"/>
      </left>
      <right style="thin">
        <color rgb="FFC1C1C1"/>
      </right>
      <top style="thin">
        <color rgb="FFC1C1C1"/>
      </top>
      <bottom style="thin">
        <color rgb="FFC1C1C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xf numFmtId="0" fontId="29" fillId="0" borderId="0"/>
    <xf numFmtId="43" fontId="1" fillId="0" borderId="0" applyFont="0" applyFill="0" applyBorder="0" applyAlignment="0" applyProtection="0"/>
  </cellStyleXfs>
  <cellXfs count="168">
    <xf numFmtId="0" fontId="0" fillId="0" borderId="0" xfId="0"/>
    <xf numFmtId="0" fontId="23" fillId="0" borderId="0" xfId="43" applyAlignment="1">
      <alignment vertical="center"/>
    </xf>
    <xf numFmtId="0" fontId="18" fillId="0" borderId="0" xfId="0" applyFont="1" applyAlignment="1">
      <alignment vertical="center"/>
    </xf>
    <xf numFmtId="0" fontId="0" fillId="0" borderId="0" xfId="0" applyAlignment="1">
      <alignment vertical="center"/>
    </xf>
    <xf numFmtId="0" fontId="19" fillId="0" borderId="0" xfId="0" applyFont="1" applyAlignment="1">
      <alignment vertical="center"/>
    </xf>
    <xf numFmtId="0" fontId="0" fillId="0" borderId="0" xfId="0" applyAlignment="1">
      <alignment horizontal="left" vertical="center"/>
    </xf>
    <xf numFmtId="0" fontId="19" fillId="0" borderId="0" xfId="0" applyFont="1" applyAlignment="1">
      <alignment horizontal="left" vertical="center"/>
    </xf>
    <xf numFmtId="0" fontId="0" fillId="33" borderId="0" xfId="0" applyFill="1" applyAlignment="1">
      <alignment vertical="center"/>
    </xf>
    <xf numFmtId="0" fontId="18" fillId="33" borderId="0" xfId="0" applyFont="1" applyFill="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10" fontId="0" fillId="0" borderId="0" xfId="0" applyNumberFormat="1"/>
    <xf numFmtId="3" fontId="0" fillId="0" borderId="0" xfId="0" applyNumberFormat="1"/>
    <xf numFmtId="0" fontId="24" fillId="0" borderId="0" xfId="0" applyFont="1"/>
    <xf numFmtId="0" fontId="16" fillId="0" borderId="0" xfId="0" applyFont="1"/>
    <xf numFmtId="0" fontId="16" fillId="0" borderId="0" xfId="0" applyFont="1" applyAlignment="1">
      <alignment horizontal="right"/>
    </xf>
    <xf numFmtId="164" fontId="0" fillId="0" borderId="0" xfId="1" applyNumberFormat="1" applyFont="1"/>
    <xf numFmtId="164" fontId="16" fillId="0" borderId="0" xfId="1" applyNumberFormat="1" applyFont="1"/>
    <xf numFmtId="0" fontId="16" fillId="34" borderId="10" xfId="0" applyFont="1" applyFill="1" applyBorder="1"/>
    <xf numFmtId="0" fontId="16" fillId="34" borderId="11" xfId="0" applyFont="1" applyFill="1" applyBorder="1"/>
    <xf numFmtId="0" fontId="16" fillId="35" borderId="10" xfId="0" applyFont="1" applyFill="1" applyBorder="1"/>
    <xf numFmtId="0" fontId="16" fillId="0" borderId="13" xfId="0" applyFont="1" applyBorder="1"/>
    <xf numFmtId="0" fontId="0" fillId="36" borderId="14" xfId="0" applyFill="1" applyBorder="1"/>
    <xf numFmtId="0" fontId="0" fillId="36" borderId="0" xfId="0" applyFill="1"/>
    <xf numFmtId="0" fontId="0" fillId="36" borderId="15" xfId="0"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37" borderId="15" xfId="0" applyFill="1" applyBorder="1"/>
    <xf numFmtId="0" fontId="0" fillId="0" borderId="20" xfId="0" applyBorder="1"/>
    <xf numFmtId="0" fontId="0" fillId="37" borderId="18" xfId="0" applyFill="1" applyBorder="1"/>
    <xf numFmtId="0" fontId="16" fillId="36" borderId="0" xfId="0" applyFont="1" applyFill="1" applyAlignment="1">
      <alignment horizontal="center"/>
    </xf>
    <xf numFmtId="164" fontId="0" fillId="0" borderId="0" xfId="1" applyNumberFormat="1" applyFont="1" applyFill="1"/>
    <xf numFmtId="164" fontId="16" fillId="36" borderId="0" xfId="1" applyNumberFormat="1" applyFont="1" applyFill="1"/>
    <xf numFmtId="3" fontId="16" fillId="38" borderId="22" xfId="0" applyNumberFormat="1" applyFont="1" applyFill="1" applyBorder="1"/>
    <xf numFmtId="3" fontId="16" fillId="0" borderId="0" xfId="0" applyNumberFormat="1" applyFont="1"/>
    <xf numFmtId="164" fontId="16" fillId="0" borderId="0" xfId="1" applyNumberFormat="1" applyFont="1" applyFill="1"/>
    <xf numFmtId="0" fontId="16" fillId="0" borderId="0" xfId="0" applyFont="1" applyAlignment="1">
      <alignment horizontal="center"/>
    </xf>
    <xf numFmtId="43" fontId="0" fillId="36" borderId="0" xfId="1" applyFont="1" applyFill="1"/>
    <xf numFmtId="43" fontId="0" fillId="0" borderId="0" xfId="1" applyFont="1"/>
    <xf numFmtId="0" fontId="16" fillId="38" borderId="21" xfId="0" applyFont="1" applyFill="1" applyBorder="1"/>
    <xf numFmtId="0" fontId="0" fillId="0" borderId="0" xfId="0" pivotButton="1"/>
    <xf numFmtId="0" fontId="16" fillId="34" borderId="24" xfId="0" applyFont="1" applyFill="1" applyBorder="1"/>
    <xf numFmtId="0" fontId="0" fillId="39" borderId="0" xfId="0" applyFill="1"/>
    <xf numFmtId="0" fontId="0" fillId="39" borderId="15" xfId="0" applyFill="1" applyBorder="1"/>
    <xf numFmtId="0" fontId="0" fillId="39" borderId="14" xfId="0" applyFill="1" applyBorder="1"/>
    <xf numFmtId="0" fontId="0" fillId="0" borderId="0" xfId="0" applyAlignment="1">
      <alignment horizontal="right"/>
    </xf>
    <xf numFmtId="0" fontId="16" fillId="39" borderId="0" xfId="0" applyFont="1" applyFill="1"/>
    <xf numFmtId="164" fontId="16" fillId="0" borderId="23" xfId="1" applyNumberFormat="1" applyFont="1" applyBorder="1"/>
    <xf numFmtId="164" fontId="0" fillId="0" borderId="0" xfId="0" applyNumberFormat="1"/>
    <xf numFmtId="0" fontId="27" fillId="0" borderId="0" xfId="0" applyFont="1"/>
    <xf numFmtId="0" fontId="0" fillId="0" borderId="0" xfId="0" quotePrefix="1"/>
    <xf numFmtId="0" fontId="18" fillId="0" borderId="0" xfId="0" applyFont="1"/>
    <xf numFmtId="0" fontId="16" fillId="40" borderId="12" xfId="0" applyFont="1" applyFill="1" applyBorder="1"/>
    <xf numFmtId="0" fontId="14" fillId="0" borderId="0" xfId="0" applyFont="1"/>
    <xf numFmtId="0" fontId="0" fillId="0" borderId="0" xfId="0" applyAlignment="1">
      <alignment horizontal="left"/>
    </xf>
    <xf numFmtId="0" fontId="0" fillId="40" borderId="0" xfId="0" applyFill="1"/>
    <xf numFmtId="0" fontId="0" fillId="42" borderId="0" xfId="0" applyFill="1"/>
    <xf numFmtId="0" fontId="16" fillId="34" borderId="0" xfId="0" applyFont="1" applyFill="1"/>
    <xf numFmtId="0" fontId="0" fillId="43" borderId="0" xfId="0" applyFill="1"/>
    <xf numFmtId="0" fontId="29" fillId="33" borderId="0" xfId="44" applyFill="1" applyAlignment="1">
      <alignment horizontal="right"/>
    </xf>
    <xf numFmtId="0" fontId="0" fillId="0" borderId="13" xfId="0" applyBorder="1"/>
    <xf numFmtId="0" fontId="16" fillId="35" borderId="25" xfId="0" applyFont="1" applyFill="1" applyBorder="1"/>
    <xf numFmtId="0" fontId="30" fillId="44" borderId="0" xfId="44" applyFont="1" applyFill="1" applyAlignment="1">
      <alignment horizontal="center"/>
    </xf>
    <xf numFmtId="0" fontId="0" fillId="34" borderId="0" xfId="0" applyFill="1"/>
    <xf numFmtId="3" fontId="30" fillId="33" borderId="0" xfId="44" applyNumberFormat="1" applyFont="1" applyFill="1" applyAlignment="1">
      <alignment horizontal="right"/>
    </xf>
    <xf numFmtId="0" fontId="0" fillId="39" borderId="0" xfId="0" applyFill="1" applyAlignment="1">
      <alignment horizontal="right"/>
    </xf>
    <xf numFmtId="0" fontId="29" fillId="41" borderId="0" xfId="44" applyFill="1" applyAlignment="1">
      <alignment horizontal="left"/>
    </xf>
    <xf numFmtId="0" fontId="29" fillId="33" borderId="0" xfId="44" applyFill="1" applyAlignment="1">
      <alignment horizontal="left"/>
    </xf>
    <xf numFmtId="3" fontId="29" fillId="33" borderId="0" xfId="44" applyNumberFormat="1" applyFill="1" applyAlignment="1">
      <alignment horizontal="right"/>
    </xf>
    <xf numFmtId="165" fontId="29" fillId="41" borderId="0" xfId="44" applyNumberFormat="1" applyFill="1" applyAlignment="1">
      <alignment horizontal="right"/>
    </xf>
    <xf numFmtId="0" fontId="29" fillId="41" borderId="0" xfId="44" applyFill="1" applyAlignment="1">
      <alignment horizontal="right"/>
    </xf>
    <xf numFmtId="0" fontId="29" fillId="0" borderId="0" xfId="44" applyAlignment="1">
      <alignment horizontal="left"/>
    </xf>
    <xf numFmtId="3" fontId="29" fillId="41" borderId="0" xfId="44" applyNumberFormat="1" applyFill="1" applyAlignment="1">
      <alignment horizontal="left"/>
    </xf>
    <xf numFmtId="0" fontId="30" fillId="33" borderId="0" xfId="44" applyFont="1" applyFill="1" applyAlignment="1">
      <alignment horizontal="center"/>
    </xf>
    <xf numFmtId="1" fontId="30" fillId="33" borderId="0" xfId="44" applyNumberFormat="1" applyFont="1" applyFill="1" applyAlignment="1">
      <alignment horizontal="center"/>
    </xf>
    <xf numFmtId="1" fontId="29" fillId="33" borderId="0" xfId="44" applyNumberFormat="1" applyFill="1" applyAlignment="1">
      <alignment horizontal="right"/>
    </xf>
    <xf numFmtId="1" fontId="29" fillId="41" borderId="0" xfId="44" applyNumberFormat="1" applyFill="1" applyAlignment="1">
      <alignment horizontal="left"/>
    </xf>
    <xf numFmtId="0" fontId="0" fillId="43" borderId="14" xfId="0" applyFill="1" applyBorder="1"/>
    <xf numFmtId="0" fontId="0" fillId="43" borderId="15" xfId="0" applyFill="1" applyBorder="1"/>
    <xf numFmtId="0" fontId="0" fillId="44" borderId="0" xfId="0" applyFill="1"/>
    <xf numFmtId="0" fontId="30" fillId="41" borderId="0" xfId="44" applyFont="1" applyFill="1" applyAlignment="1">
      <alignment horizontal="left"/>
    </xf>
    <xf numFmtId="43" fontId="0" fillId="0" borderId="0" xfId="0" applyNumberFormat="1"/>
    <xf numFmtId="0" fontId="16" fillId="45" borderId="0" xfId="0" applyFont="1" applyFill="1"/>
    <xf numFmtId="0" fontId="16" fillId="45" borderId="21" xfId="0" applyFont="1" applyFill="1" applyBorder="1"/>
    <xf numFmtId="0" fontId="16" fillId="45" borderId="21" xfId="0" applyFont="1" applyFill="1" applyBorder="1" applyAlignment="1">
      <alignment horizontal="right"/>
    </xf>
    <xf numFmtId="0" fontId="0" fillId="46" borderId="0" xfId="0" applyFill="1" applyAlignment="1">
      <alignment horizontal="left"/>
    </xf>
    <xf numFmtId="164" fontId="1" fillId="46" borderId="0" xfId="1" applyNumberFormat="1" applyFont="1" applyFill="1"/>
    <xf numFmtId="164" fontId="31" fillId="46" borderId="0" xfId="44" applyNumberFormat="1" applyFont="1" applyFill="1" applyAlignment="1">
      <alignment horizontal="left"/>
    </xf>
    <xf numFmtId="0" fontId="16" fillId="45" borderId="22" xfId="0" applyFont="1" applyFill="1" applyBorder="1" applyAlignment="1">
      <alignment horizontal="left"/>
    </xf>
    <xf numFmtId="164" fontId="16" fillId="46" borderId="26" xfId="1" applyNumberFormat="1" applyFont="1" applyFill="1" applyBorder="1"/>
    <xf numFmtId="164" fontId="0" fillId="46" borderId="0" xfId="1" applyNumberFormat="1" applyFont="1" applyFill="1"/>
    <xf numFmtId="164" fontId="29" fillId="46" borderId="0" xfId="44" applyNumberFormat="1" applyFill="1" applyAlignment="1">
      <alignment horizontal="left"/>
    </xf>
    <xf numFmtId="164" fontId="16" fillId="46" borderId="23" xfId="1" applyNumberFormat="1" applyFont="1" applyFill="1" applyBorder="1"/>
    <xf numFmtId="1" fontId="30" fillId="47" borderId="0" xfId="44" applyNumberFormat="1" applyFont="1" applyFill="1" applyAlignment="1">
      <alignment horizontal="center"/>
    </xf>
    <xf numFmtId="1" fontId="0" fillId="0" borderId="0" xfId="0" applyNumberFormat="1"/>
    <xf numFmtId="1" fontId="0" fillId="0" borderId="0" xfId="0" applyNumberFormat="1" applyAlignment="1">
      <alignment horizontal="right"/>
    </xf>
    <xf numFmtId="43" fontId="0" fillId="47" borderId="0" xfId="0" applyNumberFormat="1" applyFill="1"/>
    <xf numFmtId="1" fontId="0" fillId="33" borderId="27" xfId="0" applyNumberFormat="1" applyFill="1" applyBorder="1" applyAlignment="1">
      <alignment horizontal="right"/>
    </xf>
    <xf numFmtId="1" fontId="0" fillId="47" borderId="27" xfId="0" applyNumberFormat="1" applyFill="1" applyBorder="1" applyAlignment="1">
      <alignment horizontal="right"/>
    </xf>
    <xf numFmtId="0" fontId="16" fillId="39" borderId="0" xfId="0" applyFont="1" applyFill="1" applyAlignment="1">
      <alignment horizontal="right"/>
    </xf>
    <xf numFmtId="164" fontId="29" fillId="41" borderId="0" xfId="1" applyNumberFormat="1" applyFont="1" applyFill="1" applyAlignment="1">
      <alignment horizontal="right"/>
    </xf>
    <xf numFmtId="10" fontId="0" fillId="0" borderId="0" xfId="0" applyNumberFormat="1" applyAlignment="1">
      <alignment horizontal="right"/>
    </xf>
    <xf numFmtId="0" fontId="0" fillId="48" borderId="0" xfId="0" applyFill="1"/>
    <xf numFmtId="0" fontId="0" fillId="49" borderId="0" xfId="0" applyFill="1"/>
    <xf numFmtId="165" fontId="29" fillId="49" borderId="0" xfId="44" applyNumberFormat="1" applyFill="1" applyAlignment="1">
      <alignment horizontal="right"/>
    </xf>
    <xf numFmtId="0" fontId="0" fillId="37" borderId="0" xfId="0" applyFill="1"/>
    <xf numFmtId="165" fontId="29" fillId="37" borderId="0" xfId="44" applyNumberFormat="1" applyFill="1" applyAlignment="1">
      <alignment horizontal="right"/>
    </xf>
    <xf numFmtId="0" fontId="16" fillId="50" borderId="0" xfId="0" applyFont="1" applyFill="1" applyAlignment="1">
      <alignment horizontal="right"/>
    </xf>
    <xf numFmtId="43" fontId="0" fillId="36" borderId="0" xfId="1" applyFont="1" applyFill="1" applyAlignment="1">
      <alignment horizontal="right"/>
    </xf>
    <xf numFmtId="49" fontId="0" fillId="0" borderId="0" xfId="0" applyNumberFormat="1"/>
    <xf numFmtId="49" fontId="0" fillId="48" borderId="0" xfId="0" applyNumberFormat="1" applyFill="1"/>
    <xf numFmtId="49" fontId="0" fillId="49" borderId="0" xfId="0" applyNumberFormat="1" applyFill="1"/>
    <xf numFmtId="49" fontId="0" fillId="37" borderId="0" xfId="0" applyNumberFormat="1" applyFill="1"/>
    <xf numFmtId="0" fontId="16" fillId="44" borderId="28" xfId="0" applyFont="1" applyFill="1" applyBorder="1" applyAlignment="1">
      <alignment horizontal="right"/>
    </xf>
    <xf numFmtId="0" fontId="0" fillId="44" borderId="29" xfId="0" applyFill="1" applyBorder="1" applyAlignment="1">
      <alignment horizontal="right"/>
    </xf>
    <xf numFmtId="164" fontId="0" fillId="44" borderId="15" xfId="0" applyNumberFormat="1" applyFill="1" applyBorder="1"/>
    <xf numFmtId="0" fontId="32" fillId="0" borderId="0" xfId="0" applyFont="1"/>
    <xf numFmtId="164" fontId="0" fillId="0" borderId="0" xfId="45" applyNumberFormat="1" applyFont="1"/>
    <xf numFmtId="164" fontId="0" fillId="44" borderId="14" xfId="45" applyNumberFormat="1" applyFont="1" applyFill="1" applyBorder="1"/>
    <xf numFmtId="164" fontId="16" fillId="44" borderId="14" xfId="45" applyNumberFormat="1" applyFont="1" applyFill="1" applyBorder="1"/>
    <xf numFmtId="164" fontId="16" fillId="44" borderId="15" xfId="45" applyNumberFormat="1" applyFont="1" applyFill="1" applyBorder="1"/>
    <xf numFmtId="164" fontId="16" fillId="44" borderId="17" xfId="45" applyNumberFormat="1" applyFont="1" applyFill="1" applyBorder="1"/>
    <xf numFmtId="164" fontId="16" fillId="44" borderId="18" xfId="45" applyNumberFormat="1" applyFont="1" applyFill="1" applyBorder="1"/>
    <xf numFmtId="0" fontId="0" fillId="0" borderId="0" xfId="0" applyAlignment="1">
      <alignment horizontal="left" indent="1"/>
    </xf>
    <xf numFmtId="164" fontId="34" fillId="0" borderId="0" xfId="45" applyNumberFormat="1" applyFont="1"/>
    <xf numFmtId="0" fontId="35" fillId="0" borderId="0" xfId="0" applyFont="1" applyAlignment="1">
      <alignment horizontal="left"/>
    </xf>
    <xf numFmtId="0" fontId="0" fillId="51" borderId="0" xfId="0" applyFill="1"/>
    <xf numFmtId="0" fontId="16" fillId="51" borderId="0" xfId="0" applyFont="1" applyFill="1" applyAlignment="1">
      <alignment horizontal="right"/>
    </xf>
    <xf numFmtId="0" fontId="16" fillId="51" borderId="0" xfId="0" applyFont="1" applyFill="1" applyAlignment="1">
      <alignment horizontal="left"/>
    </xf>
    <xf numFmtId="43" fontId="0" fillId="51" borderId="0" xfId="45" applyFont="1" applyFill="1" applyAlignment="1"/>
    <xf numFmtId="43" fontId="0" fillId="51" borderId="0" xfId="45" applyFont="1" applyFill="1"/>
    <xf numFmtId="164" fontId="0" fillId="51" borderId="0" xfId="45" applyNumberFormat="1" applyFont="1" applyFill="1" applyAlignment="1"/>
    <xf numFmtId="3" fontId="16" fillId="51" borderId="0" xfId="0" applyNumberFormat="1" applyFont="1" applyFill="1"/>
    <xf numFmtId="43" fontId="34" fillId="51" borderId="0" xfId="45" applyFont="1" applyFill="1"/>
    <xf numFmtId="0" fontId="16" fillId="51" borderId="0" xfId="0" applyFont="1" applyFill="1"/>
    <xf numFmtId="0" fontId="0" fillId="0" borderId="0" xfId="0" applyAlignment="1">
      <alignment horizontal="center"/>
    </xf>
    <xf numFmtId="0" fontId="36" fillId="0" borderId="0" xfId="0" applyFont="1"/>
    <xf numFmtId="0" fontId="37" fillId="36" borderId="33" xfId="0" applyFont="1" applyFill="1" applyBorder="1"/>
    <xf numFmtId="0" fontId="32" fillId="36" borderId="34" xfId="0" applyFont="1" applyFill="1" applyBorder="1" applyAlignment="1">
      <alignment horizontal="right"/>
    </xf>
    <xf numFmtId="0" fontId="32" fillId="36" borderId="35" xfId="0" applyFont="1" applyFill="1" applyBorder="1" applyAlignment="1">
      <alignment horizontal="right"/>
    </xf>
    <xf numFmtId="0" fontId="37" fillId="36" borderId="36" xfId="0" applyFont="1" applyFill="1" applyBorder="1" applyAlignment="1">
      <alignment wrapText="1"/>
    </xf>
    <xf numFmtId="0" fontId="38" fillId="0" borderId="0" xfId="0" applyFont="1"/>
    <xf numFmtId="0" fontId="37" fillId="36" borderId="33" xfId="0" applyFont="1" applyFill="1" applyBorder="1" applyAlignment="1">
      <alignment wrapText="1"/>
    </xf>
    <xf numFmtId="165" fontId="0" fillId="40" borderId="0" xfId="0" applyNumberFormat="1" applyFill="1"/>
    <xf numFmtId="165" fontId="0" fillId="42" borderId="0" xfId="0" applyNumberFormat="1" applyFill="1"/>
    <xf numFmtId="165" fontId="0" fillId="44" borderId="0" xfId="0" applyNumberFormat="1" applyFill="1"/>
    <xf numFmtId="2" fontId="32" fillId="37" borderId="34" xfId="0" applyNumberFormat="1" applyFont="1" applyFill="1" applyBorder="1" applyAlignment="1">
      <alignment horizontal="center" vertical="center"/>
    </xf>
    <xf numFmtId="2" fontId="32" fillId="40" borderId="35" xfId="0" applyNumberFormat="1" applyFont="1" applyFill="1" applyBorder="1" applyAlignment="1">
      <alignment horizontal="center" vertical="center"/>
    </xf>
    <xf numFmtId="165" fontId="0" fillId="0" borderId="0" xfId="0" applyNumberFormat="1"/>
    <xf numFmtId="165" fontId="0" fillId="0" borderId="0" xfId="0" applyNumberFormat="1" applyAlignment="1">
      <alignment horizontal="right"/>
    </xf>
    <xf numFmtId="0" fontId="33" fillId="0" borderId="0" xfId="0" applyFont="1"/>
    <xf numFmtId="0" fontId="16" fillId="48" borderId="0" xfId="0" applyFont="1" applyFill="1"/>
    <xf numFmtId="0" fontId="16" fillId="48" borderId="0" xfId="0" applyFont="1" applyFill="1" applyAlignment="1">
      <alignment horizontal="right"/>
    </xf>
    <xf numFmtId="0" fontId="32" fillId="36" borderId="30" xfId="0" applyFont="1" applyFill="1" applyBorder="1" applyAlignment="1">
      <alignment horizontal="left" vertical="center" wrapText="1"/>
    </xf>
    <xf numFmtId="0" fontId="32" fillId="36" borderId="31" xfId="0" applyFont="1" applyFill="1" applyBorder="1" applyAlignment="1">
      <alignment horizontal="left" vertical="center" wrapText="1"/>
    </xf>
    <xf numFmtId="0" fontId="32" fillId="36" borderId="32" xfId="0" applyFont="1" applyFill="1" applyBorder="1" applyAlignment="1">
      <alignment horizontal="left" vertical="center" wrapText="1"/>
    </xf>
    <xf numFmtId="2" fontId="32" fillId="44" borderId="37" xfId="0" applyNumberFormat="1" applyFont="1" applyFill="1" applyBorder="1" applyAlignment="1">
      <alignment horizontal="center" vertical="center"/>
    </xf>
    <xf numFmtId="2" fontId="32" fillId="44" borderId="38" xfId="0" applyNumberFormat="1" applyFont="1" applyFill="1" applyBorder="1" applyAlignment="1">
      <alignment horizontal="center" vertical="center"/>
    </xf>
    <xf numFmtId="43" fontId="0" fillId="0" borderId="0" xfId="1" applyNumberFormat="1" applyFont="1"/>
    <xf numFmtId="169" fontId="16" fillId="0" borderId="0" xfId="1" applyNumberFormat="1" applyFont="1"/>
    <xf numFmtId="43" fontId="0" fillId="48" borderId="0" xfId="1" applyNumberFormat="1" applyFont="1" applyFill="1"/>
    <xf numFmtId="0" fontId="0" fillId="52" borderId="0" xfId="0" applyFill="1"/>
    <xf numFmtId="164" fontId="0" fillId="52" borderId="0" xfId="1" applyNumberFormat="1" applyFont="1" applyFill="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5" xr:uid="{B4B5DEA2-C61C-4F99-BA34-C7FA31CEE69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rmal 2" xfId="44" xr:uid="{55F19546-E3B1-4642-9753-7B0C1F84E53D}"/>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78">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164" formatCode="_(* #,##0_);_(* \(#,##0\);_(* &quot;-&quot;??_);_(@_)"/>
    </dxf>
    <dxf>
      <alignment horizontal="right"/>
    </dxf>
    <dxf>
      <numFmt numFmtId="164" formatCode="_(* #,##0_);_(* \(#,##0\);_(* &quot;-&quot;??_);_(@_)"/>
    </dxf>
    <dxf>
      <alignment horizontal="right"/>
    </dxf>
    <dxf>
      <alignment horizontal="right"/>
    </dxf>
    <dxf>
      <numFmt numFmtId="164" formatCode="_(* #,##0_);_(* \(#,##0\);_(* &quot;-&quot;??_);_(@_)"/>
    </dxf>
    <dxf>
      <alignment horizontal="right"/>
    </dxf>
    <dxf>
      <numFmt numFmtId="164" formatCode="_(* #,##0_);_(* \(#,##0\);_(* &quot;-&quot;??_);_(@_)"/>
    </dxf>
    <dxf>
      <alignment horizontal="right"/>
    </dxf>
    <dxf>
      <numFmt numFmtId="164" formatCode="_(* #,##0_);_(* \(#,##0\);_(* &quot;-&quot;??_);_(@_)"/>
    </dxf>
    <dxf>
      <numFmt numFmtId="14" formatCode="0.00%"/>
    </dxf>
    <dxf>
      <alignment horizontal="right"/>
    </dxf>
    <dxf>
      <numFmt numFmtId="164" formatCode="_(* #,##0_);_(* \(#,##0\);_(* &quot;-&quot;??_);_(@_)"/>
    </dxf>
    <dxf>
      <numFmt numFmtId="14" formatCode="0.00%"/>
    </dxf>
    <dxf>
      <alignment horizontal="right"/>
    </dxf>
    <dxf>
      <numFmt numFmtId="164" formatCode="_(* #,##0_);_(* \(#,##0\);_(* &quot;-&quot;??_);_(@_)"/>
    </dxf>
    <dxf>
      <alignment horizontal="right"/>
    </dxf>
    <dxf>
      <numFmt numFmtId="164" formatCode="_(* #,##0_);_(* \(#,##0\);_(* &quot;-&quot;??_);_(@_)"/>
    </dxf>
    <dxf>
      <alignment horizontal="right"/>
    </dxf>
    <dxf>
      <numFmt numFmtId="164" formatCode="_(* #,##0_);_(* \(#,##0\);_(* &quot;-&quot;??_);_(@_)"/>
    </dxf>
    <dxf>
      <numFmt numFmtId="164" formatCode="_(* #,##0_);_(* \(#,##0\);_(* &quot;-&quot;??_);_(@_)"/>
    </dxf>
    <dxf>
      <numFmt numFmtId="167" formatCode="0.0%"/>
    </dxf>
    <dxf>
      <numFmt numFmtId="167" formatCode="0.0%"/>
    </dxf>
    <dxf>
      <numFmt numFmtId="167" formatCode="0.0%"/>
    </dxf>
    <dxf>
      <numFmt numFmtId="167" formatCode="0.0%"/>
    </dxf>
    <dxf>
      <numFmt numFmtId="167" formatCode="0.0%"/>
    </dxf>
    <dxf>
      <numFmt numFmtId="167" formatCode="0.0%"/>
    </dxf>
    <dxf>
      <numFmt numFmtId="3" formatCode="#,##0"/>
    </dxf>
    <dxf>
      <numFmt numFmtId="165" formatCode="0.000"/>
    </dxf>
    <dxf>
      <numFmt numFmtId="166"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1</xdr:col>
      <xdr:colOff>314325</xdr:colOff>
      <xdr:row>19</xdr:row>
      <xdr:rowOff>123825</xdr:rowOff>
    </xdr:to>
    <xdr:sp macro="" textlink="">
      <xdr:nvSpPr>
        <xdr:cNvPr id="1025" name="AutoShape 1">
          <a:extLst>
            <a:ext uri="{FF2B5EF4-FFF2-40B4-BE49-F238E27FC236}">
              <a16:creationId xmlns:a16="http://schemas.microsoft.com/office/drawing/2014/main" id="{4A86AAA9-2262-DD00-52DE-F5C396F09086}"/>
            </a:ext>
          </a:extLst>
        </xdr:cNvPr>
        <xdr:cNvSpPr>
          <a:spLocks noChangeAspect="1" noChangeArrowheads="1"/>
        </xdr:cNvSpPr>
      </xdr:nvSpPr>
      <xdr:spPr bwMode="auto">
        <a:xfrm>
          <a:off x="0" y="33699450"/>
          <a:ext cx="3041650" cy="895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dward.000\Documents\Documents\!Contracts_02-21-2011\Lynker_NMFS_PS_Salmon_RMP\Data\Updated%20FW%20trips-per-fish%20estimates%20including%20steelhead%20for%20PS%20RMP%20EIS_05-10-2024_ecw.xlsx" TargetMode="External"/><Relationship Id="rId1" Type="http://schemas.openxmlformats.org/officeDocument/2006/relationships/externalLinkPath" Target="Updated%20FW%20trips-per-fish%20estimates%20including%20steelhead%20for%20PS%20RMP%20EIS_05-10-2024_ec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Updated Puget Sound effort"/>
      <sheetName val="CRC Puget Sound"/>
      <sheetName val="CRC Statewide"/>
      <sheetName val="RawCRC"/>
      <sheetName val="Steelhead 2022"/>
    </sheetNames>
    <sheetDataSet>
      <sheetData sheetId="0"/>
      <sheetData sheetId="1">
        <row r="30">
          <cell r="B30">
            <v>3.5390404397824153</v>
          </cell>
          <cell r="C30">
            <v>4.8195549041132084</v>
          </cell>
        </row>
        <row r="31">
          <cell r="B31">
            <v>20.927237324879293</v>
          </cell>
          <cell r="C31"/>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Waters" refreshedDate="45215.756349305557" createdVersion="8" refreshedVersion="8" minRefreshableVersion="3" recordCount="3809" xr:uid="{313BB7D6-4699-4141-A144-14D475397475}">
  <cacheSource type="worksheet">
    <worksheetSource ref="A1:Q3810" sheet="FW_Salmon_by_Month_2010-2021"/>
  </cacheSource>
  <cacheFields count="17">
    <cacheField name="Row" numFmtId="0">
      <sharedItems containsSemiMixedTypes="0" containsString="0" containsNumber="1" containsInteger="1" minValue="1" maxValue="3809"/>
    </cacheField>
    <cacheField name="Year" numFmtId="0">
      <sharedItems containsSemiMixedTypes="0" containsString="0" containsNumber="1" containsInteger="1" minValue="2010" maxValue="2021" count="12">
        <n v="2010"/>
        <n v="2011"/>
        <n v="2012"/>
        <n v="2013"/>
        <n v="2014"/>
        <n v="2015"/>
        <n v="2016"/>
        <n v="2017"/>
        <n v="2018"/>
        <n v="2019"/>
        <n v="2020"/>
        <n v="2021"/>
      </sharedItems>
    </cacheField>
    <cacheField name="Month" numFmtId="0">
      <sharedItems containsSemiMixedTypes="0" containsString="0" containsNumber="1" containsInteger="1" minValue="1" maxValue="12" count="10">
        <n v="8"/>
        <n v="9"/>
        <n v="10"/>
        <n v="11"/>
        <n v="12"/>
        <n v="7"/>
        <n v="1"/>
        <n v="6"/>
        <n v="3"/>
        <n v="5"/>
      </sharedItems>
    </cacheField>
    <cacheField name="License_year" numFmtId="1">
      <sharedItems containsSemiMixedTypes="0" containsString="0" containsNumber="1" containsInteger="1" minValue="2010" maxValue="2021" count="12">
        <n v="2010"/>
        <n v="2011"/>
        <n v="2012"/>
        <n v="2013"/>
        <n v="2014"/>
        <n v="2015"/>
        <n v="2016"/>
        <n v="2017"/>
        <n v="2018"/>
        <n v="2019"/>
        <n v="2020"/>
        <n v="2021"/>
      </sharedItems>
    </cacheField>
    <cacheField name="Water_Type" numFmtId="0">
      <sharedItems/>
    </cacheField>
    <cacheField name="Water_Type2" numFmtId="0">
      <sharedItems/>
    </cacheField>
    <cacheField name="Species" numFmtId="0">
      <sharedItems/>
    </cacheField>
    <cacheField name="CatchAreaCode" numFmtId="0">
      <sharedItems containsMixedTypes="1" containsNumber="1" containsInteger="1" minValue="706" maxValue="884"/>
    </cacheField>
    <cacheField name="CatchArea" numFmtId="0">
      <sharedItems/>
    </cacheField>
    <cacheField name="CatchArea2" numFmtId="0">
      <sharedItems/>
    </cacheField>
    <cacheField name="County_CatchArea" numFmtId="0">
      <sharedItems/>
    </cacheField>
    <cacheField name="Subregion_CatchArea" numFmtId="0">
      <sharedItems count="6">
        <s v="3South Puget Sound"/>
        <s v="1North Puget Sound"/>
        <s v="4 Hood Canal"/>
        <s v="0Strait of Juan de Fuca"/>
        <s v="2Central Puget Sound"/>
        <s v="NA"/>
      </sharedItems>
    </cacheField>
    <cacheField name="County_of_Residence" numFmtId="0">
      <sharedItems/>
    </cacheField>
    <cacheField name="County_of_Res_N-S_Order" numFmtId="0">
      <sharedItems/>
    </cacheField>
    <cacheField name="Subregion_of_Residence" numFmtId="0">
      <sharedItems/>
    </cacheField>
    <cacheField name="Catch" numFmtId="3">
      <sharedItems containsSemiMixedTypes="0" containsString="0" containsNumber="1" minValue="0" maxValue="56971.359482911299"/>
    </cacheField>
    <cacheField name="Calc Trips" numFmtId="165">
      <sharedItems containsSemiMixedTypes="0" containsString="0" containsNumber="1" minValue="0" maxValue="195981.476621214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Waters" refreshedDate="45216.604234027778" createdVersion="8" refreshedVersion="8" minRefreshableVersion="3" recordCount="2232" xr:uid="{EDFB1813-CAEC-436C-B6A1-3931703DAD72}">
  <cacheSource type="worksheet">
    <worksheetSource ref="A1:R2233" sheet="FW_Steelhead_by_Month_2010-2021"/>
  </cacheSource>
  <cacheFields count="18">
    <cacheField name="Row" numFmtId="0">
      <sharedItems containsSemiMixedTypes="0" containsString="0" containsNumber="1" containsInteger="1" minValue="1" maxValue="2232"/>
    </cacheField>
    <cacheField name="Year" numFmtId="1">
      <sharedItems containsSemiMixedTypes="0" containsString="0" containsNumber="1" containsInteger="1" minValue="2010" maxValue="2022" count="13">
        <n v="2010"/>
        <n v="2011"/>
        <n v="2012"/>
        <n v="2013"/>
        <n v="2014"/>
        <n v="2015"/>
        <n v="2016"/>
        <n v="2017"/>
        <n v="2018"/>
        <n v="2019"/>
        <n v="2020"/>
        <n v="2021"/>
        <n v="2022"/>
      </sharedItems>
    </cacheField>
    <cacheField name="Month" numFmtId="1">
      <sharedItems containsSemiMixedTypes="0" containsString="0" containsNumber="1" containsInteger="1" minValue="1" maxValue="12" count="12">
        <n v="4"/>
        <n v="5"/>
        <n v="6"/>
        <n v="7"/>
        <n v="8"/>
        <n v="9"/>
        <n v="10"/>
        <n v="11"/>
        <n v="12"/>
        <n v="1"/>
        <n v="2"/>
        <n v="3"/>
      </sharedItems>
    </cacheField>
    <cacheField name="License_year" numFmtId="1">
      <sharedItems containsSemiMixedTypes="0" containsString="0" containsNumber="1" containsInteger="1" minValue="2010" maxValue="2021" count="12">
        <n v="2010"/>
        <n v="2011"/>
        <n v="2012"/>
        <n v="2013"/>
        <n v="2014"/>
        <n v="2015"/>
        <n v="2016"/>
        <n v="2017"/>
        <n v="2018"/>
        <n v="2019"/>
        <n v="2020"/>
        <n v="2021"/>
      </sharedItems>
    </cacheField>
    <cacheField name="Water_Type" numFmtId="0">
      <sharedItems/>
    </cacheField>
    <cacheField name="Water_Type2" numFmtId="0">
      <sharedItems count="1">
        <s v="2Freshwater"/>
      </sharedItems>
    </cacheField>
    <cacheField name="Species" numFmtId="0">
      <sharedItems count="1">
        <s v="Steelhead"/>
      </sharedItems>
    </cacheField>
    <cacheField name="CatchAreaCode" numFmtId="0">
      <sharedItems/>
    </cacheField>
    <cacheField name="CatchArea" numFmtId="0">
      <sharedItems/>
    </cacheField>
    <cacheField name="CatchArea2" numFmtId="0">
      <sharedItems/>
    </cacheField>
    <cacheField name="County_CatchArea" numFmtId="0">
      <sharedItems/>
    </cacheField>
    <cacheField name="Subregion_CatchArea" numFmtId="0">
      <sharedItems count="6">
        <s v="2Central Puget Sound"/>
        <s v="1North Puget Sound"/>
        <s v="3South Puget Sound"/>
        <s v="0Strait of Juan de Fuca"/>
        <s v="4 Hood Canal"/>
        <s v="NA"/>
      </sharedItems>
    </cacheField>
    <cacheField name="County_of_Residence" numFmtId="0">
      <sharedItems/>
    </cacheField>
    <cacheField name="County_of_Res_N-S_Order" numFmtId="0">
      <sharedItems/>
    </cacheField>
    <cacheField name="Subregion_of_Residence" numFmtId="0">
      <sharedItems/>
    </cacheField>
    <cacheField name="Raw_Catch" numFmtId="1">
      <sharedItems containsSemiMixedTypes="0" containsString="0" containsNumber="1" minValue="0" maxValue="1880.4480000000001"/>
    </cacheField>
    <cacheField name="Adj_Raw_Catch" numFmtId="1">
      <sharedItems containsSemiMixedTypes="0" containsString="0" containsNumber="1" minValue="0" maxValue="957.654"/>
    </cacheField>
    <cacheField name="Calc Trips" numFmtId="165">
      <sharedItems containsSemiMixedTypes="0" containsString="0" containsNumber="1" minValue="0" maxValue="17764.481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Waters" refreshedDate="45216.667769560183" createdVersion="8" refreshedVersion="8" minRefreshableVersion="3" recordCount="3724" xr:uid="{00000000-000A-0000-FFFF-FFFF44000000}">
  <cacheSource type="worksheet">
    <worksheetSource ref="A1:P3725" sheet="Rec_raw_catch_effort_2010-2021"/>
  </cacheSource>
  <cacheFields count="16">
    <cacheField name="Row" numFmtId="0">
      <sharedItems containsSemiMixedTypes="0" containsString="0" containsNumber="1" containsInteger="1" minValue="1" maxValue="3724"/>
    </cacheField>
    <cacheField name="Year" numFmtId="0">
      <sharedItems containsSemiMixedTypes="0" containsString="0" containsNumber="1" containsInteger="1" minValue="2010" maxValue="2021" count="12">
        <n v="2010"/>
        <n v="2011"/>
        <n v="2012"/>
        <n v="2013"/>
        <n v="2014"/>
        <n v="2015"/>
        <n v="2016"/>
        <n v="2017"/>
        <n v="2018"/>
        <n v="2019"/>
        <n v="2020"/>
        <n v="2021"/>
      </sharedItems>
    </cacheField>
    <cacheField name="Water_Type" numFmtId="0">
      <sharedItems/>
    </cacheField>
    <cacheField name="Water_Type2" numFmtId="0">
      <sharedItems count="2">
        <s v="1Marine"/>
        <s v="2Freshwater"/>
      </sharedItems>
    </cacheField>
    <cacheField name="Species" numFmtId="0">
      <sharedItems count="2">
        <s v="Salmon"/>
        <s v="Steelhead"/>
      </sharedItems>
    </cacheField>
    <cacheField name="CatchAreaCode" numFmtId="0">
      <sharedItems containsSemiMixedTypes="0" containsDate="1" containsString="0" containsMixedTypes="1" minDate="1899-12-31T00:21:04" maxDate="1900-01-01T10:21:04"/>
    </cacheField>
    <cacheField name="CatchArea" numFmtId="0">
      <sharedItems/>
    </cacheField>
    <cacheField name="CatchArea2" numFmtId="0">
      <sharedItems/>
    </cacheField>
    <cacheField name="County_CatchArea" numFmtId="0">
      <sharedItems/>
    </cacheField>
    <cacheField name="Subregion_CatchArea" numFmtId="0">
      <sharedItems count="9">
        <s v="0Strait of Juan de Fuca"/>
        <s v="1North Puget Sound"/>
        <s v="2Central Puget Sound"/>
        <s v="3South Puget Sound"/>
        <s v="4 Hood Canal"/>
        <s v="NA"/>
        <s v="North Puget Sound" u="1"/>
        <s v="South Puget Sound" u="1"/>
        <s v="Strait of Juan de Fuca" u="1"/>
      </sharedItems>
    </cacheField>
    <cacheField name="County_of_Residence" numFmtId="0">
      <sharedItems/>
    </cacheField>
    <cacheField name="County_of_Res_N-S_Order" numFmtId="0">
      <sharedItems count="13">
        <s v="11Clallam"/>
        <s v="04Island"/>
        <s v="12Jefferson"/>
        <s v="06King"/>
        <s v="10Kitsap"/>
        <s v="09Mason"/>
        <s v="20Other"/>
        <s v="07Pierce"/>
        <s v="02Skagit"/>
        <s v="03Snohomish"/>
        <s v="08Thurston"/>
        <s v="01Whatcom"/>
        <s v="05San Juan"/>
      </sharedItems>
    </cacheField>
    <cacheField name="Subregion_County_of_Residence" numFmtId="0">
      <sharedItems/>
    </cacheField>
    <cacheField name="Subregion_Co_of_Res_N-S_Order" numFmtId="0">
      <sharedItems containsNonDate="0" containsString="0" containsBlank="1"/>
    </cacheField>
    <cacheField name="Catch" numFmtId="0">
      <sharedItems containsSemiMixedTypes="0" containsString="0" containsNumber="1" minValue="0" maxValue="96932.598568707195"/>
    </cacheField>
    <cacheField name="Trips" numFmtId="0">
      <sharedItems containsSemiMixedTypes="0" containsString="0" containsNumber="1" minValue="0" maxValue="333448.139076352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Waters" refreshedDate="45426.680529513891" createdVersion="8" refreshedVersion="8" minRefreshableVersion="3" recordCount="3724" xr:uid="{511728E8-A118-441A-9E14-CA2773867408}">
  <cacheSource type="worksheet">
    <worksheetSource ref="A1:R3725" sheet="Rec_raw_catch_effort_2010-2021"/>
  </cacheSource>
  <cacheFields count="18">
    <cacheField name="Row" numFmtId="0">
      <sharedItems containsSemiMixedTypes="0" containsString="0" containsNumber="1" containsInteger="1" minValue="1" maxValue="3724"/>
    </cacheField>
    <cacheField name="Year" numFmtId="0">
      <sharedItems containsSemiMixedTypes="0" containsString="0" containsNumber="1" containsInteger="1" minValue="2010" maxValue="2021" count="12">
        <n v="2010"/>
        <n v="2011"/>
        <n v="2012"/>
        <n v="2013"/>
        <n v="2014"/>
        <n v="2015"/>
        <n v="2016"/>
        <n v="2017"/>
        <n v="2018"/>
        <n v="2019"/>
        <n v="2020"/>
        <n v="2021"/>
      </sharedItems>
    </cacheField>
    <cacheField name="Water_Type" numFmtId="0">
      <sharedItems/>
    </cacheField>
    <cacheField name="Water_Type2" numFmtId="0">
      <sharedItems count="2">
        <s v="1Marine"/>
        <s v="2Freshwater"/>
      </sharedItems>
    </cacheField>
    <cacheField name="Species" numFmtId="0">
      <sharedItems count="2">
        <s v="Salmon"/>
        <s v="Steelhead"/>
      </sharedItems>
    </cacheField>
    <cacheField name="CatchAreaCode" numFmtId="49">
      <sharedItems containsMixedTypes="1" containsNumber="1" containsInteger="1" minValue="5" maxValue="900"/>
    </cacheField>
    <cacheField name="CatchArea" numFmtId="0">
      <sharedItems/>
    </cacheField>
    <cacheField name="CatchArea2" numFmtId="0">
      <sharedItems/>
    </cacheField>
    <cacheField name="County_CatchArea" numFmtId="0">
      <sharedItems/>
    </cacheField>
    <cacheField name="Subregion_CatchArea" numFmtId="0">
      <sharedItems count="6">
        <s v="0Strait of Juan de Fuca"/>
        <s v="1North Puget Sound"/>
        <s v="2Central Puget Sound"/>
        <s v="3South Puget Sound"/>
        <s v="4 Hood Canal"/>
        <s v="NA"/>
      </sharedItems>
    </cacheField>
    <cacheField name="County_of_Residence" numFmtId="0">
      <sharedItems/>
    </cacheField>
    <cacheField name="County_of_Res_N-S_Order" numFmtId="0">
      <sharedItems/>
    </cacheField>
    <cacheField name="Subregion_County_of_Residence" numFmtId="0">
      <sharedItems/>
    </cacheField>
    <cacheField name="Subregion_Co_of_Res_N-S_Order" numFmtId="0">
      <sharedItems/>
    </cacheField>
    <cacheField name="Catch" numFmtId="0">
      <sharedItems containsSemiMixedTypes="0" containsString="0" containsNumber="1" minValue="0" maxValue="96932.598568707195"/>
    </cacheField>
    <cacheField name="Trips" numFmtId="0">
      <sharedItems containsSemiMixedTypes="0" containsString="0" containsNumber="1" minValue="0" maxValue="333448.13907635299"/>
    </cacheField>
    <cacheField name="Catch2" numFmtId="0">
      <sharedItems containsSemiMixedTypes="0" containsString="0" containsNumber="1" minValue="0" maxValue="96633.269154634472"/>
    </cacheField>
    <cacheField name="Trips2" numFmtId="0">
      <sharedItems containsSemiMixedTypes="0" containsString="0" containsNumber="1" minValue="0" maxValue="341989.04736663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9">
  <r>
    <n v="1"/>
    <x v="0"/>
    <x v="0"/>
    <x v="0"/>
    <s v="Freshwater"/>
    <s v="2Freshwater"/>
    <s v="Salmon"/>
    <s v="714"/>
    <s v="Chambers Creek"/>
    <s v="Chambers Creek"/>
    <s v="Pierce"/>
    <x v="0"/>
    <s v="Kitsap"/>
    <s v="10Kitsap"/>
    <s v="02South Puget Sound"/>
    <n v="4.5384615384615401"/>
    <n v="39.257692307692324"/>
  </r>
  <r>
    <n v="2"/>
    <x v="0"/>
    <x v="0"/>
    <x v="0"/>
    <s v="Freshwater"/>
    <s v="2Freshwater"/>
    <s v="Salmon"/>
    <s v="714"/>
    <s v="Chambers Creek"/>
    <s v="Chambers Creek"/>
    <s v="Pierce"/>
    <x v="0"/>
    <s v="Pierce"/>
    <s v="07Pierce"/>
    <s v="02South Puget Sound"/>
    <n v="54.461538461538503"/>
    <n v="471.09230769230805"/>
  </r>
  <r>
    <n v="3"/>
    <x v="0"/>
    <x v="1"/>
    <x v="0"/>
    <s v="Freshwater"/>
    <s v="2Freshwater"/>
    <s v="Salmon"/>
    <s v="714"/>
    <s v="Chambers Creek"/>
    <s v="Chambers Creek"/>
    <s v="Pierce"/>
    <x v="0"/>
    <s v="Kitsap"/>
    <s v="10Kitsap"/>
    <s v="02South Puget Sound"/>
    <n v="9.1428571428571406"/>
    <n v="79.085714285714275"/>
  </r>
  <r>
    <n v="4"/>
    <x v="0"/>
    <x v="1"/>
    <x v="0"/>
    <s v="Freshwater"/>
    <s v="2Freshwater"/>
    <s v="Salmon"/>
    <s v="714"/>
    <s v="Chambers Creek"/>
    <s v="Chambers Creek"/>
    <s v="Pierce"/>
    <x v="0"/>
    <s v="Pierce"/>
    <s v="07Pierce"/>
    <s v="02South Puget Sound"/>
    <n v="50.285714285714299"/>
    <n v="434.9714285714287"/>
  </r>
  <r>
    <n v="5"/>
    <x v="0"/>
    <x v="1"/>
    <x v="0"/>
    <s v="Freshwater"/>
    <s v="2Freshwater"/>
    <s v="Salmon"/>
    <s v="714"/>
    <s v="Chambers Creek"/>
    <s v="Chambers Creek"/>
    <s v="Pierce"/>
    <x v="0"/>
    <s v="Thurston"/>
    <s v="08Thurston"/>
    <s v="02South Puget Sound"/>
    <n v="4.5714285714285703"/>
    <n v="39.542857142857137"/>
  </r>
  <r>
    <n v="6"/>
    <x v="0"/>
    <x v="2"/>
    <x v="0"/>
    <s v="Freshwater"/>
    <s v="2Freshwater"/>
    <s v="Salmon"/>
    <s v="714"/>
    <s v="Chambers Creek"/>
    <s v="Chambers Creek"/>
    <s v="Pierce"/>
    <x v="0"/>
    <s v="Pierce"/>
    <s v="07Pierce"/>
    <s v="02South Puget Sound"/>
    <n v="28"/>
    <n v="242.20000000000002"/>
  </r>
  <r>
    <n v="7"/>
    <x v="0"/>
    <x v="1"/>
    <x v="0"/>
    <s v="Freshwater"/>
    <s v="2Freshwater"/>
    <s v="Salmon"/>
    <s v="724"/>
    <s v="Dakota Creek (Whatcom Co)"/>
    <s v="Dakota Creek (Whatcom Co)"/>
    <s v="Whatcom"/>
    <x v="1"/>
    <s v="Whatcom"/>
    <s v="01Whatcom"/>
    <s v="01North Puget Sound"/>
    <n v="6"/>
    <n v="51.900000000000006"/>
  </r>
  <r>
    <n v="8"/>
    <x v="0"/>
    <x v="2"/>
    <x v="0"/>
    <s v="Freshwater"/>
    <s v="2Freshwater"/>
    <s v="Salmon"/>
    <s v="724"/>
    <s v="Dakota Creek (Whatcom Co)"/>
    <s v="Dakota Creek (Whatcom Co)"/>
    <s v="Whatcom"/>
    <x v="1"/>
    <s v="Snohomish"/>
    <s v="03Snohomish"/>
    <s v="01North Puget Sound"/>
    <n v="12.2608695652174"/>
    <n v="106.05652173913052"/>
  </r>
  <r>
    <n v="9"/>
    <x v="0"/>
    <x v="2"/>
    <x v="0"/>
    <s v="Freshwater"/>
    <s v="2Freshwater"/>
    <s v="Salmon"/>
    <s v="724"/>
    <s v="Dakota Creek (Whatcom Co)"/>
    <s v="Dakota Creek (Whatcom Co)"/>
    <s v="Whatcom"/>
    <x v="1"/>
    <s v="Whatcom"/>
    <s v="01Whatcom"/>
    <s v="01North Puget Sound"/>
    <n v="128.73913043478299"/>
    <n v="1113.5934782608729"/>
  </r>
  <r>
    <n v="10"/>
    <x v="0"/>
    <x v="0"/>
    <x v="0"/>
    <s v="Freshwater"/>
    <s v="2Freshwater"/>
    <s v="Salmon"/>
    <s v="728"/>
    <s v="Deschutes River"/>
    <s v="Deschutes River"/>
    <s v="Thurston"/>
    <x v="0"/>
    <s v="Thurston"/>
    <s v="08Thurston"/>
    <s v="02South Puget Sound"/>
    <n v="6"/>
    <n v="51.900000000000006"/>
  </r>
  <r>
    <n v="11"/>
    <x v="0"/>
    <x v="1"/>
    <x v="0"/>
    <s v="Freshwater"/>
    <s v="2Freshwater"/>
    <s v="Salmon"/>
    <s v="728"/>
    <s v="Deschutes River"/>
    <s v="Deschutes River"/>
    <s v="Thurston"/>
    <x v="0"/>
    <s v="Pierce"/>
    <s v="07Pierce"/>
    <s v="02South Puget Sound"/>
    <n v="13"/>
    <n v="112.45"/>
  </r>
  <r>
    <n v="12"/>
    <x v="0"/>
    <x v="3"/>
    <x v="0"/>
    <s v="Freshwater"/>
    <s v="2Freshwater"/>
    <s v="Salmon"/>
    <s v="736"/>
    <s v="Duckabush River"/>
    <s v="Duckabush River"/>
    <s v="Jefferson"/>
    <x v="2"/>
    <s v="Other"/>
    <s v="20Other"/>
    <s v="07Non Puget Sound"/>
    <n v="6"/>
    <n v="51.900000000000006"/>
  </r>
  <r>
    <n v="13"/>
    <x v="0"/>
    <x v="4"/>
    <x v="0"/>
    <s v="Freshwater"/>
    <s v="2Freshwater"/>
    <s v="Salmon"/>
    <s v="736"/>
    <s v="Duckabush River"/>
    <s v="Duckabush River"/>
    <s v="Jefferson"/>
    <x v="2"/>
    <s v="Thurston"/>
    <s v="08Thurston"/>
    <s v="02South Puget Sound"/>
    <n v="32"/>
    <n v="276.8"/>
  </r>
  <r>
    <n v="14"/>
    <x v="0"/>
    <x v="2"/>
    <x v="0"/>
    <s v="Freshwater"/>
    <s v="2Freshwater"/>
    <s v="Salmon"/>
    <s v="738"/>
    <s v="Dungeness River"/>
    <s v="Dungeness River"/>
    <s v="Clallam"/>
    <x v="3"/>
    <s v="Clallam"/>
    <s v="11Clallam"/>
    <s v="03Strait of Juan de Fuca"/>
    <n v="145.07692307692301"/>
    <n v="1254.915384615384"/>
  </r>
  <r>
    <n v="15"/>
    <x v="0"/>
    <x v="2"/>
    <x v="0"/>
    <s v="Freshwater"/>
    <s v="2Freshwater"/>
    <s v="Salmon"/>
    <s v="738"/>
    <s v="Dungeness River"/>
    <s v="Dungeness River"/>
    <s v="Clallam"/>
    <x v="3"/>
    <s v="King"/>
    <s v="06King"/>
    <s v="02South Puget Sound"/>
    <n v="6.3076923076923102"/>
    <n v="54.561538461538483"/>
  </r>
  <r>
    <n v="16"/>
    <x v="0"/>
    <x v="2"/>
    <x v="0"/>
    <s v="Freshwater"/>
    <s v="2Freshwater"/>
    <s v="Salmon"/>
    <s v="738"/>
    <s v="Dungeness River"/>
    <s v="Dungeness River"/>
    <s v="Clallam"/>
    <x v="3"/>
    <s v="Kitsap"/>
    <s v="10Kitsap"/>
    <s v="02South Puget Sound"/>
    <n v="12.615384615384601"/>
    <n v="109.12307692307679"/>
  </r>
  <r>
    <n v="17"/>
    <x v="0"/>
    <x v="3"/>
    <x v="0"/>
    <s v="Freshwater"/>
    <s v="2Freshwater"/>
    <s v="Salmon"/>
    <s v="738"/>
    <s v="Dungeness River"/>
    <s v="Dungeness River"/>
    <s v="Clallam"/>
    <x v="3"/>
    <s v="Clallam"/>
    <s v="11Clallam"/>
    <s v="03Strait of Juan de Fuca"/>
    <n v="56.454545454545503"/>
    <n v="488.33181818181862"/>
  </r>
  <r>
    <n v="18"/>
    <x v="0"/>
    <x v="3"/>
    <x v="0"/>
    <s v="Freshwater"/>
    <s v="2Freshwater"/>
    <s v="Salmon"/>
    <s v="738"/>
    <s v="Dungeness River"/>
    <s v="Dungeness River"/>
    <s v="Clallam"/>
    <x v="3"/>
    <s v="Kitsap"/>
    <s v="10Kitsap"/>
    <s v="02South Puget Sound"/>
    <n v="12.545454545454501"/>
    <n v="108.51818181818143"/>
  </r>
  <r>
    <n v="19"/>
    <x v="0"/>
    <x v="2"/>
    <x v="0"/>
    <s v="Freshwater"/>
    <s v="2Freshwater"/>
    <s v="Salmon"/>
    <s v="742"/>
    <s v="Elwha River"/>
    <s v="Elwha River"/>
    <s v="Clallam"/>
    <x v="3"/>
    <s v="Clallam"/>
    <s v="11Clallam"/>
    <s v="03Strait of Juan de Fuca"/>
    <n v="38"/>
    <n v="328.7"/>
  </r>
  <r>
    <n v="20"/>
    <x v="0"/>
    <x v="2"/>
    <x v="0"/>
    <s v="Freshwater"/>
    <s v="2Freshwater"/>
    <s v="Salmon"/>
    <s v="742"/>
    <s v="Elwha River"/>
    <s v="Elwha River"/>
    <s v="Clallam"/>
    <x v="3"/>
    <s v="Snohomish"/>
    <s v="03Snohomish"/>
    <s v="01North Puget Sound"/>
    <n v="38"/>
    <n v="328.7"/>
  </r>
  <r>
    <n v="21"/>
    <x v="0"/>
    <x v="0"/>
    <x v="0"/>
    <s v="Freshwater"/>
    <s v="2Freshwater"/>
    <s v="Salmon"/>
    <s v="746"/>
    <s v="Green - Duwamish River"/>
    <s v="Green - Duwamish River"/>
    <s v="King"/>
    <x v="0"/>
    <s v="King"/>
    <s v="06King"/>
    <s v="02South Puget Sound"/>
    <n v="6"/>
    <n v="51.900000000000006"/>
  </r>
  <r>
    <n v="22"/>
    <x v="0"/>
    <x v="1"/>
    <x v="0"/>
    <s v="Freshwater"/>
    <s v="2Freshwater"/>
    <s v="Salmon"/>
    <s v="746"/>
    <s v="Green - Duwamish River"/>
    <s v="Green - Duwamish River"/>
    <s v="King"/>
    <x v="0"/>
    <s v="King"/>
    <s v="06King"/>
    <s v="02South Puget Sound"/>
    <n v="453.951219512195"/>
    <n v="3926.6780487804867"/>
  </r>
  <r>
    <n v="23"/>
    <x v="0"/>
    <x v="1"/>
    <x v="0"/>
    <s v="Freshwater"/>
    <s v="2Freshwater"/>
    <s v="Salmon"/>
    <s v="746"/>
    <s v="Green - Duwamish River"/>
    <s v="Green - Duwamish River"/>
    <s v="King"/>
    <x v="0"/>
    <s v="Other"/>
    <s v="20Other"/>
    <s v="07Non Puget Sound"/>
    <n v="25.219512195122"/>
    <n v="218.14878048780531"/>
  </r>
  <r>
    <n v="24"/>
    <x v="0"/>
    <x v="1"/>
    <x v="0"/>
    <s v="Freshwater"/>
    <s v="2Freshwater"/>
    <s v="Salmon"/>
    <s v="746"/>
    <s v="Green - Duwamish River"/>
    <s v="Green - Duwamish River"/>
    <s v="King"/>
    <x v="0"/>
    <s v="Pierce"/>
    <s v="07Pierce"/>
    <s v="02South Puget Sound"/>
    <n v="31.524390243902399"/>
    <n v="272.68597560975576"/>
  </r>
  <r>
    <n v="25"/>
    <x v="0"/>
    <x v="1"/>
    <x v="0"/>
    <s v="Freshwater"/>
    <s v="2Freshwater"/>
    <s v="Salmon"/>
    <s v="746"/>
    <s v="Green - Duwamish River"/>
    <s v="Green - Duwamish River"/>
    <s v="King"/>
    <x v="0"/>
    <s v="Snohomish"/>
    <s v="03Snohomish"/>
    <s v="01North Puget Sound"/>
    <n v="6.3048780487804903"/>
    <n v="54.537195121951243"/>
  </r>
  <r>
    <n v="26"/>
    <x v="0"/>
    <x v="2"/>
    <x v="0"/>
    <s v="Freshwater"/>
    <s v="2Freshwater"/>
    <s v="Salmon"/>
    <s v="746"/>
    <s v="Green - Duwamish River"/>
    <s v="Green - Duwamish River"/>
    <s v="King"/>
    <x v="0"/>
    <s v="King"/>
    <s v="06King"/>
    <s v="02South Puget Sound"/>
    <n v="484.24444444444498"/>
    <n v="4188.7144444444493"/>
  </r>
  <r>
    <n v="27"/>
    <x v="0"/>
    <x v="2"/>
    <x v="0"/>
    <s v="Freshwater"/>
    <s v="2Freshwater"/>
    <s v="Salmon"/>
    <s v="746"/>
    <s v="Green - Duwamish River"/>
    <s v="Green - Duwamish River"/>
    <s v="King"/>
    <x v="0"/>
    <s v="Other"/>
    <s v="20Other"/>
    <s v="07Non Puget Sound"/>
    <n v="12.577777777777801"/>
    <n v="108.79777777777798"/>
  </r>
  <r>
    <n v="28"/>
    <x v="0"/>
    <x v="2"/>
    <x v="0"/>
    <s v="Freshwater"/>
    <s v="2Freshwater"/>
    <s v="Salmon"/>
    <s v="746"/>
    <s v="Green - Duwamish River"/>
    <s v="Green - Duwamish River"/>
    <s v="King"/>
    <x v="0"/>
    <s v="Pierce"/>
    <s v="07Pierce"/>
    <s v="02South Puget Sound"/>
    <n v="25.155555555555601"/>
    <n v="217.59555555555596"/>
  </r>
  <r>
    <n v="29"/>
    <x v="0"/>
    <x v="2"/>
    <x v="0"/>
    <s v="Freshwater"/>
    <s v="2Freshwater"/>
    <s v="Salmon"/>
    <s v="746"/>
    <s v="Green - Duwamish River"/>
    <s v="Green - Duwamish River"/>
    <s v="King"/>
    <x v="0"/>
    <s v="Snohomish"/>
    <s v="03Snohomish"/>
    <s v="01North Puget Sound"/>
    <n v="12.577777777777801"/>
    <n v="108.79777777777798"/>
  </r>
  <r>
    <n v="30"/>
    <x v="0"/>
    <x v="2"/>
    <x v="0"/>
    <s v="Freshwater"/>
    <s v="2Freshwater"/>
    <s v="Salmon"/>
    <s v="746"/>
    <s v="Green - Duwamish River"/>
    <s v="Green - Duwamish River"/>
    <s v="King"/>
    <x v="0"/>
    <s v="Thurston"/>
    <s v="08Thurston"/>
    <s v="02South Puget Sound"/>
    <n v="6.2888888888888896"/>
    <n v="54.398888888888898"/>
  </r>
  <r>
    <n v="31"/>
    <x v="0"/>
    <x v="2"/>
    <x v="0"/>
    <s v="Freshwater"/>
    <s v="2Freshwater"/>
    <s v="Salmon"/>
    <s v="746"/>
    <s v="Green - Duwamish River"/>
    <s v="Green - Duwamish River"/>
    <s v="King"/>
    <x v="0"/>
    <s v="Whatcom"/>
    <s v="01Whatcom"/>
    <s v="01North Puget Sound"/>
    <n v="25.155555555555601"/>
    <n v="217.59555555555596"/>
  </r>
  <r>
    <n v="32"/>
    <x v="0"/>
    <x v="3"/>
    <x v="0"/>
    <s v="Freshwater"/>
    <s v="2Freshwater"/>
    <s v="Salmon"/>
    <s v="746"/>
    <s v="Green - Duwamish River"/>
    <s v="Green - Duwamish River"/>
    <s v="King"/>
    <x v="0"/>
    <s v="King"/>
    <s v="06King"/>
    <s v="02South Puget Sound"/>
    <n v="280.08620689655203"/>
    <n v="2422.7456896551753"/>
  </r>
  <r>
    <n v="33"/>
    <x v="0"/>
    <x v="3"/>
    <x v="0"/>
    <s v="Freshwater"/>
    <s v="2Freshwater"/>
    <s v="Salmon"/>
    <s v="746"/>
    <s v="Green - Duwamish River"/>
    <s v="Green - Duwamish River"/>
    <s v="King"/>
    <x v="0"/>
    <s v="Pierce"/>
    <s v="07Pierce"/>
    <s v="02South Puget Sound"/>
    <n v="49.7931034482759"/>
    <n v="430.71034482758654"/>
  </r>
  <r>
    <n v="34"/>
    <x v="0"/>
    <x v="3"/>
    <x v="0"/>
    <s v="Freshwater"/>
    <s v="2Freshwater"/>
    <s v="Salmon"/>
    <s v="746"/>
    <s v="Green - Duwamish River"/>
    <s v="Green - Duwamish River"/>
    <s v="King"/>
    <x v="0"/>
    <s v="Snohomish"/>
    <s v="03Snohomish"/>
    <s v="01North Puget Sound"/>
    <n v="24.8965517241379"/>
    <n v="215.35517241379284"/>
  </r>
  <r>
    <n v="35"/>
    <x v="0"/>
    <x v="3"/>
    <x v="0"/>
    <s v="Freshwater"/>
    <s v="2Freshwater"/>
    <s v="Salmon"/>
    <s v="746"/>
    <s v="Green - Duwamish River"/>
    <s v="Green - Duwamish River"/>
    <s v="King"/>
    <x v="0"/>
    <s v="Whatcom"/>
    <s v="01Whatcom"/>
    <s v="01North Puget Sound"/>
    <n v="6.2241379310344902"/>
    <n v="53.838793103448346"/>
  </r>
  <r>
    <n v="36"/>
    <x v="0"/>
    <x v="4"/>
    <x v="0"/>
    <s v="Freshwater"/>
    <s v="2Freshwater"/>
    <s v="Salmon"/>
    <s v="746"/>
    <s v="Green - Duwamish River"/>
    <s v="Green - Duwamish River"/>
    <s v="King"/>
    <x v="0"/>
    <s v="King"/>
    <s v="06King"/>
    <s v="02South Puget Sound"/>
    <n v="44"/>
    <n v="380.6"/>
  </r>
  <r>
    <n v="37"/>
    <x v="0"/>
    <x v="3"/>
    <x v="0"/>
    <s v="Freshwater"/>
    <s v="2Freshwater"/>
    <s v="Salmon"/>
    <s v="752"/>
    <s v="Hoko River"/>
    <s v="Hoko River"/>
    <s v="Clallam"/>
    <x v="3"/>
    <s v="Clallam"/>
    <s v="11Clallam"/>
    <s v="03Strait of Juan de Fuca"/>
    <n v="2"/>
    <n v="17.3"/>
  </r>
  <r>
    <n v="38"/>
    <x v="0"/>
    <x v="2"/>
    <x v="0"/>
    <s v="Freshwater"/>
    <s v="2Freshwater"/>
    <s v="Salmon"/>
    <s v="754"/>
    <s v="Kennedy Creek"/>
    <s v="Kennedy Creek"/>
    <s v="Mason/Thurston"/>
    <x v="0"/>
    <s v="Mason"/>
    <s v="09Mason"/>
    <s v="02South Puget Sound"/>
    <n v="25.161290322580701"/>
    <n v="217.64516129032307"/>
  </r>
  <r>
    <n v="39"/>
    <x v="0"/>
    <x v="2"/>
    <x v="0"/>
    <s v="Freshwater"/>
    <s v="2Freshwater"/>
    <s v="Salmon"/>
    <s v="754"/>
    <s v="Kennedy Creek"/>
    <s v="Kennedy Creek"/>
    <s v="Mason/Thurston"/>
    <x v="0"/>
    <s v="Other"/>
    <s v="20Other"/>
    <s v="07Non Puget Sound"/>
    <n v="18.870967741935502"/>
    <n v="163.23387096774209"/>
  </r>
  <r>
    <n v="40"/>
    <x v="0"/>
    <x v="2"/>
    <x v="0"/>
    <s v="Freshwater"/>
    <s v="2Freshwater"/>
    <s v="Salmon"/>
    <s v="754"/>
    <s v="Kennedy Creek"/>
    <s v="Kennedy Creek"/>
    <s v="Mason/Thurston"/>
    <x v="0"/>
    <s v="Pierce"/>
    <s v="07Pierce"/>
    <s v="02South Puget Sound"/>
    <n v="31.451612903225801"/>
    <n v="272.05645161290317"/>
  </r>
  <r>
    <n v="41"/>
    <x v="0"/>
    <x v="2"/>
    <x v="0"/>
    <s v="Freshwater"/>
    <s v="2Freshwater"/>
    <s v="Salmon"/>
    <s v="754"/>
    <s v="Kennedy Creek"/>
    <s v="Kennedy Creek"/>
    <s v="Mason/Thurston"/>
    <x v="0"/>
    <s v="Thurston"/>
    <s v="08Thurston"/>
    <s v="02South Puget Sound"/>
    <n v="119.51612903225799"/>
    <n v="1033.8145161290317"/>
  </r>
  <r>
    <n v="42"/>
    <x v="0"/>
    <x v="3"/>
    <x v="0"/>
    <s v="Freshwater"/>
    <s v="2Freshwater"/>
    <s v="Salmon"/>
    <s v="754"/>
    <s v="Kennedy Creek"/>
    <s v="Kennedy Creek"/>
    <s v="Mason/Thurston"/>
    <x v="0"/>
    <s v="Other"/>
    <s v="20Other"/>
    <s v="07Non Puget Sound"/>
    <n v="12.533333333333299"/>
    <n v="108.41333333333304"/>
  </r>
  <r>
    <n v="43"/>
    <x v="0"/>
    <x v="3"/>
    <x v="0"/>
    <s v="Freshwater"/>
    <s v="2Freshwater"/>
    <s v="Salmon"/>
    <s v="754"/>
    <s v="Kennedy Creek"/>
    <s v="Kennedy Creek"/>
    <s v="Mason/Thurston"/>
    <x v="0"/>
    <s v="Pierce"/>
    <s v="07Pierce"/>
    <s v="02South Puget Sound"/>
    <n v="12.533333333333299"/>
    <n v="108.41333333333304"/>
  </r>
  <r>
    <n v="44"/>
    <x v="0"/>
    <x v="3"/>
    <x v="0"/>
    <s v="Freshwater"/>
    <s v="2Freshwater"/>
    <s v="Salmon"/>
    <s v="754"/>
    <s v="Kennedy Creek"/>
    <s v="Kennedy Creek"/>
    <s v="Mason/Thurston"/>
    <x v="0"/>
    <s v="Thurston"/>
    <s v="08Thurston"/>
    <s v="02South Puget Sound"/>
    <n v="68.933333333333294"/>
    <n v="596.27333333333297"/>
  </r>
  <r>
    <n v="45"/>
    <x v="0"/>
    <x v="2"/>
    <x v="0"/>
    <s v="Freshwater"/>
    <s v="2Freshwater"/>
    <s v="Salmon"/>
    <s v="762"/>
    <s v="Lake Washington"/>
    <s v="Lake Washington"/>
    <s v="King"/>
    <x v="0"/>
    <s v="King"/>
    <s v="06King"/>
    <s v="02South Puget Sound"/>
    <n v="6"/>
    <n v="51.900000000000006"/>
  </r>
  <r>
    <n v="46"/>
    <x v="0"/>
    <x v="0"/>
    <x v="0"/>
    <s v="Freshwater"/>
    <s v="2Freshwater"/>
    <s v="Salmon"/>
    <s v="764"/>
    <s v="Lake Sammamish"/>
    <s v="Lake Sammamish"/>
    <s v="King"/>
    <x v="0"/>
    <s v="King"/>
    <s v="06King"/>
    <s v="02South Puget Sound"/>
    <n v="25.8461538461539"/>
    <n v="223.56923076923124"/>
  </r>
  <r>
    <n v="47"/>
    <x v="0"/>
    <x v="0"/>
    <x v="0"/>
    <s v="Freshwater"/>
    <s v="2Freshwater"/>
    <s v="Salmon"/>
    <s v="764"/>
    <s v="Lake Sammamish"/>
    <s v="Lake Sammamish"/>
    <s v="King"/>
    <x v="0"/>
    <s v="Other"/>
    <s v="20Other"/>
    <s v="07Non Puget Sound"/>
    <n v="38.769230769230802"/>
    <n v="335.35384615384646"/>
  </r>
  <r>
    <n v="48"/>
    <x v="0"/>
    <x v="0"/>
    <x v="0"/>
    <s v="Freshwater"/>
    <s v="2Freshwater"/>
    <s v="Salmon"/>
    <s v="764"/>
    <s v="Lake Sammamish"/>
    <s v="Lake Sammamish"/>
    <s v="King"/>
    <x v="0"/>
    <s v="Snohomish"/>
    <s v="03Snohomish"/>
    <s v="01North Puget Sound"/>
    <n v="19.384615384615401"/>
    <n v="167.67692307692323"/>
  </r>
  <r>
    <n v="49"/>
    <x v="0"/>
    <x v="1"/>
    <x v="0"/>
    <s v="Freshwater"/>
    <s v="2Freshwater"/>
    <s v="Salmon"/>
    <s v="764"/>
    <s v="Lake Sammamish"/>
    <s v="Lake Sammamish"/>
    <s v="King"/>
    <x v="0"/>
    <s v="King"/>
    <s v="06King"/>
    <s v="02South Puget Sound"/>
    <n v="110.5"/>
    <n v="955.82500000000005"/>
  </r>
  <r>
    <n v="50"/>
    <x v="0"/>
    <x v="1"/>
    <x v="0"/>
    <s v="Freshwater"/>
    <s v="2Freshwater"/>
    <s v="Salmon"/>
    <s v="764"/>
    <s v="Lake Sammamish"/>
    <s v="Lake Sammamish"/>
    <s v="King"/>
    <x v="0"/>
    <s v="Snohomish"/>
    <s v="03Snohomish"/>
    <s v="01North Puget Sound"/>
    <n v="19.5"/>
    <n v="168.67500000000001"/>
  </r>
  <r>
    <n v="51"/>
    <x v="0"/>
    <x v="3"/>
    <x v="0"/>
    <s v="Freshwater"/>
    <s v="2Freshwater"/>
    <s v="Salmon"/>
    <s v="778"/>
    <s v="Minter Creek"/>
    <s v="Minter Creek"/>
    <s v="Kitsap/Pierce"/>
    <x v="0"/>
    <s v="King"/>
    <s v="06King"/>
    <s v="02South Puget Sound"/>
    <n v="1681.41896024465"/>
    <n v="14544.274006116222"/>
  </r>
  <r>
    <n v="52"/>
    <x v="0"/>
    <x v="3"/>
    <x v="0"/>
    <s v="Freshwater"/>
    <s v="2Freshwater"/>
    <s v="Salmon"/>
    <s v="778"/>
    <s v="Minter Creek"/>
    <s v="Minter Creek"/>
    <s v="Kitsap/Pierce"/>
    <x v="0"/>
    <s v="Kitsap"/>
    <s v="10Kitsap"/>
    <s v="02South Puget Sound"/>
    <n v="284.183486238532"/>
    <n v="2458.1871559633018"/>
  </r>
  <r>
    <n v="53"/>
    <x v="0"/>
    <x v="3"/>
    <x v="0"/>
    <s v="Freshwater"/>
    <s v="2Freshwater"/>
    <s v="Salmon"/>
    <s v="778"/>
    <s v="Minter Creek"/>
    <s v="Minter Creek"/>
    <s v="Kitsap/Pierce"/>
    <x v="0"/>
    <s v="Mason"/>
    <s v="09Mason"/>
    <s v="02South Puget Sound"/>
    <n v="124.33027522935799"/>
    <n v="1075.4568807339467"/>
  </r>
  <r>
    <n v="54"/>
    <x v="0"/>
    <x v="3"/>
    <x v="0"/>
    <s v="Freshwater"/>
    <s v="2Freshwater"/>
    <s v="Salmon"/>
    <s v="778"/>
    <s v="Minter Creek"/>
    <s v="Minter Creek"/>
    <s v="Kitsap/Pierce"/>
    <x v="0"/>
    <s v="Other"/>
    <s v="20Other"/>
    <s v="07Non Puget Sound"/>
    <n v="106.56880733945"/>
    <n v="921.82018348624263"/>
  </r>
  <r>
    <n v="55"/>
    <x v="0"/>
    <x v="3"/>
    <x v="0"/>
    <s v="Freshwater"/>
    <s v="2Freshwater"/>
    <s v="Salmon"/>
    <s v="778"/>
    <s v="Minter Creek"/>
    <s v="Minter Creek"/>
    <s v="Kitsap/Pierce"/>
    <x v="0"/>
    <s v="Pierce"/>
    <s v="07Pierce"/>
    <s v="02South Puget Sound"/>
    <n v="1438.6788990825701"/>
    <n v="12444.572477064232"/>
  </r>
  <r>
    <n v="56"/>
    <x v="0"/>
    <x v="3"/>
    <x v="0"/>
    <s v="Freshwater"/>
    <s v="2Freshwater"/>
    <s v="Salmon"/>
    <s v="778"/>
    <s v="Minter Creek"/>
    <s v="Minter Creek"/>
    <s v="Kitsap/Pierce"/>
    <x v="0"/>
    <s v="Snohomish"/>
    <s v="03Snohomish"/>
    <s v="01North Puget Sound"/>
    <n v="130.25076452599399"/>
    <n v="1126.669113149848"/>
  </r>
  <r>
    <n v="57"/>
    <x v="0"/>
    <x v="3"/>
    <x v="0"/>
    <s v="Freshwater"/>
    <s v="2Freshwater"/>
    <s v="Salmon"/>
    <s v="778"/>
    <s v="Minter Creek"/>
    <s v="Minter Creek"/>
    <s v="Kitsap/Pierce"/>
    <x v="0"/>
    <s v="Thurston"/>
    <s v="08Thurston"/>
    <s v="02South Puget Sound"/>
    <n v="106.56880733945"/>
    <n v="921.82018348624263"/>
  </r>
  <r>
    <n v="58"/>
    <x v="0"/>
    <x v="4"/>
    <x v="0"/>
    <s v="Freshwater"/>
    <s v="2Freshwater"/>
    <s v="Salmon"/>
    <s v="778"/>
    <s v="Minter Creek"/>
    <s v="Minter Creek"/>
    <s v="Kitsap/Pierce"/>
    <x v="0"/>
    <s v="King"/>
    <s v="06King"/>
    <s v="02South Puget Sound"/>
    <n v="722.26050420168099"/>
    <n v="6247.5533613445405"/>
  </r>
  <r>
    <n v="59"/>
    <x v="0"/>
    <x v="4"/>
    <x v="0"/>
    <s v="Freshwater"/>
    <s v="2Freshwater"/>
    <s v="Salmon"/>
    <s v="778"/>
    <s v="Minter Creek"/>
    <s v="Minter Creek"/>
    <s v="Kitsap/Pierce"/>
    <x v="0"/>
    <s v="Kitsap"/>
    <s v="10Kitsap"/>
    <s v="02South Puget Sound"/>
    <n v="148.004201680672"/>
    <n v="1280.2363445378128"/>
  </r>
  <r>
    <n v="60"/>
    <x v="0"/>
    <x v="4"/>
    <x v="0"/>
    <s v="Freshwater"/>
    <s v="2Freshwater"/>
    <s v="Salmon"/>
    <s v="778"/>
    <s v="Minter Creek"/>
    <s v="Minter Creek"/>
    <s v="Kitsap/Pierce"/>
    <x v="0"/>
    <s v="Other"/>
    <s v="20Other"/>
    <s v="07Non Puget Sound"/>
    <n v="35.5210084033613"/>
    <n v="307.25672268907527"/>
  </r>
  <r>
    <n v="61"/>
    <x v="0"/>
    <x v="4"/>
    <x v="0"/>
    <s v="Freshwater"/>
    <s v="2Freshwater"/>
    <s v="Salmon"/>
    <s v="778"/>
    <s v="Minter Creek"/>
    <s v="Minter Creek"/>
    <s v="Kitsap/Pierce"/>
    <x v="0"/>
    <s v="Pierce"/>
    <s v="07Pierce"/>
    <s v="02South Puget Sound"/>
    <n v="367.05042016806698"/>
    <n v="3174.9861344537794"/>
  </r>
  <r>
    <n v="62"/>
    <x v="0"/>
    <x v="4"/>
    <x v="0"/>
    <s v="Freshwater"/>
    <s v="2Freshwater"/>
    <s v="Salmon"/>
    <s v="778"/>
    <s v="Minter Creek"/>
    <s v="Minter Creek"/>
    <s v="Kitsap/Pierce"/>
    <x v="0"/>
    <s v="Snohomish"/>
    <s v="03Snohomish"/>
    <s v="01North Puget Sound"/>
    <n v="112.483193277311"/>
    <n v="972.97962184874018"/>
  </r>
  <r>
    <n v="63"/>
    <x v="0"/>
    <x v="4"/>
    <x v="0"/>
    <s v="Freshwater"/>
    <s v="2Freshwater"/>
    <s v="Salmon"/>
    <s v="778"/>
    <s v="Minter Creek"/>
    <s v="Minter Creek"/>
    <s v="Kitsap/Pierce"/>
    <x v="0"/>
    <s v="Thurston"/>
    <s v="08Thurston"/>
    <s v="02South Puget Sound"/>
    <n v="23.6806722689076"/>
    <n v="204.83781512605074"/>
  </r>
  <r>
    <n v="64"/>
    <x v="0"/>
    <x v="5"/>
    <x v="0"/>
    <s v="Freshwater"/>
    <s v="2Freshwater"/>
    <s v="Salmon"/>
    <s v="786"/>
    <s v="Nisqually River"/>
    <s v="Nisqually River"/>
    <s v="Thurston/Pierce"/>
    <x v="0"/>
    <s v="King"/>
    <s v="06King"/>
    <s v="02South Puget Sound"/>
    <n v="6.125"/>
    <n v="52.981250000000003"/>
  </r>
  <r>
    <n v="65"/>
    <x v="0"/>
    <x v="5"/>
    <x v="0"/>
    <s v="Freshwater"/>
    <s v="2Freshwater"/>
    <s v="Salmon"/>
    <s v="786"/>
    <s v="Nisqually River"/>
    <s v="Nisqually River"/>
    <s v="Thurston/Pierce"/>
    <x v="0"/>
    <s v="Pierce"/>
    <s v="07Pierce"/>
    <s v="02South Puget Sound"/>
    <n v="6.125"/>
    <n v="52.981250000000003"/>
  </r>
  <r>
    <n v="66"/>
    <x v="0"/>
    <x v="5"/>
    <x v="0"/>
    <s v="Freshwater"/>
    <s v="2Freshwater"/>
    <s v="Salmon"/>
    <s v="786"/>
    <s v="Nisqually River"/>
    <s v="Nisqually River"/>
    <s v="Thurston/Pierce"/>
    <x v="0"/>
    <s v="Snohomish"/>
    <s v="03Snohomish"/>
    <s v="01North Puget Sound"/>
    <n v="6.125"/>
    <n v="52.981250000000003"/>
  </r>
  <r>
    <n v="67"/>
    <x v="0"/>
    <x v="5"/>
    <x v="0"/>
    <s v="Freshwater"/>
    <s v="2Freshwater"/>
    <s v="Salmon"/>
    <s v="786"/>
    <s v="Nisqually River"/>
    <s v="Nisqually River"/>
    <s v="Thurston/Pierce"/>
    <x v="0"/>
    <s v="Thurston"/>
    <s v="08Thurston"/>
    <s v="02South Puget Sound"/>
    <n v="30.625"/>
    <n v="264.90625"/>
  </r>
  <r>
    <n v="68"/>
    <x v="0"/>
    <x v="0"/>
    <x v="0"/>
    <s v="Freshwater"/>
    <s v="2Freshwater"/>
    <s v="Salmon"/>
    <s v="786"/>
    <s v="Nisqually River"/>
    <s v="Nisqually River"/>
    <s v="Thurston/Pierce"/>
    <x v="0"/>
    <s v="King"/>
    <s v="06King"/>
    <s v="02South Puget Sound"/>
    <n v="30.307692307692299"/>
    <n v="262.16153846153838"/>
  </r>
  <r>
    <n v="69"/>
    <x v="0"/>
    <x v="0"/>
    <x v="0"/>
    <s v="Freshwater"/>
    <s v="2Freshwater"/>
    <s v="Salmon"/>
    <s v="786"/>
    <s v="Nisqually River"/>
    <s v="Nisqually River"/>
    <s v="Thurston/Pierce"/>
    <x v="0"/>
    <s v="Kitsap"/>
    <s v="10Kitsap"/>
    <s v="02South Puget Sound"/>
    <n v="6.0615384615384604"/>
    <n v="52.432307692307688"/>
  </r>
  <r>
    <n v="70"/>
    <x v="0"/>
    <x v="0"/>
    <x v="0"/>
    <s v="Freshwater"/>
    <s v="2Freshwater"/>
    <s v="Salmon"/>
    <s v="786"/>
    <s v="Nisqually River"/>
    <s v="Nisqually River"/>
    <s v="Thurston/Pierce"/>
    <x v="0"/>
    <s v="Mason"/>
    <s v="09Mason"/>
    <s v="02South Puget Sound"/>
    <n v="6.0615384615384604"/>
    <n v="52.432307692307688"/>
  </r>
  <r>
    <n v="71"/>
    <x v="0"/>
    <x v="0"/>
    <x v="0"/>
    <s v="Freshwater"/>
    <s v="2Freshwater"/>
    <s v="Salmon"/>
    <s v="786"/>
    <s v="Nisqually River"/>
    <s v="Nisqually River"/>
    <s v="Thurston/Pierce"/>
    <x v="0"/>
    <s v="Other"/>
    <s v="20Other"/>
    <s v="07Non Puget Sound"/>
    <n v="30.307692307692299"/>
    <n v="262.16153846153838"/>
  </r>
  <r>
    <n v="72"/>
    <x v="0"/>
    <x v="0"/>
    <x v="0"/>
    <s v="Freshwater"/>
    <s v="2Freshwater"/>
    <s v="Salmon"/>
    <s v="786"/>
    <s v="Nisqually River"/>
    <s v="Nisqually River"/>
    <s v="Thurston/Pierce"/>
    <x v="0"/>
    <s v="Pierce"/>
    <s v="07Pierce"/>
    <s v="02South Puget Sound"/>
    <n v="84.861538461538501"/>
    <n v="734.05230769230809"/>
  </r>
  <r>
    <n v="73"/>
    <x v="0"/>
    <x v="0"/>
    <x v="0"/>
    <s v="Freshwater"/>
    <s v="2Freshwater"/>
    <s v="Salmon"/>
    <s v="786"/>
    <s v="Nisqually River"/>
    <s v="Nisqually River"/>
    <s v="Thurston/Pierce"/>
    <x v="0"/>
    <s v="Thurston"/>
    <s v="08Thurston"/>
    <s v="02South Puget Sound"/>
    <n v="236.4"/>
    <n v="2044.8600000000001"/>
  </r>
  <r>
    <n v="74"/>
    <x v="0"/>
    <x v="1"/>
    <x v="0"/>
    <s v="Freshwater"/>
    <s v="2Freshwater"/>
    <s v="Salmon"/>
    <s v="786"/>
    <s v="Nisqually River"/>
    <s v="Nisqually River"/>
    <s v="Thurston/Pierce"/>
    <x v="0"/>
    <s v="King"/>
    <s v="06King"/>
    <s v="02South Puget Sound"/>
    <n v="188.15384615384599"/>
    <n v="1627.5307692307679"/>
  </r>
  <r>
    <n v="75"/>
    <x v="0"/>
    <x v="1"/>
    <x v="0"/>
    <s v="Freshwater"/>
    <s v="2Freshwater"/>
    <s v="Salmon"/>
    <s v="786"/>
    <s v="Nisqually River"/>
    <s v="Nisqually River"/>
    <s v="Thurston/Pierce"/>
    <x v="0"/>
    <s v="Kitsap"/>
    <s v="10Kitsap"/>
    <s v="02South Puget Sound"/>
    <n v="54.625310173697301"/>
    <n v="472.50893300248168"/>
  </r>
  <r>
    <n v="76"/>
    <x v="0"/>
    <x v="1"/>
    <x v="0"/>
    <s v="Freshwater"/>
    <s v="2Freshwater"/>
    <s v="Salmon"/>
    <s v="786"/>
    <s v="Nisqually River"/>
    <s v="Nisqually River"/>
    <s v="Thurston/Pierce"/>
    <x v="0"/>
    <s v="Mason"/>
    <s v="09Mason"/>
    <s v="02South Puget Sound"/>
    <n v="18.2084367245658"/>
    <n v="157.50297766749418"/>
  </r>
  <r>
    <n v="77"/>
    <x v="0"/>
    <x v="1"/>
    <x v="0"/>
    <s v="Freshwater"/>
    <s v="2Freshwater"/>
    <s v="Salmon"/>
    <s v="786"/>
    <s v="Nisqually River"/>
    <s v="Nisqually River"/>
    <s v="Thurston/Pierce"/>
    <x v="0"/>
    <s v="Other"/>
    <s v="20Other"/>
    <s v="07Non Puget Sound"/>
    <n v="176.01488833746899"/>
    <n v="1522.5287841191068"/>
  </r>
  <r>
    <n v="78"/>
    <x v="0"/>
    <x v="1"/>
    <x v="0"/>
    <s v="Freshwater"/>
    <s v="2Freshwater"/>
    <s v="Salmon"/>
    <s v="786"/>
    <s v="Nisqually River"/>
    <s v="Nisqually River"/>
    <s v="Thurston/Pierce"/>
    <x v="0"/>
    <s v="Pierce"/>
    <s v="07Pierce"/>
    <s v="02South Puget Sound"/>
    <n v="1177.4789081885899"/>
    <n v="10185.192555831303"/>
  </r>
  <r>
    <n v="79"/>
    <x v="0"/>
    <x v="1"/>
    <x v="0"/>
    <s v="Freshwater"/>
    <s v="2Freshwater"/>
    <s v="Salmon"/>
    <s v="786"/>
    <s v="Nisqually River"/>
    <s v="Nisqually River"/>
    <s v="Thurston/Pierce"/>
    <x v="0"/>
    <s v="Snohomish"/>
    <s v="03Snohomish"/>
    <s v="01North Puget Sound"/>
    <n v="30.347394540942901"/>
    <n v="262.50496277915607"/>
  </r>
  <r>
    <n v="80"/>
    <x v="0"/>
    <x v="1"/>
    <x v="0"/>
    <s v="Freshwater"/>
    <s v="2Freshwater"/>
    <s v="Salmon"/>
    <s v="786"/>
    <s v="Nisqually River"/>
    <s v="Nisqually River"/>
    <s v="Thurston/Pierce"/>
    <x v="0"/>
    <s v="Thurston"/>
    <s v="08Thurston"/>
    <s v="02South Puget Sound"/>
    <n v="801.17121588089299"/>
    <n v="6930.1310173697248"/>
  </r>
  <r>
    <n v="81"/>
    <x v="0"/>
    <x v="2"/>
    <x v="0"/>
    <s v="Freshwater"/>
    <s v="2Freshwater"/>
    <s v="Salmon"/>
    <s v="786"/>
    <s v="Nisqually River"/>
    <s v="Nisqually River"/>
    <s v="Thurston/Pierce"/>
    <x v="0"/>
    <s v="King"/>
    <s v="06King"/>
    <s v="02South Puget Sound"/>
    <n v="114.985185185185"/>
    <n v="994.62185185185035"/>
  </r>
  <r>
    <n v="82"/>
    <x v="0"/>
    <x v="2"/>
    <x v="0"/>
    <s v="Freshwater"/>
    <s v="2Freshwater"/>
    <s v="Salmon"/>
    <s v="786"/>
    <s v="Nisqually River"/>
    <s v="Nisqually River"/>
    <s v="Thurston/Pierce"/>
    <x v="0"/>
    <s v="Kitsap"/>
    <s v="10Kitsap"/>
    <s v="02South Puget Sound"/>
    <n v="12.103703703703699"/>
    <n v="104.69703703703701"/>
  </r>
  <r>
    <n v="83"/>
    <x v="0"/>
    <x v="2"/>
    <x v="0"/>
    <s v="Freshwater"/>
    <s v="2Freshwater"/>
    <s v="Salmon"/>
    <s v="786"/>
    <s v="Nisqually River"/>
    <s v="Nisqually River"/>
    <s v="Thurston/Pierce"/>
    <x v="0"/>
    <s v="Other"/>
    <s v="20Other"/>
    <s v="07Non Puget Sound"/>
    <n v="30.259259259259299"/>
    <n v="261.74259259259293"/>
  </r>
  <r>
    <n v="84"/>
    <x v="0"/>
    <x v="2"/>
    <x v="0"/>
    <s v="Freshwater"/>
    <s v="2Freshwater"/>
    <s v="Salmon"/>
    <s v="786"/>
    <s v="Nisqually River"/>
    <s v="Nisqually River"/>
    <s v="Thurston/Pierce"/>
    <x v="0"/>
    <s v="Pierce"/>
    <s v="07Pierce"/>
    <s v="02South Puget Sound"/>
    <n v="338.90370370370402"/>
    <n v="2931.5170370370402"/>
  </r>
  <r>
    <n v="85"/>
    <x v="0"/>
    <x v="2"/>
    <x v="0"/>
    <s v="Freshwater"/>
    <s v="2Freshwater"/>
    <s v="Salmon"/>
    <s v="786"/>
    <s v="Nisqually River"/>
    <s v="Nisqually River"/>
    <s v="Thurston/Pierce"/>
    <x v="0"/>
    <s v="Thurston"/>
    <s v="08Thurston"/>
    <s v="02South Puget Sound"/>
    <n v="320.748148148148"/>
    <n v="2774.4714814814802"/>
  </r>
  <r>
    <n v="86"/>
    <x v="0"/>
    <x v="3"/>
    <x v="0"/>
    <s v="Freshwater"/>
    <s v="2Freshwater"/>
    <s v="Salmon"/>
    <s v="786"/>
    <s v="Nisqually River"/>
    <s v="Nisqually River"/>
    <s v="Thurston/Pierce"/>
    <x v="0"/>
    <s v="Other"/>
    <s v="20Other"/>
    <s v="07Non Puget Sound"/>
    <n v="6.0555555555555598"/>
    <n v="52.380555555555596"/>
  </r>
  <r>
    <n v="87"/>
    <x v="0"/>
    <x v="3"/>
    <x v="0"/>
    <s v="Freshwater"/>
    <s v="2Freshwater"/>
    <s v="Salmon"/>
    <s v="786"/>
    <s v="Nisqually River"/>
    <s v="Nisqually River"/>
    <s v="Thurston/Pierce"/>
    <x v="0"/>
    <s v="Pierce"/>
    <s v="07Pierce"/>
    <s v="02South Puget Sound"/>
    <n v="6.0555555555555598"/>
    <n v="52.380555555555596"/>
  </r>
  <r>
    <n v="88"/>
    <x v="0"/>
    <x v="3"/>
    <x v="0"/>
    <s v="Freshwater"/>
    <s v="2Freshwater"/>
    <s v="Salmon"/>
    <s v="786"/>
    <s v="Nisqually River"/>
    <s v="Nisqually River"/>
    <s v="Thurston/Pierce"/>
    <x v="0"/>
    <s v="Thurston"/>
    <s v="08Thurston"/>
    <s v="02South Puget Sound"/>
    <n v="96.8888888888889"/>
    <n v="838.08888888888907"/>
  </r>
  <r>
    <n v="89"/>
    <x v="0"/>
    <x v="4"/>
    <x v="0"/>
    <s v="Freshwater"/>
    <s v="2Freshwater"/>
    <s v="Salmon"/>
    <s v="786"/>
    <s v="Nisqually River"/>
    <s v="Nisqually River"/>
    <s v="Thurston/Pierce"/>
    <x v="0"/>
    <s v="King"/>
    <s v="06King"/>
    <s v="02South Puget Sound"/>
    <n v="66.841176470588294"/>
    <n v="578.17617647058876"/>
  </r>
  <r>
    <n v="90"/>
    <x v="0"/>
    <x v="4"/>
    <x v="0"/>
    <s v="Freshwater"/>
    <s v="2Freshwater"/>
    <s v="Salmon"/>
    <s v="786"/>
    <s v="Nisqually River"/>
    <s v="Nisqually River"/>
    <s v="Thurston/Pierce"/>
    <x v="0"/>
    <s v="Kitsap"/>
    <s v="10Kitsap"/>
    <s v="02South Puget Sound"/>
    <n v="18.229411764705901"/>
    <n v="157.68441176470606"/>
  </r>
  <r>
    <n v="91"/>
    <x v="0"/>
    <x v="4"/>
    <x v="0"/>
    <s v="Freshwater"/>
    <s v="2Freshwater"/>
    <s v="Salmon"/>
    <s v="786"/>
    <s v="Nisqually River"/>
    <s v="Nisqually River"/>
    <s v="Thurston/Pierce"/>
    <x v="0"/>
    <s v="Other"/>
    <s v="20Other"/>
    <s v="07Non Puget Sound"/>
    <n v="66.841176470588294"/>
    <n v="578.17617647058876"/>
  </r>
  <r>
    <n v="92"/>
    <x v="0"/>
    <x v="4"/>
    <x v="0"/>
    <s v="Freshwater"/>
    <s v="2Freshwater"/>
    <s v="Salmon"/>
    <s v="786"/>
    <s v="Nisqually River"/>
    <s v="Nisqually River"/>
    <s v="Thurston/Pierce"/>
    <x v="0"/>
    <s v="Pierce"/>
    <s v="07Pierce"/>
    <s v="02South Puget Sound"/>
    <n v="346.35882352941201"/>
    <n v="2996.0038235294141"/>
  </r>
  <r>
    <n v="93"/>
    <x v="0"/>
    <x v="4"/>
    <x v="0"/>
    <s v="Freshwater"/>
    <s v="2Freshwater"/>
    <s v="Salmon"/>
    <s v="786"/>
    <s v="Nisqually River"/>
    <s v="Nisqually River"/>
    <s v="Thurston/Pierce"/>
    <x v="0"/>
    <s v="Snohomish"/>
    <s v="03Snohomish"/>
    <s v="01North Puget Sound"/>
    <n v="36.458823529411802"/>
    <n v="315.36882352941211"/>
  </r>
  <r>
    <n v="94"/>
    <x v="0"/>
    <x v="4"/>
    <x v="0"/>
    <s v="Freshwater"/>
    <s v="2Freshwater"/>
    <s v="Salmon"/>
    <s v="786"/>
    <s v="Nisqually River"/>
    <s v="Nisqually River"/>
    <s v="Thurston/Pierce"/>
    <x v="0"/>
    <s v="Thurston"/>
    <s v="08Thurston"/>
    <s v="02South Puget Sound"/>
    <n v="498.27058823529399"/>
    <n v="4310.0405882352934"/>
  </r>
  <r>
    <n v="95"/>
    <x v="1"/>
    <x v="6"/>
    <x v="0"/>
    <s v="Freshwater"/>
    <s v="2Freshwater"/>
    <s v="Salmon"/>
    <s v="786"/>
    <s v="Nisqually River"/>
    <s v="Nisqually River"/>
    <s v="Thurston/Pierce"/>
    <x v="0"/>
    <s v="Pierce"/>
    <s v="07Pierce"/>
    <s v="02South Puget Sound"/>
    <n v="42.7"/>
    <n v="146.88800000000001"/>
  </r>
  <r>
    <n v="96"/>
    <x v="1"/>
    <x v="6"/>
    <x v="0"/>
    <s v="Freshwater"/>
    <s v="2Freshwater"/>
    <s v="Salmon"/>
    <s v="786"/>
    <s v="Nisqually River"/>
    <s v="Nisqually River"/>
    <s v="Thurston/Pierce"/>
    <x v="0"/>
    <s v="Thurston"/>
    <s v="08Thurston"/>
    <s v="02South Puget Sound"/>
    <n v="18.3"/>
    <n v="62.951999999999998"/>
  </r>
  <r>
    <n v="97"/>
    <x v="0"/>
    <x v="1"/>
    <x v="0"/>
    <s v="Freshwater"/>
    <s v="2Freshwater"/>
    <s v="Salmon"/>
    <s v="788"/>
    <s v="Nooksack River"/>
    <s v="Nooksack River"/>
    <s v="Whatcom"/>
    <x v="1"/>
    <s v="Whatcom"/>
    <s v="01Whatcom"/>
    <s v="01North Puget Sound"/>
    <n v="113"/>
    <n v="977.45"/>
  </r>
  <r>
    <n v="98"/>
    <x v="0"/>
    <x v="2"/>
    <x v="0"/>
    <s v="Freshwater"/>
    <s v="2Freshwater"/>
    <s v="Salmon"/>
    <s v="788"/>
    <s v="Nooksack River"/>
    <s v="Nooksack River"/>
    <s v="Whatcom"/>
    <x v="1"/>
    <s v="King"/>
    <s v="06King"/>
    <s v="02South Puget Sound"/>
    <n v="12.625"/>
    <n v="109.20625000000001"/>
  </r>
  <r>
    <n v="99"/>
    <x v="0"/>
    <x v="2"/>
    <x v="0"/>
    <s v="Freshwater"/>
    <s v="2Freshwater"/>
    <s v="Salmon"/>
    <s v="788"/>
    <s v="Nooksack River"/>
    <s v="Nooksack River"/>
    <s v="Whatcom"/>
    <x v="1"/>
    <s v="Other"/>
    <s v="20Other"/>
    <s v="07Non Puget Sound"/>
    <n v="25.25"/>
    <n v="218.41250000000002"/>
  </r>
  <r>
    <n v="100"/>
    <x v="0"/>
    <x v="2"/>
    <x v="0"/>
    <s v="Freshwater"/>
    <s v="2Freshwater"/>
    <s v="Salmon"/>
    <s v="788"/>
    <s v="Nooksack River"/>
    <s v="Nooksack River"/>
    <s v="Whatcom"/>
    <x v="1"/>
    <s v="Skagit"/>
    <s v="02Skagit"/>
    <s v="01North Puget Sound"/>
    <n v="25.25"/>
    <n v="218.41250000000002"/>
  </r>
  <r>
    <n v="101"/>
    <x v="0"/>
    <x v="2"/>
    <x v="0"/>
    <s v="Freshwater"/>
    <s v="2Freshwater"/>
    <s v="Salmon"/>
    <s v="788"/>
    <s v="Nooksack River"/>
    <s v="Nooksack River"/>
    <s v="Whatcom"/>
    <x v="1"/>
    <s v="Snohomish"/>
    <s v="03Snohomish"/>
    <s v="01North Puget Sound"/>
    <n v="6.3125"/>
    <n v="54.603125000000006"/>
  </r>
  <r>
    <n v="102"/>
    <x v="0"/>
    <x v="2"/>
    <x v="0"/>
    <s v="Freshwater"/>
    <s v="2Freshwater"/>
    <s v="Salmon"/>
    <s v="788"/>
    <s v="Nooksack River"/>
    <s v="Nooksack River"/>
    <s v="Whatcom"/>
    <x v="1"/>
    <s v="Whatcom"/>
    <s v="01Whatcom"/>
    <s v="01North Puget Sound"/>
    <n v="738.5625"/>
    <n v="6388.5656250000002"/>
  </r>
  <r>
    <n v="103"/>
    <x v="0"/>
    <x v="3"/>
    <x v="0"/>
    <s v="Freshwater"/>
    <s v="2Freshwater"/>
    <s v="Salmon"/>
    <s v="788"/>
    <s v="Nooksack River"/>
    <s v="Nooksack River"/>
    <s v="Whatcom"/>
    <x v="1"/>
    <s v="King"/>
    <s v="06King"/>
    <s v="02South Puget Sound"/>
    <n v="6.2380952380952399"/>
    <n v="53.95952380952383"/>
  </r>
  <r>
    <n v="104"/>
    <x v="0"/>
    <x v="3"/>
    <x v="0"/>
    <s v="Freshwater"/>
    <s v="2Freshwater"/>
    <s v="Salmon"/>
    <s v="788"/>
    <s v="Nooksack River"/>
    <s v="Nooksack River"/>
    <s v="Whatcom"/>
    <x v="1"/>
    <s v="Pierce"/>
    <s v="07Pierce"/>
    <s v="02South Puget Sound"/>
    <n v="6.2380952380952399"/>
    <n v="53.95952380952383"/>
  </r>
  <r>
    <n v="105"/>
    <x v="0"/>
    <x v="3"/>
    <x v="0"/>
    <s v="Freshwater"/>
    <s v="2Freshwater"/>
    <s v="Salmon"/>
    <s v="788"/>
    <s v="Nooksack River"/>
    <s v="Nooksack River"/>
    <s v="Whatcom"/>
    <x v="1"/>
    <s v="Whatcom"/>
    <s v="01Whatcom"/>
    <s v="01North Puget Sound"/>
    <n v="118.52380952381"/>
    <n v="1025.2309523809565"/>
  </r>
  <r>
    <n v="106"/>
    <x v="0"/>
    <x v="4"/>
    <x v="0"/>
    <s v="Freshwater"/>
    <s v="2Freshwater"/>
    <s v="Salmon"/>
    <s v="788"/>
    <s v="Nooksack River"/>
    <s v="Nooksack River"/>
    <s v="Whatcom"/>
    <x v="1"/>
    <s v="Whatcom"/>
    <s v="01Whatcom"/>
    <s v="01North Puget Sound"/>
    <n v="12"/>
    <n v="103.80000000000001"/>
  </r>
  <r>
    <n v="107"/>
    <x v="0"/>
    <x v="0"/>
    <x v="0"/>
    <s v="Freshwater"/>
    <s v="2Freshwater"/>
    <s v="Salmon"/>
    <s v="802"/>
    <s v="Carbon River"/>
    <s v="Carbon River"/>
    <s v="Pierce"/>
    <x v="0"/>
    <s v="Pierce"/>
    <s v="07Pierce"/>
    <s v="02South Puget Sound"/>
    <n v="12"/>
    <n v="103.80000000000001"/>
  </r>
  <r>
    <n v="108"/>
    <x v="0"/>
    <x v="1"/>
    <x v="0"/>
    <s v="Freshwater"/>
    <s v="2Freshwater"/>
    <s v="Salmon"/>
    <s v="802"/>
    <s v="Carbon River"/>
    <s v="Carbon River"/>
    <s v="Pierce"/>
    <x v="0"/>
    <s v="King"/>
    <s v="06King"/>
    <s v="02South Puget Sound"/>
    <n v="36.2068965517241"/>
    <n v="313.1896551724135"/>
  </r>
  <r>
    <n v="109"/>
    <x v="0"/>
    <x v="1"/>
    <x v="0"/>
    <s v="Freshwater"/>
    <s v="2Freshwater"/>
    <s v="Salmon"/>
    <s v="802"/>
    <s v="Carbon River"/>
    <s v="Carbon River"/>
    <s v="Pierce"/>
    <x v="0"/>
    <s v="Other"/>
    <s v="20Other"/>
    <s v="07Non Puget Sound"/>
    <n v="6.0344827586206904"/>
    <n v="52.198275862068975"/>
  </r>
  <r>
    <n v="110"/>
    <x v="0"/>
    <x v="1"/>
    <x v="0"/>
    <s v="Freshwater"/>
    <s v="2Freshwater"/>
    <s v="Salmon"/>
    <s v="802"/>
    <s v="Carbon River"/>
    <s v="Carbon River"/>
    <s v="Pierce"/>
    <x v="0"/>
    <s v="Pierce"/>
    <s v="07Pierce"/>
    <s v="02South Puget Sound"/>
    <n v="132.758620689655"/>
    <n v="1148.3620689655158"/>
  </r>
  <r>
    <n v="111"/>
    <x v="0"/>
    <x v="2"/>
    <x v="0"/>
    <s v="Freshwater"/>
    <s v="2Freshwater"/>
    <s v="Salmon"/>
    <s v="802"/>
    <s v="Carbon River"/>
    <s v="Carbon River"/>
    <s v="Pierce"/>
    <x v="0"/>
    <s v="Pierce"/>
    <s v="07Pierce"/>
    <s v="02South Puget Sound"/>
    <n v="18"/>
    <n v="155.70000000000002"/>
  </r>
  <r>
    <n v="112"/>
    <x v="0"/>
    <x v="2"/>
    <x v="0"/>
    <s v="Freshwater"/>
    <s v="2Freshwater"/>
    <s v="Salmon"/>
    <s v="802"/>
    <s v="Carbon River"/>
    <s v="Carbon River"/>
    <s v="Pierce"/>
    <x v="0"/>
    <s v="Skagit"/>
    <s v="02Skagit"/>
    <s v="01North Puget Sound"/>
    <n v="6"/>
    <n v="51.900000000000006"/>
  </r>
  <r>
    <n v="113"/>
    <x v="0"/>
    <x v="0"/>
    <x v="0"/>
    <s v="Freshwater"/>
    <s v="2Freshwater"/>
    <s v="Salmon"/>
    <s v="804"/>
    <s v="Puyallup River"/>
    <s v="Puyallup River"/>
    <s v="Pierce"/>
    <x v="0"/>
    <s v="King"/>
    <s v="06King"/>
    <s v="02South Puget Sound"/>
    <n v="68.1463414634147"/>
    <n v="589.46585365853718"/>
  </r>
  <r>
    <n v="114"/>
    <x v="0"/>
    <x v="0"/>
    <x v="0"/>
    <s v="Freshwater"/>
    <s v="2Freshwater"/>
    <s v="Salmon"/>
    <s v="804"/>
    <s v="Puyallup River"/>
    <s v="Puyallup River"/>
    <s v="Pierce"/>
    <x v="0"/>
    <s v="Pierce"/>
    <s v="07Pierce"/>
    <s v="02South Puget Sound"/>
    <n v="185.85365853658499"/>
    <n v="1607.6341463414601"/>
  </r>
  <r>
    <n v="115"/>
    <x v="0"/>
    <x v="0"/>
    <x v="0"/>
    <s v="Freshwater"/>
    <s v="2Freshwater"/>
    <s v="Salmon"/>
    <s v="804"/>
    <s v="Puyallup River"/>
    <s v="Puyallup River"/>
    <s v="Pierce"/>
    <x v="0"/>
    <s v="Thurston"/>
    <s v="08Thurston"/>
    <s v="02South Puget Sound"/>
    <n v="0"/>
    <n v="0"/>
  </r>
  <r>
    <n v="116"/>
    <x v="0"/>
    <x v="1"/>
    <x v="0"/>
    <s v="Freshwater"/>
    <s v="2Freshwater"/>
    <s v="Salmon"/>
    <s v="804"/>
    <s v="Puyallup River"/>
    <s v="Puyallup River"/>
    <s v="Pierce"/>
    <x v="0"/>
    <s v="King"/>
    <s v="06King"/>
    <s v="02South Puget Sound"/>
    <n v="183.08411214953301"/>
    <n v="1583.6775700934606"/>
  </r>
  <r>
    <n v="117"/>
    <x v="0"/>
    <x v="1"/>
    <x v="0"/>
    <s v="Freshwater"/>
    <s v="2Freshwater"/>
    <s v="Salmon"/>
    <s v="804"/>
    <s v="Puyallup River"/>
    <s v="Puyallup River"/>
    <s v="Pierce"/>
    <x v="0"/>
    <s v="Other"/>
    <s v="20Other"/>
    <s v="07Non Puget Sound"/>
    <n v="18.308411214953299"/>
    <n v="158.36775700934604"/>
  </r>
  <r>
    <n v="118"/>
    <x v="0"/>
    <x v="1"/>
    <x v="0"/>
    <s v="Freshwater"/>
    <s v="2Freshwater"/>
    <s v="Salmon"/>
    <s v="804"/>
    <s v="Puyallup River"/>
    <s v="Puyallup River"/>
    <s v="Pierce"/>
    <x v="0"/>
    <s v="Pierce"/>
    <s v="07Pierce"/>
    <s v="02South Puget Sound"/>
    <n v="427.196261682243"/>
    <n v="3695.2476635514022"/>
  </r>
  <r>
    <n v="119"/>
    <x v="0"/>
    <x v="1"/>
    <x v="0"/>
    <s v="Freshwater"/>
    <s v="2Freshwater"/>
    <s v="Salmon"/>
    <s v="804"/>
    <s v="Puyallup River"/>
    <s v="Puyallup River"/>
    <s v="Pierce"/>
    <x v="0"/>
    <s v="Thurston"/>
    <s v="08Thurston"/>
    <s v="02South Puget Sound"/>
    <n v="24.411214953270999"/>
    <n v="211.15700934579417"/>
  </r>
  <r>
    <n v="120"/>
    <x v="0"/>
    <x v="2"/>
    <x v="0"/>
    <s v="Freshwater"/>
    <s v="2Freshwater"/>
    <s v="Salmon"/>
    <s v="804"/>
    <s v="Puyallup River"/>
    <s v="Puyallup River"/>
    <s v="Pierce"/>
    <x v="0"/>
    <s v="Pierce"/>
    <s v="07Pierce"/>
    <s v="02South Puget Sound"/>
    <n v="55"/>
    <n v="475.75"/>
  </r>
  <r>
    <n v="121"/>
    <x v="0"/>
    <x v="3"/>
    <x v="0"/>
    <s v="Freshwater"/>
    <s v="2Freshwater"/>
    <s v="Salmon"/>
    <s v="804"/>
    <s v="Puyallup River"/>
    <s v="Puyallup River"/>
    <s v="Pierce"/>
    <x v="0"/>
    <s v="Other"/>
    <s v="20Other"/>
    <s v="07Non Puget Sound"/>
    <n v="6.1315789473684204"/>
    <n v="53.038157894736841"/>
  </r>
  <r>
    <n v="122"/>
    <x v="0"/>
    <x v="3"/>
    <x v="0"/>
    <s v="Freshwater"/>
    <s v="2Freshwater"/>
    <s v="Salmon"/>
    <s v="804"/>
    <s v="Puyallup River"/>
    <s v="Puyallup River"/>
    <s v="Pierce"/>
    <x v="0"/>
    <s v="Pierce"/>
    <s v="07Pierce"/>
    <s v="02South Puget Sound"/>
    <n v="226.86842105263199"/>
    <n v="1962.4118421052667"/>
  </r>
  <r>
    <n v="123"/>
    <x v="0"/>
    <x v="4"/>
    <x v="0"/>
    <s v="Freshwater"/>
    <s v="2Freshwater"/>
    <s v="Salmon"/>
    <s v="804"/>
    <s v="Puyallup River"/>
    <s v="Puyallup River"/>
    <s v="Pierce"/>
    <x v="0"/>
    <s v="Pierce"/>
    <s v="07Pierce"/>
    <s v="02South Puget Sound"/>
    <n v="154"/>
    <n v="1332.1000000000001"/>
  </r>
  <r>
    <n v="124"/>
    <x v="0"/>
    <x v="0"/>
    <x v="0"/>
    <s v="Freshwater"/>
    <s v="2Freshwater"/>
    <s v="Salmon"/>
    <s v="812"/>
    <s v="Quilcene River"/>
    <s v="Quilcene River"/>
    <s v="Jefferson"/>
    <x v="2"/>
    <s v="Clallam"/>
    <s v="11Clallam"/>
    <s v="03Strait of Juan de Fuca"/>
    <n v="81.65625"/>
    <n v="706.32656250000002"/>
  </r>
  <r>
    <n v="125"/>
    <x v="0"/>
    <x v="0"/>
    <x v="0"/>
    <s v="Freshwater"/>
    <s v="2Freshwater"/>
    <s v="Salmon"/>
    <s v="812"/>
    <s v="Quilcene River"/>
    <s v="Quilcene River"/>
    <s v="Jefferson"/>
    <x v="2"/>
    <s v="Jefferson"/>
    <s v="12Jefferson"/>
    <s v="03Strait of Juan de Fuca"/>
    <n v="18.84375"/>
    <n v="162.99843749999999"/>
  </r>
  <r>
    <n v="126"/>
    <x v="0"/>
    <x v="0"/>
    <x v="0"/>
    <s v="Freshwater"/>
    <s v="2Freshwater"/>
    <s v="Salmon"/>
    <s v="812"/>
    <s v="Quilcene River"/>
    <s v="Quilcene River"/>
    <s v="Jefferson"/>
    <x v="2"/>
    <s v="Mason"/>
    <s v="09Mason"/>
    <s v="02South Puget Sound"/>
    <n v="18.84375"/>
    <n v="162.99843749999999"/>
  </r>
  <r>
    <n v="127"/>
    <x v="0"/>
    <x v="0"/>
    <x v="0"/>
    <s v="Freshwater"/>
    <s v="2Freshwater"/>
    <s v="Salmon"/>
    <s v="812"/>
    <s v="Quilcene River"/>
    <s v="Quilcene River"/>
    <s v="Jefferson"/>
    <x v="2"/>
    <s v="Snohomish"/>
    <s v="03Snohomish"/>
    <s v="01North Puget Sound"/>
    <n v="25.125"/>
    <n v="217.33125000000001"/>
  </r>
  <r>
    <n v="128"/>
    <x v="0"/>
    <x v="0"/>
    <x v="0"/>
    <s v="Freshwater"/>
    <s v="2Freshwater"/>
    <s v="Salmon"/>
    <s v="812"/>
    <s v="Quilcene River"/>
    <s v="Quilcene River"/>
    <s v="Jefferson"/>
    <x v="2"/>
    <s v="Thurston"/>
    <s v="08Thurston"/>
    <s v="02South Puget Sound"/>
    <n v="56.53125"/>
    <n v="488.99531250000001"/>
  </r>
  <r>
    <n v="129"/>
    <x v="0"/>
    <x v="1"/>
    <x v="0"/>
    <s v="Freshwater"/>
    <s v="2Freshwater"/>
    <s v="Salmon"/>
    <s v="812"/>
    <s v="Quilcene River"/>
    <s v="Quilcene River"/>
    <s v="Jefferson"/>
    <x v="2"/>
    <s v="Clallam"/>
    <s v="11Clallam"/>
    <s v="03Strait of Juan de Fuca"/>
    <n v="37.764705882352899"/>
    <n v="326.66470588235262"/>
  </r>
  <r>
    <n v="130"/>
    <x v="0"/>
    <x v="1"/>
    <x v="0"/>
    <s v="Freshwater"/>
    <s v="2Freshwater"/>
    <s v="Salmon"/>
    <s v="812"/>
    <s v="Quilcene River"/>
    <s v="Quilcene River"/>
    <s v="Jefferson"/>
    <x v="2"/>
    <s v="Jefferson"/>
    <s v="12Jefferson"/>
    <s v="03Strait of Juan de Fuca"/>
    <n v="62.941176470588303"/>
    <n v="544.44117647058886"/>
  </r>
  <r>
    <n v="131"/>
    <x v="0"/>
    <x v="1"/>
    <x v="0"/>
    <s v="Freshwater"/>
    <s v="2Freshwater"/>
    <s v="Salmon"/>
    <s v="812"/>
    <s v="Quilcene River"/>
    <s v="Quilcene River"/>
    <s v="Jefferson"/>
    <x v="2"/>
    <s v="King"/>
    <s v="06King"/>
    <s v="02South Puget Sound"/>
    <n v="6.2941176470588296"/>
    <n v="54.444117647058881"/>
  </r>
  <r>
    <n v="132"/>
    <x v="0"/>
    <x v="1"/>
    <x v="0"/>
    <s v="Freshwater"/>
    <s v="2Freshwater"/>
    <s v="Salmon"/>
    <s v="812"/>
    <s v="Quilcene River"/>
    <s v="Quilcene River"/>
    <s v="Jefferson"/>
    <x v="2"/>
    <s v="Kitsap"/>
    <s v="10Kitsap"/>
    <s v="02South Puget Sound"/>
    <n v="6.2941176470588296"/>
    <n v="54.444117647058881"/>
  </r>
  <r>
    <n v="133"/>
    <x v="0"/>
    <x v="1"/>
    <x v="0"/>
    <s v="Freshwater"/>
    <s v="2Freshwater"/>
    <s v="Salmon"/>
    <s v="812"/>
    <s v="Quilcene River"/>
    <s v="Quilcene River"/>
    <s v="Jefferson"/>
    <x v="2"/>
    <s v="Mason"/>
    <s v="09Mason"/>
    <s v="02South Puget Sound"/>
    <n v="62.941176470588303"/>
    <n v="544.44117647058886"/>
  </r>
  <r>
    <n v="134"/>
    <x v="0"/>
    <x v="1"/>
    <x v="0"/>
    <s v="Freshwater"/>
    <s v="2Freshwater"/>
    <s v="Salmon"/>
    <s v="812"/>
    <s v="Quilcene River"/>
    <s v="Quilcene River"/>
    <s v="Jefferson"/>
    <x v="2"/>
    <s v="Snohomish"/>
    <s v="03Snohomish"/>
    <s v="01North Puget Sound"/>
    <n v="12.5882352941177"/>
    <n v="108.8882352941181"/>
  </r>
  <r>
    <n v="135"/>
    <x v="0"/>
    <x v="1"/>
    <x v="0"/>
    <s v="Freshwater"/>
    <s v="2Freshwater"/>
    <s v="Salmon"/>
    <s v="812"/>
    <s v="Quilcene River"/>
    <s v="Quilcene River"/>
    <s v="Jefferson"/>
    <x v="2"/>
    <s v="Thurston"/>
    <s v="08Thurston"/>
    <s v="02South Puget Sound"/>
    <n v="25.176470588235301"/>
    <n v="217.77647058823536"/>
  </r>
  <r>
    <n v="136"/>
    <x v="0"/>
    <x v="2"/>
    <x v="0"/>
    <s v="Freshwater"/>
    <s v="2Freshwater"/>
    <s v="Salmon"/>
    <s v="812"/>
    <s v="Quilcene River"/>
    <s v="Quilcene River"/>
    <s v="Jefferson"/>
    <x v="2"/>
    <s v="Jefferson"/>
    <s v="12Jefferson"/>
    <s v="03Strait of Juan de Fuca"/>
    <n v="6.2"/>
    <n v="53.63"/>
  </r>
  <r>
    <n v="137"/>
    <x v="0"/>
    <x v="2"/>
    <x v="0"/>
    <s v="Freshwater"/>
    <s v="2Freshwater"/>
    <s v="Salmon"/>
    <s v="812"/>
    <s v="Quilcene River"/>
    <s v="Quilcene River"/>
    <s v="Jefferson"/>
    <x v="2"/>
    <s v="Kitsap"/>
    <s v="10Kitsap"/>
    <s v="02South Puget Sound"/>
    <n v="12.4"/>
    <n v="107.26"/>
  </r>
  <r>
    <n v="138"/>
    <x v="0"/>
    <x v="2"/>
    <x v="0"/>
    <s v="Freshwater"/>
    <s v="2Freshwater"/>
    <s v="Salmon"/>
    <s v="812"/>
    <s v="Quilcene River"/>
    <s v="Quilcene River"/>
    <s v="Jefferson"/>
    <x v="2"/>
    <s v="Snohomish"/>
    <s v="03Snohomish"/>
    <s v="01North Puget Sound"/>
    <n v="12.4"/>
    <n v="107.26"/>
  </r>
  <r>
    <n v="139"/>
    <x v="0"/>
    <x v="5"/>
    <x v="0"/>
    <s v="Freshwater"/>
    <s v="2Freshwater"/>
    <s v="Salmon"/>
    <s v="816"/>
    <s v="Samish River"/>
    <s v="Samish River"/>
    <s v="Skagit"/>
    <x v="1"/>
    <s v="San Juan"/>
    <s v="05San Juan"/>
    <s v="01North Puget Sound"/>
    <n v="62.727272727272698"/>
    <n v="542.59090909090889"/>
  </r>
  <r>
    <n v="140"/>
    <x v="0"/>
    <x v="5"/>
    <x v="0"/>
    <s v="Freshwater"/>
    <s v="2Freshwater"/>
    <s v="Salmon"/>
    <s v="816"/>
    <s v="Samish River"/>
    <s v="Samish River"/>
    <s v="Skagit"/>
    <x v="1"/>
    <s v="Snohomish"/>
    <s v="03Snohomish"/>
    <s v="01North Puget Sound"/>
    <n v="6.2727272727272698"/>
    <n v="54.259090909090887"/>
  </r>
  <r>
    <n v="141"/>
    <x v="0"/>
    <x v="0"/>
    <x v="0"/>
    <s v="Freshwater"/>
    <s v="2Freshwater"/>
    <s v="Salmon"/>
    <s v="816"/>
    <s v="Samish River"/>
    <s v="Samish River"/>
    <s v="Skagit"/>
    <x v="1"/>
    <s v="Island"/>
    <s v="04Island"/>
    <s v="01North Puget Sound"/>
    <n v="43.683544303797497"/>
    <n v="377.86265822784839"/>
  </r>
  <r>
    <n v="142"/>
    <x v="0"/>
    <x v="0"/>
    <x v="0"/>
    <s v="Freshwater"/>
    <s v="2Freshwater"/>
    <s v="Salmon"/>
    <s v="816"/>
    <s v="Samish River"/>
    <s v="Samish River"/>
    <s v="Skagit"/>
    <x v="1"/>
    <s v="King"/>
    <s v="06King"/>
    <s v="02South Puget Sound"/>
    <n v="6.2405063291139298"/>
    <n v="53.980379746835496"/>
  </r>
  <r>
    <n v="143"/>
    <x v="0"/>
    <x v="0"/>
    <x v="0"/>
    <s v="Freshwater"/>
    <s v="2Freshwater"/>
    <s v="Salmon"/>
    <s v="816"/>
    <s v="Samish River"/>
    <s v="Samish River"/>
    <s v="Skagit"/>
    <x v="1"/>
    <s v="Other"/>
    <s v="20Other"/>
    <s v="07Non Puget Sound"/>
    <n v="6.2405063291139298"/>
    <n v="53.980379746835496"/>
  </r>
  <r>
    <n v="144"/>
    <x v="0"/>
    <x v="0"/>
    <x v="0"/>
    <s v="Freshwater"/>
    <s v="2Freshwater"/>
    <s v="Salmon"/>
    <s v="816"/>
    <s v="Samish River"/>
    <s v="Samish River"/>
    <s v="Skagit"/>
    <x v="1"/>
    <s v="San Juan"/>
    <s v="05San Juan"/>
    <s v="01North Puget Sound"/>
    <n v="12.4810126582279"/>
    <n v="107.96075949367135"/>
  </r>
  <r>
    <n v="145"/>
    <x v="0"/>
    <x v="0"/>
    <x v="0"/>
    <s v="Freshwater"/>
    <s v="2Freshwater"/>
    <s v="Salmon"/>
    <s v="816"/>
    <s v="Samish River"/>
    <s v="Samish River"/>
    <s v="Skagit"/>
    <x v="1"/>
    <s v="Skagit"/>
    <s v="02Skagit"/>
    <s v="01North Puget Sound"/>
    <n v="224.65822784810101"/>
    <n v="1943.2936708860739"/>
  </r>
  <r>
    <n v="146"/>
    <x v="0"/>
    <x v="0"/>
    <x v="0"/>
    <s v="Freshwater"/>
    <s v="2Freshwater"/>
    <s v="Salmon"/>
    <s v="816"/>
    <s v="Samish River"/>
    <s v="Samish River"/>
    <s v="Skagit"/>
    <x v="1"/>
    <s v="Snohomish"/>
    <s v="03Snohomish"/>
    <s v="01North Puget Sound"/>
    <n v="156.01265822784799"/>
    <n v="1349.5094936708851"/>
  </r>
  <r>
    <n v="147"/>
    <x v="0"/>
    <x v="0"/>
    <x v="0"/>
    <s v="Freshwater"/>
    <s v="2Freshwater"/>
    <s v="Salmon"/>
    <s v="816"/>
    <s v="Samish River"/>
    <s v="Samish River"/>
    <s v="Skagit"/>
    <x v="1"/>
    <s v="Whatcom"/>
    <s v="01Whatcom"/>
    <s v="01North Puget Sound"/>
    <n v="43.683544303797497"/>
    <n v="377.86265822784839"/>
  </r>
  <r>
    <n v="148"/>
    <x v="0"/>
    <x v="1"/>
    <x v="0"/>
    <s v="Freshwater"/>
    <s v="2Freshwater"/>
    <s v="Salmon"/>
    <s v="816"/>
    <s v="Samish River"/>
    <s v="Samish River"/>
    <s v="Skagit"/>
    <x v="1"/>
    <s v="Island"/>
    <s v="04Island"/>
    <s v="01North Puget Sound"/>
    <n v="413.01886792452802"/>
    <n v="3572.6132075471673"/>
  </r>
  <r>
    <n v="149"/>
    <x v="0"/>
    <x v="1"/>
    <x v="0"/>
    <s v="Freshwater"/>
    <s v="2Freshwater"/>
    <s v="Salmon"/>
    <s v="816"/>
    <s v="Samish River"/>
    <s v="Samish River"/>
    <s v="Skagit"/>
    <x v="1"/>
    <s v="King"/>
    <s v="06King"/>
    <s v="02South Puget Sound"/>
    <n v="219.025157232704"/>
    <n v="1894.5676100628898"/>
  </r>
  <r>
    <n v="150"/>
    <x v="0"/>
    <x v="1"/>
    <x v="0"/>
    <s v="Freshwater"/>
    <s v="2Freshwater"/>
    <s v="Salmon"/>
    <s v="816"/>
    <s v="Samish River"/>
    <s v="Samish River"/>
    <s v="Skagit"/>
    <x v="1"/>
    <s v="Kitsap"/>
    <s v="10Kitsap"/>
    <s v="02South Puget Sound"/>
    <n v="6.2578616352201299"/>
    <n v="54.130503144654128"/>
  </r>
  <r>
    <n v="151"/>
    <x v="0"/>
    <x v="1"/>
    <x v="0"/>
    <s v="Freshwater"/>
    <s v="2Freshwater"/>
    <s v="Salmon"/>
    <s v="816"/>
    <s v="Samish River"/>
    <s v="Samish River"/>
    <s v="Skagit"/>
    <x v="1"/>
    <s v="Other"/>
    <s v="20Other"/>
    <s v="07Non Puget Sound"/>
    <n v="344.18238993710702"/>
    <n v="2977.177672955976"/>
  </r>
  <r>
    <n v="152"/>
    <x v="0"/>
    <x v="1"/>
    <x v="0"/>
    <s v="Freshwater"/>
    <s v="2Freshwater"/>
    <s v="Salmon"/>
    <s v="816"/>
    <s v="Samish River"/>
    <s v="Samish River"/>
    <s v="Skagit"/>
    <x v="1"/>
    <s v="Skagit"/>
    <s v="02Skagit"/>
    <s v="01North Puget Sound"/>
    <n v="1551.9496855345899"/>
    <n v="13424.364779874202"/>
  </r>
  <r>
    <n v="153"/>
    <x v="0"/>
    <x v="1"/>
    <x v="0"/>
    <s v="Freshwater"/>
    <s v="2Freshwater"/>
    <s v="Salmon"/>
    <s v="816"/>
    <s v="Samish River"/>
    <s v="Samish River"/>
    <s v="Skagit"/>
    <x v="1"/>
    <s v="Snohomish"/>
    <s v="03Snohomish"/>
    <s v="01North Puget Sound"/>
    <n v="1551.9496855345899"/>
    <n v="13424.364779874202"/>
  </r>
  <r>
    <n v="154"/>
    <x v="0"/>
    <x v="1"/>
    <x v="0"/>
    <s v="Freshwater"/>
    <s v="2Freshwater"/>
    <s v="Salmon"/>
    <s v="816"/>
    <s v="Samish River"/>
    <s v="Samish River"/>
    <s v="Skagit"/>
    <x v="1"/>
    <s v="Whatcom"/>
    <s v="01Whatcom"/>
    <s v="01North Puget Sound"/>
    <n v="888.616352201258"/>
    <n v="7686.5314465408819"/>
  </r>
  <r>
    <n v="155"/>
    <x v="0"/>
    <x v="2"/>
    <x v="0"/>
    <s v="Freshwater"/>
    <s v="2Freshwater"/>
    <s v="Salmon"/>
    <s v="816"/>
    <s v="Samish River"/>
    <s v="Samish River"/>
    <s v="Skagit"/>
    <x v="1"/>
    <s v="Island"/>
    <s v="04Island"/>
    <s v="01North Puget Sound"/>
    <n v="18.6428571428571"/>
    <n v="161.26071428571393"/>
  </r>
  <r>
    <n v="156"/>
    <x v="0"/>
    <x v="2"/>
    <x v="0"/>
    <s v="Freshwater"/>
    <s v="2Freshwater"/>
    <s v="Salmon"/>
    <s v="816"/>
    <s v="Samish River"/>
    <s v="Samish River"/>
    <s v="Skagit"/>
    <x v="1"/>
    <s v="King"/>
    <s v="06King"/>
    <s v="02South Puget Sound"/>
    <n v="37.285714285714299"/>
    <n v="322.52142857142871"/>
  </r>
  <r>
    <n v="157"/>
    <x v="0"/>
    <x v="2"/>
    <x v="0"/>
    <s v="Freshwater"/>
    <s v="2Freshwater"/>
    <s v="Salmon"/>
    <s v="816"/>
    <s v="Samish River"/>
    <s v="Samish River"/>
    <s v="Skagit"/>
    <x v="1"/>
    <s v="Other"/>
    <s v="20Other"/>
    <s v="07Non Puget Sound"/>
    <n v="6.2142857142857197"/>
    <n v="53.753571428571476"/>
  </r>
  <r>
    <n v="158"/>
    <x v="0"/>
    <x v="2"/>
    <x v="0"/>
    <s v="Freshwater"/>
    <s v="2Freshwater"/>
    <s v="Salmon"/>
    <s v="816"/>
    <s v="Samish River"/>
    <s v="Samish River"/>
    <s v="Skagit"/>
    <x v="1"/>
    <s v="Skagit"/>
    <s v="02Skagit"/>
    <s v="01North Puget Sound"/>
    <n v="304.5"/>
    <n v="2633.9250000000002"/>
  </r>
  <r>
    <n v="159"/>
    <x v="0"/>
    <x v="2"/>
    <x v="0"/>
    <s v="Freshwater"/>
    <s v="2Freshwater"/>
    <s v="Salmon"/>
    <s v="816"/>
    <s v="Samish River"/>
    <s v="Samish River"/>
    <s v="Skagit"/>
    <x v="1"/>
    <s v="Snohomish"/>
    <s v="03Snohomish"/>
    <s v="01North Puget Sound"/>
    <n v="174"/>
    <n v="1505.1000000000001"/>
  </r>
  <r>
    <n v="160"/>
    <x v="0"/>
    <x v="2"/>
    <x v="0"/>
    <s v="Freshwater"/>
    <s v="2Freshwater"/>
    <s v="Salmon"/>
    <s v="816"/>
    <s v="Samish River"/>
    <s v="Samish River"/>
    <s v="Skagit"/>
    <x v="1"/>
    <s v="Whatcom"/>
    <s v="01Whatcom"/>
    <s v="01North Puget Sound"/>
    <n v="68.357142857142904"/>
    <n v="591.28928571428617"/>
  </r>
  <r>
    <n v="161"/>
    <x v="0"/>
    <x v="3"/>
    <x v="0"/>
    <s v="Freshwater"/>
    <s v="2Freshwater"/>
    <s v="Salmon"/>
    <s v="816"/>
    <s v="Samish River"/>
    <s v="Samish River"/>
    <s v="Skagit"/>
    <x v="1"/>
    <s v="Skagit"/>
    <s v="02Skagit"/>
    <s v="01North Puget Sound"/>
    <n v="12"/>
    <n v="103.80000000000001"/>
  </r>
  <r>
    <n v="162"/>
    <x v="0"/>
    <x v="5"/>
    <x v="0"/>
    <s v="Freshwater"/>
    <s v="2Freshwater"/>
    <s v="Salmon"/>
    <s v="824"/>
    <s v="Baker River"/>
    <s v="Baker River"/>
    <s v="Skagit/Whatcom"/>
    <x v="1"/>
    <s v="Pierce"/>
    <s v="07Pierce"/>
    <s v="02South Puget Sound"/>
    <n v="5.9230769230769198"/>
    <n v="51.23461538461536"/>
  </r>
  <r>
    <n v="163"/>
    <x v="0"/>
    <x v="5"/>
    <x v="0"/>
    <s v="Freshwater"/>
    <s v="2Freshwater"/>
    <s v="Salmon"/>
    <s v="824"/>
    <s v="Baker River"/>
    <s v="Baker River"/>
    <s v="Skagit/Whatcom"/>
    <x v="1"/>
    <s v="Skagit"/>
    <s v="02Skagit"/>
    <s v="01North Puget Sound"/>
    <n v="136.230769230769"/>
    <n v="1178.3961538461519"/>
  </r>
  <r>
    <n v="164"/>
    <x v="0"/>
    <x v="5"/>
    <x v="0"/>
    <s v="Freshwater"/>
    <s v="2Freshwater"/>
    <s v="Salmon"/>
    <s v="824"/>
    <s v="Baker River"/>
    <s v="Baker River"/>
    <s v="Skagit/Whatcom"/>
    <x v="1"/>
    <s v="Snohomish"/>
    <s v="03Snohomish"/>
    <s v="01North Puget Sound"/>
    <n v="5.9230769230769198"/>
    <n v="51.23461538461536"/>
  </r>
  <r>
    <n v="165"/>
    <x v="0"/>
    <x v="5"/>
    <x v="0"/>
    <s v="Freshwater"/>
    <s v="2Freshwater"/>
    <s v="Salmon"/>
    <s v="824"/>
    <s v="Baker River"/>
    <s v="Baker River"/>
    <s v="Skagit/Whatcom"/>
    <x v="1"/>
    <s v="Whatcom"/>
    <s v="01Whatcom"/>
    <s v="01North Puget Sound"/>
    <n v="5.9230769230769198"/>
    <n v="51.23461538461536"/>
  </r>
  <r>
    <n v="166"/>
    <x v="0"/>
    <x v="5"/>
    <x v="0"/>
    <s v="Freshwater"/>
    <s v="2Freshwater"/>
    <s v="Salmon"/>
    <s v="825"/>
    <s v="Baker Lake"/>
    <s v="Baker Lake"/>
    <s v="Whatcom"/>
    <x v="1"/>
    <s v="Island"/>
    <s v="04Island"/>
    <s v="01North Puget Sound"/>
    <n v="54.214285714285701"/>
    <n v="468.95357142857131"/>
  </r>
  <r>
    <n v="167"/>
    <x v="0"/>
    <x v="5"/>
    <x v="0"/>
    <s v="Freshwater"/>
    <s v="2Freshwater"/>
    <s v="Salmon"/>
    <s v="825"/>
    <s v="Baker Lake"/>
    <s v="Baker Lake"/>
    <s v="Whatcom"/>
    <x v="1"/>
    <s v="King"/>
    <s v="06King"/>
    <s v="02South Puget Sound"/>
    <n v="253"/>
    <n v="2188.4500000000003"/>
  </r>
  <r>
    <n v="168"/>
    <x v="0"/>
    <x v="5"/>
    <x v="0"/>
    <s v="Freshwater"/>
    <s v="2Freshwater"/>
    <s v="Salmon"/>
    <s v="825"/>
    <s v="Baker Lake"/>
    <s v="Baker Lake"/>
    <s v="Whatcom"/>
    <x v="1"/>
    <s v="Other"/>
    <s v="20Other"/>
    <s v="07Non Puget Sound"/>
    <n v="30.119047619047599"/>
    <n v="260.52976190476176"/>
  </r>
  <r>
    <n v="169"/>
    <x v="0"/>
    <x v="5"/>
    <x v="0"/>
    <s v="Freshwater"/>
    <s v="2Freshwater"/>
    <s v="Salmon"/>
    <s v="825"/>
    <s v="Baker Lake"/>
    <s v="Baker Lake"/>
    <s v="Whatcom"/>
    <x v="1"/>
    <s v="Pierce"/>
    <s v="07Pierce"/>
    <s v="02South Puget Sound"/>
    <n v="18.071428571428601"/>
    <n v="156.31785714285741"/>
  </r>
  <r>
    <n v="170"/>
    <x v="0"/>
    <x v="5"/>
    <x v="0"/>
    <s v="Freshwater"/>
    <s v="2Freshwater"/>
    <s v="Salmon"/>
    <s v="825"/>
    <s v="Baker Lake"/>
    <s v="Baker Lake"/>
    <s v="Whatcom"/>
    <x v="1"/>
    <s v="Skagit"/>
    <s v="02Skagit"/>
    <s v="01North Puget Sound"/>
    <n v="409.61904761904799"/>
    <n v="3543.2047619047653"/>
  </r>
  <r>
    <n v="171"/>
    <x v="0"/>
    <x v="5"/>
    <x v="0"/>
    <s v="Freshwater"/>
    <s v="2Freshwater"/>
    <s v="Salmon"/>
    <s v="825"/>
    <s v="Baker Lake"/>
    <s v="Baker Lake"/>
    <s v="Whatcom"/>
    <x v="1"/>
    <s v="Snohomish"/>
    <s v="03Snohomish"/>
    <s v="01North Puget Sound"/>
    <n v="325.28571428571399"/>
    <n v="2813.7214285714263"/>
  </r>
  <r>
    <n v="172"/>
    <x v="0"/>
    <x v="5"/>
    <x v="0"/>
    <s v="Freshwater"/>
    <s v="2Freshwater"/>
    <s v="Salmon"/>
    <s v="825"/>
    <s v="Baker Lake"/>
    <s v="Baker Lake"/>
    <s v="Whatcom"/>
    <x v="1"/>
    <s v="Whatcom"/>
    <s v="01Whatcom"/>
    <s v="01North Puget Sound"/>
    <n v="174.69047619047601"/>
    <n v="1511.0726190476175"/>
  </r>
  <r>
    <n v="173"/>
    <x v="0"/>
    <x v="0"/>
    <x v="0"/>
    <s v="Freshwater"/>
    <s v="2Freshwater"/>
    <s v="Salmon"/>
    <s v="825"/>
    <s v="Baker Lake"/>
    <s v="Baker Lake"/>
    <s v="Whatcom"/>
    <x v="1"/>
    <s v="Island"/>
    <s v="04Island"/>
    <s v="01North Puget Sound"/>
    <n v="126.4921875"/>
    <n v="1094.157421875"/>
  </r>
  <r>
    <n v="174"/>
    <x v="0"/>
    <x v="0"/>
    <x v="0"/>
    <s v="Freshwater"/>
    <s v="2Freshwater"/>
    <s v="Salmon"/>
    <s v="825"/>
    <s v="Baker Lake"/>
    <s v="Baker Lake"/>
    <s v="Whatcom"/>
    <x v="1"/>
    <s v="King"/>
    <s v="06King"/>
    <s v="02South Puget Sound"/>
    <n v="156.609375"/>
    <n v="1354.67109375"/>
  </r>
  <r>
    <n v="175"/>
    <x v="0"/>
    <x v="0"/>
    <x v="0"/>
    <s v="Freshwater"/>
    <s v="2Freshwater"/>
    <s v="Salmon"/>
    <s v="825"/>
    <s v="Baker Lake"/>
    <s v="Baker Lake"/>
    <s v="Whatcom"/>
    <x v="1"/>
    <s v="Other"/>
    <s v="20Other"/>
    <s v="07Non Puget Sound"/>
    <n v="54.2109375"/>
    <n v="468.92460937500005"/>
  </r>
  <r>
    <n v="176"/>
    <x v="0"/>
    <x v="0"/>
    <x v="0"/>
    <s v="Freshwater"/>
    <s v="2Freshwater"/>
    <s v="Salmon"/>
    <s v="825"/>
    <s v="Baker Lake"/>
    <s v="Baker Lake"/>
    <s v="Whatcom"/>
    <x v="1"/>
    <s v="Pierce"/>
    <s v="07Pierce"/>
    <s v="02South Puget Sound"/>
    <n v="12.046875"/>
    <n v="104.20546875000001"/>
  </r>
  <r>
    <n v="177"/>
    <x v="0"/>
    <x v="0"/>
    <x v="0"/>
    <s v="Freshwater"/>
    <s v="2Freshwater"/>
    <s v="Salmon"/>
    <s v="825"/>
    <s v="Baker Lake"/>
    <s v="Baker Lake"/>
    <s v="Whatcom"/>
    <x v="1"/>
    <s v="Skagit"/>
    <s v="02Skagit"/>
    <s v="01North Puget Sound"/>
    <n v="542.109375"/>
    <n v="4689.24609375"/>
  </r>
  <r>
    <n v="178"/>
    <x v="0"/>
    <x v="0"/>
    <x v="0"/>
    <s v="Freshwater"/>
    <s v="2Freshwater"/>
    <s v="Salmon"/>
    <s v="825"/>
    <s v="Baker Lake"/>
    <s v="Baker Lake"/>
    <s v="Whatcom"/>
    <x v="1"/>
    <s v="Snohomish"/>
    <s v="03Snohomish"/>
    <s v="01North Puget Sound"/>
    <n v="548.1328125"/>
    <n v="4741.3488281250002"/>
  </r>
  <r>
    <n v="179"/>
    <x v="0"/>
    <x v="0"/>
    <x v="0"/>
    <s v="Freshwater"/>
    <s v="2Freshwater"/>
    <s v="Salmon"/>
    <s v="825"/>
    <s v="Baker Lake"/>
    <s v="Baker Lake"/>
    <s v="Whatcom"/>
    <x v="1"/>
    <s v="Whatcom"/>
    <s v="01Whatcom"/>
    <s v="01North Puget Sound"/>
    <n v="102.3984375"/>
    <n v="885.74648437500002"/>
  </r>
  <r>
    <n v="180"/>
    <x v="0"/>
    <x v="1"/>
    <x v="0"/>
    <s v="Freshwater"/>
    <s v="2Freshwater"/>
    <s v="Salmon"/>
    <s v="825"/>
    <s v="Baker Lake"/>
    <s v="Baker Lake"/>
    <s v="Whatcom"/>
    <x v="1"/>
    <s v="King"/>
    <s v="06King"/>
    <s v="02South Puget Sound"/>
    <n v="30"/>
    <n v="259.5"/>
  </r>
  <r>
    <n v="181"/>
    <x v="0"/>
    <x v="1"/>
    <x v="0"/>
    <s v="Freshwater"/>
    <s v="2Freshwater"/>
    <s v="Salmon"/>
    <s v="825"/>
    <s v="Baker Lake"/>
    <s v="Baker Lake"/>
    <s v="Whatcom"/>
    <x v="1"/>
    <s v="Skagit"/>
    <s v="02Skagit"/>
    <s v="01North Puget Sound"/>
    <n v="36"/>
    <n v="311.40000000000003"/>
  </r>
  <r>
    <n v="182"/>
    <x v="0"/>
    <x v="1"/>
    <x v="0"/>
    <s v="Freshwater"/>
    <s v="2Freshwater"/>
    <s v="Salmon"/>
    <s v="825"/>
    <s v="Baker Lake"/>
    <s v="Baker Lake"/>
    <s v="Whatcom"/>
    <x v="1"/>
    <s v="Snohomish"/>
    <s v="03Snohomish"/>
    <s v="01North Puget Sound"/>
    <n v="60"/>
    <n v="519"/>
  </r>
  <r>
    <n v="183"/>
    <x v="0"/>
    <x v="7"/>
    <x v="0"/>
    <s v="Freshwater"/>
    <s v="2Freshwater"/>
    <s v="Salmon"/>
    <s v="826"/>
    <s v="Cascade River"/>
    <s v="Cascade River"/>
    <s v="Skagit"/>
    <x v="1"/>
    <s v="Island"/>
    <s v="04Island"/>
    <s v="01North Puget Sound"/>
    <n v="23.692307692307701"/>
    <n v="204.93846153846161"/>
  </r>
  <r>
    <n v="184"/>
    <x v="0"/>
    <x v="7"/>
    <x v="0"/>
    <s v="Freshwater"/>
    <s v="2Freshwater"/>
    <s v="Salmon"/>
    <s v="826"/>
    <s v="Cascade River"/>
    <s v="Cascade River"/>
    <s v="Skagit"/>
    <x v="1"/>
    <s v="Other"/>
    <s v="20Other"/>
    <s v="07Non Puget Sound"/>
    <n v="5.9230769230769198"/>
    <n v="51.23461538461536"/>
  </r>
  <r>
    <n v="185"/>
    <x v="0"/>
    <x v="7"/>
    <x v="0"/>
    <s v="Freshwater"/>
    <s v="2Freshwater"/>
    <s v="Salmon"/>
    <s v="826"/>
    <s v="Cascade River"/>
    <s v="Cascade River"/>
    <s v="Skagit"/>
    <x v="1"/>
    <s v="Pierce"/>
    <s v="07Pierce"/>
    <s v="02South Puget Sound"/>
    <n v="5.9230769230769198"/>
    <n v="51.23461538461536"/>
  </r>
  <r>
    <n v="186"/>
    <x v="0"/>
    <x v="7"/>
    <x v="0"/>
    <s v="Freshwater"/>
    <s v="2Freshwater"/>
    <s v="Salmon"/>
    <s v="826"/>
    <s v="Cascade River"/>
    <s v="Cascade River"/>
    <s v="Skagit"/>
    <x v="1"/>
    <s v="Skagit"/>
    <s v="02Skagit"/>
    <s v="01North Puget Sound"/>
    <n v="11.846153846153801"/>
    <n v="102.46923076923038"/>
  </r>
  <r>
    <n v="187"/>
    <x v="0"/>
    <x v="7"/>
    <x v="0"/>
    <s v="Freshwater"/>
    <s v="2Freshwater"/>
    <s v="Salmon"/>
    <s v="826"/>
    <s v="Cascade River"/>
    <s v="Cascade River"/>
    <s v="Skagit"/>
    <x v="1"/>
    <s v="Snohomish"/>
    <s v="03Snohomish"/>
    <s v="01North Puget Sound"/>
    <n v="29.615384615384599"/>
    <n v="256.17307692307679"/>
  </r>
  <r>
    <n v="188"/>
    <x v="0"/>
    <x v="5"/>
    <x v="0"/>
    <s v="Freshwater"/>
    <s v="2Freshwater"/>
    <s v="Salmon"/>
    <s v="826"/>
    <s v="Cascade River"/>
    <s v="Cascade River"/>
    <s v="Skagit"/>
    <x v="1"/>
    <s v="Island"/>
    <s v="04Island"/>
    <s v="01North Puget Sound"/>
    <n v="12"/>
    <n v="103.80000000000001"/>
  </r>
  <r>
    <n v="189"/>
    <x v="0"/>
    <x v="5"/>
    <x v="0"/>
    <s v="Freshwater"/>
    <s v="2Freshwater"/>
    <s v="Salmon"/>
    <s v="826"/>
    <s v="Cascade River"/>
    <s v="Cascade River"/>
    <s v="Skagit"/>
    <x v="1"/>
    <s v="Snohomish"/>
    <s v="03Snohomish"/>
    <s v="01North Puget Sound"/>
    <n v="12"/>
    <n v="103.80000000000001"/>
  </r>
  <r>
    <n v="190"/>
    <x v="0"/>
    <x v="1"/>
    <x v="0"/>
    <s v="Freshwater"/>
    <s v="2Freshwater"/>
    <s v="Salmon"/>
    <s v="826"/>
    <s v="Cascade River"/>
    <s v="Cascade River"/>
    <s v="Skagit"/>
    <x v="1"/>
    <s v="Skagit"/>
    <s v="02Skagit"/>
    <s v="01North Puget Sound"/>
    <n v="29.5"/>
    <n v="255.17500000000001"/>
  </r>
  <r>
    <n v="191"/>
    <x v="0"/>
    <x v="1"/>
    <x v="0"/>
    <s v="Freshwater"/>
    <s v="2Freshwater"/>
    <s v="Salmon"/>
    <s v="826"/>
    <s v="Cascade River"/>
    <s v="Cascade River"/>
    <s v="Skagit"/>
    <x v="1"/>
    <s v="Snohomish"/>
    <s v="03Snohomish"/>
    <s v="01North Puget Sound"/>
    <n v="88.5"/>
    <n v="765.52499999999998"/>
  </r>
  <r>
    <n v="192"/>
    <x v="0"/>
    <x v="2"/>
    <x v="0"/>
    <s v="Freshwater"/>
    <s v="2Freshwater"/>
    <s v="Salmon"/>
    <s v="826"/>
    <s v="Cascade River"/>
    <s v="Cascade River"/>
    <s v="Skagit"/>
    <x v="1"/>
    <s v="Skagit"/>
    <s v="02Skagit"/>
    <s v="01North Puget Sound"/>
    <n v="23.7"/>
    <n v="205.005"/>
  </r>
  <r>
    <n v="193"/>
    <x v="0"/>
    <x v="2"/>
    <x v="0"/>
    <s v="Freshwater"/>
    <s v="2Freshwater"/>
    <s v="Salmon"/>
    <s v="826"/>
    <s v="Cascade River"/>
    <s v="Cascade River"/>
    <s v="Skagit"/>
    <x v="1"/>
    <s v="Snohomish"/>
    <s v="03Snohomish"/>
    <s v="01North Puget Sound"/>
    <n v="207.375"/>
    <n v="1793.79375"/>
  </r>
  <r>
    <n v="194"/>
    <x v="0"/>
    <x v="2"/>
    <x v="0"/>
    <s v="Freshwater"/>
    <s v="2Freshwater"/>
    <s v="Salmon"/>
    <s v="826"/>
    <s v="Cascade River"/>
    <s v="Cascade River"/>
    <s v="Skagit"/>
    <x v="1"/>
    <s v="Whatcom"/>
    <s v="01Whatcom"/>
    <s v="01North Puget Sound"/>
    <n v="5.9249999999999998"/>
    <n v="51.251249999999999"/>
  </r>
  <r>
    <n v="195"/>
    <x v="0"/>
    <x v="3"/>
    <x v="0"/>
    <s v="Freshwater"/>
    <s v="2Freshwater"/>
    <s v="Salmon"/>
    <s v="826"/>
    <s v="Cascade River"/>
    <s v="Cascade River"/>
    <s v="Skagit"/>
    <x v="1"/>
    <s v="Kitsap"/>
    <s v="10Kitsap"/>
    <s v="02South Puget Sound"/>
    <n v="11.75"/>
    <n v="101.6375"/>
  </r>
  <r>
    <n v="196"/>
    <x v="0"/>
    <x v="3"/>
    <x v="0"/>
    <s v="Freshwater"/>
    <s v="2Freshwater"/>
    <s v="Salmon"/>
    <s v="826"/>
    <s v="Cascade River"/>
    <s v="Cascade River"/>
    <s v="Skagit"/>
    <x v="1"/>
    <s v="Skagit"/>
    <s v="02Skagit"/>
    <s v="01North Puget Sound"/>
    <n v="5.875"/>
    <n v="50.818750000000001"/>
  </r>
  <r>
    <n v="197"/>
    <x v="0"/>
    <x v="3"/>
    <x v="0"/>
    <s v="Freshwater"/>
    <s v="2Freshwater"/>
    <s v="Salmon"/>
    <s v="826"/>
    <s v="Cascade River"/>
    <s v="Cascade River"/>
    <s v="Skagit"/>
    <x v="1"/>
    <s v="Snohomish"/>
    <s v="03Snohomish"/>
    <s v="01North Puget Sound"/>
    <n v="29.375"/>
    <n v="254.09375"/>
  </r>
  <r>
    <n v="198"/>
    <x v="0"/>
    <x v="4"/>
    <x v="0"/>
    <s v="Freshwater"/>
    <s v="2Freshwater"/>
    <s v="Salmon"/>
    <s v="826"/>
    <s v="Cascade River"/>
    <s v="Cascade River"/>
    <s v="Skagit"/>
    <x v="1"/>
    <s v="Skagit"/>
    <s v="02Skagit"/>
    <s v="01North Puget Sound"/>
    <n v="6"/>
    <n v="51.900000000000006"/>
  </r>
  <r>
    <n v="199"/>
    <x v="0"/>
    <x v="4"/>
    <x v="0"/>
    <s v="Freshwater"/>
    <s v="2Freshwater"/>
    <s v="Salmon"/>
    <s v="826"/>
    <s v="Cascade River"/>
    <s v="Cascade River"/>
    <s v="Skagit"/>
    <x v="1"/>
    <s v="Snohomish"/>
    <s v="03Snohomish"/>
    <s v="01North Puget Sound"/>
    <n v="6"/>
    <n v="51.900000000000006"/>
  </r>
  <r>
    <n v="200"/>
    <x v="0"/>
    <x v="7"/>
    <x v="0"/>
    <s v="Freshwater"/>
    <s v="2Freshwater"/>
    <s v="Salmon"/>
    <s v="830"/>
    <s v="Skagit River"/>
    <s v="Skagit River"/>
    <s v="Skagit/Whatcom"/>
    <x v="4"/>
    <s v="King"/>
    <s v="06King"/>
    <s v="02South Puget Sound"/>
    <n v="5.9444444444444402"/>
    <n v="51.419444444444409"/>
  </r>
  <r>
    <n v="201"/>
    <x v="0"/>
    <x v="7"/>
    <x v="0"/>
    <s v="Freshwater"/>
    <s v="2Freshwater"/>
    <s v="Salmon"/>
    <s v="830"/>
    <s v="Skagit River"/>
    <s v="Skagit River"/>
    <s v="Skagit/Whatcom"/>
    <x v="4"/>
    <s v="Skagit"/>
    <s v="02Skagit"/>
    <s v="01North Puget Sound"/>
    <n v="83.2222222222222"/>
    <n v="719.87222222222204"/>
  </r>
  <r>
    <n v="202"/>
    <x v="0"/>
    <x v="7"/>
    <x v="0"/>
    <s v="Freshwater"/>
    <s v="2Freshwater"/>
    <s v="Salmon"/>
    <s v="830"/>
    <s v="Skagit River"/>
    <s v="Skagit River"/>
    <s v="Skagit/Whatcom"/>
    <x v="4"/>
    <s v="Snohomish"/>
    <s v="03Snohomish"/>
    <s v="01North Puget Sound"/>
    <n v="11.8888888888889"/>
    <n v="102.83888888888899"/>
  </r>
  <r>
    <n v="203"/>
    <x v="0"/>
    <x v="7"/>
    <x v="0"/>
    <s v="Freshwater"/>
    <s v="2Freshwater"/>
    <s v="Salmon"/>
    <s v="830"/>
    <s v="Skagit River"/>
    <s v="Skagit River"/>
    <s v="Skagit/Whatcom"/>
    <x v="4"/>
    <s v="Whatcom"/>
    <s v="01Whatcom"/>
    <s v="01North Puget Sound"/>
    <n v="5.9444444444444402"/>
    <n v="51.419444444444409"/>
  </r>
  <r>
    <n v="204"/>
    <x v="0"/>
    <x v="5"/>
    <x v="0"/>
    <s v="Freshwater"/>
    <s v="2Freshwater"/>
    <s v="Salmon"/>
    <s v="830"/>
    <s v="Skagit River"/>
    <s v="Skagit River"/>
    <s v="Skagit/Whatcom"/>
    <x v="4"/>
    <s v="Skagit"/>
    <s v="02Skagit"/>
    <s v="01North Puget Sound"/>
    <n v="36"/>
    <n v="311.40000000000003"/>
  </r>
  <r>
    <n v="205"/>
    <x v="0"/>
    <x v="5"/>
    <x v="0"/>
    <s v="Freshwater"/>
    <s v="2Freshwater"/>
    <s v="Salmon"/>
    <s v="830"/>
    <s v="Skagit River"/>
    <s v="Skagit River"/>
    <s v="Skagit/Whatcom"/>
    <x v="4"/>
    <s v="Snohomish"/>
    <s v="03Snohomish"/>
    <s v="01North Puget Sound"/>
    <n v="6"/>
    <n v="51.900000000000006"/>
  </r>
  <r>
    <n v="206"/>
    <x v="0"/>
    <x v="0"/>
    <x v="0"/>
    <s v="Freshwater"/>
    <s v="2Freshwater"/>
    <s v="Salmon"/>
    <s v="830"/>
    <s v="Skagit River"/>
    <s v="Skagit River"/>
    <s v="Skagit/Whatcom"/>
    <x v="4"/>
    <s v="Pierce"/>
    <s v="07Pierce"/>
    <s v="02South Puget Sound"/>
    <n v="6"/>
    <n v="51.900000000000006"/>
  </r>
  <r>
    <n v="207"/>
    <x v="0"/>
    <x v="1"/>
    <x v="0"/>
    <s v="Freshwater"/>
    <s v="2Freshwater"/>
    <s v="Salmon"/>
    <s v="830"/>
    <s v="Skagit River"/>
    <s v="Skagit River"/>
    <s v="Skagit/Whatcom"/>
    <x v="4"/>
    <s v="Island"/>
    <s v="04Island"/>
    <s v="01North Puget Sound"/>
    <n v="29.841269841269799"/>
    <n v="258.12698412698376"/>
  </r>
  <r>
    <n v="208"/>
    <x v="0"/>
    <x v="1"/>
    <x v="0"/>
    <s v="Freshwater"/>
    <s v="2Freshwater"/>
    <s v="Salmon"/>
    <s v="830"/>
    <s v="Skagit River"/>
    <s v="Skagit River"/>
    <s v="Skagit/Whatcom"/>
    <x v="4"/>
    <s v="Other"/>
    <s v="20Other"/>
    <s v="07Non Puget Sound"/>
    <n v="29.841269841269799"/>
    <n v="258.12698412698376"/>
  </r>
  <r>
    <n v="209"/>
    <x v="0"/>
    <x v="1"/>
    <x v="0"/>
    <s v="Freshwater"/>
    <s v="2Freshwater"/>
    <s v="Salmon"/>
    <s v="830"/>
    <s v="Skagit River"/>
    <s v="Skagit River"/>
    <s v="Skagit/Whatcom"/>
    <x v="4"/>
    <s v="Skagit"/>
    <s v="02Skagit"/>
    <s v="01North Puget Sound"/>
    <n v="513.26984126984098"/>
    <n v="4439.7841269841247"/>
  </r>
  <r>
    <n v="210"/>
    <x v="0"/>
    <x v="1"/>
    <x v="0"/>
    <s v="Freshwater"/>
    <s v="2Freshwater"/>
    <s v="Salmon"/>
    <s v="830"/>
    <s v="Skagit River"/>
    <s v="Skagit River"/>
    <s v="Skagit/Whatcom"/>
    <x v="4"/>
    <s v="Snohomish"/>
    <s v="03Snohomish"/>
    <s v="01North Puget Sound"/>
    <n v="47.746031746031797"/>
    <n v="413.00317460317507"/>
  </r>
  <r>
    <n v="211"/>
    <x v="0"/>
    <x v="1"/>
    <x v="0"/>
    <s v="Freshwater"/>
    <s v="2Freshwater"/>
    <s v="Salmon"/>
    <s v="830"/>
    <s v="Skagit River"/>
    <s v="Skagit River"/>
    <s v="Skagit/Whatcom"/>
    <x v="4"/>
    <s v="Whatcom"/>
    <s v="01Whatcom"/>
    <s v="01North Puget Sound"/>
    <n v="131.30158730158701"/>
    <n v="1135.7587301587278"/>
  </r>
  <r>
    <n v="212"/>
    <x v="0"/>
    <x v="2"/>
    <x v="0"/>
    <s v="Freshwater"/>
    <s v="2Freshwater"/>
    <s v="Salmon"/>
    <s v="830"/>
    <s v="Skagit River"/>
    <s v="Skagit River"/>
    <s v="Skagit/Whatcom"/>
    <x v="4"/>
    <s v="Island"/>
    <s v="04Island"/>
    <s v="01North Puget Sound"/>
    <n v="5.9484978540772504"/>
    <n v="51.454506437768217"/>
  </r>
  <r>
    <n v="213"/>
    <x v="0"/>
    <x v="2"/>
    <x v="0"/>
    <s v="Freshwater"/>
    <s v="2Freshwater"/>
    <s v="Salmon"/>
    <s v="830"/>
    <s v="Skagit River"/>
    <s v="Skagit River"/>
    <s v="Skagit/Whatcom"/>
    <x v="4"/>
    <s v="King"/>
    <s v="06King"/>
    <s v="02South Puget Sound"/>
    <n v="29.742489270386301"/>
    <n v="257.27253218884152"/>
  </r>
  <r>
    <n v="214"/>
    <x v="0"/>
    <x v="2"/>
    <x v="0"/>
    <s v="Freshwater"/>
    <s v="2Freshwater"/>
    <s v="Salmon"/>
    <s v="830"/>
    <s v="Skagit River"/>
    <s v="Skagit River"/>
    <s v="Skagit/Whatcom"/>
    <x v="4"/>
    <s v="Other"/>
    <s v="20Other"/>
    <s v="07Non Puget Sound"/>
    <n v="41.6394849785408"/>
    <n v="360.18154506437793"/>
  </r>
  <r>
    <n v="215"/>
    <x v="0"/>
    <x v="2"/>
    <x v="0"/>
    <s v="Freshwater"/>
    <s v="2Freshwater"/>
    <s v="Salmon"/>
    <s v="830"/>
    <s v="Skagit River"/>
    <s v="Skagit River"/>
    <s v="Skagit/Whatcom"/>
    <x v="4"/>
    <s v="Pierce"/>
    <s v="07Pierce"/>
    <s v="02South Puget Sound"/>
    <n v="71.381974248927094"/>
    <n v="617.45407725321934"/>
  </r>
  <r>
    <n v="216"/>
    <x v="0"/>
    <x v="2"/>
    <x v="0"/>
    <s v="Freshwater"/>
    <s v="2Freshwater"/>
    <s v="Salmon"/>
    <s v="830"/>
    <s v="Skagit River"/>
    <s v="Skagit River"/>
    <s v="Skagit/Whatcom"/>
    <x v="4"/>
    <s v="Skagit"/>
    <s v="02Skagit"/>
    <s v="01North Puget Sound"/>
    <n v="945.81115879828303"/>
    <n v="8181.2665236051489"/>
  </r>
  <r>
    <n v="217"/>
    <x v="0"/>
    <x v="2"/>
    <x v="0"/>
    <s v="Freshwater"/>
    <s v="2Freshwater"/>
    <s v="Salmon"/>
    <s v="830"/>
    <s v="Skagit River"/>
    <s v="Skagit River"/>
    <s v="Skagit/Whatcom"/>
    <x v="4"/>
    <s v="Snohomish"/>
    <s v="03Snohomish"/>
    <s v="01North Puget Sound"/>
    <n v="71.381974248927094"/>
    <n v="617.45407725321934"/>
  </r>
  <r>
    <n v="218"/>
    <x v="0"/>
    <x v="2"/>
    <x v="0"/>
    <s v="Freshwater"/>
    <s v="2Freshwater"/>
    <s v="Salmon"/>
    <s v="830"/>
    <s v="Skagit River"/>
    <s v="Skagit River"/>
    <s v="Skagit/Whatcom"/>
    <x v="4"/>
    <s v="Thurston"/>
    <s v="08Thurston"/>
    <s v="02South Puget Sound"/>
    <n v="5.9484978540772504"/>
    <n v="51.454506437768217"/>
  </r>
  <r>
    <n v="219"/>
    <x v="0"/>
    <x v="2"/>
    <x v="0"/>
    <s v="Freshwater"/>
    <s v="2Freshwater"/>
    <s v="Salmon"/>
    <s v="830"/>
    <s v="Skagit River"/>
    <s v="Skagit River"/>
    <s v="Skagit/Whatcom"/>
    <x v="4"/>
    <s v="Whatcom"/>
    <s v="01Whatcom"/>
    <s v="01North Puget Sound"/>
    <n v="214.145922746781"/>
    <n v="1852.3622317596557"/>
  </r>
  <r>
    <n v="220"/>
    <x v="0"/>
    <x v="3"/>
    <x v="0"/>
    <s v="Freshwater"/>
    <s v="2Freshwater"/>
    <s v="Salmon"/>
    <s v="830"/>
    <s v="Skagit River"/>
    <s v="Skagit River"/>
    <s v="Skagit/Whatcom"/>
    <x v="4"/>
    <s v="Island"/>
    <s v="04Island"/>
    <s v="01North Puget Sound"/>
    <n v="5.96428571428571"/>
    <n v="51.591071428571396"/>
  </r>
  <r>
    <n v="221"/>
    <x v="0"/>
    <x v="3"/>
    <x v="0"/>
    <s v="Freshwater"/>
    <s v="2Freshwater"/>
    <s v="Salmon"/>
    <s v="830"/>
    <s v="Skagit River"/>
    <s v="Skagit River"/>
    <s v="Skagit/Whatcom"/>
    <x v="4"/>
    <s v="King"/>
    <s v="06King"/>
    <s v="02South Puget Sound"/>
    <n v="5.96428571428571"/>
    <n v="51.591071428571396"/>
  </r>
  <r>
    <n v="222"/>
    <x v="0"/>
    <x v="3"/>
    <x v="0"/>
    <s v="Freshwater"/>
    <s v="2Freshwater"/>
    <s v="Salmon"/>
    <s v="830"/>
    <s v="Skagit River"/>
    <s v="Skagit River"/>
    <s v="Skagit/Whatcom"/>
    <x v="4"/>
    <s v="Other"/>
    <s v="20Other"/>
    <s v="07Non Puget Sound"/>
    <n v="11.9285714285714"/>
    <n v="103.18214285714262"/>
  </r>
  <r>
    <n v="223"/>
    <x v="0"/>
    <x v="3"/>
    <x v="0"/>
    <s v="Freshwater"/>
    <s v="2Freshwater"/>
    <s v="Salmon"/>
    <s v="830"/>
    <s v="Skagit River"/>
    <s v="Skagit River"/>
    <s v="Skagit/Whatcom"/>
    <x v="4"/>
    <s v="Skagit"/>
    <s v="02Skagit"/>
    <s v="01North Puget Sound"/>
    <n v="101.392857142857"/>
    <n v="877.04821428571302"/>
  </r>
  <r>
    <n v="224"/>
    <x v="0"/>
    <x v="3"/>
    <x v="0"/>
    <s v="Freshwater"/>
    <s v="2Freshwater"/>
    <s v="Salmon"/>
    <s v="830"/>
    <s v="Skagit River"/>
    <s v="Skagit River"/>
    <s v="Skagit/Whatcom"/>
    <x v="4"/>
    <s v="Snohomish"/>
    <s v="03Snohomish"/>
    <s v="01North Puget Sound"/>
    <n v="11.9285714285714"/>
    <n v="103.18214285714262"/>
  </r>
  <r>
    <n v="225"/>
    <x v="0"/>
    <x v="3"/>
    <x v="0"/>
    <s v="Freshwater"/>
    <s v="2Freshwater"/>
    <s v="Salmon"/>
    <s v="830"/>
    <s v="Skagit River"/>
    <s v="Skagit River"/>
    <s v="Skagit/Whatcom"/>
    <x v="4"/>
    <s v="Whatcom"/>
    <s v="01Whatcom"/>
    <s v="01North Puget Sound"/>
    <n v="29.821428571428601"/>
    <n v="257.95535714285739"/>
  </r>
  <r>
    <n v="226"/>
    <x v="0"/>
    <x v="4"/>
    <x v="0"/>
    <s v="Freshwater"/>
    <s v="2Freshwater"/>
    <s v="Salmon"/>
    <s v="830"/>
    <s v="Skagit River"/>
    <s v="Skagit River"/>
    <s v="Skagit/Whatcom"/>
    <x v="4"/>
    <s v="Skagit"/>
    <s v="02Skagit"/>
    <s v="01North Puget Sound"/>
    <n v="72"/>
    <n v="622.80000000000007"/>
  </r>
  <r>
    <n v="227"/>
    <x v="0"/>
    <x v="4"/>
    <x v="0"/>
    <s v="Freshwater"/>
    <s v="2Freshwater"/>
    <s v="Salmon"/>
    <s v="830"/>
    <s v="Skagit River"/>
    <s v="Skagit River"/>
    <s v="Skagit/Whatcom"/>
    <x v="4"/>
    <s v="Snohomish"/>
    <s v="03Snohomish"/>
    <s v="01North Puget Sound"/>
    <n v="24"/>
    <n v="207.60000000000002"/>
  </r>
  <r>
    <n v="228"/>
    <x v="0"/>
    <x v="5"/>
    <x v="0"/>
    <s v="Freshwater"/>
    <s v="2Freshwater"/>
    <s v="Salmon"/>
    <s v="834"/>
    <s v="Skokomish River"/>
    <s v="Skokomish River"/>
    <s v="Mason"/>
    <x v="2"/>
    <s v="King"/>
    <s v="06King"/>
    <s v="02South Puget Sound"/>
    <n v="41.870370370370402"/>
    <n v="362.178703703704"/>
  </r>
  <r>
    <n v="229"/>
    <x v="0"/>
    <x v="5"/>
    <x v="0"/>
    <s v="Freshwater"/>
    <s v="2Freshwater"/>
    <s v="Salmon"/>
    <s v="834"/>
    <s v="Skokomish River"/>
    <s v="Skokomish River"/>
    <s v="Mason"/>
    <x v="2"/>
    <s v="Kitsap"/>
    <s v="10Kitsap"/>
    <s v="02South Puget Sound"/>
    <n v="11.962962962962999"/>
    <n v="103.47962962962995"/>
  </r>
  <r>
    <n v="230"/>
    <x v="0"/>
    <x v="5"/>
    <x v="0"/>
    <s v="Freshwater"/>
    <s v="2Freshwater"/>
    <s v="Salmon"/>
    <s v="834"/>
    <s v="Skokomish River"/>
    <s v="Skokomish River"/>
    <s v="Mason"/>
    <x v="2"/>
    <s v="Mason"/>
    <s v="09Mason"/>
    <s v="02South Puget Sound"/>
    <n v="23.925925925925899"/>
    <n v="206.95925925925903"/>
  </r>
  <r>
    <n v="231"/>
    <x v="0"/>
    <x v="5"/>
    <x v="0"/>
    <s v="Freshwater"/>
    <s v="2Freshwater"/>
    <s v="Salmon"/>
    <s v="834"/>
    <s v="Skokomish River"/>
    <s v="Skokomish River"/>
    <s v="Mason"/>
    <x v="2"/>
    <s v="Other"/>
    <s v="20Other"/>
    <s v="07Non Puget Sound"/>
    <n v="11.962962962962999"/>
    <n v="103.47962962962995"/>
  </r>
  <r>
    <n v="232"/>
    <x v="0"/>
    <x v="5"/>
    <x v="0"/>
    <s v="Freshwater"/>
    <s v="2Freshwater"/>
    <s v="Salmon"/>
    <s v="834"/>
    <s v="Skokomish River"/>
    <s v="Skokomish River"/>
    <s v="Mason"/>
    <x v="2"/>
    <s v="Pierce"/>
    <s v="07Pierce"/>
    <s v="02South Puget Sound"/>
    <n v="131.59259259259301"/>
    <n v="1138.2759259259296"/>
  </r>
  <r>
    <n v="233"/>
    <x v="0"/>
    <x v="5"/>
    <x v="0"/>
    <s v="Freshwater"/>
    <s v="2Freshwater"/>
    <s v="Salmon"/>
    <s v="834"/>
    <s v="Skokomish River"/>
    <s v="Skokomish River"/>
    <s v="Mason"/>
    <x v="2"/>
    <s v="Thurston"/>
    <s v="08Thurston"/>
    <s v="02South Puget Sound"/>
    <n v="101.68518518518501"/>
    <n v="879.57685185185028"/>
  </r>
  <r>
    <n v="234"/>
    <x v="0"/>
    <x v="0"/>
    <x v="0"/>
    <s v="Freshwater"/>
    <s v="2Freshwater"/>
    <s v="Salmon"/>
    <s v="834"/>
    <s v="Skokomish River"/>
    <s v="Skokomish River"/>
    <s v="Mason"/>
    <x v="2"/>
    <s v="Clallam"/>
    <s v="11Clallam"/>
    <s v="03Strait of Juan de Fuca"/>
    <n v="23.981308411215"/>
    <n v="207.43831775700977"/>
  </r>
  <r>
    <n v="235"/>
    <x v="0"/>
    <x v="0"/>
    <x v="0"/>
    <s v="Freshwater"/>
    <s v="2Freshwater"/>
    <s v="Salmon"/>
    <s v="834"/>
    <s v="Skokomish River"/>
    <s v="Skokomish River"/>
    <s v="Mason"/>
    <x v="2"/>
    <s v="Island"/>
    <s v="04Island"/>
    <s v="01North Puget Sound"/>
    <n v="47.962616822429901"/>
    <n v="414.87663551401863"/>
  </r>
  <r>
    <n v="236"/>
    <x v="0"/>
    <x v="0"/>
    <x v="0"/>
    <s v="Freshwater"/>
    <s v="2Freshwater"/>
    <s v="Salmon"/>
    <s v="834"/>
    <s v="Skokomish River"/>
    <s v="Skokomish River"/>
    <s v="Mason"/>
    <x v="2"/>
    <s v="King"/>
    <s v="06King"/>
    <s v="02South Puget Sound"/>
    <n v="1043.1869158878501"/>
    <n v="9023.5668224299043"/>
  </r>
  <r>
    <n v="237"/>
    <x v="0"/>
    <x v="0"/>
    <x v="0"/>
    <s v="Freshwater"/>
    <s v="2Freshwater"/>
    <s v="Salmon"/>
    <s v="834"/>
    <s v="Skokomish River"/>
    <s v="Skokomish River"/>
    <s v="Mason"/>
    <x v="2"/>
    <s v="Kitsap"/>
    <s v="10Kitsap"/>
    <s v="02South Puget Sound"/>
    <n v="311.75700934579402"/>
    <n v="2696.6981308411182"/>
  </r>
  <r>
    <n v="238"/>
    <x v="0"/>
    <x v="0"/>
    <x v="0"/>
    <s v="Freshwater"/>
    <s v="2Freshwater"/>
    <s v="Salmon"/>
    <s v="834"/>
    <s v="Skokomish River"/>
    <s v="Skokomish River"/>
    <s v="Mason"/>
    <x v="2"/>
    <s v="Mason"/>
    <s v="09Mason"/>
    <s v="02South Puget Sound"/>
    <n v="383.70093457943898"/>
    <n v="3319.0130841121472"/>
  </r>
  <r>
    <n v="239"/>
    <x v="0"/>
    <x v="0"/>
    <x v="0"/>
    <s v="Freshwater"/>
    <s v="2Freshwater"/>
    <s v="Salmon"/>
    <s v="834"/>
    <s v="Skokomish River"/>
    <s v="Skokomish River"/>
    <s v="Mason"/>
    <x v="2"/>
    <s v="Other"/>
    <s v="20Other"/>
    <s v="07Non Puget Sound"/>
    <n v="335.73831775700899"/>
    <n v="2904.136448598128"/>
  </r>
  <r>
    <n v="240"/>
    <x v="0"/>
    <x v="0"/>
    <x v="0"/>
    <s v="Freshwater"/>
    <s v="2Freshwater"/>
    <s v="Salmon"/>
    <s v="834"/>
    <s v="Skokomish River"/>
    <s v="Skokomish River"/>
    <s v="Mason"/>
    <x v="2"/>
    <s v="Pierce"/>
    <s v="07Pierce"/>
    <s v="02South Puget Sound"/>
    <n v="1978.45794392523"/>
    <n v="17113.661214953241"/>
  </r>
  <r>
    <n v="241"/>
    <x v="0"/>
    <x v="0"/>
    <x v="0"/>
    <s v="Freshwater"/>
    <s v="2Freshwater"/>
    <s v="Salmon"/>
    <s v="834"/>
    <s v="Skokomish River"/>
    <s v="Skokomish River"/>
    <s v="Mason"/>
    <x v="2"/>
    <s v="Snohomish"/>
    <s v="03Snohomish"/>
    <s v="01North Puget Sound"/>
    <n v="113.911214953271"/>
    <n v="985.33200934579418"/>
  </r>
  <r>
    <n v="242"/>
    <x v="0"/>
    <x v="0"/>
    <x v="0"/>
    <s v="Freshwater"/>
    <s v="2Freshwater"/>
    <s v="Salmon"/>
    <s v="834"/>
    <s v="Skokomish River"/>
    <s v="Skokomish River"/>
    <s v="Mason"/>
    <x v="2"/>
    <s v="Thurston"/>
    <s v="08Thurston"/>
    <s v="02South Puget Sound"/>
    <n v="869.32242990654197"/>
    <n v="7519.6390186915887"/>
  </r>
  <r>
    <n v="243"/>
    <x v="0"/>
    <x v="0"/>
    <x v="0"/>
    <s v="Freshwater"/>
    <s v="2Freshwater"/>
    <s v="Salmon"/>
    <s v="834"/>
    <s v="Skokomish River"/>
    <s v="Skokomish River"/>
    <s v="Mason"/>
    <x v="2"/>
    <s v="Whatcom"/>
    <s v="01Whatcom"/>
    <s v="01North Puget Sound"/>
    <n v="23.981308411215"/>
    <n v="207.43831775700977"/>
  </r>
  <r>
    <n v="244"/>
    <x v="0"/>
    <x v="1"/>
    <x v="0"/>
    <s v="Freshwater"/>
    <s v="2Freshwater"/>
    <s v="Salmon"/>
    <s v="834"/>
    <s v="Skokomish River"/>
    <s v="Skokomish River"/>
    <s v="Mason"/>
    <x v="2"/>
    <s v="King"/>
    <s v="06King"/>
    <s v="02South Puget Sound"/>
    <n v="281.29145728643198"/>
    <n v="2433.1711055276369"/>
  </r>
  <r>
    <n v="245"/>
    <x v="0"/>
    <x v="1"/>
    <x v="0"/>
    <s v="Freshwater"/>
    <s v="2Freshwater"/>
    <s v="Salmon"/>
    <s v="834"/>
    <s v="Skokomish River"/>
    <s v="Skokomish River"/>
    <s v="Mason"/>
    <x v="2"/>
    <s v="Kitsap"/>
    <s v="10Kitsap"/>
    <s v="02South Puget Sound"/>
    <n v="137.65326633165799"/>
    <n v="1190.7007537688417"/>
  </r>
  <r>
    <n v="246"/>
    <x v="0"/>
    <x v="1"/>
    <x v="0"/>
    <s v="Freshwater"/>
    <s v="2Freshwater"/>
    <s v="Salmon"/>
    <s v="834"/>
    <s v="Skokomish River"/>
    <s v="Skokomish River"/>
    <s v="Mason"/>
    <x v="2"/>
    <s v="Mason"/>
    <s v="09Mason"/>
    <s v="02South Puget Sound"/>
    <n v="119.698492462312"/>
    <n v="1035.3919597989989"/>
  </r>
  <r>
    <n v="247"/>
    <x v="0"/>
    <x v="1"/>
    <x v="0"/>
    <s v="Freshwater"/>
    <s v="2Freshwater"/>
    <s v="Salmon"/>
    <s v="834"/>
    <s v="Skokomish River"/>
    <s v="Skokomish River"/>
    <s v="Mason"/>
    <x v="2"/>
    <s v="Other"/>
    <s v="20Other"/>
    <s v="07Non Puget Sound"/>
    <n v="41.8944723618091"/>
    <n v="362.38718592964875"/>
  </r>
  <r>
    <n v="248"/>
    <x v="0"/>
    <x v="1"/>
    <x v="0"/>
    <s v="Freshwater"/>
    <s v="2Freshwater"/>
    <s v="Salmon"/>
    <s v="834"/>
    <s v="Skokomish River"/>
    <s v="Skokomish River"/>
    <s v="Mason"/>
    <x v="2"/>
    <s v="Pierce"/>
    <s v="07Pierce"/>
    <s v="02South Puget Sound"/>
    <n v="269.321608040201"/>
    <n v="2329.6319095477388"/>
  </r>
  <r>
    <n v="249"/>
    <x v="0"/>
    <x v="1"/>
    <x v="0"/>
    <s v="Freshwater"/>
    <s v="2Freshwater"/>
    <s v="Salmon"/>
    <s v="834"/>
    <s v="Skokomish River"/>
    <s v="Skokomish River"/>
    <s v="Mason"/>
    <x v="2"/>
    <s v="Snohomish"/>
    <s v="03Snohomish"/>
    <s v="01North Puget Sound"/>
    <n v="11.969849246231201"/>
    <n v="103.53919597989989"/>
  </r>
  <r>
    <n v="250"/>
    <x v="0"/>
    <x v="1"/>
    <x v="0"/>
    <s v="Freshwater"/>
    <s v="2Freshwater"/>
    <s v="Salmon"/>
    <s v="834"/>
    <s v="Skokomish River"/>
    <s v="Skokomish River"/>
    <s v="Mason"/>
    <x v="2"/>
    <s v="Thurston"/>
    <s v="08Thurston"/>
    <s v="02South Puget Sound"/>
    <n v="329.17085427135697"/>
    <n v="2847.3278894472378"/>
  </r>
  <r>
    <n v="251"/>
    <x v="0"/>
    <x v="2"/>
    <x v="0"/>
    <s v="Freshwater"/>
    <s v="2Freshwater"/>
    <s v="Salmon"/>
    <s v="834"/>
    <s v="Skokomish River"/>
    <s v="Skokomish River"/>
    <s v="Mason"/>
    <x v="2"/>
    <s v="Clallam"/>
    <s v="11Clallam"/>
    <s v="03Strait of Juan de Fuca"/>
    <n v="17.890243902439"/>
    <n v="154.75060975609736"/>
  </r>
  <r>
    <n v="252"/>
    <x v="0"/>
    <x v="2"/>
    <x v="0"/>
    <s v="Freshwater"/>
    <s v="2Freshwater"/>
    <s v="Salmon"/>
    <s v="834"/>
    <s v="Skokomish River"/>
    <s v="Skokomish River"/>
    <s v="Mason"/>
    <x v="2"/>
    <s v="Island"/>
    <s v="04Island"/>
    <s v="01North Puget Sound"/>
    <n v="11.9268292682927"/>
    <n v="103.16707317073185"/>
  </r>
  <r>
    <n v="253"/>
    <x v="0"/>
    <x v="2"/>
    <x v="0"/>
    <s v="Freshwater"/>
    <s v="2Freshwater"/>
    <s v="Salmon"/>
    <s v="834"/>
    <s v="Skokomish River"/>
    <s v="Skokomish River"/>
    <s v="Mason"/>
    <x v="2"/>
    <s v="King"/>
    <s v="06King"/>
    <s v="02South Puget Sound"/>
    <n v="172.93902439024399"/>
    <n v="1495.9225609756106"/>
  </r>
  <r>
    <n v="254"/>
    <x v="0"/>
    <x v="2"/>
    <x v="0"/>
    <s v="Freshwater"/>
    <s v="2Freshwater"/>
    <s v="Salmon"/>
    <s v="834"/>
    <s v="Skokomish River"/>
    <s v="Skokomish River"/>
    <s v="Mason"/>
    <x v="2"/>
    <s v="Kitsap"/>
    <s v="10Kitsap"/>
    <s v="02South Puget Sound"/>
    <n v="95.414634146341498"/>
    <n v="825.33658536585403"/>
  </r>
  <r>
    <n v="255"/>
    <x v="0"/>
    <x v="2"/>
    <x v="0"/>
    <s v="Freshwater"/>
    <s v="2Freshwater"/>
    <s v="Salmon"/>
    <s v="834"/>
    <s v="Skokomish River"/>
    <s v="Skokomish River"/>
    <s v="Mason"/>
    <x v="2"/>
    <s v="Mason"/>
    <s v="09Mason"/>
    <s v="02South Puget Sound"/>
    <n v="47.707317073170699"/>
    <n v="412.66829268292656"/>
  </r>
  <r>
    <n v="256"/>
    <x v="0"/>
    <x v="2"/>
    <x v="0"/>
    <s v="Freshwater"/>
    <s v="2Freshwater"/>
    <s v="Salmon"/>
    <s v="834"/>
    <s v="Skokomish River"/>
    <s v="Skokomish River"/>
    <s v="Mason"/>
    <x v="2"/>
    <s v="Other"/>
    <s v="20Other"/>
    <s v="07Non Puget Sound"/>
    <n v="41.743902439024403"/>
    <n v="361.08475609756113"/>
  </r>
  <r>
    <n v="257"/>
    <x v="0"/>
    <x v="2"/>
    <x v="0"/>
    <s v="Freshwater"/>
    <s v="2Freshwater"/>
    <s v="Salmon"/>
    <s v="834"/>
    <s v="Skokomish River"/>
    <s v="Skokomish River"/>
    <s v="Mason"/>
    <x v="2"/>
    <s v="Pierce"/>
    <s v="07Pierce"/>
    <s v="02South Puget Sound"/>
    <n v="322.02439024390299"/>
    <n v="2785.5109756097609"/>
  </r>
  <r>
    <n v="258"/>
    <x v="0"/>
    <x v="2"/>
    <x v="0"/>
    <s v="Freshwater"/>
    <s v="2Freshwater"/>
    <s v="Salmon"/>
    <s v="834"/>
    <s v="Skokomish River"/>
    <s v="Skokomish River"/>
    <s v="Mason"/>
    <x v="2"/>
    <s v="Skagit"/>
    <s v="02Skagit"/>
    <s v="01North Puget Sound"/>
    <n v="11.9268292682927"/>
    <n v="103.16707317073185"/>
  </r>
  <r>
    <n v="259"/>
    <x v="0"/>
    <x v="2"/>
    <x v="0"/>
    <s v="Freshwater"/>
    <s v="2Freshwater"/>
    <s v="Salmon"/>
    <s v="834"/>
    <s v="Skokomish River"/>
    <s v="Skokomish River"/>
    <s v="Mason"/>
    <x v="2"/>
    <s v="Snohomish"/>
    <s v="03Snohomish"/>
    <s v="01North Puget Sound"/>
    <n v="17.890243902439"/>
    <n v="154.75060975609736"/>
  </r>
  <r>
    <n v="260"/>
    <x v="0"/>
    <x v="2"/>
    <x v="0"/>
    <s v="Freshwater"/>
    <s v="2Freshwater"/>
    <s v="Salmon"/>
    <s v="834"/>
    <s v="Skokomish River"/>
    <s v="Skokomish River"/>
    <s v="Mason"/>
    <x v="2"/>
    <s v="Thurston"/>
    <s v="08Thurston"/>
    <s v="02South Puget Sound"/>
    <n v="238.53658536585399"/>
    <n v="2063.341463414637"/>
  </r>
  <r>
    <n v="261"/>
    <x v="0"/>
    <x v="3"/>
    <x v="0"/>
    <s v="Freshwater"/>
    <s v="2Freshwater"/>
    <s v="Salmon"/>
    <s v="834"/>
    <s v="Skokomish River"/>
    <s v="Skokomish River"/>
    <s v="Mason"/>
    <x v="2"/>
    <s v="King"/>
    <s v="06King"/>
    <s v="02South Puget Sound"/>
    <n v="11.959183673469401"/>
    <n v="103.44693877551032"/>
  </r>
  <r>
    <n v="262"/>
    <x v="0"/>
    <x v="3"/>
    <x v="0"/>
    <s v="Freshwater"/>
    <s v="2Freshwater"/>
    <s v="Salmon"/>
    <s v="834"/>
    <s v="Skokomish River"/>
    <s v="Skokomish River"/>
    <s v="Mason"/>
    <x v="2"/>
    <s v="Kitsap"/>
    <s v="10Kitsap"/>
    <s v="02South Puget Sound"/>
    <n v="11.959183673469401"/>
    <n v="103.44693877551032"/>
  </r>
  <r>
    <n v="263"/>
    <x v="0"/>
    <x v="3"/>
    <x v="0"/>
    <s v="Freshwater"/>
    <s v="2Freshwater"/>
    <s v="Salmon"/>
    <s v="834"/>
    <s v="Skokomish River"/>
    <s v="Skokomish River"/>
    <s v="Mason"/>
    <x v="2"/>
    <s v="Mason"/>
    <s v="09Mason"/>
    <s v="02South Puget Sound"/>
    <n v="23.918367346938801"/>
    <n v="206.89387755102064"/>
  </r>
  <r>
    <n v="264"/>
    <x v="0"/>
    <x v="3"/>
    <x v="0"/>
    <s v="Freshwater"/>
    <s v="2Freshwater"/>
    <s v="Salmon"/>
    <s v="834"/>
    <s v="Skokomish River"/>
    <s v="Skokomish River"/>
    <s v="Mason"/>
    <x v="2"/>
    <s v="Other"/>
    <s v="20Other"/>
    <s v="07Non Puget Sound"/>
    <n v="53.816326530612301"/>
    <n v="465.5112244897964"/>
  </r>
  <r>
    <n v="265"/>
    <x v="0"/>
    <x v="3"/>
    <x v="0"/>
    <s v="Freshwater"/>
    <s v="2Freshwater"/>
    <s v="Salmon"/>
    <s v="834"/>
    <s v="Skokomish River"/>
    <s v="Skokomish River"/>
    <s v="Mason"/>
    <x v="2"/>
    <s v="Pierce"/>
    <s v="07Pierce"/>
    <s v="02South Puget Sound"/>
    <n v="65.775510204081598"/>
    <n v="568.95816326530587"/>
  </r>
  <r>
    <n v="266"/>
    <x v="0"/>
    <x v="3"/>
    <x v="0"/>
    <s v="Freshwater"/>
    <s v="2Freshwater"/>
    <s v="Salmon"/>
    <s v="834"/>
    <s v="Skokomish River"/>
    <s v="Skokomish River"/>
    <s v="Mason"/>
    <x v="2"/>
    <s v="Skagit"/>
    <s v="02Skagit"/>
    <s v="01North Puget Sound"/>
    <n v="47.836734693877602"/>
    <n v="413.78775510204127"/>
  </r>
  <r>
    <n v="267"/>
    <x v="0"/>
    <x v="3"/>
    <x v="0"/>
    <s v="Freshwater"/>
    <s v="2Freshwater"/>
    <s v="Salmon"/>
    <s v="834"/>
    <s v="Skokomish River"/>
    <s v="Skokomish River"/>
    <s v="Mason"/>
    <x v="2"/>
    <s v="Thurston"/>
    <s v="08Thurston"/>
    <s v="02South Puget Sound"/>
    <n v="71.755102040816297"/>
    <n v="620.681632653061"/>
  </r>
  <r>
    <n v="268"/>
    <x v="0"/>
    <x v="3"/>
    <x v="0"/>
    <s v="Freshwater"/>
    <s v="2Freshwater"/>
    <s v="Salmon"/>
    <s v="834"/>
    <s v="Skokomish River"/>
    <s v="Skokomish River"/>
    <s v="Mason"/>
    <x v="2"/>
    <s v="Whatcom"/>
    <s v="01Whatcom"/>
    <s v="01North Puget Sound"/>
    <n v="5.9795918367346896"/>
    <n v="51.723469387755067"/>
  </r>
  <r>
    <n v="269"/>
    <x v="0"/>
    <x v="4"/>
    <x v="0"/>
    <s v="Freshwater"/>
    <s v="2Freshwater"/>
    <s v="Salmon"/>
    <s v="834"/>
    <s v="Skokomish River"/>
    <s v="Skokomish River"/>
    <s v="Mason"/>
    <x v="2"/>
    <s v="Pierce"/>
    <s v="07Pierce"/>
    <s v="02South Puget Sound"/>
    <n v="30"/>
    <n v="259.5"/>
  </r>
  <r>
    <n v="270"/>
    <x v="1"/>
    <x v="8"/>
    <x v="0"/>
    <s v="Freshwater"/>
    <s v="2Freshwater"/>
    <s v="Salmon"/>
    <s v="834"/>
    <s v="Skokomish River"/>
    <s v="Skokomish River"/>
    <s v="Mason"/>
    <x v="2"/>
    <s v="King"/>
    <s v="06King"/>
    <s v="02South Puget Sound"/>
    <n v="6"/>
    <n v="20.64"/>
  </r>
  <r>
    <n v="271"/>
    <x v="0"/>
    <x v="7"/>
    <x v="0"/>
    <s v="Freshwater"/>
    <s v="2Freshwater"/>
    <s v="Salmon"/>
    <s v="844"/>
    <s v="Skykomish River"/>
    <s v="Skykomish River"/>
    <s v="Snohomish"/>
    <x v="4"/>
    <s v="King"/>
    <s v="06King"/>
    <s v="02South Puget Sound"/>
    <n v="89.6"/>
    <n v="775.04"/>
  </r>
  <r>
    <n v="272"/>
    <x v="0"/>
    <x v="7"/>
    <x v="0"/>
    <s v="Freshwater"/>
    <s v="2Freshwater"/>
    <s v="Salmon"/>
    <s v="844"/>
    <s v="Skykomish River"/>
    <s v="Skykomish River"/>
    <s v="Snohomish"/>
    <x v="4"/>
    <s v="Pierce"/>
    <s v="07Pierce"/>
    <s v="02South Puget Sound"/>
    <n v="12.8"/>
    <n v="110.72000000000001"/>
  </r>
  <r>
    <n v="273"/>
    <x v="0"/>
    <x v="7"/>
    <x v="0"/>
    <s v="Freshwater"/>
    <s v="2Freshwater"/>
    <s v="Salmon"/>
    <s v="844"/>
    <s v="Skykomish River"/>
    <s v="Skykomish River"/>
    <s v="Snohomish"/>
    <x v="4"/>
    <s v="Skagit"/>
    <s v="02Skagit"/>
    <s v="01North Puget Sound"/>
    <n v="6.4"/>
    <n v="55.360000000000007"/>
  </r>
  <r>
    <n v="274"/>
    <x v="0"/>
    <x v="7"/>
    <x v="0"/>
    <s v="Freshwater"/>
    <s v="2Freshwater"/>
    <s v="Salmon"/>
    <s v="844"/>
    <s v="Skykomish River"/>
    <s v="Skykomish River"/>
    <s v="Snohomish"/>
    <x v="4"/>
    <s v="Snohomish"/>
    <s v="03Snohomish"/>
    <s v="01North Puget Sound"/>
    <n v="51.2"/>
    <n v="442.88000000000005"/>
  </r>
  <r>
    <n v="275"/>
    <x v="0"/>
    <x v="5"/>
    <x v="0"/>
    <s v="Freshwater"/>
    <s v="2Freshwater"/>
    <s v="Salmon"/>
    <s v="844"/>
    <s v="Skykomish River"/>
    <s v="Skykomish River"/>
    <s v="Snohomish"/>
    <x v="4"/>
    <s v="King"/>
    <s v="06King"/>
    <s v="02South Puget Sound"/>
    <n v="6.44444444444445"/>
    <n v="55.744444444444497"/>
  </r>
  <r>
    <n v="276"/>
    <x v="0"/>
    <x v="5"/>
    <x v="0"/>
    <s v="Freshwater"/>
    <s v="2Freshwater"/>
    <s v="Salmon"/>
    <s v="844"/>
    <s v="Skykomish River"/>
    <s v="Skykomish River"/>
    <s v="Snohomish"/>
    <x v="4"/>
    <s v="Other"/>
    <s v="20Other"/>
    <s v="07Non Puget Sound"/>
    <n v="6.44444444444445"/>
    <n v="55.744444444444497"/>
  </r>
  <r>
    <n v="277"/>
    <x v="0"/>
    <x v="5"/>
    <x v="0"/>
    <s v="Freshwater"/>
    <s v="2Freshwater"/>
    <s v="Salmon"/>
    <s v="844"/>
    <s v="Skykomish River"/>
    <s v="Skykomish River"/>
    <s v="Snohomish"/>
    <x v="4"/>
    <s v="Pierce"/>
    <s v="07Pierce"/>
    <s v="02South Puget Sound"/>
    <n v="45.1111111111111"/>
    <n v="390.21111111111105"/>
  </r>
  <r>
    <n v="278"/>
    <x v="0"/>
    <x v="1"/>
    <x v="0"/>
    <s v="Freshwater"/>
    <s v="2Freshwater"/>
    <s v="Salmon"/>
    <s v="844"/>
    <s v="Skykomish River"/>
    <s v="Skykomish River"/>
    <s v="Snohomish"/>
    <x v="4"/>
    <s v="King"/>
    <s v="06King"/>
    <s v="02South Puget Sound"/>
    <n v="66.785714285714306"/>
    <n v="577.69642857142878"/>
  </r>
  <r>
    <n v="279"/>
    <x v="0"/>
    <x v="1"/>
    <x v="0"/>
    <s v="Freshwater"/>
    <s v="2Freshwater"/>
    <s v="Salmon"/>
    <s v="844"/>
    <s v="Skykomish River"/>
    <s v="Skykomish River"/>
    <s v="Snohomish"/>
    <x v="4"/>
    <s v="Snohomish"/>
    <s v="03Snohomish"/>
    <s v="01North Puget Sound"/>
    <n v="103.21428571428601"/>
    <n v="892.80357142857395"/>
  </r>
  <r>
    <n v="280"/>
    <x v="0"/>
    <x v="2"/>
    <x v="0"/>
    <s v="Freshwater"/>
    <s v="2Freshwater"/>
    <s v="Salmon"/>
    <s v="844"/>
    <s v="Skykomish River"/>
    <s v="Skykomish River"/>
    <s v="Snohomish"/>
    <x v="4"/>
    <s v="King"/>
    <s v="06King"/>
    <s v="02South Puget Sound"/>
    <n v="103.60377358490599"/>
    <n v="896.17264150943686"/>
  </r>
  <r>
    <n v="281"/>
    <x v="0"/>
    <x v="2"/>
    <x v="0"/>
    <s v="Freshwater"/>
    <s v="2Freshwater"/>
    <s v="Salmon"/>
    <s v="844"/>
    <s v="Skykomish River"/>
    <s v="Skykomish River"/>
    <s v="Snohomish"/>
    <x v="4"/>
    <s v="Skagit"/>
    <s v="02Skagit"/>
    <s v="01North Puget Sound"/>
    <n v="6.0943396226415096"/>
    <n v="52.716037735849063"/>
  </r>
  <r>
    <n v="282"/>
    <x v="0"/>
    <x v="2"/>
    <x v="0"/>
    <s v="Freshwater"/>
    <s v="2Freshwater"/>
    <s v="Salmon"/>
    <s v="844"/>
    <s v="Skykomish River"/>
    <s v="Skykomish River"/>
    <s v="Snohomish"/>
    <x v="4"/>
    <s v="Snohomish"/>
    <s v="03Snohomish"/>
    <s v="01North Puget Sound"/>
    <n v="188.92452830188699"/>
    <n v="1634.1971698113225"/>
  </r>
  <r>
    <n v="283"/>
    <x v="0"/>
    <x v="2"/>
    <x v="0"/>
    <s v="Freshwater"/>
    <s v="2Freshwater"/>
    <s v="Salmon"/>
    <s v="844"/>
    <s v="Skykomish River"/>
    <s v="Skykomish River"/>
    <s v="Snohomish"/>
    <x v="4"/>
    <s v="Whatcom"/>
    <s v="01Whatcom"/>
    <s v="01North Puget Sound"/>
    <n v="24.377358490565999"/>
    <n v="210.86415094339591"/>
  </r>
  <r>
    <n v="284"/>
    <x v="0"/>
    <x v="3"/>
    <x v="0"/>
    <s v="Freshwater"/>
    <s v="2Freshwater"/>
    <s v="Salmon"/>
    <s v="844"/>
    <s v="Skykomish River"/>
    <s v="Skykomish River"/>
    <s v="Snohomish"/>
    <x v="4"/>
    <s v="King"/>
    <s v="06King"/>
    <s v="02South Puget Sound"/>
    <n v="18.176470588235301"/>
    <n v="157.22647058823534"/>
  </r>
  <r>
    <n v="285"/>
    <x v="0"/>
    <x v="3"/>
    <x v="0"/>
    <s v="Freshwater"/>
    <s v="2Freshwater"/>
    <s v="Salmon"/>
    <s v="844"/>
    <s v="Skykomish River"/>
    <s v="Skykomish River"/>
    <s v="Snohomish"/>
    <x v="4"/>
    <s v="Snohomish"/>
    <s v="03Snohomish"/>
    <s v="01North Puget Sound"/>
    <n v="72.705882352941202"/>
    <n v="628.90588235294138"/>
  </r>
  <r>
    <n v="286"/>
    <x v="0"/>
    <x v="3"/>
    <x v="0"/>
    <s v="Freshwater"/>
    <s v="2Freshwater"/>
    <s v="Salmon"/>
    <s v="844"/>
    <s v="Skykomish River"/>
    <s v="Skykomish River"/>
    <s v="Snohomish"/>
    <x v="4"/>
    <s v="Whatcom"/>
    <s v="01Whatcom"/>
    <s v="01North Puget Sound"/>
    <n v="12.117647058823501"/>
    <n v="104.81764705882328"/>
  </r>
  <r>
    <n v="287"/>
    <x v="0"/>
    <x v="4"/>
    <x v="0"/>
    <s v="Freshwater"/>
    <s v="2Freshwater"/>
    <s v="Salmon"/>
    <s v="844"/>
    <s v="Skykomish River"/>
    <s v="Skykomish River"/>
    <s v="Snohomish"/>
    <x v="4"/>
    <s v="King"/>
    <s v="06King"/>
    <s v="02South Puget Sound"/>
    <n v="12"/>
    <n v="103.80000000000001"/>
  </r>
  <r>
    <n v="288"/>
    <x v="0"/>
    <x v="4"/>
    <x v="0"/>
    <s v="Freshwater"/>
    <s v="2Freshwater"/>
    <s v="Salmon"/>
    <s v="844"/>
    <s v="Skykomish River"/>
    <s v="Skykomish River"/>
    <s v="Snohomish"/>
    <x v="4"/>
    <s v="Snohomish"/>
    <s v="03Snohomish"/>
    <s v="01North Puget Sound"/>
    <n v="6"/>
    <n v="51.900000000000006"/>
  </r>
  <r>
    <n v="289"/>
    <x v="0"/>
    <x v="0"/>
    <x v="0"/>
    <s v="Freshwater"/>
    <s v="2Freshwater"/>
    <s v="Salmon"/>
    <s v="850"/>
    <s v="Snohomish River"/>
    <s v="Snohomish River"/>
    <s v="Snohomish"/>
    <x v="4"/>
    <s v="Pierce"/>
    <s v="07Pierce"/>
    <s v="02South Puget Sound"/>
    <n v="0"/>
    <n v="0"/>
  </r>
  <r>
    <n v="290"/>
    <x v="0"/>
    <x v="0"/>
    <x v="0"/>
    <s v="Freshwater"/>
    <s v="2Freshwater"/>
    <s v="Salmon"/>
    <s v="850"/>
    <s v="Snohomish River"/>
    <s v="Snohomish River"/>
    <s v="Snohomish"/>
    <x v="4"/>
    <s v="Snohomish"/>
    <s v="03Snohomish"/>
    <s v="01North Puget Sound"/>
    <n v="0"/>
    <n v="0"/>
  </r>
  <r>
    <n v="291"/>
    <x v="0"/>
    <x v="1"/>
    <x v="0"/>
    <s v="Freshwater"/>
    <s v="2Freshwater"/>
    <s v="Salmon"/>
    <s v="850"/>
    <s v="Snohomish River"/>
    <s v="Snohomish River"/>
    <s v="Snohomish"/>
    <x v="4"/>
    <s v="Jefferson"/>
    <s v="12Jefferson"/>
    <s v="03Strait of Juan de Fuca"/>
    <n v="6.1833333333333398"/>
    <n v="53.485833333333389"/>
  </r>
  <r>
    <n v="292"/>
    <x v="0"/>
    <x v="1"/>
    <x v="0"/>
    <s v="Freshwater"/>
    <s v="2Freshwater"/>
    <s v="Salmon"/>
    <s v="850"/>
    <s v="Snohomish River"/>
    <s v="Snohomish River"/>
    <s v="Snohomish"/>
    <x v="4"/>
    <s v="King"/>
    <s v="06King"/>
    <s v="02South Puget Sound"/>
    <n v="30.9166666666667"/>
    <n v="267.42916666666696"/>
  </r>
  <r>
    <n v="293"/>
    <x v="0"/>
    <x v="1"/>
    <x v="0"/>
    <s v="Freshwater"/>
    <s v="2Freshwater"/>
    <s v="Salmon"/>
    <s v="850"/>
    <s v="Snohomish River"/>
    <s v="Snohomish River"/>
    <s v="Snohomish"/>
    <x v="4"/>
    <s v="Other"/>
    <s v="20Other"/>
    <s v="07Non Puget Sound"/>
    <n v="18.55"/>
    <n v="160.45750000000001"/>
  </r>
  <r>
    <n v="294"/>
    <x v="0"/>
    <x v="1"/>
    <x v="0"/>
    <s v="Freshwater"/>
    <s v="2Freshwater"/>
    <s v="Salmon"/>
    <s v="850"/>
    <s v="Snohomish River"/>
    <s v="Snohomish River"/>
    <s v="Snohomish"/>
    <x v="4"/>
    <s v="Pierce"/>
    <s v="07Pierce"/>
    <s v="02South Puget Sound"/>
    <n v="18.55"/>
    <n v="160.45750000000001"/>
  </r>
  <r>
    <n v="295"/>
    <x v="0"/>
    <x v="1"/>
    <x v="0"/>
    <s v="Freshwater"/>
    <s v="2Freshwater"/>
    <s v="Salmon"/>
    <s v="850"/>
    <s v="Snohomish River"/>
    <s v="Snohomish River"/>
    <s v="Snohomish"/>
    <x v="4"/>
    <s v="Snohomish"/>
    <s v="03Snohomish"/>
    <s v="01North Puget Sound"/>
    <n v="296.8"/>
    <n v="2567.3200000000002"/>
  </r>
  <r>
    <n v="296"/>
    <x v="0"/>
    <x v="2"/>
    <x v="0"/>
    <s v="Freshwater"/>
    <s v="2Freshwater"/>
    <s v="Salmon"/>
    <s v="850"/>
    <s v="Snohomish River"/>
    <s v="Snohomish River"/>
    <s v="Snohomish"/>
    <x v="4"/>
    <s v="King"/>
    <s v="06King"/>
    <s v="02South Puget Sound"/>
    <n v="74.228571428571399"/>
    <n v="642.07714285714258"/>
  </r>
  <r>
    <n v="297"/>
    <x v="0"/>
    <x v="2"/>
    <x v="0"/>
    <s v="Freshwater"/>
    <s v="2Freshwater"/>
    <s v="Salmon"/>
    <s v="850"/>
    <s v="Snohomish River"/>
    <s v="Snohomish River"/>
    <s v="Snohomish"/>
    <x v="4"/>
    <s v="Pierce"/>
    <s v="07Pierce"/>
    <s v="02South Puget Sound"/>
    <n v="6.1857142857142904"/>
    <n v="53.506428571428614"/>
  </r>
  <r>
    <n v="298"/>
    <x v="0"/>
    <x v="2"/>
    <x v="0"/>
    <s v="Freshwater"/>
    <s v="2Freshwater"/>
    <s v="Salmon"/>
    <s v="850"/>
    <s v="Snohomish River"/>
    <s v="Snohomish River"/>
    <s v="Snohomish"/>
    <x v="4"/>
    <s v="Skagit"/>
    <s v="02Skagit"/>
    <s v="01North Puget Sound"/>
    <n v="18.5571428571429"/>
    <n v="160.5192857142861"/>
  </r>
  <r>
    <n v="299"/>
    <x v="0"/>
    <x v="2"/>
    <x v="0"/>
    <s v="Freshwater"/>
    <s v="2Freshwater"/>
    <s v="Salmon"/>
    <s v="850"/>
    <s v="Snohomish River"/>
    <s v="Snohomish River"/>
    <s v="Snohomish"/>
    <x v="4"/>
    <s v="Snohomish"/>
    <s v="03Snohomish"/>
    <s v="01North Puget Sound"/>
    <n v="334.02857142857198"/>
    <n v="2889.3471428571479"/>
  </r>
  <r>
    <n v="300"/>
    <x v="0"/>
    <x v="3"/>
    <x v="0"/>
    <s v="Freshwater"/>
    <s v="2Freshwater"/>
    <s v="Salmon"/>
    <s v="850"/>
    <s v="Snohomish River"/>
    <s v="Snohomish River"/>
    <s v="Snohomish"/>
    <x v="4"/>
    <s v="Snohomish"/>
    <s v="03Snohomish"/>
    <s v="01North Puget Sound"/>
    <n v="6"/>
    <n v="51.900000000000006"/>
  </r>
  <r>
    <n v="301"/>
    <x v="0"/>
    <x v="1"/>
    <x v="0"/>
    <s v="Freshwater"/>
    <s v="2Freshwater"/>
    <s v="Salmon"/>
    <s v="852"/>
    <s v="Snoqualmie River"/>
    <s v="Snoqualmie River"/>
    <s v="Snohomish/King"/>
    <x v="4"/>
    <s v="King"/>
    <s v="06King"/>
    <s v="02South Puget Sound"/>
    <n v="6"/>
    <n v="51.900000000000006"/>
  </r>
  <r>
    <n v="302"/>
    <x v="0"/>
    <x v="2"/>
    <x v="0"/>
    <s v="Freshwater"/>
    <s v="2Freshwater"/>
    <s v="Salmon"/>
    <s v="852"/>
    <s v="Snoqualmie River"/>
    <s v="Snoqualmie River"/>
    <s v="Snohomish/King"/>
    <x v="4"/>
    <s v="King"/>
    <s v="06King"/>
    <s v="02South Puget Sound"/>
    <n v="94.565217391304401"/>
    <n v="817.98913043478308"/>
  </r>
  <r>
    <n v="303"/>
    <x v="0"/>
    <x v="2"/>
    <x v="0"/>
    <s v="Freshwater"/>
    <s v="2Freshwater"/>
    <s v="Salmon"/>
    <s v="852"/>
    <s v="Snoqualmie River"/>
    <s v="Snoqualmie River"/>
    <s v="Snohomish/King"/>
    <x v="4"/>
    <s v="Snohomish"/>
    <s v="03Snohomish"/>
    <s v="01North Puget Sound"/>
    <n v="50.434782608695699"/>
    <n v="436.26086956521783"/>
  </r>
  <r>
    <n v="304"/>
    <x v="0"/>
    <x v="3"/>
    <x v="0"/>
    <s v="Freshwater"/>
    <s v="2Freshwater"/>
    <s v="Salmon"/>
    <s v="852"/>
    <s v="Snoqualmie River"/>
    <s v="Snoqualmie River"/>
    <s v="Snohomish/King"/>
    <x v="4"/>
    <s v="King"/>
    <s v="06King"/>
    <s v="02South Puget Sound"/>
    <n v="31"/>
    <n v="268.15000000000003"/>
  </r>
  <r>
    <n v="305"/>
    <x v="0"/>
    <x v="4"/>
    <x v="0"/>
    <s v="Freshwater"/>
    <s v="2Freshwater"/>
    <s v="Salmon"/>
    <s v="852"/>
    <s v="Snoqualmie River"/>
    <s v="Snoqualmie River"/>
    <s v="Snohomish/King"/>
    <x v="4"/>
    <s v="King"/>
    <s v="06King"/>
    <s v="02South Puget Sound"/>
    <n v="6"/>
    <n v="51.900000000000006"/>
  </r>
  <r>
    <n v="306"/>
    <x v="0"/>
    <x v="1"/>
    <x v="0"/>
    <s v="Freshwater"/>
    <s v="2Freshwater"/>
    <s v="Salmon"/>
    <s v="872"/>
    <s v="Stillaguamish River"/>
    <s v="Stillaguamish River"/>
    <s v="Snohomish"/>
    <x v="4"/>
    <s v="Snohomish"/>
    <s v="03Snohomish"/>
    <s v="01North Puget Sound"/>
    <n v="61"/>
    <n v="527.65"/>
  </r>
  <r>
    <n v="307"/>
    <x v="0"/>
    <x v="2"/>
    <x v="0"/>
    <s v="Freshwater"/>
    <s v="2Freshwater"/>
    <s v="Salmon"/>
    <s v="872"/>
    <s v="Stillaguamish River"/>
    <s v="Stillaguamish River"/>
    <s v="Snohomish"/>
    <x v="4"/>
    <s v="Island"/>
    <s v="04Island"/>
    <s v="01North Puget Sound"/>
    <n v="12.1904761904762"/>
    <n v="105.44761904761914"/>
  </r>
  <r>
    <n v="308"/>
    <x v="0"/>
    <x v="2"/>
    <x v="0"/>
    <s v="Freshwater"/>
    <s v="2Freshwater"/>
    <s v="Salmon"/>
    <s v="872"/>
    <s v="Stillaguamish River"/>
    <s v="Stillaguamish River"/>
    <s v="Snohomish"/>
    <x v="4"/>
    <s v="Snohomish"/>
    <s v="03Snohomish"/>
    <s v="01North Puget Sound"/>
    <n v="243.80952380952399"/>
    <n v="2108.9523809523826"/>
  </r>
  <r>
    <n v="309"/>
    <x v="0"/>
    <x v="3"/>
    <x v="0"/>
    <s v="Freshwater"/>
    <s v="2Freshwater"/>
    <s v="Salmon"/>
    <s v="872"/>
    <s v="Stillaguamish River"/>
    <s v="Stillaguamish River"/>
    <s v="Snohomish"/>
    <x v="4"/>
    <s v="Snohomish"/>
    <s v="03Snohomish"/>
    <s v="01North Puget Sound"/>
    <n v="12"/>
    <n v="103.80000000000001"/>
  </r>
  <r>
    <n v="310"/>
    <x v="0"/>
    <x v="4"/>
    <x v="0"/>
    <s v="Freshwater"/>
    <s v="2Freshwater"/>
    <s v="Salmon"/>
    <s v="872"/>
    <s v="Stillaguamish River"/>
    <s v="Stillaguamish River"/>
    <s v="Snohomish"/>
    <x v="4"/>
    <s v="Snohomish"/>
    <s v="03Snohomish"/>
    <s v="01North Puget Sound"/>
    <n v="12"/>
    <n v="103.80000000000001"/>
  </r>
  <r>
    <n v="311"/>
    <x v="0"/>
    <x v="0"/>
    <x v="0"/>
    <s v="Freshwater"/>
    <s v="2Freshwater"/>
    <s v="Salmon"/>
    <s v="884"/>
    <s v="Whatcom Creek"/>
    <s v="Whatcom Creek"/>
    <s v="Whatcom"/>
    <x v="1"/>
    <s v="King"/>
    <s v="06King"/>
    <s v="02South Puget Sound"/>
    <n v="0"/>
    <n v="0"/>
  </r>
  <r>
    <n v="312"/>
    <x v="0"/>
    <x v="2"/>
    <x v="0"/>
    <s v="Freshwater"/>
    <s v="2Freshwater"/>
    <s v="Salmon"/>
    <s v="884"/>
    <s v="Whatcom Creek"/>
    <s v="Whatcom Creek"/>
    <s v="Whatcom"/>
    <x v="1"/>
    <s v="Pierce"/>
    <s v="07Pierce"/>
    <s v="02South Puget Sound"/>
    <n v="6.1395348837209296"/>
    <n v="53.106976744186042"/>
  </r>
  <r>
    <n v="313"/>
    <x v="0"/>
    <x v="2"/>
    <x v="0"/>
    <s v="Freshwater"/>
    <s v="2Freshwater"/>
    <s v="Salmon"/>
    <s v="884"/>
    <s v="Whatcom Creek"/>
    <s v="Whatcom Creek"/>
    <s v="Whatcom"/>
    <x v="1"/>
    <s v="Skagit"/>
    <s v="02Skagit"/>
    <s v="01North Puget Sound"/>
    <n v="12.2790697674419"/>
    <n v="106.21395348837244"/>
  </r>
  <r>
    <n v="314"/>
    <x v="0"/>
    <x v="2"/>
    <x v="0"/>
    <s v="Freshwater"/>
    <s v="2Freshwater"/>
    <s v="Salmon"/>
    <s v="884"/>
    <s v="Whatcom Creek"/>
    <s v="Whatcom Creek"/>
    <s v="Whatcom"/>
    <x v="1"/>
    <s v="Snohomish"/>
    <s v="03Snohomish"/>
    <s v="01North Puget Sound"/>
    <n v="18.418604651162799"/>
    <n v="159.32093023255823"/>
  </r>
  <r>
    <n v="315"/>
    <x v="0"/>
    <x v="2"/>
    <x v="0"/>
    <s v="Freshwater"/>
    <s v="2Freshwater"/>
    <s v="Salmon"/>
    <s v="884"/>
    <s v="Whatcom Creek"/>
    <s v="Whatcom Creek"/>
    <s v="Whatcom"/>
    <x v="1"/>
    <s v="Whatcom"/>
    <s v="01Whatcom"/>
    <s v="01North Puget Sound"/>
    <n v="227.16279069767401"/>
    <n v="1964.9581395348803"/>
  </r>
  <r>
    <n v="316"/>
    <x v="0"/>
    <x v="3"/>
    <x v="0"/>
    <s v="Freshwater"/>
    <s v="2Freshwater"/>
    <s v="Salmon"/>
    <s v="884"/>
    <s v="Whatcom Creek"/>
    <s v="Whatcom Creek"/>
    <s v="Whatcom"/>
    <x v="1"/>
    <s v="Island"/>
    <s v="04Island"/>
    <s v="01North Puget Sound"/>
    <n v="24.5586592178771"/>
    <n v="212.43240223463692"/>
  </r>
  <r>
    <n v="317"/>
    <x v="0"/>
    <x v="3"/>
    <x v="0"/>
    <s v="Freshwater"/>
    <s v="2Freshwater"/>
    <s v="Salmon"/>
    <s v="884"/>
    <s v="Whatcom Creek"/>
    <s v="Whatcom Creek"/>
    <s v="Whatcom"/>
    <x v="1"/>
    <s v="King"/>
    <s v="06King"/>
    <s v="02South Puget Sound"/>
    <n v="18.418994413407798"/>
    <n v="159.32430167597747"/>
  </r>
  <r>
    <n v="318"/>
    <x v="0"/>
    <x v="3"/>
    <x v="0"/>
    <s v="Freshwater"/>
    <s v="2Freshwater"/>
    <s v="Salmon"/>
    <s v="884"/>
    <s v="Whatcom Creek"/>
    <s v="Whatcom Creek"/>
    <s v="Whatcom"/>
    <x v="1"/>
    <s v="Other"/>
    <s v="20Other"/>
    <s v="07Non Puget Sound"/>
    <n v="18.418994413407798"/>
    <n v="159.32430167597747"/>
  </r>
  <r>
    <n v="319"/>
    <x v="0"/>
    <x v="3"/>
    <x v="0"/>
    <s v="Freshwater"/>
    <s v="2Freshwater"/>
    <s v="Salmon"/>
    <s v="884"/>
    <s v="Whatcom Creek"/>
    <s v="Whatcom Creek"/>
    <s v="Whatcom"/>
    <x v="1"/>
    <s v="Pierce"/>
    <s v="07Pierce"/>
    <s v="02South Puget Sound"/>
    <n v="12.2793296089386"/>
    <n v="106.21620111731889"/>
  </r>
  <r>
    <n v="320"/>
    <x v="0"/>
    <x v="3"/>
    <x v="0"/>
    <s v="Freshwater"/>
    <s v="2Freshwater"/>
    <s v="Salmon"/>
    <s v="884"/>
    <s v="Whatcom Creek"/>
    <s v="Whatcom Creek"/>
    <s v="Whatcom"/>
    <x v="1"/>
    <s v="Skagit"/>
    <s v="02Skagit"/>
    <s v="01North Puget Sound"/>
    <n v="42.977653631284902"/>
    <n v="371.75670391061442"/>
  </r>
  <r>
    <n v="321"/>
    <x v="0"/>
    <x v="3"/>
    <x v="0"/>
    <s v="Freshwater"/>
    <s v="2Freshwater"/>
    <s v="Salmon"/>
    <s v="884"/>
    <s v="Whatcom Creek"/>
    <s v="Whatcom Creek"/>
    <s v="Whatcom"/>
    <x v="1"/>
    <s v="Snohomish"/>
    <s v="03Snohomish"/>
    <s v="01North Puget Sound"/>
    <n v="49.1173184357542"/>
    <n v="424.86480446927385"/>
  </r>
  <r>
    <n v="322"/>
    <x v="0"/>
    <x v="3"/>
    <x v="0"/>
    <s v="Freshwater"/>
    <s v="2Freshwater"/>
    <s v="Salmon"/>
    <s v="884"/>
    <s v="Whatcom Creek"/>
    <s v="Whatcom Creek"/>
    <s v="Whatcom"/>
    <x v="1"/>
    <s v="Whatcom"/>
    <s v="01Whatcom"/>
    <s v="01North Puget Sound"/>
    <n v="933.22905027932995"/>
    <n v="8072.4312849162043"/>
  </r>
  <r>
    <n v="323"/>
    <x v="0"/>
    <x v="4"/>
    <x v="0"/>
    <s v="Freshwater"/>
    <s v="2Freshwater"/>
    <s v="Salmon"/>
    <s v="884"/>
    <s v="Whatcom Creek"/>
    <s v="Whatcom Creek"/>
    <s v="Whatcom"/>
    <x v="1"/>
    <s v="Whatcom"/>
    <s v="01Whatcom"/>
    <s v="01North Puget Sound"/>
    <n v="31"/>
    <n v="268.15000000000003"/>
  </r>
  <r>
    <n v="324"/>
    <x v="1"/>
    <x v="1"/>
    <x v="1"/>
    <s v="Freshwater"/>
    <s v="2Freshwater"/>
    <s v="Salmon"/>
    <s v="714"/>
    <s v="Chambers Creek"/>
    <s v="Chambers Creek"/>
    <s v="Pierce"/>
    <x v="0"/>
    <s v="Pierce"/>
    <s v="07Pierce"/>
    <s v="02South Puget Sound"/>
    <n v="8.8333333333333304"/>
    <n v="30.386666666666656"/>
  </r>
  <r>
    <n v="325"/>
    <x v="1"/>
    <x v="1"/>
    <x v="1"/>
    <s v="Freshwater"/>
    <s v="2Freshwater"/>
    <s v="Salmon"/>
    <s v="714"/>
    <s v="Chambers Creek"/>
    <s v="Chambers Creek"/>
    <s v="Pierce"/>
    <x v="0"/>
    <s v="Thurston"/>
    <s v="08Thurston"/>
    <s v="02South Puget Sound"/>
    <n v="44.1666666666667"/>
    <n v="151.93333333333345"/>
  </r>
  <r>
    <n v="326"/>
    <x v="1"/>
    <x v="2"/>
    <x v="1"/>
    <s v="Freshwater"/>
    <s v="2Freshwater"/>
    <s v="Salmon"/>
    <s v="714"/>
    <s v="Chambers Creek"/>
    <s v="Chambers Creek"/>
    <s v="Pierce"/>
    <x v="0"/>
    <s v="Thurston"/>
    <s v="08Thurston"/>
    <s v="02South Puget Sound"/>
    <n v="9"/>
    <n v="30.96"/>
  </r>
  <r>
    <n v="327"/>
    <x v="1"/>
    <x v="2"/>
    <x v="1"/>
    <s v="Freshwater"/>
    <s v="2Freshwater"/>
    <s v="Salmon"/>
    <s v="724"/>
    <s v="Dakota Creek (Whatcom Co)"/>
    <s v="Dakota Creek (Whatcom Co)"/>
    <s v="Whatcom"/>
    <x v="1"/>
    <s v="Whatcom"/>
    <s v="01Whatcom"/>
    <s v="01North Puget Sound"/>
    <n v="159"/>
    <n v="546.96"/>
  </r>
  <r>
    <n v="328"/>
    <x v="1"/>
    <x v="3"/>
    <x v="1"/>
    <s v="Freshwater"/>
    <s v="2Freshwater"/>
    <s v="Salmon"/>
    <s v="724"/>
    <s v="Dakota Creek (Whatcom Co)"/>
    <s v="Dakota Creek (Whatcom Co)"/>
    <s v="Whatcom"/>
    <x v="1"/>
    <s v="Whatcom"/>
    <s v="01Whatcom"/>
    <s v="01North Puget Sound"/>
    <n v="36"/>
    <n v="123.84"/>
  </r>
  <r>
    <n v="329"/>
    <x v="1"/>
    <x v="2"/>
    <x v="1"/>
    <s v="Freshwater"/>
    <s v="2Freshwater"/>
    <s v="Salmon"/>
    <s v="732"/>
    <s v="Dewatto River"/>
    <s v="Dewatto River"/>
    <s v="Mason"/>
    <x v="0"/>
    <s v="Kitsap"/>
    <s v="10Kitsap"/>
    <s v="02South Puget Sound"/>
    <n v="141.17647058823499"/>
    <n v="485.64705882352837"/>
  </r>
  <r>
    <n v="330"/>
    <x v="1"/>
    <x v="2"/>
    <x v="1"/>
    <s v="Freshwater"/>
    <s v="2Freshwater"/>
    <s v="Salmon"/>
    <s v="732"/>
    <s v="Dewatto River"/>
    <s v="Dewatto River"/>
    <s v="Mason"/>
    <x v="0"/>
    <s v="Thurston"/>
    <s v="08Thurston"/>
    <s v="02South Puget Sound"/>
    <n v="8.8235294117647101"/>
    <n v="30.352941176470601"/>
  </r>
  <r>
    <n v="331"/>
    <x v="1"/>
    <x v="3"/>
    <x v="1"/>
    <s v="Freshwater"/>
    <s v="2Freshwater"/>
    <s v="Salmon"/>
    <s v="734"/>
    <s v="Dosewallips River"/>
    <s v="Dosewallips River"/>
    <s v="Jefferson"/>
    <x v="2"/>
    <s v="King"/>
    <s v="06King"/>
    <s v="02South Puget Sound"/>
    <n v="9"/>
    <n v="30.96"/>
  </r>
  <r>
    <n v="332"/>
    <x v="1"/>
    <x v="3"/>
    <x v="1"/>
    <s v="Freshwater"/>
    <s v="2Freshwater"/>
    <s v="Salmon"/>
    <s v="734"/>
    <s v="Dosewallips River"/>
    <s v="Dosewallips River"/>
    <s v="Jefferson"/>
    <x v="2"/>
    <s v="Kitsap"/>
    <s v="10Kitsap"/>
    <s v="02South Puget Sound"/>
    <n v="9"/>
    <n v="30.96"/>
  </r>
  <r>
    <n v="333"/>
    <x v="1"/>
    <x v="4"/>
    <x v="1"/>
    <s v="Freshwater"/>
    <s v="2Freshwater"/>
    <s v="Salmon"/>
    <s v="736"/>
    <s v="Duckabush River"/>
    <s v="Duckabush River"/>
    <s v="Jefferson"/>
    <x v="2"/>
    <s v="Kitsap"/>
    <s v="10Kitsap"/>
    <s v="02South Puget Sound"/>
    <n v="43.75"/>
    <n v="150.5"/>
  </r>
  <r>
    <n v="334"/>
    <x v="1"/>
    <x v="4"/>
    <x v="1"/>
    <s v="Freshwater"/>
    <s v="2Freshwater"/>
    <s v="Salmon"/>
    <s v="736"/>
    <s v="Duckabush River"/>
    <s v="Duckabush River"/>
    <s v="Jefferson"/>
    <x v="2"/>
    <s v="Other"/>
    <s v="20Other"/>
    <s v="07Non Puget Sound"/>
    <n v="8.75"/>
    <n v="30.099999999999998"/>
  </r>
  <r>
    <n v="335"/>
    <x v="1"/>
    <x v="4"/>
    <x v="1"/>
    <s v="Freshwater"/>
    <s v="2Freshwater"/>
    <s v="Salmon"/>
    <s v="736"/>
    <s v="Duckabush River"/>
    <s v="Duckabush River"/>
    <s v="Jefferson"/>
    <x v="2"/>
    <s v="Thurston"/>
    <s v="08Thurston"/>
    <s v="02South Puget Sound"/>
    <n v="17.5"/>
    <n v="60.199999999999996"/>
  </r>
  <r>
    <n v="336"/>
    <x v="1"/>
    <x v="1"/>
    <x v="1"/>
    <s v="Freshwater"/>
    <s v="2Freshwater"/>
    <s v="Salmon"/>
    <s v="738"/>
    <s v="Dungeness River"/>
    <s v="Dungeness River"/>
    <s v="Clallam"/>
    <x v="3"/>
    <s v="Clallam"/>
    <s v="11Clallam"/>
    <s v="03Strait of Juan de Fuca"/>
    <n v="7"/>
    <n v="24.08"/>
  </r>
  <r>
    <n v="337"/>
    <x v="1"/>
    <x v="2"/>
    <x v="1"/>
    <s v="Freshwater"/>
    <s v="2Freshwater"/>
    <s v="Salmon"/>
    <s v="738"/>
    <s v="Dungeness River"/>
    <s v="Dungeness River"/>
    <s v="Clallam"/>
    <x v="3"/>
    <s v="Clallam"/>
    <s v="11Clallam"/>
    <s v="03Strait of Juan de Fuca"/>
    <n v="921.86597938144303"/>
    <n v="3171.2189690721639"/>
  </r>
  <r>
    <n v="338"/>
    <x v="1"/>
    <x v="2"/>
    <x v="1"/>
    <s v="Freshwater"/>
    <s v="2Freshwater"/>
    <s v="Salmon"/>
    <s v="738"/>
    <s v="Dungeness River"/>
    <s v="Dungeness River"/>
    <s v="Clallam"/>
    <x v="3"/>
    <s v="Jefferson"/>
    <s v="12Jefferson"/>
    <s v="03Strait of Juan de Fuca"/>
    <n v="239.83505154639201"/>
    <n v="825.03257731958854"/>
  </r>
  <r>
    <n v="339"/>
    <x v="1"/>
    <x v="2"/>
    <x v="1"/>
    <s v="Freshwater"/>
    <s v="2Freshwater"/>
    <s v="Salmon"/>
    <s v="738"/>
    <s v="Dungeness River"/>
    <s v="Dungeness River"/>
    <s v="Clallam"/>
    <x v="3"/>
    <s v="Kitsap"/>
    <s v="10Kitsap"/>
    <s v="02South Puget Sound"/>
    <n v="149.89690721649501"/>
    <n v="515.64536082474285"/>
  </r>
  <r>
    <n v="340"/>
    <x v="1"/>
    <x v="2"/>
    <x v="1"/>
    <s v="Freshwater"/>
    <s v="2Freshwater"/>
    <s v="Salmon"/>
    <s v="738"/>
    <s v="Dungeness River"/>
    <s v="Dungeness River"/>
    <s v="Clallam"/>
    <x v="3"/>
    <s v="Other"/>
    <s v="20Other"/>
    <s v="07Non Puget Sound"/>
    <n v="119.917525773196"/>
    <n v="412.51628865979427"/>
  </r>
  <r>
    <n v="341"/>
    <x v="1"/>
    <x v="2"/>
    <x v="1"/>
    <s v="Freshwater"/>
    <s v="2Freshwater"/>
    <s v="Salmon"/>
    <s v="738"/>
    <s v="Dungeness River"/>
    <s v="Dungeness River"/>
    <s v="Clallam"/>
    <x v="3"/>
    <s v="Pierce"/>
    <s v="07Pierce"/>
    <s v="02South Puget Sound"/>
    <n v="7.4948453608247396"/>
    <n v="25.782268041237103"/>
  </r>
  <r>
    <n v="342"/>
    <x v="1"/>
    <x v="2"/>
    <x v="1"/>
    <s v="Freshwater"/>
    <s v="2Freshwater"/>
    <s v="Salmon"/>
    <s v="738"/>
    <s v="Dungeness River"/>
    <s v="Dungeness River"/>
    <s v="Clallam"/>
    <x v="3"/>
    <s v="Skagit"/>
    <s v="02Skagit"/>
    <s v="01North Puget Sound"/>
    <n v="14.989690721649501"/>
    <n v="51.564536082474284"/>
  </r>
  <r>
    <n v="343"/>
    <x v="1"/>
    <x v="3"/>
    <x v="1"/>
    <s v="Freshwater"/>
    <s v="2Freshwater"/>
    <s v="Salmon"/>
    <s v="738"/>
    <s v="Dungeness River"/>
    <s v="Dungeness River"/>
    <s v="Clallam"/>
    <x v="3"/>
    <s v="Clallam"/>
    <s v="11Clallam"/>
    <s v="03Strait of Juan de Fuca"/>
    <n v="494.59259259259301"/>
    <n v="1701.3985185185199"/>
  </r>
  <r>
    <n v="344"/>
    <x v="1"/>
    <x v="3"/>
    <x v="1"/>
    <s v="Freshwater"/>
    <s v="2Freshwater"/>
    <s v="Salmon"/>
    <s v="738"/>
    <s v="Dungeness River"/>
    <s v="Dungeness River"/>
    <s v="Clallam"/>
    <x v="3"/>
    <s v="Jefferson"/>
    <s v="12Jefferson"/>
    <s v="03Strait of Juan de Fuca"/>
    <n v="59.950617283950599"/>
    <n v="206.23012345679007"/>
  </r>
  <r>
    <n v="345"/>
    <x v="1"/>
    <x v="3"/>
    <x v="1"/>
    <s v="Freshwater"/>
    <s v="2Freshwater"/>
    <s v="Salmon"/>
    <s v="738"/>
    <s v="Dungeness River"/>
    <s v="Dungeness River"/>
    <s v="Clallam"/>
    <x v="3"/>
    <s v="Kitsap"/>
    <s v="10Kitsap"/>
    <s v="02South Puget Sound"/>
    <n v="29.9753086419753"/>
    <n v="103.11506172839503"/>
  </r>
  <r>
    <n v="346"/>
    <x v="1"/>
    <x v="3"/>
    <x v="1"/>
    <s v="Freshwater"/>
    <s v="2Freshwater"/>
    <s v="Salmon"/>
    <s v="738"/>
    <s v="Dungeness River"/>
    <s v="Dungeness River"/>
    <s v="Clallam"/>
    <x v="3"/>
    <s v="Skagit"/>
    <s v="02Skagit"/>
    <s v="01North Puget Sound"/>
    <n v="22.481481481481499"/>
    <n v="77.336296296296354"/>
  </r>
  <r>
    <n v="347"/>
    <x v="1"/>
    <x v="4"/>
    <x v="1"/>
    <s v="Freshwater"/>
    <s v="2Freshwater"/>
    <s v="Salmon"/>
    <s v="738"/>
    <s v="Dungeness River"/>
    <s v="Dungeness River"/>
    <s v="Clallam"/>
    <x v="3"/>
    <s v="Clallam"/>
    <s v="11Clallam"/>
    <s v="03Strait of Juan de Fuca"/>
    <n v="75"/>
    <n v="258"/>
  </r>
  <r>
    <n v="348"/>
    <x v="1"/>
    <x v="2"/>
    <x v="1"/>
    <s v="Freshwater"/>
    <s v="2Freshwater"/>
    <s v="Salmon"/>
    <s v="742"/>
    <s v="Elwha River"/>
    <s v="Elwha River"/>
    <s v="Clallam"/>
    <x v="3"/>
    <s v="Clallam"/>
    <s v="11Clallam"/>
    <s v="03Strait of Juan de Fuca"/>
    <n v="9"/>
    <n v="30.96"/>
  </r>
  <r>
    <n v="349"/>
    <x v="1"/>
    <x v="5"/>
    <x v="1"/>
    <s v="Freshwater"/>
    <s v="2Freshwater"/>
    <s v="Salmon"/>
    <s v="746"/>
    <s v="Green - Duwamish River"/>
    <s v="Green - Duwamish River"/>
    <s v="King"/>
    <x v="0"/>
    <s v="Pierce"/>
    <s v="07Pierce"/>
    <s v="02South Puget Sound"/>
    <n v="0"/>
    <n v="0"/>
  </r>
  <r>
    <n v="350"/>
    <x v="1"/>
    <x v="0"/>
    <x v="1"/>
    <s v="Freshwater"/>
    <s v="2Freshwater"/>
    <s v="Salmon"/>
    <s v="746"/>
    <s v="Green - Duwamish River"/>
    <s v="Green - Duwamish River"/>
    <s v="King"/>
    <x v="0"/>
    <s v="King"/>
    <s v="06King"/>
    <s v="02South Puget Sound"/>
    <n v="1468.8461538461499"/>
    <n v="5052.8307692307553"/>
  </r>
  <r>
    <n v="351"/>
    <x v="1"/>
    <x v="0"/>
    <x v="1"/>
    <s v="Freshwater"/>
    <s v="2Freshwater"/>
    <s v="Salmon"/>
    <s v="746"/>
    <s v="Green - Duwamish River"/>
    <s v="Green - Duwamish River"/>
    <s v="King"/>
    <x v="0"/>
    <s v="Other"/>
    <s v="20Other"/>
    <s v="07Non Puget Sound"/>
    <n v="116.92307692307701"/>
    <n v="402.21538461538489"/>
  </r>
  <r>
    <n v="352"/>
    <x v="1"/>
    <x v="0"/>
    <x v="1"/>
    <s v="Freshwater"/>
    <s v="2Freshwater"/>
    <s v="Salmon"/>
    <s v="746"/>
    <s v="Green - Duwamish River"/>
    <s v="Green - Duwamish River"/>
    <s v="King"/>
    <x v="0"/>
    <s v="Pierce"/>
    <s v="07Pierce"/>
    <s v="02South Puget Sound"/>
    <n v="21.923076923076898"/>
    <n v="75.415384615384525"/>
  </r>
  <r>
    <n v="353"/>
    <x v="1"/>
    <x v="0"/>
    <x v="1"/>
    <s v="Freshwater"/>
    <s v="2Freshwater"/>
    <s v="Salmon"/>
    <s v="746"/>
    <s v="Green - Duwamish River"/>
    <s v="Green - Duwamish River"/>
    <s v="King"/>
    <x v="0"/>
    <s v="Snohomish"/>
    <s v="03Snohomish"/>
    <s v="01North Puget Sound"/>
    <n v="102.30769230769199"/>
    <n v="351.93846153846044"/>
  </r>
  <r>
    <n v="354"/>
    <x v="1"/>
    <x v="1"/>
    <x v="1"/>
    <s v="Freshwater"/>
    <s v="2Freshwater"/>
    <s v="Salmon"/>
    <s v="746"/>
    <s v="Green - Duwamish River"/>
    <s v="Green - Duwamish River"/>
    <s v="King"/>
    <x v="0"/>
    <s v="Island"/>
    <s v="04Island"/>
    <s v="01North Puget Sound"/>
    <n v="7.2972304648862503"/>
    <n v="25.102472799208702"/>
  </r>
  <r>
    <n v="355"/>
    <x v="1"/>
    <x v="1"/>
    <x v="1"/>
    <s v="Freshwater"/>
    <s v="2Freshwater"/>
    <s v="Salmon"/>
    <s v="746"/>
    <s v="Green - Duwamish River"/>
    <s v="Green - Duwamish River"/>
    <s v="King"/>
    <x v="0"/>
    <s v="King"/>
    <s v="06King"/>
    <s v="02South Puget Sound"/>
    <n v="12478.264094955501"/>
    <n v="42925.22848664692"/>
  </r>
  <r>
    <n v="356"/>
    <x v="1"/>
    <x v="1"/>
    <x v="1"/>
    <s v="Freshwater"/>
    <s v="2Freshwater"/>
    <s v="Salmon"/>
    <s v="746"/>
    <s v="Green - Duwamish River"/>
    <s v="Green - Duwamish River"/>
    <s v="King"/>
    <x v="0"/>
    <s v="Kitsap"/>
    <s v="10Kitsap"/>
    <s v="02South Puget Sound"/>
    <n v="58.377843719090002"/>
    <n v="200.81978239366961"/>
  </r>
  <r>
    <n v="357"/>
    <x v="1"/>
    <x v="1"/>
    <x v="1"/>
    <s v="Freshwater"/>
    <s v="2Freshwater"/>
    <s v="Salmon"/>
    <s v="746"/>
    <s v="Green - Duwamish River"/>
    <s v="Green - Duwamish River"/>
    <s v="King"/>
    <x v="0"/>
    <s v="Other"/>
    <s v="20Other"/>
    <s v="07Non Puget Sound"/>
    <n v="722.425816023739"/>
    <n v="2485.1448071216623"/>
  </r>
  <r>
    <n v="358"/>
    <x v="1"/>
    <x v="1"/>
    <x v="1"/>
    <s v="Freshwater"/>
    <s v="2Freshwater"/>
    <s v="Salmon"/>
    <s v="746"/>
    <s v="Green - Duwamish River"/>
    <s v="Green - Duwamish River"/>
    <s v="King"/>
    <x v="0"/>
    <s v="Pierce"/>
    <s v="07Pierce"/>
    <s v="02South Puget Sound"/>
    <n v="999.72057368941705"/>
    <n v="3439.0387734915944"/>
  </r>
  <r>
    <n v="359"/>
    <x v="1"/>
    <x v="1"/>
    <x v="1"/>
    <s v="Freshwater"/>
    <s v="2Freshwater"/>
    <s v="Salmon"/>
    <s v="746"/>
    <s v="Green - Duwamish River"/>
    <s v="Green - Duwamish River"/>
    <s v="King"/>
    <x v="0"/>
    <s v="Skagit"/>
    <s v="02Skagit"/>
    <s v="01North Puget Sound"/>
    <n v="14.594460929772501"/>
    <n v="50.204945598417403"/>
  </r>
  <r>
    <n v="360"/>
    <x v="1"/>
    <x v="1"/>
    <x v="1"/>
    <s v="Freshwater"/>
    <s v="2Freshwater"/>
    <s v="Salmon"/>
    <s v="746"/>
    <s v="Green - Duwamish River"/>
    <s v="Green - Duwamish River"/>
    <s v="King"/>
    <x v="0"/>
    <s v="Snohomish"/>
    <s v="03Snohomish"/>
    <s v="01North Puget Sound"/>
    <n v="437.833827893175"/>
    <n v="1506.148367952522"/>
  </r>
  <r>
    <n v="361"/>
    <x v="1"/>
    <x v="1"/>
    <x v="1"/>
    <s v="Freshwater"/>
    <s v="2Freshwater"/>
    <s v="Salmon"/>
    <s v="746"/>
    <s v="Green - Duwamish River"/>
    <s v="Green - Duwamish River"/>
    <s v="King"/>
    <x v="0"/>
    <s v="Whatcom"/>
    <s v="01Whatcom"/>
    <s v="01North Puget Sound"/>
    <n v="36.486152324431302"/>
    <n v="125.51236399604367"/>
  </r>
  <r>
    <n v="362"/>
    <x v="1"/>
    <x v="2"/>
    <x v="1"/>
    <s v="Freshwater"/>
    <s v="2Freshwater"/>
    <s v="Salmon"/>
    <s v="746"/>
    <s v="Green - Duwamish River"/>
    <s v="Green - Duwamish River"/>
    <s v="King"/>
    <x v="0"/>
    <s v="King"/>
    <s v="06King"/>
    <s v="02South Puget Sound"/>
    <n v="6828.8941574936498"/>
    <n v="23491.395901778156"/>
  </r>
  <r>
    <n v="363"/>
    <x v="1"/>
    <x v="2"/>
    <x v="1"/>
    <s v="Freshwater"/>
    <s v="2Freshwater"/>
    <s v="Salmon"/>
    <s v="746"/>
    <s v="Green - Duwamish River"/>
    <s v="Green - Duwamish River"/>
    <s v="King"/>
    <x v="0"/>
    <s v="Kitsap"/>
    <s v="10Kitsap"/>
    <s v="02South Puget Sound"/>
    <n v="50.961896697713797"/>
    <n v="175.30892464013547"/>
  </r>
  <r>
    <n v="364"/>
    <x v="1"/>
    <x v="2"/>
    <x v="1"/>
    <s v="Freshwater"/>
    <s v="2Freshwater"/>
    <s v="Salmon"/>
    <s v="746"/>
    <s v="Green - Duwamish River"/>
    <s v="Green - Duwamish River"/>
    <s v="King"/>
    <x v="0"/>
    <s v="Other"/>
    <s v="20Other"/>
    <s v="07Non Puget Sound"/>
    <n v="218.40812870448801"/>
    <n v="751.32396274343876"/>
  </r>
  <r>
    <n v="365"/>
    <x v="1"/>
    <x v="2"/>
    <x v="1"/>
    <s v="Freshwater"/>
    <s v="2Freshwater"/>
    <s v="Salmon"/>
    <s v="746"/>
    <s v="Green - Duwamish River"/>
    <s v="Green - Duwamish River"/>
    <s v="King"/>
    <x v="0"/>
    <s v="Pierce"/>
    <s v="07Pierce"/>
    <s v="02South Puget Sound"/>
    <n v="1121.1617273497"/>
    <n v="3856.7963420829678"/>
  </r>
  <r>
    <n v="366"/>
    <x v="1"/>
    <x v="2"/>
    <x v="1"/>
    <s v="Freshwater"/>
    <s v="2Freshwater"/>
    <s v="Salmon"/>
    <s v="746"/>
    <s v="Green - Duwamish River"/>
    <s v="Green - Duwamish River"/>
    <s v="King"/>
    <x v="0"/>
    <s v="Snohomish"/>
    <s v="03Snohomish"/>
    <s v="01North Puget Sound"/>
    <n v="378.57408975444503"/>
    <n v="1302.294868755291"/>
  </r>
  <r>
    <n v="367"/>
    <x v="1"/>
    <x v="3"/>
    <x v="1"/>
    <s v="Freshwater"/>
    <s v="2Freshwater"/>
    <s v="Salmon"/>
    <s v="746"/>
    <s v="Green - Duwamish River"/>
    <s v="Green - Duwamish River"/>
    <s v="King"/>
    <x v="0"/>
    <s v="King"/>
    <s v="06King"/>
    <s v="02South Puget Sound"/>
    <n v="562.54945054945097"/>
    <n v="1935.1701098901112"/>
  </r>
  <r>
    <n v="368"/>
    <x v="1"/>
    <x v="3"/>
    <x v="1"/>
    <s v="Freshwater"/>
    <s v="2Freshwater"/>
    <s v="Salmon"/>
    <s v="746"/>
    <s v="Green - Duwamish River"/>
    <s v="Green - Duwamish River"/>
    <s v="King"/>
    <x v="0"/>
    <s v="Other"/>
    <s v="20Other"/>
    <s v="07Non Puget Sound"/>
    <n v="42.725274725274701"/>
    <n v="146.97494505494498"/>
  </r>
  <r>
    <n v="369"/>
    <x v="1"/>
    <x v="3"/>
    <x v="1"/>
    <s v="Freshwater"/>
    <s v="2Freshwater"/>
    <s v="Salmon"/>
    <s v="746"/>
    <s v="Green - Duwamish River"/>
    <s v="Green - Duwamish River"/>
    <s v="King"/>
    <x v="0"/>
    <s v="Pierce"/>
    <s v="07Pierce"/>
    <s v="02South Puget Sound"/>
    <n v="42.725274725274701"/>
    <n v="146.97494505494498"/>
  </r>
  <r>
    <n v="370"/>
    <x v="1"/>
    <x v="4"/>
    <x v="1"/>
    <s v="Freshwater"/>
    <s v="2Freshwater"/>
    <s v="Salmon"/>
    <s v="746"/>
    <s v="Green - Duwamish River"/>
    <s v="Green - Duwamish River"/>
    <s v="King"/>
    <x v="0"/>
    <s v="King"/>
    <s v="06King"/>
    <s v="02South Puget Sound"/>
    <n v="451.32467532467501"/>
    <n v="1552.5568831168821"/>
  </r>
  <r>
    <n v="371"/>
    <x v="1"/>
    <x v="4"/>
    <x v="1"/>
    <s v="Freshwater"/>
    <s v="2Freshwater"/>
    <s v="Salmon"/>
    <s v="746"/>
    <s v="Green - Duwamish River"/>
    <s v="Green - Duwamish River"/>
    <s v="King"/>
    <x v="0"/>
    <s v="Pierce"/>
    <s v="07Pierce"/>
    <s v="02South Puget Sound"/>
    <n v="91.675324675324703"/>
    <n v="315.36311688311696"/>
  </r>
  <r>
    <n v="372"/>
    <x v="1"/>
    <x v="2"/>
    <x v="1"/>
    <s v="Freshwater"/>
    <s v="2Freshwater"/>
    <s v="Salmon"/>
    <s v="754"/>
    <s v="Kennedy Creek"/>
    <s v="Kennedy Creek"/>
    <s v="Mason/Thurston"/>
    <x v="0"/>
    <s v="King"/>
    <s v="06King"/>
    <s v="02South Puget Sound"/>
    <n v="52.5"/>
    <n v="180.6"/>
  </r>
  <r>
    <n v="373"/>
    <x v="1"/>
    <x v="2"/>
    <x v="1"/>
    <s v="Freshwater"/>
    <s v="2Freshwater"/>
    <s v="Salmon"/>
    <s v="754"/>
    <s v="Kennedy Creek"/>
    <s v="Kennedy Creek"/>
    <s v="Mason/Thurston"/>
    <x v="0"/>
    <s v="Mason"/>
    <s v="09Mason"/>
    <s v="02South Puget Sound"/>
    <n v="15"/>
    <n v="51.6"/>
  </r>
  <r>
    <n v="374"/>
    <x v="1"/>
    <x v="2"/>
    <x v="1"/>
    <s v="Freshwater"/>
    <s v="2Freshwater"/>
    <s v="Salmon"/>
    <s v="754"/>
    <s v="Kennedy Creek"/>
    <s v="Kennedy Creek"/>
    <s v="Mason/Thurston"/>
    <x v="0"/>
    <s v="Thurston"/>
    <s v="08Thurston"/>
    <s v="02South Puget Sound"/>
    <n v="22.5"/>
    <n v="77.400000000000006"/>
  </r>
  <r>
    <n v="375"/>
    <x v="1"/>
    <x v="3"/>
    <x v="1"/>
    <s v="Freshwater"/>
    <s v="2Freshwater"/>
    <s v="Salmon"/>
    <s v="754"/>
    <s v="Kennedy Creek"/>
    <s v="Kennedy Creek"/>
    <s v="Mason/Thurston"/>
    <x v="0"/>
    <s v="King"/>
    <s v="06King"/>
    <s v="02South Puget Sound"/>
    <n v="7.5294117647058796"/>
    <n v="25.901176470588226"/>
  </r>
  <r>
    <n v="376"/>
    <x v="1"/>
    <x v="3"/>
    <x v="1"/>
    <s v="Freshwater"/>
    <s v="2Freshwater"/>
    <s v="Salmon"/>
    <s v="754"/>
    <s v="Kennedy Creek"/>
    <s v="Kennedy Creek"/>
    <s v="Mason/Thurston"/>
    <x v="0"/>
    <s v="Mason"/>
    <s v="09Mason"/>
    <s v="02South Puget Sound"/>
    <n v="30.117647058823501"/>
    <n v="103.60470588235285"/>
  </r>
  <r>
    <n v="377"/>
    <x v="1"/>
    <x v="3"/>
    <x v="1"/>
    <s v="Freshwater"/>
    <s v="2Freshwater"/>
    <s v="Salmon"/>
    <s v="754"/>
    <s v="Kennedy Creek"/>
    <s v="Kennedy Creek"/>
    <s v="Mason/Thurston"/>
    <x v="0"/>
    <s v="Other"/>
    <s v="20Other"/>
    <s v="07Non Puget Sound"/>
    <n v="7.5294117647058796"/>
    <n v="25.901176470588226"/>
  </r>
  <r>
    <n v="378"/>
    <x v="1"/>
    <x v="3"/>
    <x v="1"/>
    <s v="Freshwater"/>
    <s v="2Freshwater"/>
    <s v="Salmon"/>
    <s v="754"/>
    <s v="Kennedy Creek"/>
    <s v="Kennedy Creek"/>
    <s v="Mason/Thurston"/>
    <x v="0"/>
    <s v="Pierce"/>
    <s v="07Pierce"/>
    <s v="02South Puget Sound"/>
    <n v="7.5294117647058796"/>
    <n v="25.901176470588226"/>
  </r>
  <r>
    <n v="379"/>
    <x v="1"/>
    <x v="3"/>
    <x v="1"/>
    <s v="Freshwater"/>
    <s v="2Freshwater"/>
    <s v="Salmon"/>
    <s v="754"/>
    <s v="Kennedy Creek"/>
    <s v="Kennedy Creek"/>
    <s v="Mason/Thurston"/>
    <x v="0"/>
    <s v="Thurston"/>
    <s v="08Thurston"/>
    <s v="02South Puget Sound"/>
    <n v="75.294117647058798"/>
    <n v="259.01176470588229"/>
  </r>
  <r>
    <n v="380"/>
    <x v="1"/>
    <x v="1"/>
    <x v="1"/>
    <s v="Freshwater"/>
    <s v="2Freshwater"/>
    <s v="Salmon"/>
    <s v="762"/>
    <s v="Lake Washington"/>
    <s v="Lake Washington"/>
    <s v="King"/>
    <x v="0"/>
    <s v="King"/>
    <s v="06King"/>
    <s v="02South Puget Sound"/>
    <n v="15.3333333333333"/>
    <n v="52.746666666666549"/>
  </r>
  <r>
    <n v="381"/>
    <x v="1"/>
    <x v="1"/>
    <x v="1"/>
    <s v="Freshwater"/>
    <s v="2Freshwater"/>
    <s v="Salmon"/>
    <s v="762"/>
    <s v="Lake Washington"/>
    <s v="Lake Washington"/>
    <s v="King"/>
    <x v="0"/>
    <s v="Other"/>
    <s v="20Other"/>
    <s v="07Non Puget Sound"/>
    <n v="7.6666666666666696"/>
    <n v="26.373333333333342"/>
  </r>
  <r>
    <n v="382"/>
    <x v="1"/>
    <x v="2"/>
    <x v="1"/>
    <s v="Freshwater"/>
    <s v="2Freshwater"/>
    <s v="Salmon"/>
    <s v="762"/>
    <s v="Lake Washington"/>
    <s v="Lake Washington"/>
    <s v="King"/>
    <x v="0"/>
    <s v="King"/>
    <s v="06King"/>
    <s v="02South Puget Sound"/>
    <n v="37.5"/>
    <n v="129"/>
  </r>
  <r>
    <n v="383"/>
    <x v="1"/>
    <x v="2"/>
    <x v="1"/>
    <s v="Freshwater"/>
    <s v="2Freshwater"/>
    <s v="Salmon"/>
    <s v="762"/>
    <s v="Lake Washington"/>
    <s v="Lake Washington"/>
    <s v="King"/>
    <x v="0"/>
    <s v="Snohomish"/>
    <s v="03Snohomish"/>
    <s v="01North Puget Sound"/>
    <n v="37.5"/>
    <n v="129"/>
  </r>
  <r>
    <n v="384"/>
    <x v="1"/>
    <x v="0"/>
    <x v="1"/>
    <s v="Freshwater"/>
    <s v="2Freshwater"/>
    <s v="Salmon"/>
    <s v="764"/>
    <s v="Lake Sammamish"/>
    <s v="Lake Sammamish"/>
    <s v="King"/>
    <x v="0"/>
    <s v="King"/>
    <s v="06King"/>
    <s v="02South Puget Sound"/>
    <n v="60"/>
    <n v="206.4"/>
  </r>
  <r>
    <n v="385"/>
    <x v="1"/>
    <x v="0"/>
    <x v="1"/>
    <s v="Freshwater"/>
    <s v="2Freshwater"/>
    <s v="Salmon"/>
    <s v="764"/>
    <s v="Lake Sammamish"/>
    <s v="Lake Sammamish"/>
    <s v="King"/>
    <x v="0"/>
    <s v="Other"/>
    <s v="20Other"/>
    <s v="07Non Puget Sound"/>
    <n v="7.5"/>
    <n v="25.8"/>
  </r>
  <r>
    <n v="386"/>
    <x v="1"/>
    <x v="0"/>
    <x v="1"/>
    <s v="Freshwater"/>
    <s v="2Freshwater"/>
    <s v="Salmon"/>
    <s v="764"/>
    <s v="Lake Sammamish"/>
    <s v="Lake Sammamish"/>
    <s v="King"/>
    <x v="0"/>
    <s v="Pierce"/>
    <s v="07Pierce"/>
    <s v="02South Puget Sound"/>
    <n v="7.5"/>
    <n v="25.8"/>
  </r>
  <r>
    <n v="387"/>
    <x v="1"/>
    <x v="1"/>
    <x v="1"/>
    <s v="Freshwater"/>
    <s v="2Freshwater"/>
    <s v="Salmon"/>
    <s v="764"/>
    <s v="Lake Sammamish"/>
    <s v="Lake Sammamish"/>
    <s v="King"/>
    <x v="0"/>
    <s v="King"/>
    <s v="06King"/>
    <s v="02South Puget Sound"/>
    <n v="76"/>
    <n v="261.44"/>
  </r>
  <r>
    <n v="388"/>
    <x v="1"/>
    <x v="1"/>
    <x v="1"/>
    <s v="Freshwater"/>
    <s v="2Freshwater"/>
    <s v="Salmon"/>
    <s v="764"/>
    <s v="Lake Sammamish"/>
    <s v="Lake Sammamish"/>
    <s v="King"/>
    <x v="0"/>
    <s v="Other"/>
    <s v="20Other"/>
    <s v="07Non Puget Sound"/>
    <n v="30.4"/>
    <n v="104.57599999999999"/>
  </r>
  <r>
    <n v="389"/>
    <x v="1"/>
    <x v="1"/>
    <x v="1"/>
    <s v="Freshwater"/>
    <s v="2Freshwater"/>
    <s v="Salmon"/>
    <s v="764"/>
    <s v="Lake Sammamish"/>
    <s v="Lake Sammamish"/>
    <s v="King"/>
    <x v="0"/>
    <s v="Snohomish"/>
    <s v="03Snohomish"/>
    <s v="01North Puget Sound"/>
    <n v="7.6"/>
    <n v="26.143999999999998"/>
  </r>
  <r>
    <n v="390"/>
    <x v="1"/>
    <x v="2"/>
    <x v="1"/>
    <s v="Freshwater"/>
    <s v="2Freshwater"/>
    <s v="Salmon"/>
    <s v="764"/>
    <s v="Lake Sammamish"/>
    <s v="Lake Sammamish"/>
    <s v="King"/>
    <x v="0"/>
    <s v="King"/>
    <s v="06King"/>
    <s v="02South Puget Sound"/>
    <n v="15"/>
    <n v="51.6"/>
  </r>
  <r>
    <n v="391"/>
    <x v="1"/>
    <x v="2"/>
    <x v="1"/>
    <s v="Freshwater"/>
    <s v="2Freshwater"/>
    <s v="Salmon"/>
    <s v="778"/>
    <s v="Minter Creek"/>
    <s v="Minter Creek"/>
    <s v="Kitsap/Pierce"/>
    <x v="0"/>
    <s v="King"/>
    <s v="06King"/>
    <s v="02South Puget Sound"/>
    <n v="7"/>
    <n v="24.08"/>
  </r>
  <r>
    <n v="392"/>
    <x v="1"/>
    <x v="3"/>
    <x v="1"/>
    <s v="Freshwater"/>
    <s v="2Freshwater"/>
    <s v="Salmon"/>
    <s v="778"/>
    <s v="Minter Creek"/>
    <s v="Minter Creek"/>
    <s v="Kitsap/Pierce"/>
    <x v="0"/>
    <s v="King"/>
    <s v="06King"/>
    <s v="02South Puget Sound"/>
    <n v="919.14545454545498"/>
    <n v="3161.860363636365"/>
  </r>
  <r>
    <n v="393"/>
    <x v="1"/>
    <x v="3"/>
    <x v="1"/>
    <s v="Freshwater"/>
    <s v="2Freshwater"/>
    <s v="Salmon"/>
    <s v="778"/>
    <s v="Minter Creek"/>
    <s v="Minter Creek"/>
    <s v="Kitsap/Pierce"/>
    <x v="0"/>
    <s v="Kitsap"/>
    <s v="10Kitsap"/>
    <s v="02South Puget Sound"/>
    <n v="239.12727272727301"/>
    <n v="822.59781818181909"/>
  </r>
  <r>
    <n v="394"/>
    <x v="1"/>
    <x v="3"/>
    <x v="1"/>
    <s v="Freshwater"/>
    <s v="2Freshwater"/>
    <s v="Salmon"/>
    <s v="778"/>
    <s v="Minter Creek"/>
    <s v="Minter Creek"/>
    <s v="Kitsap/Pierce"/>
    <x v="0"/>
    <s v="Mason"/>
    <s v="09Mason"/>
    <s v="02South Puget Sound"/>
    <n v="82.2"/>
    <n v="282.76800000000003"/>
  </r>
  <r>
    <n v="395"/>
    <x v="1"/>
    <x v="3"/>
    <x v="1"/>
    <s v="Freshwater"/>
    <s v="2Freshwater"/>
    <s v="Salmon"/>
    <s v="778"/>
    <s v="Minter Creek"/>
    <s v="Minter Creek"/>
    <s v="Kitsap/Pierce"/>
    <x v="0"/>
    <s v="Other"/>
    <s v="20Other"/>
    <s v="07Non Puget Sound"/>
    <n v="112.09090909090899"/>
    <n v="385.59272727272696"/>
  </r>
  <r>
    <n v="396"/>
    <x v="1"/>
    <x v="3"/>
    <x v="1"/>
    <s v="Freshwater"/>
    <s v="2Freshwater"/>
    <s v="Salmon"/>
    <s v="778"/>
    <s v="Minter Creek"/>
    <s v="Minter Creek"/>
    <s v="Kitsap/Pierce"/>
    <x v="0"/>
    <s v="Pierce"/>
    <s v="07Pierce"/>
    <s v="02South Puget Sound"/>
    <n v="919.14545454545498"/>
    <n v="3161.860363636365"/>
  </r>
  <r>
    <n v="397"/>
    <x v="1"/>
    <x v="3"/>
    <x v="1"/>
    <s v="Freshwater"/>
    <s v="2Freshwater"/>
    <s v="Salmon"/>
    <s v="778"/>
    <s v="Minter Creek"/>
    <s v="Minter Creek"/>
    <s v="Kitsap/Pierce"/>
    <x v="0"/>
    <s v="Snohomish"/>
    <s v="03Snohomish"/>
    <s v="01North Puget Sound"/>
    <n v="119.56363636363599"/>
    <n v="411.29890909090778"/>
  </r>
  <r>
    <n v="398"/>
    <x v="1"/>
    <x v="3"/>
    <x v="1"/>
    <s v="Freshwater"/>
    <s v="2Freshwater"/>
    <s v="Salmon"/>
    <s v="778"/>
    <s v="Minter Creek"/>
    <s v="Minter Creek"/>
    <s v="Kitsap/Pierce"/>
    <x v="0"/>
    <s v="Thurston"/>
    <s v="08Thurston"/>
    <s v="02South Puget Sound"/>
    <n v="74.727272727272805"/>
    <n v="257.06181818181847"/>
  </r>
  <r>
    <n v="399"/>
    <x v="1"/>
    <x v="4"/>
    <x v="1"/>
    <s v="Freshwater"/>
    <s v="2Freshwater"/>
    <s v="Salmon"/>
    <s v="778"/>
    <s v="Minter Creek"/>
    <s v="Minter Creek"/>
    <s v="Kitsap/Pierce"/>
    <x v="0"/>
    <s v="King"/>
    <s v="06King"/>
    <s v="02South Puget Sound"/>
    <n v="1598.95126705653"/>
    <n v="5500.3923586744631"/>
  </r>
  <r>
    <n v="400"/>
    <x v="1"/>
    <x v="4"/>
    <x v="1"/>
    <s v="Freshwater"/>
    <s v="2Freshwater"/>
    <s v="Salmon"/>
    <s v="778"/>
    <s v="Minter Creek"/>
    <s v="Minter Creek"/>
    <s v="Kitsap/Pierce"/>
    <x v="0"/>
    <s v="Kitsap"/>
    <s v="10Kitsap"/>
    <s v="02South Puget Sound"/>
    <n v="209.208576998051"/>
    <n v="719.67750487329545"/>
  </r>
  <r>
    <n v="401"/>
    <x v="1"/>
    <x v="4"/>
    <x v="1"/>
    <s v="Freshwater"/>
    <s v="2Freshwater"/>
    <s v="Salmon"/>
    <s v="778"/>
    <s v="Minter Creek"/>
    <s v="Minter Creek"/>
    <s v="Kitsap/Pierce"/>
    <x v="0"/>
    <s v="Mason"/>
    <s v="09Mason"/>
    <s v="02South Puget Sound"/>
    <n v="313.81286549707602"/>
    <n v="1079.5162573099415"/>
  </r>
  <r>
    <n v="402"/>
    <x v="1"/>
    <x v="4"/>
    <x v="1"/>
    <s v="Freshwater"/>
    <s v="2Freshwater"/>
    <s v="Salmon"/>
    <s v="778"/>
    <s v="Minter Creek"/>
    <s v="Minter Creek"/>
    <s v="Kitsap/Pierce"/>
    <x v="0"/>
    <s v="Other"/>
    <s v="20Other"/>
    <s v="07Non Puget Sound"/>
    <n v="119.54775828459999"/>
    <n v="411.24428849902398"/>
  </r>
  <r>
    <n v="403"/>
    <x v="1"/>
    <x v="4"/>
    <x v="1"/>
    <s v="Freshwater"/>
    <s v="2Freshwater"/>
    <s v="Salmon"/>
    <s v="778"/>
    <s v="Minter Creek"/>
    <s v="Minter Creek"/>
    <s v="Kitsap/Pierce"/>
    <x v="0"/>
    <s v="Pierce"/>
    <s v="07Pierce"/>
    <s v="02South Puget Sound"/>
    <n v="1300.0818713450301"/>
    <n v="4472.2816374269032"/>
  </r>
  <r>
    <n v="404"/>
    <x v="1"/>
    <x v="4"/>
    <x v="1"/>
    <s v="Freshwater"/>
    <s v="2Freshwater"/>
    <s v="Salmon"/>
    <s v="778"/>
    <s v="Minter Creek"/>
    <s v="Minter Creek"/>
    <s v="Kitsap/Pierce"/>
    <x v="0"/>
    <s v="Snohomish"/>
    <s v="03Snohomish"/>
    <s v="01North Puget Sound"/>
    <n v="149.43469785575101"/>
    <n v="514.05536062378349"/>
  </r>
  <r>
    <n v="405"/>
    <x v="1"/>
    <x v="4"/>
    <x v="1"/>
    <s v="Freshwater"/>
    <s v="2Freshwater"/>
    <s v="Salmon"/>
    <s v="778"/>
    <s v="Minter Creek"/>
    <s v="Minter Creek"/>
    <s v="Kitsap/Pierce"/>
    <x v="0"/>
    <s v="Thurston"/>
    <s v="08Thurston"/>
    <s v="02South Puget Sound"/>
    <n v="127.019493177388"/>
    <n v="436.9470565302147"/>
  </r>
  <r>
    <n v="406"/>
    <x v="1"/>
    <x v="4"/>
    <x v="1"/>
    <s v="Freshwater"/>
    <s v="2Freshwater"/>
    <s v="Salmon"/>
    <s v="778"/>
    <s v="Minter Creek"/>
    <s v="Minter Creek"/>
    <s v="Kitsap/Pierce"/>
    <x v="0"/>
    <s v="Whatcom"/>
    <s v="01Whatcom"/>
    <s v="01North Puget Sound"/>
    <n v="14.9434697855751"/>
    <n v="51.405536062378346"/>
  </r>
  <r>
    <n v="407"/>
    <x v="1"/>
    <x v="5"/>
    <x v="1"/>
    <s v="Freshwater"/>
    <s v="2Freshwater"/>
    <s v="Salmon"/>
    <s v="786"/>
    <s v="Nisqually River"/>
    <s v="Nisqually River"/>
    <s v="Thurston/Pierce"/>
    <x v="0"/>
    <s v="Thurston"/>
    <s v="08Thurston"/>
    <s v="02South Puget Sound"/>
    <n v="15"/>
    <n v="51.6"/>
  </r>
  <r>
    <n v="408"/>
    <x v="1"/>
    <x v="0"/>
    <x v="1"/>
    <s v="Freshwater"/>
    <s v="2Freshwater"/>
    <s v="Salmon"/>
    <s v="786"/>
    <s v="Nisqually River"/>
    <s v="Nisqually River"/>
    <s v="Thurston/Pierce"/>
    <x v="0"/>
    <s v="King"/>
    <s v="06King"/>
    <s v="02South Puget Sound"/>
    <n v="51.17"/>
    <n v="176.0248"/>
  </r>
  <r>
    <n v="409"/>
    <x v="1"/>
    <x v="0"/>
    <x v="1"/>
    <s v="Freshwater"/>
    <s v="2Freshwater"/>
    <s v="Salmon"/>
    <s v="786"/>
    <s v="Nisqually River"/>
    <s v="Nisqually River"/>
    <s v="Thurston/Pierce"/>
    <x v="0"/>
    <s v="Other"/>
    <s v="20Other"/>
    <s v="07Non Puget Sound"/>
    <n v="58.48"/>
    <n v="201.1712"/>
  </r>
  <r>
    <n v="410"/>
    <x v="1"/>
    <x v="0"/>
    <x v="1"/>
    <s v="Freshwater"/>
    <s v="2Freshwater"/>
    <s v="Salmon"/>
    <s v="786"/>
    <s v="Nisqually River"/>
    <s v="Nisqually River"/>
    <s v="Thurston/Pierce"/>
    <x v="0"/>
    <s v="Pierce"/>
    <s v="07Pierce"/>
    <s v="02South Puget Sound"/>
    <n v="197.37"/>
    <n v="678.95280000000002"/>
  </r>
  <r>
    <n v="411"/>
    <x v="1"/>
    <x v="0"/>
    <x v="1"/>
    <s v="Freshwater"/>
    <s v="2Freshwater"/>
    <s v="Salmon"/>
    <s v="786"/>
    <s v="Nisqually River"/>
    <s v="Nisqually River"/>
    <s v="Thurston/Pierce"/>
    <x v="0"/>
    <s v="Thurston"/>
    <s v="08Thurston"/>
    <s v="02South Puget Sound"/>
    <n v="423.98"/>
    <n v="1458.4911999999999"/>
  </r>
  <r>
    <n v="412"/>
    <x v="1"/>
    <x v="1"/>
    <x v="1"/>
    <s v="Freshwater"/>
    <s v="2Freshwater"/>
    <s v="Salmon"/>
    <s v="786"/>
    <s v="Nisqually River"/>
    <s v="Nisqually River"/>
    <s v="Thurston/Pierce"/>
    <x v="0"/>
    <s v="King"/>
    <s v="06King"/>
    <s v="02South Puget Sound"/>
    <n v="504.17424975798701"/>
    <n v="1734.3594191674754"/>
  </r>
  <r>
    <n v="413"/>
    <x v="1"/>
    <x v="1"/>
    <x v="1"/>
    <s v="Freshwater"/>
    <s v="2Freshwater"/>
    <s v="Salmon"/>
    <s v="786"/>
    <s v="Nisqually River"/>
    <s v="Nisqually River"/>
    <s v="Thurston/Pierce"/>
    <x v="0"/>
    <s v="Kitsap"/>
    <s v="10Kitsap"/>
    <s v="02South Puget Sound"/>
    <n v="36.534365924491802"/>
    <n v="125.6782187802518"/>
  </r>
  <r>
    <n v="414"/>
    <x v="1"/>
    <x v="1"/>
    <x v="1"/>
    <s v="Freshwater"/>
    <s v="2Freshwater"/>
    <s v="Salmon"/>
    <s v="786"/>
    <s v="Nisqually River"/>
    <s v="Nisqually River"/>
    <s v="Thurston/Pierce"/>
    <x v="0"/>
    <s v="Mason"/>
    <s v="09Mason"/>
    <s v="02South Puget Sound"/>
    <n v="29.227492739593401"/>
    <n v="100.5425750242013"/>
  </r>
  <r>
    <n v="415"/>
    <x v="1"/>
    <x v="1"/>
    <x v="1"/>
    <s v="Freshwater"/>
    <s v="2Freshwater"/>
    <s v="Salmon"/>
    <s v="786"/>
    <s v="Nisqually River"/>
    <s v="Nisqually River"/>
    <s v="Thurston/Pierce"/>
    <x v="0"/>
    <s v="Other"/>
    <s v="20Other"/>
    <s v="07Non Puget Sound"/>
    <n v="321.50242013552798"/>
    <n v="1105.9683252662162"/>
  </r>
  <r>
    <n v="416"/>
    <x v="1"/>
    <x v="1"/>
    <x v="1"/>
    <s v="Freshwater"/>
    <s v="2Freshwater"/>
    <s v="Salmon"/>
    <s v="786"/>
    <s v="Nisqually River"/>
    <s v="Nisqually River"/>
    <s v="Thurston/Pierce"/>
    <x v="0"/>
    <s v="Pierce"/>
    <s v="07Pierce"/>
    <s v="02South Puget Sound"/>
    <n v="2688.92933204259"/>
    <n v="9249.9169022265087"/>
  </r>
  <r>
    <n v="417"/>
    <x v="1"/>
    <x v="1"/>
    <x v="1"/>
    <s v="Freshwater"/>
    <s v="2Freshwater"/>
    <s v="Salmon"/>
    <s v="786"/>
    <s v="Nisqually River"/>
    <s v="Nisqually River"/>
    <s v="Thurston/Pierce"/>
    <x v="0"/>
    <s v="Skagit"/>
    <s v="02Skagit"/>
    <s v="01North Puget Sound"/>
    <n v="14.613746369796701"/>
    <n v="50.271287512100649"/>
  </r>
  <r>
    <n v="418"/>
    <x v="1"/>
    <x v="1"/>
    <x v="1"/>
    <s v="Freshwater"/>
    <s v="2Freshwater"/>
    <s v="Salmon"/>
    <s v="786"/>
    <s v="Nisqually River"/>
    <s v="Nisqually River"/>
    <s v="Thurston/Pierce"/>
    <x v="0"/>
    <s v="Snohomish"/>
    <s v="03Snohomish"/>
    <s v="01North Puget Sound"/>
    <n v="80.375605033881897"/>
    <n v="276.49208131655371"/>
  </r>
  <r>
    <n v="419"/>
    <x v="1"/>
    <x v="1"/>
    <x v="1"/>
    <s v="Freshwater"/>
    <s v="2Freshwater"/>
    <s v="Salmon"/>
    <s v="786"/>
    <s v="Nisqually River"/>
    <s v="Nisqually River"/>
    <s v="Thurston/Pierce"/>
    <x v="0"/>
    <s v="Thurston"/>
    <s v="08Thurston"/>
    <s v="02South Puget Sound"/>
    <n v="3872.6427879961302"/>
    <n v="13321.891190706689"/>
  </r>
  <r>
    <n v="420"/>
    <x v="1"/>
    <x v="2"/>
    <x v="1"/>
    <s v="Freshwater"/>
    <s v="2Freshwater"/>
    <s v="Salmon"/>
    <s v="786"/>
    <s v="Nisqually River"/>
    <s v="Nisqually River"/>
    <s v="Thurston/Pierce"/>
    <x v="0"/>
    <s v="King"/>
    <s v="06King"/>
    <s v="02South Puget Sound"/>
    <n v="161.72759856630799"/>
    <n v="556.34293906809944"/>
  </r>
  <r>
    <n v="421"/>
    <x v="1"/>
    <x v="2"/>
    <x v="1"/>
    <s v="Freshwater"/>
    <s v="2Freshwater"/>
    <s v="Salmon"/>
    <s v="786"/>
    <s v="Nisqually River"/>
    <s v="Nisqually River"/>
    <s v="Thurston/Pierce"/>
    <x v="0"/>
    <s v="Kitsap"/>
    <s v="10Kitsap"/>
    <s v="02South Puget Sound"/>
    <n v="7.3512544802867401"/>
    <n v="25.288315412186385"/>
  </r>
  <r>
    <n v="422"/>
    <x v="1"/>
    <x v="2"/>
    <x v="1"/>
    <s v="Freshwater"/>
    <s v="2Freshwater"/>
    <s v="Salmon"/>
    <s v="786"/>
    <s v="Nisqually River"/>
    <s v="Nisqually River"/>
    <s v="Thurston/Pierce"/>
    <x v="0"/>
    <s v="Other"/>
    <s v="20Other"/>
    <s v="07Non Puget Sound"/>
    <n v="183.78136200716901"/>
    <n v="632.20788530466143"/>
  </r>
  <r>
    <n v="423"/>
    <x v="1"/>
    <x v="2"/>
    <x v="1"/>
    <s v="Freshwater"/>
    <s v="2Freshwater"/>
    <s v="Salmon"/>
    <s v="786"/>
    <s v="Nisqually River"/>
    <s v="Nisqually River"/>
    <s v="Thurston/Pierce"/>
    <x v="0"/>
    <s v="Pierce"/>
    <s v="07Pierce"/>
    <s v="02South Puget Sound"/>
    <n v="860.09677419354898"/>
    <n v="2958.7329032258085"/>
  </r>
  <r>
    <n v="424"/>
    <x v="1"/>
    <x v="2"/>
    <x v="1"/>
    <s v="Freshwater"/>
    <s v="2Freshwater"/>
    <s v="Salmon"/>
    <s v="786"/>
    <s v="Nisqually River"/>
    <s v="Nisqually River"/>
    <s v="Thurston/Pierce"/>
    <x v="0"/>
    <s v="Skagit"/>
    <s v="02Skagit"/>
    <s v="01North Puget Sound"/>
    <n v="7.3512544802867401"/>
    <n v="25.288315412186385"/>
  </r>
  <r>
    <n v="425"/>
    <x v="1"/>
    <x v="2"/>
    <x v="1"/>
    <s v="Freshwater"/>
    <s v="2Freshwater"/>
    <s v="Salmon"/>
    <s v="786"/>
    <s v="Nisqually River"/>
    <s v="Nisqually River"/>
    <s v="Thurston/Pierce"/>
    <x v="0"/>
    <s v="Thurston"/>
    <s v="08Thurston"/>
    <s v="02South Puget Sound"/>
    <n v="830.69175627240202"/>
    <n v="2857.5796415770628"/>
  </r>
  <r>
    <n v="426"/>
    <x v="1"/>
    <x v="3"/>
    <x v="1"/>
    <s v="Freshwater"/>
    <s v="2Freshwater"/>
    <s v="Salmon"/>
    <s v="786"/>
    <s v="Nisqually River"/>
    <s v="Nisqually River"/>
    <s v="Thurston/Pierce"/>
    <x v="0"/>
    <s v="King"/>
    <s v="06King"/>
    <s v="02South Puget Sound"/>
    <n v="15"/>
    <n v="51.6"/>
  </r>
  <r>
    <n v="427"/>
    <x v="1"/>
    <x v="3"/>
    <x v="1"/>
    <s v="Freshwater"/>
    <s v="2Freshwater"/>
    <s v="Salmon"/>
    <s v="786"/>
    <s v="Nisqually River"/>
    <s v="Nisqually River"/>
    <s v="Thurston/Pierce"/>
    <x v="0"/>
    <s v="Mason"/>
    <s v="09Mason"/>
    <s v="02South Puget Sound"/>
    <n v="15"/>
    <n v="51.6"/>
  </r>
  <r>
    <n v="428"/>
    <x v="1"/>
    <x v="3"/>
    <x v="1"/>
    <s v="Freshwater"/>
    <s v="2Freshwater"/>
    <s v="Salmon"/>
    <s v="786"/>
    <s v="Nisqually River"/>
    <s v="Nisqually River"/>
    <s v="Thurston/Pierce"/>
    <x v="0"/>
    <s v="Pierce"/>
    <s v="07Pierce"/>
    <s v="02South Puget Sound"/>
    <n v="22.5"/>
    <n v="77.400000000000006"/>
  </r>
  <r>
    <n v="429"/>
    <x v="1"/>
    <x v="3"/>
    <x v="1"/>
    <s v="Freshwater"/>
    <s v="2Freshwater"/>
    <s v="Salmon"/>
    <s v="786"/>
    <s v="Nisqually River"/>
    <s v="Nisqually River"/>
    <s v="Thurston/Pierce"/>
    <x v="0"/>
    <s v="Snohomish"/>
    <s v="03Snohomish"/>
    <s v="01North Puget Sound"/>
    <n v="30"/>
    <n v="103.2"/>
  </r>
  <r>
    <n v="430"/>
    <x v="1"/>
    <x v="3"/>
    <x v="1"/>
    <s v="Freshwater"/>
    <s v="2Freshwater"/>
    <s v="Salmon"/>
    <s v="786"/>
    <s v="Nisqually River"/>
    <s v="Nisqually River"/>
    <s v="Thurston/Pierce"/>
    <x v="0"/>
    <s v="Thurston"/>
    <s v="08Thurston"/>
    <s v="02South Puget Sound"/>
    <n v="37.5"/>
    <n v="129"/>
  </r>
  <r>
    <n v="431"/>
    <x v="1"/>
    <x v="4"/>
    <x v="1"/>
    <s v="Freshwater"/>
    <s v="2Freshwater"/>
    <s v="Salmon"/>
    <s v="786"/>
    <s v="Nisqually River"/>
    <s v="Nisqually River"/>
    <s v="Thurston/Pierce"/>
    <x v="0"/>
    <s v="King"/>
    <s v="06King"/>
    <s v="02South Puget Sound"/>
    <n v="67.708609271523201"/>
    <n v="232.91761589403981"/>
  </r>
  <r>
    <n v="432"/>
    <x v="1"/>
    <x v="4"/>
    <x v="1"/>
    <s v="Freshwater"/>
    <s v="2Freshwater"/>
    <s v="Salmon"/>
    <s v="786"/>
    <s v="Nisqually River"/>
    <s v="Nisqually River"/>
    <s v="Thurston/Pierce"/>
    <x v="0"/>
    <s v="Other"/>
    <s v="20Other"/>
    <s v="07Non Puget Sound"/>
    <n v="195.60264900662301"/>
    <n v="672.87311258278316"/>
  </r>
  <r>
    <n v="433"/>
    <x v="1"/>
    <x v="4"/>
    <x v="1"/>
    <s v="Freshwater"/>
    <s v="2Freshwater"/>
    <s v="Salmon"/>
    <s v="786"/>
    <s v="Nisqually River"/>
    <s v="Nisqually River"/>
    <s v="Thurston/Pierce"/>
    <x v="0"/>
    <s v="Pierce"/>
    <s v="07Pierce"/>
    <s v="02South Puget Sound"/>
    <n v="1068.2913907284801"/>
    <n v="3674.9223841059716"/>
  </r>
  <r>
    <n v="434"/>
    <x v="1"/>
    <x v="4"/>
    <x v="1"/>
    <s v="Freshwater"/>
    <s v="2Freshwater"/>
    <s v="Salmon"/>
    <s v="786"/>
    <s v="Nisqually River"/>
    <s v="Nisqually River"/>
    <s v="Thurston/Pierce"/>
    <x v="0"/>
    <s v="Snohomish"/>
    <s v="03Snohomish"/>
    <s v="01North Puget Sound"/>
    <n v="22.5695364238411"/>
    <n v="77.63920529801338"/>
  </r>
  <r>
    <n v="435"/>
    <x v="1"/>
    <x v="4"/>
    <x v="1"/>
    <s v="Freshwater"/>
    <s v="2Freshwater"/>
    <s v="Salmon"/>
    <s v="786"/>
    <s v="Nisqually River"/>
    <s v="Nisqually River"/>
    <s v="Thurston/Pierce"/>
    <x v="0"/>
    <s v="Thurston"/>
    <s v="08Thurston"/>
    <s v="02South Puget Sound"/>
    <n v="917.82781456953705"/>
    <n v="3157.3276821192076"/>
  </r>
  <r>
    <n v="436"/>
    <x v="2"/>
    <x v="6"/>
    <x v="1"/>
    <s v="Freshwater"/>
    <s v="2Freshwater"/>
    <s v="Salmon"/>
    <s v="786"/>
    <s v="Nisqually River"/>
    <s v="Nisqually River"/>
    <s v="Thurston/Pierce"/>
    <x v="0"/>
    <s v="Kitsap"/>
    <s v="10Kitsap"/>
    <s v="02South Puget Sound"/>
    <n v="7.5319148936170199"/>
    <n v="65.151063829787219"/>
  </r>
  <r>
    <n v="437"/>
    <x v="2"/>
    <x v="6"/>
    <x v="1"/>
    <s v="Freshwater"/>
    <s v="2Freshwater"/>
    <s v="Salmon"/>
    <s v="786"/>
    <s v="Nisqually River"/>
    <s v="Nisqually River"/>
    <s v="Thurston/Pierce"/>
    <x v="0"/>
    <s v="Other"/>
    <s v="20Other"/>
    <s v="07Non Puget Sound"/>
    <n v="37.659574468085097"/>
    <n v="325.75531914893611"/>
  </r>
  <r>
    <n v="438"/>
    <x v="2"/>
    <x v="6"/>
    <x v="1"/>
    <s v="Freshwater"/>
    <s v="2Freshwater"/>
    <s v="Salmon"/>
    <s v="786"/>
    <s v="Nisqually River"/>
    <s v="Nisqually River"/>
    <s v="Thurston/Pierce"/>
    <x v="0"/>
    <s v="Pierce"/>
    <s v="07Pierce"/>
    <s v="02South Puget Sound"/>
    <n v="82.851063829787293"/>
    <n v="716.66170212766008"/>
  </r>
  <r>
    <n v="439"/>
    <x v="2"/>
    <x v="6"/>
    <x v="1"/>
    <s v="Freshwater"/>
    <s v="2Freshwater"/>
    <s v="Salmon"/>
    <s v="786"/>
    <s v="Nisqually River"/>
    <s v="Nisqually River"/>
    <s v="Thurston/Pierce"/>
    <x v="0"/>
    <s v="Thurston"/>
    <s v="08Thurston"/>
    <s v="02South Puget Sound"/>
    <n v="225.95744680851101"/>
    <n v="1954.5319148936203"/>
  </r>
  <r>
    <n v="440"/>
    <x v="1"/>
    <x v="0"/>
    <x v="1"/>
    <s v="Freshwater"/>
    <s v="2Freshwater"/>
    <s v="Salmon"/>
    <s v="788"/>
    <s v="Nooksack River"/>
    <s v="Nooksack River"/>
    <s v="Whatcom"/>
    <x v="1"/>
    <s v="Other"/>
    <s v="20Other"/>
    <s v="07Non Puget Sound"/>
    <n v="36.153846153846203"/>
    <n v="124.36923076923094"/>
  </r>
  <r>
    <n v="441"/>
    <x v="1"/>
    <x v="0"/>
    <x v="1"/>
    <s v="Freshwater"/>
    <s v="2Freshwater"/>
    <s v="Salmon"/>
    <s v="788"/>
    <s v="Nooksack River"/>
    <s v="Nooksack River"/>
    <s v="Whatcom"/>
    <x v="1"/>
    <s v="Whatcom"/>
    <s v="01Whatcom"/>
    <s v="01North Puget Sound"/>
    <n v="433.84615384615398"/>
    <n v="1492.4307692307698"/>
  </r>
  <r>
    <n v="442"/>
    <x v="1"/>
    <x v="1"/>
    <x v="1"/>
    <s v="Freshwater"/>
    <s v="2Freshwater"/>
    <s v="Salmon"/>
    <s v="788"/>
    <s v="Nooksack River"/>
    <s v="Nooksack River"/>
    <s v="Whatcom"/>
    <x v="1"/>
    <s v="Other"/>
    <s v="20Other"/>
    <s v="07Non Puget Sound"/>
    <n v="14.48"/>
    <n v="49.811199999999999"/>
  </r>
  <r>
    <n v="443"/>
    <x v="1"/>
    <x v="1"/>
    <x v="1"/>
    <s v="Freshwater"/>
    <s v="2Freshwater"/>
    <s v="Salmon"/>
    <s v="788"/>
    <s v="Nooksack River"/>
    <s v="Nooksack River"/>
    <s v="Whatcom"/>
    <x v="1"/>
    <s v="Whatcom"/>
    <s v="01Whatcom"/>
    <s v="01North Puget Sound"/>
    <n v="528.52"/>
    <n v="1818.1088"/>
  </r>
  <r>
    <n v="444"/>
    <x v="1"/>
    <x v="2"/>
    <x v="1"/>
    <s v="Freshwater"/>
    <s v="2Freshwater"/>
    <s v="Salmon"/>
    <s v="788"/>
    <s v="Nooksack River"/>
    <s v="Nooksack River"/>
    <s v="Whatcom"/>
    <x v="1"/>
    <s v="King"/>
    <s v="06King"/>
    <s v="02South Puget Sound"/>
    <n v="14.4458598726115"/>
    <n v="49.693757961783561"/>
  </r>
  <r>
    <n v="445"/>
    <x v="1"/>
    <x v="2"/>
    <x v="1"/>
    <s v="Freshwater"/>
    <s v="2Freshwater"/>
    <s v="Salmon"/>
    <s v="788"/>
    <s v="Nooksack River"/>
    <s v="Nooksack River"/>
    <s v="Whatcom"/>
    <x v="1"/>
    <s v="Other"/>
    <s v="20Other"/>
    <s v="07Non Puget Sound"/>
    <n v="14.4458598726115"/>
    <n v="49.693757961783561"/>
  </r>
  <r>
    <n v="446"/>
    <x v="1"/>
    <x v="2"/>
    <x v="1"/>
    <s v="Freshwater"/>
    <s v="2Freshwater"/>
    <s v="Salmon"/>
    <s v="788"/>
    <s v="Nooksack River"/>
    <s v="Nooksack River"/>
    <s v="Whatcom"/>
    <x v="1"/>
    <s v="Whatcom"/>
    <s v="01Whatcom"/>
    <s v="01North Puget Sound"/>
    <n v="1105.1082802547801"/>
    <n v="3801.5724840764433"/>
  </r>
  <r>
    <n v="447"/>
    <x v="1"/>
    <x v="3"/>
    <x v="1"/>
    <s v="Freshwater"/>
    <s v="2Freshwater"/>
    <s v="Salmon"/>
    <s v="788"/>
    <s v="Nooksack River"/>
    <s v="Nooksack River"/>
    <s v="Whatcom"/>
    <x v="1"/>
    <s v="Island"/>
    <s v="04Island"/>
    <s v="01North Puget Sound"/>
    <n v="50.489361702127702"/>
    <n v="173.68340425531929"/>
  </r>
  <r>
    <n v="448"/>
    <x v="1"/>
    <x v="3"/>
    <x v="1"/>
    <s v="Freshwater"/>
    <s v="2Freshwater"/>
    <s v="Salmon"/>
    <s v="788"/>
    <s v="Nooksack River"/>
    <s v="Nooksack River"/>
    <s v="Whatcom"/>
    <x v="1"/>
    <s v="King"/>
    <s v="06King"/>
    <s v="02South Puget Sound"/>
    <n v="7.2127659574468099"/>
    <n v="24.811914893617026"/>
  </r>
  <r>
    <n v="449"/>
    <x v="1"/>
    <x v="3"/>
    <x v="1"/>
    <s v="Freshwater"/>
    <s v="2Freshwater"/>
    <s v="Salmon"/>
    <s v="788"/>
    <s v="Nooksack River"/>
    <s v="Nooksack River"/>
    <s v="Whatcom"/>
    <x v="1"/>
    <s v="Other"/>
    <s v="20Other"/>
    <s v="07Non Puget Sound"/>
    <n v="14.4255319148936"/>
    <n v="49.623829787233987"/>
  </r>
  <r>
    <n v="450"/>
    <x v="1"/>
    <x v="3"/>
    <x v="1"/>
    <s v="Freshwater"/>
    <s v="2Freshwater"/>
    <s v="Salmon"/>
    <s v="788"/>
    <s v="Nooksack River"/>
    <s v="Nooksack River"/>
    <s v="Whatcom"/>
    <x v="1"/>
    <s v="Whatcom"/>
    <s v="01Whatcom"/>
    <s v="01North Puget Sound"/>
    <n v="266.872340425532"/>
    <n v="918.04085106383002"/>
  </r>
  <r>
    <n v="451"/>
    <x v="1"/>
    <x v="4"/>
    <x v="1"/>
    <s v="Freshwater"/>
    <s v="2Freshwater"/>
    <s v="Salmon"/>
    <s v="788"/>
    <s v="Nooksack River"/>
    <s v="Nooksack River"/>
    <s v="Whatcom"/>
    <x v="1"/>
    <s v="Island"/>
    <s v="04Island"/>
    <s v="01North Puget Sound"/>
    <n v="14.375"/>
    <n v="49.449999999999996"/>
  </r>
  <r>
    <n v="452"/>
    <x v="1"/>
    <x v="4"/>
    <x v="1"/>
    <s v="Freshwater"/>
    <s v="2Freshwater"/>
    <s v="Salmon"/>
    <s v="788"/>
    <s v="Nooksack River"/>
    <s v="Nooksack River"/>
    <s v="Whatcom"/>
    <x v="1"/>
    <s v="Other"/>
    <s v="20Other"/>
    <s v="07Non Puget Sound"/>
    <n v="14.375"/>
    <n v="49.449999999999996"/>
  </r>
  <r>
    <n v="453"/>
    <x v="1"/>
    <x v="4"/>
    <x v="1"/>
    <s v="Freshwater"/>
    <s v="2Freshwater"/>
    <s v="Salmon"/>
    <s v="788"/>
    <s v="Nooksack River"/>
    <s v="Nooksack River"/>
    <s v="Whatcom"/>
    <x v="1"/>
    <s v="Whatcom"/>
    <s v="01Whatcom"/>
    <s v="01North Puget Sound"/>
    <n v="86.25"/>
    <n v="296.7"/>
  </r>
  <r>
    <n v="454"/>
    <x v="1"/>
    <x v="0"/>
    <x v="1"/>
    <s v="Freshwater"/>
    <s v="2Freshwater"/>
    <s v="Salmon"/>
    <s v="802"/>
    <s v="Carbon River"/>
    <s v="Carbon River"/>
    <s v="Pierce"/>
    <x v="0"/>
    <s v="King"/>
    <s v="06King"/>
    <s v="02South Puget Sound"/>
    <n v="7.5"/>
    <n v="25.8"/>
  </r>
  <r>
    <n v="455"/>
    <x v="1"/>
    <x v="0"/>
    <x v="1"/>
    <s v="Freshwater"/>
    <s v="2Freshwater"/>
    <s v="Salmon"/>
    <s v="802"/>
    <s v="Carbon River"/>
    <s v="Carbon River"/>
    <s v="Pierce"/>
    <x v="0"/>
    <s v="Pierce"/>
    <s v="07Pierce"/>
    <s v="02South Puget Sound"/>
    <n v="7.5"/>
    <n v="25.8"/>
  </r>
  <r>
    <n v="456"/>
    <x v="1"/>
    <x v="0"/>
    <x v="1"/>
    <s v="Freshwater"/>
    <s v="2Freshwater"/>
    <s v="Salmon"/>
    <s v="802"/>
    <s v="Carbon River"/>
    <s v="Carbon River"/>
    <s v="Pierce"/>
    <x v="0"/>
    <s v="Snohomish"/>
    <s v="03Snohomish"/>
    <s v="01North Puget Sound"/>
    <n v="15"/>
    <n v="51.6"/>
  </r>
  <r>
    <n v="457"/>
    <x v="1"/>
    <x v="1"/>
    <x v="1"/>
    <s v="Freshwater"/>
    <s v="2Freshwater"/>
    <s v="Salmon"/>
    <s v="802"/>
    <s v="Carbon River"/>
    <s v="Carbon River"/>
    <s v="Pierce"/>
    <x v="0"/>
    <s v="King"/>
    <s v="06King"/>
    <s v="02South Puget Sound"/>
    <n v="459.66531440162299"/>
    <n v="1581.248681541583"/>
  </r>
  <r>
    <n v="458"/>
    <x v="1"/>
    <x v="1"/>
    <x v="1"/>
    <s v="Freshwater"/>
    <s v="2Freshwater"/>
    <s v="Salmon"/>
    <s v="802"/>
    <s v="Carbon River"/>
    <s v="Carbon River"/>
    <s v="Pierce"/>
    <x v="0"/>
    <s v="Kitsap"/>
    <s v="10Kitsap"/>
    <s v="02South Puget Sound"/>
    <n v="75.354969574036502"/>
    <n v="259.22109533468557"/>
  </r>
  <r>
    <n v="459"/>
    <x v="1"/>
    <x v="1"/>
    <x v="1"/>
    <s v="Freshwater"/>
    <s v="2Freshwater"/>
    <s v="Salmon"/>
    <s v="802"/>
    <s v="Carbon River"/>
    <s v="Carbon River"/>
    <s v="Pierce"/>
    <x v="0"/>
    <s v="Mason"/>
    <s v="09Mason"/>
    <s v="02South Puget Sound"/>
    <n v="7.5354969574036499"/>
    <n v="25.922109533468554"/>
  </r>
  <r>
    <n v="460"/>
    <x v="1"/>
    <x v="1"/>
    <x v="1"/>
    <s v="Freshwater"/>
    <s v="2Freshwater"/>
    <s v="Salmon"/>
    <s v="802"/>
    <s v="Carbon River"/>
    <s v="Carbon River"/>
    <s v="Pierce"/>
    <x v="0"/>
    <s v="Other"/>
    <s v="20Other"/>
    <s v="07Non Puget Sound"/>
    <n v="278.81338742393501"/>
    <n v="959.11805273833647"/>
  </r>
  <r>
    <n v="461"/>
    <x v="1"/>
    <x v="1"/>
    <x v="1"/>
    <s v="Freshwater"/>
    <s v="2Freshwater"/>
    <s v="Salmon"/>
    <s v="802"/>
    <s v="Carbon River"/>
    <s v="Carbon River"/>
    <s v="Pierce"/>
    <x v="0"/>
    <s v="Pierce"/>
    <s v="07Pierce"/>
    <s v="02South Puget Sound"/>
    <n v="2780.59837728195"/>
    <n v="9565.2584178499073"/>
  </r>
  <r>
    <n v="462"/>
    <x v="1"/>
    <x v="1"/>
    <x v="1"/>
    <s v="Freshwater"/>
    <s v="2Freshwater"/>
    <s v="Salmon"/>
    <s v="802"/>
    <s v="Carbon River"/>
    <s v="Carbon River"/>
    <s v="Pierce"/>
    <x v="0"/>
    <s v="Snohomish"/>
    <s v="03Snohomish"/>
    <s v="01North Puget Sound"/>
    <n v="30.1419878296146"/>
    <n v="103.68843813387421"/>
  </r>
  <r>
    <n v="463"/>
    <x v="1"/>
    <x v="1"/>
    <x v="1"/>
    <s v="Freshwater"/>
    <s v="2Freshwater"/>
    <s v="Salmon"/>
    <s v="802"/>
    <s v="Carbon River"/>
    <s v="Carbon River"/>
    <s v="Pierce"/>
    <x v="0"/>
    <s v="Thurston"/>
    <s v="08Thurston"/>
    <s v="02South Puget Sound"/>
    <n v="37.677484787018301"/>
    <n v="129.61054766734296"/>
  </r>
  <r>
    <n v="464"/>
    <x v="1"/>
    <x v="1"/>
    <x v="1"/>
    <s v="Freshwater"/>
    <s v="2Freshwater"/>
    <s v="Salmon"/>
    <s v="802"/>
    <s v="Carbon River"/>
    <s v="Carbon River"/>
    <s v="Pierce"/>
    <x v="0"/>
    <s v="Whatcom"/>
    <s v="01Whatcom"/>
    <s v="01North Puget Sound"/>
    <n v="45.212981744421903"/>
    <n v="155.53265720081134"/>
  </r>
  <r>
    <n v="465"/>
    <x v="1"/>
    <x v="2"/>
    <x v="1"/>
    <s v="Freshwater"/>
    <s v="2Freshwater"/>
    <s v="Salmon"/>
    <s v="802"/>
    <s v="Carbon River"/>
    <s v="Carbon River"/>
    <s v="Pierce"/>
    <x v="0"/>
    <s v="King"/>
    <s v="06King"/>
    <s v="02South Puget Sound"/>
    <n v="149.27536231884099"/>
    <n v="513.50724637681299"/>
  </r>
  <r>
    <n v="466"/>
    <x v="1"/>
    <x v="2"/>
    <x v="1"/>
    <s v="Freshwater"/>
    <s v="2Freshwater"/>
    <s v="Salmon"/>
    <s v="802"/>
    <s v="Carbon River"/>
    <s v="Carbon River"/>
    <s v="Pierce"/>
    <x v="0"/>
    <s v="Kitsap"/>
    <s v="10Kitsap"/>
    <s v="02South Puget Sound"/>
    <n v="22.3913043478261"/>
    <n v="77.02608695652178"/>
  </r>
  <r>
    <n v="467"/>
    <x v="1"/>
    <x v="2"/>
    <x v="1"/>
    <s v="Freshwater"/>
    <s v="2Freshwater"/>
    <s v="Salmon"/>
    <s v="802"/>
    <s v="Carbon River"/>
    <s v="Carbon River"/>
    <s v="Pierce"/>
    <x v="0"/>
    <s v="Pierce"/>
    <s v="07Pierce"/>
    <s v="02South Puget Sound"/>
    <n v="1888.3333333333301"/>
    <n v="6495.866666666655"/>
  </r>
  <r>
    <n v="468"/>
    <x v="1"/>
    <x v="3"/>
    <x v="1"/>
    <s v="Freshwater"/>
    <s v="2Freshwater"/>
    <s v="Salmon"/>
    <s v="802"/>
    <s v="Carbon River"/>
    <s v="Carbon River"/>
    <s v="Pierce"/>
    <x v="0"/>
    <s v="Pierce"/>
    <s v="07Pierce"/>
    <s v="02South Puget Sound"/>
    <n v="73"/>
    <n v="251.12"/>
  </r>
  <r>
    <n v="469"/>
    <x v="1"/>
    <x v="4"/>
    <x v="1"/>
    <s v="Freshwater"/>
    <s v="2Freshwater"/>
    <s v="Salmon"/>
    <s v="802"/>
    <s v="Carbon River"/>
    <s v="Carbon River"/>
    <s v="Pierce"/>
    <x v="0"/>
    <s v="Pierce"/>
    <s v="07Pierce"/>
    <s v="02South Puget Sound"/>
    <n v="22"/>
    <n v="75.679999999999993"/>
  </r>
  <r>
    <n v="470"/>
    <x v="1"/>
    <x v="0"/>
    <x v="1"/>
    <s v="Freshwater"/>
    <s v="2Freshwater"/>
    <s v="Salmon"/>
    <s v="804"/>
    <s v="Puyallup River"/>
    <s v="Puyallup River"/>
    <s v="Pierce"/>
    <x v="0"/>
    <s v="Clallam"/>
    <s v="11Clallam"/>
    <s v="03Strait of Juan de Fuca"/>
    <n v="75.632107023411393"/>
    <n v="260.17444816053518"/>
  </r>
  <r>
    <n v="471"/>
    <x v="1"/>
    <x v="0"/>
    <x v="1"/>
    <s v="Freshwater"/>
    <s v="2Freshwater"/>
    <s v="Salmon"/>
    <s v="804"/>
    <s v="Puyallup River"/>
    <s v="Puyallup River"/>
    <s v="Pierce"/>
    <x v="0"/>
    <s v="Jefferson"/>
    <s v="12Jefferson"/>
    <s v="03Strait of Juan de Fuca"/>
    <n v="7.5632107023411397"/>
    <n v="26.017444816053519"/>
  </r>
  <r>
    <n v="472"/>
    <x v="1"/>
    <x v="0"/>
    <x v="1"/>
    <s v="Freshwater"/>
    <s v="2Freshwater"/>
    <s v="Salmon"/>
    <s v="804"/>
    <s v="Puyallup River"/>
    <s v="Puyallup River"/>
    <s v="Pierce"/>
    <x v="0"/>
    <s v="King"/>
    <s v="06King"/>
    <s v="02South Puget Sound"/>
    <n v="17266.810033444799"/>
    <n v="59397.82651505011"/>
  </r>
  <r>
    <n v="473"/>
    <x v="1"/>
    <x v="0"/>
    <x v="1"/>
    <s v="Freshwater"/>
    <s v="2Freshwater"/>
    <s v="Salmon"/>
    <s v="804"/>
    <s v="Puyallup River"/>
    <s v="Puyallup River"/>
    <s v="Pierce"/>
    <x v="0"/>
    <s v="Kitsap"/>
    <s v="10Kitsap"/>
    <s v="02South Puget Sound"/>
    <n v="642.87290969899698"/>
    <n v="2211.4828093645497"/>
  </r>
  <r>
    <n v="474"/>
    <x v="1"/>
    <x v="0"/>
    <x v="1"/>
    <s v="Freshwater"/>
    <s v="2Freshwater"/>
    <s v="Salmon"/>
    <s v="804"/>
    <s v="Puyallup River"/>
    <s v="Puyallup River"/>
    <s v="Pierce"/>
    <x v="0"/>
    <s v="Mason"/>
    <s v="09Mason"/>
    <s v="02South Puget Sound"/>
    <n v="204.20668896321101"/>
    <n v="702.47101003344585"/>
  </r>
  <r>
    <n v="475"/>
    <x v="1"/>
    <x v="0"/>
    <x v="1"/>
    <s v="Freshwater"/>
    <s v="2Freshwater"/>
    <s v="Salmon"/>
    <s v="804"/>
    <s v="Puyallup River"/>
    <s v="Puyallup River"/>
    <s v="Pierce"/>
    <x v="0"/>
    <s v="Other"/>
    <s v="20Other"/>
    <s v="07Non Puget Sound"/>
    <n v="3191.6749163879599"/>
    <n v="10979.361712374583"/>
  </r>
  <r>
    <n v="476"/>
    <x v="1"/>
    <x v="0"/>
    <x v="1"/>
    <s v="Freshwater"/>
    <s v="2Freshwater"/>
    <s v="Salmon"/>
    <s v="804"/>
    <s v="Puyallup River"/>
    <s v="Puyallup River"/>
    <s v="Pierce"/>
    <x v="0"/>
    <s v="Pierce"/>
    <s v="07Pierce"/>
    <s v="02South Puget Sound"/>
    <n v="31500.772575250801"/>
    <n v="108362.65765886275"/>
  </r>
  <r>
    <n v="477"/>
    <x v="1"/>
    <x v="0"/>
    <x v="1"/>
    <s v="Freshwater"/>
    <s v="2Freshwater"/>
    <s v="Salmon"/>
    <s v="804"/>
    <s v="Puyallup River"/>
    <s v="Puyallup River"/>
    <s v="Pierce"/>
    <x v="0"/>
    <s v="Snohomish"/>
    <s v="03Snohomish"/>
    <s v="01North Puget Sound"/>
    <n v="582.36722408026799"/>
    <n v="2003.3432508361218"/>
  </r>
  <r>
    <n v="478"/>
    <x v="1"/>
    <x v="0"/>
    <x v="1"/>
    <s v="Freshwater"/>
    <s v="2Freshwater"/>
    <s v="Salmon"/>
    <s v="804"/>
    <s v="Puyallup River"/>
    <s v="Puyallup River"/>
    <s v="Pierce"/>
    <x v="0"/>
    <s v="Thurston"/>
    <s v="08Thurston"/>
    <s v="02South Puget Sound"/>
    <n v="3063.1003344481601"/>
    <n v="10537.06515050167"/>
  </r>
  <r>
    <n v="479"/>
    <x v="1"/>
    <x v="1"/>
    <x v="1"/>
    <s v="Freshwater"/>
    <s v="2Freshwater"/>
    <s v="Salmon"/>
    <s v="804"/>
    <s v="Puyallup River"/>
    <s v="Puyallup River"/>
    <s v="Pierce"/>
    <x v="0"/>
    <s v="Island"/>
    <s v="04Island"/>
    <s v="01North Puget Sound"/>
    <n v="15.129344026321199"/>
    <n v="52.044943450544928"/>
  </r>
  <r>
    <n v="480"/>
    <x v="1"/>
    <x v="1"/>
    <x v="1"/>
    <s v="Freshwater"/>
    <s v="2Freshwater"/>
    <s v="Salmon"/>
    <s v="804"/>
    <s v="Puyallup River"/>
    <s v="Puyallup River"/>
    <s v="Pierce"/>
    <x v="0"/>
    <s v="King"/>
    <s v="06King"/>
    <s v="02South Puget Sound"/>
    <n v="24411.196586469301"/>
    <n v="83974.516257454394"/>
  </r>
  <r>
    <n v="481"/>
    <x v="1"/>
    <x v="1"/>
    <x v="1"/>
    <s v="Freshwater"/>
    <s v="2Freshwater"/>
    <s v="Salmon"/>
    <s v="804"/>
    <s v="Puyallup River"/>
    <s v="Puyallup River"/>
    <s v="Pierce"/>
    <x v="0"/>
    <s v="Kitsap"/>
    <s v="10Kitsap"/>
    <s v="02South Puget Sound"/>
    <n v="990.97203372403897"/>
    <n v="3408.9437960106939"/>
  </r>
  <r>
    <n v="482"/>
    <x v="1"/>
    <x v="1"/>
    <x v="1"/>
    <s v="Freshwater"/>
    <s v="2Freshwater"/>
    <s v="Salmon"/>
    <s v="804"/>
    <s v="Puyallup River"/>
    <s v="Puyallup River"/>
    <s v="Pierce"/>
    <x v="0"/>
    <s v="Mason"/>
    <s v="09Mason"/>
    <s v="02South Puget Sound"/>
    <n v="287.457536500103"/>
    <n v="988.85392556035436"/>
  </r>
  <r>
    <n v="483"/>
    <x v="1"/>
    <x v="1"/>
    <x v="1"/>
    <s v="Freshwater"/>
    <s v="2Freshwater"/>
    <s v="Salmon"/>
    <s v="804"/>
    <s v="Puyallup River"/>
    <s v="Puyallup River"/>
    <s v="Pierce"/>
    <x v="0"/>
    <s v="Other"/>
    <s v="20Other"/>
    <s v="07Non Puget Sound"/>
    <n v="4274.0396874357402"/>
    <n v="14702.696524778947"/>
  </r>
  <r>
    <n v="484"/>
    <x v="1"/>
    <x v="1"/>
    <x v="1"/>
    <s v="Freshwater"/>
    <s v="2Freshwater"/>
    <s v="Salmon"/>
    <s v="804"/>
    <s v="Puyallup River"/>
    <s v="Puyallup River"/>
    <s v="Pierce"/>
    <x v="0"/>
    <s v="Pierce"/>
    <s v="07Pierce"/>
    <s v="02South Puget Sound"/>
    <n v="38020.041538145197"/>
    <n v="130788.94289121947"/>
  </r>
  <r>
    <n v="485"/>
    <x v="1"/>
    <x v="1"/>
    <x v="1"/>
    <s v="Freshwater"/>
    <s v="2Freshwater"/>
    <s v="Salmon"/>
    <s v="804"/>
    <s v="Puyallup River"/>
    <s v="Puyallup River"/>
    <s v="Pierce"/>
    <x v="0"/>
    <s v="Skagit"/>
    <s v="02Skagit"/>
    <s v="01North Puget Sound"/>
    <n v="15.129344026321199"/>
    <n v="52.044943450544928"/>
  </r>
  <r>
    <n v="486"/>
    <x v="1"/>
    <x v="1"/>
    <x v="1"/>
    <s v="Freshwater"/>
    <s v="2Freshwater"/>
    <s v="Salmon"/>
    <s v="804"/>
    <s v="Puyallup River"/>
    <s v="Puyallup River"/>
    <s v="Pierce"/>
    <x v="0"/>
    <s v="Snohomish"/>
    <s v="03Snohomish"/>
    <s v="01North Puget Sound"/>
    <n v="1233.0415381451801"/>
    <n v="4241.6628912194192"/>
  </r>
  <r>
    <n v="487"/>
    <x v="1"/>
    <x v="1"/>
    <x v="1"/>
    <s v="Freshwater"/>
    <s v="2Freshwater"/>
    <s v="Salmon"/>
    <s v="804"/>
    <s v="Puyallup River"/>
    <s v="Puyallup River"/>
    <s v="Pierce"/>
    <x v="0"/>
    <s v="Thurston"/>
    <s v="08Thurston"/>
    <s v="02South Puget Sound"/>
    <n v="4289.16903146206"/>
    <n v="14754.741468229486"/>
  </r>
  <r>
    <n v="488"/>
    <x v="1"/>
    <x v="1"/>
    <x v="1"/>
    <s v="Freshwater"/>
    <s v="2Freshwater"/>
    <s v="Salmon"/>
    <s v="804"/>
    <s v="Puyallup River"/>
    <s v="Puyallup River"/>
    <s v="Pierce"/>
    <x v="0"/>
    <s v="Whatcom"/>
    <s v="01Whatcom"/>
    <s v="01North Puget Sound"/>
    <n v="37.823360065803001"/>
    <n v="130.11235862636232"/>
  </r>
  <r>
    <n v="489"/>
    <x v="1"/>
    <x v="2"/>
    <x v="1"/>
    <s v="Freshwater"/>
    <s v="2Freshwater"/>
    <s v="Salmon"/>
    <s v="804"/>
    <s v="Puyallup River"/>
    <s v="Puyallup River"/>
    <s v="Pierce"/>
    <x v="0"/>
    <s v="King"/>
    <s v="06King"/>
    <s v="02South Puget Sound"/>
    <n v="650.18965517241395"/>
    <n v="2236.6524137931037"/>
  </r>
  <r>
    <n v="490"/>
    <x v="1"/>
    <x v="2"/>
    <x v="1"/>
    <s v="Freshwater"/>
    <s v="2Freshwater"/>
    <s v="Salmon"/>
    <s v="804"/>
    <s v="Puyallup River"/>
    <s v="Puyallup River"/>
    <s v="Pierce"/>
    <x v="0"/>
    <s v="Mason"/>
    <s v="09Mason"/>
    <s v="02South Puget Sound"/>
    <n v="7.56034482758621"/>
    <n v="26.007586206896562"/>
  </r>
  <r>
    <n v="491"/>
    <x v="1"/>
    <x v="2"/>
    <x v="1"/>
    <s v="Freshwater"/>
    <s v="2Freshwater"/>
    <s v="Salmon"/>
    <s v="804"/>
    <s v="Puyallup River"/>
    <s v="Puyallup River"/>
    <s v="Pierce"/>
    <x v="0"/>
    <s v="Other"/>
    <s v="20Other"/>
    <s v="07Non Puget Sound"/>
    <n v="105.844827586207"/>
    <n v="364.10620689655207"/>
  </r>
  <r>
    <n v="492"/>
    <x v="1"/>
    <x v="2"/>
    <x v="1"/>
    <s v="Freshwater"/>
    <s v="2Freshwater"/>
    <s v="Salmon"/>
    <s v="804"/>
    <s v="Puyallup River"/>
    <s v="Puyallup River"/>
    <s v="Pierce"/>
    <x v="0"/>
    <s v="Pierce"/>
    <s v="07Pierce"/>
    <s v="02South Puget Sound"/>
    <n v="1731.31896551724"/>
    <n v="5955.7372413793055"/>
  </r>
  <r>
    <n v="493"/>
    <x v="1"/>
    <x v="2"/>
    <x v="1"/>
    <s v="Freshwater"/>
    <s v="2Freshwater"/>
    <s v="Salmon"/>
    <s v="804"/>
    <s v="Puyallup River"/>
    <s v="Puyallup River"/>
    <s v="Pierce"/>
    <x v="0"/>
    <s v="Snohomish"/>
    <s v="03Snohomish"/>
    <s v="01North Puget Sound"/>
    <n v="15.1206896551724"/>
    <n v="52.01517241379306"/>
  </r>
  <r>
    <n v="494"/>
    <x v="1"/>
    <x v="2"/>
    <x v="1"/>
    <s v="Freshwater"/>
    <s v="2Freshwater"/>
    <s v="Salmon"/>
    <s v="804"/>
    <s v="Puyallup River"/>
    <s v="Puyallup River"/>
    <s v="Pierce"/>
    <x v="0"/>
    <s v="Thurston"/>
    <s v="08Thurston"/>
    <s v="02South Puget Sound"/>
    <n v="90.724137931034505"/>
    <n v="312.09103448275869"/>
  </r>
  <r>
    <n v="495"/>
    <x v="1"/>
    <x v="2"/>
    <x v="1"/>
    <s v="Freshwater"/>
    <s v="2Freshwater"/>
    <s v="Salmon"/>
    <s v="804"/>
    <s v="Puyallup River"/>
    <s v="Puyallup River"/>
    <s v="Pierce"/>
    <x v="0"/>
    <s v="Whatcom"/>
    <s v="01Whatcom"/>
    <s v="01North Puget Sound"/>
    <n v="30.241379310344801"/>
    <n v="104.03034482758612"/>
  </r>
  <r>
    <n v="496"/>
    <x v="1"/>
    <x v="3"/>
    <x v="1"/>
    <s v="Freshwater"/>
    <s v="2Freshwater"/>
    <s v="Salmon"/>
    <s v="804"/>
    <s v="Puyallup River"/>
    <s v="Puyallup River"/>
    <s v="Pierce"/>
    <x v="0"/>
    <s v="King"/>
    <s v="06King"/>
    <s v="02South Puget Sound"/>
    <n v="52.1111111111111"/>
    <n v="179.26222222222219"/>
  </r>
  <r>
    <n v="497"/>
    <x v="1"/>
    <x v="3"/>
    <x v="1"/>
    <s v="Freshwater"/>
    <s v="2Freshwater"/>
    <s v="Salmon"/>
    <s v="804"/>
    <s v="Puyallup River"/>
    <s v="Puyallup River"/>
    <s v="Pierce"/>
    <x v="0"/>
    <s v="Pierce"/>
    <s v="07Pierce"/>
    <s v="02South Puget Sound"/>
    <n v="208.444444444445"/>
    <n v="717.04888888889081"/>
  </r>
  <r>
    <n v="498"/>
    <x v="1"/>
    <x v="3"/>
    <x v="1"/>
    <s v="Freshwater"/>
    <s v="2Freshwater"/>
    <s v="Salmon"/>
    <s v="804"/>
    <s v="Puyallup River"/>
    <s v="Puyallup River"/>
    <s v="Pierce"/>
    <x v="0"/>
    <s v="Whatcom"/>
    <s v="01Whatcom"/>
    <s v="01North Puget Sound"/>
    <n v="7.44444444444445"/>
    <n v="25.608888888888906"/>
  </r>
  <r>
    <n v="499"/>
    <x v="1"/>
    <x v="4"/>
    <x v="1"/>
    <s v="Freshwater"/>
    <s v="2Freshwater"/>
    <s v="Salmon"/>
    <s v="804"/>
    <s v="Puyallup River"/>
    <s v="Puyallup River"/>
    <s v="Pierce"/>
    <x v="0"/>
    <s v="Pierce"/>
    <s v="07Pierce"/>
    <s v="02South Puget Sound"/>
    <n v="494"/>
    <n v="1699.36"/>
  </r>
  <r>
    <n v="500"/>
    <x v="1"/>
    <x v="3"/>
    <x v="1"/>
    <s v="Freshwater"/>
    <s v="2Freshwater"/>
    <s v="Salmon"/>
    <s v="810"/>
    <s v="Pysht River"/>
    <s v="Pysht River"/>
    <s v="Clallam"/>
    <x v="3"/>
    <s v="Kitsap"/>
    <s v="10Kitsap"/>
    <s v="02South Puget Sound"/>
    <n v="18"/>
    <n v="61.92"/>
  </r>
  <r>
    <n v="501"/>
    <x v="1"/>
    <x v="4"/>
    <x v="1"/>
    <s v="Freshwater"/>
    <s v="2Freshwater"/>
    <s v="Salmon"/>
    <s v="810"/>
    <s v="Pysht River"/>
    <s v="Pysht River"/>
    <s v="Clallam"/>
    <x v="3"/>
    <s v="Kitsap"/>
    <s v="10Kitsap"/>
    <s v="02South Puget Sound"/>
    <n v="9"/>
    <n v="30.96"/>
  </r>
  <r>
    <n v="502"/>
    <x v="1"/>
    <x v="0"/>
    <x v="1"/>
    <s v="Freshwater"/>
    <s v="2Freshwater"/>
    <s v="Salmon"/>
    <s v="812"/>
    <s v="Quilcene River"/>
    <s v="Quilcene River"/>
    <s v="Jefferson"/>
    <x v="2"/>
    <s v="Clallam"/>
    <s v="11Clallam"/>
    <s v="03Strait of Juan de Fuca"/>
    <n v="165"/>
    <n v="567.6"/>
  </r>
  <r>
    <n v="503"/>
    <x v="1"/>
    <x v="0"/>
    <x v="1"/>
    <s v="Freshwater"/>
    <s v="2Freshwater"/>
    <s v="Salmon"/>
    <s v="812"/>
    <s v="Quilcene River"/>
    <s v="Quilcene River"/>
    <s v="Jefferson"/>
    <x v="2"/>
    <s v="Island"/>
    <s v="04Island"/>
    <s v="01North Puget Sound"/>
    <n v="105"/>
    <n v="361.2"/>
  </r>
  <r>
    <n v="504"/>
    <x v="1"/>
    <x v="0"/>
    <x v="1"/>
    <s v="Freshwater"/>
    <s v="2Freshwater"/>
    <s v="Salmon"/>
    <s v="812"/>
    <s v="Quilcene River"/>
    <s v="Quilcene River"/>
    <s v="Jefferson"/>
    <x v="2"/>
    <s v="Jefferson"/>
    <s v="12Jefferson"/>
    <s v="03Strait of Juan de Fuca"/>
    <n v="135"/>
    <n v="464.4"/>
  </r>
  <r>
    <n v="505"/>
    <x v="1"/>
    <x v="0"/>
    <x v="1"/>
    <s v="Freshwater"/>
    <s v="2Freshwater"/>
    <s v="Salmon"/>
    <s v="812"/>
    <s v="Quilcene River"/>
    <s v="Quilcene River"/>
    <s v="Jefferson"/>
    <x v="2"/>
    <s v="King"/>
    <s v="06King"/>
    <s v="02South Puget Sound"/>
    <n v="202.5"/>
    <n v="696.6"/>
  </r>
  <r>
    <n v="506"/>
    <x v="1"/>
    <x v="0"/>
    <x v="1"/>
    <s v="Freshwater"/>
    <s v="2Freshwater"/>
    <s v="Salmon"/>
    <s v="812"/>
    <s v="Quilcene River"/>
    <s v="Quilcene River"/>
    <s v="Jefferson"/>
    <x v="2"/>
    <s v="Kitsap"/>
    <s v="10Kitsap"/>
    <s v="02South Puget Sound"/>
    <n v="97.5"/>
    <n v="335.4"/>
  </r>
  <r>
    <n v="507"/>
    <x v="1"/>
    <x v="0"/>
    <x v="1"/>
    <s v="Freshwater"/>
    <s v="2Freshwater"/>
    <s v="Salmon"/>
    <s v="812"/>
    <s v="Quilcene River"/>
    <s v="Quilcene River"/>
    <s v="Jefferson"/>
    <x v="2"/>
    <s v="Mason"/>
    <s v="09Mason"/>
    <s v="02South Puget Sound"/>
    <n v="15"/>
    <n v="51.6"/>
  </r>
  <r>
    <n v="508"/>
    <x v="1"/>
    <x v="0"/>
    <x v="1"/>
    <s v="Freshwater"/>
    <s v="2Freshwater"/>
    <s v="Salmon"/>
    <s v="812"/>
    <s v="Quilcene River"/>
    <s v="Quilcene River"/>
    <s v="Jefferson"/>
    <x v="2"/>
    <s v="Other"/>
    <s v="20Other"/>
    <s v="07Non Puget Sound"/>
    <n v="7.5"/>
    <n v="25.8"/>
  </r>
  <r>
    <n v="509"/>
    <x v="1"/>
    <x v="0"/>
    <x v="1"/>
    <s v="Freshwater"/>
    <s v="2Freshwater"/>
    <s v="Salmon"/>
    <s v="812"/>
    <s v="Quilcene River"/>
    <s v="Quilcene River"/>
    <s v="Jefferson"/>
    <x v="2"/>
    <s v="Snohomish"/>
    <s v="03Snohomish"/>
    <s v="01North Puget Sound"/>
    <n v="30"/>
    <n v="103.2"/>
  </r>
  <r>
    <n v="510"/>
    <x v="1"/>
    <x v="0"/>
    <x v="1"/>
    <s v="Freshwater"/>
    <s v="2Freshwater"/>
    <s v="Salmon"/>
    <s v="812"/>
    <s v="Quilcene River"/>
    <s v="Quilcene River"/>
    <s v="Jefferson"/>
    <x v="2"/>
    <s v="Thurston"/>
    <s v="08Thurston"/>
    <s v="02South Puget Sound"/>
    <n v="37.5"/>
    <n v="129"/>
  </r>
  <r>
    <n v="511"/>
    <x v="1"/>
    <x v="1"/>
    <x v="1"/>
    <s v="Freshwater"/>
    <s v="2Freshwater"/>
    <s v="Salmon"/>
    <s v="812"/>
    <s v="Quilcene River"/>
    <s v="Quilcene River"/>
    <s v="Jefferson"/>
    <x v="2"/>
    <s v="Clallam"/>
    <s v="11Clallam"/>
    <s v="03Strait of Juan de Fuca"/>
    <n v="877.98347107437996"/>
    <n v="3020.263140495867"/>
  </r>
  <r>
    <n v="512"/>
    <x v="1"/>
    <x v="1"/>
    <x v="1"/>
    <s v="Freshwater"/>
    <s v="2Freshwater"/>
    <s v="Salmon"/>
    <s v="812"/>
    <s v="Quilcene River"/>
    <s v="Quilcene River"/>
    <s v="Jefferson"/>
    <x v="2"/>
    <s v="Island"/>
    <s v="04Island"/>
    <s v="01North Puget Sound"/>
    <n v="67.537190082644599"/>
    <n v="232.32793388429741"/>
  </r>
  <r>
    <n v="513"/>
    <x v="1"/>
    <x v="1"/>
    <x v="1"/>
    <s v="Freshwater"/>
    <s v="2Freshwater"/>
    <s v="Salmon"/>
    <s v="812"/>
    <s v="Quilcene River"/>
    <s v="Quilcene River"/>
    <s v="Jefferson"/>
    <x v="2"/>
    <s v="Jefferson"/>
    <s v="12Jefferson"/>
    <s v="03Strait of Juan de Fuca"/>
    <n v="1073.0909090909099"/>
    <n v="3691.4327272727301"/>
  </r>
  <r>
    <n v="514"/>
    <x v="1"/>
    <x v="1"/>
    <x v="1"/>
    <s v="Freshwater"/>
    <s v="2Freshwater"/>
    <s v="Salmon"/>
    <s v="812"/>
    <s v="Quilcene River"/>
    <s v="Quilcene River"/>
    <s v="Jefferson"/>
    <x v="2"/>
    <s v="King"/>
    <s v="06King"/>
    <s v="02South Puget Sound"/>
    <n v="255.140495867769"/>
    <n v="877.68330578512541"/>
  </r>
  <r>
    <n v="515"/>
    <x v="1"/>
    <x v="1"/>
    <x v="1"/>
    <s v="Freshwater"/>
    <s v="2Freshwater"/>
    <s v="Salmon"/>
    <s v="812"/>
    <s v="Quilcene River"/>
    <s v="Quilcene River"/>
    <s v="Jefferson"/>
    <x v="2"/>
    <s v="Kitsap"/>
    <s v="10Kitsap"/>
    <s v="02South Puget Sound"/>
    <n v="622.84297520661198"/>
    <n v="2142.5798347107452"/>
  </r>
  <r>
    <n v="516"/>
    <x v="1"/>
    <x v="1"/>
    <x v="1"/>
    <s v="Freshwater"/>
    <s v="2Freshwater"/>
    <s v="Salmon"/>
    <s v="812"/>
    <s v="Quilcene River"/>
    <s v="Quilcene River"/>
    <s v="Jefferson"/>
    <x v="2"/>
    <s v="Mason"/>
    <s v="09Mason"/>
    <s v="02South Puget Sound"/>
    <n v="247.636363636364"/>
    <n v="851.86909090909217"/>
  </r>
  <r>
    <n v="517"/>
    <x v="1"/>
    <x v="1"/>
    <x v="1"/>
    <s v="Freshwater"/>
    <s v="2Freshwater"/>
    <s v="Salmon"/>
    <s v="812"/>
    <s v="Quilcene River"/>
    <s v="Quilcene River"/>
    <s v="Jefferson"/>
    <x v="2"/>
    <s v="Other"/>
    <s v="20Other"/>
    <s v="07Non Puget Sound"/>
    <n v="127.570247933884"/>
    <n v="438.84165289256094"/>
  </r>
  <r>
    <n v="518"/>
    <x v="1"/>
    <x v="1"/>
    <x v="1"/>
    <s v="Freshwater"/>
    <s v="2Freshwater"/>
    <s v="Salmon"/>
    <s v="812"/>
    <s v="Quilcene River"/>
    <s v="Quilcene River"/>
    <s v="Jefferson"/>
    <x v="2"/>
    <s v="Pierce"/>
    <s v="07Pierce"/>
    <s v="02South Puget Sound"/>
    <n v="172.59504132231399"/>
    <n v="593.72694214876014"/>
  </r>
  <r>
    <n v="519"/>
    <x v="1"/>
    <x v="1"/>
    <x v="1"/>
    <s v="Freshwater"/>
    <s v="2Freshwater"/>
    <s v="Salmon"/>
    <s v="812"/>
    <s v="Quilcene River"/>
    <s v="Quilcene River"/>
    <s v="Jefferson"/>
    <x v="2"/>
    <s v="Snohomish"/>
    <s v="03Snohomish"/>
    <s v="01North Puget Sound"/>
    <n v="45.024793388429799"/>
    <n v="154.88528925619852"/>
  </r>
  <r>
    <n v="520"/>
    <x v="1"/>
    <x v="1"/>
    <x v="1"/>
    <s v="Freshwater"/>
    <s v="2Freshwater"/>
    <s v="Salmon"/>
    <s v="812"/>
    <s v="Quilcene River"/>
    <s v="Quilcene River"/>
    <s v="Jefferson"/>
    <x v="2"/>
    <s v="Thurston"/>
    <s v="08Thurston"/>
    <s v="02South Puget Sound"/>
    <n v="142.57851239669401"/>
    <n v="490.47008264462738"/>
  </r>
  <r>
    <n v="521"/>
    <x v="1"/>
    <x v="2"/>
    <x v="1"/>
    <s v="Freshwater"/>
    <s v="2Freshwater"/>
    <s v="Salmon"/>
    <s v="812"/>
    <s v="Quilcene River"/>
    <s v="Quilcene River"/>
    <s v="Jefferson"/>
    <x v="2"/>
    <s v="Clallam"/>
    <s v="11Clallam"/>
    <s v="03Strait of Juan de Fuca"/>
    <n v="37.5"/>
    <n v="129"/>
  </r>
  <r>
    <n v="522"/>
    <x v="1"/>
    <x v="2"/>
    <x v="1"/>
    <s v="Freshwater"/>
    <s v="2Freshwater"/>
    <s v="Salmon"/>
    <s v="812"/>
    <s v="Quilcene River"/>
    <s v="Quilcene River"/>
    <s v="Jefferson"/>
    <x v="2"/>
    <s v="Jefferson"/>
    <s v="12Jefferson"/>
    <s v="03Strait of Juan de Fuca"/>
    <n v="435"/>
    <n v="1496.3999999999999"/>
  </r>
  <r>
    <n v="523"/>
    <x v="1"/>
    <x v="2"/>
    <x v="1"/>
    <s v="Freshwater"/>
    <s v="2Freshwater"/>
    <s v="Salmon"/>
    <s v="812"/>
    <s v="Quilcene River"/>
    <s v="Quilcene River"/>
    <s v="Jefferson"/>
    <x v="2"/>
    <s v="King"/>
    <s v="06King"/>
    <s v="02South Puget Sound"/>
    <n v="7.5"/>
    <n v="25.8"/>
  </r>
  <r>
    <n v="524"/>
    <x v="1"/>
    <x v="2"/>
    <x v="1"/>
    <s v="Freshwater"/>
    <s v="2Freshwater"/>
    <s v="Salmon"/>
    <s v="812"/>
    <s v="Quilcene River"/>
    <s v="Quilcene River"/>
    <s v="Jefferson"/>
    <x v="2"/>
    <s v="Kitsap"/>
    <s v="10Kitsap"/>
    <s v="02South Puget Sound"/>
    <n v="195"/>
    <n v="670.8"/>
  </r>
  <r>
    <n v="525"/>
    <x v="1"/>
    <x v="2"/>
    <x v="1"/>
    <s v="Freshwater"/>
    <s v="2Freshwater"/>
    <s v="Salmon"/>
    <s v="812"/>
    <s v="Quilcene River"/>
    <s v="Quilcene River"/>
    <s v="Jefferson"/>
    <x v="2"/>
    <s v="Mason"/>
    <s v="09Mason"/>
    <s v="02South Puget Sound"/>
    <n v="112.5"/>
    <n v="387"/>
  </r>
  <r>
    <n v="526"/>
    <x v="1"/>
    <x v="2"/>
    <x v="1"/>
    <s v="Freshwater"/>
    <s v="2Freshwater"/>
    <s v="Salmon"/>
    <s v="812"/>
    <s v="Quilcene River"/>
    <s v="Quilcene River"/>
    <s v="Jefferson"/>
    <x v="2"/>
    <s v="Pierce"/>
    <s v="07Pierce"/>
    <s v="02South Puget Sound"/>
    <n v="15"/>
    <n v="51.6"/>
  </r>
  <r>
    <n v="527"/>
    <x v="1"/>
    <x v="2"/>
    <x v="1"/>
    <s v="Freshwater"/>
    <s v="2Freshwater"/>
    <s v="Salmon"/>
    <s v="812"/>
    <s v="Quilcene River"/>
    <s v="Quilcene River"/>
    <s v="Jefferson"/>
    <x v="2"/>
    <s v="Snohomish"/>
    <s v="03Snohomish"/>
    <s v="01North Puget Sound"/>
    <n v="7.5"/>
    <n v="25.8"/>
  </r>
  <r>
    <n v="528"/>
    <x v="1"/>
    <x v="0"/>
    <x v="1"/>
    <s v="Freshwater"/>
    <s v="2Freshwater"/>
    <s v="Salmon"/>
    <s v="816"/>
    <s v="Samish River"/>
    <s v="Samish River"/>
    <s v="Skagit"/>
    <x v="1"/>
    <s v="Island"/>
    <s v="04Island"/>
    <s v="01North Puget Sound"/>
    <n v="73.536585365853696"/>
    <n v="252.9658536585367"/>
  </r>
  <r>
    <n v="529"/>
    <x v="1"/>
    <x v="0"/>
    <x v="1"/>
    <s v="Freshwater"/>
    <s v="2Freshwater"/>
    <s v="Salmon"/>
    <s v="816"/>
    <s v="Samish River"/>
    <s v="Samish River"/>
    <s v="Skagit"/>
    <x v="1"/>
    <s v="King"/>
    <s v="06King"/>
    <s v="02South Puget Sound"/>
    <n v="51.475609756097597"/>
    <n v="177.07609756097574"/>
  </r>
  <r>
    <n v="530"/>
    <x v="1"/>
    <x v="0"/>
    <x v="1"/>
    <s v="Freshwater"/>
    <s v="2Freshwater"/>
    <s v="Salmon"/>
    <s v="816"/>
    <s v="Samish River"/>
    <s v="Samish River"/>
    <s v="Skagit"/>
    <x v="1"/>
    <s v="Other"/>
    <s v="20Other"/>
    <s v="07Non Puget Sound"/>
    <n v="14.707317073170699"/>
    <n v="50.593170731707204"/>
  </r>
  <r>
    <n v="531"/>
    <x v="1"/>
    <x v="0"/>
    <x v="1"/>
    <s v="Freshwater"/>
    <s v="2Freshwater"/>
    <s v="Salmon"/>
    <s v="816"/>
    <s v="Samish River"/>
    <s v="Samish River"/>
    <s v="Skagit"/>
    <x v="1"/>
    <s v="Pierce"/>
    <s v="07Pierce"/>
    <s v="02South Puget Sound"/>
    <n v="22.060975609756099"/>
    <n v="75.889756097560976"/>
  </r>
  <r>
    <n v="532"/>
    <x v="1"/>
    <x v="0"/>
    <x v="1"/>
    <s v="Freshwater"/>
    <s v="2Freshwater"/>
    <s v="Salmon"/>
    <s v="816"/>
    <s v="Samish River"/>
    <s v="Samish River"/>
    <s v="Skagit"/>
    <x v="1"/>
    <s v="Skagit"/>
    <s v="02Skagit"/>
    <s v="01North Puget Sound"/>
    <n v="272.08536585365903"/>
    <n v="935.9736585365871"/>
  </r>
  <r>
    <n v="533"/>
    <x v="1"/>
    <x v="0"/>
    <x v="1"/>
    <s v="Freshwater"/>
    <s v="2Freshwater"/>
    <s v="Salmon"/>
    <s v="816"/>
    <s v="Samish River"/>
    <s v="Samish River"/>
    <s v="Skagit"/>
    <x v="1"/>
    <s v="Snohomish"/>
    <s v="03Snohomish"/>
    <s v="01North Puget Sound"/>
    <n v="102.951219512195"/>
    <n v="354.1521951219508"/>
  </r>
  <r>
    <n v="534"/>
    <x v="1"/>
    <x v="0"/>
    <x v="1"/>
    <s v="Freshwater"/>
    <s v="2Freshwater"/>
    <s v="Salmon"/>
    <s v="816"/>
    <s v="Samish River"/>
    <s v="Samish River"/>
    <s v="Skagit"/>
    <x v="1"/>
    <s v="Whatcom"/>
    <s v="01Whatcom"/>
    <s v="01North Puget Sound"/>
    <n v="66.182926829268297"/>
    <n v="227.66926829268294"/>
  </r>
  <r>
    <n v="535"/>
    <x v="1"/>
    <x v="1"/>
    <x v="1"/>
    <s v="Freshwater"/>
    <s v="2Freshwater"/>
    <s v="Salmon"/>
    <s v="816"/>
    <s v="Samish River"/>
    <s v="Samish River"/>
    <s v="Skagit"/>
    <x v="1"/>
    <s v="Island"/>
    <s v="04Island"/>
    <s v="01North Puget Sound"/>
    <n v="737.77520278099701"/>
    <n v="2537.9466975666296"/>
  </r>
  <r>
    <n v="536"/>
    <x v="1"/>
    <x v="1"/>
    <x v="1"/>
    <s v="Freshwater"/>
    <s v="2Freshwater"/>
    <s v="Salmon"/>
    <s v="816"/>
    <s v="Samish River"/>
    <s v="Samish River"/>
    <s v="Skagit"/>
    <x v="1"/>
    <s v="King"/>
    <s v="06King"/>
    <s v="02South Puget Sound"/>
    <n v="339.37659327925797"/>
    <n v="1167.4554808806474"/>
  </r>
  <r>
    <n v="537"/>
    <x v="1"/>
    <x v="1"/>
    <x v="1"/>
    <s v="Freshwater"/>
    <s v="2Freshwater"/>
    <s v="Salmon"/>
    <s v="816"/>
    <s v="Samish River"/>
    <s v="Samish River"/>
    <s v="Skagit"/>
    <x v="1"/>
    <s v="Other"/>
    <s v="20Other"/>
    <s v="07Non Puget Sound"/>
    <n v="309.86558516801898"/>
    <n v="1065.9376129779853"/>
  </r>
  <r>
    <n v="538"/>
    <x v="1"/>
    <x v="1"/>
    <x v="1"/>
    <s v="Freshwater"/>
    <s v="2Freshwater"/>
    <s v="Salmon"/>
    <s v="816"/>
    <s v="Samish River"/>
    <s v="Samish River"/>
    <s v="Skagit"/>
    <x v="1"/>
    <s v="Pierce"/>
    <s v="07Pierce"/>
    <s v="02South Puget Sound"/>
    <n v="88.533024333719595"/>
    <n v="304.55360370799542"/>
  </r>
  <r>
    <n v="539"/>
    <x v="1"/>
    <x v="1"/>
    <x v="1"/>
    <s v="Freshwater"/>
    <s v="2Freshwater"/>
    <s v="Salmon"/>
    <s v="816"/>
    <s v="Samish River"/>
    <s v="Samish River"/>
    <s v="Skagit"/>
    <x v="1"/>
    <s v="Skagit"/>
    <s v="02Skagit"/>
    <s v="01North Puget Sound"/>
    <n v="2176.4368482039399"/>
    <n v="7486.9427578215536"/>
  </r>
  <r>
    <n v="540"/>
    <x v="1"/>
    <x v="1"/>
    <x v="1"/>
    <s v="Freshwater"/>
    <s v="2Freshwater"/>
    <s v="Salmon"/>
    <s v="816"/>
    <s v="Samish River"/>
    <s v="Samish River"/>
    <s v="Skagit"/>
    <x v="1"/>
    <s v="Snohomish"/>
    <s v="03Snohomish"/>
    <s v="01North Puget Sound"/>
    <n v="1741.1494785631501"/>
    <n v="5989.5542062572358"/>
  </r>
  <r>
    <n v="541"/>
    <x v="1"/>
    <x v="1"/>
    <x v="1"/>
    <s v="Freshwater"/>
    <s v="2Freshwater"/>
    <s v="Salmon"/>
    <s v="816"/>
    <s v="Samish River"/>
    <s v="Samish River"/>
    <s v="Skagit"/>
    <x v="1"/>
    <s v="Thurston"/>
    <s v="08Thurston"/>
    <s v="02South Puget Sound"/>
    <n v="14.7555040556199"/>
    <n v="50.758933951332452"/>
  </r>
  <r>
    <n v="542"/>
    <x v="1"/>
    <x v="1"/>
    <x v="1"/>
    <s v="Freshwater"/>
    <s v="2Freshwater"/>
    <s v="Salmon"/>
    <s v="816"/>
    <s v="Samish River"/>
    <s v="Samish River"/>
    <s v="Skagit"/>
    <x v="1"/>
    <s v="Whatcom"/>
    <s v="01Whatcom"/>
    <s v="01North Puget Sound"/>
    <n v="959.10776361529599"/>
    <n v="3299.330706836618"/>
  </r>
  <r>
    <n v="543"/>
    <x v="1"/>
    <x v="2"/>
    <x v="1"/>
    <s v="Freshwater"/>
    <s v="2Freshwater"/>
    <s v="Salmon"/>
    <s v="816"/>
    <s v="Samish River"/>
    <s v="Samish River"/>
    <s v="Skagit"/>
    <x v="1"/>
    <s v="Clallam"/>
    <s v="11Clallam"/>
    <s v="03Strait of Juan de Fuca"/>
    <n v="29.481481481481499"/>
    <n v="101.41629629629635"/>
  </r>
  <r>
    <n v="544"/>
    <x v="1"/>
    <x v="2"/>
    <x v="1"/>
    <s v="Freshwater"/>
    <s v="2Freshwater"/>
    <s v="Salmon"/>
    <s v="816"/>
    <s v="Samish River"/>
    <s v="Samish River"/>
    <s v="Skagit"/>
    <x v="1"/>
    <s v="Island"/>
    <s v="04Island"/>
    <s v="01North Puget Sound"/>
    <n v="110.555555555556"/>
    <n v="380.31111111111261"/>
  </r>
  <r>
    <n v="545"/>
    <x v="1"/>
    <x v="2"/>
    <x v="1"/>
    <s v="Freshwater"/>
    <s v="2Freshwater"/>
    <s v="Salmon"/>
    <s v="816"/>
    <s v="Samish River"/>
    <s v="Samish River"/>
    <s v="Skagit"/>
    <x v="1"/>
    <s v="King"/>
    <s v="06King"/>
    <s v="02South Puget Sound"/>
    <n v="110.555555555556"/>
    <n v="380.31111111111261"/>
  </r>
  <r>
    <n v="546"/>
    <x v="1"/>
    <x v="2"/>
    <x v="1"/>
    <s v="Freshwater"/>
    <s v="2Freshwater"/>
    <s v="Salmon"/>
    <s v="816"/>
    <s v="Samish River"/>
    <s v="Samish River"/>
    <s v="Skagit"/>
    <x v="1"/>
    <s v="Other"/>
    <s v="20Other"/>
    <s v="07Non Puget Sound"/>
    <n v="7.3703703703703702"/>
    <n v="25.354074074074074"/>
  </r>
  <r>
    <n v="547"/>
    <x v="1"/>
    <x v="2"/>
    <x v="1"/>
    <s v="Freshwater"/>
    <s v="2Freshwater"/>
    <s v="Salmon"/>
    <s v="816"/>
    <s v="Samish River"/>
    <s v="Samish River"/>
    <s v="Skagit"/>
    <x v="1"/>
    <s v="Pierce"/>
    <s v="07Pierce"/>
    <s v="02South Puget Sound"/>
    <n v="7.3703703703703702"/>
    <n v="25.354074074074074"/>
  </r>
  <r>
    <n v="548"/>
    <x v="1"/>
    <x v="2"/>
    <x v="1"/>
    <s v="Freshwater"/>
    <s v="2Freshwater"/>
    <s v="Salmon"/>
    <s v="816"/>
    <s v="Samish River"/>
    <s v="Samish River"/>
    <s v="Skagit"/>
    <x v="1"/>
    <s v="Skagit"/>
    <s v="02Skagit"/>
    <s v="01North Puget Sound"/>
    <n v="574.88888888888903"/>
    <n v="1977.6177777777782"/>
  </r>
  <r>
    <n v="549"/>
    <x v="1"/>
    <x v="2"/>
    <x v="1"/>
    <s v="Freshwater"/>
    <s v="2Freshwater"/>
    <s v="Salmon"/>
    <s v="816"/>
    <s v="Samish River"/>
    <s v="Samish River"/>
    <s v="Skagit"/>
    <x v="1"/>
    <s v="Snohomish"/>
    <s v="03Snohomish"/>
    <s v="01North Puget Sound"/>
    <n v="604.37037037036998"/>
    <n v="2079.0340740740726"/>
  </r>
  <r>
    <n v="550"/>
    <x v="1"/>
    <x v="2"/>
    <x v="1"/>
    <s v="Freshwater"/>
    <s v="2Freshwater"/>
    <s v="Salmon"/>
    <s v="816"/>
    <s v="Samish River"/>
    <s v="Samish River"/>
    <s v="Skagit"/>
    <x v="1"/>
    <s v="Whatcom"/>
    <s v="01Whatcom"/>
    <s v="01North Puget Sound"/>
    <n v="545.40740740740705"/>
    <n v="1876.2014814814802"/>
  </r>
  <r>
    <n v="551"/>
    <x v="1"/>
    <x v="3"/>
    <x v="1"/>
    <s v="Freshwater"/>
    <s v="2Freshwater"/>
    <s v="Salmon"/>
    <s v="816"/>
    <s v="Samish River"/>
    <s v="Samish River"/>
    <s v="Skagit"/>
    <x v="1"/>
    <s v="Other"/>
    <s v="20Other"/>
    <s v="07Non Puget Sound"/>
    <n v="7"/>
    <n v="24.08"/>
  </r>
  <r>
    <n v="552"/>
    <x v="1"/>
    <x v="4"/>
    <x v="1"/>
    <s v="Freshwater"/>
    <s v="2Freshwater"/>
    <s v="Salmon"/>
    <s v="816"/>
    <s v="Samish River"/>
    <s v="Samish River"/>
    <s v="Skagit"/>
    <x v="1"/>
    <s v="Skagit"/>
    <s v="02Skagit"/>
    <s v="01North Puget Sound"/>
    <n v="7"/>
    <n v="24.08"/>
  </r>
  <r>
    <n v="553"/>
    <x v="1"/>
    <x v="5"/>
    <x v="1"/>
    <s v="Freshwater"/>
    <s v="2Freshwater"/>
    <s v="Salmon"/>
    <s v="824"/>
    <s v="Baker River"/>
    <s v="Baker River"/>
    <s v="Skagit/Whatcom"/>
    <x v="1"/>
    <s v="Skagit"/>
    <s v="02Skagit"/>
    <s v="01North Puget Sound"/>
    <n v="7"/>
    <n v="24.08"/>
  </r>
  <r>
    <n v="554"/>
    <x v="1"/>
    <x v="5"/>
    <x v="1"/>
    <s v="Freshwater"/>
    <s v="2Freshwater"/>
    <s v="Salmon"/>
    <s v="825"/>
    <s v="Baker Lake"/>
    <s v="Baker Lake"/>
    <s v="Whatcom"/>
    <x v="1"/>
    <s v="Island"/>
    <s v="04Island"/>
    <s v="01North Puget Sound"/>
    <n v="66.262500000000003"/>
    <n v="227.94300000000001"/>
  </r>
  <r>
    <n v="555"/>
    <x v="1"/>
    <x v="5"/>
    <x v="1"/>
    <s v="Freshwater"/>
    <s v="2Freshwater"/>
    <s v="Salmon"/>
    <s v="825"/>
    <s v="Baker Lake"/>
    <s v="Baker Lake"/>
    <s v="Whatcom"/>
    <x v="1"/>
    <s v="King"/>
    <s v="06King"/>
    <s v="02South Puget Sound"/>
    <n v="603.72500000000002"/>
    <n v="2076.8139999999999"/>
  </r>
  <r>
    <n v="556"/>
    <x v="1"/>
    <x v="5"/>
    <x v="1"/>
    <s v="Freshwater"/>
    <s v="2Freshwater"/>
    <s v="Salmon"/>
    <s v="825"/>
    <s v="Baker Lake"/>
    <s v="Baker Lake"/>
    <s v="Whatcom"/>
    <x v="1"/>
    <s v="Other"/>
    <s v="20Other"/>
    <s v="07Non Puget Sound"/>
    <n v="176.7"/>
    <n v="607.84799999999996"/>
  </r>
  <r>
    <n v="557"/>
    <x v="1"/>
    <x v="5"/>
    <x v="1"/>
    <s v="Freshwater"/>
    <s v="2Freshwater"/>
    <s v="Salmon"/>
    <s v="825"/>
    <s v="Baker Lake"/>
    <s v="Baker Lake"/>
    <s v="Whatcom"/>
    <x v="1"/>
    <s v="Pierce"/>
    <s v="07Pierce"/>
    <s v="02South Puget Sound"/>
    <n v="66.262500000000003"/>
    <n v="227.94300000000001"/>
  </r>
  <r>
    <n v="558"/>
    <x v="1"/>
    <x v="5"/>
    <x v="1"/>
    <s v="Freshwater"/>
    <s v="2Freshwater"/>
    <s v="Salmon"/>
    <s v="825"/>
    <s v="Baker Lake"/>
    <s v="Baker Lake"/>
    <s v="Whatcom"/>
    <x v="1"/>
    <s v="San Juan"/>
    <s v="05San Juan"/>
    <s v="01North Puget Sound"/>
    <n v="36.8125"/>
    <n v="126.63500000000001"/>
  </r>
  <r>
    <n v="559"/>
    <x v="1"/>
    <x v="5"/>
    <x v="1"/>
    <s v="Freshwater"/>
    <s v="2Freshwater"/>
    <s v="Salmon"/>
    <s v="825"/>
    <s v="Baker Lake"/>
    <s v="Baker Lake"/>
    <s v="Whatcom"/>
    <x v="1"/>
    <s v="Skagit"/>
    <s v="02Skagit"/>
    <s v="01North Puget Sound"/>
    <n v="890.86249999999995"/>
    <n v="3064.567"/>
  </r>
  <r>
    <n v="560"/>
    <x v="1"/>
    <x v="5"/>
    <x v="1"/>
    <s v="Freshwater"/>
    <s v="2Freshwater"/>
    <s v="Salmon"/>
    <s v="825"/>
    <s v="Baker Lake"/>
    <s v="Baker Lake"/>
    <s v="Whatcom"/>
    <x v="1"/>
    <s v="Snohomish"/>
    <s v="03Snohomish"/>
    <s v="01North Puget Sound"/>
    <n v="905.58749999999998"/>
    <n v="3115.221"/>
  </r>
  <r>
    <n v="561"/>
    <x v="1"/>
    <x v="5"/>
    <x v="1"/>
    <s v="Freshwater"/>
    <s v="2Freshwater"/>
    <s v="Salmon"/>
    <s v="825"/>
    <s v="Baker Lake"/>
    <s v="Baker Lake"/>
    <s v="Whatcom"/>
    <x v="1"/>
    <s v="Thurston"/>
    <s v="08Thurston"/>
    <s v="02South Puget Sound"/>
    <n v="7.3624999999999998"/>
    <n v="25.326999999999998"/>
  </r>
  <r>
    <n v="562"/>
    <x v="1"/>
    <x v="5"/>
    <x v="1"/>
    <s v="Freshwater"/>
    <s v="2Freshwater"/>
    <s v="Salmon"/>
    <s v="825"/>
    <s v="Baker Lake"/>
    <s v="Baker Lake"/>
    <s v="Whatcom"/>
    <x v="1"/>
    <s v="Whatcom"/>
    <s v="01Whatcom"/>
    <s v="01North Puget Sound"/>
    <n v="780.42499999999995"/>
    <n v="2684.6619999999998"/>
  </r>
  <r>
    <n v="563"/>
    <x v="1"/>
    <x v="0"/>
    <x v="1"/>
    <s v="Freshwater"/>
    <s v="2Freshwater"/>
    <s v="Salmon"/>
    <s v="825"/>
    <s v="Baker Lake"/>
    <s v="Baker Lake"/>
    <s v="Whatcom"/>
    <x v="1"/>
    <s v="Clallam"/>
    <s v="11Clallam"/>
    <s v="03Strait of Juan de Fuca"/>
    <n v="14.7246376811594"/>
    <n v="50.652753623188339"/>
  </r>
  <r>
    <n v="564"/>
    <x v="1"/>
    <x v="0"/>
    <x v="1"/>
    <s v="Freshwater"/>
    <s v="2Freshwater"/>
    <s v="Salmon"/>
    <s v="825"/>
    <s v="Baker Lake"/>
    <s v="Baker Lake"/>
    <s v="Whatcom"/>
    <x v="1"/>
    <s v="Island"/>
    <s v="04Island"/>
    <s v="01North Puget Sound"/>
    <n v="161.97101449275399"/>
    <n v="557.18028985507374"/>
  </r>
  <r>
    <n v="565"/>
    <x v="1"/>
    <x v="0"/>
    <x v="1"/>
    <s v="Freshwater"/>
    <s v="2Freshwater"/>
    <s v="Salmon"/>
    <s v="825"/>
    <s v="Baker Lake"/>
    <s v="Baker Lake"/>
    <s v="Whatcom"/>
    <x v="1"/>
    <s v="King"/>
    <s v="06King"/>
    <s v="02South Puget Sound"/>
    <n v="552.17391304347802"/>
    <n v="1899.4782608695643"/>
  </r>
  <r>
    <n v="566"/>
    <x v="1"/>
    <x v="0"/>
    <x v="1"/>
    <s v="Freshwater"/>
    <s v="2Freshwater"/>
    <s v="Salmon"/>
    <s v="825"/>
    <s v="Baker Lake"/>
    <s v="Baker Lake"/>
    <s v="Whatcom"/>
    <x v="1"/>
    <s v="Other"/>
    <s v="20Other"/>
    <s v="07Non Puget Sound"/>
    <n v="441.73913043478302"/>
    <n v="1519.5826086956536"/>
  </r>
  <r>
    <n v="567"/>
    <x v="1"/>
    <x v="0"/>
    <x v="1"/>
    <s v="Freshwater"/>
    <s v="2Freshwater"/>
    <s v="Salmon"/>
    <s v="825"/>
    <s v="Baker Lake"/>
    <s v="Baker Lake"/>
    <s v="Whatcom"/>
    <x v="1"/>
    <s v="Pierce"/>
    <s v="07Pierce"/>
    <s v="02South Puget Sound"/>
    <n v="66.260869565217405"/>
    <n v="227.93739130434787"/>
  </r>
  <r>
    <n v="568"/>
    <x v="1"/>
    <x v="0"/>
    <x v="1"/>
    <s v="Freshwater"/>
    <s v="2Freshwater"/>
    <s v="Salmon"/>
    <s v="825"/>
    <s v="Baker Lake"/>
    <s v="Baker Lake"/>
    <s v="Whatcom"/>
    <x v="1"/>
    <s v="Skagit"/>
    <s v="02Skagit"/>
    <s v="01North Puget Sound"/>
    <n v="1008.63768115942"/>
    <n v="3469.7136231884047"/>
  </r>
  <r>
    <n v="569"/>
    <x v="1"/>
    <x v="0"/>
    <x v="1"/>
    <s v="Freshwater"/>
    <s v="2Freshwater"/>
    <s v="Salmon"/>
    <s v="825"/>
    <s v="Baker Lake"/>
    <s v="Baker Lake"/>
    <s v="Whatcom"/>
    <x v="1"/>
    <s v="Snohomish"/>
    <s v="03Snohomish"/>
    <s v="01North Puget Sound"/>
    <n v="1303.1304347826101"/>
    <n v="4482.7686956521784"/>
  </r>
  <r>
    <n v="570"/>
    <x v="1"/>
    <x v="0"/>
    <x v="1"/>
    <s v="Freshwater"/>
    <s v="2Freshwater"/>
    <s v="Salmon"/>
    <s v="825"/>
    <s v="Baker Lake"/>
    <s v="Baker Lake"/>
    <s v="Whatcom"/>
    <x v="1"/>
    <s v="Thurston"/>
    <s v="08Thurston"/>
    <s v="02South Puget Sound"/>
    <n v="73.623188405797094"/>
    <n v="253.26376811594201"/>
  </r>
  <r>
    <n v="571"/>
    <x v="1"/>
    <x v="0"/>
    <x v="1"/>
    <s v="Freshwater"/>
    <s v="2Freshwater"/>
    <s v="Salmon"/>
    <s v="825"/>
    <s v="Baker Lake"/>
    <s v="Baker Lake"/>
    <s v="Whatcom"/>
    <x v="1"/>
    <s v="Whatcom"/>
    <s v="01Whatcom"/>
    <s v="01North Puget Sound"/>
    <n v="949.73913043478296"/>
    <n v="3267.1026086956535"/>
  </r>
  <r>
    <n v="572"/>
    <x v="1"/>
    <x v="1"/>
    <x v="1"/>
    <s v="Freshwater"/>
    <s v="2Freshwater"/>
    <s v="Salmon"/>
    <s v="825"/>
    <s v="Baker Lake"/>
    <s v="Baker Lake"/>
    <s v="Whatcom"/>
    <x v="1"/>
    <s v="Other"/>
    <s v="20Other"/>
    <s v="07Non Puget Sound"/>
    <n v="14.709677419354801"/>
    <n v="50.60129032258051"/>
  </r>
  <r>
    <n v="573"/>
    <x v="1"/>
    <x v="1"/>
    <x v="1"/>
    <s v="Freshwater"/>
    <s v="2Freshwater"/>
    <s v="Salmon"/>
    <s v="825"/>
    <s v="Baker Lake"/>
    <s v="Baker Lake"/>
    <s v="Whatcom"/>
    <x v="1"/>
    <s v="Skagit"/>
    <s v="02Skagit"/>
    <s v="01North Puget Sound"/>
    <n v="110.322580645161"/>
    <n v="379.50967741935381"/>
  </r>
  <r>
    <n v="574"/>
    <x v="1"/>
    <x v="1"/>
    <x v="1"/>
    <s v="Freshwater"/>
    <s v="2Freshwater"/>
    <s v="Salmon"/>
    <s v="825"/>
    <s v="Baker Lake"/>
    <s v="Baker Lake"/>
    <s v="Whatcom"/>
    <x v="1"/>
    <s v="Snohomish"/>
    <s v="03Snohomish"/>
    <s v="01North Puget Sound"/>
    <n v="88.258064516128997"/>
    <n v="303.60774193548372"/>
  </r>
  <r>
    <n v="575"/>
    <x v="1"/>
    <x v="1"/>
    <x v="1"/>
    <s v="Freshwater"/>
    <s v="2Freshwater"/>
    <s v="Salmon"/>
    <s v="825"/>
    <s v="Baker Lake"/>
    <s v="Baker Lake"/>
    <s v="Whatcom"/>
    <x v="1"/>
    <s v="Whatcom"/>
    <s v="01Whatcom"/>
    <s v="01North Puget Sound"/>
    <n v="14.709677419354801"/>
    <n v="50.60129032258051"/>
  </r>
  <r>
    <n v="576"/>
    <x v="1"/>
    <x v="7"/>
    <x v="1"/>
    <s v="Freshwater"/>
    <s v="2Freshwater"/>
    <s v="Salmon"/>
    <s v="826"/>
    <s v="Cascade River"/>
    <s v="Cascade River"/>
    <s v="Skagit"/>
    <x v="1"/>
    <s v="Island"/>
    <s v="04Island"/>
    <s v="01North Puget Sound"/>
    <n v="7.28571428571429"/>
    <n v="25.062857142857158"/>
  </r>
  <r>
    <n v="577"/>
    <x v="1"/>
    <x v="7"/>
    <x v="1"/>
    <s v="Freshwater"/>
    <s v="2Freshwater"/>
    <s v="Salmon"/>
    <s v="826"/>
    <s v="Cascade River"/>
    <s v="Cascade River"/>
    <s v="Skagit"/>
    <x v="1"/>
    <s v="King"/>
    <s v="06King"/>
    <s v="02South Puget Sound"/>
    <n v="14.5714285714286"/>
    <n v="50.12571428571438"/>
  </r>
  <r>
    <n v="578"/>
    <x v="1"/>
    <x v="7"/>
    <x v="1"/>
    <s v="Freshwater"/>
    <s v="2Freshwater"/>
    <s v="Salmon"/>
    <s v="826"/>
    <s v="Cascade River"/>
    <s v="Cascade River"/>
    <s v="Skagit"/>
    <x v="1"/>
    <s v="Other"/>
    <s v="20Other"/>
    <s v="07Non Puget Sound"/>
    <n v="51"/>
    <n v="175.44"/>
  </r>
  <r>
    <n v="579"/>
    <x v="1"/>
    <x v="7"/>
    <x v="1"/>
    <s v="Freshwater"/>
    <s v="2Freshwater"/>
    <s v="Salmon"/>
    <s v="826"/>
    <s v="Cascade River"/>
    <s v="Cascade River"/>
    <s v="Skagit"/>
    <x v="1"/>
    <s v="Pierce"/>
    <s v="07Pierce"/>
    <s v="02South Puget Sound"/>
    <n v="7.28571428571429"/>
    <n v="25.062857142857158"/>
  </r>
  <r>
    <n v="580"/>
    <x v="1"/>
    <x v="7"/>
    <x v="1"/>
    <s v="Freshwater"/>
    <s v="2Freshwater"/>
    <s v="Salmon"/>
    <s v="826"/>
    <s v="Cascade River"/>
    <s v="Cascade River"/>
    <s v="Skagit"/>
    <x v="1"/>
    <s v="Skagit"/>
    <s v="02Skagit"/>
    <s v="01North Puget Sound"/>
    <n v="29.1428571428571"/>
    <n v="100.25142857142842"/>
  </r>
  <r>
    <n v="581"/>
    <x v="1"/>
    <x v="7"/>
    <x v="1"/>
    <s v="Freshwater"/>
    <s v="2Freshwater"/>
    <s v="Salmon"/>
    <s v="826"/>
    <s v="Cascade River"/>
    <s v="Cascade River"/>
    <s v="Skagit"/>
    <x v="1"/>
    <s v="Snohomish"/>
    <s v="03Snohomish"/>
    <s v="01North Puget Sound"/>
    <n v="36.428571428571402"/>
    <n v="125.31428571428562"/>
  </r>
  <r>
    <n v="582"/>
    <x v="1"/>
    <x v="7"/>
    <x v="1"/>
    <s v="Freshwater"/>
    <s v="2Freshwater"/>
    <s v="Salmon"/>
    <s v="826"/>
    <s v="Cascade River"/>
    <s v="Cascade River"/>
    <s v="Skagit"/>
    <x v="1"/>
    <s v="Whatcom"/>
    <s v="01Whatcom"/>
    <s v="01North Puget Sound"/>
    <n v="7.28571428571429"/>
    <n v="25.062857142857158"/>
  </r>
  <r>
    <n v="583"/>
    <x v="1"/>
    <x v="5"/>
    <x v="1"/>
    <s v="Freshwater"/>
    <s v="2Freshwater"/>
    <s v="Salmon"/>
    <s v="826"/>
    <s v="Cascade River"/>
    <s v="Cascade River"/>
    <s v="Skagit"/>
    <x v="1"/>
    <s v="King"/>
    <s v="06King"/>
    <s v="02South Puget Sound"/>
    <n v="7.25"/>
    <n v="24.94"/>
  </r>
  <r>
    <n v="584"/>
    <x v="1"/>
    <x v="5"/>
    <x v="1"/>
    <s v="Freshwater"/>
    <s v="2Freshwater"/>
    <s v="Salmon"/>
    <s v="826"/>
    <s v="Cascade River"/>
    <s v="Cascade River"/>
    <s v="Skagit"/>
    <x v="1"/>
    <s v="Other"/>
    <s v="20Other"/>
    <s v="07Non Puget Sound"/>
    <n v="7.25"/>
    <n v="24.94"/>
  </r>
  <r>
    <n v="585"/>
    <x v="1"/>
    <x v="5"/>
    <x v="1"/>
    <s v="Freshwater"/>
    <s v="2Freshwater"/>
    <s v="Salmon"/>
    <s v="826"/>
    <s v="Cascade River"/>
    <s v="Cascade River"/>
    <s v="Skagit"/>
    <x v="1"/>
    <s v="Skagit"/>
    <s v="02Skagit"/>
    <s v="01North Puget Sound"/>
    <n v="7.25"/>
    <n v="24.94"/>
  </r>
  <r>
    <n v="586"/>
    <x v="1"/>
    <x v="5"/>
    <x v="1"/>
    <s v="Freshwater"/>
    <s v="2Freshwater"/>
    <s v="Salmon"/>
    <s v="826"/>
    <s v="Cascade River"/>
    <s v="Cascade River"/>
    <s v="Skagit"/>
    <x v="1"/>
    <s v="Snohomish"/>
    <s v="03Snohomish"/>
    <s v="01North Puget Sound"/>
    <n v="7.25"/>
    <n v="24.94"/>
  </r>
  <r>
    <n v="587"/>
    <x v="1"/>
    <x v="1"/>
    <x v="1"/>
    <s v="Freshwater"/>
    <s v="2Freshwater"/>
    <s v="Salmon"/>
    <s v="826"/>
    <s v="Cascade River"/>
    <s v="Cascade River"/>
    <s v="Skagit"/>
    <x v="1"/>
    <s v="Skagit"/>
    <s v="02Skagit"/>
    <s v="01North Puget Sound"/>
    <n v="30"/>
    <n v="103.2"/>
  </r>
  <r>
    <n v="588"/>
    <x v="1"/>
    <x v="1"/>
    <x v="1"/>
    <s v="Freshwater"/>
    <s v="2Freshwater"/>
    <s v="Salmon"/>
    <s v="826"/>
    <s v="Cascade River"/>
    <s v="Cascade River"/>
    <s v="Skagit"/>
    <x v="1"/>
    <s v="Snohomish"/>
    <s v="03Snohomish"/>
    <s v="01North Puget Sound"/>
    <n v="60"/>
    <n v="206.4"/>
  </r>
  <r>
    <n v="589"/>
    <x v="1"/>
    <x v="2"/>
    <x v="1"/>
    <s v="Freshwater"/>
    <s v="2Freshwater"/>
    <s v="Salmon"/>
    <s v="826"/>
    <s v="Cascade River"/>
    <s v="Cascade River"/>
    <s v="Skagit"/>
    <x v="1"/>
    <s v="Island"/>
    <s v="04Island"/>
    <s v="01North Puget Sound"/>
    <n v="60.176991150442497"/>
    <n v="207.00884955752218"/>
  </r>
  <r>
    <n v="590"/>
    <x v="1"/>
    <x v="2"/>
    <x v="1"/>
    <s v="Freshwater"/>
    <s v="2Freshwater"/>
    <s v="Salmon"/>
    <s v="826"/>
    <s v="Cascade River"/>
    <s v="Cascade River"/>
    <s v="Skagit"/>
    <x v="1"/>
    <s v="King"/>
    <s v="06King"/>
    <s v="02South Puget Sound"/>
    <n v="240.70796460176999"/>
    <n v="828.03539823008873"/>
  </r>
  <r>
    <n v="591"/>
    <x v="1"/>
    <x v="2"/>
    <x v="1"/>
    <s v="Freshwater"/>
    <s v="2Freshwater"/>
    <s v="Salmon"/>
    <s v="826"/>
    <s v="Cascade River"/>
    <s v="Cascade River"/>
    <s v="Skagit"/>
    <x v="1"/>
    <s v="Kitsap"/>
    <s v="10Kitsap"/>
    <s v="02South Puget Sound"/>
    <n v="52.654867256637203"/>
    <n v="181.13274336283197"/>
  </r>
  <r>
    <n v="592"/>
    <x v="1"/>
    <x v="2"/>
    <x v="1"/>
    <s v="Freshwater"/>
    <s v="2Freshwater"/>
    <s v="Salmon"/>
    <s v="826"/>
    <s v="Cascade River"/>
    <s v="Cascade River"/>
    <s v="Skagit"/>
    <x v="1"/>
    <s v="San Juan"/>
    <s v="05San Juan"/>
    <s v="01North Puget Sound"/>
    <n v="37.610619469026602"/>
    <n v="129.3805309734515"/>
  </r>
  <r>
    <n v="593"/>
    <x v="1"/>
    <x v="2"/>
    <x v="1"/>
    <s v="Freshwater"/>
    <s v="2Freshwater"/>
    <s v="Salmon"/>
    <s v="826"/>
    <s v="Cascade River"/>
    <s v="Cascade River"/>
    <s v="Skagit"/>
    <x v="1"/>
    <s v="Skagit"/>
    <s v="02Skagit"/>
    <s v="01North Puget Sound"/>
    <n v="180.53097345132699"/>
    <n v="621.02654867256479"/>
  </r>
  <r>
    <n v="594"/>
    <x v="1"/>
    <x v="2"/>
    <x v="1"/>
    <s v="Freshwater"/>
    <s v="2Freshwater"/>
    <s v="Salmon"/>
    <s v="826"/>
    <s v="Cascade River"/>
    <s v="Cascade River"/>
    <s v="Skagit"/>
    <x v="1"/>
    <s v="Snohomish"/>
    <s v="03Snohomish"/>
    <s v="01North Puget Sound"/>
    <n v="278.31858407079699"/>
    <n v="957.41592920354162"/>
  </r>
  <r>
    <n v="595"/>
    <x v="1"/>
    <x v="3"/>
    <x v="1"/>
    <s v="Freshwater"/>
    <s v="2Freshwater"/>
    <s v="Salmon"/>
    <s v="826"/>
    <s v="Cascade River"/>
    <s v="Cascade River"/>
    <s v="Skagit"/>
    <x v="1"/>
    <s v="Island"/>
    <s v="04Island"/>
    <s v="01North Puget Sound"/>
    <n v="7.4848484848484897"/>
    <n v="25.747878787878804"/>
  </r>
  <r>
    <n v="596"/>
    <x v="1"/>
    <x v="3"/>
    <x v="1"/>
    <s v="Freshwater"/>
    <s v="2Freshwater"/>
    <s v="Salmon"/>
    <s v="826"/>
    <s v="Cascade River"/>
    <s v="Cascade River"/>
    <s v="Skagit"/>
    <x v="1"/>
    <s v="King"/>
    <s v="06King"/>
    <s v="02South Puget Sound"/>
    <n v="14.969696969697001"/>
    <n v="51.495757575757679"/>
  </r>
  <r>
    <n v="597"/>
    <x v="1"/>
    <x v="3"/>
    <x v="1"/>
    <s v="Freshwater"/>
    <s v="2Freshwater"/>
    <s v="Salmon"/>
    <s v="826"/>
    <s v="Cascade River"/>
    <s v="Cascade River"/>
    <s v="Skagit"/>
    <x v="1"/>
    <s v="Kitsap"/>
    <s v="10Kitsap"/>
    <s v="02South Puget Sound"/>
    <n v="14.969696969697001"/>
    <n v="51.495757575757679"/>
  </r>
  <r>
    <n v="598"/>
    <x v="1"/>
    <x v="3"/>
    <x v="1"/>
    <s v="Freshwater"/>
    <s v="2Freshwater"/>
    <s v="Salmon"/>
    <s v="826"/>
    <s v="Cascade River"/>
    <s v="Cascade River"/>
    <s v="Skagit"/>
    <x v="1"/>
    <s v="Other"/>
    <s v="20Other"/>
    <s v="07Non Puget Sound"/>
    <n v="22.454545454545499"/>
    <n v="77.243636363636512"/>
  </r>
  <r>
    <n v="599"/>
    <x v="1"/>
    <x v="3"/>
    <x v="1"/>
    <s v="Freshwater"/>
    <s v="2Freshwater"/>
    <s v="Salmon"/>
    <s v="826"/>
    <s v="Cascade River"/>
    <s v="Cascade River"/>
    <s v="Skagit"/>
    <x v="1"/>
    <s v="Skagit"/>
    <s v="02Skagit"/>
    <s v="01North Puget Sound"/>
    <n v="37.424242424242401"/>
    <n v="128.73939393939386"/>
  </r>
  <r>
    <n v="600"/>
    <x v="1"/>
    <x v="3"/>
    <x v="1"/>
    <s v="Freshwater"/>
    <s v="2Freshwater"/>
    <s v="Salmon"/>
    <s v="826"/>
    <s v="Cascade River"/>
    <s v="Cascade River"/>
    <s v="Skagit"/>
    <x v="1"/>
    <s v="Snohomish"/>
    <s v="03Snohomish"/>
    <s v="01North Puget Sound"/>
    <n v="149.69696969697"/>
    <n v="514.95757575757682"/>
  </r>
  <r>
    <n v="601"/>
    <x v="1"/>
    <x v="7"/>
    <x v="1"/>
    <s v="Freshwater"/>
    <s v="2Freshwater"/>
    <s v="Salmon"/>
    <s v="830"/>
    <s v="Skagit River"/>
    <s v="Skagit River"/>
    <s v="Skagit/Whatcom"/>
    <x v="4"/>
    <s v="Other"/>
    <s v="20Other"/>
    <s v="07Non Puget Sound"/>
    <n v="8.7142857142857206"/>
    <n v="29.97714285714288"/>
  </r>
  <r>
    <n v="602"/>
    <x v="1"/>
    <x v="7"/>
    <x v="1"/>
    <s v="Freshwater"/>
    <s v="2Freshwater"/>
    <s v="Salmon"/>
    <s v="830"/>
    <s v="Skagit River"/>
    <s v="Skagit River"/>
    <s v="Skagit/Whatcom"/>
    <x v="4"/>
    <s v="Skagit"/>
    <s v="02Skagit"/>
    <s v="01North Puget Sound"/>
    <n v="17.428571428571399"/>
    <n v="59.954285714285611"/>
  </r>
  <r>
    <n v="603"/>
    <x v="1"/>
    <x v="7"/>
    <x v="1"/>
    <s v="Freshwater"/>
    <s v="2Freshwater"/>
    <s v="Salmon"/>
    <s v="830"/>
    <s v="Skagit River"/>
    <s v="Skagit River"/>
    <s v="Skagit/Whatcom"/>
    <x v="4"/>
    <s v="Snohomish"/>
    <s v="03Snohomish"/>
    <s v="01North Puget Sound"/>
    <n v="26.1428571428571"/>
    <n v="89.931428571428427"/>
  </r>
  <r>
    <n v="604"/>
    <x v="1"/>
    <x v="7"/>
    <x v="1"/>
    <s v="Freshwater"/>
    <s v="2Freshwater"/>
    <s v="Salmon"/>
    <s v="830"/>
    <s v="Skagit River"/>
    <s v="Skagit River"/>
    <s v="Skagit/Whatcom"/>
    <x v="4"/>
    <s v="Whatcom"/>
    <s v="01Whatcom"/>
    <s v="01North Puget Sound"/>
    <n v="8.7142857142857206"/>
    <n v="29.97714285714288"/>
  </r>
  <r>
    <n v="605"/>
    <x v="1"/>
    <x v="5"/>
    <x v="1"/>
    <s v="Freshwater"/>
    <s v="2Freshwater"/>
    <s v="Salmon"/>
    <s v="830"/>
    <s v="Skagit River"/>
    <s v="Skagit River"/>
    <s v="Skagit/Whatcom"/>
    <x v="4"/>
    <s v="Other"/>
    <s v="20Other"/>
    <s v="07Non Puget Sound"/>
    <n v="10"/>
    <n v="34.4"/>
  </r>
  <r>
    <n v="606"/>
    <x v="1"/>
    <x v="0"/>
    <x v="1"/>
    <s v="Freshwater"/>
    <s v="2Freshwater"/>
    <s v="Salmon"/>
    <s v="830"/>
    <s v="Skagit River"/>
    <s v="Skagit River"/>
    <s v="Skagit/Whatcom"/>
    <x v="4"/>
    <s v="Island"/>
    <s v="04Island"/>
    <s v="01North Puget Sound"/>
    <n v="485.88413098236799"/>
    <n v="1671.4414105793458"/>
  </r>
  <r>
    <n v="607"/>
    <x v="1"/>
    <x v="0"/>
    <x v="1"/>
    <s v="Freshwater"/>
    <s v="2Freshwater"/>
    <s v="Salmon"/>
    <s v="830"/>
    <s v="Skagit River"/>
    <s v="Skagit River"/>
    <s v="Skagit/Whatcom"/>
    <x v="4"/>
    <s v="King"/>
    <s v="06King"/>
    <s v="02South Puget Sound"/>
    <n v="774.37783375314905"/>
    <n v="2663.8597481108327"/>
  </r>
  <r>
    <n v="608"/>
    <x v="1"/>
    <x v="0"/>
    <x v="1"/>
    <s v="Freshwater"/>
    <s v="2Freshwater"/>
    <s v="Salmon"/>
    <s v="830"/>
    <s v="Skagit River"/>
    <s v="Skagit River"/>
    <s v="Skagit/Whatcom"/>
    <x v="4"/>
    <s v="Kitsap"/>
    <s v="10Kitsap"/>
    <s v="02South Puget Sound"/>
    <n v="45.551637279597003"/>
    <n v="156.69763224181369"/>
  </r>
  <r>
    <n v="609"/>
    <x v="1"/>
    <x v="0"/>
    <x v="1"/>
    <s v="Freshwater"/>
    <s v="2Freshwater"/>
    <s v="Salmon"/>
    <s v="830"/>
    <s v="Skagit River"/>
    <s v="Skagit River"/>
    <s v="Skagit/Whatcom"/>
    <x v="4"/>
    <s v="Other"/>
    <s v="20Other"/>
    <s v="07Non Puget Sound"/>
    <n v="1123.60705289673"/>
    <n v="3865.2082619647513"/>
  </r>
  <r>
    <n v="610"/>
    <x v="1"/>
    <x v="0"/>
    <x v="1"/>
    <s v="Freshwater"/>
    <s v="2Freshwater"/>
    <s v="Salmon"/>
    <s v="830"/>
    <s v="Skagit River"/>
    <s v="Skagit River"/>
    <s v="Skagit/Whatcom"/>
    <x v="4"/>
    <s v="Pierce"/>
    <s v="07Pierce"/>
    <s v="02South Puget Sound"/>
    <n v="45.551637279597003"/>
    <n v="156.69763224181369"/>
  </r>
  <r>
    <n v="611"/>
    <x v="1"/>
    <x v="0"/>
    <x v="1"/>
    <s v="Freshwater"/>
    <s v="2Freshwater"/>
    <s v="Salmon"/>
    <s v="830"/>
    <s v="Skagit River"/>
    <s v="Skagit River"/>
    <s v="Skagit/Whatcom"/>
    <x v="4"/>
    <s v="Skagit"/>
    <s v="02Skagit"/>
    <s v="01North Puget Sound"/>
    <n v="11706.770780856399"/>
    <n v="40271.291486146016"/>
  </r>
  <r>
    <n v="612"/>
    <x v="1"/>
    <x v="0"/>
    <x v="1"/>
    <s v="Freshwater"/>
    <s v="2Freshwater"/>
    <s v="Salmon"/>
    <s v="830"/>
    <s v="Skagit River"/>
    <s v="Skagit River"/>
    <s v="Skagit/Whatcom"/>
    <x v="4"/>
    <s v="Snohomish"/>
    <s v="03Snohomish"/>
    <s v="01North Puget Sound"/>
    <n v="3477.1083123425701"/>
    <n v="11961.252594458441"/>
  </r>
  <r>
    <n v="613"/>
    <x v="1"/>
    <x v="0"/>
    <x v="1"/>
    <s v="Freshwater"/>
    <s v="2Freshwater"/>
    <s v="Salmon"/>
    <s v="830"/>
    <s v="Skagit River"/>
    <s v="Skagit River"/>
    <s v="Skagit/Whatcom"/>
    <x v="4"/>
    <s v="Thurston"/>
    <s v="08Thurston"/>
    <s v="02South Puget Sound"/>
    <n v="7.5919395465994999"/>
    <n v="26.116272040302277"/>
  </r>
  <r>
    <n v="614"/>
    <x v="1"/>
    <x v="0"/>
    <x v="1"/>
    <s v="Freshwater"/>
    <s v="2Freshwater"/>
    <s v="Salmon"/>
    <s v="830"/>
    <s v="Skagit River"/>
    <s v="Skagit River"/>
    <s v="Skagit/Whatcom"/>
    <x v="4"/>
    <s v="Whatcom"/>
    <s v="01Whatcom"/>
    <s v="01North Puget Sound"/>
    <n v="3431.55667506297"/>
    <n v="11804.554962216616"/>
  </r>
  <r>
    <n v="615"/>
    <x v="1"/>
    <x v="1"/>
    <x v="1"/>
    <s v="Freshwater"/>
    <s v="2Freshwater"/>
    <s v="Salmon"/>
    <s v="830"/>
    <s v="Skagit River"/>
    <s v="Skagit River"/>
    <s v="Skagit/Whatcom"/>
    <x v="4"/>
    <s v="Clallam"/>
    <s v="11Clallam"/>
    <s v="03Strait of Juan de Fuca"/>
    <n v="30.3738087918844"/>
    <n v="104.48590224408234"/>
  </r>
  <r>
    <n v="616"/>
    <x v="1"/>
    <x v="1"/>
    <x v="1"/>
    <s v="Freshwater"/>
    <s v="2Freshwater"/>
    <s v="Salmon"/>
    <s v="830"/>
    <s v="Skagit River"/>
    <s v="Skagit River"/>
    <s v="Skagit/Whatcom"/>
    <x v="4"/>
    <s v="Island"/>
    <s v="04Island"/>
    <s v="01North Puget Sound"/>
    <n v="2164.1338764217699"/>
    <n v="7444.6205348908879"/>
  </r>
  <r>
    <n v="617"/>
    <x v="1"/>
    <x v="1"/>
    <x v="1"/>
    <s v="Freshwater"/>
    <s v="2Freshwater"/>
    <s v="Salmon"/>
    <s v="830"/>
    <s v="Skagit River"/>
    <s v="Skagit River"/>
    <s v="Skagit/Whatcom"/>
    <x v="4"/>
    <s v="King"/>
    <s v="06King"/>
    <s v="02South Puget Sound"/>
    <n v="1647.7791269597301"/>
    <n v="5668.3601967414716"/>
  </r>
  <r>
    <n v="618"/>
    <x v="1"/>
    <x v="1"/>
    <x v="1"/>
    <s v="Freshwater"/>
    <s v="2Freshwater"/>
    <s v="Salmon"/>
    <s v="830"/>
    <s v="Skagit River"/>
    <s v="Skagit River"/>
    <s v="Skagit/Whatcom"/>
    <x v="4"/>
    <s v="Kitsap"/>
    <s v="10Kitsap"/>
    <s v="02South Puget Sound"/>
    <n v="68.341069781740003"/>
    <n v="235.09328004918561"/>
  </r>
  <r>
    <n v="619"/>
    <x v="1"/>
    <x v="1"/>
    <x v="1"/>
    <s v="Freshwater"/>
    <s v="2Freshwater"/>
    <s v="Salmon"/>
    <s v="830"/>
    <s v="Skagit River"/>
    <s v="Skagit River"/>
    <s v="Skagit/Whatcom"/>
    <x v="4"/>
    <s v="Mason"/>
    <s v="09Mason"/>
    <s v="02South Puget Sound"/>
    <n v="91.1214263756533"/>
    <n v="313.45770673224735"/>
  </r>
  <r>
    <n v="620"/>
    <x v="1"/>
    <x v="1"/>
    <x v="1"/>
    <s v="Freshwater"/>
    <s v="2Freshwater"/>
    <s v="Salmon"/>
    <s v="830"/>
    <s v="Skagit River"/>
    <s v="Skagit River"/>
    <s v="Skagit/Whatcom"/>
    <x v="4"/>
    <s v="Other"/>
    <s v="20Other"/>
    <s v="07Non Puget Sound"/>
    <n v="2976.6332616046702"/>
    <n v="10239.618419920065"/>
  </r>
  <r>
    <n v="621"/>
    <x v="1"/>
    <x v="1"/>
    <x v="1"/>
    <s v="Freshwater"/>
    <s v="2Freshwater"/>
    <s v="Salmon"/>
    <s v="830"/>
    <s v="Skagit River"/>
    <s v="Skagit River"/>
    <s v="Skagit/Whatcom"/>
    <x v="4"/>
    <s v="Pierce"/>
    <s v="07Pierce"/>
    <s v="02South Puget Sound"/>
    <n v="227.80356593913299"/>
    <n v="783.64426683061754"/>
  </r>
  <r>
    <n v="622"/>
    <x v="1"/>
    <x v="1"/>
    <x v="1"/>
    <s v="Freshwater"/>
    <s v="2Freshwater"/>
    <s v="Salmon"/>
    <s v="830"/>
    <s v="Skagit River"/>
    <s v="Skagit River"/>
    <s v="Skagit/Whatcom"/>
    <x v="4"/>
    <s v="Skagit"/>
    <s v="02Skagit"/>
    <s v="01North Puget Sound"/>
    <n v="23577.669074700301"/>
    <n v="81107.181616969028"/>
  </r>
  <r>
    <n v="623"/>
    <x v="1"/>
    <x v="1"/>
    <x v="1"/>
    <s v="Freshwater"/>
    <s v="2Freshwater"/>
    <s v="Salmon"/>
    <s v="830"/>
    <s v="Skagit River"/>
    <s v="Skagit River"/>
    <s v="Skagit/Whatcom"/>
    <x v="4"/>
    <s v="Snohomish"/>
    <s v="03Snohomish"/>
    <s v="01North Puget Sound"/>
    <n v="8314.8301567783601"/>
    <n v="28603.015739317558"/>
  </r>
  <r>
    <n v="624"/>
    <x v="1"/>
    <x v="1"/>
    <x v="1"/>
    <s v="Freshwater"/>
    <s v="2Freshwater"/>
    <s v="Salmon"/>
    <s v="830"/>
    <s v="Skagit River"/>
    <s v="Skagit River"/>
    <s v="Skagit/Whatcom"/>
    <x v="4"/>
    <s v="Thurston"/>
    <s v="08Thurston"/>
    <s v="02South Puget Sound"/>
    <n v="91.1214263756533"/>
    <n v="313.45770673224735"/>
  </r>
  <r>
    <n v="625"/>
    <x v="1"/>
    <x v="1"/>
    <x v="1"/>
    <s v="Freshwater"/>
    <s v="2Freshwater"/>
    <s v="Salmon"/>
    <s v="830"/>
    <s v="Skagit River"/>
    <s v="Skagit River"/>
    <s v="Skagit/Whatcom"/>
    <x v="4"/>
    <s v="Whatcom"/>
    <s v="01Whatcom"/>
    <s v="01North Puget Sound"/>
    <n v="10213.1932062711"/>
    <n v="35133.384629572582"/>
  </r>
  <r>
    <n v="626"/>
    <x v="1"/>
    <x v="2"/>
    <x v="1"/>
    <s v="Freshwater"/>
    <s v="2Freshwater"/>
    <s v="Salmon"/>
    <s v="830"/>
    <s v="Skagit River"/>
    <s v="Skagit River"/>
    <s v="Skagit/Whatcom"/>
    <x v="4"/>
    <s v="Island"/>
    <s v="04Island"/>
    <s v="01North Puget Sound"/>
    <n v="215.07004470938901"/>
    <n v="739.84095380029817"/>
  </r>
  <r>
    <n v="627"/>
    <x v="1"/>
    <x v="2"/>
    <x v="1"/>
    <s v="Freshwater"/>
    <s v="2Freshwater"/>
    <s v="Salmon"/>
    <s v="830"/>
    <s v="Skagit River"/>
    <s v="Skagit River"/>
    <s v="Skagit/Whatcom"/>
    <x v="4"/>
    <s v="Jefferson"/>
    <s v="12Jefferson"/>
    <s v="03Strait of Juan de Fuca"/>
    <n v="7.6810730253353201"/>
    <n v="26.422891207153501"/>
  </r>
  <r>
    <n v="628"/>
    <x v="1"/>
    <x v="2"/>
    <x v="1"/>
    <s v="Freshwater"/>
    <s v="2Freshwater"/>
    <s v="Salmon"/>
    <s v="830"/>
    <s v="Skagit River"/>
    <s v="Skagit River"/>
    <s v="Skagit/Whatcom"/>
    <x v="4"/>
    <s v="King"/>
    <s v="06King"/>
    <s v="02South Puget Sound"/>
    <n v="238.11326378539499"/>
    <n v="819.10962742175877"/>
  </r>
  <r>
    <n v="629"/>
    <x v="1"/>
    <x v="2"/>
    <x v="1"/>
    <s v="Freshwater"/>
    <s v="2Freshwater"/>
    <s v="Salmon"/>
    <s v="830"/>
    <s v="Skagit River"/>
    <s v="Skagit River"/>
    <s v="Skagit/Whatcom"/>
    <x v="4"/>
    <s v="Kitsap"/>
    <s v="10Kitsap"/>
    <s v="02South Puget Sound"/>
    <n v="15.362146050670599"/>
    <n v="52.845782414306861"/>
  </r>
  <r>
    <n v="630"/>
    <x v="1"/>
    <x v="2"/>
    <x v="1"/>
    <s v="Freshwater"/>
    <s v="2Freshwater"/>
    <s v="Salmon"/>
    <s v="830"/>
    <s v="Skagit River"/>
    <s v="Skagit River"/>
    <s v="Skagit/Whatcom"/>
    <x v="4"/>
    <s v="Other"/>
    <s v="20Other"/>
    <s v="07Non Puget Sound"/>
    <n v="384.053651266766"/>
    <n v="1321.1445603576751"/>
  </r>
  <r>
    <n v="631"/>
    <x v="1"/>
    <x v="2"/>
    <x v="1"/>
    <s v="Freshwater"/>
    <s v="2Freshwater"/>
    <s v="Salmon"/>
    <s v="830"/>
    <s v="Skagit River"/>
    <s v="Skagit River"/>
    <s v="Skagit/Whatcom"/>
    <x v="4"/>
    <s v="Pierce"/>
    <s v="07Pierce"/>
    <s v="02South Puget Sound"/>
    <n v="138.25931445603601"/>
    <n v="475.61204172876387"/>
  </r>
  <r>
    <n v="632"/>
    <x v="1"/>
    <x v="2"/>
    <x v="1"/>
    <s v="Freshwater"/>
    <s v="2Freshwater"/>
    <s v="Salmon"/>
    <s v="830"/>
    <s v="Skagit River"/>
    <s v="Skagit River"/>
    <s v="Skagit/Whatcom"/>
    <x v="4"/>
    <s v="San Juan"/>
    <s v="05San Juan"/>
    <s v="01North Puget Sound"/>
    <n v="15.362146050670599"/>
    <n v="52.845782414306861"/>
  </r>
  <r>
    <n v="633"/>
    <x v="1"/>
    <x v="2"/>
    <x v="1"/>
    <s v="Freshwater"/>
    <s v="2Freshwater"/>
    <s v="Salmon"/>
    <s v="830"/>
    <s v="Skagit River"/>
    <s v="Skagit River"/>
    <s v="Skagit/Whatcom"/>
    <x v="4"/>
    <s v="Skagit"/>
    <s v="02Skagit"/>
    <s v="01North Puget Sound"/>
    <n v="2742.1430700447099"/>
    <n v="9432.9721609538028"/>
  </r>
  <r>
    <n v="634"/>
    <x v="1"/>
    <x v="2"/>
    <x v="1"/>
    <s v="Freshwater"/>
    <s v="2Freshwater"/>
    <s v="Salmon"/>
    <s v="830"/>
    <s v="Skagit River"/>
    <s v="Skagit River"/>
    <s v="Skagit/Whatcom"/>
    <x v="4"/>
    <s v="Snohomish"/>
    <s v="03Snohomish"/>
    <s v="01North Puget Sound"/>
    <n v="560.718330849479"/>
    <n v="1928.8710581222078"/>
  </r>
  <r>
    <n v="635"/>
    <x v="1"/>
    <x v="2"/>
    <x v="1"/>
    <s v="Freshwater"/>
    <s v="2Freshwater"/>
    <s v="Salmon"/>
    <s v="830"/>
    <s v="Skagit River"/>
    <s v="Skagit River"/>
    <s v="Skagit/Whatcom"/>
    <x v="4"/>
    <s v="Thurston"/>
    <s v="08Thurston"/>
    <s v="02South Puget Sound"/>
    <n v="53.767511177347302"/>
    <n v="184.96023845007471"/>
  </r>
  <r>
    <n v="636"/>
    <x v="1"/>
    <x v="2"/>
    <x v="1"/>
    <s v="Freshwater"/>
    <s v="2Freshwater"/>
    <s v="Salmon"/>
    <s v="830"/>
    <s v="Skagit River"/>
    <s v="Skagit River"/>
    <s v="Skagit/Whatcom"/>
    <x v="4"/>
    <s v="Whatcom"/>
    <s v="01Whatcom"/>
    <s v="01North Puget Sound"/>
    <n v="783.46944858420295"/>
    <n v="2695.1349031296581"/>
  </r>
  <r>
    <n v="637"/>
    <x v="1"/>
    <x v="3"/>
    <x v="1"/>
    <s v="Freshwater"/>
    <s v="2Freshwater"/>
    <s v="Salmon"/>
    <s v="830"/>
    <s v="Skagit River"/>
    <s v="Skagit River"/>
    <s v="Skagit/Whatcom"/>
    <x v="4"/>
    <s v="Island"/>
    <s v="04Island"/>
    <s v="01North Puget Sound"/>
    <n v="7.7471264367816097"/>
    <n v="26.650114942528738"/>
  </r>
  <r>
    <n v="638"/>
    <x v="1"/>
    <x v="3"/>
    <x v="1"/>
    <s v="Freshwater"/>
    <s v="2Freshwater"/>
    <s v="Salmon"/>
    <s v="830"/>
    <s v="Skagit River"/>
    <s v="Skagit River"/>
    <s v="Skagit/Whatcom"/>
    <x v="4"/>
    <s v="King"/>
    <s v="06King"/>
    <s v="02South Puget Sound"/>
    <n v="38.735632183908102"/>
    <n v="133.25057471264387"/>
  </r>
  <r>
    <n v="639"/>
    <x v="1"/>
    <x v="3"/>
    <x v="1"/>
    <s v="Freshwater"/>
    <s v="2Freshwater"/>
    <s v="Salmon"/>
    <s v="830"/>
    <s v="Skagit River"/>
    <s v="Skagit River"/>
    <s v="Skagit/Whatcom"/>
    <x v="4"/>
    <s v="Skagit"/>
    <s v="02Skagit"/>
    <s v="01North Puget Sound"/>
    <n v="402.850574712644"/>
    <n v="1385.8059770114953"/>
  </r>
  <r>
    <n v="640"/>
    <x v="1"/>
    <x v="3"/>
    <x v="1"/>
    <s v="Freshwater"/>
    <s v="2Freshwater"/>
    <s v="Salmon"/>
    <s v="830"/>
    <s v="Skagit River"/>
    <s v="Skagit River"/>
    <s v="Skagit/Whatcom"/>
    <x v="4"/>
    <s v="Snohomish"/>
    <s v="03Snohomish"/>
    <s v="01North Puget Sound"/>
    <n v="85.218390804597703"/>
    <n v="293.15126436781611"/>
  </r>
  <r>
    <n v="641"/>
    <x v="1"/>
    <x v="3"/>
    <x v="1"/>
    <s v="Freshwater"/>
    <s v="2Freshwater"/>
    <s v="Salmon"/>
    <s v="830"/>
    <s v="Skagit River"/>
    <s v="Skagit River"/>
    <s v="Skagit/Whatcom"/>
    <x v="4"/>
    <s v="Whatcom"/>
    <s v="01Whatcom"/>
    <s v="01North Puget Sound"/>
    <n v="139.44827586206901"/>
    <n v="479.70206896551741"/>
  </r>
  <r>
    <n v="642"/>
    <x v="1"/>
    <x v="4"/>
    <x v="1"/>
    <s v="Freshwater"/>
    <s v="2Freshwater"/>
    <s v="Salmon"/>
    <s v="830"/>
    <s v="Skagit River"/>
    <s v="Skagit River"/>
    <s v="Skagit/Whatcom"/>
    <x v="4"/>
    <s v="Island"/>
    <s v="04Island"/>
    <s v="01North Puget Sound"/>
    <n v="15.5"/>
    <n v="53.32"/>
  </r>
  <r>
    <n v="643"/>
    <x v="1"/>
    <x v="4"/>
    <x v="1"/>
    <s v="Freshwater"/>
    <s v="2Freshwater"/>
    <s v="Salmon"/>
    <s v="830"/>
    <s v="Skagit River"/>
    <s v="Skagit River"/>
    <s v="Skagit/Whatcom"/>
    <x v="4"/>
    <s v="Whatcom"/>
    <s v="01Whatcom"/>
    <s v="01North Puget Sound"/>
    <n v="15.5"/>
    <n v="53.32"/>
  </r>
  <r>
    <n v="644"/>
    <x v="1"/>
    <x v="0"/>
    <x v="1"/>
    <s v="Freshwater"/>
    <s v="2Freshwater"/>
    <s v="Salmon"/>
    <s v="834"/>
    <s v="Skokomish River"/>
    <s v="Skokomish River"/>
    <s v="Mason"/>
    <x v="2"/>
    <s v="Clallam"/>
    <s v="11Clallam"/>
    <s v="03Strait of Juan de Fuca"/>
    <n v="52.215406562054199"/>
    <n v="179.62099857346644"/>
  </r>
  <r>
    <n v="645"/>
    <x v="1"/>
    <x v="0"/>
    <x v="1"/>
    <s v="Freshwater"/>
    <s v="2Freshwater"/>
    <s v="Salmon"/>
    <s v="834"/>
    <s v="Skokomish River"/>
    <s v="Skokomish River"/>
    <s v="Mason"/>
    <x v="2"/>
    <s v="Island"/>
    <s v="04Island"/>
    <s v="01North Puget Sound"/>
    <n v="44.756062767475001"/>
    <n v="153.960855920114"/>
  </r>
  <r>
    <n v="646"/>
    <x v="1"/>
    <x v="0"/>
    <x v="1"/>
    <s v="Freshwater"/>
    <s v="2Freshwater"/>
    <s v="Salmon"/>
    <s v="834"/>
    <s v="Skokomish River"/>
    <s v="Skokomish River"/>
    <s v="Mason"/>
    <x v="2"/>
    <s v="Jefferson"/>
    <s v="12Jefferson"/>
    <s v="03Strait of Juan de Fuca"/>
    <n v="7.4593437945791701"/>
    <n v="25.660142653352345"/>
  </r>
  <r>
    <n v="647"/>
    <x v="1"/>
    <x v="0"/>
    <x v="1"/>
    <s v="Freshwater"/>
    <s v="2Freshwater"/>
    <s v="Salmon"/>
    <s v="834"/>
    <s v="Skokomish River"/>
    <s v="Skokomish River"/>
    <s v="Mason"/>
    <x v="2"/>
    <s v="King"/>
    <s v="06King"/>
    <s v="02South Puget Sound"/>
    <n v="648.96291012838799"/>
    <n v="2232.4324108416545"/>
  </r>
  <r>
    <n v="648"/>
    <x v="1"/>
    <x v="0"/>
    <x v="1"/>
    <s v="Freshwater"/>
    <s v="2Freshwater"/>
    <s v="Salmon"/>
    <s v="834"/>
    <s v="Skokomish River"/>
    <s v="Skokomish River"/>
    <s v="Mason"/>
    <x v="2"/>
    <s v="Kitsap"/>
    <s v="10Kitsap"/>
    <s v="02South Puget Sound"/>
    <n v="723.55634807418005"/>
    <n v="2489.0338373751792"/>
  </r>
  <r>
    <n v="649"/>
    <x v="1"/>
    <x v="0"/>
    <x v="1"/>
    <s v="Freshwater"/>
    <s v="2Freshwater"/>
    <s v="Salmon"/>
    <s v="834"/>
    <s v="Skokomish River"/>
    <s v="Skokomish River"/>
    <s v="Mason"/>
    <x v="2"/>
    <s v="Mason"/>
    <s v="09Mason"/>
    <s v="02South Puget Sound"/>
    <n v="738.47503566333796"/>
    <n v="2540.3541226818825"/>
  </r>
  <r>
    <n v="650"/>
    <x v="1"/>
    <x v="0"/>
    <x v="1"/>
    <s v="Freshwater"/>
    <s v="2Freshwater"/>
    <s v="Salmon"/>
    <s v="834"/>
    <s v="Skokomish River"/>
    <s v="Skokomish River"/>
    <s v="Mason"/>
    <x v="2"/>
    <s v="Other"/>
    <s v="20Other"/>
    <s v="07Non Puget Sound"/>
    <n v="425.182596291013"/>
    <n v="1462.6281312410847"/>
  </r>
  <r>
    <n v="651"/>
    <x v="1"/>
    <x v="0"/>
    <x v="1"/>
    <s v="Freshwater"/>
    <s v="2Freshwater"/>
    <s v="Salmon"/>
    <s v="834"/>
    <s v="Skokomish River"/>
    <s v="Skokomish River"/>
    <s v="Mason"/>
    <x v="2"/>
    <s v="Pierce"/>
    <s v="07Pierce"/>
    <s v="02South Puget Sound"/>
    <n v="1171.1169757489299"/>
    <n v="4028.6423965763188"/>
  </r>
  <r>
    <n v="652"/>
    <x v="1"/>
    <x v="0"/>
    <x v="1"/>
    <s v="Freshwater"/>
    <s v="2Freshwater"/>
    <s v="Salmon"/>
    <s v="834"/>
    <s v="Skokomish River"/>
    <s v="Skokomish River"/>
    <s v="Mason"/>
    <x v="2"/>
    <s v="Snohomish"/>
    <s v="03Snohomish"/>
    <s v="01North Puget Sound"/>
    <n v="111.89015691868801"/>
    <n v="384.90213980028676"/>
  </r>
  <r>
    <n v="653"/>
    <x v="1"/>
    <x v="0"/>
    <x v="1"/>
    <s v="Freshwater"/>
    <s v="2Freshwater"/>
    <s v="Salmon"/>
    <s v="834"/>
    <s v="Skokomish River"/>
    <s v="Skokomish River"/>
    <s v="Mason"/>
    <x v="2"/>
    <s v="Thurston"/>
    <s v="08Thurston"/>
    <s v="02South Puget Sound"/>
    <n v="1305.3851640513601"/>
    <n v="4490.5249643366787"/>
  </r>
  <r>
    <n v="654"/>
    <x v="1"/>
    <x v="1"/>
    <x v="1"/>
    <s v="Freshwater"/>
    <s v="2Freshwater"/>
    <s v="Salmon"/>
    <s v="834"/>
    <s v="Skokomish River"/>
    <s v="Skokomish River"/>
    <s v="Mason"/>
    <x v="2"/>
    <s v="King"/>
    <s v="06King"/>
    <s v="02South Puget Sound"/>
    <n v="237.29230769230799"/>
    <n v="816.28553846153943"/>
  </r>
  <r>
    <n v="655"/>
    <x v="1"/>
    <x v="1"/>
    <x v="1"/>
    <s v="Freshwater"/>
    <s v="2Freshwater"/>
    <s v="Salmon"/>
    <s v="834"/>
    <s v="Skokomish River"/>
    <s v="Skokomish River"/>
    <s v="Mason"/>
    <x v="2"/>
    <s v="Kitsap"/>
    <s v="10Kitsap"/>
    <s v="02South Puget Sound"/>
    <n v="467.16923076923098"/>
    <n v="1607.0621538461546"/>
  </r>
  <r>
    <n v="656"/>
    <x v="1"/>
    <x v="1"/>
    <x v="1"/>
    <s v="Freshwater"/>
    <s v="2Freshwater"/>
    <s v="Salmon"/>
    <s v="834"/>
    <s v="Skokomish River"/>
    <s v="Skokomish River"/>
    <s v="Mason"/>
    <x v="2"/>
    <s v="Mason"/>
    <s v="09Mason"/>
    <s v="02South Puget Sound"/>
    <n v="704.46153846153902"/>
    <n v="2423.3476923076942"/>
  </r>
  <r>
    <n v="657"/>
    <x v="1"/>
    <x v="1"/>
    <x v="1"/>
    <s v="Freshwater"/>
    <s v="2Freshwater"/>
    <s v="Salmon"/>
    <s v="834"/>
    <s v="Skokomish River"/>
    <s v="Skokomish River"/>
    <s v="Mason"/>
    <x v="2"/>
    <s v="Other"/>
    <s v="20Other"/>
    <s v="07Non Puget Sound"/>
    <n v="185.38461538461499"/>
    <n v="637.7230769230755"/>
  </r>
  <r>
    <n v="658"/>
    <x v="1"/>
    <x v="1"/>
    <x v="1"/>
    <s v="Freshwater"/>
    <s v="2Freshwater"/>
    <s v="Salmon"/>
    <s v="834"/>
    <s v="Skokomish River"/>
    <s v="Skokomish River"/>
    <s v="Mason"/>
    <x v="2"/>
    <s v="Pierce"/>
    <s v="07Pierce"/>
    <s v="02South Puget Sound"/>
    <n v="207.630769230769"/>
    <n v="714.2498461538454"/>
  </r>
  <r>
    <n v="659"/>
    <x v="1"/>
    <x v="1"/>
    <x v="1"/>
    <s v="Freshwater"/>
    <s v="2Freshwater"/>
    <s v="Salmon"/>
    <s v="834"/>
    <s v="Skokomish River"/>
    <s v="Skokomish River"/>
    <s v="Mason"/>
    <x v="2"/>
    <s v="Snohomish"/>
    <s v="03Snohomish"/>
    <s v="01North Puget Sound"/>
    <n v="29.661538461538498"/>
    <n v="102.03569230769243"/>
  </r>
  <r>
    <n v="660"/>
    <x v="1"/>
    <x v="1"/>
    <x v="1"/>
    <s v="Freshwater"/>
    <s v="2Freshwater"/>
    <s v="Salmon"/>
    <s v="834"/>
    <s v="Skokomish River"/>
    <s v="Skokomish River"/>
    <s v="Mason"/>
    <x v="2"/>
    <s v="Thurston"/>
    <s v="08Thurston"/>
    <s v="02South Puget Sound"/>
    <n v="548.73846153846205"/>
    <n v="1887.6603076923095"/>
  </r>
  <r>
    <n v="661"/>
    <x v="1"/>
    <x v="1"/>
    <x v="1"/>
    <s v="Freshwater"/>
    <s v="2Freshwater"/>
    <s v="Salmon"/>
    <s v="834"/>
    <s v="Skokomish River"/>
    <s v="Skokomish River"/>
    <s v="Mason"/>
    <x v="2"/>
    <s v="Whatcom"/>
    <s v="01Whatcom"/>
    <s v="01North Puget Sound"/>
    <n v="29.661538461538498"/>
    <n v="102.03569230769243"/>
  </r>
  <r>
    <n v="662"/>
    <x v="1"/>
    <x v="2"/>
    <x v="1"/>
    <s v="Freshwater"/>
    <s v="2Freshwater"/>
    <s v="Salmon"/>
    <s v="834"/>
    <s v="Skokomish River"/>
    <s v="Skokomish River"/>
    <s v="Mason"/>
    <x v="2"/>
    <s v="King"/>
    <s v="06King"/>
    <s v="02South Puget Sound"/>
    <n v="247.17105263157899"/>
    <n v="850.26842105263165"/>
  </r>
  <r>
    <n v="663"/>
    <x v="1"/>
    <x v="2"/>
    <x v="1"/>
    <s v="Freshwater"/>
    <s v="2Freshwater"/>
    <s v="Salmon"/>
    <s v="834"/>
    <s v="Skokomish River"/>
    <s v="Skokomish River"/>
    <s v="Mason"/>
    <x v="2"/>
    <s v="Kitsap"/>
    <s v="10Kitsap"/>
    <s v="02South Puget Sound"/>
    <n v="218.092105263158"/>
    <n v="750.23684210526358"/>
  </r>
  <r>
    <n v="664"/>
    <x v="1"/>
    <x v="2"/>
    <x v="1"/>
    <s v="Freshwater"/>
    <s v="2Freshwater"/>
    <s v="Salmon"/>
    <s v="834"/>
    <s v="Skokomish River"/>
    <s v="Skokomish River"/>
    <s v="Mason"/>
    <x v="2"/>
    <s v="Mason"/>
    <s v="09Mason"/>
    <s v="02South Puget Sound"/>
    <n v="196.282894736842"/>
    <n v="675.21315789473647"/>
  </r>
  <r>
    <n v="665"/>
    <x v="1"/>
    <x v="2"/>
    <x v="1"/>
    <s v="Freshwater"/>
    <s v="2Freshwater"/>
    <s v="Salmon"/>
    <s v="834"/>
    <s v="Skokomish River"/>
    <s v="Skokomish River"/>
    <s v="Mason"/>
    <x v="2"/>
    <s v="Other"/>
    <s v="20Other"/>
    <s v="07Non Puget Sound"/>
    <n v="159.93421052631601"/>
    <n v="550.17368421052709"/>
  </r>
  <r>
    <n v="666"/>
    <x v="1"/>
    <x v="2"/>
    <x v="1"/>
    <s v="Freshwater"/>
    <s v="2Freshwater"/>
    <s v="Salmon"/>
    <s v="834"/>
    <s v="Skokomish River"/>
    <s v="Skokomish River"/>
    <s v="Mason"/>
    <x v="2"/>
    <s v="Pierce"/>
    <s v="07Pierce"/>
    <s v="02South Puget Sound"/>
    <n v="101.776315789474"/>
    <n v="350.11052631579054"/>
  </r>
  <r>
    <n v="667"/>
    <x v="1"/>
    <x v="2"/>
    <x v="1"/>
    <s v="Freshwater"/>
    <s v="2Freshwater"/>
    <s v="Salmon"/>
    <s v="834"/>
    <s v="Skokomish River"/>
    <s v="Skokomish River"/>
    <s v="Mason"/>
    <x v="2"/>
    <s v="Snohomish"/>
    <s v="03Snohomish"/>
    <s v="01North Puget Sound"/>
    <n v="79.967105263157904"/>
    <n v="275.0868421052632"/>
  </r>
  <r>
    <n v="668"/>
    <x v="1"/>
    <x v="2"/>
    <x v="1"/>
    <s v="Freshwater"/>
    <s v="2Freshwater"/>
    <s v="Salmon"/>
    <s v="834"/>
    <s v="Skokomish River"/>
    <s v="Skokomish River"/>
    <s v="Mason"/>
    <x v="2"/>
    <s v="Thurston"/>
    <s v="08Thurston"/>
    <s v="02South Puget Sound"/>
    <n v="101.776315789474"/>
    <n v="350.11052631579054"/>
  </r>
  <r>
    <n v="669"/>
    <x v="1"/>
    <x v="3"/>
    <x v="1"/>
    <s v="Freshwater"/>
    <s v="2Freshwater"/>
    <s v="Salmon"/>
    <s v="834"/>
    <s v="Skokomish River"/>
    <s v="Skokomish River"/>
    <s v="Mason"/>
    <x v="2"/>
    <s v="King"/>
    <s v="06King"/>
    <s v="02South Puget Sound"/>
    <n v="700.47328244274797"/>
    <n v="2409.6280916030528"/>
  </r>
  <r>
    <n v="670"/>
    <x v="1"/>
    <x v="3"/>
    <x v="1"/>
    <s v="Freshwater"/>
    <s v="2Freshwater"/>
    <s v="Salmon"/>
    <s v="834"/>
    <s v="Skokomish River"/>
    <s v="Skokomish River"/>
    <s v="Mason"/>
    <x v="2"/>
    <s v="Kitsap"/>
    <s v="10Kitsap"/>
    <s v="02South Puget Sound"/>
    <n v="281.63358778626002"/>
    <n v="968.81954198473443"/>
  </r>
  <r>
    <n v="671"/>
    <x v="1"/>
    <x v="3"/>
    <x v="1"/>
    <s v="Freshwater"/>
    <s v="2Freshwater"/>
    <s v="Salmon"/>
    <s v="834"/>
    <s v="Skokomish River"/>
    <s v="Skokomish River"/>
    <s v="Mason"/>
    <x v="2"/>
    <s v="Mason"/>
    <s v="09Mason"/>
    <s v="02South Puget Sound"/>
    <n v="202.19847328244299"/>
    <n v="695.56274809160391"/>
  </r>
  <r>
    <n v="672"/>
    <x v="1"/>
    <x v="3"/>
    <x v="1"/>
    <s v="Freshwater"/>
    <s v="2Freshwater"/>
    <s v="Salmon"/>
    <s v="834"/>
    <s v="Skokomish River"/>
    <s v="Skokomish River"/>
    <s v="Mason"/>
    <x v="2"/>
    <s v="Other"/>
    <s v="20Other"/>
    <s v="07Non Puget Sound"/>
    <n v="151.648854961832"/>
    <n v="521.67206106870208"/>
  </r>
  <r>
    <n v="673"/>
    <x v="1"/>
    <x v="3"/>
    <x v="1"/>
    <s v="Freshwater"/>
    <s v="2Freshwater"/>
    <s v="Salmon"/>
    <s v="834"/>
    <s v="Skokomish River"/>
    <s v="Skokomish River"/>
    <s v="Mason"/>
    <x v="2"/>
    <s v="Pierce"/>
    <s v="07Pierce"/>
    <s v="02South Puget Sound"/>
    <n v="202.19847328244299"/>
    <n v="695.56274809160391"/>
  </r>
  <r>
    <n v="674"/>
    <x v="1"/>
    <x v="3"/>
    <x v="1"/>
    <s v="Freshwater"/>
    <s v="2Freshwater"/>
    <s v="Salmon"/>
    <s v="834"/>
    <s v="Skokomish River"/>
    <s v="Skokomish River"/>
    <s v="Mason"/>
    <x v="2"/>
    <s v="Snohomish"/>
    <s v="03Snohomish"/>
    <s v="01North Puget Sound"/>
    <n v="57.770992366412202"/>
    <n v="198.73221374045798"/>
  </r>
  <r>
    <n v="675"/>
    <x v="1"/>
    <x v="3"/>
    <x v="1"/>
    <s v="Freshwater"/>
    <s v="2Freshwater"/>
    <s v="Salmon"/>
    <s v="834"/>
    <s v="Skokomish River"/>
    <s v="Skokomish River"/>
    <s v="Mason"/>
    <x v="2"/>
    <s v="Thurston"/>
    <s v="08Thurston"/>
    <s v="02South Puget Sound"/>
    <n v="296.07633587786302"/>
    <n v="1018.5025954198487"/>
  </r>
  <r>
    <n v="676"/>
    <x v="1"/>
    <x v="1"/>
    <x v="1"/>
    <s v="Freshwater"/>
    <s v="2Freshwater"/>
    <s v="Salmon"/>
    <s v="840"/>
    <s v="Pilchuck River (Snohomish System)"/>
    <s v="Pilchuck River (Snohomish System)"/>
    <s v="Snohomish"/>
    <x v="4"/>
    <s v="King"/>
    <s v="06King"/>
    <s v="02South Puget Sound"/>
    <n v="4"/>
    <n v="13.76"/>
  </r>
  <r>
    <n v="677"/>
    <x v="1"/>
    <x v="1"/>
    <x v="1"/>
    <s v="Freshwater"/>
    <s v="2Freshwater"/>
    <s v="Salmon"/>
    <s v="840"/>
    <s v="Pilchuck River (Snohomish System)"/>
    <s v="Pilchuck River (Snohomish System)"/>
    <s v="Snohomish"/>
    <x v="4"/>
    <s v="Snohomish"/>
    <s v="03Snohomish"/>
    <s v="01North Puget Sound"/>
    <n v="4"/>
    <n v="13.76"/>
  </r>
  <r>
    <n v="678"/>
    <x v="1"/>
    <x v="7"/>
    <x v="1"/>
    <s v="Freshwater"/>
    <s v="2Freshwater"/>
    <s v="Salmon"/>
    <s v="844"/>
    <s v="Skykomish River"/>
    <s v="Skykomish River"/>
    <s v="Snohomish"/>
    <x v="4"/>
    <s v="King"/>
    <s v="06King"/>
    <s v="02South Puget Sound"/>
    <n v="28.75"/>
    <n v="98.899999999999991"/>
  </r>
  <r>
    <n v="679"/>
    <x v="1"/>
    <x v="7"/>
    <x v="1"/>
    <s v="Freshwater"/>
    <s v="2Freshwater"/>
    <s v="Salmon"/>
    <s v="844"/>
    <s v="Skykomish River"/>
    <s v="Skykomish River"/>
    <s v="Snohomish"/>
    <x v="4"/>
    <s v="Other"/>
    <s v="20Other"/>
    <s v="07Non Puget Sound"/>
    <n v="14.375"/>
    <n v="49.449999999999996"/>
  </r>
  <r>
    <n v="680"/>
    <x v="1"/>
    <x v="7"/>
    <x v="1"/>
    <s v="Freshwater"/>
    <s v="2Freshwater"/>
    <s v="Salmon"/>
    <s v="844"/>
    <s v="Skykomish River"/>
    <s v="Skykomish River"/>
    <s v="Snohomish"/>
    <x v="4"/>
    <s v="Pierce"/>
    <s v="07Pierce"/>
    <s v="02South Puget Sound"/>
    <n v="14.375"/>
    <n v="49.449999999999996"/>
  </r>
  <r>
    <n v="681"/>
    <x v="1"/>
    <x v="7"/>
    <x v="1"/>
    <s v="Freshwater"/>
    <s v="2Freshwater"/>
    <s v="Salmon"/>
    <s v="844"/>
    <s v="Skykomish River"/>
    <s v="Skykomish River"/>
    <s v="Snohomish"/>
    <x v="4"/>
    <s v="Snohomish"/>
    <s v="03Snohomish"/>
    <s v="01North Puget Sound"/>
    <n v="50.3125"/>
    <n v="173.07499999999999"/>
  </r>
  <r>
    <n v="682"/>
    <x v="1"/>
    <x v="7"/>
    <x v="1"/>
    <s v="Freshwater"/>
    <s v="2Freshwater"/>
    <s v="Salmon"/>
    <s v="844"/>
    <s v="Skykomish River"/>
    <s v="Skykomish River"/>
    <s v="Snohomish"/>
    <x v="4"/>
    <s v="Thurston"/>
    <s v="08Thurston"/>
    <s v="02South Puget Sound"/>
    <n v="7.1875"/>
    <n v="24.724999999999998"/>
  </r>
  <r>
    <n v="683"/>
    <x v="1"/>
    <x v="5"/>
    <x v="1"/>
    <s v="Freshwater"/>
    <s v="2Freshwater"/>
    <s v="Salmon"/>
    <s v="844"/>
    <s v="Skykomish River"/>
    <s v="Skykomish River"/>
    <s v="Snohomish"/>
    <x v="4"/>
    <s v="King"/>
    <s v="06King"/>
    <s v="02South Puget Sound"/>
    <n v="64.875"/>
    <n v="223.17"/>
  </r>
  <r>
    <n v="684"/>
    <x v="1"/>
    <x v="5"/>
    <x v="1"/>
    <s v="Freshwater"/>
    <s v="2Freshwater"/>
    <s v="Salmon"/>
    <s v="844"/>
    <s v="Skykomish River"/>
    <s v="Skykomish River"/>
    <s v="Snohomish"/>
    <x v="4"/>
    <s v="Other"/>
    <s v="20Other"/>
    <s v="07Non Puget Sound"/>
    <n v="7.2083333333333401"/>
    <n v="24.796666666666688"/>
  </r>
  <r>
    <n v="685"/>
    <x v="1"/>
    <x v="5"/>
    <x v="1"/>
    <s v="Freshwater"/>
    <s v="2Freshwater"/>
    <s v="Salmon"/>
    <s v="844"/>
    <s v="Skykomish River"/>
    <s v="Skykomish River"/>
    <s v="Snohomish"/>
    <x v="4"/>
    <s v="Snohomish"/>
    <s v="03Snohomish"/>
    <s v="01North Puget Sound"/>
    <n v="100.916666666667"/>
    <n v="347.15333333333444"/>
  </r>
  <r>
    <n v="686"/>
    <x v="1"/>
    <x v="0"/>
    <x v="1"/>
    <s v="Freshwater"/>
    <s v="2Freshwater"/>
    <s v="Salmon"/>
    <s v="844"/>
    <s v="Skykomish River"/>
    <s v="Skykomish River"/>
    <s v="Snohomish"/>
    <x v="4"/>
    <s v="King"/>
    <s v="06King"/>
    <s v="02South Puget Sound"/>
    <n v="482.27011494252901"/>
    <n v="1659.0091954022998"/>
  </r>
  <r>
    <n v="687"/>
    <x v="1"/>
    <x v="0"/>
    <x v="1"/>
    <s v="Freshwater"/>
    <s v="2Freshwater"/>
    <s v="Salmon"/>
    <s v="844"/>
    <s v="Skykomish River"/>
    <s v="Skykomish River"/>
    <s v="Snohomish"/>
    <x v="4"/>
    <s v="Other"/>
    <s v="20Other"/>
    <s v="07Non Puget Sound"/>
    <n v="59.356321839080501"/>
    <n v="204.18574712643692"/>
  </r>
  <r>
    <n v="688"/>
    <x v="1"/>
    <x v="0"/>
    <x v="1"/>
    <s v="Freshwater"/>
    <s v="2Freshwater"/>
    <s v="Salmon"/>
    <s v="844"/>
    <s v="Skykomish River"/>
    <s v="Skykomish River"/>
    <s v="Snohomish"/>
    <x v="4"/>
    <s v="Pierce"/>
    <s v="07Pierce"/>
    <s v="02South Puget Sound"/>
    <n v="0"/>
    <n v="0"/>
  </r>
  <r>
    <n v="689"/>
    <x v="1"/>
    <x v="0"/>
    <x v="1"/>
    <s v="Freshwater"/>
    <s v="2Freshwater"/>
    <s v="Salmon"/>
    <s v="844"/>
    <s v="Skykomish River"/>
    <s v="Skykomish River"/>
    <s v="Snohomish"/>
    <x v="4"/>
    <s v="Snohomish"/>
    <s v="03Snohomish"/>
    <s v="01North Puget Sound"/>
    <n v="749.37356321839104"/>
    <n v="2577.8450574712651"/>
  </r>
  <r>
    <n v="690"/>
    <x v="1"/>
    <x v="1"/>
    <x v="1"/>
    <s v="Freshwater"/>
    <s v="2Freshwater"/>
    <s v="Salmon"/>
    <s v="844"/>
    <s v="Skykomish River"/>
    <s v="Skykomish River"/>
    <s v="Snohomish"/>
    <x v="4"/>
    <s v="King"/>
    <s v="06King"/>
    <s v="02South Puget Sound"/>
    <n v="2523.0371203599602"/>
    <n v="8679.2476940382639"/>
  </r>
  <r>
    <n v="691"/>
    <x v="1"/>
    <x v="1"/>
    <x v="1"/>
    <s v="Freshwater"/>
    <s v="2Freshwater"/>
    <s v="Salmon"/>
    <s v="844"/>
    <s v="Skykomish River"/>
    <s v="Skykomish River"/>
    <s v="Snohomish"/>
    <x v="4"/>
    <s v="Kitsap"/>
    <s v="10Kitsap"/>
    <s v="02South Puget Sound"/>
    <n v="7.4206974128234"/>
    <n v="25.527199100112497"/>
  </r>
  <r>
    <n v="692"/>
    <x v="1"/>
    <x v="1"/>
    <x v="1"/>
    <s v="Freshwater"/>
    <s v="2Freshwater"/>
    <s v="Salmon"/>
    <s v="844"/>
    <s v="Skykomish River"/>
    <s v="Skykomish River"/>
    <s v="Snohomish"/>
    <x v="4"/>
    <s v="Other"/>
    <s v="20Other"/>
    <s v="07Non Puget Sound"/>
    <n v="764.33183352081005"/>
    <n v="2629.3015073115866"/>
  </r>
  <r>
    <n v="693"/>
    <x v="1"/>
    <x v="1"/>
    <x v="1"/>
    <s v="Freshwater"/>
    <s v="2Freshwater"/>
    <s v="Salmon"/>
    <s v="844"/>
    <s v="Skykomish River"/>
    <s v="Skykomish River"/>
    <s v="Snohomish"/>
    <x v="4"/>
    <s v="Pierce"/>
    <s v="07Pierce"/>
    <s v="02South Puget Sound"/>
    <n v="96.469066366704197"/>
    <n v="331.85358830146242"/>
  </r>
  <r>
    <n v="694"/>
    <x v="1"/>
    <x v="1"/>
    <x v="1"/>
    <s v="Freshwater"/>
    <s v="2Freshwater"/>
    <s v="Salmon"/>
    <s v="844"/>
    <s v="Skykomish River"/>
    <s v="Skykomish River"/>
    <s v="Snohomish"/>
    <x v="4"/>
    <s v="Skagit"/>
    <s v="02Skagit"/>
    <s v="01North Puget Sound"/>
    <n v="66.786276715410594"/>
    <n v="229.74479190101243"/>
  </r>
  <r>
    <n v="695"/>
    <x v="1"/>
    <x v="1"/>
    <x v="1"/>
    <s v="Freshwater"/>
    <s v="2Freshwater"/>
    <s v="Salmon"/>
    <s v="844"/>
    <s v="Skykomish River"/>
    <s v="Skykomish River"/>
    <s v="Snohomish"/>
    <x v="4"/>
    <s v="Snohomish"/>
    <s v="03Snohomish"/>
    <s v="01North Puget Sound"/>
    <n v="3035.0652418447698"/>
    <n v="10440.624431946007"/>
  </r>
  <r>
    <n v="696"/>
    <x v="1"/>
    <x v="1"/>
    <x v="1"/>
    <s v="Freshwater"/>
    <s v="2Freshwater"/>
    <s v="Salmon"/>
    <s v="844"/>
    <s v="Skykomish River"/>
    <s v="Skykomish River"/>
    <s v="Snohomish"/>
    <x v="4"/>
    <s v="Thurston"/>
    <s v="08Thurston"/>
    <s v="02South Puget Sound"/>
    <n v="29.6827896512936"/>
    <n v="102.10879640044999"/>
  </r>
  <r>
    <n v="697"/>
    <x v="1"/>
    <x v="1"/>
    <x v="1"/>
    <s v="Freshwater"/>
    <s v="2Freshwater"/>
    <s v="Salmon"/>
    <s v="844"/>
    <s v="Skykomish River"/>
    <s v="Skykomish River"/>
    <s v="Snohomish"/>
    <x v="4"/>
    <s v="Whatcom"/>
    <s v="01Whatcom"/>
    <s v="01North Puget Sound"/>
    <n v="74.206974128233995"/>
    <n v="255.27199100112495"/>
  </r>
  <r>
    <n v="698"/>
    <x v="1"/>
    <x v="2"/>
    <x v="1"/>
    <s v="Freshwater"/>
    <s v="2Freshwater"/>
    <s v="Salmon"/>
    <s v="844"/>
    <s v="Skykomish River"/>
    <s v="Skykomish River"/>
    <s v="Snohomish"/>
    <x v="4"/>
    <s v="King"/>
    <s v="06King"/>
    <s v="02South Puget Sound"/>
    <n v="848.09473684210502"/>
    <n v="2917.4458947368412"/>
  </r>
  <r>
    <n v="699"/>
    <x v="1"/>
    <x v="2"/>
    <x v="1"/>
    <s v="Freshwater"/>
    <s v="2Freshwater"/>
    <s v="Salmon"/>
    <s v="844"/>
    <s v="Skykomish River"/>
    <s v="Skykomish River"/>
    <s v="Snohomish"/>
    <x v="4"/>
    <s v="Other"/>
    <s v="20Other"/>
    <s v="07Non Puget Sound"/>
    <n v="202.64210526315799"/>
    <n v="697.08884210526344"/>
  </r>
  <r>
    <n v="700"/>
    <x v="1"/>
    <x v="2"/>
    <x v="1"/>
    <s v="Freshwater"/>
    <s v="2Freshwater"/>
    <s v="Salmon"/>
    <s v="844"/>
    <s v="Skykomish River"/>
    <s v="Skykomish River"/>
    <s v="Snohomish"/>
    <x v="4"/>
    <s v="Pierce"/>
    <s v="07Pierce"/>
    <s v="02South Puget Sound"/>
    <n v="82.557894736842101"/>
    <n v="283.99915789473681"/>
  </r>
  <r>
    <n v="701"/>
    <x v="1"/>
    <x v="2"/>
    <x v="1"/>
    <s v="Freshwater"/>
    <s v="2Freshwater"/>
    <s v="Salmon"/>
    <s v="844"/>
    <s v="Skykomish River"/>
    <s v="Skykomish River"/>
    <s v="Snohomish"/>
    <x v="4"/>
    <s v="Skagit"/>
    <s v="02Skagit"/>
    <s v="01North Puget Sound"/>
    <n v="45.031578947368402"/>
    <n v="154.90863157894731"/>
  </r>
  <r>
    <n v="702"/>
    <x v="1"/>
    <x v="2"/>
    <x v="1"/>
    <s v="Freshwater"/>
    <s v="2Freshwater"/>
    <s v="Salmon"/>
    <s v="844"/>
    <s v="Skykomish River"/>
    <s v="Skykomish River"/>
    <s v="Snohomish"/>
    <x v="4"/>
    <s v="Snohomish"/>
    <s v="03Snohomish"/>
    <s v="01North Puget Sound"/>
    <n v="1673.6736842105299"/>
    <n v="5757.4374736842228"/>
  </r>
  <r>
    <n v="703"/>
    <x v="1"/>
    <x v="3"/>
    <x v="1"/>
    <s v="Freshwater"/>
    <s v="2Freshwater"/>
    <s v="Salmon"/>
    <s v="844"/>
    <s v="Skykomish River"/>
    <s v="Skykomish River"/>
    <s v="Snohomish"/>
    <x v="4"/>
    <s v="King"/>
    <s v="06King"/>
    <s v="02South Puget Sound"/>
    <n v="333.78125"/>
    <n v="1148.2075"/>
  </r>
  <r>
    <n v="704"/>
    <x v="1"/>
    <x v="3"/>
    <x v="1"/>
    <s v="Freshwater"/>
    <s v="2Freshwater"/>
    <s v="Salmon"/>
    <s v="844"/>
    <s v="Skykomish River"/>
    <s v="Skykomish River"/>
    <s v="Snohomish"/>
    <x v="4"/>
    <s v="Kitsap"/>
    <s v="10Kitsap"/>
    <s v="02South Puget Sound"/>
    <n v="7.5859375"/>
    <n v="26.095624999999998"/>
  </r>
  <r>
    <n v="705"/>
    <x v="1"/>
    <x v="3"/>
    <x v="1"/>
    <s v="Freshwater"/>
    <s v="2Freshwater"/>
    <s v="Salmon"/>
    <s v="844"/>
    <s v="Skykomish River"/>
    <s v="Skykomish River"/>
    <s v="Snohomish"/>
    <x v="4"/>
    <s v="Other"/>
    <s v="20Other"/>
    <s v="07Non Puget Sound"/>
    <n v="60.6875"/>
    <n v="208.76499999999999"/>
  </r>
  <r>
    <n v="706"/>
    <x v="1"/>
    <x v="3"/>
    <x v="1"/>
    <s v="Freshwater"/>
    <s v="2Freshwater"/>
    <s v="Salmon"/>
    <s v="844"/>
    <s v="Skykomish River"/>
    <s v="Skykomish River"/>
    <s v="Snohomish"/>
    <x v="4"/>
    <s v="Pierce"/>
    <s v="07Pierce"/>
    <s v="02South Puget Sound"/>
    <n v="30.34375"/>
    <n v="104.38249999999999"/>
  </r>
  <r>
    <n v="707"/>
    <x v="1"/>
    <x v="3"/>
    <x v="1"/>
    <s v="Freshwater"/>
    <s v="2Freshwater"/>
    <s v="Salmon"/>
    <s v="844"/>
    <s v="Skykomish River"/>
    <s v="Skykomish River"/>
    <s v="Snohomish"/>
    <x v="4"/>
    <s v="Skagit"/>
    <s v="02Skagit"/>
    <s v="01North Puget Sound"/>
    <n v="30.34375"/>
    <n v="104.38249999999999"/>
  </r>
  <r>
    <n v="708"/>
    <x v="1"/>
    <x v="3"/>
    <x v="1"/>
    <s v="Freshwater"/>
    <s v="2Freshwater"/>
    <s v="Salmon"/>
    <s v="844"/>
    <s v="Skykomish River"/>
    <s v="Skykomish River"/>
    <s v="Snohomish"/>
    <x v="4"/>
    <s v="Snohomish"/>
    <s v="03Snohomish"/>
    <s v="01North Puget Sound"/>
    <n v="493.0859375"/>
    <n v="1696.215625"/>
  </r>
  <r>
    <n v="709"/>
    <x v="1"/>
    <x v="3"/>
    <x v="1"/>
    <s v="Freshwater"/>
    <s v="2Freshwater"/>
    <s v="Salmon"/>
    <s v="844"/>
    <s v="Skykomish River"/>
    <s v="Skykomish River"/>
    <s v="Snohomish"/>
    <x v="4"/>
    <s v="Thurston"/>
    <s v="08Thurston"/>
    <s v="02South Puget Sound"/>
    <n v="15.171875"/>
    <n v="52.191249999999997"/>
  </r>
  <r>
    <n v="710"/>
    <x v="1"/>
    <x v="4"/>
    <x v="1"/>
    <s v="Freshwater"/>
    <s v="2Freshwater"/>
    <s v="Salmon"/>
    <s v="844"/>
    <s v="Skykomish River"/>
    <s v="Skykomish River"/>
    <s v="Snohomish"/>
    <x v="4"/>
    <s v="King"/>
    <s v="06King"/>
    <s v="02South Puget Sound"/>
    <n v="22.7368421052632"/>
    <n v="78.21473684210541"/>
  </r>
  <r>
    <n v="711"/>
    <x v="1"/>
    <x v="4"/>
    <x v="1"/>
    <s v="Freshwater"/>
    <s v="2Freshwater"/>
    <s v="Salmon"/>
    <s v="844"/>
    <s v="Skykomish River"/>
    <s v="Skykomish River"/>
    <s v="Snohomish"/>
    <x v="4"/>
    <s v="Snohomish"/>
    <s v="03Snohomish"/>
    <s v="01North Puget Sound"/>
    <n v="121.26315789473701"/>
    <n v="417.14526315789527"/>
  </r>
  <r>
    <n v="712"/>
    <x v="1"/>
    <x v="0"/>
    <x v="1"/>
    <s v="Freshwater"/>
    <s v="2Freshwater"/>
    <s v="Salmon"/>
    <s v="850"/>
    <s v="Snohomish River"/>
    <s v="Snohomish River"/>
    <s v="Snohomish"/>
    <x v="4"/>
    <s v="Clallam"/>
    <s v="11Clallam"/>
    <s v="03Strait of Juan de Fuca"/>
    <n v="30.0863723608445"/>
    <n v="103.49712092130508"/>
  </r>
  <r>
    <n v="713"/>
    <x v="1"/>
    <x v="0"/>
    <x v="1"/>
    <s v="Freshwater"/>
    <s v="2Freshwater"/>
    <s v="Salmon"/>
    <s v="850"/>
    <s v="Snohomish River"/>
    <s v="Snohomish River"/>
    <s v="Snohomish"/>
    <x v="4"/>
    <s v="Island"/>
    <s v="04Island"/>
    <s v="01North Puget Sound"/>
    <n v="22.564779270633402"/>
    <n v="77.622840690978904"/>
  </r>
  <r>
    <n v="714"/>
    <x v="1"/>
    <x v="0"/>
    <x v="1"/>
    <s v="Freshwater"/>
    <s v="2Freshwater"/>
    <s v="Salmon"/>
    <s v="850"/>
    <s v="Snohomish River"/>
    <s v="Snohomish River"/>
    <s v="Snohomish"/>
    <x v="4"/>
    <s v="King"/>
    <s v="06King"/>
    <s v="02South Puget Sound"/>
    <n v="3008.6372360844498"/>
    <n v="10349.712092130507"/>
  </r>
  <r>
    <n v="715"/>
    <x v="1"/>
    <x v="0"/>
    <x v="1"/>
    <s v="Freshwater"/>
    <s v="2Freshwater"/>
    <s v="Salmon"/>
    <s v="850"/>
    <s v="Snohomish River"/>
    <s v="Snohomish River"/>
    <s v="Snohomish"/>
    <x v="4"/>
    <s v="Other"/>
    <s v="20Other"/>
    <s v="07Non Puget Sound"/>
    <n v="1143.2821497120899"/>
    <n v="3932.8905950095891"/>
  </r>
  <r>
    <n v="716"/>
    <x v="1"/>
    <x v="0"/>
    <x v="1"/>
    <s v="Freshwater"/>
    <s v="2Freshwater"/>
    <s v="Salmon"/>
    <s v="850"/>
    <s v="Snohomish River"/>
    <s v="Snohomish River"/>
    <s v="Snohomish"/>
    <x v="4"/>
    <s v="Pierce"/>
    <s v="07Pierce"/>
    <s v="02South Puget Sound"/>
    <n v="75.215930902111296"/>
    <n v="258.74280230326286"/>
  </r>
  <r>
    <n v="717"/>
    <x v="1"/>
    <x v="0"/>
    <x v="1"/>
    <s v="Freshwater"/>
    <s v="2Freshwater"/>
    <s v="Salmon"/>
    <s v="850"/>
    <s v="Snohomish River"/>
    <s v="Snohomish River"/>
    <s v="Snohomish"/>
    <x v="4"/>
    <s v="Skagit"/>
    <s v="02Skagit"/>
    <s v="01North Puget Sound"/>
    <n v="45.129558541266803"/>
    <n v="155.24568138195781"/>
  </r>
  <r>
    <n v="718"/>
    <x v="1"/>
    <x v="0"/>
    <x v="1"/>
    <s v="Freshwater"/>
    <s v="2Freshwater"/>
    <s v="Salmon"/>
    <s v="850"/>
    <s v="Snohomish River"/>
    <s v="Snohomish River"/>
    <s v="Snohomish"/>
    <x v="4"/>
    <s v="Snohomish"/>
    <s v="03Snohomish"/>
    <s v="01North Puget Sound"/>
    <n v="11267.346449136299"/>
    <n v="38759.67178502887"/>
  </r>
  <r>
    <n v="719"/>
    <x v="1"/>
    <x v="0"/>
    <x v="1"/>
    <s v="Freshwater"/>
    <s v="2Freshwater"/>
    <s v="Salmon"/>
    <s v="850"/>
    <s v="Snohomish River"/>
    <s v="Snohomish River"/>
    <s v="Snohomish"/>
    <x v="4"/>
    <s v="Thurston"/>
    <s v="08Thurston"/>
    <s v="02South Puget Sound"/>
    <n v="60.172744721689099"/>
    <n v="206.99424184261051"/>
  </r>
  <r>
    <n v="720"/>
    <x v="1"/>
    <x v="0"/>
    <x v="1"/>
    <s v="Freshwater"/>
    <s v="2Freshwater"/>
    <s v="Salmon"/>
    <s v="850"/>
    <s v="Snohomish River"/>
    <s v="Snohomish River"/>
    <s v="Snohomish"/>
    <x v="4"/>
    <s v="Whatcom"/>
    <s v="01Whatcom"/>
    <s v="01North Puget Sound"/>
    <n v="22.564779270633402"/>
    <n v="77.622840690978904"/>
  </r>
  <r>
    <n v="721"/>
    <x v="1"/>
    <x v="1"/>
    <x v="1"/>
    <s v="Freshwater"/>
    <s v="2Freshwater"/>
    <s v="Salmon"/>
    <s v="850"/>
    <s v="Snohomish River"/>
    <s v="Snohomish River"/>
    <s v="Snohomish"/>
    <x v="4"/>
    <s v="Island"/>
    <s v="04Island"/>
    <s v="01North Puget Sound"/>
    <n v="22.557193207305399"/>
    <n v="77.596744633130569"/>
  </r>
  <r>
    <n v="722"/>
    <x v="1"/>
    <x v="1"/>
    <x v="1"/>
    <s v="Freshwater"/>
    <s v="2Freshwater"/>
    <s v="Salmon"/>
    <s v="850"/>
    <s v="Snohomish River"/>
    <s v="Snohomish River"/>
    <s v="Snohomish"/>
    <x v="4"/>
    <s v="King"/>
    <s v="06King"/>
    <s v="02South Puget Sound"/>
    <n v="9834.9362383851403"/>
    <n v="33832.180660044884"/>
  </r>
  <r>
    <n v="723"/>
    <x v="1"/>
    <x v="1"/>
    <x v="1"/>
    <s v="Freshwater"/>
    <s v="2Freshwater"/>
    <s v="Salmon"/>
    <s v="850"/>
    <s v="Snohomish River"/>
    <s v="Snohomish River"/>
    <s v="Snohomish"/>
    <x v="4"/>
    <s v="Kitsap"/>
    <s v="10Kitsap"/>
    <s v="02South Puget Sound"/>
    <n v="52.633450817045798"/>
    <n v="181.05907081063754"/>
  </r>
  <r>
    <n v="724"/>
    <x v="1"/>
    <x v="1"/>
    <x v="1"/>
    <s v="Freshwater"/>
    <s v="2Freshwater"/>
    <s v="Salmon"/>
    <s v="850"/>
    <s v="Snohomish River"/>
    <s v="Snohomish River"/>
    <s v="Snohomish"/>
    <x v="4"/>
    <s v="Mason"/>
    <s v="09Mason"/>
    <s v="02South Puget Sound"/>
    <n v="30.076257609740502"/>
    <n v="103.46232617750732"/>
  </r>
  <r>
    <n v="725"/>
    <x v="1"/>
    <x v="1"/>
    <x v="1"/>
    <s v="Freshwater"/>
    <s v="2Freshwater"/>
    <s v="Salmon"/>
    <s v="850"/>
    <s v="Snohomish River"/>
    <s v="Snohomish River"/>
    <s v="Snohomish"/>
    <x v="4"/>
    <s v="Other"/>
    <s v="20Other"/>
    <s v="07Non Puget Sound"/>
    <n v="2872.28260173021"/>
    <n v="9880.6521499519222"/>
  </r>
  <r>
    <n v="726"/>
    <x v="1"/>
    <x v="1"/>
    <x v="1"/>
    <s v="Freshwater"/>
    <s v="2Freshwater"/>
    <s v="Salmon"/>
    <s v="850"/>
    <s v="Snohomish River"/>
    <s v="Snohomish River"/>
    <s v="Snohomish"/>
    <x v="4"/>
    <s v="Pierce"/>
    <s v="07Pierce"/>
    <s v="02South Puget Sound"/>
    <n v="233.09099647548899"/>
    <n v="801.83302787568209"/>
  </r>
  <r>
    <n v="727"/>
    <x v="1"/>
    <x v="1"/>
    <x v="1"/>
    <s v="Freshwater"/>
    <s v="2Freshwater"/>
    <s v="Salmon"/>
    <s v="850"/>
    <s v="Snohomish River"/>
    <s v="Snohomish River"/>
    <s v="Snohomish"/>
    <x v="4"/>
    <s v="Skagit"/>
    <s v="02Skagit"/>
    <s v="01North Puget Sound"/>
    <n v="383.47228452419102"/>
    <n v="1319.1446587632172"/>
  </r>
  <r>
    <n v="728"/>
    <x v="1"/>
    <x v="1"/>
    <x v="1"/>
    <s v="Freshwater"/>
    <s v="2Freshwater"/>
    <s v="Salmon"/>
    <s v="850"/>
    <s v="Snohomish River"/>
    <s v="Snohomish River"/>
    <s v="Snohomish"/>
    <x v="4"/>
    <s v="Snohomish"/>
    <s v="03Snohomish"/>
    <s v="01North Puget Sound"/>
    <n v="33098.921499519398"/>
    <n v="113860.28995834672"/>
  </r>
  <r>
    <n v="729"/>
    <x v="1"/>
    <x v="1"/>
    <x v="1"/>
    <s v="Freshwater"/>
    <s v="2Freshwater"/>
    <s v="Salmon"/>
    <s v="850"/>
    <s v="Snohomish River"/>
    <s v="Snohomish River"/>
    <s v="Snohomish"/>
    <x v="4"/>
    <s v="Thurston"/>
    <s v="08Thurston"/>
    <s v="02South Puget Sound"/>
    <n v="300.76257609740497"/>
    <n v="1034.6232617750732"/>
  </r>
  <r>
    <n v="730"/>
    <x v="1"/>
    <x v="1"/>
    <x v="1"/>
    <s v="Freshwater"/>
    <s v="2Freshwater"/>
    <s v="Salmon"/>
    <s v="850"/>
    <s v="Snohomish River"/>
    <s v="Snohomish River"/>
    <s v="Snohomish"/>
    <x v="4"/>
    <s v="Whatcom"/>
    <s v="01Whatcom"/>
    <s v="01North Puget Sound"/>
    <n v="105.26690163409199"/>
    <n v="362.11814162127644"/>
  </r>
  <r>
    <n v="731"/>
    <x v="1"/>
    <x v="2"/>
    <x v="1"/>
    <s v="Freshwater"/>
    <s v="2Freshwater"/>
    <s v="Salmon"/>
    <s v="850"/>
    <s v="Snohomish River"/>
    <s v="Snohomish River"/>
    <s v="Snohomish"/>
    <x v="4"/>
    <s v="Clallam"/>
    <s v="11Clallam"/>
    <s v="03Strait of Juan de Fuca"/>
    <n v="7.4418604651162799"/>
    <n v="25.6"/>
  </r>
  <r>
    <n v="732"/>
    <x v="1"/>
    <x v="2"/>
    <x v="1"/>
    <s v="Freshwater"/>
    <s v="2Freshwater"/>
    <s v="Salmon"/>
    <s v="850"/>
    <s v="Snohomish River"/>
    <s v="Snohomish River"/>
    <s v="Snohomish"/>
    <x v="4"/>
    <s v="King"/>
    <s v="06King"/>
    <s v="02South Puget Sound"/>
    <n v="1146.0465116279099"/>
    <n v="3942.4000000000101"/>
  </r>
  <r>
    <n v="733"/>
    <x v="1"/>
    <x v="2"/>
    <x v="1"/>
    <s v="Freshwater"/>
    <s v="2Freshwater"/>
    <s v="Salmon"/>
    <s v="850"/>
    <s v="Snohomish River"/>
    <s v="Snohomish River"/>
    <s v="Snohomish"/>
    <x v="4"/>
    <s v="Other"/>
    <s v="20Other"/>
    <s v="07Non Puget Sound"/>
    <n v="200.93023255814001"/>
    <n v="691.20000000000164"/>
  </r>
  <r>
    <n v="734"/>
    <x v="1"/>
    <x v="2"/>
    <x v="1"/>
    <s v="Freshwater"/>
    <s v="2Freshwater"/>
    <s v="Salmon"/>
    <s v="850"/>
    <s v="Snohomish River"/>
    <s v="Snohomish River"/>
    <s v="Snohomish"/>
    <x v="4"/>
    <s v="Pierce"/>
    <s v="07Pierce"/>
    <s v="02South Puget Sound"/>
    <n v="14.883720930232601"/>
    <n v="51.200000000000145"/>
  </r>
  <r>
    <n v="735"/>
    <x v="1"/>
    <x v="2"/>
    <x v="1"/>
    <s v="Freshwater"/>
    <s v="2Freshwater"/>
    <s v="Salmon"/>
    <s v="850"/>
    <s v="Snohomish River"/>
    <s v="Snohomish River"/>
    <s v="Snohomish"/>
    <x v="4"/>
    <s v="Snohomish"/>
    <s v="03Snohomish"/>
    <s v="01North Puget Sound"/>
    <n v="3371.1627906976801"/>
    <n v="11596.800000000019"/>
  </r>
  <r>
    <n v="736"/>
    <x v="1"/>
    <x v="2"/>
    <x v="1"/>
    <s v="Freshwater"/>
    <s v="2Freshwater"/>
    <s v="Salmon"/>
    <s v="850"/>
    <s v="Snohomish River"/>
    <s v="Snohomish River"/>
    <s v="Snohomish"/>
    <x v="4"/>
    <s v="Whatcom"/>
    <s v="01Whatcom"/>
    <s v="01North Puget Sound"/>
    <n v="59.534883720930203"/>
    <n v="204.7999999999999"/>
  </r>
  <r>
    <n v="737"/>
    <x v="1"/>
    <x v="3"/>
    <x v="1"/>
    <s v="Freshwater"/>
    <s v="2Freshwater"/>
    <s v="Salmon"/>
    <s v="850"/>
    <s v="Snohomish River"/>
    <s v="Snohomish River"/>
    <s v="Snohomish"/>
    <x v="4"/>
    <s v="Snohomish"/>
    <s v="03Snohomish"/>
    <s v="01North Puget Sound"/>
    <n v="112"/>
    <n v="385.28"/>
  </r>
  <r>
    <n v="738"/>
    <x v="1"/>
    <x v="1"/>
    <x v="1"/>
    <s v="Freshwater"/>
    <s v="2Freshwater"/>
    <s v="Salmon"/>
    <s v="852"/>
    <s v="Snoqualmie River"/>
    <s v="Snoqualmie River"/>
    <s v="Snohomish/King"/>
    <x v="4"/>
    <s v="King"/>
    <s v="06King"/>
    <s v="02South Puget Sound"/>
    <n v="312.86153846153798"/>
    <n v="1076.2436923076907"/>
  </r>
  <r>
    <n v="739"/>
    <x v="1"/>
    <x v="1"/>
    <x v="1"/>
    <s v="Freshwater"/>
    <s v="2Freshwater"/>
    <s v="Salmon"/>
    <s v="852"/>
    <s v="Snoqualmie River"/>
    <s v="Snoqualmie River"/>
    <s v="Snohomish/King"/>
    <x v="4"/>
    <s v="Other"/>
    <s v="20Other"/>
    <s v="07Non Puget Sound"/>
    <n v="53.415384615384603"/>
    <n v="183.74892307692303"/>
  </r>
  <r>
    <n v="740"/>
    <x v="1"/>
    <x v="1"/>
    <x v="1"/>
    <s v="Freshwater"/>
    <s v="2Freshwater"/>
    <s v="Salmon"/>
    <s v="852"/>
    <s v="Snoqualmie River"/>
    <s v="Snoqualmie River"/>
    <s v="Snohomish/King"/>
    <x v="4"/>
    <s v="Snohomish"/>
    <s v="03Snohomish"/>
    <s v="01North Puget Sound"/>
    <n v="129.723076923077"/>
    <n v="446.24738461538487"/>
  </r>
  <r>
    <n v="741"/>
    <x v="1"/>
    <x v="2"/>
    <x v="1"/>
    <s v="Freshwater"/>
    <s v="2Freshwater"/>
    <s v="Salmon"/>
    <s v="852"/>
    <s v="Snoqualmie River"/>
    <s v="Snoqualmie River"/>
    <s v="Snohomish/King"/>
    <x v="4"/>
    <s v="King"/>
    <s v="06King"/>
    <s v="02South Puget Sound"/>
    <n v="266.92682926829298"/>
    <n v="918.22829268292787"/>
  </r>
  <r>
    <n v="742"/>
    <x v="1"/>
    <x v="2"/>
    <x v="1"/>
    <s v="Freshwater"/>
    <s v="2Freshwater"/>
    <s v="Salmon"/>
    <s v="852"/>
    <s v="Snoqualmie River"/>
    <s v="Snoqualmie River"/>
    <s v="Snohomish/King"/>
    <x v="4"/>
    <s v="Snohomish"/>
    <s v="03Snohomish"/>
    <s v="01North Puget Sound"/>
    <n v="37.0731707317073"/>
    <n v="127.53170731707311"/>
  </r>
  <r>
    <n v="743"/>
    <x v="1"/>
    <x v="3"/>
    <x v="1"/>
    <s v="Freshwater"/>
    <s v="2Freshwater"/>
    <s v="Salmon"/>
    <s v="852"/>
    <s v="Snoqualmie River"/>
    <s v="Snoqualmie River"/>
    <s v="Snohomish/King"/>
    <x v="4"/>
    <s v="King"/>
    <s v="06King"/>
    <s v="02South Puget Sound"/>
    <n v="122.777777777778"/>
    <n v="422.35555555555629"/>
  </r>
  <r>
    <n v="744"/>
    <x v="1"/>
    <x v="3"/>
    <x v="1"/>
    <s v="Freshwater"/>
    <s v="2Freshwater"/>
    <s v="Salmon"/>
    <s v="852"/>
    <s v="Snoqualmie River"/>
    <s v="Snoqualmie River"/>
    <s v="Snohomish/King"/>
    <x v="4"/>
    <s v="Snohomish"/>
    <s v="03Snohomish"/>
    <s v="01North Puget Sound"/>
    <n v="7.2222222222222197"/>
    <n v="24.844444444444434"/>
  </r>
  <r>
    <n v="745"/>
    <x v="1"/>
    <x v="4"/>
    <x v="1"/>
    <s v="Freshwater"/>
    <s v="2Freshwater"/>
    <s v="Salmon"/>
    <s v="852"/>
    <s v="Snoqualmie River"/>
    <s v="Snoqualmie River"/>
    <s v="Snohomish/King"/>
    <x v="4"/>
    <s v="King"/>
    <s v="06King"/>
    <s v="02South Puget Sound"/>
    <n v="36"/>
    <n v="123.84"/>
  </r>
  <r>
    <n v="746"/>
    <x v="1"/>
    <x v="2"/>
    <x v="1"/>
    <s v="Freshwater"/>
    <s v="2Freshwater"/>
    <s v="Salmon"/>
    <s v="858"/>
    <s v="Tolt River"/>
    <s v="Tolt River"/>
    <s v="King"/>
    <x v="4"/>
    <s v="King"/>
    <s v="06King"/>
    <s v="02South Puget Sound"/>
    <n v="3"/>
    <n v="10.32"/>
  </r>
  <r>
    <n v="747"/>
    <x v="1"/>
    <x v="3"/>
    <x v="1"/>
    <s v="Freshwater"/>
    <s v="2Freshwater"/>
    <s v="Salmon"/>
    <s v="858"/>
    <s v="Tolt River"/>
    <s v="Tolt River"/>
    <s v="King"/>
    <x v="4"/>
    <s v="King"/>
    <s v="06King"/>
    <s v="02South Puget Sound"/>
    <n v="1"/>
    <n v="3.44"/>
  </r>
  <r>
    <n v="748"/>
    <x v="1"/>
    <x v="0"/>
    <x v="1"/>
    <s v="Freshwater"/>
    <s v="2Freshwater"/>
    <s v="Salmon"/>
    <s v="872"/>
    <s v="Stillaguamish River"/>
    <s v="Stillaguamish River"/>
    <s v="Snohomish"/>
    <x v="4"/>
    <s v="King"/>
    <s v="06King"/>
    <s v="02South Puget Sound"/>
    <n v="2"/>
    <n v="6.88"/>
  </r>
  <r>
    <n v="749"/>
    <x v="1"/>
    <x v="0"/>
    <x v="1"/>
    <s v="Freshwater"/>
    <s v="2Freshwater"/>
    <s v="Salmon"/>
    <s v="872"/>
    <s v="Stillaguamish River"/>
    <s v="Stillaguamish River"/>
    <s v="Snohomish"/>
    <x v="4"/>
    <s v="Snohomish"/>
    <s v="03Snohomish"/>
    <s v="01North Puget Sound"/>
    <n v="6"/>
    <n v="20.64"/>
  </r>
  <r>
    <n v="750"/>
    <x v="1"/>
    <x v="1"/>
    <x v="1"/>
    <s v="Freshwater"/>
    <s v="2Freshwater"/>
    <s v="Salmon"/>
    <s v="872"/>
    <s v="Stillaguamish River"/>
    <s v="Stillaguamish River"/>
    <s v="Snohomish"/>
    <x v="4"/>
    <s v="Clallam"/>
    <s v="11Clallam"/>
    <s v="03Strait of Juan de Fuca"/>
    <n v="88.247689463955695"/>
    <n v="303.57205175600757"/>
  </r>
  <r>
    <n v="751"/>
    <x v="1"/>
    <x v="1"/>
    <x v="1"/>
    <s v="Freshwater"/>
    <s v="2Freshwater"/>
    <s v="Salmon"/>
    <s v="872"/>
    <s v="Stillaguamish River"/>
    <s v="Stillaguamish River"/>
    <s v="Snohomish"/>
    <x v="4"/>
    <s v="Island"/>
    <s v="04Island"/>
    <s v="01North Puget Sound"/>
    <n v="323.574861367837"/>
    <n v="1113.0975231053592"/>
  </r>
  <r>
    <n v="752"/>
    <x v="1"/>
    <x v="1"/>
    <x v="1"/>
    <s v="Freshwater"/>
    <s v="2Freshwater"/>
    <s v="Salmon"/>
    <s v="872"/>
    <s v="Stillaguamish River"/>
    <s v="Stillaguamish River"/>
    <s v="Snohomish"/>
    <x v="4"/>
    <s v="King"/>
    <s v="06King"/>
    <s v="02South Puget Sound"/>
    <n v="661.85767097966698"/>
    <n v="2276.7903881700545"/>
  </r>
  <r>
    <n v="753"/>
    <x v="1"/>
    <x v="1"/>
    <x v="1"/>
    <s v="Freshwater"/>
    <s v="2Freshwater"/>
    <s v="Salmon"/>
    <s v="872"/>
    <s v="Stillaguamish River"/>
    <s v="Stillaguamish River"/>
    <s v="Snohomish"/>
    <x v="4"/>
    <s v="Other"/>
    <s v="20Other"/>
    <s v="07Non Puget Sound"/>
    <n v="250.03512014787401"/>
    <n v="860.12081330868659"/>
  </r>
  <r>
    <n v="754"/>
    <x v="1"/>
    <x v="1"/>
    <x v="1"/>
    <s v="Freshwater"/>
    <s v="2Freshwater"/>
    <s v="Salmon"/>
    <s v="872"/>
    <s v="Stillaguamish River"/>
    <s v="Stillaguamish River"/>
    <s v="Snohomish"/>
    <x v="4"/>
    <s v="Skagit"/>
    <s v="02Skagit"/>
    <s v="01North Puget Sound"/>
    <n v="227.97319778188501"/>
    <n v="784.22780036968436"/>
  </r>
  <r>
    <n v="755"/>
    <x v="1"/>
    <x v="1"/>
    <x v="1"/>
    <s v="Freshwater"/>
    <s v="2Freshwater"/>
    <s v="Salmon"/>
    <s v="872"/>
    <s v="Stillaguamish River"/>
    <s v="Stillaguamish River"/>
    <s v="Snohomish"/>
    <x v="4"/>
    <s v="Snohomish"/>
    <s v="03Snohomish"/>
    <s v="01North Puget Sound"/>
    <n v="6177.3382624769001"/>
    <n v="21250.043622920537"/>
  </r>
  <r>
    <n v="756"/>
    <x v="1"/>
    <x v="1"/>
    <x v="1"/>
    <s v="Freshwater"/>
    <s v="2Freshwater"/>
    <s v="Salmon"/>
    <s v="872"/>
    <s v="Stillaguamish River"/>
    <s v="Stillaguamish River"/>
    <s v="Snohomish"/>
    <x v="4"/>
    <s v="Thurston"/>
    <s v="08Thurston"/>
    <s v="02South Puget Sound"/>
    <n v="7.3539741219963002"/>
    <n v="25.297670979667274"/>
  </r>
  <r>
    <n v="757"/>
    <x v="1"/>
    <x v="1"/>
    <x v="1"/>
    <s v="Freshwater"/>
    <s v="2Freshwater"/>
    <s v="Salmon"/>
    <s v="872"/>
    <s v="Stillaguamish River"/>
    <s v="Stillaguamish River"/>
    <s v="Snohomish"/>
    <x v="4"/>
    <s v="Whatcom"/>
    <s v="01Whatcom"/>
    <s v="01North Puget Sound"/>
    <n v="220.619223659889"/>
    <n v="758.93012939001812"/>
  </r>
  <r>
    <n v="758"/>
    <x v="1"/>
    <x v="2"/>
    <x v="1"/>
    <s v="Freshwater"/>
    <s v="2Freshwater"/>
    <s v="Salmon"/>
    <s v="872"/>
    <s v="Stillaguamish River"/>
    <s v="Stillaguamish River"/>
    <s v="Snohomish"/>
    <x v="4"/>
    <s v="Island"/>
    <s v="04Island"/>
    <s v="01North Puget Sound"/>
    <n v="80.786046511627902"/>
    <n v="277.904"/>
  </r>
  <r>
    <n v="759"/>
    <x v="1"/>
    <x v="2"/>
    <x v="1"/>
    <s v="Freshwater"/>
    <s v="2Freshwater"/>
    <s v="Salmon"/>
    <s v="872"/>
    <s v="Stillaguamish River"/>
    <s v="Stillaguamish River"/>
    <s v="Snohomish"/>
    <x v="4"/>
    <s v="King"/>
    <s v="06King"/>
    <s v="02South Puget Sound"/>
    <n v="110.162790697674"/>
    <n v="378.95999999999856"/>
  </r>
  <r>
    <n v="760"/>
    <x v="1"/>
    <x v="2"/>
    <x v="1"/>
    <s v="Freshwater"/>
    <s v="2Freshwater"/>
    <s v="Salmon"/>
    <s v="872"/>
    <s v="Stillaguamish River"/>
    <s v="Stillaguamish River"/>
    <s v="Snohomish"/>
    <x v="4"/>
    <s v="Pierce"/>
    <s v="07Pierce"/>
    <s v="02South Puget Sound"/>
    <n v="7.3441860465116298"/>
    <n v="25.264000000000006"/>
  </r>
  <r>
    <n v="761"/>
    <x v="1"/>
    <x v="2"/>
    <x v="1"/>
    <s v="Freshwater"/>
    <s v="2Freshwater"/>
    <s v="Salmon"/>
    <s v="872"/>
    <s v="Stillaguamish River"/>
    <s v="Stillaguamish River"/>
    <s v="Snohomish"/>
    <x v="4"/>
    <s v="Skagit"/>
    <s v="02Skagit"/>
    <s v="01North Puget Sound"/>
    <n v="22.032558139534899"/>
    <n v="75.792000000000058"/>
  </r>
  <r>
    <n v="762"/>
    <x v="1"/>
    <x v="2"/>
    <x v="1"/>
    <s v="Freshwater"/>
    <s v="2Freshwater"/>
    <s v="Salmon"/>
    <s v="872"/>
    <s v="Stillaguamish River"/>
    <s v="Stillaguamish River"/>
    <s v="Snohomish"/>
    <x v="4"/>
    <s v="Snohomish"/>
    <s v="03Snohomish"/>
    <s v="01North Puget Sound"/>
    <n v="1321.9534883720901"/>
    <n v="4547.5199999999895"/>
  </r>
  <r>
    <n v="763"/>
    <x v="1"/>
    <x v="2"/>
    <x v="1"/>
    <s v="Freshwater"/>
    <s v="2Freshwater"/>
    <s v="Salmon"/>
    <s v="872"/>
    <s v="Stillaguamish River"/>
    <s v="Stillaguamish River"/>
    <s v="Snohomish"/>
    <x v="4"/>
    <s v="Whatcom"/>
    <s v="01Whatcom"/>
    <s v="01North Puget Sound"/>
    <n v="36.720930232558104"/>
    <n v="126.31999999999988"/>
  </r>
  <r>
    <n v="764"/>
    <x v="1"/>
    <x v="3"/>
    <x v="1"/>
    <s v="Freshwater"/>
    <s v="2Freshwater"/>
    <s v="Salmon"/>
    <s v="872"/>
    <s v="Stillaguamish River"/>
    <s v="Stillaguamish River"/>
    <s v="Snohomish"/>
    <x v="4"/>
    <s v="Snohomish"/>
    <s v="03Snohomish"/>
    <s v="01North Puget Sound"/>
    <n v="117"/>
    <n v="402.48"/>
  </r>
  <r>
    <n v="765"/>
    <x v="1"/>
    <x v="2"/>
    <x v="1"/>
    <s v="Freshwater"/>
    <s v="2Freshwater"/>
    <s v="Salmon"/>
    <s v="878"/>
    <s v="Tahuya River"/>
    <s v="Tahuya River"/>
    <s v="Mason"/>
    <x v="0"/>
    <s v="Jefferson"/>
    <s v="12Jefferson"/>
    <s v="03Strait of Juan de Fuca"/>
    <n v="15.0714285714286"/>
    <n v="51.845714285714379"/>
  </r>
  <r>
    <n v="766"/>
    <x v="1"/>
    <x v="2"/>
    <x v="1"/>
    <s v="Freshwater"/>
    <s v="2Freshwater"/>
    <s v="Salmon"/>
    <s v="878"/>
    <s v="Tahuya River"/>
    <s v="Tahuya River"/>
    <s v="Mason"/>
    <x v="0"/>
    <s v="King"/>
    <s v="06King"/>
    <s v="02South Puget Sound"/>
    <n v="15.0714285714286"/>
    <n v="51.845714285714379"/>
  </r>
  <r>
    <n v="767"/>
    <x v="1"/>
    <x v="2"/>
    <x v="1"/>
    <s v="Freshwater"/>
    <s v="2Freshwater"/>
    <s v="Salmon"/>
    <s v="878"/>
    <s v="Tahuya River"/>
    <s v="Tahuya River"/>
    <s v="Mason"/>
    <x v="0"/>
    <s v="Kitsap"/>
    <s v="10Kitsap"/>
    <s v="02South Puget Sound"/>
    <n v="105.5"/>
    <n v="362.92"/>
  </r>
  <r>
    <n v="768"/>
    <x v="1"/>
    <x v="2"/>
    <x v="1"/>
    <s v="Freshwater"/>
    <s v="2Freshwater"/>
    <s v="Salmon"/>
    <s v="878"/>
    <s v="Tahuya River"/>
    <s v="Tahuya River"/>
    <s v="Mason"/>
    <x v="0"/>
    <s v="Mason"/>
    <s v="09Mason"/>
    <s v="02South Puget Sound"/>
    <n v="60.285714285714299"/>
    <n v="207.38285714285718"/>
  </r>
  <r>
    <n v="769"/>
    <x v="1"/>
    <x v="2"/>
    <x v="1"/>
    <s v="Freshwater"/>
    <s v="2Freshwater"/>
    <s v="Salmon"/>
    <s v="878"/>
    <s v="Tahuya River"/>
    <s v="Tahuya River"/>
    <s v="Mason"/>
    <x v="0"/>
    <s v="Pierce"/>
    <s v="07Pierce"/>
    <s v="02South Puget Sound"/>
    <n v="15.0714285714286"/>
    <n v="51.845714285714379"/>
  </r>
  <r>
    <n v="770"/>
    <x v="1"/>
    <x v="0"/>
    <x v="1"/>
    <s v="Freshwater"/>
    <s v="2Freshwater"/>
    <s v="Salmon"/>
    <s v="884"/>
    <s v="Whatcom Creek"/>
    <s v="Whatcom Creek"/>
    <s v="Whatcom"/>
    <x v="1"/>
    <s v="Whatcom"/>
    <s v="01Whatcom"/>
    <s v="01North Puget Sound"/>
    <n v="54"/>
    <n v="185.76"/>
  </r>
  <r>
    <n v="771"/>
    <x v="1"/>
    <x v="1"/>
    <x v="1"/>
    <s v="Freshwater"/>
    <s v="2Freshwater"/>
    <s v="Salmon"/>
    <s v="884"/>
    <s v="Whatcom Creek"/>
    <s v="Whatcom Creek"/>
    <s v="Whatcom"/>
    <x v="1"/>
    <s v="Whatcom"/>
    <s v="01Whatcom"/>
    <s v="01North Puget Sound"/>
    <n v="83"/>
    <n v="285.52"/>
  </r>
  <r>
    <n v="772"/>
    <x v="1"/>
    <x v="2"/>
    <x v="1"/>
    <s v="Freshwater"/>
    <s v="2Freshwater"/>
    <s v="Salmon"/>
    <s v="884"/>
    <s v="Whatcom Creek"/>
    <s v="Whatcom Creek"/>
    <s v="Whatcom"/>
    <x v="1"/>
    <s v="King"/>
    <s v="06King"/>
    <s v="02South Puget Sound"/>
    <n v="14.75"/>
    <n v="50.74"/>
  </r>
  <r>
    <n v="773"/>
    <x v="1"/>
    <x v="2"/>
    <x v="1"/>
    <s v="Freshwater"/>
    <s v="2Freshwater"/>
    <s v="Salmon"/>
    <s v="884"/>
    <s v="Whatcom Creek"/>
    <s v="Whatcom Creek"/>
    <s v="Whatcom"/>
    <x v="1"/>
    <s v="Whatcom"/>
    <s v="01Whatcom"/>
    <s v="01North Puget Sound"/>
    <n v="44.25"/>
    <n v="152.22"/>
  </r>
  <r>
    <n v="774"/>
    <x v="1"/>
    <x v="3"/>
    <x v="1"/>
    <s v="Freshwater"/>
    <s v="2Freshwater"/>
    <s v="Salmon"/>
    <s v="884"/>
    <s v="Whatcom Creek"/>
    <s v="Whatcom Creek"/>
    <s v="Whatcom"/>
    <x v="1"/>
    <s v="Island"/>
    <s v="04Island"/>
    <s v="01North Puget Sound"/>
    <n v="22.837499999999999"/>
    <n v="78.560999999999993"/>
  </r>
  <r>
    <n v="775"/>
    <x v="1"/>
    <x v="3"/>
    <x v="1"/>
    <s v="Freshwater"/>
    <s v="2Freshwater"/>
    <s v="Salmon"/>
    <s v="884"/>
    <s v="Whatcom Creek"/>
    <s v="Whatcom Creek"/>
    <s v="Whatcom"/>
    <x v="1"/>
    <s v="Skagit"/>
    <s v="02Skagit"/>
    <s v="01North Puget Sound"/>
    <n v="76.125"/>
    <n v="261.87"/>
  </r>
  <r>
    <n v="776"/>
    <x v="1"/>
    <x v="3"/>
    <x v="1"/>
    <s v="Freshwater"/>
    <s v="2Freshwater"/>
    <s v="Salmon"/>
    <s v="884"/>
    <s v="Whatcom Creek"/>
    <s v="Whatcom Creek"/>
    <s v="Whatcom"/>
    <x v="1"/>
    <s v="Snohomish"/>
    <s v="03Snohomish"/>
    <s v="01North Puget Sound"/>
    <n v="7.6124999999999998"/>
    <n v="26.186999999999998"/>
  </r>
  <r>
    <n v="777"/>
    <x v="1"/>
    <x v="3"/>
    <x v="1"/>
    <s v="Freshwater"/>
    <s v="2Freshwater"/>
    <s v="Salmon"/>
    <s v="884"/>
    <s v="Whatcom Creek"/>
    <s v="Whatcom Creek"/>
    <s v="Whatcom"/>
    <x v="1"/>
    <s v="Whatcom"/>
    <s v="01Whatcom"/>
    <s v="01North Puget Sound"/>
    <n v="502.42500000000001"/>
    <n v="1728.3420000000001"/>
  </r>
  <r>
    <n v="778"/>
    <x v="1"/>
    <x v="4"/>
    <x v="1"/>
    <s v="Freshwater"/>
    <s v="2Freshwater"/>
    <s v="Salmon"/>
    <s v="884"/>
    <s v="Whatcom Creek"/>
    <s v="Whatcom Creek"/>
    <s v="Whatcom"/>
    <x v="1"/>
    <s v="Skagit"/>
    <s v="02Skagit"/>
    <s v="01North Puget Sound"/>
    <n v="30.461538461538499"/>
    <n v="104.78769230769244"/>
  </r>
  <r>
    <n v="779"/>
    <x v="1"/>
    <x v="4"/>
    <x v="1"/>
    <s v="Freshwater"/>
    <s v="2Freshwater"/>
    <s v="Salmon"/>
    <s v="884"/>
    <s v="Whatcom Creek"/>
    <s v="Whatcom Creek"/>
    <s v="Whatcom"/>
    <x v="1"/>
    <s v="Whatcom"/>
    <s v="01Whatcom"/>
    <s v="01North Puget Sound"/>
    <n v="68.538461538461604"/>
    <n v="235.77230769230792"/>
  </r>
  <r>
    <n v="780"/>
    <x v="2"/>
    <x v="0"/>
    <x v="2"/>
    <s v="Freshwater"/>
    <s v="2Freshwater"/>
    <s v="Salmon"/>
    <s v="714"/>
    <s v="Chambers Creek"/>
    <s v="Chambers Creek"/>
    <s v="Pierce"/>
    <x v="0"/>
    <s v="King"/>
    <s v="06King"/>
    <s v="02South Puget Sound"/>
    <n v="15.3333333333333"/>
    <n v="132.63333333333304"/>
  </r>
  <r>
    <n v="781"/>
    <x v="2"/>
    <x v="0"/>
    <x v="2"/>
    <s v="Freshwater"/>
    <s v="2Freshwater"/>
    <s v="Salmon"/>
    <s v="714"/>
    <s v="Chambers Creek"/>
    <s v="Chambers Creek"/>
    <s v="Pierce"/>
    <x v="0"/>
    <s v="Pierce"/>
    <s v="07Pierce"/>
    <s v="02South Puget Sound"/>
    <n v="7.6666666666666696"/>
    <n v="66.316666666666691"/>
  </r>
  <r>
    <n v="782"/>
    <x v="2"/>
    <x v="1"/>
    <x v="2"/>
    <s v="Freshwater"/>
    <s v="2Freshwater"/>
    <s v="Salmon"/>
    <s v="714"/>
    <s v="Chambers Creek"/>
    <s v="Chambers Creek"/>
    <s v="Pierce"/>
    <x v="0"/>
    <s v="King"/>
    <s v="06King"/>
    <s v="02South Puget Sound"/>
    <n v="7.6"/>
    <n v="65.739999999999995"/>
  </r>
  <r>
    <n v="783"/>
    <x v="2"/>
    <x v="1"/>
    <x v="2"/>
    <s v="Freshwater"/>
    <s v="2Freshwater"/>
    <s v="Salmon"/>
    <s v="714"/>
    <s v="Chambers Creek"/>
    <s v="Chambers Creek"/>
    <s v="Pierce"/>
    <x v="0"/>
    <s v="Pierce"/>
    <s v="07Pierce"/>
    <s v="02South Puget Sound"/>
    <n v="15.2"/>
    <n v="131.47999999999999"/>
  </r>
  <r>
    <n v="784"/>
    <x v="2"/>
    <x v="1"/>
    <x v="2"/>
    <s v="Freshwater"/>
    <s v="2Freshwater"/>
    <s v="Salmon"/>
    <s v="714"/>
    <s v="Chambers Creek"/>
    <s v="Chambers Creek"/>
    <s v="Pierce"/>
    <x v="0"/>
    <s v="Thurston"/>
    <s v="08Thurston"/>
    <s v="02South Puget Sound"/>
    <n v="53.2"/>
    <n v="460.18000000000006"/>
  </r>
  <r>
    <n v="785"/>
    <x v="2"/>
    <x v="2"/>
    <x v="2"/>
    <s v="Freshwater"/>
    <s v="2Freshwater"/>
    <s v="Salmon"/>
    <s v="714"/>
    <s v="Chambers Creek"/>
    <s v="Chambers Creek"/>
    <s v="Pierce"/>
    <x v="0"/>
    <s v="Pierce"/>
    <s v="07Pierce"/>
    <s v="02South Puget Sound"/>
    <n v="68.538461538461604"/>
    <n v="592.8576923076929"/>
  </r>
  <r>
    <n v="786"/>
    <x v="2"/>
    <x v="2"/>
    <x v="2"/>
    <s v="Freshwater"/>
    <s v="2Freshwater"/>
    <s v="Salmon"/>
    <s v="714"/>
    <s v="Chambers Creek"/>
    <s v="Chambers Creek"/>
    <s v="Pierce"/>
    <x v="0"/>
    <s v="Whatcom"/>
    <s v="01Whatcom"/>
    <s v="01North Puget Sound"/>
    <n v="30.461538461538499"/>
    <n v="263.49230769230803"/>
  </r>
  <r>
    <n v="787"/>
    <x v="2"/>
    <x v="2"/>
    <x v="2"/>
    <s v="Freshwater"/>
    <s v="2Freshwater"/>
    <s v="Salmon"/>
    <s v="724"/>
    <s v="Dakota Creek (Whatcom Co)"/>
    <s v="Dakota Creek (Whatcom Co)"/>
    <s v="Whatcom"/>
    <x v="1"/>
    <s v="Snohomish"/>
    <s v="03Snohomish"/>
    <s v="01North Puget Sound"/>
    <n v="14"/>
    <n v="121.10000000000001"/>
  </r>
  <r>
    <n v="788"/>
    <x v="2"/>
    <x v="2"/>
    <x v="2"/>
    <s v="Freshwater"/>
    <s v="2Freshwater"/>
    <s v="Salmon"/>
    <s v="724"/>
    <s v="Dakota Creek (Whatcom Co)"/>
    <s v="Dakota Creek (Whatcom Co)"/>
    <s v="Whatcom"/>
    <x v="1"/>
    <s v="Whatcom"/>
    <s v="01Whatcom"/>
    <s v="01North Puget Sound"/>
    <n v="49"/>
    <n v="423.85"/>
  </r>
  <r>
    <n v="789"/>
    <x v="2"/>
    <x v="1"/>
    <x v="2"/>
    <s v="Freshwater"/>
    <s v="2Freshwater"/>
    <s v="Salmon"/>
    <s v="728"/>
    <s v="Deschutes River"/>
    <s v="Deschutes River"/>
    <s v="Thurston"/>
    <x v="0"/>
    <s v="Other"/>
    <s v="20Other"/>
    <s v="07Non Puget Sound"/>
    <n v="1"/>
    <n v="8.65"/>
  </r>
  <r>
    <n v="790"/>
    <x v="2"/>
    <x v="1"/>
    <x v="2"/>
    <s v="Freshwater"/>
    <s v="2Freshwater"/>
    <s v="Salmon"/>
    <s v="728"/>
    <s v="Deschutes River"/>
    <s v="Deschutes River"/>
    <s v="Thurston"/>
    <x v="0"/>
    <s v="Thurston"/>
    <s v="08Thurston"/>
    <s v="02South Puget Sound"/>
    <n v="2"/>
    <n v="17.3"/>
  </r>
  <r>
    <n v="791"/>
    <x v="2"/>
    <x v="2"/>
    <x v="2"/>
    <s v="Freshwater"/>
    <s v="2Freshwater"/>
    <s v="Salmon"/>
    <s v="732"/>
    <s v="Dewatto River"/>
    <s v="Dewatto River"/>
    <s v="Mason"/>
    <x v="0"/>
    <s v="Kitsap"/>
    <s v="10Kitsap"/>
    <s v="02South Puget Sound"/>
    <n v="1.1818181818181801"/>
    <n v="10.222727272727258"/>
  </r>
  <r>
    <n v="792"/>
    <x v="2"/>
    <x v="2"/>
    <x v="2"/>
    <s v="Freshwater"/>
    <s v="2Freshwater"/>
    <s v="Salmon"/>
    <s v="732"/>
    <s v="Dewatto River"/>
    <s v="Dewatto River"/>
    <s v="Mason"/>
    <x v="0"/>
    <s v="Mason"/>
    <s v="09Mason"/>
    <s v="02South Puget Sound"/>
    <n v="11.818181818181801"/>
    <n v="102.22727272727258"/>
  </r>
  <r>
    <n v="793"/>
    <x v="2"/>
    <x v="2"/>
    <x v="2"/>
    <s v="Freshwater"/>
    <s v="2Freshwater"/>
    <s v="Salmon"/>
    <s v="738"/>
    <s v="Dungeness River"/>
    <s v="Dungeness River"/>
    <s v="Clallam"/>
    <x v="3"/>
    <s v="Clallam"/>
    <s v="11Clallam"/>
    <s v="03Strait of Juan de Fuca"/>
    <n v="502.15384615384602"/>
    <n v="4343.6307692307682"/>
  </r>
  <r>
    <n v="794"/>
    <x v="2"/>
    <x v="2"/>
    <x v="2"/>
    <s v="Freshwater"/>
    <s v="2Freshwater"/>
    <s v="Salmon"/>
    <s v="738"/>
    <s v="Dungeness River"/>
    <s v="Dungeness River"/>
    <s v="Clallam"/>
    <x v="3"/>
    <s v="Kitsap"/>
    <s v="10Kitsap"/>
    <s v="02South Puget Sound"/>
    <n v="13.948717948718"/>
    <n v="120.65641025641071"/>
  </r>
  <r>
    <n v="795"/>
    <x v="2"/>
    <x v="2"/>
    <x v="2"/>
    <s v="Freshwater"/>
    <s v="2Freshwater"/>
    <s v="Salmon"/>
    <s v="738"/>
    <s v="Dungeness River"/>
    <s v="Dungeness River"/>
    <s v="Clallam"/>
    <x v="3"/>
    <s v="Other"/>
    <s v="20Other"/>
    <s v="07Non Puget Sound"/>
    <n v="6.9743589743589798"/>
    <n v="60.328205128205177"/>
  </r>
  <r>
    <n v="796"/>
    <x v="2"/>
    <x v="2"/>
    <x v="2"/>
    <s v="Freshwater"/>
    <s v="2Freshwater"/>
    <s v="Salmon"/>
    <s v="738"/>
    <s v="Dungeness River"/>
    <s v="Dungeness River"/>
    <s v="Clallam"/>
    <x v="3"/>
    <s v="Pierce"/>
    <s v="07Pierce"/>
    <s v="02South Puget Sound"/>
    <n v="20.923076923076898"/>
    <n v="180.98461538461518"/>
  </r>
  <r>
    <n v="797"/>
    <x v="2"/>
    <x v="3"/>
    <x v="2"/>
    <s v="Freshwater"/>
    <s v="2Freshwater"/>
    <s v="Salmon"/>
    <s v="738"/>
    <s v="Dungeness River"/>
    <s v="Dungeness River"/>
    <s v="Clallam"/>
    <x v="3"/>
    <s v="Clallam"/>
    <s v="11Clallam"/>
    <s v="03Strait of Juan de Fuca"/>
    <n v="328.09615384615398"/>
    <n v="2838.0317307692321"/>
  </r>
  <r>
    <n v="798"/>
    <x v="2"/>
    <x v="3"/>
    <x v="2"/>
    <s v="Freshwater"/>
    <s v="2Freshwater"/>
    <s v="Salmon"/>
    <s v="738"/>
    <s v="Dungeness River"/>
    <s v="Dungeness River"/>
    <s v="Clallam"/>
    <x v="3"/>
    <s v="Jefferson"/>
    <s v="12Jefferson"/>
    <s v="03Strait of Juan de Fuca"/>
    <n v="27.923076923076898"/>
    <n v="241.53461538461519"/>
  </r>
  <r>
    <n v="799"/>
    <x v="2"/>
    <x v="3"/>
    <x v="2"/>
    <s v="Freshwater"/>
    <s v="2Freshwater"/>
    <s v="Salmon"/>
    <s v="738"/>
    <s v="Dungeness River"/>
    <s v="Dungeness River"/>
    <s v="Clallam"/>
    <x v="3"/>
    <s v="Kitsap"/>
    <s v="10Kitsap"/>
    <s v="02South Puget Sound"/>
    <n v="6.9807692307692299"/>
    <n v="60.383653846153841"/>
  </r>
  <r>
    <n v="800"/>
    <x v="2"/>
    <x v="1"/>
    <x v="2"/>
    <s v="Freshwater"/>
    <s v="2Freshwater"/>
    <s v="Salmon"/>
    <s v="746"/>
    <s v="Green - Duwamish River"/>
    <s v="Green - Duwamish River"/>
    <s v="King"/>
    <x v="0"/>
    <s v="Clallam"/>
    <s v="11Clallam"/>
    <s v="03Strait of Juan de Fuca"/>
    <n v="13.535353535353501"/>
    <n v="117.08080808080778"/>
  </r>
  <r>
    <n v="801"/>
    <x v="2"/>
    <x v="1"/>
    <x v="2"/>
    <s v="Freshwater"/>
    <s v="2Freshwater"/>
    <s v="Salmon"/>
    <s v="746"/>
    <s v="Green - Duwamish River"/>
    <s v="Green - Duwamish River"/>
    <s v="King"/>
    <x v="0"/>
    <s v="King"/>
    <s v="06King"/>
    <s v="02South Puget Sound"/>
    <n v="2097.9797979798"/>
    <n v="18147.525252525269"/>
  </r>
  <r>
    <n v="802"/>
    <x v="2"/>
    <x v="1"/>
    <x v="2"/>
    <s v="Freshwater"/>
    <s v="2Freshwater"/>
    <s v="Salmon"/>
    <s v="746"/>
    <s v="Green - Duwamish River"/>
    <s v="Green - Duwamish River"/>
    <s v="King"/>
    <x v="0"/>
    <s v="Mason"/>
    <s v="09Mason"/>
    <s v="02South Puget Sound"/>
    <n v="13.535353535353501"/>
    <n v="117.08080808080778"/>
  </r>
  <r>
    <n v="803"/>
    <x v="2"/>
    <x v="1"/>
    <x v="2"/>
    <s v="Freshwater"/>
    <s v="2Freshwater"/>
    <s v="Salmon"/>
    <s v="746"/>
    <s v="Green - Duwamish River"/>
    <s v="Green - Duwamish River"/>
    <s v="King"/>
    <x v="0"/>
    <s v="Other"/>
    <s v="20Other"/>
    <s v="07Non Puget Sound"/>
    <n v="47.373737373737399"/>
    <n v="409.78282828282852"/>
  </r>
  <r>
    <n v="804"/>
    <x v="2"/>
    <x v="1"/>
    <x v="2"/>
    <s v="Freshwater"/>
    <s v="2Freshwater"/>
    <s v="Salmon"/>
    <s v="746"/>
    <s v="Green - Duwamish River"/>
    <s v="Green - Duwamish River"/>
    <s v="King"/>
    <x v="0"/>
    <s v="Pierce"/>
    <s v="07Pierce"/>
    <s v="02South Puget Sound"/>
    <n v="223.333333333333"/>
    <n v="1931.8333333333305"/>
  </r>
  <r>
    <n v="805"/>
    <x v="2"/>
    <x v="1"/>
    <x v="2"/>
    <s v="Freshwater"/>
    <s v="2Freshwater"/>
    <s v="Salmon"/>
    <s v="746"/>
    <s v="Green - Duwamish River"/>
    <s v="Green - Duwamish River"/>
    <s v="King"/>
    <x v="0"/>
    <s v="Snohomish"/>
    <s v="03Snohomish"/>
    <s v="01North Puget Sound"/>
    <n v="270.70707070707101"/>
    <n v="2341.6161616161644"/>
  </r>
  <r>
    <n v="806"/>
    <x v="2"/>
    <x v="1"/>
    <x v="2"/>
    <s v="Freshwater"/>
    <s v="2Freshwater"/>
    <s v="Salmon"/>
    <s v="746"/>
    <s v="Green - Duwamish River"/>
    <s v="Green - Duwamish River"/>
    <s v="King"/>
    <x v="0"/>
    <s v="Thurston"/>
    <s v="08Thurston"/>
    <s v="02South Puget Sound"/>
    <n v="13.535353535353501"/>
    <n v="117.08080808080778"/>
  </r>
  <r>
    <n v="807"/>
    <x v="2"/>
    <x v="2"/>
    <x v="2"/>
    <s v="Freshwater"/>
    <s v="2Freshwater"/>
    <s v="Salmon"/>
    <s v="746"/>
    <s v="Green - Duwamish River"/>
    <s v="Green - Duwamish River"/>
    <s v="King"/>
    <x v="0"/>
    <s v="King"/>
    <s v="06King"/>
    <s v="02South Puget Sound"/>
    <n v="1697.41007194245"/>
    <n v="14682.597122302193"/>
  </r>
  <r>
    <n v="808"/>
    <x v="2"/>
    <x v="2"/>
    <x v="2"/>
    <s v="Freshwater"/>
    <s v="2Freshwater"/>
    <s v="Salmon"/>
    <s v="746"/>
    <s v="Green - Duwamish River"/>
    <s v="Green - Duwamish River"/>
    <s v="King"/>
    <x v="0"/>
    <s v="Other"/>
    <s v="20Other"/>
    <s v="07Non Puget Sound"/>
    <n v="27.0503597122302"/>
    <n v="233.98561151079124"/>
  </r>
  <r>
    <n v="809"/>
    <x v="2"/>
    <x v="2"/>
    <x v="2"/>
    <s v="Freshwater"/>
    <s v="2Freshwater"/>
    <s v="Salmon"/>
    <s v="746"/>
    <s v="Green - Duwamish River"/>
    <s v="Green - Duwamish River"/>
    <s v="King"/>
    <x v="0"/>
    <s v="Pierce"/>
    <s v="07Pierce"/>
    <s v="02South Puget Sound"/>
    <n v="128.48920863309399"/>
    <n v="1111.4316546762632"/>
  </r>
  <r>
    <n v="810"/>
    <x v="2"/>
    <x v="2"/>
    <x v="2"/>
    <s v="Freshwater"/>
    <s v="2Freshwater"/>
    <s v="Salmon"/>
    <s v="746"/>
    <s v="Green - Duwamish River"/>
    <s v="Green - Duwamish River"/>
    <s v="King"/>
    <x v="0"/>
    <s v="Snohomish"/>
    <s v="03Snohomish"/>
    <s v="01North Puget Sound"/>
    <n v="27.0503597122302"/>
    <n v="233.98561151079124"/>
  </r>
  <r>
    <n v="811"/>
    <x v="2"/>
    <x v="3"/>
    <x v="2"/>
    <s v="Freshwater"/>
    <s v="2Freshwater"/>
    <s v="Salmon"/>
    <s v="746"/>
    <s v="Green - Duwamish River"/>
    <s v="Green - Duwamish River"/>
    <s v="King"/>
    <x v="0"/>
    <s v="King"/>
    <s v="06King"/>
    <s v="02South Puget Sound"/>
    <n v="743.44827586206895"/>
    <n v="6430.8275862068967"/>
  </r>
  <r>
    <n v="812"/>
    <x v="2"/>
    <x v="3"/>
    <x v="2"/>
    <s v="Freshwater"/>
    <s v="2Freshwater"/>
    <s v="Salmon"/>
    <s v="746"/>
    <s v="Green - Duwamish River"/>
    <s v="Green - Duwamish River"/>
    <s v="King"/>
    <x v="0"/>
    <s v="Pierce"/>
    <s v="07Pierce"/>
    <s v="02South Puget Sound"/>
    <n v="40.551724137930997"/>
    <n v="350.77241379310311"/>
  </r>
  <r>
    <n v="813"/>
    <x v="2"/>
    <x v="4"/>
    <x v="2"/>
    <s v="Freshwater"/>
    <s v="2Freshwater"/>
    <s v="Salmon"/>
    <s v="746"/>
    <s v="Green - Duwamish River"/>
    <s v="Green - Duwamish River"/>
    <s v="King"/>
    <x v="0"/>
    <s v="King"/>
    <s v="06King"/>
    <s v="02South Puget Sound"/>
    <n v="28"/>
    <n v="242.20000000000002"/>
  </r>
  <r>
    <n v="814"/>
    <x v="2"/>
    <x v="2"/>
    <x v="2"/>
    <s v="Freshwater"/>
    <s v="2Freshwater"/>
    <s v="Salmon"/>
    <s v="754"/>
    <s v="Kennedy Creek"/>
    <s v="Kennedy Creek"/>
    <s v="Mason/Thurston"/>
    <x v="0"/>
    <s v="King"/>
    <s v="06King"/>
    <s v="02South Puget Sound"/>
    <n v="22.714285714285701"/>
    <n v="196.47857142857131"/>
  </r>
  <r>
    <n v="815"/>
    <x v="2"/>
    <x v="2"/>
    <x v="2"/>
    <s v="Freshwater"/>
    <s v="2Freshwater"/>
    <s v="Salmon"/>
    <s v="754"/>
    <s v="Kennedy Creek"/>
    <s v="Kennedy Creek"/>
    <s v="Mason/Thurston"/>
    <x v="0"/>
    <s v="Other"/>
    <s v="20Other"/>
    <s v="07Non Puget Sound"/>
    <n v="30.285714285714299"/>
    <n v="261.9714285714287"/>
  </r>
  <r>
    <n v="816"/>
    <x v="2"/>
    <x v="2"/>
    <x v="2"/>
    <s v="Freshwater"/>
    <s v="2Freshwater"/>
    <s v="Salmon"/>
    <s v="754"/>
    <s v="Kennedy Creek"/>
    <s v="Kennedy Creek"/>
    <s v="Mason/Thurston"/>
    <x v="0"/>
    <s v="Pierce"/>
    <s v="07Pierce"/>
    <s v="02South Puget Sound"/>
    <n v="83.285714285714306"/>
    <n v="720.42142857142881"/>
  </r>
  <r>
    <n v="817"/>
    <x v="2"/>
    <x v="2"/>
    <x v="2"/>
    <s v="Freshwater"/>
    <s v="2Freshwater"/>
    <s v="Salmon"/>
    <s v="754"/>
    <s v="Kennedy Creek"/>
    <s v="Kennedy Creek"/>
    <s v="Mason/Thurston"/>
    <x v="0"/>
    <s v="Thurston"/>
    <s v="08Thurston"/>
    <s v="02South Puget Sound"/>
    <n v="22.714285714285701"/>
    <n v="196.47857142857131"/>
  </r>
  <r>
    <n v="818"/>
    <x v="2"/>
    <x v="3"/>
    <x v="2"/>
    <s v="Freshwater"/>
    <s v="2Freshwater"/>
    <s v="Salmon"/>
    <s v="754"/>
    <s v="Kennedy Creek"/>
    <s v="Kennedy Creek"/>
    <s v="Mason/Thurston"/>
    <x v="0"/>
    <s v="King"/>
    <s v="06King"/>
    <s v="02South Puget Sound"/>
    <n v="45.375"/>
    <n v="392.49375000000003"/>
  </r>
  <r>
    <n v="819"/>
    <x v="2"/>
    <x v="3"/>
    <x v="2"/>
    <s v="Freshwater"/>
    <s v="2Freshwater"/>
    <s v="Salmon"/>
    <s v="754"/>
    <s v="Kennedy Creek"/>
    <s v="Kennedy Creek"/>
    <s v="Mason/Thurston"/>
    <x v="0"/>
    <s v="Other"/>
    <s v="20Other"/>
    <s v="07Non Puget Sound"/>
    <n v="7.5625"/>
    <n v="65.415625000000006"/>
  </r>
  <r>
    <n v="820"/>
    <x v="2"/>
    <x v="3"/>
    <x v="2"/>
    <s v="Freshwater"/>
    <s v="2Freshwater"/>
    <s v="Salmon"/>
    <s v="754"/>
    <s v="Kennedy Creek"/>
    <s v="Kennedy Creek"/>
    <s v="Mason/Thurston"/>
    <x v="0"/>
    <s v="Pierce"/>
    <s v="07Pierce"/>
    <s v="02South Puget Sound"/>
    <n v="22.6875"/>
    <n v="196.24687500000002"/>
  </r>
  <r>
    <n v="821"/>
    <x v="2"/>
    <x v="3"/>
    <x v="2"/>
    <s v="Freshwater"/>
    <s v="2Freshwater"/>
    <s v="Salmon"/>
    <s v="754"/>
    <s v="Kennedy Creek"/>
    <s v="Kennedy Creek"/>
    <s v="Mason/Thurston"/>
    <x v="0"/>
    <s v="Thurston"/>
    <s v="08Thurston"/>
    <s v="02South Puget Sound"/>
    <n v="45.375"/>
    <n v="392.49375000000003"/>
  </r>
  <r>
    <n v="822"/>
    <x v="2"/>
    <x v="1"/>
    <x v="2"/>
    <s v="Freshwater"/>
    <s v="2Freshwater"/>
    <s v="Salmon"/>
    <s v="762"/>
    <s v="Lake Washington"/>
    <s v="Lake Washington"/>
    <s v="King"/>
    <x v="0"/>
    <s v="King"/>
    <s v="06King"/>
    <s v="02South Puget Sound"/>
    <n v="47.4"/>
    <n v="410.01"/>
  </r>
  <r>
    <n v="823"/>
    <x v="2"/>
    <x v="1"/>
    <x v="2"/>
    <s v="Freshwater"/>
    <s v="2Freshwater"/>
    <s v="Salmon"/>
    <s v="762"/>
    <s v="Lake Washington"/>
    <s v="Lake Washington"/>
    <s v="King"/>
    <x v="0"/>
    <s v="Snohomish"/>
    <s v="03Snohomish"/>
    <s v="01North Puget Sound"/>
    <n v="31.6"/>
    <n v="273.34000000000003"/>
  </r>
  <r>
    <n v="824"/>
    <x v="2"/>
    <x v="2"/>
    <x v="2"/>
    <s v="Freshwater"/>
    <s v="2Freshwater"/>
    <s v="Salmon"/>
    <s v="762"/>
    <s v="Lake Washington"/>
    <s v="Lake Washington"/>
    <s v="King"/>
    <x v="0"/>
    <s v="King"/>
    <s v="06King"/>
    <s v="02South Puget Sound"/>
    <n v="39.285714285714299"/>
    <n v="339.82142857142873"/>
  </r>
  <r>
    <n v="825"/>
    <x v="2"/>
    <x v="2"/>
    <x v="2"/>
    <s v="Freshwater"/>
    <s v="2Freshwater"/>
    <s v="Salmon"/>
    <s v="762"/>
    <s v="Lake Washington"/>
    <s v="Lake Washington"/>
    <s v="King"/>
    <x v="0"/>
    <s v="Snohomish"/>
    <s v="03Snohomish"/>
    <s v="01North Puget Sound"/>
    <n v="15.714285714285699"/>
    <n v="135.9285714285713"/>
  </r>
  <r>
    <n v="826"/>
    <x v="2"/>
    <x v="0"/>
    <x v="2"/>
    <s v="Freshwater"/>
    <s v="2Freshwater"/>
    <s v="Salmon"/>
    <s v="764"/>
    <s v="Lake Sammamish"/>
    <s v="Lake Sammamish"/>
    <s v="King"/>
    <x v="0"/>
    <s v="King"/>
    <s v="06King"/>
    <s v="02South Puget Sound"/>
    <n v="29"/>
    <n v="250.85000000000002"/>
  </r>
  <r>
    <n v="827"/>
    <x v="2"/>
    <x v="1"/>
    <x v="2"/>
    <s v="Freshwater"/>
    <s v="2Freshwater"/>
    <s v="Salmon"/>
    <s v="764"/>
    <s v="Lake Sammamish"/>
    <s v="Lake Sammamish"/>
    <s v="King"/>
    <x v="0"/>
    <s v="King"/>
    <s v="06King"/>
    <s v="02South Puget Sound"/>
    <n v="140.6"/>
    <n v="1216.19"/>
  </r>
  <r>
    <n v="828"/>
    <x v="2"/>
    <x v="1"/>
    <x v="2"/>
    <s v="Freshwater"/>
    <s v="2Freshwater"/>
    <s v="Salmon"/>
    <s v="764"/>
    <s v="Lake Sammamish"/>
    <s v="Lake Sammamish"/>
    <s v="King"/>
    <x v="0"/>
    <s v="Pierce"/>
    <s v="07Pierce"/>
    <s v="02South Puget Sound"/>
    <n v="7.4"/>
    <n v="64.010000000000005"/>
  </r>
  <r>
    <n v="829"/>
    <x v="2"/>
    <x v="2"/>
    <x v="2"/>
    <s v="Freshwater"/>
    <s v="2Freshwater"/>
    <s v="Salmon"/>
    <s v="764"/>
    <s v="Lake Sammamish"/>
    <s v="Lake Sammamish"/>
    <s v="King"/>
    <x v="0"/>
    <s v="King"/>
    <s v="06King"/>
    <s v="02South Puget Sound"/>
    <n v="51.625"/>
    <n v="446.55625000000003"/>
  </r>
  <r>
    <n v="830"/>
    <x v="2"/>
    <x v="2"/>
    <x v="2"/>
    <s v="Freshwater"/>
    <s v="2Freshwater"/>
    <s v="Salmon"/>
    <s v="764"/>
    <s v="Lake Sammamish"/>
    <s v="Lake Sammamish"/>
    <s v="King"/>
    <x v="0"/>
    <s v="Snohomish"/>
    <s v="03Snohomish"/>
    <s v="01North Puget Sound"/>
    <n v="7.375"/>
    <n v="63.793750000000003"/>
  </r>
  <r>
    <n v="831"/>
    <x v="2"/>
    <x v="2"/>
    <x v="2"/>
    <s v="Freshwater"/>
    <s v="2Freshwater"/>
    <s v="Salmon"/>
    <s v="778"/>
    <s v="Minter Creek"/>
    <s v="Minter Creek"/>
    <s v="Kitsap/Pierce"/>
    <x v="0"/>
    <s v="Island"/>
    <s v="04Island"/>
    <s v="01North Puget Sound"/>
    <n v="60.923076923076898"/>
    <n v="526.98461538461515"/>
  </r>
  <r>
    <n v="832"/>
    <x v="2"/>
    <x v="2"/>
    <x v="2"/>
    <s v="Freshwater"/>
    <s v="2Freshwater"/>
    <s v="Salmon"/>
    <s v="778"/>
    <s v="Minter Creek"/>
    <s v="Minter Creek"/>
    <s v="Kitsap/Pierce"/>
    <x v="0"/>
    <s v="Kitsap"/>
    <s v="10Kitsap"/>
    <s v="02South Puget Sound"/>
    <n v="38.076923076923102"/>
    <n v="329.36538461538487"/>
  </r>
  <r>
    <n v="833"/>
    <x v="2"/>
    <x v="3"/>
    <x v="2"/>
    <s v="Freshwater"/>
    <s v="2Freshwater"/>
    <s v="Salmon"/>
    <s v="778"/>
    <s v="Minter Creek"/>
    <s v="Minter Creek"/>
    <s v="Kitsap/Pierce"/>
    <x v="0"/>
    <s v="Island"/>
    <s v="04Island"/>
    <s v="01North Puget Sound"/>
    <n v="30.5945945945946"/>
    <n v="264.64324324324332"/>
  </r>
  <r>
    <n v="834"/>
    <x v="2"/>
    <x v="3"/>
    <x v="2"/>
    <s v="Freshwater"/>
    <s v="2Freshwater"/>
    <s v="Salmon"/>
    <s v="778"/>
    <s v="Minter Creek"/>
    <s v="Minter Creek"/>
    <s v="Kitsap/Pierce"/>
    <x v="0"/>
    <s v="King"/>
    <s v="06King"/>
    <s v="02South Puget Sound"/>
    <n v="1782.13513513514"/>
    <n v="15415.468918918961"/>
  </r>
  <r>
    <n v="835"/>
    <x v="2"/>
    <x v="3"/>
    <x v="2"/>
    <s v="Freshwater"/>
    <s v="2Freshwater"/>
    <s v="Salmon"/>
    <s v="778"/>
    <s v="Minter Creek"/>
    <s v="Minter Creek"/>
    <s v="Kitsap/Pierce"/>
    <x v="0"/>
    <s v="Kitsap"/>
    <s v="10Kitsap"/>
    <s v="02South Puget Sound"/>
    <n v="229.45945945945999"/>
    <n v="1984.8243243243289"/>
  </r>
  <r>
    <n v="836"/>
    <x v="2"/>
    <x v="3"/>
    <x v="2"/>
    <s v="Freshwater"/>
    <s v="2Freshwater"/>
    <s v="Salmon"/>
    <s v="778"/>
    <s v="Minter Creek"/>
    <s v="Minter Creek"/>
    <s v="Kitsap/Pierce"/>
    <x v="0"/>
    <s v="Mason"/>
    <s v="09Mason"/>
    <s v="02South Puget Sound"/>
    <n v="107.081081081081"/>
    <n v="926.25135135135065"/>
  </r>
  <r>
    <n v="837"/>
    <x v="2"/>
    <x v="3"/>
    <x v="2"/>
    <s v="Freshwater"/>
    <s v="2Freshwater"/>
    <s v="Salmon"/>
    <s v="778"/>
    <s v="Minter Creek"/>
    <s v="Minter Creek"/>
    <s v="Kitsap/Pierce"/>
    <x v="0"/>
    <s v="Other"/>
    <s v="20Other"/>
    <s v="07Non Puget Sound"/>
    <n v="130.027027027027"/>
    <n v="1124.7337837837836"/>
  </r>
  <r>
    <n v="838"/>
    <x v="2"/>
    <x v="3"/>
    <x v="2"/>
    <s v="Freshwater"/>
    <s v="2Freshwater"/>
    <s v="Salmon"/>
    <s v="778"/>
    <s v="Minter Creek"/>
    <s v="Minter Creek"/>
    <s v="Kitsap/Pierce"/>
    <x v="0"/>
    <s v="Pierce"/>
    <s v="07Pierce"/>
    <s v="02South Puget Sound"/>
    <n v="1965.7027027027"/>
    <n v="17003.328378378355"/>
  </r>
  <r>
    <n v="839"/>
    <x v="2"/>
    <x v="3"/>
    <x v="2"/>
    <s v="Freshwater"/>
    <s v="2Freshwater"/>
    <s v="Salmon"/>
    <s v="778"/>
    <s v="Minter Creek"/>
    <s v="Minter Creek"/>
    <s v="Kitsap/Pierce"/>
    <x v="0"/>
    <s v="Snohomish"/>
    <s v="03Snohomish"/>
    <s v="01North Puget Sound"/>
    <n v="168.27027027027"/>
    <n v="1455.5378378378357"/>
  </r>
  <r>
    <n v="840"/>
    <x v="2"/>
    <x v="3"/>
    <x v="2"/>
    <s v="Freshwater"/>
    <s v="2Freshwater"/>
    <s v="Salmon"/>
    <s v="778"/>
    <s v="Minter Creek"/>
    <s v="Minter Creek"/>
    <s v="Kitsap/Pierce"/>
    <x v="0"/>
    <s v="Thurston"/>
    <s v="08Thurston"/>
    <s v="02South Puget Sound"/>
    <n v="114.72972972973"/>
    <n v="992.41216216216446"/>
  </r>
  <r>
    <n v="841"/>
    <x v="2"/>
    <x v="4"/>
    <x v="2"/>
    <s v="Freshwater"/>
    <s v="2Freshwater"/>
    <s v="Salmon"/>
    <s v="778"/>
    <s v="Minter Creek"/>
    <s v="Minter Creek"/>
    <s v="Kitsap/Pierce"/>
    <x v="0"/>
    <s v="King"/>
    <s v="06King"/>
    <s v="02South Puget Sound"/>
    <n v="520.02564102564099"/>
    <n v="4498.2217948717944"/>
  </r>
  <r>
    <n v="842"/>
    <x v="2"/>
    <x v="4"/>
    <x v="2"/>
    <s v="Freshwater"/>
    <s v="2Freshwater"/>
    <s v="Salmon"/>
    <s v="778"/>
    <s v="Minter Creek"/>
    <s v="Minter Creek"/>
    <s v="Kitsap/Pierce"/>
    <x v="0"/>
    <s v="Kitsap"/>
    <s v="10Kitsap"/>
    <s v="02South Puget Sound"/>
    <n v="45.884615384615401"/>
    <n v="396.90192307692325"/>
  </r>
  <r>
    <n v="843"/>
    <x v="2"/>
    <x v="4"/>
    <x v="2"/>
    <s v="Freshwater"/>
    <s v="2Freshwater"/>
    <s v="Salmon"/>
    <s v="778"/>
    <s v="Minter Creek"/>
    <s v="Minter Creek"/>
    <s v="Kitsap/Pierce"/>
    <x v="0"/>
    <s v="Mason"/>
    <s v="09Mason"/>
    <s v="02South Puget Sound"/>
    <n v="53.532051282051299"/>
    <n v="463.05224358974374"/>
  </r>
  <r>
    <n v="844"/>
    <x v="2"/>
    <x v="4"/>
    <x v="2"/>
    <s v="Freshwater"/>
    <s v="2Freshwater"/>
    <s v="Salmon"/>
    <s v="778"/>
    <s v="Minter Creek"/>
    <s v="Minter Creek"/>
    <s v="Kitsap/Pierce"/>
    <x v="0"/>
    <s v="Other"/>
    <s v="20Other"/>
    <s v="07Non Puget Sound"/>
    <n v="137.65384615384599"/>
    <n v="1190.7057692307678"/>
  </r>
  <r>
    <n v="845"/>
    <x v="2"/>
    <x v="4"/>
    <x v="2"/>
    <s v="Freshwater"/>
    <s v="2Freshwater"/>
    <s v="Salmon"/>
    <s v="778"/>
    <s v="Minter Creek"/>
    <s v="Minter Creek"/>
    <s v="Kitsap/Pierce"/>
    <x v="0"/>
    <s v="Pierce"/>
    <s v="07Pierce"/>
    <s v="02South Puget Sound"/>
    <n v="397.66666666666703"/>
    <n v="3439.8166666666698"/>
  </r>
  <r>
    <n v="846"/>
    <x v="2"/>
    <x v="4"/>
    <x v="2"/>
    <s v="Freshwater"/>
    <s v="2Freshwater"/>
    <s v="Salmon"/>
    <s v="778"/>
    <s v="Minter Creek"/>
    <s v="Minter Creek"/>
    <s v="Kitsap/Pierce"/>
    <x v="0"/>
    <s v="Thurston"/>
    <s v="08Thurston"/>
    <s v="02South Puget Sound"/>
    <n v="38.237179487179503"/>
    <n v="330.75160256410271"/>
  </r>
  <r>
    <n v="847"/>
    <x v="2"/>
    <x v="5"/>
    <x v="2"/>
    <s v="Freshwater"/>
    <s v="2Freshwater"/>
    <s v="Salmon"/>
    <s v="786"/>
    <s v="Nisqually River"/>
    <s v="Nisqually River"/>
    <s v="Thurston/Pierce"/>
    <x v="0"/>
    <s v="Thurston"/>
    <s v="08Thurston"/>
    <s v="02South Puget Sound"/>
    <n v="7"/>
    <n v="60.550000000000004"/>
  </r>
  <r>
    <n v="848"/>
    <x v="2"/>
    <x v="0"/>
    <x v="2"/>
    <s v="Freshwater"/>
    <s v="2Freshwater"/>
    <s v="Salmon"/>
    <s v="786"/>
    <s v="Nisqually River"/>
    <s v="Nisqually River"/>
    <s v="Thurston/Pierce"/>
    <x v="0"/>
    <s v="King"/>
    <s v="06King"/>
    <s v="02South Puget Sound"/>
    <n v="7.2987012987012996"/>
    <n v="63.133766233766245"/>
  </r>
  <r>
    <n v="849"/>
    <x v="2"/>
    <x v="0"/>
    <x v="2"/>
    <s v="Freshwater"/>
    <s v="2Freshwater"/>
    <s v="Salmon"/>
    <s v="786"/>
    <s v="Nisqually River"/>
    <s v="Nisqually River"/>
    <s v="Thurston/Pierce"/>
    <x v="0"/>
    <s v="Mason"/>
    <s v="09Mason"/>
    <s v="02South Puget Sound"/>
    <n v="21.896103896103899"/>
    <n v="189.40129870129874"/>
  </r>
  <r>
    <n v="850"/>
    <x v="2"/>
    <x v="0"/>
    <x v="2"/>
    <s v="Freshwater"/>
    <s v="2Freshwater"/>
    <s v="Salmon"/>
    <s v="786"/>
    <s v="Nisqually River"/>
    <s v="Nisqually River"/>
    <s v="Thurston/Pierce"/>
    <x v="0"/>
    <s v="Other"/>
    <s v="20Other"/>
    <s v="07Non Puget Sound"/>
    <n v="51.090909090909101"/>
    <n v="441.93636363636375"/>
  </r>
  <r>
    <n v="851"/>
    <x v="2"/>
    <x v="0"/>
    <x v="2"/>
    <s v="Freshwater"/>
    <s v="2Freshwater"/>
    <s v="Salmon"/>
    <s v="786"/>
    <s v="Nisqually River"/>
    <s v="Nisqually River"/>
    <s v="Thurston/Pierce"/>
    <x v="0"/>
    <s v="Pierce"/>
    <s v="07Pierce"/>
    <s v="02South Puget Sound"/>
    <n v="226.25974025974"/>
    <n v="1957.1467532467511"/>
  </r>
  <r>
    <n v="852"/>
    <x v="2"/>
    <x v="0"/>
    <x v="2"/>
    <s v="Freshwater"/>
    <s v="2Freshwater"/>
    <s v="Salmon"/>
    <s v="786"/>
    <s v="Nisqually River"/>
    <s v="Nisqually River"/>
    <s v="Thurston/Pierce"/>
    <x v="0"/>
    <s v="Snohomish"/>
    <s v="03Snohomish"/>
    <s v="01North Puget Sound"/>
    <n v="29.194805194805198"/>
    <n v="252.53506493506498"/>
  </r>
  <r>
    <n v="853"/>
    <x v="2"/>
    <x v="0"/>
    <x v="2"/>
    <s v="Freshwater"/>
    <s v="2Freshwater"/>
    <s v="Salmon"/>
    <s v="786"/>
    <s v="Nisqually River"/>
    <s v="Nisqually River"/>
    <s v="Thurston/Pierce"/>
    <x v="0"/>
    <s v="Thurston"/>
    <s v="08Thurston"/>
    <s v="02South Puget Sound"/>
    <n v="226.25974025974"/>
    <n v="1957.1467532467511"/>
  </r>
  <r>
    <n v="854"/>
    <x v="2"/>
    <x v="1"/>
    <x v="2"/>
    <s v="Freshwater"/>
    <s v="2Freshwater"/>
    <s v="Salmon"/>
    <s v="786"/>
    <s v="Nisqually River"/>
    <s v="Nisqually River"/>
    <s v="Thurston/Pierce"/>
    <x v="0"/>
    <s v="King"/>
    <s v="06King"/>
    <s v="02South Puget Sound"/>
    <n v="583.01204819277098"/>
    <n v="5043.0542168674692"/>
  </r>
  <r>
    <n v="855"/>
    <x v="2"/>
    <x v="1"/>
    <x v="2"/>
    <s v="Freshwater"/>
    <s v="2Freshwater"/>
    <s v="Salmon"/>
    <s v="786"/>
    <s v="Nisqually River"/>
    <s v="Nisqually River"/>
    <s v="Thurston/Pierce"/>
    <x v="0"/>
    <s v="Kitsap"/>
    <s v="10Kitsap"/>
    <s v="02South Puget Sound"/>
    <n v="7.2876506024096397"/>
    <n v="63.038177710843385"/>
  </r>
  <r>
    <n v="856"/>
    <x v="2"/>
    <x v="1"/>
    <x v="2"/>
    <s v="Freshwater"/>
    <s v="2Freshwater"/>
    <s v="Salmon"/>
    <s v="786"/>
    <s v="Nisqually River"/>
    <s v="Nisqually River"/>
    <s v="Thurston/Pierce"/>
    <x v="0"/>
    <s v="Mason"/>
    <s v="09Mason"/>
    <s v="02South Puget Sound"/>
    <n v="80.164156626505999"/>
    <n v="693.41995481927688"/>
  </r>
  <r>
    <n v="857"/>
    <x v="2"/>
    <x v="1"/>
    <x v="2"/>
    <s v="Freshwater"/>
    <s v="2Freshwater"/>
    <s v="Salmon"/>
    <s v="786"/>
    <s v="Nisqually River"/>
    <s v="Nisqually River"/>
    <s v="Thurston/Pierce"/>
    <x v="0"/>
    <s v="Other"/>
    <s v="20Other"/>
    <s v="07Non Puget Sound"/>
    <n v="218.62951807228899"/>
    <n v="1891.1453313252998"/>
  </r>
  <r>
    <n v="858"/>
    <x v="2"/>
    <x v="1"/>
    <x v="2"/>
    <s v="Freshwater"/>
    <s v="2Freshwater"/>
    <s v="Salmon"/>
    <s v="786"/>
    <s v="Nisqually River"/>
    <s v="Nisqually River"/>
    <s v="Thurston/Pierce"/>
    <x v="0"/>
    <s v="Pierce"/>
    <s v="07Pierce"/>
    <s v="02South Puget Sound"/>
    <n v="2113.4186746987998"/>
    <n v="18281.07153614462"/>
  </r>
  <r>
    <n v="859"/>
    <x v="2"/>
    <x v="1"/>
    <x v="2"/>
    <s v="Freshwater"/>
    <s v="2Freshwater"/>
    <s v="Salmon"/>
    <s v="786"/>
    <s v="Nisqually River"/>
    <s v="Nisqually River"/>
    <s v="Thurston/Pierce"/>
    <x v="0"/>
    <s v="Snohomish"/>
    <s v="03Snohomish"/>
    <s v="01North Puget Sound"/>
    <n v="29.150602409638601"/>
    <n v="252.15271084337391"/>
  </r>
  <r>
    <n v="860"/>
    <x v="2"/>
    <x v="1"/>
    <x v="2"/>
    <s v="Freshwater"/>
    <s v="2Freshwater"/>
    <s v="Salmon"/>
    <s v="786"/>
    <s v="Nisqually River"/>
    <s v="Nisqually River"/>
    <s v="Thurston/Pierce"/>
    <x v="0"/>
    <s v="Thurston"/>
    <s v="08Thurston"/>
    <s v="02South Puget Sound"/>
    <n v="1792.76204819277"/>
    <n v="15507.391716867462"/>
  </r>
  <r>
    <n v="861"/>
    <x v="2"/>
    <x v="1"/>
    <x v="2"/>
    <s v="Freshwater"/>
    <s v="2Freshwater"/>
    <s v="Salmon"/>
    <s v="786"/>
    <s v="Nisqually River"/>
    <s v="Nisqually River"/>
    <s v="Thurston/Pierce"/>
    <x v="0"/>
    <s v="Whatcom"/>
    <s v="01Whatcom"/>
    <s v="01North Puget Sound"/>
    <n v="14.575301204819301"/>
    <n v="126.07635542168696"/>
  </r>
  <r>
    <n v="862"/>
    <x v="2"/>
    <x v="2"/>
    <x v="2"/>
    <s v="Freshwater"/>
    <s v="2Freshwater"/>
    <s v="Salmon"/>
    <s v="786"/>
    <s v="Nisqually River"/>
    <s v="Nisqually River"/>
    <s v="Thurston/Pierce"/>
    <x v="0"/>
    <s v="King"/>
    <s v="06King"/>
    <s v="02South Puget Sound"/>
    <n v="393.042084168337"/>
    <n v="3399.8140280561151"/>
  </r>
  <r>
    <n v="863"/>
    <x v="2"/>
    <x v="2"/>
    <x v="2"/>
    <s v="Freshwater"/>
    <s v="2Freshwater"/>
    <s v="Salmon"/>
    <s v="786"/>
    <s v="Nisqually River"/>
    <s v="Nisqually River"/>
    <s v="Thurston/Pierce"/>
    <x v="0"/>
    <s v="Kitsap"/>
    <s v="10Kitsap"/>
    <s v="02South Puget Sound"/>
    <n v="43.671342685370703"/>
    <n v="377.7571142284566"/>
  </r>
  <r>
    <n v="864"/>
    <x v="2"/>
    <x v="2"/>
    <x v="2"/>
    <s v="Freshwater"/>
    <s v="2Freshwater"/>
    <s v="Salmon"/>
    <s v="786"/>
    <s v="Nisqually River"/>
    <s v="Nisqually River"/>
    <s v="Thurston/Pierce"/>
    <x v="0"/>
    <s v="Mason"/>
    <s v="09Mason"/>
    <s v="02South Puget Sound"/>
    <n v="7.2785571142284597"/>
    <n v="62.959519038076181"/>
  </r>
  <r>
    <n v="865"/>
    <x v="2"/>
    <x v="2"/>
    <x v="2"/>
    <s v="Freshwater"/>
    <s v="2Freshwater"/>
    <s v="Salmon"/>
    <s v="786"/>
    <s v="Nisqually River"/>
    <s v="Nisqually River"/>
    <s v="Thurston/Pierce"/>
    <x v="0"/>
    <s v="Other"/>
    <s v="20Other"/>
    <s v="07Non Puget Sound"/>
    <n v="145.57114228456899"/>
    <n v="1259.1903807615217"/>
  </r>
  <r>
    <n v="866"/>
    <x v="2"/>
    <x v="2"/>
    <x v="2"/>
    <s v="Freshwater"/>
    <s v="2Freshwater"/>
    <s v="Salmon"/>
    <s v="786"/>
    <s v="Nisqually River"/>
    <s v="Nisqually River"/>
    <s v="Thurston/Pierce"/>
    <x v="0"/>
    <s v="Pierce"/>
    <s v="07Pierce"/>
    <s v="02South Puget Sound"/>
    <n v="2103.5030060120198"/>
    <n v="18195.301002003973"/>
  </r>
  <r>
    <n v="867"/>
    <x v="2"/>
    <x v="2"/>
    <x v="2"/>
    <s v="Freshwater"/>
    <s v="2Freshwater"/>
    <s v="Salmon"/>
    <s v="786"/>
    <s v="Nisqually River"/>
    <s v="Nisqually River"/>
    <s v="Thurston/Pierce"/>
    <x v="0"/>
    <s v="Snohomish"/>
    <s v="03Snohomish"/>
    <s v="01North Puget Sound"/>
    <n v="7.2785571142284597"/>
    <n v="62.959519038076181"/>
  </r>
  <r>
    <n v="868"/>
    <x v="2"/>
    <x v="2"/>
    <x v="2"/>
    <s v="Freshwater"/>
    <s v="2Freshwater"/>
    <s v="Salmon"/>
    <s v="786"/>
    <s v="Nisqually River"/>
    <s v="Nisqually River"/>
    <s v="Thurston/Pierce"/>
    <x v="0"/>
    <s v="Thurston"/>
    <s v="08Thurston"/>
    <s v="02South Puget Sound"/>
    <n v="931.65531062124296"/>
    <n v="8058.818436873752"/>
  </r>
  <r>
    <n v="869"/>
    <x v="2"/>
    <x v="3"/>
    <x v="2"/>
    <s v="Freshwater"/>
    <s v="2Freshwater"/>
    <s v="Salmon"/>
    <s v="786"/>
    <s v="Nisqually River"/>
    <s v="Nisqually River"/>
    <s v="Thurston/Pierce"/>
    <x v="0"/>
    <s v="King"/>
    <s v="06King"/>
    <s v="02South Puget Sound"/>
    <n v="29.1666666666667"/>
    <n v="252.29166666666697"/>
  </r>
  <r>
    <n v="870"/>
    <x v="2"/>
    <x v="3"/>
    <x v="2"/>
    <s v="Freshwater"/>
    <s v="2Freshwater"/>
    <s v="Salmon"/>
    <s v="786"/>
    <s v="Nisqually River"/>
    <s v="Nisqually River"/>
    <s v="Thurston/Pierce"/>
    <x v="0"/>
    <s v="Other"/>
    <s v="20Other"/>
    <s v="07Non Puget Sound"/>
    <n v="14.5833333333333"/>
    <n v="126.14583333333306"/>
  </r>
  <r>
    <n v="871"/>
    <x v="2"/>
    <x v="3"/>
    <x v="2"/>
    <s v="Freshwater"/>
    <s v="2Freshwater"/>
    <s v="Salmon"/>
    <s v="786"/>
    <s v="Nisqually River"/>
    <s v="Nisqually River"/>
    <s v="Thurston/Pierce"/>
    <x v="0"/>
    <s v="Pierce"/>
    <s v="07Pierce"/>
    <s v="02South Puget Sound"/>
    <n v="94.7916666666667"/>
    <n v="819.94791666666697"/>
  </r>
  <r>
    <n v="872"/>
    <x v="2"/>
    <x v="3"/>
    <x v="2"/>
    <s v="Freshwater"/>
    <s v="2Freshwater"/>
    <s v="Salmon"/>
    <s v="786"/>
    <s v="Nisqually River"/>
    <s v="Nisqually River"/>
    <s v="Thurston/Pierce"/>
    <x v="0"/>
    <s v="Thurston"/>
    <s v="08Thurston"/>
    <s v="02South Puget Sound"/>
    <n v="36.4583333333333"/>
    <n v="315.36458333333309"/>
  </r>
  <r>
    <n v="873"/>
    <x v="2"/>
    <x v="4"/>
    <x v="2"/>
    <s v="Freshwater"/>
    <s v="2Freshwater"/>
    <s v="Salmon"/>
    <s v="786"/>
    <s v="Nisqually River"/>
    <s v="Nisqually River"/>
    <s v="Thurston/Pierce"/>
    <x v="0"/>
    <s v="King"/>
    <s v="06King"/>
    <s v="02South Puget Sound"/>
    <n v="14.643678160919499"/>
    <n v="126.66781609195368"/>
  </r>
  <r>
    <n v="874"/>
    <x v="2"/>
    <x v="4"/>
    <x v="2"/>
    <s v="Freshwater"/>
    <s v="2Freshwater"/>
    <s v="Salmon"/>
    <s v="786"/>
    <s v="Nisqually River"/>
    <s v="Nisqually River"/>
    <s v="Thurston/Pierce"/>
    <x v="0"/>
    <s v="Other"/>
    <s v="20Other"/>
    <s v="07Non Puget Sound"/>
    <n v="7.3218390804597702"/>
    <n v="63.333908045977012"/>
  </r>
  <r>
    <n v="875"/>
    <x v="2"/>
    <x v="4"/>
    <x v="2"/>
    <s v="Freshwater"/>
    <s v="2Freshwater"/>
    <s v="Salmon"/>
    <s v="786"/>
    <s v="Nisqually River"/>
    <s v="Nisqually River"/>
    <s v="Thurston/Pierce"/>
    <x v="0"/>
    <s v="Pierce"/>
    <s v="07Pierce"/>
    <s v="02South Puget Sound"/>
    <n v="431.98850574712702"/>
    <n v="3736.7005747126491"/>
  </r>
  <r>
    <n v="876"/>
    <x v="2"/>
    <x v="4"/>
    <x v="2"/>
    <s v="Freshwater"/>
    <s v="2Freshwater"/>
    <s v="Salmon"/>
    <s v="786"/>
    <s v="Nisqually River"/>
    <s v="Nisqually River"/>
    <s v="Thurston/Pierce"/>
    <x v="0"/>
    <s v="Thurston"/>
    <s v="08Thurston"/>
    <s v="02South Puget Sound"/>
    <n v="183.04597701149399"/>
    <n v="1583.3477011494231"/>
  </r>
  <r>
    <n v="877"/>
    <x v="3"/>
    <x v="6"/>
    <x v="2"/>
    <s v="Freshwater"/>
    <s v="2Freshwater"/>
    <s v="Salmon"/>
    <s v="786"/>
    <s v="Nisqually River"/>
    <s v="Nisqually River"/>
    <s v="Thurston/Pierce"/>
    <x v="0"/>
    <s v="Pierce"/>
    <s v="07Pierce"/>
    <s v="02South Puget Sound"/>
    <n v="7"/>
    <n v="24.08"/>
  </r>
  <r>
    <n v="878"/>
    <x v="2"/>
    <x v="1"/>
    <x v="2"/>
    <s v="Freshwater"/>
    <s v="2Freshwater"/>
    <s v="Salmon"/>
    <s v="788"/>
    <s v="Nooksack River"/>
    <s v="Nooksack River"/>
    <s v="Whatcom"/>
    <x v="1"/>
    <s v="King"/>
    <s v="06King"/>
    <s v="02South Puget Sound"/>
    <n v="6.9575757575757597"/>
    <n v="60.183030303030321"/>
  </r>
  <r>
    <n v="879"/>
    <x v="2"/>
    <x v="1"/>
    <x v="2"/>
    <s v="Freshwater"/>
    <s v="2Freshwater"/>
    <s v="Salmon"/>
    <s v="788"/>
    <s v="Nooksack River"/>
    <s v="Nooksack River"/>
    <s v="Whatcom"/>
    <x v="1"/>
    <s v="Skagit"/>
    <s v="02Skagit"/>
    <s v="01North Puget Sound"/>
    <n v="6.9575757575757597"/>
    <n v="60.183030303030321"/>
  </r>
  <r>
    <n v="880"/>
    <x v="2"/>
    <x v="1"/>
    <x v="2"/>
    <s v="Freshwater"/>
    <s v="2Freshwater"/>
    <s v="Salmon"/>
    <s v="788"/>
    <s v="Nooksack River"/>
    <s v="Nooksack River"/>
    <s v="Whatcom"/>
    <x v="1"/>
    <s v="Snohomish"/>
    <s v="03Snohomish"/>
    <s v="01North Puget Sound"/>
    <n v="13.9151515151515"/>
    <n v="120.36606060606049"/>
  </r>
  <r>
    <n v="881"/>
    <x v="2"/>
    <x v="1"/>
    <x v="2"/>
    <s v="Freshwater"/>
    <s v="2Freshwater"/>
    <s v="Salmon"/>
    <s v="788"/>
    <s v="Nooksack River"/>
    <s v="Nooksack River"/>
    <s v="Whatcom"/>
    <x v="1"/>
    <s v="Whatcom"/>
    <s v="01Whatcom"/>
    <s v="01North Puget Sound"/>
    <n v="1120.1696969697"/>
    <n v="9689.4678787879056"/>
  </r>
  <r>
    <n v="882"/>
    <x v="2"/>
    <x v="2"/>
    <x v="2"/>
    <s v="Freshwater"/>
    <s v="2Freshwater"/>
    <s v="Salmon"/>
    <s v="788"/>
    <s v="Nooksack River"/>
    <s v="Nooksack River"/>
    <s v="Whatcom"/>
    <x v="1"/>
    <s v="Skagit"/>
    <s v="02Skagit"/>
    <s v="01North Puget Sound"/>
    <n v="69.613526570048293"/>
    <n v="602.1570048309178"/>
  </r>
  <r>
    <n v="883"/>
    <x v="2"/>
    <x v="2"/>
    <x v="2"/>
    <s v="Freshwater"/>
    <s v="2Freshwater"/>
    <s v="Salmon"/>
    <s v="788"/>
    <s v="Nooksack River"/>
    <s v="Nooksack River"/>
    <s v="Whatcom"/>
    <x v="1"/>
    <s v="Whatcom"/>
    <s v="01Whatcom"/>
    <s v="01North Puget Sound"/>
    <n v="1371.38647342995"/>
    <n v="11862.492995169068"/>
  </r>
  <r>
    <n v="884"/>
    <x v="2"/>
    <x v="3"/>
    <x v="2"/>
    <s v="Freshwater"/>
    <s v="2Freshwater"/>
    <s v="Salmon"/>
    <s v="788"/>
    <s v="Nooksack River"/>
    <s v="Nooksack River"/>
    <s v="Whatcom"/>
    <x v="1"/>
    <s v="Island"/>
    <s v="04Island"/>
    <s v="01North Puget Sound"/>
    <n v="13.8888888888889"/>
    <n v="120.13888888888899"/>
  </r>
  <r>
    <n v="885"/>
    <x v="2"/>
    <x v="3"/>
    <x v="2"/>
    <s v="Freshwater"/>
    <s v="2Freshwater"/>
    <s v="Salmon"/>
    <s v="788"/>
    <s v="Nooksack River"/>
    <s v="Nooksack River"/>
    <s v="Whatcom"/>
    <x v="1"/>
    <s v="Skagit"/>
    <s v="02Skagit"/>
    <s v="01North Puget Sound"/>
    <n v="13.8888888888889"/>
    <n v="120.13888888888899"/>
  </r>
  <r>
    <n v="886"/>
    <x v="2"/>
    <x v="3"/>
    <x v="2"/>
    <s v="Freshwater"/>
    <s v="2Freshwater"/>
    <s v="Salmon"/>
    <s v="788"/>
    <s v="Nooksack River"/>
    <s v="Nooksack River"/>
    <s v="Whatcom"/>
    <x v="1"/>
    <s v="Snohomish"/>
    <s v="03Snohomish"/>
    <s v="01North Puget Sound"/>
    <n v="55.5555555555556"/>
    <n v="480.55555555555594"/>
  </r>
  <r>
    <n v="887"/>
    <x v="2"/>
    <x v="3"/>
    <x v="2"/>
    <s v="Freshwater"/>
    <s v="2Freshwater"/>
    <s v="Salmon"/>
    <s v="788"/>
    <s v="Nooksack River"/>
    <s v="Nooksack River"/>
    <s v="Whatcom"/>
    <x v="1"/>
    <s v="Whatcom"/>
    <s v="01Whatcom"/>
    <s v="01North Puget Sound"/>
    <n v="291.66666666666703"/>
    <n v="2522.9166666666697"/>
  </r>
  <r>
    <n v="888"/>
    <x v="2"/>
    <x v="4"/>
    <x v="2"/>
    <s v="Freshwater"/>
    <s v="2Freshwater"/>
    <s v="Salmon"/>
    <s v="788"/>
    <s v="Nooksack River"/>
    <s v="Nooksack River"/>
    <s v="Whatcom"/>
    <x v="1"/>
    <s v="Island"/>
    <s v="04Island"/>
    <s v="01North Puget Sound"/>
    <n v="34.75"/>
    <n v="300.58750000000003"/>
  </r>
  <r>
    <n v="889"/>
    <x v="2"/>
    <x v="4"/>
    <x v="2"/>
    <s v="Freshwater"/>
    <s v="2Freshwater"/>
    <s v="Salmon"/>
    <s v="788"/>
    <s v="Nooksack River"/>
    <s v="Nooksack River"/>
    <s v="Whatcom"/>
    <x v="1"/>
    <s v="Snohomish"/>
    <s v="03Snohomish"/>
    <s v="01North Puget Sound"/>
    <n v="13.9"/>
    <n v="120.23500000000001"/>
  </r>
  <r>
    <n v="890"/>
    <x v="2"/>
    <x v="4"/>
    <x v="2"/>
    <s v="Freshwater"/>
    <s v="2Freshwater"/>
    <s v="Salmon"/>
    <s v="788"/>
    <s v="Nooksack River"/>
    <s v="Nooksack River"/>
    <s v="Whatcom"/>
    <x v="1"/>
    <s v="Whatcom"/>
    <s v="01Whatcom"/>
    <s v="01North Puget Sound"/>
    <n v="90.35"/>
    <n v="781.52750000000003"/>
  </r>
  <r>
    <n v="891"/>
    <x v="3"/>
    <x v="8"/>
    <x v="2"/>
    <s v="Freshwater"/>
    <s v="2Freshwater"/>
    <s v="Salmon"/>
    <s v="8"/>
    <s v="Unknown"/>
    <s v="Unknown"/>
    <s v="NA"/>
    <x v="5"/>
    <s v="Skagit"/>
    <s v="02Skagit"/>
    <s v="01North Puget Sound"/>
    <n v="1"/>
    <n v="3.44"/>
  </r>
  <r>
    <n v="892"/>
    <x v="2"/>
    <x v="1"/>
    <x v="2"/>
    <s v="Freshwater"/>
    <s v="2Freshwater"/>
    <s v="Salmon"/>
    <s v="802"/>
    <s v="Carbon River"/>
    <s v="Carbon River"/>
    <s v="Pierce"/>
    <x v="0"/>
    <s v="King"/>
    <s v="06King"/>
    <s v="02South Puget Sound"/>
    <n v="21.146341463414601"/>
    <n v="182.91585365853629"/>
  </r>
  <r>
    <n v="893"/>
    <x v="2"/>
    <x v="1"/>
    <x v="2"/>
    <s v="Freshwater"/>
    <s v="2Freshwater"/>
    <s v="Salmon"/>
    <s v="802"/>
    <s v="Carbon River"/>
    <s v="Carbon River"/>
    <s v="Pierce"/>
    <x v="0"/>
    <s v="Other"/>
    <s v="20Other"/>
    <s v="07Non Puget Sound"/>
    <n v="28.195121951219502"/>
    <n v="243.88780487804871"/>
  </r>
  <r>
    <n v="894"/>
    <x v="2"/>
    <x v="1"/>
    <x v="2"/>
    <s v="Freshwater"/>
    <s v="2Freshwater"/>
    <s v="Salmon"/>
    <s v="802"/>
    <s v="Carbon River"/>
    <s v="Carbon River"/>
    <s v="Pierce"/>
    <x v="0"/>
    <s v="Pierce"/>
    <s v="07Pierce"/>
    <s v="02South Puget Sound"/>
    <n v="239.65853658536599"/>
    <n v="2073.046341463416"/>
  </r>
  <r>
    <n v="895"/>
    <x v="2"/>
    <x v="2"/>
    <x v="2"/>
    <s v="Freshwater"/>
    <s v="2Freshwater"/>
    <s v="Salmon"/>
    <s v="802"/>
    <s v="Carbon River"/>
    <s v="Carbon River"/>
    <s v="Pierce"/>
    <x v="0"/>
    <s v="King"/>
    <s v="06King"/>
    <s v="02South Puget Sound"/>
    <n v="28.235294117647101"/>
    <n v="244.23529411764744"/>
  </r>
  <r>
    <n v="896"/>
    <x v="2"/>
    <x v="2"/>
    <x v="2"/>
    <s v="Freshwater"/>
    <s v="2Freshwater"/>
    <s v="Salmon"/>
    <s v="802"/>
    <s v="Carbon River"/>
    <s v="Carbon River"/>
    <s v="Pierce"/>
    <x v="0"/>
    <s v="Pierce"/>
    <s v="07Pierce"/>
    <s v="02South Puget Sound"/>
    <n v="331.76470588235298"/>
    <n v="2869.7647058823536"/>
  </r>
  <r>
    <n v="897"/>
    <x v="2"/>
    <x v="3"/>
    <x v="2"/>
    <s v="Freshwater"/>
    <s v="2Freshwater"/>
    <s v="Salmon"/>
    <s v="802"/>
    <s v="Carbon River"/>
    <s v="Carbon River"/>
    <s v="Pierce"/>
    <x v="0"/>
    <s v="King"/>
    <s v="06King"/>
    <s v="02South Puget Sound"/>
    <n v="7"/>
    <n v="60.550000000000004"/>
  </r>
  <r>
    <n v="898"/>
    <x v="2"/>
    <x v="3"/>
    <x v="2"/>
    <s v="Freshwater"/>
    <s v="2Freshwater"/>
    <s v="Salmon"/>
    <s v="802"/>
    <s v="Carbon River"/>
    <s v="Carbon River"/>
    <s v="Pierce"/>
    <x v="0"/>
    <s v="Pierce"/>
    <s v="07Pierce"/>
    <s v="02South Puget Sound"/>
    <n v="7"/>
    <n v="60.550000000000004"/>
  </r>
  <r>
    <n v="899"/>
    <x v="2"/>
    <x v="0"/>
    <x v="2"/>
    <s v="Freshwater"/>
    <s v="2Freshwater"/>
    <s v="Salmon"/>
    <s v="804"/>
    <s v="Puyallup River"/>
    <s v="Puyallup River"/>
    <s v="Pierce"/>
    <x v="0"/>
    <s v="King"/>
    <s v="06King"/>
    <s v="02South Puget Sound"/>
    <n v="283.92"/>
    <n v="2455.9080000000004"/>
  </r>
  <r>
    <n v="900"/>
    <x v="2"/>
    <x v="0"/>
    <x v="2"/>
    <s v="Freshwater"/>
    <s v="2Freshwater"/>
    <s v="Salmon"/>
    <s v="804"/>
    <s v="Puyallup River"/>
    <s v="Puyallup River"/>
    <s v="Pierce"/>
    <x v="0"/>
    <s v="Pierce"/>
    <s v="07Pierce"/>
    <s v="02South Puget Sound"/>
    <n v="436.8"/>
    <n v="3778.32"/>
  </r>
  <r>
    <n v="901"/>
    <x v="2"/>
    <x v="0"/>
    <x v="2"/>
    <s v="Freshwater"/>
    <s v="2Freshwater"/>
    <s v="Salmon"/>
    <s v="804"/>
    <s v="Puyallup River"/>
    <s v="Puyallup River"/>
    <s v="Pierce"/>
    <x v="0"/>
    <s v="Snohomish"/>
    <s v="03Snohomish"/>
    <s v="01North Puget Sound"/>
    <n v="7.28"/>
    <n v="62.972000000000001"/>
  </r>
  <r>
    <n v="902"/>
    <x v="2"/>
    <x v="1"/>
    <x v="2"/>
    <s v="Freshwater"/>
    <s v="2Freshwater"/>
    <s v="Salmon"/>
    <s v="804"/>
    <s v="Puyallup River"/>
    <s v="Puyallup River"/>
    <s v="Pierce"/>
    <x v="0"/>
    <s v="King"/>
    <s v="06King"/>
    <s v="02South Puget Sound"/>
    <n v="2518.57627118644"/>
    <n v="21785.684745762708"/>
  </r>
  <r>
    <n v="903"/>
    <x v="2"/>
    <x v="1"/>
    <x v="2"/>
    <s v="Freshwater"/>
    <s v="2Freshwater"/>
    <s v="Salmon"/>
    <s v="804"/>
    <s v="Puyallup River"/>
    <s v="Puyallup River"/>
    <s v="Pierce"/>
    <x v="0"/>
    <s v="Kitsap"/>
    <s v="10Kitsap"/>
    <s v="02South Puget Sound"/>
    <n v="144.74576271186399"/>
    <n v="1252.0508474576236"/>
  </r>
  <r>
    <n v="904"/>
    <x v="2"/>
    <x v="1"/>
    <x v="2"/>
    <s v="Freshwater"/>
    <s v="2Freshwater"/>
    <s v="Salmon"/>
    <s v="804"/>
    <s v="Puyallup River"/>
    <s v="Puyallup River"/>
    <s v="Pierce"/>
    <x v="0"/>
    <s v="Mason"/>
    <s v="09Mason"/>
    <s v="02South Puget Sound"/>
    <n v="14.4745762711864"/>
    <n v="125.20508474576236"/>
  </r>
  <r>
    <n v="905"/>
    <x v="2"/>
    <x v="1"/>
    <x v="2"/>
    <s v="Freshwater"/>
    <s v="2Freshwater"/>
    <s v="Salmon"/>
    <s v="804"/>
    <s v="Puyallup River"/>
    <s v="Puyallup River"/>
    <s v="Pierce"/>
    <x v="0"/>
    <s v="Other"/>
    <s v="20Other"/>
    <s v="07Non Puget Sound"/>
    <n v="115.796610169492"/>
    <n v="1001.6406779661058"/>
  </r>
  <r>
    <n v="906"/>
    <x v="2"/>
    <x v="1"/>
    <x v="2"/>
    <s v="Freshwater"/>
    <s v="2Freshwater"/>
    <s v="Salmon"/>
    <s v="804"/>
    <s v="Puyallup River"/>
    <s v="Puyallup River"/>
    <s v="Pierce"/>
    <x v="0"/>
    <s v="Pierce"/>
    <s v="07Pierce"/>
    <s v="02South Puget Sound"/>
    <n v="4270"/>
    <n v="36935.5"/>
  </r>
  <r>
    <n v="907"/>
    <x v="2"/>
    <x v="1"/>
    <x v="2"/>
    <s v="Freshwater"/>
    <s v="2Freshwater"/>
    <s v="Salmon"/>
    <s v="804"/>
    <s v="Puyallup River"/>
    <s v="Puyallup River"/>
    <s v="Pierce"/>
    <x v="0"/>
    <s v="Snohomish"/>
    <s v="03Snohomish"/>
    <s v="01North Puget Sound"/>
    <n v="28.9491525423729"/>
    <n v="250.41016949152561"/>
  </r>
  <r>
    <n v="908"/>
    <x v="2"/>
    <x v="1"/>
    <x v="2"/>
    <s v="Freshwater"/>
    <s v="2Freshwater"/>
    <s v="Salmon"/>
    <s v="804"/>
    <s v="Puyallup River"/>
    <s v="Puyallup River"/>
    <s v="Pierce"/>
    <x v="0"/>
    <s v="Thurston"/>
    <s v="08Thurston"/>
    <s v="02South Puget Sound"/>
    <n v="166.45762711864401"/>
    <n v="1439.8584745762707"/>
  </r>
  <r>
    <n v="909"/>
    <x v="2"/>
    <x v="2"/>
    <x v="2"/>
    <s v="Freshwater"/>
    <s v="2Freshwater"/>
    <s v="Salmon"/>
    <s v="804"/>
    <s v="Puyallup River"/>
    <s v="Puyallup River"/>
    <s v="Pierce"/>
    <x v="0"/>
    <s v="King"/>
    <s v="06King"/>
    <s v="02South Puget Sound"/>
    <n v="93.948453608247405"/>
    <n v="812.65412371134005"/>
  </r>
  <r>
    <n v="910"/>
    <x v="2"/>
    <x v="2"/>
    <x v="2"/>
    <s v="Freshwater"/>
    <s v="2Freshwater"/>
    <s v="Salmon"/>
    <s v="804"/>
    <s v="Puyallup River"/>
    <s v="Puyallup River"/>
    <s v="Pierce"/>
    <x v="0"/>
    <s v="Pierce"/>
    <s v="07Pierce"/>
    <s v="02South Puget Sound"/>
    <n v="599.82474226804095"/>
    <n v="5188.4840206185545"/>
  </r>
  <r>
    <n v="911"/>
    <x v="2"/>
    <x v="2"/>
    <x v="2"/>
    <s v="Freshwater"/>
    <s v="2Freshwater"/>
    <s v="Salmon"/>
    <s v="804"/>
    <s v="Puyallup River"/>
    <s v="Puyallup River"/>
    <s v="Pierce"/>
    <x v="0"/>
    <s v="Whatcom"/>
    <s v="01Whatcom"/>
    <s v="01North Puget Sound"/>
    <n v="7.2268041237113403"/>
    <n v="62.511855670103095"/>
  </r>
  <r>
    <n v="912"/>
    <x v="2"/>
    <x v="3"/>
    <x v="2"/>
    <s v="Freshwater"/>
    <s v="2Freshwater"/>
    <s v="Salmon"/>
    <s v="804"/>
    <s v="Puyallup River"/>
    <s v="Puyallup River"/>
    <s v="Pierce"/>
    <x v="0"/>
    <s v="King"/>
    <s v="06King"/>
    <s v="02South Puget Sound"/>
    <n v="7.0869565217391299"/>
    <n v="61.302173913043475"/>
  </r>
  <r>
    <n v="913"/>
    <x v="2"/>
    <x v="3"/>
    <x v="2"/>
    <s v="Freshwater"/>
    <s v="2Freshwater"/>
    <s v="Salmon"/>
    <s v="804"/>
    <s v="Puyallup River"/>
    <s v="Puyallup River"/>
    <s v="Pierce"/>
    <x v="0"/>
    <s v="Pierce"/>
    <s v="07Pierce"/>
    <s v="02South Puget Sound"/>
    <n v="290.56521739130397"/>
    <n v="2513.3891304347794"/>
  </r>
  <r>
    <n v="914"/>
    <x v="2"/>
    <x v="3"/>
    <x v="2"/>
    <s v="Freshwater"/>
    <s v="2Freshwater"/>
    <s v="Salmon"/>
    <s v="804"/>
    <s v="Puyallup River"/>
    <s v="Puyallup River"/>
    <s v="Pierce"/>
    <x v="0"/>
    <s v="Thurston"/>
    <s v="08Thurston"/>
    <s v="02South Puget Sound"/>
    <n v="7.0869565217391299"/>
    <n v="61.302173913043475"/>
  </r>
  <r>
    <n v="915"/>
    <x v="2"/>
    <x v="3"/>
    <x v="2"/>
    <s v="Freshwater"/>
    <s v="2Freshwater"/>
    <s v="Salmon"/>
    <s v="804"/>
    <s v="Puyallup River"/>
    <s v="Puyallup River"/>
    <s v="Pierce"/>
    <x v="0"/>
    <s v="Whatcom"/>
    <s v="01Whatcom"/>
    <s v="01North Puget Sound"/>
    <n v="21.260869565217401"/>
    <n v="183.90652173913054"/>
  </r>
  <r>
    <n v="916"/>
    <x v="2"/>
    <x v="4"/>
    <x v="2"/>
    <s v="Freshwater"/>
    <s v="2Freshwater"/>
    <s v="Salmon"/>
    <s v="804"/>
    <s v="Puyallup River"/>
    <s v="Puyallup River"/>
    <s v="Pierce"/>
    <x v="0"/>
    <s v="Pierce"/>
    <s v="07Pierce"/>
    <s v="02South Puget Sound"/>
    <n v="119.944444444444"/>
    <n v="1037.5194444444408"/>
  </r>
  <r>
    <n v="917"/>
    <x v="2"/>
    <x v="4"/>
    <x v="2"/>
    <s v="Freshwater"/>
    <s v="2Freshwater"/>
    <s v="Salmon"/>
    <s v="804"/>
    <s v="Puyallup River"/>
    <s v="Puyallup River"/>
    <s v="Pierce"/>
    <x v="0"/>
    <s v="Whatcom"/>
    <s v="01Whatcom"/>
    <s v="01North Puget Sound"/>
    <n v="7.0555555555555598"/>
    <n v="61.030555555555594"/>
  </r>
  <r>
    <n v="918"/>
    <x v="2"/>
    <x v="0"/>
    <x v="2"/>
    <s v="Freshwater"/>
    <s v="2Freshwater"/>
    <s v="Salmon"/>
    <s v="812"/>
    <s v="Quilcene River"/>
    <s v="Quilcene River"/>
    <s v="Jefferson"/>
    <x v="2"/>
    <s v="Clallam"/>
    <s v="11Clallam"/>
    <s v="03Strait of Juan de Fuca"/>
    <n v="14.9908256880734"/>
    <n v="129.67064220183491"/>
  </r>
  <r>
    <n v="919"/>
    <x v="2"/>
    <x v="0"/>
    <x v="2"/>
    <s v="Freshwater"/>
    <s v="2Freshwater"/>
    <s v="Salmon"/>
    <s v="812"/>
    <s v="Quilcene River"/>
    <s v="Quilcene River"/>
    <s v="Jefferson"/>
    <x v="2"/>
    <s v="Jefferson"/>
    <s v="12Jefferson"/>
    <s v="03Strait of Juan de Fuca"/>
    <n v="419.74311926605498"/>
    <n v="3630.7779816513757"/>
  </r>
  <r>
    <n v="920"/>
    <x v="2"/>
    <x v="0"/>
    <x v="2"/>
    <s v="Freshwater"/>
    <s v="2Freshwater"/>
    <s v="Salmon"/>
    <s v="812"/>
    <s v="Quilcene River"/>
    <s v="Quilcene River"/>
    <s v="Jefferson"/>
    <x v="2"/>
    <s v="King"/>
    <s v="06King"/>
    <s v="02South Puget Sound"/>
    <n v="44.9724770642202"/>
    <n v="389.01192660550475"/>
  </r>
  <r>
    <n v="921"/>
    <x v="2"/>
    <x v="0"/>
    <x v="2"/>
    <s v="Freshwater"/>
    <s v="2Freshwater"/>
    <s v="Salmon"/>
    <s v="812"/>
    <s v="Quilcene River"/>
    <s v="Quilcene River"/>
    <s v="Jefferson"/>
    <x v="2"/>
    <s v="Kitsap"/>
    <s v="10Kitsap"/>
    <s v="02South Puget Sound"/>
    <n v="112.43119266055"/>
    <n v="972.52981651375751"/>
  </r>
  <r>
    <n v="922"/>
    <x v="2"/>
    <x v="0"/>
    <x v="2"/>
    <s v="Freshwater"/>
    <s v="2Freshwater"/>
    <s v="Salmon"/>
    <s v="812"/>
    <s v="Quilcene River"/>
    <s v="Quilcene River"/>
    <s v="Jefferson"/>
    <x v="2"/>
    <s v="Other"/>
    <s v="20Other"/>
    <s v="07Non Puget Sound"/>
    <n v="157.40366972477099"/>
    <n v="1361.5417431192691"/>
  </r>
  <r>
    <n v="923"/>
    <x v="2"/>
    <x v="0"/>
    <x v="2"/>
    <s v="Freshwater"/>
    <s v="2Freshwater"/>
    <s v="Salmon"/>
    <s v="812"/>
    <s v="Quilcene River"/>
    <s v="Quilcene River"/>
    <s v="Jefferson"/>
    <x v="2"/>
    <s v="Pierce"/>
    <s v="07Pierce"/>
    <s v="02South Puget Sound"/>
    <n v="37.4770642201835"/>
    <n v="324.17660550458731"/>
  </r>
  <r>
    <n v="924"/>
    <x v="2"/>
    <x v="0"/>
    <x v="2"/>
    <s v="Freshwater"/>
    <s v="2Freshwater"/>
    <s v="Salmon"/>
    <s v="812"/>
    <s v="Quilcene River"/>
    <s v="Quilcene River"/>
    <s v="Jefferson"/>
    <x v="2"/>
    <s v="Snohomish"/>
    <s v="03Snohomish"/>
    <s v="01North Puget Sound"/>
    <n v="29.9816513761468"/>
    <n v="259.34128440366982"/>
  </r>
  <r>
    <n v="925"/>
    <x v="2"/>
    <x v="1"/>
    <x v="2"/>
    <s v="Freshwater"/>
    <s v="2Freshwater"/>
    <s v="Salmon"/>
    <s v="812"/>
    <s v="Quilcene River"/>
    <s v="Quilcene River"/>
    <s v="Jefferson"/>
    <x v="2"/>
    <s v="Clallam"/>
    <s v="11Clallam"/>
    <s v="03Strait of Juan de Fuca"/>
    <n v="704.78923766816195"/>
    <n v="6096.4269058296013"/>
  </r>
  <r>
    <n v="926"/>
    <x v="2"/>
    <x v="1"/>
    <x v="2"/>
    <s v="Freshwater"/>
    <s v="2Freshwater"/>
    <s v="Salmon"/>
    <s v="812"/>
    <s v="Quilcene River"/>
    <s v="Quilcene River"/>
    <s v="Jefferson"/>
    <x v="2"/>
    <s v="Jefferson"/>
    <s v="12Jefferson"/>
    <s v="03Strait of Juan de Fuca"/>
    <n v="637.30941704035899"/>
    <n v="5512.7264573991051"/>
  </r>
  <r>
    <n v="927"/>
    <x v="2"/>
    <x v="1"/>
    <x v="2"/>
    <s v="Freshwater"/>
    <s v="2Freshwater"/>
    <s v="Salmon"/>
    <s v="812"/>
    <s v="Quilcene River"/>
    <s v="Quilcene River"/>
    <s v="Jefferson"/>
    <x v="2"/>
    <s v="King"/>
    <s v="06King"/>
    <s v="02South Puget Sound"/>
    <n v="704.78923766816195"/>
    <n v="6096.4269058296013"/>
  </r>
  <r>
    <n v="928"/>
    <x v="2"/>
    <x v="1"/>
    <x v="2"/>
    <s v="Freshwater"/>
    <s v="2Freshwater"/>
    <s v="Salmon"/>
    <s v="812"/>
    <s v="Quilcene River"/>
    <s v="Quilcene River"/>
    <s v="Jefferson"/>
    <x v="2"/>
    <s v="Kitsap"/>
    <s v="10Kitsap"/>
    <s v="02South Puget Sound"/>
    <n v="1042.1883408071801"/>
    <n v="9014.9291479821077"/>
  </r>
  <r>
    <n v="929"/>
    <x v="2"/>
    <x v="1"/>
    <x v="2"/>
    <s v="Freshwater"/>
    <s v="2Freshwater"/>
    <s v="Salmon"/>
    <s v="812"/>
    <s v="Quilcene River"/>
    <s v="Quilcene River"/>
    <s v="Jefferson"/>
    <x v="2"/>
    <s v="Mason"/>
    <s v="09Mason"/>
    <s v="02South Puget Sound"/>
    <n v="479.856502242153"/>
    <n v="4150.758744394624"/>
  </r>
  <r>
    <n v="930"/>
    <x v="2"/>
    <x v="1"/>
    <x v="2"/>
    <s v="Freshwater"/>
    <s v="2Freshwater"/>
    <s v="Salmon"/>
    <s v="812"/>
    <s v="Quilcene River"/>
    <s v="Quilcene River"/>
    <s v="Jefferson"/>
    <x v="2"/>
    <s v="Other"/>
    <s v="20Other"/>
    <s v="07Non Puget Sound"/>
    <n v="382.385650224215"/>
    <n v="3307.6358744394597"/>
  </r>
  <r>
    <n v="931"/>
    <x v="2"/>
    <x v="1"/>
    <x v="2"/>
    <s v="Freshwater"/>
    <s v="2Freshwater"/>
    <s v="Salmon"/>
    <s v="812"/>
    <s v="Quilcene River"/>
    <s v="Quilcene River"/>
    <s v="Jefferson"/>
    <x v="2"/>
    <s v="Pierce"/>
    <s v="07Pierce"/>
    <s v="02South Puget Sound"/>
    <n v="359.892376681614"/>
    <n v="3113.069058295961"/>
  </r>
  <r>
    <n v="932"/>
    <x v="2"/>
    <x v="1"/>
    <x v="2"/>
    <s v="Freshwater"/>
    <s v="2Freshwater"/>
    <s v="Salmon"/>
    <s v="812"/>
    <s v="Quilcene River"/>
    <s v="Quilcene River"/>
    <s v="Jefferson"/>
    <x v="2"/>
    <s v="Snohomish"/>
    <s v="03Snohomish"/>
    <s v="01North Puget Sound"/>
    <n v="419.87443946188398"/>
    <n v="3631.9139013452964"/>
  </r>
  <r>
    <n v="933"/>
    <x v="2"/>
    <x v="1"/>
    <x v="2"/>
    <s v="Freshwater"/>
    <s v="2Freshwater"/>
    <s v="Salmon"/>
    <s v="812"/>
    <s v="Quilcene River"/>
    <s v="Quilcene River"/>
    <s v="Jefferson"/>
    <x v="2"/>
    <s v="Thurston"/>
    <s v="08Thurston"/>
    <s v="02South Puget Sound"/>
    <n v="284.91479820627802"/>
    <n v="2464.5130044843049"/>
  </r>
  <r>
    <n v="934"/>
    <x v="2"/>
    <x v="2"/>
    <x v="2"/>
    <s v="Freshwater"/>
    <s v="2Freshwater"/>
    <s v="Salmon"/>
    <s v="812"/>
    <s v="Quilcene River"/>
    <s v="Quilcene River"/>
    <s v="Jefferson"/>
    <x v="2"/>
    <s v="Jefferson"/>
    <s v="12Jefferson"/>
    <s v="03Strait of Juan de Fuca"/>
    <n v="82.5"/>
    <n v="713.625"/>
  </r>
  <r>
    <n v="935"/>
    <x v="2"/>
    <x v="2"/>
    <x v="2"/>
    <s v="Freshwater"/>
    <s v="2Freshwater"/>
    <s v="Salmon"/>
    <s v="812"/>
    <s v="Quilcene River"/>
    <s v="Quilcene River"/>
    <s v="Jefferson"/>
    <x v="2"/>
    <s v="King"/>
    <s v="06King"/>
    <s v="02South Puget Sound"/>
    <n v="30"/>
    <n v="259.5"/>
  </r>
  <r>
    <n v="936"/>
    <x v="2"/>
    <x v="2"/>
    <x v="2"/>
    <s v="Freshwater"/>
    <s v="2Freshwater"/>
    <s v="Salmon"/>
    <s v="812"/>
    <s v="Quilcene River"/>
    <s v="Quilcene River"/>
    <s v="Jefferson"/>
    <x v="2"/>
    <s v="Kitsap"/>
    <s v="10Kitsap"/>
    <s v="02South Puget Sound"/>
    <n v="15"/>
    <n v="129.75"/>
  </r>
  <r>
    <n v="937"/>
    <x v="2"/>
    <x v="2"/>
    <x v="2"/>
    <s v="Freshwater"/>
    <s v="2Freshwater"/>
    <s v="Salmon"/>
    <s v="812"/>
    <s v="Quilcene River"/>
    <s v="Quilcene River"/>
    <s v="Jefferson"/>
    <x v="2"/>
    <s v="Mason"/>
    <s v="09Mason"/>
    <s v="02South Puget Sound"/>
    <n v="15"/>
    <n v="129.75"/>
  </r>
  <r>
    <n v="938"/>
    <x v="2"/>
    <x v="2"/>
    <x v="2"/>
    <s v="Freshwater"/>
    <s v="2Freshwater"/>
    <s v="Salmon"/>
    <s v="812"/>
    <s v="Quilcene River"/>
    <s v="Quilcene River"/>
    <s v="Jefferson"/>
    <x v="2"/>
    <s v="Pierce"/>
    <s v="07Pierce"/>
    <s v="02South Puget Sound"/>
    <n v="22.5"/>
    <n v="194.625"/>
  </r>
  <r>
    <n v="939"/>
    <x v="2"/>
    <x v="2"/>
    <x v="2"/>
    <s v="Freshwater"/>
    <s v="2Freshwater"/>
    <s v="Salmon"/>
    <s v="812"/>
    <s v="Quilcene River"/>
    <s v="Quilcene River"/>
    <s v="Jefferson"/>
    <x v="2"/>
    <s v="Skagit"/>
    <s v="02Skagit"/>
    <s v="01North Puget Sound"/>
    <n v="7.5"/>
    <n v="64.875"/>
  </r>
  <r>
    <n v="940"/>
    <x v="2"/>
    <x v="2"/>
    <x v="2"/>
    <s v="Freshwater"/>
    <s v="2Freshwater"/>
    <s v="Salmon"/>
    <s v="812"/>
    <s v="Quilcene River"/>
    <s v="Quilcene River"/>
    <s v="Jefferson"/>
    <x v="2"/>
    <s v="Snohomish"/>
    <s v="03Snohomish"/>
    <s v="01North Puget Sound"/>
    <n v="15"/>
    <n v="129.75"/>
  </r>
  <r>
    <n v="941"/>
    <x v="2"/>
    <x v="2"/>
    <x v="2"/>
    <s v="Freshwater"/>
    <s v="2Freshwater"/>
    <s v="Salmon"/>
    <s v="812"/>
    <s v="Quilcene River"/>
    <s v="Quilcene River"/>
    <s v="Jefferson"/>
    <x v="2"/>
    <s v="Thurston"/>
    <s v="08Thurston"/>
    <s v="02South Puget Sound"/>
    <n v="22.5"/>
    <n v="194.625"/>
  </r>
  <r>
    <n v="942"/>
    <x v="2"/>
    <x v="0"/>
    <x v="2"/>
    <s v="Freshwater"/>
    <s v="2Freshwater"/>
    <s v="Salmon"/>
    <s v="816"/>
    <s v="Samish River"/>
    <s v="Samish River"/>
    <s v="Skagit"/>
    <x v="1"/>
    <s v="Island"/>
    <s v="04Island"/>
    <s v="01North Puget Sound"/>
    <n v="49.913043478260903"/>
    <n v="431.74782608695682"/>
  </r>
  <r>
    <n v="943"/>
    <x v="2"/>
    <x v="0"/>
    <x v="2"/>
    <s v="Freshwater"/>
    <s v="2Freshwater"/>
    <s v="Salmon"/>
    <s v="816"/>
    <s v="Samish River"/>
    <s v="Samish River"/>
    <s v="Skagit"/>
    <x v="1"/>
    <s v="King"/>
    <s v="06King"/>
    <s v="02South Puget Sound"/>
    <n v="49.913043478260903"/>
    <n v="431.74782608695682"/>
  </r>
  <r>
    <n v="944"/>
    <x v="2"/>
    <x v="0"/>
    <x v="2"/>
    <s v="Freshwater"/>
    <s v="2Freshwater"/>
    <s v="Salmon"/>
    <s v="816"/>
    <s v="Samish River"/>
    <s v="Samish River"/>
    <s v="Skagit"/>
    <x v="1"/>
    <s v="Other"/>
    <s v="20Other"/>
    <s v="07Non Puget Sound"/>
    <n v="57.043478260869598"/>
    <n v="493.42608695652206"/>
  </r>
  <r>
    <n v="945"/>
    <x v="2"/>
    <x v="0"/>
    <x v="2"/>
    <s v="Freshwater"/>
    <s v="2Freshwater"/>
    <s v="Salmon"/>
    <s v="816"/>
    <s v="Samish River"/>
    <s v="Samish River"/>
    <s v="Skagit"/>
    <x v="1"/>
    <s v="Skagit"/>
    <s v="02Skagit"/>
    <s v="01North Puget Sound"/>
    <n v="221.04347826086999"/>
    <n v="1912.0260869565254"/>
  </r>
  <r>
    <n v="946"/>
    <x v="2"/>
    <x v="0"/>
    <x v="2"/>
    <s v="Freshwater"/>
    <s v="2Freshwater"/>
    <s v="Salmon"/>
    <s v="816"/>
    <s v="Samish River"/>
    <s v="Samish River"/>
    <s v="Skagit"/>
    <x v="1"/>
    <s v="Snohomish"/>
    <s v="03Snohomish"/>
    <s v="01North Puget Sound"/>
    <n v="228.173913043478"/>
    <n v="1973.7043478260848"/>
  </r>
  <r>
    <n v="947"/>
    <x v="2"/>
    <x v="0"/>
    <x v="2"/>
    <s v="Freshwater"/>
    <s v="2Freshwater"/>
    <s v="Salmon"/>
    <s v="816"/>
    <s v="Samish River"/>
    <s v="Samish River"/>
    <s v="Skagit"/>
    <x v="1"/>
    <s v="Whatcom"/>
    <s v="01Whatcom"/>
    <s v="01North Puget Sound"/>
    <n v="49.913043478260903"/>
    <n v="431.74782608695682"/>
  </r>
  <r>
    <n v="948"/>
    <x v="2"/>
    <x v="1"/>
    <x v="2"/>
    <s v="Freshwater"/>
    <s v="2Freshwater"/>
    <s v="Salmon"/>
    <s v="816"/>
    <s v="Samish River"/>
    <s v="Samish River"/>
    <s v="Skagit"/>
    <x v="1"/>
    <s v="Island"/>
    <s v="04Island"/>
    <s v="01North Puget Sound"/>
    <n v="235.353356890459"/>
    <n v="2035.8065371024704"/>
  </r>
  <r>
    <n v="949"/>
    <x v="2"/>
    <x v="1"/>
    <x v="2"/>
    <s v="Freshwater"/>
    <s v="2Freshwater"/>
    <s v="Salmon"/>
    <s v="816"/>
    <s v="Samish River"/>
    <s v="Samish River"/>
    <s v="Skagit"/>
    <x v="1"/>
    <s v="King"/>
    <s v="06King"/>
    <s v="02South Puget Sound"/>
    <n v="649.00471142520598"/>
    <n v="5613.8907538280318"/>
  </r>
  <r>
    <n v="950"/>
    <x v="2"/>
    <x v="1"/>
    <x v="2"/>
    <s v="Freshwater"/>
    <s v="2Freshwater"/>
    <s v="Salmon"/>
    <s v="816"/>
    <s v="Samish River"/>
    <s v="Samish River"/>
    <s v="Skagit"/>
    <x v="1"/>
    <s v="Kitsap"/>
    <s v="10Kitsap"/>
    <s v="02South Puget Sound"/>
    <n v="14.263839811543001"/>
    <n v="123.38221436984696"/>
  </r>
  <r>
    <n v="951"/>
    <x v="2"/>
    <x v="1"/>
    <x v="2"/>
    <s v="Freshwater"/>
    <s v="2Freshwater"/>
    <s v="Salmon"/>
    <s v="816"/>
    <s v="Samish River"/>
    <s v="Samish River"/>
    <s v="Skagit"/>
    <x v="1"/>
    <s v="Other"/>
    <s v="20Other"/>
    <s v="07Non Puget Sound"/>
    <n v="356.59599528857501"/>
    <n v="3084.5553592461738"/>
  </r>
  <r>
    <n v="952"/>
    <x v="2"/>
    <x v="1"/>
    <x v="2"/>
    <s v="Freshwater"/>
    <s v="2Freshwater"/>
    <s v="Salmon"/>
    <s v="816"/>
    <s v="Samish River"/>
    <s v="Samish River"/>
    <s v="Skagit"/>
    <x v="1"/>
    <s v="Pierce"/>
    <s v="07Pierce"/>
    <s v="02South Puget Sound"/>
    <n v="57.055359246172003"/>
    <n v="493.52885747938785"/>
  </r>
  <r>
    <n v="953"/>
    <x v="2"/>
    <x v="1"/>
    <x v="2"/>
    <s v="Freshwater"/>
    <s v="2Freshwater"/>
    <s v="Salmon"/>
    <s v="816"/>
    <s v="Samish River"/>
    <s v="Samish River"/>
    <s v="Skagit"/>
    <x v="1"/>
    <s v="Skagit"/>
    <s v="02Skagit"/>
    <s v="01North Puget Sound"/>
    <n v="1704.5288574793899"/>
    <n v="14744.174617196722"/>
  </r>
  <r>
    <n v="954"/>
    <x v="2"/>
    <x v="1"/>
    <x v="2"/>
    <s v="Freshwater"/>
    <s v="2Freshwater"/>
    <s v="Salmon"/>
    <s v="816"/>
    <s v="Samish River"/>
    <s v="Samish River"/>
    <s v="Skagit"/>
    <x v="1"/>
    <s v="Snohomish"/>
    <s v="03Snohomish"/>
    <s v="01North Puget Sound"/>
    <n v="2396.3250883392202"/>
    <n v="20728.212014134257"/>
  </r>
  <r>
    <n v="955"/>
    <x v="2"/>
    <x v="1"/>
    <x v="2"/>
    <s v="Freshwater"/>
    <s v="2Freshwater"/>
    <s v="Salmon"/>
    <s v="816"/>
    <s v="Samish River"/>
    <s v="Samish River"/>
    <s v="Skagit"/>
    <x v="1"/>
    <s v="Whatcom"/>
    <s v="01Whatcom"/>
    <s v="01North Puget Sound"/>
    <n v="641.87279151943505"/>
    <n v="5552.1996466431137"/>
  </r>
  <r>
    <n v="956"/>
    <x v="2"/>
    <x v="2"/>
    <x v="2"/>
    <s v="Freshwater"/>
    <s v="2Freshwater"/>
    <s v="Salmon"/>
    <s v="816"/>
    <s v="Samish River"/>
    <s v="Samish River"/>
    <s v="Skagit"/>
    <x v="1"/>
    <s v="Clallam"/>
    <s v="11Clallam"/>
    <s v="03Strait of Juan de Fuca"/>
    <n v="14.251063829787199"/>
    <n v="123.27170212765928"/>
  </r>
  <r>
    <n v="957"/>
    <x v="2"/>
    <x v="2"/>
    <x v="2"/>
    <s v="Freshwater"/>
    <s v="2Freshwater"/>
    <s v="Salmon"/>
    <s v="816"/>
    <s v="Samish River"/>
    <s v="Samish River"/>
    <s v="Skagit"/>
    <x v="1"/>
    <s v="Island"/>
    <s v="04Island"/>
    <s v="01North Puget Sound"/>
    <n v="228.01702127659601"/>
    <n v="1972.3472340425556"/>
  </r>
  <r>
    <n v="958"/>
    <x v="2"/>
    <x v="2"/>
    <x v="2"/>
    <s v="Freshwater"/>
    <s v="2Freshwater"/>
    <s v="Salmon"/>
    <s v="816"/>
    <s v="Samish River"/>
    <s v="Samish River"/>
    <s v="Skagit"/>
    <x v="1"/>
    <s v="King"/>
    <s v="06King"/>
    <s v="02South Puget Sound"/>
    <n v="178.13829787233999"/>
    <n v="1540.896276595741"/>
  </r>
  <r>
    <n v="959"/>
    <x v="2"/>
    <x v="2"/>
    <x v="2"/>
    <s v="Freshwater"/>
    <s v="2Freshwater"/>
    <s v="Salmon"/>
    <s v="816"/>
    <s v="Samish River"/>
    <s v="Samish River"/>
    <s v="Skagit"/>
    <x v="1"/>
    <s v="Other"/>
    <s v="20Other"/>
    <s v="07Non Puget Sound"/>
    <n v="35.627659574468098"/>
    <n v="308.17925531914904"/>
  </r>
  <r>
    <n v="960"/>
    <x v="2"/>
    <x v="2"/>
    <x v="2"/>
    <s v="Freshwater"/>
    <s v="2Freshwater"/>
    <s v="Salmon"/>
    <s v="816"/>
    <s v="Samish River"/>
    <s v="Samish River"/>
    <s v="Skagit"/>
    <x v="1"/>
    <s v="Pierce"/>
    <s v="07Pierce"/>
    <s v="02South Puget Sound"/>
    <n v="14.251063829787199"/>
    <n v="123.27170212765928"/>
  </r>
  <r>
    <n v="961"/>
    <x v="2"/>
    <x v="2"/>
    <x v="2"/>
    <s v="Freshwater"/>
    <s v="2Freshwater"/>
    <s v="Salmon"/>
    <s v="816"/>
    <s v="Samish River"/>
    <s v="Samish River"/>
    <s v="Skagit"/>
    <x v="1"/>
    <s v="Skagit"/>
    <s v="02Skagit"/>
    <s v="01North Puget Sound"/>
    <n v="1083.0808510638301"/>
    <n v="9368.6493617021315"/>
  </r>
  <r>
    <n v="962"/>
    <x v="2"/>
    <x v="2"/>
    <x v="2"/>
    <s v="Freshwater"/>
    <s v="2Freshwater"/>
    <s v="Salmon"/>
    <s v="816"/>
    <s v="Samish River"/>
    <s v="Samish River"/>
    <s v="Skagit"/>
    <x v="1"/>
    <s v="Snohomish"/>
    <s v="03Snohomish"/>
    <s v="01North Puget Sound"/>
    <n v="1574.7425531914901"/>
    <n v="13621.52308510639"/>
  </r>
  <r>
    <n v="963"/>
    <x v="2"/>
    <x v="2"/>
    <x v="2"/>
    <s v="Freshwater"/>
    <s v="2Freshwater"/>
    <s v="Salmon"/>
    <s v="816"/>
    <s v="Samish River"/>
    <s v="Samish River"/>
    <s v="Skagit"/>
    <x v="1"/>
    <s v="Whatcom"/>
    <s v="01Whatcom"/>
    <s v="01North Puget Sound"/>
    <n v="220.89148936170201"/>
    <n v="1910.7113829787224"/>
  </r>
  <r>
    <n v="964"/>
    <x v="2"/>
    <x v="7"/>
    <x v="2"/>
    <s v="Freshwater"/>
    <s v="2Freshwater"/>
    <s v="Salmon"/>
    <s v="825"/>
    <s v="Baker Lake"/>
    <s v="Baker Lake"/>
    <s v="Whatcom"/>
    <x v="1"/>
    <s v="Other"/>
    <s v="20Other"/>
    <s v="07Non Puget Sound"/>
    <n v="0"/>
    <n v="0"/>
  </r>
  <r>
    <n v="965"/>
    <x v="2"/>
    <x v="5"/>
    <x v="2"/>
    <s v="Freshwater"/>
    <s v="2Freshwater"/>
    <s v="Salmon"/>
    <s v="825"/>
    <s v="Baker Lake"/>
    <s v="Baker Lake"/>
    <s v="Whatcom"/>
    <x v="1"/>
    <s v="Clallam"/>
    <s v="11Clallam"/>
    <s v="03Strait of Juan de Fuca"/>
    <n v="7.5696400625978102"/>
    <n v="65.477386541471063"/>
  </r>
  <r>
    <n v="966"/>
    <x v="2"/>
    <x v="5"/>
    <x v="2"/>
    <s v="Freshwater"/>
    <s v="2Freshwater"/>
    <s v="Salmon"/>
    <s v="825"/>
    <s v="Baker Lake"/>
    <s v="Baker Lake"/>
    <s v="Whatcom"/>
    <x v="1"/>
    <s v="Island"/>
    <s v="04Island"/>
    <s v="01North Puget Sound"/>
    <n v="113.54460093896699"/>
    <n v="982.16079812206453"/>
  </r>
  <r>
    <n v="967"/>
    <x v="2"/>
    <x v="5"/>
    <x v="2"/>
    <s v="Freshwater"/>
    <s v="2Freshwater"/>
    <s v="Salmon"/>
    <s v="825"/>
    <s v="Baker Lake"/>
    <s v="Baker Lake"/>
    <s v="Whatcom"/>
    <x v="1"/>
    <s v="King"/>
    <s v="06King"/>
    <s v="02South Puget Sound"/>
    <n v="688.83724569640106"/>
    <n v="5958.442175273869"/>
  </r>
  <r>
    <n v="968"/>
    <x v="2"/>
    <x v="5"/>
    <x v="2"/>
    <s v="Freshwater"/>
    <s v="2Freshwater"/>
    <s v="Salmon"/>
    <s v="825"/>
    <s v="Baker Lake"/>
    <s v="Baker Lake"/>
    <s v="Whatcom"/>
    <x v="1"/>
    <s v="Other"/>
    <s v="20Other"/>
    <s v="07Non Puget Sound"/>
    <n v="219.519561815337"/>
    <n v="1898.844209702665"/>
  </r>
  <r>
    <n v="969"/>
    <x v="2"/>
    <x v="5"/>
    <x v="2"/>
    <s v="Freshwater"/>
    <s v="2Freshwater"/>
    <s v="Salmon"/>
    <s v="825"/>
    <s v="Baker Lake"/>
    <s v="Baker Lake"/>
    <s v="Whatcom"/>
    <x v="1"/>
    <s v="Pierce"/>
    <s v="07Pierce"/>
    <s v="02South Puget Sound"/>
    <n v="90.835680751173697"/>
    <n v="785.72863849765247"/>
  </r>
  <r>
    <n v="970"/>
    <x v="2"/>
    <x v="5"/>
    <x v="2"/>
    <s v="Freshwater"/>
    <s v="2Freshwater"/>
    <s v="Salmon"/>
    <s v="825"/>
    <s v="Baker Lake"/>
    <s v="Baker Lake"/>
    <s v="Whatcom"/>
    <x v="1"/>
    <s v="San Juan"/>
    <s v="05San Juan"/>
    <s v="01North Puget Sound"/>
    <n v="15.139280125195601"/>
    <n v="130.95477308294195"/>
  </r>
  <r>
    <n v="971"/>
    <x v="2"/>
    <x v="5"/>
    <x v="2"/>
    <s v="Freshwater"/>
    <s v="2Freshwater"/>
    <s v="Salmon"/>
    <s v="825"/>
    <s v="Baker Lake"/>
    <s v="Baker Lake"/>
    <s v="Whatcom"/>
    <x v="1"/>
    <s v="Skagit"/>
    <s v="02Skagit"/>
    <s v="01North Puget Sound"/>
    <n v="1460.9405320813801"/>
    <n v="12637.135602503939"/>
  </r>
  <r>
    <n v="972"/>
    <x v="2"/>
    <x v="5"/>
    <x v="2"/>
    <s v="Freshwater"/>
    <s v="2Freshwater"/>
    <s v="Salmon"/>
    <s v="825"/>
    <s v="Baker Lake"/>
    <s v="Baker Lake"/>
    <s v="Whatcom"/>
    <x v="1"/>
    <s v="Snohomish"/>
    <s v="03Snohomish"/>
    <s v="01North Puget Sound"/>
    <n v="1635.0422535211301"/>
    <n v="14143.115492957775"/>
  </r>
  <r>
    <n v="973"/>
    <x v="2"/>
    <x v="5"/>
    <x v="2"/>
    <s v="Freshwater"/>
    <s v="2Freshwater"/>
    <s v="Salmon"/>
    <s v="825"/>
    <s v="Baker Lake"/>
    <s v="Baker Lake"/>
    <s v="Whatcom"/>
    <x v="1"/>
    <s v="Thurston"/>
    <s v="08Thurston"/>
    <s v="02South Puget Sound"/>
    <n v="45.417840375586898"/>
    <n v="392.86431924882669"/>
  </r>
  <r>
    <n v="974"/>
    <x v="2"/>
    <x v="5"/>
    <x v="2"/>
    <s v="Freshwater"/>
    <s v="2Freshwater"/>
    <s v="Salmon"/>
    <s v="825"/>
    <s v="Baker Lake"/>
    <s v="Baker Lake"/>
    <s v="Whatcom"/>
    <x v="1"/>
    <s v="Whatcom"/>
    <s v="01Whatcom"/>
    <s v="01North Puget Sound"/>
    <n v="560.15336463223798"/>
    <n v="4845.3266040688586"/>
  </r>
  <r>
    <n v="975"/>
    <x v="2"/>
    <x v="0"/>
    <x v="2"/>
    <s v="Freshwater"/>
    <s v="2Freshwater"/>
    <s v="Salmon"/>
    <s v="825"/>
    <s v="Baker Lake"/>
    <s v="Baker Lake"/>
    <s v="Whatcom"/>
    <x v="1"/>
    <s v="Clallam"/>
    <s v="11Clallam"/>
    <s v="03Strait of Juan de Fuca"/>
    <n v="7.5454545454545503"/>
    <n v="65.268181818181858"/>
  </r>
  <r>
    <n v="976"/>
    <x v="2"/>
    <x v="0"/>
    <x v="2"/>
    <s v="Freshwater"/>
    <s v="2Freshwater"/>
    <s v="Salmon"/>
    <s v="825"/>
    <s v="Baker Lake"/>
    <s v="Baker Lake"/>
    <s v="Whatcom"/>
    <x v="1"/>
    <s v="Island"/>
    <s v="04Island"/>
    <s v="01North Puget Sound"/>
    <n v="75.454545454545496"/>
    <n v="652.68181818181858"/>
  </r>
  <r>
    <n v="977"/>
    <x v="2"/>
    <x v="0"/>
    <x v="2"/>
    <s v="Freshwater"/>
    <s v="2Freshwater"/>
    <s v="Salmon"/>
    <s v="825"/>
    <s v="Baker Lake"/>
    <s v="Baker Lake"/>
    <s v="Whatcom"/>
    <x v="1"/>
    <s v="King"/>
    <s v="06King"/>
    <s v="02South Puget Sound"/>
    <n v="724.36363636363603"/>
    <n v="6265.745454545452"/>
  </r>
  <r>
    <n v="978"/>
    <x v="2"/>
    <x v="0"/>
    <x v="2"/>
    <s v="Freshwater"/>
    <s v="2Freshwater"/>
    <s v="Salmon"/>
    <s v="825"/>
    <s v="Baker Lake"/>
    <s v="Baker Lake"/>
    <s v="Whatcom"/>
    <x v="1"/>
    <s v="Other"/>
    <s v="20Other"/>
    <s v="07Non Puget Sound"/>
    <n v="301.81818181818198"/>
    <n v="2610.7272727272743"/>
  </r>
  <r>
    <n v="979"/>
    <x v="2"/>
    <x v="0"/>
    <x v="2"/>
    <s v="Freshwater"/>
    <s v="2Freshwater"/>
    <s v="Salmon"/>
    <s v="825"/>
    <s v="Baker Lake"/>
    <s v="Baker Lake"/>
    <s v="Whatcom"/>
    <x v="1"/>
    <s v="Pierce"/>
    <s v="07Pierce"/>
    <s v="02South Puget Sound"/>
    <n v="52.818181818181799"/>
    <n v="456.87727272727255"/>
  </r>
  <r>
    <n v="980"/>
    <x v="2"/>
    <x v="0"/>
    <x v="2"/>
    <s v="Freshwater"/>
    <s v="2Freshwater"/>
    <s v="Salmon"/>
    <s v="825"/>
    <s v="Baker Lake"/>
    <s v="Baker Lake"/>
    <s v="Whatcom"/>
    <x v="1"/>
    <s v="Skagit"/>
    <s v="02Skagit"/>
    <s v="01North Puget Sound"/>
    <n v="1524.1818181818201"/>
    <n v="13184.172727272744"/>
  </r>
  <r>
    <n v="981"/>
    <x v="2"/>
    <x v="0"/>
    <x v="2"/>
    <s v="Freshwater"/>
    <s v="2Freshwater"/>
    <s v="Salmon"/>
    <s v="825"/>
    <s v="Baker Lake"/>
    <s v="Baker Lake"/>
    <s v="Whatcom"/>
    <x v="1"/>
    <s v="Snohomish"/>
    <s v="03Snohomish"/>
    <s v="01North Puget Sound"/>
    <n v="1214.8181818181799"/>
    <n v="10508.177272727256"/>
  </r>
  <r>
    <n v="982"/>
    <x v="2"/>
    <x v="0"/>
    <x v="2"/>
    <s v="Freshwater"/>
    <s v="2Freshwater"/>
    <s v="Salmon"/>
    <s v="825"/>
    <s v="Baker Lake"/>
    <s v="Baker Lake"/>
    <s v="Whatcom"/>
    <x v="1"/>
    <s v="Thurston"/>
    <s v="08Thurston"/>
    <s v="02South Puget Sound"/>
    <n v="15.090909090909101"/>
    <n v="130.53636363636372"/>
  </r>
  <r>
    <n v="983"/>
    <x v="2"/>
    <x v="0"/>
    <x v="2"/>
    <s v="Freshwater"/>
    <s v="2Freshwater"/>
    <s v="Salmon"/>
    <s v="825"/>
    <s v="Baker Lake"/>
    <s v="Baker Lake"/>
    <s v="Whatcom"/>
    <x v="1"/>
    <s v="Whatcom"/>
    <s v="01Whatcom"/>
    <s v="01North Puget Sound"/>
    <n v="814.90909090909099"/>
    <n v="7048.9636363636373"/>
  </r>
  <r>
    <n v="984"/>
    <x v="2"/>
    <x v="1"/>
    <x v="2"/>
    <s v="Freshwater"/>
    <s v="2Freshwater"/>
    <s v="Salmon"/>
    <s v="825"/>
    <s v="Baker Lake"/>
    <s v="Baker Lake"/>
    <s v="Whatcom"/>
    <x v="1"/>
    <s v="Island"/>
    <s v="04Island"/>
    <s v="01North Puget Sound"/>
    <n v="7.5526315789473699"/>
    <n v="65.330263157894748"/>
  </r>
  <r>
    <n v="985"/>
    <x v="2"/>
    <x v="1"/>
    <x v="2"/>
    <s v="Freshwater"/>
    <s v="2Freshwater"/>
    <s v="Salmon"/>
    <s v="825"/>
    <s v="Baker Lake"/>
    <s v="Baker Lake"/>
    <s v="Whatcom"/>
    <x v="1"/>
    <s v="Kitsap"/>
    <s v="10Kitsap"/>
    <s v="02South Puget Sound"/>
    <n v="7.5526315789473699"/>
    <n v="65.330263157894748"/>
  </r>
  <r>
    <n v="986"/>
    <x v="2"/>
    <x v="1"/>
    <x v="2"/>
    <s v="Freshwater"/>
    <s v="2Freshwater"/>
    <s v="Salmon"/>
    <s v="825"/>
    <s v="Baker Lake"/>
    <s v="Baker Lake"/>
    <s v="Whatcom"/>
    <x v="1"/>
    <s v="Other"/>
    <s v="20Other"/>
    <s v="07Non Puget Sound"/>
    <n v="7.5526315789473699"/>
    <n v="65.330263157894748"/>
  </r>
  <r>
    <n v="987"/>
    <x v="2"/>
    <x v="1"/>
    <x v="2"/>
    <s v="Freshwater"/>
    <s v="2Freshwater"/>
    <s v="Salmon"/>
    <s v="825"/>
    <s v="Baker Lake"/>
    <s v="Baker Lake"/>
    <s v="Whatcom"/>
    <x v="1"/>
    <s v="Skagit"/>
    <s v="02Skagit"/>
    <s v="01North Puget Sound"/>
    <n v="90.631578947368396"/>
    <n v="783.9631578947367"/>
  </r>
  <r>
    <n v="988"/>
    <x v="2"/>
    <x v="1"/>
    <x v="2"/>
    <s v="Freshwater"/>
    <s v="2Freshwater"/>
    <s v="Salmon"/>
    <s v="825"/>
    <s v="Baker Lake"/>
    <s v="Baker Lake"/>
    <s v="Whatcom"/>
    <x v="1"/>
    <s v="Snohomish"/>
    <s v="03Snohomish"/>
    <s v="01North Puget Sound"/>
    <n v="60.421052631579002"/>
    <n v="522.64210526315844"/>
  </r>
  <r>
    <n v="989"/>
    <x v="2"/>
    <x v="1"/>
    <x v="2"/>
    <s v="Freshwater"/>
    <s v="2Freshwater"/>
    <s v="Salmon"/>
    <s v="825"/>
    <s v="Baker Lake"/>
    <s v="Baker Lake"/>
    <s v="Whatcom"/>
    <x v="1"/>
    <s v="Whatcom"/>
    <s v="01Whatcom"/>
    <s v="01North Puget Sound"/>
    <n v="113.289473684211"/>
    <n v="979.95394736842525"/>
  </r>
  <r>
    <n v="990"/>
    <x v="2"/>
    <x v="7"/>
    <x v="2"/>
    <s v="Freshwater"/>
    <s v="2Freshwater"/>
    <s v="Salmon"/>
    <s v="826"/>
    <s v="Cascade River"/>
    <s v="Cascade River"/>
    <s v="Skagit"/>
    <x v="1"/>
    <s v="Skagit"/>
    <s v="02Skagit"/>
    <s v="01North Puget Sound"/>
    <n v="38.529411764705898"/>
    <n v="333.27941176470603"/>
  </r>
  <r>
    <n v="991"/>
    <x v="2"/>
    <x v="7"/>
    <x v="2"/>
    <s v="Freshwater"/>
    <s v="2Freshwater"/>
    <s v="Salmon"/>
    <s v="826"/>
    <s v="Cascade River"/>
    <s v="Cascade River"/>
    <s v="Skagit"/>
    <x v="1"/>
    <s v="Snohomish"/>
    <s v="03Snohomish"/>
    <s v="01North Puget Sound"/>
    <n v="84.764705882352999"/>
    <n v="733.21470588235343"/>
  </r>
  <r>
    <n v="992"/>
    <x v="2"/>
    <x v="7"/>
    <x v="2"/>
    <s v="Freshwater"/>
    <s v="2Freshwater"/>
    <s v="Salmon"/>
    <s v="826"/>
    <s v="Cascade River"/>
    <s v="Cascade River"/>
    <s v="Skagit"/>
    <x v="1"/>
    <s v="Whatcom"/>
    <s v="01Whatcom"/>
    <s v="01North Puget Sound"/>
    <n v="7.7058823529411802"/>
    <n v="66.655882352941205"/>
  </r>
  <r>
    <n v="993"/>
    <x v="2"/>
    <x v="5"/>
    <x v="2"/>
    <s v="Freshwater"/>
    <s v="2Freshwater"/>
    <s v="Salmon"/>
    <s v="826"/>
    <s v="Cascade River"/>
    <s v="Cascade River"/>
    <s v="Skagit"/>
    <x v="1"/>
    <s v="Snohomish"/>
    <s v="03Snohomish"/>
    <s v="01North Puget Sound"/>
    <n v="44.25"/>
    <n v="382.76249999999999"/>
  </r>
  <r>
    <n v="994"/>
    <x v="2"/>
    <x v="5"/>
    <x v="2"/>
    <s v="Freshwater"/>
    <s v="2Freshwater"/>
    <s v="Salmon"/>
    <s v="826"/>
    <s v="Cascade River"/>
    <s v="Cascade River"/>
    <s v="Skagit"/>
    <x v="1"/>
    <s v="Whatcom"/>
    <s v="01Whatcom"/>
    <s v="01North Puget Sound"/>
    <n v="14.75"/>
    <n v="127.58750000000001"/>
  </r>
  <r>
    <n v="995"/>
    <x v="2"/>
    <x v="1"/>
    <x v="2"/>
    <s v="Freshwater"/>
    <s v="2Freshwater"/>
    <s v="Salmon"/>
    <s v="826"/>
    <s v="Cascade River"/>
    <s v="Cascade River"/>
    <s v="Skagit"/>
    <x v="1"/>
    <s v="Island"/>
    <s v="04Island"/>
    <s v="01North Puget Sound"/>
    <n v="14.75"/>
    <n v="127.58750000000001"/>
  </r>
  <r>
    <n v="996"/>
    <x v="2"/>
    <x v="1"/>
    <x v="2"/>
    <s v="Freshwater"/>
    <s v="2Freshwater"/>
    <s v="Salmon"/>
    <s v="826"/>
    <s v="Cascade River"/>
    <s v="Cascade River"/>
    <s v="Skagit"/>
    <x v="1"/>
    <s v="King"/>
    <s v="06King"/>
    <s v="02South Puget Sound"/>
    <n v="14.75"/>
    <n v="127.58750000000001"/>
  </r>
  <r>
    <n v="997"/>
    <x v="2"/>
    <x v="1"/>
    <x v="2"/>
    <s v="Freshwater"/>
    <s v="2Freshwater"/>
    <s v="Salmon"/>
    <s v="826"/>
    <s v="Cascade River"/>
    <s v="Cascade River"/>
    <s v="Skagit"/>
    <x v="1"/>
    <s v="Skagit"/>
    <s v="02Skagit"/>
    <s v="01North Puget Sound"/>
    <n v="22.125"/>
    <n v="191.38124999999999"/>
  </r>
  <r>
    <n v="998"/>
    <x v="2"/>
    <x v="1"/>
    <x v="2"/>
    <s v="Freshwater"/>
    <s v="2Freshwater"/>
    <s v="Salmon"/>
    <s v="826"/>
    <s v="Cascade River"/>
    <s v="Cascade River"/>
    <s v="Skagit"/>
    <x v="1"/>
    <s v="Snohomish"/>
    <s v="03Snohomish"/>
    <s v="01North Puget Sound"/>
    <n v="29.5"/>
    <n v="255.17500000000001"/>
  </r>
  <r>
    <n v="999"/>
    <x v="2"/>
    <x v="1"/>
    <x v="2"/>
    <s v="Freshwater"/>
    <s v="2Freshwater"/>
    <s v="Salmon"/>
    <s v="826"/>
    <s v="Cascade River"/>
    <s v="Cascade River"/>
    <s v="Skagit"/>
    <x v="1"/>
    <s v="Whatcom"/>
    <s v="01Whatcom"/>
    <s v="01North Puget Sound"/>
    <n v="36.875"/>
    <n v="318.96875"/>
  </r>
  <r>
    <n v="1000"/>
    <x v="2"/>
    <x v="2"/>
    <x v="2"/>
    <s v="Freshwater"/>
    <s v="2Freshwater"/>
    <s v="Salmon"/>
    <s v="826"/>
    <s v="Cascade River"/>
    <s v="Cascade River"/>
    <s v="Skagit"/>
    <x v="1"/>
    <s v="Island"/>
    <s v="04Island"/>
    <s v="01North Puget Sound"/>
    <n v="88.647887323943706"/>
    <n v="766.80422535211312"/>
  </r>
  <r>
    <n v="1001"/>
    <x v="2"/>
    <x v="2"/>
    <x v="2"/>
    <s v="Freshwater"/>
    <s v="2Freshwater"/>
    <s v="Salmon"/>
    <s v="826"/>
    <s v="Cascade River"/>
    <s v="Cascade River"/>
    <s v="Skagit"/>
    <x v="1"/>
    <s v="King"/>
    <s v="06King"/>
    <s v="02South Puget Sound"/>
    <n v="103.422535211268"/>
    <n v="894.60492957746817"/>
  </r>
  <r>
    <n v="1002"/>
    <x v="2"/>
    <x v="2"/>
    <x v="2"/>
    <s v="Freshwater"/>
    <s v="2Freshwater"/>
    <s v="Salmon"/>
    <s v="826"/>
    <s v="Cascade River"/>
    <s v="Cascade River"/>
    <s v="Skagit"/>
    <x v="1"/>
    <s v="Kitsap"/>
    <s v="10Kitsap"/>
    <s v="02South Puget Sound"/>
    <n v="14.7746478873239"/>
    <n v="127.80070422535174"/>
  </r>
  <r>
    <n v="1003"/>
    <x v="2"/>
    <x v="2"/>
    <x v="2"/>
    <s v="Freshwater"/>
    <s v="2Freshwater"/>
    <s v="Salmon"/>
    <s v="826"/>
    <s v="Cascade River"/>
    <s v="Cascade River"/>
    <s v="Skagit"/>
    <x v="1"/>
    <s v="Pierce"/>
    <s v="07Pierce"/>
    <s v="02South Puget Sound"/>
    <n v="36.936619718309899"/>
    <n v="319.50176056338063"/>
  </r>
  <r>
    <n v="1004"/>
    <x v="2"/>
    <x v="2"/>
    <x v="2"/>
    <s v="Freshwater"/>
    <s v="2Freshwater"/>
    <s v="Salmon"/>
    <s v="826"/>
    <s v="Cascade River"/>
    <s v="Cascade River"/>
    <s v="Skagit"/>
    <x v="1"/>
    <s v="Skagit"/>
    <s v="02Skagit"/>
    <s v="01North Puget Sound"/>
    <n v="243.781690140845"/>
    <n v="2108.7116197183095"/>
  </r>
  <r>
    <n v="1005"/>
    <x v="2"/>
    <x v="2"/>
    <x v="2"/>
    <s v="Freshwater"/>
    <s v="2Freshwater"/>
    <s v="Salmon"/>
    <s v="826"/>
    <s v="Cascade River"/>
    <s v="Cascade River"/>
    <s v="Skagit"/>
    <x v="1"/>
    <s v="Snohomish"/>
    <s v="03Snohomish"/>
    <s v="01North Puget Sound"/>
    <n v="347.20422535211299"/>
    <n v="3003.3165492957773"/>
  </r>
  <r>
    <n v="1006"/>
    <x v="2"/>
    <x v="2"/>
    <x v="2"/>
    <s v="Freshwater"/>
    <s v="2Freshwater"/>
    <s v="Salmon"/>
    <s v="826"/>
    <s v="Cascade River"/>
    <s v="Cascade River"/>
    <s v="Skagit"/>
    <x v="1"/>
    <s v="Whatcom"/>
    <s v="01Whatcom"/>
    <s v="01North Puget Sound"/>
    <n v="214.23239436619701"/>
    <n v="1853.1102112676042"/>
  </r>
  <r>
    <n v="1007"/>
    <x v="2"/>
    <x v="3"/>
    <x v="2"/>
    <s v="Freshwater"/>
    <s v="2Freshwater"/>
    <s v="Salmon"/>
    <s v="826"/>
    <s v="Cascade River"/>
    <s v="Cascade River"/>
    <s v="Skagit"/>
    <x v="1"/>
    <s v="Clallam"/>
    <s v="11Clallam"/>
    <s v="03Strait of Juan de Fuca"/>
    <n v="7.3783783783783798"/>
    <n v="63.822972972972991"/>
  </r>
  <r>
    <n v="1008"/>
    <x v="2"/>
    <x v="3"/>
    <x v="2"/>
    <s v="Freshwater"/>
    <s v="2Freshwater"/>
    <s v="Salmon"/>
    <s v="826"/>
    <s v="Cascade River"/>
    <s v="Cascade River"/>
    <s v="Skagit"/>
    <x v="1"/>
    <s v="Island"/>
    <s v="04Island"/>
    <s v="01North Puget Sound"/>
    <n v="22.135135135135101"/>
    <n v="191.46891891891863"/>
  </r>
  <r>
    <n v="1009"/>
    <x v="2"/>
    <x v="3"/>
    <x v="2"/>
    <s v="Freshwater"/>
    <s v="2Freshwater"/>
    <s v="Salmon"/>
    <s v="826"/>
    <s v="Cascade River"/>
    <s v="Cascade River"/>
    <s v="Skagit"/>
    <x v="1"/>
    <s v="Other"/>
    <s v="20Other"/>
    <s v="07Non Puget Sound"/>
    <n v="66.405405405405403"/>
    <n v="574.40675675675675"/>
  </r>
  <r>
    <n v="1010"/>
    <x v="2"/>
    <x v="3"/>
    <x v="2"/>
    <s v="Freshwater"/>
    <s v="2Freshwater"/>
    <s v="Salmon"/>
    <s v="826"/>
    <s v="Cascade River"/>
    <s v="Cascade River"/>
    <s v="Skagit"/>
    <x v="1"/>
    <s v="Skagit"/>
    <s v="02Skagit"/>
    <s v="01North Puget Sound"/>
    <n v="73.783783783783804"/>
    <n v="638.22972972972991"/>
  </r>
  <r>
    <n v="1011"/>
    <x v="2"/>
    <x v="3"/>
    <x v="2"/>
    <s v="Freshwater"/>
    <s v="2Freshwater"/>
    <s v="Salmon"/>
    <s v="826"/>
    <s v="Cascade River"/>
    <s v="Cascade River"/>
    <s v="Skagit"/>
    <x v="1"/>
    <s v="Snohomish"/>
    <s v="03Snohomish"/>
    <s v="01North Puget Sound"/>
    <n v="88.540540540540604"/>
    <n v="765.87567567567623"/>
  </r>
  <r>
    <n v="1012"/>
    <x v="2"/>
    <x v="3"/>
    <x v="2"/>
    <s v="Freshwater"/>
    <s v="2Freshwater"/>
    <s v="Salmon"/>
    <s v="826"/>
    <s v="Cascade River"/>
    <s v="Cascade River"/>
    <s v="Skagit"/>
    <x v="1"/>
    <s v="Whatcom"/>
    <s v="01Whatcom"/>
    <s v="01North Puget Sound"/>
    <n v="14.756756756756801"/>
    <n v="127.64594594594632"/>
  </r>
  <r>
    <n v="1013"/>
    <x v="2"/>
    <x v="7"/>
    <x v="2"/>
    <s v="Freshwater"/>
    <s v="2Freshwater"/>
    <s v="Salmon"/>
    <s v="830"/>
    <s v="Skagit River"/>
    <s v="Skagit River"/>
    <s v="Skagit/Whatcom"/>
    <x v="4"/>
    <s v="King"/>
    <s v="06King"/>
    <s v="02South Puget Sound"/>
    <n v="52.137931034482797"/>
    <n v="450.9931034482762"/>
  </r>
  <r>
    <n v="1014"/>
    <x v="2"/>
    <x v="7"/>
    <x v="2"/>
    <s v="Freshwater"/>
    <s v="2Freshwater"/>
    <s v="Salmon"/>
    <s v="830"/>
    <s v="Skagit River"/>
    <s v="Skagit River"/>
    <s v="Skagit/Whatcom"/>
    <x v="4"/>
    <s v="Other"/>
    <s v="20Other"/>
    <s v="07Non Puget Sound"/>
    <n v="14.8965517241379"/>
    <n v="128.85517241379284"/>
  </r>
  <r>
    <n v="1015"/>
    <x v="2"/>
    <x v="7"/>
    <x v="2"/>
    <s v="Freshwater"/>
    <s v="2Freshwater"/>
    <s v="Salmon"/>
    <s v="830"/>
    <s v="Skagit River"/>
    <s v="Skagit River"/>
    <s v="Skagit/Whatcom"/>
    <x v="4"/>
    <s v="Skagit"/>
    <s v="02Skagit"/>
    <s v="01North Puget Sound"/>
    <n v="335.172413793104"/>
    <n v="2899.2413793103497"/>
  </r>
  <r>
    <n v="1016"/>
    <x v="2"/>
    <x v="7"/>
    <x v="2"/>
    <s v="Freshwater"/>
    <s v="2Freshwater"/>
    <s v="Salmon"/>
    <s v="830"/>
    <s v="Skagit River"/>
    <s v="Skagit River"/>
    <s v="Skagit/Whatcom"/>
    <x v="4"/>
    <s v="Snohomish"/>
    <s v="03Snohomish"/>
    <s v="01North Puget Sound"/>
    <n v="208.55172413793099"/>
    <n v="1803.9724137931032"/>
  </r>
  <r>
    <n v="1017"/>
    <x v="2"/>
    <x v="7"/>
    <x v="2"/>
    <s v="Freshwater"/>
    <s v="2Freshwater"/>
    <s v="Salmon"/>
    <s v="830"/>
    <s v="Skagit River"/>
    <s v="Skagit River"/>
    <s v="Skagit/Whatcom"/>
    <x v="4"/>
    <s v="Whatcom"/>
    <s v="01Whatcom"/>
    <s v="01North Puget Sound"/>
    <n v="37.241379310344797"/>
    <n v="322.13793103448251"/>
  </r>
  <r>
    <n v="1018"/>
    <x v="2"/>
    <x v="5"/>
    <x v="2"/>
    <s v="Freshwater"/>
    <s v="2Freshwater"/>
    <s v="Salmon"/>
    <s v="830"/>
    <s v="Skagit River"/>
    <s v="Skagit River"/>
    <s v="Skagit/Whatcom"/>
    <x v="4"/>
    <s v="Island"/>
    <s v="04Island"/>
    <s v="01North Puget Sound"/>
    <n v="97.168168168168194"/>
    <n v="840.50465465465493"/>
  </r>
  <r>
    <n v="1019"/>
    <x v="2"/>
    <x v="5"/>
    <x v="2"/>
    <s v="Freshwater"/>
    <s v="2Freshwater"/>
    <s v="Salmon"/>
    <s v="830"/>
    <s v="Skagit River"/>
    <s v="Skagit River"/>
    <s v="Skagit/Whatcom"/>
    <x v="4"/>
    <s v="King"/>
    <s v="06King"/>
    <s v="02South Puget Sound"/>
    <n v="186.861861861862"/>
    <n v="1616.3551051051063"/>
  </r>
  <r>
    <n v="1020"/>
    <x v="2"/>
    <x v="5"/>
    <x v="2"/>
    <s v="Freshwater"/>
    <s v="2Freshwater"/>
    <s v="Salmon"/>
    <s v="830"/>
    <s v="Skagit River"/>
    <s v="Skagit River"/>
    <s v="Skagit/Whatcom"/>
    <x v="4"/>
    <s v="Other"/>
    <s v="20Other"/>
    <s v="07Non Puget Sound"/>
    <n v="52.3213213213213"/>
    <n v="452.57942942942924"/>
  </r>
  <r>
    <n v="1021"/>
    <x v="2"/>
    <x v="5"/>
    <x v="2"/>
    <s v="Freshwater"/>
    <s v="2Freshwater"/>
    <s v="Salmon"/>
    <s v="830"/>
    <s v="Skagit River"/>
    <s v="Skagit River"/>
    <s v="Skagit/Whatcom"/>
    <x v="4"/>
    <s v="Pierce"/>
    <s v="07Pierce"/>
    <s v="02South Puget Sound"/>
    <n v="44.846846846846901"/>
    <n v="387.92522522522569"/>
  </r>
  <r>
    <n v="1022"/>
    <x v="2"/>
    <x v="5"/>
    <x v="2"/>
    <s v="Freshwater"/>
    <s v="2Freshwater"/>
    <s v="Salmon"/>
    <s v="830"/>
    <s v="Skagit River"/>
    <s v="Skagit River"/>
    <s v="Skagit/Whatcom"/>
    <x v="4"/>
    <s v="Skagit"/>
    <s v="02Skagit"/>
    <s v="01North Puget Sound"/>
    <n v="1696.70570570571"/>
    <n v="14676.504354354392"/>
  </r>
  <r>
    <n v="1023"/>
    <x v="2"/>
    <x v="5"/>
    <x v="2"/>
    <s v="Freshwater"/>
    <s v="2Freshwater"/>
    <s v="Salmon"/>
    <s v="830"/>
    <s v="Skagit River"/>
    <s v="Skagit River"/>
    <s v="Skagit/Whatcom"/>
    <x v="4"/>
    <s v="Snohomish"/>
    <s v="03Snohomish"/>
    <s v="01North Puget Sound"/>
    <n v="343.82582582582597"/>
    <n v="2974.0933933933948"/>
  </r>
  <r>
    <n v="1024"/>
    <x v="2"/>
    <x v="5"/>
    <x v="2"/>
    <s v="Freshwater"/>
    <s v="2Freshwater"/>
    <s v="Salmon"/>
    <s v="830"/>
    <s v="Skagit River"/>
    <s v="Skagit River"/>
    <s v="Skagit/Whatcom"/>
    <x v="4"/>
    <s v="Whatcom"/>
    <s v="01Whatcom"/>
    <s v="01North Puget Sound"/>
    <n v="67.270270270270302"/>
    <n v="581.88783783783811"/>
  </r>
  <r>
    <n v="1025"/>
    <x v="2"/>
    <x v="1"/>
    <x v="2"/>
    <s v="Freshwater"/>
    <s v="2Freshwater"/>
    <s v="Salmon"/>
    <s v="830"/>
    <s v="Skagit River"/>
    <s v="Skagit River"/>
    <s v="Skagit/Whatcom"/>
    <x v="4"/>
    <s v="King"/>
    <s v="06King"/>
    <s v="02South Puget Sound"/>
    <n v="36.625615763546797"/>
    <n v="316.8115763546798"/>
  </r>
  <r>
    <n v="1026"/>
    <x v="2"/>
    <x v="1"/>
    <x v="2"/>
    <s v="Freshwater"/>
    <s v="2Freshwater"/>
    <s v="Salmon"/>
    <s v="830"/>
    <s v="Skagit River"/>
    <s v="Skagit River"/>
    <s v="Skagit/Whatcom"/>
    <x v="4"/>
    <s v="Other"/>
    <s v="20Other"/>
    <s v="07Non Puget Sound"/>
    <n v="43.950738916256199"/>
    <n v="380.17389162561614"/>
  </r>
  <r>
    <n v="1027"/>
    <x v="2"/>
    <x v="1"/>
    <x v="2"/>
    <s v="Freshwater"/>
    <s v="2Freshwater"/>
    <s v="Salmon"/>
    <s v="830"/>
    <s v="Skagit River"/>
    <s v="Skagit River"/>
    <s v="Skagit/Whatcom"/>
    <x v="4"/>
    <s v="Skagit"/>
    <s v="02Skagit"/>
    <s v="01North Puget Sound"/>
    <n v="1164.6945812807901"/>
    <n v="10074.608128078835"/>
  </r>
  <r>
    <n v="1028"/>
    <x v="2"/>
    <x v="1"/>
    <x v="2"/>
    <s v="Freshwater"/>
    <s v="2Freshwater"/>
    <s v="Salmon"/>
    <s v="830"/>
    <s v="Skagit River"/>
    <s v="Skagit River"/>
    <s v="Skagit/Whatcom"/>
    <x v="4"/>
    <s v="Snohomish"/>
    <s v="03Snohomish"/>
    <s v="01North Puget Sound"/>
    <n v="197.778325123153"/>
    <n v="1710.7825123152734"/>
  </r>
  <r>
    <n v="1029"/>
    <x v="2"/>
    <x v="1"/>
    <x v="2"/>
    <s v="Freshwater"/>
    <s v="2Freshwater"/>
    <s v="Salmon"/>
    <s v="830"/>
    <s v="Skagit River"/>
    <s v="Skagit River"/>
    <s v="Skagit/Whatcom"/>
    <x v="4"/>
    <s v="Whatcom"/>
    <s v="01Whatcom"/>
    <s v="01North Puget Sound"/>
    <n v="43.950738916256199"/>
    <n v="380.17389162561614"/>
  </r>
  <r>
    <n v="1030"/>
    <x v="2"/>
    <x v="2"/>
    <x v="2"/>
    <s v="Freshwater"/>
    <s v="2Freshwater"/>
    <s v="Salmon"/>
    <s v="830"/>
    <s v="Skagit River"/>
    <s v="Skagit River"/>
    <s v="Skagit/Whatcom"/>
    <x v="4"/>
    <s v="Island"/>
    <s v="04Island"/>
    <s v="01North Puget Sound"/>
    <n v="29.2953367875648"/>
    <n v="253.40466321243554"/>
  </r>
  <r>
    <n v="1031"/>
    <x v="2"/>
    <x v="2"/>
    <x v="2"/>
    <s v="Freshwater"/>
    <s v="2Freshwater"/>
    <s v="Salmon"/>
    <s v="830"/>
    <s v="Skagit River"/>
    <s v="Skagit River"/>
    <s v="Skagit/Whatcom"/>
    <x v="4"/>
    <s v="King"/>
    <s v="06King"/>
    <s v="02South Puget Sound"/>
    <n v="65.914507772020698"/>
    <n v="570.16049222797903"/>
  </r>
  <r>
    <n v="1032"/>
    <x v="2"/>
    <x v="2"/>
    <x v="2"/>
    <s v="Freshwater"/>
    <s v="2Freshwater"/>
    <s v="Salmon"/>
    <s v="830"/>
    <s v="Skagit River"/>
    <s v="Skagit River"/>
    <s v="Skagit/Whatcom"/>
    <x v="4"/>
    <s v="Kitsap"/>
    <s v="10Kitsap"/>
    <s v="02South Puget Sound"/>
    <n v="58.5906735751295"/>
    <n v="506.80932642487022"/>
  </r>
  <r>
    <n v="1033"/>
    <x v="2"/>
    <x v="2"/>
    <x v="2"/>
    <s v="Freshwater"/>
    <s v="2Freshwater"/>
    <s v="Salmon"/>
    <s v="830"/>
    <s v="Skagit River"/>
    <s v="Skagit River"/>
    <s v="Skagit/Whatcom"/>
    <x v="4"/>
    <s v="Other"/>
    <s v="20Other"/>
    <s v="07Non Puget Sound"/>
    <n v="124.50518134715"/>
    <n v="1076.9698186528476"/>
  </r>
  <r>
    <n v="1034"/>
    <x v="2"/>
    <x v="2"/>
    <x v="2"/>
    <s v="Freshwater"/>
    <s v="2Freshwater"/>
    <s v="Salmon"/>
    <s v="830"/>
    <s v="Skagit River"/>
    <s v="Skagit River"/>
    <s v="Skagit/Whatcom"/>
    <x v="4"/>
    <s v="Pierce"/>
    <s v="07Pierce"/>
    <s v="02South Puget Sound"/>
    <n v="21.971502590673602"/>
    <n v="190.05349740932667"/>
  </r>
  <r>
    <n v="1035"/>
    <x v="2"/>
    <x v="2"/>
    <x v="2"/>
    <s v="Freshwater"/>
    <s v="2Freshwater"/>
    <s v="Salmon"/>
    <s v="830"/>
    <s v="Skagit River"/>
    <s v="Skagit River"/>
    <s v="Skagit/Whatcom"/>
    <x v="4"/>
    <s v="San Juan"/>
    <s v="05San Juan"/>
    <s v="01North Puget Sound"/>
    <n v="14.6476683937824"/>
    <n v="126.70233160621777"/>
  </r>
  <r>
    <n v="1036"/>
    <x v="2"/>
    <x v="2"/>
    <x v="2"/>
    <s v="Freshwater"/>
    <s v="2Freshwater"/>
    <s v="Salmon"/>
    <s v="830"/>
    <s v="Skagit River"/>
    <s v="Skagit River"/>
    <s v="Skagit/Whatcom"/>
    <x v="4"/>
    <s v="Skagit"/>
    <s v="02Skagit"/>
    <s v="01North Puget Sound"/>
    <n v="2101.9404145077701"/>
    <n v="18181.784585492212"/>
  </r>
  <r>
    <n v="1037"/>
    <x v="2"/>
    <x v="2"/>
    <x v="2"/>
    <s v="Freshwater"/>
    <s v="2Freshwater"/>
    <s v="Salmon"/>
    <s v="830"/>
    <s v="Skagit River"/>
    <s v="Skagit River"/>
    <s v="Skagit/Whatcom"/>
    <x v="4"/>
    <s v="Snohomish"/>
    <s v="03Snohomish"/>
    <s v="01North Puget Sound"/>
    <n v="219.715025906736"/>
    <n v="1900.5349740932666"/>
  </r>
  <r>
    <n v="1038"/>
    <x v="2"/>
    <x v="2"/>
    <x v="2"/>
    <s v="Freshwater"/>
    <s v="2Freshwater"/>
    <s v="Salmon"/>
    <s v="830"/>
    <s v="Skagit River"/>
    <s v="Skagit River"/>
    <s v="Skagit/Whatcom"/>
    <x v="4"/>
    <s v="Whatcom"/>
    <s v="01Whatcom"/>
    <s v="01North Puget Sound"/>
    <n v="190.41968911917101"/>
    <n v="1647.1303108808293"/>
  </r>
  <r>
    <n v="1039"/>
    <x v="2"/>
    <x v="3"/>
    <x v="2"/>
    <s v="Freshwater"/>
    <s v="2Freshwater"/>
    <s v="Salmon"/>
    <s v="830"/>
    <s v="Skagit River"/>
    <s v="Skagit River"/>
    <s v="Skagit/Whatcom"/>
    <x v="4"/>
    <s v="Island"/>
    <s v="04Island"/>
    <s v="01North Puget Sound"/>
    <n v="7.3278688524590203"/>
    <n v="63.38606557377053"/>
  </r>
  <r>
    <n v="1040"/>
    <x v="2"/>
    <x v="3"/>
    <x v="2"/>
    <s v="Freshwater"/>
    <s v="2Freshwater"/>
    <s v="Salmon"/>
    <s v="830"/>
    <s v="Skagit River"/>
    <s v="Skagit River"/>
    <s v="Skagit/Whatcom"/>
    <x v="4"/>
    <s v="King"/>
    <s v="06King"/>
    <s v="02South Puget Sound"/>
    <n v="21.983606557377101"/>
    <n v="190.15819672131192"/>
  </r>
  <r>
    <n v="1041"/>
    <x v="2"/>
    <x v="3"/>
    <x v="2"/>
    <s v="Freshwater"/>
    <s v="2Freshwater"/>
    <s v="Salmon"/>
    <s v="830"/>
    <s v="Skagit River"/>
    <s v="Skagit River"/>
    <s v="Skagit/Whatcom"/>
    <x v="4"/>
    <s v="Other"/>
    <s v="20Other"/>
    <s v="07Non Puget Sound"/>
    <n v="7.3278688524590203"/>
    <n v="63.38606557377053"/>
  </r>
  <r>
    <n v="1042"/>
    <x v="2"/>
    <x v="3"/>
    <x v="2"/>
    <s v="Freshwater"/>
    <s v="2Freshwater"/>
    <s v="Salmon"/>
    <s v="830"/>
    <s v="Skagit River"/>
    <s v="Skagit River"/>
    <s v="Skagit/Whatcom"/>
    <x v="4"/>
    <s v="Skagit"/>
    <s v="02Skagit"/>
    <s v="01North Puget Sound"/>
    <n v="256.47540983606598"/>
    <n v="2218.5122950819709"/>
  </r>
  <r>
    <n v="1043"/>
    <x v="2"/>
    <x v="3"/>
    <x v="2"/>
    <s v="Freshwater"/>
    <s v="2Freshwater"/>
    <s v="Salmon"/>
    <s v="830"/>
    <s v="Skagit River"/>
    <s v="Skagit River"/>
    <s v="Skagit/Whatcom"/>
    <x v="4"/>
    <s v="Snohomish"/>
    <s v="03Snohomish"/>
    <s v="01North Puget Sound"/>
    <n v="43.967213114754102"/>
    <n v="380.316393442623"/>
  </r>
  <r>
    <n v="1044"/>
    <x v="2"/>
    <x v="3"/>
    <x v="2"/>
    <s v="Freshwater"/>
    <s v="2Freshwater"/>
    <s v="Salmon"/>
    <s v="830"/>
    <s v="Skagit River"/>
    <s v="Skagit River"/>
    <s v="Skagit/Whatcom"/>
    <x v="4"/>
    <s v="Whatcom"/>
    <s v="01Whatcom"/>
    <s v="01North Puget Sound"/>
    <n v="109.91803278688499"/>
    <n v="950.79098360655519"/>
  </r>
  <r>
    <n v="1045"/>
    <x v="2"/>
    <x v="4"/>
    <x v="2"/>
    <s v="Freshwater"/>
    <s v="2Freshwater"/>
    <s v="Salmon"/>
    <s v="830"/>
    <s v="Skagit River"/>
    <s v="Skagit River"/>
    <s v="Skagit/Whatcom"/>
    <x v="4"/>
    <s v="Skagit"/>
    <s v="02Skagit"/>
    <s v="01North Puget Sound"/>
    <n v="36.6666666666667"/>
    <n v="317.16666666666697"/>
  </r>
  <r>
    <n v="1046"/>
    <x v="2"/>
    <x v="4"/>
    <x v="2"/>
    <s v="Freshwater"/>
    <s v="2Freshwater"/>
    <s v="Salmon"/>
    <s v="830"/>
    <s v="Skagit River"/>
    <s v="Skagit River"/>
    <s v="Skagit/Whatcom"/>
    <x v="4"/>
    <s v="Snohomish"/>
    <s v="03Snohomish"/>
    <s v="01North Puget Sound"/>
    <n v="7.3333333333333401"/>
    <n v="63.433333333333394"/>
  </r>
  <r>
    <n v="1047"/>
    <x v="2"/>
    <x v="0"/>
    <x v="2"/>
    <s v="Freshwater"/>
    <s v="2Freshwater"/>
    <s v="Salmon"/>
    <s v="834"/>
    <s v="Skokomish River"/>
    <s v="Skokomish River"/>
    <s v="Mason"/>
    <x v="2"/>
    <s v="Island"/>
    <s v="04Island"/>
    <s v="01North Puget Sound"/>
    <n v="28.982097186700798"/>
    <n v="250.69514066496191"/>
  </r>
  <r>
    <n v="1048"/>
    <x v="2"/>
    <x v="0"/>
    <x v="2"/>
    <s v="Freshwater"/>
    <s v="2Freshwater"/>
    <s v="Salmon"/>
    <s v="834"/>
    <s v="Skokomish River"/>
    <s v="Skokomish River"/>
    <s v="Mason"/>
    <x v="2"/>
    <s v="Jefferson"/>
    <s v="12Jefferson"/>
    <s v="03Strait of Juan de Fuca"/>
    <n v="7.2455242966751898"/>
    <n v="62.673785166240393"/>
  </r>
  <r>
    <n v="1049"/>
    <x v="2"/>
    <x v="0"/>
    <x v="2"/>
    <s v="Freshwater"/>
    <s v="2Freshwater"/>
    <s v="Salmon"/>
    <s v="834"/>
    <s v="Skokomish River"/>
    <s v="Skokomish River"/>
    <s v="Mason"/>
    <x v="2"/>
    <s v="King"/>
    <s v="06King"/>
    <s v="02South Puget Sound"/>
    <n v="1282.45780051151"/>
    <n v="11093.259974424562"/>
  </r>
  <r>
    <n v="1050"/>
    <x v="2"/>
    <x v="0"/>
    <x v="2"/>
    <s v="Freshwater"/>
    <s v="2Freshwater"/>
    <s v="Salmon"/>
    <s v="834"/>
    <s v="Skokomish River"/>
    <s v="Skokomish River"/>
    <s v="Mason"/>
    <x v="2"/>
    <s v="Kitsap"/>
    <s v="10Kitsap"/>
    <s v="02South Puget Sound"/>
    <n v="427.48593350383601"/>
    <n v="3697.7533248081818"/>
  </r>
  <r>
    <n v="1051"/>
    <x v="2"/>
    <x v="0"/>
    <x v="2"/>
    <s v="Freshwater"/>
    <s v="2Freshwater"/>
    <s v="Salmon"/>
    <s v="834"/>
    <s v="Skokomish River"/>
    <s v="Skokomish River"/>
    <s v="Mason"/>
    <x v="2"/>
    <s v="Mason"/>
    <s v="09Mason"/>
    <s v="02South Puget Sound"/>
    <n v="630.36061381074205"/>
    <n v="5452.6193094629189"/>
  </r>
  <r>
    <n v="1052"/>
    <x v="2"/>
    <x v="0"/>
    <x v="2"/>
    <s v="Freshwater"/>
    <s v="2Freshwater"/>
    <s v="Salmon"/>
    <s v="834"/>
    <s v="Skokomish River"/>
    <s v="Skokomish River"/>
    <s v="Mason"/>
    <x v="2"/>
    <s v="Other"/>
    <s v="20Other"/>
    <s v="07Non Puget Sound"/>
    <n v="586.88746803069102"/>
    <n v="5076.5765984654772"/>
  </r>
  <r>
    <n v="1053"/>
    <x v="2"/>
    <x v="0"/>
    <x v="2"/>
    <s v="Freshwater"/>
    <s v="2Freshwater"/>
    <s v="Salmon"/>
    <s v="834"/>
    <s v="Skokomish River"/>
    <s v="Skokomish River"/>
    <s v="Mason"/>
    <x v="2"/>
    <s v="Pierce"/>
    <s v="07Pierce"/>
    <s v="02South Puget Sound"/>
    <n v="1717.18925831202"/>
    <n v="14853.687084398973"/>
  </r>
  <r>
    <n v="1054"/>
    <x v="2"/>
    <x v="0"/>
    <x v="2"/>
    <s v="Freshwater"/>
    <s v="2Freshwater"/>
    <s v="Salmon"/>
    <s v="834"/>
    <s v="Skokomish River"/>
    <s v="Skokomish River"/>
    <s v="Mason"/>
    <x v="2"/>
    <s v="Snohomish"/>
    <s v="03Snohomish"/>
    <s v="01North Puget Sound"/>
    <n v="195.62915601022999"/>
    <n v="1692.1921994884895"/>
  </r>
  <r>
    <n v="1055"/>
    <x v="2"/>
    <x v="0"/>
    <x v="2"/>
    <s v="Freshwater"/>
    <s v="2Freshwater"/>
    <s v="Salmon"/>
    <s v="834"/>
    <s v="Skokomish River"/>
    <s v="Skokomish River"/>
    <s v="Mason"/>
    <x v="2"/>
    <s v="Thurston"/>
    <s v="08Thurston"/>
    <s v="02South Puget Sound"/>
    <n v="789.76214833759605"/>
    <n v="6831.4425831202061"/>
  </r>
  <r>
    <n v="1056"/>
    <x v="2"/>
    <x v="1"/>
    <x v="2"/>
    <s v="Freshwater"/>
    <s v="2Freshwater"/>
    <s v="Salmon"/>
    <s v="834"/>
    <s v="Skokomish River"/>
    <s v="Skokomish River"/>
    <s v="Mason"/>
    <x v="2"/>
    <s v="Island"/>
    <s v="04Island"/>
    <s v="01North Puget Sound"/>
    <n v="36.203090507726301"/>
    <n v="313.15673289183252"/>
  </r>
  <r>
    <n v="1057"/>
    <x v="2"/>
    <x v="1"/>
    <x v="2"/>
    <s v="Freshwater"/>
    <s v="2Freshwater"/>
    <s v="Salmon"/>
    <s v="834"/>
    <s v="Skokomish River"/>
    <s v="Skokomish River"/>
    <s v="Mason"/>
    <x v="2"/>
    <s v="King"/>
    <s v="06King"/>
    <s v="02South Puget Sound"/>
    <n v="818.189845474614"/>
    <n v="7077.3421633554117"/>
  </r>
  <r>
    <n v="1058"/>
    <x v="2"/>
    <x v="1"/>
    <x v="2"/>
    <s v="Freshwater"/>
    <s v="2Freshwater"/>
    <s v="Salmon"/>
    <s v="834"/>
    <s v="Skokomish River"/>
    <s v="Skokomish River"/>
    <s v="Mason"/>
    <x v="2"/>
    <s v="Kitsap"/>
    <s v="10Kitsap"/>
    <s v="02South Puget Sound"/>
    <n v="246.18101545253899"/>
    <n v="2129.4657836644624"/>
  </r>
  <r>
    <n v="1059"/>
    <x v="2"/>
    <x v="1"/>
    <x v="2"/>
    <s v="Freshwater"/>
    <s v="2Freshwater"/>
    <s v="Salmon"/>
    <s v="834"/>
    <s v="Skokomish River"/>
    <s v="Skokomish River"/>
    <s v="Mason"/>
    <x v="2"/>
    <s v="Mason"/>
    <s v="09Mason"/>
    <s v="02South Puget Sound"/>
    <n v="412.71523178808002"/>
    <n v="3569.9867549668925"/>
  </r>
  <r>
    <n v="1060"/>
    <x v="2"/>
    <x v="1"/>
    <x v="2"/>
    <s v="Freshwater"/>
    <s v="2Freshwater"/>
    <s v="Salmon"/>
    <s v="834"/>
    <s v="Skokomish River"/>
    <s v="Skokomish River"/>
    <s v="Mason"/>
    <x v="2"/>
    <s v="Other"/>
    <s v="20Other"/>
    <s v="07Non Puget Sound"/>
    <n v="340.30905077262702"/>
    <n v="2943.6732891832239"/>
  </r>
  <r>
    <n v="1061"/>
    <x v="2"/>
    <x v="1"/>
    <x v="2"/>
    <s v="Freshwater"/>
    <s v="2Freshwater"/>
    <s v="Salmon"/>
    <s v="834"/>
    <s v="Skokomish River"/>
    <s v="Skokomish River"/>
    <s v="Mason"/>
    <x v="2"/>
    <s v="Pierce"/>
    <s v="07Pierce"/>
    <s v="02South Puget Sound"/>
    <n v="861.63355408388497"/>
    <n v="7453.1302428256049"/>
  </r>
  <r>
    <n v="1062"/>
    <x v="2"/>
    <x v="1"/>
    <x v="2"/>
    <s v="Freshwater"/>
    <s v="2Freshwater"/>
    <s v="Salmon"/>
    <s v="834"/>
    <s v="Skokomish River"/>
    <s v="Skokomish River"/>
    <s v="Mason"/>
    <x v="2"/>
    <s v="Snohomish"/>
    <s v="03Snohomish"/>
    <s v="01North Puget Sound"/>
    <n v="43.443708609271503"/>
    <n v="375.78807947019851"/>
  </r>
  <r>
    <n v="1063"/>
    <x v="2"/>
    <x v="1"/>
    <x v="2"/>
    <s v="Freshwater"/>
    <s v="2Freshwater"/>
    <s v="Salmon"/>
    <s v="834"/>
    <s v="Skokomish River"/>
    <s v="Skokomish River"/>
    <s v="Mason"/>
    <x v="2"/>
    <s v="Thurston"/>
    <s v="08Thurston"/>
    <s v="02South Puget Sound"/>
    <n v="521.32450331125801"/>
    <n v="4509.4569536423824"/>
  </r>
  <r>
    <n v="1064"/>
    <x v="2"/>
    <x v="2"/>
    <x v="2"/>
    <s v="Freshwater"/>
    <s v="2Freshwater"/>
    <s v="Salmon"/>
    <s v="834"/>
    <s v="Skokomish River"/>
    <s v="Skokomish River"/>
    <s v="Mason"/>
    <x v="2"/>
    <s v="King"/>
    <s v="06King"/>
    <s v="02South Puget Sound"/>
    <n v="281.23602484472099"/>
    <n v="2432.6916149068365"/>
  </r>
  <r>
    <n v="1065"/>
    <x v="2"/>
    <x v="2"/>
    <x v="2"/>
    <s v="Freshwater"/>
    <s v="2Freshwater"/>
    <s v="Salmon"/>
    <s v="834"/>
    <s v="Skokomish River"/>
    <s v="Skokomish River"/>
    <s v="Mason"/>
    <x v="2"/>
    <s v="Kitsap"/>
    <s v="10Kitsap"/>
    <s v="02South Puget Sound"/>
    <n v="36.055900621117999"/>
    <n v="311.88354037267072"/>
  </r>
  <r>
    <n v="1066"/>
    <x v="2"/>
    <x v="2"/>
    <x v="2"/>
    <s v="Freshwater"/>
    <s v="2Freshwater"/>
    <s v="Salmon"/>
    <s v="834"/>
    <s v="Skokomish River"/>
    <s v="Skokomish River"/>
    <s v="Mason"/>
    <x v="2"/>
    <s v="Mason"/>
    <s v="09Mason"/>
    <s v="02South Puget Sound"/>
    <n v="396.614906832298"/>
    <n v="3430.7189440993779"/>
  </r>
  <r>
    <n v="1067"/>
    <x v="2"/>
    <x v="2"/>
    <x v="2"/>
    <s v="Freshwater"/>
    <s v="2Freshwater"/>
    <s v="Salmon"/>
    <s v="834"/>
    <s v="Skokomish River"/>
    <s v="Skokomish River"/>
    <s v="Mason"/>
    <x v="2"/>
    <s v="Other"/>
    <s v="20Other"/>
    <s v="07Non Puget Sound"/>
    <n v="86.534161490683303"/>
    <n v="748.5204968944106"/>
  </r>
  <r>
    <n v="1068"/>
    <x v="2"/>
    <x v="2"/>
    <x v="2"/>
    <s v="Freshwater"/>
    <s v="2Freshwater"/>
    <s v="Salmon"/>
    <s v="834"/>
    <s v="Skokomish River"/>
    <s v="Skokomish River"/>
    <s v="Mason"/>
    <x v="2"/>
    <s v="Pierce"/>
    <s v="07Pierce"/>
    <s v="02South Puget Sound"/>
    <n v="122.590062111801"/>
    <n v="1060.4040372670788"/>
  </r>
  <r>
    <n v="1069"/>
    <x v="2"/>
    <x v="2"/>
    <x v="2"/>
    <s v="Freshwater"/>
    <s v="2Freshwater"/>
    <s v="Salmon"/>
    <s v="834"/>
    <s v="Skokomish River"/>
    <s v="Skokomish River"/>
    <s v="Mason"/>
    <x v="2"/>
    <s v="Thurston"/>
    <s v="08Thurston"/>
    <s v="02South Puget Sound"/>
    <n v="237.968944099379"/>
    <n v="2058.4313664596284"/>
  </r>
  <r>
    <n v="1070"/>
    <x v="2"/>
    <x v="3"/>
    <x v="2"/>
    <s v="Freshwater"/>
    <s v="2Freshwater"/>
    <s v="Salmon"/>
    <s v="834"/>
    <s v="Skokomish River"/>
    <s v="Skokomish River"/>
    <s v="Mason"/>
    <x v="2"/>
    <s v="King"/>
    <s v="06King"/>
    <s v="02South Puget Sound"/>
    <n v="131.04545454545499"/>
    <n v="1133.5431818181858"/>
  </r>
  <r>
    <n v="1071"/>
    <x v="2"/>
    <x v="3"/>
    <x v="2"/>
    <s v="Freshwater"/>
    <s v="2Freshwater"/>
    <s v="Salmon"/>
    <s v="834"/>
    <s v="Skokomish River"/>
    <s v="Skokomish River"/>
    <s v="Mason"/>
    <x v="2"/>
    <s v="Kitsap"/>
    <s v="10Kitsap"/>
    <s v="02South Puget Sound"/>
    <n v="14.5606060606061"/>
    <n v="125.94924242424277"/>
  </r>
  <r>
    <n v="1072"/>
    <x v="2"/>
    <x v="3"/>
    <x v="2"/>
    <s v="Freshwater"/>
    <s v="2Freshwater"/>
    <s v="Salmon"/>
    <s v="834"/>
    <s v="Skokomish River"/>
    <s v="Skokomish River"/>
    <s v="Mason"/>
    <x v="2"/>
    <s v="Mason"/>
    <s v="09Mason"/>
    <s v="02South Puget Sound"/>
    <n v="291.21212121212102"/>
    <n v="2518.9848484848471"/>
  </r>
  <r>
    <n v="1073"/>
    <x v="2"/>
    <x v="3"/>
    <x v="2"/>
    <s v="Freshwater"/>
    <s v="2Freshwater"/>
    <s v="Salmon"/>
    <s v="834"/>
    <s v="Skokomish River"/>
    <s v="Skokomish River"/>
    <s v="Mason"/>
    <x v="2"/>
    <s v="Other"/>
    <s v="20Other"/>
    <s v="07Non Puget Sound"/>
    <n v="14.5606060606061"/>
    <n v="125.94924242424277"/>
  </r>
  <r>
    <n v="1074"/>
    <x v="2"/>
    <x v="3"/>
    <x v="2"/>
    <s v="Freshwater"/>
    <s v="2Freshwater"/>
    <s v="Salmon"/>
    <s v="834"/>
    <s v="Skokomish River"/>
    <s v="Skokomish River"/>
    <s v="Mason"/>
    <x v="2"/>
    <s v="Pierce"/>
    <s v="07Pierce"/>
    <s v="02South Puget Sound"/>
    <n v="313.05303030303003"/>
    <n v="2707.9087121212096"/>
  </r>
  <r>
    <n v="1075"/>
    <x v="2"/>
    <x v="3"/>
    <x v="2"/>
    <s v="Freshwater"/>
    <s v="2Freshwater"/>
    <s v="Salmon"/>
    <s v="834"/>
    <s v="Skokomish River"/>
    <s v="Skokomish River"/>
    <s v="Mason"/>
    <x v="2"/>
    <s v="Snohomish"/>
    <s v="03Snohomish"/>
    <s v="01North Puget Sound"/>
    <n v="36.401515151515198"/>
    <n v="314.87310606060646"/>
  </r>
  <r>
    <n v="1076"/>
    <x v="2"/>
    <x v="3"/>
    <x v="2"/>
    <s v="Freshwater"/>
    <s v="2Freshwater"/>
    <s v="Salmon"/>
    <s v="834"/>
    <s v="Skokomish River"/>
    <s v="Skokomish River"/>
    <s v="Mason"/>
    <x v="2"/>
    <s v="Thurston"/>
    <s v="08Thurston"/>
    <s v="02South Puget Sound"/>
    <n v="160.166666666667"/>
    <n v="1385.4416666666696"/>
  </r>
  <r>
    <n v="1077"/>
    <x v="2"/>
    <x v="4"/>
    <x v="2"/>
    <s v="Freshwater"/>
    <s v="2Freshwater"/>
    <s v="Salmon"/>
    <s v="834"/>
    <s v="Skokomish River"/>
    <s v="Skokomish River"/>
    <s v="Mason"/>
    <x v="2"/>
    <s v="Other"/>
    <s v="20Other"/>
    <s v="07Non Puget Sound"/>
    <n v="7.3333333333333401"/>
    <n v="63.433333333333394"/>
  </r>
  <r>
    <n v="1078"/>
    <x v="2"/>
    <x v="4"/>
    <x v="2"/>
    <s v="Freshwater"/>
    <s v="2Freshwater"/>
    <s v="Salmon"/>
    <s v="834"/>
    <s v="Skokomish River"/>
    <s v="Skokomish River"/>
    <s v="Mason"/>
    <x v="2"/>
    <s v="Thurston"/>
    <s v="08Thurston"/>
    <s v="02South Puget Sound"/>
    <n v="14.6666666666667"/>
    <n v="126.86666666666696"/>
  </r>
  <r>
    <n v="1079"/>
    <x v="2"/>
    <x v="7"/>
    <x v="2"/>
    <s v="Freshwater"/>
    <s v="2Freshwater"/>
    <s v="Salmon"/>
    <s v="844"/>
    <s v="Skykomish River"/>
    <s v="Skykomish River"/>
    <s v="Snohomish"/>
    <x v="4"/>
    <s v="Snohomish"/>
    <s v="03Snohomish"/>
    <s v="01North Puget Sound"/>
    <n v="0"/>
    <n v="0"/>
  </r>
  <r>
    <n v="1080"/>
    <x v="2"/>
    <x v="5"/>
    <x v="2"/>
    <s v="Freshwater"/>
    <s v="2Freshwater"/>
    <s v="Salmon"/>
    <s v="844"/>
    <s v="Skykomish River"/>
    <s v="Skykomish River"/>
    <s v="Snohomish"/>
    <x v="4"/>
    <s v="King"/>
    <s v="06King"/>
    <s v="02South Puget Sound"/>
    <n v="57.066666666666698"/>
    <n v="493.62666666666695"/>
  </r>
  <r>
    <n v="1081"/>
    <x v="2"/>
    <x v="5"/>
    <x v="2"/>
    <s v="Freshwater"/>
    <s v="2Freshwater"/>
    <s v="Salmon"/>
    <s v="844"/>
    <s v="Skykomish River"/>
    <s v="Skykomish River"/>
    <s v="Snohomish"/>
    <x v="4"/>
    <s v="Other"/>
    <s v="20Other"/>
    <s v="07Non Puget Sound"/>
    <n v="7.1333333333333302"/>
    <n v="61.703333333333312"/>
  </r>
  <r>
    <n v="1082"/>
    <x v="2"/>
    <x v="5"/>
    <x v="2"/>
    <s v="Freshwater"/>
    <s v="2Freshwater"/>
    <s v="Salmon"/>
    <s v="844"/>
    <s v="Skykomish River"/>
    <s v="Skykomish River"/>
    <s v="Snohomish"/>
    <x v="4"/>
    <s v="Pierce"/>
    <s v="07Pierce"/>
    <s v="02South Puget Sound"/>
    <n v="14.266666666666699"/>
    <n v="123.40666666666695"/>
  </r>
  <r>
    <n v="1083"/>
    <x v="2"/>
    <x v="5"/>
    <x v="2"/>
    <s v="Freshwater"/>
    <s v="2Freshwater"/>
    <s v="Salmon"/>
    <s v="844"/>
    <s v="Skykomish River"/>
    <s v="Skykomish River"/>
    <s v="Snohomish"/>
    <x v="4"/>
    <s v="Snohomish"/>
    <s v="03Snohomish"/>
    <s v="01North Puget Sound"/>
    <n v="28.533333333333299"/>
    <n v="246.81333333333305"/>
  </r>
  <r>
    <n v="1084"/>
    <x v="2"/>
    <x v="0"/>
    <x v="2"/>
    <s v="Freshwater"/>
    <s v="2Freshwater"/>
    <s v="Salmon"/>
    <s v="844"/>
    <s v="Skykomish River"/>
    <s v="Skykomish River"/>
    <s v="Snohomish"/>
    <x v="4"/>
    <s v="King"/>
    <s v="06King"/>
    <s v="02South Puget Sound"/>
    <n v="21.3333333333333"/>
    <n v="184.53333333333305"/>
  </r>
  <r>
    <n v="1085"/>
    <x v="2"/>
    <x v="0"/>
    <x v="2"/>
    <s v="Freshwater"/>
    <s v="2Freshwater"/>
    <s v="Salmon"/>
    <s v="844"/>
    <s v="Skykomish River"/>
    <s v="Skykomish River"/>
    <s v="Snohomish"/>
    <x v="4"/>
    <s v="Kitsap"/>
    <s v="10Kitsap"/>
    <s v="02South Puget Sound"/>
    <n v="7.1111111111111098"/>
    <n v="61.511111111111106"/>
  </r>
  <r>
    <n v="1086"/>
    <x v="2"/>
    <x v="0"/>
    <x v="2"/>
    <s v="Freshwater"/>
    <s v="2Freshwater"/>
    <s v="Salmon"/>
    <s v="844"/>
    <s v="Skykomish River"/>
    <s v="Skykomish River"/>
    <s v="Snohomish"/>
    <x v="4"/>
    <s v="Snohomish"/>
    <s v="03Snohomish"/>
    <s v="01North Puget Sound"/>
    <n v="35.5555555555556"/>
    <n v="307.55555555555594"/>
  </r>
  <r>
    <n v="1087"/>
    <x v="2"/>
    <x v="1"/>
    <x v="2"/>
    <s v="Freshwater"/>
    <s v="2Freshwater"/>
    <s v="Salmon"/>
    <s v="844"/>
    <s v="Skykomish River"/>
    <s v="Skykomish River"/>
    <s v="Snohomish"/>
    <x v="4"/>
    <s v="King"/>
    <s v="06King"/>
    <s v="02South Puget Sound"/>
    <n v="119.70370370370399"/>
    <n v="1035.4370370370395"/>
  </r>
  <r>
    <n v="1088"/>
    <x v="2"/>
    <x v="1"/>
    <x v="2"/>
    <s v="Freshwater"/>
    <s v="2Freshwater"/>
    <s v="Salmon"/>
    <s v="844"/>
    <s v="Skykomish River"/>
    <s v="Skykomish River"/>
    <s v="Snohomish"/>
    <x v="4"/>
    <s v="Pierce"/>
    <s v="07Pierce"/>
    <s v="02South Puget Sound"/>
    <n v="7.4814814814814801"/>
    <n v="64.714814814814801"/>
  </r>
  <r>
    <n v="1089"/>
    <x v="2"/>
    <x v="1"/>
    <x v="2"/>
    <s v="Freshwater"/>
    <s v="2Freshwater"/>
    <s v="Salmon"/>
    <s v="844"/>
    <s v="Skykomish River"/>
    <s v="Skykomish River"/>
    <s v="Snohomish"/>
    <x v="4"/>
    <s v="Snohomish"/>
    <s v="03Snohomish"/>
    <s v="01North Puget Sound"/>
    <n v="74.814814814814795"/>
    <n v="647.14814814814804"/>
  </r>
  <r>
    <n v="1090"/>
    <x v="2"/>
    <x v="2"/>
    <x v="2"/>
    <s v="Freshwater"/>
    <s v="2Freshwater"/>
    <s v="Salmon"/>
    <s v="844"/>
    <s v="Skykomish River"/>
    <s v="Skykomish River"/>
    <s v="Snohomish"/>
    <x v="4"/>
    <s v="King"/>
    <s v="06King"/>
    <s v="02South Puget Sound"/>
    <n v="299.59183673469403"/>
    <n v="2591.4693877551035"/>
  </r>
  <r>
    <n v="1091"/>
    <x v="2"/>
    <x v="2"/>
    <x v="2"/>
    <s v="Freshwater"/>
    <s v="2Freshwater"/>
    <s v="Salmon"/>
    <s v="844"/>
    <s v="Skykomish River"/>
    <s v="Skykomish River"/>
    <s v="Snohomish"/>
    <x v="4"/>
    <s v="Other"/>
    <s v="20Other"/>
    <s v="07Non Puget Sound"/>
    <n v="7.4897959183673501"/>
    <n v="64.786734693877577"/>
  </r>
  <r>
    <n v="1092"/>
    <x v="2"/>
    <x v="2"/>
    <x v="2"/>
    <s v="Freshwater"/>
    <s v="2Freshwater"/>
    <s v="Salmon"/>
    <s v="844"/>
    <s v="Skykomish River"/>
    <s v="Skykomish River"/>
    <s v="Snohomish"/>
    <x v="4"/>
    <s v="Snohomish"/>
    <s v="03Snohomish"/>
    <s v="01North Puget Sound"/>
    <n v="793.91836734693902"/>
    <n v="6867.3938775510233"/>
  </r>
  <r>
    <n v="1093"/>
    <x v="2"/>
    <x v="3"/>
    <x v="2"/>
    <s v="Freshwater"/>
    <s v="2Freshwater"/>
    <s v="Salmon"/>
    <s v="844"/>
    <s v="Skykomish River"/>
    <s v="Skykomish River"/>
    <s v="Snohomish"/>
    <x v="4"/>
    <s v="Island"/>
    <s v="04Island"/>
    <s v="01North Puget Sound"/>
    <n v="22.051948051948099"/>
    <n v="190.74935064935107"/>
  </r>
  <r>
    <n v="1094"/>
    <x v="2"/>
    <x v="3"/>
    <x v="2"/>
    <s v="Freshwater"/>
    <s v="2Freshwater"/>
    <s v="Salmon"/>
    <s v="844"/>
    <s v="Skykomish River"/>
    <s v="Skykomish River"/>
    <s v="Snohomish"/>
    <x v="4"/>
    <s v="King"/>
    <s v="06King"/>
    <s v="02South Puget Sound"/>
    <n v="88.207792207792195"/>
    <n v="762.99740259740247"/>
  </r>
  <r>
    <n v="1095"/>
    <x v="2"/>
    <x v="3"/>
    <x v="2"/>
    <s v="Freshwater"/>
    <s v="2Freshwater"/>
    <s v="Salmon"/>
    <s v="844"/>
    <s v="Skykomish River"/>
    <s v="Skykomish River"/>
    <s v="Snohomish"/>
    <x v="4"/>
    <s v="Other"/>
    <s v="20Other"/>
    <s v="07Non Puget Sound"/>
    <n v="36.753246753246799"/>
    <n v="317.91558441558482"/>
  </r>
  <r>
    <n v="1096"/>
    <x v="2"/>
    <x v="3"/>
    <x v="2"/>
    <s v="Freshwater"/>
    <s v="2Freshwater"/>
    <s v="Salmon"/>
    <s v="844"/>
    <s v="Skykomish River"/>
    <s v="Skykomish River"/>
    <s v="Snohomish"/>
    <x v="4"/>
    <s v="Snohomish"/>
    <s v="03Snohomish"/>
    <s v="01North Puget Sound"/>
    <n v="404.28571428571399"/>
    <n v="3497.0714285714262"/>
  </r>
  <r>
    <n v="1097"/>
    <x v="2"/>
    <x v="3"/>
    <x v="2"/>
    <s v="Freshwater"/>
    <s v="2Freshwater"/>
    <s v="Salmon"/>
    <s v="844"/>
    <s v="Skykomish River"/>
    <s v="Skykomish River"/>
    <s v="Snohomish"/>
    <x v="4"/>
    <s v="Whatcom"/>
    <s v="01Whatcom"/>
    <s v="01North Puget Sound"/>
    <n v="14.7012987012987"/>
    <n v="127.16623376623376"/>
  </r>
  <r>
    <n v="1098"/>
    <x v="2"/>
    <x v="4"/>
    <x v="2"/>
    <s v="Freshwater"/>
    <s v="2Freshwater"/>
    <s v="Salmon"/>
    <s v="844"/>
    <s v="Skykomish River"/>
    <s v="Skykomish River"/>
    <s v="Snohomish"/>
    <x v="4"/>
    <s v="King"/>
    <s v="06King"/>
    <s v="02South Puget Sound"/>
    <n v="29.1428571428571"/>
    <n v="252.08571428571392"/>
  </r>
  <r>
    <n v="1099"/>
    <x v="2"/>
    <x v="4"/>
    <x v="2"/>
    <s v="Freshwater"/>
    <s v="2Freshwater"/>
    <s v="Salmon"/>
    <s v="844"/>
    <s v="Skykomish River"/>
    <s v="Skykomish River"/>
    <s v="Snohomish"/>
    <x v="4"/>
    <s v="Snohomish"/>
    <s v="03Snohomish"/>
    <s v="01North Puget Sound"/>
    <n v="21.8571428571429"/>
    <n v="189.06428571428609"/>
  </r>
  <r>
    <n v="1100"/>
    <x v="2"/>
    <x v="1"/>
    <x v="2"/>
    <s v="Freshwater"/>
    <s v="2Freshwater"/>
    <s v="Salmon"/>
    <s v="850"/>
    <s v="Snohomish River"/>
    <s v="Snohomish River"/>
    <s v="Snohomish"/>
    <x v="4"/>
    <s v="Island"/>
    <s v="04Island"/>
    <s v="01North Puget Sound"/>
    <n v="14.544169611307399"/>
    <n v="125.80706713780901"/>
  </r>
  <r>
    <n v="1101"/>
    <x v="2"/>
    <x v="1"/>
    <x v="2"/>
    <s v="Freshwater"/>
    <s v="2Freshwater"/>
    <s v="Salmon"/>
    <s v="850"/>
    <s v="Snohomish River"/>
    <s v="Snohomish River"/>
    <s v="Snohomish"/>
    <x v="4"/>
    <s v="King"/>
    <s v="06King"/>
    <s v="02South Puget Sound"/>
    <n v="312.69964664310999"/>
    <n v="2704.8519434629015"/>
  </r>
  <r>
    <n v="1102"/>
    <x v="2"/>
    <x v="1"/>
    <x v="2"/>
    <s v="Freshwater"/>
    <s v="2Freshwater"/>
    <s v="Salmon"/>
    <s v="850"/>
    <s v="Snohomish River"/>
    <s v="Snohomish River"/>
    <s v="Snohomish"/>
    <x v="4"/>
    <s v="Other"/>
    <s v="20Other"/>
    <s v="07Non Puget Sound"/>
    <n v="36.360424028268604"/>
    <n v="314.51766784452343"/>
  </r>
  <r>
    <n v="1103"/>
    <x v="2"/>
    <x v="1"/>
    <x v="2"/>
    <s v="Freshwater"/>
    <s v="2Freshwater"/>
    <s v="Salmon"/>
    <s v="850"/>
    <s v="Snohomish River"/>
    <s v="Snohomish River"/>
    <s v="Snohomish"/>
    <x v="4"/>
    <s v="Skagit"/>
    <s v="02Skagit"/>
    <s v="01North Puget Sound"/>
    <n v="14.544169611307399"/>
    <n v="125.80706713780901"/>
  </r>
  <r>
    <n v="1104"/>
    <x v="2"/>
    <x v="1"/>
    <x v="2"/>
    <s v="Freshwater"/>
    <s v="2Freshwater"/>
    <s v="Salmon"/>
    <s v="850"/>
    <s v="Snohomish River"/>
    <s v="Snohomish River"/>
    <s v="Snohomish"/>
    <x v="4"/>
    <s v="Snohomish"/>
    <s v="03Snohomish"/>
    <s v="01North Puget Sound"/>
    <n v="1665.3074204947"/>
    <n v="14404.909187279156"/>
  </r>
  <r>
    <n v="1105"/>
    <x v="2"/>
    <x v="1"/>
    <x v="2"/>
    <s v="Freshwater"/>
    <s v="2Freshwater"/>
    <s v="Salmon"/>
    <s v="850"/>
    <s v="Snohomish River"/>
    <s v="Snohomish River"/>
    <s v="Snohomish"/>
    <x v="4"/>
    <s v="Thurston"/>
    <s v="08Thurston"/>
    <s v="02South Puget Sound"/>
    <n v="7.2720848056537104"/>
    <n v="62.903533568904599"/>
  </r>
  <r>
    <n v="1106"/>
    <x v="2"/>
    <x v="1"/>
    <x v="2"/>
    <s v="Freshwater"/>
    <s v="2Freshwater"/>
    <s v="Salmon"/>
    <s v="850"/>
    <s v="Snohomish River"/>
    <s v="Snohomish River"/>
    <s v="Snohomish"/>
    <x v="4"/>
    <s v="Whatcom"/>
    <s v="01Whatcom"/>
    <s v="01North Puget Sound"/>
    <n v="7.2720848056537104"/>
    <n v="62.903533568904599"/>
  </r>
  <r>
    <n v="1107"/>
    <x v="2"/>
    <x v="2"/>
    <x v="2"/>
    <s v="Freshwater"/>
    <s v="2Freshwater"/>
    <s v="Salmon"/>
    <s v="850"/>
    <s v="Snohomish River"/>
    <s v="Snohomish River"/>
    <s v="Snohomish"/>
    <x v="4"/>
    <s v="Clallam"/>
    <s v="11Clallam"/>
    <s v="03Strait of Juan de Fuca"/>
    <n v="7.2708333333333401"/>
    <n v="62.892708333333395"/>
  </r>
  <r>
    <n v="1108"/>
    <x v="2"/>
    <x v="2"/>
    <x v="2"/>
    <s v="Freshwater"/>
    <s v="2Freshwater"/>
    <s v="Salmon"/>
    <s v="850"/>
    <s v="Snohomish River"/>
    <s v="Snohomish River"/>
    <s v="Snohomish"/>
    <x v="4"/>
    <s v="Island"/>
    <s v="04Island"/>
    <s v="01North Puget Sound"/>
    <n v="21.8125"/>
    <n v="188.67812499999999"/>
  </r>
  <r>
    <n v="1109"/>
    <x v="2"/>
    <x v="2"/>
    <x v="2"/>
    <s v="Freshwater"/>
    <s v="2Freshwater"/>
    <s v="Salmon"/>
    <s v="850"/>
    <s v="Snohomish River"/>
    <s v="Snohomish River"/>
    <s v="Snohomish"/>
    <x v="4"/>
    <s v="King"/>
    <s v="06King"/>
    <s v="02South Puget Sound"/>
    <n v="857.95833333333405"/>
    <n v="7421.3395833333398"/>
  </r>
  <r>
    <n v="1110"/>
    <x v="2"/>
    <x v="2"/>
    <x v="2"/>
    <s v="Freshwater"/>
    <s v="2Freshwater"/>
    <s v="Salmon"/>
    <s v="850"/>
    <s v="Snohomish River"/>
    <s v="Snohomish River"/>
    <s v="Snohomish"/>
    <x v="4"/>
    <s v="Other"/>
    <s v="20Other"/>
    <s v="07Non Puget Sound"/>
    <n v="109.0625"/>
    <n v="943.390625"/>
  </r>
  <r>
    <n v="1111"/>
    <x v="2"/>
    <x v="2"/>
    <x v="2"/>
    <s v="Freshwater"/>
    <s v="2Freshwater"/>
    <s v="Salmon"/>
    <s v="850"/>
    <s v="Snohomish River"/>
    <s v="Snohomish River"/>
    <s v="Snohomish"/>
    <x v="4"/>
    <s v="Pierce"/>
    <s v="07Pierce"/>
    <s v="02South Puget Sound"/>
    <n v="50.8958333333333"/>
    <n v="440.24895833333306"/>
  </r>
  <r>
    <n v="1112"/>
    <x v="2"/>
    <x v="2"/>
    <x v="2"/>
    <s v="Freshwater"/>
    <s v="2Freshwater"/>
    <s v="Salmon"/>
    <s v="850"/>
    <s v="Snohomish River"/>
    <s v="Snohomish River"/>
    <s v="Snohomish"/>
    <x v="4"/>
    <s v="Skagit"/>
    <s v="02Skagit"/>
    <s v="01North Puget Sound"/>
    <n v="7.2708333333333401"/>
    <n v="62.892708333333395"/>
  </r>
  <r>
    <n v="1113"/>
    <x v="2"/>
    <x v="2"/>
    <x v="2"/>
    <s v="Freshwater"/>
    <s v="2Freshwater"/>
    <s v="Salmon"/>
    <s v="850"/>
    <s v="Snohomish River"/>
    <s v="Snohomish River"/>
    <s v="Snohomish"/>
    <x v="4"/>
    <s v="Snohomish"/>
    <s v="03Snohomish"/>
    <s v="01North Puget Sound"/>
    <n v="1730.4583333333301"/>
    <n v="14968.464583333305"/>
  </r>
  <r>
    <n v="1114"/>
    <x v="2"/>
    <x v="2"/>
    <x v="2"/>
    <s v="Freshwater"/>
    <s v="2Freshwater"/>
    <s v="Salmon"/>
    <s v="850"/>
    <s v="Snohomish River"/>
    <s v="Snohomish River"/>
    <s v="Snohomish"/>
    <x v="4"/>
    <s v="Whatcom"/>
    <s v="01Whatcom"/>
    <s v="01North Puget Sound"/>
    <n v="7.2708333333333401"/>
    <n v="62.892708333333395"/>
  </r>
  <r>
    <n v="1115"/>
    <x v="2"/>
    <x v="3"/>
    <x v="2"/>
    <s v="Freshwater"/>
    <s v="2Freshwater"/>
    <s v="Salmon"/>
    <s v="850"/>
    <s v="Snohomish River"/>
    <s v="Snohomish River"/>
    <s v="Snohomish"/>
    <x v="4"/>
    <s v="Snohomish"/>
    <s v="03Snohomish"/>
    <s v="01North Puget Sound"/>
    <n v="29"/>
    <n v="250.85000000000002"/>
  </r>
  <r>
    <n v="1116"/>
    <x v="2"/>
    <x v="1"/>
    <x v="2"/>
    <s v="Freshwater"/>
    <s v="2Freshwater"/>
    <s v="Salmon"/>
    <s v="852"/>
    <s v="Snoqualmie River"/>
    <s v="Snoqualmie River"/>
    <s v="Snohomish/King"/>
    <x v="4"/>
    <s v="Other"/>
    <s v="20Other"/>
    <s v="07Non Puget Sound"/>
    <n v="14"/>
    <n v="121.10000000000001"/>
  </r>
  <r>
    <n v="1117"/>
    <x v="2"/>
    <x v="2"/>
    <x v="2"/>
    <s v="Freshwater"/>
    <s v="2Freshwater"/>
    <s v="Salmon"/>
    <s v="852"/>
    <s v="Snoqualmie River"/>
    <s v="Snoqualmie River"/>
    <s v="Snohomish/King"/>
    <x v="4"/>
    <s v="King"/>
    <s v="06King"/>
    <s v="02South Puget Sound"/>
    <n v="263.82608695652198"/>
    <n v="2282.0956521739154"/>
  </r>
  <r>
    <n v="1118"/>
    <x v="2"/>
    <x v="2"/>
    <x v="2"/>
    <s v="Freshwater"/>
    <s v="2Freshwater"/>
    <s v="Salmon"/>
    <s v="852"/>
    <s v="Snoqualmie River"/>
    <s v="Snoqualmie River"/>
    <s v="Snohomish/King"/>
    <x v="4"/>
    <s v="Other"/>
    <s v="20Other"/>
    <s v="07Non Puget Sound"/>
    <n v="14.2608695652174"/>
    <n v="123.35652173913051"/>
  </r>
  <r>
    <n v="1119"/>
    <x v="2"/>
    <x v="2"/>
    <x v="2"/>
    <s v="Freshwater"/>
    <s v="2Freshwater"/>
    <s v="Salmon"/>
    <s v="852"/>
    <s v="Snoqualmie River"/>
    <s v="Snoqualmie River"/>
    <s v="Snohomish/King"/>
    <x v="4"/>
    <s v="Snohomish"/>
    <s v="03Snohomish"/>
    <s v="01North Puget Sound"/>
    <n v="49.913043478260903"/>
    <n v="431.74782608695682"/>
  </r>
  <r>
    <n v="1120"/>
    <x v="2"/>
    <x v="3"/>
    <x v="2"/>
    <s v="Freshwater"/>
    <s v="2Freshwater"/>
    <s v="Salmon"/>
    <s v="852"/>
    <s v="Snoqualmie River"/>
    <s v="Snoqualmie River"/>
    <s v="Snohomish/King"/>
    <x v="4"/>
    <s v="King"/>
    <s v="06King"/>
    <s v="02South Puget Sound"/>
    <n v="156.538461538462"/>
    <n v="1354.0576923076965"/>
  </r>
  <r>
    <n v="1121"/>
    <x v="2"/>
    <x v="3"/>
    <x v="2"/>
    <s v="Freshwater"/>
    <s v="2Freshwater"/>
    <s v="Salmon"/>
    <s v="852"/>
    <s v="Snoqualmie River"/>
    <s v="Snoqualmie River"/>
    <s v="Snohomish/King"/>
    <x v="4"/>
    <s v="Other"/>
    <s v="20Other"/>
    <s v="07Non Puget Sound"/>
    <n v="21.346153846153801"/>
    <n v="184.64423076923038"/>
  </r>
  <r>
    <n v="1122"/>
    <x v="2"/>
    <x v="3"/>
    <x v="2"/>
    <s v="Freshwater"/>
    <s v="2Freshwater"/>
    <s v="Salmon"/>
    <s v="852"/>
    <s v="Snoqualmie River"/>
    <s v="Snoqualmie River"/>
    <s v="Snohomish/King"/>
    <x v="4"/>
    <s v="Snohomish"/>
    <s v="03Snohomish"/>
    <s v="01North Puget Sound"/>
    <n v="7.1153846153846203"/>
    <n v="61.54807692307697"/>
  </r>
  <r>
    <n v="1123"/>
    <x v="2"/>
    <x v="4"/>
    <x v="2"/>
    <s v="Freshwater"/>
    <s v="2Freshwater"/>
    <s v="Salmon"/>
    <s v="852"/>
    <s v="Snoqualmie River"/>
    <s v="Snoqualmie River"/>
    <s v="Snohomish/King"/>
    <x v="4"/>
    <s v="King"/>
    <s v="06King"/>
    <s v="02South Puget Sound"/>
    <n v="93"/>
    <n v="804.45"/>
  </r>
  <r>
    <n v="1124"/>
    <x v="2"/>
    <x v="1"/>
    <x v="2"/>
    <s v="Freshwater"/>
    <s v="2Freshwater"/>
    <s v="Salmon"/>
    <s v="872"/>
    <s v="Stillaguamish River"/>
    <s v="Stillaguamish River"/>
    <s v="Snohomish"/>
    <x v="4"/>
    <s v="Island"/>
    <s v="04Island"/>
    <s v="01North Puget Sound"/>
    <n v="21.428571428571399"/>
    <n v="185.35714285714261"/>
  </r>
  <r>
    <n v="1125"/>
    <x v="2"/>
    <x v="1"/>
    <x v="2"/>
    <s v="Freshwater"/>
    <s v="2Freshwater"/>
    <s v="Salmon"/>
    <s v="872"/>
    <s v="Stillaguamish River"/>
    <s v="Stillaguamish River"/>
    <s v="Snohomish"/>
    <x v="4"/>
    <s v="King"/>
    <s v="06King"/>
    <s v="02South Puget Sound"/>
    <n v="14.285714285714301"/>
    <n v="123.57142857142871"/>
  </r>
  <r>
    <n v="1126"/>
    <x v="2"/>
    <x v="1"/>
    <x v="2"/>
    <s v="Freshwater"/>
    <s v="2Freshwater"/>
    <s v="Salmon"/>
    <s v="872"/>
    <s v="Stillaguamish River"/>
    <s v="Stillaguamish River"/>
    <s v="Snohomish"/>
    <x v="4"/>
    <s v="Snohomish"/>
    <s v="03Snohomish"/>
    <s v="01North Puget Sound"/>
    <n v="314.28571428571399"/>
    <n v="2718.5714285714262"/>
  </r>
  <r>
    <n v="1127"/>
    <x v="2"/>
    <x v="2"/>
    <x v="2"/>
    <s v="Freshwater"/>
    <s v="2Freshwater"/>
    <s v="Salmon"/>
    <s v="872"/>
    <s v="Stillaguamish River"/>
    <s v="Stillaguamish River"/>
    <s v="Snohomish"/>
    <x v="4"/>
    <s v="Island"/>
    <s v="04Island"/>
    <s v="01North Puget Sound"/>
    <n v="142.60162601626001"/>
    <n v="1233.5040650406493"/>
  </r>
  <r>
    <n v="1128"/>
    <x v="2"/>
    <x v="2"/>
    <x v="2"/>
    <s v="Freshwater"/>
    <s v="2Freshwater"/>
    <s v="Salmon"/>
    <s v="872"/>
    <s v="Stillaguamish River"/>
    <s v="Stillaguamish River"/>
    <s v="Snohomish"/>
    <x v="4"/>
    <s v="King"/>
    <s v="06King"/>
    <s v="02South Puget Sound"/>
    <n v="64.170731707317103"/>
    <n v="555.07682926829295"/>
  </r>
  <r>
    <n v="1129"/>
    <x v="2"/>
    <x v="2"/>
    <x v="2"/>
    <s v="Freshwater"/>
    <s v="2Freshwater"/>
    <s v="Salmon"/>
    <s v="872"/>
    <s v="Stillaguamish River"/>
    <s v="Stillaguamish River"/>
    <s v="Snohomish"/>
    <x v="4"/>
    <s v="Other"/>
    <s v="20Other"/>
    <s v="07Non Puget Sound"/>
    <n v="35.650406504065003"/>
    <n v="308.37601626016232"/>
  </r>
  <r>
    <n v="1130"/>
    <x v="2"/>
    <x v="2"/>
    <x v="2"/>
    <s v="Freshwater"/>
    <s v="2Freshwater"/>
    <s v="Salmon"/>
    <s v="872"/>
    <s v="Stillaguamish River"/>
    <s v="Stillaguamish River"/>
    <s v="Snohomish"/>
    <x v="4"/>
    <s v="Skagit"/>
    <s v="02Skagit"/>
    <s v="01North Puget Sound"/>
    <n v="14.260162601626"/>
    <n v="123.35040650406491"/>
  </r>
  <r>
    <n v="1131"/>
    <x v="2"/>
    <x v="2"/>
    <x v="2"/>
    <s v="Freshwater"/>
    <s v="2Freshwater"/>
    <s v="Salmon"/>
    <s v="872"/>
    <s v="Stillaguamish River"/>
    <s v="Stillaguamish River"/>
    <s v="Snohomish"/>
    <x v="4"/>
    <s v="Snohomish"/>
    <s v="03Snohomish"/>
    <s v="01North Puget Sound"/>
    <n v="591.79674796747997"/>
    <n v="5119.0418699187021"/>
  </r>
  <r>
    <n v="1132"/>
    <x v="2"/>
    <x v="2"/>
    <x v="2"/>
    <s v="Freshwater"/>
    <s v="2Freshwater"/>
    <s v="Salmon"/>
    <s v="872"/>
    <s v="Stillaguamish River"/>
    <s v="Stillaguamish River"/>
    <s v="Snohomish"/>
    <x v="4"/>
    <s v="Whatcom"/>
    <s v="01Whatcom"/>
    <s v="01North Puget Sound"/>
    <n v="28.520325203252"/>
    <n v="246.70081300812981"/>
  </r>
  <r>
    <n v="1133"/>
    <x v="2"/>
    <x v="3"/>
    <x v="2"/>
    <s v="Freshwater"/>
    <s v="2Freshwater"/>
    <s v="Salmon"/>
    <s v="872"/>
    <s v="Stillaguamish River"/>
    <s v="Stillaguamish River"/>
    <s v="Snohomish"/>
    <x v="4"/>
    <s v="Snohomish"/>
    <s v="03Snohomish"/>
    <s v="01North Puget Sound"/>
    <n v="7"/>
    <n v="60.550000000000004"/>
  </r>
  <r>
    <n v="1134"/>
    <x v="2"/>
    <x v="2"/>
    <x v="2"/>
    <s v="Freshwater"/>
    <s v="2Freshwater"/>
    <s v="Salmon"/>
    <s v="878"/>
    <s v="Tahuya River"/>
    <s v="Tahuya River"/>
    <s v="Mason"/>
    <x v="0"/>
    <s v="King"/>
    <s v="06King"/>
    <s v="02South Puget Sound"/>
    <n v="175.44642857142901"/>
    <n v="1517.611607142861"/>
  </r>
  <r>
    <n v="1135"/>
    <x v="2"/>
    <x v="2"/>
    <x v="2"/>
    <s v="Freshwater"/>
    <s v="2Freshwater"/>
    <s v="Salmon"/>
    <s v="878"/>
    <s v="Tahuya River"/>
    <s v="Tahuya River"/>
    <s v="Mason"/>
    <x v="0"/>
    <s v="Kitsap"/>
    <s v="10Kitsap"/>
    <s v="02South Puget Sound"/>
    <n v="428.08928571428601"/>
    <n v="3702.9723214285741"/>
  </r>
  <r>
    <n v="1136"/>
    <x v="2"/>
    <x v="2"/>
    <x v="2"/>
    <s v="Freshwater"/>
    <s v="2Freshwater"/>
    <s v="Salmon"/>
    <s v="878"/>
    <s v="Tahuya River"/>
    <s v="Tahuya River"/>
    <s v="Mason"/>
    <x v="0"/>
    <s v="Mason"/>
    <s v="09Mason"/>
    <s v="02South Puget Sound"/>
    <n v="400.017857142857"/>
    <n v="3460.1544642857129"/>
  </r>
  <r>
    <n v="1137"/>
    <x v="2"/>
    <x v="2"/>
    <x v="2"/>
    <s v="Freshwater"/>
    <s v="2Freshwater"/>
    <s v="Salmon"/>
    <s v="878"/>
    <s v="Tahuya River"/>
    <s v="Tahuya River"/>
    <s v="Mason"/>
    <x v="0"/>
    <s v="Pierce"/>
    <s v="07Pierce"/>
    <s v="02South Puget Sound"/>
    <n v="112.28571428571399"/>
    <n v="971.2714285714261"/>
  </r>
  <r>
    <n v="1138"/>
    <x v="2"/>
    <x v="2"/>
    <x v="2"/>
    <s v="Freshwater"/>
    <s v="2Freshwater"/>
    <s v="Salmon"/>
    <s v="878"/>
    <s v="Tahuya River"/>
    <s v="Tahuya River"/>
    <s v="Mason"/>
    <x v="0"/>
    <s v="Snohomish"/>
    <s v="03Snohomish"/>
    <s v="01North Puget Sound"/>
    <n v="14.035714285714301"/>
    <n v="121.4089285714287"/>
  </r>
  <r>
    <n v="1139"/>
    <x v="2"/>
    <x v="2"/>
    <x v="2"/>
    <s v="Freshwater"/>
    <s v="2Freshwater"/>
    <s v="Salmon"/>
    <s v="878"/>
    <s v="Tahuya River"/>
    <s v="Tahuya River"/>
    <s v="Mason"/>
    <x v="0"/>
    <s v="Thurston"/>
    <s v="08Thurston"/>
    <s v="02South Puget Sound"/>
    <n v="49.125"/>
    <n v="424.93125000000003"/>
  </r>
  <r>
    <n v="1140"/>
    <x v="2"/>
    <x v="3"/>
    <x v="2"/>
    <s v="Freshwater"/>
    <s v="2Freshwater"/>
    <s v="Salmon"/>
    <s v="878"/>
    <s v="Tahuya River"/>
    <s v="Tahuya River"/>
    <s v="Mason"/>
    <x v="0"/>
    <s v="Mason"/>
    <s v="09Mason"/>
    <s v="02South Puget Sound"/>
    <n v="14"/>
    <n v="121.10000000000001"/>
  </r>
  <r>
    <n v="1141"/>
    <x v="2"/>
    <x v="3"/>
    <x v="2"/>
    <s v="Freshwater"/>
    <s v="2Freshwater"/>
    <s v="Salmon"/>
    <s v="878"/>
    <s v="Tahuya River"/>
    <s v="Tahuya River"/>
    <s v="Mason"/>
    <x v="0"/>
    <s v="Pierce"/>
    <s v="07Pierce"/>
    <s v="02South Puget Sound"/>
    <n v="7"/>
    <n v="60.550000000000004"/>
  </r>
  <r>
    <n v="1142"/>
    <x v="2"/>
    <x v="1"/>
    <x v="2"/>
    <s v="Freshwater"/>
    <s v="2Freshwater"/>
    <s v="Salmon"/>
    <s v="884"/>
    <s v="Whatcom Creek"/>
    <s v="Whatcom Creek"/>
    <s v="Whatcom"/>
    <x v="1"/>
    <s v="Pierce"/>
    <s v="07Pierce"/>
    <s v="02South Puget Sound"/>
    <n v="8.6666666666666696"/>
    <n v="74.966666666666697"/>
  </r>
  <r>
    <n v="1143"/>
    <x v="2"/>
    <x v="1"/>
    <x v="2"/>
    <s v="Freshwater"/>
    <s v="2Freshwater"/>
    <s v="Salmon"/>
    <s v="884"/>
    <s v="Whatcom Creek"/>
    <s v="Whatcom Creek"/>
    <s v="Whatcom"/>
    <x v="1"/>
    <s v="Whatcom"/>
    <s v="01Whatcom"/>
    <s v="01North Puget Sound"/>
    <n v="17.3333333333333"/>
    <n v="149.93333333333305"/>
  </r>
  <r>
    <n v="1144"/>
    <x v="2"/>
    <x v="2"/>
    <x v="2"/>
    <s v="Freshwater"/>
    <s v="2Freshwater"/>
    <s v="Salmon"/>
    <s v="884"/>
    <s v="Whatcom Creek"/>
    <s v="Whatcom Creek"/>
    <s v="Whatcom"/>
    <x v="1"/>
    <s v="Whatcom"/>
    <s v="01Whatcom"/>
    <s v="01North Puget Sound"/>
    <n v="16"/>
    <n v="138.4"/>
  </r>
  <r>
    <n v="1145"/>
    <x v="2"/>
    <x v="3"/>
    <x v="2"/>
    <s v="Freshwater"/>
    <s v="2Freshwater"/>
    <s v="Salmon"/>
    <s v="884"/>
    <s v="Whatcom Creek"/>
    <s v="Whatcom Creek"/>
    <s v="Whatcom"/>
    <x v="1"/>
    <s v="King"/>
    <s v="06King"/>
    <s v="02South Puget Sound"/>
    <n v="15.2222222222222"/>
    <n v="131.67222222222205"/>
  </r>
  <r>
    <n v="1146"/>
    <x v="2"/>
    <x v="3"/>
    <x v="2"/>
    <s v="Freshwater"/>
    <s v="2Freshwater"/>
    <s v="Salmon"/>
    <s v="884"/>
    <s v="Whatcom Creek"/>
    <s v="Whatcom Creek"/>
    <s v="Whatcom"/>
    <x v="1"/>
    <s v="Skagit"/>
    <s v="02Skagit"/>
    <s v="01North Puget Sound"/>
    <n v="60.8888888888889"/>
    <n v="526.68888888888898"/>
  </r>
  <r>
    <n v="1147"/>
    <x v="2"/>
    <x v="3"/>
    <x v="2"/>
    <s v="Freshwater"/>
    <s v="2Freshwater"/>
    <s v="Salmon"/>
    <s v="884"/>
    <s v="Whatcom Creek"/>
    <s v="Whatcom Creek"/>
    <s v="Whatcom"/>
    <x v="1"/>
    <s v="Whatcom"/>
    <s v="01Whatcom"/>
    <s v="01North Puget Sound"/>
    <n v="334.88888888888903"/>
    <n v="2896.7888888888901"/>
  </r>
  <r>
    <n v="1148"/>
    <x v="3"/>
    <x v="2"/>
    <x v="3"/>
    <s v="Freshwater"/>
    <s v="2Freshwater"/>
    <s v="Salmon"/>
    <s v="706"/>
    <s v="Black River (Thurston Co)"/>
    <s v="Black River (Thurston Co)"/>
    <s v="Thurston"/>
    <x v="0"/>
    <s v="Other"/>
    <s v="20Other"/>
    <s v="07Non Puget Sound"/>
    <n v="15"/>
    <n v="51.6"/>
  </r>
  <r>
    <n v="1149"/>
    <x v="3"/>
    <x v="0"/>
    <x v="3"/>
    <s v="Freshwater"/>
    <s v="2Freshwater"/>
    <s v="Salmon"/>
    <s v="714"/>
    <s v="Chambers Creek"/>
    <s v="Chambers Creek"/>
    <s v="Pierce"/>
    <x v="0"/>
    <s v="Pierce"/>
    <s v="07Pierce"/>
    <s v="02South Puget Sound"/>
    <n v="5"/>
    <n v="17.2"/>
  </r>
  <r>
    <n v="1150"/>
    <x v="3"/>
    <x v="1"/>
    <x v="3"/>
    <s v="Freshwater"/>
    <s v="2Freshwater"/>
    <s v="Salmon"/>
    <s v="714"/>
    <s v="Chambers Creek"/>
    <s v="Chambers Creek"/>
    <s v="Pierce"/>
    <x v="0"/>
    <s v="Thurston"/>
    <s v="08Thurston"/>
    <s v="02South Puget Sound"/>
    <n v="10"/>
    <n v="34.4"/>
  </r>
  <r>
    <n v="1151"/>
    <x v="3"/>
    <x v="2"/>
    <x v="3"/>
    <s v="Freshwater"/>
    <s v="2Freshwater"/>
    <s v="Salmon"/>
    <s v="724"/>
    <s v="Dakota Creek (Whatcom Co)"/>
    <s v="Dakota Creek (Whatcom Co)"/>
    <s v="Whatcom"/>
    <x v="1"/>
    <s v="Other"/>
    <s v="20Other"/>
    <s v="07Non Puget Sound"/>
    <n v="54.101694915254299"/>
    <n v="186.10983050847477"/>
  </r>
  <r>
    <n v="1152"/>
    <x v="3"/>
    <x v="2"/>
    <x v="3"/>
    <s v="Freshwater"/>
    <s v="2Freshwater"/>
    <s v="Salmon"/>
    <s v="724"/>
    <s v="Dakota Creek (Whatcom Co)"/>
    <s v="Dakota Creek (Whatcom Co)"/>
    <s v="Whatcom"/>
    <x v="1"/>
    <s v="Whatcom"/>
    <s v="01Whatcom"/>
    <s v="01North Puget Sound"/>
    <n v="477.89830508474603"/>
    <n v="1643.9701694915263"/>
  </r>
  <r>
    <n v="1153"/>
    <x v="3"/>
    <x v="3"/>
    <x v="3"/>
    <s v="Freshwater"/>
    <s v="2Freshwater"/>
    <s v="Salmon"/>
    <s v="724"/>
    <s v="Dakota Creek (Whatcom Co)"/>
    <s v="Dakota Creek (Whatcom Co)"/>
    <s v="Whatcom"/>
    <x v="1"/>
    <s v="Whatcom"/>
    <s v="01Whatcom"/>
    <s v="01North Puget Sound"/>
    <n v="45"/>
    <n v="154.80000000000001"/>
  </r>
  <r>
    <n v="1154"/>
    <x v="3"/>
    <x v="2"/>
    <x v="3"/>
    <s v="Freshwater"/>
    <s v="2Freshwater"/>
    <s v="Salmon"/>
    <s v="732"/>
    <s v="Dewatto River"/>
    <s v="Dewatto River"/>
    <s v="Mason"/>
    <x v="0"/>
    <s v="Kitsap"/>
    <s v="10Kitsap"/>
    <s v="02South Puget Sound"/>
    <n v="15.3333333333333"/>
    <n v="52.746666666666549"/>
  </r>
  <r>
    <n v="1155"/>
    <x v="3"/>
    <x v="2"/>
    <x v="3"/>
    <s v="Freshwater"/>
    <s v="2Freshwater"/>
    <s v="Salmon"/>
    <s v="732"/>
    <s v="Dewatto River"/>
    <s v="Dewatto River"/>
    <s v="Mason"/>
    <x v="0"/>
    <s v="Mason"/>
    <s v="09Mason"/>
    <s v="02South Puget Sound"/>
    <n v="30.6666666666667"/>
    <n v="105.49333333333344"/>
  </r>
  <r>
    <n v="1156"/>
    <x v="3"/>
    <x v="3"/>
    <x v="3"/>
    <s v="Freshwater"/>
    <s v="2Freshwater"/>
    <s v="Salmon"/>
    <s v="736"/>
    <s v="Duckabush River"/>
    <s v="Duckabush River"/>
    <s v="Jefferson"/>
    <x v="2"/>
    <s v="Kitsap"/>
    <s v="10Kitsap"/>
    <s v="02South Puget Sound"/>
    <n v="5"/>
    <n v="17.2"/>
  </r>
  <r>
    <n v="1157"/>
    <x v="3"/>
    <x v="4"/>
    <x v="3"/>
    <s v="Freshwater"/>
    <s v="2Freshwater"/>
    <s v="Salmon"/>
    <s v="736"/>
    <s v="Duckabush River"/>
    <s v="Duckabush River"/>
    <s v="Jefferson"/>
    <x v="2"/>
    <s v="Kitsap"/>
    <s v="10Kitsap"/>
    <s v="02South Puget Sound"/>
    <n v="5"/>
    <n v="17.2"/>
  </r>
  <r>
    <n v="1158"/>
    <x v="3"/>
    <x v="2"/>
    <x v="3"/>
    <s v="Freshwater"/>
    <s v="2Freshwater"/>
    <s v="Salmon"/>
    <s v="738"/>
    <s v="Dungeness River"/>
    <s v="Dungeness River"/>
    <s v="Clallam"/>
    <x v="3"/>
    <s v="Clallam"/>
    <s v="11Clallam"/>
    <s v="03Strait of Juan de Fuca"/>
    <n v="1029.27272727273"/>
    <n v="3540.6981818181912"/>
  </r>
  <r>
    <n v="1159"/>
    <x v="3"/>
    <x v="2"/>
    <x v="3"/>
    <s v="Freshwater"/>
    <s v="2Freshwater"/>
    <s v="Salmon"/>
    <s v="738"/>
    <s v="Dungeness River"/>
    <s v="Dungeness River"/>
    <s v="Clallam"/>
    <x v="3"/>
    <s v="King"/>
    <s v="06King"/>
    <s v="02South Puget Sound"/>
    <n v="18.5454545454546"/>
    <n v="63.796363636363822"/>
  </r>
  <r>
    <n v="1160"/>
    <x v="3"/>
    <x v="2"/>
    <x v="3"/>
    <s v="Freshwater"/>
    <s v="2Freshwater"/>
    <s v="Salmon"/>
    <s v="738"/>
    <s v="Dungeness River"/>
    <s v="Dungeness River"/>
    <s v="Clallam"/>
    <x v="3"/>
    <s v="Kitsap"/>
    <s v="10Kitsap"/>
    <s v="02South Puget Sound"/>
    <n v="120.545454545455"/>
    <n v="414.67636363636518"/>
  </r>
  <r>
    <n v="1161"/>
    <x v="3"/>
    <x v="2"/>
    <x v="3"/>
    <s v="Freshwater"/>
    <s v="2Freshwater"/>
    <s v="Salmon"/>
    <s v="738"/>
    <s v="Dungeness River"/>
    <s v="Dungeness River"/>
    <s v="Clallam"/>
    <x v="3"/>
    <s v="Other"/>
    <s v="20Other"/>
    <s v="07Non Puget Sound"/>
    <n v="83.454545454545496"/>
    <n v="287.08363636363651"/>
  </r>
  <r>
    <n v="1162"/>
    <x v="3"/>
    <x v="2"/>
    <x v="3"/>
    <s v="Freshwater"/>
    <s v="2Freshwater"/>
    <s v="Salmon"/>
    <s v="738"/>
    <s v="Dungeness River"/>
    <s v="Dungeness River"/>
    <s v="Clallam"/>
    <x v="3"/>
    <s v="Pierce"/>
    <s v="07Pierce"/>
    <s v="02South Puget Sound"/>
    <n v="74.181818181818201"/>
    <n v="255.1854545454546"/>
  </r>
  <r>
    <n v="1163"/>
    <x v="3"/>
    <x v="3"/>
    <x v="3"/>
    <s v="Freshwater"/>
    <s v="2Freshwater"/>
    <s v="Salmon"/>
    <s v="738"/>
    <s v="Dungeness River"/>
    <s v="Dungeness River"/>
    <s v="Clallam"/>
    <x v="3"/>
    <s v="Clallam"/>
    <s v="11Clallam"/>
    <s v="03Strait of Juan de Fuca"/>
    <n v="93.076923076923094"/>
    <n v="320.18461538461543"/>
  </r>
  <r>
    <n v="1164"/>
    <x v="3"/>
    <x v="3"/>
    <x v="3"/>
    <s v="Freshwater"/>
    <s v="2Freshwater"/>
    <s v="Salmon"/>
    <s v="738"/>
    <s v="Dungeness River"/>
    <s v="Dungeness River"/>
    <s v="Clallam"/>
    <x v="3"/>
    <s v="Snohomish"/>
    <s v="03Snohomish"/>
    <s v="01North Puget Sound"/>
    <n v="27.923076923076898"/>
    <n v="96.055384615384526"/>
  </r>
  <r>
    <n v="1165"/>
    <x v="3"/>
    <x v="0"/>
    <x v="3"/>
    <s v="Freshwater"/>
    <s v="2Freshwater"/>
    <s v="Salmon"/>
    <s v="746"/>
    <s v="Green - Duwamish River"/>
    <s v="Green - Duwamish River"/>
    <s v="King"/>
    <x v="0"/>
    <s v="Island"/>
    <s v="04Island"/>
    <s v="01North Puget Sound"/>
    <n v="9.0423076923077002"/>
    <n v="31.105538461538487"/>
  </r>
  <r>
    <n v="1166"/>
    <x v="3"/>
    <x v="0"/>
    <x v="3"/>
    <s v="Freshwater"/>
    <s v="2Freshwater"/>
    <s v="Salmon"/>
    <s v="746"/>
    <s v="Green - Duwamish River"/>
    <s v="Green - Duwamish River"/>
    <s v="King"/>
    <x v="0"/>
    <s v="King"/>
    <s v="06King"/>
    <s v="02South Puget Sound"/>
    <n v="3788.7269230769198"/>
    <n v="13033.220615384604"/>
  </r>
  <r>
    <n v="1167"/>
    <x v="3"/>
    <x v="0"/>
    <x v="3"/>
    <s v="Freshwater"/>
    <s v="2Freshwater"/>
    <s v="Salmon"/>
    <s v="746"/>
    <s v="Green - Duwamish River"/>
    <s v="Green - Duwamish River"/>
    <s v="King"/>
    <x v="0"/>
    <s v="Kitsap"/>
    <s v="10Kitsap"/>
    <s v="02South Puget Sound"/>
    <n v="54.253846153846197"/>
    <n v="186.63323076923092"/>
  </r>
  <r>
    <n v="1168"/>
    <x v="3"/>
    <x v="0"/>
    <x v="3"/>
    <s v="Freshwater"/>
    <s v="2Freshwater"/>
    <s v="Salmon"/>
    <s v="746"/>
    <s v="Green - Duwamish River"/>
    <s v="Green - Duwamish River"/>
    <s v="King"/>
    <x v="0"/>
    <s v="Other"/>
    <s v="20Other"/>
    <s v="07Non Puget Sound"/>
    <n v="470.2"/>
    <n v="1617.4879999999998"/>
  </r>
  <r>
    <n v="1169"/>
    <x v="3"/>
    <x v="0"/>
    <x v="3"/>
    <s v="Freshwater"/>
    <s v="2Freshwater"/>
    <s v="Salmon"/>
    <s v="746"/>
    <s v="Green - Duwamish River"/>
    <s v="Green - Duwamish River"/>
    <s v="King"/>
    <x v="0"/>
    <s v="Pierce"/>
    <s v="07Pierce"/>
    <s v="02South Puget Sound"/>
    <n v="126.592307692308"/>
    <n v="435.4775384615395"/>
  </r>
  <r>
    <n v="1170"/>
    <x v="3"/>
    <x v="0"/>
    <x v="3"/>
    <s v="Freshwater"/>
    <s v="2Freshwater"/>
    <s v="Salmon"/>
    <s v="746"/>
    <s v="Green - Duwamish River"/>
    <s v="Green - Duwamish River"/>
    <s v="King"/>
    <x v="0"/>
    <s v="Skagit"/>
    <s v="02Skagit"/>
    <s v="01North Puget Sound"/>
    <n v="9.0423076923077002"/>
    <n v="31.105538461538487"/>
  </r>
  <r>
    <n v="1171"/>
    <x v="3"/>
    <x v="0"/>
    <x v="3"/>
    <s v="Freshwater"/>
    <s v="2Freshwater"/>
    <s v="Salmon"/>
    <s v="746"/>
    <s v="Green - Duwamish River"/>
    <s v="Green - Duwamish River"/>
    <s v="King"/>
    <x v="0"/>
    <s v="Snohomish"/>
    <s v="03Snohomish"/>
    <s v="01North Puget Sound"/>
    <n v="180.84615384615401"/>
    <n v="622.11076923076973"/>
  </r>
  <r>
    <n v="1172"/>
    <x v="3"/>
    <x v="0"/>
    <x v="3"/>
    <s v="Freshwater"/>
    <s v="2Freshwater"/>
    <s v="Salmon"/>
    <s v="746"/>
    <s v="Green - Duwamish River"/>
    <s v="Green - Duwamish River"/>
    <s v="King"/>
    <x v="0"/>
    <s v="Thurston"/>
    <s v="08Thurston"/>
    <s v="02South Puget Sound"/>
    <n v="45.211538461538503"/>
    <n v="155.52769230769243"/>
  </r>
  <r>
    <n v="1173"/>
    <x v="3"/>
    <x v="0"/>
    <x v="3"/>
    <s v="Freshwater"/>
    <s v="2Freshwater"/>
    <s v="Salmon"/>
    <s v="746"/>
    <s v="Green - Duwamish River"/>
    <s v="Green - Duwamish River"/>
    <s v="King"/>
    <x v="0"/>
    <s v="Whatcom"/>
    <s v="01Whatcom"/>
    <s v="01North Puget Sound"/>
    <n v="18.0846153846154"/>
    <n v="62.211076923076973"/>
  </r>
  <r>
    <n v="1174"/>
    <x v="3"/>
    <x v="1"/>
    <x v="3"/>
    <s v="Freshwater"/>
    <s v="2Freshwater"/>
    <s v="Salmon"/>
    <s v="746"/>
    <s v="Green - Duwamish River"/>
    <s v="Green - Duwamish River"/>
    <s v="King"/>
    <x v="0"/>
    <s v="King"/>
    <s v="06King"/>
    <s v="02South Puget Sound"/>
    <n v="15659.0830830831"/>
    <n v="53867.245805805862"/>
  </r>
  <r>
    <n v="1175"/>
    <x v="3"/>
    <x v="1"/>
    <x v="3"/>
    <s v="Freshwater"/>
    <s v="2Freshwater"/>
    <s v="Salmon"/>
    <s v="746"/>
    <s v="Green - Duwamish River"/>
    <s v="Green - Duwamish River"/>
    <s v="King"/>
    <x v="0"/>
    <s v="Kitsap"/>
    <s v="10Kitsap"/>
    <s v="02South Puget Sound"/>
    <n v="9.0410410410410407"/>
    <n v="31.101181181181179"/>
  </r>
  <r>
    <n v="1176"/>
    <x v="3"/>
    <x v="1"/>
    <x v="3"/>
    <s v="Freshwater"/>
    <s v="2Freshwater"/>
    <s v="Salmon"/>
    <s v="746"/>
    <s v="Green - Duwamish River"/>
    <s v="Green - Duwamish River"/>
    <s v="King"/>
    <x v="0"/>
    <s v="Other"/>
    <s v="20Other"/>
    <s v="07Non Puget Sound"/>
    <n v="876.98098098098103"/>
    <n v="3016.8145745745746"/>
  </r>
  <r>
    <n v="1177"/>
    <x v="3"/>
    <x v="1"/>
    <x v="3"/>
    <s v="Freshwater"/>
    <s v="2Freshwater"/>
    <s v="Salmon"/>
    <s v="746"/>
    <s v="Green - Duwamish River"/>
    <s v="Green - Duwamish River"/>
    <s v="King"/>
    <x v="0"/>
    <s v="Pierce"/>
    <s v="07Pierce"/>
    <s v="02South Puget Sound"/>
    <n v="1048.7607607607599"/>
    <n v="3607.7370170170143"/>
  </r>
  <r>
    <n v="1178"/>
    <x v="3"/>
    <x v="1"/>
    <x v="3"/>
    <s v="Freshwater"/>
    <s v="2Freshwater"/>
    <s v="Salmon"/>
    <s v="746"/>
    <s v="Green - Duwamish River"/>
    <s v="Green - Duwamish River"/>
    <s v="King"/>
    <x v="0"/>
    <s v="Skagit"/>
    <s v="02Skagit"/>
    <s v="01North Puget Sound"/>
    <n v="18.082082082082099"/>
    <n v="62.202362362362422"/>
  </r>
  <r>
    <n v="1179"/>
    <x v="3"/>
    <x v="1"/>
    <x v="3"/>
    <s v="Freshwater"/>
    <s v="2Freshwater"/>
    <s v="Salmon"/>
    <s v="746"/>
    <s v="Green - Duwamish River"/>
    <s v="Green - Duwamish River"/>
    <s v="King"/>
    <x v="0"/>
    <s v="Snohomish"/>
    <s v="03Snohomish"/>
    <s v="01North Puget Sound"/>
    <n v="271.23123123123099"/>
    <n v="933.03543543543458"/>
  </r>
  <r>
    <n v="1180"/>
    <x v="3"/>
    <x v="1"/>
    <x v="3"/>
    <s v="Freshwater"/>
    <s v="2Freshwater"/>
    <s v="Salmon"/>
    <s v="746"/>
    <s v="Green - Duwamish River"/>
    <s v="Green - Duwamish River"/>
    <s v="King"/>
    <x v="0"/>
    <s v="Thurston"/>
    <s v="08Thurston"/>
    <s v="02South Puget Sound"/>
    <n v="99.451451451451504"/>
    <n v="342.11299299299316"/>
  </r>
  <r>
    <n v="1181"/>
    <x v="3"/>
    <x v="1"/>
    <x v="3"/>
    <s v="Freshwater"/>
    <s v="2Freshwater"/>
    <s v="Salmon"/>
    <s v="746"/>
    <s v="Green - Duwamish River"/>
    <s v="Green - Duwamish River"/>
    <s v="King"/>
    <x v="0"/>
    <s v="Whatcom"/>
    <s v="01Whatcom"/>
    <s v="01North Puget Sound"/>
    <n v="81.369369369369394"/>
    <n v="279.91063063063069"/>
  </r>
  <r>
    <n v="1182"/>
    <x v="3"/>
    <x v="2"/>
    <x v="3"/>
    <s v="Freshwater"/>
    <s v="2Freshwater"/>
    <s v="Salmon"/>
    <s v="746"/>
    <s v="Green - Duwamish River"/>
    <s v="Green - Duwamish River"/>
    <s v="King"/>
    <x v="0"/>
    <s v="King"/>
    <s v="06King"/>
    <s v="02South Puget Sound"/>
    <n v="5335.2732644017697"/>
    <n v="18353.340029542087"/>
  </r>
  <r>
    <n v="1183"/>
    <x v="3"/>
    <x v="2"/>
    <x v="3"/>
    <s v="Freshwater"/>
    <s v="2Freshwater"/>
    <s v="Salmon"/>
    <s v="746"/>
    <s v="Green - Duwamish River"/>
    <s v="Green - Duwamish River"/>
    <s v="King"/>
    <x v="0"/>
    <s v="Other"/>
    <s v="20Other"/>
    <s v="07Non Puget Sound"/>
    <n v="54.257016248153597"/>
    <n v="186.64413589364838"/>
  </r>
  <r>
    <n v="1184"/>
    <x v="3"/>
    <x v="2"/>
    <x v="3"/>
    <s v="Freshwater"/>
    <s v="2Freshwater"/>
    <s v="Salmon"/>
    <s v="746"/>
    <s v="Green - Duwamish River"/>
    <s v="Green - Duwamish River"/>
    <s v="King"/>
    <x v="0"/>
    <s v="Pierce"/>
    <s v="07Pierce"/>
    <s v="02South Puget Sound"/>
    <n v="596.82717872968999"/>
    <n v="2053.0854948301335"/>
  </r>
  <r>
    <n v="1185"/>
    <x v="3"/>
    <x v="2"/>
    <x v="3"/>
    <s v="Freshwater"/>
    <s v="2Freshwater"/>
    <s v="Salmon"/>
    <s v="746"/>
    <s v="Green - Duwamish River"/>
    <s v="Green - Duwamish River"/>
    <s v="King"/>
    <x v="0"/>
    <s v="Snohomish"/>
    <s v="03Snohomish"/>
    <s v="01North Puget Sound"/>
    <n v="90.428360413589402"/>
    <n v="311.07355982274754"/>
  </r>
  <r>
    <n v="1186"/>
    <x v="3"/>
    <x v="2"/>
    <x v="3"/>
    <s v="Freshwater"/>
    <s v="2Freshwater"/>
    <s v="Salmon"/>
    <s v="746"/>
    <s v="Green - Duwamish River"/>
    <s v="Green - Duwamish River"/>
    <s v="King"/>
    <x v="0"/>
    <s v="Thurston"/>
    <s v="08Thurston"/>
    <s v="02South Puget Sound"/>
    <n v="36.171344165435798"/>
    <n v="124.42942392909914"/>
  </r>
  <r>
    <n v="1187"/>
    <x v="3"/>
    <x v="2"/>
    <x v="3"/>
    <s v="Freshwater"/>
    <s v="2Freshwater"/>
    <s v="Salmon"/>
    <s v="746"/>
    <s v="Green - Duwamish River"/>
    <s v="Green - Duwamish River"/>
    <s v="King"/>
    <x v="0"/>
    <s v="Whatcom"/>
    <s v="01Whatcom"/>
    <s v="01North Puget Sound"/>
    <n v="9.0428360413589406"/>
    <n v="31.107355982274754"/>
  </r>
  <r>
    <n v="1188"/>
    <x v="3"/>
    <x v="3"/>
    <x v="3"/>
    <s v="Freshwater"/>
    <s v="2Freshwater"/>
    <s v="Salmon"/>
    <s v="746"/>
    <s v="Green - Duwamish River"/>
    <s v="Green - Duwamish River"/>
    <s v="King"/>
    <x v="0"/>
    <s v="King"/>
    <s v="06King"/>
    <s v="02South Puget Sound"/>
    <n v="967.56799999999998"/>
    <n v="3328.4339199999999"/>
  </r>
  <r>
    <n v="1189"/>
    <x v="3"/>
    <x v="3"/>
    <x v="3"/>
    <s v="Freshwater"/>
    <s v="2Freshwater"/>
    <s v="Salmon"/>
    <s v="746"/>
    <s v="Green - Duwamish River"/>
    <s v="Green - Duwamish River"/>
    <s v="King"/>
    <x v="0"/>
    <s v="Other"/>
    <s v="20Other"/>
    <s v="07Non Puget Sound"/>
    <n v="54.768000000000001"/>
    <n v="188.40191999999999"/>
  </r>
  <r>
    <n v="1190"/>
    <x v="3"/>
    <x v="3"/>
    <x v="3"/>
    <s v="Freshwater"/>
    <s v="2Freshwater"/>
    <s v="Salmon"/>
    <s v="746"/>
    <s v="Green - Duwamish River"/>
    <s v="Green - Duwamish River"/>
    <s v="King"/>
    <x v="0"/>
    <s v="Pierce"/>
    <s v="07Pierce"/>
    <s v="02South Puget Sound"/>
    <n v="100.408"/>
    <n v="345.40352000000001"/>
  </r>
  <r>
    <n v="1191"/>
    <x v="3"/>
    <x v="3"/>
    <x v="3"/>
    <s v="Freshwater"/>
    <s v="2Freshwater"/>
    <s v="Salmon"/>
    <s v="746"/>
    <s v="Green - Duwamish River"/>
    <s v="Green - Duwamish River"/>
    <s v="King"/>
    <x v="0"/>
    <s v="Snohomish"/>
    <s v="03Snohomish"/>
    <s v="01North Puget Sound"/>
    <n v="18.256"/>
    <n v="62.800640000000001"/>
  </r>
  <r>
    <n v="1192"/>
    <x v="3"/>
    <x v="4"/>
    <x v="3"/>
    <s v="Freshwater"/>
    <s v="2Freshwater"/>
    <s v="Salmon"/>
    <s v="746"/>
    <s v="Green - Duwamish River"/>
    <s v="Green - Duwamish River"/>
    <s v="King"/>
    <x v="0"/>
    <s v="King"/>
    <s v="06King"/>
    <s v="02South Puget Sound"/>
    <n v="27"/>
    <n v="92.88"/>
  </r>
  <r>
    <n v="1193"/>
    <x v="3"/>
    <x v="4"/>
    <x v="3"/>
    <s v="Freshwater"/>
    <s v="2Freshwater"/>
    <s v="Salmon"/>
    <s v="746"/>
    <s v="Green - Duwamish River"/>
    <s v="Green - Duwamish River"/>
    <s v="King"/>
    <x v="0"/>
    <s v="Snohomish"/>
    <s v="03Snohomish"/>
    <s v="01North Puget Sound"/>
    <n v="9"/>
    <n v="30.96"/>
  </r>
  <r>
    <n v="1194"/>
    <x v="3"/>
    <x v="2"/>
    <x v="3"/>
    <s v="Freshwater"/>
    <s v="2Freshwater"/>
    <s v="Salmon"/>
    <s v="754"/>
    <s v="Kennedy Creek"/>
    <s v="Kennedy Creek"/>
    <s v="Mason/Thurston"/>
    <x v="0"/>
    <s v="King"/>
    <s v="06King"/>
    <s v="02South Puget Sound"/>
    <n v="28.636363636363601"/>
    <n v="98.509090909090787"/>
  </r>
  <r>
    <n v="1195"/>
    <x v="3"/>
    <x v="2"/>
    <x v="3"/>
    <s v="Freshwater"/>
    <s v="2Freshwater"/>
    <s v="Salmon"/>
    <s v="754"/>
    <s v="Kennedy Creek"/>
    <s v="Kennedy Creek"/>
    <s v="Mason/Thurston"/>
    <x v="0"/>
    <s v="Pierce"/>
    <s v="07Pierce"/>
    <s v="02South Puget Sound"/>
    <n v="9.5454545454545503"/>
    <n v="32.83636363636365"/>
  </r>
  <r>
    <n v="1196"/>
    <x v="3"/>
    <x v="2"/>
    <x v="3"/>
    <s v="Freshwater"/>
    <s v="2Freshwater"/>
    <s v="Salmon"/>
    <s v="754"/>
    <s v="Kennedy Creek"/>
    <s v="Kennedy Creek"/>
    <s v="Mason/Thurston"/>
    <x v="0"/>
    <s v="Thurston"/>
    <s v="08Thurston"/>
    <s v="02South Puget Sound"/>
    <n v="66.818181818181799"/>
    <n v="229.85454545454539"/>
  </r>
  <r>
    <n v="1197"/>
    <x v="3"/>
    <x v="3"/>
    <x v="3"/>
    <s v="Freshwater"/>
    <s v="2Freshwater"/>
    <s v="Salmon"/>
    <s v="754"/>
    <s v="Kennedy Creek"/>
    <s v="Kennedy Creek"/>
    <s v="Mason/Thurston"/>
    <x v="0"/>
    <s v="King"/>
    <s v="06King"/>
    <s v="02South Puget Sound"/>
    <n v="19.181818181818201"/>
    <n v="65.985454545454616"/>
  </r>
  <r>
    <n v="1198"/>
    <x v="3"/>
    <x v="3"/>
    <x v="3"/>
    <s v="Freshwater"/>
    <s v="2Freshwater"/>
    <s v="Salmon"/>
    <s v="754"/>
    <s v="Kennedy Creek"/>
    <s v="Kennedy Creek"/>
    <s v="Mason/Thurston"/>
    <x v="0"/>
    <s v="Mason"/>
    <s v="09Mason"/>
    <s v="02South Puget Sound"/>
    <n v="19.181818181818201"/>
    <n v="65.985454545454616"/>
  </r>
  <r>
    <n v="1199"/>
    <x v="3"/>
    <x v="3"/>
    <x v="3"/>
    <s v="Freshwater"/>
    <s v="2Freshwater"/>
    <s v="Salmon"/>
    <s v="754"/>
    <s v="Kennedy Creek"/>
    <s v="Kennedy Creek"/>
    <s v="Mason/Thurston"/>
    <x v="0"/>
    <s v="Thurston"/>
    <s v="08Thurston"/>
    <s v="02South Puget Sound"/>
    <n v="172.636363636364"/>
    <n v="593.86909090909217"/>
  </r>
  <r>
    <n v="1200"/>
    <x v="3"/>
    <x v="1"/>
    <x v="3"/>
    <s v="Freshwater"/>
    <s v="2Freshwater"/>
    <s v="Salmon"/>
    <s v="762"/>
    <s v="Lake Washington"/>
    <s v="Lake Washington"/>
    <s v="King"/>
    <x v="0"/>
    <s v="King"/>
    <s v="06King"/>
    <s v="02South Puget Sound"/>
    <n v="56"/>
    <n v="192.64"/>
  </r>
  <r>
    <n v="1201"/>
    <x v="3"/>
    <x v="2"/>
    <x v="3"/>
    <s v="Freshwater"/>
    <s v="2Freshwater"/>
    <s v="Salmon"/>
    <s v="762"/>
    <s v="Lake Washington"/>
    <s v="Lake Washington"/>
    <s v="King"/>
    <x v="0"/>
    <s v="King"/>
    <s v="06King"/>
    <s v="02South Puget Sound"/>
    <n v="74.400000000000006"/>
    <n v="255.93600000000001"/>
  </r>
  <r>
    <n v="1202"/>
    <x v="3"/>
    <x v="2"/>
    <x v="3"/>
    <s v="Freshwater"/>
    <s v="2Freshwater"/>
    <s v="Salmon"/>
    <s v="762"/>
    <s v="Lake Washington"/>
    <s v="Lake Washington"/>
    <s v="King"/>
    <x v="0"/>
    <s v="Other"/>
    <s v="20Other"/>
    <s v="07Non Puget Sound"/>
    <n v="9.3000000000000007"/>
    <n v="31.992000000000001"/>
  </r>
  <r>
    <n v="1203"/>
    <x v="3"/>
    <x v="2"/>
    <x v="3"/>
    <s v="Freshwater"/>
    <s v="2Freshwater"/>
    <s v="Salmon"/>
    <s v="762"/>
    <s v="Lake Washington"/>
    <s v="Lake Washington"/>
    <s v="King"/>
    <x v="0"/>
    <s v="Snohomish"/>
    <s v="03Snohomish"/>
    <s v="01North Puget Sound"/>
    <n v="9.3000000000000007"/>
    <n v="31.992000000000001"/>
  </r>
  <r>
    <n v="1204"/>
    <x v="3"/>
    <x v="0"/>
    <x v="3"/>
    <s v="Freshwater"/>
    <s v="2Freshwater"/>
    <s v="Salmon"/>
    <s v="764"/>
    <s v="Lake Sammamish"/>
    <s v="Lake Sammamish"/>
    <s v="King"/>
    <x v="0"/>
    <s v="Other"/>
    <s v="20Other"/>
    <s v="07Non Puget Sound"/>
    <n v="18"/>
    <n v="61.92"/>
  </r>
  <r>
    <n v="1205"/>
    <x v="3"/>
    <x v="1"/>
    <x v="3"/>
    <s v="Freshwater"/>
    <s v="2Freshwater"/>
    <s v="Salmon"/>
    <s v="764"/>
    <s v="Lake Sammamish"/>
    <s v="Lake Sammamish"/>
    <s v="King"/>
    <x v="0"/>
    <s v="King"/>
    <s v="06King"/>
    <s v="02South Puget Sound"/>
    <n v="268.90909090909099"/>
    <n v="925.04727272727303"/>
  </r>
  <r>
    <n v="1206"/>
    <x v="3"/>
    <x v="1"/>
    <x v="3"/>
    <s v="Freshwater"/>
    <s v="2Freshwater"/>
    <s v="Salmon"/>
    <s v="764"/>
    <s v="Lake Sammamish"/>
    <s v="Lake Sammamish"/>
    <s v="King"/>
    <x v="0"/>
    <s v="Other"/>
    <s v="20Other"/>
    <s v="07Non Puget Sound"/>
    <n v="9.2727272727272805"/>
    <n v="31.898181818181843"/>
  </r>
  <r>
    <n v="1207"/>
    <x v="3"/>
    <x v="1"/>
    <x v="3"/>
    <s v="Freshwater"/>
    <s v="2Freshwater"/>
    <s v="Salmon"/>
    <s v="764"/>
    <s v="Lake Sammamish"/>
    <s v="Lake Sammamish"/>
    <s v="King"/>
    <x v="0"/>
    <s v="Pierce"/>
    <s v="07Pierce"/>
    <s v="02South Puget Sound"/>
    <n v="18.5454545454546"/>
    <n v="63.796363636363822"/>
  </r>
  <r>
    <n v="1208"/>
    <x v="3"/>
    <x v="1"/>
    <x v="3"/>
    <s v="Freshwater"/>
    <s v="2Freshwater"/>
    <s v="Salmon"/>
    <s v="764"/>
    <s v="Lake Sammamish"/>
    <s v="Lake Sammamish"/>
    <s v="King"/>
    <x v="0"/>
    <s v="Snohomish"/>
    <s v="03Snohomish"/>
    <s v="01North Puget Sound"/>
    <n v="9.2727272727272805"/>
    <n v="31.898181818181843"/>
  </r>
  <r>
    <n v="1209"/>
    <x v="3"/>
    <x v="3"/>
    <x v="3"/>
    <s v="Freshwater"/>
    <s v="2Freshwater"/>
    <s v="Salmon"/>
    <s v="778"/>
    <s v="Minter Creek"/>
    <s v="Minter Creek"/>
    <s v="Kitsap/Pierce"/>
    <x v="0"/>
    <s v="Clallam"/>
    <s v="11Clallam"/>
    <s v="03Strait of Juan de Fuca"/>
    <n v="110.82593856655301"/>
    <n v="381.24122866894231"/>
  </r>
  <r>
    <n v="1210"/>
    <x v="3"/>
    <x v="3"/>
    <x v="3"/>
    <s v="Freshwater"/>
    <s v="2Freshwater"/>
    <s v="Salmon"/>
    <s v="778"/>
    <s v="Minter Creek"/>
    <s v="Minter Creek"/>
    <s v="Kitsap/Pierce"/>
    <x v="0"/>
    <s v="King"/>
    <s v="06King"/>
    <s v="02South Puget Sound"/>
    <n v="2281.1672354948801"/>
    <n v="7847.2152901023874"/>
  </r>
  <r>
    <n v="1211"/>
    <x v="3"/>
    <x v="3"/>
    <x v="3"/>
    <s v="Freshwater"/>
    <s v="2Freshwater"/>
    <s v="Salmon"/>
    <s v="778"/>
    <s v="Minter Creek"/>
    <s v="Minter Creek"/>
    <s v="Kitsap/Pierce"/>
    <x v="0"/>
    <s v="Kitsap"/>
    <s v="10Kitsap"/>
    <s v="02South Puget Sound"/>
    <n v="434.06825938566601"/>
    <n v="1493.1948122866911"/>
  </r>
  <r>
    <n v="1212"/>
    <x v="3"/>
    <x v="3"/>
    <x v="3"/>
    <s v="Freshwater"/>
    <s v="2Freshwater"/>
    <s v="Salmon"/>
    <s v="778"/>
    <s v="Minter Creek"/>
    <s v="Minter Creek"/>
    <s v="Kitsap/Pierce"/>
    <x v="0"/>
    <s v="Mason"/>
    <s v="09Mason"/>
    <s v="02South Puget Sound"/>
    <n v="55.412969283276503"/>
    <n v="190.62061433447116"/>
  </r>
  <r>
    <n v="1213"/>
    <x v="3"/>
    <x v="3"/>
    <x v="3"/>
    <s v="Freshwater"/>
    <s v="2Freshwater"/>
    <s v="Salmon"/>
    <s v="778"/>
    <s v="Minter Creek"/>
    <s v="Minter Creek"/>
    <s v="Kitsap/Pierce"/>
    <x v="0"/>
    <s v="Other"/>
    <s v="20Other"/>
    <s v="07Non Puget Sound"/>
    <n v="249.358361774744"/>
    <n v="857.79276450511929"/>
  </r>
  <r>
    <n v="1214"/>
    <x v="3"/>
    <x v="3"/>
    <x v="3"/>
    <s v="Freshwater"/>
    <s v="2Freshwater"/>
    <s v="Salmon"/>
    <s v="778"/>
    <s v="Minter Creek"/>
    <s v="Minter Creek"/>
    <s v="Kitsap/Pierce"/>
    <x v="0"/>
    <s v="Pierce"/>
    <s v="07Pierce"/>
    <s v="02South Puget Sound"/>
    <n v="1884.0409556314"/>
    <n v="6481.1008873720157"/>
  </r>
  <r>
    <n v="1215"/>
    <x v="3"/>
    <x v="3"/>
    <x v="3"/>
    <s v="Freshwater"/>
    <s v="2Freshwater"/>
    <s v="Salmon"/>
    <s v="778"/>
    <s v="Minter Creek"/>
    <s v="Minter Creek"/>
    <s v="Kitsap/Pierce"/>
    <x v="0"/>
    <s v="Snohomish"/>
    <s v="03Snohomish"/>
    <s v="01North Puget Sound"/>
    <n v="203.18088737201401"/>
    <n v="698.94225255972822"/>
  </r>
  <r>
    <n v="1216"/>
    <x v="3"/>
    <x v="3"/>
    <x v="3"/>
    <s v="Freshwater"/>
    <s v="2Freshwater"/>
    <s v="Salmon"/>
    <s v="778"/>
    <s v="Minter Creek"/>
    <s v="Minter Creek"/>
    <s v="Kitsap/Pierce"/>
    <x v="0"/>
    <s v="Thurston"/>
    <s v="08Thurston"/>
    <s v="02South Puget Sound"/>
    <n v="193.945392491468"/>
    <n v="667.17215017064996"/>
  </r>
  <r>
    <n v="1217"/>
    <x v="3"/>
    <x v="4"/>
    <x v="3"/>
    <s v="Freshwater"/>
    <s v="2Freshwater"/>
    <s v="Salmon"/>
    <s v="778"/>
    <s v="Minter Creek"/>
    <s v="Minter Creek"/>
    <s v="Kitsap/Pierce"/>
    <x v="0"/>
    <s v="King"/>
    <s v="06King"/>
    <s v="02South Puget Sound"/>
    <n v="73.890909090909105"/>
    <n v="254.18472727272732"/>
  </r>
  <r>
    <n v="1218"/>
    <x v="3"/>
    <x v="4"/>
    <x v="3"/>
    <s v="Freshwater"/>
    <s v="2Freshwater"/>
    <s v="Salmon"/>
    <s v="778"/>
    <s v="Minter Creek"/>
    <s v="Minter Creek"/>
    <s v="Kitsap/Pierce"/>
    <x v="0"/>
    <s v="Kitsap"/>
    <s v="10Kitsap"/>
    <s v="02South Puget Sound"/>
    <n v="55.4181818181818"/>
    <n v="190.63854545454538"/>
  </r>
  <r>
    <n v="1219"/>
    <x v="3"/>
    <x v="4"/>
    <x v="3"/>
    <s v="Freshwater"/>
    <s v="2Freshwater"/>
    <s v="Salmon"/>
    <s v="778"/>
    <s v="Minter Creek"/>
    <s v="Minter Creek"/>
    <s v="Kitsap/Pierce"/>
    <x v="0"/>
    <s v="Other"/>
    <s v="20Other"/>
    <s v="07Non Puget Sound"/>
    <n v="83.127272727272697"/>
    <n v="285.95781818181808"/>
  </r>
  <r>
    <n v="1220"/>
    <x v="3"/>
    <x v="4"/>
    <x v="3"/>
    <s v="Freshwater"/>
    <s v="2Freshwater"/>
    <s v="Salmon"/>
    <s v="778"/>
    <s v="Minter Creek"/>
    <s v="Minter Creek"/>
    <s v="Kitsap/Pierce"/>
    <x v="0"/>
    <s v="Pierce"/>
    <s v="07Pierce"/>
    <s v="02South Puget Sound"/>
    <n v="258.61818181818199"/>
    <n v="889.64654545454607"/>
  </r>
  <r>
    <n v="1221"/>
    <x v="3"/>
    <x v="4"/>
    <x v="3"/>
    <s v="Freshwater"/>
    <s v="2Freshwater"/>
    <s v="Salmon"/>
    <s v="778"/>
    <s v="Minter Creek"/>
    <s v="Minter Creek"/>
    <s v="Kitsap/Pierce"/>
    <x v="0"/>
    <s v="Snohomish"/>
    <s v="03Snohomish"/>
    <s v="01North Puget Sound"/>
    <n v="36.945454545454602"/>
    <n v="127.09236363636383"/>
  </r>
  <r>
    <n v="1222"/>
    <x v="3"/>
    <x v="5"/>
    <x v="3"/>
    <s v="Freshwater"/>
    <s v="2Freshwater"/>
    <s v="Salmon"/>
    <s v="786"/>
    <s v="Nisqually River"/>
    <s v="Nisqually River"/>
    <s v="Thurston/Pierce"/>
    <x v="0"/>
    <s v="Pierce"/>
    <s v="07Pierce"/>
    <s v="02South Puget Sound"/>
    <n v="9.0625"/>
    <n v="31.175000000000001"/>
  </r>
  <r>
    <n v="1223"/>
    <x v="3"/>
    <x v="5"/>
    <x v="3"/>
    <s v="Freshwater"/>
    <s v="2Freshwater"/>
    <s v="Salmon"/>
    <s v="786"/>
    <s v="Nisqually River"/>
    <s v="Nisqually River"/>
    <s v="Thurston/Pierce"/>
    <x v="0"/>
    <s v="Thurston"/>
    <s v="08Thurston"/>
    <s v="02South Puget Sound"/>
    <n v="135.9375"/>
    <n v="467.625"/>
  </r>
  <r>
    <n v="1224"/>
    <x v="3"/>
    <x v="0"/>
    <x v="3"/>
    <s v="Freshwater"/>
    <s v="2Freshwater"/>
    <s v="Salmon"/>
    <s v="786"/>
    <s v="Nisqually River"/>
    <s v="Nisqually River"/>
    <s v="Thurston/Pierce"/>
    <x v="0"/>
    <s v="King"/>
    <s v="06King"/>
    <s v="02South Puget Sound"/>
    <n v="136.51685393258401"/>
    <n v="469.617977528089"/>
  </r>
  <r>
    <n v="1225"/>
    <x v="3"/>
    <x v="0"/>
    <x v="3"/>
    <s v="Freshwater"/>
    <s v="2Freshwater"/>
    <s v="Salmon"/>
    <s v="786"/>
    <s v="Nisqually River"/>
    <s v="Nisqually River"/>
    <s v="Thurston/Pierce"/>
    <x v="0"/>
    <s v="Kitsap"/>
    <s v="10Kitsap"/>
    <s v="02South Puget Sound"/>
    <n v="63.7078651685393"/>
    <n v="219.15505617977519"/>
  </r>
  <r>
    <n v="1226"/>
    <x v="3"/>
    <x v="0"/>
    <x v="3"/>
    <s v="Freshwater"/>
    <s v="2Freshwater"/>
    <s v="Salmon"/>
    <s v="786"/>
    <s v="Nisqually River"/>
    <s v="Nisqually River"/>
    <s v="Thurston/Pierce"/>
    <x v="0"/>
    <s v="Other"/>
    <s v="20Other"/>
    <s v="07Non Puget Sound"/>
    <n v="200.22471910112401"/>
    <n v="688.7730337078666"/>
  </r>
  <r>
    <n v="1227"/>
    <x v="3"/>
    <x v="0"/>
    <x v="3"/>
    <s v="Freshwater"/>
    <s v="2Freshwater"/>
    <s v="Salmon"/>
    <s v="786"/>
    <s v="Nisqually River"/>
    <s v="Nisqually River"/>
    <s v="Thurston/Pierce"/>
    <x v="0"/>
    <s v="Pierce"/>
    <s v="07Pierce"/>
    <s v="02South Puget Sound"/>
    <n v="1328.76404494382"/>
    <n v="4570.9483146067405"/>
  </r>
  <r>
    <n v="1228"/>
    <x v="3"/>
    <x v="0"/>
    <x v="3"/>
    <s v="Freshwater"/>
    <s v="2Freshwater"/>
    <s v="Salmon"/>
    <s v="786"/>
    <s v="Nisqually River"/>
    <s v="Nisqually River"/>
    <s v="Thurston/Pierce"/>
    <x v="0"/>
    <s v="Snohomish"/>
    <s v="03Snohomish"/>
    <s v="01North Puget Sound"/>
    <n v="81.910112359550595"/>
    <n v="281.77078651685406"/>
  </r>
  <r>
    <n v="1229"/>
    <x v="3"/>
    <x v="0"/>
    <x v="3"/>
    <s v="Freshwater"/>
    <s v="2Freshwater"/>
    <s v="Salmon"/>
    <s v="786"/>
    <s v="Nisqually River"/>
    <s v="Nisqually River"/>
    <s v="Thurston/Pierce"/>
    <x v="0"/>
    <s v="Thurston"/>
    <s v="08Thurston"/>
    <s v="02South Puget Sound"/>
    <n v="1428.87640449438"/>
    <n v="4915.3348314606674"/>
  </r>
  <r>
    <n v="1230"/>
    <x v="3"/>
    <x v="1"/>
    <x v="3"/>
    <s v="Freshwater"/>
    <s v="2Freshwater"/>
    <s v="Salmon"/>
    <s v="786"/>
    <s v="Nisqually River"/>
    <s v="Nisqually River"/>
    <s v="Thurston/Pierce"/>
    <x v="0"/>
    <s v="King"/>
    <s v="06King"/>
    <s v="02South Puget Sound"/>
    <n v="1022.56"/>
    <n v="3517.6063999999997"/>
  </r>
  <r>
    <n v="1231"/>
    <x v="3"/>
    <x v="1"/>
    <x v="3"/>
    <s v="Freshwater"/>
    <s v="2Freshwater"/>
    <s v="Salmon"/>
    <s v="786"/>
    <s v="Nisqually River"/>
    <s v="Nisqually River"/>
    <s v="Thurston/Pierce"/>
    <x v="0"/>
    <s v="Kitsap"/>
    <s v="10Kitsap"/>
    <s v="02South Puget Sound"/>
    <n v="283.02999999999997"/>
    <n v="973.62319999999988"/>
  </r>
  <r>
    <n v="1232"/>
    <x v="3"/>
    <x v="1"/>
    <x v="3"/>
    <s v="Freshwater"/>
    <s v="2Freshwater"/>
    <s v="Salmon"/>
    <s v="786"/>
    <s v="Nisqually River"/>
    <s v="Nisqually River"/>
    <s v="Thurston/Pierce"/>
    <x v="0"/>
    <s v="Mason"/>
    <s v="09Mason"/>
    <s v="02South Puget Sound"/>
    <n v="100.43"/>
    <n v="345.47919999999999"/>
  </r>
  <r>
    <n v="1233"/>
    <x v="3"/>
    <x v="1"/>
    <x v="3"/>
    <s v="Freshwater"/>
    <s v="2Freshwater"/>
    <s v="Salmon"/>
    <s v="786"/>
    <s v="Nisqually River"/>
    <s v="Nisqually River"/>
    <s v="Thurston/Pierce"/>
    <x v="0"/>
    <s v="Other"/>
    <s v="20Other"/>
    <s v="07Non Puget Sound"/>
    <n v="812.57"/>
    <n v="2795.2408"/>
  </r>
  <r>
    <n v="1234"/>
    <x v="3"/>
    <x v="1"/>
    <x v="3"/>
    <s v="Freshwater"/>
    <s v="2Freshwater"/>
    <s v="Salmon"/>
    <s v="786"/>
    <s v="Nisqually River"/>
    <s v="Nisqually River"/>
    <s v="Thurston/Pierce"/>
    <x v="0"/>
    <s v="Pierce"/>
    <s v="07Pierce"/>
    <s v="02South Puget Sound"/>
    <n v="5450.61"/>
    <n v="18750.098399999999"/>
  </r>
  <r>
    <n v="1235"/>
    <x v="3"/>
    <x v="1"/>
    <x v="3"/>
    <s v="Freshwater"/>
    <s v="2Freshwater"/>
    <s v="Salmon"/>
    <s v="786"/>
    <s v="Nisqually River"/>
    <s v="Nisqually River"/>
    <s v="Thurston/Pierce"/>
    <x v="0"/>
    <s v="Snohomish"/>
    <s v="03Snohomish"/>
    <s v="01North Puget Sound"/>
    <n v="63.91"/>
    <n v="219.85039999999998"/>
  </r>
  <r>
    <n v="1236"/>
    <x v="3"/>
    <x v="1"/>
    <x v="3"/>
    <s v="Freshwater"/>
    <s v="2Freshwater"/>
    <s v="Salmon"/>
    <s v="786"/>
    <s v="Nisqually River"/>
    <s v="Nisqually River"/>
    <s v="Thurston/Pierce"/>
    <x v="0"/>
    <s v="Thurston"/>
    <s v="08Thurston"/>
    <s v="02South Puget Sound"/>
    <n v="5030.63"/>
    <n v="17305.367200000001"/>
  </r>
  <r>
    <n v="1237"/>
    <x v="3"/>
    <x v="1"/>
    <x v="3"/>
    <s v="Freshwater"/>
    <s v="2Freshwater"/>
    <s v="Salmon"/>
    <s v="786"/>
    <s v="Nisqually River"/>
    <s v="Nisqually River"/>
    <s v="Thurston/Pierce"/>
    <x v="0"/>
    <s v="Whatcom"/>
    <s v="01Whatcom"/>
    <s v="01North Puget Sound"/>
    <n v="18.260000000000002"/>
    <n v="62.814400000000006"/>
  </r>
  <r>
    <n v="1238"/>
    <x v="3"/>
    <x v="2"/>
    <x v="3"/>
    <s v="Freshwater"/>
    <s v="2Freshwater"/>
    <s v="Salmon"/>
    <s v="786"/>
    <s v="Nisqually River"/>
    <s v="Nisqually River"/>
    <s v="Thurston/Pierce"/>
    <x v="0"/>
    <s v="King"/>
    <s v="06King"/>
    <s v="02South Puget Sound"/>
    <n v="54.943396226415103"/>
    <n v="189.00528301886794"/>
  </r>
  <r>
    <n v="1239"/>
    <x v="3"/>
    <x v="2"/>
    <x v="3"/>
    <s v="Freshwater"/>
    <s v="2Freshwater"/>
    <s v="Salmon"/>
    <s v="786"/>
    <s v="Nisqually River"/>
    <s v="Nisqually River"/>
    <s v="Thurston/Pierce"/>
    <x v="0"/>
    <s v="Other"/>
    <s v="20Other"/>
    <s v="07Non Puget Sound"/>
    <n v="100.729559748428"/>
    <n v="346.50968553459234"/>
  </r>
  <r>
    <n v="1240"/>
    <x v="3"/>
    <x v="2"/>
    <x v="3"/>
    <s v="Freshwater"/>
    <s v="2Freshwater"/>
    <s v="Salmon"/>
    <s v="786"/>
    <s v="Nisqually River"/>
    <s v="Nisqually River"/>
    <s v="Thurston/Pierce"/>
    <x v="0"/>
    <s v="Pierce"/>
    <s v="07Pierce"/>
    <s v="02South Puget Sound"/>
    <n v="439.547169811321"/>
    <n v="1512.0422641509442"/>
  </r>
  <r>
    <n v="1241"/>
    <x v="3"/>
    <x v="2"/>
    <x v="3"/>
    <s v="Freshwater"/>
    <s v="2Freshwater"/>
    <s v="Salmon"/>
    <s v="786"/>
    <s v="Nisqually River"/>
    <s v="Nisqually River"/>
    <s v="Thurston/Pierce"/>
    <x v="0"/>
    <s v="Snohomish"/>
    <s v="03Snohomish"/>
    <s v="01North Puget Sound"/>
    <n v="18.314465408804999"/>
    <n v="63.001761006289193"/>
  </r>
  <r>
    <n v="1242"/>
    <x v="3"/>
    <x v="2"/>
    <x v="3"/>
    <s v="Freshwater"/>
    <s v="2Freshwater"/>
    <s v="Salmon"/>
    <s v="786"/>
    <s v="Nisqually River"/>
    <s v="Nisqually River"/>
    <s v="Thurston/Pierce"/>
    <x v="0"/>
    <s v="Thurston"/>
    <s v="08Thurston"/>
    <s v="02South Puget Sound"/>
    <n v="842.46540880503198"/>
    <n v="2898.0810062893102"/>
  </r>
  <r>
    <n v="1243"/>
    <x v="3"/>
    <x v="3"/>
    <x v="3"/>
    <s v="Freshwater"/>
    <s v="2Freshwater"/>
    <s v="Salmon"/>
    <s v="786"/>
    <s v="Nisqually River"/>
    <s v="Nisqually River"/>
    <s v="Thurston/Pierce"/>
    <x v="0"/>
    <s v="King"/>
    <s v="06King"/>
    <s v="02South Puget Sound"/>
    <n v="9.3333333333333304"/>
    <n v="32.106666666666655"/>
  </r>
  <r>
    <n v="1244"/>
    <x v="3"/>
    <x v="3"/>
    <x v="3"/>
    <s v="Freshwater"/>
    <s v="2Freshwater"/>
    <s v="Salmon"/>
    <s v="786"/>
    <s v="Nisqually River"/>
    <s v="Nisqually River"/>
    <s v="Thurston/Pierce"/>
    <x v="0"/>
    <s v="Other"/>
    <s v="20Other"/>
    <s v="07Non Puget Sound"/>
    <n v="28"/>
    <n v="96.32"/>
  </r>
  <r>
    <n v="1245"/>
    <x v="3"/>
    <x v="3"/>
    <x v="3"/>
    <s v="Freshwater"/>
    <s v="2Freshwater"/>
    <s v="Salmon"/>
    <s v="786"/>
    <s v="Nisqually River"/>
    <s v="Nisqually River"/>
    <s v="Thurston/Pierce"/>
    <x v="0"/>
    <s v="Pierce"/>
    <s v="07Pierce"/>
    <s v="02South Puget Sound"/>
    <n v="46.6666666666667"/>
    <n v="160.53333333333345"/>
  </r>
  <r>
    <n v="1246"/>
    <x v="3"/>
    <x v="3"/>
    <x v="3"/>
    <s v="Freshwater"/>
    <s v="2Freshwater"/>
    <s v="Salmon"/>
    <s v="786"/>
    <s v="Nisqually River"/>
    <s v="Nisqually River"/>
    <s v="Thurston/Pierce"/>
    <x v="0"/>
    <s v="Thurston"/>
    <s v="08Thurston"/>
    <s v="02South Puget Sound"/>
    <n v="112"/>
    <n v="385.28"/>
  </r>
  <r>
    <n v="1247"/>
    <x v="3"/>
    <x v="4"/>
    <x v="3"/>
    <s v="Freshwater"/>
    <s v="2Freshwater"/>
    <s v="Salmon"/>
    <s v="786"/>
    <s v="Nisqually River"/>
    <s v="Nisqually River"/>
    <s v="Thurston/Pierce"/>
    <x v="0"/>
    <s v="King"/>
    <s v="06King"/>
    <s v="02South Puget Sound"/>
    <n v="74.621848739495803"/>
    <n v="256.69915966386554"/>
  </r>
  <r>
    <n v="1248"/>
    <x v="3"/>
    <x v="4"/>
    <x v="3"/>
    <s v="Freshwater"/>
    <s v="2Freshwater"/>
    <s v="Salmon"/>
    <s v="786"/>
    <s v="Nisqually River"/>
    <s v="Nisqually River"/>
    <s v="Thurston/Pierce"/>
    <x v="0"/>
    <s v="Other"/>
    <s v="20Other"/>
    <s v="07Non Puget Sound"/>
    <n v="130.58823529411799"/>
    <n v="449.22352941176587"/>
  </r>
  <r>
    <n v="1249"/>
    <x v="3"/>
    <x v="4"/>
    <x v="3"/>
    <s v="Freshwater"/>
    <s v="2Freshwater"/>
    <s v="Salmon"/>
    <s v="786"/>
    <s v="Nisqually River"/>
    <s v="Nisqually River"/>
    <s v="Thurston/Pierce"/>
    <x v="0"/>
    <s v="Pierce"/>
    <s v="07Pierce"/>
    <s v="02South Puget Sound"/>
    <n v="195.882352941177"/>
    <n v="673.83529411764891"/>
  </r>
  <r>
    <n v="1250"/>
    <x v="3"/>
    <x v="4"/>
    <x v="3"/>
    <s v="Freshwater"/>
    <s v="2Freshwater"/>
    <s v="Salmon"/>
    <s v="786"/>
    <s v="Nisqually River"/>
    <s v="Nisqually River"/>
    <s v="Thurston/Pierce"/>
    <x v="0"/>
    <s v="Skagit"/>
    <s v="02Skagit"/>
    <s v="01North Puget Sound"/>
    <n v="9.3277310924369807"/>
    <n v="32.087394957983214"/>
  </r>
  <r>
    <n v="1251"/>
    <x v="3"/>
    <x v="4"/>
    <x v="3"/>
    <s v="Freshwater"/>
    <s v="2Freshwater"/>
    <s v="Salmon"/>
    <s v="786"/>
    <s v="Nisqually River"/>
    <s v="Nisqually River"/>
    <s v="Thurston/Pierce"/>
    <x v="0"/>
    <s v="Thurston"/>
    <s v="08Thurston"/>
    <s v="02South Puget Sound"/>
    <n v="699.579831932773"/>
    <n v="2406.5546218487393"/>
  </r>
  <r>
    <n v="1252"/>
    <x v="4"/>
    <x v="6"/>
    <x v="3"/>
    <s v="Freshwater"/>
    <s v="2Freshwater"/>
    <s v="Salmon"/>
    <s v="786"/>
    <s v="Nisqually River"/>
    <s v="Nisqually River"/>
    <s v="Thurston/Pierce"/>
    <x v="0"/>
    <s v="Mason"/>
    <s v="09Mason"/>
    <s v="02South Puget Sound"/>
    <n v="9.28571428571429"/>
    <n v="80.321428571428612"/>
  </r>
  <r>
    <n v="1253"/>
    <x v="4"/>
    <x v="6"/>
    <x v="3"/>
    <s v="Freshwater"/>
    <s v="2Freshwater"/>
    <s v="Salmon"/>
    <s v="786"/>
    <s v="Nisqually River"/>
    <s v="Nisqually River"/>
    <s v="Thurston/Pierce"/>
    <x v="0"/>
    <s v="Pierce"/>
    <s v="07Pierce"/>
    <s v="02South Puget Sound"/>
    <n v="37.142857142857103"/>
    <n v="321.28571428571394"/>
  </r>
  <r>
    <n v="1254"/>
    <x v="4"/>
    <x v="6"/>
    <x v="3"/>
    <s v="Freshwater"/>
    <s v="2Freshwater"/>
    <s v="Salmon"/>
    <s v="786"/>
    <s v="Nisqually River"/>
    <s v="Nisqually River"/>
    <s v="Thurston/Pierce"/>
    <x v="0"/>
    <s v="Thurston"/>
    <s v="08Thurston"/>
    <s v="02South Puget Sound"/>
    <n v="18.571428571428601"/>
    <n v="160.64285714285739"/>
  </r>
  <r>
    <n v="1255"/>
    <x v="3"/>
    <x v="5"/>
    <x v="3"/>
    <s v="Freshwater"/>
    <s v="2Freshwater"/>
    <s v="Salmon"/>
    <s v="788"/>
    <s v="Nooksack River"/>
    <s v="Nooksack River"/>
    <s v="Whatcom"/>
    <x v="1"/>
    <s v="Whatcom"/>
    <s v="01Whatcom"/>
    <s v="01North Puget Sound"/>
    <n v="370"/>
    <n v="1272.8"/>
  </r>
  <r>
    <n v="1256"/>
    <x v="3"/>
    <x v="0"/>
    <x v="3"/>
    <s v="Freshwater"/>
    <s v="2Freshwater"/>
    <s v="Salmon"/>
    <s v="788"/>
    <s v="Nooksack River"/>
    <s v="Nooksack River"/>
    <s v="Whatcom"/>
    <x v="1"/>
    <s v="Other"/>
    <s v="20Other"/>
    <s v="07Non Puget Sound"/>
    <n v="27.155555555555601"/>
    <n v="93.415111111111273"/>
  </r>
  <r>
    <n v="1257"/>
    <x v="3"/>
    <x v="0"/>
    <x v="3"/>
    <s v="Freshwater"/>
    <s v="2Freshwater"/>
    <s v="Salmon"/>
    <s v="788"/>
    <s v="Nooksack River"/>
    <s v="Nooksack River"/>
    <s v="Whatcom"/>
    <x v="1"/>
    <s v="Snohomish"/>
    <s v="03Snohomish"/>
    <s v="01North Puget Sound"/>
    <n v="90.518518518518505"/>
    <n v="311.38370370370365"/>
  </r>
  <r>
    <n v="1258"/>
    <x v="3"/>
    <x v="0"/>
    <x v="3"/>
    <s v="Freshwater"/>
    <s v="2Freshwater"/>
    <s v="Salmon"/>
    <s v="788"/>
    <s v="Nooksack River"/>
    <s v="Nooksack River"/>
    <s v="Whatcom"/>
    <x v="1"/>
    <s v="Thurston"/>
    <s v="08Thurston"/>
    <s v="02South Puget Sound"/>
    <n v="81.466666666666697"/>
    <n v="280.24533333333341"/>
  </r>
  <r>
    <n v="1259"/>
    <x v="3"/>
    <x v="0"/>
    <x v="3"/>
    <s v="Freshwater"/>
    <s v="2Freshwater"/>
    <s v="Salmon"/>
    <s v="788"/>
    <s v="Nooksack River"/>
    <s v="Nooksack River"/>
    <s v="Whatcom"/>
    <x v="1"/>
    <s v="Whatcom"/>
    <s v="01Whatcom"/>
    <s v="01North Puget Sound"/>
    <n v="2244.8592592592599"/>
    <n v="7722.3158518518539"/>
  </r>
  <r>
    <n v="1260"/>
    <x v="3"/>
    <x v="1"/>
    <x v="3"/>
    <s v="Freshwater"/>
    <s v="2Freshwater"/>
    <s v="Salmon"/>
    <s v="788"/>
    <s v="Nooksack River"/>
    <s v="Nooksack River"/>
    <s v="Whatcom"/>
    <x v="1"/>
    <s v="Other"/>
    <s v="20Other"/>
    <s v="07Non Puget Sound"/>
    <n v="19.826086956521699"/>
    <n v="68.201739130434646"/>
  </r>
  <r>
    <n v="1261"/>
    <x v="3"/>
    <x v="1"/>
    <x v="3"/>
    <s v="Freshwater"/>
    <s v="2Freshwater"/>
    <s v="Salmon"/>
    <s v="788"/>
    <s v="Nooksack River"/>
    <s v="Nooksack River"/>
    <s v="Whatcom"/>
    <x v="1"/>
    <s v="Whatcom"/>
    <s v="01Whatcom"/>
    <s v="01North Puget Sound"/>
    <n v="892.17391304347802"/>
    <n v="3069.0782608695645"/>
  </r>
  <r>
    <n v="1262"/>
    <x v="3"/>
    <x v="2"/>
    <x v="3"/>
    <s v="Freshwater"/>
    <s v="2Freshwater"/>
    <s v="Salmon"/>
    <s v="788"/>
    <s v="Nooksack River"/>
    <s v="Nooksack River"/>
    <s v="Whatcom"/>
    <x v="1"/>
    <s v="Kitsap"/>
    <s v="10Kitsap"/>
    <s v="02South Puget Sound"/>
    <n v="9.1917098445595897"/>
    <n v="31.619481865284989"/>
  </r>
  <r>
    <n v="1263"/>
    <x v="3"/>
    <x v="2"/>
    <x v="3"/>
    <s v="Freshwater"/>
    <s v="2Freshwater"/>
    <s v="Salmon"/>
    <s v="788"/>
    <s v="Nooksack River"/>
    <s v="Nooksack River"/>
    <s v="Whatcom"/>
    <x v="1"/>
    <s v="Other"/>
    <s v="20Other"/>
    <s v="07Non Puget Sound"/>
    <n v="27.575129533678801"/>
    <n v="94.858445595855073"/>
  </r>
  <r>
    <n v="1264"/>
    <x v="3"/>
    <x v="2"/>
    <x v="3"/>
    <s v="Freshwater"/>
    <s v="2Freshwater"/>
    <s v="Salmon"/>
    <s v="788"/>
    <s v="Nooksack River"/>
    <s v="Nooksack River"/>
    <s v="Whatcom"/>
    <x v="1"/>
    <s v="Skagit"/>
    <s v="02Skagit"/>
    <s v="01North Puget Sound"/>
    <n v="18.383419689119201"/>
    <n v="63.238963730570049"/>
  </r>
  <r>
    <n v="1265"/>
    <x v="3"/>
    <x v="2"/>
    <x v="3"/>
    <s v="Freshwater"/>
    <s v="2Freshwater"/>
    <s v="Salmon"/>
    <s v="788"/>
    <s v="Nooksack River"/>
    <s v="Nooksack River"/>
    <s v="Whatcom"/>
    <x v="1"/>
    <s v="Whatcom"/>
    <s v="01Whatcom"/>
    <s v="01North Puget Sound"/>
    <n v="1718.8497409326401"/>
    <n v="5912.8431088082816"/>
  </r>
  <r>
    <n v="1266"/>
    <x v="3"/>
    <x v="3"/>
    <x v="3"/>
    <s v="Freshwater"/>
    <s v="2Freshwater"/>
    <s v="Salmon"/>
    <s v="788"/>
    <s v="Nooksack River"/>
    <s v="Nooksack River"/>
    <s v="Whatcom"/>
    <x v="1"/>
    <s v="Island"/>
    <s v="04Island"/>
    <s v="01North Puget Sound"/>
    <n v="117.4"/>
    <n v="403.85599999999999"/>
  </r>
  <r>
    <n v="1267"/>
    <x v="3"/>
    <x v="3"/>
    <x v="3"/>
    <s v="Freshwater"/>
    <s v="2Freshwater"/>
    <s v="Salmon"/>
    <s v="788"/>
    <s v="Nooksack River"/>
    <s v="Nooksack River"/>
    <s v="Whatcom"/>
    <x v="1"/>
    <s v="Other"/>
    <s v="20Other"/>
    <s v="07Non Puget Sound"/>
    <n v="27.092307692307699"/>
    <n v="93.197538461538485"/>
  </r>
  <r>
    <n v="1268"/>
    <x v="3"/>
    <x v="3"/>
    <x v="3"/>
    <s v="Freshwater"/>
    <s v="2Freshwater"/>
    <s v="Salmon"/>
    <s v="788"/>
    <s v="Nooksack River"/>
    <s v="Nooksack River"/>
    <s v="Whatcom"/>
    <x v="1"/>
    <s v="Skagit"/>
    <s v="02Skagit"/>
    <s v="01North Puget Sound"/>
    <n v="9.0307692307692307"/>
    <n v="31.065846153846152"/>
  </r>
  <r>
    <n v="1269"/>
    <x v="3"/>
    <x v="3"/>
    <x v="3"/>
    <s v="Freshwater"/>
    <s v="2Freshwater"/>
    <s v="Salmon"/>
    <s v="788"/>
    <s v="Nooksack River"/>
    <s v="Nooksack River"/>
    <s v="Whatcom"/>
    <x v="1"/>
    <s v="Thurston"/>
    <s v="08Thurston"/>
    <s v="02South Puget Sound"/>
    <n v="9.0307692307692307"/>
    <n v="31.065846153846152"/>
  </r>
  <r>
    <n v="1270"/>
    <x v="3"/>
    <x v="3"/>
    <x v="3"/>
    <s v="Freshwater"/>
    <s v="2Freshwater"/>
    <s v="Salmon"/>
    <s v="788"/>
    <s v="Nooksack River"/>
    <s v="Nooksack River"/>
    <s v="Whatcom"/>
    <x v="1"/>
    <s v="Whatcom"/>
    <s v="01Whatcom"/>
    <s v="01North Puget Sound"/>
    <n v="424.446153846154"/>
    <n v="1460.0947692307698"/>
  </r>
  <r>
    <n v="1271"/>
    <x v="3"/>
    <x v="4"/>
    <x v="3"/>
    <s v="Freshwater"/>
    <s v="2Freshwater"/>
    <s v="Salmon"/>
    <s v="788"/>
    <s v="Nooksack River"/>
    <s v="Nooksack River"/>
    <s v="Whatcom"/>
    <x v="1"/>
    <s v="Whatcom"/>
    <s v="01Whatcom"/>
    <s v="01North Puget Sound"/>
    <n v="27"/>
    <n v="92.88"/>
  </r>
  <r>
    <n v="1272"/>
    <x v="3"/>
    <x v="0"/>
    <x v="3"/>
    <s v="Freshwater"/>
    <s v="2Freshwater"/>
    <s v="Salmon"/>
    <s v="8"/>
    <s v="Unknown"/>
    <s v="Unknown"/>
    <s v="NA"/>
    <x v="5"/>
    <s v="Other"/>
    <s v="20Other"/>
    <s v="07Non Puget Sound"/>
    <n v="0"/>
    <n v="0"/>
  </r>
  <r>
    <n v="1273"/>
    <x v="3"/>
    <x v="1"/>
    <x v="3"/>
    <s v="Freshwater"/>
    <s v="2Freshwater"/>
    <s v="Salmon"/>
    <s v="8"/>
    <s v="Unknown"/>
    <s v="Unknown"/>
    <s v="NA"/>
    <x v="5"/>
    <s v="Other"/>
    <s v="20Other"/>
    <s v="07Non Puget Sound"/>
    <n v="0"/>
    <n v="0"/>
  </r>
  <r>
    <n v="1274"/>
    <x v="3"/>
    <x v="0"/>
    <x v="3"/>
    <s v="Freshwater"/>
    <s v="2Freshwater"/>
    <s v="Salmon"/>
    <s v="802"/>
    <s v="Carbon River"/>
    <s v="Carbon River"/>
    <s v="Pierce"/>
    <x v="0"/>
    <s v="King"/>
    <s v="06King"/>
    <s v="02South Puget Sound"/>
    <n v="45.384615384615401"/>
    <n v="156.12307692307698"/>
  </r>
  <r>
    <n v="1275"/>
    <x v="3"/>
    <x v="0"/>
    <x v="3"/>
    <s v="Freshwater"/>
    <s v="2Freshwater"/>
    <s v="Salmon"/>
    <s v="802"/>
    <s v="Carbon River"/>
    <s v="Carbon River"/>
    <s v="Pierce"/>
    <x v="0"/>
    <s v="Kitsap"/>
    <s v="10Kitsap"/>
    <s v="02South Puget Sound"/>
    <n v="36.307692307692299"/>
    <n v="124.8984615384615"/>
  </r>
  <r>
    <n v="1276"/>
    <x v="3"/>
    <x v="0"/>
    <x v="3"/>
    <s v="Freshwater"/>
    <s v="2Freshwater"/>
    <s v="Salmon"/>
    <s v="802"/>
    <s v="Carbon River"/>
    <s v="Carbon River"/>
    <s v="Pierce"/>
    <x v="0"/>
    <s v="Other"/>
    <s v="20Other"/>
    <s v="07Non Puget Sound"/>
    <n v="45.384615384615401"/>
    <n v="156.12307692307698"/>
  </r>
  <r>
    <n v="1277"/>
    <x v="3"/>
    <x v="0"/>
    <x v="3"/>
    <s v="Freshwater"/>
    <s v="2Freshwater"/>
    <s v="Salmon"/>
    <s v="802"/>
    <s v="Carbon River"/>
    <s v="Carbon River"/>
    <s v="Pierce"/>
    <x v="0"/>
    <s v="Pierce"/>
    <s v="07Pierce"/>
    <s v="02South Puget Sound"/>
    <n v="344.92307692307702"/>
    <n v="1186.5353846153848"/>
  </r>
  <r>
    <n v="1278"/>
    <x v="3"/>
    <x v="1"/>
    <x v="3"/>
    <s v="Freshwater"/>
    <s v="2Freshwater"/>
    <s v="Salmon"/>
    <s v="802"/>
    <s v="Carbon River"/>
    <s v="Carbon River"/>
    <s v="Pierce"/>
    <x v="0"/>
    <s v="Island"/>
    <s v="04Island"/>
    <s v="01North Puget Sound"/>
    <n v="18.283822138126801"/>
    <n v="62.896348155156197"/>
  </r>
  <r>
    <n v="1279"/>
    <x v="3"/>
    <x v="1"/>
    <x v="3"/>
    <s v="Freshwater"/>
    <s v="2Freshwater"/>
    <s v="Salmon"/>
    <s v="802"/>
    <s v="Carbon River"/>
    <s v="Carbon River"/>
    <s v="Pierce"/>
    <x v="0"/>
    <s v="King"/>
    <s v="06King"/>
    <s v="02South Puget Sound"/>
    <n v="612.50804162724705"/>
    <n v="2107.0276631977299"/>
  </r>
  <r>
    <n v="1280"/>
    <x v="3"/>
    <x v="1"/>
    <x v="3"/>
    <s v="Freshwater"/>
    <s v="2Freshwater"/>
    <s v="Salmon"/>
    <s v="802"/>
    <s v="Carbon River"/>
    <s v="Carbon River"/>
    <s v="Pierce"/>
    <x v="0"/>
    <s v="Kitsap"/>
    <s v="10Kitsap"/>
    <s v="02South Puget Sound"/>
    <n v="137.128666035951"/>
    <n v="471.72261116367144"/>
  </r>
  <r>
    <n v="1281"/>
    <x v="3"/>
    <x v="1"/>
    <x v="3"/>
    <s v="Freshwater"/>
    <s v="2Freshwater"/>
    <s v="Salmon"/>
    <s v="802"/>
    <s v="Carbon River"/>
    <s v="Carbon River"/>
    <s v="Pierce"/>
    <x v="0"/>
    <s v="Other"/>
    <s v="20Other"/>
    <s v="07Non Puget Sound"/>
    <n v="521.088930936613"/>
    <n v="1792.5459224219487"/>
  </r>
  <r>
    <n v="1282"/>
    <x v="3"/>
    <x v="1"/>
    <x v="3"/>
    <s v="Freshwater"/>
    <s v="2Freshwater"/>
    <s v="Salmon"/>
    <s v="802"/>
    <s v="Carbon River"/>
    <s v="Carbon River"/>
    <s v="Pierce"/>
    <x v="0"/>
    <s v="Pierce"/>
    <s v="07Pierce"/>
    <s v="02South Puget Sound"/>
    <n v="7953.4626300851496"/>
    <n v="27359.911447492916"/>
  </r>
  <r>
    <n v="1283"/>
    <x v="3"/>
    <x v="1"/>
    <x v="3"/>
    <s v="Freshwater"/>
    <s v="2Freshwater"/>
    <s v="Salmon"/>
    <s v="802"/>
    <s v="Carbon River"/>
    <s v="Carbon River"/>
    <s v="Pierce"/>
    <x v="0"/>
    <s v="Snohomish"/>
    <s v="03Snohomish"/>
    <s v="01North Puget Sound"/>
    <n v="210.26395458845801"/>
    <n v="723.30800378429558"/>
  </r>
  <r>
    <n v="1284"/>
    <x v="3"/>
    <x v="1"/>
    <x v="3"/>
    <s v="Freshwater"/>
    <s v="2Freshwater"/>
    <s v="Salmon"/>
    <s v="802"/>
    <s v="Carbon River"/>
    <s v="Carbon River"/>
    <s v="Pierce"/>
    <x v="0"/>
    <s v="Thurston"/>
    <s v="08Thurston"/>
    <s v="02South Puget Sound"/>
    <n v="164.55439924314101"/>
    <n v="566.0671333964051"/>
  </r>
  <r>
    <n v="1285"/>
    <x v="3"/>
    <x v="1"/>
    <x v="3"/>
    <s v="Freshwater"/>
    <s v="2Freshwater"/>
    <s v="Salmon"/>
    <s v="802"/>
    <s v="Carbon River"/>
    <s v="Carbon River"/>
    <s v="Pierce"/>
    <x v="0"/>
    <s v="Whatcom"/>
    <s v="01Whatcom"/>
    <s v="01North Puget Sound"/>
    <n v="45.7095553453169"/>
    <n v="157.24087038789014"/>
  </r>
  <r>
    <n v="1286"/>
    <x v="3"/>
    <x v="2"/>
    <x v="3"/>
    <s v="Freshwater"/>
    <s v="2Freshwater"/>
    <s v="Salmon"/>
    <s v="802"/>
    <s v="Carbon River"/>
    <s v="Carbon River"/>
    <s v="Pierce"/>
    <x v="0"/>
    <s v="King"/>
    <s v="06King"/>
    <s v="02South Puget Sound"/>
    <n v="164.142857142857"/>
    <n v="564.65142857142803"/>
  </r>
  <r>
    <n v="1287"/>
    <x v="3"/>
    <x v="2"/>
    <x v="3"/>
    <s v="Freshwater"/>
    <s v="2Freshwater"/>
    <s v="Salmon"/>
    <s v="802"/>
    <s v="Carbon River"/>
    <s v="Carbon River"/>
    <s v="Pierce"/>
    <x v="0"/>
    <s v="Other"/>
    <s v="20Other"/>
    <s v="07Non Puget Sound"/>
    <n v="18.238095238095202"/>
    <n v="62.73904761904749"/>
  </r>
  <r>
    <n v="1288"/>
    <x v="3"/>
    <x v="2"/>
    <x v="3"/>
    <s v="Freshwater"/>
    <s v="2Freshwater"/>
    <s v="Salmon"/>
    <s v="802"/>
    <s v="Carbon River"/>
    <s v="Carbon River"/>
    <s v="Pierce"/>
    <x v="0"/>
    <s v="Pierce"/>
    <s v="07Pierce"/>
    <s v="02South Puget Sound"/>
    <n v="939.26190476190504"/>
    <n v="3231.0609523809535"/>
  </r>
  <r>
    <n v="1289"/>
    <x v="3"/>
    <x v="2"/>
    <x v="3"/>
    <s v="Freshwater"/>
    <s v="2Freshwater"/>
    <s v="Salmon"/>
    <s v="802"/>
    <s v="Carbon River"/>
    <s v="Carbon River"/>
    <s v="Pierce"/>
    <x v="0"/>
    <s v="Snohomish"/>
    <s v="03Snohomish"/>
    <s v="01North Puget Sound"/>
    <n v="27.3571428571429"/>
    <n v="94.10857142857158"/>
  </r>
  <r>
    <n v="1290"/>
    <x v="3"/>
    <x v="3"/>
    <x v="3"/>
    <s v="Freshwater"/>
    <s v="2Freshwater"/>
    <s v="Salmon"/>
    <s v="802"/>
    <s v="Carbon River"/>
    <s v="Carbon River"/>
    <s v="Pierce"/>
    <x v="0"/>
    <s v="Pierce"/>
    <s v="07Pierce"/>
    <s v="02South Puget Sound"/>
    <n v="83"/>
    <n v="285.52"/>
  </r>
  <r>
    <n v="1291"/>
    <x v="3"/>
    <x v="5"/>
    <x v="3"/>
    <s v="Freshwater"/>
    <s v="2Freshwater"/>
    <s v="Salmon"/>
    <s v="804"/>
    <s v="Puyallup River"/>
    <s v="Puyallup River"/>
    <s v="Pierce"/>
    <x v="0"/>
    <s v="King"/>
    <s v="06King"/>
    <s v="02South Puget Sound"/>
    <n v="163.88372093023301"/>
    <n v="563.76000000000158"/>
  </r>
  <r>
    <n v="1292"/>
    <x v="3"/>
    <x v="5"/>
    <x v="3"/>
    <s v="Freshwater"/>
    <s v="2Freshwater"/>
    <s v="Salmon"/>
    <s v="804"/>
    <s v="Puyallup River"/>
    <s v="Puyallup River"/>
    <s v="Pierce"/>
    <x v="0"/>
    <s v="Pierce"/>
    <s v="07Pierce"/>
    <s v="02South Puget Sound"/>
    <n v="555.38372093023304"/>
    <n v="1910.5200000000016"/>
  </r>
  <r>
    <n v="1293"/>
    <x v="3"/>
    <x v="5"/>
    <x v="3"/>
    <s v="Freshwater"/>
    <s v="2Freshwater"/>
    <s v="Salmon"/>
    <s v="804"/>
    <s v="Puyallup River"/>
    <s v="Puyallup River"/>
    <s v="Pierce"/>
    <x v="0"/>
    <s v="Thurston"/>
    <s v="08Thurston"/>
    <s v="02South Puget Sound"/>
    <n v="63.732558139534902"/>
    <n v="219.24000000000007"/>
  </r>
  <r>
    <n v="1294"/>
    <x v="3"/>
    <x v="0"/>
    <x v="3"/>
    <s v="Freshwater"/>
    <s v="2Freshwater"/>
    <s v="Salmon"/>
    <s v="804"/>
    <s v="Puyallup River"/>
    <s v="Puyallup River"/>
    <s v="Pierce"/>
    <x v="0"/>
    <s v="Island"/>
    <s v="04Island"/>
    <s v="01North Puget Sound"/>
    <n v="91.168762174606002"/>
    <n v="313.62054188064462"/>
  </r>
  <r>
    <n v="1295"/>
    <x v="3"/>
    <x v="0"/>
    <x v="3"/>
    <s v="Freshwater"/>
    <s v="2Freshwater"/>
    <s v="Salmon"/>
    <s v="804"/>
    <s v="Puyallup River"/>
    <s v="Puyallup River"/>
    <s v="Pierce"/>
    <x v="0"/>
    <s v="Jefferson"/>
    <s v="12Jefferson"/>
    <s v="03Strait of Juan de Fuca"/>
    <n v="45.584381087303001"/>
    <n v="156.81027094032231"/>
  </r>
  <r>
    <n v="1296"/>
    <x v="3"/>
    <x v="0"/>
    <x v="3"/>
    <s v="Freshwater"/>
    <s v="2Freshwater"/>
    <s v="Salmon"/>
    <s v="804"/>
    <s v="Puyallup River"/>
    <s v="Puyallup River"/>
    <s v="Pierce"/>
    <x v="0"/>
    <s v="King"/>
    <s v="06King"/>
    <s v="02South Puget Sound"/>
    <n v="32000.235523286701"/>
    <n v="110080.81020010625"/>
  </r>
  <r>
    <n v="1297"/>
    <x v="3"/>
    <x v="0"/>
    <x v="3"/>
    <s v="Freshwater"/>
    <s v="2Freshwater"/>
    <s v="Salmon"/>
    <s v="804"/>
    <s v="Puyallup River"/>
    <s v="Puyallup River"/>
    <s v="Pierce"/>
    <x v="0"/>
    <s v="Kitsap"/>
    <s v="10Kitsap"/>
    <s v="02South Puget Sound"/>
    <n v="1057.55764122543"/>
    <n v="3637.998285815479"/>
  </r>
  <r>
    <n v="1298"/>
    <x v="3"/>
    <x v="0"/>
    <x v="3"/>
    <s v="Freshwater"/>
    <s v="2Freshwater"/>
    <s v="Salmon"/>
    <s v="804"/>
    <s v="Puyallup River"/>
    <s v="Puyallup River"/>
    <s v="Pierce"/>
    <x v="0"/>
    <s v="Mason"/>
    <s v="09Mason"/>
    <s v="02South Puget Sound"/>
    <n v="392.02567735080601"/>
    <n v="1348.5683300867727"/>
  </r>
  <r>
    <n v="1299"/>
    <x v="3"/>
    <x v="0"/>
    <x v="3"/>
    <s v="Freshwater"/>
    <s v="2Freshwater"/>
    <s v="Salmon"/>
    <s v="804"/>
    <s v="Puyallup River"/>
    <s v="Puyallup River"/>
    <s v="Pierce"/>
    <x v="0"/>
    <s v="Other"/>
    <s v="20Other"/>
    <s v="07Non Puget Sound"/>
    <n v="5369.8400920842896"/>
    <n v="18472.249916769957"/>
  </r>
  <r>
    <n v="1300"/>
    <x v="3"/>
    <x v="0"/>
    <x v="3"/>
    <s v="Freshwater"/>
    <s v="2Freshwater"/>
    <s v="Salmon"/>
    <s v="804"/>
    <s v="Puyallup River"/>
    <s v="Puyallup River"/>
    <s v="Pierce"/>
    <x v="0"/>
    <s v="Pierce"/>
    <s v="07Pierce"/>
    <s v="02South Puget Sound"/>
    <n v="56971.359482911299"/>
    <n v="195981.47662121485"/>
  </r>
  <r>
    <n v="1301"/>
    <x v="3"/>
    <x v="0"/>
    <x v="3"/>
    <s v="Freshwater"/>
    <s v="2Freshwater"/>
    <s v="Salmon"/>
    <s v="804"/>
    <s v="Puyallup River"/>
    <s v="Puyallup River"/>
    <s v="Pierce"/>
    <x v="0"/>
    <s v="Snohomish"/>
    <s v="03Snohomish"/>
    <s v="01North Puget Sound"/>
    <n v="1276.36267044448"/>
    <n v="4390.6875863290115"/>
  </r>
  <r>
    <n v="1302"/>
    <x v="3"/>
    <x v="0"/>
    <x v="3"/>
    <s v="Freshwater"/>
    <s v="2Freshwater"/>
    <s v="Salmon"/>
    <s v="804"/>
    <s v="Puyallup River"/>
    <s v="Puyallup River"/>
    <s v="Pierce"/>
    <x v="0"/>
    <s v="Thurston"/>
    <s v="08Thurston"/>
    <s v="02South Puget Sound"/>
    <n v="5752.7488932176402"/>
    <n v="19789.456192668684"/>
  </r>
  <r>
    <n v="1303"/>
    <x v="3"/>
    <x v="0"/>
    <x v="3"/>
    <s v="Freshwater"/>
    <s v="2Freshwater"/>
    <s v="Salmon"/>
    <s v="804"/>
    <s v="Puyallup River"/>
    <s v="Puyallup River"/>
    <s v="Pierce"/>
    <x v="0"/>
    <s v="Whatcom"/>
    <s v="01Whatcom"/>
    <s v="01North Puget Sound"/>
    <n v="9.1168762174606002"/>
    <n v="31.362054188064466"/>
  </r>
  <r>
    <n v="1304"/>
    <x v="3"/>
    <x v="1"/>
    <x v="3"/>
    <s v="Freshwater"/>
    <s v="2Freshwater"/>
    <s v="Salmon"/>
    <s v="804"/>
    <s v="Puyallup River"/>
    <s v="Puyallup River"/>
    <s v="Pierce"/>
    <x v="0"/>
    <s v="Island"/>
    <s v="04Island"/>
    <s v="01North Puget Sound"/>
    <n v="81.969323509711998"/>
    <n v="281.9744728734093"/>
  </r>
  <r>
    <n v="1305"/>
    <x v="3"/>
    <x v="1"/>
    <x v="3"/>
    <s v="Freshwater"/>
    <s v="2Freshwater"/>
    <s v="Salmon"/>
    <s v="804"/>
    <s v="Puyallup River"/>
    <s v="Puyallup River"/>
    <s v="Pierce"/>
    <x v="0"/>
    <s v="King"/>
    <s v="06King"/>
    <s v="02South Puget Sound"/>
    <n v="22313.871399865999"/>
    <n v="76759.717615539033"/>
  </r>
  <r>
    <n v="1306"/>
    <x v="3"/>
    <x v="1"/>
    <x v="3"/>
    <s v="Freshwater"/>
    <s v="2Freshwater"/>
    <s v="Salmon"/>
    <s v="804"/>
    <s v="Puyallup River"/>
    <s v="Puyallup River"/>
    <s v="Pierce"/>
    <x v="0"/>
    <s v="Kitsap"/>
    <s v="10Kitsap"/>
    <s v="02South Puget Sound"/>
    <n v="1475.4478231748201"/>
    <n v="5075.5405117213813"/>
  </r>
  <r>
    <n v="1307"/>
    <x v="3"/>
    <x v="1"/>
    <x v="3"/>
    <s v="Freshwater"/>
    <s v="2Freshwater"/>
    <s v="Salmon"/>
    <s v="804"/>
    <s v="Puyallup River"/>
    <s v="Puyallup River"/>
    <s v="Pierce"/>
    <x v="0"/>
    <s v="Mason"/>
    <s v="09Mason"/>
    <s v="02South Puget Sound"/>
    <n v="391.63121232418001"/>
    <n v="1347.2113703951793"/>
  </r>
  <r>
    <n v="1308"/>
    <x v="3"/>
    <x v="1"/>
    <x v="3"/>
    <s v="Freshwater"/>
    <s v="2Freshwater"/>
    <s v="Salmon"/>
    <s v="804"/>
    <s v="Puyallup River"/>
    <s v="Puyallup River"/>
    <s v="Pierce"/>
    <x v="0"/>
    <s v="Other"/>
    <s v="20Other"/>
    <s v="07Non Puget Sound"/>
    <n v="3187.6959142665801"/>
    <n v="10965.673945077035"/>
  </r>
  <r>
    <n v="1309"/>
    <x v="3"/>
    <x v="1"/>
    <x v="3"/>
    <s v="Freshwater"/>
    <s v="2Freshwater"/>
    <s v="Salmon"/>
    <s v="804"/>
    <s v="Puyallup River"/>
    <s v="Puyallup River"/>
    <s v="Pierce"/>
    <x v="0"/>
    <s v="Pierce"/>
    <s v="07Pierce"/>
    <s v="02South Puget Sound"/>
    <n v="37250.503683857998"/>
    <n v="128141.73267247151"/>
  </r>
  <r>
    <n v="1310"/>
    <x v="3"/>
    <x v="1"/>
    <x v="3"/>
    <s v="Freshwater"/>
    <s v="2Freshwater"/>
    <s v="Salmon"/>
    <s v="804"/>
    <s v="Puyallup River"/>
    <s v="Puyallup River"/>
    <s v="Pierce"/>
    <x v="0"/>
    <s v="Snohomish"/>
    <s v="03Snohomish"/>
    <s v="01North Puget Sound"/>
    <n v="810.58553248493001"/>
    <n v="2788.4142317481592"/>
  </r>
  <r>
    <n v="1311"/>
    <x v="3"/>
    <x v="1"/>
    <x v="3"/>
    <s v="Freshwater"/>
    <s v="2Freshwater"/>
    <s v="Salmon"/>
    <s v="804"/>
    <s v="Puyallup River"/>
    <s v="Puyallup River"/>
    <s v="Pierce"/>
    <x v="0"/>
    <s v="Thurston"/>
    <s v="08Thurston"/>
    <s v="02South Puget Sound"/>
    <n v="2477.2951105157399"/>
    <n v="8521.8951801741459"/>
  </r>
  <r>
    <n v="1312"/>
    <x v="3"/>
    <x v="2"/>
    <x v="3"/>
    <s v="Freshwater"/>
    <s v="2Freshwater"/>
    <s v="Salmon"/>
    <s v="804"/>
    <s v="Puyallup River"/>
    <s v="Puyallup River"/>
    <s v="Pierce"/>
    <x v="0"/>
    <s v="Island"/>
    <s v="04Island"/>
    <s v="01North Puget Sound"/>
    <n v="27.4"/>
    <n v="94.256"/>
  </r>
  <r>
    <n v="1313"/>
    <x v="3"/>
    <x v="2"/>
    <x v="3"/>
    <s v="Freshwater"/>
    <s v="2Freshwater"/>
    <s v="Salmon"/>
    <s v="804"/>
    <s v="Puyallup River"/>
    <s v="Puyallup River"/>
    <s v="Pierce"/>
    <x v="0"/>
    <s v="King"/>
    <s v="06King"/>
    <s v="02South Puget Sound"/>
    <n v="465.8"/>
    <n v="1602.3520000000001"/>
  </r>
  <r>
    <n v="1314"/>
    <x v="3"/>
    <x v="2"/>
    <x v="3"/>
    <s v="Freshwater"/>
    <s v="2Freshwater"/>
    <s v="Salmon"/>
    <s v="804"/>
    <s v="Puyallup River"/>
    <s v="Puyallup River"/>
    <s v="Pierce"/>
    <x v="0"/>
    <s v="Mason"/>
    <s v="09Mason"/>
    <s v="02South Puget Sound"/>
    <n v="18.266666666666701"/>
    <n v="62.837333333333454"/>
  </r>
  <r>
    <n v="1315"/>
    <x v="3"/>
    <x v="2"/>
    <x v="3"/>
    <s v="Freshwater"/>
    <s v="2Freshwater"/>
    <s v="Salmon"/>
    <s v="804"/>
    <s v="Puyallup River"/>
    <s v="Puyallup River"/>
    <s v="Pierce"/>
    <x v="0"/>
    <s v="Other"/>
    <s v="20Other"/>
    <s v="07Non Puget Sound"/>
    <n v="82.2"/>
    <n v="282.76800000000003"/>
  </r>
  <r>
    <n v="1316"/>
    <x v="3"/>
    <x v="2"/>
    <x v="3"/>
    <s v="Freshwater"/>
    <s v="2Freshwater"/>
    <s v="Salmon"/>
    <s v="804"/>
    <s v="Puyallup River"/>
    <s v="Puyallup River"/>
    <s v="Pierce"/>
    <x v="0"/>
    <s v="Pierce"/>
    <s v="07Pierce"/>
    <s v="02South Puget Sound"/>
    <n v="1269.5333333333299"/>
    <n v="4367.1946666666545"/>
  </r>
  <r>
    <n v="1317"/>
    <x v="3"/>
    <x v="2"/>
    <x v="3"/>
    <s v="Freshwater"/>
    <s v="2Freshwater"/>
    <s v="Salmon"/>
    <s v="804"/>
    <s v="Puyallup River"/>
    <s v="Puyallup River"/>
    <s v="Pierce"/>
    <x v="0"/>
    <s v="Snohomish"/>
    <s v="03Snohomish"/>
    <s v="01North Puget Sound"/>
    <n v="45.6666666666667"/>
    <n v="157.09333333333345"/>
  </r>
  <r>
    <n v="1318"/>
    <x v="3"/>
    <x v="2"/>
    <x v="3"/>
    <s v="Freshwater"/>
    <s v="2Freshwater"/>
    <s v="Salmon"/>
    <s v="804"/>
    <s v="Puyallup River"/>
    <s v="Puyallup River"/>
    <s v="Pierce"/>
    <x v="0"/>
    <s v="Thurston"/>
    <s v="08Thurston"/>
    <s v="02South Puget Sound"/>
    <n v="9.13333333333334"/>
    <n v="31.418666666666688"/>
  </r>
  <r>
    <n v="1319"/>
    <x v="3"/>
    <x v="3"/>
    <x v="3"/>
    <s v="Freshwater"/>
    <s v="2Freshwater"/>
    <s v="Salmon"/>
    <s v="804"/>
    <s v="Puyallup River"/>
    <s v="Puyallup River"/>
    <s v="Pierce"/>
    <x v="0"/>
    <s v="King"/>
    <s v="06King"/>
    <s v="02South Puget Sound"/>
    <n v="63.098591549295797"/>
    <n v="217.05915492957755"/>
  </r>
  <r>
    <n v="1320"/>
    <x v="3"/>
    <x v="3"/>
    <x v="3"/>
    <s v="Freshwater"/>
    <s v="2Freshwater"/>
    <s v="Salmon"/>
    <s v="804"/>
    <s v="Puyallup River"/>
    <s v="Puyallup River"/>
    <s v="Pierce"/>
    <x v="0"/>
    <s v="Other"/>
    <s v="20Other"/>
    <s v="07Non Puget Sound"/>
    <n v="9.0140845070422593"/>
    <n v="31.008450704225371"/>
  </r>
  <r>
    <n v="1321"/>
    <x v="3"/>
    <x v="3"/>
    <x v="3"/>
    <s v="Freshwater"/>
    <s v="2Freshwater"/>
    <s v="Salmon"/>
    <s v="804"/>
    <s v="Puyallup River"/>
    <s v="Puyallup River"/>
    <s v="Pierce"/>
    <x v="0"/>
    <s v="Pierce"/>
    <s v="07Pierce"/>
    <s v="02South Puget Sound"/>
    <n v="495.77464788732402"/>
    <n v="1705.4647887323947"/>
  </r>
  <r>
    <n v="1322"/>
    <x v="3"/>
    <x v="3"/>
    <x v="3"/>
    <s v="Freshwater"/>
    <s v="2Freshwater"/>
    <s v="Salmon"/>
    <s v="804"/>
    <s v="Puyallup River"/>
    <s v="Puyallup River"/>
    <s v="Pierce"/>
    <x v="0"/>
    <s v="Snohomish"/>
    <s v="03Snohomish"/>
    <s v="01North Puget Sound"/>
    <n v="18.028169014084501"/>
    <n v="62.016901408450678"/>
  </r>
  <r>
    <n v="1323"/>
    <x v="3"/>
    <x v="3"/>
    <x v="3"/>
    <s v="Freshwater"/>
    <s v="2Freshwater"/>
    <s v="Salmon"/>
    <s v="804"/>
    <s v="Puyallup River"/>
    <s v="Puyallup River"/>
    <s v="Pierce"/>
    <x v="0"/>
    <s v="Thurston"/>
    <s v="08Thurston"/>
    <s v="02South Puget Sound"/>
    <n v="54.084507042253499"/>
    <n v="186.05070422535204"/>
  </r>
  <r>
    <n v="1324"/>
    <x v="3"/>
    <x v="4"/>
    <x v="3"/>
    <s v="Freshwater"/>
    <s v="2Freshwater"/>
    <s v="Salmon"/>
    <s v="804"/>
    <s v="Puyallup River"/>
    <s v="Puyallup River"/>
    <s v="Pierce"/>
    <x v="0"/>
    <s v="King"/>
    <s v="06King"/>
    <s v="02South Puget Sound"/>
    <n v="27.214285714285701"/>
    <n v="93.617142857142809"/>
  </r>
  <r>
    <n v="1325"/>
    <x v="3"/>
    <x v="4"/>
    <x v="3"/>
    <s v="Freshwater"/>
    <s v="2Freshwater"/>
    <s v="Salmon"/>
    <s v="804"/>
    <s v="Puyallup River"/>
    <s v="Puyallup River"/>
    <s v="Pierce"/>
    <x v="0"/>
    <s v="Pierce"/>
    <s v="07Pierce"/>
    <s v="02South Puget Sound"/>
    <n v="90.714285714285694"/>
    <n v="312.05714285714276"/>
  </r>
  <r>
    <n v="1326"/>
    <x v="3"/>
    <x v="4"/>
    <x v="3"/>
    <s v="Freshwater"/>
    <s v="2Freshwater"/>
    <s v="Salmon"/>
    <s v="804"/>
    <s v="Puyallup River"/>
    <s v="Puyallup River"/>
    <s v="Pierce"/>
    <x v="0"/>
    <s v="Snohomish"/>
    <s v="03Snohomish"/>
    <s v="01North Puget Sound"/>
    <n v="9.0714285714285694"/>
    <n v="31.205714285714279"/>
  </r>
  <r>
    <n v="1327"/>
    <x v="3"/>
    <x v="0"/>
    <x v="3"/>
    <s v="Freshwater"/>
    <s v="2Freshwater"/>
    <s v="Salmon"/>
    <s v="812"/>
    <s v="Quilcene River"/>
    <s v="Quilcene River"/>
    <s v="Jefferson"/>
    <x v="2"/>
    <s v="Clallam"/>
    <s v="11Clallam"/>
    <s v="03Strait of Juan de Fuca"/>
    <n v="352.45643153526999"/>
    <n v="1212.4501244813287"/>
  </r>
  <r>
    <n v="1328"/>
    <x v="3"/>
    <x v="0"/>
    <x v="3"/>
    <s v="Freshwater"/>
    <s v="2Freshwater"/>
    <s v="Salmon"/>
    <s v="812"/>
    <s v="Quilcene River"/>
    <s v="Quilcene River"/>
    <s v="Jefferson"/>
    <x v="2"/>
    <s v="Jefferson"/>
    <s v="12Jefferson"/>
    <s v="03Strait of Juan de Fuca"/>
    <n v="515.12863070539402"/>
    <n v="1772.0424896265554"/>
  </r>
  <r>
    <n v="1329"/>
    <x v="3"/>
    <x v="0"/>
    <x v="3"/>
    <s v="Freshwater"/>
    <s v="2Freshwater"/>
    <s v="Salmon"/>
    <s v="812"/>
    <s v="Quilcene River"/>
    <s v="Quilcene River"/>
    <s v="Jefferson"/>
    <x v="2"/>
    <s v="King"/>
    <s v="06King"/>
    <s v="02South Puget Sound"/>
    <n v="144.59751037344401"/>
    <n v="497.41543568464738"/>
  </r>
  <r>
    <n v="1330"/>
    <x v="3"/>
    <x v="0"/>
    <x v="3"/>
    <s v="Freshwater"/>
    <s v="2Freshwater"/>
    <s v="Salmon"/>
    <s v="812"/>
    <s v="Quilcene River"/>
    <s v="Quilcene River"/>
    <s v="Jefferson"/>
    <x v="2"/>
    <s v="Kitsap"/>
    <s v="10Kitsap"/>
    <s v="02South Puget Sound"/>
    <n v="551.27800829875503"/>
    <n v="1896.3963485477173"/>
  </r>
  <r>
    <n v="1331"/>
    <x v="3"/>
    <x v="0"/>
    <x v="3"/>
    <s v="Freshwater"/>
    <s v="2Freshwater"/>
    <s v="Salmon"/>
    <s v="812"/>
    <s v="Quilcene River"/>
    <s v="Quilcene River"/>
    <s v="Jefferson"/>
    <x v="2"/>
    <s v="Mason"/>
    <s v="09Mason"/>
    <s v="02South Puget Sound"/>
    <n v="198.82157676348601"/>
    <n v="683.94622406639189"/>
  </r>
  <r>
    <n v="1332"/>
    <x v="3"/>
    <x v="0"/>
    <x v="3"/>
    <s v="Freshwater"/>
    <s v="2Freshwater"/>
    <s v="Salmon"/>
    <s v="812"/>
    <s v="Quilcene River"/>
    <s v="Quilcene River"/>
    <s v="Jefferson"/>
    <x v="2"/>
    <s v="Other"/>
    <s v="20Other"/>
    <s v="07Non Puget Sound"/>
    <n v="99.410788381742805"/>
    <n v="341.97311203319526"/>
  </r>
  <r>
    <n v="1333"/>
    <x v="3"/>
    <x v="0"/>
    <x v="3"/>
    <s v="Freshwater"/>
    <s v="2Freshwater"/>
    <s v="Salmon"/>
    <s v="812"/>
    <s v="Quilcene River"/>
    <s v="Quilcene River"/>
    <s v="Jefferson"/>
    <x v="2"/>
    <s v="Pierce"/>
    <s v="07Pierce"/>
    <s v="02South Puget Sound"/>
    <n v="216.896265560166"/>
    <n v="746.12315352697101"/>
  </r>
  <r>
    <n v="1334"/>
    <x v="3"/>
    <x v="0"/>
    <x v="3"/>
    <s v="Freshwater"/>
    <s v="2Freshwater"/>
    <s v="Salmon"/>
    <s v="812"/>
    <s v="Quilcene River"/>
    <s v="Quilcene River"/>
    <s v="Jefferson"/>
    <x v="2"/>
    <s v="Thurston"/>
    <s v="08Thurston"/>
    <s v="02South Puget Sound"/>
    <n v="99.410788381742805"/>
    <n v="341.97311203319526"/>
  </r>
  <r>
    <n v="1335"/>
    <x v="3"/>
    <x v="1"/>
    <x v="3"/>
    <s v="Freshwater"/>
    <s v="2Freshwater"/>
    <s v="Salmon"/>
    <s v="812"/>
    <s v="Quilcene River"/>
    <s v="Quilcene River"/>
    <s v="Jefferson"/>
    <x v="2"/>
    <s v="Clallam"/>
    <s v="11Clallam"/>
    <s v="03Strait of Juan de Fuca"/>
    <n v="72.246153846153902"/>
    <n v="248.52676923076942"/>
  </r>
  <r>
    <n v="1336"/>
    <x v="3"/>
    <x v="1"/>
    <x v="3"/>
    <s v="Freshwater"/>
    <s v="2Freshwater"/>
    <s v="Salmon"/>
    <s v="812"/>
    <s v="Quilcene River"/>
    <s v="Quilcene River"/>
    <s v="Jefferson"/>
    <x v="2"/>
    <s v="Jefferson"/>
    <s v="12Jefferson"/>
    <s v="03Strait of Juan de Fuca"/>
    <n v="45.153846153846203"/>
    <n v="155.32923076923095"/>
  </r>
  <r>
    <n v="1337"/>
    <x v="3"/>
    <x v="1"/>
    <x v="3"/>
    <s v="Freshwater"/>
    <s v="2Freshwater"/>
    <s v="Salmon"/>
    <s v="812"/>
    <s v="Quilcene River"/>
    <s v="Quilcene River"/>
    <s v="Jefferson"/>
    <x v="2"/>
    <s v="King"/>
    <s v="06King"/>
    <s v="02South Puget Sound"/>
    <n v="135.46153846153899"/>
    <n v="465.98769230769415"/>
  </r>
  <r>
    <n v="1338"/>
    <x v="3"/>
    <x v="1"/>
    <x v="3"/>
    <s v="Freshwater"/>
    <s v="2Freshwater"/>
    <s v="Salmon"/>
    <s v="812"/>
    <s v="Quilcene River"/>
    <s v="Quilcene River"/>
    <s v="Jefferson"/>
    <x v="2"/>
    <s v="Kitsap"/>
    <s v="10Kitsap"/>
    <s v="02South Puget Sound"/>
    <n v="135.46153846153899"/>
    <n v="465.98769230769415"/>
  </r>
  <r>
    <n v="1339"/>
    <x v="3"/>
    <x v="1"/>
    <x v="3"/>
    <s v="Freshwater"/>
    <s v="2Freshwater"/>
    <s v="Salmon"/>
    <s v="812"/>
    <s v="Quilcene River"/>
    <s v="Quilcene River"/>
    <s v="Jefferson"/>
    <x v="2"/>
    <s v="Mason"/>
    <s v="09Mason"/>
    <s v="02South Puget Sound"/>
    <n v="90.307692307692307"/>
    <n v="310.65846153846155"/>
  </r>
  <r>
    <n v="1340"/>
    <x v="3"/>
    <x v="1"/>
    <x v="3"/>
    <s v="Freshwater"/>
    <s v="2Freshwater"/>
    <s v="Salmon"/>
    <s v="812"/>
    <s v="Quilcene River"/>
    <s v="Quilcene River"/>
    <s v="Jefferson"/>
    <x v="2"/>
    <s v="Other"/>
    <s v="20Other"/>
    <s v="07Non Puget Sound"/>
    <n v="63.2153846153846"/>
    <n v="217.46092307692302"/>
  </r>
  <r>
    <n v="1341"/>
    <x v="3"/>
    <x v="1"/>
    <x v="3"/>
    <s v="Freshwater"/>
    <s v="2Freshwater"/>
    <s v="Salmon"/>
    <s v="812"/>
    <s v="Quilcene River"/>
    <s v="Quilcene River"/>
    <s v="Jefferson"/>
    <x v="2"/>
    <s v="Skagit"/>
    <s v="02Skagit"/>
    <s v="01North Puget Sound"/>
    <n v="27.092307692307699"/>
    <n v="93.197538461538485"/>
  </r>
  <r>
    <n v="1342"/>
    <x v="3"/>
    <x v="1"/>
    <x v="3"/>
    <s v="Freshwater"/>
    <s v="2Freshwater"/>
    <s v="Salmon"/>
    <s v="812"/>
    <s v="Quilcene River"/>
    <s v="Quilcene River"/>
    <s v="Jefferson"/>
    <x v="2"/>
    <s v="Snohomish"/>
    <s v="03Snohomish"/>
    <s v="01North Puget Sound"/>
    <n v="18.0615384615385"/>
    <n v="62.13169230769244"/>
  </r>
  <r>
    <n v="1343"/>
    <x v="3"/>
    <x v="2"/>
    <x v="3"/>
    <s v="Freshwater"/>
    <s v="2Freshwater"/>
    <s v="Salmon"/>
    <s v="812"/>
    <s v="Quilcene River"/>
    <s v="Quilcene River"/>
    <s v="Jefferson"/>
    <x v="2"/>
    <s v="Clallam"/>
    <s v="11Clallam"/>
    <s v="03Strait of Juan de Fuca"/>
    <n v="9"/>
    <n v="30.96"/>
  </r>
  <r>
    <n v="1344"/>
    <x v="3"/>
    <x v="2"/>
    <x v="3"/>
    <s v="Freshwater"/>
    <s v="2Freshwater"/>
    <s v="Salmon"/>
    <s v="812"/>
    <s v="Quilcene River"/>
    <s v="Quilcene River"/>
    <s v="Jefferson"/>
    <x v="2"/>
    <s v="Jefferson"/>
    <s v="12Jefferson"/>
    <s v="03Strait of Juan de Fuca"/>
    <n v="9"/>
    <n v="30.96"/>
  </r>
  <r>
    <n v="1345"/>
    <x v="3"/>
    <x v="2"/>
    <x v="3"/>
    <s v="Freshwater"/>
    <s v="2Freshwater"/>
    <s v="Salmon"/>
    <s v="812"/>
    <s v="Quilcene River"/>
    <s v="Quilcene River"/>
    <s v="Jefferson"/>
    <x v="2"/>
    <s v="Kitsap"/>
    <s v="10Kitsap"/>
    <s v="02South Puget Sound"/>
    <n v="36"/>
    <n v="123.84"/>
  </r>
  <r>
    <n v="1346"/>
    <x v="3"/>
    <x v="2"/>
    <x v="3"/>
    <s v="Freshwater"/>
    <s v="2Freshwater"/>
    <s v="Salmon"/>
    <s v="812"/>
    <s v="Quilcene River"/>
    <s v="Quilcene River"/>
    <s v="Jefferson"/>
    <x v="2"/>
    <s v="Snohomish"/>
    <s v="03Snohomish"/>
    <s v="01North Puget Sound"/>
    <n v="18"/>
    <n v="61.92"/>
  </r>
  <r>
    <n v="1347"/>
    <x v="3"/>
    <x v="0"/>
    <x v="3"/>
    <s v="Freshwater"/>
    <s v="2Freshwater"/>
    <s v="Salmon"/>
    <s v="816"/>
    <s v="Samish River"/>
    <s v="Samish River"/>
    <s v="Skagit"/>
    <x v="1"/>
    <s v="Island"/>
    <s v="04Island"/>
    <s v="01North Puget Sound"/>
    <n v="127.587628865979"/>
    <n v="438.90144329896776"/>
  </r>
  <r>
    <n v="1348"/>
    <x v="3"/>
    <x v="0"/>
    <x v="3"/>
    <s v="Freshwater"/>
    <s v="2Freshwater"/>
    <s v="Salmon"/>
    <s v="816"/>
    <s v="Samish River"/>
    <s v="Samish River"/>
    <s v="Skagit"/>
    <x v="1"/>
    <s v="King"/>
    <s v="06King"/>
    <s v="02South Puget Sound"/>
    <n v="136.70103092783501"/>
    <n v="470.25154639175241"/>
  </r>
  <r>
    <n v="1349"/>
    <x v="3"/>
    <x v="0"/>
    <x v="3"/>
    <s v="Freshwater"/>
    <s v="2Freshwater"/>
    <s v="Salmon"/>
    <s v="816"/>
    <s v="Samish River"/>
    <s v="Samish River"/>
    <s v="Skagit"/>
    <x v="1"/>
    <s v="Skagit"/>
    <s v="02Skagit"/>
    <s v="01North Puget Sound"/>
    <n v="446.55670103092802"/>
    <n v="1536.1550515463923"/>
  </r>
  <r>
    <n v="1350"/>
    <x v="3"/>
    <x v="0"/>
    <x v="3"/>
    <s v="Freshwater"/>
    <s v="2Freshwater"/>
    <s v="Salmon"/>
    <s v="816"/>
    <s v="Samish River"/>
    <s v="Samish River"/>
    <s v="Skagit"/>
    <x v="1"/>
    <s v="Snohomish"/>
    <s v="03Snohomish"/>
    <s v="01North Puget Sound"/>
    <n v="647.05154639175305"/>
    <n v="2225.8573195876306"/>
  </r>
  <r>
    <n v="1351"/>
    <x v="3"/>
    <x v="0"/>
    <x v="3"/>
    <s v="Freshwater"/>
    <s v="2Freshwater"/>
    <s v="Salmon"/>
    <s v="816"/>
    <s v="Samish River"/>
    <s v="Samish River"/>
    <s v="Skagit"/>
    <x v="1"/>
    <s v="Whatcom"/>
    <s v="01Whatcom"/>
    <s v="01North Puget Sound"/>
    <n v="410.10309278350502"/>
    <n v="1410.7546391752574"/>
  </r>
  <r>
    <n v="1352"/>
    <x v="3"/>
    <x v="1"/>
    <x v="3"/>
    <s v="Freshwater"/>
    <s v="2Freshwater"/>
    <s v="Salmon"/>
    <s v="816"/>
    <s v="Samish River"/>
    <s v="Samish River"/>
    <s v="Skagit"/>
    <x v="1"/>
    <s v="Island"/>
    <s v="04Island"/>
    <s v="01North Puget Sound"/>
    <n v="392.90196078431399"/>
    <n v="1351.58274509804"/>
  </r>
  <r>
    <n v="1353"/>
    <x v="3"/>
    <x v="1"/>
    <x v="3"/>
    <s v="Freshwater"/>
    <s v="2Freshwater"/>
    <s v="Salmon"/>
    <s v="816"/>
    <s v="Samish River"/>
    <s v="Samish River"/>
    <s v="Skagit"/>
    <x v="1"/>
    <s v="King"/>
    <s v="06King"/>
    <s v="02South Puget Sound"/>
    <n v="685.29411764705901"/>
    <n v="2357.4117647058829"/>
  </r>
  <r>
    <n v="1354"/>
    <x v="3"/>
    <x v="1"/>
    <x v="3"/>
    <s v="Freshwater"/>
    <s v="2Freshwater"/>
    <s v="Salmon"/>
    <s v="816"/>
    <s v="Samish River"/>
    <s v="Samish River"/>
    <s v="Skagit"/>
    <x v="1"/>
    <s v="Other"/>
    <s v="20Other"/>
    <s v="07Non Puget Sound"/>
    <n v="255.84313725490199"/>
    <n v="880.10039215686288"/>
  </r>
  <r>
    <n v="1355"/>
    <x v="3"/>
    <x v="1"/>
    <x v="3"/>
    <s v="Freshwater"/>
    <s v="2Freshwater"/>
    <s v="Salmon"/>
    <s v="816"/>
    <s v="Samish River"/>
    <s v="Samish River"/>
    <s v="Skagit"/>
    <x v="1"/>
    <s v="Pierce"/>
    <s v="07Pierce"/>
    <s v="02South Puget Sound"/>
    <n v="45.686274509803901"/>
    <n v="157.16078431372543"/>
  </r>
  <r>
    <n v="1356"/>
    <x v="3"/>
    <x v="1"/>
    <x v="3"/>
    <s v="Freshwater"/>
    <s v="2Freshwater"/>
    <s v="Salmon"/>
    <s v="816"/>
    <s v="Samish River"/>
    <s v="Samish River"/>
    <s v="Skagit"/>
    <x v="1"/>
    <s v="Skagit"/>
    <s v="02Skagit"/>
    <s v="01North Puget Sound"/>
    <n v="1361.4509803921601"/>
    <n v="4683.3913725490311"/>
  </r>
  <r>
    <n v="1357"/>
    <x v="3"/>
    <x v="1"/>
    <x v="3"/>
    <s v="Freshwater"/>
    <s v="2Freshwater"/>
    <s v="Salmon"/>
    <s v="816"/>
    <s v="Samish River"/>
    <s v="Samish River"/>
    <s v="Skagit"/>
    <x v="1"/>
    <s v="Snohomish"/>
    <s v="03Snohomish"/>
    <s v="01North Puget Sound"/>
    <n v="2028.4705882352901"/>
    <n v="6977.9388235293973"/>
  </r>
  <r>
    <n v="1358"/>
    <x v="3"/>
    <x v="1"/>
    <x v="3"/>
    <s v="Freshwater"/>
    <s v="2Freshwater"/>
    <s v="Salmon"/>
    <s v="816"/>
    <s v="Samish River"/>
    <s v="Samish River"/>
    <s v="Skagit"/>
    <x v="1"/>
    <s v="Thurston"/>
    <s v="08Thurston"/>
    <s v="02South Puget Sound"/>
    <n v="18.2745098039216"/>
    <n v="62.864313725490305"/>
  </r>
  <r>
    <n v="1359"/>
    <x v="3"/>
    <x v="1"/>
    <x v="3"/>
    <s v="Freshwater"/>
    <s v="2Freshwater"/>
    <s v="Salmon"/>
    <s v="816"/>
    <s v="Samish River"/>
    <s v="Samish River"/>
    <s v="Skagit"/>
    <x v="1"/>
    <s v="Whatcom"/>
    <s v="01Whatcom"/>
    <s v="01North Puget Sound"/>
    <n v="804.07843137254895"/>
    <n v="2766.0298039215681"/>
  </r>
  <r>
    <n v="1360"/>
    <x v="3"/>
    <x v="2"/>
    <x v="3"/>
    <s v="Freshwater"/>
    <s v="2Freshwater"/>
    <s v="Salmon"/>
    <s v="816"/>
    <s v="Samish River"/>
    <s v="Samish River"/>
    <s v="Skagit"/>
    <x v="1"/>
    <s v="King"/>
    <s v="06King"/>
    <s v="02South Puget Sound"/>
    <n v="46.287878787878803"/>
    <n v="159.23030303030308"/>
  </r>
  <r>
    <n v="1361"/>
    <x v="3"/>
    <x v="2"/>
    <x v="3"/>
    <s v="Freshwater"/>
    <s v="2Freshwater"/>
    <s v="Salmon"/>
    <s v="816"/>
    <s v="Samish River"/>
    <s v="Samish River"/>
    <s v="Skagit"/>
    <x v="1"/>
    <s v="Skagit"/>
    <s v="02Skagit"/>
    <s v="01North Puget Sound"/>
    <n v="342.530303030303"/>
    <n v="1178.3042424242424"/>
  </r>
  <r>
    <n v="1362"/>
    <x v="3"/>
    <x v="2"/>
    <x v="3"/>
    <s v="Freshwater"/>
    <s v="2Freshwater"/>
    <s v="Salmon"/>
    <s v="816"/>
    <s v="Samish River"/>
    <s v="Samish River"/>
    <s v="Skagit"/>
    <x v="1"/>
    <s v="Snohomish"/>
    <s v="03Snohomish"/>
    <s v="01North Puget Sound"/>
    <n v="185.15151515151501"/>
    <n v="636.92121212121162"/>
  </r>
  <r>
    <n v="1363"/>
    <x v="3"/>
    <x v="2"/>
    <x v="3"/>
    <s v="Freshwater"/>
    <s v="2Freshwater"/>
    <s v="Salmon"/>
    <s v="816"/>
    <s v="Samish River"/>
    <s v="Samish River"/>
    <s v="Skagit"/>
    <x v="1"/>
    <s v="Whatcom"/>
    <s v="01Whatcom"/>
    <s v="01North Puget Sound"/>
    <n v="37.030303030303003"/>
    <n v="127.38424242424233"/>
  </r>
  <r>
    <n v="1364"/>
    <x v="3"/>
    <x v="3"/>
    <x v="3"/>
    <s v="Freshwater"/>
    <s v="2Freshwater"/>
    <s v="Salmon"/>
    <s v="816"/>
    <s v="Samish River"/>
    <s v="Samish River"/>
    <s v="Skagit"/>
    <x v="1"/>
    <s v="Snohomish"/>
    <s v="03Snohomish"/>
    <s v="01North Puget Sound"/>
    <n v="27.75"/>
    <n v="95.46"/>
  </r>
  <r>
    <n v="1365"/>
    <x v="3"/>
    <x v="3"/>
    <x v="3"/>
    <s v="Freshwater"/>
    <s v="2Freshwater"/>
    <s v="Salmon"/>
    <s v="816"/>
    <s v="Samish River"/>
    <s v="Samish River"/>
    <s v="Skagit"/>
    <x v="1"/>
    <s v="Whatcom"/>
    <s v="01Whatcom"/>
    <s v="01North Puget Sound"/>
    <n v="9.25"/>
    <n v="31.82"/>
  </r>
  <r>
    <n v="1366"/>
    <x v="3"/>
    <x v="5"/>
    <x v="3"/>
    <s v="Freshwater"/>
    <s v="2Freshwater"/>
    <s v="Salmon"/>
    <s v="825"/>
    <s v="Baker Lake"/>
    <s v="Baker Lake"/>
    <s v="Whatcom"/>
    <x v="1"/>
    <s v="Clallam"/>
    <s v="11Clallam"/>
    <s v="03Strait of Juan de Fuca"/>
    <n v="17.921375921375901"/>
    <n v="61.6495331695331"/>
  </r>
  <r>
    <n v="1367"/>
    <x v="3"/>
    <x v="5"/>
    <x v="3"/>
    <s v="Freshwater"/>
    <s v="2Freshwater"/>
    <s v="Salmon"/>
    <s v="825"/>
    <s v="Baker Lake"/>
    <s v="Baker Lake"/>
    <s v="Whatcom"/>
    <x v="1"/>
    <s v="Island"/>
    <s v="04Island"/>
    <s v="01North Puget Sound"/>
    <n v="71.685503685503704"/>
    <n v="246.59813267813274"/>
  </r>
  <r>
    <n v="1368"/>
    <x v="3"/>
    <x v="5"/>
    <x v="3"/>
    <s v="Freshwater"/>
    <s v="2Freshwater"/>
    <s v="Salmon"/>
    <s v="825"/>
    <s v="Baker Lake"/>
    <s v="Baker Lake"/>
    <s v="Whatcom"/>
    <x v="1"/>
    <s v="King"/>
    <s v="06King"/>
    <s v="02South Puget Sound"/>
    <n v="439.07371007371"/>
    <n v="1510.4135626535624"/>
  </r>
  <r>
    <n v="1369"/>
    <x v="3"/>
    <x v="5"/>
    <x v="3"/>
    <s v="Freshwater"/>
    <s v="2Freshwater"/>
    <s v="Salmon"/>
    <s v="825"/>
    <s v="Baker Lake"/>
    <s v="Baker Lake"/>
    <s v="Whatcom"/>
    <x v="1"/>
    <s v="Other"/>
    <s v="20Other"/>
    <s v="07Non Puget Sound"/>
    <n v="143.37100737100701"/>
    <n v="493.19626535626412"/>
  </r>
  <r>
    <n v="1370"/>
    <x v="3"/>
    <x v="5"/>
    <x v="3"/>
    <s v="Freshwater"/>
    <s v="2Freshwater"/>
    <s v="Salmon"/>
    <s v="825"/>
    <s v="Baker Lake"/>
    <s v="Baker Lake"/>
    <s v="Whatcom"/>
    <x v="1"/>
    <s v="Pierce"/>
    <s v="07Pierce"/>
    <s v="02South Puget Sound"/>
    <n v="143.37100737100701"/>
    <n v="493.19626535626412"/>
  </r>
  <r>
    <n v="1371"/>
    <x v="3"/>
    <x v="5"/>
    <x v="3"/>
    <s v="Freshwater"/>
    <s v="2Freshwater"/>
    <s v="Salmon"/>
    <s v="825"/>
    <s v="Baker Lake"/>
    <s v="Baker Lake"/>
    <s v="Whatcom"/>
    <x v="1"/>
    <s v="Skagit"/>
    <s v="02Skagit"/>
    <s v="01North Puget Sound"/>
    <n v="1290.3390663390701"/>
    <n v="4438.7663882064007"/>
  </r>
  <r>
    <n v="1372"/>
    <x v="3"/>
    <x v="5"/>
    <x v="3"/>
    <s v="Freshwater"/>
    <s v="2Freshwater"/>
    <s v="Salmon"/>
    <s v="825"/>
    <s v="Baker Lake"/>
    <s v="Baker Lake"/>
    <s v="Whatcom"/>
    <x v="1"/>
    <s v="Snohomish"/>
    <s v="03Snohomish"/>
    <s v="01North Puget Sound"/>
    <n v="976.71498771498796"/>
    <n v="3359.8995577395585"/>
  </r>
  <r>
    <n v="1373"/>
    <x v="3"/>
    <x v="5"/>
    <x v="3"/>
    <s v="Freshwater"/>
    <s v="2Freshwater"/>
    <s v="Salmon"/>
    <s v="825"/>
    <s v="Baker Lake"/>
    <s v="Baker Lake"/>
    <s v="Whatcom"/>
    <x v="1"/>
    <s v="Thurston"/>
    <s v="08Thurston"/>
    <s v="02South Puget Sound"/>
    <n v="35.842751842751902"/>
    <n v="123.29906633906654"/>
  </r>
  <r>
    <n v="1374"/>
    <x v="3"/>
    <x v="5"/>
    <x v="3"/>
    <s v="Freshwater"/>
    <s v="2Freshwater"/>
    <s v="Salmon"/>
    <s v="825"/>
    <s v="Baker Lake"/>
    <s v="Baker Lake"/>
    <s v="Whatcom"/>
    <x v="1"/>
    <s v="Whatcom"/>
    <s v="01Whatcom"/>
    <s v="01North Puget Sound"/>
    <n v="528.68058968058995"/>
    <n v="1818.6612285012293"/>
  </r>
  <r>
    <n v="1375"/>
    <x v="3"/>
    <x v="0"/>
    <x v="3"/>
    <s v="Freshwater"/>
    <s v="2Freshwater"/>
    <s v="Salmon"/>
    <s v="825"/>
    <s v="Baker Lake"/>
    <s v="Baker Lake"/>
    <s v="Whatcom"/>
    <x v="1"/>
    <s v="King"/>
    <s v="06King"/>
    <s v="02South Puget Sound"/>
    <n v="107.53548387096799"/>
    <n v="369.92206451612986"/>
  </r>
  <r>
    <n v="1376"/>
    <x v="3"/>
    <x v="0"/>
    <x v="3"/>
    <s v="Freshwater"/>
    <s v="2Freshwater"/>
    <s v="Salmon"/>
    <s v="825"/>
    <s v="Baker Lake"/>
    <s v="Baker Lake"/>
    <s v="Whatcom"/>
    <x v="1"/>
    <s v="Other"/>
    <s v="20Other"/>
    <s v="07Non Puget Sound"/>
    <n v="152.341935483871"/>
    <n v="524.05625806451621"/>
  </r>
  <r>
    <n v="1377"/>
    <x v="3"/>
    <x v="0"/>
    <x v="3"/>
    <s v="Freshwater"/>
    <s v="2Freshwater"/>
    <s v="Salmon"/>
    <s v="825"/>
    <s v="Baker Lake"/>
    <s v="Baker Lake"/>
    <s v="Whatcom"/>
    <x v="1"/>
    <s v="Pierce"/>
    <s v="07Pierce"/>
    <s v="02South Puget Sound"/>
    <n v="17.9225806451613"/>
    <n v="61.653677419354871"/>
  </r>
  <r>
    <n v="1378"/>
    <x v="3"/>
    <x v="0"/>
    <x v="3"/>
    <s v="Freshwater"/>
    <s v="2Freshwater"/>
    <s v="Salmon"/>
    <s v="825"/>
    <s v="Baker Lake"/>
    <s v="Baker Lake"/>
    <s v="Whatcom"/>
    <x v="1"/>
    <s v="Skagit"/>
    <s v="02Skagit"/>
    <s v="01North Puget Sound"/>
    <n v="492.870967741936"/>
    <n v="1695.4761290322599"/>
  </r>
  <r>
    <n v="1379"/>
    <x v="3"/>
    <x v="0"/>
    <x v="3"/>
    <s v="Freshwater"/>
    <s v="2Freshwater"/>
    <s v="Salmon"/>
    <s v="825"/>
    <s v="Baker Lake"/>
    <s v="Baker Lake"/>
    <s v="Whatcom"/>
    <x v="1"/>
    <s v="Snohomish"/>
    <s v="03Snohomish"/>
    <s v="01North Puget Sound"/>
    <n v="457.02580645161299"/>
    <n v="1572.1687741935486"/>
  </r>
  <r>
    <n v="1380"/>
    <x v="3"/>
    <x v="0"/>
    <x v="3"/>
    <s v="Freshwater"/>
    <s v="2Freshwater"/>
    <s v="Salmon"/>
    <s v="825"/>
    <s v="Baker Lake"/>
    <s v="Baker Lake"/>
    <s v="Whatcom"/>
    <x v="1"/>
    <s v="Whatcom"/>
    <s v="01Whatcom"/>
    <s v="01North Puget Sound"/>
    <n v="161.30322580645199"/>
    <n v="554.88309677419488"/>
  </r>
  <r>
    <n v="1381"/>
    <x v="3"/>
    <x v="1"/>
    <x v="3"/>
    <s v="Freshwater"/>
    <s v="2Freshwater"/>
    <s v="Salmon"/>
    <s v="825"/>
    <s v="Baker Lake"/>
    <s v="Baker Lake"/>
    <s v="Whatcom"/>
    <x v="1"/>
    <s v="King"/>
    <s v="06King"/>
    <s v="02South Puget Sound"/>
    <n v="27"/>
    <n v="92.88"/>
  </r>
  <r>
    <n v="1382"/>
    <x v="3"/>
    <x v="9"/>
    <x v="3"/>
    <s v="Freshwater"/>
    <s v="2Freshwater"/>
    <s v="Salmon"/>
    <s v="826"/>
    <s v="Cascade River"/>
    <s v="Cascade River"/>
    <s v="Skagit"/>
    <x v="1"/>
    <s v="Skagit"/>
    <s v="02Skagit"/>
    <s v="01North Puget Sound"/>
    <n v="18"/>
    <n v="61.92"/>
  </r>
  <r>
    <n v="1383"/>
    <x v="3"/>
    <x v="9"/>
    <x v="3"/>
    <s v="Freshwater"/>
    <s v="2Freshwater"/>
    <s v="Salmon"/>
    <s v="826"/>
    <s v="Cascade River"/>
    <s v="Cascade River"/>
    <s v="Skagit"/>
    <x v="1"/>
    <s v="Whatcom"/>
    <s v="01Whatcom"/>
    <s v="01North Puget Sound"/>
    <n v="27"/>
    <n v="92.88"/>
  </r>
  <r>
    <n v="1384"/>
    <x v="3"/>
    <x v="7"/>
    <x v="3"/>
    <s v="Freshwater"/>
    <s v="2Freshwater"/>
    <s v="Salmon"/>
    <s v="826"/>
    <s v="Cascade River"/>
    <s v="Cascade River"/>
    <s v="Skagit"/>
    <x v="1"/>
    <s v="Skagit"/>
    <s v="02Skagit"/>
    <s v="01North Puget Sound"/>
    <n v="17.846153846153801"/>
    <n v="61.390769230769074"/>
  </r>
  <r>
    <n v="1385"/>
    <x v="3"/>
    <x v="7"/>
    <x v="3"/>
    <s v="Freshwater"/>
    <s v="2Freshwater"/>
    <s v="Salmon"/>
    <s v="826"/>
    <s v="Cascade River"/>
    <s v="Cascade River"/>
    <s v="Skagit"/>
    <x v="1"/>
    <s v="Snohomish"/>
    <s v="03Snohomish"/>
    <s v="01North Puget Sound"/>
    <n v="44.615384615384599"/>
    <n v="153.47692307692301"/>
  </r>
  <r>
    <n v="1386"/>
    <x v="3"/>
    <x v="7"/>
    <x v="3"/>
    <s v="Freshwater"/>
    <s v="2Freshwater"/>
    <s v="Salmon"/>
    <s v="826"/>
    <s v="Cascade River"/>
    <s v="Cascade River"/>
    <s v="Skagit"/>
    <x v="1"/>
    <s v="Whatcom"/>
    <s v="01Whatcom"/>
    <s v="01North Puget Sound"/>
    <n v="53.538461538461597"/>
    <n v="184.1723076923079"/>
  </r>
  <r>
    <n v="1387"/>
    <x v="3"/>
    <x v="1"/>
    <x v="3"/>
    <s v="Freshwater"/>
    <s v="2Freshwater"/>
    <s v="Salmon"/>
    <s v="826"/>
    <s v="Cascade River"/>
    <s v="Cascade River"/>
    <s v="Skagit"/>
    <x v="1"/>
    <s v="King"/>
    <s v="06King"/>
    <s v="02South Puget Sound"/>
    <n v="54.1666666666667"/>
    <n v="186.33333333333346"/>
  </r>
  <r>
    <n v="1388"/>
    <x v="3"/>
    <x v="1"/>
    <x v="3"/>
    <s v="Freshwater"/>
    <s v="2Freshwater"/>
    <s v="Salmon"/>
    <s v="826"/>
    <s v="Cascade River"/>
    <s v="Cascade River"/>
    <s v="Skagit"/>
    <x v="1"/>
    <s v="Other"/>
    <s v="20Other"/>
    <s v="07Non Puget Sound"/>
    <n v="54.1666666666667"/>
    <n v="186.33333333333346"/>
  </r>
  <r>
    <n v="1389"/>
    <x v="3"/>
    <x v="1"/>
    <x v="3"/>
    <s v="Freshwater"/>
    <s v="2Freshwater"/>
    <s v="Salmon"/>
    <s v="826"/>
    <s v="Cascade River"/>
    <s v="Cascade River"/>
    <s v="Skagit"/>
    <x v="1"/>
    <s v="Skagit"/>
    <s v="02Skagit"/>
    <s v="01North Puget Sound"/>
    <n v="261.805555555556"/>
    <n v="900.61111111111256"/>
  </r>
  <r>
    <n v="1390"/>
    <x v="3"/>
    <x v="1"/>
    <x v="3"/>
    <s v="Freshwater"/>
    <s v="2Freshwater"/>
    <s v="Salmon"/>
    <s v="826"/>
    <s v="Cascade River"/>
    <s v="Cascade River"/>
    <s v="Skagit"/>
    <x v="1"/>
    <s v="Snohomish"/>
    <s v="03Snohomish"/>
    <s v="01North Puget Sound"/>
    <n v="162.5"/>
    <n v="559"/>
  </r>
  <r>
    <n v="1391"/>
    <x v="3"/>
    <x v="1"/>
    <x v="3"/>
    <s v="Freshwater"/>
    <s v="2Freshwater"/>
    <s v="Salmon"/>
    <s v="826"/>
    <s v="Cascade River"/>
    <s v="Cascade River"/>
    <s v="Skagit"/>
    <x v="1"/>
    <s v="Whatcom"/>
    <s v="01Whatcom"/>
    <s v="01North Puget Sound"/>
    <n v="117.361111111111"/>
    <n v="403.72222222222183"/>
  </r>
  <r>
    <n v="1392"/>
    <x v="3"/>
    <x v="2"/>
    <x v="3"/>
    <s v="Freshwater"/>
    <s v="2Freshwater"/>
    <s v="Salmon"/>
    <s v="826"/>
    <s v="Cascade River"/>
    <s v="Cascade River"/>
    <s v="Skagit"/>
    <x v="1"/>
    <s v="Island"/>
    <s v="04Island"/>
    <s v="01North Puget Sound"/>
    <n v="81.301435406698602"/>
    <n v="279.67693779904317"/>
  </r>
  <r>
    <n v="1393"/>
    <x v="3"/>
    <x v="2"/>
    <x v="3"/>
    <s v="Freshwater"/>
    <s v="2Freshwater"/>
    <s v="Salmon"/>
    <s v="826"/>
    <s v="Cascade River"/>
    <s v="Cascade River"/>
    <s v="Skagit"/>
    <x v="1"/>
    <s v="King"/>
    <s v="06King"/>
    <s v="02South Puget Sound"/>
    <n v="144.53588516746399"/>
    <n v="497.20344497607613"/>
  </r>
  <r>
    <n v="1394"/>
    <x v="3"/>
    <x v="2"/>
    <x v="3"/>
    <s v="Freshwater"/>
    <s v="2Freshwater"/>
    <s v="Salmon"/>
    <s v="826"/>
    <s v="Cascade River"/>
    <s v="Cascade River"/>
    <s v="Skagit"/>
    <x v="1"/>
    <s v="Other"/>
    <s v="20Other"/>
    <s v="07Non Puget Sound"/>
    <n v="72.267942583732093"/>
    <n v="248.6017224880384"/>
  </r>
  <r>
    <n v="1395"/>
    <x v="3"/>
    <x v="2"/>
    <x v="3"/>
    <s v="Freshwater"/>
    <s v="2Freshwater"/>
    <s v="Salmon"/>
    <s v="826"/>
    <s v="Cascade River"/>
    <s v="Cascade River"/>
    <s v="Skagit"/>
    <x v="1"/>
    <s v="San Juan"/>
    <s v="05San Juan"/>
    <s v="01North Puget Sound"/>
    <n v="54.200956937799099"/>
    <n v="186.4512918660289"/>
  </r>
  <r>
    <n v="1396"/>
    <x v="3"/>
    <x v="2"/>
    <x v="3"/>
    <s v="Freshwater"/>
    <s v="2Freshwater"/>
    <s v="Salmon"/>
    <s v="826"/>
    <s v="Cascade River"/>
    <s v="Cascade River"/>
    <s v="Skagit"/>
    <x v="1"/>
    <s v="Skagit"/>
    <s v="02Skagit"/>
    <s v="01North Puget Sound"/>
    <n v="623.31100478468898"/>
    <n v="2144.1898564593303"/>
  </r>
  <r>
    <n v="1397"/>
    <x v="3"/>
    <x v="2"/>
    <x v="3"/>
    <s v="Freshwater"/>
    <s v="2Freshwater"/>
    <s v="Salmon"/>
    <s v="826"/>
    <s v="Cascade River"/>
    <s v="Cascade River"/>
    <s v="Skagit"/>
    <x v="1"/>
    <s v="Snohomish"/>
    <s v="03Snohomish"/>
    <s v="01North Puget Sound"/>
    <n v="677.51196172248797"/>
    <n v="2330.6411483253587"/>
  </r>
  <r>
    <n v="1398"/>
    <x v="3"/>
    <x v="2"/>
    <x v="3"/>
    <s v="Freshwater"/>
    <s v="2Freshwater"/>
    <s v="Salmon"/>
    <s v="826"/>
    <s v="Cascade River"/>
    <s v="Cascade River"/>
    <s v="Skagit"/>
    <x v="1"/>
    <s v="Whatcom"/>
    <s v="01Whatcom"/>
    <s v="01North Puget Sound"/>
    <n v="234.87081339712901"/>
    <n v="807.95559808612381"/>
  </r>
  <r>
    <n v="1399"/>
    <x v="3"/>
    <x v="3"/>
    <x v="3"/>
    <s v="Freshwater"/>
    <s v="2Freshwater"/>
    <s v="Salmon"/>
    <s v="826"/>
    <s v="Cascade River"/>
    <s v="Cascade River"/>
    <s v="Skagit"/>
    <x v="1"/>
    <s v="Island"/>
    <s v="04Island"/>
    <s v="01North Puget Sound"/>
    <n v="27.15"/>
    <n v="93.395999999999987"/>
  </r>
  <r>
    <n v="1400"/>
    <x v="3"/>
    <x v="3"/>
    <x v="3"/>
    <s v="Freshwater"/>
    <s v="2Freshwater"/>
    <s v="Salmon"/>
    <s v="826"/>
    <s v="Cascade River"/>
    <s v="Cascade River"/>
    <s v="Skagit"/>
    <x v="1"/>
    <s v="Skagit"/>
    <s v="02Skagit"/>
    <s v="01North Puget Sound"/>
    <n v="81.45"/>
    <n v="280.18799999999999"/>
  </r>
  <r>
    <n v="1401"/>
    <x v="3"/>
    <x v="3"/>
    <x v="3"/>
    <s v="Freshwater"/>
    <s v="2Freshwater"/>
    <s v="Salmon"/>
    <s v="826"/>
    <s v="Cascade River"/>
    <s v="Cascade River"/>
    <s v="Skagit"/>
    <x v="1"/>
    <s v="Snohomish"/>
    <s v="03Snohomish"/>
    <s v="01North Puget Sound"/>
    <n v="27.15"/>
    <n v="93.395999999999987"/>
  </r>
  <r>
    <n v="1402"/>
    <x v="3"/>
    <x v="3"/>
    <x v="3"/>
    <s v="Freshwater"/>
    <s v="2Freshwater"/>
    <s v="Salmon"/>
    <s v="826"/>
    <s v="Cascade River"/>
    <s v="Cascade River"/>
    <s v="Skagit"/>
    <x v="1"/>
    <s v="Whatcom"/>
    <s v="01Whatcom"/>
    <s v="01North Puget Sound"/>
    <n v="45.25"/>
    <n v="155.66"/>
  </r>
  <r>
    <n v="1403"/>
    <x v="3"/>
    <x v="7"/>
    <x v="3"/>
    <s v="Freshwater"/>
    <s v="2Freshwater"/>
    <s v="Salmon"/>
    <s v="830"/>
    <s v="Skagit River"/>
    <s v="Skagit River"/>
    <s v="Skagit/Whatcom"/>
    <x v="4"/>
    <s v="Island"/>
    <s v="04Island"/>
    <s v="01North Puget Sound"/>
    <n v="8.9090909090909101"/>
    <n v="30.647272727272732"/>
  </r>
  <r>
    <n v="1404"/>
    <x v="3"/>
    <x v="7"/>
    <x v="3"/>
    <s v="Freshwater"/>
    <s v="2Freshwater"/>
    <s v="Salmon"/>
    <s v="830"/>
    <s v="Skagit River"/>
    <s v="Skagit River"/>
    <s v="Skagit/Whatcom"/>
    <x v="4"/>
    <s v="King"/>
    <s v="06King"/>
    <s v="02South Puget Sound"/>
    <n v="8.9090909090909101"/>
    <n v="30.647272727272732"/>
  </r>
  <r>
    <n v="1405"/>
    <x v="3"/>
    <x v="7"/>
    <x v="3"/>
    <s v="Freshwater"/>
    <s v="2Freshwater"/>
    <s v="Salmon"/>
    <s v="830"/>
    <s v="Skagit River"/>
    <s v="Skagit River"/>
    <s v="Skagit/Whatcom"/>
    <x v="4"/>
    <s v="Other"/>
    <s v="20Other"/>
    <s v="07Non Puget Sound"/>
    <n v="17.818181818181799"/>
    <n v="61.294545454545386"/>
  </r>
  <r>
    <n v="1406"/>
    <x v="3"/>
    <x v="7"/>
    <x v="3"/>
    <s v="Freshwater"/>
    <s v="2Freshwater"/>
    <s v="Salmon"/>
    <s v="830"/>
    <s v="Skagit River"/>
    <s v="Skagit River"/>
    <s v="Skagit/Whatcom"/>
    <x v="4"/>
    <s v="Skagit"/>
    <s v="02Skagit"/>
    <s v="01North Puget Sound"/>
    <n v="53.454545454545503"/>
    <n v="183.88363636363653"/>
  </r>
  <r>
    <n v="1407"/>
    <x v="3"/>
    <x v="7"/>
    <x v="3"/>
    <s v="Freshwater"/>
    <s v="2Freshwater"/>
    <s v="Salmon"/>
    <s v="830"/>
    <s v="Skagit River"/>
    <s v="Skagit River"/>
    <s v="Skagit/Whatcom"/>
    <x v="4"/>
    <s v="Whatcom"/>
    <s v="01Whatcom"/>
    <s v="01North Puget Sound"/>
    <n v="8.9090909090909101"/>
    <n v="30.647272727272732"/>
  </r>
  <r>
    <n v="1408"/>
    <x v="3"/>
    <x v="5"/>
    <x v="3"/>
    <s v="Freshwater"/>
    <s v="2Freshwater"/>
    <s v="Salmon"/>
    <s v="830"/>
    <s v="Skagit River"/>
    <s v="Skagit River"/>
    <s v="Skagit/Whatcom"/>
    <x v="4"/>
    <s v="Island"/>
    <s v="04Island"/>
    <s v="01North Puget Sound"/>
    <n v="62.892307692307703"/>
    <n v="216.34953846153849"/>
  </r>
  <r>
    <n v="1409"/>
    <x v="3"/>
    <x v="5"/>
    <x v="3"/>
    <s v="Freshwater"/>
    <s v="2Freshwater"/>
    <s v="Salmon"/>
    <s v="830"/>
    <s v="Skagit River"/>
    <s v="Skagit River"/>
    <s v="Skagit/Whatcom"/>
    <x v="4"/>
    <s v="King"/>
    <s v="06King"/>
    <s v="02South Puget Sound"/>
    <n v="278.52307692307699"/>
    <n v="958.11938461538477"/>
  </r>
  <r>
    <n v="1410"/>
    <x v="3"/>
    <x v="5"/>
    <x v="3"/>
    <s v="Freshwater"/>
    <s v="2Freshwater"/>
    <s v="Salmon"/>
    <s v="830"/>
    <s v="Skagit River"/>
    <s v="Skagit River"/>
    <s v="Skagit/Whatcom"/>
    <x v="4"/>
    <s v="Mason"/>
    <s v="09Mason"/>
    <s v="02South Puget Sound"/>
    <n v="44.923076923076898"/>
    <n v="154.53538461538452"/>
  </r>
  <r>
    <n v="1411"/>
    <x v="3"/>
    <x v="5"/>
    <x v="3"/>
    <s v="Freshwater"/>
    <s v="2Freshwater"/>
    <s v="Salmon"/>
    <s v="830"/>
    <s v="Skagit River"/>
    <s v="Skagit River"/>
    <s v="Skagit/Whatcom"/>
    <x v="4"/>
    <s v="Other"/>
    <s v="20Other"/>
    <s v="07Non Puget Sound"/>
    <n v="125.78461538461499"/>
    <n v="432.69907692307555"/>
  </r>
  <r>
    <n v="1412"/>
    <x v="3"/>
    <x v="5"/>
    <x v="3"/>
    <s v="Freshwater"/>
    <s v="2Freshwater"/>
    <s v="Salmon"/>
    <s v="830"/>
    <s v="Skagit River"/>
    <s v="Skagit River"/>
    <s v="Skagit/Whatcom"/>
    <x v="4"/>
    <s v="Skagit"/>
    <s v="02Skagit"/>
    <s v="01North Puget Sound"/>
    <n v="3171.5692307692302"/>
    <n v="10910.198153846151"/>
  </r>
  <r>
    <n v="1413"/>
    <x v="3"/>
    <x v="5"/>
    <x v="3"/>
    <s v="Freshwater"/>
    <s v="2Freshwater"/>
    <s v="Salmon"/>
    <s v="830"/>
    <s v="Skagit River"/>
    <s v="Skagit River"/>
    <s v="Skagit/Whatcom"/>
    <x v="4"/>
    <s v="Snohomish"/>
    <s v="03Snohomish"/>
    <s v="01North Puget Sound"/>
    <n v="781.66153846153895"/>
    <n v="2688.9156923076939"/>
  </r>
  <r>
    <n v="1414"/>
    <x v="3"/>
    <x v="5"/>
    <x v="3"/>
    <s v="Freshwater"/>
    <s v="2Freshwater"/>
    <s v="Salmon"/>
    <s v="830"/>
    <s v="Skagit River"/>
    <s v="Skagit River"/>
    <s v="Skagit/Whatcom"/>
    <x v="4"/>
    <s v="Whatcom"/>
    <s v="01Whatcom"/>
    <s v="01North Puget Sound"/>
    <n v="790.64615384615399"/>
    <n v="2719.8227692307696"/>
  </r>
  <r>
    <n v="1415"/>
    <x v="3"/>
    <x v="0"/>
    <x v="3"/>
    <s v="Freshwater"/>
    <s v="2Freshwater"/>
    <s v="Salmon"/>
    <s v="830"/>
    <s v="Skagit River"/>
    <s v="Skagit River"/>
    <s v="Skagit/Whatcom"/>
    <x v="4"/>
    <s v="Clallam"/>
    <s v="11Clallam"/>
    <s v="03Strait of Juan de Fuca"/>
    <n v="89.849108367626897"/>
    <n v="309.0809327846365"/>
  </r>
  <r>
    <n v="1416"/>
    <x v="3"/>
    <x v="0"/>
    <x v="3"/>
    <s v="Freshwater"/>
    <s v="2Freshwater"/>
    <s v="Salmon"/>
    <s v="830"/>
    <s v="Skagit River"/>
    <s v="Skagit River"/>
    <s v="Skagit/Whatcom"/>
    <x v="4"/>
    <s v="Island"/>
    <s v="04Island"/>
    <s v="01North Puget Sound"/>
    <n v="1473.52537722908"/>
    <n v="5068.927297668035"/>
  </r>
  <r>
    <n v="1417"/>
    <x v="3"/>
    <x v="0"/>
    <x v="3"/>
    <s v="Freshwater"/>
    <s v="2Freshwater"/>
    <s v="Salmon"/>
    <s v="830"/>
    <s v="Skagit River"/>
    <s v="Skagit River"/>
    <s v="Skagit/Whatcom"/>
    <x v="4"/>
    <s v="King"/>
    <s v="06King"/>
    <s v="02South Puget Sound"/>
    <n v="1500.4801097393699"/>
    <n v="5161.6515775034322"/>
  </r>
  <r>
    <n v="1418"/>
    <x v="3"/>
    <x v="0"/>
    <x v="3"/>
    <s v="Freshwater"/>
    <s v="2Freshwater"/>
    <s v="Salmon"/>
    <s v="830"/>
    <s v="Skagit River"/>
    <s v="Skagit River"/>
    <s v="Skagit/Whatcom"/>
    <x v="4"/>
    <s v="Kitsap"/>
    <s v="10Kitsap"/>
    <s v="02South Puget Sound"/>
    <n v="62.894375857338801"/>
    <n v="216.35665294924547"/>
  </r>
  <r>
    <n v="1419"/>
    <x v="3"/>
    <x v="0"/>
    <x v="3"/>
    <s v="Freshwater"/>
    <s v="2Freshwater"/>
    <s v="Salmon"/>
    <s v="830"/>
    <s v="Skagit River"/>
    <s v="Skagit River"/>
    <s v="Skagit/Whatcom"/>
    <x v="4"/>
    <s v="Mason"/>
    <s v="09Mason"/>
    <s v="02South Puget Sound"/>
    <n v="26.9547325102881"/>
    <n v="92.724279835391059"/>
  </r>
  <r>
    <n v="1420"/>
    <x v="3"/>
    <x v="0"/>
    <x v="3"/>
    <s v="Freshwater"/>
    <s v="2Freshwater"/>
    <s v="Salmon"/>
    <s v="830"/>
    <s v="Skagit River"/>
    <s v="Skagit River"/>
    <s v="Skagit/Whatcom"/>
    <x v="4"/>
    <s v="Other"/>
    <s v="20Other"/>
    <s v="07Non Puget Sound"/>
    <n v="2668.5185185185201"/>
    <n v="9179.703703703708"/>
  </r>
  <r>
    <n v="1421"/>
    <x v="3"/>
    <x v="0"/>
    <x v="3"/>
    <s v="Freshwater"/>
    <s v="2Freshwater"/>
    <s v="Salmon"/>
    <s v="830"/>
    <s v="Skagit River"/>
    <s v="Skagit River"/>
    <s v="Skagit/Whatcom"/>
    <x v="4"/>
    <s v="Pierce"/>
    <s v="07Pierce"/>
    <s v="02South Puget Sound"/>
    <n v="305.486968449931"/>
    <n v="1050.8751714677626"/>
  </r>
  <r>
    <n v="1422"/>
    <x v="3"/>
    <x v="0"/>
    <x v="3"/>
    <s v="Freshwater"/>
    <s v="2Freshwater"/>
    <s v="Salmon"/>
    <s v="830"/>
    <s v="Skagit River"/>
    <s v="Skagit River"/>
    <s v="Skagit/Whatcom"/>
    <x v="4"/>
    <s v="San Juan"/>
    <s v="05San Juan"/>
    <s v="01North Puget Sound"/>
    <n v="8.9849108367626904"/>
    <n v="30.908093278463653"/>
  </r>
  <r>
    <n v="1423"/>
    <x v="3"/>
    <x v="0"/>
    <x v="3"/>
    <s v="Freshwater"/>
    <s v="2Freshwater"/>
    <s v="Salmon"/>
    <s v="830"/>
    <s v="Skagit River"/>
    <s v="Skagit River"/>
    <s v="Skagit/Whatcom"/>
    <x v="4"/>
    <s v="Skagit"/>
    <s v="02Skagit"/>
    <s v="01North Puget Sound"/>
    <n v="19614.060356653001"/>
    <n v="67472.36762688632"/>
  </r>
  <r>
    <n v="1424"/>
    <x v="3"/>
    <x v="0"/>
    <x v="3"/>
    <s v="Freshwater"/>
    <s v="2Freshwater"/>
    <s v="Salmon"/>
    <s v="830"/>
    <s v="Skagit River"/>
    <s v="Skagit River"/>
    <s v="Skagit/Whatcom"/>
    <x v="4"/>
    <s v="Snohomish"/>
    <s v="03Snohomish"/>
    <s v="01North Puget Sound"/>
    <n v="7277.7777777777801"/>
    <n v="25035.555555555562"/>
  </r>
  <r>
    <n v="1425"/>
    <x v="3"/>
    <x v="0"/>
    <x v="3"/>
    <s v="Freshwater"/>
    <s v="2Freshwater"/>
    <s v="Salmon"/>
    <s v="830"/>
    <s v="Skagit River"/>
    <s v="Skagit River"/>
    <s v="Skagit/Whatcom"/>
    <x v="4"/>
    <s v="Thurston"/>
    <s v="08Thurston"/>
    <s v="02South Puget Sound"/>
    <n v="62.894375857338801"/>
    <n v="216.35665294924547"/>
  </r>
  <r>
    <n v="1426"/>
    <x v="3"/>
    <x v="0"/>
    <x v="3"/>
    <s v="Freshwater"/>
    <s v="2Freshwater"/>
    <s v="Salmon"/>
    <s v="830"/>
    <s v="Skagit River"/>
    <s v="Skagit River"/>
    <s v="Skagit/Whatcom"/>
    <x v="4"/>
    <s v="Whatcom"/>
    <s v="01Whatcom"/>
    <s v="01North Puget Sound"/>
    <n v="6208.5733882030199"/>
    <n v="21357.492455418389"/>
  </r>
  <r>
    <n v="1427"/>
    <x v="3"/>
    <x v="1"/>
    <x v="3"/>
    <s v="Freshwater"/>
    <s v="2Freshwater"/>
    <s v="Salmon"/>
    <s v="830"/>
    <s v="Skagit River"/>
    <s v="Skagit River"/>
    <s v="Skagit/Whatcom"/>
    <x v="4"/>
    <s v="Clallam"/>
    <s v="11Clallam"/>
    <s v="03Strait of Juan de Fuca"/>
    <n v="89.850526831658897"/>
    <n v="309.08581230090658"/>
  </r>
  <r>
    <n v="1428"/>
    <x v="3"/>
    <x v="1"/>
    <x v="3"/>
    <s v="Freshwater"/>
    <s v="2Freshwater"/>
    <s v="Salmon"/>
    <s v="830"/>
    <s v="Skagit River"/>
    <s v="Skagit River"/>
    <s v="Skagit/Whatcom"/>
    <x v="4"/>
    <s v="Island"/>
    <s v="04Island"/>
    <s v="01North Puget Sound"/>
    <n v="2165.39769664298"/>
    <n v="7448.9680764518507"/>
  </r>
  <r>
    <n v="1429"/>
    <x v="3"/>
    <x v="1"/>
    <x v="3"/>
    <s v="Freshwater"/>
    <s v="2Freshwater"/>
    <s v="Salmon"/>
    <s v="830"/>
    <s v="Skagit River"/>
    <s v="Skagit River"/>
    <s v="Skagit/Whatcom"/>
    <x v="4"/>
    <s v="King"/>
    <s v="06King"/>
    <s v="02South Puget Sound"/>
    <n v="1428.62337662338"/>
    <n v="4914.4644155844271"/>
  </r>
  <r>
    <n v="1430"/>
    <x v="3"/>
    <x v="1"/>
    <x v="3"/>
    <s v="Freshwater"/>
    <s v="2Freshwater"/>
    <s v="Salmon"/>
    <s v="830"/>
    <s v="Skagit River"/>
    <s v="Skagit River"/>
    <s v="Skagit/Whatcom"/>
    <x v="4"/>
    <s v="Kitsap"/>
    <s v="10Kitsap"/>
    <s v="02South Puget Sound"/>
    <n v="8.9850526831658897"/>
    <n v="30.908581230090661"/>
  </r>
  <r>
    <n v="1431"/>
    <x v="3"/>
    <x v="1"/>
    <x v="3"/>
    <s v="Freshwater"/>
    <s v="2Freshwater"/>
    <s v="Salmon"/>
    <s v="830"/>
    <s v="Skagit River"/>
    <s v="Skagit River"/>
    <s v="Skagit/Whatcom"/>
    <x v="4"/>
    <s v="Mason"/>
    <s v="09Mason"/>
    <s v="02South Puget Sound"/>
    <n v="233.61136976231299"/>
    <n v="803.6231119823567"/>
  </r>
  <r>
    <n v="1432"/>
    <x v="3"/>
    <x v="1"/>
    <x v="3"/>
    <s v="Freshwater"/>
    <s v="2Freshwater"/>
    <s v="Salmon"/>
    <s v="830"/>
    <s v="Skagit River"/>
    <s v="Skagit River"/>
    <s v="Skagit/Whatcom"/>
    <x v="4"/>
    <s v="Other"/>
    <s v="20Other"/>
    <s v="07Non Puget Sound"/>
    <n v="3495.18549375153"/>
    <n v="12023.438098505263"/>
  </r>
  <r>
    <n v="1433"/>
    <x v="3"/>
    <x v="1"/>
    <x v="3"/>
    <s v="Freshwater"/>
    <s v="2Freshwater"/>
    <s v="Salmon"/>
    <s v="830"/>
    <s v="Skagit River"/>
    <s v="Skagit River"/>
    <s v="Skagit/Whatcom"/>
    <x v="4"/>
    <s v="Pierce"/>
    <s v="07Pierce"/>
    <s v="02South Puget Sound"/>
    <n v="278.53663317814301"/>
    <n v="958.16601813281193"/>
  </r>
  <r>
    <n v="1434"/>
    <x v="3"/>
    <x v="1"/>
    <x v="3"/>
    <s v="Freshwater"/>
    <s v="2Freshwater"/>
    <s v="Salmon"/>
    <s v="830"/>
    <s v="Skagit River"/>
    <s v="Skagit River"/>
    <s v="Skagit/Whatcom"/>
    <x v="4"/>
    <s v="Skagit"/>
    <s v="02Skagit"/>
    <s v="01North Puget Sound"/>
    <n v="16990.734623866701"/>
    <n v="58448.127106101449"/>
  </r>
  <r>
    <n v="1435"/>
    <x v="3"/>
    <x v="1"/>
    <x v="3"/>
    <s v="Freshwater"/>
    <s v="2Freshwater"/>
    <s v="Salmon"/>
    <s v="830"/>
    <s v="Skagit River"/>
    <s v="Skagit River"/>
    <s v="Skagit/Whatcom"/>
    <x v="4"/>
    <s v="Snohomish"/>
    <s v="03Snohomish"/>
    <s v="01North Puget Sound"/>
    <n v="5337.1212938005401"/>
    <n v="18359.697250673857"/>
  </r>
  <r>
    <n v="1436"/>
    <x v="3"/>
    <x v="1"/>
    <x v="3"/>
    <s v="Freshwater"/>
    <s v="2Freshwater"/>
    <s v="Salmon"/>
    <s v="830"/>
    <s v="Skagit River"/>
    <s v="Skagit River"/>
    <s v="Skagit/Whatcom"/>
    <x v="4"/>
    <s v="Thurston"/>
    <s v="08Thurston"/>
    <s v="02South Puget Sound"/>
    <n v="53.910316098995402"/>
    <n v="185.45148738054419"/>
  </r>
  <r>
    <n v="1437"/>
    <x v="3"/>
    <x v="1"/>
    <x v="3"/>
    <s v="Freshwater"/>
    <s v="2Freshwater"/>
    <s v="Salmon"/>
    <s v="830"/>
    <s v="Skagit River"/>
    <s v="Skagit River"/>
    <s v="Skagit/Whatcom"/>
    <x v="4"/>
    <s v="Whatcom"/>
    <s v="01Whatcom"/>
    <s v="01North Puget Sound"/>
    <n v="6586.0436167606003"/>
    <n v="22655.990041656463"/>
  </r>
  <r>
    <n v="1438"/>
    <x v="3"/>
    <x v="2"/>
    <x v="3"/>
    <s v="Freshwater"/>
    <s v="2Freshwater"/>
    <s v="Salmon"/>
    <s v="830"/>
    <s v="Skagit River"/>
    <s v="Skagit River"/>
    <s v="Skagit/Whatcom"/>
    <x v="4"/>
    <s v="Island"/>
    <s v="04Island"/>
    <s v="01North Puget Sound"/>
    <n v="314.41796008869198"/>
    <n v="1081.5977827051004"/>
  </r>
  <r>
    <n v="1439"/>
    <x v="3"/>
    <x v="2"/>
    <x v="3"/>
    <s v="Freshwater"/>
    <s v="2Freshwater"/>
    <s v="Salmon"/>
    <s v="830"/>
    <s v="Skagit River"/>
    <s v="Skagit River"/>
    <s v="Skagit/Whatcom"/>
    <x v="4"/>
    <s v="King"/>
    <s v="06King"/>
    <s v="02South Puget Sound"/>
    <n v="296.451219512195"/>
    <n v="1019.7921951219507"/>
  </r>
  <r>
    <n v="1440"/>
    <x v="3"/>
    <x v="2"/>
    <x v="3"/>
    <s v="Freshwater"/>
    <s v="2Freshwater"/>
    <s v="Salmon"/>
    <s v="830"/>
    <s v="Skagit River"/>
    <s v="Skagit River"/>
    <s v="Skagit/Whatcom"/>
    <x v="4"/>
    <s v="Mason"/>
    <s v="09Mason"/>
    <s v="02South Puget Sound"/>
    <n v="53.900221729489999"/>
    <n v="185.41676274944558"/>
  </r>
  <r>
    <n v="1441"/>
    <x v="3"/>
    <x v="2"/>
    <x v="3"/>
    <s v="Freshwater"/>
    <s v="2Freshwater"/>
    <s v="Salmon"/>
    <s v="830"/>
    <s v="Skagit River"/>
    <s v="Skagit River"/>
    <s v="Skagit/Whatcom"/>
    <x v="4"/>
    <s v="Other"/>
    <s v="20Other"/>
    <s v="07Non Puget Sound"/>
    <n v="260.51773835920199"/>
    <n v="896.18101995565485"/>
  </r>
  <r>
    <n v="1442"/>
    <x v="3"/>
    <x v="2"/>
    <x v="3"/>
    <s v="Freshwater"/>
    <s v="2Freshwater"/>
    <s v="Salmon"/>
    <s v="830"/>
    <s v="Skagit River"/>
    <s v="Skagit River"/>
    <s v="Skagit/Whatcom"/>
    <x v="4"/>
    <s v="Pierce"/>
    <s v="07Pierce"/>
    <s v="02South Puget Sound"/>
    <n v="44.916851441241697"/>
    <n v="154.51396895787144"/>
  </r>
  <r>
    <n v="1443"/>
    <x v="3"/>
    <x v="2"/>
    <x v="3"/>
    <s v="Freshwater"/>
    <s v="2Freshwater"/>
    <s v="Salmon"/>
    <s v="830"/>
    <s v="Skagit River"/>
    <s v="Skagit River"/>
    <s v="Skagit/Whatcom"/>
    <x v="4"/>
    <s v="Skagit"/>
    <s v="02Skagit"/>
    <s v="01North Puget Sound"/>
    <n v="5731.3902439024396"/>
    <n v="19715.982439024392"/>
  </r>
  <r>
    <n v="1444"/>
    <x v="3"/>
    <x v="2"/>
    <x v="3"/>
    <s v="Freshwater"/>
    <s v="2Freshwater"/>
    <s v="Salmon"/>
    <s v="830"/>
    <s v="Skagit River"/>
    <s v="Skagit River"/>
    <s v="Skagit/Whatcom"/>
    <x v="4"/>
    <s v="Snohomish"/>
    <s v="03Snohomish"/>
    <s v="01North Puget Sound"/>
    <n v="539.00221729489999"/>
    <n v="1854.1676274944559"/>
  </r>
  <r>
    <n v="1445"/>
    <x v="3"/>
    <x v="2"/>
    <x v="3"/>
    <s v="Freshwater"/>
    <s v="2Freshwater"/>
    <s v="Salmon"/>
    <s v="830"/>
    <s v="Skagit River"/>
    <s v="Skagit River"/>
    <s v="Skagit/Whatcom"/>
    <x v="4"/>
    <s v="Whatcom"/>
    <s v="01Whatcom"/>
    <s v="01North Puget Sound"/>
    <n v="862.40354767184101"/>
    <n v="2966.6682039911329"/>
  </r>
  <r>
    <n v="1446"/>
    <x v="3"/>
    <x v="3"/>
    <x v="3"/>
    <s v="Freshwater"/>
    <s v="2Freshwater"/>
    <s v="Salmon"/>
    <s v="830"/>
    <s v="Skagit River"/>
    <s v="Skagit River"/>
    <s v="Skagit/Whatcom"/>
    <x v="4"/>
    <s v="King"/>
    <s v="06King"/>
    <s v="02South Puget Sound"/>
    <n v="80.872340425531902"/>
    <n v="278.20085106382976"/>
  </r>
  <r>
    <n v="1447"/>
    <x v="3"/>
    <x v="3"/>
    <x v="3"/>
    <s v="Freshwater"/>
    <s v="2Freshwater"/>
    <s v="Salmon"/>
    <s v="830"/>
    <s v="Skagit River"/>
    <s v="Skagit River"/>
    <s v="Skagit/Whatcom"/>
    <x v="4"/>
    <s v="Other"/>
    <s v="20Other"/>
    <s v="07Non Puget Sound"/>
    <n v="35.943262411347497"/>
    <n v="123.64482269503539"/>
  </r>
  <r>
    <n v="1448"/>
    <x v="3"/>
    <x v="3"/>
    <x v="3"/>
    <s v="Freshwater"/>
    <s v="2Freshwater"/>
    <s v="Salmon"/>
    <s v="830"/>
    <s v="Skagit River"/>
    <s v="Skagit River"/>
    <s v="Skagit/Whatcom"/>
    <x v="4"/>
    <s v="Skagit"/>
    <s v="02Skagit"/>
    <s v="01North Puget Sound"/>
    <n v="889.595744680851"/>
    <n v="3060.2093617021274"/>
  </r>
  <r>
    <n v="1449"/>
    <x v="3"/>
    <x v="3"/>
    <x v="3"/>
    <s v="Freshwater"/>
    <s v="2Freshwater"/>
    <s v="Salmon"/>
    <s v="830"/>
    <s v="Skagit River"/>
    <s v="Skagit River"/>
    <s v="Skagit/Whatcom"/>
    <x v="4"/>
    <s v="Snohomish"/>
    <s v="03Snohomish"/>
    <s v="01North Puget Sound"/>
    <n v="53.914893617021299"/>
    <n v="185.46723404255326"/>
  </r>
  <r>
    <n v="1450"/>
    <x v="3"/>
    <x v="3"/>
    <x v="3"/>
    <s v="Freshwater"/>
    <s v="2Freshwater"/>
    <s v="Salmon"/>
    <s v="830"/>
    <s v="Skagit River"/>
    <s v="Skagit River"/>
    <s v="Skagit/Whatcom"/>
    <x v="4"/>
    <s v="Whatcom"/>
    <s v="01Whatcom"/>
    <s v="01North Puget Sound"/>
    <n v="206.673758865248"/>
    <n v="710.95773049645311"/>
  </r>
  <r>
    <n v="1451"/>
    <x v="3"/>
    <x v="4"/>
    <x v="3"/>
    <s v="Freshwater"/>
    <s v="2Freshwater"/>
    <s v="Salmon"/>
    <s v="830"/>
    <s v="Skagit River"/>
    <s v="Skagit River"/>
    <s v="Skagit/Whatcom"/>
    <x v="4"/>
    <s v="Kitsap"/>
    <s v="10Kitsap"/>
    <s v="02South Puget Sound"/>
    <n v="18"/>
    <n v="61.92"/>
  </r>
  <r>
    <n v="1452"/>
    <x v="3"/>
    <x v="4"/>
    <x v="3"/>
    <s v="Freshwater"/>
    <s v="2Freshwater"/>
    <s v="Salmon"/>
    <s v="830"/>
    <s v="Skagit River"/>
    <s v="Skagit River"/>
    <s v="Skagit/Whatcom"/>
    <x v="4"/>
    <s v="Other"/>
    <s v="20Other"/>
    <s v="07Non Puget Sound"/>
    <n v="18"/>
    <n v="61.92"/>
  </r>
  <r>
    <n v="1453"/>
    <x v="3"/>
    <x v="4"/>
    <x v="3"/>
    <s v="Freshwater"/>
    <s v="2Freshwater"/>
    <s v="Salmon"/>
    <s v="830"/>
    <s v="Skagit River"/>
    <s v="Skagit River"/>
    <s v="Skagit/Whatcom"/>
    <x v="4"/>
    <s v="Skagit"/>
    <s v="02Skagit"/>
    <s v="01North Puget Sound"/>
    <n v="54"/>
    <n v="185.76"/>
  </r>
  <r>
    <n v="1454"/>
    <x v="3"/>
    <x v="5"/>
    <x v="3"/>
    <s v="Freshwater"/>
    <s v="2Freshwater"/>
    <s v="Salmon"/>
    <s v="834"/>
    <s v="Skokomish River"/>
    <s v="Skokomish River"/>
    <s v="Mason"/>
    <x v="2"/>
    <s v="King"/>
    <s v="06King"/>
    <s v="02South Puget Sound"/>
    <n v="128.58695652173901"/>
    <n v="442.33913043478219"/>
  </r>
  <r>
    <n v="1455"/>
    <x v="3"/>
    <x v="5"/>
    <x v="3"/>
    <s v="Freshwater"/>
    <s v="2Freshwater"/>
    <s v="Salmon"/>
    <s v="834"/>
    <s v="Skokomish River"/>
    <s v="Skokomish River"/>
    <s v="Mason"/>
    <x v="2"/>
    <s v="Kitsap"/>
    <s v="10Kitsap"/>
    <s v="02South Puget Sound"/>
    <n v="55.1086956521739"/>
    <n v="189.5739130434782"/>
  </r>
  <r>
    <n v="1456"/>
    <x v="3"/>
    <x v="5"/>
    <x v="3"/>
    <s v="Freshwater"/>
    <s v="2Freshwater"/>
    <s v="Salmon"/>
    <s v="834"/>
    <s v="Skokomish River"/>
    <s v="Skokomish River"/>
    <s v="Mason"/>
    <x v="2"/>
    <s v="Mason"/>
    <s v="09Mason"/>
    <s v="02South Puget Sound"/>
    <n v="110.217391304348"/>
    <n v="379.14782608695708"/>
  </r>
  <r>
    <n v="1457"/>
    <x v="3"/>
    <x v="5"/>
    <x v="3"/>
    <s v="Freshwater"/>
    <s v="2Freshwater"/>
    <s v="Salmon"/>
    <s v="834"/>
    <s v="Skokomish River"/>
    <s v="Skokomish River"/>
    <s v="Mason"/>
    <x v="2"/>
    <s v="Other"/>
    <s v="20Other"/>
    <s v="07Non Puget Sound"/>
    <n v="91.847826086956502"/>
    <n v="315.95652173913038"/>
  </r>
  <r>
    <n v="1458"/>
    <x v="3"/>
    <x v="5"/>
    <x v="3"/>
    <s v="Freshwater"/>
    <s v="2Freshwater"/>
    <s v="Salmon"/>
    <s v="834"/>
    <s v="Skokomish River"/>
    <s v="Skokomish River"/>
    <s v="Mason"/>
    <x v="2"/>
    <s v="Pierce"/>
    <s v="07Pierce"/>
    <s v="02South Puget Sound"/>
    <n v="312.28260869565202"/>
    <n v="1074.252173913043"/>
  </r>
  <r>
    <n v="1459"/>
    <x v="3"/>
    <x v="5"/>
    <x v="3"/>
    <s v="Freshwater"/>
    <s v="2Freshwater"/>
    <s v="Salmon"/>
    <s v="834"/>
    <s v="Skokomish River"/>
    <s v="Skokomish River"/>
    <s v="Mason"/>
    <x v="2"/>
    <s v="Snohomish"/>
    <s v="03Snohomish"/>
    <s v="01North Puget Sound"/>
    <n v="55.1086956521739"/>
    <n v="189.5739130434782"/>
  </r>
  <r>
    <n v="1460"/>
    <x v="3"/>
    <x v="5"/>
    <x v="3"/>
    <s v="Freshwater"/>
    <s v="2Freshwater"/>
    <s v="Salmon"/>
    <s v="834"/>
    <s v="Skokomish River"/>
    <s v="Skokomish River"/>
    <s v="Mason"/>
    <x v="2"/>
    <s v="Thurston"/>
    <s v="08Thurston"/>
    <s v="02South Puget Sound"/>
    <n v="91.847826086956502"/>
    <n v="315.95652173913038"/>
  </r>
  <r>
    <n v="1461"/>
    <x v="3"/>
    <x v="0"/>
    <x v="3"/>
    <s v="Freshwater"/>
    <s v="2Freshwater"/>
    <s v="Salmon"/>
    <s v="834"/>
    <s v="Skokomish River"/>
    <s v="Skokomish River"/>
    <s v="Mason"/>
    <x v="2"/>
    <s v="King"/>
    <s v="06King"/>
    <s v="02South Puget Sound"/>
    <n v="800.07984031936201"/>
    <n v="2752.2746506986055"/>
  </r>
  <r>
    <n v="1462"/>
    <x v="3"/>
    <x v="0"/>
    <x v="3"/>
    <s v="Freshwater"/>
    <s v="2Freshwater"/>
    <s v="Salmon"/>
    <s v="834"/>
    <s v="Skokomish River"/>
    <s v="Skokomish River"/>
    <s v="Mason"/>
    <x v="2"/>
    <s v="Kitsap"/>
    <s v="10Kitsap"/>
    <s v="02South Puget Sound"/>
    <n v="390.948103792415"/>
    <n v="1344.8614770459076"/>
  </r>
  <r>
    <n v="1463"/>
    <x v="3"/>
    <x v="0"/>
    <x v="3"/>
    <s v="Freshwater"/>
    <s v="2Freshwater"/>
    <s v="Salmon"/>
    <s v="834"/>
    <s v="Skokomish River"/>
    <s v="Skokomish River"/>
    <s v="Mason"/>
    <x v="2"/>
    <s v="Mason"/>
    <s v="09Mason"/>
    <s v="02South Puget Sound"/>
    <n v="600.05988023952102"/>
    <n v="2064.2059880239522"/>
  </r>
  <r>
    <n v="1464"/>
    <x v="3"/>
    <x v="0"/>
    <x v="3"/>
    <s v="Freshwater"/>
    <s v="2Freshwater"/>
    <s v="Salmon"/>
    <s v="834"/>
    <s v="Skokomish River"/>
    <s v="Skokomish River"/>
    <s v="Mason"/>
    <x v="2"/>
    <s v="Other"/>
    <s v="20Other"/>
    <s v="07Non Puget Sound"/>
    <n v="418.22355289421199"/>
    <n v="1438.6890219560892"/>
  </r>
  <r>
    <n v="1465"/>
    <x v="3"/>
    <x v="0"/>
    <x v="3"/>
    <s v="Freshwater"/>
    <s v="2Freshwater"/>
    <s v="Salmon"/>
    <s v="834"/>
    <s v="Skokomish River"/>
    <s v="Skokomish River"/>
    <s v="Mason"/>
    <x v="2"/>
    <s v="Pierce"/>
    <s v="07Pierce"/>
    <s v="02South Puget Sound"/>
    <n v="1200.11976047904"/>
    <n v="4128.411976047898"/>
  </r>
  <r>
    <n v="1466"/>
    <x v="3"/>
    <x v="0"/>
    <x v="3"/>
    <s v="Freshwater"/>
    <s v="2Freshwater"/>
    <s v="Salmon"/>
    <s v="834"/>
    <s v="Skokomish River"/>
    <s v="Skokomish River"/>
    <s v="Mason"/>
    <x v="2"/>
    <s v="Snohomish"/>
    <s v="03Snohomish"/>
    <s v="01North Puget Sound"/>
    <n v="145.46906187624799"/>
    <n v="500.41357285429308"/>
  </r>
  <r>
    <n v="1467"/>
    <x v="3"/>
    <x v="0"/>
    <x v="3"/>
    <s v="Freshwater"/>
    <s v="2Freshwater"/>
    <s v="Salmon"/>
    <s v="834"/>
    <s v="Skokomish River"/>
    <s v="Skokomish River"/>
    <s v="Mason"/>
    <x v="2"/>
    <s v="Thurston"/>
    <s v="08Thurston"/>
    <s v="02South Puget Sound"/>
    <n v="1000.0998003992"/>
    <n v="3440.3433133732483"/>
  </r>
  <r>
    <n v="1468"/>
    <x v="3"/>
    <x v="1"/>
    <x v="3"/>
    <s v="Freshwater"/>
    <s v="2Freshwater"/>
    <s v="Salmon"/>
    <s v="834"/>
    <s v="Skokomish River"/>
    <s v="Skokomish River"/>
    <s v="Mason"/>
    <x v="2"/>
    <s v="King"/>
    <s v="06King"/>
    <s v="02South Puget Sound"/>
    <n v="64.414141414141397"/>
    <n v="221.5846464646464"/>
  </r>
  <r>
    <n v="1469"/>
    <x v="3"/>
    <x v="1"/>
    <x v="3"/>
    <s v="Freshwater"/>
    <s v="2Freshwater"/>
    <s v="Salmon"/>
    <s v="834"/>
    <s v="Skokomish River"/>
    <s v="Skokomish River"/>
    <s v="Mason"/>
    <x v="2"/>
    <s v="Kitsap"/>
    <s v="10Kitsap"/>
    <s v="02South Puget Sound"/>
    <n v="55.212121212121197"/>
    <n v="189.92969696969692"/>
  </r>
  <r>
    <n v="1470"/>
    <x v="3"/>
    <x v="1"/>
    <x v="3"/>
    <s v="Freshwater"/>
    <s v="2Freshwater"/>
    <s v="Salmon"/>
    <s v="834"/>
    <s v="Skokomish River"/>
    <s v="Skokomish River"/>
    <s v="Mason"/>
    <x v="2"/>
    <s v="Mason"/>
    <s v="09Mason"/>
    <s v="02South Puget Sound"/>
    <n v="294.46464646464699"/>
    <n v="1012.9583838383857"/>
  </r>
  <r>
    <n v="1471"/>
    <x v="3"/>
    <x v="1"/>
    <x v="3"/>
    <s v="Freshwater"/>
    <s v="2Freshwater"/>
    <s v="Salmon"/>
    <s v="834"/>
    <s v="Skokomish River"/>
    <s v="Skokomish River"/>
    <s v="Mason"/>
    <x v="2"/>
    <s v="Other"/>
    <s v="20Other"/>
    <s v="07Non Puget Sound"/>
    <n v="119.626262626263"/>
    <n v="411.51434343434471"/>
  </r>
  <r>
    <n v="1472"/>
    <x v="3"/>
    <x v="1"/>
    <x v="3"/>
    <s v="Freshwater"/>
    <s v="2Freshwater"/>
    <s v="Salmon"/>
    <s v="834"/>
    <s v="Skokomish River"/>
    <s v="Skokomish River"/>
    <s v="Mason"/>
    <x v="2"/>
    <s v="Pierce"/>
    <s v="07Pierce"/>
    <s v="02South Puget Sound"/>
    <n v="147.23232323232301"/>
    <n v="506.47919191919118"/>
  </r>
  <r>
    <n v="1473"/>
    <x v="3"/>
    <x v="1"/>
    <x v="3"/>
    <s v="Freshwater"/>
    <s v="2Freshwater"/>
    <s v="Salmon"/>
    <s v="834"/>
    <s v="Skokomish River"/>
    <s v="Skokomish River"/>
    <s v="Mason"/>
    <x v="2"/>
    <s v="Thurston"/>
    <s v="08Thurston"/>
    <s v="02South Puget Sound"/>
    <n v="230.050505050505"/>
    <n v="791.37373737373719"/>
  </r>
  <r>
    <n v="1474"/>
    <x v="3"/>
    <x v="2"/>
    <x v="3"/>
    <s v="Freshwater"/>
    <s v="2Freshwater"/>
    <s v="Salmon"/>
    <s v="834"/>
    <s v="Skokomish River"/>
    <s v="Skokomish River"/>
    <s v="Mason"/>
    <x v="2"/>
    <s v="Jefferson"/>
    <s v="12Jefferson"/>
    <s v="03Strait of Juan de Fuca"/>
    <n v="54.908011869436201"/>
    <n v="188.88356083086052"/>
  </r>
  <r>
    <n v="1475"/>
    <x v="3"/>
    <x v="2"/>
    <x v="3"/>
    <s v="Freshwater"/>
    <s v="2Freshwater"/>
    <s v="Salmon"/>
    <s v="834"/>
    <s v="Skokomish River"/>
    <s v="Skokomish River"/>
    <s v="Mason"/>
    <x v="2"/>
    <s v="King"/>
    <s v="06King"/>
    <s v="02South Puget Sound"/>
    <n v="841.92284866468901"/>
    <n v="2896.2145994065299"/>
  </r>
  <r>
    <n v="1476"/>
    <x v="3"/>
    <x v="2"/>
    <x v="3"/>
    <s v="Freshwater"/>
    <s v="2Freshwater"/>
    <s v="Salmon"/>
    <s v="834"/>
    <s v="Skokomish River"/>
    <s v="Skokomish River"/>
    <s v="Mason"/>
    <x v="2"/>
    <s v="Kitsap"/>
    <s v="10Kitsap"/>
    <s v="02South Puget Sound"/>
    <n v="18.302670623145399"/>
    <n v="62.96118694362017"/>
  </r>
  <r>
    <n v="1477"/>
    <x v="3"/>
    <x v="2"/>
    <x v="3"/>
    <s v="Freshwater"/>
    <s v="2Freshwater"/>
    <s v="Salmon"/>
    <s v="834"/>
    <s v="Skokomish River"/>
    <s v="Skokomish River"/>
    <s v="Mason"/>
    <x v="2"/>
    <s v="Mason"/>
    <s v="09Mason"/>
    <s v="02South Puget Sound"/>
    <n v="311.145400593472"/>
    <n v="1070.3401780415436"/>
  </r>
  <r>
    <n v="1478"/>
    <x v="3"/>
    <x v="2"/>
    <x v="3"/>
    <s v="Freshwater"/>
    <s v="2Freshwater"/>
    <s v="Salmon"/>
    <s v="834"/>
    <s v="Skokomish River"/>
    <s v="Skokomish River"/>
    <s v="Mason"/>
    <x v="2"/>
    <s v="Other"/>
    <s v="20Other"/>
    <s v="07Non Puget Sound"/>
    <n v="649.74480712166201"/>
    <n v="2235.1221364985172"/>
  </r>
  <r>
    <n v="1479"/>
    <x v="3"/>
    <x v="2"/>
    <x v="3"/>
    <s v="Freshwater"/>
    <s v="2Freshwater"/>
    <s v="Salmon"/>
    <s v="834"/>
    <s v="Skokomish River"/>
    <s v="Skokomish River"/>
    <s v="Mason"/>
    <x v="2"/>
    <s v="Pierce"/>
    <s v="07Pierce"/>
    <s v="02South Puget Sound"/>
    <n v="668.047477744807"/>
    <n v="2298.0833234421361"/>
  </r>
  <r>
    <n v="1480"/>
    <x v="3"/>
    <x v="2"/>
    <x v="3"/>
    <s v="Freshwater"/>
    <s v="2Freshwater"/>
    <s v="Salmon"/>
    <s v="834"/>
    <s v="Skokomish River"/>
    <s v="Skokomish River"/>
    <s v="Mason"/>
    <x v="2"/>
    <s v="Snohomish"/>
    <s v="03Snohomish"/>
    <s v="01North Puget Sound"/>
    <n v="64.059347181008903"/>
    <n v="220.36415430267061"/>
  </r>
  <r>
    <n v="1481"/>
    <x v="3"/>
    <x v="2"/>
    <x v="3"/>
    <s v="Freshwater"/>
    <s v="2Freshwater"/>
    <s v="Salmon"/>
    <s v="834"/>
    <s v="Skokomish River"/>
    <s v="Skokomish River"/>
    <s v="Mason"/>
    <x v="2"/>
    <s v="Thurston"/>
    <s v="08Thurston"/>
    <s v="02South Puget Sound"/>
    <n v="475.86943620178101"/>
    <n v="1636.9908605341266"/>
  </r>
  <r>
    <n v="1482"/>
    <x v="3"/>
    <x v="3"/>
    <x v="3"/>
    <s v="Freshwater"/>
    <s v="2Freshwater"/>
    <s v="Salmon"/>
    <s v="834"/>
    <s v="Skokomish River"/>
    <s v="Skokomish River"/>
    <s v="Mason"/>
    <x v="2"/>
    <s v="King"/>
    <s v="06King"/>
    <s v="02South Puget Sound"/>
    <n v="1452.93103448276"/>
    <n v="4998.0827586206942"/>
  </r>
  <r>
    <n v="1483"/>
    <x v="3"/>
    <x v="3"/>
    <x v="3"/>
    <s v="Freshwater"/>
    <s v="2Freshwater"/>
    <s v="Salmon"/>
    <s v="834"/>
    <s v="Skokomish River"/>
    <s v="Skokomish River"/>
    <s v="Mason"/>
    <x v="2"/>
    <s v="Kitsap"/>
    <s v="10Kitsap"/>
    <s v="02South Puget Sound"/>
    <n v="155.344827586207"/>
    <n v="534.38620689655204"/>
  </r>
  <r>
    <n v="1484"/>
    <x v="3"/>
    <x v="3"/>
    <x v="3"/>
    <s v="Freshwater"/>
    <s v="2Freshwater"/>
    <s v="Salmon"/>
    <s v="834"/>
    <s v="Skokomish River"/>
    <s v="Skokomish River"/>
    <s v="Mason"/>
    <x v="2"/>
    <s v="Mason"/>
    <s v="09Mason"/>
    <s v="02South Puget Sound"/>
    <n v="137.068965517241"/>
    <n v="471.51724137930904"/>
  </r>
  <r>
    <n v="1485"/>
    <x v="3"/>
    <x v="3"/>
    <x v="3"/>
    <s v="Freshwater"/>
    <s v="2Freshwater"/>
    <s v="Salmon"/>
    <s v="834"/>
    <s v="Skokomish River"/>
    <s v="Skokomish River"/>
    <s v="Mason"/>
    <x v="2"/>
    <s v="Other"/>
    <s v="20Other"/>
    <s v="07Non Puget Sound"/>
    <n v="246.72413793103499"/>
    <n v="848.73103448276038"/>
  </r>
  <r>
    <n v="1486"/>
    <x v="3"/>
    <x v="3"/>
    <x v="3"/>
    <s v="Freshwater"/>
    <s v="2Freshwater"/>
    <s v="Salmon"/>
    <s v="834"/>
    <s v="Skokomish River"/>
    <s v="Skokomish River"/>
    <s v="Mason"/>
    <x v="2"/>
    <s v="Pierce"/>
    <s v="07Pierce"/>
    <s v="02South Puget Sound"/>
    <n v="795"/>
    <n v="2734.8"/>
  </r>
  <r>
    <n v="1487"/>
    <x v="3"/>
    <x v="3"/>
    <x v="3"/>
    <s v="Freshwater"/>
    <s v="2Freshwater"/>
    <s v="Salmon"/>
    <s v="834"/>
    <s v="Skokomish River"/>
    <s v="Skokomish River"/>
    <s v="Mason"/>
    <x v="2"/>
    <s v="Snohomish"/>
    <s v="03Snohomish"/>
    <s v="01North Puget Sound"/>
    <n v="338.10344827586198"/>
    <n v="1163.0758620689651"/>
  </r>
  <r>
    <n v="1488"/>
    <x v="3"/>
    <x v="3"/>
    <x v="3"/>
    <s v="Freshwater"/>
    <s v="2Freshwater"/>
    <s v="Salmon"/>
    <s v="834"/>
    <s v="Skokomish River"/>
    <s v="Skokomish River"/>
    <s v="Mason"/>
    <x v="2"/>
    <s v="Thurston"/>
    <s v="08Thurston"/>
    <s v="02South Puget Sound"/>
    <n v="584.82758620689697"/>
    <n v="2011.8068965517255"/>
  </r>
  <r>
    <n v="1489"/>
    <x v="3"/>
    <x v="4"/>
    <x v="3"/>
    <s v="Freshwater"/>
    <s v="2Freshwater"/>
    <s v="Salmon"/>
    <s v="834"/>
    <s v="Skokomish River"/>
    <s v="Skokomish River"/>
    <s v="Mason"/>
    <x v="2"/>
    <s v="King"/>
    <s v="06King"/>
    <s v="02South Puget Sound"/>
    <n v="9.1111111111111107"/>
    <n v="31.342222222222219"/>
  </r>
  <r>
    <n v="1490"/>
    <x v="3"/>
    <x v="4"/>
    <x v="3"/>
    <s v="Freshwater"/>
    <s v="2Freshwater"/>
    <s v="Salmon"/>
    <s v="834"/>
    <s v="Skokomish River"/>
    <s v="Skokomish River"/>
    <s v="Mason"/>
    <x v="2"/>
    <s v="Pierce"/>
    <s v="07Pierce"/>
    <s v="02South Puget Sound"/>
    <n v="18.2222222222222"/>
    <n v="62.684444444444367"/>
  </r>
  <r>
    <n v="1491"/>
    <x v="3"/>
    <x v="4"/>
    <x v="3"/>
    <s v="Freshwater"/>
    <s v="2Freshwater"/>
    <s v="Salmon"/>
    <s v="834"/>
    <s v="Skokomish River"/>
    <s v="Skokomish River"/>
    <s v="Mason"/>
    <x v="2"/>
    <s v="Snohomish"/>
    <s v="03Snohomish"/>
    <s v="01North Puget Sound"/>
    <n v="54.6666666666667"/>
    <n v="188.05333333333346"/>
  </r>
  <r>
    <n v="1492"/>
    <x v="3"/>
    <x v="9"/>
    <x v="3"/>
    <s v="Freshwater"/>
    <s v="2Freshwater"/>
    <s v="Salmon"/>
    <s v="844"/>
    <s v="Skykomish River"/>
    <s v="Skykomish River"/>
    <s v="Snohomish"/>
    <x v="4"/>
    <s v="King"/>
    <s v="06King"/>
    <s v="02South Puget Sound"/>
    <n v="9"/>
    <n v="30.96"/>
  </r>
  <r>
    <n v="1493"/>
    <x v="3"/>
    <x v="9"/>
    <x v="3"/>
    <s v="Freshwater"/>
    <s v="2Freshwater"/>
    <s v="Salmon"/>
    <s v="844"/>
    <s v="Skykomish River"/>
    <s v="Skykomish River"/>
    <s v="Snohomish"/>
    <x v="4"/>
    <s v="Pierce"/>
    <s v="07Pierce"/>
    <s v="02South Puget Sound"/>
    <n v="9"/>
    <n v="30.96"/>
  </r>
  <r>
    <n v="1494"/>
    <x v="3"/>
    <x v="7"/>
    <x v="3"/>
    <s v="Freshwater"/>
    <s v="2Freshwater"/>
    <s v="Salmon"/>
    <s v="844"/>
    <s v="Skykomish River"/>
    <s v="Skykomish River"/>
    <s v="Snohomish"/>
    <x v="4"/>
    <s v="Island"/>
    <s v="04Island"/>
    <s v="01North Puget Sound"/>
    <n v="17.7222222222222"/>
    <n v="60.964444444444368"/>
  </r>
  <r>
    <n v="1495"/>
    <x v="3"/>
    <x v="7"/>
    <x v="3"/>
    <s v="Freshwater"/>
    <s v="2Freshwater"/>
    <s v="Salmon"/>
    <s v="844"/>
    <s v="Skykomish River"/>
    <s v="Skykomish River"/>
    <s v="Snohomish"/>
    <x v="4"/>
    <s v="King"/>
    <s v="06King"/>
    <s v="02South Puget Sound"/>
    <n v="97.4722222222223"/>
    <n v="335.3044444444447"/>
  </r>
  <r>
    <n v="1496"/>
    <x v="3"/>
    <x v="7"/>
    <x v="3"/>
    <s v="Freshwater"/>
    <s v="2Freshwater"/>
    <s v="Salmon"/>
    <s v="844"/>
    <s v="Skykomish River"/>
    <s v="Skykomish River"/>
    <s v="Snohomish"/>
    <x v="4"/>
    <s v="Kitsap"/>
    <s v="10Kitsap"/>
    <s v="02South Puget Sound"/>
    <n v="8.8611111111111107"/>
    <n v="30.482222222222219"/>
  </r>
  <r>
    <n v="1497"/>
    <x v="3"/>
    <x v="7"/>
    <x v="3"/>
    <s v="Freshwater"/>
    <s v="2Freshwater"/>
    <s v="Salmon"/>
    <s v="844"/>
    <s v="Skykomish River"/>
    <s v="Skykomish River"/>
    <s v="Snohomish"/>
    <x v="4"/>
    <s v="Other"/>
    <s v="20Other"/>
    <s v="07Non Puget Sound"/>
    <n v="35.4444444444444"/>
    <n v="121.92888888888874"/>
  </r>
  <r>
    <n v="1498"/>
    <x v="3"/>
    <x v="7"/>
    <x v="3"/>
    <s v="Freshwater"/>
    <s v="2Freshwater"/>
    <s v="Salmon"/>
    <s v="844"/>
    <s v="Skykomish River"/>
    <s v="Skykomish River"/>
    <s v="Snohomish"/>
    <x v="4"/>
    <s v="Snohomish"/>
    <s v="03Snohomish"/>
    <s v="01North Puget Sound"/>
    <n v="150.638888888889"/>
    <n v="518.19777777777813"/>
  </r>
  <r>
    <n v="1499"/>
    <x v="3"/>
    <x v="7"/>
    <x v="3"/>
    <s v="Freshwater"/>
    <s v="2Freshwater"/>
    <s v="Salmon"/>
    <s v="844"/>
    <s v="Skykomish River"/>
    <s v="Skykomish River"/>
    <s v="Snohomish"/>
    <x v="4"/>
    <s v="Thurston"/>
    <s v="08Thurston"/>
    <s v="02South Puget Sound"/>
    <n v="8.8611111111111107"/>
    <n v="30.482222222222219"/>
  </r>
  <r>
    <n v="1500"/>
    <x v="3"/>
    <x v="5"/>
    <x v="3"/>
    <s v="Freshwater"/>
    <s v="2Freshwater"/>
    <s v="Salmon"/>
    <s v="844"/>
    <s v="Skykomish River"/>
    <s v="Skykomish River"/>
    <s v="Snohomish"/>
    <x v="4"/>
    <s v="King"/>
    <s v="06King"/>
    <s v="02South Puget Sound"/>
    <n v="106.666666666667"/>
    <n v="366.93333333333447"/>
  </r>
  <r>
    <n v="1501"/>
    <x v="3"/>
    <x v="5"/>
    <x v="3"/>
    <s v="Freshwater"/>
    <s v="2Freshwater"/>
    <s v="Salmon"/>
    <s v="844"/>
    <s v="Skykomish River"/>
    <s v="Skykomish River"/>
    <s v="Snohomish"/>
    <x v="4"/>
    <s v="Kitsap"/>
    <s v="10Kitsap"/>
    <s v="02South Puget Sound"/>
    <n v="8.8888888888888893"/>
    <n v="30.577777777777779"/>
  </r>
  <r>
    <n v="1502"/>
    <x v="3"/>
    <x v="5"/>
    <x v="3"/>
    <s v="Freshwater"/>
    <s v="2Freshwater"/>
    <s v="Salmon"/>
    <s v="844"/>
    <s v="Skykomish River"/>
    <s v="Skykomish River"/>
    <s v="Snohomish"/>
    <x v="4"/>
    <s v="Other"/>
    <s v="20Other"/>
    <s v="07Non Puget Sound"/>
    <n v="71.1111111111111"/>
    <n v="244.62222222222218"/>
  </r>
  <r>
    <n v="1503"/>
    <x v="3"/>
    <x v="5"/>
    <x v="3"/>
    <s v="Freshwater"/>
    <s v="2Freshwater"/>
    <s v="Salmon"/>
    <s v="844"/>
    <s v="Skykomish River"/>
    <s v="Skykomish River"/>
    <s v="Snohomish"/>
    <x v="4"/>
    <s v="Pierce"/>
    <s v="07Pierce"/>
    <s v="02South Puget Sound"/>
    <n v="8.8888888888888893"/>
    <n v="30.577777777777779"/>
  </r>
  <r>
    <n v="1504"/>
    <x v="3"/>
    <x v="5"/>
    <x v="3"/>
    <s v="Freshwater"/>
    <s v="2Freshwater"/>
    <s v="Salmon"/>
    <s v="844"/>
    <s v="Skykomish River"/>
    <s v="Skykomish River"/>
    <s v="Snohomish"/>
    <x v="4"/>
    <s v="Snohomish"/>
    <s v="03Snohomish"/>
    <s v="01North Puget Sound"/>
    <n v="364.44444444444503"/>
    <n v="1253.6888888888909"/>
  </r>
  <r>
    <n v="1505"/>
    <x v="3"/>
    <x v="0"/>
    <x v="3"/>
    <s v="Freshwater"/>
    <s v="2Freshwater"/>
    <s v="Salmon"/>
    <s v="844"/>
    <s v="Skykomish River"/>
    <s v="Skykomish River"/>
    <s v="Snohomish"/>
    <x v="4"/>
    <s v="King"/>
    <s v="06King"/>
    <s v="02South Puget Sound"/>
    <n v="1458.6878980891699"/>
    <n v="5017.8863694267447"/>
  </r>
  <r>
    <n v="1506"/>
    <x v="3"/>
    <x v="0"/>
    <x v="3"/>
    <s v="Freshwater"/>
    <s v="2Freshwater"/>
    <s v="Salmon"/>
    <s v="844"/>
    <s v="Skykomish River"/>
    <s v="Skykomish River"/>
    <s v="Snohomish"/>
    <x v="4"/>
    <s v="Kitsap"/>
    <s v="10Kitsap"/>
    <s v="02South Puget Sound"/>
    <n v="36.016985138004301"/>
    <n v="123.89842887473479"/>
  </r>
  <r>
    <n v="1507"/>
    <x v="3"/>
    <x v="0"/>
    <x v="3"/>
    <s v="Freshwater"/>
    <s v="2Freshwater"/>
    <s v="Salmon"/>
    <s v="844"/>
    <s v="Skykomish River"/>
    <s v="Skykomish River"/>
    <s v="Snohomish"/>
    <x v="4"/>
    <s v="Other"/>
    <s v="20Other"/>
    <s v="07Non Puget Sound"/>
    <n v="216.10191082802601"/>
    <n v="743.3905732484094"/>
  </r>
  <r>
    <n v="1508"/>
    <x v="3"/>
    <x v="0"/>
    <x v="3"/>
    <s v="Freshwater"/>
    <s v="2Freshwater"/>
    <s v="Salmon"/>
    <s v="844"/>
    <s v="Skykomish River"/>
    <s v="Skykomish River"/>
    <s v="Snohomish"/>
    <x v="4"/>
    <s v="Pierce"/>
    <s v="07Pierce"/>
    <s v="02South Puget Sound"/>
    <n v="198.093418259023"/>
    <n v="681.44135881103909"/>
  </r>
  <r>
    <n v="1509"/>
    <x v="3"/>
    <x v="0"/>
    <x v="3"/>
    <s v="Freshwater"/>
    <s v="2Freshwater"/>
    <s v="Salmon"/>
    <s v="844"/>
    <s v="Skykomish River"/>
    <s v="Skykomish River"/>
    <s v="Snohomish"/>
    <x v="4"/>
    <s v="Skagit"/>
    <s v="02Skagit"/>
    <s v="01North Puget Sound"/>
    <n v="135.06369426751601"/>
    <n v="464.61910828025509"/>
  </r>
  <r>
    <n v="1510"/>
    <x v="3"/>
    <x v="0"/>
    <x v="3"/>
    <s v="Freshwater"/>
    <s v="2Freshwater"/>
    <s v="Salmon"/>
    <s v="844"/>
    <s v="Skykomish River"/>
    <s v="Skykomish River"/>
    <s v="Snohomish"/>
    <x v="4"/>
    <s v="Snohomish"/>
    <s v="03Snohomish"/>
    <s v="01North Puget Sound"/>
    <n v="2088.9851380042501"/>
    <n v="7186.1088747346203"/>
  </r>
  <r>
    <n v="1511"/>
    <x v="3"/>
    <x v="0"/>
    <x v="3"/>
    <s v="Freshwater"/>
    <s v="2Freshwater"/>
    <s v="Salmon"/>
    <s v="844"/>
    <s v="Skykomish River"/>
    <s v="Skykomish River"/>
    <s v="Snohomish"/>
    <x v="4"/>
    <s v="Thurston"/>
    <s v="08Thurston"/>
    <s v="02South Puget Sound"/>
    <n v="36.016985138004301"/>
    <n v="123.89842887473479"/>
  </r>
  <r>
    <n v="1512"/>
    <x v="3"/>
    <x v="0"/>
    <x v="3"/>
    <s v="Freshwater"/>
    <s v="2Freshwater"/>
    <s v="Salmon"/>
    <s v="844"/>
    <s v="Skykomish River"/>
    <s v="Skykomish River"/>
    <s v="Snohomish"/>
    <x v="4"/>
    <s v="Whatcom"/>
    <s v="01Whatcom"/>
    <s v="01North Puget Sound"/>
    <n v="72.033970276008503"/>
    <n v="247.79685774946924"/>
  </r>
  <r>
    <n v="1513"/>
    <x v="3"/>
    <x v="1"/>
    <x v="3"/>
    <s v="Freshwater"/>
    <s v="2Freshwater"/>
    <s v="Salmon"/>
    <s v="844"/>
    <s v="Skykomish River"/>
    <s v="Skykomish River"/>
    <s v="Snohomish"/>
    <x v="4"/>
    <s v="Island"/>
    <s v="04Island"/>
    <s v="01North Puget Sound"/>
    <n v="9.0109976433621402"/>
    <n v="30.997831893165763"/>
  </r>
  <r>
    <n v="1514"/>
    <x v="3"/>
    <x v="1"/>
    <x v="3"/>
    <s v="Freshwater"/>
    <s v="2Freshwater"/>
    <s v="Salmon"/>
    <s v="844"/>
    <s v="Skykomish River"/>
    <s v="Skykomish River"/>
    <s v="Snohomish"/>
    <x v="4"/>
    <s v="King"/>
    <s v="06King"/>
    <s v="02South Puget Sound"/>
    <n v="3685.4980361351099"/>
    <n v="12678.113244304777"/>
  </r>
  <r>
    <n v="1515"/>
    <x v="3"/>
    <x v="1"/>
    <x v="3"/>
    <s v="Freshwater"/>
    <s v="2Freshwater"/>
    <s v="Salmon"/>
    <s v="844"/>
    <s v="Skykomish River"/>
    <s v="Skykomish River"/>
    <s v="Snohomish"/>
    <x v="4"/>
    <s v="Kitsap"/>
    <s v="10Kitsap"/>
    <s v="02South Puget Sound"/>
    <n v="36.043990573448603"/>
    <n v="123.9913275726632"/>
  </r>
  <r>
    <n v="1516"/>
    <x v="3"/>
    <x v="1"/>
    <x v="3"/>
    <s v="Freshwater"/>
    <s v="2Freshwater"/>
    <s v="Salmon"/>
    <s v="844"/>
    <s v="Skykomish River"/>
    <s v="Skykomish River"/>
    <s v="Snohomish"/>
    <x v="4"/>
    <s v="Other"/>
    <s v="20Other"/>
    <s v="07Non Puget Sound"/>
    <n v="1315.6056559308699"/>
    <n v="4525.6834564021929"/>
  </r>
  <r>
    <n v="1517"/>
    <x v="3"/>
    <x v="1"/>
    <x v="3"/>
    <s v="Freshwater"/>
    <s v="2Freshwater"/>
    <s v="Salmon"/>
    <s v="844"/>
    <s v="Skykomish River"/>
    <s v="Skykomish River"/>
    <s v="Snohomish"/>
    <x v="4"/>
    <s v="Pierce"/>
    <s v="07Pierce"/>
    <s v="02South Puget Sound"/>
    <n v="252.30793401413999"/>
    <n v="867.93929300864158"/>
  </r>
  <r>
    <n v="1518"/>
    <x v="3"/>
    <x v="1"/>
    <x v="3"/>
    <s v="Freshwater"/>
    <s v="2Freshwater"/>
    <s v="Salmon"/>
    <s v="844"/>
    <s v="Skykomish River"/>
    <s v="Skykomish River"/>
    <s v="Snohomish"/>
    <x v="4"/>
    <s v="Skagit"/>
    <s v="02Skagit"/>
    <s v="01North Puget Sound"/>
    <n v="36.043990573448603"/>
    <n v="123.9913275726632"/>
  </r>
  <r>
    <n v="1519"/>
    <x v="3"/>
    <x v="1"/>
    <x v="3"/>
    <s v="Freshwater"/>
    <s v="2Freshwater"/>
    <s v="Salmon"/>
    <s v="844"/>
    <s v="Skykomish River"/>
    <s v="Skykomish River"/>
    <s v="Snohomish"/>
    <x v="4"/>
    <s v="Snohomish"/>
    <s v="03Snohomish"/>
    <s v="01North Puget Sound"/>
    <n v="6073.41241162608"/>
    <n v="20892.538695993713"/>
  </r>
  <r>
    <n v="1520"/>
    <x v="3"/>
    <x v="1"/>
    <x v="3"/>
    <s v="Freshwater"/>
    <s v="2Freshwater"/>
    <s v="Salmon"/>
    <s v="844"/>
    <s v="Skykomish River"/>
    <s v="Skykomish River"/>
    <s v="Snohomish"/>
    <x v="4"/>
    <s v="Whatcom"/>
    <s v="01Whatcom"/>
    <s v="01North Puget Sound"/>
    <n v="63.076983503534997"/>
    <n v="216.9848232521604"/>
  </r>
  <r>
    <n v="1521"/>
    <x v="3"/>
    <x v="2"/>
    <x v="3"/>
    <s v="Freshwater"/>
    <s v="2Freshwater"/>
    <s v="Salmon"/>
    <s v="844"/>
    <s v="Skykomish River"/>
    <s v="Skykomish River"/>
    <s v="Snohomish"/>
    <x v="4"/>
    <s v="King"/>
    <s v="06King"/>
    <s v="02South Puget Sound"/>
    <n v="1234.08157894737"/>
    <n v="4245.2406315789522"/>
  </r>
  <r>
    <n v="1522"/>
    <x v="3"/>
    <x v="2"/>
    <x v="3"/>
    <s v="Freshwater"/>
    <s v="2Freshwater"/>
    <s v="Salmon"/>
    <s v="844"/>
    <s v="Skykomish River"/>
    <s v="Skykomish River"/>
    <s v="Snohomish"/>
    <x v="4"/>
    <s v="Kitsap"/>
    <s v="10Kitsap"/>
    <s v="02South Puget Sound"/>
    <n v="27.023684210526302"/>
    <n v="92.961473684210475"/>
  </r>
  <r>
    <n v="1523"/>
    <x v="3"/>
    <x v="2"/>
    <x v="3"/>
    <s v="Freshwater"/>
    <s v="2Freshwater"/>
    <s v="Salmon"/>
    <s v="844"/>
    <s v="Skykomish River"/>
    <s v="Skykomish River"/>
    <s v="Snohomish"/>
    <x v="4"/>
    <s v="Mason"/>
    <s v="09Mason"/>
    <s v="02South Puget Sound"/>
    <n v="18.015789473684201"/>
    <n v="61.97431578947365"/>
  </r>
  <r>
    <n v="1524"/>
    <x v="3"/>
    <x v="2"/>
    <x v="3"/>
    <s v="Freshwater"/>
    <s v="2Freshwater"/>
    <s v="Salmon"/>
    <s v="844"/>
    <s v="Skykomish River"/>
    <s v="Skykomish River"/>
    <s v="Snohomish"/>
    <x v="4"/>
    <s v="Other"/>
    <s v="20Other"/>
    <s v="07Non Puget Sound"/>
    <n v="144.12631578947401"/>
    <n v="495.79452631579056"/>
  </r>
  <r>
    <n v="1525"/>
    <x v="3"/>
    <x v="2"/>
    <x v="3"/>
    <s v="Freshwater"/>
    <s v="2Freshwater"/>
    <s v="Salmon"/>
    <s v="844"/>
    <s v="Skykomish River"/>
    <s v="Skykomish River"/>
    <s v="Snohomish"/>
    <x v="4"/>
    <s v="Pierce"/>
    <s v="07Pierce"/>
    <s v="02South Puget Sound"/>
    <n v="18.015789473684201"/>
    <n v="61.97431578947365"/>
  </r>
  <r>
    <n v="1526"/>
    <x v="3"/>
    <x v="2"/>
    <x v="3"/>
    <s v="Freshwater"/>
    <s v="2Freshwater"/>
    <s v="Salmon"/>
    <s v="844"/>
    <s v="Skykomish River"/>
    <s v="Skykomish River"/>
    <s v="Snohomish"/>
    <x v="4"/>
    <s v="Snohomish"/>
    <s v="03Snohomish"/>
    <s v="01North Puget Sound"/>
    <n v="1963.7210526315801"/>
    <n v="6755.2004210526356"/>
  </r>
  <r>
    <n v="1527"/>
    <x v="3"/>
    <x v="2"/>
    <x v="3"/>
    <s v="Freshwater"/>
    <s v="2Freshwater"/>
    <s v="Salmon"/>
    <s v="844"/>
    <s v="Skykomish River"/>
    <s v="Skykomish River"/>
    <s v="Snohomish"/>
    <x v="4"/>
    <s v="Thurston"/>
    <s v="08Thurston"/>
    <s v="02South Puget Sound"/>
    <n v="18.015789473684201"/>
    <n v="61.97431578947365"/>
  </r>
  <r>
    <n v="1528"/>
    <x v="3"/>
    <x v="3"/>
    <x v="3"/>
    <s v="Freshwater"/>
    <s v="2Freshwater"/>
    <s v="Salmon"/>
    <s v="844"/>
    <s v="Skykomish River"/>
    <s v="Skykomish River"/>
    <s v="Snohomish"/>
    <x v="4"/>
    <s v="King"/>
    <s v="06King"/>
    <s v="02South Puget Sound"/>
    <n v="117"/>
    <n v="402.48"/>
  </r>
  <r>
    <n v="1529"/>
    <x v="3"/>
    <x v="3"/>
    <x v="3"/>
    <s v="Freshwater"/>
    <s v="2Freshwater"/>
    <s v="Salmon"/>
    <s v="844"/>
    <s v="Skykomish River"/>
    <s v="Skykomish River"/>
    <s v="Snohomish"/>
    <x v="4"/>
    <s v="Kitsap"/>
    <s v="10Kitsap"/>
    <s v="02South Puget Sound"/>
    <n v="9"/>
    <n v="30.96"/>
  </r>
  <r>
    <n v="1530"/>
    <x v="3"/>
    <x v="3"/>
    <x v="3"/>
    <s v="Freshwater"/>
    <s v="2Freshwater"/>
    <s v="Salmon"/>
    <s v="844"/>
    <s v="Skykomish River"/>
    <s v="Skykomish River"/>
    <s v="Snohomish"/>
    <x v="4"/>
    <s v="Other"/>
    <s v="20Other"/>
    <s v="07Non Puget Sound"/>
    <n v="9"/>
    <n v="30.96"/>
  </r>
  <r>
    <n v="1531"/>
    <x v="3"/>
    <x v="3"/>
    <x v="3"/>
    <s v="Freshwater"/>
    <s v="2Freshwater"/>
    <s v="Salmon"/>
    <s v="844"/>
    <s v="Skykomish River"/>
    <s v="Skykomish River"/>
    <s v="Snohomish"/>
    <x v="4"/>
    <s v="Snohomish"/>
    <s v="03Snohomish"/>
    <s v="01North Puget Sound"/>
    <n v="333"/>
    <n v="1145.52"/>
  </r>
  <r>
    <n v="1532"/>
    <x v="3"/>
    <x v="4"/>
    <x v="3"/>
    <s v="Freshwater"/>
    <s v="2Freshwater"/>
    <s v="Salmon"/>
    <s v="844"/>
    <s v="Skykomish River"/>
    <s v="Skykomish River"/>
    <s v="Snohomish"/>
    <x v="4"/>
    <s v="King"/>
    <s v="06King"/>
    <s v="02South Puget Sound"/>
    <n v="9"/>
    <n v="30.96"/>
  </r>
  <r>
    <n v="1533"/>
    <x v="3"/>
    <x v="4"/>
    <x v="3"/>
    <s v="Freshwater"/>
    <s v="2Freshwater"/>
    <s v="Salmon"/>
    <s v="844"/>
    <s v="Skykomish River"/>
    <s v="Skykomish River"/>
    <s v="Snohomish"/>
    <x v="4"/>
    <s v="Snohomish"/>
    <s v="03Snohomish"/>
    <s v="01North Puget Sound"/>
    <n v="36"/>
    <n v="123.84"/>
  </r>
  <r>
    <n v="1534"/>
    <x v="3"/>
    <x v="5"/>
    <x v="3"/>
    <s v="Freshwater"/>
    <s v="2Freshwater"/>
    <s v="Salmon"/>
    <s v="850"/>
    <s v="Snohomish River"/>
    <s v="Snohomish River"/>
    <s v="Snohomish"/>
    <x v="4"/>
    <s v="Island"/>
    <s v="04Island"/>
    <s v="01North Puget Sound"/>
    <n v="30.8965517241379"/>
    <n v="106.28413793103438"/>
  </r>
  <r>
    <n v="1535"/>
    <x v="3"/>
    <x v="5"/>
    <x v="3"/>
    <s v="Freshwater"/>
    <s v="2Freshwater"/>
    <s v="Salmon"/>
    <s v="850"/>
    <s v="Snohomish River"/>
    <s v="Snohomish River"/>
    <s v="Snohomish"/>
    <x v="4"/>
    <s v="King"/>
    <s v="06King"/>
    <s v="02South Puget Sound"/>
    <n v="69.517241379310406"/>
    <n v="239.13931034482781"/>
  </r>
  <r>
    <n v="1536"/>
    <x v="3"/>
    <x v="5"/>
    <x v="3"/>
    <s v="Freshwater"/>
    <s v="2Freshwater"/>
    <s v="Salmon"/>
    <s v="850"/>
    <s v="Snohomish River"/>
    <s v="Snohomish River"/>
    <s v="Snohomish"/>
    <x v="4"/>
    <s v="Skagit"/>
    <s v="02Skagit"/>
    <s v="01North Puget Sound"/>
    <n v="30.8965517241379"/>
    <n v="106.28413793103438"/>
  </r>
  <r>
    <n v="1537"/>
    <x v="3"/>
    <x v="5"/>
    <x v="3"/>
    <s v="Freshwater"/>
    <s v="2Freshwater"/>
    <s v="Salmon"/>
    <s v="850"/>
    <s v="Snohomish River"/>
    <s v="Snohomish River"/>
    <s v="Snohomish"/>
    <x v="4"/>
    <s v="Snohomish"/>
    <s v="03Snohomish"/>
    <s v="01North Puget Sound"/>
    <n v="92.689655172413794"/>
    <n v="318.85241379310344"/>
  </r>
  <r>
    <n v="1538"/>
    <x v="3"/>
    <x v="0"/>
    <x v="3"/>
    <s v="Freshwater"/>
    <s v="2Freshwater"/>
    <s v="Salmon"/>
    <s v="850"/>
    <s v="Snohomish River"/>
    <s v="Snohomish River"/>
    <s v="Snohomish"/>
    <x v="4"/>
    <s v="Island"/>
    <s v="04Island"/>
    <s v="01North Puget Sound"/>
    <n v="235.29442795911601"/>
    <n v="809.41283217935904"/>
  </r>
  <r>
    <n v="1539"/>
    <x v="3"/>
    <x v="0"/>
    <x v="3"/>
    <s v="Freshwater"/>
    <s v="2Freshwater"/>
    <s v="Salmon"/>
    <s v="850"/>
    <s v="Snohomish River"/>
    <s v="Snohomish River"/>
    <s v="Snohomish"/>
    <x v="4"/>
    <s v="Jefferson"/>
    <s v="12Jefferson"/>
    <s v="03Strait of Juan de Fuca"/>
    <n v="72.398285525882002"/>
    <n v="249.05010220903409"/>
  </r>
  <r>
    <n v="1540"/>
    <x v="3"/>
    <x v="0"/>
    <x v="3"/>
    <s v="Freshwater"/>
    <s v="2Freshwater"/>
    <s v="Salmon"/>
    <s v="850"/>
    <s v="Snohomish River"/>
    <s v="Snohomish River"/>
    <s v="Snohomish"/>
    <x v="4"/>
    <s v="King"/>
    <s v="06King"/>
    <s v="02South Puget Sound"/>
    <n v="4642.5400593471804"/>
    <n v="15970.3378041543"/>
  </r>
  <r>
    <n v="1541"/>
    <x v="3"/>
    <x v="0"/>
    <x v="3"/>
    <s v="Freshwater"/>
    <s v="2Freshwater"/>
    <s v="Salmon"/>
    <s v="850"/>
    <s v="Snohomish River"/>
    <s v="Snohomish River"/>
    <s v="Snohomish"/>
    <x v="4"/>
    <s v="Kitsap"/>
    <s v="10Kitsap"/>
    <s v="02South Puget Sound"/>
    <n v="135.746785361029"/>
    <n v="466.96894164193975"/>
  </r>
  <r>
    <n v="1542"/>
    <x v="3"/>
    <x v="0"/>
    <x v="3"/>
    <s v="Freshwater"/>
    <s v="2Freshwater"/>
    <s v="Salmon"/>
    <s v="850"/>
    <s v="Snohomish River"/>
    <s v="Snohomish River"/>
    <s v="Snohomish"/>
    <x v="4"/>
    <s v="Other"/>
    <s v="20Other"/>
    <s v="07Non Puget Sound"/>
    <n v="1782.80778107484"/>
    <n v="6132.8587668974496"/>
  </r>
  <r>
    <n v="1543"/>
    <x v="3"/>
    <x v="0"/>
    <x v="3"/>
    <s v="Freshwater"/>
    <s v="2Freshwater"/>
    <s v="Salmon"/>
    <s v="850"/>
    <s v="Snohomish River"/>
    <s v="Snohomish River"/>
    <s v="Snohomish"/>
    <x v="4"/>
    <s v="Pierce"/>
    <s v="07Pierce"/>
    <s v="02South Puget Sound"/>
    <n v="63.348499835146697"/>
    <n v="217.91883943290463"/>
  </r>
  <r>
    <n v="1544"/>
    <x v="3"/>
    <x v="0"/>
    <x v="3"/>
    <s v="Freshwater"/>
    <s v="2Freshwater"/>
    <s v="Salmon"/>
    <s v="850"/>
    <s v="Snohomish River"/>
    <s v="Snohomish River"/>
    <s v="Snohomish"/>
    <x v="4"/>
    <s v="Skagit"/>
    <s v="02Skagit"/>
    <s v="01North Puget Sound"/>
    <n v="117.647213979558"/>
    <n v="404.70641608967952"/>
  </r>
  <r>
    <n v="1545"/>
    <x v="3"/>
    <x v="0"/>
    <x v="3"/>
    <s v="Freshwater"/>
    <s v="2Freshwater"/>
    <s v="Salmon"/>
    <s v="850"/>
    <s v="Snohomish River"/>
    <s v="Snohomish River"/>
    <s v="Snohomish"/>
    <x v="4"/>
    <s v="Snohomish"/>
    <s v="03Snohomish"/>
    <s v="01North Puget Sound"/>
    <n v="20090.524233432301"/>
    <n v="69111.403363007121"/>
  </r>
  <r>
    <n v="1546"/>
    <x v="3"/>
    <x v="0"/>
    <x v="3"/>
    <s v="Freshwater"/>
    <s v="2Freshwater"/>
    <s v="Salmon"/>
    <s v="850"/>
    <s v="Snohomish River"/>
    <s v="Snohomish River"/>
    <s v="Snohomish"/>
    <x v="4"/>
    <s v="Thurston"/>
    <s v="08Thurston"/>
    <s v="02South Puget Sound"/>
    <n v="135.746785361029"/>
    <n v="466.96894164193975"/>
  </r>
  <r>
    <n v="1547"/>
    <x v="3"/>
    <x v="0"/>
    <x v="3"/>
    <s v="Freshwater"/>
    <s v="2Freshwater"/>
    <s v="Salmon"/>
    <s v="850"/>
    <s v="Snohomish River"/>
    <s v="Snohomish River"/>
    <s v="Snohomish"/>
    <x v="4"/>
    <s v="Whatcom"/>
    <s v="01Whatcom"/>
    <s v="01North Puget Sound"/>
    <n v="171.94592812396999"/>
    <n v="591.4939927464568"/>
  </r>
  <r>
    <n v="1548"/>
    <x v="3"/>
    <x v="1"/>
    <x v="3"/>
    <s v="Freshwater"/>
    <s v="2Freshwater"/>
    <s v="Salmon"/>
    <s v="850"/>
    <s v="Snohomish River"/>
    <s v="Snohomish River"/>
    <s v="Snohomish"/>
    <x v="4"/>
    <s v="Island"/>
    <s v="04Island"/>
    <s v="01North Puget Sound"/>
    <n v="188.679238167075"/>
    <n v="649.05657929473796"/>
  </r>
  <r>
    <n v="1549"/>
    <x v="3"/>
    <x v="1"/>
    <x v="3"/>
    <s v="Freshwater"/>
    <s v="2Freshwater"/>
    <s v="Salmon"/>
    <s v="850"/>
    <s v="Snohomish River"/>
    <s v="Snohomish River"/>
    <s v="Snohomish"/>
    <x v="4"/>
    <s v="King"/>
    <s v="06King"/>
    <s v="02South Puget Sound"/>
    <n v="8301.8864793513094"/>
    <n v="28558.489488968506"/>
  </r>
  <r>
    <n v="1550"/>
    <x v="3"/>
    <x v="1"/>
    <x v="3"/>
    <s v="Freshwater"/>
    <s v="2Freshwater"/>
    <s v="Salmon"/>
    <s v="850"/>
    <s v="Snohomish River"/>
    <s v="Snohomish River"/>
    <s v="Snohomish"/>
    <x v="4"/>
    <s v="Kitsap"/>
    <s v="10Kitsap"/>
    <s v="02South Puget Sound"/>
    <n v="53.908353762021498"/>
    <n v="185.44473694135394"/>
  </r>
  <r>
    <n v="1551"/>
    <x v="3"/>
    <x v="1"/>
    <x v="3"/>
    <s v="Freshwater"/>
    <s v="2Freshwater"/>
    <s v="Salmon"/>
    <s v="850"/>
    <s v="Snohomish River"/>
    <s v="Snohomish River"/>
    <s v="Snohomish"/>
    <x v="4"/>
    <s v="Mason"/>
    <s v="09Mason"/>
    <s v="02South Puget Sound"/>
    <n v="26.954176881010799"/>
    <n v="92.722368470677154"/>
  </r>
  <r>
    <n v="1552"/>
    <x v="3"/>
    <x v="1"/>
    <x v="3"/>
    <s v="Freshwater"/>
    <s v="2Freshwater"/>
    <s v="Salmon"/>
    <s v="850"/>
    <s v="Snohomish River"/>
    <s v="Snohomish River"/>
    <s v="Snohomish"/>
    <x v="4"/>
    <s v="Other"/>
    <s v="20Other"/>
    <s v="07Non Puget Sound"/>
    <n v="3611.8597020554398"/>
    <n v="12424.797375070713"/>
  </r>
  <r>
    <n v="1553"/>
    <x v="3"/>
    <x v="1"/>
    <x v="3"/>
    <s v="Freshwater"/>
    <s v="2Freshwater"/>
    <s v="Salmon"/>
    <s v="850"/>
    <s v="Snohomish River"/>
    <s v="Snohomish River"/>
    <s v="Snohomish"/>
    <x v="4"/>
    <s v="Pierce"/>
    <s v="07Pierce"/>
    <s v="02South Puget Sound"/>
    <n v="179.694512540072"/>
    <n v="618.14912313784771"/>
  </r>
  <r>
    <n v="1554"/>
    <x v="3"/>
    <x v="1"/>
    <x v="3"/>
    <s v="Freshwater"/>
    <s v="2Freshwater"/>
    <s v="Salmon"/>
    <s v="850"/>
    <s v="Snohomish River"/>
    <s v="Snohomish River"/>
    <s v="Snohomish"/>
    <x v="4"/>
    <s v="Skagit"/>
    <s v="02Skagit"/>
    <s v="01North Puget Sound"/>
    <n v="305.48067131812201"/>
    <n v="1050.8535093343396"/>
  </r>
  <r>
    <n v="1555"/>
    <x v="3"/>
    <x v="1"/>
    <x v="3"/>
    <s v="Freshwater"/>
    <s v="2Freshwater"/>
    <s v="Salmon"/>
    <s v="850"/>
    <s v="Snohomish River"/>
    <s v="Snohomish River"/>
    <s v="Snohomish"/>
    <x v="4"/>
    <s v="Snohomish"/>
    <s v="03Snohomish"/>
    <s v="01North Puget Sound"/>
    <n v="34752.918725249903"/>
    <n v="119550.04041485967"/>
  </r>
  <r>
    <n v="1556"/>
    <x v="3"/>
    <x v="1"/>
    <x v="3"/>
    <s v="Freshwater"/>
    <s v="2Freshwater"/>
    <s v="Salmon"/>
    <s v="850"/>
    <s v="Snohomish River"/>
    <s v="Snohomish River"/>
    <s v="Snohomish"/>
    <x v="4"/>
    <s v="Thurston"/>
    <s v="08Thurston"/>
    <s v="02South Puget Sound"/>
    <n v="143.75561003205701"/>
    <n v="494.51929851027609"/>
  </r>
  <r>
    <n v="1557"/>
    <x v="3"/>
    <x v="1"/>
    <x v="3"/>
    <s v="Freshwater"/>
    <s v="2Freshwater"/>
    <s v="Salmon"/>
    <s v="850"/>
    <s v="Snohomish River"/>
    <s v="Snohomish River"/>
    <s v="Snohomish"/>
    <x v="4"/>
    <s v="Whatcom"/>
    <s v="01Whatcom"/>
    <s v="01North Puget Sound"/>
    <n v="80.862530643032301"/>
    <n v="278.16710541203111"/>
  </r>
  <r>
    <n v="1558"/>
    <x v="3"/>
    <x v="2"/>
    <x v="3"/>
    <s v="Freshwater"/>
    <s v="2Freshwater"/>
    <s v="Salmon"/>
    <s v="850"/>
    <s v="Snohomish River"/>
    <s v="Snohomish River"/>
    <s v="Snohomish"/>
    <x v="4"/>
    <s v="Island"/>
    <s v="04Island"/>
    <s v="01North Puget Sound"/>
    <n v="26.918138041733599"/>
    <n v="92.598394863563584"/>
  </r>
  <r>
    <n v="1559"/>
    <x v="3"/>
    <x v="2"/>
    <x v="3"/>
    <s v="Freshwater"/>
    <s v="2Freshwater"/>
    <s v="Salmon"/>
    <s v="850"/>
    <s v="Snohomish River"/>
    <s v="Snohomish River"/>
    <s v="Snohomish"/>
    <x v="4"/>
    <s v="King"/>
    <s v="06King"/>
    <s v="02South Puget Sound"/>
    <n v="2952.0224719101102"/>
    <n v="10154.957303370778"/>
  </r>
  <r>
    <n v="1560"/>
    <x v="3"/>
    <x v="2"/>
    <x v="3"/>
    <s v="Freshwater"/>
    <s v="2Freshwater"/>
    <s v="Salmon"/>
    <s v="850"/>
    <s v="Snohomish River"/>
    <s v="Snohomish River"/>
    <s v="Snohomish"/>
    <x v="4"/>
    <s v="Kitsap"/>
    <s v="10Kitsap"/>
    <s v="02South Puget Sound"/>
    <n v="44.863563402889199"/>
    <n v="154.33065810593885"/>
  </r>
  <r>
    <n v="1561"/>
    <x v="3"/>
    <x v="2"/>
    <x v="3"/>
    <s v="Freshwater"/>
    <s v="2Freshwater"/>
    <s v="Salmon"/>
    <s v="850"/>
    <s v="Snohomish River"/>
    <s v="Snohomish River"/>
    <s v="Snohomish"/>
    <x v="4"/>
    <s v="Other"/>
    <s v="20Other"/>
    <s v="07Non Puget Sound"/>
    <n v="367.881219903692"/>
    <n v="1265.5113964687005"/>
  </r>
  <r>
    <n v="1562"/>
    <x v="3"/>
    <x v="2"/>
    <x v="3"/>
    <s v="Freshwater"/>
    <s v="2Freshwater"/>
    <s v="Salmon"/>
    <s v="850"/>
    <s v="Snohomish River"/>
    <s v="Snohomish River"/>
    <s v="Snohomish"/>
    <x v="4"/>
    <s v="Pierce"/>
    <s v="07Pierce"/>
    <s v="02South Puget Sound"/>
    <n v="233.29052969502399"/>
    <n v="802.51942215088252"/>
  </r>
  <r>
    <n v="1563"/>
    <x v="3"/>
    <x v="2"/>
    <x v="3"/>
    <s v="Freshwater"/>
    <s v="2Freshwater"/>
    <s v="Salmon"/>
    <s v="850"/>
    <s v="Snohomish River"/>
    <s v="Snohomish River"/>
    <s v="Snohomish"/>
    <x v="4"/>
    <s v="Skagit"/>
    <s v="02Skagit"/>
    <s v="01North Puget Sound"/>
    <n v="17.945425361155699"/>
    <n v="61.732263242375602"/>
  </r>
  <r>
    <n v="1564"/>
    <x v="3"/>
    <x v="2"/>
    <x v="3"/>
    <s v="Freshwater"/>
    <s v="2Freshwater"/>
    <s v="Salmon"/>
    <s v="850"/>
    <s v="Snohomish River"/>
    <s v="Snohomish River"/>
    <s v="Snohomish"/>
    <x v="4"/>
    <s v="Snohomish"/>
    <s v="03Snohomish"/>
    <s v="01North Puget Sound"/>
    <n v="7411.4606741572998"/>
    <n v="25495.424719101109"/>
  </r>
  <r>
    <n v="1565"/>
    <x v="3"/>
    <x v="2"/>
    <x v="3"/>
    <s v="Freshwater"/>
    <s v="2Freshwater"/>
    <s v="Salmon"/>
    <s v="850"/>
    <s v="Snohomish River"/>
    <s v="Snohomish River"/>
    <s v="Snohomish"/>
    <x v="4"/>
    <s v="Thurston"/>
    <s v="08Thurston"/>
    <s v="02South Puget Sound"/>
    <n v="80.754414125200697"/>
    <n v="277.79518459069038"/>
  </r>
  <r>
    <n v="1566"/>
    <x v="3"/>
    <x v="2"/>
    <x v="3"/>
    <s v="Freshwater"/>
    <s v="2Freshwater"/>
    <s v="Salmon"/>
    <s v="850"/>
    <s v="Snohomish River"/>
    <s v="Snohomish River"/>
    <s v="Snohomish"/>
    <x v="4"/>
    <s v="Whatcom"/>
    <s v="01Whatcom"/>
    <s v="01North Puget Sound"/>
    <n v="44.863563402889199"/>
    <n v="154.33065810593885"/>
  </r>
  <r>
    <n v="1567"/>
    <x v="3"/>
    <x v="3"/>
    <x v="3"/>
    <s v="Freshwater"/>
    <s v="2Freshwater"/>
    <s v="Salmon"/>
    <s v="850"/>
    <s v="Snohomish River"/>
    <s v="Snohomish River"/>
    <s v="Snohomish"/>
    <x v="4"/>
    <s v="King"/>
    <s v="06King"/>
    <s v="02South Puget Sound"/>
    <n v="8.9473684210526301"/>
    <n v="30.778947368421047"/>
  </r>
  <r>
    <n v="1568"/>
    <x v="3"/>
    <x v="3"/>
    <x v="3"/>
    <s v="Freshwater"/>
    <s v="2Freshwater"/>
    <s v="Salmon"/>
    <s v="850"/>
    <s v="Snohomish River"/>
    <s v="Snohomish River"/>
    <s v="Snohomish"/>
    <x v="4"/>
    <s v="Kitsap"/>
    <s v="10Kitsap"/>
    <s v="02South Puget Sound"/>
    <n v="8.9473684210526301"/>
    <n v="30.778947368421047"/>
  </r>
  <r>
    <n v="1569"/>
    <x v="3"/>
    <x v="3"/>
    <x v="3"/>
    <s v="Freshwater"/>
    <s v="2Freshwater"/>
    <s v="Salmon"/>
    <s v="850"/>
    <s v="Snohomish River"/>
    <s v="Snohomish River"/>
    <s v="Snohomish"/>
    <x v="4"/>
    <s v="Other"/>
    <s v="20Other"/>
    <s v="07Non Puget Sound"/>
    <n v="17.894736842105299"/>
    <n v="61.557894736842229"/>
  </r>
  <r>
    <n v="1570"/>
    <x v="3"/>
    <x v="3"/>
    <x v="3"/>
    <s v="Freshwater"/>
    <s v="2Freshwater"/>
    <s v="Salmon"/>
    <s v="850"/>
    <s v="Snohomish River"/>
    <s v="Snohomish River"/>
    <s v="Snohomish"/>
    <x v="4"/>
    <s v="Snohomish"/>
    <s v="03Snohomish"/>
    <s v="01North Puget Sound"/>
    <n v="134.21052631578999"/>
    <n v="461.68421052631754"/>
  </r>
  <r>
    <n v="1571"/>
    <x v="4"/>
    <x v="6"/>
    <x v="3"/>
    <s v="Freshwater"/>
    <s v="2Freshwater"/>
    <s v="Salmon"/>
    <s v="850"/>
    <s v="Snohomish River"/>
    <s v="Snohomish River"/>
    <s v="Snohomish"/>
    <x v="4"/>
    <s v="Snohomish"/>
    <s v="03Snohomish"/>
    <s v="01North Puget Sound"/>
    <n v="0"/>
    <n v="0"/>
  </r>
  <r>
    <n v="1572"/>
    <x v="3"/>
    <x v="0"/>
    <x v="3"/>
    <s v="Freshwater"/>
    <s v="2Freshwater"/>
    <s v="Salmon"/>
    <s v="852"/>
    <s v="Snoqualmie River"/>
    <s v="Snoqualmie River"/>
    <s v="Snohomish/King"/>
    <x v="4"/>
    <s v="King"/>
    <s v="06King"/>
    <s v="02South Puget Sound"/>
    <n v="12.413793103448301"/>
    <n v="42.703448275862151"/>
  </r>
  <r>
    <n v="1573"/>
    <x v="3"/>
    <x v="0"/>
    <x v="3"/>
    <s v="Freshwater"/>
    <s v="2Freshwater"/>
    <s v="Salmon"/>
    <s v="852"/>
    <s v="Snoqualmie River"/>
    <s v="Snoqualmie River"/>
    <s v="Snohomish/King"/>
    <x v="4"/>
    <s v="Pierce"/>
    <s v="07Pierce"/>
    <s v="02South Puget Sound"/>
    <n v="7.4482758620689697"/>
    <n v="25.622068965517254"/>
  </r>
  <r>
    <n v="1574"/>
    <x v="3"/>
    <x v="0"/>
    <x v="3"/>
    <s v="Freshwater"/>
    <s v="2Freshwater"/>
    <s v="Salmon"/>
    <s v="852"/>
    <s v="Snoqualmie River"/>
    <s v="Snoqualmie River"/>
    <s v="Snohomish/King"/>
    <x v="4"/>
    <s v="Snohomish"/>
    <s v="03Snohomish"/>
    <s v="01North Puget Sound"/>
    <n v="16.137931034482801"/>
    <n v="55.514482758620836"/>
  </r>
  <r>
    <n v="1575"/>
    <x v="3"/>
    <x v="1"/>
    <x v="3"/>
    <s v="Freshwater"/>
    <s v="2Freshwater"/>
    <s v="Salmon"/>
    <s v="852"/>
    <s v="Snoqualmie River"/>
    <s v="Snoqualmie River"/>
    <s v="Snohomish/King"/>
    <x v="4"/>
    <s v="Island"/>
    <s v="04Island"/>
    <s v="01North Puget Sound"/>
    <n v="62.153846153846203"/>
    <n v="213.80923076923094"/>
  </r>
  <r>
    <n v="1576"/>
    <x v="3"/>
    <x v="1"/>
    <x v="3"/>
    <s v="Freshwater"/>
    <s v="2Freshwater"/>
    <s v="Salmon"/>
    <s v="852"/>
    <s v="Snoqualmie River"/>
    <s v="Snoqualmie River"/>
    <s v="Snohomish/King"/>
    <x v="4"/>
    <s v="King"/>
    <s v="06King"/>
    <s v="02South Puget Sound"/>
    <n v="399.56043956043999"/>
    <n v="1374.4879120879136"/>
  </r>
  <r>
    <n v="1577"/>
    <x v="3"/>
    <x v="1"/>
    <x v="3"/>
    <s v="Freshwater"/>
    <s v="2Freshwater"/>
    <s v="Salmon"/>
    <s v="852"/>
    <s v="Snoqualmie River"/>
    <s v="Snoqualmie River"/>
    <s v="Snohomish/King"/>
    <x v="4"/>
    <s v="Other"/>
    <s v="20Other"/>
    <s v="07Non Puget Sound"/>
    <n v="230.857142857143"/>
    <n v="794.14857142857193"/>
  </r>
  <r>
    <n v="1578"/>
    <x v="3"/>
    <x v="1"/>
    <x v="3"/>
    <s v="Freshwater"/>
    <s v="2Freshwater"/>
    <s v="Salmon"/>
    <s v="852"/>
    <s v="Snoqualmie River"/>
    <s v="Snoqualmie River"/>
    <s v="Snohomish/King"/>
    <x v="4"/>
    <s v="Snohomish"/>
    <s v="03Snohomish"/>
    <s v="01North Puget Sound"/>
    <n v="115.428571428571"/>
    <n v="397.07428571428426"/>
  </r>
  <r>
    <n v="1579"/>
    <x v="3"/>
    <x v="2"/>
    <x v="3"/>
    <s v="Freshwater"/>
    <s v="2Freshwater"/>
    <s v="Salmon"/>
    <s v="852"/>
    <s v="Snoqualmie River"/>
    <s v="Snoqualmie River"/>
    <s v="Snohomish/King"/>
    <x v="4"/>
    <s v="King"/>
    <s v="06King"/>
    <s v="02South Puget Sound"/>
    <n v="382.13207547169799"/>
    <n v="1314.534339622641"/>
  </r>
  <r>
    <n v="1580"/>
    <x v="3"/>
    <x v="2"/>
    <x v="3"/>
    <s v="Freshwater"/>
    <s v="2Freshwater"/>
    <s v="Salmon"/>
    <s v="852"/>
    <s v="Snoqualmie River"/>
    <s v="Snoqualmie River"/>
    <s v="Snohomish/King"/>
    <x v="4"/>
    <s v="Other"/>
    <s v="20Other"/>
    <s v="07Non Puget Sound"/>
    <n v="62.207547169811299"/>
    <n v="213.99396226415087"/>
  </r>
  <r>
    <n v="1581"/>
    <x v="3"/>
    <x v="2"/>
    <x v="3"/>
    <s v="Freshwater"/>
    <s v="2Freshwater"/>
    <s v="Salmon"/>
    <s v="852"/>
    <s v="Snoqualmie River"/>
    <s v="Snoqualmie River"/>
    <s v="Snohomish/King"/>
    <x v="4"/>
    <s v="Snohomish"/>
    <s v="03Snohomish"/>
    <s v="01North Puget Sound"/>
    <n v="26.660377358490599"/>
    <n v="91.71169811320766"/>
  </r>
  <r>
    <n v="1582"/>
    <x v="3"/>
    <x v="3"/>
    <x v="3"/>
    <s v="Freshwater"/>
    <s v="2Freshwater"/>
    <s v="Salmon"/>
    <s v="852"/>
    <s v="Snoqualmie River"/>
    <s v="Snoqualmie River"/>
    <s v="Snohomish/King"/>
    <x v="4"/>
    <s v="King"/>
    <s v="06King"/>
    <s v="02South Puget Sound"/>
    <n v="177.5"/>
    <n v="610.6"/>
  </r>
  <r>
    <n v="1583"/>
    <x v="3"/>
    <x v="3"/>
    <x v="3"/>
    <s v="Freshwater"/>
    <s v="2Freshwater"/>
    <s v="Salmon"/>
    <s v="852"/>
    <s v="Snoqualmie River"/>
    <s v="Snoqualmie River"/>
    <s v="Snohomish/King"/>
    <x v="4"/>
    <s v="Other"/>
    <s v="20Other"/>
    <s v="07Non Puget Sound"/>
    <n v="35.5"/>
    <n v="122.12"/>
  </r>
  <r>
    <n v="1584"/>
    <x v="3"/>
    <x v="4"/>
    <x v="3"/>
    <s v="Freshwater"/>
    <s v="2Freshwater"/>
    <s v="Salmon"/>
    <s v="852"/>
    <s v="Snoqualmie River"/>
    <s v="Snoqualmie River"/>
    <s v="Snohomish/King"/>
    <x v="4"/>
    <s v="King"/>
    <s v="06King"/>
    <s v="02South Puget Sound"/>
    <n v="36"/>
    <n v="123.84"/>
  </r>
  <r>
    <n v="1585"/>
    <x v="3"/>
    <x v="5"/>
    <x v="3"/>
    <s v="Freshwater"/>
    <s v="2Freshwater"/>
    <s v="Salmon"/>
    <s v="872"/>
    <s v="Stillaguamish River"/>
    <s v="Stillaguamish River"/>
    <s v="Snohomish"/>
    <x v="4"/>
    <s v="Snohomish"/>
    <s v="03Snohomish"/>
    <s v="01North Puget Sound"/>
    <n v="0"/>
    <n v="0"/>
  </r>
  <r>
    <n v="1586"/>
    <x v="3"/>
    <x v="0"/>
    <x v="3"/>
    <s v="Freshwater"/>
    <s v="2Freshwater"/>
    <s v="Salmon"/>
    <s v="872"/>
    <s v="Stillaguamish River"/>
    <s v="Stillaguamish River"/>
    <s v="Snohomish"/>
    <x v="4"/>
    <s v="Skagit"/>
    <s v="02Skagit"/>
    <s v="01North Puget Sound"/>
    <n v="27.3"/>
    <n v="93.912000000000006"/>
  </r>
  <r>
    <n v="1587"/>
    <x v="3"/>
    <x v="0"/>
    <x v="3"/>
    <s v="Freshwater"/>
    <s v="2Freshwater"/>
    <s v="Salmon"/>
    <s v="872"/>
    <s v="Stillaguamish River"/>
    <s v="Stillaguamish River"/>
    <s v="Snohomish"/>
    <x v="4"/>
    <s v="Snohomish"/>
    <s v="03Snohomish"/>
    <s v="01North Puget Sound"/>
    <n v="154.69999999999999"/>
    <n v="532.16800000000001"/>
  </r>
  <r>
    <n v="1588"/>
    <x v="3"/>
    <x v="1"/>
    <x v="3"/>
    <s v="Freshwater"/>
    <s v="2Freshwater"/>
    <s v="Salmon"/>
    <s v="872"/>
    <s v="Stillaguamish River"/>
    <s v="Stillaguamish River"/>
    <s v="Snohomish"/>
    <x v="4"/>
    <s v="Island"/>
    <s v="04Island"/>
    <s v="01North Puget Sound"/>
    <n v="473.79472140762499"/>
    <n v="1629.85384164223"/>
  </r>
  <r>
    <n v="1589"/>
    <x v="3"/>
    <x v="1"/>
    <x v="3"/>
    <s v="Freshwater"/>
    <s v="2Freshwater"/>
    <s v="Salmon"/>
    <s v="872"/>
    <s v="Stillaguamish River"/>
    <s v="Stillaguamish River"/>
    <s v="Snohomish"/>
    <x v="4"/>
    <s v="King"/>
    <s v="06King"/>
    <s v="02South Puget Sound"/>
    <n v="164.00586510263901"/>
    <n v="564.18017595307822"/>
  </r>
  <r>
    <n v="1590"/>
    <x v="3"/>
    <x v="1"/>
    <x v="3"/>
    <s v="Freshwater"/>
    <s v="2Freshwater"/>
    <s v="Salmon"/>
    <s v="872"/>
    <s v="Stillaguamish River"/>
    <s v="Stillaguamish River"/>
    <s v="Snohomish"/>
    <x v="4"/>
    <s v="Other"/>
    <s v="20Other"/>
    <s v="07Non Puget Sound"/>
    <n v="419.12609970674498"/>
    <n v="1441.7937829912028"/>
  </r>
  <r>
    <n v="1591"/>
    <x v="3"/>
    <x v="1"/>
    <x v="3"/>
    <s v="Freshwater"/>
    <s v="2Freshwater"/>
    <s v="Salmon"/>
    <s v="872"/>
    <s v="Stillaguamish River"/>
    <s v="Stillaguamish River"/>
    <s v="Snohomish"/>
    <x v="4"/>
    <s v="Pierce"/>
    <s v="07Pierce"/>
    <s v="02South Puget Sound"/>
    <n v="9.1114369501466292"/>
    <n v="31.343343108504403"/>
  </r>
  <r>
    <n v="1592"/>
    <x v="3"/>
    <x v="1"/>
    <x v="3"/>
    <s v="Freshwater"/>
    <s v="2Freshwater"/>
    <s v="Salmon"/>
    <s v="872"/>
    <s v="Stillaguamish River"/>
    <s v="Stillaguamish River"/>
    <s v="Snohomish"/>
    <x v="4"/>
    <s v="Skagit"/>
    <s v="02Skagit"/>
    <s v="01North Puget Sound"/>
    <n v="82.002932551319702"/>
    <n v="282.09008797653979"/>
  </r>
  <r>
    <n v="1593"/>
    <x v="3"/>
    <x v="1"/>
    <x v="3"/>
    <s v="Freshwater"/>
    <s v="2Freshwater"/>
    <s v="Salmon"/>
    <s v="872"/>
    <s v="Stillaguamish River"/>
    <s v="Stillaguamish River"/>
    <s v="Snohomish"/>
    <x v="4"/>
    <s v="Snohomish"/>
    <s v="03Snohomish"/>
    <s v="01North Puget Sound"/>
    <n v="5065.9589442815304"/>
    <n v="17426.898768328465"/>
  </r>
  <r>
    <n v="1594"/>
    <x v="3"/>
    <x v="2"/>
    <x v="3"/>
    <s v="Freshwater"/>
    <s v="2Freshwater"/>
    <s v="Salmon"/>
    <s v="872"/>
    <s v="Stillaguamish River"/>
    <s v="Stillaguamish River"/>
    <s v="Snohomish"/>
    <x v="4"/>
    <s v="Island"/>
    <s v="04Island"/>
    <s v="01North Puget Sound"/>
    <n v="133.48249027237401"/>
    <n v="459.17976653696655"/>
  </r>
  <r>
    <n v="1595"/>
    <x v="3"/>
    <x v="2"/>
    <x v="3"/>
    <s v="Freshwater"/>
    <s v="2Freshwater"/>
    <s v="Salmon"/>
    <s v="872"/>
    <s v="Stillaguamish River"/>
    <s v="Stillaguamish River"/>
    <s v="Snohomish"/>
    <x v="4"/>
    <s v="King"/>
    <s v="06King"/>
    <s v="02South Puget Sound"/>
    <n v="213.57198443579799"/>
    <n v="734.68762645914501"/>
  </r>
  <r>
    <n v="1596"/>
    <x v="3"/>
    <x v="2"/>
    <x v="3"/>
    <s v="Freshwater"/>
    <s v="2Freshwater"/>
    <s v="Salmon"/>
    <s v="872"/>
    <s v="Stillaguamish River"/>
    <s v="Stillaguamish River"/>
    <s v="Snohomish"/>
    <x v="4"/>
    <s v="Kitsap"/>
    <s v="10Kitsap"/>
    <s v="02South Puget Sound"/>
    <n v="17.797665369649799"/>
    <n v="61.223968871595311"/>
  </r>
  <r>
    <n v="1597"/>
    <x v="3"/>
    <x v="2"/>
    <x v="3"/>
    <s v="Freshwater"/>
    <s v="2Freshwater"/>
    <s v="Salmon"/>
    <s v="872"/>
    <s v="Stillaguamish River"/>
    <s v="Stillaguamish River"/>
    <s v="Snohomish"/>
    <x v="4"/>
    <s v="Mason"/>
    <s v="09Mason"/>
    <s v="02South Puget Sound"/>
    <n v="35.595330739299598"/>
    <n v="122.44793774319062"/>
  </r>
  <r>
    <n v="1598"/>
    <x v="3"/>
    <x v="2"/>
    <x v="3"/>
    <s v="Freshwater"/>
    <s v="2Freshwater"/>
    <s v="Salmon"/>
    <s v="872"/>
    <s v="Stillaguamish River"/>
    <s v="Stillaguamish River"/>
    <s v="Snohomish"/>
    <x v="4"/>
    <s v="Other"/>
    <s v="20Other"/>
    <s v="07Non Puget Sound"/>
    <n v="8.8988326848249102"/>
    <n v="30.611984435797691"/>
  </r>
  <r>
    <n v="1599"/>
    <x v="3"/>
    <x v="2"/>
    <x v="3"/>
    <s v="Freshwater"/>
    <s v="2Freshwater"/>
    <s v="Salmon"/>
    <s v="872"/>
    <s v="Stillaguamish River"/>
    <s v="Stillaguamish River"/>
    <s v="Snohomish"/>
    <x v="4"/>
    <s v="Pierce"/>
    <s v="07Pierce"/>
    <s v="02South Puget Sound"/>
    <n v="17.797665369649799"/>
    <n v="61.223968871595311"/>
  </r>
  <r>
    <n v="1600"/>
    <x v="3"/>
    <x v="2"/>
    <x v="3"/>
    <s v="Freshwater"/>
    <s v="2Freshwater"/>
    <s v="Salmon"/>
    <s v="872"/>
    <s v="Stillaguamish River"/>
    <s v="Stillaguamish River"/>
    <s v="Snohomish"/>
    <x v="4"/>
    <s v="Skagit"/>
    <s v="02Skagit"/>
    <s v="01North Puget Sound"/>
    <n v="8.8988326848249102"/>
    <n v="30.611984435797691"/>
  </r>
  <r>
    <n v="1601"/>
    <x v="3"/>
    <x v="2"/>
    <x v="3"/>
    <s v="Freshwater"/>
    <s v="2Freshwater"/>
    <s v="Salmon"/>
    <s v="872"/>
    <s v="Stillaguamish River"/>
    <s v="Stillaguamish River"/>
    <s v="Snohomish"/>
    <x v="4"/>
    <s v="Snohomish"/>
    <s v="03Snohomish"/>
    <s v="01North Puget Sound"/>
    <n v="1770.8677042801601"/>
    <n v="6091.7849027237507"/>
  </r>
  <r>
    <n v="1602"/>
    <x v="3"/>
    <x v="2"/>
    <x v="3"/>
    <s v="Freshwater"/>
    <s v="2Freshwater"/>
    <s v="Salmon"/>
    <s v="872"/>
    <s v="Stillaguamish River"/>
    <s v="Stillaguamish River"/>
    <s v="Snohomish"/>
    <x v="4"/>
    <s v="Whatcom"/>
    <s v="01Whatcom"/>
    <s v="01North Puget Sound"/>
    <n v="80.089494163424106"/>
    <n v="275.50785992217891"/>
  </r>
  <r>
    <n v="1603"/>
    <x v="3"/>
    <x v="3"/>
    <x v="3"/>
    <s v="Freshwater"/>
    <s v="2Freshwater"/>
    <s v="Salmon"/>
    <s v="872"/>
    <s v="Stillaguamish River"/>
    <s v="Stillaguamish River"/>
    <s v="Snohomish"/>
    <x v="4"/>
    <s v="Island"/>
    <s v="04Island"/>
    <s v="01North Puget Sound"/>
    <n v="9"/>
    <n v="30.96"/>
  </r>
  <r>
    <n v="1604"/>
    <x v="3"/>
    <x v="3"/>
    <x v="3"/>
    <s v="Freshwater"/>
    <s v="2Freshwater"/>
    <s v="Salmon"/>
    <s v="872"/>
    <s v="Stillaguamish River"/>
    <s v="Stillaguamish River"/>
    <s v="Snohomish"/>
    <x v="4"/>
    <s v="King"/>
    <s v="06King"/>
    <s v="02South Puget Sound"/>
    <n v="9"/>
    <n v="30.96"/>
  </r>
  <r>
    <n v="1605"/>
    <x v="3"/>
    <x v="3"/>
    <x v="3"/>
    <s v="Freshwater"/>
    <s v="2Freshwater"/>
    <s v="Salmon"/>
    <s v="872"/>
    <s v="Stillaguamish River"/>
    <s v="Stillaguamish River"/>
    <s v="Snohomish"/>
    <x v="4"/>
    <s v="Snohomish"/>
    <s v="03Snohomish"/>
    <s v="01North Puget Sound"/>
    <n v="27"/>
    <n v="92.88"/>
  </r>
  <r>
    <n v="1606"/>
    <x v="3"/>
    <x v="4"/>
    <x v="3"/>
    <s v="Freshwater"/>
    <s v="2Freshwater"/>
    <s v="Salmon"/>
    <s v="872"/>
    <s v="Stillaguamish River"/>
    <s v="Stillaguamish River"/>
    <s v="Snohomish"/>
    <x v="4"/>
    <s v="Snohomish"/>
    <s v="03Snohomish"/>
    <s v="01North Puget Sound"/>
    <n v="9"/>
    <n v="30.96"/>
  </r>
  <r>
    <n v="1607"/>
    <x v="3"/>
    <x v="2"/>
    <x v="3"/>
    <s v="Freshwater"/>
    <s v="2Freshwater"/>
    <s v="Salmon"/>
    <s v="878"/>
    <s v="Tahuya River"/>
    <s v="Tahuya River"/>
    <s v="Mason"/>
    <x v="0"/>
    <s v="King"/>
    <s v="06King"/>
    <s v="02South Puget Sound"/>
    <n v="78.157894736842096"/>
    <n v="268.86315789473679"/>
  </r>
  <r>
    <n v="1608"/>
    <x v="3"/>
    <x v="2"/>
    <x v="3"/>
    <s v="Freshwater"/>
    <s v="2Freshwater"/>
    <s v="Salmon"/>
    <s v="878"/>
    <s v="Tahuya River"/>
    <s v="Tahuya River"/>
    <s v="Mason"/>
    <x v="0"/>
    <s v="Kitsap"/>
    <s v="10Kitsap"/>
    <s v="02South Puget Sound"/>
    <n v="156.31578947368399"/>
    <n v="537.72631578947289"/>
  </r>
  <r>
    <n v="1609"/>
    <x v="3"/>
    <x v="2"/>
    <x v="3"/>
    <s v="Freshwater"/>
    <s v="2Freshwater"/>
    <s v="Salmon"/>
    <s v="878"/>
    <s v="Tahuya River"/>
    <s v="Tahuya River"/>
    <s v="Mason"/>
    <x v="0"/>
    <s v="Mason"/>
    <s v="09Mason"/>
    <s v="02South Puget Sound"/>
    <n v="23.447368421052602"/>
    <n v="80.658947368420954"/>
  </r>
  <r>
    <n v="1610"/>
    <x v="3"/>
    <x v="2"/>
    <x v="3"/>
    <s v="Freshwater"/>
    <s v="2Freshwater"/>
    <s v="Salmon"/>
    <s v="878"/>
    <s v="Tahuya River"/>
    <s v="Tahuya River"/>
    <s v="Mason"/>
    <x v="0"/>
    <s v="Pierce"/>
    <s v="07Pierce"/>
    <s v="02South Puget Sound"/>
    <n v="39.078947368421098"/>
    <n v="134.43157894736856"/>
  </r>
  <r>
    <n v="1611"/>
    <x v="3"/>
    <x v="5"/>
    <x v="3"/>
    <s v="Freshwater"/>
    <s v="2Freshwater"/>
    <s v="Salmon"/>
    <s v="884"/>
    <s v="Whatcom Creek"/>
    <s v="Whatcom Creek"/>
    <s v="Whatcom"/>
    <x v="1"/>
    <s v="Thurston"/>
    <s v="08Thurston"/>
    <s v="02South Puget Sound"/>
    <n v="0"/>
    <n v="0"/>
  </r>
  <r>
    <n v="1612"/>
    <x v="3"/>
    <x v="0"/>
    <x v="3"/>
    <s v="Freshwater"/>
    <s v="2Freshwater"/>
    <s v="Salmon"/>
    <s v="884"/>
    <s v="Whatcom Creek"/>
    <s v="Whatcom Creek"/>
    <s v="Whatcom"/>
    <x v="1"/>
    <s v="Whatcom"/>
    <s v="01Whatcom"/>
    <s v="01North Puget Sound"/>
    <n v="0"/>
    <n v="0"/>
  </r>
  <r>
    <n v="1613"/>
    <x v="3"/>
    <x v="1"/>
    <x v="3"/>
    <s v="Freshwater"/>
    <s v="2Freshwater"/>
    <s v="Salmon"/>
    <s v="884"/>
    <s v="Whatcom Creek"/>
    <s v="Whatcom Creek"/>
    <s v="Whatcom"/>
    <x v="1"/>
    <s v="King"/>
    <s v="06King"/>
    <s v="02South Puget Sound"/>
    <n v="1.9285714285714299"/>
    <n v="6.6342857142857188"/>
  </r>
  <r>
    <n v="1614"/>
    <x v="3"/>
    <x v="1"/>
    <x v="3"/>
    <s v="Freshwater"/>
    <s v="2Freshwater"/>
    <s v="Salmon"/>
    <s v="884"/>
    <s v="Whatcom Creek"/>
    <s v="Whatcom Creek"/>
    <s v="Whatcom"/>
    <x v="1"/>
    <s v="Pierce"/>
    <s v="07Pierce"/>
    <s v="02South Puget Sound"/>
    <n v="0.64285714285714002"/>
    <n v="2.2114285714285615"/>
  </r>
  <r>
    <n v="1615"/>
    <x v="3"/>
    <x v="1"/>
    <x v="3"/>
    <s v="Freshwater"/>
    <s v="2Freshwater"/>
    <s v="Salmon"/>
    <s v="884"/>
    <s v="Whatcom Creek"/>
    <s v="Whatcom Creek"/>
    <s v="Whatcom"/>
    <x v="1"/>
    <s v="Snohomish"/>
    <s v="03Snohomish"/>
    <s v="01North Puget Sound"/>
    <n v="0.64285714285714002"/>
    <n v="2.2114285714285615"/>
  </r>
  <r>
    <n v="1616"/>
    <x v="3"/>
    <x v="1"/>
    <x v="3"/>
    <s v="Freshwater"/>
    <s v="2Freshwater"/>
    <s v="Salmon"/>
    <s v="884"/>
    <s v="Whatcom Creek"/>
    <s v="Whatcom Creek"/>
    <s v="Whatcom"/>
    <x v="1"/>
    <s v="Whatcom"/>
    <s v="01Whatcom"/>
    <s v="01North Puget Sound"/>
    <n v="5.78571428571429"/>
    <n v="19.902857142857158"/>
  </r>
  <r>
    <n v="1617"/>
    <x v="3"/>
    <x v="2"/>
    <x v="3"/>
    <s v="Freshwater"/>
    <s v="2Freshwater"/>
    <s v="Salmon"/>
    <s v="884"/>
    <s v="Whatcom Creek"/>
    <s v="Whatcom Creek"/>
    <s v="Whatcom"/>
    <x v="1"/>
    <s v="Snohomish"/>
    <s v="03Snohomish"/>
    <s v="01North Puget Sound"/>
    <n v="21"/>
    <n v="72.239999999999995"/>
  </r>
  <r>
    <n v="1618"/>
    <x v="3"/>
    <x v="2"/>
    <x v="3"/>
    <s v="Freshwater"/>
    <s v="2Freshwater"/>
    <s v="Salmon"/>
    <s v="884"/>
    <s v="Whatcom Creek"/>
    <s v="Whatcom Creek"/>
    <s v="Whatcom"/>
    <x v="1"/>
    <s v="Whatcom"/>
    <s v="01Whatcom"/>
    <s v="01North Puget Sound"/>
    <n v="70"/>
    <n v="240.79999999999998"/>
  </r>
  <r>
    <n v="1619"/>
    <x v="3"/>
    <x v="3"/>
    <x v="3"/>
    <s v="Freshwater"/>
    <s v="2Freshwater"/>
    <s v="Salmon"/>
    <s v="884"/>
    <s v="Whatcom Creek"/>
    <s v="Whatcom Creek"/>
    <s v="Whatcom"/>
    <x v="1"/>
    <s v="Island"/>
    <s v="04Island"/>
    <s v="01North Puget Sound"/>
    <n v="64.071428571428598"/>
    <n v="220.40571428571437"/>
  </r>
  <r>
    <n v="1620"/>
    <x v="3"/>
    <x v="3"/>
    <x v="3"/>
    <s v="Freshwater"/>
    <s v="2Freshwater"/>
    <s v="Salmon"/>
    <s v="884"/>
    <s v="Whatcom Creek"/>
    <s v="Whatcom Creek"/>
    <s v="Whatcom"/>
    <x v="1"/>
    <s v="King"/>
    <s v="06King"/>
    <s v="02South Puget Sound"/>
    <n v="18.3061224489796"/>
    <n v="62.973061224489825"/>
  </r>
  <r>
    <n v="1621"/>
    <x v="3"/>
    <x v="3"/>
    <x v="3"/>
    <s v="Freshwater"/>
    <s v="2Freshwater"/>
    <s v="Salmon"/>
    <s v="884"/>
    <s v="Whatcom Creek"/>
    <s v="Whatcom Creek"/>
    <s v="Whatcom"/>
    <x v="1"/>
    <s v="Mason"/>
    <s v="09Mason"/>
    <s v="02South Puget Sound"/>
    <n v="9.1530612244898002"/>
    <n v="31.486530612244913"/>
  </r>
  <r>
    <n v="1622"/>
    <x v="3"/>
    <x v="3"/>
    <x v="3"/>
    <s v="Freshwater"/>
    <s v="2Freshwater"/>
    <s v="Salmon"/>
    <s v="884"/>
    <s v="Whatcom Creek"/>
    <s v="Whatcom Creek"/>
    <s v="Whatcom"/>
    <x v="1"/>
    <s v="Other"/>
    <s v="20Other"/>
    <s v="07Non Puget Sound"/>
    <n v="64.071428571428598"/>
    <n v="220.40571428571437"/>
  </r>
  <r>
    <n v="1623"/>
    <x v="3"/>
    <x v="3"/>
    <x v="3"/>
    <s v="Freshwater"/>
    <s v="2Freshwater"/>
    <s v="Salmon"/>
    <s v="884"/>
    <s v="Whatcom Creek"/>
    <s v="Whatcom Creek"/>
    <s v="Whatcom"/>
    <x v="1"/>
    <s v="Skagit"/>
    <s v="02Skagit"/>
    <s v="01North Puget Sound"/>
    <n v="27.459183673469401"/>
    <n v="94.459591836734731"/>
  </r>
  <r>
    <n v="1624"/>
    <x v="3"/>
    <x v="3"/>
    <x v="3"/>
    <s v="Freshwater"/>
    <s v="2Freshwater"/>
    <s v="Salmon"/>
    <s v="884"/>
    <s v="Whatcom Creek"/>
    <s v="Whatcom Creek"/>
    <s v="Whatcom"/>
    <x v="1"/>
    <s v="Snohomish"/>
    <s v="03Snohomish"/>
    <s v="01North Puget Sound"/>
    <n v="146.448979591837"/>
    <n v="503.78448979591928"/>
  </r>
  <r>
    <n v="1625"/>
    <x v="3"/>
    <x v="3"/>
    <x v="3"/>
    <s v="Freshwater"/>
    <s v="2Freshwater"/>
    <s v="Salmon"/>
    <s v="884"/>
    <s v="Whatcom Creek"/>
    <s v="Whatcom Creek"/>
    <s v="Whatcom"/>
    <x v="1"/>
    <s v="Thurston"/>
    <s v="08Thurston"/>
    <s v="02South Puget Sound"/>
    <n v="9.1530612244898002"/>
    <n v="31.486530612244913"/>
  </r>
  <r>
    <n v="1626"/>
    <x v="3"/>
    <x v="3"/>
    <x v="3"/>
    <s v="Freshwater"/>
    <s v="2Freshwater"/>
    <s v="Salmon"/>
    <s v="884"/>
    <s v="Whatcom Creek"/>
    <s v="Whatcom Creek"/>
    <s v="Whatcom"/>
    <x v="1"/>
    <s v="Whatcom"/>
    <s v="01Whatcom"/>
    <s v="01North Puget Sound"/>
    <n v="1455.3367346938801"/>
    <n v="5006.3583673469475"/>
  </r>
  <r>
    <n v="1627"/>
    <x v="3"/>
    <x v="4"/>
    <x v="3"/>
    <s v="Freshwater"/>
    <s v="2Freshwater"/>
    <s v="Salmon"/>
    <s v="884"/>
    <s v="Whatcom Creek"/>
    <s v="Whatcom Creek"/>
    <s v="Whatcom"/>
    <x v="1"/>
    <s v="Thurston"/>
    <s v="08Thurston"/>
    <s v="02South Puget Sound"/>
    <n v="9"/>
    <n v="30.96"/>
  </r>
  <r>
    <n v="1628"/>
    <x v="4"/>
    <x v="0"/>
    <x v="4"/>
    <s v="Freshwater"/>
    <s v="2Freshwater"/>
    <s v="Salmon"/>
    <s v="714"/>
    <s v="Chambers Creek"/>
    <s v="Chambers Creek"/>
    <s v="Pierce"/>
    <x v="0"/>
    <s v="King"/>
    <s v="06King"/>
    <s v="02South Puget Sound"/>
    <n v="9"/>
    <n v="77.850000000000009"/>
  </r>
  <r>
    <n v="1629"/>
    <x v="4"/>
    <x v="0"/>
    <x v="4"/>
    <s v="Freshwater"/>
    <s v="2Freshwater"/>
    <s v="Salmon"/>
    <s v="714"/>
    <s v="Chambers Creek"/>
    <s v="Chambers Creek"/>
    <s v="Pierce"/>
    <x v="0"/>
    <s v="Pierce"/>
    <s v="07Pierce"/>
    <s v="02South Puget Sound"/>
    <n v="9"/>
    <n v="77.850000000000009"/>
  </r>
  <r>
    <n v="1630"/>
    <x v="4"/>
    <x v="2"/>
    <x v="4"/>
    <s v="Freshwater"/>
    <s v="2Freshwater"/>
    <s v="Salmon"/>
    <s v="724"/>
    <s v="Dakota Creek (Whatcom Co)"/>
    <s v="Dakota Creek (Whatcom Co)"/>
    <s v="Whatcom"/>
    <x v="1"/>
    <s v="Other"/>
    <s v="20Other"/>
    <s v="07Non Puget Sound"/>
    <n v="7.1578947368421098"/>
    <n v="61.915789473684249"/>
  </r>
  <r>
    <n v="1631"/>
    <x v="4"/>
    <x v="2"/>
    <x v="4"/>
    <s v="Freshwater"/>
    <s v="2Freshwater"/>
    <s v="Salmon"/>
    <s v="724"/>
    <s v="Dakota Creek (Whatcom Co)"/>
    <s v="Dakota Creek (Whatcom Co)"/>
    <s v="Whatcom"/>
    <x v="1"/>
    <s v="Snohomish"/>
    <s v="03Snohomish"/>
    <s v="01North Puget Sound"/>
    <n v="42.947368421052602"/>
    <n v="371.494736842105"/>
  </r>
  <r>
    <n v="1632"/>
    <x v="4"/>
    <x v="2"/>
    <x v="4"/>
    <s v="Freshwater"/>
    <s v="2Freshwater"/>
    <s v="Salmon"/>
    <s v="724"/>
    <s v="Dakota Creek (Whatcom Co)"/>
    <s v="Dakota Creek (Whatcom Co)"/>
    <s v="Whatcom"/>
    <x v="1"/>
    <s v="Whatcom"/>
    <s v="01Whatcom"/>
    <s v="01North Puget Sound"/>
    <n v="85.894736842105303"/>
    <n v="742.98947368421091"/>
  </r>
  <r>
    <n v="1633"/>
    <x v="4"/>
    <x v="2"/>
    <x v="4"/>
    <s v="Freshwater"/>
    <s v="2Freshwater"/>
    <s v="Salmon"/>
    <s v="732"/>
    <s v="Dewatto River"/>
    <s v="Dewatto River"/>
    <s v="Mason"/>
    <x v="0"/>
    <s v="Kitsap"/>
    <s v="10Kitsap"/>
    <s v="02South Puget Sound"/>
    <n v="136.875"/>
    <n v="1183.96875"/>
  </r>
  <r>
    <n v="1634"/>
    <x v="4"/>
    <x v="2"/>
    <x v="4"/>
    <s v="Freshwater"/>
    <s v="2Freshwater"/>
    <s v="Salmon"/>
    <s v="732"/>
    <s v="Dewatto River"/>
    <s v="Dewatto River"/>
    <s v="Mason"/>
    <x v="0"/>
    <s v="Mason"/>
    <s v="09Mason"/>
    <s v="02South Puget Sound"/>
    <n v="9.125"/>
    <n v="78.931250000000006"/>
  </r>
  <r>
    <n v="1635"/>
    <x v="4"/>
    <x v="3"/>
    <x v="4"/>
    <s v="Freshwater"/>
    <s v="2Freshwater"/>
    <s v="Salmon"/>
    <s v="736"/>
    <s v="Duckabush River"/>
    <s v="Duckabush River"/>
    <s v="Jefferson"/>
    <x v="2"/>
    <s v="Kitsap"/>
    <s v="10Kitsap"/>
    <s v="02South Puget Sound"/>
    <n v="9"/>
    <n v="77.850000000000009"/>
  </r>
  <r>
    <n v="1636"/>
    <x v="4"/>
    <x v="3"/>
    <x v="4"/>
    <s v="Freshwater"/>
    <s v="2Freshwater"/>
    <s v="Salmon"/>
    <s v="736"/>
    <s v="Duckabush River"/>
    <s v="Duckabush River"/>
    <s v="Jefferson"/>
    <x v="2"/>
    <s v="Other"/>
    <s v="20Other"/>
    <s v="07Non Puget Sound"/>
    <n v="9"/>
    <n v="77.850000000000009"/>
  </r>
  <r>
    <n v="1637"/>
    <x v="4"/>
    <x v="2"/>
    <x v="4"/>
    <s v="Freshwater"/>
    <s v="2Freshwater"/>
    <s v="Salmon"/>
    <s v="738"/>
    <s v="Dungeness River"/>
    <s v="Dungeness River"/>
    <s v="Clallam"/>
    <x v="3"/>
    <s v="Clallam"/>
    <s v="11Clallam"/>
    <s v="03Strait of Juan de Fuca"/>
    <n v="290"/>
    <n v="2508.5"/>
  </r>
  <r>
    <n v="1638"/>
    <x v="4"/>
    <x v="2"/>
    <x v="4"/>
    <s v="Freshwater"/>
    <s v="2Freshwater"/>
    <s v="Salmon"/>
    <s v="738"/>
    <s v="Dungeness River"/>
    <s v="Dungeness River"/>
    <s v="Clallam"/>
    <x v="3"/>
    <s v="Kitsap"/>
    <s v="10Kitsap"/>
    <s v="02South Puget Sound"/>
    <n v="43.5"/>
    <n v="376.27500000000003"/>
  </r>
  <r>
    <n v="1639"/>
    <x v="4"/>
    <x v="2"/>
    <x v="4"/>
    <s v="Freshwater"/>
    <s v="2Freshwater"/>
    <s v="Salmon"/>
    <s v="738"/>
    <s v="Dungeness River"/>
    <s v="Dungeness River"/>
    <s v="Clallam"/>
    <x v="3"/>
    <s v="Other"/>
    <s v="20Other"/>
    <s v="07Non Puget Sound"/>
    <n v="14.5"/>
    <n v="125.42500000000001"/>
  </r>
  <r>
    <n v="1640"/>
    <x v="4"/>
    <x v="3"/>
    <x v="4"/>
    <s v="Freshwater"/>
    <s v="2Freshwater"/>
    <s v="Salmon"/>
    <s v="738"/>
    <s v="Dungeness River"/>
    <s v="Dungeness River"/>
    <s v="Clallam"/>
    <x v="3"/>
    <s v="Clallam"/>
    <s v="11Clallam"/>
    <s v="03Strait of Juan de Fuca"/>
    <n v="101.5"/>
    <n v="877.97500000000002"/>
  </r>
  <r>
    <n v="1641"/>
    <x v="4"/>
    <x v="3"/>
    <x v="4"/>
    <s v="Freshwater"/>
    <s v="2Freshwater"/>
    <s v="Salmon"/>
    <s v="738"/>
    <s v="Dungeness River"/>
    <s v="Dungeness River"/>
    <s v="Clallam"/>
    <x v="3"/>
    <s v="Kitsap"/>
    <s v="10Kitsap"/>
    <s v="02South Puget Sound"/>
    <n v="14.5"/>
    <n v="125.42500000000001"/>
  </r>
  <r>
    <n v="1642"/>
    <x v="4"/>
    <x v="0"/>
    <x v="4"/>
    <s v="Freshwater"/>
    <s v="2Freshwater"/>
    <s v="Salmon"/>
    <s v="746"/>
    <s v="Green - Duwamish River"/>
    <s v="Green - Duwamish River"/>
    <s v="King"/>
    <x v="0"/>
    <s v="Other"/>
    <s v="20Other"/>
    <s v="07Non Puget Sound"/>
    <n v="7"/>
    <n v="60.550000000000004"/>
  </r>
  <r>
    <n v="1643"/>
    <x v="4"/>
    <x v="1"/>
    <x v="4"/>
    <s v="Freshwater"/>
    <s v="2Freshwater"/>
    <s v="Salmon"/>
    <s v="746"/>
    <s v="Green - Duwamish River"/>
    <s v="Green - Duwamish River"/>
    <s v="King"/>
    <x v="0"/>
    <s v="Clallam"/>
    <s v="11Clallam"/>
    <s v="03Strait of Juan de Fuca"/>
    <n v="7.1229508196721296"/>
    <n v="61.613524590163927"/>
  </r>
  <r>
    <n v="1644"/>
    <x v="4"/>
    <x v="1"/>
    <x v="4"/>
    <s v="Freshwater"/>
    <s v="2Freshwater"/>
    <s v="Salmon"/>
    <s v="746"/>
    <s v="Green - Duwamish River"/>
    <s v="Green - Duwamish River"/>
    <s v="King"/>
    <x v="0"/>
    <s v="King"/>
    <s v="06King"/>
    <s v="02South Puget Sound"/>
    <n v="1481.5737704917999"/>
    <n v="12815.613114754069"/>
  </r>
  <r>
    <n v="1645"/>
    <x v="4"/>
    <x v="1"/>
    <x v="4"/>
    <s v="Freshwater"/>
    <s v="2Freshwater"/>
    <s v="Salmon"/>
    <s v="746"/>
    <s v="Green - Duwamish River"/>
    <s v="Green - Duwamish River"/>
    <s v="King"/>
    <x v="0"/>
    <s v="Other"/>
    <s v="20Other"/>
    <s v="07Non Puget Sound"/>
    <n v="14.2459016393443"/>
    <n v="123.22704918032819"/>
  </r>
  <r>
    <n v="1646"/>
    <x v="4"/>
    <x v="1"/>
    <x v="4"/>
    <s v="Freshwater"/>
    <s v="2Freshwater"/>
    <s v="Salmon"/>
    <s v="746"/>
    <s v="Green - Duwamish River"/>
    <s v="Green - Duwamish River"/>
    <s v="King"/>
    <x v="0"/>
    <s v="Pierce"/>
    <s v="07Pierce"/>
    <s v="02South Puget Sound"/>
    <n v="149.58196721311501"/>
    <n v="1293.8840163934449"/>
  </r>
  <r>
    <n v="1647"/>
    <x v="4"/>
    <x v="1"/>
    <x v="4"/>
    <s v="Freshwater"/>
    <s v="2Freshwater"/>
    <s v="Salmon"/>
    <s v="746"/>
    <s v="Green - Duwamish River"/>
    <s v="Green - Duwamish River"/>
    <s v="King"/>
    <x v="0"/>
    <s v="Skagit"/>
    <s v="02Skagit"/>
    <s v="01North Puget Sound"/>
    <n v="21.368852459016399"/>
    <n v="184.84057377049186"/>
  </r>
  <r>
    <n v="1648"/>
    <x v="4"/>
    <x v="1"/>
    <x v="4"/>
    <s v="Freshwater"/>
    <s v="2Freshwater"/>
    <s v="Salmon"/>
    <s v="746"/>
    <s v="Green - Duwamish River"/>
    <s v="Green - Duwamish River"/>
    <s v="King"/>
    <x v="0"/>
    <s v="Snohomish"/>
    <s v="03Snohomish"/>
    <s v="01North Puget Sound"/>
    <n v="56.983606557377101"/>
    <n v="492.90819672131192"/>
  </r>
  <r>
    <n v="1649"/>
    <x v="4"/>
    <x v="1"/>
    <x v="4"/>
    <s v="Freshwater"/>
    <s v="2Freshwater"/>
    <s v="Salmon"/>
    <s v="746"/>
    <s v="Green - Duwamish River"/>
    <s v="Green - Duwamish River"/>
    <s v="King"/>
    <x v="0"/>
    <s v="Thurston"/>
    <s v="08Thurston"/>
    <s v="02South Puget Sound"/>
    <n v="7.1229508196721296"/>
    <n v="61.613524590163927"/>
  </r>
  <r>
    <n v="1650"/>
    <x v="4"/>
    <x v="2"/>
    <x v="4"/>
    <s v="Freshwater"/>
    <s v="2Freshwater"/>
    <s v="Salmon"/>
    <s v="746"/>
    <s v="Green - Duwamish River"/>
    <s v="Green - Duwamish River"/>
    <s v="King"/>
    <x v="0"/>
    <s v="King"/>
    <s v="06King"/>
    <s v="02South Puget Sound"/>
    <n v="653.73076923076906"/>
    <n v="5654.7711538461526"/>
  </r>
  <r>
    <n v="1651"/>
    <x v="4"/>
    <x v="2"/>
    <x v="4"/>
    <s v="Freshwater"/>
    <s v="2Freshwater"/>
    <s v="Salmon"/>
    <s v="746"/>
    <s v="Green - Duwamish River"/>
    <s v="Green - Duwamish River"/>
    <s v="King"/>
    <x v="0"/>
    <s v="Pierce"/>
    <s v="07Pierce"/>
    <s v="02South Puget Sound"/>
    <n v="42.634615384615401"/>
    <n v="368.78942307692324"/>
  </r>
  <r>
    <n v="1652"/>
    <x v="4"/>
    <x v="2"/>
    <x v="4"/>
    <s v="Freshwater"/>
    <s v="2Freshwater"/>
    <s v="Salmon"/>
    <s v="746"/>
    <s v="Green - Duwamish River"/>
    <s v="Green - Duwamish River"/>
    <s v="King"/>
    <x v="0"/>
    <s v="Snohomish"/>
    <s v="03Snohomish"/>
    <s v="01North Puget Sound"/>
    <n v="42.634615384615401"/>
    <n v="368.78942307692324"/>
  </r>
  <r>
    <n v="1653"/>
    <x v="4"/>
    <x v="3"/>
    <x v="4"/>
    <s v="Freshwater"/>
    <s v="2Freshwater"/>
    <s v="Salmon"/>
    <s v="746"/>
    <s v="Green - Duwamish River"/>
    <s v="Green - Duwamish River"/>
    <s v="King"/>
    <x v="0"/>
    <s v="King"/>
    <s v="06King"/>
    <s v="02South Puget Sound"/>
    <n v="542.10483870967801"/>
    <n v="4689.2068548387151"/>
  </r>
  <r>
    <n v="1654"/>
    <x v="4"/>
    <x v="3"/>
    <x v="4"/>
    <s v="Freshwater"/>
    <s v="2Freshwater"/>
    <s v="Salmon"/>
    <s v="746"/>
    <s v="Green - Duwamish River"/>
    <s v="Green - Duwamish River"/>
    <s v="King"/>
    <x v="0"/>
    <s v="Other"/>
    <s v="20Other"/>
    <s v="07Non Puget Sound"/>
    <n v="77.443548387096797"/>
    <n v="669.88669354838737"/>
  </r>
  <r>
    <n v="1655"/>
    <x v="4"/>
    <x v="3"/>
    <x v="4"/>
    <s v="Freshwater"/>
    <s v="2Freshwater"/>
    <s v="Salmon"/>
    <s v="746"/>
    <s v="Green - Duwamish River"/>
    <s v="Green - Duwamish River"/>
    <s v="King"/>
    <x v="0"/>
    <s v="Pierce"/>
    <s v="07Pierce"/>
    <s v="02South Puget Sound"/>
    <n v="126.725806451613"/>
    <n v="1096.1782258064525"/>
  </r>
  <r>
    <n v="1656"/>
    <x v="4"/>
    <x v="3"/>
    <x v="4"/>
    <s v="Freshwater"/>
    <s v="2Freshwater"/>
    <s v="Salmon"/>
    <s v="746"/>
    <s v="Green - Duwamish River"/>
    <s v="Green - Duwamish River"/>
    <s v="King"/>
    <x v="0"/>
    <s v="Snohomish"/>
    <s v="03Snohomish"/>
    <s v="01North Puget Sound"/>
    <n v="126.725806451613"/>
    <n v="1096.1782258064525"/>
  </r>
  <r>
    <n v="1657"/>
    <x v="4"/>
    <x v="4"/>
    <x v="4"/>
    <s v="Freshwater"/>
    <s v="2Freshwater"/>
    <s v="Salmon"/>
    <s v="746"/>
    <s v="Green - Duwamish River"/>
    <s v="Green - Duwamish River"/>
    <s v="King"/>
    <x v="0"/>
    <s v="King"/>
    <s v="06King"/>
    <s v="02South Puget Sound"/>
    <n v="14"/>
    <n v="121.10000000000001"/>
  </r>
  <r>
    <n v="1658"/>
    <x v="4"/>
    <x v="4"/>
    <x v="4"/>
    <s v="Freshwater"/>
    <s v="2Freshwater"/>
    <s v="Salmon"/>
    <s v="746"/>
    <s v="Green - Duwamish River"/>
    <s v="Green - Duwamish River"/>
    <s v="King"/>
    <x v="0"/>
    <s v="Pierce"/>
    <s v="07Pierce"/>
    <s v="02South Puget Sound"/>
    <n v="63"/>
    <n v="544.95000000000005"/>
  </r>
  <r>
    <n v="1659"/>
    <x v="4"/>
    <x v="4"/>
    <x v="4"/>
    <s v="Freshwater"/>
    <s v="2Freshwater"/>
    <s v="Salmon"/>
    <s v="746"/>
    <s v="Green - Duwamish River"/>
    <s v="Green - Duwamish River"/>
    <s v="King"/>
    <x v="0"/>
    <s v="Snohomish"/>
    <s v="03Snohomish"/>
    <s v="01North Puget Sound"/>
    <n v="140"/>
    <n v="1211"/>
  </r>
  <r>
    <n v="1660"/>
    <x v="4"/>
    <x v="1"/>
    <x v="4"/>
    <s v="Freshwater"/>
    <s v="2Freshwater"/>
    <s v="Salmon"/>
    <s v="754"/>
    <s v="Kennedy Creek"/>
    <s v="Kennedy Creek"/>
    <s v="Mason/Thurston"/>
    <x v="0"/>
    <s v="Thurston"/>
    <s v="08Thurston"/>
    <s v="02South Puget Sound"/>
    <n v="7"/>
    <n v="60.550000000000004"/>
  </r>
  <r>
    <n v="1661"/>
    <x v="4"/>
    <x v="2"/>
    <x v="4"/>
    <s v="Freshwater"/>
    <s v="2Freshwater"/>
    <s v="Salmon"/>
    <s v="754"/>
    <s v="Kennedy Creek"/>
    <s v="Kennedy Creek"/>
    <s v="Mason/Thurston"/>
    <x v="0"/>
    <s v="King"/>
    <s v="06King"/>
    <s v="02South Puget Sound"/>
    <n v="44.2222222222222"/>
    <n v="382.52222222222207"/>
  </r>
  <r>
    <n v="1662"/>
    <x v="4"/>
    <x v="2"/>
    <x v="4"/>
    <s v="Freshwater"/>
    <s v="2Freshwater"/>
    <s v="Salmon"/>
    <s v="754"/>
    <s v="Kennedy Creek"/>
    <s v="Kennedy Creek"/>
    <s v="Mason/Thurston"/>
    <x v="0"/>
    <s v="Mason"/>
    <s v="09Mason"/>
    <s v="02South Puget Sound"/>
    <n v="7.3703703703703702"/>
    <n v="63.753703703703707"/>
  </r>
  <r>
    <n v="1663"/>
    <x v="4"/>
    <x v="2"/>
    <x v="4"/>
    <s v="Freshwater"/>
    <s v="2Freshwater"/>
    <s v="Salmon"/>
    <s v="754"/>
    <s v="Kennedy Creek"/>
    <s v="Kennedy Creek"/>
    <s v="Mason/Thurston"/>
    <x v="0"/>
    <s v="Pierce"/>
    <s v="07Pierce"/>
    <s v="02South Puget Sound"/>
    <n v="29.481481481481499"/>
    <n v="255.01481481481497"/>
  </r>
  <r>
    <n v="1664"/>
    <x v="4"/>
    <x v="2"/>
    <x v="4"/>
    <s v="Freshwater"/>
    <s v="2Freshwater"/>
    <s v="Salmon"/>
    <s v="754"/>
    <s v="Kennedy Creek"/>
    <s v="Kennedy Creek"/>
    <s v="Mason/Thurston"/>
    <x v="0"/>
    <s v="Thurston"/>
    <s v="08Thurston"/>
    <s v="02South Puget Sound"/>
    <n v="117.92592592592599"/>
    <n v="1020.0592592592599"/>
  </r>
  <r>
    <n v="1665"/>
    <x v="4"/>
    <x v="3"/>
    <x v="4"/>
    <s v="Freshwater"/>
    <s v="2Freshwater"/>
    <s v="Salmon"/>
    <s v="754"/>
    <s v="Kennedy Creek"/>
    <s v="Kennedy Creek"/>
    <s v="Mason/Thurston"/>
    <x v="0"/>
    <s v="King"/>
    <s v="06King"/>
    <s v="02South Puget Sound"/>
    <n v="95.875"/>
    <n v="829.31875000000002"/>
  </r>
  <r>
    <n v="1666"/>
    <x v="4"/>
    <x v="3"/>
    <x v="4"/>
    <s v="Freshwater"/>
    <s v="2Freshwater"/>
    <s v="Salmon"/>
    <s v="754"/>
    <s v="Kennedy Creek"/>
    <s v="Kennedy Creek"/>
    <s v="Mason/Thurston"/>
    <x v="0"/>
    <s v="Mason"/>
    <s v="09Mason"/>
    <s v="02South Puget Sound"/>
    <n v="36.875"/>
    <n v="318.96875"/>
  </r>
  <r>
    <n v="1667"/>
    <x v="4"/>
    <x v="3"/>
    <x v="4"/>
    <s v="Freshwater"/>
    <s v="2Freshwater"/>
    <s v="Salmon"/>
    <s v="754"/>
    <s v="Kennedy Creek"/>
    <s v="Kennedy Creek"/>
    <s v="Mason/Thurston"/>
    <x v="0"/>
    <s v="Pierce"/>
    <s v="07Pierce"/>
    <s v="02South Puget Sound"/>
    <n v="36.875"/>
    <n v="318.96875"/>
  </r>
  <r>
    <n v="1668"/>
    <x v="4"/>
    <x v="3"/>
    <x v="4"/>
    <s v="Freshwater"/>
    <s v="2Freshwater"/>
    <s v="Salmon"/>
    <s v="754"/>
    <s v="Kennedy Creek"/>
    <s v="Kennedy Creek"/>
    <s v="Mason/Thurston"/>
    <x v="0"/>
    <s v="Thurston"/>
    <s v="08Thurston"/>
    <s v="02South Puget Sound"/>
    <n v="7.375"/>
    <n v="63.793750000000003"/>
  </r>
  <r>
    <n v="1669"/>
    <x v="4"/>
    <x v="1"/>
    <x v="4"/>
    <s v="Freshwater"/>
    <s v="2Freshwater"/>
    <s v="Salmon"/>
    <s v="762"/>
    <s v="Lake Washington"/>
    <s v="Lake Washington"/>
    <s v="King"/>
    <x v="0"/>
    <s v="King"/>
    <s v="06King"/>
    <s v="02South Puget Sound"/>
    <n v="157.52000000000001"/>
    <n v="1362.5480000000002"/>
  </r>
  <r>
    <n v="1670"/>
    <x v="4"/>
    <x v="1"/>
    <x v="4"/>
    <s v="Freshwater"/>
    <s v="2Freshwater"/>
    <s v="Salmon"/>
    <s v="762"/>
    <s v="Lake Washington"/>
    <s v="Lake Washington"/>
    <s v="King"/>
    <x v="0"/>
    <s v="Snohomish"/>
    <s v="03Snohomish"/>
    <s v="01North Puget Sound"/>
    <n v="21.48"/>
    <n v="185.80200000000002"/>
  </r>
  <r>
    <n v="1671"/>
    <x v="4"/>
    <x v="2"/>
    <x v="4"/>
    <s v="Freshwater"/>
    <s v="2Freshwater"/>
    <s v="Salmon"/>
    <s v="762"/>
    <s v="Lake Washington"/>
    <s v="Lake Washington"/>
    <s v="King"/>
    <x v="0"/>
    <s v="King"/>
    <s v="06King"/>
    <s v="02South Puget Sound"/>
    <n v="393.35443037974699"/>
    <n v="3402.5158227848115"/>
  </r>
  <r>
    <n v="1672"/>
    <x v="4"/>
    <x v="2"/>
    <x v="4"/>
    <s v="Freshwater"/>
    <s v="2Freshwater"/>
    <s v="Salmon"/>
    <s v="762"/>
    <s v="Lake Washington"/>
    <s v="Lake Washington"/>
    <s v="King"/>
    <x v="0"/>
    <s v="Other"/>
    <s v="20Other"/>
    <s v="07Non Puget Sound"/>
    <n v="7.1518987341772204"/>
    <n v="61.86392405063296"/>
  </r>
  <r>
    <n v="1673"/>
    <x v="4"/>
    <x v="2"/>
    <x v="4"/>
    <s v="Freshwater"/>
    <s v="2Freshwater"/>
    <s v="Salmon"/>
    <s v="762"/>
    <s v="Lake Washington"/>
    <s v="Lake Washington"/>
    <s v="King"/>
    <x v="0"/>
    <s v="Snohomish"/>
    <s v="03Snohomish"/>
    <s v="01North Puget Sound"/>
    <n v="164.49367088607599"/>
    <n v="1422.8702531645574"/>
  </r>
  <r>
    <n v="1674"/>
    <x v="4"/>
    <x v="0"/>
    <x v="4"/>
    <s v="Freshwater"/>
    <s v="2Freshwater"/>
    <s v="Salmon"/>
    <s v="764"/>
    <s v="Lake Sammamish"/>
    <s v="Lake Sammamish"/>
    <s v="King"/>
    <x v="0"/>
    <s v="King"/>
    <s v="06King"/>
    <s v="02South Puget Sound"/>
    <n v="7"/>
    <n v="60.550000000000004"/>
  </r>
  <r>
    <n v="1675"/>
    <x v="4"/>
    <x v="1"/>
    <x v="4"/>
    <s v="Freshwater"/>
    <s v="2Freshwater"/>
    <s v="Salmon"/>
    <s v="764"/>
    <s v="Lake Sammamish"/>
    <s v="Lake Sammamish"/>
    <s v="King"/>
    <x v="0"/>
    <s v="King"/>
    <s v="06King"/>
    <s v="02South Puget Sound"/>
    <n v="14.5"/>
    <n v="125.42500000000001"/>
  </r>
  <r>
    <n v="1676"/>
    <x v="4"/>
    <x v="1"/>
    <x v="4"/>
    <s v="Freshwater"/>
    <s v="2Freshwater"/>
    <s v="Salmon"/>
    <s v="764"/>
    <s v="Lake Sammamish"/>
    <s v="Lake Sammamish"/>
    <s v="King"/>
    <x v="0"/>
    <s v="Snohomish"/>
    <s v="03Snohomish"/>
    <s v="01North Puget Sound"/>
    <n v="14.5"/>
    <n v="125.42500000000001"/>
  </r>
  <r>
    <n v="1677"/>
    <x v="4"/>
    <x v="2"/>
    <x v="4"/>
    <s v="Freshwater"/>
    <s v="2Freshwater"/>
    <s v="Salmon"/>
    <s v="764"/>
    <s v="Lake Sammamish"/>
    <s v="Lake Sammamish"/>
    <s v="King"/>
    <x v="0"/>
    <s v="Other"/>
    <s v="20Other"/>
    <s v="07Non Puget Sound"/>
    <n v="7"/>
    <n v="60.550000000000004"/>
  </r>
  <r>
    <n v="1678"/>
    <x v="4"/>
    <x v="2"/>
    <x v="4"/>
    <s v="Freshwater"/>
    <s v="2Freshwater"/>
    <s v="Salmon"/>
    <s v="764"/>
    <s v="Lake Sammamish"/>
    <s v="Lake Sammamish"/>
    <s v="King"/>
    <x v="0"/>
    <s v="Snohomish"/>
    <s v="03Snohomish"/>
    <s v="01North Puget Sound"/>
    <n v="7"/>
    <n v="60.550000000000004"/>
  </r>
  <r>
    <n v="1679"/>
    <x v="4"/>
    <x v="2"/>
    <x v="4"/>
    <s v="Freshwater"/>
    <s v="2Freshwater"/>
    <s v="Salmon"/>
    <s v="778"/>
    <s v="Minter Creek"/>
    <s v="Minter Creek"/>
    <s v="Kitsap/Pierce"/>
    <x v="0"/>
    <s v="King"/>
    <s v="06King"/>
    <s v="02South Puget Sound"/>
    <n v="7"/>
    <n v="60.550000000000004"/>
  </r>
  <r>
    <n v="1680"/>
    <x v="4"/>
    <x v="2"/>
    <x v="4"/>
    <s v="Freshwater"/>
    <s v="2Freshwater"/>
    <s v="Salmon"/>
    <s v="778"/>
    <s v="Minter Creek"/>
    <s v="Minter Creek"/>
    <s v="Kitsap/Pierce"/>
    <x v="0"/>
    <s v="Pierce"/>
    <s v="07Pierce"/>
    <s v="02South Puget Sound"/>
    <n v="7"/>
    <n v="60.550000000000004"/>
  </r>
  <r>
    <n v="1681"/>
    <x v="4"/>
    <x v="3"/>
    <x v="4"/>
    <s v="Freshwater"/>
    <s v="2Freshwater"/>
    <s v="Salmon"/>
    <s v="778"/>
    <s v="Minter Creek"/>
    <s v="Minter Creek"/>
    <s v="Kitsap/Pierce"/>
    <x v="0"/>
    <s v="Island"/>
    <s v="04Island"/>
    <s v="01North Puget Sound"/>
    <n v="27.5454545454546"/>
    <n v="238.26818181818231"/>
  </r>
  <r>
    <n v="1682"/>
    <x v="4"/>
    <x v="3"/>
    <x v="4"/>
    <s v="Freshwater"/>
    <s v="2Freshwater"/>
    <s v="Salmon"/>
    <s v="778"/>
    <s v="Minter Creek"/>
    <s v="Minter Creek"/>
    <s v="Kitsap/Pierce"/>
    <x v="0"/>
    <s v="King"/>
    <s v="06King"/>
    <s v="02South Puget Sound"/>
    <n v="860.79545454545496"/>
    <n v="7445.8806818181856"/>
  </r>
  <r>
    <n v="1683"/>
    <x v="4"/>
    <x v="3"/>
    <x v="4"/>
    <s v="Freshwater"/>
    <s v="2Freshwater"/>
    <s v="Salmon"/>
    <s v="778"/>
    <s v="Minter Creek"/>
    <s v="Minter Creek"/>
    <s v="Kitsap/Pierce"/>
    <x v="0"/>
    <s v="Kitsap"/>
    <s v="10Kitsap"/>
    <s v="02South Puget Sound"/>
    <n v="309.88636363636402"/>
    <n v="2680.5170454545491"/>
  </r>
  <r>
    <n v="1684"/>
    <x v="4"/>
    <x v="3"/>
    <x v="4"/>
    <s v="Freshwater"/>
    <s v="2Freshwater"/>
    <s v="Salmon"/>
    <s v="778"/>
    <s v="Minter Creek"/>
    <s v="Minter Creek"/>
    <s v="Kitsap/Pierce"/>
    <x v="0"/>
    <s v="Mason"/>
    <s v="09Mason"/>
    <s v="02South Puget Sound"/>
    <n v="13.7727272727273"/>
    <n v="119.13409090909116"/>
  </r>
  <r>
    <n v="1685"/>
    <x v="4"/>
    <x v="3"/>
    <x v="4"/>
    <s v="Freshwater"/>
    <s v="2Freshwater"/>
    <s v="Salmon"/>
    <s v="778"/>
    <s v="Minter Creek"/>
    <s v="Minter Creek"/>
    <s v="Kitsap/Pierce"/>
    <x v="0"/>
    <s v="Other"/>
    <s v="20Other"/>
    <s v="07Non Puget Sound"/>
    <n v="55.090909090909101"/>
    <n v="476.53636363636372"/>
  </r>
  <r>
    <n v="1686"/>
    <x v="4"/>
    <x v="3"/>
    <x v="4"/>
    <s v="Freshwater"/>
    <s v="2Freshwater"/>
    <s v="Salmon"/>
    <s v="778"/>
    <s v="Minter Creek"/>
    <s v="Minter Creek"/>
    <s v="Kitsap/Pierce"/>
    <x v="0"/>
    <s v="Pierce"/>
    <s v="07Pierce"/>
    <s v="02South Puget Sound"/>
    <n v="771.27272727272702"/>
    <n v="6671.5090909090886"/>
  </r>
  <r>
    <n v="1687"/>
    <x v="4"/>
    <x v="3"/>
    <x v="4"/>
    <s v="Freshwater"/>
    <s v="2Freshwater"/>
    <s v="Salmon"/>
    <s v="778"/>
    <s v="Minter Creek"/>
    <s v="Minter Creek"/>
    <s v="Kitsap/Pierce"/>
    <x v="0"/>
    <s v="Snohomish"/>
    <s v="03Snohomish"/>
    <s v="01North Puget Sound"/>
    <n v="34.431818181818201"/>
    <n v="297.83522727272748"/>
  </r>
  <r>
    <n v="1688"/>
    <x v="4"/>
    <x v="3"/>
    <x v="4"/>
    <s v="Freshwater"/>
    <s v="2Freshwater"/>
    <s v="Salmon"/>
    <s v="778"/>
    <s v="Minter Creek"/>
    <s v="Minter Creek"/>
    <s v="Kitsap/Pierce"/>
    <x v="0"/>
    <s v="Thurston"/>
    <s v="08Thurston"/>
    <s v="02South Puget Sound"/>
    <n v="48.204545454545503"/>
    <n v="416.96931818181861"/>
  </r>
  <r>
    <n v="1689"/>
    <x v="4"/>
    <x v="4"/>
    <x v="4"/>
    <s v="Freshwater"/>
    <s v="2Freshwater"/>
    <s v="Salmon"/>
    <s v="778"/>
    <s v="Minter Creek"/>
    <s v="Minter Creek"/>
    <s v="Kitsap/Pierce"/>
    <x v="0"/>
    <s v="Island"/>
    <s v="04Island"/>
    <s v="01North Puget Sound"/>
    <n v="20.644067796610202"/>
    <n v="178.57118644067825"/>
  </r>
  <r>
    <n v="1690"/>
    <x v="4"/>
    <x v="4"/>
    <x v="4"/>
    <s v="Freshwater"/>
    <s v="2Freshwater"/>
    <s v="Salmon"/>
    <s v="778"/>
    <s v="Minter Creek"/>
    <s v="Minter Creek"/>
    <s v="Kitsap/Pierce"/>
    <x v="0"/>
    <s v="King"/>
    <s v="06King"/>
    <s v="02South Puget Sound"/>
    <n v="123.864406779661"/>
    <n v="1071.4271186440676"/>
  </r>
  <r>
    <n v="1691"/>
    <x v="4"/>
    <x v="4"/>
    <x v="4"/>
    <s v="Freshwater"/>
    <s v="2Freshwater"/>
    <s v="Salmon"/>
    <s v="778"/>
    <s v="Minter Creek"/>
    <s v="Minter Creek"/>
    <s v="Kitsap/Pierce"/>
    <x v="0"/>
    <s v="Pierce"/>
    <s v="07Pierce"/>
    <s v="02South Puget Sound"/>
    <n v="165.15254237288099"/>
    <n v="1428.5694915254205"/>
  </r>
  <r>
    <n v="1692"/>
    <x v="4"/>
    <x v="4"/>
    <x v="4"/>
    <s v="Freshwater"/>
    <s v="2Freshwater"/>
    <s v="Salmon"/>
    <s v="778"/>
    <s v="Minter Creek"/>
    <s v="Minter Creek"/>
    <s v="Kitsap/Pierce"/>
    <x v="0"/>
    <s v="Snohomish"/>
    <s v="03Snohomish"/>
    <s v="01North Puget Sound"/>
    <n v="96.338983050847503"/>
    <n v="833.33220338983097"/>
  </r>
  <r>
    <n v="1693"/>
    <x v="4"/>
    <x v="5"/>
    <x v="4"/>
    <s v="Freshwater"/>
    <s v="2Freshwater"/>
    <s v="Salmon"/>
    <s v="786"/>
    <s v="Nisqually River"/>
    <s v="Nisqually River"/>
    <s v="Thurston/Pierce"/>
    <x v="0"/>
    <s v="Other"/>
    <s v="20Other"/>
    <s v="07Non Puget Sound"/>
    <n v="35.8333333333333"/>
    <n v="309.95833333333309"/>
  </r>
  <r>
    <n v="1694"/>
    <x v="4"/>
    <x v="5"/>
    <x v="4"/>
    <s v="Freshwater"/>
    <s v="2Freshwater"/>
    <s v="Salmon"/>
    <s v="786"/>
    <s v="Nisqually River"/>
    <s v="Nisqually River"/>
    <s v="Thurston/Pierce"/>
    <x v="0"/>
    <s v="Thurston"/>
    <s v="08Thurston"/>
    <s v="02South Puget Sound"/>
    <n v="7.1666666666666696"/>
    <n v="61.991666666666696"/>
  </r>
  <r>
    <n v="1695"/>
    <x v="4"/>
    <x v="0"/>
    <x v="4"/>
    <s v="Freshwater"/>
    <s v="2Freshwater"/>
    <s v="Salmon"/>
    <s v="786"/>
    <s v="Nisqually River"/>
    <s v="Nisqually River"/>
    <s v="Thurston/Pierce"/>
    <x v="0"/>
    <s v="King"/>
    <s v="06King"/>
    <s v="02South Puget Sound"/>
    <n v="14.25"/>
    <n v="123.2625"/>
  </r>
  <r>
    <n v="1696"/>
    <x v="4"/>
    <x v="0"/>
    <x v="4"/>
    <s v="Freshwater"/>
    <s v="2Freshwater"/>
    <s v="Salmon"/>
    <s v="786"/>
    <s v="Nisqually River"/>
    <s v="Nisqually River"/>
    <s v="Thurston/Pierce"/>
    <x v="0"/>
    <s v="Mason"/>
    <s v="09Mason"/>
    <s v="02South Puget Sound"/>
    <n v="21.375"/>
    <n v="184.89375000000001"/>
  </r>
  <r>
    <n v="1697"/>
    <x v="4"/>
    <x v="0"/>
    <x v="4"/>
    <s v="Freshwater"/>
    <s v="2Freshwater"/>
    <s v="Salmon"/>
    <s v="786"/>
    <s v="Nisqually River"/>
    <s v="Nisqually River"/>
    <s v="Thurston/Pierce"/>
    <x v="0"/>
    <s v="Other"/>
    <s v="20Other"/>
    <s v="07Non Puget Sound"/>
    <n v="21.375"/>
    <n v="184.89375000000001"/>
  </r>
  <r>
    <n v="1698"/>
    <x v="4"/>
    <x v="0"/>
    <x v="4"/>
    <s v="Freshwater"/>
    <s v="2Freshwater"/>
    <s v="Salmon"/>
    <s v="786"/>
    <s v="Nisqually River"/>
    <s v="Nisqually River"/>
    <s v="Thurston/Pierce"/>
    <x v="0"/>
    <s v="Pierce"/>
    <s v="07Pierce"/>
    <s v="02South Puget Sound"/>
    <n v="249.375"/>
    <n v="2157.09375"/>
  </r>
  <r>
    <n v="1699"/>
    <x v="4"/>
    <x v="0"/>
    <x v="4"/>
    <s v="Freshwater"/>
    <s v="2Freshwater"/>
    <s v="Salmon"/>
    <s v="786"/>
    <s v="Nisqually River"/>
    <s v="Nisqually River"/>
    <s v="Thurston/Pierce"/>
    <x v="0"/>
    <s v="Thurston"/>
    <s v="08Thurston"/>
    <s v="02South Puget Sound"/>
    <n v="263.625"/>
    <n v="2280.3562500000003"/>
  </r>
  <r>
    <n v="1700"/>
    <x v="4"/>
    <x v="1"/>
    <x v="4"/>
    <s v="Freshwater"/>
    <s v="2Freshwater"/>
    <s v="Salmon"/>
    <s v="786"/>
    <s v="Nisqually River"/>
    <s v="Nisqually River"/>
    <s v="Thurston/Pierce"/>
    <x v="0"/>
    <s v="King"/>
    <s v="06King"/>
    <s v="02South Puget Sound"/>
    <n v="50.046728971962601"/>
    <n v="432.90420560747651"/>
  </r>
  <r>
    <n v="1701"/>
    <x v="4"/>
    <x v="1"/>
    <x v="4"/>
    <s v="Freshwater"/>
    <s v="2Freshwater"/>
    <s v="Salmon"/>
    <s v="786"/>
    <s v="Nisqually River"/>
    <s v="Nisqually River"/>
    <s v="Thurston/Pierce"/>
    <x v="0"/>
    <s v="Kitsap"/>
    <s v="10Kitsap"/>
    <s v="02South Puget Sound"/>
    <n v="14.2990654205607"/>
    <n v="123.68691588785006"/>
  </r>
  <r>
    <n v="1702"/>
    <x v="4"/>
    <x v="1"/>
    <x v="4"/>
    <s v="Freshwater"/>
    <s v="2Freshwater"/>
    <s v="Salmon"/>
    <s v="786"/>
    <s v="Nisqually River"/>
    <s v="Nisqually River"/>
    <s v="Thurston/Pierce"/>
    <x v="0"/>
    <s v="Other"/>
    <s v="20Other"/>
    <s v="07Non Puget Sound"/>
    <n v="35.747663551401899"/>
    <n v="309.21728971962642"/>
  </r>
  <r>
    <n v="1703"/>
    <x v="4"/>
    <x v="1"/>
    <x v="4"/>
    <s v="Freshwater"/>
    <s v="2Freshwater"/>
    <s v="Salmon"/>
    <s v="786"/>
    <s v="Nisqually River"/>
    <s v="Nisqually River"/>
    <s v="Thurston/Pierce"/>
    <x v="0"/>
    <s v="Pierce"/>
    <s v="07Pierce"/>
    <s v="02South Puget Sound"/>
    <n v="650.60747663551399"/>
    <n v="5627.7546728971965"/>
  </r>
  <r>
    <n v="1704"/>
    <x v="4"/>
    <x v="1"/>
    <x v="4"/>
    <s v="Freshwater"/>
    <s v="2Freshwater"/>
    <s v="Salmon"/>
    <s v="786"/>
    <s v="Nisqually River"/>
    <s v="Nisqually River"/>
    <s v="Thurston/Pierce"/>
    <x v="0"/>
    <s v="Thurston"/>
    <s v="08Thurston"/>
    <s v="02South Puget Sound"/>
    <n v="779.29906542056096"/>
    <n v="6740.9369158878526"/>
  </r>
  <r>
    <n v="1705"/>
    <x v="4"/>
    <x v="2"/>
    <x v="4"/>
    <s v="Freshwater"/>
    <s v="2Freshwater"/>
    <s v="Salmon"/>
    <s v="786"/>
    <s v="Nisqually River"/>
    <s v="Nisqually River"/>
    <s v="Thurston/Pierce"/>
    <x v="0"/>
    <s v="Pierce"/>
    <s v="07Pierce"/>
    <s v="02South Puget Sound"/>
    <n v="72.040816326530603"/>
    <n v="623.15306122448976"/>
  </r>
  <r>
    <n v="1706"/>
    <x v="4"/>
    <x v="2"/>
    <x v="4"/>
    <s v="Freshwater"/>
    <s v="2Freshwater"/>
    <s v="Salmon"/>
    <s v="786"/>
    <s v="Nisqually River"/>
    <s v="Nisqually River"/>
    <s v="Thurston/Pierce"/>
    <x v="0"/>
    <s v="Snohomish"/>
    <s v="03Snohomish"/>
    <s v="01North Puget Sound"/>
    <n v="7.2040816326530601"/>
    <n v="62.315306122448973"/>
  </r>
  <r>
    <n v="1707"/>
    <x v="4"/>
    <x v="2"/>
    <x v="4"/>
    <s v="Freshwater"/>
    <s v="2Freshwater"/>
    <s v="Salmon"/>
    <s v="786"/>
    <s v="Nisqually River"/>
    <s v="Nisqually River"/>
    <s v="Thurston/Pierce"/>
    <x v="0"/>
    <s v="Thurston"/>
    <s v="08Thurston"/>
    <s v="02South Puget Sound"/>
    <n v="259.34693877551001"/>
    <n v="2243.3510204081617"/>
  </r>
  <r>
    <n v="1708"/>
    <x v="4"/>
    <x v="2"/>
    <x v="4"/>
    <s v="Freshwater"/>
    <s v="2Freshwater"/>
    <s v="Salmon"/>
    <s v="786"/>
    <s v="Nisqually River"/>
    <s v="Nisqually River"/>
    <s v="Thurston/Pierce"/>
    <x v="0"/>
    <s v="Whatcom"/>
    <s v="01Whatcom"/>
    <s v="01North Puget Sound"/>
    <n v="14.408163265306101"/>
    <n v="124.63061224489778"/>
  </r>
  <r>
    <n v="1709"/>
    <x v="4"/>
    <x v="3"/>
    <x v="4"/>
    <s v="Freshwater"/>
    <s v="2Freshwater"/>
    <s v="Salmon"/>
    <s v="786"/>
    <s v="Nisqually River"/>
    <s v="Nisqually River"/>
    <s v="Thurston/Pierce"/>
    <x v="0"/>
    <s v="Thurston"/>
    <s v="08Thurston"/>
    <s v="02South Puget Sound"/>
    <n v="28"/>
    <n v="242.20000000000002"/>
  </r>
  <r>
    <n v="1710"/>
    <x v="4"/>
    <x v="4"/>
    <x v="4"/>
    <s v="Freshwater"/>
    <s v="2Freshwater"/>
    <s v="Salmon"/>
    <s v="786"/>
    <s v="Nisqually River"/>
    <s v="Nisqually River"/>
    <s v="Thurston/Pierce"/>
    <x v="0"/>
    <s v="King"/>
    <s v="06King"/>
    <s v="02South Puget Sound"/>
    <n v="7.0789473684210504"/>
    <n v="61.232894736842091"/>
  </r>
  <r>
    <n v="1711"/>
    <x v="4"/>
    <x v="4"/>
    <x v="4"/>
    <s v="Freshwater"/>
    <s v="2Freshwater"/>
    <s v="Salmon"/>
    <s v="786"/>
    <s v="Nisqually River"/>
    <s v="Nisqually River"/>
    <s v="Thurston/Pierce"/>
    <x v="0"/>
    <s v="Other"/>
    <s v="20Other"/>
    <s v="07Non Puget Sound"/>
    <n v="21.2368421052632"/>
    <n v="183.69868421052669"/>
  </r>
  <r>
    <n v="1712"/>
    <x v="4"/>
    <x v="4"/>
    <x v="4"/>
    <s v="Freshwater"/>
    <s v="2Freshwater"/>
    <s v="Salmon"/>
    <s v="786"/>
    <s v="Nisqually River"/>
    <s v="Nisqually River"/>
    <s v="Thurston/Pierce"/>
    <x v="0"/>
    <s v="Pierce"/>
    <s v="07Pierce"/>
    <s v="02South Puget Sound"/>
    <n v="92.026315789473699"/>
    <n v="796.02763157894753"/>
  </r>
  <r>
    <n v="1713"/>
    <x v="4"/>
    <x v="4"/>
    <x v="4"/>
    <s v="Freshwater"/>
    <s v="2Freshwater"/>
    <s v="Salmon"/>
    <s v="786"/>
    <s v="Nisqually River"/>
    <s v="Nisqually River"/>
    <s v="Thurston/Pierce"/>
    <x v="0"/>
    <s v="Thurston"/>
    <s v="08Thurston"/>
    <s v="02South Puget Sound"/>
    <n v="148.657894736842"/>
    <n v="1285.8907894736833"/>
  </r>
  <r>
    <n v="1714"/>
    <x v="5"/>
    <x v="6"/>
    <x v="4"/>
    <s v="Freshwater"/>
    <s v="2Freshwater"/>
    <s v="Salmon"/>
    <s v="786"/>
    <s v="Nisqually River"/>
    <s v="Nisqually River"/>
    <s v="Thurston/Pierce"/>
    <x v="0"/>
    <s v="Pierce"/>
    <s v="07Pierce"/>
    <s v="02South Puget Sound"/>
    <n v="35.454545454545503"/>
    <n v="121.96363636363652"/>
  </r>
  <r>
    <n v="1715"/>
    <x v="5"/>
    <x v="6"/>
    <x v="4"/>
    <s v="Freshwater"/>
    <s v="2Freshwater"/>
    <s v="Salmon"/>
    <s v="786"/>
    <s v="Nisqually River"/>
    <s v="Nisqually River"/>
    <s v="Thurston/Pierce"/>
    <x v="0"/>
    <s v="Thurston"/>
    <s v="08Thurston"/>
    <s v="02South Puget Sound"/>
    <n v="42.545454545454497"/>
    <n v="146.35636363636345"/>
  </r>
  <r>
    <n v="1716"/>
    <x v="4"/>
    <x v="1"/>
    <x v="4"/>
    <s v="Freshwater"/>
    <s v="2Freshwater"/>
    <s v="Salmon"/>
    <s v="788"/>
    <s v="Nooksack River"/>
    <s v="Nooksack River"/>
    <s v="Whatcom"/>
    <x v="1"/>
    <s v="Whatcom"/>
    <s v="01Whatcom"/>
    <s v="01North Puget Sound"/>
    <n v="544"/>
    <n v="4705.6000000000004"/>
  </r>
  <r>
    <n v="1717"/>
    <x v="4"/>
    <x v="2"/>
    <x v="4"/>
    <s v="Freshwater"/>
    <s v="2Freshwater"/>
    <s v="Salmon"/>
    <s v="788"/>
    <s v="Nooksack River"/>
    <s v="Nooksack River"/>
    <s v="Whatcom"/>
    <x v="1"/>
    <s v="Other"/>
    <s v="20Other"/>
    <s v="07Non Puget Sound"/>
    <n v="71.509433962264197"/>
    <n v="618.55660377358538"/>
  </r>
  <r>
    <n v="1718"/>
    <x v="4"/>
    <x v="2"/>
    <x v="4"/>
    <s v="Freshwater"/>
    <s v="2Freshwater"/>
    <s v="Salmon"/>
    <s v="788"/>
    <s v="Nooksack River"/>
    <s v="Nooksack River"/>
    <s v="Whatcom"/>
    <x v="1"/>
    <s v="Skagit"/>
    <s v="02Skagit"/>
    <s v="01North Puget Sound"/>
    <n v="21.4528301886793"/>
    <n v="185.56698113207597"/>
  </r>
  <r>
    <n v="1719"/>
    <x v="4"/>
    <x v="2"/>
    <x v="4"/>
    <s v="Freshwater"/>
    <s v="2Freshwater"/>
    <s v="Salmon"/>
    <s v="788"/>
    <s v="Nooksack River"/>
    <s v="Nooksack River"/>
    <s v="Whatcom"/>
    <x v="1"/>
    <s v="Whatcom"/>
    <s v="01Whatcom"/>
    <s v="01North Puget Sound"/>
    <n v="286.03773584905701"/>
    <n v="2474.2264150943433"/>
  </r>
  <r>
    <n v="1720"/>
    <x v="4"/>
    <x v="3"/>
    <x v="4"/>
    <s v="Freshwater"/>
    <s v="2Freshwater"/>
    <s v="Salmon"/>
    <s v="788"/>
    <s v="Nooksack River"/>
    <s v="Nooksack River"/>
    <s v="Whatcom"/>
    <x v="1"/>
    <s v="Island"/>
    <s v="04Island"/>
    <s v="01North Puget Sound"/>
    <n v="14.303030303030299"/>
    <n v="123.72121212121209"/>
  </r>
  <r>
    <n v="1721"/>
    <x v="4"/>
    <x v="3"/>
    <x v="4"/>
    <s v="Freshwater"/>
    <s v="2Freshwater"/>
    <s v="Salmon"/>
    <s v="788"/>
    <s v="Nooksack River"/>
    <s v="Nooksack River"/>
    <s v="Whatcom"/>
    <x v="1"/>
    <s v="King"/>
    <s v="06King"/>
    <s v="02South Puget Sound"/>
    <n v="28.606060606060598"/>
    <n v="247.44242424242418"/>
  </r>
  <r>
    <n v="1722"/>
    <x v="4"/>
    <x v="3"/>
    <x v="4"/>
    <s v="Freshwater"/>
    <s v="2Freshwater"/>
    <s v="Salmon"/>
    <s v="788"/>
    <s v="Nooksack River"/>
    <s v="Nooksack River"/>
    <s v="Whatcom"/>
    <x v="1"/>
    <s v="Pierce"/>
    <s v="07Pierce"/>
    <s v="02South Puget Sound"/>
    <n v="7.1515151515151496"/>
    <n v="61.860606060606045"/>
  </r>
  <r>
    <n v="1723"/>
    <x v="4"/>
    <x v="3"/>
    <x v="4"/>
    <s v="Freshwater"/>
    <s v="2Freshwater"/>
    <s v="Salmon"/>
    <s v="788"/>
    <s v="Nooksack River"/>
    <s v="Nooksack River"/>
    <s v="Whatcom"/>
    <x v="1"/>
    <s v="Whatcom"/>
    <s v="01Whatcom"/>
    <s v="01North Puget Sound"/>
    <n v="185.93939393939399"/>
    <n v="1608.3757575757581"/>
  </r>
  <r>
    <n v="1724"/>
    <x v="4"/>
    <x v="4"/>
    <x v="4"/>
    <s v="Freshwater"/>
    <s v="2Freshwater"/>
    <s v="Salmon"/>
    <s v="788"/>
    <s v="Nooksack River"/>
    <s v="Nooksack River"/>
    <s v="Whatcom"/>
    <x v="1"/>
    <s v="Whatcom"/>
    <s v="01Whatcom"/>
    <s v="01North Puget Sound"/>
    <n v="35"/>
    <n v="302.75"/>
  </r>
  <r>
    <n v="1725"/>
    <x v="4"/>
    <x v="1"/>
    <x v="4"/>
    <s v="Freshwater"/>
    <s v="2Freshwater"/>
    <s v="Salmon"/>
    <s v="802"/>
    <s v="Carbon River"/>
    <s v="Carbon River"/>
    <s v="Pierce"/>
    <x v="0"/>
    <s v="King"/>
    <s v="06King"/>
    <s v="02South Puget Sound"/>
    <n v="215.506024096386"/>
    <n v="1864.1271084337391"/>
  </r>
  <r>
    <n v="1726"/>
    <x v="4"/>
    <x v="1"/>
    <x v="4"/>
    <s v="Freshwater"/>
    <s v="2Freshwater"/>
    <s v="Salmon"/>
    <s v="802"/>
    <s v="Carbon River"/>
    <s v="Carbon River"/>
    <s v="Pierce"/>
    <x v="0"/>
    <s v="Kitsap"/>
    <s v="10Kitsap"/>
    <s v="02South Puget Sound"/>
    <n v="13.903614457831299"/>
    <n v="120.26626506024074"/>
  </r>
  <r>
    <n v="1727"/>
    <x v="4"/>
    <x v="1"/>
    <x v="4"/>
    <s v="Freshwater"/>
    <s v="2Freshwater"/>
    <s v="Salmon"/>
    <s v="802"/>
    <s v="Carbon River"/>
    <s v="Carbon River"/>
    <s v="Pierce"/>
    <x v="0"/>
    <s v="Other"/>
    <s v="20Other"/>
    <s v="07Non Puget Sound"/>
    <n v="13.903614457831299"/>
    <n v="120.26626506024074"/>
  </r>
  <r>
    <n v="1728"/>
    <x v="4"/>
    <x v="1"/>
    <x v="4"/>
    <s v="Freshwater"/>
    <s v="2Freshwater"/>
    <s v="Salmon"/>
    <s v="802"/>
    <s v="Carbon River"/>
    <s v="Carbon River"/>
    <s v="Pierce"/>
    <x v="0"/>
    <s v="Pierce"/>
    <s v="07Pierce"/>
    <s v="02South Puget Sound"/>
    <n v="312.83132530120503"/>
    <n v="2705.9909638554236"/>
  </r>
  <r>
    <n v="1729"/>
    <x v="4"/>
    <x v="1"/>
    <x v="4"/>
    <s v="Freshwater"/>
    <s v="2Freshwater"/>
    <s v="Salmon"/>
    <s v="802"/>
    <s v="Carbon River"/>
    <s v="Carbon River"/>
    <s v="Pierce"/>
    <x v="0"/>
    <s v="Snohomish"/>
    <s v="03Snohomish"/>
    <s v="01North Puget Sound"/>
    <n v="20.855421686747"/>
    <n v="180.39939759036156"/>
  </r>
  <r>
    <n v="1730"/>
    <x v="4"/>
    <x v="2"/>
    <x v="4"/>
    <s v="Freshwater"/>
    <s v="2Freshwater"/>
    <s v="Salmon"/>
    <s v="802"/>
    <s v="Carbon River"/>
    <s v="Carbon River"/>
    <s v="Pierce"/>
    <x v="0"/>
    <s v="King"/>
    <s v="06King"/>
    <s v="02South Puget Sound"/>
    <n v="63"/>
    <n v="544.95000000000005"/>
  </r>
  <r>
    <n v="1731"/>
    <x v="4"/>
    <x v="2"/>
    <x v="4"/>
    <s v="Freshwater"/>
    <s v="2Freshwater"/>
    <s v="Salmon"/>
    <s v="802"/>
    <s v="Carbon River"/>
    <s v="Carbon River"/>
    <s v="Pierce"/>
    <x v="0"/>
    <s v="Pierce"/>
    <s v="07Pierce"/>
    <s v="02South Puget Sound"/>
    <n v="168"/>
    <n v="1453.2"/>
  </r>
  <r>
    <n v="1732"/>
    <x v="4"/>
    <x v="2"/>
    <x v="4"/>
    <s v="Freshwater"/>
    <s v="2Freshwater"/>
    <s v="Salmon"/>
    <s v="802"/>
    <s v="Carbon River"/>
    <s v="Carbon River"/>
    <s v="Pierce"/>
    <x v="0"/>
    <s v="Snohomish"/>
    <s v="03Snohomish"/>
    <s v="01North Puget Sound"/>
    <n v="28"/>
    <n v="242.20000000000002"/>
  </r>
  <r>
    <n v="1733"/>
    <x v="4"/>
    <x v="2"/>
    <x v="4"/>
    <s v="Freshwater"/>
    <s v="2Freshwater"/>
    <s v="Salmon"/>
    <s v="802"/>
    <s v="Carbon River"/>
    <s v="Carbon River"/>
    <s v="Pierce"/>
    <x v="0"/>
    <s v="Thurston"/>
    <s v="08Thurston"/>
    <s v="02South Puget Sound"/>
    <n v="7"/>
    <n v="60.550000000000004"/>
  </r>
  <r>
    <n v="1734"/>
    <x v="4"/>
    <x v="3"/>
    <x v="4"/>
    <s v="Freshwater"/>
    <s v="2Freshwater"/>
    <s v="Salmon"/>
    <s v="802"/>
    <s v="Carbon River"/>
    <s v="Carbon River"/>
    <s v="Pierce"/>
    <x v="0"/>
    <s v="Pierce"/>
    <s v="07Pierce"/>
    <s v="02South Puget Sound"/>
    <n v="49"/>
    <n v="423.85"/>
  </r>
  <r>
    <n v="1735"/>
    <x v="4"/>
    <x v="5"/>
    <x v="4"/>
    <s v="Freshwater"/>
    <s v="2Freshwater"/>
    <s v="Salmon"/>
    <s v="804"/>
    <s v="Puyallup River"/>
    <s v="Puyallup River"/>
    <s v="Pierce"/>
    <x v="0"/>
    <s v="King"/>
    <s v="06King"/>
    <s v="02South Puget Sound"/>
    <n v="0"/>
    <n v="0"/>
  </r>
  <r>
    <n v="1736"/>
    <x v="4"/>
    <x v="5"/>
    <x v="4"/>
    <s v="Freshwater"/>
    <s v="2Freshwater"/>
    <s v="Salmon"/>
    <s v="804"/>
    <s v="Puyallup River"/>
    <s v="Puyallup River"/>
    <s v="Pierce"/>
    <x v="0"/>
    <s v="Pierce"/>
    <s v="07Pierce"/>
    <s v="02South Puget Sound"/>
    <n v="0"/>
    <n v="0"/>
  </r>
  <r>
    <n v="1737"/>
    <x v="4"/>
    <x v="0"/>
    <x v="4"/>
    <s v="Freshwater"/>
    <s v="2Freshwater"/>
    <s v="Salmon"/>
    <s v="804"/>
    <s v="Puyallup River"/>
    <s v="Puyallup River"/>
    <s v="Pierce"/>
    <x v="0"/>
    <s v="King"/>
    <s v="06King"/>
    <s v="02South Puget Sound"/>
    <n v="374.93564356435701"/>
    <n v="3243.1933168316882"/>
  </r>
  <r>
    <n v="1738"/>
    <x v="4"/>
    <x v="0"/>
    <x v="4"/>
    <s v="Freshwater"/>
    <s v="2Freshwater"/>
    <s v="Salmon"/>
    <s v="804"/>
    <s v="Puyallup River"/>
    <s v="Puyallup River"/>
    <s v="Pierce"/>
    <x v="0"/>
    <s v="Kitsap"/>
    <s v="10Kitsap"/>
    <s v="02South Puget Sound"/>
    <n v="42.445544554455502"/>
    <n v="367.15396039604013"/>
  </r>
  <r>
    <n v="1739"/>
    <x v="4"/>
    <x v="0"/>
    <x v="4"/>
    <s v="Freshwater"/>
    <s v="2Freshwater"/>
    <s v="Salmon"/>
    <s v="804"/>
    <s v="Puyallup River"/>
    <s v="Puyallup River"/>
    <s v="Pierce"/>
    <x v="0"/>
    <s v="Other"/>
    <s v="20Other"/>
    <s v="07Non Puget Sound"/>
    <n v="70.742574257425801"/>
    <n v="611.92326732673325"/>
  </r>
  <r>
    <n v="1740"/>
    <x v="4"/>
    <x v="0"/>
    <x v="4"/>
    <s v="Freshwater"/>
    <s v="2Freshwater"/>
    <s v="Salmon"/>
    <s v="804"/>
    <s v="Puyallup River"/>
    <s v="Puyallup River"/>
    <s v="Pierce"/>
    <x v="0"/>
    <s v="Pierce"/>
    <s v="07Pierce"/>
    <s v="02South Puget Sound"/>
    <n v="891.35643564356496"/>
    <n v="7710.2331683168377"/>
  </r>
  <r>
    <n v="1741"/>
    <x v="4"/>
    <x v="0"/>
    <x v="4"/>
    <s v="Freshwater"/>
    <s v="2Freshwater"/>
    <s v="Salmon"/>
    <s v="804"/>
    <s v="Puyallup River"/>
    <s v="Puyallup River"/>
    <s v="Pierce"/>
    <x v="0"/>
    <s v="Thurston"/>
    <s v="08Thurston"/>
    <s v="02South Puget Sound"/>
    <n v="49.519801980197997"/>
    <n v="428.34628712871267"/>
  </r>
  <r>
    <n v="1742"/>
    <x v="4"/>
    <x v="1"/>
    <x v="4"/>
    <s v="Freshwater"/>
    <s v="2Freshwater"/>
    <s v="Salmon"/>
    <s v="804"/>
    <s v="Puyallup River"/>
    <s v="Puyallup River"/>
    <s v="Pierce"/>
    <x v="0"/>
    <s v="King"/>
    <s v="06King"/>
    <s v="02South Puget Sound"/>
    <n v="1110.9090909090901"/>
    <n v="9609.3636363636288"/>
  </r>
  <r>
    <n v="1743"/>
    <x v="4"/>
    <x v="1"/>
    <x v="4"/>
    <s v="Freshwater"/>
    <s v="2Freshwater"/>
    <s v="Salmon"/>
    <s v="804"/>
    <s v="Puyallup River"/>
    <s v="Puyallup River"/>
    <s v="Pierce"/>
    <x v="0"/>
    <s v="Kitsap"/>
    <s v="10Kitsap"/>
    <s v="02South Puget Sound"/>
    <n v="83.318181818181799"/>
    <n v="720.70227272727254"/>
  </r>
  <r>
    <n v="1744"/>
    <x v="4"/>
    <x v="1"/>
    <x v="4"/>
    <s v="Freshwater"/>
    <s v="2Freshwater"/>
    <s v="Salmon"/>
    <s v="804"/>
    <s v="Puyallup River"/>
    <s v="Puyallup River"/>
    <s v="Pierce"/>
    <x v="0"/>
    <s v="Other"/>
    <s v="20Other"/>
    <s v="07Non Puget Sound"/>
    <n v="34.715909090909101"/>
    <n v="300.29261363636374"/>
  </r>
  <r>
    <n v="1745"/>
    <x v="4"/>
    <x v="1"/>
    <x v="4"/>
    <s v="Freshwater"/>
    <s v="2Freshwater"/>
    <s v="Salmon"/>
    <s v="804"/>
    <s v="Puyallup River"/>
    <s v="Puyallup River"/>
    <s v="Pierce"/>
    <x v="0"/>
    <s v="Pierce"/>
    <s v="07Pierce"/>
    <s v="02South Puget Sound"/>
    <n v="1673.3068181818201"/>
    <n v="14474.103977272744"/>
  </r>
  <r>
    <n v="1746"/>
    <x v="4"/>
    <x v="1"/>
    <x v="4"/>
    <s v="Freshwater"/>
    <s v="2Freshwater"/>
    <s v="Salmon"/>
    <s v="804"/>
    <s v="Puyallup River"/>
    <s v="Puyallup River"/>
    <s v="Pierce"/>
    <x v="0"/>
    <s v="Snohomish"/>
    <s v="03Snohomish"/>
    <s v="01North Puget Sound"/>
    <n v="34.715909090909101"/>
    <n v="300.29261363636374"/>
  </r>
  <r>
    <n v="1747"/>
    <x v="4"/>
    <x v="1"/>
    <x v="4"/>
    <s v="Freshwater"/>
    <s v="2Freshwater"/>
    <s v="Salmon"/>
    <s v="804"/>
    <s v="Puyallup River"/>
    <s v="Puyallup River"/>
    <s v="Pierce"/>
    <x v="0"/>
    <s v="Thurston"/>
    <s v="08Thurston"/>
    <s v="02South Puget Sound"/>
    <n v="90.261363636363697"/>
    <n v="780.76079545454604"/>
  </r>
  <r>
    <n v="1748"/>
    <x v="4"/>
    <x v="1"/>
    <x v="4"/>
    <s v="Freshwater"/>
    <s v="2Freshwater"/>
    <s v="Salmon"/>
    <s v="804"/>
    <s v="Puyallup River"/>
    <s v="Puyallup River"/>
    <s v="Pierce"/>
    <x v="0"/>
    <s v="Whatcom"/>
    <s v="01Whatcom"/>
    <s v="01North Puget Sound"/>
    <n v="27.772727272727298"/>
    <n v="240.23409090909115"/>
  </r>
  <r>
    <n v="1749"/>
    <x v="4"/>
    <x v="2"/>
    <x v="4"/>
    <s v="Freshwater"/>
    <s v="2Freshwater"/>
    <s v="Salmon"/>
    <s v="804"/>
    <s v="Puyallup River"/>
    <s v="Puyallup River"/>
    <s v="Pierce"/>
    <x v="0"/>
    <s v="King"/>
    <s v="06King"/>
    <s v="02South Puget Sound"/>
    <n v="20.7931034482759"/>
    <n v="179.86034482758654"/>
  </r>
  <r>
    <n v="1750"/>
    <x v="4"/>
    <x v="2"/>
    <x v="4"/>
    <s v="Freshwater"/>
    <s v="2Freshwater"/>
    <s v="Salmon"/>
    <s v="804"/>
    <s v="Puyallup River"/>
    <s v="Puyallup River"/>
    <s v="Pierce"/>
    <x v="0"/>
    <s v="Pierce"/>
    <s v="07Pierce"/>
    <s v="02South Puget Sound"/>
    <n v="180.20689655172399"/>
    <n v="1558.7896551724125"/>
  </r>
  <r>
    <n v="1751"/>
    <x v="4"/>
    <x v="3"/>
    <x v="4"/>
    <s v="Freshwater"/>
    <s v="2Freshwater"/>
    <s v="Salmon"/>
    <s v="804"/>
    <s v="Puyallup River"/>
    <s v="Puyallup River"/>
    <s v="Pierce"/>
    <x v="0"/>
    <s v="King"/>
    <s v="06King"/>
    <s v="02South Puget Sound"/>
    <n v="48.404255319148902"/>
    <n v="418.69680851063799"/>
  </r>
  <r>
    <n v="1752"/>
    <x v="4"/>
    <x v="3"/>
    <x v="4"/>
    <s v="Freshwater"/>
    <s v="2Freshwater"/>
    <s v="Salmon"/>
    <s v="804"/>
    <s v="Puyallup River"/>
    <s v="Puyallup River"/>
    <s v="Pierce"/>
    <x v="0"/>
    <s v="Other"/>
    <s v="20Other"/>
    <s v="07Non Puget Sound"/>
    <n v="34.574468085106403"/>
    <n v="299.06914893617039"/>
  </r>
  <r>
    <n v="1753"/>
    <x v="4"/>
    <x v="3"/>
    <x v="4"/>
    <s v="Freshwater"/>
    <s v="2Freshwater"/>
    <s v="Salmon"/>
    <s v="804"/>
    <s v="Puyallup River"/>
    <s v="Puyallup River"/>
    <s v="Pierce"/>
    <x v="0"/>
    <s v="Pierce"/>
    <s v="07Pierce"/>
    <s v="02South Puget Sound"/>
    <n v="200.531914893617"/>
    <n v="1734.6010638297871"/>
  </r>
  <r>
    <n v="1754"/>
    <x v="4"/>
    <x v="3"/>
    <x v="4"/>
    <s v="Freshwater"/>
    <s v="2Freshwater"/>
    <s v="Salmon"/>
    <s v="804"/>
    <s v="Puyallup River"/>
    <s v="Puyallup River"/>
    <s v="Pierce"/>
    <x v="0"/>
    <s v="Thurston"/>
    <s v="08Thurston"/>
    <s v="02South Puget Sound"/>
    <n v="41.489361702127702"/>
    <n v="358.88297872340462"/>
  </r>
  <r>
    <n v="1755"/>
    <x v="4"/>
    <x v="4"/>
    <x v="4"/>
    <s v="Freshwater"/>
    <s v="2Freshwater"/>
    <s v="Salmon"/>
    <s v="804"/>
    <s v="Puyallup River"/>
    <s v="Puyallup River"/>
    <s v="Pierce"/>
    <x v="0"/>
    <s v="King"/>
    <s v="06King"/>
    <s v="02South Puget Sound"/>
    <n v="13.789473684210501"/>
    <n v="119.27894736842083"/>
  </r>
  <r>
    <n v="1756"/>
    <x v="4"/>
    <x v="4"/>
    <x v="4"/>
    <s v="Freshwater"/>
    <s v="2Freshwater"/>
    <s v="Salmon"/>
    <s v="804"/>
    <s v="Puyallup River"/>
    <s v="Puyallup River"/>
    <s v="Pierce"/>
    <x v="0"/>
    <s v="Pierce"/>
    <s v="07Pierce"/>
    <s v="02South Puget Sound"/>
    <n v="82.736842105263193"/>
    <n v="715.67368421052663"/>
  </r>
  <r>
    <n v="1757"/>
    <x v="4"/>
    <x v="4"/>
    <x v="4"/>
    <s v="Freshwater"/>
    <s v="2Freshwater"/>
    <s v="Salmon"/>
    <s v="804"/>
    <s v="Puyallup River"/>
    <s v="Puyallup River"/>
    <s v="Pierce"/>
    <x v="0"/>
    <s v="Thurston"/>
    <s v="08Thurston"/>
    <s v="02South Puget Sound"/>
    <n v="34.473684210526301"/>
    <n v="298.19736842105249"/>
  </r>
  <r>
    <n v="1758"/>
    <x v="4"/>
    <x v="0"/>
    <x v="4"/>
    <s v="Freshwater"/>
    <s v="2Freshwater"/>
    <s v="Salmon"/>
    <s v="812"/>
    <s v="Quilcene River"/>
    <s v="Quilcene River"/>
    <s v="Jefferson"/>
    <x v="2"/>
    <s v="Clallam"/>
    <s v="11Clallam"/>
    <s v="03Strait of Juan de Fuca"/>
    <n v="14.375"/>
    <n v="124.34375"/>
  </r>
  <r>
    <n v="1759"/>
    <x v="4"/>
    <x v="0"/>
    <x v="4"/>
    <s v="Freshwater"/>
    <s v="2Freshwater"/>
    <s v="Salmon"/>
    <s v="812"/>
    <s v="Quilcene River"/>
    <s v="Quilcene River"/>
    <s v="Jefferson"/>
    <x v="2"/>
    <s v="King"/>
    <s v="06King"/>
    <s v="02South Puget Sound"/>
    <n v="7.1875"/>
    <n v="62.171875"/>
  </r>
  <r>
    <n v="1760"/>
    <x v="4"/>
    <x v="0"/>
    <x v="4"/>
    <s v="Freshwater"/>
    <s v="2Freshwater"/>
    <s v="Salmon"/>
    <s v="812"/>
    <s v="Quilcene River"/>
    <s v="Quilcene River"/>
    <s v="Jefferson"/>
    <x v="2"/>
    <s v="Kitsap"/>
    <s v="10Kitsap"/>
    <s v="02South Puget Sound"/>
    <n v="86.25"/>
    <n v="746.0625"/>
  </r>
  <r>
    <n v="1761"/>
    <x v="4"/>
    <x v="0"/>
    <x v="4"/>
    <s v="Freshwater"/>
    <s v="2Freshwater"/>
    <s v="Salmon"/>
    <s v="812"/>
    <s v="Quilcene River"/>
    <s v="Quilcene River"/>
    <s v="Jefferson"/>
    <x v="2"/>
    <s v="Pierce"/>
    <s v="07Pierce"/>
    <s v="02South Puget Sound"/>
    <n v="7.1875"/>
    <n v="62.171875"/>
  </r>
  <r>
    <n v="1762"/>
    <x v="4"/>
    <x v="1"/>
    <x v="4"/>
    <s v="Freshwater"/>
    <s v="2Freshwater"/>
    <s v="Salmon"/>
    <s v="812"/>
    <s v="Quilcene River"/>
    <s v="Quilcene River"/>
    <s v="Jefferson"/>
    <x v="2"/>
    <s v="Clallam"/>
    <s v="11Clallam"/>
    <s v="03Strait of Juan de Fuca"/>
    <n v="316.8"/>
    <n v="2740.32"/>
  </r>
  <r>
    <n v="1763"/>
    <x v="4"/>
    <x v="1"/>
    <x v="4"/>
    <s v="Freshwater"/>
    <s v="2Freshwater"/>
    <s v="Salmon"/>
    <s v="812"/>
    <s v="Quilcene River"/>
    <s v="Quilcene River"/>
    <s v="Jefferson"/>
    <x v="2"/>
    <s v="Jefferson"/>
    <s v="12Jefferson"/>
    <s v="03Strait of Juan de Fuca"/>
    <n v="79.2"/>
    <n v="685.08"/>
  </r>
  <r>
    <n v="1764"/>
    <x v="4"/>
    <x v="1"/>
    <x v="4"/>
    <s v="Freshwater"/>
    <s v="2Freshwater"/>
    <s v="Salmon"/>
    <s v="812"/>
    <s v="Quilcene River"/>
    <s v="Quilcene River"/>
    <s v="Jefferson"/>
    <x v="2"/>
    <s v="King"/>
    <s v="06King"/>
    <s v="02South Puget Sound"/>
    <n v="72"/>
    <n v="622.80000000000007"/>
  </r>
  <r>
    <n v="1765"/>
    <x v="4"/>
    <x v="1"/>
    <x v="4"/>
    <s v="Freshwater"/>
    <s v="2Freshwater"/>
    <s v="Salmon"/>
    <s v="812"/>
    <s v="Quilcene River"/>
    <s v="Quilcene River"/>
    <s v="Jefferson"/>
    <x v="2"/>
    <s v="Kitsap"/>
    <s v="10Kitsap"/>
    <s v="02South Puget Sound"/>
    <n v="331.2"/>
    <n v="2864.88"/>
  </r>
  <r>
    <n v="1766"/>
    <x v="4"/>
    <x v="1"/>
    <x v="4"/>
    <s v="Freshwater"/>
    <s v="2Freshwater"/>
    <s v="Salmon"/>
    <s v="812"/>
    <s v="Quilcene River"/>
    <s v="Quilcene River"/>
    <s v="Jefferson"/>
    <x v="2"/>
    <s v="Other"/>
    <s v="20Other"/>
    <s v="07Non Puget Sound"/>
    <n v="79.2"/>
    <n v="685.08"/>
  </r>
  <r>
    <n v="1767"/>
    <x v="4"/>
    <x v="1"/>
    <x v="4"/>
    <s v="Freshwater"/>
    <s v="2Freshwater"/>
    <s v="Salmon"/>
    <s v="812"/>
    <s v="Quilcene River"/>
    <s v="Quilcene River"/>
    <s v="Jefferson"/>
    <x v="2"/>
    <s v="Pierce"/>
    <s v="07Pierce"/>
    <s v="02South Puget Sound"/>
    <n v="100.8"/>
    <n v="871.92"/>
  </r>
  <r>
    <n v="1768"/>
    <x v="4"/>
    <x v="1"/>
    <x v="4"/>
    <s v="Freshwater"/>
    <s v="2Freshwater"/>
    <s v="Salmon"/>
    <s v="812"/>
    <s v="Quilcene River"/>
    <s v="Quilcene River"/>
    <s v="Jefferson"/>
    <x v="2"/>
    <s v="Skagit"/>
    <s v="02Skagit"/>
    <s v="01North Puget Sound"/>
    <n v="14.4"/>
    <n v="124.56"/>
  </r>
  <r>
    <n v="1769"/>
    <x v="4"/>
    <x v="1"/>
    <x v="4"/>
    <s v="Freshwater"/>
    <s v="2Freshwater"/>
    <s v="Salmon"/>
    <s v="812"/>
    <s v="Quilcene River"/>
    <s v="Quilcene River"/>
    <s v="Jefferson"/>
    <x v="2"/>
    <s v="Snohomish"/>
    <s v="03Snohomish"/>
    <s v="01North Puget Sound"/>
    <n v="57.6"/>
    <n v="498.24"/>
  </r>
  <r>
    <n v="1770"/>
    <x v="4"/>
    <x v="1"/>
    <x v="4"/>
    <s v="Freshwater"/>
    <s v="2Freshwater"/>
    <s v="Salmon"/>
    <s v="812"/>
    <s v="Quilcene River"/>
    <s v="Quilcene River"/>
    <s v="Jefferson"/>
    <x v="2"/>
    <s v="Thurston"/>
    <s v="08Thurston"/>
    <s v="02South Puget Sound"/>
    <n v="28.8"/>
    <n v="249.12"/>
  </r>
  <r>
    <n v="1771"/>
    <x v="4"/>
    <x v="2"/>
    <x v="4"/>
    <s v="Freshwater"/>
    <s v="2Freshwater"/>
    <s v="Salmon"/>
    <s v="812"/>
    <s v="Quilcene River"/>
    <s v="Quilcene River"/>
    <s v="Jefferson"/>
    <x v="2"/>
    <s v="King"/>
    <s v="06King"/>
    <s v="02South Puget Sound"/>
    <n v="7.2"/>
    <n v="62.28"/>
  </r>
  <r>
    <n v="1772"/>
    <x v="4"/>
    <x v="2"/>
    <x v="4"/>
    <s v="Freshwater"/>
    <s v="2Freshwater"/>
    <s v="Salmon"/>
    <s v="812"/>
    <s v="Quilcene River"/>
    <s v="Quilcene River"/>
    <s v="Jefferson"/>
    <x v="2"/>
    <s v="Kitsap"/>
    <s v="10Kitsap"/>
    <s v="02South Puget Sound"/>
    <n v="7.2"/>
    <n v="62.28"/>
  </r>
  <r>
    <n v="1773"/>
    <x v="4"/>
    <x v="2"/>
    <x v="4"/>
    <s v="Freshwater"/>
    <s v="2Freshwater"/>
    <s v="Salmon"/>
    <s v="812"/>
    <s v="Quilcene River"/>
    <s v="Quilcene River"/>
    <s v="Jefferson"/>
    <x v="2"/>
    <s v="Other"/>
    <s v="20Other"/>
    <s v="07Non Puget Sound"/>
    <n v="21.6"/>
    <n v="186.84000000000003"/>
  </r>
  <r>
    <n v="1774"/>
    <x v="4"/>
    <x v="5"/>
    <x v="4"/>
    <s v="Freshwater"/>
    <s v="2Freshwater"/>
    <s v="Salmon"/>
    <s v="816"/>
    <s v="Samish River"/>
    <s v="Samish River"/>
    <s v="Skagit"/>
    <x v="1"/>
    <s v="Skagit"/>
    <s v="02Skagit"/>
    <s v="01North Puget Sound"/>
    <n v="0"/>
    <n v="0"/>
  </r>
  <r>
    <n v="1775"/>
    <x v="4"/>
    <x v="0"/>
    <x v="4"/>
    <s v="Freshwater"/>
    <s v="2Freshwater"/>
    <s v="Salmon"/>
    <s v="816"/>
    <s v="Samish River"/>
    <s v="Samish River"/>
    <s v="Skagit"/>
    <x v="1"/>
    <s v="Island"/>
    <s v="04Island"/>
    <s v="01North Puget Sound"/>
    <n v="22.636363636363601"/>
    <n v="195.80454545454515"/>
  </r>
  <r>
    <n v="1776"/>
    <x v="4"/>
    <x v="0"/>
    <x v="4"/>
    <s v="Freshwater"/>
    <s v="2Freshwater"/>
    <s v="Salmon"/>
    <s v="816"/>
    <s v="Samish River"/>
    <s v="Samish River"/>
    <s v="Skagit"/>
    <x v="1"/>
    <s v="King"/>
    <s v="06King"/>
    <s v="02South Puget Sound"/>
    <n v="37.727272727272698"/>
    <n v="326.34090909090884"/>
  </r>
  <r>
    <n v="1777"/>
    <x v="4"/>
    <x v="0"/>
    <x v="4"/>
    <s v="Freshwater"/>
    <s v="2Freshwater"/>
    <s v="Salmon"/>
    <s v="816"/>
    <s v="Samish River"/>
    <s v="Samish River"/>
    <s v="Skagit"/>
    <x v="1"/>
    <s v="Skagit"/>
    <s v="02Skagit"/>
    <s v="01North Puget Sound"/>
    <n v="113.181818181818"/>
    <n v="979.02272727272577"/>
  </r>
  <r>
    <n v="1778"/>
    <x v="4"/>
    <x v="0"/>
    <x v="4"/>
    <s v="Freshwater"/>
    <s v="2Freshwater"/>
    <s v="Salmon"/>
    <s v="816"/>
    <s v="Samish River"/>
    <s v="Samish River"/>
    <s v="Skagit"/>
    <x v="1"/>
    <s v="Snohomish"/>
    <s v="03Snohomish"/>
    <s v="01North Puget Sound"/>
    <n v="128.272727272727"/>
    <n v="1109.5590909090886"/>
  </r>
  <r>
    <n v="1779"/>
    <x v="4"/>
    <x v="0"/>
    <x v="4"/>
    <s v="Freshwater"/>
    <s v="2Freshwater"/>
    <s v="Salmon"/>
    <s v="816"/>
    <s v="Samish River"/>
    <s v="Samish River"/>
    <s v="Skagit"/>
    <x v="1"/>
    <s v="Whatcom"/>
    <s v="01Whatcom"/>
    <s v="01North Puget Sound"/>
    <n v="30.181818181818201"/>
    <n v="261.07272727272743"/>
  </r>
  <r>
    <n v="1780"/>
    <x v="4"/>
    <x v="1"/>
    <x v="4"/>
    <s v="Freshwater"/>
    <s v="2Freshwater"/>
    <s v="Salmon"/>
    <s v="816"/>
    <s v="Samish River"/>
    <s v="Samish River"/>
    <s v="Skagit"/>
    <x v="1"/>
    <s v="Island"/>
    <s v="04Island"/>
    <s v="01North Puget Sound"/>
    <n v="389.58217270195001"/>
    <n v="3369.8857938718679"/>
  </r>
  <r>
    <n v="1781"/>
    <x v="4"/>
    <x v="1"/>
    <x v="4"/>
    <s v="Freshwater"/>
    <s v="2Freshwater"/>
    <s v="Salmon"/>
    <s v="816"/>
    <s v="Samish River"/>
    <s v="Samish River"/>
    <s v="Skagit"/>
    <x v="1"/>
    <s v="King"/>
    <s v="06King"/>
    <s v="02South Puget Sound"/>
    <n v="317.43732590529299"/>
    <n v="2745.8328690807843"/>
  </r>
  <r>
    <n v="1782"/>
    <x v="4"/>
    <x v="1"/>
    <x v="4"/>
    <s v="Freshwater"/>
    <s v="2Freshwater"/>
    <s v="Salmon"/>
    <s v="816"/>
    <s v="Samish River"/>
    <s v="Samish River"/>
    <s v="Skagit"/>
    <x v="1"/>
    <s v="Other"/>
    <s v="20Other"/>
    <s v="07Non Puget Sound"/>
    <n v="324.65181058495801"/>
    <n v="2808.238161559887"/>
  </r>
  <r>
    <n v="1783"/>
    <x v="4"/>
    <x v="1"/>
    <x v="4"/>
    <s v="Freshwater"/>
    <s v="2Freshwater"/>
    <s v="Salmon"/>
    <s v="816"/>
    <s v="Samish River"/>
    <s v="Samish River"/>
    <s v="Skagit"/>
    <x v="1"/>
    <s v="Skagit"/>
    <s v="02Skagit"/>
    <s v="01North Puget Sound"/>
    <n v="1276.96378830084"/>
    <n v="11045.736768802266"/>
  </r>
  <r>
    <n v="1784"/>
    <x v="4"/>
    <x v="1"/>
    <x v="4"/>
    <s v="Freshwater"/>
    <s v="2Freshwater"/>
    <s v="Salmon"/>
    <s v="816"/>
    <s v="Samish River"/>
    <s v="Samish River"/>
    <s v="Skagit"/>
    <x v="1"/>
    <s v="Snohomish"/>
    <s v="03Snohomish"/>
    <s v="01North Puget Sound"/>
    <n v="2286.9916434540401"/>
    <n v="19782.477715877449"/>
  </r>
  <r>
    <n v="1785"/>
    <x v="4"/>
    <x v="1"/>
    <x v="4"/>
    <s v="Freshwater"/>
    <s v="2Freshwater"/>
    <s v="Salmon"/>
    <s v="816"/>
    <s v="Samish River"/>
    <s v="Samish River"/>
    <s v="Skagit"/>
    <x v="1"/>
    <s v="Whatcom"/>
    <s v="01Whatcom"/>
    <s v="01North Puget Sound"/>
    <n v="584.37325905292505"/>
    <n v="5054.8286908078016"/>
  </r>
  <r>
    <n v="1786"/>
    <x v="4"/>
    <x v="2"/>
    <x v="4"/>
    <s v="Freshwater"/>
    <s v="2Freshwater"/>
    <s v="Salmon"/>
    <s v="816"/>
    <s v="Samish River"/>
    <s v="Samish River"/>
    <s v="Skagit"/>
    <x v="1"/>
    <s v="Island"/>
    <s v="04Island"/>
    <s v="01North Puget Sound"/>
    <n v="64.928571428571502"/>
    <n v="561.63214285714355"/>
  </r>
  <r>
    <n v="1787"/>
    <x v="4"/>
    <x v="2"/>
    <x v="4"/>
    <s v="Freshwater"/>
    <s v="2Freshwater"/>
    <s v="Salmon"/>
    <s v="816"/>
    <s v="Samish River"/>
    <s v="Samish River"/>
    <s v="Skagit"/>
    <x v="1"/>
    <s v="King"/>
    <s v="06King"/>
    <s v="02South Puget Sound"/>
    <n v="151.5"/>
    <n v="1310.4750000000001"/>
  </r>
  <r>
    <n v="1788"/>
    <x v="4"/>
    <x v="2"/>
    <x v="4"/>
    <s v="Freshwater"/>
    <s v="2Freshwater"/>
    <s v="Salmon"/>
    <s v="816"/>
    <s v="Samish River"/>
    <s v="Samish River"/>
    <s v="Skagit"/>
    <x v="1"/>
    <s v="Other"/>
    <s v="20Other"/>
    <s v="07Non Puget Sound"/>
    <n v="21.6428571428571"/>
    <n v="187.21071428571392"/>
  </r>
  <r>
    <n v="1789"/>
    <x v="4"/>
    <x v="2"/>
    <x v="4"/>
    <s v="Freshwater"/>
    <s v="2Freshwater"/>
    <s v="Salmon"/>
    <s v="816"/>
    <s v="Samish River"/>
    <s v="Samish River"/>
    <s v="Skagit"/>
    <x v="1"/>
    <s v="Skagit"/>
    <s v="02Skagit"/>
    <s v="01North Puget Sound"/>
    <n v="331.857142857143"/>
    <n v="2870.5642857142871"/>
  </r>
  <r>
    <n v="1790"/>
    <x v="4"/>
    <x v="2"/>
    <x v="4"/>
    <s v="Freshwater"/>
    <s v="2Freshwater"/>
    <s v="Salmon"/>
    <s v="816"/>
    <s v="Samish River"/>
    <s v="Samish River"/>
    <s v="Skagit"/>
    <x v="1"/>
    <s v="Snohomish"/>
    <s v="03Snohomish"/>
    <s v="01North Puget Sound"/>
    <n v="786.357142857143"/>
    <n v="6801.9892857142877"/>
  </r>
  <r>
    <n v="1791"/>
    <x v="4"/>
    <x v="2"/>
    <x v="4"/>
    <s v="Freshwater"/>
    <s v="2Freshwater"/>
    <s v="Salmon"/>
    <s v="816"/>
    <s v="Samish River"/>
    <s v="Samish River"/>
    <s v="Skagit"/>
    <x v="1"/>
    <s v="Whatcom"/>
    <s v="01Whatcom"/>
    <s v="01North Puget Sound"/>
    <n v="259.71428571428601"/>
    <n v="2246.5285714285742"/>
  </r>
  <r>
    <n v="1792"/>
    <x v="4"/>
    <x v="3"/>
    <x v="4"/>
    <s v="Freshwater"/>
    <s v="2Freshwater"/>
    <s v="Salmon"/>
    <s v="816"/>
    <s v="Samish River"/>
    <s v="Samish River"/>
    <s v="Skagit"/>
    <x v="1"/>
    <s v="Whatcom"/>
    <s v="01Whatcom"/>
    <s v="01North Puget Sound"/>
    <n v="29"/>
    <n v="250.85000000000002"/>
  </r>
  <r>
    <n v="1793"/>
    <x v="4"/>
    <x v="5"/>
    <x v="4"/>
    <s v="Freshwater"/>
    <s v="2Freshwater"/>
    <s v="Salmon"/>
    <s v="825"/>
    <s v="Baker Lake"/>
    <s v="Baker Lake"/>
    <s v="Whatcom"/>
    <x v="1"/>
    <s v="Island"/>
    <s v="04Island"/>
    <s v="01North Puget Sound"/>
    <n v="72.5165562913907"/>
    <n v="627.26821192052955"/>
  </r>
  <r>
    <n v="1794"/>
    <x v="4"/>
    <x v="5"/>
    <x v="4"/>
    <s v="Freshwater"/>
    <s v="2Freshwater"/>
    <s v="Salmon"/>
    <s v="825"/>
    <s v="Baker Lake"/>
    <s v="Baker Lake"/>
    <s v="Whatcom"/>
    <x v="1"/>
    <s v="King"/>
    <s v="06King"/>
    <s v="02South Puget Sound"/>
    <n v="282.81456953642402"/>
    <n v="2446.3460264900677"/>
  </r>
  <r>
    <n v="1795"/>
    <x v="4"/>
    <x v="5"/>
    <x v="4"/>
    <s v="Freshwater"/>
    <s v="2Freshwater"/>
    <s v="Salmon"/>
    <s v="825"/>
    <s v="Baker Lake"/>
    <s v="Baker Lake"/>
    <s v="Whatcom"/>
    <x v="1"/>
    <s v="Other"/>
    <s v="20Other"/>
    <s v="07Non Puget Sound"/>
    <n v="116.02649006622499"/>
    <n v="1003.6291390728462"/>
  </r>
  <r>
    <n v="1796"/>
    <x v="4"/>
    <x v="5"/>
    <x v="4"/>
    <s v="Freshwater"/>
    <s v="2Freshwater"/>
    <s v="Salmon"/>
    <s v="825"/>
    <s v="Baker Lake"/>
    <s v="Baker Lake"/>
    <s v="Whatcom"/>
    <x v="1"/>
    <s v="Pierce"/>
    <s v="07Pierce"/>
    <s v="02South Puget Sound"/>
    <n v="29.006622516556298"/>
    <n v="250.90728476821198"/>
  </r>
  <r>
    <n v="1797"/>
    <x v="4"/>
    <x v="5"/>
    <x v="4"/>
    <s v="Freshwater"/>
    <s v="2Freshwater"/>
    <s v="Salmon"/>
    <s v="825"/>
    <s v="Baker Lake"/>
    <s v="Baker Lake"/>
    <s v="Whatcom"/>
    <x v="1"/>
    <s v="Skagit"/>
    <s v="02Skagit"/>
    <s v="01North Puget Sound"/>
    <n v="754.17218543046397"/>
    <n v="6523.589403973514"/>
  </r>
  <r>
    <n v="1798"/>
    <x v="4"/>
    <x v="5"/>
    <x v="4"/>
    <s v="Freshwater"/>
    <s v="2Freshwater"/>
    <s v="Salmon"/>
    <s v="825"/>
    <s v="Baker Lake"/>
    <s v="Baker Lake"/>
    <s v="Whatcom"/>
    <x v="1"/>
    <s v="Snohomish"/>
    <s v="03Snohomish"/>
    <s v="01North Puget Sound"/>
    <n v="667.15231788079495"/>
    <n v="5770.8675496688766"/>
  </r>
  <r>
    <n v="1799"/>
    <x v="4"/>
    <x v="5"/>
    <x v="4"/>
    <s v="Freshwater"/>
    <s v="2Freshwater"/>
    <s v="Salmon"/>
    <s v="825"/>
    <s v="Baker Lake"/>
    <s v="Baker Lake"/>
    <s v="Whatcom"/>
    <x v="1"/>
    <s v="Whatcom"/>
    <s v="01Whatcom"/>
    <s v="01North Puget Sound"/>
    <n v="268.311258278146"/>
    <n v="2320.8923841059632"/>
  </r>
  <r>
    <n v="1800"/>
    <x v="4"/>
    <x v="0"/>
    <x v="4"/>
    <s v="Freshwater"/>
    <s v="2Freshwater"/>
    <s v="Salmon"/>
    <s v="825"/>
    <s v="Baker Lake"/>
    <s v="Baker Lake"/>
    <s v="Whatcom"/>
    <x v="1"/>
    <s v="Island"/>
    <s v="04Island"/>
    <s v="01North Puget Sound"/>
    <n v="43.521739130434803"/>
    <n v="376.46304347826106"/>
  </r>
  <r>
    <n v="1801"/>
    <x v="4"/>
    <x v="0"/>
    <x v="4"/>
    <s v="Freshwater"/>
    <s v="2Freshwater"/>
    <s v="Salmon"/>
    <s v="825"/>
    <s v="Baker Lake"/>
    <s v="Baker Lake"/>
    <s v="Whatcom"/>
    <x v="1"/>
    <s v="King"/>
    <s v="06King"/>
    <s v="02South Puget Sound"/>
    <n v="50.7753623188406"/>
    <n v="439.20688405797119"/>
  </r>
  <r>
    <n v="1802"/>
    <x v="4"/>
    <x v="0"/>
    <x v="4"/>
    <s v="Freshwater"/>
    <s v="2Freshwater"/>
    <s v="Salmon"/>
    <s v="825"/>
    <s v="Baker Lake"/>
    <s v="Baker Lake"/>
    <s v="Whatcom"/>
    <x v="1"/>
    <s v="Other"/>
    <s v="20Other"/>
    <s v="07Non Puget Sound"/>
    <n v="14.507246376811599"/>
    <n v="125.48768115942033"/>
  </r>
  <r>
    <n v="1803"/>
    <x v="4"/>
    <x v="0"/>
    <x v="4"/>
    <s v="Freshwater"/>
    <s v="2Freshwater"/>
    <s v="Salmon"/>
    <s v="825"/>
    <s v="Baker Lake"/>
    <s v="Baker Lake"/>
    <s v="Whatcom"/>
    <x v="1"/>
    <s v="Pierce"/>
    <s v="07Pierce"/>
    <s v="02South Puget Sound"/>
    <n v="7.2536231884057996"/>
    <n v="62.743840579710167"/>
  </r>
  <r>
    <n v="1804"/>
    <x v="4"/>
    <x v="0"/>
    <x v="4"/>
    <s v="Freshwater"/>
    <s v="2Freshwater"/>
    <s v="Salmon"/>
    <s v="825"/>
    <s v="Baker Lake"/>
    <s v="Baker Lake"/>
    <s v="Whatcom"/>
    <x v="1"/>
    <s v="Skagit"/>
    <s v="02Skagit"/>
    <s v="01North Puget Sound"/>
    <n v="384.44202898550702"/>
    <n v="3325.4235507246358"/>
  </r>
  <r>
    <n v="1805"/>
    <x v="4"/>
    <x v="0"/>
    <x v="4"/>
    <s v="Freshwater"/>
    <s v="2Freshwater"/>
    <s v="Salmon"/>
    <s v="825"/>
    <s v="Baker Lake"/>
    <s v="Baker Lake"/>
    <s v="Whatcom"/>
    <x v="1"/>
    <s v="Snohomish"/>
    <s v="03Snohomish"/>
    <s v="01North Puget Sound"/>
    <n v="398.94927536231899"/>
    <n v="3450.9112318840594"/>
  </r>
  <r>
    <n v="1806"/>
    <x v="4"/>
    <x v="0"/>
    <x v="4"/>
    <s v="Freshwater"/>
    <s v="2Freshwater"/>
    <s v="Salmon"/>
    <s v="825"/>
    <s v="Baker Lake"/>
    <s v="Baker Lake"/>
    <s v="Whatcom"/>
    <x v="1"/>
    <s v="Whatcom"/>
    <s v="01Whatcom"/>
    <s v="01North Puget Sound"/>
    <n v="101.550724637681"/>
    <n v="878.41376811594068"/>
  </r>
  <r>
    <n v="1807"/>
    <x v="4"/>
    <x v="1"/>
    <x v="4"/>
    <s v="Freshwater"/>
    <s v="2Freshwater"/>
    <s v="Salmon"/>
    <s v="825"/>
    <s v="Baker Lake"/>
    <s v="Baker Lake"/>
    <s v="Whatcom"/>
    <x v="1"/>
    <s v="Skagit"/>
    <s v="02Skagit"/>
    <s v="01North Puget Sound"/>
    <n v="22"/>
    <n v="190.3"/>
  </r>
  <r>
    <n v="1808"/>
    <x v="4"/>
    <x v="1"/>
    <x v="4"/>
    <s v="Freshwater"/>
    <s v="2Freshwater"/>
    <s v="Salmon"/>
    <s v="825"/>
    <s v="Baker Lake"/>
    <s v="Baker Lake"/>
    <s v="Whatcom"/>
    <x v="1"/>
    <s v="Whatcom"/>
    <s v="01Whatcom"/>
    <s v="01North Puget Sound"/>
    <n v="22"/>
    <n v="190.3"/>
  </r>
  <r>
    <n v="1809"/>
    <x v="4"/>
    <x v="9"/>
    <x v="4"/>
    <s v="Freshwater"/>
    <s v="2Freshwater"/>
    <s v="Salmon"/>
    <s v="826"/>
    <s v="Cascade River"/>
    <s v="Cascade River"/>
    <s v="Skagit"/>
    <x v="1"/>
    <s v="Snohomish"/>
    <s v="03Snohomish"/>
    <s v="01North Puget Sound"/>
    <n v="7"/>
    <n v="60.550000000000004"/>
  </r>
  <r>
    <n v="1810"/>
    <x v="4"/>
    <x v="7"/>
    <x v="4"/>
    <s v="Freshwater"/>
    <s v="2Freshwater"/>
    <s v="Salmon"/>
    <s v="826"/>
    <s v="Cascade River"/>
    <s v="Cascade River"/>
    <s v="Skagit"/>
    <x v="1"/>
    <s v="Skagit"/>
    <s v="02Skagit"/>
    <s v="01North Puget Sound"/>
    <n v="7.125"/>
    <n v="61.631250000000001"/>
  </r>
  <r>
    <n v="1811"/>
    <x v="4"/>
    <x v="7"/>
    <x v="4"/>
    <s v="Freshwater"/>
    <s v="2Freshwater"/>
    <s v="Salmon"/>
    <s v="826"/>
    <s v="Cascade River"/>
    <s v="Cascade River"/>
    <s v="Skagit"/>
    <x v="1"/>
    <s v="Snohomish"/>
    <s v="03Snohomish"/>
    <s v="01North Puget Sound"/>
    <n v="49.875"/>
    <n v="431.41875000000005"/>
  </r>
  <r>
    <n v="1812"/>
    <x v="4"/>
    <x v="5"/>
    <x v="4"/>
    <s v="Freshwater"/>
    <s v="2Freshwater"/>
    <s v="Salmon"/>
    <s v="826"/>
    <s v="Cascade River"/>
    <s v="Cascade River"/>
    <s v="Skagit"/>
    <x v="1"/>
    <s v="Skagit"/>
    <s v="02Skagit"/>
    <s v="01North Puget Sound"/>
    <n v="7"/>
    <n v="60.550000000000004"/>
  </r>
  <r>
    <n v="1813"/>
    <x v="4"/>
    <x v="1"/>
    <x v="4"/>
    <s v="Freshwater"/>
    <s v="2Freshwater"/>
    <s v="Salmon"/>
    <s v="826"/>
    <s v="Cascade River"/>
    <s v="Cascade River"/>
    <s v="Skagit"/>
    <x v="1"/>
    <s v="Other"/>
    <s v="20Other"/>
    <s v="07Non Puget Sound"/>
    <n v="7.1875"/>
    <n v="62.171875"/>
  </r>
  <r>
    <n v="1814"/>
    <x v="4"/>
    <x v="1"/>
    <x v="4"/>
    <s v="Freshwater"/>
    <s v="2Freshwater"/>
    <s v="Salmon"/>
    <s v="826"/>
    <s v="Cascade River"/>
    <s v="Cascade River"/>
    <s v="Skagit"/>
    <x v="1"/>
    <s v="Skagit"/>
    <s v="02Skagit"/>
    <s v="01North Puget Sound"/>
    <n v="57.5"/>
    <n v="497.375"/>
  </r>
  <r>
    <n v="1815"/>
    <x v="4"/>
    <x v="1"/>
    <x v="4"/>
    <s v="Freshwater"/>
    <s v="2Freshwater"/>
    <s v="Salmon"/>
    <s v="826"/>
    <s v="Cascade River"/>
    <s v="Cascade River"/>
    <s v="Skagit"/>
    <x v="1"/>
    <s v="Snohomish"/>
    <s v="03Snohomish"/>
    <s v="01North Puget Sound"/>
    <n v="50.3125"/>
    <n v="435.203125"/>
  </r>
  <r>
    <n v="1816"/>
    <x v="4"/>
    <x v="2"/>
    <x v="4"/>
    <s v="Freshwater"/>
    <s v="2Freshwater"/>
    <s v="Salmon"/>
    <s v="826"/>
    <s v="Cascade River"/>
    <s v="Cascade River"/>
    <s v="Skagit"/>
    <x v="1"/>
    <s v="Island"/>
    <s v="04Island"/>
    <s v="01North Puget Sound"/>
    <n v="35.9027777777778"/>
    <n v="310.559027777778"/>
  </r>
  <r>
    <n v="1817"/>
    <x v="4"/>
    <x v="2"/>
    <x v="4"/>
    <s v="Freshwater"/>
    <s v="2Freshwater"/>
    <s v="Salmon"/>
    <s v="826"/>
    <s v="Cascade River"/>
    <s v="Cascade River"/>
    <s v="Skagit"/>
    <x v="1"/>
    <s v="King"/>
    <s v="06King"/>
    <s v="02South Puget Sound"/>
    <n v="57.4444444444445"/>
    <n v="496.89444444444496"/>
  </r>
  <r>
    <n v="1818"/>
    <x v="4"/>
    <x v="2"/>
    <x v="4"/>
    <s v="Freshwater"/>
    <s v="2Freshwater"/>
    <s v="Salmon"/>
    <s v="826"/>
    <s v="Cascade River"/>
    <s v="Cascade River"/>
    <s v="Skagit"/>
    <x v="1"/>
    <s v="Other"/>
    <s v="20Other"/>
    <s v="07Non Puget Sound"/>
    <n v="43.0833333333333"/>
    <n v="372.67083333333306"/>
  </r>
  <r>
    <n v="1819"/>
    <x v="4"/>
    <x v="2"/>
    <x v="4"/>
    <s v="Freshwater"/>
    <s v="2Freshwater"/>
    <s v="Salmon"/>
    <s v="826"/>
    <s v="Cascade River"/>
    <s v="Cascade River"/>
    <s v="Skagit"/>
    <x v="1"/>
    <s v="Skagit"/>
    <s v="02Skagit"/>
    <s v="01North Puget Sound"/>
    <n v="143.611111111111"/>
    <n v="1242.2361111111102"/>
  </r>
  <r>
    <n v="1820"/>
    <x v="4"/>
    <x v="2"/>
    <x v="4"/>
    <s v="Freshwater"/>
    <s v="2Freshwater"/>
    <s v="Salmon"/>
    <s v="826"/>
    <s v="Cascade River"/>
    <s v="Cascade River"/>
    <s v="Skagit"/>
    <x v="1"/>
    <s v="Snohomish"/>
    <s v="03Snohomish"/>
    <s v="01North Puget Sound"/>
    <n v="236.958333333333"/>
    <n v="2049.6895833333306"/>
  </r>
  <r>
    <n v="1821"/>
    <x v="4"/>
    <x v="3"/>
    <x v="4"/>
    <s v="Freshwater"/>
    <s v="2Freshwater"/>
    <s v="Salmon"/>
    <s v="826"/>
    <s v="Cascade River"/>
    <s v="Cascade River"/>
    <s v="Skagit"/>
    <x v="1"/>
    <s v="Skagit"/>
    <s v="02Skagit"/>
    <s v="01North Puget Sound"/>
    <n v="7.1666666666666696"/>
    <n v="61.991666666666696"/>
  </r>
  <r>
    <n v="1822"/>
    <x v="4"/>
    <x v="3"/>
    <x v="4"/>
    <s v="Freshwater"/>
    <s v="2Freshwater"/>
    <s v="Salmon"/>
    <s v="826"/>
    <s v="Cascade River"/>
    <s v="Cascade River"/>
    <s v="Skagit"/>
    <x v="1"/>
    <s v="Snohomish"/>
    <s v="03Snohomish"/>
    <s v="01North Puget Sound"/>
    <n v="28.6666666666667"/>
    <n v="247.96666666666695"/>
  </r>
  <r>
    <n v="1823"/>
    <x v="4"/>
    <x v="3"/>
    <x v="4"/>
    <s v="Freshwater"/>
    <s v="2Freshwater"/>
    <s v="Salmon"/>
    <s v="826"/>
    <s v="Cascade River"/>
    <s v="Cascade River"/>
    <s v="Skagit"/>
    <x v="1"/>
    <s v="Whatcom"/>
    <s v="01Whatcom"/>
    <s v="01North Puget Sound"/>
    <n v="7.1666666666666696"/>
    <n v="61.991666666666696"/>
  </r>
  <r>
    <n v="1824"/>
    <x v="4"/>
    <x v="7"/>
    <x v="4"/>
    <s v="Freshwater"/>
    <s v="2Freshwater"/>
    <s v="Salmon"/>
    <s v="830"/>
    <s v="Skagit River"/>
    <s v="Skagit River"/>
    <s v="Skagit/Whatcom"/>
    <x v="4"/>
    <s v="Other"/>
    <s v="20Other"/>
    <s v="07Non Puget Sound"/>
    <n v="7.69444444444445"/>
    <n v="66.556944444444497"/>
  </r>
  <r>
    <n v="1825"/>
    <x v="4"/>
    <x v="7"/>
    <x v="4"/>
    <s v="Freshwater"/>
    <s v="2Freshwater"/>
    <s v="Salmon"/>
    <s v="830"/>
    <s v="Skagit River"/>
    <s v="Skagit River"/>
    <s v="Skagit/Whatcom"/>
    <x v="4"/>
    <s v="Skagit"/>
    <s v="02Skagit"/>
    <s v="01North Puget Sound"/>
    <n v="161.583333333333"/>
    <n v="1397.6958333333305"/>
  </r>
  <r>
    <n v="1826"/>
    <x v="4"/>
    <x v="7"/>
    <x v="4"/>
    <s v="Freshwater"/>
    <s v="2Freshwater"/>
    <s v="Salmon"/>
    <s v="830"/>
    <s v="Skagit River"/>
    <s v="Skagit River"/>
    <s v="Skagit/Whatcom"/>
    <x v="4"/>
    <s v="Snohomish"/>
    <s v="03Snohomish"/>
    <s v="01North Puget Sound"/>
    <n v="92.3333333333333"/>
    <n v="798.68333333333305"/>
  </r>
  <r>
    <n v="1827"/>
    <x v="4"/>
    <x v="7"/>
    <x v="4"/>
    <s v="Freshwater"/>
    <s v="2Freshwater"/>
    <s v="Salmon"/>
    <s v="830"/>
    <s v="Skagit River"/>
    <s v="Skagit River"/>
    <s v="Skagit/Whatcom"/>
    <x v="4"/>
    <s v="Whatcom"/>
    <s v="01Whatcom"/>
    <s v="01North Puget Sound"/>
    <n v="15.3888888888889"/>
    <n v="133.11388888888899"/>
  </r>
  <r>
    <n v="1828"/>
    <x v="4"/>
    <x v="5"/>
    <x v="4"/>
    <s v="Freshwater"/>
    <s v="2Freshwater"/>
    <s v="Salmon"/>
    <s v="830"/>
    <s v="Skagit River"/>
    <s v="Skagit River"/>
    <s v="Skagit/Whatcom"/>
    <x v="4"/>
    <s v="Snohomish"/>
    <s v="03Snohomish"/>
    <s v="01North Puget Sound"/>
    <n v="8"/>
    <n v="69.2"/>
  </r>
  <r>
    <n v="1829"/>
    <x v="4"/>
    <x v="0"/>
    <x v="4"/>
    <s v="Freshwater"/>
    <s v="2Freshwater"/>
    <s v="Salmon"/>
    <s v="830"/>
    <s v="Skagit River"/>
    <s v="Skagit River"/>
    <s v="Skagit/Whatcom"/>
    <x v="4"/>
    <s v="Snohomish"/>
    <s v="03Snohomish"/>
    <s v="01North Puget Sound"/>
    <n v="0"/>
    <n v="0"/>
  </r>
  <r>
    <n v="1830"/>
    <x v="4"/>
    <x v="1"/>
    <x v="4"/>
    <s v="Freshwater"/>
    <s v="2Freshwater"/>
    <s v="Salmon"/>
    <s v="830"/>
    <s v="Skagit River"/>
    <s v="Skagit River"/>
    <s v="Skagit/Whatcom"/>
    <x v="4"/>
    <s v="King"/>
    <s v="06King"/>
    <s v="02South Puget Sound"/>
    <n v="7.2207792207792201"/>
    <n v="62.459740259740258"/>
  </r>
  <r>
    <n v="1831"/>
    <x v="4"/>
    <x v="1"/>
    <x v="4"/>
    <s v="Freshwater"/>
    <s v="2Freshwater"/>
    <s v="Salmon"/>
    <s v="830"/>
    <s v="Skagit River"/>
    <s v="Skagit River"/>
    <s v="Skagit/Whatcom"/>
    <x v="4"/>
    <s v="Skagit"/>
    <s v="02Skagit"/>
    <s v="01North Puget Sound"/>
    <n v="873.71428571428601"/>
    <n v="7557.6285714285741"/>
  </r>
  <r>
    <n v="1832"/>
    <x v="4"/>
    <x v="1"/>
    <x v="4"/>
    <s v="Freshwater"/>
    <s v="2Freshwater"/>
    <s v="Salmon"/>
    <s v="830"/>
    <s v="Skagit River"/>
    <s v="Skagit River"/>
    <s v="Skagit/Whatcom"/>
    <x v="4"/>
    <s v="Snohomish"/>
    <s v="03Snohomish"/>
    <s v="01North Puget Sound"/>
    <n v="158.857142857143"/>
    <n v="1374.114285714287"/>
  </r>
  <r>
    <n v="1833"/>
    <x v="4"/>
    <x v="1"/>
    <x v="4"/>
    <s v="Freshwater"/>
    <s v="2Freshwater"/>
    <s v="Salmon"/>
    <s v="830"/>
    <s v="Skagit River"/>
    <s v="Skagit River"/>
    <s v="Skagit/Whatcom"/>
    <x v="4"/>
    <s v="Whatcom"/>
    <s v="01Whatcom"/>
    <s v="01North Puget Sound"/>
    <n v="72.207792207792195"/>
    <n v="624.59740259740249"/>
  </r>
  <r>
    <n v="1834"/>
    <x v="4"/>
    <x v="2"/>
    <x v="4"/>
    <s v="Freshwater"/>
    <s v="2Freshwater"/>
    <s v="Salmon"/>
    <s v="830"/>
    <s v="Skagit River"/>
    <s v="Skagit River"/>
    <s v="Skagit/Whatcom"/>
    <x v="4"/>
    <s v="Clallam"/>
    <s v="11Clallam"/>
    <s v="03Strait of Juan de Fuca"/>
    <n v="14.4505494505495"/>
    <n v="124.99725274725319"/>
  </r>
  <r>
    <n v="1835"/>
    <x v="4"/>
    <x v="2"/>
    <x v="4"/>
    <s v="Freshwater"/>
    <s v="2Freshwater"/>
    <s v="Salmon"/>
    <s v="830"/>
    <s v="Skagit River"/>
    <s v="Skagit River"/>
    <s v="Skagit/Whatcom"/>
    <x v="4"/>
    <s v="Island"/>
    <s v="04Island"/>
    <s v="01North Puget Sound"/>
    <n v="14.4505494505495"/>
    <n v="124.99725274725319"/>
  </r>
  <r>
    <n v="1836"/>
    <x v="4"/>
    <x v="2"/>
    <x v="4"/>
    <s v="Freshwater"/>
    <s v="2Freshwater"/>
    <s v="Salmon"/>
    <s v="830"/>
    <s v="Skagit River"/>
    <s v="Skagit River"/>
    <s v="Skagit/Whatcom"/>
    <x v="4"/>
    <s v="King"/>
    <s v="06King"/>
    <s v="02South Puget Sound"/>
    <n v="28.901098901098901"/>
    <n v="249.99450549450552"/>
  </r>
  <r>
    <n v="1837"/>
    <x v="4"/>
    <x v="2"/>
    <x v="4"/>
    <s v="Freshwater"/>
    <s v="2Freshwater"/>
    <s v="Salmon"/>
    <s v="830"/>
    <s v="Skagit River"/>
    <s v="Skagit River"/>
    <s v="Skagit/Whatcom"/>
    <x v="4"/>
    <s v="Other"/>
    <s v="20Other"/>
    <s v="07Non Puget Sound"/>
    <n v="50.576923076923102"/>
    <n v="437.49038461538487"/>
  </r>
  <r>
    <n v="1838"/>
    <x v="4"/>
    <x v="2"/>
    <x v="4"/>
    <s v="Freshwater"/>
    <s v="2Freshwater"/>
    <s v="Salmon"/>
    <s v="830"/>
    <s v="Skagit River"/>
    <s v="Skagit River"/>
    <s v="Skagit/Whatcom"/>
    <x v="4"/>
    <s v="Skagit"/>
    <s v="02Skagit"/>
    <s v="01North Puget Sound"/>
    <n v="758.65384615384596"/>
    <n v="6562.3557692307677"/>
  </r>
  <r>
    <n v="1839"/>
    <x v="4"/>
    <x v="2"/>
    <x v="4"/>
    <s v="Freshwater"/>
    <s v="2Freshwater"/>
    <s v="Salmon"/>
    <s v="830"/>
    <s v="Skagit River"/>
    <s v="Skagit River"/>
    <s v="Skagit/Whatcom"/>
    <x v="4"/>
    <s v="Snohomish"/>
    <s v="03Snohomish"/>
    <s v="01North Puget Sound"/>
    <n v="144.50549450549499"/>
    <n v="1249.9725274725317"/>
  </r>
  <r>
    <n v="1840"/>
    <x v="4"/>
    <x v="2"/>
    <x v="4"/>
    <s v="Freshwater"/>
    <s v="2Freshwater"/>
    <s v="Salmon"/>
    <s v="830"/>
    <s v="Skagit River"/>
    <s v="Skagit River"/>
    <s v="Skagit/Whatcom"/>
    <x v="4"/>
    <s v="Whatcom"/>
    <s v="01Whatcom"/>
    <s v="01North Puget Sound"/>
    <n v="303.46153846153902"/>
    <n v="2624.9423076923126"/>
  </r>
  <r>
    <n v="1841"/>
    <x v="4"/>
    <x v="3"/>
    <x v="4"/>
    <s v="Freshwater"/>
    <s v="2Freshwater"/>
    <s v="Salmon"/>
    <s v="830"/>
    <s v="Skagit River"/>
    <s v="Skagit River"/>
    <s v="Skagit/Whatcom"/>
    <x v="4"/>
    <s v="Island"/>
    <s v="04Island"/>
    <s v="01North Puget Sound"/>
    <n v="7.21518987341772"/>
    <n v="62.411392405063282"/>
  </r>
  <r>
    <n v="1842"/>
    <x v="4"/>
    <x v="3"/>
    <x v="4"/>
    <s v="Freshwater"/>
    <s v="2Freshwater"/>
    <s v="Salmon"/>
    <s v="830"/>
    <s v="Skagit River"/>
    <s v="Skagit River"/>
    <s v="Skagit/Whatcom"/>
    <x v="4"/>
    <s v="King"/>
    <s v="06King"/>
    <s v="02South Puget Sound"/>
    <n v="36.075949367088597"/>
    <n v="312.05696202531635"/>
  </r>
  <r>
    <n v="1843"/>
    <x v="4"/>
    <x v="3"/>
    <x v="4"/>
    <s v="Freshwater"/>
    <s v="2Freshwater"/>
    <s v="Salmon"/>
    <s v="830"/>
    <s v="Skagit River"/>
    <s v="Skagit River"/>
    <s v="Skagit/Whatcom"/>
    <x v="4"/>
    <s v="Kitsap"/>
    <s v="10Kitsap"/>
    <s v="02South Puget Sound"/>
    <n v="14.430379746835399"/>
    <n v="124.82278481012621"/>
  </r>
  <r>
    <n v="1844"/>
    <x v="4"/>
    <x v="3"/>
    <x v="4"/>
    <s v="Freshwater"/>
    <s v="2Freshwater"/>
    <s v="Salmon"/>
    <s v="830"/>
    <s v="Skagit River"/>
    <s v="Skagit River"/>
    <s v="Skagit/Whatcom"/>
    <x v="4"/>
    <s v="Skagit"/>
    <s v="02Skagit"/>
    <s v="01North Puget Sound"/>
    <n v="274.177215189874"/>
    <n v="2371.6329113924103"/>
  </r>
  <r>
    <n v="1845"/>
    <x v="4"/>
    <x v="3"/>
    <x v="4"/>
    <s v="Freshwater"/>
    <s v="2Freshwater"/>
    <s v="Salmon"/>
    <s v="830"/>
    <s v="Skagit River"/>
    <s v="Skagit River"/>
    <s v="Skagit/Whatcom"/>
    <x v="4"/>
    <s v="Snohomish"/>
    <s v="03Snohomish"/>
    <s v="01North Puget Sound"/>
    <n v="43.291139240506297"/>
    <n v="374.46835443037946"/>
  </r>
  <r>
    <n v="1846"/>
    <x v="4"/>
    <x v="3"/>
    <x v="4"/>
    <s v="Freshwater"/>
    <s v="2Freshwater"/>
    <s v="Salmon"/>
    <s v="830"/>
    <s v="Skagit River"/>
    <s v="Skagit River"/>
    <s v="Skagit/Whatcom"/>
    <x v="4"/>
    <s v="Whatcom"/>
    <s v="01Whatcom"/>
    <s v="01North Puget Sound"/>
    <n v="194.810126582279"/>
    <n v="1685.1075949367134"/>
  </r>
  <r>
    <n v="1847"/>
    <x v="4"/>
    <x v="4"/>
    <x v="4"/>
    <s v="Freshwater"/>
    <s v="2Freshwater"/>
    <s v="Salmon"/>
    <s v="830"/>
    <s v="Skagit River"/>
    <s v="Skagit River"/>
    <s v="Skagit/Whatcom"/>
    <x v="4"/>
    <s v="Other"/>
    <s v="20Other"/>
    <s v="07Non Puget Sound"/>
    <n v="36.1111111111111"/>
    <n v="312.36111111111103"/>
  </r>
  <r>
    <n v="1848"/>
    <x v="4"/>
    <x v="4"/>
    <x v="4"/>
    <s v="Freshwater"/>
    <s v="2Freshwater"/>
    <s v="Salmon"/>
    <s v="830"/>
    <s v="Skagit River"/>
    <s v="Skagit River"/>
    <s v="Skagit/Whatcom"/>
    <x v="4"/>
    <s v="Skagit"/>
    <s v="02Skagit"/>
    <s v="01North Puget Sound"/>
    <n v="28.8888888888889"/>
    <n v="249.888888888889"/>
  </r>
  <r>
    <n v="1849"/>
    <x v="4"/>
    <x v="5"/>
    <x v="4"/>
    <s v="Freshwater"/>
    <s v="2Freshwater"/>
    <s v="Salmon"/>
    <s v="834"/>
    <s v="Skokomish River"/>
    <s v="Skokomish River"/>
    <s v="Mason"/>
    <x v="2"/>
    <s v="King"/>
    <s v="06King"/>
    <s v="02South Puget Sound"/>
    <n v="0"/>
    <n v="0"/>
  </r>
  <r>
    <n v="1850"/>
    <x v="4"/>
    <x v="5"/>
    <x v="4"/>
    <s v="Freshwater"/>
    <s v="2Freshwater"/>
    <s v="Salmon"/>
    <s v="834"/>
    <s v="Skokomish River"/>
    <s v="Skokomish River"/>
    <s v="Mason"/>
    <x v="2"/>
    <s v="Kitsap"/>
    <s v="10Kitsap"/>
    <s v="02South Puget Sound"/>
    <n v="0"/>
    <n v="0"/>
  </r>
  <r>
    <n v="1851"/>
    <x v="4"/>
    <x v="5"/>
    <x v="4"/>
    <s v="Freshwater"/>
    <s v="2Freshwater"/>
    <s v="Salmon"/>
    <s v="834"/>
    <s v="Skokomish River"/>
    <s v="Skokomish River"/>
    <s v="Mason"/>
    <x v="2"/>
    <s v="Other"/>
    <s v="20Other"/>
    <s v="07Non Puget Sound"/>
    <n v="0"/>
    <n v="0"/>
  </r>
  <r>
    <n v="1852"/>
    <x v="4"/>
    <x v="5"/>
    <x v="4"/>
    <s v="Freshwater"/>
    <s v="2Freshwater"/>
    <s v="Salmon"/>
    <s v="834"/>
    <s v="Skokomish River"/>
    <s v="Skokomish River"/>
    <s v="Mason"/>
    <x v="2"/>
    <s v="Pierce"/>
    <s v="07Pierce"/>
    <s v="02South Puget Sound"/>
    <n v="0"/>
    <n v="0"/>
  </r>
  <r>
    <n v="1853"/>
    <x v="4"/>
    <x v="5"/>
    <x v="4"/>
    <s v="Freshwater"/>
    <s v="2Freshwater"/>
    <s v="Salmon"/>
    <s v="834"/>
    <s v="Skokomish River"/>
    <s v="Skokomish River"/>
    <s v="Mason"/>
    <x v="2"/>
    <s v="Thurston"/>
    <s v="08Thurston"/>
    <s v="02South Puget Sound"/>
    <n v="0"/>
    <n v="0"/>
  </r>
  <r>
    <n v="1854"/>
    <x v="4"/>
    <x v="0"/>
    <x v="4"/>
    <s v="Freshwater"/>
    <s v="2Freshwater"/>
    <s v="Salmon"/>
    <s v="834"/>
    <s v="Skokomish River"/>
    <s v="Skokomish River"/>
    <s v="Mason"/>
    <x v="2"/>
    <s v="King"/>
    <s v="06King"/>
    <s v="02South Puget Sound"/>
    <n v="409.63732394366201"/>
    <n v="3543.3628521126766"/>
  </r>
  <r>
    <n v="1855"/>
    <x v="4"/>
    <x v="0"/>
    <x v="4"/>
    <s v="Freshwater"/>
    <s v="2Freshwater"/>
    <s v="Salmon"/>
    <s v="834"/>
    <s v="Skokomish River"/>
    <s v="Skokomish River"/>
    <s v="Mason"/>
    <x v="2"/>
    <s v="Kitsap"/>
    <s v="10Kitsap"/>
    <s v="02South Puget Sound"/>
    <n v="237.158450704225"/>
    <n v="2051.4205985915464"/>
  </r>
  <r>
    <n v="1856"/>
    <x v="4"/>
    <x v="0"/>
    <x v="4"/>
    <s v="Freshwater"/>
    <s v="2Freshwater"/>
    <s v="Salmon"/>
    <s v="834"/>
    <s v="Skokomish River"/>
    <s v="Skokomish River"/>
    <s v="Mason"/>
    <x v="2"/>
    <s v="Mason"/>
    <s v="09Mason"/>
    <s v="02South Puget Sound"/>
    <n v="150.91901408450701"/>
    <n v="1305.4494718309857"/>
  </r>
  <r>
    <n v="1857"/>
    <x v="4"/>
    <x v="0"/>
    <x v="4"/>
    <s v="Freshwater"/>
    <s v="2Freshwater"/>
    <s v="Salmon"/>
    <s v="834"/>
    <s v="Skokomish River"/>
    <s v="Skokomish River"/>
    <s v="Mason"/>
    <x v="2"/>
    <s v="Other"/>
    <s v="20Other"/>
    <s v="07Non Puget Sound"/>
    <n v="143.73239436619701"/>
    <n v="1243.2852112676042"/>
  </r>
  <r>
    <n v="1858"/>
    <x v="4"/>
    <x v="0"/>
    <x v="4"/>
    <s v="Freshwater"/>
    <s v="2Freshwater"/>
    <s v="Salmon"/>
    <s v="834"/>
    <s v="Skokomish River"/>
    <s v="Skokomish River"/>
    <s v="Mason"/>
    <x v="2"/>
    <s v="Pierce"/>
    <s v="07Pierce"/>
    <s v="02South Puget Sound"/>
    <n v="819.27464788732402"/>
    <n v="7086.7257042253532"/>
  </r>
  <r>
    <n v="1859"/>
    <x v="4"/>
    <x v="0"/>
    <x v="4"/>
    <s v="Freshwater"/>
    <s v="2Freshwater"/>
    <s v="Salmon"/>
    <s v="834"/>
    <s v="Skokomish River"/>
    <s v="Skokomish River"/>
    <s v="Mason"/>
    <x v="2"/>
    <s v="Snohomish"/>
    <s v="03Snohomish"/>
    <s v="01North Puget Sound"/>
    <n v="28.746478873239401"/>
    <n v="248.65704225352081"/>
  </r>
  <r>
    <n v="1860"/>
    <x v="4"/>
    <x v="0"/>
    <x v="4"/>
    <s v="Freshwater"/>
    <s v="2Freshwater"/>
    <s v="Salmon"/>
    <s v="834"/>
    <s v="Skokomish River"/>
    <s v="Skokomish River"/>
    <s v="Mason"/>
    <x v="2"/>
    <s v="Thurston"/>
    <s v="08Thurston"/>
    <s v="02South Puget Sound"/>
    <n v="251.531690140845"/>
    <n v="2175.7491197183094"/>
  </r>
  <r>
    <n v="1861"/>
    <x v="4"/>
    <x v="1"/>
    <x v="4"/>
    <s v="Freshwater"/>
    <s v="2Freshwater"/>
    <s v="Salmon"/>
    <s v="834"/>
    <s v="Skokomish River"/>
    <s v="Skokomish River"/>
    <s v="Mason"/>
    <x v="2"/>
    <s v="Jefferson"/>
    <s v="12Jefferson"/>
    <s v="03Strait of Juan de Fuca"/>
    <n v="6.8275862068965498"/>
    <n v="59.058620689655157"/>
  </r>
  <r>
    <n v="1862"/>
    <x v="4"/>
    <x v="1"/>
    <x v="4"/>
    <s v="Freshwater"/>
    <s v="2Freshwater"/>
    <s v="Salmon"/>
    <s v="834"/>
    <s v="Skokomish River"/>
    <s v="Skokomish River"/>
    <s v="Mason"/>
    <x v="2"/>
    <s v="King"/>
    <s v="06King"/>
    <s v="02South Puget Sound"/>
    <n v="40.965517241379303"/>
    <n v="354.351724137931"/>
  </r>
  <r>
    <n v="1863"/>
    <x v="4"/>
    <x v="1"/>
    <x v="4"/>
    <s v="Freshwater"/>
    <s v="2Freshwater"/>
    <s v="Salmon"/>
    <s v="834"/>
    <s v="Skokomish River"/>
    <s v="Skokomish River"/>
    <s v="Mason"/>
    <x v="2"/>
    <s v="Kitsap"/>
    <s v="10Kitsap"/>
    <s v="02South Puget Sound"/>
    <n v="20.482758620689701"/>
    <n v="177.17586206896593"/>
  </r>
  <r>
    <n v="1864"/>
    <x v="4"/>
    <x v="1"/>
    <x v="4"/>
    <s v="Freshwater"/>
    <s v="2Freshwater"/>
    <s v="Salmon"/>
    <s v="834"/>
    <s v="Skokomish River"/>
    <s v="Skokomish River"/>
    <s v="Mason"/>
    <x v="2"/>
    <s v="Mason"/>
    <s v="09Mason"/>
    <s v="02South Puget Sound"/>
    <n v="40.965517241379303"/>
    <n v="354.351724137931"/>
  </r>
  <r>
    <n v="1865"/>
    <x v="4"/>
    <x v="1"/>
    <x v="4"/>
    <s v="Freshwater"/>
    <s v="2Freshwater"/>
    <s v="Salmon"/>
    <s v="834"/>
    <s v="Skokomish River"/>
    <s v="Skokomish River"/>
    <s v="Mason"/>
    <x v="2"/>
    <s v="Other"/>
    <s v="20Other"/>
    <s v="07Non Puget Sound"/>
    <n v="6.8275862068965498"/>
    <n v="59.058620689655157"/>
  </r>
  <r>
    <n v="1866"/>
    <x v="4"/>
    <x v="1"/>
    <x v="4"/>
    <s v="Freshwater"/>
    <s v="2Freshwater"/>
    <s v="Salmon"/>
    <s v="834"/>
    <s v="Skokomish River"/>
    <s v="Skokomish River"/>
    <s v="Mason"/>
    <x v="2"/>
    <s v="Pierce"/>
    <s v="07Pierce"/>
    <s v="02South Puget Sound"/>
    <n v="34.137931034482797"/>
    <n v="295.29310344827621"/>
  </r>
  <r>
    <n v="1867"/>
    <x v="4"/>
    <x v="1"/>
    <x v="4"/>
    <s v="Freshwater"/>
    <s v="2Freshwater"/>
    <s v="Salmon"/>
    <s v="834"/>
    <s v="Skokomish River"/>
    <s v="Skokomish River"/>
    <s v="Mason"/>
    <x v="2"/>
    <s v="Thurston"/>
    <s v="08Thurston"/>
    <s v="02South Puget Sound"/>
    <n v="47.7931034482759"/>
    <n v="413.41034482758653"/>
  </r>
  <r>
    <n v="1868"/>
    <x v="4"/>
    <x v="2"/>
    <x v="4"/>
    <s v="Freshwater"/>
    <s v="2Freshwater"/>
    <s v="Salmon"/>
    <s v="834"/>
    <s v="Skokomish River"/>
    <s v="Skokomish River"/>
    <s v="Mason"/>
    <x v="2"/>
    <s v="King"/>
    <s v="06King"/>
    <s v="02South Puget Sound"/>
    <n v="294.81699346405202"/>
    <n v="2550.1669934640499"/>
  </r>
  <r>
    <n v="1869"/>
    <x v="4"/>
    <x v="2"/>
    <x v="4"/>
    <s v="Freshwater"/>
    <s v="2Freshwater"/>
    <s v="Salmon"/>
    <s v="834"/>
    <s v="Skokomish River"/>
    <s v="Skokomish River"/>
    <s v="Mason"/>
    <x v="2"/>
    <s v="Kitsap"/>
    <s v="10Kitsap"/>
    <s v="02South Puget Sound"/>
    <n v="27.424836601307199"/>
    <n v="237.22483660130729"/>
  </r>
  <r>
    <n v="1870"/>
    <x v="4"/>
    <x v="2"/>
    <x v="4"/>
    <s v="Freshwater"/>
    <s v="2Freshwater"/>
    <s v="Salmon"/>
    <s v="834"/>
    <s v="Skokomish River"/>
    <s v="Skokomish River"/>
    <s v="Mason"/>
    <x v="2"/>
    <s v="Mason"/>
    <s v="09Mason"/>
    <s v="02South Puget Sound"/>
    <n v="109.69934640522899"/>
    <n v="948.89934640523086"/>
  </r>
  <r>
    <n v="1871"/>
    <x v="4"/>
    <x v="2"/>
    <x v="4"/>
    <s v="Freshwater"/>
    <s v="2Freshwater"/>
    <s v="Salmon"/>
    <s v="834"/>
    <s v="Skokomish River"/>
    <s v="Skokomish River"/>
    <s v="Mason"/>
    <x v="2"/>
    <s v="Other"/>
    <s v="20Other"/>
    <s v="07Non Puget Sound"/>
    <n v="13.712418300653599"/>
    <n v="118.61241830065364"/>
  </r>
  <r>
    <n v="1872"/>
    <x v="4"/>
    <x v="2"/>
    <x v="4"/>
    <s v="Freshwater"/>
    <s v="2Freshwater"/>
    <s v="Salmon"/>
    <s v="834"/>
    <s v="Skokomish River"/>
    <s v="Skokomish River"/>
    <s v="Mason"/>
    <x v="2"/>
    <s v="Pierce"/>
    <s v="07Pierce"/>
    <s v="02South Puget Sound"/>
    <n v="356.52287581699397"/>
    <n v="3083.9228758169979"/>
  </r>
  <r>
    <n v="1873"/>
    <x v="4"/>
    <x v="2"/>
    <x v="4"/>
    <s v="Freshwater"/>
    <s v="2Freshwater"/>
    <s v="Salmon"/>
    <s v="834"/>
    <s v="Skokomish River"/>
    <s v="Skokomish River"/>
    <s v="Mason"/>
    <x v="2"/>
    <s v="Snohomish"/>
    <s v="03Snohomish"/>
    <s v="01North Puget Sound"/>
    <n v="34.281045751633997"/>
    <n v="296.53104575163411"/>
  </r>
  <r>
    <n v="1874"/>
    <x v="4"/>
    <x v="2"/>
    <x v="4"/>
    <s v="Freshwater"/>
    <s v="2Freshwater"/>
    <s v="Salmon"/>
    <s v="834"/>
    <s v="Skokomish River"/>
    <s v="Skokomish River"/>
    <s v="Mason"/>
    <x v="2"/>
    <s v="Thurston"/>
    <s v="08Thurston"/>
    <s v="02South Puget Sound"/>
    <n v="212.54248366013101"/>
    <n v="1838.4924836601333"/>
  </r>
  <r>
    <n v="1875"/>
    <x v="4"/>
    <x v="3"/>
    <x v="4"/>
    <s v="Freshwater"/>
    <s v="2Freshwater"/>
    <s v="Salmon"/>
    <s v="834"/>
    <s v="Skokomish River"/>
    <s v="Skokomish River"/>
    <s v="Mason"/>
    <x v="2"/>
    <s v="King"/>
    <s v="06King"/>
    <s v="02South Puget Sound"/>
    <n v="205.76470588235301"/>
    <n v="1779.8647058823537"/>
  </r>
  <r>
    <n v="1876"/>
    <x v="4"/>
    <x v="3"/>
    <x v="4"/>
    <s v="Freshwater"/>
    <s v="2Freshwater"/>
    <s v="Salmon"/>
    <s v="834"/>
    <s v="Skokomish River"/>
    <s v="Skokomish River"/>
    <s v="Mason"/>
    <x v="2"/>
    <s v="Mason"/>
    <s v="09Mason"/>
    <s v="02South Puget Sound"/>
    <n v="89.164705882353005"/>
    <n v="771.27470588235349"/>
  </r>
  <r>
    <n v="1877"/>
    <x v="4"/>
    <x v="3"/>
    <x v="4"/>
    <s v="Freshwater"/>
    <s v="2Freshwater"/>
    <s v="Salmon"/>
    <s v="834"/>
    <s v="Skokomish River"/>
    <s v="Skokomish River"/>
    <s v="Mason"/>
    <x v="2"/>
    <s v="Other"/>
    <s v="20Other"/>
    <s v="07Non Puget Sound"/>
    <n v="89.164705882353005"/>
    <n v="771.27470588235349"/>
  </r>
  <r>
    <n v="1878"/>
    <x v="4"/>
    <x v="3"/>
    <x v="4"/>
    <s v="Freshwater"/>
    <s v="2Freshwater"/>
    <s v="Salmon"/>
    <s v="834"/>
    <s v="Skokomish River"/>
    <s v="Skokomish River"/>
    <s v="Mason"/>
    <x v="2"/>
    <s v="Pierce"/>
    <s v="07Pierce"/>
    <s v="02South Puget Sound"/>
    <n v="96.023529411764699"/>
    <n v="830.60352941176473"/>
  </r>
  <r>
    <n v="1879"/>
    <x v="4"/>
    <x v="3"/>
    <x v="4"/>
    <s v="Freshwater"/>
    <s v="2Freshwater"/>
    <s v="Salmon"/>
    <s v="834"/>
    <s v="Skokomish River"/>
    <s v="Skokomish River"/>
    <s v="Mason"/>
    <x v="2"/>
    <s v="Snohomish"/>
    <s v="03Snohomish"/>
    <s v="01North Puget Sound"/>
    <n v="6.8588235294117696"/>
    <n v="59.328823529411807"/>
  </r>
  <r>
    <n v="1880"/>
    <x v="4"/>
    <x v="3"/>
    <x v="4"/>
    <s v="Freshwater"/>
    <s v="2Freshwater"/>
    <s v="Salmon"/>
    <s v="834"/>
    <s v="Skokomish River"/>
    <s v="Skokomish River"/>
    <s v="Mason"/>
    <x v="2"/>
    <s v="Thurston"/>
    <s v="08Thurston"/>
    <s v="02South Puget Sound"/>
    <n v="68.588235294117695"/>
    <n v="593.28823529411807"/>
  </r>
  <r>
    <n v="1881"/>
    <x v="4"/>
    <x v="3"/>
    <x v="4"/>
    <s v="Freshwater"/>
    <s v="2Freshwater"/>
    <s v="Salmon"/>
    <s v="834"/>
    <s v="Skokomish River"/>
    <s v="Skokomish River"/>
    <s v="Mason"/>
    <x v="2"/>
    <s v="Whatcom"/>
    <s v="01Whatcom"/>
    <s v="01North Puget Sound"/>
    <n v="27.4352941176471"/>
    <n v="237.31529411764743"/>
  </r>
  <r>
    <n v="1882"/>
    <x v="4"/>
    <x v="9"/>
    <x v="4"/>
    <s v="Freshwater"/>
    <s v="2Freshwater"/>
    <s v="Salmon"/>
    <s v="844"/>
    <s v="Skykomish River"/>
    <s v="Skykomish River"/>
    <s v="Snohomish"/>
    <x v="4"/>
    <s v="King"/>
    <s v="06King"/>
    <s v="02South Puget Sound"/>
    <n v="0"/>
    <n v="0"/>
  </r>
  <r>
    <n v="1883"/>
    <x v="4"/>
    <x v="9"/>
    <x v="4"/>
    <s v="Freshwater"/>
    <s v="2Freshwater"/>
    <s v="Salmon"/>
    <s v="844"/>
    <s v="Skykomish River"/>
    <s v="Skykomish River"/>
    <s v="Snohomish"/>
    <x v="4"/>
    <s v="Snohomish"/>
    <s v="03Snohomish"/>
    <s v="01North Puget Sound"/>
    <n v="0"/>
    <n v="0"/>
  </r>
  <r>
    <n v="1884"/>
    <x v="4"/>
    <x v="7"/>
    <x v="4"/>
    <s v="Freshwater"/>
    <s v="2Freshwater"/>
    <s v="Salmon"/>
    <s v="844"/>
    <s v="Skykomish River"/>
    <s v="Skykomish River"/>
    <s v="Snohomish"/>
    <x v="4"/>
    <s v="Island"/>
    <s v="04Island"/>
    <s v="01North Puget Sound"/>
    <n v="7.7368421052631602"/>
    <n v="66.923684210526332"/>
  </r>
  <r>
    <n v="1885"/>
    <x v="4"/>
    <x v="7"/>
    <x v="4"/>
    <s v="Freshwater"/>
    <s v="2Freshwater"/>
    <s v="Salmon"/>
    <s v="844"/>
    <s v="Skykomish River"/>
    <s v="Skykomish River"/>
    <s v="Snohomish"/>
    <x v="4"/>
    <s v="King"/>
    <s v="06King"/>
    <s v="02South Puget Sound"/>
    <n v="30.947368421052602"/>
    <n v="267.69473684210499"/>
  </r>
  <r>
    <n v="1886"/>
    <x v="4"/>
    <x v="7"/>
    <x v="4"/>
    <s v="Freshwater"/>
    <s v="2Freshwater"/>
    <s v="Salmon"/>
    <s v="844"/>
    <s v="Skykomish River"/>
    <s v="Skykomish River"/>
    <s v="Snohomish"/>
    <x v="4"/>
    <s v="Other"/>
    <s v="20Other"/>
    <s v="07Non Puget Sound"/>
    <n v="30.947368421052602"/>
    <n v="267.69473684210499"/>
  </r>
  <r>
    <n v="1887"/>
    <x v="4"/>
    <x v="7"/>
    <x v="4"/>
    <s v="Freshwater"/>
    <s v="2Freshwater"/>
    <s v="Salmon"/>
    <s v="844"/>
    <s v="Skykomish River"/>
    <s v="Skykomish River"/>
    <s v="Snohomish"/>
    <x v="4"/>
    <s v="Pierce"/>
    <s v="07Pierce"/>
    <s v="02South Puget Sound"/>
    <n v="7.7368421052631602"/>
    <n v="66.923684210526332"/>
  </r>
  <r>
    <n v="1888"/>
    <x v="4"/>
    <x v="7"/>
    <x v="4"/>
    <s v="Freshwater"/>
    <s v="2Freshwater"/>
    <s v="Salmon"/>
    <s v="844"/>
    <s v="Skykomish River"/>
    <s v="Skykomish River"/>
    <s v="Snohomish"/>
    <x v="4"/>
    <s v="Skagit"/>
    <s v="02Skagit"/>
    <s v="01North Puget Sound"/>
    <n v="7.7368421052631602"/>
    <n v="66.923684210526332"/>
  </r>
  <r>
    <n v="1889"/>
    <x v="4"/>
    <x v="7"/>
    <x v="4"/>
    <s v="Freshwater"/>
    <s v="2Freshwater"/>
    <s v="Salmon"/>
    <s v="844"/>
    <s v="Skykomish River"/>
    <s v="Skykomish River"/>
    <s v="Snohomish"/>
    <x v="4"/>
    <s v="Snohomish"/>
    <s v="03Snohomish"/>
    <s v="01North Puget Sound"/>
    <n v="54.157894736842103"/>
    <n v="468.4657894736842"/>
  </r>
  <r>
    <n v="1890"/>
    <x v="4"/>
    <x v="7"/>
    <x v="4"/>
    <s v="Freshwater"/>
    <s v="2Freshwater"/>
    <s v="Salmon"/>
    <s v="844"/>
    <s v="Skykomish River"/>
    <s v="Skykomish River"/>
    <s v="Snohomish"/>
    <x v="4"/>
    <s v="Thurston"/>
    <s v="08Thurston"/>
    <s v="02South Puget Sound"/>
    <n v="7.7368421052631602"/>
    <n v="66.923684210526332"/>
  </r>
  <r>
    <n v="1891"/>
    <x v="4"/>
    <x v="5"/>
    <x v="4"/>
    <s v="Freshwater"/>
    <s v="2Freshwater"/>
    <s v="Salmon"/>
    <s v="844"/>
    <s v="Skykomish River"/>
    <s v="Skykomish River"/>
    <s v="Snohomish"/>
    <x v="4"/>
    <s v="King"/>
    <s v="06King"/>
    <s v="02South Puget Sound"/>
    <n v="22.0588235294118"/>
    <n v="190.80882352941208"/>
  </r>
  <r>
    <n v="1892"/>
    <x v="4"/>
    <x v="5"/>
    <x v="4"/>
    <s v="Freshwater"/>
    <s v="2Freshwater"/>
    <s v="Salmon"/>
    <s v="844"/>
    <s v="Skykomish River"/>
    <s v="Skykomish River"/>
    <s v="Snohomish"/>
    <x v="4"/>
    <s v="Other"/>
    <s v="20Other"/>
    <s v="07Non Puget Sound"/>
    <n v="7.3529411764705896"/>
    <n v="63.602941176470601"/>
  </r>
  <r>
    <n v="1893"/>
    <x v="4"/>
    <x v="5"/>
    <x v="4"/>
    <s v="Freshwater"/>
    <s v="2Freshwater"/>
    <s v="Salmon"/>
    <s v="844"/>
    <s v="Skykomish River"/>
    <s v="Skykomish River"/>
    <s v="Snohomish"/>
    <x v="4"/>
    <s v="Pierce"/>
    <s v="07Pierce"/>
    <s v="02South Puget Sound"/>
    <n v="7.3529411764705896"/>
    <n v="63.602941176470601"/>
  </r>
  <r>
    <n v="1894"/>
    <x v="4"/>
    <x v="5"/>
    <x v="4"/>
    <s v="Freshwater"/>
    <s v="2Freshwater"/>
    <s v="Salmon"/>
    <s v="844"/>
    <s v="Skykomish River"/>
    <s v="Skykomish River"/>
    <s v="Snohomish"/>
    <x v="4"/>
    <s v="Snohomish"/>
    <s v="03Snohomish"/>
    <s v="01North Puget Sound"/>
    <n v="51.470588235294102"/>
    <n v="445.22058823529397"/>
  </r>
  <r>
    <n v="1895"/>
    <x v="4"/>
    <x v="5"/>
    <x v="4"/>
    <s v="Freshwater"/>
    <s v="2Freshwater"/>
    <s v="Salmon"/>
    <s v="844"/>
    <s v="Skykomish River"/>
    <s v="Skykomish River"/>
    <s v="Snohomish"/>
    <x v="4"/>
    <s v="Thurston"/>
    <s v="08Thurston"/>
    <s v="02South Puget Sound"/>
    <n v="36.764705882352899"/>
    <n v="318.01470588235259"/>
  </r>
  <r>
    <n v="1896"/>
    <x v="4"/>
    <x v="1"/>
    <x v="4"/>
    <s v="Freshwater"/>
    <s v="2Freshwater"/>
    <s v="Salmon"/>
    <s v="844"/>
    <s v="Skykomish River"/>
    <s v="Skykomish River"/>
    <s v="Snohomish"/>
    <x v="4"/>
    <s v="King"/>
    <s v="06King"/>
    <s v="02South Puget Sound"/>
    <n v="28.685714285714301"/>
    <n v="248.13142857142873"/>
  </r>
  <r>
    <n v="1897"/>
    <x v="4"/>
    <x v="1"/>
    <x v="4"/>
    <s v="Freshwater"/>
    <s v="2Freshwater"/>
    <s v="Salmon"/>
    <s v="844"/>
    <s v="Skykomish River"/>
    <s v="Skykomish River"/>
    <s v="Snohomish"/>
    <x v="4"/>
    <s v="Other"/>
    <s v="20Other"/>
    <s v="07Non Puget Sound"/>
    <n v="43.028571428571396"/>
    <n v="372.19714285714258"/>
  </r>
  <r>
    <n v="1898"/>
    <x v="4"/>
    <x v="1"/>
    <x v="4"/>
    <s v="Freshwater"/>
    <s v="2Freshwater"/>
    <s v="Salmon"/>
    <s v="844"/>
    <s v="Skykomish River"/>
    <s v="Skykomish River"/>
    <s v="Snohomish"/>
    <x v="4"/>
    <s v="Snohomish"/>
    <s v="03Snohomish"/>
    <s v="01North Puget Sound"/>
    <n v="172.11428571428601"/>
    <n v="1488.788571428574"/>
  </r>
  <r>
    <n v="1899"/>
    <x v="4"/>
    <x v="1"/>
    <x v="4"/>
    <s v="Freshwater"/>
    <s v="2Freshwater"/>
    <s v="Salmon"/>
    <s v="844"/>
    <s v="Skykomish River"/>
    <s v="Skykomish River"/>
    <s v="Snohomish"/>
    <x v="4"/>
    <s v="Whatcom"/>
    <s v="01Whatcom"/>
    <s v="01North Puget Sound"/>
    <n v="7.1714285714285699"/>
    <n v="62.032857142857132"/>
  </r>
  <r>
    <n v="1900"/>
    <x v="4"/>
    <x v="2"/>
    <x v="4"/>
    <s v="Freshwater"/>
    <s v="2Freshwater"/>
    <s v="Salmon"/>
    <s v="844"/>
    <s v="Skykomish River"/>
    <s v="Skykomish River"/>
    <s v="Snohomish"/>
    <x v="4"/>
    <s v="Clallam"/>
    <s v="11Clallam"/>
    <s v="03Strait of Juan de Fuca"/>
    <n v="14.35"/>
    <n v="124.1275"/>
  </r>
  <r>
    <n v="1901"/>
    <x v="4"/>
    <x v="2"/>
    <x v="4"/>
    <s v="Freshwater"/>
    <s v="2Freshwater"/>
    <s v="Salmon"/>
    <s v="844"/>
    <s v="Skykomish River"/>
    <s v="Skykomish River"/>
    <s v="Snohomish"/>
    <x v="4"/>
    <s v="King"/>
    <s v="06King"/>
    <s v="02South Puget Sound"/>
    <n v="351.57499999999999"/>
    <n v="3041.1237500000002"/>
  </r>
  <r>
    <n v="1902"/>
    <x v="4"/>
    <x v="2"/>
    <x v="4"/>
    <s v="Freshwater"/>
    <s v="2Freshwater"/>
    <s v="Salmon"/>
    <s v="844"/>
    <s v="Skykomish River"/>
    <s v="Skykomish River"/>
    <s v="Snohomish"/>
    <x v="4"/>
    <s v="Skagit"/>
    <s v="02Skagit"/>
    <s v="01North Puget Sound"/>
    <n v="14.35"/>
    <n v="124.1275"/>
  </r>
  <r>
    <n v="1903"/>
    <x v="4"/>
    <x v="2"/>
    <x v="4"/>
    <s v="Freshwater"/>
    <s v="2Freshwater"/>
    <s v="Salmon"/>
    <s v="844"/>
    <s v="Skykomish River"/>
    <s v="Skykomish River"/>
    <s v="Snohomish"/>
    <x v="4"/>
    <s v="Snohomish"/>
    <s v="03Snohomish"/>
    <s v="01North Puget Sound"/>
    <n v="473.55"/>
    <n v="4096.2075000000004"/>
  </r>
  <r>
    <n v="1904"/>
    <x v="4"/>
    <x v="2"/>
    <x v="4"/>
    <s v="Freshwater"/>
    <s v="2Freshwater"/>
    <s v="Salmon"/>
    <s v="844"/>
    <s v="Skykomish River"/>
    <s v="Skykomish River"/>
    <s v="Snohomish"/>
    <x v="4"/>
    <s v="Thurston"/>
    <s v="08Thurston"/>
    <s v="02South Puget Sound"/>
    <n v="7.1749999999999998"/>
    <n v="62.063749999999999"/>
  </r>
  <r>
    <n v="1905"/>
    <x v="4"/>
    <x v="3"/>
    <x v="4"/>
    <s v="Freshwater"/>
    <s v="2Freshwater"/>
    <s v="Salmon"/>
    <s v="844"/>
    <s v="Skykomish River"/>
    <s v="Skykomish River"/>
    <s v="Snohomish"/>
    <x v="4"/>
    <s v="King"/>
    <s v="06King"/>
    <s v="02South Puget Sound"/>
    <n v="28.615384615384599"/>
    <n v="247.52307692307679"/>
  </r>
  <r>
    <n v="1906"/>
    <x v="4"/>
    <x v="3"/>
    <x v="4"/>
    <s v="Freshwater"/>
    <s v="2Freshwater"/>
    <s v="Salmon"/>
    <s v="844"/>
    <s v="Skykomish River"/>
    <s v="Skykomish River"/>
    <s v="Snohomish"/>
    <x v="4"/>
    <s v="Skagit"/>
    <s v="02Skagit"/>
    <s v="01North Puget Sound"/>
    <n v="14.307692307692299"/>
    <n v="123.76153846153839"/>
  </r>
  <r>
    <n v="1907"/>
    <x v="4"/>
    <x v="3"/>
    <x v="4"/>
    <s v="Freshwater"/>
    <s v="2Freshwater"/>
    <s v="Salmon"/>
    <s v="844"/>
    <s v="Skykomish River"/>
    <s v="Skykomish River"/>
    <s v="Snohomish"/>
    <x v="4"/>
    <s v="Snohomish"/>
    <s v="03Snohomish"/>
    <s v="01North Puget Sound"/>
    <n v="50.076923076923102"/>
    <n v="433.16538461538482"/>
  </r>
  <r>
    <n v="1908"/>
    <x v="4"/>
    <x v="4"/>
    <x v="4"/>
    <s v="Freshwater"/>
    <s v="2Freshwater"/>
    <s v="Salmon"/>
    <s v="844"/>
    <s v="Skykomish River"/>
    <s v="Skykomish River"/>
    <s v="Snohomish"/>
    <x v="4"/>
    <s v="King"/>
    <s v="06King"/>
    <s v="02South Puget Sound"/>
    <n v="7.3333333333333401"/>
    <n v="63.433333333333394"/>
  </r>
  <r>
    <n v="1909"/>
    <x v="4"/>
    <x v="4"/>
    <x v="4"/>
    <s v="Freshwater"/>
    <s v="2Freshwater"/>
    <s v="Salmon"/>
    <s v="844"/>
    <s v="Skykomish River"/>
    <s v="Skykomish River"/>
    <s v="Snohomish"/>
    <x v="4"/>
    <s v="Snohomish"/>
    <s v="03Snohomish"/>
    <s v="01North Puget Sound"/>
    <n v="14.6666666666667"/>
    <n v="126.86666666666696"/>
  </r>
  <r>
    <n v="1910"/>
    <x v="4"/>
    <x v="1"/>
    <x v="4"/>
    <s v="Freshwater"/>
    <s v="2Freshwater"/>
    <s v="Salmon"/>
    <s v="850"/>
    <s v="Snohomish River"/>
    <s v="Snohomish River"/>
    <s v="Snohomish"/>
    <x v="4"/>
    <s v="Island"/>
    <s v="04Island"/>
    <s v="01North Puget Sound"/>
    <n v="7.1780821917808204"/>
    <n v="62.090410958904101"/>
  </r>
  <r>
    <n v="1911"/>
    <x v="4"/>
    <x v="1"/>
    <x v="4"/>
    <s v="Freshwater"/>
    <s v="2Freshwater"/>
    <s v="Salmon"/>
    <s v="850"/>
    <s v="Snohomish River"/>
    <s v="Snohomish River"/>
    <s v="Snohomish"/>
    <x v="4"/>
    <s v="King"/>
    <s v="06King"/>
    <s v="02South Puget Sound"/>
    <n v="179.45205479452099"/>
    <n v="1552.2602739726067"/>
  </r>
  <r>
    <n v="1912"/>
    <x v="4"/>
    <x v="1"/>
    <x v="4"/>
    <s v="Freshwater"/>
    <s v="2Freshwater"/>
    <s v="Salmon"/>
    <s v="850"/>
    <s v="Snohomish River"/>
    <s v="Snohomish River"/>
    <s v="Snohomish"/>
    <x v="4"/>
    <s v="Other"/>
    <s v="20Other"/>
    <s v="07Non Puget Sound"/>
    <n v="21.5342465753425"/>
    <n v="186.27123287671265"/>
  </r>
  <r>
    <n v="1913"/>
    <x v="4"/>
    <x v="1"/>
    <x v="4"/>
    <s v="Freshwater"/>
    <s v="2Freshwater"/>
    <s v="Salmon"/>
    <s v="850"/>
    <s v="Snohomish River"/>
    <s v="Snohomish River"/>
    <s v="Snohomish"/>
    <x v="4"/>
    <s v="Snohomish"/>
    <s v="03Snohomish"/>
    <s v="01North Puget Sound"/>
    <n v="315.835616438356"/>
    <n v="2731.9780821917793"/>
  </r>
  <r>
    <n v="1914"/>
    <x v="4"/>
    <x v="2"/>
    <x v="4"/>
    <s v="Freshwater"/>
    <s v="2Freshwater"/>
    <s v="Salmon"/>
    <s v="850"/>
    <s v="Snohomish River"/>
    <s v="Snohomish River"/>
    <s v="Snohomish"/>
    <x v="4"/>
    <s v="King"/>
    <s v="06King"/>
    <s v="02South Puget Sound"/>
    <n v="164.980769230769"/>
    <n v="1427.0836538461519"/>
  </r>
  <r>
    <n v="1915"/>
    <x v="4"/>
    <x v="2"/>
    <x v="4"/>
    <s v="Freshwater"/>
    <s v="2Freshwater"/>
    <s v="Salmon"/>
    <s v="850"/>
    <s v="Snohomish River"/>
    <s v="Snohomish River"/>
    <s v="Snohomish"/>
    <x v="4"/>
    <s v="Kitsap"/>
    <s v="10Kitsap"/>
    <s v="02South Puget Sound"/>
    <n v="7.1730769230769296"/>
    <n v="62.047115384615445"/>
  </r>
  <r>
    <n v="1916"/>
    <x v="4"/>
    <x v="2"/>
    <x v="4"/>
    <s v="Freshwater"/>
    <s v="2Freshwater"/>
    <s v="Salmon"/>
    <s v="850"/>
    <s v="Snohomish River"/>
    <s v="Snohomish River"/>
    <s v="Snohomish"/>
    <x v="4"/>
    <s v="Other"/>
    <s v="20Other"/>
    <s v="07Non Puget Sound"/>
    <n v="43.038461538461497"/>
    <n v="372.28269230769195"/>
  </r>
  <r>
    <n v="1917"/>
    <x v="4"/>
    <x v="2"/>
    <x v="4"/>
    <s v="Freshwater"/>
    <s v="2Freshwater"/>
    <s v="Salmon"/>
    <s v="850"/>
    <s v="Snohomish River"/>
    <s v="Snohomish River"/>
    <s v="Snohomish"/>
    <x v="4"/>
    <s v="Pierce"/>
    <s v="07Pierce"/>
    <s v="02South Puget Sound"/>
    <n v="7.1730769230769296"/>
    <n v="62.047115384615445"/>
  </r>
  <r>
    <n v="1918"/>
    <x v="4"/>
    <x v="2"/>
    <x v="4"/>
    <s v="Freshwater"/>
    <s v="2Freshwater"/>
    <s v="Salmon"/>
    <s v="850"/>
    <s v="Snohomish River"/>
    <s v="Snohomish River"/>
    <s v="Snohomish"/>
    <x v="4"/>
    <s v="Skagit"/>
    <s v="02Skagit"/>
    <s v="01North Puget Sound"/>
    <n v="21.519230769230798"/>
    <n v="186.14134615384643"/>
  </r>
  <r>
    <n v="1919"/>
    <x v="4"/>
    <x v="2"/>
    <x v="4"/>
    <s v="Freshwater"/>
    <s v="2Freshwater"/>
    <s v="Salmon"/>
    <s v="850"/>
    <s v="Snohomish River"/>
    <s v="Snohomish River"/>
    <s v="Snohomish"/>
    <x v="4"/>
    <s v="Snohomish"/>
    <s v="03Snohomish"/>
    <s v="01North Puget Sound"/>
    <n v="494.94230769230802"/>
    <n v="4281.2509615384643"/>
  </r>
  <r>
    <n v="1920"/>
    <x v="4"/>
    <x v="2"/>
    <x v="4"/>
    <s v="Freshwater"/>
    <s v="2Freshwater"/>
    <s v="Salmon"/>
    <s v="850"/>
    <s v="Snohomish River"/>
    <s v="Snohomish River"/>
    <s v="Snohomish"/>
    <x v="4"/>
    <s v="Thurston"/>
    <s v="08Thurston"/>
    <s v="02South Puget Sound"/>
    <n v="7.1730769230769296"/>
    <n v="62.047115384615445"/>
  </r>
  <r>
    <n v="1921"/>
    <x v="4"/>
    <x v="3"/>
    <x v="4"/>
    <s v="Freshwater"/>
    <s v="2Freshwater"/>
    <s v="Salmon"/>
    <s v="850"/>
    <s v="Snohomish River"/>
    <s v="Snohomish River"/>
    <s v="Snohomish"/>
    <x v="4"/>
    <s v="King"/>
    <s v="06King"/>
    <s v="02South Puget Sound"/>
    <n v="7"/>
    <n v="60.550000000000004"/>
  </r>
  <r>
    <n v="1922"/>
    <x v="4"/>
    <x v="3"/>
    <x v="4"/>
    <s v="Freshwater"/>
    <s v="2Freshwater"/>
    <s v="Salmon"/>
    <s v="850"/>
    <s v="Snohomish River"/>
    <s v="Snohomish River"/>
    <s v="Snohomish"/>
    <x v="4"/>
    <s v="Snohomish"/>
    <s v="03Snohomish"/>
    <s v="01North Puget Sound"/>
    <n v="7"/>
    <n v="60.550000000000004"/>
  </r>
  <r>
    <n v="1923"/>
    <x v="4"/>
    <x v="2"/>
    <x v="4"/>
    <s v="Freshwater"/>
    <s v="2Freshwater"/>
    <s v="Salmon"/>
    <s v="852"/>
    <s v="Snoqualmie River"/>
    <s v="Snoqualmie River"/>
    <s v="Snohomish/King"/>
    <x v="4"/>
    <s v="King"/>
    <s v="06King"/>
    <s v="02South Puget Sound"/>
    <n v="42.6666666666667"/>
    <n v="369.06666666666695"/>
  </r>
  <r>
    <n v="1924"/>
    <x v="4"/>
    <x v="2"/>
    <x v="4"/>
    <s v="Freshwater"/>
    <s v="2Freshwater"/>
    <s v="Salmon"/>
    <s v="852"/>
    <s v="Snoqualmie River"/>
    <s v="Snoqualmie River"/>
    <s v="Snohomish/King"/>
    <x v="4"/>
    <s v="Other"/>
    <s v="20Other"/>
    <s v="07Non Puget Sound"/>
    <n v="7.1111111111111098"/>
    <n v="61.511111111111106"/>
  </r>
  <r>
    <n v="1925"/>
    <x v="4"/>
    <x v="2"/>
    <x v="4"/>
    <s v="Freshwater"/>
    <s v="2Freshwater"/>
    <s v="Salmon"/>
    <s v="852"/>
    <s v="Snoqualmie River"/>
    <s v="Snoqualmie River"/>
    <s v="Snohomish/King"/>
    <x v="4"/>
    <s v="Snohomish"/>
    <s v="03Snohomish"/>
    <s v="01North Puget Sound"/>
    <n v="14.2222222222222"/>
    <n v="123.02222222222204"/>
  </r>
  <r>
    <n v="1926"/>
    <x v="4"/>
    <x v="3"/>
    <x v="4"/>
    <s v="Freshwater"/>
    <s v="2Freshwater"/>
    <s v="Salmon"/>
    <s v="852"/>
    <s v="Snoqualmie River"/>
    <s v="Snoqualmie River"/>
    <s v="Snohomish/King"/>
    <x v="4"/>
    <s v="King"/>
    <s v="06King"/>
    <s v="02South Puget Sound"/>
    <n v="7"/>
    <n v="60.550000000000004"/>
  </r>
  <r>
    <n v="1927"/>
    <x v="4"/>
    <x v="4"/>
    <x v="4"/>
    <s v="Freshwater"/>
    <s v="2Freshwater"/>
    <s v="Salmon"/>
    <s v="852"/>
    <s v="Snoqualmie River"/>
    <s v="Snoqualmie River"/>
    <s v="Snohomish/King"/>
    <x v="4"/>
    <s v="King"/>
    <s v="06King"/>
    <s v="02South Puget Sound"/>
    <n v="14"/>
    <n v="121.10000000000001"/>
  </r>
  <r>
    <n v="1928"/>
    <x v="4"/>
    <x v="1"/>
    <x v="4"/>
    <s v="Freshwater"/>
    <s v="2Freshwater"/>
    <s v="Salmon"/>
    <s v="872"/>
    <s v="Stillaguamish River"/>
    <s v="Stillaguamish River"/>
    <s v="Snohomish"/>
    <x v="4"/>
    <s v="Snohomish"/>
    <s v="03Snohomish"/>
    <s v="01North Puget Sound"/>
    <n v="28.8"/>
    <n v="249.12"/>
  </r>
  <r>
    <n v="1929"/>
    <x v="4"/>
    <x v="1"/>
    <x v="4"/>
    <s v="Freshwater"/>
    <s v="2Freshwater"/>
    <s v="Salmon"/>
    <s v="872"/>
    <s v="Stillaguamish River"/>
    <s v="Stillaguamish River"/>
    <s v="Snohomish"/>
    <x v="4"/>
    <s v="Thurston"/>
    <s v="08Thurston"/>
    <s v="02South Puget Sound"/>
    <n v="7.2"/>
    <n v="62.28"/>
  </r>
  <r>
    <n v="1930"/>
    <x v="4"/>
    <x v="2"/>
    <x v="4"/>
    <s v="Freshwater"/>
    <s v="2Freshwater"/>
    <s v="Salmon"/>
    <s v="872"/>
    <s v="Stillaguamish River"/>
    <s v="Stillaguamish River"/>
    <s v="Snohomish"/>
    <x v="4"/>
    <s v="Island"/>
    <s v="04Island"/>
    <s v="01North Puget Sound"/>
    <n v="7.1304347826086998"/>
    <n v="61.678260869565257"/>
  </r>
  <r>
    <n v="1931"/>
    <x v="4"/>
    <x v="2"/>
    <x v="4"/>
    <s v="Freshwater"/>
    <s v="2Freshwater"/>
    <s v="Salmon"/>
    <s v="872"/>
    <s v="Stillaguamish River"/>
    <s v="Stillaguamish River"/>
    <s v="Snohomish"/>
    <x v="4"/>
    <s v="King"/>
    <s v="06King"/>
    <s v="02South Puget Sound"/>
    <n v="14.2608695652174"/>
    <n v="123.35652173913051"/>
  </r>
  <r>
    <n v="1932"/>
    <x v="4"/>
    <x v="2"/>
    <x v="4"/>
    <s v="Freshwater"/>
    <s v="2Freshwater"/>
    <s v="Salmon"/>
    <s v="872"/>
    <s v="Stillaguamish River"/>
    <s v="Stillaguamish River"/>
    <s v="Snohomish"/>
    <x v="4"/>
    <s v="Skagit"/>
    <s v="02Skagit"/>
    <s v="01North Puget Sound"/>
    <n v="21.3913043478261"/>
    <n v="185.03478260869576"/>
  </r>
  <r>
    <n v="1933"/>
    <x v="4"/>
    <x v="2"/>
    <x v="4"/>
    <s v="Freshwater"/>
    <s v="2Freshwater"/>
    <s v="Salmon"/>
    <s v="872"/>
    <s v="Stillaguamish River"/>
    <s v="Stillaguamish River"/>
    <s v="Snohomish"/>
    <x v="4"/>
    <s v="Snohomish"/>
    <s v="03Snohomish"/>
    <s v="01North Puget Sound"/>
    <n v="121.217391304348"/>
    <n v="1048.5304347826102"/>
  </r>
  <r>
    <n v="1934"/>
    <x v="4"/>
    <x v="3"/>
    <x v="4"/>
    <s v="Freshwater"/>
    <s v="2Freshwater"/>
    <s v="Salmon"/>
    <s v="872"/>
    <s v="Stillaguamish River"/>
    <s v="Stillaguamish River"/>
    <s v="Snohomish"/>
    <x v="4"/>
    <s v="Snohomish"/>
    <s v="03Snohomish"/>
    <s v="01North Puget Sound"/>
    <n v="21"/>
    <n v="181.65"/>
  </r>
  <r>
    <n v="1935"/>
    <x v="4"/>
    <x v="2"/>
    <x v="4"/>
    <s v="Freshwater"/>
    <s v="2Freshwater"/>
    <s v="Salmon"/>
    <s v="878"/>
    <s v="Tahuya River"/>
    <s v="Tahuya River"/>
    <s v="Mason"/>
    <x v="0"/>
    <s v="King"/>
    <s v="06King"/>
    <s v="02South Puget Sound"/>
    <n v="9.1333333333333293"/>
    <n v="79.003333333333302"/>
  </r>
  <r>
    <n v="1936"/>
    <x v="4"/>
    <x v="2"/>
    <x v="4"/>
    <s v="Freshwater"/>
    <s v="2Freshwater"/>
    <s v="Salmon"/>
    <s v="878"/>
    <s v="Tahuya River"/>
    <s v="Tahuya River"/>
    <s v="Mason"/>
    <x v="0"/>
    <s v="Kitsap"/>
    <s v="10Kitsap"/>
    <s v="02South Puget Sound"/>
    <n v="100.466666666667"/>
    <n v="869.03666666666959"/>
  </r>
  <r>
    <n v="1937"/>
    <x v="4"/>
    <x v="2"/>
    <x v="4"/>
    <s v="Freshwater"/>
    <s v="2Freshwater"/>
    <s v="Salmon"/>
    <s v="878"/>
    <s v="Tahuya River"/>
    <s v="Tahuya River"/>
    <s v="Mason"/>
    <x v="0"/>
    <s v="Mason"/>
    <s v="09Mason"/>
    <s v="02South Puget Sound"/>
    <n v="18.266666666666701"/>
    <n v="158.00666666666697"/>
  </r>
  <r>
    <n v="1938"/>
    <x v="4"/>
    <x v="2"/>
    <x v="4"/>
    <s v="Freshwater"/>
    <s v="2Freshwater"/>
    <s v="Salmon"/>
    <s v="878"/>
    <s v="Tahuya River"/>
    <s v="Tahuya River"/>
    <s v="Mason"/>
    <x v="0"/>
    <s v="Thurston"/>
    <s v="08Thurston"/>
    <s v="02South Puget Sound"/>
    <n v="9.1333333333333293"/>
    <n v="79.003333333333302"/>
  </r>
  <r>
    <n v="1939"/>
    <x v="4"/>
    <x v="2"/>
    <x v="4"/>
    <s v="Freshwater"/>
    <s v="2Freshwater"/>
    <s v="Salmon"/>
    <s v="884"/>
    <s v="Whatcom Creek"/>
    <s v="Whatcom Creek"/>
    <s v="Whatcom"/>
    <x v="1"/>
    <s v="Other"/>
    <s v="20Other"/>
    <s v="07Non Puget Sound"/>
    <n v="7.1290322580645196"/>
    <n v="61.666129032258098"/>
  </r>
  <r>
    <n v="1940"/>
    <x v="4"/>
    <x v="2"/>
    <x v="4"/>
    <s v="Freshwater"/>
    <s v="2Freshwater"/>
    <s v="Salmon"/>
    <s v="884"/>
    <s v="Whatcom Creek"/>
    <s v="Whatcom Creek"/>
    <s v="Whatcom"/>
    <x v="1"/>
    <s v="Snohomish"/>
    <s v="03Snohomish"/>
    <s v="01North Puget Sound"/>
    <n v="21.387096774193601"/>
    <n v="184.99838709677465"/>
  </r>
  <r>
    <n v="1941"/>
    <x v="4"/>
    <x v="2"/>
    <x v="4"/>
    <s v="Freshwater"/>
    <s v="2Freshwater"/>
    <s v="Salmon"/>
    <s v="884"/>
    <s v="Whatcom Creek"/>
    <s v="Whatcom Creek"/>
    <s v="Whatcom"/>
    <x v="1"/>
    <s v="Whatcom"/>
    <s v="01Whatcom"/>
    <s v="01North Puget Sound"/>
    <n v="192.48387096774201"/>
    <n v="1664.9854838709684"/>
  </r>
  <r>
    <n v="1942"/>
    <x v="4"/>
    <x v="3"/>
    <x v="4"/>
    <s v="Freshwater"/>
    <s v="2Freshwater"/>
    <s v="Salmon"/>
    <s v="884"/>
    <s v="Whatcom Creek"/>
    <s v="Whatcom Creek"/>
    <s v="Whatcom"/>
    <x v="1"/>
    <s v="King"/>
    <s v="06King"/>
    <s v="02South Puget Sound"/>
    <n v="43.100917431192698"/>
    <n v="372.82293577981687"/>
  </r>
  <r>
    <n v="1943"/>
    <x v="4"/>
    <x v="3"/>
    <x v="4"/>
    <s v="Freshwater"/>
    <s v="2Freshwater"/>
    <s v="Salmon"/>
    <s v="884"/>
    <s v="Whatcom Creek"/>
    <s v="Whatcom Creek"/>
    <s v="Whatcom"/>
    <x v="1"/>
    <s v="Other"/>
    <s v="20Other"/>
    <s v="07Non Puget Sound"/>
    <n v="100.56880733945"/>
    <n v="869.92018348624254"/>
  </r>
  <r>
    <n v="1944"/>
    <x v="4"/>
    <x v="3"/>
    <x v="4"/>
    <s v="Freshwater"/>
    <s v="2Freshwater"/>
    <s v="Salmon"/>
    <s v="884"/>
    <s v="Whatcom Creek"/>
    <s v="Whatcom Creek"/>
    <s v="Whatcom"/>
    <x v="1"/>
    <s v="Skagit"/>
    <s v="02Skagit"/>
    <s v="01North Puget Sound"/>
    <n v="43.100917431192698"/>
    <n v="372.82293577981687"/>
  </r>
  <r>
    <n v="1945"/>
    <x v="4"/>
    <x v="3"/>
    <x v="4"/>
    <s v="Freshwater"/>
    <s v="2Freshwater"/>
    <s v="Salmon"/>
    <s v="884"/>
    <s v="Whatcom Creek"/>
    <s v="Whatcom Creek"/>
    <s v="Whatcom"/>
    <x v="1"/>
    <s v="Snohomish"/>
    <s v="03Snohomish"/>
    <s v="01North Puget Sound"/>
    <n v="158.036697247706"/>
    <n v="1367.0174311926569"/>
  </r>
  <r>
    <n v="1946"/>
    <x v="4"/>
    <x v="3"/>
    <x v="4"/>
    <s v="Freshwater"/>
    <s v="2Freshwater"/>
    <s v="Salmon"/>
    <s v="884"/>
    <s v="Whatcom Creek"/>
    <s v="Whatcom Creek"/>
    <s v="Whatcom"/>
    <x v="1"/>
    <s v="Whatcom"/>
    <s v="01Whatcom"/>
    <s v="01North Puget Sound"/>
    <n v="1221.19266055046"/>
    <n v="10563.31651376148"/>
  </r>
  <r>
    <n v="1947"/>
    <x v="4"/>
    <x v="4"/>
    <x v="4"/>
    <s v="Freshwater"/>
    <s v="2Freshwater"/>
    <s v="Salmon"/>
    <s v="884"/>
    <s v="Whatcom Creek"/>
    <s v="Whatcom Creek"/>
    <s v="Whatcom"/>
    <x v="1"/>
    <s v="Skagit"/>
    <s v="02Skagit"/>
    <s v="01North Puget Sound"/>
    <n v="14.3333333333333"/>
    <n v="123.98333333333305"/>
  </r>
  <r>
    <n v="1948"/>
    <x v="4"/>
    <x v="4"/>
    <x v="4"/>
    <s v="Freshwater"/>
    <s v="2Freshwater"/>
    <s v="Salmon"/>
    <s v="884"/>
    <s v="Whatcom Creek"/>
    <s v="Whatcom Creek"/>
    <s v="Whatcom"/>
    <x v="1"/>
    <s v="Snohomish"/>
    <s v="03Snohomish"/>
    <s v="01North Puget Sound"/>
    <n v="14.3333333333333"/>
    <n v="123.98333333333305"/>
  </r>
  <r>
    <n v="1949"/>
    <x v="4"/>
    <x v="4"/>
    <x v="4"/>
    <s v="Freshwater"/>
    <s v="2Freshwater"/>
    <s v="Salmon"/>
    <s v="884"/>
    <s v="Whatcom Creek"/>
    <s v="Whatcom Creek"/>
    <s v="Whatcom"/>
    <x v="1"/>
    <s v="Whatcom"/>
    <s v="01Whatcom"/>
    <s v="01North Puget Sound"/>
    <n v="57.3333333333333"/>
    <n v="495.93333333333305"/>
  </r>
  <r>
    <n v="1950"/>
    <x v="5"/>
    <x v="2"/>
    <x v="5"/>
    <s v="Freshwater"/>
    <s v="2Freshwater"/>
    <s v="Salmon"/>
    <s v="706"/>
    <s v="Black River (Thurston Co)"/>
    <s v="Black River (Thurston Co)"/>
    <s v="Thurston"/>
    <x v="0"/>
    <s v="Other"/>
    <s v="20Other"/>
    <s v="07Non Puget Sound"/>
    <n v="9"/>
    <n v="30.96"/>
  </r>
  <r>
    <n v="1951"/>
    <x v="5"/>
    <x v="2"/>
    <x v="5"/>
    <s v="Freshwater"/>
    <s v="2Freshwater"/>
    <s v="Salmon"/>
    <s v="724"/>
    <s v="Dakota Creek (Whatcom Co)"/>
    <s v="Dakota Creek (Whatcom Co)"/>
    <s v="Whatcom"/>
    <x v="1"/>
    <s v="Whatcom"/>
    <s v="01Whatcom"/>
    <s v="01North Puget Sound"/>
    <n v="70"/>
    <n v="240.79999999999998"/>
  </r>
  <r>
    <n v="1952"/>
    <x v="5"/>
    <x v="2"/>
    <x v="5"/>
    <s v="Freshwater"/>
    <s v="2Freshwater"/>
    <s v="Salmon"/>
    <s v="732"/>
    <s v="Dewatto River"/>
    <s v="Dewatto River"/>
    <s v="Mason"/>
    <x v="0"/>
    <s v="Kitsap"/>
    <s v="10Kitsap"/>
    <s v="02South Puget Sound"/>
    <n v="150.166666666667"/>
    <n v="516.57333333333452"/>
  </r>
  <r>
    <n v="1953"/>
    <x v="5"/>
    <x v="2"/>
    <x v="5"/>
    <s v="Freshwater"/>
    <s v="2Freshwater"/>
    <s v="Salmon"/>
    <s v="732"/>
    <s v="Dewatto River"/>
    <s v="Dewatto River"/>
    <s v="Mason"/>
    <x v="0"/>
    <s v="Thurston"/>
    <s v="08Thurston"/>
    <s v="02South Puget Sound"/>
    <n v="8.8333333333333304"/>
    <n v="30.386666666666656"/>
  </r>
  <r>
    <n v="1954"/>
    <x v="5"/>
    <x v="3"/>
    <x v="5"/>
    <s v="Freshwater"/>
    <s v="2Freshwater"/>
    <s v="Salmon"/>
    <s v="734"/>
    <s v="Dosewallips River"/>
    <s v="Dosewallips River"/>
    <s v="Jefferson"/>
    <x v="2"/>
    <s v="Thurston"/>
    <s v="08Thurston"/>
    <s v="02South Puget Sound"/>
    <n v="18"/>
    <n v="61.92"/>
  </r>
  <r>
    <n v="1955"/>
    <x v="5"/>
    <x v="1"/>
    <x v="5"/>
    <s v="Freshwater"/>
    <s v="2Freshwater"/>
    <s v="Salmon"/>
    <s v="738"/>
    <s v="Dungeness River"/>
    <s v="Dungeness River"/>
    <s v="Clallam"/>
    <x v="3"/>
    <s v="Clallam"/>
    <s v="11Clallam"/>
    <s v="03Strait of Juan de Fuca"/>
    <n v="18"/>
    <n v="61.92"/>
  </r>
  <r>
    <n v="1956"/>
    <x v="5"/>
    <x v="2"/>
    <x v="5"/>
    <s v="Freshwater"/>
    <s v="2Freshwater"/>
    <s v="Salmon"/>
    <s v="738"/>
    <s v="Dungeness River"/>
    <s v="Dungeness River"/>
    <s v="Clallam"/>
    <x v="3"/>
    <s v="Clallam"/>
    <s v="11Clallam"/>
    <s v="03Strait of Juan de Fuca"/>
    <n v="166"/>
    <n v="571.04"/>
  </r>
  <r>
    <n v="1957"/>
    <x v="5"/>
    <x v="3"/>
    <x v="5"/>
    <s v="Freshwater"/>
    <s v="2Freshwater"/>
    <s v="Salmon"/>
    <s v="738"/>
    <s v="Dungeness River"/>
    <s v="Dungeness River"/>
    <s v="Clallam"/>
    <x v="3"/>
    <s v="Clallam"/>
    <s v="11Clallam"/>
    <s v="03Strait of Juan de Fuca"/>
    <n v="137.36842105263199"/>
    <n v="472.54736842105405"/>
  </r>
  <r>
    <n v="1958"/>
    <x v="5"/>
    <x v="3"/>
    <x v="5"/>
    <s v="Freshwater"/>
    <s v="2Freshwater"/>
    <s v="Salmon"/>
    <s v="738"/>
    <s v="Dungeness River"/>
    <s v="Dungeness River"/>
    <s v="Clallam"/>
    <x v="3"/>
    <s v="Kitsap"/>
    <s v="10Kitsap"/>
    <s v="02South Puget Sound"/>
    <n v="27.473684210526301"/>
    <n v="94.509473684210477"/>
  </r>
  <r>
    <n v="1959"/>
    <x v="5"/>
    <x v="3"/>
    <x v="5"/>
    <s v="Freshwater"/>
    <s v="2Freshwater"/>
    <s v="Salmon"/>
    <s v="738"/>
    <s v="Dungeness River"/>
    <s v="Dungeness River"/>
    <s v="Clallam"/>
    <x v="3"/>
    <s v="Pierce"/>
    <s v="07Pierce"/>
    <s v="02South Puget Sound"/>
    <n v="9.1578947368421098"/>
    <n v="31.503157894736859"/>
  </r>
  <r>
    <n v="1960"/>
    <x v="5"/>
    <x v="0"/>
    <x v="5"/>
    <s v="Freshwater"/>
    <s v="2Freshwater"/>
    <s v="Salmon"/>
    <s v="746"/>
    <s v="Green - Duwamish River"/>
    <s v="Green - Duwamish River"/>
    <s v="King"/>
    <x v="0"/>
    <s v="King"/>
    <s v="06King"/>
    <s v="02South Puget Sound"/>
    <n v="2907.4285714285702"/>
    <n v="10001.554285714281"/>
  </r>
  <r>
    <n v="1961"/>
    <x v="5"/>
    <x v="0"/>
    <x v="5"/>
    <s v="Freshwater"/>
    <s v="2Freshwater"/>
    <s v="Salmon"/>
    <s v="746"/>
    <s v="Green - Duwamish River"/>
    <s v="Green - Duwamish River"/>
    <s v="King"/>
    <x v="0"/>
    <s v="Kitsap"/>
    <s v="10Kitsap"/>
    <s v="02South Puget Sound"/>
    <n v="44.867724867724903"/>
    <n v="154.34497354497367"/>
  </r>
  <r>
    <n v="1962"/>
    <x v="5"/>
    <x v="0"/>
    <x v="5"/>
    <s v="Freshwater"/>
    <s v="2Freshwater"/>
    <s v="Salmon"/>
    <s v="746"/>
    <s v="Green - Duwamish River"/>
    <s v="Green - Duwamish River"/>
    <s v="King"/>
    <x v="0"/>
    <s v="Other"/>
    <s v="20Other"/>
    <s v="07Non Puget Sound"/>
    <n v="242.28571428571399"/>
    <n v="833.46285714285614"/>
  </r>
  <r>
    <n v="1963"/>
    <x v="5"/>
    <x v="0"/>
    <x v="5"/>
    <s v="Freshwater"/>
    <s v="2Freshwater"/>
    <s v="Salmon"/>
    <s v="746"/>
    <s v="Green - Duwamish River"/>
    <s v="Green - Duwamish River"/>
    <s v="King"/>
    <x v="0"/>
    <s v="Pierce"/>
    <s v="07Pierce"/>
    <s v="02South Puget Sound"/>
    <n v="134.60317460317501"/>
    <n v="463.034920634922"/>
  </r>
  <r>
    <n v="1964"/>
    <x v="5"/>
    <x v="0"/>
    <x v="5"/>
    <s v="Freshwater"/>
    <s v="2Freshwater"/>
    <s v="Salmon"/>
    <s v="746"/>
    <s v="Green - Duwamish River"/>
    <s v="Green - Duwamish River"/>
    <s v="King"/>
    <x v="0"/>
    <s v="Snohomish"/>
    <s v="03Snohomish"/>
    <s v="01North Puget Sound"/>
    <n v="62.814814814814802"/>
    <n v="216.08296296296291"/>
  </r>
  <r>
    <n v="1965"/>
    <x v="5"/>
    <x v="1"/>
    <x v="5"/>
    <s v="Freshwater"/>
    <s v="2Freshwater"/>
    <s v="Salmon"/>
    <s v="746"/>
    <s v="Green - Duwamish River"/>
    <s v="Green - Duwamish River"/>
    <s v="King"/>
    <x v="0"/>
    <s v="King"/>
    <s v="06King"/>
    <s v="02South Puget Sound"/>
    <n v="12163.2047089601"/>
    <n v="41841.424198822744"/>
  </r>
  <r>
    <n v="1966"/>
    <x v="5"/>
    <x v="1"/>
    <x v="5"/>
    <s v="Freshwater"/>
    <s v="2Freshwater"/>
    <s v="Salmon"/>
    <s v="746"/>
    <s v="Green - Duwamish River"/>
    <s v="Green - Duwamish River"/>
    <s v="King"/>
    <x v="0"/>
    <s v="Kitsap"/>
    <s v="10Kitsap"/>
    <s v="02South Puget Sound"/>
    <n v="53.819489862655303"/>
    <n v="185.13904512753425"/>
  </r>
  <r>
    <n v="1967"/>
    <x v="5"/>
    <x v="1"/>
    <x v="5"/>
    <s v="Freshwater"/>
    <s v="2Freshwater"/>
    <s v="Salmon"/>
    <s v="746"/>
    <s v="Green - Duwamish River"/>
    <s v="Green - Duwamish River"/>
    <s v="King"/>
    <x v="0"/>
    <s v="Other"/>
    <s v="20Other"/>
    <s v="07Non Puget Sound"/>
    <n v="556.13472858077205"/>
    <n v="1913.1034663178559"/>
  </r>
  <r>
    <n v="1968"/>
    <x v="5"/>
    <x v="1"/>
    <x v="5"/>
    <s v="Freshwater"/>
    <s v="2Freshwater"/>
    <s v="Salmon"/>
    <s v="746"/>
    <s v="Green - Duwamish River"/>
    <s v="Green - Duwamish River"/>
    <s v="King"/>
    <x v="0"/>
    <s v="Pierce"/>
    <s v="07Pierce"/>
    <s v="02South Puget Sound"/>
    <n v="861.11183780248496"/>
    <n v="2962.2247220405484"/>
  </r>
  <r>
    <n v="1969"/>
    <x v="5"/>
    <x v="1"/>
    <x v="5"/>
    <s v="Freshwater"/>
    <s v="2Freshwater"/>
    <s v="Salmon"/>
    <s v="746"/>
    <s v="Green - Duwamish River"/>
    <s v="Green - Duwamish River"/>
    <s v="King"/>
    <x v="0"/>
    <s v="Snohomish"/>
    <s v="03Snohomish"/>
    <s v="01North Puget Sound"/>
    <n v="71.759319816873798"/>
    <n v="246.85206017004586"/>
  </r>
  <r>
    <n v="1970"/>
    <x v="5"/>
    <x v="1"/>
    <x v="5"/>
    <s v="Freshwater"/>
    <s v="2Freshwater"/>
    <s v="Salmon"/>
    <s v="746"/>
    <s v="Green - Duwamish River"/>
    <s v="Green - Duwamish River"/>
    <s v="King"/>
    <x v="0"/>
    <s v="Thurston"/>
    <s v="08Thurston"/>
    <s v="02South Puget Sound"/>
    <n v="8.9699149771092301"/>
    <n v="30.85650752125575"/>
  </r>
  <r>
    <n v="1971"/>
    <x v="5"/>
    <x v="2"/>
    <x v="5"/>
    <s v="Freshwater"/>
    <s v="2Freshwater"/>
    <s v="Salmon"/>
    <s v="746"/>
    <s v="Green - Duwamish River"/>
    <s v="Green - Duwamish River"/>
    <s v="King"/>
    <x v="0"/>
    <s v="King"/>
    <s v="06King"/>
    <s v="02South Puget Sound"/>
    <n v="3947.5939849624101"/>
    <n v="13579.72330827069"/>
  </r>
  <r>
    <n v="1972"/>
    <x v="5"/>
    <x v="2"/>
    <x v="5"/>
    <s v="Freshwater"/>
    <s v="2Freshwater"/>
    <s v="Salmon"/>
    <s v="746"/>
    <s v="Green - Duwamish River"/>
    <s v="Green - Duwamish River"/>
    <s v="King"/>
    <x v="0"/>
    <s v="Kitsap"/>
    <s v="10Kitsap"/>
    <s v="02South Puget Sound"/>
    <n v="53.830827067669198"/>
    <n v="185.17804511278203"/>
  </r>
  <r>
    <n v="1973"/>
    <x v="5"/>
    <x v="2"/>
    <x v="5"/>
    <s v="Freshwater"/>
    <s v="2Freshwater"/>
    <s v="Salmon"/>
    <s v="746"/>
    <s v="Green - Duwamish River"/>
    <s v="Green - Duwamish River"/>
    <s v="King"/>
    <x v="0"/>
    <s v="Other"/>
    <s v="20Other"/>
    <s v="07Non Puget Sound"/>
    <n v="62.802631578947398"/>
    <n v="216.04105263157905"/>
  </r>
  <r>
    <n v="1974"/>
    <x v="5"/>
    <x v="2"/>
    <x v="5"/>
    <s v="Freshwater"/>
    <s v="2Freshwater"/>
    <s v="Salmon"/>
    <s v="746"/>
    <s v="Green - Duwamish River"/>
    <s v="Green - Duwamish River"/>
    <s v="King"/>
    <x v="0"/>
    <s v="Pierce"/>
    <s v="07Pierce"/>
    <s v="02South Puget Sound"/>
    <n v="475.50563909774399"/>
    <n v="1635.7393984962393"/>
  </r>
  <r>
    <n v="1975"/>
    <x v="5"/>
    <x v="2"/>
    <x v="5"/>
    <s v="Freshwater"/>
    <s v="2Freshwater"/>
    <s v="Salmon"/>
    <s v="746"/>
    <s v="Green - Duwamish River"/>
    <s v="Green - Duwamish River"/>
    <s v="King"/>
    <x v="0"/>
    <s v="Skagit"/>
    <s v="02Skagit"/>
    <s v="01North Puget Sound"/>
    <n v="8.9718045112782008"/>
    <n v="30.863007518797009"/>
  </r>
  <r>
    <n v="1976"/>
    <x v="5"/>
    <x v="2"/>
    <x v="5"/>
    <s v="Freshwater"/>
    <s v="2Freshwater"/>
    <s v="Salmon"/>
    <s v="746"/>
    <s v="Green - Duwamish River"/>
    <s v="Green - Duwamish River"/>
    <s v="King"/>
    <x v="0"/>
    <s v="Snohomish"/>
    <s v="03Snohomish"/>
    <s v="01North Puget Sound"/>
    <n v="62.802631578947398"/>
    <n v="216.04105263157905"/>
  </r>
  <r>
    <n v="1977"/>
    <x v="5"/>
    <x v="2"/>
    <x v="5"/>
    <s v="Freshwater"/>
    <s v="2Freshwater"/>
    <s v="Salmon"/>
    <s v="746"/>
    <s v="Green - Duwamish River"/>
    <s v="Green - Duwamish River"/>
    <s v="King"/>
    <x v="0"/>
    <s v="Thurston"/>
    <s v="08Thurston"/>
    <s v="02South Puget Sound"/>
    <n v="161.492481203008"/>
    <n v="555.53413533834748"/>
  </r>
  <r>
    <n v="1978"/>
    <x v="5"/>
    <x v="3"/>
    <x v="5"/>
    <s v="Freshwater"/>
    <s v="2Freshwater"/>
    <s v="Salmon"/>
    <s v="746"/>
    <s v="Green - Duwamish River"/>
    <s v="Green - Duwamish River"/>
    <s v="King"/>
    <x v="0"/>
    <s v="King"/>
    <s v="06King"/>
    <s v="02South Puget Sound"/>
    <n v="402.857142857143"/>
    <n v="1385.8285714285719"/>
  </r>
  <r>
    <n v="1979"/>
    <x v="5"/>
    <x v="3"/>
    <x v="5"/>
    <s v="Freshwater"/>
    <s v="2Freshwater"/>
    <s v="Salmon"/>
    <s v="746"/>
    <s v="Green - Duwamish River"/>
    <s v="Green - Duwamish River"/>
    <s v="King"/>
    <x v="0"/>
    <s v="Other"/>
    <s v="20Other"/>
    <s v="07Non Puget Sound"/>
    <n v="28.775510204081598"/>
    <n v="98.987755102040694"/>
  </r>
  <r>
    <n v="1980"/>
    <x v="5"/>
    <x v="3"/>
    <x v="5"/>
    <s v="Freshwater"/>
    <s v="2Freshwater"/>
    <s v="Salmon"/>
    <s v="746"/>
    <s v="Green - Duwamish River"/>
    <s v="Green - Duwamish River"/>
    <s v="King"/>
    <x v="0"/>
    <s v="Pierce"/>
    <s v="07Pierce"/>
    <s v="02South Puget Sound"/>
    <n v="38.367346938775498"/>
    <n v="131.9836734693877"/>
  </r>
  <r>
    <n v="1981"/>
    <x v="5"/>
    <x v="4"/>
    <x v="5"/>
    <s v="Freshwater"/>
    <s v="2Freshwater"/>
    <s v="Salmon"/>
    <s v="746"/>
    <s v="Green - Duwamish River"/>
    <s v="Green - Duwamish River"/>
    <s v="King"/>
    <x v="0"/>
    <s v="King"/>
    <s v="06King"/>
    <s v="02South Puget Sound"/>
    <n v="10"/>
    <n v="34.4"/>
  </r>
  <r>
    <n v="1982"/>
    <x v="5"/>
    <x v="1"/>
    <x v="5"/>
    <s v="Freshwater"/>
    <s v="2Freshwater"/>
    <s v="Salmon"/>
    <s v="754"/>
    <s v="Kennedy Creek"/>
    <s v="Kennedy Creek"/>
    <s v="Mason/Thurston"/>
    <x v="0"/>
    <s v="Pierce"/>
    <s v="07Pierce"/>
    <s v="02South Puget Sound"/>
    <n v="9"/>
    <n v="30.96"/>
  </r>
  <r>
    <n v="1983"/>
    <x v="5"/>
    <x v="2"/>
    <x v="5"/>
    <s v="Freshwater"/>
    <s v="2Freshwater"/>
    <s v="Salmon"/>
    <s v="754"/>
    <s v="Kennedy Creek"/>
    <s v="Kennedy Creek"/>
    <s v="Mason/Thurston"/>
    <x v="0"/>
    <s v="Other"/>
    <s v="20Other"/>
    <s v="07Non Puget Sound"/>
    <n v="27.6"/>
    <n v="94.944000000000003"/>
  </r>
  <r>
    <n v="1984"/>
    <x v="5"/>
    <x v="2"/>
    <x v="5"/>
    <s v="Freshwater"/>
    <s v="2Freshwater"/>
    <s v="Salmon"/>
    <s v="754"/>
    <s v="Kennedy Creek"/>
    <s v="Kennedy Creek"/>
    <s v="Mason/Thurston"/>
    <x v="0"/>
    <s v="Pierce"/>
    <s v="07Pierce"/>
    <s v="02South Puget Sound"/>
    <n v="55.2"/>
    <n v="189.88800000000001"/>
  </r>
  <r>
    <n v="1985"/>
    <x v="5"/>
    <x v="2"/>
    <x v="5"/>
    <s v="Freshwater"/>
    <s v="2Freshwater"/>
    <s v="Salmon"/>
    <s v="754"/>
    <s v="Kennedy Creek"/>
    <s v="Kennedy Creek"/>
    <s v="Mason/Thurston"/>
    <x v="0"/>
    <s v="Thurston"/>
    <s v="08Thurston"/>
    <s v="02South Puget Sound"/>
    <n v="9.1999999999999993"/>
    <n v="31.647999999999996"/>
  </r>
  <r>
    <n v="1986"/>
    <x v="5"/>
    <x v="3"/>
    <x v="5"/>
    <s v="Freshwater"/>
    <s v="2Freshwater"/>
    <s v="Salmon"/>
    <s v="754"/>
    <s v="Kennedy Creek"/>
    <s v="Kennedy Creek"/>
    <s v="Mason/Thurston"/>
    <x v="0"/>
    <s v="Other"/>
    <s v="20Other"/>
    <s v="07Non Puget Sound"/>
    <n v="18.363636363636399"/>
    <n v="63.170909090909213"/>
  </r>
  <r>
    <n v="1987"/>
    <x v="5"/>
    <x v="3"/>
    <x v="5"/>
    <s v="Freshwater"/>
    <s v="2Freshwater"/>
    <s v="Salmon"/>
    <s v="754"/>
    <s v="Kennedy Creek"/>
    <s v="Kennedy Creek"/>
    <s v="Mason/Thurston"/>
    <x v="0"/>
    <s v="Pierce"/>
    <s v="07Pierce"/>
    <s v="02South Puget Sound"/>
    <n v="27.5454545454546"/>
    <n v="94.75636363636383"/>
  </r>
  <r>
    <n v="1988"/>
    <x v="5"/>
    <x v="3"/>
    <x v="5"/>
    <s v="Freshwater"/>
    <s v="2Freshwater"/>
    <s v="Salmon"/>
    <s v="754"/>
    <s v="Kennedy Creek"/>
    <s v="Kennedy Creek"/>
    <s v="Mason/Thurston"/>
    <x v="0"/>
    <s v="Thurston"/>
    <s v="08Thurston"/>
    <s v="02South Puget Sound"/>
    <n v="55.090909090909101"/>
    <n v="189.51272727272729"/>
  </r>
  <r>
    <n v="1989"/>
    <x v="5"/>
    <x v="1"/>
    <x v="5"/>
    <s v="Freshwater"/>
    <s v="2Freshwater"/>
    <s v="Salmon"/>
    <s v="762"/>
    <s v="Lake Washington"/>
    <s v="Lake Washington"/>
    <s v="King"/>
    <x v="0"/>
    <s v="King"/>
    <s v="06King"/>
    <s v="02South Puget Sound"/>
    <n v="97"/>
    <n v="333.68"/>
  </r>
  <r>
    <n v="1990"/>
    <x v="5"/>
    <x v="2"/>
    <x v="5"/>
    <s v="Freshwater"/>
    <s v="2Freshwater"/>
    <s v="Salmon"/>
    <s v="762"/>
    <s v="Lake Washington"/>
    <s v="Lake Washington"/>
    <s v="King"/>
    <x v="0"/>
    <s v="King"/>
    <s v="06King"/>
    <s v="02South Puget Sound"/>
    <n v="26.25"/>
    <n v="90.3"/>
  </r>
  <r>
    <n v="1991"/>
    <x v="5"/>
    <x v="2"/>
    <x v="5"/>
    <s v="Freshwater"/>
    <s v="2Freshwater"/>
    <s v="Salmon"/>
    <s v="762"/>
    <s v="Lake Washington"/>
    <s v="Lake Washington"/>
    <s v="King"/>
    <x v="0"/>
    <s v="Other"/>
    <s v="20Other"/>
    <s v="07Non Puget Sound"/>
    <n v="8.75"/>
    <n v="30.099999999999998"/>
  </r>
  <r>
    <n v="1992"/>
    <x v="5"/>
    <x v="2"/>
    <x v="5"/>
    <s v="Freshwater"/>
    <s v="2Freshwater"/>
    <s v="Salmon"/>
    <s v="778"/>
    <s v="Minter Creek"/>
    <s v="Minter Creek"/>
    <s v="Kitsap/Pierce"/>
    <x v="0"/>
    <s v="King"/>
    <s v="06King"/>
    <s v="02South Puget Sound"/>
    <n v="9"/>
    <n v="30.96"/>
  </r>
  <r>
    <n v="1993"/>
    <x v="5"/>
    <x v="3"/>
    <x v="5"/>
    <s v="Freshwater"/>
    <s v="2Freshwater"/>
    <s v="Salmon"/>
    <s v="778"/>
    <s v="Minter Creek"/>
    <s v="Minter Creek"/>
    <s v="Kitsap/Pierce"/>
    <x v="0"/>
    <s v="King"/>
    <s v="06King"/>
    <s v="02South Puget Sound"/>
    <n v="2136.8925619834699"/>
    <n v="7350.9104132231369"/>
  </r>
  <r>
    <n v="1994"/>
    <x v="5"/>
    <x v="3"/>
    <x v="5"/>
    <s v="Freshwater"/>
    <s v="2Freshwater"/>
    <s v="Salmon"/>
    <s v="778"/>
    <s v="Minter Creek"/>
    <s v="Minter Creek"/>
    <s v="Kitsap/Pierce"/>
    <x v="0"/>
    <s v="Kitsap"/>
    <s v="10Kitsap"/>
    <s v="02South Puget Sound"/>
    <n v="147.37190082644599"/>
    <n v="506.9593388429742"/>
  </r>
  <r>
    <n v="1995"/>
    <x v="5"/>
    <x v="3"/>
    <x v="5"/>
    <s v="Freshwater"/>
    <s v="2Freshwater"/>
    <s v="Salmon"/>
    <s v="778"/>
    <s v="Minter Creek"/>
    <s v="Minter Creek"/>
    <s v="Kitsap/Pierce"/>
    <x v="0"/>
    <s v="Mason"/>
    <s v="09Mason"/>
    <s v="02South Puget Sound"/>
    <n v="36.842975206611598"/>
    <n v="126.73983471074389"/>
  </r>
  <r>
    <n v="1996"/>
    <x v="5"/>
    <x v="3"/>
    <x v="5"/>
    <s v="Freshwater"/>
    <s v="2Freshwater"/>
    <s v="Salmon"/>
    <s v="778"/>
    <s v="Minter Creek"/>
    <s v="Minter Creek"/>
    <s v="Kitsap/Pierce"/>
    <x v="0"/>
    <s v="Other"/>
    <s v="20Other"/>
    <s v="07Non Puget Sound"/>
    <n v="119.739669421488"/>
    <n v="411.9044628099187"/>
  </r>
  <r>
    <n v="1997"/>
    <x v="5"/>
    <x v="3"/>
    <x v="5"/>
    <s v="Freshwater"/>
    <s v="2Freshwater"/>
    <s v="Salmon"/>
    <s v="778"/>
    <s v="Minter Creek"/>
    <s v="Minter Creek"/>
    <s v="Kitsap/Pierce"/>
    <x v="0"/>
    <s v="Pierce"/>
    <s v="07Pierce"/>
    <s v="02South Puget Sound"/>
    <n v="1878.9917355371899"/>
    <n v="6463.7315702479336"/>
  </r>
  <r>
    <n v="1998"/>
    <x v="5"/>
    <x v="3"/>
    <x v="5"/>
    <s v="Freshwater"/>
    <s v="2Freshwater"/>
    <s v="Salmon"/>
    <s v="778"/>
    <s v="Minter Creek"/>
    <s v="Minter Creek"/>
    <s v="Kitsap/Pierce"/>
    <x v="0"/>
    <s v="Snohomish"/>
    <s v="03Snohomish"/>
    <s v="01North Puget Sound"/>
    <n v="110.52892561983499"/>
    <n v="380.21950413223237"/>
  </r>
  <r>
    <n v="1999"/>
    <x v="5"/>
    <x v="3"/>
    <x v="5"/>
    <s v="Freshwater"/>
    <s v="2Freshwater"/>
    <s v="Salmon"/>
    <s v="778"/>
    <s v="Minter Creek"/>
    <s v="Minter Creek"/>
    <s v="Kitsap/Pierce"/>
    <x v="0"/>
    <s v="Thurston"/>
    <s v="08Thurston"/>
    <s v="02South Puget Sound"/>
    <n v="27.632231404958699"/>
    <n v="95.054876033057923"/>
  </r>
  <r>
    <n v="2000"/>
    <x v="5"/>
    <x v="4"/>
    <x v="5"/>
    <s v="Freshwater"/>
    <s v="2Freshwater"/>
    <s v="Salmon"/>
    <s v="778"/>
    <s v="Minter Creek"/>
    <s v="Minter Creek"/>
    <s v="Kitsap/Pierce"/>
    <x v="0"/>
    <s v="King"/>
    <s v="06King"/>
    <s v="02South Puget Sound"/>
    <n v="147.51219512195101"/>
    <n v="507.44195121951145"/>
  </r>
  <r>
    <n v="2001"/>
    <x v="5"/>
    <x v="4"/>
    <x v="5"/>
    <s v="Freshwater"/>
    <s v="2Freshwater"/>
    <s v="Salmon"/>
    <s v="778"/>
    <s v="Minter Creek"/>
    <s v="Minter Creek"/>
    <s v="Kitsap/Pierce"/>
    <x v="0"/>
    <s v="Other"/>
    <s v="20Other"/>
    <s v="07Non Puget Sound"/>
    <n v="110.63414634146299"/>
    <n v="380.58146341463271"/>
  </r>
  <r>
    <n v="2002"/>
    <x v="5"/>
    <x v="4"/>
    <x v="5"/>
    <s v="Freshwater"/>
    <s v="2Freshwater"/>
    <s v="Salmon"/>
    <s v="778"/>
    <s v="Minter Creek"/>
    <s v="Minter Creek"/>
    <s v="Kitsap/Pierce"/>
    <x v="0"/>
    <s v="Pierce"/>
    <s v="07Pierce"/>
    <s v="02South Puget Sound"/>
    <n v="110.63414634146299"/>
    <n v="380.58146341463271"/>
  </r>
  <r>
    <n v="2003"/>
    <x v="5"/>
    <x v="4"/>
    <x v="5"/>
    <s v="Freshwater"/>
    <s v="2Freshwater"/>
    <s v="Salmon"/>
    <s v="778"/>
    <s v="Minter Creek"/>
    <s v="Minter Creek"/>
    <s v="Kitsap/Pierce"/>
    <x v="0"/>
    <s v="Snohomish"/>
    <s v="03Snohomish"/>
    <s v="01North Puget Sound"/>
    <n v="9.2195121951219505"/>
    <n v="31.715121951219508"/>
  </r>
  <r>
    <n v="2004"/>
    <x v="5"/>
    <x v="0"/>
    <x v="5"/>
    <s v="Freshwater"/>
    <s v="2Freshwater"/>
    <s v="Salmon"/>
    <s v="786"/>
    <s v="Nisqually River"/>
    <s v="Nisqually River"/>
    <s v="Thurston/Pierce"/>
    <x v="0"/>
    <s v="King"/>
    <s v="06King"/>
    <s v="02South Puget Sound"/>
    <n v="72.2302158273381"/>
    <n v="248.47194244604307"/>
  </r>
  <r>
    <n v="2005"/>
    <x v="5"/>
    <x v="0"/>
    <x v="5"/>
    <s v="Freshwater"/>
    <s v="2Freshwater"/>
    <s v="Salmon"/>
    <s v="786"/>
    <s v="Nisqually River"/>
    <s v="Nisqually River"/>
    <s v="Thurston/Pierce"/>
    <x v="0"/>
    <s v="Kitsap"/>
    <s v="10Kitsap"/>
    <s v="02South Puget Sound"/>
    <n v="9.0287769784172696"/>
    <n v="31.058992805755405"/>
  </r>
  <r>
    <n v="2006"/>
    <x v="5"/>
    <x v="0"/>
    <x v="5"/>
    <s v="Freshwater"/>
    <s v="2Freshwater"/>
    <s v="Salmon"/>
    <s v="786"/>
    <s v="Nisqually River"/>
    <s v="Nisqually River"/>
    <s v="Thurston/Pierce"/>
    <x v="0"/>
    <s v="Mason"/>
    <s v="09Mason"/>
    <s v="02South Puget Sound"/>
    <n v="27.086330935251802"/>
    <n v="93.176978417266199"/>
  </r>
  <r>
    <n v="2007"/>
    <x v="5"/>
    <x v="0"/>
    <x v="5"/>
    <s v="Freshwater"/>
    <s v="2Freshwater"/>
    <s v="Salmon"/>
    <s v="786"/>
    <s v="Nisqually River"/>
    <s v="Nisqually River"/>
    <s v="Thurston/Pierce"/>
    <x v="0"/>
    <s v="Other"/>
    <s v="20Other"/>
    <s v="07Non Puget Sound"/>
    <n v="9.0287769784172696"/>
    <n v="31.058992805755405"/>
  </r>
  <r>
    <n v="2008"/>
    <x v="5"/>
    <x v="0"/>
    <x v="5"/>
    <s v="Freshwater"/>
    <s v="2Freshwater"/>
    <s v="Salmon"/>
    <s v="786"/>
    <s v="Nisqually River"/>
    <s v="Nisqually River"/>
    <s v="Thurston/Pierce"/>
    <x v="0"/>
    <s v="Pierce"/>
    <s v="07Pierce"/>
    <s v="02South Puget Sound"/>
    <n v="288.92086330935302"/>
    <n v="993.88776978417434"/>
  </r>
  <r>
    <n v="2009"/>
    <x v="5"/>
    <x v="0"/>
    <x v="5"/>
    <s v="Freshwater"/>
    <s v="2Freshwater"/>
    <s v="Salmon"/>
    <s v="786"/>
    <s v="Nisqually River"/>
    <s v="Nisqually River"/>
    <s v="Thurston/Pierce"/>
    <x v="0"/>
    <s v="Thurston"/>
    <s v="08Thurston"/>
    <s v="02South Puget Sound"/>
    <n v="839.67625899280597"/>
    <n v="2888.4863309352527"/>
  </r>
  <r>
    <n v="2010"/>
    <x v="5"/>
    <x v="0"/>
    <x v="5"/>
    <s v="Freshwater"/>
    <s v="2Freshwater"/>
    <s v="Salmon"/>
    <s v="786"/>
    <s v="Nisqually River"/>
    <s v="Nisqually River"/>
    <s v="Thurston/Pierce"/>
    <x v="0"/>
    <s v="Whatcom"/>
    <s v="01Whatcom"/>
    <s v="01North Puget Sound"/>
    <n v="9.0287769784172696"/>
    <n v="31.058992805755405"/>
  </r>
  <r>
    <n v="2011"/>
    <x v="5"/>
    <x v="1"/>
    <x v="5"/>
    <s v="Freshwater"/>
    <s v="2Freshwater"/>
    <s v="Salmon"/>
    <s v="786"/>
    <s v="Nisqually River"/>
    <s v="Nisqually River"/>
    <s v="Thurston/Pierce"/>
    <x v="0"/>
    <s v="King"/>
    <s v="06King"/>
    <s v="02South Puget Sound"/>
    <n v="722.27368421052597"/>
    <n v="2484.6214736842094"/>
  </r>
  <r>
    <n v="2012"/>
    <x v="5"/>
    <x v="1"/>
    <x v="5"/>
    <s v="Freshwater"/>
    <s v="2Freshwater"/>
    <s v="Salmon"/>
    <s v="786"/>
    <s v="Nisqually River"/>
    <s v="Nisqually River"/>
    <s v="Thurston/Pierce"/>
    <x v="0"/>
    <s v="Kitsap"/>
    <s v="10Kitsap"/>
    <s v="02South Puget Sound"/>
    <n v="207.653684210526"/>
    <n v="714.32867368420943"/>
  </r>
  <r>
    <n v="2013"/>
    <x v="5"/>
    <x v="1"/>
    <x v="5"/>
    <s v="Freshwater"/>
    <s v="2Freshwater"/>
    <s v="Salmon"/>
    <s v="786"/>
    <s v="Nisqually River"/>
    <s v="Nisqually River"/>
    <s v="Thurston/Pierce"/>
    <x v="0"/>
    <s v="Mason"/>
    <s v="09Mason"/>
    <s v="02South Puget Sound"/>
    <n v="144.45473684210501"/>
    <n v="496.9242947368412"/>
  </r>
  <r>
    <n v="2014"/>
    <x v="5"/>
    <x v="1"/>
    <x v="5"/>
    <s v="Freshwater"/>
    <s v="2Freshwater"/>
    <s v="Salmon"/>
    <s v="786"/>
    <s v="Nisqually River"/>
    <s v="Nisqually River"/>
    <s v="Thurston/Pierce"/>
    <x v="0"/>
    <s v="Other"/>
    <s v="20Other"/>
    <s v="07Non Puget Sound"/>
    <n v="568.79052631578998"/>
    <n v="1956.6394105263175"/>
  </r>
  <r>
    <n v="2015"/>
    <x v="5"/>
    <x v="1"/>
    <x v="5"/>
    <s v="Freshwater"/>
    <s v="2Freshwater"/>
    <s v="Salmon"/>
    <s v="786"/>
    <s v="Nisqually River"/>
    <s v="Nisqually River"/>
    <s v="Thurston/Pierce"/>
    <x v="0"/>
    <s v="Pierce"/>
    <s v="07Pierce"/>
    <s v="02South Puget Sound"/>
    <n v="3593.31157894737"/>
    <n v="12360.991831578953"/>
  </r>
  <r>
    <n v="2016"/>
    <x v="5"/>
    <x v="1"/>
    <x v="5"/>
    <s v="Freshwater"/>
    <s v="2Freshwater"/>
    <s v="Salmon"/>
    <s v="786"/>
    <s v="Nisqually River"/>
    <s v="Nisqually River"/>
    <s v="Thurston/Pierce"/>
    <x v="0"/>
    <s v="Snohomish"/>
    <s v="03Snohomish"/>
    <s v="01North Puget Sound"/>
    <n v="90.284210526315803"/>
    <n v="310.57768421052634"/>
  </r>
  <r>
    <n v="2017"/>
    <x v="5"/>
    <x v="1"/>
    <x v="5"/>
    <s v="Freshwater"/>
    <s v="2Freshwater"/>
    <s v="Salmon"/>
    <s v="786"/>
    <s v="Nisqually River"/>
    <s v="Nisqually River"/>
    <s v="Thurston/Pierce"/>
    <x v="0"/>
    <s v="Thurston"/>
    <s v="08Thurston"/>
    <s v="02South Puget Sound"/>
    <n v="3250.2315789473701"/>
    <n v="11180.796631578953"/>
  </r>
  <r>
    <n v="2018"/>
    <x v="5"/>
    <x v="2"/>
    <x v="5"/>
    <s v="Freshwater"/>
    <s v="2Freshwater"/>
    <s v="Salmon"/>
    <s v="786"/>
    <s v="Nisqually River"/>
    <s v="Nisqually River"/>
    <s v="Thurston/Pierce"/>
    <x v="0"/>
    <s v="King"/>
    <s v="06King"/>
    <s v="02South Puget Sound"/>
    <n v="27.081081081081098"/>
    <n v="93.158918918918971"/>
  </r>
  <r>
    <n v="2019"/>
    <x v="5"/>
    <x v="2"/>
    <x v="5"/>
    <s v="Freshwater"/>
    <s v="2Freshwater"/>
    <s v="Salmon"/>
    <s v="786"/>
    <s v="Nisqually River"/>
    <s v="Nisqually River"/>
    <s v="Thurston/Pierce"/>
    <x v="0"/>
    <s v="Kitsap"/>
    <s v="10Kitsap"/>
    <s v="02South Puget Sound"/>
    <n v="54.162162162162197"/>
    <n v="186.31783783783794"/>
  </r>
  <r>
    <n v="2020"/>
    <x v="5"/>
    <x v="2"/>
    <x v="5"/>
    <s v="Freshwater"/>
    <s v="2Freshwater"/>
    <s v="Salmon"/>
    <s v="786"/>
    <s v="Nisqually River"/>
    <s v="Nisqually River"/>
    <s v="Thurston/Pierce"/>
    <x v="0"/>
    <s v="Other"/>
    <s v="20Other"/>
    <s v="07Non Puget Sound"/>
    <n v="72.216216216216196"/>
    <n v="248.4237837837837"/>
  </r>
  <r>
    <n v="2021"/>
    <x v="5"/>
    <x v="2"/>
    <x v="5"/>
    <s v="Freshwater"/>
    <s v="2Freshwater"/>
    <s v="Salmon"/>
    <s v="786"/>
    <s v="Nisqually River"/>
    <s v="Nisqually River"/>
    <s v="Thurston/Pierce"/>
    <x v="0"/>
    <s v="Pierce"/>
    <s v="07Pierce"/>
    <s v="02South Puget Sound"/>
    <n v="406.21621621621603"/>
    <n v="1397.3837837837832"/>
  </r>
  <r>
    <n v="2022"/>
    <x v="5"/>
    <x v="2"/>
    <x v="5"/>
    <s v="Freshwater"/>
    <s v="2Freshwater"/>
    <s v="Salmon"/>
    <s v="786"/>
    <s v="Nisqually River"/>
    <s v="Nisqually River"/>
    <s v="Thurston/Pierce"/>
    <x v="0"/>
    <s v="Thurston"/>
    <s v="08Thurston"/>
    <s v="02South Puget Sound"/>
    <n v="442.32432432432398"/>
    <n v="1521.5956756756746"/>
  </r>
  <r>
    <n v="2023"/>
    <x v="5"/>
    <x v="3"/>
    <x v="5"/>
    <s v="Freshwater"/>
    <s v="2Freshwater"/>
    <s v="Salmon"/>
    <s v="786"/>
    <s v="Nisqually River"/>
    <s v="Nisqually River"/>
    <s v="Thurston/Pierce"/>
    <x v="0"/>
    <s v="Pierce"/>
    <s v="07Pierce"/>
    <s v="02South Puget Sound"/>
    <n v="63"/>
    <n v="216.72"/>
  </r>
  <r>
    <n v="2024"/>
    <x v="5"/>
    <x v="4"/>
    <x v="5"/>
    <s v="Freshwater"/>
    <s v="2Freshwater"/>
    <s v="Salmon"/>
    <s v="786"/>
    <s v="Nisqually River"/>
    <s v="Nisqually River"/>
    <s v="Thurston/Pierce"/>
    <x v="0"/>
    <s v="Pierce"/>
    <s v="07Pierce"/>
    <s v="02South Puget Sound"/>
    <n v="54"/>
    <n v="185.76"/>
  </r>
  <r>
    <n v="2025"/>
    <x v="5"/>
    <x v="4"/>
    <x v="5"/>
    <s v="Freshwater"/>
    <s v="2Freshwater"/>
    <s v="Salmon"/>
    <s v="786"/>
    <s v="Nisqually River"/>
    <s v="Nisqually River"/>
    <s v="Thurston/Pierce"/>
    <x v="0"/>
    <s v="Thurston"/>
    <s v="08Thurston"/>
    <s v="02South Puget Sound"/>
    <n v="81"/>
    <n v="278.64"/>
  </r>
  <r>
    <n v="2026"/>
    <x v="6"/>
    <x v="6"/>
    <x v="5"/>
    <s v="Freshwater"/>
    <s v="2Freshwater"/>
    <s v="Salmon"/>
    <s v="786"/>
    <s v="Nisqually River"/>
    <s v="Nisqually River"/>
    <s v="Thurston/Pierce"/>
    <x v="0"/>
    <s v="Thurston"/>
    <s v="08Thurston"/>
    <s v="02South Puget Sound"/>
    <n v="9"/>
    <n v="77.850000000000009"/>
  </r>
  <r>
    <n v="2027"/>
    <x v="5"/>
    <x v="5"/>
    <x v="5"/>
    <s v="Freshwater"/>
    <s v="2Freshwater"/>
    <s v="Salmon"/>
    <s v="788"/>
    <s v="Nooksack River"/>
    <s v="Nooksack River"/>
    <s v="Whatcom"/>
    <x v="1"/>
    <s v="Whatcom"/>
    <s v="01Whatcom"/>
    <s v="01North Puget Sound"/>
    <n v="810"/>
    <n v="2786.4"/>
  </r>
  <r>
    <n v="2028"/>
    <x v="5"/>
    <x v="0"/>
    <x v="5"/>
    <s v="Freshwater"/>
    <s v="2Freshwater"/>
    <s v="Salmon"/>
    <s v="788"/>
    <s v="Nooksack River"/>
    <s v="Nooksack River"/>
    <s v="Whatcom"/>
    <x v="1"/>
    <s v="King"/>
    <s v="06King"/>
    <s v="02South Puget Sound"/>
    <n v="17.616666666666699"/>
    <n v="60.601333333333443"/>
  </r>
  <r>
    <n v="2029"/>
    <x v="5"/>
    <x v="0"/>
    <x v="5"/>
    <s v="Freshwater"/>
    <s v="2Freshwater"/>
    <s v="Salmon"/>
    <s v="788"/>
    <s v="Nooksack River"/>
    <s v="Nooksack River"/>
    <s v="Whatcom"/>
    <x v="1"/>
    <s v="Other"/>
    <s v="20Other"/>
    <s v="07Non Puget Sound"/>
    <n v="211.4"/>
    <n v="727.21600000000001"/>
  </r>
  <r>
    <n v="2030"/>
    <x v="5"/>
    <x v="0"/>
    <x v="5"/>
    <s v="Freshwater"/>
    <s v="2Freshwater"/>
    <s v="Salmon"/>
    <s v="788"/>
    <s v="Nooksack River"/>
    <s v="Nooksack River"/>
    <s v="Whatcom"/>
    <x v="1"/>
    <s v="Pierce"/>
    <s v="07Pierce"/>
    <s v="02South Puget Sound"/>
    <n v="26.425000000000001"/>
    <n v="90.902000000000001"/>
  </r>
  <r>
    <n v="2031"/>
    <x v="5"/>
    <x v="0"/>
    <x v="5"/>
    <s v="Freshwater"/>
    <s v="2Freshwater"/>
    <s v="Salmon"/>
    <s v="788"/>
    <s v="Nooksack River"/>
    <s v="Nooksack River"/>
    <s v="Whatcom"/>
    <x v="1"/>
    <s v="Skagit"/>
    <s v="02Skagit"/>
    <s v="01North Puget Sound"/>
    <n v="26.425000000000001"/>
    <n v="90.902000000000001"/>
  </r>
  <r>
    <n v="2032"/>
    <x v="5"/>
    <x v="0"/>
    <x v="5"/>
    <s v="Freshwater"/>
    <s v="2Freshwater"/>
    <s v="Salmon"/>
    <s v="788"/>
    <s v="Nooksack River"/>
    <s v="Nooksack River"/>
    <s v="Whatcom"/>
    <x v="1"/>
    <s v="Whatcom"/>
    <s v="01Whatcom"/>
    <s v="01North Puget Sound"/>
    <n v="3946.13333333333"/>
    <n v="13574.698666666654"/>
  </r>
  <r>
    <n v="2033"/>
    <x v="5"/>
    <x v="1"/>
    <x v="5"/>
    <s v="Freshwater"/>
    <s v="2Freshwater"/>
    <s v="Salmon"/>
    <s v="788"/>
    <s v="Nooksack River"/>
    <s v="Nooksack River"/>
    <s v="Whatcom"/>
    <x v="1"/>
    <s v="Other"/>
    <s v="20Other"/>
    <s v="07Non Puget Sound"/>
    <n v="8.9827586206896601"/>
    <n v="30.900689655172432"/>
  </r>
  <r>
    <n v="2034"/>
    <x v="5"/>
    <x v="1"/>
    <x v="5"/>
    <s v="Freshwater"/>
    <s v="2Freshwater"/>
    <s v="Salmon"/>
    <s v="788"/>
    <s v="Nooksack River"/>
    <s v="Nooksack River"/>
    <s v="Whatcom"/>
    <x v="1"/>
    <s v="Pierce"/>
    <s v="07Pierce"/>
    <s v="02South Puget Sound"/>
    <n v="8.9827586206896601"/>
    <n v="30.900689655172432"/>
  </r>
  <r>
    <n v="2035"/>
    <x v="5"/>
    <x v="1"/>
    <x v="5"/>
    <s v="Freshwater"/>
    <s v="2Freshwater"/>
    <s v="Salmon"/>
    <s v="788"/>
    <s v="Nooksack River"/>
    <s v="Nooksack River"/>
    <s v="Whatcom"/>
    <x v="1"/>
    <s v="Snohomish"/>
    <s v="03Snohomish"/>
    <s v="01North Puget Sound"/>
    <n v="8.9827586206896601"/>
    <n v="30.900689655172432"/>
  </r>
  <r>
    <n v="2036"/>
    <x v="5"/>
    <x v="1"/>
    <x v="5"/>
    <s v="Freshwater"/>
    <s v="2Freshwater"/>
    <s v="Salmon"/>
    <s v="788"/>
    <s v="Nooksack River"/>
    <s v="Nooksack River"/>
    <s v="Whatcom"/>
    <x v="1"/>
    <s v="Whatcom"/>
    <s v="01Whatcom"/>
    <s v="01North Puget Sound"/>
    <n v="2578.0517241379298"/>
    <n v="8868.4979310344788"/>
  </r>
  <r>
    <n v="2037"/>
    <x v="5"/>
    <x v="2"/>
    <x v="5"/>
    <s v="Freshwater"/>
    <s v="2Freshwater"/>
    <s v="Salmon"/>
    <s v="788"/>
    <s v="Nooksack River"/>
    <s v="Nooksack River"/>
    <s v="Whatcom"/>
    <x v="1"/>
    <s v="Other"/>
    <s v="20Other"/>
    <s v="07Non Puget Sound"/>
    <n v="27.2918918918919"/>
    <n v="93.884108108108137"/>
  </r>
  <r>
    <n v="2038"/>
    <x v="5"/>
    <x v="2"/>
    <x v="5"/>
    <s v="Freshwater"/>
    <s v="2Freshwater"/>
    <s v="Salmon"/>
    <s v="788"/>
    <s v="Nooksack River"/>
    <s v="Nooksack River"/>
    <s v="Whatcom"/>
    <x v="1"/>
    <s v="Skagit"/>
    <s v="02Skagit"/>
    <s v="01North Puget Sound"/>
    <n v="100.07027027027"/>
    <n v="344.24172972972877"/>
  </r>
  <r>
    <n v="2039"/>
    <x v="5"/>
    <x v="2"/>
    <x v="5"/>
    <s v="Freshwater"/>
    <s v="2Freshwater"/>
    <s v="Salmon"/>
    <s v="788"/>
    <s v="Nooksack River"/>
    <s v="Nooksack River"/>
    <s v="Whatcom"/>
    <x v="1"/>
    <s v="Snohomish"/>
    <s v="03Snohomish"/>
    <s v="01North Puget Sound"/>
    <n v="9.0972972972973007"/>
    <n v="31.294702702702715"/>
  </r>
  <r>
    <n v="2040"/>
    <x v="5"/>
    <x v="2"/>
    <x v="5"/>
    <s v="Freshwater"/>
    <s v="2Freshwater"/>
    <s v="Salmon"/>
    <s v="788"/>
    <s v="Nooksack River"/>
    <s v="Nooksack River"/>
    <s v="Whatcom"/>
    <x v="1"/>
    <s v="Thurston"/>
    <s v="08Thurston"/>
    <s v="02South Puget Sound"/>
    <n v="9.0972972972973007"/>
    <n v="31.294702702702715"/>
  </r>
  <r>
    <n v="2041"/>
    <x v="5"/>
    <x v="2"/>
    <x v="5"/>
    <s v="Freshwater"/>
    <s v="2Freshwater"/>
    <s v="Salmon"/>
    <s v="788"/>
    <s v="Nooksack River"/>
    <s v="Nooksack River"/>
    <s v="Whatcom"/>
    <x v="1"/>
    <s v="Whatcom"/>
    <s v="01Whatcom"/>
    <s v="01North Puget Sound"/>
    <n v="1537.44324324324"/>
    <n v="5288.8047567567455"/>
  </r>
  <r>
    <n v="2042"/>
    <x v="5"/>
    <x v="3"/>
    <x v="5"/>
    <s v="Freshwater"/>
    <s v="2Freshwater"/>
    <s v="Salmon"/>
    <s v="788"/>
    <s v="Nooksack River"/>
    <s v="Nooksack River"/>
    <s v="Whatcom"/>
    <x v="1"/>
    <s v="Island"/>
    <s v="04Island"/>
    <s v="01North Puget Sound"/>
    <n v="78.75"/>
    <n v="270.89999999999998"/>
  </r>
  <r>
    <n v="2043"/>
    <x v="5"/>
    <x v="3"/>
    <x v="5"/>
    <s v="Freshwater"/>
    <s v="2Freshwater"/>
    <s v="Salmon"/>
    <s v="788"/>
    <s v="Nooksack River"/>
    <s v="Nooksack River"/>
    <s v="Whatcom"/>
    <x v="1"/>
    <s v="Skagit"/>
    <s v="02Skagit"/>
    <s v="01North Puget Sound"/>
    <n v="8.75"/>
    <n v="30.099999999999998"/>
  </r>
  <r>
    <n v="2044"/>
    <x v="5"/>
    <x v="3"/>
    <x v="5"/>
    <s v="Freshwater"/>
    <s v="2Freshwater"/>
    <s v="Salmon"/>
    <s v="788"/>
    <s v="Nooksack River"/>
    <s v="Nooksack River"/>
    <s v="Whatcom"/>
    <x v="1"/>
    <s v="Whatcom"/>
    <s v="01Whatcom"/>
    <s v="01North Puget Sound"/>
    <n v="122.5"/>
    <n v="421.4"/>
  </r>
  <r>
    <n v="2045"/>
    <x v="5"/>
    <x v="4"/>
    <x v="5"/>
    <s v="Freshwater"/>
    <s v="2Freshwater"/>
    <s v="Salmon"/>
    <s v="788"/>
    <s v="Nooksack River"/>
    <s v="Nooksack River"/>
    <s v="Whatcom"/>
    <x v="1"/>
    <s v="Island"/>
    <s v="04Island"/>
    <s v="01North Puget Sound"/>
    <n v="9"/>
    <n v="30.96"/>
  </r>
  <r>
    <n v="2046"/>
    <x v="5"/>
    <x v="4"/>
    <x v="5"/>
    <s v="Freshwater"/>
    <s v="2Freshwater"/>
    <s v="Salmon"/>
    <s v="788"/>
    <s v="Nooksack River"/>
    <s v="Nooksack River"/>
    <s v="Whatcom"/>
    <x v="1"/>
    <s v="Skagit"/>
    <s v="02Skagit"/>
    <s v="01North Puget Sound"/>
    <n v="18"/>
    <n v="61.92"/>
  </r>
  <r>
    <n v="2047"/>
    <x v="5"/>
    <x v="4"/>
    <x v="5"/>
    <s v="Freshwater"/>
    <s v="2Freshwater"/>
    <s v="Salmon"/>
    <s v="788"/>
    <s v="Nooksack River"/>
    <s v="Nooksack River"/>
    <s v="Whatcom"/>
    <x v="1"/>
    <s v="Whatcom"/>
    <s v="01Whatcom"/>
    <s v="01North Puget Sound"/>
    <n v="18"/>
    <n v="61.92"/>
  </r>
  <r>
    <n v="2048"/>
    <x v="5"/>
    <x v="0"/>
    <x v="5"/>
    <s v="Freshwater"/>
    <s v="2Freshwater"/>
    <s v="Salmon"/>
    <s v="802"/>
    <s v="Carbon River"/>
    <s v="Carbon River"/>
    <s v="Pierce"/>
    <x v="0"/>
    <s v="Pierce"/>
    <s v="07Pierce"/>
    <s v="02South Puget Sound"/>
    <n v="27"/>
    <n v="92.88"/>
  </r>
  <r>
    <n v="2049"/>
    <x v="5"/>
    <x v="1"/>
    <x v="5"/>
    <s v="Freshwater"/>
    <s v="2Freshwater"/>
    <s v="Salmon"/>
    <s v="802"/>
    <s v="Carbon River"/>
    <s v="Carbon River"/>
    <s v="Pierce"/>
    <x v="0"/>
    <s v="King"/>
    <s v="06King"/>
    <s v="02South Puget Sound"/>
    <n v="1513.9243498818"/>
    <n v="5207.899763593392"/>
  </r>
  <r>
    <n v="2050"/>
    <x v="5"/>
    <x v="1"/>
    <x v="5"/>
    <s v="Freshwater"/>
    <s v="2Freshwater"/>
    <s v="Salmon"/>
    <s v="802"/>
    <s v="Carbon River"/>
    <s v="Carbon River"/>
    <s v="Pierce"/>
    <x v="0"/>
    <s v="Kitsap"/>
    <s v="10Kitsap"/>
    <s v="02South Puget Sound"/>
    <n v="53.4326241134752"/>
    <n v="183.80822695035468"/>
  </r>
  <r>
    <n v="2051"/>
    <x v="5"/>
    <x v="1"/>
    <x v="5"/>
    <s v="Freshwater"/>
    <s v="2Freshwater"/>
    <s v="Salmon"/>
    <s v="802"/>
    <s v="Carbon River"/>
    <s v="Carbon River"/>
    <s v="Pierce"/>
    <x v="0"/>
    <s v="Mason"/>
    <s v="09Mason"/>
    <s v="02South Puget Sound"/>
    <n v="89.054373522458704"/>
    <n v="306.34704491725796"/>
  </r>
  <r>
    <n v="2052"/>
    <x v="5"/>
    <x v="1"/>
    <x v="5"/>
    <s v="Freshwater"/>
    <s v="2Freshwater"/>
    <s v="Salmon"/>
    <s v="802"/>
    <s v="Carbon River"/>
    <s v="Carbon River"/>
    <s v="Pierce"/>
    <x v="0"/>
    <s v="Other"/>
    <s v="20Other"/>
    <s v="07Non Puget Sound"/>
    <n v="391.83924349881801"/>
    <n v="1347.926997635934"/>
  </r>
  <r>
    <n v="2053"/>
    <x v="5"/>
    <x v="1"/>
    <x v="5"/>
    <s v="Freshwater"/>
    <s v="2Freshwater"/>
    <s v="Salmon"/>
    <s v="802"/>
    <s v="Carbon River"/>
    <s v="Carbon River"/>
    <s v="Pierce"/>
    <x v="0"/>
    <s v="Pierce"/>
    <s v="07Pierce"/>
    <s v="02South Puget Sound"/>
    <n v="5369.9787234042597"/>
    <n v="18472.726808510652"/>
  </r>
  <r>
    <n v="2054"/>
    <x v="5"/>
    <x v="1"/>
    <x v="5"/>
    <s v="Freshwater"/>
    <s v="2Freshwater"/>
    <s v="Salmon"/>
    <s v="802"/>
    <s v="Carbon River"/>
    <s v="Carbon River"/>
    <s v="Pierce"/>
    <x v="0"/>
    <s v="Skagit"/>
    <s v="02Skagit"/>
    <s v="01North Puget Sound"/>
    <n v="8.9054373522458601"/>
    <n v="30.63470449172576"/>
  </r>
  <r>
    <n v="2055"/>
    <x v="5"/>
    <x v="1"/>
    <x v="5"/>
    <s v="Freshwater"/>
    <s v="2Freshwater"/>
    <s v="Salmon"/>
    <s v="802"/>
    <s v="Carbon River"/>
    <s v="Carbon River"/>
    <s v="Pierce"/>
    <x v="0"/>
    <s v="Snohomish"/>
    <s v="03Snohomish"/>
    <s v="01North Puget Sound"/>
    <n v="71.243498817966895"/>
    <n v="245.07763593380611"/>
  </r>
  <r>
    <n v="2056"/>
    <x v="5"/>
    <x v="1"/>
    <x v="5"/>
    <s v="Freshwater"/>
    <s v="2Freshwater"/>
    <s v="Salmon"/>
    <s v="802"/>
    <s v="Carbon River"/>
    <s v="Carbon River"/>
    <s v="Pierce"/>
    <x v="0"/>
    <s v="Thurston"/>
    <s v="08Thurston"/>
    <s v="02South Puget Sound"/>
    <n v="35.621749408983497"/>
    <n v="122.53881796690322"/>
  </r>
  <r>
    <n v="2057"/>
    <x v="5"/>
    <x v="2"/>
    <x v="5"/>
    <s v="Freshwater"/>
    <s v="2Freshwater"/>
    <s v="Salmon"/>
    <s v="802"/>
    <s v="Carbon River"/>
    <s v="Carbon River"/>
    <s v="Pierce"/>
    <x v="0"/>
    <s v="King"/>
    <s v="06King"/>
    <s v="02South Puget Sound"/>
    <n v="195.94505494505501"/>
    <n v="674.05098901098916"/>
  </r>
  <r>
    <n v="2058"/>
    <x v="5"/>
    <x v="2"/>
    <x v="5"/>
    <s v="Freshwater"/>
    <s v="2Freshwater"/>
    <s v="Salmon"/>
    <s v="802"/>
    <s v="Carbon River"/>
    <s v="Carbon River"/>
    <s v="Pierce"/>
    <x v="0"/>
    <s v="Kitsap"/>
    <s v="10Kitsap"/>
    <s v="02South Puget Sound"/>
    <n v="8.9065934065934105"/>
    <n v="30.638681318681332"/>
  </r>
  <r>
    <n v="2059"/>
    <x v="5"/>
    <x v="2"/>
    <x v="5"/>
    <s v="Freshwater"/>
    <s v="2Freshwater"/>
    <s v="Salmon"/>
    <s v="802"/>
    <s v="Carbon River"/>
    <s v="Carbon River"/>
    <s v="Pierce"/>
    <x v="0"/>
    <s v="Mason"/>
    <s v="09Mason"/>
    <s v="02South Puget Sound"/>
    <n v="44.532967032967001"/>
    <n v="153.19340659340648"/>
  </r>
  <r>
    <n v="2060"/>
    <x v="5"/>
    <x v="2"/>
    <x v="5"/>
    <s v="Freshwater"/>
    <s v="2Freshwater"/>
    <s v="Salmon"/>
    <s v="802"/>
    <s v="Carbon River"/>
    <s v="Carbon River"/>
    <s v="Pierce"/>
    <x v="0"/>
    <s v="Other"/>
    <s v="20Other"/>
    <s v="07Non Puget Sound"/>
    <n v="26.719780219780201"/>
    <n v="91.916043956043893"/>
  </r>
  <r>
    <n v="2061"/>
    <x v="5"/>
    <x v="2"/>
    <x v="5"/>
    <s v="Freshwater"/>
    <s v="2Freshwater"/>
    <s v="Salmon"/>
    <s v="802"/>
    <s v="Carbon River"/>
    <s v="Carbon River"/>
    <s v="Pierce"/>
    <x v="0"/>
    <s v="Pierce"/>
    <s v="07Pierce"/>
    <s v="02South Puget Sound"/>
    <n v="1344.8956043956"/>
    <n v="4626.4408791208643"/>
  </r>
  <r>
    <n v="2062"/>
    <x v="5"/>
    <x v="3"/>
    <x v="5"/>
    <s v="Freshwater"/>
    <s v="2Freshwater"/>
    <s v="Salmon"/>
    <s v="802"/>
    <s v="Carbon River"/>
    <s v="Carbon River"/>
    <s v="Pierce"/>
    <x v="0"/>
    <s v="Pierce"/>
    <s v="07Pierce"/>
    <s v="02South Puget Sound"/>
    <n v="9"/>
    <n v="30.96"/>
  </r>
  <r>
    <n v="2063"/>
    <x v="5"/>
    <x v="5"/>
    <x v="5"/>
    <s v="Freshwater"/>
    <s v="2Freshwater"/>
    <s v="Salmon"/>
    <s v="804"/>
    <s v="Puyallup River"/>
    <s v="Puyallup River"/>
    <s v="Pierce"/>
    <x v="0"/>
    <s v="King"/>
    <s v="06King"/>
    <s v="02South Puget Sound"/>
    <n v="54"/>
    <n v="185.76"/>
  </r>
  <r>
    <n v="2064"/>
    <x v="5"/>
    <x v="5"/>
    <x v="5"/>
    <s v="Freshwater"/>
    <s v="2Freshwater"/>
    <s v="Salmon"/>
    <s v="804"/>
    <s v="Puyallup River"/>
    <s v="Puyallup River"/>
    <s v="Pierce"/>
    <x v="0"/>
    <s v="Kitsap"/>
    <s v="10Kitsap"/>
    <s v="02South Puget Sound"/>
    <n v="18"/>
    <n v="61.92"/>
  </r>
  <r>
    <n v="2065"/>
    <x v="5"/>
    <x v="5"/>
    <x v="5"/>
    <s v="Freshwater"/>
    <s v="2Freshwater"/>
    <s v="Salmon"/>
    <s v="804"/>
    <s v="Puyallup River"/>
    <s v="Puyallup River"/>
    <s v="Pierce"/>
    <x v="0"/>
    <s v="Pierce"/>
    <s v="07Pierce"/>
    <s v="02South Puget Sound"/>
    <n v="144"/>
    <n v="495.36"/>
  </r>
  <r>
    <n v="2066"/>
    <x v="5"/>
    <x v="0"/>
    <x v="5"/>
    <s v="Freshwater"/>
    <s v="2Freshwater"/>
    <s v="Salmon"/>
    <s v="804"/>
    <s v="Puyallup River"/>
    <s v="Puyallup River"/>
    <s v="Pierce"/>
    <x v="0"/>
    <s v="King"/>
    <s v="06King"/>
    <s v="02South Puget Sound"/>
    <n v="20995.555044111999"/>
    <n v="72224.709351745274"/>
  </r>
  <r>
    <n v="2067"/>
    <x v="5"/>
    <x v="0"/>
    <x v="5"/>
    <s v="Freshwater"/>
    <s v="2Freshwater"/>
    <s v="Salmon"/>
    <s v="804"/>
    <s v="Puyallup River"/>
    <s v="Puyallup River"/>
    <s v="Pierce"/>
    <x v="0"/>
    <s v="Kitsap"/>
    <s v="10Kitsap"/>
    <s v="02South Puget Sound"/>
    <n v="1718.1452499680399"/>
    <n v="5910.4196598900571"/>
  </r>
  <r>
    <n v="2068"/>
    <x v="5"/>
    <x v="0"/>
    <x v="5"/>
    <s v="Freshwater"/>
    <s v="2Freshwater"/>
    <s v="Salmon"/>
    <s v="804"/>
    <s v="Puyallup River"/>
    <s v="Puyallup River"/>
    <s v="Pierce"/>
    <x v="0"/>
    <s v="Mason"/>
    <s v="09Mason"/>
    <s v="02South Puget Sound"/>
    <n v="404.79861910241698"/>
    <n v="1392.5072497123144"/>
  </r>
  <r>
    <n v="2069"/>
    <x v="5"/>
    <x v="0"/>
    <x v="5"/>
    <s v="Freshwater"/>
    <s v="2Freshwater"/>
    <s v="Salmon"/>
    <s v="804"/>
    <s v="Puyallup River"/>
    <s v="Puyallup River"/>
    <s v="Pierce"/>
    <x v="0"/>
    <s v="Other"/>
    <s v="20Other"/>
    <s v="07Non Puget Sound"/>
    <n v="3751.1338703490601"/>
    <n v="12903.900514000767"/>
  </r>
  <r>
    <n v="2070"/>
    <x v="5"/>
    <x v="0"/>
    <x v="5"/>
    <s v="Freshwater"/>
    <s v="2Freshwater"/>
    <s v="Salmon"/>
    <s v="804"/>
    <s v="Puyallup River"/>
    <s v="Puyallup River"/>
    <s v="Pierce"/>
    <x v="0"/>
    <s v="Pierce"/>
    <s v="07Pierce"/>
    <s v="02South Puget Sound"/>
    <n v="39103.546605293501"/>
    <n v="134516.20032220965"/>
  </r>
  <r>
    <n v="2071"/>
    <x v="5"/>
    <x v="0"/>
    <x v="5"/>
    <s v="Freshwater"/>
    <s v="2Freshwater"/>
    <s v="Salmon"/>
    <s v="804"/>
    <s v="Puyallup River"/>
    <s v="Puyallup River"/>
    <s v="Pierce"/>
    <x v="0"/>
    <s v="Skagit"/>
    <s v="02Skagit"/>
    <s v="01North Puget Sound"/>
    <n v="242.87917146145"/>
    <n v="835.50434982738795"/>
  </r>
  <r>
    <n v="2072"/>
    <x v="5"/>
    <x v="0"/>
    <x v="5"/>
    <s v="Freshwater"/>
    <s v="2Freshwater"/>
    <s v="Salmon"/>
    <s v="804"/>
    <s v="Puyallup River"/>
    <s v="Puyallup River"/>
    <s v="Pierce"/>
    <x v="0"/>
    <s v="Snohomish"/>
    <s v="03Snohomish"/>
    <s v="01North Puget Sound"/>
    <n v="422.789668840302"/>
    <n v="1454.3964608106389"/>
  </r>
  <r>
    <n v="2073"/>
    <x v="5"/>
    <x v="0"/>
    <x v="5"/>
    <s v="Freshwater"/>
    <s v="2Freshwater"/>
    <s v="Salmon"/>
    <s v="804"/>
    <s v="Puyallup River"/>
    <s v="Puyallup River"/>
    <s v="Pierce"/>
    <x v="0"/>
    <s v="Thurston"/>
    <s v="08Thurston"/>
    <s v="02South Puget Sound"/>
    <n v="3715.1517708732899"/>
    <n v="12780.122091804116"/>
  </r>
  <r>
    <n v="2074"/>
    <x v="5"/>
    <x v="1"/>
    <x v="5"/>
    <s v="Freshwater"/>
    <s v="2Freshwater"/>
    <s v="Salmon"/>
    <s v="804"/>
    <s v="Puyallup River"/>
    <s v="Puyallup River"/>
    <s v="Pierce"/>
    <x v="0"/>
    <s v="King"/>
    <s v="06King"/>
    <s v="02South Puget Sound"/>
    <n v="8374.4202389318398"/>
    <n v="28808.005621925528"/>
  </r>
  <r>
    <n v="2075"/>
    <x v="5"/>
    <x v="1"/>
    <x v="5"/>
    <s v="Freshwater"/>
    <s v="2Freshwater"/>
    <s v="Salmon"/>
    <s v="804"/>
    <s v="Puyallup River"/>
    <s v="Puyallup River"/>
    <s v="Pierce"/>
    <x v="0"/>
    <s v="Kitsap"/>
    <s v="10Kitsap"/>
    <s v="02South Puget Sound"/>
    <n v="440.75895994378101"/>
    <n v="1516.2108222066067"/>
  </r>
  <r>
    <n v="2076"/>
    <x v="5"/>
    <x v="1"/>
    <x v="5"/>
    <s v="Freshwater"/>
    <s v="2Freshwater"/>
    <s v="Salmon"/>
    <s v="804"/>
    <s v="Puyallup River"/>
    <s v="Puyallup River"/>
    <s v="Pierce"/>
    <x v="0"/>
    <s v="Mason"/>
    <s v="09Mason"/>
    <s v="02South Puget Sound"/>
    <n v="170.90653548840501"/>
    <n v="587.91848208011322"/>
  </r>
  <r>
    <n v="2077"/>
    <x v="5"/>
    <x v="1"/>
    <x v="5"/>
    <s v="Freshwater"/>
    <s v="2Freshwater"/>
    <s v="Salmon"/>
    <s v="804"/>
    <s v="Puyallup River"/>
    <s v="Puyallup River"/>
    <s v="Pierce"/>
    <x v="0"/>
    <s v="Other"/>
    <s v="20Other"/>
    <s v="07Non Puget Sound"/>
    <n v="1628.1096275474399"/>
    <n v="5600.6971187631934"/>
  </r>
  <r>
    <n v="2078"/>
    <x v="5"/>
    <x v="1"/>
    <x v="5"/>
    <s v="Freshwater"/>
    <s v="2Freshwater"/>
    <s v="Salmon"/>
    <s v="804"/>
    <s v="Puyallup River"/>
    <s v="Puyallup River"/>
    <s v="Pierce"/>
    <x v="0"/>
    <s v="Pierce"/>
    <s v="07Pierce"/>
    <s v="02South Puget Sound"/>
    <n v="13654.532677441999"/>
    <n v="46971.592410400473"/>
  </r>
  <r>
    <n v="2079"/>
    <x v="5"/>
    <x v="1"/>
    <x v="5"/>
    <s v="Freshwater"/>
    <s v="2Freshwater"/>
    <s v="Salmon"/>
    <s v="804"/>
    <s v="Puyallup River"/>
    <s v="Puyallup River"/>
    <s v="Pierce"/>
    <x v="0"/>
    <s v="Snohomish"/>
    <s v="03Snohomish"/>
    <s v="01North Puget Sound"/>
    <n v="242.86718200983799"/>
    <n v="835.46310611384263"/>
  </r>
  <r>
    <n v="2080"/>
    <x v="5"/>
    <x v="1"/>
    <x v="5"/>
    <s v="Freshwater"/>
    <s v="2Freshwater"/>
    <s v="Salmon"/>
    <s v="804"/>
    <s v="Puyallup River"/>
    <s v="Puyallup River"/>
    <s v="Pierce"/>
    <x v="0"/>
    <s v="Thurston"/>
    <s v="08Thurston"/>
    <s v="02South Puget Sound"/>
    <n v="1088.40477863668"/>
    <n v="3744.1124385101793"/>
  </r>
  <r>
    <n v="2081"/>
    <x v="5"/>
    <x v="2"/>
    <x v="5"/>
    <s v="Freshwater"/>
    <s v="2Freshwater"/>
    <s v="Salmon"/>
    <s v="804"/>
    <s v="Puyallup River"/>
    <s v="Puyallup River"/>
    <s v="Pierce"/>
    <x v="0"/>
    <s v="King"/>
    <s v="06King"/>
    <s v="02South Puget Sound"/>
    <n v="153.54255319148899"/>
    <n v="528.18638297872212"/>
  </r>
  <r>
    <n v="2082"/>
    <x v="5"/>
    <x v="2"/>
    <x v="5"/>
    <s v="Freshwater"/>
    <s v="2Freshwater"/>
    <s v="Salmon"/>
    <s v="804"/>
    <s v="Puyallup River"/>
    <s v="Puyallup River"/>
    <s v="Pierce"/>
    <x v="0"/>
    <s v="Pierce"/>
    <s v="07Pierce"/>
    <s v="02South Puget Sound"/>
    <n v="695.45744680851101"/>
    <n v="2392.3736170212778"/>
  </r>
  <r>
    <n v="2083"/>
    <x v="5"/>
    <x v="3"/>
    <x v="5"/>
    <s v="Freshwater"/>
    <s v="2Freshwater"/>
    <s v="Salmon"/>
    <s v="804"/>
    <s v="Puyallup River"/>
    <s v="Puyallup River"/>
    <s v="Pierce"/>
    <x v="0"/>
    <s v="Pierce"/>
    <s v="07Pierce"/>
    <s v="02South Puget Sound"/>
    <n v="19.1666666666667"/>
    <n v="65.933333333333451"/>
  </r>
  <r>
    <n v="2084"/>
    <x v="5"/>
    <x v="3"/>
    <x v="5"/>
    <s v="Freshwater"/>
    <s v="2Freshwater"/>
    <s v="Salmon"/>
    <s v="804"/>
    <s v="Puyallup River"/>
    <s v="Puyallup River"/>
    <s v="Pierce"/>
    <x v="0"/>
    <s v="Skagit"/>
    <s v="02Skagit"/>
    <s v="01North Puget Sound"/>
    <n v="19.1666666666667"/>
    <n v="65.933333333333451"/>
  </r>
  <r>
    <n v="2085"/>
    <x v="5"/>
    <x v="3"/>
    <x v="5"/>
    <s v="Freshwater"/>
    <s v="2Freshwater"/>
    <s v="Salmon"/>
    <s v="804"/>
    <s v="Puyallup River"/>
    <s v="Puyallup River"/>
    <s v="Pierce"/>
    <x v="0"/>
    <s v="Snohomish"/>
    <s v="03Snohomish"/>
    <s v="01North Puget Sound"/>
    <n v="76.6666666666667"/>
    <n v="263.73333333333346"/>
  </r>
  <r>
    <n v="2086"/>
    <x v="5"/>
    <x v="4"/>
    <x v="5"/>
    <s v="Freshwater"/>
    <s v="2Freshwater"/>
    <s v="Salmon"/>
    <s v="804"/>
    <s v="Puyallup River"/>
    <s v="Puyallup River"/>
    <s v="Pierce"/>
    <x v="0"/>
    <s v="Pierce"/>
    <s v="07Pierce"/>
    <s v="02South Puget Sound"/>
    <n v="19"/>
    <n v="65.36"/>
  </r>
  <r>
    <n v="2087"/>
    <x v="5"/>
    <x v="0"/>
    <x v="5"/>
    <s v="Freshwater"/>
    <s v="2Freshwater"/>
    <s v="Salmon"/>
    <s v="812"/>
    <s v="Quilcene River"/>
    <s v="Quilcene River"/>
    <s v="Jefferson"/>
    <x v="2"/>
    <s v="Pierce"/>
    <s v="07Pierce"/>
    <s v="02South Puget Sound"/>
    <n v="9"/>
    <n v="30.96"/>
  </r>
  <r>
    <n v="2088"/>
    <x v="5"/>
    <x v="1"/>
    <x v="5"/>
    <s v="Freshwater"/>
    <s v="2Freshwater"/>
    <s v="Salmon"/>
    <s v="812"/>
    <s v="Quilcene River"/>
    <s v="Quilcene River"/>
    <s v="Jefferson"/>
    <x v="2"/>
    <s v="Jefferson"/>
    <s v="12Jefferson"/>
    <s v="03Strait of Juan de Fuca"/>
    <n v="82.875"/>
    <n v="285.08999999999997"/>
  </r>
  <r>
    <n v="2089"/>
    <x v="5"/>
    <x v="1"/>
    <x v="5"/>
    <s v="Freshwater"/>
    <s v="2Freshwater"/>
    <s v="Salmon"/>
    <s v="812"/>
    <s v="Quilcene River"/>
    <s v="Quilcene River"/>
    <s v="Jefferson"/>
    <x v="2"/>
    <s v="King"/>
    <s v="06King"/>
    <s v="02South Puget Sound"/>
    <n v="73.6666666666667"/>
    <n v="253.41333333333344"/>
  </r>
  <r>
    <n v="2090"/>
    <x v="5"/>
    <x v="1"/>
    <x v="5"/>
    <s v="Freshwater"/>
    <s v="2Freshwater"/>
    <s v="Salmon"/>
    <s v="812"/>
    <s v="Quilcene River"/>
    <s v="Quilcene River"/>
    <s v="Jefferson"/>
    <x v="2"/>
    <s v="Kitsap"/>
    <s v="10Kitsap"/>
    <s v="02South Puget Sound"/>
    <n v="359.125"/>
    <n v="1235.3899999999999"/>
  </r>
  <r>
    <n v="2091"/>
    <x v="5"/>
    <x v="1"/>
    <x v="5"/>
    <s v="Freshwater"/>
    <s v="2Freshwater"/>
    <s v="Salmon"/>
    <s v="812"/>
    <s v="Quilcene River"/>
    <s v="Quilcene River"/>
    <s v="Jefferson"/>
    <x v="2"/>
    <s v="Other"/>
    <s v="20Other"/>
    <s v="07Non Puget Sound"/>
    <n v="110.5"/>
    <n v="380.12"/>
  </r>
  <r>
    <n v="2092"/>
    <x v="5"/>
    <x v="1"/>
    <x v="5"/>
    <s v="Freshwater"/>
    <s v="2Freshwater"/>
    <s v="Salmon"/>
    <s v="812"/>
    <s v="Quilcene River"/>
    <s v="Quilcene River"/>
    <s v="Jefferson"/>
    <x v="2"/>
    <s v="Pierce"/>
    <s v="07Pierce"/>
    <s v="02South Puget Sound"/>
    <n v="27.625"/>
    <n v="95.03"/>
  </r>
  <r>
    <n v="2093"/>
    <x v="5"/>
    <x v="1"/>
    <x v="5"/>
    <s v="Freshwater"/>
    <s v="2Freshwater"/>
    <s v="Salmon"/>
    <s v="812"/>
    <s v="Quilcene River"/>
    <s v="Quilcene River"/>
    <s v="Jefferson"/>
    <x v="2"/>
    <s v="Skagit"/>
    <s v="02Skagit"/>
    <s v="01North Puget Sound"/>
    <n v="9.2083333333333304"/>
    <n v="31.676666666666655"/>
  </r>
  <r>
    <n v="2094"/>
    <x v="5"/>
    <x v="2"/>
    <x v="5"/>
    <s v="Freshwater"/>
    <s v="2Freshwater"/>
    <s v="Salmon"/>
    <s v="812"/>
    <s v="Quilcene River"/>
    <s v="Quilcene River"/>
    <s v="Jefferson"/>
    <x v="2"/>
    <s v="Island"/>
    <s v="04Island"/>
    <s v="01North Puget Sound"/>
    <n v="9.25"/>
    <n v="31.82"/>
  </r>
  <r>
    <n v="2095"/>
    <x v="5"/>
    <x v="2"/>
    <x v="5"/>
    <s v="Freshwater"/>
    <s v="2Freshwater"/>
    <s v="Salmon"/>
    <s v="812"/>
    <s v="Quilcene River"/>
    <s v="Quilcene River"/>
    <s v="Jefferson"/>
    <x v="2"/>
    <s v="Jefferson"/>
    <s v="12Jefferson"/>
    <s v="03Strait of Juan de Fuca"/>
    <n v="37"/>
    <n v="127.28"/>
  </r>
  <r>
    <n v="2096"/>
    <x v="5"/>
    <x v="2"/>
    <x v="5"/>
    <s v="Freshwater"/>
    <s v="2Freshwater"/>
    <s v="Salmon"/>
    <s v="812"/>
    <s v="Quilcene River"/>
    <s v="Quilcene River"/>
    <s v="Jefferson"/>
    <x v="2"/>
    <s v="Kitsap"/>
    <s v="10Kitsap"/>
    <s v="02South Puget Sound"/>
    <n v="9.25"/>
    <n v="31.82"/>
  </r>
  <r>
    <n v="2097"/>
    <x v="5"/>
    <x v="2"/>
    <x v="5"/>
    <s v="Freshwater"/>
    <s v="2Freshwater"/>
    <s v="Salmon"/>
    <s v="812"/>
    <s v="Quilcene River"/>
    <s v="Quilcene River"/>
    <s v="Jefferson"/>
    <x v="2"/>
    <s v="Other"/>
    <s v="20Other"/>
    <s v="07Non Puget Sound"/>
    <n v="18.5"/>
    <n v="63.64"/>
  </r>
  <r>
    <n v="2098"/>
    <x v="5"/>
    <x v="0"/>
    <x v="5"/>
    <s v="Freshwater"/>
    <s v="2Freshwater"/>
    <s v="Salmon"/>
    <s v="816"/>
    <s v="Samish River"/>
    <s v="Samish River"/>
    <s v="Skagit"/>
    <x v="1"/>
    <s v="King"/>
    <s v="06King"/>
    <s v="02South Puget Sound"/>
    <n v="114.078651685393"/>
    <n v="392.43056179775192"/>
  </r>
  <r>
    <n v="2099"/>
    <x v="5"/>
    <x v="0"/>
    <x v="5"/>
    <s v="Freshwater"/>
    <s v="2Freshwater"/>
    <s v="Salmon"/>
    <s v="816"/>
    <s v="Samish River"/>
    <s v="Samish River"/>
    <s v="Skagit"/>
    <x v="1"/>
    <s v="Other"/>
    <s v="20Other"/>
    <s v="07Non Puget Sound"/>
    <n v="96.528089887640505"/>
    <n v="332.05662921348335"/>
  </r>
  <r>
    <n v="2100"/>
    <x v="5"/>
    <x v="0"/>
    <x v="5"/>
    <s v="Freshwater"/>
    <s v="2Freshwater"/>
    <s v="Salmon"/>
    <s v="816"/>
    <s v="Samish River"/>
    <s v="Samish River"/>
    <s v="Skagit"/>
    <x v="1"/>
    <s v="Skagit"/>
    <s v="02Skagit"/>
    <s v="01North Puget Sound"/>
    <n v="201.831460674157"/>
    <n v="694.30022471910002"/>
  </r>
  <r>
    <n v="2101"/>
    <x v="5"/>
    <x v="0"/>
    <x v="5"/>
    <s v="Freshwater"/>
    <s v="2Freshwater"/>
    <s v="Salmon"/>
    <s v="816"/>
    <s v="Samish River"/>
    <s v="Samish River"/>
    <s v="Skagit"/>
    <x v="1"/>
    <s v="Snohomish"/>
    <s v="03Snohomish"/>
    <s v="01North Puget Sound"/>
    <n v="219.38202247191001"/>
    <n v="754.67415730337041"/>
  </r>
  <r>
    <n v="2102"/>
    <x v="5"/>
    <x v="0"/>
    <x v="5"/>
    <s v="Freshwater"/>
    <s v="2Freshwater"/>
    <s v="Salmon"/>
    <s v="816"/>
    <s v="Samish River"/>
    <s v="Samish River"/>
    <s v="Skagit"/>
    <x v="1"/>
    <s v="Whatcom"/>
    <s v="01Whatcom"/>
    <s v="01North Puget Sound"/>
    <n v="149.17977528089901"/>
    <n v="513.17842696629259"/>
  </r>
  <r>
    <n v="2103"/>
    <x v="5"/>
    <x v="1"/>
    <x v="5"/>
    <s v="Freshwater"/>
    <s v="2Freshwater"/>
    <s v="Salmon"/>
    <s v="816"/>
    <s v="Samish River"/>
    <s v="Samish River"/>
    <s v="Skagit"/>
    <x v="1"/>
    <s v="Island"/>
    <s v="04Island"/>
    <s v="01North Puget Sound"/>
    <n v="131.59863945578201"/>
    <n v="452.6993197278901"/>
  </r>
  <r>
    <n v="2104"/>
    <x v="5"/>
    <x v="1"/>
    <x v="5"/>
    <s v="Freshwater"/>
    <s v="2Freshwater"/>
    <s v="Salmon"/>
    <s v="816"/>
    <s v="Samish River"/>
    <s v="Samish River"/>
    <s v="Skagit"/>
    <x v="1"/>
    <s v="King"/>
    <s v="06King"/>
    <s v="02South Puget Sound"/>
    <n v="456.20861678004502"/>
    <n v="1569.3576417233548"/>
  </r>
  <r>
    <n v="2105"/>
    <x v="5"/>
    <x v="1"/>
    <x v="5"/>
    <s v="Freshwater"/>
    <s v="2Freshwater"/>
    <s v="Salmon"/>
    <s v="816"/>
    <s v="Samish River"/>
    <s v="Samish River"/>
    <s v="Skagit"/>
    <x v="1"/>
    <s v="Other"/>
    <s v="20Other"/>
    <s v="07Non Puget Sound"/>
    <n v="228.10430839002299"/>
    <n v="784.67882086167913"/>
  </r>
  <r>
    <n v="2106"/>
    <x v="5"/>
    <x v="1"/>
    <x v="5"/>
    <s v="Freshwater"/>
    <s v="2Freshwater"/>
    <s v="Salmon"/>
    <s v="816"/>
    <s v="Samish River"/>
    <s v="Samish River"/>
    <s v="Skagit"/>
    <x v="1"/>
    <s v="Skagit"/>
    <s v="02Skagit"/>
    <s v="01North Puget Sound"/>
    <n v="991.37641723356001"/>
    <n v="3410.3348752834463"/>
  </r>
  <r>
    <n v="2107"/>
    <x v="5"/>
    <x v="1"/>
    <x v="5"/>
    <s v="Freshwater"/>
    <s v="2Freshwater"/>
    <s v="Salmon"/>
    <s v="816"/>
    <s v="Samish River"/>
    <s v="Samish River"/>
    <s v="Skagit"/>
    <x v="1"/>
    <s v="Snohomish"/>
    <s v="03Snohomish"/>
    <s v="01North Puget Sound"/>
    <n v="1430.0385487528299"/>
    <n v="4919.3326077097345"/>
  </r>
  <r>
    <n v="2108"/>
    <x v="5"/>
    <x v="1"/>
    <x v="5"/>
    <s v="Freshwater"/>
    <s v="2Freshwater"/>
    <s v="Salmon"/>
    <s v="816"/>
    <s v="Samish River"/>
    <s v="Samish River"/>
    <s v="Skagit"/>
    <x v="1"/>
    <s v="Whatcom"/>
    <s v="01Whatcom"/>
    <s v="01North Puget Sound"/>
    <n v="631.67346938775495"/>
    <n v="2172.956734693877"/>
  </r>
  <r>
    <n v="2109"/>
    <x v="5"/>
    <x v="2"/>
    <x v="5"/>
    <s v="Freshwater"/>
    <s v="2Freshwater"/>
    <s v="Salmon"/>
    <s v="816"/>
    <s v="Samish River"/>
    <s v="Samish River"/>
    <s v="Skagit"/>
    <x v="1"/>
    <s v="Island"/>
    <s v="04Island"/>
    <s v="01North Puget Sound"/>
    <n v="26.3239436619718"/>
    <n v="90.554366197182986"/>
  </r>
  <r>
    <n v="2110"/>
    <x v="5"/>
    <x v="2"/>
    <x v="5"/>
    <s v="Freshwater"/>
    <s v="2Freshwater"/>
    <s v="Salmon"/>
    <s v="816"/>
    <s v="Samish River"/>
    <s v="Samish River"/>
    <s v="Skagit"/>
    <x v="1"/>
    <s v="Jefferson"/>
    <s v="12Jefferson"/>
    <s v="03Strait of Juan de Fuca"/>
    <n v="17.549295774647899"/>
    <n v="60.369577464788769"/>
  </r>
  <r>
    <n v="2111"/>
    <x v="5"/>
    <x v="2"/>
    <x v="5"/>
    <s v="Freshwater"/>
    <s v="2Freshwater"/>
    <s v="Salmon"/>
    <s v="816"/>
    <s v="Samish River"/>
    <s v="Samish River"/>
    <s v="Skagit"/>
    <x v="1"/>
    <s v="King"/>
    <s v="06King"/>
    <s v="02South Puget Sound"/>
    <n v="96.521126760563405"/>
    <n v="332.03267605633812"/>
  </r>
  <r>
    <n v="2112"/>
    <x v="5"/>
    <x v="2"/>
    <x v="5"/>
    <s v="Freshwater"/>
    <s v="2Freshwater"/>
    <s v="Salmon"/>
    <s v="816"/>
    <s v="Samish River"/>
    <s v="Samish River"/>
    <s v="Skagit"/>
    <x v="1"/>
    <s v="Skagit"/>
    <s v="02Skagit"/>
    <s v="01North Puget Sound"/>
    <n v="307.11267605633799"/>
    <n v="1056.4676056338026"/>
  </r>
  <r>
    <n v="2113"/>
    <x v="5"/>
    <x v="2"/>
    <x v="5"/>
    <s v="Freshwater"/>
    <s v="2Freshwater"/>
    <s v="Salmon"/>
    <s v="816"/>
    <s v="Samish River"/>
    <s v="Samish River"/>
    <s v="Skagit"/>
    <x v="1"/>
    <s v="Snohomish"/>
    <s v="03Snohomish"/>
    <s v="01North Puget Sound"/>
    <n v="666.87323943662"/>
    <n v="2294.0439436619727"/>
  </r>
  <r>
    <n v="2114"/>
    <x v="5"/>
    <x v="2"/>
    <x v="5"/>
    <s v="Freshwater"/>
    <s v="2Freshwater"/>
    <s v="Salmon"/>
    <s v="816"/>
    <s v="Samish River"/>
    <s v="Samish River"/>
    <s v="Skagit"/>
    <x v="1"/>
    <s v="Whatcom"/>
    <s v="01Whatcom"/>
    <s v="01North Puget Sound"/>
    <n v="131.619718309859"/>
    <n v="452.77183098591496"/>
  </r>
  <r>
    <n v="2115"/>
    <x v="5"/>
    <x v="5"/>
    <x v="5"/>
    <s v="Freshwater"/>
    <s v="2Freshwater"/>
    <s v="Salmon"/>
    <s v="825"/>
    <s v="Baker Lake"/>
    <s v="Baker Lake"/>
    <s v="Whatcom"/>
    <x v="1"/>
    <s v="Clallam"/>
    <s v="11Clallam"/>
    <s v="03Strait of Juan de Fuca"/>
    <n v="35.369127516778498"/>
    <n v="121.66979865771803"/>
  </r>
  <r>
    <n v="2116"/>
    <x v="5"/>
    <x v="5"/>
    <x v="5"/>
    <s v="Freshwater"/>
    <s v="2Freshwater"/>
    <s v="Salmon"/>
    <s v="825"/>
    <s v="Baker Lake"/>
    <s v="Baker Lake"/>
    <s v="Whatcom"/>
    <x v="1"/>
    <s v="Island"/>
    <s v="04Island"/>
    <s v="01North Puget Sound"/>
    <n v="291.795302013423"/>
    <n v="1003.7758389261751"/>
  </r>
  <r>
    <n v="2117"/>
    <x v="5"/>
    <x v="5"/>
    <x v="5"/>
    <s v="Freshwater"/>
    <s v="2Freshwater"/>
    <s v="Salmon"/>
    <s v="825"/>
    <s v="Baker Lake"/>
    <s v="Baker Lake"/>
    <s v="Whatcom"/>
    <x v="1"/>
    <s v="King"/>
    <s v="06King"/>
    <s v="02South Puget Sound"/>
    <n v="645.48657718120796"/>
    <n v="2220.4738255033553"/>
  </r>
  <r>
    <n v="2118"/>
    <x v="5"/>
    <x v="5"/>
    <x v="5"/>
    <s v="Freshwater"/>
    <s v="2Freshwater"/>
    <s v="Salmon"/>
    <s v="825"/>
    <s v="Baker Lake"/>
    <s v="Baker Lake"/>
    <s v="Whatcom"/>
    <x v="1"/>
    <s v="Mason"/>
    <s v="09Mason"/>
    <s v="02South Puget Sound"/>
    <n v="8.8422818791946298"/>
    <n v="30.417449664429526"/>
  </r>
  <r>
    <n v="2119"/>
    <x v="5"/>
    <x v="5"/>
    <x v="5"/>
    <s v="Freshwater"/>
    <s v="2Freshwater"/>
    <s v="Salmon"/>
    <s v="825"/>
    <s v="Baker Lake"/>
    <s v="Baker Lake"/>
    <s v="Whatcom"/>
    <x v="1"/>
    <s v="Other"/>
    <s v="20Other"/>
    <s v="07Non Puget Sound"/>
    <n v="663.17114093959697"/>
    <n v="2281.3087248322136"/>
  </r>
  <r>
    <n v="2120"/>
    <x v="5"/>
    <x v="5"/>
    <x v="5"/>
    <s v="Freshwater"/>
    <s v="2Freshwater"/>
    <s v="Salmon"/>
    <s v="825"/>
    <s v="Baker Lake"/>
    <s v="Baker Lake"/>
    <s v="Whatcom"/>
    <x v="1"/>
    <s v="Pierce"/>
    <s v="07Pierce"/>
    <s v="02South Puget Sound"/>
    <n v="318.32214765100701"/>
    <n v="1095.028187919464"/>
  </r>
  <r>
    <n v="2121"/>
    <x v="5"/>
    <x v="5"/>
    <x v="5"/>
    <s v="Freshwater"/>
    <s v="2Freshwater"/>
    <s v="Salmon"/>
    <s v="825"/>
    <s v="Baker Lake"/>
    <s v="Baker Lake"/>
    <s v="Whatcom"/>
    <x v="1"/>
    <s v="Skagit"/>
    <s v="02Skagit"/>
    <s v="01North Puget Sound"/>
    <n v="1954.1442953020101"/>
    <n v="6722.2563758389142"/>
  </r>
  <r>
    <n v="2122"/>
    <x v="5"/>
    <x v="5"/>
    <x v="5"/>
    <s v="Freshwater"/>
    <s v="2Freshwater"/>
    <s v="Salmon"/>
    <s v="825"/>
    <s v="Baker Lake"/>
    <s v="Baker Lake"/>
    <s v="Whatcom"/>
    <x v="1"/>
    <s v="Snohomish"/>
    <s v="03Snohomish"/>
    <s v="01North Puget Sound"/>
    <n v="2564.2617449664399"/>
    <n v="8821.060402684554"/>
  </r>
  <r>
    <n v="2123"/>
    <x v="5"/>
    <x v="5"/>
    <x v="5"/>
    <s v="Freshwater"/>
    <s v="2Freshwater"/>
    <s v="Salmon"/>
    <s v="825"/>
    <s v="Baker Lake"/>
    <s v="Baker Lake"/>
    <s v="Whatcom"/>
    <x v="1"/>
    <s v="Thurston"/>
    <s v="08Thurston"/>
    <s v="02South Puget Sound"/>
    <n v="8.8422818791946298"/>
    <n v="30.417449664429526"/>
  </r>
  <r>
    <n v="2124"/>
    <x v="5"/>
    <x v="5"/>
    <x v="5"/>
    <s v="Freshwater"/>
    <s v="2Freshwater"/>
    <s v="Salmon"/>
    <s v="825"/>
    <s v="Baker Lake"/>
    <s v="Baker Lake"/>
    <s v="Whatcom"/>
    <x v="1"/>
    <s v="Whatcom"/>
    <s v="01Whatcom"/>
    <s v="01North Puget Sound"/>
    <n v="1414.7651006711401"/>
    <n v="4866.7919463087219"/>
  </r>
  <r>
    <n v="2125"/>
    <x v="5"/>
    <x v="0"/>
    <x v="5"/>
    <s v="Freshwater"/>
    <s v="2Freshwater"/>
    <s v="Salmon"/>
    <s v="825"/>
    <s v="Baker Lake"/>
    <s v="Baker Lake"/>
    <s v="Whatcom"/>
    <x v="1"/>
    <s v="Island"/>
    <s v="04Island"/>
    <s v="01North Puget Sound"/>
    <n v="97.2510460251046"/>
    <n v="334.54359832635981"/>
  </r>
  <r>
    <n v="2126"/>
    <x v="5"/>
    <x v="0"/>
    <x v="5"/>
    <s v="Freshwater"/>
    <s v="2Freshwater"/>
    <s v="Salmon"/>
    <s v="825"/>
    <s v="Baker Lake"/>
    <s v="Baker Lake"/>
    <s v="Whatcom"/>
    <x v="1"/>
    <s v="King"/>
    <s v="06King"/>
    <s v="02South Puget Sound"/>
    <n v="88.410041841004201"/>
    <n v="304.13054393305447"/>
  </r>
  <r>
    <n v="2127"/>
    <x v="5"/>
    <x v="0"/>
    <x v="5"/>
    <s v="Freshwater"/>
    <s v="2Freshwater"/>
    <s v="Salmon"/>
    <s v="825"/>
    <s v="Baker Lake"/>
    <s v="Baker Lake"/>
    <s v="Whatcom"/>
    <x v="1"/>
    <s v="Other"/>
    <s v="20Other"/>
    <s v="07Non Puget Sound"/>
    <n v="150.29707112970701"/>
    <n v="517.02192468619205"/>
  </r>
  <r>
    <n v="2128"/>
    <x v="5"/>
    <x v="0"/>
    <x v="5"/>
    <s v="Freshwater"/>
    <s v="2Freshwater"/>
    <s v="Salmon"/>
    <s v="825"/>
    <s v="Baker Lake"/>
    <s v="Baker Lake"/>
    <s v="Whatcom"/>
    <x v="1"/>
    <s v="Skagit"/>
    <s v="02Skagit"/>
    <s v="01North Puget Sound"/>
    <n v="618.870292887029"/>
    <n v="2128.9138075313799"/>
  </r>
  <r>
    <n v="2129"/>
    <x v="5"/>
    <x v="0"/>
    <x v="5"/>
    <s v="Freshwater"/>
    <s v="2Freshwater"/>
    <s v="Salmon"/>
    <s v="825"/>
    <s v="Baker Lake"/>
    <s v="Baker Lake"/>
    <s v="Whatcom"/>
    <x v="1"/>
    <s v="Snohomish"/>
    <s v="03Snohomish"/>
    <s v="01North Puget Sound"/>
    <n v="875.25941422594201"/>
    <n v="3010.8923849372404"/>
  </r>
  <r>
    <n v="2130"/>
    <x v="5"/>
    <x v="0"/>
    <x v="5"/>
    <s v="Freshwater"/>
    <s v="2Freshwater"/>
    <s v="Salmon"/>
    <s v="825"/>
    <s v="Baker Lake"/>
    <s v="Baker Lake"/>
    <s v="Whatcom"/>
    <x v="1"/>
    <s v="Whatcom"/>
    <s v="01Whatcom"/>
    <s v="01North Puget Sound"/>
    <n v="282.91213389121299"/>
    <n v="973.21774058577262"/>
  </r>
  <r>
    <n v="2131"/>
    <x v="5"/>
    <x v="1"/>
    <x v="5"/>
    <s v="Freshwater"/>
    <s v="2Freshwater"/>
    <s v="Salmon"/>
    <s v="825"/>
    <s v="Baker Lake"/>
    <s v="Baker Lake"/>
    <s v="Whatcom"/>
    <x v="1"/>
    <s v="Skagit"/>
    <s v="02Skagit"/>
    <s v="01North Puget Sound"/>
    <n v="62"/>
    <n v="213.28"/>
  </r>
  <r>
    <n v="2132"/>
    <x v="5"/>
    <x v="7"/>
    <x v="5"/>
    <s v="Freshwater"/>
    <s v="2Freshwater"/>
    <s v="Salmon"/>
    <s v="826"/>
    <s v="Cascade River"/>
    <s v="Cascade River"/>
    <s v="Skagit"/>
    <x v="1"/>
    <s v="Skagit"/>
    <s v="02Skagit"/>
    <s v="01North Puget Sound"/>
    <n v="9"/>
    <n v="30.96"/>
  </r>
  <r>
    <n v="2133"/>
    <x v="5"/>
    <x v="1"/>
    <x v="5"/>
    <s v="Freshwater"/>
    <s v="2Freshwater"/>
    <s v="Salmon"/>
    <s v="826"/>
    <s v="Cascade River"/>
    <s v="Cascade River"/>
    <s v="Skagit"/>
    <x v="1"/>
    <s v="Skagit"/>
    <s v="02Skagit"/>
    <s v="01North Puget Sound"/>
    <n v="8.8000000000000007"/>
    <n v="30.272000000000002"/>
  </r>
  <r>
    <n v="2134"/>
    <x v="5"/>
    <x v="1"/>
    <x v="5"/>
    <s v="Freshwater"/>
    <s v="2Freshwater"/>
    <s v="Salmon"/>
    <s v="826"/>
    <s v="Cascade River"/>
    <s v="Cascade River"/>
    <s v="Skagit"/>
    <x v="1"/>
    <s v="Snohomish"/>
    <s v="03Snohomish"/>
    <s v="01North Puget Sound"/>
    <n v="35.200000000000003"/>
    <n v="121.08800000000001"/>
  </r>
  <r>
    <n v="2135"/>
    <x v="5"/>
    <x v="2"/>
    <x v="5"/>
    <s v="Freshwater"/>
    <s v="2Freshwater"/>
    <s v="Salmon"/>
    <s v="826"/>
    <s v="Cascade River"/>
    <s v="Cascade River"/>
    <s v="Skagit"/>
    <x v="1"/>
    <s v="Island"/>
    <s v="04Island"/>
    <s v="01North Puget Sound"/>
    <n v="96.684210526315795"/>
    <n v="332.59368421052631"/>
  </r>
  <r>
    <n v="2136"/>
    <x v="5"/>
    <x v="2"/>
    <x v="5"/>
    <s v="Freshwater"/>
    <s v="2Freshwater"/>
    <s v="Salmon"/>
    <s v="826"/>
    <s v="Cascade River"/>
    <s v="Cascade River"/>
    <s v="Skagit"/>
    <x v="1"/>
    <s v="King"/>
    <s v="06King"/>
    <s v="02South Puget Sound"/>
    <n v="26.3684210526316"/>
    <n v="90.707368421052706"/>
  </r>
  <r>
    <n v="2137"/>
    <x v="5"/>
    <x v="2"/>
    <x v="5"/>
    <s v="Freshwater"/>
    <s v="2Freshwater"/>
    <s v="Salmon"/>
    <s v="826"/>
    <s v="Cascade River"/>
    <s v="Cascade River"/>
    <s v="Skagit"/>
    <x v="1"/>
    <s v="Skagit"/>
    <s v="02Skagit"/>
    <s v="01North Puget Sound"/>
    <n v="96.684210526315795"/>
    <n v="332.59368421052631"/>
  </r>
  <r>
    <n v="2138"/>
    <x v="5"/>
    <x v="2"/>
    <x v="5"/>
    <s v="Freshwater"/>
    <s v="2Freshwater"/>
    <s v="Salmon"/>
    <s v="826"/>
    <s v="Cascade River"/>
    <s v="Cascade River"/>
    <s v="Skagit"/>
    <x v="1"/>
    <s v="Snohomish"/>
    <s v="03Snohomish"/>
    <s v="01North Puget Sound"/>
    <n v="114.26315789473701"/>
    <n v="393.06526315789529"/>
  </r>
  <r>
    <n v="2139"/>
    <x v="5"/>
    <x v="3"/>
    <x v="5"/>
    <s v="Freshwater"/>
    <s v="2Freshwater"/>
    <s v="Salmon"/>
    <s v="826"/>
    <s v="Cascade River"/>
    <s v="Cascade River"/>
    <s v="Skagit"/>
    <x v="1"/>
    <s v="Skagit"/>
    <s v="02Skagit"/>
    <s v="01North Puget Sound"/>
    <n v="9"/>
    <n v="30.96"/>
  </r>
  <r>
    <n v="2140"/>
    <x v="5"/>
    <x v="3"/>
    <x v="5"/>
    <s v="Freshwater"/>
    <s v="2Freshwater"/>
    <s v="Salmon"/>
    <s v="826"/>
    <s v="Cascade River"/>
    <s v="Cascade River"/>
    <s v="Skagit"/>
    <x v="1"/>
    <s v="Snohomish"/>
    <s v="03Snohomish"/>
    <s v="01North Puget Sound"/>
    <n v="9"/>
    <n v="30.96"/>
  </r>
  <r>
    <n v="2141"/>
    <x v="5"/>
    <x v="7"/>
    <x v="5"/>
    <s v="Freshwater"/>
    <s v="2Freshwater"/>
    <s v="Salmon"/>
    <s v="830"/>
    <s v="Skagit River"/>
    <s v="Skagit River"/>
    <s v="Skagit/Whatcom"/>
    <x v="4"/>
    <s v="Island"/>
    <s v="04Island"/>
    <s v="01North Puget Sound"/>
    <n v="8.7931034482758594"/>
    <n v="30.248275862068954"/>
  </r>
  <r>
    <n v="2142"/>
    <x v="5"/>
    <x v="7"/>
    <x v="5"/>
    <s v="Freshwater"/>
    <s v="2Freshwater"/>
    <s v="Salmon"/>
    <s v="830"/>
    <s v="Skagit River"/>
    <s v="Skagit River"/>
    <s v="Skagit/Whatcom"/>
    <x v="4"/>
    <s v="King"/>
    <s v="06King"/>
    <s v="02South Puget Sound"/>
    <n v="8.7931034482758594"/>
    <n v="30.248275862068954"/>
  </r>
  <r>
    <n v="2143"/>
    <x v="5"/>
    <x v="7"/>
    <x v="5"/>
    <s v="Freshwater"/>
    <s v="2Freshwater"/>
    <s v="Salmon"/>
    <s v="830"/>
    <s v="Skagit River"/>
    <s v="Skagit River"/>
    <s v="Skagit/Whatcom"/>
    <x v="4"/>
    <s v="Other"/>
    <s v="20Other"/>
    <s v="07Non Puget Sound"/>
    <n v="35.172413793103502"/>
    <n v="120.99310344827605"/>
  </r>
  <r>
    <n v="2144"/>
    <x v="5"/>
    <x v="7"/>
    <x v="5"/>
    <s v="Freshwater"/>
    <s v="2Freshwater"/>
    <s v="Salmon"/>
    <s v="830"/>
    <s v="Skagit River"/>
    <s v="Skagit River"/>
    <s v="Skagit/Whatcom"/>
    <x v="4"/>
    <s v="Skagit"/>
    <s v="02Skagit"/>
    <s v="01North Puget Sound"/>
    <n v="307.758620689655"/>
    <n v="1058.6896551724133"/>
  </r>
  <r>
    <n v="2145"/>
    <x v="5"/>
    <x v="7"/>
    <x v="5"/>
    <s v="Freshwater"/>
    <s v="2Freshwater"/>
    <s v="Salmon"/>
    <s v="830"/>
    <s v="Skagit River"/>
    <s v="Skagit River"/>
    <s v="Skagit/Whatcom"/>
    <x v="4"/>
    <s v="Snohomish"/>
    <s v="03Snohomish"/>
    <s v="01North Puget Sound"/>
    <n v="140.68965517241401"/>
    <n v="483.97241379310418"/>
  </r>
  <r>
    <n v="2146"/>
    <x v="5"/>
    <x v="7"/>
    <x v="5"/>
    <s v="Freshwater"/>
    <s v="2Freshwater"/>
    <s v="Salmon"/>
    <s v="830"/>
    <s v="Skagit River"/>
    <s v="Skagit River"/>
    <s v="Skagit/Whatcom"/>
    <x v="4"/>
    <s v="Whatcom"/>
    <s v="01Whatcom"/>
    <s v="01North Puget Sound"/>
    <n v="8.7931034482758594"/>
    <n v="30.248275862068954"/>
  </r>
  <r>
    <n v="2147"/>
    <x v="5"/>
    <x v="5"/>
    <x v="5"/>
    <s v="Freshwater"/>
    <s v="2Freshwater"/>
    <s v="Salmon"/>
    <s v="830"/>
    <s v="Skagit River"/>
    <s v="Skagit River"/>
    <s v="Skagit/Whatcom"/>
    <x v="4"/>
    <s v="Island"/>
    <s v="04Island"/>
    <s v="01North Puget Sound"/>
    <n v="17.629629629629601"/>
    <n v="60.64592592592583"/>
  </r>
  <r>
    <n v="2148"/>
    <x v="5"/>
    <x v="5"/>
    <x v="5"/>
    <s v="Freshwater"/>
    <s v="2Freshwater"/>
    <s v="Salmon"/>
    <s v="830"/>
    <s v="Skagit River"/>
    <s v="Skagit River"/>
    <s v="Skagit/Whatcom"/>
    <x v="4"/>
    <s v="King"/>
    <s v="06King"/>
    <s v="02South Puget Sound"/>
    <n v="17.629629629629601"/>
    <n v="60.64592592592583"/>
  </r>
  <r>
    <n v="2149"/>
    <x v="5"/>
    <x v="5"/>
    <x v="5"/>
    <s v="Freshwater"/>
    <s v="2Freshwater"/>
    <s v="Salmon"/>
    <s v="830"/>
    <s v="Skagit River"/>
    <s v="Skagit River"/>
    <s v="Skagit/Whatcom"/>
    <x v="4"/>
    <s v="Kitsap"/>
    <s v="10Kitsap"/>
    <s v="02South Puget Sound"/>
    <n v="8.8148148148148202"/>
    <n v="30.322962962962983"/>
  </r>
  <r>
    <n v="2150"/>
    <x v="5"/>
    <x v="5"/>
    <x v="5"/>
    <s v="Freshwater"/>
    <s v="2Freshwater"/>
    <s v="Salmon"/>
    <s v="830"/>
    <s v="Skagit River"/>
    <s v="Skagit River"/>
    <s v="Skagit/Whatcom"/>
    <x v="4"/>
    <s v="Other"/>
    <s v="20Other"/>
    <s v="07Non Puget Sound"/>
    <n v="26.4444444444444"/>
    <n v="90.968888888888742"/>
  </r>
  <r>
    <n v="2151"/>
    <x v="5"/>
    <x v="5"/>
    <x v="5"/>
    <s v="Freshwater"/>
    <s v="2Freshwater"/>
    <s v="Salmon"/>
    <s v="830"/>
    <s v="Skagit River"/>
    <s v="Skagit River"/>
    <s v="Skagit/Whatcom"/>
    <x v="4"/>
    <s v="Skagit"/>
    <s v="02Skagit"/>
    <s v="01North Puget Sound"/>
    <n v="502.44444444444503"/>
    <n v="1728.4088888888909"/>
  </r>
  <r>
    <n v="2152"/>
    <x v="5"/>
    <x v="5"/>
    <x v="5"/>
    <s v="Freshwater"/>
    <s v="2Freshwater"/>
    <s v="Salmon"/>
    <s v="830"/>
    <s v="Skagit River"/>
    <s v="Skagit River"/>
    <s v="Skagit/Whatcom"/>
    <x v="4"/>
    <s v="Snohomish"/>
    <s v="03Snohomish"/>
    <s v="01North Puget Sound"/>
    <n v="88.148148148148195"/>
    <n v="303.22962962962981"/>
  </r>
  <r>
    <n v="2153"/>
    <x v="5"/>
    <x v="5"/>
    <x v="5"/>
    <s v="Freshwater"/>
    <s v="2Freshwater"/>
    <s v="Salmon"/>
    <s v="830"/>
    <s v="Skagit River"/>
    <s v="Skagit River"/>
    <s v="Skagit/Whatcom"/>
    <x v="4"/>
    <s v="Thurston"/>
    <s v="08Thurston"/>
    <s v="02South Puget Sound"/>
    <n v="17.629629629629601"/>
    <n v="60.64592592592583"/>
  </r>
  <r>
    <n v="2154"/>
    <x v="5"/>
    <x v="5"/>
    <x v="5"/>
    <s v="Freshwater"/>
    <s v="2Freshwater"/>
    <s v="Salmon"/>
    <s v="830"/>
    <s v="Skagit River"/>
    <s v="Skagit River"/>
    <s v="Skagit/Whatcom"/>
    <x v="4"/>
    <s v="Whatcom"/>
    <s v="01Whatcom"/>
    <s v="01North Puget Sound"/>
    <n v="35.259259259259302"/>
    <n v="121.291851851852"/>
  </r>
  <r>
    <n v="2155"/>
    <x v="5"/>
    <x v="0"/>
    <x v="5"/>
    <s v="Freshwater"/>
    <s v="2Freshwater"/>
    <s v="Salmon"/>
    <s v="830"/>
    <s v="Skagit River"/>
    <s v="Skagit River"/>
    <s v="Skagit/Whatcom"/>
    <x v="4"/>
    <s v="Island"/>
    <s v="04Island"/>
    <s v="01North Puget Sound"/>
    <n v="79.586034912718205"/>
    <n v="273.77596009975065"/>
  </r>
  <r>
    <n v="2156"/>
    <x v="5"/>
    <x v="0"/>
    <x v="5"/>
    <s v="Freshwater"/>
    <s v="2Freshwater"/>
    <s v="Salmon"/>
    <s v="830"/>
    <s v="Skagit River"/>
    <s v="Skagit River"/>
    <s v="Skagit/Whatcom"/>
    <x v="4"/>
    <s v="King"/>
    <s v="06King"/>
    <s v="02South Puget Sound"/>
    <n v="247.60099750623399"/>
    <n v="851.74743142144496"/>
  </r>
  <r>
    <n v="2157"/>
    <x v="5"/>
    <x v="0"/>
    <x v="5"/>
    <s v="Freshwater"/>
    <s v="2Freshwater"/>
    <s v="Salmon"/>
    <s v="830"/>
    <s v="Skagit River"/>
    <s v="Skagit River"/>
    <s v="Skagit/Whatcom"/>
    <x v="4"/>
    <s v="Other"/>
    <s v="20Other"/>
    <s v="07Non Puget Sound"/>
    <n v="813.54613466334195"/>
    <n v="2798.5987032418961"/>
  </r>
  <r>
    <n v="2158"/>
    <x v="5"/>
    <x v="0"/>
    <x v="5"/>
    <s v="Freshwater"/>
    <s v="2Freshwater"/>
    <s v="Salmon"/>
    <s v="830"/>
    <s v="Skagit River"/>
    <s v="Skagit River"/>
    <s v="Skagit/Whatcom"/>
    <x v="4"/>
    <s v="Skagit"/>
    <s v="02Skagit"/>
    <s v="01North Puget Sound"/>
    <n v="3961.6159600997498"/>
    <n v="13627.958902743139"/>
  </r>
  <r>
    <n v="2159"/>
    <x v="5"/>
    <x v="0"/>
    <x v="5"/>
    <s v="Freshwater"/>
    <s v="2Freshwater"/>
    <s v="Salmon"/>
    <s v="830"/>
    <s v="Skagit River"/>
    <s v="Skagit River"/>
    <s v="Skagit/Whatcom"/>
    <x v="4"/>
    <s v="Snohomish"/>
    <s v="03Snohomish"/>
    <s v="01North Puget Sound"/>
    <n v="1069.9900249376601"/>
    <n v="3680.7656857855509"/>
  </r>
  <r>
    <n v="2160"/>
    <x v="5"/>
    <x v="0"/>
    <x v="5"/>
    <s v="Freshwater"/>
    <s v="2Freshwater"/>
    <s v="Salmon"/>
    <s v="830"/>
    <s v="Skagit River"/>
    <s v="Skagit River"/>
    <s v="Skagit/Whatcom"/>
    <x v="4"/>
    <s v="Whatcom"/>
    <s v="01Whatcom"/>
    <s v="01North Puget Sound"/>
    <n v="919.660847880299"/>
    <n v="3163.6333167082284"/>
  </r>
  <r>
    <n v="2161"/>
    <x v="5"/>
    <x v="1"/>
    <x v="5"/>
    <s v="Freshwater"/>
    <s v="2Freshwater"/>
    <s v="Salmon"/>
    <s v="830"/>
    <s v="Skagit River"/>
    <s v="Skagit River"/>
    <s v="Skagit/Whatcom"/>
    <x v="4"/>
    <s v="Clallam"/>
    <s v="11Clallam"/>
    <s v="03Strait of Juan de Fuca"/>
    <n v="44.206088029617398"/>
    <n v="152.06894282188384"/>
  </r>
  <r>
    <n v="2162"/>
    <x v="5"/>
    <x v="1"/>
    <x v="5"/>
    <s v="Freshwater"/>
    <s v="2Freshwater"/>
    <s v="Salmon"/>
    <s v="830"/>
    <s v="Skagit River"/>
    <s v="Skagit River"/>
    <s v="Skagit/Whatcom"/>
    <x v="4"/>
    <s v="Island"/>
    <s v="04Island"/>
    <s v="01North Puget Sound"/>
    <n v="353.64870423693998"/>
    <n v="1216.5515425750734"/>
  </r>
  <r>
    <n v="2163"/>
    <x v="5"/>
    <x v="1"/>
    <x v="5"/>
    <s v="Freshwater"/>
    <s v="2Freshwater"/>
    <s v="Salmon"/>
    <s v="830"/>
    <s v="Skagit River"/>
    <s v="Skagit River"/>
    <s v="Skagit/Whatcom"/>
    <x v="4"/>
    <s v="King"/>
    <s v="06King"/>
    <s v="02South Puget Sound"/>
    <n v="371.33113944878698"/>
    <n v="1277.3791197038272"/>
  </r>
  <r>
    <n v="2164"/>
    <x v="5"/>
    <x v="1"/>
    <x v="5"/>
    <s v="Freshwater"/>
    <s v="2Freshwater"/>
    <s v="Salmon"/>
    <s v="830"/>
    <s v="Skagit River"/>
    <s v="Skagit River"/>
    <s v="Skagit/Whatcom"/>
    <x v="4"/>
    <s v="Kitsap"/>
    <s v="10Kitsap"/>
    <s v="02South Puget Sound"/>
    <n v="79.570958453311405"/>
    <n v="273.72409707939124"/>
  </r>
  <r>
    <n v="2165"/>
    <x v="5"/>
    <x v="1"/>
    <x v="5"/>
    <s v="Freshwater"/>
    <s v="2Freshwater"/>
    <s v="Salmon"/>
    <s v="830"/>
    <s v="Skagit River"/>
    <s v="Skagit River"/>
    <s v="Skagit/Whatcom"/>
    <x v="4"/>
    <s v="Mason"/>
    <s v="09Mason"/>
    <s v="02South Puget Sound"/>
    <n v="114.93582887700499"/>
    <n v="395.3792513368972"/>
  </r>
  <r>
    <n v="2166"/>
    <x v="5"/>
    <x v="1"/>
    <x v="5"/>
    <s v="Freshwater"/>
    <s v="2Freshwater"/>
    <s v="Salmon"/>
    <s v="830"/>
    <s v="Skagit River"/>
    <s v="Skagit River"/>
    <s v="Skagit/Whatcom"/>
    <x v="4"/>
    <s v="Other"/>
    <s v="20Other"/>
    <s v="07Non Puget Sound"/>
    <n v="1936.2266556972399"/>
    <n v="6660.6196955985051"/>
  </r>
  <r>
    <n v="2167"/>
    <x v="5"/>
    <x v="1"/>
    <x v="5"/>
    <s v="Freshwater"/>
    <s v="2Freshwater"/>
    <s v="Salmon"/>
    <s v="830"/>
    <s v="Skagit River"/>
    <s v="Skagit River"/>
    <s v="Skagit/Whatcom"/>
    <x v="4"/>
    <s v="Pierce"/>
    <s v="07Pierce"/>
    <s v="02South Puget Sound"/>
    <n v="141.459481694776"/>
    <n v="486.62061703002945"/>
  </r>
  <r>
    <n v="2168"/>
    <x v="5"/>
    <x v="1"/>
    <x v="5"/>
    <s v="Freshwater"/>
    <s v="2Freshwater"/>
    <s v="Salmon"/>
    <s v="830"/>
    <s v="Skagit River"/>
    <s v="Skagit River"/>
    <s v="Skagit/Whatcom"/>
    <x v="4"/>
    <s v="Skagit"/>
    <s v="02Skagit"/>
    <s v="01North Puget Sound"/>
    <n v="12448.4343891403"/>
    <n v="42822.614298642635"/>
  </r>
  <r>
    <n v="2169"/>
    <x v="5"/>
    <x v="1"/>
    <x v="5"/>
    <s v="Freshwater"/>
    <s v="2Freshwater"/>
    <s v="Salmon"/>
    <s v="830"/>
    <s v="Skagit River"/>
    <s v="Skagit River"/>
    <s v="Skagit/Whatcom"/>
    <x v="4"/>
    <s v="Snohomish"/>
    <s v="03Snohomish"/>
    <s v="01North Puget Sound"/>
    <n v="2449.0172768408102"/>
    <n v="8424.6194323323871"/>
  </r>
  <r>
    <n v="2170"/>
    <x v="5"/>
    <x v="1"/>
    <x v="5"/>
    <s v="Freshwater"/>
    <s v="2Freshwater"/>
    <s v="Salmon"/>
    <s v="830"/>
    <s v="Skagit River"/>
    <s v="Skagit River"/>
    <s v="Skagit/Whatcom"/>
    <x v="4"/>
    <s v="Thurston"/>
    <s v="08Thurston"/>
    <s v="02South Puget Sound"/>
    <n v="265.236528177705"/>
    <n v="912.41365693130513"/>
  </r>
  <r>
    <n v="2171"/>
    <x v="5"/>
    <x v="1"/>
    <x v="5"/>
    <s v="Freshwater"/>
    <s v="2Freshwater"/>
    <s v="Salmon"/>
    <s v="830"/>
    <s v="Skagit River"/>
    <s v="Skagit River"/>
    <s v="Skagit/Whatcom"/>
    <x v="4"/>
    <s v="Whatcom"/>
    <s v="01Whatcom"/>
    <s v="01North Puget Sound"/>
    <n v="3288.9329494035401"/>
    <n v="11313.929345948178"/>
  </r>
  <r>
    <n v="2172"/>
    <x v="5"/>
    <x v="2"/>
    <x v="5"/>
    <s v="Freshwater"/>
    <s v="2Freshwater"/>
    <s v="Salmon"/>
    <s v="830"/>
    <s v="Skagit River"/>
    <s v="Skagit River"/>
    <s v="Skagit/Whatcom"/>
    <x v="4"/>
    <s v="Island"/>
    <s v="04Island"/>
    <s v="01North Puget Sound"/>
    <n v="79.336956521739097"/>
    <n v="272.91913043478252"/>
  </r>
  <r>
    <n v="2173"/>
    <x v="5"/>
    <x v="2"/>
    <x v="5"/>
    <s v="Freshwater"/>
    <s v="2Freshwater"/>
    <s v="Salmon"/>
    <s v="830"/>
    <s v="Skagit River"/>
    <s v="Skagit River"/>
    <s v="Skagit/Whatcom"/>
    <x v="4"/>
    <s v="King"/>
    <s v="06King"/>
    <s v="02South Puget Sound"/>
    <n v="61.706521739130501"/>
    <n v="212.27043478260893"/>
  </r>
  <r>
    <n v="2174"/>
    <x v="5"/>
    <x v="2"/>
    <x v="5"/>
    <s v="Freshwater"/>
    <s v="2Freshwater"/>
    <s v="Salmon"/>
    <s v="830"/>
    <s v="Skagit River"/>
    <s v="Skagit River"/>
    <s v="Skagit/Whatcom"/>
    <x v="4"/>
    <s v="Other"/>
    <s v="20Other"/>
    <s v="07Non Puget Sound"/>
    <n v="282.08695652173901"/>
    <n v="970.37913043478216"/>
  </r>
  <r>
    <n v="2175"/>
    <x v="5"/>
    <x v="2"/>
    <x v="5"/>
    <s v="Freshwater"/>
    <s v="2Freshwater"/>
    <s v="Salmon"/>
    <s v="830"/>
    <s v="Skagit River"/>
    <s v="Skagit River"/>
    <s v="Skagit/Whatcom"/>
    <x v="4"/>
    <s v="San Juan"/>
    <s v="05San Juan"/>
    <s v="01North Puget Sound"/>
    <n v="35.260869565217398"/>
    <n v="121.29739130434784"/>
  </r>
  <r>
    <n v="2176"/>
    <x v="5"/>
    <x v="2"/>
    <x v="5"/>
    <s v="Freshwater"/>
    <s v="2Freshwater"/>
    <s v="Salmon"/>
    <s v="830"/>
    <s v="Skagit River"/>
    <s v="Skagit River"/>
    <s v="Skagit/Whatcom"/>
    <x v="4"/>
    <s v="Skagit"/>
    <s v="02Skagit"/>
    <s v="01North Puget Sound"/>
    <n v="1533.8478260869599"/>
    <n v="5276.4365217391423"/>
  </r>
  <r>
    <n v="2177"/>
    <x v="5"/>
    <x v="2"/>
    <x v="5"/>
    <s v="Freshwater"/>
    <s v="2Freshwater"/>
    <s v="Salmon"/>
    <s v="830"/>
    <s v="Skagit River"/>
    <s v="Skagit River"/>
    <s v="Skagit/Whatcom"/>
    <x v="4"/>
    <s v="Snohomish"/>
    <s v="03Snohomish"/>
    <s v="01North Puget Sound"/>
    <n v="264.45652173913101"/>
    <n v="909.7304347826107"/>
  </r>
  <r>
    <n v="2178"/>
    <x v="5"/>
    <x v="2"/>
    <x v="5"/>
    <s v="Freshwater"/>
    <s v="2Freshwater"/>
    <s v="Salmon"/>
    <s v="830"/>
    <s v="Skagit River"/>
    <s v="Skagit River"/>
    <s v="Skagit/Whatcom"/>
    <x v="4"/>
    <s v="Whatcom"/>
    <s v="01Whatcom"/>
    <s v="01North Puget Sound"/>
    <n v="176.304347826087"/>
    <n v="606.48695652173922"/>
  </r>
  <r>
    <n v="2179"/>
    <x v="5"/>
    <x v="5"/>
    <x v="5"/>
    <s v="Freshwater"/>
    <s v="2Freshwater"/>
    <s v="Salmon"/>
    <s v="834"/>
    <s v="Skokomish River"/>
    <s v="Skokomish River"/>
    <s v="Mason"/>
    <x v="2"/>
    <s v="Kitsap"/>
    <s v="10Kitsap"/>
    <s v="02South Puget Sound"/>
    <n v="10.4285714285714"/>
    <n v="35.87428571428562"/>
  </r>
  <r>
    <n v="2180"/>
    <x v="5"/>
    <x v="5"/>
    <x v="5"/>
    <s v="Freshwater"/>
    <s v="2Freshwater"/>
    <s v="Salmon"/>
    <s v="834"/>
    <s v="Skokomish River"/>
    <s v="Skokomish River"/>
    <s v="Mason"/>
    <x v="2"/>
    <s v="Mason"/>
    <s v="09Mason"/>
    <s v="02South Puget Sound"/>
    <n v="41.714285714285701"/>
    <n v="143.49714285714282"/>
  </r>
  <r>
    <n v="2181"/>
    <x v="5"/>
    <x v="5"/>
    <x v="5"/>
    <s v="Freshwater"/>
    <s v="2Freshwater"/>
    <s v="Salmon"/>
    <s v="834"/>
    <s v="Skokomish River"/>
    <s v="Skokomish River"/>
    <s v="Mason"/>
    <x v="2"/>
    <s v="Other"/>
    <s v="20Other"/>
    <s v="07Non Puget Sound"/>
    <n v="20.8571428571429"/>
    <n v="71.74857142857158"/>
  </r>
  <r>
    <n v="2182"/>
    <x v="5"/>
    <x v="5"/>
    <x v="5"/>
    <s v="Freshwater"/>
    <s v="2Freshwater"/>
    <s v="Salmon"/>
    <s v="834"/>
    <s v="Skokomish River"/>
    <s v="Skokomish River"/>
    <s v="Mason"/>
    <x v="2"/>
    <s v="Pierce"/>
    <s v="07Pierce"/>
    <s v="02South Puget Sound"/>
    <n v="41.714285714285701"/>
    <n v="143.49714285714282"/>
  </r>
  <r>
    <n v="2183"/>
    <x v="5"/>
    <x v="5"/>
    <x v="5"/>
    <s v="Freshwater"/>
    <s v="2Freshwater"/>
    <s v="Salmon"/>
    <s v="834"/>
    <s v="Skokomish River"/>
    <s v="Skokomish River"/>
    <s v="Mason"/>
    <x v="2"/>
    <s v="Thurston"/>
    <s v="08Thurston"/>
    <s v="02South Puget Sound"/>
    <n v="31.285714285714299"/>
    <n v="107.62285714285719"/>
  </r>
  <r>
    <n v="2184"/>
    <x v="5"/>
    <x v="0"/>
    <x v="5"/>
    <s v="Freshwater"/>
    <s v="2Freshwater"/>
    <s v="Salmon"/>
    <s v="834"/>
    <s v="Skokomish River"/>
    <s v="Skokomish River"/>
    <s v="Mason"/>
    <x v="2"/>
    <s v="Jefferson"/>
    <s v="12Jefferson"/>
    <s v="03Strait of Juan de Fuca"/>
    <n v="9.1645962732919308"/>
    <n v="31.526211180124243"/>
  </r>
  <r>
    <n v="2185"/>
    <x v="5"/>
    <x v="0"/>
    <x v="5"/>
    <s v="Freshwater"/>
    <s v="2Freshwater"/>
    <s v="Salmon"/>
    <s v="834"/>
    <s v="Skokomish River"/>
    <s v="Skokomish River"/>
    <s v="Mason"/>
    <x v="2"/>
    <s v="King"/>
    <s v="06King"/>
    <s v="02South Puget Sound"/>
    <n v="513.21739130434798"/>
    <n v="1765.4678260869571"/>
  </r>
  <r>
    <n v="2186"/>
    <x v="5"/>
    <x v="0"/>
    <x v="5"/>
    <s v="Freshwater"/>
    <s v="2Freshwater"/>
    <s v="Salmon"/>
    <s v="834"/>
    <s v="Skokomish River"/>
    <s v="Skokomish River"/>
    <s v="Mason"/>
    <x v="2"/>
    <s v="Kitsap"/>
    <s v="10Kitsap"/>
    <s v="02South Puget Sound"/>
    <n v="476.55900621118002"/>
    <n v="1639.3629813664593"/>
  </r>
  <r>
    <n v="2187"/>
    <x v="5"/>
    <x v="0"/>
    <x v="5"/>
    <s v="Freshwater"/>
    <s v="2Freshwater"/>
    <s v="Salmon"/>
    <s v="834"/>
    <s v="Skokomish River"/>
    <s v="Skokomish River"/>
    <s v="Mason"/>
    <x v="2"/>
    <s v="Mason"/>
    <s v="09Mason"/>
    <s v="02South Puget Sound"/>
    <n v="229.114906832298"/>
    <n v="788.15527950310513"/>
  </r>
  <r>
    <n v="2188"/>
    <x v="5"/>
    <x v="0"/>
    <x v="5"/>
    <s v="Freshwater"/>
    <s v="2Freshwater"/>
    <s v="Salmon"/>
    <s v="834"/>
    <s v="Skokomish River"/>
    <s v="Skokomish River"/>
    <s v="Mason"/>
    <x v="2"/>
    <s v="Other"/>
    <s v="20Other"/>
    <s v="07Non Puget Sound"/>
    <n v="247.44409937888199"/>
    <n v="851.20770186335403"/>
  </r>
  <r>
    <n v="2189"/>
    <x v="5"/>
    <x v="0"/>
    <x v="5"/>
    <s v="Freshwater"/>
    <s v="2Freshwater"/>
    <s v="Salmon"/>
    <s v="834"/>
    <s v="Skokomish River"/>
    <s v="Skokomish River"/>
    <s v="Mason"/>
    <x v="2"/>
    <s v="Pierce"/>
    <s v="07Pierce"/>
    <s v="02South Puget Sound"/>
    <n v="943.95341614906795"/>
    <n v="3247.1997515527937"/>
  </r>
  <r>
    <n v="2190"/>
    <x v="5"/>
    <x v="0"/>
    <x v="5"/>
    <s v="Freshwater"/>
    <s v="2Freshwater"/>
    <s v="Salmon"/>
    <s v="834"/>
    <s v="Skokomish River"/>
    <s v="Skokomish River"/>
    <s v="Mason"/>
    <x v="2"/>
    <s v="Snohomish"/>
    <s v="03Snohomish"/>
    <s v="01North Puget Sound"/>
    <n v="27.4937888198758"/>
    <n v="94.578633540372749"/>
  </r>
  <r>
    <n v="2191"/>
    <x v="5"/>
    <x v="0"/>
    <x v="5"/>
    <s v="Freshwater"/>
    <s v="2Freshwater"/>
    <s v="Salmon"/>
    <s v="834"/>
    <s v="Skokomish River"/>
    <s v="Skokomish River"/>
    <s v="Mason"/>
    <x v="2"/>
    <s v="Thurston"/>
    <s v="08Thurston"/>
    <s v="02South Puget Sound"/>
    <n v="504.05279503105601"/>
    <n v="1733.9416149068327"/>
  </r>
  <r>
    <n v="2192"/>
    <x v="5"/>
    <x v="1"/>
    <x v="5"/>
    <s v="Freshwater"/>
    <s v="2Freshwater"/>
    <s v="Salmon"/>
    <s v="834"/>
    <s v="Skokomish River"/>
    <s v="Skokomish River"/>
    <s v="Mason"/>
    <x v="2"/>
    <s v="Kitsap"/>
    <s v="10Kitsap"/>
    <s v="02South Puget Sound"/>
    <n v="81.5625"/>
    <n v="280.57499999999999"/>
  </r>
  <r>
    <n v="2193"/>
    <x v="5"/>
    <x v="1"/>
    <x v="5"/>
    <s v="Freshwater"/>
    <s v="2Freshwater"/>
    <s v="Salmon"/>
    <s v="834"/>
    <s v="Skokomish River"/>
    <s v="Skokomish River"/>
    <s v="Mason"/>
    <x v="2"/>
    <s v="Mason"/>
    <s v="09Mason"/>
    <s v="02South Puget Sound"/>
    <n v="163.125"/>
    <n v="561.15"/>
  </r>
  <r>
    <n v="2194"/>
    <x v="5"/>
    <x v="1"/>
    <x v="5"/>
    <s v="Freshwater"/>
    <s v="2Freshwater"/>
    <s v="Salmon"/>
    <s v="834"/>
    <s v="Skokomish River"/>
    <s v="Skokomish River"/>
    <s v="Mason"/>
    <x v="2"/>
    <s v="Other"/>
    <s v="20Other"/>
    <s v="07Non Puget Sound"/>
    <n v="117.8125"/>
    <n v="405.27499999999998"/>
  </r>
  <r>
    <n v="2195"/>
    <x v="5"/>
    <x v="1"/>
    <x v="5"/>
    <s v="Freshwater"/>
    <s v="2Freshwater"/>
    <s v="Salmon"/>
    <s v="834"/>
    <s v="Skokomish River"/>
    <s v="Skokomish River"/>
    <s v="Mason"/>
    <x v="2"/>
    <s v="Pierce"/>
    <s v="07Pierce"/>
    <s v="02South Puget Sound"/>
    <n v="54.375"/>
    <n v="187.04999999999998"/>
  </r>
  <r>
    <n v="2196"/>
    <x v="5"/>
    <x v="1"/>
    <x v="5"/>
    <s v="Freshwater"/>
    <s v="2Freshwater"/>
    <s v="Salmon"/>
    <s v="834"/>
    <s v="Skokomish River"/>
    <s v="Skokomish River"/>
    <s v="Mason"/>
    <x v="2"/>
    <s v="Thurston"/>
    <s v="08Thurston"/>
    <s v="02South Puget Sound"/>
    <n v="18.125"/>
    <n v="62.35"/>
  </r>
  <r>
    <n v="2197"/>
    <x v="5"/>
    <x v="2"/>
    <x v="5"/>
    <s v="Freshwater"/>
    <s v="2Freshwater"/>
    <s v="Salmon"/>
    <s v="834"/>
    <s v="Skokomish River"/>
    <s v="Skokomish River"/>
    <s v="Mason"/>
    <x v="2"/>
    <s v="King"/>
    <s v="06King"/>
    <s v="02South Puget Sound"/>
    <n v="207.77966101694901"/>
    <n v="714.76203389830459"/>
  </r>
  <r>
    <n v="2198"/>
    <x v="5"/>
    <x v="2"/>
    <x v="5"/>
    <s v="Freshwater"/>
    <s v="2Freshwater"/>
    <s v="Salmon"/>
    <s v="834"/>
    <s v="Skokomish River"/>
    <s v="Skokomish River"/>
    <s v="Mason"/>
    <x v="2"/>
    <s v="Kitsap"/>
    <s v="10Kitsap"/>
    <s v="02South Puget Sound"/>
    <n v="90.338983050847503"/>
    <n v="310.76610169491539"/>
  </r>
  <r>
    <n v="2199"/>
    <x v="5"/>
    <x v="2"/>
    <x v="5"/>
    <s v="Freshwater"/>
    <s v="2Freshwater"/>
    <s v="Salmon"/>
    <s v="834"/>
    <s v="Skokomish River"/>
    <s v="Skokomish River"/>
    <s v="Mason"/>
    <x v="2"/>
    <s v="Mason"/>
    <s v="09Mason"/>
    <s v="02South Puget Sound"/>
    <n v="271.016949152542"/>
    <n v="932.29830508474447"/>
  </r>
  <r>
    <n v="2200"/>
    <x v="5"/>
    <x v="2"/>
    <x v="5"/>
    <s v="Freshwater"/>
    <s v="2Freshwater"/>
    <s v="Salmon"/>
    <s v="834"/>
    <s v="Skokomish River"/>
    <s v="Skokomish River"/>
    <s v="Mason"/>
    <x v="2"/>
    <s v="Other"/>
    <s v="20Other"/>
    <s v="07Non Puget Sound"/>
    <n v="54.203389830508499"/>
    <n v="186.45966101694924"/>
  </r>
  <r>
    <n v="2201"/>
    <x v="5"/>
    <x v="2"/>
    <x v="5"/>
    <s v="Freshwater"/>
    <s v="2Freshwater"/>
    <s v="Salmon"/>
    <s v="834"/>
    <s v="Skokomish River"/>
    <s v="Skokomish River"/>
    <s v="Mason"/>
    <x v="2"/>
    <s v="Pierce"/>
    <s v="07Pierce"/>
    <s v="02South Puget Sound"/>
    <n v="659.47457627118604"/>
    <n v="2268.59254237288"/>
  </r>
  <r>
    <n v="2202"/>
    <x v="5"/>
    <x v="2"/>
    <x v="5"/>
    <s v="Freshwater"/>
    <s v="2Freshwater"/>
    <s v="Salmon"/>
    <s v="834"/>
    <s v="Skokomish River"/>
    <s v="Skokomish River"/>
    <s v="Mason"/>
    <x v="2"/>
    <s v="Snohomish"/>
    <s v="03Snohomish"/>
    <s v="01North Puget Sound"/>
    <n v="18.067796610169498"/>
    <n v="62.153220338983076"/>
  </r>
  <r>
    <n v="2203"/>
    <x v="5"/>
    <x v="2"/>
    <x v="5"/>
    <s v="Freshwater"/>
    <s v="2Freshwater"/>
    <s v="Salmon"/>
    <s v="834"/>
    <s v="Skokomish River"/>
    <s v="Skokomish River"/>
    <s v="Mason"/>
    <x v="2"/>
    <s v="Thurston"/>
    <s v="08Thurston"/>
    <s v="02South Puget Sound"/>
    <n v="298.11864406779699"/>
    <n v="1025.5281355932216"/>
  </r>
  <r>
    <n v="2204"/>
    <x v="5"/>
    <x v="3"/>
    <x v="5"/>
    <s v="Freshwater"/>
    <s v="2Freshwater"/>
    <s v="Salmon"/>
    <s v="834"/>
    <s v="Skokomish River"/>
    <s v="Skokomish River"/>
    <s v="Mason"/>
    <x v="2"/>
    <s v="King"/>
    <s v="06King"/>
    <s v="02South Puget Sound"/>
    <n v="234.71232876712301"/>
    <n v="807.41041095890319"/>
  </r>
  <r>
    <n v="2205"/>
    <x v="5"/>
    <x v="3"/>
    <x v="5"/>
    <s v="Freshwater"/>
    <s v="2Freshwater"/>
    <s v="Salmon"/>
    <s v="834"/>
    <s v="Skokomish River"/>
    <s v="Skokomish River"/>
    <s v="Mason"/>
    <x v="2"/>
    <s v="Mason"/>
    <s v="09Mason"/>
    <s v="02South Puget Sound"/>
    <n v="153.465753424658"/>
    <n v="527.92219178082348"/>
  </r>
  <r>
    <n v="2206"/>
    <x v="5"/>
    <x v="3"/>
    <x v="5"/>
    <s v="Freshwater"/>
    <s v="2Freshwater"/>
    <s v="Salmon"/>
    <s v="834"/>
    <s v="Skokomish River"/>
    <s v="Skokomish River"/>
    <s v="Mason"/>
    <x v="2"/>
    <s v="Other"/>
    <s v="20Other"/>
    <s v="07Non Puget Sound"/>
    <n v="324.98630136986299"/>
    <n v="1117.9528767123286"/>
  </r>
  <r>
    <n v="2207"/>
    <x v="5"/>
    <x v="3"/>
    <x v="5"/>
    <s v="Freshwater"/>
    <s v="2Freshwater"/>
    <s v="Salmon"/>
    <s v="834"/>
    <s v="Skokomish River"/>
    <s v="Skokomish River"/>
    <s v="Mason"/>
    <x v="2"/>
    <s v="Pierce"/>
    <s v="07Pierce"/>
    <s v="02South Puget Sound"/>
    <n v="370.12328767123302"/>
    <n v="1273.2241095890415"/>
  </r>
  <r>
    <n v="2208"/>
    <x v="5"/>
    <x v="3"/>
    <x v="5"/>
    <s v="Freshwater"/>
    <s v="2Freshwater"/>
    <s v="Salmon"/>
    <s v="834"/>
    <s v="Skokomish River"/>
    <s v="Skokomish River"/>
    <s v="Mason"/>
    <x v="2"/>
    <s v="Thurston"/>
    <s v="08Thurston"/>
    <s v="02South Puget Sound"/>
    <n v="234.71232876712301"/>
    <n v="807.41041095890319"/>
  </r>
  <r>
    <n v="2209"/>
    <x v="5"/>
    <x v="4"/>
    <x v="5"/>
    <s v="Freshwater"/>
    <s v="2Freshwater"/>
    <s v="Salmon"/>
    <s v="834"/>
    <s v="Skokomish River"/>
    <s v="Skokomish River"/>
    <s v="Mason"/>
    <x v="2"/>
    <s v="Mason"/>
    <s v="09Mason"/>
    <s v="02South Puget Sound"/>
    <n v="45"/>
    <n v="154.80000000000001"/>
  </r>
  <r>
    <n v="2210"/>
    <x v="5"/>
    <x v="4"/>
    <x v="5"/>
    <s v="Freshwater"/>
    <s v="2Freshwater"/>
    <s v="Salmon"/>
    <s v="834"/>
    <s v="Skokomish River"/>
    <s v="Skokomish River"/>
    <s v="Mason"/>
    <x v="2"/>
    <s v="Other"/>
    <s v="20Other"/>
    <s v="07Non Puget Sound"/>
    <n v="45"/>
    <n v="154.80000000000001"/>
  </r>
  <r>
    <n v="2211"/>
    <x v="5"/>
    <x v="0"/>
    <x v="5"/>
    <s v="Freshwater"/>
    <s v="2Freshwater"/>
    <s v="Salmon"/>
    <s v="844"/>
    <s v="Skykomish River"/>
    <s v="Skykomish River"/>
    <s v="Snohomish"/>
    <x v="4"/>
    <s v="King"/>
    <s v="06King"/>
    <s v="02South Puget Sound"/>
    <n v="35.733333333333299"/>
    <n v="122.92266666666654"/>
  </r>
  <r>
    <n v="2212"/>
    <x v="5"/>
    <x v="0"/>
    <x v="5"/>
    <s v="Freshwater"/>
    <s v="2Freshwater"/>
    <s v="Salmon"/>
    <s v="844"/>
    <s v="Skykomish River"/>
    <s v="Skykomish River"/>
    <s v="Snohomish"/>
    <x v="4"/>
    <s v="Kitsap"/>
    <s v="10Kitsap"/>
    <s v="02South Puget Sound"/>
    <n v="8.9333333333333407"/>
    <n v="30.730666666666693"/>
  </r>
  <r>
    <n v="2213"/>
    <x v="5"/>
    <x v="0"/>
    <x v="5"/>
    <s v="Freshwater"/>
    <s v="2Freshwater"/>
    <s v="Salmon"/>
    <s v="844"/>
    <s v="Skykomish River"/>
    <s v="Skykomish River"/>
    <s v="Snohomish"/>
    <x v="4"/>
    <s v="Snohomish"/>
    <s v="03Snohomish"/>
    <s v="01North Puget Sound"/>
    <n v="53.6"/>
    <n v="184.38400000000001"/>
  </r>
  <r>
    <n v="2214"/>
    <x v="5"/>
    <x v="0"/>
    <x v="5"/>
    <s v="Freshwater"/>
    <s v="2Freshwater"/>
    <s v="Salmon"/>
    <s v="844"/>
    <s v="Skykomish River"/>
    <s v="Skykomish River"/>
    <s v="Snohomish"/>
    <x v="4"/>
    <s v="Thurston"/>
    <s v="08Thurston"/>
    <s v="02South Puget Sound"/>
    <n v="35.733333333333299"/>
    <n v="122.92266666666654"/>
  </r>
  <r>
    <n v="2215"/>
    <x v="5"/>
    <x v="1"/>
    <x v="5"/>
    <s v="Freshwater"/>
    <s v="2Freshwater"/>
    <s v="Salmon"/>
    <s v="844"/>
    <s v="Skykomish River"/>
    <s v="Skykomish River"/>
    <s v="Snohomish"/>
    <x v="4"/>
    <s v="King"/>
    <s v="06King"/>
    <s v="02South Puget Sound"/>
    <n v="1437.5597920277301"/>
    <n v="4945.2056845753914"/>
  </r>
  <r>
    <n v="2216"/>
    <x v="5"/>
    <x v="1"/>
    <x v="5"/>
    <s v="Freshwater"/>
    <s v="2Freshwater"/>
    <s v="Salmon"/>
    <s v="844"/>
    <s v="Skykomish River"/>
    <s v="Skykomish River"/>
    <s v="Snohomish"/>
    <x v="4"/>
    <s v="Kitsap"/>
    <s v="10Kitsap"/>
    <s v="02South Puget Sound"/>
    <n v="17.857885615251298"/>
    <n v="61.431126516464467"/>
  </r>
  <r>
    <n v="2217"/>
    <x v="5"/>
    <x v="1"/>
    <x v="5"/>
    <s v="Freshwater"/>
    <s v="2Freshwater"/>
    <s v="Salmon"/>
    <s v="844"/>
    <s v="Skykomish River"/>
    <s v="Skykomish River"/>
    <s v="Snohomish"/>
    <x v="4"/>
    <s v="Other"/>
    <s v="20Other"/>
    <s v="07Non Puget Sound"/>
    <n v="392.87348353552898"/>
    <n v="1351.4847833622196"/>
  </r>
  <r>
    <n v="2218"/>
    <x v="5"/>
    <x v="1"/>
    <x v="5"/>
    <s v="Freshwater"/>
    <s v="2Freshwater"/>
    <s v="Salmon"/>
    <s v="844"/>
    <s v="Skykomish River"/>
    <s v="Skykomish River"/>
    <s v="Snohomish"/>
    <x v="4"/>
    <s v="Pierce"/>
    <s v="07Pierce"/>
    <s v="02South Puget Sound"/>
    <n v="125.005199306759"/>
    <n v="430.01788561525092"/>
  </r>
  <r>
    <n v="2219"/>
    <x v="5"/>
    <x v="1"/>
    <x v="5"/>
    <s v="Freshwater"/>
    <s v="2Freshwater"/>
    <s v="Salmon"/>
    <s v="844"/>
    <s v="Skykomish River"/>
    <s v="Skykomish River"/>
    <s v="Snohomish"/>
    <x v="4"/>
    <s v="Skagit"/>
    <s v="02Skagit"/>
    <s v="01North Puget Sound"/>
    <n v="8.9289428076256492"/>
    <n v="30.715563258232233"/>
  </r>
  <r>
    <n v="2220"/>
    <x v="5"/>
    <x v="1"/>
    <x v="5"/>
    <s v="Freshwater"/>
    <s v="2Freshwater"/>
    <s v="Salmon"/>
    <s v="844"/>
    <s v="Skykomish River"/>
    <s v="Skykomish River"/>
    <s v="Snohomish"/>
    <x v="4"/>
    <s v="Snohomish"/>
    <s v="03Snohomish"/>
    <s v="01North Puget Sound"/>
    <n v="3151.9168110918499"/>
    <n v="10842.593830155964"/>
  </r>
  <r>
    <n v="2221"/>
    <x v="5"/>
    <x v="1"/>
    <x v="5"/>
    <s v="Freshwater"/>
    <s v="2Freshwater"/>
    <s v="Salmon"/>
    <s v="844"/>
    <s v="Skykomish River"/>
    <s v="Skykomish River"/>
    <s v="Snohomish"/>
    <x v="4"/>
    <s v="Whatcom"/>
    <s v="01Whatcom"/>
    <s v="01North Puget Sound"/>
    <n v="17.857885615251298"/>
    <n v="61.431126516464467"/>
  </r>
  <r>
    <n v="2222"/>
    <x v="5"/>
    <x v="2"/>
    <x v="5"/>
    <s v="Freshwater"/>
    <s v="2Freshwater"/>
    <s v="Salmon"/>
    <s v="844"/>
    <s v="Skykomish River"/>
    <s v="Skykomish River"/>
    <s v="Snohomish"/>
    <x v="4"/>
    <s v="King"/>
    <s v="06King"/>
    <s v="02South Puget Sound"/>
    <n v="429.857142857143"/>
    <n v="1478.708571428572"/>
  </r>
  <r>
    <n v="2223"/>
    <x v="5"/>
    <x v="2"/>
    <x v="5"/>
    <s v="Freshwater"/>
    <s v="2Freshwater"/>
    <s v="Salmon"/>
    <s v="844"/>
    <s v="Skykomish River"/>
    <s v="Skykomish River"/>
    <s v="Snohomish"/>
    <x v="4"/>
    <s v="Other"/>
    <s v="20Other"/>
    <s v="07Non Puget Sound"/>
    <n v="35.821428571428598"/>
    <n v="123.22571428571437"/>
  </r>
  <r>
    <n v="2224"/>
    <x v="5"/>
    <x v="2"/>
    <x v="5"/>
    <s v="Freshwater"/>
    <s v="2Freshwater"/>
    <s v="Salmon"/>
    <s v="844"/>
    <s v="Skykomish River"/>
    <s v="Skykomish River"/>
    <s v="Snohomish"/>
    <x v="4"/>
    <s v="Snohomish"/>
    <s v="03Snohomish"/>
    <s v="01North Puget Sound"/>
    <n v="537.32142857142901"/>
    <n v="1848.3857142857157"/>
  </r>
  <r>
    <n v="2225"/>
    <x v="5"/>
    <x v="3"/>
    <x v="5"/>
    <s v="Freshwater"/>
    <s v="2Freshwater"/>
    <s v="Salmon"/>
    <s v="844"/>
    <s v="Skykomish River"/>
    <s v="Skykomish River"/>
    <s v="Snohomish"/>
    <x v="4"/>
    <s v="Snohomish"/>
    <s v="03Snohomish"/>
    <s v="01North Puget Sound"/>
    <n v="36"/>
    <n v="123.84"/>
  </r>
  <r>
    <n v="2226"/>
    <x v="5"/>
    <x v="5"/>
    <x v="5"/>
    <s v="Freshwater"/>
    <s v="2Freshwater"/>
    <s v="Salmon"/>
    <s v="850"/>
    <s v="Snohomish River"/>
    <s v="Snohomish River"/>
    <s v="Snohomish"/>
    <x v="4"/>
    <s v="Snohomish"/>
    <s v="03Snohomish"/>
    <s v="01North Puget Sound"/>
    <n v="63"/>
    <n v="216.72"/>
  </r>
  <r>
    <n v="2227"/>
    <x v="5"/>
    <x v="0"/>
    <x v="5"/>
    <s v="Freshwater"/>
    <s v="2Freshwater"/>
    <s v="Salmon"/>
    <s v="850"/>
    <s v="Snohomish River"/>
    <s v="Snohomish River"/>
    <s v="Snohomish"/>
    <x v="4"/>
    <s v="Island"/>
    <s v="04Island"/>
    <s v="01North Puget Sound"/>
    <n v="53.64"/>
    <n v="184.52160000000001"/>
  </r>
  <r>
    <n v="2228"/>
    <x v="5"/>
    <x v="0"/>
    <x v="5"/>
    <s v="Freshwater"/>
    <s v="2Freshwater"/>
    <s v="Salmon"/>
    <s v="850"/>
    <s v="Snohomish River"/>
    <s v="Snohomish River"/>
    <s v="Snohomish"/>
    <x v="4"/>
    <s v="King"/>
    <s v="06King"/>
    <s v="02South Puget Sound"/>
    <n v="2172.42"/>
    <n v="7473.1248000000005"/>
  </r>
  <r>
    <n v="2229"/>
    <x v="5"/>
    <x v="0"/>
    <x v="5"/>
    <s v="Freshwater"/>
    <s v="2Freshwater"/>
    <s v="Salmon"/>
    <s v="850"/>
    <s v="Snohomish River"/>
    <s v="Snohomish River"/>
    <s v="Snohomish"/>
    <x v="4"/>
    <s v="Other"/>
    <s v="20Other"/>
    <s v="07Non Puget Sound"/>
    <n v="742.02"/>
    <n v="2552.5488"/>
  </r>
  <r>
    <n v="2230"/>
    <x v="5"/>
    <x v="0"/>
    <x v="5"/>
    <s v="Freshwater"/>
    <s v="2Freshwater"/>
    <s v="Salmon"/>
    <s v="850"/>
    <s v="Snohomish River"/>
    <s v="Snohomish River"/>
    <s v="Snohomish"/>
    <x v="4"/>
    <s v="Pierce"/>
    <s v="07Pierce"/>
    <s v="02South Puget Sound"/>
    <n v="116.22"/>
    <n v="399.79679999999996"/>
  </r>
  <r>
    <n v="2231"/>
    <x v="5"/>
    <x v="0"/>
    <x v="5"/>
    <s v="Freshwater"/>
    <s v="2Freshwater"/>
    <s v="Salmon"/>
    <s v="850"/>
    <s v="Snohomish River"/>
    <s v="Snohomish River"/>
    <s v="Snohomish"/>
    <x v="4"/>
    <s v="Skagit"/>
    <s v="02Skagit"/>
    <s v="01North Puget Sound"/>
    <n v="35.76"/>
    <n v="123.01439999999999"/>
  </r>
  <r>
    <n v="2232"/>
    <x v="5"/>
    <x v="0"/>
    <x v="5"/>
    <s v="Freshwater"/>
    <s v="2Freshwater"/>
    <s v="Salmon"/>
    <s v="850"/>
    <s v="Snohomish River"/>
    <s v="Snohomish River"/>
    <s v="Snohomish"/>
    <x v="4"/>
    <s v="Snohomish"/>
    <s v="03Snohomish"/>
    <s v="01North Puget Sound"/>
    <n v="5748.42"/>
    <n v="19774.5648"/>
  </r>
  <r>
    <n v="2233"/>
    <x v="5"/>
    <x v="0"/>
    <x v="5"/>
    <s v="Freshwater"/>
    <s v="2Freshwater"/>
    <s v="Salmon"/>
    <s v="850"/>
    <s v="Snohomish River"/>
    <s v="Snohomish River"/>
    <s v="Snohomish"/>
    <x v="4"/>
    <s v="Thurston"/>
    <s v="08Thurston"/>
    <s v="02South Puget Sound"/>
    <n v="35.76"/>
    <n v="123.01439999999999"/>
  </r>
  <r>
    <n v="2234"/>
    <x v="5"/>
    <x v="0"/>
    <x v="5"/>
    <s v="Freshwater"/>
    <s v="2Freshwater"/>
    <s v="Salmon"/>
    <s v="850"/>
    <s v="Snohomish River"/>
    <s v="Snohomish River"/>
    <s v="Snohomish"/>
    <x v="4"/>
    <s v="Whatcom"/>
    <s v="01Whatcom"/>
    <s v="01North Puget Sound"/>
    <n v="35.76"/>
    <n v="123.01439999999999"/>
  </r>
  <r>
    <n v="2235"/>
    <x v="5"/>
    <x v="1"/>
    <x v="5"/>
    <s v="Freshwater"/>
    <s v="2Freshwater"/>
    <s v="Salmon"/>
    <s v="850"/>
    <s v="Snohomish River"/>
    <s v="Snohomish River"/>
    <s v="Snohomish"/>
    <x v="4"/>
    <s v="Island"/>
    <s v="04Island"/>
    <s v="01North Puget Sound"/>
    <n v="160.90623742454699"/>
    <n v="553.51745674044162"/>
  </r>
  <r>
    <n v="2236"/>
    <x v="5"/>
    <x v="1"/>
    <x v="5"/>
    <s v="Freshwater"/>
    <s v="2Freshwater"/>
    <s v="Salmon"/>
    <s v="850"/>
    <s v="Snohomish River"/>
    <s v="Snohomish River"/>
    <s v="Snohomish"/>
    <x v="4"/>
    <s v="King"/>
    <s v="06King"/>
    <s v="02South Puget Sound"/>
    <n v="4710.9770623742497"/>
    <n v="16205.761094567419"/>
  </r>
  <r>
    <n v="2237"/>
    <x v="5"/>
    <x v="1"/>
    <x v="5"/>
    <s v="Freshwater"/>
    <s v="2Freshwater"/>
    <s v="Salmon"/>
    <s v="850"/>
    <s v="Snohomish River"/>
    <s v="Snohomish River"/>
    <s v="Snohomish"/>
    <x v="4"/>
    <s v="Kitsap"/>
    <s v="10Kitsap"/>
    <s v="02South Puget Sound"/>
    <n v="26.817706237424598"/>
    <n v="92.25290945674061"/>
  </r>
  <r>
    <n v="2238"/>
    <x v="5"/>
    <x v="1"/>
    <x v="5"/>
    <s v="Freshwater"/>
    <s v="2Freshwater"/>
    <s v="Salmon"/>
    <s v="850"/>
    <s v="Snohomish River"/>
    <s v="Snohomish River"/>
    <s v="Snohomish"/>
    <x v="4"/>
    <s v="Other"/>
    <s v="20Other"/>
    <s v="07Non Puget Sound"/>
    <n v="2279.5050301810902"/>
    <n v="7841.49730382295"/>
  </r>
  <r>
    <n v="2239"/>
    <x v="5"/>
    <x v="1"/>
    <x v="5"/>
    <s v="Freshwater"/>
    <s v="2Freshwater"/>
    <s v="Salmon"/>
    <s v="850"/>
    <s v="Snohomish River"/>
    <s v="Snohomish River"/>
    <s v="Snohomish"/>
    <x v="4"/>
    <s v="Pierce"/>
    <s v="07Pierce"/>
    <s v="02South Puget Sound"/>
    <n v="35.756941649899403"/>
    <n v="123.00387927565394"/>
  </r>
  <r>
    <n v="2240"/>
    <x v="5"/>
    <x v="1"/>
    <x v="5"/>
    <s v="Freshwater"/>
    <s v="2Freshwater"/>
    <s v="Salmon"/>
    <s v="850"/>
    <s v="Snohomish River"/>
    <s v="Snohomish River"/>
    <s v="Snohomish"/>
    <x v="4"/>
    <s v="San Juan"/>
    <s v="05San Juan"/>
    <s v="01North Puget Sound"/>
    <n v="35.756941649899403"/>
    <n v="123.00387927565394"/>
  </r>
  <r>
    <n v="2241"/>
    <x v="5"/>
    <x v="1"/>
    <x v="5"/>
    <s v="Freshwater"/>
    <s v="2Freshwater"/>
    <s v="Salmon"/>
    <s v="850"/>
    <s v="Snohomish River"/>
    <s v="Snohomish River"/>
    <s v="Snohomish"/>
    <x v="4"/>
    <s v="Skagit"/>
    <s v="02Skagit"/>
    <s v="01North Puget Sound"/>
    <n v="98.331589537223394"/>
    <n v="338.26066800804847"/>
  </r>
  <r>
    <n v="2242"/>
    <x v="5"/>
    <x v="1"/>
    <x v="5"/>
    <s v="Freshwater"/>
    <s v="2Freshwater"/>
    <s v="Salmon"/>
    <s v="850"/>
    <s v="Snohomish River"/>
    <s v="Snohomish River"/>
    <s v="Snohomish"/>
    <x v="4"/>
    <s v="Snohomish"/>
    <s v="03Snohomish"/>
    <s v="01North Puget Sound"/>
    <n v="14669.285311871199"/>
    <n v="50462.341472836924"/>
  </r>
  <r>
    <n v="2243"/>
    <x v="5"/>
    <x v="1"/>
    <x v="5"/>
    <s v="Freshwater"/>
    <s v="2Freshwater"/>
    <s v="Salmon"/>
    <s v="850"/>
    <s v="Snohomish River"/>
    <s v="Snohomish River"/>
    <s v="Snohomish"/>
    <x v="4"/>
    <s v="Thurston"/>
    <s v="08Thurston"/>
    <s v="02South Puget Sound"/>
    <n v="169.84547283702199"/>
    <n v="584.26842655935559"/>
  </r>
  <r>
    <n v="2244"/>
    <x v="5"/>
    <x v="1"/>
    <x v="5"/>
    <s v="Freshwater"/>
    <s v="2Freshwater"/>
    <s v="Salmon"/>
    <s v="850"/>
    <s v="Snohomish River"/>
    <s v="Snohomish River"/>
    <s v="Snohomish"/>
    <x v="4"/>
    <s v="Whatcom"/>
    <s v="01Whatcom"/>
    <s v="01North Puget Sound"/>
    <n v="26.817706237424598"/>
    <n v="92.25290945674061"/>
  </r>
  <r>
    <n v="2245"/>
    <x v="5"/>
    <x v="2"/>
    <x v="5"/>
    <s v="Freshwater"/>
    <s v="2Freshwater"/>
    <s v="Salmon"/>
    <s v="850"/>
    <s v="Snohomish River"/>
    <s v="Snohomish River"/>
    <s v="Snohomish"/>
    <x v="4"/>
    <s v="Island"/>
    <s v="04Island"/>
    <s v="01North Puget Sound"/>
    <n v="17.886639676113401"/>
    <n v="61.530040485830099"/>
  </r>
  <r>
    <n v="2246"/>
    <x v="5"/>
    <x v="2"/>
    <x v="5"/>
    <s v="Freshwater"/>
    <s v="2Freshwater"/>
    <s v="Salmon"/>
    <s v="850"/>
    <s v="Snohomish River"/>
    <s v="Snohomish River"/>
    <s v="Snohomish"/>
    <x v="4"/>
    <s v="King"/>
    <s v="06King"/>
    <s v="02South Puget Sound"/>
    <n v="813.84210526315803"/>
    <n v="2799.6168421052635"/>
  </r>
  <r>
    <n v="2247"/>
    <x v="5"/>
    <x v="2"/>
    <x v="5"/>
    <s v="Freshwater"/>
    <s v="2Freshwater"/>
    <s v="Salmon"/>
    <s v="850"/>
    <s v="Snohomish River"/>
    <s v="Snohomish River"/>
    <s v="Snohomish"/>
    <x v="4"/>
    <s v="Kitsap"/>
    <s v="10Kitsap"/>
    <s v="02South Puget Sound"/>
    <n v="26.82995951417"/>
    <n v="92.295060728744801"/>
  </r>
  <r>
    <n v="2248"/>
    <x v="5"/>
    <x v="2"/>
    <x v="5"/>
    <s v="Freshwater"/>
    <s v="2Freshwater"/>
    <s v="Salmon"/>
    <s v="850"/>
    <s v="Snohomish River"/>
    <s v="Snohomish River"/>
    <s v="Snohomish"/>
    <x v="4"/>
    <s v="Other"/>
    <s v="20Other"/>
    <s v="07Non Puget Sound"/>
    <n v="232.52631578947401"/>
    <n v="799.89052631579057"/>
  </r>
  <r>
    <n v="2249"/>
    <x v="5"/>
    <x v="2"/>
    <x v="5"/>
    <s v="Freshwater"/>
    <s v="2Freshwater"/>
    <s v="Salmon"/>
    <s v="850"/>
    <s v="Snohomish River"/>
    <s v="Snohomish River"/>
    <s v="Snohomish"/>
    <x v="4"/>
    <s v="Pierce"/>
    <s v="07Pierce"/>
    <s v="02South Puget Sound"/>
    <n v="26.82995951417"/>
    <n v="92.295060728744801"/>
  </r>
  <r>
    <n v="2250"/>
    <x v="5"/>
    <x v="2"/>
    <x v="5"/>
    <s v="Freshwater"/>
    <s v="2Freshwater"/>
    <s v="Salmon"/>
    <s v="850"/>
    <s v="Snohomish River"/>
    <s v="Snohomish River"/>
    <s v="Snohomish"/>
    <x v="4"/>
    <s v="Snohomish"/>
    <s v="03Snohomish"/>
    <s v="01North Puget Sound"/>
    <n v="1064.2550607287501"/>
    <n v="3661.0374089069001"/>
  </r>
  <r>
    <n v="2251"/>
    <x v="5"/>
    <x v="2"/>
    <x v="5"/>
    <s v="Freshwater"/>
    <s v="2Freshwater"/>
    <s v="Salmon"/>
    <s v="850"/>
    <s v="Snohomish River"/>
    <s v="Snohomish River"/>
    <s v="Snohomish"/>
    <x v="4"/>
    <s v="Thurston"/>
    <s v="08Thurston"/>
    <s v="02South Puget Sound"/>
    <n v="8.9433198380566807"/>
    <n v="30.765020242914982"/>
  </r>
  <r>
    <n v="2252"/>
    <x v="5"/>
    <x v="2"/>
    <x v="5"/>
    <s v="Freshwater"/>
    <s v="2Freshwater"/>
    <s v="Salmon"/>
    <s v="850"/>
    <s v="Snohomish River"/>
    <s v="Snohomish River"/>
    <s v="Snohomish"/>
    <x v="4"/>
    <s v="Whatcom"/>
    <s v="01Whatcom"/>
    <s v="01North Puget Sound"/>
    <n v="17.886639676113401"/>
    <n v="61.530040485830099"/>
  </r>
  <r>
    <n v="2253"/>
    <x v="5"/>
    <x v="1"/>
    <x v="5"/>
    <s v="Freshwater"/>
    <s v="2Freshwater"/>
    <s v="Salmon"/>
    <s v="852"/>
    <s v="Snoqualmie River"/>
    <s v="Snoqualmie River"/>
    <s v="Snohomish/King"/>
    <x v="4"/>
    <s v="King"/>
    <s v="06King"/>
    <s v="02South Puget Sound"/>
    <n v="104"/>
    <n v="357.76"/>
  </r>
  <r>
    <n v="2254"/>
    <x v="5"/>
    <x v="1"/>
    <x v="5"/>
    <s v="Freshwater"/>
    <s v="2Freshwater"/>
    <s v="Salmon"/>
    <s v="852"/>
    <s v="Snoqualmie River"/>
    <s v="Snoqualmie River"/>
    <s v="Snohomish/King"/>
    <x v="4"/>
    <s v="Snohomish"/>
    <s v="03Snohomish"/>
    <s v="01North Puget Sound"/>
    <n v="208"/>
    <n v="715.52"/>
  </r>
  <r>
    <n v="2255"/>
    <x v="5"/>
    <x v="2"/>
    <x v="5"/>
    <s v="Freshwater"/>
    <s v="2Freshwater"/>
    <s v="Salmon"/>
    <s v="852"/>
    <s v="Snoqualmie River"/>
    <s v="Snoqualmie River"/>
    <s v="Snohomish/King"/>
    <x v="4"/>
    <s v="King"/>
    <s v="06King"/>
    <s v="02South Puget Sound"/>
    <n v="46.818181818181799"/>
    <n v="161.05454545454538"/>
  </r>
  <r>
    <n v="2256"/>
    <x v="5"/>
    <x v="2"/>
    <x v="5"/>
    <s v="Freshwater"/>
    <s v="2Freshwater"/>
    <s v="Salmon"/>
    <s v="852"/>
    <s v="Snoqualmie River"/>
    <s v="Snoqualmie River"/>
    <s v="Snohomish/King"/>
    <x v="4"/>
    <s v="Snohomish"/>
    <s v="03Snohomish"/>
    <s v="01North Puget Sound"/>
    <n v="56.181818181818201"/>
    <n v="193.26545454545462"/>
  </r>
  <r>
    <n v="2257"/>
    <x v="5"/>
    <x v="3"/>
    <x v="5"/>
    <s v="Freshwater"/>
    <s v="2Freshwater"/>
    <s v="Salmon"/>
    <s v="852"/>
    <s v="Snoqualmie River"/>
    <s v="Snoqualmie River"/>
    <s v="Snohomish/King"/>
    <x v="4"/>
    <s v="King"/>
    <s v="06King"/>
    <s v="02South Puget Sound"/>
    <n v="11"/>
    <n v="37.839999999999996"/>
  </r>
  <r>
    <n v="2258"/>
    <x v="5"/>
    <x v="1"/>
    <x v="5"/>
    <s v="Freshwater"/>
    <s v="2Freshwater"/>
    <s v="Salmon"/>
    <s v="860"/>
    <s v="Wallace River"/>
    <s v="Wallace River"/>
    <s v="Snohomish"/>
    <x v="4"/>
    <s v="King"/>
    <s v="06King"/>
    <s v="02South Puget Sound"/>
    <n v="27"/>
    <n v="92.88"/>
  </r>
  <r>
    <n v="2259"/>
    <x v="5"/>
    <x v="1"/>
    <x v="5"/>
    <s v="Freshwater"/>
    <s v="2Freshwater"/>
    <s v="Salmon"/>
    <s v="860"/>
    <s v="Wallace River"/>
    <s v="Wallace River"/>
    <s v="Snohomish"/>
    <x v="4"/>
    <s v="Other"/>
    <s v="20Other"/>
    <s v="07Non Puget Sound"/>
    <n v="36"/>
    <n v="123.84"/>
  </r>
  <r>
    <n v="2260"/>
    <x v="5"/>
    <x v="2"/>
    <x v="5"/>
    <s v="Freshwater"/>
    <s v="2Freshwater"/>
    <s v="Salmon"/>
    <s v="860"/>
    <s v="Wallace River"/>
    <s v="Wallace River"/>
    <s v="Snohomish"/>
    <x v="4"/>
    <s v="King"/>
    <s v="06King"/>
    <s v="02South Puget Sound"/>
    <n v="62.4166666666667"/>
    <n v="214.71333333333345"/>
  </r>
  <r>
    <n v="2261"/>
    <x v="5"/>
    <x v="2"/>
    <x v="5"/>
    <s v="Freshwater"/>
    <s v="2Freshwater"/>
    <s v="Salmon"/>
    <s v="860"/>
    <s v="Wallace River"/>
    <s v="Wallace River"/>
    <s v="Snohomish"/>
    <x v="4"/>
    <s v="Other"/>
    <s v="20Other"/>
    <s v="07Non Puget Sound"/>
    <n v="8.9166666666666696"/>
    <n v="30.673333333333343"/>
  </r>
  <r>
    <n v="2262"/>
    <x v="5"/>
    <x v="2"/>
    <x v="5"/>
    <s v="Freshwater"/>
    <s v="2Freshwater"/>
    <s v="Salmon"/>
    <s v="860"/>
    <s v="Wallace River"/>
    <s v="Wallace River"/>
    <s v="Snohomish"/>
    <x v="4"/>
    <s v="Snohomish"/>
    <s v="03Snohomish"/>
    <s v="01North Puget Sound"/>
    <n v="26.75"/>
    <n v="92.02"/>
  </r>
  <r>
    <n v="2263"/>
    <x v="5"/>
    <x v="2"/>
    <x v="5"/>
    <s v="Freshwater"/>
    <s v="2Freshwater"/>
    <s v="Salmon"/>
    <s v="860"/>
    <s v="Wallace River"/>
    <s v="Wallace River"/>
    <s v="Snohomish"/>
    <x v="4"/>
    <s v="Whatcom"/>
    <s v="01Whatcom"/>
    <s v="01North Puget Sound"/>
    <n v="8.9166666666666696"/>
    <n v="30.673333333333343"/>
  </r>
  <r>
    <n v="2264"/>
    <x v="5"/>
    <x v="1"/>
    <x v="5"/>
    <s v="Freshwater"/>
    <s v="2Freshwater"/>
    <s v="Salmon"/>
    <s v="872"/>
    <s v="Stillaguamish River"/>
    <s v="Stillaguamish River"/>
    <s v="Snohomish"/>
    <x v="4"/>
    <s v="Island"/>
    <s v="04Island"/>
    <s v="01North Puget Sound"/>
    <n v="89.4326241134752"/>
    <n v="307.64822695035468"/>
  </r>
  <r>
    <n v="2265"/>
    <x v="5"/>
    <x v="1"/>
    <x v="5"/>
    <s v="Freshwater"/>
    <s v="2Freshwater"/>
    <s v="Salmon"/>
    <s v="872"/>
    <s v="Stillaguamish River"/>
    <s v="Stillaguamish River"/>
    <s v="Snohomish"/>
    <x v="4"/>
    <s v="King"/>
    <s v="06King"/>
    <s v="02South Puget Sound"/>
    <n v="35.773049645390103"/>
    <n v="123.05929078014195"/>
  </r>
  <r>
    <n v="2266"/>
    <x v="5"/>
    <x v="1"/>
    <x v="5"/>
    <s v="Freshwater"/>
    <s v="2Freshwater"/>
    <s v="Salmon"/>
    <s v="872"/>
    <s v="Stillaguamish River"/>
    <s v="Stillaguamish River"/>
    <s v="Snohomish"/>
    <x v="4"/>
    <s v="Other"/>
    <s v="20Other"/>
    <s v="07Non Puget Sound"/>
    <n v="160.97872340425499"/>
    <n v="553.76680851063713"/>
  </r>
  <r>
    <n v="2267"/>
    <x v="5"/>
    <x v="1"/>
    <x v="5"/>
    <s v="Freshwater"/>
    <s v="2Freshwater"/>
    <s v="Salmon"/>
    <s v="872"/>
    <s v="Stillaguamish River"/>
    <s v="Stillaguamish River"/>
    <s v="Snohomish"/>
    <x v="4"/>
    <s v="Skagit"/>
    <s v="02Skagit"/>
    <s v="01North Puget Sound"/>
    <n v="35.773049645390103"/>
    <n v="123.05929078014195"/>
  </r>
  <r>
    <n v="2268"/>
    <x v="5"/>
    <x v="1"/>
    <x v="5"/>
    <s v="Freshwater"/>
    <s v="2Freshwater"/>
    <s v="Salmon"/>
    <s v="872"/>
    <s v="Stillaguamish River"/>
    <s v="Stillaguamish River"/>
    <s v="Snohomish"/>
    <x v="4"/>
    <s v="Snohomish"/>
    <s v="03Snohomish"/>
    <s v="01North Puget Sound"/>
    <n v="2200.0425531914898"/>
    <n v="7568.1463829787244"/>
  </r>
  <r>
    <n v="2269"/>
    <x v="5"/>
    <x v="2"/>
    <x v="5"/>
    <s v="Freshwater"/>
    <s v="2Freshwater"/>
    <s v="Salmon"/>
    <s v="872"/>
    <s v="Stillaguamish River"/>
    <s v="Stillaguamish River"/>
    <s v="Snohomish"/>
    <x v="4"/>
    <s v="Island"/>
    <s v="04Island"/>
    <s v="01North Puget Sound"/>
    <n v="35.5555555555556"/>
    <n v="122.31111111111126"/>
  </r>
  <r>
    <n v="2270"/>
    <x v="5"/>
    <x v="2"/>
    <x v="5"/>
    <s v="Freshwater"/>
    <s v="2Freshwater"/>
    <s v="Salmon"/>
    <s v="872"/>
    <s v="Stillaguamish River"/>
    <s v="Stillaguamish River"/>
    <s v="Snohomish"/>
    <x v="4"/>
    <s v="King"/>
    <s v="06King"/>
    <s v="02South Puget Sound"/>
    <n v="53.3333333333333"/>
    <n v="183.46666666666655"/>
  </r>
  <r>
    <n v="2271"/>
    <x v="5"/>
    <x v="2"/>
    <x v="5"/>
    <s v="Freshwater"/>
    <s v="2Freshwater"/>
    <s v="Salmon"/>
    <s v="872"/>
    <s v="Stillaguamish River"/>
    <s v="Stillaguamish River"/>
    <s v="Snohomish"/>
    <x v="4"/>
    <s v="Other"/>
    <s v="20Other"/>
    <s v="07Non Puget Sound"/>
    <n v="8.8888888888888893"/>
    <n v="30.577777777777779"/>
  </r>
  <r>
    <n v="2272"/>
    <x v="5"/>
    <x v="2"/>
    <x v="5"/>
    <s v="Freshwater"/>
    <s v="2Freshwater"/>
    <s v="Salmon"/>
    <s v="872"/>
    <s v="Stillaguamish River"/>
    <s v="Stillaguamish River"/>
    <s v="Snohomish"/>
    <x v="4"/>
    <s v="Snohomish"/>
    <s v="03Snohomish"/>
    <s v="01North Puget Sound"/>
    <n v="222.222222222222"/>
    <n v="764.44444444444366"/>
  </r>
  <r>
    <n v="2273"/>
    <x v="5"/>
    <x v="0"/>
    <x v="5"/>
    <s v="Freshwater"/>
    <s v="2Freshwater"/>
    <s v="Salmon"/>
    <s v="884"/>
    <s v="Whatcom Creek"/>
    <s v="Whatcom Creek"/>
    <s v="Whatcom"/>
    <x v="1"/>
    <s v="Other"/>
    <s v="20Other"/>
    <s v="07Non Puget Sound"/>
    <n v="8.6666666666666696"/>
    <n v="29.813333333333343"/>
  </r>
  <r>
    <n v="2274"/>
    <x v="5"/>
    <x v="0"/>
    <x v="5"/>
    <s v="Freshwater"/>
    <s v="2Freshwater"/>
    <s v="Salmon"/>
    <s v="884"/>
    <s v="Whatcom Creek"/>
    <s v="Whatcom Creek"/>
    <s v="Whatcom"/>
    <x v="1"/>
    <s v="Pierce"/>
    <s v="07Pierce"/>
    <s v="02South Puget Sound"/>
    <n v="26"/>
    <n v="89.44"/>
  </r>
  <r>
    <n v="2275"/>
    <x v="5"/>
    <x v="0"/>
    <x v="5"/>
    <s v="Freshwater"/>
    <s v="2Freshwater"/>
    <s v="Salmon"/>
    <s v="884"/>
    <s v="Whatcom Creek"/>
    <s v="Whatcom Creek"/>
    <s v="Whatcom"/>
    <x v="1"/>
    <s v="Whatcom"/>
    <s v="01Whatcom"/>
    <s v="01North Puget Sound"/>
    <n v="17.3333333333333"/>
    <n v="59.626666666666551"/>
  </r>
  <r>
    <n v="2276"/>
    <x v="5"/>
    <x v="1"/>
    <x v="5"/>
    <s v="Freshwater"/>
    <s v="2Freshwater"/>
    <s v="Salmon"/>
    <s v="884"/>
    <s v="Whatcom Creek"/>
    <s v="Whatcom Creek"/>
    <s v="Whatcom"/>
    <x v="1"/>
    <s v="Whatcom"/>
    <s v="01Whatcom"/>
    <s v="01North Puget Sound"/>
    <n v="17"/>
    <n v="58.48"/>
  </r>
  <r>
    <n v="2277"/>
    <x v="5"/>
    <x v="2"/>
    <x v="5"/>
    <s v="Freshwater"/>
    <s v="2Freshwater"/>
    <s v="Salmon"/>
    <s v="884"/>
    <s v="Whatcom Creek"/>
    <s v="Whatcom Creek"/>
    <s v="Whatcom"/>
    <x v="1"/>
    <s v="Island"/>
    <s v="04Island"/>
    <s v="01North Puget Sound"/>
    <n v="17.6666666666667"/>
    <n v="60.773333333333447"/>
  </r>
  <r>
    <n v="2278"/>
    <x v="5"/>
    <x v="2"/>
    <x v="5"/>
    <s v="Freshwater"/>
    <s v="2Freshwater"/>
    <s v="Salmon"/>
    <s v="884"/>
    <s v="Whatcom Creek"/>
    <s v="Whatcom Creek"/>
    <s v="Whatcom"/>
    <x v="1"/>
    <s v="Whatcom"/>
    <s v="01Whatcom"/>
    <s v="01North Puget Sound"/>
    <n v="141.333333333333"/>
    <n v="486.18666666666553"/>
  </r>
  <r>
    <n v="2279"/>
    <x v="5"/>
    <x v="3"/>
    <x v="5"/>
    <s v="Freshwater"/>
    <s v="2Freshwater"/>
    <s v="Salmon"/>
    <s v="884"/>
    <s v="Whatcom Creek"/>
    <s v="Whatcom Creek"/>
    <s v="Whatcom"/>
    <x v="1"/>
    <s v="Island"/>
    <s v="04Island"/>
    <s v="01North Puget Sound"/>
    <n v="178.70445344129601"/>
    <n v="614.74331983805826"/>
  </r>
  <r>
    <n v="2280"/>
    <x v="5"/>
    <x v="3"/>
    <x v="5"/>
    <s v="Freshwater"/>
    <s v="2Freshwater"/>
    <s v="Salmon"/>
    <s v="884"/>
    <s v="Whatcom Creek"/>
    <s v="Whatcom Creek"/>
    <s v="Whatcom"/>
    <x v="1"/>
    <s v="Jefferson"/>
    <s v="12Jefferson"/>
    <s v="03Strait of Juan de Fuca"/>
    <n v="17.8704453441296"/>
    <n v="61.474331983805818"/>
  </r>
  <r>
    <n v="2281"/>
    <x v="5"/>
    <x v="3"/>
    <x v="5"/>
    <s v="Freshwater"/>
    <s v="2Freshwater"/>
    <s v="Salmon"/>
    <s v="884"/>
    <s v="Whatcom Creek"/>
    <s v="Whatcom Creek"/>
    <s v="Whatcom"/>
    <x v="1"/>
    <s v="Other"/>
    <s v="20Other"/>
    <s v="07Non Puget Sound"/>
    <n v="107.222672064777"/>
    <n v="368.84599190283285"/>
  </r>
  <r>
    <n v="2282"/>
    <x v="5"/>
    <x v="3"/>
    <x v="5"/>
    <s v="Freshwater"/>
    <s v="2Freshwater"/>
    <s v="Salmon"/>
    <s v="884"/>
    <s v="Whatcom Creek"/>
    <s v="Whatcom Creek"/>
    <s v="Whatcom"/>
    <x v="1"/>
    <s v="Pierce"/>
    <s v="07Pierce"/>
    <s v="02South Puget Sound"/>
    <n v="44.676113360323903"/>
    <n v="153.68582995951422"/>
  </r>
  <r>
    <n v="2283"/>
    <x v="5"/>
    <x v="3"/>
    <x v="5"/>
    <s v="Freshwater"/>
    <s v="2Freshwater"/>
    <s v="Salmon"/>
    <s v="884"/>
    <s v="Whatcom Creek"/>
    <s v="Whatcom Creek"/>
    <s v="Whatcom"/>
    <x v="1"/>
    <s v="Skagit"/>
    <s v="02Skagit"/>
    <s v="01North Puget Sound"/>
    <n v="294.86234817813801"/>
    <n v="1014.3264777327947"/>
  </r>
  <r>
    <n v="2284"/>
    <x v="5"/>
    <x v="3"/>
    <x v="5"/>
    <s v="Freshwater"/>
    <s v="2Freshwater"/>
    <s v="Salmon"/>
    <s v="884"/>
    <s v="Whatcom Creek"/>
    <s v="Whatcom Creek"/>
    <s v="Whatcom"/>
    <x v="1"/>
    <s v="Snohomish"/>
    <s v="03Snohomish"/>
    <s v="01North Puget Sound"/>
    <n v="142.963562753036"/>
    <n v="491.79465587044382"/>
  </r>
  <r>
    <n v="2285"/>
    <x v="5"/>
    <x v="3"/>
    <x v="5"/>
    <s v="Freshwater"/>
    <s v="2Freshwater"/>
    <s v="Salmon"/>
    <s v="884"/>
    <s v="Whatcom Creek"/>
    <s v="Whatcom Creek"/>
    <s v="Whatcom"/>
    <x v="1"/>
    <s v="Thurston"/>
    <s v="08Thurston"/>
    <s v="02South Puget Sound"/>
    <n v="98.287449392712603"/>
    <n v="338.10882591093133"/>
  </r>
  <r>
    <n v="2286"/>
    <x v="5"/>
    <x v="3"/>
    <x v="5"/>
    <s v="Freshwater"/>
    <s v="2Freshwater"/>
    <s v="Salmon"/>
    <s v="884"/>
    <s v="Whatcom Creek"/>
    <s v="Whatcom Creek"/>
    <s v="Whatcom"/>
    <x v="1"/>
    <s v="Whatcom"/>
    <s v="01Whatcom"/>
    <s v="01North Puget Sound"/>
    <n v="1322.4129554655899"/>
    <n v="4549.1005668016296"/>
  </r>
  <r>
    <n v="2287"/>
    <x v="5"/>
    <x v="4"/>
    <x v="5"/>
    <s v="Freshwater"/>
    <s v="2Freshwater"/>
    <s v="Salmon"/>
    <s v="884"/>
    <s v="Whatcom Creek"/>
    <s v="Whatcom Creek"/>
    <s v="Whatcom"/>
    <x v="1"/>
    <s v="Thurston"/>
    <s v="08Thurston"/>
    <s v="02South Puget Sound"/>
    <n v="27"/>
    <n v="92.88"/>
  </r>
  <r>
    <n v="2288"/>
    <x v="5"/>
    <x v="4"/>
    <x v="5"/>
    <s v="Freshwater"/>
    <s v="2Freshwater"/>
    <s v="Salmon"/>
    <s v="884"/>
    <s v="Whatcom Creek"/>
    <s v="Whatcom Creek"/>
    <s v="Whatcom"/>
    <x v="1"/>
    <s v="Whatcom"/>
    <s v="01Whatcom"/>
    <s v="01North Puget Sound"/>
    <n v="18"/>
    <n v="61.92"/>
  </r>
  <r>
    <n v="2289"/>
    <x v="6"/>
    <x v="2"/>
    <x v="6"/>
    <s v="Freshwater"/>
    <s v="2Freshwater"/>
    <s v="Salmon"/>
    <s v="724"/>
    <s v="Dakota Creek (Whatcom Co)"/>
    <s v="Dakota Creek (Whatcom Co)"/>
    <s v="Whatcom"/>
    <x v="1"/>
    <s v="Whatcom"/>
    <s v="01Whatcom"/>
    <s v="01North Puget Sound"/>
    <n v="10"/>
    <n v="86.5"/>
  </r>
  <r>
    <n v="2290"/>
    <x v="6"/>
    <x v="1"/>
    <x v="6"/>
    <s v="Freshwater"/>
    <s v="2Freshwater"/>
    <s v="Salmon"/>
    <s v="728"/>
    <s v="Deschutes River"/>
    <s v="Deschutes River"/>
    <s v="Thurston"/>
    <x v="0"/>
    <s v="Other"/>
    <s v="20Other"/>
    <s v="07Non Puget Sound"/>
    <n v="24"/>
    <n v="207.60000000000002"/>
  </r>
  <r>
    <n v="2291"/>
    <x v="6"/>
    <x v="2"/>
    <x v="6"/>
    <s v="Freshwater"/>
    <s v="2Freshwater"/>
    <s v="Salmon"/>
    <s v="732"/>
    <s v="Dewatto River"/>
    <s v="Dewatto River"/>
    <s v="Mason"/>
    <x v="0"/>
    <s v="Kitsap"/>
    <s v="10Kitsap"/>
    <s v="02South Puget Sound"/>
    <n v="63"/>
    <n v="544.95000000000005"/>
  </r>
  <r>
    <n v="2292"/>
    <x v="6"/>
    <x v="2"/>
    <x v="6"/>
    <s v="Freshwater"/>
    <s v="2Freshwater"/>
    <s v="Salmon"/>
    <s v="738"/>
    <s v="Dungeness River"/>
    <s v="Dungeness River"/>
    <s v="Clallam"/>
    <x v="3"/>
    <s v="Clallam"/>
    <s v="11Clallam"/>
    <s v="03Strait of Juan de Fuca"/>
    <n v="416.42857142857201"/>
    <n v="3602.1071428571481"/>
  </r>
  <r>
    <n v="2293"/>
    <x v="6"/>
    <x v="2"/>
    <x v="6"/>
    <s v="Freshwater"/>
    <s v="2Freshwater"/>
    <s v="Salmon"/>
    <s v="738"/>
    <s v="Dungeness River"/>
    <s v="Dungeness River"/>
    <s v="Clallam"/>
    <x v="3"/>
    <s v="Jefferson"/>
    <s v="12Jefferson"/>
    <s v="03Strait of Juan de Fuca"/>
    <n v="37.015873015872998"/>
    <n v="320.18730158730142"/>
  </r>
  <r>
    <n v="2294"/>
    <x v="6"/>
    <x v="2"/>
    <x v="6"/>
    <s v="Freshwater"/>
    <s v="2Freshwater"/>
    <s v="Salmon"/>
    <s v="738"/>
    <s v="Dungeness River"/>
    <s v="Dungeness River"/>
    <s v="Clallam"/>
    <x v="3"/>
    <s v="King"/>
    <s v="06King"/>
    <s v="02South Puget Sound"/>
    <n v="9.2539682539682602"/>
    <n v="80.046825396825454"/>
  </r>
  <r>
    <n v="2295"/>
    <x v="6"/>
    <x v="2"/>
    <x v="6"/>
    <s v="Freshwater"/>
    <s v="2Freshwater"/>
    <s v="Salmon"/>
    <s v="738"/>
    <s v="Dungeness River"/>
    <s v="Dungeness River"/>
    <s v="Clallam"/>
    <x v="3"/>
    <s v="Kitsap"/>
    <s v="10Kitsap"/>
    <s v="02South Puget Sound"/>
    <n v="37.015873015872998"/>
    <n v="320.18730158730142"/>
  </r>
  <r>
    <n v="2296"/>
    <x v="6"/>
    <x v="2"/>
    <x v="6"/>
    <s v="Freshwater"/>
    <s v="2Freshwater"/>
    <s v="Salmon"/>
    <s v="738"/>
    <s v="Dungeness River"/>
    <s v="Dungeness River"/>
    <s v="Clallam"/>
    <x v="3"/>
    <s v="Mason"/>
    <s v="09Mason"/>
    <s v="02South Puget Sound"/>
    <n v="9.2539682539682602"/>
    <n v="80.046825396825454"/>
  </r>
  <r>
    <n v="2297"/>
    <x v="6"/>
    <x v="2"/>
    <x v="6"/>
    <s v="Freshwater"/>
    <s v="2Freshwater"/>
    <s v="Salmon"/>
    <s v="738"/>
    <s v="Dungeness River"/>
    <s v="Dungeness River"/>
    <s v="Clallam"/>
    <x v="3"/>
    <s v="Other"/>
    <s v="20Other"/>
    <s v="07Non Puget Sound"/>
    <n v="37.015873015872998"/>
    <n v="320.18730158730142"/>
  </r>
  <r>
    <n v="2298"/>
    <x v="6"/>
    <x v="2"/>
    <x v="6"/>
    <s v="Freshwater"/>
    <s v="2Freshwater"/>
    <s v="Salmon"/>
    <s v="738"/>
    <s v="Dungeness River"/>
    <s v="Dungeness River"/>
    <s v="Clallam"/>
    <x v="3"/>
    <s v="Pierce"/>
    <s v="07Pierce"/>
    <s v="02South Puget Sound"/>
    <n v="18.507936507936499"/>
    <n v="160.09365079365071"/>
  </r>
  <r>
    <n v="2299"/>
    <x v="6"/>
    <x v="2"/>
    <x v="6"/>
    <s v="Freshwater"/>
    <s v="2Freshwater"/>
    <s v="Salmon"/>
    <s v="738"/>
    <s v="Dungeness River"/>
    <s v="Dungeness River"/>
    <s v="Clallam"/>
    <x v="3"/>
    <s v="Thurston"/>
    <s v="08Thurston"/>
    <s v="02South Puget Sound"/>
    <n v="18.507936507936499"/>
    <n v="160.09365079365071"/>
  </r>
  <r>
    <n v="2300"/>
    <x v="6"/>
    <x v="3"/>
    <x v="6"/>
    <s v="Freshwater"/>
    <s v="2Freshwater"/>
    <s v="Salmon"/>
    <s v="738"/>
    <s v="Dungeness River"/>
    <s v="Dungeness River"/>
    <s v="Clallam"/>
    <x v="3"/>
    <s v="Clallam"/>
    <s v="11Clallam"/>
    <s v="03Strait of Juan de Fuca"/>
    <n v="175"/>
    <n v="1513.75"/>
  </r>
  <r>
    <n v="2301"/>
    <x v="6"/>
    <x v="3"/>
    <x v="6"/>
    <s v="Freshwater"/>
    <s v="2Freshwater"/>
    <s v="Salmon"/>
    <s v="738"/>
    <s v="Dungeness River"/>
    <s v="Dungeness River"/>
    <s v="Clallam"/>
    <x v="3"/>
    <s v="Kitsap"/>
    <s v="10Kitsap"/>
    <s v="02South Puget Sound"/>
    <n v="35"/>
    <n v="302.75"/>
  </r>
  <r>
    <n v="2302"/>
    <x v="6"/>
    <x v="1"/>
    <x v="6"/>
    <s v="Freshwater"/>
    <s v="2Freshwater"/>
    <s v="Salmon"/>
    <s v="746"/>
    <s v="Green - Duwamish River"/>
    <s v="Green - Duwamish River"/>
    <s v="King"/>
    <x v="0"/>
    <s v="King"/>
    <s v="06King"/>
    <s v="02South Puget Sound"/>
    <n v="556.35211267605598"/>
    <n v="4812.4457746478847"/>
  </r>
  <r>
    <n v="2303"/>
    <x v="6"/>
    <x v="1"/>
    <x v="6"/>
    <s v="Freshwater"/>
    <s v="2Freshwater"/>
    <s v="Salmon"/>
    <s v="746"/>
    <s v="Green - Duwamish River"/>
    <s v="Green - Duwamish River"/>
    <s v="King"/>
    <x v="0"/>
    <s v="Other"/>
    <s v="20Other"/>
    <s v="07Non Puget Sound"/>
    <n v="52.985915492957801"/>
    <n v="458.32816901408501"/>
  </r>
  <r>
    <n v="2304"/>
    <x v="6"/>
    <x v="1"/>
    <x v="6"/>
    <s v="Freshwater"/>
    <s v="2Freshwater"/>
    <s v="Salmon"/>
    <s v="746"/>
    <s v="Green - Duwamish River"/>
    <s v="Green - Duwamish River"/>
    <s v="King"/>
    <x v="0"/>
    <s v="Pierce"/>
    <s v="07Pierce"/>
    <s v="02South Puget Sound"/>
    <n v="8.8309859154929597"/>
    <n v="76.388028169014106"/>
  </r>
  <r>
    <n v="2305"/>
    <x v="6"/>
    <x v="1"/>
    <x v="6"/>
    <s v="Freshwater"/>
    <s v="2Freshwater"/>
    <s v="Salmon"/>
    <s v="746"/>
    <s v="Green - Duwamish River"/>
    <s v="Green - Duwamish River"/>
    <s v="King"/>
    <x v="0"/>
    <s v="Whatcom"/>
    <s v="01Whatcom"/>
    <s v="01North Puget Sound"/>
    <n v="8.8309859154929597"/>
    <n v="76.388028169014106"/>
  </r>
  <r>
    <n v="2306"/>
    <x v="6"/>
    <x v="2"/>
    <x v="6"/>
    <s v="Freshwater"/>
    <s v="2Freshwater"/>
    <s v="Salmon"/>
    <s v="746"/>
    <s v="Green - Duwamish River"/>
    <s v="Green - Duwamish River"/>
    <s v="King"/>
    <x v="0"/>
    <s v="Clallam"/>
    <s v="11Clallam"/>
    <s v="03Strait of Juan de Fuca"/>
    <n v="9.0136986301369895"/>
    <n v="77.968493150684964"/>
  </r>
  <r>
    <n v="2307"/>
    <x v="6"/>
    <x v="2"/>
    <x v="6"/>
    <s v="Freshwater"/>
    <s v="2Freshwater"/>
    <s v="Salmon"/>
    <s v="746"/>
    <s v="Green - Duwamish River"/>
    <s v="Green - Duwamish River"/>
    <s v="King"/>
    <x v="0"/>
    <s v="King"/>
    <s v="06King"/>
    <s v="02South Puget Sound"/>
    <n v="1144.7397260273999"/>
    <n v="9901.99863013701"/>
  </r>
  <r>
    <n v="2308"/>
    <x v="6"/>
    <x v="2"/>
    <x v="6"/>
    <s v="Freshwater"/>
    <s v="2Freshwater"/>
    <s v="Salmon"/>
    <s v="746"/>
    <s v="Green - Duwamish River"/>
    <s v="Green - Duwamish River"/>
    <s v="King"/>
    <x v="0"/>
    <s v="Kitsap"/>
    <s v="10Kitsap"/>
    <s v="02South Puget Sound"/>
    <n v="36.054794520548"/>
    <n v="311.8739726027402"/>
  </r>
  <r>
    <n v="2309"/>
    <x v="6"/>
    <x v="2"/>
    <x v="6"/>
    <s v="Freshwater"/>
    <s v="2Freshwater"/>
    <s v="Salmon"/>
    <s v="746"/>
    <s v="Green - Duwamish River"/>
    <s v="Green - Duwamish River"/>
    <s v="King"/>
    <x v="0"/>
    <s v="Pierce"/>
    <s v="07Pierce"/>
    <s v="02South Puget Sound"/>
    <n v="72.109589041095902"/>
    <n v="623.7479452054796"/>
  </r>
  <r>
    <n v="2310"/>
    <x v="6"/>
    <x v="2"/>
    <x v="6"/>
    <s v="Freshwater"/>
    <s v="2Freshwater"/>
    <s v="Salmon"/>
    <s v="746"/>
    <s v="Green - Duwamish River"/>
    <s v="Green - Duwamish River"/>
    <s v="King"/>
    <x v="0"/>
    <s v="Snohomish"/>
    <s v="03Snohomish"/>
    <s v="01North Puget Sound"/>
    <n v="27.041095890411"/>
    <n v="233.90547945205518"/>
  </r>
  <r>
    <n v="2311"/>
    <x v="6"/>
    <x v="2"/>
    <x v="6"/>
    <s v="Freshwater"/>
    <s v="2Freshwater"/>
    <s v="Salmon"/>
    <s v="746"/>
    <s v="Green - Duwamish River"/>
    <s v="Green - Duwamish River"/>
    <s v="King"/>
    <x v="0"/>
    <s v="Thurston"/>
    <s v="08Thurston"/>
    <s v="02South Puget Sound"/>
    <n v="27.041095890411"/>
    <n v="233.90547945205518"/>
  </r>
  <r>
    <n v="2312"/>
    <x v="6"/>
    <x v="3"/>
    <x v="6"/>
    <s v="Freshwater"/>
    <s v="2Freshwater"/>
    <s v="Salmon"/>
    <s v="746"/>
    <s v="Green - Duwamish River"/>
    <s v="Green - Duwamish River"/>
    <s v="King"/>
    <x v="0"/>
    <s v="King"/>
    <s v="06King"/>
    <s v="02South Puget Sound"/>
    <n v="796.28225806451599"/>
    <n v="6887.8415322580631"/>
  </r>
  <r>
    <n v="2313"/>
    <x v="6"/>
    <x v="3"/>
    <x v="6"/>
    <s v="Freshwater"/>
    <s v="2Freshwater"/>
    <s v="Salmon"/>
    <s v="746"/>
    <s v="Green - Duwamish River"/>
    <s v="Green - Duwamish River"/>
    <s v="King"/>
    <x v="0"/>
    <s v="Other"/>
    <s v="20Other"/>
    <s v="07Non Puget Sound"/>
    <n v="9.8306451612903203"/>
    <n v="85.035080645161273"/>
  </r>
  <r>
    <n v="2314"/>
    <x v="6"/>
    <x v="3"/>
    <x v="6"/>
    <s v="Freshwater"/>
    <s v="2Freshwater"/>
    <s v="Salmon"/>
    <s v="746"/>
    <s v="Green - Duwamish River"/>
    <s v="Green - Duwamish River"/>
    <s v="King"/>
    <x v="0"/>
    <s v="Pierce"/>
    <s v="07Pierce"/>
    <s v="02South Puget Sound"/>
    <n v="265.427419354839"/>
    <n v="2295.9471774193576"/>
  </r>
  <r>
    <n v="2315"/>
    <x v="6"/>
    <x v="3"/>
    <x v="6"/>
    <s v="Freshwater"/>
    <s v="2Freshwater"/>
    <s v="Salmon"/>
    <s v="746"/>
    <s v="Green - Duwamish River"/>
    <s v="Green - Duwamish River"/>
    <s v="King"/>
    <x v="0"/>
    <s v="Snohomish"/>
    <s v="03Snohomish"/>
    <s v="01North Puget Sound"/>
    <n v="137.629032258065"/>
    <n v="1190.4911290322623"/>
  </r>
  <r>
    <n v="2316"/>
    <x v="6"/>
    <x v="3"/>
    <x v="6"/>
    <s v="Freshwater"/>
    <s v="2Freshwater"/>
    <s v="Salmon"/>
    <s v="746"/>
    <s v="Green - Duwamish River"/>
    <s v="Green - Duwamish River"/>
    <s v="King"/>
    <x v="0"/>
    <s v="Whatcom"/>
    <s v="01Whatcom"/>
    <s v="01North Puget Sound"/>
    <n v="9.8306451612903203"/>
    <n v="85.035080645161273"/>
  </r>
  <r>
    <n v="2317"/>
    <x v="6"/>
    <x v="4"/>
    <x v="6"/>
    <s v="Freshwater"/>
    <s v="2Freshwater"/>
    <s v="Salmon"/>
    <s v="746"/>
    <s v="Green - Duwamish River"/>
    <s v="Green - Duwamish River"/>
    <s v="King"/>
    <x v="0"/>
    <s v="King"/>
    <s v="06King"/>
    <s v="02South Puget Sound"/>
    <n v="17.3333333333333"/>
    <n v="149.93333333333305"/>
  </r>
  <r>
    <n v="2318"/>
    <x v="6"/>
    <x v="4"/>
    <x v="6"/>
    <s v="Freshwater"/>
    <s v="2Freshwater"/>
    <s v="Salmon"/>
    <s v="746"/>
    <s v="Green - Duwamish River"/>
    <s v="Green - Duwamish River"/>
    <s v="King"/>
    <x v="0"/>
    <s v="Pierce"/>
    <s v="07Pierce"/>
    <s v="02South Puget Sound"/>
    <n v="8.6666666666666696"/>
    <n v="74.966666666666697"/>
  </r>
  <r>
    <n v="2319"/>
    <x v="6"/>
    <x v="2"/>
    <x v="6"/>
    <s v="Freshwater"/>
    <s v="2Freshwater"/>
    <s v="Salmon"/>
    <s v="754"/>
    <s v="Kennedy Creek"/>
    <s v="Kennedy Creek"/>
    <s v="Mason/Thurston"/>
    <x v="0"/>
    <s v="Other"/>
    <s v="20Other"/>
    <s v="07Non Puget Sound"/>
    <n v="10.199999999999999"/>
    <n v="88.23"/>
  </r>
  <r>
    <n v="2320"/>
    <x v="6"/>
    <x v="2"/>
    <x v="6"/>
    <s v="Freshwater"/>
    <s v="2Freshwater"/>
    <s v="Salmon"/>
    <s v="754"/>
    <s v="Kennedy Creek"/>
    <s v="Kennedy Creek"/>
    <s v="Mason/Thurston"/>
    <x v="0"/>
    <s v="Thurston"/>
    <s v="08Thurston"/>
    <s v="02South Puget Sound"/>
    <n v="40.799999999999997"/>
    <n v="352.92"/>
  </r>
  <r>
    <n v="2321"/>
    <x v="6"/>
    <x v="3"/>
    <x v="6"/>
    <s v="Freshwater"/>
    <s v="2Freshwater"/>
    <s v="Salmon"/>
    <s v="754"/>
    <s v="Kennedy Creek"/>
    <s v="Kennedy Creek"/>
    <s v="Mason/Thurston"/>
    <x v="0"/>
    <s v="King"/>
    <s v="06King"/>
    <s v="02South Puget Sound"/>
    <n v="40.827586206896598"/>
    <n v="353.15862068965561"/>
  </r>
  <r>
    <n v="2322"/>
    <x v="6"/>
    <x v="3"/>
    <x v="6"/>
    <s v="Freshwater"/>
    <s v="2Freshwater"/>
    <s v="Salmon"/>
    <s v="754"/>
    <s v="Kennedy Creek"/>
    <s v="Kennedy Creek"/>
    <s v="Mason/Thurston"/>
    <x v="0"/>
    <s v="Mason"/>
    <s v="09Mason"/>
    <s v="02South Puget Sound"/>
    <n v="10.2068965517241"/>
    <n v="88.289655172413461"/>
  </r>
  <r>
    <n v="2323"/>
    <x v="6"/>
    <x v="3"/>
    <x v="6"/>
    <s v="Freshwater"/>
    <s v="2Freshwater"/>
    <s v="Salmon"/>
    <s v="754"/>
    <s v="Kennedy Creek"/>
    <s v="Kennedy Creek"/>
    <s v="Mason/Thurston"/>
    <x v="0"/>
    <s v="Other"/>
    <s v="20Other"/>
    <s v="07Non Puget Sound"/>
    <n v="10.2068965517241"/>
    <n v="88.289655172413461"/>
  </r>
  <r>
    <n v="2324"/>
    <x v="6"/>
    <x v="3"/>
    <x v="6"/>
    <s v="Freshwater"/>
    <s v="2Freshwater"/>
    <s v="Salmon"/>
    <s v="754"/>
    <s v="Kennedy Creek"/>
    <s v="Kennedy Creek"/>
    <s v="Mason/Thurston"/>
    <x v="0"/>
    <s v="Pierce"/>
    <s v="07Pierce"/>
    <s v="02South Puget Sound"/>
    <n v="30.620689655172399"/>
    <n v="264.86896551724124"/>
  </r>
  <r>
    <n v="2325"/>
    <x v="6"/>
    <x v="3"/>
    <x v="6"/>
    <s v="Freshwater"/>
    <s v="2Freshwater"/>
    <s v="Salmon"/>
    <s v="754"/>
    <s v="Kennedy Creek"/>
    <s v="Kennedy Creek"/>
    <s v="Mason/Thurston"/>
    <x v="0"/>
    <s v="Thurston"/>
    <s v="08Thurston"/>
    <s v="02South Puget Sound"/>
    <n v="204.13793103448299"/>
    <n v="1765.7931034482779"/>
  </r>
  <r>
    <n v="2326"/>
    <x v="6"/>
    <x v="1"/>
    <x v="6"/>
    <s v="Freshwater"/>
    <s v="2Freshwater"/>
    <s v="Salmon"/>
    <s v="762"/>
    <s v="Lake Washington"/>
    <s v="Lake Washington"/>
    <s v="King"/>
    <x v="0"/>
    <s v="King"/>
    <s v="06King"/>
    <s v="02South Puget Sound"/>
    <n v="282"/>
    <n v="2439.3000000000002"/>
  </r>
  <r>
    <n v="2327"/>
    <x v="6"/>
    <x v="1"/>
    <x v="6"/>
    <s v="Freshwater"/>
    <s v="2Freshwater"/>
    <s v="Salmon"/>
    <s v="762"/>
    <s v="Lake Washington"/>
    <s v="Lake Washington"/>
    <s v="King"/>
    <x v="0"/>
    <s v="Snohomish"/>
    <s v="03Snohomish"/>
    <s v="01North Puget Sound"/>
    <n v="94"/>
    <n v="813.1"/>
  </r>
  <r>
    <n v="2328"/>
    <x v="6"/>
    <x v="2"/>
    <x v="6"/>
    <s v="Freshwater"/>
    <s v="2Freshwater"/>
    <s v="Salmon"/>
    <s v="762"/>
    <s v="Lake Washington"/>
    <s v="Lake Washington"/>
    <s v="King"/>
    <x v="0"/>
    <s v="King"/>
    <s v="06King"/>
    <s v="02South Puget Sound"/>
    <n v="355.5"/>
    <n v="3075.0750000000003"/>
  </r>
  <r>
    <n v="2329"/>
    <x v="6"/>
    <x v="2"/>
    <x v="6"/>
    <s v="Freshwater"/>
    <s v="2Freshwater"/>
    <s v="Salmon"/>
    <s v="762"/>
    <s v="Lake Washington"/>
    <s v="Lake Washington"/>
    <s v="King"/>
    <x v="0"/>
    <s v="Snohomish"/>
    <s v="03Snohomish"/>
    <s v="01North Puget Sound"/>
    <n v="39.5"/>
    <n v="341.67500000000001"/>
  </r>
  <r>
    <n v="2330"/>
    <x v="6"/>
    <x v="3"/>
    <x v="6"/>
    <s v="Freshwater"/>
    <s v="2Freshwater"/>
    <s v="Salmon"/>
    <s v="778"/>
    <s v="Minter Creek"/>
    <s v="Minter Creek"/>
    <s v="Kitsap/Pierce"/>
    <x v="0"/>
    <s v="King"/>
    <s v="06King"/>
    <s v="02South Puget Sound"/>
    <n v="1754.9639889196701"/>
    <n v="15180.438504155147"/>
  </r>
  <r>
    <n v="2331"/>
    <x v="6"/>
    <x v="3"/>
    <x v="6"/>
    <s v="Freshwater"/>
    <s v="2Freshwater"/>
    <s v="Salmon"/>
    <s v="778"/>
    <s v="Minter Creek"/>
    <s v="Minter Creek"/>
    <s v="Kitsap/Pierce"/>
    <x v="0"/>
    <s v="Kitsap"/>
    <s v="10Kitsap"/>
    <s v="02South Puget Sound"/>
    <n v="77.141274238227197"/>
    <n v="667.2720221606653"/>
  </r>
  <r>
    <n v="2332"/>
    <x v="6"/>
    <x v="3"/>
    <x v="6"/>
    <s v="Freshwater"/>
    <s v="2Freshwater"/>
    <s v="Salmon"/>
    <s v="778"/>
    <s v="Minter Creek"/>
    <s v="Minter Creek"/>
    <s v="Kitsap/Pierce"/>
    <x v="0"/>
    <s v="Other"/>
    <s v="20Other"/>
    <s v="07Non Puget Sound"/>
    <n v="443.56232686980599"/>
    <n v="3836.8141274238219"/>
  </r>
  <r>
    <n v="2333"/>
    <x v="6"/>
    <x v="3"/>
    <x v="6"/>
    <s v="Freshwater"/>
    <s v="2Freshwater"/>
    <s v="Salmon"/>
    <s v="778"/>
    <s v="Minter Creek"/>
    <s v="Minter Creek"/>
    <s v="Kitsap/Pierce"/>
    <x v="0"/>
    <s v="Pierce"/>
    <s v="07Pierce"/>
    <s v="02South Puget Sound"/>
    <n v="1108.9058171745201"/>
    <n v="9592.0353185595995"/>
  </r>
  <r>
    <n v="2334"/>
    <x v="6"/>
    <x v="3"/>
    <x v="6"/>
    <s v="Freshwater"/>
    <s v="2Freshwater"/>
    <s v="Salmon"/>
    <s v="778"/>
    <s v="Minter Creek"/>
    <s v="Minter Creek"/>
    <s v="Kitsap/Pierce"/>
    <x v="0"/>
    <s v="Snohomish"/>
    <s v="03Snohomish"/>
    <s v="01North Puget Sound"/>
    <n v="38.570637119113599"/>
    <n v="333.63601108033265"/>
  </r>
  <r>
    <n v="2335"/>
    <x v="6"/>
    <x v="3"/>
    <x v="6"/>
    <s v="Freshwater"/>
    <s v="2Freshwater"/>
    <s v="Salmon"/>
    <s v="778"/>
    <s v="Minter Creek"/>
    <s v="Minter Creek"/>
    <s v="Kitsap/Pierce"/>
    <x v="0"/>
    <s v="Thurston"/>
    <s v="08Thurston"/>
    <s v="02South Puget Sound"/>
    <n v="38.570637119113599"/>
    <n v="333.63601108033265"/>
  </r>
  <r>
    <n v="2336"/>
    <x v="6"/>
    <x v="3"/>
    <x v="6"/>
    <s v="Freshwater"/>
    <s v="2Freshwater"/>
    <s v="Salmon"/>
    <s v="778"/>
    <s v="Minter Creek"/>
    <s v="Minter Creek"/>
    <s v="Kitsap/Pierce"/>
    <x v="0"/>
    <s v="Whatcom"/>
    <s v="01Whatcom"/>
    <s v="01North Puget Sound"/>
    <n v="19.285318559556799"/>
    <n v="166.81800554016633"/>
  </r>
  <r>
    <n v="2337"/>
    <x v="6"/>
    <x v="4"/>
    <x v="6"/>
    <s v="Freshwater"/>
    <s v="2Freshwater"/>
    <s v="Salmon"/>
    <s v="778"/>
    <s v="Minter Creek"/>
    <s v="Minter Creek"/>
    <s v="Kitsap/Pierce"/>
    <x v="0"/>
    <s v="King"/>
    <s v="06King"/>
    <s v="02South Puget Sound"/>
    <n v="475.41951219512202"/>
    <n v="4112.3787804878057"/>
  </r>
  <r>
    <n v="2338"/>
    <x v="6"/>
    <x v="4"/>
    <x v="6"/>
    <s v="Freshwater"/>
    <s v="2Freshwater"/>
    <s v="Salmon"/>
    <s v="778"/>
    <s v="Minter Creek"/>
    <s v="Minter Creek"/>
    <s v="Kitsap/Pierce"/>
    <x v="0"/>
    <s v="Kitsap"/>
    <s v="10Kitsap"/>
    <s v="02South Puget Sound"/>
    <n v="93.219512195121993"/>
    <n v="806.34878048780524"/>
  </r>
  <r>
    <n v="2339"/>
    <x v="6"/>
    <x v="4"/>
    <x v="6"/>
    <s v="Freshwater"/>
    <s v="2Freshwater"/>
    <s v="Salmon"/>
    <s v="778"/>
    <s v="Minter Creek"/>
    <s v="Minter Creek"/>
    <s v="Kitsap/Pierce"/>
    <x v="0"/>
    <s v="Other"/>
    <s v="20Other"/>
    <s v="07Non Puget Sound"/>
    <n v="102.54146341463399"/>
    <n v="886.98365853658413"/>
  </r>
  <r>
    <n v="2340"/>
    <x v="6"/>
    <x v="4"/>
    <x v="6"/>
    <s v="Freshwater"/>
    <s v="2Freshwater"/>
    <s v="Salmon"/>
    <s v="778"/>
    <s v="Minter Creek"/>
    <s v="Minter Creek"/>
    <s v="Kitsap/Pierce"/>
    <x v="0"/>
    <s v="Pierce"/>
    <s v="07Pierce"/>
    <s v="02South Puget Sound"/>
    <n v="1174.5658536585399"/>
    <n v="10159.994634146371"/>
  </r>
  <r>
    <n v="2341"/>
    <x v="6"/>
    <x v="4"/>
    <x v="6"/>
    <s v="Freshwater"/>
    <s v="2Freshwater"/>
    <s v="Salmon"/>
    <s v="778"/>
    <s v="Minter Creek"/>
    <s v="Minter Creek"/>
    <s v="Kitsap/Pierce"/>
    <x v="0"/>
    <s v="Snohomish"/>
    <s v="03Snohomish"/>
    <s v="01North Puget Sound"/>
    <n v="65.253658536585405"/>
    <n v="564.44414634146381"/>
  </r>
  <r>
    <n v="2342"/>
    <x v="6"/>
    <x v="5"/>
    <x v="6"/>
    <s v="Freshwater"/>
    <s v="2Freshwater"/>
    <s v="Salmon"/>
    <s v="786"/>
    <s v="Nisqually River"/>
    <s v="Nisqually River"/>
    <s v="Thurston/Pierce"/>
    <x v="0"/>
    <s v="Thurston"/>
    <s v="08Thurston"/>
    <s v="02South Puget Sound"/>
    <n v="10"/>
    <n v="86.5"/>
  </r>
  <r>
    <n v="2343"/>
    <x v="6"/>
    <x v="0"/>
    <x v="6"/>
    <s v="Freshwater"/>
    <s v="2Freshwater"/>
    <s v="Salmon"/>
    <s v="786"/>
    <s v="Nisqually River"/>
    <s v="Nisqually River"/>
    <s v="Thurston/Pierce"/>
    <x v="0"/>
    <s v="King"/>
    <s v="06King"/>
    <s v="02South Puget Sound"/>
    <n v="209.04564315352701"/>
    <n v="1808.2448132780087"/>
  </r>
  <r>
    <n v="2344"/>
    <x v="6"/>
    <x v="0"/>
    <x v="6"/>
    <s v="Freshwater"/>
    <s v="2Freshwater"/>
    <s v="Salmon"/>
    <s v="786"/>
    <s v="Nisqually River"/>
    <s v="Nisqually River"/>
    <s v="Thurston/Pierce"/>
    <x v="0"/>
    <s v="Kitsap"/>
    <s v="10Kitsap"/>
    <s v="02South Puget Sound"/>
    <n v="83.618257261410804"/>
    <n v="723.29792531120347"/>
  </r>
  <r>
    <n v="2345"/>
    <x v="6"/>
    <x v="0"/>
    <x v="6"/>
    <s v="Freshwater"/>
    <s v="2Freshwater"/>
    <s v="Salmon"/>
    <s v="786"/>
    <s v="Nisqually River"/>
    <s v="Nisqually River"/>
    <s v="Thurston/Pierce"/>
    <x v="0"/>
    <s v="Mason"/>
    <s v="09Mason"/>
    <s v="02South Puget Sound"/>
    <n v="62.713692946058103"/>
    <n v="542.4734439834026"/>
  </r>
  <r>
    <n v="2346"/>
    <x v="6"/>
    <x v="0"/>
    <x v="6"/>
    <s v="Freshwater"/>
    <s v="2Freshwater"/>
    <s v="Salmon"/>
    <s v="786"/>
    <s v="Nisqually River"/>
    <s v="Nisqually River"/>
    <s v="Thurston/Pierce"/>
    <x v="0"/>
    <s v="Other"/>
    <s v="20Other"/>
    <s v="07Non Puget Sound"/>
    <n v="156.78423236514499"/>
    <n v="1356.1836099585041"/>
  </r>
  <r>
    <n v="2347"/>
    <x v="6"/>
    <x v="0"/>
    <x v="6"/>
    <s v="Freshwater"/>
    <s v="2Freshwater"/>
    <s v="Salmon"/>
    <s v="786"/>
    <s v="Nisqually River"/>
    <s v="Nisqually River"/>
    <s v="Thurston/Pierce"/>
    <x v="0"/>
    <s v="Pierce"/>
    <s v="07Pierce"/>
    <s v="02South Puget Sound"/>
    <n v="1076.5850622406599"/>
    <n v="9312.460788381708"/>
  </r>
  <r>
    <n v="2348"/>
    <x v="6"/>
    <x v="0"/>
    <x v="6"/>
    <s v="Freshwater"/>
    <s v="2Freshwater"/>
    <s v="Salmon"/>
    <s v="786"/>
    <s v="Nisqually River"/>
    <s v="Nisqually River"/>
    <s v="Thurston/Pierce"/>
    <x v="0"/>
    <s v="Thurston"/>
    <s v="08Thurston"/>
    <s v="02South Puget Sound"/>
    <n v="930.25311203319495"/>
    <n v="8046.6894190871362"/>
  </r>
  <r>
    <n v="2349"/>
    <x v="6"/>
    <x v="1"/>
    <x v="6"/>
    <s v="Freshwater"/>
    <s v="2Freshwater"/>
    <s v="Salmon"/>
    <s v="786"/>
    <s v="Nisqually River"/>
    <s v="Nisqually River"/>
    <s v="Thurston/Pierce"/>
    <x v="0"/>
    <s v="King"/>
    <s v="06King"/>
    <s v="02South Puget Sound"/>
    <n v="216.57777777777801"/>
    <n v="1873.3977777777798"/>
  </r>
  <r>
    <n v="2350"/>
    <x v="6"/>
    <x v="1"/>
    <x v="6"/>
    <s v="Freshwater"/>
    <s v="2Freshwater"/>
    <s v="Salmon"/>
    <s v="786"/>
    <s v="Nisqually River"/>
    <s v="Nisqually River"/>
    <s v="Thurston/Pierce"/>
    <x v="0"/>
    <s v="Kitsap"/>
    <s v="10Kitsap"/>
    <s v="02South Puget Sound"/>
    <n v="68.911111111111097"/>
    <n v="596.081111111111"/>
  </r>
  <r>
    <n v="2351"/>
    <x v="6"/>
    <x v="1"/>
    <x v="6"/>
    <s v="Freshwater"/>
    <s v="2Freshwater"/>
    <s v="Salmon"/>
    <s v="786"/>
    <s v="Nisqually River"/>
    <s v="Nisqually River"/>
    <s v="Thurston/Pierce"/>
    <x v="0"/>
    <s v="Other"/>
    <s v="20Other"/>
    <s v="07Non Puget Sound"/>
    <n v="19.688888888888901"/>
    <n v="170.30888888888899"/>
  </r>
  <r>
    <n v="2352"/>
    <x v="6"/>
    <x v="1"/>
    <x v="6"/>
    <s v="Freshwater"/>
    <s v="2Freshwater"/>
    <s v="Salmon"/>
    <s v="786"/>
    <s v="Nisqually River"/>
    <s v="Nisqually River"/>
    <s v="Thurston/Pierce"/>
    <x v="0"/>
    <s v="Pierce"/>
    <s v="07Pierce"/>
    <s v="02South Puget Sound"/>
    <n v="502.066666666667"/>
    <n v="4342.8766666666697"/>
  </r>
  <r>
    <n v="2353"/>
    <x v="6"/>
    <x v="1"/>
    <x v="6"/>
    <s v="Freshwater"/>
    <s v="2Freshwater"/>
    <s v="Salmon"/>
    <s v="786"/>
    <s v="Nisqually River"/>
    <s v="Nisqually River"/>
    <s v="Thurston/Pierce"/>
    <x v="0"/>
    <s v="Thurston"/>
    <s v="08Thurston"/>
    <s v="02South Puget Sound"/>
    <n v="521.75555555555604"/>
    <n v="4513.1855555555603"/>
  </r>
  <r>
    <n v="2354"/>
    <x v="6"/>
    <x v="2"/>
    <x v="6"/>
    <s v="Freshwater"/>
    <s v="2Freshwater"/>
    <s v="Salmon"/>
    <s v="786"/>
    <s v="Nisqually River"/>
    <s v="Nisqually River"/>
    <s v="Thurston/Pierce"/>
    <x v="0"/>
    <s v="Pierce"/>
    <s v="07Pierce"/>
    <s v="02South Puget Sound"/>
    <n v="30"/>
    <n v="259.5"/>
  </r>
  <r>
    <n v="2355"/>
    <x v="6"/>
    <x v="2"/>
    <x v="6"/>
    <s v="Freshwater"/>
    <s v="2Freshwater"/>
    <s v="Salmon"/>
    <s v="786"/>
    <s v="Nisqually River"/>
    <s v="Nisqually River"/>
    <s v="Thurston/Pierce"/>
    <x v="0"/>
    <s v="Thurston"/>
    <s v="08Thurston"/>
    <s v="02South Puget Sound"/>
    <n v="10"/>
    <n v="86.5"/>
  </r>
  <r>
    <n v="2356"/>
    <x v="6"/>
    <x v="1"/>
    <x v="6"/>
    <s v="Freshwater"/>
    <s v="2Freshwater"/>
    <s v="Salmon"/>
    <s v="788"/>
    <s v="Nooksack River"/>
    <s v="Nooksack River"/>
    <s v="Whatcom"/>
    <x v="1"/>
    <s v="King"/>
    <s v="06King"/>
    <s v="02South Puget Sound"/>
    <n v="11.1212121212121"/>
    <n v="96.198484848484668"/>
  </r>
  <r>
    <n v="2357"/>
    <x v="6"/>
    <x v="1"/>
    <x v="6"/>
    <s v="Freshwater"/>
    <s v="2Freshwater"/>
    <s v="Salmon"/>
    <s v="788"/>
    <s v="Nooksack River"/>
    <s v="Nooksack River"/>
    <s v="Whatcom"/>
    <x v="1"/>
    <s v="Skagit"/>
    <s v="02Skagit"/>
    <s v="01North Puget Sound"/>
    <n v="22.2424242424242"/>
    <n v="192.39696969696934"/>
  </r>
  <r>
    <n v="2358"/>
    <x v="6"/>
    <x v="1"/>
    <x v="6"/>
    <s v="Freshwater"/>
    <s v="2Freshwater"/>
    <s v="Salmon"/>
    <s v="788"/>
    <s v="Nooksack River"/>
    <s v="Nooksack River"/>
    <s v="Whatcom"/>
    <x v="1"/>
    <s v="Whatcom"/>
    <s v="01Whatcom"/>
    <s v="01North Puget Sound"/>
    <n v="333.63636363636402"/>
    <n v="2885.9545454545491"/>
  </r>
  <r>
    <n v="2359"/>
    <x v="6"/>
    <x v="2"/>
    <x v="6"/>
    <s v="Freshwater"/>
    <s v="2Freshwater"/>
    <s v="Salmon"/>
    <s v="788"/>
    <s v="Nooksack River"/>
    <s v="Nooksack River"/>
    <s v="Whatcom"/>
    <x v="1"/>
    <s v="Island"/>
    <s v="04Island"/>
    <s v="01North Puget Sound"/>
    <n v="38.580645161290299"/>
    <n v="333.72258064516109"/>
  </r>
  <r>
    <n v="2360"/>
    <x v="6"/>
    <x v="2"/>
    <x v="6"/>
    <s v="Freshwater"/>
    <s v="2Freshwater"/>
    <s v="Salmon"/>
    <s v="788"/>
    <s v="Nooksack River"/>
    <s v="Nooksack River"/>
    <s v="Whatcom"/>
    <x v="1"/>
    <s v="King"/>
    <s v="06King"/>
    <s v="02South Puget Sound"/>
    <n v="19.290322580645199"/>
    <n v="166.86129032258097"/>
  </r>
  <r>
    <n v="2361"/>
    <x v="6"/>
    <x v="2"/>
    <x v="6"/>
    <s v="Freshwater"/>
    <s v="2Freshwater"/>
    <s v="Salmon"/>
    <s v="788"/>
    <s v="Nooksack River"/>
    <s v="Nooksack River"/>
    <s v="Whatcom"/>
    <x v="1"/>
    <s v="Skagit"/>
    <s v="02Skagit"/>
    <s v="01North Puget Sound"/>
    <n v="19.290322580645199"/>
    <n v="166.86129032258097"/>
  </r>
  <r>
    <n v="2362"/>
    <x v="6"/>
    <x v="2"/>
    <x v="6"/>
    <s v="Freshwater"/>
    <s v="2Freshwater"/>
    <s v="Salmon"/>
    <s v="788"/>
    <s v="Nooksack River"/>
    <s v="Nooksack River"/>
    <s v="Whatcom"/>
    <x v="1"/>
    <s v="Whatcom"/>
    <s v="01Whatcom"/>
    <s v="01North Puget Sound"/>
    <n v="221.83870967741899"/>
    <n v="1918.9048387096743"/>
  </r>
  <r>
    <n v="2363"/>
    <x v="6"/>
    <x v="3"/>
    <x v="6"/>
    <s v="Freshwater"/>
    <s v="2Freshwater"/>
    <s v="Salmon"/>
    <s v="788"/>
    <s v="Nooksack River"/>
    <s v="Nooksack River"/>
    <s v="Whatcom"/>
    <x v="1"/>
    <s v="Pierce"/>
    <s v="07Pierce"/>
    <s v="02South Puget Sound"/>
    <n v="19.2"/>
    <n v="166.08"/>
  </r>
  <r>
    <n v="2364"/>
    <x v="6"/>
    <x v="3"/>
    <x v="6"/>
    <s v="Freshwater"/>
    <s v="2Freshwater"/>
    <s v="Salmon"/>
    <s v="788"/>
    <s v="Nooksack River"/>
    <s v="Nooksack River"/>
    <s v="Whatcom"/>
    <x v="1"/>
    <s v="Whatcom"/>
    <s v="01Whatcom"/>
    <s v="01North Puget Sound"/>
    <n v="124.8"/>
    <n v="1079.52"/>
  </r>
  <r>
    <n v="2365"/>
    <x v="6"/>
    <x v="4"/>
    <x v="6"/>
    <s v="Freshwater"/>
    <s v="2Freshwater"/>
    <s v="Salmon"/>
    <s v="788"/>
    <s v="Nooksack River"/>
    <s v="Nooksack River"/>
    <s v="Whatcom"/>
    <x v="1"/>
    <s v="Pierce"/>
    <s v="07Pierce"/>
    <s v="02South Puget Sound"/>
    <n v="19"/>
    <n v="164.35"/>
  </r>
  <r>
    <n v="2366"/>
    <x v="6"/>
    <x v="1"/>
    <x v="6"/>
    <s v="Freshwater"/>
    <s v="2Freshwater"/>
    <s v="Salmon"/>
    <s v="802"/>
    <s v="Carbon River"/>
    <s v="Carbon River"/>
    <s v="Pierce"/>
    <x v="0"/>
    <s v="King"/>
    <s v="06King"/>
    <s v="02South Puget Sound"/>
    <n v="161.79545454545499"/>
    <n v="1399.5306818181857"/>
  </r>
  <r>
    <n v="2367"/>
    <x v="6"/>
    <x v="1"/>
    <x v="6"/>
    <s v="Freshwater"/>
    <s v="2Freshwater"/>
    <s v="Salmon"/>
    <s v="802"/>
    <s v="Carbon River"/>
    <s v="Carbon River"/>
    <s v="Pierce"/>
    <x v="0"/>
    <s v="Pierce"/>
    <s v="07Pierce"/>
    <s v="02South Puget Sound"/>
    <n v="566.28409090909099"/>
    <n v="4898.3573863636375"/>
  </r>
  <r>
    <n v="2368"/>
    <x v="6"/>
    <x v="1"/>
    <x v="6"/>
    <s v="Freshwater"/>
    <s v="2Freshwater"/>
    <s v="Salmon"/>
    <s v="802"/>
    <s v="Carbon River"/>
    <s v="Carbon River"/>
    <s v="Pierce"/>
    <x v="0"/>
    <s v="Thurston"/>
    <s v="08Thurston"/>
    <s v="02South Puget Sound"/>
    <n v="62.920454545454596"/>
    <n v="544.26193181818223"/>
  </r>
  <r>
    <n v="2369"/>
    <x v="6"/>
    <x v="3"/>
    <x v="6"/>
    <s v="Freshwater"/>
    <s v="2Freshwater"/>
    <s v="Salmon"/>
    <s v="804"/>
    <s v="Puyallup River"/>
    <s v="Puyallup River"/>
    <s v="Pierce"/>
    <x v="0"/>
    <s v="Other"/>
    <s v="20Other"/>
    <s v="07Non Puget Sound"/>
    <n v="35"/>
    <n v="302.75"/>
  </r>
  <r>
    <n v="2370"/>
    <x v="6"/>
    <x v="3"/>
    <x v="6"/>
    <s v="Freshwater"/>
    <s v="2Freshwater"/>
    <s v="Salmon"/>
    <s v="804"/>
    <s v="Puyallup River"/>
    <s v="Puyallup River"/>
    <s v="Pierce"/>
    <x v="0"/>
    <s v="Pierce"/>
    <s v="07Pierce"/>
    <s v="02South Puget Sound"/>
    <n v="35"/>
    <n v="302.75"/>
  </r>
  <r>
    <n v="2371"/>
    <x v="6"/>
    <x v="0"/>
    <x v="6"/>
    <s v="Freshwater"/>
    <s v="2Freshwater"/>
    <s v="Salmon"/>
    <s v="812"/>
    <s v="Quilcene River"/>
    <s v="Quilcene River"/>
    <s v="Jefferson"/>
    <x v="2"/>
    <s v="Clallam"/>
    <s v="11Clallam"/>
    <s v="03Strait of Juan de Fuca"/>
    <n v="436.857142857143"/>
    <n v="3778.8142857142871"/>
  </r>
  <r>
    <n v="2372"/>
    <x v="6"/>
    <x v="0"/>
    <x v="6"/>
    <s v="Freshwater"/>
    <s v="2Freshwater"/>
    <s v="Salmon"/>
    <s v="812"/>
    <s v="Quilcene River"/>
    <s v="Quilcene River"/>
    <s v="Jefferson"/>
    <x v="2"/>
    <s v="Jefferson"/>
    <s v="12Jefferson"/>
    <s v="03Strait of Juan de Fuca"/>
    <n v="69.5"/>
    <n v="601.17500000000007"/>
  </r>
  <r>
    <n v="2373"/>
    <x v="6"/>
    <x v="0"/>
    <x v="6"/>
    <s v="Freshwater"/>
    <s v="2Freshwater"/>
    <s v="Salmon"/>
    <s v="812"/>
    <s v="Quilcene River"/>
    <s v="Quilcene River"/>
    <s v="Jefferson"/>
    <x v="2"/>
    <s v="Kitsap"/>
    <s v="10Kitsap"/>
    <s v="02South Puget Sound"/>
    <n v="208.5"/>
    <n v="1803.5250000000001"/>
  </r>
  <r>
    <n v="2374"/>
    <x v="6"/>
    <x v="0"/>
    <x v="6"/>
    <s v="Freshwater"/>
    <s v="2Freshwater"/>
    <s v="Salmon"/>
    <s v="812"/>
    <s v="Quilcene River"/>
    <s v="Quilcene River"/>
    <s v="Jefferson"/>
    <x v="2"/>
    <s v="Mason"/>
    <s v="09Mason"/>
    <s v="02South Puget Sound"/>
    <n v="79.428571428571402"/>
    <n v="687.05714285714271"/>
  </r>
  <r>
    <n v="2375"/>
    <x v="6"/>
    <x v="0"/>
    <x v="6"/>
    <s v="Freshwater"/>
    <s v="2Freshwater"/>
    <s v="Salmon"/>
    <s v="812"/>
    <s v="Quilcene River"/>
    <s v="Quilcene River"/>
    <s v="Jefferson"/>
    <x v="2"/>
    <s v="Pierce"/>
    <s v="07Pierce"/>
    <s v="02South Puget Sound"/>
    <n v="129.07142857142901"/>
    <n v="1116.467857142861"/>
  </r>
  <r>
    <n v="2376"/>
    <x v="6"/>
    <x v="0"/>
    <x v="6"/>
    <s v="Freshwater"/>
    <s v="2Freshwater"/>
    <s v="Salmon"/>
    <s v="812"/>
    <s v="Quilcene River"/>
    <s v="Quilcene River"/>
    <s v="Jefferson"/>
    <x v="2"/>
    <s v="Snohomish"/>
    <s v="03Snohomish"/>
    <s v="01North Puget Sound"/>
    <n v="39.714285714285701"/>
    <n v="343.52857142857135"/>
  </r>
  <r>
    <n v="2377"/>
    <x v="6"/>
    <x v="0"/>
    <x v="6"/>
    <s v="Freshwater"/>
    <s v="2Freshwater"/>
    <s v="Salmon"/>
    <s v="812"/>
    <s v="Quilcene River"/>
    <s v="Quilcene River"/>
    <s v="Jefferson"/>
    <x v="2"/>
    <s v="Thurston"/>
    <s v="08Thurston"/>
    <s v="02South Puget Sound"/>
    <n v="9.9285714285714306"/>
    <n v="85.882142857142881"/>
  </r>
  <r>
    <n v="2378"/>
    <x v="6"/>
    <x v="1"/>
    <x v="6"/>
    <s v="Freshwater"/>
    <s v="2Freshwater"/>
    <s v="Salmon"/>
    <s v="812"/>
    <s v="Quilcene River"/>
    <s v="Quilcene River"/>
    <s v="Jefferson"/>
    <x v="2"/>
    <s v="Clallam"/>
    <s v="11Clallam"/>
    <s v="03Strait of Juan de Fuca"/>
    <n v="324.59668508287302"/>
    <n v="2807.7613259668519"/>
  </r>
  <r>
    <n v="2379"/>
    <x v="6"/>
    <x v="1"/>
    <x v="6"/>
    <s v="Freshwater"/>
    <s v="2Freshwater"/>
    <s v="Salmon"/>
    <s v="812"/>
    <s v="Quilcene River"/>
    <s v="Quilcene River"/>
    <s v="Jefferson"/>
    <x v="2"/>
    <s v="Island"/>
    <s v="04Island"/>
    <s v="01North Puget Sound"/>
    <n v="10.1436464088398"/>
    <n v="87.742541436464265"/>
  </r>
  <r>
    <n v="2380"/>
    <x v="6"/>
    <x v="1"/>
    <x v="6"/>
    <s v="Freshwater"/>
    <s v="2Freshwater"/>
    <s v="Salmon"/>
    <s v="812"/>
    <s v="Quilcene River"/>
    <s v="Quilcene River"/>
    <s v="Jefferson"/>
    <x v="2"/>
    <s v="Jefferson"/>
    <s v="12Jefferson"/>
    <s v="03Strait of Juan de Fuca"/>
    <n v="182.585635359116"/>
    <n v="1579.3657458563534"/>
  </r>
  <r>
    <n v="2381"/>
    <x v="6"/>
    <x v="1"/>
    <x v="6"/>
    <s v="Freshwater"/>
    <s v="2Freshwater"/>
    <s v="Salmon"/>
    <s v="812"/>
    <s v="Quilcene River"/>
    <s v="Quilcene River"/>
    <s v="Jefferson"/>
    <x v="2"/>
    <s v="King"/>
    <s v="06King"/>
    <s v="02South Puget Sound"/>
    <n v="50.718232044198899"/>
    <n v="438.71270718232051"/>
  </r>
  <r>
    <n v="2382"/>
    <x v="6"/>
    <x v="1"/>
    <x v="6"/>
    <s v="Freshwater"/>
    <s v="2Freshwater"/>
    <s v="Salmon"/>
    <s v="812"/>
    <s v="Quilcene River"/>
    <s v="Quilcene River"/>
    <s v="Jefferson"/>
    <x v="2"/>
    <s v="Kitsap"/>
    <s v="10Kitsap"/>
    <s v="02South Puget Sound"/>
    <n v="547.75690607734805"/>
    <n v="4738.0972375690608"/>
  </r>
  <r>
    <n v="2383"/>
    <x v="6"/>
    <x v="1"/>
    <x v="6"/>
    <s v="Freshwater"/>
    <s v="2Freshwater"/>
    <s v="Salmon"/>
    <s v="812"/>
    <s v="Quilcene River"/>
    <s v="Quilcene River"/>
    <s v="Jefferson"/>
    <x v="2"/>
    <s v="Mason"/>
    <s v="09Mason"/>
    <s v="02South Puget Sound"/>
    <n v="111.580110497238"/>
    <n v="965.16795580110875"/>
  </r>
  <r>
    <n v="2384"/>
    <x v="6"/>
    <x v="1"/>
    <x v="6"/>
    <s v="Freshwater"/>
    <s v="2Freshwater"/>
    <s v="Salmon"/>
    <s v="812"/>
    <s v="Quilcene River"/>
    <s v="Quilcene River"/>
    <s v="Jefferson"/>
    <x v="2"/>
    <s v="Other"/>
    <s v="20Other"/>
    <s v="07Non Puget Sound"/>
    <n v="172.441988950276"/>
    <n v="1491.6232044198875"/>
  </r>
  <r>
    <n v="2385"/>
    <x v="6"/>
    <x v="1"/>
    <x v="6"/>
    <s v="Freshwater"/>
    <s v="2Freshwater"/>
    <s v="Salmon"/>
    <s v="812"/>
    <s v="Quilcene River"/>
    <s v="Quilcene River"/>
    <s v="Jefferson"/>
    <x v="2"/>
    <s v="Pierce"/>
    <s v="07Pierce"/>
    <s v="02South Puget Sound"/>
    <n v="273.87845303867402"/>
    <n v="2369.0486187845304"/>
  </r>
  <r>
    <n v="2386"/>
    <x v="6"/>
    <x v="1"/>
    <x v="6"/>
    <s v="Freshwater"/>
    <s v="2Freshwater"/>
    <s v="Salmon"/>
    <s v="812"/>
    <s v="Quilcene River"/>
    <s v="Quilcene River"/>
    <s v="Jefferson"/>
    <x v="2"/>
    <s v="Thurston"/>
    <s v="08Thurston"/>
    <s v="02South Puget Sound"/>
    <n v="162.298342541436"/>
    <n v="1403.8806629834214"/>
  </r>
  <r>
    <n v="2387"/>
    <x v="6"/>
    <x v="2"/>
    <x v="6"/>
    <s v="Freshwater"/>
    <s v="2Freshwater"/>
    <s v="Salmon"/>
    <s v="812"/>
    <s v="Quilcene River"/>
    <s v="Quilcene River"/>
    <s v="Jefferson"/>
    <x v="2"/>
    <s v="Clallam"/>
    <s v="11Clallam"/>
    <s v="03Strait of Juan de Fuca"/>
    <n v="188.70454545454601"/>
    <n v="1632.294318181823"/>
  </r>
  <r>
    <n v="2388"/>
    <x v="6"/>
    <x v="2"/>
    <x v="6"/>
    <s v="Freshwater"/>
    <s v="2Freshwater"/>
    <s v="Salmon"/>
    <s v="812"/>
    <s v="Quilcene River"/>
    <s v="Quilcene River"/>
    <s v="Jefferson"/>
    <x v="2"/>
    <s v="Jefferson"/>
    <s v="12Jefferson"/>
    <s v="03Strait of Juan de Fuca"/>
    <n v="9.9318181818181799"/>
    <n v="85.910227272727255"/>
  </r>
  <r>
    <n v="2389"/>
    <x v="6"/>
    <x v="2"/>
    <x v="6"/>
    <s v="Freshwater"/>
    <s v="2Freshwater"/>
    <s v="Salmon"/>
    <s v="812"/>
    <s v="Quilcene River"/>
    <s v="Quilcene River"/>
    <s v="Jefferson"/>
    <x v="2"/>
    <s v="Kitsap"/>
    <s v="10Kitsap"/>
    <s v="02South Puget Sound"/>
    <n v="178.772727272727"/>
    <n v="1546.3840909090886"/>
  </r>
  <r>
    <n v="2390"/>
    <x v="6"/>
    <x v="2"/>
    <x v="6"/>
    <s v="Freshwater"/>
    <s v="2Freshwater"/>
    <s v="Salmon"/>
    <s v="812"/>
    <s v="Quilcene River"/>
    <s v="Quilcene River"/>
    <s v="Jefferson"/>
    <x v="2"/>
    <s v="Other"/>
    <s v="20Other"/>
    <s v="07Non Puget Sound"/>
    <n v="49.659090909090899"/>
    <n v="429.55113636363632"/>
  </r>
  <r>
    <n v="2391"/>
    <x v="6"/>
    <x v="2"/>
    <x v="6"/>
    <s v="Freshwater"/>
    <s v="2Freshwater"/>
    <s v="Salmon"/>
    <s v="812"/>
    <s v="Quilcene River"/>
    <s v="Quilcene River"/>
    <s v="Jefferson"/>
    <x v="2"/>
    <s v="Thurston"/>
    <s v="08Thurston"/>
    <s v="02South Puget Sound"/>
    <n v="9.9318181818181799"/>
    <n v="85.910227272727255"/>
  </r>
  <r>
    <n v="2392"/>
    <x v="6"/>
    <x v="0"/>
    <x v="6"/>
    <s v="Freshwater"/>
    <s v="2Freshwater"/>
    <s v="Salmon"/>
    <s v="816"/>
    <s v="Samish River"/>
    <s v="Samish River"/>
    <s v="Skagit"/>
    <x v="1"/>
    <s v="Island"/>
    <s v="04Island"/>
    <s v="01North Puget Sound"/>
    <n v="30.12"/>
    <n v="260.53800000000001"/>
  </r>
  <r>
    <n v="2393"/>
    <x v="6"/>
    <x v="0"/>
    <x v="6"/>
    <s v="Freshwater"/>
    <s v="2Freshwater"/>
    <s v="Salmon"/>
    <s v="816"/>
    <s v="Samish River"/>
    <s v="Samish River"/>
    <s v="Skagit"/>
    <x v="1"/>
    <s v="King"/>
    <s v="06King"/>
    <s v="02South Puget Sound"/>
    <n v="50.2"/>
    <n v="434.23"/>
  </r>
  <r>
    <n v="2394"/>
    <x v="6"/>
    <x v="0"/>
    <x v="6"/>
    <s v="Freshwater"/>
    <s v="2Freshwater"/>
    <s v="Salmon"/>
    <s v="816"/>
    <s v="Samish River"/>
    <s v="Samish River"/>
    <s v="Skagit"/>
    <x v="1"/>
    <s v="Pierce"/>
    <s v="07Pierce"/>
    <s v="02South Puget Sound"/>
    <n v="10.039999999999999"/>
    <n v="86.845999999999989"/>
  </r>
  <r>
    <n v="2395"/>
    <x v="6"/>
    <x v="0"/>
    <x v="6"/>
    <s v="Freshwater"/>
    <s v="2Freshwater"/>
    <s v="Salmon"/>
    <s v="816"/>
    <s v="Samish River"/>
    <s v="Samish River"/>
    <s v="Skagit"/>
    <x v="1"/>
    <s v="Skagit"/>
    <s v="02Skagit"/>
    <s v="01North Puget Sound"/>
    <n v="60.24"/>
    <n v="521.07600000000002"/>
  </r>
  <r>
    <n v="2396"/>
    <x v="6"/>
    <x v="0"/>
    <x v="6"/>
    <s v="Freshwater"/>
    <s v="2Freshwater"/>
    <s v="Salmon"/>
    <s v="816"/>
    <s v="Samish River"/>
    <s v="Samish River"/>
    <s v="Skagit"/>
    <x v="1"/>
    <s v="Snohomish"/>
    <s v="03Snohomish"/>
    <s v="01North Puget Sound"/>
    <n v="240.96"/>
    <n v="2084.3040000000001"/>
  </r>
  <r>
    <n v="2397"/>
    <x v="6"/>
    <x v="0"/>
    <x v="6"/>
    <s v="Freshwater"/>
    <s v="2Freshwater"/>
    <s v="Salmon"/>
    <s v="816"/>
    <s v="Samish River"/>
    <s v="Samish River"/>
    <s v="Skagit"/>
    <x v="1"/>
    <s v="Whatcom"/>
    <s v="01Whatcom"/>
    <s v="01North Puget Sound"/>
    <n v="110.44"/>
    <n v="955.30600000000004"/>
  </r>
  <r>
    <n v="2398"/>
    <x v="6"/>
    <x v="1"/>
    <x v="6"/>
    <s v="Freshwater"/>
    <s v="2Freshwater"/>
    <s v="Salmon"/>
    <s v="816"/>
    <s v="Samish River"/>
    <s v="Samish River"/>
    <s v="Skagit"/>
    <x v="1"/>
    <s v="Island"/>
    <s v="04Island"/>
    <s v="01North Puget Sound"/>
    <n v="503.893805309735"/>
    <n v="4358.681415929208"/>
  </r>
  <r>
    <n v="2399"/>
    <x v="6"/>
    <x v="1"/>
    <x v="6"/>
    <s v="Freshwater"/>
    <s v="2Freshwater"/>
    <s v="Salmon"/>
    <s v="816"/>
    <s v="Samish River"/>
    <s v="Samish River"/>
    <s v="Skagit"/>
    <x v="1"/>
    <s v="King"/>
    <s v="06King"/>
    <s v="02South Puget Sound"/>
    <n v="348.84955752212397"/>
    <n v="3017.5486725663727"/>
  </r>
  <r>
    <n v="2400"/>
    <x v="6"/>
    <x v="1"/>
    <x v="6"/>
    <s v="Freshwater"/>
    <s v="2Freshwater"/>
    <s v="Salmon"/>
    <s v="816"/>
    <s v="Samish River"/>
    <s v="Samish River"/>
    <s v="Skagit"/>
    <x v="1"/>
    <s v="Other"/>
    <s v="20Other"/>
    <s v="07Non Puget Sound"/>
    <n v="377.92035398230098"/>
    <n v="3269.0110619469037"/>
  </r>
  <r>
    <n v="2401"/>
    <x v="6"/>
    <x v="1"/>
    <x v="6"/>
    <s v="Freshwater"/>
    <s v="2Freshwater"/>
    <s v="Salmon"/>
    <s v="816"/>
    <s v="Samish River"/>
    <s v="Samish River"/>
    <s v="Skagit"/>
    <x v="1"/>
    <s v="Pierce"/>
    <s v="07Pierce"/>
    <s v="02South Puget Sound"/>
    <n v="125.97345132743401"/>
    <n v="1089.6703539823043"/>
  </r>
  <r>
    <n v="2402"/>
    <x v="6"/>
    <x v="1"/>
    <x v="6"/>
    <s v="Freshwater"/>
    <s v="2Freshwater"/>
    <s v="Salmon"/>
    <s v="816"/>
    <s v="Samish River"/>
    <s v="Samish River"/>
    <s v="Skagit"/>
    <x v="1"/>
    <s v="Skagit"/>
    <s v="02Skagit"/>
    <s v="01North Puget Sound"/>
    <n v="532.96460176991195"/>
    <n v="4610.1438053097381"/>
  </r>
  <r>
    <n v="2403"/>
    <x v="6"/>
    <x v="1"/>
    <x v="6"/>
    <s v="Freshwater"/>
    <s v="2Freshwater"/>
    <s v="Salmon"/>
    <s v="816"/>
    <s v="Samish River"/>
    <s v="Samish River"/>
    <s v="Skagit"/>
    <x v="1"/>
    <s v="Snohomish"/>
    <s v="03Snohomish"/>
    <s v="01North Puget Sound"/>
    <n v="1783.0088495575201"/>
    <n v="15423.026548672549"/>
  </r>
  <r>
    <n v="2404"/>
    <x v="6"/>
    <x v="1"/>
    <x v="6"/>
    <s v="Freshwater"/>
    <s v="2Freshwater"/>
    <s v="Salmon"/>
    <s v="816"/>
    <s v="Samish River"/>
    <s v="Samish River"/>
    <s v="Skagit"/>
    <x v="1"/>
    <s v="Whatcom"/>
    <s v="01Whatcom"/>
    <s v="01North Puget Sound"/>
    <n v="707.38938053097297"/>
    <n v="6118.9181415929161"/>
  </r>
  <r>
    <n v="2405"/>
    <x v="6"/>
    <x v="2"/>
    <x v="6"/>
    <s v="Freshwater"/>
    <s v="2Freshwater"/>
    <s v="Salmon"/>
    <s v="816"/>
    <s v="Samish River"/>
    <s v="Samish River"/>
    <s v="Skagit"/>
    <x v="1"/>
    <s v="Island"/>
    <s v="04Island"/>
    <s v="01North Puget Sound"/>
    <n v="98.809523809523796"/>
    <n v="854.70238095238085"/>
  </r>
  <r>
    <n v="2406"/>
    <x v="6"/>
    <x v="2"/>
    <x v="6"/>
    <s v="Freshwater"/>
    <s v="2Freshwater"/>
    <s v="Salmon"/>
    <s v="816"/>
    <s v="Samish River"/>
    <s v="Samish River"/>
    <s v="Skagit"/>
    <x v="1"/>
    <s v="King"/>
    <s v="06King"/>
    <s v="02South Puget Sound"/>
    <n v="49.404761904761898"/>
    <n v="427.35119047619042"/>
  </r>
  <r>
    <n v="2407"/>
    <x v="6"/>
    <x v="2"/>
    <x v="6"/>
    <s v="Freshwater"/>
    <s v="2Freshwater"/>
    <s v="Salmon"/>
    <s v="816"/>
    <s v="Samish River"/>
    <s v="Samish River"/>
    <s v="Skagit"/>
    <x v="1"/>
    <s v="Other"/>
    <s v="20Other"/>
    <s v="07Non Puget Sound"/>
    <n v="138.333333333333"/>
    <n v="1196.5833333333305"/>
  </r>
  <r>
    <n v="2408"/>
    <x v="6"/>
    <x v="2"/>
    <x v="6"/>
    <s v="Freshwater"/>
    <s v="2Freshwater"/>
    <s v="Salmon"/>
    <s v="816"/>
    <s v="Samish River"/>
    <s v="Samish River"/>
    <s v="Skagit"/>
    <x v="1"/>
    <s v="Pierce"/>
    <s v="07Pierce"/>
    <s v="02South Puget Sound"/>
    <n v="39.523809523809497"/>
    <n v="341.88095238095218"/>
  </r>
  <r>
    <n v="2409"/>
    <x v="6"/>
    <x v="2"/>
    <x v="6"/>
    <s v="Freshwater"/>
    <s v="2Freshwater"/>
    <s v="Salmon"/>
    <s v="816"/>
    <s v="Samish River"/>
    <s v="Samish River"/>
    <s v="Skagit"/>
    <x v="1"/>
    <s v="Skagit"/>
    <s v="02Skagit"/>
    <s v="01North Puget Sound"/>
    <n v="276.66666666666703"/>
    <n v="2393.1666666666697"/>
  </r>
  <r>
    <n v="2410"/>
    <x v="6"/>
    <x v="2"/>
    <x v="6"/>
    <s v="Freshwater"/>
    <s v="2Freshwater"/>
    <s v="Salmon"/>
    <s v="816"/>
    <s v="Samish River"/>
    <s v="Samish River"/>
    <s v="Skagit"/>
    <x v="1"/>
    <s v="Snohomish"/>
    <s v="03Snohomish"/>
    <s v="01North Puget Sound"/>
    <n v="563.21428571428601"/>
    <n v="4871.8035714285743"/>
  </r>
  <r>
    <n v="2411"/>
    <x v="6"/>
    <x v="2"/>
    <x v="6"/>
    <s v="Freshwater"/>
    <s v="2Freshwater"/>
    <s v="Salmon"/>
    <s v="816"/>
    <s v="Samish River"/>
    <s v="Samish River"/>
    <s v="Skagit"/>
    <x v="1"/>
    <s v="Whatcom"/>
    <s v="01Whatcom"/>
    <s v="01North Puget Sound"/>
    <n v="79.047619047619094"/>
    <n v="683.76190476190516"/>
  </r>
  <r>
    <n v="2412"/>
    <x v="6"/>
    <x v="3"/>
    <x v="6"/>
    <s v="Freshwater"/>
    <s v="2Freshwater"/>
    <s v="Salmon"/>
    <s v="816"/>
    <s v="Samish River"/>
    <s v="Samish River"/>
    <s v="Skagit"/>
    <x v="1"/>
    <s v="Snohomish"/>
    <s v="03Snohomish"/>
    <s v="01North Puget Sound"/>
    <n v="10"/>
    <n v="86.5"/>
  </r>
  <r>
    <n v="2413"/>
    <x v="6"/>
    <x v="5"/>
    <x v="6"/>
    <s v="Freshwater"/>
    <s v="2Freshwater"/>
    <s v="Salmon"/>
    <s v="825"/>
    <s v="Baker Lake"/>
    <s v="Baker Lake"/>
    <s v="Whatcom"/>
    <x v="1"/>
    <s v="Island"/>
    <s v="04Island"/>
    <s v="01North Puget Sound"/>
    <n v="135.267882187938"/>
    <n v="1170.0671809256637"/>
  </r>
  <r>
    <n v="2414"/>
    <x v="6"/>
    <x v="5"/>
    <x v="6"/>
    <s v="Freshwater"/>
    <s v="2Freshwater"/>
    <s v="Salmon"/>
    <s v="825"/>
    <s v="Baker Lake"/>
    <s v="Baker Lake"/>
    <s v="Whatcom"/>
    <x v="1"/>
    <s v="King"/>
    <s v="06King"/>
    <s v="02South Puget Sound"/>
    <n v="1236.7349228611499"/>
    <n v="10697.757082748947"/>
  </r>
  <r>
    <n v="2415"/>
    <x v="6"/>
    <x v="5"/>
    <x v="6"/>
    <s v="Freshwater"/>
    <s v="2Freshwater"/>
    <s v="Salmon"/>
    <s v="825"/>
    <s v="Baker Lake"/>
    <s v="Baker Lake"/>
    <s v="Whatcom"/>
    <x v="1"/>
    <s v="Other"/>
    <s v="20Other"/>
    <s v="07Non Puget Sound"/>
    <n v="299.52173913043498"/>
    <n v="2590.8630434782626"/>
  </r>
  <r>
    <n v="2416"/>
    <x v="6"/>
    <x v="5"/>
    <x v="6"/>
    <s v="Freshwater"/>
    <s v="2Freshwater"/>
    <s v="Salmon"/>
    <s v="825"/>
    <s v="Baker Lake"/>
    <s v="Baker Lake"/>
    <s v="Whatcom"/>
    <x v="1"/>
    <s v="Pierce"/>
    <s v="07Pierce"/>
    <s v="02South Puget Sound"/>
    <n v="289.85974754558202"/>
    <n v="2507.2868162692848"/>
  </r>
  <r>
    <n v="2417"/>
    <x v="6"/>
    <x v="5"/>
    <x v="6"/>
    <s v="Freshwater"/>
    <s v="2Freshwater"/>
    <s v="Salmon"/>
    <s v="825"/>
    <s v="Baker Lake"/>
    <s v="Baker Lake"/>
    <s v="Whatcom"/>
    <x v="1"/>
    <s v="Skagit"/>
    <s v="02Skagit"/>
    <s v="01North Puget Sound"/>
    <n v="1990.3702664796599"/>
    <n v="17216.702805049059"/>
  </r>
  <r>
    <n v="2418"/>
    <x v="6"/>
    <x v="5"/>
    <x v="6"/>
    <s v="Freshwater"/>
    <s v="2Freshwater"/>
    <s v="Salmon"/>
    <s v="825"/>
    <s v="Baker Lake"/>
    <s v="Baker Lake"/>
    <s v="Whatcom"/>
    <x v="1"/>
    <s v="Snohomish"/>
    <s v="03Snohomish"/>
    <s v="01North Puget Sound"/>
    <n v="2193.27208976157"/>
    <n v="18971.803576437582"/>
  </r>
  <r>
    <n v="2419"/>
    <x v="6"/>
    <x v="5"/>
    <x v="6"/>
    <s v="Freshwater"/>
    <s v="2Freshwater"/>
    <s v="Salmon"/>
    <s v="825"/>
    <s v="Baker Lake"/>
    <s v="Baker Lake"/>
    <s v="Whatcom"/>
    <x v="1"/>
    <s v="Thurston"/>
    <s v="08Thurston"/>
    <s v="02South Puget Sound"/>
    <n v="48.309957924263699"/>
    <n v="417.88113604488103"/>
  </r>
  <r>
    <n v="2420"/>
    <x v="6"/>
    <x v="5"/>
    <x v="6"/>
    <s v="Freshwater"/>
    <s v="2Freshwater"/>
    <s v="Salmon"/>
    <s v="825"/>
    <s v="Baker Lake"/>
    <s v="Baker Lake"/>
    <s v="Whatcom"/>
    <x v="1"/>
    <s v="Whatcom"/>
    <s v="01Whatcom"/>
    <s v="01North Puget Sound"/>
    <n v="695.66339410939702"/>
    <n v="6017.4883590462841"/>
  </r>
  <r>
    <n v="2421"/>
    <x v="6"/>
    <x v="0"/>
    <x v="6"/>
    <s v="Freshwater"/>
    <s v="2Freshwater"/>
    <s v="Salmon"/>
    <s v="825"/>
    <s v="Baker Lake"/>
    <s v="Baker Lake"/>
    <s v="Whatcom"/>
    <x v="1"/>
    <s v="Clallam"/>
    <s v="11Clallam"/>
    <s v="03Strait of Juan de Fuca"/>
    <n v="10.227544910179599"/>
    <n v="88.46826347305354"/>
  </r>
  <r>
    <n v="2422"/>
    <x v="6"/>
    <x v="0"/>
    <x v="6"/>
    <s v="Freshwater"/>
    <s v="2Freshwater"/>
    <s v="Salmon"/>
    <s v="825"/>
    <s v="Baker Lake"/>
    <s v="Baker Lake"/>
    <s v="Whatcom"/>
    <x v="1"/>
    <s v="Island"/>
    <s v="04Island"/>
    <s v="01North Puget Sound"/>
    <n v="204.55089820359299"/>
    <n v="1769.3652694610794"/>
  </r>
  <r>
    <n v="2423"/>
    <x v="6"/>
    <x v="0"/>
    <x v="6"/>
    <s v="Freshwater"/>
    <s v="2Freshwater"/>
    <s v="Salmon"/>
    <s v="825"/>
    <s v="Baker Lake"/>
    <s v="Baker Lake"/>
    <s v="Whatcom"/>
    <x v="1"/>
    <s v="King"/>
    <s v="06King"/>
    <s v="02South Puget Sound"/>
    <n v="132.95808383233501"/>
    <n v="1150.0874251496978"/>
  </r>
  <r>
    <n v="2424"/>
    <x v="6"/>
    <x v="0"/>
    <x v="6"/>
    <s v="Freshwater"/>
    <s v="2Freshwater"/>
    <s v="Salmon"/>
    <s v="825"/>
    <s v="Baker Lake"/>
    <s v="Baker Lake"/>
    <s v="Whatcom"/>
    <x v="1"/>
    <s v="Other"/>
    <s v="20Other"/>
    <s v="07Non Puget Sound"/>
    <n v="132.95808383233501"/>
    <n v="1150.0874251496978"/>
  </r>
  <r>
    <n v="2425"/>
    <x v="6"/>
    <x v="0"/>
    <x v="6"/>
    <s v="Freshwater"/>
    <s v="2Freshwater"/>
    <s v="Salmon"/>
    <s v="825"/>
    <s v="Baker Lake"/>
    <s v="Baker Lake"/>
    <s v="Whatcom"/>
    <x v="1"/>
    <s v="Pierce"/>
    <s v="07Pierce"/>
    <s v="02South Puget Sound"/>
    <n v="71.592814371257504"/>
    <n v="619.27784431137741"/>
  </r>
  <r>
    <n v="2426"/>
    <x v="6"/>
    <x v="0"/>
    <x v="6"/>
    <s v="Freshwater"/>
    <s v="2Freshwater"/>
    <s v="Salmon"/>
    <s v="825"/>
    <s v="Baker Lake"/>
    <s v="Baker Lake"/>
    <s v="Whatcom"/>
    <x v="1"/>
    <s v="Skagit"/>
    <s v="02Skagit"/>
    <s v="01North Puget Sound"/>
    <n v="460.23952095808397"/>
    <n v="3981.0718562874267"/>
  </r>
  <r>
    <n v="2427"/>
    <x v="6"/>
    <x v="0"/>
    <x v="6"/>
    <s v="Freshwater"/>
    <s v="2Freshwater"/>
    <s v="Salmon"/>
    <s v="825"/>
    <s v="Baker Lake"/>
    <s v="Baker Lake"/>
    <s v="Whatcom"/>
    <x v="1"/>
    <s v="Snohomish"/>
    <s v="03Snohomish"/>
    <s v="01North Puget Sound"/>
    <n v="490.92215568862298"/>
    <n v="4246.4766467065892"/>
  </r>
  <r>
    <n v="2428"/>
    <x v="6"/>
    <x v="0"/>
    <x v="6"/>
    <s v="Freshwater"/>
    <s v="2Freshwater"/>
    <s v="Salmon"/>
    <s v="825"/>
    <s v="Baker Lake"/>
    <s v="Baker Lake"/>
    <s v="Whatcom"/>
    <x v="1"/>
    <s v="Thurston"/>
    <s v="08Thurston"/>
    <s v="02South Puget Sound"/>
    <n v="10.227544910179599"/>
    <n v="88.46826347305354"/>
  </r>
  <r>
    <n v="2429"/>
    <x v="6"/>
    <x v="0"/>
    <x v="6"/>
    <s v="Freshwater"/>
    <s v="2Freshwater"/>
    <s v="Salmon"/>
    <s v="825"/>
    <s v="Baker Lake"/>
    <s v="Baker Lake"/>
    <s v="Whatcom"/>
    <x v="1"/>
    <s v="Whatcom"/>
    <s v="01Whatcom"/>
    <s v="01North Puget Sound"/>
    <n v="194.32335329341299"/>
    <n v="1680.8970059880226"/>
  </r>
  <r>
    <n v="2430"/>
    <x v="6"/>
    <x v="1"/>
    <x v="6"/>
    <s v="Freshwater"/>
    <s v="2Freshwater"/>
    <s v="Salmon"/>
    <s v="825"/>
    <s v="Baker Lake"/>
    <s v="Baker Lake"/>
    <s v="Whatcom"/>
    <x v="1"/>
    <s v="Other"/>
    <s v="20Other"/>
    <s v="07Non Puget Sound"/>
    <n v="19.1794871794872"/>
    <n v="165.9025641025643"/>
  </r>
  <r>
    <n v="2431"/>
    <x v="6"/>
    <x v="1"/>
    <x v="6"/>
    <s v="Freshwater"/>
    <s v="2Freshwater"/>
    <s v="Salmon"/>
    <s v="825"/>
    <s v="Baker Lake"/>
    <s v="Baker Lake"/>
    <s v="Whatcom"/>
    <x v="1"/>
    <s v="Pierce"/>
    <s v="07Pierce"/>
    <s v="02South Puget Sound"/>
    <n v="76.717948717948701"/>
    <n v="663.61025641025628"/>
  </r>
  <r>
    <n v="2432"/>
    <x v="6"/>
    <x v="1"/>
    <x v="6"/>
    <s v="Freshwater"/>
    <s v="2Freshwater"/>
    <s v="Salmon"/>
    <s v="825"/>
    <s v="Baker Lake"/>
    <s v="Baker Lake"/>
    <s v="Whatcom"/>
    <x v="1"/>
    <s v="Skagit"/>
    <s v="02Skagit"/>
    <s v="01North Puget Sound"/>
    <n v="57.538461538461597"/>
    <n v="497.70769230769281"/>
  </r>
  <r>
    <n v="2433"/>
    <x v="6"/>
    <x v="1"/>
    <x v="6"/>
    <s v="Freshwater"/>
    <s v="2Freshwater"/>
    <s v="Salmon"/>
    <s v="825"/>
    <s v="Baker Lake"/>
    <s v="Baker Lake"/>
    <s v="Whatcom"/>
    <x v="1"/>
    <s v="Snohomish"/>
    <s v="03Snohomish"/>
    <s v="01North Puget Sound"/>
    <n v="163.02564102564099"/>
    <n v="1410.1717948717946"/>
  </r>
  <r>
    <n v="2434"/>
    <x v="6"/>
    <x v="1"/>
    <x v="6"/>
    <s v="Freshwater"/>
    <s v="2Freshwater"/>
    <s v="Salmon"/>
    <s v="825"/>
    <s v="Baker Lake"/>
    <s v="Baker Lake"/>
    <s v="Whatcom"/>
    <x v="1"/>
    <s v="Whatcom"/>
    <s v="01Whatcom"/>
    <s v="01North Puget Sound"/>
    <n v="57.538461538461597"/>
    <n v="497.70769230769281"/>
  </r>
  <r>
    <n v="2435"/>
    <x v="6"/>
    <x v="7"/>
    <x v="6"/>
    <s v="Freshwater"/>
    <s v="2Freshwater"/>
    <s v="Salmon"/>
    <s v="826"/>
    <s v="Cascade River"/>
    <s v="Cascade River"/>
    <s v="Skagit"/>
    <x v="1"/>
    <s v="Snohomish"/>
    <s v="03Snohomish"/>
    <s v="01North Puget Sound"/>
    <n v="19"/>
    <n v="164.35"/>
  </r>
  <r>
    <n v="2436"/>
    <x v="6"/>
    <x v="5"/>
    <x v="6"/>
    <s v="Freshwater"/>
    <s v="2Freshwater"/>
    <s v="Salmon"/>
    <s v="826"/>
    <s v="Cascade River"/>
    <s v="Cascade River"/>
    <s v="Skagit"/>
    <x v="1"/>
    <s v="King"/>
    <s v="06King"/>
    <s v="02South Puget Sound"/>
    <n v="9.6666666666666696"/>
    <n v="83.616666666666703"/>
  </r>
  <r>
    <n v="2437"/>
    <x v="6"/>
    <x v="5"/>
    <x v="6"/>
    <s v="Freshwater"/>
    <s v="2Freshwater"/>
    <s v="Salmon"/>
    <s v="826"/>
    <s v="Cascade River"/>
    <s v="Cascade River"/>
    <s v="Skagit"/>
    <x v="1"/>
    <s v="Skagit"/>
    <s v="02Skagit"/>
    <s v="01North Puget Sound"/>
    <n v="9.6666666666666696"/>
    <n v="83.616666666666703"/>
  </r>
  <r>
    <n v="2438"/>
    <x v="6"/>
    <x v="5"/>
    <x v="6"/>
    <s v="Freshwater"/>
    <s v="2Freshwater"/>
    <s v="Salmon"/>
    <s v="826"/>
    <s v="Cascade River"/>
    <s v="Cascade River"/>
    <s v="Skagit"/>
    <x v="1"/>
    <s v="Whatcom"/>
    <s v="01Whatcom"/>
    <s v="01North Puget Sound"/>
    <n v="9.6666666666666696"/>
    <n v="83.616666666666703"/>
  </r>
  <r>
    <n v="2439"/>
    <x v="6"/>
    <x v="1"/>
    <x v="6"/>
    <s v="Freshwater"/>
    <s v="2Freshwater"/>
    <s v="Salmon"/>
    <s v="826"/>
    <s v="Cascade River"/>
    <s v="Cascade River"/>
    <s v="Skagit"/>
    <x v="1"/>
    <s v="Snohomish"/>
    <s v="03Snohomish"/>
    <s v="01North Puget Sound"/>
    <n v="0"/>
    <n v="0"/>
  </r>
  <r>
    <n v="2440"/>
    <x v="6"/>
    <x v="2"/>
    <x v="6"/>
    <s v="Freshwater"/>
    <s v="2Freshwater"/>
    <s v="Salmon"/>
    <s v="826"/>
    <s v="Cascade River"/>
    <s v="Cascade River"/>
    <s v="Skagit"/>
    <x v="1"/>
    <s v="Island"/>
    <s v="04Island"/>
    <s v="01North Puget Sound"/>
    <n v="29.342857142857099"/>
    <n v="253.81571428571391"/>
  </r>
  <r>
    <n v="2441"/>
    <x v="6"/>
    <x v="2"/>
    <x v="6"/>
    <s v="Freshwater"/>
    <s v="2Freshwater"/>
    <s v="Salmon"/>
    <s v="826"/>
    <s v="Cascade River"/>
    <s v="Cascade River"/>
    <s v="Skagit"/>
    <x v="1"/>
    <s v="King"/>
    <s v="06King"/>
    <s v="02South Puget Sound"/>
    <n v="205.4"/>
    <n v="1776.71"/>
  </r>
  <r>
    <n v="2442"/>
    <x v="6"/>
    <x v="2"/>
    <x v="6"/>
    <s v="Freshwater"/>
    <s v="2Freshwater"/>
    <s v="Salmon"/>
    <s v="826"/>
    <s v="Cascade River"/>
    <s v="Cascade River"/>
    <s v="Skagit"/>
    <x v="1"/>
    <s v="Kitsap"/>
    <s v="10Kitsap"/>
    <s v="02South Puget Sound"/>
    <n v="68.466666666666697"/>
    <n v="592.23666666666691"/>
  </r>
  <r>
    <n v="2443"/>
    <x v="6"/>
    <x v="2"/>
    <x v="6"/>
    <s v="Freshwater"/>
    <s v="2Freshwater"/>
    <s v="Salmon"/>
    <s v="826"/>
    <s v="Cascade River"/>
    <s v="Cascade River"/>
    <s v="Skagit"/>
    <x v="1"/>
    <s v="Other"/>
    <s v="20Other"/>
    <s v="07Non Puget Sound"/>
    <n v="29.342857142857099"/>
    <n v="253.81571428571391"/>
  </r>
  <r>
    <n v="2444"/>
    <x v="6"/>
    <x v="2"/>
    <x v="6"/>
    <s v="Freshwater"/>
    <s v="2Freshwater"/>
    <s v="Salmon"/>
    <s v="826"/>
    <s v="Cascade River"/>
    <s v="Cascade River"/>
    <s v="Skagit"/>
    <x v="1"/>
    <s v="Skagit"/>
    <s v="02Skagit"/>
    <s v="01North Puget Sound"/>
    <n v="195.61904761904799"/>
    <n v="1692.1047619047652"/>
  </r>
  <r>
    <n v="2445"/>
    <x v="6"/>
    <x v="2"/>
    <x v="6"/>
    <s v="Freshwater"/>
    <s v="2Freshwater"/>
    <s v="Salmon"/>
    <s v="826"/>
    <s v="Cascade River"/>
    <s v="Cascade River"/>
    <s v="Skagit"/>
    <x v="1"/>
    <s v="Snohomish"/>
    <s v="03Snohomish"/>
    <s v="01North Puget Sound"/>
    <n v="420.58095238095302"/>
    <n v="3638.0252380952438"/>
  </r>
  <r>
    <n v="2446"/>
    <x v="6"/>
    <x v="2"/>
    <x v="6"/>
    <s v="Freshwater"/>
    <s v="2Freshwater"/>
    <s v="Salmon"/>
    <s v="826"/>
    <s v="Cascade River"/>
    <s v="Cascade River"/>
    <s v="Skagit"/>
    <x v="1"/>
    <s v="Whatcom"/>
    <s v="01Whatcom"/>
    <s v="01North Puget Sound"/>
    <n v="78.247619047619096"/>
    <n v="676.8419047619052"/>
  </r>
  <r>
    <n v="2447"/>
    <x v="6"/>
    <x v="3"/>
    <x v="6"/>
    <s v="Freshwater"/>
    <s v="2Freshwater"/>
    <s v="Salmon"/>
    <s v="826"/>
    <s v="Cascade River"/>
    <s v="Cascade River"/>
    <s v="Skagit"/>
    <x v="1"/>
    <s v="King"/>
    <s v="06King"/>
    <s v="02South Puget Sound"/>
    <n v="9.9"/>
    <n v="85.635000000000005"/>
  </r>
  <r>
    <n v="2448"/>
    <x v="6"/>
    <x v="3"/>
    <x v="6"/>
    <s v="Freshwater"/>
    <s v="2Freshwater"/>
    <s v="Salmon"/>
    <s v="826"/>
    <s v="Cascade River"/>
    <s v="Cascade River"/>
    <s v="Skagit"/>
    <x v="1"/>
    <s v="Skagit"/>
    <s v="02Skagit"/>
    <s v="01North Puget Sound"/>
    <n v="49.5"/>
    <n v="428.17500000000001"/>
  </r>
  <r>
    <n v="2449"/>
    <x v="6"/>
    <x v="3"/>
    <x v="6"/>
    <s v="Freshwater"/>
    <s v="2Freshwater"/>
    <s v="Salmon"/>
    <s v="826"/>
    <s v="Cascade River"/>
    <s v="Cascade River"/>
    <s v="Skagit"/>
    <x v="1"/>
    <s v="Snohomish"/>
    <s v="03Snohomish"/>
    <s v="01North Puget Sound"/>
    <n v="39.6"/>
    <n v="342.54"/>
  </r>
  <r>
    <n v="2450"/>
    <x v="7"/>
    <x v="8"/>
    <x v="6"/>
    <s v="Freshwater"/>
    <s v="2Freshwater"/>
    <s v="Salmon"/>
    <s v="826"/>
    <s v="Cascade River"/>
    <s v="Cascade River"/>
    <s v="Skagit"/>
    <x v="1"/>
    <s v="Snohomish"/>
    <s v="03Snohomish"/>
    <s v="01North Puget Sound"/>
    <n v="0"/>
    <n v="0"/>
  </r>
  <r>
    <n v="2451"/>
    <x v="6"/>
    <x v="7"/>
    <x v="6"/>
    <s v="Freshwater"/>
    <s v="2Freshwater"/>
    <s v="Salmon"/>
    <s v="830"/>
    <s v="Skagit River"/>
    <s v="Skagit River"/>
    <s v="Skagit/Whatcom"/>
    <x v="4"/>
    <s v="Skagit"/>
    <s v="02Skagit"/>
    <s v="01North Puget Sound"/>
    <n v="28.5"/>
    <n v="246.52500000000001"/>
  </r>
  <r>
    <n v="2452"/>
    <x v="6"/>
    <x v="7"/>
    <x v="6"/>
    <s v="Freshwater"/>
    <s v="2Freshwater"/>
    <s v="Salmon"/>
    <s v="830"/>
    <s v="Skagit River"/>
    <s v="Skagit River"/>
    <s v="Skagit/Whatcom"/>
    <x v="4"/>
    <s v="Snohomish"/>
    <s v="03Snohomish"/>
    <s v="01North Puget Sound"/>
    <n v="9.5"/>
    <n v="82.174999999999997"/>
  </r>
  <r>
    <n v="2453"/>
    <x v="6"/>
    <x v="5"/>
    <x v="6"/>
    <s v="Freshwater"/>
    <s v="2Freshwater"/>
    <s v="Salmon"/>
    <s v="830"/>
    <s v="Skagit River"/>
    <s v="Skagit River"/>
    <s v="Skagit/Whatcom"/>
    <x v="4"/>
    <s v="Island"/>
    <s v="04Island"/>
    <s v="01North Puget Sound"/>
    <n v="9.5882352941176503"/>
    <n v="82.938235294117675"/>
  </r>
  <r>
    <n v="2454"/>
    <x v="6"/>
    <x v="5"/>
    <x v="6"/>
    <s v="Freshwater"/>
    <s v="2Freshwater"/>
    <s v="Salmon"/>
    <s v="830"/>
    <s v="Skagit River"/>
    <s v="Skagit River"/>
    <s v="Skagit/Whatcom"/>
    <x v="4"/>
    <s v="Skagit"/>
    <s v="02Skagit"/>
    <s v="01North Puget Sound"/>
    <n v="95.882352941176507"/>
    <n v="829.3823529411768"/>
  </r>
  <r>
    <n v="2455"/>
    <x v="6"/>
    <x v="5"/>
    <x v="6"/>
    <s v="Freshwater"/>
    <s v="2Freshwater"/>
    <s v="Salmon"/>
    <s v="830"/>
    <s v="Skagit River"/>
    <s v="Skagit River"/>
    <s v="Skagit/Whatcom"/>
    <x v="4"/>
    <s v="Snohomish"/>
    <s v="03Snohomish"/>
    <s v="01North Puget Sound"/>
    <n v="47.941176470588204"/>
    <n v="414.691176470588"/>
  </r>
  <r>
    <n v="2456"/>
    <x v="6"/>
    <x v="5"/>
    <x v="6"/>
    <s v="Freshwater"/>
    <s v="2Freshwater"/>
    <s v="Salmon"/>
    <s v="830"/>
    <s v="Skagit River"/>
    <s v="Skagit River"/>
    <s v="Skagit/Whatcom"/>
    <x v="4"/>
    <s v="Whatcom"/>
    <s v="01Whatcom"/>
    <s v="01North Puget Sound"/>
    <n v="9.5882352941176503"/>
    <n v="82.938235294117675"/>
  </r>
  <r>
    <n v="2457"/>
    <x v="6"/>
    <x v="1"/>
    <x v="6"/>
    <s v="Freshwater"/>
    <s v="2Freshwater"/>
    <s v="Salmon"/>
    <s v="830"/>
    <s v="Skagit River"/>
    <s v="Skagit River"/>
    <s v="Skagit/Whatcom"/>
    <x v="4"/>
    <s v="Skagit"/>
    <s v="02Skagit"/>
    <s v="01North Puget Sound"/>
    <n v="38.6666666666667"/>
    <n v="334.46666666666698"/>
  </r>
  <r>
    <n v="2458"/>
    <x v="6"/>
    <x v="1"/>
    <x v="6"/>
    <s v="Freshwater"/>
    <s v="2Freshwater"/>
    <s v="Salmon"/>
    <s v="830"/>
    <s v="Skagit River"/>
    <s v="Skagit River"/>
    <s v="Skagit/Whatcom"/>
    <x v="4"/>
    <s v="Whatcom"/>
    <s v="01Whatcom"/>
    <s v="01North Puget Sound"/>
    <n v="19.3333333333333"/>
    <n v="167.23333333333306"/>
  </r>
  <r>
    <n v="2459"/>
    <x v="6"/>
    <x v="2"/>
    <x v="6"/>
    <s v="Freshwater"/>
    <s v="2Freshwater"/>
    <s v="Salmon"/>
    <s v="830"/>
    <s v="Skagit River"/>
    <s v="Skagit River"/>
    <s v="Skagit/Whatcom"/>
    <x v="4"/>
    <s v="Island"/>
    <s v="04Island"/>
    <s v="01North Puget Sound"/>
    <n v="48.174603174603199"/>
    <n v="416.7103174603177"/>
  </r>
  <r>
    <n v="2460"/>
    <x v="6"/>
    <x v="2"/>
    <x v="6"/>
    <s v="Freshwater"/>
    <s v="2Freshwater"/>
    <s v="Salmon"/>
    <s v="830"/>
    <s v="Skagit River"/>
    <s v="Skagit River"/>
    <s v="Skagit/Whatcom"/>
    <x v="4"/>
    <s v="King"/>
    <s v="06King"/>
    <s v="02South Puget Sound"/>
    <n v="48.174603174603199"/>
    <n v="416.7103174603177"/>
  </r>
  <r>
    <n v="2461"/>
    <x v="6"/>
    <x v="2"/>
    <x v="6"/>
    <s v="Freshwater"/>
    <s v="2Freshwater"/>
    <s v="Salmon"/>
    <s v="830"/>
    <s v="Skagit River"/>
    <s v="Skagit River"/>
    <s v="Skagit/Whatcom"/>
    <x v="4"/>
    <s v="Other"/>
    <s v="20Other"/>
    <s v="07Non Puget Sound"/>
    <n v="48.174603174603199"/>
    <n v="416.7103174603177"/>
  </r>
  <r>
    <n v="2462"/>
    <x v="6"/>
    <x v="2"/>
    <x v="6"/>
    <s v="Freshwater"/>
    <s v="2Freshwater"/>
    <s v="Salmon"/>
    <s v="830"/>
    <s v="Skagit River"/>
    <s v="Skagit River"/>
    <s v="Skagit/Whatcom"/>
    <x v="4"/>
    <s v="Skagit"/>
    <s v="02Skagit"/>
    <s v="01North Puget Sound"/>
    <n v="1252.5396825396799"/>
    <n v="10834.468253968233"/>
  </r>
  <r>
    <n v="2463"/>
    <x v="6"/>
    <x v="2"/>
    <x v="6"/>
    <s v="Freshwater"/>
    <s v="2Freshwater"/>
    <s v="Salmon"/>
    <s v="830"/>
    <s v="Skagit River"/>
    <s v="Skagit River"/>
    <s v="Skagit/Whatcom"/>
    <x v="4"/>
    <s v="Snohomish"/>
    <s v="03Snohomish"/>
    <s v="01North Puget Sound"/>
    <n v="86.714285714285694"/>
    <n v="750.07857142857131"/>
  </r>
  <r>
    <n v="2464"/>
    <x v="6"/>
    <x v="2"/>
    <x v="6"/>
    <s v="Freshwater"/>
    <s v="2Freshwater"/>
    <s v="Salmon"/>
    <s v="830"/>
    <s v="Skagit River"/>
    <s v="Skagit River"/>
    <s v="Skagit/Whatcom"/>
    <x v="4"/>
    <s v="Whatcom"/>
    <s v="01Whatcom"/>
    <s v="01North Puget Sound"/>
    <n v="337.222222222222"/>
    <n v="2916.9722222222204"/>
  </r>
  <r>
    <n v="2465"/>
    <x v="6"/>
    <x v="3"/>
    <x v="6"/>
    <s v="Freshwater"/>
    <s v="2Freshwater"/>
    <s v="Salmon"/>
    <s v="830"/>
    <s v="Skagit River"/>
    <s v="Skagit River"/>
    <s v="Skagit/Whatcom"/>
    <x v="4"/>
    <s v="King"/>
    <s v="06King"/>
    <s v="02South Puget Sound"/>
    <n v="9.6"/>
    <n v="83.04"/>
  </r>
  <r>
    <n v="2466"/>
    <x v="6"/>
    <x v="3"/>
    <x v="6"/>
    <s v="Freshwater"/>
    <s v="2Freshwater"/>
    <s v="Salmon"/>
    <s v="830"/>
    <s v="Skagit River"/>
    <s v="Skagit River"/>
    <s v="Skagit/Whatcom"/>
    <x v="4"/>
    <s v="Other"/>
    <s v="20Other"/>
    <s v="07Non Puget Sound"/>
    <n v="38.4"/>
    <n v="332.16"/>
  </r>
  <r>
    <n v="2467"/>
    <x v="6"/>
    <x v="3"/>
    <x v="6"/>
    <s v="Freshwater"/>
    <s v="2Freshwater"/>
    <s v="Salmon"/>
    <s v="830"/>
    <s v="Skagit River"/>
    <s v="Skagit River"/>
    <s v="Skagit/Whatcom"/>
    <x v="4"/>
    <s v="Skagit"/>
    <s v="02Skagit"/>
    <s v="01North Puget Sound"/>
    <n v="249.6"/>
    <n v="2159.04"/>
  </r>
  <r>
    <n v="2468"/>
    <x v="6"/>
    <x v="3"/>
    <x v="6"/>
    <s v="Freshwater"/>
    <s v="2Freshwater"/>
    <s v="Salmon"/>
    <s v="830"/>
    <s v="Skagit River"/>
    <s v="Skagit River"/>
    <s v="Skagit/Whatcom"/>
    <x v="4"/>
    <s v="Whatcom"/>
    <s v="01Whatcom"/>
    <s v="01North Puget Sound"/>
    <n v="134.4"/>
    <n v="1162.5600000000002"/>
  </r>
  <r>
    <n v="2469"/>
    <x v="6"/>
    <x v="4"/>
    <x v="6"/>
    <s v="Freshwater"/>
    <s v="2Freshwater"/>
    <s v="Salmon"/>
    <s v="830"/>
    <s v="Skagit River"/>
    <s v="Skagit River"/>
    <s v="Skagit/Whatcom"/>
    <x v="4"/>
    <s v="Skagit"/>
    <s v="02Skagit"/>
    <s v="01North Puget Sound"/>
    <n v="28.5"/>
    <n v="246.52500000000001"/>
  </r>
  <r>
    <n v="2470"/>
    <x v="6"/>
    <x v="4"/>
    <x v="6"/>
    <s v="Freshwater"/>
    <s v="2Freshwater"/>
    <s v="Salmon"/>
    <s v="830"/>
    <s v="Skagit River"/>
    <s v="Skagit River"/>
    <s v="Skagit/Whatcom"/>
    <x v="4"/>
    <s v="Snohomish"/>
    <s v="03Snohomish"/>
    <s v="01North Puget Sound"/>
    <n v="9.5"/>
    <n v="82.174999999999997"/>
  </r>
  <r>
    <n v="2471"/>
    <x v="6"/>
    <x v="7"/>
    <x v="6"/>
    <s v="Freshwater"/>
    <s v="2Freshwater"/>
    <s v="Salmon"/>
    <s v="844"/>
    <s v="Skykomish River"/>
    <s v="Skykomish River"/>
    <s v="Snohomish"/>
    <x v="4"/>
    <s v="King"/>
    <s v="06King"/>
    <s v="02South Puget Sound"/>
    <n v="9.4"/>
    <n v="81.31"/>
  </r>
  <r>
    <n v="2472"/>
    <x v="6"/>
    <x v="7"/>
    <x v="6"/>
    <s v="Freshwater"/>
    <s v="2Freshwater"/>
    <s v="Salmon"/>
    <s v="844"/>
    <s v="Skykomish River"/>
    <s v="Skykomish River"/>
    <s v="Snohomish"/>
    <x v="4"/>
    <s v="Other"/>
    <s v="20Other"/>
    <s v="07Non Puget Sound"/>
    <n v="9.4"/>
    <n v="81.31"/>
  </r>
  <r>
    <n v="2473"/>
    <x v="6"/>
    <x v="7"/>
    <x v="6"/>
    <s v="Freshwater"/>
    <s v="2Freshwater"/>
    <s v="Salmon"/>
    <s v="844"/>
    <s v="Skykomish River"/>
    <s v="Skykomish River"/>
    <s v="Snohomish"/>
    <x v="4"/>
    <s v="Snohomish"/>
    <s v="03Snohomish"/>
    <s v="01North Puget Sound"/>
    <n v="28.2"/>
    <n v="243.93"/>
  </r>
  <r>
    <n v="2474"/>
    <x v="6"/>
    <x v="5"/>
    <x v="6"/>
    <s v="Freshwater"/>
    <s v="2Freshwater"/>
    <s v="Salmon"/>
    <s v="844"/>
    <s v="Skykomish River"/>
    <s v="Skykomish River"/>
    <s v="Snohomish"/>
    <x v="4"/>
    <s v="Jefferson"/>
    <s v="12Jefferson"/>
    <s v="03Strait of Juan de Fuca"/>
    <n v="28.1911764705882"/>
    <n v="243.85367647058794"/>
  </r>
  <r>
    <n v="2475"/>
    <x v="6"/>
    <x v="5"/>
    <x v="6"/>
    <s v="Freshwater"/>
    <s v="2Freshwater"/>
    <s v="Salmon"/>
    <s v="844"/>
    <s v="Skykomish River"/>
    <s v="Skykomish River"/>
    <s v="Snohomish"/>
    <x v="4"/>
    <s v="King"/>
    <s v="06King"/>
    <s v="02South Puget Sound"/>
    <n v="310.10294117647101"/>
    <n v="2682.3904411764743"/>
  </r>
  <r>
    <n v="2476"/>
    <x v="6"/>
    <x v="5"/>
    <x v="6"/>
    <s v="Freshwater"/>
    <s v="2Freshwater"/>
    <s v="Salmon"/>
    <s v="844"/>
    <s v="Skykomish River"/>
    <s v="Skykomish River"/>
    <s v="Snohomish"/>
    <x v="4"/>
    <s v="Other"/>
    <s v="20Other"/>
    <s v="07Non Puget Sound"/>
    <n v="56.382352941176499"/>
    <n v="487.70735294117674"/>
  </r>
  <r>
    <n v="2477"/>
    <x v="6"/>
    <x v="5"/>
    <x v="6"/>
    <s v="Freshwater"/>
    <s v="2Freshwater"/>
    <s v="Salmon"/>
    <s v="844"/>
    <s v="Skykomish River"/>
    <s v="Skykomish River"/>
    <s v="Snohomish"/>
    <x v="4"/>
    <s v="Pierce"/>
    <s v="07Pierce"/>
    <s v="02South Puget Sound"/>
    <n v="28.1911764705882"/>
    <n v="243.85367647058794"/>
  </r>
  <r>
    <n v="2478"/>
    <x v="6"/>
    <x v="5"/>
    <x v="6"/>
    <s v="Freshwater"/>
    <s v="2Freshwater"/>
    <s v="Salmon"/>
    <s v="844"/>
    <s v="Skykomish River"/>
    <s v="Skykomish River"/>
    <s v="Snohomish"/>
    <x v="4"/>
    <s v="Snohomish"/>
    <s v="03Snohomish"/>
    <s v="01North Puget Sound"/>
    <n v="216.132352941177"/>
    <n v="1869.5448529411813"/>
  </r>
  <r>
    <n v="2479"/>
    <x v="6"/>
    <x v="2"/>
    <x v="6"/>
    <s v="Freshwater"/>
    <s v="2Freshwater"/>
    <s v="Salmon"/>
    <s v="844"/>
    <s v="Skykomish River"/>
    <s v="Skykomish River"/>
    <s v="Snohomish"/>
    <x v="4"/>
    <s v="King"/>
    <s v="06King"/>
    <s v="02South Puget Sound"/>
    <n v="178.6"/>
    <n v="1544.89"/>
  </r>
  <r>
    <n v="2480"/>
    <x v="6"/>
    <x v="2"/>
    <x v="6"/>
    <s v="Freshwater"/>
    <s v="2Freshwater"/>
    <s v="Salmon"/>
    <s v="844"/>
    <s v="Skykomish River"/>
    <s v="Skykomish River"/>
    <s v="Snohomish"/>
    <x v="4"/>
    <s v="Snohomish"/>
    <s v="03Snohomish"/>
    <s v="01North Puget Sound"/>
    <n v="150.4"/>
    <n v="1300.96"/>
  </r>
  <r>
    <n v="2481"/>
    <x v="6"/>
    <x v="3"/>
    <x v="6"/>
    <s v="Freshwater"/>
    <s v="2Freshwater"/>
    <s v="Salmon"/>
    <s v="844"/>
    <s v="Skykomish River"/>
    <s v="Skykomish River"/>
    <s v="Snohomish"/>
    <x v="4"/>
    <s v="King"/>
    <s v="06King"/>
    <s v="02South Puget Sound"/>
    <n v="34.318181818181799"/>
    <n v="296.85227272727258"/>
  </r>
  <r>
    <n v="2482"/>
    <x v="6"/>
    <x v="3"/>
    <x v="6"/>
    <s v="Freshwater"/>
    <s v="2Freshwater"/>
    <s v="Salmon"/>
    <s v="844"/>
    <s v="Skykomish River"/>
    <s v="Skykomish River"/>
    <s v="Snohomish"/>
    <x v="4"/>
    <s v="Other"/>
    <s v="20Other"/>
    <s v="07Non Puget Sound"/>
    <n v="6.8636363636363704"/>
    <n v="59.370454545454606"/>
  </r>
  <r>
    <n v="2483"/>
    <x v="6"/>
    <x v="3"/>
    <x v="6"/>
    <s v="Freshwater"/>
    <s v="2Freshwater"/>
    <s v="Salmon"/>
    <s v="844"/>
    <s v="Skykomish River"/>
    <s v="Skykomish River"/>
    <s v="Snohomish"/>
    <x v="4"/>
    <s v="Pierce"/>
    <s v="07Pierce"/>
    <s v="02South Puget Sound"/>
    <n v="3.4318181818181799"/>
    <n v="29.685227272727257"/>
  </r>
  <r>
    <n v="2484"/>
    <x v="6"/>
    <x v="3"/>
    <x v="6"/>
    <s v="Freshwater"/>
    <s v="2Freshwater"/>
    <s v="Salmon"/>
    <s v="844"/>
    <s v="Skykomish River"/>
    <s v="Skykomish River"/>
    <s v="Snohomish"/>
    <x v="4"/>
    <s v="Skagit"/>
    <s v="02Skagit"/>
    <s v="01North Puget Sound"/>
    <n v="3.4318181818181799"/>
    <n v="29.685227272727257"/>
  </r>
  <r>
    <n v="2485"/>
    <x v="6"/>
    <x v="3"/>
    <x v="6"/>
    <s v="Freshwater"/>
    <s v="2Freshwater"/>
    <s v="Salmon"/>
    <s v="844"/>
    <s v="Skykomish River"/>
    <s v="Skykomish River"/>
    <s v="Snohomish"/>
    <x v="4"/>
    <s v="Snohomish"/>
    <s v="03Snohomish"/>
    <s v="01North Puget Sound"/>
    <n v="102.954545454545"/>
    <n v="890.55681818181426"/>
  </r>
  <r>
    <n v="2486"/>
    <x v="6"/>
    <x v="2"/>
    <x v="6"/>
    <s v="Freshwater"/>
    <s v="2Freshwater"/>
    <s v="Salmon"/>
    <s v="850"/>
    <s v="Snohomish River"/>
    <s v="Snohomish River"/>
    <s v="Snohomish"/>
    <x v="4"/>
    <s v="Island"/>
    <s v="04Island"/>
    <s v="01North Puget Sound"/>
    <n v="19.16"/>
    <n v="165.73400000000001"/>
  </r>
  <r>
    <n v="2487"/>
    <x v="6"/>
    <x v="2"/>
    <x v="6"/>
    <s v="Freshwater"/>
    <s v="2Freshwater"/>
    <s v="Salmon"/>
    <s v="850"/>
    <s v="Snohomish River"/>
    <s v="Snohomish River"/>
    <s v="Snohomish"/>
    <x v="4"/>
    <s v="King"/>
    <s v="06King"/>
    <s v="02South Puget Sound"/>
    <n v="28.74"/>
    <n v="248.601"/>
  </r>
  <r>
    <n v="2488"/>
    <x v="6"/>
    <x v="2"/>
    <x v="6"/>
    <s v="Freshwater"/>
    <s v="2Freshwater"/>
    <s v="Salmon"/>
    <s v="850"/>
    <s v="Snohomish River"/>
    <s v="Snohomish River"/>
    <s v="Snohomish"/>
    <x v="4"/>
    <s v="Other"/>
    <s v="20Other"/>
    <s v="07Non Puget Sound"/>
    <n v="19.16"/>
    <n v="165.73400000000001"/>
  </r>
  <r>
    <n v="2489"/>
    <x v="6"/>
    <x v="2"/>
    <x v="6"/>
    <s v="Freshwater"/>
    <s v="2Freshwater"/>
    <s v="Salmon"/>
    <s v="850"/>
    <s v="Snohomish River"/>
    <s v="Snohomish River"/>
    <s v="Snohomish"/>
    <x v="4"/>
    <s v="Skagit"/>
    <s v="02Skagit"/>
    <s v="01North Puget Sound"/>
    <n v="38.32"/>
    <n v="331.46800000000002"/>
  </r>
  <r>
    <n v="2490"/>
    <x v="6"/>
    <x v="2"/>
    <x v="6"/>
    <s v="Freshwater"/>
    <s v="2Freshwater"/>
    <s v="Salmon"/>
    <s v="850"/>
    <s v="Snohomish River"/>
    <s v="Snohomish River"/>
    <s v="Snohomish"/>
    <x v="4"/>
    <s v="Snohomish"/>
    <s v="03Snohomish"/>
    <s v="01North Puget Sound"/>
    <n v="373.62"/>
    <n v="3231.8130000000001"/>
  </r>
  <r>
    <n v="2491"/>
    <x v="6"/>
    <x v="3"/>
    <x v="6"/>
    <s v="Freshwater"/>
    <s v="2Freshwater"/>
    <s v="Salmon"/>
    <s v="850"/>
    <s v="Snohomish River"/>
    <s v="Snohomish River"/>
    <s v="Snohomish"/>
    <x v="4"/>
    <s v="King"/>
    <s v="06King"/>
    <s v="02South Puget Sound"/>
    <n v="10"/>
    <n v="86.5"/>
  </r>
  <r>
    <n v="2492"/>
    <x v="6"/>
    <x v="2"/>
    <x v="6"/>
    <s v="Freshwater"/>
    <s v="2Freshwater"/>
    <s v="Salmon"/>
    <s v="860"/>
    <s v="Wallace River"/>
    <s v="Wallace River"/>
    <s v="Snohomish"/>
    <x v="4"/>
    <s v="King"/>
    <s v="06King"/>
    <s v="02South Puget Sound"/>
    <n v="131.333333333333"/>
    <n v="1136.0333333333306"/>
  </r>
  <r>
    <n v="2493"/>
    <x v="6"/>
    <x v="2"/>
    <x v="6"/>
    <s v="Freshwater"/>
    <s v="2Freshwater"/>
    <s v="Salmon"/>
    <s v="860"/>
    <s v="Wallace River"/>
    <s v="Wallace River"/>
    <s v="Snohomish"/>
    <x v="4"/>
    <s v="Snohomish"/>
    <s v="03Snohomish"/>
    <s v="01North Puget Sound"/>
    <n v="65.6666666666667"/>
    <n v="568.01666666666699"/>
  </r>
  <r>
    <n v="2494"/>
    <x v="6"/>
    <x v="3"/>
    <x v="6"/>
    <s v="Freshwater"/>
    <s v="2Freshwater"/>
    <s v="Salmon"/>
    <s v="860"/>
    <s v="Wallace River"/>
    <s v="Wallace River"/>
    <s v="Snohomish"/>
    <x v="4"/>
    <s v="King"/>
    <s v="06King"/>
    <s v="02South Puget Sound"/>
    <n v="28"/>
    <n v="242.20000000000002"/>
  </r>
  <r>
    <n v="2495"/>
    <x v="6"/>
    <x v="3"/>
    <x v="6"/>
    <s v="Freshwater"/>
    <s v="2Freshwater"/>
    <s v="Salmon"/>
    <s v="860"/>
    <s v="Wallace River"/>
    <s v="Wallace River"/>
    <s v="Snohomish"/>
    <x v="4"/>
    <s v="Snohomish"/>
    <s v="03Snohomish"/>
    <s v="01North Puget Sound"/>
    <n v="28"/>
    <n v="242.20000000000002"/>
  </r>
  <r>
    <n v="2496"/>
    <x v="6"/>
    <x v="4"/>
    <x v="6"/>
    <s v="Freshwater"/>
    <s v="2Freshwater"/>
    <s v="Salmon"/>
    <s v="860"/>
    <s v="Wallace River"/>
    <s v="Wallace River"/>
    <s v="Snohomish"/>
    <x v="4"/>
    <s v="Snohomish"/>
    <s v="03Snohomish"/>
    <s v="01North Puget Sound"/>
    <n v="9"/>
    <n v="77.850000000000009"/>
  </r>
  <r>
    <n v="2497"/>
    <x v="6"/>
    <x v="1"/>
    <x v="6"/>
    <s v="Freshwater"/>
    <s v="2Freshwater"/>
    <s v="Salmon"/>
    <s v="884"/>
    <s v="Whatcom Creek"/>
    <s v="Whatcom Creek"/>
    <s v="Whatcom"/>
    <x v="1"/>
    <s v="Whatcom"/>
    <s v="01Whatcom"/>
    <s v="01North Puget Sound"/>
    <n v="10"/>
    <n v="86.5"/>
  </r>
  <r>
    <n v="2498"/>
    <x v="6"/>
    <x v="2"/>
    <x v="6"/>
    <s v="Freshwater"/>
    <s v="2Freshwater"/>
    <s v="Salmon"/>
    <s v="884"/>
    <s v="Whatcom Creek"/>
    <s v="Whatcom Creek"/>
    <s v="Whatcom"/>
    <x v="1"/>
    <s v="King"/>
    <s v="06King"/>
    <s v="02South Puget Sound"/>
    <n v="20"/>
    <n v="173"/>
  </r>
  <r>
    <n v="2499"/>
    <x v="6"/>
    <x v="2"/>
    <x v="6"/>
    <s v="Freshwater"/>
    <s v="2Freshwater"/>
    <s v="Salmon"/>
    <s v="884"/>
    <s v="Whatcom Creek"/>
    <s v="Whatcom Creek"/>
    <s v="Whatcom"/>
    <x v="1"/>
    <s v="Skagit"/>
    <s v="02Skagit"/>
    <s v="01North Puget Sound"/>
    <n v="40"/>
    <n v="346"/>
  </r>
  <r>
    <n v="2500"/>
    <x v="6"/>
    <x v="2"/>
    <x v="6"/>
    <s v="Freshwater"/>
    <s v="2Freshwater"/>
    <s v="Salmon"/>
    <s v="884"/>
    <s v="Whatcom Creek"/>
    <s v="Whatcom Creek"/>
    <s v="Whatcom"/>
    <x v="1"/>
    <s v="Whatcom"/>
    <s v="01Whatcom"/>
    <s v="01North Puget Sound"/>
    <n v="110"/>
    <n v="951.5"/>
  </r>
  <r>
    <n v="2501"/>
    <x v="6"/>
    <x v="3"/>
    <x v="6"/>
    <s v="Freshwater"/>
    <s v="2Freshwater"/>
    <s v="Salmon"/>
    <s v="884"/>
    <s v="Whatcom Creek"/>
    <s v="Whatcom Creek"/>
    <s v="Whatcom"/>
    <x v="1"/>
    <s v="Island"/>
    <s v="04Island"/>
    <s v="01North Puget Sound"/>
    <n v="204.757719714964"/>
    <n v="1771.1542755344387"/>
  </r>
  <r>
    <n v="2502"/>
    <x v="6"/>
    <x v="3"/>
    <x v="6"/>
    <s v="Freshwater"/>
    <s v="2Freshwater"/>
    <s v="Salmon"/>
    <s v="884"/>
    <s v="Whatcom Creek"/>
    <s v="Whatcom Creek"/>
    <s v="Whatcom"/>
    <x v="1"/>
    <s v="King"/>
    <s v="06King"/>
    <s v="02South Puget Sound"/>
    <n v="258.64133016627102"/>
    <n v="2237.2475059382446"/>
  </r>
  <r>
    <n v="2503"/>
    <x v="6"/>
    <x v="3"/>
    <x v="6"/>
    <s v="Freshwater"/>
    <s v="2Freshwater"/>
    <s v="Salmon"/>
    <s v="884"/>
    <s v="Whatcom Creek"/>
    <s v="Whatcom Creek"/>
    <s v="Whatcom"/>
    <x v="1"/>
    <s v="Mason"/>
    <s v="09Mason"/>
    <s v="02South Puget Sound"/>
    <n v="21.5534441805226"/>
    <n v="186.4372921615205"/>
  </r>
  <r>
    <n v="2504"/>
    <x v="6"/>
    <x v="3"/>
    <x v="6"/>
    <s v="Freshwater"/>
    <s v="2Freshwater"/>
    <s v="Salmon"/>
    <s v="884"/>
    <s v="Whatcom Creek"/>
    <s v="Whatcom Creek"/>
    <s v="Whatcom"/>
    <x v="1"/>
    <s v="Other"/>
    <s v="20Other"/>
    <s v="07Non Puget Sound"/>
    <n v="21.5534441805226"/>
    <n v="186.4372921615205"/>
  </r>
  <r>
    <n v="2505"/>
    <x v="6"/>
    <x v="3"/>
    <x v="6"/>
    <s v="Freshwater"/>
    <s v="2Freshwater"/>
    <s v="Salmon"/>
    <s v="884"/>
    <s v="Whatcom Creek"/>
    <s v="Whatcom Creek"/>
    <s v="Whatcom"/>
    <x v="1"/>
    <s v="Skagit"/>
    <s v="02Skagit"/>
    <s v="01North Puget Sound"/>
    <n v="398.73871733966803"/>
    <n v="3449.0899049881286"/>
  </r>
  <r>
    <n v="2506"/>
    <x v="6"/>
    <x v="3"/>
    <x v="6"/>
    <s v="Freshwater"/>
    <s v="2Freshwater"/>
    <s v="Salmon"/>
    <s v="884"/>
    <s v="Whatcom Creek"/>
    <s v="Whatcom Creek"/>
    <s v="Whatcom"/>
    <x v="1"/>
    <s v="Snohomish"/>
    <s v="03Snohomish"/>
    <s v="01North Puget Sound"/>
    <n v="1454.8574821852701"/>
    <n v="12584.517220902588"/>
  </r>
  <r>
    <n v="2507"/>
    <x v="6"/>
    <x v="3"/>
    <x v="6"/>
    <s v="Freshwater"/>
    <s v="2Freshwater"/>
    <s v="Salmon"/>
    <s v="884"/>
    <s v="Whatcom Creek"/>
    <s v="Whatcom Creek"/>
    <s v="Whatcom"/>
    <x v="1"/>
    <s v="Whatcom"/>
    <s v="01Whatcom"/>
    <s v="01North Puget Sound"/>
    <n v="2176.89786223278"/>
    <n v="18830.166508313549"/>
  </r>
  <r>
    <n v="2508"/>
    <x v="6"/>
    <x v="4"/>
    <x v="6"/>
    <s v="Freshwater"/>
    <s v="2Freshwater"/>
    <s v="Salmon"/>
    <s v="884"/>
    <s v="Whatcom Creek"/>
    <s v="Whatcom Creek"/>
    <s v="Whatcom"/>
    <x v="1"/>
    <s v="Island"/>
    <s v="04Island"/>
    <s v="01North Puget Sound"/>
    <n v="44.275862068965502"/>
    <n v="382.98620689655161"/>
  </r>
  <r>
    <n v="2509"/>
    <x v="6"/>
    <x v="4"/>
    <x v="6"/>
    <s v="Freshwater"/>
    <s v="2Freshwater"/>
    <s v="Salmon"/>
    <s v="884"/>
    <s v="Whatcom Creek"/>
    <s v="Whatcom Creek"/>
    <s v="Whatcom"/>
    <x v="1"/>
    <s v="Other"/>
    <s v="20Other"/>
    <s v="07Non Puget Sound"/>
    <n v="44.275862068965502"/>
    <n v="382.98620689655161"/>
  </r>
  <r>
    <n v="2510"/>
    <x v="6"/>
    <x v="4"/>
    <x v="6"/>
    <s v="Freshwater"/>
    <s v="2Freshwater"/>
    <s v="Salmon"/>
    <s v="884"/>
    <s v="Whatcom Creek"/>
    <s v="Whatcom Creek"/>
    <s v="Whatcom"/>
    <x v="1"/>
    <s v="Skagit"/>
    <s v="02Skagit"/>
    <s v="01North Puget Sound"/>
    <n v="22.137931034482801"/>
    <n v="191.49310344827623"/>
  </r>
  <r>
    <n v="2511"/>
    <x v="6"/>
    <x v="4"/>
    <x v="6"/>
    <s v="Freshwater"/>
    <s v="2Freshwater"/>
    <s v="Salmon"/>
    <s v="884"/>
    <s v="Whatcom Creek"/>
    <s v="Whatcom Creek"/>
    <s v="Whatcom"/>
    <x v="1"/>
    <s v="Snohomish"/>
    <s v="03Snohomish"/>
    <s v="01North Puget Sound"/>
    <n v="44.275862068965502"/>
    <n v="382.98620689655161"/>
  </r>
  <r>
    <n v="2512"/>
    <x v="6"/>
    <x v="4"/>
    <x v="6"/>
    <s v="Freshwater"/>
    <s v="2Freshwater"/>
    <s v="Salmon"/>
    <s v="884"/>
    <s v="Whatcom Creek"/>
    <s v="Whatcom Creek"/>
    <s v="Whatcom"/>
    <x v="1"/>
    <s v="Whatcom"/>
    <s v="01Whatcom"/>
    <s v="01North Puget Sound"/>
    <n v="166.03448275862101"/>
    <n v="1436.1982758620718"/>
  </r>
  <r>
    <n v="2513"/>
    <x v="7"/>
    <x v="2"/>
    <x v="7"/>
    <s v="Freshwater"/>
    <s v="2Freshwater"/>
    <s v="Salmon"/>
    <n v="724"/>
    <s v="Dakota Creek (Whatcom Co)"/>
    <s v="Dakota Creek (Whatcom Co)"/>
    <s v="Whatcom"/>
    <x v="1"/>
    <s v="Whatcom"/>
    <s v="01Whatcom"/>
    <s v="01North Puget Sound"/>
    <n v="39"/>
    <n v="134.16"/>
  </r>
  <r>
    <n v="2514"/>
    <x v="7"/>
    <x v="5"/>
    <x v="7"/>
    <s v="Freshwater"/>
    <s v="2Freshwater"/>
    <s v="Salmon"/>
    <n v="728"/>
    <s v="Deschutes River"/>
    <s v="Deschutes River"/>
    <s v="Thurston"/>
    <x v="0"/>
    <s v="King"/>
    <s v="06King"/>
    <s v="02South Puget Sound"/>
    <n v="10"/>
    <n v="34.4"/>
  </r>
  <r>
    <n v="2515"/>
    <x v="7"/>
    <x v="2"/>
    <x v="7"/>
    <s v="Freshwater"/>
    <s v="2Freshwater"/>
    <s v="Salmon"/>
    <n v="732"/>
    <s v="Dewatto River"/>
    <s v="Dewatto River"/>
    <s v="Mason"/>
    <x v="0"/>
    <s v="King"/>
    <s v="06King"/>
    <s v="02South Puget Sound"/>
    <n v="10.181818181818199"/>
    <n v="35.025454545454608"/>
  </r>
  <r>
    <n v="2516"/>
    <x v="7"/>
    <x v="2"/>
    <x v="7"/>
    <s v="Freshwater"/>
    <s v="2Freshwater"/>
    <s v="Salmon"/>
    <n v="732"/>
    <s v="Dewatto River"/>
    <s v="Dewatto River"/>
    <s v="Mason"/>
    <x v="0"/>
    <s v="Kitsap"/>
    <s v="10Kitsap"/>
    <s v="02South Puget Sound"/>
    <n v="213.81818181818201"/>
    <n v="735.53454545454611"/>
  </r>
  <r>
    <n v="2517"/>
    <x v="7"/>
    <x v="3"/>
    <x v="7"/>
    <s v="Freshwater"/>
    <s v="2Freshwater"/>
    <s v="Salmon"/>
    <n v="732"/>
    <s v="Dewatto River"/>
    <s v="Dewatto River"/>
    <s v="Mason"/>
    <x v="0"/>
    <s v="Kitsap"/>
    <s v="10Kitsap"/>
    <s v="02South Puget Sound"/>
    <n v="41"/>
    <n v="141.04"/>
  </r>
  <r>
    <n v="2518"/>
    <x v="7"/>
    <x v="3"/>
    <x v="7"/>
    <s v="Freshwater"/>
    <s v="2Freshwater"/>
    <s v="Salmon"/>
    <n v="736"/>
    <s v="Duckabush River"/>
    <s v="Duckabush River"/>
    <s v="Jefferson"/>
    <x v="2"/>
    <s v="Jefferson"/>
    <s v="12Jefferson"/>
    <s v="03Strait of Juan de Fuca"/>
    <n v="21"/>
    <n v="72.239999999999995"/>
  </r>
  <r>
    <n v="2519"/>
    <x v="7"/>
    <x v="2"/>
    <x v="7"/>
    <s v="Freshwater"/>
    <s v="2Freshwater"/>
    <s v="Salmon"/>
    <n v="738"/>
    <s v="Dungeness River"/>
    <s v="Dungeness River"/>
    <s v="Clallam"/>
    <x v="3"/>
    <s v="Clallam"/>
    <s v="11Clallam"/>
    <s v="03Strait of Juan de Fuca"/>
    <n v="519.75"/>
    <n v="1787.94"/>
  </r>
  <r>
    <n v="2520"/>
    <x v="7"/>
    <x v="2"/>
    <x v="7"/>
    <s v="Freshwater"/>
    <s v="2Freshwater"/>
    <s v="Salmon"/>
    <n v="738"/>
    <s v="Dungeness River"/>
    <s v="Dungeness River"/>
    <s v="Clallam"/>
    <x v="3"/>
    <s v="Jefferson"/>
    <s v="12Jefferson"/>
    <s v="03Strait of Juan de Fuca"/>
    <n v="61.147058823529399"/>
    <n v="210.34588235294112"/>
  </r>
  <r>
    <n v="2521"/>
    <x v="7"/>
    <x v="2"/>
    <x v="7"/>
    <s v="Freshwater"/>
    <s v="2Freshwater"/>
    <s v="Salmon"/>
    <n v="738"/>
    <s v="Dungeness River"/>
    <s v="Dungeness River"/>
    <s v="Clallam"/>
    <x v="3"/>
    <s v="King"/>
    <s v="06King"/>
    <s v="02South Puget Sound"/>
    <n v="61.147058823529399"/>
    <n v="210.34588235294112"/>
  </r>
  <r>
    <n v="2522"/>
    <x v="7"/>
    <x v="2"/>
    <x v="7"/>
    <s v="Freshwater"/>
    <s v="2Freshwater"/>
    <s v="Salmon"/>
    <n v="738"/>
    <s v="Dungeness River"/>
    <s v="Dungeness River"/>
    <s v="Clallam"/>
    <x v="3"/>
    <s v="Kitsap"/>
    <s v="10Kitsap"/>
    <s v="02South Puget Sound"/>
    <n v="30.573529411764699"/>
    <n v="105.17294117647056"/>
  </r>
  <r>
    <n v="2523"/>
    <x v="7"/>
    <x v="2"/>
    <x v="7"/>
    <s v="Freshwater"/>
    <s v="2Freshwater"/>
    <s v="Salmon"/>
    <n v="738"/>
    <s v="Dungeness River"/>
    <s v="Dungeness River"/>
    <s v="Clallam"/>
    <x v="3"/>
    <s v="Other"/>
    <s v="20Other"/>
    <s v="07Non Puget Sound"/>
    <n v="10.1911764705882"/>
    <n v="35.057647058823406"/>
  </r>
  <r>
    <n v="2524"/>
    <x v="7"/>
    <x v="2"/>
    <x v="7"/>
    <s v="Freshwater"/>
    <s v="2Freshwater"/>
    <s v="Salmon"/>
    <n v="738"/>
    <s v="Dungeness River"/>
    <s v="Dungeness River"/>
    <s v="Clallam"/>
    <x v="3"/>
    <s v="Pierce"/>
    <s v="07Pierce"/>
    <s v="02South Puget Sound"/>
    <n v="10.1911764705882"/>
    <n v="35.057647058823406"/>
  </r>
  <r>
    <n v="2525"/>
    <x v="7"/>
    <x v="3"/>
    <x v="7"/>
    <s v="Freshwater"/>
    <s v="2Freshwater"/>
    <s v="Salmon"/>
    <n v="738"/>
    <s v="Dungeness River"/>
    <s v="Dungeness River"/>
    <s v="Clallam"/>
    <x v="3"/>
    <s v="Clallam"/>
    <s v="11Clallam"/>
    <s v="03Strait of Juan de Fuca"/>
    <n v="234.87878787878799"/>
    <n v="807.98303030303066"/>
  </r>
  <r>
    <n v="2526"/>
    <x v="7"/>
    <x v="3"/>
    <x v="7"/>
    <s v="Freshwater"/>
    <s v="2Freshwater"/>
    <s v="Salmon"/>
    <n v="738"/>
    <s v="Dungeness River"/>
    <s v="Dungeness River"/>
    <s v="Clallam"/>
    <x v="3"/>
    <s v="Jefferson"/>
    <s v="12Jefferson"/>
    <s v="03Strait of Juan de Fuca"/>
    <n v="20.424242424242401"/>
    <n v="70.25939393939386"/>
  </r>
  <r>
    <n v="2527"/>
    <x v="7"/>
    <x v="3"/>
    <x v="7"/>
    <s v="Freshwater"/>
    <s v="2Freshwater"/>
    <s v="Salmon"/>
    <n v="738"/>
    <s v="Dungeness River"/>
    <s v="Dungeness River"/>
    <s v="Clallam"/>
    <x v="3"/>
    <s v="King"/>
    <s v="06King"/>
    <s v="02South Puget Sound"/>
    <n v="81.696969696969703"/>
    <n v="281.03757575757578"/>
  </r>
  <r>
    <n v="2528"/>
    <x v="7"/>
    <x v="4"/>
    <x v="7"/>
    <s v="Freshwater"/>
    <s v="2Freshwater"/>
    <s v="Salmon"/>
    <n v="738"/>
    <s v="Dungeness River"/>
    <s v="Dungeness River"/>
    <s v="Clallam"/>
    <x v="3"/>
    <s v="Clallam"/>
    <s v="11Clallam"/>
    <s v="03Strait of Juan de Fuca"/>
    <n v="10"/>
    <n v="34.4"/>
  </r>
  <r>
    <n v="2529"/>
    <x v="7"/>
    <x v="0"/>
    <x v="7"/>
    <s v="Freshwater"/>
    <s v="2Freshwater"/>
    <s v="Salmon"/>
    <n v="746"/>
    <s v="Green - Duwamish River"/>
    <s v="Green - Duwamish River"/>
    <s v="King"/>
    <x v="0"/>
    <s v="King"/>
    <s v="06King"/>
    <s v="02South Puget Sound"/>
    <n v="818.94656488549595"/>
    <n v="2817.1761832061061"/>
  </r>
  <r>
    <n v="2530"/>
    <x v="7"/>
    <x v="0"/>
    <x v="7"/>
    <s v="Freshwater"/>
    <s v="2Freshwater"/>
    <s v="Salmon"/>
    <n v="746"/>
    <s v="Green - Duwamish River"/>
    <s v="Green - Duwamish River"/>
    <s v="King"/>
    <x v="0"/>
    <s v="Other"/>
    <s v="20Other"/>
    <s v="07Non Puget Sound"/>
    <n v="383.55725190839701"/>
    <n v="1319.4369465648856"/>
  </r>
  <r>
    <n v="2531"/>
    <x v="7"/>
    <x v="0"/>
    <x v="7"/>
    <s v="Freshwater"/>
    <s v="2Freshwater"/>
    <s v="Salmon"/>
    <n v="746"/>
    <s v="Green - Duwamish River"/>
    <s v="Green - Duwamish River"/>
    <s v="King"/>
    <x v="0"/>
    <s v="Pierce"/>
    <s v="07Pierce"/>
    <s v="02South Puget Sound"/>
    <n v="145.12977099236599"/>
    <n v="499.24641221373901"/>
  </r>
  <r>
    <n v="2532"/>
    <x v="7"/>
    <x v="0"/>
    <x v="7"/>
    <s v="Freshwater"/>
    <s v="2Freshwater"/>
    <s v="Salmon"/>
    <n v="746"/>
    <s v="Green - Duwamish River"/>
    <s v="Green - Duwamish River"/>
    <s v="King"/>
    <x v="0"/>
    <s v="Snohomish"/>
    <s v="03Snohomish"/>
    <s v="01North Puget Sound"/>
    <n v="10.366412213740499"/>
    <n v="35.660458015267317"/>
  </r>
  <r>
    <n v="2533"/>
    <x v="7"/>
    <x v="1"/>
    <x v="7"/>
    <s v="Freshwater"/>
    <s v="2Freshwater"/>
    <s v="Salmon"/>
    <n v="746"/>
    <s v="Green - Duwamish River"/>
    <s v="Green - Duwamish River"/>
    <s v="King"/>
    <x v="0"/>
    <s v="King"/>
    <s v="06King"/>
    <s v="02South Puget Sound"/>
    <n v="3766.4643678160901"/>
    <n v="12956.63742528735"/>
  </r>
  <r>
    <n v="2534"/>
    <x v="7"/>
    <x v="1"/>
    <x v="7"/>
    <s v="Freshwater"/>
    <s v="2Freshwater"/>
    <s v="Salmon"/>
    <n v="746"/>
    <s v="Green - Duwamish River"/>
    <s v="Green - Duwamish River"/>
    <s v="King"/>
    <x v="0"/>
    <s v="Kitsap"/>
    <s v="10Kitsap"/>
    <s v="02South Puget Sound"/>
    <n v="20.809195402298901"/>
    <n v="71.583632183908222"/>
  </r>
  <r>
    <n v="2535"/>
    <x v="7"/>
    <x v="1"/>
    <x v="7"/>
    <s v="Freshwater"/>
    <s v="2Freshwater"/>
    <s v="Salmon"/>
    <n v="746"/>
    <s v="Green - Duwamish River"/>
    <s v="Green - Duwamish River"/>
    <s v="King"/>
    <x v="0"/>
    <s v="Other"/>
    <s v="20Other"/>
    <s v="07Non Puget Sound"/>
    <n v="249.710344827586"/>
    <n v="859.00358620689587"/>
  </r>
  <r>
    <n v="2536"/>
    <x v="7"/>
    <x v="1"/>
    <x v="7"/>
    <s v="Freshwater"/>
    <s v="2Freshwater"/>
    <s v="Salmon"/>
    <n v="746"/>
    <s v="Green - Duwamish River"/>
    <s v="Green - Duwamish River"/>
    <s v="King"/>
    <x v="0"/>
    <s v="Pierce"/>
    <s v="07Pierce"/>
    <s v="02South Puget Sound"/>
    <n v="374.56551724137898"/>
    <n v="1288.5053793103436"/>
  </r>
  <r>
    <n v="2537"/>
    <x v="7"/>
    <x v="1"/>
    <x v="7"/>
    <s v="Freshwater"/>
    <s v="2Freshwater"/>
    <s v="Salmon"/>
    <n v="746"/>
    <s v="Green - Duwamish River"/>
    <s v="Green - Duwamish River"/>
    <s v="King"/>
    <x v="0"/>
    <s v="Snohomish"/>
    <s v="03Snohomish"/>
    <s v="01North Puget Sound"/>
    <n v="114.450574712644"/>
    <n v="393.70997701149537"/>
  </r>
  <r>
    <n v="2538"/>
    <x v="7"/>
    <x v="2"/>
    <x v="7"/>
    <s v="Freshwater"/>
    <s v="2Freshwater"/>
    <s v="Salmon"/>
    <n v="746"/>
    <s v="Green - Duwamish River"/>
    <s v="Green - Duwamish River"/>
    <s v="King"/>
    <x v="0"/>
    <s v="King"/>
    <s v="06King"/>
    <s v="02South Puget Sound"/>
    <n v="2138.7366412213701"/>
    <n v="7357.2540458015128"/>
  </r>
  <r>
    <n v="2539"/>
    <x v="7"/>
    <x v="2"/>
    <x v="7"/>
    <s v="Freshwater"/>
    <s v="2Freshwater"/>
    <s v="Salmon"/>
    <n v="746"/>
    <s v="Green - Duwamish River"/>
    <s v="Green - Duwamish River"/>
    <s v="King"/>
    <x v="0"/>
    <s v="Other"/>
    <s v="20Other"/>
    <s v="07Non Puget Sound"/>
    <n v="72.324427480916"/>
    <n v="248.79603053435105"/>
  </r>
  <r>
    <n v="2540"/>
    <x v="7"/>
    <x v="2"/>
    <x v="7"/>
    <s v="Freshwater"/>
    <s v="2Freshwater"/>
    <s v="Salmon"/>
    <n v="746"/>
    <s v="Green - Duwamish River"/>
    <s v="Green - Duwamish River"/>
    <s v="King"/>
    <x v="0"/>
    <s v="Pierce"/>
    <s v="07Pierce"/>
    <s v="02South Puget Sound"/>
    <n v="454.610687022901"/>
    <n v="1563.8607633587794"/>
  </r>
  <r>
    <n v="2541"/>
    <x v="7"/>
    <x v="2"/>
    <x v="7"/>
    <s v="Freshwater"/>
    <s v="2Freshwater"/>
    <s v="Salmon"/>
    <n v="746"/>
    <s v="Green - Duwamish River"/>
    <s v="Green - Duwamish River"/>
    <s v="King"/>
    <x v="0"/>
    <s v="Snohomish"/>
    <s v="03Snohomish"/>
    <s v="01North Puget Sound"/>
    <n v="41.328244274809201"/>
    <n v="142.16916030534364"/>
  </r>
  <r>
    <n v="2542"/>
    <x v="7"/>
    <x v="3"/>
    <x v="7"/>
    <s v="Freshwater"/>
    <s v="2Freshwater"/>
    <s v="Salmon"/>
    <n v="746"/>
    <s v="Green - Duwamish River"/>
    <s v="Green - Duwamish River"/>
    <s v="King"/>
    <x v="0"/>
    <s v="King"/>
    <s v="06King"/>
    <s v="02South Puget Sound"/>
    <n v="278.77499999999998"/>
    <n v="958.98599999999988"/>
  </r>
  <r>
    <n v="2543"/>
    <x v="7"/>
    <x v="3"/>
    <x v="7"/>
    <s v="Freshwater"/>
    <s v="2Freshwater"/>
    <s v="Salmon"/>
    <n v="746"/>
    <s v="Green - Duwamish River"/>
    <s v="Green - Duwamish River"/>
    <s v="King"/>
    <x v="0"/>
    <s v="Other"/>
    <s v="20Other"/>
    <s v="07Non Puget Sound"/>
    <n v="51.625"/>
    <n v="177.59"/>
  </r>
  <r>
    <n v="2544"/>
    <x v="7"/>
    <x v="3"/>
    <x v="7"/>
    <s v="Freshwater"/>
    <s v="2Freshwater"/>
    <s v="Salmon"/>
    <n v="746"/>
    <s v="Green - Duwamish River"/>
    <s v="Green - Duwamish River"/>
    <s v="King"/>
    <x v="0"/>
    <s v="Pierce"/>
    <s v="07Pierce"/>
    <s v="02South Puget Sound"/>
    <n v="82.6"/>
    <n v="284.14399999999995"/>
  </r>
  <r>
    <n v="2545"/>
    <x v="7"/>
    <x v="2"/>
    <x v="7"/>
    <s v="Freshwater"/>
    <s v="2Freshwater"/>
    <s v="Salmon"/>
    <n v="754"/>
    <s v="Kennedy Creek"/>
    <s v="Kennedy Creek"/>
    <s v="Mason/Thurston"/>
    <x v="0"/>
    <s v="Pierce"/>
    <s v="07Pierce"/>
    <s v="02South Puget Sound"/>
    <n v="25"/>
    <n v="86"/>
  </r>
  <r>
    <n v="2546"/>
    <x v="7"/>
    <x v="3"/>
    <x v="7"/>
    <s v="Freshwater"/>
    <s v="2Freshwater"/>
    <s v="Salmon"/>
    <n v="754"/>
    <s v="Kennedy Creek"/>
    <s v="Kennedy Creek"/>
    <s v="Mason/Thurston"/>
    <x v="0"/>
    <s v="Mason"/>
    <s v="09Mason"/>
    <s v="02South Puget Sound"/>
    <n v="24.6666666666667"/>
    <n v="84.853333333333453"/>
  </r>
  <r>
    <n v="2547"/>
    <x v="7"/>
    <x v="3"/>
    <x v="7"/>
    <s v="Freshwater"/>
    <s v="2Freshwater"/>
    <s v="Salmon"/>
    <n v="754"/>
    <s v="Kennedy Creek"/>
    <s v="Kennedy Creek"/>
    <s v="Mason/Thurston"/>
    <x v="0"/>
    <s v="Pierce"/>
    <s v="07Pierce"/>
    <s v="02South Puget Sound"/>
    <n v="12.3333333333333"/>
    <n v="42.426666666666549"/>
  </r>
  <r>
    <n v="2548"/>
    <x v="7"/>
    <x v="1"/>
    <x v="7"/>
    <s v="Freshwater"/>
    <s v="2Freshwater"/>
    <s v="Salmon"/>
    <n v="762"/>
    <s v="Lake Washington"/>
    <s v="Lake Washington"/>
    <s v="King"/>
    <x v="0"/>
    <s v="King"/>
    <s v="06King"/>
    <s v="02South Puget Sound"/>
    <n v="184.78260869565199"/>
    <n v="635.65217391304282"/>
  </r>
  <r>
    <n v="2549"/>
    <x v="7"/>
    <x v="1"/>
    <x v="7"/>
    <s v="Freshwater"/>
    <s v="2Freshwater"/>
    <s v="Salmon"/>
    <n v="762"/>
    <s v="Lake Washington"/>
    <s v="Lake Washington"/>
    <s v="King"/>
    <x v="0"/>
    <s v="Snohomish"/>
    <s v="03Snohomish"/>
    <s v="01North Puget Sound"/>
    <n v="65.2173913043478"/>
    <n v="224.34782608695642"/>
  </r>
  <r>
    <n v="2550"/>
    <x v="7"/>
    <x v="2"/>
    <x v="7"/>
    <s v="Freshwater"/>
    <s v="2Freshwater"/>
    <s v="Salmon"/>
    <n v="762"/>
    <s v="Lake Washington"/>
    <s v="Lake Washington"/>
    <s v="King"/>
    <x v="0"/>
    <s v="King"/>
    <s v="06King"/>
    <s v="02South Puget Sound"/>
    <n v="162.6"/>
    <n v="559.34399999999994"/>
  </r>
  <r>
    <n v="2551"/>
    <x v="7"/>
    <x v="2"/>
    <x v="7"/>
    <s v="Freshwater"/>
    <s v="2Freshwater"/>
    <s v="Salmon"/>
    <n v="762"/>
    <s v="Lake Washington"/>
    <s v="Lake Washington"/>
    <s v="King"/>
    <x v="0"/>
    <s v="Snohomish"/>
    <s v="03Snohomish"/>
    <s v="01North Puget Sound"/>
    <n v="108.4"/>
    <n v="372.89600000000002"/>
  </r>
  <r>
    <n v="2552"/>
    <x v="7"/>
    <x v="2"/>
    <x v="7"/>
    <s v="Freshwater"/>
    <s v="2Freshwater"/>
    <s v="Salmon"/>
    <n v="764"/>
    <s v="Lake Sammamish"/>
    <s v="Lake Sammamish"/>
    <s v="King"/>
    <x v="0"/>
    <s v="King"/>
    <s v="06King"/>
    <s v="02South Puget Sound"/>
    <n v="20.5"/>
    <n v="70.52"/>
  </r>
  <r>
    <n v="2553"/>
    <x v="7"/>
    <x v="2"/>
    <x v="7"/>
    <s v="Freshwater"/>
    <s v="2Freshwater"/>
    <s v="Salmon"/>
    <n v="764"/>
    <s v="Lake Sammamish"/>
    <s v="Lake Sammamish"/>
    <s v="King"/>
    <x v="0"/>
    <s v="Thurston"/>
    <s v="08Thurston"/>
    <s v="02South Puget Sound"/>
    <n v="20.5"/>
    <n v="70.52"/>
  </r>
  <r>
    <n v="2554"/>
    <x v="7"/>
    <x v="3"/>
    <x v="7"/>
    <s v="Freshwater"/>
    <s v="2Freshwater"/>
    <s v="Salmon"/>
    <n v="778"/>
    <s v="Minter Creek"/>
    <s v="Minter Creek"/>
    <s v="Kitsap/Pierce"/>
    <x v="0"/>
    <s v="King"/>
    <s v="06King"/>
    <s v="02South Puget Sound"/>
    <n v="2112.5720000000001"/>
    <n v="7267.2476800000004"/>
  </r>
  <r>
    <n v="2555"/>
    <x v="7"/>
    <x v="3"/>
    <x v="7"/>
    <s v="Freshwater"/>
    <s v="2Freshwater"/>
    <s v="Salmon"/>
    <n v="778"/>
    <s v="Minter Creek"/>
    <s v="Minter Creek"/>
    <s v="Kitsap/Pierce"/>
    <x v="0"/>
    <s v="Kitsap"/>
    <s v="10Kitsap"/>
    <s v="02South Puget Sound"/>
    <n v="272.916"/>
    <n v="938.83104000000003"/>
  </r>
  <r>
    <n v="2556"/>
    <x v="7"/>
    <x v="3"/>
    <x v="7"/>
    <s v="Freshwater"/>
    <s v="2Freshwater"/>
    <s v="Salmon"/>
    <n v="778"/>
    <s v="Minter Creek"/>
    <s v="Minter Creek"/>
    <s v="Kitsap/Pierce"/>
    <x v="0"/>
    <s v="Other"/>
    <s v="20Other"/>
    <s v="07Non Puget Sound"/>
    <n v="232.48400000000001"/>
    <n v="799.74495999999999"/>
  </r>
  <r>
    <n v="2557"/>
    <x v="7"/>
    <x v="3"/>
    <x v="7"/>
    <s v="Freshwater"/>
    <s v="2Freshwater"/>
    <s v="Salmon"/>
    <n v="778"/>
    <s v="Minter Creek"/>
    <s v="Minter Creek"/>
    <s v="Kitsap/Pierce"/>
    <x v="0"/>
    <s v="Pierce"/>
    <s v="07Pierce"/>
    <s v="02South Puget Sound"/>
    <n v="2102.4639999999999"/>
    <n v="7232.4761599999993"/>
  </r>
  <r>
    <n v="2558"/>
    <x v="7"/>
    <x v="3"/>
    <x v="7"/>
    <s v="Freshwater"/>
    <s v="2Freshwater"/>
    <s v="Salmon"/>
    <n v="778"/>
    <s v="Minter Creek"/>
    <s v="Minter Creek"/>
    <s v="Kitsap/Pierce"/>
    <x v="0"/>
    <s v="Snohomish"/>
    <s v="03Snohomish"/>
    <s v="01North Puget Sound"/>
    <n v="283.024"/>
    <n v="973.60256000000004"/>
  </r>
  <r>
    <n v="2559"/>
    <x v="7"/>
    <x v="3"/>
    <x v="7"/>
    <s v="Freshwater"/>
    <s v="2Freshwater"/>
    <s v="Salmon"/>
    <n v="778"/>
    <s v="Minter Creek"/>
    <s v="Minter Creek"/>
    <s v="Kitsap/Pierce"/>
    <x v="0"/>
    <s v="Thurston"/>
    <s v="08Thurston"/>
    <s v="02South Puget Sound"/>
    <n v="50.54"/>
    <n v="173.85759999999999"/>
  </r>
  <r>
    <n v="2560"/>
    <x v="7"/>
    <x v="4"/>
    <x v="7"/>
    <s v="Freshwater"/>
    <s v="2Freshwater"/>
    <s v="Salmon"/>
    <n v="778"/>
    <s v="Minter Creek"/>
    <s v="Minter Creek"/>
    <s v="Kitsap/Pierce"/>
    <x v="0"/>
    <s v="King"/>
    <s v="06King"/>
    <s v="02South Puget Sound"/>
    <n v="586.44444444444503"/>
    <n v="2017.3688888888908"/>
  </r>
  <r>
    <n v="2561"/>
    <x v="7"/>
    <x v="4"/>
    <x v="7"/>
    <s v="Freshwater"/>
    <s v="2Freshwater"/>
    <s v="Salmon"/>
    <n v="778"/>
    <s v="Minter Creek"/>
    <s v="Minter Creek"/>
    <s v="Kitsap/Pierce"/>
    <x v="0"/>
    <s v="Kitsap"/>
    <s v="10Kitsap"/>
    <s v="02South Puget Sound"/>
    <n v="80.8888888888889"/>
    <n v="278.25777777777779"/>
  </r>
  <r>
    <n v="2562"/>
    <x v="7"/>
    <x v="4"/>
    <x v="7"/>
    <s v="Freshwater"/>
    <s v="2Freshwater"/>
    <s v="Salmon"/>
    <n v="778"/>
    <s v="Minter Creek"/>
    <s v="Minter Creek"/>
    <s v="Kitsap/Pierce"/>
    <x v="0"/>
    <s v="Other"/>
    <s v="20Other"/>
    <s v="07Non Puget Sound"/>
    <n v="293.222222222222"/>
    <n v="1008.6844444444437"/>
  </r>
  <r>
    <n v="2563"/>
    <x v="7"/>
    <x v="4"/>
    <x v="7"/>
    <s v="Freshwater"/>
    <s v="2Freshwater"/>
    <s v="Salmon"/>
    <n v="778"/>
    <s v="Minter Creek"/>
    <s v="Minter Creek"/>
    <s v="Kitsap/Pierce"/>
    <x v="0"/>
    <s v="Pierce"/>
    <s v="07Pierce"/>
    <s v="02South Puget Sound"/>
    <n v="384.222222222222"/>
    <n v="1321.7244444444436"/>
  </r>
  <r>
    <n v="2564"/>
    <x v="7"/>
    <x v="4"/>
    <x v="7"/>
    <s v="Freshwater"/>
    <s v="2Freshwater"/>
    <s v="Salmon"/>
    <n v="778"/>
    <s v="Minter Creek"/>
    <s v="Minter Creek"/>
    <s v="Kitsap/Pierce"/>
    <x v="0"/>
    <s v="Snohomish"/>
    <s v="03Snohomish"/>
    <s v="01North Puget Sound"/>
    <n v="20.2222222222222"/>
    <n v="69.564444444444362"/>
  </r>
  <r>
    <n v="2565"/>
    <x v="8"/>
    <x v="6"/>
    <x v="7"/>
    <s v="Freshwater"/>
    <s v="2Freshwater"/>
    <s v="Salmon"/>
    <n v="778"/>
    <s v="Minter Creek"/>
    <s v="Minter Creek"/>
    <s v="Kitsap/Pierce"/>
    <x v="0"/>
    <s v="Snohomish"/>
    <s v="03Snohomish"/>
    <s v="01North Puget Sound"/>
    <n v="40"/>
    <n v="346"/>
  </r>
  <r>
    <n v="2566"/>
    <x v="7"/>
    <x v="5"/>
    <x v="7"/>
    <s v="Freshwater"/>
    <s v="2Freshwater"/>
    <s v="Salmon"/>
    <n v="786"/>
    <s v="Nisqually River"/>
    <s v="Nisqually River"/>
    <s v="Thurston/Pierce"/>
    <x v="0"/>
    <s v="Other"/>
    <s v="20Other"/>
    <s v="07Non Puget Sound"/>
    <n v="10"/>
    <n v="34.4"/>
  </r>
  <r>
    <n v="2567"/>
    <x v="7"/>
    <x v="5"/>
    <x v="7"/>
    <s v="Freshwater"/>
    <s v="2Freshwater"/>
    <s v="Salmon"/>
    <n v="786"/>
    <s v="Nisqually River"/>
    <s v="Nisqually River"/>
    <s v="Thurston/Pierce"/>
    <x v="0"/>
    <s v="Thurston"/>
    <s v="08Thurston"/>
    <s v="02South Puget Sound"/>
    <n v="20"/>
    <n v="68.8"/>
  </r>
  <r>
    <n v="2568"/>
    <x v="7"/>
    <x v="0"/>
    <x v="7"/>
    <s v="Freshwater"/>
    <s v="2Freshwater"/>
    <s v="Salmon"/>
    <n v="786"/>
    <s v="Nisqually River"/>
    <s v="Nisqually River"/>
    <s v="Thurston/Pierce"/>
    <x v="0"/>
    <s v="King"/>
    <s v="06King"/>
    <s v="02South Puget Sound"/>
    <n v="240.336448598131"/>
    <n v="826.75738317757066"/>
  </r>
  <r>
    <n v="2569"/>
    <x v="7"/>
    <x v="0"/>
    <x v="7"/>
    <s v="Freshwater"/>
    <s v="2Freshwater"/>
    <s v="Salmon"/>
    <n v="786"/>
    <s v="Nisqually River"/>
    <s v="Nisqually River"/>
    <s v="Thurston/Pierce"/>
    <x v="0"/>
    <s v="Other"/>
    <s v="20Other"/>
    <s v="07Non Puget Sound"/>
    <n v="190.26635514018699"/>
    <n v="654.51626168224323"/>
  </r>
  <r>
    <n v="2570"/>
    <x v="7"/>
    <x v="0"/>
    <x v="7"/>
    <s v="Freshwater"/>
    <s v="2Freshwater"/>
    <s v="Salmon"/>
    <n v="786"/>
    <s v="Nisqually River"/>
    <s v="Nisqually River"/>
    <s v="Thurston/Pierce"/>
    <x v="0"/>
    <s v="Pierce"/>
    <s v="07Pierce"/>
    <s v="02South Puget Sound"/>
    <n v="570.79906542056096"/>
    <n v="1963.5487850467298"/>
  </r>
  <r>
    <n v="2571"/>
    <x v="7"/>
    <x v="0"/>
    <x v="7"/>
    <s v="Freshwater"/>
    <s v="2Freshwater"/>
    <s v="Salmon"/>
    <n v="786"/>
    <s v="Nisqually River"/>
    <s v="Nisqually River"/>
    <s v="Thurston/Pierce"/>
    <x v="0"/>
    <s v="Snohomish"/>
    <s v="03Snohomish"/>
    <s v="01North Puget Sound"/>
    <n v="20.028037383177601"/>
    <n v="68.896448598130945"/>
  </r>
  <r>
    <n v="2572"/>
    <x v="7"/>
    <x v="0"/>
    <x v="7"/>
    <s v="Freshwater"/>
    <s v="2Freshwater"/>
    <s v="Salmon"/>
    <n v="786"/>
    <s v="Nisqually River"/>
    <s v="Nisqually River"/>
    <s v="Thurston/Pierce"/>
    <x v="0"/>
    <s v="Thurston"/>
    <s v="08Thurston"/>
    <s v="02South Puget Sound"/>
    <n v="1111.5560747663601"/>
    <n v="3823.7528971962788"/>
  </r>
  <r>
    <n v="2573"/>
    <x v="7"/>
    <x v="0"/>
    <x v="7"/>
    <s v="Freshwater"/>
    <s v="2Freshwater"/>
    <s v="Salmon"/>
    <n v="786"/>
    <s v="Nisqually River"/>
    <s v="Nisqually River"/>
    <s v="Thurston/Pierce"/>
    <x v="0"/>
    <s v="Whatcom"/>
    <s v="01Whatcom"/>
    <s v="01North Puget Sound"/>
    <n v="10.014018691588801"/>
    <n v="34.448224299065473"/>
  </r>
  <r>
    <n v="2574"/>
    <x v="7"/>
    <x v="1"/>
    <x v="7"/>
    <s v="Freshwater"/>
    <s v="2Freshwater"/>
    <s v="Salmon"/>
    <n v="786"/>
    <s v="Nisqually River"/>
    <s v="Nisqually River"/>
    <s v="Thurston/Pierce"/>
    <x v="0"/>
    <s v="King"/>
    <s v="06King"/>
    <s v="02South Puget Sound"/>
    <n v="1681.7343616109699"/>
    <n v="5785.1662039417361"/>
  </r>
  <r>
    <n v="2575"/>
    <x v="7"/>
    <x v="1"/>
    <x v="7"/>
    <s v="Freshwater"/>
    <s v="2Freshwater"/>
    <s v="Salmon"/>
    <n v="786"/>
    <s v="Nisqually River"/>
    <s v="Nisqually River"/>
    <s v="Thurston/Pierce"/>
    <x v="0"/>
    <s v="Kitsap"/>
    <s v="10Kitsap"/>
    <s v="02South Puget Sound"/>
    <n v="60.421593830334203"/>
    <n v="207.85028277634964"/>
  </r>
  <r>
    <n v="2576"/>
    <x v="7"/>
    <x v="1"/>
    <x v="7"/>
    <s v="Freshwater"/>
    <s v="2Freshwater"/>
    <s v="Salmon"/>
    <n v="786"/>
    <s v="Nisqually River"/>
    <s v="Nisqually River"/>
    <s v="Thurston/Pierce"/>
    <x v="0"/>
    <s v="Mason"/>
    <s v="09Mason"/>
    <s v="02South Puget Sound"/>
    <n v="30.210796915167101"/>
    <n v="103.92514138817482"/>
  </r>
  <r>
    <n v="2577"/>
    <x v="7"/>
    <x v="1"/>
    <x v="7"/>
    <s v="Freshwater"/>
    <s v="2Freshwater"/>
    <s v="Salmon"/>
    <n v="786"/>
    <s v="Nisqually River"/>
    <s v="Nisqually River"/>
    <s v="Thurston/Pierce"/>
    <x v="0"/>
    <s v="Other"/>
    <s v="20Other"/>
    <s v="07Non Puget Sound"/>
    <n v="674.70779777206496"/>
    <n v="2320.9948243359036"/>
  </r>
  <r>
    <n v="2578"/>
    <x v="7"/>
    <x v="1"/>
    <x v="7"/>
    <s v="Freshwater"/>
    <s v="2Freshwater"/>
    <s v="Salmon"/>
    <n v="786"/>
    <s v="Nisqually River"/>
    <s v="Nisqually River"/>
    <s v="Thurston/Pierce"/>
    <x v="0"/>
    <s v="Pierce"/>
    <s v="07Pierce"/>
    <s v="02South Puget Sound"/>
    <n v="4279.8628963153396"/>
    <n v="14722.728363324768"/>
  </r>
  <r>
    <n v="2579"/>
    <x v="7"/>
    <x v="1"/>
    <x v="7"/>
    <s v="Freshwater"/>
    <s v="2Freshwater"/>
    <s v="Salmon"/>
    <n v="786"/>
    <s v="Nisqually River"/>
    <s v="Nisqually River"/>
    <s v="Thurston/Pierce"/>
    <x v="0"/>
    <s v="Snohomish"/>
    <s v="03Snohomish"/>
    <s v="01North Puget Sound"/>
    <n v="120.84318766066799"/>
    <n v="415.70056555269787"/>
  </r>
  <r>
    <n v="2580"/>
    <x v="7"/>
    <x v="1"/>
    <x v="7"/>
    <s v="Freshwater"/>
    <s v="2Freshwater"/>
    <s v="Salmon"/>
    <n v="786"/>
    <s v="Nisqually River"/>
    <s v="Nisqually River"/>
    <s v="Thurston/Pierce"/>
    <x v="0"/>
    <s v="Thurston"/>
    <s v="08Thurston"/>
    <s v="02South Puget Sound"/>
    <n v="4853.8680377035098"/>
    <n v="16697.306049700073"/>
  </r>
  <r>
    <n v="2581"/>
    <x v="7"/>
    <x v="1"/>
    <x v="7"/>
    <s v="Freshwater"/>
    <s v="2Freshwater"/>
    <s v="Salmon"/>
    <n v="786"/>
    <s v="Nisqually River"/>
    <s v="Nisqually River"/>
    <s v="Thurston/Pierce"/>
    <x v="0"/>
    <s v="Whatcom"/>
    <s v="01Whatcom"/>
    <s v="01North Puget Sound"/>
    <n v="50.3513281919452"/>
    <n v="173.20856898029149"/>
  </r>
  <r>
    <n v="2582"/>
    <x v="7"/>
    <x v="2"/>
    <x v="7"/>
    <s v="Freshwater"/>
    <s v="2Freshwater"/>
    <s v="Salmon"/>
    <n v="786"/>
    <s v="Nisqually River"/>
    <s v="Nisqually River"/>
    <s v="Thurston/Pierce"/>
    <x v="0"/>
    <s v="King"/>
    <s v="06King"/>
    <s v="02South Puget Sound"/>
    <n v="481.41253263707603"/>
    <n v="1656.0591122715416"/>
  </r>
  <r>
    <n v="2583"/>
    <x v="7"/>
    <x v="2"/>
    <x v="7"/>
    <s v="Freshwater"/>
    <s v="2Freshwater"/>
    <s v="Salmon"/>
    <n v="786"/>
    <s v="Nisqually River"/>
    <s v="Nisqually River"/>
    <s v="Thurston/Pierce"/>
    <x v="0"/>
    <s v="Kitsap"/>
    <s v="10Kitsap"/>
    <s v="02South Puget Sound"/>
    <n v="61.456919060052201"/>
    <n v="211.41180156657956"/>
  </r>
  <r>
    <n v="2584"/>
    <x v="7"/>
    <x v="2"/>
    <x v="7"/>
    <s v="Freshwater"/>
    <s v="2Freshwater"/>
    <s v="Salmon"/>
    <n v="786"/>
    <s v="Nisqually River"/>
    <s v="Nisqually River"/>
    <s v="Thurston/Pierce"/>
    <x v="0"/>
    <s v="Mason"/>
    <s v="09Mason"/>
    <s v="02South Puget Sound"/>
    <n v="30.7284595300261"/>
    <n v="105.70590078328978"/>
  </r>
  <r>
    <n v="2585"/>
    <x v="7"/>
    <x v="2"/>
    <x v="7"/>
    <s v="Freshwater"/>
    <s v="2Freshwater"/>
    <s v="Salmon"/>
    <n v="786"/>
    <s v="Nisqually River"/>
    <s v="Nisqually River"/>
    <s v="Thurston/Pierce"/>
    <x v="0"/>
    <s v="Other"/>
    <s v="20Other"/>
    <s v="07Non Puget Sound"/>
    <n v="163.88511749347299"/>
    <n v="563.76480417754703"/>
  </r>
  <r>
    <n v="2586"/>
    <x v="7"/>
    <x v="2"/>
    <x v="7"/>
    <s v="Freshwater"/>
    <s v="2Freshwater"/>
    <s v="Salmon"/>
    <n v="786"/>
    <s v="Nisqually River"/>
    <s v="Nisqually River"/>
    <s v="Thurston/Pierce"/>
    <x v="0"/>
    <s v="Pierce"/>
    <s v="07Pierce"/>
    <s v="02South Puget Sound"/>
    <n v="1587.63707571802"/>
    <n v="5461.4715404699891"/>
  </r>
  <r>
    <n v="2587"/>
    <x v="7"/>
    <x v="2"/>
    <x v="7"/>
    <s v="Freshwater"/>
    <s v="2Freshwater"/>
    <s v="Salmon"/>
    <n v="786"/>
    <s v="Nisqually River"/>
    <s v="Nisqually River"/>
    <s v="Thurston/Pierce"/>
    <x v="0"/>
    <s v="Snohomish"/>
    <s v="03Snohomish"/>
    <s v="01North Puget Sound"/>
    <n v="40.971279373368198"/>
    <n v="140.94120104438659"/>
  </r>
  <r>
    <n v="2588"/>
    <x v="7"/>
    <x v="2"/>
    <x v="7"/>
    <s v="Freshwater"/>
    <s v="2Freshwater"/>
    <s v="Salmon"/>
    <n v="786"/>
    <s v="Nisqually River"/>
    <s v="Nisqually River"/>
    <s v="Thurston/Pierce"/>
    <x v="0"/>
    <s v="Thurston"/>
    <s v="08Thurston"/>
    <s v="02South Puget Sound"/>
    <n v="1556.90861618799"/>
    <n v="5355.7656396866851"/>
  </r>
  <r>
    <n v="2589"/>
    <x v="7"/>
    <x v="3"/>
    <x v="7"/>
    <s v="Freshwater"/>
    <s v="2Freshwater"/>
    <s v="Salmon"/>
    <n v="786"/>
    <s v="Nisqually River"/>
    <s v="Nisqually River"/>
    <s v="Thurston/Pierce"/>
    <x v="0"/>
    <s v="King"/>
    <s v="06King"/>
    <s v="02South Puget Sound"/>
    <n v="10"/>
    <n v="34.4"/>
  </r>
  <r>
    <n v="2590"/>
    <x v="7"/>
    <x v="3"/>
    <x v="7"/>
    <s v="Freshwater"/>
    <s v="2Freshwater"/>
    <s v="Salmon"/>
    <n v="786"/>
    <s v="Nisqually River"/>
    <s v="Nisqually River"/>
    <s v="Thurston/Pierce"/>
    <x v="0"/>
    <s v="Other"/>
    <s v="20Other"/>
    <s v="07Non Puget Sound"/>
    <n v="10"/>
    <n v="34.4"/>
  </r>
  <r>
    <n v="2591"/>
    <x v="7"/>
    <x v="3"/>
    <x v="7"/>
    <s v="Freshwater"/>
    <s v="2Freshwater"/>
    <s v="Salmon"/>
    <n v="786"/>
    <s v="Nisqually River"/>
    <s v="Nisqually River"/>
    <s v="Thurston/Pierce"/>
    <x v="0"/>
    <s v="Thurston"/>
    <s v="08Thurston"/>
    <s v="02South Puget Sound"/>
    <n v="10"/>
    <n v="34.4"/>
  </r>
  <r>
    <n v="2592"/>
    <x v="7"/>
    <x v="4"/>
    <x v="7"/>
    <s v="Freshwater"/>
    <s v="2Freshwater"/>
    <s v="Salmon"/>
    <n v="786"/>
    <s v="Nisqually River"/>
    <s v="Nisqually River"/>
    <s v="Thurston/Pierce"/>
    <x v="0"/>
    <s v="Pierce"/>
    <s v="07Pierce"/>
    <s v="02South Puget Sound"/>
    <n v="108.842105263158"/>
    <n v="374.41684210526353"/>
  </r>
  <r>
    <n v="2593"/>
    <x v="7"/>
    <x v="4"/>
    <x v="7"/>
    <s v="Freshwater"/>
    <s v="2Freshwater"/>
    <s v="Salmon"/>
    <n v="786"/>
    <s v="Nisqually River"/>
    <s v="Nisqually River"/>
    <s v="Thurston/Pierce"/>
    <x v="0"/>
    <s v="Thurston"/>
    <s v="08Thurston"/>
    <s v="02South Puget Sound"/>
    <n v="79.157894736842096"/>
    <n v="272.30315789473678"/>
  </r>
  <r>
    <n v="2594"/>
    <x v="8"/>
    <x v="6"/>
    <x v="7"/>
    <s v="Freshwater"/>
    <s v="2Freshwater"/>
    <s v="Salmon"/>
    <n v="786"/>
    <s v="Nisqually River"/>
    <s v="Nisqually River"/>
    <s v="Thurston/Pierce"/>
    <x v="0"/>
    <s v="Pierce"/>
    <s v="07Pierce"/>
    <s v="02South Puget Sound"/>
    <n v="20"/>
    <n v="173"/>
  </r>
  <r>
    <n v="2595"/>
    <x v="7"/>
    <x v="5"/>
    <x v="7"/>
    <s v="Freshwater"/>
    <s v="2Freshwater"/>
    <s v="Salmon"/>
    <n v="788"/>
    <s v="Nooksack River"/>
    <s v="Nooksack River"/>
    <s v="Whatcom"/>
    <x v="1"/>
    <s v="Whatcom"/>
    <s v="01Whatcom"/>
    <s v="01North Puget Sound"/>
    <n v="10"/>
    <n v="34.4"/>
  </r>
  <r>
    <n v="2596"/>
    <x v="7"/>
    <x v="0"/>
    <x v="7"/>
    <s v="Freshwater"/>
    <s v="2Freshwater"/>
    <s v="Salmon"/>
    <n v="788"/>
    <s v="Nooksack River"/>
    <s v="Nooksack River"/>
    <s v="Whatcom"/>
    <x v="1"/>
    <s v="Other"/>
    <s v="20Other"/>
    <s v="07Non Puget Sound"/>
    <n v="9.6744186046511604"/>
    <n v="33.279999999999994"/>
  </r>
  <r>
    <n v="2597"/>
    <x v="7"/>
    <x v="0"/>
    <x v="7"/>
    <s v="Freshwater"/>
    <s v="2Freshwater"/>
    <s v="Salmon"/>
    <n v="788"/>
    <s v="Nooksack River"/>
    <s v="Nooksack River"/>
    <s v="Whatcom"/>
    <x v="1"/>
    <s v="Skagit"/>
    <s v="02Skagit"/>
    <s v="01North Puget Sound"/>
    <n v="29.023255813953501"/>
    <n v="99.840000000000046"/>
  </r>
  <r>
    <n v="2598"/>
    <x v="7"/>
    <x v="0"/>
    <x v="7"/>
    <s v="Freshwater"/>
    <s v="2Freshwater"/>
    <s v="Salmon"/>
    <n v="788"/>
    <s v="Nooksack River"/>
    <s v="Nooksack River"/>
    <s v="Whatcom"/>
    <x v="1"/>
    <s v="Whatcom"/>
    <s v="01Whatcom"/>
    <s v="01North Puget Sound"/>
    <n v="1209.3023255814001"/>
    <n v="4160.0000000000164"/>
  </r>
  <r>
    <n v="2599"/>
    <x v="7"/>
    <x v="1"/>
    <x v="7"/>
    <s v="Freshwater"/>
    <s v="2Freshwater"/>
    <s v="Salmon"/>
    <n v="788"/>
    <s v="Nooksack River"/>
    <s v="Nooksack River"/>
    <s v="Whatcom"/>
    <x v="1"/>
    <s v="Other"/>
    <s v="20Other"/>
    <s v="07Non Puget Sound"/>
    <n v="9.66"/>
    <n v="33.230400000000003"/>
  </r>
  <r>
    <n v="2600"/>
    <x v="7"/>
    <x v="1"/>
    <x v="7"/>
    <s v="Freshwater"/>
    <s v="2Freshwater"/>
    <s v="Salmon"/>
    <n v="788"/>
    <s v="Nooksack River"/>
    <s v="Nooksack River"/>
    <s v="Whatcom"/>
    <x v="1"/>
    <s v="Whatcom"/>
    <s v="01Whatcom"/>
    <s v="01North Puget Sound"/>
    <n v="473.34"/>
    <n v="1628.2895999999998"/>
  </r>
  <r>
    <n v="2601"/>
    <x v="7"/>
    <x v="2"/>
    <x v="7"/>
    <s v="Freshwater"/>
    <s v="2Freshwater"/>
    <s v="Salmon"/>
    <n v="788"/>
    <s v="Nooksack River"/>
    <s v="Nooksack River"/>
    <s v="Whatcom"/>
    <x v="1"/>
    <s v="Island"/>
    <s v="04Island"/>
    <s v="01North Puget Sound"/>
    <n v="58.137931034482797"/>
    <n v="199.99448275862082"/>
  </r>
  <r>
    <n v="2602"/>
    <x v="7"/>
    <x v="2"/>
    <x v="7"/>
    <s v="Freshwater"/>
    <s v="2Freshwater"/>
    <s v="Salmon"/>
    <n v="788"/>
    <s v="Nooksack River"/>
    <s v="Nooksack River"/>
    <s v="Whatcom"/>
    <x v="1"/>
    <s v="King"/>
    <s v="06King"/>
    <s v="02South Puget Sound"/>
    <n v="29.068965517241399"/>
    <n v="99.99724137931041"/>
  </r>
  <r>
    <n v="2603"/>
    <x v="7"/>
    <x v="2"/>
    <x v="7"/>
    <s v="Freshwater"/>
    <s v="2Freshwater"/>
    <s v="Salmon"/>
    <n v="788"/>
    <s v="Nooksack River"/>
    <s v="Nooksack River"/>
    <s v="Whatcom"/>
    <x v="1"/>
    <s v="Other"/>
    <s v="20Other"/>
    <s v="07Non Puget Sound"/>
    <n v="9.6896551724138007"/>
    <n v="33.332413793103477"/>
  </r>
  <r>
    <n v="2604"/>
    <x v="7"/>
    <x v="2"/>
    <x v="7"/>
    <s v="Freshwater"/>
    <s v="2Freshwater"/>
    <s v="Salmon"/>
    <n v="788"/>
    <s v="Nooksack River"/>
    <s v="Nooksack River"/>
    <s v="Whatcom"/>
    <x v="1"/>
    <s v="Pierce"/>
    <s v="07Pierce"/>
    <s v="02South Puget Sound"/>
    <n v="29.068965517241399"/>
    <n v="99.99724137931041"/>
  </r>
  <r>
    <n v="2605"/>
    <x v="7"/>
    <x v="2"/>
    <x v="7"/>
    <s v="Freshwater"/>
    <s v="2Freshwater"/>
    <s v="Salmon"/>
    <n v="788"/>
    <s v="Nooksack River"/>
    <s v="Nooksack River"/>
    <s v="Whatcom"/>
    <x v="1"/>
    <s v="Skagit"/>
    <s v="02Skagit"/>
    <s v="01North Puget Sound"/>
    <n v="48.448275862069003"/>
    <n v="166.66206896551736"/>
  </r>
  <r>
    <n v="2606"/>
    <x v="7"/>
    <x v="2"/>
    <x v="7"/>
    <s v="Freshwater"/>
    <s v="2Freshwater"/>
    <s v="Salmon"/>
    <n v="788"/>
    <s v="Nooksack River"/>
    <s v="Nooksack River"/>
    <s v="Whatcom"/>
    <x v="1"/>
    <s v="Snohomish"/>
    <s v="03Snohomish"/>
    <s v="01North Puget Sound"/>
    <n v="48.448275862069003"/>
    <n v="166.66206896551736"/>
  </r>
  <r>
    <n v="2607"/>
    <x v="7"/>
    <x v="2"/>
    <x v="7"/>
    <s v="Freshwater"/>
    <s v="2Freshwater"/>
    <s v="Salmon"/>
    <n v="788"/>
    <s v="Nooksack River"/>
    <s v="Nooksack River"/>
    <s v="Whatcom"/>
    <x v="1"/>
    <s v="Whatcom"/>
    <s v="01Whatcom"/>
    <s v="01North Puget Sound"/>
    <n v="339.13793103448302"/>
    <n v="1166.6344827586215"/>
  </r>
  <r>
    <n v="2608"/>
    <x v="7"/>
    <x v="3"/>
    <x v="7"/>
    <s v="Freshwater"/>
    <s v="2Freshwater"/>
    <s v="Salmon"/>
    <n v="788"/>
    <s v="Nooksack River"/>
    <s v="Nooksack River"/>
    <s v="Whatcom"/>
    <x v="1"/>
    <s v="Island"/>
    <s v="04Island"/>
    <s v="01North Puget Sound"/>
    <n v="38.580645161290299"/>
    <n v="132.71741935483863"/>
  </r>
  <r>
    <n v="2609"/>
    <x v="7"/>
    <x v="3"/>
    <x v="7"/>
    <s v="Freshwater"/>
    <s v="2Freshwater"/>
    <s v="Salmon"/>
    <n v="788"/>
    <s v="Nooksack River"/>
    <s v="Nooksack River"/>
    <s v="Whatcom"/>
    <x v="1"/>
    <s v="Other"/>
    <s v="20Other"/>
    <s v="07Non Puget Sound"/>
    <n v="19.290322580645199"/>
    <n v="66.358709677419483"/>
  </r>
  <r>
    <n v="2610"/>
    <x v="7"/>
    <x v="3"/>
    <x v="7"/>
    <s v="Freshwater"/>
    <s v="2Freshwater"/>
    <s v="Salmon"/>
    <n v="788"/>
    <s v="Nooksack River"/>
    <s v="Nooksack River"/>
    <s v="Whatcom"/>
    <x v="1"/>
    <s v="Skagit"/>
    <s v="02Skagit"/>
    <s v="01North Puget Sound"/>
    <n v="9.6451612903225801"/>
    <n v="33.179354838709678"/>
  </r>
  <r>
    <n v="2611"/>
    <x v="7"/>
    <x v="3"/>
    <x v="7"/>
    <s v="Freshwater"/>
    <s v="2Freshwater"/>
    <s v="Salmon"/>
    <n v="788"/>
    <s v="Nooksack River"/>
    <s v="Nooksack River"/>
    <s v="Whatcom"/>
    <x v="1"/>
    <s v="Snohomish"/>
    <s v="03Snohomish"/>
    <s v="01North Puget Sound"/>
    <n v="86.806451612903302"/>
    <n v="298.61419354838733"/>
  </r>
  <r>
    <n v="2612"/>
    <x v="7"/>
    <x v="3"/>
    <x v="7"/>
    <s v="Freshwater"/>
    <s v="2Freshwater"/>
    <s v="Salmon"/>
    <n v="788"/>
    <s v="Nooksack River"/>
    <s v="Nooksack River"/>
    <s v="Whatcom"/>
    <x v="1"/>
    <s v="Whatcom"/>
    <s v="01Whatcom"/>
    <s v="01North Puget Sound"/>
    <n v="144.677419354839"/>
    <n v="497.69032258064618"/>
  </r>
  <r>
    <n v="2613"/>
    <x v="7"/>
    <x v="4"/>
    <x v="7"/>
    <s v="Freshwater"/>
    <s v="2Freshwater"/>
    <s v="Salmon"/>
    <n v="788"/>
    <s v="Nooksack River"/>
    <s v="Nooksack River"/>
    <s v="Whatcom"/>
    <x v="1"/>
    <s v="Pierce"/>
    <s v="07Pierce"/>
    <s v="02South Puget Sound"/>
    <n v="38.4"/>
    <n v="132.096"/>
  </r>
  <r>
    <n v="2614"/>
    <x v="7"/>
    <x v="4"/>
    <x v="7"/>
    <s v="Freshwater"/>
    <s v="2Freshwater"/>
    <s v="Salmon"/>
    <n v="788"/>
    <s v="Nooksack River"/>
    <s v="Nooksack River"/>
    <s v="Whatcom"/>
    <x v="1"/>
    <s v="Skagit"/>
    <s v="02Skagit"/>
    <s v="01North Puget Sound"/>
    <n v="9.6"/>
    <n v="33.024000000000001"/>
  </r>
  <r>
    <n v="2615"/>
    <x v="7"/>
    <x v="1"/>
    <x v="7"/>
    <s v="Freshwater"/>
    <s v="2Freshwater"/>
    <s v="Salmon"/>
    <n v="802"/>
    <s v="Carbon River"/>
    <s v="Carbon River"/>
    <s v="Pierce"/>
    <x v="0"/>
    <s v="King"/>
    <s v="06King"/>
    <s v="02South Puget Sound"/>
    <n v="280.14084507042298"/>
    <n v="963.68450704225506"/>
  </r>
  <r>
    <n v="2616"/>
    <x v="7"/>
    <x v="1"/>
    <x v="7"/>
    <s v="Freshwater"/>
    <s v="2Freshwater"/>
    <s v="Salmon"/>
    <n v="802"/>
    <s v="Carbon River"/>
    <s v="Carbon River"/>
    <s v="Pierce"/>
    <x v="0"/>
    <s v="Kitsap"/>
    <s v="10Kitsap"/>
    <s v="02South Puget Sound"/>
    <n v="64.647887323943706"/>
    <n v="222.38873239436634"/>
  </r>
  <r>
    <n v="2617"/>
    <x v="7"/>
    <x v="1"/>
    <x v="7"/>
    <s v="Freshwater"/>
    <s v="2Freshwater"/>
    <s v="Salmon"/>
    <n v="802"/>
    <s v="Carbon River"/>
    <s v="Carbon River"/>
    <s v="Pierce"/>
    <x v="0"/>
    <s v="Pierce"/>
    <s v="07Pierce"/>
    <s v="02South Puget Sound"/>
    <n v="420.21126760563402"/>
    <n v="1445.526760563381"/>
  </r>
  <r>
    <n v="2618"/>
    <x v="7"/>
    <x v="2"/>
    <x v="7"/>
    <s v="Freshwater"/>
    <s v="2Freshwater"/>
    <s v="Salmon"/>
    <n v="802"/>
    <s v="Carbon River"/>
    <s v="Carbon River"/>
    <s v="Pierce"/>
    <x v="0"/>
    <s v="King"/>
    <s v="06King"/>
    <s v="02South Puget Sound"/>
    <n v="95.863636363636402"/>
    <n v="329.77090909090924"/>
  </r>
  <r>
    <n v="2619"/>
    <x v="7"/>
    <x v="2"/>
    <x v="7"/>
    <s v="Freshwater"/>
    <s v="2Freshwater"/>
    <s v="Salmon"/>
    <n v="802"/>
    <s v="Carbon River"/>
    <s v="Carbon River"/>
    <s v="Pierce"/>
    <x v="0"/>
    <s v="Pierce"/>
    <s v="07Pierce"/>
    <s v="02South Puget Sound"/>
    <n v="607.13636363636397"/>
    <n v="2088.5490909090922"/>
  </r>
  <r>
    <n v="2620"/>
    <x v="7"/>
    <x v="3"/>
    <x v="7"/>
    <s v="Freshwater"/>
    <s v="2Freshwater"/>
    <s v="Salmon"/>
    <n v="802"/>
    <s v="Carbon River"/>
    <s v="Carbon River"/>
    <s v="Pierce"/>
    <x v="0"/>
    <s v="Pierce"/>
    <s v="07Pierce"/>
    <s v="02South Puget Sound"/>
    <n v="31"/>
    <n v="106.64"/>
  </r>
  <r>
    <n v="2621"/>
    <x v="7"/>
    <x v="0"/>
    <x v="7"/>
    <s v="Freshwater"/>
    <s v="2Freshwater"/>
    <s v="Salmon"/>
    <n v="804"/>
    <s v="Puyallup River"/>
    <s v="Puyallup River"/>
    <s v="Pierce"/>
    <x v="0"/>
    <s v="King"/>
    <s v="06King"/>
    <s v="02South Puget Sound"/>
    <n v="1983.3333333333301"/>
    <n v="6822.6666666666551"/>
  </r>
  <r>
    <n v="2622"/>
    <x v="7"/>
    <x v="0"/>
    <x v="7"/>
    <s v="Freshwater"/>
    <s v="2Freshwater"/>
    <s v="Salmon"/>
    <n v="804"/>
    <s v="Puyallup River"/>
    <s v="Puyallup River"/>
    <s v="Pierce"/>
    <x v="0"/>
    <s v="Kitsap"/>
    <s v="10Kitsap"/>
    <s v="02South Puget Sound"/>
    <n v="49.5833333333333"/>
    <n v="170.56666666666655"/>
  </r>
  <r>
    <n v="2623"/>
    <x v="7"/>
    <x v="0"/>
    <x v="7"/>
    <s v="Freshwater"/>
    <s v="2Freshwater"/>
    <s v="Salmon"/>
    <n v="804"/>
    <s v="Puyallup River"/>
    <s v="Puyallup River"/>
    <s v="Pierce"/>
    <x v="0"/>
    <s v="Other"/>
    <s v="20Other"/>
    <s v="07Non Puget Sound"/>
    <n v="327.25"/>
    <n v="1125.74"/>
  </r>
  <r>
    <n v="2624"/>
    <x v="7"/>
    <x v="0"/>
    <x v="7"/>
    <s v="Freshwater"/>
    <s v="2Freshwater"/>
    <s v="Salmon"/>
    <n v="804"/>
    <s v="Puyallup River"/>
    <s v="Puyallup River"/>
    <s v="Pierce"/>
    <x v="0"/>
    <s v="Pierce"/>
    <s v="07Pierce"/>
    <s v="02South Puget Sound"/>
    <n v="3064.25"/>
    <n v="10541.02"/>
  </r>
  <r>
    <n v="2625"/>
    <x v="7"/>
    <x v="0"/>
    <x v="7"/>
    <s v="Freshwater"/>
    <s v="2Freshwater"/>
    <s v="Salmon"/>
    <n v="804"/>
    <s v="Puyallup River"/>
    <s v="Puyallup River"/>
    <s v="Pierce"/>
    <x v="0"/>
    <s v="Thurston"/>
    <s v="08Thurston"/>
    <s v="02South Puget Sound"/>
    <n v="158.666666666667"/>
    <n v="545.81333333333441"/>
  </r>
  <r>
    <n v="2626"/>
    <x v="7"/>
    <x v="0"/>
    <x v="7"/>
    <s v="Freshwater"/>
    <s v="2Freshwater"/>
    <s v="Salmon"/>
    <n v="804"/>
    <s v="Puyallup River"/>
    <s v="Puyallup River"/>
    <s v="Pierce"/>
    <x v="0"/>
    <s v="Whatcom"/>
    <s v="01Whatcom"/>
    <s v="01North Puget Sound"/>
    <n v="9.9166666666666696"/>
    <n v="34.113333333333344"/>
  </r>
  <r>
    <n v="2627"/>
    <x v="7"/>
    <x v="1"/>
    <x v="7"/>
    <s v="Freshwater"/>
    <s v="2Freshwater"/>
    <s v="Salmon"/>
    <n v="804"/>
    <s v="Puyallup River"/>
    <s v="Puyallup River"/>
    <s v="Pierce"/>
    <x v="0"/>
    <s v="King"/>
    <s v="06King"/>
    <s v="02South Puget Sound"/>
    <n v="3329.8443983402499"/>
    <n v="11454.66473029046"/>
  </r>
  <r>
    <n v="2628"/>
    <x v="7"/>
    <x v="1"/>
    <x v="7"/>
    <s v="Freshwater"/>
    <s v="2Freshwater"/>
    <s v="Salmon"/>
    <n v="804"/>
    <s v="Puyallup River"/>
    <s v="Puyallup River"/>
    <s v="Pierce"/>
    <x v="0"/>
    <s v="Kitsap"/>
    <s v="10Kitsap"/>
    <s v="02South Puget Sound"/>
    <n v="208.73651452282201"/>
    <n v="718.05360995850765"/>
  </r>
  <r>
    <n v="2629"/>
    <x v="7"/>
    <x v="1"/>
    <x v="7"/>
    <s v="Freshwater"/>
    <s v="2Freshwater"/>
    <s v="Salmon"/>
    <n v="804"/>
    <s v="Puyallup River"/>
    <s v="Puyallup River"/>
    <s v="Pierce"/>
    <x v="0"/>
    <s v="Other"/>
    <s v="20Other"/>
    <s v="07Non Puget Sound"/>
    <n v="506.93153526971003"/>
    <n v="1743.8444813278024"/>
  </r>
  <r>
    <n v="2630"/>
    <x v="7"/>
    <x v="1"/>
    <x v="7"/>
    <s v="Freshwater"/>
    <s v="2Freshwater"/>
    <s v="Salmon"/>
    <n v="804"/>
    <s v="Puyallup River"/>
    <s v="Puyallup River"/>
    <s v="Pierce"/>
    <x v="0"/>
    <s v="Pierce"/>
    <s v="07Pierce"/>
    <s v="02South Puget Sound"/>
    <n v="5258.1721991701297"/>
    <n v="18088.112365145247"/>
  </r>
  <r>
    <n v="2631"/>
    <x v="7"/>
    <x v="1"/>
    <x v="7"/>
    <s v="Freshwater"/>
    <s v="2Freshwater"/>
    <s v="Salmon"/>
    <n v="804"/>
    <s v="Puyallup River"/>
    <s v="Puyallup River"/>
    <s v="Pierce"/>
    <x v="0"/>
    <s v="Skagit"/>
    <s v="02Skagit"/>
    <s v="01North Puget Sound"/>
    <n v="9.9398340248962693"/>
    <n v="34.193029045643165"/>
  </r>
  <r>
    <n v="2632"/>
    <x v="7"/>
    <x v="1"/>
    <x v="7"/>
    <s v="Freshwater"/>
    <s v="2Freshwater"/>
    <s v="Salmon"/>
    <n v="804"/>
    <s v="Puyallup River"/>
    <s v="Puyallup River"/>
    <s v="Pierce"/>
    <x v="0"/>
    <s v="Snohomish"/>
    <s v="03Snohomish"/>
    <s v="01North Puget Sound"/>
    <n v="79.518672199170098"/>
    <n v="273.54423236514515"/>
  </r>
  <r>
    <n v="2633"/>
    <x v="7"/>
    <x v="1"/>
    <x v="7"/>
    <s v="Freshwater"/>
    <s v="2Freshwater"/>
    <s v="Salmon"/>
    <n v="804"/>
    <s v="Puyallup River"/>
    <s v="Puyallup River"/>
    <s v="Pierce"/>
    <x v="0"/>
    <s v="Thurston"/>
    <s v="08Thurston"/>
    <s v="02South Puget Sound"/>
    <n v="188.85684647302901"/>
    <n v="649.6675518672198"/>
  </r>
  <r>
    <n v="2634"/>
    <x v="7"/>
    <x v="2"/>
    <x v="7"/>
    <s v="Freshwater"/>
    <s v="2Freshwater"/>
    <s v="Salmon"/>
    <n v="804"/>
    <s v="Puyallup River"/>
    <s v="Puyallup River"/>
    <s v="Pierce"/>
    <x v="0"/>
    <s v="King"/>
    <s v="06King"/>
    <s v="02South Puget Sound"/>
    <n v="169.80459770114899"/>
    <n v="584.12781609195258"/>
  </r>
  <r>
    <n v="2635"/>
    <x v="7"/>
    <x v="2"/>
    <x v="7"/>
    <s v="Freshwater"/>
    <s v="2Freshwater"/>
    <s v="Salmon"/>
    <n v="804"/>
    <s v="Puyallup River"/>
    <s v="Puyallup River"/>
    <s v="Pierce"/>
    <x v="0"/>
    <s v="Other"/>
    <s v="20Other"/>
    <s v="07Non Puget Sound"/>
    <n v="29.965517241379299"/>
    <n v="103.08137931034479"/>
  </r>
  <r>
    <n v="2636"/>
    <x v="7"/>
    <x v="2"/>
    <x v="7"/>
    <s v="Freshwater"/>
    <s v="2Freshwater"/>
    <s v="Salmon"/>
    <n v="804"/>
    <s v="Puyallup River"/>
    <s v="Puyallup River"/>
    <s v="Pierce"/>
    <x v="0"/>
    <s v="Pierce"/>
    <s v="07Pierce"/>
    <s v="02South Puget Sound"/>
    <n v="669.22988505747105"/>
    <n v="2302.1508045977002"/>
  </r>
  <r>
    <n v="2637"/>
    <x v="7"/>
    <x v="3"/>
    <x v="7"/>
    <s v="Freshwater"/>
    <s v="2Freshwater"/>
    <s v="Salmon"/>
    <n v="804"/>
    <s v="Puyallup River"/>
    <s v="Puyallup River"/>
    <s v="Pierce"/>
    <x v="0"/>
    <s v="King"/>
    <s v="06King"/>
    <s v="02South Puget Sound"/>
    <n v="20"/>
    <n v="68.8"/>
  </r>
  <r>
    <n v="2638"/>
    <x v="7"/>
    <x v="3"/>
    <x v="7"/>
    <s v="Freshwater"/>
    <s v="2Freshwater"/>
    <s v="Salmon"/>
    <n v="804"/>
    <s v="Puyallup River"/>
    <s v="Puyallup River"/>
    <s v="Pierce"/>
    <x v="0"/>
    <s v="Pierce"/>
    <s v="07Pierce"/>
    <s v="02South Puget Sound"/>
    <n v="120"/>
    <n v="412.8"/>
  </r>
  <r>
    <n v="2639"/>
    <x v="7"/>
    <x v="4"/>
    <x v="7"/>
    <s v="Freshwater"/>
    <s v="2Freshwater"/>
    <s v="Salmon"/>
    <n v="804"/>
    <s v="Puyallup River"/>
    <s v="Puyallup River"/>
    <s v="Pierce"/>
    <x v="0"/>
    <s v="Pierce"/>
    <s v="07Pierce"/>
    <s v="02South Puget Sound"/>
    <n v="49"/>
    <n v="168.56"/>
  </r>
  <r>
    <n v="2640"/>
    <x v="7"/>
    <x v="0"/>
    <x v="7"/>
    <s v="Freshwater"/>
    <s v="2Freshwater"/>
    <s v="Salmon"/>
    <n v="812"/>
    <s v="Quilcene River"/>
    <s v="Quilcene River"/>
    <s v="Jefferson"/>
    <x v="2"/>
    <s v="Clallam"/>
    <s v="11Clallam"/>
    <s v="03Strait of Juan de Fuca"/>
    <n v="40.876712328767098"/>
    <n v="140.61589041095883"/>
  </r>
  <r>
    <n v="2641"/>
    <x v="7"/>
    <x v="0"/>
    <x v="7"/>
    <s v="Freshwater"/>
    <s v="2Freshwater"/>
    <s v="Salmon"/>
    <n v="812"/>
    <s v="Quilcene River"/>
    <s v="Quilcene River"/>
    <s v="Jefferson"/>
    <x v="2"/>
    <s v="Jefferson"/>
    <s v="12Jefferson"/>
    <s v="03Strait of Juan de Fuca"/>
    <n v="10.219178082191799"/>
    <n v="35.153972602739792"/>
  </r>
  <r>
    <n v="2642"/>
    <x v="7"/>
    <x v="0"/>
    <x v="7"/>
    <s v="Freshwater"/>
    <s v="2Freshwater"/>
    <s v="Salmon"/>
    <n v="812"/>
    <s v="Quilcene River"/>
    <s v="Quilcene River"/>
    <s v="Jefferson"/>
    <x v="2"/>
    <s v="King"/>
    <s v="06King"/>
    <s v="02South Puget Sound"/>
    <n v="153.28767123287699"/>
    <n v="527.30958904109684"/>
  </r>
  <r>
    <n v="2643"/>
    <x v="7"/>
    <x v="0"/>
    <x v="7"/>
    <s v="Freshwater"/>
    <s v="2Freshwater"/>
    <s v="Salmon"/>
    <n v="812"/>
    <s v="Quilcene River"/>
    <s v="Quilcene River"/>
    <s v="Jefferson"/>
    <x v="2"/>
    <s v="Kitsap"/>
    <s v="10Kitsap"/>
    <s v="02South Puget Sound"/>
    <n v="173.72602739726"/>
    <n v="597.61753424657434"/>
  </r>
  <r>
    <n v="2644"/>
    <x v="7"/>
    <x v="0"/>
    <x v="7"/>
    <s v="Freshwater"/>
    <s v="2Freshwater"/>
    <s v="Salmon"/>
    <n v="812"/>
    <s v="Quilcene River"/>
    <s v="Quilcene River"/>
    <s v="Jefferson"/>
    <x v="2"/>
    <s v="Other"/>
    <s v="20Other"/>
    <s v="07Non Puget Sound"/>
    <n v="204.383561643836"/>
    <n v="703.07945205479587"/>
  </r>
  <r>
    <n v="2645"/>
    <x v="7"/>
    <x v="0"/>
    <x v="7"/>
    <s v="Freshwater"/>
    <s v="2Freshwater"/>
    <s v="Salmon"/>
    <n v="812"/>
    <s v="Quilcene River"/>
    <s v="Quilcene River"/>
    <s v="Jefferson"/>
    <x v="2"/>
    <s v="Pierce"/>
    <s v="07Pierce"/>
    <s v="02South Puget Sound"/>
    <n v="102.191780821918"/>
    <n v="351.53972602739793"/>
  </r>
  <r>
    <n v="2646"/>
    <x v="7"/>
    <x v="0"/>
    <x v="7"/>
    <s v="Freshwater"/>
    <s v="2Freshwater"/>
    <s v="Salmon"/>
    <n v="812"/>
    <s v="Quilcene River"/>
    <s v="Quilcene River"/>
    <s v="Jefferson"/>
    <x v="2"/>
    <s v="Thurston"/>
    <s v="08Thurston"/>
    <s v="02South Puget Sound"/>
    <n v="61.315068493150697"/>
    <n v="210.9238356164384"/>
  </r>
  <r>
    <n v="2647"/>
    <x v="7"/>
    <x v="1"/>
    <x v="7"/>
    <s v="Freshwater"/>
    <s v="2Freshwater"/>
    <s v="Salmon"/>
    <n v="812"/>
    <s v="Quilcene River"/>
    <s v="Quilcene River"/>
    <s v="Jefferson"/>
    <x v="2"/>
    <s v="Jefferson"/>
    <s v="12Jefferson"/>
    <s v="03Strait of Juan de Fuca"/>
    <n v="20.4460431654676"/>
    <n v="70.33438848920855"/>
  </r>
  <r>
    <n v="2648"/>
    <x v="7"/>
    <x v="1"/>
    <x v="7"/>
    <s v="Freshwater"/>
    <s v="2Freshwater"/>
    <s v="Salmon"/>
    <n v="812"/>
    <s v="Quilcene River"/>
    <s v="Quilcene River"/>
    <s v="Jefferson"/>
    <x v="2"/>
    <s v="King"/>
    <s v="06King"/>
    <s v="02South Puget Sound"/>
    <n v="316.91366906474798"/>
    <n v="1090.1830215827331"/>
  </r>
  <r>
    <n v="2649"/>
    <x v="7"/>
    <x v="1"/>
    <x v="7"/>
    <s v="Freshwater"/>
    <s v="2Freshwater"/>
    <s v="Salmon"/>
    <n v="812"/>
    <s v="Quilcene River"/>
    <s v="Quilcene River"/>
    <s v="Jefferson"/>
    <x v="2"/>
    <s v="Kitsap"/>
    <s v="10Kitsap"/>
    <s v="02South Puget Sound"/>
    <n v="439.589928057554"/>
    <n v="1512.1893525179858"/>
  </r>
  <r>
    <n v="2650"/>
    <x v="7"/>
    <x v="1"/>
    <x v="7"/>
    <s v="Freshwater"/>
    <s v="2Freshwater"/>
    <s v="Salmon"/>
    <n v="812"/>
    <s v="Quilcene River"/>
    <s v="Quilcene River"/>
    <s v="Jefferson"/>
    <x v="2"/>
    <s v="Mason"/>
    <s v="09Mason"/>
    <s v="02South Puget Sound"/>
    <n v="214.68345323740999"/>
    <n v="738.51107913669034"/>
  </r>
  <r>
    <n v="2651"/>
    <x v="7"/>
    <x v="1"/>
    <x v="7"/>
    <s v="Freshwater"/>
    <s v="2Freshwater"/>
    <s v="Salmon"/>
    <n v="812"/>
    <s v="Quilcene River"/>
    <s v="Quilcene River"/>
    <s v="Jefferson"/>
    <x v="2"/>
    <s v="Other"/>
    <s v="20Other"/>
    <s v="07Non Puget Sound"/>
    <n v="71.561151079136707"/>
    <n v="246.17035971223027"/>
  </r>
  <r>
    <n v="2652"/>
    <x v="7"/>
    <x v="1"/>
    <x v="7"/>
    <s v="Freshwater"/>
    <s v="2Freshwater"/>
    <s v="Salmon"/>
    <n v="812"/>
    <s v="Quilcene River"/>
    <s v="Quilcene River"/>
    <s v="Jefferson"/>
    <x v="2"/>
    <s v="Pierce"/>
    <s v="07Pierce"/>
    <s v="02South Puget Sound"/>
    <n v="265.79856115107901"/>
    <n v="914.34705035971183"/>
  </r>
  <r>
    <n v="2653"/>
    <x v="7"/>
    <x v="1"/>
    <x v="7"/>
    <s v="Freshwater"/>
    <s v="2Freshwater"/>
    <s v="Salmon"/>
    <n v="812"/>
    <s v="Quilcene River"/>
    <s v="Quilcene River"/>
    <s v="Jefferson"/>
    <x v="2"/>
    <s v="Thurston"/>
    <s v="08Thurston"/>
    <s v="02South Puget Sound"/>
    <n v="92.007194244604307"/>
    <n v="316.50474820143882"/>
  </r>
  <r>
    <n v="2654"/>
    <x v="7"/>
    <x v="2"/>
    <x v="7"/>
    <s v="Freshwater"/>
    <s v="2Freshwater"/>
    <s v="Salmon"/>
    <n v="812"/>
    <s v="Quilcene River"/>
    <s v="Quilcene River"/>
    <s v="Jefferson"/>
    <x v="2"/>
    <s v="Clallam"/>
    <s v="11Clallam"/>
    <s v="03Strait of Juan de Fuca"/>
    <n v="10.25"/>
    <n v="35.26"/>
  </r>
  <r>
    <n v="2655"/>
    <x v="7"/>
    <x v="2"/>
    <x v="7"/>
    <s v="Freshwater"/>
    <s v="2Freshwater"/>
    <s v="Salmon"/>
    <n v="812"/>
    <s v="Quilcene River"/>
    <s v="Quilcene River"/>
    <s v="Jefferson"/>
    <x v="2"/>
    <s v="Kitsap"/>
    <s v="10Kitsap"/>
    <s v="02South Puget Sound"/>
    <n v="51.25"/>
    <n v="176.3"/>
  </r>
  <r>
    <n v="2656"/>
    <x v="7"/>
    <x v="2"/>
    <x v="7"/>
    <s v="Freshwater"/>
    <s v="2Freshwater"/>
    <s v="Salmon"/>
    <n v="812"/>
    <s v="Quilcene River"/>
    <s v="Quilcene River"/>
    <s v="Jefferson"/>
    <x v="2"/>
    <s v="Pierce"/>
    <s v="07Pierce"/>
    <s v="02South Puget Sound"/>
    <n v="20.5"/>
    <n v="70.52"/>
  </r>
  <r>
    <n v="2657"/>
    <x v="7"/>
    <x v="0"/>
    <x v="7"/>
    <s v="Freshwater"/>
    <s v="2Freshwater"/>
    <s v="Salmon"/>
    <n v="816"/>
    <s v="Samish River"/>
    <s v="Samish River"/>
    <s v="Skagit"/>
    <x v="1"/>
    <s v="Island"/>
    <s v="04Island"/>
    <s v="01North Puget Sound"/>
    <n v="19.3571428571429"/>
    <n v="66.588571428571569"/>
  </r>
  <r>
    <n v="2658"/>
    <x v="7"/>
    <x v="0"/>
    <x v="7"/>
    <s v="Freshwater"/>
    <s v="2Freshwater"/>
    <s v="Salmon"/>
    <n v="816"/>
    <s v="Samish River"/>
    <s v="Samish River"/>
    <s v="Skagit"/>
    <x v="1"/>
    <s v="King"/>
    <s v="06King"/>
    <s v="02South Puget Sound"/>
    <n v="135.5"/>
    <n v="466.12"/>
  </r>
  <r>
    <n v="2659"/>
    <x v="7"/>
    <x v="0"/>
    <x v="7"/>
    <s v="Freshwater"/>
    <s v="2Freshwater"/>
    <s v="Salmon"/>
    <n v="816"/>
    <s v="Samish River"/>
    <s v="Samish River"/>
    <s v="Skagit"/>
    <x v="1"/>
    <s v="Skagit"/>
    <s v="02Skagit"/>
    <s v="01North Puget Sound"/>
    <n v="58.071428571428598"/>
    <n v="199.76571428571438"/>
  </r>
  <r>
    <n v="2660"/>
    <x v="7"/>
    <x v="0"/>
    <x v="7"/>
    <s v="Freshwater"/>
    <s v="2Freshwater"/>
    <s v="Salmon"/>
    <n v="816"/>
    <s v="Samish River"/>
    <s v="Samish River"/>
    <s v="Skagit"/>
    <x v="1"/>
    <s v="Snohomish"/>
    <s v="03Snohomish"/>
    <s v="01North Puget Sound"/>
    <n v="222.607142857143"/>
    <n v="765.76857142857193"/>
  </r>
  <r>
    <n v="2661"/>
    <x v="7"/>
    <x v="0"/>
    <x v="7"/>
    <s v="Freshwater"/>
    <s v="2Freshwater"/>
    <s v="Salmon"/>
    <n v="816"/>
    <s v="Samish River"/>
    <s v="Samish River"/>
    <s v="Skagit"/>
    <x v="1"/>
    <s v="Whatcom"/>
    <s v="01Whatcom"/>
    <s v="01North Puget Sound"/>
    <n v="106.46428571428601"/>
    <n v="366.23714285714385"/>
  </r>
  <r>
    <n v="2662"/>
    <x v="7"/>
    <x v="1"/>
    <x v="7"/>
    <s v="Freshwater"/>
    <s v="2Freshwater"/>
    <s v="Salmon"/>
    <n v="816"/>
    <s v="Samish River"/>
    <s v="Samish River"/>
    <s v="Skagit"/>
    <x v="1"/>
    <s v="Island"/>
    <s v="04Island"/>
    <s v="01North Puget Sound"/>
    <n v="232.114832535885"/>
    <n v="798.47502392344438"/>
  </r>
  <r>
    <n v="2663"/>
    <x v="7"/>
    <x v="1"/>
    <x v="7"/>
    <s v="Freshwater"/>
    <s v="2Freshwater"/>
    <s v="Salmon"/>
    <n v="816"/>
    <s v="Samish River"/>
    <s v="Samish River"/>
    <s v="Skagit"/>
    <x v="1"/>
    <s v="King"/>
    <s v="06King"/>
    <s v="02South Puget Sound"/>
    <n v="909.11642743221705"/>
    <n v="3127.3605103668265"/>
  </r>
  <r>
    <n v="2664"/>
    <x v="7"/>
    <x v="1"/>
    <x v="7"/>
    <s v="Freshwater"/>
    <s v="2Freshwater"/>
    <s v="Salmon"/>
    <n v="816"/>
    <s v="Samish River"/>
    <s v="Samish River"/>
    <s v="Skagit"/>
    <x v="1"/>
    <s v="Other"/>
    <s v="20Other"/>
    <s v="07Non Puget Sound"/>
    <n v="415.87240829346098"/>
    <n v="1430.6010845295057"/>
  </r>
  <r>
    <n v="2665"/>
    <x v="7"/>
    <x v="1"/>
    <x v="7"/>
    <s v="Freshwater"/>
    <s v="2Freshwater"/>
    <s v="Salmon"/>
    <n v="816"/>
    <s v="Samish River"/>
    <s v="Samish River"/>
    <s v="Skagit"/>
    <x v="1"/>
    <s v="Pierce"/>
    <s v="07Pierce"/>
    <s v="02South Puget Sound"/>
    <n v="19.342902711323799"/>
    <n v="66.539585326953869"/>
  </r>
  <r>
    <n v="2666"/>
    <x v="7"/>
    <x v="1"/>
    <x v="7"/>
    <s v="Freshwater"/>
    <s v="2Freshwater"/>
    <s v="Salmon"/>
    <n v="816"/>
    <s v="Samish River"/>
    <s v="Samish River"/>
    <s v="Skagit"/>
    <x v="1"/>
    <s v="Skagit"/>
    <s v="02Skagit"/>
    <s v="01North Puget Sound"/>
    <n v="1015.5023923445"/>
    <n v="3493.32822966508"/>
  </r>
  <r>
    <n v="2667"/>
    <x v="7"/>
    <x v="1"/>
    <x v="7"/>
    <s v="Freshwater"/>
    <s v="2Freshwater"/>
    <s v="Salmon"/>
    <n v="816"/>
    <s v="Samish River"/>
    <s v="Samish River"/>
    <s v="Skagit"/>
    <x v="1"/>
    <s v="Snohomish"/>
    <s v="03Snohomish"/>
    <s v="01North Puget Sound"/>
    <n v="2766.0350877193"/>
    <n v="9515.160701754392"/>
  </r>
  <r>
    <n v="2668"/>
    <x v="7"/>
    <x v="1"/>
    <x v="7"/>
    <s v="Freshwater"/>
    <s v="2Freshwater"/>
    <s v="Salmon"/>
    <n v="816"/>
    <s v="Samish River"/>
    <s v="Samish River"/>
    <s v="Skagit"/>
    <x v="1"/>
    <s v="Whatcom"/>
    <s v="01Whatcom"/>
    <s v="01North Puget Sound"/>
    <n v="706.01594896331801"/>
    <n v="2428.694864433814"/>
  </r>
  <r>
    <n v="2669"/>
    <x v="7"/>
    <x v="2"/>
    <x v="7"/>
    <s v="Freshwater"/>
    <s v="2Freshwater"/>
    <s v="Salmon"/>
    <n v="816"/>
    <s v="Samish River"/>
    <s v="Samish River"/>
    <s v="Skagit"/>
    <x v="1"/>
    <s v="Island"/>
    <s v="04Island"/>
    <s v="01North Puget Sound"/>
    <n v="9.6666666666666696"/>
    <n v="33.253333333333345"/>
  </r>
  <r>
    <n v="2670"/>
    <x v="7"/>
    <x v="2"/>
    <x v="7"/>
    <s v="Freshwater"/>
    <s v="2Freshwater"/>
    <s v="Salmon"/>
    <n v="816"/>
    <s v="Samish River"/>
    <s v="Samish River"/>
    <s v="Skagit"/>
    <x v="1"/>
    <s v="King"/>
    <s v="06King"/>
    <s v="02South Puget Sound"/>
    <n v="415.66666666666703"/>
    <n v="1429.8933333333346"/>
  </r>
  <r>
    <n v="2671"/>
    <x v="7"/>
    <x v="2"/>
    <x v="7"/>
    <s v="Freshwater"/>
    <s v="2Freshwater"/>
    <s v="Salmon"/>
    <n v="816"/>
    <s v="Samish River"/>
    <s v="Samish River"/>
    <s v="Skagit"/>
    <x v="1"/>
    <s v="Other"/>
    <s v="20Other"/>
    <s v="07Non Puget Sound"/>
    <n v="29"/>
    <n v="99.76"/>
  </r>
  <r>
    <n v="2672"/>
    <x v="7"/>
    <x v="2"/>
    <x v="7"/>
    <s v="Freshwater"/>
    <s v="2Freshwater"/>
    <s v="Salmon"/>
    <n v="816"/>
    <s v="Samish River"/>
    <s v="Samish River"/>
    <s v="Skagit"/>
    <x v="1"/>
    <s v="Skagit"/>
    <s v="02Skagit"/>
    <s v="01North Puget Sound"/>
    <n v="203"/>
    <n v="698.31999999999994"/>
  </r>
  <r>
    <n v="2673"/>
    <x v="7"/>
    <x v="2"/>
    <x v="7"/>
    <s v="Freshwater"/>
    <s v="2Freshwater"/>
    <s v="Salmon"/>
    <n v="816"/>
    <s v="Samish River"/>
    <s v="Samish River"/>
    <s v="Skagit"/>
    <x v="1"/>
    <s v="Snohomish"/>
    <s v="03Snohomish"/>
    <s v="01North Puget Sound"/>
    <n v="1082.6666666666699"/>
    <n v="3724.3733333333444"/>
  </r>
  <r>
    <n v="2674"/>
    <x v="7"/>
    <x v="2"/>
    <x v="7"/>
    <s v="Freshwater"/>
    <s v="2Freshwater"/>
    <s v="Salmon"/>
    <n v="816"/>
    <s v="Samish River"/>
    <s v="Samish River"/>
    <s v="Skagit"/>
    <x v="1"/>
    <s v="Whatcom"/>
    <s v="01Whatcom"/>
    <s v="01North Puget Sound"/>
    <n v="87"/>
    <n v="299.27999999999997"/>
  </r>
  <r>
    <n v="2675"/>
    <x v="7"/>
    <x v="5"/>
    <x v="7"/>
    <s v="Freshwater"/>
    <s v="2Freshwater"/>
    <s v="Salmon"/>
    <n v="825"/>
    <s v="Baker Lake"/>
    <s v="Baker Lake"/>
    <s v="Whatcom"/>
    <x v="1"/>
    <s v="Clallam"/>
    <s v="11Clallam"/>
    <s v="03Strait of Juan de Fuca"/>
    <n v="9.99457994579946"/>
    <n v="34.381355013550142"/>
  </r>
  <r>
    <n v="2676"/>
    <x v="7"/>
    <x v="5"/>
    <x v="7"/>
    <s v="Freshwater"/>
    <s v="2Freshwater"/>
    <s v="Salmon"/>
    <n v="825"/>
    <s v="Baker Lake"/>
    <s v="Baker Lake"/>
    <s v="Whatcom"/>
    <x v="1"/>
    <s v="Island"/>
    <s v="04Island"/>
    <s v="01North Puget Sound"/>
    <n v="119.934959349594"/>
    <n v="412.57626016260332"/>
  </r>
  <r>
    <n v="2677"/>
    <x v="7"/>
    <x v="5"/>
    <x v="7"/>
    <s v="Freshwater"/>
    <s v="2Freshwater"/>
    <s v="Salmon"/>
    <n v="825"/>
    <s v="Baker Lake"/>
    <s v="Baker Lake"/>
    <s v="Whatcom"/>
    <x v="1"/>
    <s v="King"/>
    <s v="06King"/>
    <s v="02South Puget Sound"/>
    <n v="349.81029810298099"/>
    <n v="1203.3474254742546"/>
  </r>
  <r>
    <n v="2678"/>
    <x v="7"/>
    <x v="5"/>
    <x v="7"/>
    <s v="Freshwater"/>
    <s v="2Freshwater"/>
    <s v="Salmon"/>
    <n v="825"/>
    <s v="Baker Lake"/>
    <s v="Baker Lake"/>
    <s v="Whatcom"/>
    <x v="1"/>
    <s v="Mason"/>
    <s v="09Mason"/>
    <s v="02South Puget Sound"/>
    <n v="59.967479674796799"/>
    <n v="206.28813008130098"/>
  </r>
  <r>
    <n v="2679"/>
    <x v="7"/>
    <x v="5"/>
    <x v="7"/>
    <s v="Freshwater"/>
    <s v="2Freshwater"/>
    <s v="Salmon"/>
    <n v="825"/>
    <s v="Baker Lake"/>
    <s v="Baker Lake"/>
    <s v="Whatcom"/>
    <x v="1"/>
    <s v="Other"/>
    <s v="20Other"/>
    <s v="07Non Puget Sound"/>
    <n v="169.907859078591"/>
    <n v="584.48303523035304"/>
  </r>
  <r>
    <n v="2680"/>
    <x v="7"/>
    <x v="5"/>
    <x v="7"/>
    <s v="Freshwater"/>
    <s v="2Freshwater"/>
    <s v="Salmon"/>
    <n v="825"/>
    <s v="Baker Lake"/>
    <s v="Baker Lake"/>
    <s v="Whatcom"/>
    <x v="1"/>
    <s v="Pierce"/>
    <s v="07Pierce"/>
    <s v="02South Puget Sound"/>
    <n v="149.918699186992"/>
    <n v="515.72032520325251"/>
  </r>
  <r>
    <n v="2681"/>
    <x v="7"/>
    <x v="5"/>
    <x v="7"/>
    <s v="Freshwater"/>
    <s v="2Freshwater"/>
    <s v="Salmon"/>
    <n v="825"/>
    <s v="Baker Lake"/>
    <s v="Baker Lake"/>
    <s v="Whatcom"/>
    <x v="1"/>
    <s v="Skagit"/>
    <s v="02Skagit"/>
    <s v="01North Puget Sound"/>
    <n v="1269.3116531165299"/>
    <n v="4366.4320867208626"/>
  </r>
  <r>
    <n v="2682"/>
    <x v="7"/>
    <x v="5"/>
    <x v="7"/>
    <s v="Freshwater"/>
    <s v="2Freshwater"/>
    <s v="Salmon"/>
    <n v="825"/>
    <s v="Baker Lake"/>
    <s v="Baker Lake"/>
    <s v="Whatcom"/>
    <x v="1"/>
    <s v="Snohomish"/>
    <s v="03Snohomish"/>
    <s v="01North Puget Sound"/>
    <n v="1139.3821138211399"/>
    <n v="3919.4744715447214"/>
  </r>
  <r>
    <n v="2683"/>
    <x v="7"/>
    <x v="5"/>
    <x v="7"/>
    <s v="Freshwater"/>
    <s v="2Freshwater"/>
    <s v="Salmon"/>
    <n v="825"/>
    <s v="Baker Lake"/>
    <s v="Baker Lake"/>
    <s v="Whatcom"/>
    <x v="1"/>
    <s v="Thurston"/>
    <s v="08Thurston"/>
    <s v="02South Puget Sound"/>
    <n v="29.983739837398399"/>
    <n v="103.14406504065049"/>
  </r>
  <r>
    <n v="2684"/>
    <x v="7"/>
    <x v="5"/>
    <x v="7"/>
    <s v="Freshwater"/>
    <s v="2Freshwater"/>
    <s v="Salmon"/>
    <n v="825"/>
    <s v="Baker Lake"/>
    <s v="Baker Lake"/>
    <s v="Whatcom"/>
    <x v="1"/>
    <s v="Whatcom"/>
    <s v="01Whatcom"/>
    <s v="01North Puget Sound"/>
    <n v="389.788617886179"/>
    <n v="1340.8728455284556"/>
  </r>
  <r>
    <n v="2685"/>
    <x v="7"/>
    <x v="0"/>
    <x v="7"/>
    <s v="Freshwater"/>
    <s v="2Freshwater"/>
    <s v="Salmon"/>
    <n v="825"/>
    <s v="Baker Lake"/>
    <s v="Baker Lake"/>
    <s v="Whatcom"/>
    <x v="1"/>
    <s v="Island"/>
    <s v="04Island"/>
    <s v="01North Puget Sound"/>
    <n v="50"/>
    <n v="172"/>
  </r>
  <r>
    <n v="2686"/>
    <x v="7"/>
    <x v="0"/>
    <x v="7"/>
    <s v="Freshwater"/>
    <s v="2Freshwater"/>
    <s v="Salmon"/>
    <n v="825"/>
    <s v="Baker Lake"/>
    <s v="Baker Lake"/>
    <s v="Whatcom"/>
    <x v="1"/>
    <s v="King"/>
    <s v="06King"/>
    <s v="02South Puget Sound"/>
    <n v="130"/>
    <n v="447.2"/>
  </r>
  <r>
    <n v="2687"/>
    <x v="7"/>
    <x v="0"/>
    <x v="7"/>
    <s v="Freshwater"/>
    <s v="2Freshwater"/>
    <s v="Salmon"/>
    <n v="825"/>
    <s v="Baker Lake"/>
    <s v="Baker Lake"/>
    <s v="Whatcom"/>
    <x v="1"/>
    <s v="Other"/>
    <s v="20Other"/>
    <s v="07Non Puget Sound"/>
    <n v="80"/>
    <n v="275.2"/>
  </r>
  <r>
    <n v="2688"/>
    <x v="7"/>
    <x v="0"/>
    <x v="7"/>
    <s v="Freshwater"/>
    <s v="2Freshwater"/>
    <s v="Salmon"/>
    <n v="825"/>
    <s v="Baker Lake"/>
    <s v="Baker Lake"/>
    <s v="Whatcom"/>
    <x v="1"/>
    <s v="Pierce"/>
    <s v="07Pierce"/>
    <s v="02South Puget Sound"/>
    <n v="120"/>
    <n v="412.8"/>
  </r>
  <r>
    <n v="2689"/>
    <x v="7"/>
    <x v="0"/>
    <x v="7"/>
    <s v="Freshwater"/>
    <s v="2Freshwater"/>
    <s v="Salmon"/>
    <n v="825"/>
    <s v="Baker Lake"/>
    <s v="Baker Lake"/>
    <s v="Whatcom"/>
    <x v="1"/>
    <s v="Skagit"/>
    <s v="02Skagit"/>
    <s v="01North Puget Sound"/>
    <n v="450"/>
    <n v="1548"/>
  </r>
  <r>
    <n v="2690"/>
    <x v="7"/>
    <x v="0"/>
    <x v="7"/>
    <s v="Freshwater"/>
    <s v="2Freshwater"/>
    <s v="Salmon"/>
    <n v="825"/>
    <s v="Baker Lake"/>
    <s v="Baker Lake"/>
    <s v="Whatcom"/>
    <x v="1"/>
    <s v="Snohomish"/>
    <s v="03Snohomish"/>
    <s v="01North Puget Sound"/>
    <n v="190"/>
    <n v="653.6"/>
  </r>
  <r>
    <n v="2691"/>
    <x v="7"/>
    <x v="0"/>
    <x v="7"/>
    <s v="Freshwater"/>
    <s v="2Freshwater"/>
    <s v="Salmon"/>
    <n v="825"/>
    <s v="Baker Lake"/>
    <s v="Baker Lake"/>
    <s v="Whatcom"/>
    <x v="1"/>
    <s v="Whatcom"/>
    <s v="01Whatcom"/>
    <s v="01North Puget Sound"/>
    <n v="70"/>
    <n v="240.79999999999998"/>
  </r>
  <r>
    <n v="2692"/>
    <x v="7"/>
    <x v="1"/>
    <x v="7"/>
    <s v="Freshwater"/>
    <s v="2Freshwater"/>
    <s v="Salmon"/>
    <n v="825"/>
    <s v="Baker Lake"/>
    <s v="Baker Lake"/>
    <s v="Whatcom"/>
    <x v="1"/>
    <s v="Skagit"/>
    <s v="02Skagit"/>
    <s v="01North Puget Sound"/>
    <n v="20"/>
    <n v="68.8"/>
  </r>
  <r>
    <n v="2693"/>
    <x v="7"/>
    <x v="7"/>
    <x v="7"/>
    <s v="Freshwater"/>
    <s v="2Freshwater"/>
    <s v="Salmon"/>
    <n v="826"/>
    <s v="Cascade River"/>
    <s v="Cascade River"/>
    <s v="Skagit"/>
    <x v="1"/>
    <s v="King"/>
    <s v="06King"/>
    <s v="02South Puget Sound"/>
    <n v="20"/>
    <n v="68.8"/>
  </r>
  <r>
    <n v="2694"/>
    <x v="7"/>
    <x v="7"/>
    <x v="7"/>
    <s v="Freshwater"/>
    <s v="2Freshwater"/>
    <s v="Salmon"/>
    <n v="826"/>
    <s v="Cascade River"/>
    <s v="Cascade River"/>
    <s v="Skagit"/>
    <x v="1"/>
    <s v="Skagit"/>
    <s v="02Skagit"/>
    <s v="01North Puget Sound"/>
    <n v="40"/>
    <n v="137.6"/>
  </r>
  <r>
    <n v="2695"/>
    <x v="7"/>
    <x v="7"/>
    <x v="7"/>
    <s v="Freshwater"/>
    <s v="2Freshwater"/>
    <s v="Salmon"/>
    <n v="826"/>
    <s v="Cascade River"/>
    <s v="Cascade River"/>
    <s v="Skagit"/>
    <x v="1"/>
    <s v="Snohomish"/>
    <s v="03Snohomish"/>
    <s v="01North Puget Sound"/>
    <n v="70"/>
    <n v="240.79999999999998"/>
  </r>
  <r>
    <n v="2696"/>
    <x v="7"/>
    <x v="7"/>
    <x v="7"/>
    <s v="Freshwater"/>
    <s v="2Freshwater"/>
    <s v="Salmon"/>
    <n v="826"/>
    <s v="Cascade River"/>
    <s v="Cascade River"/>
    <s v="Skagit"/>
    <x v="1"/>
    <s v="Whatcom"/>
    <s v="01Whatcom"/>
    <s v="01North Puget Sound"/>
    <n v="80"/>
    <n v="275.2"/>
  </r>
  <r>
    <n v="2697"/>
    <x v="7"/>
    <x v="5"/>
    <x v="7"/>
    <s v="Freshwater"/>
    <s v="2Freshwater"/>
    <s v="Salmon"/>
    <n v="826"/>
    <s v="Cascade River"/>
    <s v="Cascade River"/>
    <s v="Skagit"/>
    <x v="1"/>
    <s v="Skagit"/>
    <s v="02Skagit"/>
    <s v="01North Puget Sound"/>
    <n v="60"/>
    <n v="206.4"/>
  </r>
  <r>
    <n v="2698"/>
    <x v="7"/>
    <x v="5"/>
    <x v="7"/>
    <s v="Freshwater"/>
    <s v="2Freshwater"/>
    <s v="Salmon"/>
    <n v="826"/>
    <s v="Cascade River"/>
    <s v="Cascade River"/>
    <s v="Skagit"/>
    <x v="1"/>
    <s v="Snohomish"/>
    <s v="03Snohomish"/>
    <s v="01North Puget Sound"/>
    <n v="50"/>
    <n v="172"/>
  </r>
  <r>
    <n v="2699"/>
    <x v="7"/>
    <x v="5"/>
    <x v="7"/>
    <s v="Freshwater"/>
    <s v="2Freshwater"/>
    <s v="Salmon"/>
    <n v="826"/>
    <s v="Cascade River"/>
    <s v="Cascade River"/>
    <s v="Skagit"/>
    <x v="1"/>
    <s v="Whatcom"/>
    <s v="01Whatcom"/>
    <s v="01North Puget Sound"/>
    <n v="40"/>
    <n v="137.6"/>
  </r>
  <r>
    <n v="2700"/>
    <x v="7"/>
    <x v="7"/>
    <x v="7"/>
    <s v="Freshwater"/>
    <s v="2Freshwater"/>
    <s v="Salmon"/>
    <n v="830"/>
    <s v="Skagit River"/>
    <s v="Skagit River"/>
    <s v="Skagit/Whatcom"/>
    <x v="4"/>
    <s v="King"/>
    <s v="06King"/>
    <s v="02South Puget Sound"/>
    <n v="20"/>
    <n v="68.8"/>
  </r>
  <r>
    <n v="2701"/>
    <x v="7"/>
    <x v="7"/>
    <x v="7"/>
    <s v="Freshwater"/>
    <s v="2Freshwater"/>
    <s v="Salmon"/>
    <n v="830"/>
    <s v="Skagit River"/>
    <s v="Skagit River"/>
    <s v="Skagit/Whatcom"/>
    <x v="4"/>
    <s v="Other"/>
    <s v="20Other"/>
    <s v="07Non Puget Sound"/>
    <n v="20"/>
    <n v="68.8"/>
  </r>
  <r>
    <n v="2702"/>
    <x v="7"/>
    <x v="7"/>
    <x v="7"/>
    <s v="Freshwater"/>
    <s v="2Freshwater"/>
    <s v="Salmon"/>
    <n v="830"/>
    <s v="Skagit River"/>
    <s v="Skagit River"/>
    <s v="Skagit/Whatcom"/>
    <x v="4"/>
    <s v="Skagit"/>
    <s v="02Skagit"/>
    <s v="01North Puget Sound"/>
    <n v="90"/>
    <n v="309.60000000000002"/>
  </r>
  <r>
    <n v="2703"/>
    <x v="7"/>
    <x v="7"/>
    <x v="7"/>
    <s v="Freshwater"/>
    <s v="2Freshwater"/>
    <s v="Salmon"/>
    <n v="830"/>
    <s v="Skagit River"/>
    <s v="Skagit River"/>
    <s v="Skagit/Whatcom"/>
    <x v="4"/>
    <s v="Snohomish"/>
    <s v="03Snohomish"/>
    <s v="01North Puget Sound"/>
    <n v="60"/>
    <n v="206.4"/>
  </r>
  <r>
    <n v="2704"/>
    <x v="7"/>
    <x v="7"/>
    <x v="7"/>
    <s v="Freshwater"/>
    <s v="2Freshwater"/>
    <s v="Salmon"/>
    <n v="830"/>
    <s v="Skagit River"/>
    <s v="Skagit River"/>
    <s v="Skagit/Whatcom"/>
    <x v="4"/>
    <s v="Whatcom"/>
    <s v="01Whatcom"/>
    <s v="01North Puget Sound"/>
    <n v="100"/>
    <n v="344"/>
  </r>
  <r>
    <n v="2705"/>
    <x v="7"/>
    <x v="5"/>
    <x v="7"/>
    <s v="Freshwater"/>
    <s v="2Freshwater"/>
    <s v="Salmon"/>
    <n v="830"/>
    <s v="Skagit River"/>
    <s v="Skagit River"/>
    <s v="Skagit/Whatcom"/>
    <x v="4"/>
    <s v="King"/>
    <s v="06King"/>
    <s v="02South Puget Sound"/>
    <n v="50"/>
    <n v="172"/>
  </r>
  <r>
    <n v="2706"/>
    <x v="7"/>
    <x v="5"/>
    <x v="7"/>
    <s v="Freshwater"/>
    <s v="2Freshwater"/>
    <s v="Salmon"/>
    <n v="830"/>
    <s v="Skagit River"/>
    <s v="Skagit River"/>
    <s v="Skagit/Whatcom"/>
    <x v="4"/>
    <s v="Other"/>
    <s v="20Other"/>
    <s v="07Non Puget Sound"/>
    <n v="10"/>
    <n v="34.4"/>
  </r>
  <r>
    <n v="2707"/>
    <x v="7"/>
    <x v="5"/>
    <x v="7"/>
    <s v="Freshwater"/>
    <s v="2Freshwater"/>
    <s v="Salmon"/>
    <n v="830"/>
    <s v="Skagit River"/>
    <s v="Skagit River"/>
    <s v="Skagit/Whatcom"/>
    <x v="4"/>
    <s v="Skagit"/>
    <s v="02Skagit"/>
    <s v="01North Puget Sound"/>
    <n v="90"/>
    <n v="309.60000000000002"/>
  </r>
  <r>
    <n v="2708"/>
    <x v="7"/>
    <x v="5"/>
    <x v="7"/>
    <s v="Freshwater"/>
    <s v="2Freshwater"/>
    <s v="Salmon"/>
    <n v="830"/>
    <s v="Skagit River"/>
    <s v="Skagit River"/>
    <s v="Skagit/Whatcom"/>
    <x v="4"/>
    <s v="Snohomish"/>
    <s v="03Snohomish"/>
    <s v="01North Puget Sound"/>
    <n v="40"/>
    <n v="137.6"/>
  </r>
  <r>
    <n v="2709"/>
    <x v="7"/>
    <x v="5"/>
    <x v="7"/>
    <s v="Freshwater"/>
    <s v="2Freshwater"/>
    <s v="Salmon"/>
    <n v="830"/>
    <s v="Skagit River"/>
    <s v="Skagit River"/>
    <s v="Skagit/Whatcom"/>
    <x v="4"/>
    <s v="Whatcom"/>
    <s v="01Whatcom"/>
    <s v="01North Puget Sound"/>
    <n v="70"/>
    <n v="240.79999999999998"/>
  </r>
  <r>
    <n v="2710"/>
    <x v="7"/>
    <x v="0"/>
    <x v="7"/>
    <s v="Freshwater"/>
    <s v="2Freshwater"/>
    <s v="Salmon"/>
    <n v="830"/>
    <s v="Skagit River"/>
    <s v="Skagit River"/>
    <s v="Skagit/Whatcom"/>
    <x v="4"/>
    <s v="Snohomish"/>
    <s v="03Snohomish"/>
    <s v="01North Puget Sound"/>
    <n v="30"/>
    <n v="103.2"/>
  </r>
  <r>
    <n v="2711"/>
    <x v="7"/>
    <x v="7"/>
    <x v="7"/>
    <s v="Freshwater"/>
    <s v="2Freshwater"/>
    <s v="Salmon"/>
    <n v="844"/>
    <s v="Skykomish River"/>
    <s v="Skykomish River"/>
    <s v="Snohomish"/>
    <x v="4"/>
    <s v="Island"/>
    <s v="04Island"/>
    <s v="01North Puget Sound"/>
    <n v="19.636363636363601"/>
    <n v="67.549090909090793"/>
  </r>
  <r>
    <n v="2712"/>
    <x v="7"/>
    <x v="7"/>
    <x v="7"/>
    <s v="Freshwater"/>
    <s v="2Freshwater"/>
    <s v="Salmon"/>
    <n v="844"/>
    <s v="Skykomish River"/>
    <s v="Skykomish River"/>
    <s v="Snohomish"/>
    <x v="4"/>
    <s v="King"/>
    <s v="06King"/>
    <s v="02South Puget Sound"/>
    <n v="108"/>
    <n v="371.52"/>
  </r>
  <r>
    <n v="2713"/>
    <x v="7"/>
    <x v="7"/>
    <x v="7"/>
    <s v="Freshwater"/>
    <s v="2Freshwater"/>
    <s v="Salmon"/>
    <n v="844"/>
    <s v="Skykomish River"/>
    <s v="Skykomish River"/>
    <s v="Snohomish"/>
    <x v="4"/>
    <s v="Kitsap"/>
    <s v="10Kitsap"/>
    <s v="02South Puget Sound"/>
    <n v="9.8181818181818201"/>
    <n v="33.774545454545461"/>
  </r>
  <r>
    <n v="2714"/>
    <x v="7"/>
    <x v="7"/>
    <x v="7"/>
    <s v="Freshwater"/>
    <s v="2Freshwater"/>
    <s v="Salmon"/>
    <n v="844"/>
    <s v="Skykomish River"/>
    <s v="Skykomish River"/>
    <s v="Snohomish"/>
    <x v="4"/>
    <s v="Other"/>
    <s v="20Other"/>
    <s v="07Non Puget Sound"/>
    <n v="58.909090909090899"/>
    <n v="202.64727272727268"/>
  </r>
  <r>
    <n v="2715"/>
    <x v="7"/>
    <x v="7"/>
    <x v="7"/>
    <s v="Freshwater"/>
    <s v="2Freshwater"/>
    <s v="Salmon"/>
    <n v="844"/>
    <s v="Skykomish River"/>
    <s v="Skykomish River"/>
    <s v="Snohomish"/>
    <x v="4"/>
    <s v="Pierce"/>
    <s v="07Pierce"/>
    <s v="02South Puget Sound"/>
    <n v="29.454545454545499"/>
    <n v="101.32363636363651"/>
  </r>
  <r>
    <n v="2716"/>
    <x v="7"/>
    <x v="7"/>
    <x v="7"/>
    <s v="Freshwater"/>
    <s v="2Freshwater"/>
    <s v="Salmon"/>
    <n v="844"/>
    <s v="Skykomish River"/>
    <s v="Skykomish River"/>
    <s v="Snohomish"/>
    <x v="4"/>
    <s v="Snohomish"/>
    <s v="03Snohomish"/>
    <s v="01North Puget Sound"/>
    <n v="98.181818181818201"/>
    <n v="337.74545454545461"/>
  </r>
  <r>
    <n v="2717"/>
    <x v="7"/>
    <x v="5"/>
    <x v="7"/>
    <s v="Freshwater"/>
    <s v="2Freshwater"/>
    <s v="Salmon"/>
    <n v="844"/>
    <s v="Skykomish River"/>
    <s v="Skykomish River"/>
    <s v="Snohomish"/>
    <x v="4"/>
    <s v="King"/>
    <s v="06King"/>
    <s v="02South Puget Sound"/>
    <n v="244.871794871795"/>
    <n v="842.35897435897482"/>
  </r>
  <r>
    <n v="2718"/>
    <x v="7"/>
    <x v="5"/>
    <x v="7"/>
    <s v="Freshwater"/>
    <s v="2Freshwater"/>
    <s v="Salmon"/>
    <n v="844"/>
    <s v="Skykomish River"/>
    <s v="Skykomish River"/>
    <s v="Snohomish"/>
    <x v="4"/>
    <s v="Other"/>
    <s v="20Other"/>
    <s v="07Non Puget Sound"/>
    <n v="9.7948717948717992"/>
    <n v="33.694358974358991"/>
  </r>
  <r>
    <n v="2719"/>
    <x v="7"/>
    <x v="5"/>
    <x v="7"/>
    <s v="Freshwater"/>
    <s v="2Freshwater"/>
    <s v="Salmon"/>
    <n v="844"/>
    <s v="Skykomish River"/>
    <s v="Skykomish River"/>
    <s v="Snohomish"/>
    <x v="4"/>
    <s v="San Juan"/>
    <s v="05San Juan"/>
    <s v="01North Puget Sound"/>
    <n v="9.7948717948717992"/>
    <n v="33.694358974358991"/>
  </r>
  <r>
    <n v="2720"/>
    <x v="7"/>
    <x v="5"/>
    <x v="7"/>
    <s v="Freshwater"/>
    <s v="2Freshwater"/>
    <s v="Salmon"/>
    <n v="844"/>
    <s v="Skykomish River"/>
    <s v="Skykomish River"/>
    <s v="Snohomish"/>
    <x v="4"/>
    <s v="Snohomish"/>
    <s v="03Snohomish"/>
    <s v="01North Puget Sound"/>
    <n v="117.538461538462"/>
    <n v="404.33230769230926"/>
  </r>
  <r>
    <n v="2721"/>
    <x v="7"/>
    <x v="0"/>
    <x v="7"/>
    <s v="Freshwater"/>
    <s v="2Freshwater"/>
    <s v="Salmon"/>
    <n v="844"/>
    <s v="Skykomish River"/>
    <s v="Skykomish River"/>
    <s v="Snohomish"/>
    <x v="4"/>
    <s v="King"/>
    <s v="06King"/>
    <s v="02South Puget Sound"/>
    <n v="197.07317073170699"/>
    <n v="677.9317073170721"/>
  </r>
  <r>
    <n v="2722"/>
    <x v="7"/>
    <x v="0"/>
    <x v="7"/>
    <s v="Freshwater"/>
    <s v="2Freshwater"/>
    <s v="Salmon"/>
    <n v="844"/>
    <s v="Skykomish River"/>
    <s v="Skykomish River"/>
    <s v="Snohomish"/>
    <x v="4"/>
    <s v="Snohomish"/>
    <s v="03Snohomish"/>
    <s v="01North Puget Sound"/>
    <n v="197.07317073170699"/>
    <n v="677.9317073170721"/>
  </r>
  <r>
    <n v="2723"/>
    <x v="7"/>
    <x v="0"/>
    <x v="7"/>
    <s v="Freshwater"/>
    <s v="2Freshwater"/>
    <s v="Salmon"/>
    <n v="844"/>
    <s v="Skykomish River"/>
    <s v="Skykomish River"/>
    <s v="Snohomish"/>
    <x v="4"/>
    <s v="Thurston"/>
    <s v="08Thurston"/>
    <s v="02South Puget Sound"/>
    <n v="9.8536585365853693"/>
    <n v="33.896585365853667"/>
  </r>
  <r>
    <n v="2724"/>
    <x v="7"/>
    <x v="1"/>
    <x v="7"/>
    <s v="Freshwater"/>
    <s v="2Freshwater"/>
    <s v="Salmon"/>
    <n v="844"/>
    <s v="Skykomish River"/>
    <s v="Skykomish River"/>
    <s v="Snohomish"/>
    <x v="4"/>
    <s v="Island"/>
    <s v="04Island"/>
    <s v="01North Puget Sound"/>
    <n v="19.712230215827301"/>
    <n v="67.810071942445916"/>
  </r>
  <r>
    <n v="2725"/>
    <x v="7"/>
    <x v="1"/>
    <x v="7"/>
    <s v="Freshwater"/>
    <s v="2Freshwater"/>
    <s v="Salmon"/>
    <n v="844"/>
    <s v="Skykomish River"/>
    <s v="Skykomish River"/>
    <s v="Snohomish"/>
    <x v="4"/>
    <s v="King"/>
    <s v="06King"/>
    <s v="02South Puget Sound"/>
    <n v="335.107913669065"/>
    <n v="1152.7712230215836"/>
  </r>
  <r>
    <n v="2726"/>
    <x v="7"/>
    <x v="1"/>
    <x v="7"/>
    <s v="Freshwater"/>
    <s v="2Freshwater"/>
    <s v="Salmon"/>
    <n v="844"/>
    <s v="Skykomish River"/>
    <s v="Skykomish River"/>
    <s v="Snohomish"/>
    <x v="4"/>
    <s v="Other"/>
    <s v="20Other"/>
    <s v="07Non Puget Sound"/>
    <n v="68.992805755395693"/>
    <n v="237.33525179856119"/>
  </r>
  <r>
    <n v="2727"/>
    <x v="7"/>
    <x v="1"/>
    <x v="7"/>
    <s v="Freshwater"/>
    <s v="2Freshwater"/>
    <s v="Salmon"/>
    <n v="844"/>
    <s v="Skykomish River"/>
    <s v="Skykomish River"/>
    <s v="Snohomish"/>
    <x v="4"/>
    <s v="Snohomish"/>
    <s v="03Snohomish"/>
    <s v="01North Puget Sound"/>
    <n v="926.47482014388504"/>
    <n v="3187.0733812949643"/>
  </r>
  <r>
    <n v="2728"/>
    <x v="7"/>
    <x v="1"/>
    <x v="7"/>
    <s v="Freshwater"/>
    <s v="2Freshwater"/>
    <s v="Salmon"/>
    <n v="844"/>
    <s v="Skykomish River"/>
    <s v="Skykomish River"/>
    <s v="Snohomish"/>
    <x v="4"/>
    <s v="Thurston"/>
    <s v="08Thurston"/>
    <s v="02South Puget Sound"/>
    <n v="9.85611510791367"/>
    <n v="33.905035971223022"/>
  </r>
  <r>
    <n v="2729"/>
    <x v="7"/>
    <x v="1"/>
    <x v="7"/>
    <s v="Freshwater"/>
    <s v="2Freshwater"/>
    <s v="Salmon"/>
    <n v="844"/>
    <s v="Skykomish River"/>
    <s v="Skykomish River"/>
    <s v="Snohomish"/>
    <x v="4"/>
    <s v="Whatcom"/>
    <s v="01Whatcom"/>
    <s v="01North Puget Sound"/>
    <n v="9.85611510791367"/>
    <n v="33.905035971223022"/>
  </r>
  <r>
    <n v="2730"/>
    <x v="7"/>
    <x v="2"/>
    <x v="7"/>
    <s v="Freshwater"/>
    <s v="2Freshwater"/>
    <s v="Salmon"/>
    <n v="844"/>
    <s v="Skykomish River"/>
    <s v="Skykomish River"/>
    <s v="Snohomish"/>
    <x v="4"/>
    <s v="King"/>
    <s v="06King"/>
    <s v="02South Puget Sound"/>
    <n v="150.96774193548401"/>
    <n v="519.32903225806501"/>
  </r>
  <r>
    <n v="2731"/>
    <x v="7"/>
    <x v="2"/>
    <x v="7"/>
    <s v="Freshwater"/>
    <s v="2Freshwater"/>
    <s v="Salmon"/>
    <n v="844"/>
    <s v="Skykomish River"/>
    <s v="Skykomish River"/>
    <s v="Snohomish"/>
    <x v="4"/>
    <s v="Pierce"/>
    <s v="07Pierce"/>
    <s v="02South Puget Sound"/>
    <n v="40.258064516128997"/>
    <n v="138.48774193548374"/>
  </r>
  <r>
    <n v="2732"/>
    <x v="7"/>
    <x v="2"/>
    <x v="7"/>
    <s v="Freshwater"/>
    <s v="2Freshwater"/>
    <s v="Salmon"/>
    <n v="844"/>
    <s v="Skykomish River"/>
    <s v="Skykomish River"/>
    <s v="Snohomish"/>
    <x v="4"/>
    <s v="Snohomish"/>
    <s v="03Snohomish"/>
    <s v="01North Puget Sound"/>
    <n v="120.774193548387"/>
    <n v="415.46322580645131"/>
  </r>
  <r>
    <n v="2733"/>
    <x v="7"/>
    <x v="3"/>
    <x v="7"/>
    <s v="Freshwater"/>
    <s v="2Freshwater"/>
    <s v="Salmon"/>
    <n v="844"/>
    <s v="Skykomish River"/>
    <s v="Skykomish River"/>
    <s v="Snohomish"/>
    <x v="4"/>
    <s v="King"/>
    <s v="06King"/>
    <s v="02South Puget Sound"/>
    <n v="20"/>
    <n v="68.8"/>
  </r>
  <r>
    <n v="2734"/>
    <x v="7"/>
    <x v="0"/>
    <x v="7"/>
    <s v="Freshwater"/>
    <s v="2Freshwater"/>
    <s v="Salmon"/>
    <n v="850"/>
    <s v="Snohomish River"/>
    <s v="Snohomish River"/>
    <s v="Snohomish"/>
    <x v="4"/>
    <s v="Island"/>
    <s v="04Island"/>
    <s v="01North Puget Sound"/>
    <n v="49.728571428571399"/>
    <n v="171.06628571428561"/>
  </r>
  <r>
    <n v="2735"/>
    <x v="7"/>
    <x v="0"/>
    <x v="7"/>
    <s v="Freshwater"/>
    <s v="2Freshwater"/>
    <s v="Salmon"/>
    <n v="850"/>
    <s v="Snohomish River"/>
    <s v="Snohomish River"/>
    <s v="Snohomish"/>
    <x v="4"/>
    <s v="King"/>
    <s v="06King"/>
    <s v="02South Puget Sound"/>
    <n v="477.39428571428601"/>
    <n v="1642.2363428571439"/>
  </r>
  <r>
    <n v="2736"/>
    <x v="7"/>
    <x v="0"/>
    <x v="7"/>
    <s v="Freshwater"/>
    <s v="2Freshwater"/>
    <s v="Salmon"/>
    <n v="850"/>
    <s v="Snohomish River"/>
    <s v="Snohomish River"/>
    <s v="Snohomish"/>
    <x v="4"/>
    <s v="Other"/>
    <s v="20Other"/>
    <s v="07Non Puget Sound"/>
    <n v="119.34857142857101"/>
    <n v="410.55908571428427"/>
  </r>
  <r>
    <n v="2737"/>
    <x v="7"/>
    <x v="0"/>
    <x v="7"/>
    <s v="Freshwater"/>
    <s v="2Freshwater"/>
    <s v="Salmon"/>
    <n v="850"/>
    <s v="Snohomish River"/>
    <s v="Snohomish River"/>
    <s v="Snohomish"/>
    <x v="4"/>
    <s v="Skagit"/>
    <s v="02Skagit"/>
    <s v="01North Puget Sound"/>
    <n v="9.9457142857142902"/>
    <n v="34.213257142857159"/>
  </r>
  <r>
    <n v="2738"/>
    <x v="7"/>
    <x v="0"/>
    <x v="7"/>
    <s v="Freshwater"/>
    <s v="2Freshwater"/>
    <s v="Salmon"/>
    <n v="850"/>
    <s v="Snohomish River"/>
    <s v="Snohomish River"/>
    <s v="Snohomish"/>
    <x v="4"/>
    <s v="Snohomish"/>
    <s v="03Snohomish"/>
    <s v="01North Puget Sound"/>
    <n v="2754.9628571428598"/>
    <n v="9477.0722285714382"/>
  </r>
  <r>
    <n v="2739"/>
    <x v="7"/>
    <x v="0"/>
    <x v="7"/>
    <s v="Freshwater"/>
    <s v="2Freshwater"/>
    <s v="Salmon"/>
    <n v="850"/>
    <s v="Snohomish River"/>
    <s v="Snohomish River"/>
    <s v="Snohomish"/>
    <x v="4"/>
    <s v="Whatcom"/>
    <s v="01Whatcom"/>
    <s v="01North Puget Sound"/>
    <n v="69.62"/>
    <n v="239.49280000000002"/>
  </r>
  <r>
    <n v="2740"/>
    <x v="7"/>
    <x v="1"/>
    <x v="7"/>
    <s v="Freshwater"/>
    <s v="2Freshwater"/>
    <s v="Salmon"/>
    <n v="850"/>
    <s v="Snohomish River"/>
    <s v="Snohomish River"/>
    <s v="Snohomish"/>
    <x v="4"/>
    <s v="Island"/>
    <s v="04Island"/>
    <s v="01North Puget Sound"/>
    <n v="49.724186704384699"/>
    <n v="171.05120226308335"/>
  </r>
  <r>
    <n v="2741"/>
    <x v="7"/>
    <x v="1"/>
    <x v="7"/>
    <s v="Freshwater"/>
    <s v="2Freshwater"/>
    <s v="Salmon"/>
    <n v="850"/>
    <s v="Snohomish River"/>
    <s v="Snohomish River"/>
    <s v="Snohomish"/>
    <x v="4"/>
    <s v="King"/>
    <s v="06King"/>
    <s v="02South Puget Sound"/>
    <n v="845.31117397454102"/>
    <n v="2907.870438472421"/>
  </r>
  <r>
    <n v="2742"/>
    <x v="7"/>
    <x v="1"/>
    <x v="7"/>
    <s v="Freshwater"/>
    <s v="2Freshwater"/>
    <s v="Salmon"/>
    <n v="850"/>
    <s v="Snohomish River"/>
    <s v="Snohomish River"/>
    <s v="Snohomish"/>
    <x v="4"/>
    <s v="Other"/>
    <s v="20Other"/>
    <s v="07Non Puget Sound"/>
    <n v="487.29702970297001"/>
    <n v="1676.3017821782169"/>
  </r>
  <r>
    <n v="2743"/>
    <x v="7"/>
    <x v="1"/>
    <x v="7"/>
    <s v="Freshwater"/>
    <s v="2Freshwater"/>
    <s v="Salmon"/>
    <n v="850"/>
    <s v="Snohomish River"/>
    <s v="Snohomish River"/>
    <s v="Snohomish"/>
    <x v="4"/>
    <s v="Pierce"/>
    <s v="07Pierce"/>
    <s v="02South Puget Sound"/>
    <n v="59.6690240452617"/>
    <n v="205.26144271570024"/>
  </r>
  <r>
    <n v="2744"/>
    <x v="7"/>
    <x v="1"/>
    <x v="7"/>
    <s v="Freshwater"/>
    <s v="2Freshwater"/>
    <s v="Salmon"/>
    <n v="850"/>
    <s v="Snohomish River"/>
    <s v="Snohomish River"/>
    <s v="Snohomish"/>
    <x v="4"/>
    <s v="Skagit"/>
    <s v="02Skagit"/>
    <s v="01North Puget Sound"/>
    <n v="69.613861386138595"/>
    <n v="239.47168316831676"/>
  </r>
  <r>
    <n v="2745"/>
    <x v="7"/>
    <x v="1"/>
    <x v="7"/>
    <s v="Freshwater"/>
    <s v="2Freshwater"/>
    <s v="Salmon"/>
    <n v="850"/>
    <s v="Snohomish River"/>
    <s v="Snohomish River"/>
    <s v="Snohomish"/>
    <x v="4"/>
    <s v="Snohomish"/>
    <s v="03Snohomish"/>
    <s v="01North Puget Sound"/>
    <n v="5519.3847241866997"/>
    <n v="18986.683451202247"/>
  </r>
  <r>
    <n v="2746"/>
    <x v="7"/>
    <x v="2"/>
    <x v="7"/>
    <s v="Freshwater"/>
    <s v="2Freshwater"/>
    <s v="Salmon"/>
    <n v="850"/>
    <s v="Snohomish River"/>
    <s v="Snohomish River"/>
    <s v="Snohomish"/>
    <x v="4"/>
    <s v="Island"/>
    <s v="04Island"/>
    <s v="01North Puget Sound"/>
    <n v="9.9345238095238102"/>
    <n v="34.174761904761908"/>
  </r>
  <r>
    <n v="2747"/>
    <x v="7"/>
    <x v="2"/>
    <x v="7"/>
    <s v="Freshwater"/>
    <s v="2Freshwater"/>
    <s v="Salmon"/>
    <n v="850"/>
    <s v="Snohomish River"/>
    <s v="Snohomish River"/>
    <s v="Snohomish"/>
    <x v="4"/>
    <s v="King"/>
    <s v="06King"/>
    <s v="02South Puget Sound"/>
    <n v="576.20238095238096"/>
    <n v="1982.1361904761904"/>
  </r>
  <r>
    <n v="2748"/>
    <x v="7"/>
    <x v="2"/>
    <x v="7"/>
    <s v="Freshwater"/>
    <s v="2Freshwater"/>
    <s v="Salmon"/>
    <n v="850"/>
    <s v="Snohomish River"/>
    <s v="Snohomish River"/>
    <s v="Snohomish"/>
    <x v="4"/>
    <s v="Other"/>
    <s v="20Other"/>
    <s v="07Non Puget Sound"/>
    <n v="9.9345238095238102"/>
    <n v="34.174761904761908"/>
  </r>
  <r>
    <n v="2749"/>
    <x v="7"/>
    <x v="2"/>
    <x v="7"/>
    <s v="Freshwater"/>
    <s v="2Freshwater"/>
    <s v="Salmon"/>
    <n v="850"/>
    <s v="Snohomish River"/>
    <s v="Snohomish River"/>
    <s v="Snohomish"/>
    <x v="4"/>
    <s v="Pierce"/>
    <s v="07Pierce"/>
    <s v="02South Puget Sound"/>
    <n v="9.9345238095238102"/>
    <n v="34.174761904761908"/>
  </r>
  <r>
    <n v="2750"/>
    <x v="7"/>
    <x v="2"/>
    <x v="7"/>
    <s v="Freshwater"/>
    <s v="2Freshwater"/>
    <s v="Salmon"/>
    <n v="850"/>
    <s v="Snohomish River"/>
    <s v="Snohomish River"/>
    <s v="Snohomish"/>
    <x v="4"/>
    <s v="Skagit"/>
    <s v="02Skagit"/>
    <s v="01North Puget Sound"/>
    <n v="9.9345238095238102"/>
    <n v="34.174761904761908"/>
  </r>
  <r>
    <n v="2751"/>
    <x v="7"/>
    <x v="2"/>
    <x v="7"/>
    <s v="Freshwater"/>
    <s v="2Freshwater"/>
    <s v="Salmon"/>
    <n v="850"/>
    <s v="Snohomish River"/>
    <s v="Snohomish River"/>
    <s v="Snohomish"/>
    <x v="4"/>
    <s v="Snohomish"/>
    <s v="03Snohomish"/>
    <s v="01North Puget Sound"/>
    <n v="1053.05952380952"/>
    <n v="3622.5247619047486"/>
  </r>
  <r>
    <n v="2752"/>
    <x v="7"/>
    <x v="3"/>
    <x v="7"/>
    <s v="Freshwater"/>
    <s v="2Freshwater"/>
    <s v="Salmon"/>
    <n v="850"/>
    <s v="Snohomish River"/>
    <s v="Snohomish River"/>
    <s v="Snohomish"/>
    <x v="4"/>
    <s v="Other"/>
    <s v="20Other"/>
    <s v="07Non Puget Sound"/>
    <n v="10"/>
    <n v="34.4"/>
  </r>
  <r>
    <n v="2753"/>
    <x v="7"/>
    <x v="0"/>
    <x v="7"/>
    <s v="Freshwater"/>
    <s v="2Freshwater"/>
    <s v="Salmon"/>
    <n v="852"/>
    <s v="Snoqualmie River"/>
    <s v="Snoqualmie River"/>
    <s v="Snohomish/King"/>
    <x v="4"/>
    <s v="Snohomish"/>
    <s v="03Snohomish"/>
    <s v="01North Puget Sound"/>
    <n v="10"/>
    <n v="34.4"/>
  </r>
  <r>
    <n v="2754"/>
    <x v="7"/>
    <x v="1"/>
    <x v="7"/>
    <s v="Freshwater"/>
    <s v="2Freshwater"/>
    <s v="Salmon"/>
    <n v="852"/>
    <s v="Snoqualmie River"/>
    <s v="Snoqualmie River"/>
    <s v="Snohomish/King"/>
    <x v="4"/>
    <s v="Clallam"/>
    <s v="11Clallam"/>
    <s v="03Strait of Juan de Fuca"/>
    <n v="19.3333333333333"/>
    <n v="66.506666666666547"/>
  </r>
  <r>
    <n v="2755"/>
    <x v="7"/>
    <x v="1"/>
    <x v="7"/>
    <s v="Freshwater"/>
    <s v="2Freshwater"/>
    <s v="Salmon"/>
    <n v="852"/>
    <s v="Snoqualmie River"/>
    <s v="Snoqualmie River"/>
    <s v="Snohomish/King"/>
    <x v="4"/>
    <s v="Snohomish"/>
    <s v="03Snohomish"/>
    <s v="01North Puget Sound"/>
    <n v="9.6666666666666696"/>
    <n v="33.253333333333345"/>
  </r>
  <r>
    <n v="2756"/>
    <x v="7"/>
    <x v="1"/>
    <x v="7"/>
    <s v="Freshwater"/>
    <s v="2Freshwater"/>
    <s v="Salmon"/>
    <n v="860"/>
    <s v="Wallace River"/>
    <s v="Wallace River"/>
    <s v="Snohomish"/>
    <x v="4"/>
    <s v="Snohomish"/>
    <s v="03Snohomish"/>
    <s v="01North Puget Sound"/>
    <n v="78"/>
    <n v="268.32"/>
  </r>
  <r>
    <n v="2757"/>
    <x v="7"/>
    <x v="2"/>
    <x v="7"/>
    <s v="Freshwater"/>
    <s v="2Freshwater"/>
    <s v="Salmon"/>
    <n v="860"/>
    <s v="Wallace River"/>
    <s v="Wallace River"/>
    <s v="Snohomish"/>
    <x v="4"/>
    <s v="King"/>
    <s v="06King"/>
    <s v="02South Puget Sound"/>
    <n v="97.894736842105303"/>
    <n v="336.75789473684222"/>
  </r>
  <r>
    <n v="2758"/>
    <x v="7"/>
    <x v="2"/>
    <x v="7"/>
    <s v="Freshwater"/>
    <s v="2Freshwater"/>
    <s v="Salmon"/>
    <n v="860"/>
    <s v="Wallace River"/>
    <s v="Wallace River"/>
    <s v="Snohomish"/>
    <x v="4"/>
    <s v="Snohomish"/>
    <s v="03Snohomish"/>
    <s v="01North Puget Sound"/>
    <n v="274.10526315789502"/>
    <n v="942.92210526315887"/>
  </r>
  <r>
    <n v="2759"/>
    <x v="7"/>
    <x v="3"/>
    <x v="7"/>
    <s v="Freshwater"/>
    <s v="2Freshwater"/>
    <s v="Salmon"/>
    <n v="860"/>
    <s v="Wallace River"/>
    <s v="Wallace River"/>
    <s v="Snohomish"/>
    <x v="4"/>
    <s v="Snohomish"/>
    <s v="03Snohomish"/>
    <s v="01North Puget Sound"/>
    <n v="69"/>
    <n v="237.35999999999999"/>
  </r>
  <r>
    <n v="2760"/>
    <x v="7"/>
    <x v="2"/>
    <x v="7"/>
    <s v="Freshwater"/>
    <s v="2Freshwater"/>
    <s v="Salmon"/>
    <n v="884"/>
    <s v="Whatcom Creek"/>
    <s v="Whatcom Creek"/>
    <s v="Whatcom"/>
    <x v="1"/>
    <s v="Snohomish"/>
    <s v="03Snohomish"/>
    <s v="01North Puget Sound"/>
    <n v="19.384615384615401"/>
    <n v="66.683076923076982"/>
  </r>
  <r>
    <n v="2761"/>
    <x v="7"/>
    <x v="2"/>
    <x v="7"/>
    <s v="Freshwater"/>
    <s v="2Freshwater"/>
    <s v="Salmon"/>
    <n v="884"/>
    <s v="Whatcom Creek"/>
    <s v="Whatcom Creek"/>
    <s v="Whatcom"/>
    <x v="1"/>
    <s v="Whatcom"/>
    <s v="01Whatcom"/>
    <s v="01North Puget Sound"/>
    <n v="106.615384615385"/>
    <n v="366.75692307692441"/>
  </r>
  <r>
    <n v="2762"/>
    <x v="7"/>
    <x v="3"/>
    <x v="7"/>
    <s v="Freshwater"/>
    <s v="2Freshwater"/>
    <s v="Salmon"/>
    <n v="884"/>
    <s v="Whatcom Creek"/>
    <s v="Whatcom Creek"/>
    <s v="Whatcom"/>
    <x v="1"/>
    <s v="King"/>
    <s v="06King"/>
    <s v="02South Puget Sound"/>
    <n v="9.6666666666666696"/>
    <n v="33.253333333333345"/>
  </r>
  <r>
    <n v="2763"/>
    <x v="7"/>
    <x v="3"/>
    <x v="7"/>
    <s v="Freshwater"/>
    <s v="2Freshwater"/>
    <s v="Salmon"/>
    <n v="884"/>
    <s v="Whatcom Creek"/>
    <s v="Whatcom Creek"/>
    <s v="Whatcom"/>
    <x v="1"/>
    <s v="Pierce"/>
    <s v="07Pierce"/>
    <s v="02South Puget Sound"/>
    <n v="38.6666666666667"/>
    <n v="133.01333333333343"/>
  </r>
  <r>
    <n v="2764"/>
    <x v="7"/>
    <x v="3"/>
    <x v="7"/>
    <s v="Freshwater"/>
    <s v="2Freshwater"/>
    <s v="Salmon"/>
    <n v="884"/>
    <s v="Whatcom Creek"/>
    <s v="Whatcom Creek"/>
    <s v="Whatcom"/>
    <x v="1"/>
    <s v="Skagit"/>
    <s v="02Skagit"/>
    <s v="01North Puget Sound"/>
    <n v="29"/>
    <n v="99.76"/>
  </r>
  <r>
    <n v="2765"/>
    <x v="7"/>
    <x v="3"/>
    <x v="7"/>
    <s v="Freshwater"/>
    <s v="2Freshwater"/>
    <s v="Salmon"/>
    <n v="884"/>
    <s v="Whatcom Creek"/>
    <s v="Whatcom Creek"/>
    <s v="Whatcom"/>
    <x v="1"/>
    <s v="Snohomish"/>
    <s v="03Snohomish"/>
    <s v="01North Puget Sound"/>
    <n v="183.666666666667"/>
    <n v="631.81333333333441"/>
  </r>
  <r>
    <n v="2766"/>
    <x v="7"/>
    <x v="3"/>
    <x v="7"/>
    <s v="Freshwater"/>
    <s v="2Freshwater"/>
    <s v="Salmon"/>
    <n v="884"/>
    <s v="Whatcom Creek"/>
    <s v="Whatcom Creek"/>
    <s v="Whatcom"/>
    <x v="1"/>
    <s v="Whatcom"/>
    <s v="01Whatcom"/>
    <s v="01North Puget Sound"/>
    <n v="493"/>
    <n v="1695.92"/>
  </r>
  <r>
    <n v="2767"/>
    <x v="7"/>
    <x v="4"/>
    <x v="7"/>
    <s v="Freshwater"/>
    <s v="2Freshwater"/>
    <s v="Salmon"/>
    <n v="884"/>
    <s v="Whatcom Creek"/>
    <s v="Whatcom Creek"/>
    <s v="Whatcom"/>
    <x v="1"/>
    <s v="Whatcom"/>
    <s v="01Whatcom"/>
    <s v="01North Puget Sound"/>
    <n v="19"/>
    <n v="65.36"/>
  </r>
  <r>
    <n v="2768"/>
    <x v="8"/>
    <x v="0"/>
    <x v="8"/>
    <s v="Freshwater"/>
    <s v="2Freshwater"/>
    <s v="Salmon"/>
    <n v="714"/>
    <s v="Chambers Creek"/>
    <s v="Chambers Creek"/>
    <s v="Pierce"/>
    <x v="0"/>
    <s v="Pierce"/>
    <s v="07Pierce"/>
    <s v="02South Puget Sound"/>
    <n v="1"/>
    <n v="8.65"/>
  </r>
  <r>
    <n v="2769"/>
    <x v="8"/>
    <x v="1"/>
    <x v="8"/>
    <s v="Freshwater"/>
    <s v="2Freshwater"/>
    <s v="Salmon"/>
    <n v="714"/>
    <s v="Chambers Creek"/>
    <s v="Chambers Creek"/>
    <s v="Pierce"/>
    <x v="0"/>
    <s v="Pierce"/>
    <s v="07Pierce"/>
    <s v="02South Puget Sound"/>
    <n v="1"/>
    <n v="8.65"/>
  </r>
  <r>
    <n v="2770"/>
    <x v="8"/>
    <x v="2"/>
    <x v="8"/>
    <s v="Freshwater"/>
    <s v="2Freshwater"/>
    <s v="Salmon"/>
    <n v="724"/>
    <s v="Dakota Creek (Whatcom Co)"/>
    <s v="Dakota Creek (Whatcom Co)"/>
    <s v="Whatcom"/>
    <x v="1"/>
    <s v="Whatcom"/>
    <s v="01Whatcom"/>
    <s v="01North Puget Sound"/>
    <n v="19"/>
    <n v="164.35"/>
  </r>
  <r>
    <n v="2771"/>
    <x v="8"/>
    <x v="2"/>
    <x v="8"/>
    <s v="Freshwater"/>
    <s v="2Freshwater"/>
    <s v="Salmon"/>
    <n v="732"/>
    <s v="Dewatto River"/>
    <s v="Dewatto River"/>
    <s v="Mason"/>
    <x v="0"/>
    <s v="Kitsap"/>
    <s v="10Kitsap"/>
    <s v="02South Puget Sound"/>
    <n v="2"/>
    <n v="17.3"/>
  </r>
  <r>
    <n v="2772"/>
    <x v="8"/>
    <x v="2"/>
    <x v="8"/>
    <s v="Freshwater"/>
    <s v="2Freshwater"/>
    <s v="Salmon"/>
    <n v="738"/>
    <s v="Dungeness River"/>
    <s v="Dungeness River"/>
    <s v="Clallam"/>
    <x v="3"/>
    <s v="Clallam"/>
    <s v="11Clallam"/>
    <s v="03Strait of Juan de Fuca"/>
    <n v="131.529411764706"/>
    <n v="1137.729411764707"/>
  </r>
  <r>
    <n v="2773"/>
    <x v="8"/>
    <x v="2"/>
    <x v="8"/>
    <s v="Freshwater"/>
    <s v="2Freshwater"/>
    <s v="Salmon"/>
    <n v="738"/>
    <s v="Dungeness River"/>
    <s v="Dungeness River"/>
    <s v="Clallam"/>
    <x v="3"/>
    <s v="Kitsap"/>
    <s v="10Kitsap"/>
    <s v="02South Puget Sound"/>
    <n v="30.352941176470601"/>
    <n v="262.55294117647071"/>
  </r>
  <r>
    <n v="2774"/>
    <x v="8"/>
    <x v="2"/>
    <x v="8"/>
    <s v="Freshwater"/>
    <s v="2Freshwater"/>
    <s v="Salmon"/>
    <n v="738"/>
    <s v="Dungeness River"/>
    <s v="Dungeness River"/>
    <s v="Clallam"/>
    <x v="3"/>
    <s v="Pierce"/>
    <s v="07Pierce"/>
    <s v="02South Puget Sound"/>
    <n v="10.117647058823501"/>
    <n v="87.517647058823286"/>
  </r>
  <r>
    <n v="2775"/>
    <x v="8"/>
    <x v="3"/>
    <x v="8"/>
    <s v="Freshwater"/>
    <s v="2Freshwater"/>
    <s v="Salmon"/>
    <n v="738"/>
    <s v="Dungeness River"/>
    <s v="Dungeness River"/>
    <s v="Clallam"/>
    <x v="3"/>
    <s v="Clallam"/>
    <s v="11Clallam"/>
    <s v="03Strait of Juan de Fuca"/>
    <n v="40"/>
    <n v="346"/>
  </r>
  <r>
    <n v="2776"/>
    <x v="8"/>
    <x v="0"/>
    <x v="8"/>
    <s v="Freshwater"/>
    <s v="2Freshwater"/>
    <s v="Salmon"/>
    <n v="746"/>
    <s v="Green - Duwamish River"/>
    <s v="Green - Duwamish River"/>
    <s v="King"/>
    <x v="0"/>
    <s v="King"/>
    <s v="06King"/>
    <s v="02South Puget Sound"/>
    <n v="87.3"/>
    <n v="755.14499999999998"/>
  </r>
  <r>
    <n v="2777"/>
    <x v="8"/>
    <x v="0"/>
    <x v="8"/>
    <s v="Freshwater"/>
    <s v="2Freshwater"/>
    <s v="Salmon"/>
    <n v="746"/>
    <s v="Green - Duwamish River"/>
    <s v="Green - Duwamish River"/>
    <s v="King"/>
    <x v="0"/>
    <s v="Pierce"/>
    <s v="07Pierce"/>
    <s v="02South Puget Sound"/>
    <n v="9.6999999999999993"/>
    <n v="83.905000000000001"/>
  </r>
  <r>
    <n v="2778"/>
    <x v="8"/>
    <x v="1"/>
    <x v="8"/>
    <s v="Freshwater"/>
    <s v="2Freshwater"/>
    <s v="Salmon"/>
    <n v="746"/>
    <s v="Green - Duwamish River"/>
    <s v="Green - Duwamish River"/>
    <s v="King"/>
    <x v="0"/>
    <s v="King"/>
    <s v="06King"/>
    <s v="02South Puget Sound"/>
    <n v="1401.9745222929901"/>
    <n v="12127.079617834364"/>
  </r>
  <r>
    <n v="2779"/>
    <x v="8"/>
    <x v="1"/>
    <x v="8"/>
    <s v="Freshwater"/>
    <s v="2Freshwater"/>
    <s v="Salmon"/>
    <n v="746"/>
    <s v="Green - Duwamish River"/>
    <s v="Green - Duwamish River"/>
    <s v="King"/>
    <x v="0"/>
    <s v="Other"/>
    <s v="20Other"/>
    <s v="07Non Puget Sound"/>
    <n v="67.681528662420405"/>
    <n v="585.44522292993656"/>
  </r>
  <r>
    <n v="2780"/>
    <x v="8"/>
    <x v="1"/>
    <x v="8"/>
    <s v="Freshwater"/>
    <s v="2Freshwater"/>
    <s v="Salmon"/>
    <n v="746"/>
    <s v="Green - Duwamish River"/>
    <s v="Green - Duwamish River"/>
    <s v="King"/>
    <x v="0"/>
    <s v="Pierce"/>
    <s v="07Pierce"/>
    <s v="02South Puget Sound"/>
    <n v="48.343949044585997"/>
    <n v="418.1751592356689"/>
  </r>
  <r>
    <n v="2781"/>
    <x v="8"/>
    <x v="2"/>
    <x v="8"/>
    <s v="Freshwater"/>
    <s v="2Freshwater"/>
    <s v="Salmon"/>
    <n v="746"/>
    <s v="Green - Duwamish River"/>
    <s v="Green - Duwamish River"/>
    <s v="King"/>
    <x v="0"/>
    <s v="King"/>
    <s v="06King"/>
    <s v="02South Puget Sound"/>
    <n v="1094.96124031008"/>
    <n v="9471.4147286821935"/>
  </r>
  <r>
    <n v="2782"/>
    <x v="8"/>
    <x v="2"/>
    <x v="8"/>
    <s v="Freshwater"/>
    <s v="2Freshwater"/>
    <s v="Salmon"/>
    <n v="746"/>
    <s v="Green - Duwamish River"/>
    <s v="Green - Duwamish River"/>
    <s v="King"/>
    <x v="0"/>
    <s v="Other"/>
    <s v="20Other"/>
    <s v="07Non Puget Sound"/>
    <n v="29.069767441860499"/>
    <n v="251.45348837209332"/>
  </r>
  <r>
    <n v="2783"/>
    <x v="8"/>
    <x v="2"/>
    <x v="8"/>
    <s v="Freshwater"/>
    <s v="2Freshwater"/>
    <s v="Salmon"/>
    <n v="746"/>
    <s v="Green - Duwamish River"/>
    <s v="Green - Duwamish River"/>
    <s v="King"/>
    <x v="0"/>
    <s v="Pierce"/>
    <s v="07Pierce"/>
    <s v="02South Puget Sound"/>
    <n v="67.829457364341096"/>
    <n v="586.72480620155045"/>
  </r>
  <r>
    <n v="2784"/>
    <x v="8"/>
    <x v="2"/>
    <x v="8"/>
    <s v="Freshwater"/>
    <s v="2Freshwater"/>
    <s v="Salmon"/>
    <n v="746"/>
    <s v="Green - Duwamish River"/>
    <s v="Green - Duwamish River"/>
    <s v="King"/>
    <x v="0"/>
    <s v="Thurston"/>
    <s v="08Thurston"/>
    <s v="02South Puget Sound"/>
    <n v="58.139534883720899"/>
    <n v="502.90697674418578"/>
  </r>
  <r>
    <n v="2785"/>
    <x v="8"/>
    <x v="3"/>
    <x v="8"/>
    <s v="Freshwater"/>
    <s v="2Freshwater"/>
    <s v="Salmon"/>
    <n v="746"/>
    <s v="Green - Duwamish River"/>
    <s v="Green - Duwamish River"/>
    <s v="King"/>
    <x v="0"/>
    <s v="King"/>
    <s v="06King"/>
    <s v="02South Puget Sound"/>
    <n v="1514.5915492957699"/>
    <n v="13101.21690140841"/>
  </r>
  <r>
    <n v="2786"/>
    <x v="8"/>
    <x v="3"/>
    <x v="8"/>
    <s v="Freshwater"/>
    <s v="2Freshwater"/>
    <s v="Salmon"/>
    <n v="746"/>
    <s v="Green - Duwamish River"/>
    <s v="Green - Duwamish River"/>
    <s v="King"/>
    <x v="0"/>
    <s v="Other"/>
    <s v="20Other"/>
    <s v="07Non Puget Sound"/>
    <n v="48.5446009389671"/>
    <n v="419.91079812206544"/>
  </r>
  <r>
    <n v="2787"/>
    <x v="8"/>
    <x v="3"/>
    <x v="8"/>
    <s v="Freshwater"/>
    <s v="2Freshwater"/>
    <s v="Salmon"/>
    <n v="746"/>
    <s v="Green - Duwamish River"/>
    <s v="Green - Duwamish River"/>
    <s v="King"/>
    <x v="0"/>
    <s v="Pierce"/>
    <s v="07Pierce"/>
    <s v="02South Puget Sound"/>
    <n v="368.93896713614998"/>
    <n v="3191.3220657276975"/>
  </r>
  <r>
    <n v="2788"/>
    <x v="8"/>
    <x v="3"/>
    <x v="8"/>
    <s v="Freshwater"/>
    <s v="2Freshwater"/>
    <s v="Salmon"/>
    <n v="746"/>
    <s v="Green - Duwamish River"/>
    <s v="Green - Duwamish River"/>
    <s v="King"/>
    <x v="0"/>
    <s v="Snohomish"/>
    <s v="03Snohomish"/>
    <s v="01North Puget Sound"/>
    <n v="77.671361502347395"/>
    <n v="671.85727699530503"/>
  </r>
  <r>
    <n v="2789"/>
    <x v="8"/>
    <x v="3"/>
    <x v="8"/>
    <s v="Freshwater"/>
    <s v="2Freshwater"/>
    <s v="Salmon"/>
    <n v="746"/>
    <s v="Green - Duwamish River"/>
    <s v="Green - Duwamish River"/>
    <s v="King"/>
    <x v="0"/>
    <s v="Thurston"/>
    <s v="08Thurston"/>
    <s v="02South Puget Sound"/>
    <n v="58.253521126760603"/>
    <n v="503.89295774647923"/>
  </r>
  <r>
    <n v="2790"/>
    <x v="8"/>
    <x v="4"/>
    <x v="8"/>
    <s v="Freshwater"/>
    <s v="2Freshwater"/>
    <s v="Salmon"/>
    <n v="746"/>
    <s v="Green - Duwamish River"/>
    <s v="Green - Duwamish River"/>
    <s v="King"/>
    <x v="0"/>
    <s v="King"/>
    <s v="06King"/>
    <s v="02South Puget Sound"/>
    <n v="67.900000000000006"/>
    <n v="587.33500000000004"/>
  </r>
  <r>
    <n v="2791"/>
    <x v="8"/>
    <x v="4"/>
    <x v="8"/>
    <s v="Freshwater"/>
    <s v="2Freshwater"/>
    <s v="Salmon"/>
    <n v="746"/>
    <s v="Green - Duwamish River"/>
    <s v="Green - Duwamish River"/>
    <s v="King"/>
    <x v="0"/>
    <s v="Snohomish"/>
    <s v="03Snohomish"/>
    <s v="01North Puget Sound"/>
    <n v="29.1"/>
    <n v="251.71500000000003"/>
  </r>
  <r>
    <n v="2792"/>
    <x v="9"/>
    <x v="6"/>
    <x v="8"/>
    <s v="Freshwater"/>
    <s v="2Freshwater"/>
    <s v="Salmon"/>
    <n v="746"/>
    <s v="Green - Duwamish River"/>
    <s v="Green - Duwamish River"/>
    <s v="King"/>
    <x v="0"/>
    <s v="King"/>
    <s v="06King"/>
    <s v="02South Puget Sound"/>
    <n v="29"/>
    <n v="99.76"/>
  </r>
  <r>
    <n v="2793"/>
    <x v="8"/>
    <x v="2"/>
    <x v="8"/>
    <s v="Freshwater"/>
    <s v="2Freshwater"/>
    <s v="Salmon"/>
    <n v="754"/>
    <s v="Kennedy Creek"/>
    <s v="Kennedy Creek"/>
    <s v="Mason/Thurston"/>
    <x v="0"/>
    <s v="Pierce"/>
    <s v="07Pierce"/>
    <s v="02South Puget Sound"/>
    <n v="100.71428571428601"/>
    <n v="871.17857142857395"/>
  </r>
  <r>
    <n v="2794"/>
    <x v="8"/>
    <x v="2"/>
    <x v="8"/>
    <s v="Freshwater"/>
    <s v="2Freshwater"/>
    <s v="Salmon"/>
    <n v="754"/>
    <s v="Kennedy Creek"/>
    <s v="Kennedy Creek"/>
    <s v="Mason/Thurston"/>
    <x v="0"/>
    <s v="Thurston"/>
    <s v="08Thurston"/>
    <s v="02South Puget Sound"/>
    <n v="40.285714285714299"/>
    <n v="348.4714285714287"/>
  </r>
  <r>
    <n v="2795"/>
    <x v="8"/>
    <x v="3"/>
    <x v="8"/>
    <s v="Freshwater"/>
    <s v="2Freshwater"/>
    <s v="Salmon"/>
    <n v="754"/>
    <s v="Kennedy Creek"/>
    <s v="Kennedy Creek"/>
    <s v="Mason/Thurston"/>
    <x v="0"/>
    <s v="Pierce"/>
    <s v="07Pierce"/>
    <s v="02South Puget Sound"/>
    <n v="120.5"/>
    <n v="1042.325"/>
  </r>
  <r>
    <n v="2796"/>
    <x v="8"/>
    <x v="3"/>
    <x v="8"/>
    <s v="Freshwater"/>
    <s v="2Freshwater"/>
    <s v="Salmon"/>
    <n v="754"/>
    <s v="Kennedy Creek"/>
    <s v="Kennedy Creek"/>
    <s v="Mason/Thurston"/>
    <x v="0"/>
    <s v="Thurston"/>
    <s v="08Thurston"/>
    <s v="02South Puget Sound"/>
    <n v="120.5"/>
    <n v="1042.325"/>
  </r>
  <r>
    <n v="2797"/>
    <x v="8"/>
    <x v="1"/>
    <x v="8"/>
    <s v="Freshwater"/>
    <s v="2Freshwater"/>
    <s v="Salmon"/>
    <n v="762"/>
    <s v="Lake Washington"/>
    <s v="Lake Washington"/>
    <s v="King"/>
    <x v="0"/>
    <s v="King"/>
    <s v="06King"/>
    <s v="02South Puget Sound"/>
    <n v="90.3"/>
    <n v="781.09500000000003"/>
  </r>
  <r>
    <n v="2798"/>
    <x v="8"/>
    <x v="1"/>
    <x v="8"/>
    <s v="Freshwater"/>
    <s v="2Freshwater"/>
    <s v="Salmon"/>
    <n v="762"/>
    <s v="Lake Washington"/>
    <s v="Lake Washington"/>
    <s v="King"/>
    <x v="0"/>
    <s v="Snohomish"/>
    <s v="03Snohomish"/>
    <s v="01North Puget Sound"/>
    <n v="210.7"/>
    <n v="1822.5550000000001"/>
  </r>
  <r>
    <n v="2799"/>
    <x v="8"/>
    <x v="2"/>
    <x v="8"/>
    <s v="Freshwater"/>
    <s v="2Freshwater"/>
    <s v="Salmon"/>
    <n v="764"/>
    <s v="Lake Sammamish"/>
    <s v="Lake Sammamish"/>
    <s v="King"/>
    <x v="0"/>
    <s v="King"/>
    <s v="06King"/>
    <s v="02South Puget Sound"/>
    <n v="10"/>
    <n v="86.5"/>
  </r>
  <r>
    <n v="2800"/>
    <x v="9"/>
    <x v="8"/>
    <x v="8"/>
    <s v="Freshwater"/>
    <s v="2Freshwater"/>
    <s v="Salmon"/>
    <n v="764"/>
    <s v="Lake Sammamish"/>
    <s v="Lake Sammamish"/>
    <s v="King"/>
    <x v="0"/>
    <s v="Snohomish"/>
    <s v="03Snohomish"/>
    <s v="01North Puget Sound"/>
    <n v="10"/>
    <n v="34.4"/>
  </r>
  <r>
    <n v="2801"/>
    <x v="8"/>
    <x v="1"/>
    <x v="8"/>
    <s v="Freshwater"/>
    <s v="2Freshwater"/>
    <s v="Salmon"/>
    <n v="770"/>
    <s v="McAllister Creek"/>
    <s v="McAllister Creek"/>
    <s v="Thurston"/>
    <x v="0"/>
    <s v="Thurston"/>
    <s v="08Thurston"/>
    <s v="02South Puget Sound"/>
    <n v="47"/>
    <n v="406.55"/>
  </r>
  <r>
    <n v="2802"/>
    <x v="8"/>
    <x v="2"/>
    <x v="8"/>
    <s v="Freshwater"/>
    <s v="2Freshwater"/>
    <s v="Salmon"/>
    <n v="778"/>
    <s v="Minter Creek"/>
    <s v="Minter Creek"/>
    <s v="Kitsap/Pierce"/>
    <x v="0"/>
    <s v="King"/>
    <s v="06King"/>
    <s v="02South Puget Sound"/>
    <n v="67.900000000000006"/>
    <n v="587.33500000000004"/>
  </r>
  <r>
    <n v="2803"/>
    <x v="8"/>
    <x v="2"/>
    <x v="8"/>
    <s v="Freshwater"/>
    <s v="2Freshwater"/>
    <s v="Salmon"/>
    <n v="778"/>
    <s v="Minter Creek"/>
    <s v="Minter Creek"/>
    <s v="Kitsap/Pierce"/>
    <x v="0"/>
    <s v="Other"/>
    <s v="20Other"/>
    <s v="07Non Puget Sound"/>
    <n v="9.6999999999999993"/>
    <n v="83.905000000000001"/>
  </r>
  <r>
    <n v="2804"/>
    <x v="8"/>
    <x v="2"/>
    <x v="8"/>
    <s v="Freshwater"/>
    <s v="2Freshwater"/>
    <s v="Salmon"/>
    <n v="778"/>
    <s v="Minter Creek"/>
    <s v="Minter Creek"/>
    <s v="Kitsap/Pierce"/>
    <x v="0"/>
    <s v="Pierce"/>
    <s v="07Pierce"/>
    <s v="02South Puget Sound"/>
    <n v="106.7"/>
    <n v="922.95500000000004"/>
  </r>
  <r>
    <n v="2805"/>
    <x v="8"/>
    <x v="2"/>
    <x v="8"/>
    <s v="Freshwater"/>
    <s v="2Freshwater"/>
    <s v="Salmon"/>
    <n v="778"/>
    <s v="Minter Creek"/>
    <s v="Minter Creek"/>
    <s v="Kitsap/Pierce"/>
    <x v="0"/>
    <s v="Snohomish"/>
    <s v="03Snohomish"/>
    <s v="01North Puget Sound"/>
    <n v="9.6999999999999993"/>
    <n v="83.905000000000001"/>
  </r>
  <r>
    <n v="2806"/>
    <x v="8"/>
    <x v="3"/>
    <x v="8"/>
    <s v="Freshwater"/>
    <s v="2Freshwater"/>
    <s v="Salmon"/>
    <n v="778"/>
    <s v="Minter Creek"/>
    <s v="Minter Creek"/>
    <s v="Kitsap/Pierce"/>
    <x v="0"/>
    <s v="King"/>
    <s v="06King"/>
    <s v="02South Puget Sound"/>
    <n v="1756.4711779448601"/>
    <n v="15193.47568922304"/>
  </r>
  <r>
    <n v="2807"/>
    <x v="8"/>
    <x v="3"/>
    <x v="8"/>
    <s v="Freshwater"/>
    <s v="2Freshwater"/>
    <s v="Salmon"/>
    <n v="778"/>
    <s v="Minter Creek"/>
    <s v="Minter Creek"/>
    <s v="Kitsap/Pierce"/>
    <x v="0"/>
    <s v="Kitsap"/>
    <s v="10Kitsap"/>
    <s v="02South Puget Sound"/>
    <n v="291.12781954887203"/>
    <n v="2518.2556390977429"/>
  </r>
  <r>
    <n v="2808"/>
    <x v="8"/>
    <x v="3"/>
    <x v="8"/>
    <s v="Freshwater"/>
    <s v="2Freshwater"/>
    <s v="Salmon"/>
    <n v="778"/>
    <s v="Minter Creek"/>
    <s v="Minter Creek"/>
    <s v="Kitsap/Pierce"/>
    <x v="0"/>
    <s v="Mason"/>
    <s v="09Mason"/>
    <s v="02South Puget Sound"/>
    <n v="67.929824561403507"/>
    <n v="587.59298245614036"/>
  </r>
  <r>
    <n v="2809"/>
    <x v="8"/>
    <x v="3"/>
    <x v="8"/>
    <s v="Freshwater"/>
    <s v="2Freshwater"/>
    <s v="Salmon"/>
    <n v="778"/>
    <s v="Minter Creek"/>
    <s v="Minter Creek"/>
    <s v="Kitsap/Pierce"/>
    <x v="0"/>
    <s v="Other"/>
    <s v="20Other"/>
    <s v="07Non Puget Sound"/>
    <n v="155.26817042606501"/>
    <n v="1343.0696741854624"/>
  </r>
  <r>
    <n v="2810"/>
    <x v="8"/>
    <x v="3"/>
    <x v="8"/>
    <s v="Freshwater"/>
    <s v="2Freshwater"/>
    <s v="Salmon"/>
    <n v="778"/>
    <s v="Minter Creek"/>
    <s v="Minter Creek"/>
    <s v="Kitsap/Pierce"/>
    <x v="0"/>
    <s v="Pierce"/>
    <s v="07Pierce"/>
    <s v="02South Puget Sound"/>
    <n v="1232.4411027568899"/>
    <n v="10660.615538847098"/>
  </r>
  <r>
    <n v="2811"/>
    <x v="8"/>
    <x v="3"/>
    <x v="8"/>
    <s v="Freshwater"/>
    <s v="2Freshwater"/>
    <s v="Salmon"/>
    <n v="778"/>
    <s v="Minter Creek"/>
    <s v="Minter Creek"/>
    <s v="Kitsap/Pierce"/>
    <x v="0"/>
    <s v="Snohomish"/>
    <s v="03Snohomish"/>
    <s v="01North Puget Sound"/>
    <n v="271.71929824561403"/>
    <n v="2350.3719298245614"/>
  </r>
  <r>
    <n v="2812"/>
    <x v="8"/>
    <x v="3"/>
    <x v="8"/>
    <s v="Freshwater"/>
    <s v="2Freshwater"/>
    <s v="Salmon"/>
    <n v="778"/>
    <s v="Minter Creek"/>
    <s v="Minter Creek"/>
    <s v="Kitsap/Pierce"/>
    <x v="0"/>
    <s v="Thurston"/>
    <s v="08Thurston"/>
    <s v="02South Puget Sound"/>
    <n v="97.042606516290803"/>
    <n v="839.41854636591552"/>
  </r>
  <r>
    <n v="2813"/>
    <x v="8"/>
    <x v="4"/>
    <x v="8"/>
    <s v="Freshwater"/>
    <s v="2Freshwater"/>
    <s v="Salmon"/>
    <n v="778"/>
    <s v="Minter Creek"/>
    <s v="Minter Creek"/>
    <s v="Kitsap/Pierce"/>
    <x v="0"/>
    <s v="King"/>
    <s v="06King"/>
    <s v="02South Puget Sound"/>
    <n v="145.45454545454501"/>
    <n v="1258.1818181818144"/>
  </r>
  <r>
    <n v="2814"/>
    <x v="8"/>
    <x v="4"/>
    <x v="8"/>
    <s v="Freshwater"/>
    <s v="2Freshwater"/>
    <s v="Salmon"/>
    <n v="778"/>
    <s v="Minter Creek"/>
    <s v="Minter Creek"/>
    <s v="Kitsap/Pierce"/>
    <x v="0"/>
    <s v="Kitsap"/>
    <s v="10Kitsap"/>
    <s v="02South Puget Sound"/>
    <n v="38.787878787878803"/>
    <n v="335.51515151515167"/>
  </r>
  <r>
    <n v="2815"/>
    <x v="8"/>
    <x v="4"/>
    <x v="8"/>
    <s v="Freshwater"/>
    <s v="2Freshwater"/>
    <s v="Salmon"/>
    <n v="778"/>
    <s v="Minter Creek"/>
    <s v="Minter Creek"/>
    <s v="Kitsap/Pierce"/>
    <x v="0"/>
    <s v="Pierce"/>
    <s v="07Pierce"/>
    <s v="02South Puget Sound"/>
    <n v="67.878787878787904"/>
    <n v="587.15151515151535"/>
  </r>
  <r>
    <n v="2816"/>
    <x v="8"/>
    <x v="4"/>
    <x v="8"/>
    <s v="Freshwater"/>
    <s v="2Freshwater"/>
    <s v="Salmon"/>
    <n v="778"/>
    <s v="Minter Creek"/>
    <s v="Minter Creek"/>
    <s v="Kitsap/Pierce"/>
    <x v="0"/>
    <s v="Snohomish"/>
    <s v="03Snohomish"/>
    <s v="01North Puget Sound"/>
    <n v="67.878787878787904"/>
    <n v="587.15151515151535"/>
  </r>
  <r>
    <n v="2817"/>
    <x v="8"/>
    <x v="7"/>
    <x v="8"/>
    <s v="Freshwater"/>
    <s v="2Freshwater"/>
    <s v="Salmon"/>
    <n v="786"/>
    <s v="Nisqually River"/>
    <s v="Nisqually River"/>
    <s v="Thurston/Pierce"/>
    <x v="0"/>
    <s v="Thurston"/>
    <s v="08Thurston"/>
    <s v="02South Puget Sound"/>
    <n v="9"/>
    <n v="77.850000000000009"/>
  </r>
  <r>
    <n v="2818"/>
    <x v="8"/>
    <x v="5"/>
    <x v="8"/>
    <s v="Freshwater"/>
    <s v="2Freshwater"/>
    <s v="Salmon"/>
    <n v="786"/>
    <s v="Nisqually River"/>
    <s v="Nisqually River"/>
    <s v="Thurston/Pierce"/>
    <x v="0"/>
    <s v="Pierce"/>
    <s v="07Pierce"/>
    <s v="02South Puget Sound"/>
    <n v="18.8"/>
    <n v="162.62"/>
  </r>
  <r>
    <n v="2819"/>
    <x v="8"/>
    <x v="5"/>
    <x v="8"/>
    <s v="Freshwater"/>
    <s v="2Freshwater"/>
    <s v="Salmon"/>
    <n v="786"/>
    <s v="Nisqually River"/>
    <s v="Nisqually River"/>
    <s v="Thurston/Pierce"/>
    <x v="0"/>
    <s v="Thurston"/>
    <s v="08Thurston"/>
    <s v="02South Puget Sound"/>
    <n v="75.2"/>
    <n v="650.48"/>
  </r>
  <r>
    <n v="2820"/>
    <x v="8"/>
    <x v="0"/>
    <x v="8"/>
    <s v="Freshwater"/>
    <s v="2Freshwater"/>
    <s v="Salmon"/>
    <n v="786"/>
    <s v="Nisqually River"/>
    <s v="Nisqually River"/>
    <s v="Thurston/Pierce"/>
    <x v="0"/>
    <s v="King"/>
    <s v="06King"/>
    <s v="02South Puget Sound"/>
    <n v="142.105263157895"/>
    <n v="1229.2105263157919"/>
  </r>
  <r>
    <n v="2821"/>
    <x v="8"/>
    <x v="0"/>
    <x v="8"/>
    <s v="Freshwater"/>
    <s v="2Freshwater"/>
    <s v="Salmon"/>
    <n v="786"/>
    <s v="Nisqually River"/>
    <s v="Nisqually River"/>
    <s v="Thurston/Pierce"/>
    <x v="0"/>
    <s v="Kitsap"/>
    <s v="10Kitsap"/>
    <s v="02South Puget Sound"/>
    <n v="9.4736842105263204"/>
    <n v="81.947368421052673"/>
  </r>
  <r>
    <n v="2822"/>
    <x v="8"/>
    <x v="0"/>
    <x v="8"/>
    <s v="Freshwater"/>
    <s v="2Freshwater"/>
    <s v="Salmon"/>
    <n v="786"/>
    <s v="Nisqually River"/>
    <s v="Nisqually River"/>
    <s v="Thurston/Pierce"/>
    <x v="0"/>
    <s v="Mason"/>
    <s v="09Mason"/>
    <s v="02South Puget Sound"/>
    <n v="9.4736842105263204"/>
    <n v="81.947368421052673"/>
  </r>
  <r>
    <n v="2823"/>
    <x v="8"/>
    <x v="0"/>
    <x v="8"/>
    <s v="Freshwater"/>
    <s v="2Freshwater"/>
    <s v="Salmon"/>
    <n v="786"/>
    <s v="Nisqually River"/>
    <s v="Nisqually River"/>
    <s v="Thurston/Pierce"/>
    <x v="0"/>
    <s v="Other"/>
    <s v="20Other"/>
    <s v="07Non Puget Sound"/>
    <n v="47.368421052631597"/>
    <n v="409.73684210526335"/>
  </r>
  <r>
    <n v="2824"/>
    <x v="8"/>
    <x v="0"/>
    <x v="8"/>
    <s v="Freshwater"/>
    <s v="2Freshwater"/>
    <s v="Salmon"/>
    <n v="786"/>
    <s v="Nisqually River"/>
    <s v="Nisqually River"/>
    <s v="Thurston/Pierce"/>
    <x v="0"/>
    <s v="Pierce"/>
    <s v="07Pierce"/>
    <s v="02South Puget Sound"/>
    <n v="1146.3157894736801"/>
    <n v="9915.6315789473338"/>
  </r>
  <r>
    <n v="2825"/>
    <x v="8"/>
    <x v="0"/>
    <x v="8"/>
    <s v="Freshwater"/>
    <s v="2Freshwater"/>
    <s v="Salmon"/>
    <n v="786"/>
    <s v="Nisqually River"/>
    <s v="Nisqually River"/>
    <s v="Thurston/Pierce"/>
    <x v="0"/>
    <s v="Thurston"/>
    <s v="08Thurston"/>
    <s v="02South Puget Sound"/>
    <n v="1165.2631578947401"/>
    <n v="10079.526315789502"/>
  </r>
  <r>
    <n v="2826"/>
    <x v="8"/>
    <x v="1"/>
    <x v="8"/>
    <s v="Freshwater"/>
    <s v="2Freshwater"/>
    <s v="Salmon"/>
    <n v="786"/>
    <s v="Nisqually River"/>
    <s v="Nisqually River"/>
    <s v="Thurston/Pierce"/>
    <x v="0"/>
    <s v="King"/>
    <s v="06King"/>
    <s v="02South Puget Sound"/>
    <n v="199.03676470588201"/>
    <n v="1721.6680147058794"/>
  </r>
  <r>
    <n v="2827"/>
    <x v="8"/>
    <x v="1"/>
    <x v="8"/>
    <s v="Freshwater"/>
    <s v="2Freshwater"/>
    <s v="Salmon"/>
    <n v="786"/>
    <s v="Nisqually River"/>
    <s v="Nisqually River"/>
    <s v="Thurston/Pierce"/>
    <x v="0"/>
    <s v="Mason"/>
    <s v="09Mason"/>
    <s v="02South Puget Sound"/>
    <n v="9.4779411764705905"/>
    <n v="81.984191176470617"/>
  </r>
  <r>
    <n v="2828"/>
    <x v="8"/>
    <x v="1"/>
    <x v="8"/>
    <s v="Freshwater"/>
    <s v="2Freshwater"/>
    <s v="Salmon"/>
    <n v="786"/>
    <s v="Nisqually River"/>
    <s v="Nisqually River"/>
    <s v="Thurston/Pierce"/>
    <x v="0"/>
    <s v="Other"/>
    <s v="20Other"/>
    <s v="07Non Puget Sound"/>
    <n v="170.60294117647101"/>
    <n v="1475.7154411764743"/>
  </r>
  <r>
    <n v="2829"/>
    <x v="8"/>
    <x v="1"/>
    <x v="8"/>
    <s v="Freshwater"/>
    <s v="2Freshwater"/>
    <s v="Salmon"/>
    <n v="786"/>
    <s v="Nisqually River"/>
    <s v="Nisqually River"/>
    <s v="Thurston/Pierce"/>
    <x v="0"/>
    <s v="Pierce"/>
    <s v="07Pierce"/>
    <s v="02South Puget Sound"/>
    <n v="966.75"/>
    <n v="8362.3875000000007"/>
  </r>
  <r>
    <n v="2830"/>
    <x v="8"/>
    <x v="1"/>
    <x v="8"/>
    <s v="Freshwater"/>
    <s v="2Freshwater"/>
    <s v="Salmon"/>
    <n v="786"/>
    <s v="Nisqually River"/>
    <s v="Nisqually River"/>
    <s v="Thurston/Pierce"/>
    <x v="0"/>
    <s v="Snohomish"/>
    <s v="03Snohomish"/>
    <s v="01North Puget Sound"/>
    <n v="9.4779411764705905"/>
    <n v="81.984191176470617"/>
  </r>
  <r>
    <n v="2831"/>
    <x v="8"/>
    <x v="1"/>
    <x v="8"/>
    <s v="Freshwater"/>
    <s v="2Freshwater"/>
    <s v="Salmon"/>
    <n v="786"/>
    <s v="Nisqually River"/>
    <s v="Nisqually River"/>
    <s v="Thurston/Pierce"/>
    <x v="0"/>
    <s v="Thurston"/>
    <s v="08Thurston"/>
    <s v="02South Puget Sound"/>
    <n v="1222.6544117647099"/>
    <n v="10575.960661764742"/>
  </r>
  <r>
    <n v="2832"/>
    <x v="8"/>
    <x v="0"/>
    <x v="8"/>
    <s v="Freshwater"/>
    <s v="2Freshwater"/>
    <s v="Salmon"/>
    <n v="788"/>
    <s v="Nooksack River"/>
    <s v="Nooksack River"/>
    <s v="Whatcom"/>
    <x v="1"/>
    <s v="Whatcom"/>
    <s v="01Whatcom"/>
    <s v="01North Puget Sound"/>
    <n v="147"/>
    <n v="1271.55"/>
  </r>
  <r>
    <n v="2833"/>
    <x v="8"/>
    <x v="1"/>
    <x v="8"/>
    <s v="Freshwater"/>
    <s v="2Freshwater"/>
    <s v="Salmon"/>
    <n v="788"/>
    <s v="Nooksack River"/>
    <s v="Nooksack River"/>
    <s v="Whatcom"/>
    <x v="1"/>
    <s v="Whatcom"/>
    <s v="01Whatcom"/>
    <s v="01North Puget Sound"/>
    <n v="1603"/>
    <n v="13865.95"/>
  </r>
  <r>
    <n v="2834"/>
    <x v="8"/>
    <x v="2"/>
    <x v="8"/>
    <s v="Freshwater"/>
    <s v="2Freshwater"/>
    <s v="Salmon"/>
    <n v="788"/>
    <s v="Nooksack River"/>
    <s v="Nooksack River"/>
    <s v="Whatcom"/>
    <x v="1"/>
    <s v="Island"/>
    <s v="04Island"/>
    <s v="01North Puget Sound"/>
    <n v="294.63035019455299"/>
    <n v="2548.5525291828835"/>
  </r>
  <r>
    <n v="2835"/>
    <x v="8"/>
    <x v="2"/>
    <x v="8"/>
    <s v="Freshwater"/>
    <s v="2Freshwater"/>
    <s v="Salmon"/>
    <n v="788"/>
    <s v="Nooksack River"/>
    <s v="Nooksack River"/>
    <s v="Whatcom"/>
    <x v="1"/>
    <s v="King"/>
    <s v="06King"/>
    <s v="02South Puget Sound"/>
    <n v="88.3891050583658"/>
    <n v="764.56575875486419"/>
  </r>
  <r>
    <n v="2836"/>
    <x v="8"/>
    <x v="2"/>
    <x v="8"/>
    <s v="Freshwater"/>
    <s v="2Freshwater"/>
    <s v="Salmon"/>
    <n v="788"/>
    <s v="Nooksack River"/>
    <s v="Nooksack River"/>
    <s v="Whatcom"/>
    <x v="1"/>
    <s v="Other"/>
    <s v="20Other"/>
    <s v="07Non Puget Sound"/>
    <n v="49.105058365758801"/>
    <n v="424.75875486381364"/>
  </r>
  <r>
    <n v="2837"/>
    <x v="8"/>
    <x v="2"/>
    <x v="8"/>
    <s v="Freshwater"/>
    <s v="2Freshwater"/>
    <s v="Salmon"/>
    <n v="788"/>
    <s v="Nooksack River"/>
    <s v="Nooksack River"/>
    <s v="Whatcom"/>
    <x v="1"/>
    <s v="Skagit"/>
    <s v="02Skagit"/>
    <s v="01North Puget Sound"/>
    <n v="343.73540856031099"/>
    <n v="2973.3112840466902"/>
  </r>
  <r>
    <n v="2838"/>
    <x v="8"/>
    <x v="2"/>
    <x v="8"/>
    <s v="Freshwater"/>
    <s v="2Freshwater"/>
    <s v="Salmon"/>
    <n v="788"/>
    <s v="Nooksack River"/>
    <s v="Nooksack River"/>
    <s v="Whatcom"/>
    <x v="1"/>
    <s v="Snohomish"/>
    <s v="03Snohomish"/>
    <s v="01North Puget Sound"/>
    <n v="245.525291828794"/>
    <n v="2123.7937743190682"/>
  </r>
  <r>
    <n v="2839"/>
    <x v="8"/>
    <x v="2"/>
    <x v="8"/>
    <s v="Freshwater"/>
    <s v="2Freshwater"/>
    <s v="Salmon"/>
    <n v="788"/>
    <s v="Nooksack River"/>
    <s v="Nooksack River"/>
    <s v="Whatcom"/>
    <x v="1"/>
    <s v="Whatcom"/>
    <s v="01Whatcom"/>
    <s v="01North Puget Sound"/>
    <n v="1502.61478599222"/>
    <n v="12997.617898832705"/>
  </r>
  <r>
    <n v="2840"/>
    <x v="8"/>
    <x v="3"/>
    <x v="8"/>
    <s v="Freshwater"/>
    <s v="2Freshwater"/>
    <s v="Salmon"/>
    <n v="788"/>
    <s v="Nooksack River"/>
    <s v="Nooksack River"/>
    <s v="Whatcom"/>
    <x v="1"/>
    <s v="Island"/>
    <s v="04Island"/>
    <s v="01North Puget Sound"/>
    <n v="29.3333333333333"/>
    <n v="253.73333333333306"/>
  </r>
  <r>
    <n v="2841"/>
    <x v="8"/>
    <x v="3"/>
    <x v="8"/>
    <s v="Freshwater"/>
    <s v="2Freshwater"/>
    <s v="Salmon"/>
    <n v="788"/>
    <s v="Nooksack River"/>
    <s v="Nooksack River"/>
    <s v="Whatcom"/>
    <x v="1"/>
    <s v="King"/>
    <s v="06King"/>
    <s v="02South Puget Sound"/>
    <n v="78.2222222222222"/>
    <n v="676.62222222222204"/>
  </r>
  <r>
    <n v="2842"/>
    <x v="8"/>
    <x v="3"/>
    <x v="8"/>
    <s v="Freshwater"/>
    <s v="2Freshwater"/>
    <s v="Salmon"/>
    <n v="788"/>
    <s v="Nooksack River"/>
    <s v="Nooksack River"/>
    <s v="Whatcom"/>
    <x v="1"/>
    <s v="Other"/>
    <s v="20Other"/>
    <s v="07Non Puget Sound"/>
    <n v="78.2222222222222"/>
    <n v="676.62222222222204"/>
  </r>
  <r>
    <n v="2843"/>
    <x v="8"/>
    <x v="3"/>
    <x v="8"/>
    <s v="Freshwater"/>
    <s v="2Freshwater"/>
    <s v="Salmon"/>
    <n v="788"/>
    <s v="Nooksack River"/>
    <s v="Nooksack River"/>
    <s v="Whatcom"/>
    <x v="1"/>
    <s v="Skagit"/>
    <s v="02Skagit"/>
    <s v="01North Puget Sound"/>
    <n v="107.555555555556"/>
    <n v="930.35555555555936"/>
  </r>
  <r>
    <n v="2844"/>
    <x v="8"/>
    <x v="3"/>
    <x v="8"/>
    <s v="Freshwater"/>
    <s v="2Freshwater"/>
    <s v="Salmon"/>
    <n v="788"/>
    <s v="Nooksack River"/>
    <s v="Nooksack River"/>
    <s v="Whatcom"/>
    <x v="1"/>
    <s v="Snohomish"/>
    <s v="03Snohomish"/>
    <s v="01North Puget Sound"/>
    <n v="39.1111111111111"/>
    <n v="338.31111111111102"/>
  </r>
  <r>
    <n v="2845"/>
    <x v="8"/>
    <x v="3"/>
    <x v="8"/>
    <s v="Freshwater"/>
    <s v="2Freshwater"/>
    <s v="Salmon"/>
    <n v="788"/>
    <s v="Nooksack River"/>
    <s v="Nooksack River"/>
    <s v="Whatcom"/>
    <x v="1"/>
    <s v="Whatcom"/>
    <s v="01Whatcom"/>
    <s v="01North Puget Sound"/>
    <n v="107.555555555556"/>
    <n v="930.35555555555936"/>
  </r>
  <r>
    <n v="2846"/>
    <x v="8"/>
    <x v="4"/>
    <x v="8"/>
    <s v="Freshwater"/>
    <s v="2Freshwater"/>
    <s v="Salmon"/>
    <n v="788"/>
    <s v="Nooksack River"/>
    <s v="Nooksack River"/>
    <s v="Whatcom"/>
    <x v="1"/>
    <s v="King"/>
    <s v="06King"/>
    <s v="02South Puget Sound"/>
    <n v="10"/>
    <n v="86.5"/>
  </r>
  <r>
    <n v="2847"/>
    <x v="8"/>
    <x v="0"/>
    <x v="8"/>
    <s v="Freshwater"/>
    <s v="2Freshwater"/>
    <s v="Salmon"/>
    <n v="802"/>
    <s v="Carbon River"/>
    <s v="Carbon River"/>
    <s v="Pierce"/>
    <x v="0"/>
    <s v="King"/>
    <s v="06King"/>
    <s v="02South Puget Sound"/>
    <n v="90"/>
    <n v="778.5"/>
  </r>
  <r>
    <n v="2848"/>
    <x v="8"/>
    <x v="0"/>
    <x v="8"/>
    <s v="Freshwater"/>
    <s v="2Freshwater"/>
    <s v="Salmon"/>
    <n v="802"/>
    <s v="Carbon River"/>
    <s v="Carbon River"/>
    <s v="Pierce"/>
    <x v="0"/>
    <s v="Pierce"/>
    <s v="07Pierce"/>
    <s v="02South Puget Sound"/>
    <n v="120"/>
    <n v="1038"/>
  </r>
  <r>
    <n v="2849"/>
    <x v="8"/>
    <x v="1"/>
    <x v="8"/>
    <s v="Freshwater"/>
    <s v="2Freshwater"/>
    <s v="Salmon"/>
    <n v="802"/>
    <s v="Carbon River"/>
    <s v="Carbon River"/>
    <s v="Pierce"/>
    <x v="0"/>
    <s v="King"/>
    <s v="06King"/>
    <s v="02South Puget Sound"/>
    <n v="554.46511627907"/>
    <n v="4796.1232558139554"/>
  </r>
  <r>
    <n v="2850"/>
    <x v="8"/>
    <x v="1"/>
    <x v="8"/>
    <s v="Freshwater"/>
    <s v="2Freshwater"/>
    <s v="Salmon"/>
    <n v="802"/>
    <s v="Carbon River"/>
    <s v="Carbon River"/>
    <s v="Pierce"/>
    <x v="0"/>
    <s v="Pierce"/>
    <s v="07Pierce"/>
    <s v="02South Puget Sound"/>
    <n v="1108.93023255814"/>
    <n v="9592.2465116279109"/>
  </r>
  <r>
    <n v="2851"/>
    <x v="8"/>
    <x v="1"/>
    <x v="8"/>
    <s v="Freshwater"/>
    <s v="2Freshwater"/>
    <s v="Salmon"/>
    <n v="802"/>
    <s v="Carbon River"/>
    <s v="Carbon River"/>
    <s v="Pierce"/>
    <x v="0"/>
    <s v="Snohomish"/>
    <s v="03Snohomish"/>
    <s v="01North Puget Sound"/>
    <n v="19.802325581395401"/>
    <n v="171.29011627907022"/>
  </r>
  <r>
    <n v="2852"/>
    <x v="8"/>
    <x v="1"/>
    <x v="8"/>
    <s v="Freshwater"/>
    <s v="2Freshwater"/>
    <s v="Salmon"/>
    <n v="802"/>
    <s v="Carbon River"/>
    <s v="Carbon River"/>
    <s v="Pierce"/>
    <x v="0"/>
    <s v="Thurston"/>
    <s v="08Thurston"/>
    <s v="02South Puget Sound"/>
    <n v="19.802325581395401"/>
    <n v="171.29011627907022"/>
  </r>
  <r>
    <n v="2853"/>
    <x v="8"/>
    <x v="2"/>
    <x v="8"/>
    <s v="Freshwater"/>
    <s v="2Freshwater"/>
    <s v="Salmon"/>
    <n v="802"/>
    <s v="Carbon River"/>
    <s v="Carbon River"/>
    <s v="Pierce"/>
    <x v="0"/>
    <s v="King"/>
    <s v="06King"/>
    <s v="02South Puget Sound"/>
    <n v="184.57142857142901"/>
    <n v="1596.5428571428611"/>
  </r>
  <r>
    <n v="2854"/>
    <x v="8"/>
    <x v="2"/>
    <x v="8"/>
    <s v="Freshwater"/>
    <s v="2Freshwater"/>
    <s v="Salmon"/>
    <n v="802"/>
    <s v="Carbon River"/>
    <s v="Carbon River"/>
    <s v="Pierce"/>
    <x v="0"/>
    <s v="Pierce"/>
    <s v="07Pierce"/>
    <s v="02South Puget Sound"/>
    <n v="495.42857142857201"/>
    <n v="4285.457142857148"/>
  </r>
  <r>
    <n v="2855"/>
    <x v="8"/>
    <x v="0"/>
    <x v="8"/>
    <s v="Freshwater"/>
    <s v="2Freshwater"/>
    <s v="Salmon"/>
    <n v="804"/>
    <s v="Puyallup River"/>
    <s v="Puyallup River"/>
    <s v="Pierce"/>
    <x v="0"/>
    <s v="King"/>
    <s v="06King"/>
    <s v="02South Puget Sound"/>
    <n v="450.5625"/>
    <n v="3897.3656250000004"/>
  </r>
  <r>
    <n v="2856"/>
    <x v="8"/>
    <x v="0"/>
    <x v="8"/>
    <s v="Freshwater"/>
    <s v="2Freshwater"/>
    <s v="Salmon"/>
    <n v="804"/>
    <s v="Puyallup River"/>
    <s v="Puyallup River"/>
    <s v="Pierce"/>
    <x v="0"/>
    <s v="Kitsap"/>
    <s v="10Kitsap"/>
    <s v="02South Puget Sound"/>
    <n v="10.012499999999999"/>
    <n v="86.608125000000001"/>
  </r>
  <r>
    <n v="2857"/>
    <x v="8"/>
    <x v="0"/>
    <x v="8"/>
    <s v="Freshwater"/>
    <s v="2Freshwater"/>
    <s v="Salmon"/>
    <n v="804"/>
    <s v="Puyallup River"/>
    <s v="Puyallup River"/>
    <s v="Pierce"/>
    <x v="0"/>
    <s v="Pierce"/>
    <s v="07Pierce"/>
    <s v="02South Puget Sound"/>
    <n v="1141.425"/>
    <n v="9873.3262500000001"/>
  </r>
  <r>
    <n v="2858"/>
    <x v="8"/>
    <x v="1"/>
    <x v="8"/>
    <s v="Freshwater"/>
    <s v="2Freshwater"/>
    <s v="Salmon"/>
    <n v="804"/>
    <s v="Puyallup River"/>
    <s v="Puyallup River"/>
    <s v="Pierce"/>
    <x v="0"/>
    <s v="Jefferson"/>
    <s v="12Jefferson"/>
    <s v="03Strait of Juan de Fuca"/>
    <n v="10.025477707006401"/>
    <n v="86.720382165605372"/>
  </r>
  <r>
    <n v="2859"/>
    <x v="8"/>
    <x v="1"/>
    <x v="8"/>
    <s v="Freshwater"/>
    <s v="2Freshwater"/>
    <s v="Salmon"/>
    <n v="804"/>
    <s v="Puyallup River"/>
    <s v="Puyallup River"/>
    <s v="Pierce"/>
    <x v="0"/>
    <s v="King"/>
    <s v="06King"/>
    <s v="02South Puget Sound"/>
    <n v="771.961783439491"/>
    <n v="6677.469426751597"/>
  </r>
  <r>
    <n v="2860"/>
    <x v="8"/>
    <x v="1"/>
    <x v="8"/>
    <s v="Freshwater"/>
    <s v="2Freshwater"/>
    <s v="Salmon"/>
    <n v="804"/>
    <s v="Puyallup River"/>
    <s v="Puyallup River"/>
    <s v="Pierce"/>
    <x v="0"/>
    <s v="Other"/>
    <s v="20Other"/>
    <s v="07Non Puget Sound"/>
    <n v="90.229299363057294"/>
    <n v="780.48343949044568"/>
  </r>
  <r>
    <n v="2861"/>
    <x v="8"/>
    <x v="1"/>
    <x v="8"/>
    <s v="Freshwater"/>
    <s v="2Freshwater"/>
    <s v="Salmon"/>
    <n v="804"/>
    <s v="Puyallup River"/>
    <s v="Puyallup River"/>
    <s v="Pierce"/>
    <x v="0"/>
    <s v="Pierce"/>
    <s v="07Pierce"/>
    <s v="02South Puget Sound"/>
    <n v="2215.6305732484102"/>
    <n v="19165.20445859875"/>
  </r>
  <r>
    <n v="2862"/>
    <x v="8"/>
    <x v="1"/>
    <x v="8"/>
    <s v="Freshwater"/>
    <s v="2Freshwater"/>
    <s v="Salmon"/>
    <n v="804"/>
    <s v="Puyallup River"/>
    <s v="Puyallup River"/>
    <s v="Pierce"/>
    <x v="0"/>
    <s v="Thurston"/>
    <s v="08Thurston"/>
    <s v="02South Puget Sound"/>
    <n v="60.152866242038201"/>
    <n v="520.32229299363041"/>
  </r>
  <r>
    <n v="2863"/>
    <x v="8"/>
    <x v="2"/>
    <x v="8"/>
    <s v="Freshwater"/>
    <s v="2Freshwater"/>
    <s v="Salmon"/>
    <n v="804"/>
    <s v="Puyallup River"/>
    <s v="Puyallup River"/>
    <s v="Pierce"/>
    <x v="0"/>
    <s v="King"/>
    <s v="06King"/>
    <s v="02South Puget Sound"/>
    <n v="10.085106382978701"/>
    <n v="87.236170212765771"/>
  </r>
  <r>
    <n v="2864"/>
    <x v="8"/>
    <x v="2"/>
    <x v="8"/>
    <s v="Freshwater"/>
    <s v="2Freshwater"/>
    <s v="Salmon"/>
    <n v="804"/>
    <s v="Puyallup River"/>
    <s v="Puyallup River"/>
    <s v="Pierce"/>
    <x v="0"/>
    <s v="Other"/>
    <s v="20Other"/>
    <s v="07Non Puget Sound"/>
    <n v="10.085106382978701"/>
    <n v="87.236170212765771"/>
  </r>
  <r>
    <n v="2865"/>
    <x v="8"/>
    <x v="2"/>
    <x v="8"/>
    <s v="Freshwater"/>
    <s v="2Freshwater"/>
    <s v="Salmon"/>
    <n v="804"/>
    <s v="Puyallup River"/>
    <s v="Puyallup River"/>
    <s v="Pierce"/>
    <x v="0"/>
    <s v="Pierce"/>
    <s v="07Pierce"/>
    <s v="02South Puget Sound"/>
    <n v="433.659574468085"/>
    <n v="3751.1553191489352"/>
  </r>
  <r>
    <n v="2866"/>
    <x v="8"/>
    <x v="2"/>
    <x v="8"/>
    <s v="Freshwater"/>
    <s v="2Freshwater"/>
    <s v="Salmon"/>
    <n v="804"/>
    <s v="Puyallup River"/>
    <s v="Puyallup River"/>
    <s v="Pierce"/>
    <x v="0"/>
    <s v="Snohomish"/>
    <s v="03Snohomish"/>
    <s v="01North Puget Sound"/>
    <n v="20.170212765957501"/>
    <n v="174.47234042553239"/>
  </r>
  <r>
    <n v="2867"/>
    <x v="8"/>
    <x v="3"/>
    <x v="8"/>
    <s v="Freshwater"/>
    <s v="2Freshwater"/>
    <s v="Salmon"/>
    <n v="804"/>
    <s v="Puyallup River"/>
    <s v="Puyallup River"/>
    <s v="Pierce"/>
    <x v="0"/>
    <s v="Pierce"/>
    <s v="07Pierce"/>
    <s v="02South Puget Sound"/>
    <n v="99.090909090909093"/>
    <n v="857.13636363636374"/>
  </r>
  <r>
    <n v="2868"/>
    <x v="8"/>
    <x v="3"/>
    <x v="8"/>
    <s v="Freshwater"/>
    <s v="2Freshwater"/>
    <s v="Salmon"/>
    <n v="804"/>
    <s v="Puyallup River"/>
    <s v="Puyallup River"/>
    <s v="Pierce"/>
    <x v="0"/>
    <s v="Thurston"/>
    <s v="08Thurston"/>
    <s v="02South Puget Sound"/>
    <n v="9.9090909090909101"/>
    <n v="85.713636363636382"/>
  </r>
  <r>
    <n v="2869"/>
    <x v="8"/>
    <x v="4"/>
    <x v="8"/>
    <s v="Freshwater"/>
    <s v="2Freshwater"/>
    <s v="Salmon"/>
    <n v="804"/>
    <s v="Puyallup River"/>
    <s v="Puyallup River"/>
    <s v="Pierce"/>
    <x v="0"/>
    <s v="Pierce"/>
    <s v="07Pierce"/>
    <s v="02South Puget Sound"/>
    <n v="69"/>
    <n v="596.85"/>
  </r>
  <r>
    <n v="2870"/>
    <x v="8"/>
    <x v="5"/>
    <x v="8"/>
    <s v="Freshwater"/>
    <s v="2Freshwater"/>
    <s v="Salmon"/>
    <n v="812"/>
    <s v="Quilcene River"/>
    <s v="Quilcene River"/>
    <s v="Jefferson"/>
    <x v="2"/>
    <s v="Other"/>
    <s v="20Other"/>
    <s v="07Non Puget Sound"/>
    <n v="30"/>
    <n v="259.5"/>
  </r>
  <r>
    <n v="2871"/>
    <x v="8"/>
    <x v="0"/>
    <x v="8"/>
    <s v="Freshwater"/>
    <s v="2Freshwater"/>
    <s v="Salmon"/>
    <n v="812"/>
    <s v="Quilcene River"/>
    <s v="Quilcene River"/>
    <s v="Jefferson"/>
    <x v="2"/>
    <s v="Clallam"/>
    <s v="11Clallam"/>
    <s v="03Strait of Juan de Fuca"/>
    <n v="90.357142857142904"/>
    <n v="781.58928571428612"/>
  </r>
  <r>
    <n v="2872"/>
    <x v="8"/>
    <x v="0"/>
    <x v="8"/>
    <s v="Freshwater"/>
    <s v="2Freshwater"/>
    <s v="Salmon"/>
    <n v="812"/>
    <s v="Quilcene River"/>
    <s v="Quilcene River"/>
    <s v="Jefferson"/>
    <x v="2"/>
    <s v="Jefferson"/>
    <s v="12Jefferson"/>
    <s v="03Strait of Juan de Fuca"/>
    <n v="261.03174603174602"/>
    <n v="2257.9246031746034"/>
  </r>
  <r>
    <n v="2873"/>
    <x v="8"/>
    <x v="0"/>
    <x v="8"/>
    <s v="Freshwater"/>
    <s v="2Freshwater"/>
    <s v="Salmon"/>
    <n v="812"/>
    <s v="Quilcene River"/>
    <s v="Quilcene River"/>
    <s v="Jefferson"/>
    <x v="2"/>
    <s v="King"/>
    <s v="06King"/>
    <s v="02South Puget Sound"/>
    <n v="261.03174603174602"/>
    <n v="2257.9246031746034"/>
  </r>
  <r>
    <n v="2874"/>
    <x v="8"/>
    <x v="0"/>
    <x v="8"/>
    <s v="Freshwater"/>
    <s v="2Freshwater"/>
    <s v="Salmon"/>
    <n v="812"/>
    <s v="Quilcene River"/>
    <s v="Quilcene River"/>
    <s v="Jefferson"/>
    <x v="2"/>
    <s v="Kitsap"/>
    <s v="10Kitsap"/>
    <s v="02South Puget Sound"/>
    <n v="451.78571428571399"/>
    <n v="3907.9464285714262"/>
  </r>
  <r>
    <n v="2875"/>
    <x v="8"/>
    <x v="0"/>
    <x v="8"/>
    <s v="Freshwater"/>
    <s v="2Freshwater"/>
    <s v="Salmon"/>
    <n v="812"/>
    <s v="Quilcene River"/>
    <s v="Quilcene River"/>
    <s v="Jefferson"/>
    <x v="2"/>
    <s v="Mason"/>
    <s v="09Mason"/>
    <s v="02South Puget Sound"/>
    <n v="20.0793650793651"/>
    <n v="173.68650793650812"/>
  </r>
  <r>
    <n v="2876"/>
    <x v="8"/>
    <x v="0"/>
    <x v="8"/>
    <s v="Freshwater"/>
    <s v="2Freshwater"/>
    <s v="Salmon"/>
    <n v="812"/>
    <s v="Quilcene River"/>
    <s v="Quilcene River"/>
    <s v="Jefferson"/>
    <x v="2"/>
    <s v="Other"/>
    <s v="20Other"/>
    <s v="07Non Puget Sound"/>
    <n v="90.357142857142904"/>
    <n v="781.58928571428612"/>
  </r>
  <r>
    <n v="2877"/>
    <x v="8"/>
    <x v="0"/>
    <x v="8"/>
    <s v="Freshwater"/>
    <s v="2Freshwater"/>
    <s v="Salmon"/>
    <n v="812"/>
    <s v="Quilcene River"/>
    <s v="Quilcene River"/>
    <s v="Jefferson"/>
    <x v="2"/>
    <s v="Pierce"/>
    <s v="07Pierce"/>
    <s v="02South Puget Sound"/>
    <n v="80.317460317460302"/>
    <n v="694.74603174603169"/>
  </r>
  <r>
    <n v="2878"/>
    <x v="8"/>
    <x v="0"/>
    <x v="8"/>
    <s v="Freshwater"/>
    <s v="2Freshwater"/>
    <s v="Salmon"/>
    <n v="812"/>
    <s v="Quilcene River"/>
    <s v="Quilcene River"/>
    <s v="Jefferson"/>
    <x v="2"/>
    <s v="Snohomish"/>
    <s v="03Snohomish"/>
    <s v="01North Puget Sound"/>
    <n v="10.0396825396825"/>
    <n v="86.843253968253634"/>
  </r>
  <r>
    <n v="2879"/>
    <x v="8"/>
    <x v="1"/>
    <x v="8"/>
    <s v="Freshwater"/>
    <s v="2Freshwater"/>
    <s v="Salmon"/>
    <n v="812"/>
    <s v="Quilcene River"/>
    <s v="Quilcene River"/>
    <s v="Jefferson"/>
    <x v="2"/>
    <s v="Clallam"/>
    <s v="11Clallam"/>
    <s v="03Strait of Juan de Fuca"/>
    <n v="110.44715447154501"/>
    <n v="955.3678861788643"/>
  </r>
  <r>
    <n v="2880"/>
    <x v="8"/>
    <x v="1"/>
    <x v="8"/>
    <s v="Freshwater"/>
    <s v="2Freshwater"/>
    <s v="Salmon"/>
    <n v="812"/>
    <s v="Quilcene River"/>
    <s v="Quilcene River"/>
    <s v="Jefferson"/>
    <x v="2"/>
    <s v="Jefferson"/>
    <s v="12Jefferson"/>
    <s v="03Strait of Juan de Fuca"/>
    <n v="281.13821138211398"/>
    <n v="2431.8455284552861"/>
  </r>
  <r>
    <n v="2881"/>
    <x v="8"/>
    <x v="1"/>
    <x v="8"/>
    <s v="Freshwater"/>
    <s v="2Freshwater"/>
    <s v="Salmon"/>
    <n v="812"/>
    <s v="Quilcene River"/>
    <s v="Quilcene River"/>
    <s v="Jefferson"/>
    <x v="2"/>
    <s v="King"/>
    <s v="06King"/>
    <s v="02South Puget Sound"/>
    <n v="140.56910569105699"/>
    <n v="1215.922764227643"/>
  </r>
  <r>
    <n v="2882"/>
    <x v="8"/>
    <x v="1"/>
    <x v="8"/>
    <s v="Freshwater"/>
    <s v="2Freshwater"/>
    <s v="Salmon"/>
    <n v="812"/>
    <s v="Quilcene River"/>
    <s v="Quilcene River"/>
    <s v="Jefferson"/>
    <x v="2"/>
    <s v="Kitsap"/>
    <s v="10Kitsap"/>
    <s v="02South Puget Sound"/>
    <n v="431.74796747967503"/>
    <n v="3734.6199186991889"/>
  </r>
  <r>
    <n v="2883"/>
    <x v="8"/>
    <x v="1"/>
    <x v="8"/>
    <s v="Freshwater"/>
    <s v="2Freshwater"/>
    <s v="Salmon"/>
    <n v="812"/>
    <s v="Quilcene River"/>
    <s v="Quilcene River"/>
    <s v="Jefferson"/>
    <x v="2"/>
    <s v="Mason"/>
    <s v="09Mason"/>
    <s v="02South Puget Sound"/>
    <n v="50.203252032520297"/>
    <n v="434.25813008130058"/>
  </r>
  <r>
    <n v="2884"/>
    <x v="8"/>
    <x v="1"/>
    <x v="8"/>
    <s v="Freshwater"/>
    <s v="2Freshwater"/>
    <s v="Salmon"/>
    <n v="812"/>
    <s v="Quilcene River"/>
    <s v="Quilcene River"/>
    <s v="Jefferson"/>
    <x v="2"/>
    <s v="Other"/>
    <s v="20Other"/>
    <s v="07Non Puget Sound"/>
    <n v="110.44715447154501"/>
    <n v="955.3678861788643"/>
  </r>
  <r>
    <n v="2885"/>
    <x v="8"/>
    <x v="1"/>
    <x v="8"/>
    <s v="Freshwater"/>
    <s v="2Freshwater"/>
    <s v="Salmon"/>
    <n v="812"/>
    <s v="Quilcene River"/>
    <s v="Quilcene River"/>
    <s v="Jefferson"/>
    <x v="2"/>
    <s v="Pierce"/>
    <s v="07Pierce"/>
    <s v="02South Puget Sound"/>
    <n v="70.284552845528495"/>
    <n v="607.96138211382151"/>
  </r>
  <r>
    <n v="2886"/>
    <x v="8"/>
    <x v="1"/>
    <x v="8"/>
    <s v="Freshwater"/>
    <s v="2Freshwater"/>
    <s v="Salmon"/>
    <n v="812"/>
    <s v="Quilcene River"/>
    <s v="Quilcene River"/>
    <s v="Jefferson"/>
    <x v="2"/>
    <s v="Skagit"/>
    <s v="02Skagit"/>
    <s v="01North Puget Sound"/>
    <n v="10.040650406504099"/>
    <n v="86.851626016260468"/>
  </r>
  <r>
    <n v="2887"/>
    <x v="8"/>
    <x v="1"/>
    <x v="8"/>
    <s v="Freshwater"/>
    <s v="2Freshwater"/>
    <s v="Salmon"/>
    <n v="812"/>
    <s v="Quilcene River"/>
    <s v="Quilcene River"/>
    <s v="Jefferson"/>
    <x v="2"/>
    <s v="Snohomish"/>
    <s v="03Snohomish"/>
    <s v="01North Puget Sound"/>
    <n v="30.121951219512201"/>
    <n v="260.55487804878055"/>
  </r>
  <r>
    <n v="2888"/>
    <x v="8"/>
    <x v="2"/>
    <x v="8"/>
    <s v="Freshwater"/>
    <s v="2Freshwater"/>
    <s v="Salmon"/>
    <n v="812"/>
    <s v="Quilcene River"/>
    <s v="Quilcene River"/>
    <s v="Jefferson"/>
    <x v="2"/>
    <s v="Kitsap"/>
    <s v="10Kitsap"/>
    <s v="02South Puget Sound"/>
    <n v="30"/>
    <n v="259.5"/>
  </r>
  <r>
    <n v="2889"/>
    <x v="8"/>
    <x v="0"/>
    <x v="8"/>
    <s v="Freshwater"/>
    <s v="2Freshwater"/>
    <s v="Salmon"/>
    <n v="816"/>
    <s v="Samish River"/>
    <s v="Samish River"/>
    <s v="Skagit"/>
    <x v="1"/>
    <s v="Island"/>
    <s v="04Island"/>
    <s v="01North Puget Sound"/>
    <n v="126.224066390042"/>
    <n v="1091.8381742738634"/>
  </r>
  <r>
    <n v="2890"/>
    <x v="8"/>
    <x v="0"/>
    <x v="8"/>
    <s v="Freshwater"/>
    <s v="2Freshwater"/>
    <s v="Salmon"/>
    <n v="816"/>
    <s v="Samish River"/>
    <s v="Samish River"/>
    <s v="Skagit"/>
    <x v="1"/>
    <s v="King"/>
    <s v="06King"/>
    <s v="02South Puget Sound"/>
    <n v="339.83402489626599"/>
    <n v="2939.5643153527008"/>
  </r>
  <r>
    <n v="2891"/>
    <x v="8"/>
    <x v="0"/>
    <x v="8"/>
    <s v="Freshwater"/>
    <s v="2Freshwater"/>
    <s v="Salmon"/>
    <n v="816"/>
    <s v="Samish River"/>
    <s v="Samish River"/>
    <s v="Skagit"/>
    <x v="1"/>
    <s v="Other"/>
    <s v="20Other"/>
    <s v="07Non Puget Sound"/>
    <n v="67.966804979253098"/>
    <n v="587.91286307053929"/>
  </r>
  <r>
    <n v="2892"/>
    <x v="8"/>
    <x v="0"/>
    <x v="8"/>
    <s v="Freshwater"/>
    <s v="2Freshwater"/>
    <s v="Salmon"/>
    <n v="816"/>
    <s v="Samish River"/>
    <s v="Samish River"/>
    <s v="Skagit"/>
    <x v="1"/>
    <s v="Skagit"/>
    <s v="02Skagit"/>
    <s v="01North Puget Sound"/>
    <n v="398.09128630705402"/>
    <n v="3443.4896265560174"/>
  </r>
  <r>
    <n v="2893"/>
    <x v="8"/>
    <x v="0"/>
    <x v="8"/>
    <s v="Freshwater"/>
    <s v="2Freshwater"/>
    <s v="Salmon"/>
    <n v="816"/>
    <s v="Samish River"/>
    <s v="Samish River"/>
    <s v="Skagit"/>
    <x v="1"/>
    <s v="Snohomish"/>
    <s v="03Snohomish"/>
    <s v="01North Puget Sound"/>
    <n v="1213.69294605809"/>
    <n v="10498.44398340248"/>
  </r>
  <r>
    <n v="2894"/>
    <x v="8"/>
    <x v="0"/>
    <x v="8"/>
    <s v="Freshwater"/>
    <s v="2Freshwater"/>
    <s v="Salmon"/>
    <n v="816"/>
    <s v="Samish River"/>
    <s v="Samish River"/>
    <s v="Skagit"/>
    <x v="1"/>
    <s v="Whatcom"/>
    <s v="01Whatcom"/>
    <s v="01North Puget Sound"/>
    <n v="194.190871369295"/>
    <n v="1679.7510373444018"/>
  </r>
  <r>
    <n v="2895"/>
    <x v="8"/>
    <x v="1"/>
    <x v="8"/>
    <s v="Freshwater"/>
    <s v="2Freshwater"/>
    <s v="Salmon"/>
    <n v="816"/>
    <s v="Samish River"/>
    <s v="Samish River"/>
    <s v="Skagit"/>
    <x v="1"/>
    <s v="Island"/>
    <s v="04Island"/>
    <s v="01North Puget Sound"/>
    <n v="203.94230769230799"/>
    <n v="1764.1009615384642"/>
  </r>
  <r>
    <n v="2896"/>
    <x v="8"/>
    <x v="1"/>
    <x v="8"/>
    <s v="Freshwater"/>
    <s v="2Freshwater"/>
    <s v="Salmon"/>
    <n v="816"/>
    <s v="Samish River"/>
    <s v="Samish River"/>
    <s v="Skagit"/>
    <x v="1"/>
    <s v="King"/>
    <s v="06King"/>
    <s v="02South Puget Sound"/>
    <n v="330.19230769230802"/>
    <n v="2856.1634615384646"/>
  </r>
  <r>
    <n v="2897"/>
    <x v="8"/>
    <x v="1"/>
    <x v="8"/>
    <s v="Freshwater"/>
    <s v="2Freshwater"/>
    <s v="Salmon"/>
    <n v="816"/>
    <s v="Samish River"/>
    <s v="Samish River"/>
    <s v="Skagit"/>
    <x v="1"/>
    <s v="Other"/>
    <s v="20Other"/>
    <s v="07Non Puget Sound"/>
    <n v="271.92307692307702"/>
    <n v="2352.1346153846162"/>
  </r>
  <r>
    <n v="2898"/>
    <x v="8"/>
    <x v="1"/>
    <x v="8"/>
    <s v="Freshwater"/>
    <s v="2Freshwater"/>
    <s v="Salmon"/>
    <n v="816"/>
    <s v="Samish River"/>
    <s v="Samish River"/>
    <s v="Skagit"/>
    <x v="1"/>
    <s v="Pierce"/>
    <s v="07Pierce"/>
    <s v="02South Puget Sound"/>
    <n v="48.557692307692299"/>
    <n v="420.0240384615384"/>
  </r>
  <r>
    <n v="2899"/>
    <x v="8"/>
    <x v="1"/>
    <x v="8"/>
    <s v="Freshwater"/>
    <s v="2Freshwater"/>
    <s v="Salmon"/>
    <n v="816"/>
    <s v="Samish River"/>
    <s v="Samish River"/>
    <s v="Skagit"/>
    <x v="1"/>
    <s v="Skagit"/>
    <s v="02Skagit"/>
    <s v="01North Puget Sound"/>
    <n v="466.15384615384602"/>
    <n v="4032.2307692307681"/>
  </r>
  <r>
    <n v="2900"/>
    <x v="8"/>
    <x v="1"/>
    <x v="8"/>
    <s v="Freshwater"/>
    <s v="2Freshwater"/>
    <s v="Salmon"/>
    <n v="816"/>
    <s v="Samish River"/>
    <s v="Samish River"/>
    <s v="Skagit"/>
    <x v="1"/>
    <s v="Snohomish"/>
    <s v="03Snohomish"/>
    <s v="01North Puget Sound"/>
    <n v="1981.1538461538501"/>
    <n v="17136.980769230802"/>
  </r>
  <r>
    <n v="2901"/>
    <x v="8"/>
    <x v="1"/>
    <x v="8"/>
    <s v="Freshwater"/>
    <s v="2Freshwater"/>
    <s v="Salmon"/>
    <n v="816"/>
    <s v="Samish River"/>
    <s v="Samish River"/>
    <s v="Skagit"/>
    <x v="1"/>
    <s v="Thurston"/>
    <s v="08Thurston"/>
    <s v="02South Puget Sound"/>
    <n v="19.423076923076898"/>
    <n v="168.00961538461519"/>
  </r>
  <r>
    <n v="2902"/>
    <x v="8"/>
    <x v="1"/>
    <x v="8"/>
    <s v="Freshwater"/>
    <s v="2Freshwater"/>
    <s v="Salmon"/>
    <n v="816"/>
    <s v="Samish River"/>
    <s v="Samish River"/>
    <s v="Skagit"/>
    <x v="1"/>
    <s v="Whatcom"/>
    <s v="01Whatcom"/>
    <s v="01North Puget Sound"/>
    <n v="718.65384615384596"/>
    <n v="6216.3557692307677"/>
  </r>
  <r>
    <n v="2903"/>
    <x v="8"/>
    <x v="2"/>
    <x v="8"/>
    <s v="Freshwater"/>
    <s v="2Freshwater"/>
    <s v="Salmon"/>
    <n v="816"/>
    <s v="Samish River"/>
    <s v="Samish River"/>
    <s v="Skagit"/>
    <x v="1"/>
    <s v="King"/>
    <s v="06King"/>
    <s v="02South Puget Sound"/>
    <n v="19.387755102040799"/>
    <n v="167.70408163265293"/>
  </r>
  <r>
    <n v="2904"/>
    <x v="8"/>
    <x v="2"/>
    <x v="8"/>
    <s v="Freshwater"/>
    <s v="2Freshwater"/>
    <s v="Salmon"/>
    <n v="816"/>
    <s v="Samish River"/>
    <s v="Samish River"/>
    <s v="Skagit"/>
    <x v="1"/>
    <s v="Skagit"/>
    <s v="02Skagit"/>
    <s v="01North Puget Sound"/>
    <n v="29.081632653061199"/>
    <n v="251.55612244897938"/>
  </r>
  <r>
    <n v="2905"/>
    <x v="8"/>
    <x v="2"/>
    <x v="8"/>
    <s v="Freshwater"/>
    <s v="2Freshwater"/>
    <s v="Salmon"/>
    <n v="816"/>
    <s v="Samish River"/>
    <s v="Samish River"/>
    <s v="Skagit"/>
    <x v="1"/>
    <s v="Snohomish"/>
    <s v="03Snohomish"/>
    <s v="01North Puget Sound"/>
    <n v="271.42857142857099"/>
    <n v="2347.857142857139"/>
  </r>
  <r>
    <n v="2906"/>
    <x v="8"/>
    <x v="2"/>
    <x v="8"/>
    <s v="Freshwater"/>
    <s v="2Freshwater"/>
    <s v="Salmon"/>
    <n v="816"/>
    <s v="Samish River"/>
    <s v="Samish River"/>
    <s v="Skagit"/>
    <x v="1"/>
    <s v="Thurston"/>
    <s v="08Thurston"/>
    <s v="02South Puget Sound"/>
    <n v="9.6938775510204103"/>
    <n v="83.85204081632655"/>
  </r>
  <r>
    <n v="2907"/>
    <x v="8"/>
    <x v="2"/>
    <x v="8"/>
    <s v="Freshwater"/>
    <s v="2Freshwater"/>
    <s v="Salmon"/>
    <n v="816"/>
    <s v="Samish River"/>
    <s v="Samish River"/>
    <s v="Skagit"/>
    <x v="1"/>
    <s v="Whatcom"/>
    <s v="01Whatcom"/>
    <s v="01North Puget Sound"/>
    <n v="145.408163265306"/>
    <n v="1257.7806122448969"/>
  </r>
  <r>
    <n v="2908"/>
    <x v="8"/>
    <x v="3"/>
    <x v="8"/>
    <s v="Freshwater"/>
    <s v="2Freshwater"/>
    <s v="Salmon"/>
    <n v="816"/>
    <s v="Samish River"/>
    <s v="Samish River"/>
    <s v="Skagit"/>
    <x v="1"/>
    <s v="Whatcom"/>
    <s v="01Whatcom"/>
    <s v="01North Puget Sound"/>
    <n v="38"/>
    <n v="328.7"/>
  </r>
  <r>
    <n v="2909"/>
    <x v="8"/>
    <x v="5"/>
    <x v="8"/>
    <s v="Freshwater"/>
    <s v="2Freshwater"/>
    <s v="Salmon"/>
    <n v="825"/>
    <s v="Baker Lake"/>
    <s v="Baker Lake"/>
    <s v="Whatcom"/>
    <x v="1"/>
    <s v="Island"/>
    <s v="04Island"/>
    <s v="01North Puget Sound"/>
    <n v="125.15296367112801"/>
    <n v="1082.5731357552572"/>
  </r>
  <r>
    <n v="2910"/>
    <x v="8"/>
    <x v="5"/>
    <x v="8"/>
    <s v="Freshwater"/>
    <s v="2Freshwater"/>
    <s v="Salmon"/>
    <n v="825"/>
    <s v="Baker Lake"/>
    <s v="Baker Lake"/>
    <s v="Whatcom"/>
    <x v="1"/>
    <s v="King"/>
    <s v="06King"/>
    <s v="02South Puget Sound"/>
    <n v="471.73040152963699"/>
    <n v="4080.4679732313602"/>
  </r>
  <r>
    <n v="2911"/>
    <x v="8"/>
    <x v="5"/>
    <x v="8"/>
    <s v="Freshwater"/>
    <s v="2Freshwater"/>
    <s v="Salmon"/>
    <n v="825"/>
    <s v="Baker Lake"/>
    <s v="Baker Lake"/>
    <s v="Whatcom"/>
    <x v="1"/>
    <s v="Kitsap"/>
    <s v="10Kitsap"/>
    <s v="02South Puget Sound"/>
    <n v="9.6271510516252405"/>
    <n v="83.274856596558337"/>
  </r>
  <r>
    <n v="2912"/>
    <x v="8"/>
    <x v="5"/>
    <x v="8"/>
    <s v="Freshwater"/>
    <s v="2Freshwater"/>
    <s v="Salmon"/>
    <n v="825"/>
    <s v="Baker Lake"/>
    <s v="Baker Lake"/>
    <s v="Whatcom"/>
    <x v="1"/>
    <s v="Other"/>
    <s v="20Other"/>
    <s v="07Non Puget Sound"/>
    <n v="606.51051625238995"/>
    <n v="5246.3159655831732"/>
  </r>
  <r>
    <n v="2913"/>
    <x v="8"/>
    <x v="5"/>
    <x v="8"/>
    <s v="Freshwater"/>
    <s v="2Freshwater"/>
    <s v="Salmon"/>
    <n v="825"/>
    <s v="Baker Lake"/>
    <s v="Baker Lake"/>
    <s v="Whatcom"/>
    <x v="1"/>
    <s v="Pierce"/>
    <s v="07Pierce"/>
    <s v="02South Puget Sound"/>
    <n v="154.03441682600399"/>
    <n v="1332.3977055449345"/>
  </r>
  <r>
    <n v="2914"/>
    <x v="8"/>
    <x v="5"/>
    <x v="8"/>
    <s v="Freshwater"/>
    <s v="2Freshwater"/>
    <s v="Salmon"/>
    <n v="825"/>
    <s v="Baker Lake"/>
    <s v="Baker Lake"/>
    <s v="Whatcom"/>
    <x v="1"/>
    <s v="San Juan"/>
    <s v="05San Juan"/>
    <s v="01North Puget Sound"/>
    <n v="9.6271510516252405"/>
    <n v="83.274856596558337"/>
  </r>
  <r>
    <n v="2915"/>
    <x v="8"/>
    <x v="5"/>
    <x v="8"/>
    <s v="Freshwater"/>
    <s v="2Freshwater"/>
    <s v="Salmon"/>
    <n v="825"/>
    <s v="Baker Lake"/>
    <s v="Baker Lake"/>
    <s v="Whatcom"/>
    <x v="1"/>
    <s v="Skagit"/>
    <s v="02Skagit"/>
    <s v="01North Puget Sound"/>
    <n v="1636.61567877629"/>
    <n v="14156.725621414909"/>
  </r>
  <r>
    <n v="2916"/>
    <x v="8"/>
    <x v="5"/>
    <x v="8"/>
    <s v="Freshwater"/>
    <s v="2Freshwater"/>
    <s v="Salmon"/>
    <n v="825"/>
    <s v="Baker Lake"/>
    <s v="Baker Lake"/>
    <s v="Whatcom"/>
    <x v="1"/>
    <s v="Snohomish"/>
    <s v="03Snohomish"/>
    <s v="01North Puget Sound"/>
    <n v="1549.97131931166"/>
    <n v="13407.251912045858"/>
  </r>
  <r>
    <n v="2917"/>
    <x v="8"/>
    <x v="5"/>
    <x v="8"/>
    <s v="Freshwater"/>
    <s v="2Freshwater"/>
    <s v="Salmon"/>
    <n v="825"/>
    <s v="Baker Lake"/>
    <s v="Baker Lake"/>
    <s v="Whatcom"/>
    <x v="1"/>
    <s v="Thurston"/>
    <s v="08Thurston"/>
    <s v="02South Puget Sound"/>
    <n v="38.508604206500998"/>
    <n v="333.09942638623363"/>
  </r>
  <r>
    <n v="2918"/>
    <x v="8"/>
    <x v="5"/>
    <x v="8"/>
    <s v="Freshwater"/>
    <s v="2Freshwater"/>
    <s v="Salmon"/>
    <n v="825"/>
    <s v="Baker Lake"/>
    <s v="Baker Lake"/>
    <s v="Whatcom"/>
    <x v="1"/>
    <s v="Whatcom"/>
    <s v="01Whatcom"/>
    <s v="01North Puget Sound"/>
    <n v="433.221797323136"/>
    <n v="3747.3685468451267"/>
  </r>
  <r>
    <n v="2919"/>
    <x v="8"/>
    <x v="0"/>
    <x v="8"/>
    <s v="Freshwater"/>
    <s v="2Freshwater"/>
    <s v="Salmon"/>
    <n v="825"/>
    <s v="Baker Lake"/>
    <s v="Baker Lake"/>
    <s v="Whatcom"/>
    <x v="1"/>
    <s v="Island"/>
    <s v="04Island"/>
    <s v="01North Puget Sound"/>
    <n v="38.8474576271187"/>
    <n v="336.03050847457678"/>
  </r>
  <r>
    <n v="2920"/>
    <x v="8"/>
    <x v="0"/>
    <x v="8"/>
    <s v="Freshwater"/>
    <s v="2Freshwater"/>
    <s v="Salmon"/>
    <n v="825"/>
    <s v="Baker Lake"/>
    <s v="Baker Lake"/>
    <s v="Whatcom"/>
    <x v="1"/>
    <s v="King"/>
    <s v="06King"/>
    <s v="02South Puget Sound"/>
    <n v="58.271186440678001"/>
    <n v="504.04576271186471"/>
  </r>
  <r>
    <n v="2921"/>
    <x v="8"/>
    <x v="0"/>
    <x v="8"/>
    <s v="Freshwater"/>
    <s v="2Freshwater"/>
    <s v="Salmon"/>
    <n v="825"/>
    <s v="Baker Lake"/>
    <s v="Baker Lake"/>
    <s v="Whatcom"/>
    <x v="1"/>
    <s v="Other"/>
    <s v="20Other"/>
    <s v="07Non Puget Sound"/>
    <n v="213.66101694915301"/>
    <n v="1848.1677966101736"/>
  </r>
  <r>
    <n v="2922"/>
    <x v="8"/>
    <x v="0"/>
    <x v="8"/>
    <s v="Freshwater"/>
    <s v="2Freshwater"/>
    <s v="Salmon"/>
    <n v="825"/>
    <s v="Baker Lake"/>
    <s v="Baker Lake"/>
    <s v="Whatcom"/>
    <x v="1"/>
    <s v="Skagit"/>
    <s v="02Skagit"/>
    <s v="01North Puget Sound"/>
    <n v="281.64406779660999"/>
    <n v="2436.2211864406763"/>
  </r>
  <r>
    <n v="2923"/>
    <x v="8"/>
    <x v="0"/>
    <x v="8"/>
    <s v="Freshwater"/>
    <s v="2Freshwater"/>
    <s v="Salmon"/>
    <n v="825"/>
    <s v="Baker Lake"/>
    <s v="Baker Lake"/>
    <s v="Whatcom"/>
    <x v="1"/>
    <s v="Snohomish"/>
    <s v="03Snohomish"/>
    <s v="01North Puget Sound"/>
    <n v="446.74576271186498"/>
    <n v="3864.3508474576324"/>
  </r>
  <r>
    <n v="2924"/>
    <x v="8"/>
    <x v="0"/>
    <x v="8"/>
    <s v="Freshwater"/>
    <s v="2Freshwater"/>
    <s v="Salmon"/>
    <n v="825"/>
    <s v="Baker Lake"/>
    <s v="Baker Lake"/>
    <s v="Whatcom"/>
    <x v="1"/>
    <s v="Whatcom"/>
    <s v="01Whatcom"/>
    <s v="01North Puget Sound"/>
    <n v="106.83050847457601"/>
    <n v="924.08389830508247"/>
  </r>
  <r>
    <n v="2925"/>
    <x v="8"/>
    <x v="1"/>
    <x v="8"/>
    <s v="Freshwater"/>
    <s v="2Freshwater"/>
    <s v="Salmon"/>
    <n v="825"/>
    <s v="Baker Lake"/>
    <s v="Baker Lake"/>
    <s v="Whatcom"/>
    <x v="1"/>
    <s v="Snohomish"/>
    <s v="03Snohomish"/>
    <s v="01North Puget Sound"/>
    <n v="19"/>
    <n v="164.35"/>
  </r>
  <r>
    <n v="2926"/>
    <x v="8"/>
    <x v="2"/>
    <x v="8"/>
    <s v="Freshwater"/>
    <s v="2Freshwater"/>
    <s v="Salmon"/>
    <n v="825"/>
    <s v="Baker Lake"/>
    <s v="Baker Lake"/>
    <s v="Whatcom"/>
    <x v="1"/>
    <s v="King"/>
    <s v="06King"/>
    <s v="02South Puget Sound"/>
    <n v="0"/>
    <n v="0"/>
  </r>
  <r>
    <n v="2927"/>
    <x v="8"/>
    <x v="9"/>
    <x v="8"/>
    <s v="Freshwater"/>
    <s v="2Freshwater"/>
    <s v="Salmon"/>
    <n v="826"/>
    <s v="Cascade River"/>
    <s v="Cascade River"/>
    <s v="Skagit"/>
    <x v="1"/>
    <s v="Island"/>
    <s v="04Island"/>
    <s v="01North Puget Sound"/>
    <n v="9.5"/>
    <n v="82.174999999999997"/>
  </r>
  <r>
    <n v="2928"/>
    <x v="8"/>
    <x v="9"/>
    <x v="8"/>
    <s v="Freshwater"/>
    <s v="2Freshwater"/>
    <s v="Salmon"/>
    <n v="826"/>
    <s v="Cascade River"/>
    <s v="Cascade River"/>
    <s v="Skagit"/>
    <x v="1"/>
    <s v="King"/>
    <s v="06King"/>
    <s v="02South Puget Sound"/>
    <n v="38"/>
    <n v="328.7"/>
  </r>
  <r>
    <n v="2929"/>
    <x v="8"/>
    <x v="9"/>
    <x v="8"/>
    <s v="Freshwater"/>
    <s v="2Freshwater"/>
    <s v="Salmon"/>
    <n v="826"/>
    <s v="Cascade River"/>
    <s v="Cascade River"/>
    <s v="Skagit"/>
    <x v="1"/>
    <s v="Snohomish"/>
    <s v="03Snohomish"/>
    <s v="01North Puget Sound"/>
    <n v="9.5"/>
    <n v="82.174999999999997"/>
  </r>
  <r>
    <n v="2930"/>
    <x v="8"/>
    <x v="7"/>
    <x v="8"/>
    <s v="Freshwater"/>
    <s v="2Freshwater"/>
    <s v="Salmon"/>
    <n v="826"/>
    <s v="Cascade River"/>
    <s v="Cascade River"/>
    <s v="Skagit"/>
    <x v="1"/>
    <s v="Island"/>
    <s v="04Island"/>
    <s v="01North Puget Sound"/>
    <n v="9.5789473684210495"/>
    <n v="82.857894736842084"/>
  </r>
  <r>
    <n v="2931"/>
    <x v="8"/>
    <x v="7"/>
    <x v="8"/>
    <s v="Freshwater"/>
    <s v="2Freshwater"/>
    <s v="Salmon"/>
    <n v="826"/>
    <s v="Cascade River"/>
    <s v="Cascade River"/>
    <s v="Skagit"/>
    <x v="1"/>
    <s v="King"/>
    <s v="06King"/>
    <s v="02South Puget Sound"/>
    <n v="105.368421052632"/>
    <n v="911.43684210526681"/>
  </r>
  <r>
    <n v="2932"/>
    <x v="8"/>
    <x v="7"/>
    <x v="8"/>
    <s v="Freshwater"/>
    <s v="2Freshwater"/>
    <s v="Salmon"/>
    <n v="826"/>
    <s v="Cascade River"/>
    <s v="Cascade River"/>
    <s v="Skagit"/>
    <x v="1"/>
    <s v="Skagit"/>
    <s v="02Skagit"/>
    <s v="01North Puget Sound"/>
    <n v="9.5789473684210495"/>
    <n v="82.857894736842084"/>
  </r>
  <r>
    <n v="2933"/>
    <x v="8"/>
    <x v="7"/>
    <x v="8"/>
    <s v="Freshwater"/>
    <s v="2Freshwater"/>
    <s v="Salmon"/>
    <n v="826"/>
    <s v="Cascade River"/>
    <s v="Cascade River"/>
    <s v="Skagit"/>
    <x v="1"/>
    <s v="Snohomish"/>
    <s v="03Snohomish"/>
    <s v="01North Puget Sound"/>
    <n v="38.315789473684198"/>
    <n v="331.43157894736834"/>
  </r>
  <r>
    <n v="2934"/>
    <x v="8"/>
    <x v="7"/>
    <x v="8"/>
    <s v="Freshwater"/>
    <s v="2Freshwater"/>
    <s v="Salmon"/>
    <n v="826"/>
    <s v="Cascade River"/>
    <s v="Cascade River"/>
    <s v="Skagit"/>
    <x v="1"/>
    <s v="Whatcom"/>
    <s v="01Whatcom"/>
    <s v="01North Puget Sound"/>
    <n v="19.157894736842099"/>
    <n v="165.71578947368417"/>
  </r>
  <r>
    <n v="2935"/>
    <x v="8"/>
    <x v="5"/>
    <x v="8"/>
    <s v="Freshwater"/>
    <s v="2Freshwater"/>
    <s v="Salmon"/>
    <n v="826"/>
    <s v="Cascade River"/>
    <s v="Cascade River"/>
    <s v="Skagit"/>
    <x v="1"/>
    <s v="Whatcom"/>
    <s v="01Whatcom"/>
    <s v="01North Puget Sound"/>
    <n v="48"/>
    <n v="415.20000000000005"/>
  </r>
  <r>
    <n v="2936"/>
    <x v="8"/>
    <x v="1"/>
    <x v="8"/>
    <s v="Freshwater"/>
    <s v="2Freshwater"/>
    <s v="Salmon"/>
    <n v="826"/>
    <s v="Cascade River"/>
    <s v="Cascade River"/>
    <s v="Skagit"/>
    <x v="1"/>
    <s v="King"/>
    <s v="06King"/>
    <s v="02South Puget Sound"/>
    <n v="19.153846153846199"/>
    <n v="165.68076923076964"/>
  </r>
  <r>
    <n v="2937"/>
    <x v="8"/>
    <x v="1"/>
    <x v="8"/>
    <s v="Freshwater"/>
    <s v="2Freshwater"/>
    <s v="Salmon"/>
    <n v="826"/>
    <s v="Cascade River"/>
    <s v="Cascade River"/>
    <s v="Skagit"/>
    <x v="1"/>
    <s v="Other"/>
    <s v="20Other"/>
    <s v="07Non Puget Sound"/>
    <n v="19.153846153846199"/>
    <n v="165.68076923076964"/>
  </r>
  <r>
    <n v="2938"/>
    <x v="8"/>
    <x v="1"/>
    <x v="8"/>
    <s v="Freshwater"/>
    <s v="2Freshwater"/>
    <s v="Salmon"/>
    <n v="826"/>
    <s v="Cascade River"/>
    <s v="Cascade River"/>
    <s v="Skagit"/>
    <x v="1"/>
    <s v="Skagit"/>
    <s v="02Skagit"/>
    <s v="01North Puget Sound"/>
    <n v="220.269230769231"/>
    <n v="1905.3288461538482"/>
  </r>
  <r>
    <n v="2939"/>
    <x v="8"/>
    <x v="1"/>
    <x v="8"/>
    <s v="Freshwater"/>
    <s v="2Freshwater"/>
    <s v="Salmon"/>
    <n v="826"/>
    <s v="Cascade River"/>
    <s v="Cascade River"/>
    <s v="Skagit"/>
    <x v="1"/>
    <s v="Snohomish"/>
    <s v="03Snohomish"/>
    <s v="01North Puget Sound"/>
    <n v="210.69230769230799"/>
    <n v="1822.4884615384642"/>
  </r>
  <r>
    <n v="2940"/>
    <x v="8"/>
    <x v="1"/>
    <x v="8"/>
    <s v="Freshwater"/>
    <s v="2Freshwater"/>
    <s v="Salmon"/>
    <n v="826"/>
    <s v="Cascade River"/>
    <s v="Cascade River"/>
    <s v="Skagit"/>
    <x v="1"/>
    <s v="Whatcom"/>
    <s v="01Whatcom"/>
    <s v="01North Puget Sound"/>
    <n v="28.730769230769202"/>
    <n v="248.5211538461536"/>
  </r>
  <r>
    <n v="2941"/>
    <x v="8"/>
    <x v="2"/>
    <x v="8"/>
    <s v="Freshwater"/>
    <s v="2Freshwater"/>
    <s v="Salmon"/>
    <n v="826"/>
    <s v="Cascade River"/>
    <s v="Cascade River"/>
    <s v="Skagit"/>
    <x v="1"/>
    <s v="King"/>
    <s v="06King"/>
    <s v="02South Puget Sound"/>
    <n v="67.089108910891099"/>
    <n v="580.32079207920799"/>
  </r>
  <r>
    <n v="2942"/>
    <x v="8"/>
    <x v="2"/>
    <x v="8"/>
    <s v="Freshwater"/>
    <s v="2Freshwater"/>
    <s v="Salmon"/>
    <n v="826"/>
    <s v="Cascade River"/>
    <s v="Cascade River"/>
    <s v="Skagit"/>
    <x v="1"/>
    <s v="Other"/>
    <s v="20Other"/>
    <s v="07Non Puget Sound"/>
    <n v="95.841584158415898"/>
    <n v="829.02970297029754"/>
  </r>
  <r>
    <n v="2943"/>
    <x v="8"/>
    <x v="2"/>
    <x v="8"/>
    <s v="Freshwater"/>
    <s v="2Freshwater"/>
    <s v="Salmon"/>
    <n v="826"/>
    <s v="Cascade River"/>
    <s v="Cascade River"/>
    <s v="Skagit"/>
    <x v="1"/>
    <s v="Skagit"/>
    <s v="02Skagit"/>
    <s v="01North Puget Sound"/>
    <n v="507.96039603960401"/>
    <n v="4393.8574257425753"/>
  </r>
  <r>
    <n v="2944"/>
    <x v="8"/>
    <x v="2"/>
    <x v="8"/>
    <s v="Freshwater"/>
    <s v="2Freshwater"/>
    <s v="Salmon"/>
    <n v="826"/>
    <s v="Cascade River"/>
    <s v="Cascade River"/>
    <s v="Skagit"/>
    <x v="1"/>
    <s v="Snohomish"/>
    <s v="03Snohomish"/>
    <s v="01North Puget Sound"/>
    <n v="220.43564356435701"/>
    <n v="1906.7683168316883"/>
  </r>
  <r>
    <n v="2945"/>
    <x v="8"/>
    <x v="2"/>
    <x v="8"/>
    <s v="Freshwater"/>
    <s v="2Freshwater"/>
    <s v="Salmon"/>
    <n v="826"/>
    <s v="Cascade River"/>
    <s v="Cascade River"/>
    <s v="Skagit"/>
    <x v="1"/>
    <s v="Thurston"/>
    <s v="08Thurston"/>
    <s v="02South Puget Sound"/>
    <n v="19.1683168316832"/>
    <n v="165.80594059405968"/>
  </r>
  <r>
    <n v="2946"/>
    <x v="8"/>
    <x v="2"/>
    <x v="8"/>
    <s v="Freshwater"/>
    <s v="2Freshwater"/>
    <s v="Salmon"/>
    <n v="826"/>
    <s v="Cascade River"/>
    <s v="Cascade River"/>
    <s v="Skagit"/>
    <x v="1"/>
    <s v="Whatcom"/>
    <s v="01Whatcom"/>
    <s v="01North Puget Sound"/>
    <n v="57.504950495049499"/>
    <n v="497.41782178217818"/>
  </r>
  <r>
    <n v="2947"/>
    <x v="8"/>
    <x v="3"/>
    <x v="8"/>
    <s v="Freshwater"/>
    <s v="2Freshwater"/>
    <s v="Salmon"/>
    <n v="826"/>
    <s v="Cascade River"/>
    <s v="Cascade River"/>
    <s v="Skagit"/>
    <x v="1"/>
    <s v="Skagit"/>
    <s v="02Skagit"/>
    <s v="01North Puget Sound"/>
    <n v="38"/>
    <n v="328.7"/>
  </r>
  <r>
    <n v="2948"/>
    <x v="8"/>
    <x v="9"/>
    <x v="8"/>
    <s v="Freshwater"/>
    <s v="2Freshwater"/>
    <s v="Salmon"/>
    <n v="830"/>
    <s v="Skagit River"/>
    <s v="Skagit River"/>
    <s v="Skagit/Whatcom"/>
    <x v="4"/>
    <s v="Other"/>
    <s v="20Other"/>
    <s v="07Non Puget Sound"/>
    <n v="9.5"/>
    <n v="82.174999999999997"/>
  </r>
  <r>
    <n v="2949"/>
    <x v="8"/>
    <x v="9"/>
    <x v="8"/>
    <s v="Freshwater"/>
    <s v="2Freshwater"/>
    <s v="Salmon"/>
    <n v="830"/>
    <s v="Skagit River"/>
    <s v="Skagit River"/>
    <s v="Skagit/Whatcom"/>
    <x v="4"/>
    <s v="Whatcom"/>
    <s v="01Whatcom"/>
    <s v="01North Puget Sound"/>
    <n v="9.5"/>
    <n v="82.174999999999997"/>
  </r>
  <r>
    <n v="2950"/>
    <x v="8"/>
    <x v="7"/>
    <x v="8"/>
    <s v="Freshwater"/>
    <s v="2Freshwater"/>
    <s v="Salmon"/>
    <n v="830"/>
    <s v="Skagit River"/>
    <s v="Skagit River"/>
    <s v="Skagit/Whatcom"/>
    <x v="4"/>
    <s v="Island"/>
    <s v="04Island"/>
    <s v="01North Puget Sound"/>
    <n v="19.1111111111111"/>
    <n v="165.31111111111102"/>
  </r>
  <r>
    <n v="2951"/>
    <x v="8"/>
    <x v="7"/>
    <x v="8"/>
    <s v="Freshwater"/>
    <s v="2Freshwater"/>
    <s v="Salmon"/>
    <n v="830"/>
    <s v="Skagit River"/>
    <s v="Skagit River"/>
    <s v="Skagit/Whatcom"/>
    <x v="4"/>
    <s v="Skagit"/>
    <s v="02Skagit"/>
    <s v="01North Puget Sound"/>
    <n v="19.1111111111111"/>
    <n v="165.31111111111102"/>
  </r>
  <r>
    <n v="2952"/>
    <x v="8"/>
    <x v="7"/>
    <x v="8"/>
    <s v="Freshwater"/>
    <s v="2Freshwater"/>
    <s v="Salmon"/>
    <n v="830"/>
    <s v="Skagit River"/>
    <s v="Skagit River"/>
    <s v="Skagit/Whatcom"/>
    <x v="4"/>
    <s v="Snohomish"/>
    <s v="03Snohomish"/>
    <s v="01North Puget Sound"/>
    <n v="47.7777777777778"/>
    <n v="413.277777777778"/>
  </r>
  <r>
    <n v="2953"/>
    <x v="8"/>
    <x v="5"/>
    <x v="8"/>
    <s v="Freshwater"/>
    <s v="2Freshwater"/>
    <s v="Salmon"/>
    <n v="830"/>
    <s v="Skagit River"/>
    <s v="Skagit River"/>
    <s v="Skagit/Whatcom"/>
    <x v="4"/>
    <s v="Skagit"/>
    <s v="02Skagit"/>
    <s v="01North Puget Sound"/>
    <n v="86.4"/>
    <n v="747.36000000000013"/>
  </r>
  <r>
    <n v="2954"/>
    <x v="8"/>
    <x v="5"/>
    <x v="8"/>
    <s v="Freshwater"/>
    <s v="2Freshwater"/>
    <s v="Salmon"/>
    <n v="830"/>
    <s v="Skagit River"/>
    <s v="Skagit River"/>
    <s v="Skagit/Whatcom"/>
    <x v="4"/>
    <s v="Snohomish"/>
    <s v="03Snohomish"/>
    <s v="01North Puget Sound"/>
    <n v="9.6"/>
    <n v="83.04"/>
  </r>
  <r>
    <n v="2955"/>
    <x v="8"/>
    <x v="0"/>
    <x v="8"/>
    <s v="Freshwater"/>
    <s v="2Freshwater"/>
    <s v="Salmon"/>
    <n v="830"/>
    <s v="Skagit River"/>
    <s v="Skagit River"/>
    <s v="Skagit/Whatcom"/>
    <x v="4"/>
    <s v="Skagit"/>
    <s v="02Skagit"/>
    <s v="01North Puget Sound"/>
    <n v="97"/>
    <n v="839.05000000000007"/>
  </r>
  <r>
    <n v="2956"/>
    <x v="8"/>
    <x v="1"/>
    <x v="8"/>
    <s v="Freshwater"/>
    <s v="2Freshwater"/>
    <s v="Salmon"/>
    <n v="830"/>
    <s v="Skagit River"/>
    <s v="Skagit River"/>
    <s v="Skagit/Whatcom"/>
    <x v="4"/>
    <s v="Island"/>
    <s v="04Island"/>
    <s v="01North Puget Sound"/>
    <n v="9.6867469879518104"/>
    <n v="83.790361445783162"/>
  </r>
  <r>
    <n v="2957"/>
    <x v="8"/>
    <x v="1"/>
    <x v="8"/>
    <s v="Freshwater"/>
    <s v="2Freshwater"/>
    <s v="Salmon"/>
    <n v="830"/>
    <s v="Skagit River"/>
    <s v="Skagit River"/>
    <s v="Skagit/Whatcom"/>
    <x v="4"/>
    <s v="King"/>
    <s v="06King"/>
    <s v="02South Puget Sound"/>
    <n v="9.6867469879518104"/>
    <n v="83.790361445783162"/>
  </r>
  <r>
    <n v="2958"/>
    <x v="8"/>
    <x v="1"/>
    <x v="8"/>
    <s v="Freshwater"/>
    <s v="2Freshwater"/>
    <s v="Salmon"/>
    <n v="830"/>
    <s v="Skagit River"/>
    <s v="Skagit River"/>
    <s v="Skagit/Whatcom"/>
    <x v="4"/>
    <s v="Other"/>
    <s v="20Other"/>
    <s v="07Non Puget Sound"/>
    <n v="48.433734939758999"/>
    <n v="418.95180722891536"/>
  </r>
  <r>
    <n v="2959"/>
    <x v="8"/>
    <x v="1"/>
    <x v="8"/>
    <s v="Freshwater"/>
    <s v="2Freshwater"/>
    <s v="Salmon"/>
    <n v="830"/>
    <s v="Skagit River"/>
    <s v="Skagit River"/>
    <s v="Skagit/Whatcom"/>
    <x v="4"/>
    <s v="Skagit"/>
    <s v="02Skagit"/>
    <s v="01North Puget Sound"/>
    <n v="1172.0963855421701"/>
    <n v="10138.633734939771"/>
  </r>
  <r>
    <n v="2960"/>
    <x v="8"/>
    <x v="1"/>
    <x v="8"/>
    <s v="Freshwater"/>
    <s v="2Freshwater"/>
    <s v="Salmon"/>
    <n v="830"/>
    <s v="Skagit River"/>
    <s v="Skagit River"/>
    <s v="Skagit/Whatcom"/>
    <x v="4"/>
    <s v="Snohomish"/>
    <s v="03Snohomish"/>
    <s v="01North Puget Sound"/>
    <n v="145.30120481927699"/>
    <n v="1256.855421686746"/>
  </r>
  <r>
    <n v="2961"/>
    <x v="8"/>
    <x v="1"/>
    <x v="8"/>
    <s v="Freshwater"/>
    <s v="2Freshwater"/>
    <s v="Salmon"/>
    <n v="830"/>
    <s v="Skagit River"/>
    <s v="Skagit River"/>
    <s v="Skagit/Whatcom"/>
    <x v="4"/>
    <s v="Whatcom"/>
    <s v="01Whatcom"/>
    <s v="01North Puget Sound"/>
    <n v="222.79518072289201"/>
    <n v="1927.1783132530161"/>
  </r>
  <r>
    <n v="2962"/>
    <x v="8"/>
    <x v="2"/>
    <x v="8"/>
    <s v="Freshwater"/>
    <s v="2Freshwater"/>
    <s v="Salmon"/>
    <n v="830"/>
    <s v="Skagit River"/>
    <s v="Skagit River"/>
    <s v="Skagit/Whatcom"/>
    <x v="4"/>
    <s v="Island"/>
    <s v="04Island"/>
    <s v="01North Puget Sound"/>
    <n v="19.377777777777801"/>
    <n v="167.617777777778"/>
  </r>
  <r>
    <n v="2963"/>
    <x v="8"/>
    <x v="2"/>
    <x v="8"/>
    <s v="Freshwater"/>
    <s v="2Freshwater"/>
    <s v="Salmon"/>
    <n v="830"/>
    <s v="Skagit River"/>
    <s v="Skagit River"/>
    <s v="Skagit/Whatcom"/>
    <x v="4"/>
    <s v="King"/>
    <s v="06King"/>
    <s v="02South Puget Sound"/>
    <n v="87.2"/>
    <n v="754.28000000000009"/>
  </r>
  <r>
    <n v="2964"/>
    <x v="8"/>
    <x v="2"/>
    <x v="8"/>
    <s v="Freshwater"/>
    <s v="2Freshwater"/>
    <s v="Salmon"/>
    <n v="830"/>
    <s v="Skagit River"/>
    <s v="Skagit River"/>
    <s v="Skagit/Whatcom"/>
    <x v="4"/>
    <s v="Mason"/>
    <s v="09Mason"/>
    <s v="02South Puget Sound"/>
    <n v="48.4444444444445"/>
    <n v="419.04444444444493"/>
  </r>
  <r>
    <n v="2965"/>
    <x v="8"/>
    <x v="2"/>
    <x v="8"/>
    <s v="Freshwater"/>
    <s v="2Freshwater"/>
    <s v="Salmon"/>
    <n v="830"/>
    <s v="Skagit River"/>
    <s v="Skagit River"/>
    <s v="Skagit/Whatcom"/>
    <x v="4"/>
    <s v="Pierce"/>
    <s v="07Pierce"/>
    <s v="02South Puget Sound"/>
    <n v="19.377777777777801"/>
    <n v="167.617777777778"/>
  </r>
  <r>
    <n v="2966"/>
    <x v="8"/>
    <x v="2"/>
    <x v="8"/>
    <s v="Freshwater"/>
    <s v="2Freshwater"/>
    <s v="Salmon"/>
    <n v="830"/>
    <s v="Skagit River"/>
    <s v="Skagit River"/>
    <s v="Skagit/Whatcom"/>
    <x v="4"/>
    <s v="Skagit"/>
    <s v="02Skagit"/>
    <s v="01North Puget Sound"/>
    <n v="445.68888888888898"/>
    <n v="3855.2088888888898"/>
  </r>
  <r>
    <n v="2967"/>
    <x v="8"/>
    <x v="2"/>
    <x v="8"/>
    <s v="Freshwater"/>
    <s v="2Freshwater"/>
    <s v="Salmon"/>
    <n v="830"/>
    <s v="Skagit River"/>
    <s v="Skagit River"/>
    <s v="Skagit/Whatcom"/>
    <x v="4"/>
    <s v="Snohomish"/>
    <s v="03Snohomish"/>
    <s v="01North Puget Sound"/>
    <n v="96.8888888888889"/>
    <n v="838.08888888888907"/>
  </r>
  <r>
    <n v="2968"/>
    <x v="8"/>
    <x v="2"/>
    <x v="8"/>
    <s v="Freshwater"/>
    <s v="2Freshwater"/>
    <s v="Salmon"/>
    <n v="830"/>
    <s v="Skagit River"/>
    <s v="Skagit River"/>
    <s v="Skagit/Whatcom"/>
    <x v="4"/>
    <s v="Whatcom"/>
    <s v="01Whatcom"/>
    <s v="01North Puget Sound"/>
    <n v="155.02222222222201"/>
    <n v="1340.9422222222204"/>
  </r>
  <r>
    <n v="2969"/>
    <x v="8"/>
    <x v="3"/>
    <x v="8"/>
    <s v="Freshwater"/>
    <s v="2Freshwater"/>
    <s v="Salmon"/>
    <n v="830"/>
    <s v="Skagit River"/>
    <s v="Skagit River"/>
    <s v="Skagit/Whatcom"/>
    <x v="4"/>
    <s v="King"/>
    <s v="06King"/>
    <s v="02South Puget Sound"/>
    <n v="9.6666666666666696"/>
    <n v="83.616666666666703"/>
  </r>
  <r>
    <n v="2970"/>
    <x v="8"/>
    <x v="3"/>
    <x v="8"/>
    <s v="Freshwater"/>
    <s v="2Freshwater"/>
    <s v="Salmon"/>
    <n v="830"/>
    <s v="Skagit River"/>
    <s v="Skagit River"/>
    <s v="Skagit/Whatcom"/>
    <x v="4"/>
    <s v="Other"/>
    <s v="20Other"/>
    <s v="07Non Puget Sound"/>
    <n v="9.6666666666666696"/>
    <n v="83.616666666666703"/>
  </r>
  <r>
    <n v="2971"/>
    <x v="8"/>
    <x v="3"/>
    <x v="8"/>
    <s v="Freshwater"/>
    <s v="2Freshwater"/>
    <s v="Salmon"/>
    <n v="830"/>
    <s v="Skagit River"/>
    <s v="Skagit River"/>
    <s v="Skagit/Whatcom"/>
    <x v="4"/>
    <s v="Pierce"/>
    <s v="07Pierce"/>
    <s v="02South Puget Sound"/>
    <n v="9.6666666666666696"/>
    <n v="83.616666666666703"/>
  </r>
  <r>
    <n v="2972"/>
    <x v="8"/>
    <x v="3"/>
    <x v="8"/>
    <s v="Freshwater"/>
    <s v="2Freshwater"/>
    <s v="Salmon"/>
    <n v="830"/>
    <s v="Skagit River"/>
    <s v="Skagit River"/>
    <s v="Skagit/Whatcom"/>
    <x v="4"/>
    <s v="Skagit"/>
    <s v="02Skagit"/>
    <s v="01North Puget Sound"/>
    <n v="29"/>
    <n v="250.85000000000002"/>
  </r>
  <r>
    <n v="2973"/>
    <x v="8"/>
    <x v="3"/>
    <x v="8"/>
    <s v="Freshwater"/>
    <s v="2Freshwater"/>
    <s v="Salmon"/>
    <n v="830"/>
    <s v="Skagit River"/>
    <s v="Skagit River"/>
    <s v="Skagit/Whatcom"/>
    <x v="4"/>
    <s v="Snohomish"/>
    <s v="03Snohomish"/>
    <s v="01North Puget Sound"/>
    <n v="38.6666666666667"/>
    <n v="334.46666666666698"/>
  </r>
  <r>
    <n v="2974"/>
    <x v="8"/>
    <x v="3"/>
    <x v="8"/>
    <s v="Freshwater"/>
    <s v="2Freshwater"/>
    <s v="Salmon"/>
    <n v="830"/>
    <s v="Skagit River"/>
    <s v="Skagit River"/>
    <s v="Skagit/Whatcom"/>
    <x v="4"/>
    <s v="Whatcom"/>
    <s v="01Whatcom"/>
    <s v="01North Puget Sound"/>
    <n v="19.3333333333333"/>
    <n v="167.23333333333306"/>
  </r>
  <r>
    <n v="2975"/>
    <x v="8"/>
    <x v="4"/>
    <x v="8"/>
    <s v="Freshwater"/>
    <s v="2Freshwater"/>
    <s v="Salmon"/>
    <n v="830"/>
    <s v="Skagit River"/>
    <s v="Skagit River"/>
    <s v="Skagit/Whatcom"/>
    <x v="4"/>
    <s v="Skagit"/>
    <s v="02Skagit"/>
    <s v="01North Puget Sound"/>
    <n v="19"/>
    <n v="164.35"/>
  </r>
  <r>
    <n v="2976"/>
    <x v="8"/>
    <x v="3"/>
    <x v="8"/>
    <s v="Freshwater"/>
    <s v="2Freshwater"/>
    <s v="Salmon"/>
    <n v="834"/>
    <s v="Skokomish River"/>
    <s v="Skokomish River"/>
    <s v="Mason"/>
    <x v="2"/>
    <s v="King"/>
    <s v="06King"/>
    <s v="02South Puget Sound"/>
    <n v="2"/>
    <n v="17.3"/>
  </r>
  <r>
    <n v="2977"/>
    <x v="8"/>
    <x v="9"/>
    <x v="8"/>
    <s v="Freshwater"/>
    <s v="2Freshwater"/>
    <s v="Salmon"/>
    <n v="844"/>
    <s v="Skykomish River"/>
    <s v="Skykomish River"/>
    <s v="Snohomish"/>
    <x v="4"/>
    <s v="King"/>
    <s v="06King"/>
    <s v="02South Puget Sound"/>
    <n v="10.1666666666667"/>
    <n v="87.941666666666961"/>
  </r>
  <r>
    <n v="2978"/>
    <x v="8"/>
    <x v="9"/>
    <x v="8"/>
    <s v="Freshwater"/>
    <s v="2Freshwater"/>
    <s v="Salmon"/>
    <n v="844"/>
    <s v="Skykomish River"/>
    <s v="Skykomish River"/>
    <s v="Snohomish"/>
    <x v="4"/>
    <s v="Snohomish"/>
    <s v="03Snohomish"/>
    <s v="01North Puget Sound"/>
    <n v="50.8333333333333"/>
    <n v="439.70833333333309"/>
  </r>
  <r>
    <n v="2979"/>
    <x v="8"/>
    <x v="7"/>
    <x v="8"/>
    <s v="Freshwater"/>
    <s v="2Freshwater"/>
    <s v="Salmon"/>
    <n v="844"/>
    <s v="Skykomish River"/>
    <s v="Skykomish River"/>
    <s v="Snohomish"/>
    <x v="4"/>
    <s v="Island"/>
    <s v="04Island"/>
    <s v="01North Puget Sound"/>
    <n v="20.090909090909101"/>
    <n v="173.78636363636372"/>
  </r>
  <r>
    <n v="2980"/>
    <x v="8"/>
    <x v="7"/>
    <x v="8"/>
    <s v="Freshwater"/>
    <s v="2Freshwater"/>
    <s v="Salmon"/>
    <n v="844"/>
    <s v="Skykomish River"/>
    <s v="Skykomish River"/>
    <s v="Snohomish"/>
    <x v="4"/>
    <s v="King"/>
    <s v="06King"/>
    <s v="02South Puget Sound"/>
    <n v="60.272727272727302"/>
    <n v="521.35909090909115"/>
  </r>
  <r>
    <n v="2981"/>
    <x v="8"/>
    <x v="7"/>
    <x v="8"/>
    <s v="Freshwater"/>
    <s v="2Freshwater"/>
    <s v="Salmon"/>
    <n v="844"/>
    <s v="Skykomish River"/>
    <s v="Skykomish River"/>
    <s v="Snohomish"/>
    <x v="4"/>
    <s v="Other"/>
    <s v="20Other"/>
    <s v="07Non Puget Sound"/>
    <n v="10.045454545454501"/>
    <n v="86.893181818181432"/>
  </r>
  <r>
    <n v="2982"/>
    <x v="8"/>
    <x v="7"/>
    <x v="8"/>
    <s v="Freshwater"/>
    <s v="2Freshwater"/>
    <s v="Salmon"/>
    <n v="844"/>
    <s v="Skykomish River"/>
    <s v="Skykomish River"/>
    <s v="Snohomish"/>
    <x v="4"/>
    <s v="Pierce"/>
    <s v="07Pierce"/>
    <s v="02South Puget Sound"/>
    <n v="30.136363636363601"/>
    <n v="260.67954545454518"/>
  </r>
  <r>
    <n v="2983"/>
    <x v="8"/>
    <x v="7"/>
    <x v="8"/>
    <s v="Freshwater"/>
    <s v="2Freshwater"/>
    <s v="Salmon"/>
    <n v="844"/>
    <s v="Skykomish River"/>
    <s v="Skykomish River"/>
    <s v="Snohomish"/>
    <x v="4"/>
    <s v="Snohomish"/>
    <s v="03Snohomish"/>
    <s v="01North Puget Sound"/>
    <n v="90.409090909090907"/>
    <n v="782.03863636363633"/>
  </r>
  <r>
    <n v="2984"/>
    <x v="8"/>
    <x v="7"/>
    <x v="8"/>
    <s v="Freshwater"/>
    <s v="2Freshwater"/>
    <s v="Salmon"/>
    <n v="844"/>
    <s v="Skykomish River"/>
    <s v="Skykomish River"/>
    <s v="Snohomish"/>
    <x v="4"/>
    <s v="Thurston"/>
    <s v="08Thurston"/>
    <s v="02South Puget Sound"/>
    <n v="10.045454545454501"/>
    <n v="86.893181818181432"/>
  </r>
  <r>
    <n v="2985"/>
    <x v="8"/>
    <x v="5"/>
    <x v="8"/>
    <s v="Freshwater"/>
    <s v="2Freshwater"/>
    <s v="Salmon"/>
    <n v="844"/>
    <s v="Skykomish River"/>
    <s v="Skykomish River"/>
    <s v="Snohomish"/>
    <x v="4"/>
    <s v="King"/>
    <s v="06King"/>
    <s v="02South Puget Sound"/>
    <n v="102.083333333333"/>
    <n v="883.02083333333053"/>
  </r>
  <r>
    <n v="2986"/>
    <x v="8"/>
    <x v="5"/>
    <x v="8"/>
    <s v="Freshwater"/>
    <s v="2Freshwater"/>
    <s v="Salmon"/>
    <n v="844"/>
    <s v="Skykomish River"/>
    <s v="Skykomish River"/>
    <s v="Snohomish"/>
    <x v="4"/>
    <s v="Other"/>
    <s v="20Other"/>
    <s v="07Non Puget Sound"/>
    <n v="30.625"/>
    <n v="264.90625"/>
  </r>
  <r>
    <n v="2987"/>
    <x v="8"/>
    <x v="5"/>
    <x v="8"/>
    <s v="Freshwater"/>
    <s v="2Freshwater"/>
    <s v="Salmon"/>
    <n v="844"/>
    <s v="Skykomish River"/>
    <s v="Skykomish River"/>
    <s v="Snohomish"/>
    <x v="4"/>
    <s v="Pierce"/>
    <s v="07Pierce"/>
    <s v="02South Puget Sound"/>
    <n v="20.4166666666667"/>
    <n v="176.60416666666697"/>
  </r>
  <r>
    <n v="2988"/>
    <x v="8"/>
    <x v="5"/>
    <x v="8"/>
    <s v="Freshwater"/>
    <s v="2Freshwater"/>
    <s v="Salmon"/>
    <n v="844"/>
    <s v="Skykomish River"/>
    <s v="Skykomish River"/>
    <s v="Snohomish"/>
    <x v="4"/>
    <s v="Skagit"/>
    <s v="02Skagit"/>
    <s v="01North Puget Sound"/>
    <n v="20.4166666666667"/>
    <n v="176.60416666666697"/>
  </r>
  <r>
    <n v="2989"/>
    <x v="8"/>
    <x v="5"/>
    <x v="8"/>
    <s v="Freshwater"/>
    <s v="2Freshwater"/>
    <s v="Salmon"/>
    <n v="844"/>
    <s v="Skykomish River"/>
    <s v="Skykomish River"/>
    <s v="Snohomish"/>
    <x v="4"/>
    <s v="Snohomish"/>
    <s v="03Snohomish"/>
    <s v="01North Puget Sound"/>
    <n v="61.25"/>
    <n v="529.8125"/>
  </r>
  <r>
    <n v="2990"/>
    <x v="8"/>
    <x v="5"/>
    <x v="8"/>
    <s v="Freshwater"/>
    <s v="2Freshwater"/>
    <s v="Salmon"/>
    <n v="844"/>
    <s v="Skykomish River"/>
    <s v="Skykomish River"/>
    <s v="Snohomish"/>
    <x v="4"/>
    <s v="Thurston"/>
    <s v="08Thurston"/>
    <s v="02South Puget Sound"/>
    <n v="10.2083333333333"/>
    <n v="88.302083333333044"/>
  </r>
  <r>
    <n v="2991"/>
    <x v="8"/>
    <x v="1"/>
    <x v="8"/>
    <s v="Freshwater"/>
    <s v="2Freshwater"/>
    <s v="Salmon"/>
    <n v="844"/>
    <s v="Skykomish River"/>
    <s v="Skykomish River"/>
    <s v="Snohomish"/>
    <x v="4"/>
    <s v="King"/>
    <s v="06King"/>
    <s v="02South Puget Sound"/>
    <n v="9.9411764705882408"/>
    <n v="85.991176470588286"/>
  </r>
  <r>
    <n v="2992"/>
    <x v="8"/>
    <x v="1"/>
    <x v="8"/>
    <s v="Freshwater"/>
    <s v="2Freshwater"/>
    <s v="Salmon"/>
    <n v="844"/>
    <s v="Skykomish River"/>
    <s v="Skykomish River"/>
    <s v="Snohomish"/>
    <x v="4"/>
    <s v="Snohomish"/>
    <s v="03Snohomish"/>
    <s v="01North Puget Sound"/>
    <n v="159.058823529412"/>
    <n v="1375.8588235294137"/>
  </r>
  <r>
    <n v="2993"/>
    <x v="8"/>
    <x v="2"/>
    <x v="8"/>
    <s v="Freshwater"/>
    <s v="2Freshwater"/>
    <s v="Salmon"/>
    <n v="844"/>
    <s v="Skykomish River"/>
    <s v="Skykomish River"/>
    <s v="Snohomish"/>
    <x v="4"/>
    <s v="Island"/>
    <s v="04Island"/>
    <s v="01North Puget Sound"/>
    <n v="39.692307692307701"/>
    <n v="343.33846153846162"/>
  </r>
  <r>
    <n v="2994"/>
    <x v="8"/>
    <x v="2"/>
    <x v="8"/>
    <s v="Freshwater"/>
    <s v="2Freshwater"/>
    <s v="Salmon"/>
    <n v="844"/>
    <s v="Skykomish River"/>
    <s v="Skykomish River"/>
    <s v="Snohomish"/>
    <x v="4"/>
    <s v="King"/>
    <s v="06King"/>
    <s v="02South Puget Sound"/>
    <n v="19.846153846153801"/>
    <n v="171.66923076923038"/>
  </r>
  <r>
    <n v="2995"/>
    <x v="8"/>
    <x v="2"/>
    <x v="8"/>
    <s v="Freshwater"/>
    <s v="2Freshwater"/>
    <s v="Salmon"/>
    <n v="844"/>
    <s v="Skykomish River"/>
    <s v="Skykomish River"/>
    <s v="Snohomish"/>
    <x v="4"/>
    <s v="Pierce"/>
    <s v="07Pierce"/>
    <s v="02South Puget Sound"/>
    <n v="69.461538461538495"/>
    <n v="600.84230769230805"/>
  </r>
  <r>
    <n v="2996"/>
    <x v="8"/>
    <x v="3"/>
    <x v="8"/>
    <s v="Freshwater"/>
    <s v="2Freshwater"/>
    <s v="Salmon"/>
    <n v="844"/>
    <s v="Skykomish River"/>
    <s v="Skykomish River"/>
    <s v="Snohomish"/>
    <x v="4"/>
    <s v="Pierce"/>
    <s v="07Pierce"/>
    <s v="02South Puget Sound"/>
    <n v="10"/>
    <n v="86.5"/>
  </r>
  <r>
    <n v="2997"/>
    <x v="8"/>
    <x v="3"/>
    <x v="8"/>
    <s v="Freshwater"/>
    <s v="2Freshwater"/>
    <s v="Salmon"/>
    <n v="844"/>
    <s v="Skykomish River"/>
    <s v="Skykomish River"/>
    <s v="Snohomish"/>
    <x v="4"/>
    <s v="Snohomish"/>
    <s v="03Snohomish"/>
    <s v="01North Puget Sound"/>
    <n v="10"/>
    <n v="86.5"/>
  </r>
  <r>
    <n v="2998"/>
    <x v="8"/>
    <x v="1"/>
    <x v="8"/>
    <s v="Freshwater"/>
    <s v="2Freshwater"/>
    <s v="Salmon"/>
    <n v="850"/>
    <s v="Snohomish River"/>
    <s v="Snohomish River"/>
    <s v="Snohomish"/>
    <x v="4"/>
    <s v="Island"/>
    <s v="04Island"/>
    <s v="01North Puget Sound"/>
    <n v="19.884615384615401"/>
    <n v="172.00192307692322"/>
  </r>
  <r>
    <n v="2999"/>
    <x v="8"/>
    <x v="1"/>
    <x v="8"/>
    <s v="Freshwater"/>
    <s v="2Freshwater"/>
    <s v="Salmon"/>
    <n v="850"/>
    <s v="Snohomish River"/>
    <s v="Snohomish River"/>
    <s v="Snohomish"/>
    <x v="4"/>
    <s v="King"/>
    <s v="06King"/>
    <s v="02South Puget Sound"/>
    <n v="49.711538461538503"/>
    <n v="430.00480769230808"/>
  </r>
  <r>
    <n v="3000"/>
    <x v="8"/>
    <x v="1"/>
    <x v="8"/>
    <s v="Freshwater"/>
    <s v="2Freshwater"/>
    <s v="Salmon"/>
    <n v="850"/>
    <s v="Snohomish River"/>
    <s v="Snohomish River"/>
    <s v="Snohomish"/>
    <x v="4"/>
    <s v="Other"/>
    <s v="20Other"/>
    <s v="07Non Puget Sound"/>
    <n v="29.826923076923102"/>
    <n v="258.00288461538486"/>
  </r>
  <r>
    <n v="3001"/>
    <x v="8"/>
    <x v="1"/>
    <x v="8"/>
    <s v="Freshwater"/>
    <s v="2Freshwater"/>
    <s v="Salmon"/>
    <n v="850"/>
    <s v="Snohomish River"/>
    <s v="Snohomish River"/>
    <s v="Snohomish"/>
    <x v="4"/>
    <s v="Pierce"/>
    <s v="07Pierce"/>
    <s v="02South Puget Sound"/>
    <n v="9.9423076923077005"/>
    <n v="86.00096153846161"/>
  </r>
  <r>
    <n v="3002"/>
    <x v="8"/>
    <x v="1"/>
    <x v="8"/>
    <s v="Freshwater"/>
    <s v="2Freshwater"/>
    <s v="Salmon"/>
    <n v="850"/>
    <s v="Snohomish River"/>
    <s v="Snohomish River"/>
    <s v="Snohomish"/>
    <x v="4"/>
    <s v="Snohomish"/>
    <s v="03Snohomish"/>
    <s v="01North Puget Sound"/>
    <n v="407.63461538461502"/>
    <n v="3526.0394230769202"/>
  </r>
  <r>
    <n v="3003"/>
    <x v="8"/>
    <x v="1"/>
    <x v="8"/>
    <s v="Freshwater"/>
    <s v="2Freshwater"/>
    <s v="Salmon"/>
    <n v="852"/>
    <s v="Snoqualmie River"/>
    <s v="Snoqualmie River"/>
    <s v="Snohomish/King"/>
    <x v="4"/>
    <s v="King"/>
    <s v="06King"/>
    <s v="02South Puget Sound"/>
    <n v="10"/>
    <n v="86.5"/>
  </r>
  <r>
    <n v="3004"/>
    <x v="8"/>
    <x v="3"/>
    <x v="8"/>
    <s v="Freshwater"/>
    <s v="2Freshwater"/>
    <s v="Salmon"/>
    <n v="852"/>
    <s v="Snoqualmie River"/>
    <s v="Snoqualmie River"/>
    <s v="Snohomish/King"/>
    <x v="4"/>
    <s v="Whatcom"/>
    <s v="01Whatcom"/>
    <s v="01North Puget Sound"/>
    <n v="0"/>
    <n v="0"/>
  </r>
  <r>
    <n v="3005"/>
    <x v="8"/>
    <x v="1"/>
    <x v="8"/>
    <s v="Freshwater"/>
    <s v="2Freshwater"/>
    <s v="Salmon"/>
    <n v="860"/>
    <s v="Wallace River"/>
    <s v="Wallace River"/>
    <s v="Snohomish"/>
    <x v="4"/>
    <s v="King"/>
    <s v="06King"/>
    <s v="02South Puget Sound"/>
    <n v="21.3333333333333"/>
    <n v="184.53333333333305"/>
  </r>
  <r>
    <n v="3006"/>
    <x v="8"/>
    <x v="1"/>
    <x v="8"/>
    <s v="Freshwater"/>
    <s v="2Freshwater"/>
    <s v="Salmon"/>
    <n v="860"/>
    <s v="Wallace River"/>
    <s v="Wallace River"/>
    <s v="Snohomish"/>
    <x v="4"/>
    <s v="Snohomish"/>
    <s v="03Snohomish"/>
    <s v="01North Puget Sound"/>
    <n v="10.6666666666667"/>
    <n v="92.266666666666964"/>
  </r>
  <r>
    <n v="3007"/>
    <x v="8"/>
    <x v="2"/>
    <x v="8"/>
    <s v="Freshwater"/>
    <s v="2Freshwater"/>
    <s v="Salmon"/>
    <n v="860"/>
    <s v="Wallace River"/>
    <s v="Wallace River"/>
    <s v="Snohomish"/>
    <x v="4"/>
    <s v="Snohomish"/>
    <s v="03Snohomish"/>
    <s v="01North Puget Sound"/>
    <n v="107"/>
    <n v="925.55000000000007"/>
  </r>
  <r>
    <n v="3008"/>
    <x v="8"/>
    <x v="2"/>
    <x v="8"/>
    <s v="Freshwater"/>
    <s v="2Freshwater"/>
    <s v="Salmon"/>
    <n v="884"/>
    <s v="Whatcom Creek"/>
    <s v="Whatcom Creek"/>
    <s v="Whatcom"/>
    <x v="1"/>
    <s v="Whatcom"/>
    <s v="01Whatcom"/>
    <s v="01North Puget Sound"/>
    <n v="58"/>
    <n v="501.70000000000005"/>
  </r>
  <r>
    <n v="3009"/>
    <x v="8"/>
    <x v="3"/>
    <x v="8"/>
    <s v="Freshwater"/>
    <s v="2Freshwater"/>
    <s v="Salmon"/>
    <n v="884"/>
    <s v="Whatcom Creek"/>
    <s v="Whatcom Creek"/>
    <s v="Whatcom"/>
    <x v="1"/>
    <s v="Snohomish"/>
    <s v="03Snohomish"/>
    <s v="01North Puget Sound"/>
    <n v="38.75"/>
    <n v="335.1875"/>
  </r>
  <r>
    <n v="3010"/>
    <x v="8"/>
    <x v="3"/>
    <x v="8"/>
    <s v="Freshwater"/>
    <s v="2Freshwater"/>
    <s v="Salmon"/>
    <n v="884"/>
    <s v="Whatcom Creek"/>
    <s v="Whatcom Creek"/>
    <s v="Whatcom"/>
    <x v="1"/>
    <s v="Whatcom"/>
    <s v="01Whatcom"/>
    <s v="01North Puget Sound"/>
    <n v="116.25"/>
    <n v="1005.5625"/>
  </r>
  <r>
    <n v="3011"/>
    <x v="9"/>
    <x v="2"/>
    <x v="9"/>
    <s v="Freshwater"/>
    <s v="2Freshwater"/>
    <s v="Salmon"/>
    <n v="706"/>
    <s v="Black River (Thurston Co)"/>
    <s v="Black River (Thurston Co)"/>
    <s v="Thurston"/>
    <x v="0"/>
    <s v="King"/>
    <s v="06King"/>
    <s v="02South Puget Sound"/>
    <n v="22"/>
    <n v="75.679999999999993"/>
  </r>
  <r>
    <n v="3012"/>
    <x v="9"/>
    <x v="1"/>
    <x v="9"/>
    <s v="Freshwater"/>
    <s v="2Freshwater"/>
    <s v="Salmon"/>
    <n v="710"/>
    <s v="California Creek"/>
    <s v="California Creek"/>
    <s v="Whatcom"/>
    <x v="1"/>
    <s v="Whatcom"/>
    <s v="01Whatcom"/>
    <s v="01North Puget Sound"/>
    <n v="11"/>
    <n v="37.839999999999996"/>
  </r>
  <r>
    <n v="3013"/>
    <x v="9"/>
    <x v="0"/>
    <x v="9"/>
    <s v="Freshwater"/>
    <s v="2Freshwater"/>
    <s v="Salmon"/>
    <n v="714"/>
    <s v="Chambers Creek"/>
    <s v="Chambers Creek"/>
    <s v="Pierce"/>
    <x v="0"/>
    <s v="Pierce"/>
    <s v="07Pierce"/>
    <s v="02South Puget Sound"/>
    <n v="11"/>
    <n v="37.839999999999996"/>
  </r>
  <r>
    <n v="3014"/>
    <x v="9"/>
    <x v="2"/>
    <x v="9"/>
    <s v="Freshwater"/>
    <s v="2Freshwater"/>
    <s v="Salmon"/>
    <n v="724"/>
    <s v="Dakota Creek (Whatcom Co)"/>
    <s v="Dakota Creek (Whatcom Co)"/>
    <s v="Whatcom"/>
    <x v="1"/>
    <s v="Snohomish"/>
    <s v="03Snohomish"/>
    <s v="01North Puget Sound"/>
    <n v="51.6666666666667"/>
    <n v="177.73333333333343"/>
  </r>
  <r>
    <n v="3015"/>
    <x v="9"/>
    <x v="2"/>
    <x v="9"/>
    <s v="Freshwater"/>
    <s v="2Freshwater"/>
    <s v="Salmon"/>
    <n v="724"/>
    <s v="Dakota Creek (Whatcom Co)"/>
    <s v="Dakota Creek (Whatcom Co)"/>
    <s v="Whatcom"/>
    <x v="1"/>
    <s v="Whatcom"/>
    <s v="01Whatcom"/>
    <s v="01North Puget Sound"/>
    <n v="72.3333333333334"/>
    <n v="248.82666666666688"/>
  </r>
  <r>
    <n v="3016"/>
    <x v="9"/>
    <x v="2"/>
    <x v="9"/>
    <s v="Freshwater"/>
    <s v="2Freshwater"/>
    <s v="Salmon"/>
    <n v="736"/>
    <s v="Duckabush River"/>
    <s v="Duckabush River"/>
    <s v="Jefferson"/>
    <x v="2"/>
    <s v="King"/>
    <s v="06King"/>
    <s v="02South Puget Sound"/>
    <n v="11"/>
    <n v="37.839999999999996"/>
  </r>
  <r>
    <n v="3017"/>
    <x v="9"/>
    <x v="2"/>
    <x v="9"/>
    <s v="Freshwater"/>
    <s v="2Freshwater"/>
    <s v="Salmon"/>
    <n v="738"/>
    <s v="Dungeness River"/>
    <s v="Dungeness River"/>
    <s v="Clallam"/>
    <x v="3"/>
    <s v="Clallam"/>
    <s v="11Clallam"/>
    <s v="03Strait of Juan de Fuca"/>
    <n v="403.71428571428601"/>
    <n v="1388.7771428571439"/>
  </r>
  <r>
    <n v="3018"/>
    <x v="9"/>
    <x v="2"/>
    <x v="9"/>
    <s v="Freshwater"/>
    <s v="2Freshwater"/>
    <s v="Salmon"/>
    <n v="738"/>
    <s v="Dungeness River"/>
    <s v="Dungeness River"/>
    <s v="Clallam"/>
    <x v="3"/>
    <s v="Jefferson"/>
    <s v="12Jefferson"/>
    <s v="03Strait of Juan de Fuca"/>
    <n v="22.428571428571399"/>
    <n v="77.154285714285606"/>
  </r>
  <r>
    <n v="3019"/>
    <x v="9"/>
    <x v="2"/>
    <x v="9"/>
    <s v="Freshwater"/>
    <s v="2Freshwater"/>
    <s v="Salmon"/>
    <n v="738"/>
    <s v="Dungeness River"/>
    <s v="Dungeness River"/>
    <s v="Clallam"/>
    <x v="3"/>
    <s v="Mason"/>
    <s v="09Mason"/>
    <s v="02South Puget Sound"/>
    <n v="11.214285714285699"/>
    <n v="38.577142857142803"/>
  </r>
  <r>
    <n v="3020"/>
    <x v="9"/>
    <x v="2"/>
    <x v="9"/>
    <s v="Freshwater"/>
    <s v="2Freshwater"/>
    <s v="Salmon"/>
    <n v="738"/>
    <s v="Dungeness River"/>
    <s v="Dungeness River"/>
    <s v="Clallam"/>
    <x v="3"/>
    <s v="Pierce"/>
    <s v="07Pierce"/>
    <s v="02South Puget Sound"/>
    <n v="33.642857142857103"/>
    <n v="115.73142857142844"/>
  </r>
  <r>
    <n v="3021"/>
    <x v="9"/>
    <x v="3"/>
    <x v="9"/>
    <s v="Freshwater"/>
    <s v="2Freshwater"/>
    <s v="Salmon"/>
    <n v="738"/>
    <s v="Dungeness River"/>
    <s v="Dungeness River"/>
    <s v="Clallam"/>
    <x v="3"/>
    <s v="Clallam"/>
    <s v="11Clallam"/>
    <s v="03Strait of Juan de Fuca"/>
    <n v="134.4"/>
    <n v="462.33600000000001"/>
  </r>
  <r>
    <n v="3022"/>
    <x v="9"/>
    <x v="3"/>
    <x v="9"/>
    <s v="Freshwater"/>
    <s v="2Freshwater"/>
    <s v="Salmon"/>
    <n v="738"/>
    <s v="Dungeness River"/>
    <s v="Dungeness River"/>
    <s v="Clallam"/>
    <x v="3"/>
    <s v="Jefferson"/>
    <s v="12Jefferson"/>
    <s v="03Strait of Juan de Fuca"/>
    <n v="22.4"/>
    <n v="77.055999999999997"/>
  </r>
  <r>
    <n v="3023"/>
    <x v="9"/>
    <x v="3"/>
    <x v="9"/>
    <s v="Freshwater"/>
    <s v="2Freshwater"/>
    <s v="Salmon"/>
    <n v="738"/>
    <s v="Dungeness River"/>
    <s v="Dungeness River"/>
    <s v="Clallam"/>
    <x v="3"/>
    <s v="Pierce"/>
    <s v="07Pierce"/>
    <s v="02South Puget Sound"/>
    <n v="11.2"/>
    <n v="38.527999999999999"/>
  </r>
  <r>
    <n v="3024"/>
    <x v="9"/>
    <x v="5"/>
    <x v="9"/>
    <s v="Freshwater"/>
    <s v="2Freshwater"/>
    <s v="Salmon"/>
    <n v="746"/>
    <s v="Green - Duwamish River"/>
    <s v="Green - Duwamish River"/>
    <s v="King"/>
    <x v="0"/>
    <s v="King"/>
    <s v="06King"/>
    <s v="02South Puget Sound"/>
    <n v="22"/>
    <n v="75.679999999999993"/>
  </r>
  <r>
    <n v="3025"/>
    <x v="9"/>
    <x v="0"/>
    <x v="9"/>
    <s v="Freshwater"/>
    <s v="2Freshwater"/>
    <s v="Salmon"/>
    <n v="746"/>
    <s v="Green - Duwamish River"/>
    <s v="Green - Duwamish River"/>
    <s v="King"/>
    <x v="0"/>
    <s v="King"/>
    <s v="06King"/>
    <s v="02South Puget Sound"/>
    <n v="4684.3679060665399"/>
    <n v="16114.225596868897"/>
  </r>
  <r>
    <n v="3026"/>
    <x v="9"/>
    <x v="0"/>
    <x v="9"/>
    <s v="Freshwater"/>
    <s v="2Freshwater"/>
    <s v="Salmon"/>
    <n v="746"/>
    <s v="Green - Duwamish River"/>
    <s v="Green - Duwamish River"/>
    <s v="King"/>
    <x v="0"/>
    <s v="Kitsap"/>
    <s v="10Kitsap"/>
    <s v="02South Puget Sound"/>
    <n v="21.686888454011701"/>
    <n v="74.602896281800255"/>
  </r>
  <r>
    <n v="3027"/>
    <x v="9"/>
    <x v="0"/>
    <x v="9"/>
    <s v="Freshwater"/>
    <s v="2Freshwater"/>
    <s v="Salmon"/>
    <n v="746"/>
    <s v="Green - Duwamish River"/>
    <s v="Green - Duwamish River"/>
    <s v="King"/>
    <x v="0"/>
    <s v="Other"/>
    <s v="20Other"/>
    <s v="07Non Puget Sound"/>
    <n v="336.14677103718202"/>
    <n v="1156.3448923679061"/>
  </r>
  <r>
    <n v="3028"/>
    <x v="9"/>
    <x v="0"/>
    <x v="9"/>
    <s v="Freshwater"/>
    <s v="2Freshwater"/>
    <s v="Salmon"/>
    <n v="746"/>
    <s v="Green - Duwamish River"/>
    <s v="Green - Duwamish River"/>
    <s v="King"/>
    <x v="0"/>
    <s v="Pierce"/>
    <s v="07Pierce"/>
    <s v="02South Puget Sound"/>
    <n v="281.92954990215298"/>
    <n v="969.83765166340629"/>
  </r>
  <r>
    <n v="3029"/>
    <x v="9"/>
    <x v="0"/>
    <x v="9"/>
    <s v="Freshwater"/>
    <s v="2Freshwater"/>
    <s v="Salmon"/>
    <n v="746"/>
    <s v="Green - Duwamish River"/>
    <s v="Green - Duwamish River"/>
    <s v="King"/>
    <x v="0"/>
    <s v="Snohomish"/>
    <s v="03Snohomish"/>
    <s v="01North Puget Sound"/>
    <n v="206.025440313112"/>
    <n v="708.72751467710532"/>
  </r>
  <r>
    <n v="3030"/>
    <x v="9"/>
    <x v="0"/>
    <x v="9"/>
    <s v="Freshwater"/>
    <s v="2Freshwater"/>
    <s v="Salmon"/>
    <n v="746"/>
    <s v="Green - Duwamish River"/>
    <s v="Green - Duwamish River"/>
    <s v="King"/>
    <x v="0"/>
    <s v="Thurston"/>
    <s v="08Thurston"/>
    <s v="02South Puget Sound"/>
    <n v="10.8434442270059"/>
    <n v="37.301448140900298"/>
  </r>
  <r>
    <n v="3031"/>
    <x v="9"/>
    <x v="1"/>
    <x v="9"/>
    <s v="Freshwater"/>
    <s v="2Freshwater"/>
    <s v="Salmon"/>
    <n v="746"/>
    <s v="Green - Duwamish River"/>
    <s v="Green - Duwamish River"/>
    <s v="King"/>
    <x v="0"/>
    <s v="Island"/>
    <s v="04Island"/>
    <s v="01North Puget Sound"/>
    <n v="21.710526315789501"/>
    <n v="74.68421052631588"/>
  </r>
  <r>
    <n v="3032"/>
    <x v="9"/>
    <x v="1"/>
    <x v="9"/>
    <s v="Freshwater"/>
    <s v="2Freshwater"/>
    <s v="Salmon"/>
    <n v="746"/>
    <s v="Green - Duwamish River"/>
    <s v="Green - Duwamish River"/>
    <s v="King"/>
    <x v="0"/>
    <s v="Jefferson"/>
    <s v="12Jefferson"/>
    <s v="03Strait of Juan de Fuca"/>
    <n v="119.407894736842"/>
    <n v="410.76315789473648"/>
  </r>
  <r>
    <n v="3033"/>
    <x v="9"/>
    <x v="1"/>
    <x v="9"/>
    <s v="Freshwater"/>
    <s v="2Freshwater"/>
    <s v="Salmon"/>
    <n v="746"/>
    <s v="Green - Duwamish River"/>
    <s v="Green - Duwamish River"/>
    <s v="King"/>
    <x v="0"/>
    <s v="King"/>
    <s v="06King"/>
    <s v="02South Puget Sound"/>
    <n v="3842.7631578947398"/>
    <n v="13219.105263157904"/>
  </r>
  <r>
    <n v="3034"/>
    <x v="9"/>
    <x v="1"/>
    <x v="9"/>
    <s v="Freshwater"/>
    <s v="2Freshwater"/>
    <s v="Salmon"/>
    <n v="746"/>
    <s v="Green - Duwamish River"/>
    <s v="Green - Duwamish River"/>
    <s v="King"/>
    <x v="0"/>
    <s v="Kitsap"/>
    <s v="10Kitsap"/>
    <s v="02South Puget Sound"/>
    <n v="43.421052631579002"/>
    <n v="149.36842105263176"/>
  </r>
  <r>
    <n v="3035"/>
    <x v="9"/>
    <x v="1"/>
    <x v="9"/>
    <s v="Freshwater"/>
    <s v="2Freshwater"/>
    <s v="Salmon"/>
    <n v="746"/>
    <s v="Green - Duwamish River"/>
    <s v="Green - Duwamish River"/>
    <s v="King"/>
    <x v="0"/>
    <s v="Other"/>
    <s v="20Other"/>
    <s v="07Non Puget Sound"/>
    <n v="325.65789473684202"/>
    <n v="1120.2631578947367"/>
  </r>
  <r>
    <n v="3036"/>
    <x v="9"/>
    <x v="1"/>
    <x v="9"/>
    <s v="Freshwater"/>
    <s v="2Freshwater"/>
    <s v="Salmon"/>
    <n v="746"/>
    <s v="Green - Duwamish River"/>
    <s v="Green - Duwamish River"/>
    <s v="King"/>
    <x v="0"/>
    <s v="Pierce"/>
    <s v="07Pierce"/>
    <s v="02South Puget Sound"/>
    <n v="1204.9342105263199"/>
    <n v="4144.9736842105403"/>
  </r>
  <r>
    <n v="3037"/>
    <x v="9"/>
    <x v="1"/>
    <x v="9"/>
    <s v="Freshwater"/>
    <s v="2Freshwater"/>
    <s v="Salmon"/>
    <n v="746"/>
    <s v="Green - Duwamish River"/>
    <s v="Green - Duwamish River"/>
    <s v="King"/>
    <x v="0"/>
    <s v="Snohomish"/>
    <s v="03Snohomish"/>
    <s v="01North Puget Sound"/>
    <n v="206.25"/>
    <n v="709.5"/>
  </r>
  <r>
    <n v="3038"/>
    <x v="9"/>
    <x v="1"/>
    <x v="9"/>
    <s v="Freshwater"/>
    <s v="2Freshwater"/>
    <s v="Salmon"/>
    <n v="746"/>
    <s v="Green - Duwamish River"/>
    <s v="Green - Duwamish River"/>
    <s v="King"/>
    <x v="0"/>
    <s v="Thurston"/>
    <s v="08Thurston"/>
    <s v="02South Puget Sound"/>
    <n v="10.855263157894701"/>
    <n v="37.342105263157769"/>
  </r>
  <r>
    <n v="3039"/>
    <x v="9"/>
    <x v="2"/>
    <x v="9"/>
    <s v="Freshwater"/>
    <s v="2Freshwater"/>
    <s v="Salmon"/>
    <n v="746"/>
    <s v="Green - Duwamish River"/>
    <s v="Green - Duwamish River"/>
    <s v="King"/>
    <x v="0"/>
    <s v="Island"/>
    <s v="04Island"/>
    <s v="01North Puget Sound"/>
    <n v="119.567328918322"/>
    <n v="411.3116114790277"/>
  </r>
  <r>
    <n v="3040"/>
    <x v="9"/>
    <x v="2"/>
    <x v="9"/>
    <s v="Freshwater"/>
    <s v="2Freshwater"/>
    <s v="Salmon"/>
    <n v="746"/>
    <s v="Green - Duwamish River"/>
    <s v="Green - Duwamish River"/>
    <s v="King"/>
    <x v="0"/>
    <s v="King"/>
    <s v="06King"/>
    <s v="02South Puget Sound"/>
    <n v="3782.6754966887402"/>
    <n v="13012.403708609267"/>
  </r>
  <r>
    <n v="3041"/>
    <x v="9"/>
    <x v="2"/>
    <x v="9"/>
    <s v="Freshwater"/>
    <s v="2Freshwater"/>
    <s v="Salmon"/>
    <n v="746"/>
    <s v="Green - Duwamish River"/>
    <s v="Green - Duwamish River"/>
    <s v="King"/>
    <x v="0"/>
    <s v="Other"/>
    <s v="20Other"/>
    <s v="07Non Puget Sound"/>
    <n v="10.8697571743929"/>
    <n v="37.391964679911574"/>
  </r>
  <r>
    <n v="3042"/>
    <x v="9"/>
    <x v="2"/>
    <x v="9"/>
    <s v="Freshwater"/>
    <s v="2Freshwater"/>
    <s v="Salmon"/>
    <n v="746"/>
    <s v="Green - Duwamish River"/>
    <s v="Green - Duwamish River"/>
    <s v="King"/>
    <x v="0"/>
    <s v="Pierce"/>
    <s v="07Pierce"/>
    <s v="02South Puget Sound"/>
    <n v="858.71081677704206"/>
    <n v="2953.9652097130247"/>
  </r>
  <r>
    <n v="3043"/>
    <x v="9"/>
    <x v="2"/>
    <x v="9"/>
    <s v="Freshwater"/>
    <s v="2Freshwater"/>
    <s v="Salmon"/>
    <n v="746"/>
    <s v="Green - Duwamish River"/>
    <s v="Green - Duwamish River"/>
    <s v="King"/>
    <x v="0"/>
    <s v="Snohomish"/>
    <s v="03Snohomish"/>
    <s v="01North Puget Sound"/>
    <n v="97.8278145695365"/>
    <n v="336.52768211920556"/>
  </r>
  <r>
    <n v="3044"/>
    <x v="9"/>
    <x v="2"/>
    <x v="9"/>
    <s v="Freshwater"/>
    <s v="2Freshwater"/>
    <s v="Salmon"/>
    <n v="746"/>
    <s v="Green - Duwamish River"/>
    <s v="Green - Duwamish River"/>
    <s v="King"/>
    <x v="0"/>
    <s v="Thurston"/>
    <s v="08Thurston"/>
    <s v="02South Puget Sound"/>
    <n v="54.348785871964701"/>
    <n v="186.95982339955856"/>
  </r>
  <r>
    <n v="3045"/>
    <x v="9"/>
    <x v="3"/>
    <x v="9"/>
    <s v="Freshwater"/>
    <s v="2Freshwater"/>
    <s v="Salmon"/>
    <n v="746"/>
    <s v="Green - Duwamish River"/>
    <s v="Green - Duwamish River"/>
    <s v="King"/>
    <x v="0"/>
    <s v="Island"/>
    <s v="04Island"/>
    <s v="01North Puget Sound"/>
    <n v="32.651162790697697"/>
    <n v="112.32000000000008"/>
  </r>
  <r>
    <n v="3046"/>
    <x v="9"/>
    <x v="3"/>
    <x v="9"/>
    <s v="Freshwater"/>
    <s v="2Freshwater"/>
    <s v="Salmon"/>
    <n v="746"/>
    <s v="Green - Duwamish River"/>
    <s v="Green - Duwamish River"/>
    <s v="King"/>
    <x v="0"/>
    <s v="King"/>
    <s v="06King"/>
    <s v="02South Puget Sound"/>
    <n v="348.27906976744202"/>
    <n v="1198.0800000000006"/>
  </r>
  <r>
    <n v="3047"/>
    <x v="9"/>
    <x v="3"/>
    <x v="9"/>
    <s v="Freshwater"/>
    <s v="2Freshwater"/>
    <s v="Salmon"/>
    <n v="746"/>
    <s v="Green - Duwamish River"/>
    <s v="Green - Duwamish River"/>
    <s v="King"/>
    <x v="0"/>
    <s v="Pierce"/>
    <s v="07Pierce"/>
    <s v="02South Puget Sound"/>
    <n v="65.302325581395394"/>
    <n v="224.64000000000016"/>
  </r>
  <r>
    <n v="3048"/>
    <x v="9"/>
    <x v="3"/>
    <x v="9"/>
    <s v="Freshwater"/>
    <s v="2Freshwater"/>
    <s v="Salmon"/>
    <n v="746"/>
    <s v="Green - Duwamish River"/>
    <s v="Green - Duwamish River"/>
    <s v="King"/>
    <x v="0"/>
    <s v="Snohomish"/>
    <s v="03Snohomish"/>
    <s v="01North Puget Sound"/>
    <n v="21.767441860465102"/>
    <n v="74.879999999999953"/>
  </r>
  <r>
    <n v="3049"/>
    <x v="9"/>
    <x v="4"/>
    <x v="9"/>
    <s v="Freshwater"/>
    <s v="2Freshwater"/>
    <s v="Salmon"/>
    <n v="746"/>
    <s v="Green - Duwamish River"/>
    <s v="Green - Duwamish River"/>
    <s v="King"/>
    <x v="0"/>
    <s v="King"/>
    <s v="06King"/>
    <s v="02South Puget Sound"/>
    <n v="65.3333333333333"/>
    <n v="224.74666666666656"/>
  </r>
  <r>
    <n v="3050"/>
    <x v="9"/>
    <x v="4"/>
    <x v="9"/>
    <s v="Freshwater"/>
    <s v="2Freshwater"/>
    <s v="Salmon"/>
    <n v="746"/>
    <s v="Green - Duwamish River"/>
    <s v="Green - Duwamish River"/>
    <s v="King"/>
    <x v="0"/>
    <s v="Pierce"/>
    <s v="07Pierce"/>
    <s v="02South Puget Sound"/>
    <n v="10.8888888888889"/>
    <n v="37.457777777777814"/>
  </r>
  <r>
    <n v="3051"/>
    <x v="9"/>
    <x v="4"/>
    <x v="9"/>
    <s v="Freshwater"/>
    <s v="2Freshwater"/>
    <s v="Salmon"/>
    <n v="746"/>
    <s v="Green - Duwamish River"/>
    <s v="Green - Duwamish River"/>
    <s v="King"/>
    <x v="0"/>
    <s v="Snohomish"/>
    <s v="03Snohomish"/>
    <s v="01North Puget Sound"/>
    <n v="21.7777777777778"/>
    <n v="74.915555555555628"/>
  </r>
  <r>
    <n v="3052"/>
    <x v="9"/>
    <x v="2"/>
    <x v="9"/>
    <s v="Freshwater"/>
    <s v="2Freshwater"/>
    <s v="Salmon"/>
    <n v="754"/>
    <s v="Kennedy Creek"/>
    <s v="Kennedy Creek"/>
    <s v="Mason/Thurston"/>
    <x v="0"/>
    <s v="Pierce"/>
    <s v="07Pierce"/>
    <s v="02South Puget Sound"/>
    <n v="11"/>
    <n v="37.839999999999996"/>
  </r>
  <r>
    <n v="3053"/>
    <x v="9"/>
    <x v="3"/>
    <x v="9"/>
    <s v="Freshwater"/>
    <s v="2Freshwater"/>
    <s v="Salmon"/>
    <n v="754"/>
    <s v="Kennedy Creek"/>
    <s v="Kennedy Creek"/>
    <s v="Mason/Thurston"/>
    <x v="0"/>
    <s v="Pierce"/>
    <s v="07Pierce"/>
    <s v="02South Puget Sound"/>
    <n v="11"/>
    <n v="37.839999999999996"/>
  </r>
  <r>
    <n v="3054"/>
    <x v="9"/>
    <x v="3"/>
    <x v="9"/>
    <s v="Freshwater"/>
    <s v="2Freshwater"/>
    <s v="Salmon"/>
    <n v="754"/>
    <s v="Kennedy Creek"/>
    <s v="Kennedy Creek"/>
    <s v="Mason/Thurston"/>
    <x v="0"/>
    <s v="Thurston"/>
    <s v="08Thurston"/>
    <s v="02South Puget Sound"/>
    <n v="11"/>
    <n v="37.839999999999996"/>
  </r>
  <r>
    <n v="3055"/>
    <x v="9"/>
    <x v="1"/>
    <x v="9"/>
    <s v="Freshwater"/>
    <s v="2Freshwater"/>
    <s v="Salmon"/>
    <n v="762"/>
    <s v="Lake Washington"/>
    <s v="Lake Washington"/>
    <s v="King"/>
    <x v="0"/>
    <s v="King"/>
    <s v="06King"/>
    <s v="02South Puget Sound"/>
    <n v="451"/>
    <n v="1551.44"/>
  </r>
  <r>
    <n v="3056"/>
    <x v="9"/>
    <x v="1"/>
    <x v="9"/>
    <s v="Freshwater"/>
    <s v="2Freshwater"/>
    <s v="Salmon"/>
    <n v="762"/>
    <s v="Lake Washington"/>
    <s v="Lake Washington"/>
    <s v="King"/>
    <x v="0"/>
    <s v="Snohomish"/>
    <s v="03Snohomish"/>
    <s v="01North Puget Sound"/>
    <n v="99"/>
    <n v="340.56"/>
  </r>
  <r>
    <n v="3057"/>
    <x v="9"/>
    <x v="0"/>
    <x v="9"/>
    <s v="Freshwater"/>
    <s v="2Freshwater"/>
    <s v="Salmon"/>
    <n v="764"/>
    <s v="Lake Sammamish"/>
    <s v="Lake Sammamish"/>
    <s v="King"/>
    <x v="0"/>
    <s v="Pierce"/>
    <s v="07Pierce"/>
    <s v="02South Puget Sound"/>
    <n v="44"/>
    <n v="151.35999999999999"/>
  </r>
  <r>
    <n v="3058"/>
    <x v="9"/>
    <x v="1"/>
    <x v="9"/>
    <s v="Freshwater"/>
    <s v="2Freshwater"/>
    <s v="Salmon"/>
    <n v="764"/>
    <s v="Lake Sammamish"/>
    <s v="Lake Sammamish"/>
    <s v="King"/>
    <x v="0"/>
    <s v="King"/>
    <s v="06King"/>
    <s v="02South Puget Sound"/>
    <n v="11"/>
    <n v="37.839999999999996"/>
  </r>
  <r>
    <n v="3059"/>
    <x v="9"/>
    <x v="3"/>
    <x v="9"/>
    <s v="Freshwater"/>
    <s v="2Freshwater"/>
    <s v="Salmon"/>
    <n v="764"/>
    <s v="Lake Sammamish"/>
    <s v="Lake Sammamish"/>
    <s v="King"/>
    <x v="0"/>
    <s v="Pierce"/>
    <s v="07Pierce"/>
    <s v="02South Puget Sound"/>
    <n v="22"/>
    <n v="75.679999999999993"/>
  </r>
  <r>
    <n v="3060"/>
    <x v="9"/>
    <x v="0"/>
    <x v="9"/>
    <s v="Freshwater"/>
    <s v="2Freshwater"/>
    <s v="Salmon"/>
    <n v="768"/>
    <s v="Lyre River"/>
    <s v="Lyre River"/>
    <s v="Clallam"/>
    <x v="3"/>
    <s v="Snohomish"/>
    <s v="03Snohomish"/>
    <s v="01North Puget Sound"/>
    <n v="0"/>
    <n v="0"/>
  </r>
  <r>
    <n v="3061"/>
    <x v="9"/>
    <x v="0"/>
    <x v="9"/>
    <s v="Freshwater"/>
    <s v="2Freshwater"/>
    <s v="Salmon"/>
    <n v="768"/>
    <s v="Lyre River"/>
    <s v="Lyre River"/>
    <s v="Clallam"/>
    <x v="3"/>
    <s v="Thurston"/>
    <s v="08Thurston"/>
    <s v="02South Puget Sound"/>
    <n v="0"/>
    <n v="0"/>
  </r>
  <r>
    <n v="3062"/>
    <x v="9"/>
    <x v="1"/>
    <x v="9"/>
    <s v="Freshwater"/>
    <s v="2Freshwater"/>
    <s v="Salmon"/>
    <n v="768"/>
    <s v="Lyre River"/>
    <s v="Lyre River"/>
    <s v="Clallam"/>
    <x v="3"/>
    <s v="Pierce"/>
    <s v="07Pierce"/>
    <s v="02South Puget Sound"/>
    <n v="0"/>
    <n v="0"/>
  </r>
  <r>
    <n v="3063"/>
    <x v="9"/>
    <x v="1"/>
    <x v="9"/>
    <s v="Freshwater"/>
    <s v="2Freshwater"/>
    <s v="Salmon"/>
    <n v="778"/>
    <s v="Minter Creek"/>
    <s v="Minter Creek"/>
    <s v="Kitsap/Pierce"/>
    <x v="0"/>
    <s v="King"/>
    <s v="06King"/>
    <s v="02South Puget Sound"/>
    <n v="43.047619047619101"/>
    <n v="148.08380952380969"/>
  </r>
  <r>
    <n v="3064"/>
    <x v="9"/>
    <x v="1"/>
    <x v="9"/>
    <s v="Freshwater"/>
    <s v="2Freshwater"/>
    <s v="Salmon"/>
    <n v="778"/>
    <s v="Minter Creek"/>
    <s v="Minter Creek"/>
    <s v="Kitsap/Pierce"/>
    <x v="0"/>
    <s v="Kitsap"/>
    <s v="10Kitsap"/>
    <s v="02South Puget Sound"/>
    <n v="139.90476190476201"/>
    <n v="481.2723809523813"/>
  </r>
  <r>
    <n v="3065"/>
    <x v="9"/>
    <x v="1"/>
    <x v="9"/>
    <s v="Freshwater"/>
    <s v="2Freshwater"/>
    <s v="Salmon"/>
    <n v="778"/>
    <s v="Minter Creek"/>
    <s v="Minter Creek"/>
    <s v="Kitsap/Pierce"/>
    <x v="0"/>
    <s v="Pierce"/>
    <s v="07Pierce"/>
    <s v="02South Puget Sound"/>
    <n v="43.047619047619101"/>
    <n v="148.08380952380969"/>
  </r>
  <r>
    <n v="3066"/>
    <x v="9"/>
    <x v="2"/>
    <x v="9"/>
    <s v="Freshwater"/>
    <s v="2Freshwater"/>
    <s v="Salmon"/>
    <n v="778"/>
    <s v="Minter Creek"/>
    <s v="Minter Creek"/>
    <s v="Kitsap/Pierce"/>
    <x v="0"/>
    <s v="King"/>
    <s v="06King"/>
    <s v="02South Puget Sound"/>
    <n v="32.290909090909103"/>
    <n v="111.08072727272732"/>
  </r>
  <r>
    <n v="3067"/>
    <x v="9"/>
    <x v="2"/>
    <x v="9"/>
    <s v="Freshwater"/>
    <s v="2Freshwater"/>
    <s v="Salmon"/>
    <n v="778"/>
    <s v="Minter Creek"/>
    <s v="Minter Creek"/>
    <s v="Kitsap/Pierce"/>
    <x v="0"/>
    <s v="Kitsap"/>
    <s v="10Kitsap"/>
    <s v="02South Puget Sound"/>
    <n v="226.036363636364"/>
    <n v="777.56509090909219"/>
  </r>
  <r>
    <n v="3068"/>
    <x v="9"/>
    <x v="2"/>
    <x v="9"/>
    <s v="Freshwater"/>
    <s v="2Freshwater"/>
    <s v="Salmon"/>
    <n v="778"/>
    <s v="Minter Creek"/>
    <s v="Minter Creek"/>
    <s v="Kitsap/Pierce"/>
    <x v="0"/>
    <s v="Pierce"/>
    <s v="07Pierce"/>
    <s v="02South Puget Sound"/>
    <n v="204.50909090909099"/>
    <n v="703.51127272727297"/>
  </r>
  <r>
    <n v="3069"/>
    <x v="9"/>
    <x v="2"/>
    <x v="9"/>
    <s v="Freshwater"/>
    <s v="2Freshwater"/>
    <s v="Salmon"/>
    <n v="778"/>
    <s v="Minter Creek"/>
    <s v="Minter Creek"/>
    <s v="Kitsap/Pierce"/>
    <x v="0"/>
    <s v="Snohomish"/>
    <s v="03Snohomish"/>
    <s v="01North Puget Sound"/>
    <n v="10.763636363636399"/>
    <n v="37.026909090909214"/>
  </r>
  <r>
    <n v="3070"/>
    <x v="9"/>
    <x v="2"/>
    <x v="9"/>
    <s v="Freshwater"/>
    <s v="2Freshwater"/>
    <s v="Salmon"/>
    <n v="778"/>
    <s v="Minter Creek"/>
    <s v="Minter Creek"/>
    <s v="Kitsap/Pierce"/>
    <x v="0"/>
    <s v="Thurston"/>
    <s v="08Thurston"/>
    <s v="02South Puget Sound"/>
    <n v="118.4"/>
    <n v="407.29599999999999"/>
  </r>
  <r>
    <n v="3071"/>
    <x v="9"/>
    <x v="3"/>
    <x v="9"/>
    <s v="Freshwater"/>
    <s v="2Freshwater"/>
    <s v="Salmon"/>
    <n v="778"/>
    <s v="Minter Creek"/>
    <s v="Minter Creek"/>
    <s v="Kitsap/Pierce"/>
    <x v="0"/>
    <s v="Island"/>
    <s v="04Island"/>
    <s v="01North Puget Sound"/>
    <n v="10.752808988764"/>
    <n v="36.989662921348163"/>
  </r>
  <r>
    <n v="3072"/>
    <x v="9"/>
    <x v="3"/>
    <x v="9"/>
    <s v="Freshwater"/>
    <s v="2Freshwater"/>
    <s v="Salmon"/>
    <n v="778"/>
    <s v="Minter Creek"/>
    <s v="Minter Creek"/>
    <s v="Kitsap/Pierce"/>
    <x v="0"/>
    <s v="King"/>
    <s v="06King"/>
    <s v="02South Puget Sound"/>
    <n v="430.11235955056202"/>
    <n v="1479.5865168539333"/>
  </r>
  <r>
    <n v="3073"/>
    <x v="9"/>
    <x v="3"/>
    <x v="9"/>
    <s v="Freshwater"/>
    <s v="2Freshwater"/>
    <s v="Salmon"/>
    <n v="778"/>
    <s v="Minter Creek"/>
    <s v="Minter Creek"/>
    <s v="Kitsap/Pierce"/>
    <x v="0"/>
    <s v="Kitsap"/>
    <s v="10Kitsap"/>
    <s v="02South Puget Sound"/>
    <n v="43.0112359550562"/>
    <n v="147.95865168539333"/>
  </r>
  <r>
    <n v="3074"/>
    <x v="9"/>
    <x v="3"/>
    <x v="9"/>
    <s v="Freshwater"/>
    <s v="2Freshwater"/>
    <s v="Salmon"/>
    <n v="778"/>
    <s v="Minter Creek"/>
    <s v="Minter Creek"/>
    <s v="Kitsap/Pierce"/>
    <x v="0"/>
    <s v="Other"/>
    <s v="20Other"/>
    <s v="07Non Puget Sound"/>
    <n v="10.752808988764"/>
    <n v="36.989662921348163"/>
  </r>
  <r>
    <n v="3075"/>
    <x v="9"/>
    <x v="3"/>
    <x v="9"/>
    <s v="Freshwater"/>
    <s v="2Freshwater"/>
    <s v="Salmon"/>
    <n v="778"/>
    <s v="Minter Creek"/>
    <s v="Minter Creek"/>
    <s v="Kitsap/Pierce"/>
    <x v="0"/>
    <s v="Pierce"/>
    <s v="07Pierce"/>
    <s v="02South Puget Sound"/>
    <n v="397.85393258427001"/>
    <n v="1368.6175280898888"/>
  </r>
  <r>
    <n v="3076"/>
    <x v="9"/>
    <x v="3"/>
    <x v="9"/>
    <s v="Freshwater"/>
    <s v="2Freshwater"/>
    <s v="Salmon"/>
    <n v="778"/>
    <s v="Minter Creek"/>
    <s v="Minter Creek"/>
    <s v="Kitsap/Pierce"/>
    <x v="0"/>
    <s v="Snohomish"/>
    <s v="03Snohomish"/>
    <s v="01North Puget Sound"/>
    <n v="64.516853932584297"/>
    <n v="221.93797752808999"/>
  </r>
  <r>
    <n v="3077"/>
    <x v="9"/>
    <x v="4"/>
    <x v="9"/>
    <s v="Freshwater"/>
    <s v="2Freshwater"/>
    <s v="Salmon"/>
    <n v="778"/>
    <s v="Minter Creek"/>
    <s v="Minter Creek"/>
    <s v="Kitsap/Pierce"/>
    <x v="0"/>
    <s v="Kitsap"/>
    <s v="10Kitsap"/>
    <s v="02South Puget Sound"/>
    <n v="11"/>
    <n v="37.839999999999996"/>
  </r>
  <r>
    <n v="3078"/>
    <x v="9"/>
    <x v="5"/>
    <x v="9"/>
    <s v="Freshwater"/>
    <s v="2Freshwater"/>
    <s v="Salmon"/>
    <n v="786"/>
    <s v="Nisqually River"/>
    <s v="Nisqually River"/>
    <s v="Thurston/Pierce"/>
    <x v="0"/>
    <s v="King"/>
    <s v="06King"/>
    <s v="02South Puget Sound"/>
    <n v="10.75"/>
    <n v="36.979999999999997"/>
  </r>
  <r>
    <n v="3079"/>
    <x v="9"/>
    <x v="5"/>
    <x v="9"/>
    <s v="Freshwater"/>
    <s v="2Freshwater"/>
    <s v="Salmon"/>
    <n v="786"/>
    <s v="Nisqually River"/>
    <s v="Nisqually River"/>
    <s v="Thurston/Pierce"/>
    <x v="0"/>
    <s v="Thurston"/>
    <s v="08Thurston"/>
    <s v="02South Puget Sound"/>
    <n v="32.25"/>
    <n v="110.94"/>
  </r>
  <r>
    <n v="3080"/>
    <x v="9"/>
    <x v="0"/>
    <x v="9"/>
    <s v="Freshwater"/>
    <s v="2Freshwater"/>
    <s v="Salmon"/>
    <n v="786"/>
    <s v="Nisqually River"/>
    <s v="Nisqually River"/>
    <s v="Thurston/Pierce"/>
    <x v="0"/>
    <s v="King"/>
    <s v="06King"/>
    <s v="02South Puget Sound"/>
    <n v="98.313559322033896"/>
    <n v="338.19864406779658"/>
  </r>
  <r>
    <n v="3081"/>
    <x v="9"/>
    <x v="0"/>
    <x v="9"/>
    <s v="Freshwater"/>
    <s v="2Freshwater"/>
    <s v="Salmon"/>
    <n v="786"/>
    <s v="Nisqually River"/>
    <s v="Nisqually River"/>
    <s v="Thurston/Pierce"/>
    <x v="0"/>
    <s v="Other"/>
    <s v="20Other"/>
    <s v="07Non Puget Sound"/>
    <n v="98.313559322033896"/>
    <n v="338.19864406779658"/>
  </r>
  <r>
    <n v="3082"/>
    <x v="9"/>
    <x v="0"/>
    <x v="9"/>
    <s v="Freshwater"/>
    <s v="2Freshwater"/>
    <s v="Salmon"/>
    <n v="786"/>
    <s v="Nisqually River"/>
    <s v="Nisqually River"/>
    <s v="Thurston/Pierce"/>
    <x v="0"/>
    <s v="Pierce"/>
    <s v="07Pierce"/>
    <s v="02South Puget Sound"/>
    <n v="524.33898305084801"/>
    <n v="1803.7261016949171"/>
  </r>
  <r>
    <n v="3083"/>
    <x v="9"/>
    <x v="0"/>
    <x v="9"/>
    <s v="Freshwater"/>
    <s v="2Freshwater"/>
    <s v="Salmon"/>
    <n v="786"/>
    <s v="Nisqually River"/>
    <s v="Nisqually River"/>
    <s v="Thurston/Pierce"/>
    <x v="0"/>
    <s v="Thurston"/>
    <s v="08Thurston"/>
    <s v="02South Puget Sound"/>
    <n v="568.03389830508502"/>
    <n v="1954.0366101694924"/>
  </r>
  <r>
    <n v="3084"/>
    <x v="9"/>
    <x v="1"/>
    <x v="9"/>
    <s v="Freshwater"/>
    <s v="2Freshwater"/>
    <s v="Salmon"/>
    <n v="786"/>
    <s v="Nisqually River"/>
    <s v="Nisqually River"/>
    <s v="Thurston/Pierce"/>
    <x v="0"/>
    <s v="King"/>
    <s v="06King"/>
    <s v="02South Puget Sound"/>
    <n v="247.32371794871801"/>
    <n v="850.79358974358991"/>
  </r>
  <r>
    <n v="3085"/>
    <x v="9"/>
    <x v="1"/>
    <x v="9"/>
    <s v="Freshwater"/>
    <s v="2Freshwater"/>
    <s v="Salmon"/>
    <n v="786"/>
    <s v="Nisqually River"/>
    <s v="Nisqually River"/>
    <s v="Thurston/Pierce"/>
    <x v="0"/>
    <s v="Mason"/>
    <s v="09Mason"/>
    <s v="02South Puget Sound"/>
    <n v="32.259615384615401"/>
    <n v="110.97307692307697"/>
  </r>
  <r>
    <n v="3086"/>
    <x v="9"/>
    <x v="1"/>
    <x v="9"/>
    <s v="Freshwater"/>
    <s v="2Freshwater"/>
    <s v="Salmon"/>
    <n v="786"/>
    <s v="Nisqually River"/>
    <s v="Nisqually River"/>
    <s v="Thurston/Pierce"/>
    <x v="0"/>
    <s v="Other"/>
    <s v="20Other"/>
    <s v="07Non Puget Sound"/>
    <n v="172.05128205128199"/>
    <n v="591.85641025641007"/>
  </r>
  <r>
    <n v="3087"/>
    <x v="9"/>
    <x v="1"/>
    <x v="9"/>
    <s v="Freshwater"/>
    <s v="2Freshwater"/>
    <s v="Salmon"/>
    <n v="786"/>
    <s v="Nisqually River"/>
    <s v="Nisqually River"/>
    <s v="Thurston/Pierce"/>
    <x v="0"/>
    <s v="Pierce"/>
    <s v="07Pierce"/>
    <s v="02South Puget Sound"/>
    <n v="1612.98076923077"/>
    <n v="5548.6538461538485"/>
  </r>
  <r>
    <n v="3088"/>
    <x v="9"/>
    <x v="1"/>
    <x v="9"/>
    <s v="Freshwater"/>
    <s v="2Freshwater"/>
    <s v="Salmon"/>
    <n v="786"/>
    <s v="Nisqually River"/>
    <s v="Nisqually River"/>
    <s v="Thurston/Pierce"/>
    <x v="0"/>
    <s v="Thurston"/>
    <s v="08Thurston"/>
    <s v="02South Puget Sound"/>
    <n v="1290.38461538462"/>
    <n v="4438.9230769230926"/>
  </r>
  <r>
    <n v="3089"/>
    <x v="9"/>
    <x v="2"/>
    <x v="9"/>
    <s v="Freshwater"/>
    <s v="2Freshwater"/>
    <s v="Salmon"/>
    <n v="786"/>
    <s v="Nisqually River"/>
    <s v="Nisqually River"/>
    <s v="Thurston/Pierce"/>
    <x v="0"/>
    <s v="King"/>
    <s v="06King"/>
    <s v="02South Puget Sound"/>
    <n v="106.949152542373"/>
    <n v="367.90508474576313"/>
  </r>
  <r>
    <n v="3090"/>
    <x v="9"/>
    <x v="2"/>
    <x v="9"/>
    <s v="Freshwater"/>
    <s v="2Freshwater"/>
    <s v="Salmon"/>
    <n v="786"/>
    <s v="Nisqually River"/>
    <s v="Nisqually River"/>
    <s v="Thurston/Pierce"/>
    <x v="0"/>
    <s v="Other"/>
    <s v="20Other"/>
    <s v="07Non Puget Sound"/>
    <n v="32.084745762711897"/>
    <n v="110.37152542372893"/>
  </r>
  <r>
    <n v="3091"/>
    <x v="9"/>
    <x v="2"/>
    <x v="9"/>
    <s v="Freshwater"/>
    <s v="2Freshwater"/>
    <s v="Salmon"/>
    <n v="786"/>
    <s v="Nisqually River"/>
    <s v="Nisqually River"/>
    <s v="Thurston/Pierce"/>
    <x v="0"/>
    <s v="Pierce"/>
    <s v="07Pierce"/>
    <s v="02South Puget Sound"/>
    <n v="310.15254237288099"/>
    <n v="1066.9247457627105"/>
  </r>
  <r>
    <n v="3092"/>
    <x v="9"/>
    <x v="2"/>
    <x v="9"/>
    <s v="Freshwater"/>
    <s v="2Freshwater"/>
    <s v="Salmon"/>
    <n v="786"/>
    <s v="Nisqually River"/>
    <s v="Nisqually River"/>
    <s v="Thurston/Pierce"/>
    <x v="0"/>
    <s v="Thurston"/>
    <s v="08Thurston"/>
    <s v="02South Puget Sound"/>
    <n v="181.813559322034"/>
    <n v="625.43864406779699"/>
  </r>
  <r>
    <n v="3093"/>
    <x v="9"/>
    <x v="3"/>
    <x v="9"/>
    <s v="Freshwater"/>
    <s v="2Freshwater"/>
    <s v="Salmon"/>
    <n v="786"/>
    <s v="Nisqually River"/>
    <s v="Nisqually River"/>
    <s v="Thurston/Pierce"/>
    <x v="0"/>
    <s v="King"/>
    <s v="06King"/>
    <s v="02South Puget Sound"/>
    <n v="42.8"/>
    <n v="147.232"/>
  </r>
  <r>
    <n v="3094"/>
    <x v="9"/>
    <x v="3"/>
    <x v="9"/>
    <s v="Freshwater"/>
    <s v="2Freshwater"/>
    <s v="Salmon"/>
    <n v="786"/>
    <s v="Nisqually River"/>
    <s v="Nisqually River"/>
    <s v="Thurston/Pierce"/>
    <x v="0"/>
    <s v="Pierce"/>
    <s v="07Pierce"/>
    <s v="02South Puget Sound"/>
    <n v="42.8"/>
    <n v="147.232"/>
  </r>
  <r>
    <n v="3095"/>
    <x v="9"/>
    <x v="3"/>
    <x v="9"/>
    <s v="Freshwater"/>
    <s v="2Freshwater"/>
    <s v="Salmon"/>
    <n v="786"/>
    <s v="Nisqually River"/>
    <s v="Nisqually River"/>
    <s v="Thurston/Pierce"/>
    <x v="0"/>
    <s v="Thurston"/>
    <s v="08Thurston"/>
    <s v="02South Puget Sound"/>
    <n v="21.4"/>
    <n v="73.616"/>
  </r>
  <r>
    <n v="3096"/>
    <x v="9"/>
    <x v="0"/>
    <x v="9"/>
    <s v="Freshwater"/>
    <s v="2Freshwater"/>
    <s v="Salmon"/>
    <n v="788"/>
    <s v="Nooksack River"/>
    <s v="Nooksack River"/>
    <s v="Whatcom"/>
    <x v="1"/>
    <s v="King"/>
    <s v="06King"/>
    <s v="02South Puget Sound"/>
    <n v="10.5"/>
    <n v="36.119999999999997"/>
  </r>
  <r>
    <n v="3097"/>
    <x v="9"/>
    <x v="0"/>
    <x v="9"/>
    <s v="Freshwater"/>
    <s v="2Freshwater"/>
    <s v="Salmon"/>
    <n v="788"/>
    <s v="Nooksack River"/>
    <s v="Nooksack River"/>
    <s v="Whatcom"/>
    <x v="1"/>
    <s v="Other"/>
    <s v="20Other"/>
    <s v="07Non Puget Sound"/>
    <n v="31.5"/>
    <n v="108.36"/>
  </r>
  <r>
    <n v="3098"/>
    <x v="9"/>
    <x v="0"/>
    <x v="9"/>
    <s v="Freshwater"/>
    <s v="2Freshwater"/>
    <s v="Salmon"/>
    <n v="788"/>
    <s v="Nooksack River"/>
    <s v="Nooksack River"/>
    <s v="Whatcom"/>
    <x v="1"/>
    <s v="Whatcom"/>
    <s v="01Whatcom"/>
    <s v="01North Puget Sound"/>
    <n v="21"/>
    <n v="72.239999999999995"/>
  </r>
  <r>
    <n v="3099"/>
    <x v="9"/>
    <x v="1"/>
    <x v="9"/>
    <s v="Freshwater"/>
    <s v="2Freshwater"/>
    <s v="Salmon"/>
    <n v="788"/>
    <s v="Nooksack River"/>
    <s v="Nooksack River"/>
    <s v="Whatcom"/>
    <x v="1"/>
    <s v="King"/>
    <s v="06King"/>
    <s v="02South Puget Sound"/>
    <n v="21.2"/>
    <n v="72.927999999999997"/>
  </r>
  <r>
    <n v="3100"/>
    <x v="9"/>
    <x v="1"/>
    <x v="9"/>
    <s v="Freshwater"/>
    <s v="2Freshwater"/>
    <s v="Salmon"/>
    <n v="788"/>
    <s v="Nooksack River"/>
    <s v="Nooksack River"/>
    <s v="Whatcom"/>
    <x v="1"/>
    <s v="Other"/>
    <s v="20Other"/>
    <s v="07Non Puget Sound"/>
    <n v="42.4"/>
    <n v="145.85599999999999"/>
  </r>
  <r>
    <n v="3101"/>
    <x v="9"/>
    <x v="1"/>
    <x v="9"/>
    <s v="Freshwater"/>
    <s v="2Freshwater"/>
    <s v="Salmon"/>
    <n v="788"/>
    <s v="Nooksack River"/>
    <s v="Nooksack River"/>
    <s v="Whatcom"/>
    <x v="1"/>
    <s v="Whatcom"/>
    <s v="01Whatcom"/>
    <s v="01North Puget Sound"/>
    <n v="201.4"/>
    <n v="692.81600000000003"/>
  </r>
  <r>
    <n v="3102"/>
    <x v="9"/>
    <x v="2"/>
    <x v="9"/>
    <s v="Freshwater"/>
    <s v="2Freshwater"/>
    <s v="Salmon"/>
    <n v="788"/>
    <s v="Nooksack River"/>
    <s v="Nooksack River"/>
    <s v="Whatcom"/>
    <x v="1"/>
    <s v="Island"/>
    <s v="04Island"/>
    <s v="01North Puget Sound"/>
    <n v="255"/>
    <n v="877.19999999999993"/>
  </r>
  <r>
    <n v="3103"/>
    <x v="9"/>
    <x v="2"/>
    <x v="9"/>
    <s v="Freshwater"/>
    <s v="2Freshwater"/>
    <s v="Salmon"/>
    <n v="788"/>
    <s v="Nooksack River"/>
    <s v="Nooksack River"/>
    <s v="Whatcom"/>
    <x v="1"/>
    <s v="King"/>
    <s v="06King"/>
    <s v="02South Puget Sound"/>
    <n v="10.625"/>
    <n v="36.549999999999997"/>
  </r>
  <r>
    <n v="3104"/>
    <x v="9"/>
    <x v="2"/>
    <x v="9"/>
    <s v="Freshwater"/>
    <s v="2Freshwater"/>
    <s v="Salmon"/>
    <n v="788"/>
    <s v="Nooksack River"/>
    <s v="Nooksack River"/>
    <s v="Whatcom"/>
    <x v="1"/>
    <s v="Skagit"/>
    <s v="02Skagit"/>
    <s v="01North Puget Sound"/>
    <n v="297.5"/>
    <n v="1023.4"/>
  </r>
  <r>
    <n v="3105"/>
    <x v="9"/>
    <x v="2"/>
    <x v="9"/>
    <s v="Freshwater"/>
    <s v="2Freshwater"/>
    <s v="Salmon"/>
    <n v="788"/>
    <s v="Nooksack River"/>
    <s v="Nooksack River"/>
    <s v="Whatcom"/>
    <x v="1"/>
    <s v="Snohomish"/>
    <s v="03Snohomish"/>
    <s v="01North Puget Sound"/>
    <n v="180.625"/>
    <n v="621.35"/>
  </r>
  <r>
    <n v="3106"/>
    <x v="9"/>
    <x v="2"/>
    <x v="9"/>
    <s v="Freshwater"/>
    <s v="2Freshwater"/>
    <s v="Salmon"/>
    <n v="788"/>
    <s v="Nooksack River"/>
    <s v="Nooksack River"/>
    <s v="Whatcom"/>
    <x v="1"/>
    <s v="Whatcom"/>
    <s v="01Whatcom"/>
    <s v="01North Puget Sound"/>
    <n v="871.25"/>
    <n v="2997.1"/>
  </r>
  <r>
    <n v="3107"/>
    <x v="9"/>
    <x v="3"/>
    <x v="9"/>
    <s v="Freshwater"/>
    <s v="2Freshwater"/>
    <s v="Salmon"/>
    <n v="788"/>
    <s v="Nooksack River"/>
    <s v="Nooksack River"/>
    <s v="Whatcom"/>
    <x v="1"/>
    <s v="Island"/>
    <s v="04Island"/>
    <s v="01North Puget Sound"/>
    <n v="42.2040816326531"/>
    <n v="145.18204081632666"/>
  </r>
  <r>
    <n v="3108"/>
    <x v="9"/>
    <x v="3"/>
    <x v="9"/>
    <s v="Freshwater"/>
    <s v="2Freshwater"/>
    <s v="Salmon"/>
    <n v="788"/>
    <s v="Nooksack River"/>
    <s v="Nooksack River"/>
    <s v="Whatcom"/>
    <x v="1"/>
    <s v="Skagit"/>
    <s v="02Skagit"/>
    <s v="01North Puget Sound"/>
    <n v="31.6530612244898"/>
    <n v="108.88653061224491"/>
  </r>
  <r>
    <n v="3109"/>
    <x v="9"/>
    <x v="3"/>
    <x v="9"/>
    <s v="Freshwater"/>
    <s v="2Freshwater"/>
    <s v="Salmon"/>
    <n v="788"/>
    <s v="Nooksack River"/>
    <s v="Nooksack River"/>
    <s v="Whatcom"/>
    <x v="1"/>
    <s v="Whatcom"/>
    <s v="01Whatcom"/>
    <s v="01North Puget Sound"/>
    <n v="443.142857142857"/>
    <n v="1524.4114285714281"/>
  </r>
  <r>
    <n v="3110"/>
    <x v="9"/>
    <x v="4"/>
    <x v="9"/>
    <s v="Freshwater"/>
    <s v="2Freshwater"/>
    <s v="Salmon"/>
    <n v="788"/>
    <s v="Nooksack River"/>
    <s v="Nooksack River"/>
    <s v="Whatcom"/>
    <x v="1"/>
    <s v="Skagit"/>
    <s v="02Skagit"/>
    <s v="01North Puget Sound"/>
    <n v="11"/>
    <n v="37.839999999999996"/>
  </r>
  <r>
    <n v="3111"/>
    <x v="9"/>
    <x v="5"/>
    <x v="9"/>
    <s v="Freshwater"/>
    <s v="2Freshwater"/>
    <s v="Salmon"/>
    <n v="802"/>
    <s v="Carbon River"/>
    <s v="Carbon River"/>
    <s v="Pierce"/>
    <x v="0"/>
    <s v="Pierce"/>
    <s v="07Pierce"/>
    <s v="02South Puget Sound"/>
    <n v="0"/>
    <n v="0"/>
  </r>
  <r>
    <n v="3112"/>
    <x v="9"/>
    <x v="0"/>
    <x v="9"/>
    <s v="Freshwater"/>
    <s v="2Freshwater"/>
    <s v="Salmon"/>
    <n v="802"/>
    <s v="Carbon River"/>
    <s v="Carbon River"/>
    <s v="Pierce"/>
    <x v="0"/>
    <s v="King"/>
    <s v="06King"/>
    <s v="02South Puget Sound"/>
    <n v="29.76"/>
    <n v="102.37440000000001"/>
  </r>
  <r>
    <n v="3113"/>
    <x v="9"/>
    <x v="0"/>
    <x v="9"/>
    <s v="Freshwater"/>
    <s v="2Freshwater"/>
    <s v="Salmon"/>
    <n v="802"/>
    <s v="Carbon River"/>
    <s v="Carbon River"/>
    <s v="Pierce"/>
    <x v="0"/>
    <s v="Mason"/>
    <s v="09Mason"/>
    <s v="02South Puget Sound"/>
    <n v="9.92"/>
    <n v="34.1248"/>
  </r>
  <r>
    <n v="3114"/>
    <x v="9"/>
    <x v="0"/>
    <x v="9"/>
    <s v="Freshwater"/>
    <s v="2Freshwater"/>
    <s v="Salmon"/>
    <n v="802"/>
    <s v="Carbon River"/>
    <s v="Carbon River"/>
    <s v="Pierce"/>
    <x v="0"/>
    <s v="Pierce"/>
    <s v="07Pierce"/>
    <s v="02South Puget Sound"/>
    <n v="198.4"/>
    <n v="682.49599999999998"/>
  </r>
  <r>
    <n v="3115"/>
    <x v="9"/>
    <x v="0"/>
    <x v="9"/>
    <s v="Freshwater"/>
    <s v="2Freshwater"/>
    <s v="Salmon"/>
    <n v="802"/>
    <s v="Carbon River"/>
    <s v="Carbon River"/>
    <s v="Pierce"/>
    <x v="0"/>
    <s v="Snohomish"/>
    <s v="03Snohomish"/>
    <s v="01North Puget Sound"/>
    <n v="9.92"/>
    <n v="34.1248"/>
  </r>
  <r>
    <n v="3116"/>
    <x v="9"/>
    <x v="1"/>
    <x v="9"/>
    <s v="Freshwater"/>
    <s v="2Freshwater"/>
    <s v="Salmon"/>
    <n v="802"/>
    <s v="Carbon River"/>
    <s v="Carbon River"/>
    <s v="Pierce"/>
    <x v="0"/>
    <s v="Clallam"/>
    <s v="11Clallam"/>
    <s v="03Strait of Juan de Fuca"/>
    <n v="22.3150183150183"/>
    <n v="76.763663003662955"/>
  </r>
  <r>
    <n v="3117"/>
    <x v="9"/>
    <x v="1"/>
    <x v="9"/>
    <s v="Freshwater"/>
    <s v="2Freshwater"/>
    <s v="Salmon"/>
    <n v="802"/>
    <s v="Carbon River"/>
    <s v="Carbon River"/>
    <s v="Pierce"/>
    <x v="0"/>
    <s v="King"/>
    <s v="06King"/>
    <s v="02South Puget Sound"/>
    <n v="591.34798534798495"/>
    <n v="2034.2370695970683"/>
  </r>
  <r>
    <n v="3118"/>
    <x v="9"/>
    <x v="1"/>
    <x v="9"/>
    <s v="Freshwater"/>
    <s v="2Freshwater"/>
    <s v="Salmon"/>
    <n v="802"/>
    <s v="Carbon River"/>
    <s v="Carbon River"/>
    <s v="Pierce"/>
    <x v="0"/>
    <s v="Kitsap"/>
    <s v="10Kitsap"/>
    <s v="02South Puget Sound"/>
    <n v="78.102564102564102"/>
    <n v="268.67282051282052"/>
  </r>
  <r>
    <n v="3119"/>
    <x v="9"/>
    <x v="1"/>
    <x v="9"/>
    <s v="Freshwater"/>
    <s v="2Freshwater"/>
    <s v="Salmon"/>
    <n v="802"/>
    <s v="Carbon River"/>
    <s v="Carbon River"/>
    <s v="Pierce"/>
    <x v="0"/>
    <s v="Other"/>
    <s v="20Other"/>
    <s v="07Non Puget Sound"/>
    <n v="256.622710622711"/>
    <n v="882.78212454212587"/>
  </r>
  <r>
    <n v="3120"/>
    <x v="9"/>
    <x v="1"/>
    <x v="9"/>
    <s v="Freshwater"/>
    <s v="2Freshwater"/>
    <s v="Salmon"/>
    <n v="802"/>
    <s v="Carbon River"/>
    <s v="Carbon River"/>
    <s v="Pierce"/>
    <x v="0"/>
    <s v="Pierce"/>
    <s v="07Pierce"/>
    <s v="02South Puget Sound"/>
    <n v="2052.9816849816898"/>
    <n v="7062.2569963370124"/>
  </r>
  <r>
    <n v="3121"/>
    <x v="9"/>
    <x v="1"/>
    <x v="9"/>
    <s v="Freshwater"/>
    <s v="2Freshwater"/>
    <s v="Salmon"/>
    <n v="802"/>
    <s v="Carbon River"/>
    <s v="Carbon River"/>
    <s v="Pierce"/>
    <x v="0"/>
    <s v="Snohomish"/>
    <s v="03Snohomish"/>
    <s v="01North Puget Sound"/>
    <n v="33.472527472527503"/>
    <n v="115.14549450549461"/>
  </r>
  <r>
    <n v="3122"/>
    <x v="9"/>
    <x v="1"/>
    <x v="9"/>
    <s v="Freshwater"/>
    <s v="2Freshwater"/>
    <s v="Salmon"/>
    <n v="802"/>
    <s v="Carbon River"/>
    <s v="Carbon River"/>
    <s v="Pierce"/>
    <x v="0"/>
    <s v="Thurston"/>
    <s v="08Thurston"/>
    <s v="02South Puget Sound"/>
    <n v="11.1575091575092"/>
    <n v="38.381831501831648"/>
  </r>
  <r>
    <n v="3123"/>
    <x v="9"/>
    <x v="2"/>
    <x v="9"/>
    <s v="Freshwater"/>
    <s v="2Freshwater"/>
    <s v="Salmon"/>
    <n v="802"/>
    <s v="Carbon River"/>
    <s v="Carbon River"/>
    <s v="Pierce"/>
    <x v="0"/>
    <s v="King"/>
    <s v="06King"/>
    <s v="02South Puget Sound"/>
    <n v="119.815384615385"/>
    <n v="412.16492307692437"/>
  </r>
  <r>
    <n v="3124"/>
    <x v="9"/>
    <x v="2"/>
    <x v="9"/>
    <s v="Freshwater"/>
    <s v="2Freshwater"/>
    <s v="Salmon"/>
    <n v="802"/>
    <s v="Carbon River"/>
    <s v="Carbon River"/>
    <s v="Pierce"/>
    <x v="0"/>
    <s v="Other"/>
    <s v="20Other"/>
    <s v="07Non Puget Sound"/>
    <n v="32.676923076923103"/>
    <n v="112.40861538461547"/>
  </r>
  <r>
    <n v="3125"/>
    <x v="9"/>
    <x v="2"/>
    <x v="9"/>
    <s v="Freshwater"/>
    <s v="2Freshwater"/>
    <s v="Salmon"/>
    <n v="802"/>
    <s v="Carbon River"/>
    <s v="Carbon River"/>
    <s v="Pierce"/>
    <x v="0"/>
    <s v="Pierce"/>
    <s v="07Pierce"/>
    <s v="02South Puget Sound"/>
    <n v="555.50769230769197"/>
    <n v="1910.9464615384604"/>
  </r>
  <r>
    <n v="3126"/>
    <x v="9"/>
    <x v="5"/>
    <x v="9"/>
    <s v="Freshwater"/>
    <s v="2Freshwater"/>
    <s v="Salmon"/>
    <n v="804"/>
    <s v="Puyallup River"/>
    <s v="Puyallup River"/>
    <s v="Pierce"/>
    <x v="0"/>
    <s v="Pierce"/>
    <s v="07Pierce"/>
    <s v="02South Puget Sound"/>
    <n v="0"/>
    <n v="0"/>
  </r>
  <r>
    <n v="3127"/>
    <x v="9"/>
    <x v="0"/>
    <x v="9"/>
    <s v="Freshwater"/>
    <s v="2Freshwater"/>
    <s v="Salmon"/>
    <n v="804"/>
    <s v="Puyallup River"/>
    <s v="Puyallup River"/>
    <s v="Pierce"/>
    <x v="0"/>
    <s v="Clallam"/>
    <s v="11Clallam"/>
    <s v="03Strait of Juan de Fuca"/>
    <n v="21.5962280325761"/>
    <n v="74.291024432061789"/>
  </r>
  <r>
    <n v="3128"/>
    <x v="9"/>
    <x v="0"/>
    <x v="9"/>
    <s v="Freshwater"/>
    <s v="2Freshwater"/>
    <s v="Salmon"/>
    <n v="804"/>
    <s v="Puyallup River"/>
    <s v="Puyallup River"/>
    <s v="Pierce"/>
    <x v="0"/>
    <s v="Jefferson"/>
    <s v="12Jefferson"/>
    <s v="03Strait of Juan de Fuca"/>
    <n v="64.788684097728293"/>
    <n v="222.87307329618531"/>
  </r>
  <r>
    <n v="3129"/>
    <x v="9"/>
    <x v="0"/>
    <x v="9"/>
    <s v="Freshwater"/>
    <s v="2Freshwater"/>
    <s v="Salmon"/>
    <n v="804"/>
    <s v="Puyallup River"/>
    <s v="Puyallup River"/>
    <s v="Pierce"/>
    <x v="0"/>
    <s v="King"/>
    <s v="06King"/>
    <s v="02South Puget Sound"/>
    <n v="7731.4496356622403"/>
    <n v="26596.186746678108"/>
  </r>
  <r>
    <n v="3130"/>
    <x v="9"/>
    <x v="0"/>
    <x v="9"/>
    <s v="Freshwater"/>
    <s v="2Freshwater"/>
    <s v="Salmon"/>
    <n v="804"/>
    <s v="Puyallup River"/>
    <s v="Puyallup River"/>
    <s v="Pierce"/>
    <x v="0"/>
    <s v="Kitsap"/>
    <s v="10Kitsap"/>
    <s v="02South Puget Sound"/>
    <n v="421.126446635234"/>
    <n v="1448.6749764252049"/>
  </r>
  <r>
    <n v="3131"/>
    <x v="9"/>
    <x v="0"/>
    <x v="9"/>
    <s v="Freshwater"/>
    <s v="2Freshwater"/>
    <s v="Salmon"/>
    <n v="804"/>
    <s v="Puyallup River"/>
    <s v="Puyallup River"/>
    <s v="Pierce"/>
    <x v="0"/>
    <s v="Mason"/>
    <s v="09Mason"/>
    <s v="02South Puget Sound"/>
    <n v="302.34719245606499"/>
    <n v="1040.0743420488636"/>
  </r>
  <r>
    <n v="3132"/>
    <x v="9"/>
    <x v="0"/>
    <x v="9"/>
    <s v="Freshwater"/>
    <s v="2Freshwater"/>
    <s v="Salmon"/>
    <n v="804"/>
    <s v="Puyallup River"/>
    <s v="Puyallup River"/>
    <s v="Pierce"/>
    <x v="0"/>
    <s v="Other"/>
    <s v="20Other"/>
    <s v="07Non Puget Sound"/>
    <n v="604.69438491212998"/>
    <n v="2080.1486840977273"/>
  </r>
  <r>
    <n v="3133"/>
    <x v="9"/>
    <x v="0"/>
    <x v="9"/>
    <s v="Freshwater"/>
    <s v="2Freshwater"/>
    <s v="Salmon"/>
    <n v="804"/>
    <s v="Puyallup River"/>
    <s v="Puyallup River"/>
    <s v="Pierce"/>
    <x v="0"/>
    <s v="Pierce"/>
    <s v="07Pierce"/>
    <s v="02South Puget Sound"/>
    <n v="14631.444492070301"/>
    <n v="50332.169052721831"/>
  </r>
  <r>
    <n v="3134"/>
    <x v="9"/>
    <x v="0"/>
    <x v="9"/>
    <s v="Freshwater"/>
    <s v="2Freshwater"/>
    <s v="Salmon"/>
    <n v="804"/>
    <s v="Puyallup River"/>
    <s v="Puyallup River"/>
    <s v="Pierce"/>
    <x v="0"/>
    <s v="Snohomish"/>
    <s v="03Snohomish"/>
    <s v="01North Puget Sound"/>
    <n v="269.95285040720103"/>
    <n v="928.63780540077153"/>
  </r>
  <r>
    <n v="3135"/>
    <x v="9"/>
    <x v="0"/>
    <x v="9"/>
    <s v="Freshwater"/>
    <s v="2Freshwater"/>
    <s v="Salmon"/>
    <n v="804"/>
    <s v="Puyallup River"/>
    <s v="Puyallup River"/>
    <s v="Pierce"/>
    <x v="0"/>
    <s v="Thurston"/>
    <s v="08Thurston"/>
    <s v="02South Puget Sound"/>
    <n v="1144.6000857265301"/>
    <n v="3937.4242948992633"/>
  </r>
  <r>
    <n v="3136"/>
    <x v="9"/>
    <x v="1"/>
    <x v="9"/>
    <s v="Freshwater"/>
    <s v="2Freshwater"/>
    <s v="Salmon"/>
    <n v="804"/>
    <s v="Puyallup River"/>
    <s v="Puyallup River"/>
    <s v="Pierce"/>
    <x v="0"/>
    <s v="Clallam"/>
    <s v="11Clallam"/>
    <s v="03Strait of Juan de Fuca"/>
    <n v="10.7849305047549"/>
    <n v="37.100160936356858"/>
  </r>
  <r>
    <n v="3137"/>
    <x v="9"/>
    <x v="1"/>
    <x v="9"/>
    <s v="Freshwater"/>
    <s v="2Freshwater"/>
    <s v="Salmon"/>
    <n v="804"/>
    <s v="Puyallup River"/>
    <s v="Puyallup River"/>
    <s v="Pierce"/>
    <x v="0"/>
    <s v="Jefferson"/>
    <s v="12Jefferson"/>
    <s v="03Strait of Juan de Fuca"/>
    <n v="64.709583028529593"/>
    <n v="222.6009656181418"/>
  </r>
  <r>
    <n v="3138"/>
    <x v="9"/>
    <x v="1"/>
    <x v="9"/>
    <s v="Freshwater"/>
    <s v="2Freshwater"/>
    <s v="Salmon"/>
    <n v="804"/>
    <s v="Puyallup River"/>
    <s v="Puyallup River"/>
    <s v="Pierce"/>
    <x v="0"/>
    <s v="King"/>
    <s v="06King"/>
    <s v="02South Puget Sound"/>
    <n v="4659.0899780541304"/>
    <n v="16027.269524506208"/>
  </r>
  <r>
    <n v="3139"/>
    <x v="9"/>
    <x v="1"/>
    <x v="9"/>
    <s v="Freshwater"/>
    <s v="2Freshwater"/>
    <s v="Salmon"/>
    <n v="804"/>
    <s v="Puyallup River"/>
    <s v="Puyallup River"/>
    <s v="Pierce"/>
    <x v="0"/>
    <s v="Kitsap"/>
    <s v="10Kitsap"/>
    <s v="02South Puget Sound"/>
    <n v="172.558888076079"/>
    <n v="593.60257498171177"/>
  </r>
  <r>
    <n v="3140"/>
    <x v="9"/>
    <x v="1"/>
    <x v="9"/>
    <s v="Freshwater"/>
    <s v="2Freshwater"/>
    <s v="Salmon"/>
    <n v="804"/>
    <s v="Puyallup River"/>
    <s v="Puyallup River"/>
    <s v="Pierce"/>
    <x v="0"/>
    <s v="Mason"/>
    <s v="09Mason"/>
    <s v="02South Puget Sound"/>
    <n v="172.558888076079"/>
    <n v="593.60257498171177"/>
  </r>
  <r>
    <n v="3141"/>
    <x v="9"/>
    <x v="1"/>
    <x v="9"/>
    <s v="Freshwater"/>
    <s v="2Freshwater"/>
    <s v="Salmon"/>
    <n v="804"/>
    <s v="Puyallup River"/>
    <s v="Puyallup River"/>
    <s v="Pierce"/>
    <x v="0"/>
    <s v="Other"/>
    <s v="20Other"/>
    <s v="07Non Puget Sound"/>
    <n v="463.75201170446201"/>
    <n v="1595.3069202633492"/>
  </r>
  <r>
    <n v="3142"/>
    <x v="9"/>
    <x v="1"/>
    <x v="9"/>
    <s v="Freshwater"/>
    <s v="2Freshwater"/>
    <s v="Salmon"/>
    <n v="804"/>
    <s v="Puyallup River"/>
    <s v="Puyallup River"/>
    <s v="Pierce"/>
    <x v="0"/>
    <s v="Pierce"/>
    <s v="07Pierce"/>
    <s v="02South Puget Sound"/>
    <n v="8369.1060716898301"/>
    <n v="28789.724886613014"/>
  </r>
  <r>
    <n v="3143"/>
    <x v="9"/>
    <x v="1"/>
    <x v="9"/>
    <s v="Freshwater"/>
    <s v="2Freshwater"/>
    <s v="Salmon"/>
    <n v="804"/>
    <s v="Puyallup River"/>
    <s v="Puyallup River"/>
    <s v="Pierce"/>
    <x v="0"/>
    <s v="Snohomish"/>
    <s v="03Snohomish"/>
    <s v="01North Puget Sound"/>
    <n v="204.913679590344"/>
    <n v="704.90305779078335"/>
  </r>
  <r>
    <n v="3144"/>
    <x v="9"/>
    <x v="1"/>
    <x v="9"/>
    <s v="Freshwater"/>
    <s v="2Freshwater"/>
    <s v="Salmon"/>
    <n v="804"/>
    <s v="Puyallup River"/>
    <s v="Puyallup River"/>
    <s v="Pierce"/>
    <x v="0"/>
    <s v="Thurston"/>
    <s v="08Thurston"/>
    <s v="02South Puget Sound"/>
    <n v="625.525969275786"/>
    <n v="2151.8093343087039"/>
  </r>
  <r>
    <n v="3145"/>
    <x v="9"/>
    <x v="2"/>
    <x v="9"/>
    <s v="Freshwater"/>
    <s v="2Freshwater"/>
    <s v="Salmon"/>
    <n v="804"/>
    <s v="Puyallup River"/>
    <s v="Puyallup River"/>
    <s v="Pierce"/>
    <x v="0"/>
    <s v="King"/>
    <s v="06King"/>
    <s v="02South Puget Sound"/>
    <n v="195.25"/>
    <n v="671.66"/>
  </r>
  <r>
    <n v="3146"/>
    <x v="9"/>
    <x v="2"/>
    <x v="9"/>
    <s v="Freshwater"/>
    <s v="2Freshwater"/>
    <s v="Salmon"/>
    <n v="804"/>
    <s v="Puyallup River"/>
    <s v="Puyallup River"/>
    <s v="Pierce"/>
    <x v="0"/>
    <s v="Pierce"/>
    <s v="07Pierce"/>
    <s v="02South Puget Sound"/>
    <n v="574.90277777777806"/>
    <n v="1977.6655555555565"/>
  </r>
  <r>
    <n v="3147"/>
    <x v="9"/>
    <x v="2"/>
    <x v="9"/>
    <s v="Freshwater"/>
    <s v="2Freshwater"/>
    <s v="Salmon"/>
    <n v="804"/>
    <s v="Puyallup River"/>
    <s v="Puyallup River"/>
    <s v="Pierce"/>
    <x v="0"/>
    <s v="Skagit"/>
    <s v="02Skagit"/>
    <s v="01North Puget Sound"/>
    <n v="10.8472222222222"/>
    <n v="37.314444444444369"/>
  </r>
  <r>
    <n v="3148"/>
    <x v="9"/>
    <x v="3"/>
    <x v="9"/>
    <s v="Freshwater"/>
    <s v="2Freshwater"/>
    <s v="Salmon"/>
    <n v="804"/>
    <s v="Puyallup River"/>
    <s v="Puyallup River"/>
    <s v="Pierce"/>
    <x v="0"/>
    <s v="King"/>
    <s v="06King"/>
    <s v="02South Puget Sound"/>
    <n v="11"/>
    <n v="37.839999999999996"/>
  </r>
  <r>
    <n v="3149"/>
    <x v="9"/>
    <x v="3"/>
    <x v="9"/>
    <s v="Freshwater"/>
    <s v="2Freshwater"/>
    <s v="Salmon"/>
    <n v="804"/>
    <s v="Puyallup River"/>
    <s v="Puyallup River"/>
    <s v="Pierce"/>
    <x v="0"/>
    <s v="Pierce"/>
    <s v="07Pierce"/>
    <s v="02South Puget Sound"/>
    <n v="22"/>
    <n v="75.679999999999993"/>
  </r>
  <r>
    <n v="3150"/>
    <x v="9"/>
    <x v="3"/>
    <x v="9"/>
    <s v="Freshwater"/>
    <s v="2Freshwater"/>
    <s v="Salmon"/>
    <n v="804"/>
    <s v="Puyallup River"/>
    <s v="Puyallup River"/>
    <s v="Pierce"/>
    <x v="0"/>
    <s v="Thurston"/>
    <s v="08Thurston"/>
    <s v="02South Puget Sound"/>
    <n v="11"/>
    <n v="37.839999999999996"/>
  </r>
  <r>
    <n v="3151"/>
    <x v="9"/>
    <x v="0"/>
    <x v="9"/>
    <s v="Freshwater"/>
    <s v="2Freshwater"/>
    <s v="Salmon"/>
    <n v="812"/>
    <s v="Quilcene River"/>
    <s v="Quilcene River"/>
    <s v="Jefferson"/>
    <x v="2"/>
    <s v="Clallam"/>
    <s v="11Clallam"/>
    <s v="03Strait of Juan de Fuca"/>
    <n v="33.072000000000003"/>
    <n v="113.76768000000001"/>
  </r>
  <r>
    <n v="3152"/>
    <x v="9"/>
    <x v="0"/>
    <x v="9"/>
    <s v="Freshwater"/>
    <s v="2Freshwater"/>
    <s v="Salmon"/>
    <n v="812"/>
    <s v="Quilcene River"/>
    <s v="Quilcene River"/>
    <s v="Jefferson"/>
    <x v="2"/>
    <s v="Jefferson"/>
    <s v="12Jefferson"/>
    <s v="03Strait of Juan de Fuca"/>
    <n v="143.31200000000001"/>
    <n v="492.99328000000003"/>
  </r>
  <r>
    <n v="3153"/>
    <x v="9"/>
    <x v="0"/>
    <x v="9"/>
    <s v="Freshwater"/>
    <s v="2Freshwater"/>
    <s v="Salmon"/>
    <n v="812"/>
    <s v="Quilcene River"/>
    <s v="Quilcene River"/>
    <s v="Jefferson"/>
    <x v="2"/>
    <s v="King"/>
    <s v="06King"/>
    <s v="02South Puget Sound"/>
    <n v="209.45599999999999"/>
    <n v="720.52864"/>
  </r>
  <r>
    <n v="3154"/>
    <x v="9"/>
    <x v="0"/>
    <x v="9"/>
    <s v="Freshwater"/>
    <s v="2Freshwater"/>
    <s v="Salmon"/>
    <n v="812"/>
    <s v="Quilcene River"/>
    <s v="Quilcene River"/>
    <s v="Jefferson"/>
    <x v="2"/>
    <s v="Kitsap"/>
    <s v="10Kitsap"/>
    <s v="02South Puget Sound"/>
    <n v="529.15200000000004"/>
    <n v="1820.2828800000002"/>
  </r>
  <r>
    <n v="3155"/>
    <x v="9"/>
    <x v="0"/>
    <x v="9"/>
    <s v="Freshwater"/>
    <s v="2Freshwater"/>
    <s v="Salmon"/>
    <n v="812"/>
    <s v="Quilcene River"/>
    <s v="Quilcene River"/>
    <s v="Jefferson"/>
    <x v="2"/>
    <s v="Mason"/>
    <s v="09Mason"/>
    <s v="02South Puget Sound"/>
    <n v="143.31200000000001"/>
    <n v="492.99328000000003"/>
  </r>
  <r>
    <n v="3156"/>
    <x v="9"/>
    <x v="0"/>
    <x v="9"/>
    <s v="Freshwater"/>
    <s v="2Freshwater"/>
    <s v="Salmon"/>
    <n v="812"/>
    <s v="Quilcene River"/>
    <s v="Quilcene River"/>
    <s v="Jefferson"/>
    <x v="2"/>
    <s v="Other"/>
    <s v="20Other"/>
    <s v="07Non Puget Sound"/>
    <n v="44.095999999999997"/>
    <n v="151.69023999999999"/>
  </r>
  <r>
    <n v="3157"/>
    <x v="9"/>
    <x v="0"/>
    <x v="9"/>
    <s v="Freshwater"/>
    <s v="2Freshwater"/>
    <s v="Salmon"/>
    <n v="812"/>
    <s v="Quilcene River"/>
    <s v="Quilcene River"/>
    <s v="Jefferson"/>
    <x v="2"/>
    <s v="Pierce"/>
    <s v="07Pierce"/>
    <s v="02South Puget Sound"/>
    <n v="187.40799999999999"/>
    <n v="644.68351999999993"/>
  </r>
  <r>
    <n v="3158"/>
    <x v="9"/>
    <x v="0"/>
    <x v="9"/>
    <s v="Freshwater"/>
    <s v="2Freshwater"/>
    <s v="Salmon"/>
    <n v="812"/>
    <s v="Quilcene River"/>
    <s v="Quilcene River"/>
    <s v="Jefferson"/>
    <x v="2"/>
    <s v="Snohomish"/>
    <s v="03Snohomish"/>
    <s v="01North Puget Sound"/>
    <n v="44.095999999999997"/>
    <n v="151.69023999999999"/>
  </r>
  <r>
    <n v="3159"/>
    <x v="9"/>
    <x v="0"/>
    <x v="9"/>
    <s v="Freshwater"/>
    <s v="2Freshwater"/>
    <s v="Salmon"/>
    <n v="812"/>
    <s v="Quilcene River"/>
    <s v="Quilcene River"/>
    <s v="Jefferson"/>
    <x v="2"/>
    <s v="Thurston"/>
    <s v="08Thurston"/>
    <s v="02South Puget Sound"/>
    <n v="44.095999999999997"/>
    <n v="151.69023999999999"/>
  </r>
  <r>
    <n v="3160"/>
    <x v="9"/>
    <x v="1"/>
    <x v="9"/>
    <s v="Freshwater"/>
    <s v="2Freshwater"/>
    <s v="Salmon"/>
    <n v="812"/>
    <s v="Quilcene River"/>
    <s v="Quilcene River"/>
    <s v="Jefferson"/>
    <x v="2"/>
    <s v="Jefferson"/>
    <s v="12Jefferson"/>
    <s v="03Strait of Juan de Fuca"/>
    <n v="132.413793103448"/>
    <n v="455.5034482758611"/>
  </r>
  <r>
    <n v="3161"/>
    <x v="9"/>
    <x v="1"/>
    <x v="9"/>
    <s v="Freshwater"/>
    <s v="2Freshwater"/>
    <s v="Salmon"/>
    <n v="812"/>
    <s v="Quilcene River"/>
    <s v="Quilcene River"/>
    <s v="Jefferson"/>
    <x v="2"/>
    <s v="Kitsap"/>
    <s v="10Kitsap"/>
    <s v="02South Puget Sound"/>
    <n v="154.48275862068999"/>
    <n v="531.42068965517353"/>
  </r>
  <r>
    <n v="3162"/>
    <x v="9"/>
    <x v="1"/>
    <x v="9"/>
    <s v="Freshwater"/>
    <s v="2Freshwater"/>
    <s v="Salmon"/>
    <n v="812"/>
    <s v="Quilcene River"/>
    <s v="Quilcene River"/>
    <s v="Jefferson"/>
    <x v="2"/>
    <s v="Pierce"/>
    <s v="07Pierce"/>
    <s v="02South Puget Sound"/>
    <n v="11.034482758620699"/>
    <n v="37.958620689655206"/>
  </r>
  <r>
    <n v="3163"/>
    <x v="9"/>
    <x v="1"/>
    <x v="9"/>
    <s v="Freshwater"/>
    <s v="2Freshwater"/>
    <s v="Salmon"/>
    <n v="812"/>
    <s v="Quilcene River"/>
    <s v="Quilcene River"/>
    <s v="Jefferson"/>
    <x v="2"/>
    <s v="Whatcom"/>
    <s v="01Whatcom"/>
    <s v="01North Puget Sound"/>
    <n v="22.068965517241399"/>
    <n v="75.917241379310411"/>
  </r>
  <r>
    <n v="3164"/>
    <x v="9"/>
    <x v="2"/>
    <x v="9"/>
    <s v="Freshwater"/>
    <s v="2Freshwater"/>
    <s v="Salmon"/>
    <n v="812"/>
    <s v="Quilcene River"/>
    <s v="Quilcene River"/>
    <s v="Jefferson"/>
    <x v="2"/>
    <s v="Other"/>
    <s v="20Other"/>
    <s v="07Non Puget Sound"/>
    <n v="44"/>
    <n v="151.35999999999999"/>
  </r>
  <r>
    <n v="3165"/>
    <x v="9"/>
    <x v="0"/>
    <x v="9"/>
    <s v="Freshwater"/>
    <s v="2Freshwater"/>
    <s v="Salmon"/>
    <n v="816"/>
    <s v="Samish River"/>
    <s v="Samish River"/>
    <s v="Skagit"/>
    <x v="1"/>
    <s v="Island"/>
    <s v="04Island"/>
    <s v="01North Puget Sound"/>
    <n v="31.0324675324675"/>
    <n v="106.7516883116882"/>
  </r>
  <r>
    <n v="3166"/>
    <x v="9"/>
    <x v="0"/>
    <x v="9"/>
    <s v="Freshwater"/>
    <s v="2Freshwater"/>
    <s v="Salmon"/>
    <n v="816"/>
    <s v="Samish River"/>
    <s v="Samish River"/>
    <s v="Skagit"/>
    <x v="1"/>
    <s v="King"/>
    <s v="06King"/>
    <s v="02South Puget Sound"/>
    <n v="206.883116883117"/>
    <n v="711.67792207792252"/>
  </r>
  <r>
    <n v="3167"/>
    <x v="9"/>
    <x v="0"/>
    <x v="9"/>
    <s v="Freshwater"/>
    <s v="2Freshwater"/>
    <s v="Salmon"/>
    <n v="816"/>
    <s v="Samish River"/>
    <s v="Samish River"/>
    <s v="Skagit"/>
    <x v="1"/>
    <s v="Other"/>
    <s v="20Other"/>
    <s v="07Non Puget Sound"/>
    <n v="31.0324675324675"/>
    <n v="106.7516883116882"/>
  </r>
  <r>
    <n v="3168"/>
    <x v="9"/>
    <x v="0"/>
    <x v="9"/>
    <s v="Freshwater"/>
    <s v="2Freshwater"/>
    <s v="Salmon"/>
    <n v="816"/>
    <s v="Samish River"/>
    <s v="Samish River"/>
    <s v="Skagit"/>
    <x v="1"/>
    <s v="Pierce"/>
    <s v="07Pierce"/>
    <s v="02South Puget Sound"/>
    <n v="10.3441558441558"/>
    <n v="35.583896103895952"/>
  </r>
  <r>
    <n v="3169"/>
    <x v="9"/>
    <x v="0"/>
    <x v="9"/>
    <s v="Freshwater"/>
    <s v="2Freshwater"/>
    <s v="Salmon"/>
    <n v="816"/>
    <s v="Samish River"/>
    <s v="Samish River"/>
    <s v="Skagit"/>
    <x v="1"/>
    <s v="Skagit"/>
    <s v="02Skagit"/>
    <s v="01North Puget Sound"/>
    <n v="72.409090909090907"/>
    <n v="249.0872727272727"/>
  </r>
  <r>
    <n v="3170"/>
    <x v="9"/>
    <x v="0"/>
    <x v="9"/>
    <s v="Freshwater"/>
    <s v="2Freshwater"/>
    <s v="Salmon"/>
    <n v="816"/>
    <s v="Samish River"/>
    <s v="Samish River"/>
    <s v="Skagit"/>
    <x v="1"/>
    <s v="Snohomish"/>
    <s v="03Snohomish"/>
    <s v="01North Puget Sound"/>
    <n v="1024.07142857143"/>
    <n v="3522.8057142857192"/>
  </r>
  <r>
    <n v="3171"/>
    <x v="9"/>
    <x v="0"/>
    <x v="9"/>
    <s v="Freshwater"/>
    <s v="2Freshwater"/>
    <s v="Salmon"/>
    <n v="816"/>
    <s v="Samish River"/>
    <s v="Samish River"/>
    <s v="Skagit"/>
    <x v="1"/>
    <s v="Whatcom"/>
    <s v="01Whatcom"/>
    <s v="01North Puget Sound"/>
    <n v="217.227272727273"/>
    <n v="747.26181818181908"/>
  </r>
  <r>
    <n v="3172"/>
    <x v="9"/>
    <x v="1"/>
    <x v="9"/>
    <s v="Freshwater"/>
    <s v="2Freshwater"/>
    <s v="Salmon"/>
    <n v="816"/>
    <s v="Samish River"/>
    <s v="Samish River"/>
    <s v="Skagit"/>
    <x v="1"/>
    <s v="Island"/>
    <s v="04Island"/>
    <s v="01North Puget Sound"/>
    <n v="10.3417721518987"/>
    <n v="35.575696202531532"/>
  </r>
  <r>
    <n v="3173"/>
    <x v="9"/>
    <x v="1"/>
    <x v="9"/>
    <s v="Freshwater"/>
    <s v="2Freshwater"/>
    <s v="Salmon"/>
    <n v="816"/>
    <s v="Samish River"/>
    <s v="Samish River"/>
    <s v="Skagit"/>
    <x v="1"/>
    <s v="King"/>
    <s v="06King"/>
    <s v="02South Puget Sound"/>
    <n v="268.88607594936701"/>
    <n v="924.9681012658225"/>
  </r>
  <r>
    <n v="3174"/>
    <x v="9"/>
    <x v="1"/>
    <x v="9"/>
    <s v="Freshwater"/>
    <s v="2Freshwater"/>
    <s v="Salmon"/>
    <n v="816"/>
    <s v="Samish River"/>
    <s v="Samish River"/>
    <s v="Skagit"/>
    <x v="1"/>
    <s v="Other"/>
    <s v="20Other"/>
    <s v="07Non Puget Sound"/>
    <n v="237.860759493671"/>
    <n v="818.24101265822821"/>
  </r>
  <r>
    <n v="3175"/>
    <x v="9"/>
    <x v="1"/>
    <x v="9"/>
    <s v="Freshwater"/>
    <s v="2Freshwater"/>
    <s v="Salmon"/>
    <n v="816"/>
    <s v="Samish River"/>
    <s v="Samish River"/>
    <s v="Skagit"/>
    <x v="1"/>
    <s v="Pierce"/>
    <s v="07Pierce"/>
    <s v="02South Puget Sound"/>
    <n v="10.3417721518987"/>
    <n v="35.575696202531532"/>
  </r>
  <r>
    <n v="3176"/>
    <x v="9"/>
    <x v="1"/>
    <x v="9"/>
    <s v="Freshwater"/>
    <s v="2Freshwater"/>
    <s v="Salmon"/>
    <n v="816"/>
    <s v="Samish River"/>
    <s v="Samish River"/>
    <s v="Skagit"/>
    <x v="1"/>
    <s v="Skagit"/>
    <s v="02Skagit"/>
    <s v="01North Puget Sound"/>
    <n v="392.98734177215198"/>
    <n v="1351.8764556962028"/>
  </r>
  <r>
    <n v="3177"/>
    <x v="9"/>
    <x v="1"/>
    <x v="9"/>
    <s v="Freshwater"/>
    <s v="2Freshwater"/>
    <s v="Salmon"/>
    <n v="816"/>
    <s v="Samish River"/>
    <s v="Samish River"/>
    <s v="Skagit"/>
    <x v="1"/>
    <s v="Snohomish"/>
    <s v="03Snohomish"/>
    <s v="01North Puget Sound"/>
    <n v="2078.6962025316502"/>
    <n v="7150.7149367088768"/>
  </r>
  <r>
    <n v="3178"/>
    <x v="9"/>
    <x v="1"/>
    <x v="9"/>
    <s v="Freshwater"/>
    <s v="2Freshwater"/>
    <s v="Salmon"/>
    <n v="816"/>
    <s v="Samish River"/>
    <s v="Samish River"/>
    <s v="Skagit"/>
    <x v="1"/>
    <s v="Whatcom"/>
    <s v="01Whatcom"/>
    <s v="01North Puget Sound"/>
    <n v="268.88607594936701"/>
    <n v="924.9681012658225"/>
  </r>
  <r>
    <n v="3179"/>
    <x v="9"/>
    <x v="2"/>
    <x v="9"/>
    <s v="Freshwater"/>
    <s v="2Freshwater"/>
    <s v="Salmon"/>
    <n v="816"/>
    <s v="Samish River"/>
    <s v="Samish River"/>
    <s v="Skagit"/>
    <x v="1"/>
    <s v="Skagit"/>
    <s v="02Skagit"/>
    <s v="01North Puget Sound"/>
    <n v="20.6666666666667"/>
    <n v="71.093333333333447"/>
  </r>
  <r>
    <n v="3180"/>
    <x v="9"/>
    <x v="2"/>
    <x v="9"/>
    <s v="Freshwater"/>
    <s v="2Freshwater"/>
    <s v="Salmon"/>
    <n v="816"/>
    <s v="Samish River"/>
    <s v="Samish River"/>
    <s v="Skagit"/>
    <x v="1"/>
    <s v="Snohomish"/>
    <s v="03Snohomish"/>
    <s v="01North Puget Sound"/>
    <n v="10.3333333333333"/>
    <n v="35.546666666666553"/>
  </r>
  <r>
    <n v="3181"/>
    <x v="9"/>
    <x v="5"/>
    <x v="9"/>
    <s v="Freshwater"/>
    <s v="2Freshwater"/>
    <s v="Salmon"/>
    <n v="825"/>
    <s v="Baker Lake"/>
    <s v="Baker Lake"/>
    <s v="Whatcom"/>
    <x v="1"/>
    <s v="Island"/>
    <s v="04Island"/>
    <s v="01North Puget Sound"/>
    <n v="261.66666666666703"/>
    <n v="900.13333333333458"/>
  </r>
  <r>
    <n v="3182"/>
    <x v="9"/>
    <x v="5"/>
    <x v="9"/>
    <s v="Freshwater"/>
    <s v="2Freshwater"/>
    <s v="Salmon"/>
    <n v="825"/>
    <s v="Baker Lake"/>
    <s v="Baker Lake"/>
    <s v="Whatcom"/>
    <x v="1"/>
    <s v="King"/>
    <s v="06King"/>
    <s v="02South Puget Sound"/>
    <n v="491.933333333333"/>
    <n v="1692.2506666666654"/>
  </r>
  <r>
    <n v="3183"/>
    <x v="9"/>
    <x v="5"/>
    <x v="9"/>
    <s v="Freshwater"/>
    <s v="2Freshwater"/>
    <s v="Salmon"/>
    <n v="825"/>
    <s v="Baker Lake"/>
    <s v="Baker Lake"/>
    <s v="Whatcom"/>
    <x v="1"/>
    <s v="Other"/>
    <s v="20Other"/>
    <s v="07Non Puget Sound"/>
    <n v="125.6"/>
    <n v="432.06399999999996"/>
  </r>
  <r>
    <n v="3184"/>
    <x v="9"/>
    <x v="5"/>
    <x v="9"/>
    <s v="Freshwater"/>
    <s v="2Freshwater"/>
    <s v="Salmon"/>
    <n v="825"/>
    <s v="Baker Lake"/>
    <s v="Baker Lake"/>
    <s v="Whatcom"/>
    <x v="1"/>
    <s v="Skagit"/>
    <s v="02Skagit"/>
    <s v="01North Puget Sound"/>
    <n v="565.20000000000005"/>
    <n v="1944.2880000000002"/>
  </r>
  <r>
    <n v="3185"/>
    <x v="9"/>
    <x v="5"/>
    <x v="9"/>
    <s v="Freshwater"/>
    <s v="2Freshwater"/>
    <s v="Salmon"/>
    <n v="825"/>
    <s v="Baker Lake"/>
    <s v="Baker Lake"/>
    <s v="Whatcom"/>
    <x v="1"/>
    <s v="Snohomish"/>
    <s v="03Snohomish"/>
    <s v="01North Puget Sound"/>
    <n v="586.13333333333298"/>
    <n v="2016.2986666666654"/>
  </r>
  <r>
    <n v="3186"/>
    <x v="9"/>
    <x v="5"/>
    <x v="9"/>
    <s v="Freshwater"/>
    <s v="2Freshwater"/>
    <s v="Salmon"/>
    <n v="825"/>
    <s v="Baker Lake"/>
    <s v="Baker Lake"/>
    <s v="Whatcom"/>
    <x v="1"/>
    <s v="Thurston"/>
    <s v="08Thurston"/>
    <s v="02South Puget Sound"/>
    <n v="52.3333333333333"/>
    <n v="180.02666666666656"/>
  </r>
  <r>
    <n v="3187"/>
    <x v="9"/>
    <x v="5"/>
    <x v="9"/>
    <s v="Freshwater"/>
    <s v="2Freshwater"/>
    <s v="Salmon"/>
    <n v="825"/>
    <s v="Baker Lake"/>
    <s v="Baker Lake"/>
    <s v="Whatcom"/>
    <x v="1"/>
    <s v="Whatcom"/>
    <s v="01Whatcom"/>
    <s v="01North Puget Sound"/>
    <n v="429.13333333333298"/>
    <n v="1476.2186666666655"/>
  </r>
  <r>
    <n v="3188"/>
    <x v="9"/>
    <x v="0"/>
    <x v="9"/>
    <s v="Freshwater"/>
    <s v="2Freshwater"/>
    <s v="Salmon"/>
    <n v="825"/>
    <s v="Baker Lake"/>
    <s v="Baker Lake"/>
    <s v="Whatcom"/>
    <x v="1"/>
    <s v="King"/>
    <s v="06King"/>
    <s v="02South Puget Sound"/>
    <n v="31.4"/>
    <n v="108.01599999999999"/>
  </r>
  <r>
    <n v="3189"/>
    <x v="9"/>
    <x v="0"/>
    <x v="9"/>
    <s v="Freshwater"/>
    <s v="2Freshwater"/>
    <s v="Salmon"/>
    <n v="825"/>
    <s v="Baker Lake"/>
    <s v="Baker Lake"/>
    <s v="Whatcom"/>
    <x v="1"/>
    <s v="Other"/>
    <s v="20Other"/>
    <s v="07Non Puget Sound"/>
    <n v="83.733333333333405"/>
    <n v="288.04266666666689"/>
  </r>
  <r>
    <n v="3190"/>
    <x v="9"/>
    <x v="0"/>
    <x v="9"/>
    <s v="Freshwater"/>
    <s v="2Freshwater"/>
    <s v="Salmon"/>
    <n v="825"/>
    <s v="Baker Lake"/>
    <s v="Baker Lake"/>
    <s v="Whatcom"/>
    <x v="1"/>
    <s v="Skagit"/>
    <s v="02Skagit"/>
    <s v="01North Puget Sound"/>
    <n v="10.466666666666701"/>
    <n v="36.005333333333446"/>
  </r>
  <r>
    <n v="3191"/>
    <x v="9"/>
    <x v="0"/>
    <x v="9"/>
    <s v="Freshwater"/>
    <s v="2Freshwater"/>
    <s v="Salmon"/>
    <n v="825"/>
    <s v="Baker Lake"/>
    <s v="Baker Lake"/>
    <s v="Whatcom"/>
    <x v="1"/>
    <s v="Snohomish"/>
    <s v="03Snohomish"/>
    <s v="01North Puget Sound"/>
    <n v="20.933333333333302"/>
    <n v="72.010666666666552"/>
  </r>
  <r>
    <n v="3192"/>
    <x v="9"/>
    <x v="0"/>
    <x v="9"/>
    <s v="Freshwater"/>
    <s v="2Freshwater"/>
    <s v="Salmon"/>
    <n v="825"/>
    <s v="Baker Lake"/>
    <s v="Baker Lake"/>
    <s v="Whatcom"/>
    <x v="1"/>
    <s v="Whatcom"/>
    <s v="01Whatcom"/>
    <s v="01North Puget Sound"/>
    <n v="10.466666666666701"/>
    <n v="36.005333333333446"/>
  </r>
  <r>
    <n v="3193"/>
    <x v="9"/>
    <x v="1"/>
    <x v="9"/>
    <s v="Freshwater"/>
    <s v="2Freshwater"/>
    <s v="Salmon"/>
    <n v="825"/>
    <s v="Baker Lake"/>
    <s v="Baker Lake"/>
    <s v="Whatcom"/>
    <x v="1"/>
    <s v="Other"/>
    <s v="20Other"/>
    <s v="07Non Puget Sound"/>
    <n v="20.8571428571429"/>
    <n v="71.74857142857158"/>
  </r>
  <r>
    <n v="3194"/>
    <x v="9"/>
    <x v="1"/>
    <x v="9"/>
    <s v="Freshwater"/>
    <s v="2Freshwater"/>
    <s v="Salmon"/>
    <n v="825"/>
    <s v="Baker Lake"/>
    <s v="Baker Lake"/>
    <s v="Whatcom"/>
    <x v="1"/>
    <s v="Skagit"/>
    <s v="02Skagit"/>
    <s v="01North Puget Sound"/>
    <n v="20.8571428571429"/>
    <n v="71.74857142857158"/>
  </r>
  <r>
    <n v="3195"/>
    <x v="9"/>
    <x v="1"/>
    <x v="9"/>
    <s v="Freshwater"/>
    <s v="2Freshwater"/>
    <s v="Salmon"/>
    <n v="825"/>
    <s v="Baker Lake"/>
    <s v="Baker Lake"/>
    <s v="Whatcom"/>
    <x v="1"/>
    <s v="Snohomish"/>
    <s v="03Snohomish"/>
    <s v="01North Puget Sound"/>
    <n v="10.4285714285714"/>
    <n v="35.87428571428562"/>
  </r>
  <r>
    <n v="3196"/>
    <x v="9"/>
    <x v="1"/>
    <x v="9"/>
    <s v="Freshwater"/>
    <s v="2Freshwater"/>
    <s v="Salmon"/>
    <n v="825"/>
    <s v="Baker Lake"/>
    <s v="Baker Lake"/>
    <s v="Whatcom"/>
    <x v="1"/>
    <s v="Whatcom"/>
    <s v="01Whatcom"/>
    <s v="01North Puget Sound"/>
    <n v="20.8571428571429"/>
    <n v="71.74857142857158"/>
  </r>
  <r>
    <n v="3197"/>
    <x v="9"/>
    <x v="2"/>
    <x v="9"/>
    <s v="Freshwater"/>
    <s v="2Freshwater"/>
    <s v="Salmon"/>
    <n v="825"/>
    <s v="Baker Lake"/>
    <s v="Baker Lake"/>
    <s v="Whatcom"/>
    <x v="1"/>
    <s v="Island"/>
    <s v="04Island"/>
    <s v="01North Puget Sound"/>
    <n v="0"/>
    <n v="0"/>
  </r>
  <r>
    <n v="3198"/>
    <x v="9"/>
    <x v="9"/>
    <x v="9"/>
    <s v="Freshwater"/>
    <s v="2Freshwater"/>
    <s v="Salmon"/>
    <n v="826"/>
    <s v="Cascade River"/>
    <s v="Cascade River"/>
    <s v="Skagit"/>
    <x v="1"/>
    <s v="King"/>
    <s v="06King"/>
    <s v="02South Puget Sound"/>
    <n v="31.125"/>
    <n v="107.07"/>
  </r>
  <r>
    <n v="3199"/>
    <x v="9"/>
    <x v="9"/>
    <x v="9"/>
    <s v="Freshwater"/>
    <s v="2Freshwater"/>
    <s v="Salmon"/>
    <n v="826"/>
    <s v="Cascade River"/>
    <s v="Cascade River"/>
    <s v="Skagit"/>
    <x v="1"/>
    <s v="Other"/>
    <s v="20Other"/>
    <s v="07Non Puget Sound"/>
    <n v="31.125"/>
    <n v="107.07"/>
  </r>
  <r>
    <n v="3200"/>
    <x v="9"/>
    <x v="9"/>
    <x v="9"/>
    <s v="Freshwater"/>
    <s v="2Freshwater"/>
    <s v="Salmon"/>
    <n v="826"/>
    <s v="Cascade River"/>
    <s v="Cascade River"/>
    <s v="Skagit"/>
    <x v="1"/>
    <s v="Whatcom"/>
    <s v="01Whatcom"/>
    <s v="01North Puget Sound"/>
    <n v="20.75"/>
    <n v="71.38"/>
  </r>
  <r>
    <n v="3201"/>
    <x v="9"/>
    <x v="7"/>
    <x v="9"/>
    <s v="Freshwater"/>
    <s v="2Freshwater"/>
    <s v="Salmon"/>
    <n v="826"/>
    <s v="Cascade River"/>
    <s v="Cascade River"/>
    <s v="Skagit"/>
    <x v="1"/>
    <s v="King"/>
    <s v="06King"/>
    <s v="02South Puget Sound"/>
    <n v="135.19999999999999"/>
    <n v="465.08799999999997"/>
  </r>
  <r>
    <n v="3202"/>
    <x v="9"/>
    <x v="7"/>
    <x v="9"/>
    <s v="Freshwater"/>
    <s v="2Freshwater"/>
    <s v="Salmon"/>
    <n v="826"/>
    <s v="Cascade River"/>
    <s v="Cascade River"/>
    <s v="Skagit"/>
    <x v="1"/>
    <s v="Whatcom"/>
    <s v="01Whatcom"/>
    <s v="01North Puget Sound"/>
    <n v="20.8"/>
    <n v="71.552000000000007"/>
  </r>
  <r>
    <n v="3203"/>
    <x v="9"/>
    <x v="5"/>
    <x v="9"/>
    <s v="Freshwater"/>
    <s v="2Freshwater"/>
    <s v="Salmon"/>
    <n v="826"/>
    <s v="Cascade River"/>
    <s v="Cascade River"/>
    <s v="Skagit"/>
    <x v="1"/>
    <s v="King"/>
    <s v="06King"/>
    <s v="02South Puget Sound"/>
    <n v="10"/>
    <n v="34.4"/>
  </r>
  <r>
    <n v="3204"/>
    <x v="9"/>
    <x v="0"/>
    <x v="9"/>
    <s v="Freshwater"/>
    <s v="2Freshwater"/>
    <s v="Salmon"/>
    <n v="826"/>
    <s v="Cascade River"/>
    <s v="Cascade River"/>
    <s v="Skagit"/>
    <x v="1"/>
    <s v="Skagit"/>
    <s v="02Skagit"/>
    <s v="01North Puget Sound"/>
    <n v="10"/>
    <n v="34.4"/>
  </r>
  <r>
    <n v="3205"/>
    <x v="9"/>
    <x v="1"/>
    <x v="9"/>
    <s v="Freshwater"/>
    <s v="2Freshwater"/>
    <s v="Salmon"/>
    <n v="826"/>
    <s v="Cascade River"/>
    <s v="Cascade River"/>
    <s v="Skagit"/>
    <x v="1"/>
    <s v="Island"/>
    <s v="04Island"/>
    <s v="01North Puget Sound"/>
    <n v="41.729729729729698"/>
    <n v="143.55027027027015"/>
  </r>
  <r>
    <n v="3206"/>
    <x v="9"/>
    <x v="1"/>
    <x v="9"/>
    <s v="Freshwater"/>
    <s v="2Freshwater"/>
    <s v="Salmon"/>
    <n v="826"/>
    <s v="Cascade River"/>
    <s v="Cascade River"/>
    <s v="Skagit"/>
    <x v="1"/>
    <s v="King"/>
    <s v="06King"/>
    <s v="02South Puget Sound"/>
    <n v="125.18918918918899"/>
    <n v="430.65081081081013"/>
  </r>
  <r>
    <n v="3207"/>
    <x v="9"/>
    <x v="1"/>
    <x v="9"/>
    <s v="Freshwater"/>
    <s v="2Freshwater"/>
    <s v="Salmon"/>
    <n v="826"/>
    <s v="Cascade River"/>
    <s v="Cascade River"/>
    <s v="Skagit"/>
    <x v="1"/>
    <s v="Pierce"/>
    <s v="07Pierce"/>
    <s v="02South Puget Sound"/>
    <n v="10.4324324324324"/>
    <n v="35.887567567567451"/>
  </r>
  <r>
    <n v="3208"/>
    <x v="9"/>
    <x v="1"/>
    <x v="9"/>
    <s v="Freshwater"/>
    <s v="2Freshwater"/>
    <s v="Salmon"/>
    <n v="826"/>
    <s v="Cascade River"/>
    <s v="Cascade River"/>
    <s v="Skagit"/>
    <x v="1"/>
    <s v="Skagit"/>
    <s v="02Skagit"/>
    <s v="01North Puget Sound"/>
    <n v="354.70270270270299"/>
    <n v="1220.1772972972983"/>
  </r>
  <r>
    <n v="3209"/>
    <x v="9"/>
    <x v="1"/>
    <x v="9"/>
    <s v="Freshwater"/>
    <s v="2Freshwater"/>
    <s v="Salmon"/>
    <n v="826"/>
    <s v="Cascade River"/>
    <s v="Cascade River"/>
    <s v="Skagit"/>
    <x v="1"/>
    <s v="Snohomish"/>
    <s v="03Snohomish"/>
    <s v="01North Puget Sound"/>
    <n v="239.94594594594599"/>
    <n v="825.41405405405419"/>
  </r>
  <r>
    <n v="3210"/>
    <x v="9"/>
    <x v="2"/>
    <x v="9"/>
    <s v="Freshwater"/>
    <s v="2Freshwater"/>
    <s v="Salmon"/>
    <n v="826"/>
    <s v="Cascade River"/>
    <s v="Cascade River"/>
    <s v="Skagit"/>
    <x v="1"/>
    <s v="Island"/>
    <s v="04Island"/>
    <s v="01North Puget Sound"/>
    <n v="20.8507462686567"/>
    <n v="71.726567164179045"/>
  </r>
  <r>
    <n v="3211"/>
    <x v="9"/>
    <x v="2"/>
    <x v="9"/>
    <s v="Freshwater"/>
    <s v="2Freshwater"/>
    <s v="Salmon"/>
    <n v="826"/>
    <s v="Cascade River"/>
    <s v="Cascade River"/>
    <s v="Skagit"/>
    <x v="1"/>
    <s v="King"/>
    <s v="06King"/>
    <s v="02South Puget Sound"/>
    <n v="260.63432835820902"/>
    <n v="896.58208955223904"/>
  </r>
  <r>
    <n v="3212"/>
    <x v="9"/>
    <x v="2"/>
    <x v="9"/>
    <s v="Freshwater"/>
    <s v="2Freshwater"/>
    <s v="Salmon"/>
    <n v="826"/>
    <s v="Cascade River"/>
    <s v="Cascade River"/>
    <s v="Skagit"/>
    <x v="1"/>
    <s v="Other"/>
    <s v="20Other"/>
    <s v="07Non Puget Sound"/>
    <n v="125.10447761194"/>
    <n v="430.35940298507359"/>
  </r>
  <r>
    <n v="3213"/>
    <x v="9"/>
    <x v="2"/>
    <x v="9"/>
    <s v="Freshwater"/>
    <s v="2Freshwater"/>
    <s v="Salmon"/>
    <n v="826"/>
    <s v="Cascade River"/>
    <s v="Cascade River"/>
    <s v="Skagit"/>
    <x v="1"/>
    <s v="Pierce"/>
    <s v="07Pierce"/>
    <s v="02South Puget Sound"/>
    <n v="20.8507462686567"/>
    <n v="71.726567164179045"/>
  </r>
  <r>
    <n v="3214"/>
    <x v="9"/>
    <x v="2"/>
    <x v="9"/>
    <s v="Freshwater"/>
    <s v="2Freshwater"/>
    <s v="Salmon"/>
    <n v="826"/>
    <s v="Cascade River"/>
    <s v="Cascade River"/>
    <s v="Skagit"/>
    <x v="1"/>
    <s v="San Juan"/>
    <s v="05San Juan"/>
    <s v="01North Puget Sound"/>
    <n v="20.8507462686567"/>
    <n v="71.726567164179045"/>
  </r>
  <r>
    <n v="3215"/>
    <x v="9"/>
    <x v="2"/>
    <x v="9"/>
    <s v="Freshwater"/>
    <s v="2Freshwater"/>
    <s v="Salmon"/>
    <n v="826"/>
    <s v="Cascade River"/>
    <s v="Cascade River"/>
    <s v="Skagit"/>
    <x v="1"/>
    <s v="Skagit"/>
    <s v="02Skagit"/>
    <s v="01North Puget Sound"/>
    <n v="667.22388059701495"/>
    <n v="2295.2501492537313"/>
  </r>
  <r>
    <n v="3216"/>
    <x v="9"/>
    <x v="2"/>
    <x v="9"/>
    <s v="Freshwater"/>
    <s v="2Freshwater"/>
    <s v="Salmon"/>
    <n v="826"/>
    <s v="Cascade River"/>
    <s v="Cascade River"/>
    <s v="Skagit"/>
    <x v="1"/>
    <s v="Snohomish"/>
    <s v="03Snohomish"/>
    <s v="01North Puget Sound"/>
    <n v="281.48507462686598"/>
    <n v="968.30865671641891"/>
  </r>
  <r>
    <n v="3217"/>
    <x v="9"/>
    <x v="3"/>
    <x v="9"/>
    <s v="Freshwater"/>
    <s v="2Freshwater"/>
    <s v="Salmon"/>
    <n v="826"/>
    <s v="Cascade River"/>
    <s v="Cascade River"/>
    <s v="Skagit"/>
    <x v="1"/>
    <s v="Skagit"/>
    <s v="02Skagit"/>
    <s v="01North Puget Sound"/>
    <n v="31.5"/>
    <n v="108.36"/>
  </r>
  <r>
    <n v="3218"/>
    <x v="9"/>
    <x v="3"/>
    <x v="9"/>
    <s v="Freshwater"/>
    <s v="2Freshwater"/>
    <s v="Salmon"/>
    <n v="826"/>
    <s v="Cascade River"/>
    <s v="Cascade River"/>
    <s v="Skagit"/>
    <x v="1"/>
    <s v="Snohomish"/>
    <s v="03Snohomish"/>
    <s v="01North Puget Sound"/>
    <n v="10.5"/>
    <n v="36.119999999999997"/>
  </r>
  <r>
    <n v="3219"/>
    <x v="9"/>
    <x v="7"/>
    <x v="9"/>
    <s v="Freshwater"/>
    <s v="2Freshwater"/>
    <s v="Salmon"/>
    <n v="830"/>
    <s v="Skagit River"/>
    <s v="Skagit River"/>
    <s v="Skagit/Whatcom"/>
    <x v="4"/>
    <s v="King"/>
    <s v="06King"/>
    <s v="02South Puget Sound"/>
    <n v="31"/>
    <n v="106.64"/>
  </r>
  <r>
    <n v="3220"/>
    <x v="9"/>
    <x v="7"/>
    <x v="9"/>
    <s v="Freshwater"/>
    <s v="2Freshwater"/>
    <s v="Salmon"/>
    <n v="830"/>
    <s v="Skagit River"/>
    <s v="Skagit River"/>
    <s v="Skagit/Whatcom"/>
    <x v="4"/>
    <s v="Skagit"/>
    <s v="02Skagit"/>
    <s v="01North Puget Sound"/>
    <n v="51.6666666666667"/>
    <n v="177.73333333333343"/>
  </r>
  <r>
    <n v="3221"/>
    <x v="9"/>
    <x v="7"/>
    <x v="9"/>
    <s v="Freshwater"/>
    <s v="2Freshwater"/>
    <s v="Salmon"/>
    <n v="830"/>
    <s v="Skagit River"/>
    <s v="Skagit River"/>
    <s v="Skagit/Whatcom"/>
    <x v="4"/>
    <s v="Whatcom"/>
    <s v="01Whatcom"/>
    <s v="01North Puget Sound"/>
    <n v="10.3333333333333"/>
    <n v="35.546666666666553"/>
  </r>
  <r>
    <n v="3222"/>
    <x v="9"/>
    <x v="5"/>
    <x v="9"/>
    <s v="Freshwater"/>
    <s v="2Freshwater"/>
    <s v="Salmon"/>
    <n v="830"/>
    <s v="Skagit River"/>
    <s v="Skagit River"/>
    <s v="Skagit/Whatcom"/>
    <x v="4"/>
    <s v="Island"/>
    <s v="04Island"/>
    <s v="01North Puget Sound"/>
    <n v="10.4285714285714"/>
    <n v="35.87428571428562"/>
  </r>
  <r>
    <n v="3223"/>
    <x v="9"/>
    <x v="5"/>
    <x v="9"/>
    <s v="Freshwater"/>
    <s v="2Freshwater"/>
    <s v="Salmon"/>
    <n v="830"/>
    <s v="Skagit River"/>
    <s v="Skagit River"/>
    <s v="Skagit/Whatcom"/>
    <x v="4"/>
    <s v="King"/>
    <s v="06King"/>
    <s v="02South Puget Sound"/>
    <n v="52.142857142857203"/>
    <n v="179.37142857142877"/>
  </r>
  <r>
    <n v="3224"/>
    <x v="9"/>
    <x v="5"/>
    <x v="9"/>
    <s v="Freshwater"/>
    <s v="2Freshwater"/>
    <s v="Salmon"/>
    <n v="830"/>
    <s v="Skagit River"/>
    <s v="Skagit River"/>
    <s v="Skagit/Whatcom"/>
    <x v="4"/>
    <s v="Other"/>
    <s v="20Other"/>
    <s v="07Non Puget Sound"/>
    <n v="20.8571428571429"/>
    <n v="71.74857142857158"/>
  </r>
  <r>
    <n v="3225"/>
    <x v="9"/>
    <x v="5"/>
    <x v="9"/>
    <s v="Freshwater"/>
    <s v="2Freshwater"/>
    <s v="Salmon"/>
    <n v="830"/>
    <s v="Skagit River"/>
    <s v="Skagit River"/>
    <s v="Skagit/Whatcom"/>
    <x v="4"/>
    <s v="Skagit"/>
    <s v="02Skagit"/>
    <s v="01North Puget Sound"/>
    <n v="114.71428571428601"/>
    <n v="394.61714285714385"/>
  </r>
  <r>
    <n v="3226"/>
    <x v="9"/>
    <x v="5"/>
    <x v="9"/>
    <s v="Freshwater"/>
    <s v="2Freshwater"/>
    <s v="Salmon"/>
    <n v="830"/>
    <s v="Skagit River"/>
    <s v="Skagit River"/>
    <s v="Skagit/Whatcom"/>
    <x v="4"/>
    <s v="Snohomish"/>
    <s v="03Snohomish"/>
    <s v="01North Puget Sound"/>
    <n v="10.4285714285714"/>
    <n v="35.87428571428562"/>
  </r>
  <r>
    <n v="3227"/>
    <x v="9"/>
    <x v="5"/>
    <x v="9"/>
    <s v="Freshwater"/>
    <s v="2Freshwater"/>
    <s v="Salmon"/>
    <n v="830"/>
    <s v="Skagit River"/>
    <s v="Skagit River"/>
    <s v="Skagit/Whatcom"/>
    <x v="4"/>
    <s v="Whatcom"/>
    <s v="01Whatcom"/>
    <s v="01North Puget Sound"/>
    <n v="10.4285714285714"/>
    <n v="35.87428571428562"/>
  </r>
  <r>
    <n v="3228"/>
    <x v="9"/>
    <x v="0"/>
    <x v="9"/>
    <s v="Freshwater"/>
    <s v="2Freshwater"/>
    <s v="Salmon"/>
    <n v="830"/>
    <s v="Skagit River"/>
    <s v="Skagit River"/>
    <s v="Skagit/Whatcom"/>
    <x v="4"/>
    <s v="Skagit"/>
    <s v="02Skagit"/>
    <s v="01North Puget Sound"/>
    <n v="94.5"/>
    <n v="325.08"/>
  </r>
  <r>
    <n v="3229"/>
    <x v="9"/>
    <x v="0"/>
    <x v="9"/>
    <s v="Freshwater"/>
    <s v="2Freshwater"/>
    <s v="Salmon"/>
    <n v="830"/>
    <s v="Skagit River"/>
    <s v="Skagit River"/>
    <s v="Skagit/Whatcom"/>
    <x v="4"/>
    <s v="Snohomish"/>
    <s v="03Snohomish"/>
    <s v="01North Puget Sound"/>
    <n v="10.5"/>
    <n v="36.119999999999997"/>
  </r>
  <r>
    <n v="3230"/>
    <x v="9"/>
    <x v="1"/>
    <x v="9"/>
    <s v="Freshwater"/>
    <s v="2Freshwater"/>
    <s v="Salmon"/>
    <n v="830"/>
    <s v="Skagit River"/>
    <s v="Skagit River"/>
    <s v="Skagit/Whatcom"/>
    <x v="4"/>
    <s v="Island"/>
    <s v="04Island"/>
    <s v="01North Puget Sound"/>
    <n v="72.9722222222222"/>
    <n v="251.02444444444436"/>
  </r>
  <r>
    <n v="3231"/>
    <x v="9"/>
    <x v="1"/>
    <x v="9"/>
    <s v="Freshwater"/>
    <s v="2Freshwater"/>
    <s v="Salmon"/>
    <n v="830"/>
    <s v="Skagit River"/>
    <s v="Skagit River"/>
    <s v="Skagit/Whatcom"/>
    <x v="4"/>
    <s v="King"/>
    <s v="06King"/>
    <s v="02South Puget Sound"/>
    <n v="41.698412698412703"/>
    <n v="143.44253968253969"/>
  </r>
  <r>
    <n v="3232"/>
    <x v="9"/>
    <x v="1"/>
    <x v="9"/>
    <s v="Freshwater"/>
    <s v="2Freshwater"/>
    <s v="Salmon"/>
    <n v="830"/>
    <s v="Skagit River"/>
    <s v="Skagit River"/>
    <s v="Skagit/Whatcom"/>
    <x v="4"/>
    <s v="Other"/>
    <s v="20Other"/>
    <s v="07Non Puget Sound"/>
    <n v="10.424603174603201"/>
    <n v="35.860634920635007"/>
  </r>
  <r>
    <n v="3233"/>
    <x v="9"/>
    <x v="1"/>
    <x v="9"/>
    <s v="Freshwater"/>
    <s v="2Freshwater"/>
    <s v="Salmon"/>
    <n v="830"/>
    <s v="Skagit River"/>
    <s v="Skagit River"/>
    <s v="Skagit/Whatcom"/>
    <x v="4"/>
    <s v="Skagit"/>
    <s v="02Skagit"/>
    <s v="01North Puget Sound"/>
    <n v="2022.37301587302"/>
    <n v="6956.9631746031882"/>
  </r>
  <r>
    <n v="3234"/>
    <x v="9"/>
    <x v="1"/>
    <x v="9"/>
    <s v="Freshwater"/>
    <s v="2Freshwater"/>
    <s v="Salmon"/>
    <n v="830"/>
    <s v="Skagit River"/>
    <s v="Skagit River"/>
    <s v="Skagit/Whatcom"/>
    <x v="4"/>
    <s v="Snohomish"/>
    <s v="03Snohomish"/>
    <s v="01North Puget Sound"/>
    <n v="323.16269841269798"/>
    <n v="1111.6796825396809"/>
  </r>
  <r>
    <n v="3235"/>
    <x v="9"/>
    <x v="1"/>
    <x v="9"/>
    <s v="Freshwater"/>
    <s v="2Freshwater"/>
    <s v="Salmon"/>
    <n v="830"/>
    <s v="Skagit River"/>
    <s v="Skagit River"/>
    <s v="Skagit/Whatcom"/>
    <x v="4"/>
    <s v="Whatcom"/>
    <s v="01Whatcom"/>
    <s v="01North Puget Sound"/>
    <n v="156.36904761904799"/>
    <n v="537.90952380952513"/>
  </r>
  <r>
    <n v="3236"/>
    <x v="9"/>
    <x v="2"/>
    <x v="9"/>
    <s v="Freshwater"/>
    <s v="2Freshwater"/>
    <s v="Salmon"/>
    <n v="830"/>
    <s v="Skagit River"/>
    <s v="Skagit River"/>
    <s v="Skagit/Whatcom"/>
    <x v="4"/>
    <s v="Island"/>
    <s v="04Island"/>
    <s v="01North Puget Sound"/>
    <n v="63.154929577464799"/>
    <n v="217.2529577464789"/>
  </r>
  <r>
    <n v="3237"/>
    <x v="9"/>
    <x v="2"/>
    <x v="9"/>
    <s v="Freshwater"/>
    <s v="2Freshwater"/>
    <s v="Salmon"/>
    <n v="830"/>
    <s v="Skagit River"/>
    <s v="Skagit River"/>
    <s v="Skagit/Whatcom"/>
    <x v="4"/>
    <s v="King"/>
    <s v="06King"/>
    <s v="02South Puget Sound"/>
    <n v="199.99061032863901"/>
    <n v="687.96769953051819"/>
  </r>
  <r>
    <n v="3238"/>
    <x v="9"/>
    <x v="2"/>
    <x v="9"/>
    <s v="Freshwater"/>
    <s v="2Freshwater"/>
    <s v="Salmon"/>
    <n v="830"/>
    <s v="Skagit River"/>
    <s v="Skagit River"/>
    <s v="Skagit/Whatcom"/>
    <x v="4"/>
    <s v="Other"/>
    <s v="20Other"/>
    <s v="07Non Puget Sound"/>
    <n v="21.051643192488299"/>
    <n v="72.417652582159747"/>
  </r>
  <r>
    <n v="3239"/>
    <x v="9"/>
    <x v="2"/>
    <x v="9"/>
    <s v="Freshwater"/>
    <s v="2Freshwater"/>
    <s v="Salmon"/>
    <n v="830"/>
    <s v="Skagit River"/>
    <s v="Skagit River"/>
    <s v="Skagit/Whatcom"/>
    <x v="4"/>
    <s v="Pierce"/>
    <s v="07Pierce"/>
    <s v="02South Puget Sound"/>
    <n v="31.577464788732399"/>
    <n v="108.62647887323945"/>
  </r>
  <r>
    <n v="3240"/>
    <x v="9"/>
    <x v="2"/>
    <x v="9"/>
    <s v="Freshwater"/>
    <s v="2Freshwater"/>
    <s v="Salmon"/>
    <n v="830"/>
    <s v="Skagit River"/>
    <s v="Skagit River"/>
    <s v="Skagit/Whatcom"/>
    <x v="4"/>
    <s v="Skagit"/>
    <s v="02Skagit"/>
    <s v="01North Puget Sound"/>
    <n v="1368.35680751174"/>
    <n v="4707.147417840386"/>
  </r>
  <r>
    <n v="3241"/>
    <x v="9"/>
    <x v="2"/>
    <x v="9"/>
    <s v="Freshwater"/>
    <s v="2Freshwater"/>
    <s v="Salmon"/>
    <n v="830"/>
    <s v="Skagit River"/>
    <s v="Skagit River"/>
    <s v="Skagit/Whatcom"/>
    <x v="4"/>
    <s v="Snohomish"/>
    <s v="03Snohomish"/>
    <s v="01North Puget Sound"/>
    <n v="221.04225352112701"/>
    <n v="760.38535211267686"/>
  </r>
  <r>
    <n v="3242"/>
    <x v="9"/>
    <x v="2"/>
    <x v="9"/>
    <s v="Freshwater"/>
    <s v="2Freshwater"/>
    <s v="Salmon"/>
    <n v="830"/>
    <s v="Skagit River"/>
    <s v="Skagit River"/>
    <s v="Skagit/Whatcom"/>
    <x v="4"/>
    <s v="Thurston"/>
    <s v="08Thurston"/>
    <s v="02South Puget Sound"/>
    <n v="31.577464788732399"/>
    <n v="108.62647887323945"/>
  </r>
  <r>
    <n v="3243"/>
    <x v="9"/>
    <x v="2"/>
    <x v="9"/>
    <s v="Freshwater"/>
    <s v="2Freshwater"/>
    <s v="Salmon"/>
    <n v="830"/>
    <s v="Skagit River"/>
    <s v="Skagit River"/>
    <s v="Skagit/Whatcom"/>
    <x v="4"/>
    <s v="Whatcom"/>
    <s v="01Whatcom"/>
    <s v="01North Puget Sound"/>
    <n v="305.24882629107998"/>
    <n v="1050.0559624413152"/>
  </r>
  <r>
    <n v="3244"/>
    <x v="9"/>
    <x v="3"/>
    <x v="9"/>
    <s v="Freshwater"/>
    <s v="2Freshwater"/>
    <s v="Salmon"/>
    <n v="830"/>
    <s v="Skagit River"/>
    <s v="Skagit River"/>
    <s v="Skagit/Whatcom"/>
    <x v="4"/>
    <s v="Island"/>
    <s v="04Island"/>
    <s v="01North Puget Sound"/>
    <n v="10.44"/>
    <n v="35.913599999999995"/>
  </r>
  <r>
    <n v="3245"/>
    <x v="9"/>
    <x v="3"/>
    <x v="9"/>
    <s v="Freshwater"/>
    <s v="2Freshwater"/>
    <s v="Salmon"/>
    <n v="830"/>
    <s v="Skagit River"/>
    <s v="Skagit River"/>
    <s v="Skagit/Whatcom"/>
    <x v="4"/>
    <s v="King"/>
    <s v="06King"/>
    <s v="02South Puget Sound"/>
    <n v="73.08"/>
    <n v="251.39519999999999"/>
  </r>
  <r>
    <n v="3246"/>
    <x v="9"/>
    <x v="3"/>
    <x v="9"/>
    <s v="Freshwater"/>
    <s v="2Freshwater"/>
    <s v="Salmon"/>
    <n v="830"/>
    <s v="Skagit River"/>
    <s v="Skagit River"/>
    <s v="Skagit/Whatcom"/>
    <x v="4"/>
    <s v="Skagit"/>
    <s v="02Skagit"/>
    <s v="01North Puget Sound"/>
    <n v="114.84"/>
    <n v="395.0496"/>
  </r>
  <r>
    <n v="3247"/>
    <x v="9"/>
    <x v="3"/>
    <x v="9"/>
    <s v="Freshwater"/>
    <s v="2Freshwater"/>
    <s v="Salmon"/>
    <n v="830"/>
    <s v="Skagit River"/>
    <s v="Skagit River"/>
    <s v="Skagit/Whatcom"/>
    <x v="4"/>
    <s v="Snohomish"/>
    <s v="03Snohomish"/>
    <s v="01North Puget Sound"/>
    <n v="10.44"/>
    <n v="35.913599999999995"/>
  </r>
  <r>
    <n v="3248"/>
    <x v="9"/>
    <x v="3"/>
    <x v="9"/>
    <s v="Freshwater"/>
    <s v="2Freshwater"/>
    <s v="Salmon"/>
    <n v="830"/>
    <s v="Skagit River"/>
    <s v="Skagit River"/>
    <s v="Skagit/Whatcom"/>
    <x v="4"/>
    <s v="Whatcom"/>
    <s v="01Whatcom"/>
    <s v="01North Puget Sound"/>
    <n v="52.2"/>
    <n v="179.56800000000001"/>
  </r>
  <r>
    <n v="3249"/>
    <x v="9"/>
    <x v="0"/>
    <x v="9"/>
    <s v="Freshwater"/>
    <s v="2Freshwater"/>
    <s v="Salmon"/>
    <n v="840"/>
    <s v="Pilchuck River (Snohomish System)"/>
    <s v="Pilchuck River (Snohomish System)"/>
    <s v="Snohomish"/>
    <x v="4"/>
    <s v="Other"/>
    <s v="20Other"/>
    <s v="07Non Puget Sound"/>
    <n v="0"/>
    <n v="0"/>
  </r>
  <r>
    <n v="3250"/>
    <x v="9"/>
    <x v="9"/>
    <x v="9"/>
    <s v="Freshwater"/>
    <s v="2Freshwater"/>
    <s v="Salmon"/>
    <n v="844"/>
    <s v="Skykomish River"/>
    <s v="Skykomish River"/>
    <s v="Snohomish"/>
    <x v="4"/>
    <s v="King"/>
    <s v="06King"/>
    <s v="02South Puget Sound"/>
    <n v="11"/>
    <n v="37.839999999999996"/>
  </r>
  <r>
    <n v="3251"/>
    <x v="9"/>
    <x v="9"/>
    <x v="9"/>
    <s v="Freshwater"/>
    <s v="2Freshwater"/>
    <s v="Salmon"/>
    <n v="844"/>
    <s v="Skykomish River"/>
    <s v="Skykomish River"/>
    <s v="Snohomish"/>
    <x v="4"/>
    <s v="Snohomish"/>
    <s v="03Snohomish"/>
    <s v="01North Puget Sound"/>
    <n v="11"/>
    <n v="37.839999999999996"/>
  </r>
  <r>
    <n v="3252"/>
    <x v="9"/>
    <x v="7"/>
    <x v="9"/>
    <s v="Freshwater"/>
    <s v="2Freshwater"/>
    <s v="Salmon"/>
    <n v="844"/>
    <s v="Skykomish River"/>
    <s v="Skykomish River"/>
    <s v="Snohomish"/>
    <x v="4"/>
    <s v="King"/>
    <s v="06King"/>
    <s v="02South Puget Sound"/>
    <n v="43.5555555555556"/>
    <n v="149.83111111111126"/>
  </r>
  <r>
    <n v="3253"/>
    <x v="9"/>
    <x v="7"/>
    <x v="9"/>
    <s v="Freshwater"/>
    <s v="2Freshwater"/>
    <s v="Salmon"/>
    <n v="844"/>
    <s v="Skykomish River"/>
    <s v="Skykomish River"/>
    <s v="Snohomish"/>
    <x v="4"/>
    <s v="Pierce"/>
    <s v="07Pierce"/>
    <s v="02South Puget Sound"/>
    <n v="21.7777777777778"/>
    <n v="74.915555555555628"/>
  </r>
  <r>
    <n v="3254"/>
    <x v="9"/>
    <x v="7"/>
    <x v="9"/>
    <s v="Freshwater"/>
    <s v="2Freshwater"/>
    <s v="Salmon"/>
    <n v="844"/>
    <s v="Skykomish River"/>
    <s v="Skykomish River"/>
    <s v="Snohomish"/>
    <x v="4"/>
    <s v="Skagit"/>
    <s v="02Skagit"/>
    <s v="01North Puget Sound"/>
    <n v="21.7777777777778"/>
    <n v="74.915555555555628"/>
  </r>
  <r>
    <n v="3255"/>
    <x v="9"/>
    <x v="7"/>
    <x v="9"/>
    <s v="Freshwater"/>
    <s v="2Freshwater"/>
    <s v="Salmon"/>
    <n v="844"/>
    <s v="Skykomish River"/>
    <s v="Skykomish River"/>
    <s v="Snohomish"/>
    <x v="4"/>
    <s v="Snohomish"/>
    <s v="03Snohomish"/>
    <s v="01North Puget Sound"/>
    <n v="10.8888888888889"/>
    <n v="37.457777777777814"/>
  </r>
  <r>
    <n v="3256"/>
    <x v="9"/>
    <x v="5"/>
    <x v="9"/>
    <s v="Freshwater"/>
    <s v="2Freshwater"/>
    <s v="Salmon"/>
    <n v="844"/>
    <s v="Skykomish River"/>
    <s v="Skykomish River"/>
    <s v="Snohomish"/>
    <x v="4"/>
    <s v="King"/>
    <s v="06King"/>
    <s v="02South Puget Sound"/>
    <n v="65.294117647058798"/>
    <n v="224.61176470588225"/>
  </r>
  <r>
    <n v="3257"/>
    <x v="9"/>
    <x v="5"/>
    <x v="9"/>
    <s v="Freshwater"/>
    <s v="2Freshwater"/>
    <s v="Salmon"/>
    <n v="844"/>
    <s v="Skykomish River"/>
    <s v="Skykomish River"/>
    <s v="Snohomish"/>
    <x v="4"/>
    <s v="Snohomish"/>
    <s v="03Snohomish"/>
    <s v="01North Puget Sound"/>
    <n v="119.705882352941"/>
    <n v="411.78823529411704"/>
  </r>
  <r>
    <n v="3258"/>
    <x v="9"/>
    <x v="0"/>
    <x v="9"/>
    <s v="Freshwater"/>
    <s v="2Freshwater"/>
    <s v="Salmon"/>
    <n v="844"/>
    <s v="Skykomish River"/>
    <s v="Skykomish River"/>
    <s v="Snohomish"/>
    <x v="4"/>
    <s v="King"/>
    <s v="06King"/>
    <s v="02South Puget Sound"/>
    <n v="11"/>
    <n v="37.839999999999996"/>
  </r>
  <r>
    <n v="3259"/>
    <x v="9"/>
    <x v="1"/>
    <x v="9"/>
    <s v="Freshwater"/>
    <s v="2Freshwater"/>
    <s v="Salmon"/>
    <n v="844"/>
    <s v="Skykomish River"/>
    <s v="Skykomish River"/>
    <s v="Snohomish"/>
    <x v="4"/>
    <s v="King"/>
    <s v="06King"/>
    <s v="02South Puget Sound"/>
    <n v="72.9166666666667"/>
    <n v="250.83333333333346"/>
  </r>
  <r>
    <n v="3260"/>
    <x v="9"/>
    <x v="1"/>
    <x v="9"/>
    <s v="Freshwater"/>
    <s v="2Freshwater"/>
    <s v="Salmon"/>
    <n v="844"/>
    <s v="Skykomish River"/>
    <s v="Skykomish River"/>
    <s v="Snohomish"/>
    <x v="4"/>
    <s v="Other"/>
    <s v="20Other"/>
    <s v="07Non Puget Sound"/>
    <n v="41.6666666666667"/>
    <n v="143.33333333333346"/>
  </r>
  <r>
    <n v="3261"/>
    <x v="9"/>
    <x v="1"/>
    <x v="9"/>
    <s v="Freshwater"/>
    <s v="2Freshwater"/>
    <s v="Salmon"/>
    <n v="844"/>
    <s v="Skykomish River"/>
    <s v="Skykomish River"/>
    <s v="Snohomish"/>
    <x v="4"/>
    <s v="Pierce"/>
    <s v="07Pierce"/>
    <s v="02South Puget Sound"/>
    <n v="20.8333333333333"/>
    <n v="71.666666666666558"/>
  </r>
  <r>
    <n v="3262"/>
    <x v="9"/>
    <x v="1"/>
    <x v="9"/>
    <s v="Freshwater"/>
    <s v="2Freshwater"/>
    <s v="Salmon"/>
    <n v="844"/>
    <s v="Skykomish River"/>
    <s v="Skykomish River"/>
    <s v="Snohomish"/>
    <x v="4"/>
    <s v="Snohomish"/>
    <s v="03Snohomish"/>
    <s v="01North Puget Sound"/>
    <n v="114.583333333333"/>
    <n v="394.16666666666549"/>
  </r>
  <r>
    <n v="3263"/>
    <x v="9"/>
    <x v="2"/>
    <x v="9"/>
    <s v="Freshwater"/>
    <s v="2Freshwater"/>
    <s v="Salmon"/>
    <n v="844"/>
    <s v="Skykomish River"/>
    <s v="Skykomish River"/>
    <s v="Snohomish"/>
    <x v="4"/>
    <s v="King"/>
    <s v="06King"/>
    <s v="02South Puget Sound"/>
    <n v="10.8"/>
    <n v="37.152000000000001"/>
  </r>
  <r>
    <n v="3264"/>
    <x v="9"/>
    <x v="2"/>
    <x v="9"/>
    <s v="Freshwater"/>
    <s v="2Freshwater"/>
    <s v="Salmon"/>
    <n v="844"/>
    <s v="Skykomish River"/>
    <s v="Skykomish River"/>
    <s v="Snohomish"/>
    <x v="4"/>
    <s v="Other"/>
    <s v="20Other"/>
    <s v="07Non Puget Sound"/>
    <n v="10.8"/>
    <n v="37.152000000000001"/>
  </r>
  <r>
    <n v="3265"/>
    <x v="9"/>
    <x v="2"/>
    <x v="9"/>
    <s v="Freshwater"/>
    <s v="2Freshwater"/>
    <s v="Salmon"/>
    <n v="844"/>
    <s v="Skykomish River"/>
    <s v="Skykomish River"/>
    <s v="Snohomish"/>
    <x v="4"/>
    <s v="Snohomish"/>
    <s v="03Snohomish"/>
    <s v="01North Puget Sound"/>
    <n v="32.4"/>
    <n v="111.45599999999999"/>
  </r>
  <r>
    <n v="3266"/>
    <x v="9"/>
    <x v="3"/>
    <x v="9"/>
    <s v="Freshwater"/>
    <s v="2Freshwater"/>
    <s v="Salmon"/>
    <n v="844"/>
    <s v="Skykomish River"/>
    <s v="Skykomish River"/>
    <s v="Snohomish"/>
    <x v="4"/>
    <s v="Snohomish"/>
    <s v="03Snohomish"/>
    <s v="01North Puget Sound"/>
    <n v="0"/>
    <n v="0"/>
  </r>
  <r>
    <n v="3267"/>
    <x v="9"/>
    <x v="5"/>
    <x v="9"/>
    <s v="Freshwater"/>
    <s v="2Freshwater"/>
    <s v="Salmon"/>
    <n v="850"/>
    <s v="Snohomish River"/>
    <s v="Snohomish River"/>
    <s v="Snohomish"/>
    <x v="4"/>
    <s v="Snohomish"/>
    <s v="03Snohomish"/>
    <s v="01North Puget Sound"/>
    <n v="0"/>
    <n v="0"/>
  </r>
  <r>
    <n v="3268"/>
    <x v="9"/>
    <x v="0"/>
    <x v="9"/>
    <s v="Freshwater"/>
    <s v="2Freshwater"/>
    <s v="Salmon"/>
    <n v="850"/>
    <s v="Snohomish River"/>
    <s v="Snohomish River"/>
    <s v="Snohomish"/>
    <x v="4"/>
    <s v="King"/>
    <s v="06King"/>
    <s v="02South Puget Sound"/>
    <n v="67.928571428571502"/>
    <n v="233.67428571428596"/>
  </r>
  <r>
    <n v="3269"/>
    <x v="9"/>
    <x v="0"/>
    <x v="9"/>
    <s v="Freshwater"/>
    <s v="2Freshwater"/>
    <s v="Salmon"/>
    <n v="850"/>
    <s v="Snohomish River"/>
    <s v="Snohomish River"/>
    <s v="Snohomish"/>
    <x v="4"/>
    <s v="Other"/>
    <s v="20Other"/>
    <s v="07Non Puget Sound"/>
    <n v="22.6428571428571"/>
    <n v="77.89142857142842"/>
  </r>
  <r>
    <n v="3270"/>
    <x v="9"/>
    <x v="0"/>
    <x v="9"/>
    <s v="Freshwater"/>
    <s v="2Freshwater"/>
    <s v="Salmon"/>
    <n v="850"/>
    <s v="Snohomish River"/>
    <s v="Snohomish River"/>
    <s v="Snohomish"/>
    <x v="4"/>
    <s v="Snohomish"/>
    <s v="03Snohomish"/>
    <s v="01North Puget Sound"/>
    <n v="226.42857142857201"/>
    <n v="778.91428571428776"/>
  </r>
  <r>
    <n v="3271"/>
    <x v="9"/>
    <x v="1"/>
    <x v="9"/>
    <s v="Freshwater"/>
    <s v="2Freshwater"/>
    <s v="Salmon"/>
    <n v="850"/>
    <s v="Snohomish River"/>
    <s v="Snohomish River"/>
    <s v="Snohomish"/>
    <x v="4"/>
    <s v="King"/>
    <s v="06King"/>
    <s v="02South Puget Sound"/>
    <n v="287.40157480315003"/>
    <n v="988.66141732283609"/>
  </r>
  <r>
    <n v="3272"/>
    <x v="9"/>
    <x v="1"/>
    <x v="9"/>
    <s v="Freshwater"/>
    <s v="2Freshwater"/>
    <s v="Salmon"/>
    <n v="850"/>
    <s v="Snohomish River"/>
    <s v="Snohomish River"/>
    <s v="Snohomish"/>
    <x v="4"/>
    <s v="Other"/>
    <s v="20Other"/>
    <s v="07Non Puget Sound"/>
    <n v="103.46456692913399"/>
    <n v="355.91811023622091"/>
  </r>
  <r>
    <n v="3273"/>
    <x v="9"/>
    <x v="1"/>
    <x v="9"/>
    <s v="Freshwater"/>
    <s v="2Freshwater"/>
    <s v="Salmon"/>
    <n v="850"/>
    <s v="Snohomish River"/>
    <s v="Snohomish River"/>
    <s v="Snohomish"/>
    <x v="4"/>
    <s v="Pierce"/>
    <s v="07Pierce"/>
    <s v="02South Puget Sound"/>
    <n v="22.992125984251999"/>
    <n v="79.092913385826876"/>
  </r>
  <r>
    <n v="3274"/>
    <x v="9"/>
    <x v="1"/>
    <x v="9"/>
    <s v="Freshwater"/>
    <s v="2Freshwater"/>
    <s v="Salmon"/>
    <n v="850"/>
    <s v="Snohomish River"/>
    <s v="Snohomish River"/>
    <s v="Snohomish"/>
    <x v="4"/>
    <s v="Skagit"/>
    <s v="02Skagit"/>
    <s v="01North Puget Sound"/>
    <n v="45.984251968503898"/>
    <n v="158.18582677165341"/>
  </r>
  <r>
    <n v="3275"/>
    <x v="9"/>
    <x v="1"/>
    <x v="9"/>
    <s v="Freshwater"/>
    <s v="2Freshwater"/>
    <s v="Salmon"/>
    <n v="850"/>
    <s v="Snohomish River"/>
    <s v="Snohomish River"/>
    <s v="Snohomish"/>
    <x v="4"/>
    <s v="Snohomish"/>
    <s v="03Snohomish"/>
    <s v="01North Puget Sound"/>
    <n v="1000.15748031496"/>
    <n v="3440.5417322834624"/>
  </r>
  <r>
    <n v="3276"/>
    <x v="9"/>
    <x v="2"/>
    <x v="9"/>
    <s v="Freshwater"/>
    <s v="2Freshwater"/>
    <s v="Salmon"/>
    <n v="850"/>
    <s v="Snohomish River"/>
    <s v="Snohomish River"/>
    <s v="Snohomish"/>
    <x v="4"/>
    <s v="King"/>
    <s v="06King"/>
    <s v="02South Puget Sound"/>
    <n v="26.7"/>
    <n v="91.847999999999999"/>
  </r>
  <r>
    <n v="3277"/>
    <x v="9"/>
    <x v="2"/>
    <x v="9"/>
    <s v="Freshwater"/>
    <s v="2Freshwater"/>
    <s v="Salmon"/>
    <n v="850"/>
    <s v="Snohomish River"/>
    <s v="Snohomish River"/>
    <s v="Snohomish"/>
    <x v="4"/>
    <s v="Other"/>
    <s v="20Other"/>
    <s v="07Non Puget Sound"/>
    <n v="8.9"/>
    <n v="30.616"/>
  </r>
  <r>
    <n v="3278"/>
    <x v="9"/>
    <x v="2"/>
    <x v="9"/>
    <s v="Freshwater"/>
    <s v="2Freshwater"/>
    <s v="Salmon"/>
    <n v="850"/>
    <s v="Snohomish River"/>
    <s v="Snohomish River"/>
    <s v="Snohomish"/>
    <x v="4"/>
    <s v="Skagit"/>
    <s v="02Skagit"/>
    <s v="01North Puget Sound"/>
    <n v="26.7"/>
    <n v="91.847999999999999"/>
  </r>
  <r>
    <n v="3279"/>
    <x v="9"/>
    <x v="2"/>
    <x v="9"/>
    <s v="Freshwater"/>
    <s v="2Freshwater"/>
    <s v="Salmon"/>
    <n v="850"/>
    <s v="Snohomish River"/>
    <s v="Snohomish River"/>
    <s v="Snohomish"/>
    <x v="4"/>
    <s v="Snohomish"/>
    <s v="03Snohomish"/>
    <s v="01North Puget Sound"/>
    <n v="26.7"/>
    <n v="91.847999999999999"/>
  </r>
  <r>
    <n v="3280"/>
    <x v="9"/>
    <x v="0"/>
    <x v="9"/>
    <s v="Freshwater"/>
    <s v="2Freshwater"/>
    <s v="Salmon"/>
    <n v="852"/>
    <s v="Snoqualmie River"/>
    <s v="Snoqualmie River"/>
    <s v="Snohomish/King"/>
    <x v="4"/>
    <s v="King"/>
    <s v="06King"/>
    <s v="02South Puget Sound"/>
    <n v="11"/>
    <n v="37.839999999999996"/>
  </r>
  <r>
    <n v="3281"/>
    <x v="9"/>
    <x v="1"/>
    <x v="9"/>
    <s v="Freshwater"/>
    <s v="2Freshwater"/>
    <s v="Salmon"/>
    <n v="852"/>
    <s v="Snoqualmie River"/>
    <s v="Snoqualmie River"/>
    <s v="Snohomish/King"/>
    <x v="4"/>
    <s v="King"/>
    <s v="06King"/>
    <s v="02South Puget Sound"/>
    <n v="43.2"/>
    <n v="148.608"/>
  </r>
  <r>
    <n v="3282"/>
    <x v="9"/>
    <x v="1"/>
    <x v="9"/>
    <s v="Freshwater"/>
    <s v="2Freshwater"/>
    <s v="Salmon"/>
    <n v="852"/>
    <s v="Snoqualmie River"/>
    <s v="Snoqualmie River"/>
    <s v="Snohomish/King"/>
    <x v="4"/>
    <s v="Other"/>
    <s v="20Other"/>
    <s v="07Non Puget Sound"/>
    <n v="10.8"/>
    <n v="37.152000000000001"/>
  </r>
  <r>
    <n v="3283"/>
    <x v="9"/>
    <x v="2"/>
    <x v="9"/>
    <s v="Freshwater"/>
    <s v="2Freshwater"/>
    <s v="Salmon"/>
    <n v="852"/>
    <s v="Snoqualmie River"/>
    <s v="Snoqualmie River"/>
    <s v="Snohomish/King"/>
    <x v="4"/>
    <s v="King"/>
    <s v="06King"/>
    <s v="02South Puget Sound"/>
    <n v="22"/>
    <n v="75.679999999999993"/>
  </r>
  <r>
    <n v="3284"/>
    <x v="9"/>
    <x v="1"/>
    <x v="9"/>
    <s v="Freshwater"/>
    <s v="2Freshwater"/>
    <s v="Salmon"/>
    <n v="860"/>
    <s v="Wallace River"/>
    <s v="Wallace River"/>
    <s v="Snohomish"/>
    <x v="4"/>
    <s v="King"/>
    <s v="06King"/>
    <s v="02South Puget Sound"/>
    <n v="43.3333333333333"/>
    <n v="149.06666666666655"/>
  </r>
  <r>
    <n v="3285"/>
    <x v="9"/>
    <x v="1"/>
    <x v="9"/>
    <s v="Freshwater"/>
    <s v="2Freshwater"/>
    <s v="Salmon"/>
    <n v="860"/>
    <s v="Wallace River"/>
    <s v="Wallace River"/>
    <s v="Snohomish"/>
    <x v="4"/>
    <s v="Snohomish"/>
    <s v="03Snohomish"/>
    <s v="01North Puget Sound"/>
    <n v="86.6666666666667"/>
    <n v="298.13333333333344"/>
  </r>
  <r>
    <n v="3286"/>
    <x v="9"/>
    <x v="2"/>
    <x v="9"/>
    <s v="Freshwater"/>
    <s v="2Freshwater"/>
    <s v="Salmon"/>
    <n v="860"/>
    <s v="Wallace River"/>
    <s v="Wallace River"/>
    <s v="Snohomish"/>
    <x v="4"/>
    <s v="King"/>
    <s v="06King"/>
    <s v="02South Puget Sound"/>
    <n v="108.5"/>
    <n v="373.24"/>
  </r>
  <r>
    <n v="3287"/>
    <x v="9"/>
    <x v="2"/>
    <x v="9"/>
    <s v="Freshwater"/>
    <s v="2Freshwater"/>
    <s v="Salmon"/>
    <n v="860"/>
    <s v="Wallace River"/>
    <s v="Wallace River"/>
    <s v="Snohomish"/>
    <x v="4"/>
    <s v="Snohomish"/>
    <s v="03Snohomish"/>
    <s v="01North Puget Sound"/>
    <n v="108.5"/>
    <n v="373.24"/>
  </r>
  <r>
    <n v="3288"/>
    <x v="9"/>
    <x v="3"/>
    <x v="9"/>
    <s v="Freshwater"/>
    <s v="2Freshwater"/>
    <s v="Salmon"/>
    <n v="860"/>
    <s v="Wallace River"/>
    <s v="Wallace River"/>
    <s v="Snohomish"/>
    <x v="4"/>
    <s v="King"/>
    <s v="06King"/>
    <s v="02South Puget Sound"/>
    <n v="32.4"/>
    <n v="111.45599999999999"/>
  </r>
  <r>
    <n v="3289"/>
    <x v="9"/>
    <x v="3"/>
    <x v="9"/>
    <s v="Freshwater"/>
    <s v="2Freshwater"/>
    <s v="Salmon"/>
    <n v="860"/>
    <s v="Wallace River"/>
    <s v="Wallace River"/>
    <s v="Snohomish"/>
    <x v="4"/>
    <s v="Snohomish"/>
    <s v="03Snohomish"/>
    <s v="01North Puget Sound"/>
    <n v="21.6"/>
    <n v="74.304000000000002"/>
  </r>
  <r>
    <n v="3290"/>
    <x v="9"/>
    <x v="0"/>
    <x v="9"/>
    <s v="Freshwater"/>
    <s v="2Freshwater"/>
    <s v="Salmon"/>
    <n v="872"/>
    <s v="Stillaguamish River"/>
    <s v="Stillaguamish River"/>
    <s v="Snohomish"/>
    <x v="4"/>
    <s v="Snohomish"/>
    <s v="03Snohomish"/>
    <s v="01North Puget Sound"/>
    <n v="11"/>
    <n v="37.839999999999996"/>
  </r>
  <r>
    <n v="3291"/>
    <x v="9"/>
    <x v="1"/>
    <x v="9"/>
    <s v="Freshwater"/>
    <s v="2Freshwater"/>
    <s v="Salmon"/>
    <n v="872"/>
    <s v="Stillaguamish River"/>
    <s v="Stillaguamish River"/>
    <s v="Snohomish"/>
    <x v="4"/>
    <s v="Other"/>
    <s v="20Other"/>
    <s v="07Non Puget Sound"/>
    <n v="22.210526315789501"/>
    <n v="76.404210526315879"/>
  </r>
  <r>
    <n v="3292"/>
    <x v="9"/>
    <x v="1"/>
    <x v="9"/>
    <s v="Freshwater"/>
    <s v="2Freshwater"/>
    <s v="Salmon"/>
    <n v="872"/>
    <s v="Stillaguamish River"/>
    <s v="Stillaguamish River"/>
    <s v="Snohomish"/>
    <x v="4"/>
    <s v="Pierce"/>
    <s v="07Pierce"/>
    <s v="02South Puget Sound"/>
    <n v="11.105263157894701"/>
    <n v="38.202105263157769"/>
  </r>
  <r>
    <n v="3293"/>
    <x v="9"/>
    <x v="1"/>
    <x v="9"/>
    <s v="Freshwater"/>
    <s v="2Freshwater"/>
    <s v="Salmon"/>
    <n v="872"/>
    <s v="Stillaguamish River"/>
    <s v="Stillaguamish River"/>
    <s v="Snohomish"/>
    <x v="4"/>
    <s v="Snohomish"/>
    <s v="03Snohomish"/>
    <s v="01North Puget Sound"/>
    <n v="177.68421052631601"/>
    <n v="611.23368421052703"/>
  </r>
  <r>
    <n v="3294"/>
    <x v="9"/>
    <x v="2"/>
    <x v="9"/>
    <s v="Freshwater"/>
    <s v="2Freshwater"/>
    <s v="Salmon"/>
    <n v="872"/>
    <s v="Stillaguamish River"/>
    <s v="Stillaguamish River"/>
    <s v="Snohomish"/>
    <x v="4"/>
    <s v="King"/>
    <s v="06King"/>
    <s v="02South Puget Sound"/>
    <n v="22.1875"/>
    <n v="76.325000000000003"/>
  </r>
  <r>
    <n v="3295"/>
    <x v="9"/>
    <x v="2"/>
    <x v="9"/>
    <s v="Freshwater"/>
    <s v="2Freshwater"/>
    <s v="Salmon"/>
    <n v="872"/>
    <s v="Stillaguamish River"/>
    <s v="Stillaguamish River"/>
    <s v="Snohomish"/>
    <x v="4"/>
    <s v="Skagit"/>
    <s v="02Skagit"/>
    <s v="01North Puget Sound"/>
    <n v="22.1875"/>
    <n v="76.325000000000003"/>
  </r>
  <r>
    <n v="3296"/>
    <x v="9"/>
    <x v="2"/>
    <x v="9"/>
    <s v="Freshwater"/>
    <s v="2Freshwater"/>
    <s v="Salmon"/>
    <n v="872"/>
    <s v="Stillaguamish River"/>
    <s v="Stillaguamish River"/>
    <s v="Snohomish"/>
    <x v="4"/>
    <s v="Snohomish"/>
    <s v="03Snohomish"/>
    <s v="01North Puget Sound"/>
    <n v="621.25"/>
    <n v="2137.1"/>
  </r>
  <r>
    <n v="3297"/>
    <x v="9"/>
    <x v="2"/>
    <x v="9"/>
    <s v="Freshwater"/>
    <s v="2Freshwater"/>
    <s v="Salmon"/>
    <n v="872"/>
    <s v="Stillaguamish River"/>
    <s v="Stillaguamish River"/>
    <s v="Snohomish"/>
    <x v="4"/>
    <s v="Whatcom"/>
    <s v="01Whatcom"/>
    <s v="01North Puget Sound"/>
    <n v="44.375"/>
    <n v="152.65"/>
  </r>
  <r>
    <n v="3298"/>
    <x v="9"/>
    <x v="3"/>
    <x v="9"/>
    <s v="Freshwater"/>
    <s v="2Freshwater"/>
    <s v="Salmon"/>
    <n v="872"/>
    <s v="Stillaguamish River"/>
    <s v="Stillaguamish River"/>
    <s v="Snohomish"/>
    <x v="4"/>
    <s v="Snohomish"/>
    <s v="03Snohomish"/>
    <s v="01North Puget Sound"/>
    <n v="11"/>
    <n v="37.839999999999996"/>
  </r>
  <r>
    <n v="3299"/>
    <x v="9"/>
    <x v="0"/>
    <x v="9"/>
    <s v="Freshwater"/>
    <s v="2Freshwater"/>
    <s v="Salmon"/>
    <n v="884"/>
    <s v="Whatcom Creek"/>
    <s v="Whatcom Creek"/>
    <s v="Whatcom"/>
    <x v="1"/>
    <s v="King"/>
    <s v="06King"/>
    <s v="02South Puget Sound"/>
    <n v="10.25"/>
    <n v="35.26"/>
  </r>
  <r>
    <n v="3300"/>
    <x v="9"/>
    <x v="0"/>
    <x v="9"/>
    <s v="Freshwater"/>
    <s v="2Freshwater"/>
    <s v="Salmon"/>
    <n v="884"/>
    <s v="Whatcom Creek"/>
    <s v="Whatcom Creek"/>
    <s v="Whatcom"/>
    <x v="1"/>
    <s v="Whatcom"/>
    <s v="01Whatcom"/>
    <s v="01North Puget Sound"/>
    <n v="30.75"/>
    <n v="105.78"/>
  </r>
  <r>
    <n v="3301"/>
    <x v="9"/>
    <x v="1"/>
    <x v="9"/>
    <s v="Freshwater"/>
    <s v="2Freshwater"/>
    <s v="Salmon"/>
    <n v="884"/>
    <s v="Whatcom Creek"/>
    <s v="Whatcom Creek"/>
    <s v="Whatcom"/>
    <x v="1"/>
    <s v="Whatcom"/>
    <s v="01Whatcom"/>
    <s v="01North Puget Sound"/>
    <n v="31"/>
    <n v="106.64"/>
  </r>
  <r>
    <n v="3302"/>
    <x v="9"/>
    <x v="2"/>
    <x v="9"/>
    <s v="Freshwater"/>
    <s v="2Freshwater"/>
    <s v="Salmon"/>
    <n v="884"/>
    <s v="Whatcom Creek"/>
    <s v="Whatcom Creek"/>
    <s v="Whatcom"/>
    <x v="1"/>
    <s v="Snohomish"/>
    <s v="03Snohomish"/>
    <s v="01North Puget Sound"/>
    <n v="20.571428571428601"/>
    <n v="70.765714285714381"/>
  </r>
  <r>
    <n v="3303"/>
    <x v="9"/>
    <x v="2"/>
    <x v="9"/>
    <s v="Freshwater"/>
    <s v="2Freshwater"/>
    <s v="Salmon"/>
    <n v="884"/>
    <s v="Whatcom Creek"/>
    <s v="Whatcom Creek"/>
    <s v="Whatcom"/>
    <x v="1"/>
    <s v="Whatcom"/>
    <s v="01Whatcom"/>
    <s v="01North Puget Sound"/>
    <n v="51.428571428571402"/>
    <n v="176.91428571428563"/>
  </r>
  <r>
    <n v="3304"/>
    <x v="9"/>
    <x v="3"/>
    <x v="9"/>
    <s v="Freshwater"/>
    <s v="2Freshwater"/>
    <s v="Salmon"/>
    <n v="884"/>
    <s v="Whatcom Creek"/>
    <s v="Whatcom Creek"/>
    <s v="Whatcom"/>
    <x v="1"/>
    <s v="King"/>
    <s v="06King"/>
    <s v="02South Puget Sound"/>
    <n v="21.6"/>
    <n v="74.304000000000002"/>
  </r>
  <r>
    <n v="3305"/>
    <x v="9"/>
    <x v="3"/>
    <x v="9"/>
    <s v="Freshwater"/>
    <s v="2Freshwater"/>
    <s v="Salmon"/>
    <n v="884"/>
    <s v="Whatcom Creek"/>
    <s v="Whatcom Creek"/>
    <s v="Whatcom"/>
    <x v="1"/>
    <s v="Skagit"/>
    <s v="02Skagit"/>
    <s v="01North Puget Sound"/>
    <n v="75.599999999999994"/>
    <n v="260.06399999999996"/>
  </r>
  <r>
    <n v="3306"/>
    <x v="9"/>
    <x v="3"/>
    <x v="9"/>
    <s v="Freshwater"/>
    <s v="2Freshwater"/>
    <s v="Salmon"/>
    <n v="884"/>
    <s v="Whatcom Creek"/>
    <s v="Whatcom Creek"/>
    <s v="Whatcom"/>
    <x v="1"/>
    <s v="Snohomish"/>
    <s v="03Snohomish"/>
    <s v="01North Puget Sound"/>
    <n v="21.6"/>
    <n v="74.304000000000002"/>
  </r>
  <r>
    <n v="3307"/>
    <x v="9"/>
    <x v="3"/>
    <x v="9"/>
    <s v="Freshwater"/>
    <s v="2Freshwater"/>
    <s v="Salmon"/>
    <n v="884"/>
    <s v="Whatcom Creek"/>
    <s v="Whatcom Creek"/>
    <s v="Whatcom"/>
    <x v="1"/>
    <s v="Whatcom"/>
    <s v="01Whatcom"/>
    <s v="01North Puget Sound"/>
    <n v="151.19999999999999"/>
    <n v="520.12799999999993"/>
  </r>
  <r>
    <n v="3308"/>
    <x v="10"/>
    <x v="0"/>
    <x v="10"/>
    <s v="Freshwater"/>
    <s v="2Freshwater"/>
    <s v="Salmon"/>
    <n v="714"/>
    <s v="Chambers Creek"/>
    <s v="Chambers Creek"/>
    <s v="Pierce"/>
    <x v="0"/>
    <s v="Other"/>
    <s v="20Other"/>
    <s v="07Non Puget Sound"/>
    <n v="7"/>
    <n v="60.550000000000004"/>
  </r>
  <r>
    <n v="3309"/>
    <x v="10"/>
    <x v="1"/>
    <x v="10"/>
    <s v="Freshwater"/>
    <s v="2Freshwater"/>
    <s v="Salmon"/>
    <n v="714"/>
    <s v="Chambers Creek"/>
    <s v="Chambers Creek"/>
    <s v="Pierce"/>
    <x v="0"/>
    <s v="Pierce"/>
    <s v="07Pierce"/>
    <s v="02South Puget Sound"/>
    <n v="7"/>
    <n v="60.550000000000004"/>
  </r>
  <r>
    <n v="3310"/>
    <x v="10"/>
    <x v="1"/>
    <x v="10"/>
    <s v="Freshwater"/>
    <s v="2Freshwater"/>
    <s v="Salmon"/>
    <n v="724"/>
    <s v="Dakota Creek (Whatcom Co)"/>
    <s v="Dakota Creek (Whatcom Co)"/>
    <s v="Whatcom"/>
    <x v="1"/>
    <s v="Pierce"/>
    <s v="07Pierce"/>
    <s v="02South Puget Sound"/>
    <n v="12"/>
    <n v="103.80000000000001"/>
  </r>
  <r>
    <n v="3311"/>
    <x v="10"/>
    <x v="2"/>
    <x v="10"/>
    <s v="Freshwater"/>
    <s v="2Freshwater"/>
    <s v="Salmon"/>
    <n v="728"/>
    <s v="Deschutes River"/>
    <s v="Deschutes River"/>
    <s v="Thurston"/>
    <x v="0"/>
    <s v="Other"/>
    <s v="20Other"/>
    <s v="07Non Puget Sound"/>
    <n v="14"/>
    <n v="121.10000000000001"/>
  </r>
  <r>
    <n v="3312"/>
    <x v="10"/>
    <x v="3"/>
    <x v="10"/>
    <s v="Freshwater"/>
    <s v="2Freshwater"/>
    <s v="Salmon"/>
    <n v="736"/>
    <s v="Duckabush River"/>
    <s v="Duckabush River"/>
    <s v="Jefferson"/>
    <x v="2"/>
    <s v="Jefferson"/>
    <s v="12Jefferson"/>
    <s v="03Strait of Juan de Fuca"/>
    <n v="7"/>
    <n v="60.550000000000004"/>
  </r>
  <r>
    <n v="3313"/>
    <x v="10"/>
    <x v="2"/>
    <x v="10"/>
    <s v="Freshwater"/>
    <s v="2Freshwater"/>
    <s v="Salmon"/>
    <n v="738"/>
    <s v="Dungeness River"/>
    <s v="Dungeness River"/>
    <s v="Clallam"/>
    <x v="3"/>
    <s v="Clallam"/>
    <s v="11Clallam"/>
    <s v="03Strait of Juan de Fuca"/>
    <n v="96.380952380952394"/>
    <n v="833.69523809523821"/>
  </r>
  <r>
    <n v="3314"/>
    <x v="10"/>
    <x v="2"/>
    <x v="10"/>
    <s v="Freshwater"/>
    <s v="2Freshwater"/>
    <s v="Salmon"/>
    <n v="738"/>
    <s v="Dungeness River"/>
    <s v="Dungeness River"/>
    <s v="Clallam"/>
    <x v="3"/>
    <s v="Jefferson"/>
    <s v="12Jefferson"/>
    <s v="03Strait of Juan de Fuca"/>
    <n v="48.190476190476197"/>
    <n v="416.84761904761911"/>
  </r>
  <r>
    <n v="3315"/>
    <x v="10"/>
    <x v="2"/>
    <x v="10"/>
    <s v="Freshwater"/>
    <s v="2Freshwater"/>
    <s v="Salmon"/>
    <n v="738"/>
    <s v="Dungeness River"/>
    <s v="Dungeness River"/>
    <s v="Clallam"/>
    <x v="3"/>
    <s v="Other"/>
    <s v="20Other"/>
    <s v="07Non Puget Sound"/>
    <n v="12.047619047619101"/>
    <n v="104.21190476190523"/>
  </r>
  <r>
    <n v="3316"/>
    <x v="10"/>
    <x v="2"/>
    <x v="10"/>
    <s v="Freshwater"/>
    <s v="2Freshwater"/>
    <s v="Salmon"/>
    <n v="738"/>
    <s v="Dungeness River"/>
    <s v="Dungeness River"/>
    <s v="Clallam"/>
    <x v="3"/>
    <s v="Pierce"/>
    <s v="07Pierce"/>
    <s v="02South Puget Sound"/>
    <n v="96.380952380952394"/>
    <n v="833.69523809523821"/>
  </r>
  <r>
    <n v="3317"/>
    <x v="10"/>
    <x v="3"/>
    <x v="10"/>
    <s v="Freshwater"/>
    <s v="2Freshwater"/>
    <s v="Salmon"/>
    <n v="738"/>
    <s v="Dungeness River"/>
    <s v="Dungeness River"/>
    <s v="Clallam"/>
    <x v="3"/>
    <s v="Clallam"/>
    <s v="11Clallam"/>
    <s v="03Strait of Juan de Fuca"/>
    <n v="36"/>
    <n v="311.40000000000003"/>
  </r>
  <r>
    <n v="3318"/>
    <x v="10"/>
    <x v="3"/>
    <x v="10"/>
    <s v="Freshwater"/>
    <s v="2Freshwater"/>
    <s v="Salmon"/>
    <n v="738"/>
    <s v="Dungeness River"/>
    <s v="Dungeness River"/>
    <s v="Clallam"/>
    <x v="3"/>
    <s v="Kitsap"/>
    <s v="10Kitsap"/>
    <s v="02South Puget Sound"/>
    <n v="24"/>
    <n v="207.60000000000002"/>
  </r>
  <r>
    <n v="3319"/>
    <x v="10"/>
    <x v="1"/>
    <x v="10"/>
    <s v="Freshwater"/>
    <s v="2Freshwater"/>
    <s v="Salmon"/>
    <n v="746"/>
    <s v="Green - Duwamish River"/>
    <s v="Green - Duwamish River"/>
    <s v="King"/>
    <x v="0"/>
    <s v="King"/>
    <s v="06King"/>
    <s v="02South Puget Sound"/>
    <n v="2278.1090909090899"/>
    <n v="19705.643636363628"/>
  </r>
  <r>
    <n v="3320"/>
    <x v="10"/>
    <x v="1"/>
    <x v="10"/>
    <s v="Freshwater"/>
    <s v="2Freshwater"/>
    <s v="Salmon"/>
    <n v="746"/>
    <s v="Green - Duwamish River"/>
    <s v="Green - Duwamish River"/>
    <s v="King"/>
    <x v="0"/>
    <s v="Pierce"/>
    <s v="07Pierce"/>
    <s v="02South Puget Sound"/>
    <n v="226.61818181818199"/>
    <n v="1960.2472727272743"/>
  </r>
  <r>
    <n v="3321"/>
    <x v="10"/>
    <x v="1"/>
    <x v="10"/>
    <s v="Freshwater"/>
    <s v="2Freshwater"/>
    <s v="Salmon"/>
    <n v="746"/>
    <s v="Green - Duwamish River"/>
    <s v="Green - Duwamish River"/>
    <s v="King"/>
    <x v="0"/>
    <s v="Snohomish"/>
    <s v="03Snohomish"/>
    <s v="01North Puget Sound"/>
    <n v="107.345454545455"/>
    <n v="928.53818181818576"/>
  </r>
  <r>
    <n v="3322"/>
    <x v="10"/>
    <x v="1"/>
    <x v="10"/>
    <s v="Freshwater"/>
    <s v="2Freshwater"/>
    <s v="Salmon"/>
    <n v="746"/>
    <s v="Green - Duwamish River"/>
    <s v="Green - Duwamish River"/>
    <s v="King"/>
    <x v="0"/>
    <s v="Thurston"/>
    <s v="08Thurston"/>
    <s v="02South Puget Sound"/>
    <n v="11.927272727272699"/>
    <n v="103.17090909090885"/>
  </r>
  <r>
    <n v="3323"/>
    <x v="10"/>
    <x v="2"/>
    <x v="10"/>
    <s v="Freshwater"/>
    <s v="2Freshwater"/>
    <s v="Salmon"/>
    <n v="746"/>
    <s v="Green - Duwamish River"/>
    <s v="Green - Duwamish River"/>
    <s v="King"/>
    <x v="0"/>
    <s v="Clallam"/>
    <s v="11Clallam"/>
    <s v="03Strait of Juan de Fuca"/>
    <n v="119.125"/>
    <n v="1030.4312500000001"/>
  </r>
  <r>
    <n v="3324"/>
    <x v="10"/>
    <x v="2"/>
    <x v="10"/>
    <s v="Freshwater"/>
    <s v="2Freshwater"/>
    <s v="Salmon"/>
    <n v="746"/>
    <s v="Green - Duwamish River"/>
    <s v="Green - Duwamish River"/>
    <s v="King"/>
    <x v="0"/>
    <s v="King"/>
    <s v="06King"/>
    <s v="02South Puget Sound"/>
    <n v="607.53750000000002"/>
    <n v="5255.1993750000001"/>
  </r>
  <r>
    <n v="3325"/>
    <x v="10"/>
    <x v="2"/>
    <x v="10"/>
    <s v="Freshwater"/>
    <s v="2Freshwater"/>
    <s v="Salmon"/>
    <n v="746"/>
    <s v="Green - Duwamish River"/>
    <s v="Green - Duwamish River"/>
    <s v="King"/>
    <x v="0"/>
    <s v="Pierce"/>
    <s v="07Pierce"/>
    <s v="02South Puget Sound"/>
    <n v="166.77500000000001"/>
    <n v="1442.6037500000002"/>
  </r>
  <r>
    <n v="3326"/>
    <x v="10"/>
    <x v="2"/>
    <x v="10"/>
    <s v="Freshwater"/>
    <s v="2Freshwater"/>
    <s v="Salmon"/>
    <n v="746"/>
    <s v="Green - Duwamish River"/>
    <s v="Green - Duwamish River"/>
    <s v="King"/>
    <x v="0"/>
    <s v="Skagit"/>
    <s v="02Skagit"/>
    <s v="01North Puget Sound"/>
    <n v="23.824999999999999"/>
    <n v="206.08625000000001"/>
  </r>
  <r>
    <n v="3327"/>
    <x v="10"/>
    <x v="2"/>
    <x v="10"/>
    <s v="Freshwater"/>
    <s v="2Freshwater"/>
    <s v="Salmon"/>
    <n v="746"/>
    <s v="Green - Duwamish River"/>
    <s v="Green - Duwamish River"/>
    <s v="King"/>
    <x v="0"/>
    <s v="Thurston"/>
    <s v="08Thurston"/>
    <s v="02South Puget Sound"/>
    <n v="35.737499999999997"/>
    <n v="309.12937499999998"/>
  </r>
  <r>
    <n v="3328"/>
    <x v="10"/>
    <x v="3"/>
    <x v="10"/>
    <s v="Freshwater"/>
    <s v="2Freshwater"/>
    <s v="Salmon"/>
    <n v="746"/>
    <s v="Green - Duwamish River"/>
    <s v="Green - Duwamish River"/>
    <s v="King"/>
    <x v="0"/>
    <s v="Clallam"/>
    <s v="11Clallam"/>
    <s v="03Strait of Juan de Fuca"/>
    <n v="178.11023622047199"/>
    <n v="1540.6535433070828"/>
  </r>
  <r>
    <n v="3329"/>
    <x v="10"/>
    <x v="3"/>
    <x v="10"/>
    <s v="Freshwater"/>
    <s v="2Freshwater"/>
    <s v="Salmon"/>
    <n v="746"/>
    <s v="Green - Duwamish River"/>
    <s v="Green - Duwamish River"/>
    <s v="King"/>
    <x v="0"/>
    <s v="Island"/>
    <s v="04Island"/>
    <s v="01North Puget Sound"/>
    <n v="35.622047244094503"/>
    <n v="308.13070866141749"/>
  </r>
  <r>
    <n v="3330"/>
    <x v="10"/>
    <x v="3"/>
    <x v="10"/>
    <s v="Freshwater"/>
    <s v="2Freshwater"/>
    <s v="Salmon"/>
    <n v="746"/>
    <s v="Green - Duwamish River"/>
    <s v="Green - Duwamish River"/>
    <s v="King"/>
    <x v="0"/>
    <s v="King"/>
    <s v="06King"/>
    <s v="02South Puget Sound"/>
    <n v="985.54330708661405"/>
    <n v="8524.9496062992112"/>
  </r>
  <r>
    <n v="3331"/>
    <x v="10"/>
    <x v="3"/>
    <x v="10"/>
    <s v="Freshwater"/>
    <s v="2Freshwater"/>
    <s v="Salmon"/>
    <n v="746"/>
    <s v="Green - Duwamish River"/>
    <s v="Green - Duwamish River"/>
    <s v="King"/>
    <x v="0"/>
    <s v="Pierce"/>
    <s v="07Pierce"/>
    <s v="02South Puget Sound"/>
    <n v="142.48818897637801"/>
    <n v="1232.5228346456699"/>
  </r>
  <r>
    <n v="3332"/>
    <x v="10"/>
    <x v="3"/>
    <x v="10"/>
    <s v="Freshwater"/>
    <s v="2Freshwater"/>
    <s v="Salmon"/>
    <n v="746"/>
    <s v="Green - Duwamish River"/>
    <s v="Green - Duwamish River"/>
    <s v="King"/>
    <x v="0"/>
    <s v="Snohomish"/>
    <s v="03Snohomish"/>
    <s v="01North Puget Sound"/>
    <n v="154.362204724409"/>
    <n v="1335.233070866138"/>
  </r>
  <r>
    <n v="3333"/>
    <x v="10"/>
    <x v="3"/>
    <x v="10"/>
    <s v="Freshwater"/>
    <s v="2Freshwater"/>
    <s v="Salmon"/>
    <n v="746"/>
    <s v="Green - Duwamish River"/>
    <s v="Green - Duwamish River"/>
    <s v="King"/>
    <x v="0"/>
    <s v="Thurston"/>
    <s v="08Thurston"/>
    <s v="02South Puget Sound"/>
    <n v="11.8740157480315"/>
    <n v="102.71023622047248"/>
  </r>
  <r>
    <n v="3334"/>
    <x v="10"/>
    <x v="4"/>
    <x v="10"/>
    <s v="Freshwater"/>
    <s v="2Freshwater"/>
    <s v="Salmon"/>
    <n v="746"/>
    <s v="Green - Duwamish River"/>
    <s v="Green - Duwamish River"/>
    <s v="King"/>
    <x v="0"/>
    <s v="Snohomish"/>
    <s v="03Snohomish"/>
    <s v="01North Puget Sound"/>
    <n v="24"/>
    <n v="207.60000000000002"/>
  </r>
  <r>
    <n v="3335"/>
    <x v="10"/>
    <x v="2"/>
    <x v="10"/>
    <s v="Freshwater"/>
    <s v="2Freshwater"/>
    <s v="Salmon"/>
    <n v="754"/>
    <s v="Kennedy Creek"/>
    <s v="Kennedy Creek"/>
    <s v="Mason/Thurston"/>
    <x v="0"/>
    <s v="King"/>
    <s v="06King"/>
    <s v="02South Puget Sound"/>
    <n v="11.9166666666667"/>
    <n v="103.07916666666696"/>
  </r>
  <r>
    <n v="3336"/>
    <x v="10"/>
    <x v="2"/>
    <x v="10"/>
    <s v="Freshwater"/>
    <s v="2Freshwater"/>
    <s v="Salmon"/>
    <n v="754"/>
    <s v="Kennedy Creek"/>
    <s v="Kennedy Creek"/>
    <s v="Mason/Thurston"/>
    <x v="0"/>
    <s v="Mason"/>
    <s v="09Mason"/>
    <s v="02South Puget Sound"/>
    <n v="23.8333333333333"/>
    <n v="206.15833333333305"/>
  </r>
  <r>
    <n v="3337"/>
    <x v="10"/>
    <x v="2"/>
    <x v="10"/>
    <s v="Freshwater"/>
    <s v="2Freshwater"/>
    <s v="Salmon"/>
    <n v="754"/>
    <s v="Kennedy Creek"/>
    <s v="Kennedy Creek"/>
    <s v="Mason/Thurston"/>
    <x v="0"/>
    <s v="Pierce"/>
    <s v="07Pierce"/>
    <s v="02South Puget Sound"/>
    <n v="59.5833333333333"/>
    <n v="515.39583333333303"/>
  </r>
  <r>
    <n v="3338"/>
    <x v="10"/>
    <x v="2"/>
    <x v="10"/>
    <s v="Freshwater"/>
    <s v="2Freshwater"/>
    <s v="Salmon"/>
    <n v="754"/>
    <s v="Kennedy Creek"/>
    <s v="Kennedy Creek"/>
    <s v="Mason/Thurston"/>
    <x v="0"/>
    <s v="Thurston"/>
    <s v="08Thurston"/>
    <s v="02South Puget Sound"/>
    <n v="47.6666666666667"/>
    <n v="412.31666666666695"/>
  </r>
  <r>
    <n v="3339"/>
    <x v="10"/>
    <x v="3"/>
    <x v="10"/>
    <s v="Freshwater"/>
    <s v="2Freshwater"/>
    <s v="Salmon"/>
    <n v="754"/>
    <s v="Kennedy Creek"/>
    <s v="Kennedy Creek"/>
    <s v="Mason/Thurston"/>
    <x v="0"/>
    <s v="Other"/>
    <s v="20Other"/>
    <s v="07Non Puget Sound"/>
    <n v="35.8888888888889"/>
    <n v="310.43888888888898"/>
  </r>
  <r>
    <n v="3340"/>
    <x v="10"/>
    <x v="3"/>
    <x v="10"/>
    <s v="Freshwater"/>
    <s v="2Freshwater"/>
    <s v="Salmon"/>
    <n v="754"/>
    <s v="Kennedy Creek"/>
    <s v="Kennedy Creek"/>
    <s v="Mason/Thurston"/>
    <x v="0"/>
    <s v="Pierce"/>
    <s v="07Pierce"/>
    <s v="02South Puget Sound"/>
    <n v="143.555555555556"/>
    <n v="1241.7555555555593"/>
  </r>
  <r>
    <n v="3341"/>
    <x v="10"/>
    <x v="3"/>
    <x v="10"/>
    <s v="Freshwater"/>
    <s v="2Freshwater"/>
    <s v="Salmon"/>
    <n v="754"/>
    <s v="Kennedy Creek"/>
    <s v="Kennedy Creek"/>
    <s v="Mason/Thurston"/>
    <x v="0"/>
    <s v="Thurston"/>
    <s v="08Thurston"/>
    <s v="02South Puget Sound"/>
    <n v="143.555555555556"/>
    <n v="1241.7555555555593"/>
  </r>
  <r>
    <n v="3342"/>
    <x v="10"/>
    <x v="1"/>
    <x v="10"/>
    <s v="Freshwater"/>
    <s v="2Freshwater"/>
    <s v="Salmon"/>
    <n v="762"/>
    <s v="Lake Washington"/>
    <s v="Lake Washington"/>
    <s v="King"/>
    <x v="0"/>
    <s v="King"/>
    <s v="06King"/>
    <s v="02South Puget Sound"/>
    <n v="108"/>
    <n v="934.2"/>
  </r>
  <r>
    <n v="3343"/>
    <x v="10"/>
    <x v="2"/>
    <x v="10"/>
    <s v="Freshwater"/>
    <s v="2Freshwater"/>
    <s v="Salmon"/>
    <n v="762"/>
    <s v="Lake Washington"/>
    <s v="Lake Washington"/>
    <s v="King"/>
    <x v="0"/>
    <s v="Snohomish"/>
    <s v="03Snohomish"/>
    <s v="01North Puget Sound"/>
    <n v="15"/>
    <n v="129.75"/>
  </r>
  <r>
    <n v="3344"/>
    <x v="10"/>
    <x v="2"/>
    <x v="10"/>
    <s v="Freshwater"/>
    <s v="2Freshwater"/>
    <s v="Salmon"/>
    <n v="764"/>
    <s v="Lake Sammamish"/>
    <s v="Lake Sammamish"/>
    <s v="King"/>
    <x v="0"/>
    <s v="Pierce"/>
    <s v="07Pierce"/>
    <s v="02South Puget Sound"/>
    <n v="7"/>
    <n v="60.550000000000004"/>
  </r>
  <r>
    <n v="3345"/>
    <x v="10"/>
    <x v="0"/>
    <x v="10"/>
    <s v="Freshwater"/>
    <s v="2Freshwater"/>
    <s v="Salmon"/>
    <n v="770"/>
    <s v="McAllister Creek"/>
    <s v="McAllister Creek"/>
    <s v="Thurston"/>
    <x v="0"/>
    <s v="Pierce"/>
    <s v="07Pierce"/>
    <s v="02South Puget Sound"/>
    <n v="48"/>
    <n v="415.20000000000005"/>
  </r>
  <r>
    <n v="3346"/>
    <x v="10"/>
    <x v="1"/>
    <x v="10"/>
    <s v="Freshwater"/>
    <s v="2Freshwater"/>
    <s v="Salmon"/>
    <n v="770"/>
    <s v="McAllister Creek"/>
    <s v="McAllister Creek"/>
    <s v="Thurston"/>
    <x v="0"/>
    <s v="Pierce"/>
    <s v="07Pierce"/>
    <s v="02South Puget Sound"/>
    <n v="36"/>
    <n v="311.40000000000003"/>
  </r>
  <r>
    <n v="3347"/>
    <x v="10"/>
    <x v="1"/>
    <x v="10"/>
    <s v="Freshwater"/>
    <s v="2Freshwater"/>
    <s v="Salmon"/>
    <n v="778"/>
    <s v="Minter Creek"/>
    <s v="Minter Creek"/>
    <s v="Kitsap/Pierce"/>
    <x v="0"/>
    <s v="King"/>
    <s v="06King"/>
    <s v="02South Puget Sound"/>
    <n v="25.882352941176499"/>
    <n v="223.88235294117672"/>
  </r>
  <r>
    <n v="3348"/>
    <x v="10"/>
    <x v="1"/>
    <x v="10"/>
    <s v="Freshwater"/>
    <s v="2Freshwater"/>
    <s v="Salmon"/>
    <n v="778"/>
    <s v="Minter Creek"/>
    <s v="Minter Creek"/>
    <s v="Kitsap/Pierce"/>
    <x v="0"/>
    <s v="Kitsap"/>
    <s v="10Kitsap"/>
    <s v="02South Puget Sound"/>
    <n v="129.41176470588201"/>
    <n v="1119.4117647058795"/>
  </r>
  <r>
    <n v="3349"/>
    <x v="10"/>
    <x v="1"/>
    <x v="10"/>
    <s v="Freshwater"/>
    <s v="2Freshwater"/>
    <s v="Salmon"/>
    <n v="778"/>
    <s v="Minter Creek"/>
    <s v="Minter Creek"/>
    <s v="Kitsap/Pierce"/>
    <x v="0"/>
    <s v="Mason"/>
    <s v="09Mason"/>
    <s v="02South Puget Sound"/>
    <n v="12.9411764705882"/>
    <n v="111.94117647058793"/>
  </r>
  <r>
    <n v="3350"/>
    <x v="10"/>
    <x v="1"/>
    <x v="10"/>
    <s v="Freshwater"/>
    <s v="2Freshwater"/>
    <s v="Salmon"/>
    <n v="778"/>
    <s v="Minter Creek"/>
    <s v="Minter Creek"/>
    <s v="Kitsap/Pierce"/>
    <x v="0"/>
    <s v="Pierce"/>
    <s v="07Pierce"/>
    <s v="02South Puget Sound"/>
    <n v="38.823529411764703"/>
    <n v="335.8235294117647"/>
  </r>
  <r>
    <n v="3351"/>
    <x v="10"/>
    <x v="1"/>
    <x v="10"/>
    <s v="Freshwater"/>
    <s v="2Freshwater"/>
    <s v="Salmon"/>
    <n v="778"/>
    <s v="Minter Creek"/>
    <s v="Minter Creek"/>
    <s v="Kitsap/Pierce"/>
    <x v="0"/>
    <s v="Thurston"/>
    <s v="08Thurston"/>
    <s v="02South Puget Sound"/>
    <n v="12.9411764705882"/>
    <n v="111.94117647058793"/>
  </r>
  <r>
    <n v="3352"/>
    <x v="10"/>
    <x v="2"/>
    <x v="10"/>
    <s v="Freshwater"/>
    <s v="2Freshwater"/>
    <s v="Salmon"/>
    <n v="778"/>
    <s v="Minter Creek"/>
    <s v="Minter Creek"/>
    <s v="Kitsap/Pierce"/>
    <x v="0"/>
    <s v="King"/>
    <s v="06King"/>
    <s v="02South Puget Sound"/>
    <n v="130"/>
    <n v="1124.5"/>
  </r>
  <r>
    <n v="3353"/>
    <x v="10"/>
    <x v="2"/>
    <x v="10"/>
    <s v="Freshwater"/>
    <s v="2Freshwater"/>
    <s v="Salmon"/>
    <n v="778"/>
    <s v="Minter Creek"/>
    <s v="Minter Creek"/>
    <s v="Kitsap/Pierce"/>
    <x v="0"/>
    <s v="Mason"/>
    <s v="09Mason"/>
    <s v="02South Puget Sound"/>
    <n v="39"/>
    <n v="337.35"/>
  </r>
  <r>
    <n v="3354"/>
    <x v="10"/>
    <x v="2"/>
    <x v="10"/>
    <s v="Freshwater"/>
    <s v="2Freshwater"/>
    <s v="Salmon"/>
    <n v="778"/>
    <s v="Minter Creek"/>
    <s v="Minter Creek"/>
    <s v="Kitsap/Pierce"/>
    <x v="0"/>
    <s v="Pierce"/>
    <s v="07Pierce"/>
    <s v="02South Puget Sound"/>
    <n v="39"/>
    <n v="337.35"/>
  </r>
  <r>
    <n v="3355"/>
    <x v="10"/>
    <x v="3"/>
    <x v="10"/>
    <s v="Freshwater"/>
    <s v="2Freshwater"/>
    <s v="Salmon"/>
    <n v="778"/>
    <s v="Minter Creek"/>
    <s v="Minter Creek"/>
    <s v="Kitsap/Pierce"/>
    <x v="0"/>
    <s v="King"/>
    <s v="06King"/>
    <s v="02South Puget Sound"/>
    <n v="545.16521739130405"/>
    <n v="4715.6791304347798"/>
  </r>
  <r>
    <n v="3356"/>
    <x v="10"/>
    <x v="3"/>
    <x v="10"/>
    <s v="Freshwater"/>
    <s v="2Freshwater"/>
    <s v="Salmon"/>
    <n v="778"/>
    <s v="Minter Creek"/>
    <s v="Minter Creek"/>
    <s v="Kitsap/Pierce"/>
    <x v="0"/>
    <s v="Kitsap"/>
    <s v="10Kitsap"/>
    <s v="02South Puget Sound"/>
    <n v="38.0347826086957"/>
    <n v="329.00086956521784"/>
  </r>
  <r>
    <n v="3357"/>
    <x v="10"/>
    <x v="3"/>
    <x v="10"/>
    <s v="Freshwater"/>
    <s v="2Freshwater"/>
    <s v="Salmon"/>
    <n v="778"/>
    <s v="Minter Creek"/>
    <s v="Minter Creek"/>
    <s v="Kitsap/Pierce"/>
    <x v="0"/>
    <s v="Other"/>
    <s v="20Other"/>
    <s v="07Non Puget Sound"/>
    <n v="63.3913043478261"/>
    <n v="548.33478260869583"/>
  </r>
  <r>
    <n v="3358"/>
    <x v="10"/>
    <x v="3"/>
    <x v="10"/>
    <s v="Freshwater"/>
    <s v="2Freshwater"/>
    <s v="Salmon"/>
    <n v="778"/>
    <s v="Minter Creek"/>
    <s v="Minter Creek"/>
    <s v="Kitsap/Pierce"/>
    <x v="0"/>
    <s v="Pierce"/>
    <s v="07Pierce"/>
    <s v="02South Puget Sound"/>
    <n v="481.77391304347799"/>
    <n v="4167.3443478260851"/>
  </r>
  <r>
    <n v="3359"/>
    <x v="10"/>
    <x v="3"/>
    <x v="10"/>
    <s v="Freshwater"/>
    <s v="2Freshwater"/>
    <s v="Salmon"/>
    <n v="778"/>
    <s v="Minter Creek"/>
    <s v="Minter Creek"/>
    <s v="Kitsap/Pierce"/>
    <x v="0"/>
    <s v="Snohomish"/>
    <s v="03Snohomish"/>
    <s v="01North Puget Sound"/>
    <n v="316.95652173913101"/>
    <n v="2741.6739130434835"/>
  </r>
  <r>
    <n v="3360"/>
    <x v="10"/>
    <x v="3"/>
    <x v="10"/>
    <s v="Freshwater"/>
    <s v="2Freshwater"/>
    <s v="Salmon"/>
    <n v="778"/>
    <s v="Minter Creek"/>
    <s v="Minter Creek"/>
    <s v="Kitsap/Pierce"/>
    <x v="0"/>
    <s v="Thurston"/>
    <s v="08Thurston"/>
    <s v="02South Puget Sound"/>
    <n v="12.6782608695652"/>
    <n v="109.66695652173898"/>
  </r>
  <r>
    <n v="3361"/>
    <x v="10"/>
    <x v="4"/>
    <x v="10"/>
    <s v="Freshwater"/>
    <s v="2Freshwater"/>
    <s v="Salmon"/>
    <n v="778"/>
    <s v="Minter Creek"/>
    <s v="Minter Creek"/>
    <s v="Kitsap/Pierce"/>
    <x v="0"/>
    <s v="King"/>
    <s v="06King"/>
    <s v="02South Puget Sound"/>
    <n v="266.18918918918899"/>
    <n v="2302.536486486485"/>
  </r>
  <r>
    <n v="3362"/>
    <x v="10"/>
    <x v="4"/>
    <x v="10"/>
    <s v="Freshwater"/>
    <s v="2Freshwater"/>
    <s v="Salmon"/>
    <n v="778"/>
    <s v="Minter Creek"/>
    <s v="Minter Creek"/>
    <s v="Kitsap/Pierce"/>
    <x v="0"/>
    <s v="Pierce"/>
    <s v="07Pierce"/>
    <s v="02South Puget Sound"/>
    <n v="114.081081081081"/>
    <n v="986.8013513513506"/>
  </r>
  <r>
    <n v="3363"/>
    <x v="10"/>
    <x v="4"/>
    <x v="10"/>
    <s v="Freshwater"/>
    <s v="2Freshwater"/>
    <s v="Salmon"/>
    <n v="778"/>
    <s v="Minter Creek"/>
    <s v="Minter Creek"/>
    <s v="Kitsap/Pierce"/>
    <x v="0"/>
    <s v="Snohomish"/>
    <s v="03Snohomish"/>
    <s v="01North Puget Sound"/>
    <n v="38.027027027027003"/>
    <n v="328.93378378378361"/>
  </r>
  <r>
    <n v="3364"/>
    <x v="10"/>
    <x v="4"/>
    <x v="10"/>
    <s v="Freshwater"/>
    <s v="2Freshwater"/>
    <s v="Salmon"/>
    <n v="778"/>
    <s v="Minter Creek"/>
    <s v="Minter Creek"/>
    <s v="Kitsap/Pierce"/>
    <x v="0"/>
    <s v="Thurston"/>
    <s v="08Thurston"/>
    <s v="02South Puget Sound"/>
    <n v="50.702702702702702"/>
    <n v="438.57837837837837"/>
  </r>
  <r>
    <n v="3365"/>
    <x v="10"/>
    <x v="5"/>
    <x v="10"/>
    <s v="Freshwater"/>
    <s v="2Freshwater"/>
    <s v="Salmon"/>
    <n v="786"/>
    <s v="Nisqually River"/>
    <s v="Nisqually River"/>
    <s v="Thurston/Pierce"/>
    <x v="0"/>
    <s v="Pierce"/>
    <s v="07Pierce"/>
    <s v="02South Puget Sound"/>
    <n v="12"/>
    <n v="103.80000000000001"/>
  </r>
  <r>
    <n v="3366"/>
    <x v="10"/>
    <x v="0"/>
    <x v="10"/>
    <s v="Freshwater"/>
    <s v="2Freshwater"/>
    <s v="Salmon"/>
    <n v="786"/>
    <s v="Nisqually River"/>
    <s v="Nisqually River"/>
    <s v="Thurston/Pierce"/>
    <x v="0"/>
    <s v="King"/>
    <s v="06King"/>
    <s v="02South Puget Sound"/>
    <n v="24"/>
    <n v="207.60000000000002"/>
  </r>
  <r>
    <n v="3367"/>
    <x v="10"/>
    <x v="0"/>
    <x v="10"/>
    <s v="Freshwater"/>
    <s v="2Freshwater"/>
    <s v="Salmon"/>
    <n v="786"/>
    <s v="Nisqually River"/>
    <s v="Nisqually River"/>
    <s v="Thurston/Pierce"/>
    <x v="0"/>
    <s v="Other"/>
    <s v="20Other"/>
    <s v="07Non Puget Sound"/>
    <n v="48"/>
    <n v="415.20000000000005"/>
  </r>
  <r>
    <n v="3368"/>
    <x v="10"/>
    <x v="0"/>
    <x v="10"/>
    <s v="Freshwater"/>
    <s v="2Freshwater"/>
    <s v="Salmon"/>
    <n v="786"/>
    <s v="Nisqually River"/>
    <s v="Nisqually River"/>
    <s v="Thurston/Pierce"/>
    <x v="0"/>
    <s v="Pierce"/>
    <s v="07Pierce"/>
    <s v="02South Puget Sound"/>
    <n v="276"/>
    <n v="2387.4"/>
  </r>
  <r>
    <n v="3369"/>
    <x v="10"/>
    <x v="0"/>
    <x v="10"/>
    <s v="Freshwater"/>
    <s v="2Freshwater"/>
    <s v="Salmon"/>
    <n v="786"/>
    <s v="Nisqually River"/>
    <s v="Nisqually River"/>
    <s v="Thurston/Pierce"/>
    <x v="0"/>
    <s v="Thurston"/>
    <s v="08Thurston"/>
    <s v="02South Puget Sound"/>
    <n v="324"/>
    <n v="2802.6"/>
  </r>
  <r>
    <n v="3370"/>
    <x v="10"/>
    <x v="1"/>
    <x v="10"/>
    <s v="Freshwater"/>
    <s v="2Freshwater"/>
    <s v="Salmon"/>
    <n v="786"/>
    <s v="Nisqually River"/>
    <s v="Nisqually River"/>
    <s v="Thurston/Pierce"/>
    <x v="0"/>
    <s v="King"/>
    <s v="06King"/>
    <s v="02South Puget Sound"/>
    <n v="193.30994152046799"/>
    <n v="1672.1309941520481"/>
  </r>
  <r>
    <n v="3371"/>
    <x v="10"/>
    <x v="1"/>
    <x v="10"/>
    <s v="Freshwater"/>
    <s v="2Freshwater"/>
    <s v="Salmon"/>
    <n v="786"/>
    <s v="Nisqually River"/>
    <s v="Nisqually River"/>
    <s v="Thurston/Pierce"/>
    <x v="0"/>
    <s v="Other"/>
    <s v="20Other"/>
    <s v="07Non Puget Sound"/>
    <n v="120.81871345029199"/>
    <n v="1045.0818713450258"/>
  </r>
  <r>
    <n v="3372"/>
    <x v="10"/>
    <x v="1"/>
    <x v="10"/>
    <s v="Freshwater"/>
    <s v="2Freshwater"/>
    <s v="Salmon"/>
    <n v="786"/>
    <s v="Nisqually River"/>
    <s v="Nisqually River"/>
    <s v="Thurston/Pierce"/>
    <x v="0"/>
    <s v="Pierce"/>
    <s v="07Pierce"/>
    <s v="02South Puget Sound"/>
    <n v="821.56725146198801"/>
    <n v="7106.5567251461962"/>
  </r>
  <r>
    <n v="3373"/>
    <x v="10"/>
    <x v="1"/>
    <x v="10"/>
    <s v="Freshwater"/>
    <s v="2Freshwater"/>
    <s v="Salmon"/>
    <n v="786"/>
    <s v="Nisqually River"/>
    <s v="Nisqually River"/>
    <s v="Thurston/Pierce"/>
    <x v="0"/>
    <s v="Thurston"/>
    <s v="08Thurston"/>
    <s v="02South Puget Sound"/>
    <n v="930.30409356725204"/>
    <n v="8047.1304093567305"/>
  </r>
  <r>
    <n v="3374"/>
    <x v="10"/>
    <x v="2"/>
    <x v="10"/>
    <s v="Freshwater"/>
    <s v="2Freshwater"/>
    <s v="Salmon"/>
    <n v="786"/>
    <s v="Nisqually River"/>
    <s v="Nisqually River"/>
    <s v="Thurston/Pierce"/>
    <x v="0"/>
    <s v="Pierce"/>
    <s v="07Pierce"/>
    <s v="02South Puget Sound"/>
    <n v="72"/>
    <n v="622.80000000000007"/>
  </r>
  <r>
    <n v="3375"/>
    <x v="10"/>
    <x v="2"/>
    <x v="10"/>
    <s v="Freshwater"/>
    <s v="2Freshwater"/>
    <s v="Salmon"/>
    <n v="786"/>
    <s v="Nisqually River"/>
    <s v="Nisqually River"/>
    <s v="Thurston/Pierce"/>
    <x v="0"/>
    <s v="Thurston"/>
    <s v="08Thurston"/>
    <s v="02South Puget Sound"/>
    <n v="132"/>
    <n v="1141.8"/>
  </r>
  <r>
    <n v="3376"/>
    <x v="11"/>
    <x v="8"/>
    <x v="10"/>
    <s v="Freshwater"/>
    <s v="2Freshwater"/>
    <s v="Salmon"/>
    <n v="786"/>
    <s v="Nisqually River"/>
    <s v="Nisqually River"/>
    <s v="Thurston/Pierce"/>
    <x v="0"/>
    <s v="Other"/>
    <s v="20Other"/>
    <s v="07Non Puget Sound"/>
    <n v="12"/>
    <n v="41.28"/>
  </r>
  <r>
    <n v="3377"/>
    <x v="10"/>
    <x v="2"/>
    <x v="10"/>
    <s v="Freshwater"/>
    <s v="2Freshwater"/>
    <s v="Salmon"/>
    <n v="788"/>
    <s v="Nooksack River, Middle Fork"/>
    <s v="Nooksack River, Middle Fork"/>
    <s v="NA"/>
    <x v="5"/>
    <s v="Whatcom"/>
    <s v="01Whatcom"/>
    <s v="01North Puget Sound"/>
    <n v="0"/>
    <n v="0"/>
  </r>
  <r>
    <n v="3378"/>
    <x v="10"/>
    <x v="7"/>
    <x v="10"/>
    <s v="Freshwater"/>
    <s v="2Freshwater"/>
    <s v="Salmon"/>
    <n v="790"/>
    <s v="Nooksack River, North Fork"/>
    <s v="Nooksack River, North Fork"/>
    <s v="NA"/>
    <x v="5"/>
    <s v="Snohomish"/>
    <s v="03Snohomish"/>
    <s v="01North Puget Sound"/>
    <n v="118.857142857143"/>
    <n v="1028.114285714287"/>
  </r>
  <r>
    <n v="3379"/>
    <x v="10"/>
    <x v="7"/>
    <x v="10"/>
    <s v="Freshwater"/>
    <s v="2Freshwater"/>
    <s v="Salmon"/>
    <n v="790"/>
    <s v="Nooksack River, North Fork"/>
    <s v="Nooksack River, North Fork"/>
    <s v="NA"/>
    <x v="5"/>
    <s v="Whatcom"/>
    <s v="01Whatcom"/>
    <s v="01North Puget Sound"/>
    <n v="89.142857142857196"/>
    <n v="771.08571428571474"/>
  </r>
  <r>
    <n v="3380"/>
    <x v="10"/>
    <x v="2"/>
    <x v="10"/>
    <s v="Freshwater"/>
    <s v="2Freshwater"/>
    <s v="Salmon"/>
    <n v="790"/>
    <s v="Nooksack River, North Fork"/>
    <s v="Nooksack River, North Fork"/>
    <s v="NA"/>
    <x v="5"/>
    <s v="Whatcom"/>
    <s v="01Whatcom"/>
    <s v="01North Puget Sound"/>
    <n v="122"/>
    <n v="1055.3"/>
  </r>
  <r>
    <n v="3381"/>
    <x v="10"/>
    <x v="3"/>
    <x v="10"/>
    <s v="Freshwater"/>
    <s v="2Freshwater"/>
    <s v="Salmon"/>
    <n v="790"/>
    <s v="Nooksack River, North Fork"/>
    <s v="Nooksack River, North Fork"/>
    <s v="NA"/>
    <x v="5"/>
    <s v="Skagit"/>
    <s v="02Skagit"/>
    <s v="01North Puget Sound"/>
    <n v="12.1428571428571"/>
    <n v="105.03571428571392"/>
  </r>
  <r>
    <n v="3382"/>
    <x v="10"/>
    <x v="3"/>
    <x v="10"/>
    <s v="Freshwater"/>
    <s v="2Freshwater"/>
    <s v="Salmon"/>
    <n v="790"/>
    <s v="Nooksack River, North Fork"/>
    <s v="Nooksack River, North Fork"/>
    <s v="NA"/>
    <x v="5"/>
    <s v="Whatcom"/>
    <s v="01Whatcom"/>
    <s v="01North Puget Sound"/>
    <n v="157.857142857143"/>
    <n v="1365.4642857142871"/>
  </r>
  <r>
    <n v="3383"/>
    <x v="10"/>
    <x v="4"/>
    <x v="10"/>
    <s v="Freshwater"/>
    <s v="2Freshwater"/>
    <s v="Salmon"/>
    <n v="790"/>
    <s v="Nooksack River, North Fork"/>
    <s v="Nooksack River, North Fork"/>
    <s v="NA"/>
    <x v="5"/>
    <s v="Skagit"/>
    <s v="02Skagit"/>
    <s v="01North Puget Sound"/>
    <n v="24.6666666666667"/>
    <n v="213.36666666666696"/>
  </r>
  <r>
    <n v="3384"/>
    <x v="10"/>
    <x v="4"/>
    <x v="10"/>
    <s v="Freshwater"/>
    <s v="2Freshwater"/>
    <s v="Salmon"/>
    <n v="790"/>
    <s v="Nooksack River, North Fork"/>
    <s v="Nooksack River, North Fork"/>
    <s v="NA"/>
    <x v="5"/>
    <s v="Snohomish"/>
    <s v="03Snohomish"/>
    <s v="01North Puget Sound"/>
    <n v="12.3333333333333"/>
    <n v="106.68333333333305"/>
  </r>
  <r>
    <n v="3385"/>
    <x v="10"/>
    <x v="2"/>
    <x v="10"/>
    <s v="Freshwater"/>
    <s v="2Freshwater"/>
    <s v="Salmon"/>
    <n v="792"/>
    <s v="Nooksack River, South Fork"/>
    <s v="Nooksack River, South Fork"/>
    <s v="NA"/>
    <x v="5"/>
    <s v="Island"/>
    <s v="04Island"/>
    <s v="01North Puget Sound"/>
    <n v="36.5675675675676"/>
    <n v="316.30945945945973"/>
  </r>
  <r>
    <n v="3386"/>
    <x v="10"/>
    <x v="2"/>
    <x v="10"/>
    <s v="Freshwater"/>
    <s v="2Freshwater"/>
    <s v="Salmon"/>
    <n v="792"/>
    <s v="Nooksack River, South Fork"/>
    <s v="Nooksack River, South Fork"/>
    <s v="NA"/>
    <x v="5"/>
    <s v="King"/>
    <s v="06King"/>
    <s v="02South Puget Sound"/>
    <n v="36.5675675675676"/>
    <n v="316.30945945945973"/>
  </r>
  <r>
    <n v="3387"/>
    <x v="10"/>
    <x v="2"/>
    <x v="10"/>
    <s v="Freshwater"/>
    <s v="2Freshwater"/>
    <s v="Salmon"/>
    <n v="792"/>
    <s v="Nooksack River, South Fork"/>
    <s v="Nooksack River, South Fork"/>
    <s v="NA"/>
    <x v="5"/>
    <s v="Skagit"/>
    <s v="02Skagit"/>
    <s v="01North Puget Sound"/>
    <n v="36.5675675675676"/>
    <n v="316.30945945945973"/>
  </r>
  <r>
    <n v="3388"/>
    <x v="10"/>
    <x v="2"/>
    <x v="10"/>
    <s v="Freshwater"/>
    <s v="2Freshwater"/>
    <s v="Salmon"/>
    <n v="792"/>
    <s v="Nooksack River, South Fork"/>
    <s v="Nooksack River, South Fork"/>
    <s v="NA"/>
    <x v="5"/>
    <s v="Snohomish"/>
    <s v="03Snohomish"/>
    <s v="01North Puget Sound"/>
    <n v="48.756756756756801"/>
    <n v="421.74594594594635"/>
  </r>
  <r>
    <n v="3389"/>
    <x v="10"/>
    <x v="2"/>
    <x v="10"/>
    <s v="Freshwater"/>
    <s v="2Freshwater"/>
    <s v="Salmon"/>
    <n v="792"/>
    <s v="Nooksack River, South Fork"/>
    <s v="Nooksack River, South Fork"/>
    <s v="NA"/>
    <x v="5"/>
    <s v="Whatcom"/>
    <s v="01Whatcom"/>
    <s v="01North Puget Sound"/>
    <n v="292.54054054054097"/>
    <n v="2530.4756756756797"/>
  </r>
  <r>
    <n v="3390"/>
    <x v="10"/>
    <x v="3"/>
    <x v="10"/>
    <s v="Freshwater"/>
    <s v="2Freshwater"/>
    <s v="Salmon"/>
    <n v="792"/>
    <s v="Nooksack River, South Fork"/>
    <s v="Nooksack River, South Fork"/>
    <s v="NA"/>
    <x v="5"/>
    <s v="Snohomish"/>
    <s v="03Snohomish"/>
    <s v="01North Puget Sound"/>
    <n v="24"/>
    <n v="207.60000000000002"/>
  </r>
  <r>
    <n v="3391"/>
    <x v="10"/>
    <x v="1"/>
    <x v="10"/>
    <s v="Freshwater"/>
    <s v="2Freshwater"/>
    <s v="Salmon"/>
    <n v="794"/>
    <s v="Nooksack River, below North Fork"/>
    <s v="Nooksack River, below North Fork"/>
    <s v="Whatcom"/>
    <x v="1"/>
    <s v="Whatcom"/>
    <s v="01Whatcom"/>
    <s v="01North Puget Sound"/>
    <n v="171"/>
    <n v="1479.15"/>
  </r>
  <r>
    <n v="3392"/>
    <x v="10"/>
    <x v="2"/>
    <x v="10"/>
    <s v="Freshwater"/>
    <s v="2Freshwater"/>
    <s v="Salmon"/>
    <n v="794"/>
    <s v="Nooksack River, below North Fork"/>
    <s v="Nooksack River, below North Fork"/>
    <s v="Whatcom"/>
    <x v="1"/>
    <s v="Whatcom"/>
    <s v="01Whatcom"/>
    <s v="01North Puget Sound"/>
    <n v="340"/>
    <n v="2941"/>
  </r>
  <r>
    <n v="3393"/>
    <x v="10"/>
    <x v="3"/>
    <x v="10"/>
    <s v="Freshwater"/>
    <s v="2Freshwater"/>
    <s v="Salmon"/>
    <n v="794"/>
    <s v="Nooksack River, below North Fork"/>
    <s v="Nooksack River, below North Fork"/>
    <s v="Whatcom"/>
    <x v="1"/>
    <s v="Whatcom"/>
    <s v="01Whatcom"/>
    <s v="01North Puget Sound"/>
    <n v="110"/>
    <n v="951.5"/>
  </r>
  <r>
    <n v="3394"/>
    <x v="10"/>
    <x v="4"/>
    <x v="10"/>
    <s v="Freshwater"/>
    <s v="2Freshwater"/>
    <s v="Salmon"/>
    <n v="794"/>
    <s v="Nooksack River, below North Fork"/>
    <s v="Nooksack River, below North Fork"/>
    <s v="Whatcom"/>
    <x v="1"/>
    <s v="Whatcom"/>
    <s v="01Whatcom"/>
    <s v="01North Puget Sound"/>
    <n v="49"/>
    <n v="423.85"/>
  </r>
  <r>
    <n v="3395"/>
    <x v="10"/>
    <x v="0"/>
    <x v="10"/>
    <s v="Freshwater"/>
    <s v="2Freshwater"/>
    <s v="Salmon"/>
    <n v="802"/>
    <s v="Carbon River"/>
    <s v="Carbon River"/>
    <s v="Pierce"/>
    <x v="0"/>
    <s v="Other"/>
    <s v="20Other"/>
    <s v="07Non Puget Sound"/>
    <n v="12"/>
    <n v="103.80000000000001"/>
  </r>
  <r>
    <n v="3396"/>
    <x v="10"/>
    <x v="1"/>
    <x v="10"/>
    <s v="Freshwater"/>
    <s v="2Freshwater"/>
    <s v="Salmon"/>
    <n v="802"/>
    <s v="Carbon River"/>
    <s v="Carbon River"/>
    <s v="Pierce"/>
    <x v="0"/>
    <s v="King"/>
    <s v="06King"/>
    <s v="02South Puget Sound"/>
    <n v="346.81818181818198"/>
    <n v="2999.9772727272743"/>
  </r>
  <r>
    <n v="3397"/>
    <x v="10"/>
    <x v="1"/>
    <x v="10"/>
    <s v="Freshwater"/>
    <s v="2Freshwater"/>
    <s v="Salmon"/>
    <n v="802"/>
    <s v="Carbon River"/>
    <s v="Carbon River"/>
    <s v="Pierce"/>
    <x v="0"/>
    <s v="Other"/>
    <s v="20Other"/>
    <s v="07Non Puget Sound"/>
    <n v="61.931818181818201"/>
    <n v="535.71022727272748"/>
  </r>
  <r>
    <n v="3398"/>
    <x v="10"/>
    <x v="1"/>
    <x v="10"/>
    <s v="Freshwater"/>
    <s v="2Freshwater"/>
    <s v="Salmon"/>
    <n v="802"/>
    <s v="Carbon River"/>
    <s v="Carbon River"/>
    <s v="Pierce"/>
    <x v="0"/>
    <s v="Pierce"/>
    <s v="07Pierce"/>
    <s v="02South Puget Sound"/>
    <n v="681.25"/>
    <n v="5892.8125"/>
  </r>
  <r>
    <n v="3399"/>
    <x v="10"/>
    <x v="2"/>
    <x v="10"/>
    <s v="Freshwater"/>
    <s v="2Freshwater"/>
    <s v="Salmon"/>
    <n v="802"/>
    <s v="Carbon River"/>
    <s v="Carbon River"/>
    <s v="Pierce"/>
    <x v="0"/>
    <s v="King"/>
    <s v="06King"/>
    <s v="02South Puget Sound"/>
    <n v="24.8"/>
    <n v="214.52"/>
  </r>
  <r>
    <n v="3400"/>
    <x v="10"/>
    <x v="2"/>
    <x v="10"/>
    <s v="Freshwater"/>
    <s v="2Freshwater"/>
    <s v="Salmon"/>
    <n v="802"/>
    <s v="Carbon River"/>
    <s v="Carbon River"/>
    <s v="Pierce"/>
    <x v="0"/>
    <s v="Mason"/>
    <s v="09Mason"/>
    <s v="02South Puget Sound"/>
    <n v="49.6"/>
    <n v="429.04"/>
  </r>
  <r>
    <n v="3401"/>
    <x v="10"/>
    <x v="2"/>
    <x v="10"/>
    <s v="Freshwater"/>
    <s v="2Freshwater"/>
    <s v="Salmon"/>
    <n v="802"/>
    <s v="Carbon River"/>
    <s v="Carbon River"/>
    <s v="Pierce"/>
    <x v="0"/>
    <s v="Other"/>
    <s v="20Other"/>
    <s v="07Non Puget Sound"/>
    <n v="12.4"/>
    <n v="107.26"/>
  </r>
  <r>
    <n v="3402"/>
    <x v="10"/>
    <x v="2"/>
    <x v="10"/>
    <s v="Freshwater"/>
    <s v="2Freshwater"/>
    <s v="Salmon"/>
    <n v="802"/>
    <s v="Carbon River"/>
    <s v="Carbon River"/>
    <s v="Pierce"/>
    <x v="0"/>
    <s v="Pierce"/>
    <s v="07Pierce"/>
    <s v="02South Puget Sound"/>
    <n v="99.2"/>
    <n v="858.08"/>
  </r>
  <r>
    <n v="3403"/>
    <x v="10"/>
    <x v="0"/>
    <x v="10"/>
    <s v="Freshwater"/>
    <s v="2Freshwater"/>
    <s v="Salmon"/>
    <n v="804"/>
    <s v="Puyallup River"/>
    <s v="Puyallup River"/>
    <s v="Pierce"/>
    <x v="0"/>
    <s v="King"/>
    <s v="06King"/>
    <s v="02South Puget Sound"/>
    <n v="730.45806451612896"/>
    <n v="6318.4622580645155"/>
  </r>
  <r>
    <n v="3404"/>
    <x v="10"/>
    <x v="0"/>
    <x v="10"/>
    <s v="Freshwater"/>
    <s v="2Freshwater"/>
    <s v="Salmon"/>
    <n v="804"/>
    <s v="Puyallup River"/>
    <s v="Puyallup River"/>
    <s v="Pierce"/>
    <x v="0"/>
    <s v="Mason"/>
    <s v="09Mason"/>
    <s v="02South Puget Sound"/>
    <n v="12.3806451612903"/>
    <n v="107.09258064516109"/>
  </r>
  <r>
    <n v="3405"/>
    <x v="10"/>
    <x v="0"/>
    <x v="10"/>
    <s v="Freshwater"/>
    <s v="2Freshwater"/>
    <s v="Salmon"/>
    <n v="804"/>
    <s v="Puyallup River"/>
    <s v="Puyallup River"/>
    <s v="Pierce"/>
    <x v="0"/>
    <s v="Other"/>
    <s v="20Other"/>
    <s v="07Non Puget Sound"/>
    <n v="74.283870967742004"/>
    <n v="642.55548387096837"/>
  </r>
  <r>
    <n v="3406"/>
    <x v="10"/>
    <x v="0"/>
    <x v="10"/>
    <s v="Freshwater"/>
    <s v="2Freshwater"/>
    <s v="Salmon"/>
    <n v="804"/>
    <s v="Puyallup River"/>
    <s v="Puyallup River"/>
    <s v="Pierce"/>
    <x v="0"/>
    <s v="Pierce"/>
    <s v="07Pierce"/>
    <s v="02South Puget Sound"/>
    <n v="1015.21290322581"/>
    <n v="8781.5916129032576"/>
  </r>
  <r>
    <n v="3407"/>
    <x v="10"/>
    <x v="0"/>
    <x v="10"/>
    <s v="Freshwater"/>
    <s v="2Freshwater"/>
    <s v="Salmon"/>
    <n v="804"/>
    <s v="Puyallup River"/>
    <s v="Puyallup River"/>
    <s v="Pierce"/>
    <x v="0"/>
    <s v="Snohomish"/>
    <s v="03Snohomish"/>
    <s v="01North Puget Sound"/>
    <n v="37.141935483871002"/>
    <n v="321.27774193548419"/>
  </r>
  <r>
    <n v="3408"/>
    <x v="10"/>
    <x v="0"/>
    <x v="10"/>
    <s v="Freshwater"/>
    <s v="2Freshwater"/>
    <s v="Salmon"/>
    <n v="804"/>
    <s v="Puyallup River"/>
    <s v="Puyallup River"/>
    <s v="Pierce"/>
    <x v="0"/>
    <s v="Thurston"/>
    <s v="08Thurston"/>
    <s v="02South Puget Sound"/>
    <n v="49.522580645161298"/>
    <n v="428.37032258064522"/>
  </r>
  <r>
    <n v="3409"/>
    <x v="10"/>
    <x v="1"/>
    <x v="10"/>
    <s v="Freshwater"/>
    <s v="2Freshwater"/>
    <s v="Salmon"/>
    <n v="804"/>
    <s v="Puyallup River"/>
    <s v="Puyallup River"/>
    <s v="Pierce"/>
    <x v="0"/>
    <s v="King"/>
    <s v="06King"/>
    <s v="02South Puget Sound"/>
    <n v="1225.26199261993"/>
    <n v="10598.516236162395"/>
  </r>
  <r>
    <n v="3410"/>
    <x v="10"/>
    <x v="1"/>
    <x v="10"/>
    <s v="Freshwater"/>
    <s v="2Freshwater"/>
    <s v="Salmon"/>
    <n v="804"/>
    <s v="Puyallup River"/>
    <s v="Puyallup River"/>
    <s v="Pierce"/>
    <x v="0"/>
    <s v="Other"/>
    <s v="20Other"/>
    <s v="07Non Puget Sound"/>
    <n v="210.39852398523999"/>
    <n v="1819.947232472326"/>
  </r>
  <r>
    <n v="3411"/>
    <x v="10"/>
    <x v="1"/>
    <x v="10"/>
    <s v="Freshwater"/>
    <s v="2Freshwater"/>
    <s v="Salmon"/>
    <n v="804"/>
    <s v="Puyallup River"/>
    <s v="Puyallup River"/>
    <s v="Pierce"/>
    <x v="0"/>
    <s v="Pierce"/>
    <s v="07Pierce"/>
    <s v="02South Puget Sound"/>
    <n v="1769.8228782287799"/>
    <n v="15308.967896678947"/>
  </r>
  <r>
    <n v="3412"/>
    <x v="10"/>
    <x v="1"/>
    <x v="10"/>
    <s v="Freshwater"/>
    <s v="2Freshwater"/>
    <s v="Salmon"/>
    <n v="804"/>
    <s v="Puyallup River"/>
    <s v="Puyallup River"/>
    <s v="Pierce"/>
    <x v="0"/>
    <s v="Snohomish"/>
    <s v="03Snohomish"/>
    <s v="01North Puget Sound"/>
    <n v="99.011070110701098"/>
    <n v="856.44575645756458"/>
  </r>
  <r>
    <n v="3413"/>
    <x v="10"/>
    <x v="1"/>
    <x v="10"/>
    <s v="Freshwater"/>
    <s v="2Freshwater"/>
    <s v="Salmon"/>
    <n v="804"/>
    <s v="Puyallup River"/>
    <s v="Puyallup River"/>
    <s v="Pierce"/>
    <x v="0"/>
    <s v="Thurston"/>
    <s v="08Thurston"/>
    <s v="02South Puget Sound"/>
    <n v="49.505535055350599"/>
    <n v="428.22287822878269"/>
  </r>
  <r>
    <n v="3414"/>
    <x v="10"/>
    <x v="2"/>
    <x v="10"/>
    <s v="Freshwater"/>
    <s v="2Freshwater"/>
    <s v="Salmon"/>
    <n v="804"/>
    <s v="Puyallup River"/>
    <s v="Puyallup River"/>
    <s v="Pierce"/>
    <x v="0"/>
    <s v="Other"/>
    <s v="20Other"/>
    <s v="07Non Puget Sound"/>
    <n v="12.2"/>
    <n v="105.53"/>
  </r>
  <r>
    <n v="3415"/>
    <x v="10"/>
    <x v="2"/>
    <x v="10"/>
    <s v="Freshwater"/>
    <s v="2Freshwater"/>
    <s v="Salmon"/>
    <n v="804"/>
    <s v="Puyallup River"/>
    <s v="Puyallup River"/>
    <s v="Pierce"/>
    <x v="0"/>
    <s v="Pierce"/>
    <s v="07Pierce"/>
    <s v="02South Puget Sound"/>
    <n v="48.8"/>
    <n v="422.12"/>
  </r>
  <r>
    <n v="3416"/>
    <x v="10"/>
    <x v="0"/>
    <x v="10"/>
    <s v="Freshwater"/>
    <s v="2Freshwater"/>
    <s v="Salmon"/>
    <n v="812"/>
    <s v="Quilcene River"/>
    <s v="Quilcene River"/>
    <s v="Jefferson"/>
    <x v="2"/>
    <s v="Clallam"/>
    <s v="11Clallam"/>
    <s v="03Strait of Juan de Fuca"/>
    <n v="518.48571428571404"/>
    <n v="4484.9014285714265"/>
  </r>
  <r>
    <n v="3417"/>
    <x v="10"/>
    <x v="0"/>
    <x v="10"/>
    <s v="Freshwater"/>
    <s v="2Freshwater"/>
    <s v="Salmon"/>
    <n v="812"/>
    <s v="Quilcene River"/>
    <s v="Quilcene River"/>
    <s v="Jefferson"/>
    <x v="2"/>
    <s v="Jefferson"/>
    <s v="12Jefferson"/>
    <s v="03Strait of Juan de Fuca"/>
    <n v="101.44285714285699"/>
    <n v="877.48071428571302"/>
  </r>
  <r>
    <n v="3418"/>
    <x v="10"/>
    <x v="0"/>
    <x v="10"/>
    <s v="Freshwater"/>
    <s v="2Freshwater"/>
    <s v="Salmon"/>
    <n v="812"/>
    <s v="Quilcene River"/>
    <s v="Quilcene River"/>
    <s v="Jefferson"/>
    <x v="2"/>
    <s v="King"/>
    <s v="06King"/>
    <s v="02South Puget Sound"/>
    <n v="56.357142857142897"/>
    <n v="487.4892857142861"/>
  </r>
  <r>
    <n v="3419"/>
    <x v="10"/>
    <x v="0"/>
    <x v="10"/>
    <s v="Freshwater"/>
    <s v="2Freshwater"/>
    <s v="Salmon"/>
    <n v="812"/>
    <s v="Quilcene River"/>
    <s v="Quilcene River"/>
    <s v="Jefferson"/>
    <x v="2"/>
    <s v="Kitsap"/>
    <s v="10Kitsap"/>
    <s v="02South Puget Sound"/>
    <n v="608.65714285714296"/>
    <n v="5264.8842857142872"/>
  </r>
  <r>
    <n v="3420"/>
    <x v="10"/>
    <x v="0"/>
    <x v="10"/>
    <s v="Freshwater"/>
    <s v="2Freshwater"/>
    <s v="Salmon"/>
    <n v="812"/>
    <s v="Quilcene River"/>
    <s v="Quilcene River"/>
    <s v="Jefferson"/>
    <x v="2"/>
    <s v="Mason"/>
    <s v="09Mason"/>
    <s v="02South Puget Sound"/>
    <n v="191.61428571428601"/>
    <n v="1657.4635714285741"/>
  </r>
  <r>
    <n v="3421"/>
    <x v="10"/>
    <x v="0"/>
    <x v="10"/>
    <s v="Freshwater"/>
    <s v="2Freshwater"/>
    <s v="Salmon"/>
    <n v="812"/>
    <s v="Quilcene River"/>
    <s v="Quilcene River"/>
    <s v="Jefferson"/>
    <x v="2"/>
    <s v="Pierce"/>
    <s v="07Pierce"/>
    <s v="02South Puget Sound"/>
    <n v="56.357142857142897"/>
    <n v="487.4892857142861"/>
  </r>
  <r>
    <n v="3422"/>
    <x v="10"/>
    <x v="0"/>
    <x v="10"/>
    <s v="Freshwater"/>
    <s v="2Freshwater"/>
    <s v="Salmon"/>
    <n v="812"/>
    <s v="Quilcene River"/>
    <s v="Quilcene River"/>
    <s v="Jefferson"/>
    <x v="2"/>
    <s v="Snohomish"/>
    <s v="03Snohomish"/>
    <s v="01North Puget Sound"/>
    <n v="45.085714285714303"/>
    <n v="389.99142857142874"/>
  </r>
  <r>
    <n v="3423"/>
    <x v="10"/>
    <x v="1"/>
    <x v="10"/>
    <s v="Freshwater"/>
    <s v="2Freshwater"/>
    <s v="Salmon"/>
    <n v="812"/>
    <s v="Quilcene River"/>
    <s v="Quilcene River"/>
    <s v="Jefferson"/>
    <x v="2"/>
    <s v="Clallam"/>
    <s v="11Clallam"/>
    <s v="03Strait of Juan de Fuca"/>
    <n v="214.11538461538501"/>
    <n v="1852.0980769230805"/>
  </r>
  <r>
    <n v="3424"/>
    <x v="10"/>
    <x v="1"/>
    <x v="10"/>
    <s v="Freshwater"/>
    <s v="2Freshwater"/>
    <s v="Salmon"/>
    <n v="812"/>
    <s v="Quilcene River"/>
    <s v="Quilcene River"/>
    <s v="Jefferson"/>
    <x v="2"/>
    <s v="Jefferson"/>
    <s v="12Jefferson"/>
    <s v="03Strait of Juan de Fuca"/>
    <n v="281.730769230769"/>
    <n v="2436.971153846152"/>
  </r>
  <r>
    <n v="3425"/>
    <x v="10"/>
    <x v="1"/>
    <x v="10"/>
    <s v="Freshwater"/>
    <s v="2Freshwater"/>
    <s v="Salmon"/>
    <n v="812"/>
    <s v="Quilcene River"/>
    <s v="Quilcene River"/>
    <s v="Jefferson"/>
    <x v="2"/>
    <s v="King"/>
    <s v="06King"/>
    <s v="02South Puget Sound"/>
    <n v="90.153846153846203"/>
    <n v="779.83076923076965"/>
  </r>
  <r>
    <n v="3426"/>
    <x v="10"/>
    <x v="1"/>
    <x v="10"/>
    <s v="Freshwater"/>
    <s v="2Freshwater"/>
    <s v="Salmon"/>
    <n v="812"/>
    <s v="Quilcene River"/>
    <s v="Quilcene River"/>
    <s v="Jefferson"/>
    <x v="2"/>
    <s v="Kitsap"/>
    <s v="10Kitsap"/>
    <s v="02South Puget Sound"/>
    <n v="146.5"/>
    <n v="1267.2250000000001"/>
  </r>
  <r>
    <n v="3427"/>
    <x v="10"/>
    <x v="1"/>
    <x v="10"/>
    <s v="Freshwater"/>
    <s v="2Freshwater"/>
    <s v="Salmon"/>
    <n v="812"/>
    <s v="Quilcene River"/>
    <s v="Quilcene River"/>
    <s v="Jefferson"/>
    <x v="2"/>
    <s v="Mason"/>
    <s v="09Mason"/>
    <s v="02South Puget Sound"/>
    <n v="360.61538461538498"/>
    <n v="3119.3230769230804"/>
  </r>
  <r>
    <n v="3428"/>
    <x v="10"/>
    <x v="1"/>
    <x v="10"/>
    <s v="Freshwater"/>
    <s v="2Freshwater"/>
    <s v="Salmon"/>
    <n v="812"/>
    <s v="Quilcene River"/>
    <s v="Quilcene River"/>
    <s v="Jefferson"/>
    <x v="2"/>
    <s v="Other"/>
    <s v="20Other"/>
    <s v="07Non Puget Sound"/>
    <n v="22.538461538461501"/>
    <n v="194.95769230769199"/>
  </r>
  <r>
    <n v="3429"/>
    <x v="10"/>
    <x v="1"/>
    <x v="10"/>
    <s v="Freshwater"/>
    <s v="2Freshwater"/>
    <s v="Salmon"/>
    <n v="812"/>
    <s v="Quilcene River"/>
    <s v="Quilcene River"/>
    <s v="Jefferson"/>
    <x v="2"/>
    <s v="Pierce"/>
    <s v="07Pierce"/>
    <s v="02South Puget Sound"/>
    <n v="45.076923076923102"/>
    <n v="389.91538461538482"/>
  </r>
  <r>
    <n v="3430"/>
    <x v="10"/>
    <x v="1"/>
    <x v="10"/>
    <s v="Freshwater"/>
    <s v="2Freshwater"/>
    <s v="Salmon"/>
    <n v="812"/>
    <s v="Quilcene River"/>
    <s v="Quilcene River"/>
    <s v="Jefferson"/>
    <x v="2"/>
    <s v="Thurston"/>
    <s v="08Thurston"/>
    <s v="02South Puget Sound"/>
    <n v="11.2692307692308"/>
    <n v="97.478846153846433"/>
  </r>
  <r>
    <n v="3431"/>
    <x v="10"/>
    <x v="2"/>
    <x v="10"/>
    <s v="Freshwater"/>
    <s v="2Freshwater"/>
    <s v="Salmon"/>
    <n v="812"/>
    <s v="Quilcene River"/>
    <s v="Quilcene River"/>
    <s v="Jefferson"/>
    <x v="2"/>
    <s v="Jefferson"/>
    <s v="12Jefferson"/>
    <s v="03Strait of Juan de Fuca"/>
    <n v="11.25"/>
    <n v="97.3125"/>
  </r>
  <r>
    <n v="3432"/>
    <x v="10"/>
    <x v="2"/>
    <x v="10"/>
    <s v="Freshwater"/>
    <s v="2Freshwater"/>
    <s v="Salmon"/>
    <n v="812"/>
    <s v="Quilcene River"/>
    <s v="Quilcene River"/>
    <s v="Jefferson"/>
    <x v="2"/>
    <s v="Kitsap"/>
    <s v="10Kitsap"/>
    <s v="02South Puget Sound"/>
    <n v="78.75"/>
    <n v="681.1875"/>
  </r>
  <r>
    <n v="3433"/>
    <x v="10"/>
    <x v="0"/>
    <x v="10"/>
    <s v="Freshwater"/>
    <s v="2Freshwater"/>
    <s v="Salmon"/>
    <n v="816"/>
    <s v="Samish River"/>
    <s v="Samish River"/>
    <s v="Skagit"/>
    <x v="1"/>
    <s v="Island"/>
    <s v="04Island"/>
    <s v="01North Puget Sound"/>
    <n v="146.355140186916"/>
    <n v="1265.9719626168235"/>
  </r>
  <r>
    <n v="3434"/>
    <x v="10"/>
    <x v="0"/>
    <x v="10"/>
    <s v="Freshwater"/>
    <s v="2Freshwater"/>
    <s v="Salmon"/>
    <n v="816"/>
    <s v="Samish River"/>
    <s v="Samish River"/>
    <s v="Skagit"/>
    <x v="1"/>
    <s v="King"/>
    <s v="06King"/>
    <s v="02South Puget Sound"/>
    <n v="341.49532710280403"/>
    <n v="2953.9345794392548"/>
  </r>
  <r>
    <n v="3435"/>
    <x v="10"/>
    <x v="0"/>
    <x v="10"/>
    <s v="Freshwater"/>
    <s v="2Freshwater"/>
    <s v="Salmon"/>
    <n v="816"/>
    <s v="Samish River"/>
    <s v="Samish River"/>
    <s v="Skagit"/>
    <x v="1"/>
    <s v="Kitsap"/>
    <s v="10Kitsap"/>
    <s v="02South Puget Sound"/>
    <n v="36.588785046729001"/>
    <n v="316.49299065420587"/>
  </r>
  <r>
    <n v="3436"/>
    <x v="10"/>
    <x v="0"/>
    <x v="10"/>
    <s v="Freshwater"/>
    <s v="2Freshwater"/>
    <s v="Salmon"/>
    <n v="816"/>
    <s v="Samish River"/>
    <s v="Samish River"/>
    <s v="Skagit"/>
    <x v="1"/>
    <s v="Other"/>
    <s v="20Other"/>
    <s v="07Non Puget Sound"/>
    <n v="73.177570093458002"/>
    <n v="632.98598130841174"/>
  </r>
  <r>
    <n v="3437"/>
    <x v="10"/>
    <x v="0"/>
    <x v="10"/>
    <s v="Freshwater"/>
    <s v="2Freshwater"/>
    <s v="Salmon"/>
    <n v="816"/>
    <s v="Samish River"/>
    <s v="Samish River"/>
    <s v="Skagit"/>
    <x v="1"/>
    <s v="Skagit"/>
    <s v="02Skagit"/>
    <s v="01North Puget Sound"/>
    <n v="561.028037383178"/>
    <n v="4852.8925233644895"/>
  </r>
  <r>
    <n v="3438"/>
    <x v="10"/>
    <x v="0"/>
    <x v="10"/>
    <s v="Freshwater"/>
    <s v="2Freshwater"/>
    <s v="Salmon"/>
    <n v="816"/>
    <s v="Samish River"/>
    <s v="Samish River"/>
    <s v="Skagit"/>
    <x v="1"/>
    <s v="Snohomish"/>
    <s v="03Snohomish"/>
    <s v="01North Puget Sound"/>
    <n v="1048.8785046728999"/>
    <n v="9072.7990654205842"/>
  </r>
  <r>
    <n v="3439"/>
    <x v="10"/>
    <x v="0"/>
    <x v="10"/>
    <s v="Freshwater"/>
    <s v="2Freshwater"/>
    <s v="Salmon"/>
    <n v="816"/>
    <s v="Samish River"/>
    <s v="Samish River"/>
    <s v="Skagit"/>
    <x v="1"/>
    <s v="Whatcom"/>
    <s v="01Whatcom"/>
    <s v="01North Puget Sound"/>
    <n v="402.47663551401899"/>
    <n v="3481.4228971962643"/>
  </r>
  <r>
    <n v="3440"/>
    <x v="10"/>
    <x v="1"/>
    <x v="10"/>
    <s v="Freshwater"/>
    <s v="2Freshwater"/>
    <s v="Salmon"/>
    <n v="816"/>
    <s v="Samish River"/>
    <s v="Samish River"/>
    <s v="Skagit"/>
    <x v="1"/>
    <s v="Island"/>
    <s v="04Island"/>
    <s v="01North Puget Sound"/>
    <n v="146.394431554524"/>
    <n v="1266.3118329466326"/>
  </r>
  <r>
    <n v="3441"/>
    <x v="10"/>
    <x v="1"/>
    <x v="10"/>
    <s v="Freshwater"/>
    <s v="2Freshwater"/>
    <s v="Salmon"/>
    <n v="816"/>
    <s v="Samish River"/>
    <s v="Samish River"/>
    <s v="Skagit"/>
    <x v="1"/>
    <s v="King"/>
    <s v="06King"/>
    <s v="02South Puget Sound"/>
    <n v="756.37122969837606"/>
    <n v="6542.6111368909533"/>
  </r>
  <r>
    <n v="3442"/>
    <x v="10"/>
    <x v="1"/>
    <x v="10"/>
    <s v="Freshwater"/>
    <s v="2Freshwater"/>
    <s v="Salmon"/>
    <n v="816"/>
    <s v="Samish River"/>
    <s v="Samish River"/>
    <s v="Skagit"/>
    <x v="1"/>
    <s v="Kitsap"/>
    <s v="10Kitsap"/>
    <s v="02South Puget Sound"/>
    <n v="48.798143851508101"/>
    <n v="422.10394431554511"/>
  </r>
  <r>
    <n v="3443"/>
    <x v="10"/>
    <x v="1"/>
    <x v="10"/>
    <s v="Freshwater"/>
    <s v="2Freshwater"/>
    <s v="Salmon"/>
    <n v="816"/>
    <s v="Samish River"/>
    <s v="Samish River"/>
    <s v="Skagit"/>
    <x v="1"/>
    <s v="Other"/>
    <s v="20Other"/>
    <s v="07Non Puget Sound"/>
    <n v="158.59396751740101"/>
    <n v="1371.8378190255189"/>
  </r>
  <r>
    <n v="3444"/>
    <x v="10"/>
    <x v="1"/>
    <x v="10"/>
    <s v="Freshwater"/>
    <s v="2Freshwater"/>
    <s v="Salmon"/>
    <n v="816"/>
    <s v="Samish River"/>
    <s v="Samish River"/>
    <s v="Skagit"/>
    <x v="1"/>
    <s v="Skagit"/>
    <s v="02Skagit"/>
    <s v="01North Puget Sound"/>
    <n v="1085.75870069606"/>
    <n v="9391.8127610209194"/>
  </r>
  <r>
    <n v="3445"/>
    <x v="10"/>
    <x v="1"/>
    <x v="10"/>
    <s v="Freshwater"/>
    <s v="2Freshwater"/>
    <s v="Salmon"/>
    <n v="816"/>
    <s v="Samish River"/>
    <s v="Samish River"/>
    <s v="Skagit"/>
    <x v="1"/>
    <s v="Snohomish"/>
    <s v="03Snohomish"/>
    <s v="01North Puget Sound"/>
    <n v="2293.5127610208801"/>
    <n v="19838.885382830613"/>
  </r>
  <r>
    <n v="3446"/>
    <x v="10"/>
    <x v="1"/>
    <x v="10"/>
    <s v="Freshwater"/>
    <s v="2Freshwater"/>
    <s v="Salmon"/>
    <n v="816"/>
    <s v="Samish River"/>
    <s v="Samish River"/>
    <s v="Skagit"/>
    <x v="1"/>
    <s v="Whatcom"/>
    <s v="01Whatcom"/>
    <s v="01North Puget Sound"/>
    <n v="768.57076566125295"/>
    <n v="6648.1371229698379"/>
  </r>
  <r>
    <n v="3447"/>
    <x v="10"/>
    <x v="5"/>
    <x v="10"/>
    <s v="Freshwater"/>
    <s v="2Freshwater"/>
    <s v="Salmon"/>
    <n v="825"/>
    <s v="Baker Lake"/>
    <s v="Baker Lake"/>
    <s v="Whatcom"/>
    <x v="1"/>
    <s v="Island"/>
    <s v="04Island"/>
    <s v="01North Puget Sound"/>
    <n v="107.10299003322299"/>
    <n v="926.44086378737893"/>
  </r>
  <r>
    <n v="3448"/>
    <x v="10"/>
    <x v="5"/>
    <x v="10"/>
    <s v="Freshwater"/>
    <s v="2Freshwater"/>
    <s v="Salmon"/>
    <n v="825"/>
    <s v="Baker Lake"/>
    <s v="Baker Lake"/>
    <s v="Whatcom"/>
    <x v="1"/>
    <s v="King"/>
    <s v="06King"/>
    <s v="02South Puget Sound"/>
    <n v="1053.17940199336"/>
    <n v="9110.0018272425641"/>
  </r>
  <r>
    <n v="3449"/>
    <x v="10"/>
    <x v="5"/>
    <x v="10"/>
    <s v="Freshwater"/>
    <s v="2Freshwater"/>
    <s v="Salmon"/>
    <n v="825"/>
    <s v="Baker Lake"/>
    <s v="Baker Lake"/>
    <s v="Whatcom"/>
    <x v="1"/>
    <s v="Kitsap"/>
    <s v="10Kitsap"/>
    <s v="02South Puget Sound"/>
    <n v="35.700996677740903"/>
    <n v="308.81362126245881"/>
  </r>
  <r>
    <n v="3450"/>
    <x v="10"/>
    <x v="5"/>
    <x v="10"/>
    <s v="Freshwater"/>
    <s v="2Freshwater"/>
    <s v="Salmon"/>
    <n v="825"/>
    <s v="Baker Lake"/>
    <s v="Baker Lake"/>
    <s v="Whatcom"/>
    <x v="1"/>
    <s v="Other"/>
    <s v="20Other"/>
    <s v="07Non Puget Sound"/>
    <n v="232.056478405316"/>
    <n v="2007.2885382059835"/>
  </r>
  <r>
    <n v="3451"/>
    <x v="10"/>
    <x v="5"/>
    <x v="10"/>
    <s v="Freshwater"/>
    <s v="2Freshwater"/>
    <s v="Salmon"/>
    <n v="825"/>
    <s v="Baker Lake"/>
    <s v="Baker Lake"/>
    <s v="Whatcom"/>
    <x v="1"/>
    <s v="Pierce"/>
    <s v="07Pierce"/>
    <s v="02South Puget Sound"/>
    <n v="35.700996677740903"/>
    <n v="308.81362126245881"/>
  </r>
  <r>
    <n v="3452"/>
    <x v="10"/>
    <x v="5"/>
    <x v="10"/>
    <s v="Freshwater"/>
    <s v="2Freshwater"/>
    <s v="Salmon"/>
    <n v="825"/>
    <s v="Baker Lake"/>
    <s v="Baker Lake"/>
    <s v="Whatcom"/>
    <x v="1"/>
    <s v="Skagit"/>
    <s v="02Skagit"/>
    <s v="01North Puget Sound"/>
    <n v="1535.1428571428601"/>
    <n v="13278.98571428574"/>
  </r>
  <r>
    <n v="3453"/>
    <x v="10"/>
    <x v="5"/>
    <x v="10"/>
    <s v="Freshwater"/>
    <s v="2Freshwater"/>
    <s v="Salmon"/>
    <n v="825"/>
    <s v="Baker Lake"/>
    <s v="Baker Lake"/>
    <s v="Whatcom"/>
    <x v="1"/>
    <s v="Snohomish"/>
    <s v="03Snohomish"/>
    <s v="01North Puget Sound"/>
    <n v="1517.2923588039901"/>
    <n v="13124.578903654514"/>
  </r>
  <r>
    <n v="3454"/>
    <x v="10"/>
    <x v="5"/>
    <x v="10"/>
    <s v="Freshwater"/>
    <s v="2Freshwater"/>
    <s v="Salmon"/>
    <n v="825"/>
    <s v="Baker Lake"/>
    <s v="Baker Lake"/>
    <s v="Whatcom"/>
    <x v="1"/>
    <s v="Whatcom"/>
    <s v="01Whatcom"/>
    <s v="01North Puget Sound"/>
    <n v="856.823920265781"/>
    <n v="7411.526910299006"/>
  </r>
  <r>
    <n v="3455"/>
    <x v="10"/>
    <x v="0"/>
    <x v="10"/>
    <s v="Freshwater"/>
    <s v="2Freshwater"/>
    <s v="Salmon"/>
    <n v="825"/>
    <s v="Baker Lake"/>
    <s v="Baker Lake"/>
    <s v="Whatcom"/>
    <x v="1"/>
    <s v="Skagit"/>
    <s v="02Skagit"/>
    <s v="01North Puget Sound"/>
    <n v="103.5"/>
    <n v="895.27500000000009"/>
  </r>
  <r>
    <n v="3456"/>
    <x v="10"/>
    <x v="0"/>
    <x v="10"/>
    <s v="Freshwater"/>
    <s v="2Freshwater"/>
    <s v="Salmon"/>
    <n v="825"/>
    <s v="Baker Lake"/>
    <s v="Baker Lake"/>
    <s v="Whatcom"/>
    <x v="1"/>
    <s v="Snohomish"/>
    <s v="03Snohomish"/>
    <s v="01North Puget Sound"/>
    <n v="86.25"/>
    <n v="746.0625"/>
  </r>
  <r>
    <n v="3457"/>
    <x v="10"/>
    <x v="0"/>
    <x v="10"/>
    <s v="Freshwater"/>
    <s v="2Freshwater"/>
    <s v="Salmon"/>
    <n v="825"/>
    <s v="Baker Lake"/>
    <s v="Baker Lake"/>
    <s v="Whatcom"/>
    <x v="1"/>
    <s v="Whatcom"/>
    <s v="01Whatcom"/>
    <s v="01North Puget Sound"/>
    <n v="17.25"/>
    <n v="149.21250000000001"/>
  </r>
  <r>
    <n v="3458"/>
    <x v="10"/>
    <x v="7"/>
    <x v="10"/>
    <s v="Freshwater"/>
    <s v="2Freshwater"/>
    <s v="Salmon"/>
    <n v="826"/>
    <s v="Cascade River"/>
    <s v="Cascade River"/>
    <s v="Skagit"/>
    <x v="1"/>
    <s v="Snohomish"/>
    <s v="03Snohomish"/>
    <s v="01North Puget Sound"/>
    <n v="12"/>
    <n v="103.80000000000001"/>
  </r>
  <r>
    <n v="3459"/>
    <x v="10"/>
    <x v="5"/>
    <x v="10"/>
    <s v="Freshwater"/>
    <s v="2Freshwater"/>
    <s v="Salmon"/>
    <n v="826"/>
    <s v="Cascade River"/>
    <s v="Cascade River"/>
    <s v="Skagit"/>
    <x v="1"/>
    <s v="Snohomish"/>
    <s v="03Snohomish"/>
    <s v="01North Puget Sound"/>
    <n v="24"/>
    <n v="207.60000000000002"/>
  </r>
  <r>
    <n v="3460"/>
    <x v="10"/>
    <x v="1"/>
    <x v="10"/>
    <s v="Freshwater"/>
    <s v="2Freshwater"/>
    <s v="Salmon"/>
    <n v="826"/>
    <s v="Cascade River"/>
    <s v="Cascade River"/>
    <s v="Skagit"/>
    <x v="1"/>
    <s v="Island"/>
    <s v="04Island"/>
    <s v="01North Puget Sound"/>
    <n v="120.756302521008"/>
    <n v="1044.5420168067192"/>
  </r>
  <r>
    <n v="3461"/>
    <x v="10"/>
    <x v="1"/>
    <x v="10"/>
    <s v="Freshwater"/>
    <s v="2Freshwater"/>
    <s v="Salmon"/>
    <n v="826"/>
    <s v="Cascade River"/>
    <s v="Cascade River"/>
    <s v="Skagit"/>
    <x v="1"/>
    <s v="King"/>
    <s v="06King"/>
    <s v="02South Puget Sound"/>
    <n v="313.96638655462198"/>
    <n v="2715.8092436974803"/>
  </r>
  <r>
    <n v="3462"/>
    <x v="10"/>
    <x v="1"/>
    <x v="10"/>
    <s v="Freshwater"/>
    <s v="2Freshwater"/>
    <s v="Salmon"/>
    <n v="826"/>
    <s v="Cascade River"/>
    <s v="Cascade River"/>
    <s v="Skagit"/>
    <x v="1"/>
    <s v="Pierce"/>
    <s v="07Pierce"/>
    <s v="02South Puget Sound"/>
    <n v="12.075630252100799"/>
    <n v="104.45420168067191"/>
  </r>
  <r>
    <n v="3463"/>
    <x v="10"/>
    <x v="1"/>
    <x v="10"/>
    <s v="Freshwater"/>
    <s v="2Freshwater"/>
    <s v="Salmon"/>
    <n v="826"/>
    <s v="Cascade River"/>
    <s v="Cascade River"/>
    <s v="Skagit"/>
    <x v="1"/>
    <s v="Skagit"/>
    <s v="02Skagit"/>
    <s v="01North Puget Sound"/>
    <n v="156.98319327731099"/>
    <n v="1357.9046218487401"/>
  </r>
  <r>
    <n v="3464"/>
    <x v="10"/>
    <x v="1"/>
    <x v="10"/>
    <s v="Freshwater"/>
    <s v="2Freshwater"/>
    <s v="Salmon"/>
    <n v="826"/>
    <s v="Cascade River"/>
    <s v="Cascade River"/>
    <s v="Skagit"/>
    <x v="1"/>
    <s v="Snohomish"/>
    <s v="03Snohomish"/>
    <s v="01North Puget Sound"/>
    <n v="821.142857142857"/>
    <n v="7102.8857142857132"/>
  </r>
  <r>
    <n v="3465"/>
    <x v="10"/>
    <x v="1"/>
    <x v="10"/>
    <s v="Freshwater"/>
    <s v="2Freshwater"/>
    <s v="Salmon"/>
    <n v="826"/>
    <s v="Cascade River"/>
    <s v="Cascade River"/>
    <s v="Skagit"/>
    <x v="1"/>
    <s v="Whatcom"/>
    <s v="01Whatcom"/>
    <s v="01North Puget Sound"/>
    <n v="12.075630252100799"/>
    <n v="104.45420168067191"/>
  </r>
  <r>
    <n v="3466"/>
    <x v="10"/>
    <x v="2"/>
    <x v="10"/>
    <s v="Freshwater"/>
    <s v="2Freshwater"/>
    <s v="Salmon"/>
    <n v="826"/>
    <s v="Cascade River"/>
    <s v="Cascade River"/>
    <s v="Skagit"/>
    <x v="1"/>
    <s v="Island"/>
    <s v="04Island"/>
    <s v="01North Puget Sound"/>
    <n v="253.59649122806999"/>
    <n v="2193.6096491228054"/>
  </r>
  <r>
    <n v="3467"/>
    <x v="10"/>
    <x v="2"/>
    <x v="10"/>
    <s v="Freshwater"/>
    <s v="2Freshwater"/>
    <s v="Salmon"/>
    <n v="826"/>
    <s v="Cascade River"/>
    <s v="Cascade River"/>
    <s v="Skagit"/>
    <x v="1"/>
    <s v="King"/>
    <s v="06King"/>
    <s v="02South Puget Sound"/>
    <n v="410.58479532163801"/>
    <n v="3551.5584795321688"/>
  </r>
  <r>
    <n v="3468"/>
    <x v="10"/>
    <x v="2"/>
    <x v="10"/>
    <s v="Freshwater"/>
    <s v="2Freshwater"/>
    <s v="Salmon"/>
    <n v="826"/>
    <s v="Cascade River"/>
    <s v="Cascade River"/>
    <s v="Skagit"/>
    <x v="1"/>
    <s v="Other"/>
    <s v="20Other"/>
    <s v="07Non Puget Sound"/>
    <n v="12.0760233918129"/>
    <n v="104.45760233918159"/>
  </r>
  <r>
    <n v="3469"/>
    <x v="10"/>
    <x v="2"/>
    <x v="10"/>
    <s v="Freshwater"/>
    <s v="2Freshwater"/>
    <s v="Salmon"/>
    <n v="826"/>
    <s v="Cascade River"/>
    <s v="Cascade River"/>
    <s v="Skagit"/>
    <x v="1"/>
    <s v="Skagit"/>
    <s v="02Skagit"/>
    <s v="01North Puget Sound"/>
    <n v="265.67251461988297"/>
    <n v="2298.0672514619878"/>
  </r>
  <r>
    <n v="3470"/>
    <x v="10"/>
    <x v="2"/>
    <x v="10"/>
    <s v="Freshwater"/>
    <s v="2Freshwater"/>
    <s v="Salmon"/>
    <n v="826"/>
    <s v="Cascade River"/>
    <s v="Cascade River"/>
    <s v="Skagit"/>
    <x v="1"/>
    <s v="Snohomish"/>
    <s v="03Snohomish"/>
    <s v="01North Puget Sound"/>
    <n v="1002.30994152047"/>
    <n v="8669.9809941520653"/>
  </r>
  <r>
    <n v="3471"/>
    <x v="10"/>
    <x v="2"/>
    <x v="10"/>
    <s v="Freshwater"/>
    <s v="2Freshwater"/>
    <s v="Salmon"/>
    <n v="826"/>
    <s v="Cascade River"/>
    <s v="Cascade River"/>
    <s v="Skagit"/>
    <x v="1"/>
    <s v="Whatcom"/>
    <s v="01Whatcom"/>
    <s v="01North Puget Sound"/>
    <n v="120.760233918129"/>
    <n v="1044.5760233918159"/>
  </r>
  <r>
    <n v="3472"/>
    <x v="10"/>
    <x v="3"/>
    <x v="10"/>
    <s v="Freshwater"/>
    <s v="2Freshwater"/>
    <s v="Salmon"/>
    <n v="826"/>
    <s v="Cascade River"/>
    <s v="Cascade River"/>
    <s v="Skagit"/>
    <x v="1"/>
    <s v="King"/>
    <s v="06King"/>
    <s v="02South Puget Sound"/>
    <n v="12"/>
    <n v="103.80000000000001"/>
  </r>
  <r>
    <n v="3473"/>
    <x v="10"/>
    <x v="3"/>
    <x v="10"/>
    <s v="Freshwater"/>
    <s v="2Freshwater"/>
    <s v="Salmon"/>
    <n v="826"/>
    <s v="Cascade River"/>
    <s v="Cascade River"/>
    <s v="Skagit"/>
    <x v="1"/>
    <s v="Snohomish"/>
    <s v="03Snohomish"/>
    <s v="01North Puget Sound"/>
    <n v="24"/>
    <n v="207.60000000000002"/>
  </r>
  <r>
    <n v="3474"/>
    <x v="10"/>
    <x v="7"/>
    <x v="10"/>
    <s v="Freshwater"/>
    <s v="2Freshwater"/>
    <s v="Salmon"/>
    <n v="830"/>
    <s v="Skagit River"/>
    <s v="Skagit River"/>
    <s v="Skagit/Whatcom"/>
    <x v="4"/>
    <s v="Skagit"/>
    <s v="02Skagit"/>
    <s v="01North Puget Sound"/>
    <n v="12"/>
    <n v="103.80000000000001"/>
  </r>
  <r>
    <n v="3475"/>
    <x v="10"/>
    <x v="1"/>
    <x v="10"/>
    <s v="Freshwater"/>
    <s v="2Freshwater"/>
    <s v="Salmon"/>
    <n v="830"/>
    <s v="Skagit River"/>
    <s v="Skagit River"/>
    <s v="Skagit/Whatcom"/>
    <x v="4"/>
    <s v="King"/>
    <s v="06King"/>
    <s v="02South Puget Sound"/>
    <n v="157.40540540540499"/>
    <n v="1361.5567567567532"/>
  </r>
  <r>
    <n v="3476"/>
    <x v="10"/>
    <x v="1"/>
    <x v="10"/>
    <s v="Freshwater"/>
    <s v="2Freshwater"/>
    <s v="Salmon"/>
    <n v="830"/>
    <s v="Skagit River"/>
    <s v="Skagit River"/>
    <s v="Skagit/Whatcom"/>
    <x v="4"/>
    <s v="Kitsap"/>
    <s v="10Kitsap"/>
    <s v="02South Puget Sound"/>
    <n v="24.2162162162162"/>
    <n v="209.47027027027013"/>
  </r>
  <r>
    <n v="3477"/>
    <x v="10"/>
    <x v="1"/>
    <x v="10"/>
    <s v="Freshwater"/>
    <s v="2Freshwater"/>
    <s v="Salmon"/>
    <n v="830"/>
    <s v="Skagit River"/>
    <s v="Skagit River"/>
    <s v="Skagit/Whatcom"/>
    <x v="4"/>
    <s v="Other"/>
    <s v="20Other"/>
    <s v="07Non Puget Sound"/>
    <n v="133.18918918918899"/>
    <n v="1152.0864864864848"/>
  </r>
  <r>
    <n v="3478"/>
    <x v="10"/>
    <x v="1"/>
    <x v="10"/>
    <s v="Freshwater"/>
    <s v="2Freshwater"/>
    <s v="Salmon"/>
    <n v="830"/>
    <s v="Skagit River"/>
    <s v="Skagit River"/>
    <s v="Skagit/Whatcom"/>
    <x v="4"/>
    <s v="Pierce"/>
    <s v="07Pierce"/>
    <s v="02South Puget Sound"/>
    <n v="24.2162162162162"/>
    <n v="209.47027027027013"/>
  </r>
  <r>
    <n v="3479"/>
    <x v="10"/>
    <x v="1"/>
    <x v="10"/>
    <s v="Freshwater"/>
    <s v="2Freshwater"/>
    <s v="Salmon"/>
    <n v="830"/>
    <s v="Skagit River"/>
    <s v="Skagit River"/>
    <s v="Skagit/Whatcom"/>
    <x v="4"/>
    <s v="Skagit"/>
    <s v="02Skagit"/>
    <s v="01North Puget Sound"/>
    <n v="1574.0540540540501"/>
    <n v="13615.567567567534"/>
  </r>
  <r>
    <n v="3480"/>
    <x v="10"/>
    <x v="1"/>
    <x v="10"/>
    <s v="Freshwater"/>
    <s v="2Freshwater"/>
    <s v="Salmon"/>
    <n v="830"/>
    <s v="Skagit River"/>
    <s v="Skagit River"/>
    <s v="Skagit/Whatcom"/>
    <x v="4"/>
    <s v="Snohomish"/>
    <s v="03Snohomish"/>
    <s v="01North Puget Sound"/>
    <n v="157.40540540540499"/>
    <n v="1361.5567567567532"/>
  </r>
  <r>
    <n v="3481"/>
    <x v="10"/>
    <x v="1"/>
    <x v="10"/>
    <s v="Freshwater"/>
    <s v="2Freshwater"/>
    <s v="Salmon"/>
    <n v="830"/>
    <s v="Skagit River"/>
    <s v="Skagit River"/>
    <s v="Skagit/Whatcom"/>
    <x v="4"/>
    <s v="Whatcom"/>
    <s v="01Whatcom"/>
    <s v="01North Puget Sound"/>
    <n v="169.513513513514"/>
    <n v="1466.2918918918961"/>
  </r>
  <r>
    <n v="3482"/>
    <x v="10"/>
    <x v="2"/>
    <x v="10"/>
    <s v="Freshwater"/>
    <s v="2Freshwater"/>
    <s v="Salmon"/>
    <n v="830"/>
    <s v="Skagit River"/>
    <s v="Skagit River"/>
    <s v="Skagit/Whatcom"/>
    <x v="4"/>
    <s v="Clallam"/>
    <s v="11Clallam"/>
    <s v="03Strait of Juan de Fuca"/>
    <n v="12.0746268656716"/>
    <n v="104.44552238805935"/>
  </r>
  <r>
    <n v="3483"/>
    <x v="10"/>
    <x v="2"/>
    <x v="10"/>
    <s v="Freshwater"/>
    <s v="2Freshwater"/>
    <s v="Salmon"/>
    <n v="830"/>
    <s v="Skagit River"/>
    <s v="Skagit River"/>
    <s v="Skagit/Whatcom"/>
    <x v="4"/>
    <s v="Island"/>
    <s v="04Island"/>
    <s v="01North Puget Sound"/>
    <n v="12.0746268656716"/>
    <n v="104.44552238805935"/>
  </r>
  <r>
    <n v="3484"/>
    <x v="10"/>
    <x v="2"/>
    <x v="10"/>
    <s v="Freshwater"/>
    <s v="2Freshwater"/>
    <s v="Salmon"/>
    <n v="830"/>
    <s v="Skagit River"/>
    <s v="Skagit River"/>
    <s v="Skagit/Whatcom"/>
    <x v="4"/>
    <s v="Jefferson"/>
    <s v="12Jefferson"/>
    <s v="03Strait of Juan de Fuca"/>
    <n v="24.1492537313433"/>
    <n v="208.89104477611957"/>
  </r>
  <r>
    <n v="3485"/>
    <x v="10"/>
    <x v="2"/>
    <x v="10"/>
    <s v="Freshwater"/>
    <s v="2Freshwater"/>
    <s v="Salmon"/>
    <n v="830"/>
    <s v="Skagit River"/>
    <s v="Skagit River"/>
    <s v="Skagit/Whatcom"/>
    <x v="4"/>
    <s v="King"/>
    <s v="06King"/>
    <s v="02South Puget Sound"/>
    <n v="386.38805970149298"/>
    <n v="3342.2567164179145"/>
  </r>
  <r>
    <n v="3486"/>
    <x v="10"/>
    <x v="2"/>
    <x v="10"/>
    <s v="Freshwater"/>
    <s v="2Freshwater"/>
    <s v="Salmon"/>
    <n v="830"/>
    <s v="Skagit River"/>
    <s v="Skagit River"/>
    <s v="Skagit/Whatcom"/>
    <x v="4"/>
    <s v="Kitsap"/>
    <s v="10Kitsap"/>
    <s v="02South Puget Sound"/>
    <n v="48.298507462686601"/>
    <n v="417.78208955223914"/>
  </r>
  <r>
    <n v="3487"/>
    <x v="10"/>
    <x v="2"/>
    <x v="10"/>
    <s v="Freshwater"/>
    <s v="2Freshwater"/>
    <s v="Salmon"/>
    <n v="830"/>
    <s v="Skagit River"/>
    <s v="Skagit River"/>
    <s v="Skagit/Whatcom"/>
    <x v="4"/>
    <s v="Other"/>
    <s v="20Other"/>
    <s v="07Non Puget Sound"/>
    <n v="60.373134328358198"/>
    <n v="522.2276119402984"/>
  </r>
  <r>
    <n v="3488"/>
    <x v="10"/>
    <x v="2"/>
    <x v="10"/>
    <s v="Freshwater"/>
    <s v="2Freshwater"/>
    <s v="Salmon"/>
    <n v="830"/>
    <s v="Skagit River"/>
    <s v="Skagit River"/>
    <s v="Skagit/Whatcom"/>
    <x v="4"/>
    <s v="Pierce"/>
    <s v="07Pierce"/>
    <s v="02South Puget Sound"/>
    <n v="36.223880597014897"/>
    <n v="313.33656716417886"/>
  </r>
  <r>
    <n v="3489"/>
    <x v="10"/>
    <x v="2"/>
    <x v="10"/>
    <s v="Freshwater"/>
    <s v="2Freshwater"/>
    <s v="Salmon"/>
    <n v="830"/>
    <s v="Skagit River"/>
    <s v="Skagit River"/>
    <s v="Skagit/Whatcom"/>
    <x v="4"/>
    <s v="Skagit"/>
    <s v="02Skagit"/>
    <s v="01North Puget Sound"/>
    <n v="1956.08955223881"/>
    <n v="16920.174626865708"/>
  </r>
  <r>
    <n v="3490"/>
    <x v="10"/>
    <x v="2"/>
    <x v="10"/>
    <s v="Freshwater"/>
    <s v="2Freshwater"/>
    <s v="Salmon"/>
    <n v="830"/>
    <s v="Skagit River"/>
    <s v="Skagit River"/>
    <s v="Skagit/Whatcom"/>
    <x v="4"/>
    <s v="Snohomish"/>
    <s v="03Snohomish"/>
    <s v="01North Puget Sound"/>
    <n v="326.01492537313402"/>
    <n v="2820.0291044776095"/>
  </r>
  <r>
    <n v="3491"/>
    <x v="10"/>
    <x v="2"/>
    <x v="10"/>
    <s v="Freshwater"/>
    <s v="2Freshwater"/>
    <s v="Salmon"/>
    <n v="830"/>
    <s v="Skagit River"/>
    <s v="Skagit River"/>
    <s v="Skagit/Whatcom"/>
    <x v="4"/>
    <s v="Whatcom"/>
    <s v="01Whatcom"/>
    <s v="01North Puget Sound"/>
    <n v="374.313432835821"/>
    <n v="3237.8111940298518"/>
  </r>
  <r>
    <n v="3492"/>
    <x v="10"/>
    <x v="3"/>
    <x v="10"/>
    <s v="Freshwater"/>
    <s v="2Freshwater"/>
    <s v="Salmon"/>
    <n v="830"/>
    <s v="Skagit River"/>
    <s v="Skagit River"/>
    <s v="Skagit/Whatcom"/>
    <x v="4"/>
    <s v="King"/>
    <s v="06King"/>
    <s v="02South Puget Sound"/>
    <n v="120.833333333333"/>
    <n v="1045.2083333333305"/>
  </r>
  <r>
    <n v="3493"/>
    <x v="10"/>
    <x v="3"/>
    <x v="10"/>
    <s v="Freshwater"/>
    <s v="2Freshwater"/>
    <s v="Salmon"/>
    <n v="830"/>
    <s v="Skagit River"/>
    <s v="Skagit River"/>
    <s v="Skagit/Whatcom"/>
    <x v="4"/>
    <s v="Skagit"/>
    <s v="02Skagit"/>
    <s v="01North Puget Sound"/>
    <n v="265.83333333333297"/>
    <n v="2299.4583333333303"/>
  </r>
  <r>
    <n v="3494"/>
    <x v="10"/>
    <x v="3"/>
    <x v="10"/>
    <s v="Freshwater"/>
    <s v="2Freshwater"/>
    <s v="Salmon"/>
    <n v="830"/>
    <s v="Skagit River"/>
    <s v="Skagit River"/>
    <s v="Skagit/Whatcom"/>
    <x v="4"/>
    <s v="Whatcom"/>
    <s v="01Whatcom"/>
    <s v="01North Puget Sound"/>
    <n v="48.3333333333333"/>
    <n v="418.08333333333309"/>
  </r>
  <r>
    <n v="3495"/>
    <x v="10"/>
    <x v="9"/>
    <x v="10"/>
    <s v="Freshwater"/>
    <s v="2Freshwater"/>
    <s v="Salmon"/>
    <n v="844"/>
    <s v="Skykomish River"/>
    <s v="Skykomish River"/>
    <s v="Snohomish"/>
    <x v="4"/>
    <s v="King"/>
    <s v="06King"/>
    <s v="02South Puget Sound"/>
    <n v="20"/>
    <n v="173"/>
  </r>
  <r>
    <n v="3496"/>
    <x v="10"/>
    <x v="9"/>
    <x v="10"/>
    <s v="Freshwater"/>
    <s v="2Freshwater"/>
    <s v="Salmon"/>
    <n v="844"/>
    <s v="Skykomish River"/>
    <s v="Skykomish River"/>
    <s v="Snohomish"/>
    <x v="4"/>
    <s v="Snohomish"/>
    <s v="03Snohomish"/>
    <s v="01North Puget Sound"/>
    <n v="20"/>
    <n v="173"/>
  </r>
  <r>
    <n v="3497"/>
    <x v="10"/>
    <x v="7"/>
    <x v="10"/>
    <s v="Freshwater"/>
    <s v="2Freshwater"/>
    <s v="Salmon"/>
    <n v="844"/>
    <s v="Skykomish River"/>
    <s v="Skykomish River"/>
    <s v="Snohomish"/>
    <x v="4"/>
    <s v="King"/>
    <s v="06King"/>
    <s v="02South Puget Sound"/>
    <n v="99.857142857142904"/>
    <n v="863.76428571428619"/>
  </r>
  <r>
    <n v="3498"/>
    <x v="10"/>
    <x v="7"/>
    <x v="10"/>
    <s v="Freshwater"/>
    <s v="2Freshwater"/>
    <s v="Salmon"/>
    <n v="844"/>
    <s v="Skykomish River"/>
    <s v="Skykomish River"/>
    <s v="Snohomish"/>
    <x v="4"/>
    <s v="Other"/>
    <s v="20Other"/>
    <s v="07Non Puget Sound"/>
    <n v="33.285714285714299"/>
    <n v="287.92142857142869"/>
  </r>
  <r>
    <n v="3499"/>
    <x v="10"/>
    <x v="7"/>
    <x v="10"/>
    <s v="Freshwater"/>
    <s v="2Freshwater"/>
    <s v="Salmon"/>
    <n v="844"/>
    <s v="Skykomish River"/>
    <s v="Skykomish River"/>
    <s v="Snohomish"/>
    <x v="4"/>
    <s v="Snohomish"/>
    <s v="03Snohomish"/>
    <s v="01North Puget Sound"/>
    <n v="299.57142857142901"/>
    <n v="2591.2928571428611"/>
  </r>
  <r>
    <n v="3500"/>
    <x v="10"/>
    <x v="7"/>
    <x v="10"/>
    <s v="Freshwater"/>
    <s v="2Freshwater"/>
    <s v="Salmon"/>
    <n v="844"/>
    <s v="Skykomish River"/>
    <s v="Skykomish River"/>
    <s v="Snohomish"/>
    <x v="4"/>
    <s v="Thurston"/>
    <s v="08Thurston"/>
    <s v="02South Puget Sound"/>
    <n v="33.285714285714299"/>
    <n v="287.92142857142869"/>
  </r>
  <r>
    <n v="3501"/>
    <x v="10"/>
    <x v="5"/>
    <x v="10"/>
    <s v="Freshwater"/>
    <s v="2Freshwater"/>
    <s v="Salmon"/>
    <n v="844"/>
    <s v="Skykomish River"/>
    <s v="Skykomish River"/>
    <s v="Snohomish"/>
    <x v="4"/>
    <s v="King"/>
    <s v="06King"/>
    <s v="02South Puget Sound"/>
    <n v="361.08108108108098"/>
    <n v="3123.3513513513508"/>
  </r>
  <r>
    <n v="3502"/>
    <x v="10"/>
    <x v="5"/>
    <x v="10"/>
    <s v="Freshwater"/>
    <s v="2Freshwater"/>
    <s v="Salmon"/>
    <n v="844"/>
    <s v="Skykomish River"/>
    <s v="Skykomish River"/>
    <s v="Snohomish"/>
    <x v="4"/>
    <s v="Pierce"/>
    <s v="07Pierce"/>
    <s v="02South Puget Sound"/>
    <n v="72.216216216216196"/>
    <n v="624.67027027027018"/>
  </r>
  <r>
    <n v="3503"/>
    <x v="10"/>
    <x v="5"/>
    <x v="10"/>
    <s v="Freshwater"/>
    <s v="2Freshwater"/>
    <s v="Salmon"/>
    <n v="844"/>
    <s v="Skykomish River"/>
    <s v="Skykomish River"/>
    <s v="Snohomish"/>
    <x v="4"/>
    <s v="Skagit"/>
    <s v="02Skagit"/>
    <s v="01North Puget Sound"/>
    <n v="18.054054054054099"/>
    <n v="156.16756756756797"/>
  </r>
  <r>
    <n v="3504"/>
    <x v="10"/>
    <x v="5"/>
    <x v="10"/>
    <s v="Freshwater"/>
    <s v="2Freshwater"/>
    <s v="Salmon"/>
    <n v="844"/>
    <s v="Skykomish River"/>
    <s v="Skykomish River"/>
    <s v="Snohomish"/>
    <x v="4"/>
    <s v="Snohomish"/>
    <s v="03Snohomish"/>
    <s v="01North Puget Sound"/>
    <n v="216.64864864864899"/>
    <n v="1874.0108108108138"/>
  </r>
  <r>
    <n v="3505"/>
    <x v="10"/>
    <x v="1"/>
    <x v="10"/>
    <s v="Freshwater"/>
    <s v="2Freshwater"/>
    <s v="Salmon"/>
    <n v="860"/>
    <s v="Wallace River"/>
    <s v="Wallace River"/>
    <s v="Snohomish"/>
    <x v="4"/>
    <s v="King"/>
    <s v="06King"/>
    <s v="02South Puget Sound"/>
    <n v="25"/>
    <n v="216.25"/>
  </r>
  <r>
    <n v="3506"/>
    <x v="10"/>
    <x v="2"/>
    <x v="10"/>
    <s v="Freshwater"/>
    <s v="2Freshwater"/>
    <s v="Salmon"/>
    <n v="860"/>
    <s v="Wallace River"/>
    <s v="Wallace River"/>
    <s v="Snohomish"/>
    <x v="4"/>
    <s v="King"/>
    <s v="06King"/>
    <s v="02South Puget Sound"/>
    <n v="99.428571428571502"/>
    <n v="860.0571428571435"/>
  </r>
  <r>
    <n v="3507"/>
    <x v="10"/>
    <x v="2"/>
    <x v="10"/>
    <s v="Freshwater"/>
    <s v="2Freshwater"/>
    <s v="Salmon"/>
    <n v="860"/>
    <s v="Wallace River"/>
    <s v="Wallace River"/>
    <s v="Snohomish"/>
    <x v="4"/>
    <s v="Snohomish"/>
    <s v="03Snohomish"/>
    <s v="01North Puget Sound"/>
    <n v="248.57142857142901"/>
    <n v="2150.142857142861"/>
  </r>
  <r>
    <n v="3508"/>
    <x v="10"/>
    <x v="3"/>
    <x v="10"/>
    <s v="Freshwater"/>
    <s v="2Freshwater"/>
    <s v="Salmon"/>
    <n v="860"/>
    <s v="Wallace River"/>
    <s v="Wallace River"/>
    <s v="Snohomish"/>
    <x v="4"/>
    <s v="King"/>
    <s v="06King"/>
    <s v="02South Puget Sound"/>
    <n v="49.5"/>
    <n v="428.17500000000001"/>
  </r>
  <r>
    <n v="3509"/>
    <x v="10"/>
    <x v="3"/>
    <x v="10"/>
    <s v="Freshwater"/>
    <s v="2Freshwater"/>
    <s v="Salmon"/>
    <n v="860"/>
    <s v="Wallace River"/>
    <s v="Wallace River"/>
    <s v="Snohomish"/>
    <x v="4"/>
    <s v="Snohomish"/>
    <s v="03Snohomish"/>
    <s v="01North Puget Sound"/>
    <n v="49.5"/>
    <n v="428.17500000000001"/>
  </r>
  <r>
    <n v="3510"/>
    <x v="10"/>
    <x v="1"/>
    <x v="10"/>
    <s v="Freshwater"/>
    <s v="2Freshwater"/>
    <s v="Salmon"/>
    <n v="872"/>
    <s v="Stillaguamish River"/>
    <s v="Stillaguamish River"/>
    <s v="Snohomish"/>
    <x v="4"/>
    <s v="Snohomish"/>
    <s v="03Snohomish"/>
    <s v="01North Puget Sound"/>
    <n v="75"/>
    <n v="648.75"/>
  </r>
  <r>
    <n v="3511"/>
    <x v="10"/>
    <x v="2"/>
    <x v="10"/>
    <s v="Freshwater"/>
    <s v="2Freshwater"/>
    <s v="Salmon"/>
    <n v="872"/>
    <s v="Stillaguamish River"/>
    <s v="Stillaguamish River"/>
    <s v="Snohomish"/>
    <x v="4"/>
    <s v="Island"/>
    <s v="04Island"/>
    <s v="01North Puget Sound"/>
    <n v="12.461538461538501"/>
    <n v="107.79230769230804"/>
  </r>
  <r>
    <n v="3512"/>
    <x v="10"/>
    <x v="2"/>
    <x v="10"/>
    <s v="Freshwater"/>
    <s v="2Freshwater"/>
    <s v="Salmon"/>
    <n v="872"/>
    <s v="Stillaguamish River"/>
    <s v="Stillaguamish River"/>
    <s v="Snohomish"/>
    <x v="4"/>
    <s v="King"/>
    <s v="06King"/>
    <s v="02South Puget Sound"/>
    <n v="37.384615384615401"/>
    <n v="323.37692307692322"/>
  </r>
  <r>
    <n v="3513"/>
    <x v="10"/>
    <x v="2"/>
    <x v="10"/>
    <s v="Freshwater"/>
    <s v="2Freshwater"/>
    <s v="Salmon"/>
    <n v="872"/>
    <s v="Stillaguamish River"/>
    <s v="Stillaguamish River"/>
    <s v="Snohomish"/>
    <x v="4"/>
    <s v="Snohomish"/>
    <s v="03Snohomish"/>
    <s v="01North Puget Sound"/>
    <n v="274.15384615384602"/>
    <n v="2371.430769230768"/>
  </r>
  <r>
    <n v="3514"/>
    <x v="10"/>
    <x v="3"/>
    <x v="10"/>
    <s v="Freshwater"/>
    <s v="2Freshwater"/>
    <s v="Salmon"/>
    <n v="872"/>
    <s v="Stillaguamish River"/>
    <s v="Stillaguamish River"/>
    <s v="Snohomish"/>
    <x v="4"/>
    <s v="Snohomish"/>
    <s v="03Snohomish"/>
    <s v="01North Puget Sound"/>
    <n v="75"/>
    <n v="648.75"/>
  </r>
  <r>
    <n v="3515"/>
    <x v="10"/>
    <x v="0"/>
    <x v="10"/>
    <s v="Freshwater"/>
    <s v="2Freshwater"/>
    <s v="Salmon"/>
    <n v="884"/>
    <s v="Whatcom Creek"/>
    <s v="Whatcom Creek"/>
    <s v="Whatcom"/>
    <x v="1"/>
    <s v="Whatcom"/>
    <s v="01Whatcom"/>
    <s v="01North Puget Sound"/>
    <n v="12"/>
    <n v="103.80000000000001"/>
  </r>
  <r>
    <n v="3516"/>
    <x v="11"/>
    <x v="0"/>
    <x v="11"/>
    <s v="Freshwater"/>
    <s v="2Freshwater"/>
    <s v="Salmon"/>
    <n v="728"/>
    <s v="Deschutes River"/>
    <s v="Deschutes River"/>
    <s v="Thurston"/>
    <x v="0"/>
    <s v="Other"/>
    <s v="20Other"/>
    <s v="07Non Puget Sound"/>
    <n v="8"/>
    <n v="27.52"/>
  </r>
  <r>
    <n v="3517"/>
    <x v="11"/>
    <x v="2"/>
    <x v="11"/>
    <s v="Freshwater"/>
    <s v="2Freshwater"/>
    <s v="Salmon"/>
    <n v="738"/>
    <s v="Dungeness River"/>
    <s v="Dungeness River"/>
    <s v="Clallam"/>
    <x v="3"/>
    <s v="Clallam"/>
    <s v="11Clallam"/>
    <s v="03Strait of Juan de Fuca"/>
    <n v="678.10169491525403"/>
    <n v="2332.6698305084738"/>
  </r>
  <r>
    <n v="3518"/>
    <x v="11"/>
    <x v="2"/>
    <x v="11"/>
    <s v="Freshwater"/>
    <s v="2Freshwater"/>
    <s v="Salmon"/>
    <n v="738"/>
    <s v="Dungeness River"/>
    <s v="Dungeness River"/>
    <s v="Clallam"/>
    <x v="3"/>
    <s v="Jefferson"/>
    <s v="12Jefferson"/>
    <s v="03Strait of Juan de Fuca"/>
    <n v="56.508474576271198"/>
    <n v="194.38915254237293"/>
  </r>
  <r>
    <n v="3519"/>
    <x v="11"/>
    <x v="2"/>
    <x v="11"/>
    <s v="Freshwater"/>
    <s v="2Freshwater"/>
    <s v="Salmon"/>
    <n v="738"/>
    <s v="Dungeness River"/>
    <s v="Dungeness River"/>
    <s v="Clallam"/>
    <x v="3"/>
    <s v="King"/>
    <s v="06King"/>
    <s v="02South Puget Sound"/>
    <n v="211.906779661017"/>
    <n v="728.9593220338985"/>
  </r>
  <r>
    <n v="3520"/>
    <x v="11"/>
    <x v="2"/>
    <x v="11"/>
    <s v="Freshwater"/>
    <s v="2Freshwater"/>
    <s v="Salmon"/>
    <n v="738"/>
    <s v="Dungeness River"/>
    <s v="Dungeness River"/>
    <s v="Clallam"/>
    <x v="3"/>
    <s v="Kitsap"/>
    <s v="10Kitsap"/>
    <s v="02South Puget Sound"/>
    <n v="593.33898305084801"/>
    <n v="2041.086101694917"/>
  </r>
  <r>
    <n v="3521"/>
    <x v="11"/>
    <x v="2"/>
    <x v="11"/>
    <s v="Freshwater"/>
    <s v="2Freshwater"/>
    <s v="Salmon"/>
    <n v="738"/>
    <s v="Dungeness River"/>
    <s v="Dungeness River"/>
    <s v="Clallam"/>
    <x v="3"/>
    <s v="Mason"/>
    <s v="09Mason"/>
    <s v="02South Puget Sound"/>
    <n v="56.508474576271198"/>
    <n v="194.38915254237293"/>
  </r>
  <r>
    <n v="3522"/>
    <x v="11"/>
    <x v="2"/>
    <x v="11"/>
    <s v="Freshwater"/>
    <s v="2Freshwater"/>
    <s v="Salmon"/>
    <n v="738"/>
    <s v="Dungeness River"/>
    <s v="Dungeness River"/>
    <s v="Clallam"/>
    <x v="3"/>
    <s v="Other"/>
    <s v="20Other"/>
    <s v="07Non Puget Sound"/>
    <n v="70.635593220339004"/>
    <n v="242.98644067796616"/>
  </r>
  <r>
    <n v="3523"/>
    <x v="11"/>
    <x v="3"/>
    <x v="11"/>
    <s v="Freshwater"/>
    <s v="2Freshwater"/>
    <s v="Salmon"/>
    <n v="738"/>
    <s v="Dungeness River"/>
    <s v="Dungeness River"/>
    <s v="Clallam"/>
    <x v="3"/>
    <s v="Clallam"/>
    <s v="11Clallam"/>
    <s v="03Strait of Juan de Fuca"/>
    <n v="197.555555555556"/>
    <n v="679.59111111111258"/>
  </r>
  <r>
    <n v="3524"/>
    <x v="11"/>
    <x v="3"/>
    <x v="11"/>
    <s v="Freshwater"/>
    <s v="2Freshwater"/>
    <s v="Salmon"/>
    <n v="738"/>
    <s v="Dungeness River"/>
    <s v="Dungeness River"/>
    <s v="Clallam"/>
    <x v="3"/>
    <s v="Jefferson"/>
    <s v="12Jefferson"/>
    <s v="03Strait of Juan de Fuca"/>
    <n v="28.2222222222222"/>
    <n v="97.084444444444372"/>
  </r>
  <r>
    <n v="3525"/>
    <x v="11"/>
    <x v="3"/>
    <x v="11"/>
    <s v="Freshwater"/>
    <s v="2Freshwater"/>
    <s v="Salmon"/>
    <n v="738"/>
    <s v="Dungeness River"/>
    <s v="Dungeness River"/>
    <s v="Clallam"/>
    <x v="3"/>
    <s v="King"/>
    <s v="06King"/>
    <s v="02South Puget Sound"/>
    <n v="84.6666666666667"/>
    <n v="291.25333333333344"/>
  </r>
  <r>
    <n v="3526"/>
    <x v="11"/>
    <x v="3"/>
    <x v="11"/>
    <s v="Freshwater"/>
    <s v="2Freshwater"/>
    <s v="Salmon"/>
    <n v="738"/>
    <s v="Dungeness River"/>
    <s v="Dungeness River"/>
    <s v="Clallam"/>
    <x v="3"/>
    <s v="Kitsap"/>
    <s v="10Kitsap"/>
    <s v="02South Puget Sound"/>
    <n v="14.1111111111111"/>
    <n v="48.542222222222186"/>
  </r>
  <r>
    <n v="3527"/>
    <x v="11"/>
    <x v="3"/>
    <x v="11"/>
    <s v="Freshwater"/>
    <s v="2Freshwater"/>
    <s v="Salmon"/>
    <n v="738"/>
    <s v="Dungeness River"/>
    <s v="Dungeness River"/>
    <s v="Clallam"/>
    <x v="3"/>
    <s v="Mason"/>
    <s v="09Mason"/>
    <s v="02South Puget Sound"/>
    <n v="14.1111111111111"/>
    <n v="48.542222222222186"/>
  </r>
  <r>
    <n v="3528"/>
    <x v="11"/>
    <x v="3"/>
    <x v="11"/>
    <s v="Freshwater"/>
    <s v="2Freshwater"/>
    <s v="Salmon"/>
    <n v="738"/>
    <s v="Dungeness River"/>
    <s v="Dungeness River"/>
    <s v="Clallam"/>
    <x v="3"/>
    <s v="Pierce"/>
    <s v="07Pierce"/>
    <s v="02South Puget Sound"/>
    <n v="42.3333333333333"/>
    <n v="145.62666666666655"/>
  </r>
  <r>
    <n v="3529"/>
    <x v="11"/>
    <x v="0"/>
    <x v="11"/>
    <s v="Freshwater"/>
    <s v="2Freshwater"/>
    <s v="Salmon"/>
    <n v="746"/>
    <s v="Green - Duwamish River"/>
    <s v="Green - Duwamish River"/>
    <s v="King"/>
    <x v="0"/>
    <s v="King"/>
    <s v="06King"/>
    <s v="02South Puget Sound"/>
    <n v="3689.40199335548"/>
    <n v="12691.542857142851"/>
  </r>
  <r>
    <n v="3530"/>
    <x v="11"/>
    <x v="0"/>
    <x v="11"/>
    <s v="Freshwater"/>
    <s v="2Freshwater"/>
    <s v="Salmon"/>
    <n v="746"/>
    <s v="Green - Duwamish River"/>
    <s v="Green - Duwamish River"/>
    <s v="King"/>
    <x v="0"/>
    <s v="Other"/>
    <s v="20Other"/>
    <s v="07Non Puget Sound"/>
    <n v="136.64451827242499"/>
    <n v="470.05714285714197"/>
  </r>
  <r>
    <n v="3531"/>
    <x v="11"/>
    <x v="0"/>
    <x v="11"/>
    <s v="Freshwater"/>
    <s v="2Freshwater"/>
    <s v="Salmon"/>
    <n v="746"/>
    <s v="Green - Duwamish River"/>
    <s v="Green - Duwamish River"/>
    <s v="King"/>
    <x v="0"/>
    <s v="Pierce"/>
    <s v="07Pierce"/>
    <s v="02South Puget Sound"/>
    <n v="122.980066445183"/>
    <n v="423.05142857142948"/>
  </r>
  <r>
    <n v="3532"/>
    <x v="11"/>
    <x v="0"/>
    <x v="11"/>
    <s v="Freshwater"/>
    <s v="2Freshwater"/>
    <s v="Salmon"/>
    <n v="746"/>
    <s v="Green - Duwamish River"/>
    <s v="Green - Duwamish River"/>
    <s v="King"/>
    <x v="0"/>
    <s v="Snohomish"/>
    <s v="03Snohomish"/>
    <s v="01North Puget Sound"/>
    <n v="136.64451827242499"/>
    <n v="470.05714285714197"/>
  </r>
  <r>
    <n v="3533"/>
    <x v="11"/>
    <x v="0"/>
    <x v="11"/>
    <s v="Freshwater"/>
    <s v="2Freshwater"/>
    <s v="Salmon"/>
    <n v="746"/>
    <s v="Green - Duwamish River"/>
    <s v="Green - Duwamish River"/>
    <s v="King"/>
    <x v="0"/>
    <s v="Thurston"/>
    <s v="08Thurston"/>
    <s v="02South Puget Sound"/>
    <n v="27.328903654485099"/>
    <n v="94.011428571428738"/>
  </r>
  <r>
    <n v="3534"/>
    <x v="11"/>
    <x v="1"/>
    <x v="11"/>
    <s v="Freshwater"/>
    <s v="2Freshwater"/>
    <s v="Salmon"/>
    <n v="746"/>
    <s v="Green - Duwamish River"/>
    <s v="Green - Duwamish River"/>
    <s v="King"/>
    <x v="0"/>
    <s v="King"/>
    <s v="06King"/>
    <s v="02South Puget Sound"/>
    <n v="11431.8935516888"/>
    <n v="39325.713817809468"/>
  </r>
  <r>
    <n v="3535"/>
    <x v="11"/>
    <x v="1"/>
    <x v="11"/>
    <s v="Freshwater"/>
    <s v="2Freshwater"/>
    <s v="Salmon"/>
    <n v="746"/>
    <s v="Green - Duwamish River"/>
    <s v="Green - Duwamish River"/>
    <s v="King"/>
    <x v="0"/>
    <s v="Other"/>
    <s v="20Other"/>
    <s v="07Non Puget Sound"/>
    <n v="369.65404298874103"/>
    <n v="1271.609907881269"/>
  </r>
  <r>
    <n v="3536"/>
    <x v="11"/>
    <x v="1"/>
    <x v="11"/>
    <s v="Freshwater"/>
    <s v="2Freshwater"/>
    <s v="Salmon"/>
    <n v="746"/>
    <s v="Green - Duwamish River"/>
    <s v="Green - Duwamish River"/>
    <s v="King"/>
    <x v="0"/>
    <s v="Pierce"/>
    <s v="07Pierce"/>
    <s v="02South Puget Sound"/>
    <n v="1177.4165813715499"/>
    <n v="4050.3130399181318"/>
  </r>
  <r>
    <n v="3537"/>
    <x v="11"/>
    <x v="1"/>
    <x v="11"/>
    <s v="Freshwater"/>
    <s v="2Freshwater"/>
    <s v="Salmon"/>
    <n v="746"/>
    <s v="Green - Duwamish River"/>
    <s v="Green - Duwamish River"/>
    <s v="King"/>
    <x v="0"/>
    <s v="Skagit"/>
    <s v="02Skagit"/>
    <s v="01North Puget Sound"/>
    <n v="54.7635619242579"/>
    <n v="188.38665301944718"/>
  </r>
  <r>
    <n v="3538"/>
    <x v="11"/>
    <x v="1"/>
    <x v="11"/>
    <s v="Freshwater"/>
    <s v="2Freshwater"/>
    <s v="Salmon"/>
    <n v="746"/>
    <s v="Green - Duwamish River"/>
    <s v="Green - Duwamish River"/>
    <s v="King"/>
    <x v="0"/>
    <s v="Snohomish"/>
    <s v="03Snohomish"/>
    <s v="01North Puget Sound"/>
    <n v="246.436028659161"/>
    <n v="847.73993858751385"/>
  </r>
  <r>
    <n v="3539"/>
    <x v="11"/>
    <x v="1"/>
    <x v="11"/>
    <s v="Freshwater"/>
    <s v="2Freshwater"/>
    <s v="Salmon"/>
    <n v="746"/>
    <s v="Green - Duwamish River"/>
    <s v="Green - Duwamish River"/>
    <s v="King"/>
    <x v="0"/>
    <s v="Thurston"/>
    <s v="08Thurston"/>
    <s v="02South Puget Sound"/>
    <n v="13.6908904810645"/>
    <n v="47.09666325486188"/>
  </r>
  <r>
    <n v="3540"/>
    <x v="11"/>
    <x v="1"/>
    <x v="11"/>
    <s v="Freshwater"/>
    <s v="2Freshwater"/>
    <s v="Salmon"/>
    <n v="746"/>
    <s v="Green - Duwamish River"/>
    <s v="Green - Duwamish River"/>
    <s v="King"/>
    <x v="0"/>
    <s v="Whatcom"/>
    <s v="01Whatcom"/>
    <s v="01North Puget Sound"/>
    <n v="82.145342886386899"/>
    <n v="282.57997952917094"/>
  </r>
  <r>
    <n v="3541"/>
    <x v="11"/>
    <x v="2"/>
    <x v="11"/>
    <s v="Freshwater"/>
    <s v="2Freshwater"/>
    <s v="Salmon"/>
    <n v="746"/>
    <s v="Green - Duwamish River"/>
    <s v="Green - Duwamish River"/>
    <s v="King"/>
    <x v="0"/>
    <s v="King"/>
    <s v="06King"/>
    <s v="02South Puget Sound"/>
    <n v="6049.0693739424696"/>
    <n v="20808.798646362095"/>
  </r>
  <r>
    <n v="3542"/>
    <x v="11"/>
    <x v="2"/>
    <x v="11"/>
    <s v="Freshwater"/>
    <s v="2Freshwater"/>
    <s v="Salmon"/>
    <n v="746"/>
    <s v="Green - Duwamish River"/>
    <s v="Green - Duwamish River"/>
    <s v="King"/>
    <x v="0"/>
    <s v="Kitsap"/>
    <s v="10Kitsap"/>
    <s v="02South Puget Sound"/>
    <n v="27.495769881556701"/>
    <n v="94.585448392555051"/>
  </r>
  <r>
    <n v="3543"/>
    <x v="11"/>
    <x v="2"/>
    <x v="11"/>
    <s v="Freshwater"/>
    <s v="2Freshwater"/>
    <s v="Salmon"/>
    <n v="746"/>
    <s v="Green - Duwamish River"/>
    <s v="Green - Duwamish River"/>
    <s v="King"/>
    <x v="0"/>
    <s v="Pierce"/>
    <s v="07Pierce"/>
    <s v="02South Puget Sound"/>
    <n v="1938.4517766497499"/>
    <n v="6668.2741116751395"/>
  </r>
  <r>
    <n v="3544"/>
    <x v="11"/>
    <x v="2"/>
    <x v="11"/>
    <s v="Freshwater"/>
    <s v="2Freshwater"/>
    <s v="Salmon"/>
    <n v="746"/>
    <s v="Green - Duwamish River"/>
    <s v="Green - Duwamish River"/>
    <s v="King"/>
    <x v="0"/>
    <s v="Snohomish"/>
    <s v="03Snohomish"/>
    <s v="01North Puget Sound"/>
    <n v="82.487309644670106"/>
    <n v="283.75634517766514"/>
  </r>
  <r>
    <n v="3545"/>
    <x v="11"/>
    <x v="2"/>
    <x v="11"/>
    <s v="Freshwater"/>
    <s v="2Freshwater"/>
    <s v="Salmon"/>
    <n v="746"/>
    <s v="Green - Duwamish River"/>
    <s v="Green - Duwamish River"/>
    <s v="King"/>
    <x v="0"/>
    <s v="Thurston"/>
    <s v="08Thurston"/>
    <s v="02South Puget Sound"/>
    <n v="13.747884940778301"/>
    <n v="47.292724196277355"/>
  </r>
  <r>
    <n v="3546"/>
    <x v="11"/>
    <x v="2"/>
    <x v="11"/>
    <s v="Freshwater"/>
    <s v="2Freshwater"/>
    <s v="Salmon"/>
    <n v="746"/>
    <s v="Green - Duwamish River"/>
    <s v="Green - Duwamish River"/>
    <s v="King"/>
    <x v="0"/>
    <s v="Whatcom"/>
    <s v="01Whatcom"/>
    <s v="01North Puget Sound"/>
    <n v="13.747884940778301"/>
    <n v="47.292724196277355"/>
  </r>
  <r>
    <n v="3547"/>
    <x v="11"/>
    <x v="3"/>
    <x v="11"/>
    <s v="Freshwater"/>
    <s v="2Freshwater"/>
    <s v="Salmon"/>
    <n v="746"/>
    <s v="Green - Duwamish River"/>
    <s v="Green - Duwamish River"/>
    <s v="King"/>
    <x v="0"/>
    <s v="King"/>
    <s v="06King"/>
    <s v="02South Puget Sound"/>
    <n v="866.25"/>
    <n v="2979.9"/>
  </r>
  <r>
    <n v="3548"/>
    <x v="11"/>
    <x v="3"/>
    <x v="11"/>
    <s v="Freshwater"/>
    <s v="2Freshwater"/>
    <s v="Salmon"/>
    <n v="746"/>
    <s v="Green - Duwamish River"/>
    <s v="Green - Duwamish River"/>
    <s v="King"/>
    <x v="0"/>
    <s v="Other"/>
    <s v="20Other"/>
    <s v="07Non Puget Sound"/>
    <n v="82.5"/>
    <n v="283.8"/>
  </r>
  <r>
    <n v="3549"/>
    <x v="11"/>
    <x v="3"/>
    <x v="11"/>
    <s v="Freshwater"/>
    <s v="2Freshwater"/>
    <s v="Salmon"/>
    <n v="746"/>
    <s v="Green - Duwamish River"/>
    <s v="Green - Duwamish River"/>
    <s v="King"/>
    <x v="0"/>
    <s v="Pierce"/>
    <s v="07Pierce"/>
    <s v="02South Puget Sound"/>
    <n v="110"/>
    <n v="378.4"/>
  </r>
  <r>
    <n v="3550"/>
    <x v="11"/>
    <x v="3"/>
    <x v="11"/>
    <s v="Freshwater"/>
    <s v="2Freshwater"/>
    <s v="Salmon"/>
    <n v="746"/>
    <s v="Green - Duwamish River"/>
    <s v="Green - Duwamish River"/>
    <s v="King"/>
    <x v="0"/>
    <s v="Snohomish"/>
    <s v="03Snohomish"/>
    <s v="01North Puget Sound"/>
    <n v="96.25"/>
    <n v="331.1"/>
  </r>
  <r>
    <n v="3551"/>
    <x v="11"/>
    <x v="4"/>
    <x v="11"/>
    <s v="Freshwater"/>
    <s v="2Freshwater"/>
    <s v="Salmon"/>
    <n v="746"/>
    <s v="Green - Duwamish River"/>
    <s v="Green - Duwamish River"/>
    <s v="King"/>
    <x v="0"/>
    <s v="King"/>
    <s v="06King"/>
    <s v="02South Puget Sound"/>
    <n v="14"/>
    <n v="48.16"/>
  </r>
  <r>
    <n v="3552"/>
    <x v="11"/>
    <x v="1"/>
    <x v="11"/>
    <s v="Freshwater"/>
    <s v="2Freshwater"/>
    <s v="Salmon"/>
    <n v="762"/>
    <s v="Lake Washington"/>
    <s v="Lake Washington"/>
    <s v="King"/>
    <x v="0"/>
    <s v="Island"/>
    <s v="04Island"/>
    <s v="01North Puget Sound"/>
    <n v="40.875"/>
    <n v="140.60999999999999"/>
  </r>
  <r>
    <n v="3553"/>
    <x v="11"/>
    <x v="1"/>
    <x v="11"/>
    <s v="Freshwater"/>
    <s v="2Freshwater"/>
    <s v="Salmon"/>
    <n v="762"/>
    <s v="Lake Washington"/>
    <s v="Lake Washington"/>
    <s v="King"/>
    <x v="0"/>
    <s v="King"/>
    <s v="06King"/>
    <s v="02South Puget Sound"/>
    <n v="367.875"/>
    <n v="1265.49"/>
  </r>
  <r>
    <n v="3554"/>
    <x v="11"/>
    <x v="1"/>
    <x v="11"/>
    <s v="Freshwater"/>
    <s v="2Freshwater"/>
    <s v="Salmon"/>
    <n v="762"/>
    <s v="Lake Washington"/>
    <s v="Lake Washington"/>
    <s v="King"/>
    <x v="0"/>
    <s v="Pierce"/>
    <s v="07Pierce"/>
    <s v="02South Puget Sound"/>
    <n v="13.625"/>
    <n v="46.87"/>
  </r>
  <r>
    <n v="3555"/>
    <x v="11"/>
    <x v="1"/>
    <x v="11"/>
    <s v="Freshwater"/>
    <s v="2Freshwater"/>
    <s v="Salmon"/>
    <n v="762"/>
    <s v="Lake Washington"/>
    <s v="Lake Washington"/>
    <s v="King"/>
    <x v="0"/>
    <s v="Snohomish"/>
    <s v="03Snohomish"/>
    <s v="01North Puget Sound"/>
    <n v="13.625"/>
    <n v="46.87"/>
  </r>
  <r>
    <n v="3556"/>
    <x v="11"/>
    <x v="2"/>
    <x v="11"/>
    <s v="Freshwater"/>
    <s v="2Freshwater"/>
    <s v="Salmon"/>
    <n v="762"/>
    <s v="Lake Washington"/>
    <s v="Lake Washington"/>
    <s v="King"/>
    <x v="0"/>
    <s v="King"/>
    <s v="06King"/>
    <s v="02South Puget Sound"/>
    <n v="258.875"/>
    <n v="890.53"/>
  </r>
  <r>
    <n v="3557"/>
    <x v="11"/>
    <x v="2"/>
    <x v="11"/>
    <s v="Freshwater"/>
    <s v="2Freshwater"/>
    <s v="Salmon"/>
    <n v="762"/>
    <s v="Lake Washington"/>
    <s v="Lake Washington"/>
    <s v="King"/>
    <x v="0"/>
    <s v="Snohomish"/>
    <s v="03Snohomish"/>
    <s v="01North Puget Sound"/>
    <n v="68.125"/>
    <n v="234.35"/>
  </r>
  <r>
    <n v="3558"/>
    <x v="11"/>
    <x v="2"/>
    <x v="11"/>
    <s v="Freshwater"/>
    <s v="2Freshwater"/>
    <s v="Salmon"/>
    <n v="764"/>
    <s v="Lake Sammamish"/>
    <s v="Lake Sammamish"/>
    <s v="King"/>
    <x v="0"/>
    <s v="King"/>
    <s v="06King"/>
    <s v="02South Puget Sound"/>
    <n v="13.6666666666667"/>
    <n v="47.013333333333449"/>
  </r>
  <r>
    <n v="3559"/>
    <x v="11"/>
    <x v="2"/>
    <x v="11"/>
    <s v="Freshwater"/>
    <s v="2Freshwater"/>
    <s v="Salmon"/>
    <n v="764"/>
    <s v="Lake Sammamish"/>
    <s v="Lake Sammamish"/>
    <s v="King"/>
    <x v="0"/>
    <s v="Pierce"/>
    <s v="07Pierce"/>
    <s v="02South Puget Sound"/>
    <n v="27.3333333333333"/>
    <n v="94.026666666666557"/>
  </r>
  <r>
    <n v="3560"/>
    <x v="11"/>
    <x v="3"/>
    <x v="11"/>
    <s v="Freshwater"/>
    <s v="2Freshwater"/>
    <s v="Salmon"/>
    <n v="774"/>
    <s v="McLane Creek"/>
    <s v="McLane Creek"/>
    <s v="Thurston"/>
    <x v="0"/>
    <s v="Pierce"/>
    <s v="07Pierce"/>
    <s v="02South Puget Sound"/>
    <n v="25"/>
    <n v="86"/>
  </r>
  <r>
    <n v="3561"/>
    <x v="11"/>
    <x v="1"/>
    <x v="11"/>
    <s v="Freshwater"/>
    <s v="2Freshwater"/>
    <s v="Salmon"/>
    <n v="778"/>
    <s v="Minter Creek"/>
    <s v="Minter Creek"/>
    <s v="Kitsap/Pierce"/>
    <x v="0"/>
    <s v="King"/>
    <s v="06King"/>
    <s v="02South Puget Sound"/>
    <n v="12.8214285714286"/>
    <n v="44.105714285714384"/>
  </r>
  <r>
    <n v="3562"/>
    <x v="11"/>
    <x v="1"/>
    <x v="11"/>
    <s v="Freshwater"/>
    <s v="2Freshwater"/>
    <s v="Salmon"/>
    <n v="778"/>
    <s v="Minter Creek"/>
    <s v="Minter Creek"/>
    <s v="Kitsap/Pierce"/>
    <x v="0"/>
    <s v="Kitsap"/>
    <s v="10Kitsap"/>
    <s v="02South Puget Sound"/>
    <n v="294.892857142857"/>
    <n v="1014.431428571428"/>
  </r>
  <r>
    <n v="3563"/>
    <x v="11"/>
    <x v="1"/>
    <x v="11"/>
    <s v="Freshwater"/>
    <s v="2Freshwater"/>
    <s v="Salmon"/>
    <n v="778"/>
    <s v="Minter Creek"/>
    <s v="Minter Creek"/>
    <s v="Kitsap/Pierce"/>
    <x v="0"/>
    <s v="Mason"/>
    <s v="09Mason"/>
    <s v="02South Puget Sound"/>
    <n v="115.392857142857"/>
    <n v="396.95142857142804"/>
  </r>
  <r>
    <n v="3564"/>
    <x v="11"/>
    <x v="1"/>
    <x v="11"/>
    <s v="Freshwater"/>
    <s v="2Freshwater"/>
    <s v="Salmon"/>
    <n v="778"/>
    <s v="Minter Creek"/>
    <s v="Minter Creek"/>
    <s v="Kitsap/Pierce"/>
    <x v="0"/>
    <s v="Pierce"/>
    <s v="07Pierce"/>
    <s v="02South Puget Sound"/>
    <n v="294.892857142857"/>
    <n v="1014.431428571428"/>
  </r>
  <r>
    <n v="3565"/>
    <x v="11"/>
    <x v="2"/>
    <x v="11"/>
    <s v="Freshwater"/>
    <s v="2Freshwater"/>
    <s v="Salmon"/>
    <n v="778"/>
    <s v="Minter Creek"/>
    <s v="Minter Creek"/>
    <s v="Kitsap/Pierce"/>
    <x v="0"/>
    <s v="King"/>
    <s v="06King"/>
    <s v="02South Puget Sound"/>
    <n v="362.75438596491199"/>
    <n v="1247.8750877192972"/>
  </r>
  <r>
    <n v="3566"/>
    <x v="11"/>
    <x v="2"/>
    <x v="11"/>
    <s v="Freshwater"/>
    <s v="2Freshwater"/>
    <s v="Salmon"/>
    <n v="778"/>
    <s v="Minter Creek"/>
    <s v="Minter Creek"/>
    <s v="Kitsap/Pierce"/>
    <x v="0"/>
    <s v="Kitsap"/>
    <s v="10Kitsap"/>
    <s v="02South Puget Sound"/>
    <n v="437.80701754386001"/>
    <n v="1506.0561403508784"/>
  </r>
  <r>
    <n v="3567"/>
    <x v="11"/>
    <x v="2"/>
    <x v="11"/>
    <s v="Freshwater"/>
    <s v="2Freshwater"/>
    <s v="Salmon"/>
    <n v="778"/>
    <s v="Minter Creek"/>
    <s v="Minter Creek"/>
    <s v="Kitsap/Pierce"/>
    <x v="0"/>
    <s v="Mason"/>
    <s v="09Mason"/>
    <s v="02South Puget Sound"/>
    <n v="62.543859649122801"/>
    <n v="215.15087719298242"/>
  </r>
  <r>
    <n v="3568"/>
    <x v="11"/>
    <x v="2"/>
    <x v="11"/>
    <s v="Freshwater"/>
    <s v="2Freshwater"/>
    <s v="Salmon"/>
    <n v="778"/>
    <s v="Minter Creek"/>
    <s v="Minter Creek"/>
    <s v="Kitsap/Pierce"/>
    <x v="0"/>
    <s v="Pierce"/>
    <s v="07Pierce"/>
    <s v="02South Puget Sound"/>
    <n v="550.385964912281"/>
    <n v="1893.3277192982466"/>
  </r>
  <r>
    <n v="3569"/>
    <x v="11"/>
    <x v="2"/>
    <x v="11"/>
    <s v="Freshwater"/>
    <s v="2Freshwater"/>
    <s v="Salmon"/>
    <n v="778"/>
    <s v="Minter Creek"/>
    <s v="Minter Creek"/>
    <s v="Kitsap/Pierce"/>
    <x v="0"/>
    <s v="Thurston"/>
    <s v="08Thurston"/>
    <s v="02South Puget Sound"/>
    <n v="12.508771929824601"/>
    <n v="43.030175438596629"/>
  </r>
  <r>
    <n v="3570"/>
    <x v="11"/>
    <x v="3"/>
    <x v="11"/>
    <s v="Freshwater"/>
    <s v="2Freshwater"/>
    <s v="Salmon"/>
    <n v="778"/>
    <s v="Minter Creek"/>
    <s v="Minter Creek"/>
    <s v="Kitsap/Pierce"/>
    <x v="0"/>
    <s v="King"/>
    <s v="06King"/>
    <s v="02South Puget Sound"/>
    <n v="1935.1175059952"/>
    <n v="6656.8042206234877"/>
  </r>
  <r>
    <n v="3571"/>
    <x v="11"/>
    <x v="3"/>
    <x v="11"/>
    <s v="Freshwater"/>
    <s v="2Freshwater"/>
    <s v="Salmon"/>
    <n v="778"/>
    <s v="Minter Creek"/>
    <s v="Minter Creek"/>
    <s v="Kitsap/Pierce"/>
    <x v="0"/>
    <s v="Kitsap"/>
    <s v="10Kitsap"/>
    <s v="02South Puget Sound"/>
    <n v="281.93764988009599"/>
    <n v="969.86551558753024"/>
  </r>
  <r>
    <n v="3572"/>
    <x v="11"/>
    <x v="3"/>
    <x v="11"/>
    <s v="Freshwater"/>
    <s v="2Freshwater"/>
    <s v="Salmon"/>
    <n v="778"/>
    <s v="Minter Creek"/>
    <s v="Minter Creek"/>
    <s v="Kitsap/Pierce"/>
    <x v="0"/>
    <s v="Mason"/>
    <s v="09Mason"/>
    <s v="02South Puget Sound"/>
    <n v="51.261390887290197"/>
    <n v="176.33918465227828"/>
  </r>
  <r>
    <n v="3573"/>
    <x v="11"/>
    <x v="3"/>
    <x v="11"/>
    <s v="Freshwater"/>
    <s v="2Freshwater"/>
    <s v="Salmon"/>
    <n v="778"/>
    <s v="Minter Creek"/>
    <s v="Minter Creek"/>
    <s v="Kitsap/Pierce"/>
    <x v="0"/>
    <s v="Other"/>
    <s v="20Other"/>
    <s v="07Non Puget Sound"/>
    <n v="384.46043165467597"/>
    <n v="1322.5438848920853"/>
  </r>
  <r>
    <n v="3574"/>
    <x v="11"/>
    <x v="3"/>
    <x v="11"/>
    <s v="Freshwater"/>
    <s v="2Freshwater"/>
    <s v="Salmon"/>
    <n v="778"/>
    <s v="Minter Creek"/>
    <s v="Minter Creek"/>
    <s v="Kitsap/Pierce"/>
    <x v="0"/>
    <s v="Pierce"/>
    <s v="07Pierce"/>
    <s v="02South Puget Sound"/>
    <n v="2101.7170263788998"/>
    <n v="7229.9065707434156"/>
  </r>
  <r>
    <n v="3575"/>
    <x v="11"/>
    <x v="3"/>
    <x v="11"/>
    <s v="Freshwater"/>
    <s v="2Freshwater"/>
    <s v="Salmon"/>
    <n v="778"/>
    <s v="Minter Creek"/>
    <s v="Minter Creek"/>
    <s v="Kitsap/Pierce"/>
    <x v="0"/>
    <s v="Snohomish"/>
    <s v="03Snohomish"/>
    <s v="01North Puget Sound"/>
    <n v="576.69064748201401"/>
    <n v="1983.8158273381282"/>
  </r>
  <r>
    <n v="3576"/>
    <x v="11"/>
    <x v="3"/>
    <x v="11"/>
    <s v="Freshwater"/>
    <s v="2Freshwater"/>
    <s v="Salmon"/>
    <n v="778"/>
    <s v="Minter Creek"/>
    <s v="Minter Creek"/>
    <s v="Kitsap/Pierce"/>
    <x v="0"/>
    <s v="Thurston"/>
    <s v="08Thurston"/>
    <s v="02South Puget Sound"/>
    <n v="12.8153477218225"/>
    <n v="44.084796163069399"/>
  </r>
  <r>
    <n v="3577"/>
    <x v="11"/>
    <x v="4"/>
    <x v="11"/>
    <s v="Freshwater"/>
    <s v="2Freshwater"/>
    <s v="Salmon"/>
    <n v="778"/>
    <s v="Minter Creek"/>
    <s v="Minter Creek"/>
    <s v="Kitsap/Pierce"/>
    <x v="0"/>
    <s v="King"/>
    <s v="06King"/>
    <s v="02South Puget Sound"/>
    <n v="38.423076923076898"/>
    <n v="132.17538461538453"/>
  </r>
  <r>
    <n v="3578"/>
    <x v="11"/>
    <x v="4"/>
    <x v="11"/>
    <s v="Freshwater"/>
    <s v="2Freshwater"/>
    <s v="Salmon"/>
    <n v="778"/>
    <s v="Minter Creek"/>
    <s v="Minter Creek"/>
    <s v="Kitsap/Pierce"/>
    <x v="0"/>
    <s v="Other"/>
    <s v="20Other"/>
    <s v="07Non Puget Sound"/>
    <n v="51.230769230769198"/>
    <n v="176.23384615384603"/>
  </r>
  <r>
    <n v="3579"/>
    <x v="11"/>
    <x v="4"/>
    <x v="11"/>
    <s v="Freshwater"/>
    <s v="2Freshwater"/>
    <s v="Salmon"/>
    <n v="778"/>
    <s v="Minter Creek"/>
    <s v="Minter Creek"/>
    <s v="Kitsap/Pierce"/>
    <x v="0"/>
    <s v="Pierce"/>
    <s v="07Pierce"/>
    <s v="02South Puget Sound"/>
    <n v="204.92307692307699"/>
    <n v="704.93538461538481"/>
  </r>
  <r>
    <n v="3580"/>
    <x v="11"/>
    <x v="4"/>
    <x v="11"/>
    <s v="Freshwater"/>
    <s v="2Freshwater"/>
    <s v="Salmon"/>
    <n v="778"/>
    <s v="Minter Creek"/>
    <s v="Minter Creek"/>
    <s v="Kitsap/Pierce"/>
    <x v="0"/>
    <s v="Snohomish"/>
    <s v="03Snohomish"/>
    <s v="01North Puget Sound"/>
    <n v="38.423076923076898"/>
    <n v="132.17538461538453"/>
  </r>
  <r>
    <n v="3581"/>
    <x v="11"/>
    <x v="0"/>
    <x v="11"/>
    <s v="Freshwater"/>
    <s v="2Freshwater"/>
    <s v="Salmon"/>
    <n v="786"/>
    <s v="Nisqually River"/>
    <s v="Nisqually River"/>
    <s v="Thurston/Pierce"/>
    <x v="0"/>
    <s v="King"/>
    <s v="06King"/>
    <s v="02South Puget Sound"/>
    <n v="197.895833333333"/>
    <n v="680.76166666666552"/>
  </r>
  <r>
    <n v="3582"/>
    <x v="11"/>
    <x v="0"/>
    <x v="11"/>
    <s v="Freshwater"/>
    <s v="2Freshwater"/>
    <s v="Salmon"/>
    <n v="786"/>
    <s v="Nisqually River"/>
    <s v="Nisqually River"/>
    <s v="Thurston/Pierce"/>
    <x v="0"/>
    <s v="Other"/>
    <s v="20Other"/>
    <s v="07Non Puget Sound"/>
    <n v="127.21875"/>
    <n v="437.63249999999999"/>
  </r>
  <r>
    <n v="3583"/>
    <x v="11"/>
    <x v="0"/>
    <x v="11"/>
    <s v="Freshwater"/>
    <s v="2Freshwater"/>
    <s v="Salmon"/>
    <n v="786"/>
    <s v="Nisqually River"/>
    <s v="Nisqually River"/>
    <s v="Thurston/Pierce"/>
    <x v="0"/>
    <s v="Pierce"/>
    <s v="07Pierce"/>
    <s v="02South Puget Sound"/>
    <n v="438.19791666666703"/>
    <n v="1507.4008333333345"/>
  </r>
  <r>
    <n v="3584"/>
    <x v="11"/>
    <x v="0"/>
    <x v="11"/>
    <s v="Freshwater"/>
    <s v="2Freshwater"/>
    <s v="Salmon"/>
    <n v="786"/>
    <s v="Nisqually River"/>
    <s v="Nisqually River"/>
    <s v="Thurston/Pierce"/>
    <x v="0"/>
    <s v="Thurston"/>
    <s v="08Thurston"/>
    <s v="02South Puget Sound"/>
    <n v="593.6875"/>
    <n v="2042.2850000000001"/>
  </r>
  <r>
    <n v="3585"/>
    <x v="11"/>
    <x v="1"/>
    <x v="11"/>
    <s v="Freshwater"/>
    <s v="2Freshwater"/>
    <s v="Salmon"/>
    <n v="786"/>
    <s v="Nisqually River"/>
    <s v="Nisqually River"/>
    <s v="Thurston/Pierce"/>
    <x v="0"/>
    <s v="King"/>
    <s v="06King"/>
    <s v="02South Puget Sound"/>
    <n v="646.05459057072005"/>
    <n v="2222.427791563277"/>
  </r>
  <r>
    <n v="3586"/>
    <x v="11"/>
    <x v="1"/>
    <x v="11"/>
    <s v="Freshwater"/>
    <s v="2Freshwater"/>
    <s v="Salmon"/>
    <n v="786"/>
    <s v="Nisqually River"/>
    <s v="Nisqually River"/>
    <s v="Thurston/Pierce"/>
    <x v="0"/>
    <s v="Other"/>
    <s v="20Other"/>
    <s v="07Non Puget Sound"/>
    <n v="308.98263027295297"/>
    <n v="1062.9002481389582"/>
  </r>
  <r>
    <n v="3587"/>
    <x v="11"/>
    <x v="1"/>
    <x v="11"/>
    <s v="Freshwater"/>
    <s v="2Freshwater"/>
    <s v="Salmon"/>
    <n v="786"/>
    <s v="Nisqually River"/>
    <s v="Nisqually River"/>
    <s v="Thurston/Pierce"/>
    <x v="0"/>
    <s v="Pierce"/>
    <s v="07Pierce"/>
    <s v="02South Puget Sound"/>
    <n v="2148.83374689826"/>
    <n v="7391.9880893300142"/>
  </r>
  <r>
    <n v="3588"/>
    <x v="11"/>
    <x v="1"/>
    <x v="11"/>
    <s v="Freshwater"/>
    <s v="2Freshwater"/>
    <s v="Salmon"/>
    <n v="786"/>
    <s v="Nisqually River"/>
    <s v="Nisqually River"/>
    <s v="Thurston/Pierce"/>
    <x v="0"/>
    <s v="Thurston"/>
    <s v="08Thurston"/>
    <s v="02South Puget Sound"/>
    <n v="2556.1290322580599"/>
    <n v="8793.0838709677264"/>
  </r>
  <r>
    <n v="3589"/>
    <x v="11"/>
    <x v="2"/>
    <x v="11"/>
    <s v="Freshwater"/>
    <s v="2Freshwater"/>
    <s v="Salmon"/>
    <n v="786"/>
    <s v="Nisqually River"/>
    <s v="Nisqually River"/>
    <s v="Thurston/Pierce"/>
    <x v="0"/>
    <s v="King"/>
    <s v="06King"/>
    <s v="02South Puget Sound"/>
    <n v="55.692307692307701"/>
    <n v="191.58153846153849"/>
  </r>
  <r>
    <n v="3590"/>
    <x v="11"/>
    <x v="2"/>
    <x v="11"/>
    <s v="Freshwater"/>
    <s v="2Freshwater"/>
    <s v="Salmon"/>
    <n v="786"/>
    <s v="Nisqually River"/>
    <s v="Nisqually River"/>
    <s v="Thurston/Pierce"/>
    <x v="0"/>
    <s v="Other"/>
    <s v="20Other"/>
    <s v="07Non Puget Sound"/>
    <n v="13.9230769230769"/>
    <n v="47.895384615384536"/>
  </r>
  <r>
    <n v="3591"/>
    <x v="11"/>
    <x v="2"/>
    <x v="11"/>
    <s v="Freshwater"/>
    <s v="2Freshwater"/>
    <s v="Salmon"/>
    <n v="786"/>
    <s v="Nisqually River"/>
    <s v="Nisqually River"/>
    <s v="Thurston/Pierce"/>
    <x v="0"/>
    <s v="Pierce"/>
    <s v="07Pierce"/>
    <s v="02South Puget Sound"/>
    <n v="543"/>
    <n v="1867.92"/>
  </r>
  <r>
    <n v="3592"/>
    <x v="11"/>
    <x v="2"/>
    <x v="11"/>
    <s v="Freshwater"/>
    <s v="2Freshwater"/>
    <s v="Salmon"/>
    <n v="786"/>
    <s v="Nisqually River"/>
    <s v="Nisqually River"/>
    <s v="Thurston/Pierce"/>
    <x v="0"/>
    <s v="Thurston"/>
    <s v="08Thurston"/>
    <s v="02South Puget Sound"/>
    <n v="292.38461538461502"/>
    <n v="1005.8030769230757"/>
  </r>
  <r>
    <n v="3593"/>
    <x v="11"/>
    <x v="1"/>
    <x v="11"/>
    <s v="Freshwater"/>
    <s v="2Freshwater"/>
    <s v="Salmon"/>
    <n v="788"/>
    <s v="Nooksack River, Middle Fork"/>
    <s v="Nooksack River, Middle Fork"/>
    <s v="NA"/>
    <x v="5"/>
    <s v="Whatcom"/>
    <s v="01Whatcom"/>
    <s v="01North Puget Sound"/>
    <n v="14"/>
    <n v="48.16"/>
  </r>
  <r>
    <n v="3594"/>
    <x v="11"/>
    <x v="7"/>
    <x v="11"/>
    <s v="Freshwater"/>
    <s v="2Freshwater"/>
    <s v="Salmon"/>
    <n v="790"/>
    <s v="Nooksack River, North Fork"/>
    <s v="Nooksack River, North Fork"/>
    <s v="NA"/>
    <x v="5"/>
    <s v="Island"/>
    <s v="04Island"/>
    <s v="01North Puget Sound"/>
    <n v="17.2222222222222"/>
    <n v="59.244444444444369"/>
  </r>
  <r>
    <n v="3595"/>
    <x v="11"/>
    <x v="7"/>
    <x v="11"/>
    <s v="Freshwater"/>
    <s v="2Freshwater"/>
    <s v="Salmon"/>
    <n v="790"/>
    <s v="Nooksack River, North Fork"/>
    <s v="Nooksack River, North Fork"/>
    <s v="NA"/>
    <x v="5"/>
    <s v="Whatcom"/>
    <s v="01Whatcom"/>
    <s v="01North Puget Sound"/>
    <n v="137.777777777778"/>
    <n v="473.95555555555632"/>
  </r>
  <r>
    <n v="3596"/>
    <x v="11"/>
    <x v="5"/>
    <x v="11"/>
    <s v="Freshwater"/>
    <s v="2Freshwater"/>
    <s v="Salmon"/>
    <n v="790"/>
    <s v="Nooksack River, North Fork"/>
    <s v="Nooksack River, North Fork"/>
    <s v="NA"/>
    <x v="5"/>
    <s v="Whatcom"/>
    <s v="01Whatcom"/>
    <s v="01North Puget Sound"/>
    <n v="31"/>
    <n v="106.64"/>
  </r>
  <r>
    <n v="3597"/>
    <x v="11"/>
    <x v="0"/>
    <x v="11"/>
    <s v="Freshwater"/>
    <s v="2Freshwater"/>
    <s v="Salmon"/>
    <n v="790"/>
    <s v="Nooksack River, North Fork"/>
    <s v="Nooksack River, North Fork"/>
    <s v="NA"/>
    <x v="5"/>
    <s v="King"/>
    <s v="06King"/>
    <s v="02South Puget Sound"/>
    <n v="27"/>
    <n v="92.88"/>
  </r>
  <r>
    <n v="3598"/>
    <x v="11"/>
    <x v="2"/>
    <x v="11"/>
    <s v="Freshwater"/>
    <s v="2Freshwater"/>
    <s v="Salmon"/>
    <n v="790"/>
    <s v="Nooksack River, North Fork"/>
    <s v="Nooksack River, North Fork"/>
    <s v="NA"/>
    <x v="5"/>
    <s v="Whatcom"/>
    <s v="01Whatcom"/>
    <s v="01North Puget Sound"/>
    <n v="68"/>
    <n v="233.92"/>
  </r>
  <r>
    <n v="3599"/>
    <x v="11"/>
    <x v="2"/>
    <x v="11"/>
    <s v="Freshwater"/>
    <s v="2Freshwater"/>
    <s v="Salmon"/>
    <n v="792"/>
    <s v="Nooksack River, South Fork"/>
    <s v="Nooksack River, South Fork"/>
    <s v="NA"/>
    <x v="5"/>
    <s v="Island"/>
    <s v="04Island"/>
    <s v="01North Puget Sound"/>
    <n v="81.75"/>
    <n v="281.21999999999997"/>
  </r>
  <r>
    <n v="3600"/>
    <x v="11"/>
    <x v="2"/>
    <x v="11"/>
    <s v="Freshwater"/>
    <s v="2Freshwater"/>
    <s v="Salmon"/>
    <n v="792"/>
    <s v="Nooksack River, South Fork"/>
    <s v="Nooksack River, South Fork"/>
    <s v="NA"/>
    <x v="5"/>
    <s v="King"/>
    <s v="06King"/>
    <s v="02South Puget Sound"/>
    <n v="81.75"/>
    <n v="281.21999999999997"/>
  </r>
  <r>
    <n v="3601"/>
    <x v="11"/>
    <x v="2"/>
    <x v="11"/>
    <s v="Freshwater"/>
    <s v="2Freshwater"/>
    <s v="Salmon"/>
    <n v="792"/>
    <s v="Nooksack River, South Fork"/>
    <s v="Nooksack River, South Fork"/>
    <s v="NA"/>
    <x v="5"/>
    <s v="Skagit"/>
    <s v="02Skagit"/>
    <s v="01North Puget Sound"/>
    <n v="177.125"/>
    <n v="609.30999999999995"/>
  </r>
  <r>
    <n v="3602"/>
    <x v="11"/>
    <x v="2"/>
    <x v="11"/>
    <s v="Freshwater"/>
    <s v="2Freshwater"/>
    <s v="Salmon"/>
    <n v="792"/>
    <s v="Nooksack River, South Fork"/>
    <s v="Nooksack River, South Fork"/>
    <s v="NA"/>
    <x v="5"/>
    <s v="Whatcom"/>
    <s v="01Whatcom"/>
    <s v="01North Puget Sound"/>
    <n v="422.375"/>
    <n v="1452.97"/>
  </r>
  <r>
    <n v="3603"/>
    <x v="11"/>
    <x v="0"/>
    <x v="11"/>
    <s v="Freshwater"/>
    <s v="2Freshwater"/>
    <s v="Salmon"/>
    <n v="794"/>
    <s v="Nooksack River, below North Fork"/>
    <s v="Nooksack River, below North Fork"/>
    <s v="Whatcom"/>
    <x v="1"/>
    <s v="Whatcom"/>
    <s v="01Whatcom"/>
    <s v="01North Puget Sound"/>
    <n v="818"/>
    <n v="2813.92"/>
  </r>
  <r>
    <n v="3604"/>
    <x v="11"/>
    <x v="1"/>
    <x v="11"/>
    <s v="Freshwater"/>
    <s v="2Freshwater"/>
    <s v="Salmon"/>
    <n v="794"/>
    <s v="Nooksack River, below North Fork"/>
    <s v="Nooksack River, below North Fork"/>
    <s v="Whatcom"/>
    <x v="1"/>
    <s v="Other"/>
    <s v="20Other"/>
    <s v="07Non Puget Sound"/>
    <n v="13.838983050847499"/>
    <n v="47.606101694915395"/>
  </r>
  <r>
    <n v="3605"/>
    <x v="11"/>
    <x v="1"/>
    <x v="11"/>
    <s v="Freshwater"/>
    <s v="2Freshwater"/>
    <s v="Salmon"/>
    <n v="794"/>
    <s v="Nooksack River, below North Fork"/>
    <s v="Nooksack River, below North Fork"/>
    <s v="Whatcom"/>
    <x v="1"/>
    <s v="Pierce"/>
    <s v="07Pierce"/>
    <s v="02South Puget Sound"/>
    <n v="13.838983050847499"/>
    <n v="47.606101694915395"/>
  </r>
  <r>
    <n v="3606"/>
    <x v="11"/>
    <x v="1"/>
    <x v="11"/>
    <s v="Freshwater"/>
    <s v="2Freshwater"/>
    <s v="Salmon"/>
    <n v="794"/>
    <s v="Nooksack River, below North Fork"/>
    <s v="Nooksack River, below North Fork"/>
    <s v="Whatcom"/>
    <x v="1"/>
    <s v="Skagit"/>
    <s v="02Skagit"/>
    <s v="01North Puget Sound"/>
    <n v="69.194915254237301"/>
    <n v="238.03050847457632"/>
  </r>
  <r>
    <n v="3607"/>
    <x v="11"/>
    <x v="1"/>
    <x v="11"/>
    <s v="Freshwater"/>
    <s v="2Freshwater"/>
    <s v="Salmon"/>
    <n v="794"/>
    <s v="Nooksack River, below North Fork"/>
    <s v="Nooksack River, below North Fork"/>
    <s v="Whatcom"/>
    <x v="1"/>
    <s v="Whatcom"/>
    <s v="01Whatcom"/>
    <s v="01North Puget Sound"/>
    <n v="1536.1271186440699"/>
    <n v="5284.2772881356004"/>
  </r>
  <r>
    <n v="3608"/>
    <x v="11"/>
    <x v="2"/>
    <x v="11"/>
    <s v="Freshwater"/>
    <s v="2Freshwater"/>
    <s v="Salmon"/>
    <n v="794"/>
    <s v="Nooksack River, below North Fork"/>
    <s v="Nooksack River, below North Fork"/>
    <s v="Whatcom"/>
    <x v="1"/>
    <s v="Whatcom"/>
    <s v="01Whatcom"/>
    <s v="01North Puget Sound"/>
    <n v="547"/>
    <n v="1881.68"/>
  </r>
  <r>
    <n v="3609"/>
    <x v="11"/>
    <x v="1"/>
    <x v="11"/>
    <s v="Freshwater"/>
    <s v="2Freshwater"/>
    <s v="Salmon"/>
    <n v="802"/>
    <s v="Carbon River"/>
    <s v="Carbon River"/>
    <s v="Pierce"/>
    <x v="0"/>
    <s v="King"/>
    <s v="06King"/>
    <s v="02South Puget Sound"/>
    <n v="607"/>
    <n v="2088.08"/>
  </r>
  <r>
    <n v="3610"/>
    <x v="11"/>
    <x v="1"/>
    <x v="11"/>
    <s v="Freshwater"/>
    <s v="2Freshwater"/>
    <s v="Salmon"/>
    <n v="802"/>
    <s v="Carbon River"/>
    <s v="Carbon River"/>
    <s v="Pierce"/>
    <x v="0"/>
    <s v="Other"/>
    <s v="20Other"/>
    <s v="07Non Puget Sound"/>
    <n v="124.15909090909101"/>
    <n v="427.10727272727303"/>
  </r>
  <r>
    <n v="3611"/>
    <x v="11"/>
    <x v="1"/>
    <x v="11"/>
    <s v="Freshwater"/>
    <s v="2Freshwater"/>
    <s v="Salmon"/>
    <n v="802"/>
    <s v="Carbon River"/>
    <s v="Carbon River"/>
    <s v="Pierce"/>
    <x v="0"/>
    <s v="Pierce"/>
    <s v="07Pierce"/>
    <s v="02South Puget Sound"/>
    <n v="1614.0681818181799"/>
    <n v="5552.3945454545392"/>
  </r>
  <r>
    <n v="3612"/>
    <x v="11"/>
    <x v="1"/>
    <x v="11"/>
    <s v="Freshwater"/>
    <s v="2Freshwater"/>
    <s v="Salmon"/>
    <n v="802"/>
    <s v="Carbon River"/>
    <s v="Carbon River"/>
    <s v="Pierce"/>
    <x v="0"/>
    <s v="Snohomish"/>
    <s v="03Snohomish"/>
    <s v="01North Puget Sound"/>
    <n v="27.590909090909101"/>
    <n v="94.912727272727309"/>
  </r>
  <r>
    <n v="3613"/>
    <x v="11"/>
    <x v="1"/>
    <x v="11"/>
    <s v="Freshwater"/>
    <s v="2Freshwater"/>
    <s v="Salmon"/>
    <n v="802"/>
    <s v="Carbon River"/>
    <s v="Carbon River"/>
    <s v="Pierce"/>
    <x v="0"/>
    <s v="Whatcom"/>
    <s v="01Whatcom"/>
    <s v="01North Puget Sound"/>
    <n v="55.181818181818201"/>
    <n v="189.82545454545462"/>
  </r>
  <r>
    <n v="3614"/>
    <x v="11"/>
    <x v="2"/>
    <x v="11"/>
    <s v="Freshwater"/>
    <s v="2Freshwater"/>
    <s v="Salmon"/>
    <n v="802"/>
    <s v="Carbon River"/>
    <s v="Carbon River"/>
    <s v="Pierce"/>
    <x v="0"/>
    <s v="King"/>
    <s v="06King"/>
    <s v="02South Puget Sound"/>
    <n v="41.25"/>
    <n v="141.9"/>
  </r>
  <r>
    <n v="3615"/>
    <x v="11"/>
    <x v="2"/>
    <x v="11"/>
    <s v="Freshwater"/>
    <s v="2Freshwater"/>
    <s v="Salmon"/>
    <n v="802"/>
    <s v="Carbon River"/>
    <s v="Carbon River"/>
    <s v="Pierce"/>
    <x v="0"/>
    <s v="Pierce"/>
    <s v="07Pierce"/>
    <s v="02South Puget Sound"/>
    <n v="123.75"/>
    <n v="425.7"/>
  </r>
  <r>
    <n v="3616"/>
    <x v="11"/>
    <x v="3"/>
    <x v="11"/>
    <s v="Freshwater"/>
    <s v="2Freshwater"/>
    <s v="Salmon"/>
    <n v="802"/>
    <s v="Carbon River"/>
    <s v="Carbon River"/>
    <s v="Pierce"/>
    <x v="0"/>
    <s v="Other"/>
    <s v="20Other"/>
    <s v="07Non Puget Sound"/>
    <n v="48"/>
    <n v="165.12"/>
  </r>
  <r>
    <n v="3617"/>
    <x v="11"/>
    <x v="3"/>
    <x v="11"/>
    <s v="Freshwater"/>
    <s v="2Freshwater"/>
    <s v="Salmon"/>
    <n v="802"/>
    <s v="Carbon River"/>
    <s v="Carbon River"/>
    <s v="Pierce"/>
    <x v="0"/>
    <s v="Pierce"/>
    <s v="07Pierce"/>
    <s v="02South Puget Sound"/>
    <n v="48"/>
    <n v="165.12"/>
  </r>
  <r>
    <n v="3618"/>
    <x v="11"/>
    <x v="5"/>
    <x v="11"/>
    <s v="Freshwater"/>
    <s v="2Freshwater"/>
    <s v="Salmon"/>
    <n v="804"/>
    <s v="Puyallup River"/>
    <s v="Puyallup River"/>
    <s v="Pierce"/>
    <x v="0"/>
    <s v="King"/>
    <s v="06King"/>
    <s v="02South Puget Sound"/>
    <n v="13.6666666666667"/>
    <n v="47.013333333333449"/>
  </r>
  <r>
    <n v="3619"/>
    <x v="11"/>
    <x v="5"/>
    <x v="11"/>
    <s v="Freshwater"/>
    <s v="2Freshwater"/>
    <s v="Salmon"/>
    <n v="804"/>
    <s v="Puyallup River"/>
    <s v="Puyallup River"/>
    <s v="Pierce"/>
    <x v="0"/>
    <s v="Pierce"/>
    <s v="07Pierce"/>
    <s v="02South Puget Sound"/>
    <n v="27.3333333333333"/>
    <n v="94.026666666666557"/>
  </r>
  <r>
    <n v="3620"/>
    <x v="11"/>
    <x v="0"/>
    <x v="11"/>
    <s v="Freshwater"/>
    <s v="2Freshwater"/>
    <s v="Salmon"/>
    <n v="804"/>
    <s v="Puyallup River"/>
    <s v="Puyallup River"/>
    <s v="Pierce"/>
    <x v="0"/>
    <s v="King"/>
    <s v="06King"/>
    <s v="02South Puget Sound"/>
    <n v="9180.5813953488396"/>
    <n v="31581.200000000008"/>
  </r>
  <r>
    <n v="3621"/>
    <x v="11"/>
    <x v="0"/>
    <x v="11"/>
    <s v="Freshwater"/>
    <s v="2Freshwater"/>
    <s v="Salmon"/>
    <n v="804"/>
    <s v="Puyallup River"/>
    <s v="Puyallup River"/>
    <s v="Pierce"/>
    <x v="0"/>
    <s v="Kitsap"/>
    <s v="10Kitsap"/>
    <s v="02South Puget Sound"/>
    <n v="27.610771113831099"/>
    <n v="94.981052631578976"/>
  </r>
  <r>
    <n v="3622"/>
    <x v="11"/>
    <x v="0"/>
    <x v="11"/>
    <s v="Freshwater"/>
    <s v="2Freshwater"/>
    <s v="Salmon"/>
    <n v="804"/>
    <s v="Puyallup River"/>
    <s v="Puyallup River"/>
    <s v="Pierce"/>
    <x v="0"/>
    <s v="Other"/>
    <s v="20Other"/>
    <s v="07Non Puget Sound"/>
    <n v="1090.6254589963301"/>
    <n v="3751.7515789473755"/>
  </r>
  <r>
    <n v="3623"/>
    <x v="11"/>
    <x v="0"/>
    <x v="11"/>
    <s v="Freshwater"/>
    <s v="2Freshwater"/>
    <s v="Salmon"/>
    <n v="804"/>
    <s v="Puyallup River"/>
    <s v="Puyallup River"/>
    <s v="Pierce"/>
    <x v="0"/>
    <s v="Pierce"/>
    <s v="07Pierce"/>
    <s v="02South Puget Sound"/>
    <n v="10602.536107711099"/>
    <n v="36472.724210526183"/>
  </r>
  <r>
    <n v="3624"/>
    <x v="11"/>
    <x v="0"/>
    <x v="11"/>
    <s v="Freshwater"/>
    <s v="2Freshwater"/>
    <s v="Salmon"/>
    <n v="804"/>
    <s v="Puyallup River"/>
    <s v="Puyallup River"/>
    <s v="Pierce"/>
    <x v="0"/>
    <s v="Snohomish"/>
    <s v="03Snohomish"/>
    <s v="01North Puget Sound"/>
    <n v="690.26927784577697"/>
    <n v="2374.5263157894728"/>
  </r>
  <r>
    <n v="3625"/>
    <x v="11"/>
    <x v="0"/>
    <x v="11"/>
    <s v="Freshwater"/>
    <s v="2Freshwater"/>
    <s v="Salmon"/>
    <n v="804"/>
    <s v="Puyallup River"/>
    <s v="Puyallup River"/>
    <s v="Pierce"/>
    <x v="0"/>
    <s v="Thurston"/>
    <s v="08Thurston"/>
    <s v="02South Puget Sound"/>
    <n v="966.37698898408803"/>
    <n v="3324.3368421052628"/>
  </r>
  <r>
    <n v="3626"/>
    <x v="11"/>
    <x v="1"/>
    <x v="11"/>
    <s v="Freshwater"/>
    <s v="2Freshwater"/>
    <s v="Salmon"/>
    <n v="804"/>
    <s v="Puyallup River"/>
    <s v="Puyallup River"/>
    <s v="Pierce"/>
    <x v="0"/>
    <s v="King"/>
    <s v="06King"/>
    <s v="02South Puget Sound"/>
    <n v="7825.5213776722103"/>
    <n v="26919.793539192404"/>
  </r>
  <r>
    <n v="3627"/>
    <x v="11"/>
    <x v="1"/>
    <x v="11"/>
    <s v="Freshwater"/>
    <s v="2Freshwater"/>
    <s v="Salmon"/>
    <n v="804"/>
    <s v="Puyallup River"/>
    <s v="Puyallup River"/>
    <s v="Pierce"/>
    <x v="0"/>
    <s v="Kitsap"/>
    <s v="10Kitsap"/>
    <s v="02South Puget Sound"/>
    <n v="331.82422802850402"/>
    <n v="1141.4753444180537"/>
  </r>
  <r>
    <n v="3628"/>
    <x v="11"/>
    <x v="1"/>
    <x v="11"/>
    <s v="Freshwater"/>
    <s v="2Freshwater"/>
    <s v="Salmon"/>
    <n v="804"/>
    <s v="Puyallup River"/>
    <s v="Puyallup River"/>
    <s v="Pierce"/>
    <x v="0"/>
    <s v="Mason"/>
    <s v="09Mason"/>
    <s v="02South Puget Sound"/>
    <n v="55.304038004750602"/>
    <n v="190.24589073634206"/>
  </r>
  <r>
    <n v="3629"/>
    <x v="11"/>
    <x v="1"/>
    <x v="11"/>
    <s v="Freshwater"/>
    <s v="2Freshwater"/>
    <s v="Salmon"/>
    <n v="804"/>
    <s v="Puyallup River"/>
    <s v="Puyallup River"/>
    <s v="Pierce"/>
    <x v="0"/>
    <s v="Other"/>
    <s v="20Other"/>
    <s v="07Non Puget Sound"/>
    <n v="1036.95071258907"/>
    <n v="3567.1104513064006"/>
  </r>
  <r>
    <n v="3630"/>
    <x v="11"/>
    <x v="1"/>
    <x v="11"/>
    <s v="Freshwater"/>
    <s v="2Freshwater"/>
    <s v="Salmon"/>
    <n v="804"/>
    <s v="Puyallup River"/>
    <s v="Puyallup River"/>
    <s v="Pierce"/>
    <x v="0"/>
    <s v="Pierce"/>
    <s v="07Pierce"/>
    <s v="02South Puget Sound"/>
    <n v="12609.3206650831"/>
    <n v="43376.063087885865"/>
  </r>
  <r>
    <n v="3631"/>
    <x v="11"/>
    <x v="1"/>
    <x v="11"/>
    <s v="Freshwater"/>
    <s v="2Freshwater"/>
    <s v="Salmon"/>
    <n v="804"/>
    <s v="Puyallup River"/>
    <s v="Puyallup River"/>
    <s v="Pierce"/>
    <x v="0"/>
    <s v="Snohomish"/>
    <s v="03Snohomish"/>
    <s v="01North Puget Sound"/>
    <n v="262.69418052256498"/>
    <n v="903.66798099762354"/>
  </r>
  <r>
    <n v="3632"/>
    <x v="11"/>
    <x v="1"/>
    <x v="11"/>
    <s v="Freshwater"/>
    <s v="2Freshwater"/>
    <s v="Salmon"/>
    <n v="804"/>
    <s v="Puyallup River"/>
    <s v="Puyallup River"/>
    <s v="Pierce"/>
    <x v="0"/>
    <s v="Thurston"/>
    <s v="08Thurston"/>
    <s v="02South Puget Sound"/>
    <n v="1161.38479809976"/>
    <n v="3995.1637054631742"/>
  </r>
  <r>
    <n v="3633"/>
    <x v="11"/>
    <x v="2"/>
    <x v="11"/>
    <s v="Freshwater"/>
    <s v="2Freshwater"/>
    <s v="Salmon"/>
    <n v="804"/>
    <s v="Puyallup River"/>
    <s v="Puyallup River"/>
    <s v="Pierce"/>
    <x v="0"/>
    <s v="King"/>
    <s v="06King"/>
    <s v="02South Puget Sound"/>
    <n v="111.304347826087"/>
    <n v="382.88695652173925"/>
  </r>
  <r>
    <n v="3634"/>
    <x v="11"/>
    <x v="2"/>
    <x v="11"/>
    <s v="Freshwater"/>
    <s v="2Freshwater"/>
    <s v="Salmon"/>
    <n v="804"/>
    <s v="Puyallup River"/>
    <s v="Puyallup River"/>
    <s v="Pierce"/>
    <x v="0"/>
    <s v="Kitsap"/>
    <s v="10Kitsap"/>
    <s v="02South Puget Sound"/>
    <n v="41.739130434782602"/>
    <n v="143.58260869565214"/>
  </r>
  <r>
    <n v="3635"/>
    <x v="11"/>
    <x v="2"/>
    <x v="11"/>
    <s v="Freshwater"/>
    <s v="2Freshwater"/>
    <s v="Salmon"/>
    <n v="804"/>
    <s v="Puyallup River"/>
    <s v="Puyallup River"/>
    <s v="Pierce"/>
    <x v="0"/>
    <s v="Other"/>
    <s v="20Other"/>
    <s v="07Non Puget Sound"/>
    <n v="41.739130434782602"/>
    <n v="143.58260869565214"/>
  </r>
  <r>
    <n v="3636"/>
    <x v="11"/>
    <x v="2"/>
    <x v="11"/>
    <s v="Freshwater"/>
    <s v="2Freshwater"/>
    <s v="Salmon"/>
    <n v="804"/>
    <s v="Puyallup River"/>
    <s v="Puyallup River"/>
    <s v="Pierce"/>
    <x v="0"/>
    <s v="Pierce"/>
    <s v="07Pierce"/>
    <s v="02South Puget Sound"/>
    <n v="445.21739130434798"/>
    <n v="1531.547826086957"/>
  </r>
  <r>
    <n v="3637"/>
    <x v="11"/>
    <x v="3"/>
    <x v="11"/>
    <s v="Freshwater"/>
    <s v="2Freshwater"/>
    <s v="Salmon"/>
    <n v="804"/>
    <s v="Puyallup River"/>
    <s v="Puyallup River"/>
    <s v="Pierce"/>
    <x v="0"/>
    <s v="Pierce"/>
    <s v="07Pierce"/>
    <s v="02South Puget Sound"/>
    <n v="14"/>
    <n v="48.16"/>
  </r>
  <r>
    <n v="3638"/>
    <x v="11"/>
    <x v="1"/>
    <x v="11"/>
    <s v="Freshwater"/>
    <s v="2Freshwater"/>
    <s v="Salmon"/>
    <n v="808"/>
    <s v="White (Stuck) River"/>
    <s v="White (Stuck) River"/>
    <s v="Pierce"/>
    <x v="0"/>
    <s v="King"/>
    <s v="06King"/>
    <s v="02South Puget Sound"/>
    <n v="3"/>
    <n v="10.32"/>
  </r>
  <r>
    <n v="3639"/>
    <x v="11"/>
    <x v="0"/>
    <x v="11"/>
    <s v="Freshwater"/>
    <s v="2Freshwater"/>
    <s v="Salmon"/>
    <n v="812"/>
    <s v="Quilcene River"/>
    <s v="Quilcene River"/>
    <s v="Jefferson"/>
    <x v="2"/>
    <s v="Clallam"/>
    <s v="11Clallam"/>
    <s v="03Strait of Juan de Fuca"/>
    <n v="190.24864864864901"/>
    <n v="654.45535135135253"/>
  </r>
  <r>
    <n v="3640"/>
    <x v="11"/>
    <x v="0"/>
    <x v="11"/>
    <s v="Freshwater"/>
    <s v="2Freshwater"/>
    <s v="Salmon"/>
    <n v="812"/>
    <s v="Quilcene River"/>
    <s v="Quilcene River"/>
    <s v="Jefferson"/>
    <x v="2"/>
    <s v="Jefferson"/>
    <s v="12Jefferson"/>
    <s v="03Strait of Juan de Fuca"/>
    <n v="489.21081081081098"/>
    <n v="1682.8851891891898"/>
  </r>
  <r>
    <n v="3641"/>
    <x v="11"/>
    <x v="0"/>
    <x v="11"/>
    <s v="Freshwater"/>
    <s v="2Freshwater"/>
    <s v="Salmon"/>
    <n v="812"/>
    <s v="Quilcene River"/>
    <s v="Quilcene River"/>
    <s v="Jefferson"/>
    <x v="2"/>
    <s v="King"/>
    <s v="06King"/>
    <s v="02South Puget Sound"/>
    <n v="108.713513513514"/>
    <n v="373.97448648648816"/>
  </r>
  <r>
    <n v="3642"/>
    <x v="11"/>
    <x v="0"/>
    <x v="11"/>
    <s v="Freshwater"/>
    <s v="2Freshwater"/>
    <s v="Salmon"/>
    <n v="812"/>
    <s v="Quilcene River"/>
    <s v="Quilcene River"/>
    <s v="Jefferson"/>
    <x v="2"/>
    <s v="Kitsap"/>
    <s v="10Kitsap"/>
    <s v="02South Puget Sound"/>
    <n v="285.372972972973"/>
    <n v="981.68302702702715"/>
  </r>
  <r>
    <n v="3643"/>
    <x v="11"/>
    <x v="0"/>
    <x v="11"/>
    <s v="Freshwater"/>
    <s v="2Freshwater"/>
    <s v="Salmon"/>
    <n v="812"/>
    <s v="Quilcene River"/>
    <s v="Quilcene River"/>
    <s v="Jefferson"/>
    <x v="2"/>
    <s v="Mason"/>
    <s v="09Mason"/>
    <s v="02South Puget Sound"/>
    <n v="163.07027027026999"/>
    <n v="560.96172972972875"/>
  </r>
  <r>
    <n v="3644"/>
    <x v="11"/>
    <x v="0"/>
    <x v="11"/>
    <s v="Freshwater"/>
    <s v="2Freshwater"/>
    <s v="Salmon"/>
    <n v="812"/>
    <s v="Quilcene River"/>
    <s v="Quilcene River"/>
    <s v="Jefferson"/>
    <x v="2"/>
    <s v="Other"/>
    <s v="20Other"/>
    <s v="07Non Puget Sound"/>
    <n v="529.97837837837801"/>
    <n v="1823.1256216216204"/>
  </r>
  <r>
    <n v="3645"/>
    <x v="11"/>
    <x v="0"/>
    <x v="11"/>
    <s v="Freshwater"/>
    <s v="2Freshwater"/>
    <s v="Salmon"/>
    <n v="812"/>
    <s v="Quilcene River"/>
    <s v="Quilcene River"/>
    <s v="Jefferson"/>
    <x v="2"/>
    <s v="Pierce"/>
    <s v="07Pierce"/>
    <s v="02South Puget Sound"/>
    <n v="693.04864864864896"/>
    <n v="2384.0873513513525"/>
  </r>
  <r>
    <n v="3646"/>
    <x v="11"/>
    <x v="0"/>
    <x v="11"/>
    <s v="Freshwater"/>
    <s v="2Freshwater"/>
    <s v="Salmon"/>
    <n v="812"/>
    <s v="Quilcene River"/>
    <s v="Quilcene River"/>
    <s v="Jefferson"/>
    <x v="2"/>
    <s v="Thurston"/>
    <s v="08Thurston"/>
    <s v="02South Puget Sound"/>
    <n v="54.356756756756802"/>
    <n v="186.9872432432434"/>
  </r>
  <r>
    <n v="3647"/>
    <x v="11"/>
    <x v="1"/>
    <x v="11"/>
    <s v="Freshwater"/>
    <s v="2Freshwater"/>
    <s v="Salmon"/>
    <n v="812"/>
    <s v="Quilcene River"/>
    <s v="Quilcene River"/>
    <s v="Jefferson"/>
    <x v="2"/>
    <s v="Clallam"/>
    <s v="11Clallam"/>
    <s v="03Strait of Juan de Fuca"/>
    <n v="571.23134328358196"/>
    <n v="1965.035820895522"/>
  </r>
  <r>
    <n v="3648"/>
    <x v="11"/>
    <x v="1"/>
    <x v="11"/>
    <s v="Freshwater"/>
    <s v="2Freshwater"/>
    <s v="Salmon"/>
    <n v="812"/>
    <s v="Quilcene River"/>
    <s v="Quilcene River"/>
    <s v="Jefferson"/>
    <x v="2"/>
    <s v="Jefferson"/>
    <s v="12Jefferson"/>
    <s v="03Strait of Juan de Fuca"/>
    <n v="816.04477611940297"/>
    <n v="2807.1940298507461"/>
  </r>
  <r>
    <n v="3649"/>
    <x v="11"/>
    <x v="1"/>
    <x v="11"/>
    <s v="Freshwater"/>
    <s v="2Freshwater"/>
    <s v="Salmon"/>
    <n v="812"/>
    <s v="Quilcene River"/>
    <s v="Quilcene River"/>
    <s v="Jefferson"/>
    <x v="2"/>
    <s v="King"/>
    <s v="06King"/>
    <s v="02South Puget Sound"/>
    <n v="272.01492537313402"/>
    <n v="935.73134328358105"/>
  </r>
  <r>
    <n v="3650"/>
    <x v="11"/>
    <x v="1"/>
    <x v="11"/>
    <s v="Freshwater"/>
    <s v="2Freshwater"/>
    <s v="Salmon"/>
    <n v="812"/>
    <s v="Quilcene River"/>
    <s v="Quilcene River"/>
    <s v="Jefferson"/>
    <x v="2"/>
    <s v="Kitsap"/>
    <s v="10Kitsap"/>
    <s v="02South Puget Sound"/>
    <n v="938.45149253731404"/>
    <n v="3228.2731343283604"/>
  </r>
  <r>
    <n v="3651"/>
    <x v="11"/>
    <x v="1"/>
    <x v="11"/>
    <s v="Freshwater"/>
    <s v="2Freshwater"/>
    <s v="Salmon"/>
    <n v="812"/>
    <s v="Quilcene River"/>
    <s v="Quilcene River"/>
    <s v="Jefferson"/>
    <x v="2"/>
    <s v="Mason"/>
    <s v="09Mason"/>
    <s v="02South Puget Sound"/>
    <n v="285.61567164179098"/>
    <n v="982.51791044776098"/>
  </r>
  <r>
    <n v="3652"/>
    <x v="11"/>
    <x v="1"/>
    <x v="11"/>
    <s v="Freshwater"/>
    <s v="2Freshwater"/>
    <s v="Salmon"/>
    <n v="812"/>
    <s v="Quilcene River"/>
    <s v="Quilcene River"/>
    <s v="Jefferson"/>
    <x v="2"/>
    <s v="Other"/>
    <s v="20Other"/>
    <s v="07Non Puget Sound"/>
    <n v="40.802238805970198"/>
    <n v="140.35970149253748"/>
  </r>
  <r>
    <n v="3653"/>
    <x v="11"/>
    <x v="1"/>
    <x v="11"/>
    <s v="Freshwater"/>
    <s v="2Freshwater"/>
    <s v="Salmon"/>
    <n v="812"/>
    <s v="Quilcene River"/>
    <s v="Quilcene River"/>
    <s v="Jefferson"/>
    <x v="2"/>
    <s v="Pierce"/>
    <s v="07Pierce"/>
    <s v="02South Puget Sound"/>
    <n v="598.432835820896"/>
    <n v="2058.6089552238823"/>
  </r>
  <r>
    <n v="3654"/>
    <x v="11"/>
    <x v="1"/>
    <x v="11"/>
    <s v="Freshwater"/>
    <s v="2Freshwater"/>
    <s v="Salmon"/>
    <n v="812"/>
    <s v="Quilcene River"/>
    <s v="Quilcene River"/>
    <s v="Jefferson"/>
    <x v="2"/>
    <s v="Thurston"/>
    <s v="08Thurston"/>
    <s v="02South Puget Sound"/>
    <n v="122.40671641791"/>
    <n v="421.07910447761043"/>
  </r>
  <r>
    <n v="3655"/>
    <x v="11"/>
    <x v="2"/>
    <x v="11"/>
    <s v="Freshwater"/>
    <s v="2Freshwater"/>
    <s v="Salmon"/>
    <n v="812"/>
    <s v="Quilcene River"/>
    <s v="Quilcene River"/>
    <s v="Jefferson"/>
    <x v="2"/>
    <s v="Clallam"/>
    <s v="11Clallam"/>
    <s v="03Strait of Juan de Fuca"/>
    <n v="13.5945945945946"/>
    <n v="46.765405405405424"/>
  </r>
  <r>
    <n v="3656"/>
    <x v="11"/>
    <x v="2"/>
    <x v="11"/>
    <s v="Freshwater"/>
    <s v="2Freshwater"/>
    <s v="Salmon"/>
    <n v="812"/>
    <s v="Quilcene River"/>
    <s v="Quilcene River"/>
    <s v="Jefferson"/>
    <x v="2"/>
    <s v="Jefferson"/>
    <s v="12Jefferson"/>
    <s v="03Strait of Juan de Fuca"/>
    <n v="258.29729729729701"/>
    <n v="888.54270270270172"/>
  </r>
  <r>
    <n v="3657"/>
    <x v="11"/>
    <x v="2"/>
    <x v="11"/>
    <s v="Freshwater"/>
    <s v="2Freshwater"/>
    <s v="Salmon"/>
    <n v="812"/>
    <s v="Quilcene River"/>
    <s v="Quilcene River"/>
    <s v="Jefferson"/>
    <x v="2"/>
    <s v="King"/>
    <s v="06King"/>
    <s v="02South Puget Sound"/>
    <n v="67.972972972972997"/>
    <n v="233.8270270270271"/>
  </r>
  <r>
    <n v="3658"/>
    <x v="11"/>
    <x v="2"/>
    <x v="11"/>
    <s v="Freshwater"/>
    <s v="2Freshwater"/>
    <s v="Salmon"/>
    <n v="812"/>
    <s v="Quilcene River"/>
    <s v="Quilcene River"/>
    <s v="Jefferson"/>
    <x v="2"/>
    <s v="Kitsap"/>
    <s v="10Kitsap"/>
    <s v="02South Puget Sound"/>
    <n v="13.5945945945946"/>
    <n v="46.765405405405424"/>
  </r>
  <r>
    <n v="3659"/>
    <x v="11"/>
    <x v="2"/>
    <x v="11"/>
    <s v="Freshwater"/>
    <s v="2Freshwater"/>
    <s v="Salmon"/>
    <n v="812"/>
    <s v="Quilcene River"/>
    <s v="Quilcene River"/>
    <s v="Jefferson"/>
    <x v="2"/>
    <s v="Mason"/>
    <s v="09Mason"/>
    <s v="02South Puget Sound"/>
    <n v="13.5945945945946"/>
    <n v="46.765405405405424"/>
  </r>
  <r>
    <n v="3660"/>
    <x v="11"/>
    <x v="2"/>
    <x v="11"/>
    <s v="Freshwater"/>
    <s v="2Freshwater"/>
    <s v="Salmon"/>
    <n v="812"/>
    <s v="Quilcene River"/>
    <s v="Quilcene River"/>
    <s v="Jefferson"/>
    <x v="2"/>
    <s v="Pierce"/>
    <s v="07Pierce"/>
    <s v="02South Puget Sound"/>
    <n v="135.94594594594599"/>
    <n v="467.6540540540542"/>
  </r>
  <r>
    <n v="3661"/>
    <x v="11"/>
    <x v="5"/>
    <x v="11"/>
    <s v="Freshwater"/>
    <s v="2Freshwater"/>
    <s v="Salmon"/>
    <n v="816"/>
    <s v="Samish River"/>
    <s v="Samish River"/>
    <s v="Skagit"/>
    <x v="1"/>
    <s v="Other"/>
    <s v="20Other"/>
    <s v="07Non Puget Sound"/>
    <n v="13.6666666666667"/>
    <n v="47.013333333333449"/>
  </r>
  <r>
    <n v="3662"/>
    <x v="11"/>
    <x v="5"/>
    <x v="11"/>
    <s v="Freshwater"/>
    <s v="2Freshwater"/>
    <s v="Salmon"/>
    <n v="816"/>
    <s v="Samish River"/>
    <s v="Samish River"/>
    <s v="Skagit"/>
    <x v="1"/>
    <s v="Snohomish"/>
    <s v="03Snohomish"/>
    <s v="01North Puget Sound"/>
    <n v="27.3333333333333"/>
    <n v="94.026666666666557"/>
  </r>
  <r>
    <n v="3663"/>
    <x v="11"/>
    <x v="0"/>
    <x v="11"/>
    <s v="Freshwater"/>
    <s v="2Freshwater"/>
    <s v="Salmon"/>
    <n v="816"/>
    <s v="Samish River"/>
    <s v="Samish River"/>
    <s v="Skagit"/>
    <x v="1"/>
    <s v="Island"/>
    <s v="04Island"/>
    <s v="01North Puget Sound"/>
    <n v="259.41666666666703"/>
    <n v="892.39333333333457"/>
  </r>
  <r>
    <n v="3664"/>
    <x v="11"/>
    <x v="0"/>
    <x v="11"/>
    <s v="Freshwater"/>
    <s v="2Freshwater"/>
    <s v="Salmon"/>
    <n v="816"/>
    <s v="Samish River"/>
    <s v="Samish River"/>
    <s v="Skagit"/>
    <x v="1"/>
    <s v="King"/>
    <s v="06King"/>
    <s v="02South Puget Sound"/>
    <n v="191.14912280701799"/>
    <n v="657.55298245614188"/>
  </r>
  <r>
    <n v="3665"/>
    <x v="11"/>
    <x v="0"/>
    <x v="11"/>
    <s v="Freshwater"/>
    <s v="2Freshwater"/>
    <s v="Salmon"/>
    <n v="816"/>
    <s v="Samish River"/>
    <s v="Samish River"/>
    <s v="Skagit"/>
    <x v="1"/>
    <s v="Other"/>
    <s v="20Other"/>
    <s v="07Non Puget Sound"/>
    <n v="232.10964912280701"/>
    <n v="798.45719298245615"/>
  </r>
  <r>
    <n v="3666"/>
    <x v="11"/>
    <x v="0"/>
    <x v="11"/>
    <s v="Freshwater"/>
    <s v="2Freshwater"/>
    <s v="Salmon"/>
    <n v="816"/>
    <s v="Samish River"/>
    <s v="Samish River"/>
    <s v="Skagit"/>
    <x v="1"/>
    <s v="Pierce"/>
    <s v="07Pierce"/>
    <s v="02South Puget Sound"/>
    <n v="81.921052631579002"/>
    <n v="281.80842105263179"/>
  </r>
  <r>
    <n v="3667"/>
    <x v="11"/>
    <x v="0"/>
    <x v="11"/>
    <s v="Freshwater"/>
    <s v="2Freshwater"/>
    <s v="Salmon"/>
    <n v="816"/>
    <s v="Samish River"/>
    <s v="Samish River"/>
    <s v="Skagit"/>
    <x v="1"/>
    <s v="Skagit"/>
    <s v="02Skagit"/>
    <s v="01North Puget Sound"/>
    <n v="709.98245614035102"/>
    <n v="2442.3396491228073"/>
  </r>
  <r>
    <n v="3668"/>
    <x v="11"/>
    <x v="0"/>
    <x v="11"/>
    <s v="Freshwater"/>
    <s v="2Freshwater"/>
    <s v="Salmon"/>
    <n v="816"/>
    <s v="Samish River"/>
    <s v="Samish River"/>
    <s v="Skagit"/>
    <x v="1"/>
    <s v="Snohomish"/>
    <s v="03Snohomish"/>
    <s v="01North Puget Sound"/>
    <n v="1419.9649122807"/>
    <n v="4884.6792982456082"/>
  </r>
  <r>
    <n v="3669"/>
    <x v="11"/>
    <x v="0"/>
    <x v="11"/>
    <s v="Freshwater"/>
    <s v="2Freshwater"/>
    <s v="Salmon"/>
    <n v="816"/>
    <s v="Samish River"/>
    <s v="Samish River"/>
    <s v="Skagit"/>
    <x v="1"/>
    <s v="Whatcom"/>
    <s v="01Whatcom"/>
    <s v="01North Puget Sound"/>
    <n v="218.45614035087701"/>
    <n v="751.48912280701688"/>
  </r>
  <r>
    <n v="3670"/>
    <x v="11"/>
    <x v="1"/>
    <x v="11"/>
    <s v="Freshwater"/>
    <s v="2Freshwater"/>
    <s v="Salmon"/>
    <n v="816"/>
    <s v="Samish River"/>
    <s v="Samish River"/>
    <s v="Skagit"/>
    <x v="1"/>
    <s v="Island"/>
    <s v="04Island"/>
    <s v="01North Puget Sound"/>
    <n v="446.17576791808898"/>
    <n v="1534.844641638226"/>
  </r>
  <r>
    <n v="3671"/>
    <x v="11"/>
    <x v="1"/>
    <x v="11"/>
    <s v="Freshwater"/>
    <s v="2Freshwater"/>
    <s v="Salmon"/>
    <n v="816"/>
    <s v="Samish River"/>
    <s v="Samish River"/>
    <s v="Skagit"/>
    <x v="1"/>
    <s v="King"/>
    <s v="06King"/>
    <s v="02South Puget Sound"/>
    <n v="757.14675767918095"/>
    <n v="2604.5848464163823"/>
  </r>
  <r>
    <n v="3672"/>
    <x v="11"/>
    <x v="1"/>
    <x v="11"/>
    <s v="Freshwater"/>
    <s v="2Freshwater"/>
    <s v="Salmon"/>
    <n v="816"/>
    <s v="Samish River"/>
    <s v="Samish River"/>
    <s v="Skagit"/>
    <x v="1"/>
    <s v="Other"/>
    <s v="20Other"/>
    <s v="07Non Puget Sound"/>
    <n v="567.86006825938603"/>
    <n v="1953.438634812288"/>
  </r>
  <r>
    <n v="3673"/>
    <x v="11"/>
    <x v="1"/>
    <x v="11"/>
    <s v="Freshwater"/>
    <s v="2Freshwater"/>
    <s v="Salmon"/>
    <n v="816"/>
    <s v="Samish River"/>
    <s v="Samish River"/>
    <s v="Skagit"/>
    <x v="1"/>
    <s v="Pierce"/>
    <s v="07Pierce"/>
    <s v="02South Puget Sound"/>
    <n v="175.76621160409599"/>
    <n v="604.63576791809021"/>
  </r>
  <r>
    <n v="3674"/>
    <x v="11"/>
    <x v="1"/>
    <x v="11"/>
    <s v="Freshwater"/>
    <s v="2Freshwater"/>
    <s v="Salmon"/>
    <n v="816"/>
    <s v="Samish River"/>
    <s v="Samish River"/>
    <s v="Skagit"/>
    <x v="1"/>
    <s v="Skagit"/>
    <s v="02Skagit"/>
    <s v="01North Puget Sound"/>
    <n v="1568.3754266211599"/>
    <n v="5395.2114675767898"/>
  </r>
  <r>
    <n v="3675"/>
    <x v="11"/>
    <x v="1"/>
    <x v="11"/>
    <s v="Freshwater"/>
    <s v="2Freshwater"/>
    <s v="Salmon"/>
    <n v="816"/>
    <s v="Samish River"/>
    <s v="Samish River"/>
    <s v="Skagit"/>
    <x v="1"/>
    <s v="Snohomish"/>
    <s v="03Snohomish"/>
    <s v="01North Puget Sound"/>
    <n v="3799.2542662116002"/>
    <n v="13069.434675767905"/>
  </r>
  <r>
    <n v="3676"/>
    <x v="11"/>
    <x v="1"/>
    <x v="11"/>
    <s v="Freshwater"/>
    <s v="2Freshwater"/>
    <s v="Salmon"/>
    <n v="816"/>
    <s v="Samish River"/>
    <s v="Samish River"/>
    <s v="Skagit"/>
    <x v="1"/>
    <s v="Whatcom"/>
    <s v="01Whatcom"/>
    <s v="01North Puget Sound"/>
    <n v="608.42150170648495"/>
    <n v="2092.969965870308"/>
  </r>
  <r>
    <n v="3677"/>
    <x v="11"/>
    <x v="2"/>
    <x v="11"/>
    <s v="Freshwater"/>
    <s v="2Freshwater"/>
    <s v="Salmon"/>
    <n v="816"/>
    <s v="Samish River"/>
    <s v="Samish River"/>
    <s v="Skagit"/>
    <x v="1"/>
    <s v="Skagit"/>
    <s v="02Skagit"/>
    <s v="01North Puget Sound"/>
    <n v="0"/>
    <n v="0"/>
  </r>
  <r>
    <n v="3678"/>
    <x v="11"/>
    <x v="3"/>
    <x v="11"/>
    <s v="Freshwater"/>
    <s v="2Freshwater"/>
    <s v="Salmon"/>
    <n v="816"/>
    <s v="Samish River"/>
    <s v="Samish River"/>
    <s v="Skagit"/>
    <x v="1"/>
    <s v="Pierce"/>
    <s v="07Pierce"/>
    <s v="02South Puget Sound"/>
    <n v="0"/>
    <n v="0"/>
  </r>
  <r>
    <n v="3679"/>
    <x v="11"/>
    <x v="5"/>
    <x v="11"/>
    <s v="Freshwater"/>
    <s v="2Freshwater"/>
    <s v="Salmon"/>
    <n v="825"/>
    <s v="Baker Lake"/>
    <s v="Baker Lake"/>
    <s v="Whatcom"/>
    <x v="1"/>
    <s v="Island"/>
    <s v="04Island"/>
    <s v="01North Puget Sound"/>
    <n v="436.10140845070401"/>
    <n v="1500.1888450704218"/>
  </r>
  <r>
    <n v="3680"/>
    <x v="11"/>
    <x v="5"/>
    <x v="11"/>
    <s v="Freshwater"/>
    <s v="2Freshwater"/>
    <s v="Salmon"/>
    <n v="825"/>
    <s v="Baker Lake"/>
    <s v="Baker Lake"/>
    <s v="Whatcom"/>
    <x v="1"/>
    <s v="King"/>
    <s v="06King"/>
    <s v="02South Puget Sound"/>
    <n v="504.242253521127"/>
    <n v="1734.5933521126769"/>
  </r>
  <r>
    <n v="3681"/>
    <x v="11"/>
    <x v="5"/>
    <x v="11"/>
    <s v="Freshwater"/>
    <s v="2Freshwater"/>
    <s v="Salmon"/>
    <n v="825"/>
    <s v="Baker Lake"/>
    <s v="Baker Lake"/>
    <s v="Whatcom"/>
    <x v="1"/>
    <s v="Other"/>
    <s v="20Other"/>
    <s v="07Non Puget Sound"/>
    <n v="476.98591549295799"/>
    <n v="1640.8315492957754"/>
  </r>
  <r>
    <n v="3682"/>
    <x v="11"/>
    <x v="5"/>
    <x v="11"/>
    <s v="Freshwater"/>
    <s v="2Freshwater"/>
    <s v="Salmon"/>
    <n v="825"/>
    <s v="Baker Lake"/>
    <s v="Baker Lake"/>
    <s v="Whatcom"/>
    <x v="1"/>
    <s v="Pierce"/>
    <s v="07Pierce"/>
    <s v="02South Puget Sound"/>
    <n v="27.256338028169001"/>
    <n v="93.761802816901366"/>
  </r>
  <r>
    <n v="3683"/>
    <x v="11"/>
    <x v="5"/>
    <x v="11"/>
    <s v="Freshwater"/>
    <s v="2Freshwater"/>
    <s v="Salmon"/>
    <n v="825"/>
    <s v="Baker Lake"/>
    <s v="Baker Lake"/>
    <s v="Whatcom"/>
    <x v="1"/>
    <s v="San Juan"/>
    <s v="05San Juan"/>
    <s v="01North Puget Sound"/>
    <n v="68.1408450704226"/>
    <n v="234.40450704225373"/>
  </r>
  <r>
    <n v="3684"/>
    <x v="11"/>
    <x v="5"/>
    <x v="11"/>
    <s v="Freshwater"/>
    <s v="2Freshwater"/>
    <s v="Salmon"/>
    <n v="825"/>
    <s v="Baker Lake"/>
    <s v="Baker Lake"/>
    <s v="Whatcom"/>
    <x v="1"/>
    <s v="Skagit"/>
    <s v="02Skagit"/>
    <s v="01North Puget Sound"/>
    <n v="1349.1887323943699"/>
    <n v="4641.2092394366327"/>
  </r>
  <r>
    <n v="3685"/>
    <x v="11"/>
    <x v="5"/>
    <x v="11"/>
    <s v="Freshwater"/>
    <s v="2Freshwater"/>
    <s v="Salmon"/>
    <n v="825"/>
    <s v="Baker Lake"/>
    <s v="Baker Lake"/>
    <s v="Whatcom"/>
    <x v="1"/>
    <s v="Snohomish"/>
    <s v="03Snohomish"/>
    <s v="01North Puget Sound"/>
    <n v="1417.32957746479"/>
    <n v="4875.6137464788771"/>
  </r>
  <r>
    <n v="3686"/>
    <x v="11"/>
    <x v="5"/>
    <x v="11"/>
    <s v="Freshwater"/>
    <s v="2Freshwater"/>
    <s v="Salmon"/>
    <n v="825"/>
    <s v="Baker Lake"/>
    <s v="Baker Lake"/>
    <s v="Whatcom"/>
    <x v="1"/>
    <s v="Whatcom"/>
    <s v="01Whatcom"/>
    <s v="01North Puget Sound"/>
    <n v="558.75492957746496"/>
    <n v="1922.1169577464796"/>
  </r>
  <r>
    <n v="3687"/>
    <x v="11"/>
    <x v="0"/>
    <x v="11"/>
    <s v="Freshwater"/>
    <s v="2Freshwater"/>
    <s v="Salmon"/>
    <n v="825"/>
    <s v="Baker Lake"/>
    <s v="Baker Lake"/>
    <s v="Whatcom"/>
    <x v="1"/>
    <s v="King"/>
    <s v="06King"/>
    <s v="02South Puget Sound"/>
    <n v="122.637362637363"/>
    <n v="421.8725274725287"/>
  </r>
  <r>
    <n v="3688"/>
    <x v="11"/>
    <x v="0"/>
    <x v="11"/>
    <s v="Freshwater"/>
    <s v="2Freshwater"/>
    <s v="Salmon"/>
    <n v="825"/>
    <s v="Baker Lake"/>
    <s v="Baker Lake"/>
    <s v="Whatcom"/>
    <x v="1"/>
    <s v="Other"/>
    <s v="20Other"/>
    <s v="07Non Puget Sound"/>
    <n v="27.252747252747302"/>
    <n v="93.749450549450714"/>
  </r>
  <r>
    <n v="3689"/>
    <x v="11"/>
    <x v="0"/>
    <x v="11"/>
    <s v="Freshwater"/>
    <s v="2Freshwater"/>
    <s v="Salmon"/>
    <n v="825"/>
    <s v="Baker Lake"/>
    <s v="Baker Lake"/>
    <s v="Whatcom"/>
    <x v="1"/>
    <s v="Pierce"/>
    <s v="07Pierce"/>
    <s v="02South Puget Sound"/>
    <n v="27.252747252747302"/>
    <n v="93.749450549450714"/>
  </r>
  <r>
    <n v="3690"/>
    <x v="11"/>
    <x v="0"/>
    <x v="11"/>
    <s v="Freshwater"/>
    <s v="2Freshwater"/>
    <s v="Salmon"/>
    <n v="825"/>
    <s v="Baker Lake"/>
    <s v="Baker Lake"/>
    <s v="Whatcom"/>
    <x v="1"/>
    <s v="Skagit"/>
    <s v="02Skagit"/>
    <s v="01North Puget Sound"/>
    <n v="749.45054945054903"/>
    <n v="2578.1098901098885"/>
  </r>
  <r>
    <n v="3691"/>
    <x v="11"/>
    <x v="0"/>
    <x v="11"/>
    <s v="Freshwater"/>
    <s v="2Freshwater"/>
    <s v="Salmon"/>
    <n v="825"/>
    <s v="Baker Lake"/>
    <s v="Baker Lake"/>
    <s v="Whatcom"/>
    <x v="1"/>
    <s v="Snohomish"/>
    <s v="03Snohomish"/>
    <s v="01North Puget Sound"/>
    <n v="218.02197802197799"/>
    <n v="749.99560439560423"/>
  </r>
  <r>
    <n v="3692"/>
    <x v="11"/>
    <x v="0"/>
    <x v="11"/>
    <s v="Freshwater"/>
    <s v="2Freshwater"/>
    <s v="Salmon"/>
    <n v="825"/>
    <s v="Baker Lake"/>
    <s v="Baker Lake"/>
    <s v="Whatcom"/>
    <x v="1"/>
    <s v="Thurston"/>
    <s v="08Thurston"/>
    <s v="02South Puget Sound"/>
    <n v="13.626373626373599"/>
    <n v="46.874725274725179"/>
  </r>
  <r>
    <n v="3693"/>
    <x v="11"/>
    <x v="0"/>
    <x v="11"/>
    <s v="Freshwater"/>
    <s v="2Freshwater"/>
    <s v="Salmon"/>
    <n v="825"/>
    <s v="Baker Lake"/>
    <s v="Baker Lake"/>
    <s v="Whatcom"/>
    <x v="1"/>
    <s v="Whatcom"/>
    <s v="01Whatcom"/>
    <s v="01North Puget Sound"/>
    <n v="81.758241758241795"/>
    <n v="281.24835164835179"/>
  </r>
  <r>
    <n v="3694"/>
    <x v="11"/>
    <x v="1"/>
    <x v="11"/>
    <s v="Freshwater"/>
    <s v="2Freshwater"/>
    <s v="Salmon"/>
    <n v="825"/>
    <s v="Baker Lake"/>
    <s v="Baker Lake"/>
    <s v="Whatcom"/>
    <x v="1"/>
    <s v="Skagit"/>
    <s v="02Skagit"/>
    <s v="01North Puget Sound"/>
    <n v="14"/>
    <n v="48.16"/>
  </r>
  <r>
    <n v="3695"/>
    <x v="11"/>
    <x v="7"/>
    <x v="11"/>
    <s v="Freshwater"/>
    <s v="2Freshwater"/>
    <s v="Salmon"/>
    <n v="826"/>
    <s v="Cascade River"/>
    <s v="Cascade River"/>
    <s v="Skagit"/>
    <x v="1"/>
    <s v="Snohomish"/>
    <s v="03Snohomish"/>
    <s v="01North Puget Sound"/>
    <n v="76"/>
    <n v="261.44"/>
  </r>
  <r>
    <n v="3696"/>
    <x v="11"/>
    <x v="1"/>
    <x v="11"/>
    <s v="Freshwater"/>
    <s v="2Freshwater"/>
    <s v="Salmon"/>
    <n v="826"/>
    <s v="Cascade River"/>
    <s v="Cascade River"/>
    <s v="Skagit"/>
    <x v="1"/>
    <s v="Island"/>
    <s v="04Island"/>
    <s v="01North Puget Sound"/>
    <n v="135.60975609756099"/>
    <n v="466.49756097560982"/>
  </r>
  <r>
    <n v="3697"/>
    <x v="11"/>
    <x v="1"/>
    <x v="11"/>
    <s v="Freshwater"/>
    <s v="2Freshwater"/>
    <s v="Salmon"/>
    <n v="826"/>
    <s v="Cascade River"/>
    <s v="Cascade River"/>
    <s v="Skagit"/>
    <x v="1"/>
    <s v="King"/>
    <s v="06King"/>
    <s v="02South Puget Sound"/>
    <n v="94.926829268292707"/>
    <n v="326.5482926829269"/>
  </r>
  <r>
    <n v="3698"/>
    <x v="11"/>
    <x v="1"/>
    <x v="11"/>
    <s v="Freshwater"/>
    <s v="2Freshwater"/>
    <s v="Salmon"/>
    <n v="826"/>
    <s v="Cascade River"/>
    <s v="Cascade River"/>
    <s v="Skagit"/>
    <x v="1"/>
    <s v="Skagit"/>
    <s v="02Skagit"/>
    <s v="01North Puget Sound"/>
    <n v="135.60975609756099"/>
    <n v="466.49756097560982"/>
  </r>
  <r>
    <n v="3699"/>
    <x v="11"/>
    <x v="1"/>
    <x v="11"/>
    <s v="Freshwater"/>
    <s v="2Freshwater"/>
    <s v="Salmon"/>
    <n v="826"/>
    <s v="Cascade River"/>
    <s v="Cascade River"/>
    <s v="Skagit"/>
    <x v="1"/>
    <s v="Snohomish"/>
    <s v="03Snohomish"/>
    <s v="01North Puget Sound"/>
    <n v="189.85365853658499"/>
    <n v="653.09658536585232"/>
  </r>
  <r>
    <n v="3700"/>
    <x v="11"/>
    <x v="2"/>
    <x v="11"/>
    <s v="Freshwater"/>
    <s v="2Freshwater"/>
    <s v="Salmon"/>
    <n v="826"/>
    <s v="Cascade River"/>
    <s v="Cascade River"/>
    <s v="Skagit"/>
    <x v="1"/>
    <s v="Island"/>
    <s v="04Island"/>
    <s v="01North Puget Sound"/>
    <n v="393.46354166666703"/>
    <n v="1353.5145833333345"/>
  </r>
  <r>
    <n v="3701"/>
    <x v="11"/>
    <x v="2"/>
    <x v="11"/>
    <s v="Freshwater"/>
    <s v="2Freshwater"/>
    <s v="Salmon"/>
    <n v="826"/>
    <s v="Cascade River"/>
    <s v="Cascade River"/>
    <s v="Skagit"/>
    <x v="1"/>
    <s v="King"/>
    <s v="06King"/>
    <s v="02South Puget Sound"/>
    <n v="298.48958333333297"/>
    <n v="1026.8041666666654"/>
  </r>
  <r>
    <n v="3702"/>
    <x v="11"/>
    <x v="2"/>
    <x v="11"/>
    <s v="Freshwater"/>
    <s v="2Freshwater"/>
    <s v="Salmon"/>
    <n v="826"/>
    <s v="Cascade River"/>
    <s v="Cascade River"/>
    <s v="Skagit"/>
    <x v="1"/>
    <s v="Other"/>
    <s v="20Other"/>
    <s v="07Non Puget Sound"/>
    <n v="325.625"/>
    <n v="1120.1500000000001"/>
  </r>
  <r>
    <n v="3703"/>
    <x v="11"/>
    <x v="2"/>
    <x v="11"/>
    <s v="Freshwater"/>
    <s v="2Freshwater"/>
    <s v="Salmon"/>
    <n v="826"/>
    <s v="Cascade River"/>
    <s v="Cascade River"/>
    <s v="Skagit"/>
    <x v="1"/>
    <s v="Skagit"/>
    <s v="02Skagit"/>
    <s v="01North Puget Sound"/>
    <n v="800.49479166666697"/>
    <n v="2753.7020833333345"/>
  </r>
  <r>
    <n v="3704"/>
    <x v="11"/>
    <x v="2"/>
    <x v="11"/>
    <s v="Freshwater"/>
    <s v="2Freshwater"/>
    <s v="Salmon"/>
    <n v="826"/>
    <s v="Cascade River"/>
    <s v="Cascade River"/>
    <s v="Skagit"/>
    <x v="1"/>
    <s v="Snohomish"/>
    <s v="03Snohomish"/>
    <s v="01North Puget Sound"/>
    <n v="624.11458333333303"/>
    <n v="2146.9541666666655"/>
  </r>
  <r>
    <n v="3705"/>
    <x v="11"/>
    <x v="2"/>
    <x v="11"/>
    <s v="Freshwater"/>
    <s v="2Freshwater"/>
    <s v="Salmon"/>
    <n v="826"/>
    <s v="Cascade River"/>
    <s v="Cascade River"/>
    <s v="Skagit"/>
    <x v="1"/>
    <s v="Whatcom"/>
    <s v="01Whatcom"/>
    <s v="01North Puget Sound"/>
    <n v="162.8125"/>
    <n v="560.07500000000005"/>
  </r>
  <r>
    <n v="3706"/>
    <x v="11"/>
    <x v="3"/>
    <x v="11"/>
    <s v="Freshwater"/>
    <s v="2Freshwater"/>
    <s v="Salmon"/>
    <n v="826"/>
    <s v="Cascade River"/>
    <s v="Cascade River"/>
    <s v="Skagit"/>
    <x v="1"/>
    <s v="Snohomish"/>
    <s v="03Snohomish"/>
    <s v="01North Puget Sound"/>
    <n v="13.5"/>
    <n v="46.44"/>
  </r>
  <r>
    <n v="3707"/>
    <x v="11"/>
    <x v="3"/>
    <x v="11"/>
    <s v="Freshwater"/>
    <s v="2Freshwater"/>
    <s v="Salmon"/>
    <n v="826"/>
    <s v="Cascade River"/>
    <s v="Cascade River"/>
    <s v="Skagit"/>
    <x v="1"/>
    <s v="Whatcom"/>
    <s v="01Whatcom"/>
    <s v="01North Puget Sound"/>
    <n v="13.5"/>
    <n v="46.44"/>
  </r>
  <r>
    <n v="3708"/>
    <x v="11"/>
    <x v="7"/>
    <x v="11"/>
    <s v="Freshwater"/>
    <s v="2Freshwater"/>
    <s v="Salmon"/>
    <n v="830"/>
    <s v="Skagit River"/>
    <s v="Skagit River"/>
    <s v="Skagit/Whatcom"/>
    <x v="4"/>
    <s v="Skagit"/>
    <s v="02Skagit"/>
    <s v="01North Puget Sound"/>
    <n v="57"/>
    <n v="196.07999999999998"/>
  </r>
  <r>
    <n v="3709"/>
    <x v="11"/>
    <x v="5"/>
    <x v="11"/>
    <s v="Freshwater"/>
    <s v="2Freshwater"/>
    <s v="Salmon"/>
    <n v="830"/>
    <s v="Skagit River"/>
    <s v="Skagit River"/>
    <s v="Skagit/Whatcom"/>
    <x v="4"/>
    <s v="Skagit"/>
    <s v="02Skagit"/>
    <s v="01North Puget Sound"/>
    <n v="0"/>
    <n v="0"/>
  </r>
  <r>
    <n v="3710"/>
    <x v="11"/>
    <x v="5"/>
    <x v="11"/>
    <s v="Freshwater"/>
    <s v="2Freshwater"/>
    <s v="Salmon"/>
    <n v="830"/>
    <s v="Skagit River"/>
    <s v="Skagit River"/>
    <s v="Skagit/Whatcom"/>
    <x v="4"/>
    <s v="Snohomish"/>
    <s v="03Snohomish"/>
    <s v="01North Puget Sound"/>
    <n v="0"/>
    <n v="0"/>
  </r>
  <r>
    <n v="3711"/>
    <x v="11"/>
    <x v="5"/>
    <x v="11"/>
    <s v="Freshwater"/>
    <s v="2Freshwater"/>
    <s v="Salmon"/>
    <n v="830"/>
    <s v="Skagit River"/>
    <s v="Skagit River"/>
    <s v="Skagit/Whatcom"/>
    <x v="4"/>
    <s v="Whatcom"/>
    <s v="01Whatcom"/>
    <s v="01North Puget Sound"/>
    <n v="0"/>
    <n v="0"/>
  </r>
  <r>
    <n v="3712"/>
    <x v="11"/>
    <x v="0"/>
    <x v="11"/>
    <s v="Freshwater"/>
    <s v="2Freshwater"/>
    <s v="Salmon"/>
    <n v="830"/>
    <s v="Skagit River"/>
    <s v="Skagit River"/>
    <s v="Skagit/Whatcom"/>
    <x v="4"/>
    <s v="Island"/>
    <s v="04Island"/>
    <s v="01North Puget Sound"/>
    <n v="282.83703071672397"/>
    <n v="972.95938566553048"/>
  </r>
  <r>
    <n v="3713"/>
    <x v="11"/>
    <x v="0"/>
    <x v="11"/>
    <s v="Freshwater"/>
    <s v="2Freshwater"/>
    <s v="Salmon"/>
    <n v="830"/>
    <s v="Skagit River"/>
    <s v="Skagit River"/>
    <s v="Skagit/Whatcom"/>
    <x v="4"/>
    <s v="King"/>
    <s v="06King"/>
    <s v="02South Puget Sound"/>
    <n v="205.699658703072"/>
    <n v="707.60682593856768"/>
  </r>
  <r>
    <n v="3714"/>
    <x v="11"/>
    <x v="0"/>
    <x v="11"/>
    <s v="Freshwater"/>
    <s v="2Freshwater"/>
    <s v="Salmon"/>
    <n v="830"/>
    <s v="Skagit River"/>
    <s v="Skagit River"/>
    <s v="Skagit/Whatcom"/>
    <x v="4"/>
    <s v="Kitsap"/>
    <s v="10Kitsap"/>
    <s v="02South Puget Sound"/>
    <n v="68.566552901023897"/>
    <n v="235.86894197952219"/>
  </r>
  <r>
    <n v="3715"/>
    <x v="11"/>
    <x v="0"/>
    <x v="11"/>
    <s v="Freshwater"/>
    <s v="2Freshwater"/>
    <s v="Salmon"/>
    <n v="830"/>
    <s v="Skagit River"/>
    <s v="Skagit River"/>
    <s v="Skagit/Whatcom"/>
    <x v="4"/>
    <s v="Other"/>
    <s v="20Other"/>
    <s v="07Non Puget Sound"/>
    <n v="814.227815699659"/>
    <n v="2800.9436860068267"/>
  </r>
  <r>
    <n v="3716"/>
    <x v="11"/>
    <x v="0"/>
    <x v="11"/>
    <s v="Freshwater"/>
    <s v="2Freshwater"/>
    <s v="Salmon"/>
    <n v="830"/>
    <s v="Skagit River"/>
    <s v="Skagit River"/>
    <s v="Skagit/Whatcom"/>
    <x v="4"/>
    <s v="Pierce"/>
    <s v="07Pierce"/>
    <s v="02South Puget Sound"/>
    <n v="34.283276450511998"/>
    <n v="117.93447098976127"/>
  </r>
  <r>
    <n v="3717"/>
    <x v="11"/>
    <x v="0"/>
    <x v="11"/>
    <s v="Freshwater"/>
    <s v="2Freshwater"/>
    <s v="Salmon"/>
    <n v="830"/>
    <s v="Skagit River"/>
    <s v="Skagit River"/>
    <s v="Skagit/Whatcom"/>
    <x v="4"/>
    <s v="Skagit"/>
    <s v="02Skagit"/>
    <s v="01North Puget Sound"/>
    <n v="5391.045221843"/>
    <n v="18545.195563139921"/>
  </r>
  <r>
    <n v="3718"/>
    <x v="11"/>
    <x v="0"/>
    <x v="11"/>
    <s v="Freshwater"/>
    <s v="2Freshwater"/>
    <s v="Salmon"/>
    <n v="830"/>
    <s v="Skagit River"/>
    <s v="Skagit River"/>
    <s v="Skagit/Whatcom"/>
    <x v="4"/>
    <s v="Snohomish"/>
    <s v="03Snohomish"/>
    <s v="01North Puget Sound"/>
    <n v="1568.4598976109201"/>
    <n v="5395.5020477815651"/>
  </r>
  <r>
    <n v="3719"/>
    <x v="11"/>
    <x v="0"/>
    <x v="11"/>
    <s v="Freshwater"/>
    <s v="2Freshwater"/>
    <s v="Salmon"/>
    <n v="830"/>
    <s v="Skagit River"/>
    <s v="Skagit River"/>
    <s v="Skagit/Whatcom"/>
    <x v="4"/>
    <s v="Thurston"/>
    <s v="08Thurston"/>
    <s v="02South Puget Sound"/>
    <n v="51.424914675767901"/>
    <n v="176.90170648464158"/>
  </r>
  <r>
    <n v="3720"/>
    <x v="11"/>
    <x v="0"/>
    <x v="11"/>
    <s v="Freshwater"/>
    <s v="2Freshwater"/>
    <s v="Salmon"/>
    <n v="830"/>
    <s v="Skagit River"/>
    <s v="Skagit River"/>
    <s v="Skagit/Whatcom"/>
    <x v="4"/>
    <s v="Whatcom"/>
    <s v="01Whatcom"/>
    <s v="01North Puget Sound"/>
    <n v="1628.4556313993201"/>
    <n v="5601.8873720136608"/>
  </r>
  <r>
    <n v="3721"/>
    <x v="11"/>
    <x v="1"/>
    <x v="11"/>
    <s v="Freshwater"/>
    <s v="2Freshwater"/>
    <s v="Salmon"/>
    <n v="830"/>
    <s v="Skagit River"/>
    <s v="Skagit River"/>
    <s v="Skagit/Whatcom"/>
    <x v="4"/>
    <s v="Island"/>
    <s v="04Island"/>
    <s v="01North Puget Sound"/>
    <n v="1349.57345971564"/>
    <n v="4642.532701421801"/>
  </r>
  <r>
    <n v="3722"/>
    <x v="11"/>
    <x v="1"/>
    <x v="11"/>
    <s v="Freshwater"/>
    <s v="2Freshwater"/>
    <s v="Salmon"/>
    <n v="830"/>
    <s v="Skagit River"/>
    <s v="Skagit River"/>
    <s v="Skagit/Whatcom"/>
    <x v="4"/>
    <s v="King"/>
    <s v="06King"/>
    <s v="02South Puget Sound"/>
    <n v="2144.3222748815201"/>
    <n v="7376.4686255924289"/>
  </r>
  <r>
    <n v="3723"/>
    <x v="11"/>
    <x v="1"/>
    <x v="11"/>
    <s v="Freshwater"/>
    <s v="2Freshwater"/>
    <s v="Salmon"/>
    <n v="830"/>
    <s v="Skagit River"/>
    <s v="Skagit River"/>
    <s v="Skagit/Whatcom"/>
    <x v="4"/>
    <s v="Kitsap"/>
    <s v="10Kitsap"/>
    <s v="02South Puget Sound"/>
    <n v="89.971563981042706"/>
    <n v="309.50218009478692"/>
  </r>
  <r>
    <n v="3724"/>
    <x v="11"/>
    <x v="1"/>
    <x v="11"/>
    <s v="Freshwater"/>
    <s v="2Freshwater"/>
    <s v="Salmon"/>
    <n v="830"/>
    <s v="Skagit River"/>
    <s v="Skagit River"/>
    <s v="Skagit/Whatcom"/>
    <x v="4"/>
    <s v="Other"/>
    <s v="20Other"/>
    <s v="07Non Puget Sound"/>
    <n v="2879.0900473933698"/>
    <n v="9904.0697630331924"/>
  </r>
  <r>
    <n v="3725"/>
    <x v="11"/>
    <x v="1"/>
    <x v="11"/>
    <s v="Freshwater"/>
    <s v="2Freshwater"/>
    <s v="Salmon"/>
    <n v="830"/>
    <s v="Skagit River"/>
    <s v="Skagit River"/>
    <s v="Skagit/Whatcom"/>
    <x v="4"/>
    <s v="Pierce"/>
    <s v="07Pierce"/>
    <s v="02South Puget Sound"/>
    <n v="239.924170616114"/>
    <n v="825.3391469194321"/>
  </r>
  <r>
    <n v="3726"/>
    <x v="11"/>
    <x v="1"/>
    <x v="11"/>
    <s v="Freshwater"/>
    <s v="2Freshwater"/>
    <s v="Salmon"/>
    <n v="830"/>
    <s v="Skagit River"/>
    <s v="Skagit River"/>
    <s v="Skagit/Whatcom"/>
    <x v="4"/>
    <s v="San Juan"/>
    <s v="05San Juan"/>
    <s v="01North Puget Sound"/>
    <n v="29.9905213270142"/>
    <n v="103.16739336492884"/>
  </r>
  <r>
    <n v="3727"/>
    <x v="11"/>
    <x v="1"/>
    <x v="11"/>
    <s v="Freshwater"/>
    <s v="2Freshwater"/>
    <s v="Salmon"/>
    <n v="830"/>
    <s v="Skagit River"/>
    <s v="Skagit River"/>
    <s v="Skagit/Whatcom"/>
    <x v="4"/>
    <s v="Skagit"/>
    <s v="02Skagit"/>
    <s v="01North Puget Sound"/>
    <n v="18294.2180094787"/>
    <n v="62932.109952606726"/>
  </r>
  <r>
    <n v="3728"/>
    <x v="11"/>
    <x v="1"/>
    <x v="11"/>
    <s v="Freshwater"/>
    <s v="2Freshwater"/>
    <s v="Salmon"/>
    <n v="830"/>
    <s v="Skagit River"/>
    <s v="Skagit River"/>
    <s v="Skagit/Whatcom"/>
    <x v="4"/>
    <s v="Snohomish"/>
    <s v="03Snohomish"/>
    <s v="01North Puget Sound"/>
    <n v="5788.1706161137399"/>
    <n v="19911.306919431267"/>
  </r>
  <r>
    <n v="3729"/>
    <x v="11"/>
    <x v="1"/>
    <x v="11"/>
    <s v="Freshwater"/>
    <s v="2Freshwater"/>
    <s v="Salmon"/>
    <n v="830"/>
    <s v="Skagit River"/>
    <s v="Skagit River"/>
    <s v="Skagit/Whatcom"/>
    <x v="4"/>
    <s v="Thurston"/>
    <s v="08Thurston"/>
    <s v="02South Puget Sound"/>
    <n v="239.924170616114"/>
    <n v="825.3391469194321"/>
  </r>
  <r>
    <n v="3730"/>
    <x v="11"/>
    <x v="1"/>
    <x v="11"/>
    <s v="Freshwater"/>
    <s v="2Freshwater"/>
    <s v="Salmon"/>
    <n v="830"/>
    <s v="Skagit River"/>
    <s v="Skagit River"/>
    <s v="Skagit/Whatcom"/>
    <x v="4"/>
    <s v="Whatcom"/>
    <s v="01Whatcom"/>
    <s v="01North Puget Sound"/>
    <n v="6912.8151658767802"/>
    <n v="23780.084170616123"/>
  </r>
  <r>
    <n v="3731"/>
    <x v="11"/>
    <x v="2"/>
    <x v="11"/>
    <s v="Freshwater"/>
    <s v="2Freshwater"/>
    <s v="Salmon"/>
    <n v="830"/>
    <s v="Skagit River"/>
    <s v="Skagit River"/>
    <s v="Skagit/Whatcom"/>
    <x v="4"/>
    <s v="Island"/>
    <s v="04Island"/>
    <s v="01North Puget Sound"/>
    <n v="252.55813953488399"/>
    <n v="868.80000000000086"/>
  </r>
  <r>
    <n v="3732"/>
    <x v="11"/>
    <x v="2"/>
    <x v="11"/>
    <s v="Freshwater"/>
    <s v="2Freshwater"/>
    <s v="Salmon"/>
    <n v="830"/>
    <s v="Skagit River"/>
    <s v="Skagit River"/>
    <s v="Skagit/Whatcom"/>
    <x v="4"/>
    <s v="King"/>
    <s v="06King"/>
    <s v="02South Puget Sound"/>
    <n v="463.02325581395399"/>
    <n v="1592.8000000000018"/>
  </r>
  <r>
    <n v="3733"/>
    <x v="11"/>
    <x v="2"/>
    <x v="11"/>
    <s v="Freshwater"/>
    <s v="2Freshwater"/>
    <s v="Salmon"/>
    <n v="830"/>
    <s v="Skagit River"/>
    <s v="Skagit River"/>
    <s v="Skagit/Whatcom"/>
    <x v="4"/>
    <s v="Other"/>
    <s v="20Other"/>
    <s v="07Non Puget Sound"/>
    <n v="231.511627906977"/>
    <n v="796.40000000000089"/>
  </r>
  <r>
    <n v="3734"/>
    <x v="11"/>
    <x v="2"/>
    <x v="11"/>
    <s v="Freshwater"/>
    <s v="2Freshwater"/>
    <s v="Salmon"/>
    <n v="830"/>
    <s v="Skagit River"/>
    <s v="Skagit River"/>
    <s v="Skagit/Whatcom"/>
    <x v="4"/>
    <s v="Pierce"/>
    <s v="07Pierce"/>
    <s v="02South Puget Sound"/>
    <n v="63.139534883720899"/>
    <n v="217.19999999999987"/>
  </r>
  <r>
    <n v="3735"/>
    <x v="11"/>
    <x v="2"/>
    <x v="11"/>
    <s v="Freshwater"/>
    <s v="2Freshwater"/>
    <s v="Salmon"/>
    <n v="830"/>
    <s v="Skagit River"/>
    <s v="Skagit River"/>
    <s v="Skagit/Whatcom"/>
    <x v="4"/>
    <s v="Skagit"/>
    <s v="02Skagit"/>
    <s v="01North Puget Sound"/>
    <n v="2715"/>
    <n v="9339.6"/>
  </r>
  <r>
    <n v="3736"/>
    <x v="11"/>
    <x v="2"/>
    <x v="11"/>
    <s v="Freshwater"/>
    <s v="2Freshwater"/>
    <s v="Salmon"/>
    <n v="830"/>
    <s v="Skagit River"/>
    <s v="Skagit River"/>
    <s v="Skagit/Whatcom"/>
    <x v="4"/>
    <s v="Snohomish"/>
    <s v="03Snohomish"/>
    <s v="01North Puget Sound"/>
    <n v="705.05813953488405"/>
    <n v="2425.400000000001"/>
  </r>
  <r>
    <n v="3737"/>
    <x v="11"/>
    <x v="2"/>
    <x v="11"/>
    <s v="Freshwater"/>
    <s v="2Freshwater"/>
    <s v="Salmon"/>
    <n v="830"/>
    <s v="Skagit River"/>
    <s v="Skagit River"/>
    <s v="Skagit/Whatcom"/>
    <x v="4"/>
    <s v="Whatcom"/>
    <s v="01Whatcom"/>
    <s v="01North Puget Sound"/>
    <n v="999.70930232558203"/>
    <n v="3439.0000000000023"/>
  </r>
  <r>
    <n v="3738"/>
    <x v="11"/>
    <x v="3"/>
    <x v="11"/>
    <s v="Freshwater"/>
    <s v="2Freshwater"/>
    <s v="Salmon"/>
    <n v="830"/>
    <s v="Skagit River"/>
    <s v="Skagit River"/>
    <s v="Skagit/Whatcom"/>
    <x v="4"/>
    <s v="Island"/>
    <s v="04Island"/>
    <s v="01North Puget Sound"/>
    <n v="22.9"/>
    <n v="78.775999999999996"/>
  </r>
  <r>
    <n v="3739"/>
    <x v="11"/>
    <x v="3"/>
    <x v="11"/>
    <s v="Freshwater"/>
    <s v="2Freshwater"/>
    <s v="Salmon"/>
    <n v="830"/>
    <s v="Skagit River"/>
    <s v="Skagit River"/>
    <s v="Skagit/Whatcom"/>
    <x v="4"/>
    <s v="King"/>
    <s v="06King"/>
    <s v="02South Puget Sound"/>
    <n v="30.533333333333299"/>
    <n v="105.03466666666655"/>
  </r>
  <r>
    <n v="3740"/>
    <x v="11"/>
    <x v="3"/>
    <x v="11"/>
    <s v="Freshwater"/>
    <s v="2Freshwater"/>
    <s v="Salmon"/>
    <n v="830"/>
    <s v="Skagit River"/>
    <s v="Skagit River"/>
    <s v="Skagit/Whatcom"/>
    <x v="4"/>
    <s v="Other"/>
    <s v="20Other"/>
    <s v="07Non Puget Sound"/>
    <n v="7.6333333333333302"/>
    <n v="26.258666666666656"/>
  </r>
  <r>
    <n v="3741"/>
    <x v="11"/>
    <x v="3"/>
    <x v="11"/>
    <s v="Freshwater"/>
    <s v="2Freshwater"/>
    <s v="Salmon"/>
    <n v="830"/>
    <s v="Skagit River"/>
    <s v="Skagit River"/>
    <s v="Skagit/Whatcom"/>
    <x v="4"/>
    <s v="Skagit"/>
    <s v="02Skagit"/>
    <s v="01North Puget Sound"/>
    <n v="91.6"/>
    <n v="315.10399999999998"/>
  </r>
  <r>
    <n v="3742"/>
    <x v="11"/>
    <x v="3"/>
    <x v="11"/>
    <s v="Freshwater"/>
    <s v="2Freshwater"/>
    <s v="Salmon"/>
    <n v="830"/>
    <s v="Skagit River"/>
    <s v="Skagit River"/>
    <s v="Skagit/Whatcom"/>
    <x v="4"/>
    <s v="Snohomish"/>
    <s v="03Snohomish"/>
    <s v="01North Puget Sound"/>
    <n v="15.266666666666699"/>
    <n v="52.517333333333447"/>
  </r>
  <r>
    <n v="3743"/>
    <x v="11"/>
    <x v="3"/>
    <x v="11"/>
    <s v="Freshwater"/>
    <s v="2Freshwater"/>
    <s v="Salmon"/>
    <n v="830"/>
    <s v="Skagit River"/>
    <s v="Skagit River"/>
    <s v="Skagit/Whatcom"/>
    <x v="4"/>
    <s v="Whatcom"/>
    <s v="01Whatcom"/>
    <s v="01North Puget Sound"/>
    <n v="61.066666666666698"/>
    <n v="210.06933333333345"/>
  </r>
  <r>
    <n v="3744"/>
    <x v="11"/>
    <x v="4"/>
    <x v="11"/>
    <s v="Freshwater"/>
    <s v="2Freshwater"/>
    <s v="Salmon"/>
    <n v="830"/>
    <s v="Skagit River"/>
    <s v="Skagit River"/>
    <s v="Skagit/Whatcom"/>
    <x v="4"/>
    <s v="King"/>
    <s v="06King"/>
    <s v="02South Puget Sound"/>
    <n v="199.2"/>
    <n v="685.24799999999993"/>
  </r>
  <r>
    <n v="3745"/>
    <x v="11"/>
    <x v="4"/>
    <x v="11"/>
    <s v="Freshwater"/>
    <s v="2Freshwater"/>
    <s v="Salmon"/>
    <n v="830"/>
    <s v="Skagit River"/>
    <s v="Skagit River"/>
    <s v="Skagit/Whatcom"/>
    <x v="4"/>
    <s v="Snohomish"/>
    <s v="03Snohomish"/>
    <s v="01North Puget Sound"/>
    <n v="66.400000000000006"/>
    <n v="228.41600000000003"/>
  </r>
  <r>
    <n v="3746"/>
    <x v="11"/>
    <x v="4"/>
    <x v="11"/>
    <s v="Freshwater"/>
    <s v="2Freshwater"/>
    <s v="Salmon"/>
    <n v="830"/>
    <s v="Skagit River"/>
    <s v="Skagit River"/>
    <s v="Skagit/Whatcom"/>
    <x v="4"/>
    <s v="Whatcom"/>
    <s v="01Whatcom"/>
    <s v="01North Puget Sound"/>
    <n v="66.400000000000006"/>
    <n v="228.41600000000003"/>
  </r>
  <r>
    <n v="3747"/>
    <x v="11"/>
    <x v="2"/>
    <x v="11"/>
    <s v="Freshwater"/>
    <s v="2Freshwater"/>
    <s v="Salmon"/>
    <n v="834"/>
    <s v="Skokomish River"/>
    <s v="Skokomish River"/>
    <s v="Mason"/>
    <x v="2"/>
    <s v="Thurston"/>
    <s v="08Thurston"/>
    <s v="02South Puget Sound"/>
    <n v="1"/>
    <n v="3.44"/>
  </r>
  <r>
    <n v="3748"/>
    <x v="11"/>
    <x v="9"/>
    <x v="11"/>
    <s v="Freshwater"/>
    <s v="2Freshwater"/>
    <s v="Salmon"/>
    <n v="844"/>
    <s v="Skykomish River"/>
    <s v="Skykomish River"/>
    <s v="Snohomish"/>
    <x v="4"/>
    <s v="King"/>
    <s v="06King"/>
    <s v="02South Puget Sound"/>
    <n v="13.5"/>
    <n v="46.44"/>
  </r>
  <r>
    <n v="3749"/>
    <x v="11"/>
    <x v="9"/>
    <x v="11"/>
    <s v="Freshwater"/>
    <s v="2Freshwater"/>
    <s v="Salmon"/>
    <n v="844"/>
    <s v="Skykomish River"/>
    <s v="Skykomish River"/>
    <s v="Snohomish"/>
    <x v="4"/>
    <s v="Snohomish"/>
    <s v="03Snohomish"/>
    <s v="01North Puget Sound"/>
    <n v="13.5"/>
    <n v="46.44"/>
  </r>
  <r>
    <n v="3750"/>
    <x v="11"/>
    <x v="7"/>
    <x v="11"/>
    <s v="Freshwater"/>
    <s v="2Freshwater"/>
    <s v="Salmon"/>
    <n v="844"/>
    <s v="Skykomish River"/>
    <s v="Skykomish River"/>
    <s v="Snohomish"/>
    <x v="4"/>
    <s v="Clallam"/>
    <s v="11Clallam"/>
    <s v="03Strait of Juan de Fuca"/>
    <n v="35.133333333333297"/>
    <n v="120.85866666666654"/>
  </r>
  <r>
    <n v="3751"/>
    <x v="11"/>
    <x v="7"/>
    <x v="11"/>
    <s v="Freshwater"/>
    <s v="2Freshwater"/>
    <s v="Salmon"/>
    <n v="844"/>
    <s v="Skykomish River"/>
    <s v="Skykomish River"/>
    <s v="Snohomish"/>
    <x v="4"/>
    <s v="Island"/>
    <s v="04Island"/>
    <s v="01North Puget Sound"/>
    <n v="35.133333333333297"/>
    <n v="120.85866666666654"/>
  </r>
  <r>
    <n v="3752"/>
    <x v="11"/>
    <x v="7"/>
    <x v="11"/>
    <s v="Freshwater"/>
    <s v="2Freshwater"/>
    <s v="Salmon"/>
    <n v="844"/>
    <s v="Skykomish River"/>
    <s v="Skykomish River"/>
    <s v="Snohomish"/>
    <x v="4"/>
    <s v="King"/>
    <s v="06King"/>
    <s v="02South Puget Sound"/>
    <n v="210.8"/>
    <n v="725.15200000000004"/>
  </r>
  <r>
    <n v="3753"/>
    <x v="11"/>
    <x v="7"/>
    <x v="11"/>
    <s v="Freshwater"/>
    <s v="2Freshwater"/>
    <s v="Salmon"/>
    <n v="844"/>
    <s v="Skykomish River"/>
    <s v="Skykomish River"/>
    <s v="Snohomish"/>
    <x v="4"/>
    <s v="Pierce"/>
    <s v="07Pierce"/>
    <s v="02South Puget Sound"/>
    <n v="70.266666666666694"/>
    <n v="241.71733333333341"/>
  </r>
  <r>
    <n v="3754"/>
    <x v="11"/>
    <x v="7"/>
    <x v="11"/>
    <s v="Freshwater"/>
    <s v="2Freshwater"/>
    <s v="Salmon"/>
    <n v="844"/>
    <s v="Skykomish River"/>
    <s v="Skykomish River"/>
    <s v="Snohomish"/>
    <x v="4"/>
    <s v="Snohomish"/>
    <s v="03Snohomish"/>
    <s v="01North Puget Sound"/>
    <n v="175.666666666667"/>
    <n v="604.29333333333443"/>
  </r>
  <r>
    <n v="3755"/>
    <x v="11"/>
    <x v="5"/>
    <x v="11"/>
    <s v="Freshwater"/>
    <s v="2Freshwater"/>
    <s v="Salmon"/>
    <n v="844"/>
    <s v="Skykomish River"/>
    <s v="Skykomish River"/>
    <s v="Snohomish"/>
    <x v="4"/>
    <s v="King"/>
    <s v="06King"/>
    <s v="02South Puget Sound"/>
    <n v="179.35135135135101"/>
    <n v="616.96864864864745"/>
  </r>
  <r>
    <n v="3756"/>
    <x v="11"/>
    <x v="5"/>
    <x v="11"/>
    <s v="Freshwater"/>
    <s v="2Freshwater"/>
    <s v="Salmon"/>
    <n v="844"/>
    <s v="Skykomish River"/>
    <s v="Skykomish River"/>
    <s v="Snohomish"/>
    <x v="4"/>
    <s v="Other"/>
    <s v="20Other"/>
    <s v="07Non Puget Sound"/>
    <n v="44.837837837837803"/>
    <n v="154.24216216216203"/>
  </r>
  <r>
    <n v="3757"/>
    <x v="11"/>
    <x v="5"/>
    <x v="11"/>
    <s v="Freshwater"/>
    <s v="2Freshwater"/>
    <s v="Salmon"/>
    <n v="844"/>
    <s v="Skykomish River"/>
    <s v="Skykomish River"/>
    <s v="Snohomish"/>
    <x v="4"/>
    <s v="Pierce"/>
    <s v="07Pierce"/>
    <s v="02South Puget Sound"/>
    <n v="14.945945945946001"/>
    <n v="51.41405405405424"/>
  </r>
  <r>
    <n v="3758"/>
    <x v="11"/>
    <x v="5"/>
    <x v="11"/>
    <s v="Freshwater"/>
    <s v="2Freshwater"/>
    <s v="Salmon"/>
    <n v="844"/>
    <s v="Skykomish River"/>
    <s v="Skykomish River"/>
    <s v="Snohomish"/>
    <x v="4"/>
    <s v="Snohomish"/>
    <s v="03Snohomish"/>
    <s v="01North Puget Sound"/>
    <n v="283.97297297297303"/>
    <n v="976.86702702702723"/>
  </r>
  <r>
    <n v="3759"/>
    <x v="11"/>
    <x v="5"/>
    <x v="11"/>
    <s v="Freshwater"/>
    <s v="2Freshwater"/>
    <s v="Salmon"/>
    <n v="844"/>
    <s v="Skykomish River"/>
    <s v="Skykomish River"/>
    <s v="Snohomish"/>
    <x v="4"/>
    <s v="Thurston"/>
    <s v="08Thurston"/>
    <s v="02South Puget Sound"/>
    <n v="29.891891891891898"/>
    <n v="102.82810810810813"/>
  </r>
  <r>
    <n v="3760"/>
    <x v="11"/>
    <x v="0"/>
    <x v="11"/>
    <s v="Freshwater"/>
    <s v="2Freshwater"/>
    <s v="Salmon"/>
    <n v="844"/>
    <s v="Skykomish River"/>
    <s v="Skykomish River"/>
    <s v="Snohomish"/>
    <x v="4"/>
    <s v="Island"/>
    <s v="04Island"/>
    <s v="01North Puget Sound"/>
    <n v="81.785714285714306"/>
    <n v="281.34285714285721"/>
  </r>
  <r>
    <n v="3761"/>
    <x v="11"/>
    <x v="0"/>
    <x v="11"/>
    <s v="Freshwater"/>
    <s v="2Freshwater"/>
    <s v="Salmon"/>
    <n v="844"/>
    <s v="Skykomish River"/>
    <s v="Skykomish River"/>
    <s v="Snohomish"/>
    <x v="4"/>
    <s v="King"/>
    <s v="06King"/>
    <s v="02South Puget Sound"/>
    <n v="49.071428571428598"/>
    <n v="168.80571428571437"/>
  </r>
  <r>
    <n v="3762"/>
    <x v="11"/>
    <x v="0"/>
    <x v="11"/>
    <s v="Freshwater"/>
    <s v="2Freshwater"/>
    <s v="Salmon"/>
    <n v="844"/>
    <s v="Skykomish River"/>
    <s v="Skykomish River"/>
    <s v="Snohomish"/>
    <x v="4"/>
    <s v="Snohomish"/>
    <s v="03Snohomish"/>
    <s v="01North Puget Sound"/>
    <n v="98.142857142857196"/>
    <n v="337.61142857142875"/>
  </r>
  <r>
    <n v="3763"/>
    <x v="11"/>
    <x v="1"/>
    <x v="11"/>
    <s v="Freshwater"/>
    <s v="2Freshwater"/>
    <s v="Salmon"/>
    <n v="844"/>
    <s v="Skykomish River"/>
    <s v="Skykomish River"/>
    <s v="Snohomish"/>
    <x v="4"/>
    <s v="Island"/>
    <s v="04Island"/>
    <s v="01North Puget Sound"/>
    <n v="38.278145695364302"/>
    <n v="131.67682119205318"/>
  </r>
  <r>
    <n v="3764"/>
    <x v="11"/>
    <x v="1"/>
    <x v="11"/>
    <s v="Freshwater"/>
    <s v="2Freshwater"/>
    <s v="Salmon"/>
    <n v="844"/>
    <s v="Skykomish River"/>
    <s v="Skykomish River"/>
    <s v="Snohomish"/>
    <x v="4"/>
    <s v="King"/>
    <s v="06King"/>
    <s v="02South Puget Sound"/>
    <n v="558.86092715231803"/>
    <n v="1922.4815894039739"/>
  </r>
  <r>
    <n v="3765"/>
    <x v="11"/>
    <x v="1"/>
    <x v="11"/>
    <s v="Freshwater"/>
    <s v="2Freshwater"/>
    <s v="Salmon"/>
    <n v="844"/>
    <s v="Skykomish River"/>
    <s v="Skykomish River"/>
    <s v="Snohomish"/>
    <x v="4"/>
    <s v="Other"/>
    <s v="20Other"/>
    <s v="07Non Puget Sound"/>
    <n v="436.37086092715202"/>
    <n v="1501.1157615894028"/>
  </r>
  <r>
    <n v="3766"/>
    <x v="11"/>
    <x v="1"/>
    <x v="11"/>
    <s v="Freshwater"/>
    <s v="2Freshwater"/>
    <s v="Salmon"/>
    <n v="844"/>
    <s v="Skykomish River"/>
    <s v="Skykomish River"/>
    <s v="Snohomish"/>
    <x v="4"/>
    <s v="Pierce"/>
    <s v="07Pierce"/>
    <s v="02South Puget Sound"/>
    <n v="15.311258278145701"/>
    <n v="52.670728476821211"/>
  </r>
  <r>
    <n v="3767"/>
    <x v="11"/>
    <x v="1"/>
    <x v="11"/>
    <s v="Freshwater"/>
    <s v="2Freshwater"/>
    <s v="Salmon"/>
    <n v="844"/>
    <s v="Skykomish River"/>
    <s v="Skykomish River"/>
    <s v="Snohomish"/>
    <x v="4"/>
    <s v="Skagit"/>
    <s v="02Skagit"/>
    <s v="01North Puget Sound"/>
    <n v="15.311258278145701"/>
    <n v="52.670728476821211"/>
  </r>
  <r>
    <n v="3768"/>
    <x v="11"/>
    <x v="1"/>
    <x v="11"/>
    <s v="Freshwater"/>
    <s v="2Freshwater"/>
    <s v="Salmon"/>
    <n v="844"/>
    <s v="Skykomish River"/>
    <s v="Skykomish River"/>
    <s v="Snohomish"/>
    <x v="4"/>
    <s v="Snohomish"/>
    <s v="03Snohomish"/>
    <s v="01North Puget Sound"/>
    <n v="1217.2450331125799"/>
    <n v="4187.3229139072746"/>
  </r>
  <r>
    <n v="3769"/>
    <x v="11"/>
    <x v="1"/>
    <x v="11"/>
    <s v="Freshwater"/>
    <s v="2Freshwater"/>
    <s v="Salmon"/>
    <n v="844"/>
    <s v="Skykomish River"/>
    <s v="Skykomish River"/>
    <s v="Snohomish"/>
    <x v="4"/>
    <s v="Whatcom"/>
    <s v="01Whatcom"/>
    <s v="01North Puget Sound"/>
    <n v="30.622516556291401"/>
    <n v="105.34145695364242"/>
  </r>
  <r>
    <n v="3770"/>
    <x v="11"/>
    <x v="2"/>
    <x v="11"/>
    <s v="Freshwater"/>
    <s v="2Freshwater"/>
    <s v="Salmon"/>
    <n v="844"/>
    <s v="Skykomish River"/>
    <s v="Skykomish River"/>
    <s v="Snohomish"/>
    <x v="4"/>
    <s v="King"/>
    <s v="06King"/>
    <s v="02South Puget Sound"/>
    <n v="62.3333333333333"/>
    <n v="214.42666666666656"/>
  </r>
  <r>
    <n v="3771"/>
    <x v="11"/>
    <x v="2"/>
    <x v="11"/>
    <s v="Freshwater"/>
    <s v="2Freshwater"/>
    <s v="Salmon"/>
    <n v="844"/>
    <s v="Skykomish River"/>
    <s v="Skykomish River"/>
    <s v="Snohomish"/>
    <x v="4"/>
    <s v="Other"/>
    <s v="20Other"/>
    <s v="07Non Puget Sound"/>
    <n v="17"/>
    <n v="58.48"/>
  </r>
  <r>
    <n v="3772"/>
    <x v="11"/>
    <x v="2"/>
    <x v="11"/>
    <s v="Freshwater"/>
    <s v="2Freshwater"/>
    <s v="Salmon"/>
    <n v="844"/>
    <s v="Skykomish River"/>
    <s v="Skykomish River"/>
    <s v="Snohomish"/>
    <x v="4"/>
    <s v="Pierce"/>
    <s v="07Pierce"/>
    <s v="02South Puget Sound"/>
    <n v="5.6666666666666696"/>
    <n v="19.493333333333343"/>
  </r>
  <r>
    <n v="3773"/>
    <x v="11"/>
    <x v="2"/>
    <x v="11"/>
    <s v="Freshwater"/>
    <s v="2Freshwater"/>
    <s v="Salmon"/>
    <n v="844"/>
    <s v="Skykomish River"/>
    <s v="Skykomish River"/>
    <s v="Snohomish"/>
    <x v="4"/>
    <s v="Snohomish"/>
    <s v="03Snohomish"/>
    <s v="01North Puget Sound"/>
    <n v="62.3333333333333"/>
    <n v="214.42666666666656"/>
  </r>
  <r>
    <n v="3774"/>
    <x v="11"/>
    <x v="2"/>
    <x v="11"/>
    <s v="Freshwater"/>
    <s v="2Freshwater"/>
    <s v="Salmon"/>
    <n v="844"/>
    <s v="Skykomish River"/>
    <s v="Skykomish River"/>
    <s v="Snohomish"/>
    <x v="4"/>
    <s v="Whatcom"/>
    <s v="01Whatcom"/>
    <s v="01North Puget Sound"/>
    <n v="5.6666666666666696"/>
    <n v="19.493333333333343"/>
  </r>
  <r>
    <n v="3775"/>
    <x v="11"/>
    <x v="0"/>
    <x v="11"/>
    <s v="Freshwater"/>
    <s v="2Freshwater"/>
    <s v="Salmon"/>
    <n v="850"/>
    <s v="Snohomish River"/>
    <s v="Snohomish River"/>
    <s v="Snohomish"/>
    <x v="4"/>
    <s v="Island"/>
    <s v="04Island"/>
    <s v="01North Puget Sound"/>
    <n v="82.290801186943597"/>
    <n v="283.08035608308597"/>
  </r>
  <r>
    <n v="3776"/>
    <x v="11"/>
    <x v="0"/>
    <x v="11"/>
    <s v="Freshwater"/>
    <s v="2Freshwater"/>
    <s v="Salmon"/>
    <n v="850"/>
    <s v="Snohomish River"/>
    <s v="Snohomish River"/>
    <s v="Snohomish"/>
    <x v="4"/>
    <s v="King"/>
    <s v="06King"/>
    <s v="02South Puget Sound"/>
    <n v="1974.9792284866501"/>
    <n v="6793.9285459940766"/>
  </r>
  <r>
    <n v="3777"/>
    <x v="11"/>
    <x v="0"/>
    <x v="11"/>
    <s v="Freshwater"/>
    <s v="2Freshwater"/>
    <s v="Salmon"/>
    <n v="850"/>
    <s v="Snohomish River"/>
    <s v="Snohomish River"/>
    <s v="Snohomish"/>
    <x v="4"/>
    <s v="Kitsap"/>
    <s v="10Kitsap"/>
    <s v="02South Puget Sound"/>
    <n v="102.86350148368"/>
    <n v="353.85044510385916"/>
  </r>
  <r>
    <n v="3778"/>
    <x v="11"/>
    <x v="0"/>
    <x v="11"/>
    <s v="Freshwater"/>
    <s v="2Freshwater"/>
    <s v="Salmon"/>
    <n v="850"/>
    <s v="Snohomish River"/>
    <s v="Snohomish River"/>
    <s v="Snohomish"/>
    <x v="4"/>
    <s v="Other"/>
    <s v="20Other"/>
    <s v="07Non Puget Sound"/>
    <n v="452.59940652819"/>
    <n v="1556.9419584569737"/>
  </r>
  <r>
    <n v="3779"/>
    <x v="11"/>
    <x v="0"/>
    <x v="11"/>
    <s v="Freshwater"/>
    <s v="2Freshwater"/>
    <s v="Salmon"/>
    <n v="850"/>
    <s v="Snohomish River"/>
    <s v="Snohomish River"/>
    <s v="Snohomish"/>
    <x v="4"/>
    <s v="Pierce"/>
    <s v="07Pierce"/>
    <s v="02South Puget Sound"/>
    <n v="164.58160237388699"/>
    <n v="566.16071216617127"/>
  </r>
  <r>
    <n v="3780"/>
    <x v="11"/>
    <x v="0"/>
    <x v="11"/>
    <s v="Freshwater"/>
    <s v="2Freshwater"/>
    <s v="Salmon"/>
    <n v="850"/>
    <s v="Snohomish River"/>
    <s v="Snohomish River"/>
    <s v="Snohomish"/>
    <x v="4"/>
    <s v="Skagit"/>
    <s v="02Skagit"/>
    <s v="01North Puget Sound"/>
    <n v="20.572700296735899"/>
    <n v="70.770089020771493"/>
  </r>
  <r>
    <n v="3781"/>
    <x v="11"/>
    <x v="0"/>
    <x v="11"/>
    <s v="Freshwater"/>
    <s v="2Freshwater"/>
    <s v="Salmon"/>
    <n v="850"/>
    <s v="Snohomish River"/>
    <s v="Snohomish River"/>
    <s v="Snohomish"/>
    <x v="4"/>
    <s v="Snohomish"/>
    <s v="03Snohomish"/>
    <s v="01North Puget Sound"/>
    <n v="11047.5400593472"/>
    <n v="38003.537804154366"/>
  </r>
  <r>
    <n v="3782"/>
    <x v="11"/>
    <x v="0"/>
    <x v="11"/>
    <s v="Freshwater"/>
    <s v="2Freshwater"/>
    <s v="Salmon"/>
    <n v="850"/>
    <s v="Snohomish River"/>
    <s v="Snohomish River"/>
    <s v="Snohomish"/>
    <x v="4"/>
    <s v="Whatcom"/>
    <s v="01Whatcom"/>
    <s v="01North Puget Sound"/>
    <n v="20.572700296735899"/>
    <n v="70.770089020771493"/>
  </r>
  <r>
    <n v="3783"/>
    <x v="11"/>
    <x v="1"/>
    <x v="11"/>
    <s v="Freshwater"/>
    <s v="2Freshwater"/>
    <s v="Salmon"/>
    <n v="850"/>
    <s v="Snohomish River"/>
    <s v="Snohomish River"/>
    <s v="Snohomish"/>
    <x v="4"/>
    <s v="Island"/>
    <s v="04Island"/>
    <s v="01North Puget Sound"/>
    <n v="103.06338028169"/>
    <n v="354.53802816901361"/>
  </r>
  <r>
    <n v="3784"/>
    <x v="11"/>
    <x v="1"/>
    <x v="11"/>
    <s v="Freshwater"/>
    <s v="2Freshwater"/>
    <s v="Salmon"/>
    <n v="850"/>
    <s v="Snohomish River"/>
    <s v="Snohomish River"/>
    <s v="Snohomish"/>
    <x v="4"/>
    <s v="King"/>
    <s v="06King"/>
    <s v="02South Puget Sound"/>
    <n v="10388.7887323944"/>
    <n v="35737.433239436737"/>
  </r>
  <r>
    <n v="3785"/>
    <x v="11"/>
    <x v="1"/>
    <x v="11"/>
    <s v="Freshwater"/>
    <s v="2Freshwater"/>
    <s v="Salmon"/>
    <n v="850"/>
    <s v="Snohomish River"/>
    <s v="Snohomish River"/>
    <s v="Snohomish"/>
    <x v="4"/>
    <s v="Kitsap"/>
    <s v="10Kitsap"/>
    <s v="02South Puget Sound"/>
    <n v="185.51408450704201"/>
    <n v="638.16845070422448"/>
  </r>
  <r>
    <n v="3786"/>
    <x v="11"/>
    <x v="1"/>
    <x v="11"/>
    <s v="Freshwater"/>
    <s v="2Freshwater"/>
    <s v="Salmon"/>
    <n v="850"/>
    <s v="Snohomish River"/>
    <s v="Snohomish River"/>
    <s v="Snohomish"/>
    <x v="4"/>
    <s v="Mason"/>
    <s v="09Mason"/>
    <s v="02South Puget Sound"/>
    <n v="164.901408450704"/>
    <n v="567.26084507042174"/>
  </r>
  <r>
    <n v="3787"/>
    <x v="11"/>
    <x v="1"/>
    <x v="11"/>
    <s v="Freshwater"/>
    <s v="2Freshwater"/>
    <s v="Salmon"/>
    <n v="850"/>
    <s v="Snohomish River"/>
    <s v="Snohomish River"/>
    <s v="Snohomish"/>
    <x v="4"/>
    <s v="Other"/>
    <s v="20Other"/>
    <s v="07Non Puget Sound"/>
    <n v="2452.9084507042298"/>
    <n v="8438.0050704225505"/>
  </r>
  <r>
    <n v="3788"/>
    <x v="11"/>
    <x v="1"/>
    <x v="11"/>
    <s v="Freshwater"/>
    <s v="2Freshwater"/>
    <s v="Salmon"/>
    <n v="850"/>
    <s v="Snohomish River"/>
    <s v="Snohomish River"/>
    <s v="Snohomish"/>
    <x v="4"/>
    <s v="Pierce"/>
    <s v="07Pierce"/>
    <s v="02South Puget Sound"/>
    <n v="82.450704225352098"/>
    <n v="283.63042253521121"/>
  </r>
  <r>
    <n v="3789"/>
    <x v="11"/>
    <x v="1"/>
    <x v="11"/>
    <s v="Freshwater"/>
    <s v="2Freshwater"/>
    <s v="Salmon"/>
    <n v="850"/>
    <s v="Snohomish River"/>
    <s v="Snohomish River"/>
    <s v="Snohomish"/>
    <x v="4"/>
    <s v="Skagit"/>
    <s v="02Skagit"/>
    <s v="01North Puget Sound"/>
    <n v="350.41549295774701"/>
    <n v="1205.4292957746497"/>
  </r>
  <r>
    <n v="3790"/>
    <x v="11"/>
    <x v="1"/>
    <x v="11"/>
    <s v="Freshwater"/>
    <s v="2Freshwater"/>
    <s v="Salmon"/>
    <n v="850"/>
    <s v="Snohomish River"/>
    <s v="Snohomish River"/>
    <s v="Snohomish"/>
    <x v="4"/>
    <s v="Snohomish"/>
    <s v="03Snohomish"/>
    <s v="01North Puget Sound"/>
    <n v="30115.119718309899"/>
    <n v="103596.01183098606"/>
  </r>
  <r>
    <n v="3791"/>
    <x v="11"/>
    <x v="1"/>
    <x v="11"/>
    <s v="Freshwater"/>
    <s v="2Freshwater"/>
    <s v="Salmon"/>
    <n v="850"/>
    <s v="Snohomish River"/>
    <s v="Snohomish River"/>
    <s v="Snohomish"/>
    <x v="4"/>
    <s v="Thurston"/>
    <s v="08Thurston"/>
    <s v="02South Puget Sound"/>
    <n v="41.225352112676099"/>
    <n v="141.81521126760578"/>
  </r>
  <r>
    <n v="3792"/>
    <x v="11"/>
    <x v="1"/>
    <x v="11"/>
    <s v="Freshwater"/>
    <s v="2Freshwater"/>
    <s v="Salmon"/>
    <n v="850"/>
    <s v="Snohomish River"/>
    <s v="Snohomish River"/>
    <s v="Snohomish"/>
    <x v="4"/>
    <s v="Whatcom"/>
    <s v="01Whatcom"/>
    <s v="01North Puget Sound"/>
    <n v="20.612676056338"/>
    <n v="70.907605633802717"/>
  </r>
  <r>
    <n v="3793"/>
    <x v="11"/>
    <x v="2"/>
    <x v="11"/>
    <s v="Freshwater"/>
    <s v="2Freshwater"/>
    <s v="Salmon"/>
    <n v="850"/>
    <s v="Snohomish River"/>
    <s v="Snohomish River"/>
    <s v="Snohomish"/>
    <x v="4"/>
    <s v="Island"/>
    <s v="04Island"/>
    <s v="01North Puget Sound"/>
    <n v="21.6568047337278"/>
    <n v="74.49940828402363"/>
  </r>
  <r>
    <n v="3794"/>
    <x v="11"/>
    <x v="2"/>
    <x v="11"/>
    <s v="Freshwater"/>
    <s v="2Freshwater"/>
    <s v="Salmon"/>
    <n v="850"/>
    <s v="Snohomish River"/>
    <s v="Snohomish River"/>
    <s v="Snohomish"/>
    <x v="4"/>
    <s v="King"/>
    <s v="06King"/>
    <s v="02South Puget Sound"/>
    <n v="584.73372781065098"/>
    <n v="2011.4840236686393"/>
  </r>
  <r>
    <n v="3795"/>
    <x v="11"/>
    <x v="2"/>
    <x v="11"/>
    <s v="Freshwater"/>
    <s v="2Freshwater"/>
    <s v="Salmon"/>
    <n v="850"/>
    <s v="Snohomish River"/>
    <s v="Snohomish River"/>
    <s v="Snohomish"/>
    <x v="4"/>
    <s v="Other"/>
    <s v="20Other"/>
    <s v="07Non Puget Sound"/>
    <n v="75.7988165680474"/>
    <n v="260.74792899408305"/>
  </r>
  <r>
    <n v="3796"/>
    <x v="11"/>
    <x v="2"/>
    <x v="11"/>
    <s v="Freshwater"/>
    <s v="2Freshwater"/>
    <s v="Salmon"/>
    <n v="850"/>
    <s v="Snohomish River"/>
    <s v="Snohomish River"/>
    <s v="Snohomish"/>
    <x v="4"/>
    <s v="Pierce"/>
    <s v="07Pierce"/>
    <s v="02South Puget Sound"/>
    <n v="32.485207100591701"/>
    <n v="111.74911242603545"/>
  </r>
  <r>
    <n v="3797"/>
    <x v="11"/>
    <x v="2"/>
    <x v="11"/>
    <s v="Freshwater"/>
    <s v="2Freshwater"/>
    <s v="Salmon"/>
    <n v="850"/>
    <s v="Snohomish River"/>
    <s v="Snohomish River"/>
    <s v="Snohomish"/>
    <x v="4"/>
    <s v="Snohomish"/>
    <s v="03Snohomish"/>
    <s v="01North Puget Sound"/>
    <n v="1104.49704142012"/>
    <n v="3799.4698224852127"/>
  </r>
  <r>
    <n v="3798"/>
    <x v="11"/>
    <x v="2"/>
    <x v="11"/>
    <s v="Freshwater"/>
    <s v="2Freshwater"/>
    <s v="Salmon"/>
    <n v="850"/>
    <s v="Snohomish River"/>
    <s v="Snohomish River"/>
    <s v="Snohomish"/>
    <x v="4"/>
    <s v="Thurston"/>
    <s v="08Thurston"/>
    <s v="02South Puget Sound"/>
    <n v="10.8284023668639"/>
    <n v="37.249704142011815"/>
  </r>
  <r>
    <n v="3799"/>
    <x v="11"/>
    <x v="2"/>
    <x v="11"/>
    <s v="Freshwater"/>
    <s v="2Freshwater"/>
    <s v="Salmon"/>
    <n v="852"/>
    <s v="Snoqualmie River"/>
    <s v="Snoqualmie River"/>
    <s v="Snohomish/King"/>
    <x v="4"/>
    <s v="King"/>
    <s v="06King"/>
    <s v="02South Puget Sound"/>
    <n v="4"/>
    <n v="13.76"/>
  </r>
  <r>
    <n v="3800"/>
    <x v="11"/>
    <x v="2"/>
    <x v="11"/>
    <s v="Freshwater"/>
    <s v="2Freshwater"/>
    <s v="Salmon"/>
    <n v="860"/>
    <s v="Wallace River"/>
    <s v="Wallace River"/>
    <s v="Snohomish"/>
    <x v="4"/>
    <s v="King"/>
    <s v="06King"/>
    <s v="02South Puget Sound"/>
    <n v="449.286885245902"/>
    <n v="1545.5468852459028"/>
  </r>
  <r>
    <n v="3801"/>
    <x v="11"/>
    <x v="2"/>
    <x v="11"/>
    <s v="Freshwater"/>
    <s v="2Freshwater"/>
    <s v="Salmon"/>
    <n v="860"/>
    <s v="Wallace River"/>
    <s v="Wallace River"/>
    <s v="Snohomish"/>
    <x v="4"/>
    <s v="Other"/>
    <s v="20Other"/>
    <s v="07Non Puget Sound"/>
    <n v="13.6147540983607"/>
    <n v="46.834754098360811"/>
  </r>
  <r>
    <n v="3802"/>
    <x v="11"/>
    <x v="2"/>
    <x v="11"/>
    <s v="Freshwater"/>
    <s v="2Freshwater"/>
    <s v="Salmon"/>
    <n v="860"/>
    <s v="Wallace River"/>
    <s v="Wallace River"/>
    <s v="Snohomish"/>
    <x v="4"/>
    <s v="Pierce"/>
    <s v="07Pierce"/>
    <s v="02South Puget Sound"/>
    <n v="40.844262295081997"/>
    <n v="140.50426229508207"/>
  </r>
  <r>
    <n v="3803"/>
    <x v="11"/>
    <x v="2"/>
    <x v="11"/>
    <s v="Freshwater"/>
    <s v="2Freshwater"/>
    <s v="Salmon"/>
    <n v="860"/>
    <s v="Wallace River"/>
    <s v="Wallace River"/>
    <s v="Snohomish"/>
    <x v="4"/>
    <s v="Snohomish"/>
    <s v="03Snohomish"/>
    <s v="01North Puget Sound"/>
    <n v="1130.02459016393"/>
    <n v="3887.2845901639193"/>
  </r>
  <r>
    <n v="3804"/>
    <x v="11"/>
    <x v="2"/>
    <x v="11"/>
    <s v="Freshwater"/>
    <s v="2Freshwater"/>
    <s v="Salmon"/>
    <n v="860"/>
    <s v="Wallace River"/>
    <s v="Wallace River"/>
    <s v="Snohomish"/>
    <x v="4"/>
    <s v="Thurston"/>
    <s v="08Thurston"/>
    <s v="02South Puget Sound"/>
    <n v="27.229508196721302"/>
    <n v="93.669508196721281"/>
  </r>
  <r>
    <n v="3805"/>
    <x v="11"/>
    <x v="3"/>
    <x v="11"/>
    <s v="Freshwater"/>
    <s v="2Freshwater"/>
    <s v="Salmon"/>
    <n v="860"/>
    <s v="Wallace River"/>
    <s v="Wallace River"/>
    <s v="Snohomish"/>
    <x v="4"/>
    <s v="King"/>
    <s v="06King"/>
    <s v="02South Puget Sound"/>
    <n v="128"/>
    <n v="440.32"/>
  </r>
  <r>
    <n v="3806"/>
    <x v="11"/>
    <x v="3"/>
    <x v="11"/>
    <s v="Freshwater"/>
    <s v="2Freshwater"/>
    <s v="Salmon"/>
    <n v="860"/>
    <s v="Wallace River"/>
    <s v="Wallace River"/>
    <s v="Snohomish"/>
    <x v="4"/>
    <s v="Snohomish"/>
    <s v="03Snohomish"/>
    <s v="01North Puget Sound"/>
    <n v="192"/>
    <n v="660.48"/>
  </r>
  <r>
    <n v="3807"/>
    <x v="11"/>
    <x v="0"/>
    <x v="11"/>
    <s v="Freshwater"/>
    <s v="2Freshwater"/>
    <s v="Salmon"/>
    <n v="872"/>
    <s v="Stillaguamish River"/>
    <s v="Stillaguamish River"/>
    <s v="Snohomish"/>
    <x v="4"/>
    <s v="Snohomish"/>
    <s v="03Snohomish"/>
    <s v="01North Puget Sound"/>
    <n v="6"/>
    <n v="20.64"/>
  </r>
  <r>
    <n v="3808"/>
    <x v="11"/>
    <x v="1"/>
    <x v="11"/>
    <s v="Freshwater"/>
    <s v="2Freshwater"/>
    <s v="Salmon"/>
    <n v="872"/>
    <s v="Stillaguamish River"/>
    <s v="Stillaguamish River"/>
    <s v="Snohomish"/>
    <x v="4"/>
    <s v="Snohomish"/>
    <s v="03Snohomish"/>
    <s v="01North Puget Sound"/>
    <n v="4"/>
    <n v="13.76"/>
  </r>
  <r>
    <n v="3809"/>
    <x v="11"/>
    <x v="1"/>
    <x v="11"/>
    <s v="Freshwater"/>
    <s v="2Freshwater"/>
    <s v="Salmon"/>
    <n v="884"/>
    <s v="Whatcom Creek"/>
    <s v="Whatcom Creek"/>
    <s v="Whatcom"/>
    <x v="1"/>
    <s v="Whatcom"/>
    <s v="01Whatcom"/>
    <s v="01North Puget Sound"/>
    <n v="28"/>
    <n v="96.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2">
  <r>
    <n v="333"/>
    <x v="0"/>
    <x v="0"/>
    <x v="0"/>
    <s v="Freshwater"/>
    <x v="0"/>
    <x v="0"/>
    <s v="9"/>
    <s v="Area 9: Admiralty Inlet"/>
    <s v="Area 9: Admiralty Inlet"/>
    <s v="NA"/>
    <x v="0"/>
    <s v="Snohomish"/>
    <s v="03Snohomish"/>
    <s v="01North Puget Sound"/>
    <n v="7"/>
    <n v="7"/>
    <n v="59.779999999999994"/>
  </r>
  <r>
    <n v="334"/>
    <x v="0"/>
    <x v="1"/>
    <x v="0"/>
    <s v="Freshwater"/>
    <x v="0"/>
    <x v="0"/>
    <s v="9"/>
    <s v="Area 9: Admiralty Inlet"/>
    <s v="Area 9: Admiralty Inlet"/>
    <s v="NA"/>
    <x v="0"/>
    <s v="Island"/>
    <s v="04Island"/>
    <s v="01North Puget Sound"/>
    <n v="2"/>
    <n v="2"/>
    <n v="17.079999999999998"/>
  </r>
  <r>
    <n v="335"/>
    <x v="0"/>
    <x v="1"/>
    <x v="0"/>
    <s v="Freshwater"/>
    <x v="0"/>
    <x v="0"/>
    <s v="9"/>
    <s v="Area 9: Admiralty Inlet"/>
    <s v="Area 9: Admiralty Inlet"/>
    <s v="NA"/>
    <x v="0"/>
    <s v="Snohomish"/>
    <s v="03Snohomish"/>
    <s v="01North Puget Sound"/>
    <n v="2"/>
    <n v="2"/>
    <n v="17.079999999999998"/>
  </r>
  <r>
    <n v="311"/>
    <x v="0"/>
    <x v="2"/>
    <x v="0"/>
    <s v="Freshwater"/>
    <x v="0"/>
    <x v="0"/>
    <s v="866"/>
    <s v="Canyon Creek"/>
    <s v="Canyon Creek"/>
    <s v="Snohomish"/>
    <x v="0"/>
    <s v="Snohomish"/>
    <s v="03Snohomish"/>
    <s v="01North Puget Sound"/>
    <n v="3"/>
    <n v="3"/>
    <n v="25.619999999999997"/>
  </r>
  <r>
    <n v="109"/>
    <x v="0"/>
    <x v="2"/>
    <x v="0"/>
    <s v="Freshwater"/>
    <x v="0"/>
    <x v="0"/>
    <s v="826"/>
    <s v="Cascade River"/>
    <s v="Cascade River"/>
    <s v="Skagit"/>
    <x v="1"/>
    <s v="Pierce"/>
    <s v="07Pierce"/>
    <s v="02South Puget Sound"/>
    <n v="2"/>
    <n v="2"/>
    <n v="17.079999999999998"/>
  </r>
  <r>
    <n v="17"/>
    <x v="0"/>
    <x v="2"/>
    <x v="0"/>
    <s v="Freshwater"/>
    <x v="0"/>
    <x v="0"/>
    <s v="746"/>
    <s v="Green (Duwamish River) (King Co.)"/>
    <s v="Green - Duwamish River"/>
    <s v="King"/>
    <x v="2"/>
    <s v="King"/>
    <s v="06King"/>
    <s v="02South Puget Sound"/>
    <n v="61.285714285714299"/>
    <n v="61.285714285714299"/>
    <n v="523.38000000000011"/>
  </r>
  <r>
    <n v="18"/>
    <x v="0"/>
    <x v="2"/>
    <x v="0"/>
    <s v="Freshwater"/>
    <x v="0"/>
    <x v="0"/>
    <s v="746"/>
    <s v="Green (Duwamish River) (King Co.)"/>
    <s v="Green - Duwamish River"/>
    <s v="King"/>
    <x v="2"/>
    <s v="Pierce"/>
    <s v="07Pierce"/>
    <s v="02South Puget Sound"/>
    <n v="3.71428571428571"/>
    <n v="3.71428571428571"/>
    <n v="31.71999999999996"/>
  </r>
  <r>
    <n v="60"/>
    <x v="0"/>
    <x v="2"/>
    <x v="0"/>
    <s v="Freshwater"/>
    <x v="0"/>
    <x v="0"/>
    <s v="768"/>
    <s v="Lyre River"/>
    <s v="Lyre River"/>
    <s v="Clallam"/>
    <x v="3"/>
    <s v="Clallam"/>
    <s v="11Clallam"/>
    <s v="03Strait of Juan de Fuca"/>
    <n v="12"/>
    <n v="12"/>
    <n v="102.47999999999999"/>
  </r>
  <r>
    <n v="169"/>
    <x v="0"/>
    <x v="2"/>
    <x v="0"/>
    <s v="Freshwater"/>
    <x v="0"/>
    <x v="0"/>
    <s v="842"/>
    <s v="Raging River"/>
    <s v="Raging River"/>
    <s v="King"/>
    <x v="2"/>
    <s v="King"/>
    <s v="06King"/>
    <s v="02South Puget Sound"/>
    <n v="3"/>
    <n v="3"/>
    <n v="25.619999999999997"/>
  </r>
  <r>
    <n v="170"/>
    <x v="0"/>
    <x v="2"/>
    <x v="0"/>
    <s v="Freshwater"/>
    <x v="0"/>
    <x v="0"/>
    <s v="842"/>
    <s v="Raging River"/>
    <s v="Raging River"/>
    <s v="King"/>
    <x v="2"/>
    <s v="Snohomish"/>
    <s v="03Snohomish"/>
    <s v="01North Puget Sound"/>
    <n v="3"/>
    <n v="3"/>
    <n v="25.619999999999997"/>
  </r>
  <r>
    <n v="142"/>
    <x v="0"/>
    <x v="2"/>
    <x v="0"/>
    <s v="Freshwater"/>
    <x v="0"/>
    <x v="0"/>
    <s v="828"/>
    <s v="Sauk River"/>
    <s v="Sauk River"/>
    <s v="Skagit/Snohomish"/>
    <x v="0"/>
    <s v="Snohomish"/>
    <s v="03Snohomish"/>
    <s v="01North Puget Sound"/>
    <n v="2"/>
    <n v="2"/>
    <n v="17.079999999999998"/>
  </r>
  <r>
    <n v="178"/>
    <x v="0"/>
    <x v="2"/>
    <x v="0"/>
    <s v="Freshwater"/>
    <x v="0"/>
    <x v="0"/>
    <s v="844"/>
    <s v="Skykomish River"/>
    <s v="Skykomish River"/>
    <s v="Snohomish"/>
    <x v="0"/>
    <s v="Island"/>
    <s v="04Island"/>
    <s v="01North Puget Sound"/>
    <n v="2.8467966573816201"/>
    <n v="2.8467966573816201"/>
    <n v="24.311643454039032"/>
  </r>
  <r>
    <n v="179"/>
    <x v="0"/>
    <x v="2"/>
    <x v="0"/>
    <s v="Freshwater"/>
    <x v="0"/>
    <x v="0"/>
    <s v="844"/>
    <s v="Skykomish River"/>
    <s v="Skykomish River"/>
    <s v="Snohomish"/>
    <x v="0"/>
    <s v="King"/>
    <s v="06King"/>
    <s v="02South Puget Sound"/>
    <n v="412.78551532033401"/>
    <n v="412.78551532033401"/>
    <n v="3525.1883008356522"/>
  </r>
  <r>
    <n v="180"/>
    <x v="0"/>
    <x v="2"/>
    <x v="0"/>
    <s v="Freshwater"/>
    <x v="0"/>
    <x v="0"/>
    <s v="844"/>
    <s v="Skykomish River"/>
    <s v="Skykomish River"/>
    <s v="Snohomish"/>
    <x v="0"/>
    <s v="Other"/>
    <s v="20Other"/>
    <s v="07Non Puget Sound"/>
    <n v="28.467966573816199"/>
    <n v="28.467966573816199"/>
    <n v="243.11643454039032"/>
  </r>
  <r>
    <n v="181"/>
    <x v="0"/>
    <x v="2"/>
    <x v="0"/>
    <s v="Freshwater"/>
    <x v="0"/>
    <x v="0"/>
    <s v="844"/>
    <s v="Skykomish River"/>
    <s v="Skykomish River"/>
    <s v="Snohomish"/>
    <x v="0"/>
    <s v="Pierce"/>
    <s v="07Pierce"/>
    <s v="02South Puget Sound"/>
    <n v="17.080779944289699"/>
    <n v="17.080779944289699"/>
    <n v="145.869860724234"/>
  </r>
  <r>
    <n v="182"/>
    <x v="0"/>
    <x v="2"/>
    <x v="0"/>
    <s v="Freshwater"/>
    <x v="0"/>
    <x v="0"/>
    <s v="844"/>
    <s v="Skykomish River"/>
    <s v="Skykomish River"/>
    <s v="Snohomish"/>
    <x v="0"/>
    <s v="Skagit"/>
    <s v="02Skagit"/>
    <s v="01North Puget Sound"/>
    <n v="5.6935933147632296"/>
    <n v="5.6935933147632296"/>
    <n v="48.623286908077979"/>
  </r>
  <r>
    <n v="183"/>
    <x v="0"/>
    <x v="2"/>
    <x v="0"/>
    <s v="Freshwater"/>
    <x v="0"/>
    <x v="0"/>
    <s v="844"/>
    <s v="Skykomish River"/>
    <s v="Skykomish River"/>
    <s v="Snohomish"/>
    <x v="0"/>
    <s v="Snohomish"/>
    <s v="03Snohomish"/>
    <s v="01North Puget Sound"/>
    <n v="552.27855153203302"/>
    <n v="552.27855153203302"/>
    <n v="4716.4588300835612"/>
  </r>
  <r>
    <n v="184"/>
    <x v="0"/>
    <x v="2"/>
    <x v="0"/>
    <s v="Freshwater"/>
    <x v="0"/>
    <x v="0"/>
    <s v="844"/>
    <s v="Skykomish River"/>
    <s v="Skykomish River"/>
    <s v="Snohomish"/>
    <x v="0"/>
    <s v="Thurston"/>
    <s v="08Thurston"/>
    <s v="02South Puget Sound"/>
    <n v="2.8467966573816201"/>
    <n v="2.8467966573816201"/>
    <n v="24.311643454039032"/>
  </r>
  <r>
    <n v="218"/>
    <x v="0"/>
    <x v="2"/>
    <x v="0"/>
    <s v="Freshwater"/>
    <x v="0"/>
    <x v="0"/>
    <s v="846"/>
    <s v="Skykomish River, No. Fork"/>
    <s v="Skykomish River, No. Fork"/>
    <s v="Snohomish"/>
    <x v="0"/>
    <s v="Other"/>
    <s v="20Other"/>
    <s v="07Non Puget Sound"/>
    <n v="3"/>
    <n v="3"/>
    <n v="25.619999999999997"/>
  </r>
  <r>
    <n v="232"/>
    <x v="0"/>
    <x v="2"/>
    <x v="0"/>
    <s v="Freshwater"/>
    <x v="0"/>
    <x v="0"/>
    <s v="848"/>
    <s v="Skykomish River, So. Fork"/>
    <s v="Skykomish River, So. Fork"/>
    <s v="Snohomish/King"/>
    <x v="0"/>
    <s v="Pierce"/>
    <s v="07Pierce"/>
    <s v="02South Puget Sound"/>
    <n v="3"/>
    <n v="3"/>
    <n v="25.619999999999997"/>
  </r>
  <r>
    <n v="240"/>
    <x v="0"/>
    <x v="2"/>
    <x v="0"/>
    <s v="Freshwater"/>
    <x v="0"/>
    <x v="0"/>
    <s v="850"/>
    <s v="Snohomish River"/>
    <s v="Snohomish River"/>
    <s v="Snohomish"/>
    <x v="0"/>
    <s v="King"/>
    <s v="06King"/>
    <s v="02South Puget Sound"/>
    <n v="11.6543209876543"/>
    <n v="11.6543209876543"/>
    <n v="99.527901234567707"/>
  </r>
  <r>
    <n v="241"/>
    <x v="0"/>
    <x v="2"/>
    <x v="0"/>
    <s v="Freshwater"/>
    <x v="0"/>
    <x v="0"/>
    <s v="850"/>
    <s v="Snohomish River"/>
    <s v="Snohomish River"/>
    <s v="Snohomish"/>
    <x v="0"/>
    <s v="Other"/>
    <s v="20Other"/>
    <s v="07Non Puget Sound"/>
    <n v="8.7407407407407405"/>
    <n v="8.7407407407407405"/>
    <n v="74.645925925925923"/>
  </r>
  <r>
    <n v="242"/>
    <x v="0"/>
    <x v="2"/>
    <x v="0"/>
    <s v="Freshwater"/>
    <x v="0"/>
    <x v="0"/>
    <s v="850"/>
    <s v="Snohomish River"/>
    <s v="Snohomish River"/>
    <s v="Snohomish"/>
    <x v="0"/>
    <s v="Snohomish"/>
    <s v="03Snohomish"/>
    <s v="01North Puget Sound"/>
    <n v="215.60493827160499"/>
    <n v="215.60493827160499"/>
    <n v="1841.2661728395065"/>
  </r>
  <r>
    <n v="254"/>
    <x v="0"/>
    <x v="2"/>
    <x v="0"/>
    <s v="Freshwater"/>
    <x v="0"/>
    <x v="0"/>
    <s v="852"/>
    <s v="Snoqualmie River"/>
    <s v="Snoqualmie River"/>
    <s v="Snohomish/King"/>
    <x v="0"/>
    <s v="King"/>
    <s v="06King"/>
    <s v="02South Puget Sound"/>
    <n v="166"/>
    <n v="166"/>
    <n v="1417.6399999999999"/>
  </r>
  <r>
    <n v="314"/>
    <x v="0"/>
    <x v="2"/>
    <x v="0"/>
    <s v="Freshwater"/>
    <x v="0"/>
    <x v="0"/>
    <s v="872"/>
    <s v="Stillaguamish R, No. Fork"/>
    <s v="Stillaguamish R, No. Fork"/>
    <s v="Snohomish"/>
    <x v="0"/>
    <s v="Snohomish"/>
    <s v="03Snohomish"/>
    <s v="01North Puget Sound"/>
    <n v="12"/>
    <n v="12"/>
    <n v="102.47999999999999"/>
  </r>
  <r>
    <n v="276"/>
    <x v="0"/>
    <x v="2"/>
    <x v="0"/>
    <s v="Freshwater"/>
    <x v="0"/>
    <x v="0"/>
    <s v="854"/>
    <s v="Sultan River"/>
    <s v="Sultan River"/>
    <s v="Snohomish"/>
    <x v="0"/>
    <s v="Snohomish"/>
    <s v="03Snohomish"/>
    <s v="01North Puget Sound"/>
    <n v="3"/>
    <n v="3"/>
    <n v="25.619999999999997"/>
  </r>
  <r>
    <n v="336"/>
    <x v="0"/>
    <x v="3"/>
    <x v="0"/>
    <s v="Freshwater"/>
    <x v="0"/>
    <x v="0"/>
    <s v="9"/>
    <s v="Area 9: Admiralty Inlet"/>
    <s v="Area 9: Admiralty Inlet"/>
    <s v="NA"/>
    <x v="0"/>
    <s v="King"/>
    <s v="06King"/>
    <s v="02South Puget Sound"/>
    <n v="4"/>
    <n v="4"/>
    <n v="34.159999999999997"/>
  </r>
  <r>
    <n v="337"/>
    <x v="0"/>
    <x v="3"/>
    <x v="0"/>
    <s v="Freshwater"/>
    <x v="0"/>
    <x v="0"/>
    <s v="9"/>
    <s v="Area 9: Admiralty Inlet"/>
    <s v="Area 9: Admiralty Inlet"/>
    <s v="NA"/>
    <x v="0"/>
    <s v="Snohomish"/>
    <s v="03Snohomish"/>
    <s v="01North Puget Sound"/>
    <n v="6"/>
    <n v="6"/>
    <n v="51.239999999999995"/>
  </r>
  <r>
    <n v="19"/>
    <x v="0"/>
    <x v="3"/>
    <x v="0"/>
    <s v="Freshwater"/>
    <x v="0"/>
    <x v="0"/>
    <s v="746"/>
    <s v="Green (Duwamish River) (King Co.)"/>
    <s v="Green - Duwamish River"/>
    <s v="King"/>
    <x v="2"/>
    <s v="King"/>
    <s v="06King"/>
    <s v="02South Puget Sound"/>
    <n v="26.173913043478301"/>
    <n v="26.173913043478301"/>
    <n v="223.52521739130466"/>
  </r>
  <r>
    <n v="20"/>
    <x v="0"/>
    <x v="3"/>
    <x v="0"/>
    <s v="Freshwater"/>
    <x v="0"/>
    <x v="0"/>
    <s v="746"/>
    <s v="Green (Duwamish River) (King Co.)"/>
    <s v="Green - Duwamish River"/>
    <s v="King"/>
    <x v="2"/>
    <s v="Kitsap"/>
    <s v="10Kitsap"/>
    <s v="02South Puget Sound"/>
    <n v="1.8695652173913"/>
    <n v="1.8695652173913"/>
    <n v="15.9660869565217"/>
  </r>
  <r>
    <n v="21"/>
    <x v="0"/>
    <x v="3"/>
    <x v="0"/>
    <s v="Freshwater"/>
    <x v="0"/>
    <x v="0"/>
    <s v="746"/>
    <s v="Green (Duwamish River) (King Co.)"/>
    <s v="Green - Duwamish River"/>
    <s v="King"/>
    <x v="2"/>
    <s v="Other"/>
    <s v="20Other"/>
    <s v="07Non Puget Sound"/>
    <n v="1.8695652173913"/>
    <n v="1.8695652173913"/>
    <n v="15.9660869565217"/>
  </r>
  <r>
    <n v="22"/>
    <x v="0"/>
    <x v="3"/>
    <x v="0"/>
    <s v="Freshwater"/>
    <x v="0"/>
    <x v="0"/>
    <s v="746"/>
    <s v="Green (Duwamish River) (King Co.)"/>
    <s v="Green - Duwamish River"/>
    <s v="King"/>
    <x v="2"/>
    <s v="Pierce"/>
    <s v="07Pierce"/>
    <s v="02South Puget Sound"/>
    <n v="11.2173913043478"/>
    <n v="11.2173913043478"/>
    <n v="95.796521739130199"/>
  </r>
  <r>
    <n v="23"/>
    <x v="0"/>
    <x v="3"/>
    <x v="0"/>
    <s v="Freshwater"/>
    <x v="0"/>
    <x v="0"/>
    <s v="746"/>
    <s v="Green (Duwamish River) (King Co.)"/>
    <s v="Green - Duwamish River"/>
    <s v="King"/>
    <x v="2"/>
    <s v="Snohomish"/>
    <s v="03Snohomish"/>
    <s v="01North Puget Sound"/>
    <n v="1.8695652173913"/>
    <n v="1.8695652173913"/>
    <n v="15.9660869565217"/>
  </r>
  <r>
    <n v="61"/>
    <x v="0"/>
    <x v="3"/>
    <x v="0"/>
    <s v="Freshwater"/>
    <x v="0"/>
    <x v="0"/>
    <s v="768"/>
    <s v="Lyre River"/>
    <s v="Lyre River"/>
    <s v="Clallam"/>
    <x v="3"/>
    <s v="Clallam"/>
    <s v="11Clallam"/>
    <s v="03Strait of Juan de Fuca"/>
    <n v="8"/>
    <n v="8"/>
    <n v="68.319999999999993"/>
  </r>
  <r>
    <n v="62"/>
    <x v="0"/>
    <x v="3"/>
    <x v="0"/>
    <s v="Freshwater"/>
    <x v="0"/>
    <x v="0"/>
    <s v="768"/>
    <s v="Lyre River"/>
    <s v="Lyre River"/>
    <s v="Clallam"/>
    <x v="3"/>
    <s v="Kitsap"/>
    <s v="10Kitsap"/>
    <s v="02South Puget Sound"/>
    <n v="2.6666666666666701"/>
    <n v="2.6666666666666701"/>
    <n v="22.773333333333362"/>
  </r>
  <r>
    <n v="63"/>
    <x v="0"/>
    <x v="3"/>
    <x v="0"/>
    <s v="Freshwater"/>
    <x v="0"/>
    <x v="0"/>
    <s v="768"/>
    <s v="Lyre River"/>
    <s v="Lyre River"/>
    <s v="Clallam"/>
    <x v="3"/>
    <s v="Other"/>
    <s v="20Other"/>
    <s v="07Non Puget Sound"/>
    <n v="1.3333333333333299"/>
    <n v="1.3333333333333299"/>
    <n v="11.386666666666637"/>
  </r>
  <r>
    <n v="143"/>
    <x v="0"/>
    <x v="3"/>
    <x v="0"/>
    <s v="Freshwater"/>
    <x v="0"/>
    <x v="0"/>
    <s v="828"/>
    <s v="Sauk River"/>
    <s v="Sauk River"/>
    <s v="Skagit/Snohomish"/>
    <x v="0"/>
    <s v="Snohomish"/>
    <s v="03Snohomish"/>
    <s v="01North Puget Sound"/>
    <n v="2"/>
    <n v="2"/>
    <n v="17.079999999999998"/>
  </r>
  <r>
    <n v="185"/>
    <x v="0"/>
    <x v="3"/>
    <x v="0"/>
    <s v="Freshwater"/>
    <x v="0"/>
    <x v="0"/>
    <s v="844"/>
    <s v="Skykomish River"/>
    <s v="Skykomish River"/>
    <s v="Snohomish"/>
    <x v="0"/>
    <s v="King"/>
    <s v="06King"/>
    <s v="02South Puget Sound"/>
    <n v="217.37967914438499"/>
    <n v="217.37967914438499"/>
    <n v="1856.4224598930477"/>
  </r>
  <r>
    <n v="186"/>
    <x v="0"/>
    <x v="3"/>
    <x v="0"/>
    <s v="Freshwater"/>
    <x v="0"/>
    <x v="0"/>
    <s v="844"/>
    <s v="Skykomish River"/>
    <s v="Skykomish River"/>
    <s v="Snohomish"/>
    <x v="0"/>
    <s v="Other"/>
    <s v="20Other"/>
    <s v="07Non Puget Sound"/>
    <n v="11.593582887700499"/>
    <n v="11.593582887700499"/>
    <n v="99.00919786096226"/>
  </r>
  <r>
    <n v="187"/>
    <x v="0"/>
    <x v="3"/>
    <x v="0"/>
    <s v="Freshwater"/>
    <x v="0"/>
    <x v="0"/>
    <s v="844"/>
    <s v="Skykomish River"/>
    <s v="Skykomish River"/>
    <s v="Snohomish"/>
    <x v="0"/>
    <s v="Pierce"/>
    <s v="07Pierce"/>
    <s v="02South Puget Sound"/>
    <n v="2.8983957219251302"/>
    <n v="2.8983957219251302"/>
    <n v="24.752299465240608"/>
  </r>
  <r>
    <n v="188"/>
    <x v="0"/>
    <x v="3"/>
    <x v="0"/>
    <s v="Freshwater"/>
    <x v="0"/>
    <x v="0"/>
    <s v="844"/>
    <s v="Skykomish River"/>
    <s v="Skykomish River"/>
    <s v="Snohomish"/>
    <x v="0"/>
    <s v="Skagit"/>
    <s v="02Skagit"/>
    <s v="01North Puget Sound"/>
    <n v="5.7967914438502701"/>
    <n v="5.7967914438502701"/>
    <n v="49.504598930481301"/>
  </r>
  <r>
    <n v="189"/>
    <x v="0"/>
    <x v="3"/>
    <x v="0"/>
    <s v="Freshwater"/>
    <x v="0"/>
    <x v="0"/>
    <s v="844"/>
    <s v="Skykomish River"/>
    <s v="Skykomish River"/>
    <s v="Snohomish"/>
    <x v="0"/>
    <s v="Snohomish"/>
    <s v="03Snohomish"/>
    <s v="01North Puget Sound"/>
    <n v="304.33155080213902"/>
    <n v="304.33155080213902"/>
    <n v="2598.9914438502669"/>
  </r>
  <r>
    <n v="219"/>
    <x v="0"/>
    <x v="3"/>
    <x v="0"/>
    <s v="Freshwater"/>
    <x v="0"/>
    <x v="0"/>
    <s v="846"/>
    <s v="Skykomish River, No. Fork"/>
    <s v="Skykomish River, No. Fork"/>
    <s v="Snohomish"/>
    <x v="0"/>
    <s v="King"/>
    <s v="06King"/>
    <s v="02South Puget Sound"/>
    <n v="6"/>
    <n v="6"/>
    <n v="51.239999999999995"/>
  </r>
  <r>
    <n v="243"/>
    <x v="0"/>
    <x v="3"/>
    <x v="0"/>
    <s v="Freshwater"/>
    <x v="0"/>
    <x v="0"/>
    <s v="850"/>
    <s v="Snohomish River"/>
    <s v="Snohomish River"/>
    <s v="Snohomish"/>
    <x v="0"/>
    <s v="Island"/>
    <s v="04Island"/>
    <s v="01North Puget Sound"/>
    <n v="2.8571428571428599"/>
    <n v="2.8571428571428599"/>
    <n v="24.40000000000002"/>
  </r>
  <r>
    <n v="244"/>
    <x v="0"/>
    <x v="3"/>
    <x v="0"/>
    <s v="Freshwater"/>
    <x v="0"/>
    <x v="0"/>
    <s v="850"/>
    <s v="Snohomish River"/>
    <s v="Snohomish River"/>
    <s v="Snohomish"/>
    <x v="0"/>
    <s v="Snohomish"/>
    <s v="03Snohomish"/>
    <s v="01North Puget Sound"/>
    <n v="17.1428571428571"/>
    <n v="17.1428571428571"/>
    <n v="146.39999999999961"/>
  </r>
  <r>
    <n v="255"/>
    <x v="0"/>
    <x v="3"/>
    <x v="0"/>
    <s v="Freshwater"/>
    <x v="0"/>
    <x v="0"/>
    <s v="852"/>
    <s v="Snoqualmie River"/>
    <s v="Snoqualmie River"/>
    <s v="Snohomish/King"/>
    <x v="0"/>
    <s v="King"/>
    <s v="06King"/>
    <s v="02South Puget Sound"/>
    <n v="105.71428571428601"/>
    <n v="105.71428571428601"/>
    <n v="902.80000000000246"/>
  </r>
  <r>
    <n v="256"/>
    <x v="0"/>
    <x v="3"/>
    <x v="0"/>
    <s v="Freshwater"/>
    <x v="0"/>
    <x v="0"/>
    <s v="852"/>
    <s v="Snoqualmie River"/>
    <s v="Snoqualmie River"/>
    <s v="Snohomish/King"/>
    <x v="0"/>
    <s v="Other"/>
    <s v="20Other"/>
    <s v="07Non Puget Sound"/>
    <n v="2.6428571428571401"/>
    <n v="2.6428571428571401"/>
    <n v="22.569999999999975"/>
  </r>
  <r>
    <n v="257"/>
    <x v="0"/>
    <x v="3"/>
    <x v="0"/>
    <s v="Freshwater"/>
    <x v="0"/>
    <x v="0"/>
    <s v="852"/>
    <s v="Snoqualmie River"/>
    <s v="Snoqualmie River"/>
    <s v="Snohomish/King"/>
    <x v="0"/>
    <s v="Snohomish"/>
    <s v="03Snohomish"/>
    <s v="01North Puget Sound"/>
    <n v="2.6428571428571401"/>
    <n v="2.6428571428571401"/>
    <n v="22.569999999999975"/>
  </r>
  <r>
    <n v="44"/>
    <x v="0"/>
    <x v="3"/>
    <x v="0"/>
    <s v="Freshwater"/>
    <x v="0"/>
    <x v="0"/>
    <s v="748"/>
    <s v="Soos Creek"/>
    <s v="Soos Creek"/>
    <s v="King"/>
    <x v="2"/>
    <s v="King"/>
    <s v="06King"/>
    <s v="02South Puget Sound"/>
    <n v="4"/>
    <n v="4"/>
    <n v="34.159999999999997"/>
  </r>
  <r>
    <n v="338"/>
    <x v="0"/>
    <x v="4"/>
    <x v="0"/>
    <s v="Freshwater"/>
    <x v="0"/>
    <x v="0"/>
    <s v="9"/>
    <s v="Area 9: Admiralty Inlet"/>
    <s v="Area 9: Admiralty Inlet"/>
    <s v="NA"/>
    <x v="0"/>
    <s v="King"/>
    <s v="06King"/>
    <s v="02South Puget Sound"/>
    <n v="4"/>
    <n v="4"/>
    <n v="34.159999999999997"/>
  </r>
  <r>
    <n v="339"/>
    <x v="0"/>
    <x v="4"/>
    <x v="0"/>
    <s v="Freshwater"/>
    <x v="0"/>
    <x v="0"/>
    <s v="9"/>
    <s v="Area 9: Admiralty Inlet"/>
    <s v="Area 9: Admiralty Inlet"/>
    <s v="NA"/>
    <x v="0"/>
    <s v="Snohomish"/>
    <s v="03Snohomish"/>
    <s v="01North Puget Sound"/>
    <n v="2"/>
    <n v="2"/>
    <n v="17.079999999999998"/>
  </r>
  <r>
    <n v="24"/>
    <x v="0"/>
    <x v="4"/>
    <x v="0"/>
    <s v="Freshwater"/>
    <x v="0"/>
    <x v="0"/>
    <s v="746"/>
    <s v="Green (Duwamish River) (King Co.)"/>
    <s v="Green - Duwamish River"/>
    <s v="King"/>
    <x v="2"/>
    <s v="King"/>
    <s v="06King"/>
    <s v="02South Puget Sound"/>
    <n v="18.5"/>
    <n v="18.5"/>
    <n v="157.98999999999998"/>
  </r>
  <r>
    <n v="25"/>
    <x v="0"/>
    <x v="4"/>
    <x v="0"/>
    <s v="Freshwater"/>
    <x v="0"/>
    <x v="0"/>
    <s v="746"/>
    <s v="Green (Duwamish River) (King Co.)"/>
    <s v="Green - Duwamish River"/>
    <s v="King"/>
    <x v="2"/>
    <s v="Kitsap"/>
    <s v="10Kitsap"/>
    <s v="02South Puget Sound"/>
    <n v="1.85"/>
    <n v="1.85"/>
    <n v="15.798999999999999"/>
  </r>
  <r>
    <n v="26"/>
    <x v="0"/>
    <x v="4"/>
    <x v="0"/>
    <s v="Freshwater"/>
    <x v="0"/>
    <x v="0"/>
    <s v="746"/>
    <s v="Green (Duwamish River) (King Co.)"/>
    <s v="Green - Duwamish River"/>
    <s v="King"/>
    <x v="2"/>
    <s v="Pierce"/>
    <s v="07Pierce"/>
    <s v="02South Puget Sound"/>
    <n v="16.649999999999999"/>
    <n v="16.649999999999999"/>
    <n v="142.19099999999997"/>
  </r>
  <r>
    <n v="64"/>
    <x v="0"/>
    <x v="4"/>
    <x v="0"/>
    <s v="Freshwater"/>
    <x v="0"/>
    <x v="0"/>
    <s v="768"/>
    <s v="Lyre River"/>
    <s v="Lyre River"/>
    <s v="Clallam"/>
    <x v="3"/>
    <s v="Clallam"/>
    <s v="11Clallam"/>
    <s v="03Strait of Juan de Fuca"/>
    <n v="29.04"/>
    <n v="29.04"/>
    <n v="248.00159999999997"/>
  </r>
  <r>
    <n v="65"/>
    <x v="0"/>
    <x v="4"/>
    <x v="0"/>
    <s v="Freshwater"/>
    <x v="0"/>
    <x v="0"/>
    <s v="768"/>
    <s v="Lyre River"/>
    <s v="Lyre River"/>
    <s v="Clallam"/>
    <x v="3"/>
    <s v="Mason"/>
    <s v="09Mason"/>
    <s v="02South Puget Sound"/>
    <n v="3.96"/>
    <n v="3.96"/>
    <n v="33.818399999999997"/>
  </r>
  <r>
    <n v="144"/>
    <x v="0"/>
    <x v="4"/>
    <x v="0"/>
    <s v="Freshwater"/>
    <x v="0"/>
    <x v="0"/>
    <s v="828"/>
    <s v="Sauk River"/>
    <s v="Sauk River"/>
    <s v="Skagit/Snohomish"/>
    <x v="0"/>
    <s v="Other"/>
    <s v="20Other"/>
    <s v="07Non Puget Sound"/>
    <n v="3"/>
    <n v="3"/>
    <n v="25.619999999999997"/>
  </r>
  <r>
    <n v="147"/>
    <x v="0"/>
    <x v="4"/>
    <x v="0"/>
    <s v="Freshwater"/>
    <x v="0"/>
    <x v="0"/>
    <s v="830"/>
    <s v="Skagit River"/>
    <s v="Skagit River"/>
    <s v="Skagit/Whatcom"/>
    <x v="0"/>
    <s v="Other"/>
    <s v="20Other"/>
    <s v="07Non Puget Sound"/>
    <n v="1.5"/>
    <n v="1.5"/>
    <n v="12.809999999999999"/>
  </r>
  <r>
    <n v="148"/>
    <x v="0"/>
    <x v="4"/>
    <x v="0"/>
    <s v="Freshwater"/>
    <x v="0"/>
    <x v="0"/>
    <s v="830"/>
    <s v="Skagit River"/>
    <s v="Skagit River"/>
    <s v="Skagit/Whatcom"/>
    <x v="0"/>
    <s v="Skagit"/>
    <s v="02Skagit"/>
    <s v="01North Puget Sound"/>
    <n v="1.5"/>
    <n v="1.5"/>
    <n v="12.809999999999999"/>
  </r>
  <r>
    <n v="190"/>
    <x v="0"/>
    <x v="4"/>
    <x v="0"/>
    <s v="Freshwater"/>
    <x v="0"/>
    <x v="0"/>
    <s v="844"/>
    <s v="Skykomish River"/>
    <s v="Skykomish River"/>
    <s v="Snohomish"/>
    <x v="0"/>
    <s v="King"/>
    <s v="06King"/>
    <s v="02South Puget Sound"/>
    <n v="40.6875"/>
    <n v="40.6875"/>
    <n v="347.47124999999994"/>
  </r>
  <r>
    <n v="191"/>
    <x v="0"/>
    <x v="4"/>
    <x v="0"/>
    <s v="Freshwater"/>
    <x v="0"/>
    <x v="0"/>
    <s v="844"/>
    <s v="Skykomish River"/>
    <s v="Skykomish River"/>
    <s v="Snohomish"/>
    <x v="0"/>
    <s v="Other"/>
    <s v="20Other"/>
    <s v="07Non Puget Sound"/>
    <n v="5.8125"/>
    <n v="5.8125"/>
    <n v="49.638749999999995"/>
  </r>
  <r>
    <n v="192"/>
    <x v="0"/>
    <x v="4"/>
    <x v="0"/>
    <s v="Freshwater"/>
    <x v="0"/>
    <x v="0"/>
    <s v="844"/>
    <s v="Skykomish River"/>
    <s v="Skykomish River"/>
    <s v="Snohomish"/>
    <x v="0"/>
    <s v="Snohomish"/>
    <s v="03Snohomish"/>
    <s v="01North Puget Sound"/>
    <n v="43.59375"/>
    <n v="43.59375"/>
    <n v="372.29062499999998"/>
  </r>
  <r>
    <n v="193"/>
    <x v="0"/>
    <x v="4"/>
    <x v="0"/>
    <s v="Freshwater"/>
    <x v="0"/>
    <x v="0"/>
    <s v="844"/>
    <s v="Skykomish River"/>
    <s v="Skykomish River"/>
    <s v="Snohomish"/>
    <x v="0"/>
    <s v="Whatcom"/>
    <s v="01Whatcom"/>
    <s v="01North Puget Sound"/>
    <n v="2.90625"/>
    <n v="2.90625"/>
    <n v="24.819374999999997"/>
  </r>
  <r>
    <n v="220"/>
    <x v="0"/>
    <x v="4"/>
    <x v="0"/>
    <s v="Freshwater"/>
    <x v="0"/>
    <x v="0"/>
    <s v="846"/>
    <s v="Skykomish River, No. Fork"/>
    <s v="Skykomish River, No. Fork"/>
    <s v="Snohomish"/>
    <x v="0"/>
    <s v="King"/>
    <s v="06King"/>
    <s v="02South Puget Sound"/>
    <n v="9"/>
    <n v="9"/>
    <n v="76.859999999999985"/>
  </r>
  <r>
    <n v="221"/>
    <x v="0"/>
    <x v="4"/>
    <x v="0"/>
    <s v="Freshwater"/>
    <x v="0"/>
    <x v="0"/>
    <s v="846"/>
    <s v="Skykomish River, No. Fork"/>
    <s v="Skykomish River, No. Fork"/>
    <s v="Snohomish"/>
    <x v="0"/>
    <s v="Snohomish"/>
    <s v="03Snohomish"/>
    <s v="01North Puget Sound"/>
    <n v="3"/>
    <n v="3"/>
    <n v="25.619999999999997"/>
  </r>
  <r>
    <n v="233"/>
    <x v="0"/>
    <x v="4"/>
    <x v="0"/>
    <s v="Freshwater"/>
    <x v="0"/>
    <x v="0"/>
    <s v="848"/>
    <s v="Skykomish River, So. Fork"/>
    <s v="Skykomish River, So. Fork"/>
    <s v="Snohomish/King"/>
    <x v="0"/>
    <s v="King"/>
    <s v="06King"/>
    <s v="02South Puget Sound"/>
    <n v="3"/>
    <n v="3"/>
    <n v="25.619999999999997"/>
  </r>
  <r>
    <n v="234"/>
    <x v="0"/>
    <x v="4"/>
    <x v="0"/>
    <s v="Freshwater"/>
    <x v="0"/>
    <x v="0"/>
    <s v="848"/>
    <s v="Skykomish River, So. Fork"/>
    <s v="Skykomish River, So. Fork"/>
    <s v="Snohomish/King"/>
    <x v="0"/>
    <s v="Pierce"/>
    <s v="07Pierce"/>
    <s v="02South Puget Sound"/>
    <n v="3"/>
    <n v="3"/>
    <n v="25.619999999999997"/>
  </r>
  <r>
    <n v="258"/>
    <x v="0"/>
    <x v="4"/>
    <x v="0"/>
    <s v="Freshwater"/>
    <x v="0"/>
    <x v="0"/>
    <s v="852"/>
    <s v="Snoqualmie River"/>
    <s v="Snoqualmie River"/>
    <s v="Snohomish/King"/>
    <x v="0"/>
    <s v="King"/>
    <s v="06King"/>
    <s v="02South Puget Sound"/>
    <n v="64.307692307692307"/>
    <n v="64.307692307692307"/>
    <n v="549.18769230769226"/>
  </r>
  <r>
    <n v="259"/>
    <x v="0"/>
    <x v="4"/>
    <x v="0"/>
    <s v="Freshwater"/>
    <x v="0"/>
    <x v="0"/>
    <s v="852"/>
    <s v="Snoqualmie River"/>
    <s v="Snoqualmie River"/>
    <s v="Snohomish/King"/>
    <x v="0"/>
    <s v="Other"/>
    <s v="20Other"/>
    <s v="07Non Puget Sound"/>
    <n v="2.9230769230769198"/>
    <n v="2.9230769230769198"/>
    <n v="24.963076923076894"/>
  </r>
  <r>
    <n v="260"/>
    <x v="0"/>
    <x v="4"/>
    <x v="0"/>
    <s v="Freshwater"/>
    <x v="0"/>
    <x v="0"/>
    <s v="852"/>
    <s v="Snoqualmie River"/>
    <s v="Snoqualmie River"/>
    <s v="Snohomish/King"/>
    <x v="0"/>
    <s v="Snohomish"/>
    <s v="03Snohomish"/>
    <s v="01North Puget Sound"/>
    <n v="8.7692307692307701"/>
    <n v="8.7692307692307701"/>
    <n v="74.889230769230764"/>
  </r>
  <r>
    <n v="315"/>
    <x v="0"/>
    <x v="4"/>
    <x v="0"/>
    <s v="Freshwater"/>
    <x v="0"/>
    <x v="0"/>
    <s v="872"/>
    <s v="Stillaguamish R, No. Fork"/>
    <s v="Stillaguamish R, No. Fork"/>
    <s v="Snohomish"/>
    <x v="0"/>
    <s v="Skagit"/>
    <s v="02Skagit"/>
    <s v="01North Puget Sound"/>
    <n v="3"/>
    <n v="3"/>
    <n v="25.619999999999997"/>
  </r>
  <r>
    <n v="316"/>
    <x v="0"/>
    <x v="4"/>
    <x v="0"/>
    <s v="Freshwater"/>
    <x v="0"/>
    <x v="0"/>
    <s v="872"/>
    <s v="Stillaguamish R, No. Fork"/>
    <s v="Stillaguamish R, No. Fork"/>
    <s v="Snohomish"/>
    <x v="0"/>
    <s v="Snohomish"/>
    <s v="03Snohomish"/>
    <s v="01North Puget Sound"/>
    <n v="12"/>
    <n v="12"/>
    <n v="102.47999999999999"/>
  </r>
  <r>
    <n v="329"/>
    <x v="0"/>
    <x v="4"/>
    <x v="0"/>
    <s v="Freshwater"/>
    <x v="0"/>
    <x v="0"/>
    <s v="876"/>
    <s v="Stillaguamish River"/>
    <s v="Stillaguamish River"/>
    <s v="Snohomish"/>
    <x v="0"/>
    <s v="Snohomish"/>
    <s v="03Snohomish"/>
    <s v="01North Puget Sound"/>
    <n v="3"/>
    <n v="3"/>
    <n v="25.619999999999997"/>
  </r>
  <r>
    <n v="277"/>
    <x v="0"/>
    <x v="4"/>
    <x v="0"/>
    <s v="Freshwater"/>
    <x v="0"/>
    <x v="0"/>
    <s v="854"/>
    <s v="Sultan River"/>
    <s v="Sultan River"/>
    <s v="Snohomish"/>
    <x v="0"/>
    <s v="King"/>
    <s v="06King"/>
    <s v="02South Puget Sound"/>
    <n v="3"/>
    <n v="3"/>
    <n v="25.619999999999997"/>
  </r>
  <r>
    <n v="293"/>
    <x v="0"/>
    <x v="4"/>
    <x v="0"/>
    <s v="Freshwater"/>
    <x v="0"/>
    <x v="0"/>
    <s v="858"/>
    <s v="Tolt River"/>
    <s v="Tolt River"/>
    <s v="King"/>
    <x v="0"/>
    <s v="King"/>
    <s v="06King"/>
    <s v="02South Puget Sound"/>
    <n v="6"/>
    <n v="6"/>
    <n v="51.239999999999995"/>
  </r>
  <r>
    <n v="99"/>
    <x v="0"/>
    <x v="4"/>
    <x v="0"/>
    <s v="Freshwater"/>
    <x v="0"/>
    <x v="0"/>
    <s v="808"/>
    <s v="White (Stuck) River"/>
    <s v="White (Stuck) River"/>
    <s v="Pierce"/>
    <x v="2"/>
    <s v="Other"/>
    <s v="20Other"/>
    <s v="07Non Puget Sound"/>
    <n v="8"/>
    <n v="8"/>
    <n v="68.319999999999993"/>
  </r>
  <r>
    <n v="340"/>
    <x v="0"/>
    <x v="5"/>
    <x v="0"/>
    <s v="Freshwater"/>
    <x v="0"/>
    <x v="0"/>
    <s v="9"/>
    <s v="Area 9: Admiralty Inlet"/>
    <s v="Area 9: Admiralty Inlet"/>
    <s v="NA"/>
    <x v="0"/>
    <s v="Snohomish"/>
    <s v="03Snohomish"/>
    <s v="01North Puget Sound"/>
    <n v="4"/>
    <n v="4"/>
    <n v="34.159999999999997"/>
  </r>
  <r>
    <n v="110"/>
    <x v="0"/>
    <x v="5"/>
    <x v="0"/>
    <s v="Freshwater"/>
    <x v="0"/>
    <x v="0"/>
    <s v="826"/>
    <s v="Cascade River"/>
    <s v="Cascade River"/>
    <s v="Skagit"/>
    <x v="1"/>
    <s v="Island"/>
    <s v="04Island"/>
    <s v="01North Puget Sound"/>
    <n v="1.71428571428571"/>
    <n v="1.71428571428571"/>
    <n v="14.639999999999961"/>
  </r>
  <r>
    <n v="111"/>
    <x v="0"/>
    <x v="5"/>
    <x v="0"/>
    <s v="Freshwater"/>
    <x v="0"/>
    <x v="0"/>
    <s v="826"/>
    <s v="Cascade River"/>
    <s v="Cascade River"/>
    <s v="Skagit"/>
    <x v="1"/>
    <s v="King"/>
    <s v="06King"/>
    <s v="02South Puget Sound"/>
    <n v="1.71428571428571"/>
    <n v="1.71428571428571"/>
    <n v="14.639999999999961"/>
  </r>
  <r>
    <n v="112"/>
    <x v="0"/>
    <x v="5"/>
    <x v="0"/>
    <s v="Freshwater"/>
    <x v="0"/>
    <x v="0"/>
    <s v="826"/>
    <s v="Cascade River"/>
    <s v="Cascade River"/>
    <s v="Skagit"/>
    <x v="1"/>
    <s v="Pierce"/>
    <s v="07Pierce"/>
    <s v="02South Puget Sound"/>
    <n v="1.71428571428571"/>
    <n v="1.71428571428571"/>
    <n v="14.639999999999961"/>
  </r>
  <r>
    <n v="113"/>
    <x v="0"/>
    <x v="5"/>
    <x v="0"/>
    <s v="Freshwater"/>
    <x v="0"/>
    <x v="0"/>
    <s v="826"/>
    <s v="Cascade River"/>
    <s v="Cascade River"/>
    <s v="Skagit"/>
    <x v="1"/>
    <s v="San Juan"/>
    <s v="05San Juan"/>
    <s v="01North Puget Sound"/>
    <n v="3.4285714285714302"/>
    <n v="3.4285714285714302"/>
    <n v="29.280000000000012"/>
  </r>
  <r>
    <n v="114"/>
    <x v="0"/>
    <x v="5"/>
    <x v="0"/>
    <s v="Freshwater"/>
    <x v="0"/>
    <x v="0"/>
    <s v="826"/>
    <s v="Cascade River"/>
    <s v="Cascade River"/>
    <s v="Skagit"/>
    <x v="1"/>
    <s v="Skagit"/>
    <s v="02Skagit"/>
    <s v="01North Puget Sound"/>
    <n v="1.71428571428571"/>
    <n v="1.71428571428571"/>
    <n v="14.639999999999961"/>
  </r>
  <r>
    <n v="115"/>
    <x v="0"/>
    <x v="5"/>
    <x v="0"/>
    <s v="Freshwater"/>
    <x v="0"/>
    <x v="0"/>
    <s v="826"/>
    <s v="Cascade River"/>
    <s v="Cascade River"/>
    <s v="Skagit"/>
    <x v="1"/>
    <s v="Snohomish"/>
    <s v="03Snohomish"/>
    <s v="01North Puget Sound"/>
    <n v="12"/>
    <n v="12"/>
    <n v="102.47999999999999"/>
  </r>
  <r>
    <n v="116"/>
    <x v="0"/>
    <x v="5"/>
    <x v="0"/>
    <s v="Freshwater"/>
    <x v="0"/>
    <x v="0"/>
    <s v="826"/>
    <s v="Cascade River"/>
    <s v="Cascade River"/>
    <s v="Skagit"/>
    <x v="1"/>
    <s v="Whatcom"/>
    <s v="01Whatcom"/>
    <s v="01North Puget Sound"/>
    <n v="13.714285714285699"/>
    <n v="13.714285714285699"/>
    <n v="117.11999999999986"/>
  </r>
  <r>
    <n v="27"/>
    <x v="0"/>
    <x v="5"/>
    <x v="0"/>
    <s v="Freshwater"/>
    <x v="0"/>
    <x v="0"/>
    <s v="746"/>
    <s v="Green (Duwamish River) (King Co.)"/>
    <s v="Green - Duwamish River"/>
    <s v="King"/>
    <x v="2"/>
    <s v="King"/>
    <s v="06King"/>
    <s v="02South Puget Sound"/>
    <n v="35.862068965517302"/>
    <n v="35.862068965517302"/>
    <n v="306.26206896551776"/>
  </r>
  <r>
    <n v="28"/>
    <x v="0"/>
    <x v="5"/>
    <x v="0"/>
    <s v="Freshwater"/>
    <x v="0"/>
    <x v="0"/>
    <s v="746"/>
    <s v="Green (Duwamish River) (King Co.)"/>
    <s v="Green - Duwamish River"/>
    <s v="King"/>
    <x v="2"/>
    <s v="Other"/>
    <s v="20Other"/>
    <s v="07Non Puget Sound"/>
    <n v="1.7931034482758601"/>
    <n v="1.7931034482758601"/>
    <n v="15.313103448275843"/>
  </r>
  <r>
    <n v="29"/>
    <x v="0"/>
    <x v="5"/>
    <x v="0"/>
    <s v="Freshwater"/>
    <x v="0"/>
    <x v="0"/>
    <s v="746"/>
    <s v="Green (Duwamish River) (King Co.)"/>
    <s v="Green - Duwamish River"/>
    <s v="King"/>
    <x v="2"/>
    <s v="Pierce"/>
    <s v="07Pierce"/>
    <s v="02South Puget Sound"/>
    <n v="14.3448275862069"/>
    <n v="14.3448275862069"/>
    <n v="122.50482758620691"/>
  </r>
  <r>
    <n v="66"/>
    <x v="0"/>
    <x v="5"/>
    <x v="0"/>
    <s v="Freshwater"/>
    <x v="0"/>
    <x v="0"/>
    <s v="768"/>
    <s v="Lyre River"/>
    <s v="Lyre River"/>
    <s v="Clallam"/>
    <x v="3"/>
    <s v="Clallam"/>
    <s v="11Clallam"/>
    <s v="03Strait of Juan de Fuca"/>
    <n v="34.9375"/>
    <n v="34.9375"/>
    <n v="298.36624999999998"/>
  </r>
  <r>
    <n v="67"/>
    <x v="0"/>
    <x v="5"/>
    <x v="0"/>
    <s v="Freshwater"/>
    <x v="0"/>
    <x v="0"/>
    <s v="768"/>
    <s v="Lyre River"/>
    <s v="Lyre River"/>
    <s v="Clallam"/>
    <x v="3"/>
    <s v="Island"/>
    <s v="04Island"/>
    <s v="01North Puget Sound"/>
    <n v="8.0625"/>
    <n v="8.0625"/>
    <n v="68.853749999999991"/>
  </r>
  <r>
    <n v="84"/>
    <x v="0"/>
    <x v="5"/>
    <x v="0"/>
    <s v="Freshwater"/>
    <x v="0"/>
    <x v="0"/>
    <s v="786"/>
    <s v="Nisqually River"/>
    <s v="Nisqually River"/>
    <s v="Thurston/Pierce"/>
    <x v="2"/>
    <s v="King"/>
    <s v="06King"/>
    <s v="02South Puget Sound"/>
    <n v="0"/>
    <n v="0"/>
    <n v="0"/>
  </r>
  <r>
    <n v="97"/>
    <x v="0"/>
    <x v="5"/>
    <x v="0"/>
    <s v="Freshwater"/>
    <x v="0"/>
    <x v="0"/>
    <s v="804"/>
    <s v="Puyallup River"/>
    <s v="Puyallup River"/>
    <s v="Pierce"/>
    <x v="2"/>
    <s v="Pierce"/>
    <s v="07Pierce"/>
    <s v="02South Puget Sound"/>
    <n v="11"/>
    <n v="11"/>
    <n v="93.94"/>
  </r>
  <r>
    <n v="171"/>
    <x v="0"/>
    <x v="5"/>
    <x v="0"/>
    <s v="Freshwater"/>
    <x v="0"/>
    <x v="0"/>
    <s v="842"/>
    <s v="Raging River"/>
    <s v="Raging River"/>
    <s v="King"/>
    <x v="2"/>
    <s v="King"/>
    <s v="06King"/>
    <s v="02South Puget Sound"/>
    <n v="6"/>
    <n v="6"/>
    <n v="51.239999999999995"/>
  </r>
  <r>
    <n v="172"/>
    <x v="0"/>
    <x v="5"/>
    <x v="0"/>
    <s v="Freshwater"/>
    <x v="0"/>
    <x v="0"/>
    <s v="842"/>
    <s v="Raging River"/>
    <s v="Raging River"/>
    <s v="King"/>
    <x v="2"/>
    <s v="Snohomish"/>
    <s v="03Snohomish"/>
    <s v="01North Puget Sound"/>
    <n v="3"/>
    <n v="3"/>
    <n v="25.619999999999997"/>
  </r>
  <r>
    <n v="145"/>
    <x v="0"/>
    <x v="5"/>
    <x v="0"/>
    <s v="Freshwater"/>
    <x v="0"/>
    <x v="0"/>
    <s v="828"/>
    <s v="Sauk River"/>
    <s v="Sauk River"/>
    <s v="Skagit/Snohomish"/>
    <x v="0"/>
    <s v="Snohomish"/>
    <s v="03Snohomish"/>
    <s v="01North Puget Sound"/>
    <n v="2"/>
    <n v="2"/>
    <n v="17.079999999999998"/>
  </r>
  <r>
    <n v="149"/>
    <x v="0"/>
    <x v="5"/>
    <x v="0"/>
    <s v="Freshwater"/>
    <x v="0"/>
    <x v="0"/>
    <s v="830"/>
    <s v="Skagit River"/>
    <s v="Skagit River"/>
    <s v="Skagit/Whatcom"/>
    <x v="0"/>
    <s v="Skagit"/>
    <s v="02Skagit"/>
    <s v="01North Puget Sound"/>
    <n v="3.3333333333333299"/>
    <n v="3.3333333333333299"/>
    <n v="28.466666666666633"/>
  </r>
  <r>
    <n v="150"/>
    <x v="0"/>
    <x v="5"/>
    <x v="0"/>
    <s v="Freshwater"/>
    <x v="0"/>
    <x v="0"/>
    <s v="830"/>
    <s v="Skagit River"/>
    <s v="Skagit River"/>
    <s v="Skagit/Whatcom"/>
    <x v="0"/>
    <s v="Snohomish"/>
    <s v="03Snohomish"/>
    <s v="01North Puget Sound"/>
    <n v="1.6666666666666701"/>
    <n v="1.6666666666666701"/>
    <n v="14.233333333333361"/>
  </r>
  <r>
    <n v="194"/>
    <x v="0"/>
    <x v="5"/>
    <x v="0"/>
    <s v="Freshwater"/>
    <x v="0"/>
    <x v="0"/>
    <s v="844"/>
    <s v="Skykomish River"/>
    <s v="Skykomish River"/>
    <s v="Snohomish"/>
    <x v="0"/>
    <s v="King"/>
    <s v="06King"/>
    <s v="02South Puget Sound"/>
    <n v="32.131578947368403"/>
    <n v="32.131578947368403"/>
    <n v="274.40368421052614"/>
  </r>
  <r>
    <n v="195"/>
    <x v="0"/>
    <x v="5"/>
    <x v="0"/>
    <s v="Freshwater"/>
    <x v="0"/>
    <x v="0"/>
    <s v="844"/>
    <s v="Skykomish River"/>
    <s v="Skykomish River"/>
    <s v="Snohomish"/>
    <x v="0"/>
    <s v="Snohomish"/>
    <s v="03Snohomish"/>
    <s v="01North Puget Sound"/>
    <n v="75.947368421052701"/>
    <n v="75.947368421052701"/>
    <n v="648.59052631579004"/>
  </r>
  <r>
    <n v="196"/>
    <x v="0"/>
    <x v="5"/>
    <x v="0"/>
    <s v="Freshwater"/>
    <x v="0"/>
    <x v="0"/>
    <s v="844"/>
    <s v="Skykomish River"/>
    <s v="Skykomish River"/>
    <s v="Snohomish"/>
    <x v="0"/>
    <s v="Whatcom"/>
    <s v="01Whatcom"/>
    <s v="01North Puget Sound"/>
    <n v="2.92105263157895"/>
    <n v="2.92105263157895"/>
    <n v="24.945789473684229"/>
  </r>
  <r>
    <n v="222"/>
    <x v="0"/>
    <x v="5"/>
    <x v="0"/>
    <s v="Freshwater"/>
    <x v="0"/>
    <x v="0"/>
    <s v="846"/>
    <s v="Skykomish River, No. Fork"/>
    <s v="Skykomish River, No. Fork"/>
    <s v="Snohomish"/>
    <x v="0"/>
    <s v="Snohomish"/>
    <s v="03Snohomish"/>
    <s v="01North Puget Sound"/>
    <n v="12"/>
    <n v="12"/>
    <n v="102.47999999999999"/>
  </r>
  <r>
    <n v="235"/>
    <x v="0"/>
    <x v="5"/>
    <x v="0"/>
    <s v="Freshwater"/>
    <x v="0"/>
    <x v="0"/>
    <s v="848"/>
    <s v="Skykomish River, So. Fork"/>
    <s v="Skykomish River, So. Fork"/>
    <s v="Snohomish/King"/>
    <x v="0"/>
    <s v="King"/>
    <s v="06King"/>
    <s v="02South Puget Sound"/>
    <n v="3"/>
    <n v="3"/>
    <n v="25.619999999999997"/>
  </r>
  <r>
    <n v="245"/>
    <x v="0"/>
    <x v="5"/>
    <x v="0"/>
    <s v="Freshwater"/>
    <x v="0"/>
    <x v="0"/>
    <s v="850"/>
    <s v="Snohomish River"/>
    <s v="Snohomish River"/>
    <s v="Snohomish"/>
    <x v="0"/>
    <s v="King"/>
    <s v="06King"/>
    <s v="02South Puget Sound"/>
    <n v="3"/>
    <n v="3"/>
    <n v="25.619999999999997"/>
  </r>
  <r>
    <n v="246"/>
    <x v="0"/>
    <x v="5"/>
    <x v="0"/>
    <s v="Freshwater"/>
    <x v="0"/>
    <x v="0"/>
    <s v="850"/>
    <s v="Snohomish River"/>
    <s v="Snohomish River"/>
    <s v="Snohomish"/>
    <x v="0"/>
    <s v="Snohomish"/>
    <s v="03Snohomish"/>
    <s v="01North Puget Sound"/>
    <n v="3"/>
    <n v="3"/>
    <n v="25.619999999999997"/>
  </r>
  <r>
    <n v="261"/>
    <x v="0"/>
    <x v="5"/>
    <x v="0"/>
    <s v="Freshwater"/>
    <x v="0"/>
    <x v="0"/>
    <s v="852"/>
    <s v="Snoqualmie River"/>
    <s v="Snoqualmie River"/>
    <s v="Snohomish/King"/>
    <x v="0"/>
    <s v="King"/>
    <s v="06King"/>
    <s v="02South Puget Sound"/>
    <n v="6"/>
    <n v="6"/>
    <n v="51.239999999999995"/>
  </r>
  <r>
    <n v="317"/>
    <x v="0"/>
    <x v="5"/>
    <x v="0"/>
    <s v="Freshwater"/>
    <x v="0"/>
    <x v="0"/>
    <s v="872"/>
    <s v="Stillaguamish R, No. Fork"/>
    <s v="Stillaguamish R, No. Fork"/>
    <s v="Snohomish"/>
    <x v="0"/>
    <s v="King"/>
    <s v="06King"/>
    <s v="02South Puget Sound"/>
    <n v="3"/>
    <n v="3"/>
    <n v="25.619999999999997"/>
  </r>
  <r>
    <n v="318"/>
    <x v="0"/>
    <x v="5"/>
    <x v="0"/>
    <s v="Freshwater"/>
    <x v="0"/>
    <x v="0"/>
    <s v="872"/>
    <s v="Stillaguamish R, No. Fork"/>
    <s v="Stillaguamish R, No. Fork"/>
    <s v="Snohomish"/>
    <x v="0"/>
    <s v="Snohomish"/>
    <s v="03Snohomish"/>
    <s v="01North Puget Sound"/>
    <n v="3"/>
    <n v="3"/>
    <n v="25.619999999999997"/>
  </r>
  <r>
    <n v="278"/>
    <x v="0"/>
    <x v="5"/>
    <x v="0"/>
    <s v="Freshwater"/>
    <x v="0"/>
    <x v="0"/>
    <s v="854"/>
    <s v="Sultan River"/>
    <s v="Sultan River"/>
    <s v="Snohomish"/>
    <x v="0"/>
    <s v="Other"/>
    <s v="20Other"/>
    <s v="07Non Puget Sound"/>
    <n v="3"/>
    <n v="3"/>
    <n v="25.619999999999997"/>
  </r>
  <r>
    <n v="294"/>
    <x v="0"/>
    <x v="5"/>
    <x v="0"/>
    <s v="Freshwater"/>
    <x v="0"/>
    <x v="0"/>
    <s v="858"/>
    <s v="Tolt River"/>
    <s v="Tolt River"/>
    <s v="King"/>
    <x v="0"/>
    <s v="King"/>
    <s v="06King"/>
    <s v="02South Puget Sound"/>
    <n v="3"/>
    <n v="3"/>
    <n v="25.619999999999997"/>
  </r>
  <r>
    <n v="297"/>
    <x v="0"/>
    <x v="5"/>
    <x v="0"/>
    <s v="Freshwater"/>
    <x v="0"/>
    <x v="0"/>
    <s v="860"/>
    <s v="Wallace River"/>
    <s v="Wallace River"/>
    <s v="Snohomish"/>
    <x v="0"/>
    <s v="King"/>
    <s v="06King"/>
    <s v="02South Puget Sound"/>
    <n v="3"/>
    <n v="3"/>
    <n v="25.619999999999997"/>
  </r>
  <r>
    <n v="341"/>
    <x v="0"/>
    <x v="6"/>
    <x v="0"/>
    <s v="Freshwater"/>
    <x v="0"/>
    <x v="0"/>
    <s v="9"/>
    <s v="Area 9: Admiralty Inlet"/>
    <s v="Area 9: Admiralty Inlet"/>
    <s v="NA"/>
    <x v="0"/>
    <s v="Other"/>
    <s v="20Other"/>
    <s v="07Non Puget Sound"/>
    <n v="2"/>
    <n v="2"/>
    <n v="17.079999999999998"/>
  </r>
  <r>
    <n v="312"/>
    <x v="0"/>
    <x v="6"/>
    <x v="0"/>
    <s v="Freshwater"/>
    <x v="0"/>
    <x v="0"/>
    <s v="866"/>
    <s v="Canyon Creek"/>
    <s v="Canyon Creek"/>
    <s v="Snohomish"/>
    <x v="0"/>
    <s v="Snohomish"/>
    <s v="03Snohomish"/>
    <s v="01North Puget Sound"/>
    <n v="3"/>
    <n v="3"/>
    <n v="25.619999999999997"/>
  </r>
  <r>
    <n v="117"/>
    <x v="0"/>
    <x v="6"/>
    <x v="0"/>
    <s v="Freshwater"/>
    <x v="0"/>
    <x v="0"/>
    <s v="826"/>
    <s v="Cascade River"/>
    <s v="Cascade River"/>
    <s v="Skagit"/>
    <x v="1"/>
    <s v="King"/>
    <s v="06King"/>
    <s v="02South Puget Sound"/>
    <n v="1.7333333333333301"/>
    <n v="1.7333333333333301"/>
    <n v="14.802666666666637"/>
  </r>
  <r>
    <n v="118"/>
    <x v="0"/>
    <x v="6"/>
    <x v="0"/>
    <s v="Freshwater"/>
    <x v="0"/>
    <x v="0"/>
    <s v="826"/>
    <s v="Cascade River"/>
    <s v="Cascade River"/>
    <s v="Skagit"/>
    <x v="1"/>
    <s v="San Juan"/>
    <s v="05San Juan"/>
    <s v="01North Puget Sound"/>
    <n v="6.9333333333333398"/>
    <n v="6.9333333333333398"/>
    <n v="59.210666666666718"/>
  </r>
  <r>
    <n v="119"/>
    <x v="0"/>
    <x v="6"/>
    <x v="0"/>
    <s v="Freshwater"/>
    <x v="0"/>
    <x v="0"/>
    <s v="826"/>
    <s v="Cascade River"/>
    <s v="Cascade River"/>
    <s v="Skagit"/>
    <x v="1"/>
    <s v="Skagit"/>
    <s v="02Skagit"/>
    <s v="01North Puget Sound"/>
    <n v="1.7333333333333301"/>
    <n v="1.7333333333333301"/>
    <n v="14.802666666666637"/>
  </r>
  <r>
    <n v="120"/>
    <x v="0"/>
    <x v="6"/>
    <x v="0"/>
    <s v="Freshwater"/>
    <x v="0"/>
    <x v="0"/>
    <s v="826"/>
    <s v="Cascade River"/>
    <s v="Cascade River"/>
    <s v="Skagit"/>
    <x v="1"/>
    <s v="Snohomish"/>
    <s v="03Snohomish"/>
    <s v="01North Puget Sound"/>
    <n v="13.866666666666699"/>
    <n v="13.866666666666699"/>
    <n v="118.42133333333359"/>
  </r>
  <r>
    <n v="121"/>
    <x v="0"/>
    <x v="6"/>
    <x v="0"/>
    <s v="Freshwater"/>
    <x v="0"/>
    <x v="0"/>
    <s v="826"/>
    <s v="Cascade River"/>
    <s v="Cascade River"/>
    <s v="Skagit"/>
    <x v="1"/>
    <s v="Whatcom"/>
    <s v="01Whatcom"/>
    <s v="01North Puget Sound"/>
    <n v="1.7333333333333301"/>
    <n v="1.7333333333333301"/>
    <n v="14.802666666666637"/>
  </r>
  <r>
    <n v="11"/>
    <x v="0"/>
    <x v="6"/>
    <x v="0"/>
    <s v="Freshwater"/>
    <x v="0"/>
    <x v="0"/>
    <s v="742"/>
    <s v="Elwha River"/>
    <s v="Elwha River"/>
    <s v="Clallam"/>
    <x v="3"/>
    <s v="Clallam"/>
    <s v="11Clallam"/>
    <s v="03Strait of Juan de Fuca"/>
    <n v="8"/>
    <n v="8"/>
    <n v="68.319999999999993"/>
  </r>
  <r>
    <n v="30"/>
    <x v="0"/>
    <x v="6"/>
    <x v="0"/>
    <s v="Freshwater"/>
    <x v="0"/>
    <x v="0"/>
    <s v="746"/>
    <s v="Green (Duwamish River) (King Co.)"/>
    <s v="Green - Duwamish River"/>
    <s v="King"/>
    <x v="2"/>
    <s v="King"/>
    <s v="06King"/>
    <s v="02South Puget Sound"/>
    <n v="21.6666666666667"/>
    <n v="21.6666666666667"/>
    <n v="185.03333333333359"/>
  </r>
  <r>
    <n v="31"/>
    <x v="0"/>
    <x v="6"/>
    <x v="0"/>
    <s v="Freshwater"/>
    <x v="0"/>
    <x v="0"/>
    <s v="746"/>
    <s v="Green (Duwamish River) (King Co.)"/>
    <s v="Green - Duwamish River"/>
    <s v="King"/>
    <x v="2"/>
    <s v="Other"/>
    <s v="20Other"/>
    <s v="07Non Puget Sound"/>
    <n v="3.3333333333333299"/>
    <n v="3.3333333333333299"/>
    <n v="28.466666666666633"/>
  </r>
  <r>
    <n v="32"/>
    <x v="0"/>
    <x v="6"/>
    <x v="0"/>
    <s v="Freshwater"/>
    <x v="0"/>
    <x v="0"/>
    <s v="746"/>
    <s v="Green (Duwamish River) (King Co.)"/>
    <s v="Green - Duwamish River"/>
    <s v="King"/>
    <x v="2"/>
    <s v="Pierce"/>
    <s v="07Pierce"/>
    <s v="02South Puget Sound"/>
    <n v="5"/>
    <n v="5"/>
    <n v="42.699999999999996"/>
  </r>
  <r>
    <n v="68"/>
    <x v="0"/>
    <x v="6"/>
    <x v="0"/>
    <s v="Freshwater"/>
    <x v="0"/>
    <x v="0"/>
    <s v="768"/>
    <s v="Lyre River"/>
    <s v="Lyre River"/>
    <s v="Clallam"/>
    <x v="3"/>
    <s v="Clallam"/>
    <s v="11Clallam"/>
    <s v="03Strait of Juan de Fuca"/>
    <n v="2.6666666666666701"/>
    <n v="2.6666666666666701"/>
    <n v="22.773333333333362"/>
  </r>
  <r>
    <n v="69"/>
    <x v="0"/>
    <x v="6"/>
    <x v="0"/>
    <s v="Freshwater"/>
    <x v="0"/>
    <x v="0"/>
    <s v="768"/>
    <s v="Lyre River"/>
    <s v="Lyre River"/>
    <s v="Clallam"/>
    <x v="3"/>
    <s v="Other"/>
    <s v="20Other"/>
    <s v="07Non Puget Sound"/>
    <n v="1.3333333333333299"/>
    <n v="1.3333333333333299"/>
    <n v="11.386666666666637"/>
  </r>
  <r>
    <n v="85"/>
    <x v="0"/>
    <x v="6"/>
    <x v="0"/>
    <s v="Freshwater"/>
    <x v="0"/>
    <x v="0"/>
    <s v="786"/>
    <s v="Nisqually River"/>
    <s v="Nisqually River"/>
    <s v="Thurston/Pierce"/>
    <x v="2"/>
    <s v="Pierce"/>
    <s v="07Pierce"/>
    <s v="02South Puget Sound"/>
    <n v="0"/>
    <n v="0"/>
    <n v="0"/>
  </r>
  <r>
    <n v="86"/>
    <x v="0"/>
    <x v="6"/>
    <x v="0"/>
    <s v="Freshwater"/>
    <x v="0"/>
    <x v="0"/>
    <s v="790"/>
    <s v="Nooksack River, No. Fork"/>
    <s v="Nooksack River, No. Fork"/>
    <s v="Whatcom"/>
    <x v="1"/>
    <s v="Whatcom"/>
    <s v="01Whatcom"/>
    <s v="01North Puget Sound"/>
    <n v="4"/>
    <n v="4"/>
    <n v="34.159999999999997"/>
  </r>
  <r>
    <n v="173"/>
    <x v="0"/>
    <x v="6"/>
    <x v="0"/>
    <s v="Freshwater"/>
    <x v="0"/>
    <x v="0"/>
    <s v="842"/>
    <s v="Raging River"/>
    <s v="Raging River"/>
    <s v="King"/>
    <x v="2"/>
    <s v="King"/>
    <s v="06King"/>
    <s v="02South Puget Sound"/>
    <n v="3"/>
    <n v="3"/>
    <n v="25.619999999999997"/>
  </r>
  <r>
    <n v="146"/>
    <x v="0"/>
    <x v="6"/>
    <x v="0"/>
    <s v="Freshwater"/>
    <x v="0"/>
    <x v="0"/>
    <s v="828"/>
    <s v="Sauk River"/>
    <s v="Sauk River"/>
    <s v="Skagit/Snohomish"/>
    <x v="0"/>
    <s v="Snohomish"/>
    <s v="03Snohomish"/>
    <s v="01North Puget Sound"/>
    <n v="2"/>
    <n v="2"/>
    <n v="17.079999999999998"/>
  </r>
  <r>
    <n v="151"/>
    <x v="0"/>
    <x v="6"/>
    <x v="0"/>
    <s v="Freshwater"/>
    <x v="0"/>
    <x v="0"/>
    <s v="830"/>
    <s v="Skagit River"/>
    <s v="Skagit River"/>
    <s v="Skagit/Whatcom"/>
    <x v="0"/>
    <s v="Other"/>
    <s v="20Other"/>
    <s v="07Non Puget Sound"/>
    <n v="1.75"/>
    <n v="1.75"/>
    <n v="14.944999999999999"/>
  </r>
  <r>
    <n v="152"/>
    <x v="0"/>
    <x v="6"/>
    <x v="0"/>
    <s v="Freshwater"/>
    <x v="0"/>
    <x v="0"/>
    <s v="830"/>
    <s v="Skagit River"/>
    <s v="Skagit River"/>
    <s v="Skagit/Whatcom"/>
    <x v="0"/>
    <s v="Skagit"/>
    <s v="02Skagit"/>
    <s v="01North Puget Sound"/>
    <n v="3.5"/>
    <n v="3.5"/>
    <n v="29.889999999999997"/>
  </r>
  <r>
    <n v="153"/>
    <x v="0"/>
    <x v="6"/>
    <x v="0"/>
    <s v="Freshwater"/>
    <x v="0"/>
    <x v="0"/>
    <s v="830"/>
    <s v="Skagit River"/>
    <s v="Skagit River"/>
    <s v="Skagit/Whatcom"/>
    <x v="0"/>
    <s v="Snohomish"/>
    <s v="03Snohomish"/>
    <s v="01North Puget Sound"/>
    <n v="1.75"/>
    <n v="1.75"/>
    <n v="14.944999999999999"/>
  </r>
  <r>
    <n v="197"/>
    <x v="0"/>
    <x v="6"/>
    <x v="0"/>
    <s v="Freshwater"/>
    <x v="0"/>
    <x v="0"/>
    <s v="844"/>
    <s v="Skykomish River"/>
    <s v="Skykomish River"/>
    <s v="Snohomish"/>
    <x v="0"/>
    <s v="King"/>
    <s v="06King"/>
    <s v="02South Puget Sound"/>
    <n v="8.7692307692307701"/>
    <n v="8.7692307692307701"/>
    <n v="74.889230769230764"/>
  </r>
  <r>
    <n v="198"/>
    <x v="0"/>
    <x v="6"/>
    <x v="0"/>
    <s v="Freshwater"/>
    <x v="0"/>
    <x v="0"/>
    <s v="844"/>
    <s v="Skykomish River"/>
    <s v="Skykomish River"/>
    <s v="Snohomish"/>
    <x v="0"/>
    <s v="Snohomish"/>
    <s v="03Snohomish"/>
    <s v="01North Puget Sound"/>
    <n v="64.307692307692307"/>
    <n v="64.307692307692307"/>
    <n v="549.18769230769226"/>
  </r>
  <r>
    <n v="199"/>
    <x v="0"/>
    <x v="6"/>
    <x v="0"/>
    <s v="Freshwater"/>
    <x v="0"/>
    <x v="0"/>
    <s v="844"/>
    <s v="Skykomish River"/>
    <s v="Skykomish River"/>
    <s v="Snohomish"/>
    <x v="0"/>
    <s v="Thurston"/>
    <s v="08Thurston"/>
    <s v="02South Puget Sound"/>
    <n v="2.9230769230769198"/>
    <n v="2.9230769230769198"/>
    <n v="24.963076923076894"/>
  </r>
  <r>
    <n v="223"/>
    <x v="0"/>
    <x v="6"/>
    <x v="0"/>
    <s v="Freshwater"/>
    <x v="0"/>
    <x v="0"/>
    <s v="846"/>
    <s v="Skykomish River, No. Fork"/>
    <s v="Skykomish River, No. Fork"/>
    <s v="Snohomish"/>
    <x v="0"/>
    <s v="King"/>
    <s v="06King"/>
    <s v="02South Puget Sound"/>
    <n v="3"/>
    <n v="3"/>
    <n v="25.619999999999997"/>
  </r>
  <r>
    <n v="224"/>
    <x v="0"/>
    <x v="6"/>
    <x v="0"/>
    <s v="Freshwater"/>
    <x v="0"/>
    <x v="0"/>
    <s v="846"/>
    <s v="Skykomish River, No. Fork"/>
    <s v="Skykomish River, No. Fork"/>
    <s v="Snohomish"/>
    <x v="0"/>
    <s v="Pierce"/>
    <s v="07Pierce"/>
    <s v="02South Puget Sound"/>
    <n v="3"/>
    <n v="3"/>
    <n v="25.619999999999997"/>
  </r>
  <r>
    <n v="225"/>
    <x v="0"/>
    <x v="6"/>
    <x v="0"/>
    <s v="Freshwater"/>
    <x v="0"/>
    <x v="0"/>
    <s v="846"/>
    <s v="Skykomish River, No. Fork"/>
    <s v="Skykomish River, No. Fork"/>
    <s v="Snohomish"/>
    <x v="0"/>
    <s v="Snohomish"/>
    <s v="03Snohomish"/>
    <s v="01North Puget Sound"/>
    <n v="6"/>
    <n v="6"/>
    <n v="51.239999999999995"/>
  </r>
  <r>
    <n v="236"/>
    <x v="0"/>
    <x v="6"/>
    <x v="0"/>
    <s v="Freshwater"/>
    <x v="0"/>
    <x v="0"/>
    <s v="848"/>
    <s v="Skykomish River, So. Fork"/>
    <s v="Skykomish River, So. Fork"/>
    <s v="Snohomish/King"/>
    <x v="0"/>
    <s v="Snohomish"/>
    <s v="03Snohomish"/>
    <s v="01North Puget Sound"/>
    <n v="3"/>
    <n v="3"/>
    <n v="25.619999999999997"/>
  </r>
  <r>
    <n v="247"/>
    <x v="0"/>
    <x v="6"/>
    <x v="0"/>
    <s v="Freshwater"/>
    <x v="0"/>
    <x v="0"/>
    <s v="850"/>
    <s v="Snohomish River"/>
    <s v="Snohomish River"/>
    <s v="Snohomish"/>
    <x v="0"/>
    <s v="Snohomish"/>
    <s v="03Snohomish"/>
    <s v="01North Puget Sound"/>
    <n v="6"/>
    <n v="6"/>
    <n v="51.239999999999995"/>
  </r>
  <r>
    <n v="262"/>
    <x v="0"/>
    <x v="6"/>
    <x v="0"/>
    <s v="Freshwater"/>
    <x v="0"/>
    <x v="0"/>
    <s v="852"/>
    <s v="Snoqualmie River"/>
    <s v="Snoqualmie River"/>
    <s v="Snohomish/King"/>
    <x v="0"/>
    <s v="King"/>
    <s v="06King"/>
    <s v="02South Puget Sound"/>
    <n v="6"/>
    <n v="6"/>
    <n v="51.239999999999995"/>
  </r>
  <r>
    <n v="263"/>
    <x v="0"/>
    <x v="6"/>
    <x v="0"/>
    <s v="Freshwater"/>
    <x v="0"/>
    <x v="0"/>
    <s v="852"/>
    <s v="Snoqualmie River"/>
    <s v="Snoqualmie River"/>
    <s v="Snohomish/King"/>
    <x v="0"/>
    <s v="Snohomish"/>
    <s v="03Snohomish"/>
    <s v="01North Puget Sound"/>
    <n v="3"/>
    <n v="3"/>
    <n v="25.619999999999997"/>
  </r>
  <r>
    <n v="319"/>
    <x v="0"/>
    <x v="6"/>
    <x v="0"/>
    <s v="Freshwater"/>
    <x v="0"/>
    <x v="0"/>
    <s v="872"/>
    <s v="Stillaguamish R, No. Fork"/>
    <s v="Stillaguamish R, No. Fork"/>
    <s v="Snohomish"/>
    <x v="0"/>
    <s v="King"/>
    <s v="06King"/>
    <s v="02South Puget Sound"/>
    <n v="6"/>
    <n v="6"/>
    <n v="51.239999999999995"/>
  </r>
  <r>
    <n v="320"/>
    <x v="0"/>
    <x v="6"/>
    <x v="0"/>
    <s v="Freshwater"/>
    <x v="0"/>
    <x v="0"/>
    <s v="872"/>
    <s v="Stillaguamish R, No. Fork"/>
    <s v="Stillaguamish R, No. Fork"/>
    <s v="Snohomish"/>
    <x v="0"/>
    <s v="Snohomish"/>
    <s v="03Snohomish"/>
    <s v="01North Puget Sound"/>
    <n v="6"/>
    <n v="6"/>
    <n v="51.239999999999995"/>
  </r>
  <r>
    <n v="328"/>
    <x v="0"/>
    <x v="6"/>
    <x v="0"/>
    <s v="Freshwater"/>
    <x v="0"/>
    <x v="0"/>
    <s v="874"/>
    <s v="Stillaguamish R, So. Fork"/>
    <s v="Stillaguamish R, So. Fork"/>
    <s v="Snohomish"/>
    <x v="0"/>
    <s v="Snohomish"/>
    <s v="03Snohomish"/>
    <s v="01North Puget Sound"/>
    <n v="3"/>
    <n v="3"/>
    <n v="25.619999999999997"/>
  </r>
  <r>
    <n v="330"/>
    <x v="0"/>
    <x v="6"/>
    <x v="0"/>
    <s v="Freshwater"/>
    <x v="0"/>
    <x v="0"/>
    <s v="876"/>
    <s v="Stillaguamish River"/>
    <s v="Stillaguamish River"/>
    <s v="Snohomish"/>
    <x v="0"/>
    <s v="Island"/>
    <s v="04Island"/>
    <s v="01North Puget Sound"/>
    <n v="3"/>
    <n v="3"/>
    <n v="25.619999999999997"/>
  </r>
  <r>
    <n v="279"/>
    <x v="0"/>
    <x v="6"/>
    <x v="0"/>
    <s v="Freshwater"/>
    <x v="0"/>
    <x v="0"/>
    <s v="854"/>
    <s v="Sultan River"/>
    <s v="Sultan River"/>
    <s v="Snohomish"/>
    <x v="0"/>
    <s v="Other"/>
    <s v="20Other"/>
    <s v="07Non Puget Sound"/>
    <n v="2"/>
    <n v="2"/>
    <n v="17.079999999999998"/>
  </r>
  <r>
    <n v="280"/>
    <x v="0"/>
    <x v="6"/>
    <x v="0"/>
    <s v="Freshwater"/>
    <x v="0"/>
    <x v="0"/>
    <s v="854"/>
    <s v="Sultan River"/>
    <s v="Sultan River"/>
    <s v="Snohomish"/>
    <x v="0"/>
    <s v="Snohomish"/>
    <s v="03Snohomish"/>
    <s v="01North Puget Sound"/>
    <n v="4"/>
    <n v="4"/>
    <n v="34.159999999999997"/>
  </r>
  <r>
    <n v="298"/>
    <x v="0"/>
    <x v="6"/>
    <x v="0"/>
    <s v="Freshwater"/>
    <x v="0"/>
    <x v="0"/>
    <s v="860"/>
    <s v="Wallace River"/>
    <s v="Wallace River"/>
    <s v="Snohomish"/>
    <x v="0"/>
    <s v="King"/>
    <s v="06King"/>
    <s v="02South Puget Sound"/>
    <n v="6"/>
    <n v="6"/>
    <n v="51.239999999999995"/>
  </r>
  <r>
    <n v="299"/>
    <x v="0"/>
    <x v="6"/>
    <x v="0"/>
    <s v="Freshwater"/>
    <x v="0"/>
    <x v="0"/>
    <s v="860"/>
    <s v="Wallace River"/>
    <s v="Wallace River"/>
    <s v="Snohomish"/>
    <x v="0"/>
    <s v="Snohomish"/>
    <s v="03Snohomish"/>
    <s v="01North Puget Sound"/>
    <n v="6"/>
    <n v="6"/>
    <n v="51.239999999999995"/>
  </r>
  <r>
    <n v="342"/>
    <x v="0"/>
    <x v="7"/>
    <x v="0"/>
    <s v="Freshwater"/>
    <x v="0"/>
    <x v="0"/>
    <s v="9"/>
    <s v="Area 9: Admiralty Inlet"/>
    <s v="Area 9: Admiralty Inlet"/>
    <s v="NA"/>
    <x v="0"/>
    <s v="Island"/>
    <s v="04Island"/>
    <s v="01North Puget Sound"/>
    <n v="3"/>
    <n v="3"/>
    <n v="25.619999999999997"/>
  </r>
  <r>
    <n v="122"/>
    <x v="0"/>
    <x v="7"/>
    <x v="0"/>
    <s v="Freshwater"/>
    <x v="0"/>
    <x v="0"/>
    <s v="826"/>
    <s v="Cascade River"/>
    <s v="Cascade River"/>
    <s v="Skagit"/>
    <x v="1"/>
    <s v="Island"/>
    <s v="04Island"/>
    <s v="01North Puget Sound"/>
    <n v="5.68"/>
    <n v="5.68"/>
    <n v="48.50719999999999"/>
  </r>
  <r>
    <n v="123"/>
    <x v="0"/>
    <x v="7"/>
    <x v="0"/>
    <s v="Freshwater"/>
    <x v="0"/>
    <x v="0"/>
    <s v="826"/>
    <s v="Cascade River"/>
    <s v="Cascade River"/>
    <s v="Skagit"/>
    <x v="1"/>
    <s v="San Juan"/>
    <s v="05San Juan"/>
    <s v="01North Puget Sound"/>
    <n v="11.36"/>
    <n v="11.36"/>
    <n v="97.014399999999981"/>
  </r>
  <r>
    <n v="124"/>
    <x v="0"/>
    <x v="7"/>
    <x v="0"/>
    <s v="Freshwater"/>
    <x v="0"/>
    <x v="0"/>
    <s v="826"/>
    <s v="Cascade River"/>
    <s v="Cascade River"/>
    <s v="Skagit"/>
    <x v="1"/>
    <s v="Skagit"/>
    <s v="02Skagit"/>
    <s v="01North Puget Sound"/>
    <n v="56.8"/>
    <n v="56.8"/>
    <n v="485.07199999999995"/>
  </r>
  <r>
    <n v="125"/>
    <x v="0"/>
    <x v="7"/>
    <x v="0"/>
    <s v="Freshwater"/>
    <x v="0"/>
    <x v="0"/>
    <s v="826"/>
    <s v="Cascade River"/>
    <s v="Cascade River"/>
    <s v="Skagit"/>
    <x v="1"/>
    <s v="Snohomish"/>
    <s v="03Snohomish"/>
    <s v="01North Puget Sound"/>
    <n v="59.64"/>
    <n v="59.64"/>
    <n v="509.32559999999995"/>
  </r>
  <r>
    <n v="126"/>
    <x v="0"/>
    <x v="7"/>
    <x v="0"/>
    <s v="Freshwater"/>
    <x v="0"/>
    <x v="0"/>
    <s v="826"/>
    <s v="Cascade River"/>
    <s v="Cascade River"/>
    <s v="Skagit"/>
    <x v="1"/>
    <s v="Whatcom"/>
    <s v="01Whatcom"/>
    <s v="01North Puget Sound"/>
    <n v="8.52"/>
    <n v="8.52"/>
    <n v="72.760799999999989"/>
  </r>
  <r>
    <n v="8"/>
    <x v="0"/>
    <x v="7"/>
    <x v="0"/>
    <s v="Freshwater"/>
    <x v="0"/>
    <x v="0"/>
    <s v="738"/>
    <s v="Dungeness River"/>
    <s v="Dungeness River"/>
    <s v="Clallam"/>
    <x v="3"/>
    <s v="Clallam"/>
    <s v="11Clallam"/>
    <s v="03Strait of Juan de Fuca"/>
    <n v="14"/>
    <n v="14"/>
    <n v="119.55999999999999"/>
  </r>
  <r>
    <n v="12"/>
    <x v="0"/>
    <x v="7"/>
    <x v="0"/>
    <s v="Freshwater"/>
    <x v="0"/>
    <x v="0"/>
    <s v="742"/>
    <s v="Elwha River"/>
    <s v="Elwha River"/>
    <s v="Clallam"/>
    <x v="3"/>
    <s v="Clallam"/>
    <s v="11Clallam"/>
    <s v="03Strait of Juan de Fuca"/>
    <n v="73.852941176470594"/>
    <n v="73.852941176470594"/>
    <n v="630.70411764705887"/>
  </r>
  <r>
    <n v="13"/>
    <x v="0"/>
    <x v="7"/>
    <x v="0"/>
    <s v="Freshwater"/>
    <x v="0"/>
    <x v="0"/>
    <s v="742"/>
    <s v="Elwha River"/>
    <s v="Elwha River"/>
    <s v="Clallam"/>
    <x v="3"/>
    <s v="King"/>
    <s v="06King"/>
    <s v="02South Puget Sound"/>
    <n v="7.1470588235294104"/>
    <n v="7.1470588235294104"/>
    <n v="61.035882352941158"/>
  </r>
  <r>
    <n v="33"/>
    <x v="0"/>
    <x v="7"/>
    <x v="0"/>
    <s v="Freshwater"/>
    <x v="0"/>
    <x v="0"/>
    <s v="746"/>
    <s v="Green (Duwamish River) (King Co.)"/>
    <s v="Green - Duwamish River"/>
    <s v="King"/>
    <x v="2"/>
    <s v="King"/>
    <s v="06King"/>
    <s v="02South Puget Sound"/>
    <n v="23.571428571428601"/>
    <n v="23.571428571428601"/>
    <n v="201.30000000000024"/>
  </r>
  <r>
    <n v="34"/>
    <x v="0"/>
    <x v="7"/>
    <x v="0"/>
    <s v="Freshwater"/>
    <x v="0"/>
    <x v="0"/>
    <s v="746"/>
    <s v="Green (Duwamish River) (King Co.)"/>
    <s v="Green - Duwamish River"/>
    <s v="King"/>
    <x v="2"/>
    <s v="Pierce"/>
    <s v="07Pierce"/>
    <s v="02South Puget Sound"/>
    <n v="19.285714285714299"/>
    <n v="19.285714285714299"/>
    <n v="164.7000000000001"/>
  </r>
  <r>
    <n v="35"/>
    <x v="0"/>
    <x v="7"/>
    <x v="0"/>
    <s v="Freshwater"/>
    <x v="0"/>
    <x v="0"/>
    <s v="746"/>
    <s v="Green (Duwamish River) (King Co.)"/>
    <s v="Green - Duwamish River"/>
    <s v="King"/>
    <x v="2"/>
    <s v="Snohomish"/>
    <s v="03Snohomish"/>
    <s v="01North Puget Sound"/>
    <n v="2.1428571428571401"/>
    <n v="2.1428571428571401"/>
    <n v="18.299999999999976"/>
  </r>
  <r>
    <n v="45"/>
    <x v="0"/>
    <x v="7"/>
    <x v="0"/>
    <s v="Freshwater"/>
    <x v="0"/>
    <x v="0"/>
    <s v="752"/>
    <s v="Hoko River"/>
    <s v="Hoko River"/>
    <s v="Clallam"/>
    <x v="3"/>
    <s v="Clallam"/>
    <s v="11Clallam"/>
    <s v="03Strait of Juan de Fuca"/>
    <n v="28.2"/>
    <n v="28.2"/>
    <n v="240.82799999999997"/>
  </r>
  <r>
    <n v="46"/>
    <x v="0"/>
    <x v="7"/>
    <x v="0"/>
    <s v="Freshwater"/>
    <x v="0"/>
    <x v="0"/>
    <s v="752"/>
    <s v="Hoko River"/>
    <s v="Hoko River"/>
    <s v="Clallam"/>
    <x v="3"/>
    <s v="King"/>
    <s v="06King"/>
    <s v="02South Puget Sound"/>
    <n v="9.4"/>
    <n v="9.4"/>
    <n v="80.275999999999996"/>
  </r>
  <r>
    <n v="47"/>
    <x v="0"/>
    <x v="7"/>
    <x v="0"/>
    <s v="Freshwater"/>
    <x v="0"/>
    <x v="0"/>
    <s v="752"/>
    <s v="Hoko River"/>
    <s v="Hoko River"/>
    <s v="Clallam"/>
    <x v="3"/>
    <s v="Other"/>
    <s v="20Other"/>
    <s v="07Non Puget Sound"/>
    <n v="4.7"/>
    <n v="4.7"/>
    <n v="40.137999999999998"/>
  </r>
  <r>
    <n v="48"/>
    <x v="0"/>
    <x v="7"/>
    <x v="0"/>
    <s v="Freshwater"/>
    <x v="0"/>
    <x v="0"/>
    <s v="752"/>
    <s v="Hoko River"/>
    <s v="Hoko River"/>
    <s v="Clallam"/>
    <x v="3"/>
    <s v="Pierce"/>
    <s v="07Pierce"/>
    <s v="02South Puget Sound"/>
    <n v="2.35"/>
    <n v="2.35"/>
    <n v="20.068999999999999"/>
  </r>
  <r>
    <n v="49"/>
    <x v="0"/>
    <x v="7"/>
    <x v="0"/>
    <s v="Freshwater"/>
    <x v="0"/>
    <x v="0"/>
    <s v="752"/>
    <s v="Hoko River"/>
    <s v="Hoko River"/>
    <s v="Clallam"/>
    <x v="3"/>
    <s v="Thurston"/>
    <s v="08Thurston"/>
    <s v="02South Puget Sound"/>
    <n v="2.35"/>
    <n v="2.35"/>
    <n v="20.068999999999999"/>
  </r>
  <r>
    <n v="70"/>
    <x v="0"/>
    <x v="7"/>
    <x v="0"/>
    <s v="Freshwater"/>
    <x v="0"/>
    <x v="0"/>
    <s v="768"/>
    <s v="Lyre River"/>
    <s v="Lyre River"/>
    <s v="Clallam"/>
    <x v="3"/>
    <s v="Clallam"/>
    <s v="11Clallam"/>
    <s v="03Strait of Juan de Fuca"/>
    <n v="49.756097560975597"/>
    <n v="49.756097560975597"/>
    <n v="424.91707317073156"/>
  </r>
  <r>
    <n v="71"/>
    <x v="0"/>
    <x v="7"/>
    <x v="0"/>
    <s v="Freshwater"/>
    <x v="0"/>
    <x v="0"/>
    <s v="768"/>
    <s v="Lyre River"/>
    <s v="Lyre River"/>
    <s v="Clallam"/>
    <x v="3"/>
    <s v="Other"/>
    <s v="20Other"/>
    <s v="07Non Puget Sound"/>
    <n v="18.243902439024399"/>
    <n v="18.243902439024399"/>
    <n v="155.80292682926836"/>
  </r>
  <r>
    <n v="174"/>
    <x v="0"/>
    <x v="7"/>
    <x v="0"/>
    <s v="Freshwater"/>
    <x v="0"/>
    <x v="0"/>
    <s v="842"/>
    <s v="Raging River"/>
    <s v="Raging River"/>
    <s v="King"/>
    <x v="2"/>
    <s v="King"/>
    <s v="06King"/>
    <s v="02South Puget Sound"/>
    <n v="5"/>
    <n v="5"/>
    <n v="42.699999999999996"/>
  </r>
  <r>
    <n v="154"/>
    <x v="0"/>
    <x v="7"/>
    <x v="0"/>
    <s v="Freshwater"/>
    <x v="0"/>
    <x v="0"/>
    <s v="830"/>
    <s v="Skagit River"/>
    <s v="Skagit River"/>
    <s v="Skagit/Whatcom"/>
    <x v="0"/>
    <s v="Other"/>
    <s v="20Other"/>
    <s v="07Non Puget Sound"/>
    <n v="3"/>
    <n v="3"/>
    <n v="25.619999999999997"/>
  </r>
  <r>
    <n v="155"/>
    <x v="0"/>
    <x v="7"/>
    <x v="0"/>
    <s v="Freshwater"/>
    <x v="0"/>
    <x v="0"/>
    <s v="830"/>
    <s v="Skagit River"/>
    <s v="Skagit River"/>
    <s v="Skagit/Whatcom"/>
    <x v="0"/>
    <s v="Skagit"/>
    <s v="02Skagit"/>
    <s v="01North Puget Sound"/>
    <n v="36"/>
    <n v="36"/>
    <n v="307.43999999999994"/>
  </r>
  <r>
    <n v="156"/>
    <x v="0"/>
    <x v="7"/>
    <x v="0"/>
    <s v="Freshwater"/>
    <x v="0"/>
    <x v="0"/>
    <s v="830"/>
    <s v="Skagit River"/>
    <s v="Skagit River"/>
    <s v="Skagit/Whatcom"/>
    <x v="0"/>
    <s v="Whatcom"/>
    <s v="01Whatcom"/>
    <s v="01North Puget Sound"/>
    <n v="3"/>
    <n v="3"/>
    <n v="25.619999999999997"/>
  </r>
  <r>
    <n v="200"/>
    <x v="0"/>
    <x v="7"/>
    <x v="0"/>
    <s v="Freshwater"/>
    <x v="0"/>
    <x v="0"/>
    <s v="844"/>
    <s v="Skykomish River"/>
    <s v="Skykomish River"/>
    <s v="Snohomish"/>
    <x v="0"/>
    <s v="Island"/>
    <s v="04Island"/>
    <s v="01North Puget Sound"/>
    <n v="4.6388888888888902"/>
    <n v="4.6388888888888902"/>
    <n v="39.616111111111117"/>
  </r>
  <r>
    <n v="201"/>
    <x v="0"/>
    <x v="7"/>
    <x v="0"/>
    <s v="Freshwater"/>
    <x v="0"/>
    <x v="0"/>
    <s v="844"/>
    <s v="Skykomish River"/>
    <s v="Skykomish River"/>
    <s v="Snohomish"/>
    <x v="0"/>
    <s v="King"/>
    <s v="06King"/>
    <s v="02South Puget Sound"/>
    <n v="74.2222222222222"/>
    <n v="74.2222222222222"/>
    <n v="633.85777777777753"/>
  </r>
  <r>
    <n v="202"/>
    <x v="0"/>
    <x v="7"/>
    <x v="0"/>
    <s v="Freshwater"/>
    <x v="0"/>
    <x v="0"/>
    <s v="844"/>
    <s v="Skykomish River"/>
    <s v="Skykomish River"/>
    <s v="Snohomish"/>
    <x v="0"/>
    <s v="Snohomish"/>
    <s v="03Snohomish"/>
    <s v="01North Puget Sound"/>
    <n v="88.1388888888889"/>
    <n v="88.1388888888889"/>
    <n v="752.70611111111111"/>
  </r>
  <r>
    <n v="226"/>
    <x v="0"/>
    <x v="7"/>
    <x v="0"/>
    <s v="Freshwater"/>
    <x v="0"/>
    <x v="0"/>
    <s v="846"/>
    <s v="Skykomish River, No. Fork"/>
    <s v="Skykomish River, No. Fork"/>
    <s v="Snohomish"/>
    <x v="0"/>
    <s v="King"/>
    <s v="06King"/>
    <s v="02South Puget Sound"/>
    <n v="2.5"/>
    <n v="2.5"/>
    <n v="21.349999999999998"/>
  </r>
  <r>
    <n v="227"/>
    <x v="0"/>
    <x v="7"/>
    <x v="0"/>
    <s v="Freshwater"/>
    <x v="0"/>
    <x v="0"/>
    <s v="846"/>
    <s v="Skykomish River, No. Fork"/>
    <s v="Skykomish River, No. Fork"/>
    <s v="Snohomish"/>
    <x v="0"/>
    <s v="Snohomish"/>
    <s v="03Snohomish"/>
    <s v="01North Puget Sound"/>
    <n v="2.5"/>
    <n v="2.5"/>
    <n v="21.349999999999998"/>
  </r>
  <r>
    <n v="248"/>
    <x v="0"/>
    <x v="7"/>
    <x v="0"/>
    <s v="Freshwater"/>
    <x v="0"/>
    <x v="0"/>
    <s v="850"/>
    <s v="Snohomish River"/>
    <s v="Snohomish River"/>
    <s v="Snohomish"/>
    <x v="0"/>
    <s v="Snohomish"/>
    <s v="03Snohomish"/>
    <s v="01North Puget Sound"/>
    <n v="63"/>
    <n v="63"/>
    <n v="538.02"/>
  </r>
  <r>
    <n v="264"/>
    <x v="0"/>
    <x v="7"/>
    <x v="0"/>
    <s v="Freshwater"/>
    <x v="0"/>
    <x v="0"/>
    <s v="852"/>
    <s v="Snoqualmie River"/>
    <s v="Snoqualmie River"/>
    <s v="Snohomish/King"/>
    <x v="0"/>
    <s v="King"/>
    <s v="06King"/>
    <s v="02South Puget Sound"/>
    <n v="48.72"/>
    <n v="48.72"/>
    <n v="416.06879999999995"/>
  </r>
  <r>
    <n v="265"/>
    <x v="0"/>
    <x v="7"/>
    <x v="0"/>
    <s v="Freshwater"/>
    <x v="0"/>
    <x v="0"/>
    <s v="852"/>
    <s v="Snoqualmie River"/>
    <s v="Snoqualmie River"/>
    <s v="Snohomish/King"/>
    <x v="0"/>
    <s v="Other"/>
    <s v="20Other"/>
    <s v="07Non Puget Sound"/>
    <n v="2.3199999999999998"/>
    <n v="2.3199999999999998"/>
    <n v="19.812799999999996"/>
  </r>
  <r>
    <n v="266"/>
    <x v="0"/>
    <x v="7"/>
    <x v="0"/>
    <s v="Freshwater"/>
    <x v="0"/>
    <x v="0"/>
    <s v="852"/>
    <s v="Snoqualmie River"/>
    <s v="Snoqualmie River"/>
    <s v="Snohomish/King"/>
    <x v="0"/>
    <s v="Pierce"/>
    <s v="07Pierce"/>
    <s v="02South Puget Sound"/>
    <n v="6.96"/>
    <n v="6.96"/>
    <n v="59.438399999999994"/>
  </r>
  <r>
    <n v="321"/>
    <x v="0"/>
    <x v="7"/>
    <x v="0"/>
    <s v="Freshwater"/>
    <x v="0"/>
    <x v="0"/>
    <s v="872"/>
    <s v="Stillaguamish R, No. Fork"/>
    <s v="Stillaguamish R, No. Fork"/>
    <s v="Snohomish"/>
    <x v="0"/>
    <s v="King"/>
    <s v="06King"/>
    <s v="02South Puget Sound"/>
    <n v="7.28571428571429"/>
    <n v="7.28571428571429"/>
    <n v="62.220000000000027"/>
  </r>
  <r>
    <n v="322"/>
    <x v="0"/>
    <x v="7"/>
    <x v="0"/>
    <s v="Freshwater"/>
    <x v="0"/>
    <x v="0"/>
    <s v="872"/>
    <s v="Stillaguamish R, No. Fork"/>
    <s v="Stillaguamish R, No. Fork"/>
    <s v="Snohomish"/>
    <x v="0"/>
    <s v="Other"/>
    <s v="20Other"/>
    <s v="07Non Puget Sound"/>
    <n v="2.4285714285714302"/>
    <n v="2.4285714285714302"/>
    <n v="20.740000000000013"/>
  </r>
  <r>
    <n v="323"/>
    <x v="0"/>
    <x v="7"/>
    <x v="0"/>
    <s v="Freshwater"/>
    <x v="0"/>
    <x v="0"/>
    <s v="872"/>
    <s v="Stillaguamish R, No. Fork"/>
    <s v="Stillaguamish R, No. Fork"/>
    <s v="Snohomish"/>
    <x v="0"/>
    <s v="Skagit"/>
    <s v="02Skagit"/>
    <s v="01North Puget Sound"/>
    <n v="2.4285714285714302"/>
    <n v="2.4285714285714302"/>
    <n v="20.740000000000013"/>
  </r>
  <r>
    <n v="324"/>
    <x v="0"/>
    <x v="7"/>
    <x v="0"/>
    <s v="Freshwater"/>
    <x v="0"/>
    <x v="0"/>
    <s v="872"/>
    <s v="Stillaguamish R, No. Fork"/>
    <s v="Stillaguamish R, No. Fork"/>
    <s v="Snohomish"/>
    <x v="0"/>
    <s v="Snohomish"/>
    <s v="03Snohomish"/>
    <s v="01North Puget Sound"/>
    <n v="4.8571428571428603"/>
    <n v="4.8571428571428603"/>
    <n v="41.480000000000025"/>
  </r>
  <r>
    <n v="281"/>
    <x v="0"/>
    <x v="7"/>
    <x v="0"/>
    <s v="Freshwater"/>
    <x v="0"/>
    <x v="0"/>
    <s v="854"/>
    <s v="Sultan River"/>
    <s v="Sultan River"/>
    <s v="Snohomish"/>
    <x v="0"/>
    <s v="King"/>
    <s v="06King"/>
    <s v="02South Puget Sound"/>
    <n v="2"/>
    <n v="2"/>
    <n v="17.079999999999998"/>
  </r>
  <r>
    <n v="300"/>
    <x v="0"/>
    <x v="7"/>
    <x v="0"/>
    <s v="Freshwater"/>
    <x v="0"/>
    <x v="0"/>
    <s v="860"/>
    <s v="Wallace River"/>
    <s v="Wallace River"/>
    <s v="Snohomish"/>
    <x v="0"/>
    <s v="King"/>
    <s v="06King"/>
    <s v="02South Puget Sound"/>
    <n v="6"/>
    <n v="6"/>
    <n v="51.239999999999995"/>
  </r>
  <r>
    <n v="301"/>
    <x v="0"/>
    <x v="7"/>
    <x v="0"/>
    <s v="Freshwater"/>
    <x v="0"/>
    <x v="0"/>
    <s v="860"/>
    <s v="Wallace River"/>
    <s v="Wallace River"/>
    <s v="Snohomish"/>
    <x v="0"/>
    <s v="Snohomish"/>
    <s v="03Snohomish"/>
    <s v="01North Puget Sound"/>
    <n v="8"/>
    <n v="8"/>
    <n v="68.319999999999993"/>
  </r>
  <r>
    <n v="343"/>
    <x v="0"/>
    <x v="8"/>
    <x v="0"/>
    <s v="Freshwater"/>
    <x v="0"/>
    <x v="0"/>
    <s v="9"/>
    <s v="Area 9: Admiralty Inlet"/>
    <s v="Area 9: Admiralty Inlet"/>
    <s v="NA"/>
    <x v="0"/>
    <s v="Island"/>
    <s v="04Island"/>
    <s v="01North Puget Sound"/>
    <n v="33.3333333333333"/>
    <n v="33.3333333333333"/>
    <n v="284.66666666666634"/>
  </r>
  <r>
    <n v="344"/>
    <x v="0"/>
    <x v="8"/>
    <x v="0"/>
    <s v="Freshwater"/>
    <x v="0"/>
    <x v="0"/>
    <s v="9"/>
    <s v="Area 9: Admiralty Inlet"/>
    <s v="Area 9: Admiralty Inlet"/>
    <s v="NA"/>
    <x v="0"/>
    <s v="Snohomish"/>
    <s v="03Snohomish"/>
    <s v="01North Puget Sound"/>
    <n v="16.6666666666667"/>
    <n v="16.6666666666667"/>
    <n v="142.3333333333336"/>
  </r>
  <r>
    <n v="313"/>
    <x v="0"/>
    <x v="8"/>
    <x v="0"/>
    <s v="Freshwater"/>
    <x v="0"/>
    <x v="0"/>
    <s v="866"/>
    <s v="Canyon Creek"/>
    <s v="Canyon Creek"/>
    <s v="Snohomish"/>
    <x v="0"/>
    <s v="Snohomish"/>
    <s v="03Snohomish"/>
    <s v="01North Puget Sound"/>
    <n v="5"/>
    <n v="5"/>
    <n v="42.699999999999996"/>
  </r>
  <r>
    <n v="95"/>
    <x v="0"/>
    <x v="8"/>
    <x v="0"/>
    <s v="Freshwater"/>
    <x v="0"/>
    <x v="0"/>
    <s v="802"/>
    <s v="Carbon River"/>
    <s v="Carbon River"/>
    <s v="Pierce"/>
    <x v="2"/>
    <s v="Other"/>
    <s v="20Other"/>
    <s v="07Non Puget Sound"/>
    <n v="2.3333333333333299"/>
    <n v="2.3333333333333299"/>
    <n v="19.926666666666634"/>
  </r>
  <r>
    <n v="96"/>
    <x v="0"/>
    <x v="8"/>
    <x v="0"/>
    <s v="Freshwater"/>
    <x v="0"/>
    <x v="0"/>
    <s v="802"/>
    <s v="Carbon River"/>
    <s v="Carbon River"/>
    <s v="Pierce"/>
    <x v="2"/>
    <s v="Pierce"/>
    <s v="07Pierce"/>
    <s v="02South Puget Sound"/>
    <n v="4.6666666666666696"/>
    <n v="4.6666666666666696"/>
    <n v="39.853333333333353"/>
  </r>
  <r>
    <n v="127"/>
    <x v="0"/>
    <x v="8"/>
    <x v="0"/>
    <s v="Freshwater"/>
    <x v="0"/>
    <x v="0"/>
    <s v="826"/>
    <s v="Cascade River"/>
    <s v="Cascade River"/>
    <s v="Skagit"/>
    <x v="1"/>
    <s v="Island"/>
    <s v="04Island"/>
    <s v="01North Puget Sound"/>
    <n v="21.114754098360699"/>
    <n v="21.114754098360699"/>
    <n v="180.32000000000036"/>
  </r>
  <r>
    <n v="128"/>
    <x v="0"/>
    <x v="8"/>
    <x v="0"/>
    <s v="Freshwater"/>
    <x v="0"/>
    <x v="0"/>
    <s v="826"/>
    <s v="Cascade River"/>
    <s v="Cascade River"/>
    <s v="Skagit"/>
    <x v="1"/>
    <s v="King"/>
    <s v="06King"/>
    <s v="02South Puget Sound"/>
    <n v="9.0491803278688501"/>
    <n v="9.0491803278688501"/>
    <n v="77.279999999999973"/>
  </r>
  <r>
    <n v="129"/>
    <x v="0"/>
    <x v="8"/>
    <x v="0"/>
    <s v="Freshwater"/>
    <x v="0"/>
    <x v="0"/>
    <s v="826"/>
    <s v="Cascade River"/>
    <s v="Cascade River"/>
    <s v="Skagit"/>
    <x v="1"/>
    <s v="Other"/>
    <s v="20Other"/>
    <s v="07Non Puget Sound"/>
    <n v="12.065573770491801"/>
    <n v="12.065573770491801"/>
    <n v="103.03999999999996"/>
  </r>
  <r>
    <n v="130"/>
    <x v="0"/>
    <x v="8"/>
    <x v="0"/>
    <s v="Freshwater"/>
    <x v="0"/>
    <x v="0"/>
    <s v="826"/>
    <s v="Cascade River"/>
    <s v="Cascade River"/>
    <s v="Skagit"/>
    <x v="1"/>
    <s v="Pierce"/>
    <s v="07Pierce"/>
    <s v="02South Puget Sound"/>
    <n v="3.0163934426229502"/>
    <n v="3.0163934426229502"/>
    <n v="25.759999999999991"/>
  </r>
  <r>
    <n v="131"/>
    <x v="0"/>
    <x v="8"/>
    <x v="0"/>
    <s v="Freshwater"/>
    <x v="0"/>
    <x v="0"/>
    <s v="826"/>
    <s v="Cascade River"/>
    <s v="Cascade River"/>
    <s v="Skagit"/>
    <x v="1"/>
    <s v="San Juan"/>
    <s v="05San Juan"/>
    <s v="01North Puget Sound"/>
    <n v="3.0163934426229502"/>
    <n v="3.0163934426229502"/>
    <n v="25.759999999999991"/>
  </r>
  <r>
    <n v="132"/>
    <x v="0"/>
    <x v="8"/>
    <x v="0"/>
    <s v="Freshwater"/>
    <x v="0"/>
    <x v="0"/>
    <s v="826"/>
    <s v="Cascade River"/>
    <s v="Cascade River"/>
    <s v="Skagit"/>
    <x v="1"/>
    <s v="Skagit"/>
    <s v="02Skagit"/>
    <s v="01North Puget Sound"/>
    <n v="174.95081967213099"/>
    <n v="174.95081967213099"/>
    <n v="1494.0799999999986"/>
  </r>
  <r>
    <n v="133"/>
    <x v="0"/>
    <x v="8"/>
    <x v="0"/>
    <s v="Freshwater"/>
    <x v="0"/>
    <x v="0"/>
    <s v="826"/>
    <s v="Cascade River"/>
    <s v="Cascade River"/>
    <s v="Skagit"/>
    <x v="1"/>
    <s v="Snohomish"/>
    <s v="03Snohomish"/>
    <s v="01North Puget Sound"/>
    <n v="87.475409836065595"/>
    <n v="87.475409836065595"/>
    <n v="747.04000000000008"/>
  </r>
  <r>
    <n v="134"/>
    <x v="0"/>
    <x v="8"/>
    <x v="0"/>
    <s v="Freshwater"/>
    <x v="0"/>
    <x v="0"/>
    <s v="826"/>
    <s v="Cascade River"/>
    <s v="Cascade River"/>
    <s v="Skagit"/>
    <x v="1"/>
    <s v="Whatcom"/>
    <s v="01Whatcom"/>
    <s v="01North Puget Sound"/>
    <n v="57.311475409836099"/>
    <n v="57.311475409836099"/>
    <n v="489.44000000000023"/>
  </r>
  <r>
    <n v="1"/>
    <x v="0"/>
    <x v="8"/>
    <x v="0"/>
    <s v="Freshwater"/>
    <x v="0"/>
    <x v="0"/>
    <s v="718"/>
    <s v="Clallam River"/>
    <s v="Clallam River"/>
    <s v="Clallam"/>
    <x v="3"/>
    <s v="Clallam"/>
    <s v="11Clallam"/>
    <s v="03Strait of Juan de Fuca"/>
    <n v="4.6666666666666696"/>
    <n v="4.6666666666666696"/>
    <n v="39.853333333333353"/>
  </r>
  <r>
    <n v="2"/>
    <x v="0"/>
    <x v="8"/>
    <x v="0"/>
    <s v="Freshwater"/>
    <x v="0"/>
    <x v="0"/>
    <s v="718"/>
    <s v="Clallam River"/>
    <s v="Clallam River"/>
    <s v="Clallam"/>
    <x v="3"/>
    <s v="Other"/>
    <s v="20Other"/>
    <s v="07Non Puget Sound"/>
    <n v="2.3333333333333299"/>
    <n v="2.3333333333333299"/>
    <n v="19.926666666666634"/>
  </r>
  <r>
    <n v="3"/>
    <x v="0"/>
    <x v="8"/>
    <x v="0"/>
    <s v="Freshwater"/>
    <x v="0"/>
    <x v="0"/>
    <s v="718"/>
    <s v="Clallam River"/>
    <s v="Clallam River"/>
    <s v="Clallam"/>
    <x v="3"/>
    <s v="Pierce"/>
    <s v="07Pierce"/>
    <s v="02South Puget Sound"/>
    <n v="14"/>
    <n v="14"/>
    <n v="119.55999999999999"/>
  </r>
  <r>
    <n v="4"/>
    <x v="0"/>
    <x v="8"/>
    <x v="0"/>
    <s v="Freshwater"/>
    <x v="0"/>
    <x v="0"/>
    <s v="718"/>
    <s v="Clallam River"/>
    <s v="Clallam River"/>
    <s v="Clallam"/>
    <x v="3"/>
    <s v="Whatcom"/>
    <s v="01Whatcom"/>
    <s v="01North Puget Sound"/>
    <n v="7"/>
    <n v="7"/>
    <n v="59.779999999999994"/>
  </r>
  <r>
    <n v="9"/>
    <x v="0"/>
    <x v="8"/>
    <x v="0"/>
    <s v="Freshwater"/>
    <x v="0"/>
    <x v="0"/>
    <s v="738"/>
    <s v="Dungeness River"/>
    <s v="Dungeness River"/>
    <s v="Clallam"/>
    <x v="3"/>
    <s v="Clallam"/>
    <s v="11Clallam"/>
    <s v="03Strait of Juan de Fuca"/>
    <n v="5"/>
    <n v="5"/>
    <n v="42.699999999999996"/>
  </r>
  <r>
    <n v="14"/>
    <x v="0"/>
    <x v="8"/>
    <x v="0"/>
    <s v="Freshwater"/>
    <x v="0"/>
    <x v="0"/>
    <s v="742"/>
    <s v="Elwha River"/>
    <s v="Elwha River"/>
    <s v="Clallam"/>
    <x v="3"/>
    <s v="Clallam"/>
    <s v="11Clallam"/>
    <s v="03Strait of Juan de Fuca"/>
    <n v="52.6086956521739"/>
    <n v="52.6086956521739"/>
    <n v="449.27826086956503"/>
  </r>
  <r>
    <n v="15"/>
    <x v="0"/>
    <x v="8"/>
    <x v="0"/>
    <s v="Freshwater"/>
    <x v="0"/>
    <x v="0"/>
    <s v="742"/>
    <s v="Elwha River"/>
    <s v="Elwha River"/>
    <s v="Clallam"/>
    <x v="3"/>
    <s v="Snohomish"/>
    <s v="03Snohomish"/>
    <s v="01North Puget Sound"/>
    <n v="2.39130434782609"/>
    <n v="2.39130434782609"/>
    <n v="20.421739130434808"/>
  </r>
  <r>
    <n v="36"/>
    <x v="0"/>
    <x v="8"/>
    <x v="0"/>
    <s v="Freshwater"/>
    <x v="0"/>
    <x v="0"/>
    <s v="746"/>
    <s v="Green (Duwamish River) (King Co.)"/>
    <s v="Green - Duwamish River"/>
    <s v="King"/>
    <x v="2"/>
    <s v="King"/>
    <s v="06King"/>
    <s v="02South Puget Sound"/>
    <n v="164.47959183673501"/>
    <n v="164.47959183673501"/>
    <n v="1404.6557142857168"/>
  </r>
  <r>
    <n v="37"/>
    <x v="0"/>
    <x v="8"/>
    <x v="0"/>
    <s v="Freshwater"/>
    <x v="0"/>
    <x v="0"/>
    <s v="746"/>
    <s v="Green (Duwamish River) (King Co.)"/>
    <s v="Green - Duwamish River"/>
    <s v="King"/>
    <x v="2"/>
    <s v="Other"/>
    <s v="20Other"/>
    <s v="07Non Puget Sound"/>
    <n v="2.0306122448979602"/>
    <n v="2.0306122448979602"/>
    <n v="17.34142857142858"/>
  </r>
  <r>
    <n v="38"/>
    <x v="0"/>
    <x v="8"/>
    <x v="0"/>
    <s v="Freshwater"/>
    <x v="0"/>
    <x v="0"/>
    <s v="746"/>
    <s v="Green (Duwamish River) (King Co.)"/>
    <s v="Green - Duwamish River"/>
    <s v="King"/>
    <x v="2"/>
    <s v="Pierce"/>
    <s v="07Pierce"/>
    <s v="02South Puget Sound"/>
    <n v="26.3979591836735"/>
    <n v="26.3979591836735"/>
    <n v="225.43857142857166"/>
  </r>
  <r>
    <n v="39"/>
    <x v="0"/>
    <x v="8"/>
    <x v="0"/>
    <s v="Freshwater"/>
    <x v="0"/>
    <x v="0"/>
    <s v="746"/>
    <s v="Green (Duwamish River) (King Co.)"/>
    <s v="Green - Duwamish River"/>
    <s v="King"/>
    <x v="2"/>
    <s v="Snohomish"/>
    <s v="03Snohomish"/>
    <s v="01North Puget Sound"/>
    <n v="2.0306122448979602"/>
    <n v="2.0306122448979602"/>
    <n v="17.34142857142858"/>
  </r>
  <r>
    <n v="40"/>
    <x v="0"/>
    <x v="8"/>
    <x v="0"/>
    <s v="Freshwater"/>
    <x v="0"/>
    <x v="0"/>
    <s v="746"/>
    <s v="Green (Duwamish River) (King Co.)"/>
    <s v="Green - Duwamish River"/>
    <s v="King"/>
    <x v="2"/>
    <s v="Whatcom"/>
    <s v="01Whatcom"/>
    <s v="01North Puget Sound"/>
    <n v="4.0612244897959204"/>
    <n v="4.0612244897959204"/>
    <n v="34.682857142857159"/>
  </r>
  <r>
    <n v="50"/>
    <x v="0"/>
    <x v="8"/>
    <x v="0"/>
    <s v="Freshwater"/>
    <x v="0"/>
    <x v="0"/>
    <s v="752"/>
    <s v="Hoko River"/>
    <s v="Hoko River"/>
    <s v="Clallam"/>
    <x v="3"/>
    <s v="Clallam"/>
    <s v="11Clallam"/>
    <s v="03Strait of Juan de Fuca"/>
    <n v="21.130434782608699"/>
    <n v="21.130434782608699"/>
    <n v="180.45391304347828"/>
  </r>
  <r>
    <n v="51"/>
    <x v="0"/>
    <x v="8"/>
    <x v="0"/>
    <s v="Freshwater"/>
    <x v="0"/>
    <x v="0"/>
    <s v="752"/>
    <s v="Hoko River"/>
    <s v="Hoko River"/>
    <s v="Clallam"/>
    <x v="3"/>
    <s v="Island"/>
    <s v="04Island"/>
    <s v="01North Puget Sound"/>
    <n v="14.086956521739101"/>
    <n v="14.086956521739101"/>
    <n v="120.30260869565191"/>
  </r>
  <r>
    <n v="52"/>
    <x v="0"/>
    <x v="8"/>
    <x v="0"/>
    <s v="Freshwater"/>
    <x v="0"/>
    <x v="0"/>
    <s v="752"/>
    <s v="Hoko River"/>
    <s v="Hoko River"/>
    <s v="Clallam"/>
    <x v="3"/>
    <s v="Jefferson"/>
    <s v="12Jefferson"/>
    <s v="03Strait of Juan de Fuca"/>
    <n v="2.3478260869565202"/>
    <n v="2.3478260869565202"/>
    <n v="20.050434782608679"/>
  </r>
  <r>
    <n v="53"/>
    <x v="0"/>
    <x v="8"/>
    <x v="0"/>
    <s v="Freshwater"/>
    <x v="0"/>
    <x v="0"/>
    <s v="752"/>
    <s v="Hoko River"/>
    <s v="Hoko River"/>
    <s v="Clallam"/>
    <x v="3"/>
    <s v="King"/>
    <s v="06King"/>
    <s v="02South Puget Sound"/>
    <n v="4.6956521739130404"/>
    <n v="4.6956521739130404"/>
    <n v="40.100869565217359"/>
  </r>
  <r>
    <n v="54"/>
    <x v="0"/>
    <x v="8"/>
    <x v="0"/>
    <s v="Freshwater"/>
    <x v="0"/>
    <x v="0"/>
    <s v="752"/>
    <s v="Hoko River"/>
    <s v="Hoko River"/>
    <s v="Clallam"/>
    <x v="3"/>
    <s v="Kitsap"/>
    <s v="10Kitsap"/>
    <s v="02South Puget Sound"/>
    <n v="2.3478260869565202"/>
    <n v="2.3478260869565202"/>
    <n v="20.050434782608679"/>
  </r>
  <r>
    <n v="55"/>
    <x v="0"/>
    <x v="8"/>
    <x v="0"/>
    <s v="Freshwater"/>
    <x v="0"/>
    <x v="0"/>
    <s v="752"/>
    <s v="Hoko River"/>
    <s v="Hoko River"/>
    <s v="Clallam"/>
    <x v="3"/>
    <s v="Pierce"/>
    <s v="07Pierce"/>
    <s v="02South Puget Sound"/>
    <n v="4.6956521739130404"/>
    <n v="4.6956521739130404"/>
    <n v="40.100869565217359"/>
  </r>
  <r>
    <n v="56"/>
    <x v="0"/>
    <x v="8"/>
    <x v="0"/>
    <s v="Freshwater"/>
    <x v="0"/>
    <x v="0"/>
    <s v="752"/>
    <s v="Hoko River"/>
    <s v="Hoko River"/>
    <s v="Clallam"/>
    <x v="3"/>
    <s v="Skagit"/>
    <s v="02Skagit"/>
    <s v="01North Puget Sound"/>
    <n v="4.6956521739130404"/>
    <n v="4.6956521739130404"/>
    <n v="40.100869565217359"/>
  </r>
  <r>
    <n v="72"/>
    <x v="0"/>
    <x v="8"/>
    <x v="0"/>
    <s v="Freshwater"/>
    <x v="0"/>
    <x v="0"/>
    <s v="768"/>
    <s v="Lyre River"/>
    <s v="Lyre River"/>
    <s v="Clallam"/>
    <x v="3"/>
    <s v="Clallam"/>
    <s v="11Clallam"/>
    <s v="03Strait of Juan de Fuca"/>
    <n v="86.125"/>
    <n v="86.125"/>
    <n v="735.50749999999994"/>
  </r>
  <r>
    <n v="73"/>
    <x v="0"/>
    <x v="8"/>
    <x v="0"/>
    <s v="Freshwater"/>
    <x v="0"/>
    <x v="0"/>
    <s v="768"/>
    <s v="Lyre River"/>
    <s v="Lyre River"/>
    <s v="Clallam"/>
    <x v="3"/>
    <s v="Jefferson"/>
    <s v="12Jefferson"/>
    <s v="03Strait of Juan de Fuca"/>
    <n v="11.59375"/>
    <n v="11.59375"/>
    <n v="99.01062499999999"/>
  </r>
  <r>
    <n v="74"/>
    <x v="0"/>
    <x v="8"/>
    <x v="0"/>
    <s v="Freshwater"/>
    <x v="0"/>
    <x v="0"/>
    <s v="768"/>
    <s v="Lyre River"/>
    <s v="Lyre River"/>
    <s v="Clallam"/>
    <x v="3"/>
    <s v="King"/>
    <s v="06King"/>
    <s v="02South Puget Sound"/>
    <n v="6.625"/>
    <n v="6.625"/>
    <n v="56.577499999999993"/>
  </r>
  <r>
    <n v="75"/>
    <x v="0"/>
    <x v="8"/>
    <x v="0"/>
    <s v="Freshwater"/>
    <x v="0"/>
    <x v="0"/>
    <s v="768"/>
    <s v="Lyre River"/>
    <s v="Lyre River"/>
    <s v="Clallam"/>
    <x v="3"/>
    <s v="Other"/>
    <s v="20Other"/>
    <s v="07Non Puget Sound"/>
    <n v="1.65625"/>
    <n v="1.65625"/>
    <n v="14.144374999999998"/>
  </r>
  <r>
    <n v="82"/>
    <x v="0"/>
    <x v="8"/>
    <x v="0"/>
    <s v="Freshwater"/>
    <x v="0"/>
    <x v="0"/>
    <s v="782"/>
    <s v="Morse Creek (Clallam Co.)"/>
    <s v="Morse Creek (Clallam Co.)"/>
    <s v="Clallam"/>
    <x v="3"/>
    <s v="Clallam"/>
    <s v="11Clallam"/>
    <s v="03Strait of Juan de Fuca"/>
    <n v="9"/>
    <n v="9"/>
    <n v="76.859999999999985"/>
  </r>
  <r>
    <n v="93"/>
    <x v="0"/>
    <x v="8"/>
    <x v="0"/>
    <s v="Freshwater"/>
    <x v="0"/>
    <x v="0"/>
    <s v="794"/>
    <s v="Nooksack River, below North Fork"/>
    <s v="Nooksack River, below North Fork"/>
    <s v="Whatcom"/>
    <x v="1"/>
    <s v="Whatcom"/>
    <s v="01Whatcom"/>
    <s v="01North Puget Sound"/>
    <n v="14"/>
    <n v="14"/>
    <n v="119.55999999999999"/>
  </r>
  <r>
    <n v="87"/>
    <x v="0"/>
    <x v="8"/>
    <x v="0"/>
    <s v="Freshwater"/>
    <x v="0"/>
    <x v="0"/>
    <s v="790"/>
    <s v="Nooksack River, No. Fork"/>
    <s v="Nooksack River, No. Fork"/>
    <s v="Whatcom"/>
    <x v="1"/>
    <s v="Whatcom"/>
    <s v="01Whatcom"/>
    <s v="01North Puget Sound"/>
    <n v="37"/>
    <n v="37"/>
    <n v="315.97999999999996"/>
  </r>
  <r>
    <n v="90"/>
    <x v="0"/>
    <x v="8"/>
    <x v="0"/>
    <s v="Freshwater"/>
    <x v="0"/>
    <x v="0"/>
    <s v="792"/>
    <s v="Nooksack River, So. Fork"/>
    <s v="Nooksack River, So. Fork"/>
    <s v="Whatcom"/>
    <x v="1"/>
    <s v="Clallam"/>
    <s v="11Clallam"/>
    <s v="03Strait of Juan de Fuca"/>
    <n v="2.4"/>
    <n v="2.4"/>
    <n v="20.495999999999999"/>
  </r>
  <r>
    <n v="91"/>
    <x v="0"/>
    <x v="8"/>
    <x v="0"/>
    <s v="Freshwater"/>
    <x v="0"/>
    <x v="0"/>
    <s v="792"/>
    <s v="Nooksack River, So. Fork"/>
    <s v="Nooksack River, So. Fork"/>
    <s v="Whatcom"/>
    <x v="1"/>
    <s v="Whatcom"/>
    <s v="01Whatcom"/>
    <s v="01North Puget Sound"/>
    <n v="9.6"/>
    <n v="9.6"/>
    <n v="81.983999999999995"/>
  </r>
  <r>
    <n v="165"/>
    <x v="0"/>
    <x v="8"/>
    <x v="0"/>
    <s v="Freshwater"/>
    <x v="0"/>
    <x v="0"/>
    <s v="840"/>
    <s v="Pilchuck River (Snohomish System)"/>
    <s v="Pilchuck River (Snohomish System)"/>
    <s v="Snohomish"/>
    <x v="0"/>
    <s v="Pierce"/>
    <s v="07Pierce"/>
    <s v="02South Puget Sound"/>
    <n v="2.3333333333333299"/>
    <n v="2.3333333333333299"/>
    <n v="19.926666666666634"/>
  </r>
  <r>
    <n v="166"/>
    <x v="0"/>
    <x v="8"/>
    <x v="0"/>
    <s v="Freshwater"/>
    <x v="0"/>
    <x v="0"/>
    <s v="840"/>
    <s v="Pilchuck River (Snohomish System)"/>
    <s v="Pilchuck River (Snohomish System)"/>
    <s v="Snohomish"/>
    <x v="0"/>
    <s v="Snohomish"/>
    <s v="03Snohomish"/>
    <s v="01North Puget Sound"/>
    <n v="46.6666666666667"/>
    <n v="46.6666666666667"/>
    <n v="398.53333333333359"/>
  </r>
  <r>
    <n v="98"/>
    <x v="0"/>
    <x v="8"/>
    <x v="0"/>
    <s v="Freshwater"/>
    <x v="0"/>
    <x v="0"/>
    <s v="804"/>
    <s v="Puyallup River"/>
    <s v="Puyallup River"/>
    <s v="Pierce"/>
    <x v="2"/>
    <s v="Pierce"/>
    <s v="07Pierce"/>
    <s v="02South Puget Sound"/>
    <n v="5"/>
    <n v="5"/>
    <n v="42.699999999999996"/>
  </r>
  <r>
    <n v="101"/>
    <x v="0"/>
    <x v="8"/>
    <x v="0"/>
    <s v="Freshwater"/>
    <x v="0"/>
    <x v="0"/>
    <s v="810"/>
    <s v="Pysht River"/>
    <s v="Pysht River"/>
    <s v="Clallam"/>
    <x v="3"/>
    <s v="Clallam"/>
    <s v="11Clallam"/>
    <s v="03Strait of Juan de Fuca"/>
    <n v="9.6"/>
    <n v="9.6"/>
    <n v="81.983999999999995"/>
  </r>
  <r>
    <n v="102"/>
    <x v="0"/>
    <x v="8"/>
    <x v="0"/>
    <s v="Freshwater"/>
    <x v="0"/>
    <x v="0"/>
    <s v="810"/>
    <s v="Pysht River"/>
    <s v="Pysht River"/>
    <s v="Clallam"/>
    <x v="3"/>
    <s v="Island"/>
    <s v="04Island"/>
    <s v="01North Puget Sound"/>
    <n v="2.4"/>
    <n v="2.4"/>
    <n v="20.495999999999999"/>
  </r>
  <r>
    <n v="175"/>
    <x v="0"/>
    <x v="8"/>
    <x v="0"/>
    <s v="Freshwater"/>
    <x v="0"/>
    <x v="0"/>
    <s v="842"/>
    <s v="Raging River"/>
    <s v="Raging River"/>
    <s v="King"/>
    <x v="2"/>
    <s v="King"/>
    <s v="06King"/>
    <s v="02South Puget Sound"/>
    <n v="9.6"/>
    <n v="9.6"/>
    <n v="81.983999999999995"/>
  </r>
  <r>
    <n v="176"/>
    <x v="0"/>
    <x v="8"/>
    <x v="0"/>
    <s v="Freshwater"/>
    <x v="0"/>
    <x v="0"/>
    <s v="842"/>
    <s v="Raging River"/>
    <s v="Raging River"/>
    <s v="King"/>
    <x v="2"/>
    <s v="Pierce"/>
    <s v="07Pierce"/>
    <s v="02South Puget Sound"/>
    <n v="2.4"/>
    <n v="2.4"/>
    <n v="20.495999999999999"/>
  </r>
  <r>
    <n v="106"/>
    <x v="0"/>
    <x v="8"/>
    <x v="0"/>
    <s v="Freshwater"/>
    <x v="0"/>
    <x v="0"/>
    <s v="818"/>
    <s v="Sekiu River"/>
    <s v="Sekiu River"/>
    <s v="Clallam"/>
    <x v="3"/>
    <s v="Clallam"/>
    <s v="11Clallam"/>
    <s v="03Strait of Juan de Fuca"/>
    <n v="14"/>
    <n v="14"/>
    <n v="119.55999999999999"/>
  </r>
  <r>
    <n v="157"/>
    <x v="0"/>
    <x v="8"/>
    <x v="0"/>
    <s v="Freshwater"/>
    <x v="0"/>
    <x v="0"/>
    <s v="830"/>
    <s v="Skagit River"/>
    <s v="Skagit River"/>
    <s v="Skagit/Whatcom"/>
    <x v="0"/>
    <s v="King"/>
    <s v="06King"/>
    <s v="02South Puget Sound"/>
    <n v="5.5714285714285703"/>
    <n v="5.5714285714285703"/>
    <n v="47.579999999999984"/>
  </r>
  <r>
    <n v="158"/>
    <x v="0"/>
    <x v="8"/>
    <x v="0"/>
    <s v="Freshwater"/>
    <x v="0"/>
    <x v="0"/>
    <s v="830"/>
    <s v="Skagit River"/>
    <s v="Skagit River"/>
    <s v="Skagit/Whatcom"/>
    <x v="0"/>
    <s v="Other"/>
    <s v="20Other"/>
    <s v="07Non Puget Sound"/>
    <n v="5.5714285714285703"/>
    <n v="5.5714285714285703"/>
    <n v="47.579999999999984"/>
  </r>
  <r>
    <n v="159"/>
    <x v="0"/>
    <x v="8"/>
    <x v="0"/>
    <s v="Freshwater"/>
    <x v="0"/>
    <x v="0"/>
    <s v="830"/>
    <s v="Skagit River"/>
    <s v="Skagit River"/>
    <s v="Skagit/Whatcom"/>
    <x v="0"/>
    <s v="Skagit"/>
    <s v="02Skagit"/>
    <s v="01North Puget Sound"/>
    <n v="16.714285714285701"/>
    <n v="16.714285714285701"/>
    <n v="142.73999999999987"/>
  </r>
  <r>
    <n v="160"/>
    <x v="0"/>
    <x v="8"/>
    <x v="0"/>
    <s v="Freshwater"/>
    <x v="0"/>
    <x v="0"/>
    <s v="830"/>
    <s v="Skagit River"/>
    <s v="Skagit River"/>
    <s v="Skagit/Whatcom"/>
    <x v="0"/>
    <s v="Snohomish"/>
    <s v="03Snohomish"/>
    <s v="01North Puget Sound"/>
    <n v="11.1428571428571"/>
    <n v="11.1428571428571"/>
    <n v="95.159999999999627"/>
  </r>
  <r>
    <n v="203"/>
    <x v="0"/>
    <x v="8"/>
    <x v="0"/>
    <s v="Freshwater"/>
    <x v="0"/>
    <x v="0"/>
    <s v="844"/>
    <s v="Skykomish River"/>
    <s v="Skykomish River"/>
    <s v="Snohomish"/>
    <x v="0"/>
    <s v="Island"/>
    <s v="04Island"/>
    <s v="01North Puget Sound"/>
    <n v="2.2971576227390198"/>
    <n v="2.2971576227390198"/>
    <n v="19.617726098191227"/>
  </r>
  <r>
    <n v="204"/>
    <x v="0"/>
    <x v="8"/>
    <x v="0"/>
    <s v="Freshwater"/>
    <x v="0"/>
    <x v="0"/>
    <s v="844"/>
    <s v="Skykomish River"/>
    <s v="Skykomish River"/>
    <s v="Snohomish"/>
    <x v="0"/>
    <s v="King"/>
    <s v="06King"/>
    <s v="02South Puget Sound"/>
    <n v="280.25322997415998"/>
    <n v="280.25322997415998"/>
    <n v="2393.3625839793258"/>
  </r>
  <r>
    <n v="205"/>
    <x v="0"/>
    <x v="8"/>
    <x v="0"/>
    <s v="Freshwater"/>
    <x v="0"/>
    <x v="0"/>
    <s v="844"/>
    <s v="Skykomish River"/>
    <s v="Skykomish River"/>
    <s v="Snohomish"/>
    <x v="0"/>
    <s v="Other"/>
    <s v="20Other"/>
    <s v="07Non Puget Sound"/>
    <n v="2.2971576227390198"/>
    <n v="2.2971576227390198"/>
    <n v="19.617726098191227"/>
  </r>
  <r>
    <n v="206"/>
    <x v="0"/>
    <x v="8"/>
    <x v="0"/>
    <s v="Freshwater"/>
    <x v="0"/>
    <x v="0"/>
    <s v="844"/>
    <s v="Skykomish River"/>
    <s v="Skykomish River"/>
    <s v="Snohomish"/>
    <x v="0"/>
    <s v="Pierce"/>
    <s v="07Pierce"/>
    <s v="02South Puget Sound"/>
    <n v="4.5943152454780396"/>
    <n v="4.5943152454780396"/>
    <n v="39.235452196382454"/>
  </r>
  <r>
    <n v="207"/>
    <x v="0"/>
    <x v="8"/>
    <x v="0"/>
    <s v="Freshwater"/>
    <x v="0"/>
    <x v="0"/>
    <s v="844"/>
    <s v="Skykomish River"/>
    <s v="Skykomish River"/>
    <s v="Snohomish"/>
    <x v="0"/>
    <s v="Skagit"/>
    <s v="02Skagit"/>
    <s v="01North Puget Sound"/>
    <n v="6.8914728682170603"/>
    <n v="6.8914728682170603"/>
    <n v="58.853178294573688"/>
  </r>
  <r>
    <n v="208"/>
    <x v="0"/>
    <x v="8"/>
    <x v="0"/>
    <s v="Freshwater"/>
    <x v="0"/>
    <x v="0"/>
    <s v="844"/>
    <s v="Skykomish River"/>
    <s v="Skykomish River"/>
    <s v="Snohomish"/>
    <x v="0"/>
    <s v="Snohomish"/>
    <s v="03Snohomish"/>
    <s v="01North Puget Sound"/>
    <n v="592.66666666666697"/>
    <n v="592.66666666666697"/>
    <n v="5061.3733333333357"/>
  </r>
  <r>
    <n v="228"/>
    <x v="0"/>
    <x v="8"/>
    <x v="0"/>
    <s v="Freshwater"/>
    <x v="0"/>
    <x v="0"/>
    <s v="846"/>
    <s v="Skykomish River, No. Fork"/>
    <s v="Skykomish River, No. Fork"/>
    <s v="Snohomish"/>
    <x v="0"/>
    <s v="King"/>
    <s v="06King"/>
    <s v="02South Puget Sound"/>
    <n v="2.375"/>
    <n v="2.375"/>
    <n v="20.282499999999999"/>
  </r>
  <r>
    <n v="229"/>
    <x v="0"/>
    <x v="8"/>
    <x v="0"/>
    <s v="Freshwater"/>
    <x v="0"/>
    <x v="0"/>
    <s v="846"/>
    <s v="Skykomish River, No. Fork"/>
    <s v="Skykomish River, No. Fork"/>
    <s v="Snohomish"/>
    <x v="0"/>
    <s v="Other"/>
    <s v="20Other"/>
    <s v="07Non Puget Sound"/>
    <n v="2.375"/>
    <n v="2.375"/>
    <n v="20.282499999999999"/>
  </r>
  <r>
    <n v="230"/>
    <x v="0"/>
    <x v="8"/>
    <x v="0"/>
    <s v="Freshwater"/>
    <x v="0"/>
    <x v="0"/>
    <s v="846"/>
    <s v="Skykomish River, No. Fork"/>
    <s v="Skykomish River, No. Fork"/>
    <s v="Snohomish"/>
    <x v="0"/>
    <s v="Snohomish"/>
    <s v="03Snohomish"/>
    <s v="01North Puget Sound"/>
    <n v="14.25"/>
    <n v="14.25"/>
    <n v="121.69499999999999"/>
  </r>
  <r>
    <n v="237"/>
    <x v="0"/>
    <x v="8"/>
    <x v="0"/>
    <s v="Freshwater"/>
    <x v="0"/>
    <x v="0"/>
    <s v="848"/>
    <s v="Skykomish River, So. Fork"/>
    <s v="Skykomish River, So. Fork"/>
    <s v="Snohomish/King"/>
    <x v="0"/>
    <s v="Other"/>
    <s v="20Other"/>
    <s v="07Non Puget Sound"/>
    <n v="2.3333333333333299"/>
    <n v="2.3333333333333299"/>
    <n v="19.926666666666634"/>
  </r>
  <r>
    <n v="238"/>
    <x v="0"/>
    <x v="8"/>
    <x v="0"/>
    <s v="Freshwater"/>
    <x v="0"/>
    <x v="0"/>
    <s v="848"/>
    <s v="Skykomish River, So. Fork"/>
    <s v="Skykomish River, So. Fork"/>
    <s v="Snohomish/King"/>
    <x v="0"/>
    <s v="Snohomish"/>
    <s v="03Snohomish"/>
    <s v="01North Puget Sound"/>
    <n v="4.6666666666666696"/>
    <n v="4.6666666666666696"/>
    <n v="39.853333333333353"/>
  </r>
  <r>
    <n v="249"/>
    <x v="0"/>
    <x v="8"/>
    <x v="0"/>
    <s v="Freshwater"/>
    <x v="0"/>
    <x v="0"/>
    <s v="850"/>
    <s v="Snohomish River"/>
    <s v="Snohomish River"/>
    <s v="Snohomish"/>
    <x v="0"/>
    <s v="King"/>
    <s v="06King"/>
    <s v="02South Puget Sound"/>
    <n v="2.3199999999999998"/>
    <n v="2.3199999999999998"/>
    <n v="19.812799999999996"/>
  </r>
  <r>
    <n v="250"/>
    <x v="0"/>
    <x v="8"/>
    <x v="0"/>
    <s v="Freshwater"/>
    <x v="0"/>
    <x v="0"/>
    <s v="850"/>
    <s v="Snohomish River"/>
    <s v="Snohomish River"/>
    <s v="Snohomish"/>
    <x v="0"/>
    <s v="Snohomish"/>
    <s v="03Snohomish"/>
    <s v="01North Puget Sound"/>
    <n v="55.68"/>
    <n v="55.68"/>
    <n v="475.50719999999995"/>
  </r>
  <r>
    <n v="267"/>
    <x v="0"/>
    <x v="8"/>
    <x v="0"/>
    <s v="Freshwater"/>
    <x v="0"/>
    <x v="0"/>
    <s v="852"/>
    <s v="Snoqualmie River"/>
    <s v="Snoqualmie River"/>
    <s v="Snohomish/King"/>
    <x v="0"/>
    <s v="Island"/>
    <s v="04Island"/>
    <s v="01North Puget Sound"/>
    <n v="2.3172043010752699"/>
    <n v="2.3172043010752699"/>
    <n v="19.788924731182803"/>
  </r>
  <r>
    <n v="268"/>
    <x v="0"/>
    <x v="8"/>
    <x v="0"/>
    <s v="Freshwater"/>
    <x v="0"/>
    <x v="0"/>
    <s v="852"/>
    <s v="Snoqualmie River"/>
    <s v="Snoqualmie River"/>
    <s v="Snohomish/King"/>
    <x v="0"/>
    <s v="King"/>
    <s v="06King"/>
    <s v="02South Puget Sound"/>
    <n v="384.65591397849499"/>
    <n v="384.65591397849499"/>
    <n v="3284.9615053763468"/>
  </r>
  <r>
    <n v="269"/>
    <x v="0"/>
    <x v="8"/>
    <x v="0"/>
    <s v="Freshwater"/>
    <x v="0"/>
    <x v="0"/>
    <s v="852"/>
    <s v="Snoqualmie River"/>
    <s v="Snoqualmie River"/>
    <s v="Snohomish/King"/>
    <x v="0"/>
    <s v="Other"/>
    <s v="20Other"/>
    <s v="07Non Puget Sound"/>
    <n v="9.2688172043010795"/>
    <n v="9.2688172043010795"/>
    <n v="79.155698924731212"/>
  </r>
  <r>
    <n v="270"/>
    <x v="0"/>
    <x v="8"/>
    <x v="0"/>
    <s v="Freshwater"/>
    <x v="0"/>
    <x v="0"/>
    <s v="852"/>
    <s v="Snoqualmie River"/>
    <s v="Snoqualmie River"/>
    <s v="Snohomish/King"/>
    <x v="0"/>
    <s v="Pierce"/>
    <s v="07Pierce"/>
    <s v="02South Puget Sound"/>
    <n v="11.5860215053763"/>
    <n v="11.5860215053763"/>
    <n v="98.944623655913588"/>
  </r>
  <r>
    <n v="271"/>
    <x v="0"/>
    <x v="8"/>
    <x v="0"/>
    <s v="Freshwater"/>
    <x v="0"/>
    <x v="0"/>
    <s v="852"/>
    <s v="Snoqualmie River"/>
    <s v="Snoqualmie River"/>
    <s v="Snohomish/King"/>
    <x v="0"/>
    <s v="Snohomish"/>
    <s v="03Snohomish"/>
    <s v="01North Puget Sound"/>
    <n v="18.537634408602202"/>
    <n v="18.537634408602202"/>
    <n v="158.31139784946279"/>
  </r>
  <r>
    <n v="272"/>
    <x v="0"/>
    <x v="8"/>
    <x v="0"/>
    <s v="Freshwater"/>
    <x v="0"/>
    <x v="0"/>
    <s v="852"/>
    <s v="Snoqualmie River"/>
    <s v="Snoqualmie River"/>
    <s v="Snohomish/King"/>
    <x v="0"/>
    <s v="Thurston"/>
    <s v="08Thurston"/>
    <s v="02South Puget Sound"/>
    <n v="4.6344086021505397"/>
    <n v="4.6344086021505397"/>
    <n v="39.577849462365606"/>
  </r>
  <r>
    <n v="325"/>
    <x v="0"/>
    <x v="8"/>
    <x v="0"/>
    <s v="Freshwater"/>
    <x v="0"/>
    <x v="0"/>
    <s v="872"/>
    <s v="Stillaguamish R, No. Fork"/>
    <s v="Stillaguamish R, No. Fork"/>
    <s v="Snohomish"/>
    <x v="0"/>
    <s v="Snohomish"/>
    <s v="03Snohomish"/>
    <s v="01North Puget Sound"/>
    <n v="68"/>
    <n v="68"/>
    <n v="580.71999999999991"/>
  </r>
  <r>
    <n v="282"/>
    <x v="0"/>
    <x v="8"/>
    <x v="0"/>
    <s v="Freshwater"/>
    <x v="0"/>
    <x v="0"/>
    <s v="854"/>
    <s v="Sultan River"/>
    <s v="Sultan River"/>
    <s v="Snohomish"/>
    <x v="0"/>
    <s v="King"/>
    <s v="06King"/>
    <s v="02South Puget Sound"/>
    <n v="2"/>
    <n v="2"/>
    <n v="17.079999999999998"/>
  </r>
  <r>
    <n v="284"/>
    <x v="0"/>
    <x v="8"/>
    <x v="0"/>
    <s v="Freshwater"/>
    <x v="0"/>
    <x v="0"/>
    <s v="856"/>
    <s v="Tokul Creek"/>
    <s v="Tokul Creek"/>
    <s v="King"/>
    <x v="0"/>
    <s v="King"/>
    <s v="06King"/>
    <s v="02South Puget Sound"/>
    <n v="67.0625"/>
    <n v="67.0625"/>
    <n v="572.71374999999989"/>
  </r>
  <r>
    <n v="285"/>
    <x v="0"/>
    <x v="8"/>
    <x v="0"/>
    <s v="Freshwater"/>
    <x v="0"/>
    <x v="0"/>
    <s v="856"/>
    <s v="Tokul Creek"/>
    <s v="Tokul Creek"/>
    <s v="King"/>
    <x v="0"/>
    <s v="Other"/>
    <s v="20Other"/>
    <s v="07Non Puget Sound"/>
    <n v="2.3125"/>
    <n v="2.3125"/>
    <n v="19.748749999999998"/>
  </r>
  <r>
    <n v="286"/>
    <x v="0"/>
    <x v="8"/>
    <x v="0"/>
    <s v="Freshwater"/>
    <x v="0"/>
    <x v="0"/>
    <s v="856"/>
    <s v="Tokul Creek"/>
    <s v="Tokul Creek"/>
    <s v="King"/>
    <x v="0"/>
    <s v="Thurston"/>
    <s v="08Thurston"/>
    <s v="02South Puget Sound"/>
    <n v="4.625"/>
    <n v="4.625"/>
    <n v="39.497499999999995"/>
  </r>
  <r>
    <n v="295"/>
    <x v="0"/>
    <x v="8"/>
    <x v="0"/>
    <s v="Freshwater"/>
    <x v="0"/>
    <x v="0"/>
    <s v="858"/>
    <s v="Tolt River"/>
    <s v="Tolt River"/>
    <s v="King"/>
    <x v="0"/>
    <s v="King"/>
    <s v="06King"/>
    <s v="02South Puget Sound"/>
    <n v="2"/>
    <n v="2"/>
    <n v="17.079999999999998"/>
  </r>
  <r>
    <n v="302"/>
    <x v="0"/>
    <x v="8"/>
    <x v="0"/>
    <s v="Freshwater"/>
    <x v="0"/>
    <x v="0"/>
    <s v="860"/>
    <s v="Wallace River"/>
    <s v="Wallace River"/>
    <s v="Snohomish"/>
    <x v="0"/>
    <s v="King"/>
    <s v="06King"/>
    <s v="02South Puget Sound"/>
    <n v="29.342857142857198"/>
    <n v="29.342857142857198"/>
    <n v="250.58800000000045"/>
  </r>
  <r>
    <n v="303"/>
    <x v="0"/>
    <x v="8"/>
    <x v="0"/>
    <s v="Freshwater"/>
    <x v="0"/>
    <x v="0"/>
    <s v="860"/>
    <s v="Wallace River"/>
    <s v="Wallace River"/>
    <s v="Snohomish"/>
    <x v="0"/>
    <s v="Pierce"/>
    <s v="07Pierce"/>
    <s v="02South Puget Sound"/>
    <n v="4.5142857142857196"/>
    <n v="4.5142857142857196"/>
    <n v="38.552000000000042"/>
  </r>
  <r>
    <n v="304"/>
    <x v="0"/>
    <x v="8"/>
    <x v="0"/>
    <s v="Freshwater"/>
    <x v="0"/>
    <x v="0"/>
    <s v="860"/>
    <s v="Wallace River"/>
    <s v="Wallace River"/>
    <s v="Snohomish"/>
    <x v="0"/>
    <s v="Snohomish"/>
    <s v="03Snohomish"/>
    <s v="01North Puget Sound"/>
    <n v="45.142857142857103"/>
    <n v="45.142857142857103"/>
    <n v="385.51999999999964"/>
  </r>
  <r>
    <n v="100"/>
    <x v="0"/>
    <x v="8"/>
    <x v="0"/>
    <s v="Freshwater"/>
    <x v="0"/>
    <x v="0"/>
    <s v="808"/>
    <s v="White (Stuck) River"/>
    <s v="White (Stuck) River"/>
    <s v="Pierce"/>
    <x v="2"/>
    <s v="Other"/>
    <s v="20Other"/>
    <s v="07Non Puget Sound"/>
    <n v="16"/>
    <n v="16"/>
    <n v="136.63999999999999"/>
  </r>
  <r>
    <n v="345"/>
    <x v="1"/>
    <x v="9"/>
    <x v="0"/>
    <s v="Freshwater"/>
    <x v="0"/>
    <x v="0"/>
    <s v="9"/>
    <s v="Area 9: Admiralty Inlet"/>
    <s v="Area 9: Admiralty Inlet"/>
    <s v="NA"/>
    <x v="0"/>
    <s v="Island"/>
    <s v="04Island"/>
    <s v="01North Puget Sound"/>
    <n v="17"/>
    <n v="17"/>
    <n v="315.35000000000002"/>
  </r>
  <r>
    <n v="135"/>
    <x v="1"/>
    <x v="9"/>
    <x v="0"/>
    <s v="Freshwater"/>
    <x v="0"/>
    <x v="0"/>
    <s v="826"/>
    <s v="Cascade River"/>
    <s v="Cascade River"/>
    <s v="Skagit"/>
    <x v="1"/>
    <s v="King"/>
    <s v="06King"/>
    <s v="02South Puget Sound"/>
    <n v="6"/>
    <n v="6"/>
    <n v="111.30000000000001"/>
  </r>
  <r>
    <n v="136"/>
    <x v="1"/>
    <x v="9"/>
    <x v="0"/>
    <s v="Freshwater"/>
    <x v="0"/>
    <x v="0"/>
    <s v="826"/>
    <s v="Cascade River"/>
    <s v="Cascade River"/>
    <s v="Skagit"/>
    <x v="1"/>
    <s v="Skagit"/>
    <s v="02Skagit"/>
    <s v="01North Puget Sound"/>
    <n v="27"/>
    <n v="27"/>
    <n v="500.85"/>
  </r>
  <r>
    <n v="137"/>
    <x v="1"/>
    <x v="9"/>
    <x v="0"/>
    <s v="Freshwater"/>
    <x v="0"/>
    <x v="0"/>
    <s v="826"/>
    <s v="Cascade River"/>
    <s v="Cascade River"/>
    <s v="Skagit"/>
    <x v="1"/>
    <s v="Snohomish"/>
    <s v="03Snohomish"/>
    <s v="01North Puget Sound"/>
    <n v="12"/>
    <n v="12"/>
    <n v="222.60000000000002"/>
  </r>
  <r>
    <n v="138"/>
    <x v="1"/>
    <x v="9"/>
    <x v="0"/>
    <s v="Freshwater"/>
    <x v="0"/>
    <x v="0"/>
    <s v="826"/>
    <s v="Cascade River"/>
    <s v="Cascade River"/>
    <s v="Skagit"/>
    <x v="1"/>
    <s v="Whatcom"/>
    <s v="01Whatcom"/>
    <s v="01North Puget Sound"/>
    <n v="18"/>
    <n v="18"/>
    <n v="333.90000000000003"/>
  </r>
  <r>
    <n v="5"/>
    <x v="1"/>
    <x v="9"/>
    <x v="0"/>
    <s v="Freshwater"/>
    <x v="0"/>
    <x v="0"/>
    <s v="718"/>
    <s v="Clallam River"/>
    <s v="Clallam River"/>
    <s v="Clallam"/>
    <x v="3"/>
    <s v="Clallam"/>
    <s v="11Clallam"/>
    <s v="03Strait of Juan de Fuca"/>
    <n v="11.4285714285714"/>
    <n v="11.4285714285714"/>
    <n v="211.99999999999949"/>
  </r>
  <r>
    <n v="6"/>
    <x v="1"/>
    <x v="9"/>
    <x v="0"/>
    <s v="Freshwater"/>
    <x v="0"/>
    <x v="0"/>
    <s v="718"/>
    <s v="Clallam River"/>
    <s v="Clallam River"/>
    <s v="Clallam"/>
    <x v="3"/>
    <s v="Pierce"/>
    <s v="07Pierce"/>
    <s v="02South Puget Sound"/>
    <n v="4.5714285714285703"/>
    <n v="4.5714285714285703"/>
    <n v="84.799999999999983"/>
  </r>
  <r>
    <n v="7"/>
    <x v="1"/>
    <x v="9"/>
    <x v="0"/>
    <s v="Freshwater"/>
    <x v="0"/>
    <x v="0"/>
    <s v="726"/>
    <s v="Deep Creek (Clallam Co.)"/>
    <s v="Deep Creek (Clallam Co.)"/>
    <s v="Clallam"/>
    <x v="3"/>
    <s v="Clallam"/>
    <s v="11Clallam"/>
    <s v="03Strait of Juan de Fuca"/>
    <n v="2"/>
    <n v="2"/>
    <n v="37.1"/>
  </r>
  <r>
    <n v="10"/>
    <x v="1"/>
    <x v="9"/>
    <x v="0"/>
    <s v="Freshwater"/>
    <x v="0"/>
    <x v="0"/>
    <s v="738"/>
    <s v="Dungeness River"/>
    <s v="Dungeness River"/>
    <s v="Clallam"/>
    <x v="3"/>
    <s v="Clallam"/>
    <s v="11Clallam"/>
    <s v="03Strait of Juan de Fuca"/>
    <n v="7"/>
    <n v="7"/>
    <n v="129.85"/>
  </r>
  <r>
    <n v="16"/>
    <x v="1"/>
    <x v="9"/>
    <x v="0"/>
    <s v="Freshwater"/>
    <x v="0"/>
    <x v="0"/>
    <s v="742"/>
    <s v="Elwha River"/>
    <s v="Elwha River"/>
    <s v="Clallam"/>
    <x v="3"/>
    <s v="Clallam"/>
    <s v="11Clallam"/>
    <s v="03Strait of Juan de Fuca"/>
    <n v="26"/>
    <n v="26"/>
    <n v="482.3"/>
  </r>
  <r>
    <n v="41"/>
    <x v="1"/>
    <x v="9"/>
    <x v="0"/>
    <s v="Freshwater"/>
    <x v="0"/>
    <x v="0"/>
    <s v="746"/>
    <s v="Green (Duwamish River) (King Co.)"/>
    <s v="Green - Duwamish River"/>
    <s v="King"/>
    <x v="2"/>
    <s v="King"/>
    <s v="06King"/>
    <s v="02South Puget Sound"/>
    <n v="42.962962962962997"/>
    <n v="42.962962962962997"/>
    <n v="796.96296296296362"/>
  </r>
  <r>
    <n v="42"/>
    <x v="1"/>
    <x v="9"/>
    <x v="0"/>
    <s v="Freshwater"/>
    <x v="0"/>
    <x v="0"/>
    <s v="746"/>
    <s v="Green (Duwamish River) (King Co.)"/>
    <s v="Green - Duwamish River"/>
    <s v="King"/>
    <x v="2"/>
    <s v="Pierce"/>
    <s v="07Pierce"/>
    <s v="02South Puget Sound"/>
    <n v="15.037037037037001"/>
    <n v="15.037037037037001"/>
    <n v="278.93703703703636"/>
  </r>
  <r>
    <n v="57"/>
    <x v="1"/>
    <x v="9"/>
    <x v="0"/>
    <s v="Freshwater"/>
    <x v="0"/>
    <x v="0"/>
    <s v="752"/>
    <s v="Hoko River"/>
    <s v="Hoko River"/>
    <s v="Clallam"/>
    <x v="3"/>
    <s v="Clallam"/>
    <s v="11Clallam"/>
    <s v="03Strait of Juan de Fuca"/>
    <n v="14"/>
    <n v="14"/>
    <n v="259.7"/>
  </r>
  <r>
    <n v="76"/>
    <x v="1"/>
    <x v="9"/>
    <x v="0"/>
    <s v="Freshwater"/>
    <x v="0"/>
    <x v="0"/>
    <s v="768"/>
    <s v="Lyre River"/>
    <s v="Lyre River"/>
    <s v="Clallam"/>
    <x v="3"/>
    <s v="Clallam"/>
    <s v="11Clallam"/>
    <s v="03Strait of Juan de Fuca"/>
    <n v="16.6666666666667"/>
    <n v="16.6666666666667"/>
    <n v="309.16666666666731"/>
  </r>
  <r>
    <n v="77"/>
    <x v="1"/>
    <x v="9"/>
    <x v="0"/>
    <s v="Freshwater"/>
    <x v="0"/>
    <x v="0"/>
    <s v="768"/>
    <s v="Lyre River"/>
    <s v="Lyre River"/>
    <s v="Clallam"/>
    <x v="3"/>
    <s v="Other"/>
    <s v="20Other"/>
    <s v="07Non Puget Sound"/>
    <n v="1.6666666666666701"/>
    <n v="1.6666666666666701"/>
    <n v="30.916666666666732"/>
  </r>
  <r>
    <n v="78"/>
    <x v="1"/>
    <x v="9"/>
    <x v="0"/>
    <s v="Freshwater"/>
    <x v="0"/>
    <x v="0"/>
    <s v="768"/>
    <s v="Lyre River"/>
    <s v="Lyre River"/>
    <s v="Clallam"/>
    <x v="3"/>
    <s v="Whatcom"/>
    <s v="01Whatcom"/>
    <s v="01North Puget Sound"/>
    <n v="1.6666666666666701"/>
    <n v="1.6666666666666701"/>
    <n v="30.916666666666732"/>
  </r>
  <r>
    <n v="83"/>
    <x v="1"/>
    <x v="9"/>
    <x v="0"/>
    <s v="Freshwater"/>
    <x v="0"/>
    <x v="0"/>
    <s v="782"/>
    <s v="Morse Creek (Clallam Co.)"/>
    <s v="Morse Creek (Clallam Co.)"/>
    <s v="Clallam"/>
    <x v="3"/>
    <s v="Clallam"/>
    <s v="11Clallam"/>
    <s v="03Strait of Juan de Fuca"/>
    <n v="5"/>
    <n v="5"/>
    <n v="92.75"/>
  </r>
  <r>
    <n v="94"/>
    <x v="1"/>
    <x v="9"/>
    <x v="0"/>
    <s v="Freshwater"/>
    <x v="0"/>
    <x v="0"/>
    <s v="794"/>
    <s v="Nooksack River, below North Fork"/>
    <s v="Nooksack River, below North Fork"/>
    <s v="Whatcom"/>
    <x v="1"/>
    <s v="Whatcom"/>
    <s v="01Whatcom"/>
    <s v="01North Puget Sound"/>
    <n v="5"/>
    <n v="5"/>
    <n v="92.75"/>
  </r>
  <r>
    <n v="88"/>
    <x v="1"/>
    <x v="9"/>
    <x v="0"/>
    <s v="Freshwater"/>
    <x v="0"/>
    <x v="0"/>
    <s v="790"/>
    <s v="Nooksack River, No. Fork"/>
    <s v="Nooksack River, No. Fork"/>
    <s v="Whatcom"/>
    <x v="1"/>
    <s v="Whatcom"/>
    <s v="01Whatcom"/>
    <s v="01North Puget Sound"/>
    <n v="26"/>
    <n v="26"/>
    <n v="482.3"/>
  </r>
  <r>
    <n v="92"/>
    <x v="1"/>
    <x v="9"/>
    <x v="0"/>
    <s v="Freshwater"/>
    <x v="0"/>
    <x v="0"/>
    <s v="792"/>
    <s v="Nooksack River, So. Fork"/>
    <s v="Nooksack River, So. Fork"/>
    <s v="Whatcom"/>
    <x v="1"/>
    <s v="Whatcom"/>
    <s v="01Whatcom"/>
    <s v="01North Puget Sound"/>
    <n v="5"/>
    <n v="5"/>
    <n v="92.75"/>
  </r>
  <r>
    <n v="167"/>
    <x v="1"/>
    <x v="9"/>
    <x v="0"/>
    <s v="Freshwater"/>
    <x v="0"/>
    <x v="0"/>
    <s v="840"/>
    <s v="Pilchuck River (Snohomish System)"/>
    <s v="Pilchuck River (Snohomish System)"/>
    <s v="Snohomish"/>
    <x v="0"/>
    <s v="King"/>
    <s v="06King"/>
    <s v="02South Puget Sound"/>
    <n v="1.9"/>
    <n v="1.9"/>
    <n v="35.244999999999997"/>
  </r>
  <r>
    <n v="168"/>
    <x v="1"/>
    <x v="9"/>
    <x v="0"/>
    <s v="Freshwater"/>
    <x v="0"/>
    <x v="0"/>
    <s v="840"/>
    <s v="Pilchuck River (Snohomish System)"/>
    <s v="Pilchuck River (Snohomish System)"/>
    <s v="Snohomish"/>
    <x v="0"/>
    <s v="Snohomish"/>
    <s v="03Snohomish"/>
    <s v="01North Puget Sound"/>
    <n v="17.100000000000001"/>
    <n v="17.100000000000001"/>
    <n v="317.20500000000004"/>
  </r>
  <r>
    <n v="103"/>
    <x v="1"/>
    <x v="9"/>
    <x v="0"/>
    <s v="Freshwater"/>
    <x v="0"/>
    <x v="0"/>
    <s v="810"/>
    <s v="Pysht River"/>
    <s v="Pysht River"/>
    <s v="Clallam"/>
    <x v="3"/>
    <s v="Clallam"/>
    <s v="11Clallam"/>
    <s v="03Strait of Juan de Fuca"/>
    <n v="7"/>
    <n v="7"/>
    <n v="129.85"/>
  </r>
  <r>
    <n v="177"/>
    <x v="1"/>
    <x v="9"/>
    <x v="0"/>
    <s v="Freshwater"/>
    <x v="0"/>
    <x v="0"/>
    <s v="842"/>
    <s v="Raging River"/>
    <s v="Raging River"/>
    <s v="King"/>
    <x v="2"/>
    <s v="Pierce"/>
    <s v="07Pierce"/>
    <s v="02South Puget Sound"/>
    <n v="2"/>
    <n v="2"/>
    <n v="37.1"/>
  </r>
  <r>
    <n v="104"/>
    <x v="1"/>
    <x v="9"/>
    <x v="0"/>
    <s v="Freshwater"/>
    <x v="0"/>
    <x v="0"/>
    <s v="814"/>
    <s v="Salt Creek (Clallam Co.)"/>
    <s v="Salt Creek (Clallam Co.)"/>
    <s v="Clallam"/>
    <x v="3"/>
    <s v="Clallam"/>
    <s v="11Clallam"/>
    <s v="03Strait of Juan de Fuca"/>
    <n v="2"/>
    <n v="2"/>
    <n v="37.1"/>
  </r>
  <r>
    <n v="107"/>
    <x v="1"/>
    <x v="9"/>
    <x v="0"/>
    <s v="Freshwater"/>
    <x v="0"/>
    <x v="0"/>
    <s v="818"/>
    <s v="Sekiu River"/>
    <s v="Sekiu River"/>
    <s v="Clallam"/>
    <x v="3"/>
    <s v="Clallam"/>
    <s v="11Clallam"/>
    <s v="03Strait of Juan de Fuca"/>
    <n v="2"/>
    <n v="2"/>
    <n v="37.1"/>
  </r>
  <r>
    <n v="161"/>
    <x v="1"/>
    <x v="9"/>
    <x v="0"/>
    <s v="Freshwater"/>
    <x v="0"/>
    <x v="0"/>
    <s v="830"/>
    <s v="Skagit River"/>
    <s v="Skagit River"/>
    <s v="Skagit/Whatcom"/>
    <x v="0"/>
    <s v="King"/>
    <s v="06King"/>
    <s v="02South Puget Sound"/>
    <n v="3"/>
    <n v="3"/>
    <n v="55.650000000000006"/>
  </r>
  <r>
    <n v="162"/>
    <x v="1"/>
    <x v="9"/>
    <x v="0"/>
    <s v="Freshwater"/>
    <x v="0"/>
    <x v="0"/>
    <s v="830"/>
    <s v="Skagit River"/>
    <s v="Skagit River"/>
    <s v="Skagit/Whatcom"/>
    <x v="0"/>
    <s v="Skagit"/>
    <s v="02Skagit"/>
    <s v="01North Puget Sound"/>
    <n v="3"/>
    <n v="3"/>
    <n v="55.650000000000006"/>
  </r>
  <r>
    <n v="163"/>
    <x v="1"/>
    <x v="9"/>
    <x v="0"/>
    <s v="Freshwater"/>
    <x v="0"/>
    <x v="0"/>
    <s v="830"/>
    <s v="Skagit River"/>
    <s v="Skagit River"/>
    <s v="Skagit/Whatcom"/>
    <x v="0"/>
    <s v="Snohomish"/>
    <s v="03Snohomish"/>
    <s v="01North Puget Sound"/>
    <n v="3"/>
    <n v="3"/>
    <n v="55.650000000000006"/>
  </r>
  <r>
    <n v="164"/>
    <x v="1"/>
    <x v="9"/>
    <x v="0"/>
    <s v="Freshwater"/>
    <x v="0"/>
    <x v="0"/>
    <s v="830"/>
    <s v="Skagit River"/>
    <s v="Skagit River"/>
    <s v="Skagit/Whatcom"/>
    <x v="0"/>
    <s v="Whatcom"/>
    <s v="01Whatcom"/>
    <s v="01North Puget Sound"/>
    <n v="3"/>
    <n v="3"/>
    <n v="55.650000000000006"/>
  </r>
  <r>
    <n v="209"/>
    <x v="1"/>
    <x v="9"/>
    <x v="0"/>
    <s v="Freshwater"/>
    <x v="0"/>
    <x v="0"/>
    <s v="844"/>
    <s v="Skykomish River"/>
    <s v="Skykomish River"/>
    <s v="Snohomish"/>
    <x v="0"/>
    <s v="King"/>
    <s v="06King"/>
    <s v="02South Puget Sound"/>
    <n v="109.161290322581"/>
    <n v="109.161290322581"/>
    <n v="2024.9419354838776"/>
  </r>
  <r>
    <n v="210"/>
    <x v="1"/>
    <x v="9"/>
    <x v="0"/>
    <s v="Freshwater"/>
    <x v="0"/>
    <x v="0"/>
    <s v="844"/>
    <s v="Skykomish River"/>
    <s v="Skykomish River"/>
    <s v="Snohomish"/>
    <x v="0"/>
    <s v="Other"/>
    <s v="20Other"/>
    <s v="07Non Puget Sound"/>
    <n v="2.2741935483871001"/>
    <n v="2.2741935483871001"/>
    <n v="42.18629032258071"/>
  </r>
  <r>
    <n v="211"/>
    <x v="1"/>
    <x v="9"/>
    <x v="0"/>
    <s v="Freshwater"/>
    <x v="0"/>
    <x v="0"/>
    <s v="844"/>
    <s v="Skykomish River"/>
    <s v="Skykomish River"/>
    <s v="Snohomish"/>
    <x v="0"/>
    <s v="Pierce"/>
    <s v="07Pierce"/>
    <s v="02South Puget Sound"/>
    <n v="2.2741935483871001"/>
    <n v="2.2741935483871001"/>
    <n v="42.18629032258071"/>
  </r>
  <r>
    <n v="212"/>
    <x v="1"/>
    <x v="9"/>
    <x v="0"/>
    <s v="Freshwater"/>
    <x v="0"/>
    <x v="0"/>
    <s v="844"/>
    <s v="Skykomish River"/>
    <s v="Skykomish River"/>
    <s v="Snohomish"/>
    <x v="0"/>
    <s v="Snohomish"/>
    <s v="03Snohomish"/>
    <s v="01North Puget Sound"/>
    <n v="168.29032258064501"/>
    <n v="168.29032258064501"/>
    <n v="3121.785483870965"/>
  </r>
  <r>
    <n v="231"/>
    <x v="1"/>
    <x v="9"/>
    <x v="0"/>
    <s v="Freshwater"/>
    <x v="0"/>
    <x v="0"/>
    <s v="846"/>
    <s v="Skykomish River, No. Fork"/>
    <s v="Skykomish River, No. Fork"/>
    <s v="Snohomish"/>
    <x v="0"/>
    <s v="Snohomish"/>
    <s v="03Snohomish"/>
    <s v="01North Puget Sound"/>
    <n v="2"/>
    <n v="2"/>
    <n v="37.1"/>
  </r>
  <r>
    <n v="239"/>
    <x v="1"/>
    <x v="9"/>
    <x v="0"/>
    <s v="Freshwater"/>
    <x v="0"/>
    <x v="0"/>
    <s v="848"/>
    <s v="Skykomish River, So. Fork"/>
    <s v="Skykomish River, So. Fork"/>
    <s v="Snohomish/King"/>
    <x v="0"/>
    <s v="Snohomish"/>
    <s v="03Snohomish"/>
    <s v="01North Puget Sound"/>
    <n v="2"/>
    <n v="2"/>
    <n v="37.1"/>
  </r>
  <r>
    <n v="251"/>
    <x v="1"/>
    <x v="9"/>
    <x v="0"/>
    <s v="Freshwater"/>
    <x v="0"/>
    <x v="0"/>
    <s v="850"/>
    <s v="Snohomish River"/>
    <s v="Snohomish River"/>
    <s v="Snohomish"/>
    <x v="0"/>
    <s v="King"/>
    <s v="06King"/>
    <s v="02South Puget Sound"/>
    <n v="4.5454545454545503"/>
    <n v="4.5454545454545503"/>
    <n v="84.318181818181912"/>
  </r>
  <r>
    <n v="252"/>
    <x v="1"/>
    <x v="9"/>
    <x v="0"/>
    <s v="Freshwater"/>
    <x v="0"/>
    <x v="0"/>
    <s v="850"/>
    <s v="Snohomish River"/>
    <s v="Snohomish River"/>
    <s v="Snohomish"/>
    <x v="0"/>
    <s v="Snohomish"/>
    <s v="03Snohomish"/>
    <s v="01North Puget Sound"/>
    <n v="20.454545454545499"/>
    <n v="20.454545454545499"/>
    <n v="379.43181818181904"/>
  </r>
  <r>
    <n v="273"/>
    <x v="1"/>
    <x v="9"/>
    <x v="0"/>
    <s v="Freshwater"/>
    <x v="0"/>
    <x v="0"/>
    <s v="852"/>
    <s v="Snoqualmie River"/>
    <s v="Snoqualmie River"/>
    <s v="Snohomish/King"/>
    <x v="0"/>
    <s v="King"/>
    <s v="06King"/>
    <s v="02South Puget Sound"/>
    <n v="60.827586206896598"/>
    <n v="60.827586206896598"/>
    <n v="1128.351724137932"/>
  </r>
  <r>
    <n v="274"/>
    <x v="1"/>
    <x v="9"/>
    <x v="0"/>
    <s v="Freshwater"/>
    <x v="0"/>
    <x v="0"/>
    <s v="852"/>
    <s v="Snoqualmie River"/>
    <s v="Snoqualmie River"/>
    <s v="Snohomish/King"/>
    <x v="0"/>
    <s v="Kitsap"/>
    <s v="10Kitsap"/>
    <s v="02South Puget Sound"/>
    <n v="2.1724137931034502"/>
    <n v="2.1724137931034502"/>
    <n v="40.298275862069005"/>
  </r>
  <r>
    <n v="326"/>
    <x v="1"/>
    <x v="9"/>
    <x v="0"/>
    <s v="Freshwater"/>
    <x v="0"/>
    <x v="0"/>
    <s v="872"/>
    <s v="Stillaguamish R, No. Fork"/>
    <s v="Stillaguamish R, No. Fork"/>
    <s v="Snohomish"/>
    <x v="0"/>
    <s v="San Juan"/>
    <s v="05San Juan"/>
    <s v="01North Puget Sound"/>
    <n v="2.5"/>
    <n v="2.5"/>
    <n v="46.375"/>
  </r>
  <r>
    <n v="327"/>
    <x v="1"/>
    <x v="9"/>
    <x v="0"/>
    <s v="Freshwater"/>
    <x v="0"/>
    <x v="0"/>
    <s v="872"/>
    <s v="Stillaguamish R, No. Fork"/>
    <s v="Stillaguamish R, No. Fork"/>
    <s v="Snohomish"/>
    <x v="0"/>
    <s v="Snohomish"/>
    <s v="03Snohomish"/>
    <s v="01North Puget Sound"/>
    <n v="12.5"/>
    <n v="12.5"/>
    <n v="231.875"/>
  </r>
  <r>
    <n v="283"/>
    <x v="1"/>
    <x v="9"/>
    <x v="0"/>
    <s v="Freshwater"/>
    <x v="0"/>
    <x v="0"/>
    <s v="854"/>
    <s v="Sultan River"/>
    <s v="Sultan River"/>
    <s v="Snohomish"/>
    <x v="0"/>
    <s v="King"/>
    <s v="06King"/>
    <s v="02South Puget Sound"/>
    <n v="2"/>
    <n v="2"/>
    <n v="37.1"/>
  </r>
  <r>
    <n v="287"/>
    <x v="1"/>
    <x v="9"/>
    <x v="0"/>
    <s v="Freshwater"/>
    <x v="0"/>
    <x v="0"/>
    <s v="856"/>
    <s v="Tokul Creek"/>
    <s v="Tokul Creek"/>
    <s v="King"/>
    <x v="0"/>
    <s v="King"/>
    <s v="06King"/>
    <s v="02South Puget Sound"/>
    <n v="141.10843373494001"/>
    <n v="141.10843373494001"/>
    <n v="2617.5614457831371"/>
  </r>
  <r>
    <n v="288"/>
    <x v="1"/>
    <x v="9"/>
    <x v="0"/>
    <s v="Freshwater"/>
    <x v="0"/>
    <x v="0"/>
    <s v="856"/>
    <s v="Tokul Creek"/>
    <s v="Tokul Creek"/>
    <s v="King"/>
    <x v="0"/>
    <s v="Other"/>
    <s v="20Other"/>
    <s v="07Non Puget Sound"/>
    <n v="2.2048192771084301"/>
    <n v="2.2048192771084301"/>
    <n v="40.899397590361382"/>
  </r>
  <r>
    <n v="289"/>
    <x v="1"/>
    <x v="9"/>
    <x v="0"/>
    <s v="Freshwater"/>
    <x v="0"/>
    <x v="0"/>
    <s v="856"/>
    <s v="Tokul Creek"/>
    <s v="Tokul Creek"/>
    <s v="King"/>
    <x v="0"/>
    <s v="Pierce"/>
    <s v="07Pierce"/>
    <s v="02South Puget Sound"/>
    <n v="4.4096385542168699"/>
    <n v="4.4096385542168699"/>
    <n v="81.798795180722934"/>
  </r>
  <r>
    <n v="290"/>
    <x v="1"/>
    <x v="9"/>
    <x v="0"/>
    <s v="Freshwater"/>
    <x v="0"/>
    <x v="0"/>
    <s v="856"/>
    <s v="Tokul Creek"/>
    <s v="Tokul Creek"/>
    <s v="King"/>
    <x v="0"/>
    <s v="Snohomish"/>
    <s v="03Snohomish"/>
    <s v="01North Puget Sound"/>
    <n v="35.277108433735002"/>
    <n v="35.277108433735002"/>
    <n v="654.39036144578427"/>
  </r>
  <r>
    <n v="296"/>
    <x v="1"/>
    <x v="9"/>
    <x v="0"/>
    <s v="Freshwater"/>
    <x v="0"/>
    <x v="0"/>
    <s v="858"/>
    <s v="Tolt River"/>
    <s v="Tolt River"/>
    <s v="King"/>
    <x v="0"/>
    <s v="King"/>
    <s v="06King"/>
    <s v="02South Puget Sound"/>
    <n v="5"/>
    <n v="5"/>
    <n v="92.75"/>
  </r>
  <r>
    <n v="305"/>
    <x v="1"/>
    <x v="9"/>
    <x v="0"/>
    <s v="Freshwater"/>
    <x v="0"/>
    <x v="0"/>
    <s v="860"/>
    <s v="Wallace River"/>
    <s v="Wallace River"/>
    <s v="Snohomish"/>
    <x v="0"/>
    <s v="King"/>
    <s v="06King"/>
    <s v="02South Puget Sound"/>
    <n v="14"/>
    <n v="14"/>
    <n v="259.7"/>
  </r>
  <r>
    <n v="306"/>
    <x v="1"/>
    <x v="9"/>
    <x v="0"/>
    <s v="Freshwater"/>
    <x v="0"/>
    <x v="0"/>
    <s v="860"/>
    <s v="Wallace River"/>
    <s v="Wallace River"/>
    <s v="Snohomish"/>
    <x v="0"/>
    <s v="Other"/>
    <s v="20Other"/>
    <s v="07Non Puget Sound"/>
    <n v="2.3333333333333299"/>
    <n v="2.3333333333333299"/>
    <n v="43.283333333333275"/>
  </r>
  <r>
    <n v="307"/>
    <x v="1"/>
    <x v="9"/>
    <x v="0"/>
    <s v="Freshwater"/>
    <x v="0"/>
    <x v="0"/>
    <s v="860"/>
    <s v="Wallace River"/>
    <s v="Wallace River"/>
    <s v="Snohomish"/>
    <x v="0"/>
    <s v="Pierce"/>
    <s v="07Pierce"/>
    <s v="02South Puget Sound"/>
    <n v="4.6666666666666696"/>
    <n v="4.6666666666666696"/>
    <n v="86.56666666666672"/>
  </r>
  <r>
    <n v="308"/>
    <x v="1"/>
    <x v="9"/>
    <x v="0"/>
    <s v="Freshwater"/>
    <x v="0"/>
    <x v="0"/>
    <s v="860"/>
    <s v="Wallace River"/>
    <s v="Wallace River"/>
    <s v="Snohomish"/>
    <x v="0"/>
    <s v="Snohomish"/>
    <s v="03Snohomish"/>
    <s v="01North Puget Sound"/>
    <n v="14"/>
    <n v="14"/>
    <n v="259.7"/>
  </r>
  <r>
    <n v="331"/>
    <x v="1"/>
    <x v="9"/>
    <x v="0"/>
    <s v="Freshwater"/>
    <x v="0"/>
    <x v="0"/>
    <s v="884"/>
    <s v="Whatcom Creek"/>
    <s v="Whatcom Creek"/>
    <s v="Whatcom"/>
    <x v="1"/>
    <s v="Whatcom"/>
    <s v="01Whatcom"/>
    <s v="01North Puget Sound"/>
    <n v="21"/>
    <n v="21"/>
    <n v="389.55"/>
  </r>
  <r>
    <n v="346"/>
    <x v="1"/>
    <x v="10"/>
    <x v="0"/>
    <s v="Freshwater"/>
    <x v="0"/>
    <x v="0"/>
    <s v="9"/>
    <s v="Area 9: Admiralty Inlet"/>
    <s v="Area 9: Admiralty Inlet"/>
    <s v="NA"/>
    <x v="0"/>
    <s v="Jefferson"/>
    <s v="12Jefferson"/>
    <s v="03Strait of Juan de Fuca"/>
    <n v="7"/>
    <n v="7"/>
    <n v="129.85"/>
  </r>
  <r>
    <n v="139"/>
    <x v="1"/>
    <x v="10"/>
    <x v="0"/>
    <s v="Freshwater"/>
    <x v="0"/>
    <x v="0"/>
    <s v="826"/>
    <s v="Cascade River"/>
    <s v="Cascade River"/>
    <s v="Skagit"/>
    <x v="1"/>
    <s v="Skagit"/>
    <s v="02Skagit"/>
    <s v="01North Puget Sound"/>
    <n v="3"/>
    <n v="3"/>
    <n v="55.650000000000006"/>
  </r>
  <r>
    <n v="140"/>
    <x v="1"/>
    <x v="10"/>
    <x v="0"/>
    <s v="Freshwater"/>
    <x v="0"/>
    <x v="0"/>
    <s v="826"/>
    <s v="Cascade River"/>
    <s v="Cascade River"/>
    <s v="Skagit"/>
    <x v="1"/>
    <s v="Snohomish"/>
    <s v="03Snohomish"/>
    <s v="01North Puget Sound"/>
    <n v="3"/>
    <n v="3"/>
    <n v="55.650000000000006"/>
  </r>
  <r>
    <n v="141"/>
    <x v="1"/>
    <x v="10"/>
    <x v="0"/>
    <s v="Freshwater"/>
    <x v="0"/>
    <x v="0"/>
    <s v="826"/>
    <s v="Cascade River"/>
    <s v="Cascade River"/>
    <s v="Skagit"/>
    <x v="1"/>
    <s v="Whatcom"/>
    <s v="01Whatcom"/>
    <s v="01North Puget Sound"/>
    <n v="3"/>
    <n v="3"/>
    <n v="55.650000000000006"/>
  </r>
  <r>
    <n v="43"/>
    <x v="1"/>
    <x v="10"/>
    <x v="0"/>
    <s v="Freshwater"/>
    <x v="0"/>
    <x v="0"/>
    <s v="746"/>
    <s v="Green (Duwamish River) (King Co.)"/>
    <s v="Green - Duwamish River"/>
    <s v="King"/>
    <x v="2"/>
    <s v="King"/>
    <s v="06King"/>
    <s v="02South Puget Sound"/>
    <n v="2"/>
    <n v="2"/>
    <n v="37.1"/>
  </r>
  <r>
    <n v="58"/>
    <x v="1"/>
    <x v="10"/>
    <x v="0"/>
    <s v="Freshwater"/>
    <x v="0"/>
    <x v="0"/>
    <s v="752"/>
    <s v="Hoko River"/>
    <s v="Hoko River"/>
    <s v="Clallam"/>
    <x v="3"/>
    <s v="Clallam"/>
    <s v="11Clallam"/>
    <s v="03Strait of Juan de Fuca"/>
    <n v="11.4285714285714"/>
    <n v="11.4285714285714"/>
    <n v="211.99999999999949"/>
  </r>
  <r>
    <n v="59"/>
    <x v="1"/>
    <x v="10"/>
    <x v="0"/>
    <s v="Freshwater"/>
    <x v="0"/>
    <x v="0"/>
    <s v="752"/>
    <s v="Hoko River"/>
    <s v="Hoko River"/>
    <s v="Clallam"/>
    <x v="3"/>
    <s v="Skagit"/>
    <s v="02Skagit"/>
    <s v="01North Puget Sound"/>
    <n v="4.5714285714285703"/>
    <n v="4.5714285714285703"/>
    <n v="84.799999999999983"/>
  </r>
  <r>
    <n v="79"/>
    <x v="1"/>
    <x v="10"/>
    <x v="0"/>
    <s v="Freshwater"/>
    <x v="0"/>
    <x v="0"/>
    <s v="768"/>
    <s v="Lyre River"/>
    <s v="Lyre River"/>
    <s v="Clallam"/>
    <x v="3"/>
    <s v="Clallam"/>
    <s v="11Clallam"/>
    <s v="03Strait of Juan de Fuca"/>
    <n v="4.875"/>
    <n v="4.875"/>
    <n v="90.431250000000006"/>
  </r>
  <r>
    <n v="80"/>
    <x v="1"/>
    <x v="10"/>
    <x v="0"/>
    <s v="Freshwater"/>
    <x v="0"/>
    <x v="0"/>
    <s v="768"/>
    <s v="Lyre River"/>
    <s v="Lyre River"/>
    <s v="Clallam"/>
    <x v="3"/>
    <s v="Jefferson"/>
    <s v="12Jefferson"/>
    <s v="03Strait of Juan de Fuca"/>
    <n v="6.5"/>
    <n v="6.5"/>
    <n v="120.575"/>
  </r>
  <r>
    <n v="81"/>
    <x v="1"/>
    <x v="10"/>
    <x v="0"/>
    <s v="Freshwater"/>
    <x v="0"/>
    <x v="0"/>
    <s v="768"/>
    <s v="Lyre River"/>
    <s v="Lyre River"/>
    <s v="Clallam"/>
    <x v="3"/>
    <s v="Kitsap"/>
    <s v="10Kitsap"/>
    <s v="02South Puget Sound"/>
    <n v="1.625"/>
    <n v="1.625"/>
    <n v="30.143750000000001"/>
  </r>
  <r>
    <n v="89"/>
    <x v="1"/>
    <x v="10"/>
    <x v="0"/>
    <s v="Freshwater"/>
    <x v="0"/>
    <x v="0"/>
    <s v="790"/>
    <s v="Nooksack River, No. Fork"/>
    <s v="Nooksack River, No. Fork"/>
    <s v="Whatcom"/>
    <x v="1"/>
    <s v="Whatcom"/>
    <s v="01Whatcom"/>
    <s v="01North Puget Sound"/>
    <n v="7"/>
    <n v="7"/>
    <n v="129.85"/>
  </r>
  <r>
    <n v="105"/>
    <x v="1"/>
    <x v="10"/>
    <x v="0"/>
    <s v="Freshwater"/>
    <x v="0"/>
    <x v="0"/>
    <s v="816"/>
    <s v="Samish River"/>
    <s v="Samish River"/>
    <s v="Skagit"/>
    <x v="1"/>
    <s v="King"/>
    <s v="06King"/>
    <s v="02South Puget Sound"/>
    <n v="2"/>
    <n v="2"/>
    <n v="37.1"/>
  </r>
  <r>
    <n v="108"/>
    <x v="1"/>
    <x v="10"/>
    <x v="0"/>
    <s v="Freshwater"/>
    <x v="0"/>
    <x v="0"/>
    <s v="818"/>
    <s v="Sekiu River"/>
    <s v="Sekiu River"/>
    <s v="Clallam"/>
    <x v="3"/>
    <s v="King"/>
    <s v="06King"/>
    <s v="02South Puget Sound"/>
    <n v="2"/>
    <n v="2"/>
    <n v="37.1"/>
  </r>
  <r>
    <n v="213"/>
    <x v="1"/>
    <x v="10"/>
    <x v="0"/>
    <s v="Freshwater"/>
    <x v="0"/>
    <x v="0"/>
    <s v="844"/>
    <s v="Skykomish River"/>
    <s v="Skykomish River"/>
    <s v="Snohomish"/>
    <x v="0"/>
    <s v="Island"/>
    <s v="04Island"/>
    <s v="01North Puget Sound"/>
    <n v="2.2272727272727302"/>
    <n v="2.2272727272727302"/>
    <n v="41.315909090909145"/>
  </r>
  <r>
    <n v="214"/>
    <x v="1"/>
    <x v="10"/>
    <x v="0"/>
    <s v="Freshwater"/>
    <x v="0"/>
    <x v="0"/>
    <s v="844"/>
    <s v="Skykomish River"/>
    <s v="Skykomish River"/>
    <s v="Snohomish"/>
    <x v="0"/>
    <s v="King"/>
    <s v="06King"/>
    <s v="02South Puget Sound"/>
    <n v="11.136363636363599"/>
    <n v="11.136363636363599"/>
    <n v="206.57954545454479"/>
  </r>
  <r>
    <n v="215"/>
    <x v="1"/>
    <x v="10"/>
    <x v="0"/>
    <s v="Freshwater"/>
    <x v="0"/>
    <x v="0"/>
    <s v="844"/>
    <s v="Skykomish River"/>
    <s v="Skykomish River"/>
    <s v="Snohomish"/>
    <x v="0"/>
    <s v="Other"/>
    <s v="20Other"/>
    <s v="07Non Puget Sound"/>
    <n v="4.4545454545454604"/>
    <n v="4.4545454545454604"/>
    <n v="82.631818181818289"/>
  </r>
  <r>
    <n v="216"/>
    <x v="1"/>
    <x v="10"/>
    <x v="0"/>
    <s v="Freshwater"/>
    <x v="0"/>
    <x v="0"/>
    <s v="844"/>
    <s v="Skykomish River"/>
    <s v="Skykomish River"/>
    <s v="Snohomish"/>
    <x v="0"/>
    <s v="Pierce"/>
    <s v="07Pierce"/>
    <s v="02South Puget Sound"/>
    <n v="2.2272727272727302"/>
    <n v="2.2272727272727302"/>
    <n v="41.315909090909145"/>
  </r>
  <r>
    <n v="217"/>
    <x v="1"/>
    <x v="10"/>
    <x v="0"/>
    <s v="Freshwater"/>
    <x v="0"/>
    <x v="0"/>
    <s v="844"/>
    <s v="Skykomish River"/>
    <s v="Skykomish River"/>
    <s v="Snohomish"/>
    <x v="0"/>
    <s v="Snohomish"/>
    <s v="03Snohomish"/>
    <s v="01North Puget Sound"/>
    <n v="28.954545454545499"/>
    <n v="28.954545454545499"/>
    <n v="537.10681818181899"/>
  </r>
  <r>
    <n v="275"/>
    <x v="1"/>
    <x v="10"/>
    <x v="0"/>
    <s v="Freshwater"/>
    <x v="0"/>
    <x v="0"/>
    <s v="852"/>
    <s v="Snoqualmie River"/>
    <s v="Snoqualmie River"/>
    <s v="Snohomish/King"/>
    <x v="0"/>
    <s v="King"/>
    <s v="06King"/>
    <s v="02South Puget Sound"/>
    <n v="2"/>
    <n v="2"/>
    <n v="37.1"/>
  </r>
  <r>
    <n v="291"/>
    <x v="1"/>
    <x v="10"/>
    <x v="0"/>
    <s v="Freshwater"/>
    <x v="0"/>
    <x v="0"/>
    <s v="856"/>
    <s v="Tokul Creek"/>
    <s v="Tokul Creek"/>
    <s v="King"/>
    <x v="0"/>
    <s v="King"/>
    <s v="06King"/>
    <s v="02South Puget Sound"/>
    <n v="14"/>
    <n v="14"/>
    <n v="259.7"/>
  </r>
  <r>
    <n v="292"/>
    <x v="1"/>
    <x v="10"/>
    <x v="0"/>
    <s v="Freshwater"/>
    <x v="0"/>
    <x v="0"/>
    <s v="856"/>
    <s v="Tokul Creek"/>
    <s v="Tokul Creek"/>
    <s v="King"/>
    <x v="0"/>
    <s v="Snohomish"/>
    <s v="03Snohomish"/>
    <s v="01North Puget Sound"/>
    <n v="28"/>
    <n v="28"/>
    <n v="519.4"/>
  </r>
  <r>
    <n v="309"/>
    <x v="1"/>
    <x v="10"/>
    <x v="0"/>
    <s v="Freshwater"/>
    <x v="0"/>
    <x v="0"/>
    <s v="860"/>
    <s v="Wallace River"/>
    <s v="Wallace River"/>
    <s v="Snohomish"/>
    <x v="0"/>
    <s v="King"/>
    <s v="06King"/>
    <s v="02South Puget Sound"/>
    <n v="4.6666666666666696"/>
    <n v="4.6666666666666696"/>
    <n v="86.56666666666672"/>
  </r>
  <r>
    <n v="310"/>
    <x v="1"/>
    <x v="10"/>
    <x v="0"/>
    <s v="Freshwater"/>
    <x v="0"/>
    <x v="0"/>
    <s v="860"/>
    <s v="Wallace River"/>
    <s v="Wallace River"/>
    <s v="Snohomish"/>
    <x v="0"/>
    <s v="Snohomish"/>
    <s v="03Snohomish"/>
    <s v="01North Puget Sound"/>
    <n v="2.3333333333333299"/>
    <n v="2.3333333333333299"/>
    <n v="43.283333333333275"/>
  </r>
  <r>
    <n v="332"/>
    <x v="1"/>
    <x v="10"/>
    <x v="0"/>
    <s v="Freshwater"/>
    <x v="0"/>
    <x v="0"/>
    <s v="884"/>
    <s v="Whatcom Creek"/>
    <s v="Whatcom Creek"/>
    <s v="Whatcom"/>
    <x v="1"/>
    <s v="Whatcom"/>
    <s v="01Whatcom"/>
    <s v="01North Puget Sound"/>
    <n v="2"/>
    <n v="2"/>
    <n v="37.1"/>
  </r>
  <r>
    <n v="347"/>
    <x v="1"/>
    <x v="11"/>
    <x v="0"/>
    <s v="Freshwater"/>
    <x v="0"/>
    <x v="0"/>
    <s v="9"/>
    <s v="Area 9: Admiralty Inlet"/>
    <s v="Area 9: Admiralty Inlet"/>
    <s v="NA"/>
    <x v="0"/>
    <s v="Snohomish"/>
    <s v="03Snohomish"/>
    <s v="01North Puget Sound"/>
    <n v="3"/>
    <n v="3"/>
    <n v="55.650000000000006"/>
  </r>
  <r>
    <n v="253"/>
    <x v="1"/>
    <x v="11"/>
    <x v="0"/>
    <s v="Freshwater"/>
    <x v="0"/>
    <x v="0"/>
    <s v="850"/>
    <s v="Snohomish River"/>
    <s v="Snohomish River"/>
    <s v="Snohomish"/>
    <x v="0"/>
    <s v="Snohomish"/>
    <s v="03Snohomish"/>
    <s v="01North Puget Sound"/>
    <n v="5"/>
    <n v="5"/>
    <n v="92.75"/>
  </r>
  <r>
    <n v="715"/>
    <x v="1"/>
    <x v="0"/>
    <x v="1"/>
    <s v="Freshwater"/>
    <x v="0"/>
    <x v="0"/>
    <s v="9"/>
    <s v="Area 9: Admiralty Inlet"/>
    <s v="Area 9: Admiralty Inlet"/>
    <s v="NA"/>
    <x v="0"/>
    <s v="Island"/>
    <s v="04Island"/>
    <s v="01North Puget Sound"/>
    <n v="9"/>
    <n v="9"/>
    <n v="166.95000000000002"/>
  </r>
  <r>
    <n v="358"/>
    <x v="1"/>
    <x v="0"/>
    <x v="1"/>
    <s v="Freshwater"/>
    <x v="0"/>
    <x v="0"/>
    <s v="746"/>
    <s v="Green (Duwamish River) (King Co.)"/>
    <s v="Green - Duwamish River"/>
    <s v="King"/>
    <x v="2"/>
    <s v="Pierce"/>
    <s v="07Pierce"/>
    <s v="02South Puget Sound"/>
    <n v="2"/>
    <n v="2"/>
    <n v="37.1"/>
  </r>
  <r>
    <n v="716"/>
    <x v="1"/>
    <x v="1"/>
    <x v="1"/>
    <s v="Freshwater"/>
    <x v="0"/>
    <x v="0"/>
    <s v="9"/>
    <s v="Area 9: Admiralty Inlet"/>
    <s v="Area 9: Admiralty Inlet"/>
    <s v="NA"/>
    <x v="0"/>
    <s v="Island"/>
    <s v="04Island"/>
    <s v="01North Puget Sound"/>
    <n v="2"/>
    <n v="2"/>
    <n v="37.1"/>
  </r>
  <r>
    <n v="471"/>
    <x v="1"/>
    <x v="2"/>
    <x v="1"/>
    <s v="Freshwater"/>
    <x v="0"/>
    <x v="0"/>
    <s v="826"/>
    <s v="Cascade River"/>
    <s v="Cascade River"/>
    <s v="Skagit"/>
    <x v="1"/>
    <s v="Skagit"/>
    <s v="02Skagit"/>
    <s v="01North Puget Sound"/>
    <n v="3"/>
    <n v="3"/>
    <n v="55.650000000000006"/>
  </r>
  <r>
    <n v="359"/>
    <x v="1"/>
    <x v="2"/>
    <x v="1"/>
    <s v="Freshwater"/>
    <x v="0"/>
    <x v="0"/>
    <s v="746"/>
    <s v="Green (Duwamish River) (King Co.)"/>
    <s v="Green - Duwamish River"/>
    <s v="King"/>
    <x v="2"/>
    <s v="King"/>
    <s v="06King"/>
    <s v="02South Puget Sound"/>
    <n v="62.857142857142897"/>
    <n v="62.857142857142897"/>
    <n v="1166.0000000000007"/>
  </r>
  <r>
    <n v="360"/>
    <x v="1"/>
    <x v="2"/>
    <x v="1"/>
    <s v="Freshwater"/>
    <x v="0"/>
    <x v="0"/>
    <s v="746"/>
    <s v="Green (Duwamish River) (King Co.)"/>
    <s v="Green - Duwamish River"/>
    <s v="King"/>
    <x v="2"/>
    <s v="Other"/>
    <s v="20Other"/>
    <s v="07Non Puget Sound"/>
    <n v="6.28571428571429"/>
    <n v="6.28571428571429"/>
    <n v="116.60000000000008"/>
  </r>
  <r>
    <n v="361"/>
    <x v="1"/>
    <x v="2"/>
    <x v="1"/>
    <s v="Freshwater"/>
    <x v="0"/>
    <x v="0"/>
    <s v="746"/>
    <s v="Green (Duwamish River) (King Co.)"/>
    <s v="Green - Duwamish River"/>
    <s v="King"/>
    <x v="2"/>
    <s v="Pierce"/>
    <s v="07Pierce"/>
    <s v="02South Puget Sound"/>
    <n v="18.8571428571429"/>
    <n v="18.8571428571429"/>
    <n v="349.80000000000081"/>
  </r>
  <r>
    <n v="397"/>
    <x v="1"/>
    <x v="2"/>
    <x v="1"/>
    <s v="Freshwater"/>
    <x v="0"/>
    <x v="0"/>
    <s v="768"/>
    <s v="Lyre River"/>
    <s v="Lyre River"/>
    <s v="Clallam"/>
    <x v="3"/>
    <s v="Clallam"/>
    <s v="11Clallam"/>
    <s v="03Strait of Juan de Fuca"/>
    <n v="9"/>
    <n v="9"/>
    <n v="166.95000000000002"/>
  </r>
  <r>
    <n v="441"/>
    <x v="1"/>
    <x v="2"/>
    <x v="1"/>
    <s v="Freshwater"/>
    <x v="0"/>
    <x v="0"/>
    <s v="804"/>
    <s v="Puyallup River"/>
    <s v="Puyallup River"/>
    <s v="Pierce"/>
    <x v="2"/>
    <s v="Other"/>
    <s v="20Other"/>
    <s v="07Non Puget Sound"/>
    <n v="8"/>
    <n v="8"/>
    <n v="148.4"/>
  </r>
  <r>
    <n v="499"/>
    <x v="1"/>
    <x v="2"/>
    <x v="1"/>
    <s v="Freshwater"/>
    <x v="0"/>
    <x v="0"/>
    <s v="830"/>
    <s v="Skagit River"/>
    <s v="Skagit River"/>
    <s v="Skagit/Whatcom"/>
    <x v="0"/>
    <s v="Skagit"/>
    <s v="02Skagit"/>
    <s v="01North Puget Sound"/>
    <n v="4"/>
    <n v="4"/>
    <n v="74.2"/>
  </r>
  <r>
    <n v="537"/>
    <x v="1"/>
    <x v="2"/>
    <x v="1"/>
    <s v="Freshwater"/>
    <x v="0"/>
    <x v="0"/>
    <s v="844"/>
    <s v="Skykomish River"/>
    <s v="Skykomish River"/>
    <s v="Snohomish"/>
    <x v="0"/>
    <s v="Island"/>
    <s v="04Island"/>
    <s v="01North Puget Sound"/>
    <n v="2.81860465116279"/>
    <n v="2.81860465116279"/>
    <n v="52.285116279069754"/>
  </r>
  <r>
    <n v="538"/>
    <x v="1"/>
    <x v="2"/>
    <x v="1"/>
    <s v="Freshwater"/>
    <x v="0"/>
    <x v="0"/>
    <s v="844"/>
    <s v="Skykomish River"/>
    <s v="Skykomish River"/>
    <s v="Snohomish"/>
    <x v="0"/>
    <s v="King"/>
    <s v="06King"/>
    <s v="02South Puget Sound"/>
    <n v="231.125581395349"/>
    <n v="231.125581395349"/>
    <n v="4287.3795348837239"/>
  </r>
  <r>
    <n v="539"/>
    <x v="1"/>
    <x v="2"/>
    <x v="1"/>
    <s v="Freshwater"/>
    <x v="0"/>
    <x v="0"/>
    <s v="844"/>
    <s v="Skykomish River"/>
    <s v="Skykomish River"/>
    <s v="Snohomish"/>
    <x v="0"/>
    <s v="Other"/>
    <s v="20Other"/>
    <s v="07Non Puget Sound"/>
    <n v="31.004651162790701"/>
    <n v="31.004651162790701"/>
    <n v="575.13627906976751"/>
  </r>
  <r>
    <n v="540"/>
    <x v="1"/>
    <x v="2"/>
    <x v="1"/>
    <s v="Freshwater"/>
    <x v="0"/>
    <x v="0"/>
    <s v="844"/>
    <s v="Skykomish River"/>
    <s v="Skykomish River"/>
    <s v="Snohomish"/>
    <x v="0"/>
    <s v="Pierce"/>
    <s v="07Pierce"/>
    <s v="02South Puget Sound"/>
    <n v="14.093023255814"/>
    <n v="14.093023255814"/>
    <n v="261.4255813953497"/>
  </r>
  <r>
    <n v="541"/>
    <x v="1"/>
    <x v="2"/>
    <x v="1"/>
    <s v="Freshwater"/>
    <x v="0"/>
    <x v="0"/>
    <s v="844"/>
    <s v="Skykomish River"/>
    <s v="Skykomish River"/>
    <s v="Snohomish"/>
    <x v="0"/>
    <s v="Skagit"/>
    <s v="02Skagit"/>
    <s v="01North Puget Sound"/>
    <n v="5.63720930232558"/>
    <n v="5.63720930232558"/>
    <n v="104.57023255813951"/>
  </r>
  <r>
    <n v="542"/>
    <x v="1"/>
    <x v="2"/>
    <x v="1"/>
    <s v="Freshwater"/>
    <x v="0"/>
    <x v="0"/>
    <s v="844"/>
    <s v="Skykomish River"/>
    <s v="Skykomish River"/>
    <s v="Snohomish"/>
    <x v="0"/>
    <s v="Snohomish"/>
    <s v="03Snohomish"/>
    <s v="01North Puget Sound"/>
    <n v="310.04651162790702"/>
    <n v="310.04651162790702"/>
    <n v="5751.3627906976753"/>
  </r>
  <r>
    <n v="543"/>
    <x v="1"/>
    <x v="2"/>
    <x v="1"/>
    <s v="Freshwater"/>
    <x v="0"/>
    <x v="0"/>
    <s v="844"/>
    <s v="Skykomish River"/>
    <s v="Skykomish River"/>
    <s v="Snohomish"/>
    <x v="0"/>
    <s v="Thurston"/>
    <s v="08Thurston"/>
    <s v="02South Puget Sound"/>
    <n v="5.63720930232558"/>
    <n v="5.63720930232558"/>
    <n v="104.57023255813951"/>
  </r>
  <r>
    <n v="544"/>
    <x v="1"/>
    <x v="2"/>
    <x v="1"/>
    <s v="Freshwater"/>
    <x v="0"/>
    <x v="0"/>
    <s v="844"/>
    <s v="Skykomish River"/>
    <s v="Skykomish River"/>
    <s v="Snohomish"/>
    <x v="0"/>
    <s v="Whatcom"/>
    <s v="01Whatcom"/>
    <s v="01North Puget Sound"/>
    <n v="5.63720930232558"/>
    <n v="5.63720930232558"/>
    <n v="104.57023255813951"/>
  </r>
  <r>
    <n v="584"/>
    <x v="1"/>
    <x v="2"/>
    <x v="1"/>
    <s v="Freshwater"/>
    <x v="0"/>
    <x v="0"/>
    <s v="846"/>
    <s v="Skykomish River, No. Fork"/>
    <s v="Skykomish River, No. Fork"/>
    <s v="Snohomish"/>
    <x v="0"/>
    <s v="Snohomish"/>
    <s v="03Snohomish"/>
    <s v="01North Puget Sound"/>
    <n v="3"/>
    <n v="3"/>
    <n v="55.650000000000006"/>
  </r>
  <r>
    <n v="598"/>
    <x v="1"/>
    <x v="2"/>
    <x v="1"/>
    <s v="Freshwater"/>
    <x v="0"/>
    <x v="0"/>
    <s v="850"/>
    <s v="Snohomish River"/>
    <s v="Snohomish River"/>
    <s v="Snohomish"/>
    <x v="0"/>
    <s v="Snohomish"/>
    <s v="03Snohomish"/>
    <s v="01North Puget Sound"/>
    <n v="121"/>
    <n v="121"/>
    <n v="2244.5500000000002"/>
  </r>
  <r>
    <n v="619"/>
    <x v="1"/>
    <x v="2"/>
    <x v="1"/>
    <s v="Freshwater"/>
    <x v="0"/>
    <x v="0"/>
    <s v="852"/>
    <s v="Snoqualmie River"/>
    <s v="Snoqualmie River"/>
    <s v="Snohomish/King"/>
    <x v="0"/>
    <s v="King"/>
    <s v="06King"/>
    <s v="02South Puget Sound"/>
    <n v="28"/>
    <n v="28"/>
    <n v="519.4"/>
  </r>
  <r>
    <n v="678"/>
    <x v="1"/>
    <x v="2"/>
    <x v="1"/>
    <s v="Freshwater"/>
    <x v="0"/>
    <x v="0"/>
    <s v="872"/>
    <s v="Stillaguamish R, No. Fork"/>
    <s v="Stillaguamish R, No. Fork"/>
    <s v="Snohomish"/>
    <x v="0"/>
    <s v="Island"/>
    <s v="04Island"/>
    <s v="01North Puget Sound"/>
    <n v="3.6666666666666701"/>
    <n v="3.6666666666666701"/>
    <n v="68.016666666666737"/>
  </r>
  <r>
    <n v="679"/>
    <x v="1"/>
    <x v="2"/>
    <x v="1"/>
    <s v="Freshwater"/>
    <x v="0"/>
    <x v="0"/>
    <s v="872"/>
    <s v="Stillaguamish R, No. Fork"/>
    <s v="Stillaguamish R, No. Fork"/>
    <s v="Snohomish"/>
    <x v="0"/>
    <s v="Snohomish"/>
    <s v="03Snohomish"/>
    <s v="01North Puget Sound"/>
    <n v="18.3333333333333"/>
    <n v="18.3333333333333"/>
    <n v="340.08333333333275"/>
  </r>
  <r>
    <n v="639"/>
    <x v="1"/>
    <x v="2"/>
    <x v="1"/>
    <s v="Freshwater"/>
    <x v="0"/>
    <x v="0"/>
    <s v="854"/>
    <s v="Sultan River"/>
    <s v="Sultan River"/>
    <s v="Snohomish"/>
    <x v="0"/>
    <s v="King"/>
    <s v="06King"/>
    <s v="02South Puget Sound"/>
    <n v="8.3333333333333304"/>
    <n v="8.3333333333333304"/>
    <n v="154.58333333333329"/>
  </r>
  <r>
    <n v="640"/>
    <x v="1"/>
    <x v="2"/>
    <x v="1"/>
    <s v="Freshwater"/>
    <x v="0"/>
    <x v="0"/>
    <s v="854"/>
    <s v="Sultan River"/>
    <s v="Sultan River"/>
    <s v="Snohomish"/>
    <x v="0"/>
    <s v="Other"/>
    <s v="20Other"/>
    <s v="07Non Puget Sound"/>
    <n v="5.5555555555555598"/>
    <n v="5.5555555555555598"/>
    <n v="103.05555555555564"/>
  </r>
  <r>
    <n v="641"/>
    <x v="1"/>
    <x v="2"/>
    <x v="1"/>
    <s v="Freshwater"/>
    <x v="0"/>
    <x v="0"/>
    <s v="854"/>
    <s v="Sultan River"/>
    <s v="Sultan River"/>
    <s v="Snohomish"/>
    <x v="0"/>
    <s v="Snohomish"/>
    <s v="03Snohomish"/>
    <s v="01North Puget Sound"/>
    <n v="11.1111111111111"/>
    <n v="11.1111111111111"/>
    <n v="206.11111111111092"/>
  </r>
  <r>
    <n v="658"/>
    <x v="1"/>
    <x v="2"/>
    <x v="1"/>
    <s v="Freshwater"/>
    <x v="0"/>
    <x v="0"/>
    <s v="860"/>
    <s v="Wallace River"/>
    <s v="Wallace River"/>
    <s v="Snohomish"/>
    <x v="0"/>
    <s v="King"/>
    <s v="06King"/>
    <s v="02South Puget Sound"/>
    <n v="3"/>
    <n v="3"/>
    <n v="55.650000000000006"/>
  </r>
  <r>
    <n v="659"/>
    <x v="1"/>
    <x v="2"/>
    <x v="1"/>
    <s v="Freshwater"/>
    <x v="0"/>
    <x v="0"/>
    <s v="860"/>
    <s v="Wallace River"/>
    <s v="Wallace River"/>
    <s v="Snohomish"/>
    <x v="0"/>
    <s v="Snohomish"/>
    <s v="03Snohomish"/>
    <s v="01North Puget Sound"/>
    <n v="3"/>
    <n v="3"/>
    <n v="55.650000000000006"/>
  </r>
  <r>
    <n v="717"/>
    <x v="1"/>
    <x v="3"/>
    <x v="1"/>
    <s v="Freshwater"/>
    <x v="0"/>
    <x v="0"/>
    <s v="9"/>
    <s v="Area 9: Admiralty Inlet"/>
    <s v="Area 9: Admiralty Inlet"/>
    <s v="NA"/>
    <x v="0"/>
    <s v="Island"/>
    <s v="04Island"/>
    <s v="01North Puget Sound"/>
    <n v="1"/>
    <n v="1"/>
    <n v="18.55"/>
  </r>
  <r>
    <n v="718"/>
    <x v="1"/>
    <x v="3"/>
    <x v="1"/>
    <s v="Freshwater"/>
    <x v="0"/>
    <x v="0"/>
    <s v="9"/>
    <s v="Area 9: Admiralty Inlet"/>
    <s v="Area 9: Admiralty Inlet"/>
    <s v="NA"/>
    <x v="0"/>
    <s v="King"/>
    <s v="06King"/>
    <s v="02South Puget Sound"/>
    <n v="0"/>
    <n v="0"/>
    <n v="0"/>
  </r>
  <r>
    <n v="719"/>
    <x v="1"/>
    <x v="3"/>
    <x v="1"/>
    <s v="Freshwater"/>
    <x v="0"/>
    <x v="0"/>
    <s v="9"/>
    <s v="Area 9: Admiralty Inlet"/>
    <s v="Area 9: Admiralty Inlet"/>
    <s v="NA"/>
    <x v="0"/>
    <s v="Snohomish"/>
    <s v="03Snohomish"/>
    <s v="01North Puget Sound"/>
    <n v="0"/>
    <n v="0"/>
    <n v="0"/>
  </r>
  <r>
    <n v="472"/>
    <x v="1"/>
    <x v="3"/>
    <x v="1"/>
    <s v="Freshwater"/>
    <x v="0"/>
    <x v="0"/>
    <s v="826"/>
    <s v="Cascade River"/>
    <s v="Cascade River"/>
    <s v="Skagit"/>
    <x v="1"/>
    <s v="King"/>
    <s v="06King"/>
    <s v="02South Puget Sound"/>
    <n v="3"/>
    <n v="3"/>
    <n v="55.650000000000006"/>
  </r>
  <r>
    <n v="362"/>
    <x v="1"/>
    <x v="3"/>
    <x v="1"/>
    <s v="Freshwater"/>
    <x v="0"/>
    <x v="0"/>
    <s v="746"/>
    <s v="Green (Duwamish River) (King Co.)"/>
    <s v="Green - Duwamish River"/>
    <s v="King"/>
    <x v="2"/>
    <s v="King"/>
    <s v="06King"/>
    <s v="02South Puget Sound"/>
    <n v="56.7"/>
    <n v="56.7"/>
    <n v="1051.7850000000001"/>
  </r>
  <r>
    <n v="363"/>
    <x v="1"/>
    <x v="3"/>
    <x v="1"/>
    <s v="Freshwater"/>
    <x v="0"/>
    <x v="0"/>
    <s v="746"/>
    <s v="Green (Duwamish River) (King Co.)"/>
    <s v="Green - Duwamish River"/>
    <s v="King"/>
    <x v="2"/>
    <s v="Other"/>
    <s v="20Other"/>
    <s v="07Non Puget Sound"/>
    <n v="3.15"/>
    <n v="3.15"/>
    <n v="58.432499999999997"/>
  </r>
  <r>
    <n v="364"/>
    <x v="1"/>
    <x v="3"/>
    <x v="1"/>
    <s v="Freshwater"/>
    <x v="0"/>
    <x v="0"/>
    <s v="746"/>
    <s v="Green (Duwamish River) (King Co.)"/>
    <s v="Green - Duwamish River"/>
    <s v="King"/>
    <x v="2"/>
    <s v="Pierce"/>
    <s v="07Pierce"/>
    <s v="02South Puget Sound"/>
    <n v="3.15"/>
    <n v="3.15"/>
    <n v="58.432499999999997"/>
  </r>
  <r>
    <n v="398"/>
    <x v="1"/>
    <x v="3"/>
    <x v="1"/>
    <s v="Freshwater"/>
    <x v="0"/>
    <x v="0"/>
    <s v="768"/>
    <s v="Lyre River"/>
    <s v="Lyre River"/>
    <s v="Clallam"/>
    <x v="3"/>
    <s v="Clallam"/>
    <s v="11Clallam"/>
    <s v="03Strait of Juan de Fuca"/>
    <n v="21"/>
    <n v="21"/>
    <n v="389.55"/>
  </r>
  <r>
    <n v="545"/>
    <x v="1"/>
    <x v="3"/>
    <x v="1"/>
    <s v="Freshwater"/>
    <x v="0"/>
    <x v="0"/>
    <s v="844"/>
    <s v="Skykomish River"/>
    <s v="Skykomish River"/>
    <s v="Snohomish"/>
    <x v="0"/>
    <s v="King"/>
    <s v="06King"/>
    <s v="02South Puget Sound"/>
    <n v="301.31200000000001"/>
    <n v="301.31200000000001"/>
    <n v="5589.3376000000007"/>
  </r>
  <r>
    <n v="546"/>
    <x v="1"/>
    <x v="3"/>
    <x v="1"/>
    <s v="Freshwater"/>
    <x v="0"/>
    <x v="0"/>
    <s v="844"/>
    <s v="Skykomish River"/>
    <s v="Skykomish River"/>
    <s v="Snohomish"/>
    <x v="0"/>
    <s v="Mason"/>
    <s v="09Mason"/>
    <s v="02South Puget Sound"/>
    <n v="2.8159999999999998"/>
    <n v="2.8159999999999998"/>
    <n v="52.236800000000002"/>
  </r>
  <r>
    <n v="547"/>
    <x v="1"/>
    <x v="3"/>
    <x v="1"/>
    <s v="Freshwater"/>
    <x v="0"/>
    <x v="0"/>
    <s v="844"/>
    <s v="Skykomish River"/>
    <s v="Skykomish River"/>
    <s v="Snohomish"/>
    <x v="0"/>
    <s v="Other"/>
    <s v="20Other"/>
    <s v="07Non Puget Sound"/>
    <n v="22.527999999999999"/>
    <n v="22.527999999999999"/>
    <n v="417.89440000000002"/>
  </r>
  <r>
    <n v="548"/>
    <x v="1"/>
    <x v="3"/>
    <x v="1"/>
    <s v="Freshwater"/>
    <x v="0"/>
    <x v="0"/>
    <s v="844"/>
    <s v="Skykomish River"/>
    <s v="Skykomish River"/>
    <s v="Snohomish"/>
    <x v="0"/>
    <s v="Skagit"/>
    <s v="02Skagit"/>
    <s v="01North Puget Sound"/>
    <n v="2.8159999999999998"/>
    <n v="2.8159999999999998"/>
    <n v="52.236800000000002"/>
  </r>
  <r>
    <n v="549"/>
    <x v="1"/>
    <x v="3"/>
    <x v="1"/>
    <s v="Freshwater"/>
    <x v="0"/>
    <x v="0"/>
    <s v="844"/>
    <s v="Skykomish River"/>
    <s v="Skykomish River"/>
    <s v="Snohomish"/>
    <x v="0"/>
    <s v="Snohomish"/>
    <s v="03Snohomish"/>
    <s v="01North Puget Sound"/>
    <n v="357.63200000000001"/>
    <n v="357.63200000000001"/>
    <n v="6634.0736000000006"/>
  </r>
  <r>
    <n v="550"/>
    <x v="1"/>
    <x v="3"/>
    <x v="1"/>
    <s v="Freshwater"/>
    <x v="0"/>
    <x v="0"/>
    <s v="844"/>
    <s v="Skykomish River"/>
    <s v="Skykomish River"/>
    <s v="Snohomish"/>
    <x v="0"/>
    <s v="Thurston"/>
    <s v="08Thurston"/>
    <s v="02South Puget Sound"/>
    <n v="2.8159999999999998"/>
    <n v="2.8159999999999998"/>
    <n v="52.236800000000002"/>
  </r>
  <r>
    <n v="551"/>
    <x v="1"/>
    <x v="3"/>
    <x v="1"/>
    <s v="Freshwater"/>
    <x v="0"/>
    <x v="0"/>
    <s v="844"/>
    <s v="Skykomish River"/>
    <s v="Skykomish River"/>
    <s v="Snohomish"/>
    <x v="0"/>
    <s v="Whatcom"/>
    <s v="01Whatcom"/>
    <s v="01North Puget Sound"/>
    <n v="14.08"/>
    <n v="14.08"/>
    <n v="261.18400000000003"/>
  </r>
  <r>
    <n v="585"/>
    <x v="1"/>
    <x v="3"/>
    <x v="1"/>
    <s v="Freshwater"/>
    <x v="0"/>
    <x v="0"/>
    <s v="846"/>
    <s v="Skykomish River, No. Fork"/>
    <s v="Skykomish River, No. Fork"/>
    <s v="Snohomish"/>
    <x v="0"/>
    <s v="King"/>
    <s v="06King"/>
    <s v="02South Puget Sound"/>
    <n v="2.75"/>
    <n v="2.75"/>
    <n v="51.012500000000003"/>
  </r>
  <r>
    <n v="586"/>
    <x v="1"/>
    <x v="3"/>
    <x v="1"/>
    <s v="Freshwater"/>
    <x v="0"/>
    <x v="0"/>
    <s v="846"/>
    <s v="Skykomish River, No. Fork"/>
    <s v="Skykomish River, No. Fork"/>
    <s v="Snohomish"/>
    <x v="0"/>
    <s v="Snohomish"/>
    <s v="03Snohomish"/>
    <s v="01North Puget Sound"/>
    <n v="8.25"/>
    <n v="8.25"/>
    <n v="153.03749999999999"/>
  </r>
  <r>
    <n v="595"/>
    <x v="1"/>
    <x v="3"/>
    <x v="1"/>
    <s v="Freshwater"/>
    <x v="0"/>
    <x v="0"/>
    <s v="848"/>
    <s v="Skykomish River, So. Fork"/>
    <s v="Skykomish River, So. Fork"/>
    <s v="Snohomish/King"/>
    <x v="0"/>
    <s v="Pierce"/>
    <s v="07Pierce"/>
    <s v="02South Puget Sound"/>
    <n v="3"/>
    <n v="3"/>
    <n v="55.650000000000006"/>
  </r>
  <r>
    <n v="599"/>
    <x v="1"/>
    <x v="3"/>
    <x v="1"/>
    <s v="Freshwater"/>
    <x v="0"/>
    <x v="0"/>
    <s v="850"/>
    <s v="Snohomish River"/>
    <s v="Snohomish River"/>
    <s v="Snohomish"/>
    <x v="0"/>
    <s v="Other"/>
    <s v="20Other"/>
    <s v="07Non Puget Sound"/>
    <n v="2.8965517241379302"/>
    <n v="2.8965517241379302"/>
    <n v="53.731034482758609"/>
  </r>
  <r>
    <n v="600"/>
    <x v="1"/>
    <x v="3"/>
    <x v="1"/>
    <s v="Freshwater"/>
    <x v="0"/>
    <x v="0"/>
    <s v="850"/>
    <s v="Snohomish River"/>
    <s v="Snohomish River"/>
    <s v="Snohomish"/>
    <x v="0"/>
    <s v="Snohomish"/>
    <s v="03Snohomish"/>
    <s v="01North Puget Sound"/>
    <n v="81.103448275862107"/>
    <n v="81.103448275862107"/>
    <n v="1504.4689655172422"/>
  </r>
  <r>
    <n v="620"/>
    <x v="1"/>
    <x v="3"/>
    <x v="1"/>
    <s v="Freshwater"/>
    <x v="0"/>
    <x v="0"/>
    <s v="852"/>
    <s v="Snoqualmie River"/>
    <s v="Snoqualmie River"/>
    <s v="Snohomish/King"/>
    <x v="0"/>
    <s v="King"/>
    <s v="06King"/>
    <s v="02South Puget Sound"/>
    <n v="17"/>
    <n v="17"/>
    <n v="315.35000000000002"/>
  </r>
  <r>
    <n v="380"/>
    <x v="1"/>
    <x v="3"/>
    <x v="1"/>
    <s v="Freshwater"/>
    <x v="0"/>
    <x v="0"/>
    <s v="748"/>
    <s v="Soos Creek"/>
    <s v="Soos Creek"/>
    <s v="King"/>
    <x v="2"/>
    <s v="King"/>
    <s v="06King"/>
    <s v="02South Puget Sound"/>
    <n v="3"/>
    <n v="3"/>
    <n v="55.650000000000006"/>
  </r>
  <r>
    <n v="680"/>
    <x v="1"/>
    <x v="3"/>
    <x v="1"/>
    <s v="Freshwater"/>
    <x v="0"/>
    <x v="0"/>
    <s v="872"/>
    <s v="Stillaguamish R, No. Fork"/>
    <s v="Stillaguamish R, No. Fork"/>
    <s v="Snohomish"/>
    <x v="0"/>
    <s v="Other"/>
    <s v="20Other"/>
    <s v="07Non Puget Sound"/>
    <n v="3.71428571428571"/>
    <n v="3.71428571428571"/>
    <n v="68.89999999999992"/>
  </r>
  <r>
    <n v="681"/>
    <x v="1"/>
    <x v="3"/>
    <x v="1"/>
    <s v="Freshwater"/>
    <x v="0"/>
    <x v="0"/>
    <s v="872"/>
    <s v="Stillaguamish R, No. Fork"/>
    <s v="Stillaguamish R, No. Fork"/>
    <s v="Snohomish"/>
    <x v="0"/>
    <s v="San Juan"/>
    <s v="05San Juan"/>
    <s v="01North Puget Sound"/>
    <n v="3.71428571428571"/>
    <n v="3.71428571428571"/>
    <n v="68.89999999999992"/>
  </r>
  <r>
    <n v="682"/>
    <x v="1"/>
    <x v="3"/>
    <x v="1"/>
    <s v="Freshwater"/>
    <x v="0"/>
    <x v="0"/>
    <s v="872"/>
    <s v="Stillaguamish R, No. Fork"/>
    <s v="Stillaguamish R, No. Fork"/>
    <s v="Snohomish"/>
    <x v="0"/>
    <s v="Skagit"/>
    <s v="02Skagit"/>
    <s v="01North Puget Sound"/>
    <n v="11.1428571428571"/>
    <n v="11.1428571428571"/>
    <n v="206.69999999999922"/>
  </r>
  <r>
    <n v="683"/>
    <x v="1"/>
    <x v="3"/>
    <x v="1"/>
    <s v="Freshwater"/>
    <x v="0"/>
    <x v="0"/>
    <s v="872"/>
    <s v="Stillaguamish R, No. Fork"/>
    <s v="Stillaguamish R, No. Fork"/>
    <s v="Snohomish"/>
    <x v="0"/>
    <s v="Snohomish"/>
    <s v="03Snohomish"/>
    <s v="01North Puget Sound"/>
    <n v="7.4285714285714297"/>
    <n v="7.4285714285714297"/>
    <n v="137.80000000000004"/>
  </r>
  <r>
    <n v="702"/>
    <x v="1"/>
    <x v="3"/>
    <x v="1"/>
    <s v="Freshwater"/>
    <x v="0"/>
    <x v="0"/>
    <s v="874"/>
    <s v="Stillaguamish R, So. Fork"/>
    <s v="Stillaguamish R, So. Fork"/>
    <s v="Snohomish"/>
    <x v="0"/>
    <s v="Snohomish"/>
    <s v="03Snohomish"/>
    <s v="01North Puget Sound"/>
    <n v="7"/>
    <n v="7"/>
    <n v="129.85"/>
  </r>
  <r>
    <n v="642"/>
    <x v="1"/>
    <x v="3"/>
    <x v="1"/>
    <s v="Freshwater"/>
    <x v="0"/>
    <x v="0"/>
    <s v="854"/>
    <s v="Sultan River"/>
    <s v="Sultan River"/>
    <s v="Snohomish"/>
    <x v="0"/>
    <s v="Snohomish"/>
    <s v="03Snohomish"/>
    <s v="01North Puget Sound"/>
    <n v="8"/>
    <n v="8"/>
    <n v="148.4"/>
  </r>
  <r>
    <n v="452"/>
    <x v="1"/>
    <x v="4"/>
    <x v="1"/>
    <s v="Freshwater"/>
    <x v="0"/>
    <x v="0"/>
    <s v="81"/>
    <s v="Area 8-1: Skagit Bay-Saratoga Psg."/>
    <s v="Area 8-1: Skagit Bay-Saratoga Psg."/>
    <s v="NA"/>
    <x v="0"/>
    <s v="Island"/>
    <s v="04Island"/>
    <s v="01North Puget Sound"/>
    <n v="0"/>
    <n v="0"/>
    <n v="0"/>
  </r>
  <r>
    <n v="453"/>
    <x v="1"/>
    <x v="4"/>
    <x v="1"/>
    <s v="Freshwater"/>
    <x v="0"/>
    <x v="0"/>
    <s v="81"/>
    <s v="Area 8-1: Skagit Bay-Saratoga Psg."/>
    <s v="Area 8-1: Skagit Bay-Saratoga Psg."/>
    <s v="NA"/>
    <x v="0"/>
    <s v="Snohomish"/>
    <s v="03Snohomish"/>
    <s v="01North Puget Sound"/>
    <n v="0"/>
    <n v="0"/>
    <n v="0"/>
  </r>
  <r>
    <n v="467"/>
    <x v="1"/>
    <x v="4"/>
    <x v="1"/>
    <s v="Freshwater"/>
    <x v="0"/>
    <x v="0"/>
    <s v="82"/>
    <s v="Area 8-2: Port Susan-Port Gardner"/>
    <s v="Area 8-2: Port Susan-Port Gardner"/>
    <s v="NA"/>
    <x v="0"/>
    <s v="Snohomish"/>
    <s v="03Snohomish"/>
    <s v="01North Puget Sound"/>
    <n v="0"/>
    <n v="0"/>
    <n v="0"/>
  </r>
  <r>
    <n v="720"/>
    <x v="1"/>
    <x v="4"/>
    <x v="1"/>
    <s v="Freshwater"/>
    <x v="0"/>
    <x v="0"/>
    <s v="9"/>
    <s v="Area 9: Admiralty Inlet"/>
    <s v="Area 9: Admiralty Inlet"/>
    <s v="NA"/>
    <x v="0"/>
    <s v="Island"/>
    <s v="04Island"/>
    <s v="01North Puget Sound"/>
    <n v="0"/>
    <n v="0"/>
    <n v="0"/>
  </r>
  <r>
    <n v="721"/>
    <x v="1"/>
    <x v="4"/>
    <x v="1"/>
    <s v="Freshwater"/>
    <x v="0"/>
    <x v="0"/>
    <s v="9"/>
    <s v="Area 9: Admiralty Inlet"/>
    <s v="Area 9: Admiralty Inlet"/>
    <s v="NA"/>
    <x v="0"/>
    <s v="King"/>
    <s v="06King"/>
    <s v="02South Puget Sound"/>
    <n v="0"/>
    <n v="0"/>
    <n v="0"/>
  </r>
  <r>
    <n v="722"/>
    <x v="1"/>
    <x v="4"/>
    <x v="1"/>
    <s v="Freshwater"/>
    <x v="0"/>
    <x v="0"/>
    <s v="9"/>
    <s v="Area 9: Admiralty Inlet"/>
    <s v="Area 9: Admiralty Inlet"/>
    <s v="NA"/>
    <x v="0"/>
    <s v="Other"/>
    <s v="20Other"/>
    <s v="07Non Puget Sound"/>
    <n v="0"/>
    <n v="0"/>
    <n v="0"/>
  </r>
  <r>
    <n v="723"/>
    <x v="1"/>
    <x v="4"/>
    <x v="1"/>
    <s v="Freshwater"/>
    <x v="0"/>
    <x v="0"/>
    <s v="9"/>
    <s v="Area 9: Admiralty Inlet"/>
    <s v="Area 9: Admiralty Inlet"/>
    <s v="NA"/>
    <x v="0"/>
    <s v="Skagit"/>
    <s v="02Skagit"/>
    <s v="01North Puget Sound"/>
    <n v="0"/>
    <n v="0"/>
    <n v="0"/>
  </r>
  <r>
    <n v="724"/>
    <x v="1"/>
    <x v="4"/>
    <x v="1"/>
    <s v="Freshwater"/>
    <x v="0"/>
    <x v="0"/>
    <s v="9"/>
    <s v="Area 9: Admiralty Inlet"/>
    <s v="Area 9: Admiralty Inlet"/>
    <s v="NA"/>
    <x v="0"/>
    <s v="Snohomish"/>
    <s v="03Snohomish"/>
    <s v="01North Puget Sound"/>
    <n v="1"/>
    <n v="1"/>
    <n v="18.55"/>
  </r>
  <r>
    <n v="470"/>
    <x v="1"/>
    <x v="4"/>
    <x v="1"/>
    <s v="Freshwater"/>
    <x v="0"/>
    <x v="0"/>
    <s v="825"/>
    <s v="Baker Lake"/>
    <s v="Baker Lake"/>
    <s v="Whatcom"/>
    <x v="1"/>
    <s v="Snohomish"/>
    <s v="03Snohomish"/>
    <s v="01North Puget Sound"/>
    <n v="0"/>
    <n v="0"/>
    <n v="0"/>
  </r>
  <r>
    <n v="365"/>
    <x v="1"/>
    <x v="4"/>
    <x v="1"/>
    <s v="Freshwater"/>
    <x v="0"/>
    <x v="0"/>
    <s v="746"/>
    <s v="Green (Duwamish River) (King Co.)"/>
    <s v="Green - Duwamish River"/>
    <s v="King"/>
    <x v="2"/>
    <s v="King"/>
    <s v="06King"/>
    <s v="02South Puget Sound"/>
    <n v="28.285714285714299"/>
    <n v="28.285714285714299"/>
    <n v="524.70000000000027"/>
  </r>
  <r>
    <n v="366"/>
    <x v="1"/>
    <x v="4"/>
    <x v="1"/>
    <s v="Freshwater"/>
    <x v="0"/>
    <x v="0"/>
    <s v="746"/>
    <s v="Green (Duwamish River) (King Co.)"/>
    <s v="Green - Duwamish River"/>
    <s v="King"/>
    <x v="2"/>
    <s v="Other"/>
    <s v="20Other"/>
    <s v="07Non Puget Sound"/>
    <n v="3.1428571428571401"/>
    <n v="3.1428571428571401"/>
    <n v="58.299999999999955"/>
  </r>
  <r>
    <n v="367"/>
    <x v="1"/>
    <x v="4"/>
    <x v="1"/>
    <s v="Freshwater"/>
    <x v="0"/>
    <x v="0"/>
    <s v="746"/>
    <s v="Green (Duwamish River) (King Co.)"/>
    <s v="Green - Duwamish River"/>
    <s v="King"/>
    <x v="2"/>
    <s v="Pierce"/>
    <s v="07Pierce"/>
    <s v="02South Puget Sound"/>
    <n v="28.285714285714299"/>
    <n v="28.285714285714299"/>
    <n v="524.70000000000027"/>
  </r>
  <r>
    <n v="368"/>
    <x v="1"/>
    <x v="4"/>
    <x v="1"/>
    <s v="Freshwater"/>
    <x v="0"/>
    <x v="0"/>
    <s v="746"/>
    <s v="Green (Duwamish River) (King Co.)"/>
    <s v="Green - Duwamish River"/>
    <s v="King"/>
    <x v="2"/>
    <s v="Snohomish"/>
    <s v="03Snohomish"/>
    <s v="01North Puget Sound"/>
    <n v="6.28571428571429"/>
    <n v="6.28571428571429"/>
    <n v="116.60000000000008"/>
  </r>
  <r>
    <n v="399"/>
    <x v="1"/>
    <x v="4"/>
    <x v="1"/>
    <s v="Freshwater"/>
    <x v="0"/>
    <x v="0"/>
    <s v="768"/>
    <s v="Lyre River"/>
    <s v="Lyre River"/>
    <s v="Clallam"/>
    <x v="3"/>
    <s v="Clallam"/>
    <s v="11Clallam"/>
    <s v="03Strait of Juan de Fuca"/>
    <n v="42"/>
    <n v="42"/>
    <n v="779.1"/>
  </r>
  <r>
    <n v="400"/>
    <x v="1"/>
    <x v="4"/>
    <x v="1"/>
    <s v="Freshwater"/>
    <x v="0"/>
    <x v="0"/>
    <s v="768"/>
    <s v="Lyre River"/>
    <s v="Lyre River"/>
    <s v="Clallam"/>
    <x v="3"/>
    <s v="Island"/>
    <s v="04Island"/>
    <s v="01North Puget Sound"/>
    <n v="6"/>
    <n v="6"/>
    <n v="111.30000000000001"/>
  </r>
  <r>
    <n v="422"/>
    <x v="1"/>
    <x v="4"/>
    <x v="1"/>
    <s v="Freshwater"/>
    <x v="0"/>
    <x v="0"/>
    <s v="786"/>
    <s v="Nisqually River"/>
    <s v="Nisqually River"/>
    <s v="Thurston/Pierce"/>
    <x v="2"/>
    <s v="Pierce"/>
    <s v="07Pierce"/>
    <s v="02South Puget Sound"/>
    <n v="0"/>
    <n v="0"/>
    <n v="0"/>
  </r>
  <r>
    <n v="442"/>
    <x v="1"/>
    <x v="4"/>
    <x v="1"/>
    <s v="Freshwater"/>
    <x v="0"/>
    <x v="0"/>
    <s v="804"/>
    <s v="Puyallup River"/>
    <s v="Puyallup River"/>
    <s v="Pierce"/>
    <x v="2"/>
    <s v="King"/>
    <s v="06King"/>
    <s v="02South Puget Sound"/>
    <n v="0"/>
    <n v="0"/>
    <n v="0"/>
  </r>
  <r>
    <n v="443"/>
    <x v="1"/>
    <x v="4"/>
    <x v="1"/>
    <s v="Freshwater"/>
    <x v="0"/>
    <x v="0"/>
    <s v="804"/>
    <s v="Puyallup River"/>
    <s v="Puyallup River"/>
    <s v="Pierce"/>
    <x v="2"/>
    <s v="Pierce"/>
    <s v="07Pierce"/>
    <s v="02South Puget Sound"/>
    <n v="8"/>
    <n v="8"/>
    <n v="148.4"/>
  </r>
  <r>
    <n v="462"/>
    <x v="1"/>
    <x v="4"/>
    <x v="1"/>
    <s v="Freshwater"/>
    <x v="0"/>
    <x v="0"/>
    <s v="816"/>
    <s v="Samish River"/>
    <s v="Samish River"/>
    <s v="Skagit"/>
    <x v="1"/>
    <s v="Pierce"/>
    <s v="07Pierce"/>
    <s v="02South Puget Sound"/>
    <n v="0"/>
    <n v="0"/>
    <n v="0"/>
  </r>
  <r>
    <n v="500"/>
    <x v="1"/>
    <x v="4"/>
    <x v="1"/>
    <s v="Freshwater"/>
    <x v="0"/>
    <x v="0"/>
    <s v="830"/>
    <s v="Skagit River"/>
    <s v="Skagit River"/>
    <s v="Skagit/Whatcom"/>
    <x v="0"/>
    <s v="King"/>
    <s v="06King"/>
    <s v="02South Puget Sound"/>
    <n v="0"/>
    <n v="0"/>
    <n v="0"/>
  </r>
  <r>
    <n v="501"/>
    <x v="1"/>
    <x v="4"/>
    <x v="1"/>
    <s v="Freshwater"/>
    <x v="0"/>
    <x v="0"/>
    <s v="830"/>
    <s v="Skagit River"/>
    <s v="Skagit River"/>
    <s v="Skagit/Whatcom"/>
    <x v="0"/>
    <s v="Other"/>
    <s v="20Other"/>
    <s v="07Non Puget Sound"/>
    <n v="3.5714285714285698"/>
    <n v="3.5714285714285698"/>
    <n v="66.249999999999972"/>
  </r>
  <r>
    <n v="502"/>
    <x v="1"/>
    <x v="4"/>
    <x v="1"/>
    <s v="Freshwater"/>
    <x v="0"/>
    <x v="0"/>
    <s v="830"/>
    <s v="Skagit River"/>
    <s v="Skagit River"/>
    <s v="Skagit/Whatcom"/>
    <x v="0"/>
    <s v="Skagit"/>
    <s v="02Skagit"/>
    <s v="01North Puget Sound"/>
    <n v="21.428571428571399"/>
    <n v="21.428571428571399"/>
    <n v="397.49999999999943"/>
  </r>
  <r>
    <n v="503"/>
    <x v="1"/>
    <x v="4"/>
    <x v="1"/>
    <s v="Freshwater"/>
    <x v="0"/>
    <x v="0"/>
    <s v="830"/>
    <s v="Skagit River"/>
    <s v="Skagit River"/>
    <s v="Skagit/Whatcom"/>
    <x v="0"/>
    <s v="Snohomish"/>
    <s v="03Snohomish"/>
    <s v="01North Puget Sound"/>
    <n v="0"/>
    <n v="0"/>
    <n v="0"/>
  </r>
  <r>
    <n v="504"/>
    <x v="1"/>
    <x v="4"/>
    <x v="1"/>
    <s v="Freshwater"/>
    <x v="0"/>
    <x v="0"/>
    <s v="830"/>
    <s v="Skagit River"/>
    <s v="Skagit River"/>
    <s v="Skagit/Whatcom"/>
    <x v="0"/>
    <s v="Whatcom"/>
    <s v="01Whatcom"/>
    <s v="01North Puget Sound"/>
    <n v="0"/>
    <n v="0"/>
    <n v="0"/>
  </r>
  <r>
    <n v="522"/>
    <x v="1"/>
    <x v="4"/>
    <x v="1"/>
    <s v="Freshwater"/>
    <x v="0"/>
    <x v="0"/>
    <s v="834"/>
    <s v="Skokomish River (Mason Co.)"/>
    <s v="Skokomish River"/>
    <s v="Mason"/>
    <x v="4"/>
    <s v="King"/>
    <s v="06King"/>
    <s v="02South Puget Sound"/>
    <n v="0"/>
    <n v="0"/>
    <n v="0"/>
  </r>
  <r>
    <n v="523"/>
    <x v="1"/>
    <x v="4"/>
    <x v="1"/>
    <s v="Freshwater"/>
    <x v="0"/>
    <x v="0"/>
    <s v="834"/>
    <s v="Skokomish River (Mason Co.)"/>
    <s v="Skokomish River"/>
    <s v="Mason"/>
    <x v="4"/>
    <s v="Kitsap"/>
    <s v="10Kitsap"/>
    <s v="02South Puget Sound"/>
    <n v="0"/>
    <n v="0"/>
    <n v="0"/>
  </r>
  <r>
    <n v="524"/>
    <x v="1"/>
    <x v="4"/>
    <x v="1"/>
    <s v="Freshwater"/>
    <x v="0"/>
    <x v="0"/>
    <s v="834"/>
    <s v="Skokomish River (Mason Co.)"/>
    <s v="Skokomish River"/>
    <s v="Mason"/>
    <x v="4"/>
    <s v="Mason"/>
    <s v="09Mason"/>
    <s v="02South Puget Sound"/>
    <n v="0"/>
    <n v="0"/>
    <n v="0"/>
  </r>
  <r>
    <n v="525"/>
    <x v="1"/>
    <x v="4"/>
    <x v="1"/>
    <s v="Freshwater"/>
    <x v="0"/>
    <x v="0"/>
    <s v="834"/>
    <s v="Skokomish River (Mason Co.)"/>
    <s v="Skokomish River"/>
    <s v="Mason"/>
    <x v="4"/>
    <s v="Other"/>
    <s v="20Other"/>
    <s v="07Non Puget Sound"/>
    <n v="0"/>
    <n v="0"/>
    <n v="0"/>
  </r>
  <r>
    <n v="526"/>
    <x v="1"/>
    <x v="4"/>
    <x v="1"/>
    <s v="Freshwater"/>
    <x v="0"/>
    <x v="0"/>
    <s v="834"/>
    <s v="Skokomish River (Mason Co.)"/>
    <s v="Skokomish River"/>
    <s v="Mason"/>
    <x v="4"/>
    <s v="Pierce"/>
    <s v="07Pierce"/>
    <s v="02South Puget Sound"/>
    <n v="0"/>
    <n v="0"/>
    <n v="0"/>
  </r>
  <r>
    <n v="527"/>
    <x v="1"/>
    <x v="4"/>
    <x v="1"/>
    <s v="Freshwater"/>
    <x v="0"/>
    <x v="0"/>
    <s v="834"/>
    <s v="Skokomish River (Mason Co.)"/>
    <s v="Skokomish River"/>
    <s v="Mason"/>
    <x v="4"/>
    <s v="Thurston"/>
    <s v="08Thurston"/>
    <s v="02South Puget Sound"/>
    <n v="0"/>
    <n v="0"/>
    <n v="0"/>
  </r>
  <r>
    <n v="552"/>
    <x v="1"/>
    <x v="4"/>
    <x v="1"/>
    <s v="Freshwater"/>
    <x v="0"/>
    <x v="0"/>
    <s v="844"/>
    <s v="Skykomish River"/>
    <s v="Skykomish River"/>
    <s v="Snohomish"/>
    <x v="0"/>
    <s v="King"/>
    <s v="06King"/>
    <s v="02South Puget Sound"/>
    <n v="166.15675675675701"/>
    <n v="166.15675675675701"/>
    <n v="3082.2078378378424"/>
  </r>
  <r>
    <n v="553"/>
    <x v="1"/>
    <x v="4"/>
    <x v="1"/>
    <s v="Freshwater"/>
    <x v="0"/>
    <x v="0"/>
    <s v="844"/>
    <s v="Skykomish River"/>
    <s v="Skykomish River"/>
    <s v="Snohomish"/>
    <x v="0"/>
    <s v="Other"/>
    <s v="20Other"/>
    <s v="07Non Puget Sound"/>
    <n v="50.691891891891899"/>
    <n v="50.691891891891899"/>
    <n v="940.33459459459482"/>
  </r>
  <r>
    <n v="554"/>
    <x v="1"/>
    <x v="4"/>
    <x v="1"/>
    <s v="Freshwater"/>
    <x v="0"/>
    <x v="0"/>
    <s v="844"/>
    <s v="Skykomish River"/>
    <s v="Skykomish River"/>
    <s v="Snohomish"/>
    <x v="0"/>
    <s v="Skagit"/>
    <s v="02Skagit"/>
    <s v="01North Puget Sound"/>
    <n v="2.8162162162162199"/>
    <n v="2.8162162162162199"/>
    <n v="52.240810810810878"/>
  </r>
  <r>
    <n v="555"/>
    <x v="1"/>
    <x v="4"/>
    <x v="1"/>
    <s v="Freshwater"/>
    <x v="0"/>
    <x v="0"/>
    <s v="844"/>
    <s v="Skykomish River"/>
    <s v="Skykomish River"/>
    <s v="Snohomish"/>
    <x v="0"/>
    <s v="Snohomish"/>
    <s v="03Snohomish"/>
    <s v="01North Puget Sound"/>
    <n v="298.51891891891898"/>
    <n v="298.51891891891898"/>
    <n v="5537.5259459459476"/>
  </r>
  <r>
    <n v="556"/>
    <x v="1"/>
    <x v="4"/>
    <x v="1"/>
    <s v="Freshwater"/>
    <x v="0"/>
    <x v="0"/>
    <s v="844"/>
    <s v="Skykomish River"/>
    <s v="Skykomish River"/>
    <s v="Snohomish"/>
    <x v="0"/>
    <s v="Thurston"/>
    <s v="08Thurston"/>
    <s v="02South Puget Sound"/>
    <n v="2.8162162162162199"/>
    <n v="2.8162162162162199"/>
    <n v="52.240810810810878"/>
  </r>
  <r>
    <n v="587"/>
    <x v="1"/>
    <x v="4"/>
    <x v="1"/>
    <s v="Freshwater"/>
    <x v="0"/>
    <x v="0"/>
    <s v="846"/>
    <s v="Skykomish River, No. Fork"/>
    <s v="Skykomish River, No. Fork"/>
    <s v="Snohomish"/>
    <x v="0"/>
    <s v="King"/>
    <s v="06King"/>
    <s v="02South Puget Sound"/>
    <n v="3"/>
    <n v="3"/>
    <n v="55.650000000000006"/>
  </r>
  <r>
    <n v="588"/>
    <x v="1"/>
    <x v="4"/>
    <x v="1"/>
    <s v="Freshwater"/>
    <x v="0"/>
    <x v="0"/>
    <s v="846"/>
    <s v="Skykomish River, No. Fork"/>
    <s v="Skykomish River, No. Fork"/>
    <s v="Snohomish"/>
    <x v="0"/>
    <s v="Whatcom"/>
    <s v="01Whatcom"/>
    <s v="01North Puget Sound"/>
    <n v="3"/>
    <n v="3"/>
    <n v="55.650000000000006"/>
  </r>
  <r>
    <n v="596"/>
    <x v="1"/>
    <x v="4"/>
    <x v="1"/>
    <s v="Freshwater"/>
    <x v="0"/>
    <x v="0"/>
    <s v="848"/>
    <s v="Skykomish River, So. Fork"/>
    <s v="Skykomish River, So. Fork"/>
    <s v="Snohomish/King"/>
    <x v="0"/>
    <s v="King"/>
    <s v="06King"/>
    <s v="02South Puget Sound"/>
    <n v="3"/>
    <n v="3"/>
    <n v="55.650000000000006"/>
  </r>
  <r>
    <n v="601"/>
    <x v="1"/>
    <x v="4"/>
    <x v="1"/>
    <s v="Freshwater"/>
    <x v="0"/>
    <x v="0"/>
    <s v="850"/>
    <s v="Snohomish River"/>
    <s v="Snohomish River"/>
    <s v="Snohomish"/>
    <x v="0"/>
    <s v="King"/>
    <s v="06King"/>
    <s v="02South Puget Sound"/>
    <n v="28"/>
    <n v="28"/>
    <n v="519.4"/>
  </r>
  <r>
    <n v="602"/>
    <x v="1"/>
    <x v="4"/>
    <x v="1"/>
    <s v="Freshwater"/>
    <x v="0"/>
    <x v="0"/>
    <s v="850"/>
    <s v="Snohomish River"/>
    <s v="Snohomish River"/>
    <s v="Snohomish"/>
    <x v="0"/>
    <s v="Other"/>
    <s v="20Other"/>
    <s v="07Non Puget Sound"/>
    <n v="2.8"/>
    <n v="2.8"/>
    <n v="51.94"/>
  </r>
  <r>
    <n v="603"/>
    <x v="1"/>
    <x v="4"/>
    <x v="1"/>
    <s v="Freshwater"/>
    <x v="0"/>
    <x v="0"/>
    <s v="850"/>
    <s v="Snohomish River"/>
    <s v="Snohomish River"/>
    <s v="Snohomish"/>
    <x v="0"/>
    <s v="Snohomish"/>
    <s v="03Snohomish"/>
    <s v="01North Puget Sound"/>
    <n v="67.2"/>
    <n v="67.2"/>
    <n v="1246.5600000000002"/>
  </r>
  <r>
    <n v="621"/>
    <x v="1"/>
    <x v="4"/>
    <x v="1"/>
    <s v="Freshwater"/>
    <x v="0"/>
    <x v="0"/>
    <s v="852"/>
    <s v="Snoqualmie River"/>
    <s v="Snoqualmie River"/>
    <s v="Snohomish/King"/>
    <x v="0"/>
    <s v="King"/>
    <s v="06King"/>
    <s v="02South Puget Sound"/>
    <n v="11"/>
    <n v="11"/>
    <n v="204.05"/>
  </r>
  <r>
    <n v="684"/>
    <x v="1"/>
    <x v="4"/>
    <x v="1"/>
    <s v="Freshwater"/>
    <x v="0"/>
    <x v="0"/>
    <s v="872"/>
    <s v="Stillaguamish R, No. Fork"/>
    <s v="Stillaguamish R, No. Fork"/>
    <s v="Snohomish"/>
    <x v="0"/>
    <s v="King"/>
    <s v="06King"/>
    <s v="02South Puget Sound"/>
    <n v="7.4285714285714297"/>
    <n v="7.4285714285714297"/>
    <n v="137.80000000000004"/>
  </r>
  <r>
    <n v="685"/>
    <x v="1"/>
    <x v="4"/>
    <x v="1"/>
    <s v="Freshwater"/>
    <x v="0"/>
    <x v="0"/>
    <s v="872"/>
    <s v="Stillaguamish R, No. Fork"/>
    <s v="Stillaguamish R, No. Fork"/>
    <s v="Snohomish"/>
    <x v="0"/>
    <s v="Snohomish"/>
    <s v="03Snohomish"/>
    <s v="01North Puget Sound"/>
    <n v="18.571428571428601"/>
    <n v="18.571428571428601"/>
    <n v="344.50000000000057"/>
  </r>
  <r>
    <n v="643"/>
    <x v="1"/>
    <x v="4"/>
    <x v="1"/>
    <s v="Freshwater"/>
    <x v="0"/>
    <x v="0"/>
    <s v="854"/>
    <s v="Sultan River"/>
    <s v="Sultan River"/>
    <s v="Snohomish"/>
    <x v="0"/>
    <s v="Snohomish"/>
    <s v="03Snohomish"/>
    <s v="01North Puget Sound"/>
    <n v="6"/>
    <n v="6"/>
    <n v="111.30000000000001"/>
  </r>
  <r>
    <n v="454"/>
    <x v="1"/>
    <x v="5"/>
    <x v="1"/>
    <s v="Freshwater"/>
    <x v="0"/>
    <x v="0"/>
    <s v="81"/>
    <s v="Area 8-1: Skagit Bay-Saratoga Psg."/>
    <s v="Area 8-1: Skagit Bay-Saratoga Psg."/>
    <s v="NA"/>
    <x v="0"/>
    <s v="Other"/>
    <s v="20Other"/>
    <s v="07Non Puget Sound"/>
    <n v="0"/>
    <n v="0"/>
    <n v="0"/>
  </r>
  <r>
    <n v="725"/>
    <x v="1"/>
    <x v="5"/>
    <x v="1"/>
    <s v="Freshwater"/>
    <x v="0"/>
    <x v="0"/>
    <s v="9"/>
    <s v="Area 9: Admiralty Inlet"/>
    <s v="Area 9: Admiralty Inlet"/>
    <s v="NA"/>
    <x v="0"/>
    <s v="Island"/>
    <s v="04Island"/>
    <s v="01North Puget Sound"/>
    <n v="0"/>
    <n v="0"/>
    <n v="0"/>
  </r>
  <r>
    <n v="726"/>
    <x v="1"/>
    <x v="5"/>
    <x v="1"/>
    <s v="Freshwater"/>
    <x v="0"/>
    <x v="0"/>
    <s v="9"/>
    <s v="Area 9: Admiralty Inlet"/>
    <s v="Area 9: Admiralty Inlet"/>
    <s v="NA"/>
    <x v="0"/>
    <s v="Skagit"/>
    <s v="02Skagit"/>
    <s v="01North Puget Sound"/>
    <n v="1"/>
    <n v="1"/>
    <n v="18.55"/>
  </r>
  <r>
    <n v="727"/>
    <x v="1"/>
    <x v="5"/>
    <x v="1"/>
    <s v="Freshwater"/>
    <x v="0"/>
    <x v="0"/>
    <s v="9"/>
    <s v="Area 9: Admiralty Inlet"/>
    <s v="Area 9: Admiralty Inlet"/>
    <s v="NA"/>
    <x v="0"/>
    <s v="Snohomish"/>
    <s v="03Snohomish"/>
    <s v="01North Puget Sound"/>
    <n v="0"/>
    <n v="0"/>
    <n v="0"/>
  </r>
  <r>
    <n v="439"/>
    <x v="1"/>
    <x v="5"/>
    <x v="1"/>
    <s v="Freshwater"/>
    <x v="0"/>
    <x v="0"/>
    <s v="802"/>
    <s v="Carbon River"/>
    <s v="Carbon River"/>
    <s v="Pierce"/>
    <x v="2"/>
    <s v="King"/>
    <s v="06King"/>
    <s v="02South Puget Sound"/>
    <n v="0"/>
    <n v="0"/>
    <n v="0"/>
  </r>
  <r>
    <n v="440"/>
    <x v="1"/>
    <x v="5"/>
    <x v="1"/>
    <s v="Freshwater"/>
    <x v="0"/>
    <x v="0"/>
    <s v="802"/>
    <s v="Carbon River"/>
    <s v="Carbon River"/>
    <s v="Pierce"/>
    <x v="2"/>
    <s v="Pierce"/>
    <s v="07Pierce"/>
    <s v="02South Puget Sound"/>
    <n v="0"/>
    <n v="0"/>
    <n v="0"/>
  </r>
  <r>
    <n v="473"/>
    <x v="1"/>
    <x v="5"/>
    <x v="1"/>
    <s v="Freshwater"/>
    <x v="0"/>
    <x v="0"/>
    <s v="826"/>
    <s v="Cascade River"/>
    <s v="Cascade River"/>
    <s v="Skagit"/>
    <x v="1"/>
    <s v="King"/>
    <s v="06King"/>
    <s v="02South Puget Sound"/>
    <n v="3.5"/>
    <n v="3.5"/>
    <n v="64.924999999999997"/>
  </r>
  <r>
    <n v="474"/>
    <x v="1"/>
    <x v="5"/>
    <x v="1"/>
    <s v="Freshwater"/>
    <x v="0"/>
    <x v="0"/>
    <s v="826"/>
    <s v="Cascade River"/>
    <s v="Cascade River"/>
    <s v="Skagit"/>
    <x v="1"/>
    <s v="Snohomish"/>
    <s v="03Snohomish"/>
    <s v="01North Puget Sound"/>
    <n v="3.5"/>
    <n v="3.5"/>
    <n v="64.924999999999997"/>
  </r>
  <r>
    <n v="369"/>
    <x v="1"/>
    <x v="5"/>
    <x v="1"/>
    <s v="Freshwater"/>
    <x v="0"/>
    <x v="0"/>
    <s v="746"/>
    <s v="Green (Duwamish River) (King Co.)"/>
    <s v="Green - Duwamish River"/>
    <s v="King"/>
    <x v="2"/>
    <s v="King"/>
    <s v="06King"/>
    <s v="02South Puget Sound"/>
    <n v="91.702702702702695"/>
    <n v="91.702702702702695"/>
    <n v="1701.085135135135"/>
  </r>
  <r>
    <n v="370"/>
    <x v="1"/>
    <x v="5"/>
    <x v="1"/>
    <s v="Freshwater"/>
    <x v="0"/>
    <x v="0"/>
    <s v="746"/>
    <s v="Green (Duwamish River) (King Co.)"/>
    <s v="Green - Duwamish River"/>
    <s v="King"/>
    <x v="2"/>
    <s v="Pierce"/>
    <s v="07Pierce"/>
    <s v="02South Puget Sound"/>
    <n v="9.4864864864864895"/>
    <n v="9.4864864864864895"/>
    <n v="175.97432432432439"/>
  </r>
  <r>
    <n v="371"/>
    <x v="1"/>
    <x v="5"/>
    <x v="1"/>
    <s v="Freshwater"/>
    <x v="0"/>
    <x v="0"/>
    <s v="746"/>
    <s v="Green (Duwamish River) (King Co.)"/>
    <s v="Green - Duwamish River"/>
    <s v="King"/>
    <x v="2"/>
    <s v="Snohomish"/>
    <s v="03Snohomish"/>
    <s v="01North Puget Sound"/>
    <n v="6.3243243243243299"/>
    <n v="6.3243243243243299"/>
    <n v="117.31621621621632"/>
  </r>
  <r>
    <n v="372"/>
    <x v="1"/>
    <x v="5"/>
    <x v="1"/>
    <s v="Freshwater"/>
    <x v="0"/>
    <x v="0"/>
    <s v="746"/>
    <s v="Green (Duwamish River) (King Co.)"/>
    <s v="Green - Duwamish River"/>
    <s v="King"/>
    <x v="2"/>
    <s v="Thurston"/>
    <s v="08Thurston"/>
    <s v="02South Puget Sound"/>
    <n v="9.4864864864864895"/>
    <n v="9.4864864864864895"/>
    <n v="175.97432432432439"/>
  </r>
  <r>
    <n v="401"/>
    <x v="1"/>
    <x v="5"/>
    <x v="1"/>
    <s v="Freshwater"/>
    <x v="0"/>
    <x v="0"/>
    <s v="768"/>
    <s v="Lyre River"/>
    <s v="Lyre River"/>
    <s v="Clallam"/>
    <x v="3"/>
    <s v="Clallam"/>
    <s v="11Clallam"/>
    <s v="03Strait of Juan de Fuca"/>
    <n v="9"/>
    <n v="9"/>
    <n v="166.95000000000002"/>
  </r>
  <r>
    <n v="402"/>
    <x v="1"/>
    <x v="5"/>
    <x v="1"/>
    <s v="Freshwater"/>
    <x v="0"/>
    <x v="0"/>
    <s v="768"/>
    <s v="Lyre River"/>
    <s v="Lyre River"/>
    <s v="Clallam"/>
    <x v="3"/>
    <s v="Jefferson"/>
    <s v="12Jefferson"/>
    <s v="03Strait of Juan de Fuca"/>
    <n v="3"/>
    <n v="3"/>
    <n v="55.650000000000006"/>
  </r>
  <r>
    <n v="423"/>
    <x v="1"/>
    <x v="5"/>
    <x v="1"/>
    <s v="Freshwater"/>
    <x v="0"/>
    <x v="0"/>
    <s v="786"/>
    <s v="Nisqually River"/>
    <s v="Nisqually River"/>
    <s v="Thurston/Pierce"/>
    <x v="2"/>
    <s v="King"/>
    <s v="06King"/>
    <s v="02South Puget Sound"/>
    <n v="0"/>
    <n v="0"/>
    <n v="0"/>
  </r>
  <r>
    <n v="424"/>
    <x v="1"/>
    <x v="5"/>
    <x v="1"/>
    <s v="Freshwater"/>
    <x v="0"/>
    <x v="0"/>
    <s v="786"/>
    <s v="Nisqually River"/>
    <s v="Nisqually River"/>
    <s v="Thurston/Pierce"/>
    <x v="2"/>
    <s v="Pierce"/>
    <s v="07Pierce"/>
    <s v="02South Puget Sound"/>
    <n v="0"/>
    <n v="0"/>
    <n v="0"/>
  </r>
  <r>
    <n v="425"/>
    <x v="1"/>
    <x v="5"/>
    <x v="1"/>
    <s v="Freshwater"/>
    <x v="0"/>
    <x v="0"/>
    <s v="786"/>
    <s v="Nisqually River"/>
    <s v="Nisqually River"/>
    <s v="Thurston/Pierce"/>
    <x v="2"/>
    <s v="Thurston"/>
    <s v="08Thurston"/>
    <s v="02South Puget Sound"/>
    <n v="0"/>
    <n v="0"/>
    <n v="0"/>
  </r>
  <r>
    <n v="435"/>
    <x v="1"/>
    <x v="5"/>
    <x v="1"/>
    <s v="Freshwater"/>
    <x v="0"/>
    <x v="0"/>
    <s v="794"/>
    <s v="Nooksack River, below North Fork"/>
    <s v="Nooksack River, below North Fork"/>
    <s v="Whatcom"/>
    <x v="1"/>
    <s v="Whatcom"/>
    <s v="01Whatcom"/>
    <s v="01North Puget Sound"/>
    <n v="0"/>
    <n v="0"/>
    <n v="0"/>
  </r>
  <r>
    <n v="444"/>
    <x v="1"/>
    <x v="5"/>
    <x v="1"/>
    <s v="Freshwater"/>
    <x v="0"/>
    <x v="0"/>
    <s v="804"/>
    <s v="Puyallup River"/>
    <s v="Puyallup River"/>
    <s v="Pierce"/>
    <x v="2"/>
    <s v="Jefferson"/>
    <s v="12Jefferson"/>
    <s v="03Strait of Juan de Fuca"/>
    <n v="0"/>
    <n v="0"/>
    <n v="0"/>
  </r>
  <r>
    <n v="445"/>
    <x v="1"/>
    <x v="5"/>
    <x v="1"/>
    <s v="Freshwater"/>
    <x v="0"/>
    <x v="0"/>
    <s v="804"/>
    <s v="Puyallup River"/>
    <s v="Puyallup River"/>
    <s v="Pierce"/>
    <x v="2"/>
    <s v="King"/>
    <s v="06King"/>
    <s v="02South Puget Sound"/>
    <n v="0"/>
    <n v="0"/>
    <n v="0"/>
  </r>
  <r>
    <n v="446"/>
    <x v="1"/>
    <x v="5"/>
    <x v="1"/>
    <s v="Freshwater"/>
    <x v="0"/>
    <x v="0"/>
    <s v="804"/>
    <s v="Puyallup River"/>
    <s v="Puyallup River"/>
    <s v="Pierce"/>
    <x v="2"/>
    <s v="Other"/>
    <s v="20Other"/>
    <s v="07Non Puget Sound"/>
    <n v="0"/>
    <n v="0"/>
    <n v="0"/>
  </r>
  <r>
    <n v="447"/>
    <x v="1"/>
    <x v="5"/>
    <x v="1"/>
    <s v="Freshwater"/>
    <x v="0"/>
    <x v="0"/>
    <s v="804"/>
    <s v="Puyallup River"/>
    <s v="Puyallup River"/>
    <s v="Pierce"/>
    <x v="2"/>
    <s v="Pierce"/>
    <s v="07Pierce"/>
    <s v="02South Puget Sound"/>
    <n v="8"/>
    <n v="8"/>
    <n v="148.4"/>
  </r>
  <r>
    <n v="448"/>
    <x v="1"/>
    <x v="5"/>
    <x v="1"/>
    <s v="Freshwater"/>
    <x v="0"/>
    <x v="0"/>
    <s v="804"/>
    <s v="Puyallup River"/>
    <s v="Puyallup River"/>
    <s v="Pierce"/>
    <x v="2"/>
    <s v="Snohomish"/>
    <s v="03Snohomish"/>
    <s v="01North Puget Sound"/>
    <n v="0"/>
    <n v="0"/>
    <n v="0"/>
  </r>
  <r>
    <n v="449"/>
    <x v="1"/>
    <x v="5"/>
    <x v="1"/>
    <s v="Freshwater"/>
    <x v="0"/>
    <x v="0"/>
    <s v="804"/>
    <s v="Puyallup River"/>
    <s v="Puyallup River"/>
    <s v="Pierce"/>
    <x v="2"/>
    <s v="Thurston"/>
    <s v="08Thurston"/>
    <s v="02South Puget Sound"/>
    <n v="0"/>
    <n v="0"/>
    <n v="0"/>
  </r>
  <r>
    <n v="461"/>
    <x v="1"/>
    <x v="5"/>
    <x v="1"/>
    <s v="Freshwater"/>
    <x v="0"/>
    <x v="0"/>
    <s v="812"/>
    <s v="Quilcene River"/>
    <s v="Quilcene River"/>
    <s v="Jefferson"/>
    <x v="4"/>
    <s v="Other"/>
    <s v="20Other"/>
    <s v="07Non Puget Sound"/>
    <n v="0"/>
    <n v="0"/>
    <n v="0"/>
  </r>
  <r>
    <n v="463"/>
    <x v="1"/>
    <x v="5"/>
    <x v="1"/>
    <s v="Freshwater"/>
    <x v="0"/>
    <x v="0"/>
    <s v="816"/>
    <s v="Samish River"/>
    <s v="Samish River"/>
    <s v="Skagit"/>
    <x v="1"/>
    <s v="Snohomish"/>
    <s v="03Snohomish"/>
    <s v="01North Puget Sound"/>
    <n v="0"/>
    <n v="0"/>
    <n v="0"/>
  </r>
  <r>
    <n v="505"/>
    <x v="1"/>
    <x v="5"/>
    <x v="1"/>
    <s v="Freshwater"/>
    <x v="0"/>
    <x v="0"/>
    <s v="830"/>
    <s v="Skagit River"/>
    <s v="Skagit River"/>
    <s v="Skagit/Whatcom"/>
    <x v="0"/>
    <s v="Other"/>
    <s v="20Other"/>
    <s v="07Non Puget Sound"/>
    <n v="0"/>
    <n v="0"/>
    <n v="0"/>
  </r>
  <r>
    <n v="506"/>
    <x v="1"/>
    <x v="5"/>
    <x v="1"/>
    <s v="Freshwater"/>
    <x v="0"/>
    <x v="0"/>
    <s v="830"/>
    <s v="Skagit River"/>
    <s v="Skagit River"/>
    <s v="Skagit/Whatcom"/>
    <x v="0"/>
    <s v="Pierce"/>
    <s v="07Pierce"/>
    <s v="02South Puget Sound"/>
    <n v="0"/>
    <n v="0"/>
    <n v="0"/>
  </r>
  <r>
    <n v="507"/>
    <x v="1"/>
    <x v="5"/>
    <x v="1"/>
    <s v="Freshwater"/>
    <x v="0"/>
    <x v="0"/>
    <s v="830"/>
    <s v="Skagit River"/>
    <s v="Skagit River"/>
    <s v="Skagit/Whatcom"/>
    <x v="0"/>
    <s v="Skagit"/>
    <s v="02Skagit"/>
    <s v="01North Puget Sound"/>
    <n v="4"/>
    <n v="4"/>
    <n v="74.2"/>
  </r>
  <r>
    <n v="508"/>
    <x v="1"/>
    <x v="5"/>
    <x v="1"/>
    <s v="Freshwater"/>
    <x v="0"/>
    <x v="0"/>
    <s v="830"/>
    <s v="Skagit River"/>
    <s v="Skagit River"/>
    <s v="Skagit/Whatcom"/>
    <x v="0"/>
    <s v="Snohomish"/>
    <s v="03Snohomish"/>
    <s v="01North Puget Sound"/>
    <n v="0"/>
    <n v="0"/>
    <n v="0"/>
  </r>
  <r>
    <n v="528"/>
    <x v="1"/>
    <x v="5"/>
    <x v="1"/>
    <s v="Freshwater"/>
    <x v="0"/>
    <x v="0"/>
    <s v="834"/>
    <s v="Skokomish River (Mason Co.)"/>
    <s v="Skokomish River"/>
    <s v="Mason"/>
    <x v="4"/>
    <s v="Pierce"/>
    <s v="07Pierce"/>
    <s v="02South Puget Sound"/>
    <n v="0"/>
    <n v="0"/>
    <n v="0"/>
  </r>
  <r>
    <n v="557"/>
    <x v="1"/>
    <x v="5"/>
    <x v="1"/>
    <s v="Freshwater"/>
    <x v="0"/>
    <x v="0"/>
    <s v="844"/>
    <s v="Skykomish River"/>
    <s v="Skykomish River"/>
    <s v="Snohomish"/>
    <x v="0"/>
    <s v="King"/>
    <s v="06King"/>
    <s v="02South Puget Sound"/>
    <n v="59.142857142857203"/>
    <n v="59.142857142857203"/>
    <n v="1097.100000000001"/>
  </r>
  <r>
    <n v="558"/>
    <x v="1"/>
    <x v="5"/>
    <x v="1"/>
    <s v="Freshwater"/>
    <x v="0"/>
    <x v="0"/>
    <s v="844"/>
    <s v="Skykomish River"/>
    <s v="Skykomish River"/>
    <s v="Snohomish"/>
    <x v="0"/>
    <s v="Other"/>
    <s v="20Other"/>
    <s v="07Non Puget Sound"/>
    <n v="11.265306122448999"/>
    <n v="11.265306122448999"/>
    <n v="208.97142857142893"/>
  </r>
  <r>
    <n v="559"/>
    <x v="1"/>
    <x v="5"/>
    <x v="1"/>
    <s v="Freshwater"/>
    <x v="0"/>
    <x v="0"/>
    <s v="844"/>
    <s v="Skykomish River"/>
    <s v="Skykomish River"/>
    <s v="Snohomish"/>
    <x v="0"/>
    <s v="Snohomish"/>
    <s v="03Snohomish"/>
    <s v="01North Puget Sound"/>
    <n v="67.591836734693899"/>
    <n v="67.591836734693899"/>
    <n v="1253.8285714285719"/>
  </r>
  <r>
    <n v="589"/>
    <x v="1"/>
    <x v="5"/>
    <x v="1"/>
    <s v="Freshwater"/>
    <x v="0"/>
    <x v="0"/>
    <s v="846"/>
    <s v="Skykomish River, No. Fork"/>
    <s v="Skykomish River, No. Fork"/>
    <s v="Snohomish"/>
    <x v="0"/>
    <s v="Snohomish"/>
    <s v="03Snohomish"/>
    <s v="01North Puget Sound"/>
    <n v="6"/>
    <n v="6"/>
    <n v="111.30000000000001"/>
  </r>
  <r>
    <n v="604"/>
    <x v="1"/>
    <x v="5"/>
    <x v="1"/>
    <s v="Freshwater"/>
    <x v="0"/>
    <x v="0"/>
    <s v="850"/>
    <s v="Snohomish River"/>
    <s v="Snohomish River"/>
    <s v="Snohomish"/>
    <x v="0"/>
    <s v="Clallam"/>
    <s v="11Clallam"/>
    <s v="03Strait of Juan de Fuca"/>
    <n v="14"/>
    <n v="14"/>
    <n v="259.7"/>
  </r>
  <r>
    <n v="605"/>
    <x v="1"/>
    <x v="5"/>
    <x v="1"/>
    <s v="Freshwater"/>
    <x v="0"/>
    <x v="0"/>
    <s v="850"/>
    <s v="Snohomish River"/>
    <s v="Snohomish River"/>
    <s v="Snohomish"/>
    <x v="0"/>
    <s v="King"/>
    <s v="06King"/>
    <s v="02South Puget Sound"/>
    <n v="8.4"/>
    <n v="8.4"/>
    <n v="155.82000000000002"/>
  </r>
  <r>
    <n v="606"/>
    <x v="1"/>
    <x v="5"/>
    <x v="1"/>
    <s v="Freshwater"/>
    <x v="0"/>
    <x v="0"/>
    <s v="850"/>
    <s v="Snohomish River"/>
    <s v="Snohomish River"/>
    <s v="Snohomish"/>
    <x v="0"/>
    <s v="Other"/>
    <s v="20Other"/>
    <s v="07Non Puget Sound"/>
    <n v="5.6"/>
    <n v="5.6"/>
    <n v="103.88"/>
  </r>
  <r>
    <n v="607"/>
    <x v="1"/>
    <x v="5"/>
    <x v="1"/>
    <s v="Freshwater"/>
    <x v="0"/>
    <x v="0"/>
    <s v="850"/>
    <s v="Snohomish River"/>
    <s v="Snohomish River"/>
    <s v="Snohomish"/>
    <x v="0"/>
    <s v="Snohomish"/>
    <s v="03Snohomish"/>
    <s v="01North Puget Sound"/>
    <n v="56"/>
    <n v="56"/>
    <n v="1038.8"/>
  </r>
  <r>
    <n v="622"/>
    <x v="1"/>
    <x v="5"/>
    <x v="1"/>
    <s v="Freshwater"/>
    <x v="0"/>
    <x v="0"/>
    <s v="852"/>
    <s v="Snoqualmie River"/>
    <s v="Snoqualmie River"/>
    <s v="Snohomish/King"/>
    <x v="0"/>
    <s v="King"/>
    <s v="06King"/>
    <s v="02South Puget Sound"/>
    <n v="11"/>
    <n v="11"/>
    <n v="204.05"/>
  </r>
  <r>
    <n v="686"/>
    <x v="1"/>
    <x v="5"/>
    <x v="1"/>
    <s v="Freshwater"/>
    <x v="0"/>
    <x v="0"/>
    <s v="872"/>
    <s v="Stillaguamish R, No. Fork"/>
    <s v="Stillaguamish R, No. Fork"/>
    <s v="Snohomish"/>
    <x v="0"/>
    <s v="Snohomish"/>
    <s v="03Snohomish"/>
    <s v="01North Puget Sound"/>
    <n v="11"/>
    <n v="11"/>
    <n v="204.05"/>
  </r>
  <r>
    <n v="703"/>
    <x v="1"/>
    <x v="5"/>
    <x v="1"/>
    <s v="Freshwater"/>
    <x v="0"/>
    <x v="0"/>
    <s v="874"/>
    <s v="Stillaguamish R, So. Fork"/>
    <s v="Stillaguamish R, So. Fork"/>
    <s v="Snohomish"/>
    <x v="0"/>
    <s v="Snohomish"/>
    <s v="03Snohomish"/>
    <s v="01North Puget Sound"/>
    <n v="4"/>
    <n v="4"/>
    <n v="74.2"/>
  </r>
  <r>
    <n v="704"/>
    <x v="1"/>
    <x v="5"/>
    <x v="1"/>
    <s v="Freshwater"/>
    <x v="0"/>
    <x v="0"/>
    <s v="876"/>
    <s v="Stillaguamish River"/>
    <s v="Stillaguamish River"/>
    <s v="Snohomish"/>
    <x v="0"/>
    <s v="King"/>
    <s v="06King"/>
    <s v="02South Puget Sound"/>
    <n v="7.3333333333333401"/>
    <n v="7.3333333333333401"/>
    <n v="136.03333333333347"/>
  </r>
  <r>
    <n v="705"/>
    <x v="1"/>
    <x v="5"/>
    <x v="1"/>
    <s v="Freshwater"/>
    <x v="0"/>
    <x v="0"/>
    <s v="876"/>
    <s v="Stillaguamish River"/>
    <s v="Stillaguamish River"/>
    <s v="Snohomish"/>
    <x v="0"/>
    <s v="Other"/>
    <s v="20Other"/>
    <s v="07Non Puget Sound"/>
    <n v="3.6666666666666701"/>
    <n v="3.6666666666666701"/>
    <n v="68.016666666666737"/>
  </r>
  <r>
    <n v="706"/>
    <x v="1"/>
    <x v="5"/>
    <x v="1"/>
    <s v="Freshwater"/>
    <x v="0"/>
    <x v="0"/>
    <s v="876"/>
    <s v="Stillaguamish River"/>
    <s v="Stillaguamish River"/>
    <s v="Snohomish"/>
    <x v="0"/>
    <s v="Snohomish"/>
    <s v="03Snohomish"/>
    <s v="01North Puget Sound"/>
    <n v="33"/>
    <n v="33"/>
    <n v="612.15"/>
  </r>
  <r>
    <n v="644"/>
    <x v="1"/>
    <x v="5"/>
    <x v="1"/>
    <s v="Freshwater"/>
    <x v="0"/>
    <x v="0"/>
    <s v="854"/>
    <s v="Sultan River"/>
    <s v="Sultan River"/>
    <s v="Snohomish"/>
    <x v="0"/>
    <s v="King"/>
    <s v="06King"/>
    <s v="02South Puget Sound"/>
    <n v="3"/>
    <n v="3"/>
    <n v="55.650000000000006"/>
  </r>
  <r>
    <n v="728"/>
    <x v="1"/>
    <x v="6"/>
    <x v="1"/>
    <s v="Freshwater"/>
    <x v="0"/>
    <x v="0"/>
    <s v="9"/>
    <s v="Area 9: Admiralty Inlet"/>
    <s v="Area 9: Admiralty Inlet"/>
    <s v="NA"/>
    <x v="0"/>
    <s v="Other"/>
    <s v="20Other"/>
    <s v="07Non Puget Sound"/>
    <n v="0"/>
    <n v="0"/>
    <n v="0"/>
  </r>
  <r>
    <n v="729"/>
    <x v="1"/>
    <x v="6"/>
    <x v="1"/>
    <s v="Freshwater"/>
    <x v="0"/>
    <x v="0"/>
    <s v="9"/>
    <s v="Area 9: Admiralty Inlet"/>
    <s v="Area 9: Admiralty Inlet"/>
    <s v="NA"/>
    <x v="0"/>
    <s v="Snohomish"/>
    <s v="03Snohomish"/>
    <s v="01North Puget Sound"/>
    <n v="1"/>
    <n v="1"/>
    <n v="18.55"/>
  </r>
  <r>
    <n v="351"/>
    <x v="1"/>
    <x v="6"/>
    <x v="1"/>
    <s v="Freshwater"/>
    <x v="0"/>
    <x v="0"/>
    <s v="738"/>
    <s v="Dungeness River"/>
    <s v="Dungeness River"/>
    <s v="Clallam"/>
    <x v="3"/>
    <s v="Snohomish"/>
    <s v="03Snohomish"/>
    <s v="01North Puget Sound"/>
    <n v="4"/>
    <n v="4"/>
    <n v="74.2"/>
  </r>
  <r>
    <n v="356"/>
    <x v="1"/>
    <x v="6"/>
    <x v="1"/>
    <s v="Freshwater"/>
    <x v="0"/>
    <x v="0"/>
    <s v="742"/>
    <s v="Elwha River"/>
    <s v="Elwha River"/>
    <s v="Clallam"/>
    <x v="3"/>
    <s v="Clallam"/>
    <s v="11Clallam"/>
    <s v="03Strait of Juan de Fuca"/>
    <n v="4"/>
    <n v="4"/>
    <n v="74.2"/>
  </r>
  <r>
    <n v="373"/>
    <x v="1"/>
    <x v="6"/>
    <x v="1"/>
    <s v="Freshwater"/>
    <x v="0"/>
    <x v="0"/>
    <s v="746"/>
    <s v="Green (Duwamish River) (King Co.)"/>
    <s v="Green - Duwamish River"/>
    <s v="King"/>
    <x v="2"/>
    <s v="King"/>
    <s v="06King"/>
    <s v="02South Puget Sound"/>
    <n v="38"/>
    <n v="38"/>
    <n v="704.9"/>
  </r>
  <r>
    <n v="374"/>
    <x v="1"/>
    <x v="6"/>
    <x v="1"/>
    <s v="Freshwater"/>
    <x v="0"/>
    <x v="0"/>
    <s v="746"/>
    <s v="Green (Duwamish River) (King Co.)"/>
    <s v="Green - Duwamish River"/>
    <s v="King"/>
    <x v="2"/>
    <s v="Pierce"/>
    <s v="07Pierce"/>
    <s v="02South Puget Sound"/>
    <n v="19"/>
    <n v="19"/>
    <n v="352.45"/>
  </r>
  <r>
    <n v="403"/>
    <x v="1"/>
    <x v="6"/>
    <x v="1"/>
    <s v="Freshwater"/>
    <x v="0"/>
    <x v="0"/>
    <s v="768"/>
    <s v="Lyre River"/>
    <s v="Lyre River"/>
    <s v="Clallam"/>
    <x v="3"/>
    <s v="Clallam"/>
    <s v="11Clallam"/>
    <s v="03Strait of Juan de Fuca"/>
    <n v="3"/>
    <n v="3"/>
    <n v="55.650000000000006"/>
  </r>
  <r>
    <n v="404"/>
    <x v="1"/>
    <x v="6"/>
    <x v="1"/>
    <s v="Freshwater"/>
    <x v="0"/>
    <x v="0"/>
    <s v="768"/>
    <s v="Lyre River"/>
    <s v="Lyre River"/>
    <s v="Clallam"/>
    <x v="3"/>
    <s v="Jefferson"/>
    <s v="12Jefferson"/>
    <s v="03Strait of Juan de Fuca"/>
    <n v="6"/>
    <n v="6"/>
    <n v="111.30000000000001"/>
  </r>
  <r>
    <n v="405"/>
    <x v="1"/>
    <x v="6"/>
    <x v="1"/>
    <s v="Freshwater"/>
    <x v="0"/>
    <x v="0"/>
    <s v="768"/>
    <s v="Lyre River"/>
    <s v="Lyre River"/>
    <s v="Clallam"/>
    <x v="3"/>
    <s v="King"/>
    <s v="06King"/>
    <s v="02South Puget Sound"/>
    <n v="6"/>
    <n v="6"/>
    <n v="111.30000000000001"/>
  </r>
  <r>
    <n v="406"/>
    <x v="1"/>
    <x v="6"/>
    <x v="1"/>
    <s v="Freshwater"/>
    <x v="0"/>
    <x v="0"/>
    <s v="768"/>
    <s v="Lyre River"/>
    <s v="Lyre River"/>
    <s v="Clallam"/>
    <x v="3"/>
    <s v="Mason"/>
    <s v="09Mason"/>
    <s v="02South Puget Sound"/>
    <n v="3"/>
    <n v="3"/>
    <n v="55.650000000000006"/>
  </r>
  <r>
    <n v="532"/>
    <x v="1"/>
    <x v="6"/>
    <x v="1"/>
    <s v="Freshwater"/>
    <x v="0"/>
    <x v="0"/>
    <s v="842"/>
    <s v="Raging River"/>
    <s v="Raging River"/>
    <s v="King"/>
    <x v="2"/>
    <s v="King"/>
    <s v="06King"/>
    <s v="02South Puget Sound"/>
    <n v="3"/>
    <n v="3"/>
    <n v="55.650000000000006"/>
  </r>
  <r>
    <n v="560"/>
    <x v="1"/>
    <x v="6"/>
    <x v="1"/>
    <s v="Freshwater"/>
    <x v="0"/>
    <x v="0"/>
    <s v="844"/>
    <s v="Skykomish River"/>
    <s v="Skykomish River"/>
    <s v="Snohomish"/>
    <x v="0"/>
    <s v="King"/>
    <s v="06King"/>
    <s v="02South Puget Sound"/>
    <n v="22.514285714285698"/>
    <n v="22.514285714285698"/>
    <n v="417.6399999999997"/>
  </r>
  <r>
    <n v="561"/>
    <x v="1"/>
    <x v="6"/>
    <x v="1"/>
    <s v="Freshwater"/>
    <x v="0"/>
    <x v="0"/>
    <s v="844"/>
    <s v="Skykomish River"/>
    <s v="Skykomish River"/>
    <s v="Snohomish"/>
    <x v="0"/>
    <s v="Other"/>
    <s v="20Other"/>
    <s v="07Non Puget Sound"/>
    <n v="2.8142857142857101"/>
    <n v="2.8142857142857101"/>
    <n v="52.20499999999992"/>
  </r>
  <r>
    <n v="562"/>
    <x v="1"/>
    <x v="6"/>
    <x v="1"/>
    <s v="Freshwater"/>
    <x v="0"/>
    <x v="0"/>
    <s v="844"/>
    <s v="Skykomish River"/>
    <s v="Skykomish River"/>
    <s v="Snohomish"/>
    <x v="0"/>
    <s v="Snohomish"/>
    <s v="03Snohomish"/>
    <s v="01North Puget Sound"/>
    <n v="171.671428571429"/>
    <n v="171.671428571429"/>
    <n v="3184.5050000000083"/>
  </r>
  <r>
    <n v="608"/>
    <x v="1"/>
    <x v="6"/>
    <x v="1"/>
    <s v="Freshwater"/>
    <x v="0"/>
    <x v="0"/>
    <s v="850"/>
    <s v="Snohomish River"/>
    <s v="Snohomish River"/>
    <s v="Snohomish"/>
    <x v="0"/>
    <s v="King"/>
    <s v="06King"/>
    <s v="02South Puget Sound"/>
    <n v="14.1666666666667"/>
    <n v="14.1666666666667"/>
    <n v="262.79166666666731"/>
  </r>
  <r>
    <n v="609"/>
    <x v="1"/>
    <x v="6"/>
    <x v="1"/>
    <s v="Freshwater"/>
    <x v="0"/>
    <x v="0"/>
    <s v="850"/>
    <s v="Snohomish River"/>
    <s v="Snohomish River"/>
    <s v="Snohomish"/>
    <x v="0"/>
    <s v="Other"/>
    <s v="20Other"/>
    <s v="07Non Puget Sound"/>
    <n v="2.8333333333333299"/>
    <n v="2.8333333333333299"/>
    <n v="52.558333333333273"/>
  </r>
  <r>
    <n v="623"/>
    <x v="1"/>
    <x v="6"/>
    <x v="1"/>
    <s v="Freshwater"/>
    <x v="0"/>
    <x v="0"/>
    <s v="852"/>
    <s v="Snoqualmie River"/>
    <s v="Snoqualmie River"/>
    <s v="Snohomish/King"/>
    <x v="0"/>
    <s v="King"/>
    <s v="06King"/>
    <s v="02South Puget Sound"/>
    <n v="5.6"/>
    <n v="5.6"/>
    <n v="103.88"/>
  </r>
  <r>
    <n v="624"/>
    <x v="1"/>
    <x v="6"/>
    <x v="1"/>
    <s v="Freshwater"/>
    <x v="0"/>
    <x v="0"/>
    <s v="852"/>
    <s v="Snoqualmie River"/>
    <s v="Snoqualmie River"/>
    <s v="Snohomish/King"/>
    <x v="0"/>
    <s v="Other"/>
    <s v="20Other"/>
    <s v="07Non Puget Sound"/>
    <n v="5.6"/>
    <n v="5.6"/>
    <n v="103.88"/>
  </r>
  <r>
    <n v="625"/>
    <x v="1"/>
    <x v="6"/>
    <x v="1"/>
    <s v="Freshwater"/>
    <x v="0"/>
    <x v="0"/>
    <s v="852"/>
    <s v="Snoqualmie River"/>
    <s v="Snoqualmie River"/>
    <s v="Snohomish/King"/>
    <x v="0"/>
    <s v="Pierce"/>
    <s v="07Pierce"/>
    <s v="02South Puget Sound"/>
    <n v="2.8"/>
    <n v="2.8"/>
    <n v="51.94"/>
  </r>
  <r>
    <n v="687"/>
    <x v="1"/>
    <x v="6"/>
    <x v="1"/>
    <s v="Freshwater"/>
    <x v="0"/>
    <x v="0"/>
    <s v="872"/>
    <s v="Stillaguamish R, No. Fork"/>
    <s v="Stillaguamish R, No. Fork"/>
    <s v="Snohomish"/>
    <x v="0"/>
    <s v="King"/>
    <s v="06King"/>
    <s v="02South Puget Sound"/>
    <n v="7.2"/>
    <n v="7.2"/>
    <n v="133.56"/>
  </r>
  <r>
    <n v="688"/>
    <x v="1"/>
    <x v="6"/>
    <x v="1"/>
    <s v="Freshwater"/>
    <x v="0"/>
    <x v="0"/>
    <s v="872"/>
    <s v="Stillaguamish R, No. Fork"/>
    <s v="Stillaguamish R, No. Fork"/>
    <s v="Snohomish"/>
    <x v="0"/>
    <s v="Skagit"/>
    <s v="02Skagit"/>
    <s v="01North Puget Sound"/>
    <n v="3.6"/>
    <n v="3.6"/>
    <n v="66.78"/>
  </r>
  <r>
    <n v="689"/>
    <x v="1"/>
    <x v="6"/>
    <x v="1"/>
    <s v="Freshwater"/>
    <x v="0"/>
    <x v="0"/>
    <s v="872"/>
    <s v="Stillaguamish R, No. Fork"/>
    <s v="Stillaguamish R, No. Fork"/>
    <s v="Snohomish"/>
    <x v="0"/>
    <s v="Snohomish"/>
    <s v="03Snohomish"/>
    <s v="01North Puget Sound"/>
    <n v="7.2"/>
    <n v="7.2"/>
    <n v="133.56"/>
  </r>
  <r>
    <n v="707"/>
    <x v="1"/>
    <x v="6"/>
    <x v="1"/>
    <s v="Freshwater"/>
    <x v="0"/>
    <x v="0"/>
    <s v="876"/>
    <s v="Stillaguamish River"/>
    <s v="Stillaguamish River"/>
    <s v="Snohomish"/>
    <x v="0"/>
    <s v="Snohomish"/>
    <s v="03Snohomish"/>
    <s v="01North Puget Sound"/>
    <n v="4"/>
    <n v="4"/>
    <n v="74.2"/>
  </r>
  <r>
    <n v="645"/>
    <x v="1"/>
    <x v="6"/>
    <x v="1"/>
    <s v="Freshwater"/>
    <x v="0"/>
    <x v="0"/>
    <s v="854"/>
    <s v="Sultan River"/>
    <s v="Sultan River"/>
    <s v="Snohomish"/>
    <x v="0"/>
    <s v="Snohomish"/>
    <s v="03Snohomish"/>
    <s v="01North Puget Sound"/>
    <n v="3"/>
    <n v="3"/>
    <n v="55.650000000000006"/>
  </r>
  <r>
    <n v="660"/>
    <x v="1"/>
    <x v="6"/>
    <x v="1"/>
    <s v="Freshwater"/>
    <x v="0"/>
    <x v="0"/>
    <s v="860"/>
    <s v="Wallace River"/>
    <s v="Wallace River"/>
    <s v="Snohomish"/>
    <x v="0"/>
    <s v="King"/>
    <s v="06King"/>
    <s v="02South Puget Sound"/>
    <n v="8.25"/>
    <n v="8.25"/>
    <n v="153.03749999999999"/>
  </r>
  <r>
    <n v="661"/>
    <x v="1"/>
    <x v="6"/>
    <x v="1"/>
    <s v="Freshwater"/>
    <x v="0"/>
    <x v="0"/>
    <s v="860"/>
    <s v="Wallace River"/>
    <s v="Wallace River"/>
    <s v="Snohomish"/>
    <x v="0"/>
    <s v="Other"/>
    <s v="20Other"/>
    <s v="07Non Puget Sound"/>
    <n v="2.75"/>
    <n v="2.75"/>
    <n v="51.012500000000003"/>
  </r>
  <r>
    <n v="455"/>
    <x v="1"/>
    <x v="7"/>
    <x v="1"/>
    <s v="Freshwater"/>
    <x v="0"/>
    <x v="0"/>
    <s v="81"/>
    <s v="Area 8-1: Skagit Bay-Saratoga Psg."/>
    <s v="Area 8-1: Skagit Bay-Saratoga Psg."/>
    <s v="NA"/>
    <x v="0"/>
    <s v="Island"/>
    <s v="04Island"/>
    <s v="01North Puget Sound"/>
    <n v="4.5"/>
    <n v="4.5"/>
    <n v="83.475000000000009"/>
  </r>
  <r>
    <n v="456"/>
    <x v="1"/>
    <x v="7"/>
    <x v="1"/>
    <s v="Freshwater"/>
    <x v="0"/>
    <x v="0"/>
    <s v="81"/>
    <s v="Area 8-1: Skagit Bay-Saratoga Psg."/>
    <s v="Area 8-1: Skagit Bay-Saratoga Psg."/>
    <s v="NA"/>
    <x v="0"/>
    <s v="Snohomish"/>
    <s v="03Snohomish"/>
    <s v="01North Puget Sound"/>
    <n v="4.5"/>
    <n v="4.5"/>
    <n v="83.475000000000009"/>
  </r>
  <r>
    <n v="730"/>
    <x v="1"/>
    <x v="7"/>
    <x v="1"/>
    <s v="Freshwater"/>
    <x v="0"/>
    <x v="0"/>
    <s v="9"/>
    <s v="Area 9: Admiralty Inlet"/>
    <s v="Area 9: Admiralty Inlet"/>
    <s v="NA"/>
    <x v="0"/>
    <s v="Island"/>
    <s v="04Island"/>
    <s v="01North Puget Sound"/>
    <n v="17"/>
    <n v="17"/>
    <n v="315.35000000000002"/>
  </r>
  <r>
    <n v="475"/>
    <x v="1"/>
    <x v="7"/>
    <x v="1"/>
    <s v="Freshwater"/>
    <x v="0"/>
    <x v="0"/>
    <s v="826"/>
    <s v="Cascade River"/>
    <s v="Cascade River"/>
    <s v="Skagit"/>
    <x v="1"/>
    <s v="King"/>
    <s v="06King"/>
    <s v="02South Puget Sound"/>
    <n v="8.8928571428571406"/>
    <n v="8.8928571428571406"/>
    <n v="164.96249999999998"/>
  </r>
  <r>
    <n v="476"/>
    <x v="1"/>
    <x v="7"/>
    <x v="1"/>
    <s v="Freshwater"/>
    <x v="0"/>
    <x v="0"/>
    <s v="826"/>
    <s v="Cascade River"/>
    <s v="Cascade River"/>
    <s v="Skagit"/>
    <x v="1"/>
    <s v="San Juan"/>
    <s v="05San Juan"/>
    <s v="01North Puget Sound"/>
    <n v="2.96428571428571"/>
    <n v="2.96428571428571"/>
    <n v="54.987499999999919"/>
  </r>
  <r>
    <n v="477"/>
    <x v="1"/>
    <x v="7"/>
    <x v="1"/>
    <s v="Freshwater"/>
    <x v="0"/>
    <x v="0"/>
    <s v="826"/>
    <s v="Cascade River"/>
    <s v="Cascade River"/>
    <s v="Skagit"/>
    <x v="1"/>
    <s v="Skagit"/>
    <s v="02Skagit"/>
    <s v="01North Puget Sound"/>
    <n v="53.357142857142897"/>
    <n v="53.357142857142897"/>
    <n v="989.77500000000077"/>
  </r>
  <r>
    <n v="478"/>
    <x v="1"/>
    <x v="7"/>
    <x v="1"/>
    <s v="Freshwater"/>
    <x v="0"/>
    <x v="0"/>
    <s v="826"/>
    <s v="Cascade River"/>
    <s v="Cascade River"/>
    <s v="Skagit"/>
    <x v="1"/>
    <s v="Snohomish"/>
    <s v="03Snohomish"/>
    <s v="01North Puget Sound"/>
    <n v="29.6428571428571"/>
    <n v="29.6428571428571"/>
    <n v="549.8749999999992"/>
  </r>
  <r>
    <n v="479"/>
    <x v="1"/>
    <x v="7"/>
    <x v="1"/>
    <s v="Freshwater"/>
    <x v="0"/>
    <x v="0"/>
    <s v="826"/>
    <s v="Cascade River"/>
    <s v="Cascade River"/>
    <s v="Skagit"/>
    <x v="1"/>
    <s v="Whatcom"/>
    <s v="01Whatcom"/>
    <s v="01North Puget Sound"/>
    <n v="71.142857142857196"/>
    <n v="71.142857142857196"/>
    <n v="1319.700000000001"/>
  </r>
  <r>
    <n v="352"/>
    <x v="1"/>
    <x v="7"/>
    <x v="1"/>
    <s v="Freshwater"/>
    <x v="0"/>
    <x v="0"/>
    <s v="738"/>
    <s v="Dungeness River"/>
    <s v="Dungeness River"/>
    <s v="Clallam"/>
    <x v="3"/>
    <s v="Clallam"/>
    <s v="11Clallam"/>
    <s v="03Strait of Juan de Fuca"/>
    <n v="4.6666666666666696"/>
    <n v="4.6666666666666696"/>
    <n v="86.56666666666672"/>
  </r>
  <r>
    <n v="353"/>
    <x v="1"/>
    <x v="7"/>
    <x v="1"/>
    <s v="Freshwater"/>
    <x v="0"/>
    <x v="0"/>
    <s v="738"/>
    <s v="Dungeness River"/>
    <s v="Dungeness River"/>
    <s v="Clallam"/>
    <x v="3"/>
    <s v="Skagit"/>
    <s v="02Skagit"/>
    <s v="01North Puget Sound"/>
    <n v="2.3333333333333299"/>
    <n v="2.3333333333333299"/>
    <n v="43.283333333333275"/>
  </r>
  <r>
    <n v="375"/>
    <x v="1"/>
    <x v="7"/>
    <x v="1"/>
    <s v="Freshwater"/>
    <x v="0"/>
    <x v="0"/>
    <s v="746"/>
    <s v="Green (Duwamish River) (King Co.)"/>
    <s v="Green - Duwamish River"/>
    <s v="King"/>
    <x v="2"/>
    <s v="King"/>
    <s v="06King"/>
    <s v="02South Puget Sound"/>
    <n v="19"/>
    <n v="19"/>
    <n v="352.45"/>
  </r>
  <r>
    <n v="381"/>
    <x v="1"/>
    <x v="7"/>
    <x v="1"/>
    <s v="Freshwater"/>
    <x v="0"/>
    <x v="0"/>
    <s v="752"/>
    <s v="Hoko River"/>
    <s v="Hoko River"/>
    <s v="Clallam"/>
    <x v="3"/>
    <s v="Clallam"/>
    <s v="11Clallam"/>
    <s v="03Strait of Juan de Fuca"/>
    <n v="9.3333333333333304"/>
    <n v="9.3333333333333304"/>
    <n v="173.1333333333333"/>
  </r>
  <r>
    <n v="382"/>
    <x v="1"/>
    <x v="7"/>
    <x v="1"/>
    <s v="Freshwater"/>
    <x v="0"/>
    <x v="0"/>
    <s v="752"/>
    <s v="Hoko River"/>
    <s v="Hoko River"/>
    <s v="Clallam"/>
    <x v="3"/>
    <s v="King"/>
    <s v="06King"/>
    <s v="02South Puget Sound"/>
    <n v="4.6666666666666696"/>
    <n v="4.6666666666666696"/>
    <n v="86.56666666666672"/>
  </r>
  <r>
    <n v="396"/>
    <x v="1"/>
    <x v="7"/>
    <x v="1"/>
    <s v="Freshwater"/>
    <x v="0"/>
    <x v="0"/>
    <s v="763"/>
    <s v="Lake Sammamish"/>
    <s v="Lake Sammamish"/>
    <s v="King"/>
    <x v="2"/>
    <s v="Clallam"/>
    <s v="11Clallam"/>
    <s v="03Strait of Juan de Fuca"/>
    <n v="2"/>
    <n v="2"/>
    <n v="37.1"/>
  </r>
  <r>
    <n v="395"/>
    <x v="1"/>
    <x v="7"/>
    <x v="1"/>
    <s v="Freshwater"/>
    <x v="0"/>
    <x v="0"/>
    <s v="762"/>
    <s v="Lake Washington"/>
    <s v="Lake Washington"/>
    <s v="King"/>
    <x v="2"/>
    <s v="Clallam"/>
    <s v="11Clallam"/>
    <s v="03Strait of Juan de Fuca"/>
    <n v="7"/>
    <n v="7"/>
    <n v="129.85"/>
  </r>
  <r>
    <n v="407"/>
    <x v="1"/>
    <x v="7"/>
    <x v="1"/>
    <s v="Freshwater"/>
    <x v="0"/>
    <x v="0"/>
    <s v="768"/>
    <s v="Lyre River"/>
    <s v="Lyre River"/>
    <s v="Clallam"/>
    <x v="3"/>
    <s v="Clallam"/>
    <s v="11Clallam"/>
    <s v="03Strait of Juan de Fuca"/>
    <n v="66.454545454545496"/>
    <n v="66.454545454545496"/>
    <n v="1232.7318181818191"/>
  </r>
  <r>
    <n v="408"/>
    <x v="1"/>
    <x v="7"/>
    <x v="1"/>
    <s v="Freshwater"/>
    <x v="0"/>
    <x v="0"/>
    <s v="768"/>
    <s v="Lyre River"/>
    <s v="Lyre River"/>
    <s v="Clallam"/>
    <x v="3"/>
    <s v="Jefferson"/>
    <s v="12Jefferson"/>
    <s v="03Strait of Juan de Fuca"/>
    <n v="3.9090909090909101"/>
    <n v="3.9090909090909101"/>
    <n v="72.51363636363638"/>
  </r>
  <r>
    <n v="409"/>
    <x v="1"/>
    <x v="7"/>
    <x v="1"/>
    <s v="Freshwater"/>
    <x v="0"/>
    <x v="0"/>
    <s v="768"/>
    <s v="Lyre River"/>
    <s v="Lyre River"/>
    <s v="Clallam"/>
    <x v="3"/>
    <s v="Mason"/>
    <s v="09Mason"/>
    <s v="02South Puget Sound"/>
    <n v="7.8181818181818201"/>
    <n v="7.8181818181818201"/>
    <n v="145.02727272727276"/>
  </r>
  <r>
    <n v="410"/>
    <x v="1"/>
    <x v="7"/>
    <x v="1"/>
    <s v="Freshwater"/>
    <x v="0"/>
    <x v="0"/>
    <s v="768"/>
    <s v="Lyre River"/>
    <s v="Lyre River"/>
    <s v="Clallam"/>
    <x v="3"/>
    <s v="Other"/>
    <s v="20Other"/>
    <s v="07Non Puget Sound"/>
    <n v="7.8181818181818201"/>
    <n v="7.8181818181818201"/>
    <n v="145.02727272727276"/>
  </r>
  <r>
    <n v="417"/>
    <x v="1"/>
    <x v="7"/>
    <x v="1"/>
    <s v="Freshwater"/>
    <x v="0"/>
    <x v="0"/>
    <s v="778"/>
    <s v="Minter Creek (Pierce/Kitsap Co.)"/>
    <s v="Minter Creek"/>
    <s v="Kitsap/Pierce"/>
    <x v="2"/>
    <s v="Pierce"/>
    <s v="07Pierce"/>
    <s v="02South Puget Sound"/>
    <n v="0"/>
    <n v="0"/>
    <n v="0"/>
  </r>
  <r>
    <n v="426"/>
    <x v="1"/>
    <x v="7"/>
    <x v="1"/>
    <s v="Freshwater"/>
    <x v="0"/>
    <x v="0"/>
    <s v="786"/>
    <s v="Nisqually River"/>
    <s v="Nisqually River"/>
    <s v="Thurston/Pierce"/>
    <x v="2"/>
    <s v="Pierce"/>
    <s v="07Pierce"/>
    <s v="02South Puget Sound"/>
    <n v="0"/>
    <n v="0"/>
    <n v="0"/>
  </r>
  <r>
    <n v="429"/>
    <x v="1"/>
    <x v="7"/>
    <x v="1"/>
    <s v="Freshwater"/>
    <x v="0"/>
    <x v="0"/>
    <s v="790"/>
    <s v="Nooksack River, No. Fork"/>
    <s v="Nooksack River, No. Fork"/>
    <s v="Whatcom"/>
    <x v="1"/>
    <s v="Whatcom"/>
    <s v="01Whatcom"/>
    <s v="01North Puget Sound"/>
    <n v="2"/>
    <n v="2"/>
    <n v="37.1"/>
  </r>
  <r>
    <n v="533"/>
    <x v="1"/>
    <x v="7"/>
    <x v="1"/>
    <s v="Freshwater"/>
    <x v="0"/>
    <x v="0"/>
    <s v="842"/>
    <s v="Raging River"/>
    <s v="Raging River"/>
    <s v="King"/>
    <x v="2"/>
    <s v="King"/>
    <s v="06King"/>
    <s v="02South Puget Sound"/>
    <n v="8"/>
    <n v="8"/>
    <n v="148.4"/>
  </r>
  <r>
    <n v="509"/>
    <x v="1"/>
    <x v="7"/>
    <x v="1"/>
    <s v="Freshwater"/>
    <x v="0"/>
    <x v="0"/>
    <s v="830"/>
    <s v="Skagit River"/>
    <s v="Skagit River"/>
    <s v="Skagit/Whatcom"/>
    <x v="0"/>
    <s v="Skagit"/>
    <s v="02Skagit"/>
    <s v="01North Puget Sound"/>
    <n v="15"/>
    <n v="15"/>
    <n v="278.25"/>
  </r>
  <r>
    <n v="510"/>
    <x v="1"/>
    <x v="7"/>
    <x v="1"/>
    <s v="Freshwater"/>
    <x v="0"/>
    <x v="0"/>
    <s v="830"/>
    <s v="Skagit River"/>
    <s v="Skagit River"/>
    <s v="Skagit/Whatcom"/>
    <x v="0"/>
    <s v="Snohomish"/>
    <s v="03Snohomish"/>
    <s v="01North Puget Sound"/>
    <n v="3"/>
    <n v="3"/>
    <n v="55.650000000000006"/>
  </r>
  <r>
    <n v="529"/>
    <x v="1"/>
    <x v="7"/>
    <x v="1"/>
    <s v="Freshwater"/>
    <x v="0"/>
    <x v="0"/>
    <s v="834"/>
    <s v="Skokomish River (Mason Co.)"/>
    <s v="Skokomish River"/>
    <s v="Mason"/>
    <x v="4"/>
    <s v="Pierce"/>
    <s v="07Pierce"/>
    <s v="02South Puget Sound"/>
    <n v="0"/>
    <n v="0"/>
    <n v="0"/>
  </r>
  <r>
    <n v="563"/>
    <x v="1"/>
    <x v="7"/>
    <x v="1"/>
    <s v="Freshwater"/>
    <x v="0"/>
    <x v="0"/>
    <s v="844"/>
    <s v="Skykomish River"/>
    <s v="Skykomish River"/>
    <s v="Snohomish"/>
    <x v="0"/>
    <s v="King"/>
    <s v="06King"/>
    <s v="02South Puget Sound"/>
    <n v="94"/>
    <n v="94"/>
    <n v="1743.7"/>
  </r>
  <r>
    <n v="564"/>
    <x v="1"/>
    <x v="7"/>
    <x v="1"/>
    <s v="Freshwater"/>
    <x v="0"/>
    <x v="0"/>
    <s v="844"/>
    <s v="Skykomish River"/>
    <s v="Skykomish River"/>
    <s v="Snohomish"/>
    <x v="0"/>
    <s v="Other"/>
    <s v="20Other"/>
    <s v="07Non Puget Sound"/>
    <n v="5.0810810810810798"/>
    <n v="5.0810810810810798"/>
    <n v="94.254054054054038"/>
  </r>
  <r>
    <n v="565"/>
    <x v="1"/>
    <x v="7"/>
    <x v="1"/>
    <s v="Freshwater"/>
    <x v="0"/>
    <x v="0"/>
    <s v="844"/>
    <s v="Skykomish River"/>
    <s v="Skykomish River"/>
    <s v="Snohomish"/>
    <x v="0"/>
    <s v="Skagit"/>
    <s v="02Skagit"/>
    <s v="01North Puget Sound"/>
    <n v="2.5405405405405399"/>
    <n v="2.5405405405405399"/>
    <n v="47.127027027027019"/>
  </r>
  <r>
    <n v="566"/>
    <x v="1"/>
    <x v="7"/>
    <x v="1"/>
    <s v="Freshwater"/>
    <x v="0"/>
    <x v="0"/>
    <s v="844"/>
    <s v="Skykomish River"/>
    <s v="Skykomish River"/>
    <s v="Snohomish"/>
    <x v="0"/>
    <s v="Snohomish"/>
    <s v="03Snohomish"/>
    <s v="01North Puget Sound"/>
    <n v="180.37837837837799"/>
    <n v="180.37837837837799"/>
    <n v="3346.0189189189118"/>
  </r>
  <r>
    <n v="590"/>
    <x v="1"/>
    <x v="7"/>
    <x v="1"/>
    <s v="Freshwater"/>
    <x v="0"/>
    <x v="0"/>
    <s v="846"/>
    <s v="Skykomish River, No. Fork"/>
    <s v="Skykomish River, No. Fork"/>
    <s v="Snohomish"/>
    <x v="0"/>
    <s v="King"/>
    <s v="06King"/>
    <s v="02South Puget Sound"/>
    <n v="3"/>
    <n v="3"/>
    <n v="55.650000000000006"/>
  </r>
  <r>
    <n v="610"/>
    <x v="1"/>
    <x v="7"/>
    <x v="1"/>
    <s v="Freshwater"/>
    <x v="0"/>
    <x v="0"/>
    <s v="850"/>
    <s v="Snohomish River"/>
    <s v="Snohomish River"/>
    <s v="Snohomish"/>
    <x v="0"/>
    <s v="Other"/>
    <s v="20Other"/>
    <s v="07Non Puget Sound"/>
    <n v="7.6153846153846203"/>
    <n v="7.6153846153846203"/>
    <n v="141.2653846153847"/>
  </r>
  <r>
    <n v="611"/>
    <x v="1"/>
    <x v="7"/>
    <x v="1"/>
    <s v="Freshwater"/>
    <x v="0"/>
    <x v="0"/>
    <s v="850"/>
    <s v="Snohomish River"/>
    <s v="Snohomish River"/>
    <s v="Snohomish"/>
    <x v="0"/>
    <s v="Snohomish"/>
    <s v="03Snohomish"/>
    <s v="01North Puget Sound"/>
    <n v="58.384615384615401"/>
    <n v="58.384615384615401"/>
    <n v="1083.0346153846158"/>
  </r>
  <r>
    <n v="626"/>
    <x v="1"/>
    <x v="7"/>
    <x v="1"/>
    <s v="Freshwater"/>
    <x v="0"/>
    <x v="0"/>
    <s v="852"/>
    <s v="Snoqualmie River"/>
    <s v="Snoqualmie River"/>
    <s v="Snohomish/King"/>
    <x v="0"/>
    <s v="King"/>
    <s v="06King"/>
    <s v="02South Puget Sound"/>
    <n v="56"/>
    <n v="56"/>
    <n v="1038.8"/>
  </r>
  <r>
    <n v="690"/>
    <x v="1"/>
    <x v="7"/>
    <x v="1"/>
    <s v="Freshwater"/>
    <x v="0"/>
    <x v="0"/>
    <s v="872"/>
    <s v="Stillaguamish R, No. Fork"/>
    <s v="Stillaguamish R, No. Fork"/>
    <s v="Snohomish"/>
    <x v="0"/>
    <s v="King"/>
    <s v="06King"/>
    <s v="02South Puget Sound"/>
    <n v="4.9411764705882399"/>
    <n v="4.9411764705882399"/>
    <n v="91.658823529411848"/>
  </r>
  <r>
    <n v="691"/>
    <x v="1"/>
    <x v="7"/>
    <x v="1"/>
    <s v="Freshwater"/>
    <x v="0"/>
    <x v="0"/>
    <s v="872"/>
    <s v="Stillaguamish R, No. Fork"/>
    <s v="Stillaguamish R, No. Fork"/>
    <s v="Snohomish"/>
    <x v="0"/>
    <s v="Skagit"/>
    <s v="02Skagit"/>
    <s v="01North Puget Sound"/>
    <n v="4.9411764705882399"/>
    <n v="4.9411764705882399"/>
    <n v="91.658823529411848"/>
  </r>
  <r>
    <n v="692"/>
    <x v="1"/>
    <x v="7"/>
    <x v="1"/>
    <s v="Freshwater"/>
    <x v="0"/>
    <x v="0"/>
    <s v="872"/>
    <s v="Stillaguamish R, No. Fork"/>
    <s v="Stillaguamish R, No. Fork"/>
    <s v="Snohomish"/>
    <x v="0"/>
    <s v="Snohomish"/>
    <s v="03Snohomish"/>
    <s v="01North Puget Sound"/>
    <n v="27.176470588235301"/>
    <n v="27.176470588235301"/>
    <n v="504.12352941176482"/>
  </r>
  <r>
    <n v="693"/>
    <x v="1"/>
    <x v="7"/>
    <x v="1"/>
    <s v="Freshwater"/>
    <x v="0"/>
    <x v="0"/>
    <s v="872"/>
    <s v="Stillaguamish R, No. Fork"/>
    <s v="Stillaguamish R, No. Fork"/>
    <s v="Snohomish"/>
    <x v="0"/>
    <s v="Whatcom"/>
    <s v="01Whatcom"/>
    <s v="01North Puget Sound"/>
    <n v="4.9411764705882399"/>
    <n v="4.9411764705882399"/>
    <n v="91.658823529411848"/>
  </r>
  <r>
    <n v="708"/>
    <x v="1"/>
    <x v="7"/>
    <x v="1"/>
    <s v="Freshwater"/>
    <x v="0"/>
    <x v="0"/>
    <s v="876"/>
    <s v="Stillaguamish River"/>
    <s v="Stillaguamish River"/>
    <s v="Snohomish"/>
    <x v="0"/>
    <s v="Snohomish"/>
    <s v="03Snohomish"/>
    <s v="01North Puget Sound"/>
    <n v="2"/>
    <n v="2"/>
    <n v="37.1"/>
  </r>
  <r>
    <n v="662"/>
    <x v="1"/>
    <x v="7"/>
    <x v="1"/>
    <s v="Freshwater"/>
    <x v="0"/>
    <x v="0"/>
    <s v="860"/>
    <s v="Wallace River"/>
    <s v="Wallace River"/>
    <s v="Snohomish"/>
    <x v="0"/>
    <s v="Island"/>
    <s v="04Island"/>
    <s v="01North Puget Sound"/>
    <n v="2.5625"/>
    <n v="2.5625"/>
    <n v="47.534375000000004"/>
  </r>
  <r>
    <n v="663"/>
    <x v="1"/>
    <x v="7"/>
    <x v="1"/>
    <s v="Freshwater"/>
    <x v="0"/>
    <x v="0"/>
    <s v="860"/>
    <s v="Wallace River"/>
    <s v="Wallace River"/>
    <s v="Snohomish"/>
    <x v="0"/>
    <s v="King"/>
    <s v="06King"/>
    <s v="02South Puget Sound"/>
    <n v="20.5"/>
    <n v="20.5"/>
    <n v="380.27500000000003"/>
  </r>
  <r>
    <n v="664"/>
    <x v="1"/>
    <x v="7"/>
    <x v="1"/>
    <s v="Freshwater"/>
    <x v="0"/>
    <x v="0"/>
    <s v="860"/>
    <s v="Wallace River"/>
    <s v="Wallace River"/>
    <s v="Snohomish"/>
    <x v="0"/>
    <s v="Pierce"/>
    <s v="07Pierce"/>
    <s v="02South Puget Sound"/>
    <n v="5.125"/>
    <n v="5.125"/>
    <n v="95.068750000000009"/>
  </r>
  <r>
    <n v="665"/>
    <x v="1"/>
    <x v="7"/>
    <x v="1"/>
    <s v="Freshwater"/>
    <x v="0"/>
    <x v="0"/>
    <s v="860"/>
    <s v="Wallace River"/>
    <s v="Wallace River"/>
    <s v="Snohomish"/>
    <x v="0"/>
    <s v="Skagit"/>
    <s v="02Skagit"/>
    <s v="01North Puget Sound"/>
    <n v="2.5625"/>
    <n v="2.5625"/>
    <n v="47.534375000000004"/>
  </r>
  <r>
    <n v="666"/>
    <x v="1"/>
    <x v="7"/>
    <x v="1"/>
    <s v="Freshwater"/>
    <x v="0"/>
    <x v="0"/>
    <s v="860"/>
    <s v="Wallace River"/>
    <s v="Wallace River"/>
    <s v="Snohomish"/>
    <x v="0"/>
    <s v="Snohomish"/>
    <s v="03Snohomish"/>
    <s v="01North Puget Sound"/>
    <n v="10.25"/>
    <n v="10.25"/>
    <n v="190.13750000000002"/>
  </r>
  <r>
    <n v="713"/>
    <x v="1"/>
    <x v="7"/>
    <x v="1"/>
    <s v="Freshwater"/>
    <x v="0"/>
    <x v="0"/>
    <s v="884"/>
    <s v="Whatcom Creek"/>
    <s v="Whatcom Creek"/>
    <s v="Whatcom"/>
    <x v="1"/>
    <s v="Whatcom"/>
    <s v="01Whatcom"/>
    <s v="01North Puget Sound"/>
    <n v="2"/>
    <n v="2"/>
    <n v="37.1"/>
  </r>
  <r>
    <n v="731"/>
    <x v="1"/>
    <x v="8"/>
    <x v="1"/>
    <s v="Freshwater"/>
    <x v="0"/>
    <x v="0"/>
    <s v="9"/>
    <s v="Area 9: Admiralty Inlet"/>
    <s v="Area 9: Admiralty Inlet"/>
    <s v="NA"/>
    <x v="0"/>
    <s v="Island"/>
    <s v="04Island"/>
    <s v="01North Puget Sound"/>
    <n v="78.857142857142904"/>
    <n v="78.857142857142904"/>
    <n v="1462.8000000000009"/>
  </r>
  <r>
    <n v="732"/>
    <x v="1"/>
    <x v="8"/>
    <x v="1"/>
    <s v="Freshwater"/>
    <x v="0"/>
    <x v="0"/>
    <s v="9"/>
    <s v="Area 9: Admiralty Inlet"/>
    <s v="Area 9: Admiralty Inlet"/>
    <s v="NA"/>
    <x v="0"/>
    <s v="King"/>
    <s v="06King"/>
    <s v="02South Puget Sound"/>
    <n v="4.3809523809523796"/>
    <n v="4.3809523809523796"/>
    <n v="81.266666666666652"/>
  </r>
  <r>
    <n v="733"/>
    <x v="1"/>
    <x v="8"/>
    <x v="1"/>
    <s v="Freshwater"/>
    <x v="0"/>
    <x v="0"/>
    <s v="9"/>
    <s v="Area 9: Admiralty Inlet"/>
    <s v="Area 9: Admiralty Inlet"/>
    <s v="NA"/>
    <x v="0"/>
    <s v="Snohomish"/>
    <s v="03Snohomish"/>
    <s v="01North Puget Sound"/>
    <n v="8.7619047619047592"/>
    <n v="8.7619047619047592"/>
    <n v="162.5333333333333"/>
  </r>
  <r>
    <n v="480"/>
    <x v="1"/>
    <x v="8"/>
    <x v="1"/>
    <s v="Freshwater"/>
    <x v="0"/>
    <x v="0"/>
    <s v="826"/>
    <s v="Cascade River"/>
    <s v="Cascade River"/>
    <s v="Skagit"/>
    <x v="1"/>
    <s v="Island"/>
    <s v="04Island"/>
    <s v="01North Puget Sound"/>
    <n v="26.649350649350701"/>
    <n v="26.649350649350701"/>
    <n v="494.34545454545554"/>
  </r>
  <r>
    <n v="481"/>
    <x v="1"/>
    <x v="8"/>
    <x v="1"/>
    <s v="Freshwater"/>
    <x v="0"/>
    <x v="0"/>
    <s v="826"/>
    <s v="Cascade River"/>
    <s v="Cascade River"/>
    <s v="Skagit"/>
    <x v="1"/>
    <s v="King"/>
    <s v="06King"/>
    <s v="02South Puget Sound"/>
    <n v="29.6103896103896"/>
    <n v="29.6103896103896"/>
    <n v="549.27272727272714"/>
  </r>
  <r>
    <n v="482"/>
    <x v="1"/>
    <x v="8"/>
    <x v="1"/>
    <s v="Freshwater"/>
    <x v="0"/>
    <x v="0"/>
    <s v="826"/>
    <s v="Cascade River"/>
    <s v="Cascade River"/>
    <s v="Skagit"/>
    <x v="1"/>
    <s v="Kitsap"/>
    <s v="10Kitsap"/>
    <s v="02South Puget Sound"/>
    <n v="2.9610389610389598"/>
    <n v="2.9610389610389598"/>
    <n v="54.927272727272708"/>
  </r>
  <r>
    <n v="483"/>
    <x v="1"/>
    <x v="8"/>
    <x v="1"/>
    <s v="Freshwater"/>
    <x v="0"/>
    <x v="0"/>
    <s v="826"/>
    <s v="Cascade River"/>
    <s v="Cascade River"/>
    <s v="Skagit"/>
    <x v="1"/>
    <s v="Other"/>
    <s v="20Other"/>
    <s v="07Non Puget Sound"/>
    <n v="2.9610389610389598"/>
    <n v="2.9610389610389598"/>
    <n v="54.927272727272708"/>
  </r>
  <r>
    <n v="484"/>
    <x v="1"/>
    <x v="8"/>
    <x v="1"/>
    <s v="Freshwater"/>
    <x v="0"/>
    <x v="0"/>
    <s v="826"/>
    <s v="Cascade River"/>
    <s v="Cascade River"/>
    <s v="Skagit"/>
    <x v="1"/>
    <s v="San Juan"/>
    <s v="05San Juan"/>
    <s v="01North Puget Sound"/>
    <n v="8.8831168831168803"/>
    <n v="8.8831168831168803"/>
    <n v="164.78181818181812"/>
  </r>
  <r>
    <n v="485"/>
    <x v="1"/>
    <x v="8"/>
    <x v="1"/>
    <s v="Freshwater"/>
    <x v="0"/>
    <x v="0"/>
    <s v="826"/>
    <s v="Cascade River"/>
    <s v="Cascade River"/>
    <s v="Skagit"/>
    <x v="1"/>
    <s v="Skagit"/>
    <s v="02Skagit"/>
    <s v="01North Puget Sound"/>
    <n v="186.54545454545499"/>
    <n v="186.54545454545499"/>
    <n v="3460.4181818181901"/>
  </r>
  <r>
    <n v="486"/>
    <x v="1"/>
    <x v="8"/>
    <x v="1"/>
    <s v="Freshwater"/>
    <x v="0"/>
    <x v="0"/>
    <s v="826"/>
    <s v="Cascade River"/>
    <s v="Cascade River"/>
    <s v="Skagit"/>
    <x v="1"/>
    <s v="Snohomish"/>
    <s v="03Snohomish"/>
    <s v="01North Puget Sound"/>
    <n v="62.181818181818201"/>
    <n v="62.181818181818201"/>
    <n v="1153.4727272727278"/>
  </r>
  <r>
    <n v="487"/>
    <x v="1"/>
    <x v="8"/>
    <x v="1"/>
    <s v="Freshwater"/>
    <x v="0"/>
    <x v="0"/>
    <s v="826"/>
    <s v="Cascade River"/>
    <s v="Cascade River"/>
    <s v="Skagit"/>
    <x v="1"/>
    <s v="Whatcom"/>
    <s v="01Whatcom"/>
    <s v="01North Puget Sound"/>
    <n v="136.20779220779201"/>
    <n v="136.20779220779201"/>
    <n v="2526.6545454545417"/>
  </r>
  <r>
    <n v="348"/>
    <x v="1"/>
    <x v="8"/>
    <x v="1"/>
    <s v="Freshwater"/>
    <x v="0"/>
    <x v="0"/>
    <s v="718"/>
    <s v="Clallam River"/>
    <s v="Clallam River"/>
    <s v="Clallam"/>
    <x v="3"/>
    <s v="Clallam"/>
    <s v="11Clallam"/>
    <s v="03Strait of Juan de Fuca"/>
    <n v="2"/>
    <n v="2"/>
    <n v="37.1"/>
  </r>
  <r>
    <n v="350"/>
    <x v="1"/>
    <x v="8"/>
    <x v="1"/>
    <s v="Freshwater"/>
    <x v="0"/>
    <x v="0"/>
    <s v="726"/>
    <s v="Deep Creek (Clallam Co.)"/>
    <s v="Deep Creek (Clallam Co.)"/>
    <s v="Clallam"/>
    <x v="3"/>
    <s v="Clallam"/>
    <s v="11Clallam"/>
    <s v="03Strait of Juan de Fuca"/>
    <n v="2"/>
    <n v="2"/>
    <n v="37.1"/>
  </r>
  <r>
    <n v="354"/>
    <x v="1"/>
    <x v="8"/>
    <x v="1"/>
    <s v="Freshwater"/>
    <x v="0"/>
    <x v="0"/>
    <s v="738"/>
    <s v="Dungeness River"/>
    <s v="Dungeness River"/>
    <s v="Clallam"/>
    <x v="3"/>
    <s v="Clallam"/>
    <s v="11Clallam"/>
    <s v="03Strait of Juan de Fuca"/>
    <n v="32"/>
    <n v="32"/>
    <n v="593.6"/>
  </r>
  <r>
    <n v="357"/>
    <x v="1"/>
    <x v="8"/>
    <x v="1"/>
    <s v="Freshwater"/>
    <x v="0"/>
    <x v="0"/>
    <s v="742"/>
    <s v="Elwha River"/>
    <s v="Elwha River"/>
    <s v="Clallam"/>
    <x v="3"/>
    <s v="Clallam"/>
    <s v="11Clallam"/>
    <s v="03Strait of Juan de Fuca"/>
    <n v="9"/>
    <n v="9"/>
    <n v="166.95000000000002"/>
  </r>
  <r>
    <n v="376"/>
    <x v="1"/>
    <x v="8"/>
    <x v="1"/>
    <s v="Freshwater"/>
    <x v="0"/>
    <x v="0"/>
    <s v="746"/>
    <s v="Green (Duwamish River) (King Co.)"/>
    <s v="Green - Duwamish River"/>
    <s v="King"/>
    <x v="2"/>
    <s v="King"/>
    <s v="06King"/>
    <s v="02South Puget Sound"/>
    <n v="62.739130434782602"/>
    <n v="62.739130434782602"/>
    <n v="1163.8108695652172"/>
  </r>
  <r>
    <n v="377"/>
    <x v="1"/>
    <x v="8"/>
    <x v="1"/>
    <s v="Freshwater"/>
    <x v="0"/>
    <x v="0"/>
    <s v="746"/>
    <s v="Green (Duwamish River) (King Co.)"/>
    <s v="Green - Duwamish River"/>
    <s v="King"/>
    <x v="2"/>
    <s v="Pierce"/>
    <s v="07Pierce"/>
    <s v="02South Puget Sound"/>
    <n v="11.2608695652174"/>
    <n v="11.2608695652174"/>
    <n v="208.88913043478277"/>
  </r>
  <r>
    <n v="383"/>
    <x v="1"/>
    <x v="8"/>
    <x v="1"/>
    <s v="Freshwater"/>
    <x v="0"/>
    <x v="0"/>
    <s v="752"/>
    <s v="Hoko River"/>
    <s v="Hoko River"/>
    <s v="Clallam"/>
    <x v="3"/>
    <s v="Clallam"/>
    <s v="11Clallam"/>
    <s v="03Strait of Juan de Fuca"/>
    <n v="22.8571428571429"/>
    <n v="22.8571428571429"/>
    <n v="424.0000000000008"/>
  </r>
  <r>
    <n v="384"/>
    <x v="1"/>
    <x v="8"/>
    <x v="1"/>
    <s v="Freshwater"/>
    <x v="0"/>
    <x v="0"/>
    <s v="752"/>
    <s v="Hoko River"/>
    <s v="Hoko River"/>
    <s v="Clallam"/>
    <x v="3"/>
    <s v="King"/>
    <s v="06King"/>
    <s v="02South Puget Sound"/>
    <n v="2.28571428571429"/>
    <n v="2.28571428571429"/>
    <n v="42.400000000000084"/>
  </r>
  <r>
    <n v="385"/>
    <x v="1"/>
    <x v="8"/>
    <x v="1"/>
    <s v="Freshwater"/>
    <x v="0"/>
    <x v="0"/>
    <s v="752"/>
    <s v="Hoko River"/>
    <s v="Hoko River"/>
    <s v="Clallam"/>
    <x v="3"/>
    <s v="Other"/>
    <s v="20Other"/>
    <s v="07Non Puget Sound"/>
    <n v="2.28571428571429"/>
    <n v="2.28571428571429"/>
    <n v="42.400000000000084"/>
  </r>
  <r>
    <n v="386"/>
    <x v="1"/>
    <x v="8"/>
    <x v="1"/>
    <s v="Freshwater"/>
    <x v="0"/>
    <x v="0"/>
    <s v="752"/>
    <s v="Hoko River"/>
    <s v="Hoko River"/>
    <s v="Clallam"/>
    <x v="3"/>
    <s v="Pierce"/>
    <s v="07Pierce"/>
    <s v="02South Puget Sound"/>
    <n v="4.5714285714285703"/>
    <n v="4.5714285714285703"/>
    <n v="84.799999999999983"/>
  </r>
  <r>
    <n v="411"/>
    <x v="1"/>
    <x v="8"/>
    <x v="1"/>
    <s v="Freshwater"/>
    <x v="0"/>
    <x v="0"/>
    <s v="768"/>
    <s v="Lyre River"/>
    <s v="Lyre River"/>
    <s v="Clallam"/>
    <x v="3"/>
    <s v="Clallam"/>
    <s v="11Clallam"/>
    <s v="03Strait of Juan de Fuca"/>
    <n v="93.3333333333333"/>
    <n v="93.3333333333333"/>
    <n v="1731.3333333333328"/>
  </r>
  <r>
    <n v="412"/>
    <x v="1"/>
    <x v="8"/>
    <x v="1"/>
    <s v="Freshwater"/>
    <x v="0"/>
    <x v="0"/>
    <s v="768"/>
    <s v="Lyre River"/>
    <s v="Lyre River"/>
    <s v="Clallam"/>
    <x v="3"/>
    <s v="Jefferson"/>
    <s v="12Jefferson"/>
    <s v="03Strait of Juan de Fuca"/>
    <n v="3.8888888888888902"/>
    <n v="3.8888888888888902"/>
    <n v="72.138888888888914"/>
  </r>
  <r>
    <n v="413"/>
    <x v="1"/>
    <x v="8"/>
    <x v="1"/>
    <s v="Freshwater"/>
    <x v="0"/>
    <x v="0"/>
    <s v="768"/>
    <s v="Lyre River"/>
    <s v="Lyre River"/>
    <s v="Clallam"/>
    <x v="3"/>
    <s v="King"/>
    <s v="06King"/>
    <s v="02South Puget Sound"/>
    <n v="3.8888888888888902"/>
    <n v="3.8888888888888902"/>
    <n v="72.138888888888914"/>
  </r>
  <r>
    <n v="414"/>
    <x v="1"/>
    <x v="8"/>
    <x v="1"/>
    <s v="Freshwater"/>
    <x v="0"/>
    <x v="0"/>
    <s v="768"/>
    <s v="Lyre River"/>
    <s v="Lyre River"/>
    <s v="Clallam"/>
    <x v="3"/>
    <s v="Kitsap"/>
    <s v="10Kitsap"/>
    <s v="02South Puget Sound"/>
    <n v="3.8888888888888902"/>
    <n v="3.8888888888888902"/>
    <n v="72.138888888888914"/>
  </r>
  <r>
    <n v="418"/>
    <x v="1"/>
    <x v="8"/>
    <x v="1"/>
    <s v="Freshwater"/>
    <x v="0"/>
    <x v="0"/>
    <s v="778"/>
    <s v="Minter Creek (Pierce/Kitsap Co.)"/>
    <s v="Minter Creek"/>
    <s v="Kitsap/Pierce"/>
    <x v="2"/>
    <s v="Pierce"/>
    <s v="07Pierce"/>
    <s v="02South Puget Sound"/>
    <n v="0"/>
    <n v="0"/>
    <n v="0"/>
  </r>
  <r>
    <n v="419"/>
    <x v="1"/>
    <x v="8"/>
    <x v="1"/>
    <s v="Freshwater"/>
    <x v="0"/>
    <x v="0"/>
    <s v="782"/>
    <s v="Morse Creek (Clallam Co.)"/>
    <s v="Morse Creek (Clallam Co.)"/>
    <s v="Clallam"/>
    <x v="3"/>
    <s v="Clallam"/>
    <s v="11Clallam"/>
    <s v="03Strait of Juan de Fuca"/>
    <n v="13.714285714285699"/>
    <n v="13.714285714285699"/>
    <n v="254.39999999999972"/>
  </r>
  <r>
    <n v="420"/>
    <x v="1"/>
    <x v="8"/>
    <x v="1"/>
    <s v="Freshwater"/>
    <x v="0"/>
    <x v="0"/>
    <s v="782"/>
    <s v="Morse Creek (Clallam Co.)"/>
    <s v="Morse Creek (Clallam Co.)"/>
    <s v="Clallam"/>
    <x v="3"/>
    <s v="Other"/>
    <s v="20Other"/>
    <s v="07Non Puget Sound"/>
    <n v="2.28571428571429"/>
    <n v="2.28571428571429"/>
    <n v="42.400000000000084"/>
  </r>
  <r>
    <n v="427"/>
    <x v="1"/>
    <x v="8"/>
    <x v="1"/>
    <s v="Freshwater"/>
    <x v="0"/>
    <x v="0"/>
    <s v="786"/>
    <s v="Nisqually River"/>
    <s v="Nisqually River"/>
    <s v="Thurston/Pierce"/>
    <x v="2"/>
    <s v="Pierce"/>
    <s v="07Pierce"/>
    <s v="02South Puget Sound"/>
    <n v="0"/>
    <n v="0"/>
    <n v="0"/>
  </r>
  <r>
    <n v="436"/>
    <x v="1"/>
    <x v="8"/>
    <x v="1"/>
    <s v="Freshwater"/>
    <x v="0"/>
    <x v="0"/>
    <s v="794"/>
    <s v="Nooksack River, below North Fork"/>
    <s v="Nooksack River, below North Fork"/>
    <s v="Whatcom"/>
    <x v="1"/>
    <s v="Whatcom"/>
    <s v="01Whatcom"/>
    <s v="01North Puget Sound"/>
    <n v="16"/>
    <n v="16"/>
    <n v="296.8"/>
  </r>
  <r>
    <n v="430"/>
    <x v="1"/>
    <x v="8"/>
    <x v="1"/>
    <s v="Freshwater"/>
    <x v="0"/>
    <x v="0"/>
    <s v="790"/>
    <s v="Nooksack River, No. Fork"/>
    <s v="Nooksack River, No. Fork"/>
    <s v="Whatcom"/>
    <x v="1"/>
    <s v="Whatcom"/>
    <s v="01Whatcom"/>
    <s v="01North Puget Sound"/>
    <n v="9"/>
    <n v="9"/>
    <n v="166.95000000000002"/>
  </r>
  <r>
    <n v="530"/>
    <x v="1"/>
    <x v="8"/>
    <x v="1"/>
    <s v="Freshwater"/>
    <x v="0"/>
    <x v="0"/>
    <s v="840"/>
    <s v="Pilchuck River (Snohomish System)"/>
    <s v="Pilchuck River (Snohomish System)"/>
    <s v="Snohomish"/>
    <x v="0"/>
    <s v="Snohomish"/>
    <s v="03Snohomish"/>
    <s v="01North Puget Sound"/>
    <n v="5"/>
    <n v="5"/>
    <n v="92.75"/>
  </r>
  <r>
    <n v="450"/>
    <x v="1"/>
    <x v="8"/>
    <x v="1"/>
    <s v="Freshwater"/>
    <x v="0"/>
    <x v="0"/>
    <s v="804"/>
    <s v="Puyallup River"/>
    <s v="Puyallup River"/>
    <s v="Pierce"/>
    <x v="2"/>
    <s v="Pierce"/>
    <s v="07Pierce"/>
    <s v="02South Puget Sound"/>
    <n v="5"/>
    <n v="5"/>
    <n v="92.75"/>
  </r>
  <r>
    <n v="451"/>
    <x v="1"/>
    <x v="8"/>
    <x v="1"/>
    <s v="Freshwater"/>
    <x v="0"/>
    <x v="0"/>
    <s v="804"/>
    <s v="Puyallup River"/>
    <s v="Puyallup River"/>
    <s v="Pierce"/>
    <x v="2"/>
    <s v="Snohomish"/>
    <s v="03Snohomish"/>
    <s v="01North Puget Sound"/>
    <n v="5"/>
    <n v="5"/>
    <n v="92.75"/>
  </r>
  <r>
    <n v="458"/>
    <x v="1"/>
    <x v="8"/>
    <x v="1"/>
    <s v="Freshwater"/>
    <x v="0"/>
    <x v="0"/>
    <s v="810"/>
    <s v="Pysht River"/>
    <s v="Pysht River"/>
    <s v="Clallam"/>
    <x v="3"/>
    <s v="Clallam"/>
    <s v="11Clallam"/>
    <s v="03Strait of Juan de Fuca"/>
    <n v="2.5"/>
    <n v="2.5"/>
    <n v="46.375"/>
  </r>
  <r>
    <n v="459"/>
    <x v="1"/>
    <x v="8"/>
    <x v="1"/>
    <s v="Freshwater"/>
    <x v="0"/>
    <x v="0"/>
    <s v="810"/>
    <s v="Pysht River"/>
    <s v="Pysht River"/>
    <s v="Clallam"/>
    <x v="3"/>
    <s v="Kitsap"/>
    <s v="10Kitsap"/>
    <s v="02South Puget Sound"/>
    <n v="2.5"/>
    <n v="2.5"/>
    <n v="46.375"/>
  </r>
  <r>
    <n v="534"/>
    <x v="1"/>
    <x v="8"/>
    <x v="1"/>
    <s v="Freshwater"/>
    <x v="0"/>
    <x v="0"/>
    <s v="842"/>
    <s v="Raging River"/>
    <s v="Raging River"/>
    <s v="King"/>
    <x v="2"/>
    <s v="King"/>
    <s v="06King"/>
    <s v="02South Puget Sound"/>
    <n v="3"/>
    <n v="3"/>
    <n v="55.650000000000006"/>
  </r>
  <r>
    <n v="464"/>
    <x v="1"/>
    <x v="8"/>
    <x v="1"/>
    <s v="Freshwater"/>
    <x v="0"/>
    <x v="0"/>
    <s v="818"/>
    <s v="Sekiu River"/>
    <s v="Sekiu River"/>
    <s v="Clallam"/>
    <x v="3"/>
    <s v="Clallam"/>
    <s v="11Clallam"/>
    <s v="03Strait of Juan de Fuca"/>
    <n v="7"/>
    <n v="7"/>
    <n v="129.85"/>
  </r>
  <r>
    <n v="511"/>
    <x v="1"/>
    <x v="8"/>
    <x v="1"/>
    <s v="Freshwater"/>
    <x v="0"/>
    <x v="0"/>
    <s v="830"/>
    <s v="Skagit River"/>
    <s v="Skagit River"/>
    <s v="Skagit/Whatcom"/>
    <x v="0"/>
    <s v="King"/>
    <s v="06King"/>
    <s v="02South Puget Sound"/>
    <n v="3.0769230769230802"/>
    <n v="3.0769230769230802"/>
    <n v="57.076923076923137"/>
  </r>
  <r>
    <n v="512"/>
    <x v="1"/>
    <x v="8"/>
    <x v="1"/>
    <s v="Freshwater"/>
    <x v="0"/>
    <x v="0"/>
    <s v="830"/>
    <s v="Skagit River"/>
    <s v="Skagit River"/>
    <s v="Skagit/Whatcom"/>
    <x v="0"/>
    <s v="Other"/>
    <s v="20Other"/>
    <s v="07Non Puget Sound"/>
    <n v="6.1538461538461604"/>
    <n v="6.1538461538461604"/>
    <n v="114.15384615384627"/>
  </r>
  <r>
    <n v="513"/>
    <x v="1"/>
    <x v="8"/>
    <x v="1"/>
    <s v="Freshwater"/>
    <x v="0"/>
    <x v="0"/>
    <s v="830"/>
    <s v="Skagit River"/>
    <s v="Skagit River"/>
    <s v="Skagit/Whatcom"/>
    <x v="0"/>
    <s v="Pierce"/>
    <s v="07Pierce"/>
    <s v="02South Puget Sound"/>
    <n v="3.0769230769230802"/>
    <n v="3.0769230769230802"/>
    <n v="57.076923076923137"/>
  </r>
  <r>
    <n v="514"/>
    <x v="1"/>
    <x v="8"/>
    <x v="1"/>
    <s v="Freshwater"/>
    <x v="0"/>
    <x v="0"/>
    <s v="830"/>
    <s v="Skagit River"/>
    <s v="Skagit River"/>
    <s v="Skagit/Whatcom"/>
    <x v="0"/>
    <s v="Skagit"/>
    <s v="02Skagit"/>
    <s v="01North Puget Sound"/>
    <n v="46.153846153846203"/>
    <n v="46.153846153846203"/>
    <n v="856.1538461538471"/>
  </r>
  <r>
    <n v="515"/>
    <x v="1"/>
    <x v="8"/>
    <x v="1"/>
    <s v="Freshwater"/>
    <x v="0"/>
    <x v="0"/>
    <s v="830"/>
    <s v="Skagit River"/>
    <s v="Skagit River"/>
    <s v="Skagit/Whatcom"/>
    <x v="0"/>
    <s v="Snohomish"/>
    <s v="03Snohomish"/>
    <s v="01North Puget Sound"/>
    <n v="9.2307692307692299"/>
    <n v="9.2307692307692299"/>
    <n v="171.23076923076923"/>
  </r>
  <r>
    <n v="516"/>
    <x v="1"/>
    <x v="8"/>
    <x v="1"/>
    <s v="Freshwater"/>
    <x v="0"/>
    <x v="0"/>
    <s v="830"/>
    <s v="Skagit River"/>
    <s v="Skagit River"/>
    <s v="Skagit/Whatcom"/>
    <x v="0"/>
    <s v="Whatcom"/>
    <s v="01Whatcom"/>
    <s v="01North Puget Sound"/>
    <n v="12.307692307692299"/>
    <n v="12.307692307692299"/>
    <n v="228.30769230769215"/>
  </r>
  <r>
    <n v="567"/>
    <x v="1"/>
    <x v="8"/>
    <x v="1"/>
    <s v="Freshwater"/>
    <x v="0"/>
    <x v="0"/>
    <s v="844"/>
    <s v="Skykomish River"/>
    <s v="Skykomish River"/>
    <s v="Snohomish"/>
    <x v="0"/>
    <s v="Island"/>
    <s v="04Island"/>
    <s v="01North Puget Sound"/>
    <n v="5.0753246753246799"/>
    <n v="5.0753246753246799"/>
    <n v="94.147272727272821"/>
  </r>
  <r>
    <n v="568"/>
    <x v="1"/>
    <x v="8"/>
    <x v="1"/>
    <s v="Freshwater"/>
    <x v="0"/>
    <x v="0"/>
    <s v="844"/>
    <s v="Skykomish River"/>
    <s v="Skykomish River"/>
    <s v="Snohomish"/>
    <x v="0"/>
    <s v="King"/>
    <s v="06King"/>
    <s v="02South Puget Sound"/>
    <n v="398.412987012987"/>
    <n v="398.412987012987"/>
    <n v="7390.5609090909093"/>
  </r>
  <r>
    <n v="569"/>
    <x v="1"/>
    <x v="8"/>
    <x v="1"/>
    <s v="Freshwater"/>
    <x v="0"/>
    <x v="0"/>
    <s v="844"/>
    <s v="Skykomish River"/>
    <s v="Skykomish River"/>
    <s v="Snohomish"/>
    <x v="0"/>
    <s v="Kitsap"/>
    <s v="10Kitsap"/>
    <s v="02South Puget Sound"/>
    <n v="2.53766233766234"/>
    <n v="2.53766233766234"/>
    <n v="47.07363636363641"/>
  </r>
  <r>
    <n v="570"/>
    <x v="1"/>
    <x v="8"/>
    <x v="1"/>
    <s v="Freshwater"/>
    <x v="0"/>
    <x v="0"/>
    <s v="844"/>
    <s v="Skykomish River"/>
    <s v="Skykomish River"/>
    <s v="Snohomish"/>
    <x v="0"/>
    <s v="Other"/>
    <s v="20Other"/>
    <s v="07Non Puget Sound"/>
    <n v="15.225974025974001"/>
    <n v="15.225974025974001"/>
    <n v="282.44181818181772"/>
  </r>
  <r>
    <n v="571"/>
    <x v="1"/>
    <x v="8"/>
    <x v="1"/>
    <s v="Freshwater"/>
    <x v="0"/>
    <x v="0"/>
    <s v="844"/>
    <s v="Skykomish River"/>
    <s v="Skykomish River"/>
    <s v="Snohomish"/>
    <x v="0"/>
    <s v="Pierce"/>
    <s v="07Pierce"/>
    <s v="02South Puget Sound"/>
    <n v="2.53766233766234"/>
    <n v="2.53766233766234"/>
    <n v="47.07363636363641"/>
  </r>
  <r>
    <n v="572"/>
    <x v="1"/>
    <x v="8"/>
    <x v="1"/>
    <s v="Freshwater"/>
    <x v="0"/>
    <x v="0"/>
    <s v="844"/>
    <s v="Skykomish River"/>
    <s v="Skykomish River"/>
    <s v="Snohomish"/>
    <x v="0"/>
    <s v="Skagit"/>
    <s v="02Skagit"/>
    <s v="01North Puget Sound"/>
    <n v="10.150649350649401"/>
    <n v="10.150649350649401"/>
    <n v="188.29454545454638"/>
  </r>
  <r>
    <n v="573"/>
    <x v="1"/>
    <x v="8"/>
    <x v="1"/>
    <s v="Freshwater"/>
    <x v="0"/>
    <x v="0"/>
    <s v="844"/>
    <s v="Skykomish River"/>
    <s v="Skykomish River"/>
    <s v="Snohomish"/>
    <x v="0"/>
    <s v="Snohomish"/>
    <s v="03Snohomish"/>
    <s v="01North Puget Sound"/>
    <n v="537.98441558441596"/>
    <n v="537.98441558441596"/>
    <n v="9979.6109090909158"/>
  </r>
  <r>
    <n v="574"/>
    <x v="1"/>
    <x v="8"/>
    <x v="1"/>
    <s v="Freshwater"/>
    <x v="0"/>
    <x v="0"/>
    <s v="844"/>
    <s v="Skykomish River"/>
    <s v="Skykomish River"/>
    <s v="Snohomish"/>
    <x v="0"/>
    <s v="Thurston"/>
    <s v="08Thurston"/>
    <s v="02South Puget Sound"/>
    <n v="5.0753246753246799"/>
    <n v="5.0753246753246799"/>
    <n v="94.147272727272821"/>
  </r>
  <r>
    <n v="591"/>
    <x v="1"/>
    <x v="8"/>
    <x v="1"/>
    <s v="Freshwater"/>
    <x v="0"/>
    <x v="0"/>
    <s v="846"/>
    <s v="Skykomish River, No. Fork"/>
    <s v="Skykomish River, No. Fork"/>
    <s v="Snohomish"/>
    <x v="0"/>
    <s v="King"/>
    <s v="06King"/>
    <s v="02South Puget Sound"/>
    <n v="5.2"/>
    <n v="5.2"/>
    <n v="96.460000000000008"/>
  </r>
  <r>
    <n v="592"/>
    <x v="1"/>
    <x v="8"/>
    <x v="1"/>
    <s v="Freshwater"/>
    <x v="0"/>
    <x v="0"/>
    <s v="846"/>
    <s v="Skykomish River, No. Fork"/>
    <s v="Skykomish River, No. Fork"/>
    <s v="Snohomish"/>
    <x v="0"/>
    <s v="Snohomish"/>
    <s v="03Snohomish"/>
    <s v="01North Puget Sound"/>
    <n v="7.8"/>
    <n v="7.8"/>
    <n v="144.69"/>
  </r>
  <r>
    <n v="612"/>
    <x v="1"/>
    <x v="8"/>
    <x v="1"/>
    <s v="Freshwater"/>
    <x v="0"/>
    <x v="0"/>
    <s v="850"/>
    <s v="Snohomish River"/>
    <s v="Snohomish River"/>
    <s v="Snohomish"/>
    <x v="0"/>
    <s v="Clallam"/>
    <s v="11Clallam"/>
    <s v="03Strait of Juan de Fuca"/>
    <n v="10.1290322580645"/>
    <n v="10.1290322580645"/>
    <n v="187.89354838709647"/>
  </r>
  <r>
    <n v="613"/>
    <x v="1"/>
    <x v="8"/>
    <x v="1"/>
    <s v="Freshwater"/>
    <x v="0"/>
    <x v="0"/>
    <s v="850"/>
    <s v="Snohomish River"/>
    <s v="Snohomish River"/>
    <s v="Snohomish"/>
    <x v="0"/>
    <s v="King"/>
    <s v="06King"/>
    <s v="02South Puget Sound"/>
    <n v="5.0645161290322598"/>
    <n v="5.0645161290322598"/>
    <n v="93.946774193548421"/>
  </r>
  <r>
    <n v="614"/>
    <x v="1"/>
    <x v="8"/>
    <x v="1"/>
    <s v="Freshwater"/>
    <x v="0"/>
    <x v="0"/>
    <s v="850"/>
    <s v="Snohomish River"/>
    <s v="Snohomish River"/>
    <s v="Snohomish"/>
    <x v="0"/>
    <s v="Other"/>
    <s v="20Other"/>
    <s v="07Non Puget Sound"/>
    <n v="2.5322580645161299"/>
    <n v="2.5322580645161299"/>
    <n v="46.973387096774211"/>
  </r>
  <r>
    <n v="615"/>
    <x v="1"/>
    <x v="8"/>
    <x v="1"/>
    <s v="Freshwater"/>
    <x v="0"/>
    <x v="0"/>
    <s v="850"/>
    <s v="Snohomish River"/>
    <s v="Snohomish River"/>
    <s v="Snohomish"/>
    <x v="0"/>
    <s v="Snohomish"/>
    <s v="03Snohomish"/>
    <s v="01North Puget Sound"/>
    <n v="139.27419354838699"/>
    <n v="139.27419354838699"/>
    <n v="2583.5362903225787"/>
  </r>
  <r>
    <n v="627"/>
    <x v="1"/>
    <x v="8"/>
    <x v="1"/>
    <s v="Freshwater"/>
    <x v="0"/>
    <x v="0"/>
    <s v="852"/>
    <s v="Snoqualmie River"/>
    <s v="Snoqualmie River"/>
    <s v="Snohomish/King"/>
    <x v="0"/>
    <s v="King"/>
    <s v="06King"/>
    <s v="02South Puget Sound"/>
    <n v="822.979228486647"/>
    <n v="822.979228486647"/>
    <n v="15266.264688427302"/>
  </r>
  <r>
    <n v="628"/>
    <x v="1"/>
    <x v="8"/>
    <x v="1"/>
    <s v="Freshwater"/>
    <x v="0"/>
    <x v="0"/>
    <s v="852"/>
    <s v="Snoqualmie River"/>
    <s v="Snoqualmie River"/>
    <s v="Snohomish/King"/>
    <x v="0"/>
    <s v="Kitsap"/>
    <s v="10Kitsap"/>
    <s v="02South Puget Sound"/>
    <n v="2.54005934718101"/>
    <n v="2.54005934718101"/>
    <n v="47.118100890207735"/>
  </r>
  <r>
    <n v="629"/>
    <x v="1"/>
    <x v="8"/>
    <x v="1"/>
    <s v="Freshwater"/>
    <x v="0"/>
    <x v="0"/>
    <s v="852"/>
    <s v="Snoqualmie River"/>
    <s v="Snoqualmie River"/>
    <s v="Snohomish/King"/>
    <x v="0"/>
    <s v="Other"/>
    <s v="20Other"/>
    <s v="07Non Puget Sound"/>
    <n v="7.6201780415430296"/>
    <n v="7.6201780415430296"/>
    <n v="141.35430267062321"/>
  </r>
  <r>
    <n v="630"/>
    <x v="1"/>
    <x v="8"/>
    <x v="1"/>
    <s v="Freshwater"/>
    <x v="0"/>
    <x v="0"/>
    <s v="852"/>
    <s v="Snoqualmie River"/>
    <s v="Snoqualmie River"/>
    <s v="Snohomish/King"/>
    <x v="0"/>
    <s v="Pierce"/>
    <s v="07Pierce"/>
    <s v="02South Puget Sound"/>
    <n v="15.2403560830861"/>
    <n v="15.2403560830861"/>
    <n v="282.70860534124716"/>
  </r>
  <r>
    <n v="631"/>
    <x v="1"/>
    <x v="8"/>
    <x v="1"/>
    <s v="Freshwater"/>
    <x v="0"/>
    <x v="0"/>
    <s v="852"/>
    <s v="Snoqualmie River"/>
    <s v="Snoqualmie River"/>
    <s v="Snohomish/King"/>
    <x v="0"/>
    <s v="Snohomish"/>
    <s v="03Snohomish"/>
    <s v="01North Puget Sound"/>
    <n v="7.6201780415430296"/>
    <n v="7.6201780415430296"/>
    <n v="141.35430267062321"/>
  </r>
  <r>
    <n v="694"/>
    <x v="1"/>
    <x v="8"/>
    <x v="1"/>
    <s v="Freshwater"/>
    <x v="0"/>
    <x v="0"/>
    <s v="872"/>
    <s v="Stillaguamish R, No. Fork"/>
    <s v="Stillaguamish R, No. Fork"/>
    <s v="Snohomish"/>
    <x v="0"/>
    <s v="Island"/>
    <s v="04Island"/>
    <s v="01North Puget Sound"/>
    <n v="4.9756097560975601"/>
    <n v="4.9756097560975601"/>
    <n v="92.297560975609741"/>
  </r>
  <r>
    <n v="695"/>
    <x v="1"/>
    <x v="8"/>
    <x v="1"/>
    <s v="Freshwater"/>
    <x v="0"/>
    <x v="0"/>
    <s v="872"/>
    <s v="Stillaguamish R, No. Fork"/>
    <s v="Stillaguamish R, No. Fork"/>
    <s v="Snohomish"/>
    <x v="0"/>
    <s v="King"/>
    <s v="06King"/>
    <s v="02South Puget Sound"/>
    <n v="2.48780487804878"/>
    <n v="2.48780487804878"/>
    <n v="46.148780487804871"/>
  </r>
  <r>
    <n v="696"/>
    <x v="1"/>
    <x v="8"/>
    <x v="1"/>
    <s v="Freshwater"/>
    <x v="0"/>
    <x v="0"/>
    <s v="872"/>
    <s v="Stillaguamish R, No. Fork"/>
    <s v="Stillaguamish R, No. Fork"/>
    <s v="Snohomish"/>
    <x v="0"/>
    <s v="San Juan"/>
    <s v="05San Juan"/>
    <s v="01North Puget Sound"/>
    <n v="17.414634146341498"/>
    <n v="17.414634146341498"/>
    <n v="323.04146341463479"/>
  </r>
  <r>
    <n v="697"/>
    <x v="1"/>
    <x v="8"/>
    <x v="1"/>
    <s v="Freshwater"/>
    <x v="0"/>
    <x v="0"/>
    <s v="872"/>
    <s v="Stillaguamish R, No. Fork"/>
    <s v="Stillaguamish R, No. Fork"/>
    <s v="Snohomish"/>
    <x v="0"/>
    <s v="Snohomish"/>
    <s v="03Snohomish"/>
    <s v="01North Puget Sound"/>
    <n v="77.121951219512198"/>
    <n v="77.121951219512198"/>
    <n v="1430.6121951219513"/>
  </r>
  <r>
    <n v="709"/>
    <x v="1"/>
    <x v="8"/>
    <x v="1"/>
    <s v="Freshwater"/>
    <x v="0"/>
    <x v="0"/>
    <s v="876"/>
    <s v="Stillaguamish River"/>
    <s v="Stillaguamish River"/>
    <s v="Snohomish"/>
    <x v="0"/>
    <s v="King"/>
    <s v="06King"/>
    <s v="02South Puget Sound"/>
    <n v="2.4285714285714302"/>
    <n v="2.4285714285714302"/>
    <n v="45.050000000000033"/>
  </r>
  <r>
    <n v="710"/>
    <x v="1"/>
    <x v="8"/>
    <x v="1"/>
    <s v="Freshwater"/>
    <x v="0"/>
    <x v="0"/>
    <s v="876"/>
    <s v="Stillaguamish River"/>
    <s v="Stillaguamish River"/>
    <s v="Snohomish"/>
    <x v="0"/>
    <s v="Snohomish"/>
    <s v="03Snohomish"/>
    <s v="01North Puget Sound"/>
    <n v="14.5714285714286"/>
    <n v="14.5714285714286"/>
    <n v="270.30000000000052"/>
  </r>
  <r>
    <n v="647"/>
    <x v="1"/>
    <x v="8"/>
    <x v="1"/>
    <s v="Freshwater"/>
    <x v="0"/>
    <x v="0"/>
    <s v="856"/>
    <s v="Tokul Creek"/>
    <s v="Tokul Creek"/>
    <s v="King"/>
    <x v="0"/>
    <s v="King"/>
    <s v="06King"/>
    <s v="02South Puget Sound"/>
    <n v="42.947368421052602"/>
    <n v="42.947368421052602"/>
    <n v="796.67368421052583"/>
  </r>
  <r>
    <n v="648"/>
    <x v="1"/>
    <x v="8"/>
    <x v="1"/>
    <s v="Freshwater"/>
    <x v="0"/>
    <x v="0"/>
    <s v="856"/>
    <s v="Tokul Creek"/>
    <s v="Tokul Creek"/>
    <s v="King"/>
    <x v="0"/>
    <s v="Pierce"/>
    <s v="07Pierce"/>
    <s v="02South Puget Sound"/>
    <n v="5.0526315789473699"/>
    <n v="5.0526315789473699"/>
    <n v="93.726315789473716"/>
  </r>
  <r>
    <n v="657"/>
    <x v="1"/>
    <x v="8"/>
    <x v="1"/>
    <s v="Freshwater"/>
    <x v="0"/>
    <x v="0"/>
    <s v="858"/>
    <s v="Tolt River"/>
    <s v="Tolt River"/>
    <s v="King"/>
    <x v="0"/>
    <s v="King"/>
    <s v="06King"/>
    <s v="02South Puget Sound"/>
    <n v="3"/>
    <n v="3"/>
    <n v="55.650000000000006"/>
  </r>
  <r>
    <n v="667"/>
    <x v="1"/>
    <x v="8"/>
    <x v="1"/>
    <s v="Freshwater"/>
    <x v="0"/>
    <x v="0"/>
    <s v="860"/>
    <s v="Wallace River"/>
    <s v="Wallace River"/>
    <s v="Snohomish"/>
    <x v="0"/>
    <s v="King"/>
    <s v="06King"/>
    <s v="02South Puget Sound"/>
    <n v="10.171428571428599"/>
    <n v="10.171428571428599"/>
    <n v="188.68000000000052"/>
  </r>
  <r>
    <n v="668"/>
    <x v="1"/>
    <x v="8"/>
    <x v="1"/>
    <s v="Freshwater"/>
    <x v="0"/>
    <x v="0"/>
    <s v="860"/>
    <s v="Wallace River"/>
    <s v="Wallace River"/>
    <s v="Snohomish"/>
    <x v="0"/>
    <s v="Pierce"/>
    <s v="07Pierce"/>
    <s v="02South Puget Sound"/>
    <n v="2.54285714285714"/>
    <n v="2.54285714285714"/>
    <n v="47.169999999999952"/>
  </r>
  <r>
    <n v="669"/>
    <x v="1"/>
    <x v="8"/>
    <x v="1"/>
    <s v="Freshwater"/>
    <x v="0"/>
    <x v="0"/>
    <s v="860"/>
    <s v="Wallace River"/>
    <s v="Wallace River"/>
    <s v="Snohomish"/>
    <x v="0"/>
    <s v="Skagit"/>
    <s v="02Skagit"/>
    <s v="01North Puget Sound"/>
    <n v="5.0857142857142899"/>
    <n v="5.0857142857142899"/>
    <n v="94.340000000000074"/>
  </r>
  <r>
    <n v="670"/>
    <x v="1"/>
    <x v="8"/>
    <x v="1"/>
    <s v="Freshwater"/>
    <x v="0"/>
    <x v="0"/>
    <s v="860"/>
    <s v="Wallace River"/>
    <s v="Wallace River"/>
    <s v="Snohomish"/>
    <x v="0"/>
    <s v="Snohomish"/>
    <s v="03Snohomish"/>
    <s v="01North Puget Sound"/>
    <n v="58.485714285714302"/>
    <n v="58.485714285714302"/>
    <n v="1084.9100000000003"/>
  </r>
  <r>
    <n v="671"/>
    <x v="1"/>
    <x v="8"/>
    <x v="1"/>
    <s v="Freshwater"/>
    <x v="0"/>
    <x v="0"/>
    <s v="860"/>
    <s v="Wallace River"/>
    <s v="Wallace River"/>
    <s v="Snohomish"/>
    <x v="0"/>
    <s v="Whatcom"/>
    <s v="01Whatcom"/>
    <s v="01North Puget Sound"/>
    <n v="12.714285714285699"/>
    <n v="12.714285714285699"/>
    <n v="235.84999999999974"/>
  </r>
  <r>
    <n v="734"/>
    <x v="2"/>
    <x v="9"/>
    <x v="1"/>
    <s v="Freshwater"/>
    <x v="0"/>
    <x v="0"/>
    <s v="9"/>
    <s v="Area 9: Admiralty Inlet"/>
    <s v="Area 9: Admiralty Inlet"/>
    <s v="NA"/>
    <x v="0"/>
    <s v="Island"/>
    <s v="04Island"/>
    <s v="01North Puget Sound"/>
    <n v="22"/>
    <n v="22"/>
    <n v="187.88"/>
  </r>
  <r>
    <n v="469"/>
    <x v="2"/>
    <x v="9"/>
    <x v="1"/>
    <s v="Freshwater"/>
    <x v="0"/>
    <x v="0"/>
    <s v="824"/>
    <s v="Baker River"/>
    <s v="Baker River"/>
    <s v="Skagit/Whatcom"/>
    <x v="1"/>
    <s v="Other"/>
    <s v="20Other"/>
    <s v="07Non Puget Sound"/>
    <n v="6"/>
    <n v="6"/>
    <n v="51.239999999999995"/>
  </r>
  <r>
    <n v="488"/>
    <x v="2"/>
    <x v="9"/>
    <x v="1"/>
    <s v="Freshwater"/>
    <x v="0"/>
    <x v="0"/>
    <s v="826"/>
    <s v="Cascade River"/>
    <s v="Cascade River"/>
    <s v="Skagit"/>
    <x v="1"/>
    <s v="Island"/>
    <s v="04Island"/>
    <s v="01North Puget Sound"/>
    <n v="14.8039215686275"/>
    <n v="14.8039215686275"/>
    <n v="126.42549019607884"/>
  </r>
  <r>
    <n v="489"/>
    <x v="2"/>
    <x v="9"/>
    <x v="1"/>
    <s v="Freshwater"/>
    <x v="0"/>
    <x v="0"/>
    <s v="826"/>
    <s v="Cascade River"/>
    <s v="Cascade River"/>
    <s v="Skagit"/>
    <x v="1"/>
    <s v="King"/>
    <s v="06King"/>
    <s v="02South Puget Sound"/>
    <n v="2.9607843137254899"/>
    <n v="2.9607843137254899"/>
    <n v="25.285098039215683"/>
  </r>
  <r>
    <n v="490"/>
    <x v="2"/>
    <x v="9"/>
    <x v="1"/>
    <s v="Freshwater"/>
    <x v="0"/>
    <x v="0"/>
    <s v="826"/>
    <s v="Cascade River"/>
    <s v="Cascade River"/>
    <s v="Skagit"/>
    <x v="1"/>
    <s v="Kitsap"/>
    <s v="10Kitsap"/>
    <s v="02South Puget Sound"/>
    <n v="5.9215686274509798"/>
    <n v="5.9215686274509798"/>
    <n v="50.570196078431366"/>
  </r>
  <r>
    <n v="491"/>
    <x v="2"/>
    <x v="9"/>
    <x v="1"/>
    <s v="Freshwater"/>
    <x v="0"/>
    <x v="0"/>
    <s v="826"/>
    <s v="Cascade River"/>
    <s v="Cascade River"/>
    <s v="Skagit"/>
    <x v="1"/>
    <s v="Other"/>
    <s v="20Other"/>
    <s v="07Non Puget Sound"/>
    <n v="8.8823529411764692"/>
    <n v="8.8823529411764692"/>
    <n v="75.855294117647034"/>
  </r>
  <r>
    <n v="492"/>
    <x v="2"/>
    <x v="9"/>
    <x v="1"/>
    <s v="Freshwater"/>
    <x v="0"/>
    <x v="0"/>
    <s v="826"/>
    <s v="Cascade River"/>
    <s v="Cascade River"/>
    <s v="Skagit"/>
    <x v="1"/>
    <s v="Skagit"/>
    <s v="02Skagit"/>
    <s v="01North Puget Sound"/>
    <n v="171.725490196078"/>
    <n v="171.725490196078"/>
    <n v="1466.5356862745059"/>
  </r>
  <r>
    <n v="493"/>
    <x v="2"/>
    <x v="9"/>
    <x v="1"/>
    <s v="Freshwater"/>
    <x v="0"/>
    <x v="0"/>
    <s v="826"/>
    <s v="Cascade River"/>
    <s v="Cascade River"/>
    <s v="Skagit"/>
    <x v="1"/>
    <s v="Snohomish"/>
    <s v="03Snohomish"/>
    <s v="01North Puget Sound"/>
    <n v="41.4509803921569"/>
    <n v="41.4509803921569"/>
    <n v="353.9913725490199"/>
  </r>
  <r>
    <n v="494"/>
    <x v="2"/>
    <x v="9"/>
    <x v="1"/>
    <s v="Freshwater"/>
    <x v="0"/>
    <x v="0"/>
    <s v="826"/>
    <s v="Cascade River"/>
    <s v="Cascade River"/>
    <s v="Skagit"/>
    <x v="1"/>
    <s v="Whatcom"/>
    <s v="01Whatcom"/>
    <s v="01North Puget Sound"/>
    <n v="56.254901960784302"/>
    <n v="56.254901960784302"/>
    <n v="480.41686274509789"/>
  </r>
  <r>
    <n v="349"/>
    <x v="2"/>
    <x v="9"/>
    <x v="1"/>
    <s v="Freshwater"/>
    <x v="0"/>
    <x v="0"/>
    <s v="718"/>
    <s v="Clallam River"/>
    <s v="Clallam River"/>
    <s v="Clallam"/>
    <x v="3"/>
    <s v="Clallam"/>
    <s v="11Clallam"/>
    <s v="03Strait of Juan de Fuca"/>
    <n v="7"/>
    <n v="7"/>
    <n v="59.779999999999994"/>
  </r>
  <r>
    <n v="355"/>
    <x v="2"/>
    <x v="9"/>
    <x v="1"/>
    <s v="Freshwater"/>
    <x v="0"/>
    <x v="0"/>
    <s v="738"/>
    <s v="Dungeness River"/>
    <s v="Dungeness River"/>
    <s v="Clallam"/>
    <x v="3"/>
    <s v="Clallam"/>
    <s v="11Clallam"/>
    <s v="03Strait of Juan de Fuca"/>
    <n v="18"/>
    <n v="18"/>
    <n v="153.71999999999997"/>
  </r>
  <r>
    <n v="378"/>
    <x v="2"/>
    <x v="9"/>
    <x v="1"/>
    <s v="Freshwater"/>
    <x v="0"/>
    <x v="0"/>
    <s v="746"/>
    <s v="Green (Duwamish River) (King Co.)"/>
    <s v="Green - Duwamish River"/>
    <s v="King"/>
    <x v="2"/>
    <s v="King"/>
    <s v="06King"/>
    <s v="02South Puget Sound"/>
    <n v="28.5"/>
    <n v="28.5"/>
    <n v="243.39"/>
  </r>
  <r>
    <n v="379"/>
    <x v="2"/>
    <x v="9"/>
    <x v="1"/>
    <s v="Freshwater"/>
    <x v="0"/>
    <x v="0"/>
    <s v="746"/>
    <s v="Green (Duwamish River) (King Co.)"/>
    <s v="Green - Duwamish River"/>
    <s v="King"/>
    <x v="2"/>
    <s v="Pierce"/>
    <s v="07Pierce"/>
    <s v="02South Puget Sound"/>
    <n v="9.5"/>
    <n v="9.5"/>
    <n v="81.13"/>
  </r>
  <r>
    <n v="387"/>
    <x v="2"/>
    <x v="9"/>
    <x v="1"/>
    <s v="Freshwater"/>
    <x v="0"/>
    <x v="0"/>
    <s v="752"/>
    <s v="Hoko River"/>
    <s v="Hoko River"/>
    <s v="Clallam"/>
    <x v="3"/>
    <s v="Clallam"/>
    <s v="11Clallam"/>
    <s v="03Strait of Juan de Fuca"/>
    <n v="6.75"/>
    <n v="6.75"/>
    <n v="57.644999999999996"/>
  </r>
  <r>
    <n v="388"/>
    <x v="2"/>
    <x v="9"/>
    <x v="1"/>
    <s v="Freshwater"/>
    <x v="0"/>
    <x v="0"/>
    <s v="752"/>
    <s v="Hoko River"/>
    <s v="Hoko River"/>
    <s v="Clallam"/>
    <x v="3"/>
    <s v="King"/>
    <s v="06King"/>
    <s v="02South Puget Sound"/>
    <n v="2.25"/>
    <n v="2.25"/>
    <n v="19.214999999999996"/>
  </r>
  <r>
    <n v="389"/>
    <x v="2"/>
    <x v="9"/>
    <x v="1"/>
    <s v="Freshwater"/>
    <x v="0"/>
    <x v="0"/>
    <s v="752"/>
    <s v="Hoko River"/>
    <s v="Hoko River"/>
    <s v="Clallam"/>
    <x v="3"/>
    <s v="Kitsap"/>
    <s v="10Kitsap"/>
    <s v="02South Puget Sound"/>
    <n v="11.25"/>
    <n v="11.25"/>
    <n v="96.074999999999989"/>
  </r>
  <r>
    <n v="390"/>
    <x v="2"/>
    <x v="9"/>
    <x v="1"/>
    <s v="Freshwater"/>
    <x v="0"/>
    <x v="0"/>
    <s v="752"/>
    <s v="Hoko River"/>
    <s v="Hoko River"/>
    <s v="Clallam"/>
    <x v="3"/>
    <s v="Pierce"/>
    <s v="07Pierce"/>
    <s v="02South Puget Sound"/>
    <n v="4.5"/>
    <n v="4.5"/>
    <n v="38.429999999999993"/>
  </r>
  <r>
    <n v="391"/>
    <x v="2"/>
    <x v="9"/>
    <x v="1"/>
    <s v="Freshwater"/>
    <x v="0"/>
    <x v="0"/>
    <s v="752"/>
    <s v="Hoko River"/>
    <s v="Hoko River"/>
    <s v="Clallam"/>
    <x v="3"/>
    <s v="Snohomish"/>
    <s v="03Snohomish"/>
    <s v="01North Puget Sound"/>
    <n v="2.25"/>
    <n v="2.25"/>
    <n v="19.214999999999996"/>
  </r>
  <r>
    <n v="415"/>
    <x v="2"/>
    <x v="9"/>
    <x v="1"/>
    <s v="Freshwater"/>
    <x v="0"/>
    <x v="0"/>
    <s v="768"/>
    <s v="Lyre River"/>
    <s v="Lyre River"/>
    <s v="Clallam"/>
    <x v="3"/>
    <s v="Clallam"/>
    <s v="11Clallam"/>
    <s v="03Strait of Juan de Fuca"/>
    <n v="15.3333333333333"/>
    <n v="15.3333333333333"/>
    <n v="130.94666666666637"/>
  </r>
  <r>
    <n v="416"/>
    <x v="2"/>
    <x v="9"/>
    <x v="1"/>
    <s v="Freshwater"/>
    <x v="0"/>
    <x v="0"/>
    <s v="768"/>
    <s v="Lyre River"/>
    <s v="Lyre River"/>
    <s v="Clallam"/>
    <x v="3"/>
    <s v="Jefferson"/>
    <s v="12Jefferson"/>
    <s v="03Strait of Juan de Fuca"/>
    <n v="7.6666666666666696"/>
    <n v="7.6666666666666696"/>
    <n v="65.473333333333358"/>
  </r>
  <r>
    <n v="421"/>
    <x v="2"/>
    <x v="9"/>
    <x v="1"/>
    <s v="Freshwater"/>
    <x v="0"/>
    <x v="0"/>
    <s v="782"/>
    <s v="Morse Creek (Clallam Co.)"/>
    <s v="Morse Creek (Clallam Co.)"/>
    <s v="Clallam"/>
    <x v="3"/>
    <s v="Clallam"/>
    <s v="11Clallam"/>
    <s v="03Strait of Juan de Fuca"/>
    <n v="9"/>
    <n v="9"/>
    <n v="76.859999999999985"/>
  </r>
  <r>
    <n v="428"/>
    <x v="2"/>
    <x v="9"/>
    <x v="1"/>
    <s v="Freshwater"/>
    <x v="0"/>
    <x v="0"/>
    <s v="786"/>
    <s v="Nisqually River"/>
    <s v="Nisqually River"/>
    <s v="Thurston/Pierce"/>
    <x v="2"/>
    <s v="Thurston"/>
    <s v="08Thurston"/>
    <s v="02South Puget Sound"/>
    <n v="0"/>
    <n v="0"/>
    <n v="0"/>
  </r>
  <r>
    <n v="437"/>
    <x v="2"/>
    <x v="9"/>
    <x v="1"/>
    <s v="Freshwater"/>
    <x v="0"/>
    <x v="0"/>
    <s v="794"/>
    <s v="Nooksack River, below North Fork"/>
    <s v="Nooksack River, below North Fork"/>
    <s v="Whatcom"/>
    <x v="1"/>
    <s v="Whatcom"/>
    <s v="01Whatcom"/>
    <s v="01North Puget Sound"/>
    <n v="14"/>
    <n v="14"/>
    <n v="119.55999999999999"/>
  </r>
  <r>
    <n v="431"/>
    <x v="2"/>
    <x v="9"/>
    <x v="1"/>
    <s v="Freshwater"/>
    <x v="0"/>
    <x v="0"/>
    <s v="790"/>
    <s v="Nooksack River, No. Fork"/>
    <s v="Nooksack River, No. Fork"/>
    <s v="Whatcom"/>
    <x v="1"/>
    <s v="Other"/>
    <s v="20Other"/>
    <s v="07Non Puget Sound"/>
    <n v="4.44444444444445"/>
    <n v="4.44444444444445"/>
    <n v="37.955555555555598"/>
  </r>
  <r>
    <n v="432"/>
    <x v="2"/>
    <x v="9"/>
    <x v="1"/>
    <s v="Freshwater"/>
    <x v="0"/>
    <x v="0"/>
    <s v="790"/>
    <s v="Nooksack River, No. Fork"/>
    <s v="Nooksack River, No. Fork"/>
    <s v="Whatcom"/>
    <x v="1"/>
    <s v="Whatcom"/>
    <s v="01Whatcom"/>
    <s v="01North Puget Sound"/>
    <n v="15.5555555555556"/>
    <n v="15.5555555555556"/>
    <n v="132.8444444444448"/>
  </r>
  <r>
    <n v="531"/>
    <x v="2"/>
    <x v="9"/>
    <x v="1"/>
    <s v="Freshwater"/>
    <x v="0"/>
    <x v="0"/>
    <s v="840"/>
    <s v="Pilchuck River (Snohomish System)"/>
    <s v="Pilchuck River (Snohomish System)"/>
    <s v="Snohomish"/>
    <x v="0"/>
    <s v="Snohomish"/>
    <s v="03Snohomish"/>
    <s v="01North Puget Sound"/>
    <n v="10"/>
    <n v="10"/>
    <n v="85.399999999999991"/>
  </r>
  <r>
    <n v="460"/>
    <x v="2"/>
    <x v="9"/>
    <x v="1"/>
    <s v="Freshwater"/>
    <x v="0"/>
    <x v="0"/>
    <s v="810"/>
    <s v="Pysht River"/>
    <s v="Pysht River"/>
    <s v="Clallam"/>
    <x v="3"/>
    <s v="Kitsap"/>
    <s v="10Kitsap"/>
    <s v="02South Puget Sound"/>
    <n v="2"/>
    <n v="2"/>
    <n v="17.079999999999998"/>
  </r>
  <r>
    <n v="535"/>
    <x v="2"/>
    <x v="9"/>
    <x v="1"/>
    <s v="Freshwater"/>
    <x v="0"/>
    <x v="0"/>
    <s v="842"/>
    <s v="Raging River"/>
    <s v="Raging River"/>
    <s v="King"/>
    <x v="2"/>
    <s v="King"/>
    <s v="06King"/>
    <s v="02South Puget Sound"/>
    <n v="7.5"/>
    <n v="7.5"/>
    <n v="64.05"/>
  </r>
  <r>
    <n v="536"/>
    <x v="2"/>
    <x v="9"/>
    <x v="1"/>
    <s v="Freshwater"/>
    <x v="0"/>
    <x v="0"/>
    <s v="842"/>
    <s v="Raging River"/>
    <s v="Raging River"/>
    <s v="King"/>
    <x v="2"/>
    <s v="Snohomish"/>
    <s v="03Snohomish"/>
    <s v="01North Puget Sound"/>
    <n v="2.5"/>
    <n v="2.5"/>
    <n v="21.349999999999998"/>
  </r>
  <r>
    <n v="465"/>
    <x v="2"/>
    <x v="9"/>
    <x v="1"/>
    <s v="Freshwater"/>
    <x v="0"/>
    <x v="0"/>
    <s v="818"/>
    <s v="Sekiu River"/>
    <s v="Sekiu River"/>
    <s v="Clallam"/>
    <x v="3"/>
    <s v="Clallam"/>
    <s v="11Clallam"/>
    <s v="03Strait of Juan de Fuca"/>
    <n v="15.5555555555556"/>
    <n v="15.5555555555556"/>
    <n v="132.8444444444448"/>
  </r>
  <r>
    <n v="466"/>
    <x v="2"/>
    <x v="9"/>
    <x v="1"/>
    <s v="Freshwater"/>
    <x v="0"/>
    <x v="0"/>
    <s v="818"/>
    <s v="Sekiu River"/>
    <s v="Sekiu River"/>
    <s v="Clallam"/>
    <x v="3"/>
    <s v="King"/>
    <s v="06King"/>
    <s v="02South Puget Sound"/>
    <n v="4.44444444444445"/>
    <n v="4.44444444444445"/>
    <n v="37.955555555555598"/>
  </r>
  <r>
    <n v="517"/>
    <x v="2"/>
    <x v="9"/>
    <x v="1"/>
    <s v="Freshwater"/>
    <x v="0"/>
    <x v="0"/>
    <s v="830"/>
    <s v="Skagit River"/>
    <s v="Skagit River"/>
    <s v="Skagit/Whatcom"/>
    <x v="0"/>
    <s v="King"/>
    <s v="06King"/>
    <s v="02South Puget Sound"/>
    <n v="6.1111111111111098"/>
    <n v="6.1111111111111098"/>
    <n v="52.188888888888876"/>
  </r>
  <r>
    <n v="518"/>
    <x v="2"/>
    <x v="9"/>
    <x v="1"/>
    <s v="Freshwater"/>
    <x v="0"/>
    <x v="0"/>
    <s v="830"/>
    <s v="Skagit River"/>
    <s v="Skagit River"/>
    <s v="Skagit/Whatcom"/>
    <x v="0"/>
    <s v="Other"/>
    <s v="20Other"/>
    <s v="07Non Puget Sound"/>
    <n v="3.0555555555555598"/>
    <n v="3.0555555555555598"/>
    <n v="26.094444444444477"/>
  </r>
  <r>
    <n v="519"/>
    <x v="2"/>
    <x v="9"/>
    <x v="1"/>
    <s v="Freshwater"/>
    <x v="0"/>
    <x v="0"/>
    <s v="830"/>
    <s v="Skagit River"/>
    <s v="Skagit River"/>
    <s v="Skagit/Whatcom"/>
    <x v="0"/>
    <s v="Pierce"/>
    <s v="07Pierce"/>
    <s v="02South Puget Sound"/>
    <n v="3.0555555555555598"/>
    <n v="3.0555555555555598"/>
    <n v="26.094444444444477"/>
  </r>
  <r>
    <n v="520"/>
    <x v="2"/>
    <x v="9"/>
    <x v="1"/>
    <s v="Freshwater"/>
    <x v="0"/>
    <x v="0"/>
    <s v="830"/>
    <s v="Skagit River"/>
    <s v="Skagit River"/>
    <s v="Skagit/Whatcom"/>
    <x v="0"/>
    <s v="Skagit"/>
    <s v="02Skagit"/>
    <s v="01North Puget Sound"/>
    <n v="33.6111111111111"/>
    <n v="33.6111111111111"/>
    <n v="287.03888888888878"/>
  </r>
  <r>
    <n v="521"/>
    <x v="2"/>
    <x v="9"/>
    <x v="1"/>
    <s v="Freshwater"/>
    <x v="0"/>
    <x v="0"/>
    <s v="830"/>
    <s v="Skagit River"/>
    <s v="Skagit River"/>
    <s v="Skagit/Whatcom"/>
    <x v="0"/>
    <s v="Snohomish"/>
    <s v="03Snohomish"/>
    <s v="01North Puget Sound"/>
    <n v="9.1666666666666696"/>
    <n v="9.1666666666666696"/>
    <n v="78.283333333333346"/>
  </r>
  <r>
    <n v="575"/>
    <x v="2"/>
    <x v="9"/>
    <x v="1"/>
    <s v="Freshwater"/>
    <x v="0"/>
    <x v="0"/>
    <s v="844"/>
    <s v="Skykomish River"/>
    <s v="Skykomish River"/>
    <s v="Snohomish"/>
    <x v="0"/>
    <s v="Island"/>
    <s v="04Island"/>
    <s v="01North Puget Sound"/>
    <n v="7.6216216216216202"/>
    <n v="7.6216216216216202"/>
    <n v="65.088648648648629"/>
  </r>
  <r>
    <n v="576"/>
    <x v="2"/>
    <x v="9"/>
    <x v="1"/>
    <s v="Freshwater"/>
    <x v="0"/>
    <x v="0"/>
    <s v="844"/>
    <s v="Skykomish River"/>
    <s v="Skykomish River"/>
    <s v="Snohomish"/>
    <x v="0"/>
    <s v="King"/>
    <s v="06King"/>
    <s v="02South Puget Sound"/>
    <n v="276.91891891891902"/>
    <n v="276.91891891891902"/>
    <n v="2364.8875675675681"/>
  </r>
  <r>
    <n v="577"/>
    <x v="2"/>
    <x v="9"/>
    <x v="1"/>
    <s v="Freshwater"/>
    <x v="0"/>
    <x v="0"/>
    <s v="844"/>
    <s v="Skykomish River"/>
    <s v="Skykomish River"/>
    <s v="Snohomish"/>
    <x v="0"/>
    <s v="Kitsap"/>
    <s v="10Kitsap"/>
    <s v="02South Puget Sound"/>
    <n v="5.0810810810810798"/>
    <n v="5.0810810810810798"/>
    <n v="43.392432432432415"/>
  </r>
  <r>
    <n v="578"/>
    <x v="2"/>
    <x v="9"/>
    <x v="1"/>
    <s v="Freshwater"/>
    <x v="0"/>
    <x v="0"/>
    <s v="844"/>
    <s v="Skykomish River"/>
    <s v="Skykomish River"/>
    <s v="Snohomish"/>
    <x v="0"/>
    <s v="Other"/>
    <s v="20Other"/>
    <s v="07Non Puget Sound"/>
    <n v="5.0810810810810798"/>
    <n v="5.0810810810810798"/>
    <n v="43.392432432432415"/>
  </r>
  <r>
    <n v="579"/>
    <x v="2"/>
    <x v="9"/>
    <x v="1"/>
    <s v="Freshwater"/>
    <x v="0"/>
    <x v="0"/>
    <s v="844"/>
    <s v="Skykomish River"/>
    <s v="Skykomish River"/>
    <s v="Snohomish"/>
    <x v="0"/>
    <s v="Snohomish"/>
    <s v="03Snohomish"/>
    <s v="01North Puget Sound"/>
    <n v="363.29729729729701"/>
    <n v="363.29729729729701"/>
    <n v="3102.5589189189163"/>
  </r>
  <r>
    <n v="593"/>
    <x v="2"/>
    <x v="9"/>
    <x v="1"/>
    <s v="Freshwater"/>
    <x v="0"/>
    <x v="0"/>
    <s v="846"/>
    <s v="Skykomish River, No. Fork"/>
    <s v="Skykomish River, No. Fork"/>
    <s v="Snohomish"/>
    <x v="0"/>
    <s v="King"/>
    <s v="06King"/>
    <s v="02South Puget Sound"/>
    <n v="15.4285714285714"/>
    <n v="15.4285714285714"/>
    <n v="131.75999999999974"/>
  </r>
  <r>
    <n v="594"/>
    <x v="2"/>
    <x v="9"/>
    <x v="1"/>
    <s v="Freshwater"/>
    <x v="0"/>
    <x v="0"/>
    <s v="846"/>
    <s v="Skykomish River, No. Fork"/>
    <s v="Skykomish River, No. Fork"/>
    <s v="Snohomish"/>
    <x v="0"/>
    <s v="Snohomish"/>
    <s v="03Snohomish"/>
    <s v="01North Puget Sound"/>
    <n v="2.5714285714285698"/>
    <n v="2.5714285714285698"/>
    <n v="21.959999999999983"/>
  </r>
  <r>
    <n v="597"/>
    <x v="2"/>
    <x v="9"/>
    <x v="1"/>
    <s v="Freshwater"/>
    <x v="0"/>
    <x v="0"/>
    <s v="848"/>
    <s v="Skykomish River, So. Fork"/>
    <s v="Skykomish River, So. Fork"/>
    <s v="Snohomish/King"/>
    <x v="0"/>
    <s v="Snohomish"/>
    <s v="03Snohomish"/>
    <s v="01North Puget Sound"/>
    <n v="3"/>
    <n v="3"/>
    <n v="25.619999999999997"/>
  </r>
  <r>
    <n v="616"/>
    <x v="2"/>
    <x v="9"/>
    <x v="1"/>
    <s v="Freshwater"/>
    <x v="0"/>
    <x v="0"/>
    <s v="850"/>
    <s v="Snohomish River"/>
    <s v="Snohomish River"/>
    <s v="Snohomish"/>
    <x v="0"/>
    <s v="King"/>
    <s v="06King"/>
    <s v="02South Puget Sound"/>
    <n v="2.53125"/>
    <n v="2.53125"/>
    <n v="21.616874999999997"/>
  </r>
  <r>
    <n v="617"/>
    <x v="2"/>
    <x v="9"/>
    <x v="1"/>
    <s v="Freshwater"/>
    <x v="0"/>
    <x v="0"/>
    <s v="850"/>
    <s v="Snohomish River"/>
    <s v="Snohomish River"/>
    <s v="Snohomish"/>
    <x v="0"/>
    <s v="Snohomish"/>
    <s v="03Snohomish"/>
    <s v="01North Puget Sound"/>
    <n v="78.46875"/>
    <n v="78.46875"/>
    <n v="670.12312499999996"/>
  </r>
  <r>
    <n v="632"/>
    <x v="2"/>
    <x v="9"/>
    <x v="1"/>
    <s v="Freshwater"/>
    <x v="0"/>
    <x v="0"/>
    <s v="852"/>
    <s v="Snoqualmie River"/>
    <s v="Snoqualmie River"/>
    <s v="Snohomish/King"/>
    <x v="0"/>
    <s v="King"/>
    <s v="06King"/>
    <s v="02South Puget Sound"/>
    <n v="314.84375"/>
    <n v="314.84375"/>
    <n v="2688.7656249999995"/>
  </r>
  <r>
    <n v="633"/>
    <x v="2"/>
    <x v="9"/>
    <x v="1"/>
    <s v="Freshwater"/>
    <x v="0"/>
    <x v="0"/>
    <s v="852"/>
    <s v="Snoqualmie River"/>
    <s v="Snoqualmie River"/>
    <s v="Snohomish/King"/>
    <x v="0"/>
    <s v="Other"/>
    <s v="20Other"/>
    <s v="07Non Puget Sound"/>
    <n v="2.5390625"/>
    <n v="2.5390625"/>
    <n v="21.683593749999996"/>
  </r>
  <r>
    <n v="634"/>
    <x v="2"/>
    <x v="9"/>
    <x v="1"/>
    <s v="Freshwater"/>
    <x v="0"/>
    <x v="0"/>
    <s v="852"/>
    <s v="Snoqualmie River"/>
    <s v="Snoqualmie River"/>
    <s v="Snohomish/King"/>
    <x v="0"/>
    <s v="Pierce"/>
    <s v="07Pierce"/>
    <s v="02South Puget Sound"/>
    <n v="2.5390625"/>
    <n v="2.5390625"/>
    <n v="21.683593749999996"/>
  </r>
  <r>
    <n v="635"/>
    <x v="2"/>
    <x v="9"/>
    <x v="1"/>
    <s v="Freshwater"/>
    <x v="0"/>
    <x v="0"/>
    <s v="852"/>
    <s v="Snoqualmie River"/>
    <s v="Snoqualmie River"/>
    <s v="Snohomish/King"/>
    <x v="0"/>
    <s v="Snohomish"/>
    <s v="03Snohomish"/>
    <s v="01North Puget Sound"/>
    <n v="2.5390625"/>
    <n v="2.5390625"/>
    <n v="21.683593749999996"/>
  </r>
  <r>
    <n v="636"/>
    <x v="2"/>
    <x v="9"/>
    <x v="1"/>
    <s v="Freshwater"/>
    <x v="0"/>
    <x v="0"/>
    <s v="852"/>
    <s v="Snoqualmie River"/>
    <s v="Snoqualmie River"/>
    <s v="Snohomish/King"/>
    <x v="0"/>
    <s v="Whatcom"/>
    <s v="01Whatcom"/>
    <s v="01North Puget Sound"/>
    <n v="2.5390625"/>
    <n v="2.5390625"/>
    <n v="21.683593749999996"/>
  </r>
  <r>
    <n v="698"/>
    <x v="2"/>
    <x v="9"/>
    <x v="1"/>
    <s v="Freshwater"/>
    <x v="0"/>
    <x v="0"/>
    <s v="872"/>
    <s v="Stillaguamish R, No. Fork"/>
    <s v="Stillaguamish R, No. Fork"/>
    <s v="Snohomish"/>
    <x v="0"/>
    <s v="King"/>
    <s v="06King"/>
    <s v="02South Puget Sound"/>
    <n v="5"/>
    <n v="5"/>
    <n v="42.699999999999996"/>
  </r>
  <r>
    <n v="699"/>
    <x v="2"/>
    <x v="9"/>
    <x v="1"/>
    <s v="Freshwater"/>
    <x v="0"/>
    <x v="0"/>
    <s v="872"/>
    <s v="Stillaguamish R, No. Fork"/>
    <s v="Stillaguamish R, No. Fork"/>
    <s v="Snohomish"/>
    <x v="0"/>
    <s v="San Juan"/>
    <s v="05San Juan"/>
    <s v="01North Puget Sound"/>
    <n v="2.5"/>
    <n v="2.5"/>
    <n v="21.349999999999998"/>
  </r>
  <r>
    <n v="700"/>
    <x v="2"/>
    <x v="9"/>
    <x v="1"/>
    <s v="Freshwater"/>
    <x v="0"/>
    <x v="0"/>
    <s v="872"/>
    <s v="Stillaguamish R, No. Fork"/>
    <s v="Stillaguamish R, No. Fork"/>
    <s v="Snohomish"/>
    <x v="0"/>
    <s v="Snohomish"/>
    <s v="03Snohomish"/>
    <s v="01North Puget Sound"/>
    <n v="77.5"/>
    <n v="77.5"/>
    <n v="661.84999999999991"/>
  </r>
  <r>
    <n v="711"/>
    <x v="2"/>
    <x v="9"/>
    <x v="1"/>
    <s v="Freshwater"/>
    <x v="0"/>
    <x v="0"/>
    <s v="876"/>
    <s v="Stillaguamish River"/>
    <s v="Stillaguamish River"/>
    <s v="Snohomish"/>
    <x v="0"/>
    <s v="Snohomish"/>
    <s v="03Snohomish"/>
    <s v="01North Puget Sound"/>
    <n v="15"/>
    <n v="15"/>
    <n v="128.1"/>
  </r>
  <r>
    <n v="646"/>
    <x v="2"/>
    <x v="9"/>
    <x v="1"/>
    <s v="Freshwater"/>
    <x v="0"/>
    <x v="0"/>
    <s v="854"/>
    <s v="Sultan River"/>
    <s v="Sultan River"/>
    <s v="Snohomish"/>
    <x v="0"/>
    <s v="Snohomish"/>
    <s v="03Snohomish"/>
    <s v="01North Puget Sound"/>
    <n v="5"/>
    <n v="5"/>
    <n v="42.699999999999996"/>
  </r>
  <r>
    <n v="649"/>
    <x v="2"/>
    <x v="9"/>
    <x v="1"/>
    <s v="Freshwater"/>
    <x v="0"/>
    <x v="0"/>
    <s v="856"/>
    <s v="Tokul Creek"/>
    <s v="Tokul Creek"/>
    <s v="King"/>
    <x v="0"/>
    <s v="King"/>
    <s v="06King"/>
    <s v="02South Puget Sound"/>
    <n v="309.42028985507301"/>
    <n v="309.42028985507301"/>
    <n v="2642.4492753623231"/>
  </r>
  <r>
    <n v="650"/>
    <x v="2"/>
    <x v="9"/>
    <x v="1"/>
    <s v="Freshwater"/>
    <x v="0"/>
    <x v="0"/>
    <s v="856"/>
    <s v="Tokul Creek"/>
    <s v="Tokul Creek"/>
    <s v="King"/>
    <x v="0"/>
    <s v="Kitsap"/>
    <s v="10Kitsap"/>
    <s v="02South Puget Sound"/>
    <n v="2.5362318840579698"/>
    <n v="2.5362318840579698"/>
    <n v="21.65942028985506"/>
  </r>
  <r>
    <n v="651"/>
    <x v="2"/>
    <x v="9"/>
    <x v="1"/>
    <s v="Freshwater"/>
    <x v="0"/>
    <x v="0"/>
    <s v="856"/>
    <s v="Tokul Creek"/>
    <s v="Tokul Creek"/>
    <s v="King"/>
    <x v="0"/>
    <s v="Other"/>
    <s v="20Other"/>
    <s v="07Non Puget Sound"/>
    <n v="10.144927536231901"/>
    <n v="10.144927536231901"/>
    <n v="86.637681159420424"/>
  </r>
  <r>
    <n v="652"/>
    <x v="2"/>
    <x v="9"/>
    <x v="1"/>
    <s v="Freshwater"/>
    <x v="0"/>
    <x v="0"/>
    <s v="856"/>
    <s v="Tokul Creek"/>
    <s v="Tokul Creek"/>
    <s v="King"/>
    <x v="0"/>
    <s v="Pierce"/>
    <s v="07Pierce"/>
    <s v="02South Puget Sound"/>
    <n v="17.7536231884058"/>
    <n v="17.7536231884058"/>
    <n v="151.61594202898553"/>
  </r>
  <r>
    <n v="653"/>
    <x v="2"/>
    <x v="9"/>
    <x v="1"/>
    <s v="Freshwater"/>
    <x v="0"/>
    <x v="0"/>
    <s v="856"/>
    <s v="Tokul Creek"/>
    <s v="Tokul Creek"/>
    <s v="King"/>
    <x v="0"/>
    <s v="Snohomish"/>
    <s v="03Snohomish"/>
    <s v="01North Puget Sound"/>
    <n v="10.144927536231901"/>
    <n v="10.144927536231901"/>
    <n v="86.637681159420424"/>
  </r>
  <r>
    <n v="672"/>
    <x v="2"/>
    <x v="9"/>
    <x v="1"/>
    <s v="Freshwater"/>
    <x v="0"/>
    <x v="0"/>
    <s v="860"/>
    <s v="Wallace River"/>
    <s v="Wallace River"/>
    <s v="Snohomish"/>
    <x v="0"/>
    <s v="King"/>
    <s v="06King"/>
    <s v="02South Puget Sound"/>
    <n v="7.5789473684210504"/>
    <n v="7.5789473684210504"/>
    <n v="64.724210526315758"/>
  </r>
  <r>
    <n v="673"/>
    <x v="2"/>
    <x v="9"/>
    <x v="1"/>
    <s v="Freshwater"/>
    <x v="0"/>
    <x v="0"/>
    <s v="860"/>
    <s v="Wallace River"/>
    <s v="Wallace River"/>
    <s v="Snohomish"/>
    <x v="0"/>
    <s v="Other"/>
    <s v="20Other"/>
    <s v="07Non Puget Sound"/>
    <n v="5.0526315789473699"/>
    <n v="5.0526315789473699"/>
    <n v="43.149473684210534"/>
  </r>
  <r>
    <n v="674"/>
    <x v="2"/>
    <x v="9"/>
    <x v="1"/>
    <s v="Freshwater"/>
    <x v="0"/>
    <x v="0"/>
    <s v="860"/>
    <s v="Wallace River"/>
    <s v="Wallace River"/>
    <s v="Snohomish"/>
    <x v="0"/>
    <s v="Pierce"/>
    <s v="07Pierce"/>
    <s v="02South Puget Sound"/>
    <n v="2.5263157894736801"/>
    <n v="2.5263157894736801"/>
    <n v="21.574736842105224"/>
  </r>
  <r>
    <n v="675"/>
    <x v="2"/>
    <x v="9"/>
    <x v="1"/>
    <s v="Freshwater"/>
    <x v="0"/>
    <x v="0"/>
    <s v="860"/>
    <s v="Wallace River"/>
    <s v="Wallace River"/>
    <s v="Snohomish"/>
    <x v="0"/>
    <s v="Skagit"/>
    <s v="02Skagit"/>
    <s v="01North Puget Sound"/>
    <n v="2.5263157894736801"/>
    <n v="2.5263157894736801"/>
    <n v="21.574736842105224"/>
  </r>
  <r>
    <n v="676"/>
    <x v="2"/>
    <x v="9"/>
    <x v="1"/>
    <s v="Freshwater"/>
    <x v="0"/>
    <x v="0"/>
    <s v="860"/>
    <s v="Wallace River"/>
    <s v="Wallace River"/>
    <s v="Snohomish"/>
    <x v="0"/>
    <s v="Snohomish"/>
    <s v="03Snohomish"/>
    <s v="01North Puget Sound"/>
    <n v="78.315789473684205"/>
    <n v="78.315789473684205"/>
    <n v="668.81684210526305"/>
  </r>
  <r>
    <n v="735"/>
    <x v="2"/>
    <x v="10"/>
    <x v="1"/>
    <s v="Freshwater"/>
    <x v="0"/>
    <x v="0"/>
    <s v="9"/>
    <s v="Area 9: Admiralty Inlet"/>
    <s v="Area 9: Admiralty Inlet"/>
    <s v="NA"/>
    <x v="0"/>
    <s v="Other"/>
    <s v="20Other"/>
    <s v="07Non Puget Sound"/>
    <n v="4"/>
    <n v="4"/>
    <n v="34.159999999999997"/>
  </r>
  <r>
    <n v="495"/>
    <x v="2"/>
    <x v="10"/>
    <x v="1"/>
    <s v="Freshwater"/>
    <x v="0"/>
    <x v="0"/>
    <s v="826"/>
    <s v="Cascade River"/>
    <s v="Cascade River"/>
    <s v="Skagit"/>
    <x v="1"/>
    <s v="Island"/>
    <s v="04Island"/>
    <s v="01North Puget Sound"/>
    <n v="2.96"/>
    <n v="2.96"/>
    <n v="25.278399999999998"/>
  </r>
  <r>
    <n v="496"/>
    <x v="2"/>
    <x v="10"/>
    <x v="1"/>
    <s v="Freshwater"/>
    <x v="0"/>
    <x v="0"/>
    <s v="826"/>
    <s v="Cascade River"/>
    <s v="Cascade River"/>
    <s v="Skagit"/>
    <x v="1"/>
    <s v="Other"/>
    <s v="20Other"/>
    <s v="07Non Puget Sound"/>
    <n v="2.96"/>
    <n v="2.96"/>
    <n v="25.278399999999998"/>
  </r>
  <r>
    <n v="497"/>
    <x v="2"/>
    <x v="10"/>
    <x v="1"/>
    <s v="Freshwater"/>
    <x v="0"/>
    <x v="0"/>
    <s v="826"/>
    <s v="Cascade River"/>
    <s v="Cascade River"/>
    <s v="Skagit"/>
    <x v="1"/>
    <s v="Skagit"/>
    <s v="02Skagit"/>
    <s v="01North Puget Sound"/>
    <n v="59.2"/>
    <n v="59.2"/>
    <n v="505.56799999999998"/>
  </r>
  <r>
    <n v="498"/>
    <x v="2"/>
    <x v="10"/>
    <x v="1"/>
    <s v="Freshwater"/>
    <x v="0"/>
    <x v="0"/>
    <s v="826"/>
    <s v="Cascade River"/>
    <s v="Cascade River"/>
    <s v="Skagit"/>
    <x v="1"/>
    <s v="Whatcom"/>
    <s v="01Whatcom"/>
    <s v="01North Puget Sound"/>
    <n v="8.8800000000000008"/>
    <n v="8.8800000000000008"/>
    <n v="75.8352"/>
  </r>
  <r>
    <n v="392"/>
    <x v="2"/>
    <x v="10"/>
    <x v="1"/>
    <s v="Freshwater"/>
    <x v="0"/>
    <x v="0"/>
    <s v="752"/>
    <s v="Hoko River"/>
    <s v="Hoko River"/>
    <s v="Clallam"/>
    <x v="3"/>
    <s v="Clallam"/>
    <s v="11Clallam"/>
    <s v="03Strait of Juan de Fuca"/>
    <n v="2.25"/>
    <n v="2.25"/>
    <n v="19.214999999999996"/>
  </r>
  <r>
    <n v="393"/>
    <x v="2"/>
    <x v="10"/>
    <x v="1"/>
    <s v="Freshwater"/>
    <x v="0"/>
    <x v="0"/>
    <s v="752"/>
    <s v="Hoko River"/>
    <s v="Hoko River"/>
    <s v="Clallam"/>
    <x v="3"/>
    <s v="King"/>
    <s v="06King"/>
    <s v="02South Puget Sound"/>
    <n v="2.25"/>
    <n v="2.25"/>
    <n v="19.214999999999996"/>
  </r>
  <r>
    <n v="394"/>
    <x v="2"/>
    <x v="10"/>
    <x v="1"/>
    <s v="Freshwater"/>
    <x v="0"/>
    <x v="0"/>
    <s v="752"/>
    <s v="Hoko River"/>
    <s v="Hoko River"/>
    <s v="Clallam"/>
    <x v="3"/>
    <s v="Thurston"/>
    <s v="08Thurston"/>
    <s v="02South Puget Sound"/>
    <n v="4.5"/>
    <n v="4.5"/>
    <n v="38.429999999999993"/>
  </r>
  <r>
    <n v="438"/>
    <x v="2"/>
    <x v="10"/>
    <x v="1"/>
    <s v="Freshwater"/>
    <x v="0"/>
    <x v="0"/>
    <s v="794"/>
    <s v="Nooksack River, below North Fork"/>
    <s v="Nooksack River, below North Fork"/>
    <s v="Whatcom"/>
    <x v="1"/>
    <s v="Whatcom"/>
    <s v="01Whatcom"/>
    <s v="01North Puget Sound"/>
    <n v="5"/>
    <n v="5"/>
    <n v="42.699999999999996"/>
  </r>
  <r>
    <n v="433"/>
    <x v="2"/>
    <x v="10"/>
    <x v="1"/>
    <s v="Freshwater"/>
    <x v="0"/>
    <x v="0"/>
    <s v="790"/>
    <s v="Nooksack River, No. Fork"/>
    <s v="Nooksack River, No. Fork"/>
    <s v="Whatcom"/>
    <x v="1"/>
    <s v="Other"/>
    <s v="20Other"/>
    <s v="07Non Puget Sound"/>
    <n v="2.3333333333333299"/>
    <n v="2.3333333333333299"/>
    <n v="19.926666666666634"/>
  </r>
  <r>
    <n v="434"/>
    <x v="2"/>
    <x v="10"/>
    <x v="1"/>
    <s v="Freshwater"/>
    <x v="0"/>
    <x v="0"/>
    <s v="790"/>
    <s v="Nooksack River, No. Fork"/>
    <s v="Nooksack River, No. Fork"/>
    <s v="Whatcom"/>
    <x v="1"/>
    <s v="Whatcom"/>
    <s v="01Whatcom"/>
    <s v="01North Puget Sound"/>
    <n v="4.6666666666666696"/>
    <n v="4.6666666666666696"/>
    <n v="39.853333333333353"/>
  </r>
  <r>
    <n v="580"/>
    <x v="2"/>
    <x v="10"/>
    <x v="1"/>
    <s v="Freshwater"/>
    <x v="0"/>
    <x v="0"/>
    <s v="844"/>
    <s v="Skykomish River"/>
    <s v="Skykomish River"/>
    <s v="Snohomish"/>
    <x v="0"/>
    <s v="King"/>
    <s v="06King"/>
    <s v="02South Puget Sound"/>
    <n v="109.118279569892"/>
    <n v="109.118279569892"/>
    <n v="931.87010752687752"/>
  </r>
  <r>
    <n v="581"/>
    <x v="2"/>
    <x v="10"/>
    <x v="1"/>
    <s v="Freshwater"/>
    <x v="0"/>
    <x v="0"/>
    <s v="844"/>
    <s v="Skykomish River"/>
    <s v="Skykomish River"/>
    <s v="Snohomish"/>
    <x v="0"/>
    <s v="Kitsap"/>
    <s v="10Kitsap"/>
    <s v="02South Puget Sound"/>
    <n v="2.5376344086021501"/>
    <n v="2.5376344086021501"/>
    <n v="21.671397849462359"/>
  </r>
  <r>
    <n v="582"/>
    <x v="2"/>
    <x v="10"/>
    <x v="1"/>
    <s v="Freshwater"/>
    <x v="0"/>
    <x v="0"/>
    <s v="844"/>
    <s v="Skykomish River"/>
    <s v="Skykomish River"/>
    <s v="Snohomish"/>
    <x v="0"/>
    <s v="Snohomish"/>
    <s v="03Snohomish"/>
    <s v="01North Puget Sound"/>
    <n v="121.806451612903"/>
    <n v="121.806451612903"/>
    <n v="1040.2270967741915"/>
  </r>
  <r>
    <n v="583"/>
    <x v="2"/>
    <x v="10"/>
    <x v="1"/>
    <s v="Freshwater"/>
    <x v="0"/>
    <x v="0"/>
    <s v="844"/>
    <s v="Skykomish River"/>
    <s v="Skykomish River"/>
    <s v="Snohomish"/>
    <x v="0"/>
    <s v="Whatcom"/>
    <s v="01Whatcom"/>
    <s v="01North Puget Sound"/>
    <n v="2.5376344086021501"/>
    <n v="2.5376344086021501"/>
    <n v="21.671397849462359"/>
  </r>
  <r>
    <n v="637"/>
    <x v="2"/>
    <x v="10"/>
    <x v="1"/>
    <s v="Freshwater"/>
    <x v="0"/>
    <x v="0"/>
    <s v="852"/>
    <s v="Snoqualmie River"/>
    <s v="Snoqualmie River"/>
    <s v="Snohomish/King"/>
    <x v="0"/>
    <s v="King"/>
    <s v="06King"/>
    <s v="02South Puget Sound"/>
    <n v="38.4375"/>
    <n v="38.4375"/>
    <n v="328.25624999999997"/>
  </r>
  <r>
    <n v="638"/>
    <x v="2"/>
    <x v="10"/>
    <x v="1"/>
    <s v="Freshwater"/>
    <x v="0"/>
    <x v="0"/>
    <s v="852"/>
    <s v="Snoqualmie River"/>
    <s v="Snoqualmie River"/>
    <s v="Snohomish/King"/>
    <x v="0"/>
    <s v="Other"/>
    <s v="20Other"/>
    <s v="07Non Puget Sound"/>
    <n v="2.5625"/>
    <n v="2.5625"/>
    <n v="21.883749999999999"/>
  </r>
  <r>
    <n v="701"/>
    <x v="2"/>
    <x v="10"/>
    <x v="1"/>
    <s v="Freshwater"/>
    <x v="0"/>
    <x v="0"/>
    <s v="872"/>
    <s v="Stillaguamish R, No. Fork"/>
    <s v="Stillaguamish R, No. Fork"/>
    <s v="Snohomish"/>
    <x v="0"/>
    <s v="Snohomish"/>
    <s v="03Snohomish"/>
    <s v="01North Puget Sound"/>
    <n v="17"/>
    <n v="17"/>
    <n v="145.17999999999998"/>
  </r>
  <r>
    <n v="654"/>
    <x v="2"/>
    <x v="10"/>
    <x v="1"/>
    <s v="Freshwater"/>
    <x v="0"/>
    <x v="0"/>
    <s v="856"/>
    <s v="Tokul Creek"/>
    <s v="Tokul Creek"/>
    <s v="King"/>
    <x v="0"/>
    <s v="King"/>
    <s v="06King"/>
    <s v="02South Puget Sound"/>
    <n v="98.428571428571502"/>
    <n v="98.428571428571502"/>
    <n v="840.5800000000005"/>
  </r>
  <r>
    <n v="655"/>
    <x v="2"/>
    <x v="10"/>
    <x v="1"/>
    <s v="Freshwater"/>
    <x v="0"/>
    <x v="0"/>
    <s v="856"/>
    <s v="Tokul Creek"/>
    <s v="Tokul Creek"/>
    <s v="King"/>
    <x v="0"/>
    <s v="Kitsap"/>
    <s v="10Kitsap"/>
    <s v="02South Puget Sound"/>
    <n v="2.5238095238095202"/>
    <n v="2.5238095238095202"/>
    <n v="21.553333333333299"/>
  </r>
  <r>
    <n v="656"/>
    <x v="2"/>
    <x v="10"/>
    <x v="1"/>
    <s v="Freshwater"/>
    <x v="0"/>
    <x v="0"/>
    <s v="856"/>
    <s v="Tokul Creek"/>
    <s v="Tokul Creek"/>
    <s v="King"/>
    <x v="0"/>
    <s v="Snohomish"/>
    <s v="03Snohomish"/>
    <s v="01North Puget Sound"/>
    <n v="5.0476190476190501"/>
    <n v="5.0476190476190501"/>
    <n v="43.106666666666683"/>
  </r>
  <r>
    <n v="677"/>
    <x v="2"/>
    <x v="10"/>
    <x v="1"/>
    <s v="Freshwater"/>
    <x v="0"/>
    <x v="0"/>
    <s v="860"/>
    <s v="Wallace River"/>
    <s v="Wallace River"/>
    <s v="Snohomish"/>
    <x v="0"/>
    <s v="Snohomish"/>
    <s v="03Snohomish"/>
    <s v="01North Puget Sound"/>
    <n v="18"/>
    <n v="18"/>
    <n v="153.71999999999997"/>
  </r>
  <r>
    <n v="714"/>
    <x v="2"/>
    <x v="10"/>
    <x v="1"/>
    <s v="Freshwater"/>
    <x v="0"/>
    <x v="0"/>
    <s v="884"/>
    <s v="Whatcom Creek"/>
    <s v="Whatcom Creek"/>
    <s v="Whatcom"/>
    <x v="1"/>
    <s v="Whatcom"/>
    <s v="01Whatcom"/>
    <s v="01North Puget Sound"/>
    <n v="2"/>
    <n v="2"/>
    <n v="17.079999999999998"/>
  </r>
  <r>
    <n v="457"/>
    <x v="2"/>
    <x v="11"/>
    <x v="1"/>
    <s v="Freshwater"/>
    <x v="0"/>
    <x v="0"/>
    <s v="81"/>
    <s v="Area 8-1: Skagit Bay-Saratoga Psg."/>
    <s v="Area 8-1: Skagit Bay-Saratoga Psg."/>
    <s v="NA"/>
    <x v="0"/>
    <s v="Pierce"/>
    <s v="07Pierce"/>
    <s v="02South Puget Sound"/>
    <n v="9"/>
    <n v="9"/>
    <n v="76.859999999999985"/>
  </r>
  <r>
    <n v="468"/>
    <x v="2"/>
    <x v="11"/>
    <x v="1"/>
    <s v="Freshwater"/>
    <x v="0"/>
    <x v="0"/>
    <s v="82"/>
    <s v="Area 8-2: Port Susan-Port Gardner"/>
    <s v="Area 8-2: Port Susan-Port Gardner"/>
    <s v="NA"/>
    <x v="0"/>
    <s v="Snohomish"/>
    <s v="03Snohomish"/>
    <s v="01North Puget Sound"/>
    <n v="4"/>
    <n v="4"/>
    <n v="34.159999999999997"/>
  </r>
  <r>
    <n v="736"/>
    <x v="2"/>
    <x v="11"/>
    <x v="1"/>
    <s v="Freshwater"/>
    <x v="0"/>
    <x v="0"/>
    <s v="9"/>
    <s v="Area 9: Admiralty Inlet"/>
    <s v="Area 9: Admiralty Inlet"/>
    <s v="NA"/>
    <x v="0"/>
    <s v="Island"/>
    <s v="04Island"/>
    <s v="01North Puget Sound"/>
    <n v="4"/>
    <n v="4"/>
    <n v="34.159999999999997"/>
  </r>
  <r>
    <n v="618"/>
    <x v="2"/>
    <x v="11"/>
    <x v="1"/>
    <s v="Freshwater"/>
    <x v="0"/>
    <x v="0"/>
    <s v="850"/>
    <s v="Snohomish River"/>
    <s v="Snohomish River"/>
    <s v="Snohomish"/>
    <x v="0"/>
    <s v="Snohomish"/>
    <s v="03Snohomish"/>
    <s v="01North Puget Sound"/>
    <n v="0"/>
    <n v="0"/>
    <n v="0"/>
  </r>
  <r>
    <n v="712"/>
    <x v="2"/>
    <x v="11"/>
    <x v="1"/>
    <s v="Freshwater"/>
    <x v="0"/>
    <x v="0"/>
    <s v="876"/>
    <s v="Stillaguamish River"/>
    <s v="Stillaguamish River"/>
    <s v="Snohomish"/>
    <x v="0"/>
    <s v="Snohomish"/>
    <s v="03Snohomish"/>
    <s v="01North Puget Sound"/>
    <n v="2"/>
    <n v="2"/>
    <n v="17.079999999999998"/>
  </r>
  <r>
    <n v="1031"/>
    <x v="2"/>
    <x v="0"/>
    <x v="2"/>
    <s v="Freshwater"/>
    <x v="0"/>
    <x v="0"/>
    <s v="9"/>
    <s v="Area 9: Admiralty Inlet"/>
    <s v="Area 9: Admiralty Inlet"/>
    <s v="NA"/>
    <x v="0"/>
    <s v="Island"/>
    <s v="04Island"/>
    <s v="01North Puget Sound"/>
    <n v="12.75"/>
    <n v="12.75"/>
    <n v="108.88499999999999"/>
  </r>
  <r>
    <n v="1032"/>
    <x v="2"/>
    <x v="0"/>
    <x v="2"/>
    <s v="Freshwater"/>
    <x v="0"/>
    <x v="0"/>
    <s v="9"/>
    <s v="Area 9: Admiralty Inlet"/>
    <s v="Area 9: Admiralty Inlet"/>
    <s v="NA"/>
    <x v="0"/>
    <s v="Thurston"/>
    <s v="08Thurston"/>
    <s v="02South Puget Sound"/>
    <n v="4.25"/>
    <n v="4.25"/>
    <n v="36.294999999999995"/>
  </r>
  <r>
    <n v="1033"/>
    <x v="2"/>
    <x v="1"/>
    <x v="2"/>
    <s v="Freshwater"/>
    <x v="0"/>
    <x v="0"/>
    <s v="9"/>
    <s v="Area 9: Admiralty Inlet"/>
    <s v="Area 9: Admiralty Inlet"/>
    <s v="NA"/>
    <x v="0"/>
    <s v="Island"/>
    <s v="04Island"/>
    <s v="01North Puget Sound"/>
    <n v="10"/>
    <n v="10"/>
    <n v="85.399999999999991"/>
  </r>
  <r>
    <n v="786"/>
    <x v="2"/>
    <x v="1"/>
    <x v="2"/>
    <s v="Freshwater"/>
    <x v="0"/>
    <x v="0"/>
    <s v="774"/>
    <s v="McLane Creek (Thurston Co.)"/>
    <s v="McLane Creek"/>
    <s v="Thurston"/>
    <x v="2"/>
    <s v="Other"/>
    <s v="20Other"/>
    <s v="07Non Puget Sound"/>
    <n v="0"/>
    <n v="0"/>
    <n v="0"/>
  </r>
  <r>
    <n v="797"/>
    <x v="2"/>
    <x v="2"/>
    <x v="2"/>
    <s v="Freshwater"/>
    <x v="0"/>
    <x v="0"/>
    <s v="81"/>
    <s v="Area 8-1: Skagit Bay-Saratoga Psg."/>
    <s v="Area 8-1: Skagit Bay-Saratoga Psg."/>
    <s v="NA"/>
    <x v="0"/>
    <s v="King"/>
    <s v="06King"/>
    <s v="02South Puget Sound"/>
    <n v="3"/>
    <n v="3"/>
    <n v="25.619999999999997"/>
  </r>
  <r>
    <n v="1034"/>
    <x v="2"/>
    <x v="2"/>
    <x v="2"/>
    <s v="Freshwater"/>
    <x v="0"/>
    <x v="0"/>
    <s v="9"/>
    <s v="Area 9: Admiralty Inlet"/>
    <s v="Area 9: Admiralty Inlet"/>
    <s v="NA"/>
    <x v="0"/>
    <s v="Island"/>
    <s v="04Island"/>
    <s v="01North Puget Sound"/>
    <n v="2.6666666666666701"/>
    <n v="2.6666666666666701"/>
    <n v="22.773333333333362"/>
  </r>
  <r>
    <n v="1035"/>
    <x v="2"/>
    <x v="2"/>
    <x v="2"/>
    <s v="Freshwater"/>
    <x v="0"/>
    <x v="0"/>
    <s v="9"/>
    <s v="Area 9: Admiralty Inlet"/>
    <s v="Area 9: Admiralty Inlet"/>
    <s v="NA"/>
    <x v="0"/>
    <s v="King"/>
    <s v="06King"/>
    <s v="02South Puget Sound"/>
    <n v="2.6666666666666701"/>
    <n v="2.6666666666666701"/>
    <n v="22.773333333333362"/>
  </r>
  <r>
    <n v="1036"/>
    <x v="2"/>
    <x v="2"/>
    <x v="2"/>
    <s v="Freshwater"/>
    <x v="0"/>
    <x v="0"/>
    <s v="9"/>
    <s v="Area 9: Admiralty Inlet"/>
    <s v="Area 9: Admiralty Inlet"/>
    <s v="NA"/>
    <x v="0"/>
    <s v="Other"/>
    <s v="20Other"/>
    <s v="07Non Puget Sound"/>
    <n v="2.6666666666666701"/>
    <n v="2.6666666666666701"/>
    <n v="22.773333333333362"/>
  </r>
  <r>
    <n v="988"/>
    <x v="2"/>
    <x v="2"/>
    <x v="2"/>
    <s v="Freshwater"/>
    <x v="0"/>
    <x v="0"/>
    <s v="866"/>
    <s v="Canyon Creek"/>
    <s v="Canyon Creek"/>
    <s v="Snohomish"/>
    <x v="0"/>
    <s v="Snohomish"/>
    <s v="03Snohomish"/>
    <s v="01North Puget Sound"/>
    <n v="4"/>
    <n v="4"/>
    <n v="34.159999999999997"/>
  </r>
  <r>
    <n v="806"/>
    <x v="2"/>
    <x v="2"/>
    <x v="2"/>
    <s v="Freshwater"/>
    <x v="0"/>
    <x v="0"/>
    <s v="826"/>
    <s v="Cascade River"/>
    <s v="Cascade River"/>
    <s v="Skagit"/>
    <x v="1"/>
    <s v="Snohomish"/>
    <s v="03Snohomish"/>
    <s v="01North Puget Sound"/>
    <n v="1"/>
    <n v="1"/>
    <n v="8.5399999999999991"/>
  </r>
  <r>
    <n v="747"/>
    <x v="2"/>
    <x v="2"/>
    <x v="2"/>
    <s v="Freshwater"/>
    <x v="0"/>
    <x v="0"/>
    <s v="746"/>
    <s v="Green (Duwamish River) (King Co.)"/>
    <s v="Green - Duwamish River"/>
    <s v="King"/>
    <x v="2"/>
    <s v="King"/>
    <s v="06King"/>
    <s v="02South Puget Sound"/>
    <n v="131.3125"/>
    <n v="131.3125"/>
    <n v="1121.4087499999998"/>
  </r>
  <r>
    <n v="748"/>
    <x v="2"/>
    <x v="2"/>
    <x v="2"/>
    <s v="Freshwater"/>
    <x v="0"/>
    <x v="0"/>
    <s v="746"/>
    <s v="Green (Duwamish River) (King Co.)"/>
    <s v="Green - Duwamish River"/>
    <s v="King"/>
    <x v="2"/>
    <s v="Pierce"/>
    <s v="07Pierce"/>
    <s v="02South Puget Sound"/>
    <n v="59.6875"/>
    <n v="59.6875"/>
    <n v="509.73124999999993"/>
  </r>
  <r>
    <n v="801"/>
    <x v="2"/>
    <x v="2"/>
    <x v="2"/>
    <s v="Freshwater"/>
    <x v="0"/>
    <x v="0"/>
    <s v="814"/>
    <s v="Salt Creek (Clallam Co.)"/>
    <s v="Salt Creek (Clallam Co.)"/>
    <s v="Clallam"/>
    <x v="3"/>
    <s v="Snohomish"/>
    <s v="03Snohomish"/>
    <s v="01North Puget Sound"/>
    <n v="0"/>
    <n v="0"/>
    <n v="0"/>
  </r>
  <r>
    <n v="833"/>
    <x v="2"/>
    <x v="2"/>
    <x v="2"/>
    <s v="Freshwater"/>
    <x v="0"/>
    <x v="0"/>
    <s v="830"/>
    <s v="Skagit River"/>
    <s v="Skagit River"/>
    <s v="Skagit/Whatcom"/>
    <x v="0"/>
    <s v="Island"/>
    <s v="04Island"/>
    <s v="01North Puget Sound"/>
    <n v="1.1818181818181801"/>
    <n v="1.1818181818181801"/>
    <n v="10.092727272727258"/>
  </r>
  <r>
    <n v="834"/>
    <x v="2"/>
    <x v="2"/>
    <x v="2"/>
    <s v="Freshwater"/>
    <x v="0"/>
    <x v="0"/>
    <s v="830"/>
    <s v="Skagit River"/>
    <s v="Skagit River"/>
    <s v="Skagit/Whatcom"/>
    <x v="0"/>
    <s v="Other"/>
    <s v="20Other"/>
    <s v="07Non Puget Sound"/>
    <n v="1.1818181818181801"/>
    <n v="1.1818181818181801"/>
    <n v="10.092727272727258"/>
  </r>
  <r>
    <n v="835"/>
    <x v="2"/>
    <x v="2"/>
    <x v="2"/>
    <s v="Freshwater"/>
    <x v="0"/>
    <x v="0"/>
    <s v="830"/>
    <s v="Skagit River"/>
    <s v="Skagit River"/>
    <s v="Skagit/Whatcom"/>
    <x v="0"/>
    <s v="Skagit"/>
    <s v="02Skagit"/>
    <s v="01North Puget Sound"/>
    <n v="9.4545454545454604"/>
    <n v="9.4545454545454604"/>
    <n v="80.741818181818218"/>
  </r>
  <r>
    <n v="836"/>
    <x v="2"/>
    <x v="2"/>
    <x v="2"/>
    <s v="Freshwater"/>
    <x v="0"/>
    <x v="0"/>
    <s v="830"/>
    <s v="Skagit River"/>
    <s v="Skagit River"/>
    <s v="Skagit/Whatcom"/>
    <x v="0"/>
    <s v="Snohomish"/>
    <s v="03Snohomish"/>
    <s v="01North Puget Sound"/>
    <n v="1.1818181818181801"/>
    <n v="1.1818181818181801"/>
    <n v="10.092727272727258"/>
  </r>
  <r>
    <n v="858"/>
    <x v="2"/>
    <x v="2"/>
    <x v="2"/>
    <s v="Freshwater"/>
    <x v="0"/>
    <x v="0"/>
    <s v="844"/>
    <s v="Skykomish River"/>
    <s v="Skykomish River"/>
    <s v="Snohomish"/>
    <x v="0"/>
    <s v="Island"/>
    <s v="04Island"/>
    <s v="01North Puget Sound"/>
    <n v="17.373549883990702"/>
    <n v="17.373549883990702"/>
    <n v="148.37011600928057"/>
  </r>
  <r>
    <n v="859"/>
    <x v="2"/>
    <x v="2"/>
    <x v="2"/>
    <s v="Freshwater"/>
    <x v="0"/>
    <x v="0"/>
    <s v="844"/>
    <s v="Skykomish River"/>
    <s v="Skykomish River"/>
    <s v="Snohomish"/>
    <x v="0"/>
    <s v="King"/>
    <s v="06King"/>
    <s v="02South Puget Sound"/>
    <n v="463.29466357308598"/>
    <n v="463.29466357308598"/>
    <n v="3956.5364269141537"/>
  </r>
  <r>
    <n v="860"/>
    <x v="2"/>
    <x v="2"/>
    <x v="2"/>
    <s v="Freshwater"/>
    <x v="0"/>
    <x v="0"/>
    <s v="844"/>
    <s v="Skykomish River"/>
    <s v="Skykomish River"/>
    <s v="Snohomish"/>
    <x v="0"/>
    <s v="Other"/>
    <s v="20Other"/>
    <s v="07Non Puget Sound"/>
    <n v="49.225058004640402"/>
    <n v="49.225058004640402"/>
    <n v="420.381995359629"/>
  </r>
  <r>
    <n v="861"/>
    <x v="2"/>
    <x v="2"/>
    <x v="2"/>
    <s v="Freshwater"/>
    <x v="0"/>
    <x v="0"/>
    <s v="844"/>
    <s v="Skykomish River"/>
    <s v="Skykomish River"/>
    <s v="Snohomish"/>
    <x v="0"/>
    <s v="Pierce"/>
    <s v="07Pierce"/>
    <s v="02South Puget Sound"/>
    <n v="23.164733178654298"/>
    <n v="23.164733178654298"/>
    <n v="197.82682134570769"/>
  </r>
  <r>
    <n v="862"/>
    <x v="2"/>
    <x v="2"/>
    <x v="2"/>
    <s v="Freshwater"/>
    <x v="0"/>
    <x v="0"/>
    <s v="844"/>
    <s v="Skykomish River"/>
    <s v="Skykomish River"/>
    <s v="Snohomish"/>
    <x v="0"/>
    <s v="Skagit"/>
    <s v="02Skagit"/>
    <s v="01North Puget Sound"/>
    <n v="2.89559164733179"/>
    <n v="2.89559164733179"/>
    <n v="24.728352668213486"/>
  </r>
  <r>
    <n v="863"/>
    <x v="2"/>
    <x v="2"/>
    <x v="2"/>
    <s v="Freshwater"/>
    <x v="0"/>
    <x v="0"/>
    <s v="844"/>
    <s v="Skykomish River"/>
    <s v="Skykomish River"/>
    <s v="Snohomish"/>
    <x v="0"/>
    <s v="Snohomish"/>
    <s v="03Snohomish"/>
    <s v="01North Puget Sound"/>
    <n v="689.15081206496495"/>
    <n v="689.15081206496495"/>
    <n v="5885.3479350347998"/>
  </r>
  <r>
    <n v="864"/>
    <x v="2"/>
    <x v="2"/>
    <x v="2"/>
    <s v="Freshwater"/>
    <x v="0"/>
    <x v="0"/>
    <s v="844"/>
    <s v="Skykomish River"/>
    <s v="Skykomish River"/>
    <s v="Snohomish"/>
    <x v="0"/>
    <s v="Whatcom"/>
    <s v="01Whatcom"/>
    <s v="01North Puget Sound"/>
    <n v="2.89559164733179"/>
    <n v="2.89559164733179"/>
    <n v="24.728352668213486"/>
  </r>
  <r>
    <n v="903"/>
    <x v="2"/>
    <x v="2"/>
    <x v="2"/>
    <s v="Freshwater"/>
    <x v="0"/>
    <x v="0"/>
    <s v="846"/>
    <s v="Skykomish River, No. Fork"/>
    <s v="Skykomish River, No. Fork"/>
    <s v="Snohomish"/>
    <x v="0"/>
    <s v="Island"/>
    <s v="04Island"/>
    <s v="01North Puget Sound"/>
    <n v="9"/>
    <n v="9"/>
    <n v="76.859999999999985"/>
  </r>
  <r>
    <n v="915"/>
    <x v="2"/>
    <x v="2"/>
    <x v="2"/>
    <s v="Freshwater"/>
    <x v="0"/>
    <x v="0"/>
    <s v="848"/>
    <s v="Skykomish River, So. Fork"/>
    <s v="Skykomish River, So. Fork"/>
    <s v="Snohomish/King"/>
    <x v="0"/>
    <s v="Snohomish"/>
    <s v="03Snohomish"/>
    <s v="01North Puget Sound"/>
    <n v="9"/>
    <n v="9"/>
    <n v="76.859999999999985"/>
  </r>
  <r>
    <n v="922"/>
    <x v="2"/>
    <x v="2"/>
    <x v="2"/>
    <s v="Freshwater"/>
    <x v="0"/>
    <x v="0"/>
    <s v="850"/>
    <s v="Snohomish River"/>
    <s v="Snohomish River"/>
    <s v="Snohomish"/>
    <x v="0"/>
    <s v="King"/>
    <s v="06King"/>
    <s v="02South Puget Sound"/>
    <n v="20.4563106796117"/>
    <n v="20.4563106796117"/>
    <n v="174.69689320388392"/>
  </r>
  <r>
    <n v="923"/>
    <x v="2"/>
    <x v="2"/>
    <x v="2"/>
    <s v="Freshwater"/>
    <x v="0"/>
    <x v="0"/>
    <s v="850"/>
    <s v="Snohomish River"/>
    <s v="Snohomish River"/>
    <s v="Snohomish"/>
    <x v="0"/>
    <s v="Snohomish"/>
    <s v="03Snohomish"/>
    <s v="01North Puget Sound"/>
    <n v="277.621359223301"/>
    <n v="277.621359223301"/>
    <n v="2370.8864077669905"/>
  </r>
  <r>
    <n v="924"/>
    <x v="2"/>
    <x v="2"/>
    <x v="2"/>
    <s v="Freshwater"/>
    <x v="0"/>
    <x v="0"/>
    <s v="850"/>
    <s v="Snohomish River"/>
    <s v="Snohomish River"/>
    <s v="Snohomish"/>
    <x v="0"/>
    <s v="Thurston"/>
    <s v="08Thurston"/>
    <s v="02South Puget Sound"/>
    <n v="2.92233009708738"/>
    <n v="2.92233009708738"/>
    <n v="24.956699029126224"/>
  </r>
  <r>
    <n v="940"/>
    <x v="2"/>
    <x v="2"/>
    <x v="2"/>
    <s v="Freshwater"/>
    <x v="0"/>
    <x v="0"/>
    <s v="852"/>
    <s v="Snoqualmie River"/>
    <s v="Snoqualmie River"/>
    <s v="Snohomish/King"/>
    <x v="0"/>
    <s v="King"/>
    <s v="06King"/>
    <s v="02South Puget Sound"/>
    <n v="15"/>
    <n v="15"/>
    <n v="128.1"/>
  </r>
  <r>
    <n v="993"/>
    <x v="2"/>
    <x v="2"/>
    <x v="2"/>
    <s v="Freshwater"/>
    <x v="0"/>
    <x v="0"/>
    <s v="872"/>
    <s v="Stillaguamish R, No. Fork"/>
    <s v="Stillaguamish R, No. Fork"/>
    <s v="Snohomish"/>
    <x v="0"/>
    <s v="King"/>
    <s v="06King"/>
    <s v="02South Puget Sound"/>
    <n v="8.5"/>
    <n v="8.5"/>
    <n v="72.589999999999989"/>
  </r>
  <r>
    <n v="994"/>
    <x v="2"/>
    <x v="2"/>
    <x v="2"/>
    <s v="Freshwater"/>
    <x v="0"/>
    <x v="0"/>
    <s v="872"/>
    <s v="Stillaguamish R, No. Fork"/>
    <s v="Stillaguamish R, No. Fork"/>
    <s v="Snohomish"/>
    <x v="0"/>
    <s v="Snohomish"/>
    <s v="03Snohomish"/>
    <s v="01North Puget Sound"/>
    <n v="8.5"/>
    <n v="8.5"/>
    <n v="72.589999999999989"/>
  </r>
  <r>
    <n v="973"/>
    <x v="2"/>
    <x v="2"/>
    <x v="2"/>
    <s v="Freshwater"/>
    <x v="0"/>
    <x v="0"/>
    <s v="860"/>
    <s v="Wallace River"/>
    <s v="Wallace River"/>
    <s v="Snohomish"/>
    <x v="0"/>
    <s v="Snohomish"/>
    <s v="03Snohomish"/>
    <s v="01North Puget Sound"/>
    <n v="3"/>
    <n v="3"/>
    <n v="25.619999999999997"/>
  </r>
  <r>
    <n v="1037"/>
    <x v="2"/>
    <x v="3"/>
    <x v="2"/>
    <s v="Freshwater"/>
    <x v="0"/>
    <x v="0"/>
    <s v="9"/>
    <s v="Area 9: Admiralty Inlet"/>
    <s v="Area 9: Admiralty Inlet"/>
    <s v="NA"/>
    <x v="0"/>
    <s v="Kitsap"/>
    <s v="10Kitsap"/>
    <s v="02South Puget Sound"/>
    <n v="5"/>
    <n v="5"/>
    <n v="42.699999999999996"/>
  </r>
  <r>
    <n v="1038"/>
    <x v="2"/>
    <x v="3"/>
    <x v="2"/>
    <s v="Freshwater"/>
    <x v="0"/>
    <x v="0"/>
    <s v="9"/>
    <s v="Area 9: Admiralty Inlet"/>
    <s v="Area 9: Admiralty Inlet"/>
    <s v="NA"/>
    <x v="0"/>
    <s v="Snohomish"/>
    <s v="03Snohomish"/>
    <s v="01North Puget Sound"/>
    <n v="5"/>
    <n v="5"/>
    <n v="42.699999999999996"/>
  </r>
  <r>
    <n v="989"/>
    <x v="2"/>
    <x v="3"/>
    <x v="2"/>
    <s v="Freshwater"/>
    <x v="0"/>
    <x v="0"/>
    <s v="866"/>
    <s v="Canyon Creek"/>
    <s v="Canyon Creek"/>
    <s v="Snohomish"/>
    <x v="0"/>
    <s v="King"/>
    <s v="06King"/>
    <s v="02South Puget Sound"/>
    <n v="4.5"/>
    <n v="4.5"/>
    <n v="38.429999999999993"/>
  </r>
  <r>
    <n v="990"/>
    <x v="2"/>
    <x v="3"/>
    <x v="2"/>
    <s v="Freshwater"/>
    <x v="0"/>
    <x v="0"/>
    <s v="866"/>
    <s v="Canyon Creek"/>
    <s v="Canyon Creek"/>
    <s v="Snohomish"/>
    <x v="0"/>
    <s v="Snohomish"/>
    <s v="03Snohomish"/>
    <s v="01North Puget Sound"/>
    <n v="4.5"/>
    <n v="4.5"/>
    <n v="38.429999999999993"/>
  </r>
  <r>
    <n v="749"/>
    <x v="2"/>
    <x v="3"/>
    <x v="2"/>
    <s v="Freshwater"/>
    <x v="0"/>
    <x v="0"/>
    <s v="746"/>
    <s v="Green (Duwamish River) (King Co.)"/>
    <s v="Green - Duwamish River"/>
    <s v="King"/>
    <x v="2"/>
    <s v="Clallam"/>
    <s v="11Clallam"/>
    <s v="03Strait of Juan de Fuca"/>
    <n v="3.9767441860465098"/>
    <n v="3.9767441860465098"/>
    <n v="33.961395348837193"/>
  </r>
  <r>
    <n v="750"/>
    <x v="2"/>
    <x v="3"/>
    <x v="2"/>
    <s v="Freshwater"/>
    <x v="0"/>
    <x v="0"/>
    <s v="746"/>
    <s v="Green (Duwamish River) (King Co.)"/>
    <s v="Green - Duwamish River"/>
    <s v="King"/>
    <x v="2"/>
    <s v="King"/>
    <s v="06King"/>
    <s v="02South Puget Sound"/>
    <n v="123.279069767442"/>
    <n v="123.279069767442"/>
    <n v="1052.8032558139546"/>
  </r>
  <r>
    <n v="751"/>
    <x v="2"/>
    <x v="3"/>
    <x v="2"/>
    <s v="Freshwater"/>
    <x v="0"/>
    <x v="0"/>
    <s v="746"/>
    <s v="Green (Duwamish River) (King Co.)"/>
    <s v="Green - Duwamish River"/>
    <s v="King"/>
    <x v="2"/>
    <s v="Pierce"/>
    <s v="07Pierce"/>
    <s v="02South Puget Sound"/>
    <n v="39.767441860465098"/>
    <n v="39.767441860465098"/>
    <n v="339.61395348837192"/>
  </r>
  <r>
    <n v="752"/>
    <x v="2"/>
    <x v="3"/>
    <x v="2"/>
    <s v="Freshwater"/>
    <x v="0"/>
    <x v="0"/>
    <s v="746"/>
    <s v="Green (Duwamish River) (King Co.)"/>
    <s v="Green - Duwamish River"/>
    <s v="King"/>
    <x v="2"/>
    <s v="Thurston"/>
    <s v="08Thurston"/>
    <s v="02South Puget Sound"/>
    <n v="3.9767441860465098"/>
    <n v="3.9767441860465098"/>
    <n v="33.961395348837193"/>
  </r>
  <r>
    <n v="837"/>
    <x v="2"/>
    <x v="3"/>
    <x v="2"/>
    <s v="Freshwater"/>
    <x v="0"/>
    <x v="0"/>
    <s v="830"/>
    <s v="Skagit River"/>
    <s v="Skagit River"/>
    <s v="Skagit/Whatcom"/>
    <x v="0"/>
    <s v="Snohomish"/>
    <s v="03Snohomish"/>
    <s v="01North Puget Sound"/>
    <n v="1"/>
    <n v="1"/>
    <n v="8.5399999999999991"/>
  </r>
  <r>
    <n v="865"/>
    <x v="2"/>
    <x v="3"/>
    <x v="2"/>
    <s v="Freshwater"/>
    <x v="0"/>
    <x v="0"/>
    <s v="844"/>
    <s v="Skykomish River"/>
    <s v="Skykomish River"/>
    <s v="Snohomish"/>
    <x v="0"/>
    <s v="Island"/>
    <s v="04Island"/>
    <s v="01North Puget Sound"/>
    <n v="8.6879432624113502"/>
    <n v="8.6879432624113502"/>
    <n v="74.195035460992926"/>
  </r>
  <r>
    <n v="866"/>
    <x v="2"/>
    <x v="3"/>
    <x v="2"/>
    <s v="Freshwater"/>
    <x v="0"/>
    <x v="0"/>
    <s v="844"/>
    <s v="Skykomish River"/>
    <s v="Skykomish River"/>
    <s v="Snohomish"/>
    <x v="0"/>
    <s v="King"/>
    <s v="06King"/>
    <s v="02South Puget Sound"/>
    <n v="590.78014184397205"/>
    <n v="590.78014184397205"/>
    <n v="5045.2624113475204"/>
  </r>
  <r>
    <n v="867"/>
    <x v="2"/>
    <x v="3"/>
    <x v="2"/>
    <s v="Freshwater"/>
    <x v="0"/>
    <x v="0"/>
    <s v="844"/>
    <s v="Skykomish River"/>
    <s v="Skykomish River"/>
    <s v="Snohomish"/>
    <x v="0"/>
    <s v="Kitsap"/>
    <s v="10Kitsap"/>
    <s v="02South Puget Sound"/>
    <n v="2.8959810874704499"/>
    <n v="2.8959810874704499"/>
    <n v="24.731678486997641"/>
  </r>
  <r>
    <n v="868"/>
    <x v="2"/>
    <x v="3"/>
    <x v="2"/>
    <s v="Freshwater"/>
    <x v="0"/>
    <x v="0"/>
    <s v="844"/>
    <s v="Skykomish River"/>
    <s v="Skykomish River"/>
    <s v="Snohomish"/>
    <x v="0"/>
    <s v="Other"/>
    <s v="20Other"/>
    <s v="07Non Puget Sound"/>
    <n v="14.479905437352199"/>
    <n v="14.479905437352199"/>
    <n v="123.65839243498777"/>
  </r>
  <r>
    <n v="869"/>
    <x v="2"/>
    <x v="3"/>
    <x v="2"/>
    <s v="Freshwater"/>
    <x v="0"/>
    <x v="0"/>
    <s v="844"/>
    <s v="Skykomish River"/>
    <s v="Skykomish River"/>
    <s v="Snohomish"/>
    <x v="0"/>
    <s v="Pierce"/>
    <s v="07Pierce"/>
    <s v="02South Puget Sound"/>
    <n v="8.6879432624113502"/>
    <n v="8.6879432624113502"/>
    <n v="74.195035460992926"/>
  </r>
  <r>
    <n v="870"/>
    <x v="2"/>
    <x v="3"/>
    <x v="2"/>
    <s v="Freshwater"/>
    <x v="0"/>
    <x v="0"/>
    <s v="844"/>
    <s v="Skykomish River"/>
    <s v="Skykomish River"/>
    <s v="Snohomish"/>
    <x v="0"/>
    <s v="Snohomish"/>
    <s v="03Snohomish"/>
    <s v="01North Puget Sound"/>
    <n v="576.30023640662"/>
    <n v="576.30023640662"/>
    <n v="4921.6040189125342"/>
  </r>
  <r>
    <n v="871"/>
    <x v="2"/>
    <x v="3"/>
    <x v="2"/>
    <s v="Freshwater"/>
    <x v="0"/>
    <x v="0"/>
    <s v="844"/>
    <s v="Skykomish River"/>
    <s v="Skykomish River"/>
    <s v="Snohomish"/>
    <x v="0"/>
    <s v="Whatcom"/>
    <s v="01Whatcom"/>
    <s v="01North Puget Sound"/>
    <n v="23.167848699763599"/>
    <n v="23.167848699763599"/>
    <n v="197.85342789598113"/>
  </r>
  <r>
    <n v="904"/>
    <x v="2"/>
    <x v="3"/>
    <x v="2"/>
    <s v="Freshwater"/>
    <x v="0"/>
    <x v="0"/>
    <s v="846"/>
    <s v="Skykomish River, No. Fork"/>
    <s v="Skykomish River, No. Fork"/>
    <s v="Snohomish"/>
    <x v="0"/>
    <s v="King"/>
    <s v="06King"/>
    <s v="02South Puget Sound"/>
    <n v="5.8571428571428603"/>
    <n v="5.8571428571428603"/>
    <n v="50.020000000000024"/>
  </r>
  <r>
    <n v="905"/>
    <x v="2"/>
    <x v="3"/>
    <x v="2"/>
    <s v="Freshwater"/>
    <x v="0"/>
    <x v="0"/>
    <s v="846"/>
    <s v="Skykomish River, No. Fork"/>
    <s v="Skykomish River, No. Fork"/>
    <s v="Snohomish"/>
    <x v="0"/>
    <s v="Skagit"/>
    <s v="02Skagit"/>
    <s v="01North Puget Sound"/>
    <n v="2.9285714285714302"/>
    <n v="2.9285714285714302"/>
    <n v="25.010000000000012"/>
  </r>
  <r>
    <n v="906"/>
    <x v="2"/>
    <x v="3"/>
    <x v="2"/>
    <s v="Freshwater"/>
    <x v="0"/>
    <x v="0"/>
    <s v="846"/>
    <s v="Skykomish River, No. Fork"/>
    <s v="Skykomish River, No. Fork"/>
    <s v="Snohomish"/>
    <x v="0"/>
    <s v="Snohomish"/>
    <s v="03Snohomish"/>
    <s v="01North Puget Sound"/>
    <n v="32.214285714285701"/>
    <n v="32.214285714285701"/>
    <n v="275.10999999999984"/>
  </r>
  <r>
    <n v="916"/>
    <x v="2"/>
    <x v="3"/>
    <x v="2"/>
    <s v="Freshwater"/>
    <x v="0"/>
    <x v="0"/>
    <s v="848"/>
    <s v="Skykomish River, So. Fork"/>
    <s v="Skykomish River, So. Fork"/>
    <s v="Snohomish/King"/>
    <x v="0"/>
    <s v="King"/>
    <s v="06King"/>
    <s v="02South Puget Sound"/>
    <n v="3"/>
    <n v="3"/>
    <n v="25.619999999999997"/>
  </r>
  <r>
    <n v="917"/>
    <x v="2"/>
    <x v="3"/>
    <x v="2"/>
    <s v="Freshwater"/>
    <x v="0"/>
    <x v="0"/>
    <s v="848"/>
    <s v="Skykomish River, So. Fork"/>
    <s v="Skykomish River, So. Fork"/>
    <s v="Snohomish/King"/>
    <x v="0"/>
    <s v="Other"/>
    <s v="20Other"/>
    <s v="07Non Puget Sound"/>
    <n v="3"/>
    <n v="3"/>
    <n v="25.619999999999997"/>
  </r>
  <r>
    <n v="925"/>
    <x v="2"/>
    <x v="3"/>
    <x v="2"/>
    <s v="Freshwater"/>
    <x v="0"/>
    <x v="0"/>
    <s v="850"/>
    <s v="Snohomish River"/>
    <s v="Snohomish River"/>
    <s v="Snohomish"/>
    <x v="0"/>
    <s v="King"/>
    <s v="06King"/>
    <s v="02South Puget Sound"/>
    <n v="14.565217391304399"/>
    <n v="14.565217391304399"/>
    <n v="124.38695652173956"/>
  </r>
  <r>
    <n v="926"/>
    <x v="2"/>
    <x v="3"/>
    <x v="2"/>
    <s v="Freshwater"/>
    <x v="0"/>
    <x v="0"/>
    <s v="850"/>
    <s v="Snohomish River"/>
    <s v="Snohomish River"/>
    <s v="Snohomish"/>
    <x v="0"/>
    <s v="Other"/>
    <s v="20Other"/>
    <s v="07Non Puget Sound"/>
    <n v="2.9130434782608701"/>
    <n v="2.9130434782608701"/>
    <n v="24.877391304347828"/>
  </r>
  <r>
    <n v="927"/>
    <x v="2"/>
    <x v="3"/>
    <x v="2"/>
    <s v="Freshwater"/>
    <x v="0"/>
    <x v="0"/>
    <s v="850"/>
    <s v="Snohomish River"/>
    <s v="Snohomish River"/>
    <s v="Snohomish"/>
    <x v="0"/>
    <s v="Snohomish"/>
    <s v="03Snohomish"/>
    <s v="01North Puget Sound"/>
    <n v="116.52173913043499"/>
    <n v="116.52173913043499"/>
    <n v="995.0956521739148"/>
  </r>
  <r>
    <n v="941"/>
    <x v="2"/>
    <x v="3"/>
    <x v="2"/>
    <s v="Freshwater"/>
    <x v="0"/>
    <x v="0"/>
    <s v="852"/>
    <s v="Snoqualmie River"/>
    <s v="Snoqualmie River"/>
    <s v="Snohomish/King"/>
    <x v="0"/>
    <s v="King"/>
    <s v="06King"/>
    <s v="02South Puget Sound"/>
    <n v="9"/>
    <n v="9"/>
    <n v="76.859999999999985"/>
  </r>
  <r>
    <n v="995"/>
    <x v="2"/>
    <x v="3"/>
    <x v="2"/>
    <s v="Freshwater"/>
    <x v="0"/>
    <x v="0"/>
    <s v="872"/>
    <s v="Stillaguamish R, No. Fork"/>
    <s v="Stillaguamish R, No. Fork"/>
    <s v="Snohomish"/>
    <x v="0"/>
    <s v="Island"/>
    <s v="04Island"/>
    <s v="01North Puget Sound"/>
    <n v="21.551724137931"/>
    <n v="21.551724137931"/>
    <n v="184.05172413793073"/>
  </r>
  <r>
    <n v="996"/>
    <x v="2"/>
    <x v="3"/>
    <x v="2"/>
    <s v="Freshwater"/>
    <x v="0"/>
    <x v="0"/>
    <s v="872"/>
    <s v="Stillaguamish R, No. Fork"/>
    <s v="Stillaguamish R, No. Fork"/>
    <s v="Snohomish"/>
    <x v="0"/>
    <s v="King"/>
    <s v="06King"/>
    <s v="02South Puget Sound"/>
    <n v="4.31034482758621"/>
    <n v="4.31034482758621"/>
    <n v="36.810344827586228"/>
  </r>
  <r>
    <n v="997"/>
    <x v="2"/>
    <x v="3"/>
    <x v="2"/>
    <s v="Freshwater"/>
    <x v="0"/>
    <x v="0"/>
    <s v="872"/>
    <s v="Stillaguamish R, No. Fork"/>
    <s v="Stillaguamish R, No. Fork"/>
    <s v="Snohomish"/>
    <x v="0"/>
    <s v="Other"/>
    <s v="20Other"/>
    <s v="07Non Puget Sound"/>
    <n v="4.31034482758621"/>
    <n v="4.31034482758621"/>
    <n v="36.810344827586228"/>
  </r>
  <r>
    <n v="998"/>
    <x v="2"/>
    <x v="3"/>
    <x v="2"/>
    <s v="Freshwater"/>
    <x v="0"/>
    <x v="0"/>
    <s v="872"/>
    <s v="Stillaguamish R, No. Fork"/>
    <s v="Stillaguamish R, No. Fork"/>
    <s v="Snohomish"/>
    <x v="0"/>
    <s v="Pierce"/>
    <s v="07Pierce"/>
    <s v="02South Puget Sound"/>
    <n v="4.31034482758621"/>
    <n v="4.31034482758621"/>
    <n v="36.810344827586228"/>
  </r>
  <r>
    <n v="999"/>
    <x v="2"/>
    <x v="3"/>
    <x v="2"/>
    <s v="Freshwater"/>
    <x v="0"/>
    <x v="0"/>
    <s v="872"/>
    <s v="Stillaguamish R, No. Fork"/>
    <s v="Stillaguamish R, No. Fork"/>
    <s v="Snohomish"/>
    <x v="0"/>
    <s v="Skagit"/>
    <s v="02Skagit"/>
    <s v="01North Puget Sound"/>
    <n v="4.31034482758621"/>
    <n v="4.31034482758621"/>
    <n v="36.810344827586228"/>
  </r>
  <r>
    <n v="1000"/>
    <x v="2"/>
    <x v="3"/>
    <x v="2"/>
    <s v="Freshwater"/>
    <x v="0"/>
    <x v="0"/>
    <s v="872"/>
    <s v="Stillaguamish R, No. Fork"/>
    <s v="Stillaguamish R, No. Fork"/>
    <s v="Snohomish"/>
    <x v="0"/>
    <s v="Snohomish"/>
    <s v="03Snohomish"/>
    <s v="01North Puget Sound"/>
    <n v="68.965517241379303"/>
    <n v="68.965517241379303"/>
    <n v="588.96551724137919"/>
  </r>
  <r>
    <n v="1001"/>
    <x v="2"/>
    <x v="3"/>
    <x v="2"/>
    <s v="Freshwater"/>
    <x v="0"/>
    <x v="0"/>
    <s v="872"/>
    <s v="Stillaguamish R, No. Fork"/>
    <s v="Stillaguamish R, No. Fork"/>
    <s v="Snohomish"/>
    <x v="0"/>
    <s v="Whatcom"/>
    <s v="01Whatcom"/>
    <s v="01North Puget Sound"/>
    <n v="17.241379310344801"/>
    <n v="17.241379310344801"/>
    <n v="147.24137931034457"/>
  </r>
  <r>
    <n v="1018"/>
    <x v="2"/>
    <x v="3"/>
    <x v="2"/>
    <s v="Freshwater"/>
    <x v="0"/>
    <x v="0"/>
    <s v="874"/>
    <s v="Stillaguamish R, So. Fork"/>
    <s v="Stillaguamish R, So. Fork"/>
    <s v="Snohomish"/>
    <x v="0"/>
    <s v="Snohomish"/>
    <s v="03Snohomish"/>
    <s v="01North Puget Sound"/>
    <n v="4"/>
    <n v="4"/>
    <n v="34.159999999999997"/>
  </r>
  <r>
    <n v="974"/>
    <x v="2"/>
    <x v="3"/>
    <x v="2"/>
    <s v="Freshwater"/>
    <x v="0"/>
    <x v="0"/>
    <s v="860"/>
    <s v="Wallace River"/>
    <s v="Wallace River"/>
    <s v="Snohomish"/>
    <x v="0"/>
    <s v="King"/>
    <s v="06King"/>
    <s v="02South Puget Sound"/>
    <n v="6"/>
    <n v="6"/>
    <n v="51.239999999999995"/>
  </r>
  <r>
    <n v="753"/>
    <x v="2"/>
    <x v="4"/>
    <x v="2"/>
    <s v="Freshwater"/>
    <x v="0"/>
    <x v="0"/>
    <s v="746"/>
    <s v="Green (Duwamish River) (King Co.)"/>
    <s v="Green - Duwamish River"/>
    <s v="King"/>
    <x v="2"/>
    <s v="King"/>
    <s v="06King"/>
    <s v="02South Puget Sound"/>
    <n v="39.565217391304401"/>
    <n v="39.565217391304401"/>
    <n v="337.88695652173953"/>
  </r>
  <r>
    <n v="754"/>
    <x v="2"/>
    <x v="4"/>
    <x v="2"/>
    <s v="Freshwater"/>
    <x v="0"/>
    <x v="0"/>
    <s v="746"/>
    <s v="Green (Duwamish River) (King Co.)"/>
    <s v="Green - Duwamish River"/>
    <s v="King"/>
    <x v="2"/>
    <s v="Pierce"/>
    <s v="07Pierce"/>
    <s v="02South Puget Sound"/>
    <n v="51.434782608695699"/>
    <n v="51.434782608695699"/>
    <n v="439.25304347826125"/>
  </r>
  <r>
    <n v="992"/>
    <x v="2"/>
    <x v="4"/>
    <x v="2"/>
    <s v="Freshwater"/>
    <x v="0"/>
    <x v="0"/>
    <s v="870"/>
    <s v="Pilchuck Creek (Stillaguamish System)"/>
    <s v="Pilchuck Creek (Stillaguamish System)"/>
    <s v="Skagit/Snohomish"/>
    <x v="0"/>
    <s v="Pierce"/>
    <s v="07Pierce"/>
    <s v="02South Puget Sound"/>
    <n v="4"/>
    <n v="4"/>
    <n v="34.159999999999997"/>
  </r>
  <r>
    <n v="872"/>
    <x v="2"/>
    <x v="4"/>
    <x v="2"/>
    <s v="Freshwater"/>
    <x v="0"/>
    <x v="0"/>
    <s v="844"/>
    <s v="Skykomish River"/>
    <s v="Skykomish River"/>
    <s v="Snohomish"/>
    <x v="0"/>
    <s v="King"/>
    <s v="06King"/>
    <s v="02South Puget Sound"/>
    <n v="168.161073825503"/>
    <n v="168.161073825503"/>
    <n v="1436.0955704697953"/>
  </r>
  <r>
    <n v="873"/>
    <x v="2"/>
    <x v="4"/>
    <x v="2"/>
    <s v="Freshwater"/>
    <x v="0"/>
    <x v="0"/>
    <s v="844"/>
    <s v="Skykomish River"/>
    <s v="Skykomish River"/>
    <s v="Snohomish"/>
    <x v="0"/>
    <s v="Other"/>
    <s v="20Other"/>
    <s v="07Non Puget Sound"/>
    <n v="2.8993288590603998"/>
    <n v="2.8993288590603998"/>
    <n v="24.760268456375812"/>
  </r>
  <r>
    <n v="874"/>
    <x v="2"/>
    <x v="4"/>
    <x v="2"/>
    <s v="Freshwater"/>
    <x v="0"/>
    <x v="0"/>
    <s v="844"/>
    <s v="Skykomish River"/>
    <s v="Skykomish River"/>
    <s v="Snohomish"/>
    <x v="0"/>
    <s v="Pierce"/>
    <s v="07Pierce"/>
    <s v="02South Puget Sound"/>
    <n v="14.496644295302"/>
    <n v="14.496644295302"/>
    <n v="123.80134228187906"/>
  </r>
  <r>
    <n v="875"/>
    <x v="2"/>
    <x v="4"/>
    <x v="2"/>
    <s v="Freshwater"/>
    <x v="0"/>
    <x v="0"/>
    <s v="844"/>
    <s v="Skykomish River"/>
    <s v="Skykomish River"/>
    <s v="Snohomish"/>
    <x v="0"/>
    <s v="Snohomish"/>
    <s v="03Snohomish"/>
    <s v="01North Puget Sound"/>
    <n v="231.94630872483199"/>
    <n v="231.94630872483199"/>
    <n v="1980.8214765100649"/>
  </r>
  <r>
    <n v="876"/>
    <x v="2"/>
    <x v="4"/>
    <x v="2"/>
    <s v="Freshwater"/>
    <x v="0"/>
    <x v="0"/>
    <s v="844"/>
    <s v="Skykomish River"/>
    <s v="Skykomish River"/>
    <s v="Snohomish"/>
    <x v="0"/>
    <s v="Whatcom"/>
    <s v="01Whatcom"/>
    <s v="01North Puget Sound"/>
    <n v="14.496644295302"/>
    <n v="14.496644295302"/>
    <n v="123.80134228187906"/>
  </r>
  <r>
    <n v="907"/>
    <x v="2"/>
    <x v="4"/>
    <x v="2"/>
    <s v="Freshwater"/>
    <x v="0"/>
    <x v="0"/>
    <s v="846"/>
    <s v="Skykomish River, No. Fork"/>
    <s v="Skykomish River, No. Fork"/>
    <s v="Snohomish"/>
    <x v="0"/>
    <s v="Snohomish"/>
    <s v="03Snohomish"/>
    <s v="01North Puget Sound"/>
    <n v="6"/>
    <n v="6"/>
    <n v="51.239999999999995"/>
  </r>
  <r>
    <n v="918"/>
    <x v="2"/>
    <x v="4"/>
    <x v="2"/>
    <s v="Freshwater"/>
    <x v="0"/>
    <x v="0"/>
    <s v="848"/>
    <s v="Skykomish River, So. Fork"/>
    <s v="Skykomish River, So. Fork"/>
    <s v="Snohomish/King"/>
    <x v="0"/>
    <s v="King"/>
    <s v="06King"/>
    <s v="02South Puget Sound"/>
    <n v="3"/>
    <n v="3"/>
    <n v="25.619999999999997"/>
  </r>
  <r>
    <n v="928"/>
    <x v="2"/>
    <x v="4"/>
    <x v="2"/>
    <s v="Freshwater"/>
    <x v="0"/>
    <x v="0"/>
    <s v="850"/>
    <s v="Snohomish River"/>
    <s v="Snohomish River"/>
    <s v="Snohomish"/>
    <x v="0"/>
    <s v="Snohomish"/>
    <s v="03Snohomish"/>
    <s v="01North Puget Sound"/>
    <n v="9"/>
    <n v="9"/>
    <n v="76.859999999999985"/>
  </r>
  <r>
    <n v="942"/>
    <x v="2"/>
    <x v="4"/>
    <x v="2"/>
    <s v="Freshwater"/>
    <x v="0"/>
    <x v="0"/>
    <s v="852"/>
    <s v="Snoqualmie River"/>
    <s v="Snoqualmie River"/>
    <s v="Snohomish/King"/>
    <x v="0"/>
    <s v="King"/>
    <s v="06King"/>
    <s v="02South Puget Sound"/>
    <n v="6"/>
    <n v="6"/>
    <n v="51.239999999999995"/>
  </r>
  <r>
    <n v="1002"/>
    <x v="2"/>
    <x v="4"/>
    <x v="2"/>
    <s v="Freshwater"/>
    <x v="0"/>
    <x v="0"/>
    <s v="872"/>
    <s v="Stillaguamish R, No. Fork"/>
    <s v="Stillaguamish R, No. Fork"/>
    <s v="Snohomish"/>
    <x v="0"/>
    <s v="King"/>
    <s v="06King"/>
    <s v="02South Puget Sound"/>
    <n v="8.6"/>
    <n v="8.6"/>
    <n v="73.443999999999988"/>
  </r>
  <r>
    <n v="1003"/>
    <x v="2"/>
    <x v="4"/>
    <x v="2"/>
    <s v="Freshwater"/>
    <x v="0"/>
    <x v="0"/>
    <s v="872"/>
    <s v="Stillaguamish R, No. Fork"/>
    <s v="Stillaguamish R, No. Fork"/>
    <s v="Snohomish"/>
    <x v="0"/>
    <s v="Snohomish"/>
    <s v="03Snohomish"/>
    <s v="01North Puget Sound"/>
    <n v="8.6"/>
    <n v="8.6"/>
    <n v="73.443999999999988"/>
  </r>
  <r>
    <n v="1004"/>
    <x v="2"/>
    <x v="4"/>
    <x v="2"/>
    <s v="Freshwater"/>
    <x v="0"/>
    <x v="0"/>
    <s v="872"/>
    <s v="Stillaguamish R, No. Fork"/>
    <s v="Stillaguamish R, No. Fork"/>
    <s v="Snohomish"/>
    <x v="0"/>
    <s v="Whatcom"/>
    <s v="01Whatcom"/>
    <s v="01North Puget Sound"/>
    <n v="25.8"/>
    <n v="25.8"/>
    <n v="220.33199999999999"/>
  </r>
  <r>
    <n v="1019"/>
    <x v="2"/>
    <x v="4"/>
    <x v="2"/>
    <s v="Freshwater"/>
    <x v="0"/>
    <x v="0"/>
    <s v="874"/>
    <s v="Stillaguamish R, So. Fork"/>
    <s v="Stillaguamish R, So. Fork"/>
    <s v="Snohomish"/>
    <x v="0"/>
    <s v="Snohomish"/>
    <s v="03Snohomish"/>
    <s v="01North Puget Sound"/>
    <n v="4"/>
    <n v="4"/>
    <n v="34.159999999999997"/>
  </r>
  <r>
    <n v="955"/>
    <x v="2"/>
    <x v="4"/>
    <x v="2"/>
    <s v="Freshwater"/>
    <x v="0"/>
    <x v="0"/>
    <s v="854"/>
    <s v="Sultan River"/>
    <s v="Sultan River"/>
    <s v="Snohomish"/>
    <x v="0"/>
    <s v="Snohomish"/>
    <s v="03Snohomish"/>
    <s v="01North Puget Sound"/>
    <n v="3"/>
    <n v="3"/>
    <n v="25.619999999999997"/>
  </r>
  <r>
    <n v="1039"/>
    <x v="2"/>
    <x v="5"/>
    <x v="2"/>
    <s v="Freshwater"/>
    <x v="0"/>
    <x v="0"/>
    <s v="9"/>
    <s v="Area 9: Admiralty Inlet"/>
    <s v="Area 9: Admiralty Inlet"/>
    <s v="NA"/>
    <x v="0"/>
    <s v="Snohomish"/>
    <s v="03Snohomish"/>
    <s v="01North Puget Sound"/>
    <n v="3"/>
    <n v="3"/>
    <n v="25.619999999999997"/>
  </r>
  <r>
    <n v="807"/>
    <x v="2"/>
    <x v="5"/>
    <x v="2"/>
    <s v="Freshwater"/>
    <x v="0"/>
    <x v="0"/>
    <s v="826"/>
    <s v="Cascade River"/>
    <s v="Cascade River"/>
    <s v="Skagit"/>
    <x v="1"/>
    <s v="Whatcom"/>
    <s v="01Whatcom"/>
    <s v="01North Puget Sound"/>
    <n v="1"/>
    <n v="1"/>
    <n v="8.5399999999999991"/>
  </r>
  <r>
    <n v="755"/>
    <x v="2"/>
    <x v="5"/>
    <x v="2"/>
    <s v="Freshwater"/>
    <x v="0"/>
    <x v="0"/>
    <s v="746"/>
    <s v="Green (Duwamish River) (King Co.)"/>
    <s v="Green - Duwamish River"/>
    <s v="King"/>
    <x v="2"/>
    <s v="King"/>
    <s v="06King"/>
    <s v="02South Puget Sound"/>
    <n v="35.571428571428598"/>
    <n v="35.571428571428598"/>
    <n v="303.7800000000002"/>
  </r>
  <r>
    <n v="756"/>
    <x v="2"/>
    <x v="5"/>
    <x v="2"/>
    <s v="Freshwater"/>
    <x v="0"/>
    <x v="0"/>
    <s v="746"/>
    <s v="Green (Duwamish River) (King Co.)"/>
    <s v="Green - Duwamish River"/>
    <s v="King"/>
    <x v="2"/>
    <s v="Pierce"/>
    <s v="07Pierce"/>
    <s v="02South Puget Sound"/>
    <n v="47.428571428571402"/>
    <n v="47.428571428571402"/>
    <n v="405.03999999999974"/>
  </r>
  <r>
    <n v="855"/>
    <x v="2"/>
    <x v="5"/>
    <x v="2"/>
    <s v="Freshwater"/>
    <x v="0"/>
    <x v="0"/>
    <s v="842"/>
    <s v="Raging River"/>
    <s v="Raging River"/>
    <s v="King"/>
    <x v="2"/>
    <s v="King"/>
    <s v="06King"/>
    <s v="02South Puget Sound"/>
    <n v="3"/>
    <n v="3"/>
    <n v="25.619999999999997"/>
  </r>
  <r>
    <n v="838"/>
    <x v="2"/>
    <x v="5"/>
    <x v="2"/>
    <s v="Freshwater"/>
    <x v="0"/>
    <x v="0"/>
    <s v="830"/>
    <s v="Skagit River"/>
    <s v="Skagit River"/>
    <s v="Skagit/Whatcom"/>
    <x v="0"/>
    <s v="Skagit"/>
    <s v="02Skagit"/>
    <s v="01North Puget Sound"/>
    <n v="4"/>
    <n v="4"/>
    <n v="34.159999999999997"/>
  </r>
  <r>
    <n v="877"/>
    <x v="2"/>
    <x v="5"/>
    <x v="2"/>
    <s v="Freshwater"/>
    <x v="0"/>
    <x v="0"/>
    <s v="844"/>
    <s v="Skykomish River"/>
    <s v="Skykomish River"/>
    <s v="Snohomish"/>
    <x v="0"/>
    <s v="King"/>
    <s v="06King"/>
    <s v="02South Puget Sound"/>
    <n v="75.310344827586206"/>
    <n v="75.310344827586206"/>
    <n v="643.15034482758608"/>
  </r>
  <r>
    <n v="878"/>
    <x v="2"/>
    <x v="5"/>
    <x v="2"/>
    <s v="Freshwater"/>
    <x v="0"/>
    <x v="0"/>
    <s v="844"/>
    <s v="Skykomish River"/>
    <s v="Skykomish River"/>
    <s v="Snohomish"/>
    <x v="0"/>
    <s v="Pierce"/>
    <s v="07Pierce"/>
    <s v="02South Puget Sound"/>
    <n v="2.8965517241379302"/>
    <n v="2.8965517241379302"/>
    <n v="24.736551724137922"/>
  </r>
  <r>
    <n v="879"/>
    <x v="2"/>
    <x v="5"/>
    <x v="2"/>
    <s v="Freshwater"/>
    <x v="0"/>
    <x v="0"/>
    <s v="844"/>
    <s v="Skykomish River"/>
    <s v="Skykomish River"/>
    <s v="Snohomish"/>
    <x v="0"/>
    <s v="Snohomish"/>
    <s v="03Snohomish"/>
    <s v="01North Puget Sound"/>
    <n v="89.7931034482759"/>
    <n v="89.7931034482759"/>
    <n v="766.83310344827612"/>
  </r>
  <r>
    <n v="908"/>
    <x v="2"/>
    <x v="5"/>
    <x v="2"/>
    <s v="Freshwater"/>
    <x v="0"/>
    <x v="0"/>
    <s v="846"/>
    <s v="Skykomish River, No. Fork"/>
    <s v="Skykomish River, No. Fork"/>
    <s v="Snohomish"/>
    <x v="0"/>
    <s v="Snohomish"/>
    <s v="03Snohomish"/>
    <s v="01North Puget Sound"/>
    <n v="9"/>
    <n v="9"/>
    <n v="76.859999999999985"/>
  </r>
  <r>
    <n v="909"/>
    <x v="2"/>
    <x v="5"/>
    <x v="2"/>
    <s v="Freshwater"/>
    <x v="0"/>
    <x v="0"/>
    <s v="846"/>
    <s v="Skykomish River, No. Fork"/>
    <s v="Skykomish River, No. Fork"/>
    <s v="Snohomish"/>
    <x v="0"/>
    <s v="Whatcom"/>
    <s v="01Whatcom"/>
    <s v="01North Puget Sound"/>
    <n v="3"/>
    <n v="3"/>
    <n v="25.619999999999997"/>
  </r>
  <r>
    <n v="929"/>
    <x v="2"/>
    <x v="5"/>
    <x v="2"/>
    <s v="Freshwater"/>
    <x v="0"/>
    <x v="0"/>
    <s v="850"/>
    <s v="Snohomish River"/>
    <s v="Snohomish River"/>
    <s v="Snohomish"/>
    <x v="0"/>
    <s v="King"/>
    <s v="06King"/>
    <s v="02South Puget Sound"/>
    <n v="3"/>
    <n v="3"/>
    <n v="25.619999999999997"/>
  </r>
  <r>
    <n v="930"/>
    <x v="2"/>
    <x v="5"/>
    <x v="2"/>
    <s v="Freshwater"/>
    <x v="0"/>
    <x v="0"/>
    <s v="850"/>
    <s v="Snohomish River"/>
    <s v="Snohomish River"/>
    <s v="Snohomish"/>
    <x v="0"/>
    <s v="Snohomish"/>
    <s v="03Snohomish"/>
    <s v="01North Puget Sound"/>
    <n v="9"/>
    <n v="9"/>
    <n v="76.859999999999985"/>
  </r>
  <r>
    <n v="1005"/>
    <x v="2"/>
    <x v="5"/>
    <x v="2"/>
    <s v="Freshwater"/>
    <x v="0"/>
    <x v="0"/>
    <s v="872"/>
    <s v="Stillaguamish R, No. Fork"/>
    <s v="Stillaguamish R, No. Fork"/>
    <s v="Snohomish"/>
    <x v="0"/>
    <s v="Skagit"/>
    <s v="02Skagit"/>
    <s v="01North Puget Sound"/>
    <n v="4.375"/>
    <n v="4.375"/>
    <n v="37.362499999999997"/>
  </r>
  <r>
    <n v="1006"/>
    <x v="2"/>
    <x v="5"/>
    <x v="2"/>
    <s v="Freshwater"/>
    <x v="0"/>
    <x v="0"/>
    <s v="872"/>
    <s v="Stillaguamish R, No. Fork"/>
    <s v="Stillaguamish R, No. Fork"/>
    <s v="Snohomish"/>
    <x v="0"/>
    <s v="Snohomish"/>
    <s v="03Snohomish"/>
    <s v="01North Puget Sound"/>
    <n v="30.625"/>
    <n v="30.625"/>
    <n v="261.53749999999997"/>
  </r>
  <r>
    <n v="1020"/>
    <x v="2"/>
    <x v="5"/>
    <x v="2"/>
    <s v="Freshwater"/>
    <x v="0"/>
    <x v="0"/>
    <s v="874"/>
    <s v="Stillaguamish R, So. Fork"/>
    <s v="Stillaguamish R, So. Fork"/>
    <s v="Snohomish"/>
    <x v="0"/>
    <s v="Snohomish"/>
    <s v="03Snohomish"/>
    <s v="01North Puget Sound"/>
    <n v="4"/>
    <n v="4"/>
    <n v="34.159999999999997"/>
  </r>
  <r>
    <n v="1023"/>
    <x v="2"/>
    <x v="5"/>
    <x v="2"/>
    <s v="Freshwater"/>
    <x v="0"/>
    <x v="0"/>
    <s v="876"/>
    <s v="Stillaguamish River"/>
    <s v="Stillaguamish River"/>
    <s v="Snohomish"/>
    <x v="0"/>
    <s v="Other"/>
    <s v="20Other"/>
    <s v="07Non Puget Sound"/>
    <n v="8.5"/>
    <n v="8.5"/>
    <n v="72.589999999999989"/>
  </r>
  <r>
    <n v="1024"/>
    <x v="2"/>
    <x v="5"/>
    <x v="2"/>
    <s v="Freshwater"/>
    <x v="0"/>
    <x v="0"/>
    <s v="876"/>
    <s v="Stillaguamish River"/>
    <s v="Stillaguamish River"/>
    <s v="Snohomish"/>
    <x v="0"/>
    <s v="Snohomish"/>
    <s v="03Snohomish"/>
    <s v="01North Puget Sound"/>
    <n v="8.5"/>
    <n v="8.5"/>
    <n v="72.589999999999989"/>
  </r>
  <r>
    <n v="975"/>
    <x v="2"/>
    <x v="5"/>
    <x v="2"/>
    <s v="Freshwater"/>
    <x v="0"/>
    <x v="0"/>
    <s v="860"/>
    <s v="Wallace River"/>
    <s v="Wallace River"/>
    <s v="Snohomish"/>
    <x v="0"/>
    <s v="Snohomish"/>
    <s v="03Snohomish"/>
    <s v="01North Puget Sound"/>
    <n v="6"/>
    <n v="6"/>
    <n v="51.239999999999995"/>
  </r>
  <r>
    <n v="1040"/>
    <x v="2"/>
    <x v="6"/>
    <x v="2"/>
    <s v="Freshwater"/>
    <x v="0"/>
    <x v="0"/>
    <s v="9"/>
    <s v="Area 9: Admiralty Inlet"/>
    <s v="Area 9: Admiralty Inlet"/>
    <s v="NA"/>
    <x v="0"/>
    <s v="Kitsap"/>
    <s v="10Kitsap"/>
    <s v="02South Puget Sound"/>
    <n v="5"/>
    <n v="5"/>
    <n v="42.699999999999996"/>
  </r>
  <r>
    <n v="808"/>
    <x v="2"/>
    <x v="6"/>
    <x v="2"/>
    <s v="Freshwater"/>
    <x v="0"/>
    <x v="0"/>
    <s v="826"/>
    <s v="Cascade River"/>
    <s v="Cascade River"/>
    <s v="Skagit"/>
    <x v="1"/>
    <s v="King"/>
    <s v="06King"/>
    <s v="02South Puget Sound"/>
    <n v="1.1666666666666701"/>
    <n v="1.1666666666666701"/>
    <n v="9.9633333333333614"/>
  </r>
  <r>
    <n v="809"/>
    <x v="2"/>
    <x v="6"/>
    <x v="2"/>
    <s v="Freshwater"/>
    <x v="0"/>
    <x v="0"/>
    <s v="826"/>
    <s v="Cascade River"/>
    <s v="Cascade River"/>
    <s v="Skagit"/>
    <x v="1"/>
    <s v="Skagit"/>
    <s v="02Skagit"/>
    <s v="01North Puget Sound"/>
    <n v="2.3333333333333299"/>
    <n v="2.3333333333333299"/>
    <n v="19.926666666666634"/>
  </r>
  <r>
    <n v="810"/>
    <x v="2"/>
    <x v="6"/>
    <x v="2"/>
    <s v="Freshwater"/>
    <x v="0"/>
    <x v="0"/>
    <s v="826"/>
    <s v="Cascade River"/>
    <s v="Cascade River"/>
    <s v="Skagit"/>
    <x v="1"/>
    <s v="Snohomish"/>
    <s v="03Snohomish"/>
    <s v="01North Puget Sound"/>
    <n v="9.3333333333333304"/>
    <n v="9.3333333333333304"/>
    <n v="79.706666666666635"/>
  </r>
  <r>
    <n v="811"/>
    <x v="2"/>
    <x v="6"/>
    <x v="2"/>
    <s v="Freshwater"/>
    <x v="0"/>
    <x v="0"/>
    <s v="826"/>
    <s v="Cascade River"/>
    <s v="Cascade River"/>
    <s v="Skagit"/>
    <x v="1"/>
    <s v="Whatcom"/>
    <s v="01Whatcom"/>
    <s v="01North Puget Sound"/>
    <n v="1.1666666666666701"/>
    <n v="1.1666666666666701"/>
    <n v="9.9633333333333614"/>
  </r>
  <r>
    <n v="739"/>
    <x v="2"/>
    <x v="6"/>
    <x v="2"/>
    <s v="Freshwater"/>
    <x v="0"/>
    <x v="0"/>
    <s v="738"/>
    <s v="Dungeness River"/>
    <s v="Dungeness River"/>
    <s v="Clallam"/>
    <x v="3"/>
    <s v="Clallam"/>
    <s v="11Clallam"/>
    <s v="03Strait of Juan de Fuca"/>
    <n v="0"/>
    <n v="0"/>
    <n v="0"/>
  </r>
  <r>
    <n v="757"/>
    <x v="2"/>
    <x v="6"/>
    <x v="2"/>
    <s v="Freshwater"/>
    <x v="0"/>
    <x v="0"/>
    <s v="746"/>
    <s v="Green (Duwamish River) (King Co.)"/>
    <s v="Green - Duwamish River"/>
    <s v="King"/>
    <x v="2"/>
    <s v="King"/>
    <s v="06King"/>
    <s v="02South Puget Sound"/>
    <n v="52"/>
    <n v="52"/>
    <n v="444.07999999999993"/>
  </r>
  <r>
    <n v="758"/>
    <x v="2"/>
    <x v="6"/>
    <x v="2"/>
    <s v="Freshwater"/>
    <x v="0"/>
    <x v="0"/>
    <s v="746"/>
    <s v="Green (Duwamish River) (King Co.)"/>
    <s v="Green - Duwamish River"/>
    <s v="King"/>
    <x v="2"/>
    <s v="Thurston"/>
    <s v="08Thurston"/>
    <s v="02South Puget Sound"/>
    <n v="4"/>
    <n v="4"/>
    <n v="34.159999999999997"/>
  </r>
  <r>
    <n v="856"/>
    <x v="2"/>
    <x v="6"/>
    <x v="2"/>
    <s v="Freshwater"/>
    <x v="0"/>
    <x v="0"/>
    <s v="842"/>
    <s v="Raging River"/>
    <s v="Raging River"/>
    <s v="King"/>
    <x v="2"/>
    <s v="King"/>
    <s v="06King"/>
    <s v="02South Puget Sound"/>
    <n v="6"/>
    <n v="6"/>
    <n v="51.239999999999995"/>
  </r>
  <r>
    <n v="857"/>
    <x v="2"/>
    <x v="6"/>
    <x v="2"/>
    <s v="Freshwater"/>
    <x v="0"/>
    <x v="0"/>
    <s v="842"/>
    <s v="Raging River"/>
    <s v="Raging River"/>
    <s v="King"/>
    <x v="2"/>
    <s v="Other"/>
    <s v="20Other"/>
    <s v="07Non Puget Sound"/>
    <n v="6"/>
    <n v="6"/>
    <n v="51.239999999999995"/>
  </r>
  <r>
    <n v="839"/>
    <x v="2"/>
    <x v="6"/>
    <x v="2"/>
    <s v="Freshwater"/>
    <x v="0"/>
    <x v="0"/>
    <s v="830"/>
    <s v="Skagit River"/>
    <s v="Skagit River"/>
    <s v="Skagit/Whatcom"/>
    <x v="0"/>
    <s v="Skagit"/>
    <s v="02Skagit"/>
    <s v="01North Puget Sound"/>
    <n v="1"/>
    <n v="1"/>
    <n v="8.5399999999999991"/>
  </r>
  <r>
    <n v="880"/>
    <x v="2"/>
    <x v="6"/>
    <x v="2"/>
    <s v="Freshwater"/>
    <x v="0"/>
    <x v="0"/>
    <s v="844"/>
    <s v="Skykomish River"/>
    <s v="Skykomish River"/>
    <s v="Snohomish"/>
    <x v="0"/>
    <s v="King"/>
    <s v="06King"/>
    <s v="02South Puget Sound"/>
    <n v="112.965517241379"/>
    <n v="112.965517241379"/>
    <n v="964.72551724137656"/>
  </r>
  <r>
    <n v="881"/>
    <x v="2"/>
    <x v="6"/>
    <x v="2"/>
    <s v="Freshwater"/>
    <x v="0"/>
    <x v="0"/>
    <s v="844"/>
    <s v="Skykomish River"/>
    <s v="Skykomish River"/>
    <s v="Snohomish"/>
    <x v="0"/>
    <s v="Pierce"/>
    <s v="07Pierce"/>
    <s v="02South Puget Sound"/>
    <n v="2.8965517241379302"/>
    <n v="2.8965517241379302"/>
    <n v="24.736551724137922"/>
  </r>
  <r>
    <n v="882"/>
    <x v="2"/>
    <x v="6"/>
    <x v="2"/>
    <s v="Freshwater"/>
    <x v="0"/>
    <x v="0"/>
    <s v="844"/>
    <s v="Skykomish River"/>
    <s v="Skykomish River"/>
    <s v="Snohomish"/>
    <x v="0"/>
    <s v="Snohomish"/>
    <s v="03Snohomish"/>
    <s v="01North Puget Sound"/>
    <n v="136.13793103448299"/>
    <n v="136.13793103448299"/>
    <n v="1162.6179310344846"/>
  </r>
  <r>
    <n v="910"/>
    <x v="2"/>
    <x v="6"/>
    <x v="2"/>
    <s v="Freshwater"/>
    <x v="0"/>
    <x v="0"/>
    <s v="846"/>
    <s v="Skykomish River, No. Fork"/>
    <s v="Skykomish River, No. Fork"/>
    <s v="Snohomish"/>
    <x v="0"/>
    <s v="King"/>
    <s v="06King"/>
    <s v="02South Puget Sound"/>
    <n v="3"/>
    <n v="3"/>
    <n v="25.619999999999997"/>
  </r>
  <r>
    <n v="919"/>
    <x v="2"/>
    <x v="6"/>
    <x v="2"/>
    <s v="Freshwater"/>
    <x v="0"/>
    <x v="0"/>
    <s v="848"/>
    <s v="Skykomish River, So. Fork"/>
    <s v="Skykomish River, So. Fork"/>
    <s v="Snohomish/King"/>
    <x v="0"/>
    <s v="Snohomish"/>
    <s v="03Snohomish"/>
    <s v="01North Puget Sound"/>
    <n v="6"/>
    <n v="6"/>
    <n v="51.239999999999995"/>
  </r>
  <r>
    <n v="931"/>
    <x v="2"/>
    <x v="6"/>
    <x v="2"/>
    <s v="Freshwater"/>
    <x v="0"/>
    <x v="0"/>
    <s v="850"/>
    <s v="Snohomish River"/>
    <s v="Snohomish River"/>
    <s v="Snohomish"/>
    <x v="0"/>
    <s v="King"/>
    <s v="06King"/>
    <s v="02South Puget Sound"/>
    <n v="5.7777777777777803"/>
    <n v="5.7777777777777803"/>
    <n v="49.34222222222224"/>
  </r>
  <r>
    <n v="932"/>
    <x v="2"/>
    <x v="6"/>
    <x v="2"/>
    <s v="Freshwater"/>
    <x v="0"/>
    <x v="0"/>
    <s v="850"/>
    <s v="Snohomish River"/>
    <s v="Snohomish River"/>
    <s v="Snohomish"/>
    <x v="0"/>
    <s v="Snohomish"/>
    <s v="03Snohomish"/>
    <s v="01North Puget Sound"/>
    <n v="20.2222222222222"/>
    <n v="20.2222222222222"/>
    <n v="172.69777777777756"/>
  </r>
  <r>
    <n v="1007"/>
    <x v="2"/>
    <x v="6"/>
    <x v="2"/>
    <s v="Freshwater"/>
    <x v="0"/>
    <x v="0"/>
    <s v="872"/>
    <s v="Stillaguamish R, No. Fork"/>
    <s v="Stillaguamish R, No. Fork"/>
    <s v="Snohomish"/>
    <x v="0"/>
    <s v="Skagit"/>
    <s v="02Skagit"/>
    <s v="01North Puget Sound"/>
    <n v="13"/>
    <n v="13"/>
    <n v="111.01999999999998"/>
  </r>
  <r>
    <n v="1008"/>
    <x v="2"/>
    <x v="6"/>
    <x v="2"/>
    <s v="Freshwater"/>
    <x v="0"/>
    <x v="0"/>
    <s v="872"/>
    <s v="Stillaguamish R, No. Fork"/>
    <s v="Stillaguamish R, No. Fork"/>
    <s v="Snohomish"/>
    <x v="0"/>
    <s v="Snohomish"/>
    <s v="03Snohomish"/>
    <s v="01North Puget Sound"/>
    <n v="26"/>
    <n v="26"/>
    <n v="222.03999999999996"/>
  </r>
  <r>
    <n v="1021"/>
    <x v="2"/>
    <x v="6"/>
    <x v="2"/>
    <s v="Freshwater"/>
    <x v="0"/>
    <x v="0"/>
    <s v="874"/>
    <s v="Stillaguamish R, So. Fork"/>
    <s v="Stillaguamish R, So. Fork"/>
    <s v="Snohomish"/>
    <x v="0"/>
    <s v="Snohomish"/>
    <s v="03Snohomish"/>
    <s v="01North Puget Sound"/>
    <n v="9"/>
    <n v="9"/>
    <n v="76.859999999999985"/>
  </r>
  <r>
    <n v="1025"/>
    <x v="2"/>
    <x v="6"/>
    <x v="2"/>
    <s v="Freshwater"/>
    <x v="0"/>
    <x v="0"/>
    <s v="876"/>
    <s v="Stillaguamish River"/>
    <s v="Stillaguamish River"/>
    <s v="Snohomish"/>
    <x v="0"/>
    <s v="Island"/>
    <s v="04Island"/>
    <s v="01North Puget Sound"/>
    <n v="4.3333333333333304"/>
    <n v="4.3333333333333304"/>
    <n v="37.006666666666639"/>
  </r>
  <r>
    <n v="1026"/>
    <x v="2"/>
    <x v="6"/>
    <x v="2"/>
    <s v="Freshwater"/>
    <x v="0"/>
    <x v="0"/>
    <s v="876"/>
    <s v="Stillaguamish River"/>
    <s v="Stillaguamish River"/>
    <s v="Snohomish"/>
    <x v="0"/>
    <s v="Other"/>
    <s v="20Other"/>
    <s v="07Non Puget Sound"/>
    <n v="4.3333333333333304"/>
    <n v="4.3333333333333304"/>
    <n v="37.006666666666639"/>
  </r>
  <r>
    <n v="1027"/>
    <x v="2"/>
    <x v="6"/>
    <x v="2"/>
    <s v="Freshwater"/>
    <x v="0"/>
    <x v="0"/>
    <s v="876"/>
    <s v="Stillaguamish River"/>
    <s v="Stillaguamish River"/>
    <s v="Snohomish"/>
    <x v="0"/>
    <s v="Snohomish"/>
    <s v="03Snohomish"/>
    <s v="01North Puget Sound"/>
    <n v="17.3333333333333"/>
    <n v="17.3333333333333"/>
    <n v="148.02666666666636"/>
  </r>
  <r>
    <n v="976"/>
    <x v="2"/>
    <x v="6"/>
    <x v="2"/>
    <s v="Freshwater"/>
    <x v="0"/>
    <x v="0"/>
    <s v="860"/>
    <s v="Wallace River"/>
    <s v="Wallace River"/>
    <s v="Snohomish"/>
    <x v="0"/>
    <s v="King"/>
    <s v="06King"/>
    <s v="02South Puget Sound"/>
    <n v="5.6666666666666696"/>
    <n v="5.6666666666666696"/>
    <n v="48.393333333333352"/>
  </r>
  <r>
    <n v="977"/>
    <x v="2"/>
    <x v="6"/>
    <x v="2"/>
    <s v="Freshwater"/>
    <x v="0"/>
    <x v="0"/>
    <s v="860"/>
    <s v="Wallace River"/>
    <s v="Wallace River"/>
    <s v="Snohomish"/>
    <x v="0"/>
    <s v="Other"/>
    <s v="20Other"/>
    <s v="07Non Puget Sound"/>
    <n v="2.8333333333333299"/>
    <n v="2.8333333333333299"/>
    <n v="24.196666666666633"/>
  </r>
  <r>
    <n v="978"/>
    <x v="2"/>
    <x v="6"/>
    <x v="2"/>
    <s v="Freshwater"/>
    <x v="0"/>
    <x v="0"/>
    <s v="860"/>
    <s v="Wallace River"/>
    <s v="Wallace River"/>
    <s v="Snohomish"/>
    <x v="0"/>
    <s v="Snohomish"/>
    <s v="03Snohomish"/>
    <s v="01North Puget Sound"/>
    <n v="8.5"/>
    <n v="8.5"/>
    <n v="72.589999999999989"/>
  </r>
  <r>
    <n v="1041"/>
    <x v="2"/>
    <x v="7"/>
    <x v="2"/>
    <s v="Freshwater"/>
    <x v="0"/>
    <x v="0"/>
    <s v="9"/>
    <s v="Area 9: Admiralty Inlet"/>
    <s v="Area 9: Admiralty Inlet"/>
    <s v="NA"/>
    <x v="0"/>
    <s v="Snohomish"/>
    <s v="03Snohomish"/>
    <s v="01North Puget Sound"/>
    <n v="9"/>
    <n v="9"/>
    <n v="76.859999999999985"/>
  </r>
  <r>
    <n v="812"/>
    <x v="2"/>
    <x v="7"/>
    <x v="2"/>
    <s v="Freshwater"/>
    <x v="0"/>
    <x v="0"/>
    <s v="826"/>
    <s v="Cascade River"/>
    <s v="Cascade River"/>
    <s v="Skagit"/>
    <x v="1"/>
    <s v="King"/>
    <s v="06King"/>
    <s v="02South Puget Sound"/>
    <n v="7.1111111111111098"/>
    <n v="7.1111111111111098"/>
    <n v="60.728888888888875"/>
  </r>
  <r>
    <n v="813"/>
    <x v="2"/>
    <x v="7"/>
    <x v="2"/>
    <s v="Freshwater"/>
    <x v="0"/>
    <x v="0"/>
    <s v="826"/>
    <s v="Cascade River"/>
    <s v="Cascade River"/>
    <s v="Skagit"/>
    <x v="1"/>
    <s v="Kitsap"/>
    <s v="10Kitsap"/>
    <s v="02South Puget Sound"/>
    <n v="2.3703703703703698"/>
    <n v="2.3703703703703698"/>
    <n v="20.242962962962956"/>
  </r>
  <r>
    <n v="814"/>
    <x v="2"/>
    <x v="7"/>
    <x v="2"/>
    <s v="Freshwater"/>
    <x v="0"/>
    <x v="0"/>
    <s v="826"/>
    <s v="Cascade River"/>
    <s v="Cascade River"/>
    <s v="Skagit"/>
    <x v="1"/>
    <s v="Other"/>
    <s v="20Other"/>
    <s v="07Non Puget Sound"/>
    <n v="2.3703703703703698"/>
    <n v="2.3703703703703698"/>
    <n v="20.242962962962956"/>
  </r>
  <r>
    <n v="815"/>
    <x v="2"/>
    <x v="7"/>
    <x v="2"/>
    <s v="Freshwater"/>
    <x v="0"/>
    <x v="0"/>
    <s v="826"/>
    <s v="Cascade River"/>
    <s v="Cascade River"/>
    <s v="Skagit"/>
    <x v="1"/>
    <s v="San Juan"/>
    <s v="05San Juan"/>
    <s v="01North Puget Sound"/>
    <n v="4.7407407407407396"/>
    <n v="4.7407407407407396"/>
    <n v="40.485925925925912"/>
  </r>
  <r>
    <n v="816"/>
    <x v="2"/>
    <x v="7"/>
    <x v="2"/>
    <s v="Freshwater"/>
    <x v="0"/>
    <x v="0"/>
    <s v="826"/>
    <s v="Cascade River"/>
    <s v="Cascade River"/>
    <s v="Skagit"/>
    <x v="1"/>
    <s v="Skagit"/>
    <s v="02Skagit"/>
    <s v="01North Puget Sound"/>
    <n v="23.703703703703699"/>
    <n v="23.703703703703699"/>
    <n v="202.42962962962957"/>
  </r>
  <r>
    <n v="817"/>
    <x v="2"/>
    <x v="7"/>
    <x v="2"/>
    <s v="Freshwater"/>
    <x v="0"/>
    <x v="0"/>
    <s v="826"/>
    <s v="Cascade River"/>
    <s v="Cascade River"/>
    <s v="Skagit"/>
    <x v="1"/>
    <s v="Snohomish"/>
    <s v="03Snohomish"/>
    <s v="01North Puget Sound"/>
    <n v="4.7407407407407396"/>
    <n v="4.7407407407407396"/>
    <n v="40.485925925925912"/>
  </r>
  <r>
    <n v="818"/>
    <x v="2"/>
    <x v="7"/>
    <x v="2"/>
    <s v="Freshwater"/>
    <x v="0"/>
    <x v="0"/>
    <s v="826"/>
    <s v="Cascade River"/>
    <s v="Cascade River"/>
    <s v="Skagit"/>
    <x v="1"/>
    <s v="Whatcom"/>
    <s v="01Whatcom"/>
    <s v="01North Puget Sound"/>
    <n v="18.962962962963001"/>
    <n v="18.962962962963001"/>
    <n v="161.94370370370402"/>
  </r>
  <r>
    <n v="737"/>
    <x v="2"/>
    <x v="7"/>
    <x v="2"/>
    <s v="Freshwater"/>
    <x v="0"/>
    <x v="0"/>
    <s v="718"/>
    <s v="Clallam River"/>
    <s v="Clallam River"/>
    <s v="Clallam"/>
    <x v="3"/>
    <s v="Clallam"/>
    <s v="11Clallam"/>
    <s v="03Strait of Juan de Fuca"/>
    <n v="3"/>
    <n v="3"/>
    <n v="25.619999999999997"/>
  </r>
  <r>
    <n v="740"/>
    <x v="2"/>
    <x v="7"/>
    <x v="2"/>
    <s v="Freshwater"/>
    <x v="0"/>
    <x v="0"/>
    <s v="738"/>
    <s v="Dungeness River"/>
    <s v="Dungeness River"/>
    <s v="Clallam"/>
    <x v="3"/>
    <s v="Clallam"/>
    <s v="11Clallam"/>
    <s v="03Strait of Juan de Fuca"/>
    <n v="9.75"/>
    <n v="9.75"/>
    <n v="83.264999999999986"/>
  </r>
  <r>
    <n v="741"/>
    <x v="2"/>
    <x v="7"/>
    <x v="2"/>
    <s v="Freshwater"/>
    <x v="0"/>
    <x v="0"/>
    <s v="738"/>
    <s v="Dungeness River"/>
    <s v="Dungeness River"/>
    <s v="Clallam"/>
    <x v="3"/>
    <s v="Kitsap"/>
    <s v="10Kitsap"/>
    <s v="02South Puget Sound"/>
    <n v="3.25"/>
    <n v="3.25"/>
    <n v="27.754999999999995"/>
  </r>
  <r>
    <n v="759"/>
    <x v="2"/>
    <x v="7"/>
    <x v="2"/>
    <s v="Freshwater"/>
    <x v="0"/>
    <x v="0"/>
    <s v="746"/>
    <s v="Green (Duwamish River) (King Co.)"/>
    <s v="Green - Duwamish River"/>
    <s v="King"/>
    <x v="2"/>
    <s v="King"/>
    <s v="06King"/>
    <s v="02South Puget Sound"/>
    <n v="17.7777777777778"/>
    <n v="17.7777777777778"/>
    <n v="151.82222222222239"/>
  </r>
  <r>
    <n v="760"/>
    <x v="2"/>
    <x v="7"/>
    <x v="2"/>
    <s v="Freshwater"/>
    <x v="0"/>
    <x v="0"/>
    <s v="746"/>
    <s v="Green (Duwamish River) (King Co.)"/>
    <s v="Green - Duwamish River"/>
    <s v="King"/>
    <x v="2"/>
    <s v="Pierce"/>
    <s v="07Pierce"/>
    <s v="02South Puget Sound"/>
    <n v="2.2222222222222201"/>
    <n v="2.2222222222222201"/>
    <n v="18.977777777777757"/>
  </r>
  <r>
    <n v="766"/>
    <x v="2"/>
    <x v="7"/>
    <x v="2"/>
    <s v="Freshwater"/>
    <x v="0"/>
    <x v="0"/>
    <s v="752"/>
    <s v="Hoko River"/>
    <s v="Hoko River"/>
    <s v="Clallam"/>
    <x v="3"/>
    <s v="Clallam"/>
    <s v="11Clallam"/>
    <s v="03Strait of Juan de Fuca"/>
    <n v="9.3333333333333304"/>
    <n v="9.3333333333333304"/>
    <n v="79.706666666666635"/>
  </r>
  <r>
    <n v="767"/>
    <x v="2"/>
    <x v="7"/>
    <x v="2"/>
    <s v="Freshwater"/>
    <x v="0"/>
    <x v="0"/>
    <s v="752"/>
    <s v="Hoko River"/>
    <s v="Hoko River"/>
    <s v="Clallam"/>
    <x v="3"/>
    <s v="Pierce"/>
    <s v="07Pierce"/>
    <s v="02South Puget Sound"/>
    <n v="4.6666666666666696"/>
    <n v="4.6666666666666696"/>
    <n v="39.853333333333353"/>
  </r>
  <r>
    <n v="781"/>
    <x v="2"/>
    <x v="7"/>
    <x v="2"/>
    <s v="Freshwater"/>
    <x v="0"/>
    <x v="0"/>
    <s v="768"/>
    <s v="Lyre River"/>
    <s v="Lyre River"/>
    <s v="Clallam"/>
    <x v="3"/>
    <s v="Clallam"/>
    <s v="11Clallam"/>
    <s v="03Strait of Juan de Fuca"/>
    <n v="3"/>
    <n v="3"/>
    <n v="25.619999999999997"/>
  </r>
  <r>
    <n v="782"/>
    <x v="2"/>
    <x v="7"/>
    <x v="2"/>
    <s v="Freshwater"/>
    <x v="0"/>
    <x v="0"/>
    <s v="768"/>
    <s v="Lyre River"/>
    <s v="Lyre River"/>
    <s v="Clallam"/>
    <x v="3"/>
    <s v="Other"/>
    <s v="20Other"/>
    <s v="07Non Puget Sound"/>
    <n v="3"/>
    <n v="3"/>
    <n v="25.619999999999997"/>
  </r>
  <r>
    <n v="802"/>
    <x v="2"/>
    <x v="7"/>
    <x v="2"/>
    <s v="Freshwater"/>
    <x v="0"/>
    <x v="0"/>
    <s v="818"/>
    <s v="Sekiu River"/>
    <s v="Sekiu River"/>
    <s v="Clallam"/>
    <x v="3"/>
    <s v="Pierce"/>
    <s v="07Pierce"/>
    <s v="02South Puget Sound"/>
    <n v="3"/>
    <n v="3"/>
    <n v="25.619999999999997"/>
  </r>
  <r>
    <n v="840"/>
    <x v="2"/>
    <x v="7"/>
    <x v="2"/>
    <s v="Freshwater"/>
    <x v="0"/>
    <x v="0"/>
    <s v="830"/>
    <s v="Skagit River"/>
    <s v="Skagit River"/>
    <s v="Skagit/Whatcom"/>
    <x v="0"/>
    <s v="King"/>
    <s v="06King"/>
    <s v="02South Puget Sound"/>
    <n v="2.3333333333333299"/>
    <n v="2.3333333333333299"/>
    <n v="19.926666666666634"/>
  </r>
  <r>
    <n v="841"/>
    <x v="2"/>
    <x v="7"/>
    <x v="2"/>
    <s v="Freshwater"/>
    <x v="0"/>
    <x v="0"/>
    <s v="830"/>
    <s v="Skagit River"/>
    <s v="Skagit River"/>
    <s v="Skagit/Whatcom"/>
    <x v="0"/>
    <s v="Skagit"/>
    <s v="02Skagit"/>
    <s v="01North Puget Sound"/>
    <n v="9.3333333333333304"/>
    <n v="9.3333333333333304"/>
    <n v="79.706666666666635"/>
  </r>
  <r>
    <n v="842"/>
    <x v="2"/>
    <x v="7"/>
    <x v="2"/>
    <s v="Freshwater"/>
    <x v="0"/>
    <x v="0"/>
    <s v="830"/>
    <s v="Skagit River"/>
    <s v="Skagit River"/>
    <s v="Skagit/Whatcom"/>
    <x v="0"/>
    <s v="Snohomish"/>
    <s v="03Snohomish"/>
    <s v="01North Puget Sound"/>
    <n v="2.3333333333333299"/>
    <n v="2.3333333333333299"/>
    <n v="19.926666666666634"/>
  </r>
  <r>
    <n v="851"/>
    <x v="2"/>
    <x v="7"/>
    <x v="2"/>
    <s v="Freshwater"/>
    <x v="0"/>
    <x v="0"/>
    <s v="834"/>
    <s v="Skokomish River (Mason Co.)"/>
    <s v="Skokomish River"/>
    <s v="Mason"/>
    <x v="4"/>
    <s v="Other"/>
    <s v="20Other"/>
    <s v="07Non Puget Sound"/>
    <n v="0"/>
    <n v="0"/>
    <n v="0"/>
  </r>
  <r>
    <n v="883"/>
    <x v="2"/>
    <x v="7"/>
    <x v="2"/>
    <s v="Freshwater"/>
    <x v="0"/>
    <x v="0"/>
    <s v="844"/>
    <s v="Skykomish River"/>
    <s v="Skykomish River"/>
    <s v="Snohomish"/>
    <x v="0"/>
    <s v="Island"/>
    <s v="04Island"/>
    <s v="01North Puget Sound"/>
    <n v="5.8931297709923696"/>
    <n v="5.8931297709923696"/>
    <n v="50.327328244274831"/>
  </r>
  <r>
    <n v="884"/>
    <x v="2"/>
    <x v="7"/>
    <x v="2"/>
    <s v="Freshwater"/>
    <x v="0"/>
    <x v="0"/>
    <s v="844"/>
    <s v="Skykomish River"/>
    <s v="Skykomish River"/>
    <s v="Snohomish"/>
    <x v="0"/>
    <s v="King"/>
    <s v="06King"/>
    <s v="02South Puget Sound"/>
    <n v="120.80916030534399"/>
    <n v="120.80916030534399"/>
    <n v="1031.7102290076375"/>
  </r>
  <r>
    <n v="885"/>
    <x v="2"/>
    <x v="7"/>
    <x v="2"/>
    <s v="Freshwater"/>
    <x v="0"/>
    <x v="0"/>
    <s v="844"/>
    <s v="Skykomish River"/>
    <s v="Skykomish River"/>
    <s v="Snohomish"/>
    <x v="0"/>
    <s v="Other"/>
    <s v="20Other"/>
    <s v="07Non Puget Sound"/>
    <n v="2.9465648854961799"/>
    <n v="2.9465648854961799"/>
    <n v="25.163664122137373"/>
  </r>
  <r>
    <n v="886"/>
    <x v="2"/>
    <x v="7"/>
    <x v="2"/>
    <s v="Freshwater"/>
    <x v="0"/>
    <x v="0"/>
    <s v="844"/>
    <s v="Skykomish River"/>
    <s v="Skykomish River"/>
    <s v="Snohomish"/>
    <x v="0"/>
    <s v="Pierce"/>
    <s v="07Pierce"/>
    <s v="02South Puget Sound"/>
    <n v="2.9465648854961799"/>
    <n v="2.9465648854961799"/>
    <n v="25.163664122137373"/>
  </r>
  <r>
    <n v="887"/>
    <x v="2"/>
    <x v="7"/>
    <x v="2"/>
    <s v="Freshwater"/>
    <x v="0"/>
    <x v="0"/>
    <s v="844"/>
    <s v="Skykomish River"/>
    <s v="Skykomish River"/>
    <s v="Snohomish"/>
    <x v="0"/>
    <s v="Snohomish"/>
    <s v="03Snohomish"/>
    <s v="01North Puget Sound"/>
    <n v="253.404580152672"/>
    <n v="253.404580152672"/>
    <n v="2164.0751145038184"/>
  </r>
  <r>
    <n v="933"/>
    <x v="2"/>
    <x v="7"/>
    <x v="2"/>
    <s v="Freshwater"/>
    <x v="0"/>
    <x v="0"/>
    <s v="850"/>
    <s v="Snohomish River"/>
    <s v="Snohomish River"/>
    <s v="Snohomish"/>
    <x v="0"/>
    <s v="Snohomish"/>
    <s v="03Snohomish"/>
    <s v="01North Puget Sound"/>
    <n v="39"/>
    <n v="39"/>
    <n v="333.05999999999995"/>
  </r>
  <r>
    <n v="943"/>
    <x v="2"/>
    <x v="7"/>
    <x v="2"/>
    <s v="Freshwater"/>
    <x v="0"/>
    <x v="0"/>
    <s v="852"/>
    <s v="Snoqualmie River"/>
    <s v="Snoqualmie River"/>
    <s v="Snohomish/King"/>
    <x v="0"/>
    <s v="King"/>
    <s v="06King"/>
    <s v="02South Puget Sound"/>
    <n v="83.034482758620697"/>
    <n v="83.034482758620697"/>
    <n v="709.11448275862074"/>
  </r>
  <r>
    <n v="944"/>
    <x v="2"/>
    <x v="7"/>
    <x v="2"/>
    <s v="Freshwater"/>
    <x v="0"/>
    <x v="0"/>
    <s v="852"/>
    <s v="Snoqualmie River"/>
    <s v="Snoqualmie River"/>
    <s v="Snohomish/King"/>
    <x v="0"/>
    <s v="Snohomish"/>
    <s v="03Snohomish"/>
    <s v="01North Puget Sound"/>
    <n v="2.9655172413793101"/>
    <n v="2.9655172413793101"/>
    <n v="25.325517241379305"/>
  </r>
  <r>
    <n v="1009"/>
    <x v="2"/>
    <x v="7"/>
    <x v="2"/>
    <s v="Freshwater"/>
    <x v="0"/>
    <x v="0"/>
    <s v="872"/>
    <s v="Stillaguamish R, No. Fork"/>
    <s v="Stillaguamish R, No. Fork"/>
    <s v="Snohomish"/>
    <x v="0"/>
    <s v="Skagit"/>
    <s v="02Skagit"/>
    <s v="01North Puget Sound"/>
    <n v="5.8947368421052602"/>
    <n v="5.8947368421052602"/>
    <n v="50.341052631578918"/>
  </r>
  <r>
    <n v="1010"/>
    <x v="2"/>
    <x v="7"/>
    <x v="2"/>
    <s v="Freshwater"/>
    <x v="0"/>
    <x v="0"/>
    <s v="872"/>
    <s v="Stillaguamish R, No. Fork"/>
    <s v="Stillaguamish R, No. Fork"/>
    <s v="Snohomish"/>
    <x v="0"/>
    <s v="Snohomish"/>
    <s v="03Snohomish"/>
    <s v="01North Puget Sound"/>
    <n v="50.105263157894797"/>
    <n v="50.105263157894797"/>
    <n v="427.89894736842155"/>
  </r>
  <r>
    <n v="1028"/>
    <x v="2"/>
    <x v="7"/>
    <x v="2"/>
    <s v="Freshwater"/>
    <x v="0"/>
    <x v="0"/>
    <s v="876"/>
    <s v="Stillaguamish River"/>
    <s v="Stillaguamish River"/>
    <s v="Snohomish"/>
    <x v="0"/>
    <s v="Skagit"/>
    <s v="02Skagit"/>
    <s v="01North Puget Sound"/>
    <n v="3"/>
    <n v="3"/>
    <n v="25.619999999999997"/>
  </r>
  <r>
    <n v="956"/>
    <x v="2"/>
    <x v="7"/>
    <x v="2"/>
    <s v="Freshwater"/>
    <x v="0"/>
    <x v="0"/>
    <s v="854"/>
    <s v="Sultan River"/>
    <s v="Sultan River"/>
    <s v="Snohomish"/>
    <x v="0"/>
    <s v="Snohomish"/>
    <s v="03Snohomish"/>
    <s v="01North Puget Sound"/>
    <n v="3"/>
    <n v="3"/>
    <n v="25.619999999999997"/>
  </r>
  <r>
    <n v="979"/>
    <x v="2"/>
    <x v="7"/>
    <x v="2"/>
    <s v="Freshwater"/>
    <x v="0"/>
    <x v="0"/>
    <s v="860"/>
    <s v="Wallace River"/>
    <s v="Wallace River"/>
    <s v="Snohomish"/>
    <x v="0"/>
    <s v="King"/>
    <s v="06King"/>
    <s v="02South Puget Sound"/>
    <n v="2.9090909090909101"/>
    <n v="2.9090909090909101"/>
    <n v="24.843636363636371"/>
  </r>
  <r>
    <n v="980"/>
    <x v="2"/>
    <x v="7"/>
    <x v="2"/>
    <s v="Freshwater"/>
    <x v="0"/>
    <x v="0"/>
    <s v="860"/>
    <s v="Wallace River"/>
    <s v="Wallace River"/>
    <s v="Snohomish"/>
    <x v="0"/>
    <s v="Other"/>
    <s v="20Other"/>
    <s v="07Non Puget Sound"/>
    <n v="2.9090909090909101"/>
    <n v="2.9090909090909101"/>
    <n v="24.843636363636371"/>
  </r>
  <r>
    <n v="981"/>
    <x v="2"/>
    <x v="7"/>
    <x v="2"/>
    <s v="Freshwater"/>
    <x v="0"/>
    <x v="0"/>
    <s v="860"/>
    <s v="Wallace River"/>
    <s v="Wallace River"/>
    <s v="Snohomish"/>
    <x v="0"/>
    <s v="Snohomish"/>
    <s v="03Snohomish"/>
    <s v="01North Puget Sound"/>
    <n v="26.181818181818201"/>
    <n v="26.181818181818201"/>
    <n v="223.59272727272742"/>
  </r>
  <r>
    <n v="804"/>
    <x v="2"/>
    <x v="8"/>
    <x v="2"/>
    <s v="Freshwater"/>
    <x v="0"/>
    <x v="0"/>
    <s v="82"/>
    <s v="Area 8-2: Port Susan-Port Gardner"/>
    <s v="Area 8-2: Port Susan-Port Gardner"/>
    <s v="NA"/>
    <x v="0"/>
    <s v="Snohomish"/>
    <s v="03Snohomish"/>
    <s v="01North Puget Sound"/>
    <n v="4"/>
    <n v="4"/>
    <n v="34.159999999999997"/>
  </r>
  <r>
    <n v="1042"/>
    <x v="2"/>
    <x v="8"/>
    <x v="2"/>
    <s v="Freshwater"/>
    <x v="0"/>
    <x v="0"/>
    <s v="9"/>
    <s v="Area 9: Admiralty Inlet"/>
    <s v="Area 9: Admiralty Inlet"/>
    <s v="NA"/>
    <x v="0"/>
    <s v="Island"/>
    <s v="04Island"/>
    <s v="01North Puget Sound"/>
    <n v="8.5"/>
    <n v="8.5"/>
    <n v="72.589999999999989"/>
  </r>
  <r>
    <n v="1043"/>
    <x v="2"/>
    <x v="8"/>
    <x v="2"/>
    <s v="Freshwater"/>
    <x v="0"/>
    <x v="0"/>
    <s v="9"/>
    <s v="Area 9: Admiralty Inlet"/>
    <s v="Area 9: Admiralty Inlet"/>
    <s v="NA"/>
    <x v="0"/>
    <s v="Other"/>
    <s v="20Other"/>
    <s v="07Non Puget Sound"/>
    <n v="4.25"/>
    <n v="4.25"/>
    <n v="36.294999999999995"/>
  </r>
  <r>
    <n v="1044"/>
    <x v="2"/>
    <x v="8"/>
    <x v="2"/>
    <s v="Freshwater"/>
    <x v="0"/>
    <x v="0"/>
    <s v="9"/>
    <s v="Area 9: Admiralty Inlet"/>
    <s v="Area 9: Admiralty Inlet"/>
    <s v="NA"/>
    <x v="0"/>
    <s v="Snohomish"/>
    <s v="03Snohomish"/>
    <s v="01North Puget Sound"/>
    <n v="4.25"/>
    <n v="4.25"/>
    <n v="36.294999999999995"/>
  </r>
  <r>
    <n v="819"/>
    <x v="2"/>
    <x v="8"/>
    <x v="2"/>
    <s v="Freshwater"/>
    <x v="0"/>
    <x v="0"/>
    <s v="826"/>
    <s v="Cascade River"/>
    <s v="Cascade River"/>
    <s v="Skagit"/>
    <x v="1"/>
    <s v="Island"/>
    <s v="04Island"/>
    <s v="01North Puget Sound"/>
    <n v="2.3518518518518499"/>
    <n v="2.3518518518518499"/>
    <n v="20.084814814814795"/>
  </r>
  <r>
    <n v="820"/>
    <x v="2"/>
    <x v="8"/>
    <x v="2"/>
    <s v="Freshwater"/>
    <x v="0"/>
    <x v="0"/>
    <s v="826"/>
    <s v="Cascade River"/>
    <s v="Cascade River"/>
    <s v="Skagit"/>
    <x v="1"/>
    <s v="Other"/>
    <s v="20Other"/>
    <s v="07Non Puget Sound"/>
    <n v="7.0555555555555598"/>
    <n v="7.0555555555555598"/>
    <n v="60.254444444444474"/>
  </r>
  <r>
    <n v="821"/>
    <x v="2"/>
    <x v="8"/>
    <x v="2"/>
    <s v="Freshwater"/>
    <x v="0"/>
    <x v="0"/>
    <s v="826"/>
    <s v="Cascade River"/>
    <s v="Cascade River"/>
    <s v="Skagit"/>
    <x v="1"/>
    <s v="Skagit"/>
    <s v="02Skagit"/>
    <s v="01North Puget Sound"/>
    <n v="63.5"/>
    <n v="63.5"/>
    <n v="542.29"/>
  </r>
  <r>
    <n v="822"/>
    <x v="2"/>
    <x v="8"/>
    <x v="2"/>
    <s v="Freshwater"/>
    <x v="0"/>
    <x v="0"/>
    <s v="826"/>
    <s v="Cascade River"/>
    <s v="Cascade River"/>
    <s v="Skagit"/>
    <x v="1"/>
    <s v="Snohomish"/>
    <s v="03Snohomish"/>
    <s v="01North Puget Sound"/>
    <n v="39.981481481481502"/>
    <n v="39.981481481481502"/>
    <n v="341.44185185185199"/>
  </r>
  <r>
    <n v="823"/>
    <x v="2"/>
    <x v="8"/>
    <x v="2"/>
    <s v="Freshwater"/>
    <x v="0"/>
    <x v="0"/>
    <s v="826"/>
    <s v="Cascade River"/>
    <s v="Cascade River"/>
    <s v="Skagit"/>
    <x v="1"/>
    <s v="Whatcom"/>
    <s v="01Whatcom"/>
    <s v="01North Puget Sound"/>
    <n v="14.1111111111111"/>
    <n v="14.1111111111111"/>
    <n v="120.50888888888878"/>
  </r>
  <r>
    <n v="742"/>
    <x v="2"/>
    <x v="8"/>
    <x v="2"/>
    <s v="Freshwater"/>
    <x v="0"/>
    <x v="0"/>
    <s v="738"/>
    <s v="Dungeness River"/>
    <s v="Dungeness River"/>
    <s v="Clallam"/>
    <x v="3"/>
    <s v="Clallam"/>
    <s v="11Clallam"/>
    <s v="03Strait of Juan de Fuca"/>
    <n v="35.200000000000003"/>
    <n v="35.200000000000003"/>
    <n v="300.608"/>
  </r>
  <r>
    <n v="743"/>
    <x v="2"/>
    <x v="8"/>
    <x v="2"/>
    <s v="Freshwater"/>
    <x v="0"/>
    <x v="0"/>
    <s v="738"/>
    <s v="Dungeness River"/>
    <s v="Dungeness River"/>
    <s v="Clallam"/>
    <x v="3"/>
    <s v="Jefferson"/>
    <s v="12Jefferson"/>
    <s v="03Strait of Juan de Fuca"/>
    <n v="3.2"/>
    <n v="3.2"/>
    <n v="27.327999999999999"/>
  </r>
  <r>
    <n v="744"/>
    <x v="2"/>
    <x v="8"/>
    <x v="2"/>
    <s v="Freshwater"/>
    <x v="0"/>
    <x v="0"/>
    <s v="738"/>
    <s v="Dungeness River"/>
    <s v="Dungeness River"/>
    <s v="Clallam"/>
    <x v="3"/>
    <s v="Whatcom"/>
    <s v="01Whatcom"/>
    <s v="01North Puget Sound"/>
    <n v="9.6"/>
    <n v="9.6"/>
    <n v="81.983999999999995"/>
  </r>
  <r>
    <n v="761"/>
    <x v="2"/>
    <x v="8"/>
    <x v="2"/>
    <s v="Freshwater"/>
    <x v="0"/>
    <x v="0"/>
    <s v="746"/>
    <s v="Green (Duwamish River) (King Co.)"/>
    <s v="Green - Duwamish River"/>
    <s v="King"/>
    <x v="2"/>
    <s v="King"/>
    <s v="06King"/>
    <s v="02South Puget Sound"/>
    <n v="78.513513513513502"/>
    <n v="78.513513513513502"/>
    <n v="670.50540540540521"/>
  </r>
  <r>
    <n v="762"/>
    <x v="2"/>
    <x v="8"/>
    <x v="2"/>
    <s v="Freshwater"/>
    <x v="0"/>
    <x v="0"/>
    <s v="746"/>
    <s v="Green (Duwamish River) (King Co.)"/>
    <s v="Green - Duwamish River"/>
    <s v="King"/>
    <x v="2"/>
    <s v="Pierce"/>
    <s v="07Pierce"/>
    <s v="02South Puget Sound"/>
    <n v="4.4864864864864904"/>
    <n v="4.4864864864864904"/>
    <n v="38.314594594594624"/>
  </r>
  <r>
    <n v="768"/>
    <x v="2"/>
    <x v="8"/>
    <x v="2"/>
    <s v="Freshwater"/>
    <x v="0"/>
    <x v="0"/>
    <s v="752"/>
    <s v="Hoko River"/>
    <s v="Hoko River"/>
    <s v="Clallam"/>
    <x v="3"/>
    <s v="Clallam"/>
    <s v="11Clallam"/>
    <s v="03Strait of Juan de Fuca"/>
    <n v="55.2"/>
    <n v="55.2"/>
    <n v="471.40799999999996"/>
  </r>
  <r>
    <n v="769"/>
    <x v="2"/>
    <x v="8"/>
    <x v="2"/>
    <s v="Freshwater"/>
    <x v="0"/>
    <x v="0"/>
    <s v="752"/>
    <s v="Hoko River"/>
    <s v="Hoko River"/>
    <s v="Clallam"/>
    <x v="3"/>
    <s v="Island"/>
    <s v="04Island"/>
    <s v="01North Puget Sound"/>
    <n v="4.8"/>
    <n v="4.8"/>
    <n v="40.991999999999997"/>
  </r>
  <r>
    <n v="770"/>
    <x v="2"/>
    <x v="8"/>
    <x v="2"/>
    <s v="Freshwater"/>
    <x v="0"/>
    <x v="0"/>
    <s v="752"/>
    <s v="Hoko River"/>
    <s v="Hoko River"/>
    <s v="Clallam"/>
    <x v="3"/>
    <s v="King"/>
    <s v="06King"/>
    <s v="02South Puget Sound"/>
    <n v="7.2"/>
    <n v="7.2"/>
    <n v="61.487999999999992"/>
  </r>
  <r>
    <n v="771"/>
    <x v="2"/>
    <x v="8"/>
    <x v="2"/>
    <s v="Freshwater"/>
    <x v="0"/>
    <x v="0"/>
    <s v="752"/>
    <s v="Hoko River"/>
    <s v="Hoko River"/>
    <s v="Clallam"/>
    <x v="3"/>
    <s v="Pierce"/>
    <s v="07Pierce"/>
    <s v="02South Puget Sound"/>
    <n v="26.4"/>
    <n v="26.4"/>
    <n v="225.45599999999996"/>
  </r>
  <r>
    <n v="772"/>
    <x v="2"/>
    <x v="8"/>
    <x v="2"/>
    <s v="Freshwater"/>
    <x v="0"/>
    <x v="0"/>
    <s v="752"/>
    <s v="Hoko River"/>
    <s v="Hoko River"/>
    <s v="Clallam"/>
    <x v="3"/>
    <s v="Skagit"/>
    <s v="02Skagit"/>
    <s v="01North Puget Sound"/>
    <n v="2.4"/>
    <n v="2.4"/>
    <n v="20.495999999999999"/>
  </r>
  <r>
    <n v="783"/>
    <x v="2"/>
    <x v="8"/>
    <x v="2"/>
    <s v="Freshwater"/>
    <x v="0"/>
    <x v="0"/>
    <s v="768"/>
    <s v="Lyre River"/>
    <s v="Lyre River"/>
    <s v="Clallam"/>
    <x v="3"/>
    <s v="Clallam"/>
    <s v="11Clallam"/>
    <s v="03Strait of Juan de Fuca"/>
    <n v="6.5"/>
    <n v="6.5"/>
    <n v="55.509999999999991"/>
  </r>
  <r>
    <n v="784"/>
    <x v="2"/>
    <x v="8"/>
    <x v="2"/>
    <s v="Freshwater"/>
    <x v="0"/>
    <x v="0"/>
    <s v="768"/>
    <s v="Lyre River"/>
    <s v="Lyre River"/>
    <s v="Clallam"/>
    <x v="3"/>
    <s v="Island"/>
    <s v="04Island"/>
    <s v="01North Puget Sound"/>
    <n v="6.5"/>
    <n v="6.5"/>
    <n v="55.509999999999991"/>
  </r>
  <r>
    <n v="787"/>
    <x v="2"/>
    <x v="8"/>
    <x v="2"/>
    <s v="Freshwater"/>
    <x v="0"/>
    <x v="0"/>
    <s v="782"/>
    <s v="Morse Creek (Clallam Co.)"/>
    <s v="Morse Creek (Clallam Co.)"/>
    <s v="Clallam"/>
    <x v="3"/>
    <s v="Clallam"/>
    <s v="11Clallam"/>
    <s v="03Strait of Juan de Fuca"/>
    <n v="6"/>
    <n v="6"/>
    <n v="51.239999999999995"/>
  </r>
  <r>
    <n v="793"/>
    <x v="2"/>
    <x v="8"/>
    <x v="2"/>
    <s v="Freshwater"/>
    <x v="0"/>
    <x v="0"/>
    <s v="794"/>
    <s v="Nooksack River, below North Fork"/>
    <s v="Nooksack River, below North Fork"/>
    <s v="Whatcom"/>
    <x v="1"/>
    <s v="Whatcom"/>
    <s v="01Whatcom"/>
    <s v="01North Puget Sound"/>
    <n v="13"/>
    <n v="13"/>
    <n v="111.01999999999998"/>
  </r>
  <r>
    <n v="790"/>
    <x v="2"/>
    <x v="8"/>
    <x v="2"/>
    <s v="Freshwater"/>
    <x v="0"/>
    <x v="0"/>
    <s v="790"/>
    <s v="Nooksack River, No. Fork"/>
    <s v="Nooksack River, No. Fork"/>
    <s v="Whatcom"/>
    <x v="1"/>
    <s v="Whatcom"/>
    <s v="01Whatcom"/>
    <s v="01North Puget Sound"/>
    <n v="13"/>
    <n v="13"/>
    <n v="111.01999999999998"/>
  </r>
  <r>
    <n v="852"/>
    <x v="2"/>
    <x v="8"/>
    <x v="2"/>
    <s v="Freshwater"/>
    <x v="0"/>
    <x v="0"/>
    <s v="840"/>
    <s v="Pilchuck River (Snohomish System)"/>
    <s v="Pilchuck River (Snohomish System)"/>
    <s v="Snohomish"/>
    <x v="0"/>
    <s v="Snohomish"/>
    <s v="03Snohomish"/>
    <s v="01North Puget Sound"/>
    <n v="18"/>
    <n v="18"/>
    <n v="153.71999999999997"/>
  </r>
  <r>
    <n v="799"/>
    <x v="2"/>
    <x v="8"/>
    <x v="2"/>
    <s v="Freshwater"/>
    <x v="0"/>
    <x v="0"/>
    <s v="810"/>
    <s v="Pysht River"/>
    <s v="Pysht River"/>
    <s v="Clallam"/>
    <x v="3"/>
    <s v="Clallam"/>
    <s v="11Clallam"/>
    <s v="03Strait of Juan de Fuca"/>
    <n v="3"/>
    <n v="3"/>
    <n v="25.619999999999997"/>
  </r>
  <r>
    <n v="803"/>
    <x v="2"/>
    <x v="8"/>
    <x v="2"/>
    <s v="Freshwater"/>
    <x v="0"/>
    <x v="0"/>
    <s v="818"/>
    <s v="Sekiu River"/>
    <s v="Sekiu River"/>
    <s v="Clallam"/>
    <x v="3"/>
    <s v="Clallam"/>
    <s v="11Clallam"/>
    <s v="03Strait of Juan de Fuca"/>
    <n v="3"/>
    <n v="3"/>
    <n v="25.619999999999997"/>
  </r>
  <r>
    <n v="843"/>
    <x v="2"/>
    <x v="8"/>
    <x v="2"/>
    <s v="Freshwater"/>
    <x v="0"/>
    <x v="0"/>
    <s v="830"/>
    <s v="Skagit River"/>
    <s v="Skagit River"/>
    <s v="Skagit/Whatcom"/>
    <x v="0"/>
    <s v="King"/>
    <s v="06King"/>
    <s v="02South Puget Sound"/>
    <n v="9.4736842105263204"/>
    <n v="9.4736842105263204"/>
    <n v="80.905263157894765"/>
  </r>
  <r>
    <n v="844"/>
    <x v="2"/>
    <x v="8"/>
    <x v="2"/>
    <s v="Freshwater"/>
    <x v="0"/>
    <x v="0"/>
    <s v="830"/>
    <s v="Skagit River"/>
    <s v="Skagit River"/>
    <s v="Skagit/Whatcom"/>
    <x v="0"/>
    <s v="Pierce"/>
    <s v="07Pierce"/>
    <s v="02South Puget Sound"/>
    <n v="2.3684210526315801"/>
    <n v="2.3684210526315801"/>
    <n v="20.226315789473691"/>
  </r>
  <r>
    <n v="845"/>
    <x v="2"/>
    <x v="8"/>
    <x v="2"/>
    <s v="Freshwater"/>
    <x v="0"/>
    <x v="0"/>
    <s v="830"/>
    <s v="Skagit River"/>
    <s v="Skagit River"/>
    <s v="Skagit/Whatcom"/>
    <x v="0"/>
    <s v="Skagit"/>
    <s v="02Skagit"/>
    <s v="01North Puget Sound"/>
    <n v="28.421052631578998"/>
    <n v="28.421052631578998"/>
    <n v="242.71578947368462"/>
  </r>
  <r>
    <n v="846"/>
    <x v="2"/>
    <x v="8"/>
    <x v="2"/>
    <s v="Freshwater"/>
    <x v="0"/>
    <x v="0"/>
    <s v="830"/>
    <s v="Skagit River"/>
    <s v="Skagit River"/>
    <s v="Skagit/Whatcom"/>
    <x v="0"/>
    <s v="Snohomish"/>
    <s v="03Snohomish"/>
    <s v="01North Puget Sound"/>
    <n v="2.3684210526315801"/>
    <n v="2.3684210526315801"/>
    <n v="20.226315789473691"/>
  </r>
  <r>
    <n v="847"/>
    <x v="2"/>
    <x v="8"/>
    <x v="2"/>
    <s v="Freshwater"/>
    <x v="0"/>
    <x v="0"/>
    <s v="830"/>
    <s v="Skagit River"/>
    <s v="Skagit River"/>
    <s v="Skagit/Whatcom"/>
    <x v="0"/>
    <s v="Whatcom"/>
    <s v="01Whatcom"/>
    <s v="01North Puget Sound"/>
    <n v="2.3684210526315801"/>
    <n v="2.3684210526315801"/>
    <n v="20.226315789473691"/>
  </r>
  <r>
    <n v="888"/>
    <x v="2"/>
    <x v="8"/>
    <x v="2"/>
    <s v="Freshwater"/>
    <x v="0"/>
    <x v="0"/>
    <s v="844"/>
    <s v="Skykomish River"/>
    <s v="Skykomish River"/>
    <s v="Snohomish"/>
    <x v="0"/>
    <s v="Island"/>
    <s v="04Island"/>
    <s v="01North Puget Sound"/>
    <n v="2.9440993788819898"/>
    <n v="2.9440993788819898"/>
    <n v="25.142608695652189"/>
  </r>
  <r>
    <n v="889"/>
    <x v="2"/>
    <x v="8"/>
    <x v="2"/>
    <s v="Freshwater"/>
    <x v="0"/>
    <x v="0"/>
    <s v="844"/>
    <s v="Skykomish River"/>
    <s v="Skykomish River"/>
    <s v="Snohomish"/>
    <x v="0"/>
    <s v="King"/>
    <s v="06King"/>
    <s v="02South Puget Sound"/>
    <n v="385.67701863354"/>
    <n v="385.67701863354"/>
    <n v="3293.6817391304312"/>
  </r>
  <r>
    <n v="890"/>
    <x v="2"/>
    <x v="8"/>
    <x v="2"/>
    <s v="Freshwater"/>
    <x v="0"/>
    <x v="0"/>
    <s v="844"/>
    <s v="Skykomish River"/>
    <s v="Skykomish River"/>
    <s v="Snohomish"/>
    <x v="0"/>
    <s v="Kitsap"/>
    <s v="10Kitsap"/>
    <s v="02South Puget Sound"/>
    <n v="5.8881987577639796"/>
    <n v="5.8881987577639796"/>
    <n v="50.285217391304379"/>
  </r>
  <r>
    <n v="891"/>
    <x v="2"/>
    <x v="8"/>
    <x v="2"/>
    <s v="Freshwater"/>
    <x v="0"/>
    <x v="0"/>
    <s v="844"/>
    <s v="Skykomish River"/>
    <s v="Skykomish River"/>
    <s v="Snohomish"/>
    <x v="0"/>
    <s v="Other"/>
    <s v="20Other"/>
    <s v="07Non Puget Sound"/>
    <n v="29.440993788819899"/>
    <n v="29.440993788819899"/>
    <n v="251.42608695652191"/>
  </r>
  <r>
    <n v="892"/>
    <x v="2"/>
    <x v="8"/>
    <x v="2"/>
    <s v="Freshwater"/>
    <x v="0"/>
    <x v="0"/>
    <s v="844"/>
    <s v="Skykomish River"/>
    <s v="Skykomish River"/>
    <s v="Snohomish"/>
    <x v="0"/>
    <s v="Skagit"/>
    <s v="02Skagit"/>
    <s v="01North Puget Sound"/>
    <n v="2.9440993788819898"/>
    <n v="2.9440993788819898"/>
    <n v="25.142608695652189"/>
  </r>
  <r>
    <n v="893"/>
    <x v="2"/>
    <x v="8"/>
    <x v="2"/>
    <s v="Freshwater"/>
    <x v="0"/>
    <x v="0"/>
    <s v="844"/>
    <s v="Skykomish River"/>
    <s v="Skykomish River"/>
    <s v="Snohomish"/>
    <x v="0"/>
    <s v="Snohomish"/>
    <s v="03Snohomish"/>
    <s v="01North Puget Sound"/>
    <n v="518.16149068323"/>
    <n v="518.16149068323"/>
    <n v="4425.0991304347835"/>
  </r>
  <r>
    <n v="894"/>
    <x v="2"/>
    <x v="8"/>
    <x v="2"/>
    <s v="Freshwater"/>
    <x v="0"/>
    <x v="0"/>
    <s v="844"/>
    <s v="Skykomish River"/>
    <s v="Skykomish River"/>
    <s v="Snohomish"/>
    <x v="0"/>
    <s v="Whatcom"/>
    <s v="01Whatcom"/>
    <s v="01North Puget Sound"/>
    <n v="2.9440993788819898"/>
    <n v="2.9440993788819898"/>
    <n v="25.142608695652189"/>
  </r>
  <r>
    <n v="911"/>
    <x v="2"/>
    <x v="8"/>
    <x v="2"/>
    <s v="Freshwater"/>
    <x v="0"/>
    <x v="0"/>
    <s v="846"/>
    <s v="Skykomish River, No. Fork"/>
    <s v="Skykomish River, No. Fork"/>
    <s v="Snohomish"/>
    <x v="0"/>
    <s v="King"/>
    <s v="06King"/>
    <s v="02South Puget Sound"/>
    <n v="3"/>
    <n v="3"/>
    <n v="25.619999999999997"/>
  </r>
  <r>
    <n v="912"/>
    <x v="2"/>
    <x v="8"/>
    <x v="2"/>
    <s v="Freshwater"/>
    <x v="0"/>
    <x v="0"/>
    <s v="846"/>
    <s v="Skykomish River, No. Fork"/>
    <s v="Skykomish River, No. Fork"/>
    <s v="Snohomish"/>
    <x v="0"/>
    <s v="Snohomish"/>
    <s v="03Snohomish"/>
    <s v="01North Puget Sound"/>
    <n v="9"/>
    <n v="9"/>
    <n v="76.859999999999985"/>
  </r>
  <r>
    <n v="913"/>
    <x v="2"/>
    <x v="8"/>
    <x v="2"/>
    <s v="Freshwater"/>
    <x v="0"/>
    <x v="0"/>
    <s v="846"/>
    <s v="Skykomish River, No. Fork"/>
    <s v="Skykomish River, No. Fork"/>
    <s v="Snohomish"/>
    <x v="0"/>
    <s v="Whatcom"/>
    <s v="01Whatcom"/>
    <s v="01North Puget Sound"/>
    <n v="6"/>
    <n v="6"/>
    <n v="51.239999999999995"/>
  </r>
  <r>
    <n v="920"/>
    <x v="2"/>
    <x v="8"/>
    <x v="2"/>
    <s v="Freshwater"/>
    <x v="0"/>
    <x v="0"/>
    <s v="848"/>
    <s v="Skykomish River, So. Fork"/>
    <s v="Skykomish River, So. Fork"/>
    <s v="Snohomish/King"/>
    <x v="0"/>
    <s v="Snohomish"/>
    <s v="03Snohomish"/>
    <s v="01North Puget Sound"/>
    <n v="3"/>
    <n v="3"/>
    <n v="25.619999999999997"/>
  </r>
  <r>
    <n v="934"/>
    <x v="2"/>
    <x v="8"/>
    <x v="2"/>
    <s v="Freshwater"/>
    <x v="0"/>
    <x v="0"/>
    <s v="850"/>
    <s v="Snohomish River"/>
    <s v="Snohomish River"/>
    <s v="Snohomish"/>
    <x v="0"/>
    <s v="King"/>
    <s v="06King"/>
    <s v="02South Puget Sound"/>
    <n v="2.9729729729729701"/>
    <n v="2.9729729729729701"/>
    <n v="25.389189189189164"/>
  </r>
  <r>
    <n v="935"/>
    <x v="2"/>
    <x v="8"/>
    <x v="2"/>
    <s v="Freshwater"/>
    <x v="0"/>
    <x v="0"/>
    <s v="850"/>
    <s v="Snohomish River"/>
    <s v="Snohomish River"/>
    <s v="Snohomish"/>
    <x v="0"/>
    <s v="Snohomish"/>
    <s v="03Snohomish"/>
    <s v="01North Puget Sound"/>
    <n v="104.05405405405401"/>
    <n v="104.05405405405401"/>
    <n v="888.6216216216211"/>
  </r>
  <r>
    <n v="936"/>
    <x v="2"/>
    <x v="8"/>
    <x v="2"/>
    <s v="Freshwater"/>
    <x v="0"/>
    <x v="0"/>
    <s v="850"/>
    <s v="Snohomish River"/>
    <s v="Snohomish River"/>
    <s v="Snohomish"/>
    <x v="0"/>
    <s v="Thurston"/>
    <s v="08Thurston"/>
    <s v="02South Puget Sound"/>
    <n v="2.9729729729729701"/>
    <n v="2.9729729729729701"/>
    <n v="25.389189189189164"/>
  </r>
  <r>
    <n v="945"/>
    <x v="2"/>
    <x v="8"/>
    <x v="2"/>
    <s v="Freshwater"/>
    <x v="0"/>
    <x v="0"/>
    <s v="852"/>
    <s v="Snoqualmie River"/>
    <s v="Snoqualmie River"/>
    <s v="Snohomish/King"/>
    <x v="0"/>
    <s v="King"/>
    <s v="06King"/>
    <s v="02South Puget Sound"/>
    <n v="699.32954545454504"/>
    <n v="699.32954545454504"/>
    <n v="5972.2743181818141"/>
  </r>
  <r>
    <n v="946"/>
    <x v="2"/>
    <x v="8"/>
    <x v="2"/>
    <s v="Freshwater"/>
    <x v="0"/>
    <x v="0"/>
    <s v="852"/>
    <s v="Snoqualmie River"/>
    <s v="Snoqualmie River"/>
    <s v="Snohomish/King"/>
    <x v="0"/>
    <s v="Kitsap"/>
    <s v="10Kitsap"/>
    <s v="02South Puget Sound"/>
    <n v="2.9507575757575801"/>
    <n v="2.9507575757575801"/>
    <n v="25.199469696969732"/>
  </r>
  <r>
    <n v="947"/>
    <x v="2"/>
    <x v="8"/>
    <x v="2"/>
    <s v="Freshwater"/>
    <x v="0"/>
    <x v="0"/>
    <s v="852"/>
    <s v="Snoqualmie River"/>
    <s v="Snoqualmie River"/>
    <s v="Snohomish/King"/>
    <x v="0"/>
    <s v="Other"/>
    <s v="20Other"/>
    <s v="07Non Puget Sound"/>
    <n v="8.8522727272727302"/>
    <n v="8.8522727272727302"/>
    <n v="75.598409090909115"/>
  </r>
  <r>
    <n v="948"/>
    <x v="2"/>
    <x v="8"/>
    <x v="2"/>
    <s v="Freshwater"/>
    <x v="0"/>
    <x v="0"/>
    <s v="852"/>
    <s v="Snoqualmie River"/>
    <s v="Snoqualmie River"/>
    <s v="Snohomish/King"/>
    <x v="0"/>
    <s v="Pierce"/>
    <s v="07Pierce"/>
    <s v="02South Puget Sound"/>
    <n v="35.409090909090899"/>
    <n v="35.409090909090899"/>
    <n v="302.39363636363623"/>
  </r>
  <r>
    <n v="949"/>
    <x v="2"/>
    <x v="8"/>
    <x v="2"/>
    <s v="Freshwater"/>
    <x v="0"/>
    <x v="0"/>
    <s v="852"/>
    <s v="Snoqualmie River"/>
    <s v="Snoqualmie River"/>
    <s v="Snohomish/King"/>
    <x v="0"/>
    <s v="Snohomish"/>
    <s v="03Snohomish"/>
    <s v="01North Puget Sound"/>
    <n v="32.4583333333333"/>
    <n v="32.4583333333333"/>
    <n v="277.19416666666638"/>
  </r>
  <r>
    <n v="1011"/>
    <x v="2"/>
    <x v="8"/>
    <x v="2"/>
    <s v="Freshwater"/>
    <x v="0"/>
    <x v="0"/>
    <s v="872"/>
    <s v="Stillaguamish R, No. Fork"/>
    <s v="Stillaguamish R, No. Fork"/>
    <s v="Snohomish"/>
    <x v="0"/>
    <s v="King"/>
    <s v="06King"/>
    <s v="02South Puget Sound"/>
    <n v="2.92537313432836"/>
    <n v="2.92537313432836"/>
    <n v="24.98268656716419"/>
  </r>
  <r>
    <n v="1012"/>
    <x v="2"/>
    <x v="8"/>
    <x v="2"/>
    <s v="Freshwater"/>
    <x v="0"/>
    <x v="0"/>
    <s v="872"/>
    <s v="Stillaguamish R, No. Fork"/>
    <s v="Stillaguamish R, No. Fork"/>
    <s v="Snohomish"/>
    <x v="0"/>
    <s v="Skagit"/>
    <s v="02Skagit"/>
    <s v="01North Puget Sound"/>
    <n v="2.92537313432836"/>
    <n v="2.92537313432836"/>
    <n v="24.98268656716419"/>
  </r>
  <r>
    <n v="1013"/>
    <x v="2"/>
    <x v="8"/>
    <x v="2"/>
    <s v="Freshwater"/>
    <x v="0"/>
    <x v="0"/>
    <s v="872"/>
    <s v="Stillaguamish R, No. Fork"/>
    <s v="Stillaguamish R, No. Fork"/>
    <s v="Snohomish"/>
    <x v="0"/>
    <s v="Snohomish"/>
    <s v="03Snohomish"/>
    <s v="01North Puget Sound"/>
    <n v="187.22388059701501"/>
    <n v="187.22388059701501"/>
    <n v="1598.891940298508"/>
  </r>
  <r>
    <n v="1014"/>
    <x v="2"/>
    <x v="8"/>
    <x v="2"/>
    <s v="Freshwater"/>
    <x v="0"/>
    <x v="0"/>
    <s v="872"/>
    <s v="Stillaguamish R, No. Fork"/>
    <s v="Stillaguamish R, No. Fork"/>
    <s v="Snohomish"/>
    <x v="0"/>
    <s v="Whatcom"/>
    <s v="01Whatcom"/>
    <s v="01North Puget Sound"/>
    <n v="2.92537313432836"/>
    <n v="2.92537313432836"/>
    <n v="24.98268656716419"/>
  </r>
  <r>
    <n v="1029"/>
    <x v="2"/>
    <x v="8"/>
    <x v="2"/>
    <s v="Freshwater"/>
    <x v="0"/>
    <x v="0"/>
    <s v="876"/>
    <s v="Stillaguamish River"/>
    <s v="Stillaguamish River"/>
    <s v="Snohomish"/>
    <x v="0"/>
    <s v="Snohomish"/>
    <s v="03Snohomish"/>
    <s v="01North Puget Sound"/>
    <n v="20"/>
    <n v="20"/>
    <n v="170.79999999999998"/>
  </r>
  <r>
    <n v="957"/>
    <x v="2"/>
    <x v="8"/>
    <x v="2"/>
    <s v="Freshwater"/>
    <x v="0"/>
    <x v="0"/>
    <s v="854"/>
    <s v="Sultan River"/>
    <s v="Sultan River"/>
    <s v="Snohomish"/>
    <x v="0"/>
    <s v="Other"/>
    <s v="20Other"/>
    <s v="07Non Puget Sound"/>
    <n v="3"/>
    <n v="3"/>
    <n v="25.619999999999997"/>
  </r>
  <r>
    <n v="958"/>
    <x v="2"/>
    <x v="8"/>
    <x v="2"/>
    <s v="Freshwater"/>
    <x v="0"/>
    <x v="0"/>
    <s v="854"/>
    <s v="Sultan River"/>
    <s v="Sultan River"/>
    <s v="Snohomish"/>
    <x v="0"/>
    <s v="Snohomish"/>
    <s v="03Snohomish"/>
    <s v="01North Puget Sound"/>
    <n v="3"/>
    <n v="3"/>
    <n v="25.619999999999997"/>
  </r>
  <r>
    <n v="962"/>
    <x v="2"/>
    <x v="8"/>
    <x v="2"/>
    <s v="Freshwater"/>
    <x v="0"/>
    <x v="0"/>
    <s v="856"/>
    <s v="Tokul Creek"/>
    <s v="Tokul Creek"/>
    <s v="King"/>
    <x v="0"/>
    <s v="King"/>
    <s v="06King"/>
    <s v="02South Puget Sound"/>
    <n v="175.8125"/>
    <n v="175.8125"/>
    <n v="1501.4387499999998"/>
  </r>
  <r>
    <n v="963"/>
    <x v="2"/>
    <x v="8"/>
    <x v="2"/>
    <s v="Freshwater"/>
    <x v="0"/>
    <x v="0"/>
    <s v="856"/>
    <s v="Tokul Creek"/>
    <s v="Tokul Creek"/>
    <s v="King"/>
    <x v="0"/>
    <s v="Snohomish"/>
    <s v="03Snohomish"/>
    <s v="01North Puget Sound"/>
    <n v="18.1875"/>
    <n v="18.1875"/>
    <n v="155.32124999999999"/>
  </r>
  <r>
    <n v="971"/>
    <x v="2"/>
    <x v="8"/>
    <x v="2"/>
    <s v="Freshwater"/>
    <x v="0"/>
    <x v="0"/>
    <s v="858"/>
    <s v="Tolt River"/>
    <s v="Tolt River"/>
    <s v="King"/>
    <x v="0"/>
    <s v="King"/>
    <s v="06King"/>
    <s v="02South Puget Sound"/>
    <n v="3"/>
    <n v="3"/>
    <n v="25.619999999999997"/>
  </r>
  <r>
    <n v="972"/>
    <x v="2"/>
    <x v="8"/>
    <x v="2"/>
    <s v="Freshwater"/>
    <x v="0"/>
    <x v="0"/>
    <s v="858"/>
    <s v="Tolt River"/>
    <s v="Tolt River"/>
    <s v="King"/>
    <x v="0"/>
    <s v="Snohomish"/>
    <s v="03Snohomish"/>
    <s v="01North Puget Sound"/>
    <n v="3"/>
    <n v="3"/>
    <n v="25.619999999999997"/>
  </r>
  <r>
    <n v="982"/>
    <x v="2"/>
    <x v="8"/>
    <x v="2"/>
    <s v="Freshwater"/>
    <x v="0"/>
    <x v="0"/>
    <s v="860"/>
    <s v="Wallace River"/>
    <s v="Wallace River"/>
    <s v="Snohomish"/>
    <x v="0"/>
    <s v="King"/>
    <s v="06King"/>
    <s v="02South Puget Sound"/>
    <n v="5.8823529411764701"/>
    <n v="5.8823529411764701"/>
    <n v="50.235294117647051"/>
  </r>
  <r>
    <n v="983"/>
    <x v="2"/>
    <x v="8"/>
    <x v="2"/>
    <s v="Freshwater"/>
    <x v="0"/>
    <x v="0"/>
    <s v="860"/>
    <s v="Wallace River"/>
    <s v="Wallace River"/>
    <s v="Snohomish"/>
    <x v="0"/>
    <s v="Other"/>
    <s v="20Other"/>
    <s v="07Non Puget Sound"/>
    <n v="2.9411764705882399"/>
    <n v="2.9411764705882399"/>
    <n v="25.117647058823568"/>
  </r>
  <r>
    <n v="984"/>
    <x v="2"/>
    <x v="8"/>
    <x v="2"/>
    <s v="Freshwater"/>
    <x v="0"/>
    <x v="0"/>
    <s v="860"/>
    <s v="Wallace River"/>
    <s v="Wallace River"/>
    <s v="Snohomish"/>
    <x v="0"/>
    <s v="Snohomish"/>
    <s v="03Snohomish"/>
    <s v="01North Puget Sound"/>
    <n v="41.176470588235297"/>
    <n v="41.176470588235297"/>
    <n v="351.64705882352939"/>
  </r>
  <r>
    <n v="1045"/>
    <x v="3"/>
    <x v="9"/>
    <x v="2"/>
    <s v="Freshwater"/>
    <x v="0"/>
    <x v="0"/>
    <s v="9"/>
    <s v="Area 9: Admiralty Inlet"/>
    <s v="Area 9: Admiralty Inlet"/>
    <s v="NA"/>
    <x v="0"/>
    <s v="King"/>
    <s v="06King"/>
    <s v="02South Puget Sound"/>
    <n v="4"/>
    <n v="4"/>
    <n v="74.2"/>
  </r>
  <r>
    <n v="991"/>
    <x v="3"/>
    <x v="9"/>
    <x v="2"/>
    <s v="Freshwater"/>
    <x v="0"/>
    <x v="0"/>
    <s v="866"/>
    <s v="Canyon Creek"/>
    <s v="Canyon Creek"/>
    <s v="Snohomish"/>
    <x v="0"/>
    <s v="Snohomish"/>
    <s v="03Snohomish"/>
    <s v="01North Puget Sound"/>
    <n v="12"/>
    <n v="12"/>
    <n v="222.60000000000002"/>
  </r>
  <r>
    <n v="824"/>
    <x v="3"/>
    <x v="9"/>
    <x v="2"/>
    <s v="Freshwater"/>
    <x v="0"/>
    <x v="0"/>
    <s v="826"/>
    <s v="Cascade River"/>
    <s v="Cascade River"/>
    <s v="Skagit"/>
    <x v="1"/>
    <s v="Island"/>
    <s v="04Island"/>
    <s v="01North Puget Sound"/>
    <n v="7.0588235294117698"/>
    <n v="7.0588235294117698"/>
    <n v="130.94117647058835"/>
  </r>
  <r>
    <n v="825"/>
    <x v="3"/>
    <x v="9"/>
    <x v="2"/>
    <s v="Freshwater"/>
    <x v="0"/>
    <x v="0"/>
    <s v="826"/>
    <s v="Cascade River"/>
    <s v="Cascade River"/>
    <s v="Skagit"/>
    <x v="1"/>
    <s v="King"/>
    <s v="06King"/>
    <s v="02South Puget Sound"/>
    <n v="4.7058823529411802"/>
    <n v="4.7058823529411802"/>
    <n v="87.294117647058897"/>
  </r>
  <r>
    <n v="826"/>
    <x v="3"/>
    <x v="9"/>
    <x v="2"/>
    <s v="Freshwater"/>
    <x v="0"/>
    <x v="0"/>
    <s v="826"/>
    <s v="Cascade River"/>
    <s v="Cascade River"/>
    <s v="Skagit"/>
    <x v="1"/>
    <s v="Kitsap"/>
    <s v="10Kitsap"/>
    <s v="02South Puget Sound"/>
    <n v="11.764705882352899"/>
    <n v="11.764705882352899"/>
    <n v="218.2352941176463"/>
  </r>
  <r>
    <n v="827"/>
    <x v="3"/>
    <x v="9"/>
    <x v="2"/>
    <s v="Freshwater"/>
    <x v="0"/>
    <x v="0"/>
    <s v="826"/>
    <s v="Cascade River"/>
    <s v="Cascade River"/>
    <s v="Skagit"/>
    <x v="1"/>
    <s v="Skagit"/>
    <s v="02Skagit"/>
    <s v="01North Puget Sound"/>
    <n v="75.294117647058798"/>
    <n v="75.294117647058798"/>
    <n v="1396.7058823529408"/>
  </r>
  <r>
    <n v="828"/>
    <x v="3"/>
    <x v="9"/>
    <x v="2"/>
    <s v="Freshwater"/>
    <x v="0"/>
    <x v="0"/>
    <s v="826"/>
    <s v="Cascade River"/>
    <s v="Cascade River"/>
    <s v="Skagit"/>
    <x v="1"/>
    <s v="Snohomish"/>
    <s v="03Snohomish"/>
    <s v="01North Puget Sound"/>
    <n v="14.117647058823501"/>
    <n v="14.117647058823501"/>
    <n v="261.88235294117595"/>
  </r>
  <r>
    <n v="829"/>
    <x v="3"/>
    <x v="9"/>
    <x v="2"/>
    <s v="Freshwater"/>
    <x v="0"/>
    <x v="0"/>
    <s v="826"/>
    <s v="Cascade River"/>
    <s v="Cascade River"/>
    <s v="Skagit"/>
    <x v="1"/>
    <s v="Whatcom"/>
    <s v="01Whatcom"/>
    <s v="01North Puget Sound"/>
    <n v="7.0588235294117698"/>
    <n v="7.0588235294117698"/>
    <n v="130.94117647058835"/>
  </r>
  <r>
    <n v="738"/>
    <x v="3"/>
    <x v="9"/>
    <x v="2"/>
    <s v="Freshwater"/>
    <x v="0"/>
    <x v="0"/>
    <s v="718"/>
    <s v="Clallam River"/>
    <s v="Clallam River"/>
    <s v="Clallam"/>
    <x v="3"/>
    <s v="Clallam"/>
    <s v="11Clallam"/>
    <s v="03Strait of Juan de Fuca"/>
    <n v="13"/>
    <n v="13"/>
    <n v="241.15"/>
  </r>
  <r>
    <n v="745"/>
    <x v="3"/>
    <x v="9"/>
    <x v="2"/>
    <s v="Freshwater"/>
    <x v="0"/>
    <x v="0"/>
    <s v="738"/>
    <s v="Dungeness River"/>
    <s v="Dungeness River"/>
    <s v="Clallam"/>
    <x v="3"/>
    <s v="Clallam"/>
    <s v="11Clallam"/>
    <s v="03Strait of Juan de Fuca"/>
    <n v="28.8"/>
    <n v="28.8"/>
    <n v="534.24"/>
  </r>
  <r>
    <n v="746"/>
    <x v="3"/>
    <x v="9"/>
    <x v="2"/>
    <s v="Freshwater"/>
    <x v="0"/>
    <x v="0"/>
    <s v="738"/>
    <s v="Dungeness River"/>
    <s v="Dungeness River"/>
    <s v="Clallam"/>
    <x v="3"/>
    <s v="Kitsap"/>
    <s v="10Kitsap"/>
    <s v="02South Puget Sound"/>
    <n v="3.2"/>
    <n v="3.2"/>
    <n v="59.360000000000007"/>
  </r>
  <r>
    <n v="763"/>
    <x v="3"/>
    <x v="9"/>
    <x v="2"/>
    <s v="Freshwater"/>
    <x v="0"/>
    <x v="0"/>
    <s v="746"/>
    <s v="Green (Duwamish River) (King Co.)"/>
    <s v="Green - Duwamish River"/>
    <s v="King"/>
    <x v="2"/>
    <s v="King"/>
    <s v="06King"/>
    <s v="02South Puget Sound"/>
    <n v="24.4444444444445"/>
    <n v="24.4444444444445"/>
    <n v="453.44444444444548"/>
  </r>
  <r>
    <n v="764"/>
    <x v="3"/>
    <x v="9"/>
    <x v="2"/>
    <s v="Freshwater"/>
    <x v="0"/>
    <x v="0"/>
    <s v="746"/>
    <s v="Green (Duwamish River) (King Co.)"/>
    <s v="Green - Duwamish River"/>
    <s v="King"/>
    <x v="2"/>
    <s v="Pierce"/>
    <s v="07Pierce"/>
    <s v="02South Puget Sound"/>
    <n v="13.3333333333333"/>
    <n v="13.3333333333333"/>
    <n v="247.33333333333272"/>
  </r>
  <r>
    <n v="765"/>
    <x v="3"/>
    <x v="9"/>
    <x v="2"/>
    <s v="Freshwater"/>
    <x v="0"/>
    <x v="0"/>
    <s v="746"/>
    <s v="Green (Duwamish River) (King Co.)"/>
    <s v="Green - Duwamish River"/>
    <s v="King"/>
    <x v="2"/>
    <s v="Snohomish"/>
    <s v="03Snohomish"/>
    <s v="01North Puget Sound"/>
    <n v="2.2222222222222201"/>
    <n v="2.2222222222222201"/>
    <n v="41.222222222222186"/>
  </r>
  <r>
    <n v="773"/>
    <x v="3"/>
    <x v="9"/>
    <x v="2"/>
    <s v="Freshwater"/>
    <x v="0"/>
    <x v="0"/>
    <s v="752"/>
    <s v="Hoko River"/>
    <s v="Hoko River"/>
    <s v="Clallam"/>
    <x v="3"/>
    <s v="Clallam"/>
    <s v="11Clallam"/>
    <s v="03Strait of Juan de Fuca"/>
    <n v="38.6666666666667"/>
    <n v="38.6666666666667"/>
    <n v="717.26666666666733"/>
  </r>
  <r>
    <n v="774"/>
    <x v="3"/>
    <x v="9"/>
    <x v="2"/>
    <s v="Freshwater"/>
    <x v="0"/>
    <x v="0"/>
    <s v="752"/>
    <s v="Hoko River"/>
    <s v="Hoko River"/>
    <s v="Clallam"/>
    <x v="3"/>
    <s v="King"/>
    <s v="06King"/>
    <s v="02South Puget Sound"/>
    <n v="9.6666666666666696"/>
    <n v="9.6666666666666696"/>
    <n v="179.31666666666672"/>
  </r>
  <r>
    <n v="775"/>
    <x v="3"/>
    <x v="9"/>
    <x v="2"/>
    <s v="Freshwater"/>
    <x v="0"/>
    <x v="0"/>
    <s v="752"/>
    <s v="Hoko River"/>
    <s v="Hoko River"/>
    <s v="Clallam"/>
    <x v="3"/>
    <s v="Other"/>
    <s v="20Other"/>
    <s v="07Non Puget Sound"/>
    <n v="2.4166666666666701"/>
    <n v="2.4166666666666701"/>
    <n v="44.82916666666673"/>
  </r>
  <r>
    <n v="776"/>
    <x v="3"/>
    <x v="9"/>
    <x v="2"/>
    <s v="Freshwater"/>
    <x v="0"/>
    <x v="0"/>
    <s v="752"/>
    <s v="Hoko River"/>
    <s v="Hoko River"/>
    <s v="Clallam"/>
    <x v="3"/>
    <s v="Pierce"/>
    <s v="07Pierce"/>
    <s v="02South Puget Sound"/>
    <n v="7.25"/>
    <n v="7.25"/>
    <n v="134.48750000000001"/>
  </r>
  <r>
    <n v="785"/>
    <x v="3"/>
    <x v="9"/>
    <x v="2"/>
    <s v="Freshwater"/>
    <x v="0"/>
    <x v="0"/>
    <s v="768"/>
    <s v="Lyre River"/>
    <s v="Lyre River"/>
    <s v="Clallam"/>
    <x v="3"/>
    <s v="Clallam"/>
    <s v="11Clallam"/>
    <s v="03Strait of Juan de Fuca"/>
    <n v="3"/>
    <n v="3"/>
    <n v="55.650000000000006"/>
  </r>
  <r>
    <n v="788"/>
    <x v="3"/>
    <x v="9"/>
    <x v="2"/>
    <s v="Freshwater"/>
    <x v="0"/>
    <x v="0"/>
    <s v="782"/>
    <s v="Morse Creek (Clallam Co.)"/>
    <s v="Morse Creek (Clallam Co.)"/>
    <s v="Clallam"/>
    <x v="3"/>
    <s v="Clallam"/>
    <s v="11Clallam"/>
    <s v="03Strait of Juan de Fuca"/>
    <n v="3"/>
    <n v="3"/>
    <n v="55.650000000000006"/>
  </r>
  <r>
    <n v="789"/>
    <x v="3"/>
    <x v="9"/>
    <x v="2"/>
    <s v="Freshwater"/>
    <x v="0"/>
    <x v="0"/>
    <s v="786"/>
    <s v="Nisqually River"/>
    <s v="Nisqually River"/>
    <s v="Thurston/Pierce"/>
    <x v="2"/>
    <s v="Other"/>
    <s v="20Other"/>
    <s v="07Non Puget Sound"/>
    <n v="6"/>
    <n v="6"/>
    <n v="111.30000000000001"/>
  </r>
  <r>
    <n v="794"/>
    <x v="3"/>
    <x v="9"/>
    <x v="2"/>
    <s v="Freshwater"/>
    <x v="0"/>
    <x v="0"/>
    <s v="794"/>
    <s v="Nooksack River, below North Fork"/>
    <s v="Nooksack River, below North Fork"/>
    <s v="Whatcom"/>
    <x v="1"/>
    <s v="Skagit"/>
    <s v="02Skagit"/>
    <s v="01North Puget Sound"/>
    <n v="3.2"/>
    <n v="3.2"/>
    <n v="59.360000000000007"/>
  </r>
  <r>
    <n v="795"/>
    <x v="3"/>
    <x v="9"/>
    <x v="2"/>
    <s v="Freshwater"/>
    <x v="0"/>
    <x v="0"/>
    <s v="794"/>
    <s v="Nooksack River, below North Fork"/>
    <s v="Nooksack River, below North Fork"/>
    <s v="Whatcom"/>
    <x v="1"/>
    <s v="Whatcom"/>
    <s v="01Whatcom"/>
    <s v="01North Puget Sound"/>
    <n v="12.8"/>
    <n v="12.8"/>
    <n v="237.44000000000003"/>
  </r>
  <r>
    <n v="791"/>
    <x v="3"/>
    <x v="9"/>
    <x v="2"/>
    <s v="Freshwater"/>
    <x v="0"/>
    <x v="0"/>
    <s v="790"/>
    <s v="Nooksack River, No. Fork"/>
    <s v="Nooksack River, No. Fork"/>
    <s v="Whatcom"/>
    <x v="1"/>
    <s v="Whatcom"/>
    <s v="01Whatcom"/>
    <s v="01North Puget Sound"/>
    <n v="19"/>
    <n v="19"/>
    <n v="352.45"/>
  </r>
  <r>
    <n v="853"/>
    <x v="3"/>
    <x v="9"/>
    <x v="2"/>
    <s v="Freshwater"/>
    <x v="0"/>
    <x v="0"/>
    <s v="840"/>
    <s v="Pilchuck River (Snohomish System)"/>
    <s v="Pilchuck River (Snohomish System)"/>
    <s v="Snohomish"/>
    <x v="0"/>
    <s v="King"/>
    <s v="06King"/>
    <s v="02South Puget Sound"/>
    <n v="3"/>
    <n v="3"/>
    <n v="55.650000000000006"/>
  </r>
  <r>
    <n v="854"/>
    <x v="3"/>
    <x v="9"/>
    <x v="2"/>
    <s v="Freshwater"/>
    <x v="0"/>
    <x v="0"/>
    <s v="840"/>
    <s v="Pilchuck River (Snohomish System)"/>
    <s v="Pilchuck River (Snohomish System)"/>
    <s v="Snohomish"/>
    <x v="0"/>
    <s v="Snohomish"/>
    <s v="03Snohomish"/>
    <s v="01North Puget Sound"/>
    <n v="6"/>
    <n v="6"/>
    <n v="111.30000000000001"/>
  </r>
  <r>
    <n v="800"/>
    <x v="3"/>
    <x v="9"/>
    <x v="2"/>
    <s v="Freshwater"/>
    <x v="0"/>
    <x v="0"/>
    <s v="810"/>
    <s v="Pysht River"/>
    <s v="Pysht River"/>
    <s v="Clallam"/>
    <x v="3"/>
    <s v="Clallam"/>
    <s v="11Clallam"/>
    <s v="03Strait of Juan de Fuca"/>
    <n v="19"/>
    <n v="19"/>
    <n v="352.45"/>
  </r>
  <r>
    <n v="848"/>
    <x v="3"/>
    <x v="9"/>
    <x v="2"/>
    <s v="Freshwater"/>
    <x v="0"/>
    <x v="0"/>
    <s v="830"/>
    <s v="Skagit River"/>
    <s v="Skagit River"/>
    <s v="Skagit/Whatcom"/>
    <x v="0"/>
    <s v="Skagit"/>
    <s v="02Skagit"/>
    <s v="01North Puget Sound"/>
    <n v="39.6666666666667"/>
    <n v="39.6666666666667"/>
    <n v="735.81666666666729"/>
  </r>
  <r>
    <n v="849"/>
    <x v="3"/>
    <x v="9"/>
    <x v="2"/>
    <s v="Freshwater"/>
    <x v="0"/>
    <x v="0"/>
    <s v="830"/>
    <s v="Skagit River"/>
    <s v="Skagit River"/>
    <s v="Skagit/Whatcom"/>
    <x v="0"/>
    <s v="Whatcom"/>
    <s v="01Whatcom"/>
    <s v="01North Puget Sound"/>
    <n v="2.3333333333333299"/>
    <n v="2.3333333333333299"/>
    <n v="43.283333333333275"/>
  </r>
  <r>
    <n v="895"/>
    <x v="3"/>
    <x v="9"/>
    <x v="2"/>
    <s v="Freshwater"/>
    <x v="0"/>
    <x v="0"/>
    <s v="844"/>
    <s v="Skykomish River"/>
    <s v="Skykomish River"/>
    <s v="Snohomish"/>
    <x v="0"/>
    <s v="King"/>
    <s v="06King"/>
    <s v="02South Puget Sound"/>
    <n v="206.13496932515301"/>
    <n v="206.13496932515301"/>
    <n v="3823.8036809815885"/>
  </r>
  <r>
    <n v="896"/>
    <x v="3"/>
    <x v="9"/>
    <x v="2"/>
    <s v="Freshwater"/>
    <x v="0"/>
    <x v="0"/>
    <s v="844"/>
    <s v="Skykomish River"/>
    <s v="Skykomish River"/>
    <s v="Snohomish"/>
    <x v="0"/>
    <s v="Other"/>
    <s v="20Other"/>
    <s v="07Non Puget Sound"/>
    <n v="5.8895705521472399"/>
    <n v="5.8895705521472399"/>
    <n v="109.2515337423313"/>
  </r>
  <r>
    <n v="897"/>
    <x v="3"/>
    <x v="9"/>
    <x v="2"/>
    <s v="Freshwater"/>
    <x v="0"/>
    <x v="0"/>
    <s v="844"/>
    <s v="Skykomish River"/>
    <s v="Skykomish River"/>
    <s v="Snohomish"/>
    <x v="0"/>
    <s v="Skagit"/>
    <s v="02Skagit"/>
    <s v="01North Puget Sound"/>
    <n v="2.94478527607362"/>
    <n v="2.94478527607362"/>
    <n v="54.625766871165652"/>
  </r>
  <r>
    <n v="898"/>
    <x v="3"/>
    <x v="9"/>
    <x v="2"/>
    <s v="Freshwater"/>
    <x v="0"/>
    <x v="0"/>
    <s v="844"/>
    <s v="Skykomish River"/>
    <s v="Skykomish River"/>
    <s v="Snohomish"/>
    <x v="0"/>
    <s v="Snohomish"/>
    <s v="03Snohomish"/>
    <s v="01North Puget Sound"/>
    <n v="259.14110429447902"/>
    <n v="259.14110429447902"/>
    <n v="4807.0674846625861"/>
  </r>
  <r>
    <n v="899"/>
    <x v="3"/>
    <x v="9"/>
    <x v="2"/>
    <s v="Freshwater"/>
    <x v="0"/>
    <x v="0"/>
    <s v="844"/>
    <s v="Skykomish River"/>
    <s v="Skykomish River"/>
    <s v="Snohomish"/>
    <x v="0"/>
    <s v="Thurston"/>
    <s v="08Thurston"/>
    <s v="02South Puget Sound"/>
    <n v="5.8895705521472399"/>
    <n v="5.8895705521472399"/>
    <n v="109.2515337423313"/>
  </r>
  <r>
    <n v="914"/>
    <x v="3"/>
    <x v="9"/>
    <x v="2"/>
    <s v="Freshwater"/>
    <x v="0"/>
    <x v="0"/>
    <s v="846"/>
    <s v="Skykomish River, No. Fork"/>
    <s v="Skykomish River, No. Fork"/>
    <s v="Snohomish"/>
    <x v="0"/>
    <s v="King"/>
    <s v="06King"/>
    <s v="02South Puget Sound"/>
    <n v="24"/>
    <n v="24"/>
    <n v="445.20000000000005"/>
  </r>
  <r>
    <n v="921"/>
    <x v="3"/>
    <x v="9"/>
    <x v="2"/>
    <s v="Freshwater"/>
    <x v="0"/>
    <x v="0"/>
    <s v="848"/>
    <s v="Skykomish River, So. Fork"/>
    <s v="Skykomish River, So. Fork"/>
    <s v="Snohomish/King"/>
    <x v="0"/>
    <s v="Snohomish"/>
    <s v="03Snohomish"/>
    <s v="01North Puget Sound"/>
    <n v="3"/>
    <n v="3"/>
    <n v="55.650000000000006"/>
  </r>
  <r>
    <n v="937"/>
    <x v="3"/>
    <x v="9"/>
    <x v="2"/>
    <s v="Freshwater"/>
    <x v="0"/>
    <x v="0"/>
    <s v="850"/>
    <s v="Snohomish River"/>
    <s v="Snohomish River"/>
    <s v="Snohomish"/>
    <x v="0"/>
    <s v="King"/>
    <s v="06King"/>
    <s v="02South Puget Sound"/>
    <n v="3"/>
    <n v="3"/>
    <n v="55.650000000000006"/>
  </r>
  <r>
    <n v="938"/>
    <x v="3"/>
    <x v="9"/>
    <x v="2"/>
    <s v="Freshwater"/>
    <x v="0"/>
    <x v="0"/>
    <s v="850"/>
    <s v="Snohomish River"/>
    <s v="Snohomish River"/>
    <s v="Snohomish"/>
    <x v="0"/>
    <s v="Snohomish"/>
    <s v="03Snohomish"/>
    <s v="01North Puget Sound"/>
    <n v="30"/>
    <n v="30"/>
    <n v="556.5"/>
  </r>
  <r>
    <n v="939"/>
    <x v="3"/>
    <x v="9"/>
    <x v="2"/>
    <s v="Freshwater"/>
    <x v="0"/>
    <x v="0"/>
    <s v="850"/>
    <s v="Snohomish River"/>
    <s v="Snohomish River"/>
    <s v="Snohomish"/>
    <x v="0"/>
    <s v="Whatcom"/>
    <s v="01Whatcom"/>
    <s v="01North Puget Sound"/>
    <n v="3"/>
    <n v="3"/>
    <n v="55.650000000000006"/>
  </r>
  <r>
    <n v="950"/>
    <x v="3"/>
    <x v="9"/>
    <x v="2"/>
    <s v="Freshwater"/>
    <x v="0"/>
    <x v="0"/>
    <s v="852"/>
    <s v="Snoqualmie River"/>
    <s v="Snoqualmie River"/>
    <s v="Snohomish/King"/>
    <x v="0"/>
    <s v="King"/>
    <s v="06King"/>
    <s v="02South Puget Sound"/>
    <n v="239.232558139535"/>
    <n v="239.232558139535"/>
    <n v="4437.7639534883747"/>
  </r>
  <r>
    <n v="951"/>
    <x v="3"/>
    <x v="9"/>
    <x v="2"/>
    <s v="Freshwater"/>
    <x v="0"/>
    <x v="0"/>
    <s v="852"/>
    <s v="Snoqualmie River"/>
    <s v="Snoqualmie River"/>
    <s v="Snohomish/King"/>
    <x v="0"/>
    <s v="Other"/>
    <s v="20Other"/>
    <s v="07Non Puget Sound"/>
    <n v="2.9534883720930201"/>
    <n v="2.9534883720930201"/>
    <n v="54.787209302325522"/>
  </r>
  <r>
    <n v="952"/>
    <x v="3"/>
    <x v="9"/>
    <x v="2"/>
    <s v="Freshwater"/>
    <x v="0"/>
    <x v="0"/>
    <s v="852"/>
    <s v="Snoqualmie River"/>
    <s v="Snoqualmie River"/>
    <s v="Snohomish/King"/>
    <x v="0"/>
    <s v="Snohomish"/>
    <s v="03Snohomish"/>
    <s v="01North Puget Sound"/>
    <n v="8.8604651162790695"/>
    <n v="8.8604651162790695"/>
    <n v="164.36162790697674"/>
  </r>
  <r>
    <n v="953"/>
    <x v="3"/>
    <x v="9"/>
    <x v="2"/>
    <s v="Freshwater"/>
    <x v="0"/>
    <x v="0"/>
    <s v="852"/>
    <s v="Snoqualmie River"/>
    <s v="Snoqualmie River"/>
    <s v="Snohomish/King"/>
    <x v="0"/>
    <s v="Thurston"/>
    <s v="08Thurston"/>
    <s v="02South Puget Sound"/>
    <n v="2.9534883720930201"/>
    <n v="2.9534883720930201"/>
    <n v="54.787209302325522"/>
  </r>
  <r>
    <n v="1015"/>
    <x v="3"/>
    <x v="9"/>
    <x v="2"/>
    <s v="Freshwater"/>
    <x v="0"/>
    <x v="0"/>
    <s v="872"/>
    <s v="Stillaguamish R, No. Fork"/>
    <s v="Stillaguamish R, No. Fork"/>
    <s v="Snohomish"/>
    <x v="0"/>
    <s v="San Juan"/>
    <s v="05San Juan"/>
    <s v="01North Puget Sound"/>
    <n v="8.7692307692307701"/>
    <n v="8.7692307692307701"/>
    <n v="162.66923076923078"/>
  </r>
  <r>
    <n v="1016"/>
    <x v="3"/>
    <x v="9"/>
    <x v="2"/>
    <s v="Freshwater"/>
    <x v="0"/>
    <x v="0"/>
    <s v="872"/>
    <s v="Stillaguamish R, No. Fork"/>
    <s v="Stillaguamish R, No. Fork"/>
    <s v="Snohomish"/>
    <x v="0"/>
    <s v="Snohomish"/>
    <s v="03Snohomish"/>
    <s v="01North Puget Sound"/>
    <n v="105.230769230769"/>
    <n v="105.230769230769"/>
    <n v="1952.0307692307649"/>
  </r>
  <r>
    <n v="1022"/>
    <x v="3"/>
    <x v="9"/>
    <x v="2"/>
    <s v="Freshwater"/>
    <x v="0"/>
    <x v="0"/>
    <s v="874"/>
    <s v="Stillaguamish R, So. Fork"/>
    <s v="Stillaguamish R, So. Fork"/>
    <s v="Snohomish"/>
    <x v="0"/>
    <s v="Snohomish"/>
    <s v="03Snohomish"/>
    <s v="01North Puget Sound"/>
    <n v="3"/>
    <n v="3"/>
    <n v="55.650000000000006"/>
  </r>
  <r>
    <n v="1030"/>
    <x v="3"/>
    <x v="9"/>
    <x v="2"/>
    <s v="Freshwater"/>
    <x v="0"/>
    <x v="0"/>
    <s v="876"/>
    <s v="Stillaguamish River"/>
    <s v="Stillaguamish River"/>
    <s v="Snohomish"/>
    <x v="0"/>
    <s v="Snohomish"/>
    <s v="03Snohomish"/>
    <s v="01North Puget Sound"/>
    <n v="3"/>
    <n v="3"/>
    <n v="55.650000000000006"/>
  </r>
  <r>
    <n v="959"/>
    <x v="3"/>
    <x v="9"/>
    <x v="2"/>
    <s v="Freshwater"/>
    <x v="0"/>
    <x v="0"/>
    <s v="854"/>
    <s v="Sultan River"/>
    <s v="Sultan River"/>
    <s v="Snohomish"/>
    <x v="0"/>
    <s v="King"/>
    <s v="06King"/>
    <s v="02South Puget Sound"/>
    <n v="3"/>
    <n v="3"/>
    <n v="55.650000000000006"/>
  </r>
  <r>
    <n v="960"/>
    <x v="3"/>
    <x v="9"/>
    <x v="2"/>
    <s v="Freshwater"/>
    <x v="0"/>
    <x v="0"/>
    <s v="854"/>
    <s v="Sultan River"/>
    <s v="Sultan River"/>
    <s v="Snohomish"/>
    <x v="0"/>
    <s v="Other"/>
    <s v="20Other"/>
    <s v="07Non Puget Sound"/>
    <n v="3"/>
    <n v="3"/>
    <n v="55.650000000000006"/>
  </r>
  <r>
    <n v="961"/>
    <x v="3"/>
    <x v="9"/>
    <x v="2"/>
    <s v="Freshwater"/>
    <x v="0"/>
    <x v="0"/>
    <s v="854"/>
    <s v="Sultan River"/>
    <s v="Sultan River"/>
    <s v="Snohomish"/>
    <x v="0"/>
    <s v="Snohomish"/>
    <s v="03Snohomish"/>
    <s v="01North Puget Sound"/>
    <n v="3"/>
    <n v="3"/>
    <n v="55.650000000000006"/>
  </r>
  <r>
    <n v="964"/>
    <x v="3"/>
    <x v="9"/>
    <x v="2"/>
    <s v="Freshwater"/>
    <x v="0"/>
    <x v="0"/>
    <s v="856"/>
    <s v="Tokul Creek"/>
    <s v="Tokul Creek"/>
    <s v="King"/>
    <x v="0"/>
    <s v="King"/>
    <s v="06King"/>
    <s v="02South Puget Sound"/>
    <n v="205.86301369863"/>
    <n v="205.86301369863"/>
    <n v="3818.7589041095866"/>
  </r>
  <r>
    <n v="965"/>
    <x v="3"/>
    <x v="9"/>
    <x v="2"/>
    <s v="Freshwater"/>
    <x v="0"/>
    <x v="0"/>
    <s v="856"/>
    <s v="Tokul Creek"/>
    <s v="Tokul Creek"/>
    <s v="King"/>
    <x v="0"/>
    <s v="Other"/>
    <s v="20Other"/>
    <s v="07Non Puget Sound"/>
    <n v="6.0547945205479499"/>
    <n v="6.0547945205479499"/>
    <n v="112.31643835616447"/>
  </r>
  <r>
    <n v="966"/>
    <x v="3"/>
    <x v="9"/>
    <x v="2"/>
    <s v="Freshwater"/>
    <x v="0"/>
    <x v="0"/>
    <s v="856"/>
    <s v="Tokul Creek"/>
    <s v="Tokul Creek"/>
    <s v="King"/>
    <x v="0"/>
    <s v="Pierce"/>
    <s v="07Pierce"/>
    <s v="02South Puget Sound"/>
    <n v="6.0547945205479499"/>
    <n v="6.0547945205479499"/>
    <n v="112.31643835616447"/>
  </r>
  <r>
    <n v="967"/>
    <x v="3"/>
    <x v="9"/>
    <x v="2"/>
    <s v="Freshwater"/>
    <x v="0"/>
    <x v="0"/>
    <s v="856"/>
    <s v="Tokul Creek"/>
    <s v="Tokul Creek"/>
    <s v="King"/>
    <x v="0"/>
    <s v="Snohomish"/>
    <s v="03Snohomish"/>
    <s v="01North Puget Sound"/>
    <n v="3.02739726027397"/>
    <n v="3.02739726027397"/>
    <n v="56.158219178082149"/>
  </r>
  <r>
    <n v="985"/>
    <x v="3"/>
    <x v="9"/>
    <x v="2"/>
    <s v="Freshwater"/>
    <x v="0"/>
    <x v="0"/>
    <s v="860"/>
    <s v="Wallace River"/>
    <s v="Wallace River"/>
    <s v="Snohomish"/>
    <x v="0"/>
    <s v="Other"/>
    <s v="20Other"/>
    <s v="07Non Puget Sound"/>
    <n v="2.9090909090909101"/>
    <n v="2.9090909090909101"/>
    <n v="53.963636363636382"/>
  </r>
  <r>
    <n v="986"/>
    <x v="3"/>
    <x v="9"/>
    <x v="2"/>
    <s v="Freshwater"/>
    <x v="0"/>
    <x v="0"/>
    <s v="860"/>
    <s v="Wallace River"/>
    <s v="Wallace River"/>
    <s v="Snohomish"/>
    <x v="0"/>
    <s v="Snohomish"/>
    <s v="03Snohomish"/>
    <s v="01North Puget Sound"/>
    <n v="29.090909090909101"/>
    <n v="29.090909090909101"/>
    <n v="539.63636363636385"/>
  </r>
  <r>
    <n v="798"/>
    <x v="3"/>
    <x v="10"/>
    <x v="2"/>
    <s v="Freshwater"/>
    <x v="0"/>
    <x v="0"/>
    <s v="81"/>
    <s v="Area 8-1: Skagit Bay-Saratoga Psg."/>
    <s v="Area 8-1: Skagit Bay-Saratoga Psg."/>
    <s v="NA"/>
    <x v="0"/>
    <s v="Thurston"/>
    <s v="08Thurston"/>
    <s v="02South Puget Sound"/>
    <n v="4"/>
    <n v="4"/>
    <n v="74.2"/>
  </r>
  <r>
    <n v="830"/>
    <x v="3"/>
    <x v="10"/>
    <x v="2"/>
    <s v="Freshwater"/>
    <x v="0"/>
    <x v="0"/>
    <s v="826"/>
    <s v="Cascade River"/>
    <s v="Cascade River"/>
    <s v="Skagit"/>
    <x v="1"/>
    <s v="Other"/>
    <s v="20Other"/>
    <s v="07Non Puget Sound"/>
    <n v="2.3684210526315801"/>
    <n v="2.3684210526315801"/>
    <n v="43.934210526315809"/>
  </r>
  <r>
    <n v="831"/>
    <x v="3"/>
    <x v="10"/>
    <x v="2"/>
    <s v="Freshwater"/>
    <x v="0"/>
    <x v="0"/>
    <s v="826"/>
    <s v="Cascade River"/>
    <s v="Cascade River"/>
    <s v="Skagit"/>
    <x v="1"/>
    <s v="Skagit"/>
    <s v="02Skagit"/>
    <s v="01North Puget Sound"/>
    <n v="35.526315789473699"/>
    <n v="35.526315789473699"/>
    <n v="659.01315789473711"/>
  </r>
  <r>
    <n v="832"/>
    <x v="3"/>
    <x v="10"/>
    <x v="2"/>
    <s v="Freshwater"/>
    <x v="0"/>
    <x v="0"/>
    <s v="826"/>
    <s v="Cascade River"/>
    <s v="Cascade River"/>
    <s v="Skagit"/>
    <x v="1"/>
    <s v="Whatcom"/>
    <s v="01Whatcom"/>
    <s v="01North Puget Sound"/>
    <n v="7.1052631578947398"/>
    <n v="7.1052631578947398"/>
    <n v="131.80263157894743"/>
  </r>
  <r>
    <n v="777"/>
    <x v="3"/>
    <x v="10"/>
    <x v="2"/>
    <s v="Freshwater"/>
    <x v="0"/>
    <x v="0"/>
    <s v="752"/>
    <s v="Hoko River"/>
    <s v="Hoko River"/>
    <s v="Clallam"/>
    <x v="3"/>
    <s v="Clallam"/>
    <s v="11Clallam"/>
    <s v="03Strait of Juan de Fuca"/>
    <n v="19.2"/>
    <n v="19.2"/>
    <n v="356.16"/>
  </r>
  <r>
    <n v="778"/>
    <x v="3"/>
    <x v="10"/>
    <x v="2"/>
    <s v="Freshwater"/>
    <x v="0"/>
    <x v="0"/>
    <s v="752"/>
    <s v="Hoko River"/>
    <s v="Hoko River"/>
    <s v="Clallam"/>
    <x v="3"/>
    <s v="King"/>
    <s v="06King"/>
    <s v="02South Puget Sound"/>
    <n v="2.4"/>
    <n v="2.4"/>
    <n v="44.52"/>
  </r>
  <r>
    <n v="779"/>
    <x v="3"/>
    <x v="10"/>
    <x v="2"/>
    <s v="Freshwater"/>
    <x v="0"/>
    <x v="0"/>
    <s v="752"/>
    <s v="Hoko River"/>
    <s v="Hoko River"/>
    <s v="Clallam"/>
    <x v="3"/>
    <s v="Snohomish"/>
    <s v="03Snohomish"/>
    <s v="01North Puget Sound"/>
    <n v="2.4"/>
    <n v="2.4"/>
    <n v="44.52"/>
  </r>
  <r>
    <n v="796"/>
    <x v="3"/>
    <x v="10"/>
    <x v="2"/>
    <s v="Freshwater"/>
    <x v="0"/>
    <x v="0"/>
    <s v="794"/>
    <s v="Nooksack River, below North Fork"/>
    <s v="Nooksack River, below North Fork"/>
    <s v="Whatcom"/>
    <x v="1"/>
    <s v="Whatcom"/>
    <s v="01Whatcom"/>
    <s v="01North Puget Sound"/>
    <n v="3"/>
    <n v="3"/>
    <n v="55.650000000000006"/>
  </r>
  <r>
    <n v="792"/>
    <x v="3"/>
    <x v="10"/>
    <x v="2"/>
    <s v="Freshwater"/>
    <x v="0"/>
    <x v="0"/>
    <s v="790"/>
    <s v="Nooksack River, No. Fork"/>
    <s v="Nooksack River, No. Fork"/>
    <s v="Whatcom"/>
    <x v="1"/>
    <s v="Whatcom"/>
    <s v="01Whatcom"/>
    <s v="01North Puget Sound"/>
    <n v="19"/>
    <n v="19"/>
    <n v="352.45"/>
  </r>
  <r>
    <n v="850"/>
    <x v="3"/>
    <x v="10"/>
    <x v="2"/>
    <s v="Freshwater"/>
    <x v="0"/>
    <x v="0"/>
    <s v="830"/>
    <s v="Skagit River"/>
    <s v="Skagit River"/>
    <s v="Skagit/Whatcom"/>
    <x v="0"/>
    <s v="Skagit"/>
    <s v="02Skagit"/>
    <s v="01North Puget Sound"/>
    <n v="9"/>
    <n v="9"/>
    <n v="166.95000000000002"/>
  </r>
  <r>
    <n v="900"/>
    <x v="3"/>
    <x v="10"/>
    <x v="2"/>
    <s v="Freshwater"/>
    <x v="0"/>
    <x v="0"/>
    <s v="844"/>
    <s v="Skykomish River"/>
    <s v="Skykomish River"/>
    <s v="Snohomish"/>
    <x v="0"/>
    <s v="King"/>
    <s v="06King"/>
    <s v="02South Puget Sound"/>
    <n v="29.4444444444445"/>
    <n v="29.4444444444445"/>
    <n v="546.19444444444548"/>
  </r>
  <r>
    <n v="901"/>
    <x v="3"/>
    <x v="10"/>
    <x v="2"/>
    <s v="Freshwater"/>
    <x v="0"/>
    <x v="0"/>
    <s v="844"/>
    <s v="Skykomish River"/>
    <s v="Skykomish River"/>
    <s v="Snohomish"/>
    <x v="0"/>
    <s v="Other"/>
    <s v="20Other"/>
    <s v="07Non Puget Sound"/>
    <n v="5.8888888888888902"/>
    <n v="5.8888888888888902"/>
    <n v="109.23888888888892"/>
  </r>
  <r>
    <n v="902"/>
    <x v="3"/>
    <x v="10"/>
    <x v="2"/>
    <s v="Freshwater"/>
    <x v="0"/>
    <x v="0"/>
    <s v="844"/>
    <s v="Skykomish River"/>
    <s v="Skykomish River"/>
    <s v="Snohomish"/>
    <x v="0"/>
    <s v="Snohomish"/>
    <s v="03Snohomish"/>
    <s v="01North Puget Sound"/>
    <n v="70.6666666666667"/>
    <n v="70.6666666666667"/>
    <n v="1310.8666666666672"/>
  </r>
  <r>
    <n v="954"/>
    <x v="3"/>
    <x v="10"/>
    <x v="2"/>
    <s v="Freshwater"/>
    <x v="0"/>
    <x v="0"/>
    <s v="852"/>
    <s v="Snoqualmie River"/>
    <s v="Snoqualmie River"/>
    <s v="Snohomish/King"/>
    <x v="0"/>
    <s v="King"/>
    <s v="06King"/>
    <s v="02South Puget Sound"/>
    <n v="12"/>
    <n v="12"/>
    <n v="222.60000000000002"/>
  </r>
  <r>
    <n v="1017"/>
    <x v="3"/>
    <x v="10"/>
    <x v="2"/>
    <s v="Freshwater"/>
    <x v="0"/>
    <x v="0"/>
    <s v="872"/>
    <s v="Stillaguamish R, No. Fork"/>
    <s v="Stillaguamish R, No. Fork"/>
    <s v="Snohomish"/>
    <x v="0"/>
    <s v="Snohomish"/>
    <s v="03Snohomish"/>
    <s v="01North Puget Sound"/>
    <n v="23"/>
    <n v="23"/>
    <n v="426.65000000000003"/>
  </r>
  <r>
    <n v="968"/>
    <x v="3"/>
    <x v="10"/>
    <x v="2"/>
    <s v="Freshwater"/>
    <x v="0"/>
    <x v="0"/>
    <s v="856"/>
    <s v="Tokul Creek"/>
    <s v="Tokul Creek"/>
    <s v="King"/>
    <x v="0"/>
    <s v="King"/>
    <s v="06King"/>
    <s v="02South Puget Sound"/>
    <n v="84.933333333333394"/>
    <n v="84.933333333333394"/>
    <n v="1575.5133333333345"/>
  </r>
  <r>
    <n v="969"/>
    <x v="3"/>
    <x v="10"/>
    <x v="2"/>
    <s v="Freshwater"/>
    <x v="0"/>
    <x v="0"/>
    <s v="856"/>
    <s v="Tokul Creek"/>
    <s v="Tokul Creek"/>
    <s v="King"/>
    <x v="0"/>
    <s v="Pierce"/>
    <s v="07Pierce"/>
    <s v="02South Puget Sound"/>
    <n v="3.0333333333333301"/>
    <n v="3.0333333333333301"/>
    <n v="56.268333333333274"/>
  </r>
  <r>
    <n v="970"/>
    <x v="3"/>
    <x v="10"/>
    <x v="2"/>
    <s v="Freshwater"/>
    <x v="0"/>
    <x v="0"/>
    <s v="856"/>
    <s v="Tokul Creek"/>
    <s v="Tokul Creek"/>
    <s v="King"/>
    <x v="0"/>
    <s v="Snohomish"/>
    <s v="03Snohomish"/>
    <s v="01North Puget Sound"/>
    <n v="3.0333333333333301"/>
    <n v="3.0333333333333301"/>
    <n v="56.268333333333274"/>
  </r>
  <r>
    <n v="987"/>
    <x v="3"/>
    <x v="10"/>
    <x v="2"/>
    <s v="Freshwater"/>
    <x v="0"/>
    <x v="0"/>
    <s v="860"/>
    <s v="Wallace River"/>
    <s v="Wallace River"/>
    <s v="Snohomish"/>
    <x v="0"/>
    <s v="Snohomish"/>
    <s v="03Snohomish"/>
    <s v="01North Puget Sound"/>
    <n v="6"/>
    <n v="6"/>
    <n v="111.30000000000001"/>
  </r>
  <r>
    <n v="805"/>
    <x v="3"/>
    <x v="11"/>
    <x v="2"/>
    <s v="Freshwater"/>
    <x v="0"/>
    <x v="0"/>
    <s v="82"/>
    <s v="Area 8-2: Port Susan-Port Gardner"/>
    <s v="Area 8-2: Port Susan-Port Gardner"/>
    <s v="NA"/>
    <x v="0"/>
    <s v="Snohomish"/>
    <s v="03Snohomish"/>
    <s v="01North Puget Sound"/>
    <n v="4"/>
    <n v="4"/>
    <n v="74.2"/>
  </r>
  <r>
    <n v="1046"/>
    <x v="3"/>
    <x v="11"/>
    <x v="2"/>
    <s v="Freshwater"/>
    <x v="0"/>
    <x v="0"/>
    <s v="9"/>
    <s v="Area 9: Admiralty Inlet"/>
    <s v="Area 9: Admiralty Inlet"/>
    <s v="NA"/>
    <x v="0"/>
    <s v="Island"/>
    <s v="04Island"/>
    <s v="01North Puget Sound"/>
    <n v="4"/>
    <n v="4"/>
    <n v="74.2"/>
  </r>
  <r>
    <n v="780"/>
    <x v="3"/>
    <x v="11"/>
    <x v="2"/>
    <s v="Freshwater"/>
    <x v="0"/>
    <x v="0"/>
    <s v="752"/>
    <s v="Hoko River"/>
    <s v="Hoko River"/>
    <s v="Clallam"/>
    <x v="3"/>
    <s v="Clallam"/>
    <s v="11Clallam"/>
    <s v="03Strait of Juan de Fuca"/>
    <n v="5"/>
    <n v="5"/>
    <n v="92.75"/>
  </r>
  <r>
    <n v="1317"/>
    <x v="3"/>
    <x v="0"/>
    <x v="3"/>
    <s v="Freshwater"/>
    <x v="0"/>
    <x v="0"/>
    <s v="9"/>
    <s v="Area 9: Admiralty Inlet"/>
    <s v="Area 9: Admiralty Inlet"/>
    <s v="NA"/>
    <x v="0"/>
    <s v="Island"/>
    <s v="04Island"/>
    <s v="01North Puget Sound"/>
    <n v="3.3333333333333299"/>
    <n v="1.6666666666666701"/>
    <n v="30.916666666666732"/>
  </r>
  <r>
    <n v="1318"/>
    <x v="3"/>
    <x v="0"/>
    <x v="3"/>
    <s v="Freshwater"/>
    <x v="0"/>
    <x v="0"/>
    <s v="9"/>
    <s v="Area 9: Admiralty Inlet"/>
    <s v="Area 9: Admiralty Inlet"/>
    <s v="NA"/>
    <x v="0"/>
    <s v="Snohomish"/>
    <s v="03Snohomish"/>
    <s v="01North Puget Sound"/>
    <n v="3.3333333333333299"/>
    <n v="1.6666666666666701"/>
    <n v="30.916666666666732"/>
  </r>
  <r>
    <n v="1319"/>
    <x v="3"/>
    <x v="0"/>
    <x v="3"/>
    <s v="Freshwater"/>
    <x v="0"/>
    <x v="0"/>
    <s v="9"/>
    <s v="Area 9: Admiralty Inlet"/>
    <s v="Area 9: Admiralty Inlet"/>
    <s v="NA"/>
    <x v="0"/>
    <s v="Thurston"/>
    <s v="08Thurston"/>
    <s v="02South Puget Sound"/>
    <n v="3.3333333333333299"/>
    <n v="1.6666666666666701"/>
    <n v="30.916666666666732"/>
  </r>
  <r>
    <n v="1139"/>
    <x v="3"/>
    <x v="0"/>
    <x v="3"/>
    <s v="Freshwater"/>
    <x v="0"/>
    <x v="0"/>
    <s v="830"/>
    <s v="Skagit River"/>
    <s v="Skagit River"/>
    <s v="Skagit/Whatcom"/>
    <x v="0"/>
    <s v="Skagit"/>
    <s v="02Skagit"/>
    <s v="01North Puget Sound"/>
    <n v="6"/>
    <n v="0"/>
    <n v="0"/>
  </r>
  <r>
    <n v="1168"/>
    <x v="3"/>
    <x v="0"/>
    <x v="3"/>
    <s v="Freshwater"/>
    <x v="0"/>
    <x v="0"/>
    <s v="844"/>
    <s v="Skykomish River"/>
    <s v="Skykomish River"/>
    <s v="Snohomish"/>
    <x v="0"/>
    <s v="Snohomish"/>
    <s v="03Snohomish"/>
    <s v="01North Puget Sound"/>
    <n v="24"/>
    <n v="0"/>
    <n v="0"/>
  </r>
  <r>
    <n v="1059"/>
    <x v="3"/>
    <x v="2"/>
    <x v="3"/>
    <s v="Freshwater"/>
    <x v="0"/>
    <x v="0"/>
    <s v="746"/>
    <s v="Green (Duwamish River) (King Co.)"/>
    <s v="Green - Duwamish River"/>
    <s v="King"/>
    <x v="2"/>
    <s v="King"/>
    <s v="06King"/>
    <s v="02South Puget Sound"/>
    <n v="322.36363636363598"/>
    <n v="161.18181818181799"/>
    <n v="2989.9227272727239"/>
  </r>
  <r>
    <n v="1060"/>
    <x v="3"/>
    <x v="2"/>
    <x v="3"/>
    <s v="Freshwater"/>
    <x v="0"/>
    <x v="0"/>
    <s v="746"/>
    <s v="Green (Duwamish River) (King Co.)"/>
    <s v="Green - Duwamish River"/>
    <s v="King"/>
    <x v="2"/>
    <s v="Other"/>
    <s v="20Other"/>
    <s v="07Non Puget Sound"/>
    <n v="8.9545454545454604"/>
    <n v="4.4772727272727302"/>
    <n v="83.053409090909142"/>
  </r>
  <r>
    <n v="1061"/>
    <x v="3"/>
    <x v="2"/>
    <x v="3"/>
    <s v="Freshwater"/>
    <x v="0"/>
    <x v="0"/>
    <s v="746"/>
    <s v="Green (Duwamish River) (King Co.)"/>
    <s v="Green - Duwamish River"/>
    <s v="King"/>
    <x v="2"/>
    <s v="Pierce"/>
    <s v="07Pierce"/>
    <s v="02South Puget Sound"/>
    <n v="62.681818181818201"/>
    <n v="31.340909090909101"/>
    <n v="581.37386363636381"/>
  </r>
  <r>
    <n v="1288"/>
    <x v="3"/>
    <x v="2"/>
    <x v="3"/>
    <s v="Freshwater"/>
    <x v="0"/>
    <x v="0"/>
    <s v="870"/>
    <s v="Pilchuck Creek (Stillaguamish System)"/>
    <s v="Pilchuck Creek (Stillaguamish System)"/>
    <s v="Skagit/Snohomish"/>
    <x v="0"/>
    <s v="Snohomish"/>
    <s v="03Snohomish"/>
    <s v="01North Puget Sound"/>
    <n v="10"/>
    <n v="0"/>
    <n v="0"/>
  </r>
  <r>
    <n v="1164"/>
    <x v="3"/>
    <x v="2"/>
    <x v="3"/>
    <s v="Freshwater"/>
    <x v="0"/>
    <x v="0"/>
    <s v="842"/>
    <s v="Raging River"/>
    <s v="Raging River"/>
    <s v="King"/>
    <x v="2"/>
    <s v="King"/>
    <s v="06King"/>
    <s v="02South Puget Sound"/>
    <n v="38"/>
    <n v="0"/>
    <n v="0"/>
  </r>
  <r>
    <n v="1140"/>
    <x v="3"/>
    <x v="2"/>
    <x v="3"/>
    <s v="Freshwater"/>
    <x v="0"/>
    <x v="0"/>
    <s v="830"/>
    <s v="Skagit River"/>
    <s v="Skagit River"/>
    <s v="Skagit/Whatcom"/>
    <x v="0"/>
    <s v="Skagit"/>
    <s v="02Skagit"/>
    <s v="01North Puget Sound"/>
    <n v="0"/>
    <n v="0"/>
    <n v="0"/>
  </r>
  <r>
    <n v="1141"/>
    <x v="3"/>
    <x v="2"/>
    <x v="3"/>
    <s v="Freshwater"/>
    <x v="0"/>
    <x v="0"/>
    <s v="830"/>
    <s v="Skagit River"/>
    <s v="Skagit River"/>
    <s v="Skagit/Whatcom"/>
    <x v="0"/>
    <s v="Snohomish"/>
    <s v="03Snohomish"/>
    <s v="01North Puget Sound"/>
    <n v="0"/>
    <n v="0"/>
    <n v="0"/>
  </r>
  <r>
    <n v="1159"/>
    <x v="3"/>
    <x v="2"/>
    <x v="3"/>
    <s v="Freshwater"/>
    <x v="0"/>
    <x v="0"/>
    <s v="834"/>
    <s v="Skokomish River (Mason Co.)"/>
    <s v="Skokomish River"/>
    <s v="Mason"/>
    <x v="4"/>
    <s v="King"/>
    <s v="06King"/>
    <s v="02South Puget Sound"/>
    <n v="6"/>
    <n v="0"/>
    <n v="0"/>
  </r>
  <r>
    <n v="1169"/>
    <x v="3"/>
    <x v="2"/>
    <x v="3"/>
    <s v="Freshwater"/>
    <x v="0"/>
    <x v="0"/>
    <s v="844"/>
    <s v="Skykomish River"/>
    <s v="Skykomish River"/>
    <s v="Snohomish"/>
    <x v="0"/>
    <s v="King"/>
    <s v="06King"/>
    <s v="02South Puget Sound"/>
    <n v="1585.92"/>
    <n v="807.66"/>
    <n v="14982.093000000001"/>
  </r>
  <r>
    <n v="1170"/>
    <x v="3"/>
    <x v="2"/>
    <x v="3"/>
    <s v="Freshwater"/>
    <x v="0"/>
    <x v="0"/>
    <s v="844"/>
    <s v="Skykomish River"/>
    <s v="Skykomish River"/>
    <s v="Snohomish"/>
    <x v="0"/>
    <s v="Kitsap"/>
    <s v="10Kitsap"/>
    <s v="02South Puget Sound"/>
    <n v="52.863999999999997"/>
    <n v="26.922000000000001"/>
    <n v="499.40310000000005"/>
  </r>
  <r>
    <n v="1171"/>
    <x v="3"/>
    <x v="2"/>
    <x v="3"/>
    <s v="Freshwater"/>
    <x v="0"/>
    <x v="0"/>
    <s v="844"/>
    <s v="Skykomish River"/>
    <s v="Skykomish River"/>
    <s v="Snohomish"/>
    <x v="0"/>
    <s v="Other"/>
    <s v="20Other"/>
    <s v="07Non Puget Sound"/>
    <n v="105.72799999999999"/>
    <n v="53.844000000000001"/>
    <n v="998.8062000000001"/>
  </r>
  <r>
    <n v="1172"/>
    <x v="3"/>
    <x v="2"/>
    <x v="3"/>
    <s v="Freshwater"/>
    <x v="0"/>
    <x v="0"/>
    <s v="844"/>
    <s v="Skykomish River"/>
    <s v="Skykomish River"/>
    <s v="Snohomish"/>
    <x v="0"/>
    <s v="Pierce"/>
    <s v="07Pierce"/>
    <s v="02South Puget Sound"/>
    <n v="75.52"/>
    <n v="38.46"/>
    <n v="713.43299999999999"/>
  </r>
  <r>
    <n v="1173"/>
    <x v="3"/>
    <x v="2"/>
    <x v="3"/>
    <s v="Freshwater"/>
    <x v="0"/>
    <x v="0"/>
    <s v="844"/>
    <s v="Skykomish River"/>
    <s v="Skykomish River"/>
    <s v="Snohomish"/>
    <x v="0"/>
    <s v="Skagit"/>
    <s v="02Skagit"/>
    <s v="01North Puget Sound"/>
    <n v="30.207999999999998"/>
    <n v="15.384"/>
    <n v="285.3732"/>
  </r>
  <r>
    <n v="1174"/>
    <x v="3"/>
    <x v="2"/>
    <x v="3"/>
    <s v="Freshwater"/>
    <x v="0"/>
    <x v="0"/>
    <s v="844"/>
    <s v="Skykomish River"/>
    <s v="Skykomish River"/>
    <s v="Snohomish"/>
    <x v="0"/>
    <s v="Snohomish"/>
    <s v="03Snohomish"/>
    <s v="01North Puget Sound"/>
    <n v="1880.4480000000001"/>
    <n v="957.654"/>
    <n v="17764.4817"/>
  </r>
  <r>
    <n v="1175"/>
    <x v="3"/>
    <x v="2"/>
    <x v="3"/>
    <s v="Freshwater"/>
    <x v="0"/>
    <x v="0"/>
    <s v="844"/>
    <s v="Skykomish River"/>
    <s v="Skykomish River"/>
    <s v="Snohomish"/>
    <x v="0"/>
    <s v="Thurston"/>
    <s v="08Thurston"/>
    <s v="02South Puget Sound"/>
    <n v="45.311999999999998"/>
    <n v="23.076000000000001"/>
    <n v="428.05980000000005"/>
  </r>
  <r>
    <n v="1213"/>
    <x v="3"/>
    <x v="2"/>
    <x v="3"/>
    <s v="Freshwater"/>
    <x v="0"/>
    <x v="0"/>
    <s v="846"/>
    <s v="Skykomish River, No. Fork"/>
    <s v="Skykomish River, No. Fork"/>
    <s v="Snohomish"/>
    <x v="0"/>
    <s v="King"/>
    <s v="06King"/>
    <s v="02South Puget Sound"/>
    <n v="22.615384615384599"/>
    <n v="11.307692307692299"/>
    <n v="209.75769230769217"/>
  </r>
  <r>
    <n v="1214"/>
    <x v="3"/>
    <x v="2"/>
    <x v="3"/>
    <s v="Freshwater"/>
    <x v="0"/>
    <x v="0"/>
    <s v="846"/>
    <s v="Skykomish River, No. Fork"/>
    <s v="Skykomish River, No. Fork"/>
    <s v="Snohomish"/>
    <x v="0"/>
    <s v="Other"/>
    <s v="20Other"/>
    <s v="07Non Puget Sound"/>
    <n v="15.0769230769231"/>
    <n v="7.5384615384615401"/>
    <n v="139.83846153846159"/>
  </r>
  <r>
    <n v="1215"/>
    <x v="3"/>
    <x v="2"/>
    <x v="3"/>
    <s v="Freshwater"/>
    <x v="0"/>
    <x v="0"/>
    <s v="846"/>
    <s v="Skykomish River, No. Fork"/>
    <s v="Skykomish River, No. Fork"/>
    <s v="Snohomish"/>
    <x v="0"/>
    <s v="Snohomish"/>
    <s v="03Snohomish"/>
    <s v="01North Puget Sound"/>
    <n v="60.307692307692299"/>
    <n v="30.153846153846199"/>
    <n v="559.35384615384703"/>
  </r>
  <r>
    <n v="1225"/>
    <x v="3"/>
    <x v="2"/>
    <x v="3"/>
    <s v="Freshwater"/>
    <x v="0"/>
    <x v="0"/>
    <s v="848"/>
    <s v="Skykomish River, So. Fork"/>
    <s v="Skykomish River, So. Fork"/>
    <s v="Snohomish/King"/>
    <x v="0"/>
    <s v="Thurston"/>
    <s v="08Thurston"/>
    <s v="02South Puget Sound"/>
    <n v="8"/>
    <n v="4"/>
    <n v="74.2"/>
  </r>
  <r>
    <n v="1230"/>
    <x v="3"/>
    <x v="2"/>
    <x v="3"/>
    <s v="Freshwater"/>
    <x v="0"/>
    <x v="0"/>
    <s v="850"/>
    <s v="Snohomish River"/>
    <s v="Snohomish River"/>
    <s v="Snohomish"/>
    <x v="0"/>
    <s v="King"/>
    <s v="06King"/>
    <s v="02South Puget Sound"/>
    <n v="15.068493150684899"/>
    <n v="7.6438356164383601"/>
    <n v="141.79315068493159"/>
  </r>
  <r>
    <n v="1231"/>
    <x v="3"/>
    <x v="2"/>
    <x v="3"/>
    <s v="Freshwater"/>
    <x v="0"/>
    <x v="0"/>
    <s v="850"/>
    <s v="Snohomish River"/>
    <s v="Snohomish River"/>
    <s v="Snohomish"/>
    <x v="0"/>
    <s v="Snohomish"/>
    <s v="03Snohomish"/>
    <s v="01North Puget Sound"/>
    <n v="534.93150684931504"/>
    <n v="271.35616438356197"/>
    <n v="5033.6568493150744"/>
  </r>
  <r>
    <n v="1247"/>
    <x v="3"/>
    <x v="2"/>
    <x v="3"/>
    <s v="Freshwater"/>
    <x v="0"/>
    <x v="0"/>
    <s v="852"/>
    <s v="Snoqualmie River"/>
    <s v="Snoqualmie River"/>
    <s v="Snohomish/King"/>
    <x v="0"/>
    <s v="King"/>
    <s v="06King"/>
    <s v="02South Puget Sound"/>
    <n v="38.3333333333333"/>
    <n v="19.1666666666667"/>
    <n v="355.54166666666731"/>
  </r>
  <r>
    <n v="1248"/>
    <x v="3"/>
    <x v="2"/>
    <x v="3"/>
    <s v="Freshwater"/>
    <x v="0"/>
    <x v="0"/>
    <s v="852"/>
    <s v="Snoqualmie River"/>
    <s v="Snoqualmie River"/>
    <s v="Snohomish/King"/>
    <x v="0"/>
    <s v="Snohomish"/>
    <s v="03Snohomish"/>
    <s v="01North Puget Sound"/>
    <n v="7.6666666666666696"/>
    <n v="3.8333333333333299"/>
    <n v="71.108333333333277"/>
  </r>
  <r>
    <n v="1078"/>
    <x v="3"/>
    <x v="2"/>
    <x v="3"/>
    <s v="Freshwater"/>
    <x v="0"/>
    <x v="0"/>
    <s v="748"/>
    <s v="Soos Creek"/>
    <s v="Soos Creek"/>
    <s v="King"/>
    <x v="2"/>
    <s v="King"/>
    <s v="06King"/>
    <s v="02South Puget Sound"/>
    <n v="17.3333333333333"/>
    <n v="8.6666666666666696"/>
    <n v="160.76666666666674"/>
  </r>
  <r>
    <n v="1079"/>
    <x v="3"/>
    <x v="2"/>
    <x v="3"/>
    <s v="Freshwater"/>
    <x v="0"/>
    <x v="0"/>
    <s v="748"/>
    <s v="Soos Creek"/>
    <s v="Soos Creek"/>
    <s v="King"/>
    <x v="2"/>
    <s v="Pierce"/>
    <s v="07Pierce"/>
    <s v="02South Puget Sound"/>
    <n v="8.6666666666666696"/>
    <n v="4.3333333333333304"/>
    <n v="80.383333333333283"/>
  </r>
  <r>
    <n v="1289"/>
    <x v="3"/>
    <x v="2"/>
    <x v="3"/>
    <s v="Freshwater"/>
    <x v="0"/>
    <x v="0"/>
    <s v="872"/>
    <s v="Stillaguamish R, No. Fork"/>
    <s v="Stillaguamish R, No. Fork"/>
    <s v="Snohomish"/>
    <x v="0"/>
    <s v="King"/>
    <s v="06King"/>
    <s v="02South Puget Sound"/>
    <n v="18.6666666666667"/>
    <n v="9.3333333333333304"/>
    <n v="173.1333333333333"/>
  </r>
  <r>
    <n v="1290"/>
    <x v="3"/>
    <x v="2"/>
    <x v="3"/>
    <s v="Freshwater"/>
    <x v="0"/>
    <x v="0"/>
    <s v="872"/>
    <s v="Stillaguamish R, No. Fork"/>
    <s v="Stillaguamish R, No. Fork"/>
    <s v="Snohomish"/>
    <x v="0"/>
    <s v="Whatcom"/>
    <s v="01Whatcom"/>
    <s v="01North Puget Sound"/>
    <n v="9.3333333333333304"/>
    <n v="4.6666666666666696"/>
    <n v="86.56666666666672"/>
  </r>
  <r>
    <n v="1306"/>
    <x v="3"/>
    <x v="2"/>
    <x v="3"/>
    <s v="Freshwater"/>
    <x v="0"/>
    <x v="0"/>
    <s v="876"/>
    <s v="Stillaguamish River"/>
    <s v="Stillaguamish River"/>
    <s v="Snohomish"/>
    <x v="0"/>
    <s v="Snohomish"/>
    <s v="03Snohomish"/>
    <s v="01North Puget Sound"/>
    <n v="18"/>
    <n v="9"/>
    <n v="166.95000000000002"/>
  </r>
  <r>
    <n v="1049"/>
    <x v="3"/>
    <x v="3"/>
    <x v="3"/>
    <s v="Freshwater"/>
    <x v="0"/>
    <x v="0"/>
    <s v="738"/>
    <s v="Dungeness River"/>
    <s v="Dungeness River"/>
    <s v="Clallam"/>
    <x v="3"/>
    <s v="Clallam"/>
    <s v="11Clallam"/>
    <s v="03Strait of Juan de Fuca"/>
    <n v="6"/>
    <n v="3"/>
    <n v="55.650000000000006"/>
  </r>
  <r>
    <n v="1062"/>
    <x v="3"/>
    <x v="3"/>
    <x v="3"/>
    <s v="Freshwater"/>
    <x v="0"/>
    <x v="0"/>
    <s v="746"/>
    <s v="Green (Duwamish River) (King Co.)"/>
    <s v="Green - Duwamish River"/>
    <s v="King"/>
    <x v="2"/>
    <s v="King"/>
    <s v="06King"/>
    <s v="02South Puget Sound"/>
    <n v="357.33333333333297"/>
    <n v="178.666666666667"/>
    <n v="3314.2666666666728"/>
  </r>
  <r>
    <n v="1063"/>
    <x v="3"/>
    <x v="3"/>
    <x v="3"/>
    <s v="Freshwater"/>
    <x v="0"/>
    <x v="0"/>
    <s v="746"/>
    <s v="Green (Duwamish River) (King Co.)"/>
    <s v="Green - Duwamish River"/>
    <s v="King"/>
    <x v="2"/>
    <s v="Other"/>
    <s v="20Other"/>
    <s v="07Non Puget Sound"/>
    <n v="8.9333333333333407"/>
    <n v="4.4666666666666703"/>
    <n v="82.85666666666674"/>
  </r>
  <r>
    <n v="1064"/>
    <x v="3"/>
    <x v="3"/>
    <x v="3"/>
    <s v="Freshwater"/>
    <x v="0"/>
    <x v="0"/>
    <s v="746"/>
    <s v="Green (Duwamish River) (King Co.)"/>
    <s v="Green - Duwamish River"/>
    <s v="King"/>
    <x v="2"/>
    <s v="Pierce"/>
    <s v="07Pierce"/>
    <s v="02South Puget Sound"/>
    <n v="35.733333333333299"/>
    <n v="17.866666666666699"/>
    <n v="331.4266666666673"/>
  </r>
  <r>
    <n v="1165"/>
    <x v="3"/>
    <x v="3"/>
    <x v="3"/>
    <s v="Freshwater"/>
    <x v="0"/>
    <x v="0"/>
    <s v="842"/>
    <s v="Raging River"/>
    <s v="Raging River"/>
    <s v="King"/>
    <x v="2"/>
    <s v="King"/>
    <s v="06King"/>
    <s v="02South Puget Sound"/>
    <n v="16"/>
    <n v="0"/>
    <n v="0"/>
  </r>
  <r>
    <n v="1114"/>
    <x v="3"/>
    <x v="3"/>
    <x v="3"/>
    <s v="Freshwater"/>
    <x v="0"/>
    <x v="0"/>
    <s v="814"/>
    <s v="Salt Creek (Clallam Co.)"/>
    <s v="Salt Creek (Clallam Co.)"/>
    <s v="Clallam"/>
    <x v="3"/>
    <s v="Snohomish"/>
    <s v="03Snohomish"/>
    <s v="01North Puget Sound"/>
    <n v="6"/>
    <n v="0"/>
    <n v="0"/>
  </r>
  <r>
    <n v="1176"/>
    <x v="3"/>
    <x v="3"/>
    <x v="3"/>
    <s v="Freshwater"/>
    <x v="0"/>
    <x v="0"/>
    <s v="844"/>
    <s v="Skykomish River"/>
    <s v="Skykomish River"/>
    <s v="Snohomish"/>
    <x v="0"/>
    <s v="King"/>
    <s v="06King"/>
    <s v="02South Puget Sound"/>
    <n v="769.91111111111104"/>
    <n v="390.24444444444498"/>
    <n v="7239.0344444444545"/>
  </r>
  <r>
    <n v="1177"/>
    <x v="3"/>
    <x v="3"/>
    <x v="3"/>
    <s v="Freshwater"/>
    <x v="0"/>
    <x v="0"/>
    <s v="844"/>
    <s v="Skykomish River"/>
    <s v="Skykomish River"/>
    <s v="Snohomish"/>
    <x v="0"/>
    <s v="Kitsap"/>
    <s v="10Kitsap"/>
    <s v="02South Puget Sound"/>
    <n v="7.54814814814815"/>
    <n v="3.8259259259259299"/>
    <n v="70.970925925925997"/>
  </r>
  <r>
    <n v="1178"/>
    <x v="3"/>
    <x v="3"/>
    <x v="3"/>
    <s v="Freshwater"/>
    <x v="0"/>
    <x v="0"/>
    <s v="844"/>
    <s v="Skykomish River"/>
    <s v="Skykomish River"/>
    <s v="Snohomish"/>
    <x v="0"/>
    <s v="Other"/>
    <s v="20Other"/>
    <s v="07Non Puget Sound"/>
    <n v="90.577777777777797"/>
    <n v="45.911111111111097"/>
    <n v="851.65111111111094"/>
  </r>
  <r>
    <n v="1179"/>
    <x v="3"/>
    <x v="3"/>
    <x v="3"/>
    <s v="Freshwater"/>
    <x v="0"/>
    <x v="0"/>
    <s v="844"/>
    <s v="Skykomish River"/>
    <s v="Skykomish River"/>
    <s v="Snohomish"/>
    <x v="0"/>
    <s v="Pierce"/>
    <s v="07Pierce"/>
    <s v="02South Puget Sound"/>
    <n v="7.54814814814815"/>
    <n v="3.8259259259259299"/>
    <n v="70.970925925925997"/>
  </r>
  <r>
    <n v="1180"/>
    <x v="3"/>
    <x v="3"/>
    <x v="3"/>
    <s v="Freshwater"/>
    <x v="0"/>
    <x v="0"/>
    <s v="844"/>
    <s v="Skykomish River"/>
    <s v="Skykomish River"/>
    <s v="Snohomish"/>
    <x v="0"/>
    <s v="Skagit"/>
    <s v="02Skagit"/>
    <s v="01North Puget Sound"/>
    <n v="7.54814814814815"/>
    <n v="3.8259259259259299"/>
    <n v="70.970925925925997"/>
  </r>
  <r>
    <n v="1181"/>
    <x v="3"/>
    <x v="3"/>
    <x v="3"/>
    <s v="Freshwater"/>
    <x v="0"/>
    <x v="0"/>
    <s v="844"/>
    <s v="Skykomish River"/>
    <s v="Skykomish River"/>
    <s v="Snohomish"/>
    <x v="0"/>
    <s v="Snohomish"/>
    <s v="03Snohomish"/>
    <s v="01North Puget Sound"/>
    <n v="1056.74074074074"/>
    <n v="535.62962962963002"/>
    <n v="9935.9296296296379"/>
  </r>
  <r>
    <n v="1182"/>
    <x v="3"/>
    <x v="3"/>
    <x v="3"/>
    <s v="Freshwater"/>
    <x v="0"/>
    <x v="0"/>
    <s v="844"/>
    <s v="Skykomish River"/>
    <s v="Skykomish River"/>
    <s v="Snohomish"/>
    <x v="0"/>
    <s v="Whatcom"/>
    <s v="01Whatcom"/>
    <s v="01North Puget Sound"/>
    <n v="98.125925925925998"/>
    <n v="49.737037037036998"/>
    <n v="922.62203703703631"/>
  </r>
  <r>
    <n v="1216"/>
    <x v="3"/>
    <x v="3"/>
    <x v="3"/>
    <s v="Freshwater"/>
    <x v="0"/>
    <x v="0"/>
    <s v="846"/>
    <s v="Skykomish River, No. Fork"/>
    <s v="Skykomish River, No. Fork"/>
    <s v="Snohomish"/>
    <x v="0"/>
    <s v="King"/>
    <s v="06King"/>
    <s v="02South Puget Sound"/>
    <n v="7.5555555555555598"/>
    <n v="3.7777777777777799"/>
    <n v="70.077777777777825"/>
  </r>
  <r>
    <n v="1217"/>
    <x v="3"/>
    <x v="3"/>
    <x v="3"/>
    <s v="Freshwater"/>
    <x v="0"/>
    <x v="0"/>
    <s v="846"/>
    <s v="Skykomish River, No. Fork"/>
    <s v="Skykomish River, No. Fork"/>
    <s v="Snohomish"/>
    <x v="0"/>
    <s v="Snohomish"/>
    <s v="03Snohomish"/>
    <s v="01North Puget Sound"/>
    <n v="60.4444444444445"/>
    <n v="30.2222222222222"/>
    <n v="560.62222222222181"/>
  </r>
  <r>
    <n v="1226"/>
    <x v="3"/>
    <x v="3"/>
    <x v="3"/>
    <s v="Freshwater"/>
    <x v="0"/>
    <x v="0"/>
    <s v="848"/>
    <s v="Skykomish River, So. Fork"/>
    <s v="Skykomish River, So. Fork"/>
    <s v="Snohomish/King"/>
    <x v="0"/>
    <s v="King"/>
    <s v="06King"/>
    <s v="02South Puget Sound"/>
    <n v="38"/>
    <n v="19"/>
    <n v="352.45"/>
  </r>
  <r>
    <n v="1232"/>
    <x v="3"/>
    <x v="3"/>
    <x v="3"/>
    <s v="Freshwater"/>
    <x v="0"/>
    <x v="0"/>
    <s v="850"/>
    <s v="Snohomish River"/>
    <s v="Snohomish River"/>
    <s v="Snohomish"/>
    <x v="0"/>
    <s v="King"/>
    <s v="06King"/>
    <s v="02South Puget Sound"/>
    <n v="7.5238095238095299"/>
    <n v="3.7619047619047601"/>
    <n v="69.783333333333303"/>
  </r>
  <r>
    <n v="1233"/>
    <x v="3"/>
    <x v="3"/>
    <x v="3"/>
    <s v="Freshwater"/>
    <x v="0"/>
    <x v="0"/>
    <s v="850"/>
    <s v="Snohomish River"/>
    <s v="Snohomish River"/>
    <s v="Snohomish"/>
    <x v="0"/>
    <s v="Snohomish"/>
    <s v="03Snohomish"/>
    <s v="01North Puget Sound"/>
    <n v="150.47619047619099"/>
    <n v="75.238095238095298"/>
    <n v="1395.6666666666679"/>
  </r>
  <r>
    <n v="1080"/>
    <x v="3"/>
    <x v="3"/>
    <x v="3"/>
    <s v="Freshwater"/>
    <x v="0"/>
    <x v="0"/>
    <s v="748"/>
    <s v="Soos Creek"/>
    <s v="Soos Creek"/>
    <s v="King"/>
    <x v="2"/>
    <s v="King"/>
    <s v="06King"/>
    <s v="02South Puget Sound"/>
    <n v="26.5"/>
    <n v="13.25"/>
    <n v="245.78750000000002"/>
  </r>
  <r>
    <n v="1081"/>
    <x v="3"/>
    <x v="3"/>
    <x v="3"/>
    <s v="Freshwater"/>
    <x v="0"/>
    <x v="0"/>
    <s v="748"/>
    <s v="Soos Creek"/>
    <s v="Soos Creek"/>
    <s v="King"/>
    <x v="2"/>
    <s v="Pierce"/>
    <s v="07Pierce"/>
    <s v="02South Puget Sound"/>
    <n v="79.5"/>
    <n v="39.75"/>
    <n v="737.36250000000007"/>
  </r>
  <r>
    <n v="1291"/>
    <x v="3"/>
    <x v="3"/>
    <x v="3"/>
    <s v="Freshwater"/>
    <x v="0"/>
    <x v="0"/>
    <s v="872"/>
    <s v="Stillaguamish R, No. Fork"/>
    <s v="Stillaguamish R, No. Fork"/>
    <s v="Snohomish"/>
    <x v="0"/>
    <s v="Other"/>
    <s v="20Other"/>
    <s v="07Non Puget Sound"/>
    <n v="18"/>
    <n v="9"/>
    <n v="166.95000000000002"/>
  </r>
  <r>
    <n v="1307"/>
    <x v="3"/>
    <x v="3"/>
    <x v="3"/>
    <s v="Freshwater"/>
    <x v="0"/>
    <x v="0"/>
    <s v="876"/>
    <s v="Stillaguamish River"/>
    <s v="Stillaguamish River"/>
    <s v="Snohomish"/>
    <x v="0"/>
    <s v="Skagit"/>
    <s v="02Skagit"/>
    <s v="01North Puget Sound"/>
    <n v="10"/>
    <n v="5"/>
    <n v="92.75"/>
  </r>
  <r>
    <n v="1265"/>
    <x v="3"/>
    <x v="3"/>
    <x v="3"/>
    <s v="Freshwater"/>
    <x v="0"/>
    <x v="0"/>
    <s v="854"/>
    <s v="Sultan River"/>
    <s v="Sultan River"/>
    <s v="Snohomish"/>
    <x v="0"/>
    <s v="Snohomish"/>
    <s v="03Snohomish"/>
    <s v="01North Puget Sound"/>
    <n v="8"/>
    <n v="4"/>
    <n v="74.2"/>
  </r>
  <r>
    <n v="1320"/>
    <x v="3"/>
    <x v="4"/>
    <x v="3"/>
    <s v="Freshwater"/>
    <x v="0"/>
    <x v="0"/>
    <s v="9"/>
    <s v="Area 9: Admiralty Inlet"/>
    <s v="Area 9: Admiralty Inlet"/>
    <s v="NA"/>
    <x v="0"/>
    <s v="Island"/>
    <s v="04Island"/>
    <s v="01North Puget Sound"/>
    <n v="0"/>
    <n v="0"/>
    <n v="0"/>
  </r>
  <r>
    <n v="1321"/>
    <x v="3"/>
    <x v="4"/>
    <x v="3"/>
    <s v="Freshwater"/>
    <x v="0"/>
    <x v="0"/>
    <s v="9"/>
    <s v="Area 9: Admiralty Inlet"/>
    <s v="Area 9: Admiralty Inlet"/>
    <s v="NA"/>
    <x v="0"/>
    <s v="Jefferson"/>
    <s v="12Jefferson"/>
    <s v="03Strait of Juan de Fuca"/>
    <n v="12"/>
    <n v="6"/>
    <n v="111.30000000000001"/>
  </r>
  <r>
    <n v="1322"/>
    <x v="3"/>
    <x v="4"/>
    <x v="3"/>
    <s v="Freshwater"/>
    <x v="0"/>
    <x v="0"/>
    <s v="9"/>
    <s v="Area 9: Admiralty Inlet"/>
    <s v="Area 9: Admiralty Inlet"/>
    <s v="NA"/>
    <x v="0"/>
    <s v="King"/>
    <s v="06King"/>
    <s v="02South Puget Sound"/>
    <n v="0"/>
    <n v="0"/>
    <n v="0"/>
  </r>
  <r>
    <n v="1323"/>
    <x v="3"/>
    <x v="4"/>
    <x v="3"/>
    <s v="Freshwater"/>
    <x v="0"/>
    <x v="0"/>
    <s v="9"/>
    <s v="Area 9: Admiralty Inlet"/>
    <s v="Area 9: Admiralty Inlet"/>
    <s v="NA"/>
    <x v="0"/>
    <s v="Other"/>
    <s v="20Other"/>
    <s v="07Non Puget Sound"/>
    <n v="0"/>
    <n v="0"/>
    <n v="0"/>
  </r>
  <r>
    <n v="1324"/>
    <x v="3"/>
    <x v="4"/>
    <x v="3"/>
    <s v="Freshwater"/>
    <x v="0"/>
    <x v="0"/>
    <s v="9"/>
    <s v="Area 9: Admiralty Inlet"/>
    <s v="Area 9: Admiralty Inlet"/>
    <s v="NA"/>
    <x v="0"/>
    <s v="Snohomish"/>
    <s v="03Snohomish"/>
    <s v="01North Puget Sound"/>
    <n v="0"/>
    <n v="0"/>
    <n v="0"/>
  </r>
  <r>
    <n v="1065"/>
    <x v="3"/>
    <x v="4"/>
    <x v="3"/>
    <s v="Freshwater"/>
    <x v="0"/>
    <x v="0"/>
    <s v="746"/>
    <s v="Green (Duwamish River) (King Co.)"/>
    <s v="Green - Duwamish River"/>
    <s v="King"/>
    <x v="2"/>
    <s v="King"/>
    <s v="06King"/>
    <s v="02South Puget Sound"/>
    <n v="197.18518518518499"/>
    <n v="98.592592592592595"/>
    <n v="1828.8925925925928"/>
  </r>
  <r>
    <n v="1066"/>
    <x v="3"/>
    <x v="4"/>
    <x v="3"/>
    <s v="Freshwater"/>
    <x v="0"/>
    <x v="0"/>
    <s v="746"/>
    <s v="Green (Duwamish River) (King Co.)"/>
    <s v="Green - Duwamish River"/>
    <s v="King"/>
    <x v="2"/>
    <s v="Pierce"/>
    <s v="07Pierce"/>
    <s v="02South Puget Sound"/>
    <n v="35.851851851851897"/>
    <n v="17.925925925925899"/>
    <n v="332.52592592592543"/>
  </r>
  <r>
    <n v="1067"/>
    <x v="3"/>
    <x v="4"/>
    <x v="3"/>
    <s v="Freshwater"/>
    <x v="0"/>
    <x v="0"/>
    <s v="746"/>
    <s v="Green (Duwamish River) (King Co.)"/>
    <s v="Green - Duwamish River"/>
    <s v="King"/>
    <x v="2"/>
    <s v="Snohomish"/>
    <s v="03Snohomish"/>
    <s v="01North Puget Sound"/>
    <n v="8.9629629629629601"/>
    <n v="4.4814814814814801"/>
    <n v="83.131481481481458"/>
  </r>
  <r>
    <n v="1094"/>
    <x v="3"/>
    <x v="4"/>
    <x v="3"/>
    <s v="Freshwater"/>
    <x v="0"/>
    <x v="0"/>
    <s v="786"/>
    <s v="Nisqually River"/>
    <s v="Nisqually River"/>
    <s v="Thurston/Pierce"/>
    <x v="2"/>
    <s v="Thurston"/>
    <s v="08Thurston"/>
    <s v="02South Puget Sound"/>
    <n v="6"/>
    <n v="0"/>
    <n v="0"/>
  </r>
  <r>
    <n v="1104"/>
    <x v="3"/>
    <x v="4"/>
    <x v="3"/>
    <s v="Freshwater"/>
    <x v="0"/>
    <x v="0"/>
    <s v="804"/>
    <s v="Puyallup River"/>
    <s v="Puyallup River"/>
    <s v="Pierce"/>
    <x v="2"/>
    <s v="King"/>
    <s v="06King"/>
    <s v="02South Puget Sound"/>
    <n v="0"/>
    <n v="0"/>
    <n v="0"/>
  </r>
  <r>
    <n v="1105"/>
    <x v="3"/>
    <x v="4"/>
    <x v="3"/>
    <s v="Freshwater"/>
    <x v="0"/>
    <x v="0"/>
    <s v="804"/>
    <s v="Puyallup River"/>
    <s v="Puyallup River"/>
    <s v="Pierce"/>
    <x v="2"/>
    <s v="Other"/>
    <s v="20Other"/>
    <s v="07Non Puget Sound"/>
    <n v="0"/>
    <n v="0"/>
    <n v="0"/>
  </r>
  <r>
    <n v="1106"/>
    <x v="3"/>
    <x v="4"/>
    <x v="3"/>
    <s v="Freshwater"/>
    <x v="0"/>
    <x v="0"/>
    <s v="804"/>
    <s v="Puyallup River"/>
    <s v="Puyallup River"/>
    <s v="Pierce"/>
    <x v="2"/>
    <s v="Pierce"/>
    <s v="07Pierce"/>
    <s v="02South Puget Sound"/>
    <n v="10"/>
    <n v="0"/>
    <n v="0"/>
  </r>
  <r>
    <n v="1107"/>
    <x v="3"/>
    <x v="4"/>
    <x v="3"/>
    <s v="Freshwater"/>
    <x v="0"/>
    <x v="0"/>
    <s v="804"/>
    <s v="Puyallup River"/>
    <s v="Puyallup River"/>
    <s v="Pierce"/>
    <x v="2"/>
    <s v="Thurston"/>
    <s v="08Thurston"/>
    <s v="02South Puget Sound"/>
    <n v="0"/>
    <n v="0"/>
    <n v="0"/>
  </r>
  <r>
    <n v="1166"/>
    <x v="3"/>
    <x v="4"/>
    <x v="3"/>
    <s v="Freshwater"/>
    <x v="0"/>
    <x v="0"/>
    <s v="842"/>
    <s v="Raging River"/>
    <s v="Raging River"/>
    <s v="King"/>
    <x v="2"/>
    <s v="King"/>
    <s v="06King"/>
    <s v="02South Puget Sound"/>
    <n v="22"/>
    <n v="11"/>
    <n v="204.05"/>
  </r>
  <r>
    <n v="1142"/>
    <x v="3"/>
    <x v="4"/>
    <x v="3"/>
    <s v="Freshwater"/>
    <x v="0"/>
    <x v="0"/>
    <s v="830"/>
    <s v="Skagit River"/>
    <s v="Skagit River"/>
    <s v="Skagit/Whatcom"/>
    <x v="0"/>
    <s v="Island"/>
    <s v="04Island"/>
    <s v="01North Puget Sound"/>
    <n v="0"/>
    <n v="0"/>
    <n v="0"/>
  </r>
  <r>
    <n v="1143"/>
    <x v="3"/>
    <x v="4"/>
    <x v="3"/>
    <s v="Freshwater"/>
    <x v="0"/>
    <x v="0"/>
    <s v="830"/>
    <s v="Skagit River"/>
    <s v="Skagit River"/>
    <s v="Skagit/Whatcom"/>
    <x v="0"/>
    <s v="King"/>
    <s v="06King"/>
    <s v="02South Puget Sound"/>
    <n v="0"/>
    <n v="0"/>
    <n v="0"/>
  </r>
  <r>
    <n v="1144"/>
    <x v="3"/>
    <x v="4"/>
    <x v="3"/>
    <s v="Freshwater"/>
    <x v="0"/>
    <x v="0"/>
    <s v="830"/>
    <s v="Skagit River"/>
    <s v="Skagit River"/>
    <s v="Skagit/Whatcom"/>
    <x v="0"/>
    <s v="Other"/>
    <s v="20Other"/>
    <s v="07Non Puget Sound"/>
    <n v="0"/>
    <n v="0"/>
    <n v="0"/>
  </r>
  <r>
    <n v="1145"/>
    <x v="3"/>
    <x v="4"/>
    <x v="3"/>
    <s v="Freshwater"/>
    <x v="0"/>
    <x v="0"/>
    <s v="830"/>
    <s v="Skagit River"/>
    <s v="Skagit River"/>
    <s v="Skagit/Whatcom"/>
    <x v="0"/>
    <s v="Pierce"/>
    <s v="07Pierce"/>
    <s v="02South Puget Sound"/>
    <n v="0"/>
    <n v="0"/>
    <n v="0"/>
  </r>
  <r>
    <n v="1146"/>
    <x v="3"/>
    <x v="4"/>
    <x v="3"/>
    <s v="Freshwater"/>
    <x v="0"/>
    <x v="0"/>
    <s v="830"/>
    <s v="Skagit River"/>
    <s v="Skagit River"/>
    <s v="Skagit/Whatcom"/>
    <x v="0"/>
    <s v="Skagit"/>
    <s v="02Skagit"/>
    <s v="01North Puget Sound"/>
    <n v="0"/>
    <n v="0"/>
    <n v="0"/>
  </r>
  <r>
    <n v="1147"/>
    <x v="3"/>
    <x v="4"/>
    <x v="3"/>
    <s v="Freshwater"/>
    <x v="0"/>
    <x v="0"/>
    <s v="830"/>
    <s v="Skagit River"/>
    <s v="Skagit River"/>
    <s v="Skagit/Whatcom"/>
    <x v="0"/>
    <s v="Snohomish"/>
    <s v="03Snohomish"/>
    <s v="01North Puget Sound"/>
    <n v="0"/>
    <n v="0"/>
    <n v="0"/>
  </r>
  <r>
    <n v="1160"/>
    <x v="3"/>
    <x v="4"/>
    <x v="3"/>
    <s v="Freshwater"/>
    <x v="0"/>
    <x v="0"/>
    <s v="834"/>
    <s v="Skokomish River (Mason Co.)"/>
    <s v="Skokomish River"/>
    <s v="Mason"/>
    <x v="4"/>
    <s v="Mason"/>
    <s v="09Mason"/>
    <s v="02South Puget Sound"/>
    <n v="6"/>
    <n v="0"/>
    <n v="0"/>
  </r>
  <r>
    <n v="1161"/>
    <x v="3"/>
    <x v="4"/>
    <x v="3"/>
    <s v="Freshwater"/>
    <x v="0"/>
    <x v="0"/>
    <s v="834"/>
    <s v="Skokomish River (Mason Co.)"/>
    <s v="Skokomish River"/>
    <s v="Mason"/>
    <x v="4"/>
    <s v="Pierce"/>
    <s v="07Pierce"/>
    <s v="02South Puget Sound"/>
    <n v="6"/>
    <n v="0"/>
    <n v="0"/>
  </r>
  <r>
    <n v="1183"/>
    <x v="3"/>
    <x v="4"/>
    <x v="3"/>
    <s v="Freshwater"/>
    <x v="0"/>
    <x v="0"/>
    <s v="844"/>
    <s v="Skykomish River"/>
    <s v="Skykomish River"/>
    <s v="Snohomish"/>
    <x v="0"/>
    <s v="King"/>
    <s v="06King"/>
    <s v="02South Puget Sound"/>
    <n v="166.222222222222"/>
    <n v="83.1111111111111"/>
    <n v="1541.711111111111"/>
  </r>
  <r>
    <n v="1184"/>
    <x v="3"/>
    <x v="4"/>
    <x v="3"/>
    <s v="Freshwater"/>
    <x v="0"/>
    <x v="0"/>
    <s v="844"/>
    <s v="Skykomish River"/>
    <s v="Skykomish River"/>
    <s v="Snohomish"/>
    <x v="0"/>
    <s v="Other"/>
    <s v="20Other"/>
    <s v="07Non Puget Sound"/>
    <n v="7.5555555555555598"/>
    <n v="3.7777777777777799"/>
    <n v="70.077777777777825"/>
  </r>
  <r>
    <n v="1185"/>
    <x v="3"/>
    <x v="4"/>
    <x v="3"/>
    <s v="Freshwater"/>
    <x v="0"/>
    <x v="0"/>
    <s v="844"/>
    <s v="Skykomish River"/>
    <s v="Skykomish River"/>
    <s v="Snohomish"/>
    <x v="0"/>
    <s v="Pierce"/>
    <s v="07Pierce"/>
    <s v="02South Puget Sound"/>
    <n v="7.5555555555555598"/>
    <n v="3.7777777777777799"/>
    <n v="70.077777777777825"/>
  </r>
  <r>
    <n v="1186"/>
    <x v="3"/>
    <x v="4"/>
    <x v="3"/>
    <s v="Freshwater"/>
    <x v="0"/>
    <x v="0"/>
    <s v="844"/>
    <s v="Skykomish River"/>
    <s v="Skykomish River"/>
    <s v="Snohomish"/>
    <x v="0"/>
    <s v="Skagit"/>
    <s v="02Skagit"/>
    <s v="01North Puget Sound"/>
    <n v="7.5555555555555598"/>
    <n v="3.7777777777777799"/>
    <n v="70.077777777777825"/>
  </r>
  <r>
    <n v="1187"/>
    <x v="3"/>
    <x v="4"/>
    <x v="3"/>
    <s v="Freshwater"/>
    <x v="0"/>
    <x v="0"/>
    <s v="844"/>
    <s v="Skykomish River"/>
    <s v="Skykomish River"/>
    <s v="Snohomish"/>
    <x v="0"/>
    <s v="Snohomish"/>
    <s v="03Snohomish"/>
    <s v="01North Puget Sound"/>
    <n v="430.66666666666703"/>
    <n v="215.333333333333"/>
    <n v="3994.4333333333275"/>
  </r>
  <r>
    <n v="1188"/>
    <x v="3"/>
    <x v="4"/>
    <x v="3"/>
    <s v="Freshwater"/>
    <x v="0"/>
    <x v="0"/>
    <s v="844"/>
    <s v="Skykomish River"/>
    <s v="Skykomish River"/>
    <s v="Snohomish"/>
    <x v="0"/>
    <s v="Whatcom"/>
    <s v="01Whatcom"/>
    <s v="01North Puget Sound"/>
    <n v="60.4444444444445"/>
    <n v="30.2222222222222"/>
    <n v="560.62222222222181"/>
  </r>
  <r>
    <n v="1218"/>
    <x v="3"/>
    <x v="4"/>
    <x v="3"/>
    <s v="Freshwater"/>
    <x v="0"/>
    <x v="0"/>
    <s v="846"/>
    <s v="Skykomish River, No. Fork"/>
    <s v="Skykomish River, No. Fork"/>
    <s v="Snohomish"/>
    <x v="0"/>
    <s v="King"/>
    <s v="06King"/>
    <s v="02South Puget Sound"/>
    <n v="8"/>
    <n v="4"/>
    <n v="74.2"/>
  </r>
  <r>
    <n v="1227"/>
    <x v="3"/>
    <x v="4"/>
    <x v="3"/>
    <s v="Freshwater"/>
    <x v="0"/>
    <x v="0"/>
    <s v="848"/>
    <s v="Skykomish River, So. Fork"/>
    <s v="Skykomish River, So. Fork"/>
    <s v="Snohomish/King"/>
    <x v="0"/>
    <s v="Snohomish"/>
    <s v="03Snohomish"/>
    <s v="01North Puget Sound"/>
    <n v="22"/>
    <n v="11"/>
    <n v="204.05"/>
  </r>
  <r>
    <n v="1234"/>
    <x v="3"/>
    <x v="4"/>
    <x v="3"/>
    <s v="Freshwater"/>
    <x v="0"/>
    <x v="0"/>
    <s v="850"/>
    <s v="Snohomish River"/>
    <s v="Snohomish River"/>
    <s v="Snohomish"/>
    <x v="0"/>
    <s v="King"/>
    <s v="06King"/>
    <s v="02South Puget Sound"/>
    <n v="22.363636363636399"/>
    <n v="11.181818181818199"/>
    <n v="207.4227272727276"/>
  </r>
  <r>
    <n v="1235"/>
    <x v="3"/>
    <x v="4"/>
    <x v="3"/>
    <s v="Freshwater"/>
    <x v="0"/>
    <x v="0"/>
    <s v="850"/>
    <s v="Snohomish River"/>
    <s v="Snohomish River"/>
    <s v="Snohomish"/>
    <x v="0"/>
    <s v="Snohomish"/>
    <s v="03Snohomish"/>
    <s v="01North Puget Sound"/>
    <n v="59.636363636363697"/>
    <n v="29.818181818181799"/>
    <n v="553.12727272727238"/>
  </r>
  <r>
    <n v="1274"/>
    <x v="3"/>
    <x v="4"/>
    <x v="3"/>
    <s v="Freshwater"/>
    <x v="0"/>
    <x v="0"/>
    <s v="860"/>
    <s v="Wallace River"/>
    <s v="Wallace River"/>
    <s v="Snohomish"/>
    <x v="0"/>
    <s v="Snohomish"/>
    <s v="03Snohomish"/>
    <s v="01North Puget Sound"/>
    <n v="8"/>
    <n v="4"/>
    <n v="74.2"/>
  </r>
  <r>
    <n v="1325"/>
    <x v="3"/>
    <x v="5"/>
    <x v="3"/>
    <s v="Freshwater"/>
    <x v="0"/>
    <x v="0"/>
    <s v="9"/>
    <s v="Area 9: Admiralty Inlet"/>
    <s v="Area 9: Admiralty Inlet"/>
    <s v="NA"/>
    <x v="0"/>
    <s v="Island"/>
    <s v="04Island"/>
    <s v="01North Puget Sound"/>
    <n v="12"/>
    <n v="6"/>
    <n v="111.30000000000001"/>
  </r>
  <r>
    <n v="1326"/>
    <x v="3"/>
    <x v="5"/>
    <x v="3"/>
    <s v="Freshwater"/>
    <x v="0"/>
    <x v="0"/>
    <s v="9"/>
    <s v="Area 9: Admiralty Inlet"/>
    <s v="Area 9: Admiralty Inlet"/>
    <s v="NA"/>
    <x v="0"/>
    <s v="Kitsap"/>
    <s v="10Kitsap"/>
    <s v="02South Puget Sound"/>
    <n v="0"/>
    <n v="0"/>
    <n v="0"/>
  </r>
  <r>
    <n v="1327"/>
    <x v="3"/>
    <x v="5"/>
    <x v="3"/>
    <s v="Freshwater"/>
    <x v="0"/>
    <x v="0"/>
    <s v="9"/>
    <s v="Area 9: Admiralty Inlet"/>
    <s v="Area 9: Admiralty Inlet"/>
    <s v="NA"/>
    <x v="0"/>
    <s v="Snohomish"/>
    <s v="03Snohomish"/>
    <s v="01North Puget Sound"/>
    <n v="0"/>
    <n v="0"/>
    <n v="0"/>
  </r>
  <r>
    <n v="1119"/>
    <x v="3"/>
    <x v="5"/>
    <x v="3"/>
    <s v="Freshwater"/>
    <x v="0"/>
    <x v="0"/>
    <s v="826"/>
    <s v="Cascade River"/>
    <s v="Cascade River"/>
    <s v="Skagit"/>
    <x v="1"/>
    <s v="Snohomish"/>
    <s v="03Snohomish"/>
    <s v="01North Puget Sound"/>
    <n v="0"/>
    <n v="0"/>
    <n v="0"/>
  </r>
  <r>
    <n v="1120"/>
    <x v="3"/>
    <x v="5"/>
    <x v="3"/>
    <s v="Freshwater"/>
    <x v="0"/>
    <x v="0"/>
    <s v="826"/>
    <s v="Cascade River"/>
    <s v="Cascade River"/>
    <s v="Skagit"/>
    <x v="1"/>
    <s v="Whatcom"/>
    <s v="01Whatcom"/>
    <s v="01North Puget Sound"/>
    <n v="0"/>
    <n v="0"/>
    <n v="0"/>
  </r>
  <r>
    <n v="1068"/>
    <x v="3"/>
    <x v="5"/>
    <x v="3"/>
    <s v="Freshwater"/>
    <x v="0"/>
    <x v="0"/>
    <s v="746"/>
    <s v="Green (Duwamish River) (King Co.)"/>
    <s v="Green - Duwamish River"/>
    <s v="King"/>
    <x v="2"/>
    <s v="King"/>
    <s v="06King"/>
    <s v="02South Puget Sound"/>
    <n v="143.304347826087"/>
    <n v="71.652173913043498"/>
    <n v="1329.1478260869569"/>
  </r>
  <r>
    <n v="1069"/>
    <x v="3"/>
    <x v="5"/>
    <x v="3"/>
    <s v="Freshwater"/>
    <x v="0"/>
    <x v="0"/>
    <s v="746"/>
    <s v="Green (Duwamish River) (King Co.)"/>
    <s v="Green - Duwamish River"/>
    <s v="King"/>
    <x v="2"/>
    <s v="Other"/>
    <s v="20Other"/>
    <s v="07Non Puget Sound"/>
    <n v="8.9565217391304408"/>
    <n v="4.4782608695652204"/>
    <n v="83.071739130434835"/>
  </r>
  <r>
    <n v="1070"/>
    <x v="3"/>
    <x v="5"/>
    <x v="3"/>
    <s v="Freshwater"/>
    <x v="0"/>
    <x v="0"/>
    <s v="746"/>
    <s v="Green (Duwamish River) (King Co.)"/>
    <s v="Green - Duwamish River"/>
    <s v="King"/>
    <x v="2"/>
    <s v="Pierce"/>
    <s v="07Pierce"/>
    <s v="02South Puget Sound"/>
    <n v="53.739130434782602"/>
    <n v="26.869565217391301"/>
    <n v="498.43043478260864"/>
  </r>
  <r>
    <n v="1095"/>
    <x v="3"/>
    <x v="5"/>
    <x v="3"/>
    <s v="Freshwater"/>
    <x v="0"/>
    <x v="0"/>
    <s v="786"/>
    <s v="Nisqually River"/>
    <s v="Nisqually River"/>
    <s v="Thurston/Pierce"/>
    <x v="2"/>
    <s v="Other"/>
    <s v="20Other"/>
    <s v="07Non Puget Sound"/>
    <n v="0"/>
    <n v="0"/>
    <n v="0"/>
  </r>
  <r>
    <n v="1096"/>
    <x v="3"/>
    <x v="5"/>
    <x v="3"/>
    <s v="Freshwater"/>
    <x v="0"/>
    <x v="0"/>
    <s v="786"/>
    <s v="Nisqually River"/>
    <s v="Nisqually River"/>
    <s v="Thurston/Pierce"/>
    <x v="2"/>
    <s v="Pierce"/>
    <s v="07Pierce"/>
    <s v="02South Puget Sound"/>
    <n v="6"/>
    <n v="0"/>
    <n v="0"/>
  </r>
  <r>
    <n v="1097"/>
    <x v="3"/>
    <x v="5"/>
    <x v="3"/>
    <s v="Freshwater"/>
    <x v="0"/>
    <x v="0"/>
    <s v="786"/>
    <s v="Nisqually River"/>
    <s v="Nisqually River"/>
    <s v="Thurston/Pierce"/>
    <x v="2"/>
    <s v="Thurston"/>
    <s v="08Thurston"/>
    <s v="02South Puget Sound"/>
    <n v="0"/>
    <n v="0"/>
    <n v="0"/>
  </r>
  <r>
    <n v="1162"/>
    <x v="3"/>
    <x v="5"/>
    <x v="3"/>
    <s v="Freshwater"/>
    <x v="0"/>
    <x v="0"/>
    <s v="840"/>
    <s v="Pilchuck River (Snohomish System)"/>
    <s v="Pilchuck River (Snohomish System)"/>
    <s v="Snohomish"/>
    <x v="0"/>
    <s v="Snohomish"/>
    <s v="03Snohomish"/>
    <s v="01North Puget Sound"/>
    <n v="8"/>
    <n v="0"/>
    <n v="0"/>
  </r>
  <r>
    <n v="1167"/>
    <x v="3"/>
    <x v="5"/>
    <x v="3"/>
    <s v="Freshwater"/>
    <x v="0"/>
    <x v="0"/>
    <s v="842"/>
    <s v="Raging River"/>
    <s v="Raging River"/>
    <s v="King"/>
    <x v="2"/>
    <s v="King"/>
    <s v="06King"/>
    <s v="02South Puget Sound"/>
    <n v="8"/>
    <n v="4"/>
    <n v="74.2"/>
  </r>
  <r>
    <n v="1148"/>
    <x v="3"/>
    <x v="5"/>
    <x v="3"/>
    <s v="Freshwater"/>
    <x v="0"/>
    <x v="0"/>
    <s v="830"/>
    <s v="Skagit River"/>
    <s v="Skagit River"/>
    <s v="Skagit/Whatcom"/>
    <x v="0"/>
    <s v="Other"/>
    <s v="20Other"/>
    <s v="07Non Puget Sound"/>
    <n v="0"/>
    <n v="0"/>
    <n v="0"/>
  </r>
  <r>
    <n v="1149"/>
    <x v="3"/>
    <x v="5"/>
    <x v="3"/>
    <s v="Freshwater"/>
    <x v="0"/>
    <x v="0"/>
    <s v="830"/>
    <s v="Skagit River"/>
    <s v="Skagit River"/>
    <s v="Skagit/Whatcom"/>
    <x v="0"/>
    <s v="Skagit"/>
    <s v="02Skagit"/>
    <s v="01North Puget Sound"/>
    <n v="0"/>
    <n v="0"/>
    <n v="0"/>
  </r>
  <r>
    <n v="1150"/>
    <x v="3"/>
    <x v="5"/>
    <x v="3"/>
    <s v="Freshwater"/>
    <x v="0"/>
    <x v="0"/>
    <s v="830"/>
    <s v="Skagit River"/>
    <s v="Skagit River"/>
    <s v="Skagit/Whatcom"/>
    <x v="0"/>
    <s v="Snohomish"/>
    <s v="03Snohomish"/>
    <s v="01North Puget Sound"/>
    <n v="0"/>
    <n v="0"/>
    <n v="0"/>
  </r>
  <r>
    <n v="1151"/>
    <x v="3"/>
    <x v="5"/>
    <x v="3"/>
    <s v="Freshwater"/>
    <x v="0"/>
    <x v="0"/>
    <s v="830"/>
    <s v="Skagit River"/>
    <s v="Skagit River"/>
    <s v="Skagit/Whatcom"/>
    <x v="0"/>
    <s v="Whatcom"/>
    <s v="01Whatcom"/>
    <s v="01North Puget Sound"/>
    <n v="0"/>
    <n v="0"/>
    <n v="0"/>
  </r>
  <r>
    <n v="1189"/>
    <x v="3"/>
    <x v="5"/>
    <x v="3"/>
    <s v="Freshwater"/>
    <x v="0"/>
    <x v="0"/>
    <s v="844"/>
    <s v="Skykomish River"/>
    <s v="Skykomish River"/>
    <s v="Snohomish"/>
    <x v="0"/>
    <s v="King"/>
    <s v="06King"/>
    <s v="02South Puget Sound"/>
    <n v="211.62790697674399"/>
    <n v="105.81395348837199"/>
    <n v="1962.8488372093007"/>
  </r>
  <r>
    <n v="1190"/>
    <x v="3"/>
    <x v="5"/>
    <x v="3"/>
    <s v="Freshwater"/>
    <x v="0"/>
    <x v="0"/>
    <s v="844"/>
    <s v="Skykomish River"/>
    <s v="Skykomish River"/>
    <s v="Snohomish"/>
    <x v="0"/>
    <s v="Other"/>
    <s v="20Other"/>
    <s v="07Non Puget Sound"/>
    <n v="7.5581395348837201"/>
    <n v="3.7790697674418601"/>
    <n v="70.101744186046503"/>
  </r>
  <r>
    <n v="1191"/>
    <x v="3"/>
    <x v="5"/>
    <x v="3"/>
    <s v="Freshwater"/>
    <x v="0"/>
    <x v="0"/>
    <s v="844"/>
    <s v="Skykomish River"/>
    <s v="Skykomish River"/>
    <s v="Snohomish"/>
    <x v="0"/>
    <s v="Snohomish"/>
    <s v="03Snohomish"/>
    <s v="01North Puget Sound"/>
    <n v="430.81395348837202"/>
    <n v="215.40697674418601"/>
    <n v="3995.7994186046508"/>
  </r>
  <r>
    <n v="1219"/>
    <x v="3"/>
    <x v="5"/>
    <x v="3"/>
    <s v="Freshwater"/>
    <x v="0"/>
    <x v="0"/>
    <s v="846"/>
    <s v="Skykomish River, No. Fork"/>
    <s v="Skykomish River, No. Fork"/>
    <s v="Snohomish"/>
    <x v="0"/>
    <s v="King"/>
    <s v="06King"/>
    <s v="02South Puget Sound"/>
    <n v="22"/>
    <n v="11"/>
    <n v="204.05"/>
  </r>
  <r>
    <n v="1236"/>
    <x v="3"/>
    <x v="5"/>
    <x v="3"/>
    <s v="Freshwater"/>
    <x v="0"/>
    <x v="0"/>
    <s v="850"/>
    <s v="Snohomish River"/>
    <s v="Snohomish River"/>
    <s v="Snohomish"/>
    <x v="0"/>
    <s v="King"/>
    <s v="06King"/>
    <s v="02South Puget Sound"/>
    <n v="7.5625"/>
    <n v="3.78125"/>
    <n v="70.142187500000006"/>
  </r>
  <r>
    <n v="1237"/>
    <x v="3"/>
    <x v="5"/>
    <x v="3"/>
    <s v="Freshwater"/>
    <x v="0"/>
    <x v="0"/>
    <s v="850"/>
    <s v="Snohomish River"/>
    <s v="Snohomish River"/>
    <s v="Snohomish"/>
    <x v="0"/>
    <s v="Snohomish"/>
    <s v="03Snohomish"/>
    <s v="01North Puget Sound"/>
    <n v="234.4375"/>
    <n v="117.21875"/>
    <n v="2174.4078125000001"/>
  </r>
  <r>
    <n v="1292"/>
    <x v="3"/>
    <x v="5"/>
    <x v="3"/>
    <s v="Freshwater"/>
    <x v="0"/>
    <x v="0"/>
    <s v="872"/>
    <s v="Stillaguamish R, No. Fork"/>
    <s v="Stillaguamish R, No. Fork"/>
    <s v="Snohomish"/>
    <x v="0"/>
    <s v="Snohomish"/>
    <s v="03Snohomish"/>
    <s v="01North Puget Sound"/>
    <n v="10"/>
    <n v="5"/>
    <n v="92.75"/>
  </r>
  <r>
    <n v="1308"/>
    <x v="3"/>
    <x v="5"/>
    <x v="3"/>
    <s v="Freshwater"/>
    <x v="0"/>
    <x v="0"/>
    <s v="876"/>
    <s v="Stillaguamish River"/>
    <s v="Stillaguamish River"/>
    <s v="Snohomish"/>
    <x v="0"/>
    <s v="King"/>
    <s v="06King"/>
    <s v="02South Puget Sound"/>
    <n v="18"/>
    <n v="9"/>
    <n v="166.95000000000002"/>
  </r>
  <r>
    <n v="1275"/>
    <x v="3"/>
    <x v="5"/>
    <x v="3"/>
    <s v="Freshwater"/>
    <x v="0"/>
    <x v="0"/>
    <s v="860"/>
    <s v="Wallace River"/>
    <s v="Wallace River"/>
    <s v="Snohomish"/>
    <x v="0"/>
    <s v="King"/>
    <s v="06King"/>
    <s v="02South Puget Sound"/>
    <n v="16"/>
    <n v="8"/>
    <n v="148.4"/>
  </r>
  <r>
    <n v="1286"/>
    <x v="3"/>
    <x v="5"/>
    <x v="3"/>
    <s v="Freshwater"/>
    <x v="0"/>
    <x v="0"/>
    <s v="862"/>
    <s v="Woods Creek"/>
    <s v="Woods Creek"/>
    <s v="Snohomish"/>
    <x v="0"/>
    <s v="Snohomish"/>
    <s v="03Snohomish"/>
    <s v="01North Puget Sound"/>
    <n v="8"/>
    <n v="0"/>
    <n v="0"/>
  </r>
  <r>
    <n v="1121"/>
    <x v="3"/>
    <x v="6"/>
    <x v="3"/>
    <s v="Freshwater"/>
    <x v="0"/>
    <x v="0"/>
    <s v="826"/>
    <s v="Cascade River"/>
    <s v="Cascade River"/>
    <s v="Skagit"/>
    <x v="1"/>
    <s v="Skagit"/>
    <s v="02Skagit"/>
    <s v="01North Puget Sound"/>
    <n v="0"/>
    <n v="0"/>
    <n v="0"/>
  </r>
  <r>
    <n v="1071"/>
    <x v="3"/>
    <x v="6"/>
    <x v="3"/>
    <s v="Freshwater"/>
    <x v="0"/>
    <x v="0"/>
    <s v="746"/>
    <s v="Green (Duwamish River) (King Co.)"/>
    <s v="Green - Duwamish River"/>
    <s v="King"/>
    <x v="2"/>
    <s v="King"/>
    <s v="06King"/>
    <s v="02South Puget Sound"/>
    <n v="151.30000000000001"/>
    <n v="75.650000000000006"/>
    <n v="1403.3075000000001"/>
  </r>
  <r>
    <n v="1072"/>
    <x v="3"/>
    <x v="6"/>
    <x v="3"/>
    <s v="Freshwater"/>
    <x v="0"/>
    <x v="0"/>
    <s v="746"/>
    <s v="Green (Duwamish River) (King Co.)"/>
    <s v="Green - Duwamish River"/>
    <s v="King"/>
    <x v="2"/>
    <s v="Pierce"/>
    <s v="07Pierce"/>
    <s v="02South Puget Sound"/>
    <n v="26.7"/>
    <n v="13.35"/>
    <n v="247.64250000000001"/>
  </r>
  <r>
    <n v="1192"/>
    <x v="3"/>
    <x v="6"/>
    <x v="3"/>
    <s v="Freshwater"/>
    <x v="0"/>
    <x v="0"/>
    <s v="844"/>
    <s v="Skykomish River"/>
    <s v="Skykomish River"/>
    <s v="Snohomish"/>
    <x v="0"/>
    <s v="King"/>
    <s v="06King"/>
    <s v="02South Puget Sound"/>
    <n v="105.583333333333"/>
    <n v="52.7916666666667"/>
    <n v="979.28541666666729"/>
  </r>
  <r>
    <n v="1193"/>
    <x v="3"/>
    <x v="6"/>
    <x v="3"/>
    <s v="Freshwater"/>
    <x v="0"/>
    <x v="0"/>
    <s v="844"/>
    <s v="Skykomish River"/>
    <s v="Skykomish River"/>
    <s v="Snohomish"/>
    <x v="0"/>
    <s v="Other"/>
    <s v="20Other"/>
    <s v="07Non Puget Sound"/>
    <n v="30.1666666666667"/>
    <n v="15.0833333333333"/>
    <n v="279.79583333333272"/>
  </r>
  <r>
    <n v="1194"/>
    <x v="3"/>
    <x v="6"/>
    <x v="3"/>
    <s v="Freshwater"/>
    <x v="0"/>
    <x v="0"/>
    <s v="844"/>
    <s v="Skykomish River"/>
    <s v="Skykomish River"/>
    <s v="Snohomish"/>
    <x v="0"/>
    <s v="Snohomish"/>
    <s v="03Snohomish"/>
    <s v="01North Puget Sound"/>
    <n v="226.25"/>
    <n v="113.125"/>
    <n v="2098.46875"/>
  </r>
  <r>
    <n v="1220"/>
    <x v="3"/>
    <x v="6"/>
    <x v="3"/>
    <s v="Freshwater"/>
    <x v="0"/>
    <x v="0"/>
    <s v="846"/>
    <s v="Skykomish River, No. Fork"/>
    <s v="Skykomish River, No. Fork"/>
    <s v="Snohomish"/>
    <x v="0"/>
    <s v="King"/>
    <s v="06King"/>
    <s v="02South Puget Sound"/>
    <n v="30"/>
    <n v="15"/>
    <n v="278.25"/>
  </r>
  <r>
    <n v="1238"/>
    <x v="3"/>
    <x v="6"/>
    <x v="3"/>
    <s v="Freshwater"/>
    <x v="0"/>
    <x v="0"/>
    <s v="850"/>
    <s v="Snohomish River"/>
    <s v="Snohomish River"/>
    <s v="Snohomish"/>
    <x v="0"/>
    <s v="King"/>
    <s v="06King"/>
    <s v="02South Puget Sound"/>
    <n v="7.5"/>
    <n v="3.75"/>
    <n v="69.5625"/>
  </r>
  <r>
    <n v="1239"/>
    <x v="3"/>
    <x v="6"/>
    <x v="3"/>
    <s v="Freshwater"/>
    <x v="0"/>
    <x v="0"/>
    <s v="850"/>
    <s v="Snohomish River"/>
    <s v="Snohomish River"/>
    <s v="Snohomish"/>
    <x v="0"/>
    <s v="Snohomish"/>
    <s v="03Snohomish"/>
    <s v="01North Puget Sound"/>
    <n v="15"/>
    <n v="7.5"/>
    <n v="139.125"/>
  </r>
  <r>
    <n v="1240"/>
    <x v="3"/>
    <x v="6"/>
    <x v="3"/>
    <s v="Freshwater"/>
    <x v="0"/>
    <x v="0"/>
    <s v="850"/>
    <s v="Snohomish River"/>
    <s v="Snohomish River"/>
    <s v="Snohomish"/>
    <x v="0"/>
    <s v="Whatcom"/>
    <s v="01Whatcom"/>
    <s v="01North Puget Sound"/>
    <n v="7.5"/>
    <n v="3.75"/>
    <n v="69.5625"/>
  </r>
  <r>
    <n v="1249"/>
    <x v="3"/>
    <x v="6"/>
    <x v="3"/>
    <s v="Freshwater"/>
    <x v="0"/>
    <x v="0"/>
    <s v="852"/>
    <s v="Snoqualmie River"/>
    <s v="Snoqualmie River"/>
    <s v="Snohomish/King"/>
    <x v="0"/>
    <s v="Snohomish"/>
    <s v="03Snohomish"/>
    <s v="01North Puget Sound"/>
    <n v="8"/>
    <n v="4"/>
    <n v="74.2"/>
  </r>
  <r>
    <n v="1293"/>
    <x v="3"/>
    <x v="6"/>
    <x v="3"/>
    <s v="Freshwater"/>
    <x v="0"/>
    <x v="0"/>
    <s v="872"/>
    <s v="Stillaguamish R, No. Fork"/>
    <s v="Stillaguamish R, No. Fork"/>
    <s v="Snohomish"/>
    <x v="0"/>
    <s v="Island"/>
    <s v="04Island"/>
    <s v="01North Puget Sound"/>
    <n v="9"/>
    <n v="4.5"/>
    <n v="83.475000000000009"/>
  </r>
  <r>
    <n v="1294"/>
    <x v="3"/>
    <x v="6"/>
    <x v="3"/>
    <s v="Freshwater"/>
    <x v="0"/>
    <x v="0"/>
    <s v="872"/>
    <s v="Stillaguamish R, No. Fork"/>
    <s v="Stillaguamish R, No. Fork"/>
    <s v="Snohomish"/>
    <x v="0"/>
    <s v="King"/>
    <s v="06King"/>
    <s v="02South Puget Sound"/>
    <n v="27"/>
    <n v="13.5"/>
    <n v="250.42500000000001"/>
  </r>
  <r>
    <n v="1295"/>
    <x v="3"/>
    <x v="6"/>
    <x v="3"/>
    <s v="Freshwater"/>
    <x v="0"/>
    <x v="0"/>
    <s v="872"/>
    <s v="Stillaguamish R, No. Fork"/>
    <s v="Stillaguamish R, No. Fork"/>
    <s v="Snohomish"/>
    <x v="0"/>
    <s v="Snohomish"/>
    <s v="03Snohomish"/>
    <s v="01North Puget Sound"/>
    <n v="18"/>
    <n v="9"/>
    <n v="166.95000000000002"/>
  </r>
  <r>
    <n v="1309"/>
    <x v="3"/>
    <x v="6"/>
    <x v="3"/>
    <s v="Freshwater"/>
    <x v="0"/>
    <x v="0"/>
    <s v="876"/>
    <s v="Stillaguamish River"/>
    <s v="Stillaguamish River"/>
    <s v="Snohomish"/>
    <x v="0"/>
    <s v="Snohomish"/>
    <s v="03Snohomish"/>
    <s v="01North Puget Sound"/>
    <n v="18"/>
    <n v="9"/>
    <n v="166.95000000000002"/>
  </r>
  <r>
    <n v="1276"/>
    <x v="3"/>
    <x v="6"/>
    <x v="3"/>
    <s v="Freshwater"/>
    <x v="0"/>
    <x v="0"/>
    <s v="860"/>
    <s v="Wallace River"/>
    <s v="Wallace River"/>
    <s v="Snohomish"/>
    <x v="0"/>
    <s v="King"/>
    <s v="06King"/>
    <s v="02South Puget Sound"/>
    <n v="7.5"/>
    <n v="3.75"/>
    <n v="69.5625"/>
  </r>
  <r>
    <n v="1277"/>
    <x v="3"/>
    <x v="6"/>
    <x v="3"/>
    <s v="Freshwater"/>
    <x v="0"/>
    <x v="0"/>
    <s v="860"/>
    <s v="Wallace River"/>
    <s v="Wallace River"/>
    <s v="Snohomish"/>
    <x v="0"/>
    <s v="Snohomish"/>
    <s v="03Snohomish"/>
    <s v="01North Puget Sound"/>
    <n v="22.5"/>
    <n v="11.25"/>
    <n v="208.6875"/>
  </r>
  <r>
    <n v="1122"/>
    <x v="3"/>
    <x v="7"/>
    <x v="3"/>
    <s v="Freshwater"/>
    <x v="0"/>
    <x v="0"/>
    <s v="826"/>
    <s v="Cascade River"/>
    <s v="Cascade River"/>
    <s v="Skagit"/>
    <x v="1"/>
    <s v="Island"/>
    <s v="04Island"/>
    <s v="01North Puget Sound"/>
    <n v="6.2666666666666702"/>
    <n v="3.1333333333333302"/>
    <n v="58.123333333333278"/>
  </r>
  <r>
    <n v="1123"/>
    <x v="3"/>
    <x v="7"/>
    <x v="3"/>
    <s v="Freshwater"/>
    <x v="0"/>
    <x v="0"/>
    <s v="826"/>
    <s v="Cascade River"/>
    <s v="Cascade River"/>
    <s v="Skagit"/>
    <x v="1"/>
    <s v="King"/>
    <s v="06King"/>
    <s v="02South Puget Sound"/>
    <n v="6.2666666666666702"/>
    <n v="3.1333333333333302"/>
    <n v="58.123333333333278"/>
  </r>
  <r>
    <n v="1124"/>
    <x v="3"/>
    <x v="7"/>
    <x v="3"/>
    <s v="Freshwater"/>
    <x v="0"/>
    <x v="0"/>
    <s v="826"/>
    <s v="Cascade River"/>
    <s v="Cascade River"/>
    <s v="Skagit"/>
    <x v="1"/>
    <s v="Skagit"/>
    <s v="02Skagit"/>
    <s v="01North Puget Sound"/>
    <n v="56.4"/>
    <n v="28.2"/>
    <n v="523.11"/>
  </r>
  <r>
    <n v="1125"/>
    <x v="3"/>
    <x v="7"/>
    <x v="3"/>
    <s v="Freshwater"/>
    <x v="0"/>
    <x v="0"/>
    <s v="826"/>
    <s v="Cascade River"/>
    <s v="Cascade River"/>
    <s v="Skagit"/>
    <x v="1"/>
    <s v="Snohomish"/>
    <s v="03Snohomish"/>
    <s v="01North Puget Sound"/>
    <n v="6.2666666666666702"/>
    <n v="3.1333333333333302"/>
    <n v="58.123333333333278"/>
  </r>
  <r>
    <n v="1126"/>
    <x v="3"/>
    <x v="7"/>
    <x v="3"/>
    <s v="Freshwater"/>
    <x v="0"/>
    <x v="0"/>
    <s v="826"/>
    <s v="Cascade River"/>
    <s v="Cascade River"/>
    <s v="Skagit"/>
    <x v="1"/>
    <s v="Whatcom"/>
    <s v="01Whatcom"/>
    <s v="01North Puget Sound"/>
    <n v="18.8"/>
    <n v="9.4"/>
    <n v="174.37"/>
  </r>
  <r>
    <n v="1050"/>
    <x v="3"/>
    <x v="7"/>
    <x v="3"/>
    <s v="Freshwater"/>
    <x v="0"/>
    <x v="0"/>
    <s v="738"/>
    <s v="Dungeness River"/>
    <s v="Dungeness River"/>
    <s v="Clallam"/>
    <x v="3"/>
    <s v="Clallam"/>
    <s v="11Clallam"/>
    <s v="03Strait of Juan de Fuca"/>
    <n v="13.3333333333333"/>
    <n v="6.6666666666666696"/>
    <n v="123.66666666666673"/>
  </r>
  <r>
    <n v="1051"/>
    <x v="3"/>
    <x v="7"/>
    <x v="3"/>
    <s v="Freshwater"/>
    <x v="0"/>
    <x v="0"/>
    <s v="738"/>
    <s v="Dungeness River"/>
    <s v="Dungeness River"/>
    <s v="Clallam"/>
    <x v="3"/>
    <s v="Kitsap"/>
    <s v="10Kitsap"/>
    <s v="02South Puget Sound"/>
    <n v="6.6666666666666696"/>
    <n v="3.3333333333333299"/>
    <n v="61.833333333333272"/>
  </r>
  <r>
    <n v="1073"/>
    <x v="3"/>
    <x v="7"/>
    <x v="3"/>
    <s v="Freshwater"/>
    <x v="0"/>
    <x v="0"/>
    <s v="746"/>
    <s v="Green (Duwamish River) (King Co.)"/>
    <s v="Green - Duwamish River"/>
    <s v="King"/>
    <x v="2"/>
    <s v="King"/>
    <s v="06King"/>
    <s v="02South Puget Sound"/>
    <n v="50.6666666666667"/>
    <n v="25.3333333333333"/>
    <n v="469.93333333333271"/>
  </r>
  <r>
    <n v="1074"/>
    <x v="3"/>
    <x v="7"/>
    <x v="3"/>
    <s v="Freshwater"/>
    <x v="0"/>
    <x v="0"/>
    <s v="746"/>
    <s v="Green (Duwamish River) (King Co.)"/>
    <s v="Green - Duwamish River"/>
    <s v="King"/>
    <x v="2"/>
    <s v="Pierce"/>
    <s v="07Pierce"/>
    <s v="02South Puget Sound"/>
    <n v="5.3333333333333304"/>
    <n v="2.6666666666666701"/>
    <n v="49.466666666666733"/>
  </r>
  <r>
    <n v="1092"/>
    <x v="3"/>
    <x v="7"/>
    <x v="3"/>
    <s v="Freshwater"/>
    <x v="0"/>
    <x v="0"/>
    <s v="778"/>
    <s v="Minter Creek (Pierce/Kitsap Co.)"/>
    <s v="Minter Creek"/>
    <s v="Kitsap/Pierce"/>
    <x v="2"/>
    <s v="Pierce"/>
    <s v="07Pierce"/>
    <s v="02South Puget Sound"/>
    <n v="14"/>
    <n v="0"/>
    <n v="0"/>
  </r>
  <r>
    <n v="1163"/>
    <x v="3"/>
    <x v="7"/>
    <x v="3"/>
    <s v="Freshwater"/>
    <x v="0"/>
    <x v="0"/>
    <s v="840"/>
    <s v="Pilchuck River (Snohomish System)"/>
    <s v="Pilchuck River (Snohomish System)"/>
    <s v="Snohomish"/>
    <x v="0"/>
    <s v="Snohomish"/>
    <s v="03Snohomish"/>
    <s v="01North Puget Sound"/>
    <n v="6"/>
    <n v="0"/>
    <n v="0"/>
  </r>
  <r>
    <n v="1113"/>
    <x v="3"/>
    <x v="7"/>
    <x v="3"/>
    <s v="Freshwater"/>
    <x v="0"/>
    <x v="0"/>
    <s v="810"/>
    <s v="Pysht River"/>
    <s v="Pysht River"/>
    <s v="Clallam"/>
    <x v="3"/>
    <s v="Kitsap"/>
    <s v="10Kitsap"/>
    <s v="02South Puget Sound"/>
    <n v="6"/>
    <n v="3"/>
    <n v="55.650000000000006"/>
  </r>
  <r>
    <n v="1152"/>
    <x v="3"/>
    <x v="7"/>
    <x v="3"/>
    <s v="Freshwater"/>
    <x v="0"/>
    <x v="0"/>
    <s v="830"/>
    <s v="Skagit River"/>
    <s v="Skagit River"/>
    <s v="Skagit/Whatcom"/>
    <x v="0"/>
    <s v="Skagit"/>
    <s v="02Skagit"/>
    <s v="01North Puget Sound"/>
    <n v="6"/>
    <n v="6"/>
    <n v="111.30000000000001"/>
  </r>
  <r>
    <n v="1153"/>
    <x v="3"/>
    <x v="7"/>
    <x v="3"/>
    <s v="Freshwater"/>
    <x v="0"/>
    <x v="0"/>
    <s v="830"/>
    <s v="Skagit River"/>
    <s v="Skagit River"/>
    <s v="Skagit/Whatcom"/>
    <x v="0"/>
    <s v="Snohomish"/>
    <s v="03Snohomish"/>
    <s v="01North Puget Sound"/>
    <n v="6"/>
    <n v="6"/>
    <n v="111.30000000000001"/>
  </r>
  <r>
    <n v="1195"/>
    <x v="3"/>
    <x v="7"/>
    <x v="3"/>
    <s v="Freshwater"/>
    <x v="0"/>
    <x v="0"/>
    <s v="844"/>
    <s v="Skykomish River"/>
    <s v="Skykomish River"/>
    <s v="Snohomish"/>
    <x v="0"/>
    <s v="Island"/>
    <s v="04Island"/>
    <s v="01North Puget Sound"/>
    <n v="6.1098901098901104"/>
    <n v="3.1318681318681301"/>
    <n v="58.096153846153818"/>
  </r>
  <r>
    <n v="1196"/>
    <x v="3"/>
    <x v="7"/>
    <x v="3"/>
    <s v="Freshwater"/>
    <x v="0"/>
    <x v="0"/>
    <s v="844"/>
    <s v="Skykomish River"/>
    <s v="Skykomish River"/>
    <s v="Snohomish"/>
    <x v="0"/>
    <s v="King"/>
    <s v="06King"/>
    <s v="02South Puget Sound"/>
    <n v="146.637362637363"/>
    <n v="75.164835164835196"/>
    <n v="1394.3076923076928"/>
  </r>
  <r>
    <n v="1197"/>
    <x v="3"/>
    <x v="7"/>
    <x v="3"/>
    <s v="Freshwater"/>
    <x v="0"/>
    <x v="0"/>
    <s v="844"/>
    <s v="Skykomish River"/>
    <s v="Skykomish River"/>
    <s v="Snohomish"/>
    <x v="0"/>
    <s v="Other"/>
    <s v="20Other"/>
    <s v="07Non Puget Sound"/>
    <n v="6.1098901098901104"/>
    <n v="3.1318681318681301"/>
    <n v="58.096153846153818"/>
  </r>
  <r>
    <n v="1198"/>
    <x v="3"/>
    <x v="7"/>
    <x v="3"/>
    <s v="Freshwater"/>
    <x v="0"/>
    <x v="0"/>
    <s v="844"/>
    <s v="Skykomish River"/>
    <s v="Skykomish River"/>
    <s v="Snohomish"/>
    <x v="0"/>
    <s v="Pierce"/>
    <s v="07Pierce"/>
    <s v="02South Puget Sound"/>
    <n v="18.3296703296703"/>
    <n v="9.3956043956043995"/>
    <n v="174.2884615384616"/>
  </r>
  <r>
    <n v="1199"/>
    <x v="3"/>
    <x v="7"/>
    <x v="3"/>
    <s v="Freshwater"/>
    <x v="0"/>
    <x v="0"/>
    <s v="844"/>
    <s v="Skykomish River"/>
    <s v="Skykomish River"/>
    <s v="Snohomish"/>
    <x v="0"/>
    <s v="Snohomish"/>
    <s v="03Snohomish"/>
    <s v="01North Puget Sound"/>
    <n v="378.81318681318697"/>
    <n v="194.175824175824"/>
    <n v="3601.9615384615354"/>
  </r>
  <r>
    <n v="1221"/>
    <x v="3"/>
    <x v="7"/>
    <x v="3"/>
    <s v="Freshwater"/>
    <x v="0"/>
    <x v="0"/>
    <s v="846"/>
    <s v="Skykomish River, No. Fork"/>
    <s v="Skykomish River, No. Fork"/>
    <s v="Snohomish"/>
    <x v="0"/>
    <s v="King"/>
    <s v="06King"/>
    <s v="02South Puget Sound"/>
    <n v="12"/>
    <n v="6"/>
    <n v="111.30000000000001"/>
  </r>
  <r>
    <n v="1228"/>
    <x v="3"/>
    <x v="7"/>
    <x v="3"/>
    <s v="Freshwater"/>
    <x v="0"/>
    <x v="0"/>
    <s v="848"/>
    <s v="Skykomish River, So. Fork"/>
    <s v="Skykomish River, So. Fork"/>
    <s v="Snohomish/King"/>
    <x v="0"/>
    <s v="Other"/>
    <s v="20Other"/>
    <s v="07Non Puget Sound"/>
    <n v="6"/>
    <n v="3"/>
    <n v="55.650000000000006"/>
  </r>
  <r>
    <n v="1241"/>
    <x v="3"/>
    <x v="7"/>
    <x v="3"/>
    <s v="Freshwater"/>
    <x v="0"/>
    <x v="0"/>
    <s v="850"/>
    <s v="Snohomish River"/>
    <s v="Snohomish River"/>
    <s v="Snohomish"/>
    <x v="0"/>
    <s v="King"/>
    <s v="06King"/>
    <s v="02South Puget Sound"/>
    <n v="6"/>
    <n v="3"/>
    <n v="55.650000000000006"/>
  </r>
  <r>
    <n v="1242"/>
    <x v="3"/>
    <x v="7"/>
    <x v="3"/>
    <s v="Freshwater"/>
    <x v="0"/>
    <x v="0"/>
    <s v="850"/>
    <s v="Snohomish River"/>
    <s v="Snohomish River"/>
    <s v="Snohomish"/>
    <x v="0"/>
    <s v="Snohomish"/>
    <s v="03Snohomish"/>
    <s v="01North Puget Sound"/>
    <n v="48"/>
    <n v="24"/>
    <n v="445.20000000000005"/>
  </r>
  <r>
    <n v="1250"/>
    <x v="3"/>
    <x v="7"/>
    <x v="3"/>
    <s v="Freshwater"/>
    <x v="0"/>
    <x v="0"/>
    <s v="852"/>
    <s v="Snoqualmie River"/>
    <s v="Snoqualmie River"/>
    <s v="Snohomish/King"/>
    <x v="0"/>
    <s v="King"/>
    <s v="06King"/>
    <s v="02South Puget Sound"/>
    <n v="55.5"/>
    <n v="27.75"/>
    <n v="514.76250000000005"/>
  </r>
  <r>
    <n v="1251"/>
    <x v="3"/>
    <x v="7"/>
    <x v="3"/>
    <s v="Freshwater"/>
    <x v="0"/>
    <x v="0"/>
    <s v="852"/>
    <s v="Snoqualmie River"/>
    <s v="Snoqualmie River"/>
    <s v="Snohomish/King"/>
    <x v="0"/>
    <s v="Pierce"/>
    <s v="07Pierce"/>
    <s v="02South Puget Sound"/>
    <n v="6.1666666666666696"/>
    <n v="3.0833333333333299"/>
    <n v="57.195833333333269"/>
  </r>
  <r>
    <n v="1252"/>
    <x v="3"/>
    <x v="7"/>
    <x v="3"/>
    <s v="Freshwater"/>
    <x v="0"/>
    <x v="0"/>
    <s v="852"/>
    <s v="Snoqualmie River"/>
    <s v="Snoqualmie River"/>
    <s v="Snohomish/King"/>
    <x v="0"/>
    <s v="Snohomish"/>
    <s v="03Snohomish"/>
    <s v="01North Puget Sound"/>
    <n v="6.1666666666666696"/>
    <n v="3.0833333333333299"/>
    <n v="57.195833333333269"/>
  </r>
  <r>
    <n v="1253"/>
    <x v="3"/>
    <x v="7"/>
    <x v="3"/>
    <s v="Freshwater"/>
    <x v="0"/>
    <x v="0"/>
    <s v="852"/>
    <s v="Snoqualmie River"/>
    <s v="Snoqualmie River"/>
    <s v="Snohomish/King"/>
    <x v="0"/>
    <s v="Thurston"/>
    <s v="08Thurston"/>
    <s v="02South Puget Sound"/>
    <n v="6.1666666666666696"/>
    <n v="3.0833333333333299"/>
    <n v="57.195833333333269"/>
  </r>
  <r>
    <n v="1296"/>
    <x v="3"/>
    <x v="7"/>
    <x v="3"/>
    <s v="Freshwater"/>
    <x v="0"/>
    <x v="0"/>
    <s v="872"/>
    <s v="Stillaguamish R, No. Fork"/>
    <s v="Stillaguamish R, No. Fork"/>
    <s v="Snohomish"/>
    <x v="0"/>
    <s v="King"/>
    <s v="06King"/>
    <s v="02South Puget Sound"/>
    <n v="12"/>
    <n v="6"/>
    <n v="111.30000000000001"/>
  </r>
  <r>
    <n v="1297"/>
    <x v="3"/>
    <x v="7"/>
    <x v="3"/>
    <s v="Freshwater"/>
    <x v="0"/>
    <x v="0"/>
    <s v="872"/>
    <s v="Stillaguamish R, No. Fork"/>
    <s v="Stillaguamish R, No. Fork"/>
    <s v="Snohomish"/>
    <x v="0"/>
    <s v="Snohomish"/>
    <s v="03Snohomish"/>
    <s v="01North Puget Sound"/>
    <n v="6"/>
    <n v="3"/>
    <n v="55.650000000000006"/>
  </r>
  <r>
    <n v="1310"/>
    <x v="3"/>
    <x v="7"/>
    <x v="3"/>
    <s v="Freshwater"/>
    <x v="0"/>
    <x v="0"/>
    <s v="876"/>
    <s v="Stillaguamish River"/>
    <s v="Stillaguamish River"/>
    <s v="Snohomish"/>
    <x v="0"/>
    <s v="Snohomish"/>
    <s v="03Snohomish"/>
    <s v="01North Puget Sound"/>
    <n v="6"/>
    <n v="3"/>
    <n v="55.650000000000006"/>
  </r>
  <r>
    <n v="1110"/>
    <x v="3"/>
    <x v="7"/>
    <x v="3"/>
    <s v="Freshwater"/>
    <x v="0"/>
    <x v="0"/>
    <s v="808"/>
    <s v="White (Stuck) River"/>
    <s v="White (Stuck) River"/>
    <s v="Pierce"/>
    <x v="2"/>
    <s v="Snohomish"/>
    <s v="03Snohomish"/>
    <s v="01North Puget Sound"/>
    <n v="14"/>
    <n v="0"/>
    <n v="0"/>
  </r>
  <r>
    <n v="1118"/>
    <x v="3"/>
    <x v="8"/>
    <x v="3"/>
    <s v="Freshwater"/>
    <x v="0"/>
    <x v="0"/>
    <s v="82"/>
    <s v="Area 8-2: Port Susan-Port Gardner"/>
    <s v="Area 8-2: Port Susan-Port Gardner"/>
    <s v="NA"/>
    <x v="0"/>
    <s v="Other"/>
    <s v="20Other"/>
    <s v="07Non Puget Sound"/>
    <n v="8"/>
    <n v="4"/>
    <n v="74.2"/>
  </r>
  <r>
    <n v="1328"/>
    <x v="3"/>
    <x v="8"/>
    <x v="3"/>
    <s v="Freshwater"/>
    <x v="0"/>
    <x v="0"/>
    <s v="9"/>
    <s v="Area 9: Admiralty Inlet"/>
    <s v="Area 9: Admiralty Inlet"/>
    <s v="NA"/>
    <x v="0"/>
    <s v="Island"/>
    <s v="04Island"/>
    <s v="01North Puget Sound"/>
    <n v="4"/>
    <n v="2"/>
    <n v="37.1"/>
  </r>
  <r>
    <n v="1103"/>
    <x v="3"/>
    <x v="8"/>
    <x v="3"/>
    <s v="Freshwater"/>
    <x v="0"/>
    <x v="0"/>
    <s v="802"/>
    <s v="Carbon River"/>
    <s v="Carbon River"/>
    <s v="Pierce"/>
    <x v="2"/>
    <s v="King"/>
    <s v="06King"/>
    <s v="02South Puget Sound"/>
    <n v="6"/>
    <n v="0"/>
    <n v="0"/>
  </r>
  <r>
    <n v="1127"/>
    <x v="3"/>
    <x v="8"/>
    <x v="3"/>
    <s v="Freshwater"/>
    <x v="0"/>
    <x v="0"/>
    <s v="826"/>
    <s v="Cascade River"/>
    <s v="Cascade River"/>
    <s v="Skagit"/>
    <x v="1"/>
    <s v="Island"/>
    <s v="04Island"/>
    <s v="01North Puget Sound"/>
    <n v="6.2222222222222197"/>
    <n v="3.1111111111111098"/>
    <n v="57.711111111111087"/>
  </r>
  <r>
    <n v="1128"/>
    <x v="3"/>
    <x v="8"/>
    <x v="3"/>
    <s v="Freshwater"/>
    <x v="0"/>
    <x v="0"/>
    <s v="826"/>
    <s v="Cascade River"/>
    <s v="Cascade River"/>
    <s v="Skagit"/>
    <x v="1"/>
    <s v="Pierce"/>
    <s v="07Pierce"/>
    <s v="02South Puget Sound"/>
    <n v="6.2222222222222197"/>
    <n v="3.1111111111111098"/>
    <n v="57.711111111111087"/>
  </r>
  <r>
    <n v="1129"/>
    <x v="3"/>
    <x v="8"/>
    <x v="3"/>
    <s v="Freshwater"/>
    <x v="0"/>
    <x v="0"/>
    <s v="826"/>
    <s v="Cascade River"/>
    <s v="Cascade River"/>
    <s v="Skagit"/>
    <x v="1"/>
    <s v="Skagit"/>
    <s v="02Skagit"/>
    <s v="01North Puget Sound"/>
    <n v="68.4444444444445"/>
    <n v="34.2222222222222"/>
    <n v="634.82222222222185"/>
  </r>
  <r>
    <n v="1130"/>
    <x v="3"/>
    <x v="8"/>
    <x v="3"/>
    <s v="Freshwater"/>
    <x v="0"/>
    <x v="0"/>
    <s v="826"/>
    <s v="Cascade River"/>
    <s v="Cascade River"/>
    <s v="Skagit"/>
    <x v="1"/>
    <s v="Snohomish"/>
    <s v="03Snohomish"/>
    <s v="01North Puget Sound"/>
    <n v="31.1111111111111"/>
    <n v="15.5555555555556"/>
    <n v="288.5555555555564"/>
  </r>
  <r>
    <n v="1131"/>
    <x v="3"/>
    <x v="8"/>
    <x v="3"/>
    <s v="Freshwater"/>
    <x v="0"/>
    <x v="0"/>
    <s v="826"/>
    <s v="Cascade River"/>
    <s v="Cascade River"/>
    <s v="Skagit"/>
    <x v="1"/>
    <s v="Whatcom"/>
    <s v="01Whatcom"/>
    <s v="01North Puget Sound"/>
    <n v="56"/>
    <n v="28"/>
    <n v="519.4"/>
  </r>
  <r>
    <n v="1047"/>
    <x v="3"/>
    <x v="8"/>
    <x v="3"/>
    <s v="Freshwater"/>
    <x v="0"/>
    <x v="0"/>
    <s v="718"/>
    <s v="Clallam River"/>
    <s v="Clallam River"/>
    <s v="Clallam"/>
    <x v="3"/>
    <s v="Clallam"/>
    <s v="11Clallam"/>
    <s v="03Strait of Juan de Fuca"/>
    <n v="6"/>
    <n v="3"/>
    <n v="55.650000000000006"/>
  </r>
  <r>
    <n v="1052"/>
    <x v="3"/>
    <x v="8"/>
    <x v="3"/>
    <s v="Freshwater"/>
    <x v="0"/>
    <x v="0"/>
    <s v="738"/>
    <s v="Dungeness River"/>
    <s v="Dungeness River"/>
    <s v="Clallam"/>
    <x v="3"/>
    <s v="Clallam"/>
    <s v="11Clallam"/>
    <s v="03Strait of Juan de Fuca"/>
    <n v="21"/>
    <n v="10.5"/>
    <n v="194.77500000000001"/>
  </r>
  <r>
    <n v="1053"/>
    <x v="3"/>
    <x v="8"/>
    <x v="3"/>
    <s v="Freshwater"/>
    <x v="0"/>
    <x v="0"/>
    <s v="738"/>
    <s v="Dungeness River"/>
    <s v="Dungeness River"/>
    <s v="Clallam"/>
    <x v="3"/>
    <s v="King"/>
    <s v="06King"/>
    <s v="02South Puget Sound"/>
    <n v="7"/>
    <n v="3.5"/>
    <n v="64.924999999999997"/>
  </r>
  <r>
    <n v="1058"/>
    <x v="3"/>
    <x v="8"/>
    <x v="3"/>
    <s v="Freshwater"/>
    <x v="0"/>
    <x v="0"/>
    <s v="742"/>
    <s v="Elwha River"/>
    <s v="Elwha River"/>
    <s v="Clallam"/>
    <x v="3"/>
    <s v="Clallam"/>
    <s v="11Clallam"/>
    <s v="03Strait of Juan de Fuca"/>
    <n v="6"/>
    <n v="1"/>
    <n v="18.55"/>
  </r>
  <r>
    <n v="1075"/>
    <x v="3"/>
    <x v="8"/>
    <x v="3"/>
    <s v="Freshwater"/>
    <x v="0"/>
    <x v="0"/>
    <s v="746"/>
    <s v="Green (Duwamish River) (King Co.)"/>
    <s v="Green - Duwamish River"/>
    <s v="King"/>
    <x v="2"/>
    <s v="King"/>
    <s v="06King"/>
    <s v="02South Puget Sound"/>
    <n v="44"/>
    <n v="22"/>
    <n v="408.1"/>
  </r>
  <r>
    <n v="1082"/>
    <x v="3"/>
    <x v="8"/>
    <x v="3"/>
    <s v="Freshwater"/>
    <x v="0"/>
    <x v="0"/>
    <s v="752"/>
    <s v="Hoko River"/>
    <s v="Hoko River"/>
    <s v="Clallam"/>
    <x v="3"/>
    <s v="Clallam"/>
    <s v="11Clallam"/>
    <s v="03Strait of Juan de Fuca"/>
    <n v="28"/>
    <n v="14"/>
    <n v="259.7"/>
  </r>
  <r>
    <n v="1083"/>
    <x v="3"/>
    <x v="8"/>
    <x v="3"/>
    <s v="Freshwater"/>
    <x v="0"/>
    <x v="0"/>
    <s v="752"/>
    <s v="Hoko River"/>
    <s v="Hoko River"/>
    <s v="Clallam"/>
    <x v="3"/>
    <s v="Island"/>
    <s v="04Island"/>
    <s v="01North Puget Sound"/>
    <n v="14"/>
    <n v="7"/>
    <n v="129.85"/>
  </r>
  <r>
    <n v="1084"/>
    <x v="3"/>
    <x v="8"/>
    <x v="3"/>
    <s v="Freshwater"/>
    <x v="0"/>
    <x v="0"/>
    <s v="752"/>
    <s v="Hoko River"/>
    <s v="Hoko River"/>
    <s v="Clallam"/>
    <x v="3"/>
    <s v="King"/>
    <s v="06King"/>
    <s v="02South Puget Sound"/>
    <n v="7"/>
    <n v="3.5"/>
    <n v="64.924999999999997"/>
  </r>
  <r>
    <n v="1085"/>
    <x v="3"/>
    <x v="8"/>
    <x v="3"/>
    <s v="Freshwater"/>
    <x v="0"/>
    <x v="0"/>
    <s v="752"/>
    <s v="Hoko River"/>
    <s v="Hoko River"/>
    <s v="Clallam"/>
    <x v="3"/>
    <s v="Pierce"/>
    <s v="07Pierce"/>
    <s v="02South Puget Sound"/>
    <n v="7"/>
    <n v="3.5"/>
    <n v="64.924999999999997"/>
  </r>
  <r>
    <n v="1089"/>
    <x v="3"/>
    <x v="8"/>
    <x v="3"/>
    <s v="Freshwater"/>
    <x v="0"/>
    <x v="0"/>
    <s v="763"/>
    <s v="Lake Sammamish"/>
    <s v="Lake Sammamish"/>
    <s v="King"/>
    <x v="2"/>
    <s v="Pierce"/>
    <s v="07Pierce"/>
    <s v="02South Puget Sound"/>
    <n v="6"/>
    <n v="0"/>
    <n v="0"/>
  </r>
  <r>
    <n v="1090"/>
    <x v="3"/>
    <x v="8"/>
    <x v="3"/>
    <s v="Freshwater"/>
    <x v="0"/>
    <x v="0"/>
    <s v="768"/>
    <s v="Lyre River"/>
    <s v="Lyre River"/>
    <s v="Clallam"/>
    <x v="3"/>
    <s v="Clallam"/>
    <s v="11Clallam"/>
    <s v="03Strait of Juan de Fuca"/>
    <n v="6"/>
    <n v="3"/>
    <n v="55.650000000000006"/>
  </r>
  <r>
    <n v="1098"/>
    <x v="3"/>
    <x v="8"/>
    <x v="3"/>
    <s v="Freshwater"/>
    <x v="0"/>
    <x v="0"/>
    <s v="790"/>
    <s v="Nooksack River, No. Fork"/>
    <s v="Nooksack River, No. Fork"/>
    <s v="Whatcom"/>
    <x v="1"/>
    <s v="Whatcom"/>
    <s v="01Whatcom"/>
    <s v="01North Puget Sound"/>
    <n v="14"/>
    <n v="7"/>
    <n v="129.85"/>
  </r>
  <r>
    <n v="1154"/>
    <x v="3"/>
    <x v="8"/>
    <x v="3"/>
    <s v="Freshwater"/>
    <x v="0"/>
    <x v="0"/>
    <s v="830"/>
    <s v="Skagit River"/>
    <s v="Skagit River"/>
    <s v="Skagit/Whatcom"/>
    <x v="0"/>
    <s v="King"/>
    <s v="06King"/>
    <s v="02South Puget Sound"/>
    <n v="6.1333333333333302"/>
    <n v="3.06666666666667"/>
    <n v="56.886666666666727"/>
  </r>
  <r>
    <n v="1155"/>
    <x v="3"/>
    <x v="8"/>
    <x v="3"/>
    <s v="Freshwater"/>
    <x v="0"/>
    <x v="0"/>
    <s v="830"/>
    <s v="Skagit River"/>
    <s v="Skagit River"/>
    <s v="Skagit/Whatcom"/>
    <x v="0"/>
    <s v="Other"/>
    <s v="20Other"/>
    <s v="07Non Puget Sound"/>
    <n v="12.266666666666699"/>
    <n v="6.1333333333333302"/>
    <n v="113.77333333333328"/>
  </r>
  <r>
    <n v="1156"/>
    <x v="3"/>
    <x v="8"/>
    <x v="3"/>
    <s v="Freshwater"/>
    <x v="0"/>
    <x v="0"/>
    <s v="830"/>
    <s v="Skagit River"/>
    <s v="Skagit River"/>
    <s v="Skagit/Whatcom"/>
    <x v="0"/>
    <s v="Skagit"/>
    <s v="02Skagit"/>
    <s v="01North Puget Sound"/>
    <n v="61.3333333333333"/>
    <n v="30.6666666666667"/>
    <n v="568.86666666666736"/>
  </r>
  <r>
    <n v="1157"/>
    <x v="3"/>
    <x v="8"/>
    <x v="3"/>
    <s v="Freshwater"/>
    <x v="0"/>
    <x v="0"/>
    <s v="830"/>
    <s v="Skagit River"/>
    <s v="Skagit River"/>
    <s v="Skagit/Whatcom"/>
    <x v="0"/>
    <s v="Snohomish"/>
    <s v="03Snohomish"/>
    <s v="01North Puget Sound"/>
    <n v="12.266666666666699"/>
    <n v="6.1333333333333302"/>
    <n v="113.77333333333328"/>
  </r>
  <r>
    <n v="1200"/>
    <x v="3"/>
    <x v="8"/>
    <x v="3"/>
    <s v="Freshwater"/>
    <x v="0"/>
    <x v="0"/>
    <s v="844"/>
    <s v="Skykomish River"/>
    <s v="Skykomish River"/>
    <s v="Snohomish"/>
    <x v="0"/>
    <s v="Island"/>
    <s v="04Island"/>
    <s v="01North Puget Sound"/>
    <n v="6.1149425287356296"/>
    <n v="3.07471264367816"/>
    <n v="57.03591954022987"/>
  </r>
  <r>
    <n v="1201"/>
    <x v="3"/>
    <x v="8"/>
    <x v="3"/>
    <s v="Freshwater"/>
    <x v="0"/>
    <x v="0"/>
    <s v="844"/>
    <s v="Skykomish River"/>
    <s v="Skykomish River"/>
    <s v="Snohomish"/>
    <x v="0"/>
    <s v="King"/>
    <s v="06King"/>
    <s v="02South Puget Sound"/>
    <n v="379.12643678160902"/>
    <n v="190.63218390804599"/>
    <n v="3536.227011494253"/>
  </r>
  <r>
    <n v="1202"/>
    <x v="3"/>
    <x v="8"/>
    <x v="3"/>
    <s v="Freshwater"/>
    <x v="0"/>
    <x v="0"/>
    <s v="844"/>
    <s v="Skykomish River"/>
    <s v="Skykomish River"/>
    <s v="Snohomish"/>
    <x v="0"/>
    <s v="Other"/>
    <s v="20Other"/>
    <s v="07Non Puget Sound"/>
    <n v="12.2298850574713"/>
    <n v="6.14942528735632"/>
    <n v="114.07183908045974"/>
  </r>
  <r>
    <n v="1203"/>
    <x v="3"/>
    <x v="8"/>
    <x v="3"/>
    <s v="Freshwater"/>
    <x v="0"/>
    <x v="0"/>
    <s v="844"/>
    <s v="Skykomish River"/>
    <s v="Skykomish River"/>
    <s v="Snohomish"/>
    <x v="0"/>
    <s v="Snohomish"/>
    <s v="03Snohomish"/>
    <s v="01North Puget Sound"/>
    <n v="666.52873563218395"/>
    <n v="335.14367816091999"/>
    <n v="6216.9152298850659"/>
  </r>
  <r>
    <n v="1222"/>
    <x v="3"/>
    <x v="8"/>
    <x v="3"/>
    <s v="Freshwater"/>
    <x v="0"/>
    <x v="0"/>
    <s v="846"/>
    <s v="Skykomish River, No. Fork"/>
    <s v="Skykomish River, No. Fork"/>
    <s v="Snohomish"/>
    <x v="0"/>
    <s v="King"/>
    <s v="06King"/>
    <s v="02South Puget Sound"/>
    <n v="12"/>
    <n v="6"/>
    <n v="111.30000000000001"/>
  </r>
  <r>
    <n v="1223"/>
    <x v="3"/>
    <x v="8"/>
    <x v="3"/>
    <s v="Freshwater"/>
    <x v="0"/>
    <x v="0"/>
    <s v="846"/>
    <s v="Skykomish River, No. Fork"/>
    <s v="Skykomish River, No. Fork"/>
    <s v="Snohomish"/>
    <x v="0"/>
    <s v="Snohomish"/>
    <s v="03Snohomish"/>
    <s v="01North Puget Sound"/>
    <n v="12"/>
    <n v="6"/>
    <n v="111.30000000000001"/>
  </r>
  <r>
    <n v="1229"/>
    <x v="3"/>
    <x v="8"/>
    <x v="3"/>
    <s v="Freshwater"/>
    <x v="0"/>
    <x v="0"/>
    <s v="848"/>
    <s v="Skykomish River, So. Fork"/>
    <s v="Skykomish River, So. Fork"/>
    <s v="Snohomish/King"/>
    <x v="0"/>
    <s v="Snohomish"/>
    <s v="03Snohomish"/>
    <s v="01North Puget Sound"/>
    <n v="6"/>
    <n v="3"/>
    <n v="55.650000000000006"/>
  </r>
  <r>
    <n v="1243"/>
    <x v="3"/>
    <x v="8"/>
    <x v="3"/>
    <s v="Freshwater"/>
    <x v="0"/>
    <x v="0"/>
    <s v="850"/>
    <s v="Snohomish River"/>
    <s v="Snohomish River"/>
    <s v="Snohomish"/>
    <x v="0"/>
    <s v="King"/>
    <s v="06King"/>
    <s v="02South Puget Sound"/>
    <n v="6.1333333333333302"/>
    <n v="3.06666666666667"/>
    <n v="56.886666666666727"/>
  </r>
  <r>
    <n v="1244"/>
    <x v="3"/>
    <x v="8"/>
    <x v="3"/>
    <s v="Freshwater"/>
    <x v="0"/>
    <x v="0"/>
    <s v="850"/>
    <s v="Snohomish River"/>
    <s v="Snohomish River"/>
    <s v="Snohomish"/>
    <x v="0"/>
    <s v="Snohomish"/>
    <s v="03Snohomish"/>
    <s v="01North Puget Sound"/>
    <n v="177.86666666666699"/>
    <n v="88.933333333333394"/>
    <n v="1649.7133333333345"/>
  </r>
  <r>
    <n v="1254"/>
    <x v="3"/>
    <x v="8"/>
    <x v="3"/>
    <s v="Freshwater"/>
    <x v="0"/>
    <x v="0"/>
    <s v="852"/>
    <s v="Snoqualmie River"/>
    <s v="Snoqualmie River"/>
    <s v="Snohomish/King"/>
    <x v="0"/>
    <s v="Island"/>
    <s v="04Island"/>
    <s v="01North Puget Sound"/>
    <n v="6.1081081081081097"/>
    <n v="3.0945945945946001"/>
    <n v="57.40472972972983"/>
  </r>
  <r>
    <n v="1255"/>
    <x v="3"/>
    <x v="8"/>
    <x v="3"/>
    <s v="Freshwater"/>
    <x v="0"/>
    <x v="0"/>
    <s v="852"/>
    <s v="Snoqualmie River"/>
    <s v="Snoqualmie River"/>
    <s v="Snohomish/King"/>
    <x v="0"/>
    <s v="King"/>
    <s v="06King"/>
    <s v="02South Puget Sound"/>
    <n v="836.81081081081095"/>
    <n v="423.95945945945999"/>
    <n v="7864.4479729729828"/>
  </r>
  <r>
    <n v="1256"/>
    <x v="3"/>
    <x v="8"/>
    <x v="3"/>
    <s v="Freshwater"/>
    <x v="0"/>
    <x v="0"/>
    <s v="852"/>
    <s v="Snoqualmie River"/>
    <s v="Snoqualmie River"/>
    <s v="Snohomish/King"/>
    <x v="0"/>
    <s v="Other"/>
    <s v="20Other"/>
    <s v="07Non Puget Sound"/>
    <n v="12.2162162162162"/>
    <n v="6.1891891891891904"/>
    <n v="114.80945945945949"/>
  </r>
  <r>
    <n v="1257"/>
    <x v="3"/>
    <x v="8"/>
    <x v="3"/>
    <s v="Freshwater"/>
    <x v="0"/>
    <x v="0"/>
    <s v="852"/>
    <s v="Snoqualmie River"/>
    <s v="Snoqualmie River"/>
    <s v="Snohomish/King"/>
    <x v="0"/>
    <s v="Pierce"/>
    <s v="07Pierce"/>
    <s v="02South Puget Sound"/>
    <n v="24.4324324324324"/>
    <n v="12.3783783783784"/>
    <n v="229.61891891891932"/>
  </r>
  <r>
    <n v="1258"/>
    <x v="3"/>
    <x v="8"/>
    <x v="3"/>
    <s v="Freshwater"/>
    <x v="0"/>
    <x v="0"/>
    <s v="852"/>
    <s v="Snoqualmie River"/>
    <s v="Snoqualmie River"/>
    <s v="Snohomish/King"/>
    <x v="0"/>
    <s v="Snohomish"/>
    <s v="03Snohomish"/>
    <s v="01North Puget Sound"/>
    <n v="18.324324324324301"/>
    <n v="9.2837837837837895"/>
    <n v="172.21418918918931"/>
  </r>
  <r>
    <n v="1259"/>
    <x v="3"/>
    <x v="8"/>
    <x v="3"/>
    <s v="Freshwater"/>
    <x v="0"/>
    <x v="0"/>
    <s v="852"/>
    <s v="Snoqualmie River"/>
    <s v="Snoqualmie River"/>
    <s v="Snohomish/King"/>
    <x v="0"/>
    <s v="Thurston"/>
    <s v="08Thurston"/>
    <s v="02South Puget Sound"/>
    <n v="6.1081081081081097"/>
    <n v="3.0945945945946001"/>
    <n v="57.40472972972983"/>
  </r>
  <r>
    <n v="1298"/>
    <x v="3"/>
    <x v="8"/>
    <x v="3"/>
    <s v="Freshwater"/>
    <x v="0"/>
    <x v="0"/>
    <s v="872"/>
    <s v="Stillaguamish R, No. Fork"/>
    <s v="Stillaguamish R, No. Fork"/>
    <s v="Snohomish"/>
    <x v="0"/>
    <s v="Island"/>
    <s v="04Island"/>
    <s v="01North Puget Sound"/>
    <n v="18.105263157894701"/>
    <n v="9.0526315789473699"/>
    <n v="167.9263157894737"/>
  </r>
  <r>
    <n v="1299"/>
    <x v="3"/>
    <x v="8"/>
    <x v="3"/>
    <s v="Freshwater"/>
    <x v="0"/>
    <x v="0"/>
    <s v="872"/>
    <s v="Stillaguamish R, No. Fork"/>
    <s v="Stillaguamish R, No. Fork"/>
    <s v="Snohomish"/>
    <x v="0"/>
    <s v="King"/>
    <s v="06King"/>
    <s v="02South Puget Sound"/>
    <n v="12.0701754385965"/>
    <n v="6.0350877192982502"/>
    <n v="111.95087719298255"/>
  </r>
  <r>
    <n v="1300"/>
    <x v="3"/>
    <x v="8"/>
    <x v="3"/>
    <s v="Freshwater"/>
    <x v="0"/>
    <x v="0"/>
    <s v="872"/>
    <s v="Stillaguamish R, No. Fork"/>
    <s v="Stillaguamish R, No. Fork"/>
    <s v="Snohomish"/>
    <x v="0"/>
    <s v="Skagit"/>
    <s v="02Skagit"/>
    <s v="01North Puget Sound"/>
    <n v="42.245614035087698"/>
    <n v="21.122807017543899"/>
    <n v="391.82807017543934"/>
  </r>
  <r>
    <n v="1301"/>
    <x v="3"/>
    <x v="8"/>
    <x v="3"/>
    <s v="Freshwater"/>
    <x v="0"/>
    <x v="0"/>
    <s v="872"/>
    <s v="Stillaguamish R, No. Fork"/>
    <s v="Stillaguamish R, No. Fork"/>
    <s v="Snohomish"/>
    <x v="0"/>
    <s v="Snohomish"/>
    <s v="03Snohomish"/>
    <s v="01North Puget Sound"/>
    <n v="247.438596491228"/>
    <n v="123.719298245614"/>
    <n v="2294.9929824561395"/>
  </r>
  <r>
    <n v="1302"/>
    <x v="3"/>
    <x v="8"/>
    <x v="3"/>
    <s v="Freshwater"/>
    <x v="0"/>
    <x v="0"/>
    <s v="872"/>
    <s v="Stillaguamish R, No. Fork"/>
    <s v="Stillaguamish R, No. Fork"/>
    <s v="Snohomish"/>
    <x v="0"/>
    <s v="Whatcom"/>
    <s v="01Whatcom"/>
    <s v="01North Puget Sound"/>
    <n v="24.140350877193001"/>
    <n v="12.0701754385965"/>
    <n v="223.90175438596509"/>
  </r>
  <r>
    <n v="1311"/>
    <x v="3"/>
    <x v="8"/>
    <x v="3"/>
    <s v="Freshwater"/>
    <x v="0"/>
    <x v="0"/>
    <s v="876"/>
    <s v="Stillaguamish River"/>
    <s v="Stillaguamish River"/>
    <s v="Snohomish"/>
    <x v="0"/>
    <s v="Snohomish"/>
    <s v="03Snohomish"/>
    <s v="01North Puget Sound"/>
    <n v="6"/>
    <n v="3"/>
    <n v="55.650000000000006"/>
  </r>
  <r>
    <n v="1266"/>
    <x v="3"/>
    <x v="8"/>
    <x v="3"/>
    <s v="Freshwater"/>
    <x v="0"/>
    <x v="0"/>
    <s v="856"/>
    <s v="Tokul Creek"/>
    <s v="Tokul Creek"/>
    <s v="King"/>
    <x v="0"/>
    <s v="King"/>
    <s v="06King"/>
    <s v="02South Puget Sound"/>
    <n v="30"/>
    <n v="15"/>
    <n v="278.25"/>
  </r>
  <r>
    <n v="1278"/>
    <x v="3"/>
    <x v="8"/>
    <x v="3"/>
    <s v="Freshwater"/>
    <x v="0"/>
    <x v="0"/>
    <s v="860"/>
    <s v="Wallace River"/>
    <s v="Wallace River"/>
    <s v="Snohomish"/>
    <x v="0"/>
    <s v="Island"/>
    <s v="04Island"/>
    <s v="01North Puget Sound"/>
    <n v="6.1052631578947398"/>
    <n v="3.0526315789473699"/>
    <n v="56.626315789473715"/>
  </r>
  <r>
    <n v="1279"/>
    <x v="3"/>
    <x v="8"/>
    <x v="3"/>
    <s v="Freshwater"/>
    <x v="0"/>
    <x v="0"/>
    <s v="860"/>
    <s v="Wallace River"/>
    <s v="Wallace River"/>
    <s v="Snohomish"/>
    <x v="0"/>
    <s v="King"/>
    <s v="06King"/>
    <s v="02South Puget Sound"/>
    <n v="18.315789473684202"/>
    <n v="9.1578947368421098"/>
    <n v="169.87894736842114"/>
  </r>
  <r>
    <n v="1280"/>
    <x v="3"/>
    <x v="8"/>
    <x v="3"/>
    <s v="Freshwater"/>
    <x v="0"/>
    <x v="0"/>
    <s v="860"/>
    <s v="Wallace River"/>
    <s v="Wallace River"/>
    <s v="Snohomish"/>
    <x v="0"/>
    <s v="Other"/>
    <s v="20Other"/>
    <s v="07Non Puget Sound"/>
    <n v="12.210526315789499"/>
    <n v="6.1052631578947398"/>
    <n v="113.25263157894743"/>
  </r>
  <r>
    <n v="1281"/>
    <x v="3"/>
    <x v="8"/>
    <x v="3"/>
    <s v="Freshwater"/>
    <x v="0"/>
    <x v="0"/>
    <s v="860"/>
    <s v="Wallace River"/>
    <s v="Wallace River"/>
    <s v="Snohomish"/>
    <x v="0"/>
    <s v="Snohomish"/>
    <s v="03Snohomish"/>
    <s v="01North Puget Sound"/>
    <n v="79.368421052631604"/>
    <n v="39.684210526315802"/>
    <n v="736.1421052631581"/>
  </r>
  <r>
    <n v="1312"/>
    <x v="3"/>
    <x v="8"/>
    <x v="3"/>
    <s v="Freshwater"/>
    <x v="0"/>
    <x v="0"/>
    <s v="884"/>
    <s v="Whatcom Creek"/>
    <s v="Whatcom Creek"/>
    <s v="Whatcom"/>
    <x v="1"/>
    <s v="Snohomish"/>
    <s v="03Snohomish"/>
    <s v="01North Puget Sound"/>
    <n v="7"/>
    <n v="3.5"/>
    <n v="64.924999999999997"/>
  </r>
  <r>
    <n v="1313"/>
    <x v="3"/>
    <x v="8"/>
    <x v="3"/>
    <s v="Freshwater"/>
    <x v="0"/>
    <x v="0"/>
    <s v="884"/>
    <s v="Whatcom Creek"/>
    <s v="Whatcom Creek"/>
    <s v="Whatcom"/>
    <x v="1"/>
    <s v="Whatcom"/>
    <s v="01Whatcom"/>
    <s v="01North Puget Sound"/>
    <n v="7"/>
    <n v="3.5"/>
    <n v="64.924999999999997"/>
  </r>
  <r>
    <n v="1111"/>
    <x v="3"/>
    <x v="8"/>
    <x v="3"/>
    <s v="Freshwater"/>
    <x v="0"/>
    <x v="0"/>
    <s v="808"/>
    <s v="White (Stuck) River"/>
    <s v="White (Stuck) River"/>
    <s v="Pierce"/>
    <x v="2"/>
    <s v="Snohomish"/>
    <s v="03Snohomish"/>
    <s v="01North Puget Sound"/>
    <n v="6"/>
    <n v="0"/>
    <n v="0"/>
  </r>
  <r>
    <n v="1287"/>
    <x v="3"/>
    <x v="8"/>
    <x v="3"/>
    <s v="Freshwater"/>
    <x v="0"/>
    <x v="0"/>
    <s v="862"/>
    <s v="Woods Creek"/>
    <s v="Woods Creek"/>
    <s v="Snohomish"/>
    <x v="0"/>
    <s v="King"/>
    <s v="06King"/>
    <s v="02South Puget Sound"/>
    <n v="6"/>
    <n v="0"/>
    <n v="0"/>
  </r>
  <r>
    <n v="1329"/>
    <x v="4"/>
    <x v="9"/>
    <x v="3"/>
    <s v="Freshwater"/>
    <x v="0"/>
    <x v="0"/>
    <s v="9"/>
    <s v="Area 9: Admiralty Inlet"/>
    <s v="Area 9: Admiralty Inlet"/>
    <s v="NA"/>
    <x v="0"/>
    <s v="Island"/>
    <s v="04Island"/>
    <s v="01North Puget Sound"/>
    <n v="3.3333333333333299"/>
    <n v="1.6666666666666701"/>
    <n v="14.233333333333361"/>
  </r>
  <r>
    <n v="1330"/>
    <x v="4"/>
    <x v="9"/>
    <x v="3"/>
    <s v="Freshwater"/>
    <x v="0"/>
    <x v="0"/>
    <s v="9"/>
    <s v="Area 9: Admiralty Inlet"/>
    <s v="Area 9: Admiralty Inlet"/>
    <s v="NA"/>
    <x v="0"/>
    <s v="Snohomish"/>
    <s v="03Snohomish"/>
    <s v="01North Puget Sound"/>
    <n v="6.6666666666666696"/>
    <n v="3.3333333333333299"/>
    <n v="28.466666666666633"/>
  </r>
  <r>
    <n v="1132"/>
    <x v="4"/>
    <x v="9"/>
    <x v="3"/>
    <s v="Freshwater"/>
    <x v="0"/>
    <x v="0"/>
    <s v="826"/>
    <s v="Cascade River"/>
    <s v="Cascade River"/>
    <s v="Skagit"/>
    <x v="1"/>
    <s v="King"/>
    <s v="06King"/>
    <s v="02South Puget Sound"/>
    <n v="6.2222222222222197"/>
    <n v="3.4444444444444402"/>
    <n v="29.415555555555517"/>
  </r>
  <r>
    <n v="1133"/>
    <x v="4"/>
    <x v="9"/>
    <x v="3"/>
    <s v="Freshwater"/>
    <x v="0"/>
    <x v="0"/>
    <s v="826"/>
    <s v="Cascade River"/>
    <s v="Cascade River"/>
    <s v="Skagit"/>
    <x v="1"/>
    <s v="Skagit"/>
    <s v="02Skagit"/>
    <s v="01North Puget Sound"/>
    <n v="18.6666666666667"/>
    <n v="10.3333333333333"/>
    <n v="88.246666666666371"/>
  </r>
  <r>
    <n v="1134"/>
    <x v="4"/>
    <x v="9"/>
    <x v="3"/>
    <s v="Freshwater"/>
    <x v="0"/>
    <x v="0"/>
    <s v="826"/>
    <s v="Cascade River"/>
    <s v="Cascade River"/>
    <s v="Skagit"/>
    <x v="1"/>
    <s v="Snohomish"/>
    <s v="03Snohomish"/>
    <s v="01North Puget Sound"/>
    <n v="6.2222222222222197"/>
    <n v="3.4444444444444402"/>
    <n v="29.415555555555517"/>
  </r>
  <r>
    <n v="1135"/>
    <x v="4"/>
    <x v="9"/>
    <x v="3"/>
    <s v="Freshwater"/>
    <x v="0"/>
    <x v="0"/>
    <s v="826"/>
    <s v="Cascade River"/>
    <s v="Cascade River"/>
    <s v="Skagit"/>
    <x v="1"/>
    <s v="Whatcom"/>
    <s v="01Whatcom"/>
    <s v="01North Puget Sound"/>
    <n v="24.8888888888889"/>
    <n v="13.7777777777778"/>
    <n v="117.6622222222224"/>
  </r>
  <r>
    <n v="1048"/>
    <x v="4"/>
    <x v="9"/>
    <x v="3"/>
    <s v="Freshwater"/>
    <x v="0"/>
    <x v="0"/>
    <s v="718"/>
    <s v="Clallam River"/>
    <s v="Clallam River"/>
    <s v="Clallam"/>
    <x v="3"/>
    <s v="Clallam"/>
    <s v="11Clallam"/>
    <s v="03Strait of Juan de Fuca"/>
    <n v="6"/>
    <n v="3"/>
    <n v="25.619999999999997"/>
  </r>
  <r>
    <n v="1054"/>
    <x v="4"/>
    <x v="9"/>
    <x v="3"/>
    <s v="Freshwater"/>
    <x v="0"/>
    <x v="0"/>
    <s v="738"/>
    <s v="Dungeness River"/>
    <s v="Dungeness River"/>
    <s v="Clallam"/>
    <x v="3"/>
    <s v="Clallam"/>
    <s v="11Clallam"/>
    <s v="03Strait of Juan de Fuca"/>
    <n v="117.454545454545"/>
    <n v="58.727272727272698"/>
    <n v="501.53090909090878"/>
  </r>
  <r>
    <n v="1055"/>
    <x v="4"/>
    <x v="9"/>
    <x v="3"/>
    <s v="Freshwater"/>
    <x v="0"/>
    <x v="0"/>
    <s v="738"/>
    <s v="Dungeness River"/>
    <s v="Dungeness River"/>
    <s v="Clallam"/>
    <x v="3"/>
    <s v="Jefferson"/>
    <s v="12Jefferson"/>
    <s v="03Strait of Juan de Fuca"/>
    <n v="6.9090909090909101"/>
    <n v="3.4545454545454599"/>
    <n v="29.501818181818226"/>
  </r>
  <r>
    <n v="1056"/>
    <x v="4"/>
    <x v="9"/>
    <x v="3"/>
    <s v="Freshwater"/>
    <x v="0"/>
    <x v="0"/>
    <s v="738"/>
    <s v="Dungeness River"/>
    <s v="Dungeness River"/>
    <s v="Clallam"/>
    <x v="3"/>
    <s v="Kitsap"/>
    <s v="10Kitsap"/>
    <s v="02South Puget Sound"/>
    <n v="6.9090909090909101"/>
    <n v="3.4545454545454599"/>
    <n v="29.501818181818226"/>
  </r>
  <r>
    <n v="1057"/>
    <x v="4"/>
    <x v="9"/>
    <x v="3"/>
    <s v="Freshwater"/>
    <x v="0"/>
    <x v="0"/>
    <s v="738"/>
    <s v="Dungeness River"/>
    <s v="Dungeness River"/>
    <s v="Clallam"/>
    <x v="3"/>
    <s v="Other"/>
    <s v="20Other"/>
    <s v="07Non Puget Sound"/>
    <n v="20.727272727272702"/>
    <n v="10.363636363636401"/>
    <n v="88.505454545454853"/>
  </r>
  <r>
    <n v="1076"/>
    <x v="4"/>
    <x v="9"/>
    <x v="3"/>
    <s v="Freshwater"/>
    <x v="0"/>
    <x v="0"/>
    <s v="746"/>
    <s v="Green (Duwamish River) (King Co.)"/>
    <s v="Green - Duwamish River"/>
    <s v="King"/>
    <x v="2"/>
    <s v="King"/>
    <s v="06King"/>
    <s v="02South Puget Sound"/>
    <n v="29.8571428571429"/>
    <n v="14.9285714285714"/>
    <n v="127.48999999999975"/>
  </r>
  <r>
    <n v="1077"/>
    <x v="4"/>
    <x v="9"/>
    <x v="3"/>
    <s v="Freshwater"/>
    <x v="0"/>
    <x v="0"/>
    <s v="746"/>
    <s v="Green (Duwamish River) (King Co.)"/>
    <s v="Green - Duwamish River"/>
    <s v="King"/>
    <x v="2"/>
    <s v="Pierce"/>
    <s v="07Pierce"/>
    <s v="02South Puget Sound"/>
    <n v="8.1428571428571406"/>
    <n v="4.0714285714285703"/>
    <n v="34.769999999999989"/>
  </r>
  <r>
    <n v="1086"/>
    <x v="4"/>
    <x v="9"/>
    <x v="3"/>
    <s v="Freshwater"/>
    <x v="0"/>
    <x v="0"/>
    <s v="752"/>
    <s v="Hoko River"/>
    <s v="Hoko River"/>
    <s v="Clallam"/>
    <x v="3"/>
    <s v="Clallam"/>
    <s v="11Clallam"/>
    <s v="03Strait of Juan de Fuca"/>
    <n v="7"/>
    <n v="3.5"/>
    <n v="29.889999999999997"/>
  </r>
  <r>
    <n v="1087"/>
    <x v="4"/>
    <x v="9"/>
    <x v="3"/>
    <s v="Freshwater"/>
    <x v="0"/>
    <x v="0"/>
    <s v="752"/>
    <s v="Hoko River"/>
    <s v="Hoko River"/>
    <s v="Clallam"/>
    <x v="3"/>
    <s v="Pierce"/>
    <s v="07Pierce"/>
    <s v="02South Puget Sound"/>
    <n v="7"/>
    <n v="3.5"/>
    <n v="29.889999999999997"/>
  </r>
  <r>
    <n v="1091"/>
    <x v="4"/>
    <x v="9"/>
    <x v="3"/>
    <s v="Freshwater"/>
    <x v="0"/>
    <x v="0"/>
    <s v="768"/>
    <s v="Lyre River"/>
    <s v="Lyre River"/>
    <s v="Clallam"/>
    <x v="3"/>
    <s v="Clallam"/>
    <s v="11Clallam"/>
    <s v="03Strait of Juan de Fuca"/>
    <n v="14"/>
    <n v="7"/>
    <n v="59.779999999999994"/>
  </r>
  <r>
    <n v="1093"/>
    <x v="4"/>
    <x v="9"/>
    <x v="3"/>
    <s v="Freshwater"/>
    <x v="0"/>
    <x v="0"/>
    <s v="782"/>
    <s v="Morse Creek (Clallam Co.)"/>
    <s v="Morse Creek (Clallam Co.)"/>
    <s v="Clallam"/>
    <x v="3"/>
    <s v="Clallam"/>
    <s v="11Clallam"/>
    <s v="03Strait of Juan de Fuca"/>
    <n v="6"/>
    <n v="3"/>
    <n v="25.619999999999997"/>
  </r>
  <r>
    <n v="1102"/>
    <x v="4"/>
    <x v="9"/>
    <x v="3"/>
    <s v="Freshwater"/>
    <x v="0"/>
    <x v="0"/>
    <s v="794"/>
    <s v="Nooksack River, below North Fork"/>
    <s v="Nooksack River, below North Fork"/>
    <s v="Whatcom"/>
    <x v="1"/>
    <s v="Whatcom"/>
    <s v="01Whatcom"/>
    <s v="01North Puget Sound"/>
    <n v="42"/>
    <n v="21"/>
    <n v="179.33999999999997"/>
  </r>
  <r>
    <n v="1099"/>
    <x v="4"/>
    <x v="9"/>
    <x v="3"/>
    <s v="Freshwater"/>
    <x v="0"/>
    <x v="0"/>
    <s v="790"/>
    <s v="Nooksack River, No. Fork"/>
    <s v="Nooksack River, No. Fork"/>
    <s v="Whatcom"/>
    <x v="1"/>
    <s v="Whatcom"/>
    <s v="01Whatcom"/>
    <s v="01North Puget Sound"/>
    <n v="62"/>
    <n v="31"/>
    <n v="264.73999999999995"/>
  </r>
  <r>
    <n v="1108"/>
    <x v="4"/>
    <x v="9"/>
    <x v="3"/>
    <s v="Freshwater"/>
    <x v="0"/>
    <x v="0"/>
    <s v="804"/>
    <s v="Puyallup River"/>
    <s v="Puyallup River"/>
    <s v="Pierce"/>
    <x v="2"/>
    <s v="King"/>
    <s v="06King"/>
    <s v="02South Puget Sound"/>
    <n v="11"/>
    <n v="2.5"/>
    <n v="21.349999999999998"/>
  </r>
  <r>
    <n v="1109"/>
    <x v="4"/>
    <x v="9"/>
    <x v="3"/>
    <s v="Freshwater"/>
    <x v="0"/>
    <x v="0"/>
    <s v="804"/>
    <s v="Puyallup River"/>
    <s v="Puyallup River"/>
    <s v="Pierce"/>
    <x v="2"/>
    <s v="Pierce"/>
    <s v="07Pierce"/>
    <s v="02South Puget Sound"/>
    <n v="11"/>
    <n v="2.5"/>
    <n v="21.349999999999998"/>
  </r>
  <r>
    <n v="1115"/>
    <x v="4"/>
    <x v="9"/>
    <x v="3"/>
    <s v="Freshwater"/>
    <x v="0"/>
    <x v="0"/>
    <s v="816"/>
    <s v="Samish River"/>
    <s v="Samish River"/>
    <s v="Skagit"/>
    <x v="1"/>
    <s v="Skagit"/>
    <s v="02Skagit"/>
    <s v="01North Puget Sound"/>
    <n v="6"/>
    <n v="0"/>
    <n v="0"/>
  </r>
  <r>
    <n v="1116"/>
    <x v="4"/>
    <x v="9"/>
    <x v="3"/>
    <s v="Freshwater"/>
    <x v="0"/>
    <x v="0"/>
    <s v="818"/>
    <s v="Sekiu River"/>
    <s v="Sekiu River"/>
    <s v="Clallam"/>
    <x v="3"/>
    <s v="Clallam"/>
    <s v="11Clallam"/>
    <s v="03Strait of Juan de Fuca"/>
    <n v="7"/>
    <n v="3.5"/>
    <n v="29.889999999999997"/>
  </r>
  <r>
    <n v="1117"/>
    <x v="4"/>
    <x v="9"/>
    <x v="3"/>
    <s v="Freshwater"/>
    <x v="0"/>
    <x v="0"/>
    <s v="818"/>
    <s v="Sekiu River"/>
    <s v="Sekiu River"/>
    <s v="Clallam"/>
    <x v="3"/>
    <s v="Pierce"/>
    <s v="07Pierce"/>
    <s v="02South Puget Sound"/>
    <n v="7"/>
    <n v="3.5"/>
    <n v="29.889999999999997"/>
  </r>
  <r>
    <n v="1158"/>
    <x v="4"/>
    <x v="9"/>
    <x v="3"/>
    <s v="Freshwater"/>
    <x v="0"/>
    <x v="0"/>
    <s v="830"/>
    <s v="Skagit River"/>
    <s v="Skagit River"/>
    <s v="Skagit/Whatcom"/>
    <x v="0"/>
    <s v="Skagit"/>
    <s v="02Skagit"/>
    <s v="01North Puget Sound"/>
    <n v="48"/>
    <n v="24"/>
    <n v="204.95999999999998"/>
  </r>
  <r>
    <n v="1204"/>
    <x v="4"/>
    <x v="9"/>
    <x v="3"/>
    <s v="Freshwater"/>
    <x v="0"/>
    <x v="0"/>
    <s v="844"/>
    <s v="Skykomish River"/>
    <s v="Skykomish River"/>
    <s v="Snohomish"/>
    <x v="0"/>
    <s v="King"/>
    <s v="06King"/>
    <s v="02South Puget Sound"/>
    <n v="458.37563451776703"/>
    <n v="230.32994923857899"/>
    <n v="1967.0177664974644"/>
  </r>
  <r>
    <n v="1205"/>
    <x v="4"/>
    <x v="9"/>
    <x v="3"/>
    <s v="Freshwater"/>
    <x v="0"/>
    <x v="0"/>
    <s v="844"/>
    <s v="Skykomish River"/>
    <s v="Skykomish River"/>
    <s v="Snohomish"/>
    <x v="0"/>
    <s v="Kitsap"/>
    <s v="10Kitsap"/>
    <s v="02South Puget Sound"/>
    <n v="6.1116751269035499"/>
    <n v="3.0710659898477202"/>
    <n v="26.226903553299529"/>
  </r>
  <r>
    <n v="1206"/>
    <x v="4"/>
    <x v="9"/>
    <x v="3"/>
    <s v="Freshwater"/>
    <x v="0"/>
    <x v="0"/>
    <s v="844"/>
    <s v="Skykomish River"/>
    <s v="Skykomish River"/>
    <s v="Snohomish"/>
    <x v="0"/>
    <s v="Other"/>
    <s v="20Other"/>
    <s v="07Non Puget Sound"/>
    <n v="6.1116751269035499"/>
    <n v="3.0710659898477202"/>
    <n v="26.226903553299529"/>
  </r>
  <r>
    <n v="1207"/>
    <x v="4"/>
    <x v="9"/>
    <x v="3"/>
    <s v="Freshwater"/>
    <x v="0"/>
    <x v="0"/>
    <s v="844"/>
    <s v="Skykomish River"/>
    <s v="Skykomish River"/>
    <s v="Snohomish"/>
    <x v="0"/>
    <s v="Pierce"/>
    <s v="07Pierce"/>
    <s v="02South Puget Sound"/>
    <n v="6.1116751269035499"/>
    <n v="3.0710659898477202"/>
    <n v="26.226903553299529"/>
  </r>
  <r>
    <n v="1208"/>
    <x v="4"/>
    <x v="9"/>
    <x v="3"/>
    <s v="Freshwater"/>
    <x v="0"/>
    <x v="0"/>
    <s v="844"/>
    <s v="Skykomish River"/>
    <s v="Skykomish River"/>
    <s v="Snohomish"/>
    <x v="0"/>
    <s v="Skagit"/>
    <s v="02Skagit"/>
    <s v="01North Puget Sound"/>
    <n v="6.1116751269035499"/>
    <n v="3.0710659898477202"/>
    <n v="26.226903553299529"/>
  </r>
  <r>
    <n v="1209"/>
    <x v="4"/>
    <x v="9"/>
    <x v="3"/>
    <s v="Freshwater"/>
    <x v="0"/>
    <x v="0"/>
    <s v="844"/>
    <s v="Skykomish River"/>
    <s v="Skykomish River"/>
    <s v="Snohomish"/>
    <x v="0"/>
    <s v="Snohomish"/>
    <s v="03Snohomish"/>
    <s v="01North Puget Sound"/>
    <n v="715.06598984771597"/>
    <n v="359.314720812183"/>
    <n v="3068.5477157360424"/>
  </r>
  <r>
    <n v="1210"/>
    <x v="4"/>
    <x v="9"/>
    <x v="3"/>
    <s v="Freshwater"/>
    <x v="0"/>
    <x v="0"/>
    <s v="844"/>
    <s v="Skykomish River"/>
    <s v="Skykomish River"/>
    <s v="Snohomish"/>
    <x v="0"/>
    <s v="Whatcom"/>
    <s v="01Whatcom"/>
    <s v="01North Puget Sound"/>
    <n v="6.1116751269035499"/>
    <n v="3.0710659898477202"/>
    <n v="26.226903553299529"/>
  </r>
  <r>
    <n v="1224"/>
    <x v="4"/>
    <x v="9"/>
    <x v="3"/>
    <s v="Freshwater"/>
    <x v="0"/>
    <x v="0"/>
    <s v="846"/>
    <s v="Skykomish River, No. Fork"/>
    <s v="Skykomish River, No. Fork"/>
    <s v="Snohomish"/>
    <x v="0"/>
    <s v="Snohomish"/>
    <s v="03Snohomish"/>
    <s v="01North Puget Sound"/>
    <n v="6"/>
    <n v="3"/>
    <n v="25.619999999999997"/>
  </r>
  <r>
    <n v="1245"/>
    <x v="4"/>
    <x v="9"/>
    <x v="3"/>
    <s v="Freshwater"/>
    <x v="0"/>
    <x v="0"/>
    <s v="850"/>
    <s v="Snohomish River"/>
    <s v="Snohomish River"/>
    <s v="Snohomish"/>
    <x v="0"/>
    <s v="King"/>
    <s v="06King"/>
    <s v="02South Puget Sound"/>
    <n v="12.266666666666699"/>
    <n v="6.1333333333333302"/>
    <n v="52.378666666666632"/>
  </r>
  <r>
    <n v="1246"/>
    <x v="4"/>
    <x v="9"/>
    <x v="3"/>
    <s v="Freshwater"/>
    <x v="0"/>
    <x v="0"/>
    <s v="850"/>
    <s v="Snohomish River"/>
    <s v="Snohomish River"/>
    <s v="Snohomish"/>
    <x v="0"/>
    <s v="Snohomish"/>
    <s v="03Snohomish"/>
    <s v="01North Puget Sound"/>
    <n v="79.733333333333405"/>
    <n v="39.866666666666703"/>
    <n v="340.46133333333358"/>
  </r>
  <r>
    <n v="1260"/>
    <x v="4"/>
    <x v="9"/>
    <x v="3"/>
    <s v="Freshwater"/>
    <x v="0"/>
    <x v="0"/>
    <s v="852"/>
    <s v="Snoqualmie River"/>
    <s v="Snoqualmie River"/>
    <s v="Snohomish/King"/>
    <x v="0"/>
    <s v="King"/>
    <s v="06King"/>
    <s v="02South Puget Sound"/>
    <n v="365.37313432835799"/>
    <n v="182.686567164179"/>
    <n v="1560.1432835820885"/>
  </r>
  <r>
    <n v="1261"/>
    <x v="4"/>
    <x v="9"/>
    <x v="3"/>
    <s v="Freshwater"/>
    <x v="0"/>
    <x v="0"/>
    <s v="852"/>
    <s v="Snoqualmie River"/>
    <s v="Snoqualmie River"/>
    <s v="Snohomish/King"/>
    <x v="0"/>
    <s v="Other"/>
    <s v="20Other"/>
    <s v="07Non Puget Sound"/>
    <n v="18.268656716417901"/>
    <n v="9.1343283582089594"/>
    <n v="78.007164179104507"/>
  </r>
  <r>
    <n v="1262"/>
    <x v="4"/>
    <x v="9"/>
    <x v="3"/>
    <s v="Freshwater"/>
    <x v="0"/>
    <x v="0"/>
    <s v="852"/>
    <s v="Snoqualmie River"/>
    <s v="Snoqualmie River"/>
    <s v="Snohomish/King"/>
    <x v="0"/>
    <s v="Pierce"/>
    <s v="07Pierce"/>
    <s v="02South Puget Sound"/>
    <n v="18.268656716417901"/>
    <n v="9.1343283582089594"/>
    <n v="78.007164179104507"/>
  </r>
  <r>
    <n v="1263"/>
    <x v="4"/>
    <x v="9"/>
    <x v="3"/>
    <s v="Freshwater"/>
    <x v="0"/>
    <x v="0"/>
    <s v="852"/>
    <s v="Snoqualmie River"/>
    <s v="Snoqualmie River"/>
    <s v="Snohomish/King"/>
    <x v="0"/>
    <s v="Snohomish"/>
    <s v="03Snohomish"/>
    <s v="01North Puget Sound"/>
    <n v="6.08955223880597"/>
    <n v="3.0447761194029899"/>
    <n v="26.002388059701531"/>
  </r>
  <r>
    <n v="1303"/>
    <x v="4"/>
    <x v="9"/>
    <x v="3"/>
    <s v="Freshwater"/>
    <x v="0"/>
    <x v="0"/>
    <s v="872"/>
    <s v="Stillaguamish R, No. Fork"/>
    <s v="Stillaguamish R, No. Fork"/>
    <s v="Snohomish"/>
    <x v="0"/>
    <s v="San Juan"/>
    <s v="05San Juan"/>
    <s v="01North Puget Sound"/>
    <n v="12.16"/>
    <n v="6.08"/>
    <n v="51.923199999999994"/>
  </r>
  <r>
    <n v="1304"/>
    <x v="4"/>
    <x v="9"/>
    <x v="3"/>
    <s v="Freshwater"/>
    <x v="0"/>
    <x v="0"/>
    <s v="872"/>
    <s v="Stillaguamish R, No. Fork"/>
    <s v="Stillaguamish R, No. Fork"/>
    <s v="Snohomish"/>
    <x v="0"/>
    <s v="Snohomish"/>
    <s v="03Snohomish"/>
    <s v="01North Puget Sound"/>
    <n v="139.84"/>
    <n v="69.92"/>
    <n v="597.1167999999999"/>
  </r>
  <r>
    <n v="1267"/>
    <x v="4"/>
    <x v="9"/>
    <x v="3"/>
    <s v="Freshwater"/>
    <x v="0"/>
    <x v="0"/>
    <s v="856"/>
    <s v="Tokul Creek"/>
    <s v="Tokul Creek"/>
    <s v="King"/>
    <x v="0"/>
    <s v="Island"/>
    <s v="04Island"/>
    <s v="01North Puget Sound"/>
    <n v="6.1081081081081097"/>
    <n v="3.0540540540540602"/>
    <n v="26.081621621621672"/>
  </r>
  <r>
    <n v="1268"/>
    <x v="4"/>
    <x v="9"/>
    <x v="3"/>
    <s v="Freshwater"/>
    <x v="0"/>
    <x v="0"/>
    <s v="856"/>
    <s v="Tokul Creek"/>
    <s v="Tokul Creek"/>
    <s v="King"/>
    <x v="0"/>
    <s v="King"/>
    <s v="06King"/>
    <s v="02South Puget Sound"/>
    <n v="415.35135135135101"/>
    <n v="207.67567567567599"/>
    <n v="1773.5502702702727"/>
  </r>
  <r>
    <n v="1269"/>
    <x v="4"/>
    <x v="9"/>
    <x v="3"/>
    <s v="Freshwater"/>
    <x v="0"/>
    <x v="0"/>
    <s v="856"/>
    <s v="Tokul Creek"/>
    <s v="Tokul Creek"/>
    <s v="King"/>
    <x v="0"/>
    <s v="Pierce"/>
    <s v="07Pierce"/>
    <s v="02South Puget Sound"/>
    <n v="6.1081081081081097"/>
    <n v="3.0540540540540602"/>
    <n v="26.081621621621672"/>
  </r>
  <r>
    <n v="1270"/>
    <x v="4"/>
    <x v="9"/>
    <x v="3"/>
    <s v="Freshwater"/>
    <x v="0"/>
    <x v="0"/>
    <s v="856"/>
    <s v="Tokul Creek"/>
    <s v="Tokul Creek"/>
    <s v="King"/>
    <x v="0"/>
    <s v="Snohomish"/>
    <s v="03Snohomish"/>
    <s v="01North Puget Sound"/>
    <n v="18.324324324324301"/>
    <n v="9.1621621621621703"/>
    <n v="78.244864864864923"/>
  </r>
  <r>
    <n v="1271"/>
    <x v="4"/>
    <x v="9"/>
    <x v="3"/>
    <s v="Freshwater"/>
    <x v="0"/>
    <x v="0"/>
    <s v="856"/>
    <s v="Tokul Creek"/>
    <s v="Tokul Creek"/>
    <s v="King"/>
    <x v="0"/>
    <s v="Thurston"/>
    <s v="08Thurston"/>
    <s v="02South Puget Sound"/>
    <n v="6.1081081081081097"/>
    <n v="3.0540540540540602"/>
    <n v="26.081621621621672"/>
  </r>
  <r>
    <n v="1282"/>
    <x v="4"/>
    <x v="9"/>
    <x v="3"/>
    <s v="Freshwater"/>
    <x v="0"/>
    <x v="0"/>
    <s v="860"/>
    <s v="Wallace River"/>
    <s v="Wallace River"/>
    <s v="Snohomish"/>
    <x v="0"/>
    <s v="King"/>
    <s v="06King"/>
    <s v="02South Puget Sound"/>
    <n v="24.380952380952401"/>
    <n v="12.1904761904762"/>
    <n v="104.10666666666674"/>
  </r>
  <r>
    <n v="1283"/>
    <x v="4"/>
    <x v="9"/>
    <x v="3"/>
    <s v="Freshwater"/>
    <x v="0"/>
    <x v="0"/>
    <s v="860"/>
    <s v="Wallace River"/>
    <s v="Wallace River"/>
    <s v="Snohomish"/>
    <x v="0"/>
    <s v="Skagit"/>
    <s v="02Skagit"/>
    <s v="01North Puget Sound"/>
    <n v="6.0952380952381002"/>
    <n v="3.0476190476190501"/>
    <n v="26.026666666666685"/>
  </r>
  <r>
    <n v="1284"/>
    <x v="4"/>
    <x v="9"/>
    <x v="3"/>
    <s v="Freshwater"/>
    <x v="0"/>
    <x v="0"/>
    <s v="860"/>
    <s v="Wallace River"/>
    <s v="Wallace River"/>
    <s v="Snohomish"/>
    <x v="0"/>
    <s v="Snohomish"/>
    <s v="03Snohomish"/>
    <s v="01North Puget Sound"/>
    <n v="97.523809523809604"/>
    <n v="48.761904761904802"/>
    <n v="416.42666666666696"/>
  </r>
  <r>
    <n v="1314"/>
    <x v="4"/>
    <x v="9"/>
    <x v="3"/>
    <s v="Freshwater"/>
    <x v="0"/>
    <x v="0"/>
    <s v="884"/>
    <s v="Whatcom Creek"/>
    <s v="Whatcom Creek"/>
    <s v="Whatcom"/>
    <x v="1"/>
    <s v="Snohomish"/>
    <s v="03Snohomish"/>
    <s v="01North Puget Sound"/>
    <n v="6.8"/>
    <n v="3.4"/>
    <n v="29.035999999999998"/>
  </r>
  <r>
    <n v="1315"/>
    <x v="4"/>
    <x v="9"/>
    <x v="3"/>
    <s v="Freshwater"/>
    <x v="0"/>
    <x v="0"/>
    <s v="884"/>
    <s v="Whatcom Creek"/>
    <s v="Whatcom Creek"/>
    <s v="Whatcom"/>
    <x v="1"/>
    <s v="Whatcom"/>
    <s v="01Whatcom"/>
    <s v="01North Puget Sound"/>
    <n v="61.2"/>
    <n v="30.6"/>
    <n v="261.32400000000001"/>
  </r>
  <r>
    <n v="1112"/>
    <x v="4"/>
    <x v="9"/>
    <x v="3"/>
    <s v="Freshwater"/>
    <x v="0"/>
    <x v="0"/>
    <s v="808"/>
    <s v="White (Stuck) River"/>
    <s v="White (Stuck) River"/>
    <s v="Pierce"/>
    <x v="2"/>
    <s v="Snohomish"/>
    <s v="03Snohomish"/>
    <s v="01North Puget Sound"/>
    <n v="6"/>
    <n v="0"/>
    <n v="0"/>
  </r>
  <r>
    <n v="1331"/>
    <x v="4"/>
    <x v="10"/>
    <x v="3"/>
    <s v="Freshwater"/>
    <x v="0"/>
    <x v="0"/>
    <s v="9"/>
    <s v="Area 9: Admiralty Inlet"/>
    <s v="Area 9: Admiralty Inlet"/>
    <s v="NA"/>
    <x v="0"/>
    <s v="Island"/>
    <s v="04Island"/>
    <s v="01North Puget Sound"/>
    <n v="10"/>
    <n v="5"/>
    <n v="42.699999999999996"/>
  </r>
  <r>
    <n v="1136"/>
    <x v="4"/>
    <x v="10"/>
    <x v="3"/>
    <s v="Freshwater"/>
    <x v="0"/>
    <x v="0"/>
    <s v="826"/>
    <s v="Cascade River"/>
    <s v="Cascade River"/>
    <s v="Skagit"/>
    <x v="1"/>
    <s v="Skagit"/>
    <s v="02Skagit"/>
    <s v="01North Puget Sound"/>
    <n v="19.2"/>
    <n v="9.6"/>
    <n v="81.983999999999995"/>
  </r>
  <r>
    <n v="1137"/>
    <x v="4"/>
    <x v="10"/>
    <x v="3"/>
    <s v="Freshwater"/>
    <x v="0"/>
    <x v="0"/>
    <s v="826"/>
    <s v="Cascade River"/>
    <s v="Cascade River"/>
    <s v="Skagit"/>
    <x v="1"/>
    <s v="Snohomish"/>
    <s v="03Snohomish"/>
    <s v="01North Puget Sound"/>
    <n v="6.4"/>
    <n v="3.2"/>
    <n v="27.327999999999999"/>
  </r>
  <r>
    <n v="1138"/>
    <x v="4"/>
    <x v="10"/>
    <x v="3"/>
    <s v="Freshwater"/>
    <x v="0"/>
    <x v="0"/>
    <s v="826"/>
    <s v="Cascade River"/>
    <s v="Cascade River"/>
    <s v="Skagit"/>
    <x v="1"/>
    <s v="Whatcom"/>
    <s v="01Whatcom"/>
    <s v="01North Puget Sound"/>
    <n v="6.4"/>
    <n v="3.2"/>
    <n v="27.327999999999999"/>
  </r>
  <r>
    <n v="1088"/>
    <x v="4"/>
    <x v="10"/>
    <x v="3"/>
    <s v="Freshwater"/>
    <x v="0"/>
    <x v="0"/>
    <s v="752"/>
    <s v="Hoko River"/>
    <s v="Hoko River"/>
    <s v="Clallam"/>
    <x v="3"/>
    <s v="Clallam"/>
    <s v="11Clallam"/>
    <s v="03Strait of Juan de Fuca"/>
    <n v="6"/>
    <n v="3"/>
    <n v="25.619999999999997"/>
  </r>
  <r>
    <n v="1100"/>
    <x v="4"/>
    <x v="10"/>
    <x v="3"/>
    <s v="Freshwater"/>
    <x v="0"/>
    <x v="0"/>
    <s v="790"/>
    <s v="Nooksack River, No. Fork"/>
    <s v="Nooksack River, No. Fork"/>
    <s v="Whatcom"/>
    <x v="1"/>
    <s v="Whatcom"/>
    <s v="01Whatcom"/>
    <s v="01North Puget Sound"/>
    <n v="76"/>
    <n v="45"/>
    <n v="384.29999999999995"/>
  </r>
  <r>
    <n v="1101"/>
    <x v="4"/>
    <x v="10"/>
    <x v="3"/>
    <s v="Freshwater"/>
    <x v="0"/>
    <x v="0"/>
    <s v="792"/>
    <s v="Nooksack River, So. Fork"/>
    <s v="Nooksack River, So. Fork"/>
    <s v="Whatcom"/>
    <x v="1"/>
    <s v="Whatcom"/>
    <s v="01Whatcom"/>
    <s v="01North Puget Sound"/>
    <n v="14"/>
    <n v="0"/>
    <n v="0"/>
  </r>
  <r>
    <n v="1211"/>
    <x v="4"/>
    <x v="10"/>
    <x v="3"/>
    <s v="Freshwater"/>
    <x v="0"/>
    <x v="0"/>
    <s v="844"/>
    <s v="Skykomish River"/>
    <s v="Skykomish River"/>
    <s v="Snohomish"/>
    <x v="0"/>
    <s v="King"/>
    <s v="06King"/>
    <s v="02South Puget Sound"/>
    <n v="24"/>
    <n v="12"/>
    <n v="102.47999999999999"/>
  </r>
  <r>
    <n v="1212"/>
    <x v="4"/>
    <x v="10"/>
    <x v="3"/>
    <s v="Freshwater"/>
    <x v="0"/>
    <x v="0"/>
    <s v="844"/>
    <s v="Skykomish River"/>
    <s v="Skykomish River"/>
    <s v="Snohomish"/>
    <x v="0"/>
    <s v="Snohomish"/>
    <s v="03Snohomish"/>
    <s v="01North Puget Sound"/>
    <n v="24"/>
    <n v="12"/>
    <n v="102.47999999999999"/>
  </r>
  <r>
    <n v="1264"/>
    <x v="4"/>
    <x v="10"/>
    <x v="3"/>
    <s v="Freshwater"/>
    <x v="0"/>
    <x v="0"/>
    <s v="852"/>
    <s v="Snoqualmie River"/>
    <s v="Snoqualmie River"/>
    <s v="Snohomish/King"/>
    <x v="0"/>
    <s v="King"/>
    <s v="06King"/>
    <s v="02South Puget Sound"/>
    <n v="42"/>
    <n v="21"/>
    <n v="179.33999999999997"/>
  </r>
  <r>
    <n v="1305"/>
    <x v="4"/>
    <x v="10"/>
    <x v="3"/>
    <s v="Freshwater"/>
    <x v="0"/>
    <x v="0"/>
    <s v="872"/>
    <s v="Stillaguamish R, No. Fork"/>
    <s v="Stillaguamish R, No. Fork"/>
    <s v="Snohomish"/>
    <x v="0"/>
    <s v="Snohomish"/>
    <s v="03Snohomish"/>
    <s v="01North Puget Sound"/>
    <n v="6"/>
    <n v="3"/>
    <n v="25.619999999999997"/>
  </r>
  <r>
    <n v="1272"/>
    <x v="4"/>
    <x v="10"/>
    <x v="3"/>
    <s v="Freshwater"/>
    <x v="0"/>
    <x v="0"/>
    <s v="856"/>
    <s v="Tokul Creek"/>
    <s v="Tokul Creek"/>
    <s v="King"/>
    <x v="0"/>
    <s v="King"/>
    <s v="06King"/>
    <s v="02South Puget Sound"/>
    <n v="42"/>
    <n v="21"/>
    <n v="179.33999999999997"/>
  </r>
  <r>
    <n v="1273"/>
    <x v="4"/>
    <x v="10"/>
    <x v="3"/>
    <s v="Freshwater"/>
    <x v="0"/>
    <x v="0"/>
    <s v="856"/>
    <s v="Tokul Creek"/>
    <s v="Tokul Creek"/>
    <s v="King"/>
    <x v="0"/>
    <s v="Snohomish"/>
    <s v="03Snohomish"/>
    <s v="01North Puget Sound"/>
    <n v="6"/>
    <n v="3"/>
    <n v="25.619999999999997"/>
  </r>
  <r>
    <n v="1285"/>
    <x v="4"/>
    <x v="10"/>
    <x v="3"/>
    <s v="Freshwater"/>
    <x v="0"/>
    <x v="0"/>
    <s v="860"/>
    <s v="Wallace River"/>
    <s v="Wallace River"/>
    <s v="Snohomish"/>
    <x v="0"/>
    <s v="Snohomish"/>
    <s v="03Snohomish"/>
    <s v="01North Puget Sound"/>
    <n v="12"/>
    <n v="6"/>
    <n v="51.239999999999995"/>
  </r>
  <r>
    <n v="1316"/>
    <x v="4"/>
    <x v="10"/>
    <x v="3"/>
    <s v="Freshwater"/>
    <x v="0"/>
    <x v="0"/>
    <s v="884"/>
    <s v="Whatcom Creek"/>
    <s v="Whatcom Creek"/>
    <s v="Whatcom"/>
    <x v="1"/>
    <s v="Whatcom"/>
    <s v="01Whatcom"/>
    <s v="01North Puget Sound"/>
    <n v="14"/>
    <n v="7"/>
    <n v="59.779999999999994"/>
  </r>
  <r>
    <n v="1332"/>
    <x v="4"/>
    <x v="11"/>
    <x v="3"/>
    <s v="Freshwater"/>
    <x v="0"/>
    <x v="0"/>
    <s v="9"/>
    <s v="Area 9: Admiralty Inlet"/>
    <s v="Area 9: Admiralty Inlet"/>
    <s v="NA"/>
    <x v="0"/>
    <s v="Island"/>
    <s v="04Island"/>
    <s v="01North Puget Sound"/>
    <n v="14.4"/>
    <n v="7.2"/>
    <n v="61.487999999999992"/>
  </r>
  <r>
    <n v="1333"/>
    <x v="4"/>
    <x v="11"/>
    <x v="3"/>
    <s v="Freshwater"/>
    <x v="0"/>
    <x v="0"/>
    <s v="9"/>
    <s v="Area 9: Admiralty Inlet"/>
    <s v="Area 9: Admiralty Inlet"/>
    <s v="NA"/>
    <x v="0"/>
    <s v="Snohomish"/>
    <s v="03Snohomish"/>
    <s v="01North Puget Sound"/>
    <n v="3.6"/>
    <n v="1.8"/>
    <n v="15.371999999999998"/>
  </r>
  <r>
    <n v="1567"/>
    <x v="4"/>
    <x v="0"/>
    <x v="4"/>
    <s v="Freshwater"/>
    <x v="0"/>
    <x v="0"/>
    <s v="9"/>
    <s v="Area 9: Admiralty Inlet"/>
    <s v="Area 9: Admiralty Inlet"/>
    <s v="NA"/>
    <x v="0"/>
    <s v="Island"/>
    <s v="04Island"/>
    <s v="01North Puget Sound"/>
    <n v="1"/>
    <n v="0.5"/>
    <n v="4.2699999999999996"/>
  </r>
  <r>
    <n v="1568"/>
    <x v="4"/>
    <x v="0"/>
    <x v="4"/>
    <s v="Freshwater"/>
    <x v="0"/>
    <x v="0"/>
    <s v="9"/>
    <s v="Area 9: Admiralty Inlet"/>
    <s v="Area 9: Admiralty Inlet"/>
    <s v="NA"/>
    <x v="0"/>
    <s v="Snohomish"/>
    <s v="03Snohomish"/>
    <s v="01North Puget Sound"/>
    <n v="3"/>
    <n v="1.5"/>
    <n v="12.809999999999999"/>
  </r>
  <r>
    <n v="1569"/>
    <x v="4"/>
    <x v="1"/>
    <x v="4"/>
    <s v="Freshwater"/>
    <x v="0"/>
    <x v="0"/>
    <s v="9"/>
    <s v="Area 9: Admiralty Inlet"/>
    <s v="Area 9: Admiralty Inlet"/>
    <s v="NA"/>
    <x v="0"/>
    <s v="Island"/>
    <s v="04Island"/>
    <s v="01North Puget Sound"/>
    <n v="4"/>
    <n v="2"/>
    <n v="17.079999999999998"/>
  </r>
  <r>
    <n v="1570"/>
    <x v="4"/>
    <x v="2"/>
    <x v="4"/>
    <s v="Freshwater"/>
    <x v="0"/>
    <x v="0"/>
    <s v="9"/>
    <s v="Area 9: Admiralty Inlet"/>
    <s v="Area 9: Admiralty Inlet"/>
    <s v="NA"/>
    <x v="0"/>
    <s v="Island"/>
    <s v="04Island"/>
    <s v="01North Puget Sound"/>
    <n v="4"/>
    <n v="2"/>
    <n v="17.079999999999998"/>
  </r>
  <r>
    <n v="1546"/>
    <x v="4"/>
    <x v="2"/>
    <x v="4"/>
    <s v="Freshwater"/>
    <x v="0"/>
    <x v="0"/>
    <s v="866"/>
    <s v="Canyon Creek"/>
    <s v="Canyon Creek"/>
    <s v="Snohomish"/>
    <x v="0"/>
    <s v="Snohomish"/>
    <s v="03Snohomish"/>
    <s v="01North Puget Sound"/>
    <n v="8"/>
    <n v="4"/>
    <n v="34.159999999999997"/>
  </r>
  <r>
    <n v="1348"/>
    <x v="4"/>
    <x v="2"/>
    <x v="4"/>
    <s v="Freshwater"/>
    <x v="0"/>
    <x v="0"/>
    <s v="746"/>
    <s v="Green (Duwamish River) (King Co.)"/>
    <s v="Green - Duwamish River"/>
    <s v="King"/>
    <x v="2"/>
    <s v="King"/>
    <s v="06King"/>
    <s v="02South Puget Sound"/>
    <n v="66.857142857142904"/>
    <n v="33.428571428571402"/>
    <n v="285.47999999999973"/>
  </r>
  <r>
    <n v="1349"/>
    <x v="4"/>
    <x v="2"/>
    <x v="4"/>
    <s v="Freshwater"/>
    <x v="0"/>
    <x v="0"/>
    <s v="746"/>
    <s v="Green (Duwamish River) (King Co.)"/>
    <s v="Green - Duwamish River"/>
    <s v="King"/>
    <x v="2"/>
    <s v="Pierce"/>
    <s v="07Pierce"/>
    <s v="02South Puget Sound"/>
    <n v="11.1428571428571"/>
    <n v="5.5714285714285703"/>
    <n v="47.579999999999984"/>
  </r>
  <r>
    <n v="1432"/>
    <x v="4"/>
    <x v="2"/>
    <x v="4"/>
    <s v="Freshwater"/>
    <x v="0"/>
    <x v="0"/>
    <s v="844"/>
    <s v="Skykomish River"/>
    <s v="Skykomish River"/>
    <s v="Snohomish"/>
    <x v="0"/>
    <s v="Clallam"/>
    <s v="11Clallam"/>
    <s v="03Strait of Juan de Fuca"/>
    <n v="12.8390596745027"/>
    <n v="6.4195298372513596"/>
    <n v="54.822784810126606"/>
  </r>
  <r>
    <n v="1433"/>
    <x v="4"/>
    <x v="2"/>
    <x v="4"/>
    <s v="Freshwater"/>
    <x v="0"/>
    <x v="0"/>
    <s v="844"/>
    <s v="Skykomish River"/>
    <s v="Skykomish River"/>
    <s v="Snohomish"/>
    <x v="0"/>
    <s v="Island"/>
    <s v="04Island"/>
    <s v="01North Puget Sound"/>
    <n v="12.8390596745027"/>
    <n v="6.4195298372513596"/>
    <n v="54.822784810126606"/>
  </r>
  <r>
    <n v="1434"/>
    <x v="4"/>
    <x v="2"/>
    <x v="4"/>
    <s v="Freshwater"/>
    <x v="0"/>
    <x v="0"/>
    <s v="844"/>
    <s v="Skykomish River"/>
    <s v="Skykomish River"/>
    <s v="Snohomish"/>
    <x v="0"/>
    <s v="King"/>
    <s v="06King"/>
    <s v="02South Puget Sound"/>
    <n v="1675.4972875225999"/>
    <n v="837.74864376130199"/>
    <n v="7154.3734177215183"/>
  </r>
  <r>
    <n v="1435"/>
    <x v="4"/>
    <x v="2"/>
    <x v="4"/>
    <s v="Freshwater"/>
    <x v="0"/>
    <x v="0"/>
    <s v="844"/>
    <s v="Skykomish River"/>
    <s v="Skykomish River"/>
    <s v="Snohomish"/>
    <x v="0"/>
    <s v="Kitsap"/>
    <s v="10Kitsap"/>
    <s v="02South Puget Sound"/>
    <n v="64.195298372513605"/>
    <n v="32.097649186256803"/>
    <n v="274.11392405063305"/>
  </r>
  <r>
    <n v="1436"/>
    <x v="4"/>
    <x v="2"/>
    <x v="4"/>
    <s v="Freshwater"/>
    <x v="0"/>
    <x v="0"/>
    <s v="844"/>
    <s v="Skykomish River"/>
    <s v="Skykomish River"/>
    <s v="Snohomish"/>
    <x v="0"/>
    <s v="Other"/>
    <s v="20Other"/>
    <s v="07Non Puget Sound"/>
    <n v="89.873417721519004"/>
    <n v="44.936708860759502"/>
    <n v="383.75949367088612"/>
  </r>
  <r>
    <n v="1437"/>
    <x v="4"/>
    <x v="2"/>
    <x v="4"/>
    <s v="Freshwater"/>
    <x v="0"/>
    <x v="0"/>
    <s v="844"/>
    <s v="Skykomish River"/>
    <s v="Skykomish River"/>
    <s v="Snohomish"/>
    <x v="0"/>
    <s v="Pierce"/>
    <s v="07Pierce"/>
    <s v="02South Puget Sound"/>
    <n v="83.453887884267701"/>
    <n v="41.726943942133801"/>
    <n v="356.34810126582261"/>
  </r>
  <r>
    <n v="1438"/>
    <x v="4"/>
    <x v="2"/>
    <x v="4"/>
    <s v="Freshwater"/>
    <x v="0"/>
    <x v="0"/>
    <s v="844"/>
    <s v="Skykomish River"/>
    <s v="Skykomish River"/>
    <s v="Snohomish"/>
    <x v="0"/>
    <s v="Skagit"/>
    <s v="02Skagit"/>
    <s v="01North Puget Sound"/>
    <n v="25.678119349005399"/>
    <n v="12.8390596745027"/>
    <n v="109.64556962025304"/>
  </r>
  <r>
    <n v="1439"/>
    <x v="4"/>
    <x v="2"/>
    <x v="4"/>
    <s v="Freshwater"/>
    <x v="0"/>
    <x v="0"/>
    <s v="844"/>
    <s v="Skykomish River"/>
    <s v="Skykomish River"/>
    <s v="Snohomish"/>
    <x v="0"/>
    <s v="Snohomish"/>
    <s v="03Snohomish"/>
    <s v="01North Puget Sound"/>
    <n v="1547.1066907775801"/>
    <n v="773.55334538878901"/>
    <n v="6606.1455696202574"/>
  </r>
  <r>
    <n v="1440"/>
    <x v="4"/>
    <x v="2"/>
    <x v="4"/>
    <s v="Freshwater"/>
    <x v="0"/>
    <x v="0"/>
    <s v="844"/>
    <s v="Skykomish River"/>
    <s v="Skykomish River"/>
    <s v="Snohomish"/>
    <x v="0"/>
    <s v="Thurston"/>
    <s v="08Thurston"/>
    <s v="02South Puget Sound"/>
    <n v="19.258589511754099"/>
    <n v="9.6292947558770408"/>
    <n v="82.234177215189916"/>
  </r>
  <r>
    <n v="1441"/>
    <x v="4"/>
    <x v="2"/>
    <x v="4"/>
    <s v="Freshwater"/>
    <x v="0"/>
    <x v="0"/>
    <s v="844"/>
    <s v="Skykomish River"/>
    <s v="Skykomish River"/>
    <s v="Snohomish"/>
    <x v="0"/>
    <s v="Whatcom"/>
    <s v="01Whatcom"/>
    <s v="01North Puget Sound"/>
    <n v="19.258589511754099"/>
    <n v="9.6292947558770408"/>
    <n v="82.234177215189916"/>
  </r>
  <r>
    <n v="1473"/>
    <x v="4"/>
    <x v="2"/>
    <x v="4"/>
    <s v="Freshwater"/>
    <x v="0"/>
    <x v="0"/>
    <s v="846"/>
    <s v="Skykomish River, No. Fork"/>
    <s v="Skykomish River, No. Fork"/>
    <s v="Snohomish"/>
    <x v="0"/>
    <s v="King"/>
    <s v="06King"/>
    <s v="02South Puget Sound"/>
    <n v="51.764705882352999"/>
    <n v="25.882352941176499"/>
    <n v="221.03529411764728"/>
  </r>
  <r>
    <n v="1474"/>
    <x v="4"/>
    <x v="2"/>
    <x v="4"/>
    <s v="Freshwater"/>
    <x v="0"/>
    <x v="0"/>
    <s v="846"/>
    <s v="Skykomish River, No. Fork"/>
    <s v="Skykomish River, No. Fork"/>
    <s v="Snohomish"/>
    <x v="0"/>
    <s v="Other"/>
    <s v="20Other"/>
    <s v="07Non Puget Sound"/>
    <n v="6.4705882352941204"/>
    <n v="3.2352941176470602"/>
    <n v="27.629411764705893"/>
  </r>
  <r>
    <n v="1475"/>
    <x v="4"/>
    <x v="2"/>
    <x v="4"/>
    <s v="Freshwater"/>
    <x v="0"/>
    <x v="0"/>
    <s v="846"/>
    <s v="Skykomish River, No. Fork"/>
    <s v="Skykomish River, No. Fork"/>
    <s v="Snohomish"/>
    <x v="0"/>
    <s v="Snohomish"/>
    <s v="03Snohomish"/>
    <s v="01North Puget Sound"/>
    <n v="51.764705882352999"/>
    <n v="25.882352941176499"/>
    <n v="221.03529411764728"/>
  </r>
  <r>
    <n v="1489"/>
    <x v="4"/>
    <x v="2"/>
    <x v="4"/>
    <s v="Freshwater"/>
    <x v="0"/>
    <x v="0"/>
    <s v="848"/>
    <s v="Skykomish River, So. Fork"/>
    <s v="Skykomish River, So. Fork"/>
    <s v="Snohomish/King"/>
    <x v="0"/>
    <s v="Snohomish"/>
    <s v="03Snohomish"/>
    <s v="01North Puget Sound"/>
    <n v="12"/>
    <n v="6"/>
    <n v="51.239999999999995"/>
  </r>
  <r>
    <n v="1498"/>
    <x v="4"/>
    <x v="2"/>
    <x v="4"/>
    <s v="Freshwater"/>
    <x v="0"/>
    <x v="0"/>
    <s v="850"/>
    <s v="Snohomish River"/>
    <s v="Snohomish River"/>
    <s v="Snohomish"/>
    <x v="0"/>
    <s v="Snohomish"/>
    <s v="03Snohomish"/>
    <s v="01North Puget Sound"/>
    <n v="186"/>
    <n v="93"/>
    <n v="794.21999999999991"/>
  </r>
  <r>
    <n v="1506"/>
    <x v="4"/>
    <x v="2"/>
    <x v="4"/>
    <s v="Freshwater"/>
    <x v="0"/>
    <x v="0"/>
    <s v="852"/>
    <s v="Snoqualmie River"/>
    <s v="Snoqualmie River"/>
    <s v="Snohomish/King"/>
    <x v="0"/>
    <s v="King"/>
    <s v="06King"/>
    <s v="02South Puget Sound"/>
    <n v="38"/>
    <n v="19"/>
    <n v="162.26"/>
  </r>
  <r>
    <n v="1549"/>
    <x v="4"/>
    <x v="2"/>
    <x v="4"/>
    <s v="Freshwater"/>
    <x v="0"/>
    <x v="0"/>
    <s v="872"/>
    <s v="Stillaguamish R, No. Fork"/>
    <s v="Stillaguamish R, No. Fork"/>
    <s v="Snohomish"/>
    <x v="0"/>
    <s v="Snohomish"/>
    <s v="03Snohomish"/>
    <s v="01North Puget Sound"/>
    <n v="24"/>
    <n v="12"/>
    <n v="102.47999999999999"/>
  </r>
  <r>
    <n v="1571"/>
    <x v="4"/>
    <x v="3"/>
    <x v="4"/>
    <s v="Freshwater"/>
    <x v="0"/>
    <x v="0"/>
    <s v="9"/>
    <s v="Area 9: Admiralty Inlet"/>
    <s v="Area 9: Admiralty Inlet"/>
    <s v="NA"/>
    <x v="0"/>
    <s v="King"/>
    <s v="06King"/>
    <s v="02South Puget Sound"/>
    <n v="6"/>
    <n v="3"/>
    <n v="25.619999999999997"/>
  </r>
  <r>
    <n v="1350"/>
    <x v="4"/>
    <x v="3"/>
    <x v="4"/>
    <s v="Freshwater"/>
    <x v="0"/>
    <x v="0"/>
    <s v="746"/>
    <s v="Green (Duwamish River) (King Co.)"/>
    <s v="Green - Duwamish River"/>
    <s v="King"/>
    <x v="2"/>
    <s v="King"/>
    <s v="06King"/>
    <s v="02South Puget Sound"/>
    <n v="19.090909090909101"/>
    <n v="9.5454545454545503"/>
    <n v="81.518181818181858"/>
  </r>
  <r>
    <n v="1351"/>
    <x v="4"/>
    <x v="3"/>
    <x v="4"/>
    <s v="Freshwater"/>
    <x v="0"/>
    <x v="0"/>
    <s v="746"/>
    <s v="Green (Duwamish River) (King Co.)"/>
    <s v="Green - Duwamish River"/>
    <s v="King"/>
    <x v="2"/>
    <s v="Other"/>
    <s v="20Other"/>
    <s v="07Non Puget Sound"/>
    <n v="3.8181818181818201"/>
    <n v="1.9090909090909101"/>
    <n v="16.303636363636372"/>
  </r>
  <r>
    <n v="1352"/>
    <x v="4"/>
    <x v="3"/>
    <x v="4"/>
    <s v="Freshwater"/>
    <x v="0"/>
    <x v="0"/>
    <s v="746"/>
    <s v="Green (Duwamish River) (King Co.)"/>
    <s v="Green - Duwamish River"/>
    <s v="King"/>
    <x v="2"/>
    <s v="Pierce"/>
    <s v="07Pierce"/>
    <s v="02South Puget Sound"/>
    <n v="19.090909090909101"/>
    <n v="9.5454545454545503"/>
    <n v="81.518181818181858"/>
  </r>
  <r>
    <n v="1442"/>
    <x v="4"/>
    <x v="3"/>
    <x v="4"/>
    <s v="Freshwater"/>
    <x v="0"/>
    <x v="0"/>
    <s v="844"/>
    <s v="Skykomish River"/>
    <s v="Skykomish River"/>
    <s v="Snohomish"/>
    <x v="0"/>
    <s v="Clallam"/>
    <s v="11Clallam"/>
    <s v="03Strait of Juan de Fuca"/>
    <n v="6.4255319148936199"/>
    <n v="3.2127659574468099"/>
    <n v="27.437021276595754"/>
  </r>
  <r>
    <n v="1443"/>
    <x v="4"/>
    <x v="3"/>
    <x v="4"/>
    <s v="Freshwater"/>
    <x v="0"/>
    <x v="0"/>
    <s v="844"/>
    <s v="Skykomish River"/>
    <s v="Skykomish River"/>
    <s v="Snohomish"/>
    <x v="0"/>
    <s v="King"/>
    <s v="06King"/>
    <s v="02South Puget Sound"/>
    <n v="250.595744680851"/>
    <n v="125.297872340426"/>
    <n v="1070.0438297872379"/>
  </r>
  <r>
    <n v="1444"/>
    <x v="4"/>
    <x v="3"/>
    <x v="4"/>
    <s v="Freshwater"/>
    <x v="0"/>
    <x v="0"/>
    <s v="844"/>
    <s v="Skykomish River"/>
    <s v="Skykomish River"/>
    <s v="Snohomish"/>
    <x v="0"/>
    <s v="Kitsap"/>
    <s v="10Kitsap"/>
    <s v="02South Puget Sound"/>
    <n v="6.4255319148936199"/>
    <n v="3.2127659574468099"/>
    <n v="27.437021276595754"/>
  </r>
  <r>
    <n v="1445"/>
    <x v="4"/>
    <x v="3"/>
    <x v="4"/>
    <s v="Freshwater"/>
    <x v="0"/>
    <x v="0"/>
    <s v="844"/>
    <s v="Skykomish River"/>
    <s v="Skykomish River"/>
    <s v="Snohomish"/>
    <x v="0"/>
    <s v="Other"/>
    <s v="20Other"/>
    <s v="07Non Puget Sound"/>
    <n v="12.851063829787201"/>
    <n v="6.4255319148936199"/>
    <n v="54.874042553191508"/>
  </r>
  <r>
    <n v="1446"/>
    <x v="4"/>
    <x v="3"/>
    <x v="4"/>
    <s v="Freshwater"/>
    <x v="0"/>
    <x v="0"/>
    <s v="844"/>
    <s v="Skykomish River"/>
    <s v="Skykomish River"/>
    <s v="Snohomish"/>
    <x v="0"/>
    <s v="Pierce"/>
    <s v="07Pierce"/>
    <s v="02South Puget Sound"/>
    <n v="19.2765957446809"/>
    <n v="9.6382978723404307"/>
    <n v="82.311063829787273"/>
  </r>
  <r>
    <n v="1447"/>
    <x v="4"/>
    <x v="3"/>
    <x v="4"/>
    <s v="Freshwater"/>
    <x v="0"/>
    <x v="0"/>
    <s v="844"/>
    <s v="Skykomish River"/>
    <s v="Skykomish River"/>
    <s v="Snohomish"/>
    <x v="0"/>
    <s v="Snohomish"/>
    <s v="03Snohomish"/>
    <s v="01North Puget Sound"/>
    <n v="308.42553191489401"/>
    <n v="154.212765957447"/>
    <n v="1316.9770212765973"/>
  </r>
  <r>
    <n v="1476"/>
    <x v="4"/>
    <x v="3"/>
    <x v="4"/>
    <s v="Freshwater"/>
    <x v="0"/>
    <x v="0"/>
    <s v="846"/>
    <s v="Skykomish River, No. Fork"/>
    <s v="Skykomish River, No. Fork"/>
    <s v="Snohomish"/>
    <x v="0"/>
    <s v="King"/>
    <s v="06King"/>
    <s v="02South Puget Sound"/>
    <n v="6.6666666666666696"/>
    <n v="3.3333333333333299"/>
    <n v="28.466666666666633"/>
  </r>
  <r>
    <n v="1477"/>
    <x v="4"/>
    <x v="3"/>
    <x v="4"/>
    <s v="Freshwater"/>
    <x v="0"/>
    <x v="0"/>
    <s v="846"/>
    <s v="Skykomish River, No. Fork"/>
    <s v="Skykomish River, No. Fork"/>
    <s v="Snohomish"/>
    <x v="0"/>
    <s v="Snohomish"/>
    <s v="03Snohomish"/>
    <s v="01North Puget Sound"/>
    <n v="13.3333333333333"/>
    <n v="6.6666666666666696"/>
    <n v="56.933333333333351"/>
  </r>
  <r>
    <n v="1490"/>
    <x v="4"/>
    <x v="3"/>
    <x v="4"/>
    <s v="Freshwater"/>
    <x v="0"/>
    <x v="0"/>
    <s v="848"/>
    <s v="Skykomish River, So. Fork"/>
    <s v="Skykomish River, So. Fork"/>
    <s v="Snohomish/King"/>
    <x v="0"/>
    <s v="King"/>
    <s v="06King"/>
    <s v="02South Puget Sound"/>
    <n v="6.6666666666666696"/>
    <n v="3.3333333333333299"/>
    <n v="28.466666666666633"/>
  </r>
  <r>
    <n v="1491"/>
    <x v="4"/>
    <x v="3"/>
    <x v="4"/>
    <s v="Freshwater"/>
    <x v="0"/>
    <x v="0"/>
    <s v="848"/>
    <s v="Skykomish River, So. Fork"/>
    <s v="Skykomish River, So. Fork"/>
    <s v="Snohomish/King"/>
    <x v="0"/>
    <s v="Snohomish"/>
    <s v="03Snohomish"/>
    <s v="01North Puget Sound"/>
    <n v="13.3333333333333"/>
    <n v="6.6666666666666696"/>
    <n v="56.933333333333351"/>
  </r>
  <r>
    <n v="1499"/>
    <x v="4"/>
    <x v="3"/>
    <x v="4"/>
    <s v="Freshwater"/>
    <x v="0"/>
    <x v="0"/>
    <s v="850"/>
    <s v="Snohomish River"/>
    <s v="Snohomish River"/>
    <s v="Snohomish"/>
    <x v="0"/>
    <s v="Snohomish"/>
    <s v="03Snohomish"/>
    <s v="01North Puget Sound"/>
    <n v="12"/>
    <n v="6"/>
    <n v="51.239999999999995"/>
  </r>
  <r>
    <n v="1364"/>
    <x v="4"/>
    <x v="3"/>
    <x v="4"/>
    <s v="Freshwater"/>
    <x v="0"/>
    <x v="0"/>
    <s v="748"/>
    <s v="Soos Creek"/>
    <s v="Soos Creek"/>
    <s v="King"/>
    <x v="2"/>
    <s v="Pierce"/>
    <s v="07Pierce"/>
    <s v="02South Puget Sound"/>
    <n v="14"/>
    <n v="7"/>
    <n v="59.779999999999994"/>
  </r>
  <r>
    <n v="1532"/>
    <x v="4"/>
    <x v="3"/>
    <x v="4"/>
    <s v="Freshwater"/>
    <x v="0"/>
    <x v="0"/>
    <s v="860"/>
    <s v="Wallace River"/>
    <s v="Wallace River"/>
    <s v="Snohomish"/>
    <x v="0"/>
    <s v="King"/>
    <s v="06King"/>
    <s v="02South Puget Sound"/>
    <n v="6"/>
    <n v="3"/>
    <n v="25.619999999999997"/>
  </r>
  <r>
    <n v="1533"/>
    <x v="4"/>
    <x v="3"/>
    <x v="4"/>
    <s v="Freshwater"/>
    <x v="0"/>
    <x v="0"/>
    <s v="860"/>
    <s v="Wallace River"/>
    <s v="Wallace River"/>
    <s v="Snohomish"/>
    <x v="0"/>
    <s v="Snohomish"/>
    <s v="03Snohomish"/>
    <s v="01North Puget Sound"/>
    <n v="6"/>
    <n v="3"/>
    <n v="25.619999999999997"/>
  </r>
  <r>
    <n v="1335"/>
    <x v="4"/>
    <x v="4"/>
    <x v="4"/>
    <s v="Freshwater"/>
    <x v="0"/>
    <x v="0"/>
    <s v="708"/>
    <s v="Burley Creek (Kitsap Co.)"/>
    <s v="Burley Creek (Kitsap Co.)"/>
    <s v="Kitsap"/>
    <x v="2"/>
    <s v="Other"/>
    <s v="20Other"/>
    <s v="07Non Puget Sound"/>
    <n v="8"/>
    <n v="4"/>
    <n v="34.159999999999997"/>
  </r>
  <r>
    <n v="1353"/>
    <x v="4"/>
    <x v="4"/>
    <x v="4"/>
    <s v="Freshwater"/>
    <x v="0"/>
    <x v="0"/>
    <s v="746"/>
    <s v="Green (Duwamish River) (King Co.)"/>
    <s v="Green - Duwamish River"/>
    <s v="King"/>
    <x v="2"/>
    <s v="Pierce"/>
    <s v="07Pierce"/>
    <s v="02South Puget Sound"/>
    <n v="38"/>
    <n v="19"/>
    <n v="162.26"/>
  </r>
  <r>
    <n v="1448"/>
    <x v="4"/>
    <x v="4"/>
    <x v="4"/>
    <s v="Freshwater"/>
    <x v="0"/>
    <x v="0"/>
    <s v="844"/>
    <s v="Skykomish River"/>
    <s v="Skykomish River"/>
    <s v="Snohomish"/>
    <x v="0"/>
    <s v="Clallam"/>
    <s v="11Clallam"/>
    <s v="03Strait of Juan de Fuca"/>
    <n v="12.8888888888889"/>
    <n v="6.44444444444445"/>
    <n v="55.035555555555597"/>
  </r>
  <r>
    <n v="1449"/>
    <x v="4"/>
    <x v="4"/>
    <x v="4"/>
    <s v="Freshwater"/>
    <x v="0"/>
    <x v="0"/>
    <s v="844"/>
    <s v="Skykomish River"/>
    <s v="Skykomish River"/>
    <s v="Snohomish"/>
    <x v="0"/>
    <s v="King"/>
    <s v="06King"/>
    <s v="02South Puget Sound"/>
    <n v="64.4444444444445"/>
    <n v="32.2222222222222"/>
    <n v="275.17777777777758"/>
  </r>
  <r>
    <n v="1450"/>
    <x v="4"/>
    <x v="4"/>
    <x v="4"/>
    <s v="Freshwater"/>
    <x v="0"/>
    <x v="0"/>
    <s v="844"/>
    <s v="Skykomish River"/>
    <s v="Skykomish River"/>
    <s v="Snohomish"/>
    <x v="0"/>
    <s v="Other"/>
    <s v="20Other"/>
    <s v="07Non Puget Sound"/>
    <n v="19.3333333333333"/>
    <n v="9.6666666666666696"/>
    <n v="82.553333333333356"/>
  </r>
  <r>
    <n v="1451"/>
    <x v="4"/>
    <x v="4"/>
    <x v="4"/>
    <s v="Freshwater"/>
    <x v="0"/>
    <x v="0"/>
    <s v="844"/>
    <s v="Skykomish River"/>
    <s v="Skykomish River"/>
    <s v="Snohomish"/>
    <x v="0"/>
    <s v="Snohomish"/>
    <s v="03Snohomish"/>
    <s v="01North Puget Sound"/>
    <n v="77.3333333333333"/>
    <n v="38.6666666666667"/>
    <n v="330.21333333333359"/>
  </r>
  <r>
    <n v="1478"/>
    <x v="4"/>
    <x v="4"/>
    <x v="4"/>
    <s v="Freshwater"/>
    <x v="0"/>
    <x v="0"/>
    <s v="846"/>
    <s v="Skykomish River, No. Fork"/>
    <s v="Skykomish River, No. Fork"/>
    <s v="Snohomish"/>
    <x v="0"/>
    <s v="King"/>
    <s v="06King"/>
    <s v="02South Puget Sound"/>
    <n v="32"/>
    <n v="16"/>
    <n v="136.63999999999999"/>
  </r>
  <r>
    <n v="1479"/>
    <x v="4"/>
    <x v="4"/>
    <x v="4"/>
    <s v="Freshwater"/>
    <x v="0"/>
    <x v="0"/>
    <s v="846"/>
    <s v="Skykomish River, No. Fork"/>
    <s v="Skykomish River, No. Fork"/>
    <s v="Snohomish"/>
    <x v="0"/>
    <s v="Other"/>
    <s v="20Other"/>
    <s v="07Non Puget Sound"/>
    <n v="12.8"/>
    <n v="6.4"/>
    <n v="54.655999999999999"/>
  </r>
  <r>
    <n v="1480"/>
    <x v="4"/>
    <x v="4"/>
    <x v="4"/>
    <s v="Freshwater"/>
    <x v="0"/>
    <x v="0"/>
    <s v="846"/>
    <s v="Skykomish River, No. Fork"/>
    <s v="Skykomish River, No. Fork"/>
    <s v="Snohomish"/>
    <x v="0"/>
    <s v="Snohomish"/>
    <s v="03Snohomish"/>
    <s v="01North Puget Sound"/>
    <n v="19.2"/>
    <n v="9.6"/>
    <n v="81.983999999999995"/>
  </r>
  <r>
    <n v="1492"/>
    <x v="4"/>
    <x v="4"/>
    <x v="4"/>
    <s v="Freshwater"/>
    <x v="0"/>
    <x v="0"/>
    <s v="848"/>
    <s v="Skykomish River, So. Fork"/>
    <s v="Skykomish River, So. Fork"/>
    <s v="Snohomish/King"/>
    <x v="0"/>
    <s v="King"/>
    <s v="06King"/>
    <s v="02South Puget Sound"/>
    <n v="6.5"/>
    <n v="3.25"/>
    <n v="27.754999999999995"/>
  </r>
  <r>
    <n v="1493"/>
    <x v="4"/>
    <x v="4"/>
    <x v="4"/>
    <s v="Freshwater"/>
    <x v="0"/>
    <x v="0"/>
    <s v="848"/>
    <s v="Skykomish River, So. Fork"/>
    <s v="Skykomish River, So. Fork"/>
    <s v="Snohomish/King"/>
    <x v="0"/>
    <s v="Mason"/>
    <s v="09Mason"/>
    <s v="02South Puget Sound"/>
    <n v="6.5"/>
    <n v="3.25"/>
    <n v="27.754999999999995"/>
  </r>
  <r>
    <n v="1494"/>
    <x v="4"/>
    <x v="4"/>
    <x v="4"/>
    <s v="Freshwater"/>
    <x v="0"/>
    <x v="0"/>
    <s v="848"/>
    <s v="Skykomish River, So. Fork"/>
    <s v="Skykomish River, So. Fork"/>
    <s v="Snohomish/King"/>
    <x v="0"/>
    <s v="Snohomish"/>
    <s v="03Snohomish"/>
    <s v="01North Puget Sound"/>
    <n v="13"/>
    <n v="6.5"/>
    <n v="55.509999999999991"/>
  </r>
  <r>
    <n v="1500"/>
    <x v="4"/>
    <x v="4"/>
    <x v="4"/>
    <s v="Freshwater"/>
    <x v="0"/>
    <x v="0"/>
    <s v="850"/>
    <s v="Snohomish River"/>
    <s v="Snohomish River"/>
    <s v="Snohomish"/>
    <x v="0"/>
    <s v="Other"/>
    <s v="20Other"/>
    <s v="07Non Puget Sound"/>
    <n v="6"/>
    <n v="3"/>
    <n v="25.619999999999997"/>
  </r>
  <r>
    <n v="1501"/>
    <x v="4"/>
    <x v="4"/>
    <x v="4"/>
    <s v="Freshwater"/>
    <x v="0"/>
    <x v="0"/>
    <s v="850"/>
    <s v="Snohomish River"/>
    <s v="Snohomish River"/>
    <s v="Snohomish"/>
    <x v="0"/>
    <s v="Snohomish"/>
    <s v="03Snohomish"/>
    <s v="01North Puget Sound"/>
    <n v="6"/>
    <n v="3"/>
    <n v="25.619999999999997"/>
  </r>
  <r>
    <n v="1507"/>
    <x v="4"/>
    <x v="4"/>
    <x v="4"/>
    <s v="Freshwater"/>
    <x v="0"/>
    <x v="0"/>
    <s v="852"/>
    <s v="Snoqualmie River"/>
    <s v="Snoqualmie River"/>
    <s v="Snohomish/King"/>
    <x v="0"/>
    <s v="King"/>
    <s v="06King"/>
    <s v="02South Puget Sound"/>
    <n v="6"/>
    <n v="3"/>
    <n v="25.619999999999997"/>
  </r>
  <r>
    <n v="1365"/>
    <x v="4"/>
    <x v="4"/>
    <x v="4"/>
    <s v="Freshwater"/>
    <x v="0"/>
    <x v="0"/>
    <s v="748"/>
    <s v="Soos Creek"/>
    <s v="Soos Creek"/>
    <s v="King"/>
    <x v="2"/>
    <s v="Pierce"/>
    <s v="07Pierce"/>
    <s v="02South Puget Sound"/>
    <n v="4"/>
    <n v="2"/>
    <n v="17.079999999999998"/>
  </r>
  <r>
    <n v="1550"/>
    <x v="4"/>
    <x v="4"/>
    <x v="4"/>
    <s v="Freshwater"/>
    <x v="0"/>
    <x v="0"/>
    <s v="872"/>
    <s v="Stillaguamish R, No. Fork"/>
    <s v="Stillaguamish R, No. Fork"/>
    <s v="Snohomish"/>
    <x v="0"/>
    <s v="Skagit"/>
    <s v="02Skagit"/>
    <s v="01North Puget Sound"/>
    <n v="8"/>
    <n v="4"/>
    <n v="34.159999999999997"/>
  </r>
  <r>
    <n v="1572"/>
    <x v="4"/>
    <x v="5"/>
    <x v="4"/>
    <s v="Freshwater"/>
    <x v="0"/>
    <x v="0"/>
    <s v="9"/>
    <s v="Area 9: Admiralty Inlet"/>
    <s v="Area 9: Admiralty Inlet"/>
    <s v="NA"/>
    <x v="0"/>
    <s v="Island"/>
    <s v="04Island"/>
    <s v="01North Puget Sound"/>
    <n v="3"/>
    <n v="1.5"/>
    <n v="12.809999999999999"/>
  </r>
  <r>
    <n v="1573"/>
    <x v="4"/>
    <x v="5"/>
    <x v="4"/>
    <s v="Freshwater"/>
    <x v="0"/>
    <x v="0"/>
    <s v="9"/>
    <s v="Area 9: Admiralty Inlet"/>
    <s v="Area 9: Admiralty Inlet"/>
    <s v="NA"/>
    <x v="0"/>
    <s v="King"/>
    <s v="06King"/>
    <s v="02South Puget Sound"/>
    <n v="3"/>
    <n v="1.5"/>
    <n v="12.809999999999999"/>
  </r>
  <r>
    <n v="1334"/>
    <x v="4"/>
    <x v="5"/>
    <x v="4"/>
    <s v="Freshwater"/>
    <x v="0"/>
    <x v="0"/>
    <s v="706"/>
    <s v="Black River (Thurston Co.)"/>
    <s v="Black River (Thurston Co)"/>
    <s v="Thurston"/>
    <x v="2"/>
    <s v="Other"/>
    <s v="20Other"/>
    <s v="07Non Puget Sound"/>
    <n v="8"/>
    <n v="4"/>
    <n v="34.159999999999997"/>
  </r>
  <r>
    <n v="1401"/>
    <x v="4"/>
    <x v="5"/>
    <x v="4"/>
    <s v="Freshwater"/>
    <x v="0"/>
    <x v="0"/>
    <s v="826"/>
    <s v="Cascade River"/>
    <s v="Cascade River"/>
    <s v="Skagit"/>
    <x v="1"/>
    <s v="Whatcom"/>
    <s v="01Whatcom"/>
    <s v="01North Puget Sound"/>
    <n v="6"/>
    <n v="3"/>
    <n v="25.619999999999997"/>
  </r>
  <r>
    <n v="1354"/>
    <x v="4"/>
    <x v="5"/>
    <x v="4"/>
    <s v="Freshwater"/>
    <x v="0"/>
    <x v="0"/>
    <s v="746"/>
    <s v="Green (Duwamish River) (King Co.)"/>
    <s v="Green - Duwamish River"/>
    <s v="King"/>
    <x v="2"/>
    <s v="King"/>
    <s v="06King"/>
    <s v="02South Puget Sound"/>
    <n v="11.1428571428571"/>
    <n v="5.5714285714285703"/>
    <n v="47.579999999999984"/>
  </r>
  <r>
    <n v="1355"/>
    <x v="4"/>
    <x v="5"/>
    <x v="4"/>
    <s v="Freshwater"/>
    <x v="0"/>
    <x v="0"/>
    <s v="746"/>
    <s v="Green (Duwamish River) (King Co.)"/>
    <s v="Green - Duwamish River"/>
    <s v="King"/>
    <x v="2"/>
    <s v="Pierce"/>
    <s v="07Pierce"/>
    <s v="02South Puget Sound"/>
    <n v="11.1428571428571"/>
    <n v="5.5714285714285703"/>
    <n v="47.579999999999984"/>
  </r>
  <r>
    <n v="1356"/>
    <x v="4"/>
    <x v="5"/>
    <x v="4"/>
    <s v="Freshwater"/>
    <x v="0"/>
    <x v="0"/>
    <s v="746"/>
    <s v="Green (Duwamish River) (King Co.)"/>
    <s v="Green - Duwamish River"/>
    <s v="King"/>
    <x v="2"/>
    <s v="Snohomish"/>
    <s v="03Snohomish"/>
    <s v="01North Puget Sound"/>
    <n v="3.71428571428571"/>
    <n v="1.8571428571428601"/>
    <n v="15.860000000000024"/>
  </r>
  <r>
    <n v="1418"/>
    <x v="4"/>
    <x v="5"/>
    <x v="4"/>
    <s v="Freshwater"/>
    <x v="0"/>
    <x v="0"/>
    <s v="830"/>
    <s v="Skagit River"/>
    <s v="Skagit River"/>
    <s v="Skagit/Whatcom"/>
    <x v="0"/>
    <s v="King"/>
    <s v="06King"/>
    <s v="02South Puget Sound"/>
    <n v="2"/>
    <n v="1"/>
    <n v="8.5399999999999991"/>
  </r>
  <r>
    <n v="1419"/>
    <x v="4"/>
    <x v="5"/>
    <x v="4"/>
    <s v="Freshwater"/>
    <x v="0"/>
    <x v="0"/>
    <s v="830"/>
    <s v="Skagit River"/>
    <s v="Skagit River"/>
    <s v="Skagit/Whatcom"/>
    <x v="0"/>
    <s v="Mason"/>
    <s v="09Mason"/>
    <s v="02South Puget Sound"/>
    <n v="4"/>
    <n v="2"/>
    <n v="17.079999999999998"/>
  </r>
  <r>
    <n v="1420"/>
    <x v="4"/>
    <x v="5"/>
    <x v="4"/>
    <s v="Freshwater"/>
    <x v="0"/>
    <x v="0"/>
    <s v="830"/>
    <s v="Skagit River"/>
    <s v="Skagit River"/>
    <s v="Skagit/Whatcom"/>
    <x v="0"/>
    <s v="Whatcom"/>
    <s v="01Whatcom"/>
    <s v="01North Puget Sound"/>
    <n v="2"/>
    <n v="1"/>
    <n v="8.5399999999999991"/>
  </r>
  <r>
    <n v="1452"/>
    <x v="4"/>
    <x v="5"/>
    <x v="4"/>
    <s v="Freshwater"/>
    <x v="0"/>
    <x v="0"/>
    <s v="844"/>
    <s v="Skykomish River"/>
    <s v="Skykomish River"/>
    <s v="Snohomish"/>
    <x v="0"/>
    <s v="King"/>
    <s v="06King"/>
    <s v="02South Puget Sound"/>
    <n v="57.75"/>
    <n v="28.875"/>
    <n v="246.59249999999997"/>
  </r>
  <r>
    <n v="1453"/>
    <x v="4"/>
    <x v="5"/>
    <x v="4"/>
    <s v="Freshwater"/>
    <x v="0"/>
    <x v="0"/>
    <s v="844"/>
    <s v="Skykomish River"/>
    <s v="Skykomish River"/>
    <s v="Snohomish"/>
    <x v="0"/>
    <s v="Pierce"/>
    <s v="07Pierce"/>
    <s v="02South Puget Sound"/>
    <n v="19.25"/>
    <n v="9.625"/>
    <n v="82.197499999999991"/>
  </r>
  <r>
    <n v="1454"/>
    <x v="4"/>
    <x v="5"/>
    <x v="4"/>
    <s v="Freshwater"/>
    <x v="0"/>
    <x v="0"/>
    <s v="844"/>
    <s v="Skykomish River"/>
    <s v="Skykomish River"/>
    <s v="Snohomish"/>
    <x v="0"/>
    <s v="Snohomish"/>
    <s v="03Snohomish"/>
    <s v="01North Puget Sound"/>
    <n v="77"/>
    <n v="38.5"/>
    <n v="328.78999999999996"/>
  </r>
  <r>
    <n v="1481"/>
    <x v="4"/>
    <x v="5"/>
    <x v="4"/>
    <s v="Freshwater"/>
    <x v="0"/>
    <x v="0"/>
    <s v="846"/>
    <s v="Skykomish River, No. Fork"/>
    <s v="Skykomish River, No. Fork"/>
    <s v="Snohomish"/>
    <x v="0"/>
    <s v="King"/>
    <s v="06King"/>
    <s v="02South Puget Sound"/>
    <n v="13"/>
    <n v="6.5"/>
    <n v="55.509999999999991"/>
  </r>
  <r>
    <n v="1482"/>
    <x v="4"/>
    <x v="5"/>
    <x v="4"/>
    <s v="Freshwater"/>
    <x v="0"/>
    <x v="0"/>
    <s v="846"/>
    <s v="Skykomish River, No. Fork"/>
    <s v="Skykomish River, No. Fork"/>
    <s v="Snohomish"/>
    <x v="0"/>
    <s v="Snohomish"/>
    <s v="03Snohomish"/>
    <s v="01North Puget Sound"/>
    <n v="13"/>
    <n v="6.5"/>
    <n v="55.509999999999991"/>
  </r>
  <r>
    <n v="1508"/>
    <x v="4"/>
    <x v="5"/>
    <x v="4"/>
    <s v="Freshwater"/>
    <x v="0"/>
    <x v="0"/>
    <s v="852"/>
    <s v="Snoqualmie River"/>
    <s v="Snoqualmie River"/>
    <s v="Snohomish/King"/>
    <x v="0"/>
    <s v="Snohomish"/>
    <s v="03Snohomish"/>
    <s v="01North Puget Sound"/>
    <n v="6"/>
    <n v="3"/>
    <n v="25.619999999999997"/>
  </r>
  <r>
    <n v="1534"/>
    <x v="4"/>
    <x v="5"/>
    <x v="4"/>
    <s v="Freshwater"/>
    <x v="0"/>
    <x v="0"/>
    <s v="860"/>
    <s v="Wallace River"/>
    <s v="Wallace River"/>
    <s v="Snohomish"/>
    <x v="0"/>
    <s v="King"/>
    <s v="06King"/>
    <s v="02South Puget Sound"/>
    <n v="6"/>
    <n v="3"/>
    <n v="25.619999999999997"/>
  </r>
  <r>
    <n v="1535"/>
    <x v="4"/>
    <x v="5"/>
    <x v="4"/>
    <s v="Freshwater"/>
    <x v="0"/>
    <x v="0"/>
    <s v="860"/>
    <s v="Wallace River"/>
    <s v="Wallace River"/>
    <s v="Snohomish"/>
    <x v="0"/>
    <s v="Snohomish"/>
    <s v="03Snohomish"/>
    <s v="01North Puget Sound"/>
    <n v="6"/>
    <n v="3"/>
    <n v="25.619999999999997"/>
  </r>
  <r>
    <n v="1336"/>
    <x v="4"/>
    <x v="6"/>
    <x v="4"/>
    <s v="Freshwater"/>
    <x v="0"/>
    <x v="0"/>
    <s v="708"/>
    <s v="Burley Creek (Kitsap Co.)"/>
    <s v="Burley Creek (Kitsap Co.)"/>
    <s v="Kitsap"/>
    <x v="2"/>
    <s v="Other"/>
    <s v="20Other"/>
    <s v="07Non Puget Sound"/>
    <n v="16"/>
    <n v="8"/>
    <n v="68.319999999999993"/>
  </r>
  <r>
    <n v="1402"/>
    <x v="4"/>
    <x v="6"/>
    <x v="4"/>
    <s v="Freshwater"/>
    <x v="0"/>
    <x v="0"/>
    <s v="826"/>
    <s v="Cascade River"/>
    <s v="Cascade River"/>
    <s v="Skagit"/>
    <x v="1"/>
    <s v="Snohomish"/>
    <s v="03Snohomish"/>
    <s v="01North Puget Sound"/>
    <n v="6"/>
    <n v="3"/>
    <n v="25.619999999999997"/>
  </r>
  <r>
    <n v="1417"/>
    <x v="4"/>
    <x v="6"/>
    <x v="4"/>
    <s v="Freshwater"/>
    <x v="0"/>
    <x v="0"/>
    <s v="828"/>
    <s v="Sauk River"/>
    <s v="Sauk River"/>
    <s v="Skagit/Snohomish"/>
    <x v="0"/>
    <s v="King"/>
    <s v="06King"/>
    <s v="02South Puget Sound"/>
    <n v="4"/>
    <n v="2"/>
    <n v="17.079999999999998"/>
  </r>
  <r>
    <n v="1421"/>
    <x v="4"/>
    <x v="6"/>
    <x v="4"/>
    <s v="Freshwater"/>
    <x v="0"/>
    <x v="0"/>
    <s v="830"/>
    <s v="Skagit River"/>
    <s v="Skagit River"/>
    <s v="Skagit/Whatcom"/>
    <x v="0"/>
    <s v="Skagit"/>
    <s v="02Skagit"/>
    <s v="01North Puget Sound"/>
    <n v="2"/>
    <n v="1"/>
    <n v="8.5399999999999991"/>
  </r>
  <r>
    <n v="1455"/>
    <x v="4"/>
    <x v="6"/>
    <x v="4"/>
    <s v="Freshwater"/>
    <x v="0"/>
    <x v="0"/>
    <s v="844"/>
    <s v="Skykomish River"/>
    <s v="Skykomish River"/>
    <s v="Snohomish"/>
    <x v="0"/>
    <s v="King"/>
    <s v="06King"/>
    <s v="02South Puget Sound"/>
    <n v="19.411764705882401"/>
    <n v="9.7058823529411793"/>
    <n v="82.888235294117663"/>
  </r>
  <r>
    <n v="1456"/>
    <x v="4"/>
    <x v="6"/>
    <x v="4"/>
    <s v="Freshwater"/>
    <x v="0"/>
    <x v="0"/>
    <s v="844"/>
    <s v="Skykomish River"/>
    <s v="Skykomish River"/>
    <s v="Snohomish"/>
    <x v="0"/>
    <s v="Snohomish"/>
    <s v="03Snohomish"/>
    <s v="01North Puget Sound"/>
    <n v="90.588235294117695"/>
    <n v="45.294117647058798"/>
    <n v="386.81176470588207"/>
  </r>
  <r>
    <n v="1483"/>
    <x v="4"/>
    <x v="6"/>
    <x v="4"/>
    <s v="Freshwater"/>
    <x v="0"/>
    <x v="0"/>
    <s v="846"/>
    <s v="Skykomish River, No. Fork"/>
    <s v="Skykomish River, No. Fork"/>
    <s v="Snohomish"/>
    <x v="0"/>
    <s v="Snohomish"/>
    <s v="03Snohomish"/>
    <s v="01North Puget Sound"/>
    <n v="32"/>
    <n v="16"/>
    <n v="136.63999999999999"/>
  </r>
  <r>
    <n v="1509"/>
    <x v="4"/>
    <x v="6"/>
    <x v="4"/>
    <s v="Freshwater"/>
    <x v="0"/>
    <x v="0"/>
    <s v="852"/>
    <s v="Snoqualmie River"/>
    <s v="Snoqualmie River"/>
    <s v="Snohomish/King"/>
    <x v="0"/>
    <s v="Other"/>
    <s v="20Other"/>
    <s v="07Non Puget Sound"/>
    <n v="6"/>
    <n v="3"/>
    <n v="25.619999999999997"/>
  </r>
  <r>
    <n v="1551"/>
    <x v="4"/>
    <x v="6"/>
    <x v="4"/>
    <s v="Freshwater"/>
    <x v="0"/>
    <x v="0"/>
    <s v="872"/>
    <s v="Stillaguamish R, No. Fork"/>
    <s v="Stillaguamish R, No. Fork"/>
    <s v="Snohomish"/>
    <x v="0"/>
    <s v="King"/>
    <s v="06King"/>
    <s v="02South Puget Sound"/>
    <n v="8"/>
    <n v="4"/>
    <n v="34.159999999999997"/>
  </r>
  <r>
    <n v="1552"/>
    <x v="4"/>
    <x v="6"/>
    <x v="4"/>
    <s v="Freshwater"/>
    <x v="0"/>
    <x v="0"/>
    <s v="872"/>
    <s v="Stillaguamish R, No. Fork"/>
    <s v="Stillaguamish R, No. Fork"/>
    <s v="Snohomish"/>
    <x v="0"/>
    <s v="Snohomish"/>
    <s v="03Snohomish"/>
    <s v="01North Puget Sound"/>
    <n v="16"/>
    <n v="8"/>
    <n v="68.319999999999993"/>
  </r>
  <r>
    <n v="1536"/>
    <x v="4"/>
    <x v="6"/>
    <x v="4"/>
    <s v="Freshwater"/>
    <x v="0"/>
    <x v="0"/>
    <s v="860"/>
    <s v="Wallace River"/>
    <s v="Wallace River"/>
    <s v="Snohomish"/>
    <x v="0"/>
    <s v="King"/>
    <s v="06King"/>
    <s v="02South Puget Sound"/>
    <n v="6.5"/>
    <n v="3.25"/>
    <n v="27.754999999999995"/>
  </r>
  <r>
    <n v="1537"/>
    <x v="4"/>
    <x v="6"/>
    <x v="4"/>
    <s v="Freshwater"/>
    <x v="0"/>
    <x v="0"/>
    <s v="860"/>
    <s v="Wallace River"/>
    <s v="Wallace River"/>
    <s v="Snohomish"/>
    <x v="0"/>
    <s v="Snohomish"/>
    <s v="03Snohomish"/>
    <s v="01North Puget Sound"/>
    <n v="19.5"/>
    <n v="9.75"/>
    <n v="83.264999999999986"/>
  </r>
  <r>
    <n v="1403"/>
    <x v="4"/>
    <x v="7"/>
    <x v="4"/>
    <s v="Freshwater"/>
    <x v="0"/>
    <x v="0"/>
    <s v="826"/>
    <s v="Cascade River"/>
    <s v="Cascade River"/>
    <s v="Skagit"/>
    <x v="1"/>
    <s v="Skagit"/>
    <s v="02Skagit"/>
    <s v="01North Puget Sound"/>
    <n v="6.8"/>
    <n v="3.4"/>
    <n v="29.035999999999998"/>
  </r>
  <r>
    <n v="1404"/>
    <x v="4"/>
    <x v="7"/>
    <x v="4"/>
    <s v="Freshwater"/>
    <x v="0"/>
    <x v="0"/>
    <s v="826"/>
    <s v="Cascade River"/>
    <s v="Cascade River"/>
    <s v="Skagit"/>
    <x v="1"/>
    <s v="Snohomish"/>
    <s v="03Snohomish"/>
    <s v="01North Puget Sound"/>
    <n v="6.8"/>
    <n v="3.4"/>
    <n v="29.035999999999998"/>
  </r>
  <r>
    <n v="1405"/>
    <x v="4"/>
    <x v="7"/>
    <x v="4"/>
    <s v="Freshwater"/>
    <x v="0"/>
    <x v="0"/>
    <s v="826"/>
    <s v="Cascade River"/>
    <s v="Cascade River"/>
    <s v="Skagit"/>
    <x v="1"/>
    <s v="Whatcom"/>
    <s v="01Whatcom"/>
    <s v="01North Puget Sound"/>
    <n v="20.399999999999999"/>
    <n v="10.199999999999999"/>
    <n v="87.10799999999999"/>
  </r>
  <r>
    <n v="1341"/>
    <x v="4"/>
    <x v="7"/>
    <x v="4"/>
    <s v="Freshwater"/>
    <x v="0"/>
    <x v="0"/>
    <s v="738"/>
    <s v="Dungeness River"/>
    <s v="Dungeness River"/>
    <s v="Clallam"/>
    <x v="3"/>
    <s v="Clallam"/>
    <s v="11Clallam"/>
    <s v="03Strait of Juan de Fuca"/>
    <n v="12"/>
    <n v="6"/>
    <n v="51.239999999999995"/>
  </r>
  <r>
    <n v="1357"/>
    <x v="4"/>
    <x v="7"/>
    <x v="4"/>
    <s v="Freshwater"/>
    <x v="0"/>
    <x v="0"/>
    <s v="746"/>
    <s v="Green (Duwamish River) (King Co.)"/>
    <s v="Green - Duwamish River"/>
    <s v="King"/>
    <x v="2"/>
    <s v="King"/>
    <s v="06King"/>
    <s v="02South Puget Sound"/>
    <n v="80"/>
    <n v="40"/>
    <n v="341.59999999999997"/>
  </r>
  <r>
    <n v="1366"/>
    <x v="4"/>
    <x v="7"/>
    <x v="4"/>
    <s v="Freshwater"/>
    <x v="0"/>
    <x v="0"/>
    <s v="752"/>
    <s v="Hoko River"/>
    <s v="Hoko River"/>
    <s v="Clallam"/>
    <x v="3"/>
    <s v="Clallam"/>
    <s v="11Clallam"/>
    <s v="03Strait of Juan de Fuca"/>
    <n v="22"/>
    <n v="11"/>
    <n v="93.94"/>
  </r>
  <r>
    <n v="1388"/>
    <x v="4"/>
    <x v="7"/>
    <x v="4"/>
    <s v="Freshwater"/>
    <x v="0"/>
    <x v="0"/>
    <s v="794"/>
    <s v="Nooksack River, below North Fork"/>
    <s v="Nooksack River, below North Fork"/>
    <s v="Whatcom"/>
    <x v="1"/>
    <s v="Whatcom"/>
    <s v="01Whatcom"/>
    <s v="01North Puget Sound"/>
    <n v="6"/>
    <n v="3"/>
    <n v="25.619999999999997"/>
  </r>
  <r>
    <n v="1383"/>
    <x v="4"/>
    <x v="7"/>
    <x v="4"/>
    <s v="Freshwater"/>
    <x v="0"/>
    <x v="0"/>
    <s v="790"/>
    <s v="Nooksack River, No. Fork"/>
    <s v="Nooksack River, No. Fork"/>
    <s v="Whatcom"/>
    <x v="1"/>
    <s v="Whatcom"/>
    <s v="01Whatcom"/>
    <s v="01North Puget Sound"/>
    <n v="6"/>
    <n v="3"/>
    <n v="25.619999999999997"/>
  </r>
  <r>
    <n v="1422"/>
    <x v="4"/>
    <x v="7"/>
    <x v="4"/>
    <s v="Freshwater"/>
    <x v="0"/>
    <x v="0"/>
    <s v="830"/>
    <s v="Skagit River"/>
    <s v="Skagit River"/>
    <s v="Skagit/Whatcom"/>
    <x v="0"/>
    <s v="Whatcom"/>
    <s v="01Whatcom"/>
    <s v="01North Puget Sound"/>
    <n v="6"/>
    <n v="3"/>
    <n v="25.619999999999997"/>
  </r>
  <r>
    <n v="1457"/>
    <x v="4"/>
    <x v="7"/>
    <x v="4"/>
    <s v="Freshwater"/>
    <x v="0"/>
    <x v="0"/>
    <s v="844"/>
    <s v="Skykomish River"/>
    <s v="Skykomish River"/>
    <s v="Snohomish"/>
    <x v="0"/>
    <s v="King"/>
    <s v="06King"/>
    <s v="02South Puget Sound"/>
    <n v="19.5"/>
    <n v="9.75"/>
    <n v="83.264999999999986"/>
  </r>
  <r>
    <n v="1458"/>
    <x v="4"/>
    <x v="7"/>
    <x v="4"/>
    <s v="Freshwater"/>
    <x v="0"/>
    <x v="0"/>
    <s v="844"/>
    <s v="Skykomish River"/>
    <s v="Skykomish River"/>
    <s v="Snohomish"/>
    <x v="0"/>
    <s v="Snohomish"/>
    <s v="03Snohomish"/>
    <s v="01North Puget Sound"/>
    <n v="58.5"/>
    <n v="29.25"/>
    <n v="249.79499999999999"/>
  </r>
  <r>
    <n v="1484"/>
    <x v="4"/>
    <x v="7"/>
    <x v="4"/>
    <s v="Freshwater"/>
    <x v="0"/>
    <x v="0"/>
    <s v="846"/>
    <s v="Skykomish River, No. Fork"/>
    <s v="Skykomish River, No. Fork"/>
    <s v="Snohomish"/>
    <x v="0"/>
    <s v="Snohomish"/>
    <s v="03Snohomish"/>
    <s v="01North Puget Sound"/>
    <n v="6"/>
    <n v="3"/>
    <n v="25.619999999999997"/>
  </r>
  <r>
    <n v="1502"/>
    <x v="4"/>
    <x v="7"/>
    <x v="4"/>
    <s v="Freshwater"/>
    <x v="0"/>
    <x v="0"/>
    <s v="850"/>
    <s v="Snohomish River"/>
    <s v="Snohomish River"/>
    <s v="Snohomish"/>
    <x v="0"/>
    <s v="Snohomish"/>
    <s v="03Snohomish"/>
    <s v="01North Puget Sound"/>
    <n v="20"/>
    <n v="10"/>
    <n v="85.399999999999991"/>
  </r>
  <r>
    <n v="1510"/>
    <x v="4"/>
    <x v="7"/>
    <x v="4"/>
    <s v="Freshwater"/>
    <x v="0"/>
    <x v="0"/>
    <s v="852"/>
    <s v="Snoqualmie River"/>
    <s v="Snoqualmie River"/>
    <s v="Snohomish/King"/>
    <x v="0"/>
    <s v="King"/>
    <s v="06King"/>
    <s v="02South Puget Sound"/>
    <n v="20"/>
    <n v="10"/>
    <n v="85.399999999999991"/>
  </r>
  <r>
    <n v="1553"/>
    <x v="4"/>
    <x v="7"/>
    <x v="4"/>
    <s v="Freshwater"/>
    <x v="0"/>
    <x v="0"/>
    <s v="872"/>
    <s v="Stillaguamish R, No. Fork"/>
    <s v="Stillaguamish R, No. Fork"/>
    <s v="Snohomish"/>
    <x v="0"/>
    <s v="Skagit"/>
    <s v="02Skagit"/>
    <s v="01North Puget Sound"/>
    <n v="6"/>
    <n v="3"/>
    <n v="25.619999999999997"/>
  </r>
  <r>
    <n v="1554"/>
    <x v="4"/>
    <x v="7"/>
    <x v="4"/>
    <s v="Freshwater"/>
    <x v="0"/>
    <x v="0"/>
    <s v="872"/>
    <s v="Stillaguamish R, No. Fork"/>
    <s v="Stillaguamish R, No. Fork"/>
    <s v="Snohomish"/>
    <x v="0"/>
    <s v="Snohomish"/>
    <s v="03Snohomish"/>
    <s v="01North Puget Sound"/>
    <n v="18"/>
    <n v="9"/>
    <n v="76.859999999999985"/>
  </r>
  <r>
    <n v="1528"/>
    <x v="4"/>
    <x v="7"/>
    <x v="4"/>
    <s v="Freshwater"/>
    <x v="0"/>
    <x v="0"/>
    <s v="858"/>
    <s v="Tolt River"/>
    <s v="Tolt River"/>
    <s v="King"/>
    <x v="0"/>
    <s v="King"/>
    <s v="06King"/>
    <s v="02South Puget Sound"/>
    <n v="6"/>
    <n v="3"/>
    <n v="25.619999999999997"/>
  </r>
  <r>
    <n v="1538"/>
    <x v="4"/>
    <x v="7"/>
    <x v="4"/>
    <s v="Freshwater"/>
    <x v="0"/>
    <x v="0"/>
    <s v="860"/>
    <s v="Wallace River"/>
    <s v="Wallace River"/>
    <s v="Snohomish"/>
    <x v="0"/>
    <s v="Snohomish"/>
    <s v="03Snohomish"/>
    <s v="01North Puget Sound"/>
    <n v="6"/>
    <n v="3"/>
    <n v="25.619999999999997"/>
  </r>
  <r>
    <n v="1574"/>
    <x v="4"/>
    <x v="8"/>
    <x v="4"/>
    <s v="Freshwater"/>
    <x v="0"/>
    <x v="0"/>
    <s v="9"/>
    <s v="Area 9: Admiralty Inlet"/>
    <s v="Area 9: Admiralty Inlet"/>
    <s v="NA"/>
    <x v="0"/>
    <s v="Island"/>
    <s v="04Island"/>
    <s v="01North Puget Sound"/>
    <n v="3"/>
    <n v="1.5"/>
    <n v="12.809999999999999"/>
  </r>
  <r>
    <n v="1575"/>
    <x v="4"/>
    <x v="8"/>
    <x v="4"/>
    <s v="Freshwater"/>
    <x v="0"/>
    <x v="0"/>
    <s v="9"/>
    <s v="Area 9: Admiralty Inlet"/>
    <s v="Area 9: Admiralty Inlet"/>
    <s v="NA"/>
    <x v="0"/>
    <s v="Snohomish"/>
    <s v="03Snohomish"/>
    <s v="01North Puget Sound"/>
    <n v="3"/>
    <n v="1.5"/>
    <n v="12.809999999999999"/>
  </r>
  <r>
    <n v="1406"/>
    <x v="4"/>
    <x v="8"/>
    <x v="4"/>
    <s v="Freshwater"/>
    <x v="0"/>
    <x v="0"/>
    <s v="826"/>
    <s v="Cascade River"/>
    <s v="Cascade River"/>
    <s v="Skagit"/>
    <x v="1"/>
    <s v="Island"/>
    <s v="04Island"/>
    <s v="01North Puget Sound"/>
    <n v="6.64"/>
    <n v="3.32"/>
    <n v="28.352799999999995"/>
  </r>
  <r>
    <n v="1407"/>
    <x v="4"/>
    <x v="8"/>
    <x v="4"/>
    <s v="Freshwater"/>
    <x v="0"/>
    <x v="0"/>
    <s v="826"/>
    <s v="Cascade River"/>
    <s v="Cascade River"/>
    <s v="Skagit"/>
    <x v="1"/>
    <s v="King"/>
    <s v="06King"/>
    <s v="02South Puget Sound"/>
    <n v="19.920000000000002"/>
    <n v="9.9600000000000009"/>
    <n v="85.058399999999992"/>
  </r>
  <r>
    <n v="1408"/>
    <x v="4"/>
    <x v="8"/>
    <x v="4"/>
    <s v="Freshwater"/>
    <x v="0"/>
    <x v="0"/>
    <s v="826"/>
    <s v="Cascade River"/>
    <s v="Cascade River"/>
    <s v="Skagit"/>
    <x v="1"/>
    <s v="San Juan"/>
    <s v="05San Juan"/>
    <s v="01North Puget Sound"/>
    <n v="26.56"/>
    <n v="13.28"/>
    <n v="113.41119999999998"/>
  </r>
  <r>
    <n v="1409"/>
    <x v="4"/>
    <x v="8"/>
    <x v="4"/>
    <s v="Freshwater"/>
    <x v="0"/>
    <x v="0"/>
    <s v="826"/>
    <s v="Cascade River"/>
    <s v="Cascade River"/>
    <s v="Skagit"/>
    <x v="1"/>
    <s v="Skagit"/>
    <s v="02Skagit"/>
    <s v="01North Puget Sound"/>
    <n v="132.80000000000001"/>
    <n v="66.400000000000006"/>
    <n v="567.05600000000004"/>
  </r>
  <r>
    <n v="1410"/>
    <x v="4"/>
    <x v="8"/>
    <x v="4"/>
    <s v="Freshwater"/>
    <x v="0"/>
    <x v="0"/>
    <s v="826"/>
    <s v="Cascade River"/>
    <s v="Cascade River"/>
    <s v="Skagit"/>
    <x v="1"/>
    <s v="Snohomish"/>
    <s v="03Snohomish"/>
    <s v="01North Puget Sound"/>
    <n v="46.48"/>
    <n v="23.24"/>
    <n v="198.46959999999996"/>
  </r>
  <r>
    <n v="1411"/>
    <x v="4"/>
    <x v="8"/>
    <x v="4"/>
    <s v="Freshwater"/>
    <x v="0"/>
    <x v="0"/>
    <s v="826"/>
    <s v="Cascade River"/>
    <s v="Cascade River"/>
    <s v="Skagit"/>
    <x v="1"/>
    <s v="Whatcom"/>
    <s v="01Whatcom"/>
    <s v="01North Puget Sound"/>
    <n v="99.6"/>
    <n v="49.8"/>
    <n v="425.29199999999992"/>
  </r>
  <r>
    <n v="1337"/>
    <x v="4"/>
    <x v="8"/>
    <x v="4"/>
    <s v="Freshwater"/>
    <x v="0"/>
    <x v="0"/>
    <s v="718"/>
    <s v="Clallam River"/>
    <s v="Clallam River"/>
    <s v="Clallam"/>
    <x v="3"/>
    <s v="Clallam"/>
    <s v="11Clallam"/>
    <s v="03Strait of Juan de Fuca"/>
    <n v="12"/>
    <n v="6"/>
    <n v="51.239999999999995"/>
  </r>
  <r>
    <n v="1338"/>
    <x v="4"/>
    <x v="8"/>
    <x v="4"/>
    <s v="Freshwater"/>
    <x v="0"/>
    <x v="0"/>
    <s v="718"/>
    <s v="Clallam River"/>
    <s v="Clallam River"/>
    <s v="Clallam"/>
    <x v="3"/>
    <s v="Whatcom"/>
    <s v="01Whatcom"/>
    <s v="01North Puget Sound"/>
    <n v="12"/>
    <n v="6"/>
    <n v="51.239999999999995"/>
  </r>
  <r>
    <n v="1342"/>
    <x v="4"/>
    <x v="8"/>
    <x v="4"/>
    <s v="Freshwater"/>
    <x v="0"/>
    <x v="0"/>
    <s v="738"/>
    <s v="Dungeness River"/>
    <s v="Dungeness River"/>
    <s v="Clallam"/>
    <x v="3"/>
    <s v="Clallam"/>
    <s v="11Clallam"/>
    <s v="03Strait of Juan de Fuca"/>
    <n v="6"/>
    <n v="3"/>
    <n v="25.619999999999997"/>
  </r>
  <r>
    <n v="1343"/>
    <x v="4"/>
    <x v="8"/>
    <x v="4"/>
    <s v="Freshwater"/>
    <x v="0"/>
    <x v="0"/>
    <s v="738"/>
    <s v="Dungeness River"/>
    <s v="Dungeness River"/>
    <s v="Clallam"/>
    <x v="3"/>
    <s v="Other"/>
    <s v="20Other"/>
    <s v="07Non Puget Sound"/>
    <n v="12"/>
    <n v="6"/>
    <n v="51.239999999999995"/>
  </r>
  <r>
    <n v="1358"/>
    <x v="4"/>
    <x v="8"/>
    <x v="4"/>
    <s v="Freshwater"/>
    <x v="0"/>
    <x v="0"/>
    <s v="746"/>
    <s v="Green (Duwamish River) (King Co.)"/>
    <s v="Green - Duwamish River"/>
    <s v="King"/>
    <x v="2"/>
    <s v="King"/>
    <s v="06King"/>
    <s v="02South Puget Sound"/>
    <n v="78.571428571428598"/>
    <n v="39.285714285714299"/>
    <n v="335.50000000000006"/>
  </r>
  <r>
    <n v="1359"/>
    <x v="4"/>
    <x v="8"/>
    <x v="4"/>
    <s v="Freshwater"/>
    <x v="0"/>
    <x v="0"/>
    <s v="746"/>
    <s v="Green (Duwamish River) (King Co.)"/>
    <s v="Green - Duwamish River"/>
    <s v="King"/>
    <x v="2"/>
    <s v="Pierce"/>
    <s v="07Pierce"/>
    <s v="02South Puget Sound"/>
    <n v="23.571428571428601"/>
    <n v="11.785714285714301"/>
    <n v="100.65000000000012"/>
  </r>
  <r>
    <n v="1360"/>
    <x v="4"/>
    <x v="8"/>
    <x v="4"/>
    <s v="Freshwater"/>
    <x v="0"/>
    <x v="0"/>
    <s v="746"/>
    <s v="Green (Duwamish River) (King Co.)"/>
    <s v="Green - Duwamish River"/>
    <s v="King"/>
    <x v="2"/>
    <s v="Snohomish"/>
    <s v="03Snohomish"/>
    <s v="01North Puget Sound"/>
    <n v="7.8571428571428603"/>
    <n v="3.9285714285714302"/>
    <n v="33.550000000000011"/>
  </r>
  <r>
    <n v="1367"/>
    <x v="4"/>
    <x v="8"/>
    <x v="4"/>
    <s v="Freshwater"/>
    <x v="0"/>
    <x v="0"/>
    <s v="752"/>
    <s v="Hoko River"/>
    <s v="Hoko River"/>
    <s v="Clallam"/>
    <x v="3"/>
    <s v="Clallam"/>
    <s v="11Clallam"/>
    <s v="03Strait of Juan de Fuca"/>
    <n v="168.12121212121201"/>
    <n v="84.060606060606105"/>
    <n v="717.8775757575761"/>
  </r>
  <r>
    <n v="1368"/>
    <x v="4"/>
    <x v="8"/>
    <x v="4"/>
    <s v="Freshwater"/>
    <x v="0"/>
    <x v="0"/>
    <s v="752"/>
    <s v="Hoko River"/>
    <s v="Hoko River"/>
    <s v="Clallam"/>
    <x v="3"/>
    <s v="Island"/>
    <s v="04Island"/>
    <s v="01North Puget Sound"/>
    <n v="26.5454545454546"/>
    <n v="13.2727272727273"/>
    <n v="113.34909090909113"/>
  </r>
  <r>
    <n v="1369"/>
    <x v="4"/>
    <x v="8"/>
    <x v="4"/>
    <s v="Freshwater"/>
    <x v="0"/>
    <x v="0"/>
    <s v="752"/>
    <s v="Hoko River"/>
    <s v="Hoko River"/>
    <s v="Clallam"/>
    <x v="3"/>
    <s v="Other"/>
    <s v="20Other"/>
    <s v="07Non Puget Sound"/>
    <n v="8.8484848484848495"/>
    <n v="4.4242424242424301"/>
    <n v="37.783030303030351"/>
  </r>
  <r>
    <n v="1370"/>
    <x v="4"/>
    <x v="8"/>
    <x v="4"/>
    <s v="Freshwater"/>
    <x v="0"/>
    <x v="0"/>
    <s v="752"/>
    <s v="Hoko River"/>
    <s v="Hoko River"/>
    <s v="Clallam"/>
    <x v="3"/>
    <s v="Pierce"/>
    <s v="07Pierce"/>
    <s v="02South Puget Sound"/>
    <n v="61.939393939394002"/>
    <n v="30.969696969697001"/>
    <n v="264.48121212121237"/>
  </r>
  <r>
    <n v="1371"/>
    <x v="4"/>
    <x v="8"/>
    <x v="4"/>
    <s v="Freshwater"/>
    <x v="0"/>
    <x v="0"/>
    <s v="752"/>
    <s v="Hoko River"/>
    <s v="Hoko River"/>
    <s v="Clallam"/>
    <x v="3"/>
    <s v="Snohomish"/>
    <s v="03Snohomish"/>
    <s v="01North Puget Sound"/>
    <n v="17.696969696969699"/>
    <n v="8.8484848484848495"/>
    <n v="75.566060606060603"/>
  </r>
  <r>
    <n v="1372"/>
    <x v="4"/>
    <x v="8"/>
    <x v="4"/>
    <s v="Freshwater"/>
    <x v="0"/>
    <x v="0"/>
    <s v="752"/>
    <s v="Hoko River"/>
    <s v="Hoko River"/>
    <s v="Clallam"/>
    <x v="3"/>
    <s v="Thurston"/>
    <s v="08Thurston"/>
    <s v="02South Puget Sound"/>
    <n v="8.8484848484848495"/>
    <n v="4.4242424242424301"/>
    <n v="37.783030303030351"/>
  </r>
  <r>
    <n v="1381"/>
    <x v="4"/>
    <x v="8"/>
    <x v="4"/>
    <s v="Freshwater"/>
    <x v="0"/>
    <x v="0"/>
    <s v="768"/>
    <s v="Lyre River"/>
    <s v="Lyre River"/>
    <s v="Clallam"/>
    <x v="3"/>
    <s v="Clallam"/>
    <s v="11Clallam"/>
    <s v="03Strait of Juan de Fuca"/>
    <n v="6"/>
    <n v="3"/>
    <n v="25.619999999999997"/>
  </r>
  <r>
    <n v="1389"/>
    <x v="4"/>
    <x v="8"/>
    <x v="4"/>
    <s v="Freshwater"/>
    <x v="0"/>
    <x v="0"/>
    <s v="794"/>
    <s v="Nooksack River, below North Fork"/>
    <s v="Nooksack River, below North Fork"/>
    <s v="Whatcom"/>
    <x v="1"/>
    <s v="Whatcom"/>
    <s v="01Whatcom"/>
    <s v="01North Puget Sound"/>
    <n v="6"/>
    <n v="3"/>
    <n v="25.619999999999997"/>
  </r>
  <r>
    <n v="1429"/>
    <x v="4"/>
    <x v="8"/>
    <x v="4"/>
    <s v="Freshwater"/>
    <x v="0"/>
    <x v="0"/>
    <s v="840"/>
    <s v="Pilchuck River (Snohomish System)"/>
    <s v="Pilchuck River (Snohomish System)"/>
    <s v="Snohomish"/>
    <x v="0"/>
    <s v="King"/>
    <s v="06King"/>
    <s v="02South Puget Sound"/>
    <n v="19.5"/>
    <n v="9.75"/>
    <n v="83.264999999999986"/>
  </r>
  <r>
    <n v="1430"/>
    <x v="4"/>
    <x v="8"/>
    <x v="4"/>
    <s v="Freshwater"/>
    <x v="0"/>
    <x v="0"/>
    <s v="840"/>
    <s v="Pilchuck River (Snohomish System)"/>
    <s v="Pilchuck River (Snohomish System)"/>
    <s v="Snohomish"/>
    <x v="0"/>
    <s v="Other"/>
    <s v="20Other"/>
    <s v="07Non Puget Sound"/>
    <n v="6.5"/>
    <n v="3.25"/>
    <n v="27.754999999999995"/>
  </r>
  <r>
    <n v="1391"/>
    <x v="4"/>
    <x v="8"/>
    <x v="4"/>
    <s v="Freshwater"/>
    <x v="0"/>
    <x v="0"/>
    <s v="804"/>
    <s v="Puyallup River"/>
    <s v="Puyallup River"/>
    <s v="Pierce"/>
    <x v="2"/>
    <s v="Other"/>
    <s v="20Other"/>
    <s v="07Non Puget Sound"/>
    <n v="6"/>
    <n v="3"/>
    <n v="25.619999999999997"/>
  </r>
  <r>
    <n v="1392"/>
    <x v="4"/>
    <x v="8"/>
    <x v="4"/>
    <s v="Freshwater"/>
    <x v="0"/>
    <x v="0"/>
    <s v="804"/>
    <s v="Puyallup River"/>
    <s v="Puyallup River"/>
    <s v="Pierce"/>
    <x v="2"/>
    <s v="Pierce"/>
    <s v="07Pierce"/>
    <s v="02South Puget Sound"/>
    <n v="12"/>
    <n v="6"/>
    <n v="51.239999999999995"/>
  </r>
  <r>
    <n v="1395"/>
    <x v="4"/>
    <x v="8"/>
    <x v="4"/>
    <s v="Freshwater"/>
    <x v="0"/>
    <x v="0"/>
    <s v="810"/>
    <s v="Pysht River"/>
    <s v="Pysht River"/>
    <s v="Clallam"/>
    <x v="3"/>
    <s v="Clallam"/>
    <s v="11Clallam"/>
    <s v="03Strait of Juan de Fuca"/>
    <n v="18"/>
    <n v="9"/>
    <n v="76.859999999999985"/>
  </r>
  <r>
    <n v="1397"/>
    <x v="4"/>
    <x v="8"/>
    <x v="4"/>
    <s v="Freshwater"/>
    <x v="0"/>
    <x v="0"/>
    <s v="814"/>
    <s v="Salt Creek (Clallam Co.)"/>
    <s v="Salt Creek (Clallam Co.)"/>
    <s v="Clallam"/>
    <x v="3"/>
    <s v="Snohomish"/>
    <s v="03Snohomish"/>
    <s v="01North Puget Sound"/>
    <n v="24"/>
    <n v="12"/>
    <n v="102.47999999999999"/>
  </r>
  <r>
    <n v="1398"/>
    <x v="4"/>
    <x v="8"/>
    <x v="4"/>
    <s v="Freshwater"/>
    <x v="0"/>
    <x v="0"/>
    <s v="816"/>
    <s v="Samish River"/>
    <s v="Samish River"/>
    <s v="Skagit"/>
    <x v="1"/>
    <s v="King"/>
    <s v="06King"/>
    <s v="02South Puget Sound"/>
    <n v="6"/>
    <n v="3"/>
    <n v="25.619999999999997"/>
  </r>
  <r>
    <n v="1399"/>
    <x v="4"/>
    <x v="8"/>
    <x v="4"/>
    <s v="Freshwater"/>
    <x v="0"/>
    <x v="0"/>
    <s v="818"/>
    <s v="Sekiu River"/>
    <s v="Sekiu River"/>
    <s v="Clallam"/>
    <x v="3"/>
    <s v="Pierce"/>
    <s v="07Pierce"/>
    <s v="02South Puget Sound"/>
    <n v="24"/>
    <n v="12"/>
    <n v="102.47999999999999"/>
  </r>
  <r>
    <n v="1423"/>
    <x v="4"/>
    <x v="8"/>
    <x v="4"/>
    <s v="Freshwater"/>
    <x v="0"/>
    <x v="0"/>
    <s v="830"/>
    <s v="Skagit River"/>
    <s v="Skagit River"/>
    <s v="Skagit/Whatcom"/>
    <x v="0"/>
    <s v="Other"/>
    <s v="20Other"/>
    <s v="07Non Puget Sound"/>
    <n v="6.5"/>
    <n v="3.25"/>
    <n v="27.754999999999995"/>
  </r>
  <r>
    <n v="1424"/>
    <x v="4"/>
    <x v="8"/>
    <x v="4"/>
    <s v="Freshwater"/>
    <x v="0"/>
    <x v="0"/>
    <s v="830"/>
    <s v="Skagit River"/>
    <s v="Skagit River"/>
    <s v="Skagit/Whatcom"/>
    <x v="0"/>
    <s v="Skagit"/>
    <s v="02Skagit"/>
    <s v="01North Puget Sound"/>
    <n v="19.5"/>
    <n v="9.75"/>
    <n v="83.264999999999986"/>
  </r>
  <r>
    <n v="1459"/>
    <x v="4"/>
    <x v="8"/>
    <x v="4"/>
    <s v="Freshwater"/>
    <x v="0"/>
    <x v="0"/>
    <s v="844"/>
    <s v="Skykomish River"/>
    <s v="Skykomish River"/>
    <s v="Snohomish"/>
    <x v="0"/>
    <s v="Clallam"/>
    <s v="11Clallam"/>
    <s v="03Strait of Juan de Fuca"/>
    <n v="6.5122807017543902"/>
    <n v="3.2561403508771898"/>
    <n v="27.807438596491199"/>
  </r>
  <r>
    <n v="1460"/>
    <x v="4"/>
    <x v="8"/>
    <x v="4"/>
    <s v="Freshwater"/>
    <x v="0"/>
    <x v="0"/>
    <s v="844"/>
    <s v="Skykomish River"/>
    <s v="Skykomish River"/>
    <s v="Snohomish"/>
    <x v="0"/>
    <s v="King"/>
    <s v="06King"/>
    <s v="02South Puget Sound"/>
    <n v="846.59649122807002"/>
    <n v="423.29824561403501"/>
    <n v="3614.9670175438587"/>
  </r>
  <r>
    <n v="1461"/>
    <x v="4"/>
    <x v="8"/>
    <x v="4"/>
    <s v="Freshwater"/>
    <x v="0"/>
    <x v="0"/>
    <s v="844"/>
    <s v="Skykomish River"/>
    <s v="Skykomish River"/>
    <s v="Snohomish"/>
    <x v="0"/>
    <s v="Other"/>
    <s v="20Other"/>
    <s v="07Non Puget Sound"/>
    <n v="45.585964912280701"/>
    <n v="22.7929824561404"/>
    <n v="194.65207017543901"/>
  </r>
  <r>
    <n v="1462"/>
    <x v="4"/>
    <x v="8"/>
    <x v="4"/>
    <s v="Freshwater"/>
    <x v="0"/>
    <x v="0"/>
    <s v="844"/>
    <s v="Skykomish River"/>
    <s v="Skykomish River"/>
    <s v="Snohomish"/>
    <x v="0"/>
    <s v="Pierce"/>
    <s v="07Pierce"/>
    <s v="02South Puget Sound"/>
    <n v="39.073684210526302"/>
    <n v="19.536842105263201"/>
    <n v="166.84463157894771"/>
  </r>
  <r>
    <n v="1463"/>
    <x v="4"/>
    <x v="8"/>
    <x v="4"/>
    <s v="Freshwater"/>
    <x v="0"/>
    <x v="0"/>
    <s v="844"/>
    <s v="Skykomish River"/>
    <s v="Skykomish River"/>
    <s v="Snohomish"/>
    <x v="0"/>
    <s v="Snohomish"/>
    <s v="03Snohomish"/>
    <s v="01North Puget Sound"/>
    <n v="911.71929824561403"/>
    <n v="455.85964912280701"/>
    <n v="3893.0414035087715"/>
  </r>
  <r>
    <n v="1464"/>
    <x v="4"/>
    <x v="8"/>
    <x v="4"/>
    <s v="Freshwater"/>
    <x v="0"/>
    <x v="0"/>
    <s v="844"/>
    <s v="Skykomish River"/>
    <s v="Skykomish River"/>
    <s v="Snohomish"/>
    <x v="0"/>
    <s v="Whatcom"/>
    <s v="01Whatcom"/>
    <s v="01North Puget Sound"/>
    <n v="6.5122807017543902"/>
    <n v="3.2561403508771898"/>
    <n v="27.807438596491199"/>
  </r>
  <r>
    <n v="1485"/>
    <x v="4"/>
    <x v="8"/>
    <x v="4"/>
    <s v="Freshwater"/>
    <x v="0"/>
    <x v="0"/>
    <s v="846"/>
    <s v="Skykomish River, No. Fork"/>
    <s v="Skykomish River, No. Fork"/>
    <s v="Snohomish"/>
    <x v="0"/>
    <s v="King"/>
    <s v="06King"/>
    <s v="02South Puget Sound"/>
    <n v="6.5185185185185199"/>
    <n v="3.25925925925926"/>
    <n v="27.834074074074078"/>
  </r>
  <r>
    <n v="1486"/>
    <x v="4"/>
    <x v="8"/>
    <x v="4"/>
    <s v="Freshwater"/>
    <x v="0"/>
    <x v="0"/>
    <s v="846"/>
    <s v="Skykomish River, No. Fork"/>
    <s v="Skykomish River, No. Fork"/>
    <s v="Snohomish"/>
    <x v="0"/>
    <s v="Snohomish"/>
    <s v="03Snohomish"/>
    <s v="01North Puget Sound"/>
    <n v="169.48148148148201"/>
    <n v="84.740740740740804"/>
    <n v="723.68592592592643"/>
  </r>
  <r>
    <n v="1495"/>
    <x v="4"/>
    <x v="8"/>
    <x v="4"/>
    <s v="Freshwater"/>
    <x v="0"/>
    <x v="0"/>
    <s v="848"/>
    <s v="Skykomish River, So. Fork"/>
    <s v="Skykomish River, So. Fork"/>
    <s v="Snohomish/King"/>
    <x v="0"/>
    <s v="King"/>
    <s v="06King"/>
    <s v="02South Puget Sound"/>
    <n v="6"/>
    <n v="3"/>
    <n v="25.619999999999997"/>
  </r>
  <r>
    <n v="1503"/>
    <x v="4"/>
    <x v="8"/>
    <x v="4"/>
    <s v="Freshwater"/>
    <x v="0"/>
    <x v="0"/>
    <s v="850"/>
    <s v="Snohomish River"/>
    <s v="Snohomish River"/>
    <s v="Snohomish"/>
    <x v="0"/>
    <s v="King"/>
    <s v="06King"/>
    <s v="02South Puget Sound"/>
    <n v="6.5238095238095299"/>
    <n v="3.2619047619047601"/>
    <n v="27.856666666666648"/>
  </r>
  <r>
    <n v="1504"/>
    <x v="4"/>
    <x v="8"/>
    <x v="4"/>
    <s v="Freshwater"/>
    <x v="0"/>
    <x v="0"/>
    <s v="850"/>
    <s v="Snohomish River"/>
    <s v="Snohomish River"/>
    <s v="Snohomish"/>
    <x v="0"/>
    <s v="Snohomish"/>
    <s v="03Snohomish"/>
    <s v="01North Puget Sound"/>
    <n v="267.47619047619099"/>
    <n v="133.73809523809501"/>
    <n v="1142.1233333333314"/>
  </r>
  <r>
    <n v="1511"/>
    <x v="4"/>
    <x v="8"/>
    <x v="4"/>
    <s v="Freshwater"/>
    <x v="0"/>
    <x v="0"/>
    <s v="852"/>
    <s v="Snoqualmie River"/>
    <s v="Snoqualmie River"/>
    <s v="Snohomish/King"/>
    <x v="0"/>
    <s v="King"/>
    <s v="06King"/>
    <s v="02South Puget Sound"/>
    <n v="859.44525547445301"/>
    <n v="429.72262773722599"/>
    <n v="3669.8312408759098"/>
  </r>
  <r>
    <n v="1512"/>
    <x v="4"/>
    <x v="8"/>
    <x v="4"/>
    <s v="Freshwater"/>
    <x v="0"/>
    <x v="0"/>
    <s v="852"/>
    <s v="Snoqualmie River"/>
    <s v="Snoqualmie River"/>
    <s v="Snohomish/King"/>
    <x v="0"/>
    <s v="Other"/>
    <s v="20Other"/>
    <s v="07Non Puget Sound"/>
    <n v="13.021897810219"/>
    <n v="6.5109489051094904"/>
    <n v="55.603503649635044"/>
  </r>
  <r>
    <n v="1513"/>
    <x v="4"/>
    <x v="8"/>
    <x v="4"/>
    <s v="Freshwater"/>
    <x v="0"/>
    <x v="0"/>
    <s v="852"/>
    <s v="Snoqualmie River"/>
    <s v="Snoqualmie River"/>
    <s v="Snohomish/King"/>
    <x v="0"/>
    <s v="Pierce"/>
    <s v="07Pierce"/>
    <s v="02South Puget Sound"/>
    <n v="13.021897810219"/>
    <n v="6.5109489051094904"/>
    <n v="55.603503649635044"/>
  </r>
  <r>
    <n v="1514"/>
    <x v="4"/>
    <x v="8"/>
    <x v="4"/>
    <s v="Freshwater"/>
    <x v="0"/>
    <x v="0"/>
    <s v="852"/>
    <s v="Snoqualmie River"/>
    <s v="Snoqualmie River"/>
    <s v="Snohomish/King"/>
    <x v="0"/>
    <s v="Snohomish"/>
    <s v="03Snohomish"/>
    <s v="01North Puget Sound"/>
    <n v="6.5109489051094904"/>
    <n v="3.2554744525547501"/>
    <n v="27.801751824817565"/>
  </r>
  <r>
    <n v="1555"/>
    <x v="4"/>
    <x v="8"/>
    <x v="4"/>
    <s v="Freshwater"/>
    <x v="0"/>
    <x v="0"/>
    <s v="872"/>
    <s v="Stillaguamish R, No. Fork"/>
    <s v="Stillaguamish R, No. Fork"/>
    <s v="Snohomish"/>
    <x v="0"/>
    <s v="King"/>
    <s v="06King"/>
    <s v="02South Puget Sound"/>
    <n v="12.3333333333333"/>
    <n v="6.1666666666666696"/>
    <n v="52.663333333333355"/>
  </r>
  <r>
    <n v="1556"/>
    <x v="4"/>
    <x v="8"/>
    <x v="4"/>
    <s v="Freshwater"/>
    <x v="0"/>
    <x v="0"/>
    <s v="872"/>
    <s v="Stillaguamish R, No. Fork"/>
    <s v="Stillaguamish R, No. Fork"/>
    <s v="Snohomish"/>
    <x v="0"/>
    <s v="Skagit"/>
    <s v="02Skagit"/>
    <s v="01North Puget Sound"/>
    <n v="6.1666666666666696"/>
    <n v="3.0833333333333299"/>
    <n v="26.331666666666635"/>
  </r>
  <r>
    <n v="1557"/>
    <x v="4"/>
    <x v="8"/>
    <x v="4"/>
    <s v="Freshwater"/>
    <x v="0"/>
    <x v="0"/>
    <s v="872"/>
    <s v="Stillaguamish R, No. Fork"/>
    <s v="Stillaguamish R, No. Fork"/>
    <s v="Snohomish"/>
    <x v="0"/>
    <s v="Snohomish"/>
    <s v="03Snohomish"/>
    <s v="01North Puget Sound"/>
    <n v="55.5"/>
    <n v="27.75"/>
    <n v="236.98499999999999"/>
  </r>
  <r>
    <n v="1518"/>
    <x v="4"/>
    <x v="8"/>
    <x v="4"/>
    <s v="Freshwater"/>
    <x v="0"/>
    <x v="0"/>
    <s v="856"/>
    <s v="Tokul Creek"/>
    <s v="Tokul Creek"/>
    <s v="King"/>
    <x v="0"/>
    <s v="King"/>
    <s v="06King"/>
    <s v="02South Puget Sound"/>
    <n v="905.74193548387098"/>
    <n v="452.870967741936"/>
    <n v="3867.5180645161331"/>
  </r>
  <r>
    <n v="1519"/>
    <x v="4"/>
    <x v="8"/>
    <x v="4"/>
    <s v="Freshwater"/>
    <x v="0"/>
    <x v="0"/>
    <s v="856"/>
    <s v="Tokul Creek"/>
    <s v="Tokul Creek"/>
    <s v="King"/>
    <x v="0"/>
    <s v="Pierce"/>
    <s v="07Pierce"/>
    <s v="02South Puget Sound"/>
    <n v="32.580645161290299"/>
    <n v="16.290322580645199"/>
    <n v="139.11935483871"/>
  </r>
  <r>
    <n v="1520"/>
    <x v="4"/>
    <x v="8"/>
    <x v="4"/>
    <s v="Freshwater"/>
    <x v="0"/>
    <x v="0"/>
    <s v="856"/>
    <s v="Tokul Creek"/>
    <s v="Tokul Creek"/>
    <s v="King"/>
    <x v="0"/>
    <s v="Snohomish"/>
    <s v="03Snohomish"/>
    <s v="01North Puget Sound"/>
    <n v="71.677419354838705"/>
    <n v="35.838709677419402"/>
    <n v="306.06258064516169"/>
  </r>
  <r>
    <n v="1529"/>
    <x v="4"/>
    <x v="8"/>
    <x v="4"/>
    <s v="Freshwater"/>
    <x v="0"/>
    <x v="0"/>
    <s v="858"/>
    <s v="Tolt River"/>
    <s v="Tolt River"/>
    <s v="King"/>
    <x v="0"/>
    <s v="Clallam"/>
    <s v="11Clallam"/>
    <s v="03Strait of Juan de Fuca"/>
    <n v="19.2"/>
    <n v="9.6"/>
    <n v="81.983999999999995"/>
  </r>
  <r>
    <n v="1530"/>
    <x v="4"/>
    <x v="8"/>
    <x v="4"/>
    <s v="Freshwater"/>
    <x v="0"/>
    <x v="0"/>
    <s v="858"/>
    <s v="Tolt River"/>
    <s v="Tolt River"/>
    <s v="King"/>
    <x v="0"/>
    <s v="King"/>
    <s v="06King"/>
    <s v="02South Puget Sound"/>
    <n v="12.8"/>
    <n v="6.4"/>
    <n v="54.655999999999999"/>
  </r>
  <r>
    <n v="1539"/>
    <x v="4"/>
    <x v="8"/>
    <x v="4"/>
    <s v="Freshwater"/>
    <x v="0"/>
    <x v="0"/>
    <s v="860"/>
    <s v="Wallace River"/>
    <s v="Wallace River"/>
    <s v="Snohomish"/>
    <x v="0"/>
    <s v="King"/>
    <s v="06King"/>
    <s v="02South Puget Sound"/>
    <n v="117"/>
    <n v="58.5"/>
    <n v="499.59"/>
  </r>
  <r>
    <n v="1540"/>
    <x v="4"/>
    <x v="8"/>
    <x v="4"/>
    <s v="Freshwater"/>
    <x v="0"/>
    <x v="0"/>
    <s v="860"/>
    <s v="Wallace River"/>
    <s v="Wallace River"/>
    <s v="Snohomish"/>
    <x v="0"/>
    <s v="Snohomish"/>
    <s v="03Snohomish"/>
    <s v="01North Puget Sound"/>
    <n v="195"/>
    <n v="97.5"/>
    <n v="832.64999999999986"/>
  </r>
  <r>
    <n v="1564"/>
    <x v="4"/>
    <x v="8"/>
    <x v="4"/>
    <s v="Freshwater"/>
    <x v="0"/>
    <x v="0"/>
    <s v="884"/>
    <s v="Whatcom Creek"/>
    <s v="Whatcom Creek"/>
    <s v="Whatcom"/>
    <x v="1"/>
    <s v="Snohomish"/>
    <s v="03Snohomish"/>
    <s v="01North Puget Sound"/>
    <n v="6"/>
    <n v="3"/>
    <n v="25.619999999999997"/>
  </r>
  <r>
    <n v="1565"/>
    <x v="4"/>
    <x v="8"/>
    <x v="4"/>
    <s v="Freshwater"/>
    <x v="0"/>
    <x v="0"/>
    <s v="884"/>
    <s v="Whatcom Creek"/>
    <s v="Whatcom Creek"/>
    <s v="Whatcom"/>
    <x v="1"/>
    <s v="Whatcom"/>
    <s v="01Whatcom"/>
    <s v="01North Puget Sound"/>
    <n v="12"/>
    <n v="6"/>
    <n v="51.239999999999995"/>
  </r>
  <r>
    <n v="1394"/>
    <x v="5"/>
    <x v="9"/>
    <x v="4"/>
    <s v="Freshwater"/>
    <x v="0"/>
    <x v="0"/>
    <s v="81"/>
    <s v="Area 8-1: Skagit Bay-Saratoga Psg."/>
    <s v="Area 8-1: Skagit Bay-Saratoga Psg."/>
    <s v="NA"/>
    <x v="0"/>
    <s v="Snohomish"/>
    <s v="03Snohomish"/>
    <s v="01North Puget Sound"/>
    <n v="2"/>
    <n v="1"/>
    <n v="18.55"/>
  </r>
  <r>
    <n v="1576"/>
    <x v="5"/>
    <x v="9"/>
    <x v="4"/>
    <s v="Freshwater"/>
    <x v="0"/>
    <x v="0"/>
    <s v="9"/>
    <s v="Area 9: Admiralty Inlet"/>
    <s v="Area 9: Admiralty Inlet"/>
    <s v="NA"/>
    <x v="0"/>
    <s v="Island"/>
    <s v="04Island"/>
    <s v="01North Puget Sound"/>
    <n v="2"/>
    <n v="1"/>
    <n v="18.55"/>
  </r>
  <r>
    <n v="1577"/>
    <x v="5"/>
    <x v="9"/>
    <x v="4"/>
    <s v="Freshwater"/>
    <x v="0"/>
    <x v="0"/>
    <s v="9"/>
    <s v="Area 9: Admiralty Inlet"/>
    <s v="Area 9: Admiralty Inlet"/>
    <s v="NA"/>
    <x v="0"/>
    <s v="King"/>
    <s v="06King"/>
    <s v="02South Puget Sound"/>
    <n v="2"/>
    <n v="1"/>
    <n v="18.55"/>
  </r>
  <r>
    <n v="1578"/>
    <x v="5"/>
    <x v="9"/>
    <x v="4"/>
    <s v="Freshwater"/>
    <x v="0"/>
    <x v="0"/>
    <s v="9"/>
    <s v="Area 9: Admiralty Inlet"/>
    <s v="Area 9: Admiralty Inlet"/>
    <s v="NA"/>
    <x v="0"/>
    <s v="Snohomish"/>
    <s v="03Snohomish"/>
    <s v="01North Puget Sound"/>
    <n v="2"/>
    <n v="1"/>
    <n v="18.55"/>
  </r>
  <r>
    <n v="1547"/>
    <x v="5"/>
    <x v="9"/>
    <x v="4"/>
    <s v="Freshwater"/>
    <x v="0"/>
    <x v="0"/>
    <s v="866"/>
    <s v="Canyon Creek"/>
    <s v="Canyon Creek"/>
    <s v="Snohomish"/>
    <x v="0"/>
    <s v="Other"/>
    <s v="20Other"/>
    <s v="07Non Puget Sound"/>
    <n v="6"/>
    <n v="3"/>
    <n v="55.650000000000006"/>
  </r>
  <r>
    <n v="1548"/>
    <x v="5"/>
    <x v="9"/>
    <x v="4"/>
    <s v="Freshwater"/>
    <x v="0"/>
    <x v="0"/>
    <s v="866"/>
    <s v="Canyon Creek"/>
    <s v="Canyon Creek"/>
    <s v="Snohomish"/>
    <x v="0"/>
    <s v="Snohomish"/>
    <s v="03Snohomish"/>
    <s v="01North Puget Sound"/>
    <n v="12"/>
    <n v="6"/>
    <n v="111.30000000000001"/>
  </r>
  <r>
    <n v="1412"/>
    <x v="5"/>
    <x v="9"/>
    <x v="4"/>
    <s v="Freshwater"/>
    <x v="0"/>
    <x v="0"/>
    <s v="826"/>
    <s v="Cascade River"/>
    <s v="Cascade River"/>
    <s v="Skagit"/>
    <x v="1"/>
    <s v="King"/>
    <s v="06King"/>
    <s v="02South Puget Sound"/>
    <n v="6.6382978723404298"/>
    <n v="3.31914893617021"/>
    <n v="61.5702127659574"/>
  </r>
  <r>
    <n v="1413"/>
    <x v="5"/>
    <x v="9"/>
    <x v="4"/>
    <s v="Freshwater"/>
    <x v="0"/>
    <x v="0"/>
    <s v="826"/>
    <s v="Cascade River"/>
    <s v="Cascade River"/>
    <s v="Skagit"/>
    <x v="1"/>
    <s v="Skagit"/>
    <s v="02Skagit"/>
    <s v="01North Puget Sound"/>
    <n v="238.97872340425499"/>
    <n v="119.48936170212799"/>
    <n v="2216.5276595744745"/>
  </r>
  <r>
    <n v="1414"/>
    <x v="5"/>
    <x v="9"/>
    <x v="4"/>
    <s v="Freshwater"/>
    <x v="0"/>
    <x v="0"/>
    <s v="826"/>
    <s v="Cascade River"/>
    <s v="Cascade River"/>
    <s v="Skagit"/>
    <x v="1"/>
    <s v="Snohomish"/>
    <s v="03Snohomish"/>
    <s v="01North Puget Sound"/>
    <n v="6.6382978723404298"/>
    <n v="3.31914893617021"/>
    <n v="61.5702127659574"/>
  </r>
  <r>
    <n v="1415"/>
    <x v="5"/>
    <x v="9"/>
    <x v="4"/>
    <s v="Freshwater"/>
    <x v="0"/>
    <x v="0"/>
    <s v="826"/>
    <s v="Cascade River"/>
    <s v="Cascade River"/>
    <s v="Skagit"/>
    <x v="1"/>
    <s v="Whatcom"/>
    <s v="01Whatcom"/>
    <s v="01North Puget Sound"/>
    <n v="59.744680851063798"/>
    <n v="29.872340425531899"/>
    <n v="554.13191489361679"/>
  </r>
  <r>
    <n v="1339"/>
    <x v="5"/>
    <x v="9"/>
    <x v="4"/>
    <s v="Freshwater"/>
    <x v="0"/>
    <x v="0"/>
    <s v="718"/>
    <s v="Clallam River"/>
    <s v="Clallam River"/>
    <s v="Clallam"/>
    <x v="3"/>
    <s v="Whatcom"/>
    <s v="01Whatcom"/>
    <s v="01North Puget Sound"/>
    <n v="12"/>
    <n v="6"/>
    <n v="111.30000000000001"/>
  </r>
  <r>
    <n v="1340"/>
    <x v="5"/>
    <x v="9"/>
    <x v="4"/>
    <s v="Freshwater"/>
    <x v="0"/>
    <x v="0"/>
    <s v="726"/>
    <s v="Deep Creek (Clallam Co.)"/>
    <s v="Deep Creek (Clallam Co.)"/>
    <s v="Clallam"/>
    <x v="3"/>
    <s v="Clallam"/>
    <s v="11Clallam"/>
    <s v="03Strait of Juan de Fuca"/>
    <n v="18"/>
    <n v="9"/>
    <n v="166.95000000000002"/>
  </r>
  <r>
    <n v="1344"/>
    <x v="5"/>
    <x v="9"/>
    <x v="4"/>
    <s v="Freshwater"/>
    <x v="0"/>
    <x v="0"/>
    <s v="738"/>
    <s v="Dungeness River"/>
    <s v="Dungeness River"/>
    <s v="Clallam"/>
    <x v="3"/>
    <s v="Clallam"/>
    <s v="11Clallam"/>
    <s v="03Strait of Juan de Fuca"/>
    <n v="43.5555555555556"/>
    <n v="21.7777777777778"/>
    <n v="403.97777777777821"/>
  </r>
  <r>
    <n v="1345"/>
    <x v="5"/>
    <x v="9"/>
    <x v="4"/>
    <s v="Freshwater"/>
    <x v="0"/>
    <x v="0"/>
    <s v="738"/>
    <s v="Dungeness River"/>
    <s v="Dungeness River"/>
    <s v="Clallam"/>
    <x v="3"/>
    <s v="King"/>
    <s v="06King"/>
    <s v="02South Puget Sound"/>
    <n v="6.2222222222222197"/>
    <n v="3.1111111111111098"/>
    <n v="57.711111111111087"/>
  </r>
  <r>
    <n v="1346"/>
    <x v="5"/>
    <x v="9"/>
    <x v="4"/>
    <s v="Freshwater"/>
    <x v="0"/>
    <x v="0"/>
    <s v="738"/>
    <s v="Dungeness River"/>
    <s v="Dungeness River"/>
    <s v="Clallam"/>
    <x v="3"/>
    <s v="Snohomish"/>
    <s v="03Snohomish"/>
    <s v="01North Puget Sound"/>
    <n v="6.2222222222222197"/>
    <n v="3.1111111111111098"/>
    <n v="57.711111111111087"/>
  </r>
  <r>
    <n v="1361"/>
    <x v="5"/>
    <x v="9"/>
    <x v="4"/>
    <s v="Freshwater"/>
    <x v="0"/>
    <x v="0"/>
    <s v="746"/>
    <s v="Green (Duwamish River) (King Co.)"/>
    <s v="Green - Duwamish River"/>
    <s v="King"/>
    <x v="2"/>
    <s v="King"/>
    <s v="06King"/>
    <s v="02South Puget Sound"/>
    <n v="86.307692307692307"/>
    <n v="43.153846153846203"/>
    <n v="800.50384615384712"/>
  </r>
  <r>
    <n v="1362"/>
    <x v="5"/>
    <x v="9"/>
    <x v="4"/>
    <s v="Freshwater"/>
    <x v="0"/>
    <x v="0"/>
    <s v="746"/>
    <s v="Green (Duwamish River) (King Co.)"/>
    <s v="Green - Duwamish River"/>
    <s v="King"/>
    <x v="2"/>
    <s v="Pierce"/>
    <s v="07Pierce"/>
    <s v="02South Puget Sound"/>
    <n v="7.8461538461538503"/>
    <n v="3.9230769230769198"/>
    <n v="72.773076923076871"/>
  </r>
  <r>
    <n v="1363"/>
    <x v="5"/>
    <x v="9"/>
    <x v="4"/>
    <s v="Freshwater"/>
    <x v="0"/>
    <x v="0"/>
    <s v="746"/>
    <s v="Green (Duwamish River) (King Co.)"/>
    <s v="Green - Duwamish River"/>
    <s v="King"/>
    <x v="2"/>
    <s v="Snohomish"/>
    <s v="03Snohomish"/>
    <s v="01North Puget Sound"/>
    <n v="7.8461538461538503"/>
    <n v="3.9230769230769198"/>
    <n v="72.773076923076871"/>
  </r>
  <r>
    <n v="1373"/>
    <x v="5"/>
    <x v="9"/>
    <x v="4"/>
    <s v="Freshwater"/>
    <x v="0"/>
    <x v="0"/>
    <s v="752"/>
    <s v="Hoko River"/>
    <s v="Hoko River"/>
    <s v="Clallam"/>
    <x v="3"/>
    <s v="Clallam"/>
    <s v="11Clallam"/>
    <s v="03Strait of Juan de Fuca"/>
    <n v="92.615384615384599"/>
    <n v="46.307692307692299"/>
    <n v="859.0076923076922"/>
  </r>
  <r>
    <n v="1374"/>
    <x v="5"/>
    <x v="9"/>
    <x v="4"/>
    <s v="Freshwater"/>
    <x v="0"/>
    <x v="0"/>
    <s v="752"/>
    <s v="Hoko River"/>
    <s v="Hoko River"/>
    <s v="Clallam"/>
    <x v="3"/>
    <s v="Jefferson"/>
    <s v="12Jefferson"/>
    <s v="03Strait of Juan de Fuca"/>
    <n v="4.4102564102564097"/>
    <n v="2.2051282051282102"/>
    <n v="40.9051282051283"/>
  </r>
  <r>
    <n v="1375"/>
    <x v="5"/>
    <x v="9"/>
    <x v="4"/>
    <s v="Freshwater"/>
    <x v="0"/>
    <x v="0"/>
    <s v="752"/>
    <s v="Hoko River"/>
    <s v="Hoko River"/>
    <s v="Clallam"/>
    <x v="3"/>
    <s v="Kitsap"/>
    <s v="10Kitsap"/>
    <s v="02South Puget Sound"/>
    <n v="8.8205128205128194"/>
    <n v="4.4102564102564097"/>
    <n v="81.8102564102564"/>
  </r>
  <r>
    <n v="1376"/>
    <x v="5"/>
    <x v="9"/>
    <x v="4"/>
    <s v="Freshwater"/>
    <x v="0"/>
    <x v="0"/>
    <s v="752"/>
    <s v="Hoko River"/>
    <s v="Hoko River"/>
    <s v="Clallam"/>
    <x v="3"/>
    <s v="Other"/>
    <s v="20Other"/>
    <s v="07Non Puget Sound"/>
    <n v="22.051282051282101"/>
    <n v="11.025641025641001"/>
    <n v="204.52564102564057"/>
  </r>
  <r>
    <n v="1377"/>
    <x v="5"/>
    <x v="9"/>
    <x v="4"/>
    <s v="Freshwater"/>
    <x v="0"/>
    <x v="0"/>
    <s v="752"/>
    <s v="Hoko River"/>
    <s v="Hoko River"/>
    <s v="Clallam"/>
    <x v="3"/>
    <s v="Pierce"/>
    <s v="07Pierce"/>
    <s v="02South Puget Sound"/>
    <n v="44.102564102564102"/>
    <n v="22.051282051282101"/>
    <n v="409.05128205128301"/>
  </r>
  <r>
    <n v="1382"/>
    <x v="5"/>
    <x v="9"/>
    <x v="4"/>
    <s v="Freshwater"/>
    <x v="0"/>
    <x v="0"/>
    <s v="768"/>
    <s v="Lyre River"/>
    <s v="Lyre River"/>
    <s v="Clallam"/>
    <x v="3"/>
    <s v="Clallam"/>
    <s v="11Clallam"/>
    <s v="03Strait of Juan de Fuca"/>
    <n v="6"/>
    <n v="3"/>
    <n v="55.650000000000006"/>
  </r>
  <r>
    <n v="1390"/>
    <x v="5"/>
    <x v="9"/>
    <x v="4"/>
    <s v="Freshwater"/>
    <x v="0"/>
    <x v="0"/>
    <s v="794"/>
    <s v="Nooksack River, below North Fork"/>
    <s v="Nooksack River, below North Fork"/>
    <s v="Whatcom"/>
    <x v="1"/>
    <s v="Whatcom"/>
    <s v="01Whatcom"/>
    <s v="01North Puget Sound"/>
    <n v="74"/>
    <n v="37"/>
    <n v="686.35"/>
  </r>
  <r>
    <n v="1384"/>
    <x v="5"/>
    <x v="9"/>
    <x v="4"/>
    <s v="Freshwater"/>
    <x v="0"/>
    <x v="0"/>
    <s v="790"/>
    <s v="Nooksack River, No. Fork"/>
    <s v="Nooksack River, No. Fork"/>
    <s v="Whatcom"/>
    <x v="1"/>
    <s v="Pierce"/>
    <s v="07Pierce"/>
    <s v="02South Puget Sound"/>
    <n v="6.1111111111111098"/>
    <n v="3.0555555555555598"/>
    <n v="56.680555555555635"/>
  </r>
  <r>
    <n v="1385"/>
    <x v="5"/>
    <x v="9"/>
    <x v="4"/>
    <s v="Freshwater"/>
    <x v="0"/>
    <x v="0"/>
    <s v="790"/>
    <s v="Nooksack River, No. Fork"/>
    <s v="Nooksack River, No. Fork"/>
    <s v="Whatcom"/>
    <x v="1"/>
    <s v="Whatcom"/>
    <s v="01Whatcom"/>
    <s v="01North Puget Sound"/>
    <n v="103.888888888889"/>
    <n v="51.9444444444445"/>
    <n v="963.56944444444548"/>
  </r>
  <r>
    <n v="1387"/>
    <x v="5"/>
    <x v="9"/>
    <x v="4"/>
    <s v="Freshwater"/>
    <x v="0"/>
    <x v="0"/>
    <s v="792"/>
    <s v="Nooksack River, So. Fork"/>
    <s v="Nooksack River, So. Fork"/>
    <s v="Whatcom"/>
    <x v="1"/>
    <s v="Snohomish"/>
    <s v="03Snohomish"/>
    <s v="01North Puget Sound"/>
    <n v="6"/>
    <n v="3"/>
    <n v="55.650000000000006"/>
  </r>
  <r>
    <n v="1431"/>
    <x v="5"/>
    <x v="9"/>
    <x v="4"/>
    <s v="Freshwater"/>
    <x v="0"/>
    <x v="0"/>
    <s v="840"/>
    <s v="Pilchuck River (Snohomish System)"/>
    <s v="Pilchuck River (Snohomish System)"/>
    <s v="Snohomish"/>
    <x v="0"/>
    <s v="King"/>
    <s v="06King"/>
    <s v="02South Puget Sound"/>
    <n v="14"/>
    <n v="7"/>
    <n v="129.85"/>
  </r>
  <r>
    <n v="1396"/>
    <x v="5"/>
    <x v="9"/>
    <x v="4"/>
    <s v="Freshwater"/>
    <x v="0"/>
    <x v="0"/>
    <s v="810"/>
    <s v="Pysht River"/>
    <s v="Pysht River"/>
    <s v="Clallam"/>
    <x v="3"/>
    <s v="Clallam"/>
    <s v="11Clallam"/>
    <s v="03Strait of Juan de Fuca"/>
    <n v="18"/>
    <n v="9"/>
    <n v="166.95000000000002"/>
  </r>
  <r>
    <n v="1400"/>
    <x v="5"/>
    <x v="9"/>
    <x v="4"/>
    <s v="Freshwater"/>
    <x v="0"/>
    <x v="0"/>
    <s v="818"/>
    <s v="Sekiu River"/>
    <s v="Sekiu River"/>
    <s v="Clallam"/>
    <x v="3"/>
    <s v="Clallam"/>
    <s v="11Clallam"/>
    <s v="03Strait of Juan de Fuca"/>
    <n v="6"/>
    <n v="3"/>
    <n v="55.650000000000006"/>
  </r>
  <r>
    <n v="1425"/>
    <x v="5"/>
    <x v="9"/>
    <x v="4"/>
    <s v="Freshwater"/>
    <x v="0"/>
    <x v="0"/>
    <s v="830"/>
    <s v="Skagit River"/>
    <s v="Skagit River"/>
    <s v="Skagit/Whatcom"/>
    <x v="0"/>
    <s v="Island"/>
    <s v="04Island"/>
    <s v="01North Puget Sound"/>
    <n v="6.5"/>
    <n v="3.25"/>
    <n v="60.287500000000001"/>
  </r>
  <r>
    <n v="1426"/>
    <x v="5"/>
    <x v="9"/>
    <x v="4"/>
    <s v="Freshwater"/>
    <x v="0"/>
    <x v="0"/>
    <s v="830"/>
    <s v="Skagit River"/>
    <s v="Skagit River"/>
    <s v="Skagit/Whatcom"/>
    <x v="0"/>
    <s v="King"/>
    <s v="06King"/>
    <s v="02South Puget Sound"/>
    <n v="6.5"/>
    <n v="3.25"/>
    <n v="60.287500000000001"/>
  </r>
  <r>
    <n v="1427"/>
    <x v="5"/>
    <x v="9"/>
    <x v="4"/>
    <s v="Freshwater"/>
    <x v="0"/>
    <x v="0"/>
    <s v="830"/>
    <s v="Skagit River"/>
    <s v="Skagit River"/>
    <s v="Skagit/Whatcom"/>
    <x v="0"/>
    <s v="Skagit"/>
    <s v="02Skagit"/>
    <s v="01North Puget Sound"/>
    <n v="13"/>
    <n v="6.5"/>
    <n v="120.575"/>
  </r>
  <r>
    <n v="1465"/>
    <x v="5"/>
    <x v="9"/>
    <x v="4"/>
    <s v="Freshwater"/>
    <x v="0"/>
    <x v="0"/>
    <s v="844"/>
    <s v="Skykomish River"/>
    <s v="Skykomish River"/>
    <s v="Snohomish"/>
    <x v="0"/>
    <s v="King"/>
    <s v="06King"/>
    <s v="02South Puget Sound"/>
    <n v="488.46153846153902"/>
    <n v="244.230769230769"/>
    <n v="4530.480769230765"/>
  </r>
  <r>
    <n v="1466"/>
    <x v="5"/>
    <x v="9"/>
    <x v="4"/>
    <s v="Freshwater"/>
    <x v="0"/>
    <x v="0"/>
    <s v="844"/>
    <s v="Skykomish River"/>
    <s v="Skykomish River"/>
    <s v="Snohomish"/>
    <x v="0"/>
    <s v="Kitsap"/>
    <s v="10Kitsap"/>
    <s v="02South Puget Sound"/>
    <n v="19.538461538461501"/>
    <n v="9.7692307692307701"/>
    <n v="181.21923076923079"/>
  </r>
  <r>
    <n v="1467"/>
    <x v="5"/>
    <x v="9"/>
    <x v="4"/>
    <s v="Freshwater"/>
    <x v="0"/>
    <x v="0"/>
    <s v="844"/>
    <s v="Skykomish River"/>
    <s v="Skykomish River"/>
    <s v="Snohomish"/>
    <x v="0"/>
    <s v="Other"/>
    <s v="20Other"/>
    <s v="07Non Puget Sound"/>
    <n v="32.564102564102598"/>
    <n v="16.282051282051299"/>
    <n v="302.03205128205161"/>
  </r>
  <r>
    <n v="1468"/>
    <x v="5"/>
    <x v="9"/>
    <x v="4"/>
    <s v="Freshwater"/>
    <x v="0"/>
    <x v="0"/>
    <s v="844"/>
    <s v="Skykomish River"/>
    <s v="Skykomish River"/>
    <s v="Snohomish"/>
    <x v="0"/>
    <s v="Pierce"/>
    <s v="07Pierce"/>
    <s v="02South Puget Sound"/>
    <n v="32.564102564102598"/>
    <n v="16.282051282051299"/>
    <n v="302.03205128205161"/>
  </r>
  <r>
    <n v="1469"/>
    <x v="5"/>
    <x v="9"/>
    <x v="4"/>
    <s v="Freshwater"/>
    <x v="0"/>
    <x v="0"/>
    <s v="844"/>
    <s v="Skykomish River"/>
    <s v="Skykomish River"/>
    <s v="Snohomish"/>
    <x v="0"/>
    <s v="Snohomish"/>
    <s v="03Snohomish"/>
    <s v="01North Puget Sound"/>
    <n v="690.35897435897402"/>
    <n v="345.17948717948701"/>
    <n v="6403.0794871794842"/>
  </r>
  <r>
    <n v="1470"/>
    <x v="5"/>
    <x v="9"/>
    <x v="4"/>
    <s v="Freshwater"/>
    <x v="0"/>
    <x v="0"/>
    <s v="844"/>
    <s v="Skykomish River"/>
    <s v="Skykomish River"/>
    <s v="Snohomish"/>
    <x v="0"/>
    <s v="Whatcom"/>
    <s v="01Whatcom"/>
    <s v="01North Puget Sound"/>
    <n v="6.5128205128205101"/>
    <n v="3.2564102564102599"/>
    <n v="60.406410256410325"/>
  </r>
  <r>
    <n v="1487"/>
    <x v="5"/>
    <x v="9"/>
    <x v="4"/>
    <s v="Freshwater"/>
    <x v="0"/>
    <x v="0"/>
    <s v="846"/>
    <s v="Skykomish River, No. Fork"/>
    <s v="Skykomish River, No. Fork"/>
    <s v="Snohomish"/>
    <x v="0"/>
    <s v="King"/>
    <s v="06King"/>
    <s v="02South Puget Sound"/>
    <n v="19.6666666666667"/>
    <n v="9.8333333333333304"/>
    <n v="182.40833333333327"/>
  </r>
  <r>
    <n v="1488"/>
    <x v="5"/>
    <x v="9"/>
    <x v="4"/>
    <s v="Freshwater"/>
    <x v="0"/>
    <x v="0"/>
    <s v="846"/>
    <s v="Skykomish River, No. Fork"/>
    <s v="Skykomish River, No. Fork"/>
    <s v="Snohomish"/>
    <x v="0"/>
    <s v="Snohomish"/>
    <s v="03Snohomish"/>
    <s v="01North Puget Sound"/>
    <n v="98.3333333333334"/>
    <n v="49.1666666666667"/>
    <n v="912.04166666666731"/>
  </r>
  <r>
    <n v="1496"/>
    <x v="5"/>
    <x v="9"/>
    <x v="4"/>
    <s v="Freshwater"/>
    <x v="0"/>
    <x v="0"/>
    <s v="848"/>
    <s v="Skykomish River, So. Fork"/>
    <s v="Skykomish River, So. Fork"/>
    <s v="Snohomish/King"/>
    <x v="0"/>
    <s v="Snohomish"/>
    <s v="03Snohomish"/>
    <s v="01North Puget Sound"/>
    <n v="7"/>
    <n v="3.5"/>
    <n v="64.924999999999997"/>
  </r>
  <r>
    <n v="1497"/>
    <x v="5"/>
    <x v="9"/>
    <x v="4"/>
    <s v="Freshwater"/>
    <x v="0"/>
    <x v="0"/>
    <s v="848"/>
    <s v="Skykomish River, So. Fork"/>
    <s v="Skykomish River, So. Fork"/>
    <s v="Snohomish/King"/>
    <x v="0"/>
    <s v="Thurston"/>
    <s v="08Thurston"/>
    <s v="02South Puget Sound"/>
    <n v="7"/>
    <n v="3.5"/>
    <n v="64.924999999999997"/>
  </r>
  <r>
    <n v="1505"/>
    <x v="5"/>
    <x v="9"/>
    <x v="4"/>
    <s v="Freshwater"/>
    <x v="0"/>
    <x v="0"/>
    <s v="850"/>
    <s v="Snohomish River"/>
    <s v="Snohomish River"/>
    <s v="Snohomish"/>
    <x v="0"/>
    <s v="Snohomish"/>
    <s v="03Snohomish"/>
    <s v="01North Puget Sound"/>
    <n v="124"/>
    <n v="62"/>
    <n v="1150.1000000000001"/>
  </r>
  <r>
    <n v="1515"/>
    <x v="5"/>
    <x v="9"/>
    <x v="4"/>
    <s v="Freshwater"/>
    <x v="0"/>
    <x v="0"/>
    <s v="852"/>
    <s v="Snoqualmie River"/>
    <s v="Snoqualmie River"/>
    <s v="Snohomish/King"/>
    <x v="0"/>
    <s v="King"/>
    <s v="06King"/>
    <s v="02South Puget Sound"/>
    <n v="331.5"/>
    <n v="165.75"/>
    <n v="3074.6624999999999"/>
  </r>
  <r>
    <n v="1516"/>
    <x v="5"/>
    <x v="9"/>
    <x v="4"/>
    <s v="Freshwater"/>
    <x v="0"/>
    <x v="0"/>
    <s v="852"/>
    <s v="Snoqualmie River"/>
    <s v="Snoqualmie River"/>
    <s v="Snohomish/King"/>
    <x v="0"/>
    <s v="Other"/>
    <s v="20Other"/>
    <s v="07Non Puget Sound"/>
    <n v="13"/>
    <n v="6.5"/>
    <n v="120.575"/>
  </r>
  <r>
    <n v="1517"/>
    <x v="5"/>
    <x v="9"/>
    <x v="4"/>
    <s v="Freshwater"/>
    <x v="0"/>
    <x v="0"/>
    <s v="852"/>
    <s v="Snoqualmie River"/>
    <s v="Snoqualmie River"/>
    <s v="Snohomish/King"/>
    <x v="0"/>
    <s v="Snohomish"/>
    <s v="03Snohomish"/>
    <s v="01North Puget Sound"/>
    <n v="19.5"/>
    <n v="9.75"/>
    <n v="180.86250000000001"/>
  </r>
  <r>
    <n v="1558"/>
    <x v="5"/>
    <x v="9"/>
    <x v="4"/>
    <s v="Freshwater"/>
    <x v="0"/>
    <x v="0"/>
    <s v="872"/>
    <s v="Stillaguamish R, No. Fork"/>
    <s v="Stillaguamish R, No. Fork"/>
    <s v="Snohomish"/>
    <x v="0"/>
    <s v="Island"/>
    <s v="04Island"/>
    <s v="01North Puget Sound"/>
    <n v="6.25"/>
    <n v="3.125"/>
    <n v="57.96875"/>
  </r>
  <r>
    <n v="1559"/>
    <x v="5"/>
    <x v="9"/>
    <x v="4"/>
    <s v="Freshwater"/>
    <x v="0"/>
    <x v="0"/>
    <s v="872"/>
    <s v="Stillaguamish R, No. Fork"/>
    <s v="Stillaguamish R, No. Fork"/>
    <s v="Snohomish"/>
    <x v="0"/>
    <s v="Skagit"/>
    <s v="02Skagit"/>
    <s v="01North Puget Sound"/>
    <n v="6.25"/>
    <n v="3.125"/>
    <n v="57.96875"/>
  </r>
  <r>
    <n v="1560"/>
    <x v="5"/>
    <x v="9"/>
    <x v="4"/>
    <s v="Freshwater"/>
    <x v="0"/>
    <x v="0"/>
    <s v="872"/>
    <s v="Stillaguamish R, No. Fork"/>
    <s v="Stillaguamish R, No. Fork"/>
    <s v="Snohomish"/>
    <x v="0"/>
    <s v="Snohomish"/>
    <s v="03Snohomish"/>
    <s v="01North Puget Sound"/>
    <n v="31.25"/>
    <n v="15.625"/>
    <n v="289.84375"/>
  </r>
  <r>
    <n v="1561"/>
    <x v="5"/>
    <x v="9"/>
    <x v="4"/>
    <s v="Freshwater"/>
    <x v="0"/>
    <x v="0"/>
    <s v="872"/>
    <s v="Stillaguamish R, No. Fork"/>
    <s v="Stillaguamish R, No. Fork"/>
    <s v="Snohomish"/>
    <x v="0"/>
    <s v="Whatcom"/>
    <s v="01Whatcom"/>
    <s v="01North Puget Sound"/>
    <n v="6.25"/>
    <n v="3.125"/>
    <n v="57.96875"/>
  </r>
  <r>
    <n v="1563"/>
    <x v="5"/>
    <x v="9"/>
    <x v="4"/>
    <s v="Freshwater"/>
    <x v="0"/>
    <x v="0"/>
    <s v="874"/>
    <s v="Stillaguamish R, So. Fork"/>
    <s v="Stillaguamish R, So. Fork"/>
    <s v="Snohomish"/>
    <x v="0"/>
    <s v="Other"/>
    <s v="20Other"/>
    <s v="07Non Puget Sound"/>
    <n v="6"/>
    <n v="3"/>
    <n v="55.650000000000006"/>
  </r>
  <r>
    <n v="1521"/>
    <x v="5"/>
    <x v="9"/>
    <x v="4"/>
    <s v="Freshwater"/>
    <x v="0"/>
    <x v="0"/>
    <s v="856"/>
    <s v="Tokul Creek"/>
    <s v="Tokul Creek"/>
    <s v="King"/>
    <x v="0"/>
    <s v="King"/>
    <s v="06King"/>
    <s v="02South Puget Sound"/>
    <n v="1374.25217391304"/>
    <n v="687.12608695652204"/>
    <n v="12746.188913043485"/>
  </r>
  <r>
    <n v="1522"/>
    <x v="5"/>
    <x v="9"/>
    <x v="4"/>
    <s v="Freshwater"/>
    <x v="0"/>
    <x v="0"/>
    <s v="856"/>
    <s v="Tokul Creek"/>
    <s v="Tokul Creek"/>
    <s v="King"/>
    <x v="0"/>
    <s v="Other"/>
    <s v="20Other"/>
    <s v="07Non Puget Sound"/>
    <n v="39.078260869565199"/>
    <n v="19.539130434782599"/>
    <n v="362.45086956521726"/>
  </r>
  <r>
    <n v="1523"/>
    <x v="5"/>
    <x v="9"/>
    <x v="4"/>
    <s v="Freshwater"/>
    <x v="0"/>
    <x v="0"/>
    <s v="856"/>
    <s v="Tokul Creek"/>
    <s v="Tokul Creek"/>
    <s v="King"/>
    <x v="0"/>
    <s v="Pierce"/>
    <s v="07Pierce"/>
    <s v="02South Puget Sound"/>
    <n v="13.0260869565217"/>
    <n v="6.5130434782608697"/>
    <n v="120.81695652173914"/>
  </r>
  <r>
    <n v="1524"/>
    <x v="5"/>
    <x v="9"/>
    <x v="4"/>
    <s v="Freshwater"/>
    <x v="0"/>
    <x v="0"/>
    <s v="856"/>
    <s v="Tokul Creek"/>
    <s v="Tokul Creek"/>
    <s v="King"/>
    <x v="0"/>
    <s v="Snohomish"/>
    <s v="03Snohomish"/>
    <s v="01North Puget Sound"/>
    <n v="65.130434782608702"/>
    <n v="32.565217391304401"/>
    <n v="604.08478260869663"/>
  </r>
  <r>
    <n v="1525"/>
    <x v="5"/>
    <x v="9"/>
    <x v="4"/>
    <s v="Freshwater"/>
    <x v="0"/>
    <x v="0"/>
    <s v="856"/>
    <s v="Tokul Creek"/>
    <s v="Tokul Creek"/>
    <s v="King"/>
    <x v="0"/>
    <s v="Thurston"/>
    <s v="08Thurston"/>
    <s v="02South Puget Sound"/>
    <n v="6.5130434782608697"/>
    <n v="3.2565217391304402"/>
    <n v="60.408478260869664"/>
  </r>
  <r>
    <n v="1531"/>
    <x v="5"/>
    <x v="9"/>
    <x v="4"/>
    <s v="Freshwater"/>
    <x v="0"/>
    <x v="0"/>
    <s v="858"/>
    <s v="Tolt River"/>
    <s v="Tolt River"/>
    <s v="King"/>
    <x v="0"/>
    <s v="King"/>
    <s v="06King"/>
    <s v="02South Puget Sound"/>
    <n v="26"/>
    <n v="13"/>
    <n v="241.15"/>
  </r>
  <r>
    <n v="1541"/>
    <x v="5"/>
    <x v="9"/>
    <x v="4"/>
    <s v="Freshwater"/>
    <x v="0"/>
    <x v="0"/>
    <s v="860"/>
    <s v="Wallace River"/>
    <s v="Wallace River"/>
    <s v="Snohomish"/>
    <x v="0"/>
    <s v="King"/>
    <s v="06King"/>
    <s v="02South Puget Sound"/>
    <n v="103.68"/>
    <n v="51.84"/>
    <n v="961.63200000000006"/>
  </r>
  <r>
    <n v="1542"/>
    <x v="5"/>
    <x v="9"/>
    <x v="4"/>
    <s v="Freshwater"/>
    <x v="0"/>
    <x v="0"/>
    <s v="860"/>
    <s v="Wallace River"/>
    <s v="Wallace River"/>
    <s v="Snohomish"/>
    <x v="0"/>
    <s v="Snohomish"/>
    <s v="03Snohomish"/>
    <s v="01North Puget Sound"/>
    <n v="51.84"/>
    <n v="25.92"/>
    <n v="480.81600000000003"/>
  </r>
  <r>
    <n v="1543"/>
    <x v="5"/>
    <x v="9"/>
    <x v="4"/>
    <s v="Freshwater"/>
    <x v="0"/>
    <x v="0"/>
    <s v="860"/>
    <s v="Wallace River"/>
    <s v="Wallace River"/>
    <s v="Snohomish"/>
    <x v="0"/>
    <s v="Whatcom"/>
    <s v="01Whatcom"/>
    <s v="01North Puget Sound"/>
    <n v="6.48"/>
    <n v="3.24"/>
    <n v="60.102000000000004"/>
  </r>
  <r>
    <n v="1566"/>
    <x v="5"/>
    <x v="9"/>
    <x v="4"/>
    <s v="Freshwater"/>
    <x v="0"/>
    <x v="0"/>
    <s v="884"/>
    <s v="Whatcom Creek"/>
    <s v="Whatcom Creek"/>
    <s v="Whatcom"/>
    <x v="1"/>
    <s v="Whatcom"/>
    <s v="01Whatcom"/>
    <s v="01North Puget Sound"/>
    <n v="12"/>
    <n v="6"/>
    <n v="111.30000000000001"/>
  </r>
  <r>
    <n v="1393"/>
    <x v="5"/>
    <x v="9"/>
    <x v="4"/>
    <s v="Freshwater"/>
    <x v="0"/>
    <x v="0"/>
    <s v="808"/>
    <s v="White (Stuck) River"/>
    <s v="White (Stuck) River"/>
    <s v="Pierce"/>
    <x v="2"/>
    <s v="King"/>
    <s v="06King"/>
    <s v="02South Puget Sound"/>
    <n v="6"/>
    <n v="3"/>
    <n v="55.650000000000006"/>
  </r>
  <r>
    <n v="1416"/>
    <x v="5"/>
    <x v="10"/>
    <x v="4"/>
    <s v="Freshwater"/>
    <x v="0"/>
    <x v="0"/>
    <s v="826"/>
    <s v="Cascade River"/>
    <s v="Cascade River"/>
    <s v="Skagit"/>
    <x v="1"/>
    <s v="Skagit"/>
    <s v="02Skagit"/>
    <s v="01North Puget Sound"/>
    <n v="34"/>
    <n v="17"/>
    <n v="315.35000000000002"/>
  </r>
  <r>
    <n v="1347"/>
    <x v="5"/>
    <x v="10"/>
    <x v="4"/>
    <s v="Freshwater"/>
    <x v="0"/>
    <x v="0"/>
    <s v="738"/>
    <s v="Dungeness River"/>
    <s v="Dungeness River"/>
    <s v="Clallam"/>
    <x v="3"/>
    <s v="Clallam"/>
    <s v="11Clallam"/>
    <s v="03Strait of Juan de Fuca"/>
    <n v="6"/>
    <n v="3"/>
    <n v="55.650000000000006"/>
  </r>
  <r>
    <n v="1378"/>
    <x v="5"/>
    <x v="10"/>
    <x v="4"/>
    <s v="Freshwater"/>
    <x v="0"/>
    <x v="0"/>
    <s v="752"/>
    <s v="Hoko River"/>
    <s v="Hoko River"/>
    <s v="Clallam"/>
    <x v="3"/>
    <s v="Clallam"/>
    <s v="11Clallam"/>
    <s v="03Strait of Juan de Fuca"/>
    <n v="21.6666666666667"/>
    <n v="10.8333333333333"/>
    <n v="200.95833333333272"/>
  </r>
  <r>
    <n v="1379"/>
    <x v="5"/>
    <x v="10"/>
    <x v="4"/>
    <s v="Freshwater"/>
    <x v="0"/>
    <x v="0"/>
    <s v="752"/>
    <s v="Hoko River"/>
    <s v="Hoko River"/>
    <s v="Clallam"/>
    <x v="3"/>
    <s v="Snohomish"/>
    <s v="03Snohomish"/>
    <s v="01North Puget Sound"/>
    <n v="4.3333333333333304"/>
    <n v="2.1666666666666701"/>
    <n v="40.191666666666734"/>
  </r>
  <r>
    <n v="1386"/>
    <x v="5"/>
    <x v="10"/>
    <x v="4"/>
    <s v="Freshwater"/>
    <x v="0"/>
    <x v="0"/>
    <s v="790"/>
    <s v="Nooksack River, No. Fork"/>
    <s v="Nooksack River, No. Fork"/>
    <s v="Whatcom"/>
    <x v="1"/>
    <s v="Whatcom"/>
    <s v="01Whatcom"/>
    <s v="01North Puget Sound"/>
    <n v="12"/>
    <n v="6"/>
    <n v="111.30000000000001"/>
  </r>
  <r>
    <n v="1428"/>
    <x v="5"/>
    <x v="10"/>
    <x v="4"/>
    <s v="Freshwater"/>
    <x v="0"/>
    <x v="0"/>
    <s v="830"/>
    <s v="Skagit River"/>
    <s v="Skagit River"/>
    <s v="Skagit/Whatcom"/>
    <x v="0"/>
    <s v="Skagit"/>
    <s v="02Skagit"/>
    <s v="01North Puget Sound"/>
    <n v="6"/>
    <n v="3"/>
    <n v="55.650000000000006"/>
  </r>
  <r>
    <n v="1471"/>
    <x v="5"/>
    <x v="10"/>
    <x v="4"/>
    <s v="Freshwater"/>
    <x v="0"/>
    <x v="0"/>
    <s v="844"/>
    <s v="Skykomish River"/>
    <s v="Skykomish River"/>
    <s v="Snohomish"/>
    <x v="0"/>
    <s v="King"/>
    <s v="06King"/>
    <s v="02South Puget Sound"/>
    <n v="6.5454545454545503"/>
    <n v="3.2727272727272698"/>
    <n v="60.709090909090861"/>
  </r>
  <r>
    <n v="1472"/>
    <x v="5"/>
    <x v="10"/>
    <x v="4"/>
    <s v="Freshwater"/>
    <x v="0"/>
    <x v="0"/>
    <s v="844"/>
    <s v="Skykomish River"/>
    <s v="Skykomish River"/>
    <s v="Snohomish"/>
    <x v="0"/>
    <s v="Snohomish"/>
    <s v="03Snohomish"/>
    <s v="01North Puget Sound"/>
    <n v="65.454545454545496"/>
    <n v="32.727272727272698"/>
    <n v="607.09090909090855"/>
  </r>
  <r>
    <n v="1562"/>
    <x v="5"/>
    <x v="10"/>
    <x v="4"/>
    <s v="Freshwater"/>
    <x v="0"/>
    <x v="0"/>
    <s v="872"/>
    <s v="Stillaguamish R, No. Fork"/>
    <s v="Stillaguamish R, No. Fork"/>
    <s v="Snohomish"/>
    <x v="0"/>
    <s v="Skagit"/>
    <s v="02Skagit"/>
    <s v="01North Puget Sound"/>
    <n v="6"/>
    <n v="3"/>
    <n v="55.650000000000006"/>
  </r>
  <r>
    <n v="1526"/>
    <x v="5"/>
    <x v="10"/>
    <x v="4"/>
    <s v="Freshwater"/>
    <x v="0"/>
    <x v="0"/>
    <s v="856"/>
    <s v="Tokul Creek"/>
    <s v="Tokul Creek"/>
    <s v="King"/>
    <x v="0"/>
    <s v="King"/>
    <s v="06King"/>
    <s v="02South Puget Sound"/>
    <n v="169"/>
    <n v="84.5"/>
    <n v="1567.4750000000001"/>
  </r>
  <r>
    <n v="1527"/>
    <x v="5"/>
    <x v="10"/>
    <x v="4"/>
    <s v="Freshwater"/>
    <x v="0"/>
    <x v="0"/>
    <s v="856"/>
    <s v="Tokul Creek"/>
    <s v="Tokul Creek"/>
    <s v="King"/>
    <x v="0"/>
    <s v="Snohomish"/>
    <s v="03Snohomish"/>
    <s v="01North Puget Sound"/>
    <n v="13"/>
    <n v="6.5"/>
    <n v="120.575"/>
  </r>
  <r>
    <n v="1544"/>
    <x v="5"/>
    <x v="10"/>
    <x v="4"/>
    <s v="Freshwater"/>
    <x v="0"/>
    <x v="0"/>
    <s v="860"/>
    <s v="Wallace River"/>
    <s v="Wallace River"/>
    <s v="Snohomish"/>
    <x v="0"/>
    <s v="King"/>
    <s v="06King"/>
    <s v="02South Puget Sound"/>
    <n v="7"/>
    <n v="3.5"/>
    <n v="64.924999999999997"/>
  </r>
  <r>
    <n v="1545"/>
    <x v="5"/>
    <x v="10"/>
    <x v="4"/>
    <s v="Freshwater"/>
    <x v="0"/>
    <x v="0"/>
    <s v="860"/>
    <s v="Wallace River"/>
    <s v="Wallace River"/>
    <s v="Snohomish"/>
    <x v="0"/>
    <s v="Snohomish"/>
    <s v="03Snohomish"/>
    <s v="01North Puget Sound"/>
    <n v="7"/>
    <n v="3.5"/>
    <n v="64.924999999999997"/>
  </r>
  <r>
    <n v="1380"/>
    <x v="5"/>
    <x v="11"/>
    <x v="4"/>
    <s v="Freshwater"/>
    <x v="0"/>
    <x v="0"/>
    <s v="752"/>
    <s v="Hoko River"/>
    <s v="Hoko River"/>
    <s v="Clallam"/>
    <x v="3"/>
    <s v="Clallam"/>
    <s v="11Clallam"/>
    <s v="03Strait of Juan de Fuca"/>
    <n v="14"/>
    <n v="7"/>
    <n v="129.85"/>
  </r>
  <r>
    <n v="1730"/>
    <x v="5"/>
    <x v="0"/>
    <x v="5"/>
    <s v="Freshwater"/>
    <x v="0"/>
    <x v="0"/>
    <s v="9"/>
    <s v="Area 9: Admiralty Inlet"/>
    <s v="Area 9: Admiralty Inlet"/>
    <s v="NA"/>
    <x v="0"/>
    <s v="Snohomish"/>
    <s v="03Snohomish"/>
    <s v="01North Puget Sound"/>
    <n v="114"/>
    <n v="57"/>
    <n v="1057.3500000000001"/>
  </r>
  <r>
    <n v="1731"/>
    <x v="5"/>
    <x v="1"/>
    <x v="5"/>
    <s v="Freshwater"/>
    <x v="0"/>
    <x v="0"/>
    <s v="9"/>
    <s v="Area 9: Admiralty Inlet"/>
    <s v="Area 9: Admiralty Inlet"/>
    <s v="NA"/>
    <x v="0"/>
    <s v="Island"/>
    <s v="04Island"/>
    <s v="01North Puget Sound"/>
    <n v="17"/>
    <n v="8.5"/>
    <n v="157.67500000000001"/>
  </r>
  <r>
    <n v="1732"/>
    <x v="5"/>
    <x v="1"/>
    <x v="5"/>
    <s v="Freshwater"/>
    <x v="0"/>
    <x v="0"/>
    <s v="9"/>
    <s v="Area 9: Admiralty Inlet"/>
    <s v="Area 9: Admiralty Inlet"/>
    <s v="NA"/>
    <x v="0"/>
    <s v="Snohomish"/>
    <s v="03Snohomish"/>
    <s v="01North Puget Sound"/>
    <n v="51"/>
    <n v="25.5"/>
    <n v="473.02500000000003"/>
  </r>
  <r>
    <n v="1721"/>
    <x v="5"/>
    <x v="2"/>
    <x v="5"/>
    <s v="Freshwater"/>
    <x v="0"/>
    <x v="0"/>
    <s v="866"/>
    <s v="Canyon Creek"/>
    <s v="Canyon Creek"/>
    <s v="Snohomish"/>
    <x v="0"/>
    <s v="Snohomish"/>
    <s v="03Snohomish"/>
    <s v="01North Puget Sound"/>
    <n v="8"/>
    <n v="4"/>
    <n v="74.2"/>
  </r>
  <r>
    <n v="1585"/>
    <x v="5"/>
    <x v="2"/>
    <x v="5"/>
    <s v="Freshwater"/>
    <x v="0"/>
    <x v="0"/>
    <s v="746"/>
    <s v="Green (Duwamish River) (King Co.)"/>
    <s v="Green - Duwamish River"/>
    <s v="King"/>
    <x v="2"/>
    <s v="Pierce"/>
    <s v="07Pierce"/>
    <s v="02South Puget Sound"/>
    <n v="8"/>
    <n v="4"/>
    <n v="74.2"/>
  </r>
  <r>
    <n v="1636"/>
    <x v="5"/>
    <x v="2"/>
    <x v="5"/>
    <s v="Freshwater"/>
    <x v="0"/>
    <x v="0"/>
    <s v="844"/>
    <s v="Skykomish River"/>
    <s v="Skykomish River"/>
    <s v="Snohomish"/>
    <x v="0"/>
    <s v="King"/>
    <s v="06King"/>
    <s v="02South Puget Sound"/>
    <n v="360.38709677419399"/>
    <n v="180.193548387097"/>
    <n v="3342.5903225806496"/>
  </r>
  <r>
    <n v="1637"/>
    <x v="5"/>
    <x v="2"/>
    <x v="5"/>
    <s v="Freshwater"/>
    <x v="0"/>
    <x v="0"/>
    <s v="844"/>
    <s v="Skykomish River"/>
    <s v="Skykomish River"/>
    <s v="Snohomish"/>
    <x v="0"/>
    <s v="Other"/>
    <s v="20Other"/>
    <s v="07Non Puget Sound"/>
    <n v="19.306451612903199"/>
    <n v="9.6532258064516103"/>
    <n v="179.06733870967739"/>
  </r>
  <r>
    <n v="1638"/>
    <x v="5"/>
    <x v="2"/>
    <x v="5"/>
    <s v="Freshwater"/>
    <x v="0"/>
    <x v="0"/>
    <s v="844"/>
    <s v="Skykomish River"/>
    <s v="Skykomish River"/>
    <s v="Snohomish"/>
    <x v="0"/>
    <s v="Pierce"/>
    <s v="07Pierce"/>
    <s v="02South Puget Sound"/>
    <n v="25.741935483871"/>
    <n v="12.8709677419355"/>
    <n v="238.75645161290353"/>
  </r>
  <r>
    <n v="1639"/>
    <x v="5"/>
    <x v="2"/>
    <x v="5"/>
    <s v="Freshwater"/>
    <x v="0"/>
    <x v="0"/>
    <s v="844"/>
    <s v="Skykomish River"/>
    <s v="Skykomish River"/>
    <s v="Snohomish"/>
    <x v="0"/>
    <s v="Skagit"/>
    <s v="02Skagit"/>
    <s v="01North Puget Sound"/>
    <n v="6.4354838709677402"/>
    <n v="3.2177419354838701"/>
    <n v="59.689112903225791"/>
  </r>
  <r>
    <n v="1640"/>
    <x v="5"/>
    <x v="2"/>
    <x v="5"/>
    <s v="Freshwater"/>
    <x v="0"/>
    <x v="0"/>
    <s v="844"/>
    <s v="Skykomish River"/>
    <s v="Skykomish River"/>
    <s v="Snohomish"/>
    <x v="0"/>
    <s v="Snohomish"/>
    <s v="03Snohomish"/>
    <s v="01North Puget Sound"/>
    <n v="386.12903225806502"/>
    <n v="193.064516129032"/>
    <n v="3581.3467741935438"/>
  </r>
  <r>
    <n v="1668"/>
    <x v="5"/>
    <x v="2"/>
    <x v="5"/>
    <s v="Freshwater"/>
    <x v="0"/>
    <x v="0"/>
    <s v="846"/>
    <s v="Skykomish River, No. Fork"/>
    <s v="Skykomish River, No. Fork"/>
    <s v="Snohomish"/>
    <x v="0"/>
    <s v="Snohomish"/>
    <s v="03Snohomish"/>
    <s v="01North Puget Sound"/>
    <n v="12"/>
    <n v="6"/>
    <n v="111.30000000000001"/>
  </r>
  <r>
    <n v="1675"/>
    <x v="5"/>
    <x v="2"/>
    <x v="5"/>
    <s v="Freshwater"/>
    <x v="0"/>
    <x v="0"/>
    <s v="848"/>
    <s v="Skykomish River, So. Fork"/>
    <s v="Skykomish River, So. Fork"/>
    <s v="Snohomish/King"/>
    <x v="0"/>
    <s v="Whatcom"/>
    <s v="01Whatcom"/>
    <s v="01North Puget Sound"/>
    <n v="6"/>
    <n v="3"/>
    <n v="55.650000000000006"/>
  </r>
  <r>
    <n v="1682"/>
    <x v="5"/>
    <x v="2"/>
    <x v="5"/>
    <s v="Freshwater"/>
    <x v="0"/>
    <x v="0"/>
    <s v="850"/>
    <s v="Snohomish River"/>
    <s v="Snohomish River"/>
    <s v="Snohomish"/>
    <x v="0"/>
    <s v="Snohomish"/>
    <s v="03Snohomish"/>
    <s v="01North Puget Sound"/>
    <n v="32"/>
    <n v="16"/>
    <n v="296.8"/>
  </r>
  <r>
    <n v="1691"/>
    <x v="5"/>
    <x v="2"/>
    <x v="5"/>
    <s v="Freshwater"/>
    <x v="0"/>
    <x v="0"/>
    <s v="852"/>
    <s v="Snoqualmie River"/>
    <s v="Snoqualmie River"/>
    <s v="Snohomish/King"/>
    <x v="0"/>
    <s v="King"/>
    <s v="06King"/>
    <s v="02South Puget Sound"/>
    <n v="6"/>
    <n v="3"/>
    <n v="55.650000000000006"/>
  </r>
  <r>
    <n v="1733"/>
    <x v="5"/>
    <x v="3"/>
    <x v="5"/>
    <s v="Freshwater"/>
    <x v="0"/>
    <x v="0"/>
    <s v="9"/>
    <s v="Area 9: Admiralty Inlet"/>
    <s v="Area 9: Admiralty Inlet"/>
    <s v="NA"/>
    <x v="0"/>
    <s v="Snohomish"/>
    <s v="03Snohomish"/>
    <s v="01North Puget Sound"/>
    <n v="16"/>
    <n v="8"/>
    <n v="148.4"/>
  </r>
  <r>
    <n v="1586"/>
    <x v="5"/>
    <x v="3"/>
    <x v="5"/>
    <s v="Freshwater"/>
    <x v="0"/>
    <x v="0"/>
    <s v="746"/>
    <s v="Green (Duwamish River) (King Co.)"/>
    <s v="Green - Duwamish River"/>
    <s v="King"/>
    <x v="2"/>
    <s v="King"/>
    <s v="06King"/>
    <s v="02South Puget Sound"/>
    <n v="37.142857142857203"/>
    <n v="18.571428571428601"/>
    <n v="344.50000000000057"/>
  </r>
  <r>
    <n v="1587"/>
    <x v="5"/>
    <x v="3"/>
    <x v="5"/>
    <s v="Freshwater"/>
    <x v="0"/>
    <x v="0"/>
    <s v="746"/>
    <s v="Green (Duwamish River) (King Co.)"/>
    <s v="Green - Duwamish River"/>
    <s v="King"/>
    <x v="2"/>
    <s v="Other"/>
    <s v="20Other"/>
    <s v="07Non Puget Sound"/>
    <n v="14.8571428571429"/>
    <n v="7.4285714285714297"/>
    <n v="137.80000000000004"/>
  </r>
  <r>
    <n v="1641"/>
    <x v="5"/>
    <x v="3"/>
    <x v="5"/>
    <s v="Freshwater"/>
    <x v="0"/>
    <x v="0"/>
    <s v="844"/>
    <s v="Skykomish River"/>
    <s v="Skykomish River"/>
    <s v="Snohomish"/>
    <x v="0"/>
    <s v="King"/>
    <s v="06King"/>
    <s v="02South Puget Sound"/>
    <n v="109.846153846154"/>
    <n v="54.923076923076898"/>
    <n v="1018.8230769230765"/>
  </r>
  <r>
    <n v="1642"/>
    <x v="5"/>
    <x v="3"/>
    <x v="5"/>
    <s v="Freshwater"/>
    <x v="0"/>
    <x v="0"/>
    <s v="844"/>
    <s v="Skykomish River"/>
    <s v="Skykomish River"/>
    <s v="Snohomish"/>
    <x v="0"/>
    <s v="Snohomish"/>
    <s v="03Snohomish"/>
    <s v="01North Puget Sound"/>
    <n v="142.15384615384599"/>
    <n v="71.076923076923094"/>
    <n v="1318.4769230769234"/>
  </r>
  <r>
    <n v="1669"/>
    <x v="5"/>
    <x v="3"/>
    <x v="5"/>
    <s v="Freshwater"/>
    <x v="0"/>
    <x v="0"/>
    <s v="846"/>
    <s v="Skykomish River, No. Fork"/>
    <s v="Skykomish River, No. Fork"/>
    <s v="Snohomish"/>
    <x v="0"/>
    <s v="King"/>
    <s v="06King"/>
    <s v="02South Puget Sound"/>
    <n v="20"/>
    <n v="10"/>
    <n v="185.5"/>
  </r>
  <r>
    <n v="1599"/>
    <x v="5"/>
    <x v="3"/>
    <x v="5"/>
    <s v="Freshwater"/>
    <x v="0"/>
    <x v="0"/>
    <s v="748"/>
    <s v="Soos Creek"/>
    <s v="Soos Creek"/>
    <s v="King"/>
    <x v="2"/>
    <s v="Pierce"/>
    <s v="07Pierce"/>
    <s v="02South Puget Sound"/>
    <n v="8"/>
    <n v="4"/>
    <n v="74.2"/>
  </r>
  <r>
    <n v="1588"/>
    <x v="5"/>
    <x v="4"/>
    <x v="5"/>
    <s v="Freshwater"/>
    <x v="0"/>
    <x v="0"/>
    <s v="746"/>
    <s v="Green (Duwamish River) (King Co.)"/>
    <s v="Green - Duwamish River"/>
    <s v="King"/>
    <x v="2"/>
    <s v="Pierce"/>
    <s v="07Pierce"/>
    <s v="02South Puget Sound"/>
    <n v="8"/>
    <n v="4"/>
    <n v="74.2"/>
  </r>
  <r>
    <n v="1643"/>
    <x v="5"/>
    <x v="4"/>
    <x v="5"/>
    <s v="Freshwater"/>
    <x v="0"/>
    <x v="0"/>
    <s v="844"/>
    <s v="Skykomish River"/>
    <s v="Skykomish River"/>
    <s v="Snohomish"/>
    <x v="0"/>
    <s v="King"/>
    <s v="06King"/>
    <s v="02South Puget Sound"/>
    <n v="270.375"/>
    <n v="135.1875"/>
    <n v="2507.7281250000001"/>
  </r>
  <r>
    <n v="1644"/>
    <x v="5"/>
    <x v="4"/>
    <x v="5"/>
    <s v="Freshwater"/>
    <x v="0"/>
    <x v="0"/>
    <s v="844"/>
    <s v="Skykomish River"/>
    <s v="Skykomish River"/>
    <s v="Snohomish"/>
    <x v="0"/>
    <s v="Snohomish"/>
    <s v="03Snohomish"/>
    <s v="01North Puget Sound"/>
    <n v="521.4375"/>
    <n v="260.71875"/>
    <n v="4836.3328124999998"/>
  </r>
  <r>
    <n v="1645"/>
    <x v="5"/>
    <x v="4"/>
    <x v="5"/>
    <s v="Freshwater"/>
    <x v="0"/>
    <x v="0"/>
    <s v="844"/>
    <s v="Skykomish River"/>
    <s v="Skykomish River"/>
    <s v="Snohomish"/>
    <x v="0"/>
    <s v="Thurston"/>
    <s v="08Thurston"/>
    <s v="02South Puget Sound"/>
    <n v="32.1875"/>
    <n v="16.09375"/>
    <n v="298.5390625"/>
  </r>
  <r>
    <n v="1670"/>
    <x v="5"/>
    <x v="4"/>
    <x v="5"/>
    <s v="Freshwater"/>
    <x v="0"/>
    <x v="0"/>
    <s v="846"/>
    <s v="Skykomish River, No. Fork"/>
    <s v="Skykomish River, No. Fork"/>
    <s v="Snohomish"/>
    <x v="0"/>
    <s v="Snohomish"/>
    <s v="03Snohomish"/>
    <s v="01North Puget Sound"/>
    <n v="12"/>
    <n v="6"/>
    <n v="111.30000000000001"/>
  </r>
  <r>
    <n v="1676"/>
    <x v="5"/>
    <x v="4"/>
    <x v="5"/>
    <s v="Freshwater"/>
    <x v="0"/>
    <x v="0"/>
    <s v="848"/>
    <s v="Skykomish River, So. Fork"/>
    <s v="Skykomish River, So. Fork"/>
    <s v="Snohomish/King"/>
    <x v="0"/>
    <s v="King"/>
    <s v="06King"/>
    <s v="02South Puget Sound"/>
    <n v="6"/>
    <n v="3"/>
    <n v="55.650000000000006"/>
  </r>
  <r>
    <n v="1683"/>
    <x v="5"/>
    <x v="4"/>
    <x v="5"/>
    <s v="Freshwater"/>
    <x v="0"/>
    <x v="0"/>
    <s v="850"/>
    <s v="Snohomish River"/>
    <s v="Snohomish River"/>
    <s v="Snohomish"/>
    <x v="0"/>
    <s v="King"/>
    <s v="06King"/>
    <s v="02South Puget Sound"/>
    <n v="6.5"/>
    <n v="3.25"/>
    <n v="60.287500000000001"/>
  </r>
  <r>
    <n v="1684"/>
    <x v="5"/>
    <x v="4"/>
    <x v="5"/>
    <s v="Freshwater"/>
    <x v="0"/>
    <x v="0"/>
    <s v="850"/>
    <s v="Snohomish River"/>
    <s v="Snohomish River"/>
    <s v="Snohomish"/>
    <x v="0"/>
    <s v="Snohomish"/>
    <s v="03Snohomish"/>
    <s v="01North Puget Sound"/>
    <n v="19.5"/>
    <n v="9.75"/>
    <n v="180.86250000000001"/>
  </r>
  <r>
    <n v="1692"/>
    <x v="5"/>
    <x v="4"/>
    <x v="5"/>
    <s v="Freshwater"/>
    <x v="0"/>
    <x v="0"/>
    <s v="852"/>
    <s v="Snoqualmie River"/>
    <s v="Snoqualmie River"/>
    <s v="Snohomish/King"/>
    <x v="0"/>
    <s v="King"/>
    <s v="06King"/>
    <s v="02South Puget Sound"/>
    <n v="6"/>
    <n v="3"/>
    <n v="55.650000000000006"/>
  </r>
  <r>
    <n v="1600"/>
    <x v="5"/>
    <x v="4"/>
    <x v="5"/>
    <s v="Freshwater"/>
    <x v="0"/>
    <x v="0"/>
    <s v="748"/>
    <s v="Soos Creek"/>
    <s v="Soos Creek"/>
    <s v="King"/>
    <x v="2"/>
    <s v="Pierce"/>
    <s v="07Pierce"/>
    <s v="02South Puget Sound"/>
    <n v="8"/>
    <n v="4"/>
    <n v="74.2"/>
  </r>
  <r>
    <n v="1589"/>
    <x v="5"/>
    <x v="5"/>
    <x v="5"/>
    <s v="Freshwater"/>
    <x v="0"/>
    <x v="0"/>
    <s v="746"/>
    <s v="Green (Duwamish River) (King Co.)"/>
    <s v="Green - Duwamish River"/>
    <s v="King"/>
    <x v="2"/>
    <s v="King"/>
    <s v="06King"/>
    <s v="02South Puget Sound"/>
    <n v="7.2"/>
    <n v="3.6"/>
    <n v="66.78"/>
  </r>
  <r>
    <n v="1590"/>
    <x v="5"/>
    <x v="5"/>
    <x v="5"/>
    <s v="Freshwater"/>
    <x v="0"/>
    <x v="0"/>
    <s v="746"/>
    <s v="Green (Duwamish River) (King Co.)"/>
    <s v="Green - Duwamish River"/>
    <s v="King"/>
    <x v="2"/>
    <s v="Other"/>
    <s v="20Other"/>
    <s v="07Non Puget Sound"/>
    <n v="7.2"/>
    <n v="3.6"/>
    <n v="66.78"/>
  </r>
  <r>
    <n v="1591"/>
    <x v="5"/>
    <x v="5"/>
    <x v="5"/>
    <s v="Freshwater"/>
    <x v="0"/>
    <x v="0"/>
    <s v="746"/>
    <s v="Green (Duwamish River) (King Co.)"/>
    <s v="Green - Duwamish River"/>
    <s v="King"/>
    <x v="2"/>
    <s v="Pierce"/>
    <s v="07Pierce"/>
    <s v="02South Puget Sound"/>
    <n v="21.6"/>
    <n v="10.8"/>
    <n v="200.34000000000003"/>
  </r>
  <r>
    <n v="1612"/>
    <x v="5"/>
    <x v="5"/>
    <x v="5"/>
    <s v="Freshwater"/>
    <x v="0"/>
    <x v="0"/>
    <s v="786"/>
    <s v="Nisqually River"/>
    <s v="Nisqually River"/>
    <s v="Thurston/Pierce"/>
    <x v="2"/>
    <s v="Other"/>
    <s v="20Other"/>
    <s v="07Non Puget Sound"/>
    <n v="0"/>
    <n v="0"/>
    <n v="0"/>
  </r>
  <r>
    <n v="1613"/>
    <x v="5"/>
    <x v="5"/>
    <x v="5"/>
    <s v="Freshwater"/>
    <x v="0"/>
    <x v="0"/>
    <s v="786"/>
    <s v="Nisqually River"/>
    <s v="Nisqually River"/>
    <s v="Thurston/Pierce"/>
    <x v="2"/>
    <s v="Thurston"/>
    <s v="08Thurston"/>
    <s v="02South Puget Sound"/>
    <n v="8"/>
    <n v="4"/>
    <n v="74.2"/>
  </r>
  <r>
    <n v="1646"/>
    <x v="5"/>
    <x v="5"/>
    <x v="5"/>
    <s v="Freshwater"/>
    <x v="0"/>
    <x v="0"/>
    <s v="844"/>
    <s v="Skykomish River"/>
    <s v="Skykomish River"/>
    <s v="Snohomish"/>
    <x v="0"/>
    <s v="Island"/>
    <s v="04Island"/>
    <s v="01North Puget Sound"/>
    <n v="13.0731707317073"/>
    <n v="6.5365853658536599"/>
    <n v="121.25365853658539"/>
  </r>
  <r>
    <n v="1647"/>
    <x v="5"/>
    <x v="5"/>
    <x v="5"/>
    <s v="Freshwater"/>
    <x v="0"/>
    <x v="0"/>
    <s v="844"/>
    <s v="Skykomish River"/>
    <s v="Skykomish River"/>
    <s v="Snohomish"/>
    <x v="0"/>
    <s v="King"/>
    <s v="06King"/>
    <s v="02South Puget Sound"/>
    <n v="215.707317073171"/>
    <n v="107.853658536585"/>
    <n v="2000.6853658536518"/>
  </r>
  <r>
    <n v="1648"/>
    <x v="5"/>
    <x v="5"/>
    <x v="5"/>
    <s v="Freshwater"/>
    <x v="0"/>
    <x v="0"/>
    <s v="844"/>
    <s v="Skykomish River"/>
    <s v="Skykomish River"/>
    <s v="Snohomish"/>
    <x v="0"/>
    <s v="Kitsap"/>
    <s v="10Kitsap"/>
    <s v="02South Puget Sound"/>
    <n v="6.5365853658536599"/>
    <n v="3.26829268292683"/>
    <n v="60.626829268292695"/>
  </r>
  <r>
    <n v="1649"/>
    <x v="5"/>
    <x v="5"/>
    <x v="5"/>
    <s v="Freshwater"/>
    <x v="0"/>
    <x v="0"/>
    <s v="844"/>
    <s v="Skykomish River"/>
    <s v="Skykomish River"/>
    <s v="Snohomish"/>
    <x v="0"/>
    <s v="Other"/>
    <s v="20Other"/>
    <s v="07Non Puget Sound"/>
    <n v="26.146341463414601"/>
    <n v="13.0731707317073"/>
    <n v="242.50731707317044"/>
  </r>
  <r>
    <n v="1650"/>
    <x v="5"/>
    <x v="5"/>
    <x v="5"/>
    <s v="Freshwater"/>
    <x v="0"/>
    <x v="0"/>
    <s v="844"/>
    <s v="Skykomish River"/>
    <s v="Skykomish River"/>
    <s v="Snohomish"/>
    <x v="0"/>
    <s v="Snohomish"/>
    <s v="03Snohomish"/>
    <s v="01North Puget Sound"/>
    <n v="542.53658536585397"/>
    <n v="271.26829268292698"/>
    <n v="5032.0268292682958"/>
  </r>
  <r>
    <n v="1677"/>
    <x v="5"/>
    <x v="5"/>
    <x v="5"/>
    <s v="Freshwater"/>
    <x v="0"/>
    <x v="0"/>
    <s v="848"/>
    <s v="Skykomish River, So. Fork"/>
    <s v="Skykomish River, So. Fork"/>
    <s v="Snohomish/King"/>
    <x v="0"/>
    <s v="King"/>
    <s v="06King"/>
    <s v="02South Puget Sound"/>
    <n v="12"/>
    <n v="6"/>
    <n v="111.30000000000001"/>
  </r>
  <r>
    <n v="1685"/>
    <x v="5"/>
    <x v="5"/>
    <x v="5"/>
    <s v="Freshwater"/>
    <x v="0"/>
    <x v="0"/>
    <s v="850"/>
    <s v="Snohomish River"/>
    <s v="Snohomish River"/>
    <s v="Snohomish"/>
    <x v="0"/>
    <s v="King"/>
    <s v="06King"/>
    <s v="02South Puget Sound"/>
    <n v="12.8"/>
    <n v="6.4"/>
    <n v="118.72000000000001"/>
  </r>
  <r>
    <n v="1686"/>
    <x v="5"/>
    <x v="5"/>
    <x v="5"/>
    <s v="Freshwater"/>
    <x v="0"/>
    <x v="0"/>
    <s v="850"/>
    <s v="Snohomish River"/>
    <s v="Snohomish River"/>
    <s v="Snohomish"/>
    <x v="0"/>
    <s v="Snohomish"/>
    <s v="03Snohomish"/>
    <s v="01North Puget Sound"/>
    <n v="19.2"/>
    <n v="9.6"/>
    <n v="178.08"/>
  </r>
  <r>
    <n v="1693"/>
    <x v="5"/>
    <x v="5"/>
    <x v="5"/>
    <s v="Freshwater"/>
    <x v="0"/>
    <x v="0"/>
    <s v="852"/>
    <s v="Snoqualmie River"/>
    <s v="Snoqualmie River"/>
    <s v="Snohomish/King"/>
    <x v="0"/>
    <s v="King"/>
    <s v="06King"/>
    <s v="02South Puget Sound"/>
    <n v="6"/>
    <n v="3"/>
    <n v="55.650000000000006"/>
  </r>
  <r>
    <n v="1722"/>
    <x v="5"/>
    <x v="5"/>
    <x v="5"/>
    <s v="Freshwater"/>
    <x v="0"/>
    <x v="0"/>
    <s v="872"/>
    <s v="Stillaguamish R, No. Fork"/>
    <s v="Stillaguamish R, No. Fork"/>
    <s v="Snohomish"/>
    <x v="0"/>
    <s v="King"/>
    <s v="06King"/>
    <s v="02South Puget Sound"/>
    <n v="7.5"/>
    <n v="3.75"/>
    <n v="69.5625"/>
  </r>
  <r>
    <n v="1723"/>
    <x v="5"/>
    <x v="5"/>
    <x v="5"/>
    <s v="Freshwater"/>
    <x v="0"/>
    <x v="0"/>
    <s v="872"/>
    <s v="Stillaguamish R, No. Fork"/>
    <s v="Stillaguamish R, No. Fork"/>
    <s v="Snohomish"/>
    <x v="0"/>
    <s v="Snohomish"/>
    <s v="03Snohomish"/>
    <s v="01North Puget Sound"/>
    <n v="22.5"/>
    <n v="11.25"/>
    <n v="208.6875"/>
  </r>
  <r>
    <n v="1726"/>
    <x v="5"/>
    <x v="5"/>
    <x v="5"/>
    <s v="Freshwater"/>
    <x v="0"/>
    <x v="0"/>
    <s v="876"/>
    <s v="Stillaguamish River"/>
    <s v="Stillaguamish River"/>
    <s v="Snohomish"/>
    <x v="0"/>
    <s v="King"/>
    <s v="06King"/>
    <s v="02South Puget Sound"/>
    <n v="8"/>
    <n v="4"/>
    <n v="74.2"/>
  </r>
  <r>
    <n v="1622"/>
    <x v="5"/>
    <x v="6"/>
    <x v="5"/>
    <s v="Freshwater"/>
    <x v="0"/>
    <x v="0"/>
    <s v="826"/>
    <s v="Cascade River"/>
    <s v="Cascade River"/>
    <s v="Skagit"/>
    <x v="1"/>
    <s v="King"/>
    <s v="06King"/>
    <s v="02South Puget Sound"/>
    <n v="7.3333333333333401"/>
    <n v="3.6666666666666701"/>
    <n v="68.016666666666737"/>
  </r>
  <r>
    <n v="1623"/>
    <x v="5"/>
    <x v="6"/>
    <x v="5"/>
    <s v="Freshwater"/>
    <x v="0"/>
    <x v="0"/>
    <s v="826"/>
    <s v="Cascade River"/>
    <s v="Cascade River"/>
    <s v="Skagit"/>
    <x v="1"/>
    <s v="Skagit"/>
    <s v="02Skagit"/>
    <s v="01North Puget Sound"/>
    <n v="14.6666666666667"/>
    <n v="7.3333333333333401"/>
    <n v="136.03333333333347"/>
  </r>
  <r>
    <n v="1592"/>
    <x v="5"/>
    <x v="6"/>
    <x v="5"/>
    <s v="Freshwater"/>
    <x v="0"/>
    <x v="0"/>
    <s v="746"/>
    <s v="Green (Duwamish River) (King Co.)"/>
    <s v="Green - Duwamish River"/>
    <s v="King"/>
    <x v="2"/>
    <s v="King"/>
    <s v="06King"/>
    <s v="02South Puget Sound"/>
    <n v="7.5"/>
    <n v="3.75"/>
    <n v="69.5625"/>
  </r>
  <r>
    <n v="1593"/>
    <x v="5"/>
    <x v="6"/>
    <x v="5"/>
    <s v="Freshwater"/>
    <x v="0"/>
    <x v="0"/>
    <s v="746"/>
    <s v="Green (Duwamish River) (King Co.)"/>
    <s v="Green - Duwamish River"/>
    <s v="King"/>
    <x v="2"/>
    <s v="Pierce"/>
    <s v="07Pierce"/>
    <s v="02South Puget Sound"/>
    <n v="22.5"/>
    <n v="11.25"/>
    <n v="208.6875"/>
  </r>
  <r>
    <n v="1617"/>
    <x v="5"/>
    <x v="6"/>
    <x v="5"/>
    <s v="Freshwater"/>
    <x v="0"/>
    <x v="0"/>
    <s v="804"/>
    <s v="Puyallup River"/>
    <s v="Puyallup River"/>
    <s v="Pierce"/>
    <x v="2"/>
    <s v="Pierce"/>
    <s v="07Pierce"/>
    <s v="02South Puget Sound"/>
    <n v="14"/>
    <n v="7"/>
    <n v="129.85"/>
  </r>
  <r>
    <n v="1651"/>
    <x v="5"/>
    <x v="6"/>
    <x v="5"/>
    <s v="Freshwater"/>
    <x v="0"/>
    <x v="0"/>
    <s v="844"/>
    <s v="Skykomish River"/>
    <s v="Skykomish River"/>
    <s v="Snohomish"/>
    <x v="0"/>
    <s v="King"/>
    <s v="06King"/>
    <s v="02South Puget Sound"/>
    <n v="83.886792452830207"/>
    <n v="41.943396226415103"/>
    <n v="778.05000000000018"/>
  </r>
  <r>
    <n v="1652"/>
    <x v="5"/>
    <x v="6"/>
    <x v="5"/>
    <s v="Freshwater"/>
    <x v="0"/>
    <x v="0"/>
    <s v="844"/>
    <s v="Skykomish River"/>
    <s v="Skykomish River"/>
    <s v="Snohomish"/>
    <x v="0"/>
    <s v="Snohomish"/>
    <s v="03Snohomish"/>
    <s v="01North Puget Sound"/>
    <n v="258.11320754717002"/>
    <n v="129.05660377358501"/>
    <n v="2394.0000000000018"/>
  </r>
  <r>
    <n v="1671"/>
    <x v="5"/>
    <x v="6"/>
    <x v="5"/>
    <s v="Freshwater"/>
    <x v="0"/>
    <x v="0"/>
    <s v="846"/>
    <s v="Skykomish River, No. Fork"/>
    <s v="Skykomish River, No. Fork"/>
    <s v="Snohomish"/>
    <x v="0"/>
    <s v="King"/>
    <s v="06King"/>
    <s v="02South Puget Sound"/>
    <n v="6.6666666666666696"/>
    <n v="3.3333333333333299"/>
    <n v="61.833333333333272"/>
  </r>
  <r>
    <n v="1672"/>
    <x v="5"/>
    <x v="6"/>
    <x v="5"/>
    <s v="Freshwater"/>
    <x v="0"/>
    <x v="0"/>
    <s v="846"/>
    <s v="Skykomish River, No. Fork"/>
    <s v="Skykomish River, No. Fork"/>
    <s v="Snohomish"/>
    <x v="0"/>
    <s v="Snohomish"/>
    <s v="03Snohomish"/>
    <s v="01North Puget Sound"/>
    <n v="13.3333333333333"/>
    <n v="6.6666666666666696"/>
    <n v="123.66666666666673"/>
  </r>
  <r>
    <n v="1687"/>
    <x v="5"/>
    <x v="6"/>
    <x v="5"/>
    <s v="Freshwater"/>
    <x v="0"/>
    <x v="0"/>
    <s v="850"/>
    <s v="Snohomish River"/>
    <s v="Snohomish River"/>
    <s v="Snohomish"/>
    <x v="0"/>
    <s v="King"/>
    <s v="06King"/>
    <s v="02South Puget Sound"/>
    <n v="6"/>
    <n v="3"/>
    <n v="55.650000000000006"/>
  </r>
  <r>
    <n v="1688"/>
    <x v="5"/>
    <x v="6"/>
    <x v="5"/>
    <s v="Freshwater"/>
    <x v="0"/>
    <x v="0"/>
    <s v="850"/>
    <s v="Snohomish River"/>
    <s v="Snohomish River"/>
    <s v="Snohomish"/>
    <x v="0"/>
    <s v="Snohomish"/>
    <s v="03Snohomish"/>
    <s v="01North Puget Sound"/>
    <n v="6"/>
    <n v="3"/>
    <n v="55.650000000000006"/>
  </r>
  <r>
    <n v="1710"/>
    <x v="5"/>
    <x v="6"/>
    <x v="5"/>
    <s v="Freshwater"/>
    <x v="0"/>
    <x v="0"/>
    <s v="860"/>
    <s v="Wallace River"/>
    <s v="Wallace River"/>
    <s v="Snohomish"/>
    <x v="0"/>
    <s v="King"/>
    <s v="06King"/>
    <s v="02South Puget Sound"/>
    <n v="38.4"/>
    <n v="19.2"/>
    <n v="356.16"/>
  </r>
  <r>
    <n v="1711"/>
    <x v="5"/>
    <x v="6"/>
    <x v="5"/>
    <s v="Freshwater"/>
    <x v="0"/>
    <x v="0"/>
    <s v="860"/>
    <s v="Wallace River"/>
    <s v="Wallace River"/>
    <s v="Snohomish"/>
    <x v="0"/>
    <s v="Snohomish"/>
    <s v="03Snohomish"/>
    <s v="01North Puget Sound"/>
    <n v="57.6"/>
    <n v="28.8"/>
    <n v="534.24"/>
  </r>
  <r>
    <n v="1624"/>
    <x v="5"/>
    <x v="7"/>
    <x v="5"/>
    <s v="Freshwater"/>
    <x v="0"/>
    <x v="0"/>
    <s v="826"/>
    <s v="Cascade River"/>
    <s v="Cascade River"/>
    <s v="Skagit"/>
    <x v="1"/>
    <s v="San Juan"/>
    <s v="05San Juan"/>
    <s v="01North Puget Sound"/>
    <n v="13.6"/>
    <n v="6.8"/>
    <n v="126.14"/>
  </r>
  <r>
    <n v="1625"/>
    <x v="5"/>
    <x v="7"/>
    <x v="5"/>
    <s v="Freshwater"/>
    <x v="0"/>
    <x v="0"/>
    <s v="826"/>
    <s v="Cascade River"/>
    <s v="Cascade River"/>
    <s v="Skagit"/>
    <x v="1"/>
    <s v="Skagit"/>
    <s v="02Skagit"/>
    <s v="01North Puget Sound"/>
    <n v="20.399999999999999"/>
    <n v="10.199999999999999"/>
    <n v="189.21"/>
  </r>
  <r>
    <n v="1579"/>
    <x v="5"/>
    <x v="7"/>
    <x v="5"/>
    <s v="Freshwater"/>
    <x v="0"/>
    <x v="0"/>
    <s v="718"/>
    <s v="Clallam River"/>
    <s v="Clallam River"/>
    <s v="Clallam"/>
    <x v="3"/>
    <s v="Clallam"/>
    <s v="11Clallam"/>
    <s v="03Strait of Juan de Fuca"/>
    <n v="6"/>
    <n v="3"/>
    <n v="55.650000000000006"/>
  </r>
  <r>
    <n v="1594"/>
    <x v="5"/>
    <x v="7"/>
    <x v="5"/>
    <s v="Freshwater"/>
    <x v="0"/>
    <x v="0"/>
    <s v="746"/>
    <s v="Green (Duwamish River) (King Co.)"/>
    <s v="Green - Duwamish River"/>
    <s v="King"/>
    <x v="2"/>
    <s v="Whatcom"/>
    <s v="01Whatcom"/>
    <s v="01North Puget Sound"/>
    <n v="6"/>
    <n v="3"/>
    <n v="55.650000000000006"/>
  </r>
  <r>
    <n v="1601"/>
    <x v="5"/>
    <x v="7"/>
    <x v="5"/>
    <s v="Freshwater"/>
    <x v="0"/>
    <x v="0"/>
    <s v="752"/>
    <s v="Hoko River"/>
    <s v="Hoko River"/>
    <s v="Clallam"/>
    <x v="3"/>
    <s v="Clallam"/>
    <s v="11Clallam"/>
    <s v="03Strait of Juan de Fuca"/>
    <n v="26"/>
    <n v="13"/>
    <n v="241.15"/>
  </r>
  <r>
    <n v="1631"/>
    <x v="5"/>
    <x v="7"/>
    <x v="5"/>
    <s v="Freshwater"/>
    <x v="0"/>
    <x v="0"/>
    <s v="830"/>
    <s v="Skagit River"/>
    <s v="Skagit River"/>
    <s v="Skagit/Whatcom"/>
    <x v="0"/>
    <s v="Snohomish"/>
    <s v="03Snohomish"/>
    <s v="01North Puget Sound"/>
    <n v="14"/>
    <n v="7"/>
    <n v="129.85"/>
  </r>
  <r>
    <n v="1653"/>
    <x v="5"/>
    <x v="7"/>
    <x v="5"/>
    <s v="Freshwater"/>
    <x v="0"/>
    <x v="0"/>
    <s v="844"/>
    <s v="Skykomish River"/>
    <s v="Skykomish River"/>
    <s v="Snohomish"/>
    <x v="0"/>
    <s v="King"/>
    <s v="06King"/>
    <s v="02South Puget Sound"/>
    <n v="132.79245283018901"/>
    <n v="66.396226415094404"/>
    <n v="1231.6500000000012"/>
  </r>
  <r>
    <n v="1654"/>
    <x v="5"/>
    <x v="7"/>
    <x v="5"/>
    <s v="Freshwater"/>
    <x v="0"/>
    <x v="0"/>
    <s v="844"/>
    <s v="Skykomish River"/>
    <s v="Skykomish River"/>
    <s v="Snohomish"/>
    <x v="0"/>
    <s v="Pierce"/>
    <s v="07Pierce"/>
    <s v="02South Puget Sound"/>
    <n v="7.8113207547169798"/>
    <n v="3.9056603773584899"/>
    <n v="72.449999999999989"/>
  </r>
  <r>
    <n v="1655"/>
    <x v="5"/>
    <x v="7"/>
    <x v="5"/>
    <s v="Freshwater"/>
    <x v="0"/>
    <x v="0"/>
    <s v="844"/>
    <s v="Skykomish River"/>
    <s v="Skykomish River"/>
    <s v="Snohomish"/>
    <x v="0"/>
    <s v="Snohomish"/>
    <s v="03Snohomish"/>
    <s v="01North Puget Sound"/>
    <n v="273.39622641509402"/>
    <n v="136.69811320754701"/>
    <n v="2535.7499999999973"/>
  </r>
  <r>
    <n v="1673"/>
    <x v="5"/>
    <x v="7"/>
    <x v="5"/>
    <s v="Freshwater"/>
    <x v="0"/>
    <x v="0"/>
    <s v="846"/>
    <s v="Skykomish River, No. Fork"/>
    <s v="Skykomish River, No. Fork"/>
    <s v="Snohomish"/>
    <x v="0"/>
    <s v="Other"/>
    <s v="20Other"/>
    <s v="07Non Puget Sound"/>
    <n v="8"/>
    <n v="4"/>
    <n v="74.2"/>
  </r>
  <r>
    <n v="1694"/>
    <x v="5"/>
    <x v="7"/>
    <x v="5"/>
    <s v="Freshwater"/>
    <x v="0"/>
    <x v="0"/>
    <s v="852"/>
    <s v="Snoqualmie River"/>
    <s v="Snoqualmie River"/>
    <s v="Snohomish/King"/>
    <x v="0"/>
    <s v="King"/>
    <s v="06King"/>
    <s v="02South Puget Sound"/>
    <n v="24"/>
    <n v="12"/>
    <n v="222.60000000000002"/>
  </r>
  <r>
    <n v="1724"/>
    <x v="5"/>
    <x v="7"/>
    <x v="5"/>
    <s v="Freshwater"/>
    <x v="0"/>
    <x v="0"/>
    <s v="872"/>
    <s v="Stillaguamish R, No. Fork"/>
    <s v="Stillaguamish R, No. Fork"/>
    <s v="Snohomish"/>
    <x v="0"/>
    <s v="Snohomish"/>
    <s v="03Snohomish"/>
    <s v="01North Puget Sound"/>
    <n v="14"/>
    <n v="7"/>
    <n v="129.85"/>
  </r>
  <r>
    <n v="1700"/>
    <x v="5"/>
    <x v="7"/>
    <x v="5"/>
    <s v="Freshwater"/>
    <x v="0"/>
    <x v="0"/>
    <s v="854"/>
    <s v="Sultan River"/>
    <s v="Sultan River"/>
    <s v="Snohomish"/>
    <x v="0"/>
    <s v="Other"/>
    <s v="20Other"/>
    <s v="07Non Puget Sound"/>
    <n v="8"/>
    <n v="4"/>
    <n v="74.2"/>
  </r>
  <r>
    <n v="1712"/>
    <x v="5"/>
    <x v="7"/>
    <x v="5"/>
    <s v="Freshwater"/>
    <x v="0"/>
    <x v="0"/>
    <s v="860"/>
    <s v="Wallace River"/>
    <s v="Wallace River"/>
    <s v="Snohomish"/>
    <x v="0"/>
    <s v="King"/>
    <s v="06King"/>
    <s v="02South Puget Sound"/>
    <n v="54.526315789473699"/>
    <n v="27.2631578947368"/>
    <n v="505.73157894736767"/>
  </r>
  <r>
    <n v="1713"/>
    <x v="5"/>
    <x v="7"/>
    <x v="5"/>
    <s v="Freshwater"/>
    <x v="0"/>
    <x v="0"/>
    <s v="860"/>
    <s v="Wallace River"/>
    <s v="Wallace River"/>
    <s v="Snohomish"/>
    <x v="0"/>
    <s v="Snohomish"/>
    <s v="03Snohomish"/>
    <s v="01North Puget Sound"/>
    <n v="93.473684210526301"/>
    <n v="46.7368421052632"/>
    <n v="866.96842105263238"/>
  </r>
  <r>
    <n v="1734"/>
    <x v="5"/>
    <x v="8"/>
    <x v="5"/>
    <s v="Freshwater"/>
    <x v="0"/>
    <x v="0"/>
    <s v="9"/>
    <s v="Area 9: Admiralty Inlet"/>
    <s v="Area 9: Admiralty Inlet"/>
    <s v="NA"/>
    <x v="0"/>
    <s v="Skagit"/>
    <s v="02Skagit"/>
    <s v="01North Puget Sound"/>
    <n v="23"/>
    <n v="11.5"/>
    <n v="213.32500000000002"/>
  </r>
  <r>
    <n v="1735"/>
    <x v="5"/>
    <x v="8"/>
    <x v="5"/>
    <s v="Freshwater"/>
    <x v="0"/>
    <x v="0"/>
    <s v="9"/>
    <s v="Area 9: Admiralty Inlet"/>
    <s v="Area 9: Admiralty Inlet"/>
    <s v="NA"/>
    <x v="0"/>
    <s v="Snohomish"/>
    <s v="03Snohomish"/>
    <s v="01North Puget Sound"/>
    <n v="23"/>
    <n v="11.5"/>
    <n v="213.32500000000002"/>
  </r>
  <r>
    <n v="1626"/>
    <x v="5"/>
    <x v="8"/>
    <x v="5"/>
    <s v="Freshwater"/>
    <x v="0"/>
    <x v="0"/>
    <s v="826"/>
    <s v="Cascade River"/>
    <s v="Cascade River"/>
    <s v="Skagit"/>
    <x v="1"/>
    <s v="Kitsap"/>
    <s v="10Kitsap"/>
    <s v="02South Puget Sound"/>
    <n v="6.6666666666666696"/>
    <n v="3.3333333333333299"/>
    <n v="61.833333333333272"/>
  </r>
  <r>
    <n v="1627"/>
    <x v="5"/>
    <x v="8"/>
    <x v="5"/>
    <s v="Freshwater"/>
    <x v="0"/>
    <x v="0"/>
    <s v="826"/>
    <s v="Cascade River"/>
    <s v="Cascade River"/>
    <s v="Skagit"/>
    <x v="1"/>
    <s v="Skagit"/>
    <s v="02Skagit"/>
    <s v="01North Puget Sound"/>
    <n v="33.3333333333333"/>
    <n v="16.6666666666667"/>
    <n v="309.16666666666731"/>
  </r>
  <r>
    <n v="1628"/>
    <x v="5"/>
    <x v="8"/>
    <x v="5"/>
    <s v="Freshwater"/>
    <x v="0"/>
    <x v="0"/>
    <s v="826"/>
    <s v="Cascade River"/>
    <s v="Cascade River"/>
    <s v="Skagit"/>
    <x v="1"/>
    <s v="Snohomish"/>
    <s v="03Snohomish"/>
    <s v="01North Puget Sound"/>
    <n v="13.3333333333333"/>
    <n v="6.6666666666666696"/>
    <n v="123.66666666666673"/>
  </r>
  <r>
    <n v="1629"/>
    <x v="5"/>
    <x v="8"/>
    <x v="5"/>
    <s v="Freshwater"/>
    <x v="0"/>
    <x v="0"/>
    <s v="826"/>
    <s v="Cascade River"/>
    <s v="Cascade River"/>
    <s v="Skagit"/>
    <x v="1"/>
    <s v="Whatcom"/>
    <s v="01Whatcom"/>
    <s v="01North Puget Sound"/>
    <n v="6.6666666666666696"/>
    <n v="3.3333333333333299"/>
    <n v="61.833333333333272"/>
  </r>
  <r>
    <n v="1582"/>
    <x v="5"/>
    <x v="8"/>
    <x v="5"/>
    <s v="Freshwater"/>
    <x v="0"/>
    <x v="0"/>
    <s v="738"/>
    <s v="Dungeness River"/>
    <s v="Dungeness River"/>
    <s v="Clallam"/>
    <x v="3"/>
    <s v="Clallam"/>
    <s v="11Clallam"/>
    <s v="03Strait of Juan de Fuca"/>
    <n v="6"/>
    <n v="3"/>
    <n v="55.650000000000006"/>
  </r>
  <r>
    <n v="1595"/>
    <x v="5"/>
    <x v="8"/>
    <x v="5"/>
    <s v="Freshwater"/>
    <x v="0"/>
    <x v="0"/>
    <s v="746"/>
    <s v="Green (Duwamish River) (King Co.)"/>
    <s v="Green - Duwamish River"/>
    <s v="King"/>
    <x v="2"/>
    <s v="King"/>
    <s v="06King"/>
    <s v="02South Puget Sound"/>
    <n v="19.5"/>
    <n v="9.75"/>
    <n v="180.86250000000001"/>
  </r>
  <r>
    <n v="1596"/>
    <x v="5"/>
    <x v="8"/>
    <x v="5"/>
    <s v="Freshwater"/>
    <x v="0"/>
    <x v="0"/>
    <s v="746"/>
    <s v="Green (Duwamish River) (King Co.)"/>
    <s v="Green - Duwamish River"/>
    <s v="King"/>
    <x v="2"/>
    <s v="Other"/>
    <s v="20Other"/>
    <s v="07Non Puget Sound"/>
    <n v="6.5"/>
    <n v="3.25"/>
    <n v="60.287500000000001"/>
  </r>
  <r>
    <n v="1602"/>
    <x v="5"/>
    <x v="8"/>
    <x v="5"/>
    <s v="Freshwater"/>
    <x v="0"/>
    <x v="0"/>
    <s v="752"/>
    <s v="Hoko River"/>
    <s v="Hoko River"/>
    <s v="Clallam"/>
    <x v="3"/>
    <s v="Clallam"/>
    <s v="11Clallam"/>
    <s v="03Strait of Juan de Fuca"/>
    <n v="80.8888888888889"/>
    <n v="40.4444444444444"/>
    <n v="750.24444444444362"/>
  </r>
  <r>
    <n v="1603"/>
    <x v="5"/>
    <x v="8"/>
    <x v="5"/>
    <s v="Freshwater"/>
    <x v="0"/>
    <x v="0"/>
    <s v="752"/>
    <s v="Hoko River"/>
    <s v="Hoko River"/>
    <s v="Clallam"/>
    <x v="3"/>
    <s v="Island"/>
    <s v="04Island"/>
    <s v="01North Puget Sound"/>
    <n v="6.7407407407407396"/>
    <n v="3.3703703703703698"/>
    <n v="62.520370370370365"/>
  </r>
  <r>
    <n v="1604"/>
    <x v="5"/>
    <x v="8"/>
    <x v="5"/>
    <s v="Freshwater"/>
    <x v="0"/>
    <x v="0"/>
    <s v="752"/>
    <s v="Hoko River"/>
    <s v="Hoko River"/>
    <s v="Clallam"/>
    <x v="3"/>
    <s v="King"/>
    <s v="06King"/>
    <s v="02South Puget Sound"/>
    <n v="40.4444444444444"/>
    <n v="20.2222222222222"/>
    <n v="375.12222222222181"/>
  </r>
  <r>
    <n v="1605"/>
    <x v="5"/>
    <x v="8"/>
    <x v="5"/>
    <s v="Freshwater"/>
    <x v="0"/>
    <x v="0"/>
    <s v="752"/>
    <s v="Hoko River"/>
    <s v="Hoko River"/>
    <s v="Clallam"/>
    <x v="3"/>
    <s v="Kitsap"/>
    <s v="10Kitsap"/>
    <s v="02South Puget Sound"/>
    <n v="6.7407407407407396"/>
    <n v="3.3703703703703698"/>
    <n v="62.520370370370365"/>
  </r>
  <r>
    <n v="1606"/>
    <x v="5"/>
    <x v="8"/>
    <x v="5"/>
    <s v="Freshwater"/>
    <x v="0"/>
    <x v="0"/>
    <s v="752"/>
    <s v="Hoko River"/>
    <s v="Hoko River"/>
    <s v="Clallam"/>
    <x v="3"/>
    <s v="Pierce"/>
    <s v="07Pierce"/>
    <s v="02South Puget Sound"/>
    <n v="40.4444444444444"/>
    <n v="20.2222222222222"/>
    <n v="375.12222222222181"/>
  </r>
  <r>
    <n v="1607"/>
    <x v="5"/>
    <x v="8"/>
    <x v="5"/>
    <s v="Freshwater"/>
    <x v="0"/>
    <x v="0"/>
    <s v="752"/>
    <s v="Hoko River"/>
    <s v="Hoko River"/>
    <s v="Clallam"/>
    <x v="3"/>
    <s v="Snohomish"/>
    <s v="03Snohomish"/>
    <s v="01North Puget Sound"/>
    <n v="6.7407407407407396"/>
    <n v="3.3703703703703698"/>
    <n v="62.520370370370365"/>
  </r>
  <r>
    <n v="1611"/>
    <x v="5"/>
    <x v="8"/>
    <x v="5"/>
    <s v="Freshwater"/>
    <x v="0"/>
    <x v="0"/>
    <s v="782"/>
    <s v="Morse Creek (Clallam Co.)"/>
    <s v="Morse Creek (Clallam Co.)"/>
    <s v="Clallam"/>
    <x v="3"/>
    <s v="Clallam"/>
    <s v="11Clallam"/>
    <s v="03Strait of Juan de Fuca"/>
    <n v="26"/>
    <n v="13"/>
    <n v="241.15"/>
  </r>
  <r>
    <n v="1615"/>
    <x v="5"/>
    <x v="8"/>
    <x v="5"/>
    <s v="Freshwater"/>
    <x v="0"/>
    <x v="0"/>
    <s v="794"/>
    <s v="Nooksack River, below North Fork"/>
    <s v="Nooksack River, below North Fork"/>
    <s v="Whatcom"/>
    <x v="1"/>
    <s v="Whatcom"/>
    <s v="01Whatcom"/>
    <s v="01North Puget Sound"/>
    <n v="6"/>
    <n v="3"/>
    <n v="55.650000000000006"/>
  </r>
  <r>
    <n v="1618"/>
    <x v="5"/>
    <x v="8"/>
    <x v="5"/>
    <s v="Freshwater"/>
    <x v="0"/>
    <x v="0"/>
    <s v="804"/>
    <s v="Puyallup River"/>
    <s v="Puyallup River"/>
    <s v="Pierce"/>
    <x v="2"/>
    <s v="Pierce"/>
    <s v="07Pierce"/>
    <s v="02South Puget Sound"/>
    <n v="14"/>
    <n v="7"/>
    <n v="129.85"/>
  </r>
  <r>
    <n v="1619"/>
    <x v="5"/>
    <x v="8"/>
    <x v="5"/>
    <s v="Freshwater"/>
    <x v="0"/>
    <x v="0"/>
    <s v="814"/>
    <s v="Salt Creek (Clallam Co.)"/>
    <s v="Salt Creek (Clallam Co.)"/>
    <s v="Clallam"/>
    <x v="3"/>
    <s v="Snohomish"/>
    <s v="03Snohomish"/>
    <s v="01North Puget Sound"/>
    <n v="14"/>
    <n v="7"/>
    <n v="129.85"/>
  </r>
  <r>
    <n v="1620"/>
    <x v="5"/>
    <x v="8"/>
    <x v="5"/>
    <s v="Freshwater"/>
    <x v="0"/>
    <x v="0"/>
    <s v="818"/>
    <s v="Sekiu River"/>
    <s v="Sekiu River"/>
    <s v="Clallam"/>
    <x v="3"/>
    <s v="Clallam"/>
    <s v="11Clallam"/>
    <s v="03Strait of Juan de Fuca"/>
    <n v="6"/>
    <n v="3"/>
    <n v="55.650000000000006"/>
  </r>
  <r>
    <n v="1656"/>
    <x v="5"/>
    <x v="8"/>
    <x v="5"/>
    <s v="Freshwater"/>
    <x v="0"/>
    <x v="0"/>
    <s v="844"/>
    <s v="Skykomish River"/>
    <s v="Skykomish River"/>
    <s v="Snohomish"/>
    <x v="0"/>
    <s v="Island"/>
    <s v="04Island"/>
    <s v="01North Puget Sound"/>
    <n v="7.7934272300469498"/>
    <n v="3.8967136150234798"/>
    <n v="72.284037558685554"/>
  </r>
  <r>
    <n v="1657"/>
    <x v="5"/>
    <x v="8"/>
    <x v="5"/>
    <s v="Freshwater"/>
    <x v="0"/>
    <x v="0"/>
    <s v="844"/>
    <s v="Skykomish River"/>
    <s v="Skykomish River"/>
    <s v="Snohomish"/>
    <x v="0"/>
    <s v="King"/>
    <s v="06King"/>
    <s v="02South Puget Sound"/>
    <n v="732.58215962441295"/>
    <n v="366.29107981220699"/>
    <n v="6794.6995305164401"/>
  </r>
  <r>
    <n v="1658"/>
    <x v="5"/>
    <x v="8"/>
    <x v="5"/>
    <s v="Freshwater"/>
    <x v="0"/>
    <x v="0"/>
    <s v="844"/>
    <s v="Skykomish River"/>
    <s v="Skykomish River"/>
    <s v="Snohomish"/>
    <x v="0"/>
    <s v="Kitsap"/>
    <s v="10Kitsap"/>
    <s v="02South Puget Sound"/>
    <n v="31.173708920187799"/>
    <n v="15.5868544600939"/>
    <n v="289.13615023474188"/>
  </r>
  <r>
    <n v="1659"/>
    <x v="5"/>
    <x v="8"/>
    <x v="5"/>
    <s v="Freshwater"/>
    <x v="0"/>
    <x v="0"/>
    <s v="844"/>
    <s v="Skykomish River"/>
    <s v="Skykomish River"/>
    <s v="Snohomish"/>
    <x v="0"/>
    <s v="Pierce"/>
    <s v="07Pierce"/>
    <s v="02South Puget Sound"/>
    <n v="7.7934272300469498"/>
    <n v="3.8967136150234798"/>
    <n v="72.284037558685554"/>
  </r>
  <r>
    <n v="1660"/>
    <x v="5"/>
    <x v="8"/>
    <x v="5"/>
    <s v="Freshwater"/>
    <x v="0"/>
    <x v="0"/>
    <s v="844"/>
    <s v="Skykomish River"/>
    <s v="Skykomish River"/>
    <s v="Snohomish"/>
    <x v="0"/>
    <s v="Snohomish"/>
    <s v="03Snohomish"/>
    <s v="01North Puget Sound"/>
    <n v="865.07042253521104"/>
    <n v="432.53521126760597"/>
    <n v="8023.528169014091"/>
  </r>
  <r>
    <n v="1661"/>
    <x v="5"/>
    <x v="8"/>
    <x v="5"/>
    <s v="Freshwater"/>
    <x v="0"/>
    <x v="0"/>
    <s v="844"/>
    <s v="Skykomish River"/>
    <s v="Skykomish River"/>
    <s v="Snohomish"/>
    <x v="0"/>
    <s v="Whatcom"/>
    <s v="01Whatcom"/>
    <s v="01North Puget Sound"/>
    <n v="15.5868544600939"/>
    <n v="7.7934272300469498"/>
    <n v="144.56807511737094"/>
  </r>
  <r>
    <n v="1678"/>
    <x v="5"/>
    <x v="8"/>
    <x v="5"/>
    <s v="Freshwater"/>
    <x v="0"/>
    <x v="0"/>
    <s v="848"/>
    <s v="Skykomish River, So. Fork"/>
    <s v="Skykomish River, So. Fork"/>
    <s v="Snohomish/King"/>
    <x v="0"/>
    <s v="King"/>
    <s v="06King"/>
    <s v="02South Puget Sound"/>
    <n v="16"/>
    <n v="8"/>
    <n v="148.4"/>
  </r>
  <r>
    <n v="1689"/>
    <x v="5"/>
    <x v="8"/>
    <x v="5"/>
    <s v="Freshwater"/>
    <x v="0"/>
    <x v="0"/>
    <s v="850"/>
    <s v="Snohomish River"/>
    <s v="Snohomish River"/>
    <s v="Snohomish"/>
    <x v="0"/>
    <s v="Snohomish"/>
    <s v="03Snohomish"/>
    <s v="01North Puget Sound"/>
    <n v="46"/>
    <n v="23"/>
    <n v="426.65000000000003"/>
  </r>
  <r>
    <n v="1695"/>
    <x v="5"/>
    <x v="8"/>
    <x v="5"/>
    <s v="Freshwater"/>
    <x v="0"/>
    <x v="0"/>
    <s v="852"/>
    <s v="Snoqualmie River"/>
    <s v="Snoqualmie River"/>
    <s v="Snohomish/King"/>
    <x v="0"/>
    <s v="King"/>
    <s v="06King"/>
    <s v="02South Puget Sound"/>
    <n v="55"/>
    <n v="27.5"/>
    <n v="510.125"/>
  </r>
  <r>
    <n v="1696"/>
    <x v="5"/>
    <x v="8"/>
    <x v="5"/>
    <s v="Freshwater"/>
    <x v="0"/>
    <x v="0"/>
    <s v="852"/>
    <s v="Snoqualmie River"/>
    <s v="Snoqualmie River"/>
    <s v="Snohomish/King"/>
    <x v="0"/>
    <s v="Pierce"/>
    <s v="07Pierce"/>
    <s v="02South Puget Sound"/>
    <n v="31.428571428571399"/>
    <n v="15.714285714285699"/>
    <n v="291.49999999999972"/>
  </r>
  <r>
    <n v="1697"/>
    <x v="5"/>
    <x v="8"/>
    <x v="5"/>
    <s v="Freshwater"/>
    <x v="0"/>
    <x v="0"/>
    <s v="852"/>
    <s v="Snoqualmie River"/>
    <s v="Snoqualmie River"/>
    <s v="Snohomish/King"/>
    <x v="0"/>
    <s v="Snohomish"/>
    <s v="03Snohomish"/>
    <s v="01North Puget Sound"/>
    <n v="15.714285714285699"/>
    <n v="7.8571428571428603"/>
    <n v="145.75000000000006"/>
  </r>
  <r>
    <n v="1698"/>
    <x v="5"/>
    <x v="8"/>
    <x v="5"/>
    <s v="Freshwater"/>
    <x v="0"/>
    <x v="0"/>
    <s v="852"/>
    <s v="Snoqualmie River"/>
    <s v="Snoqualmie River"/>
    <s v="Snohomish/King"/>
    <x v="0"/>
    <s v="Thurston"/>
    <s v="08Thurston"/>
    <s v="02South Puget Sound"/>
    <n v="7.8571428571428603"/>
    <n v="3.9285714285714302"/>
    <n v="72.875000000000028"/>
  </r>
  <r>
    <n v="1727"/>
    <x v="5"/>
    <x v="8"/>
    <x v="5"/>
    <s v="Freshwater"/>
    <x v="0"/>
    <x v="0"/>
    <s v="876"/>
    <s v="Stillaguamish River"/>
    <s v="Stillaguamish River"/>
    <s v="Snohomish"/>
    <x v="0"/>
    <s v="Snohomish"/>
    <s v="03Snohomish"/>
    <s v="01North Puget Sound"/>
    <n v="6"/>
    <n v="3"/>
    <n v="55.650000000000006"/>
  </r>
  <r>
    <n v="1701"/>
    <x v="5"/>
    <x v="8"/>
    <x v="5"/>
    <s v="Freshwater"/>
    <x v="0"/>
    <x v="0"/>
    <s v="854"/>
    <s v="Sultan River"/>
    <s v="Sultan River"/>
    <s v="Snohomish"/>
    <x v="0"/>
    <s v="Snohomish"/>
    <s v="03Snohomish"/>
    <s v="01North Puget Sound"/>
    <n v="8"/>
    <n v="4"/>
    <n v="74.2"/>
  </r>
  <r>
    <n v="1702"/>
    <x v="5"/>
    <x v="8"/>
    <x v="5"/>
    <s v="Freshwater"/>
    <x v="0"/>
    <x v="0"/>
    <s v="856"/>
    <s v="Tokul Creek"/>
    <s v="Tokul Creek"/>
    <s v="King"/>
    <x v="0"/>
    <s v="King"/>
    <s v="06King"/>
    <s v="02South Puget Sound"/>
    <n v="202.8"/>
    <n v="101.4"/>
    <n v="1880.9700000000003"/>
  </r>
  <r>
    <n v="1703"/>
    <x v="5"/>
    <x v="8"/>
    <x v="5"/>
    <s v="Freshwater"/>
    <x v="0"/>
    <x v="0"/>
    <s v="856"/>
    <s v="Tokul Creek"/>
    <s v="Tokul Creek"/>
    <s v="King"/>
    <x v="0"/>
    <s v="Other"/>
    <s v="20Other"/>
    <s v="07Non Puget Sound"/>
    <n v="23.4"/>
    <n v="11.7"/>
    <n v="217.035"/>
  </r>
  <r>
    <n v="1704"/>
    <x v="5"/>
    <x v="8"/>
    <x v="5"/>
    <s v="Freshwater"/>
    <x v="0"/>
    <x v="0"/>
    <s v="856"/>
    <s v="Tokul Creek"/>
    <s v="Tokul Creek"/>
    <s v="King"/>
    <x v="0"/>
    <s v="Pierce"/>
    <s v="07Pierce"/>
    <s v="02South Puget Sound"/>
    <n v="7.8"/>
    <n v="3.9"/>
    <n v="72.344999999999999"/>
  </r>
  <r>
    <n v="1714"/>
    <x v="5"/>
    <x v="8"/>
    <x v="5"/>
    <s v="Freshwater"/>
    <x v="0"/>
    <x v="0"/>
    <s v="860"/>
    <s v="Wallace River"/>
    <s v="Wallace River"/>
    <s v="Snohomish"/>
    <x v="0"/>
    <s v="Island"/>
    <s v="04Island"/>
    <s v="01North Puget Sound"/>
    <n v="15.6078431372549"/>
    <n v="7.8039215686274499"/>
    <n v="144.7627450980392"/>
  </r>
  <r>
    <n v="1715"/>
    <x v="5"/>
    <x v="8"/>
    <x v="5"/>
    <s v="Freshwater"/>
    <x v="0"/>
    <x v="0"/>
    <s v="860"/>
    <s v="Wallace River"/>
    <s v="Wallace River"/>
    <s v="Snohomish"/>
    <x v="0"/>
    <s v="King"/>
    <s v="06King"/>
    <s v="02South Puget Sound"/>
    <n v="62.431372549019599"/>
    <n v="31.2156862745098"/>
    <n v="579.05098039215682"/>
  </r>
  <r>
    <n v="1716"/>
    <x v="5"/>
    <x v="8"/>
    <x v="5"/>
    <s v="Freshwater"/>
    <x v="0"/>
    <x v="0"/>
    <s v="860"/>
    <s v="Wallace River"/>
    <s v="Wallace River"/>
    <s v="Snohomish"/>
    <x v="0"/>
    <s v="Other"/>
    <s v="20Other"/>
    <s v="07Non Puget Sound"/>
    <n v="7.8039215686274499"/>
    <n v="3.9019607843137298"/>
    <n v="72.381372549019687"/>
  </r>
  <r>
    <n v="1717"/>
    <x v="5"/>
    <x v="8"/>
    <x v="5"/>
    <s v="Freshwater"/>
    <x v="0"/>
    <x v="0"/>
    <s v="860"/>
    <s v="Wallace River"/>
    <s v="Wallace River"/>
    <s v="Snohomish"/>
    <x v="0"/>
    <s v="Snohomish"/>
    <s v="03Snohomish"/>
    <s v="01North Puget Sound"/>
    <n v="312.15686274509801"/>
    <n v="156.07843137254901"/>
    <n v="2895.2549019607841"/>
  </r>
  <r>
    <n v="1736"/>
    <x v="6"/>
    <x v="9"/>
    <x v="5"/>
    <s v="Freshwater"/>
    <x v="0"/>
    <x v="0"/>
    <s v="9"/>
    <s v="Area 9: Admiralty Inlet"/>
    <s v="Area 9: Admiralty Inlet"/>
    <s v="NA"/>
    <x v="0"/>
    <s v="Island"/>
    <s v="04Island"/>
    <s v="01North Puget Sound"/>
    <n v="23"/>
    <n v="11.5"/>
    <n v="98.21"/>
  </r>
  <r>
    <n v="1737"/>
    <x v="6"/>
    <x v="9"/>
    <x v="5"/>
    <s v="Freshwater"/>
    <x v="0"/>
    <x v="0"/>
    <s v="9"/>
    <s v="Area 9: Admiralty Inlet"/>
    <s v="Area 9: Admiralty Inlet"/>
    <s v="NA"/>
    <x v="0"/>
    <s v="Snohomish"/>
    <s v="03Snohomish"/>
    <s v="01North Puget Sound"/>
    <n v="69"/>
    <n v="34.5"/>
    <n v="294.63"/>
  </r>
  <r>
    <n v="1630"/>
    <x v="6"/>
    <x v="9"/>
    <x v="5"/>
    <s v="Freshwater"/>
    <x v="0"/>
    <x v="0"/>
    <s v="826"/>
    <s v="Cascade River"/>
    <s v="Cascade River"/>
    <s v="Skagit"/>
    <x v="1"/>
    <s v="Skagit"/>
    <s v="02Skagit"/>
    <s v="01North Puget Sound"/>
    <n v="108"/>
    <n v="54"/>
    <n v="461.15999999999997"/>
  </r>
  <r>
    <n v="1580"/>
    <x v="6"/>
    <x v="9"/>
    <x v="5"/>
    <s v="Freshwater"/>
    <x v="0"/>
    <x v="0"/>
    <s v="718"/>
    <s v="Clallam River"/>
    <s v="Clallam River"/>
    <s v="Clallam"/>
    <x v="3"/>
    <s v="Clallam"/>
    <s v="11Clallam"/>
    <s v="03Strait of Juan de Fuca"/>
    <n v="19.5"/>
    <n v="9.75"/>
    <n v="83.264999999999986"/>
  </r>
  <r>
    <n v="1581"/>
    <x v="6"/>
    <x v="9"/>
    <x v="5"/>
    <s v="Freshwater"/>
    <x v="0"/>
    <x v="0"/>
    <s v="718"/>
    <s v="Clallam River"/>
    <s v="Clallam River"/>
    <s v="Clallam"/>
    <x v="3"/>
    <s v="King"/>
    <s v="06King"/>
    <s v="02South Puget Sound"/>
    <n v="6.5"/>
    <n v="3.25"/>
    <n v="27.754999999999995"/>
  </r>
  <r>
    <n v="1583"/>
    <x v="6"/>
    <x v="9"/>
    <x v="5"/>
    <s v="Freshwater"/>
    <x v="0"/>
    <x v="0"/>
    <s v="738"/>
    <s v="Dungeness River"/>
    <s v="Dungeness River"/>
    <s v="Clallam"/>
    <x v="3"/>
    <s v="Clallam"/>
    <s v="11Clallam"/>
    <s v="03Strait of Juan de Fuca"/>
    <n v="7"/>
    <n v="3.5"/>
    <n v="29.889999999999997"/>
  </r>
  <r>
    <n v="1584"/>
    <x v="6"/>
    <x v="9"/>
    <x v="5"/>
    <s v="Freshwater"/>
    <x v="0"/>
    <x v="0"/>
    <s v="738"/>
    <s v="Dungeness River"/>
    <s v="Dungeness River"/>
    <s v="Clallam"/>
    <x v="3"/>
    <s v="Other"/>
    <s v="20Other"/>
    <s v="07Non Puget Sound"/>
    <n v="7"/>
    <n v="3.5"/>
    <n v="29.889999999999997"/>
  </r>
  <r>
    <n v="1597"/>
    <x v="6"/>
    <x v="9"/>
    <x v="5"/>
    <s v="Freshwater"/>
    <x v="0"/>
    <x v="0"/>
    <s v="746"/>
    <s v="Green (Duwamish River) (King Co.)"/>
    <s v="Green - Duwamish River"/>
    <s v="King"/>
    <x v="2"/>
    <s v="King"/>
    <s v="06King"/>
    <s v="02South Puget Sound"/>
    <n v="74.25"/>
    <n v="37.125"/>
    <n v="317.04749999999996"/>
  </r>
  <r>
    <n v="1598"/>
    <x v="6"/>
    <x v="9"/>
    <x v="5"/>
    <s v="Freshwater"/>
    <x v="0"/>
    <x v="0"/>
    <s v="746"/>
    <s v="Green (Duwamish River) (King Co.)"/>
    <s v="Green - Duwamish River"/>
    <s v="King"/>
    <x v="2"/>
    <s v="Pierce"/>
    <s v="07Pierce"/>
    <s v="02South Puget Sound"/>
    <n v="33.75"/>
    <n v="16.875"/>
    <n v="144.11249999999998"/>
  </r>
  <r>
    <n v="1608"/>
    <x v="6"/>
    <x v="9"/>
    <x v="5"/>
    <s v="Freshwater"/>
    <x v="0"/>
    <x v="0"/>
    <s v="752"/>
    <s v="Hoko River"/>
    <s v="Hoko River"/>
    <s v="Clallam"/>
    <x v="3"/>
    <s v="Clallam"/>
    <s v="11Clallam"/>
    <s v="03Strait of Juan de Fuca"/>
    <n v="19.5"/>
    <n v="9.75"/>
    <n v="83.264999999999986"/>
  </r>
  <r>
    <n v="1609"/>
    <x v="6"/>
    <x v="9"/>
    <x v="5"/>
    <s v="Freshwater"/>
    <x v="0"/>
    <x v="0"/>
    <s v="752"/>
    <s v="Hoko River"/>
    <s v="Hoko River"/>
    <s v="Clallam"/>
    <x v="3"/>
    <s v="Other"/>
    <s v="20Other"/>
    <s v="07Non Puget Sound"/>
    <n v="6.5"/>
    <n v="3.25"/>
    <n v="27.754999999999995"/>
  </r>
  <r>
    <n v="1616"/>
    <x v="6"/>
    <x v="9"/>
    <x v="5"/>
    <s v="Freshwater"/>
    <x v="0"/>
    <x v="0"/>
    <s v="794"/>
    <s v="Nooksack River, below North Fork"/>
    <s v="Nooksack River, below North Fork"/>
    <s v="Whatcom"/>
    <x v="1"/>
    <s v="Whatcom"/>
    <s v="01Whatcom"/>
    <s v="01North Puget Sound"/>
    <n v="14"/>
    <n v="7"/>
    <n v="59.779999999999994"/>
  </r>
  <r>
    <n v="1614"/>
    <x v="6"/>
    <x v="9"/>
    <x v="5"/>
    <s v="Freshwater"/>
    <x v="0"/>
    <x v="0"/>
    <s v="790"/>
    <s v="Nooksack River, No. Fork"/>
    <s v="Nooksack River, No. Fork"/>
    <s v="Whatcom"/>
    <x v="1"/>
    <s v="Whatcom"/>
    <s v="01Whatcom"/>
    <s v="01North Puget Sound"/>
    <n v="14"/>
    <n v="7"/>
    <n v="59.779999999999994"/>
  </r>
  <r>
    <n v="1635"/>
    <x v="6"/>
    <x v="9"/>
    <x v="5"/>
    <s v="Freshwater"/>
    <x v="0"/>
    <x v="0"/>
    <s v="840"/>
    <s v="Pilchuck River (Snohomish System)"/>
    <s v="Pilchuck River (Snohomish System)"/>
    <s v="Snohomish"/>
    <x v="0"/>
    <s v="Snohomish"/>
    <s v="03Snohomish"/>
    <s v="01North Puget Sound"/>
    <n v="8"/>
    <n v="4"/>
    <n v="34.159999999999997"/>
  </r>
  <r>
    <n v="1621"/>
    <x v="6"/>
    <x v="9"/>
    <x v="5"/>
    <s v="Freshwater"/>
    <x v="0"/>
    <x v="0"/>
    <s v="818"/>
    <s v="Sekiu River"/>
    <s v="Sekiu River"/>
    <s v="Clallam"/>
    <x v="3"/>
    <s v="Clallam"/>
    <s v="11Clallam"/>
    <s v="03Strait of Juan de Fuca"/>
    <n v="6"/>
    <n v="3"/>
    <n v="25.619999999999997"/>
  </r>
  <r>
    <n v="1632"/>
    <x v="6"/>
    <x v="9"/>
    <x v="5"/>
    <s v="Freshwater"/>
    <x v="0"/>
    <x v="0"/>
    <s v="830"/>
    <s v="Skagit River"/>
    <s v="Skagit River"/>
    <s v="Skagit/Whatcom"/>
    <x v="0"/>
    <s v="Skagit"/>
    <s v="02Skagit"/>
    <s v="01North Puget Sound"/>
    <n v="13"/>
    <n v="6.5"/>
    <n v="55.509999999999991"/>
  </r>
  <r>
    <n v="1633"/>
    <x v="6"/>
    <x v="9"/>
    <x v="5"/>
    <s v="Freshwater"/>
    <x v="0"/>
    <x v="0"/>
    <s v="830"/>
    <s v="Skagit River"/>
    <s v="Skagit River"/>
    <s v="Skagit/Whatcom"/>
    <x v="0"/>
    <s v="Snohomish"/>
    <s v="03Snohomish"/>
    <s v="01North Puget Sound"/>
    <n v="6.5"/>
    <n v="3.25"/>
    <n v="27.754999999999995"/>
  </r>
  <r>
    <n v="1634"/>
    <x v="6"/>
    <x v="9"/>
    <x v="5"/>
    <s v="Freshwater"/>
    <x v="0"/>
    <x v="0"/>
    <s v="830"/>
    <s v="Skagit River"/>
    <s v="Skagit River"/>
    <s v="Skagit/Whatcom"/>
    <x v="0"/>
    <s v="Whatcom"/>
    <s v="01Whatcom"/>
    <s v="01North Puget Sound"/>
    <n v="6.5"/>
    <n v="3.25"/>
    <n v="27.754999999999995"/>
  </r>
  <r>
    <n v="1662"/>
    <x v="6"/>
    <x v="9"/>
    <x v="5"/>
    <s v="Freshwater"/>
    <x v="0"/>
    <x v="0"/>
    <s v="844"/>
    <s v="Skykomish River"/>
    <s v="Skykomish River"/>
    <s v="Snohomish"/>
    <x v="0"/>
    <s v="King"/>
    <s v="06King"/>
    <s v="02South Puget Sound"/>
    <n v="568.84153005464498"/>
    <n v="284.420765027323"/>
    <n v="2428.9533333333384"/>
  </r>
  <r>
    <n v="1663"/>
    <x v="6"/>
    <x v="9"/>
    <x v="5"/>
    <s v="Freshwater"/>
    <x v="0"/>
    <x v="0"/>
    <s v="844"/>
    <s v="Skykomish River"/>
    <s v="Skykomish River"/>
    <s v="Snohomish"/>
    <x v="0"/>
    <s v="Pierce"/>
    <s v="07Pierce"/>
    <s v="02South Puget Sound"/>
    <n v="15.584699453551901"/>
    <n v="7.7923497267759601"/>
    <n v="66.546666666666695"/>
  </r>
  <r>
    <n v="1664"/>
    <x v="6"/>
    <x v="9"/>
    <x v="5"/>
    <s v="Freshwater"/>
    <x v="0"/>
    <x v="0"/>
    <s v="844"/>
    <s v="Skykomish River"/>
    <s v="Skykomish River"/>
    <s v="Snohomish"/>
    <x v="0"/>
    <s v="Skagit"/>
    <s v="02Skagit"/>
    <s v="01North Puget Sound"/>
    <n v="7.7923497267759601"/>
    <n v="3.89617486338798"/>
    <n v="33.273333333333348"/>
  </r>
  <r>
    <n v="1665"/>
    <x v="6"/>
    <x v="9"/>
    <x v="5"/>
    <s v="Freshwater"/>
    <x v="0"/>
    <x v="0"/>
    <s v="844"/>
    <s v="Skykomish River"/>
    <s v="Skykomish River"/>
    <s v="Snohomish"/>
    <x v="0"/>
    <s v="Snohomish"/>
    <s v="03Snohomish"/>
    <s v="01North Puget Sound"/>
    <n v="833.78142076502695"/>
    <n v="416.89071038251399"/>
    <n v="3560.2466666666692"/>
  </r>
  <r>
    <n v="1674"/>
    <x v="6"/>
    <x v="9"/>
    <x v="5"/>
    <s v="Freshwater"/>
    <x v="0"/>
    <x v="0"/>
    <s v="846"/>
    <s v="Skykomish River, No. Fork"/>
    <s v="Skykomish River, No. Fork"/>
    <s v="Snohomish"/>
    <x v="0"/>
    <s v="Snohomish"/>
    <s v="03Snohomish"/>
    <s v="01North Puget Sound"/>
    <n v="8"/>
    <n v="4"/>
    <n v="34.159999999999997"/>
  </r>
  <r>
    <n v="1679"/>
    <x v="6"/>
    <x v="9"/>
    <x v="5"/>
    <s v="Freshwater"/>
    <x v="0"/>
    <x v="0"/>
    <s v="848"/>
    <s v="Skykomish River, So. Fork"/>
    <s v="Skykomish River, So. Fork"/>
    <s v="Snohomish/King"/>
    <x v="0"/>
    <s v="King"/>
    <s v="06King"/>
    <s v="02South Puget Sound"/>
    <n v="8"/>
    <n v="4"/>
    <n v="34.159999999999997"/>
  </r>
  <r>
    <n v="1680"/>
    <x v="6"/>
    <x v="9"/>
    <x v="5"/>
    <s v="Freshwater"/>
    <x v="0"/>
    <x v="0"/>
    <s v="848"/>
    <s v="Skykomish River, So. Fork"/>
    <s v="Skykomish River, So. Fork"/>
    <s v="Snohomish/King"/>
    <x v="0"/>
    <s v="Kitsap"/>
    <s v="10Kitsap"/>
    <s v="02South Puget Sound"/>
    <n v="8"/>
    <n v="4"/>
    <n v="34.159999999999997"/>
  </r>
  <r>
    <n v="1681"/>
    <x v="6"/>
    <x v="9"/>
    <x v="5"/>
    <s v="Freshwater"/>
    <x v="0"/>
    <x v="0"/>
    <s v="848"/>
    <s v="Skykomish River, So. Fork"/>
    <s v="Skykomish River, So. Fork"/>
    <s v="Snohomish/King"/>
    <x v="0"/>
    <s v="Other"/>
    <s v="20Other"/>
    <s v="07Non Puget Sound"/>
    <n v="8"/>
    <n v="4"/>
    <n v="34.159999999999997"/>
  </r>
  <r>
    <n v="1690"/>
    <x v="6"/>
    <x v="9"/>
    <x v="5"/>
    <s v="Freshwater"/>
    <x v="0"/>
    <x v="0"/>
    <s v="850"/>
    <s v="Snohomish River"/>
    <s v="Snohomish River"/>
    <s v="Snohomish"/>
    <x v="0"/>
    <s v="Snohomish"/>
    <s v="03Snohomish"/>
    <s v="01North Puget Sound"/>
    <n v="62"/>
    <n v="31"/>
    <n v="264.73999999999995"/>
  </r>
  <r>
    <n v="1699"/>
    <x v="6"/>
    <x v="9"/>
    <x v="5"/>
    <s v="Freshwater"/>
    <x v="0"/>
    <x v="0"/>
    <s v="852"/>
    <s v="Snoqualmie River"/>
    <s v="Snoqualmie River"/>
    <s v="Snohomish/King"/>
    <x v="0"/>
    <s v="King"/>
    <s v="06King"/>
    <s v="02South Puget Sound"/>
    <n v="132"/>
    <n v="66"/>
    <n v="563.64"/>
  </r>
  <r>
    <n v="1725"/>
    <x v="6"/>
    <x v="9"/>
    <x v="5"/>
    <s v="Freshwater"/>
    <x v="0"/>
    <x v="0"/>
    <s v="874"/>
    <s v="Stillaguamish R, So. Fork"/>
    <s v="Stillaguamish R, So. Fork"/>
    <s v="Snohomish"/>
    <x v="0"/>
    <s v="Snohomish"/>
    <s v="03Snohomish"/>
    <s v="01North Puget Sound"/>
    <n v="6"/>
    <n v="3"/>
    <n v="25.619999999999997"/>
  </r>
  <r>
    <n v="1728"/>
    <x v="6"/>
    <x v="9"/>
    <x v="5"/>
    <s v="Freshwater"/>
    <x v="0"/>
    <x v="0"/>
    <s v="876"/>
    <s v="Stillaguamish River"/>
    <s v="Stillaguamish River"/>
    <s v="Snohomish"/>
    <x v="0"/>
    <s v="King"/>
    <s v="06King"/>
    <s v="02South Puget Sound"/>
    <n v="6.6666666666666696"/>
    <n v="3.3333333333333299"/>
    <n v="28.466666666666633"/>
  </r>
  <r>
    <n v="1729"/>
    <x v="6"/>
    <x v="9"/>
    <x v="5"/>
    <s v="Freshwater"/>
    <x v="0"/>
    <x v="0"/>
    <s v="876"/>
    <s v="Stillaguamish River"/>
    <s v="Stillaguamish River"/>
    <s v="Snohomish"/>
    <x v="0"/>
    <s v="Snohomish"/>
    <s v="03Snohomish"/>
    <s v="01North Puget Sound"/>
    <n v="13.3333333333333"/>
    <n v="6.6666666666666696"/>
    <n v="56.933333333333351"/>
  </r>
  <r>
    <n v="1705"/>
    <x v="6"/>
    <x v="9"/>
    <x v="5"/>
    <s v="Freshwater"/>
    <x v="0"/>
    <x v="0"/>
    <s v="856"/>
    <s v="Tokul Creek"/>
    <s v="Tokul Creek"/>
    <s v="King"/>
    <x v="0"/>
    <s v="King"/>
    <s v="06King"/>
    <s v="02South Puget Sound"/>
    <n v="241.111111111111"/>
    <n v="120.555555555556"/>
    <n v="1029.5444444444481"/>
  </r>
  <r>
    <n v="1706"/>
    <x v="6"/>
    <x v="9"/>
    <x v="5"/>
    <s v="Freshwater"/>
    <x v="0"/>
    <x v="0"/>
    <s v="856"/>
    <s v="Tokul Creek"/>
    <s v="Tokul Creek"/>
    <s v="King"/>
    <x v="0"/>
    <s v="Pierce"/>
    <s v="07Pierce"/>
    <s v="02South Puget Sound"/>
    <n v="23.3333333333333"/>
    <n v="11.6666666666667"/>
    <n v="99.63333333333361"/>
  </r>
  <r>
    <n v="1707"/>
    <x v="6"/>
    <x v="9"/>
    <x v="5"/>
    <s v="Freshwater"/>
    <x v="0"/>
    <x v="0"/>
    <s v="856"/>
    <s v="Tokul Creek"/>
    <s v="Tokul Creek"/>
    <s v="King"/>
    <x v="0"/>
    <s v="Snohomish"/>
    <s v="03Snohomish"/>
    <s v="01North Puget Sound"/>
    <n v="15.5555555555556"/>
    <n v="7.7777777777777803"/>
    <n v="66.422222222222231"/>
  </r>
  <r>
    <n v="1718"/>
    <x v="6"/>
    <x v="9"/>
    <x v="5"/>
    <s v="Freshwater"/>
    <x v="0"/>
    <x v="0"/>
    <s v="860"/>
    <s v="Wallace River"/>
    <s v="Wallace River"/>
    <s v="Snohomish"/>
    <x v="0"/>
    <s v="King"/>
    <s v="06King"/>
    <s v="02South Puget Sound"/>
    <n v="116.756756756757"/>
    <n v="58.3783783783784"/>
    <n v="498.55135135135151"/>
  </r>
  <r>
    <n v="1719"/>
    <x v="6"/>
    <x v="9"/>
    <x v="5"/>
    <s v="Freshwater"/>
    <x v="0"/>
    <x v="0"/>
    <s v="860"/>
    <s v="Wallace River"/>
    <s v="Wallace River"/>
    <s v="Snohomish"/>
    <x v="0"/>
    <s v="Snohomish"/>
    <s v="03Snohomish"/>
    <s v="01North Puget Sound"/>
    <n v="171.243243243243"/>
    <n v="85.6216216216216"/>
    <n v="731.20864864864836"/>
  </r>
  <r>
    <n v="1738"/>
    <x v="6"/>
    <x v="10"/>
    <x v="5"/>
    <s v="Freshwater"/>
    <x v="0"/>
    <x v="0"/>
    <s v="9"/>
    <s v="Area 9: Admiralty Inlet"/>
    <s v="Area 9: Admiralty Inlet"/>
    <s v="NA"/>
    <x v="0"/>
    <s v="Other"/>
    <s v="20Other"/>
    <s v="07Non Puget Sound"/>
    <n v="45.3333333333333"/>
    <n v="22.6666666666667"/>
    <n v="193.57333333333361"/>
  </r>
  <r>
    <n v="1739"/>
    <x v="6"/>
    <x v="10"/>
    <x v="5"/>
    <s v="Freshwater"/>
    <x v="0"/>
    <x v="0"/>
    <s v="9"/>
    <s v="Area 9: Admiralty Inlet"/>
    <s v="Area 9: Admiralty Inlet"/>
    <s v="NA"/>
    <x v="0"/>
    <s v="Snohomish"/>
    <s v="03Snohomish"/>
    <s v="01North Puget Sound"/>
    <n v="22.6666666666667"/>
    <n v="11.3333333333333"/>
    <n v="96.786666666666378"/>
  </r>
  <r>
    <n v="1610"/>
    <x v="6"/>
    <x v="10"/>
    <x v="5"/>
    <s v="Freshwater"/>
    <x v="0"/>
    <x v="0"/>
    <s v="752"/>
    <s v="Hoko River"/>
    <s v="Hoko River"/>
    <s v="Clallam"/>
    <x v="3"/>
    <s v="Clallam"/>
    <s v="11Clallam"/>
    <s v="03Strait of Juan de Fuca"/>
    <n v="26"/>
    <n v="13"/>
    <n v="111.01999999999998"/>
  </r>
  <r>
    <n v="1666"/>
    <x v="6"/>
    <x v="10"/>
    <x v="5"/>
    <s v="Freshwater"/>
    <x v="0"/>
    <x v="0"/>
    <s v="844"/>
    <s v="Skykomish River"/>
    <s v="Skykomish River"/>
    <s v="Snohomish"/>
    <x v="0"/>
    <s v="King"/>
    <s v="06King"/>
    <s v="02South Puget Sound"/>
    <n v="39.285714285714299"/>
    <n v="19.6428571428571"/>
    <n v="167.7499999999996"/>
  </r>
  <r>
    <n v="1667"/>
    <x v="6"/>
    <x v="10"/>
    <x v="5"/>
    <s v="Freshwater"/>
    <x v="0"/>
    <x v="0"/>
    <s v="844"/>
    <s v="Skykomish River"/>
    <s v="Skykomish River"/>
    <s v="Snohomish"/>
    <x v="0"/>
    <s v="Snohomish"/>
    <s v="03Snohomish"/>
    <s v="01North Puget Sound"/>
    <n v="70.714285714285694"/>
    <n v="35.357142857142897"/>
    <n v="301.95000000000033"/>
  </r>
  <r>
    <n v="1708"/>
    <x v="6"/>
    <x v="10"/>
    <x v="5"/>
    <s v="Freshwater"/>
    <x v="0"/>
    <x v="0"/>
    <s v="856"/>
    <s v="Tokul Creek"/>
    <s v="Tokul Creek"/>
    <s v="King"/>
    <x v="0"/>
    <s v="King"/>
    <s v="06King"/>
    <s v="02South Puget Sound"/>
    <n v="30.4"/>
    <n v="15.2"/>
    <n v="129.80799999999999"/>
  </r>
  <r>
    <n v="1709"/>
    <x v="6"/>
    <x v="10"/>
    <x v="5"/>
    <s v="Freshwater"/>
    <x v="0"/>
    <x v="0"/>
    <s v="856"/>
    <s v="Tokul Creek"/>
    <s v="Tokul Creek"/>
    <s v="King"/>
    <x v="0"/>
    <s v="Snohomish"/>
    <s v="03Snohomish"/>
    <s v="01North Puget Sound"/>
    <n v="7.6"/>
    <n v="3.8"/>
    <n v="32.451999999999998"/>
  </r>
  <r>
    <n v="1720"/>
    <x v="6"/>
    <x v="10"/>
    <x v="5"/>
    <s v="Freshwater"/>
    <x v="0"/>
    <x v="0"/>
    <s v="860"/>
    <s v="Wallace River"/>
    <s v="Wallace River"/>
    <s v="Snohomish"/>
    <x v="0"/>
    <s v="Snohomish"/>
    <s v="03Snohomish"/>
    <s v="01North Puget Sound"/>
    <n v="8"/>
    <n v="4"/>
    <n v="34.159999999999997"/>
  </r>
  <r>
    <n v="1740"/>
    <x v="6"/>
    <x v="11"/>
    <x v="5"/>
    <s v="Freshwater"/>
    <x v="0"/>
    <x v="0"/>
    <s v="9"/>
    <s v="Area 9: Admiralty Inlet"/>
    <s v="Area 9: Admiralty Inlet"/>
    <s v="NA"/>
    <x v="0"/>
    <s v="Snohomish"/>
    <s v="03Snohomish"/>
    <s v="01North Puget Sound"/>
    <n v="22"/>
    <n v="11"/>
    <n v="93.94"/>
  </r>
  <r>
    <n v="1831"/>
    <x v="6"/>
    <x v="0"/>
    <x v="6"/>
    <s v="Freshwater"/>
    <x v="0"/>
    <x v="0"/>
    <s v="9"/>
    <s v="Area 9: Admiralty Inlet"/>
    <s v="Area 9: Admiralty Inlet"/>
    <s v="NA"/>
    <x v="0"/>
    <s v="Snohomish"/>
    <s v="03Snohomish"/>
    <s v="01North Puget Sound"/>
    <n v="10"/>
    <n v="5"/>
    <n v="42.699999999999996"/>
  </r>
  <r>
    <n v="1774"/>
    <x v="6"/>
    <x v="1"/>
    <x v="6"/>
    <s v="Freshwater"/>
    <x v="0"/>
    <x v="0"/>
    <s v="844"/>
    <s v="Skykomish River"/>
    <s v="Skykomish River"/>
    <s v="Snohomish"/>
    <x v="0"/>
    <s v="Snohomish"/>
    <s v="03Snohomish"/>
    <s v="01North Puget Sound"/>
    <n v="6"/>
    <n v="3"/>
    <n v="25.619999999999997"/>
  </r>
  <r>
    <n v="1832"/>
    <x v="6"/>
    <x v="2"/>
    <x v="6"/>
    <s v="Freshwater"/>
    <x v="0"/>
    <x v="0"/>
    <s v="9"/>
    <s v="Area 9: Admiralty Inlet"/>
    <s v="Area 9: Admiralty Inlet"/>
    <s v="NA"/>
    <x v="0"/>
    <s v="Snohomish"/>
    <s v="03Snohomish"/>
    <s v="01North Puget Sound"/>
    <n v="10"/>
    <n v="5"/>
    <n v="42.699999999999996"/>
  </r>
  <r>
    <n v="1743"/>
    <x v="6"/>
    <x v="2"/>
    <x v="6"/>
    <s v="Freshwater"/>
    <x v="0"/>
    <x v="0"/>
    <s v="746"/>
    <s v="Green (Duwamish River) (King Co.)"/>
    <s v="Green - Duwamish River"/>
    <s v="King"/>
    <x v="2"/>
    <s v="King"/>
    <s v="06King"/>
    <s v="02South Puget Sound"/>
    <n v="54"/>
    <n v="27"/>
    <n v="230.57999999999998"/>
  </r>
  <r>
    <n v="1775"/>
    <x v="6"/>
    <x v="2"/>
    <x v="6"/>
    <s v="Freshwater"/>
    <x v="0"/>
    <x v="0"/>
    <s v="844"/>
    <s v="Skykomish River"/>
    <s v="Skykomish River"/>
    <s v="Snohomish"/>
    <x v="0"/>
    <s v="King"/>
    <s v="06King"/>
    <s v="02South Puget Sound"/>
    <n v="245.272727272727"/>
    <n v="122.636363636364"/>
    <n v="1047.3145454545484"/>
  </r>
  <r>
    <n v="1776"/>
    <x v="6"/>
    <x v="2"/>
    <x v="6"/>
    <s v="Freshwater"/>
    <x v="0"/>
    <x v="0"/>
    <s v="844"/>
    <s v="Skykomish River"/>
    <s v="Skykomish River"/>
    <s v="Snohomish"/>
    <x v="0"/>
    <s v="Kitsap"/>
    <s v="10Kitsap"/>
    <s v="02South Puget Sound"/>
    <n v="6.4545454545454604"/>
    <n v="3.2272727272727302"/>
    <n v="27.560909090909114"/>
  </r>
  <r>
    <n v="1777"/>
    <x v="6"/>
    <x v="2"/>
    <x v="6"/>
    <s v="Freshwater"/>
    <x v="0"/>
    <x v="0"/>
    <s v="844"/>
    <s v="Skykomish River"/>
    <s v="Skykomish River"/>
    <s v="Snohomish"/>
    <x v="0"/>
    <s v="Snohomish"/>
    <s v="03Snohomish"/>
    <s v="01North Puget Sound"/>
    <n v="174.272727272727"/>
    <n v="87.136363636363697"/>
    <n v="744.14454545454589"/>
  </r>
  <r>
    <n v="1810"/>
    <x v="6"/>
    <x v="2"/>
    <x v="6"/>
    <s v="Freshwater"/>
    <x v="0"/>
    <x v="0"/>
    <s v="850"/>
    <s v="Snohomish River"/>
    <s v="Snohomish River"/>
    <s v="Snohomish"/>
    <x v="0"/>
    <s v="Snohomish"/>
    <s v="03Snohomish"/>
    <s v="01North Puget Sound"/>
    <n v="32"/>
    <n v="16"/>
    <n v="136.63999999999999"/>
  </r>
  <r>
    <n v="1744"/>
    <x v="6"/>
    <x v="3"/>
    <x v="6"/>
    <s v="Freshwater"/>
    <x v="0"/>
    <x v="0"/>
    <s v="746"/>
    <s v="Green (Duwamish River) (King Co.)"/>
    <s v="Green - Duwamish River"/>
    <s v="King"/>
    <x v="2"/>
    <s v="King"/>
    <s v="06King"/>
    <s v="02South Puget Sound"/>
    <n v="54.285714285714299"/>
    <n v="27.1428571428571"/>
    <n v="231.79999999999961"/>
  </r>
  <r>
    <n v="1745"/>
    <x v="6"/>
    <x v="3"/>
    <x v="6"/>
    <s v="Freshwater"/>
    <x v="0"/>
    <x v="0"/>
    <s v="746"/>
    <s v="Green (Duwamish River) (King Co.)"/>
    <s v="Green - Duwamish River"/>
    <s v="King"/>
    <x v="2"/>
    <s v="Pierce"/>
    <s v="07Pierce"/>
    <s v="02South Puget Sound"/>
    <n v="21.714285714285701"/>
    <n v="10.8571428571429"/>
    <n v="92.720000000000354"/>
  </r>
  <r>
    <n v="1773"/>
    <x v="6"/>
    <x v="3"/>
    <x v="6"/>
    <s v="Freshwater"/>
    <x v="0"/>
    <x v="0"/>
    <s v="842"/>
    <s v="Raging River"/>
    <s v="Raging River"/>
    <s v="King"/>
    <x v="2"/>
    <s v="Other"/>
    <s v="20Other"/>
    <s v="07Non Puget Sound"/>
    <n v="6"/>
    <n v="3"/>
    <n v="25.619999999999997"/>
  </r>
  <r>
    <n v="1769"/>
    <x v="6"/>
    <x v="3"/>
    <x v="6"/>
    <s v="Freshwater"/>
    <x v="0"/>
    <x v="0"/>
    <s v="830"/>
    <s v="Skagit River"/>
    <s v="Skagit River"/>
    <s v="Skagit/Whatcom"/>
    <x v="0"/>
    <s v="Other"/>
    <s v="20Other"/>
    <s v="07Non Puget Sound"/>
    <n v="28"/>
    <n v="14"/>
    <n v="119.55999999999999"/>
  </r>
  <r>
    <n v="1778"/>
    <x v="6"/>
    <x v="3"/>
    <x v="6"/>
    <s v="Freshwater"/>
    <x v="0"/>
    <x v="0"/>
    <s v="844"/>
    <s v="Skykomish River"/>
    <s v="Skykomish River"/>
    <s v="Snohomish"/>
    <x v="0"/>
    <s v="Island"/>
    <s v="04Island"/>
    <s v="01North Puget Sound"/>
    <n v="6.4563758389261796"/>
    <n v="3.2281879194630898"/>
    <n v="27.568724832214784"/>
  </r>
  <r>
    <n v="1779"/>
    <x v="6"/>
    <x v="3"/>
    <x v="6"/>
    <s v="Freshwater"/>
    <x v="0"/>
    <x v="0"/>
    <s v="844"/>
    <s v="Skykomish River"/>
    <s v="Skykomish River"/>
    <s v="Snohomish"/>
    <x v="0"/>
    <s v="King"/>
    <s v="06King"/>
    <s v="02South Puget Sound"/>
    <n v="329.275167785235"/>
    <n v="164.63758389261699"/>
    <n v="1406.0049664429489"/>
  </r>
  <r>
    <n v="1780"/>
    <x v="6"/>
    <x v="3"/>
    <x v="6"/>
    <s v="Freshwater"/>
    <x v="0"/>
    <x v="0"/>
    <s v="844"/>
    <s v="Skykomish River"/>
    <s v="Skykomish River"/>
    <s v="Snohomish"/>
    <x v="0"/>
    <s v="Kitsap"/>
    <s v="10Kitsap"/>
    <s v="02South Puget Sound"/>
    <n v="25.825503355704701"/>
    <n v="12.9127516778524"/>
    <n v="110.27489932885949"/>
  </r>
  <r>
    <n v="1781"/>
    <x v="6"/>
    <x v="3"/>
    <x v="6"/>
    <s v="Freshwater"/>
    <x v="0"/>
    <x v="0"/>
    <s v="844"/>
    <s v="Skykomish River"/>
    <s v="Skykomish River"/>
    <s v="Snohomish"/>
    <x v="0"/>
    <s v="Other"/>
    <s v="20Other"/>
    <s v="07Non Puget Sound"/>
    <n v="19.369127516778502"/>
    <n v="9.6845637583892596"/>
    <n v="82.706174496644266"/>
  </r>
  <r>
    <n v="1782"/>
    <x v="6"/>
    <x v="3"/>
    <x v="6"/>
    <s v="Freshwater"/>
    <x v="0"/>
    <x v="0"/>
    <s v="844"/>
    <s v="Skykomish River"/>
    <s v="Skykomish River"/>
    <s v="Snohomish"/>
    <x v="0"/>
    <s v="Skagit"/>
    <s v="02Skagit"/>
    <s v="01North Puget Sound"/>
    <n v="25.825503355704701"/>
    <n v="12.9127516778524"/>
    <n v="110.27489932885949"/>
  </r>
  <r>
    <n v="1783"/>
    <x v="6"/>
    <x v="3"/>
    <x v="6"/>
    <s v="Freshwater"/>
    <x v="0"/>
    <x v="0"/>
    <s v="844"/>
    <s v="Skykomish River"/>
    <s v="Skykomish River"/>
    <s v="Snohomish"/>
    <x v="0"/>
    <s v="Snohomish"/>
    <s v="03Snohomish"/>
    <s v="01North Puget Sound"/>
    <n v="503.59731543624201"/>
    <n v="251.79865771812101"/>
    <n v="2150.3605369127531"/>
  </r>
  <r>
    <n v="1784"/>
    <x v="6"/>
    <x v="3"/>
    <x v="6"/>
    <s v="Freshwater"/>
    <x v="0"/>
    <x v="0"/>
    <s v="844"/>
    <s v="Skykomish River"/>
    <s v="Skykomish River"/>
    <s v="Snohomish"/>
    <x v="0"/>
    <s v="Whatcom"/>
    <s v="01Whatcom"/>
    <s v="01North Puget Sound"/>
    <n v="51.651006711409401"/>
    <n v="25.825503355704701"/>
    <n v="220.54979865771813"/>
  </r>
  <r>
    <n v="1806"/>
    <x v="6"/>
    <x v="3"/>
    <x v="6"/>
    <s v="Freshwater"/>
    <x v="0"/>
    <x v="0"/>
    <s v="846"/>
    <s v="Skykomish River, No. Fork"/>
    <s v="Skykomish River, No. Fork"/>
    <s v="Snohomish"/>
    <x v="0"/>
    <s v="Other"/>
    <s v="20Other"/>
    <s v="07Non Puget Sound"/>
    <n v="12"/>
    <n v="6"/>
    <n v="51.239999999999995"/>
  </r>
  <r>
    <n v="1811"/>
    <x v="6"/>
    <x v="3"/>
    <x v="6"/>
    <s v="Freshwater"/>
    <x v="0"/>
    <x v="0"/>
    <s v="850"/>
    <s v="Snohomish River"/>
    <s v="Snohomish River"/>
    <s v="Snohomish"/>
    <x v="0"/>
    <s v="Snohomish"/>
    <s v="03Snohomish"/>
    <s v="01North Puget Sound"/>
    <n v="12"/>
    <n v="6"/>
    <n v="51.239999999999995"/>
  </r>
  <r>
    <n v="1764"/>
    <x v="6"/>
    <x v="4"/>
    <x v="6"/>
    <s v="Freshwater"/>
    <x v="0"/>
    <x v="0"/>
    <s v="825"/>
    <s v="Baker Lake"/>
    <s v="Baker Lake"/>
    <s v="Whatcom"/>
    <x v="1"/>
    <s v="King"/>
    <s v="06King"/>
    <s v="02South Puget Sound"/>
    <n v="11"/>
    <n v="0"/>
    <n v="0"/>
  </r>
  <r>
    <n v="1765"/>
    <x v="6"/>
    <x v="4"/>
    <x v="6"/>
    <s v="Freshwater"/>
    <x v="0"/>
    <x v="0"/>
    <s v="825"/>
    <s v="Baker Lake"/>
    <s v="Baker Lake"/>
    <s v="Whatcom"/>
    <x v="1"/>
    <s v="Whatcom"/>
    <s v="01Whatcom"/>
    <s v="01North Puget Sound"/>
    <n v="11"/>
    <n v="0"/>
    <n v="0"/>
  </r>
  <r>
    <n v="1746"/>
    <x v="6"/>
    <x v="4"/>
    <x v="6"/>
    <s v="Freshwater"/>
    <x v="0"/>
    <x v="0"/>
    <s v="746"/>
    <s v="Green (Duwamish River) (King Co.)"/>
    <s v="Green - Duwamish River"/>
    <s v="King"/>
    <x v="2"/>
    <s v="King"/>
    <s v="06King"/>
    <s v="02South Puget Sound"/>
    <n v="54.285714285714299"/>
    <n v="27.1428571428571"/>
    <n v="231.79999999999961"/>
  </r>
  <r>
    <n v="1747"/>
    <x v="6"/>
    <x v="4"/>
    <x v="6"/>
    <s v="Freshwater"/>
    <x v="0"/>
    <x v="0"/>
    <s v="746"/>
    <s v="Green (Duwamish River) (King Co.)"/>
    <s v="Green - Duwamish River"/>
    <s v="King"/>
    <x v="2"/>
    <s v="Pierce"/>
    <s v="07Pierce"/>
    <s v="02South Puget Sound"/>
    <n v="21.714285714285701"/>
    <n v="10.8571428571429"/>
    <n v="92.720000000000354"/>
  </r>
  <r>
    <n v="1762"/>
    <x v="6"/>
    <x v="4"/>
    <x v="6"/>
    <s v="Freshwater"/>
    <x v="0"/>
    <x v="0"/>
    <s v="818"/>
    <s v="Sekiu River"/>
    <s v="Sekiu River"/>
    <s v="Clallam"/>
    <x v="3"/>
    <s v="Other"/>
    <s v="20Other"/>
    <s v="07Non Puget Sound"/>
    <n v="10"/>
    <n v="5"/>
    <n v="42.699999999999996"/>
  </r>
  <r>
    <n v="1785"/>
    <x v="6"/>
    <x v="4"/>
    <x v="6"/>
    <s v="Freshwater"/>
    <x v="0"/>
    <x v="0"/>
    <s v="844"/>
    <s v="Skykomish River"/>
    <s v="Skykomish River"/>
    <s v="Snohomish"/>
    <x v="0"/>
    <s v="King"/>
    <s v="06King"/>
    <s v="02South Puget Sound"/>
    <n v="141.777777777778"/>
    <n v="70.8888888888889"/>
    <n v="605.39111111111117"/>
  </r>
  <r>
    <n v="1786"/>
    <x v="6"/>
    <x v="4"/>
    <x v="6"/>
    <s v="Freshwater"/>
    <x v="0"/>
    <x v="0"/>
    <s v="844"/>
    <s v="Skykomish River"/>
    <s v="Skykomish River"/>
    <s v="Snohomish"/>
    <x v="0"/>
    <s v="Snohomish"/>
    <s v="03Snohomish"/>
    <s v="01North Puget Sound"/>
    <n v="90.2222222222222"/>
    <n v="45.1111111111111"/>
    <n v="385.24888888888876"/>
  </r>
  <r>
    <n v="1766"/>
    <x v="6"/>
    <x v="5"/>
    <x v="6"/>
    <s v="Freshwater"/>
    <x v="0"/>
    <x v="0"/>
    <s v="826"/>
    <s v="Cascade River"/>
    <s v="Cascade River"/>
    <s v="Skagit"/>
    <x v="1"/>
    <s v="Snohomish"/>
    <s v="03Snohomish"/>
    <s v="01North Puget Sound"/>
    <n v="10"/>
    <n v="5"/>
    <n v="42.699999999999996"/>
  </r>
  <r>
    <n v="1787"/>
    <x v="6"/>
    <x v="5"/>
    <x v="6"/>
    <s v="Freshwater"/>
    <x v="0"/>
    <x v="0"/>
    <s v="844"/>
    <s v="Skykomish River"/>
    <s v="Skykomish River"/>
    <s v="Snohomish"/>
    <x v="0"/>
    <s v="King"/>
    <s v="06King"/>
    <s v="02South Puget Sound"/>
    <n v="77.2173913043478"/>
    <n v="38.6086956521739"/>
    <n v="329.71826086956509"/>
  </r>
  <r>
    <n v="1788"/>
    <x v="6"/>
    <x v="5"/>
    <x v="6"/>
    <s v="Freshwater"/>
    <x v="0"/>
    <x v="0"/>
    <s v="844"/>
    <s v="Skykomish River"/>
    <s v="Skykomish River"/>
    <s v="Snohomish"/>
    <x v="0"/>
    <s v="Snohomish"/>
    <s v="03Snohomish"/>
    <s v="01North Puget Sound"/>
    <n v="70.7826086956522"/>
    <n v="35.3913043478261"/>
    <n v="302.24173913043489"/>
  </r>
  <r>
    <n v="1807"/>
    <x v="6"/>
    <x v="5"/>
    <x v="6"/>
    <s v="Freshwater"/>
    <x v="0"/>
    <x v="0"/>
    <s v="846"/>
    <s v="Skykomish River, No. Fork"/>
    <s v="Skykomish River, No. Fork"/>
    <s v="Snohomish"/>
    <x v="0"/>
    <s v="King"/>
    <s v="06King"/>
    <s v="02South Puget Sound"/>
    <n v="6"/>
    <n v="3"/>
    <n v="25.619999999999997"/>
  </r>
  <r>
    <n v="1748"/>
    <x v="6"/>
    <x v="6"/>
    <x v="6"/>
    <s v="Freshwater"/>
    <x v="0"/>
    <x v="0"/>
    <s v="746"/>
    <s v="Green (Duwamish River) (King Co.)"/>
    <s v="Green - Duwamish River"/>
    <s v="King"/>
    <x v="2"/>
    <s v="King"/>
    <s v="06King"/>
    <s v="02South Puget Sound"/>
    <n v="10"/>
    <n v="5"/>
    <n v="42.699999999999996"/>
  </r>
  <r>
    <n v="1789"/>
    <x v="6"/>
    <x v="6"/>
    <x v="6"/>
    <s v="Freshwater"/>
    <x v="0"/>
    <x v="0"/>
    <s v="844"/>
    <s v="Skykomish River"/>
    <s v="Skykomish River"/>
    <s v="Snohomish"/>
    <x v="0"/>
    <s v="King"/>
    <s v="06King"/>
    <s v="02South Puget Sound"/>
    <n v="77.189189189189193"/>
    <n v="38.594594594594597"/>
    <n v="329.5978378378378"/>
  </r>
  <r>
    <n v="1790"/>
    <x v="6"/>
    <x v="6"/>
    <x v="6"/>
    <s v="Freshwater"/>
    <x v="0"/>
    <x v="0"/>
    <s v="844"/>
    <s v="Skykomish River"/>
    <s v="Skykomish River"/>
    <s v="Snohomish"/>
    <x v="0"/>
    <s v="Snohomish"/>
    <s v="03Snohomish"/>
    <s v="01North Puget Sound"/>
    <n v="160.81081081081101"/>
    <n v="80.405405405405403"/>
    <n v="686.66216216216208"/>
  </r>
  <r>
    <n v="1808"/>
    <x v="6"/>
    <x v="6"/>
    <x v="6"/>
    <s v="Freshwater"/>
    <x v="0"/>
    <x v="0"/>
    <s v="846"/>
    <s v="Skykomish River, No. Fork"/>
    <s v="Skykomish River, No. Fork"/>
    <s v="Snohomish"/>
    <x v="0"/>
    <s v="Other"/>
    <s v="20Other"/>
    <s v="07Non Puget Sound"/>
    <n v="6"/>
    <n v="3"/>
    <n v="25.619999999999997"/>
  </r>
  <r>
    <n v="1817"/>
    <x v="6"/>
    <x v="6"/>
    <x v="6"/>
    <s v="Freshwater"/>
    <x v="0"/>
    <x v="0"/>
    <s v="860"/>
    <s v="Wallace River"/>
    <s v="Wallace River"/>
    <s v="Snohomish"/>
    <x v="0"/>
    <s v="Snohomish"/>
    <s v="03Snohomish"/>
    <s v="01North Puget Sound"/>
    <n v="12"/>
    <n v="6"/>
    <n v="51.239999999999995"/>
  </r>
  <r>
    <n v="1749"/>
    <x v="6"/>
    <x v="7"/>
    <x v="6"/>
    <s v="Freshwater"/>
    <x v="0"/>
    <x v="0"/>
    <s v="746"/>
    <s v="Green (Duwamish River) (King Co.)"/>
    <s v="Green - Duwamish River"/>
    <s v="King"/>
    <x v="2"/>
    <s v="King"/>
    <s v="06King"/>
    <s v="02South Puget Sound"/>
    <n v="10"/>
    <n v="5"/>
    <n v="42.699999999999996"/>
  </r>
  <r>
    <n v="1791"/>
    <x v="6"/>
    <x v="7"/>
    <x v="6"/>
    <s v="Freshwater"/>
    <x v="0"/>
    <x v="0"/>
    <s v="844"/>
    <s v="Skykomish River"/>
    <s v="Skykomish River"/>
    <s v="Snohomish"/>
    <x v="0"/>
    <s v="King"/>
    <s v="06King"/>
    <s v="02South Puget Sound"/>
    <n v="31.428571428571399"/>
    <n v="15.714285714285699"/>
    <n v="134.19999999999985"/>
  </r>
  <r>
    <n v="1792"/>
    <x v="6"/>
    <x v="7"/>
    <x v="6"/>
    <s v="Freshwater"/>
    <x v="0"/>
    <x v="0"/>
    <s v="844"/>
    <s v="Skykomish River"/>
    <s v="Skykomish River"/>
    <s v="Snohomish"/>
    <x v="0"/>
    <s v="Snohomish"/>
    <s v="03Snohomish"/>
    <s v="01North Puget Sound"/>
    <n v="100.571428571429"/>
    <n v="50.285714285714299"/>
    <n v="429.44000000000005"/>
  </r>
  <r>
    <n v="1812"/>
    <x v="6"/>
    <x v="7"/>
    <x v="6"/>
    <s v="Freshwater"/>
    <x v="0"/>
    <x v="0"/>
    <s v="850"/>
    <s v="Snohomish River"/>
    <s v="Snohomish River"/>
    <s v="Snohomish"/>
    <x v="0"/>
    <s v="Snohomish"/>
    <s v="03Snohomish"/>
    <s v="01North Puget Sound"/>
    <n v="6"/>
    <n v="3"/>
    <n v="25.619999999999997"/>
  </r>
  <r>
    <n v="1827"/>
    <x v="6"/>
    <x v="7"/>
    <x v="6"/>
    <s v="Freshwater"/>
    <x v="0"/>
    <x v="0"/>
    <s v="872"/>
    <s v="Stillaguamish R, No. Fork"/>
    <s v="Stillaguamish R, No. Fork"/>
    <s v="Snohomish"/>
    <x v="0"/>
    <s v="Snohomish"/>
    <s v="03Snohomish"/>
    <s v="01North Puget Sound"/>
    <n v="42"/>
    <n v="21"/>
    <n v="179.33999999999997"/>
  </r>
  <r>
    <n v="1828"/>
    <x v="6"/>
    <x v="7"/>
    <x v="6"/>
    <s v="Freshwater"/>
    <x v="0"/>
    <x v="0"/>
    <s v="874"/>
    <s v="Stillaguamish R, So. Fork"/>
    <s v="Stillaguamish R, So. Fork"/>
    <s v="Snohomish"/>
    <x v="0"/>
    <s v="Snohomish"/>
    <s v="03Snohomish"/>
    <s v="01North Puget Sound"/>
    <n v="10"/>
    <n v="5"/>
    <n v="42.699999999999996"/>
  </r>
  <r>
    <n v="1818"/>
    <x v="6"/>
    <x v="7"/>
    <x v="6"/>
    <s v="Freshwater"/>
    <x v="0"/>
    <x v="0"/>
    <s v="860"/>
    <s v="Wallace River"/>
    <s v="Wallace River"/>
    <s v="Snohomish"/>
    <x v="0"/>
    <s v="King"/>
    <s v="06King"/>
    <s v="02South Puget Sound"/>
    <n v="38"/>
    <n v="19"/>
    <n v="162.26"/>
  </r>
  <r>
    <n v="1819"/>
    <x v="6"/>
    <x v="7"/>
    <x v="6"/>
    <s v="Freshwater"/>
    <x v="0"/>
    <x v="0"/>
    <s v="860"/>
    <s v="Wallace River"/>
    <s v="Wallace River"/>
    <s v="Snohomish"/>
    <x v="0"/>
    <s v="Snohomish"/>
    <s v="03Snohomish"/>
    <s v="01North Puget Sound"/>
    <n v="76"/>
    <n v="38"/>
    <n v="324.52"/>
  </r>
  <r>
    <n v="1741"/>
    <x v="6"/>
    <x v="8"/>
    <x v="6"/>
    <s v="Freshwater"/>
    <x v="0"/>
    <x v="0"/>
    <s v="726"/>
    <s v="Deep Creek (Clallam Co.)"/>
    <s v="Deep Creek (Clallam Co.)"/>
    <s v="Clallam"/>
    <x v="3"/>
    <s v="Clallam"/>
    <s v="11Clallam"/>
    <s v="03Strait of Juan de Fuca"/>
    <n v="10"/>
    <n v="5"/>
    <n v="42.699999999999996"/>
  </r>
  <r>
    <n v="1742"/>
    <x v="6"/>
    <x v="8"/>
    <x v="6"/>
    <s v="Freshwater"/>
    <x v="0"/>
    <x v="0"/>
    <s v="738"/>
    <s v="Dungeness River"/>
    <s v="Dungeness River"/>
    <s v="Clallam"/>
    <x v="3"/>
    <s v="Clallam"/>
    <s v="11Clallam"/>
    <s v="03Strait of Juan de Fuca"/>
    <n v="10"/>
    <n v="5"/>
    <n v="42.699999999999996"/>
  </r>
  <r>
    <n v="1751"/>
    <x v="6"/>
    <x v="8"/>
    <x v="6"/>
    <s v="Freshwater"/>
    <x v="0"/>
    <x v="0"/>
    <s v="752"/>
    <s v="Hoko River"/>
    <s v="Hoko River"/>
    <s v="Clallam"/>
    <x v="3"/>
    <s v="Clallam"/>
    <s v="11Clallam"/>
    <s v="03Strait of Juan de Fuca"/>
    <n v="62.181818181818201"/>
    <n v="31.090909090909101"/>
    <n v="265.51636363636368"/>
  </r>
  <r>
    <n v="1752"/>
    <x v="6"/>
    <x v="8"/>
    <x v="6"/>
    <s v="Freshwater"/>
    <x v="0"/>
    <x v="0"/>
    <s v="752"/>
    <s v="Hoko River"/>
    <s v="Hoko River"/>
    <s v="Clallam"/>
    <x v="3"/>
    <s v="Kitsap"/>
    <s v="10Kitsap"/>
    <s v="02South Puget Sound"/>
    <n v="10.363636363636401"/>
    <n v="5.1818181818181799"/>
    <n v="44.252727272727249"/>
  </r>
  <r>
    <n v="1753"/>
    <x v="6"/>
    <x v="8"/>
    <x v="6"/>
    <s v="Freshwater"/>
    <x v="0"/>
    <x v="0"/>
    <s v="752"/>
    <s v="Hoko River"/>
    <s v="Hoko River"/>
    <s v="Clallam"/>
    <x v="3"/>
    <s v="Mason"/>
    <s v="09Mason"/>
    <s v="02South Puget Sound"/>
    <n v="10.363636363636401"/>
    <n v="5.1818181818181799"/>
    <n v="44.252727272727249"/>
  </r>
  <r>
    <n v="1754"/>
    <x v="6"/>
    <x v="8"/>
    <x v="6"/>
    <s v="Freshwater"/>
    <x v="0"/>
    <x v="0"/>
    <s v="752"/>
    <s v="Hoko River"/>
    <s v="Hoko River"/>
    <s v="Clallam"/>
    <x v="3"/>
    <s v="Other"/>
    <s v="20Other"/>
    <s v="07Non Puget Sound"/>
    <n v="10.363636363636401"/>
    <n v="5.1818181818181799"/>
    <n v="44.252727272727249"/>
  </r>
  <r>
    <n v="1755"/>
    <x v="6"/>
    <x v="8"/>
    <x v="6"/>
    <s v="Freshwater"/>
    <x v="0"/>
    <x v="0"/>
    <s v="752"/>
    <s v="Hoko River"/>
    <s v="Hoko River"/>
    <s v="Clallam"/>
    <x v="3"/>
    <s v="Pierce"/>
    <s v="07Pierce"/>
    <s v="02South Puget Sound"/>
    <n v="124.363636363636"/>
    <n v="62.181818181818201"/>
    <n v="531.03272727272736"/>
  </r>
  <r>
    <n v="1756"/>
    <x v="6"/>
    <x v="8"/>
    <x v="6"/>
    <s v="Freshwater"/>
    <x v="0"/>
    <x v="0"/>
    <s v="752"/>
    <s v="Hoko River"/>
    <s v="Hoko River"/>
    <s v="Clallam"/>
    <x v="3"/>
    <s v="Skagit"/>
    <s v="02Skagit"/>
    <s v="01North Puget Sound"/>
    <n v="10.363636363636401"/>
    <n v="5.1818181818181799"/>
    <n v="44.252727272727249"/>
  </r>
  <r>
    <n v="1761"/>
    <x v="6"/>
    <x v="8"/>
    <x v="6"/>
    <s v="Freshwater"/>
    <x v="0"/>
    <x v="0"/>
    <s v="810"/>
    <s v="Pysht River"/>
    <s v="Pysht River"/>
    <s v="Clallam"/>
    <x v="3"/>
    <s v="Clallam"/>
    <s v="11Clallam"/>
    <s v="03Strait of Juan de Fuca"/>
    <n v="42"/>
    <n v="21"/>
    <n v="179.33999999999997"/>
  </r>
  <r>
    <n v="1767"/>
    <x v="6"/>
    <x v="8"/>
    <x v="6"/>
    <s v="Freshwater"/>
    <x v="0"/>
    <x v="0"/>
    <s v="828"/>
    <s v="Sauk River"/>
    <s v="Sauk River"/>
    <s v="Skagit/Snohomish"/>
    <x v="0"/>
    <s v="King"/>
    <s v="06King"/>
    <s v="02South Puget Sound"/>
    <n v="10"/>
    <n v="5"/>
    <n v="42.699999999999996"/>
  </r>
  <r>
    <n v="1768"/>
    <x v="6"/>
    <x v="8"/>
    <x v="6"/>
    <s v="Freshwater"/>
    <x v="0"/>
    <x v="0"/>
    <s v="828"/>
    <s v="Sauk River"/>
    <s v="Sauk River"/>
    <s v="Skagit/Snohomish"/>
    <x v="0"/>
    <s v="Snohomish"/>
    <s v="03Snohomish"/>
    <s v="01North Puget Sound"/>
    <n v="10"/>
    <n v="5"/>
    <n v="42.699999999999996"/>
  </r>
  <r>
    <n v="1763"/>
    <x v="6"/>
    <x v="8"/>
    <x v="6"/>
    <s v="Freshwater"/>
    <x v="0"/>
    <x v="0"/>
    <s v="818"/>
    <s v="Sekiu River"/>
    <s v="Sekiu River"/>
    <s v="Clallam"/>
    <x v="3"/>
    <s v="Clallam"/>
    <s v="11Clallam"/>
    <s v="03Strait of Juan de Fuca"/>
    <n v="10"/>
    <n v="5"/>
    <n v="42.699999999999996"/>
  </r>
  <r>
    <n v="1793"/>
    <x v="6"/>
    <x v="8"/>
    <x v="6"/>
    <s v="Freshwater"/>
    <x v="0"/>
    <x v="0"/>
    <s v="844"/>
    <s v="Skykomish River"/>
    <s v="Skykomish River"/>
    <s v="Snohomish"/>
    <x v="0"/>
    <s v="Clallam"/>
    <s v="11Clallam"/>
    <s v="03Strait of Juan de Fuca"/>
    <n v="6.2896551724138003"/>
    <n v="3.1793103448275901"/>
    <n v="27.151310344827618"/>
  </r>
  <r>
    <n v="1794"/>
    <x v="6"/>
    <x v="8"/>
    <x v="6"/>
    <s v="Freshwater"/>
    <x v="0"/>
    <x v="0"/>
    <s v="844"/>
    <s v="Skykomish River"/>
    <s v="Skykomish River"/>
    <s v="Snohomish"/>
    <x v="0"/>
    <s v="Island"/>
    <s v="04Island"/>
    <s v="01North Puget Sound"/>
    <n v="6.2896551724138003"/>
    <n v="3.1793103448275901"/>
    <n v="27.151310344827618"/>
  </r>
  <r>
    <n v="1795"/>
    <x v="6"/>
    <x v="8"/>
    <x v="6"/>
    <s v="Freshwater"/>
    <x v="0"/>
    <x v="0"/>
    <s v="844"/>
    <s v="Skykomish River"/>
    <s v="Skykomish River"/>
    <s v="Snohomish"/>
    <x v="0"/>
    <s v="King"/>
    <s v="06King"/>
    <s v="02South Puget Sound"/>
    <n v="364.8"/>
    <n v="184.4"/>
    <n v="1574.7759999999998"/>
  </r>
  <r>
    <n v="1796"/>
    <x v="6"/>
    <x v="8"/>
    <x v="6"/>
    <s v="Freshwater"/>
    <x v="0"/>
    <x v="0"/>
    <s v="844"/>
    <s v="Skykomish River"/>
    <s v="Skykomish River"/>
    <s v="Snohomish"/>
    <x v="0"/>
    <s v="Kitsap"/>
    <s v="10Kitsap"/>
    <s v="02South Puget Sound"/>
    <n v="6.2896551724138003"/>
    <n v="3.1793103448275901"/>
    <n v="27.151310344827618"/>
  </r>
  <r>
    <n v="1797"/>
    <x v="6"/>
    <x v="8"/>
    <x v="6"/>
    <s v="Freshwater"/>
    <x v="0"/>
    <x v="0"/>
    <s v="844"/>
    <s v="Skykomish River"/>
    <s v="Skykomish River"/>
    <s v="Snohomish"/>
    <x v="0"/>
    <s v="Other"/>
    <s v="20Other"/>
    <s v="07Non Puget Sound"/>
    <n v="6.2896551724138003"/>
    <n v="3.1793103448275901"/>
    <n v="27.151310344827618"/>
  </r>
  <r>
    <n v="1798"/>
    <x v="6"/>
    <x v="8"/>
    <x v="6"/>
    <s v="Freshwater"/>
    <x v="0"/>
    <x v="0"/>
    <s v="844"/>
    <s v="Skykomish River"/>
    <s v="Skykomish River"/>
    <s v="Snohomish"/>
    <x v="0"/>
    <s v="Pierce"/>
    <s v="07Pierce"/>
    <s v="02South Puget Sound"/>
    <n v="6.2896551724138003"/>
    <n v="3.1793103448275901"/>
    <n v="27.151310344827618"/>
  </r>
  <r>
    <n v="1799"/>
    <x v="6"/>
    <x v="8"/>
    <x v="6"/>
    <s v="Freshwater"/>
    <x v="0"/>
    <x v="0"/>
    <s v="844"/>
    <s v="Skykomish River"/>
    <s v="Skykomish River"/>
    <s v="Snohomish"/>
    <x v="0"/>
    <s v="Skagit"/>
    <s v="02Skagit"/>
    <s v="01North Puget Sound"/>
    <n v="12.579310344827601"/>
    <n v="6.3586206896551696"/>
    <n v="54.302620689655143"/>
  </r>
  <r>
    <n v="1800"/>
    <x v="6"/>
    <x v="8"/>
    <x v="6"/>
    <s v="Freshwater"/>
    <x v="0"/>
    <x v="0"/>
    <s v="844"/>
    <s v="Skykomish River"/>
    <s v="Skykomish River"/>
    <s v="Snohomish"/>
    <x v="0"/>
    <s v="Snohomish"/>
    <s v="03Snohomish"/>
    <s v="01North Puget Sound"/>
    <n v="496.88275862069003"/>
    <n v="251.16551724137901"/>
    <n v="2144.9535172413766"/>
  </r>
  <r>
    <n v="1801"/>
    <x v="6"/>
    <x v="8"/>
    <x v="6"/>
    <s v="Freshwater"/>
    <x v="0"/>
    <x v="0"/>
    <s v="844"/>
    <s v="Skykomish River"/>
    <s v="Skykomish River"/>
    <s v="Snohomish"/>
    <x v="0"/>
    <s v="Whatcom"/>
    <s v="01Whatcom"/>
    <s v="01North Puget Sound"/>
    <n v="6.2896551724138003"/>
    <n v="3.1793103448275901"/>
    <n v="27.151310344827618"/>
  </r>
  <r>
    <n v="1809"/>
    <x v="6"/>
    <x v="8"/>
    <x v="6"/>
    <s v="Freshwater"/>
    <x v="0"/>
    <x v="0"/>
    <s v="846"/>
    <s v="Skykomish River, No. Fork"/>
    <s v="Skykomish River, No. Fork"/>
    <s v="Snohomish"/>
    <x v="0"/>
    <s v="King"/>
    <s v="06King"/>
    <s v="02South Puget Sound"/>
    <n v="6"/>
    <n v="3"/>
    <n v="25.619999999999997"/>
  </r>
  <r>
    <n v="1813"/>
    <x v="6"/>
    <x v="8"/>
    <x v="6"/>
    <s v="Freshwater"/>
    <x v="0"/>
    <x v="0"/>
    <s v="850"/>
    <s v="Snohomish River"/>
    <s v="Snohomish River"/>
    <s v="Snohomish"/>
    <x v="0"/>
    <s v="King"/>
    <s v="06King"/>
    <s v="02South Puget Sound"/>
    <n v="6.4"/>
    <n v="3.2"/>
    <n v="27.327999999999999"/>
  </r>
  <r>
    <n v="1814"/>
    <x v="6"/>
    <x v="8"/>
    <x v="6"/>
    <s v="Freshwater"/>
    <x v="0"/>
    <x v="0"/>
    <s v="850"/>
    <s v="Snohomish River"/>
    <s v="Snohomish River"/>
    <s v="Snohomish"/>
    <x v="0"/>
    <s v="Snohomish"/>
    <s v="03Snohomish"/>
    <s v="01North Puget Sound"/>
    <n v="25.6"/>
    <n v="12.8"/>
    <n v="109.312"/>
  </r>
  <r>
    <n v="1829"/>
    <x v="6"/>
    <x v="8"/>
    <x v="6"/>
    <s v="Freshwater"/>
    <x v="0"/>
    <x v="0"/>
    <s v="876"/>
    <s v="Stillaguamish River"/>
    <s v="Stillaguamish River"/>
    <s v="Snohomish"/>
    <x v="0"/>
    <s v="Snohomish"/>
    <s v="03Snohomish"/>
    <s v="01North Puget Sound"/>
    <n v="10"/>
    <n v="5"/>
    <n v="42.699999999999996"/>
  </r>
  <r>
    <n v="1820"/>
    <x v="6"/>
    <x v="8"/>
    <x v="6"/>
    <s v="Freshwater"/>
    <x v="0"/>
    <x v="0"/>
    <s v="860"/>
    <s v="Wallace River"/>
    <s v="Wallace River"/>
    <s v="Snohomish"/>
    <x v="0"/>
    <s v="King"/>
    <s v="06King"/>
    <s v="02South Puget Sound"/>
    <n v="163.87878787878799"/>
    <n v="81.939393939393995"/>
    <n v="699.76242424242469"/>
  </r>
  <r>
    <n v="1821"/>
    <x v="6"/>
    <x v="8"/>
    <x v="6"/>
    <s v="Freshwater"/>
    <x v="0"/>
    <x v="0"/>
    <s v="860"/>
    <s v="Wallace River"/>
    <s v="Wallace River"/>
    <s v="Snohomish"/>
    <x v="0"/>
    <s v="Skagit"/>
    <s v="02Skagit"/>
    <s v="01North Puget Sound"/>
    <n v="6.3030303030303001"/>
    <n v="3.15151515151515"/>
    <n v="26.91393939393938"/>
  </r>
  <r>
    <n v="1822"/>
    <x v="6"/>
    <x v="8"/>
    <x v="6"/>
    <s v="Freshwater"/>
    <x v="0"/>
    <x v="0"/>
    <s v="860"/>
    <s v="Wallace River"/>
    <s v="Wallace River"/>
    <s v="Snohomish"/>
    <x v="0"/>
    <s v="Snohomish"/>
    <s v="03Snohomish"/>
    <s v="01North Puget Sound"/>
    <n v="245.81818181818201"/>
    <n v="122.90909090909101"/>
    <n v="1049.6436363636371"/>
  </r>
  <r>
    <n v="1830"/>
    <x v="6"/>
    <x v="8"/>
    <x v="6"/>
    <s v="Freshwater"/>
    <x v="0"/>
    <x v="0"/>
    <s v="884"/>
    <s v="Whatcom Creek"/>
    <s v="Whatcom Creek"/>
    <s v="Whatcom"/>
    <x v="1"/>
    <s v="Snohomish"/>
    <s v="03Snohomish"/>
    <s v="01North Puget Sound"/>
    <n v="10"/>
    <n v="0"/>
    <n v="0"/>
  </r>
  <r>
    <n v="1833"/>
    <x v="7"/>
    <x v="9"/>
    <x v="6"/>
    <s v="Freshwater"/>
    <x v="0"/>
    <x v="0"/>
    <s v="9"/>
    <s v="Area 9: Admiralty Inlet"/>
    <s v="Area 9: Admiralty Inlet"/>
    <s v="NA"/>
    <x v="0"/>
    <s v="Island"/>
    <s v="04Island"/>
    <s v="01North Puget Sound"/>
    <n v="10"/>
    <n v="5"/>
    <n v="92.75"/>
  </r>
  <r>
    <n v="1750"/>
    <x v="7"/>
    <x v="9"/>
    <x v="6"/>
    <s v="Freshwater"/>
    <x v="0"/>
    <x v="0"/>
    <s v="746"/>
    <s v="Green (Duwamish River) (King Co.)"/>
    <s v="Green - Duwamish River"/>
    <s v="King"/>
    <x v="2"/>
    <s v="King"/>
    <s v="06King"/>
    <s v="02South Puget Sound"/>
    <n v="10"/>
    <n v="5"/>
    <n v="92.75"/>
  </r>
  <r>
    <n v="1757"/>
    <x v="7"/>
    <x v="9"/>
    <x v="6"/>
    <s v="Freshwater"/>
    <x v="0"/>
    <x v="0"/>
    <s v="752"/>
    <s v="Hoko River"/>
    <s v="Hoko River"/>
    <s v="Clallam"/>
    <x v="3"/>
    <s v="Clallam"/>
    <s v="11Clallam"/>
    <s v="03Strait of Juan de Fuca"/>
    <n v="20"/>
    <n v="10"/>
    <n v="185.5"/>
  </r>
  <r>
    <n v="1759"/>
    <x v="7"/>
    <x v="9"/>
    <x v="6"/>
    <s v="Freshwater"/>
    <x v="0"/>
    <x v="0"/>
    <s v="768"/>
    <s v="Lyre River"/>
    <s v="Lyre River"/>
    <s v="Clallam"/>
    <x v="3"/>
    <s v="Clallam"/>
    <s v="11Clallam"/>
    <s v="03Strait of Juan de Fuca"/>
    <n v="10"/>
    <n v="5"/>
    <n v="92.75"/>
  </r>
  <r>
    <n v="1772"/>
    <x v="7"/>
    <x v="9"/>
    <x v="6"/>
    <s v="Freshwater"/>
    <x v="0"/>
    <x v="0"/>
    <s v="840"/>
    <s v="Pilchuck River (Snohomish System)"/>
    <s v="Pilchuck River (Snohomish System)"/>
    <s v="Snohomish"/>
    <x v="0"/>
    <s v="Snohomish"/>
    <s v="03Snohomish"/>
    <s v="01North Puget Sound"/>
    <n v="6"/>
    <n v="3"/>
    <n v="55.650000000000006"/>
  </r>
  <r>
    <n v="1770"/>
    <x v="7"/>
    <x v="9"/>
    <x v="6"/>
    <s v="Freshwater"/>
    <x v="0"/>
    <x v="0"/>
    <s v="830"/>
    <s v="Skagit River"/>
    <s v="Skagit River"/>
    <s v="Skagit/Whatcom"/>
    <x v="0"/>
    <s v="King"/>
    <s v="06King"/>
    <s v="02South Puget Sound"/>
    <n v="13"/>
    <n v="6.5"/>
    <n v="120.575"/>
  </r>
  <r>
    <n v="1771"/>
    <x v="7"/>
    <x v="9"/>
    <x v="6"/>
    <s v="Freshwater"/>
    <x v="0"/>
    <x v="0"/>
    <s v="830"/>
    <s v="Skagit River"/>
    <s v="Skagit River"/>
    <s v="Skagit/Whatcom"/>
    <x v="0"/>
    <s v="Skagit"/>
    <s v="02Skagit"/>
    <s v="01North Puget Sound"/>
    <n v="13"/>
    <n v="6.5"/>
    <n v="120.575"/>
  </r>
  <r>
    <n v="1802"/>
    <x v="7"/>
    <x v="9"/>
    <x v="6"/>
    <s v="Freshwater"/>
    <x v="0"/>
    <x v="0"/>
    <s v="844"/>
    <s v="Skykomish River"/>
    <s v="Skykomish River"/>
    <s v="Snohomish"/>
    <x v="0"/>
    <s v="King"/>
    <s v="06King"/>
    <s v="02South Puget Sound"/>
    <n v="126.153846153846"/>
    <n v="63.076923076923102"/>
    <n v="1170.0769230769235"/>
  </r>
  <r>
    <n v="1803"/>
    <x v="7"/>
    <x v="9"/>
    <x v="6"/>
    <s v="Freshwater"/>
    <x v="0"/>
    <x v="0"/>
    <s v="844"/>
    <s v="Skykomish River"/>
    <s v="Skykomish River"/>
    <s v="Snohomish"/>
    <x v="0"/>
    <s v="Snohomish"/>
    <s v="03Snohomish"/>
    <s v="01North Puget Sound"/>
    <n v="119.846153846154"/>
    <n v="59.923076923076898"/>
    <n v="1111.5730769230765"/>
  </r>
  <r>
    <n v="1815"/>
    <x v="7"/>
    <x v="9"/>
    <x v="6"/>
    <s v="Freshwater"/>
    <x v="0"/>
    <x v="0"/>
    <s v="856"/>
    <s v="Tokul Creek"/>
    <s v="Tokul Creek"/>
    <s v="King"/>
    <x v="0"/>
    <s v="King"/>
    <s v="06King"/>
    <s v="02South Puget Sound"/>
    <n v="6"/>
    <n v="3"/>
    <n v="55.650000000000006"/>
  </r>
  <r>
    <n v="1816"/>
    <x v="7"/>
    <x v="9"/>
    <x v="6"/>
    <s v="Freshwater"/>
    <x v="0"/>
    <x v="0"/>
    <s v="856"/>
    <s v="Tokul Creek"/>
    <s v="Tokul Creek"/>
    <s v="King"/>
    <x v="0"/>
    <s v="Other"/>
    <s v="20Other"/>
    <s v="07Non Puget Sound"/>
    <n v="6"/>
    <n v="3"/>
    <n v="55.650000000000006"/>
  </r>
  <r>
    <n v="1823"/>
    <x v="7"/>
    <x v="9"/>
    <x v="6"/>
    <s v="Freshwater"/>
    <x v="0"/>
    <x v="0"/>
    <s v="860"/>
    <s v="Wallace River"/>
    <s v="Wallace River"/>
    <s v="Snohomish"/>
    <x v="0"/>
    <s v="Snohomish"/>
    <s v="03Snohomish"/>
    <s v="01North Puget Sound"/>
    <n v="56"/>
    <n v="28"/>
    <n v="519.4"/>
  </r>
  <r>
    <n v="1760"/>
    <x v="7"/>
    <x v="9"/>
    <x v="6"/>
    <s v="Freshwater"/>
    <x v="0"/>
    <x v="0"/>
    <s v="808"/>
    <s v="White (Stuck) River"/>
    <s v="White (Stuck) River"/>
    <s v="Pierce"/>
    <x v="2"/>
    <s v="Pierce"/>
    <s v="07Pierce"/>
    <s v="02South Puget Sound"/>
    <n v="10"/>
    <n v="5"/>
    <n v="92.75"/>
  </r>
  <r>
    <n v="1758"/>
    <x v="7"/>
    <x v="10"/>
    <x v="6"/>
    <s v="Freshwater"/>
    <x v="0"/>
    <x v="0"/>
    <s v="752"/>
    <s v="Hoko River"/>
    <s v="Hoko River"/>
    <s v="Clallam"/>
    <x v="3"/>
    <s v="Clallam"/>
    <s v="11Clallam"/>
    <s v="03Strait of Juan de Fuca"/>
    <n v="10"/>
    <n v="5"/>
    <n v="92.75"/>
  </r>
  <r>
    <n v="1804"/>
    <x v="7"/>
    <x v="10"/>
    <x v="6"/>
    <s v="Freshwater"/>
    <x v="0"/>
    <x v="0"/>
    <s v="844"/>
    <s v="Skykomish River"/>
    <s v="Skykomish River"/>
    <s v="Snohomish"/>
    <x v="0"/>
    <s v="King"/>
    <s v="06King"/>
    <s v="02South Puget Sound"/>
    <n v="12.5714285714286"/>
    <n v="6.28571428571429"/>
    <n v="116.60000000000008"/>
  </r>
  <r>
    <n v="1805"/>
    <x v="7"/>
    <x v="10"/>
    <x v="6"/>
    <s v="Freshwater"/>
    <x v="0"/>
    <x v="0"/>
    <s v="844"/>
    <s v="Skykomish River"/>
    <s v="Skykomish River"/>
    <s v="Snohomish"/>
    <x v="0"/>
    <s v="Snohomish"/>
    <s v="03Snohomish"/>
    <s v="01North Puget Sound"/>
    <n v="31.428571428571399"/>
    <n v="15.714285714285699"/>
    <n v="291.49999999999972"/>
  </r>
  <r>
    <n v="1824"/>
    <x v="7"/>
    <x v="10"/>
    <x v="6"/>
    <s v="Freshwater"/>
    <x v="0"/>
    <x v="0"/>
    <s v="860"/>
    <s v="Wallace River"/>
    <s v="Wallace River"/>
    <s v="Snohomish"/>
    <x v="0"/>
    <s v="Island"/>
    <s v="04Island"/>
    <s v="01North Puget Sound"/>
    <n v="6.3333333333333401"/>
    <n v="3.1666666666666701"/>
    <n v="58.741666666666731"/>
  </r>
  <r>
    <n v="1825"/>
    <x v="7"/>
    <x v="10"/>
    <x v="6"/>
    <s v="Freshwater"/>
    <x v="0"/>
    <x v="0"/>
    <s v="860"/>
    <s v="Wallace River"/>
    <s v="Wallace River"/>
    <s v="Snohomish"/>
    <x v="0"/>
    <s v="King"/>
    <s v="06King"/>
    <s v="02South Puget Sound"/>
    <n v="6.3333333333333401"/>
    <n v="3.1666666666666701"/>
    <n v="58.741666666666731"/>
  </r>
  <r>
    <n v="1826"/>
    <x v="7"/>
    <x v="10"/>
    <x v="6"/>
    <s v="Freshwater"/>
    <x v="0"/>
    <x v="0"/>
    <s v="860"/>
    <s v="Wallace River"/>
    <s v="Wallace River"/>
    <s v="Snohomish"/>
    <x v="0"/>
    <s v="Snohomish"/>
    <s v="03Snohomish"/>
    <s v="01North Puget Sound"/>
    <n v="25.3333333333333"/>
    <n v="12.6666666666667"/>
    <n v="234.96666666666729"/>
  </r>
  <r>
    <n v="1954"/>
    <x v="7"/>
    <x v="0"/>
    <x v="7"/>
    <s v="Freshwater"/>
    <x v="0"/>
    <x v="0"/>
    <s v="9"/>
    <s v="Area 9: Admiralty Inlet"/>
    <s v="Area 9: Admiralty Inlet"/>
    <s v="NA"/>
    <x v="0"/>
    <s v="King"/>
    <s v="06King"/>
    <s v="02South Puget Sound"/>
    <n v="10"/>
    <n v="5"/>
    <n v="92.75"/>
  </r>
  <r>
    <n v="1836"/>
    <x v="7"/>
    <x v="2"/>
    <x v="7"/>
    <s v="Freshwater"/>
    <x v="0"/>
    <x v="0"/>
    <s v="746"/>
    <s v="Green (Duwamish River) (King Co.)"/>
    <s v="Green - Duwamish River"/>
    <s v="King"/>
    <x v="2"/>
    <s v="King"/>
    <s v="06King"/>
    <s v="02South Puget Sound"/>
    <n v="84.3333333333333"/>
    <n v="42.1666666666667"/>
    <n v="782.19166666666729"/>
  </r>
  <r>
    <n v="1837"/>
    <x v="7"/>
    <x v="2"/>
    <x v="7"/>
    <s v="Freshwater"/>
    <x v="0"/>
    <x v="0"/>
    <s v="746"/>
    <s v="Green (Duwamish River) (King Co.)"/>
    <s v="Green - Duwamish River"/>
    <s v="King"/>
    <x v="2"/>
    <s v="Pierce"/>
    <s v="07Pierce"/>
    <s v="02South Puget Sound"/>
    <n v="7.6666666666666696"/>
    <n v="3.8333333333333299"/>
    <n v="71.108333333333277"/>
  </r>
  <r>
    <n v="1950"/>
    <x v="7"/>
    <x v="2"/>
    <x v="7"/>
    <s v="Freshwater"/>
    <x v="0"/>
    <x v="0"/>
    <s v="870"/>
    <s v="Pilchuck Creek (Stillaguamish System)"/>
    <s v="Pilchuck Creek (Stillaguamish System)"/>
    <s v="Skagit/Snohomish"/>
    <x v="0"/>
    <s v="King"/>
    <s v="06King"/>
    <s v="02South Puget Sound"/>
    <n v="10"/>
    <n v="5"/>
    <n v="92.75"/>
  </r>
  <r>
    <n v="1873"/>
    <x v="7"/>
    <x v="2"/>
    <x v="7"/>
    <s v="Freshwater"/>
    <x v="0"/>
    <x v="0"/>
    <s v="844"/>
    <s v="Skykomish River"/>
    <s v="Skykomish River"/>
    <s v="Snohomish"/>
    <x v="0"/>
    <s v="Island"/>
    <s v="04Island"/>
    <s v="01North Puget Sound"/>
    <n v="8.3351351351351397"/>
    <n v="4.1675675675675699"/>
    <n v="77.308378378378421"/>
  </r>
  <r>
    <n v="1874"/>
    <x v="7"/>
    <x v="2"/>
    <x v="7"/>
    <s v="Freshwater"/>
    <x v="0"/>
    <x v="0"/>
    <s v="844"/>
    <s v="Skykomish River"/>
    <s v="Skykomish River"/>
    <s v="Snohomish"/>
    <x v="0"/>
    <s v="King"/>
    <s v="06King"/>
    <s v="02South Puget Sound"/>
    <n v="758.497297297297"/>
    <n v="379.24864864864901"/>
    <n v="7035.062432432439"/>
  </r>
  <r>
    <n v="1875"/>
    <x v="7"/>
    <x v="2"/>
    <x v="7"/>
    <s v="Freshwater"/>
    <x v="0"/>
    <x v="0"/>
    <s v="844"/>
    <s v="Skykomish River"/>
    <s v="Skykomish River"/>
    <s v="Snohomish"/>
    <x v="0"/>
    <s v="Other"/>
    <s v="20Other"/>
    <s v="07Non Puget Sound"/>
    <n v="41.675675675675699"/>
    <n v="20.8378378378378"/>
    <n v="386.54189189189117"/>
  </r>
  <r>
    <n v="1876"/>
    <x v="7"/>
    <x v="2"/>
    <x v="7"/>
    <s v="Freshwater"/>
    <x v="0"/>
    <x v="0"/>
    <s v="844"/>
    <s v="Skykomish River"/>
    <s v="Skykomish River"/>
    <s v="Snohomish"/>
    <x v="0"/>
    <s v="Pierce"/>
    <s v="07Pierce"/>
    <s v="02South Puget Sound"/>
    <n v="33.340540540540601"/>
    <n v="16.670270270270301"/>
    <n v="309.23351351351408"/>
  </r>
  <r>
    <n v="1877"/>
    <x v="7"/>
    <x v="2"/>
    <x v="7"/>
    <s v="Freshwater"/>
    <x v="0"/>
    <x v="0"/>
    <s v="844"/>
    <s v="Skykomish River"/>
    <s v="Skykomish River"/>
    <s v="Snohomish"/>
    <x v="0"/>
    <s v="Skagit"/>
    <s v="02Skagit"/>
    <s v="01North Puget Sound"/>
    <n v="8.3351351351351397"/>
    <n v="4.1675675675675699"/>
    <n v="77.308378378378421"/>
  </r>
  <r>
    <n v="1878"/>
    <x v="7"/>
    <x v="2"/>
    <x v="7"/>
    <s v="Freshwater"/>
    <x v="0"/>
    <x v="0"/>
    <s v="844"/>
    <s v="Skykomish River"/>
    <s v="Skykomish River"/>
    <s v="Snohomish"/>
    <x v="0"/>
    <s v="Snohomish"/>
    <s v="03Snohomish"/>
    <s v="01North Puget Sound"/>
    <n v="683.48108108108102"/>
    <n v="341.74054054054102"/>
    <n v="6339.2870270270359"/>
  </r>
  <r>
    <n v="1879"/>
    <x v="7"/>
    <x v="2"/>
    <x v="7"/>
    <s v="Freshwater"/>
    <x v="0"/>
    <x v="0"/>
    <s v="844"/>
    <s v="Skykomish River"/>
    <s v="Skykomish River"/>
    <s v="Snohomish"/>
    <x v="0"/>
    <s v="Thurston"/>
    <s v="08Thurston"/>
    <s v="02South Puget Sound"/>
    <n v="8.3351351351351397"/>
    <n v="4.1675675675675699"/>
    <n v="77.308378378378421"/>
  </r>
  <r>
    <n v="1904"/>
    <x v="7"/>
    <x v="2"/>
    <x v="7"/>
    <s v="Freshwater"/>
    <x v="0"/>
    <x v="0"/>
    <s v="846"/>
    <s v="Skykomish River, No. Fork"/>
    <s v="Skykomish River, No. Fork"/>
    <s v="Snohomish"/>
    <x v="0"/>
    <s v="Snohomish"/>
    <s v="03Snohomish"/>
    <s v="01North Puget Sound"/>
    <n v="16"/>
    <n v="8"/>
    <n v="148.4"/>
  </r>
  <r>
    <n v="1909"/>
    <x v="7"/>
    <x v="2"/>
    <x v="7"/>
    <s v="Freshwater"/>
    <x v="0"/>
    <x v="0"/>
    <s v="848"/>
    <s v="Skykomish River, So. Fork"/>
    <s v="Skykomish River, So. Fork"/>
    <s v="Snohomish/King"/>
    <x v="0"/>
    <s v="Snohomish"/>
    <s v="03Snohomish"/>
    <s v="01North Puget Sound"/>
    <n v="16"/>
    <n v="8"/>
    <n v="148.4"/>
  </r>
  <r>
    <n v="1916"/>
    <x v="7"/>
    <x v="2"/>
    <x v="7"/>
    <s v="Freshwater"/>
    <x v="0"/>
    <x v="0"/>
    <s v="850"/>
    <s v="Snohomish River"/>
    <s v="Snohomish River"/>
    <s v="Snohomish"/>
    <x v="0"/>
    <s v="Snohomish"/>
    <s v="03Snohomish"/>
    <s v="01North Puget Sound"/>
    <n v="92"/>
    <n v="46"/>
    <n v="853.30000000000007"/>
  </r>
  <r>
    <n v="1922"/>
    <x v="7"/>
    <x v="2"/>
    <x v="7"/>
    <s v="Freshwater"/>
    <x v="0"/>
    <x v="0"/>
    <s v="852"/>
    <s v="Snoqualmie River"/>
    <s v="Snoqualmie River"/>
    <s v="Snohomish/King"/>
    <x v="0"/>
    <s v="King"/>
    <s v="06King"/>
    <s v="02South Puget Sound"/>
    <n v="34"/>
    <n v="17"/>
    <n v="315.35000000000002"/>
  </r>
  <r>
    <n v="1955"/>
    <x v="7"/>
    <x v="3"/>
    <x v="7"/>
    <s v="Freshwater"/>
    <x v="0"/>
    <x v="0"/>
    <s v="9"/>
    <s v="Area 9: Admiralty Inlet"/>
    <s v="Area 9: Admiralty Inlet"/>
    <s v="NA"/>
    <x v="0"/>
    <s v="Pierce"/>
    <s v="07Pierce"/>
    <s v="02South Puget Sound"/>
    <n v="10"/>
    <n v="5"/>
    <n v="92.75"/>
  </r>
  <r>
    <n v="1956"/>
    <x v="7"/>
    <x v="3"/>
    <x v="7"/>
    <s v="Freshwater"/>
    <x v="0"/>
    <x v="0"/>
    <s v="9"/>
    <s v="Area 9: Admiralty Inlet"/>
    <s v="Area 9: Admiralty Inlet"/>
    <s v="NA"/>
    <x v="0"/>
    <s v="Snohomish"/>
    <s v="03Snohomish"/>
    <s v="01North Puget Sound"/>
    <n v="10"/>
    <n v="5"/>
    <n v="92.75"/>
  </r>
  <r>
    <n v="1838"/>
    <x v="7"/>
    <x v="3"/>
    <x v="7"/>
    <s v="Freshwater"/>
    <x v="0"/>
    <x v="0"/>
    <s v="746"/>
    <s v="Green (Duwamish River) (King Co.)"/>
    <s v="Green - Duwamish River"/>
    <s v="King"/>
    <x v="2"/>
    <s v="King"/>
    <s v="06King"/>
    <s v="02South Puget Sound"/>
    <n v="61.090909090909101"/>
    <n v="30.5454545454546"/>
    <n v="566.61818181818285"/>
  </r>
  <r>
    <n v="1839"/>
    <x v="7"/>
    <x v="3"/>
    <x v="7"/>
    <s v="Freshwater"/>
    <x v="0"/>
    <x v="0"/>
    <s v="746"/>
    <s v="Green (Duwamish River) (King Co.)"/>
    <s v="Green - Duwamish River"/>
    <s v="King"/>
    <x v="2"/>
    <s v="Pierce"/>
    <s v="07Pierce"/>
    <s v="02South Puget Sound"/>
    <n v="22.909090909090899"/>
    <n v="11.454545454545499"/>
    <n v="212.48181818181902"/>
  </r>
  <r>
    <n v="1880"/>
    <x v="7"/>
    <x v="3"/>
    <x v="7"/>
    <s v="Freshwater"/>
    <x v="0"/>
    <x v="0"/>
    <s v="844"/>
    <s v="Skykomish River"/>
    <s v="Skykomish River"/>
    <s v="Snohomish"/>
    <x v="0"/>
    <s v="King"/>
    <s v="06King"/>
    <s v="02South Puget Sound"/>
    <n v="425.66929133858298"/>
    <n v="212.83464566929101"/>
    <n v="3948.0826771653483"/>
  </r>
  <r>
    <n v="1881"/>
    <x v="7"/>
    <x v="3"/>
    <x v="7"/>
    <s v="Freshwater"/>
    <x v="0"/>
    <x v="0"/>
    <s v="844"/>
    <s v="Skykomish River"/>
    <s v="Skykomish River"/>
    <s v="Snohomish"/>
    <x v="0"/>
    <s v="Other"/>
    <s v="20Other"/>
    <s v="07Non Puget Sound"/>
    <n v="16.692913385826799"/>
    <n v="8.3464566929133905"/>
    <n v="154.8267716535434"/>
  </r>
  <r>
    <n v="1882"/>
    <x v="7"/>
    <x v="3"/>
    <x v="7"/>
    <s v="Freshwater"/>
    <x v="0"/>
    <x v="0"/>
    <s v="844"/>
    <s v="Skykomish River"/>
    <s v="Skykomish River"/>
    <s v="Snohomish"/>
    <x v="0"/>
    <s v="Snohomish"/>
    <s v="03Snohomish"/>
    <s v="01North Puget Sound"/>
    <n v="600.94488188976402"/>
    <n v="300.47244094488201"/>
    <n v="5573.7637795275614"/>
  </r>
  <r>
    <n v="1883"/>
    <x v="7"/>
    <x v="3"/>
    <x v="7"/>
    <s v="Freshwater"/>
    <x v="0"/>
    <x v="0"/>
    <s v="844"/>
    <s v="Skykomish River"/>
    <s v="Skykomish River"/>
    <s v="Snohomish"/>
    <x v="0"/>
    <s v="Whatcom"/>
    <s v="01Whatcom"/>
    <s v="01North Puget Sound"/>
    <n v="16.692913385826799"/>
    <n v="8.3464566929133905"/>
    <n v="154.8267716535434"/>
  </r>
  <r>
    <n v="1917"/>
    <x v="7"/>
    <x v="3"/>
    <x v="7"/>
    <s v="Freshwater"/>
    <x v="0"/>
    <x v="0"/>
    <s v="850"/>
    <s v="Snohomish River"/>
    <s v="Snohomish River"/>
    <s v="Snohomish"/>
    <x v="0"/>
    <s v="Snohomish"/>
    <s v="03Snohomish"/>
    <s v="01North Puget Sound"/>
    <n v="8"/>
    <n v="4"/>
    <n v="74.2"/>
  </r>
  <r>
    <n v="1851"/>
    <x v="7"/>
    <x v="3"/>
    <x v="7"/>
    <s v="Freshwater"/>
    <x v="0"/>
    <x v="0"/>
    <s v="748"/>
    <s v="Soos Creek"/>
    <s v="Soos Creek"/>
    <s v="King"/>
    <x v="2"/>
    <s v="Pierce"/>
    <s v="07Pierce"/>
    <s v="02South Puget Sound"/>
    <n v="8"/>
    <n v="4"/>
    <n v="74.2"/>
  </r>
  <r>
    <n v="1840"/>
    <x v="7"/>
    <x v="4"/>
    <x v="7"/>
    <s v="Freshwater"/>
    <x v="0"/>
    <x v="0"/>
    <s v="746"/>
    <s v="Green (Duwamish River) (King Co.)"/>
    <s v="Green - Duwamish River"/>
    <s v="King"/>
    <x v="2"/>
    <s v="King"/>
    <s v="06King"/>
    <s v="02South Puget Sound"/>
    <n v="15.1111111111111"/>
    <n v="7.5555555555555598"/>
    <n v="140.15555555555565"/>
  </r>
  <r>
    <n v="1841"/>
    <x v="7"/>
    <x v="4"/>
    <x v="7"/>
    <s v="Freshwater"/>
    <x v="0"/>
    <x v="0"/>
    <s v="746"/>
    <s v="Green (Duwamish River) (King Co.)"/>
    <s v="Green - Duwamish River"/>
    <s v="King"/>
    <x v="2"/>
    <s v="Pierce"/>
    <s v="07Pierce"/>
    <s v="02South Puget Sound"/>
    <n v="52.8888888888889"/>
    <n v="26.4444444444445"/>
    <n v="490.5444444444455"/>
  </r>
  <r>
    <n v="1884"/>
    <x v="7"/>
    <x v="4"/>
    <x v="7"/>
    <s v="Freshwater"/>
    <x v="0"/>
    <x v="0"/>
    <s v="844"/>
    <s v="Skykomish River"/>
    <s v="Skykomish River"/>
    <s v="Snohomish"/>
    <x v="0"/>
    <s v="King"/>
    <s v="06King"/>
    <s v="02South Puget Sound"/>
    <n v="58.625"/>
    <n v="29.3125"/>
    <n v="543.74687500000005"/>
  </r>
  <r>
    <n v="1885"/>
    <x v="7"/>
    <x v="4"/>
    <x v="7"/>
    <s v="Freshwater"/>
    <x v="0"/>
    <x v="0"/>
    <s v="844"/>
    <s v="Skykomish River"/>
    <s v="Skykomish River"/>
    <s v="Snohomish"/>
    <x v="0"/>
    <s v="Snohomish"/>
    <s v="03Snohomish"/>
    <s v="01North Puget Sound"/>
    <n v="75.375"/>
    <n v="37.6875"/>
    <n v="699.10312499999998"/>
  </r>
  <r>
    <n v="1905"/>
    <x v="7"/>
    <x v="4"/>
    <x v="7"/>
    <s v="Freshwater"/>
    <x v="0"/>
    <x v="0"/>
    <s v="846"/>
    <s v="Skykomish River, No. Fork"/>
    <s v="Skykomish River, No. Fork"/>
    <s v="Snohomish"/>
    <x v="0"/>
    <s v="Snohomish"/>
    <s v="03Snohomish"/>
    <s v="01North Puget Sound"/>
    <n v="8"/>
    <n v="4"/>
    <n v="74.2"/>
  </r>
  <r>
    <n v="1910"/>
    <x v="7"/>
    <x v="4"/>
    <x v="7"/>
    <s v="Freshwater"/>
    <x v="0"/>
    <x v="0"/>
    <s v="848"/>
    <s v="Skykomish River, So. Fork"/>
    <s v="Skykomish River, So. Fork"/>
    <s v="Snohomish/King"/>
    <x v="0"/>
    <s v="King"/>
    <s v="06King"/>
    <s v="02South Puget Sound"/>
    <n v="8"/>
    <n v="4"/>
    <n v="74.2"/>
  </r>
  <r>
    <n v="1842"/>
    <x v="7"/>
    <x v="5"/>
    <x v="7"/>
    <s v="Freshwater"/>
    <x v="0"/>
    <x v="0"/>
    <s v="746"/>
    <s v="Green (Duwamish River) (King Co.)"/>
    <s v="Green - Duwamish River"/>
    <s v="King"/>
    <x v="2"/>
    <s v="King"/>
    <s v="06King"/>
    <s v="02South Puget Sound"/>
    <n v="46.2"/>
    <n v="23.1"/>
    <n v="428.50500000000005"/>
  </r>
  <r>
    <n v="1843"/>
    <x v="7"/>
    <x v="5"/>
    <x v="7"/>
    <s v="Freshwater"/>
    <x v="0"/>
    <x v="0"/>
    <s v="746"/>
    <s v="Green (Duwamish River) (King Co.)"/>
    <s v="Green - Duwamish River"/>
    <s v="King"/>
    <x v="2"/>
    <s v="Pierce"/>
    <s v="07Pierce"/>
    <s v="02South Puget Sound"/>
    <n v="100.1"/>
    <n v="50.05"/>
    <n v="928.42750000000001"/>
  </r>
  <r>
    <n v="1844"/>
    <x v="7"/>
    <x v="5"/>
    <x v="7"/>
    <s v="Freshwater"/>
    <x v="0"/>
    <x v="0"/>
    <s v="746"/>
    <s v="Green (Duwamish River) (King Co.)"/>
    <s v="Green - Duwamish River"/>
    <s v="King"/>
    <x v="2"/>
    <s v="Thurston"/>
    <s v="08Thurston"/>
    <s v="02South Puget Sound"/>
    <n v="7.7"/>
    <n v="3.85"/>
    <n v="71.417500000000004"/>
  </r>
  <r>
    <n v="1886"/>
    <x v="7"/>
    <x v="5"/>
    <x v="7"/>
    <s v="Freshwater"/>
    <x v="0"/>
    <x v="0"/>
    <s v="844"/>
    <s v="Skykomish River"/>
    <s v="Skykomish River"/>
    <s v="Snohomish"/>
    <x v="0"/>
    <s v="King"/>
    <s v="06King"/>
    <s v="02South Puget Sound"/>
    <n v="83.636363636363697"/>
    <n v="41.818181818181799"/>
    <n v="775.72727272727241"/>
  </r>
  <r>
    <n v="1887"/>
    <x v="7"/>
    <x v="5"/>
    <x v="7"/>
    <s v="Freshwater"/>
    <x v="0"/>
    <x v="0"/>
    <s v="844"/>
    <s v="Skykomish River"/>
    <s v="Skykomish River"/>
    <s v="Snohomish"/>
    <x v="0"/>
    <s v="Snohomish"/>
    <s v="03Snohomish"/>
    <s v="01North Puget Sound"/>
    <n v="100.363636363636"/>
    <n v="50.181818181818201"/>
    <n v="930.87272727272762"/>
  </r>
  <r>
    <n v="1911"/>
    <x v="7"/>
    <x v="5"/>
    <x v="7"/>
    <s v="Freshwater"/>
    <x v="0"/>
    <x v="0"/>
    <s v="848"/>
    <s v="Skykomish River, So. Fork"/>
    <s v="Skykomish River, So. Fork"/>
    <s v="Snohomish/King"/>
    <x v="0"/>
    <s v="Snohomish"/>
    <s v="03Snohomish"/>
    <s v="01North Puget Sound"/>
    <n v="8"/>
    <n v="4"/>
    <n v="74.2"/>
  </r>
  <r>
    <n v="1918"/>
    <x v="7"/>
    <x v="5"/>
    <x v="7"/>
    <s v="Freshwater"/>
    <x v="0"/>
    <x v="0"/>
    <s v="850"/>
    <s v="Snohomish River"/>
    <s v="Snohomish River"/>
    <s v="Snohomish"/>
    <x v="0"/>
    <s v="Other"/>
    <s v="20Other"/>
    <s v="07Non Puget Sound"/>
    <n v="8.6666666666666696"/>
    <n v="4.3333333333333304"/>
    <n v="80.383333333333283"/>
  </r>
  <r>
    <n v="1919"/>
    <x v="7"/>
    <x v="5"/>
    <x v="7"/>
    <s v="Freshwater"/>
    <x v="0"/>
    <x v="0"/>
    <s v="850"/>
    <s v="Snohomish River"/>
    <s v="Snohomish River"/>
    <s v="Snohomish"/>
    <x v="0"/>
    <s v="Snohomish"/>
    <s v="03Snohomish"/>
    <s v="01North Puget Sound"/>
    <n v="17.3333333333333"/>
    <n v="8.6666666666666696"/>
    <n v="160.76666666666674"/>
  </r>
  <r>
    <n v="1938"/>
    <x v="7"/>
    <x v="5"/>
    <x v="7"/>
    <s v="Freshwater"/>
    <x v="0"/>
    <x v="0"/>
    <s v="860"/>
    <s v="Wallace River"/>
    <s v="Wallace River"/>
    <s v="Snohomish"/>
    <x v="0"/>
    <s v="Snohomish"/>
    <s v="03Snohomish"/>
    <s v="01North Puget Sound"/>
    <n v="8"/>
    <n v="4"/>
    <n v="74.2"/>
  </r>
  <r>
    <n v="1957"/>
    <x v="7"/>
    <x v="6"/>
    <x v="7"/>
    <s v="Freshwater"/>
    <x v="0"/>
    <x v="0"/>
    <s v="9"/>
    <s v="Area 9: Admiralty Inlet"/>
    <s v="Area 9: Admiralty Inlet"/>
    <s v="NA"/>
    <x v="0"/>
    <s v="Other"/>
    <s v="20Other"/>
    <s v="07Non Puget Sound"/>
    <n v="10"/>
    <n v="5"/>
    <n v="92.75"/>
  </r>
  <r>
    <n v="1845"/>
    <x v="7"/>
    <x v="6"/>
    <x v="7"/>
    <s v="Freshwater"/>
    <x v="0"/>
    <x v="0"/>
    <s v="746"/>
    <s v="Green (Duwamish River) (King Co.)"/>
    <s v="Green - Duwamish River"/>
    <s v="King"/>
    <x v="2"/>
    <s v="King"/>
    <s v="06King"/>
    <s v="02South Puget Sound"/>
    <n v="53.2"/>
    <n v="26.6"/>
    <n v="493.43000000000006"/>
  </r>
  <r>
    <n v="1846"/>
    <x v="7"/>
    <x v="6"/>
    <x v="7"/>
    <s v="Freshwater"/>
    <x v="0"/>
    <x v="0"/>
    <s v="746"/>
    <s v="Green (Duwamish River) (King Co.)"/>
    <s v="Green - Duwamish River"/>
    <s v="King"/>
    <x v="2"/>
    <s v="Pierce"/>
    <s v="07Pierce"/>
    <s v="02South Puget Sound"/>
    <n v="22.8"/>
    <n v="11.4"/>
    <n v="211.47000000000003"/>
  </r>
  <r>
    <n v="1888"/>
    <x v="7"/>
    <x v="6"/>
    <x v="7"/>
    <s v="Freshwater"/>
    <x v="0"/>
    <x v="0"/>
    <s v="844"/>
    <s v="Skykomish River"/>
    <s v="Skykomish River"/>
    <s v="Snohomish"/>
    <x v="0"/>
    <s v="King"/>
    <s v="06King"/>
    <s v="02South Puget Sound"/>
    <n v="83.703703703703695"/>
    <n v="41.851851851851897"/>
    <n v="776.35185185185276"/>
  </r>
  <r>
    <n v="1889"/>
    <x v="7"/>
    <x v="6"/>
    <x v="7"/>
    <s v="Freshwater"/>
    <x v="0"/>
    <x v="0"/>
    <s v="844"/>
    <s v="Skykomish River"/>
    <s v="Skykomish River"/>
    <s v="Snohomish"/>
    <x v="0"/>
    <s v="Snohomish"/>
    <s v="03Snohomish"/>
    <s v="01North Puget Sound"/>
    <n v="142.29629629629599"/>
    <n v="71.148148148148195"/>
    <n v="1319.798148148149"/>
  </r>
  <r>
    <n v="1923"/>
    <x v="7"/>
    <x v="6"/>
    <x v="7"/>
    <s v="Freshwater"/>
    <x v="0"/>
    <x v="0"/>
    <s v="852"/>
    <s v="Snoqualmie River"/>
    <s v="Snoqualmie River"/>
    <s v="Snohomish/King"/>
    <x v="0"/>
    <s v="King"/>
    <s v="06King"/>
    <s v="02South Puget Sound"/>
    <n v="8"/>
    <n v="4"/>
    <n v="74.2"/>
  </r>
  <r>
    <n v="1939"/>
    <x v="7"/>
    <x v="6"/>
    <x v="7"/>
    <s v="Freshwater"/>
    <x v="0"/>
    <x v="0"/>
    <s v="860"/>
    <s v="Wallace River"/>
    <s v="Wallace River"/>
    <s v="Snohomish"/>
    <x v="0"/>
    <s v="King"/>
    <s v="06King"/>
    <s v="02South Puget Sound"/>
    <n v="25.090909090909101"/>
    <n v="12.545454545454501"/>
    <n v="232.71818181818099"/>
  </r>
  <r>
    <n v="1940"/>
    <x v="7"/>
    <x v="6"/>
    <x v="7"/>
    <s v="Freshwater"/>
    <x v="0"/>
    <x v="0"/>
    <s v="860"/>
    <s v="Wallace River"/>
    <s v="Wallace River"/>
    <s v="Snohomish"/>
    <x v="0"/>
    <s v="Snohomish"/>
    <s v="03Snohomish"/>
    <s v="01North Puget Sound"/>
    <n v="58.545454545454596"/>
    <n v="29.272727272727298"/>
    <n v="543.00909090909136"/>
  </r>
  <r>
    <n v="1941"/>
    <x v="7"/>
    <x v="6"/>
    <x v="7"/>
    <s v="Freshwater"/>
    <x v="0"/>
    <x v="0"/>
    <s v="860"/>
    <s v="Wallace River"/>
    <s v="Wallace River"/>
    <s v="Snohomish"/>
    <x v="0"/>
    <s v="Whatcom"/>
    <s v="01Whatcom"/>
    <s v="01North Puget Sound"/>
    <n v="8.3636363636363704"/>
    <n v="4.1818181818181799"/>
    <n v="77.572727272727235"/>
  </r>
  <r>
    <n v="1834"/>
    <x v="7"/>
    <x v="7"/>
    <x v="7"/>
    <s v="Freshwater"/>
    <x v="0"/>
    <x v="0"/>
    <s v="738"/>
    <s v="Dungeness River"/>
    <s v="Dungeness River"/>
    <s v="Clallam"/>
    <x v="3"/>
    <s v="Clallam"/>
    <s v="11Clallam"/>
    <s v="03Strait of Juan de Fuca"/>
    <n v="44"/>
    <n v="22"/>
    <n v="408.1"/>
  </r>
  <r>
    <n v="1847"/>
    <x v="7"/>
    <x v="7"/>
    <x v="7"/>
    <s v="Freshwater"/>
    <x v="0"/>
    <x v="0"/>
    <s v="746"/>
    <s v="Green (Duwamish River) (King Co.)"/>
    <s v="Green - Duwamish River"/>
    <s v="King"/>
    <x v="2"/>
    <s v="King"/>
    <s v="06King"/>
    <s v="02South Puget Sound"/>
    <n v="57.3333333333333"/>
    <n v="28.6666666666667"/>
    <n v="531.76666666666733"/>
  </r>
  <r>
    <n v="1848"/>
    <x v="7"/>
    <x v="7"/>
    <x v="7"/>
    <s v="Freshwater"/>
    <x v="0"/>
    <x v="0"/>
    <s v="746"/>
    <s v="Green (Duwamish River) (King Co.)"/>
    <s v="Green - Duwamish River"/>
    <s v="King"/>
    <x v="2"/>
    <s v="Pierce"/>
    <s v="07Pierce"/>
    <s v="02South Puget Sound"/>
    <n v="28.6666666666667"/>
    <n v="14.3333333333333"/>
    <n v="265.8833333333327"/>
  </r>
  <r>
    <n v="1890"/>
    <x v="7"/>
    <x v="7"/>
    <x v="7"/>
    <s v="Freshwater"/>
    <x v="0"/>
    <x v="0"/>
    <s v="844"/>
    <s v="Skykomish River"/>
    <s v="Skykomish River"/>
    <s v="Snohomish"/>
    <x v="0"/>
    <s v="King"/>
    <s v="06King"/>
    <s v="02South Puget Sound"/>
    <n v="53.538461538461597"/>
    <n v="26.769230769230798"/>
    <n v="496.56923076923135"/>
  </r>
  <r>
    <n v="1891"/>
    <x v="7"/>
    <x v="7"/>
    <x v="7"/>
    <s v="Freshwater"/>
    <x v="0"/>
    <x v="0"/>
    <s v="844"/>
    <s v="Skykomish River"/>
    <s v="Skykomish River"/>
    <s v="Snohomish"/>
    <x v="0"/>
    <s v="Other"/>
    <s v="20Other"/>
    <s v="07Non Puget Sound"/>
    <n v="8.9230769230769305"/>
    <n v="4.4615384615384599"/>
    <n v="82.761538461538436"/>
  </r>
  <r>
    <n v="1892"/>
    <x v="7"/>
    <x v="7"/>
    <x v="7"/>
    <s v="Freshwater"/>
    <x v="0"/>
    <x v="0"/>
    <s v="844"/>
    <s v="Skykomish River"/>
    <s v="Skykomish River"/>
    <s v="Snohomish"/>
    <x v="0"/>
    <s v="Snohomish"/>
    <s v="03Snohomish"/>
    <s v="01North Puget Sound"/>
    <n v="169.538461538462"/>
    <n v="84.769230769230802"/>
    <n v="1572.4692307692314"/>
  </r>
  <r>
    <n v="1912"/>
    <x v="7"/>
    <x v="7"/>
    <x v="7"/>
    <s v="Freshwater"/>
    <x v="0"/>
    <x v="0"/>
    <s v="848"/>
    <s v="Skykomish River, So. Fork"/>
    <s v="Skykomish River, So. Fork"/>
    <s v="Snohomish/King"/>
    <x v="0"/>
    <s v="Kitsap"/>
    <s v="10Kitsap"/>
    <s v="02South Puget Sound"/>
    <n v="8"/>
    <n v="4"/>
    <n v="74.2"/>
  </r>
  <r>
    <n v="1951"/>
    <x v="7"/>
    <x v="7"/>
    <x v="7"/>
    <s v="Freshwater"/>
    <x v="0"/>
    <x v="0"/>
    <s v="872"/>
    <s v="Stillaguamish R, No. Fork"/>
    <s v="Stillaguamish R, No. Fork"/>
    <s v="Snohomish"/>
    <x v="0"/>
    <s v="Snohomish"/>
    <s v="03Snohomish"/>
    <s v="01North Puget Sound"/>
    <n v="10"/>
    <n v="5"/>
    <n v="92.75"/>
  </r>
  <r>
    <n v="1942"/>
    <x v="7"/>
    <x v="7"/>
    <x v="7"/>
    <s v="Freshwater"/>
    <x v="0"/>
    <x v="0"/>
    <s v="860"/>
    <s v="Wallace River"/>
    <s v="Wallace River"/>
    <s v="Snohomish"/>
    <x v="0"/>
    <s v="King"/>
    <s v="06King"/>
    <s v="02South Puget Sound"/>
    <n v="18"/>
    <n v="9"/>
    <n v="166.95000000000002"/>
  </r>
  <r>
    <n v="1943"/>
    <x v="7"/>
    <x v="7"/>
    <x v="7"/>
    <s v="Freshwater"/>
    <x v="0"/>
    <x v="0"/>
    <s v="860"/>
    <s v="Wallace River"/>
    <s v="Wallace River"/>
    <s v="Snohomish"/>
    <x v="0"/>
    <s v="Other"/>
    <s v="20Other"/>
    <s v="07Non Puget Sound"/>
    <n v="9"/>
    <n v="4.5"/>
    <n v="83.475000000000009"/>
  </r>
  <r>
    <n v="1944"/>
    <x v="7"/>
    <x v="7"/>
    <x v="7"/>
    <s v="Freshwater"/>
    <x v="0"/>
    <x v="0"/>
    <s v="860"/>
    <s v="Wallace River"/>
    <s v="Wallace River"/>
    <s v="Snohomish"/>
    <x v="0"/>
    <s v="Snohomish"/>
    <s v="03Snohomish"/>
    <s v="01North Puget Sound"/>
    <n v="27"/>
    <n v="13.5"/>
    <n v="250.42500000000001"/>
  </r>
  <r>
    <n v="1958"/>
    <x v="7"/>
    <x v="8"/>
    <x v="7"/>
    <s v="Freshwater"/>
    <x v="0"/>
    <x v="0"/>
    <s v="9"/>
    <s v="Area 9: Admiralty Inlet"/>
    <s v="Area 9: Admiralty Inlet"/>
    <s v="NA"/>
    <x v="0"/>
    <s v="Island"/>
    <s v="04Island"/>
    <s v="01North Puget Sound"/>
    <n v="11"/>
    <n v="5.5"/>
    <n v="102.02500000000001"/>
  </r>
  <r>
    <n v="1959"/>
    <x v="7"/>
    <x v="8"/>
    <x v="7"/>
    <s v="Freshwater"/>
    <x v="0"/>
    <x v="0"/>
    <s v="9"/>
    <s v="Area 9: Admiralty Inlet"/>
    <s v="Area 9: Admiralty Inlet"/>
    <s v="NA"/>
    <x v="0"/>
    <s v="Jefferson"/>
    <s v="12Jefferson"/>
    <s v="03Strait of Juan de Fuca"/>
    <n v="11"/>
    <n v="5.5"/>
    <n v="102.02500000000001"/>
  </r>
  <r>
    <n v="1960"/>
    <x v="7"/>
    <x v="8"/>
    <x v="7"/>
    <s v="Freshwater"/>
    <x v="0"/>
    <x v="0"/>
    <s v="9"/>
    <s v="Area 9: Admiralty Inlet"/>
    <s v="Area 9: Admiralty Inlet"/>
    <s v="NA"/>
    <x v="0"/>
    <s v="Snohomish"/>
    <s v="03Snohomish"/>
    <s v="01North Puget Sound"/>
    <n v="22"/>
    <n v="11"/>
    <n v="204.05"/>
  </r>
  <r>
    <n v="1849"/>
    <x v="7"/>
    <x v="8"/>
    <x v="7"/>
    <s v="Freshwater"/>
    <x v="0"/>
    <x v="0"/>
    <s v="746"/>
    <s v="Green (Duwamish River) (King Co.)"/>
    <s v="Green - Duwamish River"/>
    <s v="King"/>
    <x v="2"/>
    <s v="King"/>
    <s v="06King"/>
    <s v="02South Puget Sound"/>
    <n v="127.8"/>
    <n v="63.9"/>
    <n v="1185.345"/>
  </r>
  <r>
    <n v="1850"/>
    <x v="7"/>
    <x v="8"/>
    <x v="7"/>
    <s v="Freshwater"/>
    <x v="0"/>
    <x v="0"/>
    <s v="746"/>
    <s v="Green (Duwamish River) (King Co.)"/>
    <s v="Green - Duwamish River"/>
    <s v="King"/>
    <x v="2"/>
    <s v="Pierce"/>
    <s v="07Pierce"/>
    <s v="02South Puget Sound"/>
    <n v="14.2"/>
    <n v="7.1"/>
    <n v="131.70500000000001"/>
  </r>
  <r>
    <n v="1852"/>
    <x v="7"/>
    <x v="8"/>
    <x v="7"/>
    <s v="Freshwater"/>
    <x v="0"/>
    <x v="0"/>
    <s v="752"/>
    <s v="Hoko River"/>
    <s v="Hoko River"/>
    <s v="Clallam"/>
    <x v="3"/>
    <s v="Clallam"/>
    <s v="11Clallam"/>
    <s v="03Strait of Juan de Fuca"/>
    <n v="153.26315789473699"/>
    <n v="76.631578947368396"/>
    <n v="1421.5157894736838"/>
  </r>
  <r>
    <n v="1853"/>
    <x v="7"/>
    <x v="8"/>
    <x v="7"/>
    <s v="Freshwater"/>
    <x v="0"/>
    <x v="0"/>
    <s v="752"/>
    <s v="Hoko River"/>
    <s v="Hoko River"/>
    <s v="Clallam"/>
    <x v="3"/>
    <s v="King"/>
    <s v="06King"/>
    <s v="02South Puget Sound"/>
    <n v="21.894736842105299"/>
    <n v="10.9473684210526"/>
    <n v="203.07368421052573"/>
  </r>
  <r>
    <n v="1854"/>
    <x v="7"/>
    <x v="8"/>
    <x v="7"/>
    <s v="Freshwater"/>
    <x v="0"/>
    <x v="0"/>
    <s v="752"/>
    <s v="Hoko River"/>
    <s v="Hoko River"/>
    <s v="Clallam"/>
    <x v="3"/>
    <s v="Pierce"/>
    <s v="07Pierce"/>
    <s v="02South Puget Sound"/>
    <n v="21.894736842105299"/>
    <n v="10.9473684210526"/>
    <n v="203.07368421052573"/>
  </r>
  <r>
    <n v="1855"/>
    <x v="7"/>
    <x v="8"/>
    <x v="7"/>
    <s v="Freshwater"/>
    <x v="0"/>
    <x v="0"/>
    <s v="752"/>
    <s v="Hoko River"/>
    <s v="Hoko River"/>
    <s v="Clallam"/>
    <x v="3"/>
    <s v="Thurston"/>
    <s v="08Thurston"/>
    <s v="02South Puget Sound"/>
    <n v="10.9473684210526"/>
    <n v="5.4736842105263204"/>
    <n v="101.53684210526325"/>
  </r>
  <r>
    <n v="1860"/>
    <x v="7"/>
    <x v="8"/>
    <x v="7"/>
    <s v="Freshwater"/>
    <x v="0"/>
    <x v="0"/>
    <s v="782"/>
    <s v="Morse Creek (Clallam Co.)"/>
    <s v="Morse Creek (Clallam Co.)"/>
    <s v="Clallam"/>
    <x v="3"/>
    <s v="Clallam"/>
    <s v="11Clallam"/>
    <s v="03Strait of Juan de Fuca"/>
    <n v="10"/>
    <n v="5"/>
    <n v="92.75"/>
  </r>
  <r>
    <n v="1866"/>
    <x v="7"/>
    <x v="8"/>
    <x v="7"/>
    <s v="Freshwater"/>
    <x v="0"/>
    <x v="0"/>
    <s v="794"/>
    <s v="Nooksack River, below North Fork"/>
    <s v="Nooksack River, below North Fork"/>
    <s v="Whatcom"/>
    <x v="1"/>
    <s v="Whatcom"/>
    <s v="01Whatcom"/>
    <s v="01North Puget Sound"/>
    <n v="54"/>
    <n v="27"/>
    <n v="500.85"/>
  </r>
  <r>
    <n v="1861"/>
    <x v="7"/>
    <x v="8"/>
    <x v="7"/>
    <s v="Freshwater"/>
    <x v="0"/>
    <x v="0"/>
    <s v="788"/>
    <s v="Nooksack River, Mid. Fork"/>
    <s v="Nooksack River"/>
    <s v="Whatcom"/>
    <x v="1"/>
    <s v="Whatcom"/>
    <s v="01Whatcom"/>
    <s v="01North Puget Sound"/>
    <n v="22"/>
    <n v="11"/>
    <n v="204.05"/>
  </r>
  <r>
    <n v="1863"/>
    <x v="7"/>
    <x v="8"/>
    <x v="7"/>
    <s v="Freshwater"/>
    <x v="0"/>
    <x v="0"/>
    <s v="790"/>
    <s v="Nooksack River, No. Fork"/>
    <s v="Nooksack River, No. Fork"/>
    <s v="Whatcom"/>
    <x v="1"/>
    <s v="Whatcom"/>
    <s v="01Whatcom"/>
    <s v="01North Puget Sound"/>
    <n v="10"/>
    <n v="5"/>
    <n v="92.75"/>
  </r>
  <r>
    <n v="1870"/>
    <x v="7"/>
    <x v="8"/>
    <x v="7"/>
    <s v="Freshwater"/>
    <x v="0"/>
    <x v="0"/>
    <s v="830"/>
    <s v="Skagit River"/>
    <s v="Skagit River"/>
    <s v="Skagit/Whatcom"/>
    <x v="0"/>
    <s v="King"/>
    <s v="06King"/>
    <s v="02South Puget Sound"/>
    <n v="11"/>
    <n v="5.5"/>
    <n v="102.02500000000001"/>
  </r>
  <r>
    <n v="1871"/>
    <x v="7"/>
    <x v="8"/>
    <x v="7"/>
    <s v="Freshwater"/>
    <x v="0"/>
    <x v="0"/>
    <s v="830"/>
    <s v="Skagit River"/>
    <s v="Skagit River"/>
    <s v="Skagit/Whatcom"/>
    <x v="0"/>
    <s v="Snohomish"/>
    <s v="03Snohomish"/>
    <s v="01North Puget Sound"/>
    <n v="11"/>
    <n v="5.5"/>
    <n v="102.02500000000001"/>
  </r>
  <r>
    <n v="1893"/>
    <x v="7"/>
    <x v="8"/>
    <x v="7"/>
    <s v="Freshwater"/>
    <x v="0"/>
    <x v="0"/>
    <s v="844"/>
    <s v="Skykomish River"/>
    <s v="Skykomish River"/>
    <s v="Snohomish"/>
    <x v="0"/>
    <s v="Island"/>
    <s v="04Island"/>
    <s v="01North Puget Sound"/>
    <n v="8.95614035087719"/>
    <n v="4.4780701754386003"/>
    <n v="83.068201754386038"/>
  </r>
  <r>
    <n v="1894"/>
    <x v="7"/>
    <x v="8"/>
    <x v="7"/>
    <s v="Freshwater"/>
    <x v="0"/>
    <x v="0"/>
    <s v="844"/>
    <s v="Skykomish River"/>
    <s v="Skykomish River"/>
    <s v="Snohomish"/>
    <x v="0"/>
    <s v="King"/>
    <s v="06King"/>
    <s v="02South Puget Sound"/>
    <n v="761.27192982456097"/>
    <n v="380.635964912281"/>
    <n v="7060.7971491228127"/>
  </r>
  <r>
    <n v="1895"/>
    <x v="7"/>
    <x v="8"/>
    <x v="7"/>
    <s v="Freshwater"/>
    <x v="0"/>
    <x v="0"/>
    <s v="844"/>
    <s v="Skykomish River"/>
    <s v="Skykomish River"/>
    <s v="Snohomish"/>
    <x v="0"/>
    <s v="Other"/>
    <s v="20Other"/>
    <s v="07Non Puget Sound"/>
    <n v="116.429824561404"/>
    <n v="58.214912280701803"/>
    <n v="1079.8866228070185"/>
  </r>
  <r>
    <n v="1896"/>
    <x v="7"/>
    <x v="8"/>
    <x v="7"/>
    <s v="Freshwater"/>
    <x v="0"/>
    <x v="0"/>
    <s v="844"/>
    <s v="Skykomish River"/>
    <s v="Skykomish River"/>
    <s v="Snohomish"/>
    <x v="0"/>
    <s v="Pierce"/>
    <s v="07Pierce"/>
    <s v="02South Puget Sound"/>
    <n v="26.8684210526316"/>
    <n v="13.4342105263158"/>
    <n v="249.2046052631581"/>
  </r>
  <r>
    <n v="1897"/>
    <x v="7"/>
    <x v="8"/>
    <x v="7"/>
    <s v="Freshwater"/>
    <x v="0"/>
    <x v="0"/>
    <s v="844"/>
    <s v="Skykomish River"/>
    <s v="Skykomish River"/>
    <s v="Snohomish"/>
    <x v="0"/>
    <s v="Snohomish"/>
    <s v="03Snohomish"/>
    <s v="01North Puget Sound"/>
    <n v="1128.4736842105301"/>
    <n v="564.23684210526301"/>
    <n v="10466.593421052628"/>
  </r>
  <r>
    <n v="1906"/>
    <x v="7"/>
    <x v="8"/>
    <x v="7"/>
    <s v="Freshwater"/>
    <x v="0"/>
    <x v="0"/>
    <s v="846"/>
    <s v="Skykomish River, No. Fork"/>
    <s v="Skykomish River, No. Fork"/>
    <s v="Snohomish"/>
    <x v="0"/>
    <s v="King"/>
    <s v="06King"/>
    <s v="02South Puget Sound"/>
    <n v="9"/>
    <n v="4.5"/>
    <n v="83.475000000000009"/>
  </r>
  <r>
    <n v="1907"/>
    <x v="7"/>
    <x v="8"/>
    <x v="7"/>
    <s v="Freshwater"/>
    <x v="0"/>
    <x v="0"/>
    <s v="846"/>
    <s v="Skykomish River, No. Fork"/>
    <s v="Skykomish River, No. Fork"/>
    <s v="Snohomish"/>
    <x v="0"/>
    <s v="Skagit"/>
    <s v="02Skagit"/>
    <s v="01North Puget Sound"/>
    <n v="9"/>
    <n v="4.5"/>
    <n v="83.475000000000009"/>
  </r>
  <r>
    <n v="1913"/>
    <x v="7"/>
    <x v="8"/>
    <x v="7"/>
    <s v="Freshwater"/>
    <x v="0"/>
    <x v="0"/>
    <s v="848"/>
    <s v="Skykomish River, So. Fork"/>
    <s v="Skykomish River, So. Fork"/>
    <s v="Snohomish/King"/>
    <x v="0"/>
    <s v="King"/>
    <s v="06King"/>
    <s v="02South Puget Sound"/>
    <n v="18"/>
    <n v="9"/>
    <n v="166.95000000000002"/>
  </r>
  <r>
    <n v="1914"/>
    <x v="7"/>
    <x v="8"/>
    <x v="7"/>
    <s v="Freshwater"/>
    <x v="0"/>
    <x v="0"/>
    <s v="848"/>
    <s v="Skykomish River, So. Fork"/>
    <s v="Skykomish River, So. Fork"/>
    <s v="Snohomish/King"/>
    <x v="0"/>
    <s v="Snohomish"/>
    <s v="03Snohomish"/>
    <s v="01North Puget Sound"/>
    <n v="36"/>
    <n v="18"/>
    <n v="333.90000000000003"/>
  </r>
  <r>
    <n v="1920"/>
    <x v="7"/>
    <x v="8"/>
    <x v="7"/>
    <s v="Freshwater"/>
    <x v="0"/>
    <x v="0"/>
    <s v="850"/>
    <s v="Snohomish River"/>
    <s v="Snohomish River"/>
    <s v="Snohomish"/>
    <x v="0"/>
    <s v="Snohomish"/>
    <s v="03Snohomish"/>
    <s v="01North Puget Sound"/>
    <n v="98"/>
    <n v="49"/>
    <n v="908.95"/>
  </r>
  <r>
    <n v="1924"/>
    <x v="7"/>
    <x v="8"/>
    <x v="7"/>
    <s v="Freshwater"/>
    <x v="0"/>
    <x v="0"/>
    <s v="852"/>
    <s v="Snoqualmie River"/>
    <s v="Snoqualmie River"/>
    <s v="Snohomish/King"/>
    <x v="0"/>
    <s v="King"/>
    <s v="06King"/>
    <s v="02South Puget Sound"/>
    <n v="305.08108108108098"/>
    <n v="152.540540540541"/>
    <n v="2829.6270270270356"/>
  </r>
  <r>
    <n v="1925"/>
    <x v="7"/>
    <x v="8"/>
    <x v="7"/>
    <s v="Freshwater"/>
    <x v="0"/>
    <x v="0"/>
    <s v="852"/>
    <s v="Snoqualmie River"/>
    <s v="Snoqualmie River"/>
    <s v="Snohomish/King"/>
    <x v="0"/>
    <s v="Snohomish"/>
    <s v="03Snohomish"/>
    <s v="01North Puget Sound"/>
    <n v="26.918918918918902"/>
    <n v="13.459459459459501"/>
    <n v="249.67297297297375"/>
  </r>
  <r>
    <n v="1952"/>
    <x v="7"/>
    <x v="8"/>
    <x v="7"/>
    <s v="Freshwater"/>
    <x v="0"/>
    <x v="0"/>
    <s v="872"/>
    <s v="Stillaguamish R, No. Fork"/>
    <s v="Stillaguamish R, No. Fork"/>
    <s v="Snohomish"/>
    <x v="0"/>
    <s v="Snohomish"/>
    <s v="03Snohomish"/>
    <s v="01North Puget Sound"/>
    <n v="44"/>
    <n v="22"/>
    <n v="408.1"/>
  </r>
  <r>
    <n v="1929"/>
    <x v="7"/>
    <x v="8"/>
    <x v="7"/>
    <s v="Freshwater"/>
    <x v="0"/>
    <x v="0"/>
    <s v="856"/>
    <s v="Tokul Creek"/>
    <s v="Tokul Creek"/>
    <s v="King"/>
    <x v="0"/>
    <s v="King"/>
    <s v="06King"/>
    <s v="02South Puget Sound"/>
    <n v="286.222222222222"/>
    <n v="143.111111111111"/>
    <n v="2654.7111111111089"/>
  </r>
  <r>
    <n v="1930"/>
    <x v="7"/>
    <x v="8"/>
    <x v="7"/>
    <s v="Freshwater"/>
    <x v="0"/>
    <x v="0"/>
    <s v="856"/>
    <s v="Tokul Creek"/>
    <s v="Tokul Creek"/>
    <s v="King"/>
    <x v="0"/>
    <s v="Pierce"/>
    <s v="07Pierce"/>
    <s v="02South Puget Sound"/>
    <n v="17.8888888888889"/>
    <n v="8.94444444444445"/>
    <n v="165.91944444444457"/>
  </r>
  <r>
    <n v="1931"/>
    <x v="7"/>
    <x v="8"/>
    <x v="7"/>
    <s v="Freshwater"/>
    <x v="0"/>
    <x v="0"/>
    <s v="856"/>
    <s v="Tokul Creek"/>
    <s v="Tokul Creek"/>
    <s v="King"/>
    <x v="0"/>
    <s v="Snohomish"/>
    <s v="03Snohomish"/>
    <s v="01North Puget Sound"/>
    <n v="8.94444444444445"/>
    <n v="4.4722222222222197"/>
    <n v="82.959722222222183"/>
  </r>
  <r>
    <n v="1932"/>
    <x v="7"/>
    <x v="8"/>
    <x v="7"/>
    <s v="Freshwater"/>
    <x v="0"/>
    <x v="0"/>
    <s v="856"/>
    <s v="Tokul Creek"/>
    <s v="Tokul Creek"/>
    <s v="King"/>
    <x v="0"/>
    <s v="Whatcom"/>
    <s v="01Whatcom"/>
    <s v="01North Puget Sound"/>
    <n v="8.94444444444445"/>
    <n v="4.4722222222222197"/>
    <n v="82.959722222222183"/>
  </r>
  <r>
    <n v="1936"/>
    <x v="7"/>
    <x v="8"/>
    <x v="7"/>
    <s v="Freshwater"/>
    <x v="0"/>
    <x v="0"/>
    <s v="858"/>
    <s v="Tolt River"/>
    <s v="Tolt River"/>
    <s v="King"/>
    <x v="0"/>
    <s v="Pierce"/>
    <s v="07Pierce"/>
    <s v="02South Puget Sound"/>
    <n v="8"/>
    <n v="4"/>
    <n v="74.2"/>
  </r>
  <r>
    <n v="1945"/>
    <x v="7"/>
    <x v="8"/>
    <x v="7"/>
    <s v="Freshwater"/>
    <x v="0"/>
    <x v="0"/>
    <s v="860"/>
    <s v="Wallace River"/>
    <s v="Wallace River"/>
    <s v="Snohomish"/>
    <x v="0"/>
    <s v="King"/>
    <s v="06King"/>
    <s v="02South Puget Sound"/>
    <n v="277.65217391304401"/>
    <n v="138.826086956522"/>
    <n v="2575.2239130434832"/>
  </r>
  <r>
    <n v="1946"/>
    <x v="7"/>
    <x v="8"/>
    <x v="7"/>
    <s v="Freshwater"/>
    <x v="0"/>
    <x v="0"/>
    <s v="860"/>
    <s v="Wallace River"/>
    <s v="Wallace River"/>
    <s v="Snohomish"/>
    <x v="0"/>
    <s v="Snohomish"/>
    <s v="03Snohomish"/>
    <s v="01North Puget Sound"/>
    <n v="134.34782608695701"/>
    <n v="67.173913043478294"/>
    <n v="1246.0760869565224"/>
  </r>
  <r>
    <n v="1961"/>
    <x v="8"/>
    <x v="9"/>
    <x v="7"/>
    <s v="Freshwater"/>
    <x v="0"/>
    <x v="0"/>
    <s v="9"/>
    <s v="Area 9: Admiralty Inlet"/>
    <s v="Area 9: Admiralty Inlet"/>
    <s v="NA"/>
    <x v="0"/>
    <s v="Island"/>
    <s v="04Island"/>
    <s v="01North Puget Sound"/>
    <n v="22"/>
    <n v="11"/>
    <n v="93.94"/>
  </r>
  <r>
    <n v="1962"/>
    <x v="8"/>
    <x v="9"/>
    <x v="7"/>
    <s v="Freshwater"/>
    <x v="0"/>
    <x v="0"/>
    <s v="9"/>
    <s v="Area 9: Admiralty Inlet"/>
    <s v="Area 9: Admiralty Inlet"/>
    <s v="NA"/>
    <x v="0"/>
    <s v="Snohomish"/>
    <s v="03Snohomish"/>
    <s v="01North Puget Sound"/>
    <n v="22"/>
    <n v="11"/>
    <n v="93.94"/>
  </r>
  <r>
    <n v="1869"/>
    <x v="8"/>
    <x v="9"/>
    <x v="7"/>
    <s v="Freshwater"/>
    <x v="0"/>
    <x v="0"/>
    <s v="826"/>
    <s v="Cascade River"/>
    <s v="Cascade River"/>
    <s v="Skagit"/>
    <x v="1"/>
    <s v="Pierce"/>
    <s v="07Pierce"/>
    <s v="02South Puget Sound"/>
    <n v="10"/>
    <n v="5"/>
    <n v="42.699999999999996"/>
  </r>
  <r>
    <n v="1835"/>
    <x v="8"/>
    <x v="9"/>
    <x v="7"/>
    <s v="Freshwater"/>
    <x v="0"/>
    <x v="0"/>
    <s v="738"/>
    <s v="Dungeness River"/>
    <s v="Dungeness River"/>
    <s v="Clallam"/>
    <x v="3"/>
    <s v="Clallam"/>
    <s v="11Clallam"/>
    <s v="03Strait of Juan de Fuca"/>
    <n v="10"/>
    <n v="5"/>
    <n v="42.699999999999996"/>
  </r>
  <r>
    <n v="1856"/>
    <x v="8"/>
    <x v="9"/>
    <x v="7"/>
    <s v="Freshwater"/>
    <x v="0"/>
    <x v="0"/>
    <s v="752"/>
    <s v="Hoko River"/>
    <s v="Hoko River"/>
    <s v="Clallam"/>
    <x v="3"/>
    <s v="Clallam"/>
    <s v="11Clallam"/>
    <s v="03Strait of Juan de Fuca"/>
    <n v="44"/>
    <n v="22"/>
    <n v="187.88"/>
  </r>
  <r>
    <n v="1867"/>
    <x v="8"/>
    <x v="9"/>
    <x v="7"/>
    <s v="Freshwater"/>
    <x v="0"/>
    <x v="0"/>
    <s v="794"/>
    <s v="Nooksack River, below North Fork"/>
    <s v="Nooksack River, below North Fork"/>
    <s v="Whatcom"/>
    <x v="1"/>
    <s v="King"/>
    <s v="06King"/>
    <s v="02South Puget Sound"/>
    <n v="11"/>
    <n v="5.5"/>
    <n v="46.97"/>
  </r>
  <r>
    <n v="1868"/>
    <x v="8"/>
    <x v="9"/>
    <x v="7"/>
    <s v="Freshwater"/>
    <x v="0"/>
    <x v="0"/>
    <s v="794"/>
    <s v="Nooksack River, below North Fork"/>
    <s v="Nooksack River, below North Fork"/>
    <s v="Whatcom"/>
    <x v="1"/>
    <s v="Whatcom"/>
    <s v="01Whatcom"/>
    <s v="01North Puget Sound"/>
    <n v="11"/>
    <n v="5.5"/>
    <n v="46.97"/>
  </r>
  <r>
    <n v="1862"/>
    <x v="8"/>
    <x v="9"/>
    <x v="7"/>
    <s v="Freshwater"/>
    <x v="0"/>
    <x v="0"/>
    <s v="788"/>
    <s v="Nooksack River, Mid. Fork"/>
    <s v="Nooksack River"/>
    <s v="Whatcom"/>
    <x v="1"/>
    <s v="Whatcom"/>
    <s v="01Whatcom"/>
    <s v="01North Puget Sound"/>
    <n v="22"/>
    <n v="11"/>
    <n v="93.94"/>
  </r>
  <r>
    <n v="1864"/>
    <x v="8"/>
    <x v="9"/>
    <x v="7"/>
    <s v="Freshwater"/>
    <x v="0"/>
    <x v="0"/>
    <s v="790"/>
    <s v="Nooksack River, No. Fork"/>
    <s v="Nooksack River, No. Fork"/>
    <s v="Whatcom"/>
    <x v="1"/>
    <s v="Whatcom"/>
    <s v="01Whatcom"/>
    <s v="01North Puget Sound"/>
    <n v="208"/>
    <n v="104"/>
    <n v="888.15999999999985"/>
  </r>
  <r>
    <n v="1872"/>
    <x v="8"/>
    <x v="9"/>
    <x v="7"/>
    <s v="Freshwater"/>
    <x v="0"/>
    <x v="0"/>
    <s v="830"/>
    <s v="Skagit River"/>
    <s v="Skagit River"/>
    <s v="Skagit/Whatcom"/>
    <x v="0"/>
    <s v="Skagit"/>
    <s v="02Skagit"/>
    <s v="01North Puget Sound"/>
    <n v="10"/>
    <n v="5"/>
    <n v="42.699999999999996"/>
  </r>
  <r>
    <n v="1898"/>
    <x v="8"/>
    <x v="9"/>
    <x v="7"/>
    <s v="Freshwater"/>
    <x v="0"/>
    <x v="0"/>
    <s v="844"/>
    <s v="Skykomish River"/>
    <s v="Skykomish River"/>
    <s v="Snohomish"/>
    <x v="0"/>
    <s v="King"/>
    <s v="06King"/>
    <s v="02South Puget Sound"/>
    <n v="618.24"/>
    <n v="309.12"/>
    <n v="2639.8847999999998"/>
  </r>
  <r>
    <n v="1899"/>
    <x v="8"/>
    <x v="9"/>
    <x v="7"/>
    <s v="Freshwater"/>
    <x v="0"/>
    <x v="0"/>
    <s v="844"/>
    <s v="Skykomish River"/>
    <s v="Skykomish River"/>
    <s v="Snohomish"/>
    <x v="0"/>
    <s v="Other"/>
    <s v="20Other"/>
    <s v="07Non Puget Sound"/>
    <n v="35.840000000000003"/>
    <n v="17.920000000000002"/>
    <n v="153.0368"/>
  </r>
  <r>
    <n v="1900"/>
    <x v="8"/>
    <x v="9"/>
    <x v="7"/>
    <s v="Freshwater"/>
    <x v="0"/>
    <x v="0"/>
    <s v="844"/>
    <s v="Skykomish River"/>
    <s v="Skykomish River"/>
    <s v="Snohomish"/>
    <x v="0"/>
    <s v="Snohomish"/>
    <s v="03Snohomish"/>
    <s v="01North Puget Sound"/>
    <n v="689.92"/>
    <n v="344.96"/>
    <n v="2945.9583999999995"/>
  </r>
  <r>
    <n v="1908"/>
    <x v="8"/>
    <x v="9"/>
    <x v="7"/>
    <s v="Freshwater"/>
    <x v="0"/>
    <x v="0"/>
    <s v="846"/>
    <s v="Skykomish River, No. Fork"/>
    <s v="Skykomish River, No. Fork"/>
    <s v="Snohomish"/>
    <x v="0"/>
    <s v="King"/>
    <s v="06King"/>
    <s v="02South Puget Sound"/>
    <n v="8"/>
    <n v="4"/>
    <n v="34.159999999999997"/>
  </r>
  <r>
    <n v="1915"/>
    <x v="8"/>
    <x v="9"/>
    <x v="7"/>
    <s v="Freshwater"/>
    <x v="0"/>
    <x v="0"/>
    <s v="848"/>
    <s v="Skykomish River, So. Fork"/>
    <s v="Skykomish River, So. Fork"/>
    <s v="Snohomish/King"/>
    <x v="0"/>
    <s v="Snohomish"/>
    <s v="03Snohomish"/>
    <s v="01North Puget Sound"/>
    <n v="36"/>
    <n v="18"/>
    <n v="153.71999999999997"/>
  </r>
  <r>
    <n v="1921"/>
    <x v="8"/>
    <x v="9"/>
    <x v="7"/>
    <s v="Freshwater"/>
    <x v="0"/>
    <x v="0"/>
    <s v="850"/>
    <s v="Snohomish River"/>
    <s v="Snohomish River"/>
    <s v="Snohomish"/>
    <x v="0"/>
    <s v="Snohomish"/>
    <s v="03Snohomish"/>
    <s v="01North Puget Sound"/>
    <n v="144"/>
    <n v="72"/>
    <n v="614.87999999999988"/>
  </r>
  <r>
    <n v="1926"/>
    <x v="8"/>
    <x v="9"/>
    <x v="7"/>
    <s v="Freshwater"/>
    <x v="0"/>
    <x v="0"/>
    <s v="852"/>
    <s v="Snoqualmie River"/>
    <s v="Snoqualmie River"/>
    <s v="Snohomish/King"/>
    <x v="0"/>
    <s v="King"/>
    <s v="06King"/>
    <s v="02South Puget Sound"/>
    <n v="71.272727272727295"/>
    <n v="35.636363636363598"/>
    <n v="304.33454545454509"/>
  </r>
  <r>
    <n v="1927"/>
    <x v="8"/>
    <x v="9"/>
    <x v="7"/>
    <s v="Freshwater"/>
    <x v="0"/>
    <x v="0"/>
    <s v="852"/>
    <s v="Snoqualmie River"/>
    <s v="Snoqualmie River"/>
    <s v="Snohomish/King"/>
    <x v="0"/>
    <s v="Other"/>
    <s v="20Other"/>
    <s v="07Non Puget Sound"/>
    <n v="17.818181818181799"/>
    <n v="8.9090909090909101"/>
    <n v="76.083636363636359"/>
  </r>
  <r>
    <n v="1928"/>
    <x v="8"/>
    <x v="9"/>
    <x v="7"/>
    <s v="Freshwater"/>
    <x v="0"/>
    <x v="0"/>
    <s v="852"/>
    <s v="Snoqualmie River"/>
    <s v="Snoqualmie River"/>
    <s v="Snohomish/King"/>
    <x v="0"/>
    <s v="Snohomish"/>
    <s v="03Snohomish"/>
    <s v="01North Puget Sound"/>
    <n v="8.9090909090909101"/>
    <n v="4.4545454545454604"/>
    <n v="38.041818181818229"/>
  </r>
  <r>
    <n v="1953"/>
    <x v="8"/>
    <x v="9"/>
    <x v="7"/>
    <s v="Freshwater"/>
    <x v="0"/>
    <x v="0"/>
    <s v="872"/>
    <s v="Stillaguamish R, No. Fork"/>
    <s v="Stillaguamish R, No. Fork"/>
    <s v="Snohomish"/>
    <x v="0"/>
    <s v="Snohomish"/>
    <s v="03Snohomish"/>
    <s v="01North Puget Sound"/>
    <n v="32"/>
    <n v="16"/>
    <n v="136.63999999999999"/>
  </r>
  <r>
    <n v="1933"/>
    <x v="8"/>
    <x v="9"/>
    <x v="7"/>
    <s v="Freshwater"/>
    <x v="0"/>
    <x v="0"/>
    <s v="856"/>
    <s v="Tokul Creek"/>
    <s v="Tokul Creek"/>
    <s v="King"/>
    <x v="0"/>
    <s v="King"/>
    <s v="06King"/>
    <s v="02South Puget Sound"/>
    <n v="431.02040816326502"/>
    <n v="215.51020408163299"/>
    <n v="1840.4571428571455"/>
  </r>
  <r>
    <n v="1934"/>
    <x v="8"/>
    <x v="9"/>
    <x v="7"/>
    <s v="Freshwater"/>
    <x v="0"/>
    <x v="0"/>
    <s v="856"/>
    <s v="Tokul Creek"/>
    <s v="Tokul Creek"/>
    <s v="King"/>
    <x v="0"/>
    <s v="Pierce"/>
    <s v="07Pierce"/>
    <s v="02South Puget Sound"/>
    <n v="8.9795918367347003"/>
    <n v="4.4897959183673501"/>
    <n v="38.342857142857163"/>
  </r>
  <r>
    <n v="1937"/>
    <x v="8"/>
    <x v="9"/>
    <x v="7"/>
    <s v="Freshwater"/>
    <x v="0"/>
    <x v="0"/>
    <s v="858"/>
    <s v="Tolt River"/>
    <s v="Tolt River"/>
    <s v="King"/>
    <x v="0"/>
    <s v="King"/>
    <s v="06King"/>
    <s v="02South Puget Sound"/>
    <n v="8"/>
    <n v="4"/>
    <n v="34.159999999999997"/>
  </r>
  <r>
    <n v="1947"/>
    <x v="8"/>
    <x v="9"/>
    <x v="7"/>
    <s v="Freshwater"/>
    <x v="0"/>
    <x v="0"/>
    <s v="860"/>
    <s v="Wallace River"/>
    <s v="Wallace River"/>
    <s v="Snohomish"/>
    <x v="0"/>
    <s v="King"/>
    <s v="06King"/>
    <s v="02South Puget Sound"/>
    <n v="161.333333333333"/>
    <n v="80.6666666666667"/>
    <n v="688.89333333333354"/>
  </r>
  <r>
    <n v="1948"/>
    <x v="8"/>
    <x v="9"/>
    <x v="7"/>
    <s v="Freshwater"/>
    <x v="0"/>
    <x v="0"/>
    <s v="860"/>
    <s v="Wallace River"/>
    <s v="Wallace River"/>
    <s v="Snohomish"/>
    <x v="0"/>
    <s v="Snohomish"/>
    <s v="03Snohomish"/>
    <s v="01North Puget Sound"/>
    <n v="80.6666666666667"/>
    <n v="40.3333333333333"/>
    <n v="344.44666666666637"/>
  </r>
  <r>
    <n v="1857"/>
    <x v="8"/>
    <x v="10"/>
    <x v="7"/>
    <s v="Freshwater"/>
    <x v="0"/>
    <x v="0"/>
    <s v="752"/>
    <s v="Hoko River"/>
    <s v="Hoko River"/>
    <s v="Clallam"/>
    <x v="3"/>
    <s v="Clallam"/>
    <s v="11Clallam"/>
    <s v="03Strait of Juan de Fuca"/>
    <n v="11"/>
    <n v="5.5"/>
    <n v="46.97"/>
  </r>
  <r>
    <n v="1858"/>
    <x v="8"/>
    <x v="10"/>
    <x v="7"/>
    <s v="Freshwater"/>
    <x v="0"/>
    <x v="0"/>
    <s v="752"/>
    <s v="Hoko River"/>
    <s v="Hoko River"/>
    <s v="Clallam"/>
    <x v="3"/>
    <s v="Kitsap"/>
    <s v="10Kitsap"/>
    <s v="02South Puget Sound"/>
    <n v="11"/>
    <n v="5.5"/>
    <n v="46.97"/>
  </r>
  <r>
    <n v="1865"/>
    <x v="8"/>
    <x v="10"/>
    <x v="7"/>
    <s v="Freshwater"/>
    <x v="0"/>
    <x v="0"/>
    <s v="790"/>
    <s v="Nooksack River, No. Fork"/>
    <s v="Nooksack River, No. Fork"/>
    <s v="Whatcom"/>
    <x v="1"/>
    <s v="Whatcom"/>
    <s v="01Whatcom"/>
    <s v="01North Puget Sound"/>
    <n v="10"/>
    <n v="5"/>
    <n v="42.699999999999996"/>
  </r>
  <r>
    <n v="1901"/>
    <x v="8"/>
    <x v="10"/>
    <x v="7"/>
    <s v="Freshwater"/>
    <x v="0"/>
    <x v="0"/>
    <s v="844"/>
    <s v="Skykomish River"/>
    <s v="Skykomish River"/>
    <s v="Snohomish"/>
    <x v="0"/>
    <s v="King"/>
    <s v="06King"/>
    <s v="02South Puget Sound"/>
    <n v="54"/>
    <n v="27"/>
    <n v="230.57999999999998"/>
  </r>
  <r>
    <n v="1902"/>
    <x v="8"/>
    <x v="10"/>
    <x v="7"/>
    <s v="Freshwater"/>
    <x v="0"/>
    <x v="0"/>
    <s v="844"/>
    <s v="Skykomish River"/>
    <s v="Skykomish River"/>
    <s v="Snohomish"/>
    <x v="0"/>
    <s v="Snohomish"/>
    <s v="03Snohomish"/>
    <s v="01North Puget Sound"/>
    <n v="45"/>
    <n v="22.5"/>
    <n v="192.14999999999998"/>
  </r>
  <r>
    <n v="1903"/>
    <x v="8"/>
    <x v="10"/>
    <x v="7"/>
    <s v="Freshwater"/>
    <x v="0"/>
    <x v="0"/>
    <s v="844"/>
    <s v="Skykomish River"/>
    <s v="Skykomish River"/>
    <s v="Snohomish"/>
    <x v="0"/>
    <s v="Thurston"/>
    <s v="08Thurston"/>
    <s v="02South Puget Sound"/>
    <n v="9"/>
    <n v="4.5"/>
    <n v="38.429999999999993"/>
  </r>
  <r>
    <n v="1935"/>
    <x v="8"/>
    <x v="10"/>
    <x v="7"/>
    <s v="Freshwater"/>
    <x v="0"/>
    <x v="0"/>
    <s v="856"/>
    <s v="Tokul Creek"/>
    <s v="Tokul Creek"/>
    <s v="King"/>
    <x v="0"/>
    <s v="King"/>
    <s v="06King"/>
    <s v="02South Puget Sound"/>
    <n v="18"/>
    <n v="9"/>
    <n v="76.859999999999985"/>
  </r>
  <r>
    <n v="1949"/>
    <x v="8"/>
    <x v="10"/>
    <x v="7"/>
    <s v="Freshwater"/>
    <x v="0"/>
    <x v="0"/>
    <s v="860"/>
    <s v="Wallace River"/>
    <s v="Wallace River"/>
    <s v="Snohomish"/>
    <x v="0"/>
    <s v="Snohomish"/>
    <s v="03Snohomish"/>
    <s v="01North Puget Sound"/>
    <n v="8"/>
    <n v="4"/>
    <n v="34.159999999999997"/>
  </r>
  <r>
    <n v="1963"/>
    <x v="8"/>
    <x v="11"/>
    <x v="7"/>
    <s v="Freshwater"/>
    <x v="0"/>
    <x v="0"/>
    <s v="9"/>
    <s v="Area 9: Admiralty Inlet"/>
    <s v="Area 9: Admiralty Inlet"/>
    <s v="NA"/>
    <x v="0"/>
    <s v="Island"/>
    <s v="04Island"/>
    <s v="01North Puget Sound"/>
    <n v="22"/>
    <n v="11"/>
    <n v="93.94"/>
  </r>
  <r>
    <n v="1859"/>
    <x v="8"/>
    <x v="11"/>
    <x v="7"/>
    <s v="Freshwater"/>
    <x v="0"/>
    <x v="0"/>
    <s v="752"/>
    <s v="Hoko River"/>
    <s v="Hoko River"/>
    <s v="Clallam"/>
    <x v="3"/>
    <s v="Clallam"/>
    <s v="11Clallam"/>
    <s v="03Strait of Juan de Fuca"/>
    <n v="88"/>
    <n v="44"/>
    <n v="375.76"/>
  </r>
  <r>
    <n v="2051"/>
    <x v="8"/>
    <x v="0"/>
    <x v="8"/>
    <s v="Freshwater"/>
    <x v="0"/>
    <x v="0"/>
    <s v="9"/>
    <s v="Area 9: Admiralty Inlet"/>
    <s v="Area 9: Admiralty Inlet"/>
    <s v="NA"/>
    <x v="0"/>
    <s v="Island"/>
    <s v="04Island"/>
    <s v="01North Puget Sound"/>
    <n v="26.6666666666667"/>
    <n v="13.3333333333333"/>
    <n v="113.86666666666638"/>
  </r>
  <r>
    <n v="2052"/>
    <x v="8"/>
    <x v="0"/>
    <x v="8"/>
    <s v="Freshwater"/>
    <x v="0"/>
    <x v="0"/>
    <s v="9"/>
    <s v="Area 9: Admiralty Inlet"/>
    <s v="Area 9: Admiralty Inlet"/>
    <s v="NA"/>
    <x v="0"/>
    <s v="Snohomish"/>
    <s v="03Snohomish"/>
    <s v="01North Puget Sound"/>
    <n v="13.3333333333333"/>
    <n v="6.6666666666666696"/>
    <n v="56.933333333333351"/>
  </r>
  <r>
    <n v="2057"/>
    <x v="8"/>
    <x v="0"/>
    <x v="8"/>
    <s v="Freshwater"/>
    <x v="0"/>
    <x v="0"/>
    <s v="900"/>
    <s v="Other Lakes"/>
    <s v="Other Lakes"/>
    <s v="NA"/>
    <x v="5"/>
    <s v="Other"/>
    <s v="20Other"/>
    <s v="07Non Puget Sound"/>
    <n v="0"/>
    <n v="0"/>
    <n v="0"/>
  </r>
  <r>
    <n v="1986"/>
    <x v="8"/>
    <x v="0"/>
    <x v="8"/>
    <s v="Freshwater"/>
    <x v="0"/>
    <x v="0"/>
    <s v="830"/>
    <s v="Skagit River"/>
    <s v="Skagit River"/>
    <s v="Skagit/Whatcom"/>
    <x v="0"/>
    <s v="Skagit"/>
    <s v="02Skagit"/>
    <s v="01North Puget Sound"/>
    <n v="0"/>
    <n v="0"/>
    <n v="0"/>
  </r>
  <r>
    <n v="1987"/>
    <x v="8"/>
    <x v="0"/>
    <x v="8"/>
    <s v="Freshwater"/>
    <x v="0"/>
    <x v="0"/>
    <s v="830"/>
    <s v="Skagit River"/>
    <s v="Skagit River"/>
    <s v="Skagit/Whatcom"/>
    <x v="0"/>
    <s v="Snohomish"/>
    <s v="03Snohomish"/>
    <s v="01North Puget Sound"/>
    <n v="14"/>
    <n v="7"/>
    <n v="59.779999999999994"/>
  </r>
  <r>
    <n v="2053"/>
    <x v="8"/>
    <x v="1"/>
    <x v="8"/>
    <s v="Freshwater"/>
    <x v="0"/>
    <x v="0"/>
    <s v="9"/>
    <s v="Area 9: Admiralty Inlet"/>
    <s v="Area 9: Admiralty Inlet"/>
    <s v="NA"/>
    <x v="0"/>
    <s v="Island"/>
    <s v="04Island"/>
    <s v="01North Puget Sound"/>
    <n v="25.6"/>
    <n v="12.8"/>
    <n v="109.312"/>
  </r>
  <r>
    <n v="2054"/>
    <x v="8"/>
    <x v="1"/>
    <x v="8"/>
    <s v="Freshwater"/>
    <x v="0"/>
    <x v="0"/>
    <s v="9"/>
    <s v="Area 9: Admiralty Inlet"/>
    <s v="Area 9: Admiralty Inlet"/>
    <s v="NA"/>
    <x v="0"/>
    <s v="Snohomish"/>
    <s v="03Snohomish"/>
    <s v="01North Puget Sound"/>
    <n v="6.4"/>
    <n v="3.2"/>
    <n v="27.327999999999999"/>
  </r>
  <r>
    <n v="2055"/>
    <x v="8"/>
    <x v="2"/>
    <x v="8"/>
    <s v="Freshwater"/>
    <x v="0"/>
    <x v="0"/>
    <s v="9"/>
    <s v="Area 9: Admiralty Inlet"/>
    <s v="Area 9: Admiralty Inlet"/>
    <s v="NA"/>
    <x v="0"/>
    <s v="Snohomish"/>
    <s v="03Snohomish"/>
    <s v="01North Puget Sound"/>
    <n v="6"/>
    <n v="3"/>
    <n v="25.619999999999997"/>
  </r>
  <r>
    <n v="1991"/>
    <x v="8"/>
    <x v="2"/>
    <x v="8"/>
    <s v="Freshwater"/>
    <x v="0"/>
    <x v="0"/>
    <s v="844"/>
    <s v="Skykomish River"/>
    <s v="Skykomish River"/>
    <s v="Snohomish"/>
    <x v="0"/>
    <s v="Clallam"/>
    <s v="11Clallam"/>
    <s v="03Strait of Juan de Fuca"/>
    <n v="14.2344322344322"/>
    <n v="7.1172161172161204"/>
    <n v="60.781025641025664"/>
  </r>
  <r>
    <n v="1992"/>
    <x v="8"/>
    <x v="2"/>
    <x v="8"/>
    <s v="Freshwater"/>
    <x v="0"/>
    <x v="0"/>
    <s v="844"/>
    <s v="Skykomish River"/>
    <s v="Skykomish River"/>
    <s v="Snohomish"/>
    <x v="0"/>
    <s v="Island"/>
    <s v="04Island"/>
    <s v="01North Puget Sound"/>
    <n v="7.1172161172161204"/>
    <n v="3.5586080586080602"/>
    <n v="30.390512820512832"/>
  </r>
  <r>
    <n v="1993"/>
    <x v="8"/>
    <x v="2"/>
    <x v="8"/>
    <s v="Freshwater"/>
    <x v="0"/>
    <x v="0"/>
    <s v="844"/>
    <s v="Skykomish River"/>
    <s v="Skykomish River"/>
    <s v="Snohomish"/>
    <x v="0"/>
    <s v="King"/>
    <s v="06King"/>
    <s v="02South Puget Sound"/>
    <n v="1743.7179487179501"/>
    <n v="871.85897435897505"/>
    <n v="7445.6756410256457"/>
  </r>
  <r>
    <n v="1994"/>
    <x v="8"/>
    <x v="2"/>
    <x v="8"/>
    <s v="Freshwater"/>
    <x v="0"/>
    <x v="0"/>
    <s v="844"/>
    <s v="Skykomish River"/>
    <s v="Skykomish River"/>
    <s v="Snohomish"/>
    <x v="0"/>
    <s v="Kitsap"/>
    <s v="10Kitsap"/>
    <s v="02South Puget Sound"/>
    <n v="21.3516483516484"/>
    <n v="10.6758241758242"/>
    <n v="91.17153846153866"/>
  </r>
  <r>
    <n v="1995"/>
    <x v="8"/>
    <x v="2"/>
    <x v="8"/>
    <s v="Freshwater"/>
    <x v="0"/>
    <x v="0"/>
    <s v="844"/>
    <s v="Skykomish River"/>
    <s v="Skykomish River"/>
    <s v="Snohomish"/>
    <x v="0"/>
    <s v="Other"/>
    <s v="20Other"/>
    <s v="07Non Puget Sound"/>
    <n v="42.703296703296701"/>
    <n v="21.3516483516484"/>
    <n v="182.34307692307732"/>
  </r>
  <r>
    <n v="1996"/>
    <x v="8"/>
    <x v="2"/>
    <x v="8"/>
    <s v="Freshwater"/>
    <x v="0"/>
    <x v="0"/>
    <s v="844"/>
    <s v="Skykomish River"/>
    <s v="Skykomish River"/>
    <s v="Snohomish"/>
    <x v="0"/>
    <s v="Pierce"/>
    <s v="07Pierce"/>
    <s v="02South Puget Sound"/>
    <n v="199.28205128205099"/>
    <n v="99.641025641025706"/>
    <n v="850.9343589743595"/>
  </r>
  <r>
    <n v="1997"/>
    <x v="8"/>
    <x v="2"/>
    <x v="8"/>
    <s v="Freshwater"/>
    <x v="0"/>
    <x v="0"/>
    <s v="844"/>
    <s v="Skykomish River"/>
    <s v="Skykomish River"/>
    <s v="Snohomish"/>
    <x v="0"/>
    <s v="Skagit"/>
    <s v="02Skagit"/>
    <s v="01North Puget Sound"/>
    <n v="99.641025641025706"/>
    <n v="49.820512820512803"/>
    <n v="425.46717948717929"/>
  </r>
  <r>
    <n v="1998"/>
    <x v="8"/>
    <x v="2"/>
    <x v="8"/>
    <s v="Freshwater"/>
    <x v="0"/>
    <x v="0"/>
    <s v="844"/>
    <s v="Skykomish River"/>
    <s v="Skykomish River"/>
    <s v="Snohomish"/>
    <x v="0"/>
    <s v="Snohomish"/>
    <s v="03Snohomish"/>
    <s v="01North Puget Sound"/>
    <n v="1757.9523809523801"/>
    <n v="878.97619047619105"/>
    <n v="7506.4566666666706"/>
  </r>
  <r>
    <n v="2019"/>
    <x v="8"/>
    <x v="2"/>
    <x v="8"/>
    <s v="Freshwater"/>
    <x v="0"/>
    <x v="0"/>
    <s v="846"/>
    <s v="Skykomish River, No. Fork"/>
    <s v="Skykomish River, No. Fork"/>
    <s v="Snohomish"/>
    <x v="0"/>
    <s v="King"/>
    <s v="06King"/>
    <s v="02South Puget Sound"/>
    <n v="84.923076923077005"/>
    <n v="42.461538461538503"/>
    <n v="362.62153846153876"/>
  </r>
  <r>
    <n v="2020"/>
    <x v="8"/>
    <x v="2"/>
    <x v="8"/>
    <s v="Freshwater"/>
    <x v="0"/>
    <x v="0"/>
    <s v="846"/>
    <s v="Skykomish River, No. Fork"/>
    <s v="Skykomish River, No. Fork"/>
    <s v="Snohomish"/>
    <x v="0"/>
    <s v="Snohomish"/>
    <s v="03Snohomish"/>
    <s v="01North Puget Sound"/>
    <n v="7.0769230769230802"/>
    <n v="3.5384615384615401"/>
    <n v="30.21846153846155"/>
  </r>
  <r>
    <n v="2024"/>
    <x v="8"/>
    <x v="2"/>
    <x v="8"/>
    <s v="Freshwater"/>
    <x v="0"/>
    <x v="0"/>
    <s v="848"/>
    <s v="Skykomish River, So. Fork"/>
    <s v="Skykomish River, So. Fork"/>
    <s v="Snohomish/King"/>
    <x v="0"/>
    <s v="Pierce"/>
    <s v="07Pierce"/>
    <s v="02South Puget Sound"/>
    <n v="8"/>
    <n v="4"/>
    <n v="34.159999999999997"/>
  </r>
  <r>
    <n v="2026"/>
    <x v="8"/>
    <x v="2"/>
    <x v="8"/>
    <s v="Freshwater"/>
    <x v="0"/>
    <x v="0"/>
    <s v="850"/>
    <s v="Snohomish River"/>
    <s v="Snohomish River"/>
    <s v="Snohomish"/>
    <x v="0"/>
    <s v="Snohomish"/>
    <s v="03Snohomish"/>
    <s v="01North Puget Sound"/>
    <n v="64"/>
    <n v="32"/>
    <n v="273.27999999999997"/>
  </r>
  <r>
    <n v="2056"/>
    <x v="8"/>
    <x v="3"/>
    <x v="8"/>
    <s v="Freshwater"/>
    <x v="0"/>
    <x v="0"/>
    <s v="9"/>
    <s v="Area 9: Admiralty Inlet"/>
    <s v="Area 9: Admiralty Inlet"/>
    <s v="NA"/>
    <x v="0"/>
    <s v="Island"/>
    <s v="04Island"/>
    <s v="01North Puget Sound"/>
    <n v="6"/>
    <n v="3"/>
    <n v="25.619999999999997"/>
  </r>
  <r>
    <n v="2045"/>
    <x v="8"/>
    <x v="3"/>
    <x v="8"/>
    <s v="Freshwater"/>
    <x v="0"/>
    <x v="0"/>
    <s v="866"/>
    <s v="Canyon Creek"/>
    <s v="Canyon Creek"/>
    <s v="Snohomish"/>
    <x v="0"/>
    <s v="King"/>
    <s v="06King"/>
    <s v="02South Puget Sound"/>
    <n v="6"/>
    <n v="3"/>
    <n v="25.619999999999997"/>
  </r>
  <r>
    <n v="1968"/>
    <x v="8"/>
    <x v="3"/>
    <x v="8"/>
    <s v="Freshwater"/>
    <x v="0"/>
    <x v="0"/>
    <s v="746"/>
    <s v="Green (Duwamish River) (King Co.)"/>
    <s v="Green - Duwamish River"/>
    <s v="King"/>
    <x v="2"/>
    <s v="Pierce"/>
    <s v="07Pierce"/>
    <s v="02South Puget Sound"/>
    <n v="6"/>
    <n v="3"/>
    <n v="25.619999999999997"/>
  </r>
  <r>
    <n v="1999"/>
    <x v="8"/>
    <x v="3"/>
    <x v="8"/>
    <s v="Freshwater"/>
    <x v="0"/>
    <x v="0"/>
    <s v="844"/>
    <s v="Skykomish River"/>
    <s v="Skykomish River"/>
    <s v="Snohomish"/>
    <x v="0"/>
    <s v="King"/>
    <s v="06King"/>
    <s v="02South Puget Sound"/>
    <n v="292.02040816326502"/>
    <n v="146.01020408163299"/>
    <n v="1246.9271428571456"/>
  </r>
  <r>
    <n v="2000"/>
    <x v="8"/>
    <x v="3"/>
    <x v="8"/>
    <s v="Freshwater"/>
    <x v="0"/>
    <x v="0"/>
    <s v="844"/>
    <s v="Skykomish River"/>
    <s v="Skykomish River"/>
    <s v="Snohomish"/>
    <x v="0"/>
    <s v="Kitsap"/>
    <s v="10Kitsap"/>
    <s v="02South Puget Sound"/>
    <n v="7.12244897959184"/>
    <n v="3.56122448979592"/>
    <n v="30.412857142857153"/>
  </r>
  <r>
    <n v="2001"/>
    <x v="8"/>
    <x v="3"/>
    <x v="8"/>
    <s v="Freshwater"/>
    <x v="0"/>
    <x v="0"/>
    <s v="844"/>
    <s v="Skykomish River"/>
    <s v="Skykomish River"/>
    <s v="Snohomish"/>
    <x v="0"/>
    <s v="Other"/>
    <s v="20Other"/>
    <s v="07Non Puget Sound"/>
    <n v="7.12244897959184"/>
    <n v="3.56122448979592"/>
    <n v="30.412857142857153"/>
  </r>
  <r>
    <n v="2002"/>
    <x v="8"/>
    <x v="3"/>
    <x v="8"/>
    <s v="Freshwater"/>
    <x v="0"/>
    <x v="0"/>
    <s v="844"/>
    <s v="Skykomish River"/>
    <s v="Skykomish River"/>
    <s v="Snohomish"/>
    <x v="0"/>
    <s v="Pierce"/>
    <s v="07Pierce"/>
    <s v="02South Puget Sound"/>
    <n v="28.489795918367399"/>
    <n v="14.244897959183699"/>
    <n v="121.65142857142878"/>
  </r>
  <r>
    <n v="2003"/>
    <x v="8"/>
    <x v="3"/>
    <x v="8"/>
    <s v="Freshwater"/>
    <x v="0"/>
    <x v="0"/>
    <s v="844"/>
    <s v="Skykomish River"/>
    <s v="Skykomish River"/>
    <s v="Snohomish"/>
    <x v="0"/>
    <s v="Skagit"/>
    <s v="02Skagit"/>
    <s v="01North Puget Sound"/>
    <n v="7.12244897959184"/>
    <n v="3.56122448979592"/>
    <n v="30.412857142857153"/>
  </r>
  <r>
    <n v="2004"/>
    <x v="8"/>
    <x v="3"/>
    <x v="8"/>
    <s v="Freshwater"/>
    <x v="0"/>
    <x v="0"/>
    <s v="844"/>
    <s v="Skykomish River"/>
    <s v="Skykomish River"/>
    <s v="Snohomish"/>
    <x v="0"/>
    <s v="Snohomish"/>
    <s v="03Snohomish"/>
    <s v="01North Puget Sound"/>
    <n v="356.12244897959198"/>
    <n v="178.06122448979599"/>
    <n v="1520.6428571428576"/>
  </r>
  <r>
    <n v="2021"/>
    <x v="8"/>
    <x v="3"/>
    <x v="8"/>
    <s v="Freshwater"/>
    <x v="0"/>
    <x v="0"/>
    <s v="846"/>
    <s v="Skykomish River, No. Fork"/>
    <s v="Skykomish River, No. Fork"/>
    <s v="Snohomish"/>
    <x v="0"/>
    <s v="King"/>
    <s v="06King"/>
    <s v="02South Puget Sound"/>
    <n v="56"/>
    <n v="28"/>
    <n v="239.11999999999998"/>
  </r>
  <r>
    <n v="2027"/>
    <x v="8"/>
    <x v="3"/>
    <x v="8"/>
    <s v="Freshwater"/>
    <x v="0"/>
    <x v="0"/>
    <s v="850"/>
    <s v="Snohomish River"/>
    <s v="Snohomish River"/>
    <s v="Snohomish"/>
    <x v="0"/>
    <s v="Snohomish"/>
    <s v="03Snohomish"/>
    <s v="01North Puget Sound"/>
    <n v="36"/>
    <n v="18"/>
    <n v="153.71999999999997"/>
  </r>
  <r>
    <n v="1983"/>
    <x v="8"/>
    <x v="4"/>
    <x v="8"/>
    <s v="Freshwater"/>
    <x v="0"/>
    <x v="0"/>
    <s v="828"/>
    <s v="Sauk River"/>
    <s v="Sauk River"/>
    <s v="Skagit/Snohomish"/>
    <x v="0"/>
    <s v="Whatcom"/>
    <s v="01Whatcom"/>
    <s v="01North Puget Sound"/>
    <n v="12"/>
    <n v="6"/>
    <n v="51.239999999999995"/>
  </r>
  <r>
    <n v="2005"/>
    <x v="8"/>
    <x v="4"/>
    <x v="8"/>
    <s v="Freshwater"/>
    <x v="0"/>
    <x v="0"/>
    <s v="844"/>
    <s v="Skykomish River"/>
    <s v="Skykomish River"/>
    <s v="Snohomish"/>
    <x v="0"/>
    <s v="King"/>
    <s v="06King"/>
    <s v="02South Puget Sound"/>
    <n v="28.8"/>
    <n v="14.4"/>
    <n v="122.97599999999998"/>
  </r>
  <r>
    <n v="2006"/>
    <x v="8"/>
    <x v="4"/>
    <x v="8"/>
    <s v="Freshwater"/>
    <x v="0"/>
    <x v="0"/>
    <s v="844"/>
    <s v="Skykomish River"/>
    <s v="Skykomish River"/>
    <s v="Snohomish"/>
    <x v="0"/>
    <s v="Snohomish"/>
    <s v="03Snohomish"/>
    <s v="01North Puget Sound"/>
    <n v="43.2"/>
    <n v="21.6"/>
    <n v="184.464"/>
  </r>
  <r>
    <n v="2022"/>
    <x v="8"/>
    <x v="4"/>
    <x v="8"/>
    <s v="Freshwater"/>
    <x v="0"/>
    <x v="0"/>
    <s v="846"/>
    <s v="Skykomish River, No. Fork"/>
    <s v="Skykomish River, No. Fork"/>
    <s v="Snohomish"/>
    <x v="0"/>
    <s v="King"/>
    <s v="06King"/>
    <s v="02South Puget Sound"/>
    <n v="8"/>
    <n v="4"/>
    <n v="34.159999999999997"/>
  </r>
  <r>
    <n v="2025"/>
    <x v="8"/>
    <x v="4"/>
    <x v="8"/>
    <s v="Freshwater"/>
    <x v="0"/>
    <x v="0"/>
    <s v="848"/>
    <s v="Skykomish River, So. Fork"/>
    <s v="Skykomish River, So. Fork"/>
    <s v="Snohomish/King"/>
    <x v="0"/>
    <s v="King"/>
    <s v="06King"/>
    <s v="02South Puget Sound"/>
    <n v="14"/>
    <n v="7"/>
    <n v="59.779999999999994"/>
  </r>
  <r>
    <n v="1984"/>
    <x v="8"/>
    <x v="5"/>
    <x v="8"/>
    <s v="Freshwater"/>
    <x v="0"/>
    <x v="0"/>
    <s v="828"/>
    <s v="Sauk River"/>
    <s v="Sauk River"/>
    <s v="Skagit/Snohomish"/>
    <x v="0"/>
    <s v="Whatcom"/>
    <s v="01Whatcom"/>
    <s v="01North Puget Sound"/>
    <n v="6"/>
    <n v="3"/>
    <n v="25.619999999999997"/>
  </r>
  <r>
    <n v="2007"/>
    <x v="8"/>
    <x v="5"/>
    <x v="8"/>
    <s v="Freshwater"/>
    <x v="0"/>
    <x v="0"/>
    <s v="844"/>
    <s v="Skykomish River"/>
    <s v="Skykomish River"/>
    <s v="Snohomish"/>
    <x v="0"/>
    <s v="King"/>
    <s v="06King"/>
    <s v="02South Puget Sound"/>
    <n v="85.714285714285694"/>
    <n v="42.857142857142897"/>
    <n v="366.00000000000028"/>
  </r>
  <r>
    <n v="2008"/>
    <x v="8"/>
    <x v="5"/>
    <x v="8"/>
    <s v="Freshwater"/>
    <x v="0"/>
    <x v="0"/>
    <s v="844"/>
    <s v="Skykomish River"/>
    <s v="Skykomish River"/>
    <s v="Snohomish"/>
    <x v="0"/>
    <s v="Snohomish"/>
    <s v="03Snohomish"/>
    <s v="01North Puget Sound"/>
    <n v="64.285714285714306"/>
    <n v="32.142857142857103"/>
    <n v="274.49999999999966"/>
  </r>
  <r>
    <n v="2038"/>
    <x v="8"/>
    <x v="5"/>
    <x v="8"/>
    <s v="Freshwater"/>
    <x v="0"/>
    <x v="0"/>
    <s v="860"/>
    <s v="Wallace River"/>
    <s v="Wallace River"/>
    <s v="Snohomish"/>
    <x v="0"/>
    <s v="King"/>
    <s v="06King"/>
    <s v="02South Puget Sound"/>
    <n v="21"/>
    <n v="10.5"/>
    <n v="89.669999999999987"/>
  </r>
  <r>
    <n v="2039"/>
    <x v="8"/>
    <x v="5"/>
    <x v="8"/>
    <s v="Freshwater"/>
    <x v="0"/>
    <x v="0"/>
    <s v="860"/>
    <s v="Wallace River"/>
    <s v="Wallace River"/>
    <s v="Snohomish"/>
    <x v="0"/>
    <s v="Snohomish"/>
    <s v="03Snohomish"/>
    <s v="01North Puget Sound"/>
    <n v="7"/>
    <n v="3.5"/>
    <n v="29.889999999999997"/>
  </r>
  <r>
    <n v="1964"/>
    <x v="8"/>
    <x v="6"/>
    <x v="8"/>
    <s v="Freshwater"/>
    <x v="0"/>
    <x v="0"/>
    <s v="738"/>
    <s v="Dungeness River"/>
    <s v="Dungeness River"/>
    <s v="Clallam"/>
    <x v="3"/>
    <s v="Kitsap"/>
    <s v="10Kitsap"/>
    <s v="02South Puget Sound"/>
    <n v="6"/>
    <n v="3"/>
    <n v="25.619999999999997"/>
  </r>
  <r>
    <n v="1988"/>
    <x v="8"/>
    <x v="6"/>
    <x v="8"/>
    <s v="Freshwater"/>
    <x v="0"/>
    <x v="0"/>
    <s v="830"/>
    <s v="Skagit River"/>
    <s v="Skagit River"/>
    <s v="Skagit/Whatcom"/>
    <x v="0"/>
    <s v="King"/>
    <s v="06King"/>
    <s v="02South Puget Sound"/>
    <n v="6"/>
    <n v="3"/>
    <n v="25.619999999999997"/>
  </r>
  <r>
    <n v="1989"/>
    <x v="8"/>
    <x v="6"/>
    <x v="8"/>
    <s v="Freshwater"/>
    <x v="0"/>
    <x v="0"/>
    <s v="830"/>
    <s v="Skagit River"/>
    <s v="Skagit River"/>
    <s v="Skagit/Whatcom"/>
    <x v="0"/>
    <s v="Skagit"/>
    <s v="02Skagit"/>
    <s v="01North Puget Sound"/>
    <n v="6"/>
    <n v="3"/>
    <n v="25.619999999999997"/>
  </r>
  <r>
    <n v="2009"/>
    <x v="8"/>
    <x v="6"/>
    <x v="8"/>
    <s v="Freshwater"/>
    <x v="0"/>
    <x v="0"/>
    <s v="844"/>
    <s v="Skykomish River"/>
    <s v="Skykomish River"/>
    <s v="Snohomish"/>
    <x v="0"/>
    <s v="King"/>
    <s v="06King"/>
    <s v="02South Puget Sound"/>
    <n v="28.363636363636399"/>
    <n v="14.181818181818199"/>
    <n v="121.11272727272741"/>
  </r>
  <r>
    <n v="2010"/>
    <x v="8"/>
    <x v="6"/>
    <x v="8"/>
    <s v="Freshwater"/>
    <x v="0"/>
    <x v="0"/>
    <s v="844"/>
    <s v="Skykomish River"/>
    <s v="Skykomish River"/>
    <s v="Snohomish"/>
    <x v="0"/>
    <s v="Pierce"/>
    <s v="07Pierce"/>
    <s v="02South Puget Sound"/>
    <n v="7.0909090909090899"/>
    <n v="3.5454545454545499"/>
    <n v="30.278181818181853"/>
  </r>
  <r>
    <n v="2011"/>
    <x v="8"/>
    <x v="6"/>
    <x v="8"/>
    <s v="Freshwater"/>
    <x v="0"/>
    <x v="0"/>
    <s v="844"/>
    <s v="Skykomish River"/>
    <s v="Skykomish River"/>
    <s v="Snohomish"/>
    <x v="0"/>
    <s v="Snohomish"/>
    <s v="03Snohomish"/>
    <s v="01North Puget Sound"/>
    <n v="120.545454545455"/>
    <n v="60.272727272727302"/>
    <n v="514.72909090909116"/>
  </r>
  <r>
    <n v="2028"/>
    <x v="8"/>
    <x v="6"/>
    <x v="8"/>
    <s v="Freshwater"/>
    <x v="0"/>
    <x v="0"/>
    <s v="850"/>
    <s v="Snohomish River"/>
    <s v="Snohomish River"/>
    <s v="Snohomish"/>
    <x v="0"/>
    <s v="Snohomish"/>
    <s v="03Snohomish"/>
    <s v="01North Puget Sound"/>
    <n v="22"/>
    <n v="11"/>
    <n v="93.94"/>
  </r>
  <r>
    <n v="2040"/>
    <x v="8"/>
    <x v="6"/>
    <x v="8"/>
    <s v="Freshwater"/>
    <x v="0"/>
    <x v="0"/>
    <s v="860"/>
    <s v="Wallace River"/>
    <s v="Wallace River"/>
    <s v="Snohomish"/>
    <x v="0"/>
    <s v="Snohomish"/>
    <s v="03Snohomish"/>
    <s v="01North Puget Sound"/>
    <n v="8"/>
    <n v="4"/>
    <n v="34.159999999999997"/>
  </r>
  <r>
    <n v="1982"/>
    <x v="8"/>
    <x v="7"/>
    <x v="8"/>
    <s v="Freshwater"/>
    <x v="0"/>
    <x v="0"/>
    <s v="826"/>
    <s v="Cascade River"/>
    <s v="Cascade River"/>
    <s v="Skagit"/>
    <x v="1"/>
    <s v="King"/>
    <s v="06King"/>
    <s v="02South Puget Sound"/>
    <n v="14"/>
    <n v="7"/>
    <n v="59.779999999999994"/>
  </r>
  <r>
    <n v="1965"/>
    <x v="8"/>
    <x v="7"/>
    <x v="8"/>
    <s v="Freshwater"/>
    <x v="0"/>
    <x v="0"/>
    <s v="738"/>
    <s v="Dungeness River"/>
    <s v="Dungeness River"/>
    <s v="Clallam"/>
    <x v="3"/>
    <s v="Clallam"/>
    <s v="11Clallam"/>
    <s v="03Strait of Juan de Fuca"/>
    <n v="40"/>
    <n v="20"/>
    <n v="170.79999999999998"/>
  </r>
  <r>
    <n v="1969"/>
    <x v="8"/>
    <x v="7"/>
    <x v="8"/>
    <s v="Freshwater"/>
    <x v="0"/>
    <x v="0"/>
    <s v="746"/>
    <s v="Green (Duwamish River) (King Co.)"/>
    <s v="Green - Duwamish River"/>
    <s v="King"/>
    <x v="2"/>
    <s v="Pierce"/>
    <s v="07Pierce"/>
    <s v="02South Puget Sound"/>
    <n v="14"/>
    <n v="1"/>
    <n v="8.5399999999999991"/>
  </r>
  <r>
    <n v="1978"/>
    <x v="8"/>
    <x v="7"/>
    <x v="8"/>
    <s v="Freshwater"/>
    <x v="0"/>
    <x v="0"/>
    <s v="794"/>
    <s v="Nooksack River, below North Fork"/>
    <s v="Nooksack River, below North Fork"/>
    <s v="Whatcom"/>
    <x v="1"/>
    <s v="Whatcom"/>
    <s v="01Whatcom"/>
    <s v="01North Puget Sound"/>
    <n v="14"/>
    <n v="7"/>
    <n v="59.779999999999994"/>
  </r>
  <r>
    <n v="1976"/>
    <x v="8"/>
    <x v="7"/>
    <x v="8"/>
    <s v="Freshwater"/>
    <x v="0"/>
    <x v="0"/>
    <s v="790"/>
    <s v="Nooksack River, No. Fork"/>
    <s v="Nooksack River, No. Fork"/>
    <s v="Whatcom"/>
    <x v="1"/>
    <s v="Island"/>
    <s v="04Island"/>
    <s v="01North Puget Sound"/>
    <n v="14"/>
    <n v="7"/>
    <n v="59.779999999999994"/>
  </r>
  <r>
    <n v="2012"/>
    <x v="8"/>
    <x v="7"/>
    <x v="8"/>
    <s v="Freshwater"/>
    <x v="0"/>
    <x v="0"/>
    <s v="844"/>
    <s v="Skykomish River"/>
    <s v="Skykomish River"/>
    <s v="Snohomish"/>
    <x v="0"/>
    <s v="King"/>
    <s v="06King"/>
    <s v="02South Puget Sound"/>
    <n v="35.200000000000003"/>
    <n v="17.600000000000001"/>
    <n v="150.304"/>
  </r>
  <r>
    <n v="2013"/>
    <x v="8"/>
    <x v="7"/>
    <x v="8"/>
    <s v="Freshwater"/>
    <x v="0"/>
    <x v="0"/>
    <s v="844"/>
    <s v="Skykomish River"/>
    <s v="Skykomish River"/>
    <s v="Snohomish"/>
    <x v="0"/>
    <s v="Snohomish"/>
    <s v="03Snohomish"/>
    <s v="01North Puget Sound"/>
    <n v="52.8"/>
    <n v="26.4"/>
    <n v="225.45599999999996"/>
  </r>
  <r>
    <n v="2029"/>
    <x v="8"/>
    <x v="7"/>
    <x v="8"/>
    <s v="Freshwater"/>
    <x v="0"/>
    <x v="0"/>
    <s v="850"/>
    <s v="Snohomish River"/>
    <s v="Snohomish River"/>
    <s v="Snohomish"/>
    <x v="0"/>
    <s v="Snohomish"/>
    <s v="03Snohomish"/>
    <s v="01North Puget Sound"/>
    <n v="6"/>
    <n v="3"/>
    <n v="25.619999999999997"/>
  </r>
  <r>
    <n v="2032"/>
    <x v="8"/>
    <x v="7"/>
    <x v="8"/>
    <s v="Freshwater"/>
    <x v="0"/>
    <x v="0"/>
    <s v="852"/>
    <s v="Snoqualmie River"/>
    <s v="Snoqualmie River"/>
    <s v="Snohomish/King"/>
    <x v="0"/>
    <s v="King"/>
    <s v="06King"/>
    <s v="02South Puget Sound"/>
    <n v="6"/>
    <n v="3"/>
    <n v="25.619999999999997"/>
  </r>
  <r>
    <n v="2048"/>
    <x v="8"/>
    <x v="7"/>
    <x v="8"/>
    <s v="Freshwater"/>
    <x v="0"/>
    <x v="0"/>
    <s v="872"/>
    <s v="Stillaguamish R, No. Fork"/>
    <s v="Stillaguamish R, No. Fork"/>
    <s v="Snohomish"/>
    <x v="0"/>
    <s v="Snohomish"/>
    <s v="03Snohomish"/>
    <s v="01North Puget Sound"/>
    <n v="40"/>
    <n v="20"/>
    <n v="170.79999999999998"/>
  </r>
  <r>
    <n v="2036"/>
    <x v="8"/>
    <x v="7"/>
    <x v="8"/>
    <s v="Freshwater"/>
    <x v="0"/>
    <x v="0"/>
    <s v="856"/>
    <s v="Tokul Creek"/>
    <s v="Tokul Creek"/>
    <s v="King"/>
    <x v="0"/>
    <s v="Snohomish"/>
    <s v="03Snohomish"/>
    <s v="01North Puget Sound"/>
    <n v="6"/>
    <n v="3"/>
    <n v="25.619999999999997"/>
  </r>
  <r>
    <n v="2041"/>
    <x v="8"/>
    <x v="7"/>
    <x v="8"/>
    <s v="Freshwater"/>
    <x v="0"/>
    <x v="0"/>
    <s v="860"/>
    <s v="Wallace River"/>
    <s v="Wallace River"/>
    <s v="Snohomish"/>
    <x v="0"/>
    <s v="King"/>
    <s v="06King"/>
    <s v="02South Puget Sound"/>
    <n v="18"/>
    <n v="9"/>
    <n v="76.859999999999985"/>
  </r>
  <r>
    <n v="2046"/>
    <x v="8"/>
    <x v="8"/>
    <x v="8"/>
    <s v="Freshwater"/>
    <x v="0"/>
    <x v="0"/>
    <s v="866"/>
    <s v="Canyon Creek"/>
    <s v="Canyon Creek"/>
    <s v="Snohomish"/>
    <x v="0"/>
    <s v="Snohomish"/>
    <s v="03Snohomish"/>
    <s v="01North Puget Sound"/>
    <n v="14"/>
    <n v="7"/>
    <n v="59.779999999999994"/>
  </r>
  <r>
    <n v="1966"/>
    <x v="8"/>
    <x v="8"/>
    <x v="8"/>
    <s v="Freshwater"/>
    <x v="0"/>
    <x v="0"/>
    <s v="738"/>
    <s v="Dungeness River"/>
    <s v="Dungeness River"/>
    <s v="Clallam"/>
    <x v="3"/>
    <s v="Clallam"/>
    <s v="11Clallam"/>
    <s v="03Strait of Juan de Fuca"/>
    <n v="14"/>
    <n v="7"/>
    <n v="59.779999999999994"/>
  </r>
  <r>
    <n v="1970"/>
    <x v="8"/>
    <x v="8"/>
    <x v="8"/>
    <s v="Freshwater"/>
    <x v="0"/>
    <x v="0"/>
    <s v="746"/>
    <s v="Green (Duwamish River) (King Co.)"/>
    <s v="Green - Duwamish River"/>
    <s v="King"/>
    <x v="2"/>
    <s v="Snohomish"/>
    <s v="03Snohomish"/>
    <s v="01North Puget Sound"/>
    <n v="14"/>
    <n v="1"/>
    <n v="8.5399999999999991"/>
  </r>
  <r>
    <n v="1971"/>
    <x v="8"/>
    <x v="8"/>
    <x v="8"/>
    <s v="Freshwater"/>
    <x v="0"/>
    <x v="0"/>
    <s v="752"/>
    <s v="Hoko River"/>
    <s v="Hoko River"/>
    <s v="Clallam"/>
    <x v="3"/>
    <s v="Other"/>
    <s v="20Other"/>
    <s v="07Non Puget Sound"/>
    <n v="14"/>
    <n v="7"/>
    <n v="59.779999999999994"/>
  </r>
  <r>
    <n v="1975"/>
    <x v="8"/>
    <x v="8"/>
    <x v="8"/>
    <s v="Freshwater"/>
    <x v="0"/>
    <x v="0"/>
    <s v="768"/>
    <s v="Lyre River"/>
    <s v="Lyre River"/>
    <s v="Clallam"/>
    <x v="3"/>
    <s v="Mason"/>
    <s v="09Mason"/>
    <s v="02South Puget Sound"/>
    <n v="14"/>
    <n v="7"/>
    <n v="59.779999999999994"/>
  </r>
  <r>
    <n v="2047"/>
    <x v="8"/>
    <x v="8"/>
    <x v="8"/>
    <s v="Freshwater"/>
    <x v="0"/>
    <x v="0"/>
    <s v="870"/>
    <s v="Pilchuck Creek (Stillaguamish System)"/>
    <s v="Pilchuck Creek (Stillaguamish System)"/>
    <s v="Skagit/Snohomish"/>
    <x v="0"/>
    <s v="Snohomish"/>
    <s v="03Snohomish"/>
    <s v="01North Puget Sound"/>
    <n v="40"/>
    <n v="20"/>
    <n v="170.79999999999998"/>
  </r>
  <r>
    <n v="1980"/>
    <x v="8"/>
    <x v="8"/>
    <x v="8"/>
    <s v="Freshwater"/>
    <x v="0"/>
    <x v="0"/>
    <s v="804"/>
    <s v="Puyallup River"/>
    <s v="Puyallup River"/>
    <s v="Pierce"/>
    <x v="2"/>
    <s v="Pierce"/>
    <s v="07Pierce"/>
    <s v="02South Puget Sound"/>
    <n v="68"/>
    <n v="0"/>
    <n v="0"/>
  </r>
  <r>
    <n v="1981"/>
    <x v="8"/>
    <x v="8"/>
    <x v="8"/>
    <s v="Freshwater"/>
    <x v="0"/>
    <x v="0"/>
    <s v="818"/>
    <s v="Sekiu River"/>
    <s v="Sekiu River"/>
    <s v="Clallam"/>
    <x v="3"/>
    <s v="Clallam"/>
    <s v="11Clallam"/>
    <s v="03Strait of Juan de Fuca"/>
    <n v="14"/>
    <n v="7"/>
    <n v="59.779999999999994"/>
  </r>
  <r>
    <n v="2014"/>
    <x v="8"/>
    <x v="8"/>
    <x v="8"/>
    <s v="Freshwater"/>
    <x v="0"/>
    <x v="0"/>
    <s v="844"/>
    <s v="Skykomish River"/>
    <s v="Skykomish River"/>
    <s v="Snohomish"/>
    <x v="0"/>
    <s v="King"/>
    <s v="06King"/>
    <s v="02South Puget Sound"/>
    <n v="93"/>
    <n v="46.5"/>
    <n v="397.10999999999996"/>
  </r>
  <r>
    <n v="2015"/>
    <x v="8"/>
    <x v="8"/>
    <x v="8"/>
    <s v="Freshwater"/>
    <x v="0"/>
    <x v="0"/>
    <s v="844"/>
    <s v="Skykomish River"/>
    <s v="Skykomish River"/>
    <s v="Snohomish"/>
    <x v="0"/>
    <s v="Snohomish"/>
    <s v="03Snohomish"/>
    <s v="01North Puget Sound"/>
    <n v="93"/>
    <n v="46.5"/>
    <n v="397.10999999999996"/>
  </r>
  <r>
    <n v="2023"/>
    <x v="8"/>
    <x v="8"/>
    <x v="8"/>
    <s v="Freshwater"/>
    <x v="0"/>
    <x v="0"/>
    <s v="846"/>
    <s v="Skykomish River, No. Fork"/>
    <s v="Skykomish River, No. Fork"/>
    <s v="Snohomish"/>
    <x v="0"/>
    <s v="King"/>
    <s v="06King"/>
    <s v="02South Puget Sound"/>
    <n v="6"/>
    <n v="3"/>
    <n v="25.619999999999997"/>
  </r>
  <r>
    <n v="2030"/>
    <x v="8"/>
    <x v="8"/>
    <x v="8"/>
    <s v="Freshwater"/>
    <x v="0"/>
    <x v="0"/>
    <s v="850"/>
    <s v="Snohomish River"/>
    <s v="Snohomish River"/>
    <s v="Snohomish"/>
    <x v="0"/>
    <s v="Snohomish"/>
    <s v="03Snohomish"/>
    <s v="01North Puget Sound"/>
    <n v="18"/>
    <n v="9"/>
    <n v="76.859999999999985"/>
  </r>
  <r>
    <n v="2033"/>
    <x v="8"/>
    <x v="8"/>
    <x v="8"/>
    <s v="Freshwater"/>
    <x v="0"/>
    <x v="0"/>
    <s v="852"/>
    <s v="Snoqualmie River"/>
    <s v="Snoqualmie River"/>
    <s v="Snohomish/King"/>
    <x v="0"/>
    <s v="King"/>
    <s v="06King"/>
    <s v="02South Puget Sound"/>
    <n v="58.181818181818201"/>
    <n v="29.090909090909101"/>
    <n v="248.43636363636369"/>
  </r>
  <r>
    <n v="2034"/>
    <x v="8"/>
    <x v="8"/>
    <x v="8"/>
    <s v="Freshwater"/>
    <x v="0"/>
    <x v="0"/>
    <s v="852"/>
    <s v="Snoqualmie River"/>
    <s v="Snoqualmie River"/>
    <s v="Snohomish/King"/>
    <x v="0"/>
    <s v="Pierce"/>
    <s v="07Pierce"/>
    <s v="02South Puget Sound"/>
    <n v="5.8181818181818201"/>
    <n v="2.9090909090909101"/>
    <n v="24.843636363636371"/>
  </r>
  <r>
    <n v="2049"/>
    <x v="8"/>
    <x v="8"/>
    <x v="8"/>
    <s v="Freshwater"/>
    <x v="0"/>
    <x v="0"/>
    <s v="872"/>
    <s v="Stillaguamish R, No. Fork"/>
    <s v="Stillaguamish R, No. Fork"/>
    <s v="Snohomish"/>
    <x v="0"/>
    <s v="Snohomish"/>
    <s v="03Snohomish"/>
    <s v="01North Puget Sound"/>
    <n v="40"/>
    <n v="20"/>
    <n v="170.79999999999998"/>
  </r>
  <r>
    <n v="2042"/>
    <x v="8"/>
    <x v="8"/>
    <x v="8"/>
    <s v="Freshwater"/>
    <x v="0"/>
    <x v="0"/>
    <s v="860"/>
    <s v="Wallace River"/>
    <s v="Wallace River"/>
    <s v="Snohomish"/>
    <x v="0"/>
    <s v="Snohomish"/>
    <s v="03Snohomish"/>
    <s v="01North Puget Sound"/>
    <n v="18"/>
    <n v="9"/>
    <n v="76.859999999999985"/>
  </r>
  <r>
    <n v="1967"/>
    <x v="9"/>
    <x v="9"/>
    <x v="8"/>
    <s v="Freshwater"/>
    <x v="0"/>
    <x v="0"/>
    <s v="738"/>
    <s v="Dungeness River"/>
    <s v="Dungeness River"/>
    <s v="Clallam"/>
    <x v="3"/>
    <s v="Clallam"/>
    <s v="11Clallam"/>
    <s v="03Strait of Juan de Fuca"/>
    <n v="14"/>
    <n v="7"/>
    <n v="129.85"/>
  </r>
  <r>
    <n v="1972"/>
    <x v="9"/>
    <x v="9"/>
    <x v="8"/>
    <s v="Freshwater"/>
    <x v="0"/>
    <x v="0"/>
    <s v="752"/>
    <s v="Hoko River"/>
    <s v="Hoko River"/>
    <s v="Clallam"/>
    <x v="3"/>
    <s v="Clallam"/>
    <s v="11Clallam"/>
    <s v="03Strait of Juan de Fuca"/>
    <n v="28"/>
    <n v="14"/>
    <n v="259.7"/>
  </r>
  <r>
    <n v="1979"/>
    <x v="9"/>
    <x v="9"/>
    <x v="8"/>
    <s v="Freshwater"/>
    <x v="0"/>
    <x v="0"/>
    <s v="794"/>
    <s v="Nooksack River, below North Fork"/>
    <s v="Nooksack River, below North Fork"/>
    <s v="Whatcom"/>
    <x v="1"/>
    <s v="Whatcom"/>
    <s v="01Whatcom"/>
    <s v="01North Puget Sound"/>
    <n v="40"/>
    <n v="20"/>
    <n v="371"/>
  </r>
  <r>
    <n v="1990"/>
    <x v="9"/>
    <x v="9"/>
    <x v="8"/>
    <s v="Freshwater"/>
    <x v="0"/>
    <x v="0"/>
    <s v="830"/>
    <s v="Skagit River"/>
    <s v="Skagit River"/>
    <s v="Skagit/Whatcom"/>
    <x v="0"/>
    <s v="King"/>
    <s v="06King"/>
    <s v="02South Puget Sound"/>
    <n v="14"/>
    <n v="7"/>
    <n v="129.85"/>
  </r>
  <r>
    <n v="2016"/>
    <x v="9"/>
    <x v="9"/>
    <x v="8"/>
    <s v="Freshwater"/>
    <x v="0"/>
    <x v="0"/>
    <s v="844"/>
    <s v="Skykomish River"/>
    <s v="Skykomish River"/>
    <s v="Snohomish"/>
    <x v="0"/>
    <s v="King"/>
    <s v="06King"/>
    <s v="02South Puget Sound"/>
    <n v="81.2"/>
    <n v="40.6"/>
    <n v="753.13000000000011"/>
  </r>
  <r>
    <n v="2017"/>
    <x v="9"/>
    <x v="9"/>
    <x v="8"/>
    <s v="Freshwater"/>
    <x v="0"/>
    <x v="0"/>
    <s v="844"/>
    <s v="Skykomish River"/>
    <s v="Skykomish River"/>
    <s v="Snohomish"/>
    <x v="0"/>
    <s v="Snohomish"/>
    <s v="03Snohomish"/>
    <s v="01North Puget Sound"/>
    <n v="92.8"/>
    <n v="46.4"/>
    <n v="860.72"/>
  </r>
  <r>
    <n v="2031"/>
    <x v="9"/>
    <x v="9"/>
    <x v="8"/>
    <s v="Freshwater"/>
    <x v="0"/>
    <x v="0"/>
    <s v="850"/>
    <s v="Snohomish River"/>
    <s v="Snohomish River"/>
    <s v="Snohomish"/>
    <x v="0"/>
    <s v="Snohomish"/>
    <s v="03Snohomish"/>
    <s v="01North Puget Sound"/>
    <n v="12"/>
    <n v="6"/>
    <n v="111.30000000000001"/>
  </r>
  <r>
    <n v="2035"/>
    <x v="9"/>
    <x v="9"/>
    <x v="8"/>
    <s v="Freshwater"/>
    <x v="0"/>
    <x v="0"/>
    <s v="852"/>
    <s v="Snoqualmie River"/>
    <s v="Snoqualmie River"/>
    <s v="Snohomish/King"/>
    <x v="0"/>
    <s v="King"/>
    <s v="06King"/>
    <s v="02South Puget Sound"/>
    <n v="6"/>
    <n v="3"/>
    <n v="55.650000000000006"/>
  </r>
  <r>
    <n v="2037"/>
    <x v="9"/>
    <x v="9"/>
    <x v="8"/>
    <s v="Freshwater"/>
    <x v="0"/>
    <x v="0"/>
    <s v="856"/>
    <s v="Tokul Creek"/>
    <s v="Tokul Creek"/>
    <s v="King"/>
    <x v="0"/>
    <s v="King"/>
    <s v="06King"/>
    <s v="02South Puget Sound"/>
    <n v="34"/>
    <n v="17"/>
    <n v="315.35000000000002"/>
  </r>
  <r>
    <n v="2043"/>
    <x v="9"/>
    <x v="9"/>
    <x v="8"/>
    <s v="Freshwater"/>
    <x v="0"/>
    <x v="0"/>
    <s v="860"/>
    <s v="Wallace River"/>
    <s v="Wallace River"/>
    <s v="Snohomish"/>
    <x v="0"/>
    <s v="King"/>
    <s v="06King"/>
    <s v="02South Puget Sound"/>
    <n v="12"/>
    <n v="6"/>
    <n v="111.30000000000001"/>
  </r>
  <r>
    <n v="2044"/>
    <x v="9"/>
    <x v="9"/>
    <x v="8"/>
    <s v="Freshwater"/>
    <x v="0"/>
    <x v="0"/>
    <s v="860"/>
    <s v="Wallace River"/>
    <s v="Wallace River"/>
    <s v="Snohomish"/>
    <x v="0"/>
    <s v="Snohomish"/>
    <s v="03Snohomish"/>
    <s v="01North Puget Sound"/>
    <n v="6"/>
    <n v="3"/>
    <n v="55.650000000000006"/>
  </r>
  <r>
    <n v="1973"/>
    <x v="9"/>
    <x v="10"/>
    <x v="8"/>
    <s v="Freshwater"/>
    <x v="0"/>
    <x v="0"/>
    <s v="752"/>
    <s v="Hoko River"/>
    <s v="Hoko River"/>
    <s v="Clallam"/>
    <x v="3"/>
    <s v="Clallam"/>
    <s v="11Clallam"/>
    <s v="03Strait of Juan de Fuca"/>
    <n v="14"/>
    <n v="7"/>
    <n v="129.85"/>
  </r>
  <r>
    <n v="1977"/>
    <x v="9"/>
    <x v="10"/>
    <x v="8"/>
    <s v="Freshwater"/>
    <x v="0"/>
    <x v="0"/>
    <s v="790"/>
    <s v="Nooksack River, No. Fork"/>
    <s v="Nooksack River, No. Fork"/>
    <s v="Whatcom"/>
    <x v="1"/>
    <s v="Whatcom"/>
    <s v="01Whatcom"/>
    <s v="01North Puget Sound"/>
    <n v="14"/>
    <n v="7"/>
    <n v="129.85"/>
  </r>
  <r>
    <n v="2018"/>
    <x v="9"/>
    <x v="10"/>
    <x v="8"/>
    <s v="Freshwater"/>
    <x v="0"/>
    <x v="0"/>
    <s v="844"/>
    <s v="Skykomish River"/>
    <s v="Skykomish River"/>
    <s v="Snohomish"/>
    <x v="0"/>
    <s v="King"/>
    <s v="06King"/>
    <s v="02South Puget Sound"/>
    <n v="6"/>
    <n v="3"/>
    <n v="55.650000000000006"/>
  </r>
  <r>
    <n v="2050"/>
    <x v="9"/>
    <x v="10"/>
    <x v="8"/>
    <s v="Freshwater"/>
    <x v="0"/>
    <x v="0"/>
    <s v="872"/>
    <s v="Stillaguamish R, No. Fork"/>
    <s v="Stillaguamish R, No. Fork"/>
    <s v="Snohomish"/>
    <x v="0"/>
    <s v="Snohomish"/>
    <s v="03Snohomish"/>
    <s v="01North Puget Sound"/>
    <n v="14"/>
    <n v="7"/>
    <n v="129.85"/>
  </r>
  <r>
    <n v="1974"/>
    <x v="9"/>
    <x v="11"/>
    <x v="8"/>
    <s v="Freshwater"/>
    <x v="0"/>
    <x v="0"/>
    <s v="752"/>
    <s v="Hoko River"/>
    <s v="Hoko River"/>
    <s v="Clallam"/>
    <x v="3"/>
    <s v="Clallam"/>
    <s v="11Clallam"/>
    <s v="03Strait of Juan de Fuca"/>
    <n v="14"/>
    <n v="7"/>
    <n v="129.85"/>
  </r>
  <r>
    <n v="1985"/>
    <x v="9"/>
    <x v="11"/>
    <x v="8"/>
    <s v="Freshwater"/>
    <x v="0"/>
    <x v="0"/>
    <s v="828"/>
    <s v="Sauk River"/>
    <s v="Sauk River"/>
    <s v="Skagit/Snohomish"/>
    <x v="0"/>
    <s v="Snohomish"/>
    <s v="03Snohomish"/>
    <s v="01North Puget Sound"/>
    <n v="14"/>
    <n v="7"/>
    <n v="129.85"/>
  </r>
  <r>
    <n v="2078"/>
    <x v="9"/>
    <x v="0"/>
    <x v="9"/>
    <s v="Freshwater"/>
    <x v="0"/>
    <x v="0"/>
    <s v="830"/>
    <s v="Skagit River"/>
    <s v="Skagit River"/>
    <s v="Skagit/Whatcom"/>
    <x v="0"/>
    <s v="Skagit"/>
    <s v="02Skagit"/>
    <s v="01North Puget Sound"/>
    <n v="8"/>
    <n v="4"/>
    <n v="74.2"/>
  </r>
  <r>
    <n v="2060"/>
    <x v="9"/>
    <x v="1"/>
    <x v="9"/>
    <s v="Freshwater"/>
    <x v="0"/>
    <x v="0"/>
    <s v="746"/>
    <s v="Green (Duwamish River) (King Co.)"/>
    <s v="Green - Duwamish River"/>
    <s v="King"/>
    <x v="2"/>
    <s v="King"/>
    <s v="06King"/>
    <s v="02South Puget Sound"/>
    <n v="12"/>
    <n v="6"/>
    <n v="111.30000000000001"/>
  </r>
  <r>
    <n v="2081"/>
    <x v="9"/>
    <x v="1"/>
    <x v="9"/>
    <s v="Freshwater"/>
    <x v="0"/>
    <x v="0"/>
    <s v="844"/>
    <s v="Skykomish River"/>
    <s v="Skykomish River"/>
    <s v="Snohomish"/>
    <x v="0"/>
    <s v="King"/>
    <s v="06King"/>
    <s v="02South Puget Sound"/>
    <n v="31.3333333333333"/>
    <n v="17"/>
    <n v="315.35000000000002"/>
  </r>
  <r>
    <n v="2082"/>
    <x v="9"/>
    <x v="1"/>
    <x v="9"/>
    <s v="Freshwater"/>
    <x v="0"/>
    <x v="0"/>
    <s v="844"/>
    <s v="Skykomish River"/>
    <s v="Skykomish River"/>
    <s v="Snohomish"/>
    <x v="0"/>
    <s v="Snohomish"/>
    <s v="03Snohomish"/>
    <s v="01North Puget Sound"/>
    <n v="62.6666666666667"/>
    <n v="34"/>
    <n v="630.70000000000005"/>
  </r>
  <r>
    <n v="2095"/>
    <x v="9"/>
    <x v="1"/>
    <x v="9"/>
    <s v="Freshwater"/>
    <x v="0"/>
    <x v="0"/>
    <s v="850"/>
    <s v="Snohomish River"/>
    <s v="Snohomish River"/>
    <s v="Snohomish"/>
    <x v="0"/>
    <s v="Snohomish"/>
    <s v="03Snohomish"/>
    <s v="01North Puget Sound"/>
    <n v="10"/>
    <n v="5"/>
    <n v="92.75"/>
  </r>
  <r>
    <n v="2061"/>
    <x v="9"/>
    <x v="2"/>
    <x v="9"/>
    <s v="Freshwater"/>
    <x v="0"/>
    <x v="0"/>
    <s v="746"/>
    <s v="Green (Duwamish River) (King Co.)"/>
    <s v="Green - Duwamish River"/>
    <s v="King"/>
    <x v="2"/>
    <s v="King"/>
    <s v="06King"/>
    <s v="02South Puget Sound"/>
    <n v="36"/>
    <n v="18"/>
    <n v="333.90000000000003"/>
  </r>
  <r>
    <n v="2062"/>
    <x v="9"/>
    <x v="2"/>
    <x v="9"/>
    <s v="Freshwater"/>
    <x v="0"/>
    <x v="0"/>
    <s v="746"/>
    <s v="Green (Duwamish River) (King Co.)"/>
    <s v="Green - Duwamish River"/>
    <s v="King"/>
    <x v="2"/>
    <s v="Pierce"/>
    <s v="07Pierce"/>
    <s v="02South Puget Sound"/>
    <n v="36"/>
    <n v="18"/>
    <n v="333.90000000000003"/>
  </r>
  <r>
    <n v="2083"/>
    <x v="9"/>
    <x v="2"/>
    <x v="9"/>
    <s v="Freshwater"/>
    <x v="0"/>
    <x v="0"/>
    <s v="844"/>
    <s v="Skykomish River"/>
    <s v="Skykomish River"/>
    <s v="Snohomish"/>
    <x v="0"/>
    <s v="King"/>
    <s v="06King"/>
    <s v="02South Puget Sound"/>
    <n v="67.5"/>
    <n v="33.75"/>
    <n v="626.0625"/>
  </r>
  <r>
    <n v="2084"/>
    <x v="9"/>
    <x v="2"/>
    <x v="9"/>
    <s v="Freshwater"/>
    <x v="0"/>
    <x v="0"/>
    <s v="844"/>
    <s v="Skykomish River"/>
    <s v="Skykomish River"/>
    <s v="Snohomish"/>
    <x v="0"/>
    <s v="Pierce"/>
    <s v="07Pierce"/>
    <s v="02South Puget Sound"/>
    <n v="4.5"/>
    <n v="2.25"/>
    <n v="41.737500000000004"/>
  </r>
  <r>
    <n v="2085"/>
    <x v="9"/>
    <x v="2"/>
    <x v="9"/>
    <s v="Freshwater"/>
    <x v="0"/>
    <x v="0"/>
    <s v="844"/>
    <s v="Skykomish River"/>
    <s v="Skykomish River"/>
    <s v="Snohomish"/>
    <x v="0"/>
    <s v="Snohomish"/>
    <s v="03Snohomish"/>
    <s v="01North Puget Sound"/>
    <n v="108"/>
    <n v="54"/>
    <n v="1001.7"/>
  </r>
  <r>
    <n v="2109"/>
    <x v="9"/>
    <x v="3"/>
    <x v="9"/>
    <s v="Freshwater"/>
    <x v="0"/>
    <x v="0"/>
    <s v="9"/>
    <s v="Area 9: Admiralty Inlet"/>
    <s v="Area 9: Admiralty Inlet"/>
    <s v="NA"/>
    <x v="0"/>
    <s v="Island"/>
    <s v="04Island"/>
    <s v="01North Puget Sound"/>
    <n v="10"/>
    <n v="5"/>
    <n v="92.75"/>
  </r>
  <r>
    <n v="2063"/>
    <x v="9"/>
    <x v="3"/>
    <x v="9"/>
    <s v="Freshwater"/>
    <x v="0"/>
    <x v="0"/>
    <s v="746"/>
    <s v="Green (Duwamish River) (King Co.)"/>
    <s v="Green - Duwamish River"/>
    <s v="King"/>
    <x v="2"/>
    <s v="King"/>
    <s v="06King"/>
    <s v="02South Puget Sound"/>
    <n v="48"/>
    <n v="24"/>
    <n v="445.20000000000005"/>
  </r>
  <r>
    <n v="2064"/>
    <x v="9"/>
    <x v="3"/>
    <x v="9"/>
    <s v="Freshwater"/>
    <x v="0"/>
    <x v="0"/>
    <s v="746"/>
    <s v="Green (Duwamish River) (King Co.)"/>
    <s v="Green - Duwamish River"/>
    <s v="King"/>
    <x v="2"/>
    <s v="Pierce"/>
    <s v="07Pierce"/>
    <s v="02South Puget Sound"/>
    <n v="24"/>
    <n v="12"/>
    <n v="222.60000000000002"/>
  </r>
  <r>
    <n v="2086"/>
    <x v="9"/>
    <x v="3"/>
    <x v="9"/>
    <s v="Freshwater"/>
    <x v="0"/>
    <x v="0"/>
    <s v="844"/>
    <s v="Skykomish River"/>
    <s v="Skykomish River"/>
    <s v="Snohomish"/>
    <x v="0"/>
    <s v="King"/>
    <s v="06King"/>
    <s v="02South Puget Sound"/>
    <n v="40.32"/>
    <n v="20.16"/>
    <n v="373.96800000000002"/>
  </r>
  <r>
    <n v="2087"/>
    <x v="9"/>
    <x v="3"/>
    <x v="9"/>
    <s v="Freshwater"/>
    <x v="0"/>
    <x v="0"/>
    <s v="844"/>
    <s v="Skykomish River"/>
    <s v="Skykomish River"/>
    <s v="Snohomish"/>
    <x v="0"/>
    <s v="Other"/>
    <s v="20Other"/>
    <s v="07Non Puget Sound"/>
    <n v="22.4"/>
    <n v="11.2"/>
    <n v="207.76"/>
  </r>
  <r>
    <n v="2088"/>
    <x v="9"/>
    <x v="3"/>
    <x v="9"/>
    <s v="Freshwater"/>
    <x v="0"/>
    <x v="0"/>
    <s v="844"/>
    <s v="Skykomish River"/>
    <s v="Skykomish River"/>
    <s v="Snohomish"/>
    <x v="0"/>
    <s v="Snohomish"/>
    <s v="03Snohomish"/>
    <s v="01North Puget Sound"/>
    <n v="49.28"/>
    <n v="24.64"/>
    <n v="457.072"/>
  </r>
  <r>
    <n v="2065"/>
    <x v="9"/>
    <x v="4"/>
    <x v="9"/>
    <s v="Freshwater"/>
    <x v="0"/>
    <x v="0"/>
    <s v="746"/>
    <s v="Green (Duwamish River) (King Co.)"/>
    <s v="Green - Duwamish River"/>
    <s v="King"/>
    <x v="2"/>
    <s v="King"/>
    <s v="06King"/>
    <s v="02South Puget Sound"/>
    <n v="24"/>
    <n v="12"/>
    <n v="222.60000000000002"/>
  </r>
  <r>
    <n v="2066"/>
    <x v="9"/>
    <x v="4"/>
    <x v="9"/>
    <s v="Freshwater"/>
    <x v="0"/>
    <x v="0"/>
    <s v="746"/>
    <s v="Green (Duwamish River) (King Co.)"/>
    <s v="Green - Duwamish River"/>
    <s v="King"/>
    <x v="2"/>
    <s v="Pierce"/>
    <s v="07Pierce"/>
    <s v="02South Puget Sound"/>
    <n v="48"/>
    <n v="24"/>
    <n v="445.20000000000005"/>
  </r>
  <r>
    <n v="2067"/>
    <x v="9"/>
    <x v="4"/>
    <x v="9"/>
    <s v="Freshwater"/>
    <x v="0"/>
    <x v="0"/>
    <s v="746"/>
    <s v="Green (Duwamish River) (King Co.)"/>
    <s v="Green - Duwamish River"/>
    <s v="King"/>
    <x v="2"/>
    <s v="Snohomish"/>
    <s v="03Snohomish"/>
    <s v="01North Puget Sound"/>
    <n v="0"/>
    <n v="0"/>
    <n v="0"/>
  </r>
  <r>
    <n v="2089"/>
    <x v="9"/>
    <x v="4"/>
    <x v="9"/>
    <s v="Freshwater"/>
    <x v="0"/>
    <x v="0"/>
    <s v="844"/>
    <s v="Skykomish River"/>
    <s v="Skykomish River"/>
    <s v="Snohomish"/>
    <x v="0"/>
    <s v="King"/>
    <s v="06King"/>
    <s v="02South Puget Sound"/>
    <n v="4.4000000000000004"/>
    <n v="2.2000000000000002"/>
    <n v="40.81"/>
  </r>
  <r>
    <n v="2090"/>
    <x v="9"/>
    <x v="4"/>
    <x v="9"/>
    <s v="Freshwater"/>
    <x v="0"/>
    <x v="0"/>
    <s v="844"/>
    <s v="Skykomish River"/>
    <s v="Skykomish River"/>
    <s v="Snohomish"/>
    <x v="0"/>
    <s v="Other"/>
    <s v="20Other"/>
    <s v="07Non Puget Sound"/>
    <n v="4.4000000000000004"/>
    <n v="2.2000000000000002"/>
    <n v="40.81"/>
  </r>
  <r>
    <n v="2091"/>
    <x v="9"/>
    <x v="4"/>
    <x v="9"/>
    <s v="Freshwater"/>
    <x v="0"/>
    <x v="0"/>
    <s v="844"/>
    <s v="Skykomish River"/>
    <s v="Skykomish River"/>
    <s v="Snohomish"/>
    <x v="0"/>
    <s v="Snohomish"/>
    <s v="03Snohomish"/>
    <s v="01North Puget Sound"/>
    <n v="13.2"/>
    <n v="6.6"/>
    <n v="122.42999999999999"/>
  </r>
  <r>
    <n v="2068"/>
    <x v="9"/>
    <x v="5"/>
    <x v="9"/>
    <s v="Freshwater"/>
    <x v="0"/>
    <x v="0"/>
    <s v="746"/>
    <s v="Green (Duwamish River) (King Co.)"/>
    <s v="Green - Duwamish River"/>
    <s v="King"/>
    <x v="2"/>
    <s v="King"/>
    <s v="06King"/>
    <s v="02South Puget Sound"/>
    <n v="107"/>
    <n v="53.5"/>
    <n v="992.42500000000007"/>
  </r>
  <r>
    <n v="2069"/>
    <x v="9"/>
    <x v="5"/>
    <x v="9"/>
    <s v="Freshwater"/>
    <x v="0"/>
    <x v="0"/>
    <s v="746"/>
    <s v="Green (Duwamish River) (King Co.)"/>
    <s v="Green - Duwamish River"/>
    <s v="King"/>
    <x v="2"/>
    <s v="Pierce"/>
    <s v="07Pierce"/>
    <s v="02South Puget Sound"/>
    <n v="107"/>
    <n v="53.5"/>
    <n v="992.42500000000007"/>
  </r>
  <r>
    <n v="2070"/>
    <x v="9"/>
    <x v="5"/>
    <x v="9"/>
    <s v="Freshwater"/>
    <x v="0"/>
    <x v="0"/>
    <s v="746"/>
    <s v="Green (Duwamish River) (King Co.)"/>
    <s v="Green - Duwamish River"/>
    <s v="King"/>
    <x v="2"/>
    <s v="Snohomish"/>
    <s v="03Snohomish"/>
    <s v="01North Puget Sound"/>
    <n v="0"/>
    <n v="0"/>
    <n v="0"/>
  </r>
  <r>
    <n v="2092"/>
    <x v="9"/>
    <x v="5"/>
    <x v="9"/>
    <s v="Freshwater"/>
    <x v="0"/>
    <x v="0"/>
    <s v="844"/>
    <s v="Skykomish River"/>
    <s v="Skykomish River"/>
    <s v="Snohomish"/>
    <x v="0"/>
    <s v="Snohomish"/>
    <s v="03Snohomish"/>
    <s v="01North Puget Sound"/>
    <n v="14"/>
    <n v="7"/>
    <n v="129.85"/>
  </r>
  <r>
    <n v="2096"/>
    <x v="9"/>
    <x v="5"/>
    <x v="9"/>
    <s v="Freshwater"/>
    <x v="0"/>
    <x v="0"/>
    <s v="850"/>
    <s v="Snohomish River"/>
    <s v="Snohomish River"/>
    <s v="Snohomish"/>
    <x v="0"/>
    <s v="King"/>
    <s v="06King"/>
    <s v="02South Puget Sound"/>
    <n v="4"/>
    <n v="2"/>
    <n v="37.1"/>
  </r>
  <r>
    <n v="2103"/>
    <x v="9"/>
    <x v="5"/>
    <x v="9"/>
    <s v="Freshwater"/>
    <x v="0"/>
    <x v="0"/>
    <s v="872"/>
    <s v="Stillaguamish R, No. Fork"/>
    <s v="Stillaguamish R, No. Fork"/>
    <s v="Snohomish"/>
    <x v="0"/>
    <s v="Snohomish"/>
    <s v="03Snohomish"/>
    <s v="01North Puget Sound"/>
    <n v="20"/>
    <n v="10"/>
    <n v="185.5"/>
  </r>
  <r>
    <n v="2100"/>
    <x v="9"/>
    <x v="5"/>
    <x v="9"/>
    <s v="Freshwater"/>
    <x v="0"/>
    <x v="0"/>
    <s v="860"/>
    <s v="Wallace River"/>
    <s v="Wallace River"/>
    <s v="Snohomish"/>
    <x v="0"/>
    <s v="Snohomish"/>
    <s v="03Snohomish"/>
    <s v="01North Puget Sound"/>
    <n v="4"/>
    <n v="2"/>
    <n v="37.1"/>
  </r>
  <r>
    <n v="2058"/>
    <x v="9"/>
    <x v="6"/>
    <x v="9"/>
    <s v="Freshwater"/>
    <x v="0"/>
    <x v="0"/>
    <s v="738"/>
    <s v="Dungeness River"/>
    <s v="Dungeness River"/>
    <s v="Clallam"/>
    <x v="3"/>
    <s v="Other"/>
    <s v="20Other"/>
    <s v="07Non Puget Sound"/>
    <n v="10"/>
    <n v="5"/>
    <n v="92.75"/>
  </r>
  <r>
    <n v="2071"/>
    <x v="9"/>
    <x v="6"/>
    <x v="9"/>
    <s v="Freshwater"/>
    <x v="0"/>
    <x v="0"/>
    <s v="746"/>
    <s v="Green (Duwamish River) (King Co.)"/>
    <s v="Green - Duwamish River"/>
    <s v="King"/>
    <x v="2"/>
    <s v="King"/>
    <s v="06King"/>
    <s v="02South Puget Sound"/>
    <n v="238"/>
    <n v="119"/>
    <n v="2207.4500000000003"/>
  </r>
  <r>
    <n v="2093"/>
    <x v="9"/>
    <x v="6"/>
    <x v="9"/>
    <s v="Freshwater"/>
    <x v="0"/>
    <x v="0"/>
    <s v="844"/>
    <s v="Skykomish River"/>
    <s v="Skykomish River"/>
    <s v="Snohomish"/>
    <x v="0"/>
    <s v="Snohomish"/>
    <s v="03Snohomish"/>
    <s v="01North Puget Sound"/>
    <n v="10"/>
    <n v="5"/>
    <n v="92.75"/>
  </r>
  <r>
    <n v="2104"/>
    <x v="9"/>
    <x v="6"/>
    <x v="9"/>
    <s v="Freshwater"/>
    <x v="0"/>
    <x v="0"/>
    <s v="872"/>
    <s v="Stillaguamish R, No. Fork"/>
    <s v="Stillaguamish R, No. Fork"/>
    <s v="Snohomish"/>
    <x v="0"/>
    <s v="King"/>
    <s v="06King"/>
    <s v="02South Puget Sound"/>
    <n v="10"/>
    <n v="5"/>
    <n v="92.75"/>
  </r>
  <r>
    <n v="2105"/>
    <x v="9"/>
    <x v="6"/>
    <x v="9"/>
    <s v="Freshwater"/>
    <x v="0"/>
    <x v="0"/>
    <s v="872"/>
    <s v="Stillaguamish R, No. Fork"/>
    <s v="Stillaguamish R, No. Fork"/>
    <s v="Snohomish"/>
    <x v="0"/>
    <s v="Skagit"/>
    <s v="02Skagit"/>
    <s v="01North Puget Sound"/>
    <n v="10"/>
    <n v="5"/>
    <n v="92.75"/>
  </r>
  <r>
    <n v="2106"/>
    <x v="9"/>
    <x v="6"/>
    <x v="9"/>
    <s v="Freshwater"/>
    <x v="0"/>
    <x v="0"/>
    <s v="872"/>
    <s v="Stillaguamish R, No. Fork"/>
    <s v="Stillaguamish R, No. Fork"/>
    <s v="Snohomish"/>
    <x v="0"/>
    <s v="Snohomish"/>
    <s v="03Snohomish"/>
    <s v="01North Puget Sound"/>
    <n v="20"/>
    <n v="10"/>
    <n v="185.5"/>
  </r>
  <r>
    <n v="2101"/>
    <x v="9"/>
    <x v="6"/>
    <x v="9"/>
    <s v="Freshwater"/>
    <x v="0"/>
    <x v="0"/>
    <s v="860"/>
    <s v="Wallace River"/>
    <s v="Wallace River"/>
    <s v="Snohomish"/>
    <x v="0"/>
    <s v="Snohomish"/>
    <s v="03Snohomish"/>
    <s v="01North Puget Sound"/>
    <n v="4"/>
    <n v="2"/>
    <n v="37.1"/>
  </r>
  <r>
    <n v="2076"/>
    <x v="9"/>
    <x v="7"/>
    <x v="9"/>
    <s v="Freshwater"/>
    <x v="0"/>
    <x v="0"/>
    <s v="826"/>
    <s v="Cascade River"/>
    <s v="Cascade River"/>
    <s v="Skagit"/>
    <x v="1"/>
    <s v="Skagit"/>
    <s v="02Skagit"/>
    <s v="01North Puget Sound"/>
    <n v="8"/>
    <n v="4"/>
    <n v="74.2"/>
  </r>
  <r>
    <n v="2059"/>
    <x v="9"/>
    <x v="7"/>
    <x v="9"/>
    <s v="Freshwater"/>
    <x v="0"/>
    <x v="0"/>
    <s v="738"/>
    <s v="Dungeness River"/>
    <s v="Dungeness River"/>
    <s v="Clallam"/>
    <x v="3"/>
    <s v="Clallam"/>
    <s v="11Clallam"/>
    <s v="03Strait of Juan de Fuca"/>
    <n v="8"/>
    <n v="4"/>
    <n v="74.2"/>
  </r>
  <r>
    <n v="2072"/>
    <x v="9"/>
    <x v="7"/>
    <x v="9"/>
    <s v="Freshwater"/>
    <x v="0"/>
    <x v="0"/>
    <s v="746"/>
    <s v="Green (Duwamish River) (King Co.)"/>
    <s v="Green - Duwamish River"/>
    <s v="King"/>
    <x v="2"/>
    <s v="King"/>
    <s v="06King"/>
    <s v="02South Puget Sound"/>
    <n v="0"/>
    <n v="0"/>
    <n v="0"/>
  </r>
  <r>
    <n v="2073"/>
    <x v="9"/>
    <x v="7"/>
    <x v="9"/>
    <s v="Freshwater"/>
    <x v="0"/>
    <x v="0"/>
    <s v="746"/>
    <s v="Green (Duwamish River) (King Co.)"/>
    <s v="Green - Duwamish River"/>
    <s v="King"/>
    <x v="2"/>
    <s v="Pierce"/>
    <s v="07Pierce"/>
    <s v="02South Puget Sound"/>
    <n v="0"/>
    <n v="0"/>
    <n v="0"/>
  </r>
  <r>
    <n v="2107"/>
    <x v="9"/>
    <x v="7"/>
    <x v="9"/>
    <s v="Freshwater"/>
    <x v="0"/>
    <x v="0"/>
    <s v="872"/>
    <s v="Stillaguamish R, No. Fork"/>
    <s v="Stillaguamish R, No. Fork"/>
    <s v="Snohomish"/>
    <x v="0"/>
    <s v="Island"/>
    <s v="04Island"/>
    <s v="01North Puget Sound"/>
    <n v="8"/>
    <n v="4"/>
    <n v="74.2"/>
  </r>
  <r>
    <n v="2102"/>
    <x v="9"/>
    <x v="7"/>
    <x v="9"/>
    <s v="Freshwater"/>
    <x v="0"/>
    <x v="0"/>
    <s v="860"/>
    <s v="Wallace River"/>
    <s v="Wallace River"/>
    <s v="Snohomish"/>
    <x v="0"/>
    <s v="Snohomish"/>
    <s v="03Snohomish"/>
    <s v="01North Puget Sound"/>
    <n v="6"/>
    <n v="3"/>
    <n v="55.650000000000006"/>
  </r>
  <r>
    <n v="2077"/>
    <x v="9"/>
    <x v="8"/>
    <x v="9"/>
    <s v="Freshwater"/>
    <x v="0"/>
    <x v="0"/>
    <s v="826"/>
    <s v="Cascade River"/>
    <s v="Cascade River"/>
    <s v="Skagit"/>
    <x v="1"/>
    <s v="Whatcom"/>
    <s v="01Whatcom"/>
    <s v="01North Puget Sound"/>
    <n v="18"/>
    <n v="9"/>
    <n v="166.95000000000002"/>
  </r>
  <r>
    <n v="2074"/>
    <x v="9"/>
    <x v="8"/>
    <x v="9"/>
    <s v="Freshwater"/>
    <x v="0"/>
    <x v="0"/>
    <s v="746"/>
    <s v="Green (Duwamish River) (King Co.)"/>
    <s v="Green - Duwamish River"/>
    <s v="King"/>
    <x v="2"/>
    <s v="King"/>
    <s v="06King"/>
    <s v="02South Puget Sound"/>
    <n v="0"/>
    <n v="0"/>
    <n v="0"/>
  </r>
  <r>
    <n v="2079"/>
    <x v="9"/>
    <x v="8"/>
    <x v="9"/>
    <s v="Freshwater"/>
    <x v="0"/>
    <x v="0"/>
    <s v="830"/>
    <s v="Skagit River"/>
    <s v="Skagit River"/>
    <s v="Skagit/Whatcom"/>
    <x v="0"/>
    <s v="Pierce"/>
    <s v="07Pierce"/>
    <s v="02South Puget Sound"/>
    <n v="9"/>
    <n v="4.5"/>
    <n v="83.475000000000009"/>
  </r>
  <r>
    <n v="2080"/>
    <x v="9"/>
    <x v="8"/>
    <x v="9"/>
    <s v="Freshwater"/>
    <x v="0"/>
    <x v="0"/>
    <s v="830"/>
    <s v="Skagit River"/>
    <s v="Skagit River"/>
    <s v="Skagit/Whatcom"/>
    <x v="0"/>
    <s v="Whatcom"/>
    <s v="01Whatcom"/>
    <s v="01North Puget Sound"/>
    <n v="9"/>
    <n v="4.5"/>
    <n v="83.475000000000009"/>
  </r>
  <r>
    <n v="2097"/>
    <x v="9"/>
    <x v="8"/>
    <x v="9"/>
    <s v="Freshwater"/>
    <x v="0"/>
    <x v="0"/>
    <s v="850"/>
    <s v="Snohomish River"/>
    <s v="Snohomish River"/>
    <s v="Snohomish"/>
    <x v="0"/>
    <s v="Snohomish"/>
    <s v="03Snohomish"/>
    <s v="01North Puget Sound"/>
    <n v="6"/>
    <n v="3"/>
    <n v="55.650000000000006"/>
  </r>
  <r>
    <n v="2098"/>
    <x v="9"/>
    <x v="8"/>
    <x v="9"/>
    <s v="Freshwater"/>
    <x v="0"/>
    <x v="0"/>
    <s v="852"/>
    <s v="Snoqualmie River"/>
    <s v="Snoqualmie River"/>
    <s v="Snohomish/King"/>
    <x v="0"/>
    <s v="King"/>
    <s v="06King"/>
    <s v="02South Puget Sound"/>
    <n v="6"/>
    <n v="3"/>
    <n v="55.650000000000006"/>
  </r>
  <r>
    <n v="2108"/>
    <x v="9"/>
    <x v="8"/>
    <x v="9"/>
    <s v="Freshwater"/>
    <x v="0"/>
    <x v="0"/>
    <s v="872"/>
    <s v="Stillaguamish R, No. Fork"/>
    <s v="Stillaguamish R, No. Fork"/>
    <s v="Snohomish"/>
    <x v="0"/>
    <s v="Other"/>
    <s v="20Other"/>
    <s v="07Non Puget Sound"/>
    <n v="8"/>
    <n v="4"/>
    <n v="74.2"/>
  </r>
  <r>
    <n v="2110"/>
    <x v="10"/>
    <x v="9"/>
    <x v="9"/>
    <s v="Freshwater"/>
    <x v="0"/>
    <x v="0"/>
    <s v="9"/>
    <s v="Area 9: Admiralty Inlet"/>
    <s v="Area 9: Admiralty Inlet"/>
    <s v="NA"/>
    <x v="0"/>
    <s v="King"/>
    <s v="06King"/>
    <s v="02South Puget Sound"/>
    <n v="18"/>
    <n v="9"/>
    <n v="76.859999999999985"/>
  </r>
  <r>
    <n v="2111"/>
    <x v="10"/>
    <x v="10"/>
    <x v="9"/>
    <s v="Freshwater"/>
    <x v="0"/>
    <x v="0"/>
    <s v="9"/>
    <s v="Area 9: Admiralty Inlet"/>
    <s v="Area 9: Admiralty Inlet"/>
    <s v="NA"/>
    <x v="0"/>
    <s v="Island"/>
    <s v="04Island"/>
    <s v="01North Puget Sound"/>
    <n v="18"/>
    <n v="9"/>
    <n v="76.859999999999985"/>
  </r>
  <r>
    <n v="2094"/>
    <x v="10"/>
    <x v="10"/>
    <x v="9"/>
    <s v="Freshwater"/>
    <x v="0"/>
    <x v="0"/>
    <s v="844"/>
    <s v="Skykomish River"/>
    <s v="Skykomish River"/>
    <s v="Snohomish"/>
    <x v="0"/>
    <s v="King"/>
    <s v="06King"/>
    <s v="02South Puget Sound"/>
    <n v="6"/>
    <n v="3"/>
    <n v="25.619999999999997"/>
  </r>
  <r>
    <n v="2099"/>
    <x v="10"/>
    <x v="10"/>
    <x v="9"/>
    <s v="Freshwater"/>
    <x v="0"/>
    <x v="0"/>
    <s v="856"/>
    <s v="Tokul Creek"/>
    <s v="Tokul Creek"/>
    <s v="King"/>
    <x v="0"/>
    <s v="Snohomish"/>
    <s v="03Snohomish"/>
    <s v="01North Puget Sound"/>
    <n v="6"/>
    <n v="3"/>
    <n v="25.619999999999997"/>
  </r>
  <r>
    <n v="2112"/>
    <x v="10"/>
    <x v="11"/>
    <x v="9"/>
    <s v="Freshwater"/>
    <x v="0"/>
    <x v="0"/>
    <s v="9"/>
    <s v="Area 9: Admiralty Inlet"/>
    <s v="Area 9: Admiralty Inlet"/>
    <s v="NA"/>
    <x v="0"/>
    <s v="Island"/>
    <s v="04Island"/>
    <s v="01North Puget Sound"/>
    <n v="18"/>
    <n v="9"/>
    <n v="76.859999999999985"/>
  </r>
  <r>
    <n v="2075"/>
    <x v="10"/>
    <x v="11"/>
    <x v="9"/>
    <s v="Freshwater"/>
    <x v="0"/>
    <x v="0"/>
    <s v="804"/>
    <s v="Puyallup River"/>
    <s v="Puyallup River"/>
    <s v="Pierce"/>
    <x v="2"/>
    <s v="King"/>
    <s v="06King"/>
    <s v="02South Puget Sound"/>
    <n v="8"/>
    <n v="0"/>
    <n v="0"/>
  </r>
  <r>
    <n v="2128"/>
    <x v="10"/>
    <x v="1"/>
    <x v="10"/>
    <s v="Freshwater"/>
    <x v="0"/>
    <x v="0"/>
    <s v="844"/>
    <s v="Skykomish River"/>
    <s v="Skykomish River"/>
    <s v="Snohomish"/>
    <x v="0"/>
    <s v="Snohomish"/>
    <s v="03Snohomish"/>
    <s v="01North Puget Sound"/>
    <n v="44"/>
    <n v="22"/>
    <n v="187.88"/>
  </r>
  <r>
    <n v="2115"/>
    <x v="10"/>
    <x v="2"/>
    <x v="10"/>
    <s v="Freshwater"/>
    <x v="0"/>
    <x v="0"/>
    <s v="746"/>
    <s v="Green (Duwamish River) (King Co.)"/>
    <s v="Green - Duwamish River"/>
    <s v="King"/>
    <x v="2"/>
    <s v="Pierce"/>
    <s v="07Pierce"/>
    <s v="02South Puget Sound"/>
    <n v="22"/>
    <n v="11"/>
    <n v="93.94"/>
  </r>
  <r>
    <n v="2129"/>
    <x v="10"/>
    <x v="2"/>
    <x v="10"/>
    <s v="Freshwater"/>
    <x v="0"/>
    <x v="0"/>
    <s v="844"/>
    <s v="Skykomish River"/>
    <s v="Skykomish River"/>
    <s v="Snohomish"/>
    <x v="0"/>
    <s v="Island"/>
    <s v="04Island"/>
    <s v="01North Puget Sound"/>
    <n v="14.909090909090899"/>
    <n v="7.4545454545454604"/>
    <n v="63.661818181818226"/>
  </r>
  <r>
    <n v="2130"/>
    <x v="10"/>
    <x v="2"/>
    <x v="10"/>
    <s v="Freshwater"/>
    <x v="0"/>
    <x v="0"/>
    <s v="844"/>
    <s v="Skykomish River"/>
    <s v="Skykomish River"/>
    <s v="Snohomish"/>
    <x v="0"/>
    <s v="King"/>
    <s v="06King"/>
    <s v="02South Puget Sound"/>
    <n v="44.727272727272698"/>
    <n v="22.363636363636399"/>
    <n v="190.98545454545481"/>
  </r>
  <r>
    <n v="2131"/>
    <x v="10"/>
    <x v="2"/>
    <x v="10"/>
    <s v="Freshwater"/>
    <x v="0"/>
    <x v="0"/>
    <s v="844"/>
    <s v="Skykomish River"/>
    <s v="Skykomish River"/>
    <s v="Snohomish"/>
    <x v="0"/>
    <s v="Snohomish"/>
    <s v="03Snohomish"/>
    <s v="01North Puget Sound"/>
    <n v="104.363636363636"/>
    <n v="52.181818181818201"/>
    <n v="445.63272727272738"/>
  </r>
  <r>
    <n v="2145"/>
    <x v="10"/>
    <x v="2"/>
    <x v="10"/>
    <s v="Freshwater"/>
    <x v="0"/>
    <x v="0"/>
    <s v="850"/>
    <s v="Snohomish River"/>
    <s v="Snohomish River"/>
    <s v="Snohomish"/>
    <x v="0"/>
    <s v="Other"/>
    <s v="20Other"/>
    <s v="07Non Puget Sound"/>
    <n v="15"/>
    <n v="7.5"/>
    <n v="64.05"/>
  </r>
  <r>
    <n v="2146"/>
    <x v="10"/>
    <x v="2"/>
    <x v="10"/>
    <s v="Freshwater"/>
    <x v="0"/>
    <x v="0"/>
    <s v="850"/>
    <s v="Snohomish River"/>
    <s v="Snohomish River"/>
    <s v="Snohomish"/>
    <x v="0"/>
    <s v="Snohomish"/>
    <s v="03Snohomish"/>
    <s v="01North Puget Sound"/>
    <n v="15"/>
    <n v="7.5"/>
    <n v="64.05"/>
  </r>
  <r>
    <n v="2148"/>
    <x v="10"/>
    <x v="2"/>
    <x v="10"/>
    <s v="Freshwater"/>
    <x v="0"/>
    <x v="0"/>
    <s v="852"/>
    <s v="Snoqualmie River"/>
    <s v="Snoqualmie River"/>
    <s v="Snohomish/King"/>
    <x v="0"/>
    <s v="King"/>
    <s v="06King"/>
    <s v="02South Puget Sound"/>
    <n v="30"/>
    <n v="15"/>
    <n v="128.1"/>
  </r>
  <r>
    <n v="2163"/>
    <x v="10"/>
    <x v="3"/>
    <x v="10"/>
    <s v="Freshwater"/>
    <x v="0"/>
    <x v="0"/>
    <s v="9"/>
    <s v="Area 9: Admiralty Inlet"/>
    <s v="Area 9: Admiralty Inlet"/>
    <s v="NA"/>
    <x v="0"/>
    <s v="Other"/>
    <s v="20Other"/>
    <s v="07Non Puget Sound"/>
    <n v="16"/>
    <n v="8"/>
    <n v="68.319999999999993"/>
  </r>
  <r>
    <n v="2116"/>
    <x v="10"/>
    <x v="3"/>
    <x v="10"/>
    <s v="Freshwater"/>
    <x v="0"/>
    <x v="0"/>
    <s v="746"/>
    <s v="Green (Duwamish River) (King Co.)"/>
    <s v="Green - Duwamish River"/>
    <s v="King"/>
    <x v="2"/>
    <s v="Pierce"/>
    <s v="07Pierce"/>
    <s v="02South Puget Sound"/>
    <n v="22"/>
    <n v="11"/>
    <n v="93.94"/>
  </r>
  <r>
    <n v="2132"/>
    <x v="10"/>
    <x v="3"/>
    <x v="10"/>
    <s v="Freshwater"/>
    <x v="0"/>
    <x v="0"/>
    <s v="844"/>
    <s v="Skykomish River"/>
    <s v="Skykomish River"/>
    <s v="Snohomish"/>
    <x v="0"/>
    <s v="King"/>
    <s v="06King"/>
    <s v="02South Puget Sound"/>
    <n v="207.84615384615401"/>
    <n v="103.92307692307701"/>
    <n v="887.50307692307751"/>
  </r>
  <r>
    <n v="2133"/>
    <x v="10"/>
    <x v="3"/>
    <x v="10"/>
    <s v="Freshwater"/>
    <x v="0"/>
    <x v="0"/>
    <s v="844"/>
    <s v="Skykomish River"/>
    <s v="Skykomish River"/>
    <s v="Snohomish"/>
    <x v="0"/>
    <s v="Snohomish"/>
    <s v="03Snohomish"/>
    <s v="01North Puget Sound"/>
    <n v="178.15384615384599"/>
    <n v="89.076923076923094"/>
    <n v="760.71692307692319"/>
  </r>
  <r>
    <n v="2117"/>
    <x v="10"/>
    <x v="4"/>
    <x v="10"/>
    <s v="Freshwater"/>
    <x v="0"/>
    <x v="0"/>
    <s v="746"/>
    <s v="Green (Duwamish River) (King Co.)"/>
    <s v="Green - Duwamish River"/>
    <s v="King"/>
    <x v="2"/>
    <s v="Pierce"/>
    <s v="07Pierce"/>
    <s v="02South Puget Sound"/>
    <n v="16"/>
    <n v="8"/>
    <n v="68.319999999999993"/>
  </r>
  <r>
    <n v="2125"/>
    <x v="10"/>
    <x v="4"/>
    <x v="10"/>
    <s v="Freshwater"/>
    <x v="0"/>
    <x v="0"/>
    <s v="830"/>
    <s v="Skagit River"/>
    <s v="Skagit River"/>
    <s v="Skagit/Whatcom"/>
    <x v="0"/>
    <s v="Other"/>
    <s v="20Other"/>
    <s v="07Non Puget Sound"/>
    <n v="8"/>
    <n v="4"/>
    <n v="34.159999999999997"/>
  </r>
  <r>
    <n v="2126"/>
    <x v="10"/>
    <x v="4"/>
    <x v="10"/>
    <s v="Freshwater"/>
    <x v="0"/>
    <x v="0"/>
    <s v="830"/>
    <s v="Skagit River"/>
    <s v="Skagit River"/>
    <s v="Skagit/Whatcom"/>
    <x v="0"/>
    <s v="Snohomish"/>
    <s v="03Snohomish"/>
    <s v="01North Puget Sound"/>
    <n v="8"/>
    <n v="4"/>
    <n v="34.159999999999997"/>
  </r>
  <r>
    <n v="2134"/>
    <x v="10"/>
    <x v="4"/>
    <x v="10"/>
    <s v="Freshwater"/>
    <x v="0"/>
    <x v="0"/>
    <s v="844"/>
    <s v="Skykomish River"/>
    <s v="Skykomish River"/>
    <s v="Snohomish"/>
    <x v="0"/>
    <s v="King"/>
    <s v="06King"/>
    <s v="02South Puget Sound"/>
    <n v="15"/>
    <n v="7.5"/>
    <n v="64.05"/>
  </r>
  <r>
    <n v="2135"/>
    <x v="10"/>
    <x v="4"/>
    <x v="10"/>
    <s v="Freshwater"/>
    <x v="0"/>
    <x v="0"/>
    <s v="844"/>
    <s v="Skykomish River"/>
    <s v="Skykomish River"/>
    <s v="Snohomish"/>
    <x v="0"/>
    <s v="Snohomish"/>
    <s v="03Snohomish"/>
    <s v="01North Puget Sound"/>
    <n v="15"/>
    <n v="7.5"/>
    <n v="64.05"/>
  </r>
  <r>
    <n v="2118"/>
    <x v="10"/>
    <x v="5"/>
    <x v="10"/>
    <s v="Freshwater"/>
    <x v="0"/>
    <x v="0"/>
    <s v="746"/>
    <s v="Green (Duwamish River) (King Co.)"/>
    <s v="Green - Duwamish River"/>
    <s v="King"/>
    <x v="2"/>
    <s v="Pierce"/>
    <s v="07Pierce"/>
    <s v="02South Puget Sound"/>
    <n v="8"/>
    <n v="4"/>
    <n v="34.159999999999997"/>
  </r>
  <r>
    <n v="2136"/>
    <x v="10"/>
    <x v="5"/>
    <x v="10"/>
    <s v="Freshwater"/>
    <x v="0"/>
    <x v="0"/>
    <s v="844"/>
    <s v="Skykomish River"/>
    <s v="Skykomish River"/>
    <s v="Snohomish"/>
    <x v="0"/>
    <s v="King"/>
    <s v="06King"/>
    <s v="02South Puget Sound"/>
    <n v="14.6666666666667"/>
    <n v="7.3333333333333401"/>
    <n v="62.626666666666722"/>
  </r>
  <r>
    <n v="2137"/>
    <x v="10"/>
    <x v="5"/>
    <x v="10"/>
    <s v="Freshwater"/>
    <x v="0"/>
    <x v="0"/>
    <s v="844"/>
    <s v="Skykomish River"/>
    <s v="Skykomish River"/>
    <s v="Snohomish"/>
    <x v="0"/>
    <s v="Snohomish"/>
    <s v="03Snohomish"/>
    <s v="01North Puget Sound"/>
    <n v="29.3333333333333"/>
    <n v="14.6666666666667"/>
    <n v="125.2533333333336"/>
  </r>
  <r>
    <n v="2149"/>
    <x v="10"/>
    <x v="5"/>
    <x v="10"/>
    <s v="Freshwater"/>
    <x v="0"/>
    <x v="0"/>
    <s v="852"/>
    <s v="Snoqualmie River"/>
    <s v="Snoqualmie River"/>
    <s v="Snohomish/King"/>
    <x v="0"/>
    <s v="King"/>
    <s v="06King"/>
    <s v="02South Puget Sound"/>
    <n v="30"/>
    <n v="15"/>
    <n v="128.1"/>
  </r>
  <r>
    <n v="2160"/>
    <x v="10"/>
    <x v="5"/>
    <x v="10"/>
    <s v="Freshwater"/>
    <x v="0"/>
    <x v="0"/>
    <s v="876"/>
    <s v="Stillaguamish River"/>
    <s v="Stillaguamish River"/>
    <s v="Snohomish"/>
    <x v="0"/>
    <s v="Island"/>
    <s v="04Island"/>
    <s v="01North Puget Sound"/>
    <n v="8"/>
    <n v="4"/>
    <n v="34.159999999999997"/>
  </r>
  <r>
    <n v="2154"/>
    <x v="10"/>
    <x v="5"/>
    <x v="10"/>
    <s v="Freshwater"/>
    <x v="0"/>
    <x v="0"/>
    <s v="860"/>
    <s v="Wallace River"/>
    <s v="Wallace River"/>
    <s v="Snohomish"/>
    <x v="0"/>
    <s v="King"/>
    <s v="06King"/>
    <s v="02South Puget Sound"/>
    <n v="14"/>
    <n v="7"/>
    <n v="59.779999999999994"/>
  </r>
  <r>
    <n v="2119"/>
    <x v="10"/>
    <x v="6"/>
    <x v="10"/>
    <s v="Freshwater"/>
    <x v="0"/>
    <x v="0"/>
    <s v="746"/>
    <s v="Green (Duwamish River) (King Co.)"/>
    <s v="Green - Duwamish River"/>
    <s v="King"/>
    <x v="2"/>
    <s v="King"/>
    <s v="06King"/>
    <s v="02South Puget Sound"/>
    <n v="8"/>
    <n v="4"/>
    <n v="34.159999999999997"/>
  </r>
  <r>
    <n v="2127"/>
    <x v="10"/>
    <x v="6"/>
    <x v="10"/>
    <s v="Freshwater"/>
    <x v="0"/>
    <x v="0"/>
    <s v="830"/>
    <s v="Skagit River"/>
    <s v="Skagit River"/>
    <s v="Skagit/Whatcom"/>
    <x v="0"/>
    <s v="Whatcom"/>
    <s v="01Whatcom"/>
    <s v="01North Puget Sound"/>
    <n v="16"/>
    <n v="8"/>
    <n v="68.319999999999993"/>
  </r>
  <r>
    <n v="2157"/>
    <x v="10"/>
    <x v="6"/>
    <x v="10"/>
    <s v="Freshwater"/>
    <x v="0"/>
    <x v="0"/>
    <s v="872"/>
    <s v="Stillaguamish R, No. Fork"/>
    <s v="Stillaguamish R, No. Fork"/>
    <s v="Snohomish"/>
    <x v="0"/>
    <s v="King"/>
    <s v="06King"/>
    <s v="02South Puget Sound"/>
    <n v="22.5"/>
    <n v="11.25"/>
    <n v="96.074999999999989"/>
  </r>
  <r>
    <n v="2158"/>
    <x v="10"/>
    <x v="6"/>
    <x v="10"/>
    <s v="Freshwater"/>
    <x v="0"/>
    <x v="0"/>
    <s v="872"/>
    <s v="Stillaguamish R, No. Fork"/>
    <s v="Stillaguamish R, No. Fork"/>
    <s v="Snohomish"/>
    <x v="0"/>
    <s v="Snohomish"/>
    <s v="03Snohomish"/>
    <s v="01North Puget Sound"/>
    <n v="37.5"/>
    <n v="18.75"/>
    <n v="160.12499999999997"/>
  </r>
  <r>
    <n v="2150"/>
    <x v="10"/>
    <x v="7"/>
    <x v="10"/>
    <s v="Freshwater"/>
    <x v="0"/>
    <x v="0"/>
    <s v="852"/>
    <s v="Snoqualmie River"/>
    <s v="Snoqualmie River"/>
    <s v="Snohomish/King"/>
    <x v="0"/>
    <s v="King"/>
    <s v="06King"/>
    <s v="02South Puget Sound"/>
    <n v="16"/>
    <n v="8"/>
    <n v="68.319999999999993"/>
  </r>
  <r>
    <n v="2159"/>
    <x v="10"/>
    <x v="7"/>
    <x v="10"/>
    <s v="Freshwater"/>
    <x v="0"/>
    <x v="0"/>
    <s v="872"/>
    <s v="Stillaguamish R, No. Fork"/>
    <s v="Stillaguamish R, No. Fork"/>
    <s v="Snohomish"/>
    <x v="0"/>
    <s v="Snohomish"/>
    <s v="03Snohomish"/>
    <s v="01North Puget Sound"/>
    <n v="12"/>
    <n v="6"/>
    <n v="51.239999999999995"/>
  </r>
  <r>
    <n v="2155"/>
    <x v="10"/>
    <x v="7"/>
    <x v="10"/>
    <s v="Freshwater"/>
    <x v="0"/>
    <x v="0"/>
    <s v="860"/>
    <s v="Wallace River"/>
    <s v="Wallace River"/>
    <s v="Snohomish"/>
    <x v="0"/>
    <s v="King"/>
    <s v="06King"/>
    <s v="02South Puget Sound"/>
    <n v="34"/>
    <n v="17"/>
    <n v="145.17999999999998"/>
  </r>
  <r>
    <n v="2124"/>
    <x v="10"/>
    <x v="8"/>
    <x v="10"/>
    <s v="Freshwater"/>
    <x v="0"/>
    <x v="0"/>
    <s v="826"/>
    <s v="Cascade River"/>
    <s v="Cascade River"/>
    <s v="Skagit"/>
    <x v="1"/>
    <s v="King"/>
    <s v="06King"/>
    <s v="02South Puget Sound"/>
    <n v="12"/>
    <n v="6"/>
    <n v="51.239999999999995"/>
  </r>
  <r>
    <n v="2120"/>
    <x v="10"/>
    <x v="8"/>
    <x v="10"/>
    <s v="Freshwater"/>
    <x v="0"/>
    <x v="0"/>
    <s v="752"/>
    <s v="Hoko River"/>
    <s v="Hoko River"/>
    <s v="Clallam"/>
    <x v="3"/>
    <s v="Clallam"/>
    <s v="11Clallam"/>
    <s v="03Strait of Juan de Fuca"/>
    <n v="34"/>
    <n v="17"/>
    <n v="145.17999999999998"/>
  </r>
  <r>
    <n v="2121"/>
    <x v="10"/>
    <x v="8"/>
    <x v="10"/>
    <s v="Freshwater"/>
    <x v="0"/>
    <x v="0"/>
    <s v="790"/>
    <s v="Nooksack River, No. Fork"/>
    <s v="Nooksack River, No. Fork"/>
    <s v="Whatcom"/>
    <x v="1"/>
    <s v="Whatcom"/>
    <s v="01Whatcom"/>
    <s v="01North Puget Sound"/>
    <n v="12"/>
    <n v="6"/>
    <n v="51.239999999999995"/>
  </r>
  <r>
    <n v="2138"/>
    <x v="10"/>
    <x v="8"/>
    <x v="10"/>
    <s v="Freshwater"/>
    <x v="0"/>
    <x v="0"/>
    <s v="844"/>
    <s v="Skykomish River"/>
    <s v="Skykomish River"/>
    <s v="Snohomish"/>
    <x v="0"/>
    <s v="King"/>
    <s v="06King"/>
    <s v="02South Puget Sound"/>
    <n v="66.6666666666667"/>
    <n v="33.3333333333333"/>
    <n v="284.66666666666634"/>
  </r>
  <r>
    <n v="2139"/>
    <x v="10"/>
    <x v="8"/>
    <x v="10"/>
    <s v="Freshwater"/>
    <x v="0"/>
    <x v="0"/>
    <s v="844"/>
    <s v="Skykomish River"/>
    <s v="Skykomish River"/>
    <s v="Snohomish"/>
    <x v="0"/>
    <s v="Snohomish"/>
    <s v="03Snohomish"/>
    <s v="01North Puget Sound"/>
    <n v="83.3333333333334"/>
    <n v="41.6666666666667"/>
    <n v="355.8333333333336"/>
  </r>
  <r>
    <n v="2144"/>
    <x v="10"/>
    <x v="8"/>
    <x v="10"/>
    <s v="Freshwater"/>
    <x v="0"/>
    <x v="0"/>
    <s v="846"/>
    <s v="Skykomish River, No. Fork"/>
    <s v="Skykomish River, No. Fork"/>
    <s v="Snohomish"/>
    <x v="0"/>
    <s v="Snohomish"/>
    <s v="03Snohomish"/>
    <s v="01North Puget Sound"/>
    <n v="66"/>
    <n v="33"/>
    <n v="281.82"/>
  </r>
  <r>
    <n v="2151"/>
    <x v="10"/>
    <x v="8"/>
    <x v="10"/>
    <s v="Freshwater"/>
    <x v="0"/>
    <x v="0"/>
    <s v="852"/>
    <s v="Snoqualmie River"/>
    <s v="Snoqualmie River"/>
    <s v="Snohomish/King"/>
    <x v="0"/>
    <s v="King"/>
    <s v="06King"/>
    <s v="02South Puget Sound"/>
    <n v="16"/>
    <n v="8"/>
    <n v="68.319999999999993"/>
  </r>
  <r>
    <n v="2161"/>
    <x v="10"/>
    <x v="8"/>
    <x v="10"/>
    <s v="Freshwater"/>
    <x v="0"/>
    <x v="0"/>
    <s v="876"/>
    <s v="Stillaguamish River"/>
    <s v="Stillaguamish River"/>
    <s v="Snohomish"/>
    <x v="0"/>
    <s v="Snohomish"/>
    <s v="03Snohomish"/>
    <s v="01North Puget Sound"/>
    <n v="78"/>
    <n v="39"/>
    <n v="333.05999999999995"/>
  </r>
  <r>
    <n v="2113"/>
    <x v="11"/>
    <x v="9"/>
    <x v="10"/>
    <s v="Freshwater"/>
    <x v="0"/>
    <x v="0"/>
    <s v="732"/>
    <s v="Dewatto River"/>
    <s v="Dewatto River"/>
    <s v="Mason"/>
    <x v="2"/>
    <s v="Pierce"/>
    <s v="07Pierce"/>
    <s v="02South Puget Sound"/>
    <n v="12"/>
    <n v="6"/>
    <n v="111.30000000000001"/>
  </r>
  <r>
    <n v="2114"/>
    <x v="11"/>
    <x v="9"/>
    <x v="10"/>
    <s v="Freshwater"/>
    <x v="0"/>
    <x v="0"/>
    <s v="738"/>
    <s v="Dungeness River"/>
    <s v="Dungeness River"/>
    <s v="Clallam"/>
    <x v="3"/>
    <s v="Kitsap"/>
    <s v="10Kitsap"/>
    <s v="02South Puget Sound"/>
    <n v="12"/>
    <n v="6"/>
    <n v="111.30000000000001"/>
  </r>
  <r>
    <n v="2122"/>
    <x v="11"/>
    <x v="9"/>
    <x v="10"/>
    <s v="Freshwater"/>
    <x v="0"/>
    <x v="0"/>
    <s v="794"/>
    <s v="Nooksack River, below North Fork"/>
    <s v="Nooksack River, below North Fork"/>
    <s v="Whatcom"/>
    <x v="1"/>
    <s v="King"/>
    <s v="06King"/>
    <s v="02South Puget Sound"/>
    <n v="12"/>
    <n v="6"/>
    <n v="111.30000000000001"/>
  </r>
  <r>
    <n v="2123"/>
    <x v="11"/>
    <x v="9"/>
    <x v="10"/>
    <s v="Freshwater"/>
    <x v="0"/>
    <x v="0"/>
    <s v="818"/>
    <s v="Sekiu River"/>
    <s v="Sekiu River"/>
    <s v="Clallam"/>
    <x v="3"/>
    <s v="Kitsap"/>
    <s v="10Kitsap"/>
    <s v="02South Puget Sound"/>
    <n v="12"/>
    <n v="6"/>
    <n v="111.30000000000001"/>
  </r>
  <r>
    <n v="2140"/>
    <x v="11"/>
    <x v="9"/>
    <x v="10"/>
    <s v="Freshwater"/>
    <x v="0"/>
    <x v="0"/>
    <s v="844"/>
    <s v="Skykomish River"/>
    <s v="Skykomish River"/>
    <s v="Snohomish"/>
    <x v="0"/>
    <s v="King"/>
    <s v="06King"/>
    <s v="02South Puget Sound"/>
    <n v="100"/>
    <n v="50"/>
    <n v="927.5"/>
  </r>
  <r>
    <n v="2141"/>
    <x v="11"/>
    <x v="9"/>
    <x v="10"/>
    <s v="Freshwater"/>
    <x v="0"/>
    <x v="0"/>
    <s v="844"/>
    <s v="Skykomish River"/>
    <s v="Skykomish River"/>
    <s v="Snohomish"/>
    <x v="0"/>
    <s v="Other"/>
    <s v="20Other"/>
    <s v="07Non Puget Sound"/>
    <n v="16.6666666666667"/>
    <n v="8.3333333333333304"/>
    <n v="154.58333333333329"/>
  </r>
  <r>
    <n v="2142"/>
    <x v="11"/>
    <x v="9"/>
    <x v="10"/>
    <s v="Freshwater"/>
    <x v="0"/>
    <x v="0"/>
    <s v="844"/>
    <s v="Skykomish River"/>
    <s v="Skykomish River"/>
    <s v="Snohomish"/>
    <x v="0"/>
    <s v="Snohomish"/>
    <s v="03Snohomish"/>
    <s v="01North Puget Sound"/>
    <n v="83.3333333333334"/>
    <n v="41.6666666666667"/>
    <n v="772.91666666666731"/>
  </r>
  <r>
    <n v="2147"/>
    <x v="11"/>
    <x v="9"/>
    <x v="10"/>
    <s v="Freshwater"/>
    <x v="0"/>
    <x v="0"/>
    <s v="850"/>
    <s v="Snohomish River"/>
    <s v="Snohomish River"/>
    <s v="Snohomish"/>
    <x v="0"/>
    <s v="Snohomish"/>
    <s v="03Snohomish"/>
    <s v="01North Puget Sound"/>
    <n v="34"/>
    <n v="17"/>
    <n v="315.35000000000002"/>
  </r>
  <r>
    <n v="2162"/>
    <x v="11"/>
    <x v="9"/>
    <x v="10"/>
    <s v="Freshwater"/>
    <x v="0"/>
    <x v="0"/>
    <s v="876"/>
    <s v="Stillaguamish River"/>
    <s v="Stillaguamish River"/>
    <s v="Snohomish"/>
    <x v="0"/>
    <s v="Snohomish"/>
    <s v="03Snohomish"/>
    <s v="01North Puget Sound"/>
    <n v="34"/>
    <n v="17"/>
    <n v="315.35000000000002"/>
  </r>
  <r>
    <n v="2152"/>
    <x v="11"/>
    <x v="9"/>
    <x v="10"/>
    <s v="Freshwater"/>
    <x v="0"/>
    <x v="0"/>
    <s v="856"/>
    <s v="Tokul Creek"/>
    <s v="Tokul Creek"/>
    <s v="King"/>
    <x v="0"/>
    <s v="King"/>
    <s v="06King"/>
    <s v="02South Puget Sound"/>
    <n v="34"/>
    <n v="17"/>
    <n v="315.35000000000002"/>
  </r>
  <r>
    <n v="2156"/>
    <x v="11"/>
    <x v="9"/>
    <x v="10"/>
    <s v="Freshwater"/>
    <x v="0"/>
    <x v="0"/>
    <s v="860"/>
    <s v="Wallace River"/>
    <s v="Wallace River"/>
    <s v="Snohomish"/>
    <x v="0"/>
    <s v="Snohomish"/>
    <s v="03Snohomish"/>
    <s v="01North Puget Sound"/>
    <n v="16"/>
    <n v="8"/>
    <n v="148.4"/>
  </r>
  <r>
    <n v="2143"/>
    <x v="11"/>
    <x v="10"/>
    <x v="10"/>
    <s v="Freshwater"/>
    <x v="0"/>
    <x v="0"/>
    <s v="844"/>
    <s v="Skykomish River"/>
    <s v="Skykomish River"/>
    <s v="Snohomish"/>
    <x v="0"/>
    <s v="King"/>
    <s v="06King"/>
    <s v="02South Puget Sound"/>
    <n v="50"/>
    <n v="25"/>
    <n v="463.75"/>
  </r>
  <r>
    <n v="2153"/>
    <x v="11"/>
    <x v="10"/>
    <x v="10"/>
    <s v="Freshwater"/>
    <x v="0"/>
    <x v="0"/>
    <s v="856"/>
    <s v="Tokul Creek"/>
    <s v="Tokul Creek"/>
    <s v="King"/>
    <x v="0"/>
    <s v="King"/>
    <s v="06King"/>
    <s v="02South Puget Sound"/>
    <n v="16"/>
    <n v="8"/>
    <n v="148.4"/>
  </r>
  <r>
    <n v="2176"/>
    <x v="11"/>
    <x v="1"/>
    <x v="11"/>
    <s v="Freshwater"/>
    <x v="0"/>
    <x v="0"/>
    <s v="844"/>
    <s v="Skykomish River"/>
    <s v="Skykomish River"/>
    <s v="Snohomish"/>
    <x v="0"/>
    <s v="King"/>
    <s v="06King"/>
    <s v="02South Puget Sound"/>
    <n v="27"/>
    <n v="11.5"/>
    <n v="213.32500000000002"/>
  </r>
  <r>
    <n v="2177"/>
    <x v="11"/>
    <x v="1"/>
    <x v="11"/>
    <s v="Freshwater"/>
    <x v="0"/>
    <x v="0"/>
    <s v="844"/>
    <s v="Skykomish River"/>
    <s v="Skykomish River"/>
    <s v="Snohomish"/>
    <x v="0"/>
    <s v="Snohomish"/>
    <s v="03Snohomish"/>
    <s v="01North Puget Sound"/>
    <n v="27"/>
    <n v="11.5"/>
    <n v="213.32500000000002"/>
  </r>
  <r>
    <n v="2178"/>
    <x v="11"/>
    <x v="2"/>
    <x v="11"/>
    <s v="Freshwater"/>
    <x v="0"/>
    <x v="0"/>
    <s v="844"/>
    <s v="Skykomish River"/>
    <s v="Skykomish River"/>
    <s v="Snohomish"/>
    <x v="0"/>
    <s v="King"/>
    <s v="06King"/>
    <s v="02South Puget Sound"/>
    <n v="53.3333333333333"/>
    <n v="45.7777777777778"/>
    <n v="849.17777777777826"/>
  </r>
  <r>
    <n v="2179"/>
    <x v="11"/>
    <x v="2"/>
    <x v="11"/>
    <s v="Freshwater"/>
    <x v="0"/>
    <x v="0"/>
    <s v="844"/>
    <s v="Skykomish River"/>
    <s v="Skykomish River"/>
    <s v="Snohomish"/>
    <x v="0"/>
    <s v="Pierce"/>
    <s v="07Pierce"/>
    <s v="02South Puget Sound"/>
    <n v="13.3333333333333"/>
    <n v="11.4444444444444"/>
    <n v="212.29444444444363"/>
  </r>
  <r>
    <n v="2180"/>
    <x v="11"/>
    <x v="2"/>
    <x v="11"/>
    <s v="Freshwater"/>
    <x v="0"/>
    <x v="0"/>
    <s v="844"/>
    <s v="Skykomish River"/>
    <s v="Skykomish River"/>
    <s v="Snohomish"/>
    <x v="0"/>
    <s v="Snohomish"/>
    <s v="03Snohomish"/>
    <s v="01North Puget Sound"/>
    <n v="53.3333333333333"/>
    <n v="45.7777777777778"/>
    <n v="849.17777777777826"/>
  </r>
  <r>
    <n v="2166"/>
    <x v="11"/>
    <x v="3"/>
    <x v="11"/>
    <s v="Freshwater"/>
    <x v="0"/>
    <x v="0"/>
    <s v="746"/>
    <s v="Green (Duwamish River) (King Co.)"/>
    <s v="Green - Duwamish River"/>
    <s v="King"/>
    <x v="2"/>
    <s v="Pierce"/>
    <s v="07Pierce"/>
    <s v="02South Puget Sound"/>
    <n v="22"/>
    <n v="11"/>
    <n v="204.05"/>
  </r>
  <r>
    <n v="2181"/>
    <x v="11"/>
    <x v="3"/>
    <x v="11"/>
    <s v="Freshwater"/>
    <x v="0"/>
    <x v="0"/>
    <s v="844"/>
    <s v="Skykomish River"/>
    <s v="Skykomish River"/>
    <s v="Snohomish"/>
    <x v="0"/>
    <s v="King"/>
    <s v="06King"/>
    <s v="02South Puget Sound"/>
    <n v="161.28"/>
    <n v="11.04"/>
    <n v="204.792"/>
  </r>
  <r>
    <n v="2182"/>
    <x v="11"/>
    <x v="3"/>
    <x v="11"/>
    <s v="Freshwater"/>
    <x v="0"/>
    <x v="0"/>
    <s v="844"/>
    <s v="Skykomish River"/>
    <s v="Skykomish River"/>
    <s v="Snohomish"/>
    <x v="0"/>
    <s v="Pierce"/>
    <s v="07Pierce"/>
    <s v="02South Puget Sound"/>
    <n v="26.88"/>
    <n v="1.84"/>
    <n v="34.132000000000005"/>
  </r>
  <r>
    <n v="2183"/>
    <x v="11"/>
    <x v="3"/>
    <x v="11"/>
    <s v="Freshwater"/>
    <x v="0"/>
    <x v="0"/>
    <s v="844"/>
    <s v="Skykomish River"/>
    <s v="Skykomish River"/>
    <s v="Snohomish"/>
    <x v="0"/>
    <s v="Snohomish"/>
    <s v="03Snohomish"/>
    <s v="01North Puget Sound"/>
    <n v="147.84"/>
    <n v="10.119999999999999"/>
    <n v="187.726"/>
  </r>
  <r>
    <n v="2230"/>
    <x v="11"/>
    <x v="4"/>
    <x v="11"/>
    <s v="Freshwater"/>
    <x v="0"/>
    <x v="0"/>
    <s v="9"/>
    <s v="Area 9: Admiralty Inlet"/>
    <s v="Area 9: Admiralty Inlet"/>
    <s v="NA"/>
    <x v="0"/>
    <s v="Snohomish"/>
    <s v="03Snohomish"/>
    <s v="01North Puget Sound"/>
    <n v="12"/>
    <n v="6"/>
    <n v="111.30000000000001"/>
  </r>
  <r>
    <n v="2167"/>
    <x v="11"/>
    <x v="4"/>
    <x v="11"/>
    <s v="Freshwater"/>
    <x v="0"/>
    <x v="0"/>
    <s v="746"/>
    <s v="Green (Duwamish River) (King Co.)"/>
    <s v="Green - Duwamish River"/>
    <s v="King"/>
    <x v="2"/>
    <s v="King"/>
    <s v="06King"/>
    <s v="02South Puget Sound"/>
    <n v="33"/>
    <n v="16.5"/>
    <n v="306.07499999999999"/>
  </r>
  <r>
    <n v="2168"/>
    <x v="11"/>
    <x v="4"/>
    <x v="11"/>
    <s v="Freshwater"/>
    <x v="0"/>
    <x v="0"/>
    <s v="746"/>
    <s v="Green (Duwamish River) (King Co.)"/>
    <s v="Green - Duwamish River"/>
    <s v="King"/>
    <x v="2"/>
    <s v="Pierce"/>
    <s v="07Pierce"/>
    <s v="02South Puget Sound"/>
    <n v="33"/>
    <n v="16.5"/>
    <n v="306.07499999999999"/>
  </r>
  <r>
    <n v="2173"/>
    <x v="11"/>
    <x v="4"/>
    <x v="11"/>
    <s v="Freshwater"/>
    <x v="0"/>
    <x v="0"/>
    <s v="804"/>
    <s v="Puyallup River"/>
    <s v="Puyallup River"/>
    <s v="Pierce"/>
    <x v="2"/>
    <s v="Pierce"/>
    <s v="07Pierce"/>
    <s v="02South Puget Sound"/>
    <n v="12"/>
    <n v="1"/>
    <n v="18.55"/>
  </r>
  <r>
    <n v="2174"/>
    <x v="11"/>
    <x v="4"/>
    <x v="11"/>
    <s v="Freshwater"/>
    <x v="0"/>
    <x v="0"/>
    <s v="804"/>
    <s v="Puyallup River"/>
    <s v="Puyallup River"/>
    <s v="Pierce"/>
    <x v="2"/>
    <s v="Snohomish"/>
    <s v="03Snohomish"/>
    <s v="01North Puget Sound"/>
    <n v="0"/>
    <n v="0"/>
    <n v="0"/>
  </r>
  <r>
    <n v="2184"/>
    <x v="11"/>
    <x v="4"/>
    <x v="11"/>
    <s v="Freshwater"/>
    <x v="0"/>
    <x v="0"/>
    <s v="844"/>
    <s v="Skykomish River"/>
    <s v="Skykomish River"/>
    <s v="Snohomish"/>
    <x v="0"/>
    <s v="King"/>
    <s v="06King"/>
    <s v="02South Puget Sound"/>
    <n v="93.3333333333333"/>
    <n v="46.6666666666667"/>
    <n v="865.66666666666731"/>
  </r>
  <r>
    <n v="2185"/>
    <x v="11"/>
    <x v="4"/>
    <x v="11"/>
    <s v="Freshwater"/>
    <x v="0"/>
    <x v="0"/>
    <s v="844"/>
    <s v="Skykomish River"/>
    <s v="Skykomish River"/>
    <s v="Snohomish"/>
    <x v="0"/>
    <s v="Other"/>
    <s v="20Other"/>
    <s v="07Non Puget Sound"/>
    <n v="13.3333333333333"/>
    <n v="6.6666666666666696"/>
    <n v="123.66666666666673"/>
  </r>
  <r>
    <n v="2186"/>
    <x v="11"/>
    <x v="4"/>
    <x v="11"/>
    <s v="Freshwater"/>
    <x v="0"/>
    <x v="0"/>
    <s v="844"/>
    <s v="Skykomish River"/>
    <s v="Skykomish River"/>
    <s v="Snohomish"/>
    <x v="0"/>
    <s v="Snohomish"/>
    <s v="03Snohomish"/>
    <s v="01North Puget Sound"/>
    <n v="13.3333333333333"/>
    <n v="6.6666666666666696"/>
    <n v="123.66666666666673"/>
  </r>
  <r>
    <n v="2206"/>
    <x v="11"/>
    <x v="4"/>
    <x v="11"/>
    <s v="Freshwater"/>
    <x v="0"/>
    <x v="0"/>
    <s v="856"/>
    <s v="Tokul Creek"/>
    <s v="Tokul Creek"/>
    <s v="King"/>
    <x v="0"/>
    <s v="King"/>
    <s v="06King"/>
    <s v="02South Puget Sound"/>
    <n v="14"/>
    <n v="7"/>
    <n v="129.85"/>
  </r>
  <r>
    <n v="2169"/>
    <x v="11"/>
    <x v="5"/>
    <x v="11"/>
    <s v="Freshwater"/>
    <x v="0"/>
    <x v="0"/>
    <s v="746"/>
    <s v="Green (Duwamish River) (King Co.)"/>
    <s v="Green - Duwamish River"/>
    <s v="King"/>
    <x v="2"/>
    <s v="Pierce"/>
    <s v="07Pierce"/>
    <s v="02South Puget Sound"/>
    <n v="22"/>
    <n v="11"/>
    <n v="204.05"/>
  </r>
  <r>
    <n v="2187"/>
    <x v="11"/>
    <x v="5"/>
    <x v="11"/>
    <s v="Freshwater"/>
    <x v="0"/>
    <x v="0"/>
    <s v="844"/>
    <s v="Skykomish River"/>
    <s v="Skykomish River"/>
    <s v="Snohomish"/>
    <x v="0"/>
    <s v="Snohomish"/>
    <s v="03Snohomish"/>
    <s v="01North Puget Sound"/>
    <n v="68"/>
    <n v="34"/>
    <n v="630.70000000000005"/>
  </r>
  <r>
    <n v="2197"/>
    <x v="11"/>
    <x v="5"/>
    <x v="11"/>
    <s v="Freshwater"/>
    <x v="0"/>
    <x v="0"/>
    <s v="850"/>
    <s v="Snohomish River"/>
    <s v="Snohomish River"/>
    <s v="Snohomish"/>
    <x v="0"/>
    <s v="Snohomish"/>
    <s v="03Snohomish"/>
    <s v="01North Puget Sound"/>
    <n v="14"/>
    <n v="7"/>
    <n v="129.85"/>
  </r>
  <r>
    <n v="2214"/>
    <x v="11"/>
    <x v="5"/>
    <x v="11"/>
    <s v="Freshwater"/>
    <x v="0"/>
    <x v="0"/>
    <s v="860"/>
    <s v="Wallace River"/>
    <s v="Wallace River"/>
    <s v="Snohomish"/>
    <x v="0"/>
    <s v="Snohomish"/>
    <s v="03Snohomish"/>
    <s v="01North Puget Sound"/>
    <n v="28"/>
    <n v="14"/>
    <n v="259.7"/>
  </r>
  <r>
    <n v="2170"/>
    <x v="11"/>
    <x v="6"/>
    <x v="11"/>
    <s v="Freshwater"/>
    <x v="0"/>
    <x v="0"/>
    <s v="746"/>
    <s v="Green (Duwamish River) (King Co.)"/>
    <s v="Green - Duwamish River"/>
    <s v="King"/>
    <x v="2"/>
    <s v="King"/>
    <s v="06King"/>
    <s v="02South Puget Sound"/>
    <n v="11"/>
    <n v="5.5"/>
    <n v="102.02500000000001"/>
  </r>
  <r>
    <n v="2171"/>
    <x v="11"/>
    <x v="6"/>
    <x v="11"/>
    <s v="Freshwater"/>
    <x v="0"/>
    <x v="0"/>
    <s v="746"/>
    <s v="Green (Duwamish River) (King Co.)"/>
    <s v="Green - Duwamish River"/>
    <s v="King"/>
    <x v="2"/>
    <s v="Pierce"/>
    <s v="07Pierce"/>
    <s v="02South Puget Sound"/>
    <n v="11"/>
    <n v="5.5"/>
    <n v="102.02500000000001"/>
  </r>
  <r>
    <n v="2188"/>
    <x v="11"/>
    <x v="6"/>
    <x v="11"/>
    <s v="Freshwater"/>
    <x v="0"/>
    <x v="0"/>
    <s v="844"/>
    <s v="Skykomish River"/>
    <s v="Skykomish River"/>
    <s v="Snohomish"/>
    <x v="0"/>
    <s v="Snohomish"/>
    <s v="03Snohomish"/>
    <s v="01North Puget Sound"/>
    <n v="40"/>
    <n v="20"/>
    <n v="371"/>
  </r>
  <r>
    <n v="2198"/>
    <x v="11"/>
    <x v="6"/>
    <x v="11"/>
    <s v="Freshwater"/>
    <x v="0"/>
    <x v="0"/>
    <s v="850"/>
    <s v="Snohomish River"/>
    <s v="Snohomish River"/>
    <s v="Snohomish"/>
    <x v="0"/>
    <s v="Snohomish"/>
    <s v="03Snohomish"/>
    <s v="01North Puget Sound"/>
    <n v="14"/>
    <n v="7"/>
    <n v="129.85"/>
  </r>
  <r>
    <n v="2223"/>
    <x v="11"/>
    <x v="6"/>
    <x v="11"/>
    <s v="Freshwater"/>
    <x v="0"/>
    <x v="0"/>
    <s v="872"/>
    <s v="Stillaguamish R, No. Fork"/>
    <s v="Stillaguamish R, No. Fork"/>
    <s v="Snohomish"/>
    <x v="0"/>
    <s v="King"/>
    <s v="06King"/>
    <s v="02South Puget Sound"/>
    <n v="11.3333333333333"/>
    <n v="5.6666666666666696"/>
    <n v="105.11666666666673"/>
  </r>
  <r>
    <n v="2224"/>
    <x v="11"/>
    <x v="6"/>
    <x v="11"/>
    <s v="Freshwater"/>
    <x v="0"/>
    <x v="0"/>
    <s v="872"/>
    <s v="Stillaguamish R, No. Fork"/>
    <s v="Stillaguamish R, No. Fork"/>
    <s v="Snohomish"/>
    <x v="0"/>
    <s v="Snohomish"/>
    <s v="03Snohomish"/>
    <s v="01North Puget Sound"/>
    <n v="22.6666666666667"/>
    <n v="11.3333333333333"/>
    <n v="210.23333333333272"/>
  </r>
  <r>
    <n v="2215"/>
    <x v="11"/>
    <x v="6"/>
    <x v="11"/>
    <s v="Freshwater"/>
    <x v="0"/>
    <x v="0"/>
    <s v="860"/>
    <s v="Wallace River"/>
    <s v="Wallace River"/>
    <s v="Snohomish"/>
    <x v="0"/>
    <s v="Snohomish"/>
    <s v="03Snohomish"/>
    <s v="01North Puget Sound"/>
    <n v="28"/>
    <n v="14"/>
    <n v="259.7"/>
  </r>
  <r>
    <n v="2172"/>
    <x v="11"/>
    <x v="7"/>
    <x v="11"/>
    <s v="Freshwater"/>
    <x v="0"/>
    <x v="0"/>
    <s v="746"/>
    <s v="Green (Duwamish River) (King Co.)"/>
    <s v="Green - Duwamish River"/>
    <s v="King"/>
    <x v="2"/>
    <s v="Kitsap"/>
    <s v="10Kitsap"/>
    <s v="02South Puget Sound"/>
    <n v="12"/>
    <n v="6"/>
    <n v="111.30000000000001"/>
  </r>
  <r>
    <n v="2189"/>
    <x v="11"/>
    <x v="7"/>
    <x v="11"/>
    <s v="Freshwater"/>
    <x v="0"/>
    <x v="0"/>
    <s v="844"/>
    <s v="Skykomish River"/>
    <s v="Skykomish River"/>
    <s v="Snohomish"/>
    <x v="0"/>
    <s v="King"/>
    <s v="06King"/>
    <s v="02South Puget Sound"/>
    <n v="14.8"/>
    <n v="7.4"/>
    <n v="137.27000000000001"/>
  </r>
  <r>
    <n v="2190"/>
    <x v="11"/>
    <x v="7"/>
    <x v="11"/>
    <s v="Freshwater"/>
    <x v="0"/>
    <x v="0"/>
    <s v="844"/>
    <s v="Skykomish River"/>
    <s v="Skykomish River"/>
    <s v="Snohomish"/>
    <x v="0"/>
    <s v="Snohomish"/>
    <s v="03Snohomish"/>
    <s v="01North Puget Sound"/>
    <n v="59.2"/>
    <n v="29.6"/>
    <n v="549.08000000000004"/>
  </r>
  <r>
    <n v="2199"/>
    <x v="11"/>
    <x v="7"/>
    <x v="11"/>
    <s v="Freshwater"/>
    <x v="0"/>
    <x v="0"/>
    <s v="850"/>
    <s v="Snohomish River"/>
    <s v="Snohomish River"/>
    <s v="Snohomish"/>
    <x v="0"/>
    <s v="King"/>
    <s v="06King"/>
    <s v="02South Puget Sound"/>
    <n v="14"/>
    <n v="7"/>
    <n v="129.85"/>
  </r>
  <r>
    <n v="2207"/>
    <x v="11"/>
    <x v="7"/>
    <x v="11"/>
    <s v="Freshwater"/>
    <x v="0"/>
    <x v="0"/>
    <s v="856"/>
    <s v="Tokul Creek"/>
    <s v="Tokul Creek"/>
    <s v="King"/>
    <x v="0"/>
    <s v="King"/>
    <s v="06King"/>
    <s v="02South Puget Sound"/>
    <n v="14"/>
    <n v="7"/>
    <n v="129.85"/>
  </r>
  <r>
    <n v="2216"/>
    <x v="11"/>
    <x v="7"/>
    <x v="11"/>
    <s v="Freshwater"/>
    <x v="0"/>
    <x v="0"/>
    <s v="860"/>
    <s v="Wallace River"/>
    <s v="Wallace River"/>
    <s v="Snohomish"/>
    <x v="0"/>
    <s v="King"/>
    <s v="06King"/>
    <s v="02South Puget Sound"/>
    <n v="30"/>
    <n v="15"/>
    <n v="278.25"/>
  </r>
  <r>
    <n v="2222"/>
    <x v="11"/>
    <x v="8"/>
    <x v="11"/>
    <s v="Freshwater"/>
    <x v="0"/>
    <x v="0"/>
    <s v="866"/>
    <s v="Canyon Creek"/>
    <s v="Canyon Creek"/>
    <s v="Snohomish"/>
    <x v="0"/>
    <s v="Snohomish"/>
    <s v="03Snohomish"/>
    <s v="01North Puget Sound"/>
    <n v="12"/>
    <n v="6"/>
    <n v="111.30000000000001"/>
  </r>
  <r>
    <n v="2164"/>
    <x v="11"/>
    <x v="8"/>
    <x v="11"/>
    <s v="Freshwater"/>
    <x v="0"/>
    <x v="0"/>
    <s v="738"/>
    <s v="Dungeness River"/>
    <s v="Dungeness River"/>
    <s v="Clallam"/>
    <x v="3"/>
    <s v="Clallam"/>
    <s v="11Clallam"/>
    <s v="03Strait of Juan de Fuca"/>
    <n v="12"/>
    <n v="6"/>
    <n v="111.30000000000001"/>
  </r>
  <r>
    <n v="2191"/>
    <x v="11"/>
    <x v="8"/>
    <x v="11"/>
    <s v="Freshwater"/>
    <x v="0"/>
    <x v="0"/>
    <s v="844"/>
    <s v="Skykomish River"/>
    <s v="Skykomish River"/>
    <s v="Snohomish"/>
    <x v="0"/>
    <s v="King"/>
    <s v="06King"/>
    <s v="02South Puget Sound"/>
    <n v="404.06896551724202"/>
    <n v="216"/>
    <n v="4006.8"/>
  </r>
  <r>
    <n v="2192"/>
    <x v="11"/>
    <x v="8"/>
    <x v="11"/>
    <s v="Freshwater"/>
    <x v="0"/>
    <x v="0"/>
    <s v="844"/>
    <s v="Skykomish River"/>
    <s v="Skykomish River"/>
    <s v="Snohomish"/>
    <x v="0"/>
    <s v="Pierce"/>
    <s v="07Pierce"/>
    <s v="02South Puget Sound"/>
    <n v="14.965517241379301"/>
    <n v="8"/>
    <n v="148.4"/>
  </r>
  <r>
    <n v="2193"/>
    <x v="11"/>
    <x v="8"/>
    <x v="11"/>
    <s v="Freshwater"/>
    <x v="0"/>
    <x v="0"/>
    <s v="844"/>
    <s v="Skykomish River"/>
    <s v="Skykomish River"/>
    <s v="Snohomish"/>
    <x v="0"/>
    <s v="Snohomish"/>
    <s v="03Snohomish"/>
    <s v="01North Puget Sound"/>
    <n v="448.96551724137902"/>
    <n v="240"/>
    <n v="4452"/>
  </r>
  <r>
    <n v="2200"/>
    <x v="11"/>
    <x v="8"/>
    <x v="11"/>
    <s v="Freshwater"/>
    <x v="0"/>
    <x v="0"/>
    <s v="850"/>
    <s v="Snohomish River"/>
    <s v="Snohomish River"/>
    <s v="Snohomish"/>
    <x v="0"/>
    <s v="Snohomish"/>
    <s v="03Snohomish"/>
    <s v="01North Puget Sound"/>
    <n v="164"/>
    <n v="82"/>
    <n v="1521.1000000000001"/>
  </r>
  <r>
    <n v="2202"/>
    <x v="11"/>
    <x v="8"/>
    <x v="11"/>
    <s v="Freshwater"/>
    <x v="0"/>
    <x v="0"/>
    <s v="852"/>
    <s v="Snoqualmie River"/>
    <s v="Snoqualmie River"/>
    <s v="Snohomish/King"/>
    <x v="0"/>
    <s v="King"/>
    <s v="06King"/>
    <s v="02South Puget Sound"/>
    <n v="418.13333333333298"/>
    <n v="24.266666666666701"/>
    <n v="450.14666666666733"/>
  </r>
  <r>
    <n v="2203"/>
    <x v="11"/>
    <x v="8"/>
    <x v="11"/>
    <s v="Freshwater"/>
    <x v="0"/>
    <x v="0"/>
    <s v="852"/>
    <s v="Snoqualmie River"/>
    <s v="Snoqualmie River"/>
    <s v="Snohomish/King"/>
    <x v="0"/>
    <s v="Pierce"/>
    <s v="07Pierce"/>
    <s v="02South Puget Sound"/>
    <n v="29.866666666666699"/>
    <n v="1.7333333333333301"/>
    <n v="32.153333333333272"/>
  </r>
  <r>
    <n v="2225"/>
    <x v="11"/>
    <x v="8"/>
    <x v="11"/>
    <s v="Freshwater"/>
    <x v="0"/>
    <x v="0"/>
    <s v="872"/>
    <s v="Stillaguamish R, No. Fork"/>
    <s v="Stillaguamish R, No. Fork"/>
    <s v="Snohomish"/>
    <x v="0"/>
    <s v="Snohomish"/>
    <s v="03Snohomish"/>
    <s v="01North Puget Sound"/>
    <n v="240"/>
    <n v="236"/>
    <n v="4377.8"/>
  </r>
  <r>
    <n v="2229"/>
    <x v="11"/>
    <x v="8"/>
    <x v="11"/>
    <s v="Freshwater"/>
    <x v="0"/>
    <x v="0"/>
    <s v="876"/>
    <s v="Stillaguamish River"/>
    <s v="Stillaguamish River"/>
    <s v="Snohomish"/>
    <x v="0"/>
    <s v="Snohomish"/>
    <s v="03Snohomish"/>
    <s v="01North Puget Sound"/>
    <n v="156"/>
    <n v="78"/>
    <n v="1446.9"/>
  </r>
  <r>
    <n v="2208"/>
    <x v="11"/>
    <x v="8"/>
    <x v="11"/>
    <s v="Freshwater"/>
    <x v="0"/>
    <x v="0"/>
    <s v="856"/>
    <s v="Tokul Creek"/>
    <s v="Tokul Creek"/>
    <s v="King"/>
    <x v="0"/>
    <s v="King"/>
    <s v="06King"/>
    <s v="02South Puget Sound"/>
    <n v="374.07407407407402"/>
    <n v="218.51851851851899"/>
    <n v="4053.5185185185273"/>
  </r>
  <r>
    <n v="2209"/>
    <x v="11"/>
    <x v="8"/>
    <x v="11"/>
    <s v="Freshwater"/>
    <x v="0"/>
    <x v="0"/>
    <s v="856"/>
    <s v="Tokul Creek"/>
    <s v="Tokul Creek"/>
    <s v="King"/>
    <x v="0"/>
    <s v="Snohomish"/>
    <s v="03Snohomish"/>
    <s v="01North Puget Sound"/>
    <n v="29.925925925925899"/>
    <n v="17.481481481481499"/>
    <n v="324.28148148148182"/>
  </r>
  <r>
    <n v="2217"/>
    <x v="11"/>
    <x v="8"/>
    <x v="11"/>
    <s v="Freshwater"/>
    <x v="0"/>
    <x v="0"/>
    <s v="860"/>
    <s v="Wallace River"/>
    <s v="Wallace River"/>
    <s v="Snohomish"/>
    <x v="0"/>
    <s v="King"/>
    <s v="06King"/>
    <s v="02South Puget Sound"/>
    <n v="123.130434782609"/>
    <n v="33.3913043478261"/>
    <n v="619.40869565217417"/>
  </r>
  <r>
    <n v="2218"/>
    <x v="11"/>
    <x v="8"/>
    <x v="11"/>
    <s v="Freshwater"/>
    <x v="0"/>
    <x v="0"/>
    <s v="860"/>
    <s v="Wallace River"/>
    <s v="Wallace River"/>
    <s v="Snohomish"/>
    <x v="0"/>
    <s v="Snohomish"/>
    <s v="03Snohomish"/>
    <s v="01North Puget Sound"/>
    <n v="230.869565217391"/>
    <n v="62.6086956521739"/>
    <n v="1161.3913043478258"/>
  </r>
  <r>
    <n v="2165"/>
    <x v="12"/>
    <x v="9"/>
    <x v="11"/>
    <s v="Freshwater"/>
    <x v="0"/>
    <x v="0"/>
    <s v="738"/>
    <s v="Dungeness River"/>
    <s v="Dungeness River"/>
    <s v="Clallam"/>
    <x v="3"/>
    <s v="Clallam"/>
    <s v="11Clallam"/>
    <s v="03Strait of Juan de Fuca"/>
    <n v="12"/>
    <n v="6"/>
    <n v="51.239999999999995"/>
  </r>
  <r>
    <n v="2175"/>
    <x v="12"/>
    <x v="9"/>
    <x v="11"/>
    <s v="Freshwater"/>
    <x v="0"/>
    <x v="0"/>
    <s v="818"/>
    <s v="Sekiu River"/>
    <s v="Sekiu River"/>
    <s v="Clallam"/>
    <x v="3"/>
    <s v="Snohomish"/>
    <s v="03Snohomish"/>
    <s v="01North Puget Sound"/>
    <n v="12"/>
    <n v="6"/>
    <n v="51.239999999999995"/>
  </r>
  <r>
    <n v="2194"/>
    <x v="12"/>
    <x v="9"/>
    <x v="11"/>
    <s v="Freshwater"/>
    <x v="0"/>
    <x v="0"/>
    <s v="844"/>
    <s v="Skykomish River"/>
    <s v="Skykomish River"/>
    <s v="Snohomish"/>
    <x v="0"/>
    <s v="King"/>
    <s v="06King"/>
    <s v="02South Puget Sound"/>
    <n v="165"/>
    <n v="72.7222222222222"/>
    <n v="621.04777777777758"/>
  </r>
  <r>
    <n v="2195"/>
    <x v="12"/>
    <x v="9"/>
    <x v="11"/>
    <s v="Freshwater"/>
    <x v="0"/>
    <x v="0"/>
    <s v="844"/>
    <s v="Skykomish River"/>
    <s v="Skykomish River"/>
    <s v="Snohomish"/>
    <x v="0"/>
    <s v="Kitsap"/>
    <s v="10Kitsap"/>
    <s v="02South Puget Sound"/>
    <n v="15"/>
    <n v="6.6111111111111098"/>
    <n v="56.458888888888872"/>
  </r>
  <r>
    <n v="2196"/>
    <x v="12"/>
    <x v="9"/>
    <x v="11"/>
    <s v="Freshwater"/>
    <x v="0"/>
    <x v="0"/>
    <s v="844"/>
    <s v="Skykomish River"/>
    <s v="Skykomish River"/>
    <s v="Snohomish"/>
    <x v="0"/>
    <s v="Snohomish"/>
    <s v="03Snohomish"/>
    <s v="01North Puget Sound"/>
    <n v="90"/>
    <n v="39.6666666666667"/>
    <n v="338.75333333333356"/>
  </r>
  <r>
    <n v="2201"/>
    <x v="12"/>
    <x v="9"/>
    <x v="11"/>
    <s v="Freshwater"/>
    <x v="0"/>
    <x v="0"/>
    <s v="850"/>
    <s v="Snohomish River"/>
    <s v="Snohomish River"/>
    <s v="Snohomish"/>
    <x v="0"/>
    <s v="Snohomish"/>
    <s v="03Snohomish"/>
    <s v="01North Puget Sound"/>
    <n v="60"/>
    <n v="30"/>
    <n v="256.2"/>
  </r>
  <r>
    <n v="2204"/>
    <x v="12"/>
    <x v="9"/>
    <x v="11"/>
    <s v="Freshwater"/>
    <x v="0"/>
    <x v="0"/>
    <s v="852"/>
    <s v="Snoqualmie River"/>
    <s v="Snoqualmie River"/>
    <s v="Snohomish/King"/>
    <x v="0"/>
    <s v="King"/>
    <s v="06King"/>
    <s v="02South Puget Sound"/>
    <n v="74"/>
    <n v="37"/>
    <n v="315.97999999999996"/>
  </r>
  <r>
    <n v="2226"/>
    <x v="12"/>
    <x v="9"/>
    <x v="11"/>
    <s v="Freshwater"/>
    <x v="0"/>
    <x v="0"/>
    <s v="872"/>
    <s v="Stillaguamish R, No. Fork"/>
    <s v="Stillaguamish R, No. Fork"/>
    <s v="Snohomish"/>
    <x v="0"/>
    <s v="King"/>
    <s v="06King"/>
    <s v="02South Puget Sound"/>
    <n v="12"/>
    <n v="6.9230769230769296"/>
    <n v="59.123076923076972"/>
  </r>
  <r>
    <n v="2227"/>
    <x v="12"/>
    <x v="9"/>
    <x v="11"/>
    <s v="Freshwater"/>
    <x v="0"/>
    <x v="0"/>
    <s v="872"/>
    <s v="Stillaguamish R, No. Fork"/>
    <s v="Stillaguamish R, No. Fork"/>
    <s v="Snohomish"/>
    <x v="0"/>
    <s v="Snohomish"/>
    <s v="03Snohomish"/>
    <s v="01North Puget Sound"/>
    <n v="144"/>
    <n v="83.076923076923094"/>
    <n v="709.47692307692319"/>
  </r>
  <r>
    <n v="2210"/>
    <x v="12"/>
    <x v="9"/>
    <x v="11"/>
    <s v="Freshwater"/>
    <x v="0"/>
    <x v="0"/>
    <s v="856"/>
    <s v="Tokul Creek"/>
    <s v="Tokul Creek"/>
    <s v="King"/>
    <x v="0"/>
    <s v="King"/>
    <s v="06King"/>
    <s v="02South Puget Sound"/>
    <n v="358.28571428571399"/>
    <n v="77.142857142857196"/>
    <n v="658.80000000000041"/>
  </r>
  <r>
    <n v="2211"/>
    <x v="12"/>
    <x v="9"/>
    <x v="11"/>
    <s v="Freshwater"/>
    <x v="0"/>
    <x v="0"/>
    <s v="856"/>
    <s v="Tokul Creek"/>
    <s v="Tokul Creek"/>
    <s v="King"/>
    <x v="0"/>
    <s v="Snohomish"/>
    <s v="03Snohomish"/>
    <s v="01North Puget Sound"/>
    <n v="59.714285714285701"/>
    <n v="12.8571428571429"/>
    <n v="109.80000000000035"/>
  </r>
  <r>
    <n v="2219"/>
    <x v="12"/>
    <x v="9"/>
    <x v="11"/>
    <s v="Freshwater"/>
    <x v="0"/>
    <x v="0"/>
    <s v="860"/>
    <s v="Wallace River"/>
    <s v="Wallace River"/>
    <s v="Snohomish"/>
    <x v="0"/>
    <s v="King"/>
    <s v="06King"/>
    <s v="02South Puget Sound"/>
    <n v="16"/>
    <n v="41"/>
    <n v="350.14"/>
  </r>
  <r>
    <n v="2231"/>
    <x v="12"/>
    <x v="10"/>
    <x v="11"/>
    <s v="Freshwater"/>
    <x v="0"/>
    <x v="0"/>
    <s v="9"/>
    <s v="Area 9: Admiralty Inlet"/>
    <s v="Area 9: Admiralty Inlet"/>
    <s v="NA"/>
    <x v="0"/>
    <s v="Island"/>
    <s v="04Island"/>
    <s v="01North Puget Sound"/>
    <n v="12"/>
    <n v="6"/>
    <n v="51.239999999999995"/>
  </r>
  <r>
    <n v="2205"/>
    <x v="12"/>
    <x v="10"/>
    <x v="11"/>
    <s v="Freshwater"/>
    <x v="0"/>
    <x v="0"/>
    <s v="852"/>
    <s v="Snoqualmie River"/>
    <s v="Snoqualmie River"/>
    <s v="Snohomish/King"/>
    <x v="0"/>
    <s v="King"/>
    <s v="06King"/>
    <s v="02South Puget Sound"/>
    <n v="14"/>
    <n v="2"/>
    <n v="17.079999999999998"/>
  </r>
  <r>
    <n v="2228"/>
    <x v="12"/>
    <x v="10"/>
    <x v="11"/>
    <s v="Freshwater"/>
    <x v="0"/>
    <x v="0"/>
    <s v="872"/>
    <s v="Stillaguamish R, No. Fork"/>
    <s v="Stillaguamish R, No. Fork"/>
    <s v="Snohomish"/>
    <x v="0"/>
    <s v="Snohomish"/>
    <s v="03Snohomish"/>
    <s v="01North Puget Sound"/>
    <n v="12"/>
    <n v="2"/>
    <n v="17.079999999999998"/>
  </r>
  <r>
    <n v="2212"/>
    <x v="12"/>
    <x v="10"/>
    <x v="11"/>
    <s v="Freshwater"/>
    <x v="0"/>
    <x v="0"/>
    <s v="856"/>
    <s v="Tokul Creek"/>
    <s v="Tokul Creek"/>
    <s v="King"/>
    <x v="0"/>
    <s v="King"/>
    <s v="06King"/>
    <s v="02South Puget Sound"/>
    <n v="59.2"/>
    <n v="1.6"/>
    <n v="13.664"/>
  </r>
  <r>
    <n v="2213"/>
    <x v="12"/>
    <x v="10"/>
    <x v="11"/>
    <s v="Freshwater"/>
    <x v="0"/>
    <x v="0"/>
    <s v="856"/>
    <s v="Tokul Creek"/>
    <s v="Tokul Creek"/>
    <s v="King"/>
    <x v="0"/>
    <s v="Snohomish"/>
    <s v="03Snohomish"/>
    <s v="01North Puget Sound"/>
    <n v="14.8"/>
    <n v="0.4"/>
    <n v="3.4159999999999999"/>
  </r>
  <r>
    <n v="2220"/>
    <x v="12"/>
    <x v="10"/>
    <x v="11"/>
    <s v="Freshwater"/>
    <x v="0"/>
    <x v="0"/>
    <s v="860"/>
    <s v="Wallace River"/>
    <s v="Wallace River"/>
    <s v="Snohomish"/>
    <x v="0"/>
    <s v="King"/>
    <s v="06King"/>
    <s v="02South Puget Sound"/>
    <n v="15"/>
    <n v="5"/>
    <n v="42.699999999999996"/>
  </r>
  <r>
    <n v="2221"/>
    <x v="12"/>
    <x v="10"/>
    <x v="11"/>
    <s v="Freshwater"/>
    <x v="0"/>
    <x v="0"/>
    <s v="860"/>
    <s v="Wallace River"/>
    <s v="Wallace River"/>
    <s v="Snohomish"/>
    <x v="0"/>
    <s v="Snohomish"/>
    <s v="03Snohomish"/>
    <s v="01North Puget Sound"/>
    <n v="15"/>
    <n v="5"/>
    <n v="42.699999999999996"/>
  </r>
  <r>
    <n v="2232"/>
    <x v="12"/>
    <x v="11"/>
    <x v="11"/>
    <s v="Freshwater"/>
    <x v="0"/>
    <x v="0"/>
    <s v="9"/>
    <s v="Area 9: Admiralty Inlet"/>
    <s v="Area 9: Admiralty Inlet"/>
    <s v="NA"/>
    <x v="0"/>
    <s v="Island"/>
    <s v="04Island"/>
    <s v="01North Puget Sound"/>
    <n v="12"/>
    <n v="6"/>
    <n v="51.2399999999999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4">
  <r>
    <n v="3120"/>
    <x v="0"/>
    <s v="Marine"/>
    <x v="0"/>
    <x v="0"/>
    <n v="5"/>
    <s v="Area 5: W Juan de Fuca"/>
    <s v="Area 5: W Juan de Fuca"/>
    <s v="NA"/>
    <x v="0"/>
    <s v="Clallam"/>
    <x v="0"/>
    <s v="Strait of Juan de Fuca"/>
    <m/>
    <n v="2398.93354743083"/>
    <n v="4507.4474530632397"/>
  </r>
  <r>
    <n v="3004"/>
    <x v="0"/>
    <s v="Marine"/>
    <x v="0"/>
    <x v="0"/>
    <n v="5"/>
    <s v="Area 5: W Juan de Fuca"/>
    <s v="Area 5: W Juan de Fuca"/>
    <s v="NA"/>
    <x v="0"/>
    <s v="Island"/>
    <x v="1"/>
    <s v="North Puget Sound"/>
    <m/>
    <n v="164.11215415019799"/>
    <n v="308.35656620553402"/>
  </r>
  <r>
    <n v="3121"/>
    <x v="0"/>
    <s v="Marine"/>
    <x v="0"/>
    <x v="0"/>
    <n v="5"/>
    <s v="Area 5: W Juan de Fuca"/>
    <s v="Area 5: W Juan de Fuca"/>
    <s v="NA"/>
    <x v="0"/>
    <s v="Jefferson"/>
    <x v="2"/>
    <s v="Strait of Juan de Fuca"/>
    <m/>
    <n v="651.62178853754995"/>
    <n v="1224.3569540513799"/>
  </r>
  <r>
    <n v="3005"/>
    <x v="0"/>
    <s v="Marine"/>
    <x v="0"/>
    <x v="0"/>
    <n v="5"/>
    <s v="Area 5: W Juan de Fuca"/>
    <s v="Area 5: W Juan de Fuca"/>
    <s v="NA"/>
    <x v="0"/>
    <s v="King"/>
    <x v="3"/>
    <s v="South Puget Sound"/>
    <m/>
    <n v="3610.4673913043498"/>
    <n v="6783.8444565217396"/>
  </r>
  <r>
    <n v="3119"/>
    <x v="0"/>
    <s v="Marine"/>
    <x v="0"/>
    <x v="0"/>
    <n v="5"/>
    <s v="Area 5: W Juan de Fuca"/>
    <s v="Area 5: W Juan de Fuca"/>
    <s v="NA"/>
    <x v="0"/>
    <s v="Kitsap"/>
    <x v="4"/>
    <s v="South Puget Sound"/>
    <m/>
    <n v="1559.06546442688"/>
    <n v="2929.3873789525701"/>
  </r>
  <r>
    <n v="3118"/>
    <x v="0"/>
    <s v="Marine"/>
    <x v="0"/>
    <x v="0"/>
    <n v="5"/>
    <s v="Area 5: W Juan de Fuca"/>
    <s v="Area 5: W Juan de Fuca"/>
    <s v="NA"/>
    <x v="0"/>
    <s v="Mason"/>
    <x v="5"/>
    <s v="South Puget Sound"/>
    <m/>
    <n v="516.47060276679804"/>
    <n v="970.41625247035597"/>
  </r>
  <r>
    <n v="3122"/>
    <x v="0"/>
    <s v="Marine"/>
    <x v="0"/>
    <x v="0"/>
    <n v="5"/>
    <s v="Area 5: W Juan de Fuca"/>
    <s v="Area 5: W Juan de Fuca"/>
    <s v="NA"/>
    <x v="0"/>
    <s v="Other"/>
    <x v="6"/>
    <s v="Non Puget Sound"/>
    <m/>
    <n v="4682.0232213438703"/>
    <n v="8797.2314476284591"/>
  </r>
  <r>
    <n v="3006"/>
    <x v="0"/>
    <s v="Marine"/>
    <x v="0"/>
    <x v="0"/>
    <n v="5"/>
    <s v="Area 5: W Juan de Fuca"/>
    <s v="Area 5: W Juan de Fuca"/>
    <s v="NA"/>
    <x v="0"/>
    <s v="Pierce"/>
    <x v="7"/>
    <s v="South Puget Sound"/>
    <m/>
    <n v="3393.2601284584998"/>
    <n v="6375.7254718379399"/>
  </r>
  <r>
    <n v="3002"/>
    <x v="0"/>
    <s v="Marine"/>
    <x v="0"/>
    <x v="0"/>
    <n v="5"/>
    <s v="Area 5: W Juan de Fuca"/>
    <s v="Area 5: W Juan de Fuca"/>
    <s v="NA"/>
    <x v="0"/>
    <s v="Skagit"/>
    <x v="8"/>
    <s v="North Puget Sound"/>
    <m/>
    <n v="77.229249011857704"/>
    <n v="145.10897233201601"/>
  </r>
  <r>
    <n v="3003"/>
    <x v="0"/>
    <s v="Marine"/>
    <x v="0"/>
    <x v="0"/>
    <n v="5"/>
    <s v="Area 5: W Juan de Fuca"/>
    <s v="Area 5: W Juan de Fuca"/>
    <s v="NA"/>
    <x v="0"/>
    <s v="Snohomish"/>
    <x v="9"/>
    <s v="North Puget Sound"/>
    <m/>
    <n v="1423.9142786561299"/>
    <n v="2675.4466773715399"/>
  </r>
  <r>
    <n v="3007"/>
    <x v="0"/>
    <s v="Marine"/>
    <x v="0"/>
    <x v="0"/>
    <n v="5"/>
    <s v="Area 5: W Juan de Fuca"/>
    <s v="Area 5: W Juan de Fuca"/>
    <s v="NA"/>
    <x v="0"/>
    <s v="Thurston"/>
    <x v="10"/>
    <s v="South Puget Sound"/>
    <m/>
    <n v="675.75592885375499"/>
    <n v="1269.70350790514"/>
  </r>
  <r>
    <n v="1556"/>
    <x v="0"/>
    <s v="Marine"/>
    <x v="0"/>
    <x v="0"/>
    <n v="5"/>
    <s v="Area 5: W Juan de Fuca"/>
    <s v="Area 5: W Juan de Fuca"/>
    <s v="NA"/>
    <x v="0"/>
    <s v="Whatcom"/>
    <x v="11"/>
    <s v="North Puget Sound"/>
    <m/>
    <n v="386.14624505928901"/>
    <n v="725.54486166007905"/>
  </r>
  <r>
    <n v="3327"/>
    <x v="0"/>
    <s v="Marine"/>
    <x v="0"/>
    <x v="0"/>
    <n v="6"/>
    <s v="Area 6: E Juan de Fuca"/>
    <s v="Area 6: E Juan de Fuca"/>
    <s v="NA"/>
    <x v="0"/>
    <s v="Clallam"/>
    <x v="0"/>
    <s v="Strait of Juan de Fuca"/>
    <m/>
    <n v="2287.1511254019301"/>
    <n v="10838.455562701"/>
  </r>
  <r>
    <n v="3232"/>
    <x v="0"/>
    <s v="Marine"/>
    <x v="0"/>
    <x v="0"/>
    <n v="6"/>
    <s v="Area 6: E Juan de Fuca"/>
    <s v="Area 6: E Juan de Fuca"/>
    <s v="NA"/>
    <x v="0"/>
    <s v="Island"/>
    <x v="1"/>
    <s v="North Puget Sound"/>
    <m/>
    <n v="29.0739549839228"/>
    <n v="137.77697749196099"/>
  </r>
  <r>
    <n v="3328"/>
    <x v="0"/>
    <s v="Marine"/>
    <x v="0"/>
    <x v="0"/>
    <n v="6"/>
    <s v="Area 6: E Juan de Fuca"/>
    <s v="Area 6: E Juan de Fuca"/>
    <s v="NA"/>
    <x v="0"/>
    <s v="Jefferson"/>
    <x v="2"/>
    <s v="Strait of Juan de Fuca"/>
    <m/>
    <n v="92.067524115755702"/>
    <n v="436.29376205787798"/>
  </r>
  <r>
    <n v="3233"/>
    <x v="0"/>
    <s v="Marine"/>
    <x v="0"/>
    <x v="0"/>
    <n v="6"/>
    <s v="Area 6: E Juan de Fuca"/>
    <s v="Area 6: E Juan de Fuca"/>
    <s v="NA"/>
    <x v="0"/>
    <s v="King"/>
    <x v="3"/>
    <s v="South Puget Sound"/>
    <m/>
    <n v="92.067524115755702"/>
    <n v="436.29376205787798"/>
  </r>
  <r>
    <n v="3326"/>
    <x v="0"/>
    <s v="Marine"/>
    <x v="0"/>
    <x v="0"/>
    <n v="6"/>
    <s v="Area 6: E Juan de Fuca"/>
    <s v="Area 6: E Juan de Fuca"/>
    <s v="NA"/>
    <x v="0"/>
    <s v="Kitsap"/>
    <x v="4"/>
    <s v="South Puget Sound"/>
    <m/>
    <n v="150.215434083601"/>
    <n v="711.84771704180105"/>
  </r>
  <r>
    <n v="3325"/>
    <x v="0"/>
    <s v="Marine"/>
    <x v="0"/>
    <x v="0"/>
    <n v="6"/>
    <s v="Area 6: E Juan de Fuca"/>
    <s v="Area 6: E Juan de Fuca"/>
    <s v="NA"/>
    <x v="0"/>
    <s v="Mason"/>
    <x v="5"/>
    <s v="South Puget Sound"/>
    <m/>
    <n v="29.0739549839228"/>
    <n v="137.77697749196099"/>
  </r>
  <r>
    <n v="3329"/>
    <x v="0"/>
    <s v="Marine"/>
    <x v="0"/>
    <x v="0"/>
    <n v="6"/>
    <s v="Area 6: E Juan de Fuca"/>
    <s v="Area 6: E Juan de Fuca"/>
    <s v="NA"/>
    <x v="0"/>
    <s v="Other"/>
    <x v="6"/>
    <s v="Non Puget Sound"/>
    <m/>
    <n v="174.44372990353699"/>
    <n v="826.66186495176896"/>
  </r>
  <r>
    <n v="3234"/>
    <x v="0"/>
    <s v="Marine"/>
    <x v="0"/>
    <x v="0"/>
    <n v="6"/>
    <s v="Area 6: E Juan de Fuca"/>
    <s v="Area 6: E Juan de Fuca"/>
    <s v="NA"/>
    <x v="0"/>
    <s v="Pierce"/>
    <x v="7"/>
    <s v="South Puget Sound"/>
    <m/>
    <n v="58.147909967845699"/>
    <n v="275.55395498392301"/>
  </r>
  <r>
    <n v="3230"/>
    <x v="0"/>
    <s v="Marine"/>
    <x v="0"/>
    <x v="0"/>
    <n v="6"/>
    <s v="Area 6: E Juan de Fuca"/>
    <s v="Area 6: E Juan de Fuca"/>
    <s v="NA"/>
    <x v="0"/>
    <s v="Skagit"/>
    <x v="8"/>
    <s v="North Puget Sound"/>
    <m/>
    <n v="24.228295819935699"/>
    <n v="114.814147909968"/>
  </r>
  <r>
    <n v="3231"/>
    <x v="0"/>
    <s v="Marine"/>
    <x v="0"/>
    <x v="0"/>
    <n v="6"/>
    <s v="Area 6: E Juan de Fuca"/>
    <s v="Area 6: E Juan de Fuca"/>
    <s v="NA"/>
    <x v="0"/>
    <s v="Snohomish"/>
    <x v="9"/>
    <s v="North Puget Sound"/>
    <m/>
    <n v="38.765273311897097"/>
    <n v="183.70263665594899"/>
  </r>
  <r>
    <n v="3235"/>
    <x v="0"/>
    <s v="Marine"/>
    <x v="0"/>
    <x v="0"/>
    <n v="6"/>
    <s v="Area 6: E Juan de Fuca"/>
    <s v="Area 6: E Juan de Fuca"/>
    <s v="NA"/>
    <x v="0"/>
    <s v="Thurston"/>
    <x v="10"/>
    <s v="South Puget Sound"/>
    <m/>
    <n v="14.5369774919614"/>
    <n v="68.888488745980695"/>
  </r>
  <r>
    <n v="3123"/>
    <x v="0"/>
    <s v="Marine"/>
    <x v="0"/>
    <x v="0"/>
    <n v="6"/>
    <s v="Area 6: E Juan de Fuca"/>
    <s v="Area 6: E Juan de Fuca"/>
    <s v="NA"/>
    <x v="0"/>
    <s v="Whatcom"/>
    <x v="11"/>
    <s v="North Puget Sound"/>
    <m/>
    <n v="24.228295819935699"/>
    <n v="114.814147909968"/>
  </r>
  <r>
    <n v="3201"/>
    <x v="0"/>
    <s v="Marine"/>
    <x v="0"/>
    <x v="0"/>
    <n v="7"/>
    <s v="Area 7: San Juan Islands"/>
    <s v="Area 7: San Juan Islands"/>
    <s v="NA"/>
    <x v="1"/>
    <s v="Clallam"/>
    <x v="0"/>
    <s v="Strait of Juan de Fuca"/>
    <m/>
    <n v="57.946428571428598"/>
    <n v="433.17168367347"/>
  </r>
  <r>
    <n v="3139"/>
    <x v="0"/>
    <s v="Marine"/>
    <x v="0"/>
    <x v="0"/>
    <n v="7"/>
    <s v="Area 7: San Juan Islands"/>
    <s v="Area 7: San Juan Islands"/>
    <s v="NA"/>
    <x v="1"/>
    <s v="Island"/>
    <x v="1"/>
    <s v="North Puget Sound"/>
    <m/>
    <n v="156.455357142857"/>
    <n v="1169.56354591837"/>
  </r>
  <r>
    <n v="3202"/>
    <x v="0"/>
    <s v="Marine"/>
    <x v="0"/>
    <x v="0"/>
    <n v="7"/>
    <s v="Area 7: San Juan Islands"/>
    <s v="Area 7: San Juan Islands"/>
    <s v="NA"/>
    <x v="1"/>
    <s v="Jefferson"/>
    <x v="2"/>
    <s v="Strait of Juan de Fuca"/>
    <m/>
    <n v="17.383928571428601"/>
    <n v="129.95150510204101"/>
  </r>
  <r>
    <n v="3141"/>
    <x v="0"/>
    <s v="Marine"/>
    <x v="0"/>
    <x v="0"/>
    <n v="7"/>
    <s v="Area 7: San Juan Islands"/>
    <s v="Area 7: San Juan Islands"/>
    <s v="NA"/>
    <x v="1"/>
    <s v="King"/>
    <x v="3"/>
    <s v="South Puget Sound"/>
    <m/>
    <n v="347.67857142857201"/>
    <n v="2599.0301020408201"/>
  </r>
  <r>
    <n v="3200"/>
    <x v="0"/>
    <s v="Marine"/>
    <x v="0"/>
    <x v="0"/>
    <n v="7"/>
    <s v="Area 7: San Juan Islands"/>
    <s v="Area 7: San Juan Islands"/>
    <s v="NA"/>
    <x v="1"/>
    <s v="Kitsap"/>
    <x v="4"/>
    <s v="South Puget Sound"/>
    <m/>
    <n v="11.589285714285699"/>
    <n v="86.634336734693903"/>
  </r>
  <r>
    <n v="3199"/>
    <x v="0"/>
    <s v="Marine"/>
    <x v="0"/>
    <x v="0"/>
    <n v="7"/>
    <s v="Area 7: San Juan Islands"/>
    <s v="Area 7: San Juan Islands"/>
    <s v="NA"/>
    <x v="1"/>
    <s v="Mason"/>
    <x v="5"/>
    <s v="South Puget Sound"/>
    <m/>
    <n v="5.7946428571428603"/>
    <n v="43.317168367346902"/>
  </r>
  <r>
    <n v="3203"/>
    <x v="0"/>
    <s v="Marine"/>
    <x v="0"/>
    <x v="0"/>
    <n v="7"/>
    <s v="Area 7: San Juan Islands"/>
    <s v="Area 7: San Juan Islands"/>
    <s v="NA"/>
    <x v="1"/>
    <s v="Other"/>
    <x v="6"/>
    <s v="Non Puget Sound"/>
    <m/>
    <n v="336.08928571428601"/>
    <n v="2512.3957653061202"/>
  </r>
  <r>
    <n v="3195"/>
    <x v="0"/>
    <s v="Marine"/>
    <x v="0"/>
    <x v="0"/>
    <n v="7"/>
    <s v="Area 7: San Juan Islands"/>
    <s v="Area 7: San Juan Islands"/>
    <s v="NA"/>
    <x v="1"/>
    <s v="Pierce"/>
    <x v="7"/>
    <s v="South Puget Sound"/>
    <m/>
    <n v="23.178571428571399"/>
    <n v="173.26867346938801"/>
  </r>
  <r>
    <n v="3140"/>
    <x v="0"/>
    <s v="Marine"/>
    <x v="0"/>
    <x v="0"/>
    <n v="7"/>
    <s v="Area 7: San Juan Islands"/>
    <s v="Area 7: San Juan Islands"/>
    <s v="NA"/>
    <x v="1"/>
    <s v="San Juan"/>
    <x v="12"/>
    <s v="North Puget Sound"/>
    <m/>
    <n v="573.669642857143"/>
    <n v="4288.3996683673504"/>
  </r>
  <r>
    <n v="3137"/>
    <x v="0"/>
    <s v="Marine"/>
    <x v="0"/>
    <x v="0"/>
    <n v="7"/>
    <s v="Area 7: San Juan Islands"/>
    <s v="Area 7: San Juan Islands"/>
    <s v="NA"/>
    <x v="1"/>
    <s v="Skagit"/>
    <x v="8"/>
    <s v="North Puget Sound"/>
    <m/>
    <n v="1002.47321428571"/>
    <n v="7493.8701275510202"/>
  </r>
  <r>
    <n v="3138"/>
    <x v="0"/>
    <s v="Marine"/>
    <x v="0"/>
    <x v="0"/>
    <n v="7"/>
    <s v="Area 7: San Juan Islands"/>
    <s v="Area 7: San Juan Islands"/>
    <s v="NA"/>
    <x v="1"/>
    <s v="Snohomish"/>
    <x v="9"/>
    <s v="North Puget Sound"/>
    <m/>
    <n v="538.90178571428601"/>
    <n v="4028.4966581632698"/>
  </r>
  <r>
    <n v="3196"/>
    <x v="0"/>
    <s v="Marine"/>
    <x v="0"/>
    <x v="0"/>
    <n v="7"/>
    <s v="Area 7: San Juan Islands"/>
    <s v="Area 7: San Juan Islands"/>
    <s v="NA"/>
    <x v="1"/>
    <s v="Thurston"/>
    <x v="10"/>
    <s v="South Puget Sound"/>
    <m/>
    <n v="28.973214285714299"/>
    <n v="216.585841836735"/>
  </r>
  <r>
    <n v="3136"/>
    <x v="0"/>
    <s v="Marine"/>
    <x v="0"/>
    <x v="0"/>
    <n v="7"/>
    <s v="Area 7: San Juan Islands"/>
    <s v="Area 7: San Juan Islands"/>
    <s v="NA"/>
    <x v="1"/>
    <s v="Whatcom"/>
    <x v="11"/>
    <s v="North Puget Sound"/>
    <m/>
    <n v="1442.86607142857"/>
    <n v="10785.974923469401"/>
  </r>
  <r>
    <n v="2825"/>
    <x v="0"/>
    <s v="Marine"/>
    <x v="0"/>
    <x v="0"/>
    <n v="9"/>
    <s v="Area 9: Admiralty Inlet"/>
    <s v="Area 9: Admiralty Inlet"/>
    <s v="NA"/>
    <x v="2"/>
    <s v="Clallam"/>
    <x v="0"/>
    <s v="Strait of Juan de Fuca"/>
    <m/>
    <n v="67.730296827021505"/>
    <n v="549.92398669396096"/>
  </r>
  <r>
    <n v="2719"/>
    <x v="0"/>
    <s v="Marine"/>
    <x v="0"/>
    <x v="0"/>
    <n v="9"/>
    <s v="Area 9: Admiralty Inlet"/>
    <s v="Area 9: Admiralty Inlet"/>
    <s v="NA"/>
    <x v="2"/>
    <s v="Island"/>
    <x v="1"/>
    <s v="North Puget Sound"/>
    <m/>
    <n v="749.017400204708"/>
    <n v="6081.5123234391003"/>
  </r>
  <r>
    <n v="2826"/>
    <x v="0"/>
    <s v="Marine"/>
    <x v="0"/>
    <x v="0"/>
    <n v="9"/>
    <s v="Area 9: Admiralty Inlet"/>
    <s v="Area 9: Admiralty Inlet"/>
    <s v="NA"/>
    <x v="2"/>
    <s v="Jefferson"/>
    <x v="2"/>
    <s v="Strait of Juan de Fuca"/>
    <m/>
    <n v="729.09672466734901"/>
    <n v="5919.7699744114598"/>
  </r>
  <r>
    <n v="2721"/>
    <x v="0"/>
    <s v="Marine"/>
    <x v="0"/>
    <x v="0"/>
    <n v="9"/>
    <s v="Area 9: Admiralty Inlet"/>
    <s v="Area 9: Admiralty Inlet"/>
    <s v="NA"/>
    <x v="2"/>
    <s v="King"/>
    <x v="3"/>
    <s v="South Puget Sound"/>
    <m/>
    <n v="1577.7175025588499"/>
    <n v="12809.994042988699"/>
  </r>
  <r>
    <n v="2824"/>
    <x v="0"/>
    <s v="Marine"/>
    <x v="0"/>
    <x v="0"/>
    <n v="9"/>
    <s v="Area 9: Admiralty Inlet"/>
    <s v="Area 9: Admiralty Inlet"/>
    <s v="NA"/>
    <x v="2"/>
    <s v="Kitsap"/>
    <x v="4"/>
    <s v="South Puget Sound"/>
    <m/>
    <n v="1063.76407369498"/>
    <n v="8637.0414380757393"/>
  </r>
  <r>
    <n v="2823"/>
    <x v="0"/>
    <s v="Marine"/>
    <x v="0"/>
    <x v="0"/>
    <n v="9"/>
    <s v="Area 9: Admiralty Inlet"/>
    <s v="Area 9: Admiralty Inlet"/>
    <s v="NA"/>
    <x v="2"/>
    <s v="Mason"/>
    <x v="5"/>
    <s v="South Puget Sound"/>
    <m/>
    <n v="15.936540429887399"/>
    <n v="129.39387922210901"/>
  </r>
  <r>
    <n v="2827"/>
    <x v="0"/>
    <s v="Marine"/>
    <x v="0"/>
    <x v="0"/>
    <n v="9"/>
    <s v="Area 9: Admiralty Inlet"/>
    <s v="Area 9: Admiralty Inlet"/>
    <s v="NA"/>
    <x v="2"/>
    <s v="Other"/>
    <x v="6"/>
    <s v="Non Puget Sound"/>
    <m/>
    <n v="649.41402251791203"/>
    <n v="5272.8005783009203"/>
  </r>
  <r>
    <n v="2722"/>
    <x v="0"/>
    <s v="Marine"/>
    <x v="0"/>
    <x v="0"/>
    <n v="9"/>
    <s v="Area 9: Admiralty Inlet"/>
    <s v="Area 9: Admiralty Inlet"/>
    <s v="NA"/>
    <x v="2"/>
    <s v="Pierce"/>
    <x v="7"/>
    <s v="South Puget Sound"/>
    <m/>
    <n v="191.23848515864901"/>
    <n v="1552.7265506653"/>
  </r>
  <r>
    <n v="2720"/>
    <x v="0"/>
    <s v="Marine"/>
    <x v="0"/>
    <x v="0"/>
    <n v="9"/>
    <s v="Area 9: Admiralty Inlet"/>
    <s v="Area 9: Admiralty Inlet"/>
    <s v="NA"/>
    <x v="2"/>
    <s v="San Juan"/>
    <x v="12"/>
    <s v="North Puget Sound"/>
    <m/>
    <n v="3.9841351074718498"/>
    <n v="32.348469805527102"/>
  </r>
  <r>
    <n v="2717"/>
    <x v="0"/>
    <s v="Marine"/>
    <x v="0"/>
    <x v="0"/>
    <n v="9"/>
    <s v="Area 9: Admiralty Inlet"/>
    <s v="Area 9: Admiralty Inlet"/>
    <s v="NA"/>
    <x v="2"/>
    <s v="Skagit"/>
    <x v="8"/>
    <s v="North Puget Sound"/>
    <m/>
    <n v="167.33367451381801"/>
    <n v="1358.63573183214"/>
  </r>
  <r>
    <n v="2718"/>
    <x v="0"/>
    <s v="Marine"/>
    <x v="0"/>
    <x v="0"/>
    <n v="9"/>
    <s v="Area 9: Admiralty Inlet"/>
    <s v="Area 9: Admiralty Inlet"/>
    <s v="NA"/>
    <x v="2"/>
    <s v="Snohomish"/>
    <x v="9"/>
    <s v="North Puget Sound"/>
    <m/>
    <n v="2533.9099283521"/>
    <n v="20573.6267963153"/>
  </r>
  <r>
    <n v="2822"/>
    <x v="0"/>
    <s v="Marine"/>
    <x v="0"/>
    <x v="0"/>
    <n v="9"/>
    <s v="Area 9: Admiralty Inlet"/>
    <s v="Area 9: Admiralty Inlet"/>
    <s v="NA"/>
    <x v="2"/>
    <s v="Thurston"/>
    <x v="10"/>
    <s v="South Puget Sound"/>
    <m/>
    <n v="27.888945752303002"/>
    <n v="226.43928863868999"/>
  </r>
  <r>
    <n v="2716"/>
    <x v="0"/>
    <s v="Marine"/>
    <x v="0"/>
    <x v="0"/>
    <n v="9"/>
    <s v="Area 9: Admiralty Inlet"/>
    <s v="Area 9: Admiralty Inlet"/>
    <s v="NA"/>
    <x v="2"/>
    <s v="Whatcom"/>
    <x v="11"/>
    <s v="North Puget Sound"/>
    <m/>
    <n v="7.9682702149437104"/>
    <n v="64.696939611054304"/>
  </r>
  <r>
    <n v="795"/>
    <x v="0"/>
    <s v="Marine"/>
    <x v="0"/>
    <x v="0"/>
    <n v="10"/>
    <s v="Area 10: N Puget Sound"/>
    <s v="Area 10: N Puget Sound"/>
    <s v="NA"/>
    <x v="3"/>
    <s v="Clallam"/>
    <x v="0"/>
    <s v="Strait of Juan de Fuca"/>
    <m/>
    <n v="5.4935289042277802"/>
    <n v="34.521863675582402"/>
  </r>
  <r>
    <n v="788"/>
    <x v="0"/>
    <s v="Marine"/>
    <x v="0"/>
    <x v="0"/>
    <n v="10"/>
    <s v="Area 10: N Puget Sound"/>
    <s v="Area 10: N Puget Sound"/>
    <s v="NA"/>
    <x v="3"/>
    <s v="Island"/>
    <x v="1"/>
    <s v="North Puget Sound"/>
    <m/>
    <n v="5.4935289042277802"/>
    <n v="34.521863675582402"/>
  </r>
  <r>
    <n v="790"/>
    <x v="0"/>
    <s v="Marine"/>
    <x v="0"/>
    <x v="0"/>
    <n v="10"/>
    <s v="Area 10: N Puget Sound"/>
    <s v="Area 10: N Puget Sound"/>
    <s v="NA"/>
    <x v="3"/>
    <s v="King"/>
    <x v="3"/>
    <s v="South Puget Sound"/>
    <m/>
    <n v="3120.32441760138"/>
    <n v="19608.418567730801"/>
  </r>
  <r>
    <n v="794"/>
    <x v="0"/>
    <s v="Marine"/>
    <x v="0"/>
    <x v="0"/>
    <n v="10"/>
    <s v="Area 10: N Puget Sound"/>
    <s v="Area 10: N Puget Sound"/>
    <s v="NA"/>
    <x v="3"/>
    <s v="Kitsap"/>
    <x v="4"/>
    <s v="South Puget Sound"/>
    <m/>
    <n v="1516.21397756687"/>
    <n v="9528.0343744607399"/>
  </r>
  <r>
    <n v="793"/>
    <x v="0"/>
    <s v="Marine"/>
    <x v="0"/>
    <x v="0"/>
    <n v="10"/>
    <s v="Area 10: N Puget Sound"/>
    <s v="Area 10: N Puget Sound"/>
    <s v="NA"/>
    <x v="3"/>
    <s v="Mason"/>
    <x v="5"/>
    <s v="South Puget Sound"/>
    <m/>
    <n v="49.4417601380501"/>
    <n v="310.696773080242"/>
  </r>
  <r>
    <n v="796"/>
    <x v="0"/>
    <s v="Marine"/>
    <x v="0"/>
    <x v="0"/>
    <n v="10"/>
    <s v="Area 10: N Puget Sound"/>
    <s v="Area 10: N Puget Sound"/>
    <s v="NA"/>
    <x v="3"/>
    <s v="Other"/>
    <x v="6"/>
    <s v="Non Puget Sound"/>
    <m/>
    <n v="510.89818809318399"/>
    <n v="3210.5333218291598"/>
  </r>
  <r>
    <n v="791"/>
    <x v="0"/>
    <s v="Marine"/>
    <x v="0"/>
    <x v="0"/>
    <n v="10"/>
    <s v="Area 10: N Puget Sound"/>
    <s v="Area 10: N Puget Sound"/>
    <s v="NA"/>
    <x v="3"/>
    <s v="Pierce"/>
    <x v="7"/>
    <s v="South Puget Sound"/>
    <m/>
    <n v="164.80586712683399"/>
    <n v="1035.6559102674701"/>
  </r>
  <r>
    <n v="789"/>
    <x v="0"/>
    <s v="Marine"/>
    <x v="0"/>
    <x v="0"/>
    <n v="10"/>
    <s v="Area 10: N Puget Sound"/>
    <s v="Area 10: N Puget Sound"/>
    <s v="NA"/>
    <x v="3"/>
    <s v="San Juan"/>
    <x v="12"/>
    <s v="North Puget Sound"/>
    <m/>
    <n v="10.987057808455599"/>
    <n v="69.043727351164804"/>
  </r>
  <r>
    <n v="787"/>
    <x v="0"/>
    <s v="Marine"/>
    <x v="0"/>
    <x v="0"/>
    <n v="10"/>
    <s v="Area 10: N Puget Sound"/>
    <s v="Area 10: N Puget Sound"/>
    <s v="NA"/>
    <x v="3"/>
    <s v="Snohomish"/>
    <x v="9"/>
    <s v="North Puget Sound"/>
    <m/>
    <n v="917.41932700604002"/>
    <n v="5765.1512338222601"/>
  </r>
  <r>
    <n v="792"/>
    <x v="0"/>
    <s v="Marine"/>
    <x v="0"/>
    <x v="0"/>
    <n v="10"/>
    <s v="Area 10: N Puget Sound"/>
    <s v="Area 10: N Puget Sound"/>
    <s v="NA"/>
    <x v="3"/>
    <s v="Thurston"/>
    <x v="10"/>
    <s v="South Puget Sound"/>
    <m/>
    <n v="43.948231233822298"/>
    <n v="276.17490940465899"/>
  </r>
  <r>
    <n v="712"/>
    <x v="0"/>
    <s v="Marine"/>
    <x v="0"/>
    <x v="0"/>
    <n v="10"/>
    <s v="Area 10: N Puget Sound"/>
    <s v="Area 10: N Puget Sound"/>
    <s v="NA"/>
    <x v="3"/>
    <s v="Whatcom"/>
    <x v="11"/>
    <s v="North Puget Sound"/>
    <m/>
    <n v="21.974115616911099"/>
    <n v="138.08745470233001"/>
  </r>
  <r>
    <n v="803"/>
    <x v="0"/>
    <s v="Marine"/>
    <x v="0"/>
    <x v="0"/>
    <n v="11"/>
    <s v="Area 11: Mid-Puget Sound"/>
    <s v="Area 11: Mid-Puget Sound"/>
    <s v="NA"/>
    <x v="3"/>
    <s v="Clallam"/>
    <x v="0"/>
    <s v="Strait of Juan de Fuca"/>
    <m/>
    <n v="12.699082568807301"/>
    <n v="159.033055045872"/>
  </r>
  <r>
    <n v="798"/>
    <x v="0"/>
    <s v="Marine"/>
    <x v="0"/>
    <x v="0"/>
    <n v="11"/>
    <s v="Area 11: Mid-Puget Sound"/>
    <s v="Area 11: Mid-Puget Sound"/>
    <s v="NA"/>
    <x v="3"/>
    <s v="King"/>
    <x v="3"/>
    <s v="South Puget Sound"/>
    <m/>
    <n v="1460.3944954128399"/>
    <n v="18288.801330275201"/>
  </r>
  <r>
    <n v="802"/>
    <x v="0"/>
    <s v="Marine"/>
    <x v="0"/>
    <x v="0"/>
    <n v="11"/>
    <s v="Area 11: Mid-Puget Sound"/>
    <s v="Area 11: Mid-Puget Sound"/>
    <s v="NA"/>
    <x v="3"/>
    <s v="Kitsap"/>
    <x v="4"/>
    <s v="South Puget Sound"/>
    <m/>
    <n v="190.48623853211001"/>
    <n v="2385.49582568807"/>
  </r>
  <r>
    <n v="801"/>
    <x v="0"/>
    <s v="Marine"/>
    <x v="0"/>
    <x v="0"/>
    <n v="11"/>
    <s v="Area 11: Mid-Puget Sound"/>
    <s v="Area 11: Mid-Puget Sound"/>
    <s v="NA"/>
    <x v="3"/>
    <s v="Mason"/>
    <x v="5"/>
    <s v="South Puget Sound"/>
    <m/>
    <n v="21.165137614678901"/>
    <n v="265.05509174311902"/>
  </r>
  <r>
    <n v="804"/>
    <x v="0"/>
    <s v="Marine"/>
    <x v="0"/>
    <x v="0"/>
    <n v="11"/>
    <s v="Area 11: Mid-Puget Sound"/>
    <s v="Area 11: Mid-Puget Sound"/>
    <s v="NA"/>
    <x v="3"/>
    <s v="Other"/>
    <x v="6"/>
    <s v="Non Puget Sound"/>
    <m/>
    <n v="177.78715596330301"/>
    <n v="2226.4627706422002"/>
  </r>
  <r>
    <n v="799"/>
    <x v="0"/>
    <s v="Marine"/>
    <x v="0"/>
    <x v="0"/>
    <n v="11"/>
    <s v="Area 11: Mid-Puget Sound"/>
    <s v="Area 11: Mid-Puget Sound"/>
    <s v="NA"/>
    <x v="3"/>
    <s v="Pierce"/>
    <x v="7"/>
    <s v="South Puget Sound"/>
    <m/>
    <n v="2658.3412844036702"/>
    <n v="33290.919522935801"/>
  </r>
  <r>
    <n v="797"/>
    <x v="0"/>
    <s v="Marine"/>
    <x v="0"/>
    <x v="0"/>
    <n v="11"/>
    <s v="Area 11: Mid-Puget Sound"/>
    <s v="Area 11: Mid-Puget Sound"/>
    <s v="NA"/>
    <x v="3"/>
    <s v="Snohomish"/>
    <x v="9"/>
    <s v="North Puget Sound"/>
    <m/>
    <n v="29.6311926605505"/>
    <n v="371.07712844036701"/>
  </r>
  <r>
    <n v="800"/>
    <x v="0"/>
    <s v="Marine"/>
    <x v="0"/>
    <x v="0"/>
    <n v="11"/>
    <s v="Area 11: Mid-Puget Sound"/>
    <s v="Area 11: Mid-Puget Sound"/>
    <s v="NA"/>
    <x v="3"/>
    <s v="Thurston"/>
    <x v="10"/>
    <s v="South Puget Sound"/>
    <m/>
    <n v="63.4954128440367"/>
    <n v="795.16527522935803"/>
  </r>
  <r>
    <n v="91"/>
    <x v="0"/>
    <s v="Marine"/>
    <x v="0"/>
    <x v="0"/>
    <n v="12"/>
    <s v="Area 12: Hood Canal"/>
    <s v="Area 12: Hood Canal"/>
    <s v="NA"/>
    <x v="4"/>
    <s v="Clallam"/>
    <x v="0"/>
    <s v="Strait of Juan de Fuca"/>
    <m/>
    <n v="115.96033402922799"/>
    <n v="542.51189979123205"/>
  </r>
  <r>
    <n v="1255"/>
    <x v="0"/>
    <s v="Marine"/>
    <x v="0"/>
    <x v="0"/>
    <n v="12"/>
    <s v="Area 12: Hood Canal"/>
    <s v="Area 12: Hood Canal"/>
    <s v="NA"/>
    <x v="4"/>
    <s v="Island"/>
    <x v="1"/>
    <s v="North Puget Sound"/>
    <m/>
    <n v="10.0835073068894"/>
    <n v="47.174947807933201"/>
  </r>
  <r>
    <n v="92"/>
    <x v="0"/>
    <s v="Marine"/>
    <x v="0"/>
    <x v="0"/>
    <n v="12"/>
    <s v="Area 12: Hood Canal"/>
    <s v="Area 12: Hood Canal"/>
    <s v="NA"/>
    <x v="4"/>
    <s v="Jefferson"/>
    <x v="2"/>
    <s v="Strait of Juan de Fuca"/>
    <m/>
    <n v="272.25469728601303"/>
    <n v="1273.7235908142"/>
  </r>
  <r>
    <n v="86"/>
    <x v="0"/>
    <s v="Marine"/>
    <x v="0"/>
    <x v="0"/>
    <n v="12"/>
    <s v="Area 12: Hood Canal"/>
    <s v="Area 12: Hood Canal"/>
    <s v="NA"/>
    <x v="4"/>
    <s v="King"/>
    <x v="3"/>
    <s v="South Puget Sound"/>
    <m/>
    <n v="453.75782881002101"/>
    <n v="2122.87265135699"/>
  </r>
  <r>
    <n v="90"/>
    <x v="0"/>
    <s v="Marine"/>
    <x v="0"/>
    <x v="0"/>
    <n v="12"/>
    <s v="Area 12: Hood Canal"/>
    <s v="Area 12: Hood Canal"/>
    <s v="NA"/>
    <x v="4"/>
    <s v="Kitsap"/>
    <x v="4"/>
    <s v="South Puget Sound"/>
    <m/>
    <n v="282.338204592902"/>
    <n v="1320.89853862213"/>
  </r>
  <r>
    <n v="89"/>
    <x v="0"/>
    <s v="Marine"/>
    <x v="0"/>
    <x v="0"/>
    <n v="12"/>
    <s v="Area 12: Hood Canal"/>
    <s v="Area 12: Hood Canal"/>
    <s v="NA"/>
    <x v="4"/>
    <s v="Mason"/>
    <x v="5"/>
    <s v="South Puget Sound"/>
    <m/>
    <n v="448.71607515657598"/>
    <n v="2099.28517745303"/>
  </r>
  <r>
    <n v="93"/>
    <x v="0"/>
    <s v="Marine"/>
    <x v="0"/>
    <x v="0"/>
    <n v="12"/>
    <s v="Area 12: Hood Canal"/>
    <s v="Area 12: Hood Canal"/>
    <s v="NA"/>
    <x v="4"/>
    <s v="Other"/>
    <x v="6"/>
    <s v="Non Puget Sound"/>
    <m/>
    <n v="252.087682672234"/>
    <n v="1179.3736951983301"/>
  </r>
  <r>
    <n v="87"/>
    <x v="0"/>
    <s v="Marine"/>
    <x v="0"/>
    <x v="0"/>
    <n v="12"/>
    <s v="Area 12: Hood Canal"/>
    <s v="Area 12: Hood Canal"/>
    <s v="NA"/>
    <x v="4"/>
    <s v="Pierce"/>
    <x v="7"/>
    <s v="South Puget Sound"/>
    <m/>
    <n v="267.212943632568"/>
    <n v="1250.1361169102299"/>
  </r>
  <r>
    <n v="1254"/>
    <x v="0"/>
    <s v="Marine"/>
    <x v="0"/>
    <x v="0"/>
    <n v="12"/>
    <s v="Area 12: Hood Canal"/>
    <s v="Area 12: Hood Canal"/>
    <s v="NA"/>
    <x v="4"/>
    <s v="Snohomish"/>
    <x v="9"/>
    <s v="North Puget Sound"/>
    <m/>
    <n v="50.417536534446803"/>
    <n v="235.874739039666"/>
  </r>
  <r>
    <n v="88"/>
    <x v="0"/>
    <s v="Marine"/>
    <x v="0"/>
    <x v="0"/>
    <n v="12"/>
    <s v="Area 12: Hood Canal"/>
    <s v="Area 12: Hood Canal"/>
    <s v="NA"/>
    <x v="4"/>
    <s v="Thurston"/>
    <x v="10"/>
    <s v="South Puget Sound"/>
    <m/>
    <n v="257.12943632567902"/>
    <n v="1202.9611691022999"/>
  </r>
  <r>
    <n v="1253"/>
    <x v="0"/>
    <s v="Marine"/>
    <x v="0"/>
    <x v="0"/>
    <n v="12"/>
    <s v="Area 12: Hood Canal"/>
    <s v="Area 12: Hood Canal"/>
    <s v="NA"/>
    <x v="4"/>
    <s v="Whatcom"/>
    <x v="11"/>
    <s v="North Puget Sound"/>
    <m/>
    <n v="5.0417536534446796"/>
    <n v="23.5874739039666"/>
  </r>
  <r>
    <n v="888"/>
    <x v="0"/>
    <s v="Marine"/>
    <x v="0"/>
    <x v="0"/>
    <n v="13"/>
    <s v="Area 13: S Puget Sound"/>
    <s v="Area 13: S Puget Sound"/>
    <s v="NA"/>
    <x v="3"/>
    <s v="Clallam"/>
    <x v="0"/>
    <s v="Strait of Juan de Fuca"/>
    <m/>
    <n v="9.91020408163266"/>
    <n v="233.38979591836701"/>
  </r>
  <r>
    <n v="806"/>
    <x v="0"/>
    <s v="Marine"/>
    <x v="0"/>
    <x v="0"/>
    <n v="13"/>
    <s v="Area 13: S Puget Sound"/>
    <s v="Area 13: S Puget Sound"/>
    <s v="NA"/>
    <x v="3"/>
    <s v="King"/>
    <x v="3"/>
    <s v="South Puget Sound"/>
    <m/>
    <n v="74.326530612244895"/>
    <n v="1750.42346938776"/>
  </r>
  <r>
    <n v="810"/>
    <x v="0"/>
    <s v="Marine"/>
    <x v="0"/>
    <x v="0"/>
    <n v="13"/>
    <s v="Area 13: S Puget Sound"/>
    <s v="Area 13: S Puget Sound"/>
    <s v="NA"/>
    <x v="3"/>
    <s v="Kitsap"/>
    <x v="4"/>
    <s v="South Puget Sound"/>
    <m/>
    <n v="49.551020408163303"/>
    <n v="1166.94897959184"/>
  </r>
  <r>
    <n v="809"/>
    <x v="0"/>
    <s v="Marine"/>
    <x v="0"/>
    <x v="0"/>
    <n v="13"/>
    <s v="Area 13: S Puget Sound"/>
    <s v="Area 13: S Puget Sound"/>
    <s v="NA"/>
    <x v="3"/>
    <s v="Mason"/>
    <x v="5"/>
    <s v="South Puget Sound"/>
    <m/>
    <n v="158.56326530612299"/>
    <n v="3734.23673469388"/>
  </r>
  <r>
    <n v="889"/>
    <x v="0"/>
    <s v="Marine"/>
    <x v="0"/>
    <x v="0"/>
    <n v="13"/>
    <s v="Area 13: S Puget Sound"/>
    <s v="Area 13: S Puget Sound"/>
    <s v="NA"/>
    <x v="3"/>
    <s v="Other"/>
    <x v="6"/>
    <s v="Non Puget Sound"/>
    <m/>
    <n v="158.56326530612299"/>
    <n v="3734.23673469388"/>
  </r>
  <r>
    <n v="807"/>
    <x v="0"/>
    <s v="Marine"/>
    <x v="0"/>
    <x v="0"/>
    <n v="13"/>
    <s v="Area 13: S Puget Sound"/>
    <s v="Area 13: S Puget Sound"/>
    <s v="NA"/>
    <x v="3"/>
    <s v="Pierce"/>
    <x v="7"/>
    <s v="South Puget Sound"/>
    <m/>
    <n v="401.36326530612303"/>
    <n v="9452.2867346938801"/>
  </r>
  <r>
    <n v="805"/>
    <x v="0"/>
    <s v="Marine"/>
    <x v="0"/>
    <x v="0"/>
    <n v="13"/>
    <s v="Area 13: S Puget Sound"/>
    <s v="Area 13: S Puget Sound"/>
    <s v="NA"/>
    <x v="3"/>
    <s v="Snohomish"/>
    <x v="9"/>
    <s v="North Puget Sound"/>
    <m/>
    <n v="14.865306122449001"/>
    <n v="350.08469387755099"/>
  </r>
  <r>
    <n v="808"/>
    <x v="0"/>
    <s v="Marine"/>
    <x v="0"/>
    <x v="0"/>
    <n v="13"/>
    <s v="Area 13: S Puget Sound"/>
    <s v="Area 13: S Puget Sound"/>
    <s v="NA"/>
    <x v="3"/>
    <s v="Thurston"/>
    <x v="10"/>
    <s v="South Puget Sound"/>
    <m/>
    <n v="346.857142857143"/>
    <n v="8168.6428571428596"/>
  </r>
  <r>
    <n v="2591"/>
    <x v="0"/>
    <s v="Marine"/>
    <x v="0"/>
    <x v="0"/>
    <d v="2023-08-01T00:00:00"/>
    <s v="Area 8-1: Skagit Bay-Saratoga Psg."/>
    <s v="Area 8-1: Skagit Bay-Saratoga Psg."/>
    <s v="NA"/>
    <x v="2"/>
    <s v="Island"/>
    <x v="1"/>
    <s v="North Puget Sound"/>
    <m/>
    <n v="128.93877551020401"/>
    <n v="1744.53612244898"/>
  </r>
  <r>
    <n v="2592"/>
    <x v="0"/>
    <s v="Marine"/>
    <x v="0"/>
    <x v="0"/>
    <d v="2023-08-01T00:00:00"/>
    <s v="Area 8-1: Skagit Bay-Saratoga Psg."/>
    <s v="Area 8-1: Skagit Bay-Saratoga Psg."/>
    <s v="NA"/>
    <x v="2"/>
    <s v="King"/>
    <x v="3"/>
    <s v="South Puget Sound"/>
    <m/>
    <n v="9.5510204081632697"/>
    <n v="129.22489795918401"/>
  </r>
  <r>
    <n v="2595"/>
    <x v="0"/>
    <s v="Marine"/>
    <x v="0"/>
    <x v="0"/>
    <d v="2023-08-01T00:00:00"/>
    <s v="Area 8-1: Skagit Bay-Saratoga Psg."/>
    <s v="Area 8-1: Skagit Bay-Saratoga Psg."/>
    <s v="NA"/>
    <x v="2"/>
    <s v="Other"/>
    <x v="6"/>
    <s v="Non Puget Sound"/>
    <m/>
    <n v="9.5510204081632697"/>
    <n v="129.22489795918401"/>
  </r>
  <r>
    <n v="2593"/>
    <x v="0"/>
    <s v="Marine"/>
    <x v="0"/>
    <x v="0"/>
    <d v="2023-08-01T00:00:00"/>
    <s v="Area 8-1: Skagit Bay-Saratoga Psg."/>
    <s v="Area 8-1: Skagit Bay-Saratoga Psg."/>
    <s v="NA"/>
    <x v="2"/>
    <s v="Pierce"/>
    <x v="7"/>
    <s v="South Puget Sound"/>
    <m/>
    <n v="4.7755102040816304"/>
    <n v="64.612448979591903"/>
  </r>
  <r>
    <n v="2589"/>
    <x v="0"/>
    <s v="Marine"/>
    <x v="0"/>
    <x v="0"/>
    <d v="2023-08-01T00:00:00"/>
    <s v="Area 8-1: Skagit Bay-Saratoga Psg."/>
    <s v="Area 8-1: Skagit Bay-Saratoga Psg."/>
    <s v="NA"/>
    <x v="2"/>
    <s v="Skagit"/>
    <x v="8"/>
    <s v="North Puget Sound"/>
    <m/>
    <n v="33.428571428571402"/>
    <n v="452.28714285714301"/>
  </r>
  <r>
    <n v="2590"/>
    <x v="0"/>
    <s v="Marine"/>
    <x v="0"/>
    <x v="0"/>
    <d v="2023-08-01T00:00:00"/>
    <s v="Area 8-1: Skagit Bay-Saratoga Psg."/>
    <s v="Area 8-1: Skagit Bay-Saratoga Psg."/>
    <s v="NA"/>
    <x v="2"/>
    <s v="Snohomish"/>
    <x v="9"/>
    <s v="North Puget Sound"/>
    <m/>
    <n v="42.979591836734699"/>
    <n v="581.51204081632704"/>
  </r>
  <r>
    <n v="2594"/>
    <x v="0"/>
    <s v="Marine"/>
    <x v="0"/>
    <x v="0"/>
    <d v="2023-08-01T00:00:00"/>
    <s v="Area 8-1: Skagit Bay-Saratoga Psg."/>
    <s v="Area 8-1: Skagit Bay-Saratoga Psg."/>
    <s v="NA"/>
    <x v="2"/>
    <s v="Thurston"/>
    <x v="10"/>
    <s v="South Puget Sound"/>
    <m/>
    <n v="4.7755102040816304"/>
    <n v="64.612448979591903"/>
  </r>
  <r>
    <n v="2599"/>
    <x v="0"/>
    <s v="Marine"/>
    <x v="0"/>
    <x v="0"/>
    <d v="2023-08-02T00:00:00"/>
    <s v="Area 8-2: Port Susan-Port Gardner"/>
    <s v="Area 8-2: Port Susan-Port Gardner"/>
    <s v="NA"/>
    <x v="2"/>
    <s v="Island"/>
    <x v="1"/>
    <s v="North Puget Sound"/>
    <m/>
    <n v="78.050761421319805"/>
    <n v="2145.7600000000002"/>
  </r>
  <r>
    <n v="2665"/>
    <x v="0"/>
    <s v="Marine"/>
    <x v="0"/>
    <x v="0"/>
    <d v="2023-08-02T00:00:00"/>
    <s v="Area 8-2: Port Susan-Port Gardner"/>
    <s v="Area 8-2: Port Susan-Port Gardner"/>
    <s v="NA"/>
    <x v="2"/>
    <s v="King"/>
    <x v="3"/>
    <s v="South Puget Sound"/>
    <m/>
    <n v="82.928934010152304"/>
    <n v="2279.87"/>
  </r>
  <r>
    <n v="2714"/>
    <x v="0"/>
    <s v="Marine"/>
    <x v="0"/>
    <x v="0"/>
    <d v="2023-08-02T00:00:00"/>
    <s v="Area 8-2: Port Susan-Port Gardner"/>
    <s v="Area 8-2: Port Susan-Port Gardner"/>
    <s v="NA"/>
    <x v="2"/>
    <s v="Kitsap"/>
    <x v="4"/>
    <s v="South Puget Sound"/>
    <m/>
    <n v="4.8781725888324896"/>
    <n v="134.11000000000001"/>
  </r>
  <r>
    <n v="2715"/>
    <x v="0"/>
    <s v="Marine"/>
    <x v="0"/>
    <x v="0"/>
    <d v="2023-08-02T00:00:00"/>
    <s v="Area 8-2: Port Susan-Port Gardner"/>
    <s v="Area 8-2: Port Susan-Port Gardner"/>
    <s v="NA"/>
    <x v="2"/>
    <s v="Other"/>
    <x v="6"/>
    <s v="Non Puget Sound"/>
    <m/>
    <n v="53.659898477157398"/>
    <n v="1475.21"/>
  </r>
  <r>
    <n v="2666"/>
    <x v="0"/>
    <s v="Marine"/>
    <x v="0"/>
    <x v="0"/>
    <d v="2023-08-02T00:00:00"/>
    <s v="Area 8-2: Port Susan-Port Gardner"/>
    <s v="Area 8-2: Port Susan-Port Gardner"/>
    <s v="NA"/>
    <x v="2"/>
    <s v="Pierce"/>
    <x v="7"/>
    <s v="South Puget Sound"/>
    <m/>
    <n v="24.3908629441624"/>
    <n v="670.55"/>
  </r>
  <r>
    <n v="2597"/>
    <x v="0"/>
    <s v="Marine"/>
    <x v="0"/>
    <x v="0"/>
    <d v="2023-08-02T00:00:00"/>
    <s v="Area 8-2: Port Susan-Port Gardner"/>
    <s v="Area 8-2: Port Susan-Port Gardner"/>
    <s v="NA"/>
    <x v="2"/>
    <s v="Skagit"/>
    <x v="8"/>
    <s v="North Puget Sound"/>
    <m/>
    <n v="24.3908629441624"/>
    <n v="670.55"/>
  </r>
  <r>
    <n v="2598"/>
    <x v="0"/>
    <s v="Marine"/>
    <x v="0"/>
    <x v="0"/>
    <d v="2023-08-02T00:00:00"/>
    <s v="Area 8-2: Port Susan-Port Gardner"/>
    <s v="Area 8-2: Port Susan-Port Gardner"/>
    <s v="NA"/>
    <x v="2"/>
    <s v="Snohomish"/>
    <x v="9"/>
    <s v="North Puget Sound"/>
    <m/>
    <n v="668.30964467005094"/>
    <n v="18373.07"/>
  </r>
  <r>
    <n v="2713"/>
    <x v="0"/>
    <s v="Marine"/>
    <x v="0"/>
    <x v="0"/>
    <d v="2023-08-02T00:00:00"/>
    <s v="Area 8-2: Port Susan-Port Gardner"/>
    <s v="Area 8-2: Port Susan-Port Gardner"/>
    <s v="NA"/>
    <x v="2"/>
    <s v="Thurston"/>
    <x v="10"/>
    <s v="South Puget Sound"/>
    <m/>
    <n v="14.634517766497501"/>
    <n v="402.33"/>
  </r>
  <r>
    <n v="2596"/>
    <x v="0"/>
    <s v="Marine"/>
    <x v="0"/>
    <x v="0"/>
    <d v="2023-08-02T00:00:00"/>
    <s v="Area 8-2: Port Susan-Port Gardner"/>
    <s v="Area 8-2: Port Susan-Port Gardner"/>
    <s v="NA"/>
    <x v="2"/>
    <s v="Whatcom"/>
    <x v="11"/>
    <s v="North Puget Sound"/>
    <m/>
    <n v="9.7563451776649792"/>
    <n v="268.22000000000003"/>
  </r>
  <r>
    <n v="3530"/>
    <x v="1"/>
    <s v="Marine"/>
    <x v="0"/>
    <x v="0"/>
    <n v="5"/>
    <s v="Area 5: W Juan de Fuca"/>
    <s v="Area 5: W Juan de Fuca"/>
    <s v="NA"/>
    <x v="0"/>
    <s v="Clallam"/>
    <x v="0"/>
    <s v="Strait of Juan de Fuca"/>
    <m/>
    <n v="6191.2241902308897"/>
    <n v="5365.1922081380499"/>
  </r>
  <r>
    <n v="3429"/>
    <x v="1"/>
    <s v="Marine"/>
    <x v="0"/>
    <x v="0"/>
    <n v="5"/>
    <s v="Area 5: W Juan de Fuca"/>
    <s v="Area 5: W Juan de Fuca"/>
    <s v="NA"/>
    <x v="0"/>
    <s v="Island"/>
    <x v="1"/>
    <s v="North Puget Sound"/>
    <m/>
    <n v="1131.20599153531"/>
    <n v="980.28069814703201"/>
  </r>
  <r>
    <n v="3578"/>
    <x v="1"/>
    <s v="Marine"/>
    <x v="0"/>
    <x v="0"/>
    <n v="5"/>
    <s v="Area 5: W Juan de Fuca"/>
    <s v="Area 5: W Juan de Fuca"/>
    <s v="NA"/>
    <x v="0"/>
    <s v="Jefferson"/>
    <x v="2"/>
    <s v="Strait of Juan de Fuca"/>
    <m/>
    <n v="1368.3943445991599"/>
    <n v="1185.8234251778599"/>
  </r>
  <r>
    <n v="3431"/>
    <x v="1"/>
    <s v="Marine"/>
    <x v="0"/>
    <x v="0"/>
    <n v="5"/>
    <s v="Area 5: W Juan de Fuca"/>
    <s v="Area 5: W Juan de Fuca"/>
    <s v="NA"/>
    <x v="0"/>
    <s v="King"/>
    <x v="3"/>
    <s v="South Puget Sound"/>
    <m/>
    <n v="9663.9049491914302"/>
    <n v="8374.5485449227599"/>
  </r>
  <r>
    <n v="3529"/>
    <x v="1"/>
    <s v="Marine"/>
    <x v="0"/>
    <x v="0"/>
    <n v="5"/>
    <s v="Area 5: W Juan de Fuca"/>
    <s v="Area 5: W Juan de Fuca"/>
    <s v="NA"/>
    <x v="0"/>
    <s v="Kitsap"/>
    <x v="4"/>
    <s v="South Puget Sound"/>
    <m/>
    <n v="5820.2372790284498"/>
    <n v="5043.7023017564998"/>
  </r>
  <r>
    <n v="3485"/>
    <x v="1"/>
    <s v="Marine"/>
    <x v="0"/>
    <x v="0"/>
    <n v="5"/>
    <s v="Area 5: W Juan de Fuca"/>
    <s v="Area 5: W Juan de Fuca"/>
    <s v="NA"/>
    <x v="0"/>
    <s v="Mason"/>
    <x v="5"/>
    <s v="South Puget Sound"/>
    <m/>
    <n v="2590.8266257744199"/>
    <n v="2245.1590183367498"/>
  </r>
  <r>
    <n v="3579"/>
    <x v="1"/>
    <s v="Marine"/>
    <x v="0"/>
    <x v="0"/>
    <n v="5"/>
    <s v="Area 5: W Juan de Fuca"/>
    <s v="Area 5: W Juan de Fuca"/>
    <s v="NA"/>
    <x v="0"/>
    <s v="Other"/>
    <x v="6"/>
    <s v="Non Puget Sound"/>
    <m/>
    <n v="15630.1042916438"/>
    <n v="13544.738678698201"/>
  </r>
  <r>
    <n v="3432"/>
    <x v="1"/>
    <s v="Marine"/>
    <x v="0"/>
    <x v="0"/>
    <n v="5"/>
    <s v="Area 5: W Juan de Fuca"/>
    <s v="Area 5: W Juan de Fuca"/>
    <s v="NA"/>
    <x v="0"/>
    <s v="Pierce"/>
    <x v="7"/>
    <s v="South Puget Sound"/>
    <m/>
    <n v="10655.230629945499"/>
    <n v="9233.6117373849393"/>
  </r>
  <r>
    <n v="3430"/>
    <x v="1"/>
    <s v="Marine"/>
    <x v="0"/>
    <x v="0"/>
    <n v="5"/>
    <s v="Area 5: W Juan de Fuca"/>
    <s v="Area 5: W Juan de Fuca"/>
    <s v="NA"/>
    <x v="0"/>
    <s v="San Juan"/>
    <x v="12"/>
    <s v="North Puget Sound"/>
    <m/>
    <n v="36.490515855977698"/>
    <n v="31.621958004743"/>
  </r>
  <r>
    <n v="3427"/>
    <x v="1"/>
    <s v="Marine"/>
    <x v="0"/>
    <x v="0"/>
    <n v="5"/>
    <s v="Area 5: W Juan de Fuca"/>
    <s v="Area 5: W Juan de Fuca"/>
    <s v="NA"/>
    <x v="0"/>
    <s v="Skagit"/>
    <x v="8"/>
    <s v="North Puget Sound"/>
    <m/>
    <n v="796.70959618884694"/>
    <n v="690.41274977022101"/>
  </r>
  <r>
    <n v="3428"/>
    <x v="1"/>
    <s v="Marine"/>
    <x v="0"/>
    <x v="0"/>
    <n v="5"/>
    <s v="Area 5: W Juan de Fuca"/>
    <s v="Area 5: W Juan de Fuca"/>
    <s v="NA"/>
    <x v="0"/>
    <s v="Snohomish"/>
    <x v="9"/>
    <s v="North Puget Sound"/>
    <m/>
    <n v="4068.6925179415198"/>
    <n v="3525.8483175288402"/>
  </r>
  <r>
    <n v="3484"/>
    <x v="1"/>
    <s v="Marine"/>
    <x v="0"/>
    <x v="0"/>
    <n v="5"/>
    <s v="Area 5: W Juan de Fuca"/>
    <s v="Area 5: W Juan de Fuca"/>
    <s v="NA"/>
    <x v="0"/>
    <s v="Thurston"/>
    <x v="10"/>
    <s v="South Puget Sound"/>
    <m/>
    <n v="3436.1902431045701"/>
    <n v="2977.73437877996"/>
  </r>
  <r>
    <n v="3426"/>
    <x v="1"/>
    <s v="Marine"/>
    <x v="0"/>
    <x v="0"/>
    <n v="5"/>
    <s v="Area 5: W Juan de Fuca"/>
    <s v="Area 5: W Juan de Fuca"/>
    <s v="NA"/>
    <x v="0"/>
    <s v="Whatcom"/>
    <x v="11"/>
    <s v="North Puget Sound"/>
    <m/>
    <n v="614.25701690895801"/>
    <n v="532.30295974650596"/>
  </r>
  <r>
    <n v="1320"/>
    <x v="1"/>
    <s v="Marine"/>
    <x v="0"/>
    <x v="0"/>
    <n v="6"/>
    <s v="Area 6: E Juan de Fuca"/>
    <s v="Area 6: E Juan de Fuca"/>
    <s v="NA"/>
    <x v="0"/>
    <s v="Clallam"/>
    <x v="0"/>
    <s v="Strait of Juan de Fuca"/>
    <m/>
    <n v="13391.017411491601"/>
    <n v="16812.109349971"/>
  </r>
  <r>
    <n v="3583"/>
    <x v="1"/>
    <s v="Marine"/>
    <x v="0"/>
    <x v="0"/>
    <n v="6"/>
    <s v="Area 6: E Juan de Fuca"/>
    <s v="Area 6: E Juan de Fuca"/>
    <s v="NA"/>
    <x v="0"/>
    <s v="Island"/>
    <x v="1"/>
    <s v="North Puget Sound"/>
    <m/>
    <n v="1922.2399883923399"/>
    <n v="2413.32737376669"/>
  </r>
  <r>
    <n v="1321"/>
    <x v="1"/>
    <s v="Marine"/>
    <x v="0"/>
    <x v="0"/>
    <n v="6"/>
    <s v="Area 6: E Juan de Fuca"/>
    <s v="Area 6: E Juan de Fuca"/>
    <s v="NA"/>
    <x v="0"/>
    <s v="Jefferson"/>
    <x v="2"/>
    <s v="Strait of Juan de Fuca"/>
    <m/>
    <n v="352.704585026117"/>
    <n v="442.81236215902499"/>
  </r>
  <r>
    <n v="3632"/>
    <x v="1"/>
    <s v="Marine"/>
    <x v="0"/>
    <x v="0"/>
    <n v="6"/>
    <s v="Area 6: E Juan de Fuca"/>
    <s v="Area 6: E Juan de Fuca"/>
    <s v="NA"/>
    <x v="0"/>
    <s v="King"/>
    <x v="3"/>
    <s v="South Puget Sound"/>
    <m/>
    <n v="634.86825304701097"/>
    <n v="797.06225188624501"/>
  </r>
  <r>
    <n v="3716"/>
    <x v="1"/>
    <s v="Marine"/>
    <x v="0"/>
    <x v="0"/>
    <n v="6"/>
    <s v="Area 6: E Juan de Fuca"/>
    <s v="Area 6: E Juan de Fuca"/>
    <s v="NA"/>
    <x v="0"/>
    <s v="Kitsap"/>
    <x v="4"/>
    <s v="South Puget Sound"/>
    <m/>
    <n v="611.35461404526995"/>
    <n v="767.54142774231002"/>
  </r>
  <r>
    <n v="3715"/>
    <x v="1"/>
    <s v="Marine"/>
    <x v="0"/>
    <x v="0"/>
    <n v="6"/>
    <s v="Area 6: E Juan de Fuca"/>
    <s v="Area 6: E Juan de Fuca"/>
    <s v="NA"/>
    <x v="0"/>
    <s v="Mason"/>
    <x v="5"/>
    <s v="South Puget Sound"/>
    <m/>
    <n v="35.270458502611703"/>
    <n v="44.281236215902503"/>
  </r>
  <r>
    <n v="1322"/>
    <x v="1"/>
    <s v="Marine"/>
    <x v="0"/>
    <x v="0"/>
    <n v="6"/>
    <s v="Area 6: E Juan de Fuca"/>
    <s v="Area 6: E Juan de Fuca"/>
    <s v="NA"/>
    <x v="0"/>
    <s v="Other"/>
    <x v="6"/>
    <s v="Non Puget Sound"/>
    <m/>
    <n v="1587.1706326175299"/>
    <n v="1992.6556297156101"/>
  </r>
  <r>
    <n v="3662"/>
    <x v="1"/>
    <s v="Marine"/>
    <x v="0"/>
    <x v="0"/>
    <n v="6"/>
    <s v="Area 6: E Juan de Fuca"/>
    <s v="Area 6: E Juan de Fuca"/>
    <s v="NA"/>
    <x v="0"/>
    <s v="Pierce"/>
    <x v="7"/>
    <s v="South Puget Sound"/>
    <m/>
    <n v="734.80121880441095"/>
    <n v="922.52575449796905"/>
  </r>
  <r>
    <n v="3631"/>
    <x v="1"/>
    <s v="Marine"/>
    <x v="0"/>
    <x v="0"/>
    <n v="6"/>
    <s v="Area 6: E Juan de Fuca"/>
    <s v="Area 6: E Juan de Fuca"/>
    <s v="NA"/>
    <x v="0"/>
    <s v="San Juan"/>
    <x v="12"/>
    <s v="North Puget Sound"/>
    <m/>
    <n v="29.3920487521764"/>
    <n v="36.901030179918799"/>
  </r>
  <r>
    <n v="3581"/>
    <x v="1"/>
    <s v="Marine"/>
    <x v="0"/>
    <x v="0"/>
    <n v="6"/>
    <s v="Area 6: E Juan de Fuca"/>
    <s v="Area 6: E Juan de Fuca"/>
    <s v="NA"/>
    <x v="0"/>
    <s v="Skagit"/>
    <x v="8"/>
    <s v="North Puget Sound"/>
    <m/>
    <n v="676.01712130005797"/>
    <n v="848.72369413813101"/>
  </r>
  <r>
    <n v="3582"/>
    <x v="1"/>
    <s v="Marine"/>
    <x v="0"/>
    <x v="0"/>
    <n v="6"/>
    <s v="Area 6: E Juan de Fuca"/>
    <s v="Area 6: E Juan de Fuca"/>
    <s v="NA"/>
    <x v="0"/>
    <s v="Snohomish"/>
    <x v="9"/>
    <s v="North Puget Sound"/>
    <m/>
    <n v="141.08183401044701"/>
    <n v="177.12494486361001"/>
  </r>
  <r>
    <n v="3691"/>
    <x v="1"/>
    <s v="Marine"/>
    <x v="0"/>
    <x v="0"/>
    <n v="6"/>
    <s v="Area 6: E Juan de Fuca"/>
    <s v="Area 6: E Juan de Fuca"/>
    <s v="NA"/>
    <x v="0"/>
    <s v="Thurston"/>
    <x v="10"/>
    <s v="South Puget Sound"/>
    <m/>
    <n v="23.5136390017412"/>
    <n v="29.520824143934998"/>
  </r>
  <r>
    <n v="3580"/>
    <x v="1"/>
    <s v="Marine"/>
    <x v="0"/>
    <x v="0"/>
    <n v="6"/>
    <s v="Area 6: E Juan de Fuca"/>
    <s v="Area 6: E Juan de Fuca"/>
    <s v="NA"/>
    <x v="0"/>
    <s v="Whatcom"/>
    <x v="11"/>
    <s v="North Puget Sound"/>
    <m/>
    <n v="117.568195008706"/>
    <n v="147.604120719675"/>
  </r>
  <r>
    <n v="3217"/>
    <x v="1"/>
    <s v="Marine"/>
    <x v="0"/>
    <x v="0"/>
    <n v="7"/>
    <s v="Area 7: San Juan Islands"/>
    <s v="Area 7: San Juan Islands"/>
    <s v="NA"/>
    <x v="1"/>
    <s v="Clallam"/>
    <x v="0"/>
    <s v="Strait of Juan de Fuca"/>
    <m/>
    <n v="218.927638678112"/>
    <n v="470.02727818836303"/>
  </r>
  <r>
    <n v="3207"/>
    <x v="1"/>
    <s v="Marine"/>
    <x v="0"/>
    <x v="0"/>
    <n v="7"/>
    <s v="Area 7: San Juan Islands"/>
    <s v="Area 7: San Juan Islands"/>
    <s v="NA"/>
    <x v="1"/>
    <s v="Island"/>
    <x v="1"/>
    <s v="North Puget Sound"/>
    <m/>
    <n v="993.59466784681695"/>
    <n v="2133.2007240856501"/>
  </r>
  <r>
    <n v="3218"/>
    <x v="1"/>
    <s v="Marine"/>
    <x v="0"/>
    <x v="0"/>
    <n v="7"/>
    <s v="Area 7: San Juan Islands"/>
    <s v="Area 7: San Juan Islands"/>
    <s v="NA"/>
    <x v="1"/>
    <s v="Jefferson"/>
    <x v="2"/>
    <s v="Strait of Juan de Fuca"/>
    <m/>
    <n v="16.840587590624001"/>
    <n v="36.155944476027898"/>
  </r>
  <r>
    <n v="3209"/>
    <x v="1"/>
    <s v="Marine"/>
    <x v="0"/>
    <x v="0"/>
    <n v="7"/>
    <s v="Area 7: San Juan Islands"/>
    <s v="Area 7: San Juan Islands"/>
    <s v="NA"/>
    <x v="1"/>
    <s v="King"/>
    <x v="3"/>
    <s v="South Puget Sound"/>
    <m/>
    <n v="3042.5328247060702"/>
    <n v="6532.1739686690498"/>
  </r>
  <r>
    <n v="3216"/>
    <x v="1"/>
    <s v="Marine"/>
    <x v="0"/>
    <x v="0"/>
    <n v="7"/>
    <s v="Area 7: San Juan Islands"/>
    <s v="Area 7: San Juan Islands"/>
    <s v="NA"/>
    <x v="1"/>
    <s v="Kitsap"/>
    <x v="4"/>
    <s v="South Puget Sound"/>
    <m/>
    <n v="39.294704378122702"/>
    <n v="84.363870444065199"/>
  </r>
  <r>
    <n v="3212"/>
    <x v="1"/>
    <s v="Marine"/>
    <x v="0"/>
    <x v="0"/>
    <n v="7"/>
    <s v="Area 7: San Juan Islands"/>
    <s v="Area 7: San Juan Islands"/>
    <s v="NA"/>
    <x v="1"/>
    <s v="Mason"/>
    <x v="5"/>
    <s v="South Puget Sound"/>
    <m/>
    <n v="22.454116787498702"/>
    <n v="48.207925968037301"/>
  </r>
  <r>
    <n v="3219"/>
    <x v="1"/>
    <s v="Marine"/>
    <x v="0"/>
    <x v="0"/>
    <n v="7"/>
    <s v="Area 7: San Juan Islands"/>
    <s v="Area 7: San Juan Islands"/>
    <s v="NA"/>
    <x v="1"/>
    <s v="Other"/>
    <x v="6"/>
    <s v="Non Puget Sound"/>
    <m/>
    <n v="3637.5669195747901"/>
    <n v="7809.6840068220299"/>
  </r>
  <r>
    <n v="3210"/>
    <x v="1"/>
    <s v="Marine"/>
    <x v="0"/>
    <x v="0"/>
    <n v="7"/>
    <s v="Area 7: San Juan Islands"/>
    <s v="Area 7: San Juan Islands"/>
    <s v="NA"/>
    <x v="1"/>
    <s v="Pierce"/>
    <x v="7"/>
    <s v="South Puget Sound"/>
    <m/>
    <n v="241.38175546561101"/>
    <n v="518.23520415639996"/>
  </r>
  <r>
    <n v="3208"/>
    <x v="1"/>
    <s v="Marine"/>
    <x v="0"/>
    <x v="0"/>
    <n v="7"/>
    <s v="Area 7: San Juan Islands"/>
    <s v="Area 7: San Juan Islands"/>
    <s v="NA"/>
    <x v="1"/>
    <s v="San Juan"/>
    <x v="12"/>
    <s v="North Puget Sound"/>
    <m/>
    <n v="2144.36815320613"/>
    <n v="4603.8569299475603"/>
  </r>
  <r>
    <n v="3205"/>
    <x v="1"/>
    <s v="Marine"/>
    <x v="0"/>
    <x v="0"/>
    <n v="7"/>
    <s v="Area 7: San Juan Islands"/>
    <s v="Area 7: San Juan Islands"/>
    <s v="NA"/>
    <x v="1"/>
    <s v="Skagit"/>
    <x v="8"/>
    <s v="North Puget Sound"/>
    <m/>
    <n v="3727.3833867247799"/>
    <n v="8002.5157106941797"/>
  </r>
  <r>
    <n v="3206"/>
    <x v="1"/>
    <s v="Marine"/>
    <x v="0"/>
    <x v="0"/>
    <n v="7"/>
    <s v="Area 7: San Juan Islands"/>
    <s v="Area 7: San Juan Islands"/>
    <s v="NA"/>
    <x v="1"/>
    <s v="Snohomish"/>
    <x v="9"/>
    <s v="North Puget Sound"/>
    <m/>
    <n v="1425.8364160061701"/>
    <n v="3061.2032989703598"/>
  </r>
  <r>
    <n v="3211"/>
    <x v="1"/>
    <s v="Marine"/>
    <x v="0"/>
    <x v="0"/>
    <n v="7"/>
    <s v="Area 7: San Juan Islands"/>
    <s v="Area 7: San Juan Islands"/>
    <s v="NA"/>
    <x v="1"/>
    <s v="Thurston"/>
    <x v="10"/>
    <s v="South Puget Sound"/>
    <m/>
    <n v="72.975879559370796"/>
    <n v="156.67575939612101"/>
  </r>
  <r>
    <n v="3204"/>
    <x v="1"/>
    <s v="Marine"/>
    <x v="0"/>
    <x v="0"/>
    <n v="7"/>
    <s v="Area 7: San Juan Islands"/>
    <s v="Area 7: San Juan Islands"/>
    <s v="NA"/>
    <x v="1"/>
    <s v="Whatcom"/>
    <x v="11"/>
    <s v="North Puget Sound"/>
    <m/>
    <n v="3721.7698575279101"/>
    <n v="7990.4637292021698"/>
  </r>
  <r>
    <n v="1553"/>
    <x v="1"/>
    <s v="Marine"/>
    <x v="0"/>
    <x v="0"/>
    <n v="9"/>
    <s v="Area 9: Admiralty Inlet"/>
    <s v="Area 9: Admiralty Inlet"/>
    <s v="NA"/>
    <x v="2"/>
    <s v="Clallam"/>
    <x v="0"/>
    <s v="Strait of Juan de Fuca"/>
    <m/>
    <n v="47.660561994797099"/>
    <n v="95.651814930450101"/>
  </r>
  <r>
    <n v="3649"/>
    <x v="1"/>
    <s v="Marine"/>
    <x v="0"/>
    <x v="0"/>
    <n v="9"/>
    <s v="Area 9: Admiralty Inlet"/>
    <s v="Area 9: Admiralty Inlet"/>
    <s v="NA"/>
    <x v="2"/>
    <s v="Island"/>
    <x v="1"/>
    <s v="North Puget Sound"/>
    <m/>
    <n v="9804.4584675011192"/>
    <n v="19676.944785692602"/>
  </r>
  <r>
    <n v="1554"/>
    <x v="1"/>
    <s v="Marine"/>
    <x v="0"/>
    <x v="0"/>
    <n v="9"/>
    <s v="Area 9: Admiralty Inlet"/>
    <s v="Area 9: Admiralty Inlet"/>
    <s v="NA"/>
    <x v="2"/>
    <s v="Jefferson"/>
    <x v="2"/>
    <s v="Strait of Juan de Fuca"/>
    <m/>
    <n v="1664.71534396113"/>
    <n v="3340.9812500707199"/>
  </r>
  <r>
    <n v="3703"/>
    <x v="1"/>
    <s v="Marine"/>
    <x v="0"/>
    <x v="0"/>
    <n v="9"/>
    <s v="Area 9: Admiralty Inlet"/>
    <s v="Area 9: Admiralty Inlet"/>
    <s v="NA"/>
    <x v="2"/>
    <s v="King"/>
    <x v="3"/>
    <s v="South Puget Sound"/>
    <m/>
    <n v="6270.7682281725902"/>
    <n v="12585.045935849201"/>
  </r>
  <r>
    <n v="1379"/>
    <x v="1"/>
    <s v="Marine"/>
    <x v="0"/>
    <x v="0"/>
    <n v="9"/>
    <s v="Area 9: Admiralty Inlet"/>
    <s v="Area 9: Admiralty Inlet"/>
    <s v="NA"/>
    <x v="2"/>
    <s v="Kitsap"/>
    <x v="4"/>
    <s v="South Puget Sound"/>
    <m/>
    <n v="2393.2410773101701"/>
    <n v="4803.0875640076001"/>
  </r>
  <r>
    <n v="1378"/>
    <x v="1"/>
    <s v="Marine"/>
    <x v="0"/>
    <x v="0"/>
    <n v="9"/>
    <s v="Area 9: Admiralty Inlet"/>
    <s v="Area 9: Admiralty Inlet"/>
    <s v="NA"/>
    <x v="2"/>
    <s v="Mason"/>
    <x v="5"/>
    <s v="South Puget Sound"/>
    <m/>
    <n v="139.57736012762001"/>
    <n v="280.12317229631799"/>
  </r>
  <r>
    <n v="1555"/>
    <x v="1"/>
    <s v="Marine"/>
    <x v="0"/>
    <x v="0"/>
    <n v="9"/>
    <s v="Area 9: Admiralty Inlet"/>
    <s v="Area 9: Admiralty Inlet"/>
    <s v="NA"/>
    <x v="2"/>
    <s v="Other"/>
    <x v="6"/>
    <s v="Non Puget Sound"/>
    <m/>
    <n v="3642.62866674521"/>
    <n v="7310.5315696844"/>
  </r>
  <r>
    <n v="3704"/>
    <x v="1"/>
    <s v="Marine"/>
    <x v="0"/>
    <x v="0"/>
    <n v="9"/>
    <s v="Area 9: Admiralty Inlet"/>
    <s v="Area 9: Admiralty Inlet"/>
    <s v="NA"/>
    <x v="2"/>
    <s v="Pierce"/>
    <x v="7"/>
    <s v="South Puget Sound"/>
    <m/>
    <n v="439.15803552348802"/>
    <n v="881.36315185914805"/>
  </r>
  <r>
    <n v="3647"/>
    <x v="1"/>
    <s v="Marine"/>
    <x v="0"/>
    <x v="0"/>
    <n v="9"/>
    <s v="Area 9: Admiralty Inlet"/>
    <s v="Area 9: Admiralty Inlet"/>
    <s v="NA"/>
    <x v="2"/>
    <s v="Skagit"/>
    <x v="8"/>
    <s v="North Puget Sound"/>
    <m/>
    <n v="422.13640623963198"/>
    <n v="847.20178938398703"/>
  </r>
  <r>
    <n v="3648"/>
    <x v="1"/>
    <s v="Marine"/>
    <x v="0"/>
    <x v="0"/>
    <n v="9"/>
    <s v="Area 9: Admiralty Inlet"/>
    <s v="Area 9: Admiralty Inlet"/>
    <s v="NA"/>
    <x v="2"/>
    <s v="Snohomish"/>
    <x v="9"/>
    <s v="North Puget Sound"/>
    <m/>
    <n v="10264.042458165201"/>
    <n v="20599.301572521901"/>
  </r>
  <r>
    <n v="1377"/>
    <x v="1"/>
    <s v="Marine"/>
    <x v="0"/>
    <x v="0"/>
    <n v="9"/>
    <s v="Area 9: Admiralty Inlet"/>
    <s v="Area 9: Admiralty Inlet"/>
    <s v="NA"/>
    <x v="2"/>
    <s v="Thurston"/>
    <x v="10"/>
    <s v="South Puget Sound"/>
    <m/>
    <n v="136.173034270849"/>
    <n v="273.290899801286"/>
  </r>
  <r>
    <n v="3607"/>
    <x v="1"/>
    <s v="Marine"/>
    <x v="0"/>
    <x v="0"/>
    <n v="9"/>
    <s v="Area 9: Admiralty Inlet"/>
    <s v="Area 9: Admiralty Inlet"/>
    <s v="NA"/>
    <x v="2"/>
    <s v="Whatcom"/>
    <x v="11"/>
    <s v="North Puget Sound"/>
    <m/>
    <n v="408.51910281254698"/>
    <n v="819.87269940385795"/>
  </r>
  <r>
    <n v="900"/>
    <x v="1"/>
    <s v="Marine"/>
    <x v="0"/>
    <x v="0"/>
    <n v="10"/>
    <s v="Area 10: N Puget Sound"/>
    <s v="Area 10: N Puget Sound"/>
    <s v="NA"/>
    <x v="3"/>
    <s v="Clallam"/>
    <x v="0"/>
    <s v="Strait of Juan de Fuca"/>
    <m/>
    <n v="16.292665055811199"/>
    <n v="31.975589232989499"/>
  </r>
  <r>
    <n v="893"/>
    <x v="1"/>
    <s v="Marine"/>
    <x v="0"/>
    <x v="0"/>
    <n v="10"/>
    <s v="Area 10: N Puget Sound"/>
    <s v="Area 10: N Puget Sound"/>
    <s v="NA"/>
    <x v="3"/>
    <s v="Island"/>
    <x v="1"/>
    <s v="North Puget Sound"/>
    <m/>
    <n v="12.219498791858401"/>
    <n v="23.981691924742101"/>
  </r>
  <r>
    <n v="901"/>
    <x v="1"/>
    <s v="Marine"/>
    <x v="0"/>
    <x v="0"/>
    <n v="10"/>
    <s v="Area 10: N Puget Sound"/>
    <s v="Area 10: N Puget Sound"/>
    <s v="NA"/>
    <x v="3"/>
    <s v="Jefferson"/>
    <x v="2"/>
    <s v="Strait of Juan de Fuca"/>
    <m/>
    <n v="36.658496375575297"/>
    <n v="71.945075774226297"/>
  </r>
  <r>
    <n v="895"/>
    <x v="1"/>
    <s v="Marine"/>
    <x v="0"/>
    <x v="0"/>
    <n v="10"/>
    <s v="Area 10: N Puget Sound"/>
    <s v="Area 10: N Puget Sound"/>
    <s v="NA"/>
    <x v="3"/>
    <s v="King"/>
    <x v="3"/>
    <s v="South Puget Sound"/>
    <m/>
    <n v="15327.324651254399"/>
    <n v="30081.0355709348"/>
  </r>
  <r>
    <n v="899"/>
    <x v="1"/>
    <s v="Marine"/>
    <x v="0"/>
    <x v="0"/>
    <n v="10"/>
    <s v="Area 10: N Puget Sound"/>
    <s v="Area 10: N Puget Sound"/>
    <s v="NA"/>
    <x v="3"/>
    <s v="Kitsap"/>
    <x v="4"/>
    <s v="South Puget Sound"/>
    <m/>
    <n v="2370.5827656205302"/>
    <n v="4652.4482333999704"/>
  </r>
  <r>
    <n v="898"/>
    <x v="1"/>
    <s v="Marine"/>
    <x v="0"/>
    <x v="0"/>
    <n v="10"/>
    <s v="Area 10: N Puget Sound"/>
    <s v="Area 10: N Puget Sound"/>
    <s v="NA"/>
    <x v="3"/>
    <s v="Mason"/>
    <x v="5"/>
    <s v="South Puget Sound"/>
    <m/>
    <n v="114.048655390679"/>
    <n v="223.829124630926"/>
  </r>
  <r>
    <n v="902"/>
    <x v="1"/>
    <s v="Marine"/>
    <x v="0"/>
    <x v="0"/>
    <n v="10"/>
    <s v="Area 10: N Puget Sound"/>
    <s v="Area 10: N Puget Sound"/>
    <s v="NA"/>
    <x v="3"/>
    <s v="Other"/>
    <x v="6"/>
    <s v="Non Puget Sound"/>
    <m/>
    <n v="2142.48545483918"/>
    <n v="4204.7899841381204"/>
  </r>
  <r>
    <n v="896"/>
    <x v="1"/>
    <s v="Marine"/>
    <x v="0"/>
    <x v="0"/>
    <n v="10"/>
    <s v="Area 10: N Puget Sound"/>
    <s v="Area 10: N Puget Sound"/>
    <s v="NA"/>
    <x v="3"/>
    <s v="Pierce"/>
    <x v="7"/>
    <s v="South Puget Sound"/>
    <m/>
    <n v="513.21894925805395"/>
    <n v="1007.23106083917"/>
  </r>
  <r>
    <n v="894"/>
    <x v="1"/>
    <s v="Marine"/>
    <x v="0"/>
    <x v="0"/>
    <n v="10"/>
    <s v="Area 10: N Puget Sound"/>
    <s v="Area 10: N Puget Sound"/>
    <s v="NA"/>
    <x v="3"/>
    <s v="San Juan"/>
    <x v="12"/>
    <s v="North Puget Sound"/>
    <m/>
    <n v="93.682824070914606"/>
    <n v="183.85963808968901"/>
  </r>
  <r>
    <n v="891"/>
    <x v="1"/>
    <s v="Marine"/>
    <x v="0"/>
    <x v="0"/>
    <n v="10"/>
    <s v="Area 10: N Puget Sound"/>
    <s v="Area 10: N Puget Sound"/>
    <s v="NA"/>
    <x v="3"/>
    <s v="Skagit"/>
    <x v="8"/>
    <s v="North Puget Sound"/>
    <m/>
    <n v="12.219498791858401"/>
    <n v="23.981691924742101"/>
  </r>
  <r>
    <n v="892"/>
    <x v="1"/>
    <s v="Marine"/>
    <x v="0"/>
    <x v="0"/>
    <n v="10"/>
    <s v="Area 10: N Puget Sound"/>
    <s v="Area 10: N Puget Sound"/>
    <s v="NA"/>
    <x v="3"/>
    <s v="Snohomish"/>
    <x v="9"/>
    <s v="North Puget Sound"/>
    <m/>
    <n v="3115.9721919239"/>
    <n v="6115.3314408092401"/>
  </r>
  <r>
    <n v="897"/>
    <x v="1"/>
    <s v="Marine"/>
    <x v="0"/>
    <x v="0"/>
    <n v="10"/>
    <s v="Area 10: N Puget Sound"/>
    <s v="Area 10: N Puget Sound"/>
    <s v="NA"/>
    <x v="3"/>
    <s v="Thurston"/>
    <x v="10"/>
    <s v="South Puget Sound"/>
    <m/>
    <n v="44.804828903480903"/>
    <n v="87.932870390721106"/>
  </r>
  <r>
    <n v="890"/>
    <x v="1"/>
    <s v="Marine"/>
    <x v="0"/>
    <x v="0"/>
    <n v="10"/>
    <s v="Area 10: N Puget Sound"/>
    <s v="Area 10: N Puget Sound"/>
    <s v="NA"/>
    <x v="3"/>
    <s v="Whatcom"/>
    <x v="11"/>
    <s v="North Puget Sound"/>
    <m/>
    <n v="8.1463325279056207"/>
    <n v="15.9877946164947"/>
  </r>
  <r>
    <n v="911"/>
    <x v="1"/>
    <s v="Marine"/>
    <x v="0"/>
    <x v="0"/>
    <n v="11"/>
    <s v="Area 11: Mid-Puget Sound"/>
    <s v="Area 11: Mid-Puget Sound"/>
    <s v="NA"/>
    <x v="3"/>
    <s v="Clallam"/>
    <x v="0"/>
    <s v="Strait of Juan de Fuca"/>
    <m/>
    <n v="5.22894623620647"/>
    <n v="17.283196279024398"/>
  </r>
  <r>
    <n v="906"/>
    <x v="1"/>
    <s v="Marine"/>
    <x v="0"/>
    <x v="0"/>
    <n v="11"/>
    <s v="Area 11: Mid-Puget Sound"/>
    <s v="Area 11: Mid-Puget Sound"/>
    <s v="NA"/>
    <x v="3"/>
    <s v="King"/>
    <x v="3"/>
    <s v="South Puget Sound"/>
    <m/>
    <n v="11681.4658916852"/>
    <n v="38610.660487340603"/>
  </r>
  <r>
    <n v="910"/>
    <x v="1"/>
    <s v="Marine"/>
    <x v="0"/>
    <x v="0"/>
    <n v="11"/>
    <s v="Area 11: Mid-Puget Sound"/>
    <s v="Area 11: Mid-Puget Sound"/>
    <s v="NA"/>
    <x v="3"/>
    <s v="Kitsap"/>
    <x v="4"/>
    <s v="South Puget Sound"/>
    <m/>
    <n v="460.14726878616898"/>
    <n v="1520.9212725541499"/>
  </r>
  <r>
    <n v="909"/>
    <x v="1"/>
    <s v="Marine"/>
    <x v="0"/>
    <x v="0"/>
    <n v="11"/>
    <s v="Area 11: Mid-Puget Sound"/>
    <s v="Area 11: Mid-Puget Sound"/>
    <s v="NA"/>
    <x v="3"/>
    <s v="Mason"/>
    <x v="5"/>
    <s v="South Puget Sound"/>
    <m/>
    <n v="31.373677417238799"/>
    <n v="103.69917767414699"/>
  </r>
  <r>
    <n v="912"/>
    <x v="1"/>
    <s v="Marine"/>
    <x v="0"/>
    <x v="0"/>
    <n v="11"/>
    <s v="Area 11: Mid-Puget Sound"/>
    <s v="Area 11: Mid-Puget Sound"/>
    <s v="NA"/>
    <x v="3"/>
    <s v="Other"/>
    <x v="6"/>
    <s v="Non Puget Sound"/>
    <m/>
    <n v="873.23402144648003"/>
    <n v="2886.2937785970798"/>
  </r>
  <r>
    <n v="907"/>
    <x v="1"/>
    <s v="Marine"/>
    <x v="0"/>
    <x v="0"/>
    <n v="11"/>
    <s v="Area 11: Mid-Puget Sound"/>
    <s v="Area 11: Mid-Puget Sound"/>
    <s v="NA"/>
    <x v="3"/>
    <s v="Pierce"/>
    <x v="7"/>
    <s v="South Puget Sound"/>
    <m/>
    <n v="8580.7007736148098"/>
    <n v="28361.7250938791"/>
  </r>
  <r>
    <n v="905"/>
    <x v="1"/>
    <s v="Marine"/>
    <x v="0"/>
    <x v="0"/>
    <n v="11"/>
    <s v="Area 11: Mid-Puget Sound"/>
    <s v="Area 11: Mid-Puget Sound"/>
    <s v="NA"/>
    <x v="3"/>
    <s v="San Juan"/>
    <x v="12"/>
    <s v="North Puget Sound"/>
    <m/>
    <n v="5.22894623620647"/>
    <n v="17.283196279024398"/>
  </r>
  <r>
    <n v="903"/>
    <x v="1"/>
    <s v="Marine"/>
    <x v="0"/>
    <x v="0"/>
    <n v="11"/>
    <s v="Area 11: Mid-Puget Sound"/>
    <s v="Area 11: Mid-Puget Sound"/>
    <s v="NA"/>
    <x v="3"/>
    <s v="Skagit"/>
    <x v="8"/>
    <s v="North Puget Sound"/>
    <m/>
    <n v="130.72365590516199"/>
    <n v="432.07990697561002"/>
  </r>
  <r>
    <n v="904"/>
    <x v="1"/>
    <s v="Marine"/>
    <x v="0"/>
    <x v="0"/>
    <n v="11"/>
    <s v="Area 11: Mid-Puget Sound"/>
    <s v="Area 11: Mid-Puget Sound"/>
    <s v="NA"/>
    <x v="3"/>
    <s v="Snohomish"/>
    <x v="9"/>
    <s v="North Puget Sound"/>
    <m/>
    <n v="198.69995697584599"/>
    <n v="656.76145860292797"/>
  </r>
  <r>
    <n v="908"/>
    <x v="1"/>
    <s v="Marine"/>
    <x v="0"/>
    <x v="0"/>
    <n v="11"/>
    <s v="Area 11: Mid-Puget Sound"/>
    <s v="Area 11: Mid-Puget Sound"/>
    <s v="NA"/>
    <x v="3"/>
    <s v="Thurston"/>
    <x v="10"/>
    <s v="South Puget Sound"/>
    <m/>
    <n v="575.18408598271105"/>
    <n v="1901.15159069269"/>
  </r>
  <r>
    <n v="203"/>
    <x v="1"/>
    <s v="Marine"/>
    <x v="0"/>
    <x v="0"/>
    <n v="12"/>
    <s v="Area 12: Hood Canal"/>
    <s v="Area 12: Hood Canal"/>
    <s v="NA"/>
    <x v="4"/>
    <s v="Clallam"/>
    <x v="0"/>
    <s v="Strait of Juan de Fuca"/>
    <m/>
    <n v="354.269230769231"/>
    <n v="2017.5947570850201"/>
  </r>
  <r>
    <n v="204"/>
    <x v="1"/>
    <s v="Marine"/>
    <x v="0"/>
    <x v="0"/>
    <n v="12"/>
    <s v="Area 12: Hood Canal"/>
    <s v="Area 12: Hood Canal"/>
    <s v="NA"/>
    <x v="4"/>
    <s v="Jefferson"/>
    <x v="2"/>
    <s v="Strait of Juan de Fuca"/>
    <m/>
    <n v="929.23076923076906"/>
    <n v="5292.0518218623502"/>
  </r>
  <r>
    <n v="95"/>
    <x v="1"/>
    <s v="Marine"/>
    <x v="0"/>
    <x v="0"/>
    <n v="12"/>
    <s v="Area 12: Hood Canal"/>
    <s v="Area 12: Hood Canal"/>
    <s v="NA"/>
    <x v="4"/>
    <s v="King"/>
    <x v="3"/>
    <s v="South Puget Sound"/>
    <m/>
    <n v="574.96153846153902"/>
    <n v="3274.4570647773298"/>
  </r>
  <r>
    <n v="202"/>
    <x v="1"/>
    <s v="Marine"/>
    <x v="0"/>
    <x v="0"/>
    <n v="12"/>
    <s v="Area 12: Hood Canal"/>
    <s v="Area 12: Hood Canal"/>
    <s v="NA"/>
    <x v="4"/>
    <s v="Kitsap"/>
    <x v="4"/>
    <s v="South Puget Sound"/>
    <m/>
    <n v="993.11538461538498"/>
    <n v="5655.8803846153896"/>
  </r>
  <r>
    <n v="201"/>
    <x v="1"/>
    <s v="Marine"/>
    <x v="0"/>
    <x v="0"/>
    <n v="12"/>
    <s v="Area 12: Hood Canal"/>
    <s v="Area 12: Hood Canal"/>
    <s v="NA"/>
    <x v="4"/>
    <s v="Mason"/>
    <x v="5"/>
    <s v="South Puget Sound"/>
    <m/>
    <n v="696.92307692307702"/>
    <n v="3969.0388663967601"/>
  </r>
  <r>
    <n v="205"/>
    <x v="1"/>
    <s v="Marine"/>
    <x v="0"/>
    <x v="0"/>
    <n v="12"/>
    <s v="Area 12: Hood Canal"/>
    <s v="Area 12: Hood Canal"/>
    <s v="NA"/>
    <x v="4"/>
    <s v="Other"/>
    <x v="6"/>
    <s v="Non Puget Sound"/>
    <m/>
    <n v="696.92307692307702"/>
    <n v="3969.0388663967601"/>
  </r>
  <r>
    <n v="96"/>
    <x v="1"/>
    <s v="Marine"/>
    <x v="0"/>
    <x v="0"/>
    <n v="12"/>
    <s v="Area 12: Hood Canal"/>
    <s v="Area 12: Hood Canal"/>
    <s v="NA"/>
    <x v="4"/>
    <s v="Pierce"/>
    <x v="7"/>
    <s v="South Puget Sound"/>
    <m/>
    <n v="708.538461538462"/>
    <n v="4035.1895141700402"/>
  </r>
  <r>
    <n v="94"/>
    <x v="1"/>
    <s v="Marine"/>
    <x v="0"/>
    <x v="0"/>
    <n v="12"/>
    <s v="Area 12: Hood Canal"/>
    <s v="Area 12: Hood Canal"/>
    <s v="NA"/>
    <x v="4"/>
    <s v="Snohomish"/>
    <x v="9"/>
    <s v="North Puget Sound"/>
    <m/>
    <n v="110.346153846154"/>
    <n v="628.43115384615396"/>
  </r>
  <r>
    <n v="200"/>
    <x v="1"/>
    <s v="Marine"/>
    <x v="0"/>
    <x v="0"/>
    <n v="12"/>
    <s v="Area 12: Hood Canal"/>
    <s v="Area 12: Hood Canal"/>
    <s v="NA"/>
    <x v="4"/>
    <s v="Thurston"/>
    <x v="10"/>
    <s v="South Puget Sound"/>
    <m/>
    <n v="673.69230769230796"/>
    <n v="3836.7375708502"/>
  </r>
  <r>
    <n v="914"/>
    <x v="1"/>
    <s v="Marine"/>
    <x v="0"/>
    <x v="0"/>
    <n v="13"/>
    <s v="Area 13: S Puget Sound"/>
    <s v="Area 13: S Puget Sound"/>
    <s v="NA"/>
    <x v="3"/>
    <s v="King"/>
    <x v="3"/>
    <s v="South Puget Sound"/>
    <m/>
    <n v="358.53061224489801"/>
    <n v="1703.9717176870799"/>
  </r>
  <r>
    <n v="917"/>
    <x v="1"/>
    <s v="Marine"/>
    <x v="0"/>
    <x v="0"/>
    <n v="13"/>
    <s v="Area 13: S Puget Sound"/>
    <s v="Area 13: S Puget Sound"/>
    <s v="NA"/>
    <x v="3"/>
    <s v="Mason"/>
    <x v="5"/>
    <s v="South Puget Sound"/>
    <m/>
    <n v="335.02040816326502"/>
    <n v="1592.23586734694"/>
  </r>
  <r>
    <n v="918"/>
    <x v="1"/>
    <s v="Marine"/>
    <x v="0"/>
    <x v="0"/>
    <n v="13"/>
    <s v="Area 13: S Puget Sound"/>
    <s v="Area 13: S Puget Sound"/>
    <s v="NA"/>
    <x v="3"/>
    <s v="Other"/>
    <x v="6"/>
    <s v="Non Puget Sound"/>
    <m/>
    <n v="352.65306122448999"/>
    <n v="1676.0377551020399"/>
  </r>
  <r>
    <n v="915"/>
    <x v="1"/>
    <s v="Marine"/>
    <x v="0"/>
    <x v="0"/>
    <n v="13"/>
    <s v="Area 13: S Puget Sound"/>
    <s v="Area 13: S Puget Sound"/>
    <s v="NA"/>
    <x v="3"/>
    <s v="Pierce"/>
    <x v="7"/>
    <s v="South Puget Sound"/>
    <m/>
    <n v="1157.87755102041"/>
    <n v="5502.9906292516998"/>
  </r>
  <r>
    <n v="913"/>
    <x v="1"/>
    <s v="Marine"/>
    <x v="0"/>
    <x v="0"/>
    <n v="13"/>
    <s v="Area 13: S Puget Sound"/>
    <s v="Area 13: S Puget Sound"/>
    <s v="NA"/>
    <x v="3"/>
    <s v="Snohomish"/>
    <x v="9"/>
    <s v="North Puget Sound"/>
    <m/>
    <n v="76.4081632653062"/>
    <n v="363.14151360544201"/>
  </r>
  <r>
    <n v="916"/>
    <x v="1"/>
    <s v="Marine"/>
    <x v="0"/>
    <x v="0"/>
    <n v="13"/>
    <s v="Area 13: S Puget Sound"/>
    <s v="Area 13: S Puget Sound"/>
    <s v="NA"/>
    <x v="3"/>
    <s v="Thurston"/>
    <x v="10"/>
    <s v="South Puget Sound"/>
    <m/>
    <n v="1175.51020408163"/>
    <n v="5586.7925170068002"/>
  </r>
  <r>
    <n v="2831"/>
    <x v="1"/>
    <s v="Marine"/>
    <x v="0"/>
    <x v="0"/>
    <d v="2023-08-01T00:00:00"/>
    <s v="Area 8-1: Skagit Bay-Saratoga Psg."/>
    <s v="Area 8-1: Skagit Bay-Saratoga Psg."/>
    <s v="NA"/>
    <x v="2"/>
    <s v="Island"/>
    <x v="1"/>
    <s v="North Puget Sound"/>
    <m/>
    <n v="6674.7644225430704"/>
    <n v="8632.1394602560104"/>
  </r>
  <r>
    <n v="2832"/>
    <x v="1"/>
    <s v="Marine"/>
    <x v="0"/>
    <x v="0"/>
    <d v="2023-08-01T00:00:00"/>
    <s v="Area 8-1: Skagit Bay-Saratoga Psg."/>
    <s v="Area 8-1: Skagit Bay-Saratoga Psg."/>
    <s v="NA"/>
    <x v="2"/>
    <s v="King"/>
    <x v="3"/>
    <s v="South Puget Sound"/>
    <m/>
    <n v="611.26215480361702"/>
    <n v="790.51481565713198"/>
  </r>
  <r>
    <n v="2941"/>
    <x v="1"/>
    <s v="Marine"/>
    <x v="0"/>
    <x v="0"/>
    <d v="2023-08-01T00:00:00"/>
    <s v="Area 8-1: Skagit Bay-Saratoga Psg."/>
    <s v="Area 8-1: Skagit Bay-Saratoga Psg."/>
    <s v="NA"/>
    <x v="2"/>
    <s v="Kitsap"/>
    <x v="4"/>
    <s v="South Puget Sound"/>
    <m/>
    <n v="38.203884675226099"/>
    <n v="49.407175978570798"/>
  </r>
  <r>
    <n v="2942"/>
    <x v="1"/>
    <s v="Marine"/>
    <x v="0"/>
    <x v="0"/>
    <d v="2023-08-01T00:00:00"/>
    <s v="Area 8-1: Skagit Bay-Saratoga Psg."/>
    <s v="Area 8-1: Skagit Bay-Saratoga Psg."/>
    <s v="NA"/>
    <x v="2"/>
    <s v="Other"/>
    <x v="6"/>
    <s v="Non Puget Sound"/>
    <m/>
    <n v="1489.9515023338199"/>
    <n v="1926.8798631642601"/>
  </r>
  <r>
    <n v="2833"/>
    <x v="1"/>
    <s v="Marine"/>
    <x v="0"/>
    <x v="0"/>
    <d v="2023-08-01T00:00:00"/>
    <s v="Area 8-1: Skagit Bay-Saratoga Psg."/>
    <s v="Area 8-1: Skagit Bay-Saratoga Psg."/>
    <s v="NA"/>
    <x v="2"/>
    <s v="Pierce"/>
    <x v="7"/>
    <s v="South Puget Sound"/>
    <m/>
    <n v="81.865467161198694"/>
    <n v="105.87251995408"/>
  </r>
  <r>
    <n v="2829"/>
    <x v="1"/>
    <s v="Marine"/>
    <x v="0"/>
    <x v="0"/>
    <d v="2023-08-01T00:00:00"/>
    <s v="Area 8-1: Skagit Bay-Saratoga Psg."/>
    <s v="Area 8-1: Skagit Bay-Saratoga Psg."/>
    <s v="NA"/>
    <x v="2"/>
    <s v="Skagit"/>
    <x v="8"/>
    <s v="North Puget Sound"/>
    <m/>
    <n v="2150.3329374341502"/>
    <n v="2780.91819079384"/>
  </r>
  <r>
    <n v="2830"/>
    <x v="1"/>
    <s v="Marine"/>
    <x v="0"/>
    <x v="0"/>
    <d v="2023-08-01T00:00:00"/>
    <s v="Area 8-1: Skagit Bay-Saratoga Psg."/>
    <s v="Area 8-1: Skagit Bay-Saratoga Psg."/>
    <s v="NA"/>
    <x v="2"/>
    <s v="Snohomish"/>
    <x v="9"/>
    <s v="North Puget Sound"/>
    <m/>
    <n v="1402.6283373618701"/>
    <n v="1813.9491752132401"/>
  </r>
  <r>
    <n v="2834"/>
    <x v="1"/>
    <s v="Marine"/>
    <x v="0"/>
    <x v="0"/>
    <d v="2023-08-01T00:00:00"/>
    <s v="Area 8-1: Skagit Bay-Saratoga Psg."/>
    <s v="Area 8-1: Skagit Bay-Saratoga Psg."/>
    <s v="NA"/>
    <x v="2"/>
    <s v="Thurston"/>
    <x v="10"/>
    <s v="South Puget Sound"/>
    <m/>
    <n v="27.288489053732899"/>
    <n v="35.290839984693399"/>
  </r>
  <r>
    <n v="2828"/>
    <x v="1"/>
    <s v="Marine"/>
    <x v="0"/>
    <x v="0"/>
    <d v="2023-08-01T00:00:00"/>
    <s v="Area 8-1: Skagit Bay-Saratoga Psg."/>
    <s v="Area 8-1: Skagit Bay-Saratoga Psg."/>
    <s v="NA"/>
    <x v="2"/>
    <s v="Whatcom"/>
    <x v="11"/>
    <s v="North Puget Sound"/>
    <m/>
    <n v="458.44661610271299"/>
    <n v="592.88611174284904"/>
  </r>
  <r>
    <n v="3461"/>
    <x v="1"/>
    <s v="Marine"/>
    <x v="0"/>
    <x v="0"/>
    <d v="2023-08-02T00:00:00"/>
    <s v="Area 8-2: Port Susan-Port Gardner"/>
    <s v="Area 8-2: Port Susan-Port Gardner"/>
    <s v="NA"/>
    <x v="2"/>
    <s v="Clallam"/>
    <x v="0"/>
    <s v="Strait of Juan de Fuca"/>
    <m/>
    <n v="74.793311147285394"/>
    <n v="140.130841202863"/>
  </r>
  <r>
    <n v="3061"/>
    <x v="1"/>
    <s v="Marine"/>
    <x v="0"/>
    <x v="0"/>
    <d v="2023-08-02T00:00:00"/>
    <s v="Area 8-2: Port Susan-Port Gardner"/>
    <s v="Area 8-2: Port Susan-Port Gardner"/>
    <s v="NA"/>
    <x v="2"/>
    <s v="Island"/>
    <x v="1"/>
    <s v="North Puget Sound"/>
    <m/>
    <n v="1570.65953409299"/>
    <n v="2942.7476652601299"/>
  </r>
  <r>
    <n v="3282"/>
    <x v="1"/>
    <s v="Marine"/>
    <x v="0"/>
    <x v="0"/>
    <d v="2023-08-02T00:00:00"/>
    <s v="Area 8-2: Port Susan-Port Gardner"/>
    <s v="Area 8-2: Port Susan-Port Gardner"/>
    <s v="NA"/>
    <x v="2"/>
    <s v="King"/>
    <x v="3"/>
    <s v="South Puget Sound"/>
    <m/>
    <n v="3854.7321898985601"/>
    <n v="7222.1279696860202"/>
  </r>
  <r>
    <n v="3380"/>
    <x v="1"/>
    <s v="Marine"/>
    <x v="0"/>
    <x v="0"/>
    <d v="2023-08-02T00:00:00"/>
    <s v="Area 8-2: Port Susan-Port Gardner"/>
    <s v="Area 8-2: Port Susan-Port Gardner"/>
    <s v="NA"/>
    <x v="2"/>
    <s v="Kitsap"/>
    <x v="4"/>
    <s v="South Puget Sound"/>
    <m/>
    <n v="201.366606934999"/>
    <n v="377.27534170001599"/>
  </r>
  <r>
    <n v="3379"/>
    <x v="1"/>
    <s v="Marine"/>
    <x v="0"/>
    <x v="0"/>
    <d v="2023-08-02T00:00:00"/>
    <s v="Area 8-2: Port Susan-Port Gardner"/>
    <s v="Area 8-2: Port Susan-Port Gardner"/>
    <s v="NA"/>
    <x v="2"/>
    <s v="Mason"/>
    <x v="5"/>
    <s v="South Puget Sound"/>
    <m/>
    <n v="23.013326506857101"/>
    <n v="43.117181908573301"/>
  </r>
  <r>
    <n v="3503"/>
    <x v="1"/>
    <s v="Marine"/>
    <x v="0"/>
    <x v="0"/>
    <d v="2023-08-02T00:00:00"/>
    <s v="Area 8-2: Port Susan-Port Gardner"/>
    <s v="Area 8-2: Port Susan-Port Gardner"/>
    <s v="NA"/>
    <x v="2"/>
    <s v="Other"/>
    <x v="6"/>
    <s v="Non Puget Sound"/>
    <m/>
    <n v="2157.49936001785"/>
    <n v="4042.2358039287401"/>
  </r>
  <r>
    <n v="3283"/>
    <x v="1"/>
    <s v="Marine"/>
    <x v="0"/>
    <x v="0"/>
    <d v="2023-08-02T00:00:00"/>
    <s v="Area 8-2: Port Susan-Port Gardner"/>
    <s v="Area 8-2: Port Susan-Port Gardner"/>
    <s v="NA"/>
    <x v="2"/>
    <s v="Pierce"/>
    <x v="7"/>
    <s v="South Puget Sound"/>
    <m/>
    <n v="373.96655573642698"/>
    <n v="700.65420601431504"/>
  </r>
  <r>
    <n v="3062"/>
    <x v="1"/>
    <s v="Marine"/>
    <x v="0"/>
    <x v="0"/>
    <d v="2023-08-02T00:00:00"/>
    <s v="Area 8-2: Port Susan-Port Gardner"/>
    <s v="Area 8-2: Port Susan-Port Gardner"/>
    <s v="NA"/>
    <x v="2"/>
    <s v="San Juan"/>
    <x v="12"/>
    <s v="North Puget Sound"/>
    <m/>
    <n v="17.259994880142798"/>
    <n v="32.33788643143"/>
  </r>
  <r>
    <n v="2944"/>
    <x v="1"/>
    <s v="Marine"/>
    <x v="0"/>
    <x v="0"/>
    <d v="2023-08-02T00:00:00"/>
    <s v="Area 8-2: Port Susan-Port Gardner"/>
    <s v="Area 8-2: Port Susan-Port Gardner"/>
    <s v="NA"/>
    <x v="2"/>
    <s v="Skagit"/>
    <x v="8"/>
    <s v="North Puget Sound"/>
    <m/>
    <n v="224.379933441856"/>
    <n v="420.39252360858899"/>
  </r>
  <r>
    <n v="3060"/>
    <x v="1"/>
    <s v="Marine"/>
    <x v="0"/>
    <x v="0"/>
    <d v="2023-08-02T00:00:00"/>
    <s v="Area 8-2: Port Susan-Port Gardner"/>
    <s v="Area 8-2: Port Susan-Port Gardner"/>
    <s v="NA"/>
    <x v="2"/>
    <s v="Snohomish"/>
    <x v="9"/>
    <s v="North Puget Sound"/>
    <m/>
    <n v="15234.8221475394"/>
    <n v="28543.5744234755"/>
  </r>
  <r>
    <n v="3378"/>
    <x v="1"/>
    <s v="Marine"/>
    <x v="0"/>
    <x v="0"/>
    <d v="2023-08-02T00:00:00"/>
    <s v="Area 8-2: Port Susan-Port Gardner"/>
    <s v="Area 8-2: Port Susan-Port Gardner"/>
    <s v="NA"/>
    <x v="2"/>
    <s v="Thurston"/>
    <x v="10"/>
    <s v="South Puget Sound"/>
    <m/>
    <n v="40.273321386999903"/>
    <n v="75.455068340003194"/>
  </r>
  <r>
    <n v="2943"/>
    <x v="1"/>
    <s v="Marine"/>
    <x v="0"/>
    <x v="0"/>
    <d v="2023-08-02T00:00:00"/>
    <s v="Area 8-2: Port Susan-Port Gardner"/>
    <s v="Area 8-2: Port Susan-Port Gardner"/>
    <s v="NA"/>
    <x v="2"/>
    <s v="Whatcom"/>
    <x v="11"/>
    <s v="North Puget Sound"/>
    <m/>
    <n v="207.11993856171401"/>
    <n v="388.05463717715901"/>
  </r>
  <r>
    <n v="1343"/>
    <x v="2"/>
    <s v="Marine"/>
    <x v="0"/>
    <x v="0"/>
    <n v="5"/>
    <s v="Area 5: W Juan de Fuca"/>
    <s v="Area 5: W Juan de Fuca"/>
    <s v="NA"/>
    <x v="0"/>
    <s v="Clallam"/>
    <x v="0"/>
    <s v="Strait of Juan de Fuca"/>
    <m/>
    <n v="8862.8502994011997"/>
    <n v="7988.7952095808396"/>
  </r>
  <r>
    <n v="1326"/>
    <x v="2"/>
    <s v="Marine"/>
    <x v="0"/>
    <x v="0"/>
    <n v="5"/>
    <s v="Area 5: W Juan de Fuca"/>
    <s v="Area 5: W Juan de Fuca"/>
    <s v="NA"/>
    <x v="0"/>
    <s v="Island"/>
    <x v="1"/>
    <s v="North Puget Sound"/>
    <m/>
    <n v="858.99001996007996"/>
    <n v="774.27634730538898"/>
  </r>
  <r>
    <n v="1344"/>
    <x v="2"/>
    <s v="Marine"/>
    <x v="0"/>
    <x v="0"/>
    <n v="5"/>
    <s v="Area 5: W Juan de Fuca"/>
    <s v="Area 5: W Juan de Fuca"/>
    <s v="NA"/>
    <x v="0"/>
    <s v="Jefferson"/>
    <x v="2"/>
    <s v="Strait of Juan de Fuca"/>
    <m/>
    <n v="875.04590818363295"/>
    <n v="788.74880239520996"/>
  </r>
  <r>
    <n v="1327"/>
    <x v="2"/>
    <s v="Marine"/>
    <x v="0"/>
    <x v="0"/>
    <n v="5"/>
    <s v="Area 5: W Juan de Fuca"/>
    <s v="Area 5: W Juan de Fuca"/>
    <s v="NA"/>
    <x v="0"/>
    <s v="King"/>
    <x v="3"/>
    <s v="South Puget Sound"/>
    <m/>
    <n v="14145.2375249501"/>
    <n v="12750.2329341317"/>
  </r>
  <r>
    <n v="1342"/>
    <x v="2"/>
    <s v="Marine"/>
    <x v="0"/>
    <x v="0"/>
    <n v="5"/>
    <s v="Area 5: W Juan de Fuca"/>
    <s v="Area 5: W Juan de Fuca"/>
    <s v="NA"/>
    <x v="0"/>
    <s v="Kitsap"/>
    <x v="4"/>
    <s v="South Puget Sound"/>
    <m/>
    <n v="6430.3832335329398"/>
    <n v="5796.2182634730498"/>
  </r>
  <r>
    <n v="1341"/>
    <x v="2"/>
    <s v="Marine"/>
    <x v="0"/>
    <x v="0"/>
    <n v="5"/>
    <s v="Area 5: W Juan de Fuca"/>
    <s v="Area 5: W Juan de Fuca"/>
    <s v="NA"/>
    <x v="0"/>
    <s v="Mason"/>
    <x v="5"/>
    <s v="South Puget Sound"/>
    <m/>
    <n v="2785.69660678643"/>
    <n v="2510.9709580838298"/>
  </r>
  <r>
    <n v="1345"/>
    <x v="2"/>
    <s v="Marine"/>
    <x v="0"/>
    <x v="0"/>
    <n v="5"/>
    <s v="Area 5: W Juan de Fuca"/>
    <s v="Area 5: W Juan de Fuca"/>
    <s v="NA"/>
    <x v="0"/>
    <s v="Other"/>
    <x v="6"/>
    <s v="Non Puget Sound"/>
    <m/>
    <n v="16071.9441117764"/>
    <n v="14486.927544910201"/>
  </r>
  <r>
    <n v="1339"/>
    <x v="2"/>
    <s v="Marine"/>
    <x v="0"/>
    <x v="0"/>
    <n v="5"/>
    <s v="Area 5: W Juan de Fuca"/>
    <s v="Area 5: W Juan de Fuca"/>
    <s v="NA"/>
    <x v="0"/>
    <s v="Pierce"/>
    <x v="7"/>
    <s v="South Puget Sound"/>
    <m/>
    <n v="13302.3033932136"/>
    <n v="11990.429041916201"/>
  </r>
  <r>
    <n v="1324"/>
    <x v="2"/>
    <s v="Marine"/>
    <x v="0"/>
    <x v="0"/>
    <n v="5"/>
    <s v="Area 5: W Juan de Fuca"/>
    <s v="Area 5: W Juan de Fuca"/>
    <s v="NA"/>
    <x v="0"/>
    <s v="Skagit"/>
    <x v="8"/>
    <s v="North Puget Sound"/>
    <m/>
    <n v="1212.2195608782399"/>
    <n v="1092.6703592814399"/>
  </r>
  <r>
    <n v="1325"/>
    <x v="2"/>
    <s v="Marine"/>
    <x v="0"/>
    <x v="0"/>
    <n v="5"/>
    <s v="Area 5: W Juan de Fuca"/>
    <s v="Area 5: W Juan de Fuca"/>
    <s v="NA"/>
    <x v="0"/>
    <s v="Snohomish"/>
    <x v="9"/>
    <s v="North Puget Sound"/>
    <m/>
    <n v="4142.4191616766502"/>
    <n v="3733.8934131736501"/>
  </r>
  <r>
    <n v="1340"/>
    <x v="2"/>
    <s v="Marine"/>
    <x v="0"/>
    <x v="0"/>
    <n v="5"/>
    <s v="Area 5: W Juan de Fuca"/>
    <s v="Area 5: W Juan de Fuca"/>
    <s v="NA"/>
    <x v="0"/>
    <s v="Thurston"/>
    <x v="10"/>
    <s v="South Puget Sound"/>
    <m/>
    <n v="3443.9880239520999"/>
    <n v="3104.34161676647"/>
  </r>
  <r>
    <n v="1323"/>
    <x v="2"/>
    <s v="Marine"/>
    <x v="0"/>
    <x v="0"/>
    <n v="5"/>
    <s v="Area 5: W Juan de Fuca"/>
    <s v="Area 5: W Juan de Fuca"/>
    <s v="NA"/>
    <x v="0"/>
    <s v="Whatcom"/>
    <x v="11"/>
    <s v="North Puget Sound"/>
    <m/>
    <n v="264.92215568862298"/>
    <n v="238.79550898203601"/>
  </r>
  <r>
    <n v="1499"/>
    <x v="2"/>
    <s v="Marine"/>
    <x v="0"/>
    <x v="0"/>
    <n v="6"/>
    <s v="Area 6: E Juan de Fuca"/>
    <s v="Area 6: E Juan de Fuca"/>
    <s v="NA"/>
    <x v="0"/>
    <s v="Clallam"/>
    <x v="0"/>
    <s v="Strait of Juan de Fuca"/>
    <m/>
    <n v="13429.9118130964"/>
    <n v="19056.955811122101"/>
  </r>
  <r>
    <n v="1482"/>
    <x v="2"/>
    <s v="Marine"/>
    <x v="0"/>
    <x v="0"/>
    <n v="6"/>
    <s v="Area 6: E Juan de Fuca"/>
    <s v="Area 6: E Juan de Fuca"/>
    <s v="NA"/>
    <x v="0"/>
    <s v="Island"/>
    <x v="1"/>
    <s v="North Puget Sound"/>
    <m/>
    <n v="253.28594932543601"/>
    <n v="359.411082592958"/>
  </r>
  <r>
    <n v="1500"/>
    <x v="2"/>
    <s v="Marine"/>
    <x v="0"/>
    <x v="0"/>
    <n v="6"/>
    <s v="Area 6: E Juan de Fuca"/>
    <s v="Area 6: E Juan de Fuca"/>
    <s v="NA"/>
    <x v="0"/>
    <s v="Jefferson"/>
    <x v="2"/>
    <s v="Strait of Juan de Fuca"/>
    <m/>
    <n v="287.82494241526803"/>
    <n v="408.421684764725"/>
  </r>
  <r>
    <n v="1483"/>
    <x v="2"/>
    <s v="Marine"/>
    <x v="0"/>
    <x v="0"/>
    <n v="6"/>
    <s v="Area 6: E Juan de Fuca"/>
    <s v="Area 6: E Juan de Fuca"/>
    <s v="NA"/>
    <x v="0"/>
    <s v="King"/>
    <x v="3"/>
    <s v="South Puget Sound"/>
    <m/>
    <n v="817.42283645936197"/>
    <n v="1159.9175847318199"/>
  </r>
  <r>
    <n v="1487"/>
    <x v="2"/>
    <s v="Marine"/>
    <x v="0"/>
    <x v="0"/>
    <n v="6"/>
    <s v="Area 6: E Juan de Fuca"/>
    <s v="Area 6: E Juan de Fuca"/>
    <s v="NA"/>
    <x v="0"/>
    <s v="Kitsap"/>
    <x v="4"/>
    <s v="South Puget Sound"/>
    <m/>
    <n v="754.10134912800299"/>
    <n v="1070.0648140835799"/>
  </r>
  <r>
    <n v="1486"/>
    <x v="2"/>
    <s v="Marine"/>
    <x v="0"/>
    <x v="0"/>
    <n v="6"/>
    <s v="Area 6: E Juan de Fuca"/>
    <s v="Area 6: E Juan de Fuca"/>
    <s v="NA"/>
    <x v="0"/>
    <s v="Mason"/>
    <x v="5"/>
    <s v="South Puget Sound"/>
    <m/>
    <n v="40.295491938137602"/>
    <n v="57.179035867061501"/>
  </r>
  <r>
    <n v="1501"/>
    <x v="2"/>
    <s v="Marine"/>
    <x v="0"/>
    <x v="0"/>
    <n v="6"/>
    <s v="Area 6: E Juan de Fuca"/>
    <s v="Area 6: E Juan de Fuca"/>
    <s v="NA"/>
    <x v="0"/>
    <s v="Other"/>
    <x v="6"/>
    <s v="Non Puget Sound"/>
    <m/>
    <n v="880.74432379072096"/>
    <n v="1249.77035538006"/>
  </r>
  <r>
    <n v="1484"/>
    <x v="2"/>
    <s v="Marine"/>
    <x v="0"/>
    <x v="0"/>
    <n v="6"/>
    <s v="Area 6: E Juan de Fuca"/>
    <s v="Area 6: E Juan de Fuca"/>
    <s v="NA"/>
    <x v="0"/>
    <s v="Pierce"/>
    <x v="7"/>
    <s v="South Puget Sound"/>
    <m/>
    <n v="402.95491938137599"/>
    <n v="571.79035867061498"/>
  </r>
  <r>
    <n v="1480"/>
    <x v="2"/>
    <s v="Marine"/>
    <x v="0"/>
    <x v="0"/>
    <n v="6"/>
    <s v="Area 6: E Juan de Fuca"/>
    <s v="Area 6: E Juan de Fuca"/>
    <s v="NA"/>
    <x v="0"/>
    <s v="Skagit"/>
    <x v="8"/>
    <s v="North Puget Sound"/>
    <m/>
    <n v="212.99045738729899"/>
    <n v="302.23204672589702"/>
  </r>
  <r>
    <n v="1481"/>
    <x v="2"/>
    <s v="Marine"/>
    <x v="0"/>
    <x v="0"/>
    <n v="6"/>
    <s v="Area 6: E Juan de Fuca"/>
    <s v="Area 6: E Juan de Fuca"/>
    <s v="NA"/>
    <x v="0"/>
    <s v="Snohomish"/>
    <x v="9"/>
    <s v="North Puget Sound"/>
    <m/>
    <n v="247.52945047713101"/>
    <n v="351.24264889766403"/>
  </r>
  <r>
    <n v="1485"/>
    <x v="2"/>
    <s v="Marine"/>
    <x v="0"/>
    <x v="0"/>
    <n v="6"/>
    <s v="Area 6: E Juan de Fuca"/>
    <s v="Area 6: E Juan de Fuca"/>
    <s v="NA"/>
    <x v="0"/>
    <s v="Thurston"/>
    <x v="10"/>
    <s v="South Puget Sound"/>
    <m/>
    <n v="97.860480421191198"/>
    <n v="138.86337282000699"/>
  </r>
  <r>
    <n v="1479"/>
    <x v="2"/>
    <s v="Marine"/>
    <x v="0"/>
    <x v="0"/>
    <n v="6"/>
    <s v="Area 6: E Juan de Fuca"/>
    <s v="Area 6: E Juan de Fuca"/>
    <s v="NA"/>
    <x v="0"/>
    <s v="Whatcom"/>
    <x v="11"/>
    <s v="North Puget Sound"/>
    <m/>
    <n v="69.077986179664407"/>
    <n v="98.021204343534095"/>
  </r>
  <r>
    <n v="3242"/>
    <x v="2"/>
    <s v="Marine"/>
    <x v="0"/>
    <x v="0"/>
    <n v="7"/>
    <s v="Area 7: San Juan Islands"/>
    <s v="Area 7: San Juan Islands"/>
    <s v="NA"/>
    <x v="1"/>
    <s v="Clallam"/>
    <x v="0"/>
    <s v="Strait of Juan de Fuca"/>
    <m/>
    <n v="101.18421052631599"/>
    <n v="443.145285087719"/>
  </r>
  <r>
    <n v="3229"/>
    <x v="2"/>
    <s v="Marine"/>
    <x v="0"/>
    <x v="0"/>
    <n v="7"/>
    <s v="Area 7: San Juan Islands"/>
    <s v="Area 7: San Juan Islands"/>
    <s v="NA"/>
    <x v="1"/>
    <s v="Island"/>
    <x v="1"/>
    <s v="North Puget Sound"/>
    <m/>
    <n v="258.01973684210498"/>
    <n v="1130.0204769736799"/>
  </r>
  <r>
    <n v="3243"/>
    <x v="2"/>
    <s v="Marine"/>
    <x v="0"/>
    <x v="0"/>
    <n v="7"/>
    <s v="Area 7: San Juan Islands"/>
    <s v="Area 7: San Juan Islands"/>
    <s v="NA"/>
    <x v="1"/>
    <s v="Jefferson"/>
    <x v="2"/>
    <s v="Strait of Juan de Fuca"/>
    <m/>
    <n v="10.1184210526316"/>
    <n v="44.3145285087719"/>
  </r>
  <r>
    <n v="3237"/>
    <x v="2"/>
    <s v="Marine"/>
    <x v="0"/>
    <x v="0"/>
    <n v="7"/>
    <s v="Area 7: San Juan Islands"/>
    <s v="Area 7: San Juan Islands"/>
    <s v="NA"/>
    <x v="1"/>
    <s v="King"/>
    <x v="3"/>
    <s v="South Puget Sound"/>
    <m/>
    <n v="748.76315789473699"/>
    <n v="3279.2751096491202"/>
  </r>
  <r>
    <n v="3240"/>
    <x v="2"/>
    <s v="Marine"/>
    <x v="0"/>
    <x v="0"/>
    <n v="7"/>
    <s v="Area 7: San Juan Islands"/>
    <s v="Area 7: San Juan Islands"/>
    <s v="NA"/>
    <x v="1"/>
    <s v="Kitsap"/>
    <x v="4"/>
    <s v="South Puget Sound"/>
    <m/>
    <n v="10.1184210526316"/>
    <n v="44.3145285087719"/>
  </r>
  <r>
    <n v="3239"/>
    <x v="2"/>
    <s v="Marine"/>
    <x v="0"/>
    <x v="0"/>
    <n v="7"/>
    <s v="Area 7: San Juan Islands"/>
    <s v="Area 7: San Juan Islands"/>
    <s v="NA"/>
    <x v="1"/>
    <s v="Mason"/>
    <x v="5"/>
    <s v="South Puget Sound"/>
    <m/>
    <n v="35.414473684210499"/>
    <n v="155.10084978070199"/>
  </r>
  <r>
    <n v="3244"/>
    <x v="2"/>
    <s v="Marine"/>
    <x v="0"/>
    <x v="0"/>
    <n v="7"/>
    <s v="Area 7: San Juan Islands"/>
    <s v="Area 7: San Juan Islands"/>
    <s v="NA"/>
    <x v="1"/>
    <s v="Other"/>
    <x v="6"/>
    <s v="Non Puget Sound"/>
    <m/>
    <n v="642.51973684210498"/>
    <n v="2813.9725603070201"/>
  </r>
  <r>
    <n v="3238"/>
    <x v="2"/>
    <s v="Marine"/>
    <x v="0"/>
    <x v="0"/>
    <n v="7"/>
    <s v="Area 7: San Juan Islands"/>
    <s v="Area 7: San Juan Islands"/>
    <s v="NA"/>
    <x v="1"/>
    <s v="Pierce"/>
    <x v="7"/>
    <s v="South Puget Sound"/>
    <m/>
    <n v="172.01315789473699"/>
    <n v="753.34698464912299"/>
  </r>
  <r>
    <n v="3236"/>
    <x v="2"/>
    <s v="Marine"/>
    <x v="0"/>
    <x v="0"/>
    <n v="7"/>
    <s v="Area 7: San Juan Islands"/>
    <s v="Area 7: San Juan Islands"/>
    <s v="NA"/>
    <x v="1"/>
    <s v="San Juan"/>
    <x v="12"/>
    <s v="North Puget Sound"/>
    <m/>
    <n v="1290.0986842105301"/>
    <n v="5650.1023848684199"/>
  </r>
  <r>
    <n v="3227"/>
    <x v="2"/>
    <s v="Marine"/>
    <x v="0"/>
    <x v="0"/>
    <n v="7"/>
    <s v="Area 7: San Juan Islands"/>
    <s v="Area 7: San Juan Islands"/>
    <s v="NA"/>
    <x v="1"/>
    <s v="Skagit"/>
    <x v="8"/>
    <s v="North Puget Sound"/>
    <m/>
    <n v="2504.3092105263199"/>
    <n v="10967.845805921101"/>
  </r>
  <r>
    <n v="3228"/>
    <x v="2"/>
    <s v="Marine"/>
    <x v="0"/>
    <x v="0"/>
    <n v="7"/>
    <s v="Area 7: San Juan Islands"/>
    <s v="Area 7: San Juan Islands"/>
    <s v="NA"/>
    <x v="1"/>
    <s v="Snohomish"/>
    <x v="9"/>
    <s v="North Puget Sound"/>
    <m/>
    <n v="824.65131578947398"/>
    <n v="3611.6340734649102"/>
  </r>
  <r>
    <n v="3220"/>
    <x v="2"/>
    <s v="Marine"/>
    <x v="0"/>
    <x v="0"/>
    <n v="7"/>
    <s v="Area 7: San Juan Islands"/>
    <s v="Area 7: San Juan Islands"/>
    <s v="NA"/>
    <x v="1"/>
    <s v="Whatcom"/>
    <x v="11"/>
    <s v="North Puget Sound"/>
    <m/>
    <n v="2630.78947368421"/>
    <n v="11521.7774122807"/>
  </r>
  <r>
    <n v="3101"/>
    <x v="2"/>
    <s v="Marine"/>
    <x v="0"/>
    <x v="0"/>
    <n v="9"/>
    <s v="Area 9: Admiralty Inlet"/>
    <s v="Area 9: Admiralty Inlet"/>
    <s v="NA"/>
    <x v="2"/>
    <s v="Clallam"/>
    <x v="0"/>
    <s v="Strait of Juan de Fuca"/>
    <m/>
    <n v="356.518264595608"/>
    <n v="673.83672201392596"/>
  </r>
  <r>
    <n v="2993"/>
    <x v="2"/>
    <s v="Marine"/>
    <x v="0"/>
    <x v="0"/>
    <n v="9"/>
    <s v="Area 9: Admiralty Inlet"/>
    <s v="Area 9: Admiralty Inlet"/>
    <s v="NA"/>
    <x v="2"/>
    <s v="Island"/>
    <x v="1"/>
    <s v="North Puget Sound"/>
    <m/>
    <n v="9154.4689876807697"/>
    <n v="17302.3880878415"/>
  </r>
  <r>
    <n v="3102"/>
    <x v="2"/>
    <s v="Marine"/>
    <x v="0"/>
    <x v="0"/>
    <n v="9"/>
    <s v="Area 9: Admiralty Inlet"/>
    <s v="Area 9: Admiralty Inlet"/>
    <s v="NA"/>
    <x v="2"/>
    <s v="Jefferson"/>
    <x v="2"/>
    <s v="Strait of Juan de Fuca"/>
    <m/>
    <n v="3524.9305838243199"/>
    <n v="6662.2888805570501"/>
  </r>
  <r>
    <n v="2994"/>
    <x v="2"/>
    <s v="Marine"/>
    <x v="0"/>
    <x v="0"/>
    <n v="9"/>
    <s v="Area 9: Admiralty Inlet"/>
    <s v="Area 9: Admiralty Inlet"/>
    <s v="NA"/>
    <x v="2"/>
    <s v="King"/>
    <x v="3"/>
    <s v="South Puget Sound"/>
    <m/>
    <n v="8918.7069094804501"/>
    <n v="16856.786384574199"/>
  </r>
  <r>
    <n v="2998"/>
    <x v="2"/>
    <s v="Marine"/>
    <x v="0"/>
    <x v="0"/>
    <n v="9"/>
    <s v="Area 9: Admiralty Inlet"/>
    <s v="Area 9: Admiralty Inlet"/>
    <s v="NA"/>
    <x v="2"/>
    <s v="Kitsap"/>
    <x v="4"/>
    <s v="South Puget Sound"/>
    <m/>
    <n v="5123.5124799142995"/>
    <n v="9683.6857953936797"/>
  </r>
  <r>
    <n v="2997"/>
    <x v="2"/>
    <s v="Marine"/>
    <x v="0"/>
    <x v="0"/>
    <n v="9"/>
    <s v="Area 9: Admiralty Inlet"/>
    <s v="Area 9: Admiralty Inlet"/>
    <s v="NA"/>
    <x v="2"/>
    <s v="Mason"/>
    <x v="5"/>
    <s v="South Puget Sound"/>
    <m/>
    <n v="299.01531869309099"/>
    <n v="565.15337975361604"/>
  </r>
  <r>
    <n v="3103"/>
    <x v="2"/>
    <s v="Marine"/>
    <x v="0"/>
    <x v="0"/>
    <n v="9"/>
    <s v="Area 9: Admiralty Inlet"/>
    <s v="Area 9: Admiralty Inlet"/>
    <s v="NA"/>
    <x v="2"/>
    <s v="Other"/>
    <x v="6"/>
    <s v="Non Puget Sound"/>
    <m/>
    <n v="2668.1366898768101"/>
    <n v="5042.9070808784199"/>
  </r>
  <r>
    <n v="2995"/>
    <x v="2"/>
    <s v="Marine"/>
    <x v="0"/>
    <x v="0"/>
    <n v="9"/>
    <s v="Area 9: Admiralty Inlet"/>
    <s v="Area 9: Admiralty Inlet"/>
    <s v="NA"/>
    <x v="2"/>
    <s v="Pierce"/>
    <x v="7"/>
    <s v="South Puget Sound"/>
    <m/>
    <n v="1017.80214247456"/>
    <n v="1923.6951580074999"/>
  </r>
  <r>
    <n v="2987"/>
    <x v="2"/>
    <s v="Marine"/>
    <x v="0"/>
    <x v="0"/>
    <n v="9"/>
    <s v="Area 9: Admiralty Inlet"/>
    <s v="Area 9: Admiralty Inlet"/>
    <s v="NA"/>
    <x v="2"/>
    <s v="Skagit"/>
    <x v="8"/>
    <s v="North Puget Sound"/>
    <m/>
    <n v="793.54065345473998"/>
    <n v="1499.8301231922901"/>
  </r>
  <r>
    <n v="2992"/>
    <x v="2"/>
    <s v="Marine"/>
    <x v="0"/>
    <x v="0"/>
    <n v="9"/>
    <s v="Area 9: Admiralty Inlet"/>
    <s v="Area 9: Admiralty Inlet"/>
    <s v="NA"/>
    <x v="2"/>
    <s v="Snohomish"/>
    <x v="9"/>
    <s v="North Puget Sound"/>
    <m/>
    <n v="21379.595286555999"/>
    <n v="40408.466652383497"/>
  </r>
  <r>
    <n v="2996"/>
    <x v="2"/>
    <s v="Marine"/>
    <x v="0"/>
    <x v="0"/>
    <n v="9"/>
    <s v="Area 9: Admiralty Inlet"/>
    <s v="Area 9: Admiralty Inlet"/>
    <s v="NA"/>
    <x v="2"/>
    <s v="Thurston"/>
    <x v="10"/>
    <s v="South Puget Sound"/>
    <m/>
    <n v="247.26266738082501"/>
    <n v="467.33837171933601"/>
  </r>
  <r>
    <n v="2986"/>
    <x v="2"/>
    <s v="Marine"/>
    <x v="0"/>
    <x v="0"/>
    <n v="9"/>
    <s v="Area 9: Admiralty Inlet"/>
    <s v="Area 9: Admiralty Inlet"/>
    <s v="NA"/>
    <x v="2"/>
    <s v="Whatcom"/>
    <x v="11"/>
    <s v="North Puget Sound"/>
    <m/>
    <n v="195.510016068559"/>
    <n v="369.52336368505598"/>
  </r>
  <r>
    <n v="1004"/>
    <x v="2"/>
    <s v="Marine"/>
    <x v="0"/>
    <x v="0"/>
    <n v="10"/>
    <s v="Area 10: N Puget Sound"/>
    <s v="Area 10: N Puget Sound"/>
    <s v="NA"/>
    <x v="3"/>
    <s v="Clallam"/>
    <x v="0"/>
    <s v="Strait of Juan de Fuca"/>
    <m/>
    <n v="44.225425950196602"/>
    <n v="84.916679772826598"/>
  </r>
  <r>
    <n v="997"/>
    <x v="2"/>
    <s v="Marine"/>
    <x v="0"/>
    <x v="0"/>
    <n v="10"/>
    <s v="Area 10: N Puget Sound"/>
    <s v="Area 10: N Puget Sound"/>
    <s v="NA"/>
    <x v="3"/>
    <s v="Island"/>
    <x v="1"/>
    <s v="North Puget Sound"/>
    <m/>
    <n v="71.866317169069504"/>
    <n v="137.98960463084299"/>
  </r>
  <r>
    <n v="1005"/>
    <x v="2"/>
    <s v="Marine"/>
    <x v="0"/>
    <x v="0"/>
    <n v="10"/>
    <s v="Area 10: N Puget Sound"/>
    <s v="Area 10: N Puget Sound"/>
    <s v="NA"/>
    <x v="3"/>
    <s v="Jefferson"/>
    <x v="2"/>
    <s v="Strait of Juan de Fuca"/>
    <m/>
    <n v="93.979030144167794"/>
    <n v="180.44794451725599"/>
  </r>
  <r>
    <n v="999"/>
    <x v="2"/>
    <s v="Marine"/>
    <x v="0"/>
    <x v="0"/>
    <n v="10"/>
    <s v="Area 10: N Puget Sound"/>
    <s v="Area 10: N Puget Sound"/>
    <s v="NA"/>
    <x v="3"/>
    <s v="King"/>
    <x v="3"/>
    <s v="South Puget Sound"/>
    <m/>
    <n v="14909.496723460001"/>
    <n v="28627.535668414199"/>
  </r>
  <r>
    <n v="1003"/>
    <x v="2"/>
    <s v="Marine"/>
    <x v="0"/>
    <x v="0"/>
    <n v="10"/>
    <s v="Area 10: N Puget Sound"/>
    <s v="Area 10: N Puget Sound"/>
    <s v="NA"/>
    <x v="3"/>
    <s v="Kitsap"/>
    <x v="4"/>
    <s v="South Puget Sound"/>
    <m/>
    <n v="3709.4076015727401"/>
    <n v="7122.3865159458301"/>
  </r>
  <r>
    <n v="1002"/>
    <x v="2"/>
    <s v="Marine"/>
    <x v="0"/>
    <x v="0"/>
    <n v="10"/>
    <s v="Area 10: N Puget Sound"/>
    <s v="Area 10: N Puget Sound"/>
    <s v="NA"/>
    <x v="3"/>
    <s v="Mason"/>
    <x v="5"/>
    <s v="South Puget Sound"/>
    <m/>
    <n v="38.697247706421997"/>
    <n v="74.302094801223305"/>
  </r>
  <r>
    <n v="1006"/>
    <x v="2"/>
    <s v="Marine"/>
    <x v="0"/>
    <x v="0"/>
    <n v="10"/>
    <s v="Area 10: N Puget Sound"/>
    <s v="Area 10: N Puget Sound"/>
    <s v="NA"/>
    <x v="3"/>
    <s v="Other"/>
    <x v="6"/>
    <s v="Non Puget Sound"/>
    <m/>
    <n v="1984.6159895150699"/>
    <n v="3810.6360048055899"/>
  </r>
  <r>
    <n v="1000"/>
    <x v="2"/>
    <s v="Marine"/>
    <x v="0"/>
    <x v="0"/>
    <n v="10"/>
    <s v="Area 10: N Puget Sound"/>
    <s v="Area 10: N Puget Sound"/>
    <s v="NA"/>
    <x v="3"/>
    <s v="Pierce"/>
    <x v="7"/>
    <s v="South Puget Sound"/>
    <m/>
    <n v="657.85321100917395"/>
    <n v="1263.1356116208001"/>
  </r>
  <r>
    <n v="998"/>
    <x v="2"/>
    <s v="Marine"/>
    <x v="0"/>
    <x v="0"/>
    <n v="10"/>
    <s v="Area 10: N Puget Sound"/>
    <s v="Area 10: N Puget Sound"/>
    <s v="NA"/>
    <x v="3"/>
    <s v="San Juan"/>
    <x v="12"/>
    <s v="North Puget Sound"/>
    <m/>
    <n v="116.091743119266"/>
    <n v="222.90628440367001"/>
  </r>
  <r>
    <n v="995"/>
    <x v="2"/>
    <s v="Marine"/>
    <x v="0"/>
    <x v="0"/>
    <n v="10"/>
    <s v="Area 10: N Puget Sound"/>
    <s v="Area 10: N Puget Sound"/>
    <s v="NA"/>
    <x v="3"/>
    <s v="Skagit"/>
    <x v="8"/>
    <s v="North Puget Sound"/>
    <m/>
    <n v="116.091743119266"/>
    <n v="222.90628440367001"/>
  </r>
  <r>
    <n v="996"/>
    <x v="2"/>
    <s v="Marine"/>
    <x v="0"/>
    <x v="0"/>
    <n v="10"/>
    <s v="Area 10: N Puget Sound"/>
    <s v="Area 10: N Puget Sound"/>
    <s v="NA"/>
    <x v="3"/>
    <s v="Snohomish"/>
    <x v="9"/>
    <s v="North Puget Sound"/>
    <m/>
    <n v="3372.1887287024902"/>
    <n v="6474.8968326780296"/>
  </r>
  <r>
    <n v="1001"/>
    <x v="2"/>
    <s v="Marine"/>
    <x v="0"/>
    <x v="0"/>
    <n v="10"/>
    <s v="Area 10: N Puget Sound"/>
    <s v="Area 10: N Puget Sound"/>
    <s v="NA"/>
    <x v="3"/>
    <s v="Thurston"/>
    <x v="10"/>
    <s v="South Puget Sound"/>
    <m/>
    <n v="71.866317169069504"/>
    <n v="137.98960463084299"/>
  </r>
  <r>
    <n v="994"/>
    <x v="2"/>
    <s v="Marine"/>
    <x v="0"/>
    <x v="0"/>
    <n v="10"/>
    <s v="Area 10: N Puget Sound"/>
    <s v="Area 10: N Puget Sound"/>
    <s v="NA"/>
    <x v="3"/>
    <s v="Whatcom"/>
    <x v="11"/>
    <s v="North Puget Sound"/>
    <m/>
    <n v="121.619921363041"/>
    <n v="233.52086937527301"/>
  </r>
  <r>
    <n v="1015"/>
    <x v="2"/>
    <s v="Marine"/>
    <x v="0"/>
    <x v="0"/>
    <n v="11"/>
    <s v="Area 11: Mid-Puget Sound"/>
    <s v="Area 11: Mid-Puget Sound"/>
    <s v="NA"/>
    <x v="3"/>
    <s v="Clallam"/>
    <x v="0"/>
    <s v="Strait of Juan de Fuca"/>
    <m/>
    <n v="10.1723446893788"/>
    <n v="49.066997995991997"/>
  </r>
  <r>
    <n v="1009"/>
    <x v="2"/>
    <s v="Marine"/>
    <x v="0"/>
    <x v="0"/>
    <n v="11"/>
    <s v="Area 11: Mid-Puget Sound"/>
    <s v="Area 11: Mid-Puget Sound"/>
    <s v="NA"/>
    <x v="3"/>
    <s v="Island"/>
    <x v="1"/>
    <s v="North Puget Sound"/>
    <m/>
    <n v="15.258517034068101"/>
    <n v="73.600496993988003"/>
  </r>
  <r>
    <n v="1010"/>
    <x v="2"/>
    <s v="Marine"/>
    <x v="0"/>
    <x v="0"/>
    <n v="11"/>
    <s v="Area 11: Mid-Puget Sound"/>
    <s v="Area 11: Mid-Puget Sound"/>
    <s v="NA"/>
    <x v="3"/>
    <s v="King"/>
    <x v="3"/>
    <s v="South Puget Sound"/>
    <m/>
    <n v="6047.45891783567"/>
    <n v="29170.330308617202"/>
  </r>
  <r>
    <n v="1014"/>
    <x v="2"/>
    <s v="Marine"/>
    <x v="0"/>
    <x v="0"/>
    <n v="11"/>
    <s v="Area 11: Mid-Puget Sound"/>
    <s v="Area 11: Mid-Puget Sound"/>
    <s v="NA"/>
    <x v="3"/>
    <s v="Kitsap"/>
    <x v="4"/>
    <s v="South Puget Sound"/>
    <m/>
    <n v="422.15230460921902"/>
    <n v="2036.28041683367"/>
  </r>
  <r>
    <n v="1013"/>
    <x v="2"/>
    <s v="Marine"/>
    <x v="0"/>
    <x v="0"/>
    <n v="11"/>
    <s v="Area 11: Mid-Puget Sound"/>
    <s v="Area 11: Mid-Puget Sound"/>
    <s v="NA"/>
    <x v="3"/>
    <s v="Mason"/>
    <x v="5"/>
    <s v="South Puget Sound"/>
    <m/>
    <n v="76.292585170340701"/>
    <n v="368.00248496993999"/>
  </r>
  <r>
    <n v="1016"/>
    <x v="2"/>
    <s v="Marine"/>
    <x v="0"/>
    <x v="0"/>
    <n v="11"/>
    <s v="Area 11: Mid-Puget Sound"/>
    <s v="Area 11: Mid-Puget Sound"/>
    <s v="NA"/>
    <x v="3"/>
    <s v="Other"/>
    <x v="6"/>
    <s v="Non Puget Sound"/>
    <m/>
    <n v="432.32464929859702"/>
    <n v="2085.34741482966"/>
  </r>
  <r>
    <n v="1011"/>
    <x v="2"/>
    <s v="Marine"/>
    <x v="0"/>
    <x v="0"/>
    <n v="11"/>
    <s v="Area 11: Mid-Puget Sound"/>
    <s v="Area 11: Mid-Puget Sound"/>
    <s v="NA"/>
    <x v="3"/>
    <s v="Pierce"/>
    <x v="7"/>
    <s v="South Puget Sound"/>
    <m/>
    <n v="5264.1883767535101"/>
    <n v="25392.1714629259"/>
  </r>
  <r>
    <n v="1008"/>
    <x v="2"/>
    <s v="Marine"/>
    <x v="0"/>
    <x v="0"/>
    <n v="11"/>
    <s v="Area 11: Mid-Puget Sound"/>
    <s v="Area 11: Mid-Puget Sound"/>
    <s v="NA"/>
    <x v="3"/>
    <s v="Snohomish"/>
    <x v="9"/>
    <s v="North Puget Sound"/>
    <m/>
    <n v="61.034068136272602"/>
    <n v="294.40198797595201"/>
  </r>
  <r>
    <n v="1012"/>
    <x v="2"/>
    <s v="Marine"/>
    <x v="0"/>
    <x v="0"/>
    <n v="11"/>
    <s v="Area 11: Mid-Puget Sound"/>
    <s v="Area 11: Mid-Puget Sound"/>
    <s v="NA"/>
    <x v="3"/>
    <s v="Thurston"/>
    <x v="10"/>
    <s v="South Puget Sound"/>
    <m/>
    <n v="350.94589178356699"/>
    <n v="1692.8114308617201"/>
  </r>
  <r>
    <n v="1007"/>
    <x v="2"/>
    <s v="Marine"/>
    <x v="0"/>
    <x v="0"/>
    <n v="11"/>
    <s v="Area 11: Mid-Puget Sound"/>
    <s v="Area 11: Mid-Puget Sound"/>
    <s v="NA"/>
    <x v="3"/>
    <s v="Whatcom"/>
    <x v="11"/>
    <s v="North Puget Sound"/>
    <m/>
    <n v="10.1723446893788"/>
    <n v="49.066997995991997"/>
  </r>
  <r>
    <n v="311"/>
    <x v="2"/>
    <s v="Marine"/>
    <x v="0"/>
    <x v="0"/>
    <n v="12"/>
    <s v="Area 12: Hood Canal"/>
    <s v="Area 12: Hood Canal"/>
    <s v="NA"/>
    <x v="4"/>
    <s v="Clallam"/>
    <x v="0"/>
    <s v="Strait of Juan de Fuca"/>
    <m/>
    <n v="301.18629173989501"/>
    <n v="1199.5821616871699"/>
  </r>
  <r>
    <n v="312"/>
    <x v="2"/>
    <s v="Marine"/>
    <x v="0"/>
    <x v="0"/>
    <n v="12"/>
    <s v="Area 12: Hood Canal"/>
    <s v="Area 12: Hood Canal"/>
    <s v="NA"/>
    <x v="4"/>
    <s v="Jefferson"/>
    <x v="2"/>
    <s v="Strait of Juan de Fuca"/>
    <m/>
    <n v="722.84710017574696"/>
    <n v="2878.9971880492099"/>
  </r>
  <r>
    <n v="207"/>
    <x v="2"/>
    <s v="Marine"/>
    <x v="0"/>
    <x v="0"/>
    <n v="12"/>
    <s v="Area 12: Hood Canal"/>
    <s v="Area 12: Hood Canal"/>
    <s v="NA"/>
    <x v="4"/>
    <s v="King"/>
    <x v="3"/>
    <s v="South Puget Sound"/>
    <m/>
    <n v="1048.1282952548299"/>
    <n v="4174.5459226713501"/>
  </r>
  <r>
    <n v="310"/>
    <x v="2"/>
    <s v="Marine"/>
    <x v="0"/>
    <x v="0"/>
    <n v="12"/>
    <s v="Area 12: Hood Canal"/>
    <s v="Area 12: Hood Canal"/>
    <s v="NA"/>
    <x v="4"/>
    <s v="Kitsap"/>
    <x v="4"/>
    <s v="South Puget Sound"/>
    <m/>
    <n v="1186.6739894551799"/>
    <n v="4726.3537170474501"/>
  </r>
  <r>
    <n v="309"/>
    <x v="2"/>
    <s v="Marine"/>
    <x v="0"/>
    <x v="0"/>
    <n v="12"/>
    <s v="Area 12: Hood Canal"/>
    <s v="Area 12: Hood Canal"/>
    <s v="NA"/>
    <x v="4"/>
    <s v="Mason"/>
    <x v="5"/>
    <s v="South Puget Sound"/>
    <m/>
    <n v="1277.02987697715"/>
    <n v="5086.2283655536003"/>
  </r>
  <r>
    <n v="313"/>
    <x v="2"/>
    <s v="Marine"/>
    <x v="0"/>
    <x v="0"/>
    <n v="12"/>
    <s v="Area 12: Hood Canal"/>
    <s v="Area 12: Hood Canal"/>
    <s v="NA"/>
    <x v="4"/>
    <s v="Other"/>
    <x v="6"/>
    <s v="Non Puget Sound"/>
    <m/>
    <n v="505.99297012302299"/>
    <n v="2015.2980316344499"/>
  </r>
  <r>
    <n v="208"/>
    <x v="2"/>
    <s v="Marine"/>
    <x v="0"/>
    <x v="0"/>
    <n v="12"/>
    <s v="Area 12: Hood Canal"/>
    <s v="Area 12: Hood Canal"/>
    <s v="NA"/>
    <x v="4"/>
    <s v="Pierce"/>
    <x v="7"/>
    <s v="South Puget Sound"/>
    <m/>
    <n v="987.89103690685397"/>
    <n v="3934.6294903339199"/>
  </r>
  <r>
    <n v="206"/>
    <x v="2"/>
    <s v="Marine"/>
    <x v="0"/>
    <x v="0"/>
    <n v="12"/>
    <s v="Area 12: Hood Canal"/>
    <s v="Area 12: Hood Canal"/>
    <s v="NA"/>
    <x v="4"/>
    <s v="Snohomish"/>
    <x v="9"/>
    <s v="North Puget Sound"/>
    <m/>
    <n v="114.45079086116"/>
    <n v="455.84122144112501"/>
  </r>
  <r>
    <n v="308"/>
    <x v="2"/>
    <s v="Marine"/>
    <x v="0"/>
    <x v="0"/>
    <n v="12"/>
    <s v="Area 12: Hood Canal"/>
    <s v="Area 12: Hood Canal"/>
    <s v="NA"/>
    <x v="4"/>
    <s v="Thurston"/>
    <x v="10"/>
    <s v="South Puget Sound"/>
    <m/>
    <n v="710.79964850615102"/>
    <n v="2831.0139015817199"/>
  </r>
  <r>
    <n v="1018"/>
    <x v="2"/>
    <s v="Marine"/>
    <x v="0"/>
    <x v="0"/>
    <n v="13"/>
    <s v="Area 13: S Puget Sound"/>
    <s v="Area 13: S Puget Sound"/>
    <s v="NA"/>
    <x v="3"/>
    <s v="King"/>
    <x v="3"/>
    <s v="South Puget Sound"/>
    <m/>
    <n v="139.625"/>
    <n v="1804.1556250000001"/>
  </r>
  <r>
    <n v="1022"/>
    <x v="2"/>
    <s v="Marine"/>
    <x v="0"/>
    <x v="0"/>
    <n v="13"/>
    <s v="Area 13: S Puget Sound"/>
    <s v="Area 13: S Puget Sound"/>
    <s v="NA"/>
    <x v="3"/>
    <s v="Kitsap"/>
    <x v="4"/>
    <s v="South Puget Sound"/>
    <m/>
    <n v="30.353260869565201"/>
    <n v="392.20774456521701"/>
  </r>
  <r>
    <n v="1021"/>
    <x v="2"/>
    <s v="Marine"/>
    <x v="0"/>
    <x v="0"/>
    <n v="13"/>
    <s v="Area 13: S Puget Sound"/>
    <s v="Area 13: S Puget Sound"/>
    <s v="NA"/>
    <x v="3"/>
    <s v="Mason"/>
    <x v="5"/>
    <s v="South Puget Sound"/>
    <m/>
    <n v="212.47282608695701"/>
    <n v="2745.4542119565199"/>
  </r>
  <r>
    <n v="1023"/>
    <x v="2"/>
    <s v="Marine"/>
    <x v="0"/>
    <x v="0"/>
    <n v="13"/>
    <s v="Area 13: S Puget Sound"/>
    <s v="Area 13: S Puget Sound"/>
    <s v="NA"/>
    <x v="3"/>
    <s v="Other"/>
    <x v="6"/>
    <s v="Non Puget Sound"/>
    <m/>
    <n v="133.554347826087"/>
    <n v="1725.7140760869599"/>
  </r>
  <r>
    <n v="1019"/>
    <x v="2"/>
    <s v="Marine"/>
    <x v="0"/>
    <x v="0"/>
    <n v="13"/>
    <s v="Area 13: S Puget Sound"/>
    <s v="Area 13: S Puget Sound"/>
    <s v="NA"/>
    <x v="3"/>
    <s v="Pierce"/>
    <x v="7"/>
    <s v="South Puget Sound"/>
    <m/>
    <n v="734.54891304347802"/>
    <n v="9491.4274184782607"/>
  </r>
  <r>
    <n v="1017"/>
    <x v="2"/>
    <s v="Marine"/>
    <x v="0"/>
    <x v="0"/>
    <n v="13"/>
    <s v="Area 13: S Puget Sound"/>
    <s v="Area 13: S Puget Sound"/>
    <s v="NA"/>
    <x v="3"/>
    <s v="Snohomish"/>
    <x v="9"/>
    <s v="North Puget Sound"/>
    <m/>
    <n v="12.1413043478261"/>
    <n v="156.88309782608701"/>
  </r>
  <r>
    <n v="1020"/>
    <x v="2"/>
    <s v="Marine"/>
    <x v="0"/>
    <x v="0"/>
    <n v="13"/>
    <s v="Area 13: S Puget Sound"/>
    <s v="Area 13: S Puget Sound"/>
    <s v="NA"/>
    <x v="3"/>
    <s v="Thurston"/>
    <x v="10"/>
    <s v="South Puget Sound"/>
    <m/>
    <n v="971.304347826087"/>
    <n v="12550.647826087001"/>
  </r>
  <r>
    <n v="1886"/>
    <x v="2"/>
    <s v="Marine"/>
    <x v="0"/>
    <x v="0"/>
    <d v="2023-08-01T00:00:00"/>
    <s v="Area 8-1: Skagit Bay-Saratoga Psg."/>
    <s v="Area 8-1: Skagit Bay-Saratoga Psg."/>
    <s v="NA"/>
    <x v="2"/>
    <s v="Island"/>
    <x v="1"/>
    <s v="North Puget Sound"/>
    <m/>
    <n v="718.640963855422"/>
    <n v="2127.78101204819"/>
  </r>
  <r>
    <n v="1887"/>
    <x v="2"/>
    <s v="Marine"/>
    <x v="0"/>
    <x v="0"/>
    <d v="2023-08-01T00:00:00"/>
    <s v="Area 8-1: Skagit Bay-Saratoga Psg."/>
    <s v="Area 8-1: Skagit Bay-Saratoga Psg."/>
    <s v="NA"/>
    <x v="2"/>
    <s v="King"/>
    <x v="3"/>
    <s v="South Puget Sound"/>
    <m/>
    <n v="136.29397590361501"/>
    <n v="403.54467469879501"/>
  </r>
  <r>
    <n v="1890"/>
    <x v="2"/>
    <s v="Marine"/>
    <x v="0"/>
    <x v="0"/>
    <d v="2023-08-01T00:00:00"/>
    <s v="Area 8-1: Skagit Bay-Saratoga Psg."/>
    <s v="Area 8-1: Skagit Bay-Saratoga Psg."/>
    <s v="NA"/>
    <x v="2"/>
    <s v="Kitsap"/>
    <x v="4"/>
    <s v="South Puget Sound"/>
    <m/>
    <n v="18.585542168674699"/>
    <n v="55.028819277108397"/>
  </r>
  <r>
    <n v="1889"/>
    <x v="2"/>
    <s v="Marine"/>
    <x v="0"/>
    <x v="0"/>
    <d v="2023-08-01T00:00:00"/>
    <s v="Area 8-1: Skagit Bay-Saratoga Psg."/>
    <s v="Area 8-1: Skagit Bay-Saratoga Psg."/>
    <s v="NA"/>
    <x v="2"/>
    <s v="Mason"/>
    <x v="5"/>
    <s v="South Puget Sound"/>
    <m/>
    <n v="18.585542168674699"/>
    <n v="55.028819277108397"/>
  </r>
  <r>
    <n v="2040"/>
    <x v="2"/>
    <s v="Marine"/>
    <x v="0"/>
    <x v="0"/>
    <d v="2023-08-01T00:00:00"/>
    <s v="Area 8-1: Skagit Bay-Saratoga Psg."/>
    <s v="Area 8-1: Skagit Bay-Saratoga Psg."/>
    <s v="NA"/>
    <x v="2"/>
    <s v="Other"/>
    <x v="6"/>
    <s v="Non Puget Sound"/>
    <m/>
    <n v="272.58795180722899"/>
    <n v="807.08934939759104"/>
  </r>
  <r>
    <n v="1888"/>
    <x v="2"/>
    <s v="Marine"/>
    <x v="0"/>
    <x v="0"/>
    <d v="2023-08-01T00:00:00"/>
    <s v="Area 8-1: Skagit Bay-Saratoga Psg."/>
    <s v="Area 8-1: Skagit Bay-Saratoga Psg."/>
    <s v="NA"/>
    <x v="2"/>
    <s v="Pierce"/>
    <x v="7"/>
    <s v="South Puget Sound"/>
    <m/>
    <n v="30.975903614457799"/>
    <n v="91.714698795180695"/>
  </r>
  <r>
    <n v="1714"/>
    <x v="2"/>
    <s v="Marine"/>
    <x v="0"/>
    <x v="0"/>
    <d v="2023-08-01T00:00:00"/>
    <s v="Area 8-1: Skagit Bay-Saratoga Psg."/>
    <s v="Area 8-1: Skagit Bay-Saratoga Psg."/>
    <s v="NA"/>
    <x v="2"/>
    <s v="Skagit"/>
    <x v="8"/>
    <s v="North Puget Sound"/>
    <m/>
    <n v="836.34939759036195"/>
    <n v="2476.29686746988"/>
  </r>
  <r>
    <n v="1715"/>
    <x v="2"/>
    <s v="Marine"/>
    <x v="0"/>
    <x v="0"/>
    <d v="2023-08-01T00:00:00"/>
    <s v="Area 8-1: Skagit Bay-Saratoga Psg."/>
    <s v="Area 8-1: Skagit Bay-Saratoga Psg."/>
    <s v="NA"/>
    <x v="2"/>
    <s v="Snohomish"/>
    <x v="9"/>
    <s v="North Puget Sound"/>
    <m/>
    <n v="520.39518072289195"/>
    <n v="1540.80693975904"/>
  </r>
  <r>
    <n v="1713"/>
    <x v="2"/>
    <s v="Marine"/>
    <x v="0"/>
    <x v="0"/>
    <d v="2023-08-01T00:00:00"/>
    <s v="Area 8-1: Skagit Bay-Saratoga Psg."/>
    <s v="Area 8-1: Skagit Bay-Saratoga Psg."/>
    <s v="NA"/>
    <x v="2"/>
    <s v="Whatcom"/>
    <x v="11"/>
    <s v="North Puget Sound"/>
    <m/>
    <n v="18.585542168674699"/>
    <n v="55.028819277108397"/>
  </r>
  <r>
    <n v="2895"/>
    <x v="2"/>
    <s v="Marine"/>
    <x v="0"/>
    <x v="0"/>
    <d v="2023-08-02T00:00:00"/>
    <s v="Area 8-2: Port Susan-Port Gardner"/>
    <s v="Area 8-2: Port Susan-Port Gardner"/>
    <s v="NA"/>
    <x v="2"/>
    <s v="Clallam"/>
    <x v="0"/>
    <s v="Strait of Juan de Fuca"/>
    <m/>
    <n v="77.314028314028306"/>
    <n v="232.74087945087999"/>
  </r>
  <r>
    <n v="2183"/>
    <x v="2"/>
    <s v="Marine"/>
    <x v="0"/>
    <x v="0"/>
    <d v="2023-08-02T00:00:00"/>
    <s v="Area 8-2: Port Susan-Port Gardner"/>
    <s v="Area 8-2: Port Susan-Port Gardner"/>
    <s v="NA"/>
    <x v="2"/>
    <s v="Island"/>
    <x v="1"/>
    <s v="North Puget Sound"/>
    <m/>
    <n v="921.82110682110704"/>
    <n v="2774.9874088374099"/>
  </r>
  <r>
    <n v="2984"/>
    <x v="2"/>
    <s v="Marine"/>
    <x v="0"/>
    <x v="0"/>
    <d v="2023-08-02T00:00:00"/>
    <s v="Area 8-2: Port Susan-Port Gardner"/>
    <s v="Area 8-2: Port Susan-Port Gardner"/>
    <s v="NA"/>
    <x v="2"/>
    <s v="Jefferson"/>
    <x v="2"/>
    <s v="Strait of Juan de Fuca"/>
    <m/>
    <n v="5.9472329472329504"/>
    <n v="17.903144573144601"/>
  </r>
  <r>
    <n v="2419"/>
    <x v="2"/>
    <s v="Marine"/>
    <x v="0"/>
    <x v="0"/>
    <d v="2023-08-02T00:00:00"/>
    <s v="Area 8-2: Port Susan-Port Gardner"/>
    <s v="Area 8-2: Port Susan-Port Gardner"/>
    <s v="NA"/>
    <x v="2"/>
    <s v="King"/>
    <x v="3"/>
    <s v="South Puget Sound"/>
    <m/>
    <n v="1694.9613899613901"/>
    <n v="5102.3962033462103"/>
  </r>
  <r>
    <n v="2652"/>
    <x v="2"/>
    <s v="Marine"/>
    <x v="0"/>
    <x v="0"/>
    <d v="2023-08-02T00:00:00"/>
    <s v="Area 8-2: Port Susan-Port Gardner"/>
    <s v="Area 8-2: Port Susan-Port Gardner"/>
    <s v="NA"/>
    <x v="2"/>
    <s v="Kitsap"/>
    <x v="4"/>
    <s v="South Puget Sound"/>
    <m/>
    <n v="89.208494208494201"/>
    <n v="268.54716859716899"/>
  </r>
  <r>
    <n v="2651"/>
    <x v="2"/>
    <s v="Marine"/>
    <x v="0"/>
    <x v="0"/>
    <d v="2023-08-02T00:00:00"/>
    <s v="Area 8-2: Port Susan-Port Gardner"/>
    <s v="Area 8-2: Port Susan-Port Gardner"/>
    <s v="NA"/>
    <x v="2"/>
    <s v="Mason"/>
    <x v="5"/>
    <s v="South Puget Sound"/>
    <m/>
    <n v="23.788931788931801"/>
    <n v="71.612578292578306"/>
  </r>
  <r>
    <n v="2985"/>
    <x v="2"/>
    <s v="Marine"/>
    <x v="0"/>
    <x v="0"/>
    <d v="2023-08-02T00:00:00"/>
    <s v="Area 8-2: Port Susan-Port Gardner"/>
    <s v="Area 8-2: Port Susan-Port Gardner"/>
    <s v="NA"/>
    <x v="2"/>
    <s v="Other"/>
    <x v="6"/>
    <s v="Non Puget Sound"/>
    <m/>
    <n v="487.673101673102"/>
    <n v="1468.05785499786"/>
  </r>
  <r>
    <n v="2531"/>
    <x v="2"/>
    <s v="Marine"/>
    <x v="0"/>
    <x v="0"/>
    <d v="2023-08-02T00:00:00"/>
    <s v="Area 8-2: Port Susan-Port Gardner"/>
    <s v="Area 8-2: Port Susan-Port Gardner"/>
    <s v="NA"/>
    <x v="2"/>
    <s v="Pierce"/>
    <x v="7"/>
    <s v="South Puget Sound"/>
    <m/>
    <n v="166.52252252252299"/>
    <n v="501.28804804804798"/>
  </r>
  <r>
    <n v="2418"/>
    <x v="2"/>
    <s v="Marine"/>
    <x v="0"/>
    <x v="0"/>
    <d v="2023-08-02T00:00:00"/>
    <s v="Area 8-2: Port Susan-Port Gardner"/>
    <s v="Area 8-2: Port Susan-Port Gardner"/>
    <s v="NA"/>
    <x v="2"/>
    <s v="San Juan"/>
    <x v="12"/>
    <s v="North Puget Sound"/>
    <m/>
    <n v="11.894465894465901"/>
    <n v="35.806289146289203"/>
  </r>
  <r>
    <n v="2042"/>
    <x v="2"/>
    <s v="Marine"/>
    <x v="0"/>
    <x v="0"/>
    <d v="2023-08-02T00:00:00"/>
    <s v="Area 8-2: Port Susan-Port Gardner"/>
    <s v="Area 8-2: Port Susan-Port Gardner"/>
    <s v="NA"/>
    <x v="2"/>
    <s v="Skagit"/>
    <x v="8"/>
    <s v="North Puget Sound"/>
    <m/>
    <n v="178.416988416988"/>
    <n v="537.09433719433696"/>
  </r>
  <r>
    <n v="2182"/>
    <x v="2"/>
    <s v="Marine"/>
    <x v="0"/>
    <x v="0"/>
    <d v="2023-08-02T00:00:00"/>
    <s v="Area 8-2: Port Susan-Port Gardner"/>
    <s v="Area 8-2: Port Susan-Port Gardner"/>
    <s v="NA"/>
    <x v="2"/>
    <s v="Snohomish"/>
    <x v="9"/>
    <s v="North Puget Sound"/>
    <m/>
    <n v="10140.0321750322"/>
    <n v="30524.861497211499"/>
  </r>
  <r>
    <n v="2532"/>
    <x v="2"/>
    <s v="Marine"/>
    <x v="0"/>
    <x v="0"/>
    <d v="2023-08-02T00:00:00"/>
    <s v="Area 8-2: Port Susan-Port Gardner"/>
    <s v="Area 8-2: Port Susan-Port Gardner"/>
    <s v="NA"/>
    <x v="2"/>
    <s v="Thurston"/>
    <x v="10"/>
    <s v="South Puget Sound"/>
    <m/>
    <n v="5.9472329472329504"/>
    <n v="17.903144573144601"/>
  </r>
  <r>
    <n v="2041"/>
    <x v="2"/>
    <s v="Marine"/>
    <x v="0"/>
    <x v="0"/>
    <d v="2023-08-02T00:00:00"/>
    <s v="Area 8-2: Port Susan-Port Gardner"/>
    <s v="Area 8-2: Port Susan-Port Gardner"/>
    <s v="NA"/>
    <x v="2"/>
    <s v="Whatcom"/>
    <x v="11"/>
    <s v="North Puget Sound"/>
    <m/>
    <n v="59.472329472329498"/>
    <n v="179.03144573144601"/>
  </r>
  <r>
    <n v="1653"/>
    <x v="3"/>
    <s v="Marine"/>
    <x v="0"/>
    <x v="0"/>
    <n v="5"/>
    <s v="Area 5: W Juan de Fuca"/>
    <s v="Area 5: W Juan de Fuca"/>
    <s v="NA"/>
    <x v="0"/>
    <s v="Clallam"/>
    <x v="0"/>
    <s v="Strait of Juan de Fuca"/>
    <m/>
    <n v="7278.99410781814"/>
    <n v="5786.7225652976904"/>
  </r>
  <r>
    <n v="1505"/>
    <x v="3"/>
    <s v="Marine"/>
    <x v="0"/>
    <x v="0"/>
    <n v="5"/>
    <s v="Area 5: W Juan de Fuca"/>
    <s v="Area 5: W Juan de Fuca"/>
    <s v="NA"/>
    <x v="0"/>
    <s v="Island"/>
    <x v="1"/>
    <s v="North Puget Sound"/>
    <m/>
    <n v="1095.0189077477801"/>
    <n v="870.52833523876495"/>
  </r>
  <r>
    <n v="1654"/>
    <x v="3"/>
    <s v="Marine"/>
    <x v="0"/>
    <x v="0"/>
    <n v="5"/>
    <s v="Area 5: W Juan de Fuca"/>
    <s v="Area 5: W Juan de Fuca"/>
    <s v="NA"/>
    <x v="0"/>
    <s v="Jefferson"/>
    <x v="2"/>
    <s v="Strait of Juan de Fuca"/>
    <m/>
    <n v="1463.8673819365099"/>
    <n v="1163.75893237182"/>
  </r>
  <r>
    <n v="1506"/>
    <x v="3"/>
    <s v="Marine"/>
    <x v="0"/>
    <x v="0"/>
    <n v="5"/>
    <s v="Area 5: W Juan de Fuca"/>
    <s v="Area 5: W Juan de Fuca"/>
    <s v="NA"/>
    <x v="0"/>
    <s v="King"/>
    <x v="3"/>
    <s v="South Puget Sound"/>
    <m/>
    <n v="10149.096297599201"/>
    <n v="8068.4231492393001"/>
  </r>
  <r>
    <n v="1652"/>
    <x v="3"/>
    <s v="Marine"/>
    <x v="0"/>
    <x v="0"/>
    <n v="5"/>
    <s v="Area 5: W Juan de Fuca"/>
    <s v="Area 5: W Juan de Fuca"/>
    <s v="NA"/>
    <x v="0"/>
    <s v="Kitsap"/>
    <x v="4"/>
    <s v="South Puget Sound"/>
    <m/>
    <n v="5676.8085480608597"/>
    <n v="4513.0021590009701"/>
  </r>
  <r>
    <n v="1651"/>
    <x v="3"/>
    <s v="Marine"/>
    <x v="0"/>
    <x v="0"/>
    <n v="5"/>
    <s v="Area 5: W Juan de Fuca"/>
    <s v="Area 5: W Juan de Fuca"/>
    <s v="NA"/>
    <x v="0"/>
    <s v="Mason"/>
    <x v="5"/>
    <s v="South Puget Sound"/>
    <m/>
    <n v="2443.6211415003099"/>
    <n v="1942.65270600651"/>
  </r>
  <r>
    <n v="1655"/>
    <x v="3"/>
    <s v="Marine"/>
    <x v="0"/>
    <x v="0"/>
    <n v="5"/>
    <s v="Area 5: W Juan de Fuca"/>
    <s v="Area 5: W Juan de Fuca"/>
    <s v="NA"/>
    <x v="0"/>
    <s v="Other"/>
    <x v="6"/>
    <s v="Non Puget Sound"/>
    <m/>
    <n v="17128.401020139001"/>
    <n v="13616.895854366399"/>
  </r>
  <r>
    <n v="1507"/>
    <x v="3"/>
    <s v="Marine"/>
    <x v="0"/>
    <x v="0"/>
    <n v="5"/>
    <s v="Area 5: W Juan de Fuca"/>
    <s v="Area 5: W Juan de Fuca"/>
    <s v="NA"/>
    <x v="0"/>
    <s v="Pierce"/>
    <x v="7"/>
    <s v="South Puget Sound"/>
    <m/>
    <n v="11739.755342537999"/>
    <n v="9332.9800993756107"/>
  </r>
  <r>
    <n v="1503"/>
    <x v="3"/>
    <s v="Marine"/>
    <x v="0"/>
    <x v="0"/>
    <n v="5"/>
    <s v="Area 5: W Juan de Fuca"/>
    <s v="Area 5: W Juan de Fuca"/>
    <s v="NA"/>
    <x v="0"/>
    <s v="Skagit"/>
    <x v="8"/>
    <s v="North Puget Sound"/>
    <m/>
    <n v="691.59088910386095"/>
    <n v="549.80736962448304"/>
  </r>
  <r>
    <n v="1504"/>
    <x v="3"/>
    <s v="Marine"/>
    <x v="0"/>
    <x v="0"/>
    <n v="5"/>
    <s v="Area 5: W Juan de Fuca"/>
    <s v="Area 5: W Juan de Fuca"/>
    <s v="NA"/>
    <x v="0"/>
    <s v="Snohomish"/>
    <x v="9"/>
    <s v="North Puget Sound"/>
    <m/>
    <n v="4109.2025327587698"/>
    <n v="3266.77212118547"/>
  </r>
  <r>
    <n v="1650"/>
    <x v="3"/>
    <s v="Marine"/>
    <x v="0"/>
    <x v="0"/>
    <n v="5"/>
    <s v="Area 5: W Juan de Fuca"/>
    <s v="Area 5: W Juan de Fuca"/>
    <s v="NA"/>
    <x v="0"/>
    <s v="Thurston"/>
    <x v="10"/>
    <s v="South Puget Sound"/>
    <m/>
    <n v="2881.62870459942"/>
    <n v="2290.8640401020102"/>
  </r>
  <r>
    <n v="1502"/>
    <x v="3"/>
    <s v="Marine"/>
    <x v="0"/>
    <x v="0"/>
    <n v="5"/>
    <s v="Area 5: W Juan de Fuca"/>
    <s v="Area 5: W Juan de Fuca"/>
    <s v="NA"/>
    <x v="0"/>
    <s v="Whatcom"/>
    <x v="11"/>
    <s v="North Puget Sound"/>
    <m/>
    <n v="876.01512619822404"/>
    <n v="696.42266819101201"/>
  </r>
  <r>
    <n v="1676"/>
    <x v="3"/>
    <s v="Marine"/>
    <x v="0"/>
    <x v="0"/>
    <n v="6"/>
    <s v="Area 6: E Juan de Fuca"/>
    <s v="Area 6: E Juan de Fuca"/>
    <s v="NA"/>
    <x v="0"/>
    <s v="Clallam"/>
    <x v="0"/>
    <s v="Strait of Juan de Fuca"/>
    <m/>
    <n v="15445.454450042"/>
    <n v="14801.135335852199"/>
  </r>
  <r>
    <n v="1670"/>
    <x v="3"/>
    <s v="Marine"/>
    <x v="0"/>
    <x v="0"/>
    <n v="6"/>
    <s v="Area 6: E Juan de Fuca"/>
    <s v="Area 6: E Juan de Fuca"/>
    <s v="NA"/>
    <x v="0"/>
    <s v="Island"/>
    <x v="1"/>
    <s v="North Puget Sound"/>
    <m/>
    <n v="3690.90575146935"/>
    <n v="3536.9367548278801"/>
  </r>
  <r>
    <n v="1677"/>
    <x v="3"/>
    <s v="Marine"/>
    <x v="0"/>
    <x v="0"/>
    <n v="6"/>
    <s v="Area 6: E Juan de Fuca"/>
    <s v="Area 6: E Juan de Fuca"/>
    <s v="NA"/>
    <x v="0"/>
    <s v="Jefferson"/>
    <x v="2"/>
    <s v="Strait of Juan de Fuca"/>
    <m/>
    <n v="450.79764903442498"/>
    <n v="431.99227539882497"/>
  </r>
  <r>
    <n v="1671"/>
    <x v="3"/>
    <s v="Marine"/>
    <x v="0"/>
    <x v="0"/>
    <n v="6"/>
    <s v="Area 6: E Juan de Fuca"/>
    <s v="Area 6: E Juan de Fuca"/>
    <s v="NA"/>
    <x v="0"/>
    <s v="King"/>
    <x v="3"/>
    <s v="South Puget Sound"/>
    <m/>
    <n v="1138.2640638119201"/>
    <n v="1090.78049538203"/>
  </r>
  <r>
    <n v="1675"/>
    <x v="3"/>
    <s v="Marine"/>
    <x v="0"/>
    <x v="0"/>
    <n v="6"/>
    <s v="Area 6: E Juan de Fuca"/>
    <s v="Area 6: E Juan de Fuca"/>
    <s v="NA"/>
    <x v="0"/>
    <s v="Kitsap"/>
    <x v="4"/>
    <s v="South Puget Sound"/>
    <m/>
    <n v="935.40512174643197"/>
    <n v="896.38397145256101"/>
  </r>
  <r>
    <n v="1674"/>
    <x v="3"/>
    <s v="Marine"/>
    <x v="0"/>
    <x v="0"/>
    <n v="6"/>
    <s v="Area 6: E Juan de Fuca"/>
    <s v="Area 6: E Juan de Fuca"/>
    <s v="NA"/>
    <x v="0"/>
    <s v="Mason"/>
    <x v="5"/>
    <s v="South Puget Sound"/>
    <m/>
    <n v="219.763853904282"/>
    <n v="210.596234256927"/>
  </r>
  <r>
    <n v="1678"/>
    <x v="3"/>
    <s v="Marine"/>
    <x v="0"/>
    <x v="0"/>
    <n v="6"/>
    <s v="Area 6: E Juan de Fuca"/>
    <s v="Area 6: E Juan de Fuca"/>
    <s v="NA"/>
    <x v="0"/>
    <s v="Other"/>
    <x v="6"/>
    <s v="Non Puget Sound"/>
    <m/>
    <n v="2699.1509235936201"/>
    <n v="2586.55374895046"/>
  </r>
  <r>
    <n v="1672"/>
    <x v="3"/>
    <s v="Marine"/>
    <x v="0"/>
    <x v="0"/>
    <n v="6"/>
    <s v="Area 6: E Juan de Fuca"/>
    <s v="Area 6: E Juan de Fuca"/>
    <s v="NA"/>
    <x v="0"/>
    <s v="Pierce"/>
    <x v="7"/>
    <s v="South Puget Sound"/>
    <m/>
    <n v="670.56150293870701"/>
    <n v="642.58850965575095"/>
  </r>
  <r>
    <n v="1657"/>
    <x v="3"/>
    <s v="Marine"/>
    <x v="0"/>
    <x v="0"/>
    <n v="6"/>
    <s v="Area 6: E Juan de Fuca"/>
    <s v="Area 6: E Juan de Fuca"/>
    <s v="NA"/>
    <x v="0"/>
    <s v="Skagit"/>
    <x v="8"/>
    <s v="North Puget Sound"/>
    <m/>
    <n v="963.57997481108305"/>
    <n v="923.38348866498802"/>
  </r>
  <r>
    <n v="1658"/>
    <x v="3"/>
    <s v="Marine"/>
    <x v="0"/>
    <x v="0"/>
    <n v="6"/>
    <s v="Area 6: E Juan de Fuca"/>
    <s v="Area 6: E Juan de Fuca"/>
    <s v="NA"/>
    <x v="0"/>
    <s v="Snohomish"/>
    <x v="9"/>
    <s v="North Puget Sound"/>
    <m/>
    <n v="400.08291351805201"/>
    <n v="383.39314441645701"/>
  </r>
  <r>
    <n v="1673"/>
    <x v="3"/>
    <s v="Marine"/>
    <x v="0"/>
    <x v="0"/>
    <n v="6"/>
    <s v="Area 6: E Juan de Fuca"/>
    <s v="Area 6: E Juan de Fuca"/>
    <s v="NA"/>
    <x v="0"/>
    <s v="Thurston"/>
    <x v="10"/>
    <s v="South Puget Sound"/>
    <m/>
    <n v="112.699412258606"/>
    <n v="107.998068849706"/>
  </r>
  <r>
    <n v="1656"/>
    <x v="3"/>
    <s v="Marine"/>
    <x v="0"/>
    <x v="0"/>
    <n v="6"/>
    <s v="Area 6: E Juan de Fuca"/>
    <s v="Area 6: E Juan de Fuca"/>
    <s v="NA"/>
    <x v="0"/>
    <s v="Whatcom"/>
    <x v="11"/>
    <s v="North Puget Sound"/>
    <m/>
    <n v="118.334382871537"/>
    <n v="113.397972292191"/>
  </r>
  <r>
    <n v="3299"/>
    <x v="3"/>
    <s v="Marine"/>
    <x v="0"/>
    <x v="0"/>
    <n v="7"/>
    <s v="Area 7: San Juan Islands"/>
    <s v="Area 7: San Juan Islands"/>
    <s v="NA"/>
    <x v="1"/>
    <s v="Clallam"/>
    <x v="0"/>
    <s v="Strait of Juan de Fuca"/>
    <m/>
    <n v="296.50021105951902"/>
    <n v="516.23789784719304"/>
  </r>
  <r>
    <n v="3248"/>
    <x v="3"/>
    <s v="Marine"/>
    <x v="0"/>
    <x v="0"/>
    <n v="7"/>
    <s v="Area 7: San Juan Islands"/>
    <s v="Area 7: San Juan Islands"/>
    <s v="NA"/>
    <x v="1"/>
    <s v="Island"/>
    <x v="1"/>
    <s v="North Puget Sound"/>
    <m/>
    <n v="2092.2845082313202"/>
    <n v="3642.8862980160402"/>
  </r>
  <r>
    <n v="3300"/>
    <x v="3"/>
    <s v="Marine"/>
    <x v="0"/>
    <x v="0"/>
    <n v="7"/>
    <s v="Area 7: San Juan Islands"/>
    <s v="Area 7: San Juan Islands"/>
    <s v="NA"/>
    <x v="1"/>
    <s v="Jefferson"/>
    <x v="2"/>
    <s v="Strait of Juan de Fuca"/>
    <m/>
    <n v="16.783030814689699"/>
    <n v="29.221013085690199"/>
  </r>
  <r>
    <n v="3250"/>
    <x v="3"/>
    <s v="Marine"/>
    <x v="0"/>
    <x v="0"/>
    <n v="7"/>
    <s v="Area 7: San Juan Islands"/>
    <s v="Area 7: San Juan Islands"/>
    <s v="NA"/>
    <x v="1"/>
    <s v="King"/>
    <x v="3"/>
    <s v="South Puget Sound"/>
    <m/>
    <n v="3703.45546644154"/>
    <n v="6448.1035542422997"/>
  </r>
  <r>
    <n v="3254"/>
    <x v="3"/>
    <s v="Marine"/>
    <x v="0"/>
    <x v="0"/>
    <n v="7"/>
    <s v="Area 7: San Juan Islands"/>
    <s v="Area 7: San Juan Islands"/>
    <s v="NA"/>
    <x v="1"/>
    <s v="Kitsap"/>
    <x v="4"/>
    <s v="South Puget Sound"/>
    <m/>
    <n v="179.01899535669099"/>
    <n v="311.69080624736199"/>
  </r>
  <r>
    <n v="3253"/>
    <x v="3"/>
    <s v="Marine"/>
    <x v="0"/>
    <x v="0"/>
    <n v="7"/>
    <s v="Area 7: San Juan Islands"/>
    <s v="Area 7: San Juan Islands"/>
    <s v="NA"/>
    <x v="1"/>
    <s v="Mason"/>
    <x v="5"/>
    <s v="South Puget Sound"/>
    <m/>
    <n v="156.64162093710399"/>
    <n v="272.729455466442"/>
  </r>
  <r>
    <n v="3301"/>
    <x v="3"/>
    <s v="Marine"/>
    <x v="0"/>
    <x v="0"/>
    <n v="7"/>
    <s v="Area 7: San Juan Islands"/>
    <s v="Area 7: San Juan Islands"/>
    <s v="NA"/>
    <x v="1"/>
    <s v="Other"/>
    <x v="6"/>
    <s v="Non Puget Sound"/>
    <m/>
    <n v="4928.6167159138904"/>
    <n v="8581.2375094976796"/>
  </r>
  <r>
    <n v="3251"/>
    <x v="3"/>
    <s v="Marine"/>
    <x v="0"/>
    <x v="0"/>
    <n v="7"/>
    <s v="Area 7: San Juan Islands"/>
    <s v="Area 7: San Juan Islands"/>
    <s v="NA"/>
    <x v="1"/>
    <s v="Pierce"/>
    <x v="7"/>
    <s v="South Puget Sound"/>
    <m/>
    <n v="279.71718024482902"/>
    <n v="487.01688476150298"/>
  </r>
  <r>
    <n v="3249"/>
    <x v="3"/>
    <s v="Marine"/>
    <x v="0"/>
    <x v="0"/>
    <n v="7"/>
    <s v="Area 7: San Juan Islands"/>
    <s v="Area 7: San Juan Islands"/>
    <s v="NA"/>
    <x v="1"/>
    <s v="San Juan"/>
    <x v="12"/>
    <s v="North Puget Sound"/>
    <m/>
    <n v="3121.6437315322901"/>
    <n v="5435.1084339383697"/>
  </r>
  <r>
    <n v="3246"/>
    <x v="3"/>
    <s v="Marine"/>
    <x v="0"/>
    <x v="0"/>
    <n v="7"/>
    <s v="Area 7: San Juan Islands"/>
    <s v="Area 7: San Juan Islands"/>
    <s v="NA"/>
    <x v="1"/>
    <s v="Skagit"/>
    <x v="8"/>
    <s v="North Puget Sound"/>
    <m/>
    <n v="5264.27733220768"/>
    <n v="9165.6577712114795"/>
  </r>
  <r>
    <n v="3247"/>
    <x v="3"/>
    <s v="Marine"/>
    <x v="0"/>
    <x v="0"/>
    <n v="7"/>
    <s v="Area 7: San Juan Islands"/>
    <s v="Area 7: San Juan Islands"/>
    <s v="NA"/>
    <x v="1"/>
    <s v="Snohomish"/>
    <x v="9"/>
    <s v="North Puget Sound"/>
    <m/>
    <n v="2551.0206838328399"/>
    <n v="4441.5939890249101"/>
  </r>
  <r>
    <n v="3252"/>
    <x v="3"/>
    <s v="Marine"/>
    <x v="0"/>
    <x v="0"/>
    <n v="7"/>
    <s v="Area 7: San Juan Islands"/>
    <s v="Area 7: San Juan Islands"/>
    <s v="NA"/>
    <x v="1"/>
    <s v="Thurston"/>
    <x v="10"/>
    <s v="South Puget Sound"/>
    <m/>
    <n v="123.075559307725"/>
    <n v="214.287429295061"/>
  </r>
  <r>
    <n v="3245"/>
    <x v="3"/>
    <s v="Marine"/>
    <x v="0"/>
    <x v="0"/>
    <n v="7"/>
    <s v="Area 7: San Juan Islands"/>
    <s v="Area 7: San Juan Islands"/>
    <s v="NA"/>
    <x v="1"/>
    <s v="Whatcom"/>
    <x v="11"/>
    <s v="North Puget Sound"/>
    <m/>
    <n v="3792.9649641198798"/>
    <n v="6603.9489573659803"/>
  </r>
  <r>
    <n v="3424"/>
    <x v="3"/>
    <s v="Marine"/>
    <x v="0"/>
    <x v="0"/>
    <n v="9"/>
    <s v="Area 9: Admiralty Inlet"/>
    <s v="Area 9: Admiralty Inlet"/>
    <s v="NA"/>
    <x v="2"/>
    <s v="Clallam"/>
    <x v="0"/>
    <s v="Strait of Juan de Fuca"/>
    <m/>
    <n v="631.19587881761299"/>
    <n v="884.81940390040495"/>
  </r>
  <r>
    <n v="3415"/>
    <x v="3"/>
    <s v="Marine"/>
    <x v="0"/>
    <x v="0"/>
    <n v="9"/>
    <s v="Area 9: Admiralty Inlet"/>
    <s v="Area 9: Admiralty Inlet"/>
    <s v="NA"/>
    <x v="2"/>
    <s v="Island"/>
    <x v="1"/>
    <s v="North Puget Sound"/>
    <m/>
    <n v="22696.751809149999"/>
    <n v="31816.631065252099"/>
  </r>
  <r>
    <n v="3425"/>
    <x v="3"/>
    <s v="Marine"/>
    <x v="0"/>
    <x v="0"/>
    <n v="9"/>
    <s v="Area 9: Admiralty Inlet"/>
    <s v="Area 9: Admiralty Inlet"/>
    <s v="NA"/>
    <x v="2"/>
    <s v="Jefferson"/>
    <x v="2"/>
    <s v="Strait of Juan de Fuca"/>
    <m/>
    <n v="4634.0297436526398"/>
    <n v="6496.0491236354701"/>
  </r>
  <r>
    <n v="3416"/>
    <x v="3"/>
    <s v="Marine"/>
    <x v="0"/>
    <x v="0"/>
    <n v="9"/>
    <s v="Area 9: Admiralty Inlet"/>
    <s v="Area 9: Admiralty Inlet"/>
    <s v="NA"/>
    <x v="2"/>
    <s v="King"/>
    <x v="3"/>
    <s v="South Puget Sound"/>
    <m/>
    <n v="13223.553661229"/>
    <n v="18536.966511713501"/>
  </r>
  <r>
    <n v="3423"/>
    <x v="3"/>
    <s v="Marine"/>
    <x v="0"/>
    <x v="0"/>
    <n v="9"/>
    <s v="Area 9: Admiralty Inlet"/>
    <s v="Area 9: Admiralty Inlet"/>
    <s v="NA"/>
    <x v="2"/>
    <s v="Kitsap"/>
    <x v="4"/>
    <s v="South Puget Sound"/>
    <m/>
    <n v="6890.5550104256099"/>
    <n v="9659.2784925794203"/>
  </r>
  <r>
    <n v="3422"/>
    <x v="3"/>
    <s v="Marine"/>
    <x v="0"/>
    <x v="0"/>
    <n v="9"/>
    <s v="Area 9: Admiralty Inlet"/>
    <s v="Area 9: Admiralty Inlet"/>
    <s v="NA"/>
    <x v="2"/>
    <s v="Mason"/>
    <x v="5"/>
    <s v="South Puget Sound"/>
    <m/>
    <n v="289.29811112473902"/>
    <n v="405.54222678768599"/>
  </r>
  <r>
    <n v="3476"/>
    <x v="3"/>
    <s v="Marine"/>
    <x v="0"/>
    <x v="0"/>
    <n v="9"/>
    <s v="Area 9: Admiralty Inlet"/>
    <s v="Area 9: Admiralty Inlet"/>
    <s v="NA"/>
    <x v="2"/>
    <s v="Other"/>
    <x v="6"/>
    <s v="Non Puget Sound"/>
    <m/>
    <n v="8447.5048448423895"/>
    <n v="11841.833022200401"/>
  </r>
  <r>
    <n v="3417"/>
    <x v="3"/>
    <s v="Marine"/>
    <x v="0"/>
    <x v="0"/>
    <n v="9"/>
    <s v="Area 9: Admiralty Inlet"/>
    <s v="Area 9: Admiralty Inlet"/>
    <s v="NA"/>
    <x v="2"/>
    <s v="Pierce"/>
    <x v="7"/>
    <s v="South Puget Sound"/>
    <m/>
    <n v="1288.69158591929"/>
    <n v="1806.50628296333"/>
  </r>
  <r>
    <n v="3322"/>
    <x v="3"/>
    <s v="Marine"/>
    <x v="0"/>
    <x v="0"/>
    <n v="9"/>
    <s v="Area 9: Admiralty Inlet"/>
    <s v="Area 9: Admiralty Inlet"/>
    <s v="NA"/>
    <x v="2"/>
    <s v="Skagit"/>
    <x v="8"/>
    <s v="North Puget Sound"/>
    <m/>
    <n v="1209.79210106709"/>
    <n v="1695.9038574757799"/>
  </r>
  <r>
    <n v="3323"/>
    <x v="3"/>
    <s v="Marine"/>
    <x v="0"/>
    <x v="0"/>
    <n v="9"/>
    <s v="Area 9: Admiralty Inlet"/>
    <s v="Area 9: Admiralty Inlet"/>
    <s v="NA"/>
    <x v="2"/>
    <s v="Snohomish"/>
    <x v="9"/>
    <s v="North Puget Sound"/>
    <m/>
    <n v="25205.75542745"/>
    <n v="35333.788195756199"/>
  </r>
  <r>
    <n v="3418"/>
    <x v="3"/>
    <s v="Marine"/>
    <x v="0"/>
    <x v="0"/>
    <n v="9"/>
    <s v="Area 9: Admiralty Inlet"/>
    <s v="Area 9: Admiralty Inlet"/>
    <s v="NA"/>
    <x v="2"/>
    <s v="Thurston"/>
    <x v="10"/>
    <s v="South Puget Sound"/>
    <m/>
    <n v="568.07629093585194"/>
    <n v="796.33746351036405"/>
  </r>
  <r>
    <n v="3321"/>
    <x v="3"/>
    <s v="Marine"/>
    <x v="0"/>
    <x v="0"/>
    <n v="9"/>
    <s v="Area 9: Admiralty Inlet"/>
    <s v="Area 9: Admiralty Inlet"/>
    <s v="NA"/>
    <x v="2"/>
    <s v="Whatcom"/>
    <x v="11"/>
    <s v="North Puget Sound"/>
    <m/>
    <n v="683.79553538574805"/>
    <n v="958.55435422543906"/>
  </r>
  <r>
    <n v="1108"/>
    <x v="3"/>
    <s v="Marine"/>
    <x v="0"/>
    <x v="0"/>
    <n v="10"/>
    <s v="Area 10: N Puget Sound"/>
    <s v="Area 10: N Puget Sound"/>
    <s v="NA"/>
    <x v="3"/>
    <s v="Clallam"/>
    <x v="0"/>
    <s v="Strait of Juan de Fuca"/>
    <m/>
    <n v="59.340866290018802"/>
    <n v="111.369774011299"/>
  </r>
  <r>
    <n v="1101"/>
    <x v="3"/>
    <s v="Marine"/>
    <x v="0"/>
    <x v="0"/>
    <n v="10"/>
    <s v="Area 10: N Puget Sound"/>
    <s v="Area 10: N Puget Sound"/>
    <s v="NA"/>
    <x v="3"/>
    <s v="Island"/>
    <x v="1"/>
    <s v="North Puget Sound"/>
    <m/>
    <n v="108.791588198368"/>
    <n v="204.17791902071599"/>
  </r>
  <r>
    <n v="1109"/>
    <x v="3"/>
    <s v="Marine"/>
    <x v="0"/>
    <x v="0"/>
    <n v="10"/>
    <s v="Area 10: N Puget Sound"/>
    <s v="Area 10: N Puget Sound"/>
    <s v="NA"/>
    <x v="3"/>
    <s v="Jefferson"/>
    <x v="2"/>
    <s v="Strait of Juan de Fuca"/>
    <m/>
    <n v="44.505649717514103"/>
    <n v="83.527330508474606"/>
  </r>
  <r>
    <n v="1103"/>
    <x v="3"/>
    <s v="Marine"/>
    <x v="0"/>
    <x v="0"/>
    <n v="10"/>
    <s v="Area 10: N Puget Sound"/>
    <s v="Area 10: N Puget Sound"/>
    <s v="NA"/>
    <x v="3"/>
    <s v="King"/>
    <x v="3"/>
    <s v="South Puget Sound"/>
    <m/>
    <n v="18435.2291274325"/>
    <n v="34598.8764595104"/>
  </r>
  <r>
    <n v="1107"/>
    <x v="3"/>
    <s v="Marine"/>
    <x v="0"/>
    <x v="0"/>
    <n v="10"/>
    <s v="Area 10: N Puget Sound"/>
    <s v="Area 10: N Puget Sound"/>
    <s v="NA"/>
    <x v="3"/>
    <s v="Kitsap"/>
    <x v="4"/>
    <s v="South Puget Sound"/>
    <m/>
    <n v="5034.0834902699298"/>
    <n v="9447.8691619585697"/>
  </r>
  <r>
    <n v="1106"/>
    <x v="3"/>
    <s v="Marine"/>
    <x v="0"/>
    <x v="0"/>
    <n v="10"/>
    <s v="Area 10: N Puget Sound"/>
    <s v="Area 10: N Puget Sound"/>
    <s v="NA"/>
    <x v="3"/>
    <s v="Mason"/>
    <x v="5"/>
    <s v="South Puget Sound"/>
    <m/>
    <n v="108.791588198368"/>
    <n v="204.17791902071599"/>
  </r>
  <r>
    <n v="1110"/>
    <x v="3"/>
    <s v="Marine"/>
    <x v="0"/>
    <x v="0"/>
    <n v="10"/>
    <s v="Area 10: N Puget Sound"/>
    <s v="Area 10: N Puget Sound"/>
    <s v="NA"/>
    <x v="3"/>
    <s v="Other"/>
    <x v="6"/>
    <s v="Non Puget Sound"/>
    <m/>
    <n v="3253.85750156937"/>
    <n v="6106.7759416195904"/>
  </r>
  <r>
    <n v="1104"/>
    <x v="3"/>
    <s v="Marine"/>
    <x v="0"/>
    <x v="0"/>
    <n v="10"/>
    <s v="Area 10: N Puget Sound"/>
    <s v="Area 10: N Puget Sound"/>
    <s v="NA"/>
    <x v="3"/>
    <s v="Pierce"/>
    <x v="7"/>
    <s v="South Puget Sound"/>
    <m/>
    <n v="771.43126177024499"/>
    <n v="1447.8070621468901"/>
  </r>
  <r>
    <n v="1102"/>
    <x v="3"/>
    <s v="Marine"/>
    <x v="0"/>
    <x v="0"/>
    <n v="10"/>
    <s v="Area 10: N Puget Sound"/>
    <s v="Area 10: N Puget Sound"/>
    <s v="NA"/>
    <x v="3"/>
    <s v="San Juan"/>
    <x v="12"/>
    <s v="North Puget Sound"/>
    <m/>
    <n v="19.780288763339598"/>
    <n v="37.123258003766502"/>
  </r>
  <r>
    <n v="1025"/>
    <x v="3"/>
    <s v="Marine"/>
    <x v="0"/>
    <x v="0"/>
    <n v="10"/>
    <s v="Area 10: N Puget Sound"/>
    <s v="Area 10: N Puget Sound"/>
    <s v="NA"/>
    <x v="3"/>
    <s v="Skagit"/>
    <x v="8"/>
    <s v="North Puget Sound"/>
    <m/>
    <n v="24.725360954174501"/>
    <n v="46.404072504708097"/>
  </r>
  <r>
    <n v="1100"/>
    <x v="3"/>
    <s v="Marine"/>
    <x v="0"/>
    <x v="0"/>
    <n v="10"/>
    <s v="Area 10: N Puget Sound"/>
    <s v="Area 10: N Puget Sound"/>
    <s v="NA"/>
    <x v="3"/>
    <s v="Snohomish"/>
    <x v="9"/>
    <s v="North Puget Sound"/>
    <m/>
    <n v="3580.2322661644698"/>
    <n v="6719.30969868174"/>
  </r>
  <r>
    <n v="1105"/>
    <x v="3"/>
    <s v="Marine"/>
    <x v="0"/>
    <x v="0"/>
    <n v="10"/>
    <s v="Area 10: N Puget Sound"/>
    <s v="Area 10: N Puget Sound"/>
    <s v="NA"/>
    <x v="3"/>
    <s v="Thurston"/>
    <x v="10"/>
    <s v="South Puget Sound"/>
    <m/>
    <n v="44.505649717514103"/>
    <n v="83.527330508474606"/>
  </r>
  <r>
    <n v="1024"/>
    <x v="3"/>
    <s v="Marine"/>
    <x v="0"/>
    <x v="0"/>
    <n v="10"/>
    <s v="Area 10: N Puget Sound"/>
    <s v="Area 10: N Puget Sound"/>
    <s v="NA"/>
    <x v="3"/>
    <s v="Whatcom"/>
    <x v="11"/>
    <s v="North Puget Sound"/>
    <m/>
    <n v="24.725360954174501"/>
    <n v="46.404072504708097"/>
  </r>
  <r>
    <n v="1189"/>
    <x v="3"/>
    <s v="Marine"/>
    <x v="0"/>
    <x v="0"/>
    <n v="11"/>
    <s v="Area 11: Mid-Puget Sound"/>
    <s v="Area 11: Mid-Puget Sound"/>
    <s v="NA"/>
    <x v="3"/>
    <s v="Clallam"/>
    <x v="0"/>
    <s v="Strait of Juan de Fuca"/>
    <m/>
    <n v="11.9892224788299"/>
    <n v="53.643926096997703"/>
  </r>
  <r>
    <n v="1113"/>
    <x v="3"/>
    <s v="Marine"/>
    <x v="0"/>
    <x v="0"/>
    <n v="11"/>
    <s v="Area 11: Mid-Puget Sound"/>
    <s v="Area 11: Mid-Puget Sound"/>
    <s v="NA"/>
    <x v="3"/>
    <s v="Island"/>
    <x v="1"/>
    <s v="North Puget Sound"/>
    <m/>
    <n v="3.9964074929432898"/>
    <n v="17.881308698999199"/>
  </r>
  <r>
    <n v="1114"/>
    <x v="3"/>
    <s v="Marine"/>
    <x v="0"/>
    <x v="0"/>
    <n v="11"/>
    <s v="Area 11: Mid-Puget Sound"/>
    <s v="Area 11: Mid-Puget Sound"/>
    <s v="NA"/>
    <x v="3"/>
    <s v="King"/>
    <x v="3"/>
    <s v="South Puget Sound"/>
    <m/>
    <n v="7521.23890171927"/>
    <n v="33652.622971516597"/>
  </r>
  <r>
    <n v="1188"/>
    <x v="3"/>
    <s v="Marine"/>
    <x v="0"/>
    <x v="0"/>
    <n v="11"/>
    <s v="Area 11: Mid-Puget Sound"/>
    <s v="Area 11: Mid-Puget Sound"/>
    <s v="NA"/>
    <x v="3"/>
    <s v="Kitsap"/>
    <x v="4"/>
    <s v="South Puget Sound"/>
    <m/>
    <n v="455.59045419553502"/>
    <n v="2038.4691916859099"/>
  </r>
  <r>
    <n v="1187"/>
    <x v="3"/>
    <s v="Marine"/>
    <x v="0"/>
    <x v="0"/>
    <n v="11"/>
    <s v="Area 11: Mid-Puget Sound"/>
    <s v="Area 11: Mid-Puget Sound"/>
    <s v="NA"/>
    <x v="3"/>
    <s v="Mason"/>
    <x v="5"/>
    <s v="South Puget Sound"/>
    <m/>
    <n v="51.953297408262799"/>
    <n v="232.45701308699"/>
  </r>
  <r>
    <n v="1190"/>
    <x v="3"/>
    <s v="Marine"/>
    <x v="0"/>
    <x v="0"/>
    <n v="11"/>
    <s v="Area 11: Mid-Puget Sound"/>
    <s v="Area 11: Mid-Puget Sound"/>
    <s v="NA"/>
    <x v="3"/>
    <s v="Other"/>
    <x v="6"/>
    <s v="Non Puget Sound"/>
    <m/>
    <n v="679.38927380035898"/>
    <n v="3039.8224788298699"/>
  </r>
  <r>
    <n v="1115"/>
    <x v="3"/>
    <s v="Marine"/>
    <x v="0"/>
    <x v="0"/>
    <n v="11"/>
    <s v="Area 11: Mid-Puget Sound"/>
    <s v="Area 11: Mid-Puget Sound"/>
    <s v="NA"/>
    <x v="3"/>
    <s v="Pierce"/>
    <x v="7"/>
    <s v="South Puget Sound"/>
    <m/>
    <n v="6182.4423915832704"/>
    <n v="27662.384557351801"/>
  </r>
  <r>
    <n v="1111"/>
    <x v="3"/>
    <s v="Marine"/>
    <x v="0"/>
    <x v="0"/>
    <n v="11"/>
    <s v="Area 11: Mid-Puget Sound"/>
    <s v="Area 11: Mid-Puget Sound"/>
    <s v="NA"/>
    <x v="3"/>
    <s v="Skagit"/>
    <x v="8"/>
    <s v="North Puget Sound"/>
    <m/>
    <n v="55.949704901206097"/>
    <n v="250.338321785989"/>
  </r>
  <r>
    <n v="1112"/>
    <x v="3"/>
    <s v="Marine"/>
    <x v="0"/>
    <x v="0"/>
    <n v="11"/>
    <s v="Area 11: Mid-Puget Sound"/>
    <s v="Area 11: Mid-Puget Sound"/>
    <s v="NA"/>
    <x v="3"/>
    <s v="Snohomish"/>
    <x v="9"/>
    <s v="North Puget Sound"/>
    <m/>
    <n v="139.87426225301499"/>
    <n v="625.84580446497296"/>
  </r>
  <r>
    <n v="1186"/>
    <x v="3"/>
    <s v="Marine"/>
    <x v="0"/>
    <x v="0"/>
    <n v="11"/>
    <s v="Area 11: Mid-Puget Sound"/>
    <s v="Area 11: Mid-Puget Sound"/>
    <s v="NA"/>
    <x v="3"/>
    <s v="Thurston"/>
    <x v="10"/>
    <s v="South Puget Sound"/>
    <m/>
    <n v="471.57608416730801"/>
    <n v="2109.9944264819101"/>
  </r>
  <r>
    <n v="422"/>
    <x v="3"/>
    <s v="Marine"/>
    <x v="0"/>
    <x v="0"/>
    <n v="12"/>
    <s v="Area 12: Hood Canal"/>
    <s v="Area 12: Hood Canal"/>
    <s v="NA"/>
    <x v="4"/>
    <s v="Clallam"/>
    <x v="0"/>
    <s v="Strait of Juan de Fuca"/>
    <m/>
    <n v="357.08651911468797"/>
    <n v="1489.2252716297801"/>
  </r>
  <r>
    <n v="423"/>
    <x v="3"/>
    <s v="Marine"/>
    <x v="0"/>
    <x v="0"/>
    <n v="12"/>
    <s v="Area 12: Hood Canal"/>
    <s v="Area 12: Hood Canal"/>
    <s v="NA"/>
    <x v="4"/>
    <s v="Jefferson"/>
    <x v="2"/>
    <s v="Strait of Juan de Fuca"/>
    <m/>
    <n v="747.64989939637803"/>
    <n v="3118.0654124748498"/>
  </r>
  <r>
    <n v="315"/>
    <x v="3"/>
    <s v="Marine"/>
    <x v="0"/>
    <x v="0"/>
    <n v="12"/>
    <s v="Area 12: Hood Canal"/>
    <s v="Area 12: Hood Canal"/>
    <s v="NA"/>
    <x v="4"/>
    <s v="King"/>
    <x v="3"/>
    <s v="South Puget Sound"/>
    <m/>
    <n v="875.97786720321994"/>
    <n v="3653.2557444668"/>
  </r>
  <r>
    <n v="421"/>
    <x v="3"/>
    <s v="Marine"/>
    <x v="0"/>
    <x v="0"/>
    <n v="12"/>
    <s v="Area 12: Hood Canal"/>
    <s v="Area 12: Hood Canal"/>
    <s v="NA"/>
    <x v="4"/>
    <s v="Kitsap"/>
    <x v="4"/>
    <s v="South Puget Sound"/>
    <m/>
    <n v="686.27565392354097"/>
    <n v="2862.1048189134799"/>
  </r>
  <r>
    <n v="420"/>
    <x v="3"/>
    <s v="Marine"/>
    <x v="0"/>
    <x v="0"/>
    <n v="12"/>
    <s v="Area 12: Hood Canal"/>
    <s v="Area 12: Hood Canal"/>
    <s v="NA"/>
    <x v="4"/>
    <s v="Mason"/>
    <x v="5"/>
    <s v="South Puget Sound"/>
    <m/>
    <n v="892.71629778672104"/>
    <n v="3723.0631790744501"/>
  </r>
  <r>
    <n v="424"/>
    <x v="3"/>
    <s v="Marine"/>
    <x v="0"/>
    <x v="0"/>
    <n v="12"/>
    <s v="Area 12: Hood Canal"/>
    <s v="Area 12: Hood Canal"/>
    <s v="NA"/>
    <x v="4"/>
    <s v="Other"/>
    <x v="6"/>
    <s v="Non Puget Sound"/>
    <m/>
    <n v="485.41448692152898"/>
    <n v="2024.41560362173"/>
  </r>
  <r>
    <n v="316"/>
    <x v="3"/>
    <s v="Marine"/>
    <x v="0"/>
    <x v="0"/>
    <n v="12"/>
    <s v="Area 12: Hood Canal"/>
    <s v="Area 12: Hood Canal"/>
    <s v="NA"/>
    <x v="4"/>
    <s v="Pierce"/>
    <x v="7"/>
    <s v="South Puget Sound"/>
    <m/>
    <n v="675.11670020120698"/>
    <n v="2815.5665291750502"/>
  </r>
  <r>
    <n v="314"/>
    <x v="3"/>
    <s v="Marine"/>
    <x v="0"/>
    <x v="0"/>
    <n v="12"/>
    <s v="Area 12: Hood Canal"/>
    <s v="Area 12: Hood Canal"/>
    <s v="NA"/>
    <x v="4"/>
    <s v="Snohomish"/>
    <x v="9"/>
    <s v="North Puget Sound"/>
    <m/>
    <n v="27.897384305835001"/>
    <n v="116.345724346076"/>
  </r>
  <r>
    <n v="419"/>
    <x v="3"/>
    <s v="Marine"/>
    <x v="0"/>
    <x v="0"/>
    <n v="12"/>
    <s v="Area 12: Hood Canal"/>
    <s v="Area 12: Hood Canal"/>
    <s v="NA"/>
    <x v="4"/>
    <s v="Thurston"/>
    <x v="10"/>
    <s v="South Puget Sound"/>
    <m/>
    <n v="797.86519114688201"/>
    <n v="3327.48771629779"/>
  </r>
  <r>
    <n v="1198"/>
    <x v="3"/>
    <s v="Marine"/>
    <x v="0"/>
    <x v="0"/>
    <n v="13"/>
    <s v="Area 13: S Puget Sound"/>
    <s v="Area 13: S Puget Sound"/>
    <s v="NA"/>
    <x v="3"/>
    <s v="Clallam"/>
    <x v="0"/>
    <s v="Strait of Juan de Fuca"/>
    <m/>
    <n v="11.0420841683367"/>
    <n v="109.225170340681"/>
  </r>
  <r>
    <n v="1193"/>
    <x v="3"/>
    <s v="Marine"/>
    <x v="0"/>
    <x v="0"/>
    <n v="13"/>
    <s v="Area 13: S Puget Sound"/>
    <s v="Area 13: S Puget Sound"/>
    <s v="NA"/>
    <x v="3"/>
    <s v="King"/>
    <x v="3"/>
    <s v="South Puget Sound"/>
    <m/>
    <n v="198.75751503006001"/>
    <n v="1966.05306613227"/>
  </r>
  <r>
    <n v="1197"/>
    <x v="3"/>
    <s v="Marine"/>
    <x v="0"/>
    <x v="0"/>
    <n v="13"/>
    <s v="Area 13: S Puget Sound"/>
    <s v="Area 13: S Puget Sound"/>
    <s v="NA"/>
    <x v="3"/>
    <s v="Kitsap"/>
    <x v="4"/>
    <s v="South Puget Sound"/>
    <m/>
    <n v="27.605210420841701"/>
    <n v="273.06292585170303"/>
  </r>
  <r>
    <n v="1196"/>
    <x v="3"/>
    <s v="Marine"/>
    <x v="0"/>
    <x v="0"/>
    <n v="13"/>
    <s v="Area 13: S Puget Sound"/>
    <s v="Area 13: S Puget Sound"/>
    <s v="NA"/>
    <x v="3"/>
    <s v="Mason"/>
    <x v="5"/>
    <s v="South Puget Sound"/>
    <m/>
    <n v="397.51503006012001"/>
    <n v="3932.1061322645301"/>
  </r>
  <r>
    <n v="1199"/>
    <x v="3"/>
    <s v="Marine"/>
    <x v="0"/>
    <x v="0"/>
    <n v="13"/>
    <s v="Area 13: S Puget Sound"/>
    <s v="Area 13: S Puget Sound"/>
    <s v="NA"/>
    <x v="3"/>
    <s v="Other"/>
    <x v="6"/>
    <s v="Non Puget Sound"/>
    <m/>
    <n v="187.71543086172301"/>
    <n v="1856.82789579158"/>
  </r>
  <r>
    <n v="1194"/>
    <x v="3"/>
    <s v="Marine"/>
    <x v="0"/>
    <x v="0"/>
    <n v="13"/>
    <s v="Area 13: S Puget Sound"/>
    <s v="Area 13: S Puget Sound"/>
    <s v="NA"/>
    <x v="3"/>
    <s v="Pierce"/>
    <x v="7"/>
    <s v="South Puget Sound"/>
    <m/>
    <n v="922.01402805611201"/>
    <n v="9120.3017234469007"/>
  </r>
  <r>
    <n v="1191"/>
    <x v="3"/>
    <s v="Marine"/>
    <x v="0"/>
    <x v="0"/>
    <n v="13"/>
    <s v="Area 13: S Puget Sound"/>
    <s v="Area 13: S Puget Sound"/>
    <s v="NA"/>
    <x v="3"/>
    <s v="Skagit"/>
    <x v="8"/>
    <s v="North Puget Sound"/>
    <m/>
    <n v="16.563126252505"/>
    <n v="163.83775551102201"/>
  </r>
  <r>
    <n v="1192"/>
    <x v="3"/>
    <s v="Marine"/>
    <x v="0"/>
    <x v="0"/>
    <n v="13"/>
    <s v="Area 13: S Puget Sound"/>
    <s v="Area 13: S Puget Sound"/>
    <s v="NA"/>
    <x v="3"/>
    <s v="Snohomish"/>
    <x v="9"/>
    <s v="North Puget Sound"/>
    <m/>
    <n v="27.605210420841701"/>
    <n v="273.06292585170303"/>
  </r>
  <r>
    <n v="1195"/>
    <x v="3"/>
    <s v="Marine"/>
    <x v="0"/>
    <x v="0"/>
    <n v="13"/>
    <s v="Area 13: S Puget Sound"/>
    <s v="Area 13: S Puget Sound"/>
    <s v="NA"/>
    <x v="3"/>
    <s v="Thurston"/>
    <x v="10"/>
    <s v="South Puget Sound"/>
    <m/>
    <n v="966.18236472945898"/>
    <n v="9557.2024048096191"/>
  </r>
  <r>
    <n v="3215"/>
    <x v="3"/>
    <s v="Marine"/>
    <x v="0"/>
    <x v="0"/>
    <d v="2023-08-01T00:00:00"/>
    <s v="Area 8-1: Skagit Bay-Saratoga Psg."/>
    <s v="Area 8-1: Skagit Bay-Saratoga Psg."/>
    <s v="NA"/>
    <x v="2"/>
    <s v="Clallam"/>
    <x v="0"/>
    <s v="Strait of Juan de Fuca"/>
    <m/>
    <n v="5.3348982785602503"/>
    <n v="9.5268648930620792"/>
  </r>
  <r>
    <n v="3111"/>
    <x v="3"/>
    <s v="Marine"/>
    <x v="0"/>
    <x v="0"/>
    <d v="2023-08-01T00:00:00"/>
    <s v="Area 8-1: Skagit Bay-Saratoga Psg."/>
    <s v="Area 8-1: Skagit Bay-Saratoga Psg."/>
    <s v="NA"/>
    <x v="2"/>
    <s v="Island"/>
    <x v="1"/>
    <s v="North Puget Sound"/>
    <m/>
    <n v="4118.5414710485102"/>
    <n v="7354.7396974439198"/>
  </r>
  <r>
    <n v="3113"/>
    <x v="3"/>
    <s v="Marine"/>
    <x v="0"/>
    <x v="0"/>
    <d v="2023-08-01T00:00:00"/>
    <s v="Area 8-1: Skagit Bay-Saratoga Psg."/>
    <s v="Area 8-1: Skagit Bay-Saratoga Psg."/>
    <s v="NA"/>
    <x v="2"/>
    <s v="King"/>
    <x v="3"/>
    <s v="South Puget Sound"/>
    <m/>
    <n v="714.87636932707403"/>
    <n v="1276.5998956703199"/>
  </r>
  <r>
    <n v="3214"/>
    <x v="3"/>
    <s v="Marine"/>
    <x v="0"/>
    <x v="0"/>
    <d v="2023-08-01T00:00:00"/>
    <s v="Area 8-1: Skagit Bay-Saratoga Psg."/>
    <s v="Area 8-1: Skagit Bay-Saratoga Psg."/>
    <s v="NA"/>
    <x v="2"/>
    <s v="Kitsap"/>
    <x v="4"/>
    <s v="South Puget Sound"/>
    <m/>
    <n v="42.679186228482003"/>
    <n v="76.214919144496605"/>
  </r>
  <r>
    <n v="3221"/>
    <x v="3"/>
    <s v="Marine"/>
    <x v="0"/>
    <x v="0"/>
    <d v="2023-08-01T00:00:00"/>
    <s v="Area 8-1: Skagit Bay-Saratoga Psg."/>
    <s v="Area 8-1: Skagit Bay-Saratoga Psg."/>
    <s v="NA"/>
    <x v="2"/>
    <s v="Other"/>
    <x v="6"/>
    <s v="Non Puget Sound"/>
    <m/>
    <n v="1168.3427230047"/>
    <n v="2086.3834115805998"/>
  </r>
  <r>
    <n v="3114"/>
    <x v="3"/>
    <s v="Marine"/>
    <x v="0"/>
    <x v="0"/>
    <d v="2023-08-01T00:00:00"/>
    <s v="Area 8-1: Skagit Bay-Saratoga Psg."/>
    <s v="Area 8-1: Skagit Bay-Saratoga Psg."/>
    <s v="NA"/>
    <x v="2"/>
    <s v="Pierce"/>
    <x v="7"/>
    <s v="South Puget Sound"/>
    <m/>
    <n v="85.358372456964005"/>
    <n v="152.42983828899301"/>
  </r>
  <r>
    <n v="3112"/>
    <x v="3"/>
    <s v="Marine"/>
    <x v="0"/>
    <x v="0"/>
    <d v="2023-08-01T00:00:00"/>
    <s v="Area 8-1: Skagit Bay-Saratoga Psg."/>
    <s v="Area 8-1: Skagit Bay-Saratoga Psg."/>
    <s v="NA"/>
    <x v="2"/>
    <s v="San Juan"/>
    <x v="12"/>
    <s v="North Puget Sound"/>
    <m/>
    <n v="5.3348982785602503"/>
    <n v="9.5268648930620792"/>
  </r>
  <r>
    <n v="3109"/>
    <x v="3"/>
    <s v="Marine"/>
    <x v="0"/>
    <x v="0"/>
    <d v="2023-08-01T00:00:00"/>
    <s v="Area 8-1: Skagit Bay-Saratoga Psg."/>
    <s v="Area 8-1: Skagit Bay-Saratoga Psg."/>
    <s v="NA"/>
    <x v="2"/>
    <s v="Skagit"/>
    <x v="8"/>
    <s v="North Puget Sound"/>
    <m/>
    <n v="2101.94992175274"/>
    <n v="3753.58476786646"/>
  </r>
  <r>
    <n v="3110"/>
    <x v="3"/>
    <s v="Marine"/>
    <x v="0"/>
    <x v="0"/>
    <d v="2023-08-01T00:00:00"/>
    <s v="Area 8-1: Skagit Bay-Saratoga Psg."/>
    <s v="Area 8-1: Skagit Bay-Saratoga Psg."/>
    <s v="NA"/>
    <x v="2"/>
    <s v="Snohomish"/>
    <x v="9"/>
    <s v="North Puget Sound"/>
    <m/>
    <n v="1557.7902973395901"/>
    <n v="2781.8445487741301"/>
  </r>
  <r>
    <n v="3213"/>
    <x v="3"/>
    <s v="Marine"/>
    <x v="0"/>
    <x v="0"/>
    <d v="2023-08-01T00:00:00"/>
    <s v="Area 8-1: Skagit Bay-Saratoga Psg."/>
    <s v="Area 8-1: Skagit Bay-Saratoga Psg."/>
    <s v="NA"/>
    <x v="2"/>
    <s v="Thurston"/>
    <x v="10"/>
    <s v="South Puget Sound"/>
    <m/>
    <n v="42.679186228482003"/>
    <n v="76.214919144496605"/>
  </r>
  <r>
    <n v="3108"/>
    <x v="3"/>
    <s v="Marine"/>
    <x v="0"/>
    <x v="0"/>
    <d v="2023-08-01T00:00:00"/>
    <s v="Area 8-1: Skagit Bay-Saratoga Psg."/>
    <s v="Area 8-1: Skagit Bay-Saratoga Psg."/>
    <s v="NA"/>
    <x v="2"/>
    <s v="Whatcom"/>
    <x v="11"/>
    <s v="North Puget Sound"/>
    <m/>
    <n v="384.11267605633799"/>
    <n v="685.93427230046996"/>
  </r>
  <r>
    <n v="3318"/>
    <x v="3"/>
    <s v="Marine"/>
    <x v="0"/>
    <x v="0"/>
    <d v="2023-08-02T00:00:00"/>
    <s v="Area 8-2: Port Susan-Port Gardner"/>
    <s v="Area 8-2: Port Susan-Port Gardner"/>
    <s v="NA"/>
    <x v="2"/>
    <s v="Clallam"/>
    <x v="0"/>
    <s v="Strait of Juan de Fuca"/>
    <m/>
    <n v="32.446105919003102"/>
    <n v="49.215115264797497"/>
  </r>
  <r>
    <n v="3225"/>
    <x v="3"/>
    <s v="Marine"/>
    <x v="0"/>
    <x v="0"/>
    <d v="2023-08-02T00:00:00"/>
    <s v="Area 8-2: Port Susan-Port Gardner"/>
    <s v="Area 8-2: Port Susan-Port Gardner"/>
    <s v="NA"/>
    <x v="2"/>
    <s v="Island"/>
    <x v="1"/>
    <s v="North Puget Sound"/>
    <m/>
    <n v="1643.93603322949"/>
    <n v="2493.5658400830698"/>
  </r>
  <r>
    <n v="3319"/>
    <x v="3"/>
    <s v="Marine"/>
    <x v="0"/>
    <x v="0"/>
    <d v="2023-08-02T00:00:00"/>
    <s v="Area 8-2: Port Susan-Port Gardner"/>
    <s v="Area 8-2: Port Susan-Port Gardner"/>
    <s v="NA"/>
    <x v="2"/>
    <s v="Jefferson"/>
    <x v="2"/>
    <s v="Strait of Juan de Fuca"/>
    <m/>
    <n v="21.630737279335399"/>
    <n v="32.810076843198303"/>
  </r>
  <r>
    <n v="3226"/>
    <x v="3"/>
    <s v="Marine"/>
    <x v="0"/>
    <x v="0"/>
    <d v="2023-08-02T00:00:00"/>
    <s v="Area 8-2: Port Susan-Port Gardner"/>
    <s v="Area 8-2: Port Susan-Port Gardner"/>
    <s v="NA"/>
    <x v="2"/>
    <s v="King"/>
    <x v="3"/>
    <s v="South Puget Sound"/>
    <m/>
    <n v="3439.2872274143301"/>
    <n v="5216.8022180685402"/>
  </r>
  <r>
    <n v="3314"/>
    <x v="3"/>
    <s v="Marine"/>
    <x v="0"/>
    <x v="0"/>
    <d v="2023-08-02T00:00:00"/>
    <s v="Area 8-2: Port Susan-Port Gardner"/>
    <s v="Area 8-2: Port Susan-Port Gardner"/>
    <s v="NA"/>
    <x v="2"/>
    <s v="Kitsap"/>
    <x v="4"/>
    <s v="South Puget Sound"/>
    <m/>
    <n v="64.892211838006304"/>
    <n v="98.430230529594994"/>
  </r>
  <r>
    <n v="3313"/>
    <x v="3"/>
    <s v="Marine"/>
    <x v="0"/>
    <x v="0"/>
    <d v="2023-08-02T00:00:00"/>
    <s v="Area 8-2: Port Susan-Port Gardner"/>
    <s v="Area 8-2: Port Susan-Port Gardner"/>
    <s v="NA"/>
    <x v="2"/>
    <s v="Mason"/>
    <x v="5"/>
    <s v="South Puget Sound"/>
    <m/>
    <n v="37.853790238837"/>
    <n v="57.417634475597097"/>
  </r>
  <r>
    <n v="3320"/>
    <x v="3"/>
    <s v="Marine"/>
    <x v="0"/>
    <x v="0"/>
    <d v="2023-08-02T00:00:00"/>
    <s v="Area 8-2: Port Susan-Port Gardner"/>
    <s v="Area 8-2: Port Susan-Port Gardner"/>
    <s v="NA"/>
    <x v="2"/>
    <s v="Other"/>
    <x v="6"/>
    <s v="Non Puget Sound"/>
    <m/>
    <n v="1892.68951194185"/>
    <n v="2870.8817237798498"/>
  </r>
  <r>
    <n v="3311"/>
    <x v="3"/>
    <s v="Marine"/>
    <x v="0"/>
    <x v="0"/>
    <d v="2023-08-02T00:00:00"/>
    <s v="Area 8-2: Port Susan-Port Gardner"/>
    <s v="Area 8-2: Port Susan-Port Gardner"/>
    <s v="NA"/>
    <x v="2"/>
    <s v="Pierce"/>
    <x v="7"/>
    <s v="South Puget Sound"/>
    <m/>
    <n v="178.453582554517"/>
    <n v="270.68313395638597"/>
  </r>
  <r>
    <n v="3223"/>
    <x v="3"/>
    <s v="Marine"/>
    <x v="0"/>
    <x v="0"/>
    <d v="2023-08-02T00:00:00"/>
    <s v="Area 8-2: Port Susan-Port Gardner"/>
    <s v="Area 8-2: Port Susan-Port Gardner"/>
    <s v="NA"/>
    <x v="2"/>
    <s v="Skagit"/>
    <x v="8"/>
    <s v="North Puget Sound"/>
    <m/>
    <n v="270.384215991693"/>
    <n v="410.12596053997902"/>
  </r>
  <r>
    <n v="3224"/>
    <x v="3"/>
    <s v="Marine"/>
    <x v="0"/>
    <x v="0"/>
    <d v="2023-08-02T00:00:00"/>
    <s v="Area 8-2: Port Susan-Port Gardner"/>
    <s v="Area 8-2: Port Susan-Port Gardner"/>
    <s v="NA"/>
    <x v="2"/>
    <s v="Snohomish"/>
    <x v="9"/>
    <s v="North Puget Sound"/>
    <m/>
    <n v="18137.3732087227"/>
    <n v="27511.2494330218"/>
  </r>
  <r>
    <n v="3312"/>
    <x v="3"/>
    <s v="Marine"/>
    <x v="0"/>
    <x v="0"/>
    <d v="2023-08-02T00:00:00"/>
    <s v="Area 8-2: Port Susan-Port Gardner"/>
    <s v="Area 8-2: Port Susan-Port Gardner"/>
    <s v="NA"/>
    <x v="2"/>
    <s v="Thurston"/>
    <x v="10"/>
    <s v="South Puget Sound"/>
    <m/>
    <n v="91.930633437175501"/>
    <n v="139.44282658359299"/>
  </r>
  <r>
    <n v="3222"/>
    <x v="3"/>
    <s v="Marine"/>
    <x v="0"/>
    <x v="0"/>
    <d v="2023-08-02T00:00:00"/>
    <s v="Area 8-2: Port Susan-Port Gardner"/>
    <s v="Area 8-2: Port Susan-Port Gardner"/>
    <s v="NA"/>
    <x v="2"/>
    <s v="Whatcom"/>
    <x v="11"/>
    <s v="North Puget Sound"/>
    <m/>
    <n v="227.12274143302199"/>
    <n v="344.50580685358301"/>
  </r>
  <r>
    <n v="1839"/>
    <x v="4"/>
    <s v="Marine"/>
    <x v="0"/>
    <x v="0"/>
    <n v="5"/>
    <s v="Area 5: W Juan de Fuca"/>
    <s v="Area 5: W Juan de Fuca"/>
    <s v="NA"/>
    <x v="0"/>
    <s v="Clallam"/>
    <x v="0"/>
    <s v="Strait of Juan de Fuca"/>
    <m/>
    <n v="5520.9171290495797"/>
    <n v="6360.8597440486901"/>
  </r>
  <r>
    <n v="1824"/>
    <x v="4"/>
    <s v="Marine"/>
    <x v="0"/>
    <x v="0"/>
    <n v="5"/>
    <s v="Area 5: W Juan de Fuca"/>
    <s v="Area 5: W Juan de Fuca"/>
    <s v="NA"/>
    <x v="0"/>
    <s v="Island"/>
    <x v="1"/>
    <s v="North Puget Sound"/>
    <m/>
    <n v="549.25076069446902"/>
    <n v="632.81280472525498"/>
  </r>
  <r>
    <n v="1840"/>
    <x v="4"/>
    <s v="Marine"/>
    <x v="0"/>
    <x v="0"/>
    <n v="5"/>
    <s v="Area 5: W Juan de Fuca"/>
    <s v="Area 5: W Juan de Fuca"/>
    <s v="NA"/>
    <x v="0"/>
    <s v="Jefferson"/>
    <x v="2"/>
    <s v="Strait of Juan de Fuca"/>
    <m/>
    <n v="994.33327367102197"/>
    <n v="1145.60938786469"/>
  </r>
  <r>
    <n v="1825"/>
    <x v="4"/>
    <s v="Marine"/>
    <x v="0"/>
    <x v="0"/>
    <n v="5"/>
    <s v="Area 5: W Juan de Fuca"/>
    <s v="Area 5: W Juan de Fuca"/>
    <s v="NA"/>
    <x v="0"/>
    <s v="King"/>
    <x v="3"/>
    <s v="South Puget Sound"/>
    <m/>
    <n v="8835.3613746196606"/>
    <n v="10179.5577035976"/>
  </r>
  <r>
    <n v="1838"/>
    <x v="4"/>
    <s v="Marine"/>
    <x v="0"/>
    <x v="0"/>
    <n v="5"/>
    <s v="Area 5: W Juan de Fuca"/>
    <s v="Area 5: W Juan de Fuca"/>
    <s v="NA"/>
    <x v="0"/>
    <s v="Kitsap"/>
    <x v="4"/>
    <s v="South Puget Sound"/>
    <m/>
    <n v="5520.9171290495797"/>
    <n v="6360.8597440486901"/>
  </r>
  <r>
    <n v="1828"/>
    <x v="4"/>
    <s v="Marine"/>
    <x v="0"/>
    <x v="0"/>
    <n v="5"/>
    <s v="Area 5: W Juan de Fuca"/>
    <s v="Area 5: W Juan de Fuca"/>
    <s v="NA"/>
    <x v="0"/>
    <s v="Mason"/>
    <x v="5"/>
    <s v="South Puget Sound"/>
    <m/>
    <n v="1988.6665473420401"/>
    <n v="2291.21877572937"/>
  </r>
  <r>
    <n v="1841"/>
    <x v="4"/>
    <s v="Marine"/>
    <x v="0"/>
    <x v="0"/>
    <n v="5"/>
    <s v="Area 5: W Juan de Fuca"/>
    <s v="Area 5: W Juan de Fuca"/>
    <s v="NA"/>
    <x v="0"/>
    <s v="Other"/>
    <x v="6"/>
    <s v="Non Puget Sound"/>
    <m/>
    <n v="12074.046894576701"/>
    <n v="13910.971138356899"/>
  </r>
  <r>
    <n v="1826"/>
    <x v="4"/>
    <s v="Marine"/>
    <x v="0"/>
    <x v="0"/>
    <n v="5"/>
    <s v="Area 5: W Juan de Fuca"/>
    <s v="Area 5: W Juan de Fuca"/>
    <s v="NA"/>
    <x v="0"/>
    <s v="Pierce"/>
    <x v="7"/>
    <s v="South Puget Sound"/>
    <m/>
    <n v="9394.0819760157501"/>
    <n v="10823.2810739216"/>
  </r>
  <r>
    <n v="1822"/>
    <x v="4"/>
    <s v="Marine"/>
    <x v="0"/>
    <x v="0"/>
    <n v="5"/>
    <s v="Area 5: W Juan de Fuca"/>
    <s v="Area 5: W Juan de Fuca"/>
    <s v="NA"/>
    <x v="0"/>
    <s v="Skagit"/>
    <x v="8"/>
    <s v="North Puget Sound"/>
    <m/>
    <n v="577.66028279935597"/>
    <n v="665.54450152138895"/>
  </r>
  <r>
    <n v="1823"/>
    <x v="4"/>
    <s v="Marine"/>
    <x v="0"/>
    <x v="0"/>
    <n v="5"/>
    <s v="Area 5: W Juan de Fuca"/>
    <s v="Area 5: W Juan de Fuca"/>
    <s v="NA"/>
    <x v="0"/>
    <s v="Snohomish"/>
    <x v="9"/>
    <s v="North Puget Sound"/>
    <m/>
    <n v="3276.56488276356"/>
    <n v="3775.05569715411"/>
  </r>
  <r>
    <n v="1827"/>
    <x v="4"/>
    <s v="Marine"/>
    <x v="0"/>
    <x v="0"/>
    <n v="5"/>
    <s v="Area 5: W Juan de Fuca"/>
    <s v="Area 5: W Juan de Fuca"/>
    <s v="NA"/>
    <x v="0"/>
    <s v="Thurston"/>
    <x v="10"/>
    <s v="South Puget Sound"/>
    <m/>
    <n v="3115.5775908358701"/>
    <n v="3589.5760819760199"/>
  </r>
  <r>
    <n v="1821"/>
    <x v="4"/>
    <s v="Marine"/>
    <x v="0"/>
    <x v="0"/>
    <n v="5"/>
    <s v="Area 5: W Juan de Fuca"/>
    <s v="Area 5: W Juan de Fuca"/>
    <s v="NA"/>
    <x v="0"/>
    <s v="Whatcom"/>
    <x v="11"/>
    <s v="North Puget Sound"/>
    <m/>
    <n v="1060.6221585824201"/>
    <n v="1221.98334705567"/>
  </r>
  <r>
    <n v="2000"/>
    <x v="4"/>
    <s v="Marine"/>
    <x v="0"/>
    <x v="0"/>
    <n v="6"/>
    <s v="Area 6: E Juan de Fuca"/>
    <s v="Area 6: E Juan de Fuca"/>
    <s v="NA"/>
    <x v="0"/>
    <s v="Clallam"/>
    <x v="0"/>
    <s v="Strait of Juan de Fuca"/>
    <m/>
    <n v="15400.381260096899"/>
    <n v="24163.159172859501"/>
  </r>
  <r>
    <n v="1986"/>
    <x v="4"/>
    <s v="Marine"/>
    <x v="0"/>
    <x v="0"/>
    <n v="6"/>
    <s v="Area 6: E Juan de Fuca"/>
    <s v="Area 6: E Juan de Fuca"/>
    <s v="NA"/>
    <x v="0"/>
    <s v="Island"/>
    <x v="1"/>
    <s v="North Puget Sound"/>
    <m/>
    <n v="462.85298869143799"/>
    <n v="726.21516639741503"/>
  </r>
  <r>
    <n v="2001"/>
    <x v="4"/>
    <s v="Marine"/>
    <x v="0"/>
    <x v="0"/>
    <n v="6"/>
    <s v="Area 6: E Juan de Fuca"/>
    <s v="Area 6: E Juan de Fuca"/>
    <s v="NA"/>
    <x v="0"/>
    <s v="Jefferson"/>
    <x v="2"/>
    <s v="Strait of Juan de Fuca"/>
    <m/>
    <n v="511.94345718901502"/>
    <n v="803.23798707592903"/>
  </r>
  <r>
    <n v="1988"/>
    <x v="4"/>
    <s v="Marine"/>
    <x v="0"/>
    <x v="0"/>
    <n v="6"/>
    <s v="Area 6: E Juan de Fuca"/>
    <s v="Area 6: E Juan de Fuca"/>
    <s v="NA"/>
    <x v="0"/>
    <s v="King"/>
    <x v="3"/>
    <s v="South Puget Sound"/>
    <m/>
    <n v="981.80936995153502"/>
    <n v="1540.4564135702699"/>
  </r>
  <r>
    <n v="1999"/>
    <x v="4"/>
    <s v="Marine"/>
    <x v="0"/>
    <x v="0"/>
    <n v="6"/>
    <s v="Area 6: E Juan de Fuca"/>
    <s v="Area 6: E Juan de Fuca"/>
    <s v="NA"/>
    <x v="0"/>
    <s v="Kitsap"/>
    <x v="4"/>
    <s v="South Puget Sound"/>
    <m/>
    <n v="1058.95153473344"/>
    <n v="1661.49227463651"/>
  </r>
  <r>
    <n v="1991"/>
    <x v="4"/>
    <s v="Marine"/>
    <x v="0"/>
    <x v="0"/>
    <n v="6"/>
    <s v="Area 6: E Juan de Fuca"/>
    <s v="Area 6: E Juan de Fuca"/>
    <s v="NA"/>
    <x v="0"/>
    <s v="Mason"/>
    <x v="5"/>
    <s v="South Puget Sound"/>
    <m/>
    <n v="56.103392568659103"/>
    <n v="88.026080775444299"/>
  </r>
  <r>
    <n v="2002"/>
    <x v="4"/>
    <s v="Marine"/>
    <x v="0"/>
    <x v="0"/>
    <n v="6"/>
    <s v="Area 6: E Juan de Fuca"/>
    <s v="Area 6: E Juan de Fuca"/>
    <s v="NA"/>
    <x v="0"/>
    <s v="Other"/>
    <x v="6"/>
    <s v="Non Puget Sound"/>
    <m/>
    <n v="1458.68820678514"/>
    <n v="2288.67810016155"/>
  </r>
  <r>
    <n v="1989"/>
    <x v="4"/>
    <s v="Marine"/>
    <x v="0"/>
    <x v="0"/>
    <n v="6"/>
    <s v="Area 6: E Juan de Fuca"/>
    <s v="Area 6: E Juan de Fuca"/>
    <s v="NA"/>
    <x v="0"/>
    <s v="Pierce"/>
    <x v="7"/>
    <s v="South Puget Sound"/>
    <m/>
    <n v="652.20193861066195"/>
    <n v="1023.30318901454"/>
  </r>
  <r>
    <n v="1987"/>
    <x v="4"/>
    <s v="Marine"/>
    <x v="0"/>
    <x v="0"/>
    <n v="6"/>
    <s v="Area 6: E Juan de Fuca"/>
    <s v="Area 6: E Juan de Fuca"/>
    <s v="NA"/>
    <x v="0"/>
    <s v="San Juan"/>
    <x v="12"/>
    <s v="North Puget Sound"/>
    <m/>
    <n v="21.038772213247199"/>
    <n v="33.009780290791603"/>
  </r>
  <r>
    <n v="1843"/>
    <x v="4"/>
    <s v="Marine"/>
    <x v="0"/>
    <x v="0"/>
    <n v="6"/>
    <s v="Area 6: E Juan de Fuca"/>
    <s v="Area 6: E Juan de Fuca"/>
    <s v="NA"/>
    <x v="0"/>
    <s v="Skagit"/>
    <x v="8"/>
    <s v="North Puget Sound"/>
    <m/>
    <n v="392.72374798061401"/>
    <n v="616.18256542811002"/>
  </r>
  <r>
    <n v="1844"/>
    <x v="4"/>
    <s v="Marine"/>
    <x v="0"/>
    <x v="0"/>
    <n v="6"/>
    <s v="Area 6: E Juan de Fuca"/>
    <s v="Area 6: E Juan de Fuca"/>
    <s v="NA"/>
    <x v="0"/>
    <s v="Snohomish"/>
    <x v="9"/>
    <s v="North Puget Sound"/>
    <m/>
    <n v="462.85298869143799"/>
    <n v="726.21516639741503"/>
  </r>
  <r>
    <n v="1990"/>
    <x v="4"/>
    <s v="Marine"/>
    <x v="0"/>
    <x v="0"/>
    <n v="6"/>
    <s v="Area 6: E Juan de Fuca"/>
    <s v="Area 6: E Juan de Fuca"/>
    <s v="NA"/>
    <x v="0"/>
    <s v="Thurston"/>
    <x v="10"/>
    <s v="South Puget Sound"/>
    <m/>
    <n v="182.33602584814199"/>
    <n v="286.08476252019398"/>
  </r>
  <r>
    <n v="1842"/>
    <x v="4"/>
    <s v="Marine"/>
    <x v="0"/>
    <x v="0"/>
    <n v="6"/>
    <s v="Area 6: E Juan de Fuca"/>
    <s v="Area 6: E Juan de Fuca"/>
    <s v="NA"/>
    <x v="0"/>
    <s v="Whatcom"/>
    <x v="11"/>
    <s v="North Puget Sound"/>
    <m/>
    <n v="63.116316639741498"/>
    <n v="99.029340872374803"/>
  </r>
  <r>
    <n v="3315"/>
    <x v="4"/>
    <s v="Marine"/>
    <x v="0"/>
    <x v="0"/>
    <n v="7"/>
    <s v="Area 7: San Juan Islands"/>
    <s v="Area 7: San Juan Islands"/>
    <s v="NA"/>
    <x v="1"/>
    <s v="Clallam"/>
    <x v="0"/>
    <s v="Strait of Juan de Fuca"/>
    <m/>
    <n v="155.356828193833"/>
    <n v="772.95456261799904"/>
  </r>
  <r>
    <n v="3305"/>
    <x v="4"/>
    <s v="Marine"/>
    <x v="0"/>
    <x v="0"/>
    <n v="7"/>
    <s v="Area 7: San Juan Islands"/>
    <s v="Area 7: San Juan Islands"/>
    <s v="NA"/>
    <x v="1"/>
    <s v="Island"/>
    <x v="1"/>
    <s v="North Puget Sound"/>
    <m/>
    <n v="833.27753303964801"/>
    <n v="4145.8471994965403"/>
  </r>
  <r>
    <n v="3316"/>
    <x v="4"/>
    <s v="Marine"/>
    <x v="0"/>
    <x v="0"/>
    <n v="7"/>
    <s v="Area 7: San Juan Islands"/>
    <s v="Area 7: San Juan Islands"/>
    <s v="NA"/>
    <x v="1"/>
    <s v="Jefferson"/>
    <x v="2"/>
    <s v="Strait of Juan de Fuca"/>
    <m/>
    <n v="28.246696035242302"/>
    <n v="140.53719320327301"/>
  </r>
  <r>
    <n v="3307"/>
    <x v="4"/>
    <s v="Marine"/>
    <x v="0"/>
    <x v="0"/>
    <n v="7"/>
    <s v="Area 7: San Juan Islands"/>
    <s v="Area 7: San Juan Islands"/>
    <s v="NA"/>
    <x v="1"/>
    <s v="King"/>
    <x v="3"/>
    <s v="South Puget Sound"/>
    <m/>
    <n v="1228.7312775330399"/>
    <n v="6113.3679043423499"/>
  </r>
  <r>
    <n v="3310"/>
    <x v="4"/>
    <s v="Marine"/>
    <x v="0"/>
    <x v="0"/>
    <n v="7"/>
    <s v="Area 7: San Juan Islands"/>
    <s v="Area 7: San Juan Islands"/>
    <s v="NA"/>
    <x v="1"/>
    <s v="Kitsap"/>
    <x v="4"/>
    <s v="South Puget Sound"/>
    <m/>
    <n v="56.493392070484603"/>
    <n v="281.07438640654499"/>
  </r>
  <r>
    <n v="3317"/>
    <x v="4"/>
    <s v="Marine"/>
    <x v="0"/>
    <x v="0"/>
    <n v="7"/>
    <s v="Area 7: San Juan Islands"/>
    <s v="Area 7: San Juan Islands"/>
    <s v="NA"/>
    <x v="1"/>
    <s v="Other"/>
    <x v="6"/>
    <s v="Non Puget Sound"/>
    <m/>
    <n v="939.20264317180602"/>
    <n v="4672.86167400881"/>
  </r>
  <r>
    <n v="3308"/>
    <x v="4"/>
    <s v="Marine"/>
    <x v="0"/>
    <x v="0"/>
    <n v="7"/>
    <s v="Area 7: San Juan Islands"/>
    <s v="Area 7: San Juan Islands"/>
    <s v="NA"/>
    <x v="1"/>
    <s v="Pierce"/>
    <x v="7"/>
    <s v="South Puget Sound"/>
    <m/>
    <n v="134.171806167401"/>
    <n v="667.55166771554502"/>
  </r>
  <r>
    <n v="3306"/>
    <x v="4"/>
    <s v="Marine"/>
    <x v="0"/>
    <x v="0"/>
    <n v="7"/>
    <s v="Area 7: San Juan Islands"/>
    <s v="Area 7: San Juan Islands"/>
    <s v="NA"/>
    <x v="1"/>
    <s v="San Juan"/>
    <x v="12"/>
    <s v="North Puget Sound"/>
    <m/>
    <n v="1023.94273127753"/>
    <n v="5094.4732536186302"/>
  </r>
  <r>
    <n v="3303"/>
    <x v="4"/>
    <s v="Marine"/>
    <x v="0"/>
    <x v="0"/>
    <n v="7"/>
    <s v="Area 7: San Juan Islands"/>
    <s v="Area 7: San Juan Islands"/>
    <s v="NA"/>
    <x v="1"/>
    <s v="Skagit"/>
    <x v="8"/>
    <s v="North Puget Sound"/>
    <m/>
    <n v="2464.5242290748902"/>
    <n v="12261.8701069855"/>
  </r>
  <r>
    <n v="3304"/>
    <x v="4"/>
    <s v="Marine"/>
    <x v="0"/>
    <x v="0"/>
    <n v="7"/>
    <s v="Area 7: San Juan Islands"/>
    <s v="Area 7: San Juan Islands"/>
    <s v="NA"/>
    <x v="1"/>
    <s v="Snohomish"/>
    <x v="9"/>
    <s v="North Puget Sound"/>
    <m/>
    <n v="1419.39647577093"/>
    <n v="7061.9939584644499"/>
  </r>
  <r>
    <n v="3309"/>
    <x v="4"/>
    <s v="Marine"/>
    <x v="0"/>
    <x v="0"/>
    <n v="7"/>
    <s v="Area 7: San Juan Islands"/>
    <s v="Area 7: San Juan Islands"/>
    <s v="NA"/>
    <x v="1"/>
    <s v="Thurston"/>
    <x v="10"/>
    <s v="South Puget Sound"/>
    <m/>
    <n v="141.233480176211"/>
    <n v="702.68596601636295"/>
  </r>
  <r>
    <n v="3302"/>
    <x v="4"/>
    <s v="Marine"/>
    <x v="0"/>
    <x v="0"/>
    <n v="7"/>
    <s v="Area 7: San Juan Islands"/>
    <s v="Area 7: San Juan Islands"/>
    <s v="NA"/>
    <x v="1"/>
    <s v="Whatcom"/>
    <x v="11"/>
    <s v="North Puget Sound"/>
    <m/>
    <n v="2796.4229074889899"/>
    <n v="13913.182127124001"/>
  </r>
  <r>
    <n v="2537"/>
    <x v="4"/>
    <s v="Marine"/>
    <x v="0"/>
    <x v="0"/>
    <n v="9"/>
    <s v="Area 9: Admiralty Inlet"/>
    <s v="Area 9: Admiralty Inlet"/>
    <s v="NA"/>
    <x v="2"/>
    <s v="Clallam"/>
    <x v="0"/>
    <s v="Strait of Juan de Fuca"/>
    <m/>
    <n v="216.024977043159"/>
    <n v="659.43343250688702"/>
  </r>
  <r>
    <n v="1582"/>
    <x v="4"/>
    <s v="Marine"/>
    <x v="0"/>
    <x v="0"/>
    <n v="9"/>
    <s v="Area 9: Admiralty Inlet"/>
    <s v="Area 9: Admiralty Inlet"/>
    <s v="NA"/>
    <x v="2"/>
    <s v="Island"/>
    <x v="1"/>
    <s v="North Puget Sound"/>
    <m/>
    <n v="6318.7305785123999"/>
    <n v="19288.4279008265"/>
  </r>
  <r>
    <n v="2668"/>
    <x v="4"/>
    <s v="Marine"/>
    <x v="0"/>
    <x v="0"/>
    <n v="9"/>
    <s v="Area 9: Admiralty Inlet"/>
    <s v="Area 9: Admiralty Inlet"/>
    <s v="NA"/>
    <x v="2"/>
    <s v="Jefferson"/>
    <x v="2"/>
    <s v="Strait of Juan de Fuca"/>
    <m/>
    <n v="1525.67640036731"/>
    <n v="4657.2486170798902"/>
  </r>
  <r>
    <n v="1733"/>
    <x v="4"/>
    <s v="Marine"/>
    <x v="0"/>
    <x v="0"/>
    <n v="9"/>
    <s v="Area 9: Admiralty Inlet"/>
    <s v="Area 9: Admiralty Inlet"/>
    <s v="NA"/>
    <x v="2"/>
    <s v="King"/>
    <x v="3"/>
    <s v="South Puget Sound"/>
    <m/>
    <n v="7088.3195592286502"/>
    <n v="21637.6595041322"/>
  </r>
  <r>
    <n v="2313"/>
    <x v="4"/>
    <s v="Marine"/>
    <x v="0"/>
    <x v="0"/>
    <n v="9"/>
    <s v="Area 9: Admiralty Inlet"/>
    <s v="Area 9: Admiralty Inlet"/>
    <s v="NA"/>
    <x v="2"/>
    <s v="Kitsap"/>
    <x v="4"/>
    <s v="South Puget Sound"/>
    <m/>
    <n v="2923.08797061524"/>
    <n v="8922.9586336088196"/>
  </r>
  <r>
    <n v="2203"/>
    <x v="4"/>
    <s v="Marine"/>
    <x v="0"/>
    <x v="0"/>
    <n v="9"/>
    <s v="Area 9: Admiralty Inlet"/>
    <s v="Area 9: Admiralty Inlet"/>
    <s v="NA"/>
    <x v="2"/>
    <s v="Mason"/>
    <x v="5"/>
    <s v="South Puget Sound"/>
    <m/>
    <n v="74.258585858585903"/>
    <n v="226.680242424243"/>
  </r>
  <r>
    <n v="2776"/>
    <x v="4"/>
    <s v="Marine"/>
    <x v="0"/>
    <x v="0"/>
    <n v="9"/>
    <s v="Area 9: Admiralty Inlet"/>
    <s v="Area 9: Admiralty Inlet"/>
    <s v="NA"/>
    <x v="2"/>
    <s v="Other"/>
    <x v="6"/>
    <s v="Non Puget Sound"/>
    <m/>
    <n v="2275.0130394857702"/>
    <n v="6944.6583360881596"/>
  </r>
  <r>
    <n v="2057"/>
    <x v="4"/>
    <s v="Marine"/>
    <x v="0"/>
    <x v="0"/>
    <n v="9"/>
    <s v="Area 9: Admiralty Inlet"/>
    <s v="Area 9: Admiralty Inlet"/>
    <s v="NA"/>
    <x v="2"/>
    <s v="Pierce"/>
    <x v="7"/>
    <s v="South Puget Sound"/>
    <m/>
    <n v="688.57961432506897"/>
    <n v="2101.9440661157"/>
  </r>
  <r>
    <n v="1583"/>
    <x v="4"/>
    <s v="Marine"/>
    <x v="0"/>
    <x v="0"/>
    <n v="9"/>
    <s v="Area 9: Admiralty Inlet"/>
    <s v="Area 9: Admiralty Inlet"/>
    <s v="NA"/>
    <x v="2"/>
    <s v="San Juan"/>
    <x v="12"/>
    <s v="North Puget Sound"/>
    <m/>
    <n v="27.0031221303949"/>
    <n v="82.429179063360905"/>
  </r>
  <r>
    <n v="1261"/>
    <x v="4"/>
    <s v="Marine"/>
    <x v="0"/>
    <x v="0"/>
    <n v="9"/>
    <s v="Area 9: Admiralty Inlet"/>
    <s v="Area 9: Admiralty Inlet"/>
    <s v="NA"/>
    <x v="2"/>
    <s v="Skagit"/>
    <x v="8"/>
    <s v="North Puget Sound"/>
    <m/>
    <n v="729.08429752066104"/>
    <n v="2225.58783471074"/>
  </r>
  <r>
    <n v="1262"/>
    <x v="4"/>
    <s v="Marine"/>
    <x v="0"/>
    <x v="0"/>
    <n v="9"/>
    <s v="Area 9: Admiralty Inlet"/>
    <s v="Area 9: Admiralty Inlet"/>
    <s v="NA"/>
    <x v="2"/>
    <s v="Snohomish"/>
    <x v="9"/>
    <s v="North Puget Sound"/>
    <m/>
    <n v="14338.657851239701"/>
    <n v="43769.894082644598"/>
  </r>
  <r>
    <n v="2202"/>
    <x v="4"/>
    <s v="Marine"/>
    <x v="0"/>
    <x v="0"/>
    <n v="9"/>
    <s v="Area 9: Admiralty Inlet"/>
    <s v="Area 9: Admiralty Inlet"/>
    <s v="NA"/>
    <x v="2"/>
    <s v="Thurston"/>
    <x v="10"/>
    <s v="South Puget Sound"/>
    <m/>
    <n v="182.271074380165"/>
    <n v="556.39695867768603"/>
  </r>
  <r>
    <n v="3714"/>
    <x v="4"/>
    <s v="Marine"/>
    <x v="0"/>
    <x v="0"/>
    <n v="9"/>
    <s v="Area 9: Admiralty Inlet"/>
    <s v="Area 9: Admiralty Inlet"/>
    <s v="NA"/>
    <x v="2"/>
    <s v="Whatcom"/>
    <x v="11"/>
    <s v="North Puget Sound"/>
    <m/>
    <n v="371.29292929292899"/>
    <n v="1133.4012121212099"/>
  </r>
  <r>
    <n v="1208"/>
    <x v="4"/>
    <s v="Marine"/>
    <x v="0"/>
    <x v="0"/>
    <n v="10"/>
    <s v="Area 10: N Puget Sound"/>
    <s v="Area 10: N Puget Sound"/>
    <s v="NA"/>
    <x v="3"/>
    <s v="Clallam"/>
    <x v="0"/>
    <s v="Strait of Juan de Fuca"/>
    <m/>
    <n v="6.8149587178241902"/>
    <n v="23.973428848955798"/>
  </r>
  <r>
    <n v="1202"/>
    <x v="4"/>
    <s v="Marine"/>
    <x v="0"/>
    <x v="0"/>
    <n v="10"/>
    <s v="Area 10: N Puget Sound"/>
    <s v="Area 10: N Puget Sound"/>
    <s v="NA"/>
    <x v="3"/>
    <s v="Island"/>
    <x v="1"/>
    <s v="North Puget Sound"/>
    <m/>
    <n v="6.8149587178241902"/>
    <n v="23.973428848955798"/>
  </r>
  <r>
    <n v="1209"/>
    <x v="4"/>
    <s v="Marine"/>
    <x v="0"/>
    <x v="0"/>
    <n v="10"/>
    <s v="Area 10: N Puget Sound"/>
    <s v="Area 10: N Puget Sound"/>
    <s v="NA"/>
    <x v="3"/>
    <s v="Jefferson"/>
    <x v="2"/>
    <s v="Strait of Juan de Fuca"/>
    <m/>
    <n v="54.5196697425935"/>
    <n v="191.78743079164599"/>
  </r>
  <r>
    <n v="1203"/>
    <x v="4"/>
    <s v="Marine"/>
    <x v="0"/>
    <x v="0"/>
    <n v="10"/>
    <s v="Area 10: N Puget Sound"/>
    <s v="Area 10: N Puget Sound"/>
    <s v="NA"/>
    <x v="3"/>
    <s v="King"/>
    <x v="3"/>
    <s v="South Puget Sound"/>
    <m/>
    <n v="7441.9349198640102"/>
    <n v="26178.9843030597"/>
  </r>
  <r>
    <n v="1207"/>
    <x v="4"/>
    <s v="Marine"/>
    <x v="0"/>
    <x v="0"/>
    <n v="10"/>
    <s v="Area 10: N Puget Sound"/>
    <s v="Area 10: N Puget Sound"/>
    <s v="NA"/>
    <x v="3"/>
    <s v="Kitsap"/>
    <x v="4"/>
    <s v="South Puget Sound"/>
    <m/>
    <n v="2562.42447790189"/>
    <n v="9014.0092472073902"/>
  </r>
  <r>
    <n v="1206"/>
    <x v="4"/>
    <s v="Marine"/>
    <x v="0"/>
    <x v="0"/>
    <n v="10"/>
    <s v="Area 10: N Puget Sound"/>
    <s v="Area 10: N Puget Sound"/>
    <s v="NA"/>
    <x v="3"/>
    <s v="Mason"/>
    <x v="5"/>
    <s v="South Puget Sound"/>
    <m/>
    <n v="88.594463331714394"/>
    <n v="311.65457503642602"/>
  </r>
  <r>
    <n v="1210"/>
    <x v="4"/>
    <s v="Marine"/>
    <x v="0"/>
    <x v="0"/>
    <n v="10"/>
    <s v="Area 10: N Puget Sound"/>
    <s v="Area 10: N Puget Sound"/>
    <s v="NA"/>
    <x v="3"/>
    <s v="Other"/>
    <x v="6"/>
    <s v="Non Puget Sound"/>
    <m/>
    <n v="1499.29091792132"/>
    <n v="5274.1543467702804"/>
  </r>
  <r>
    <n v="1204"/>
    <x v="4"/>
    <s v="Marine"/>
    <x v="0"/>
    <x v="0"/>
    <n v="10"/>
    <s v="Area 10: N Puget Sound"/>
    <s v="Area 10: N Puget Sound"/>
    <s v="NA"/>
    <x v="3"/>
    <s v="Pierce"/>
    <x v="7"/>
    <s v="South Puget Sound"/>
    <m/>
    <n v="531.56677999028705"/>
    <n v="1869.9274502185499"/>
  </r>
  <r>
    <n v="1200"/>
    <x v="4"/>
    <s v="Marine"/>
    <x v="0"/>
    <x v="0"/>
    <n v="10"/>
    <s v="Area 10: N Puget Sound"/>
    <s v="Area 10: N Puget Sound"/>
    <s v="NA"/>
    <x v="3"/>
    <s v="Skagit"/>
    <x v="8"/>
    <s v="North Puget Sound"/>
    <m/>
    <n v="13.6299174356484"/>
    <n v="47.946857697911597"/>
  </r>
  <r>
    <n v="1201"/>
    <x v="4"/>
    <s v="Marine"/>
    <x v="0"/>
    <x v="0"/>
    <n v="10"/>
    <s v="Area 10: N Puget Sound"/>
    <s v="Area 10: N Puget Sound"/>
    <s v="NA"/>
    <x v="3"/>
    <s v="Snohomish"/>
    <x v="9"/>
    <s v="North Puget Sound"/>
    <m/>
    <n v="1778.7042253521099"/>
    <n v="6257.0649295774701"/>
  </r>
  <r>
    <n v="1205"/>
    <x v="4"/>
    <s v="Marine"/>
    <x v="0"/>
    <x v="0"/>
    <n v="10"/>
    <s v="Area 10: N Puget Sound"/>
    <s v="Area 10: N Puget Sound"/>
    <s v="NA"/>
    <x v="3"/>
    <s v="Thurston"/>
    <x v="10"/>
    <s v="South Puget Sound"/>
    <m/>
    <n v="47.704711024769303"/>
    <n v="167.81400194269099"/>
  </r>
  <r>
    <n v="3063"/>
    <x v="4"/>
    <s v="Marine"/>
    <x v="0"/>
    <x v="0"/>
    <n v="11"/>
    <s v="Area 11: Mid-Puget Sound"/>
    <s v="Area 11: Mid-Puget Sound"/>
    <s v="NA"/>
    <x v="3"/>
    <s v="Clallam"/>
    <x v="0"/>
    <s v="Strait of Juan de Fuca"/>
    <m/>
    <n v="10.4988814317673"/>
    <n v="110.832505592841"/>
  </r>
  <r>
    <n v="1214"/>
    <x v="4"/>
    <s v="Marine"/>
    <x v="0"/>
    <x v="0"/>
    <n v="11"/>
    <s v="Area 11: Mid-Puget Sound"/>
    <s v="Area 11: Mid-Puget Sound"/>
    <s v="NA"/>
    <x v="3"/>
    <s v="Island"/>
    <x v="1"/>
    <s v="North Puget Sound"/>
    <m/>
    <n v="31.496644295302001"/>
    <n v="332.49751677852402"/>
  </r>
  <r>
    <n v="3022"/>
    <x v="4"/>
    <s v="Marine"/>
    <x v="0"/>
    <x v="0"/>
    <n v="11"/>
    <s v="Area 11: Mid-Puget Sound"/>
    <s v="Area 11: Mid-Puget Sound"/>
    <s v="NA"/>
    <x v="3"/>
    <s v="King"/>
    <x v="3"/>
    <s v="South Puget Sound"/>
    <m/>
    <n v="1784.8098434004501"/>
    <n v="18841.525950783001"/>
  </r>
  <r>
    <n v="3026"/>
    <x v="4"/>
    <s v="Marine"/>
    <x v="0"/>
    <x v="0"/>
    <n v="11"/>
    <s v="Area 11: Mid-Puget Sound"/>
    <s v="Area 11: Mid-Puget Sound"/>
    <s v="NA"/>
    <x v="3"/>
    <s v="Kitsap"/>
    <x v="4"/>
    <s v="South Puget Sound"/>
    <m/>
    <n v="278.220357941835"/>
    <n v="2937.06139821029"/>
  </r>
  <r>
    <n v="3025"/>
    <x v="4"/>
    <s v="Marine"/>
    <x v="0"/>
    <x v="0"/>
    <n v="11"/>
    <s v="Area 11: Mid-Puget Sound"/>
    <s v="Area 11: Mid-Puget Sound"/>
    <s v="NA"/>
    <x v="3"/>
    <s v="Mason"/>
    <x v="5"/>
    <s v="South Puget Sound"/>
    <m/>
    <n v="20.9977628635347"/>
    <n v="221.665011185682"/>
  </r>
  <r>
    <n v="3064"/>
    <x v="4"/>
    <s v="Marine"/>
    <x v="0"/>
    <x v="0"/>
    <n v="11"/>
    <s v="Area 11: Mid-Puget Sound"/>
    <s v="Area 11: Mid-Puget Sound"/>
    <s v="NA"/>
    <x v="3"/>
    <s v="Other"/>
    <x v="6"/>
    <s v="Non Puget Sound"/>
    <m/>
    <n v="241.47427293064899"/>
    <n v="2549.14762863535"/>
  </r>
  <r>
    <n v="3023"/>
    <x v="4"/>
    <s v="Marine"/>
    <x v="0"/>
    <x v="0"/>
    <n v="11"/>
    <s v="Area 11: Mid-Puget Sound"/>
    <s v="Area 11: Mid-Puget Sound"/>
    <s v="NA"/>
    <x v="3"/>
    <s v="Pierce"/>
    <x v="7"/>
    <s v="South Puget Sound"/>
    <m/>
    <n v="2178.51789709172"/>
    <n v="22997.744910514601"/>
  </r>
  <r>
    <n v="1212"/>
    <x v="4"/>
    <s v="Marine"/>
    <x v="0"/>
    <x v="0"/>
    <n v="11"/>
    <s v="Area 11: Mid-Puget Sound"/>
    <s v="Area 11: Mid-Puget Sound"/>
    <s v="NA"/>
    <x v="3"/>
    <s v="Skagit"/>
    <x v="8"/>
    <s v="North Puget Sound"/>
    <m/>
    <n v="68.242729306487703"/>
    <n v="720.41128635346797"/>
  </r>
  <r>
    <n v="1213"/>
    <x v="4"/>
    <s v="Marine"/>
    <x v="0"/>
    <x v="0"/>
    <n v="11"/>
    <s v="Area 11: Mid-Puget Sound"/>
    <s v="Area 11: Mid-Puget Sound"/>
    <s v="NA"/>
    <x v="3"/>
    <s v="Snohomish"/>
    <x v="9"/>
    <s v="North Puget Sound"/>
    <m/>
    <n v="62.993288590604003"/>
    <n v="664.99503355704701"/>
  </r>
  <r>
    <n v="3024"/>
    <x v="4"/>
    <s v="Marine"/>
    <x v="0"/>
    <x v="0"/>
    <n v="11"/>
    <s v="Area 11: Mid-Puget Sound"/>
    <s v="Area 11: Mid-Puget Sound"/>
    <s v="NA"/>
    <x v="3"/>
    <s v="Thurston"/>
    <x v="10"/>
    <s v="South Puget Sound"/>
    <m/>
    <n v="10.4988814317673"/>
    <n v="110.832505592841"/>
  </r>
  <r>
    <n v="1211"/>
    <x v="4"/>
    <s v="Marine"/>
    <x v="0"/>
    <x v="0"/>
    <n v="11"/>
    <s v="Area 11: Mid-Puget Sound"/>
    <s v="Area 11: Mid-Puget Sound"/>
    <s v="NA"/>
    <x v="3"/>
    <s v="Whatcom"/>
    <x v="11"/>
    <s v="North Puget Sound"/>
    <m/>
    <n v="5.2494407158836696"/>
    <n v="55.416252796420601"/>
  </r>
  <r>
    <n v="530"/>
    <x v="4"/>
    <s v="Marine"/>
    <x v="0"/>
    <x v="0"/>
    <n v="12"/>
    <s v="Area 12: Hood Canal"/>
    <s v="Area 12: Hood Canal"/>
    <s v="NA"/>
    <x v="4"/>
    <s v="Clallam"/>
    <x v="0"/>
    <s v="Strait of Juan de Fuca"/>
    <m/>
    <n v="125.574803149606"/>
    <n v="585.09141732283501"/>
  </r>
  <r>
    <n v="531"/>
    <x v="4"/>
    <s v="Marine"/>
    <x v="0"/>
    <x v="0"/>
    <n v="12"/>
    <s v="Area 12: Hood Canal"/>
    <s v="Area 12: Hood Canal"/>
    <s v="NA"/>
    <x v="4"/>
    <s v="Jefferson"/>
    <x v="2"/>
    <s v="Strait of Juan de Fuca"/>
    <m/>
    <n v="90.692913385826799"/>
    <n v="422.566023622047"/>
  </r>
  <r>
    <n v="427"/>
    <x v="4"/>
    <s v="Marine"/>
    <x v="0"/>
    <x v="0"/>
    <n v="12"/>
    <s v="Area 12: Hood Canal"/>
    <s v="Area 12: Hood Canal"/>
    <s v="NA"/>
    <x v="4"/>
    <s v="King"/>
    <x v="3"/>
    <s v="South Puget Sound"/>
    <m/>
    <n v="969.71653543307104"/>
    <n v="4518.20594488189"/>
  </r>
  <r>
    <n v="529"/>
    <x v="4"/>
    <s v="Marine"/>
    <x v="0"/>
    <x v="0"/>
    <n v="12"/>
    <s v="Area 12: Hood Canal"/>
    <s v="Area 12: Hood Canal"/>
    <s v="NA"/>
    <x v="4"/>
    <s v="Kitsap"/>
    <x v="4"/>
    <s v="South Puget Sound"/>
    <m/>
    <n v="341.84251968503901"/>
    <n v="1592.7488582677199"/>
  </r>
  <r>
    <n v="528"/>
    <x v="4"/>
    <s v="Marine"/>
    <x v="0"/>
    <x v="0"/>
    <n v="12"/>
    <s v="Area 12: Hood Canal"/>
    <s v="Area 12: Hood Canal"/>
    <s v="NA"/>
    <x v="4"/>
    <s v="Mason"/>
    <x v="5"/>
    <s v="South Puget Sound"/>
    <m/>
    <n v="558.11023622047196"/>
    <n v="2600.4062992126001"/>
  </r>
  <r>
    <n v="532"/>
    <x v="4"/>
    <s v="Marine"/>
    <x v="0"/>
    <x v="0"/>
    <n v="12"/>
    <s v="Area 12: Hood Canal"/>
    <s v="Area 12: Hood Canal"/>
    <s v="NA"/>
    <x v="4"/>
    <s v="Other"/>
    <x v="6"/>
    <s v="Non Puget Sound"/>
    <m/>
    <n v="139.52755905511799"/>
    <n v="650.10157480315002"/>
  </r>
  <r>
    <n v="526"/>
    <x v="4"/>
    <s v="Marine"/>
    <x v="0"/>
    <x v="0"/>
    <n v="12"/>
    <s v="Area 12: Hood Canal"/>
    <s v="Area 12: Hood Canal"/>
    <s v="NA"/>
    <x v="4"/>
    <s v="Pierce"/>
    <x v="7"/>
    <s v="South Puget Sound"/>
    <m/>
    <n v="606.94488188976402"/>
    <n v="2827.9418503937"/>
  </r>
  <r>
    <n v="426"/>
    <x v="4"/>
    <s v="Marine"/>
    <x v="0"/>
    <x v="0"/>
    <n v="12"/>
    <s v="Area 12: Hood Canal"/>
    <s v="Area 12: Hood Canal"/>
    <s v="NA"/>
    <x v="4"/>
    <s v="San Juan"/>
    <x v="12"/>
    <s v="North Puget Sound"/>
    <m/>
    <n v="13.9527559055118"/>
    <n v="65.010157480315002"/>
  </r>
  <r>
    <n v="425"/>
    <x v="4"/>
    <s v="Marine"/>
    <x v="0"/>
    <x v="0"/>
    <n v="12"/>
    <s v="Area 12: Hood Canal"/>
    <s v="Area 12: Hood Canal"/>
    <s v="NA"/>
    <x v="4"/>
    <s v="Snohomish"/>
    <x v="9"/>
    <s v="North Puget Sound"/>
    <m/>
    <n v="76.740157480315006"/>
    <n v="357.555866141732"/>
  </r>
  <r>
    <n v="527"/>
    <x v="4"/>
    <s v="Marine"/>
    <x v="0"/>
    <x v="0"/>
    <n v="12"/>
    <s v="Area 12: Hood Canal"/>
    <s v="Area 12: Hood Canal"/>
    <s v="NA"/>
    <x v="4"/>
    <s v="Thurston"/>
    <x v="10"/>
    <s v="South Puget Sound"/>
    <m/>
    <n v="620.89763779527595"/>
    <n v="2892.9520078740202"/>
  </r>
  <r>
    <n v="3065"/>
    <x v="4"/>
    <s v="Marine"/>
    <x v="0"/>
    <x v="0"/>
    <n v="13"/>
    <s v="Area 13: S Puget Sound"/>
    <s v="Area 13: S Puget Sound"/>
    <s v="NA"/>
    <x v="3"/>
    <s v="King"/>
    <x v="3"/>
    <s v="South Puget Sound"/>
    <m/>
    <n v="49.801526717557302"/>
    <n v="494.628282442748"/>
  </r>
  <r>
    <n v="3145"/>
    <x v="4"/>
    <s v="Marine"/>
    <x v="0"/>
    <x v="0"/>
    <n v="13"/>
    <s v="Area 13: S Puget Sound"/>
    <s v="Area 13: S Puget Sound"/>
    <s v="NA"/>
    <x v="3"/>
    <s v="Kitsap"/>
    <x v="4"/>
    <s v="South Puget Sound"/>
    <m/>
    <n v="71.145038167939006"/>
    <n v="706.61183206106898"/>
  </r>
  <r>
    <n v="3144"/>
    <x v="4"/>
    <s v="Marine"/>
    <x v="0"/>
    <x v="0"/>
    <n v="13"/>
    <s v="Area 13: S Puget Sound"/>
    <s v="Area 13: S Puget Sound"/>
    <s v="NA"/>
    <x v="3"/>
    <s v="Mason"/>
    <x v="5"/>
    <s v="South Puget Sound"/>
    <m/>
    <n v="192.09160305343499"/>
    <n v="1907.8519465648901"/>
  </r>
  <r>
    <n v="3146"/>
    <x v="4"/>
    <s v="Marine"/>
    <x v="0"/>
    <x v="0"/>
    <n v="13"/>
    <s v="Area 13: S Puget Sound"/>
    <s v="Area 13: S Puget Sound"/>
    <s v="NA"/>
    <x v="3"/>
    <s v="Other"/>
    <x v="6"/>
    <s v="Non Puget Sound"/>
    <m/>
    <n v="78.259541984732806"/>
    <n v="777.27301526717599"/>
  </r>
  <r>
    <n v="3070"/>
    <x v="4"/>
    <s v="Marine"/>
    <x v="0"/>
    <x v="0"/>
    <n v="13"/>
    <s v="Area 13: S Puget Sound"/>
    <s v="Area 13: S Puget Sound"/>
    <s v="NA"/>
    <x v="3"/>
    <s v="Pierce"/>
    <x v="7"/>
    <s v="South Puget Sound"/>
    <m/>
    <n v="825.28244274809197"/>
    <n v="8196.6972519083993"/>
  </r>
  <r>
    <n v="3143"/>
    <x v="4"/>
    <s v="Marine"/>
    <x v="0"/>
    <x v="0"/>
    <n v="13"/>
    <s v="Area 13: S Puget Sound"/>
    <s v="Area 13: S Puget Sound"/>
    <s v="NA"/>
    <x v="3"/>
    <s v="Thurston"/>
    <x v="10"/>
    <s v="South Puget Sound"/>
    <m/>
    <n v="647.41984732824403"/>
    <n v="6430.1676717557302"/>
  </r>
  <r>
    <n v="3481"/>
    <x v="4"/>
    <s v="Marine"/>
    <x v="0"/>
    <x v="0"/>
    <d v="2023-08-01T00:00:00"/>
    <s v="Area 8-1: Skagit Bay-Saratoga Psg."/>
    <s v="Area 8-1: Skagit Bay-Saratoga Psg."/>
    <s v="NA"/>
    <x v="2"/>
    <s v="Island"/>
    <x v="1"/>
    <s v="North Puget Sound"/>
    <m/>
    <n v="1477.86346863469"/>
    <n v="3935.37708487085"/>
  </r>
  <r>
    <n v="3570"/>
    <x v="4"/>
    <s v="Marine"/>
    <x v="0"/>
    <x v="0"/>
    <d v="2023-08-01T00:00:00"/>
    <s v="Area 8-1: Skagit Bay-Saratoga Psg."/>
    <s v="Area 8-1: Skagit Bay-Saratoga Psg."/>
    <s v="NA"/>
    <x v="2"/>
    <s v="King"/>
    <x v="3"/>
    <s v="South Puget Sound"/>
    <m/>
    <n v="145.02398523985201"/>
    <n v="386.18186346863502"/>
  </r>
  <r>
    <n v="3572"/>
    <x v="4"/>
    <s v="Marine"/>
    <x v="0"/>
    <x v="0"/>
    <d v="2023-08-01T00:00:00"/>
    <s v="Area 8-1: Skagit Bay-Saratoga Psg."/>
    <s v="Area 8-1: Skagit Bay-Saratoga Psg."/>
    <s v="NA"/>
    <x v="2"/>
    <s v="Kitsap"/>
    <x v="4"/>
    <s v="South Puget Sound"/>
    <m/>
    <n v="13.811808118081199"/>
    <n v="36.779225092250897"/>
  </r>
  <r>
    <n v="3575"/>
    <x v="4"/>
    <s v="Marine"/>
    <x v="0"/>
    <x v="0"/>
    <d v="2023-08-01T00:00:00"/>
    <s v="Area 8-1: Skagit Bay-Saratoga Psg."/>
    <s v="Area 8-1: Skagit Bay-Saratoga Psg."/>
    <s v="NA"/>
    <x v="2"/>
    <s v="Other"/>
    <x v="6"/>
    <s v="Non Puget Sound"/>
    <m/>
    <n v="352.20110701107001"/>
    <n v="937.87023985239898"/>
  </r>
  <r>
    <n v="3571"/>
    <x v="4"/>
    <s v="Marine"/>
    <x v="0"/>
    <x v="0"/>
    <d v="2023-08-01T00:00:00"/>
    <s v="Area 8-1: Skagit Bay-Saratoga Psg."/>
    <s v="Area 8-1: Skagit Bay-Saratoga Psg."/>
    <s v="NA"/>
    <x v="2"/>
    <s v="Pierce"/>
    <x v="7"/>
    <s v="South Puget Sound"/>
    <m/>
    <n v="27.623616236162398"/>
    <n v="73.558450184501893"/>
  </r>
  <r>
    <n v="3479"/>
    <x v="4"/>
    <s v="Marine"/>
    <x v="0"/>
    <x v="0"/>
    <d v="2023-08-01T00:00:00"/>
    <s v="Area 8-1: Skagit Bay-Saratoga Psg."/>
    <s v="Area 8-1: Skagit Bay-Saratoga Psg."/>
    <s v="NA"/>
    <x v="2"/>
    <s v="Skagit"/>
    <x v="8"/>
    <s v="North Puget Sound"/>
    <m/>
    <n v="1194.7214022140199"/>
    <n v="3181.4029704797099"/>
  </r>
  <r>
    <n v="3480"/>
    <x v="4"/>
    <s v="Marine"/>
    <x v="0"/>
    <x v="0"/>
    <d v="2023-08-01T00:00:00"/>
    <s v="Area 8-1: Skagit Bay-Saratoga Psg."/>
    <s v="Area 8-1: Skagit Bay-Saratoga Psg."/>
    <s v="NA"/>
    <x v="2"/>
    <s v="Snohomish"/>
    <x v="9"/>
    <s v="North Puget Sound"/>
    <m/>
    <n v="448.88376383763801"/>
    <n v="1195.32481549815"/>
  </r>
  <r>
    <n v="3477"/>
    <x v="4"/>
    <s v="Marine"/>
    <x v="0"/>
    <x v="0"/>
    <d v="2023-08-01T00:00:00"/>
    <s v="Area 8-1: Skagit Bay-Saratoga Psg."/>
    <s v="Area 8-1: Skagit Bay-Saratoga Psg."/>
    <s v="NA"/>
    <x v="2"/>
    <s v="Whatcom"/>
    <x v="11"/>
    <s v="North Puget Sound"/>
    <m/>
    <n v="82.870848708487102"/>
    <n v="220.67535055350601"/>
  </r>
  <r>
    <n v="3627"/>
    <x v="4"/>
    <s v="Marine"/>
    <x v="0"/>
    <x v="0"/>
    <d v="2023-08-02T00:00:00"/>
    <s v="Area 8-2: Port Susan-Port Gardner"/>
    <s v="Area 8-2: Port Susan-Port Gardner"/>
    <s v="NA"/>
    <x v="2"/>
    <s v="Island"/>
    <x v="1"/>
    <s v="North Puget Sound"/>
    <m/>
    <n v="913.56482183472303"/>
    <n v="4369.7598786959798"/>
  </r>
  <r>
    <n v="3629"/>
    <x v="4"/>
    <s v="Marine"/>
    <x v="0"/>
    <x v="0"/>
    <d v="2023-08-02T00:00:00"/>
    <s v="Area 8-2: Port Susan-Port Gardner"/>
    <s v="Area 8-2: Port Susan-Port Gardner"/>
    <s v="NA"/>
    <x v="2"/>
    <s v="King"/>
    <x v="3"/>
    <s v="South Puget Sound"/>
    <m/>
    <n v="1141.9560272934"/>
    <n v="5462.1998483699799"/>
  </r>
  <r>
    <n v="3690"/>
    <x v="4"/>
    <s v="Marine"/>
    <x v="0"/>
    <x v="0"/>
    <d v="2023-08-02T00:00:00"/>
    <s v="Area 8-2: Port Susan-Port Gardner"/>
    <s v="Area 8-2: Port Susan-Port Gardner"/>
    <s v="NA"/>
    <x v="2"/>
    <s v="Kitsap"/>
    <x v="4"/>
    <s v="South Puget Sound"/>
    <m/>
    <n v="42.823351023502703"/>
    <n v="204.83249431387401"/>
  </r>
  <r>
    <n v="3713"/>
    <x v="4"/>
    <s v="Marine"/>
    <x v="0"/>
    <x v="0"/>
    <d v="2023-08-02T00:00:00"/>
    <s v="Area 8-2: Port Susan-Port Gardner"/>
    <s v="Area 8-2: Port Susan-Port Gardner"/>
    <s v="NA"/>
    <x v="2"/>
    <s v="Other"/>
    <x v="6"/>
    <s v="Non Puget Sound"/>
    <m/>
    <n v="556.703563305535"/>
    <n v="2662.8224260803599"/>
  </r>
  <r>
    <n v="3630"/>
    <x v="4"/>
    <s v="Marine"/>
    <x v="0"/>
    <x v="0"/>
    <d v="2023-08-02T00:00:00"/>
    <s v="Area 8-2: Port Susan-Port Gardner"/>
    <s v="Area 8-2: Port Susan-Port Gardner"/>
    <s v="NA"/>
    <x v="2"/>
    <s v="Pierce"/>
    <x v="7"/>
    <s v="South Puget Sound"/>
    <m/>
    <n v="164.15617892342701"/>
    <n v="785.19122820318501"/>
  </r>
  <r>
    <n v="3577"/>
    <x v="4"/>
    <s v="Marine"/>
    <x v="0"/>
    <x v="0"/>
    <d v="2023-08-02T00:00:00"/>
    <s v="Area 8-2: Port Susan-Port Gardner"/>
    <s v="Area 8-2: Port Susan-Port Gardner"/>
    <s v="NA"/>
    <x v="2"/>
    <s v="Skagit"/>
    <x v="8"/>
    <s v="North Puget Sound"/>
    <m/>
    <n v="149.881728582259"/>
    <n v="716.91373009855999"/>
  </r>
  <r>
    <n v="3626"/>
    <x v="4"/>
    <s v="Marine"/>
    <x v="0"/>
    <x v="0"/>
    <d v="2023-08-02T00:00:00"/>
    <s v="Area 8-2: Port Susan-Port Gardner"/>
    <s v="Area 8-2: Port Susan-Port Gardner"/>
    <s v="NA"/>
    <x v="2"/>
    <s v="Snohomish"/>
    <x v="9"/>
    <s v="North Puget Sound"/>
    <m/>
    <n v="6352.1304018195597"/>
    <n v="30383.486656558001"/>
  </r>
  <r>
    <n v="3661"/>
    <x v="4"/>
    <s v="Marine"/>
    <x v="0"/>
    <x v="0"/>
    <d v="2023-08-02T00:00:00"/>
    <s v="Area 8-2: Port Susan-Port Gardner"/>
    <s v="Area 8-2: Port Susan-Port Gardner"/>
    <s v="NA"/>
    <x v="2"/>
    <s v="Thurston"/>
    <x v="10"/>
    <s v="South Puget Sound"/>
    <m/>
    <n v="42.823351023502703"/>
    <n v="204.83249431387401"/>
  </r>
  <r>
    <n v="3576"/>
    <x v="4"/>
    <s v="Marine"/>
    <x v="0"/>
    <x v="0"/>
    <d v="2023-08-02T00:00:00"/>
    <s v="Area 8-2: Port Susan-Port Gardner"/>
    <s v="Area 8-2: Port Susan-Port Gardner"/>
    <s v="NA"/>
    <x v="2"/>
    <s v="Whatcom"/>
    <x v="11"/>
    <s v="North Puget Sound"/>
    <m/>
    <n v="49.9605761940864"/>
    <n v="238.971243366187"/>
  </r>
  <r>
    <n v="2140"/>
    <x v="5"/>
    <s v="Marine"/>
    <x v="0"/>
    <x v="0"/>
    <n v="5"/>
    <s v="Area 5: W Juan de Fuca"/>
    <s v="Area 5: W Juan de Fuca"/>
    <s v="NA"/>
    <x v="0"/>
    <s v="Clallam"/>
    <x v="0"/>
    <s v="Strait of Juan de Fuca"/>
    <m/>
    <n v="7284.3055703482796"/>
    <n v="5243.5305304079302"/>
  </r>
  <r>
    <n v="2124"/>
    <x v="5"/>
    <s v="Marine"/>
    <x v="0"/>
    <x v="0"/>
    <n v="5"/>
    <s v="Area 5: W Juan de Fuca"/>
    <s v="Area 5: W Juan de Fuca"/>
    <s v="NA"/>
    <x v="0"/>
    <s v="Island"/>
    <x v="1"/>
    <s v="North Puget Sound"/>
    <m/>
    <n v="1116.6360634785401"/>
    <n v="803.79869208648404"/>
  </r>
  <r>
    <n v="2141"/>
    <x v="5"/>
    <s v="Marine"/>
    <x v="0"/>
    <x v="0"/>
    <n v="5"/>
    <s v="Area 5: W Juan de Fuca"/>
    <s v="Area 5: W Juan de Fuca"/>
    <s v="NA"/>
    <x v="0"/>
    <s v="Jefferson"/>
    <x v="2"/>
    <s v="Strait of Juan de Fuca"/>
    <m/>
    <n v="1613.8880604963299"/>
    <n v="1161.7402971562501"/>
  </r>
  <r>
    <n v="2125"/>
    <x v="5"/>
    <s v="Marine"/>
    <x v="0"/>
    <x v="0"/>
    <n v="5"/>
    <s v="Area 5: W Juan de Fuca"/>
    <s v="Area 5: W Juan de Fuca"/>
    <s v="NA"/>
    <x v="0"/>
    <s v="King"/>
    <x v="3"/>
    <s v="South Puget Sound"/>
    <m/>
    <n v="12719.1826605602"/>
    <n v="9155.7694770476101"/>
  </r>
  <r>
    <n v="2129"/>
    <x v="5"/>
    <s v="Marine"/>
    <x v="0"/>
    <x v="0"/>
    <n v="5"/>
    <s v="Area 5: W Juan de Fuca"/>
    <s v="Area 5: W Juan de Fuca"/>
    <s v="NA"/>
    <x v="0"/>
    <s v="Kitsap"/>
    <x v="4"/>
    <s v="South Puget Sound"/>
    <m/>
    <n v="8645.2057727127503"/>
    <n v="6223.1601863883297"/>
  </r>
  <r>
    <n v="2128"/>
    <x v="5"/>
    <s v="Marine"/>
    <x v="0"/>
    <x v="0"/>
    <n v="5"/>
    <s v="Area 5: W Juan de Fuca"/>
    <s v="Area 5: W Juan de Fuca"/>
    <s v="NA"/>
    <x v="0"/>
    <s v="Mason"/>
    <x v="5"/>
    <s v="South Puget Sound"/>
    <m/>
    <n v="3541.8300138459899"/>
    <n v="2549.5489764618201"/>
  </r>
  <r>
    <n v="2142"/>
    <x v="5"/>
    <s v="Marine"/>
    <x v="0"/>
    <x v="0"/>
    <n v="5"/>
    <s v="Area 5: W Juan de Fuca"/>
    <s v="Area 5: W Juan de Fuca"/>
    <s v="NA"/>
    <x v="0"/>
    <s v="Other"/>
    <x v="6"/>
    <s v="Non Puget Sound"/>
    <m/>
    <n v="23065.513686228602"/>
    <n v="16603.466733411398"/>
  </r>
  <r>
    <n v="2126"/>
    <x v="5"/>
    <s v="Marine"/>
    <x v="0"/>
    <x v="0"/>
    <n v="5"/>
    <s v="Area 5: W Juan de Fuca"/>
    <s v="Area 5: W Juan de Fuca"/>
    <s v="NA"/>
    <x v="0"/>
    <s v="Pierce"/>
    <x v="7"/>
    <s v="South Puget Sound"/>
    <m/>
    <n v="12631.945468100999"/>
    <n v="9092.9727042283594"/>
  </r>
  <r>
    <n v="2004"/>
    <x v="5"/>
    <s v="Marine"/>
    <x v="0"/>
    <x v="0"/>
    <n v="5"/>
    <s v="Area 5: W Juan de Fuca"/>
    <s v="Area 5: W Juan de Fuca"/>
    <s v="NA"/>
    <x v="0"/>
    <s v="Skagit"/>
    <x v="8"/>
    <s v="North Puget Sound"/>
    <m/>
    <n v="549.59431249334295"/>
    <n v="395.61966876131697"/>
  </r>
  <r>
    <n v="2123"/>
    <x v="5"/>
    <s v="Marine"/>
    <x v="0"/>
    <x v="0"/>
    <n v="5"/>
    <s v="Area 5: W Juan de Fuca"/>
    <s v="Area 5: W Juan de Fuca"/>
    <s v="NA"/>
    <x v="0"/>
    <s v="Snohomish"/>
    <x v="9"/>
    <s v="North Puget Sound"/>
    <m/>
    <n v="5094.6520396208298"/>
    <n v="3667.33153264459"/>
  </r>
  <r>
    <n v="2127"/>
    <x v="5"/>
    <s v="Marine"/>
    <x v="0"/>
    <x v="0"/>
    <n v="5"/>
    <s v="Area 5: W Juan de Fuca"/>
    <s v="Area 5: W Juan de Fuca"/>
    <s v="NA"/>
    <x v="0"/>
    <s v="Thurston"/>
    <x v="10"/>
    <s v="South Puget Sound"/>
    <m/>
    <n v="4998.6911279156502"/>
    <n v="3598.2550825434"/>
  </r>
  <r>
    <n v="2003"/>
    <x v="5"/>
    <s v="Marine"/>
    <x v="0"/>
    <x v="0"/>
    <n v="5"/>
    <s v="Area 5: W Juan de Fuca"/>
    <s v="Area 5: W Juan de Fuca"/>
    <s v="NA"/>
    <x v="0"/>
    <s v="Whatcom"/>
    <x v="11"/>
    <s v="North Puget Sound"/>
    <m/>
    <n v="645.55522419853003"/>
    <n v="464.69611886249902"/>
  </r>
  <r>
    <n v="2281"/>
    <x v="5"/>
    <s v="Marine"/>
    <x v="0"/>
    <x v="0"/>
    <n v="6"/>
    <s v="Area 6: E Juan de Fuca"/>
    <s v="Area 6: E Juan de Fuca"/>
    <s v="NA"/>
    <x v="0"/>
    <s v="Clallam"/>
    <x v="0"/>
    <s v="Strait of Juan de Fuca"/>
    <m/>
    <n v="21490.199560088"/>
    <n v="20448.6982123575"/>
  </r>
  <r>
    <n v="2265"/>
    <x v="5"/>
    <s v="Marine"/>
    <x v="0"/>
    <x v="0"/>
    <n v="6"/>
    <s v="Area 6: E Juan de Fuca"/>
    <s v="Area 6: E Juan de Fuca"/>
    <s v="NA"/>
    <x v="0"/>
    <s v="Island"/>
    <x v="1"/>
    <s v="North Puget Sound"/>
    <m/>
    <n v="2567.1361727654498"/>
    <n v="2442.7224475104999"/>
  </r>
  <r>
    <n v="2282"/>
    <x v="5"/>
    <s v="Marine"/>
    <x v="0"/>
    <x v="0"/>
    <n v="6"/>
    <s v="Area 6: E Juan de Fuca"/>
    <s v="Area 6: E Juan de Fuca"/>
    <s v="NA"/>
    <x v="0"/>
    <s v="Jefferson"/>
    <x v="2"/>
    <s v="Strait of Juan de Fuca"/>
    <m/>
    <n v="1391.4017196560701"/>
    <n v="1323.9688062387499"/>
  </r>
  <r>
    <n v="2267"/>
    <x v="5"/>
    <s v="Marine"/>
    <x v="0"/>
    <x v="0"/>
    <n v="6"/>
    <s v="Area 6: E Juan de Fuca"/>
    <s v="Area 6: E Juan de Fuca"/>
    <s v="NA"/>
    <x v="0"/>
    <s v="King"/>
    <x v="3"/>
    <s v="South Puget Sound"/>
    <m/>
    <n v="1614.02599480104"/>
    <n v="1535.80381523695"/>
  </r>
  <r>
    <n v="2280"/>
    <x v="5"/>
    <s v="Marine"/>
    <x v="0"/>
    <x v="0"/>
    <n v="6"/>
    <s v="Area 6: E Juan de Fuca"/>
    <s v="Area 6: E Juan de Fuca"/>
    <s v="NA"/>
    <x v="0"/>
    <s v="Kitsap"/>
    <x v="4"/>
    <s v="South Puget Sound"/>
    <m/>
    <n v="1711.42411517696"/>
    <n v="1628.4816316736701"/>
  </r>
  <r>
    <n v="2279"/>
    <x v="5"/>
    <s v="Marine"/>
    <x v="0"/>
    <x v="0"/>
    <n v="6"/>
    <s v="Area 6: E Juan de Fuca"/>
    <s v="Area 6: E Juan de Fuca"/>
    <s v="NA"/>
    <x v="0"/>
    <s v="Mason"/>
    <x v="5"/>
    <s v="South Puget Sound"/>
    <m/>
    <n v="153.054189162168"/>
    <n v="145.63656868626299"/>
  </r>
  <r>
    <n v="2283"/>
    <x v="5"/>
    <s v="Marine"/>
    <x v="0"/>
    <x v="0"/>
    <n v="6"/>
    <s v="Area 6: E Juan de Fuca"/>
    <s v="Area 6: E Juan de Fuca"/>
    <s v="NA"/>
    <x v="0"/>
    <s v="Other"/>
    <x v="6"/>
    <s v="Non Puget Sound"/>
    <m/>
    <n v="2921.9436112777398"/>
    <n v="2780.3344931013798"/>
  </r>
  <r>
    <n v="2268"/>
    <x v="5"/>
    <s v="Marine"/>
    <x v="0"/>
    <x v="0"/>
    <n v="6"/>
    <s v="Area 6: E Juan de Fuca"/>
    <s v="Area 6: E Juan de Fuca"/>
    <s v="NA"/>
    <x v="0"/>
    <s v="Pierce"/>
    <x v="7"/>
    <s v="South Puget Sound"/>
    <m/>
    <n v="1113.1213757248599"/>
    <n v="1059.175044991"/>
  </r>
  <r>
    <n v="2266"/>
    <x v="5"/>
    <s v="Marine"/>
    <x v="0"/>
    <x v="0"/>
    <n v="6"/>
    <s v="Area 6: E Juan de Fuca"/>
    <s v="Area 6: E Juan de Fuca"/>
    <s v="NA"/>
    <x v="0"/>
    <s v="San Juan"/>
    <x v="12"/>
    <s v="North Puget Sound"/>
    <m/>
    <n v="13.9140171965607"/>
    <n v="13.239688062387501"/>
  </r>
  <r>
    <n v="2263"/>
    <x v="5"/>
    <s v="Marine"/>
    <x v="0"/>
    <x v="0"/>
    <n v="6"/>
    <s v="Area 6: E Juan de Fuca"/>
    <s v="Area 6: E Juan de Fuca"/>
    <s v="NA"/>
    <x v="0"/>
    <s v="Skagit"/>
    <x v="8"/>
    <s v="North Puget Sound"/>
    <m/>
    <n v="1036.5942811437701"/>
    <n v="986.35676064787106"/>
  </r>
  <r>
    <n v="2264"/>
    <x v="5"/>
    <s v="Marine"/>
    <x v="0"/>
    <x v="0"/>
    <n v="6"/>
    <s v="Area 6: E Juan de Fuca"/>
    <s v="Area 6: E Juan de Fuca"/>
    <s v="NA"/>
    <x v="0"/>
    <s v="Snohomish"/>
    <x v="9"/>
    <s v="North Puget Sound"/>
    <m/>
    <n v="549.60367926414699"/>
    <n v="522.96767846430703"/>
  </r>
  <r>
    <n v="2269"/>
    <x v="5"/>
    <s v="Marine"/>
    <x v="0"/>
    <x v="0"/>
    <n v="6"/>
    <s v="Area 6: E Juan de Fuca"/>
    <s v="Area 6: E Juan de Fuca"/>
    <s v="NA"/>
    <x v="0"/>
    <s v="Thurston"/>
    <x v="10"/>
    <s v="South Puget Sound"/>
    <m/>
    <n v="194.79624075185001"/>
    <n v="185.35563287342501"/>
  </r>
  <r>
    <n v="2143"/>
    <x v="5"/>
    <s v="Marine"/>
    <x v="0"/>
    <x v="0"/>
    <n v="6"/>
    <s v="Area 6: E Juan de Fuca"/>
    <s v="Area 6: E Juan de Fuca"/>
    <s v="NA"/>
    <x v="0"/>
    <s v="Whatcom"/>
    <x v="11"/>
    <s v="North Puget Sound"/>
    <m/>
    <n v="34.785042991401703"/>
    <n v="33.099220155968801"/>
  </r>
  <r>
    <n v="3339"/>
    <x v="5"/>
    <s v="Marine"/>
    <x v="0"/>
    <x v="0"/>
    <n v="7"/>
    <s v="Area 7: San Juan Islands"/>
    <s v="Area 7: San Juan Islands"/>
    <s v="NA"/>
    <x v="1"/>
    <s v="Clallam"/>
    <x v="0"/>
    <s v="Strait of Juan de Fuca"/>
    <m/>
    <n v="352.912190650779"/>
    <n v="415.66530522456497"/>
  </r>
  <r>
    <n v="3332"/>
    <x v="5"/>
    <s v="Marine"/>
    <x v="0"/>
    <x v="0"/>
    <n v="7"/>
    <s v="Area 7: San Juan Islands"/>
    <s v="Area 7: San Juan Islands"/>
    <s v="NA"/>
    <x v="1"/>
    <s v="Island"/>
    <x v="1"/>
    <s v="North Puget Sound"/>
    <m/>
    <n v="2249.8152153987198"/>
    <n v="2649.8663208066"/>
  </r>
  <r>
    <n v="3340"/>
    <x v="5"/>
    <s v="Marine"/>
    <x v="0"/>
    <x v="0"/>
    <n v="7"/>
    <s v="Area 7: San Juan Islands"/>
    <s v="Area 7: San Juan Islands"/>
    <s v="NA"/>
    <x v="1"/>
    <s v="Jefferson"/>
    <x v="2"/>
    <s v="Strait of Juan de Fuca"/>
    <m/>
    <n v="44.114023831347403"/>
    <n v="51.958163153070601"/>
  </r>
  <r>
    <n v="3334"/>
    <x v="5"/>
    <s v="Marine"/>
    <x v="0"/>
    <x v="0"/>
    <n v="7"/>
    <s v="Area 7: San Juan Islands"/>
    <s v="Area 7: San Juan Islands"/>
    <s v="NA"/>
    <x v="1"/>
    <s v="King"/>
    <x v="3"/>
    <s v="South Puget Sound"/>
    <m/>
    <n v="5286.3305224564601"/>
    <n v="6226.3198845096204"/>
  </r>
  <r>
    <n v="3338"/>
    <x v="5"/>
    <s v="Marine"/>
    <x v="0"/>
    <x v="0"/>
    <n v="7"/>
    <s v="Area 7: San Juan Islands"/>
    <s v="Area 7: San Juan Islands"/>
    <s v="NA"/>
    <x v="1"/>
    <s v="Kitsap"/>
    <x v="4"/>
    <s v="South Puget Sound"/>
    <m/>
    <n v="404.378551787351"/>
    <n v="476.28316223648"/>
  </r>
  <r>
    <n v="3337"/>
    <x v="5"/>
    <s v="Marine"/>
    <x v="0"/>
    <x v="0"/>
    <n v="7"/>
    <s v="Area 7: San Juan Islands"/>
    <s v="Area 7: San Juan Islands"/>
    <s v="NA"/>
    <x v="1"/>
    <s v="Mason"/>
    <x v="5"/>
    <s v="South Puget Sound"/>
    <m/>
    <n v="242.627131072411"/>
    <n v="285.769897341888"/>
  </r>
  <r>
    <n v="3341"/>
    <x v="5"/>
    <s v="Marine"/>
    <x v="0"/>
    <x v="0"/>
    <n v="7"/>
    <s v="Area 7: San Juan Islands"/>
    <s v="Area 7: San Juan Islands"/>
    <s v="NA"/>
    <x v="1"/>
    <s v="Other"/>
    <x v="6"/>
    <s v="Non Puget Sound"/>
    <m/>
    <n v="7727.3065077910196"/>
    <n v="9101.3382456462004"/>
  </r>
  <r>
    <n v="3335"/>
    <x v="5"/>
    <s v="Marine"/>
    <x v="0"/>
    <x v="0"/>
    <n v="7"/>
    <s v="Area 7: San Juan Islands"/>
    <s v="Area 7: San Juan Islands"/>
    <s v="NA"/>
    <x v="1"/>
    <s v="Pierce"/>
    <x v="7"/>
    <s v="South Puget Sound"/>
    <m/>
    <n v="573.482309807516"/>
    <n v="675.45612098991705"/>
  </r>
  <r>
    <n v="3333"/>
    <x v="5"/>
    <s v="Marine"/>
    <x v="0"/>
    <x v="0"/>
    <n v="7"/>
    <s v="Area 7: San Juan Islands"/>
    <s v="Area 7: San Juan Islands"/>
    <s v="NA"/>
    <x v="1"/>
    <s v="San Juan"/>
    <x v="12"/>
    <s v="North Puget Sound"/>
    <m/>
    <n v="5433.3772685609501"/>
    <n v="6399.5137616865304"/>
  </r>
  <r>
    <n v="3330"/>
    <x v="5"/>
    <s v="Marine"/>
    <x v="0"/>
    <x v="0"/>
    <n v="7"/>
    <s v="Area 7: San Juan Islands"/>
    <s v="Area 7: San Juan Islands"/>
    <s v="NA"/>
    <x v="1"/>
    <s v="Skagit"/>
    <x v="8"/>
    <s v="North Puget Sound"/>
    <m/>
    <n v="8477.2449129239303"/>
    <n v="9984.6270192484008"/>
  </r>
  <r>
    <n v="3331"/>
    <x v="5"/>
    <s v="Marine"/>
    <x v="0"/>
    <x v="0"/>
    <n v="7"/>
    <s v="Area 7: San Juan Islands"/>
    <s v="Area 7: San Juan Islands"/>
    <s v="NA"/>
    <x v="1"/>
    <s v="Snohomish"/>
    <x v="9"/>
    <s v="North Puget Sound"/>
    <m/>
    <n v="3837.9200733272201"/>
    <n v="4520.3601943171398"/>
  </r>
  <r>
    <n v="3336"/>
    <x v="5"/>
    <s v="Marine"/>
    <x v="0"/>
    <x v="0"/>
    <n v="7"/>
    <s v="Area 7: San Juan Islands"/>
    <s v="Area 7: San Juan Islands"/>
    <s v="NA"/>
    <x v="1"/>
    <s v="Thurston"/>
    <x v="10"/>
    <s v="South Puget Sound"/>
    <m/>
    <n v="205.86544454628799"/>
    <n v="242.47142804766301"/>
  </r>
  <r>
    <n v="3324"/>
    <x v="5"/>
    <s v="Marine"/>
    <x v="0"/>
    <x v="0"/>
    <n v="7"/>
    <s v="Area 7: San Juan Islands"/>
    <s v="Area 7: San Juan Islands"/>
    <s v="NA"/>
    <x v="1"/>
    <s v="Whatcom"/>
    <x v="11"/>
    <s v="North Puget Sound"/>
    <m/>
    <n v="5271.6258478460104"/>
    <n v="6209.0004967919303"/>
  </r>
  <r>
    <n v="1784"/>
    <x v="5"/>
    <s v="Marine"/>
    <x v="0"/>
    <x v="0"/>
    <n v="9"/>
    <s v="Area 9: Admiralty Inlet"/>
    <s v="Area 9: Admiralty Inlet"/>
    <s v="NA"/>
    <x v="2"/>
    <s v="Clallam"/>
    <x v="0"/>
    <s v="Strait of Juan de Fuca"/>
    <m/>
    <n v="354.25185453229602"/>
    <n v="569.40941438996504"/>
  </r>
  <r>
    <n v="1777"/>
    <x v="5"/>
    <s v="Marine"/>
    <x v="0"/>
    <x v="0"/>
    <n v="9"/>
    <s v="Area 9: Admiralty Inlet"/>
    <s v="Area 9: Admiralty Inlet"/>
    <s v="NA"/>
    <x v="2"/>
    <s v="Island"/>
    <x v="1"/>
    <s v="North Puget Sound"/>
    <m/>
    <n v="30770.3160846752"/>
    <n v="49458.901733912302"/>
  </r>
  <r>
    <n v="1950"/>
    <x v="5"/>
    <s v="Marine"/>
    <x v="0"/>
    <x v="0"/>
    <n v="9"/>
    <s v="Area 9: Admiralty Inlet"/>
    <s v="Area 9: Admiralty Inlet"/>
    <s v="NA"/>
    <x v="2"/>
    <s v="Jefferson"/>
    <x v="2"/>
    <s v="Strait of Juan de Fuca"/>
    <m/>
    <n v="4754.0598878234096"/>
    <n v="7641.4743411133204"/>
  </r>
  <r>
    <n v="1779"/>
    <x v="5"/>
    <s v="Marine"/>
    <x v="0"/>
    <x v="0"/>
    <n v="9"/>
    <s v="Area 9: Admiralty Inlet"/>
    <s v="Area 9: Admiralty Inlet"/>
    <s v="NA"/>
    <x v="2"/>
    <s v="King"/>
    <x v="3"/>
    <s v="South Puget Sound"/>
    <m/>
    <n v="19356.3213316447"/>
    <n v="31112.530402267701"/>
  </r>
  <r>
    <n v="1783"/>
    <x v="5"/>
    <s v="Marine"/>
    <x v="0"/>
    <x v="0"/>
    <n v="9"/>
    <s v="Area 9: Admiralty Inlet"/>
    <s v="Area 9: Admiralty Inlet"/>
    <s v="NA"/>
    <x v="2"/>
    <s v="Kitsap"/>
    <x v="4"/>
    <s v="South Puget Sound"/>
    <m/>
    <n v="11449.419938483799"/>
    <n v="18403.312273083699"/>
  </r>
  <r>
    <n v="1782"/>
    <x v="5"/>
    <s v="Marine"/>
    <x v="0"/>
    <x v="0"/>
    <n v="9"/>
    <s v="Area 9: Admiralty Inlet"/>
    <s v="Area 9: Admiralty Inlet"/>
    <s v="NA"/>
    <x v="2"/>
    <s v="Mason"/>
    <x v="5"/>
    <s v="South Puget Sound"/>
    <m/>
    <n v="297.57155780712901"/>
    <n v="478.30390808756999"/>
  </r>
  <r>
    <n v="1951"/>
    <x v="5"/>
    <s v="Marine"/>
    <x v="0"/>
    <x v="0"/>
    <n v="9"/>
    <s v="Area 9: Admiralty Inlet"/>
    <s v="Area 9: Admiralty Inlet"/>
    <s v="NA"/>
    <x v="2"/>
    <s v="Other"/>
    <x v="6"/>
    <s v="Non Puget Sound"/>
    <m/>
    <n v="11669.056088293801"/>
    <n v="18756.346110005401"/>
  </r>
  <r>
    <n v="1780"/>
    <x v="5"/>
    <s v="Marine"/>
    <x v="0"/>
    <x v="0"/>
    <n v="9"/>
    <s v="Area 9: Admiralty Inlet"/>
    <s v="Area 9: Admiralty Inlet"/>
    <s v="NA"/>
    <x v="2"/>
    <s v="Pierce"/>
    <x v="7"/>
    <s v="South Puget Sound"/>
    <m/>
    <n v="2125.5111271937799"/>
    <n v="3416.45648633979"/>
  </r>
  <r>
    <n v="1778"/>
    <x v="5"/>
    <s v="Marine"/>
    <x v="0"/>
    <x v="0"/>
    <n v="9"/>
    <s v="Area 9: Admiralty Inlet"/>
    <s v="Area 9: Admiralty Inlet"/>
    <s v="NA"/>
    <x v="2"/>
    <s v="San Juan"/>
    <x v="12"/>
    <s v="North Puget Sound"/>
    <m/>
    <n v="56.680296725167402"/>
    <n v="91.105506302394303"/>
  </r>
  <r>
    <n v="1622"/>
    <x v="5"/>
    <s v="Marine"/>
    <x v="0"/>
    <x v="0"/>
    <n v="9"/>
    <s v="Area 9: Admiralty Inlet"/>
    <s v="Area 9: Admiralty Inlet"/>
    <s v="NA"/>
    <x v="2"/>
    <s v="Skagit"/>
    <x v="8"/>
    <s v="North Puget Sound"/>
    <m/>
    <n v="1742.9191242989"/>
    <n v="2801.49431879863"/>
  </r>
  <r>
    <n v="1776"/>
    <x v="5"/>
    <s v="Marine"/>
    <x v="0"/>
    <x v="0"/>
    <n v="9"/>
    <s v="Area 9: Admiralty Inlet"/>
    <s v="Area 9: Admiralty Inlet"/>
    <s v="NA"/>
    <x v="2"/>
    <s v="Snohomish"/>
    <x v="9"/>
    <s v="North Puget Sound"/>
    <m/>
    <n v="33441.375067848698"/>
    <n v="53752.248718412702"/>
  </r>
  <r>
    <n v="1781"/>
    <x v="5"/>
    <s v="Marine"/>
    <x v="0"/>
    <x v="0"/>
    <n v="9"/>
    <s v="Area 9: Admiralty Inlet"/>
    <s v="Area 9: Admiralty Inlet"/>
    <s v="NA"/>
    <x v="2"/>
    <s v="Thurston"/>
    <x v="10"/>
    <s v="South Puget Sound"/>
    <m/>
    <n v="814.77926542428099"/>
    <n v="1309.64165309692"/>
  </r>
  <r>
    <n v="1621"/>
    <x v="5"/>
    <s v="Marine"/>
    <x v="0"/>
    <x v="0"/>
    <n v="9"/>
    <s v="Area 9: Admiralty Inlet"/>
    <s v="Area 9: Admiralty Inlet"/>
    <s v="NA"/>
    <x v="2"/>
    <s v="Whatcom"/>
    <x v="11"/>
    <s v="North Puget Sound"/>
    <m/>
    <n v="644.73837524877899"/>
    <n v="1036.3251341897401"/>
  </r>
  <r>
    <n v="3260"/>
    <x v="5"/>
    <s v="Marine"/>
    <x v="0"/>
    <x v="0"/>
    <n v="10"/>
    <s v="Area 10: N Puget Sound"/>
    <s v="Area 10: N Puget Sound"/>
    <s v="NA"/>
    <x v="3"/>
    <s v="Clallam"/>
    <x v="0"/>
    <s v="Strait of Juan de Fuca"/>
    <m/>
    <n v="36.135215794306703"/>
    <n v="44.5324839302112"/>
  </r>
  <r>
    <n v="3179"/>
    <x v="5"/>
    <s v="Marine"/>
    <x v="0"/>
    <x v="0"/>
    <n v="10"/>
    <s v="Area 10: N Puget Sound"/>
    <s v="Area 10: N Puget Sound"/>
    <s v="NA"/>
    <x v="3"/>
    <s v="Island"/>
    <x v="1"/>
    <s v="North Puget Sound"/>
    <m/>
    <n v="65.043388429752099"/>
    <n v="80.158471074380202"/>
  </r>
  <r>
    <n v="3287"/>
    <x v="5"/>
    <s v="Marine"/>
    <x v="0"/>
    <x v="0"/>
    <n v="10"/>
    <s v="Area 10: N Puget Sound"/>
    <s v="Area 10: N Puget Sound"/>
    <s v="NA"/>
    <x v="3"/>
    <s v="Jefferson"/>
    <x v="2"/>
    <s v="Strait of Juan de Fuca"/>
    <m/>
    <n v="57.8163452708907"/>
    <n v="71.251974288337905"/>
  </r>
  <r>
    <n v="3255"/>
    <x v="5"/>
    <s v="Marine"/>
    <x v="0"/>
    <x v="0"/>
    <n v="10"/>
    <s v="Area 10: N Puget Sound"/>
    <s v="Area 10: N Puget Sound"/>
    <s v="NA"/>
    <x v="3"/>
    <s v="King"/>
    <x v="3"/>
    <s v="South Puget Sound"/>
    <m/>
    <n v="19484.108356290199"/>
    <n v="24011.915335169899"/>
  </r>
  <r>
    <n v="3259"/>
    <x v="5"/>
    <s v="Marine"/>
    <x v="0"/>
    <x v="0"/>
    <n v="10"/>
    <s v="Area 10: N Puget Sound"/>
    <s v="Area 10: N Puget Sound"/>
    <s v="NA"/>
    <x v="3"/>
    <s v="Kitsap"/>
    <x v="4"/>
    <s v="South Puget Sound"/>
    <m/>
    <n v="2558.3732782369202"/>
    <n v="3152.8998622589502"/>
  </r>
  <r>
    <n v="3258"/>
    <x v="5"/>
    <s v="Marine"/>
    <x v="0"/>
    <x v="0"/>
    <n v="10"/>
    <s v="Area 10: N Puget Sound"/>
    <s v="Area 10: N Puget Sound"/>
    <s v="NA"/>
    <x v="3"/>
    <s v="Mason"/>
    <x v="5"/>
    <s v="South Puget Sound"/>
    <m/>
    <n v="108.40564738291999"/>
    <n v="133.59745179063401"/>
  </r>
  <r>
    <n v="3347"/>
    <x v="5"/>
    <s v="Marine"/>
    <x v="0"/>
    <x v="0"/>
    <n v="10"/>
    <s v="Area 10: N Puget Sound"/>
    <s v="Area 10: N Puget Sound"/>
    <s v="NA"/>
    <x v="3"/>
    <s v="Other"/>
    <x v="6"/>
    <s v="Non Puget Sound"/>
    <m/>
    <n v="5304.6496786042198"/>
    <n v="6537.3686409550101"/>
  </r>
  <r>
    <n v="3256"/>
    <x v="5"/>
    <s v="Marine"/>
    <x v="0"/>
    <x v="0"/>
    <n v="10"/>
    <s v="Area 10: N Puget Sound"/>
    <s v="Area 10: N Puget Sound"/>
    <s v="NA"/>
    <x v="3"/>
    <s v="Pierce"/>
    <x v="7"/>
    <s v="South Puget Sound"/>
    <m/>
    <n v="860.01813590450001"/>
    <n v="1059.8731175390301"/>
  </r>
  <r>
    <n v="3174"/>
    <x v="5"/>
    <s v="Marine"/>
    <x v="0"/>
    <x v="0"/>
    <n v="10"/>
    <s v="Area 10: N Puget Sound"/>
    <s v="Area 10: N Puget Sound"/>
    <s v="NA"/>
    <x v="3"/>
    <s v="Skagit"/>
    <x v="8"/>
    <s v="North Puget Sound"/>
    <m/>
    <n v="28.9081726354454"/>
    <n v="35.625987144169002"/>
  </r>
  <r>
    <n v="3175"/>
    <x v="5"/>
    <s v="Marine"/>
    <x v="0"/>
    <x v="0"/>
    <n v="10"/>
    <s v="Area 10: N Puget Sound"/>
    <s v="Area 10: N Puget Sound"/>
    <s v="NA"/>
    <x v="3"/>
    <s v="Snohomish"/>
    <x v="9"/>
    <s v="North Puget Sound"/>
    <m/>
    <n v="2847.4550045913702"/>
    <n v="3509.1597337006401"/>
  </r>
  <r>
    <n v="3257"/>
    <x v="5"/>
    <s v="Marine"/>
    <x v="0"/>
    <x v="0"/>
    <n v="10"/>
    <s v="Area 10: N Puget Sound"/>
    <s v="Area 10: N Puget Sound"/>
    <s v="NA"/>
    <x v="3"/>
    <s v="Thurston"/>
    <x v="10"/>
    <s v="South Puget Sound"/>
    <m/>
    <n v="115.632690541781"/>
    <n v="142.50394857667601"/>
  </r>
  <r>
    <n v="3147"/>
    <x v="5"/>
    <s v="Marine"/>
    <x v="0"/>
    <x v="0"/>
    <n v="10"/>
    <s v="Area 10: N Puget Sound"/>
    <s v="Area 10: N Puget Sound"/>
    <s v="NA"/>
    <x v="3"/>
    <s v="Whatcom"/>
    <x v="11"/>
    <s v="North Puget Sound"/>
    <m/>
    <n v="14.4540863177227"/>
    <n v="17.812993572084501"/>
  </r>
  <r>
    <n v="3350"/>
    <x v="5"/>
    <s v="Marine"/>
    <x v="0"/>
    <x v="0"/>
    <n v="11"/>
    <s v="Area 11: Mid-Puget Sound"/>
    <s v="Area 11: Mid-Puget Sound"/>
    <s v="NA"/>
    <x v="3"/>
    <s v="Island"/>
    <x v="1"/>
    <s v="North Puget Sound"/>
    <m/>
    <n v="4.6032403918613403"/>
    <n v="19.3646948003014"/>
  </r>
  <r>
    <n v="3381"/>
    <x v="5"/>
    <s v="Marine"/>
    <x v="0"/>
    <x v="0"/>
    <n v="11"/>
    <s v="Area 11: Mid-Puget Sound"/>
    <s v="Area 11: Mid-Puget Sound"/>
    <s v="NA"/>
    <x v="3"/>
    <s v="King"/>
    <x v="3"/>
    <s v="South Puget Sound"/>
    <m/>
    <n v="5832.3055764883202"/>
    <n v="24535.0683119819"/>
  </r>
  <r>
    <n v="3489"/>
    <x v="5"/>
    <s v="Marine"/>
    <x v="0"/>
    <x v="0"/>
    <n v="11"/>
    <s v="Area 11: Mid-Puget Sound"/>
    <s v="Area 11: Mid-Puget Sound"/>
    <s v="NA"/>
    <x v="3"/>
    <s v="Kitsap"/>
    <x v="4"/>
    <s v="South Puget Sound"/>
    <m/>
    <n v="363.65599095704601"/>
    <n v="1529.8108892238099"/>
  </r>
  <r>
    <n v="3448"/>
    <x v="5"/>
    <s v="Marine"/>
    <x v="0"/>
    <x v="0"/>
    <n v="11"/>
    <s v="Area 11: Mid-Puget Sound"/>
    <s v="Area 11: Mid-Puget Sound"/>
    <s v="NA"/>
    <x v="3"/>
    <s v="Mason"/>
    <x v="5"/>
    <s v="South Puget Sound"/>
    <m/>
    <n v="32.222682743029402"/>
    <n v="135.55286360210999"/>
  </r>
  <r>
    <n v="3490"/>
    <x v="5"/>
    <s v="Marine"/>
    <x v="0"/>
    <x v="0"/>
    <n v="11"/>
    <s v="Area 11: Mid-Puget Sound"/>
    <s v="Area 11: Mid-Puget Sound"/>
    <s v="NA"/>
    <x v="3"/>
    <s v="Other"/>
    <x v="6"/>
    <s v="Non Puget Sound"/>
    <m/>
    <n v="612.23097211755805"/>
    <n v="2575.5044084400902"/>
  </r>
  <r>
    <n v="3446"/>
    <x v="5"/>
    <s v="Marine"/>
    <x v="0"/>
    <x v="0"/>
    <n v="11"/>
    <s v="Area 11: Mid-Puget Sound"/>
    <s v="Area 11: Mid-Puget Sound"/>
    <s v="NA"/>
    <x v="3"/>
    <s v="Pierce"/>
    <x v="7"/>
    <s v="South Puget Sound"/>
    <m/>
    <n v="4902.4510173323297"/>
    <n v="20623.399962321"/>
  </r>
  <r>
    <n v="3348"/>
    <x v="5"/>
    <s v="Marine"/>
    <x v="0"/>
    <x v="0"/>
    <n v="11"/>
    <s v="Area 11: Mid-Puget Sound"/>
    <s v="Area 11: Mid-Puget Sound"/>
    <s v="NA"/>
    <x v="3"/>
    <s v="Skagit"/>
    <x v="8"/>
    <s v="North Puget Sound"/>
    <m/>
    <n v="36.825923134890701"/>
    <n v="154.917558402411"/>
  </r>
  <r>
    <n v="3349"/>
    <x v="5"/>
    <s v="Marine"/>
    <x v="0"/>
    <x v="0"/>
    <n v="11"/>
    <s v="Area 11: Mid-Puget Sound"/>
    <s v="Area 11: Mid-Puget Sound"/>
    <s v="NA"/>
    <x v="3"/>
    <s v="Snohomish"/>
    <x v="9"/>
    <s v="North Puget Sound"/>
    <m/>
    <n v="87.461567445365503"/>
    <n v="367.929201205727"/>
  </r>
  <r>
    <n v="3447"/>
    <x v="5"/>
    <s v="Marine"/>
    <x v="0"/>
    <x v="0"/>
    <n v="11"/>
    <s v="Area 11: Mid-Puget Sound"/>
    <s v="Area 11: Mid-Puget Sound"/>
    <s v="NA"/>
    <x v="3"/>
    <s v="Thurston"/>
    <x v="10"/>
    <s v="South Puget Sound"/>
    <m/>
    <n v="345.24302938960102"/>
    <n v="1452.3521100226101"/>
  </r>
  <r>
    <n v="535"/>
    <x v="5"/>
    <s v="Marine"/>
    <x v="0"/>
    <x v="0"/>
    <n v="12"/>
    <s v="Area 12: Hood Canal"/>
    <s v="Area 12: Hood Canal"/>
    <s v="NA"/>
    <x v="4"/>
    <s v="Island"/>
    <x v="1"/>
    <s v="North Puget Sound"/>
    <m/>
    <n v="6.1172316384180796"/>
    <n v="40.422217514124299"/>
  </r>
  <r>
    <n v="640"/>
    <x v="5"/>
    <s v="Marine"/>
    <x v="0"/>
    <x v="0"/>
    <n v="12"/>
    <s v="Area 12: Hood Canal"/>
    <s v="Area 12: Hood Canal"/>
    <s v="NA"/>
    <x v="4"/>
    <s v="Jefferson"/>
    <x v="2"/>
    <s v="Strait of Juan de Fuca"/>
    <m/>
    <n v="544.43361581920897"/>
    <n v="3597.5773587570602"/>
  </r>
  <r>
    <n v="635"/>
    <x v="5"/>
    <s v="Marine"/>
    <x v="0"/>
    <x v="0"/>
    <n v="12"/>
    <s v="Area 12: Hood Canal"/>
    <s v="Area 12: Hood Canal"/>
    <s v="NA"/>
    <x v="4"/>
    <s v="King"/>
    <x v="3"/>
    <s v="South Puget Sound"/>
    <m/>
    <n v="990.99152542372894"/>
    <n v="6548.3992372881403"/>
  </r>
  <r>
    <n v="639"/>
    <x v="5"/>
    <s v="Marine"/>
    <x v="0"/>
    <x v="0"/>
    <n v="12"/>
    <s v="Area 12: Hood Canal"/>
    <s v="Area 12: Hood Canal"/>
    <s v="NA"/>
    <x v="4"/>
    <s v="Kitsap"/>
    <x v="4"/>
    <s v="South Puget Sound"/>
    <m/>
    <n v="464.90960451977401"/>
    <n v="3072.0885310734502"/>
  </r>
  <r>
    <n v="638"/>
    <x v="5"/>
    <s v="Marine"/>
    <x v="0"/>
    <x v="0"/>
    <n v="12"/>
    <s v="Area 12: Hood Canal"/>
    <s v="Area 12: Hood Canal"/>
    <s v="NA"/>
    <x v="4"/>
    <s v="Mason"/>
    <x v="5"/>
    <s v="South Puget Sound"/>
    <m/>
    <n v="483.26129943502798"/>
    <n v="3193.3551836158199"/>
  </r>
  <r>
    <n v="641"/>
    <x v="5"/>
    <s v="Marine"/>
    <x v="0"/>
    <x v="0"/>
    <n v="12"/>
    <s v="Area 12: Hood Canal"/>
    <s v="Area 12: Hood Canal"/>
    <s v="NA"/>
    <x v="4"/>
    <s v="Other"/>
    <x v="6"/>
    <s v="Non Puget Sound"/>
    <m/>
    <n v="415.97175141243002"/>
    <n v="2748.7107909604501"/>
  </r>
  <r>
    <n v="636"/>
    <x v="5"/>
    <s v="Marine"/>
    <x v="0"/>
    <x v="0"/>
    <n v="12"/>
    <s v="Area 12: Hood Canal"/>
    <s v="Area 12: Hood Canal"/>
    <s v="NA"/>
    <x v="4"/>
    <s v="Pierce"/>
    <x v="7"/>
    <s v="South Puget Sound"/>
    <m/>
    <n v="648.42655367231703"/>
    <n v="4284.7550564971798"/>
  </r>
  <r>
    <n v="533"/>
    <x v="5"/>
    <s v="Marine"/>
    <x v="0"/>
    <x v="0"/>
    <n v="12"/>
    <s v="Area 12: Hood Canal"/>
    <s v="Area 12: Hood Canal"/>
    <s v="NA"/>
    <x v="4"/>
    <s v="Skagit"/>
    <x v="8"/>
    <s v="North Puget Sound"/>
    <m/>
    <n v="6.1172316384180796"/>
    <n v="40.422217514124299"/>
  </r>
  <r>
    <n v="534"/>
    <x v="5"/>
    <s v="Marine"/>
    <x v="0"/>
    <x v="0"/>
    <n v="12"/>
    <s v="Area 12: Hood Canal"/>
    <s v="Area 12: Hood Canal"/>
    <s v="NA"/>
    <x v="4"/>
    <s v="Snohomish"/>
    <x v="9"/>
    <s v="North Puget Sound"/>
    <m/>
    <n v="244.68926553672301"/>
    <n v="1616.8887005649699"/>
  </r>
  <r>
    <n v="637"/>
    <x v="5"/>
    <s v="Marine"/>
    <x v="0"/>
    <x v="0"/>
    <n v="12"/>
    <s v="Area 12: Hood Canal"/>
    <s v="Area 12: Hood Canal"/>
    <s v="NA"/>
    <x v="4"/>
    <s v="Thurston"/>
    <x v="10"/>
    <s v="South Puget Sound"/>
    <m/>
    <n v="526.08192090395505"/>
    <n v="3476.3107062146901"/>
  </r>
  <r>
    <n v="3491"/>
    <x v="5"/>
    <s v="Marine"/>
    <x v="0"/>
    <x v="0"/>
    <n v="13"/>
    <s v="Area 13: S Puget Sound"/>
    <s v="Area 13: S Puget Sound"/>
    <s v="NA"/>
    <x v="3"/>
    <s v="King"/>
    <x v="3"/>
    <s v="South Puget Sound"/>
    <m/>
    <n v="59.061994609164401"/>
    <n v="496.33035040431298"/>
  </r>
  <r>
    <n v="3591"/>
    <x v="5"/>
    <s v="Marine"/>
    <x v="0"/>
    <x v="0"/>
    <n v="13"/>
    <s v="Area 13: S Puget Sound"/>
    <s v="Area 13: S Puget Sound"/>
    <s v="NA"/>
    <x v="3"/>
    <s v="Kitsap"/>
    <x v="4"/>
    <s v="South Puget Sound"/>
    <m/>
    <n v="14.7654986522911"/>
    <n v="124.082587601078"/>
  </r>
  <r>
    <n v="3590"/>
    <x v="5"/>
    <s v="Marine"/>
    <x v="0"/>
    <x v="0"/>
    <n v="13"/>
    <s v="Area 13: S Puget Sound"/>
    <s v="Area 13: S Puget Sound"/>
    <s v="NA"/>
    <x v="3"/>
    <s v="Mason"/>
    <x v="5"/>
    <s v="South Puget Sound"/>
    <m/>
    <n v="310.07547169811301"/>
    <n v="2605.7343396226402"/>
  </r>
  <r>
    <n v="3592"/>
    <x v="5"/>
    <s v="Marine"/>
    <x v="0"/>
    <x v="0"/>
    <n v="13"/>
    <s v="Area 13: S Puget Sound"/>
    <s v="Area 13: S Puget Sound"/>
    <s v="NA"/>
    <x v="3"/>
    <s v="Other"/>
    <x v="6"/>
    <s v="Non Puget Sound"/>
    <m/>
    <n v="147.654986522911"/>
    <n v="1240.8258760107799"/>
  </r>
  <r>
    <n v="3538"/>
    <x v="5"/>
    <s v="Marine"/>
    <x v="0"/>
    <x v="0"/>
    <n v="13"/>
    <s v="Area 13: S Puget Sound"/>
    <s v="Area 13: S Puget Sound"/>
    <s v="NA"/>
    <x v="3"/>
    <s v="Pierce"/>
    <x v="7"/>
    <s v="South Puget Sound"/>
    <m/>
    <n v="1129.5606469002701"/>
    <n v="9492.3179514824806"/>
  </r>
  <r>
    <n v="3539"/>
    <x v="5"/>
    <s v="Marine"/>
    <x v="0"/>
    <x v="0"/>
    <n v="13"/>
    <s v="Area 13: S Puget Sound"/>
    <s v="Area 13: S Puget Sound"/>
    <s v="NA"/>
    <x v="3"/>
    <s v="Thurston"/>
    <x v="10"/>
    <s v="South Puget Sound"/>
    <m/>
    <n v="1077.88140161725"/>
    <n v="9058.0288948787093"/>
  </r>
  <r>
    <n v="1436"/>
    <x v="5"/>
    <s v="Marine"/>
    <x v="0"/>
    <x v="0"/>
    <d v="2023-08-01T00:00:00"/>
    <s v="Area 8-1: Skagit Bay-Saratoga Psg."/>
    <s v="Area 8-1: Skagit Bay-Saratoga Psg."/>
    <s v="NA"/>
    <x v="2"/>
    <s v="Clallam"/>
    <x v="0"/>
    <s v="Strait of Juan de Fuca"/>
    <m/>
    <n v="7.1098610191925902"/>
    <n v="12.967359364659201"/>
  </r>
  <r>
    <n v="1295"/>
    <x v="5"/>
    <s v="Marine"/>
    <x v="0"/>
    <x v="0"/>
    <d v="2023-08-01T00:00:00"/>
    <s v="Area 8-1: Skagit Bay-Saratoga Psg."/>
    <s v="Area 8-1: Skagit Bay-Saratoga Psg."/>
    <s v="NA"/>
    <x v="2"/>
    <s v="Island"/>
    <x v="1"/>
    <s v="North Puget Sound"/>
    <m/>
    <n v="3853.54467240238"/>
    <n v="7028.3087756452696"/>
  </r>
  <r>
    <n v="1296"/>
    <x v="5"/>
    <s v="Marine"/>
    <x v="0"/>
    <x v="0"/>
    <d v="2023-08-01T00:00:00"/>
    <s v="Area 8-1: Skagit Bay-Saratoga Psg."/>
    <s v="Area 8-1: Skagit Bay-Saratoga Psg."/>
    <s v="NA"/>
    <x v="2"/>
    <s v="King"/>
    <x v="3"/>
    <s v="South Puget Sound"/>
    <m/>
    <n v="846.07346128391805"/>
    <n v="1543.11576439444"/>
  </r>
  <r>
    <n v="1435"/>
    <x v="5"/>
    <s v="Marine"/>
    <x v="0"/>
    <x v="0"/>
    <d v="2023-08-01T00:00:00"/>
    <s v="Area 8-1: Skagit Bay-Saratoga Psg."/>
    <s v="Area 8-1: Skagit Bay-Saratoga Psg."/>
    <s v="NA"/>
    <x v="2"/>
    <s v="Kitsap"/>
    <x v="4"/>
    <s v="South Puget Sound"/>
    <m/>
    <n v="85.3183322303111"/>
    <n v="155.60831237591"/>
  </r>
  <r>
    <n v="1437"/>
    <x v="5"/>
    <s v="Marine"/>
    <x v="0"/>
    <x v="0"/>
    <d v="2023-08-01T00:00:00"/>
    <s v="Area 8-1: Skagit Bay-Saratoga Psg."/>
    <s v="Area 8-1: Skagit Bay-Saratoga Psg."/>
    <s v="NA"/>
    <x v="2"/>
    <s v="Other"/>
    <x v="6"/>
    <s v="Non Puget Sound"/>
    <m/>
    <n v="1827.2342819324999"/>
    <n v="3332.6113567174102"/>
  </r>
  <r>
    <n v="1297"/>
    <x v="5"/>
    <s v="Marine"/>
    <x v="0"/>
    <x v="0"/>
    <d v="2023-08-01T00:00:00"/>
    <s v="Area 8-1: Skagit Bay-Saratoga Psg."/>
    <s v="Area 8-1: Skagit Bay-Saratoga Psg."/>
    <s v="NA"/>
    <x v="2"/>
    <s v="Pierce"/>
    <x v="7"/>
    <s v="South Puget Sound"/>
    <m/>
    <n v="92.428193249503707"/>
    <n v="168.57567174056899"/>
  </r>
  <r>
    <n v="1293"/>
    <x v="5"/>
    <s v="Marine"/>
    <x v="0"/>
    <x v="0"/>
    <d v="2023-08-01T00:00:00"/>
    <s v="Area 8-1: Skagit Bay-Saratoga Psg."/>
    <s v="Area 8-1: Skagit Bay-Saratoga Psg."/>
    <s v="NA"/>
    <x v="2"/>
    <s v="Skagit"/>
    <x v="8"/>
    <s v="North Puget Sound"/>
    <m/>
    <n v="2310.70483123759"/>
    <n v="4214.3917935142299"/>
  </r>
  <r>
    <n v="1294"/>
    <x v="5"/>
    <s v="Marine"/>
    <x v="0"/>
    <x v="0"/>
    <d v="2023-08-01T00:00:00"/>
    <s v="Area 8-1: Skagit Bay-Saratoga Psg."/>
    <s v="Area 8-1: Skagit Bay-Saratoga Psg."/>
    <s v="NA"/>
    <x v="2"/>
    <s v="Snohomish"/>
    <x v="9"/>
    <s v="North Puget Sound"/>
    <m/>
    <n v="1244.2256783587"/>
    <n v="2269.28788881536"/>
  </r>
  <r>
    <n v="1298"/>
    <x v="5"/>
    <s v="Marine"/>
    <x v="0"/>
    <x v="0"/>
    <d v="2023-08-01T00:00:00"/>
    <s v="Area 8-1: Skagit Bay-Saratoga Psg."/>
    <s v="Area 8-1: Skagit Bay-Saratoga Psg."/>
    <s v="NA"/>
    <x v="2"/>
    <s v="Thurston"/>
    <x v="10"/>
    <s v="South Puget Sound"/>
    <m/>
    <n v="7.1098610191925902"/>
    <n v="12.967359364659201"/>
  </r>
  <r>
    <n v="1292"/>
    <x v="5"/>
    <s v="Marine"/>
    <x v="0"/>
    <x v="0"/>
    <d v="2023-08-01T00:00:00"/>
    <s v="Area 8-1: Skagit Bay-Saratoga Psg."/>
    <s v="Area 8-1: Skagit Bay-Saratoga Psg."/>
    <s v="NA"/>
    <x v="2"/>
    <s v="Whatcom"/>
    <x v="11"/>
    <s v="North Puget Sound"/>
    <m/>
    <n v="469.25082726671098"/>
    <n v="855.845718067505"/>
  </r>
  <r>
    <n v="1619"/>
    <x v="5"/>
    <s v="Marine"/>
    <x v="0"/>
    <x v="0"/>
    <d v="2023-08-02T00:00:00"/>
    <s v="Area 8-2: Port Susan-Port Gardner"/>
    <s v="Area 8-2: Port Susan-Port Gardner"/>
    <s v="NA"/>
    <x v="2"/>
    <s v="Clallam"/>
    <x v="0"/>
    <s v="Strait of Juan de Fuca"/>
    <m/>
    <n v="100.939520730316"/>
    <n v="123.41322175732201"/>
  </r>
  <r>
    <n v="1441"/>
    <x v="5"/>
    <s v="Marine"/>
    <x v="0"/>
    <x v="0"/>
    <d v="2023-08-02T00:00:00"/>
    <s v="Area 8-2: Port Susan-Port Gardner"/>
    <s v="Area 8-2: Port Susan-Port Gardner"/>
    <s v="NA"/>
    <x v="2"/>
    <s v="Island"/>
    <x v="1"/>
    <s v="North Puget Sound"/>
    <m/>
    <n v="1117.54469379992"/>
    <n v="1366.3606694560699"/>
  </r>
  <r>
    <n v="1442"/>
    <x v="5"/>
    <s v="Marine"/>
    <x v="0"/>
    <x v="0"/>
    <d v="2023-08-02T00:00:00"/>
    <s v="Area 8-2: Port Susan-Port Gardner"/>
    <s v="Area 8-2: Port Susan-Port Gardner"/>
    <s v="NA"/>
    <x v="2"/>
    <s v="King"/>
    <x v="3"/>
    <s v="South Puget Sound"/>
    <m/>
    <n v="5349.7945987067296"/>
    <n v="6540.9007531380803"/>
  </r>
  <r>
    <n v="1618"/>
    <x v="5"/>
    <s v="Marine"/>
    <x v="0"/>
    <x v="0"/>
    <d v="2023-08-02T00:00:00"/>
    <s v="Area 8-2: Port Susan-Port Gardner"/>
    <s v="Area 8-2: Port Susan-Port Gardner"/>
    <s v="NA"/>
    <x v="2"/>
    <s v="Kitsap"/>
    <x v="4"/>
    <s v="South Puget Sound"/>
    <m/>
    <n v="158.61924686192501"/>
    <n v="193.935062761506"/>
  </r>
  <r>
    <n v="1617"/>
    <x v="5"/>
    <s v="Marine"/>
    <x v="0"/>
    <x v="0"/>
    <d v="2023-08-02T00:00:00"/>
    <s v="Area 8-2: Port Susan-Port Gardner"/>
    <s v="Area 8-2: Port Susan-Port Gardner"/>
    <s v="NA"/>
    <x v="2"/>
    <s v="Mason"/>
    <x v="5"/>
    <s v="South Puget Sound"/>
    <m/>
    <n v="64.889691898060093"/>
    <n v="79.337071129707098"/>
  </r>
  <r>
    <n v="1620"/>
    <x v="5"/>
    <s v="Marine"/>
    <x v="0"/>
    <x v="0"/>
    <d v="2023-08-02T00:00:00"/>
    <s v="Area 8-2: Port Susan-Port Gardner"/>
    <s v="Area 8-2: Port Susan-Port Gardner"/>
    <s v="NA"/>
    <x v="2"/>
    <s v="Other"/>
    <x v="6"/>
    <s v="Non Puget Sound"/>
    <m/>
    <n v="3504.0433624952502"/>
    <n v="4284.2018410041801"/>
  </r>
  <r>
    <n v="1615"/>
    <x v="5"/>
    <s v="Marine"/>
    <x v="0"/>
    <x v="0"/>
    <d v="2023-08-02T00:00:00"/>
    <s v="Area 8-2: Port Susan-Port Gardner"/>
    <s v="Area 8-2: Port Susan-Port Gardner"/>
    <s v="NA"/>
    <x v="2"/>
    <s v="Pierce"/>
    <x v="7"/>
    <s v="South Puget Sound"/>
    <m/>
    <n v="216.29897299353399"/>
    <n v="264.45690376569002"/>
  </r>
  <r>
    <n v="1439"/>
    <x v="5"/>
    <s v="Marine"/>
    <x v="0"/>
    <x v="0"/>
    <d v="2023-08-02T00:00:00"/>
    <s v="Area 8-2: Port Susan-Port Gardner"/>
    <s v="Area 8-2: Port Susan-Port Gardner"/>
    <s v="NA"/>
    <x v="2"/>
    <s v="Skagit"/>
    <x v="8"/>
    <s v="North Puget Sound"/>
    <m/>
    <n v="432.59794598706702"/>
    <n v="528.91380753138105"/>
  </r>
  <r>
    <n v="1440"/>
    <x v="5"/>
    <s v="Marine"/>
    <x v="0"/>
    <x v="0"/>
    <d v="2023-08-02T00:00:00"/>
    <s v="Area 8-2: Port Susan-Port Gardner"/>
    <s v="Area 8-2: Port Susan-Port Gardner"/>
    <s v="NA"/>
    <x v="2"/>
    <s v="Snohomish"/>
    <x v="9"/>
    <s v="North Puget Sound"/>
    <m/>
    <n v="26712.923164701398"/>
    <n v="32660.427615062799"/>
  </r>
  <r>
    <n v="1616"/>
    <x v="5"/>
    <s v="Marine"/>
    <x v="0"/>
    <x v="0"/>
    <d v="2023-08-02T00:00:00"/>
    <s v="Area 8-2: Port Susan-Port Gardner"/>
    <s v="Area 8-2: Port Susan-Port Gardner"/>
    <s v="NA"/>
    <x v="2"/>
    <s v="Thurston"/>
    <x v="10"/>
    <s v="South Puget Sound"/>
    <m/>
    <n v="79.309623430962404"/>
    <n v="96.967531380753201"/>
  </r>
  <r>
    <n v="1438"/>
    <x v="5"/>
    <s v="Marine"/>
    <x v="0"/>
    <x v="0"/>
    <d v="2023-08-02T00:00:00"/>
    <s v="Area 8-2: Port Susan-Port Gardner"/>
    <s v="Area 8-2: Port Susan-Port Gardner"/>
    <s v="NA"/>
    <x v="2"/>
    <s v="Whatcom"/>
    <x v="11"/>
    <s v="North Puget Sound"/>
    <m/>
    <n v="173.03917839482699"/>
    <n v="211.56552301255201"/>
  </r>
  <r>
    <n v="2393"/>
    <x v="6"/>
    <s v="Marine"/>
    <x v="0"/>
    <x v="0"/>
    <n v="5"/>
    <s v="Area 5: W Juan de Fuca"/>
    <s v="Area 5: W Juan de Fuca"/>
    <s v="NA"/>
    <x v="0"/>
    <s v="Clallam"/>
    <x v="0"/>
    <s v="Strait of Juan de Fuca"/>
    <m/>
    <n v="536.48874598070802"/>
    <n v="2081.93450160772"/>
  </r>
  <r>
    <n v="2377"/>
    <x v="6"/>
    <s v="Marine"/>
    <x v="0"/>
    <x v="0"/>
    <n v="5"/>
    <s v="Area 5: W Juan de Fuca"/>
    <s v="Area 5: W Juan de Fuca"/>
    <s v="NA"/>
    <x v="0"/>
    <s v="Island"/>
    <x v="1"/>
    <s v="North Puget Sound"/>
    <m/>
    <n v="20.372990353697801"/>
    <n v="79.060803858520899"/>
  </r>
  <r>
    <n v="2394"/>
    <x v="6"/>
    <s v="Marine"/>
    <x v="0"/>
    <x v="0"/>
    <n v="5"/>
    <s v="Area 5: W Juan de Fuca"/>
    <s v="Area 5: W Juan de Fuca"/>
    <s v="NA"/>
    <x v="0"/>
    <s v="Jefferson"/>
    <x v="2"/>
    <s v="Strait of Juan de Fuca"/>
    <m/>
    <n v="203.72990353697799"/>
    <n v="790.60803858520899"/>
  </r>
  <r>
    <n v="2378"/>
    <x v="6"/>
    <s v="Marine"/>
    <x v="0"/>
    <x v="0"/>
    <n v="5"/>
    <s v="Area 5: W Juan de Fuca"/>
    <s v="Area 5: W Juan de Fuca"/>
    <s v="NA"/>
    <x v="0"/>
    <s v="King"/>
    <x v="3"/>
    <s v="South Puget Sound"/>
    <m/>
    <n v="427.83279742765302"/>
    <n v="1660.2768810289399"/>
  </r>
  <r>
    <n v="2382"/>
    <x v="6"/>
    <s v="Marine"/>
    <x v="0"/>
    <x v="0"/>
    <n v="5"/>
    <s v="Area 5: W Juan de Fuca"/>
    <s v="Area 5: W Juan de Fuca"/>
    <s v="NA"/>
    <x v="0"/>
    <s v="Kitsap"/>
    <x v="4"/>
    <s v="South Puget Sound"/>
    <m/>
    <n v="224.10289389067501"/>
    <n v="869.66884244373"/>
  </r>
  <r>
    <n v="2381"/>
    <x v="6"/>
    <s v="Marine"/>
    <x v="0"/>
    <x v="0"/>
    <n v="5"/>
    <s v="Area 5: W Juan de Fuca"/>
    <s v="Area 5: W Juan de Fuca"/>
    <s v="NA"/>
    <x v="0"/>
    <s v="Mason"/>
    <x v="5"/>
    <s v="South Puget Sound"/>
    <m/>
    <n v="54.3279742765273"/>
    <n v="210.828810289389"/>
  </r>
  <r>
    <n v="2395"/>
    <x v="6"/>
    <s v="Marine"/>
    <x v="0"/>
    <x v="0"/>
    <n v="5"/>
    <s v="Area 5: W Juan de Fuca"/>
    <s v="Area 5: W Juan de Fuca"/>
    <s v="NA"/>
    <x v="0"/>
    <s v="Other"/>
    <x v="6"/>
    <s v="Non Puget Sound"/>
    <m/>
    <n v="1439.6913183279701"/>
    <n v="5586.96347266881"/>
  </r>
  <r>
    <n v="2379"/>
    <x v="6"/>
    <s v="Marine"/>
    <x v="0"/>
    <x v="0"/>
    <n v="5"/>
    <s v="Area 5: W Juan de Fuca"/>
    <s v="Area 5: W Juan de Fuca"/>
    <s v="NA"/>
    <x v="0"/>
    <s v="Pierce"/>
    <x v="7"/>
    <s v="South Puget Sound"/>
    <m/>
    <n v="882.82958199356904"/>
    <n v="3425.9681672025699"/>
  </r>
  <r>
    <n v="2285"/>
    <x v="6"/>
    <s v="Marine"/>
    <x v="0"/>
    <x v="0"/>
    <n v="5"/>
    <s v="Area 5: W Juan de Fuca"/>
    <s v="Area 5: W Juan de Fuca"/>
    <s v="NA"/>
    <x v="0"/>
    <s v="Skagit"/>
    <x v="8"/>
    <s v="North Puget Sound"/>
    <m/>
    <n v="81.491961414791007"/>
    <n v="316.24321543408399"/>
  </r>
  <r>
    <n v="2376"/>
    <x v="6"/>
    <s v="Marine"/>
    <x v="0"/>
    <x v="0"/>
    <n v="5"/>
    <s v="Area 5: W Juan de Fuca"/>
    <s v="Area 5: W Juan de Fuca"/>
    <s v="NA"/>
    <x v="0"/>
    <s v="Snohomish"/>
    <x v="9"/>
    <s v="North Puget Sound"/>
    <m/>
    <n v="156.19292604501601"/>
    <n v="606.13282958199397"/>
  </r>
  <r>
    <n v="2380"/>
    <x v="6"/>
    <s v="Marine"/>
    <x v="0"/>
    <x v="0"/>
    <n v="5"/>
    <s v="Area 5: W Juan de Fuca"/>
    <s v="Area 5: W Juan de Fuca"/>
    <s v="NA"/>
    <x v="0"/>
    <s v="Thurston"/>
    <x v="10"/>
    <s v="South Puget Sound"/>
    <m/>
    <n v="190.147909967846"/>
    <n v="737.90083601286199"/>
  </r>
  <r>
    <n v="2284"/>
    <x v="6"/>
    <s v="Marine"/>
    <x v="0"/>
    <x v="0"/>
    <n v="5"/>
    <s v="Area 5: W Juan de Fuca"/>
    <s v="Area 5: W Juan de Fuca"/>
    <s v="NA"/>
    <x v="0"/>
    <s v="Whatcom"/>
    <x v="11"/>
    <s v="North Puget Sound"/>
    <m/>
    <n v="6.7909967845659196"/>
    <n v="26.3536012861736"/>
  </r>
  <r>
    <n v="2503"/>
    <x v="6"/>
    <s v="Marine"/>
    <x v="0"/>
    <x v="0"/>
    <n v="6"/>
    <s v="Area 6: E Juan de Fuca"/>
    <s v="Area 6: E Juan de Fuca"/>
    <s v="NA"/>
    <x v="0"/>
    <s v="Clallam"/>
    <x v="0"/>
    <s v="Strait of Juan de Fuca"/>
    <m/>
    <n v="4756.05"/>
    <n v="12392.731"/>
  </r>
  <r>
    <n v="2487"/>
    <x v="6"/>
    <s v="Marine"/>
    <x v="0"/>
    <x v="0"/>
    <n v="6"/>
    <s v="Area 6: E Juan de Fuca"/>
    <s v="Area 6: E Juan de Fuca"/>
    <s v="NA"/>
    <x v="0"/>
    <s v="Island"/>
    <x v="1"/>
    <s v="North Puget Sound"/>
    <m/>
    <n v="182.92500000000001"/>
    <n v="476.64350000000002"/>
  </r>
  <r>
    <n v="2504"/>
    <x v="6"/>
    <s v="Marine"/>
    <x v="0"/>
    <x v="0"/>
    <n v="6"/>
    <s v="Area 6: E Juan de Fuca"/>
    <s v="Area 6: E Juan de Fuca"/>
    <s v="NA"/>
    <x v="0"/>
    <s v="Jefferson"/>
    <x v="2"/>
    <s v="Strait of Juan de Fuca"/>
    <m/>
    <n v="323.63653846153898"/>
    <n v="843.29234615384598"/>
  </r>
  <r>
    <n v="2488"/>
    <x v="6"/>
    <s v="Marine"/>
    <x v="0"/>
    <x v="0"/>
    <n v="6"/>
    <s v="Area 6: E Juan de Fuca"/>
    <s v="Area 6: E Juan de Fuca"/>
    <s v="NA"/>
    <x v="0"/>
    <s v="King"/>
    <x v="3"/>
    <s v="South Puget Sound"/>
    <m/>
    <n v="182.92500000000001"/>
    <n v="476.64350000000002"/>
  </r>
  <r>
    <n v="2492"/>
    <x v="6"/>
    <s v="Marine"/>
    <x v="0"/>
    <x v="0"/>
    <n v="6"/>
    <s v="Area 6: E Juan de Fuca"/>
    <s v="Area 6: E Juan de Fuca"/>
    <s v="NA"/>
    <x v="0"/>
    <s v="Kitsap"/>
    <x v="4"/>
    <s v="South Puget Sound"/>
    <m/>
    <n v="168.85384615384601"/>
    <n v="439.97861538461501"/>
  </r>
  <r>
    <n v="2491"/>
    <x v="6"/>
    <s v="Marine"/>
    <x v="0"/>
    <x v="0"/>
    <n v="6"/>
    <s v="Area 6: E Juan de Fuca"/>
    <s v="Area 6: E Juan de Fuca"/>
    <s v="NA"/>
    <x v="0"/>
    <s v="Mason"/>
    <x v="5"/>
    <s v="South Puget Sound"/>
    <m/>
    <n v="7.0355769230769303"/>
    <n v="18.3324423076923"/>
  </r>
  <r>
    <n v="2505"/>
    <x v="6"/>
    <s v="Marine"/>
    <x v="0"/>
    <x v="0"/>
    <n v="6"/>
    <s v="Area 6: E Juan de Fuca"/>
    <s v="Area 6: E Juan de Fuca"/>
    <s v="NA"/>
    <x v="0"/>
    <s v="Other"/>
    <x v="6"/>
    <s v="Non Puget Sound"/>
    <m/>
    <n v="457.3125"/>
    <n v="1191.6087500000001"/>
  </r>
  <r>
    <n v="2489"/>
    <x v="6"/>
    <s v="Marine"/>
    <x v="0"/>
    <x v="0"/>
    <n v="6"/>
    <s v="Area 6: E Juan de Fuca"/>
    <s v="Area 6: E Juan de Fuca"/>
    <s v="NA"/>
    <x v="0"/>
    <s v="Pierce"/>
    <x v="7"/>
    <s v="South Puget Sound"/>
    <m/>
    <n v="436.20576923076902"/>
    <n v="1136.6114230769199"/>
  </r>
  <r>
    <n v="2485"/>
    <x v="6"/>
    <s v="Marine"/>
    <x v="0"/>
    <x v="0"/>
    <n v="6"/>
    <s v="Area 6: E Juan de Fuca"/>
    <s v="Area 6: E Juan de Fuca"/>
    <s v="NA"/>
    <x v="0"/>
    <s v="Skagit"/>
    <x v="8"/>
    <s v="North Puget Sound"/>
    <m/>
    <n v="260.31634615384598"/>
    <n v="678.30036538461502"/>
  </r>
  <r>
    <n v="2486"/>
    <x v="6"/>
    <s v="Marine"/>
    <x v="0"/>
    <x v="0"/>
    <n v="6"/>
    <s v="Area 6: E Juan de Fuca"/>
    <s v="Area 6: E Juan de Fuca"/>
    <s v="NA"/>
    <x v="0"/>
    <s v="Snohomish"/>
    <x v="9"/>
    <s v="North Puget Sound"/>
    <m/>
    <n v="401.02788461538501"/>
    <n v="1044.9492115384601"/>
  </r>
  <r>
    <n v="2490"/>
    <x v="6"/>
    <s v="Marine"/>
    <x v="0"/>
    <x v="0"/>
    <n v="6"/>
    <s v="Area 6: E Juan de Fuca"/>
    <s v="Area 6: E Juan de Fuca"/>
    <s v="NA"/>
    <x v="0"/>
    <s v="Thurston"/>
    <x v="10"/>
    <s v="South Puget Sound"/>
    <m/>
    <n v="126.640384615385"/>
    <n v="329.98396153846198"/>
  </r>
  <r>
    <n v="2396"/>
    <x v="6"/>
    <s v="Marine"/>
    <x v="0"/>
    <x v="0"/>
    <n v="6"/>
    <s v="Area 6: E Juan de Fuca"/>
    <s v="Area 6: E Juan de Fuca"/>
    <s v="NA"/>
    <x v="0"/>
    <s v="Whatcom"/>
    <x v="11"/>
    <s v="North Puget Sound"/>
    <m/>
    <n v="14.0711538461538"/>
    <n v="36.664884615384601"/>
  </r>
  <r>
    <n v="3406"/>
    <x v="6"/>
    <s v="Marine"/>
    <x v="0"/>
    <x v="0"/>
    <n v="7"/>
    <s v="Area 7: San Juan Islands"/>
    <s v="Area 7: San Juan Islands"/>
    <s v="NA"/>
    <x v="1"/>
    <s v="Clallam"/>
    <x v="0"/>
    <s v="Strait of Juan de Fuca"/>
    <m/>
    <n v="57.453703703703702"/>
    <n v="283.91685185185202"/>
  </r>
  <r>
    <n v="3400"/>
    <x v="6"/>
    <s v="Marine"/>
    <x v="0"/>
    <x v="0"/>
    <n v="7"/>
    <s v="Area 7: San Juan Islands"/>
    <s v="Area 7: San Juan Islands"/>
    <s v="NA"/>
    <x v="1"/>
    <s v="Island"/>
    <x v="1"/>
    <s v="North Puget Sound"/>
    <m/>
    <n v="492.46031746031798"/>
    <n v="2433.5730158730198"/>
  </r>
  <r>
    <n v="3402"/>
    <x v="6"/>
    <s v="Marine"/>
    <x v="0"/>
    <x v="0"/>
    <n v="7"/>
    <s v="Area 7: San Juan Islands"/>
    <s v="Area 7: San Juan Islands"/>
    <s v="NA"/>
    <x v="1"/>
    <s v="King"/>
    <x v="3"/>
    <s v="South Puget Sound"/>
    <m/>
    <n v="705.85978835978801"/>
    <n v="3488.1213227513199"/>
  </r>
  <r>
    <n v="3405"/>
    <x v="6"/>
    <s v="Marine"/>
    <x v="0"/>
    <x v="0"/>
    <n v="7"/>
    <s v="Area 7: San Juan Islands"/>
    <s v="Area 7: San Juan Islands"/>
    <s v="NA"/>
    <x v="1"/>
    <s v="Kitsap"/>
    <x v="4"/>
    <s v="South Puget Sound"/>
    <m/>
    <n v="8.2076719576719608"/>
    <n v="40.559550264550303"/>
  </r>
  <r>
    <n v="3407"/>
    <x v="6"/>
    <s v="Marine"/>
    <x v="0"/>
    <x v="0"/>
    <n v="7"/>
    <s v="Area 7: San Juan Islands"/>
    <s v="Area 7: San Juan Islands"/>
    <s v="NA"/>
    <x v="1"/>
    <s v="Other"/>
    <x v="6"/>
    <s v="Non Puget Sound"/>
    <m/>
    <n v="443.21428571428601"/>
    <n v="2190.21571428571"/>
  </r>
  <r>
    <n v="3403"/>
    <x v="6"/>
    <s v="Marine"/>
    <x v="0"/>
    <x v="0"/>
    <n v="7"/>
    <s v="Area 7: San Juan Islands"/>
    <s v="Area 7: San Juan Islands"/>
    <s v="NA"/>
    <x v="1"/>
    <s v="Pierce"/>
    <x v="7"/>
    <s v="South Puget Sound"/>
    <m/>
    <n v="98.492063492063494"/>
    <n v="486.71460317460298"/>
  </r>
  <r>
    <n v="3401"/>
    <x v="6"/>
    <s v="Marine"/>
    <x v="0"/>
    <x v="0"/>
    <n v="7"/>
    <s v="Area 7: San Juan Islands"/>
    <s v="Area 7: San Juan Islands"/>
    <s v="NA"/>
    <x v="1"/>
    <s v="San Juan"/>
    <x v="12"/>
    <s v="North Puget Sound"/>
    <m/>
    <n v="697.65211640211601"/>
    <n v="3447.5617724867702"/>
  </r>
  <r>
    <n v="3343"/>
    <x v="6"/>
    <s v="Marine"/>
    <x v="0"/>
    <x v="0"/>
    <n v="7"/>
    <s v="Area 7: San Juan Islands"/>
    <s v="Area 7: San Juan Islands"/>
    <s v="NA"/>
    <x v="1"/>
    <s v="Skagit"/>
    <x v="8"/>
    <s v="North Puget Sound"/>
    <m/>
    <n v="1698.9880952381"/>
    <n v="8395.8269047619106"/>
  </r>
  <r>
    <n v="3344"/>
    <x v="6"/>
    <s v="Marine"/>
    <x v="0"/>
    <x v="0"/>
    <n v="7"/>
    <s v="Area 7: San Juan Islands"/>
    <s v="Area 7: San Juan Islands"/>
    <s v="NA"/>
    <x v="1"/>
    <s v="Snohomish"/>
    <x v="9"/>
    <s v="North Puget Sound"/>
    <m/>
    <n v="746.89814814814804"/>
    <n v="3690.9190740740801"/>
  </r>
  <r>
    <n v="3404"/>
    <x v="6"/>
    <s v="Marine"/>
    <x v="0"/>
    <x v="0"/>
    <n v="7"/>
    <s v="Area 7: San Juan Islands"/>
    <s v="Area 7: San Juan Islands"/>
    <s v="NA"/>
    <x v="1"/>
    <s v="Thurston"/>
    <x v="10"/>
    <s v="South Puget Sound"/>
    <m/>
    <n v="41.038359788359799"/>
    <n v="202.797751322751"/>
  </r>
  <r>
    <n v="3342"/>
    <x v="6"/>
    <s v="Marine"/>
    <x v="0"/>
    <x v="0"/>
    <n v="7"/>
    <s v="Area 7: San Juan Islands"/>
    <s v="Area 7: San Juan Islands"/>
    <s v="NA"/>
    <x v="1"/>
    <s v="Whatcom"/>
    <x v="11"/>
    <s v="North Puget Sound"/>
    <m/>
    <n v="1214.7354497354499"/>
    <n v="6002.8134391534404"/>
  </r>
  <r>
    <n v="2346"/>
    <x v="6"/>
    <s v="Marine"/>
    <x v="0"/>
    <x v="0"/>
    <n v="9"/>
    <s v="Area 9: Admiralty Inlet"/>
    <s v="Area 9: Admiralty Inlet"/>
    <s v="NA"/>
    <x v="2"/>
    <s v="Clallam"/>
    <x v="0"/>
    <s v="Strait of Juan de Fuca"/>
    <m/>
    <n v="46.970330782312899"/>
    <n v="194.50187755101999"/>
  </r>
  <r>
    <n v="2239"/>
    <x v="6"/>
    <s v="Marine"/>
    <x v="0"/>
    <x v="0"/>
    <n v="9"/>
    <s v="Area 9: Admiralty Inlet"/>
    <s v="Area 9: Admiralty Inlet"/>
    <s v="NA"/>
    <x v="2"/>
    <s v="Island"/>
    <x v="1"/>
    <s v="North Puget Sound"/>
    <m/>
    <n v="663.45592230016996"/>
    <n v="2747.3390204081602"/>
  </r>
  <r>
    <n v="2347"/>
    <x v="6"/>
    <s v="Marine"/>
    <x v="0"/>
    <x v="0"/>
    <n v="9"/>
    <s v="Area 9: Admiralty Inlet"/>
    <s v="Area 9: Admiralty Inlet"/>
    <s v="NA"/>
    <x v="2"/>
    <s v="Jefferson"/>
    <x v="2"/>
    <s v="Strait of Juan de Fuca"/>
    <m/>
    <n v="868.95111947278895"/>
    <n v="3598.2847346938802"/>
  </r>
  <r>
    <n v="2241"/>
    <x v="6"/>
    <s v="Marine"/>
    <x v="0"/>
    <x v="0"/>
    <n v="9"/>
    <s v="Area 9: Admiralty Inlet"/>
    <s v="Area 9: Admiralty Inlet"/>
    <s v="NA"/>
    <x v="2"/>
    <s v="King"/>
    <x v="3"/>
    <s v="South Puget Sound"/>
    <m/>
    <n v="1332.7831359481299"/>
    <n v="5518.9907755102004"/>
  </r>
  <r>
    <n v="2345"/>
    <x v="6"/>
    <s v="Marine"/>
    <x v="0"/>
    <x v="0"/>
    <n v="9"/>
    <s v="Area 9: Admiralty Inlet"/>
    <s v="Area 9: Admiralty Inlet"/>
    <s v="NA"/>
    <x v="2"/>
    <s v="Kitsap"/>
    <x v="4"/>
    <s v="South Puget Sound"/>
    <m/>
    <n v="487.31718186649698"/>
    <n v="2017.9569795918401"/>
  </r>
  <r>
    <n v="2344"/>
    <x v="6"/>
    <s v="Marine"/>
    <x v="0"/>
    <x v="0"/>
    <n v="9"/>
    <s v="Area 9: Admiralty Inlet"/>
    <s v="Area 9: Admiralty Inlet"/>
    <s v="NA"/>
    <x v="2"/>
    <s v="Mason"/>
    <x v="5"/>
    <s v="South Puget Sound"/>
    <m/>
    <n v="5.8712913477891204"/>
    <n v="24.312734693877601"/>
  </r>
  <r>
    <n v="2348"/>
    <x v="6"/>
    <s v="Marine"/>
    <x v="0"/>
    <x v="0"/>
    <n v="9"/>
    <s v="Area 9: Admiralty Inlet"/>
    <s v="Area 9: Admiralty Inlet"/>
    <s v="NA"/>
    <x v="2"/>
    <s v="Other"/>
    <x v="6"/>
    <s v="Non Puget Sound"/>
    <m/>
    <n v="446.21814243197298"/>
    <n v="1847.76783673469"/>
  </r>
  <r>
    <n v="2342"/>
    <x v="6"/>
    <s v="Marine"/>
    <x v="0"/>
    <x v="0"/>
    <n v="9"/>
    <s v="Area 9: Admiralty Inlet"/>
    <s v="Area 9: Admiralty Inlet"/>
    <s v="NA"/>
    <x v="2"/>
    <s v="Pierce"/>
    <x v="7"/>
    <s v="South Puget Sound"/>
    <m/>
    <n v="334.66360682397999"/>
    <n v="1385.8258775510201"/>
  </r>
  <r>
    <n v="2240"/>
    <x v="6"/>
    <s v="Marine"/>
    <x v="0"/>
    <x v="0"/>
    <n v="9"/>
    <s v="Area 9: Admiralty Inlet"/>
    <s v="Area 9: Admiralty Inlet"/>
    <s v="NA"/>
    <x v="2"/>
    <s v="San Juan"/>
    <x v="12"/>
    <s v="North Puget Sound"/>
    <m/>
    <n v="5.8712913477891204"/>
    <n v="24.312734693877601"/>
  </r>
  <r>
    <n v="2237"/>
    <x v="6"/>
    <s v="Marine"/>
    <x v="0"/>
    <x v="0"/>
    <n v="9"/>
    <s v="Area 9: Admiralty Inlet"/>
    <s v="Area 9: Admiralty Inlet"/>
    <s v="NA"/>
    <x v="2"/>
    <s v="Skagit"/>
    <x v="8"/>
    <s v="North Puget Sound"/>
    <m/>
    <n v="105.68324426020401"/>
    <n v="437.629224489796"/>
  </r>
  <r>
    <n v="2238"/>
    <x v="6"/>
    <s v="Marine"/>
    <x v="0"/>
    <x v="0"/>
    <n v="9"/>
    <s v="Area 9: Admiralty Inlet"/>
    <s v="Area 9: Admiralty Inlet"/>
    <s v="NA"/>
    <x v="2"/>
    <s v="Snohomish"/>
    <x v="9"/>
    <s v="North Puget Sound"/>
    <m/>
    <n v="1373.8821753826501"/>
    <n v="5689.1799183673502"/>
  </r>
  <r>
    <n v="2343"/>
    <x v="6"/>
    <s v="Marine"/>
    <x v="0"/>
    <x v="0"/>
    <n v="9"/>
    <s v="Area 9: Admiralty Inlet"/>
    <s v="Area 9: Admiralty Inlet"/>
    <s v="NA"/>
    <x v="2"/>
    <s v="Thurston"/>
    <x v="10"/>
    <s v="South Puget Sound"/>
    <m/>
    <n v="11.7425826955782"/>
    <n v="48.625469387755103"/>
  </r>
  <r>
    <n v="2236"/>
    <x v="6"/>
    <s v="Marine"/>
    <x v="0"/>
    <x v="0"/>
    <n v="9"/>
    <s v="Area 9: Admiralty Inlet"/>
    <s v="Area 9: Admiralty Inlet"/>
    <s v="NA"/>
    <x v="2"/>
    <s v="Whatcom"/>
    <x v="11"/>
    <s v="North Puget Sound"/>
    <m/>
    <n v="70.455496173469399"/>
    <n v="291.75281632653099"/>
  </r>
  <r>
    <n v="3594"/>
    <x v="6"/>
    <s v="Marine"/>
    <x v="0"/>
    <x v="0"/>
    <n v="10"/>
    <s v="Area 10: N Puget Sound"/>
    <s v="Area 10: N Puget Sound"/>
    <s v="NA"/>
    <x v="3"/>
    <s v="Island"/>
    <x v="1"/>
    <s v="North Puget Sound"/>
    <m/>
    <n v="8.5406001303117502"/>
    <n v="73.007206266318605"/>
  </r>
  <r>
    <n v="3698"/>
    <x v="6"/>
    <s v="Marine"/>
    <x v="0"/>
    <x v="0"/>
    <n v="10"/>
    <s v="Area 10: N Puget Sound"/>
    <s v="Area 10: N Puget Sound"/>
    <s v="NA"/>
    <x v="3"/>
    <s v="Jefferson"/>
    <x v="2"/>
    <s v="Strait of Juan de Fuca"/>
    <m/>
    <n v="4.2703000651558698"/>
    <n v="36.503603133159302"/>
  </r>
  <r>
    <n v="3595"/>
    <x v="6"/>
    <s v="Marine"/>
    <x v="0"/>
    <x v="0"/>
    <n v="10"/>
    <s v="Area 10: N Puget Sound"/>
    <s v="Area 10: N Puget Sound"/>
    <s v="NA"/>
    <x v="3"/>
    <s v="King"/>
    <x v="3"/>
    <s v="South Puget Sound"/>
    <m/>
    <n v="751.57281146743298"/>
    <n v="6424.6341514360302"/>
  </r>
  <r>
    <n v="3670"/>
    <x v="6"/>
    <s v="Marine"/>
    <x v="0"/>
    <x v="0"/>
    <n v="10"/>
    <s v="Area 10: N Puget Sound"/>
    <s v="Area 10: N Puget Sound"/>
    <s v="NA"/>
    <x v="3"/>
    <s v="Kitsap"/>
    <x v="4"/>
    <s v="South Puget Sound"/>
    <m/>
    <n v="277.569504235132"/>
    <n v="2372.73420365535"/>
  </r>
  <r>
    <n v="3669"/>
    <x v="6"/>
    <s v="Marine"/>
    <x v="0"/>
    <x v="0"/>
    <n v="10"/>
    <s v="Area 10: N Puget Sound"/>
    <s v="Area 10: N Puget Sound"/>
    <s v="NA"/>
    <x v="3"/>
    <s v="Mason"/>
    <x v="5"/>
    <s v="South Puget Sound"/>
    <m/>
    <n v="4.2703000651558698"/>
    <n v="36.503603133159302"/>
  </r>
  <r>
    <n v="3723"/>
    <x v="6"/>
    <s v="Marine"/>
    <x v="0"/>
    <x v="0"/>
    <n v="10"/>
    <s v="Area 10: N Puget Sound"/>
    <s v="Area 10: N Puget Sound"/>
    <s v="NA"/>
    <x v="3"/>
    <s v="Other"/>
    <x v="6"/>
    <s v="Non Puget Sound"/>
    <m/>
    <n v="204.97440312748199"/>
    <n v="1752.1729503916499"/>
  </r>
  <r>
    <n v="3639"/>
    <x v="6"/>
    <s v="Marine"/>
    <x v="0"/>
    <x v="0"/>
    <n v="10"/>
    <s v="Area 10: N Puget Sound"/>
    <s v="Area 10: N Puget Sound"/>
    <s v="NA"/>
    <x v="3"/>
    <s v="Pierce"/>
    <x v="7"/>
    <s v="South Puget Sound"/>
    <m/>
    <n v="140.919902150144"/>
    <n v="1204.6189033942601"/>
  </r>
  <r>
    <n v="3593"/>
    <x v="6"/>
    <s v="Marine"/>
    <x v="0"/>
    <x v="0"/>
    <n v="10"/>
    <s v="Area 10: N Puget Sound"/>
    <s v="Area 10: N Puget Sound"/>
    <s v="NA"/>
    <x v="3"/>
    <s v="Snohomish"/>
    <x v="9"/>
    <s v="North Puget Sound"/>
    <m/>
    <n v="239.136803648729"/>
    <n v="2044.2017754569199"/>
  </r>
  <r>
    <n v="3640"/>
    <x v="6"/>
    <s v="Marine"/>
    <x v="0"/>
    <x v="0"/>
    <n v="10"/>
    <s v="Area 10: N Puget Sound"/>
    <s v="Area 10: N Puget Sound"/>
    <s v="NA"/>
    <x v="3"/>
    <s v="Thurston"/>
    <x v="10"/>
    <s v="South Puget Sound"/>
    <m/>
    <n v="4.2703000651558698"/>
    <n v="36.503603133159302"/>
  </r>
  <r>
    <n v="74"/>
    <x v="6"/>
    <s v="Marine"/>
    <x v="0"/>
    <x v="0"/>
    <n v="11"/>
    <s v="Area 11: Mid-Puget Sound"/>
    <s v="Area 11: Mid-Puget Sound"/>
    <s v="NA"/>
    <x v="3"/>
    <s v="Clallam"/>
    <x v="0"/>
    <s v="Strait of Juan de Fuca"/>
    <m/>
    <n v="34.772993372221897"/>
    <n v="307.97881619937698"/>
  </r>
  <r>
    <n v="69"/>
    <x v="6"/>
    <s v="Marine"/>
    <x v="0"/>
    <x v="0"/>
    <n v="11"/>
    <s v="Area 11: Mid-Puget Sound"/>
    <s v="Area 11: Mid-Puget Sound"/>
    <s v="NA"/>
    <x v="3"/>
    <s v="Island"/>
    <x v="1"/>
    <s v="North Puget Sound"/>
    <m/>
    <n v="6.9545986744443802"/>
    <n v="61.595763239875403"/>
  </r>
  <r>
    <n v="70"/>
    <x v="6"/>
    <s v="Marine"/>
    <x v="0"/>
    <x v="0"/>
    <n v="11"/>
    <s v="Area 11: Mid-Puget Sound"/>
    <s v="Area 11: Mid-Puget Sound"/>
    <s v="NA"/>
    <x v="3"/>
    <s v="King"/>
    <x v="3"/>
    <s v="South Puget Sound"/>
    <m/>
    <n v="549.413295281106"/>
    <n v="4866.0652959501604"/>
  </r>
  <r>
    <n v="73"/>
    <x v="6"/>
    <s v="Marine"/>
    <x v="0"/>
    <x v="0"/>
    <n v="11"/>
    <s v="Area 11: Mid-Puget Sound"/>
    <s v="Area 11: Mid-Puget Sound"/>
    <s v="NA"/>
    <x v="3"/>
    <s v="Kitsap"/>
    <x v="4"/>
    <s v="South Puget Sound"/>
    <m/>
    <n v="153.00117083777599"/>
    <n v="1355.1067912772601"/>
  </r>
  <r>
    <n v="75"/>
    <x v="6"/>
    <s v="Marine"/>
    <x v="0"/>
    <x v="0"/>
    <n v="11"/>
    <s v="Area 11: Mid-Puget Sound"/>
    <s v="Area 11: Mid-Puget Sound"/>
    <s v="NA"/>
    <x v="3"/>
    <s v="Other"/>
    <x v="6"/>
    <s v="Non Puget Sound"/>
    <m/>
    <n v="90.409782767776903"/>
    <n v="800.74492211838003"/>
  </r>
  <r>
    <n v="71"/>
    <x v="6"/>
    <s v="Marine"/>
    <x v="0"/>
    <x v="0"/>
    <n v="11"/>
    <s v="Area 11: Mid-Puget Sound"/>
    <s v="Area 11: Mid-Puget Sound"/>
    <s v="NA"/>
    <x v="3"/>
    <s v="Pierce"/>
    <x v="7"/>
    <s v="South Puget Sound"/>
    <m/>
    <n v="1328.3283468188799"/>
    <n v="11764.790778816199"/>
  </r>
  <r>
    <n v="67"/>
    <x v="6"/>
    <s v="Marine"/>
    <x v="0"/>
    <x v="0"/>
    <n v="11"/>
    <s v="Area 11: Mid-Puget Sound"/>
    <s v="Area 11: Mid-Puget Sound"/>
    <s v="NA"/>
    <x v="3"/>
    <s v="Skagit"/>
    <x v="8"/>
    <s v="North Puget Sound"/>
    <m/>
    <n v="13.909197348888799"/>
    <n v="123.191526479751"/>
  </r>
  <r>
    <n v="68"/>
    <x v="6"/>
    <s v="Marine"/>
    <x v="0"/>
    <x v="0"/>
    <n v="11"/>
    <s v="Area 11: Mid-Puget Sound"/>
    <s v="Area 11: Mid-Puget Sound"/>
    <s v="NA"/>
    <x v="3"/>
    <s v="Snohomish"/>
    <x v="9"/>
    <s v="North Puget Sound"/>
    <m/>
    <n v="13.909197348888799"/>
    <n v="123.191526479751"/>
  </r>
  <r>
    <n v="72"/>
    <x v="6"/>
    <s v="Marine"/>
    <x v="0"/>
    <x v="0"/>
    <n v="11"/>
    <s v="Area 11: Mid-Puget Sound"/>
    <s v="Area 11: Mid-Puget Sound"/>
    <s v="NA"/>
    <x v="3"/>
    <s v="Thurston"/>
    <x v="10"/>
    <s v="South Puget Sound"/>
    <m/>
    <n v="13.909197348888799"/>
    <n v="123.191526479751"/>
  </r>
  <r>
    <n v="3724"/>
    <x v="6"/>
    <s v="Marine"/>
    <x v="0"/>
    <x v="0"/>
    <n v="11"/>
    <s v="Area 11: Mid-Puget Sound"/>
    <s v="Area 11: Mid-Puget Sound"/>
    <s v="NA"/>
    <x v="3"/>
    <s v="Whatcom"/>
    <x v="11"/>
    <s v="North Puget Sound"/>
    <m/>
    <n v="27.818394697777499"/>
    <n v="246.38305295950201"/>
  </r>
  <r>
    <n v="736"/>
    <x v="6"/>
    <s v="Marine"/>
    <x v="0"/>
    <x v="0"/>
    <n v="12"/>
    <s v="Area 12: Hood Canal"/>
    <s v="Area 12: Hood Canal"/>
    <s v="NA"/>
    <x v="4"/>
    <s v="Clallam"/>
    <x v="0"/>
    <s v="Strait of Juan de Fuca"/>
    <m/>
    <n v="229.41537203597699"/>
    <n v="617.86005723630399"/>
  </r>
  <r>
    <n v="737"/>
    <x v="6"/>
    <s v="Marine"/>
    <x v="0"/>
    <x v="0"/>
    <n v="12"/>
    <s v="Area 12: Hood Canal"/>
    <s v="Area 12: Hood Canal"/>
    <s v="NA"/>
    <x v="4"/>
    <s v="Jefferson"/>
    <x v="2"/>
    <s v="Strait of Juan de Fuca"/>
    <m/>
    <n v="1368.5813573180701"/>
    <n v="3685.85482420278"/>
  </r>
  <r>
    <n v="644"/>
    <x v="6"/>
    <s v="Marine"/>
    <x v="0"/>
    <x v="0"/>
    <n v="12"/>
    <s v="Area 12: Hood Canal"/>
    <s v="Area 12: Hood Canal"/>
    <s v="NA"/>
    <x v="4"/>
    <s v="King"/>
    <x v="3"/>
    <s v="South Puget Sound"/>
    <m/>
    <n v="2309.9754701553602"/>
    <n v="6221.2116107931297"/>
  </r>
  <r>
    <n v="735"/>
    <x v="6"/>
    <s v="Marine"/>
    <x v="0"/>
    <x v="0"/>
    <n v="12"/>
    <s v="Area 12: Hood Canal"/>
    <s v="Area 12: Hood Canal"/>
    <s v="NA"/>
    <x v="4"/>
    <s v="Kitsap"/>
    <x v="4"/>
    <s v="South Puget Sound"/>
    <m/>
    <n v="1099.61161079313"/>
    <n v="2961.4671708912501"/>
  </r>
  <r>
    <n v="734"/>
    <x v="6"/>
    <s v="Marine"/>
    <x v="0"/>
    <x v="0"/>
    <n v="12"/>
    <s v="Area 12: Hood Canal"/>
    <s v="Area 12: Hood Canal"/>
    <s v="NA"/>
    <x v="4"/>
    <s v="Mason"/>
    <x v="5"/>
    <s v="South Puget Sound"/>
    <m/>
    <n v="1067.96811120196"/>
    <n v="2876.24509403107"/>
  </r>
  <r>
    <n v="738"/>
    <x v="6"/>
    <s v="Marine"/>
    <x v="0"/>
    <x v="0"/>
    <n v="12"/>
    <s v="Area 12: Hood Canal"/>
    <s v="Area 12: Hood Canal"/>
    <s v="NA"/>
    <x v="4"/>
    <s v="Other"/>
    <x v="6"/>
    <s v="Non Puget Sound"/>
    <m/>
    <n v="798.99836467702403"/>
    <n v="2151.8574407195401"/>
  </r>
  <r>
    <n v="732"/>
    <x v="6"/>
    <s v="Marine"/>
    <x v="0"/>
    <x v="0"/>
    <n v="12"/>
    <s v="Area 12: Hood Canal"/>
    <s v="Area 12: Hood Canal"/>
    <s v="NA"/>
    <x v="4"/>
    <s v="Pierce"/>
    <x v="7"/>
    <s v="South Puget Sound"/>
    <m/>
    <n v="1685.0163532297599"/>
    <n v="4538.0755928045801"/>
  </r>
  <r>
    <n v="643"/>
    <x v="6"/>
    <s v="Marine"/>
    <x v="0"/>
    <x v="0"/>
    <n v="12"/>
    <s v="Area 12: Hood Canal"/>
    <s v="Area 12: Hood Canal"/>
    <s v="NA"/>
    <x v="4"/>
    <s v="Snohomish"/>
    <x v="9"/>
    <s v="North Puget Sound"/>
    <m/>
    <n v="189.86099754701601"/>
    <n v="511.33246116108"/>
  </r>
  <r>
    <n v="733"/>
    <x v="6"/>
    <s v="Marine"/>
    <x v="0"/>
    <x v="0"/>
    <n v="12"/>
    <s v="Area 12: Hood Canal"/>
    <s v="Area 12: Hood Canal"/>
    <s v="NA"/>
    <x v="4"/>
    <s v="Thurston"/>
    <x v="10"/>
    <s v="South Puget Sound"/>
    <m/>
    <n v="909.75061324611602"/>
    <n v="2450.13470973017"/>
  </r>
  <r>
    <n v="642"/>
    <x v="6"/>
    <s v="Marine"/>
    <x v="0"/>
    <x v="0"/>
    <n v="12"/>
    <s v="Area 12: Hood Canal"/>
    <s v="Area 12: Hood Canal"/>
    <s v="NA"/>
    <x v="4"/>
    <s v="Whatcom"/>
    <x v="11"/>
    <s v="North Puget Sound"/>
    <m/>
    <n v="15.8217497955846"/>
    <n v="42.611038430089998"/>
  </r>
  <r>
    <n v="76"/>
    <x v="6"/>
    <s v="Marine"/>
    <x v="0"/>
    <x v="0"/>
    <n v="13"/>
    <s v="Area 13: S Puget Sound"/>
    <s v="Area 13: S Puget Sound"/>
    <s v="NA"/>
    <x v="3"/>
    <s v="Island"/>
    <x v="1"/>
    <s v="North Puget Sound"/>
    <m/>
    <n v="23.3520710059172"/>
    <n v="139.59177514792901"/>
  </r>
  <r>
    <n v="77"/>
    <x v="6"/>
    <s v="Marine"/>
    <x v="0"/>
    <x v="0"/>
    <n v="13"/>
    <s v="Area 13: S Puget Sound"/>
    <s v="Area 13: S Puget Sound"/>
    <s v="NA"/>
    <x v="3"/>
    <s v="King"/>
    <x v="3"/>
    <s v="South Puget Sound"/>
    <m/>
    <n v="147.89644970414199"/>
    <n v="884.081242603551"/>
  </r>
  <r>
    <n v="81"/>
    <x v="6"/>
    <s v="Marine"/>
    <x v="0"/>
    <x v="0"/>
    <n v="13"/>
    <s v="Area 13: S Puget Sound"/>
    <s v="Area 13: S Puget Sound"/>
    <s v="NA"/>
    <x v="3"/>
    <s v="Kitsap"/>
    <x v="4"/>
    <s v="South Puget Sound"/>
    <m/>
    <n v="179.03254437869799"/>
    <n v="1070.20360946746"/>
  </r>
  <r>
    <n v="80"/>
    <x v="6"/>
    <s v="Marine"/>
    <x v="0"/>
    <x v="0"/>
    <n v="13"/>
    <s v="Area 13: S Puget Sound"/>
    <s v="Area 13: S Puget Sound"/>
    <s v="NA"/>
    <x v="3"/>
    <s v="Mason"/>
    <x v="5"/>
    <s v="South Puget Sound"/>
    <m/>
    <n v="31.136094674556201"/>
    <n v="186.122366863905"/>
  </r>
  <r>
    <n v="82"/>
    <x v="6"/>
    <s v="Marine"/>
    <x v="0"/>
    <x v="0"/>
    <n v="13"/>
    <s v="Area 13: S Puget Sound"/>
    <s v="Area 13: S Puget Sound"/>
    <s v="NA"/>
    <x v="3"/>
    <s v="Other"/>
    <x v="6"/>
    <s v="Non Puget Sound"/>
    <m/>
    <n v="233.52071005917199"/>
    <n v="1395.91775147929"/>
  </r>
  <r>
    <n v="78"/>
    <x v="6"/>
    <s v="Marine"/>
    <x v="0"/>
    <x v="0"/>
    <n v="13"/>
    <s v="Area 13: S Puget Sound"/>
    <s v="Area 13: S Puget Sound"/>
    <s v="NA"/>
    <x v="3"/>
    <s v="Pierce"/>
    <x v="7"/>
    <s v="South Puget Sound"/>
    <m/>
    <n v="809.538461538462"/>
    <n v="4839.1815384615402"/>
  </r>
  <r>
    <n v="79"/>
    <x v="6"/>
    <s v="Marine"/>
    <x v="0"/>
    <x v="0"/>
    <n v="13"/>
    <s v="Area 13: S Puget Sound"/>
    <s v="Area 13: S Puget Sound"/>
    <s v="NA"/>
    <x v="3"/>
    <s v="Thurston"/>
    <x v="10"/>
    <s v="South Puget Sound"/>
    <m/>
    <n v="1206.5236686390499"/>
    <n v="7212.2417159763299"/>
  </r>
  <r>
    <n v="1954"/>
    <x v="6"/>
    <s v="Marine"/>
    <x v="0"/>
    <x v="0"/>
    <d v="2023-08-01T00:00:00"/>
    <s v="Area 8-1: Skagit Bay-Saratoga Psg."/>
    <s v="Area 8-1: Skagit Bay-Saratoga Psg."/>
    <s v="NA"/>
    <x v="2"/>
    <s v="Island"/>
    <x v="1"/>
    <s v="North Puget Sound"/>
    <m/>
    <n v="206.8"/>
    <n v="1011.644"/>
  </r>
  <r>
    <n v="1955"/>
    <x v="6"/>
    <s v="Marine"/>
    <x v="0"/>
    <x v="0"/>
    <d v="2023-08-01T00:00:00"/>
    <s v="Area 8-1: Skagit Bay-Saratoga Psg."/>
    <s v="Area 8-1: Skagit Bay-Saratoga Psg."/>
    <s v="NA"/>
    <x v="2"/>
    <s v="King"/>
    <x v="3"/>
    <s v="South Puget Sound"/>
    <m/>
    <n v="9.4"/>
    <n v="45.983818181818201"/>
  </r>
  <r>
    <n v="1957"/>
    <x v="6"/>
    <s v="Marine"/>
    <x v="0"/>
    <x v="0"/>
    <d v="2023-08-01T00:00:00"/>
    <s v="Area 8-1: Skagit Bay-Saratoga Psg."/>
    <s v="Area 8-1: Skagit Bay-Saratoga Psg."/>
    <s v="NA"/>
    <x v="2"/>
    <s v="Other"/>
    <x v="6"/>
    <s v="Non Puget Sound"/>
    <m/>
    <n v="9.4"/>
    <n v="45.983818181818201"/>
  </r>
  <r>
    <n v="1956"/>
    <x v="6"/>
    <s v="Marine"/>
    <x v="0"/>
    <x v="0"/>
    <d v="2023-08-01T00:00:00"/>
    <s v="Area 8-1: Skagit Bay-Saratoga Psg."/>
    <s v="Area 8-1: Skagit Bay-Saratoga Psg."/>
    <s v="NA"/>
    <x v="2"/>
    <s v="Pierce"/>
    <x v="7"/>
    <s v="South Puget Sound"/>
    <m/>
    <n v="18.8"/>
    <n v="91.967636363636402"/>
  </r>
  <r>
    <n v="1952"/>
    <x v="6"/>
    <s v="Marine"/>
    <x v="0"/>
    <x v="0"/>
    <d v="2023-08-01T00:00:00"/>
    <s v="Area 8-1: Skagit Bay-Saratoga Psg."/>
    <s v="Area 8-1: Skagit Bay-Saratoga Psg."/>
    <s v="NA"/>
    <x v="2"/>
    <s v="Skagit"/>
    <x v="8"/>
    <s v="North Puget Sound"/>
    <m/>
    <n v="103.4"/>
    <n v="505.822"/>
  </r>
  <r>
    <n v="1953"/>
    <x v="6"/>
    <s v="Marine"/>
    <x v="0"/>
    <x v="0"/>
    <d v="2023-08-01T00:00:00"/>
    <s v="Area 8-1: Skagit Bay-Saratoga Psg."/>
    <s v="Area 8-1: Skagit Bay-Saratoga Psg."/>
    <s v="NA"/>
    <x v="2"/>
    <s v="Snohomish"/>
    <x v="9"/>
    <s v="North Puget Sound"/>
    <m/>
    <n v="169.2"/>
    <n v="827.70872727272695"/>
  </r>
  <r>
    <n v="2087"/>
    <x v="6"/>
    <s v="Marine"/>
    <x v="0"/>
    <x v="0"/>
    <d v="2023-08-02T00:00:00"/>
    <s v="Area 8-2: Port Susan-Port Gardner"/>
    <s v="Area 8-2: Port Susan-Port Gardner"/>
    <s v="NA"/>
    <x v="2"/>
    <s v="Island"/>
    <x v="1"/>
    <s v="North Puget Sound"/>
    <m/>
    <n v="171.45"/>
    <n v="3821.28"/>
  </r>
  <r>
    <n v="2088"/>
    <x v="6"/>
    <s v="Marine"/>
    <x v="0"/>
    <x v="0"/>
    <d v="2023-08-02T00:00:00"/>
    <s v="Area 8-2: Port Susan-Port Gardner"/>
    <s v="Area 8-2: Port Susan-Port Gardner"/>
    <s v="NA"/>
    <x v="2"/>
    <s v="King"/>
    <x v="3"/>
    <s v="South Puget Sound"/>
    <m/>
    <n v="114.3"/>
    <n v="2547.52"/>
  </r>
  <r>
    <n v="2090"/>
    <x v="6"/>
    <s v="Marine"/>
    <x v="0"/>
    <x v="0"/>
    <d v="2023-08-02T00:00:00"/>
    <s v="Area 8-2: Port Susan-Port Gardner"/>
    <s v="Area 8-2: Port Susan-Port Gardner"/>
    <s v="NA"/>
    <x v="2"/>
    <s v="Kitsap"/>
    <x v="4"/>
    <s v="South Puget Sound"/>
    <m/>
    <n v="57.15"/>
    <n v="1273.76"/>
  </r>
  <r>
    <n v="2091"/>
    <x v="6"/>
    <s v="Marine"/>
    <x v="0"/>
    <x v="0"/>
    <d v="2023-08-02T00:00:00"/>
    <s v="Area 8-2: Port Susan-Port Gardner"/>
    <s v="Area 8-2: Port Susan-Port Gardner"/>
    <s v="NA"/>
    <x v="2"/>
    <s v="Other"/>
    <x v="6"/>
    <s v="Non Puget Sound"/>
    <m/>
    <n v="104.77500000000001"/>
    <n v="2335.2266666666701"/>
  </r>
  <r>
    <n v="2089"/>
    <x v="6"/>
    <s v="Marine"/>
    <x v="0"/>
    <x v="0"/>
    <d v="2023-08-02T00:00:00"/>
    <s v="Area 8-2: Port Susan-Port Gardner"/>
    <s v="Area 8-2: Port Susan-Port Gardner"/>
    <s v="NA"/>
    <x v="2"/>
    <s v="Pierce"/>
    <x v="7"/>
    <s v="South Puget Sound"/>
    <m/>
    <n v="9.5250000000000004"/>
    <n v="212.29333333333301"/>
  </r>
  <r>
    <n v="2085"/>
    <x v="6"/>
    <s v="Marine"/>
    <x v="0"/>
    <x v="0"/>
    <d v="2023-08-02T00:00:00"/>
    <s v="Area 8-2: Port Susan-Port Gardner"/>
    <s v="Area 8-2: Port Susan-Port Gardner"/>
    <s v="NA"/>
    <x v="2"/>
    <s v="Skagit"/>
    <x v="8"/>
    <s v="North Puget Sound"/>
    <m/>
    <n v="19.05"/>
    <n v="424.58666666666699"/>
  </r>
  <r>
    <n v="2086"/>
    <x v="6"/>
    <s v="Marine"/>
    <x v="0"/>
    <x v="0"/>
    <d v="2023-08-02T00:00:00"/>
    <s v="Area 8-2: Port Susan-Port Gardner"/>
    <s v="Area 8-2: Port Susan-Port Gardner"/>
    <s v="NA"/>
    <x v="2"/>
    <s v="Snohomish"/>
    <x v="9"/>
    <s v="North Puget Sound"/>
    <m/>
    <n v="657.22500000000002"/>
    <n v="14648.24"/>
  </r>
  <r>
    <n v="2084"/>
    <x v="6"/>
    <s v="Marine"/>
    <x v="0"/>
    <x v="0"/>
    <d v="2023-08-02T00:00:00"/>
    <s v="Area 8-2: Port Susan-Port Gardner"/>
    <s v="Area 8-2: Port Susan-Port Gardner"/>
    <s v="NA"/>
    <x v="2"/>
    <s v="Whatcom"/>
    <x v="11"/>
    <s v="North Puget Sound"/>
    <m/>
    <n v="9.5250000000000004"/>
    <n v="212.29333333333301"/>
  </r>
  <r>
    <n v="2615"/>
    <x v="7"/>
    <s v="Marine"/>
    <x v="0"/>
    <x v="0"/>
    <n v="5"/>
    <s v="Area 5: W Juan de Fuca"/>
    <s v="Area 5: W Juan de Fuca"/>
    <s v="NA"/>
    <x v="0"/>
    <s v="Clallam"/>
    <x v="0"/>
    <s v="Strait of Juan de Fuca"/>
    <m/>
    <n v="2180.9127031908502"/>
    <n v="3971.4699721538"/>
  </r>
  <r>
    <n v="2509"/>
    <x v="7"/>
    <s v="Marine"/>
    <x v="0"/>
    <x v="0"/>
    <n v="5"/>
    <s v="Area 5: W Juan de Fuca"/>
    <s v="Area 5: W Juan de Fuca"/>
    <s v="NA"/>
    <x v="0"/>
    <s v="Island"/>
    <x v="1"/>
    <s v="North Puget Sound"/>
    <m/>
    <n v="352.794701986755"/>
    <n v="642.44367196605504"/>
  </r>
  <r>
    <n v="2616"/>
    <x v="7"/>
    <s v="Marine"/>
    <x v="0"/>
    <x v="0"/>
    <n v="5"/>
    <s v="Area 5: W Juan de Fuca"/>
    <s v="Area 5: W Juan de Fuca"/>
    <s v="NA"/>
    <x v="0"/>
    <s v="Jefferson"/>
    <x v="2"/>
    <s v="Strait of Juan de Fuca"/>
    <m/>
    <n v="705.58940397351"/>
    <n v="1284.8873439321101"/>
  </r>
  <r>
    <n v="2610"/>
    <x v="7"/>
    <s v="Marine"/>
    <x v="0"/>
    <x v="0"/>
    <n v="5"/>
    <s v="Area 5: W Juan de Fuca"/>
    <s v="Area 5: W Juan de Fuca"/>
    <s v="NA"/>
    <x v="0"/>
    <s v="King"/>
    <x v="3"/>
    <s v="South Puget Sound"/>
    <m/>
    <n v="1771.9915713425701"/>
    <n v="3226.8193523749601"/>
  </r>
  <r>
    <n v="2614"/>
    <x v="7"/>
    <s v="Marine"/>
    <x v="0"/>
    <x v="0"/>
    <n v="5"/>
    <s v="Area 5: W Juan de Fuca"/>
    <s v="Area 5: W Juan de Fuca"/>
    <s v="NA"/>
    <x v="0"/>
    <s v="Kitsap"/>
    <x v="4"/>
    <s v="South Puget Sound"/>
    <m/>
    <n v="906.04093919325703"/>
    <n v="1649.9121575491899"/>
  </r>
  <r>
    <n v="2613"/>
    <x v="7"/>
    <s v="Marine"/>
    <x v="0"/>
    <x v="0"/>
    <n v="5"/>
    <s v="Area 5: W Juan de Fuca"/>
    <s v="Area 5: W Juan de Fuca"/>
    <s v="NA"/>
    <x v="0"/>
    <s v="Mason"/>
    <x v="5"/>
    <s v="South Puget Sound"/>
    <m/>
    <n v="272.61408789885598"/>
    <n v="496.433746519225"/>
  </r>
  <r>
    <n v="2624"/>
    <x v="7"/>
    <s v="Marine"/>
    <x v="0"/>
    <x v="0"/>
    <n v="5"/>
    <s v="Area 5: W Juan de Fuca"/>
    <s v="Area 5: W Juan de Fuca"/>
    <s v="NA"/>
    <x v="0"/>
    <s v="Other"/>
    <x v="6"/>
    <s v="Non Puget Sound"/>
    <m/>
    <n v="3576.0553883202901"/>
    <n v="6512.0426749286498"/>
  </r>
  <r>
    <n v="2611"/>
    <x v="7"/>
    <s v="Marine"/>
    <x v="0"/>
    <x v="0"/>
    <n v="5"/>
    <s v="Area 5: W Juan de Fuca"/>
    <s v="Area 5: W Juan de Fuca"/>
    <s v="NA"/>
    <x v="0"/>
    <s v="Pierce"/>
    <x v="7"/>
    <s v="South Puget Sound"/>
    <m/>
    <n v="1715.8651414810399"/>
    <n v="3124.61240456218"/>
  </r>
  <r>
    <n v="2507"/>
    <x v="7"/>
    <s v="Marine"/>
    <x v="0"/>
    <x v="0"/>
    <n v="5"/>
    <s v="Area 5: W Juan de Fuca"/>
    <s v="Area 5: W Juan de Fuca"/>
    <s v="NA"/>
    <x v="0"/>
    <s v="Skagit"/>
    <x v="8"/>
    <s v="North Puget Sound"/>
    <m/>
    <n v="32.072245635159497"/>
    <n v="58.403970178732301"/>
  </r>
  <r>
    <n v="2508"/>
    <x v="7"/>
    <s v="Marine"/>
    <x v="0"/>
    <x v="0"/>
    <n v="5"/>
    <s v="Area 5: W Juan de Fuca"/>
    <s v="Area 5: W Juan de Fuca"/>
    <s v="NA"/>
    <x v="0"/>
    <s v="Snohomish"/>
    <x v="9"/>
    <s v="North Puget Sound"/>
    <m/>
    <n v="1074.4202287778401"/>
    <n v="1956.5330009875299"/>
  </r>
  <r>
    <n v="2612"/>
    <x v="7"/>
    <s v="Marine"/>
    <x v="0"/>
    <x v="0"/>
    <n v="5"/>
    <s v="Area 5: W Juan de Fuca"/>
    <s v="Area 5: W Juan de Fuca"/>
    <s v="NA"/>
    <x v="0"/>
    <s v="Thurston"/>
    <x v="10"/>
    <s v="South Puget Sound"/>
    <m/>
    <n v="721.62552679109001"/>
    <n v="1314.0893290214799"/>
  </r>
  <r>
    <n v="2506"/>
    <x v="7"/>
    <s v="Marine"/>
    <x v="0"/>
    <x v="0"/>
    <n v="5"/>
    <s v="Area 5: W Juan de Fuca"/>
    <s v="Area 5: W Juan de Fuca"/>
    <s v="NA"/>
    <x v="0"/>
    <s v="Whatcom"/>
    <x v="11"/>
    <s v="North Puget Sound"/>
    <m/>
    <n v="8.0180614087898903"/>
    <n v="14.6009925446831"/>
  </r>
  <r>
    <n v="2735"/>
    <x v="7"/>
    <s v="Marine"/>
    <x v="0"/>
    <x v="0"/>
    <n v="6"/>
    <s v="Area 6: E Juan de Fuca"/>
    <s v="Area 6: E Juan de Fuca"/>
    <s v="NA"/>
    <x v="0"/>
    <s v="Clallam"/>
    <x v="0"/>
    <s v="Strait of Juan de Fuca"/>
    <m/>
    <n v="4025.4453781512598"/>
    <n v="5133.8563452651097"/>
  </r>
  <r>
    <n v="2628"/>
    <x v="7"/>
    <s v="Marine"/>
    <x v="0"/>
    <x v="0"/>
    <n v="6"/>
    <s v="Area 6: E Juan de Fuca"/>
    <s v="Area 6: E Juan de Fuca"/>
    <s v="NA"/>
    <x v="0"/>
    <s v="Island"/>
    <x v="1"/>
    <s v="North Puget Sound"/>
    <m/>
    <n v="119.428571428571"/>
    <n v="152.31336451920899"/>
  </r>
  <r>
    <n v="2736"/>
    <x v="7"/>
    <s v="Marine"/>
    <x v="0"/>
    <x v="0"/>
    <n v="6"/>
    <s v="Area 6: E Juan de Fuca"/>
    <s v="Area 6: E Juan de Fuca"/>
    <s v="NA"/>
    <x v="0"/>
    <s v="Jefferson"/>
    <x v="2"/>
    <s v="Strait of Juan de Fuca"/>
    <m/>
    <n v="470.68907563025198"/>
    <n v="600.29384839923603"/>
  </r>
  <r>
    <n v="2630"/>
    <x v="7"/>
    <s v="Marine"/>
    <x v="0"/>
    <x v="0"/>
    <n v="6"/>
    <s v="Area 6: E Juan de Fuca"/>
    <s v="Area 6: E Juan de Fuca"/>
    <s v="NA"/>
    <x v="0"/>
    <s v="King"/>
    <x v="3"/>
    <s v="South Puget Sound"/>
    <m/>
    <n v="210.756302521008"/>
    <n v="268.78829032801599"/>
  </r>
  <r>
    <n v="2734"/>
    <x v="7"/>
    <s v="Marine"/>
    <x v="0"/>
    <x v="0"/>
    <n v="6"/>
    <s v="Area 6: E Juan de Fuca"/>
    <s v="Area 6: E Juan de Fuca"/>
    <s v="NA"/>
    <x v="0"/>
    <s v="Kitsap"/>
    <x v="4"/>
    <s v="South Puget Sound"/>
    <m/>
    <n v="189.68067226890801"/>
    <n v="241.90946129521501"/>
  </r>
  <r>
    <n v="2733"/>
    <x v="7"/>
    <s v="Marine"/>
    <x v="0"/>
    <x v="0"/>
    <n v="6"/>
    <s v="Area 6: E Juan de Fuca"/>
    <s v="Area 6: E Juan de Fuca"/>
    <s v="NA"/>
    <x v="0"/>
    <s v="Mason"/>
    <x v="5"/>
    <s v="South Puget Sound"/>
    <m/>
    <n v="28.1008403361345"/>
    <n v="35.838438710402201"/>
  </r>
  <r>
    <n v="2737"/>
    <x v="7"/>
    <s v="Marine"/>
    <x v="0"/>
    <x v="0"/>
    <n v="6"/>
    <s v="Area 6: E Juan de Fuca"/>
    <s v="Area 6: E Juan de Fuca"/>
    <s v="NA"/>
    <x v="0"/>
    <s v="Other"/>
    <x v="6"/>
    <s v="Non Puget Sound"/>
    <m/>
    <n v="281.00840336134502"/>
    <n v="358.38438710402198"/>
  </r>
  <r>
    <n v="2631"/>
    <x v="7"/>
    <s v="Marine"/>
    <x v="0"/>
    <x v="0"/>
    <n v="6"/>
    <s v="Area 6: E Juan de Fuca"/>
    <s v="Area 6: E Juan de Fuca"/>
    <s v="NA"/>
    <x v="0"/>
    <s v="Pierce"/>
    <x v="7"/>
    <s v="South Puget Sound"/>
    <m/>
    <n v="63.226890756302502"/>
    <n v="80.636487098404899"/>
  </r>
  <r>
    <n v="2629"/>
    <x v="7"/>
    <s v="Marine"/>
    <x v="0"/>
    <x v="0"/>
    <n v="6"/>
    <s v="Area 6: E Juan de Fuca"/>
    <s v="Area 6: E Juan de Fuca"/>
    <s v="NA"/>
    <x v="0"/>
    <s v="San Juan"/>
    <x v="12"/>
    <s v="North Puget Sound"/>
    <m/>
    <n v="7.0252100840336196"/>
    <n v="8.9596096776005396"/>
  </r>
  <r>
    <n v="2626"/>
    <x v="7"/>
    <s v="Marine"/>
    <x v="0"/>
    <x v="0"/>
    <n v="6"/>
    <s v="Area 6: E Juan de Fuca"/>
    <s v="Area 6: E Juan de Fuca"/>
    <s v="NA"/>
    <x v="0"/>
    <s v="Skagit"/>
    <x v="8"/>
    <s v="North Puget Sound"/>
    <m/>
    <n v="189.68067226890801"/>
    <n v="241.90946129521501"/>
  </r>
  <r>
    <n v="2627"/>
    <x v="7"/>
    <s v="Marine"/>
    <x v="0"/>
    <x v="0"/>
    <n v="6"/>
    <s v="Area 6: E Juan de Fuca"/>
    <s v="Area 6: E Juan de Fuca"/>
    <s v="NA"/>
    <x v="0"/>
    <s v="Snohomish"/>
    <x v="9"/>
    <s v="North Puget Sound"/>
    <m/>
    <n v="196.70588235294099"/>
    <n v="250.869070972815"/>
  </r>
  <r>
    <n v="2732"/>
    <x v="7"/>
    <s v="Marine"/>
    <x v="0"/>
    <x v="0"/>
    <n v="6"/>
    <s v="Area 6: E Juan de Fuca"/>
    <s v="Area 6: E Juan de Fuca"/>
    <s v="NA"/>
    <x v="0"/>
    <s v="Thurston"/>
    <x v="10"/>
    <s v="South Puget Sound"/>
    <m/>
    <n v="56.2016806722689"/>
    <n v="71.676877420804303"/>
  </r>
  <r>
    <n v="2625"/>
    <x v="7"/>
    <s v="Marine"/>
    <x v="0"/>
    <x v="0"/>
    <n v="6"/>
    <s v="Area 6: E Juan de Fuca"/>
    <s v="Area 6: E Juan de Fuca"/>
    <s v="NA"/>
    <x v="0"/>
    <s v="Whatcom"/>
    <x v="11"/>
    <s v="North Puget Sound"/>
    <m/>
    <n v="14.0504201680672"/>
    <n v="17.919219355201101"/>
  </r>
  <r>
    <n v="3433"/>
    <x v="7"/>
    <s v="Marine"/>
    <x v="0"/>
    <x v="0"/>
    <n v="7"/>
    <s v="Area 7: San Juan Islands"/>
    <s v="Area 7: San Juan Islands"/>
    <s v="NA"/>
    <x v="1"/>
    <s v="Clallam"/>
    <x v="0"/>
    <s v="Strait of Juan de Fuca"/>
    <m/>
    <n v="86.936736958934503"/>
    <n v="241.032811709284"/>
  </r>
  <r>
    <n v="3411"/>
    <x v="7"/>
    <s v="Marine"/>
    <x v="0"/>
    <x v="0"/>
    <n v="7"/>
    <s v="Area 7: San Juan Islands"/>
    <s v="Area 7: San Juan Islands"/>
    <s v="NA"/>
    <x v="1"/>
    <s v="Island"/>
    <x v="1"/>
    <s v="North Puget Sound"/>
    <m/>
    <n v="724.47280799112104"/>
    <n v="2008.60676424403"/>
  </r>
  <r>
    <n v="3434"/>
    <x v="7"/>
    <s v="Marine"/>
    <x v="0"/>
    <x v="0"/>
    <n v="7"/>
    <s v="Area 7: San Juan Islands"/>
    <s v="Area 7: San Juan Islands"/>
    <s v="NA"/>
    <x v="1"/>
    <s v="Jefferson"/>
    <x v="2"/>
    <s v="Strait of Juan de Fuca"/>
    <m/>
    <n v="28.978912319644799"/>
    <n v="80.344270569761207"/>
  </r>
  <r>
    <n v="3413"/>
    <x v="7"/>
    <s v="Marine"/>
    <x v="0"/>
    <x v="0"/>
    <n v="7"/>
    <s v="Area 7: San Juan Islands"/>
    <s v="Area 7: San Juan Islands"/>
    <s v="NA"/>
    <x v="1"/>
    <s v="King"/>
    <x v="3"/>
    <s v="South Puget Sound"/>
    <m/>
    <n v="1354.7641509434"/>
    <n v="3756.0946491363402"/>
  </r>
  <r>
    <n v="3421"/>
    <x v="7"/>
    <s v="Marine"/>
    <x v="0"/>
    <x v="0"/>
    <n v="7"/>
    <s v="Area 7: San Juan Islands"/>
    <s v="Area 7: San Juan Islands"/>
    <s v="NA"/>
    <x v="1"/>
    <s v="Kitsap"/>
    <x v="4"/>
    <s v="South Puget Sound"/>
    <m/>
    <n v="43.468368479467301"/>
    <n v="120.516405854642"/>
  </r>
  <r>
    <n v="3420"/>
    <x v="7"/>
    <s v="Marine"/>
    <x v="0"/>
    <x v="0"/>
    <n v="7"/>
    <s v="Area 7: San Juan Islands"/>
    <s v="Area 7: San Juan Islands"/>
    <s v="NA"/>
    <x v="1"/>
    <s v="Mason"/>
    <x v="5"/>
    <s v="South Puget Sound"/>
    <m/>
    <n v="7.2447280799112104"/>
    <n v="20.086067642440302"/>
  </r>
  <r>
    <n v="3435"/>
    <x v="7"/>
    <s v="Marine"/>
    <x v="0"/>
    <x v="0"/>
    <n v="7"/>
    <s v="Area 7: San Juan Islands"/>
    <s v="Area 7: San Juan Islands"/>
    <s v="NA"/>
    <x v="1"/>
    <s v="Other"/>
    <x v="6"/>
    <s v="Non Puget Sound"/>
    <m/>
    <n v="1195.3801331853499"/>
    <n v="3314.2011610026502"/>
  </r>
  <r>
    <n v="3414"/>
    <x v="7"/>
    <s v="Marine"/>
    <x v="0"/>
    <x v="0"/>
    <n v="7"/>
    <s v="Area 7: San Juan Islands"/>
    <s v="Area 7: San Juan Islands"/>
    <s v="NA"/>
    <x v="1"/>
    <s v="Pierce"/>
    <x v="7"/>
    <s v="South Puget Sound"/>
    <m/>
    <n v="181.11820199778001"/>
    <n v="502.15169106100802"/>
  </r>
  <r>
    <n v="3412"/>
    <x v="7"/>
    <s v="Marine"/>
    <x v="0"/>
    <x v="0"/>
    <n v="7"/>
    <s v="Area 7: San Juan Islands"/>
    <s v="Area 7: San Juan Islands"/>
    <s v="NA"/>
    <x v="1"/>
    <s v="San Juan"/>
    <x v="12"/>
    <s v="North Puget Sound"/>
    <m/>
    <n v="1818.42674805771"/>
    <n v="5041.6029782525202"/>
  </r>
  <r>
    <n v="3409"/>
    <x v="7"/>
    <s v="Marine"/>
    <x v="0"/>
    <x v="0"/>
    <n v="7"/>
    <s v="Area 7: San Juan Islands"/>
    <s v="Area 7: San Juan Islands"/>
    <s v="NA"/>
    <x v="1"/>
    <s v="Skagit"/>
    <x v="8"/>
    <s v="North Puget Sound"/>
    <m/>
    <n v="3136.9672586015499"/>
    <n v="8697.2672891766506"/>
  </r>
  <r>
    <n v="3410"/>
    <x v="7"/>
    <s v="Marine"/>
    <x v="0"/>
    <x v="0"/>
    <n v="7"/>
    <s v="Area 7: San Juan Islands"/>
    <s v="Area 7: San Juan Islands"/>
    <s v="NA"/>
    <x v="1"/>
    <s v="Snohomish"/>
    <x v="9"/>
    <s v="North Puget Sound"/>
    <m/>
    <n v="1956.0765815760301"/>
    <n v="5423.2382634588803"/>
  </r>
  <r>
    <n v="3419"/>
    <x v="7"/>
    <s v="Marine"/>
    <x v="0"/>
    <x v="0"/>
    <n v="7"/>
    <s v="Area 7: San Juan Islands"/>
    <s v="Area 7: San Juan Islands"/>
    <s v="NA"/>
    <x v="1"/>
    <s v="Thurston"/>
    <x v="10"/>
    <s v="South Puget Sound"/>
    <m/>
    <n v="268.05493895671498"/>
    <n v="743.18450277029103"/>
  </r>
  <r>
    <n v="3408"/>
    <x v="7"/>
    <s v="Marine"/>
    <x v="0"/>
    <x v="0"/>
    <n v="7"/>
    <s v="Area 7: San Juan Islands"/>
    <s v="Area 7: San Juan Islands"/>
    <s v="NA"/>
    <x v="1"/>
    <s v="Whatcom"/>
    <x v="11"/>
    <s v="North Puget Sound"/>
    <m/>
    <n v="2253.1104328523902"/>
    <n v="6246.7670367989303"/>
  </r>
  <r>
    <n v="3169"/>
    <x v="7"/>
    <s v="Marine"/>
    <x v="0"/>
    <x v="0"/>
    <n v="9"/>
    <s v="Area 9: Admiralty Inlet"/>
    <s v="Area 9: Admiralty Inlet"/>
    <s v="NA"/>
    <x v="2"/>
    <s v="Clallam"/>
    <x v="0"/>
    <s v="Strait of Juan de Fuca"/>
    <m/>
    <n v="169.105113636364"/>
    <n v="388.42725354670398"/>
  </r>
  <r>
    <n v="2701"/>
    <x v="7"/>
    <s v="Marine"/>
    <x v="0"/>
    <x v="0"/>
    <n v="9"/>
    <s v="Area 9: Admiralty Inlet"/>
    <s v="Area 9: Admiralty Inlet"/>
    <s v="NA"/>
    <x v="2"/>
    <s v="Island"/>
    <x v="1"/>
    <s v="North Puget Sound"/>
    <m/>
    <n v="1663.9943181818201"/>
    <n v="3822.1241748995699"/>
  </r>
  <r>
    <n v="3170"/>
    <x v="7"/>
    <s v="Marine"/>
    <x v="0"/>
    <x v="0"/>
    <n v="9"/>
    <s v="Area 9: Admiralty Inlet"/>
    <s v="Area 9: Admiralty Inlet"/>
    <s v="NA"/>
    <x v="2"/>
    <s v="Jefferson"/>
    <x v="2"/>
    <s v="Strait of Juan de Fuca"/>
    <m/>
    <n v="1258.14204545455"/>
    <n v="2889.89876638748"/>
  </r>
  <r>
    <n v="2702"/>
    <x v="7"/>
    <s v="Marine"/>
    <x v="0"/>
    <x v="0"/>
    <n v="9"/>
    <s v="Area 9: Admiralty Inlet"/>
    <s v="Area 9: Admiralty Inlet"/>
    <s v="NA"/>
    <x v="2"/>
    <s v="King"/>
    <x v="3"/>
    <s v="South Puget Sound"/>
    <m/>
    <n v="2698.9176136363599"/>
    <n v="6199.2989666054"/>
  </r>
  <r>
    <n v="2809"/>
    <x v="7"/>
    <s v="Marine"/>
    <x v="0"/>
    <x v="0"/>
    <n v="9"/>
    <s v="Area 9: Admiralty Inlet"/>
    <s v="Area 9: Admiralty Inlet"/>
    <s v="NA"/>
    <x v="2"/>
    <s v="Kitsap"/>
    <x v="4"/>
    <s v="South Puget Sound"/>
    <m/>
    <n v="2448.64204545455"/>
    <n v="5624.4266313562803"/>
  </r>
  <r>
    <n v="2808"/>
    <x v="7"/>
    <s v="Marine"/>
    <x v="0"/>
    <x v="0"/>
    <n v="9"/>
    <s v="Area 9: Admiralty Inlet"/>
    <s v="Area 9: Admiralty Inlet"/>
    <s v="NA"/>
    <x v="2"/>
    <s v="Mason"/>
    <x v="5"/>
    <s v="South Puget Sound"/>
    <m/>
    <n v="40.585227272727302"/>
    <n v="93.222540851209104"/>
  </r>
  <r>
    <n v="1263"/>
    <x v="7"/>
    <s v="Marine"/>
    <x v="0"/>
    <x v="0"/>
    <n v="9"/>
    <s v="Area 9: Admiralty Inlet"/>
    <s v="Area 9: Admiralty Inlet"/>
    <s v="NA"/>
    <x v="2"/>
    <s v="Other"/>
    <x v="6"/>
    <s v="Non Puget Sound"/>
    <m/>
    <n v="1237.8494318181799"/>
    <n v="2843.2874959618798"/>
  </r>
  <r>
    <n v="2806"/>
    <x v="7"/>
    <s v="Marine"/>
    <x v="0"/>
    <x v="0"/>
    <n v="9"/>
    <s v="Area 9: Admiralty Inlet"/>
    <s v="Area 9: Admiralty Inlet"/>
    <s v="NA"/>
    <x v="2"/>
    <s v="Pierce"/>
    <x v="7"/>
    <s v="South Puget Sound"/>
    <m/>
    <n v="412.61647727272702"/>
    <n v="947.76249865395903"/>
  </r>
  <r>
    <n v="2699"/>
    <x v="7"/>
    <s v="Marine"/>
    <x v="0"/>
    <x v="0"/>
    <n v="9"/>
    <s v="Area 9: Admiralty Inlet"/>
    <s v="Area 9: Admiralty Inlet"/>
    <s v="NA"/>
    <x v="2"/>
    <s v="Skagit"/>
    <x v="8"/>
    <s v="North Puget Sound"/>
    <m/>
    <n v="365.26704545454601"/>
    <n v="839.00286766088095"/>
  </r>
  <r>
    <n v="2700"/>
    <x v="7"/>
    <s v="Marine"/>
    <x v="0"/>
    <x v="0"/>
    <n v="9"/>
    <s v="Area 9: Admiralty Inlet"/>
    <s v="Area 9: Admiralty Inlet"/>
    <s v="NA"/>
    <x v="2"/>
    <s v="Snohomish"/>
    <x v="9"/>
    <s v="North Puget Sound"/>
    <m/>
    <n v="3821.7755681818198"/>
    <n v="8778.45593015552"/>
  </r>
  <r>
    <n v="2807"/>
    <x v="7"/>
    <s v="Marine"/>
    <x v="0"/>
    <x v="0"/>
    <n v="9"/>
    <s v="Area 9: Admiralty Inlet"/>
    <s v="Area 9: Admiralty Inlet"/>
    <s v="NA"/>
    <x v="2"/>
    <s v="Thurston"/>
    <x v="10"/>
    <s v="South Puget Sound"/>
    <m/>
    <n v="60.877840909090899"/>
    <n v="139.833811276814"/>
  </r>
  <r>
    <n v="2575"/>
    <x v="7"/>
    <s v="Marine"/>
    <x v="0"/>
    <x v="0"/>
    <n v="9"/>
    <s v="Area 9: Admiralty Inlet"/>
    <s v="Area 9: Admiralty Inlet"/>
    <s v="NA"/>
    <x v="2"/>
    <s v="Whatcom"/>
    <x v="11"/>
    <s v="North Puget Sound"/>
    <m/>
    <n v="108.227272727273"/>
    <n v="248.593442269891"/>
  </r>
  <r>
    <n v="103"/>
    <x v="7"/>
    <s v="Marine"/>
    <x v="0"/>
    <x v="0"/>
    <n v="10"/>
    <s v="Area 10: N Puget Sound"/>
    <s v="Area 10: N Puget Sound"/>
    <s v="NA"/>
    <x v="3"/>
    <s v="Clallam"/>
    <x v="0"/>
    <s v="Strait of Juan de Fuca"/>
    <m/>
    <n v="34.8963165075034"/>
    <n v="50.885080151693998"/>
  </r>
  <r>
    <n v="97"/>
    <x v="7"/>
    <s v="Marine"/>
    <x v="0"/>
    <x v="0"/>
    <n v="10"/>
    <s v="Area 10: N Puget Sound"/>
    <s v="Area 10: N Puget Sound"/>
    <s v="NA"/>
    <x v="3"/>
    <s v="Island"/>
    <x v="1"/>
    <s v="North Puget Sound"/>
    <m/>
    <n v="307.08758526602998"/>
    <n v="447.788705334908"/>
  </r>
  <r>
    <n v="104"/>
    <x v="7"/>
    <s v="Marine"/>
    <x v="0"/>
    <x v="0"/>
    <n v="10"/>
    <s v="Area 10: N Puget Sound"/>
    <s v="Area 10: N Puget Sound"/>
    <s v="NA"/>
    <x v="3"/>
    <s v="Jefferson"/>
    <x v="2"/>
    <s v="Strait of Juan de Fuca"/>
    <m/>
    <n v="76.771896316507494"/>
    <n v="111.947176333727"/>
  </r>
  <r>
    <n v="98"/>
    <x v="7"/>
    <s v="Marine"/>
    <x v="0"/>
    <x v="0"/>
    <n v="10"/>
    <s v="Area 10: N Puget Sound"/>
    <s v="Area 10: N Puget Sound"/>
    <s v="NA"/>
    <x v="3"/>
    <s v="King"/>
    <x v="3"/>
    <s v="South Puget Sound"/>
    <m/>
    <n v="11334.323601637099"/>
    <n v="16527.474033270199"/>
  </r>
  <r>
    <n v="102"/>
    <x v="7"/>
    <s v="Marine"/>
    <x v="0"/>
    <x v="0"/>
    <n v="10"/>
    <s v="Area 10: N Puget Sound"/>
    <s v="Area 10: N Puget Sound"/>
    <s v="NA"/>
    <x v="3"/>
    <s v="Kitsap"/>
    <x v="4"/>
    <s v="South Puget Sound"/>
    <m/>
    <n v="3196.5025920873099"/>
    <n v="4661.0733418951704"/>
  </r>
  <r>
    <n v="101"/>
    <x v="7"/>
    <s v="Marine"/>
    <x v="0"/>
    <x v="0"/>
    <n v="10"/>
    <s v="Area 10: N Puget Sound"/>
    <s v="Area 10: N Puget Sound"/>
    <s v="NA"/>
    <x v="3"/>
    <s v="Mason"/>
    <x v="5"/>
    <s v="South Puget Sound"/>
    <m/>
    <n v="62.813369713506098"/>
    <n v="91.593144273049305"/>
  </r>
  <r>
    <n v="177"/>
    <x v="7"/>
    <s v="Marine"/>
    <x v="0"/>
    <x v="0"/>
    <n v="10"/>
    <s v="Area 10: N Puget Sound"/>
    <s v="Area 10: N Puget Sound"/>
    <s v="NA"/>
    <x v="3"/>
    <s v="Other"/>
    <x v="6"/>
    <s v="Non Puget Sound"/>
    <m/>
    <n v="2519.5140518417502"/>
    <n v="3673.9027869523102"/>
  </r>
  <r>
    <n v="99"/>
    <x v="7"/>
    <s v="Marine"/>
    <x v="0"/>
    <x v="0"/>
    <n v="10"/>
    <s v="Area 10: N Puget Sound"/>
    <s v="Area 10: N Puget Sound"/>
    <s v="NA"/>
    <x v="3"/>
    <s v="Pierce"/>
    <x v="7"/>
    <s v="South Puget Sound"/>
    <m/>
    <n v="746.78117326057304"/>
    <n v="1088.94071524625"/>
  </r>
  <r>
    <n v="84"/>
    <x v="7"/>
    <s v="Marine"/>
    <x v="0"/>
    <x v="0"/>
    <n v="10"/>
    <s v="Area 10: N Puget Sound"/>
    <s v="Area 10: N Puget Sound"/>
    <s v="NA"/>
    <x v="3"/>
    <s v="Skagit"/>
    <x v="8"/>
    <s v="North Puget Sound"/>
    <m/>
    <n v="69.7926330150068"/>
    <n v="101.770160303388"/>
  </r>
  <r>
    <n v="85"/>
    <x v="7"/>
    <s v="Marine"/>
    <x v="0"/>
    <x v="0"/>
    <n v="10"/>
    <s v="Area 10: N Puget Sound"/>
    <s v="Area 10: N Puget Sound"/>
    <s v="NA"/>
    <x v="3"/>
    <s v="Snohomish"/>
    <x v="9"/>
    <s v="North Puget Sound"/>
    <m/>
    <n v="7049.0559345156898"/>
    <n v="10278.7861906422"/>
  </r>
  <r>
    <n v="100"/>
    <x v="7"/>
    <s v="Marine"/>
    <x v="0"/>
    <x v="0"/>
    <n v="10"/>
    <s v="Area 10: N Puget Sound"/>
    <s v="Area 10: N Puget Sound"/>
    <s v="NA"/>
    <x v="3"/>
    <s v="Thurston"/>
    <x v="10"/>
    <s v="South Puget Sound"/>
    <m/>
    <n v="90.730422919508896"/>
    <n v="132.301208394404"/>
  </r>
  <r>
    <n v="83"/>
    <x v="7"/>
    <s v="Marine"/>
    <x v="0"/>
    <x v="0"/>
    <n v="10"/>
    <s v="Area 10: N Puget Sound"/>
    <s v="Area 10: N Puget Sound"/>
    <s v="NA"/>
    <x v="3"/>
    <s v="Whatcom"/>
    <x v="11"/>
    <s v="North Puget Sound"/>
    <m/>
    <n v="90.730422919508896"/>
    <n v="132.301208394404"/>
  </r>
  <r>
    <n v="186"/>
    <x v="7"/>
    <s v="Marine"/>
    <x v="0"/>
    <x v="0"/>
    <n v="11"/>
    <s v="Area 11: Mid-Puget Sound"/>
    <s v="Area 11: Mid-Puget Sound"/>
    <s v="NA"/>
    <x v="3"/>
    <s v="Jefferson"/>
    <x v="2"/>
    <s v="Strait of Juan de Fuca"/>
    <m/>
    <n v="5.10889929742389"/>
    <n v="21.911801350404701"/>
  </r>
  <r>
    <n v="181"/>
    <x v="7"/>
    <s v="Marine"/>
    <x v="0"/>
    <x v="0"/>
    <n v="11"/>
    <s v="Area 11: Mid-Puget Sound"/>
    <s v="Area 11: Mid-Puget Sound"/>
    <s v="NA"/>
    <x v="3"/>
    <s v="King"/>
    <x v="3"/>
    <s v="South Puget Sound"/>
    <m/>
    <n v="3366.7646370023399"/>
    <n v="14439.877089916699"/>
  </r>
  <r>
    <n v="185"/>
    <x v="7"/>
    <s v="Marine"/>
    <x v="0"/>
    <x v="0"/>
    <n v="11"/>
    <s v="Area 11: Mid-Puget Sound"/>
    <s v="Area 11: Mid-Puget Sound"/>
    <s v="NA"/>
    <x v="3"/>
    <s v="Kitsap"/>
    <x v="4"/>
    <s v="South Puget Sound"/>
    <m/>
    <n v="592.63231850117097"/>
    <n v="2541.7689566469398"/>
  </r>
  <r>
    <n v="184"/>
    <x v="7"/>
    <s v="Marine"/>
    <x v="0"/>
    <x v="0"/>
    <n v="11"/>
    <s v="Area 11: Mid-Puget Sound"/>
    <s v="Area 11: Mid-Puget Sound"/>
    <s v="NA"/>
    <x v="3"/>
    <s v="Mason"/>
    <x v="5"/>
    <s v="South Puget Sound"/>
    <m/>
    <n v="189.029274004684"/>
    <n v="810.73664996497405"/>
  </r>
  <r>
    <n v="187"/>
    <x v="7"/>
    <s v="Marine"/>
    <x v="0"/>
    <x v="0"/>
    <n v="11"/>
    <s v="Area 11: Mid-Puget Sound"/>
    <s v="Area 11: Mid-Puget Sound"/>
    <s v="NA"/>
    <x v="3"/>
    <s v="Other"/>
    <x v="6"/>
    <s v="Non Puget Sound"/>
    <m/>
    <n v="352.514051522248"/>
    <n v="1511.9142931779199"/>
  </r>
  <r>
    <n v="182"/>
    <x v="7"/>
    <s v="Marine"/>
    <x v="0"/>
    <x v="0"/>
    <n v="11"/>
    <s v="Area 11: Mid-Puget Sound"/>
    <s v="Area 11: Mid-Puget Sound"/>
    <s v="NA"/>
    <x v="3"/>
    <s v="Pierce"/>
    <x v="7"/>
    <s v="South Puget Sound"/>
    <m/>
    <n v="3908.3079625292698"/>
    <n v="16762.5280330596"/>
  </r>
  <r>
    <n v="179"/>
    <x v="7"/>
    <s v="Marine"/>
    <x v="0"/>
    <x v="0"/>
    <n v="11"/>
    <s v="Area 11: Mid-Puget Sound"/>
    <s v="Area 11: Mid-Puget Sound"/>
    <s v="NA"/>
    <x v="3"/>
    <s v="Skagit"/>
    <x v="8"/>
    <s v="North Puget Sound"/>
    <m/>
    <n v="25.5444964871194"/>
    <n v="109.559006752023"/>
  </r>
  <r>
    <n v="180"/>
    <x v="7"/>
    <s v="Marine"/>
    <x v="0"/>
    <x v="0"/>
    <n v="11"/>
    <s v="Area 11: Mid-Puget Sound"/>
    <s v="Area 11: Mid-Puget Sound"/>
    <s v="NA"/>
    <x v="3"/>
    <s v="Snohomish"/>
    <x v="9"/>
    <s v="North Puget Sound"/>
    <m/>
    <n v="178.81147540983599"/>
    <n v="766.91304726416399"/>
  </r>
  <r>
    <n v="183"/>
    <x v="7"/>
    <s v="Marine"/>
    <x v="0"/>
    <x v="0"/>
    <n v="11"/>
    <s v="Area 11: Mid-Puget Sound"/>
    <s v="Area 11: Mid-Puget Sound"/>
    <s v="NA"/>
    <x v="3"/>
    <s v="Thurston"/>
    <x v="10"/>
    <s v="South Puget Sound"/>
    <m/>
    <n v="86.851288056206101"/>
    <n v="372.50062295688002"/>
  </r>
  <r>
    <n v="178"/>
    <x v="7"/>
    <s v="Marine"/>
    <x v="0"/>
    <x v="0"/>
    <n v="11"/>
    <s v="Area 11: Mid-Puget Sound"/>
    <s v="Area 11: Mid-Puget Sound"/>
    <s v="NA"/>
    <x v="3"/>
    <s v="Whatcom"/>
    <x v="11"/>
    <s v="North Puget Sound"/>
    <m/>
    <n v="20.435597189695599"/>
    <n v="87.647205401618805"/>
  </r>
  <r>
    <n v="836"/>
    <x v="7"/>
    <s v="Marine"/>
    <x v="0"/>
    <x v="0"/>
    <n v="12"/>
    <s v="Area 12: Hood Canal"/>
    <s v="Area 12: Hood Canal"/>
    <s v="NA"/>
    <x v="4"/>
    <s v="Clallam"/>
    <x v="0"/>
    <s v="Strait of Juan de Fuca"/>
    <m/>
    <n v="198.83112351709701"/>
    <n v="120.300370298856"/>
  </r>
  <r>
    <n v="837"/>
    <x v="7"/>
    <s v="Marine"/>
    <x v="0"/>
    <x v="0"/>
    <n v="12"/>
    <s v="Area 12: Hood Canal"/>
    <s v="Area 12: Hood Canal"/>
    <s v="NA"/>
    <x v="4"/>
    <s v="Jefferson"/>
    <x v="2"/>
    <s v="Strait of Juan de Fuca"/>
    <m/>
    <n v="1177.0802512212099"/>
    <n v="712.17819216922601"/>
  </r>
  <r>
    <n v="740"/>
    <x v="7"/>
    <s v="Marine"/>
    <x v="0"/>
    <x v="0"/>
    <n v="12"/>
    <s v="Area 12: Hood Canal"/>
    <s v="Area 12: Hood Canal"/>
    <s v="NA"/>
    <x v="4"/>
    <s v="King"/>
    <x v="3"/>
    <s v="South Puget Sound"/>
    <m/>
    <n v="2799.5422191207299"/>
    <n v="1693.82921380789"/>
  </r>
  <r>
    <n v="835"/>
    <x v="7"/>
    <s v="Marine"/>
    <x v="0"/>
    <x v="0"/>
    <n v="12"/>
    <s v="Area 12: Hood Canal"/>
    <s v="Area 12: Hood Canal"/>
    <s v="NA"/>
    <x v="4"/>
    <s v="Kitsap"/>
    <x v="4"/>
    <s v="South Puget Sound"/>
    <m/>
    <n v="1733.80739706909"/>
    <n v="1049.0192290060199"/>
  </r>
  <r>
    <n v="834"/>
    <x v="7"/>
    <s v="Marine"/>
    <x v="0"/>
    <x v="0"/>
    <n v="12"/>
    <s v="Area 12: Hood Canal"/>
    <s v="Area 12: Hood Canal"/>
    <s v="NA"/>
    <x v="4"/>
    <s v="Mason"/>
    <x v="5"/>
    <s v="South Puget Sound"/>
    <m/>
    <n v="1161.17376133985"/>
    <n v="702.55416254531804"/>
  </r>
  <r>
    <n v="838"/>
    <x v="7"/>
    <s v="Marine"/>
    <x v="0"/>
    <x v="0"/>
    <n v="12"/>
    <s v="Area 12: Hood Canal"/>
    <s v="Area 12: Hood Canal"/>
    <s v="NA"/>
    <x v="4"/>
    <s v="Other"/>
    <x v="6"/>
    <s v="Non Puget Sound"/>
    <m/>
    <n v="1423.63084438241"/>
    <n v="861.35065133980697"/>
  </r>
  <r>
    <n v="741"/>
    <x v="7"/>
    <s v="Marine"/>
    <x v="0"/>
    <x v="0"/>
    <n v="12"/>
    <s v="Area 12: Hood Canal"/>
    <s v="Area 12: Hood Canal"/>
    <s v="NA"/>
    <x v="4"/>
    <s v="Pierce"/>
    <x v="7"/>
    <s v="South Puget Sound"/>
    <m/>
    <n v="1558.8360083740399"/>
    <n v="943.15490314302895"/>
  </r>
  <r>
    <n v="739"/>
    <x v="7"/>
    <s v="Marine"/>
    <x v="0"/>
    <x v="0"/>
    <n v="12"/>
    <s v="Area 12: Hood Canal"/>
    <s v="Area 12: Hood Canal"/>
    <s v="NA"/>
    <x v="4"/>
    <s v="Snohomish"/>
    <x v="9"/>
    <s v="North Puget Sound"/>
    <m/>
    <n v="278.36357292393598"/>
    <n v="168.42051841839799"/>
  </r>
  <r>
    <n v="833"/>
    <x v="7"/>
    <s v="Marine"/>
    <x v="0"/>
    <x v="0"/>
    <n v="12"/>
    <s v="Area 12: Hood Canal"/>
    <s v="Area 12: Hood Canal"/>
    <s v="NA"/>
    <x v="4"/>
    <s v="Thurston"/>
    <x v="10"/>
    <s v="South Puget Sound"/>
    <m/>
    <n v="1065.7348220516401"/>
    <n v="644.80998480186702"/>
  </r>
  <r>
    <n v="194"/>
    <x v="7"/>
    <s v="Marine"/>
    <x v="0"/>
    <x v="0"/>
    <n v="13"/>
    <s v="Area 13: S Puget Sound"/>
    <s v="Area 13: S Puget Sound"/>
    <s v="NA"/>
    <x v="3"/>
    <s v="Clallam"/>
    <x v="0"/>
    <s v="Strait of Juan de Fuca"/>
    <m/>
    <n v="16.338549075391199"/>
    <n v="18.374076454428099"/>
  </r>
  <r>
    <n v="195"/>
    <x v="7"/>
    <s v="Marine"/>
    <x v="0"/>
    <x v="0"/>
    <n v="13"/>
    <s v="Area 13: S Puget Sound"/>
    <s v="Area 13: S Puget Sound"/>
    <s v="NA"/>
    <x v="3"/>
    <s v="Jefferson"/>
    <x v="2"/>
    <s v="Strait of Juan de Fuca"/>
    <m/>
    <n v="32.677098150782399"/>
    <n v="36.748152908856298"/>
  </r>
  <r>
    <n v="189"/>
    <x v="7"/>
    <s v="Marine"/>
    <x v="0"/>
    <x v="0"/>
    <n v="13"/>
    <s v="Area 13: S Puget Sound"/>
    <s v="Area 13: S Puget Sound"/>
    <s v="NA"/>
    <x v="3"/>
    <s v="King"/>
    <x v="3"/>
    <s v="South Puget Sound"/>
    <m/>
    <n v="253.247510668563"/>
    <n v="284.79818504363601"/>
  </r>
  <r>
    <n v="193"/>
    <x v="7"/>
    <s v="Marine"/>
    <x v="0"/>
    <x v="0"/>
    <n v="13"/>
    <s v="Area 13: S Puget Sound"/>
    <s v="Area 13: S Puget Sound"/>
    <s v="NA"/>
    <x v="3"/>
    <s v="Kitsap"/>
    <x v="4"/>
    <s v="South Puget Sound"/>
    <m/>
    <n v="179.724039829303"/>
    <n v="202.11484099870901"/>
  </r>
  <r>
    <n v="192"/>
    <x v="7"/>
    <s v="Marine"/>
    <x v="0"/>
    <x v="0"/>
    <n v="13"/>
    <s v="Area 13: S Puget Sound"/>
    <s v="Area 13: S Puget Sound"/>
    <s v="NA"/>
    <x v="3"/>
    <s v="Mason"/>
    <x v="5"/>
    <s v="South Puget Sound"/>
    <m/>
    <n v="751.57325746799404"/>
    <n v="845.207516903694"/>
  </r>
  <r>
    <n v="196"/>
    <x v="7"/>
    <s v="Marine"/>
    <x v="0"/>
    <x v="0"/>
    <n v="13"/>
    <s v="Area 13: S Puget Sound"/>
    <s v="Area 13: S Puget Sound"/>
    <s v="NA"/>
    <x v="3"/>
    <s v="Other"/>
    <x v="6"/>
    <s v="Non Puget Sound"/>
    <m/>
    <n v="661.71123755334304"/>
    <n v="744.15009640433902"/>
  </r>
  <r>
    <n v="190"/>
    <x v="7"/>
    <s v="Marine"/>
    <x v="0"/>
    <x v="0"/>
    <n v="13"/>
    <s v="Area 13: S Puget Sound"/>
    <s v="Area 13: S Puget Sound"/>
    <s v="NA"/>
    <x v="3"/>
    <s v="Pierce"/>
    <x v="7"/>
    <s v="South Puget Sound"/>
    <m/>
    <n v="1633.8549075391199"/>
    <n v="1837.40764544281"/>
  </r>
  <r>
    <n v="191"/>
    <x v="7"/>
    <s v="Marine"/>
    <x v="0"/>
    <x v="0"/>
    <n v="13"/>
    <s v="Area 13: S Puget Sound"/>
    <s v="Area 13: S Puget Sound"/>
    <s v="NA"/>
    <x v="3"/>
    <s v="Thurston"/>
    <x v="10"/>
    <s v="South Puget Sound"/>
    <m/>
    <n v="2181.1963015647202"/>
    <n v="2452.9392066661499"/>
  </r>
  <r>
    <n v="188"/>
    <x v="7"/>
    <s v="Marine"/>
    <x v="0"/>
    <x v="0"/>
    <n v="13"/>
    <s v="Area 13: S Puget Sound"/>
    <s v="Area 13: S Puget Sound"/>
    <s v="NA"/>
    <x v="3"/>
    <s v="Whatcom"/>
    <x v="11"/>
    <s v="North Puget Sound"/>
    <m/>
    <n v="32.677098150782399"/>
    <n v="36.748152908856298"/>
  </r>
  <r>
    <n v="2453"/>
    <x v="7"/>
    <s v="Marine"/>
    <x v="0"/>
    <x v="0"/>
    <d v="2023-08-01T00:00:00"/>
    <s v="Area 8-1: Skagit Bay-Saratoga Psg."/>
    <s v="Area 8-1: Skagit Bay-Saratoga Psg."/>
    <s v="NA"/>
    <x v="2"/>
    <s v="Island"/>
    <x v="1"/>
    <s v="North Puget Sound"/>
    <m/>
    <n v="268.07407407407402"/>
    <n v="1285.3067844157799"/>
  </r>
  <r>
    <n v="2454"/>
    <x v="7"/>
    <s v="Marine"/>
    <x v="0"/>
    <x v="0"/>
    <d v="2023-08-01T00:00:00"/>
    <s v="Area 8-1: Skagit Bay-Saratoga Psg."/>
    <s v="Area 8-1: Skagit Bay-Saratoga Psg."/>
    <s v="NA"/>
    <x v="2"/>
    <s v="King"/>
    <x v="3"/>
    <s v="South Puget Sound"/>
    <m/>
    <n v="19.148148148148199"/>
    <n v="91.807627458269906"/>
  </r>
  <r>
    <n v="2455"/>
    <x v="7"/>
    <s v="Marine"/>
    <x v="0"/>
    <x v="0"/>
    <d v="2023-08-01T00:00:00"/>
    <s v="Area 8-1: Skagit Bay-Saratoga Psg."/>
    <s v="Area 8-1: Skagit Bay-Saratoga Psg."/>
    <s v="NA"/>
    <x v="2"/>
    <s v="Other"/>
    <x v="6"/>
    <s v="Non Puget Sound"/>
    <m/>
    <n v="19.148148148148199"/>
    <n v="91.807627458269906"/>
  </r>
  <r>
    <n v="2349"/>
    <x v="7"/>
    <s v="Marine"/>
    <x v="0"/>
    <x v="0"/>
    <d v="2023-08-01T00:00:00"/>
    <s v="Area 8-1: Skagit Bay-Saratoga Psg."/>
    <s v="Area 8-1: Skagit Bay-Saratoga Psg."/>
    <s v="NA"/>
    <x v="2"/>
    <s v="Skagit"/>
    <x v="8"/>
    <s v="North Puget Sound"/>
    <m/>
    <n v="89.358024691357997"/>
    <n v="428.43559480526"/>
  </r>
  <r>
    <n v="2452"/>
    <x v="7"/>
    <s v="Marine"/>
    <x v="0"/>
    <x v="0"/>
    <d v="2023-08-01T00:00:00"/>
    <s v="Area 8-1: Skagit Bay-Saratoga Psg."/>
    <s v="Area 8-1: Skagit Bay-Saratoga Psg."/>
    <s v="NA"/>
    <x v="2"/>
    <s v="Snohomish"/>
    <x v="9"/>
    <s v="North Puget Sound"/>
    <m/>
    <n v="121.27160493827201"/>
    <n v="581.44830723570897"/>
  </r>
  <r>
    <n v="2571"/>
    <x v="7"/>
    <s v="Marine"/>
    <x v="0"/>
    <x v="0"/>
    <d v="2023-08-02T00:00:00"/>
    <s v="Area 8-2: Port Susan-Port Gardner"/>
    <s v="Area 8-2: Port Susan-Port Gardner"/>
    <s v="NA"/>
    <x v="2"/>
    <s v="Island"/>
    <x v="1"/>
    <s v="North Puget Sound"/>
    <m/>
    <n v="104"/>
    <n v="386.606969152955"/>
  </r>
  <r>
    <n v="2572"/>
    <x v="7"/>
    <s v="Marine"/>
    <x v="0"/>
    <x v="0"/>
    <d v="2023-08-02T00:00:00"/>
    <s v="Area 8-2: Port Susan-Port Gardner"/>
    <s v="Area 8-2: Port Susan-Port Gardner"/>
    <s v="NA"/>
    <x v="2"/>
    <s v="King"/>
    <x v="3"/>
    <s v="South Puget Sound"/>
    <m/>
    <n v="240"/>
    <n v="892.16992881451199"/>
  </r>
  <r>
    <n v="2573"/>
    <x v="7"/>
    <s v="Marine"/>
    <x v="0"/>
    <x v="0"/>
    <d v="2023-08-02T00:00:00"/>
    <s v="Area 8-2: Port Susan-Port Gardner"/>
    <s v="Area 8-2: Port Susan-Port Gardner"/>
    <s v="NA"/>
    <x v="2"/>
    <s v="Kitsap"/>
    <x v="4"/>
    <s v="South Puget Sound"/>
    <m/>
    <n v="8"/>
    <n v="29.7389976271504"/>
  </r>
  <r>
    <n v="2574"/>
    <x v="7"/>
    <s v="Marine"/>
    <x v="0"/>
    <x v="0"/>
    <d v="2023-08-02T00:00:00"/>
    <s v="Area 8-2: Port Susan-Port Gardner"/>
    <s v="Area 8-2: Port Susan-Port Gardner"/>
    <s v="NA"/>
    <x v="2"/>
    <s v="Other"/>
    <x v="6"/>
    <s v="Non Puget Sound"/>
    <m/>
    <n v="216"/>
    <n v="802.95293593306099"/>
  </r>
  <r>
    <n v="2457"/>
    <x v="7"/>
    <s v="Marine"/>
    <x v="0"/>
    <x v="0"/>
    <d v="2023-08-02T00:00:00"/>
    <s v="Area 8-2: Port Susan-Port Gardner"/>
    <s v="Area 8-2: Port Susan-Port Gardner"/>
    <s v="NA"/>
    <x v="2"/>
    <s v="Skagit"/>
    <x v="8"/>
    <s v="North Puget Sound"/>
    <m/>
    <n v="56"/>
    <n v="208.17298339005299"/>
  </r>
  <r>
    <n v="2458"/>
    <x v="7"/>
    <s v="Marine"/>
    <x v="0"/>
    <x v="0"/>
    <d v="2023-08-02T00:00:00"/>
    <s v="Area 8-2: Port Susan-Port Gardner"/>
    <s v="Area 8-2: Port Susan-Port Gardner"/>
    <s v="NA"/>
    <x v="2"/>
    <s v="Snohomish"/>
    <x v="9"/>
    <s v="North Puget Sound"/>
    <m/>
    <n v="856"/>
    <n v="3182.0727461050901"/>
  </r>
  <r>
    <n v="2456"/>
    <x v="7"/>
    <s v="Marine"/>
    <x v="0"/>
    <x v="0"/>
    <d v="2023-08-02T00:00:00"/>
    <s v="Area 8-2: Port Susan-Port Gardner"/>
    <s v="Area 8-2: Port Susan-Port Gardner"/>
    <s v="NA"/>
    <x v="2"/>
    <s v="Whatcom"/>
    <x v="11"/>
    <s v="North Puget Sound"/>
    <m/>
    <n v="16"/>
    <n v="59.477995254300801"/>
  </r>
  <r>
    <n v="2845"/>
    <x v="8"/>
    <s v="Marine"/>
    <x v="0"/>
    <x v="0"/>
    <n v="5"/>
    <s v="Area 5: W Juan de Fuca"/>
    <s v="Area 5: W Juan de Fuca"/>
    <s v="NA"/>
    <x v="0"/>
    <s v="Clallam"/>
    <x v="0"/>
    <s v="Strait of Juan de Fuca"/>
    <m/>
    <n v="5236.9695945945996"/>
    <n v="5996.2271749019201"/>
  </r>
  <r>
    <n v="2749"/>
    <x v="8"/>
    <s v="Marine"/>
    <x v="0"/>
    <x v="0"/>
    <n v="5"/>
    <s v="Area 5: W Juan de Fuca"/>
    <s v="Area 5: W Juan de Fuca"/>
    <s v="NA"/>
    <x v="0"/>
    <s v="Island"/>
    <x v="1"/>
    <s v="North Puget Sound"/>
    <m/>
    <n v="221.28040540540499"/>
    <n v="253.361711615574"/>
  </r>
  <r>
    <n v="2846"/>
    <x v="8"/>
    <s v="Marine"/>
    <x v="0"/>
    <x v="0"/>
    <n v="5"/>
    <s v="Area 5: W Juan de Fuca"/>
    <s v="Area 5: W Juan de Fuca"/>
    <s v="NA"/>
    <x v="0"/>
    <s v="Jefferson"/>
    <x v="2"/>
    <s v="Strait of Juan de Fuca"/>
    <m/>
    <n v="389.875"/>
    <n v="446.39920617982102"/>
  </r>
  <r>
    <n v="2751"/>
    <x v="8"/>
    <s v="Marine"/>
    <x v="0"/>
    <x v="0"/>
    <n v="5"/>
    <s v="Area 5: W Juan de Fuca"/>
    <s v="Area 5: W Juan de Fuca"/>
    <s v="NA"/>
    <x v="0"/>
    <s v="King"/>
    <x v="3"/>
    <s v="South Puget Sound"/>
    <m/>
    <n v="3846.0641891891901"/>
    <n v="4403.6678447468803"/>
  </r>
  <r>
    <n v="2844"/>
    <x v="8"/>
    <s v="Marine"/>
    <x v="0"/>
    <x v="0"/>
    <n v="5"/>
    <s v="Area 5: W Juan de Fuca"/>
    <s v="Area 5: W Juan de Fuca"/>
    <s v="NA"/>
    <x v="0"/>
    <s v="Kitsap"/>
    <x v="4"/>
    <s v="South Puget Sound"/>
    <m/>
    <n v="3277.0574324324298"/>
    <n v="3752.1663005925502"/>
  </r>
  <r>
    <n v="2843"/>
    <x v="8"/>
    <s v="Marine"/>
    <x v="0"/>
    <x v="0"/>
    <n v="5"/>
    <s v="Area 5: W Juan de Fuca"/>
    <s v="Area 5: W Juan de Fuca"/>
    <s v="NA"/>
    <x v="0"/>
    <s v="Mason"/>
    <x v="5"/>
    <s v="South Puget Sound"/>
    <m/>
    <n v="853.51013513513499"/>
    <n v="977.25231623149898"/>
  </r>
  <r>
    <n v="2847"/>
    <x v="8"/>
    <s v="Marine"/>
    <x v="0"/>
    <x v="0"/>
    <n v="5"/>
    <s v="Area 5: W Juan de Fuca"/>
    <s v="Area 5: W Juan de Fuca"/>
    <s v="NA"/>
    <x v="0"/>
    <s v="Other"/>
    <x v="6"/>
    <s v="Non Puget Sound"/>
    <m/>
    <n v="6385.52027027027"/>
    <n v="7311.2951066208498"/>
  </r>
  <r>
    <n v="2752"/>
    <x v="8"/>
    <s v="Marine"/>
    <x v="0"/>
    <x v="0"/>
    <n v="5"/>
    <s v="Area 5: W Juan de Fuca"/>
    <s v="Area 5: W Juan de Fuca"/>
    <s v="NA"/>
    <x v="0"/>
    <s v="Pierce"/>
    <x v="7"/>
    <s v="South Puget Sound"/>
    <m/>
    <n v="4615.2770270270303"/>
    <n v="5284.4014136962596"/>
  </r>
  <r>
    <n v="2750"/>
    <x v="8"/>
    <s v="Marine"/>
    <x v="0"/>
    <x v="0"/>
    <n v="5"/>
    <s v="Area 5: W Juan de Fuca"/>
    <s v="Area 5: W Juan de Fuca"/>
    <s v="NA"/>
    <x v="0"/>
    <s v="San Juan"/>
    <x v="12"/>
    <s v="North Puget Sound"/>
    <m/>
    <n v="94.834459459459495"/>
    <n v="108.583590692389"/>
  </r>
  <r>
    <n v="2747"/>
    <x v="8"/>
    <s v="Marine"/>
    <x v="0"/>
    <x v="0"/>
    <n v="5"/>
    <s v="Area 5: W Juan de Fuca"/>
    <s v="Area 5: W Juan de Fuca"/>
    <s v="NA"/>
    <x v="0"/>
    <s v="Skagit"/>
    <x v="8"/>
    <s v="North Puget Sound"/>
    <m/>
    <n v="210.743243243243"/>
    <n v="241.29686820530799"/>
  </r>
  <r>
    <n v="2748"/>
    <x v="8"/>
    <s v="Marine"/>
    <x v="0"/>
    <x v="0"/>
    <n v="5"/>
    <s v="Area 5: W Juan de Fuca"/>
    <s v="Area 5: W Juan de Fuca"/>
    <s v="NA"/>
    <x v="0"/>
    <s v="Snohomish"/>
    <x v="9"/>
    <s v="North Puget Sound"/>
    <m/>
    <n v="1264.45945945946"/>
    <n v="1447.78120923185"/>
  </r>
  <r>
    <n v="2753"/>
    <x v="8"/>
    <s v="Marine"/>
    <x v="0"/>
    <x v="0"/>
    <n v="5"/>
    <s v="Area 5: W Juan de Fuca"/>
    <s v="Area 5: W Juan de Fuca"/>
    <s v="NA"/>
    <x v="0"/>
    <s v="Thurston"/>
    <x v="10"/>
    <s v="South Puget Sound"/>
    <m/>
    <n v="1433.0540540540501"/>
    <n v="1640.8187037961"/>
  </r>
  <r>
    <n v="2738"/>
    <x v="8"/>
    <s v="Marine"/>
    <x v="0"/>
    <x v="0"/>
    <n v="5"/>
    <s v="Area 5: W Juan de Fuca"/>
    <s v="Area 5: W Juan de Fuca"/>
    <s v="NA"/>
    <x v="0"/>
    <s v="Whatcom"/>
    <x v="11"/>
    <s v="North Puget Sound"/>
    <m/>
    <n v="242.35472972973"/>
    <n v="277.49139843610499"/>
  </r>
  <r>
    <n v="2952"/>
    <x v="8"/>
    <s v="Marine"/>
    <x v="0"/>
    <x v="0"/>
    <n v="6"/>
    <s v="Area 6: E Juan de Fuca"/>
    <s v="Area 6: E Juan de Fuca"/>
    <s v="NA"/>
    <x v="0"/>
    <s v="Clallam"/>
    <x v="0"/>
    <s v="Strait of Juan de Fuca"/>
    <m/>
    <n v="12042.012591815301"/>
    <n v="13172.1045862064"/>
  </r>
  <r>
    <n v="2860"/>
    <x v="8"/>
    <s v="Marine"/>
    <x v="0"/>
    <x v="0"/>
    <n v="6"/>
    <s v="Area 6: E Juan de Fuca"/>
    <s v="Area 6: E Juan de Fuca"/>
    <s v="NA"/>
    <x v="0"/>
    <s v="Island"/>
    <x v="1"/>
    <s v="North Puget Sound"/>
    <m/>
    <n v="39.275970619097599"/>
    <n v="42.961854488605397"/>
  </r>
  <r>
    <n v="2953"/>
    <x v="8"/>
    <s v="Marine"/>
    <x v="0"/>
    <x v="0"/>
    <n v="6"/>
    <s v="Area 6: E Juan de Fuca"/>
    <s v="Area 6: E Juan de Fuca"/>
    <s v="NA"/>
    <x v="0"/>
    <s v="Jefferson"/>
    <x v="2"/>
    <s v="Strait of Juan de Fuca"/>
    <m/>
    <n v="424.18048268625398"/>
    <n v="463.98802847693901"/>
  </r>
  <r>
    <n v="2862"/>
    <x v="8"/>
    <s v="Marine"/>
    <x v="0"/>
    <x v="0"/>
    <n v="6"/>
    <s v="Area 6: E Juan de Fuca"/>
    <s v="Area 6: E Juan de Fuca"/>
    <s v="NA"/>
    <x v="0"/>
    <s v="King"/>
    <x v="3"/>
    <s v="South Puget Sound"/>
    <m/>
    <n v="424.18048268625398"/>
    <n v="463.98802847693901"/>
  </r>
  <r>
    <n v="2951"/>
    <x v="8"/>
    <s v="Marine"/>
    <x v="0"/>
    <x v="0"/>
    <n v="6"/>
    <s v="Area 6: E Juan de Fuca"/>
    <s v="Area 6: E Juan de Fuca"/>
    <s v="NA"/>
    <x v="0"/>
    <s v="Kitsap"/>
    <x v="4"/>
    <s v="South Puget Sound"/>
    <m/>
    <n v="471.31164742917099"/>
    <n v="515.54225386326505"/>
  </r>
  <r>
    <n v="2948"/>
    <x v="8"/>
    <s v="Marine"/>
    <x v="0"/>
    <x v="0"/>
    <n v="6"/>
    <s v="Area 6: E Juan de Fuca"/>
    <s v="Area 6: E Juan de Fuca"/>
    <s v="NA"/>
    <x v="0"/>
    <s v="Mason"/>
    <x v="5"/>
    <s v="South Puget Sound"/>
    <m/>
    <n v="109.972717733473"/>
    <n v="120.29319256809499"/>
  </r>
  <r>
    <n v="2954"/>
    <x v="8"/>
    <s v="Marine"/>
    <x v="0"/>
    <x v="0"/>
    <n v="6"/>
    <s v="Area 6: E Juan de Fuca"/>
    <s v="Area 6: E Juan de Fuca"/>
    <s v="NA"/>
    <x v="0"/>
    <s v="Other"/>
    <x v="6"/>
    <s v="Non Puget Sound"/>
    <m/>
    <n v="432.03567681007399"/>
    <n v="472.58039937465998"/>
  </r>
  <r>
    <n v="2863"/>
    <x v="8"/>
    <s v="Marine"/>
    <x v="0"/>
    <x v="0"/>
    <n v="6"/>
    <s v="Area 6: E Juan de Fuca"/>
    <s v="Area 6: E Juan de Fuca"/>
    <s v="NA"/>
    <x v="0"/>
    <s v="Pierce"/>
    <x v="7"/>
    <s v="South Puget Sound"/>
    <m/>
    <n v="463.456453305352"/>
    <n v="506.94988296554402"/>
  </r>
  <r>
    <n v="2861"/>
    <x v="8"/>
    <s v="Marine"/>
    <x v="0"/>
    <x v="0"/>
    <n v="6"/>
    <s v="Area 6: E Juan de Fuca"/>
    <s v="Area 6: E Juan de Fuca"/>
    <s v="NA"/>
    <x v="0"/>
    <s v="San Juan"/>
    <x v="12"/>
    <s v="North Puget Sound"/>
    <m/>
    <n v="117.827911857293"/>
    <n v="128.88556346581601"/>
  </r>
  <r>
    <n v="2849"/>
    <x v="8"/>
    <s v="Marine"/>
    <x v="0"/>
    <x v="0"/>
    <n v="6"/>
    <s v="Area 6: E Juan de Fuca"/>
    <s v="Area 6: E Juan de Fuca"/>
    <s v="NA"/>
    <x v="0"/>
    <s v="Skagit"/>
    <x v="8"/>
    <s v="North Puget Sound"/>
    <m/>
    <n v="70.696747114375697"/>
    <n v="77.331338079489797"/>
  </r>
  <r>
    <n v="2859"/>
    <x v="8"/>
    <s v="Marine"/>
    <x v="0"/>
    <x v="0"/>
    <n v="6"/>
    <s v="Area 6: E Juan de Fuca"/>
    <s v="Area 6: E Juan de Fuca"/>
    <s v="NA"/>
    <x v="0"/>
    <s v="Snohomish"/>
    <x v="9"/>
    <s v="North Puget Sound"/>
    <m/>
    <n v="274.931794333683"/>
    <n v="300.73298142023799"/>
  </r>
  <r>
    <n v="2864"/>
    <x v="8"/>
    <s v="Marine"/>
    <x v="0"/>
    <x v="0"/>
    <n v="6"/>
    <s v="Area 6: E Juan de Fuca"/>
    <s v="Area 6: E Juan de Fuca"/>
    <s v="NA"/>
    <x v="0"/>
    <s v="Thurston"/>
    <x v="10"/>
    <s v="South Puget Sound"/>
    <m/>
    <n v="31.420776495278101"/>
    <n v="34.3694835908844"/>
  </r>
  <r>
    <n v="2848"/>
    <x v="8"/>
    <s v="Marine"/>
    <x v="0"/>
    <x v="0"/>
    <n v="6"/>
    <s v="Area 6: E Juan de Fuca"/>
    <s v="Area 6: E Juan de Fuca"/>
    <s v="NA"/>
    <x v="0"/>
    <s v="Whatcom"/>
    <x v="11"/>
    <s v="North Puget Sound"/>
    <m/>
    <n v="70.696747114375697"/>
    <n v="77.331338079489797"/>
  </r>
  <r>
    <n v="3469"/>
    <x v="8"/>
    <s v="Marine"/>
    <x v="0"/>
    <x v="0"/>
    <n v="7"/>
    <s v="Area 7: San Juan Islands"/>
    <s v="Area 7: San Juan Islands"/>
    <s v="NA"/>
    <x v="1"/>
    <s v="Clallam"/>
    <x v="0"/>
    <s v="Strait of Juan de Fuca"/>
    <m/>
    <n v="198.536343612335"/>
    <n v="462.04394327604803"/>
  </r>
  <r>
    <n v="3439"/>
    <x v="8"/>
    <s v="Marine"/>
    <x v="0"/>
    <x v="0"/>
    <n v="7"/>
    <s v="Area 7: San Juan Islands"/>
    <s v="Area 7: San Juan Islands"/>
    <s v="NA"/>
    <x v="1"/>
    <s v="Island"/>
    <x v="1"/>
    <s v="North Puget Sound"/>
    <m/>
    <n v="801.78138766519805"/>
    <n v="1865.9466939994199"/>
  </r>
  <r>
    <n v="3441"/>
    <x v="8"/>
    <s v="Marine"/>
    <x v="0"/>
    <x v="0"/>
    <n v="7"/>
    <s v="Area 7: San Juan Islands"/>
    <s v="Area 7: San Juan Islands"/>
    <s v="NA"/>
    <x v="1"/>
    <s v="King"/>
    <x v="3"/>
    <s v="South Puget Sound"/>
    <m/>
    <n v="1420.2984581497799"/>
    <n v="3305.3912865132602"/>
  </r>
  <r>
    <n v="3468"/>
    <x v="8"/>
    <s v="Marine"/>
    <x v="0"/>
    <x v="0"/>
    <n v="7"/>
    <s v="Area 7: San Juan Islands"/>
    <s v="Area 7: San Juan Islands"/>
    <s v="NA"/>
    <x v="1"/>
    <s v="Kitsap"/>
    <x v="4"/>
    <s v="South Puget Sound"/>
    <m/>
    <n v="30.5440528634361"/>
    <n v="71.083683580930398"/>
  </r>
  <r>
    <n v="3470"/>
    <x v="8"/>
    <s v="Marine"/>
    <x v="0"/>
    <x v="0"/>
    <n v="7"/>
    <s v="Area 7: San Juan Islands"/>
    <s v="Area 7: San Juan Islands"/>
    <s v="NA"/>
    <x v="1"/>
    <s v="Other"/>
    <x v="6"/>
    <s v="Non Puget Sound"/>
    <m/>
    <n v="1313.39427312775"/>
    <n v="3056.5983939800099"/>
  </r>
  <r>
    <n v="3442"/>
    <x v="8"/>
    <s v="Marine"/>
    <x v="0"/>
    <x v="0"/>
    <n v="7"/>
    <s v="Area 7: San Juan Islands"/>
    <s v="Area 7: San Juan Islands"/>
    <s v="NA"/>
    <x v="1"/>
    <s v="Pierce"/>
    <x v="7"/>
    <s v="South Puget Sound"/>
    <m/>
    <n v="145.084251101322"/>
    <n v="337.647497009419"/>
  </r>
  <r>
    <n v="3440"/>
    <x v="8"/>
    <s v="Marine"/>
    <x v="0"/>
    <x v="0"/>
    <n v="7"/>
    <s v="Area 7: San Juan Islands"/>
    <s v="Area 7: San Juan Islands"/>
    <s v="NA"/>
    <x v="1"/>
    <s v="San Juan"/>
    <x v="12"/>
    <s v="North Puget Sound"/>
    <m/>
    <n v="1756.2830396475799"/>
    <n v="4087.3118059035"/>
  </r>
  <r>
    <n v="3437"/>
    <x v="8"/>
    <s v="Marine"/>
    <x v="0"/>
    <x v="0"/>
    <n v="7"/>
    <s v="Area 7: San Juan Islands"/>
    <s v="Area 7: San Juan Islands"/>
    <s v="NA"/>
    <x v="1"/>
    <s v="Skagit"/>
    <x v="8"/>
    <s v="North Puget Sound"/>
    <m/>
    <n v="2916.95704845815"/>
    <n v="6788.4917819788498"/>
  </r>
  <r>
    <n v="3438"/>
    <x v="8"/>
    <s v="Marine"/>
    <x v="0"/>
    <x v="0"/>
    <n v="7"/>
    <s v="Area 7: San Juan Islands"/>
    <s v="Area 7: San Juan Islands"/>
    <s v="NA"/>
    <x v="1"/>
    <s v="Snohomish"/>
    <x v="9"/>
    <s v="North Puget Sound"/>
    <m/>
    <n v="2619.1525330396498"/>
    <n v="6095.4258670647796"/>
  </r>
  <r>
    <n v="3443"/>
    <x v="8"/>
    <s v="Marine"/>
    <x v="0"/>
    <x v="0"/>
    <n v="7"/>
    <s v="Area 7: San Juan Islands"/>
    <s v="Area 7: San Juan Islands"/>
    <s v="NA"/>
    <x v="1"/>
    <s v="Thurston"/>
    <x v="10"/>
    <s v="South Puget Sound"/>
    <m/>
    <n v="53.452092511013198"/>
    <n v="124.396446266628"/>
  </r>
  <r>
    <n v="3436"/>
    <x v="8"/>
    <s v="Marine"/>
    <x v="0"/>
    <x v="0"/>
    <n v="7"/>
    <s v="Area 7: San Juan Islands"/>
    <s v="Area 7: San Juan Islands"/>
    <s v="NA"/>
    <x v="1"/>
    <s v="Whatcom"/>
    <x v="11"/>
    <s v="North Puget Sound"/>
    <m/>
    <n v="2611.5165198237901"/>
    <n v="6077.6549461695504"/>
  </r>
  <r>
    <n v="1645"/>
    <x v="8"/>
    <s v="Marine"/>
    <x v="0"/>
    <x v="0"/>
    <n v="9"/>
    <s v="Area 9: Admiralty Inlet"/>
    <s v="Area 9: Admiralty Inlet"/>
    <s v="NA"/>
    <x v="2"/>
    <s v="Clallam"/>
    <x v="0"/>
    <s v="Strait of Juan de Fuca"/>
    <m/>
    <n v="134.11170212766001"/>
    <n v="314.59138513581701"/>
  </r>
  <r>
    <n v="1477"/>
    <x v="8"/>
    <s v="Marine"/>
    <x v="0"/>
    <x v="0"/>
    <n v="9"/>
    <s v="Area 9: Admiralty Inlet"/>
    <s v="Area 9: Admiralty Inlet"/>
    <s v="NA"/>
    <x v="2"/>
    <s v="Island"/>
    <x v="1"/>
    <s v="North Puget Sound"/>
    <m/>
    <n v="1672.8670212766001"/>
    <n v="3924.1135935362399"/>
  </r>
  <r>
    <n v="1646"/>
    <x v="8"/>
    <s v="Marine"/>
    <x v="0"/>
    <x v="0"/>
    <n v="9"/>
    <s v="Area 9: Admiralty Inlet"/>
    <s v="Area 9: Admiralty Inlet"/>
    <s v="NA"/>
    <x v="2"/>
    <s v="Jefferson"/>
    <x v="2"/>
    <s v="Strait of Juan de Fuca"/>
    <m/>
    <n v="1277.5904255319199"/>
    <n v="2996.89687945173"/>
  </r>
  <r>
    <n v="1640"/>
    <x v="8"/>
    <s v="Marine"/>
    <x v="0"/>
    <x v="0"/>
    <n v="9"/>
    <s v="Area 9: Admiralty Inlet"/>
    <s v="Area 9: Admiralty Inlet"/>
    <s v="NA"/>
    <x v="2"/>
    <s v="King"/>
    <x v="3"/>
    <s v="South Puget Sound"/>
    <m/>
    <n v="3522.19680851064"/>
    <n v="8262.1632201459306"/>
  </r>
  <r>
    <n v="1644"/>
    <x v="8"/>
    <s v="Marine"/>
    <x v="0"/>
    <x v="0"/>
    <n v="9"/>
    <s v="Area 9: Admiralty Inlet"/>
    <s v="Area 9: Admiralty Inlet"/>
    <s v="NA"/>
    <x v="2"/>
    <s v="Kitsap"/>
    <x v="4"/>
    <s v="South Puget Sound"/>
    <m/>
    <n v="2308.1329787233999"/>
    <n v="5414.2833126006399"/>
  </r>
  <r>
    <n v="1643"/>
    <x v="8"/>
    <s v="Marine"/>
    <x v="0"/>
    <x v="0"/>
    <n v="9"/>
    <s v="Area 9: Admiralty Inlet"/>
    <s v="Area 9: Admiralty Inlet"/>
    <s v="NA"/>
    <x v="2"/>
    <s v="Mason"/>
    <x v="5"/>
    <s v="South Puget Sound"/>
    <m/>
    <n v="77.643617021276597"/>
    <n v="182.13185455231499"/>
  </r>
  <r>
    <n v="1647"/>
    <x v="8"/>
    <s v="Marine"/>
    <x v="0"/>
    <x v="0"/>
    <n v="9"/>
    <s v="Area 9: Admiralty Inlet"/>
    <s v="Area 9: Admiralty Inlet"/>
    <s v="NA"/>
    <x v="2"/>
    <s v="Other"/>
    <x v="6"/>
    <s v="Non Puget Sound"/>
    <m/>
    <n v="1446.9946808510599"/>
    <n v="3394.2754712022402"/>
  </r>
  <r>
    <n v="1641"/>
    <x v="8"/>
    <s v="Marine"/>
    <x v="0"/>
    <x v="0"/>
    <n v="9"/>
    <s v="Area 9: Admiralty Inlet"/>
    <s v="Area 9: Admiralty Inlet"/>
    <s v="NA"/>
    <x v="2"/>
    <s v="Pierce"/>
    <x v="7"/>
    <s v="South Puget Sound"/>
    <m/>
    <n v="359.98404255319201"/>
    <n v="844.42950746982501"/>
  </r>
  <r>
    <n v="1478"/>
    <x v="8"/>
    <s v="Marine"/>
    <x v="0"/>
    <x v="0"/>
    <n v="9"/>
    <s v="Area 9: Admiralty Inlet"/>
    <s v="Area 9: Admiralty Inlet"/>
    <s v="NA"/>
    <x v="2"/>
    <s v="San Juan"/>
    <x v="12"/>
    <s v="North Puget Sound"/>
    <m/>
    <n v="14.1170212765957"/>
    <n v="33.114882645875497"/>
  </r>
  <r>
    <n v="1475"/>
    <x v="8"/>
    <s v="Marine"/>
    <x v="0"/>
    <x v="0"/>
    <n v="9"/>
    <s v="Area 9: Admiralty Inlet"/>
    <s v="Area 9: Admiralty Inlet"/>
    <s v="NA"/>
    <x v="2"/>
    <s v="Skagit"/>
    <x v="8"/>
    <s v="North Puget Sound"/>
    <m/>
    <n v="310.57446808510599"/>
    <n v="728.52741820925996"/>
  </r>
  <r>
    <n v="1476"/>
    <x v="8"/>
    <s v="Marine"/>
    <x v="0"/>
    <x v="0"/>
    <n v="9"/>
    <s v="Area 9: Admiralty Inlet"/>
    <s v="Area 9: Admiralty Inlet"/>
    <s v="NA"/>
    <x v="2"/>
    <s v="Snohomish"/>
    <x v="9"/>
    <s v="North Puget Sound"/>
    <m/>
    <n v="4602.1489361702097"/>
    <n v="10795.4517425554"/>
  </r>
  <r>
    <n v="1642"/>
    <x v="8"/>
    <s v="Marine"/>
    <x v="0"/>
    <x v="0"/>
    <n v="9"/>
    <s v="Area 9: Admiralty Inlet"/>
    <s v="Area 9: Admiralty Inlet"/>
    <s v="NA"/>
    <x v="2"/>
    <s v="Thurston"/>
    <x v="10"/>
    <s v="South Puget Sound"/>
    <m/>
    <n v="56.468085106383"/>
    <n v="132.45953058350199"/>
  </r>
  <r>
    <n v="1474"/>
    <x v="8"/>
    <s v="Marine"/>
    <x v="0"/>
    <x v="0"/>
    <n v="9"/>
    <s v="Area 9: Admiralty Inlet"/>
    <s v="Area 9: Admiralty Inlet"/>
    <s v="NA"/>
    <x v="2"/>
    <s v="Whatcom"/>
    <x v="11"/>
    <s v="North Puget Sound"/>
    <m/>
    <n v="141.17021276595699"/>
    <n v="331.14882645875502"/>
  </r>
  <r>
    <n v="285"/>
    <x v="8"/>
    <s v="Marine"/>
    <x v="0"/>
    <x v="0"/>
    <n v="10"/>
    <s v="Area 10: N Puget Sound"/>
    <s v="Area 10: N Puget Sound"/>
    <s v="NA"/>
    <x v="3"/>
    <s v="Clallam"/>
    <x v="0"/>
    <s v="Strait of Juan de Fuca"/>
    <m/>
    <n v="21.367801047120398"/>
    <n v="28.238866468591301"/>
  </r>
  <r>
    <n v="209"/>
    <x v="8"/>
    <s v="Marine"/>
    <x v="0"/>
    <x v="0"/>
    <n v="10"/>
    <s v="Area 10: N Puget Sound"/>
    <s v="Area 10: N Puget Sound"/>
    <s v="NA"/>
    <x v="3"/>
    <s v="Island"/>
    <x v="1"/>
    <s v="North Puget Sound"/>
    <m/>
    <n v="270.65881326352502"/>
    <n v="357.69230860215703"/>
  </r>
  <r>
    <n v="286"/>
    <x v="8"/>
    <s v="Marine"/>
    <x v="0"/>
    <x v="0"/>
    <n v="10"/>
    <s v="Area 10: N Puget Sound"/>
    <s v="Area 10: N Puget Sound"/>
    <s v="NA"/>
    <x v="3"/>
    <s v="Jefferson"/>
    <x v="2"/>
    <s v="Strait of Juan de Fuca"/>
    <m/>
    <n v="85.471204188481707"/>
    <n v="112.955465874365"/>
  </r>
  <r>
    <n v="210"/>
    <x v="8"/>
    <s v="Marine"/>
    <x v="0"/>
    <x v="0"/>
    <n v="10"/>
    <s v="Area 10: N Puget Sound"/>
    <s v="Area 10: N Puget Sound"/>
    <s v="NA"/>
    <x v="3"/>
    <s v="King"/>
    <x v="3"/>
    <s v="South Puget Sound"/>
    <m/>
    <n v="15057.1771378709"/>
    <n v="19898.987904867299"/>
  </r>
  <r>
    <n v="214"/>
    <x v="8"/>
    <s v="Marine"/>
    <x v="0"/>
    <x v="0"/>
    <n v="10"/>
    <s v="Area 10: N Puget Sound"/>
    <s v="Area 10: N Puget Sound"/>
    <s v="NA"/>
    <x v="3"/>
    <s v="Kitsap"/>
    <x v="4"/>
    <s v="South Puget Sound"/>
    <m/>
    <n v="4031.3917975567201"/>
    <n v="5327.7328070742296"/>
  </r>
  <r>
    <n v="213"/>
    <x v="8"/>
    <s v="Marine"/>
    <x v="0"/>
    <x v="0"/>
    <n v="10"/>
    <s v="Area 10: N Puget Sound"/>
    <s v="Area 10: N Puget Sound"/>
    <s v="NA"/>
    <x v="3"/>
    <s v="Mason"/>
    <x v="5"/>
    <s v="South Puget Sound"/>
    <m/>
    <n v="78.348603839441594"/>
    <n v="103.542510384835"/>
  </r>
  <r>
    <n v="287"/>
    <x v="8"/>
    <s v="Marine"/>
    <x v="0"/>
    <x v="0"/>
    <n v="10"/>
    <s v="Area 10: N Puget Sound"/>
    <s v="Area 10: N Puget Sound"/>
    <s v="NA"/>
    <x v="3"/>
    <s v="Other"/>
    <x v="6"/>
    <s v="Non Puget Sound"/>
    <m/>
    <n v="4359.0314136125698"/>
    <n v="5760.72875959263"/>
  </r>
  <r>
    <n v="211"/>
    <x v="8"/>
    <s v="Marine"/>
    <x v="0"/>
    <x v="0"/>
    <n v="10"/>
    <s v="Area 10: N Puget Sound"/>
    <s v="Area 10: N Puget Sound"/>
    <s v="NA"/>
    <x v="3"/>
    <s v="Pierce"/>
    <x v="7"/>
    <s v="South Puget Sound"/>
    <m/>
    <n v="690.89223385689399"/>
    <n v="913.05668248445204"/>
  </r>
  <r>
    <n v="198"/>
    <x v="8"/>
    <s v="Marine"/>
    <x v="0"/>
    <x v="0"/>
    <n v="10"/>
    <s v="Area 10: N Puget Sound"/>
    <s v="Area 10: N Puget Sound"/>
    <s v="NA"/>
    <x v="3"/>
    <s v="Skagit"/>
    <x v="8"/>
    <s v="North Puget Sound"/>
    <m/>
    <n v="121.084205933682"/>
    <n v="160.020243322017"/>
  </r>
  <r>
    <n v="199"/>
    <x v="8"/>
    <s v="Marine"/>
    <x v="0"/>
    <x v="0"/>
    <n v="10"/>
    <s v="Area 10: N Puget Sound"/>
    <s v="Area 10: N Puget Sound"/>
    <s v="NA"/>
    <x v="3"/>
    <s v="Snohomish"/>
    <x v="9"/>
    <s v="North Puget Sound"/>
    <m/>
    <n v="7649.6727748691101"/>
    <n v="10109.514195755701"/>
  </r>
  <r>
    <n v="212"/>
    <x v="8"/>
    <s v="Marine"/>
    <x v="0"/>
    <x v="0"/>
    <n v="10"/>
    <s v="Area 10: N Puget Sound"/>
    <s v="Area 10: N Puget Sound"/>
    <s v="NA"/>
    <x v="3"/>
    <s v="Thurston"/>
    <x v="10"/>
    <s v="South Puget Sound"/>
    <m/>
    <n v="256.41361256544502"/>
    <n v="338.86639762309602"/>
  </r>
  <r>
    <n v="197"/>
    <x v="8"/>
    <s v="Marine"/>
    <x v="0"/>
    <x v="0"/>
    <n v="10"/>
    <s v="Area 10: N Puget Sound"/>
    <s v="Area 10: N Puget Sound"/>
    <s v="NA"/>
    <x v="3"/>
    <s v="Whatcom"/>
    <x v="11"/>
    <s v="North Puget Sound"/>
    <m/>
    <n v="28.4904013961606"/>
    <n v="37.651821958121701"/>
  </r>
  <r>
    <n v="291"/>
    <x v="8"/>
    <s v="Marine"/>
    <x v="0"/>
    <x v="0"/>
    <n v="11"/>
    <s v="Area 11: Mid-Puget Sound"/>
    <s v="Area 11: Mid-Puget Sound"/>
    <s v="NA"/>
    <x v="3"/>
    <s v="Island"/>
    <x v="1"/>
    <s v="North Puget Sound"/>
    <m/>
    <n v="6.8807947019867601"/>
    <n v="20.637457922790901"/>
  </r>
  <r>
    <n v="292"/>
    <x v="8"/>
    <s v="Marine"/>
    <x v="0"/>
    <x v="0"/>
    <n v="11"/>
    <s v="Area 11: Mid-Puget Sound"/>
    <s v="Area 11: Mid-Puget Sound"/>
    <s v="NA"/>
    <x v="3"/>
    <s v="King"/>
    <x v="3"/>
    <s v="South Puget Sound"/>
    <m/>
    <n v="5153.71523178808"/>
    <n v="15457.455984170399"/>
  </r>
  <r>
    <n v="296"/>
    <x v="8"/>
    <s v="Marine"/>
    <x v="0"/>
    <x v="0"/>
    <n v="11"/>
    <s v="Area 11: Mid-Puget Sound"/>
    <s v="Area 11: Mid-Puget Sound"/>
    <s v="NA"/>
    <x v="3"/>
    <s v="Kitsap"/>
    <x v="4"/>
    <s v="South Puget Sound"/>
    <m/>
    <n v="288.99337748344402"/>
    <n v="866.77323275721699"/>
  </r>
  <r>
    <n v="295"/>
    <x v="8"/>
    <s v="Marine"/>
    <x v="0"/>
    <x v="0"/>
    <n v="11"/>
    <s v="Area 11: Mid-Puget Sound"/>
    <s v="Area 11: Mid-Puget Sound"/>
    <s v="NA"/>
    <x v="3"/>
    <s v="Mason"/>
    <x v="5"/>
    <s v="South Puget Sound"/>
    <m/>
    <n v="89.450331125827802"/>
    <n v="268.28695299628203"/>
  </r>
  <r>
    <n v="297"/>
    <x v="8"/>
    <s v="Marine"/>
    <x v="0"/>
    <x v="0"/>
    <n v="11"/>
    <s v="Area 11: Mid-Puget Sound"/>
    <s v="Area 11: Mid-Puget Sound"/>
    <s v="NA"/>
    <x v="3"/>
    <s v="Other"/>
    <x v="6"/>
    <s v="Non Puget Sound"/>
    <m/>
    <n v="288.99337748344402"/>
    <n v="866.77323275721699"/>
  </r>
  <r>
    <n v="293"/>
    <x v="8"/>
    <s v="Marine"/>
    <x v="0"/>
    <x v="0"/>
    <n v="11"/>
    <s v="Area 11: Mid-Puget Sound"/>
    <s v="Area 11: Mid-Puget Sound"/>
    <s v="NA"/>
    <x v="3"/>
    <s v="Pierce"/>
    <x v="7"/>
    <s v="South Puget Sound"/>
    <m/>
    <n v="6316.56953642384"/>
    <n v="18945.186373122"/>
  </r>
  <r>
    <n v="289"/>
    <x v="8"/>
    <s v="Marine"/>
    <x v="0"/>
    <x v="0"/>
    <n v="11"/>
    <s v="Area 11: Mid-Puget Sound"/>
    <s v="Area 11: Mid-Puget Sound"/>
    <s v="NA"/>
    <x v="3"/>
    <s v="Skagit"/>
    <x v="8"/>
    <s v="North Puget Sound"/>
    <m/>
    <n v="34.403973509933799"/>
    <n v="103.18728961395399"/>
  </r>
  <r>
    <n v="290"/>
    <x v="8"/>
    <s v="Marine"/>
    <x v="0"/>
    <x v="0"/>
    <n v="11"/>
    <s v="Area 11: Mid-Puget Sound"/>
    <s v="Area 11: Mid-Puget Sound"/>
    <s v="NA"/>
    <x v="3"/>
    <s v="Snohomish"/>
    <x v="9"/>
    <s v="North Puget Sound"/>
    <m/>
    <n v="110.09271523178801"/>
    <n v="330.19932676465402"/>
  </r>
  <r>
    <n v="294"/>
    <x v="8"/>
    <s v="Marine"/>
    <x v="0"/>
    <x v="0"/>
    <n v="11"/>
    <s v="Area 11: Mid-Puget Sound"/>
    <s v="Area 11: Mid-Puget Sound"/>
    <s v="NA"/>
    <x v="3"/>
    <s v="Thurston"/>
    <x v="10"/>
    <s v="South Puget Sound"/>
    <m/>
    <n v="165.139072847682"/>
    <n v="495.298990146981"/>
  </r>
  <r>
    <n v="288"/>
    <x v="8"/>
    <s v="Marine"/>
    <x v="0"/>
    <x v="0"/>
    <n v="11"/>
    <s v="Area 11: Mid-Puget Sound"/>
    <s v="Area 11: Mid-Puget Sound"/>
    <s v="NA"/>
    <x v="3"/>
    <s v="Whatcom"/>
    <x v="11"/>
    <s v="North Puget Sound"/>
    <m/>
    <n v="13.761589403973501"/>
    <n v="41.274915845581802"/>
  </r>
  <r>
    <n v="944"/>
    <x v="8"/>
    <s v="Marine"/>
    <x v="0"/>
    <x v="0"/>
    <n v="12"/>
    <s v="Area 12: Hood Canal"/>
    <s v="Area 12: Hood Canal"/>
    <s v="NA"/>
    <x v="4"/>
    <s v="Clallam"/>
    <x v="0"/>
    <s v="Strait of Juan de Fuca"/>
    <m/>
    <n v="93.147169811320794"/>
    <n v="78.783958166614198"/>
  </r>
  <r>
    <n v="945"/>
    <x v="8"/>
    <s v="Marine"/>
    <x v="0"/>
    <x v="0"/>
    <n v="12"/>
    <s v="Area 12: Hood Canal"/>
    <s v="Area 12: Hood Canal"/>
    <s v="NA"/>
    <x v="4"/>
    <s v="Jefferson"/>
    <x v="2"/>
    <s v="Strait of Juan de Fuca"/>
    <m/>
    <n v="939.23396226415105"/>
    <n v="794.40491151336005"/>
  </r>
  <r>
    <n v="840"/>
    <x v="8"/>
    <s v="Marine"/>
    <x v="0"/>
    <x v="0"/>
    <n v="12"/>
    <s v="Area 12: Hood Canal"/>
    <s v="Area 12: Hood Canal"/>
    <s v="NA"/>
    <x v="4"/>
    <s v="King"/>
    <x v="3"/>
    <s v="South Puget Sound"/>
    <m/>
    <n v="2134.6226415094302"/>
    <n v="1805.4657079849101"/>
  </r>
  <r>
    <n v="943"/>
    <x v="8"/>
    <s v="Marine"/>
    <x v="0"/>
    <x v="0"/>
    <n v="12"/>
    <s v="Area 12: Hood Canal"/>
    <s v="Area 12: Hood Canal"/>
    <s v="NA"/>
    <x v="4"/>
    <s v="Kitsap"/>
    <x v="4"/>
    <s v="South Puget Sound"/>
    <m/>
    <n v="690.84150943396196"/>
    <n v="584.31435640238794"/>
  </r>
  <r>
    <n v="942"/>
    <x v="8"/>
    <s v="Marine"/>
    <x v="0"/>
    <x v="0"/>
    <n v="12"/>
    <s v="Area 12: Hood Canal"/>
    <s v="Area 12: Hood Canal"/>
    <s v="NA"/>
    <x v="4"/>
    <s v="Mason"/>
    <x v="5"/>
    <s v="South Puget Sound"/>
    <m/>
    <n v="520.07169811320796"/>
    <n v="439.87709976359599"/>
  </r>
  <r>
    <n v="946"/>
    <x v="8"/>
    <s v="Marine"/>
    <x v="0"/>
    <x v="0"/>
    <n v="12"/>
    <s v="Area 12: Hood Canal"/>
    <s v="Area 12: Hood Canal"/>
    <s v="NA"/>
    <x v="4"/>
    <s v="Other"/>
    <x v="6"/>
    <s v="Non Puget Sound"/>
    <m/>
    <n v="1482.59245283019"/>
    <n v="1253.9780008186101"/>
  </r>
  <r>
    <n v="841"/>
    <x v="8"/>
    <s v="Marine"/>
    <x v="0"/>
    <x v="0"/>
    <n v="12"/>
    <s v="Area 12: Hood Canal"/>
    <s v="Area 12: Hood Canal"/>
    <s v="NA"/>
    <x v="4"/>
    <s v="Pierce"/>
    <x v="7"/>
    <s v="South Puget Sound"/>
    <m/>
    <n v="1234.2"/>
    <n v="1043.8874457076399"/>
  </r>
  <r>
    <n v="839"/>
    <x v="8"/>
    <s v="Marine"/>
    <x v="0"/>
    <x v="0"/>
    <n v="12"/>
    <s v="Area 12: Hood Canal"/>
    <s v="Area 12: Hood Canal"/>
    <s v="NA"/>
    <x v="4"/>
    <s v="Snohomish"/>
    <x v="9"/>
    <s v="North Puget Sound"/>
    <m/>
    <n v="349.30188679245299"/>
    <n v="295.43984312480302"/>
  </r>
  <r>
    <n v="941"/>
    <x v="8"/>
    <s v="Marine"/>
    <x v="0"/>
    <x v="0"/>
    <n v="12"/>
    <s v="Area 12: Hood Canal"/>
    <s v="Area 12: Hood Canal"/>
    <s v="NA"/>
    <x v="4"/>
    <s v="Thurston"/>
    <x v="10"/>
    <s v="South Puget Sound"/>
    <m/>
    <n v="783.98867924528304"/>
    <n v="663.09831456900304"/>
  </r>
  <r>
    <n v="299"/>
    <x v="8"/>
    <s v="Marine"/>
    <x v="0"/>
    <x v="0"/>
    <n v="13"/>
    <s v="Area 13: S Puget Sound"/>
    <s v="Area 13: S Puget Sound"/>
    <s v="NA"/>
    <x v="3"/>
    <s v="King"/>
    <x v="3"/>
    <s v="South Puget Sound"/>
    <m/>
    <n v="293.97586206896602"/>
    <n v="329.20437485996302"/>
  </r>
  <r>
    <n v="303"/>
    <x v="8"/>
    <s v="Marine"/>
    <x v="0"/>
    <x v="0"/>
    <n v="13"/>
    <s v="Area 13: S Puget Sound"/>
    <s v="Area 13: S Puget Sound"/>
    <s v="NA"/>
    <x v="3"/>
    <s v="Kitsap"/>
    <x v="4"/>
    <s v="South Puget Sound"/>
    <m/>
    <n v="193.405172413793"/>
    <n v="216.581825565765"/>
  </r>
  <r>
    <n v="302"/>
    <x v="8"/>
    <s v="Marine"/>
    <x v="0"/>
    <x v="0"/>
    <n v="13"/>
    <s v="Area 13: S Puget Sound"/>
    <s v="Area 13: S Puget Sound"/>
    <s v="NA"/>
    <x v="3"/>
    <s v="Mason"/>
    <x v="5"/>
    <s v="South Puget Sound"/>
    <m/>
    <n v="487.38103448275899"/>
    <n v="545.786200425728"/>
  </r>
  <r>
    <n v="304"/>
    <x v="8"/>
    <s v="Marine"/>
    <x v="0"/>
    <x v="0"/>
    <n v="13"/>
    <s v="Area 13: S Puget Sound"/>
    <s v="Area 13: S Puget Sound"/>
    <s v="NA"/>
    <x v="3"/>
    <s v="Other"/>
    <x v="6"/>
    <s v="Non Puget Sound"/>
    <m/>
    <n v="263.03103448275903"/>
    <n v="294.55128276943998"/>
  </r>
  <r>
    <n v="300"/>
    <x v="8"/>
    <s v="Marine"/>
    <x v="0"/>
    <x v="0"/>
    <n v="13"/>
    <s v="Area 13: S Puget Sound"/>
    <s v="Area 13: S Puget Sound"/>
    <s v="NA"/>
    <x v="3"/>
    <s v="Pierce"/>
    <x v="7"/>
    <s v="South Puget Sound"/>
    <m/>
    <n v="1423.4620689655201"/>
    <n v="1594.0422361640301"/>
  </r>
  <r>
    <n v="298"/>
    <x v="8"/>
    <s v="Marine"/>
    <x v="0"/>
    <x v="0"/>
    <n v="13"/>
    <s v="Area 13: S Puget Sound"/>
    <s v="Area 13: S Puget Sound"/>
    <s v="NA"/>
    <x v="3"/>
    <s v="Snohomish"/>
    <x v="9"/>
    <s v="North Puget Sound"/>
    <m/>
    <n v="61.889655172413804"/>
    <n v="69.306184181044799"/>
  </r>
  <r>
    <n v="301"/>
    <x v="8"/>
    <s v="Marine"/>
    <x v="0"/>
    <x v="0"/>
    <n v="13"/>
    <s v="Area 13: S Puget Sound"/>
    <s v="Area 13: S Puget Sound"/>
    <s v="NA"/>
    <x v="3"/>
    <s v="Thurston"/>
    <x v="10"/>
    <s v="South Puget Sound"/>
    <m/>
    <n v="1763.8551724137899"/>
    <n v="1975.2262491597801"/>
  </r>
  <r>
    <n v="1315"/>
    <x v="8"/>
    <s v="Marine"/>
    <x v="0"/>
    <x v="0"/>
    <d v="2023-08-01T00:00:00"/>
    <s v="Area 8-1: Skagit Bay-Saratoga Psg."/>
    <s v="Area 8-1: Skagit Bay-Saratoga Psg."/>
    <s v="NA"/>
    <x v="2"/>
    <s v="Island"/>
    <x v="1"/>
    <s v="North Puget Sound"/>
    <m/>
    <n v="700.58252427184505"/>
    <n v="1676.78696548632"/>
  </r>
  <r>
    <n v="1317"/>
    <x v="8"/>
    <s v="Marine"/>
    <x v="0"/>
    <x v="0"/>
    <d v="2023-08-01T00:00:00"/>
    <s v="Area 8-1: Skagit Bay-Saratoga Psg."/>
    <s v="Area 8-1: Skagit Bay-Saratoga Psg."/>
    <s v="NA"/>
    <x v="2"/>
    <s v="Jefferson"/>
    <x v="2"/>
    <s v="Strait of Juan de Fuca"/>
    <m/>
    <n v="15.9223300970874"/>
    <n v="38.108794670143702"/>
  </r>
  <r>
    <n v="1316"/>
    <x v="8"/>
    <s v="Marine"/>
    <x v="0"/>
    <x v="0"/>
    <d v="2023-08-01T00:00:00"/>
    <s v="Area 8-1: Skagit Bay-Saratoga Psg."/>
    <s v="Area 8-1: Skagit Bay-Saratoga Psg."/>
    <s v="NA"/>
    <x v="2"/>
    <s v="King"/>
    <x v="3"/>
    <s v="South Puget Sound"/>
    <m/>
    <n v="31.8446601941748"/>
    <n v="76.217589340287503"/>
  </r>
  <r>
    <n v="1318"/>
    <x v="8"/>
    <s v="Marine"/>
    <x v="0"/>
    <x v="0"/>
    <d v="2023-08-01T00:00:00"/>
    <s v="Area 8-1: Skagit Bay-Saratoga Psg."/>
    <s v="Area 8-1: Skagit Bay-Saratoga Psg."/>
    <s v="NA"/>
    <x v="2"/>
    <s v="Other"/>
    <x v="6"/>
    <s v="Non Puget Sound"/>
    <m/>
    <n v="47.766990291262097"/>
    <n v="114.326384010431"/>
  </r>
  <r>
    <n v="1313"/>
    <x v="8"/>
    <s v="Marine"/>
    <x v="0"/>
    <x v="0"/>
    <d v="2023-08-01T00:00:00"/>
    <s v="Area 8-1: Skagit Bay-Saratoga Psg."/>
    <s v="Area 8-1: Skagit Bay-Saratoga Psg."/>
    <s v="NA"/>
    <x v="2"/>
    <s v="Skagit"/>
    <x v="8"/>
    <s v="North Puget Sound"/>
    <m/>
    <n v="525.43689320388398"/>
    <n v="1257.5902241147401"/>
  </r>
  <r>
    <n v="1314"/>
    <x v="8"/>
    <s v="Marine"/>
    <x v="0"/>
    <x v="0"/>
    <d v="2023-08-01T00:00:00"/>
    <s v="Area 8-1: Skagit Bay-Saratoga Psg."/>
    <s v="Area 8-1: Skagit Bay-Saratoga Psg."/>
    <s v="NA"/>
    <x v="2"/>
    <s v="Snohomish"/>
    <x v="9"/>
    <s v="North Puget Sound"/>
    <m/>
    <n v="310.485436893204"/>
    <n v="743.12149606780304"/>
  </r>
  <r>
    <n v="1264"/>
    <x v="8"/>
    <s v="Marine"/>
    <x v="0"/>
    <x v="0"/>
    <d v="2023-08-01T00:00:00"/>
    <s v="Area 8-1: Skagit Bay-Saratoga Psg."/>
    <s v="Area 8-1: Skagit Bay-Saratoga Psg."/>
    <s v="NA"/>
    <x v="2"/>
    <s v="Whatcom"/>
    <x v="11"/>
    <s v="North Puget Sound"/>
    <m/>
    <n v="7.9611650485436902"/>
    <n v="19.054397335071901"/>
  </r>
  <r>
    <n v="1471"/>
    <x v="8"/>
    <s v="Marine"/>
    <x v="0"/>
    <x v="0"/>
    <d v="2023-08-02T00:00:00"/>
    <s v="Area 8-2: Port Susan-Port Gardner"/>
    <s v="Area 8-2: Port Susan-Port Gardner"/>
    <s v="NA"/>
    <x v="2"/>
    <s v="Clallam"/>
    <x v="0"/>
    <s v="Strait of Juan de Fuca"/>
    <m/>
    <n v="23.1071428571429"/>
    <n v="37.379888522487299"/>
  </r>
  <r>
    <n v="1396"/>
    <x v="8"/>
    <s v="Marine"/>
    <x v="0"/>
    <x v="0"/>
    <d v="2023-08-02T00:00:00"/>
    <s v="Area 8-2: Port Susan-Port Gardner"/>
    <s v="Area 8-2: Port Susan-Port Gardner"/>
    <s v="NA"/>
    <x v="2"/>
    <s v="Island"/>
    <x v="1"/>
    <s v="North Puget Sound"/>
    <m/>
    <n v="662.40476190476204"/>
    <n v="1071.5568043113001"/>
  </r>
  <r>
    <n v="1472"/>
    <x v="8"/>
    <s v="Marine"/>
    <x v="0"/>
    <x v="0"/>
    <d v="2023-08-02T00:00:00"/>
    <s v="Area 8-2: Port Susan-Port Gardner"/>
    <s v="Area 8-2: Port Susan-Port Gardner"/>
    <s v="NA"/>
    <x v="2"/>
    <s v="Jefferson"/>
    <x v="2"/>
    <s v="Strait of Juan de Fuca"/>
    <m/>
    <n v="7.7023809523809499"/>
    <n v="12.4599628408291"/>
  </r>
  <r>
    <n v="1397"/>
    <x v="8"/>
    <s v="Marine"/>
    <x v="0"/>
    <x v="0"/>
    <d v="2023-08-02T00:00:00"/>
    <s v="Area 8-2: Port Susan-Port Gardner"/>
    <s v="Area 8-2: Port Susan-Port Gardner"/>
    <s v="NA"/>
    <x v="2"/>
    <s v="King"/>
    <x v="3"/>
    <s v="South Puget Sound"/>
    <m/>
    <n v="1478.8571428571399"/>
    <n v="2392.3128654391899"/>
  </r>
  <r>
    <n v="1470"/>
    <x v="8"/>
    <s v="Marine"/>
    <x v="0"/>
    <x v="0"/>
    <d v="2023-08-02T00:00:00"/>
    <s v="Area 8-2: Port Susan-Port Gardner"/>
    <s v="Area 8-2: Port Susan-Port Gardner"/>
    <s v="NA"/>
    <x v="2"/>
    <s v="Kitsap"/>
    <x v="4"/>
    <s v="South Puget Sound"/>
    <m/>
    <n v="38.511904761904802"/>
    <n v="62.299814204145498"/>
  </r>
  <r>
    <n v="1473"/>
    <x v="8"/>
    <s v="Marine"/>
    <x v="0"/>
    <x v="0"/>
    <d v="2023-08-02T00:00:00"/>
    <s v="Area 8-2: Port Susan-Port Gardner"/>
    <s v="Area 8-2: Port Susan-Port Gardner"/>
    <s v="NA"/>
    <x v="2"/>
    <s v="Other"/>
    <x v="6"/>
    <s v="Non Puget Sound"/>
    <m/>
    <n v="754.83333333333303"/>
    <n v="1221.07635840125"/>
  </r>
  <r>
    <n v="1398"/>
    <x v="8"/>
    <s v="Marine"/>
    <x v="0"/>
    <x v="0"/>
    <d v="2023-08-02T00:00:00"/>
    <s v="Area 8-2: Port Susan-Port Gardner"/>
    <s v="Area 8-2: Port Susan-Port Gardner"/>
    <s v="NA"/>
    <x v="2"/>
    <s v="Pierce"/>
    <x v="7"/>
    <s v="South Puget Sound"/>
    <m/>
    <n v="46.214285714285701"/>
    <n v="74.759777044974598"/>
  </r>
  <r>
    <n v="1394"/>
    <x v="8"/>
    <s v="Marine"/>
    <x v="0"/>
    <x v="0"/>
    <d v="2023-08-02T00:00:00"/>
    <s v="Area 8-2: Port Susan-Port Gardner"/>
    <s v="Area 8-2: Port Susan-Port Gardner"/>
    <s v="NA"/>
    <x v="2"/>
    <s v="Skagit"/>
    <x v="8"/>
    <s v="North Puget Sound"/>
    <m/>
    <n v="100.130952380952"/>
    <n v="161.979516930778"/>
  </r>
  <r>
    <n v="1395"/>
    <x v="8"/>
    <s v="Marine"/>
    <x v="0"/>
    <x v="0"/>
    <d v="2023-08-02T00:00:00"/>
    <s v="Area 8-2: Port Susan-Port Gardner"/>
    <s v="Area 8-2: Port Susan-Port Gardner"/>
    <s v="NA"/>
    <x v="2"/>
    <s v="Snohomish"/>
    <x v="9"/>
    <s v="North Puget Sound"/>
    <m/>
    <n v="8387.8928571428605"/>
    <n v="13568.8995336629"/>
  </r>
  <r>
    <n v="1469"/>
    <x v="8"/>
    <s v="Marine"/>
    <x v="0"/>
    <x v="0"/>
    <d v="2023-08-02T00:00:00"/>
    <s v="Area 8-2: Port Susan-Port Gardner"/>
    <s v="Area 8-2: Port Susan-Port Gardner"/>
    <s v="NA"/>
    <x v="2"/>
    <s v="Thurston"/>
    <x v="10"/>
    <s v="South Puget Sound"/>
    <m/>
    <n v="7.7023809523809499"/>
    <n v="12.4599628408291"/>
  </r>
  <r>
    <n v="1319"/>
    <x v="8"/>
    <s v="Marine"/>
    <x v="0"/>
    <x v="0"/>
    <d v="2023-08-02T00:00:00"/>
    <s v="Area 8-2: Port Susan-Port Gardner"/>
    <s v="Area 8-2: Port Susan-Port Gardner"/>
    <s v="NA"/>
    <x v="2"/>
    <s v="Whatcom"/>
    <x v="11"/>
    <s v="North Puget Sound"/>
    <m/>
    <n v="138.642857142857"/>
    <n v="224.27933113492401"/>
  </r>
  <r>
    <n v="3077"/>
    <x v="9"/>
    <s v="Marine"/>
    <x v="0"/>
    <x v="0"/>
    <n v="5"/>
    <s v="Area 5: W Juan de Fuca"/>
    <s v="Area 5: W Juan de Fuca"/>
    <s v="NA"/>
    <x v="0"/>
    <s v="Clallam"/>
    <x v="0"/>
    <s v="Strait of Juan de Fuca"/>
    <m/>
    <n v="3885.92"/>
    <n v="5166.0830664669002"/>
  </r>
  <r>
    <n v="2958"/>
    <x v="9"/>
    <s v="Marine"/>
    <x v="0"/>
    <x v="0"/>
    <n v="5"/>
    <s v="Area 5: W Juan de Fuca"/>
    <s v="Area 5: W Juan de Fuca"/>
    <s v="NA"/>
    <x v="0"/>
    <s v="Island"/>
    <x v="1"/>
    <s v="North Puget Sound"/>
    <m/>
    <n v="401.99172413793099"/>
    <n v="534.42238618623105"/>
  </r>
  <r>
    <n v="3078"/>
    <x v="9"/>
    <s v="Marine"/>
    <x v="0"/>
    <x v="0"/>
    <n v="5"/>
    <s v="Area 5: W Juan de Fuca"/>
    <s v="Area 5: W Juan de Fuca"/>
    <s v="NA"/>
    <x v="0"/>
    <s v="Jefferson"/>
    <x v="2"/>
    <s v="Strait of Juan de Fuca"/>
    <m/>
    <n v="703.48551724137894"/>
    <n v="935.23917582590502"/>
  </r>
  <r>
    <n v="3072"/>
    <x v="9"/>
    <s v="Marine"/>
    <x v="0"/>
    <x v="0"/>
    <n v="5"/>
    <s v="Area 5: W Juan de Fuca"/>
    <s v="Area 5: W Juan de Fuca"/>
    <s v="NA"/>
    <x v="0"/>
    <s v="King"/>
    <x v="3"/>
    <s v="South Puget Sound"/>
    <m/>
    <n v="2767.04303448276"/>
    <n v="3678.6074249152298"/>
  </r>
  <r>
    <n v="3076"/>
    <x v="9"/>
    <s v="Marine"/>
    <x v="0"/>
    <x v="0"/>
    <n v="5"/>
    <s v="Area 5: W Juan de Fuca"/>
    <s v="Area 5: W Juan de Fuca"/>
    <s v="NA"/>
    <x v="0"/>
    <s v="Kitsap"/>
    <x v="4"/>
    <s v="South Puget Sound"/>
    <m/>
    <n v="2666.5451034482799"/>
    <n v="3545.00182836867"/>
  </r>
  <r>
    <n v="3075"/>
    <x v="9"/>
    <s v="Marine"/>
    <x v="0"/>
    <x v="0"/>
    <n v="5"/>
    <s v="Area 5: W Juan de Fuca"/>
    <s v="Area 5: W Juan de Fuca"/>
    <s v="NA"/>
    <x v="0"/>
    <s v="Mason"/>
    <x v="5"/>
    <s v="South Puget Sound"/>
    <m/>
    <n v="529.28910344827602"/>
    <n v="703.65614181187095"/>
  </r>
  <r>
    <n v="3180"/>
    <x v="9"/>
    <s v="Marine"/>
    <x v="0"/>
    <x v="0"/>
    <n v="5"/>
    <s v="Area 5: W Juan de Fuca"/>
    <s v="Area 5: W Juan de Fuca"/>
    <s v="NA"/>
    <x v="0"/>
    <s v="Other"/>
    <x v="6"/>
    <s v="Non Puget Sound"/>
    <m/>
    <n v="6512.2659310344798"/>
    <n v="8657.6426562169509"/>
  </r>
  <r>
    <n v="3073"/>
    <x v="9"/>
    <s v="Marine"/>
    <x v="0"/>
    <x v="0"/>
    <n v="5"/>
    <s v="Area 5: W Juan de Fuca"/>
    <s v="Area 5: W Juan de Fuca"/>
    <s v="NA"/>
    <x v="0"/>
    <s v="Pierce"/>
    <x v="7"/>
    <s v="South Puget Sound"/>
    <m/>
    <n v="3504.0278620689701"/>
    <n v="4658.3817995899799"/>
  </r>
  <r>
    <n v="3071"/>
    <x v="9"/>
    <s v="Marine"/>
    <x v="0"/>
    <x v="0"/>
    <n v="5"/>
    <s v="Area 5: W Juan de Fuca"/>
    <s v="Area 5: W Juan de Fuca"/>
    <s v="NA"/>
    <x v="0"/>
    <s v="San Juan"/>
    <x v="12"/>
    <s v="North Puget Sound"/>
    <m/>
    <n v="53.598896551724202"/>
    <n v="71.256318158164206"/>
  </r>
  <r>
    <n v="2956"/>
    <x v="9"/>
    <s v="Marine"/>
    <x v="0"/>
    <x v="0"/>
    <n v="5"/>
    <s v="Area 5: W Juan de Fuca"/>
    <s v="Area 5: W Juan de Fuca"/>
    <s v="NA"/>
    <x v="0"/>
    <s v="Skagit"/>
    <x v="8"/>
    <s v="North Puget Sound"/>
    <m/>
    <n v="214.39558620689701"/>
    <n v="285.02527263265699"/>
  </r>
  <r>
    <n v="2957"/>
    <x v="9"/>
    <s v="Marine"/>
    <x v="0"/>
    <x v="0"/>
    <n v="5"/>
    <s v="Area 5: W Juan de Fuca"/>
    <s v="Area 5: W Juan de Fuca"/>
    <s v="NA"/>
    <x v="0"/>
    <s v="Snohomish"/>
    <x v="9"/>
    <s v="North Puget Sound"/>
    <m/>
    <n v="1333.2725517241399"/>
    <n v="1772.50091418433"/>
  </r>
  <r>
    <n v="3074"/>
    <x v="9"/>
    <s v="Marine"/>
    <x v="0"/>
    <x v="0"/>
    <n v="5"/>
    <s v="Area 5: W Juan de Fuca"/>
    <s v="Area 5: W Juan de Fuca"/>
    <s v="NA"/>
    <x v="0"/>
    <s v="Thurston"/>
    <x v="10"/>
    <s v="South Puget Sound"/>
    <m/>
    <n v="1360.0719999999999"/>
    <n v="1808.12907326342"/>
  </r>
  <r>
    <n v="2955"/>
    <x v="9"/>
    <s v="Marine"/>
    <x v="0"/>
    <x v="0"/>
    <n v="5"/>
    <s v="Area 5: W Juan de Fuca"/>
    <s v="Area 5: W Juan de Fuca"/>
    <s v="NA"/>
    <x v="0"/>
    <s v="Whatcom"/>
    <x v="11"/>
    <s v="North Puget Sound"/>
    <m/>
    <n v="355.09268965517202"/>
    <n v="472.07310779783802"/>
  </r>
  <r>
    <n v="3290"/>
    <x v="9"/>
    <s v="Marine"/>
    <x v="0"/>
    <x v="0"/>
    <n v="6"/>
    <s v="Area 6: E Juan de Fuca"/>
    <s v="Area 6: E Juan de Fuca"/>
    <s v="NA"/>
    <x v="0"/>
    <s v="Clallam"/>
    <x v="0"/>
    <s v="Strait of Juan de Fuca"/>
    <m/>
    <n v="8587.6116504854399"/>
    <n v="9126.6460985593094"/>
  </r>
  <r>
    <n v="3184"/>
    <x v="9"/>
    <s v="Marine"/>
    <x v="0"/>
    <x v="0"/>
    <n v="6"/>
    <s v="Area 6: E Juan de Fuca"/>
    <s v="Area 6: E Juan de Fuca"/>
    <s v="NA"/>
    <x v="0"/>
    <s v="Island"/>
    <x v="1"/>
    <s v="North Puget Sound"/>
    <m/>
    <n v="290.81553398058298"/>
    <n v="309.06968859662999"/>
  </r>
  <r>
    <n v="3291"/>
    <x v="9"/>
    <s v="Marine"/>
    <x v="0"/>
    <x v="0"/>
    <n v="6"/>
    <s v="Area 6: E Juan de Fuca"/>
    <s v="Area 6: E Juan de Fuca"/>
    <s v="NA"/>
    <x v="0"/>
    <s v="Jefferson"/>
    <x v="2"/>
    <s v="Strait of Juan de Fuca"/>
    <m/>
    <n v="367.79611650485401"/>
    <n v="390.88225322515001"/>
  </r>
  <r>
    <n v="3185"/>
    <x v="9"/>
    <s v="Marine"/>
    <x v="0"/>
    <x v="0"/>
    <n v="6"/>
    <s v="Area 6: E Juan de Fuca"/>
    <s v="Area 6: E Juan de Fuca"/>
    <s v="NA"/>
    <x v="0"/>
    <s v="King"/>
    <x v="3"/>
    <s v="South Puget Sound"/>
    <m/>
    <n v="624.39805825242695"/>
    <n v="663.59080198688196"/>
  </r>
  <r>
    <n v="3289"/>
    <x v="9"/>
    <s v="Marine"/>
    <x v="0"/>
    <x v="0"/>
    <n v="6"/>
    <s v="Area 6: E Juan de Fuca"/>
    <s v="Area 6: E Juan de Fuca"/>
    <s v="NA"/>
    <x v="0"/>
    <s v="Kitsap"/>
    <x v="4"/>
    <s v="South Puget Sound"/>
    <m/>
    <n v="419.116504854369"/>
    <n v="445.42396297749599"/>
  </r>
  <r>
    <n v="3288"/>
    <x v="9"/>
    <s v="Marine"/>
    <x v="0"/>
    <x v="0"/>
    <n v="6"/>
    <s v="Area 6: E Juan de Fuca"/>
    <s v="Area 6: E Juan de Fuca"/>
    <s v="NA"/>
    <x v="0"/>
    <s v="Mason"/>
    <x v="5"/>
    <s v="South Puget Sound"/>
    <m/>
    <n v="76.980582524271895"/>
    <n v="81.812564628519695"/>
  </r>
  <r>
    <n v="3292"/>
    <x v="9"/>
    <s v="Marine"/>
    <x v="0"/>
    <x v="0"/>
    <n v="6"/>
    <s v="Area 6: E Juan de Fuca"/>
    <s v="Area 6: E Juan de Fuca"/>
    <s v="NA"/>
    <x v="0"/>
    <s v="Other"/>
    <x v="6"/>
    <s v="Non Puget Sound"/>
    <m/>
    <n v="838.233009708738"/>
    <n v="890.84792595499198"/>
  </r>
  <r>
    <n v="3186"/>
    <x v="9"/>
    <s v="Marine"/>
    <x v="0"/>
    <x v="0"/>
    <n v="6"/>
    <s v="Area 6: E Juan de Fuca"/>
    <s v="Area 6: E Juan de Fuca"/>
    <s v="NA"/>
    <x v="0"/>
    <s v="Pierce"/>
    <x v="7"/>
    <s v="South Puget Sound"/>
    <m/>
    <n v="419.116504854369"/>
    <n v="445.42396297749599"/>
  </r>
  <r>
    <n v="3182"/>
    <x v="9"/>
    <s v="Marine"/>
    <x v="0"/>
    <x v="0"/>
    <n v="6"/>
    <s v="Area 6: E Juan de Fuca"/>
    <s v="Area 6: E Juan de Fuca"/>
    <s v="NA"/>
    <x v="0"/>
    <s v="Skagit"/>
    <x v="8"/>
    <s v="North Puget Sound"/>
    <m/>
    <n v="359.242718446602"/>
    <n v="381.79196826642499"/>
  </r>
  <r>
    <n v="3183"/>
    <x v="9"/>
    <s v="Marine"/>
    <x v="0"/>
    <x v="0"/>
    <n v="6"/>
    <s v="Area 6: E Juan de Fuca"/>
    <s v="Area 6: E Juan de Fuca"/>
    <s v="NA"/>
    <x v="0"/>
    <s v="Snohomish"/>
    <x v="9"/>
    <s v="North Puget Sound"/>
    <m/>
    <n v="145.40776699029101"/>
    <n v="154.53484429831499"/>
  </r>
  <r>
    <n v="3187"/>
    <x v="9"/>
    <s v="Marine"/>
    <x v="0"/>
    <x v="0"/>
    <n v="6"/>
    <s v="Area 6: E Juan de Fuca"/>
    <s v="Area 6: E Juan de Fuca"/>
    <s v="NA"/>
    <x v="0"/>
    <s v="Thurston"/>
    <x v="10"/>
    <s v="South Puget Sound"/>
    <m/>
    <n v="162.514563106796"/>
    <n v="172.71541421576401"/>
  </r>
  <r>
    <n v="3181"/>
    <x v="9"/>
    <s v="Marine"/>
    <x v="0"/>
    <x v="0"/>
    <n v="6"/>
    <s v="Area 6: E Juan de Fuca"/>
    <s v="Area 6: E Juan de Fuca"/>
    <s v="NA"/>
    <x v="0"/>
    <s v="Whatcom"/>
    <x v="11"/>
    <s v="North Puget Sound"/>
    <m/>
    <n v="42.766990291262097"/>
    <n v="45.451424793622003"/>
  </r>
  <r>
    <n v="3487"/>
    <x v="9"/>
    <s v="Marine"/>
    <x v="0"/>
    <x v="0"/>
    <n v="7"/>
    <s v="Area 7: San Juan Islands"/>
    <s v="Area 7: San Juan Islands"/>
    <s v="NA"/>
    <x v="1"/>
    <s v="Clallam"/>
    <x v="0"/>
    <s v="Strait of Juan de Fuca"/>
    <m/>
    <n v="138.290135396518"/>
    <n v="308.02483486000301"/>
  </r>
  <r>
    <n v="3474"/>
    <x v="9"/>
    <s v="Marine"/>
    <x v="0"/>
    <x v="0"/>
    <n v="7"/>
    <s v="Area 7: San Juan Islands"/>
    <s v="Area 7: San Juan Islands"/>
    <s v="NA"/>
    <x v="1"/>
    <s v="Island"/>
    <x v="1"/>
    <s v="North Puget Sound"/>
    <m/>
    <n v="929.61702127659601"/>
    <n v="2070.6113898922399"/>
  </r>
  <r>
    <n v="3488"/>
    <x v="9"/>
    <s v="Marine"/>
    <x v="0"/>
    <x v="0"/>
    <n v="7"/>
    <s v="Area 7: San Juan Islands"/>
    <s v="Area 7: San Juan Islands"/>
    <s v="NA"/>
    <x v="1"/>
    <s v="Jefferson"/>
    <x v="2"/>
    <s v="Strait of Juan de Fuca"/>
    <m/>
    <n v="61.462282398452601"/>
    <n v="136.89992660444599"/>
  </r>
  <r>
    <n v="3478"/>
    <x v="9"/>
    <s v="Marine"/>
    <x v="0"/>
    <x v="0"/>
    <n v="7"/>
    <s v="Area 7: San Juan Islands"/>
    <s v="Area 7: San Juan Islands"/>
    <s v="NA"/>
    <x v="1"/>
    <s v="King"/>
    <x v="3"/>
    <s v="South Puget Sound"/>
    <m/>
    <n v="1421.31528046422"/>
    <n v="3165.8108027278099"/>
  </r>
  <r>
    <n v="3486"/>
    <x v="9"/>
    <s v="Marine"/>
    <x v="0"/>
    <x v="0"/>
    <n v="7"/>
    <s v="Area 7: San Juan Islands"/>
    <s v="Area 7: San Juan Islands"/>
    <s v="NA"/>
    <x v="1"/>
    <s v="Kitsap"/>
    <x v="4"/>
    <s v="South Puget Sound"/>
    <m/>
    <n v="38.413926499032897"/>
    <n v="85.562454127778594"/>
  </r>
  <r>
    <n v="3514"/>
    <x v="9"/>
    <s v="Marine"/>
    <x v="0"/>
    <x v="0"/>
    <n v="7"/>
    <s v="Area 7: San Juan Islands"/>
    <s v="Area 7: San Juan Islands"/>
    <s v="NA"/>
    <x v="1"/>
    <s v="Other"/>
    <x v="6"/>
    <s v="Non Puget Sound"/>
    <m/>
    <n v="1413.6324951644101"/>
    <n v="3148.6983119022502"/>
  </r>
  <r>
    <n v="3482"/>
    <x v="9"/>
    <s v="Marine"/>
    <x v="0"/>
    <x v="0"/>
    <n v="7"/>
    <s v="Area 7: San Juan Islands"/>
    <s v="Area 7: San Juan Islands"/>
    <s v="NA"/>
    <x v="1"/>
    <s v="Pierce"/>
    <x v="7"/>
    <s v="South Puget Sound"/>
    <m/>
    <n v="76.827852998065794"/>
    <n v="171.12490825555699"/>
  </r>
  <r>
    <n v="3475"/>
    <x v="9"/>
    <s v="Marine"/>
    <x v="0"/>
    <x v="0"/>
    <n v="7"/>
    <s v="Area 7: San Juan Islands"/>
    <s v="Area 7: San Juan Islands"/>
    <s v="NA"/>
    <x v="1"/>
    <s v="San Juan"/>
    <x v="12"/>
    <s v="North Puget Sound"/>
    <m/>
    <n v="1782.4061895551299"/>
    <n v="3970.0978715289302"/>
  </r>
  <r>
    <n v="3472"/>
    <x v="9"/>
    <s v="Marine"/>
    <x v="0"/>
    <x v="0"/>
    <n v="7"/>
    <s v="Area 7: San Juan Islands"/>
    <s v="Area 7: San Juan Islands"/>
    <s v="NA"/>
    <x v="1"/>
    <s v="Skagit"/>
    <x v="8"/>
    <s v="North Puget Sound"/>
    <m/>
    <n v="2735.0715667311401"/>
    <n v="6092.0467338978397"/>
  </r>
  <r>
    <n v="3473"/>
    <x v="9"/>
    <s v="Marine"/>
    <x v="0"/>
    <x v="0"/>
    <n v="7"/>
    <s v="Area 7: San Juan Islands"/>
    <s v="Area 7: San Juan Islands"/>
    <s v="NA"/>
    <x v="1"/>
    <s v="Snohomish"/>
    <x v="9"/>
    <s v="North Puget Sound"/>
    <m/>
    <n v="1244.61121856867"/>
    <n v="2772.2235137400298"/>
  </r>
  <r>
    <n v="3483"/>
    <x v="9"/>
    <s v="Marine"/>
    <x v="0"/>
    <x v="0"/>
    <n v="7"/>
    <s v="Area 7: San Juan Islands"/>
    <s v="Area 7: San Juan Islands"/>
    <s v="NA"/>
    <x v="1"/>
    <s v="Thurston"/>
    <x v="10"/>
    <s v="South Puget Sound"/>
    <m/>
    <n v="176.70406189555101"/>
    <n v="393.58728898778202"/>
  </r>
  <r>
    <n v="3471"/>
    <x v="9"/>
    <s v="Marine"/>
    <x v="0"/>
    <x v="0"/>
    <n v="7"/>
    <s v="Area 7: San Juan Islands"/>
    <s v="Area 7: San Juan Islands"/>
    <s v="NA"/>
    <x v="1"/>
    <s v="Whatcom"/>
    <x v="11"/>
    <s v="North Puget Sound"/>
    <m/>
    <n v="1897.6479690522201"/>
    <n v="4226.7852339122601"/>
  </r>
  <r>
    <n v="2119"/>
    <x v="9"/>
    <s v="Marine"/>
    <x v="0"/>
    <x v="0"/>
    <n v="9"/>
    <s v="Area 9: Admiralty Inlet"/>
    <s v="Area 9: Admiralty Inlet"/>
    <s v="NA"/>
    <x v="2"/>
    <s v="Clallam"/>
    <x v="0"/>
    <s v="Strait of Juan de Fuca"/>
    <m/>
    <n v="103.544251041922"/>
    <n v="151.095141434076"/>
  </r>
  <r>
    <n v="1984"/>
    <x v="9"/>
    <s v="Marine"/>
    <x v="0"/>
    <x v="0"/>
    <n v="9"/>
    <s v="Area 9: Admiralty Inlet"/>
    <s v="Area 9: Admiralty Inlet"/>
    <s v="NA"/>
    <x v="2"/>
    <s v="Island"/>
    <x v="1"/>
    <s v="North Puget Sound"/>
    <m/>
    <n v="9812.8090218190791"/>
    <n v="14319.170326675499"/>
  </r>
  <r>
    <n v="2120"/>
    <x v="9"/>
    <s v="Marine"/>
    <x v="0"/>
    <x v="0"/>
    <n v="9"/>
    <s v="Area 9: Admiralty Inlet"/>
    <s v="Area 9: Admiralty Inlet"/>
    <s v="NA"/>
    <x v="2"/>
    <s v="Jefferson"/>
    <x v="2"/>
    <s v="Strait of Juan de Fuca"/>
    <m/>
    <n v="1306.25055160579"/>
    <n v="1906.1233227068101"/>
  </r>
  <r>
    <n v="2061"/>
    <x v="9"/>
    <s v="Marine"/>
    <x v="0"/>
    <x v="0"/>
    <n v="9"/>
    <s v="Area 9: Admiralty Inlet"/>
    <s v="Area 9: Admiralty Inlet"/>
    <s v="NA"/>
    <x v="2"/>
    <s v="King"/>
    <x v="3"/>
    <s v="South Puget Sound"/>
    <m/>
    <n v="5153.3177249325799"/>
    <n v="7519.8889621421004"/>
  </r>
  <r>
    <n v="2118"/>
    <x v="9"/>
    <s v="Marine"/>
    <x v="0"/>
    <x v="0"/>
    <n v="9"/>
    <s v="Area 9: Admiralty Inlet"/>
    <s v="Area 9: Admiralty Inlet"/>
    <s v="NA"/>
    <x v="2"/>
    <s v="Kitsap"/>
    <x v="4"/>
    <s v="South Puget Sound"/>
    <m/>
    <n v="2548.78156410885"/>
    <n v="3719.2650199157201"/>
  </r>
  <r>
    <n v="2121"/>
    <x v="9"/>
    <s v="Marine"/>
    <x v="0"/>
    <x v="0"/>
    <n v="9"/>
    <s v="Area 9: Admiralty Inlet"/>
    <s v="Area 9: Admiralty Inlet"/>
    <s v="NA"/>
    <x v="2"/>
    <s v="Other"/>
    <x v="6"/>
    <s v="Non Puget Sound"/>
    <m/>
    <n v="3034.6430497670999"/>
    <n v="4428.2499143371597"/>
  </r>
  <r>
    <n v="2116"/>
    <x v="9"/>
    <s v="Marine"/>
    <x v="0"/>
    <x v="0"/>
    <n v="9"/>
    <s v="Area 9: Admiralty Inlet"/>
    <s v="Area 9: Admiralty Inlet"/>
    <s v="NA"/>
    <x v="2"/>
    <s v="Pierce"/>
    <x v="7"/>
    <s v="South Puget Sound"/>
    <m/>
    <n v="509.75631282177"/>
    <n v="743.85300398314496"/>
  </r>
  <r>
    <n v="1985"/>
    <x v="9"/>
    <s v="Marine"/>
    <x v="0"/>
    <x v="0"/>
    <n v="9"/>
    <s v="Area 9: Admiralty Inlet"/>
    <s v="Area 9: Admiralty Inlet"/>
    <s v="NA"/>
    <x v="2"/>
    <s v="San Juan"/>
    <x v="12"/>
    <s v="North Puget Sound"/>
    <m/>
    <n v="7.9649423878401597"/>
    <n v="11.622703187236599"/>
  </r>
  <r>
    <n v="1982"/>
    <x v="9"/>
    <s v="Marine"/>
    <x v="0"/>
    <x v="0"/>
    <n v="9"/>
    <s v="Area 9: Admiralty Inlet"/>
    <s v="Area 9: Admiralty Inlet"/>
    <s v="NA"/>
    <x v="2"/>
    <s v="Skagit"/>
    <x v="8"/>
    <s v="North Puget Sound"/>
    <m/>
    <n v="780.56435400833595"/>
    <n v="1139.0249123491899"/>
  </r>
  <r>
    <n v="1983"/>
    <x v="9"/>
    <s v="Marine"/>
    <x v="0"/>
    <x v="0"/>
    <n v="9"/>
    <s v="Area 9: Admiralty Inlet"/>
    <s v="Area 9: Admiralty Inlet"/>
    <s v="NA"/>
    <x v="2"/>
    <s v="Snohomish"/>
    <x v="9"/>
    <s v="North Puget Sound"/>
    <m/>
    <n v="8960.5601863201791"/>
    <n v="13075.5410856412"/>
  </r>
  <r>
    <n v="2117"/>
    <x v="9"/>
    <s v="Marine"/>
    <x v="0"/>
    <x v="0"/>
    <n v="9"/>
    <s v="Area 9: Admiralty Inlet"/>
    <s v="Area 9: Admiralty Inlet"/>
    <s v="NA"/>
    <x v="2"/>
    <s v="Thurston"/>
    <x v="10"/>
    <s v="South Puget Sound"/>
    <m/>
    <n v="31.8597695513606"/>
    <n v="46.490812748946503"/>
  </r>
  <r>
    <n v="1981"/>
    <x v="9"/>
    <s v="Marine"/>
    <x v="0"/>
    <x v="0"/>
    <n v="9"/>
    <s v="Area 9: Admiralty Inlet"/>
    <s v="Area 9: Admiralty Inlet"/>
    <s v="NA"/>
    <x v="2"/>
    <s v="Whatcom"/>
    <x v="11"/>
    <s v="North Puget Sound"/>
    <m/>
    <n v="238.948271635205"/>
    <n v="348.681095617099"/>
  </r>
  <r>
    <n v="396"/>
    <x v="9"/>
    <s v="Marine"/>
    <x v="0"/>
    <x v="0"/>
    <n v="10"/>
    <s v="Area 10: N Puget Sound"/>
    <s v="Area 10: N Puget Sound"/>
    <s v="NA"/>
    <x v="3"/>
    <s v="Clallam"/>
    <x v="0"/>
    <s v="Strait of Juan de Fuca"/>
    <m/>
    <n v="132.46248534583799"/>
    <n v="157.69991541279501"/>
  </r>
  <r>
    <n v="317"/>
    <x v="9"/>
    <s v="Marine"/>
    <x v="0"/>
    <x v="0"/>
    <n v="10"/>
    <s v="Area 10: N Puget Sound"/>
    <s v="Area 10: N Puget Sound"/>
    <s v="NA"/>
    <x v="3"/>
    <s v="Island"/>
    <x v="1"/>
    <s v="North Puget Sound"/>
    <m/>
    <n v="428.55509964829997"/>
    <n v="510.20560868845303"/>
  </r>
  <r>
    <n v="397"/>
    <x v="9"/>
    <s v="Marine"/>
    <x v="0"/>
    <x v="0"/>
    <n v="10"/>
    <s v="Area 10: N Puget Sound"/>
    <s v="Area 10: N Puget Sound"/>
    <s v="NA"/>
    <x v="3"/>
    <s v="Jefferson"/>
    <x v="2"/>
    <s v="Strait of Juan de Fuca"/>
    <m/>
    <n v="171.42203985931999"/>
    <n v="204.08224347538101"/>
  </r>
  <r>
    <n v="319"/>
    <x v="9"/>
    <s v="Marine"/>
    <x v="0"/>
    <x v="0"/>
    <n v="10"/>
    <s v="Area 10: N Puget Sound"/>
    <s v="Area 10: N Puget Sound"/>
    <s v="NA"/>
    <x v="3"/>
    <s v="King"/>
    <x v="3"/>
    <s v="South Puget Sound"/>
    <m/>
    <n v="17188.9554513482"/>
    <n v="20463.883141213199"/>
  </r>
  <r>
    <n v="323"/>
    <x v="9"/>
    <s v="Marine"/>
    <x v="0"/>
    <x v="0"/>
    <n v="10"/>
    <s v="Area 10: N Puget Sound"/>
    <s v="Area 10: N Puget Sound"/>
    <s v="NA"/>
    <x v="3"/>
    <s v="Kitsap"/>
    <x v="4"/>
    <s v="South Puget Sound"/>
    <m/>
    <n v="4394.6377491207504"/>
    <n v="5231.9266054597801"/>
  </r>
  <r>
    <n v="322"/>
    <x v="9"/>
    <s v="Marine"/>
    <x v="0"/>
    <x v="0"/>
    <n v="10"/>
    <s v="Area 10: N Puget Sound"/>
    <s v="Area 10: N Puget Sound"/>
    <s v="NA"/>
    <x v="3"/>
    <s v="Mason"/>
    <x v="5"/>
    <s v="South Puget Sound"/>
    <m/>
    <n v="249.341148886284"/>
    <n v="296.84689960055499"/>
  </r>
  <r>
    <n v="398"/>
    <x v="9"/>
    <s v="Marine"/>
    <x v="0"/>
    <x v="0"/>
    <n v="10"/>
    <s v="Area 10: N Puget Sound"/>
    <s v="Area 10: N Puget Sound"/>
    <s v="NA"/>
    <x v="3"/>
    <s v="Other"/>
    <x v="6"/>
    <s v="Non Puget Sound"/>
    <m/>
    <n v="5290.7075029308298"/>
    <n v="6298.7201508992703"/>
  </r>
  <r>
    <n v="320"/>
    <x v="9"/>
    <s v="Marine"/>
    <x v="0"/>
    <x v="0"/>
    <n v="10"/>
    <s v="Area 10: N Puget Sound"/>
    <s v="Area 10: N Puget Sound"/>
    <s v="NA"/>
    <x v="3"/>
    <s v="Pierce"/>
    <x v="7"/>
    <s v="South Puget Sound"/>
    <m/>
    <n v="1511.6307151230999"/>
    <n v="1799.6343288283599"/>
  </r>
  <r>
    <n v="318"/>
    <x v="9"/>
    <s v="Marine"/>
    <x v="0"/>
    <x v="0"/>
    <n v="10"/>
    <s v="Area 10: N Puget Sound"/>
    <s v="Area 10: N Puget Sound"/>
    <s v="NA"/>
    <x v="3"/>
    <s v="San Juan"/>
    <x v="12"/>
    <s v="North Puget Sound"/>
    <m/>
    <n v="7.7919109026963698"/>
    <n v="9.2764656125173399"/>
  </r>
  <r>
    <n v="306"/>
    <x v="9"/>
    <s v="Marine"/>
    <x v="0"/>
    <x v="0"/>
    <n v="10"/>
    <s v="Area 10: N Puget Sound"/>
    <s v="Area 10: N Puget Sound"/>
    <s v="NA"/>
    <x v="3"/>
    <s v="Skagit"/>
    <x v="8"/>
    <s v="North Puget Sound"/>
    <m/>
    <n v="366.21981242672899"/>
    <n v="435.99388378831497"/>
  </r>
  <r>
    <n v="307"/>
    <x v="9"/>
    <s v="Marine"/>
    <x v="0"/>
    <x v="0"/>
    <n v="10"/>
    <s v="Area 10: N Puget Sound"/>
    <s v="Area 10: N Puget Sound"/>
    <s v="NA"/>
    <x v="3"/>
    <s v="Snohomish"/>
    <x v="9"/>
    <s v="North Puget Sound"/>
    <m/>
    <n v="9856.7672919109009"/>
    <n v="11734.7289998344"/>
  </r>
  <r>
    <n v="321"/>
    <x v="9"/>
    <s v="Marine"/>
    <x v="0"/>
    <x v="0"/>
    <n v="10"/>
    <s v="Area 10: N Puget Sound"/>
    <s v="Area 10: N Puget Sound"/>
    <s v="NA"/>
    <x v="3"/>
    <s v="Thurston"/>
    <x v="10"/>
    <s v="South Puget Sound"/>
    <m/>
    <n v="163.63012895662399"/>
    <n v="194.80577786286401"/>
  </r>
  <r>
    <n v="305"/>
    <x v="9"/>
    <s v="Marine"/>
    <x v="0"/>
    <x v="0"/>
    <n v="10"/>
    <s v="Area 10: N Puget Sound"/>
    <s v="Area 10: N Puget Sound"/>
    <s v="NA"/>
    <x v="3"/>
    <s v="Whatcom"/>
    <x v="11"/>
    <s v="North Puget Sound"/>
    <m/>
    <n v="116.878663540446"/>
    <n v="139.14698418776001"/>
  </r>
  <r>
    <n v="407"/>
    <x v="9"/>
    <s v="Marine"/>
    <x v="0"/>
    <x v="0"/>
    <n v="11"/>
    <s v="Area 11: Mid-Puget Sound"/>
    <s v="Area 11: Mid-Puget Sound"/>
    <s v="NA"/>
    <x v="3"/>
    <s v="Clallam"/>
    <x v="0"/>
    <s v="Strait of Juan de Fuca"/>
    <m/>
    <n v="6.0301163586584501"/>
    <n v="18.190389110962901"/>
  </r>
  <r>
    <n v="401"/>
    <x v="9"/>
    <s v="Marine"/>
    <x v="0"/>
    <x v="0"/>
    <n v="11"/>
    <s v="Area 11: Mid-Puget Sound"/>
    <s v="Area 11: Mid-Puget Sound"/>
    <s v="NA"/>
    <x v="3"/>
    <s v="Island"/>
    <x v="1"/>
    <s v="North Puget Sound"/>
    <m/>
    <n v="6.0301163586584501"/>
    <n v="18.190389110962901"/>
  </r>
  <r>
    <n v="402"/>
    <x v="9"/>
    <s v="Marine"/>
    <x v="0"/>
    <x v="0"/>
    <n v="11"/>
    <s v="Area 11: Mid-Puget Sound"/>
    <s v="Area 11: Mid-Puget Sound"/>
    <s v="NA"/>
    <x v="3"/>
    <s v="King"/>
    <x v="3"/>
    <s v="South Puget Sound"/>
    <m/>
    <n v="4124.5995893223799"/>
    <n v="12442.2261518986"/>
  </r>
  <r>
    <n v="406"/>
    <x v="9"/>
    <s v="Marine"/>
    <x v="0"/>
    <x v="0"/>
    <n v="11"/>
    <s v="Area 11: Mid-Puget Sound"/>
    <s v="Area 11: Mid-Puget Sound"/>
    <s v="NA"/>
    <x v="3"/>
    <s v="Kitsap"/>
    <x v="4"/>
    <s v="South Puget Sound"/>
    <m/>
    <n v="416.078028747433"/>
    <n v="1255.13684865644"/>
  </r>
  <r>
    <n v="405"/>
    <x v="9"/>
    <s v="Marine"/>
    <x v="0"/>
    <x v="0"/>
    <n v="11"/>
    <s v="Area 11: Mid-Puget Sound"/>
    <s v="Area 11: Mid-Puget Sound"/>
    <s v="NA"/>
    <x v="3"/>
    <s v="Mason"/>
    <x v="5"/>
    <s v="South Puget Sound"/>
    <m/>
    <n v="42.210814510609197"/>
    <n v="127.33272377674101"/>
  </r>
  <r>
    <n v="408"/>
    <x v="9"/>
    <s v="Marine"/>
    <x v="0"/>
    <x v="0"/>
    <n v="11"/>
    <s v="Area 11: Mid-Puget Sound"/>
    <s v="Area 11: Mid-Puget Sound"/>
    <s v="NA"/>
    <x v="3"/>
    <s v="Other"/>
    <x v="6"/>
    <s v="Non Puget Sound"/>
    <m/>
    <n v="349.74674880218998"/>
    <n v="1055.0425684358499"/>
  </r>
  <r>
    <n v="403"/>
    <x v="9"/>
    <s v="Marine"/>
    <x v="0"/>
    <x v="0"/>
    <n v="11"/>
    <s v="Area 11: Mid-Puget Sound"/>
    <s v="Area 11: Mid-Puget Sound"/>
    <s v="NA"/>
    <x v="3"/>
    <s v="Pierce"/>
    <x v="7"/>
    <s v="South Puget Sound"/>
    <m/>
    <n v="3678.3709787816601"/>
    <n v="11096.137357687399"/>
  </r>
  <r>
    <n v="400"/>
    <x v="9"/>
    <s v="Marine"/>
    <x v="0"/>
    <x v="0"/>
    <n v="11"/>
    <s v="Area 11: Mid-Puget Sound"/>
    <s v="Area 11: Mid-Puget Sound"/>
    <s v="NA"/>
    <x v="3"/>
    <s v="Snohomish"/>
    <x v="9"/>
    <s v="North Puget Sound"/>
    <m/>
    <n v="66.331279945242997"/>
    <n v="200.094280220592"/>
  </r>
  <r>
    <n v="404"/>
    <x v="9"/>
    <s v="Marine"/>
    <x v="0"/>
    <x v="0"/>
    <n v="11"/>
    <s v="Area 11: Mid-Puget Sound"/>
    <s v="Area 11: Mid-Puget Sound"/>
    <s v="NA"/>
    <x v="3"/>
    <s v="Thurston"/>
    <x v="10"/>
    <s v="South Puget Sound"/>
    <m/>
    <n v="72.3613963039015"/>
    <n v="218.28466933155499"/>
  </r>
  <r>
    <n v="399"/>
    <x v="9"/>
    <s v="Marine"/>
    <x v="0"/>
    <x v="0"/>
    <n v="11"/>
    <s v="Area 11: Mid-Puget Sound"/>
    <s v="Area 11: Mid-Puget Sound"/>
    <s v="NA"/>
    <x v="3"/>
    <s v="Whatcom"/>
    <x v="11"/>
    <s v="North Puget Sound"/>
    <m/>
    <n v="48.240930869267601"/>
    <n v="145.523112887704"/>
  </r>
  <r>
    <n v="1052"/>
    <x v="9"/>
    <s v="Marine"/>
    <x v="0"/>
    <x v="0"/>
    <n v="12"/>
    <s v="Area 12: Hood Canal"/>
    <s v="Area 12: Hood Canal"/>
    <s v="NA"/>
    <x v="4"/>
    <s v="Clallam"/>
    <x v="0"/>
    <s v="Strait of Juan de Fuca"/>
    <m/>
    <n v="111.96674584323"/>
    <n v="103.08862968782501"/>
  </r>
  <r>
    <n v="1053"/>
    <x v="9"/>
    <s v="Marine"/>
    <x v="0"/>
    <x v="0"/>
    <n v="12"/>
    <s v="Area 12: Hood Canal"/>
    <s v="Area 12: Hood Canal"/>
    <s v="NA"/>
    <x v="4"/>
    <s v="Jefferson"/>
    <x v="2"/>
    <s v="Strait of Juan de Fuca"/>
    <m/>
    <n v="413.41567695961999"/>
    <n v="380.63494038581598"/>
  </r>
  <r>
    <n v="948"/>
    <x v="9"/>
    <s v="Marine"/>
    <x v="0"/>
    <x v="0"/>
    <n v="12"/>
    <s v="Area 12: Hood Canal"/>
    <s v="Area 12: Hood Canal"/>
    <s v="NA"/>
    <x v="4"/>
    <s v="King"/>
    <x v="3"/>
    <s v="South Puget Sound"/>
    <m/>
    <n v="482.31828978622298"/>
    <n v="444.07409711678503"/>
  </r>
  <r>
    <n v="1051"/>
    <x v="9"/>
    <s v="Marine"/>
    <x v="0"/>
    <x v="0"/>
    <n v="12"/>
    <s v="Area 12: Hood Canal"/>
    <s v="Area 12: Hood Canal"/>
    <s v="NA"/>
    <x v="4"/>
    <s v="Kitsap"/>
    <x v="4"/>
    <s v="South Puget Sound"/>
    <m/>
    <n v="757.92874109263698"/>
    <n v="697.83072404066297"/>
  </r>
  <r>
    <n v="1050"/>
    <x v="9"/>
    <s v="Marine"/>
    <x v="0"/>
    <x v="0"/>
    <n v="12"/>
    <s v="Area 12: Hood Canal"/>
    <s v="Area 12: Hood Canal"/>
    <s v="NA"/>
    <x v="4"/>
    <s v="Mason"/>
    <x v="5"/>
    <s v="South Puget Sound"/>
    <m/>
    <n v="1085.216152019"/>
    <n v="999.16671851276703"/>
  </r>
  <r>
    <n v="1054"/>
    <x v="9"/>
    <s v="Marine"/>
    <x v="0"/>
    <x v="0"/>
    <n v="12"/>
    <s v="Area 12: Hood Canal"/>
    <s v="Area 12: Hood Canal"/>
    <s v="NA"/>
    <x v="4"/>
    <s v="Other"/>
    <x v="6"/>
    <s v="Non Puget Sound"/>
    <m/>
    <n v="198.09501187648499"/>
    <n v="182.38757560153701"/>
  </r>
  <r>
    <n v="949"/>
    <x v="9"/>
    <s v="Marine"/>
    <x v="0"/>
    <x v="0"/>
    <n v="12"/>
    <s v="Area 12: Hood Canal"/>
    <s v="Area 12: Hood Canal"/>
    <s v="NA"/>
    <x v="4"/>
    <s v="Pierce"/>
    <x v="7"/>
    <s v="South Puget Sound"/>
    <m/>
    <n v="370.35154394299298"/>
    <n v="340.98546742896002"/>
  </r>
  <r>
    <n v="947"/>
    <x v="9"/>
    <s v="Marine"/>
    <x v="0"/>
    <x v="0"/>
    <n v="12"/>
    <s v="Area 12: Hood Canal"/>
    <s v="Area 12: Hood Canal"/>
    <s v="NA"/>
    <x v="4"/>
    <s v="Snohomish"/>
    <x v="9"/>
    <s v="North Puget Sound"/>
    <m/>
    <n v="8.6128266033254199"/>
    <n v="7.9298945913711698"/>
  </r>
  <r>
    <n v="1049"/>
    <x v="9"/>
    <s v="Marine"/>
    <x v="0"/>
    <x v="0"/>
    <n v="12"/>
    <s v="Area 12: Hood Canal"/>
    <s v="Area 12: Hood Canal"/>
    <s v="NA"/>
    <x v="4"/>
    <s v="Thurston"/>
    <x v="10"/>
    <s v="South Puget Sound"/>
    <m/>
    <n v="198.09501187648499"/>
    <n v="182.38757560153701"/>
  </r>
  <r>
    <n v="415"/>
    <x v="9"/>
    <s v="Marine"/>
    <x v="0"/>
    <x v="0"/>
    <n v="13"/>
    <s v="Area 13: S Puget Sound"/>
    <s v="Area 13: S Puget Sound"/>
    <s v="NA"/>
    <x v="3"/>
    <s v="Jefferson"/>
    <x v="2"/>
    <s v="Strait of Juan de Fuca"/>
    <m/>
    <n v="8.7318435754189991"/>
    <n v="10.521023671966899"/>
  </r>
  <r>
    <n v="410"/>
    <x v="9"/>
    <s v="Marine"/>
    <x v="0"/>
    <x v="0"/>
    <n v="13"/>
    <s v="Area 13: S Puget Sound"/>
    <s v="Area 13: S Puget Sound"/>
    <s v="NA"/>
    <x v="3"/>
    <s v="King"/>
    <x v="3"/>
    <s v="South Puget Sound"/>
    <m/>
    <n v="192.100558659218"/>
    <n v="231.462520783272"/>
  </r>
  <r>
    <n v="414"/>
    <x v="9"/>
    <s v="Marine"/>
    <x v="0"/>
    <x v="0"/>
    <n v="13"/>
    <s v="Area 13: S Puget Sound"/>
    <s v="Area 13: S Puget Sound"/>
    <s v="NA"/>
    <x v="3"/>
    <s v="Kitsap"/>
    <x v="4"/>
    <s v="South Puget Sound"/>
    <m/>
    <n v="52.391061452514002"/>
    <n v="63.1261420318015"/>
  </r>
  <r>
    <n v="413"/>
    <x v="9"/>
    <s v="Marine"/>
    <x v="0"/>
    <x v="0"/>
    <n v="13"/>
    <s v="Area 13: S Puget Sound"/>
    <s v="Area 13: S Puget Sound"/>
    <s v="NA"/>
    <x v="3"/>
    <s v="Mason"/>
    <x v="5"/>
    <s v="South Puget Sound"/>
    <m/>
    <n v="261.95530726256999"/>
    <n v="315.630710159008"/>
  </r>
  <r>
    <n v="416"/>
    <x v="9"/>
    <s v="Marine"/>
    <x v="0"/>
    <x v="0"/>
    <n v="13"/>
    <s v="Area 13: S Puget Sound"/>
    <s v="Area 13: S Puget Sound"/>
    <s v="NA"/>
    <x v="3"/>
    <s v="Other"/>
    <x v="6"/>
    <s v="Non Puget Sound"/>
    <m/>
    <n v="331.81005586592198"/>
    <n v="399.79889953474299"/>
  </r>
  <r>
    <n v="411"/>
    <x v="9"/>
    <s v="Marine"/>
    <x v="0"/>
    <x v="0"/>
    <n v="13"/>
    <s v="Area 13: S Puget Sound"/>
    <s v="Area 13: S Puget Sound"/>
    <s v="NA"/>
    <x v="3"/>
    <s v="Pierce"/>
    <x v="7"/>
    <s v="South Puget Sound"/>
    <m/>
    <n v="1100.21229050279"/>
    <n v="1325.6489826678301"/>
  </r>
  <r>
    <n v="409"/>
    <x v="9"/>
    <s v="Marine"/>
    <x v="0"/>
    <x v="0"/>
    <n v="13"/>
    <s v="Area 13: S Puget Sound"/>
    <s v="Area 13: S Puget Sound"/>
    <s v="NA"/>
    <x v="3"/>
    <s v="Snohomish"/>
    <x v="9"/>
    <s v="North Puget Sound"/>
    <m/>
    <n v="26.195530726257001"/>
    <n v="31.5630710159008"/>
  </r>
  <r>
    <n v="412"/>
    <x v="9"/>
    <s v="Marine"/>
    <x v="0"/>
    <x v="0"/>
    <n v="13"/>
    <s v="Area 13: S Puget Sound"/>
    <s v="Area 13: S Puget Sound"/>
    <s v="NA"/>
    <x v="3"/>
    <s v="Thurston"/>
    <x v="10"/>
    <s v="South Puget Sound"/>
    <m/>
    <n v="1152.60335195531"/>
    <n v="1388.7751246996299"/>
  </r>
  <r>
    <n v="1741"/>
    <x v="9"/>
    <s v="Marine"/>
    <x v="0"/>
    <x v="0"/>
    <d v="2023-08-01T00:00:00"/>
    <s v="Area 8-1: Skagit Bay-Saratoga Psg."/>
    <s v="Area 8-1: Skagit Bay-Saratoga Psg."/>
    <s v="NA"/>
    <x v="2"/>
    <s v="Island"/>
    <x v="1"/>
    <s v="North Puget Sound"/>
    <m/>
    <n v="602.68363636363597"/>
    <n v="799.42066126012196"/>
  </r>
  <r>
    <n v="1811"/>
    <x v="9"/>
    <s v="Marine"/>
    <x v="0"/>
    <x v="0"/>
    <d v="2023-08-01T00:00:00"/>
    <s v="Area 8-1: Skagit Bay-Saratoga Psg."/>
    <s v="Area 8-1: Skagit Bay-Saratoga Psg."/>
    <s v="NA"/>
    <x v="2"/>
    <s v="King"/>
    <x v="3"/>
    <s v="South Puget Sound"/>
    <m/>
    <n v="148.48727272727299"/>
    <n v="196.95871364379801"/>
  </r>
  <r>
    <n v="1812"/>
    <x v="9"/>
    <s v="Marine"/>
    <x v="0"/>
    <x v="0"/>
    <d v="2023-08-01T00:00:00"/>
    <s v="Area 8-1: Skagit Bay-Saratoga Psg."/>
    <s v="Area 8-1: Skagit Bay-Saratoga Psg."/>
    <s v="NA"/>
    <x v="2"/>
    <s v="Kitsap"/>
    <x v="4"/>
    <s v="South Puget Sound"/>
    <m/>
    <n v="17.469090909090902"/>
    <n v="23.171613369858601"/>
  </r>
  <r>
    <n v="1813"/>
    <x v="9"/>
    <s v="Marine"/>
    <x v="0"/>
    <x v="0"/>
    <d v="2023-08-01T00:00:00"/>
    <s v="Area 8-1: Skagit Bay-Saratoga Psg."/>
    <s v="Area 8-1: Skagit Bay-Saratoga Psg."/>
    <s v="NA"/>
    <x v="2"/>
    <s v="Other"/>
    <x v="6"/>
    <s v="Non Puget Sound"/>
    <m/>
    <n v="331.91272727272701"/>
    <n v="440.26065402731399"/>
  </r>
  <r>
    <n v="1649"/>
    <x v="9"/>
    <s v="Marine"/>
    <x v="0"/>
    <x v="0"/>
    <d v="2023-08-01T00:00:00"/>
    <s v="Area 8-1: Skagit Bay-Saratoga Psg."/>
    <s v="Area 8-1: Skagit Bay-Saratoga Psg."/>
    <s v="NA"/>
    <x v="2"/>
    <s v="Skagit"/>
    <x v="8"/>
    <s v="North Puget Sound"/>
    <m/>
    <n v="873.45454545454595"/>
    <n v="1158.58066849293"/>
  </r>
  <r>
    <n v="1740"/>
    <x v="9"/>
    <s v="Marine"/>
    <x v="0"/>
    <x v="0"/>
    <d v="2023-08-01T00:00:00"/>
    <s v="Area 8-1: Skagit Bay-Saratoga Psg."/>
    <s v="Area 8-1: Skagit Bay-Saratoga Psg."/>
    <s v="NA"/>
    <x v="2"/>
    <s v="Snohomish"/>
    <x v="9"/>
    <s v="North Puget Sound"/>
    <m/>
    <n v="401.78909090909099"/>
    <n v="532.94710750674801"/>
  </r>
  <r>
    <n v="1648"/>
    <x v="9"/>
    <s v="Marine"/>
    <x v="0"/>
    <x v="0"/>
    <d v="2023-08-01T00:00:00"/>
    <s v="Area 8-1: Skagit Bay-Saratoga Psg."/>
    <s v="Area 8-1: Skagit Bay-Saratoga Psg."/>
    <s v="NA"/>
    <x v="2"/>
    <s v="Whatcom"/>
    <x v="11"/>
    <s v="North Puget Sound"/>
    <m/>
    <n v="26.203636363636399"/>
    <n v="34.7574200547879"/>
  </r>
  <r>
    <n v="1978"/>
    <x v="9"/>
    <s v="Marine"/>
    <x v="0"/>
    <x v="0"/>
    <d v="2023-08-02T00:00:00"/>
    <s v="Area 8-2: Port Susan-Port Gardner"/>
    <s v="Area 8-2: Port Susan-Port Gardner"/>
    <s v="NA"/>
    <x v="2"/>
    <s v="Clallam"/>
    <x v="0"/>
    <s v="Strait of Juan de Fuca"/>
    <m/>
    <n v="69.285607755406403"/>
    <n v="73.157344870238205"/>
  </r>
  <r>
    <n v="1817"/>
    <x v="9"/>
    <s v="Marine"/>
    <x v="0"/>
    <x v="0"/>
    <d v="2023-08-02T00:00:00"/>
    <s v="Area 8-2: Port Susan-Port Gardner"/>
    <s v="Area 8-2: Port Susan-Port Gardner"/>
    <s v="NA"/>
    <x v="2"/>
    <s v="Island"/>
    <x v="1"/>
    <s v="North Puget Sound"/>
    <m/>
    <n v="623.570469798658"/>
    <n v="658.41610383214299"/>
  </r>
  <r>
    <n v="1979"/>
    <x v="9"/>
    <s v="Marine"/>
    <x v="0"/>
    <x v="0"/>
    <d v="2023-08-02T00:00:00"/>
    <s v="Area 8-2: Port Susan-Port Gardner"/>
    <s v="Area 8-2: Port Susan-Port Gardner"/>
    <s v="NA"/>
    <x v="2"/>
    <s v="Jefferson"/>
    <x v="2"/>
    <s v="Strait of Juan de Fuca"/>
    <m/>
    <n v="34.642803877703201"/>
    <n v="36.578672435119103"/>
  </r>
  <r>
    <n v="1819"/>
    <x v="9"/>
    <s v="Marine"/>
    <x v="0"/>
    <x v="0"/>
    <d v="2023-08-02T00:00:00"/>
    <s v="Area 8-2: Port Susan-Port Gardner"/>
    <s v="Area 8-2: Port Susan-Port Gardner"/>
    <s v="NA"/>
    <x v="2"/>
    <s v="King"/>
    <x v="3"/>
    <s v="South Puget Sound"/>
    <m/>
    <n v="1446.3370618941101"/>
    <n v="1527.15957416622"/>
  </r>
  <r>
    <n v="1977"/>
    <x v="9"/>
    <s v="Marine"/>
    <x v="0"/>
    <x v="0"/>
    <d v="2023-08-02T00:00:00"/>
    <s v="Area 8-2: Port Susan-Port Gardner"/>
    <s v="Area 8-2: Port Susan-Port Gardner"/>
    <s v="NA"/>
    <x v="2"/>
    <s v="Kitsap"/>
    <x v="4"/>
    <s v="South Puget Sound"/>
    <m/>
    <n v="95.2677106636838"/>
    <n v="100.591349196577"/>
  </r>
  <r>
    <n v="1921"/>
    <x v="9"/>
    <s v="Marine"/>
    <x v="0"/>
    <x v="0"/>
    <d v="2023-08-02T00:00:00"/>
    <s v="Area 8-2: Port Susan-Port Gardner"/>
    <s v="Area 8-2: Port Susan-Port Gardner"/>
    <s v="NA"/>
    <x v="2"/>
    <s v="Mason"/>
    <x v="5"/>
    <s v="South Puget Sound"/>
    <m/>
    <n v="8.6607009694258004"/>
    <n v="9.1446681087797703"/>
  </r>
  <r>
    <n v="1980"/>
    <x v="9"/>
    <s v="Marine"/>
    <x v="0"/>
    <x v="0"/>
    <d v="2023-08-02T00:00:00"/>
    <s v="Area 8-2: Port Susan-Port Gardner"/>
    <s v="Area 8-2: Port Susan-Port Gardner"/>
    <s v="NA"/>
    <x v="2"/>
    <s v="Other"/>
    <x v="6"/>
    <s v="Non Puget Sound"/>
    <m/>
    <n v="588.92766592095495"/>
    <n v="621.83743139702403"/>
  </r>
  <r>
    <n v="1820"/>
    <x v="9"/>
    <s v="Marine"/>
    <x v="0"/>
    <x v="0"/>
    <d v="2023-08-02T00:00:00"/>
    <s v="Area 8-2: Port Susan-Port Gardner"/>
    <s v="Area 8-2: Port Susan-Port Gardner"/>
    <s v="NA"/>
    <x v="2"/>
    <s v="Pierce"/>
    <x v="7"/>
    <s v="South Puget Sound"/>
    <m/>
    <n v="190.535421327368"/>
    <n v="201.18269839315499"/>
  </r>
  <r>
    <n v="1818"/>
    <x v="9"/>
    <s v="Marine"/>
    <x v="0"/>
    <x v="0"/>
    <d v="2023-08-02T00:00:00"/>
    <s v="Area 8-2: Port Susan-Port Gardner"/>
    <s v="Area 8-2: Port Susan-Port Gardner"/>
    <s v="NA"/>
    <x v="2"/>
    <s v="San Juan"/>
    <x v="12"/>
    <s v="North Puget Sound"/>
    <m/>
    <n v="17.321401938851601"/>
    <n v="18.289336217559502"/>
  </r>
  <r>
    <n v="1815"/>
    <x v="9"/>
    <s v="Marine"/>
    <x v="0"/>
    <x v="0"/>
    <d v="2023-08-02T00:00:00"/>
    <s v="Area 8-2: Port Susan-Port Gardner"/>
    <s v="Area 8-2: Port Susan-Port Gardner"/>
    <s v="NA"/>
    <x v="2"/>
    <s v="Skagit"/>
    <x v="8"/>
    <s v="North Puget Sound"/>
    <m/>
    <n v="199.19612229679399"/>
    <n v="210.32736650193499"/>
  </r>
  <r>
    <n v="1816"/>
    <x v="9"/>
    <s v="Marine"/>
    <x v="0"/>
    <x v="0"/>
    <d v="2023-08-02T00:00:00"/>
    <s v="Area 8-2: Port Susan-Port Gardner"/>
    <s v="Area 8-2: Port Susan-Port Gardner"/>
    <s v="NA"/>
    <x v="2"/>
    <s v="Snohomish"/>
    <x v="9"/>
    <s v="North Puget Sound"/>
    <m/>
    <n v="8167.0410141685297"/>
    <n v="8623.4220265793192"/>
  </r>
  <r>
    <n v="1920"/>
    <x v="9"/>
    <s v="Marine"/>
    <x v="0"/>
    <x v="0"/>
    <d v="2023-08-02T00:00:00"/>
    <s v="Area 8-2: Port Susan-Port Gardner"/>
    <s v="Area 8-2: Port Susan-Port Gardner"/>
    <s v="NA"/>
    <x v="2"/>
    <s v="Thurston"/>
    <x v="10"/>
    <s v="South Puget Sound"/>
    <m/>
    <n v="17.321401938851601"/>
    <n v="18.289336217559502"/>
  </r>
  <r>
    <n v="1814"/>
    <x v="9"/>
    <s v="Marine"/>
    <x v="0"/>
    <x v="0"/>
    <d v="2023-08-02T00:00:00"/>
    <s v="Area 8-2: Port Susan-Port Gardner"/>
    <s v="Area 8-2: Port Susan-Port Gardner"/>
    <s v="NA"/>
    <x v="2"/>
    <s v="Whatcom"/>
    <x v="11"/>
    <s v="North Puget Sound"/>
    <m/>
    <n v="155.89261744966399"/>
    <n v="164.604025958036"/>
  </r>
  <r>
    <n v="3463"/>
    <x v="10"/>
    <s v="Marine"/>
    <x v="0"/>
    <x v="0"/>
    <n v="5"/>
    <s v="Area 5: W Juan de Fuca"/>
    <s v="Area 5: W Juan de Fuca"/>
    <s v="NA"/>
    <x v="0"/>
    <s v="Clallam"/>
    <x v="0"/>
    <s v="Strait of Juan de Fuca"/>
    <m/>
    <n v="5627.8814303638701"/>
    <n v="6139.4180018127399"/>
  </r>
  <r>
    <n v="3388"/>
    <x v="10"/>
    <s v="Marine"/>
    <x v="0"/>
    <x v="0"/>
    <n v="5"/>
    <s v="Area 5: W Juan de Fuca"/>
    <s v="Area 5: W Juan de Fuca"/>
    <s v="NA"/>
    <x v="0"/>
    <s v="Island"/>
    <x v="1"/>
    <s v="North Puget Sound"/>
    <m/>
    <n v="988.503764115433"/>
    <n v="1078.3521080467301"/>
  </r>
  <r>
    <n v="3464"/>
    <x v="10"/>
    <s v="Marine"/>
    <x v="0"/>
    <x v="0"/>
    <n v="5"/>
    <s v="Area 5: W Juan de Fuca"/>
    <s v="Area 5: W Juan de Fuca"/>
    <s v="NA"/>
    <x v="0"/>
    <s v="Jefferson"/>
    <x v="2"/>
    <s v="Strait of Juan de Fuca"/>
    <m/>
    <n v="566.74215809284794"/>
    <n v="618.25520861346104"/>
  </r>
  <r>
    <n v="3389"/>
    <x v="10"/>
    <s v="Marine"/>
    <x v="0"/>
    <x v="0"/>
    <n v="5"/>
    <s v="Area 5: W Juan de Fuca"/>
    <s v="Area 5: W Juan de Fuca"/>
    <s v="NA"/>
    <x v="0"/>
    <s v="King"/>
    <x v="3"/>
    <s v="South Puget Sound"/>
    <m/>
    <n v="6247.3437892095399"/>
    <n v="6815.18532285536"/>
  </r>
  <r>
    <n v="3462"/>
    <x v="10"/>
    <s v="Marine"/>
    <x v="0"/>
    <x v="0"/>
    <n v="5"/>
    <s v="Area 5: W Juan de Fuca"/>
    <s v="Area 5: W Juan de Fuca"/>
    <s v="NA"/>
    <x v="0"/>
    <s v="Kitsap"/>
    <x v="4"/>
    <s v="South Puget Sound"/>
    <m/>
    <n v="4968.8789209535798"/>
    <n v="5420.5165964482503"/>
  </r>
  <r>
    <n v="3392"/>
    <x v="10"/>
    <s v="Marine"/>
    <x v="0"/>
    <x v="0"/>
    <n v="5"/>
    <s v="Area 5: W Juan de Fuca"/>
    <s v="Area 5: W Juan de Fuca"/>
    <s v="NA"/>
    <x v="0"/>
    <s v="Mason"/>
    <x v="5"/>
    <s v="South Puget Sound"/>
    <m/>
    <n v="1911.1072772898401"/>
    <n v="2084.8140755570198"/>
  </r>
  <r>
    <n v="3465"/>
    <x v="10"/>
    <s v="Marine"/>
    <x v="0"/>
    <x v="0"/>
    <n v="5"/>
    <s v="Area 5: W Juan de Fuca"/>
    <s v="Area 5: W Juan de Fuca"/>
    <s v="NA"/>
    <x v="0"/>
    <s v="Other"/>
    <x v="6"/>
    <s v="Non Puget Sound"/>
    <m/>
    <n v="7934.3902132998801"/>
    <n v="8655.5729205884509"/>
  </r>
  <r>
    <n v="3390"/>
    <x v="10"/>
    <s v="Marine"/>
    <x v="0"/>
    <x v="0"/>
    <n v="5"/>
    <s v="Area 5: W Juan de Fuca"/>
    <s v="Area 5: W Juan de Fuca"/>
    <s v="NA"/>
    <x v="0"/>
    <s v="Pierce"/>
    <x v="7"/>
    <s v="South Puget Sound"/>
    <m/>
    <n v="7499.4485570890902"/>
    <n v="8181.0979930478898"/>
  </r>
  <r>
    <n v="3384"/>
    <x v="10"/>
    <s v="Marine"/>
    <x v="0"/>
    <x v="0"/>
    <n v="5"/>
    <s v="Area 5: W Juan de Fuca"/>
    <s v="Area 5: W Juan de Fuca"/>
    <s v="NA"/>
    <x v="0"/>
    <s v="Skagit"/>
    <x v="8"/>
    <s v="North Puget Sound"/>
    <m/>
    <n v="224.06085319949801"/>
    <n v="244.42647782392601"/>
  </r>
  <r>
    <n v="3387"/>
    <x v="10"/>
    <s v="Marine"/>
    <x v="0"/>
    <x v="0"/>
    <n v="5"/>
    <s v="Area 5: W Juan de Fuca"/>
    <s v="Area 5: W Juan de Fuca"/>
    <s v="NA"/>
    <x v="0"/>
    <s v="Snohomish"/>
    <x v="9"/>
    <s v="North Puget Sound"/>
    <m/>
    <n v="2715.0903387703902"/>
    <n v="2961.8737901016998"/>
  </r>
  <r>
    <n v="3391"/>
    <x v="10"/>
    <s v="Marine"/>
    <x v="0"/>
    <x v="0"/>
    <n v="5"/>
    <s v="Area 5: W Juan de Fuca"/>
    <s v="Area 5: W Juan de Fuca"/>
    <s v="NA"/>
    <x v="0"/>
    <s v="Thurston"/>
    <x v="10"/>
    <s v="South Puget Sound"/>
    <m/>
    <n v="2860.07089084065"/>
    <n v="3120.0320992818802"/>
  </r>
  <r>
    <n v="3293"/>
    <x v="10"/>
    <s v="Marine"/>
    <x v="0"/>
    <x v="0"/>
    <n v="5"/>
    <s v="Area 5: W Juan de Fuca"/>
    <s v="Area 5: W Juan de Fuca"/>
    <s v="NA"/>
    <x v="0"/>
    <s v="Whatcom"/>
    <x v="11"/>
    <s v="North Puget Sound"/>
    <m/>
    <n v="474.48180677540802"/>
    <n v="517.609011862432"/>
  </r>
  <r>
    <n v="2959"/>
    <x v="10"/>
    <s v="Marine"/>
    <x v="0"/>
    <x v="0"/>
    <n v="6"/>
    <s v="Area 6: E Juan de Fuca"/>
    <s v="Area 6: E Juan de Fuca"/>
    <s v="NA"/>
    <x v="0"/>
    <s v="Clallam"/>
    <x v="0"/>
    <s v="Strait of Juan de Fuca"/>
    <m/>
    <n v="5812.1787564766901"/>
    <n v="6421.6520532004697"/>
  </r>
  <r>
    <n v="3555"/>
    <x v="10"/>
    <s v="Marine"/>
    <x v="0"/>
    <x v="0"/>
    <n v="6"/>
    <s v="Area 6: E Juan de Fuca"/>
    <s v="Area 6: E Juan de Fuca"/>
    <s v="NA"/>
    <x v="0"/>
    <s v="Island"/>
    <x v="1"/>
    <s v="North Puget Sound"/>
    <m/>
    <n v="19.836787564766801"/>
    <n v="21.916901205462299"/>
  </r>
  <r>
    <n v="2960"/>
    <x v="10"/>
    <s v="Marine"/>
    <x v="0"/>
    <x v="0"/>
    <n v="6"/>
    <s v="Area 6: E Juan de Fuca"/>
    <s v="Area 6: E Juan de Fuca"/>
    <s v="NA"/>
    <x v="0"/>
    <s v="Jefferson"/>
    <x v="2"/>
    <s v="Strait of Juan de Fuca"/>
    <m/>
    <n v="148.77590673575099"/>
    <n v="164.37675904096801"/>
  </r>
  <r>
    <n v="3609"/>
    <x v="10"/>
    <s v="Marine"/>
    <x v="0"/>
    <x v="0"/>
    <n v="6"/>
    <s v="Area 6: E Juan de Fuca"/>
    <s v="Area 6: E Juan de Fuca"/>
    <s v="NA"/>
    <x v="0"/>
    <s v="King"/>
    <x v="3"/>
    <s v="South Puget Sound"/>
    <m/>
    <n v="416.57253886010398"/>
    <n v="460.254925314709"/>
  </r>
  <r>
    <n v="3679"/>
    <x v="10"/>
    <s v="Marine"/>
    <x v="0"/>
    <x v="0"/>
    <n v="6"/>
    <s v="Area 6: E Juan de Fuca"/>
    <s v="Area 6: E Juan de Fuca"/>
    <s v="NA"/>
    <x v="0"/>
    <s v="Kitsap"/>
    <x v="4"/>
    <s v="South Puget Sound"/>
    <m/>
    <n v="366.980569948187"/>
    <n v="405.46267230105298"/>
  </r>
  <r>
    <n v="3241"/>
    <x v="10"/>
    <s v="Marine"/>
    <x v="0"/>
    <x v="0"/>
    <n v="6"/>
    <s v="Area 6: E Juan de Fuca"/>
    <s v="Area 6: E Juan de Fuca"/>
    <s v="NA"/>
    <x v="0"/>
    <s v="Other"/>
    <x v="6"/>
    <s v="Non Puget Sound"/>
    <m/>
    <n v="476.08290155440397"/>
    <n v="526.005628931096"/>
  </r>
  <r>
    <n v="3650"/>
    <x v="10"/>
    <s v="Marine"/>
    <x v="0"/>
    <x v="0"/>
    <n v="6"/>
    <s v="Area 6: E Juan de Fuca"/>
    <s v="Area 6: E Juan de Fuca"/>
    <s v="NA"/>
    <x v="0"/>
    <s v="Pierce"/>
    <x v="7"/>
    <s v="South Puget Sound"/>
    <m/>
    <n v="138.857512953368"/>
    <n v="153.41830843823601"/>
  </r>
  <r>
    <n v="3466"/>
    <x v="10"/>
    <s v="Marine"/>
    <x v="0"/>
    <x v="0"/>
    <n v="6"/>
    <s v="Area 6: E Juan de Fuca"/>
    <s v="Area 6: E Juan de Fuca"/>
    <s v="NA"/>
    <x v="0"/>
    <s v="Skagit"/>
    <x v="8"/>
    <s v="North Puget Sound"/>
    <m/>
    <n v="19.836787564766801"/>
    <n v="21.916901205462299"/>
  </r>
  <r>
    <n v="3507"/>
    <x v="10"/>
    <s v="Marine"/>
    <x v="0"/>
    <x v="0"/>
    <n v="6"/>
    <s v="Area 6: E Juan de Fuca"/>
    <s v="Area 6: E Juan de Fuca"/>
    <s v="NA"/>
    <x v="0"/>
    <s v="Snohomish"/>
    <x v="9"/>
    <s v="North Puget Sound"/>
    <m/>
    <n v="49.5919689119171"/>
    <n v="54.792253013655902"/>
  </r>
  <r>
    <n v="3651"/>
    <x v="10"/>
    <s v="Marine"/>
    <x v="0"/>
    <x v="0"/>
    <n v="6"/>
    <s v="Area 6: E Juan de Fuca"/>
    <s v="Area 6: E Juan de Fuca"/>
    <s v="NA"/>
    <x v="0"/>
    <s v="Thurston"/>
    <x v="10"/>
    <s v="South Puget Sound"/>
    <m/>
    <n v="208.28626943005199"/>
    <n v="230.12746265735501"/>
  </r>
  <r>
    <n v="3526"/>
    <x v="10"/>
    <s v="Marine"/>
    <x v="0"/>
    <x v="0"/>
    <n v="7"/>
    <s v="Area 7: San Juan Islands"/>
    <s v="Area 7: San Juan Islands"/>
    <s v="NA"/>
    <x v="1"/>
    <s v="Clallam"/>
    <x v="0"/>
    <s v="Strait of Juan de Fuca"/>
    <m/>
    <n v="18.156521739130401"/>
    <n v="37.041918239563103"/>
  </r>
  <r>
    <n v="3519"/>
    <x v="10"/>
    <s v="Marine"/>
    <x v="0"/>
    <x v="0"/>
    <n v="7"/>
    <s v="Area 7: San Juan Islands"/>
    <s v="Area 7: San Juan Islands"/>
    <s v="NA"/>
    <x v="1"/>
    <s v="Island"/>
    <x v="1"/>
    <s v="North Puget Sound"/>
    <m/>
    <n v="1461.6"/>
    <n v="2981.87441828483"/>
  </r>
  <r>
    <n v="3521"/>
    <x v="10"/>
    <s v="Marine"/>
    <x v="0"/>
    <x v="0"/>
    <n v="7"/>
    <s v="Area 7: San Juan Islands"/>
    <s v="Area 7: San Juan Islands"/>
    <s v="NA"/>
    <x v="1"/>
    <s v="King"/>
    <x v="3"/>
    <s v="South Puget Sound"/>
    <m/>
    <n v="1652.24347826087"/>
    <n v="3370.8145598002502"/>
  </r>
  <r>
    <n v="3525"/>
    <x v="10"/>
    <s v="Marine"/>
    <x v="0"/>
    <x v="0"/>
    <n v="7"/>
    <s v="Area 7: San Juan Islands"/>
    <s v="Area 7: San Juan Islands"/>
    <s v="NA"/>
    <x v="1"/>
    <s v="Kitsap"/>
    <x v="4"/>
    <s v="South Puget Sound"/>
    <m/>
    <n v="36.313043478260902"/>
    <n v="74.083836479126305"/>
  </r>
  <r>
    <n v="3524"/>
    <x v="10"/>
    <s v="Marine"/>
    <x v="0"/>
    <x v="0"/>
    <n v="7"/>
    <s v="Area 7: San Juan Islands"/>
    <s v="Area 7: San Juan Islands"/>
    <s v="NA"/>
    <x v="1"/>
    <s v="Mason"/>
    <x v="5"/>
    <s v="South Puget Sound"/>
    <m/>
    <n v="9.07826086956522"/>
    <n v="18.520959119781601"/>
  </r>
  <r>
    <n v="3527"/>
    <x v="10"/>
    <s v="Marine"/>
    <x v="0"/>
    <x v="0"/>
    <n v="7"/>
    <s v="Area 7: San Juan Islands"/>
    <s v="Area 7: San Juan Islands"/>
    <s v="NA"/>
    <x v="1"/>
    <s v="Other"/>
    <x v="6"/>
    <s v="Non Puget Sound"/>
    <m/>
    <n v="1098.46956521739"/>
    <n v="2241.0360534935699"/>
  </r>
  <r>
    <n v="3522"/>
    <x v="10"/>
    <s v="Marine"/>
    <x v="0"/>
    <x v="0"/>
    <n v="7"/>
    <s v="Area 7: San Juan Islands"/>
    <s v="Area 7: San Juan Islands"/>
    <s v="NA"/>
    <x v="1"/>
    <s v="Pierce"/>
    <x v="7"/>
    <s v="South Puget Sound"/>
    <m/>
    <n v="190.64347826087001"/>
    <n v="388.94014151541302"/>
  </r>
  <r>
    <n v="3520"/>
    <x v="10"/>
    <s v="Marine"/>
    <x v="0"/>
    <x v="0"/>
    <n v="7"/>
    <s v="Area 7: San Juan Islands"/>
    <s v="Area 7: San Juan Islands"/>
    <s v="NA"/>
    <x v="1"/>
    <s v="San Juan"/>
    <x v="12"/>
    <s v="North Puget Sound"/>
    <m/>
    <n v="553.77391304347805"/>
    <n v="1129.7785063066799"/>
  </r>
  <r>
    <n v="3517"/>
    <x v="10"/>
    <s v="Marine"/>
    <x v="0"/>
    <x v="0"/>
    <n v="7"/>
    <s v="Area 7: San Juan Islands"/>
    <s v="Area 7: San Juan Islands"/>
    <s v="NA"/>
    <x v="1"/>
    <s v="Skagit"/>
    <x v="8"/>
    <s v="North Puget Sound"/>
    <m/>
    <n v="3177.3913043478301"/>
    <n v="6482.3356919235503"/>
  </r>
  <r>
    <n v="3518"/>
    <x v="10"/>
    <s v="Marine"/>
    <x v="0"/>
    <x v="0"/>
    <n v="7"/>
    <s v="Area 7: San Juan Islands"/>
    <s v="Area 7: San Juan Islands"/>
    <s v="NA"/>
    <x v="1"/>
    <s v="Snohomish"/>
    <x v="9"/>
    <s v="North Puget Sound"/>
    <m/>
    <n v="1715.79130434783"/>
    <n v="3500.4612736387198"/>
  </r>
  <r>
    <n v="3523"/>
    <x v="10"/>
    <s v="Marine"/>
    <x v="0"/>
    <x v="0"/>
    <n v="7"/>
    <s v="Area 7: San Juan Islands"/>
    <s v="Area 7: San Juan Islands"/>
    <s v="NA"/>
    <x v="1"/>
    <s v="Thurston"/>
    <x v="10"/>
    <s v="South Puget Sound"/>
    <m/>
    <n v="127.095652173913"/>
    <n v="259.29342767694197"/>
  </r>
  <r>
    <n v="3516"/>
    <x v="10"/>
    <s v="Marine"/>
    <x v="0"/>
    <x v="0"/>
    <n v="7"/>
    <s v="Area 7: San Juan Islands"/>
    <s v="Area 7: San Juan Islands"/>
    <s v="NA"/>
    <x v="1"/>
    <s v="Whatcom"/>
    <x v="11"/>
    <s v="North Puget Sound"/>
    <m/>
    <n v="2487.4434782608701"/>
    <n v="5074.7427988201498"/>
  </r>
  <r>
    <n v="2369"/>
    <x v="10"/>
    <s v="Marine"/>
    <x v="0"/>
    <x v="0"/>
    <n v="9"/>
    <s v="Area 9: Admiralty Inlet"/>
    <s v="Area 9: Admiralty Inlet"/>
    <s v="NA"/>
    <x v="2"/>
    <s v="Clallam"/>
    <x v="0"/>
    <s v="Strait of Juan de Fuca"/>
    <m/>
    <n v="27.860869565217399"/>
    <n v="134.644547963371"/>
  </r>
  <r>
    <n v="2259"/>
    <x v="10"/>
    <s v="Marine"/>
    <x v="0"/>
    <x v="0"/>
    <n v="9"/>
    <s v="Area 9: Admiralty Inlet"/>
    <s v="Area 9: Admiralty Inlet"/>
    <s v="NA"/>
    <x v="2"/>
    <s v="Island"/>
    <x v="1"/>
    <s v="North Puget Sound"/>
    <m/>
    <n v="1857.3913043478301"/>
    <n v="8976.3031975580907"/>
  </r>
  <r>
    <n v="2370"/>
    <x v="10"/>
    <s v="Marine"/>
    <x v="0"/>
    <x v="0"/>
    <n v="9"/>
    <s v="Area 9: Admiralty Inlet"/>
    <s v="Area 9: Admiralty Inlet"/>
    <s v="NA"/>
    <x v="2"/>
    <s v="Jefferson"/>
    <x v="2"/>
    <s v="Strait of Juan de Fuca"/>
    <m/>
    <n v="1290.8869565217401"/>
    <n v="6238.5307223028703"/>
  </r>
  <r>
    <n v="2261"/>
    <x v="10"/>
    <s v="Marine"/>
    <x v="0"/>
    <x v="0"/>
    <n v="9"/>
    <s v="Area 9: Admiralty Inlet"/>
    <s v="Area 9: Admiralty Inlet"/>
    <s v="NA"/>
    <x v="2"/>
    <s v="King"/>
    <x v="3"/>
    <s v="South Puget Sound"/>
    <m/>
    <n v="1671.6521739130401"/>
    <n v="8078.6728778022798"/>
  </r>
  <r>
    <n v="2368"/>
    <x v="10"/>
    <s v="Marine"/>
    <x v="0"/>
    <x v="0"/>
    <n v="9"/>
    <s v="Area 9: Admiralty Inlet"/>
    <s v="Area 9: Admiralty Inlet"/>
    <s v="NA"/>
    <x v="2"/>
    <s v="Kitsap"/>
    <x v="4"/>
    <s v="South Puget Sound"/>
    <m/>
    <n v="1309.46086956522"/>
    <n v="6328.2937542784603"/>
  </r>
  <r>
    <n v="2316"/>
    <x v="10"/>
    <s v="Marine"/>
    <x v="0"/>
    <x v="0"/>
    <n v="9"/>
    <s v="Area 9: Admiralty Inlet"/>
    <s v="Area 9: Admiralty Inlet"/>
    <s v="NA"/>
    <x v="2"/>
    <s v="Mason"/>
    <x v="5"/>
    <s v="South Puget Sound"/>
    <m/>
    <n v="27.860869565217399"/>
    <n v="134.644547963371"/>
  </r>
  <r>
    <n v="2371"/>
    <x v="10"/>
    <s v="Marine"/>
    <x v="0"/>
    <x v="0"/>
    <n v="9"/>
    <s v="Area 9: Admiralty Inlet"/>
    <s v="Area 9: Admiralty Inlet"/>
    <s v="NA"/>
    <x v="2"/>
    <s v="Other"/>
    <x v="6"/>
    <s v="Non Puget Sound"/>
    <m/>
    <n v="705.80869565217404"/>
    <n v="3410.9952150720701"/>
  </r>
  <r>
    <n v="2262"/>
    <x v="10"/>
    <s v="Marine"/>
    <x v="0"/>
    <x v="0"/>
    <n v="9"/>
    <s v="Area 9: Admiralty Inlet"/>
    <s v="Area 9: Admiralty Inlet"/>
    <s v="NA"/>
    <x v="2"/>
    <s v="Pierce"/>
    <x v="7"/>
    <s v="South Puget Sound"/>
    <m/>
    <n v="167.165217391304"/>
    <n v="807.86728778022803"/>
  </r>
  <r>
    <n v="2260"/>
    <x v="10"/>
    <s v="Marine"/>
    <x v="0"/>
    <x v="0"/>
    <n v="9"/>
    <s v="Area 9: Admiralty Inlet"/>
    <s v="Area 9: Admiralty Inlet"/>
    <s v="NA"/>
    <x v="2"/>
    <s v="San Juan"/>
    <x v="12"/>
    <s v="North Puget Sound"/>
    <m/>
    <n v="9.2869565217391301"/>
    <n v="44.8815159877905"/>
  </r>
  <r>
    <n v="2257"/>
    <x v="10"/>
    <s v="Marine"/>
    <x v="0"/>
    <x v="0"/>
    <n v="9"/>
    <s v="Area 9: Admiralty Inlet"/>
    <s v="Area 9: Admiralty Inlet"/>
    <s v="NA"/>
    <x v="2"/>
    <s v="Skagit"/>
    <x v="8"/>
    <s v="North Puget Sound"/>
    <m/>
    <n v="139.304347826087"/>
    <n v="673.22273981685703"/>
  </r>
  <r>
    <n v="2258"/>
    <x v="10"/>
    <s v="Marine"/>
    <x v="0"/>
    <x v="0"/>
    <n v="9"/>
    <s v="Area 9: Admiralty Inlet"/>
    <s v="Area 9: Admiralty Inlet"/>
    <s v="NA"/>
    <x v="2"/>
    <s v="Snohomish"/>
    <x v="9"/>
    <s v="North Puget Sound"/>
    <m/>
    <n v="3380.45217391304"/>
    <n v="16336.871819555699"/>
  </r>
  <r>
    <n v="2256"/>
    <x v="10"/>
    <s v="Marine"/>
    <x v="0"/>
    <x v="0"/>
    <n v="9"/>
    <s v="Area 9: Admiralty Inlet"/>
    <s v="Area 9: Admiralty Inlet"/>
    <s v="NA"/>
    <x v="2"/>
    <s v="Whatcom"/>
    <x v="11"/>
    <s v="North Puget Sound"/>
    <m/>
    <n v="92.869565217391298"/>
    <n v="448.81515987790499"/>
  </r>
  <r>
    <n v="429"/>
    <x v="10"/>
    <s v="Marine"/>
    <x v="0"/>
    <x v="0"/>
    <n v="10"/>
    <s v="Area 10: N Puget Sound"/>
    <s v="Area 10: N Puget Sound"/>
    <s v="NA"/>
    <x v="3"/>
    <s v="Island"/>
    <x v="1"/>
    <s v="North Puget Sound"/>
    <m/>
    <n v="297.25312409183402"/>
    <n v="507.586226384577"/>
  </r>
  <r>
    <n v="435"/>
    <x v="10"/>
    <s v="Marine"/>
    <x v="0"/>
    <x v="0"/>
    <n v="10"/>
    <s v="Area 10: N Puget Sound"/>
    <s v="Area 10: N Puget Sound"/>
    <s v="NA"/>
    <x v="3"/>
    <s v="Jefferson"/>
    <x v="2"/>
    <s v="Strait of Juan de Fuca"/>
    <m/>
    <n v="27.867480383609401"/>
    <n v="47.586208723554101"/>
  </r>
  <r>
    <n v="430"/>
    <x v="10"/>
    <s v="Marine"/>
    <x v="0"/>
    <x v="0"/>
    <n v="10"/>
    <s v="Area 10: N Puget Sound"/>
    <s v="Area 10: N Puget Sound"/>
    <s v="NA"/>
    <x v="3"/>
    <s v="King"/>
    <x v="3"/>
    <s v="South Puget Sound"/>
    <m/>
    <n v="12930.5108979948"/>
    <n v="22080.000847729101"/>
  </r>
  <r>
    <n v="434"/>
    <x v="10"/>
    <s v="Marine"/>
    <x v="0"/>
    <x v="0"/>
    <n v="10"/>
    <s v="Area 10: N Puget Sound"/>
    <s v="Area 10: N Puget Sound"/>
    <s v="NA"/>
    <x v="3"/>
    <s v="Kitsap"/>
    <x v="4"/>
    <s v="South Puget Sound"/>
    <m/>
    <n v="3845.7122929380998"/>
    <n v="6566.89680385047"/>
  </r>
  <r>
    <n v="433"/>
    <x v="10"/>
    <s v="Marine"/>
    <x v="0"/>
    <x v="0"/>
    <n v="10"/>
    <s v="Area 10: N Puget Sound"/>
    <s v="Area 10: N Puget Sound"/>
    <s v="NA"/>
    <x v="3"/>
    <s v="Mason"/>
    <x v="5"/>
    <s v="South Puget Sound"/>
    <m/>
    <n v="83.602441150828298"/>
    <n v="142.75862617066201"/>
  </r>
  <r>
    <n v="436"/>
    <x v="10"/>
    <s v="Marine"/>
    <x v="0"/>
    <x v="0"/>
    <n v="10"/>
    <s v="Area 10: N Puget Sound"/>
    <s v="Area 10: N Puget Sound"/>
    <s v="NA"/>
    <x v="3"/>
    <s v="Other"/>
    <x v="6"/>
    <s v="Non Puget Sound"/>
    <m/>
    <n v="3446.2784074397"/>
    <n v="5884.8278121461899"/>
  </r>
  <r>
    <n v="431"/>
    <x v="10"/>
    <s v="Marine"/>
    <x v="0"/>
    <x v="0"/>
    <n v="10"/>
    <s v="Area 10: N Puget Sound"/>
    <s v="Area 10: N Puget Sound"/>
    <s v="NA"/>
    <x v="3"/>
    <s v="Pierce"/>
    <x v="7"/>
    <s v="South Puget Sound"/>
    <m/>
    <n v="1662.7596628886999"/>
    <n v="2839.3104538387302"/>
  </r>
  <r>
    <n v="418"/>
    <x v="10"/>
    <s v="Marine"/>
    <x v="0"/>
    <x v="0"/>
    <n v="10"/>
    <s v="Area 10: N Puget Sound"/>
    <s v="Area 10: N Puget Sound"/>
    <s v="NA"/>
    <x v="3"/>
    <s v="Skagit"/>
    <x v="8"/>
    <s v="North Puget Sound"/>
    <m/>
    <n v="102.180761406568"/>
    <n v="174.48276531969799"/>
  </r>
  <r>
    <n v="428"/>
    <x v="10"/>
    <s v="Marine"/>
    <x v="0"/>
    <x v="0"/>
    <n v="10"/>
    <s v="Area 10: N Puget Sound"/>
    <s v="Area 10: N Puget Sound"/>
    <s v="NA"/>
    <x v="3"/>
    <s v="Snohomish"/>
    <x v="9"/>
    <s v="North Puget Sound"/>
    <m/>
    <n v="9270.5818076140695"/>
    <n v="15830.345435368999"/>
  </r>
  <r>
    <n v="432"/>
    <x v="10"/>
    <s v="Marine"/>
    <x v="0"/>
    <x v="0"/>
    <n v="10"/>
    <s v="Area 10: N Puget Sound"/>
    <s v="Area 10: N Puget Sound"/>
    <s v="NA"/>
    <x v="3"/>
    <s v="Thurston"/>
    <x v="10"/>
    <s v="South Puget Sound"/>
    <m/>
    <n v="157.915722173787"/>
    <n v="269.655182766807"/>
  </r>
  <r>
    <n v="417"/>
    <x v="10"/>
    <s v="Marine"/>
    <x v="0"/>
    <x v="0"/>
    <n v="10"/>
    <s v="Area 10: N Puget Sound"/>
    <s v="Area 10: N Puget Sound"/>
    <s v="NA"/>
    <x v="3"/>
    <s v="Whatcom"/>
    <x v="11"/>
    <s v="North Puget Sound"/>
    <m/>
    <n v="139.33740191804699"/>
    <n v="237.93104361777"/>
  </r>
  <r>
    <n v="506"/>
    <x v="10"/>
    <s v="Marine"/>
    <x v="0"/>
    <x v="0"/>
    <n v="11"/>
    <s v="Area 11: Mid-Puget Sound"/>
    <s v="Area 11: Mid-Puget Sound"/>
    <s v="NA"/>
    <x v="3"/>
    <s v="King"/>
    <x v="3"/>
    <s v="South Puget Sound"/>
    <m/>
    <n v="2812.73342354533"/>
    <n v="16903.315185649401"/>
  </r>
  <r>
    <n v="509"/>
    <x v="10"/>
    <s v="Marine"/>
    <x v="0"/>
    <x v="0"/>
    <n v="11"/>
    <s v="Area 11: Mid-Puget Sound"/>
    <s v="Area 11: Mid-Puget Sound"/>
    <s v="NA"/>
    <x v="3"/>
    <s v="Kitsap"/>
    <x v="4"/>
    <s v="South Puget Sound"/>
    <m/>
    <n v="274.22192151556197"/>
    <n v="1647.95551949228"/>
  </r>
  <r>
    <n v="510"/>
    <x v="10"/>
    <s v="Marine"/>
    <x v="0"/>
    <x v="0"/>
    <n v="11"/>
    <s v="Area 11: Mid-Puget Sound"/>
    <s v="Area 11: Mid-Puget Sound"/>
    <s v="NA"/>
    <x v="3"/>
    <s v="Other"/>
    <x v="6"/>
    <s v="Non Puget Sound"/>
    <m/>
    <n v="156.69824086603501"/>
    <n v="941.68886828130496"/>
  </r>
  <r>
    <n v="507"/>
    <x v="10"/>
    <s v="Marine"/>
    <x v="0"/>
    <x v="0"/>
    <n v="11"/>
    <s v="Area 11: Mid-Puget Sound"/>
    <s v="Area 11: Mid-Puget Sound"/>
    <s v="NA"/>
    <x v="3"/>
    <s v="Pierce"/>
    <x v="7"/>
    <s v="South Puget Sound"/>
    <m/>
    <n v="2444.4925575101502"/>
    <n v="14690.3463451884"/>
  </r>
  <r>
    <n v="504"/>
    <x v="10"/>
    <s v="Marine"/>
    <x v="0"/>
    <x v="0"/>
    <n v="11"/>
    <s v="Area 11: Mid-Puget Sound"/>
    <s v="Area 11: Mid-Puget Sound"/>
    <s v="NA"/>
    <x v="3"/>
    <s v="Skagit"/>
    <x v="8"/>
    <s v="North Puget Sound"/>
    <m/>
    <n v="7.8349120433017596"/>
    <n v="47.084443414065198"/>
  </r>
  <r>
    <n v="505"/>
    <x v="10"/>
    <s v="Marine"/>
    <x v="0"/>
    <x v="0"/>
    <n v="11"/>
    <s v="Area 11: Mid-Puget Sound"/>
    <s v="Area 11: Mid-Puget Sound"/>
    <s v="NA"/>
    <x v="3"/>
    <s v="Snohomish"/>
    <x v="9"/>
    <s v="North Puget Sound"/>
    <m/>
    <n v="47.0094722598106"/>
    <n v="282.506660484392"/>
  </r>
  <r>
    <n v="508"/>
    <x v="10"/>
    <s v="Marine"/>
    <x v="0"/>
    <x v="0"/>
    <n v="11"/>
    <s v="Area 11: Mid-Puget Sound"/>
    <s v="Area 11: Mid-Puget Sound"/>
    <s v="NA"/>
    <x v="3"/>
    <s v="Thurston"/>
    <x v="10"/>
    <s v="South Puget Sound"/>
    <m/>
    <n v="47.0094722598106"/>
    <n v="282.506660484392"/>
  </r>
  <r>
    <n v="1137"/>
    <x v="10"/>
    <s v="Marine"/>
    <x v="0"/>
    <x v="0"/>
    <n v="12"/>
    <s v="Area 12: Hood Canal"/>
    <s v="Area 12: Hood Canal"/>
    <s v="NA"/>
    <x v="4"/>
    <s v="Clallam"/>
    <x v="0"/>
    <s v="Strait of Juan de Fuca"/>
    <m/>
    <n v="281.80846325166999"/>
    <n v="249.64215326586901"/>
  </r>
  <r>
    <n v="1138"/>
    <x v="10"/>
    <s v="Marine"/>
    <x v="0"/>
    <x v="0"/>
    <n v="12"/>
    <s v="Area 12: Hood Canal"/>
    <s v="Area 12: Hood Canal"/>
    <s v="NA"/>
    <x v="4"/>
    <s v="Jefferson"/>
    <x v="2"/>
    <s v="Strait of Juan de Fuca"/>
    <m/>
    <n v="1489.5590200445399"/>
    <n v="1319.5370958338799"/>
  </r>
  <r>
    <n v="1056"/>
    <x v="10"/>
    <s v="Marine"/>
    <x v="0"/>
    <x v="0"/>
    <n v="12"/>
    <s v="Area 12: Hood Canal"/>
    <s v="Area 12: Hood Canal"/>
    <s v="NA"/>
    <x v="4"/>
    <s v="King"/>
    <x v="3"/>
    <s v="South Puget Sound"/>
    <m/>
    <n v="885.683741648107"/>
    <n v="784.589624549875"/>
  </r>
  <r>
    <n v="1136"/>
    <x v="10"/>
    <s v="Marine"/>
    <x v="0"/>
    <x v="0"/>
    <n v="12"/>
    <s v="Area 12: Hood Canal"/>
    <s v="Area 12: Hood Canal"/>
    <s v="NA"/>
    <x v="4"/>
    <s v="Kitsap"/>
    <x v="4"/>
    <s v="South Puget Sound"/>
    <m/>
    <n v="362.325167037862"/>
    <n v="320.968482770403"/>
  </r>
  <r>
    <n v="1135"/>
    <x v="10"/>
    <s v="Marine"/>
    <x v="0"/>
    <x v="0"/>
    <n v="12"/>
    <s v="Area 12: Hood Canal"/>
    <s v="Area 12: Hood Canal"/>
    <s v="NA"/>
    <x v="4"/>
    <s v="Mason"/>
    <x v="5"/>
    <s v="South Puget Sound"/>
    <m/>
    <n v="161.033407572383"/>
    <n v="142.652659009068"/>
  </r>
  <r>
    <n v="1139"/>
    <x v="10"/>
    <s v="Marine"/>
    <x v="0"/>
    <x v="0"/>
    <n v="12"/>
    <s v="Area 12: Hood Canal"/>
    <s v="Area 12: Hood Canal"/>
    <s v="NA"/>
    <x v="4"/>
    <s v="Other"/>
    <x v="6"/>
    <s v="Non Puget Sound"/>
    <m/>
    <n v="412.64810690423201"/>
    <n v="365.54743871073703"/>
  </r>
  <r>
    <n v="1057"/>
    <x v="10"/>
    <s v="Marine"/>
    <x v="0"/>
    <x v="0"/>
    <n v="12"/>
    <s v="Area 12: Hood Canal"/>
    <s v="Area 12: Hood Canal"/>
    <s v="NA"/>
    <x v="4"/>
    <s v="Pierce"/>
    <x v="7"/>
    <s v="South Puget Sound"/>
    <m/>
    <n v="211.35634743875301"/>
    <n v="187.231614949402"/>
  </r>
  <r>
    <n v="1055"/>
    <x v="10"/>
    <s v="Marine"/>
    <x v="0"/>
    <x v="0"/>
    <n v="12"/>
    <s v="Area 12: Hood Canal"/>
    <s v="Area 12: Hood Canal"/>
    <s v="NA"/>
    <x v="4"/>
    <s v="Snohomish"/>
    <x v="9"/>
    <s v="North Puget Sound"/>
    <m/>
    <n v="30.193763919821802"/>
    <n v="26.747373564200299"/>
  </r>
  <r>
    <n v="1134"/>
    <x v="10"/>
    <s v="Marine"/>
    <x v="0"/>
    <x v="0"/>
    <n v="12"/>
    <s v="Area 12: Hood Canal"/>
    <s v="Area 12: Hood Canal"/>
    <s v="NA"/>
    <x v="4"/>
    <s v="Thurston"/>
    <x v="10"/>
    <s v="South Puget Sound"/>
    <m/>
    <n v="684.391982182628"/>
    <n v="606.27380078854003"/>
  </r>
  <r>
    <n v="512"/>
    <x v="10"/>
    <s v="Marine"/>
    <x v="0"/>
    <x v="0"/>
    <n v="13"/>
    <s v="Area 13: S Puget Sound"/>
    <s v="Area 13: S Puget Sound"/>
    <s v="NA"/>
    <x v="3"/>
    <s v="King"/>
    <x v="3"/>
    <s v="South Puget Sound"/>
    <m/>
    <n v="339.2"/>
    <n v="407.74434472761101"/>
  </r>
  <r>
    <n v="516"/>
    <x v="10"/>
    <s v="Marine"/>
    <x v="0"/>
    <x v="0"/>
    <n v="13"/>
    <s v="Area 13: S Puget Sound"/>
    <s v="Area 13: S Puget Sound"/>
    <s v="NA"/>
    <x v="3"/>
    <s v="Kitsap"/>
    <x v="4"/>
    <s v="South Puget Sound"/>
    <m/>
    <n v="69.835294117647095"/>
    <n v="83.947365090978806"/>
  </r>
  <r>
    <n v="515"/>
    <x v="10"/>
    <s v="Marine"/>
    <x v="0"/>
    <x v="0"/>
    <n v="13"/>
    <s v="Area 13: S Puget Sound"/>
    <s v="Area 13: S Puget Sound"/>
    <s v="NA"/>
    <x v="3"/>
    <s v="Mason"/>
    <x v="5"/>
    <s v="South Puget Sound"/>
    <m/>
    <n v="478.87058823529401"/>
    <n v="575.63907490956899"/>
  </r>
  <r>
    <n v="517"/>
    <x v="10"/>
    <s v="Marine"/>
    <x v="0"/>
    <x v="0"/>
    <n v="13"/>
    <s v="Area 13: S Puget Sound"/>
    <s v="Area 13: S Puget Sound"/>
    <s v="NA"/>
    <x v="3"/>
    <s v="Other"/>
    <x v="6"/>
    <s v="Non Puget Sound"/>
    <m/>
    <n v="478.87058823529401"/>
    <n v="575.63907490956899"/>
  </r>
  <r>
    <n v="513"/>
    <x v="10"/>
    <s v="Marine"/>
    <x v="0"/>
    <x v="0"/>
    <n v="13"/>
    <s v="Area 13: S Puget Sound"/>
    <s v="Area 13: S Puget Sound"/>
    <s v="NA"/>
    <x v="3"/>
    <s v="Pierce"/>
    <x v="7"/>
    <s v="South Puget Sound"/>
    <m/>
    <n v="748.23529411764696"/>
    <n v="899.43605454620104"/>
  </r>
  <r>
    <n v="511"/>
    <x v="10"/>
    <s v="Marine"/>
    <x v="0"/>
    <x v="0"/>
    <n v="13"/>
    <s v="Area 13: S Puget Sound"/>
    <s v="Area 13: S Puget Sound"/>
    <s v="NA"/>
    <x v="3"/>
    <s v="Snohomish"/>
    <x v="9"/>
    <s v="North Puget Sound"/>
    <m/>
    <n v="59.858823529411801"/>
    <n v="71.954884363696095"/>
  </r>
  <r>
    <n v="514"/>
    <x v="10"/>
    <s v="Marine"/>
    <x v="0"/>
    <x v="0"/>
    <n v="13"/>
    <s v="Area 13: S Puget Sound"/>
    <s v="Area 13: S Puget Sound"/>
    <s v="NA"/>
    <x v="3"/>
    <s v="Thurston"/>
    <x v="10"/>
    <s v="South Puget Sound"/>
    <m/>
    <n v="1217.1294117647101"/>
    <n v="1463.0826487284901"/>
  </r>
  <r>
    <n v="2253"/>
    <x v="10"/>
    <s v="Marine"/>
    <x v="0"/>
    <x v="0"/>
    <d v="2023-08-02T00:00:00"/>
    <s v="Area 8-2: Port Susan-Port Gardner"/>
    <s v="Area 8-2: Port Susan-Port Gardner"/>
    <s v="NA"/>
    <x v="2"/>
    <s v="Island"/>
    <x v="1"/>
    <s v="North Puget Sound"/>
    <m/>
    <n v="50.113636363636402"/>
    <n v="96.002859737366407"/>
  </r>
  <r>
    <n v="2254"/>
    <x v="10"/>
    <s v="Marine"/>
    <x v="0"/>
    <x v="0"/>
    <d v="2023-08-02T00:00:00"/>
    <s v="Area 8-2: Port Susan-Port Gardner"/>
    <s v="Area 8-2: Port Susan-Port Gardner"/>
    <s v="NA"/>
    <x v="2"/>
    <s v="King"/>
    <x v="3"/>
    <s v="South Puget Sound"/>
    <m/>
    <n v="30.068181818181799"/>
    <n v="57.6017158424198"/>
  </r>
  <r>
    <n v="2255"/>
    <x v="10"/>
    <s v="Marine"/>
    <x v="0"/>
    <x v="0"/>
    <d v="2023-08-02T00:00:00"/>
    <s v="Area 8-2: Port Susan-Port Gardner"/>
    <s v="Area 8-2: Port Susan-Port Gardner"/>
    <s v="NA"/>
    <x v="2"/>
    <s v="Other"/>
    <x v="6"/>
    <s v="Non Puget Sound"/>
    <m/>
    <n v="60.136363636363598"/>
    <n v="115.20343168484"/>
  </r>
  <r>
    <n v="2122"/>
    <x v="10"/>
    <s v="Marine"/>
    <x v="0"/>
    <x v="0"/>
    <d v="2023-08-02T00:00:00"/>
    <s v="Area 8-2: Port Susan-Port Gardner"/>
    <s v="Area 8-2: Port Susan-Port Gardner"/>
    <s v="NA"/>
    <x v="2"/>
    <s v="Snohomish"/>
    <x v="9"/>
    <s v="North Puget Sound"/>
    <m/>
    <n v="300.68181818181802"/>
    <n v="576.01715842419799"/>
  </r>
  <r>
    <n v="1329"/>
    <x v="11"/>
    <s v="Marine"/>
    <x v="0"/>
    <x v="0"/>
    <n v="5"/>
    <s v="Area 5: W Juan de Fuca"/>
    <s v="Area 5: W Juan de Fuca"/>
    <s v="NA"/>
    <x v="0"/>
    <s v="Clallam"/>
    <x v="0"/>
    <s v="Strait of Juan de Fuca"/>
    <m/>
    <n v="6088.3767535070101"/>
    <n v="6361.8094006908204"/>
  </r>
  <r>
    <n v="3588"/>
    <x v="11"/>
    <s v="Marine"/>
    <x v="0"/>
    <x v="0"/>
    <n v="5"/>
    <s v="Area 5: W Juan de Fuca"/>
    <s v="Area 5: W Juan de Fuca"/>
    <s v="NA"/>
    <x v="0"/>
    <s v="Island"/>
    <x v="1"/>
    <s v="North Puget Sound"/>
    <m/>
    <n v="582.56513026052096"/>
    <n v="608.72847924058499"/>
  </r>
  <r>
    <n v="1330"/>
    <x v="11"/>
    <s v="Marine"/>
    <x v="0"/>
    <x v="0"/>
    <n v="5"/>
    <s v="Area 5: W Juan de Fuca"/>
    <s v="Area 5: W Juan de Fuca"/>
    <s v="NA"/>
    <x v="0"/>
    <s v="Jefferson"/>
    <x v="2"/>
    <s v="Strait of Juan de Fuca"/>
    <m/>
    <n v="502.60521042084201"/>
    <n v="525.17751150168101"/>
  </r>
  <r>
    <n v="3610"/>
    <x v="11"/>
    <s v="Marine"/>
    <x v="0"/>
    <x v="0"/>
    <n v="5"/>
    <s v="Area 5: W Juan de Fuca"/>
    <s v="Area 5: W Juan de Fuca"/>
    <s v="NA"/>
    <x v="0"/>
    <s v="King"/>
    <x v="3"/>
    <s v="South Puget Sound"/>
    <m/>
    <n v="6431.0621242485004"/>
    <n v="6719.8849767146903"/>
  </r>
  <r>
    <n v="1328"/>
    <x v="11"/>
    <s v="Marine"/>
    <x v="0"/>
    <x v="0"/>
    <n v="5"/>
    <s v="Area 5: W Juan de Fuca"/>
    <s v="Area 5: W Juan de Fuca"/>
    <s v="NA"/>
    <x v="0"/>
    <s v="Kitsap"/>
    <x v="4"/>
    <s v="South Puget Sound"/>
    <m/>
    <n v="4169.3386773547099"/>
    <n v="4356.5861749571304"/>
  </r>
  <r>
    <n v="3637"/>
    <x v="11"/>
    <s v="Marine"/>
    <x v="0"/>
    <x v="0"/>
    <n v="5"/>
    <s v="Area 5: W Juan de Fuca"/>
    <s v="Area 5: W Juan de Fuca"/>
    <s v="NA"/>
    <x v="0"/>
    <s v="Mason"/>
    <x v="5"/>
    <s v="South Puget Sound"/>
    <m/>
    <n v="1245.0901803607201"/>
    <n v="1301.00792622007"/>
  </r>
  <r>
    <n v="1331"/>
    <x v="11"/>
    <s v="Marine"/>
    <x v="0"/>
    <x v="0"/>
    <n v="5"/>
    <s v="Area 5: W Juan de Fuca"/>
    <s v="Area 5: W Juan de Fuca"/>
    <s v="NA"/>
    <x v="0"/>
    <s v="Other"/>
    <x v="6"/>
    <s v="Non Puget Sound"/>
    <m/>
    <n v="8635.6713426853694"/>
    <n v="9023.5045158016092"/>
  </r>
  <r>
    <n v="3611"/>
    <x v="11"/>
    <s v="Marine"/>
    <x v="0"/>
    <x v="0"/>
    <n v="5"/>
    <s v="Area 5: W Juan de Fuca"/>
    <s v="Area 5: W Juan de Fuca"/>
    <s v="NA"/>
    <x v="0"/>
    <s v="Pierce"/>
    <x v="7"/>
    <s v="South Puget Sound"/>
    <m/>
    <n v="5540.0801603206401"/>
    <n v="5788.8884790526199"/>
  </r>
  <r>
    <n v="3508"/>
    <x v="11"/>
    <s v="Marine"/>
    <x v="0"/>
    <x v="0"/>
    <n v="5"/>
    <s v="Area 5: W Juan de Fuca"/>
    <s v="Area 5: W Juan de Fuca"/>
    <s v="NA"/>
    <x v="0"/>
    <s v="Skagit"/>
    <x v="8"/>
    <s v="North Puget Sound"/>
    <m/>
    <n v="673.94789579158305"/>
    <n v="704.21529951361799"/>
  </r>
  <r>
    <n v="3509"/>
    <x v="11"/>
    <s v="Marine"/>
    <x v="0"/>
    <x v="0"/>
    <n v="5"/>
    <s v="Area 5: W Juan de Fuca"/>
    <s v="Area 5: W Juan de Fuca"/>
    <s v="NA"/>
    <x v="0"/>
    <s v="Snohomish"/>
    <x v="9"/>
    <s v="North Puget Sound"/>
    <m/>
    <n v="2787.1743486974001"/>
    <n v="2912.3480183275101"/>
  </r>
  <r>
    <n v="3612"/>
    <x v="11"/>
    <s v="Marine"/>
    <x v="0"/>
    <x v="0"/>
    <n v="5"/>
    <s v="Area 5: W Juan de Fuca"/>
    <s v="Area 5: W Juan de Fuca"/>
    <s v="NA"/>
    <x v="0"/>
    <s v="Thurston"/>
    <x v="10"/>
    <s v="South Puget Sound"/>
    <m/>
    <n v="2433.0661322645301"/>
    <n v="2542.3365897694998"/>
  </r>
  <r>
    <n v="3393"/>
    <x v="11"/>
    <s v="Marine"/>
    <x v="0"/>
    <x v="0"/>
    <n v="5"/>
    <s v="Area 5: W Juan de Fuca"/>
    <s v="Area 5: W Juan de Fuca"/>
    <s v="NA"/>
    <x v="0"/>
    <s v="Whatcom"/>
    <x v="11"/>
    <s v="North Puget Sound"/>
    <m/>
    <n v="811.02204408817704"/>
    <n v="847.44552992316699"/>
  </r>
  <r>
    <n v="1508"/>
    <x v="11"/>
    <s v="Marine"/>
    <x v="0"/>
    <x v="0"/>
    <n v="6"/>
    <s v="Area 6: E Juan de Fuca"/>
    <s v="Area 6: E Juan de Fuca"/>
    <s v="NA"/>
    <x v="0"/>
    <s v="Clallam"/>
    <x v="0"/>
    <s v="Strait of Juan de Fuca"/>
    <m/>
    <n v="8762.4835742444193"/>
    <n v="13190.7164768895"/>
  </r>
  <r>
    <n v="1349"/>
    <x v="11"/>
    <s v="Marine"/>
    <x v="0"/>
    <x v="0"/>
    <n v="6"/>
    <s v="Area 6: E Juan de Fuca"/>
    <s v="Area 6: E Juan de Fuca"/>
    <s v="NA"/>
    <x v="0"/>
    <s v="Island"/>
    <x v="1"/>
    <s v="North Puget Sound"/>
    <m/>
    <n v="410.47963206307497"/>
    <n v="617.92075274147703"/>
  </r>
  <r>
    <n v="1509"/>
    <x v="11"/>
    <s v="Marine"/>
    <x v="0"/>
    <x v="0"/>
    <n v="6"/>
    <s v="Area 6: E Juan de Fuca"/>
    <s v="Area 6: E Juan de Fuca"/>
    <s v="NA"/>
    <x v="0"/>
    <s v="Jefferson"/>
    <x v="2"/>
    <s v="Strait of Juan de Fuca"/>
    <m/>
    <n v="167.54270696451999"/>
    <n v="252.212552139378"/>
  </r>
  <r>
    <n v="1351"/>
    <x v="11"/>
    <s v="Marine"/>
    <x v="0"/>
    <x v="0"/>
    <n v="6"/>
    <s v="Area 6: E Juan de Fuca"/>
    <s v="Area 6: E Juan de Fuca"/>
    <s v="NA"/>
    <x v="0"/>
    <s v="King"/>
    <x v="3"/>
    <s v="South Puget Sound"/>
    <m/>
    <n v="435.61103810775302"/>
    <n v="655.75263556238394"/>
  </r>
  <r>
    <n v="1488"/>
    <x v="11"/>
    <s v="Marine"/>
    <x v="0"/>
    <x v="0"/>
    <n v="6"/>
    <s v="Area 6: E Juan de Fuca"/>
    <s v="Area 6: E Juan de Fuca"/>
    <s v="NA"/>
    <x v="0"/>
    <s v="Kitsap"/>
    <x v="4"/>
    <s v="South Puget Sound"/>
    <m/>
    <n v="293.19973718791101"/>
    <n v="441.37196624391203"/>
  </r>
  <r>
    <n v="1353"/>
    <x v="11"/>
    <s v="Marine"/>
    <x v="0"/>
    <x v="0"/>
    <n v="6"/>
    <s v="Area 6: E Juan de Fuca"/>
    <s v="Area 6: E Juan de Fuca"/>
    <s v="NA"/>
    <x v="0"/>
    <s v="Mason"/>
    <x v="5"/>
    <s v="South Puget Sound"/>
    <m/>
    <n v="50.262812089356103"/>
    <n v="75.663765641813498"/>
  </r>
  <r>
    <n v="1510"/>
    <x v="11"/>
    <s v="Marine"/>
    <x v="0"/>
    <x v="0"/>
    <n v="6"/>
    <s v="Area 6: E Juan de Fuca"/>
    <s v="Area 6: E Juan de Fuca"/>
    <s v="NA"/>
    <x v="0"/>
    <s v="Other"/>
    <x v="6"/>
    <s v="Non Puget Sound"/>
    <m/>
    <n v="1038.76478318003"/>
    <n v="1563.71782326415"/>
  </r>
  <r>
    <n v="1352"/>
    <x v="11"/>
    <s v="Marine"/>
    <x v="0"/>
    <x v="0"/>
    <n v="6"/>
    <s v="Area 6: E Juan de Fuca"/>
    <s v="Area 6: E Juan de Fuca"/>
    <s v="NA"/>
    <x v="0"/>
    <s v="Pierce"/>
    <x v="7"/>
    <s v="South Puget Sound"/>
    <m/>
    <n v="368.59395532194497"/>
    <n v="554.86761470663203"/>
  </r>
  <r>
    <n v="1350"/>
    <x v="11"/>
    <s v="Marine"/>
    <x v="0"/>
    <x v="0"/>
    <n v="6"/>
    <s v="Area 6: E Juan de Fuca"/>
    <s v="Area 6: E Juan de Fuca"/>
    <s v="NA"/>
    <x v="0"/>
    <s v="San Juan"/>
    <x v="12"/>
    <s v="North Puget Sound"/>
    <m/>
    <n v="33.5085413929041"/>
    <n v="50.442510427875703"/>
  </r>
  <r>
    <n v="1347"/>
    <x v="11"/>
    <s v="Marine"/>
    <x v="0"/>
    <x v="0"/>
    <n v="6"/>
    <s v="Area 6: E Juan de Fuca"/>
    <s v="Area 6: E Juan de Fuca"/>
    <s v="NA"/>
    <x v="0"/>
    <s v="Skagit"/>
    <x v="8"/>
    <s v="North Puget Sound"/>
    <m/>
    <n v="737.18791064388995"/>
    <n v="1109.73522941326"/>
  </r>
  <r>
    <n v="1348"/>
    <x v="11"/>
    <s v="Marine"/>
    <x v="0"/>
    <x v="0"/>
    <n v="6"/>
    <s v="Area 6: E Juan de Fuca"/>
    <s v="Area 6: E Juan de Fuca"/>
    <s v="NA"/>
    <x v="0"/>
    <s v="Snohomish"/>
    <x v="9"/>
    <s v="North Puget Sound"/>
    <m/>
    <n v="427.23390275952698"/>
    <n v="643.14200795541501"/>
  </r>
  <r>
    <n v="1346"/>
    <x v="11"/>
    <s v="Marine"/>
    <x v="0"/>
    <x v="0"/>
    <n v="6"/>
    <s v="Area 6: E Juan de Fuca"/>
    <s v="Area 6: E Juan de Fuca"/>
    <s v="NA"/>
    <x v="0"/>
    <s v="Whatcom"/>
    <x v="11"/>
    <s v="North Puget Sound"/>
    <m/>
    <n v="25.131406044678101"/>
    <n v="37.831882820906799"/>
  </r>
  <r>
    <n v="3533"/>
    <x v="11"/>
    <s v="Marine"/>
    <x v="0"/>
    <x v="0"/>
    <n v="7"/>
    <s v="Area 7: San Juan Islands"/>
    <s v="Area 7: San Juan Islands"/>
    <s v="NA"/>
    <x v="1"/>
    <s v="Island"/>
    <x v="1"/>
    <s v="North Puget Sound"/>
    <m/>
    <n v="147.14350797266499"/>
    <n v="297.77809338145602"/>
  </r>
  <r>
    <n v="3561"/>
    <x v="11"/>
    <s v="Marine"/>
    <x v="0"/>
    <x v="0"/>
    <n v="7"/>
    <s v="Area 7: San Juan Islands"/>
    <s v="Area 7: San Juan Islands"/>
    <s v="NA"/>
    <x v="1"/>
    <s v="Jefferson"/>
    <x v="2"/>
    <s v="Strait of Juan de Fuca"/>
    <m/>
    <n v="42.041002277904298"/>
    <n v="85.079455251844706"/>
  </r>
  <r>
    <n v="3535"/>
    <x v="11"/>
    <s v="Marine"/>
    <x v="0"/>
    <x v="0"/>
    <n v="7"/>
    <s v="Area 7: San Juan Islands"/>
    <s v="Area 7: San Juan Islands"/>
    <s v="NA"/>
    <x v="1"/>
    <s v="King"/>
    <x v="3"/>
    <s v="South Puget Sound"/>
    <m/>
    <n v="367.85876993166301"/>
    <n v="744.44523345364098"/>
  </r>
  <r>
    <n v="3560"/>
    <x v="11"/>
    <s v="Marine"/>
    <x v="0"/>
    <x v="0"/>
    <n v="7"/>
    <s v="Area 7: San Juan Islands"/>
    <s v="Area 7: San Juan Islands"/>
    <s v="NA"/>
    <x v="1"/>
    <s v="Kitsap"/>
    <x v="4"/>
    <s v="South Puget Sound"/>
    <m/>
    <n v="63.061503416856503"/>
    <n v="127.619182877767"/>
  </r>
  <r>
    <n v="3559"/>
    <x v="11"/>
    <s v="Marine"/>
    <x v="0"/>
    <x v="0"/>
    <n v="7"/>
    <s v="Area 7: San Juan Islands"/>
    <s v="Area 7: San Juan Islands"/>
    <s v="NA"/>
    <x v="1"/>
    <s v="Mason"/>
    <x v="5"/>
    <s v="South Puget Sound"/>
    <m/>
    <n v="10.510250569476099"/>
    <n v="21.269863812961201"/>
  </r>
  <r>
    <n v="3562"/>
    <x v="11"/>
    <s v="Marine"/>
    <x v="0"/>
    <x v="0"/>
    <n v="7"/>
    <s v="Area 7: San Juan Islands"/>
    <s v="Area 7: San Juan Islands"/>
    <s v="NA"/>
    <x v="1"/>
    <s v="Other"/>
    <x v="6"/>
    <s v="Non Puget Sound"/>
    <m/>
    <n v="472.96127562642403"/>
    <n v="957.14387158325303"/>
  </r>
  <r>
    <n v="3536"/>
    <x v="11"/>
    <s v="Marine"/>
    <x v="0"/>
    <x v="0"/>
    <n v="7"/>
    <s v="Area 7: San Juan Islands"/>
    <s v="Area 7: San Juan Islands"/>
    <s v="NA"/>
    <x v="1"/>
    <s v="Pierce"/>
    <x v="7"/>
    <s v="South Puget Sound"/>
    <m/>
    <n v="52.551252847380397"/>
    <n v="106.349319064806"/>
  </r>
  <r>
    <n v="3534"/>
    <x v="11"/>
    <s v="Marine"/>
    <x v="0"/>
    <x v="0"/>
    <n v="7"/>
    <s v="Area 7: San Juan Islands"/>
    <s v="Area 7: San Juan Islands"/>
    <s v="NA"/>
    <x v="1"/>
    <s v="San Juan"/>
    <x v="12"/>
    <s v="North Puget Sound"/>
    <m/>
    <n v="262.75626423690198"/>
    <n v="531.74659532402904"/>
  </r>
  <r>
    <n v="3531"/>
    <x v="11"/>
    <s v="Marine"/>
    <x v="0"/>
    <x v="0"/>
    <n v="7"/>
    <s v="Area 7: San Juan Islands"/>
    <s v="Area 7: San Juan Islands"/>
    <s v="NA"/>
    <x v="1"/>
    <s v="Skagit"/>
    <x v="8"/>
    <s v="North Puget Sound"/>
    <m/>
    <n v="1208.6788154897499"/>
    <n v="2446.03433849053"/>
  </r>
  <r>
    <n v="3532"/>
    <x v="11"/>
    <s v="Marine"/>
    <x v="0"/>
    <x v="0"/>
    <n v="7"/>
    <s v="Area 7: San Juan Islands"/>
    <s v="Area 7: San Juan Islands"/>
    <s v="NA"/>
    <x v="1"/>
    <s v="Snohomish"/>
    <x v="9"/>
    <s v="North Puget Sound"/>
    <m/>
    <n v="557.04328018223202"/>
    <n v="1127.3027820869399"/>
  </r>
  <r>
    <n v="3537"/>
    <x v="11"/>
    <s v="Marine"/>
    <x v="0"/>
    <x v="0"/>
    <n v="7"/>
    <s v="Area 7: San Juan Islands"/>
    <s v="Area 7: San Juan Islands"/>
    <s v="NA"/>
    <x v="1"/>
    <s v="Thurston"/>
    <x v="10"/>
    <s v="South Puget Sound"/>
    <m/>
    <n v="63.061503416856503"/>
    <n v="127.619182877767"/>
  </r>
  <r>
    <n v="3528"/>
    <x v="11"/>
    <s v="Marine"/>
    <x v="0"/>
    <x v="0"/>
    <n v="7"/>
    <s v="Area 7: San Juan Islands"/>
    <s v="Area 7: San Juan Islands"/>
    <s v="NA"/>
    <x v="1"/>
    <s v="Whatcom"/>
    <x v="11"/>
    <s v="North Puget Sound"/>
    <m/>
    <n v="1366.3325740318901"/>
    <n v="2765.0822956849502"/>
  </r>
  <r>
    <n v="2724"/>
    <x v="11"/>
    <s v="Marine"/>
    <x v="0"/>
    <x v="0"/>
    <n v="9"/>
    <s v="Area 9: Admiralty Inlet"/>
    <s v="Area 9: Admiralty Inlet"/>
    <s v="NA"/>
    <x v="2"/>
    <s v="Clallam"/>
    <x v="0"/>
    <s v="Strait of Juan de Fuca"/>
    <m/>
    <n v="311.85448807854101"/>
    <n v="348.96528810945699"/>
  </r>
  <r>
    <n v="2606"/>
    <x v="11"/>
    <s v="Marine"/>
    <x v="0"/>
    <x v="0"/>
    <n v="9"/>
    <s v="Area 9: Admiralty Inlet"/>
    <s v="Area 9: Admiralty Inlet"/>
    <s v="NA"/>
    <x v="2"/>
    <s v="Island"/>
    <x v="1"/>
    <s v="North Puget Sound"/>
    <m/>
    <n v="14731.0212131837"/>
    <n v="16484.0182146441"/>
  </r>
  <r>
    <n v="2725"/>
    <x v="11"/>
    <s v="Marine"/>
    <x v="0"/>
    <x v="0"/>
    <n v="9"/>
    <s v="Area 9: Admiralty Inlet"/>
    <s v="Area 9: Admiralty Inlet"/>
    <s v="NA"/>
    <x v="2"/>
    <s v="Jefferson"/>
    <x v="2"/>
    <s v="Strait of Juan de Fuca"/>
    <m/>
    <n v="1518.23895511922"/>
    <n v="1698.9099552697301"/>
  </r>
  <r>
    <n v="2607"/>
    <x v="11"/>
    <s v="Marine"/>
    <x v="0"/>
    <x v="0"/>
    <n v="9"/>
    <s v="Area 9: Admiralty Inlet"/>
    <s v="Area 9: Admiralty Inlet"/>
    <s v="NA"/>
    <x v="2"/>
    <s v="King"/>
    <x v="3"/>
    <s v="South Puget Sound"/>
    <m/>
    <n v="8075.3899018232796"/>
    <n v="9036.3643026238497"/>
  </r>
  <r>
    <n v="2723"/>
    <x v="11"/>
    <s v="Marine"/>
    <x v="0"/>
    <x v="0"/>
    <n v="9"/>
    <s v="Area 9: Admiralty Inlet"/>
    <s v="Area 9: Admiralty Inlet"/>
    <s v="NA"/>
    <x v="2"/>
    <s v="Kitsap"/>
    <x v="4"/>
    <s v="South Puget Sound"/>
    <m/>
    <n v="2199.3948106591902"/>
    <n v="2461.12361087723"/>
  </r>
  <r>
    <n v="2669"/>
    <x v="11"/>
    <s v="Marine"/>
    <x v="0"/>
    <x v="0"/>
    <n v="9"/>
    <s v="Area 9: Admiralty Inlet"/>
    <s v="Area 9: Admiralty Inlet"/>
    <s v="NA"/>
    <x v="2"/>
    <s v="Mason"/>
    <x v="5"/>
    <s v="South Puget Sound"/>
    <m/>
    <n v="57.4468793828892"/>
    <n v="64.283079388584298"/>
  </r>
  <r>
    <n v="2726"/>
    <x v="11"/>
    <s v="Marine"/>
    <x v="0"/>
    <x v="0"/>
    <n v="9"/>
    <s v="Area 9: Admiralty Inlet"/>
    <s v="Area 9: Admiralty Inlet"/>
    <s v="NA"/>
    <x v="2"/>
    <s v="Other"/>
    <x v="6"/>
    <s v="Non Puget Sound"/>
    <m/>
    <n v="4390.5829242636801"/>
    <n v="4913.0639246989404"/>
  </r>
  <r>
    <n v="2608"/>
    <x v="11"/>
    <s v="Marine"/>
    <x v="0"/>
    <x v="0"/>
    <n v="9"/>
    <s v="Area 9: Admiralty Inlet"/>
    <s v="Area 9: Admiralty Inlet"/>
    <s v="NA"/>
    <x v="2"/>
    <s v="Pierce"/>
    <x v="7"/>
    <s v="South Puget Sound"/>
    <m/>
    <n v="672.94915848527398"/>
    <n v="753.03035855198698"/>
  </r>
  <r>
    <n v="2604"/>
    <x v="11"/>
    <s v="Marine"/>
    <x v="0"/>
    <x v="0"/>
    <n v="9"/>
    <s v="Area 9: Admiralty Inlet"/>
    <s v="Area 9: Admiralty Inlet"/>
    <s v="NA"/>
    <x v="2"/>
    <s v="Skagit"/>
    <x v="8"/>
    <s v="North Puget Sound"/>
    <m/>
    <n v="919.15007012622698"/>
    <n v="1028.5292702173499"/>
  </r>
  <r>
    <n v="2605"/>
    <x v="11"/>
    <s v="Marine"/>
    <x v="0"/>
    <x v="0"/>
    <n v="9"/>
    <s v="Area 9: Admiralty Inlet"/>
    <s v="Area 9: Admiralty Inlet"/>
    <s v="NA"/>
    <x v="2"/>
    <s v="Snohomish"/>
    <x v="9"/>
    <s v="North Puget Sound"/>
    <m/>
    <n v="13253.815743338"/>
    <n v="14831.024744651901"/>
  </r>
  <r>
    <n v="2609"/>
    <x v="11"/>
    <s v="Marine"/>
    <x v="0"/>
    <x v="0"/>
    <n v="9"/>
    <s v="Area 9: Admiralty Inlet"/>
    <s v="Area 9: Admiralty Inlet"/>
    <s v="NA"/>
    <x v="2"/>
    <s v="Thurston"/>
    <x v="10"/>
    <s v="South Puget Sound"/>
    <m/>
    <n v="237.994214586255"/>
    <n v="266.31561460984898"/>
  </r>
  <r>
    <n v="2603"/>
    <x v="11"/>
    <s v="Marine"/>
    <x v="0"/>
    <x v="0"/>
    <n v="9"/>
    <s v="Area 9: Admiralty Inlet"/>
    <s v="Area 9: Admiralty Inlet"/>
    <s v="NA"/>
    <x v="2"/>
    <s v="Whatcom"/>
    <x v="11"/>
    <s v="North Puget Sound"/>
    <m/>
    <n v="443.16164095371698"/>
    <n v="495.89804099765001"/>
  </r>
  <r>
    <n v="538"/>
    <x v="11"/>
    <s v="Marine"/>
    <x v="0"/>
    <x v="0"/>
    <n v="10"/>
    <s v="Area 10: N Puget Sound"/>
    <s v="Area 10: N Puget Sound"/>
    <s v="NA"/>
    <x v="3"/>
    <s v="Clallam"/>
    <x v="0"/>
    <s v="Strait of Juan de Fuca"/>
    <m/>
    <n v="28.6883468834688"/>
    <n v="44.614984189468501"/>
  </r>
  <r>
    <n v="521"/>
    <x v="11"/>
    <s v="Marine"/>
    <x v="0"/>
    <x v="0"/>
    <n v="10"/>
    <s v="Area 10: N Puget Sound"/>
    <s v="Area 10: N Puget Sound"/>
    <s v="NA"/>
    <x v="3"/>
    <s v="Island"/>
    <x v="1"/>
    <s v="North Puget Sound"/>
    <m/>
    <n v="164.95799457994599"/>
    <n v="256.53615908944403"/>
  </r>
  <r>
    <n v="539"/>
    <x v="11"/>
    <s v="Marine"/>
    <x v="0"/>
    <x v="0"/>
    <n v="10"/>
    <s v="Area 10: N Puget Sound"/>
    <s v="Area 10: N Puget Sound"/>
    <s v="NA"/>
    <x v="3"/>
    <s v="Jefferson"/>
    <x v="2"/>
    <s v="Strait of Juan de Fuca"/>
    <m/>
    <n v="114.753387533875"/>
    <n v="178.459936757874"/>
  </r>
  <r>
    <n v="523"/>
    <x v="11"/>
    <s v="Marine"/>
    <x v="0"/>
    <x v="0"/>
    <n v="10"/>
    <s v="Area 10: N Puget Sound"/>
    <s v="Area 10: N Puget Sound"/>
    <s v="NA"/>
    <x v="3"/>
    <s v="King"/>
    <x v="3"/>
    <s v="South Puget Sound"/>
    <m/>
    <n v="18790.867208672102"/>
    <n v="29222.814644101902"/>
  </r>
  <r>
    <n v="537"/>
    <x v="11"/>
    <s v="Marine"/>
    <x v="0"/>
    <x v="0"/>
    <n v="10"/>
    <s v="Area 10: N Puget Sound"/>
    <s v="Area 10: N Puget Sound"/>
    <s v="NA"/>
    <x v="3"/>
    <s v="Kitsap"/>
    <x v="4"/>
    <s v="South Puget Sound"/>
    <m/>
    <n v="4475.3821138211397"/>
    <n v="6959.9375335570903"/>
  </r>
  <r>
    <n v="536"/>
    <x v="11"/>
    <s v="Marine"/>
    <x v="0"/>
    <x v="0"/>
    <n v="10"/>
    <s v="Area 10: N Puget Sound"/>
    <s v="Area 10: N Puget Sound"/>
    <s v="NA"/>
    <x v="3"/>
    <s v="Mason"/>
    <x v="5"/>
    <s v="South Puget Sound"/>
    <m/>
    <n v="157.785907859079"/>
    <n v="245.38241304207699"/>
  </r>
  <r>
    <n v="540"/>
    <x v="11"/>
    <s v="Marine"/>
    <x v="0"/>
    <x v="0"/>
    <n v="10"/>
    <s v="Area 10: N Puget Sound"/>
    <s v="Area 10: N Puget Sound"/>
    <s v="NA"/>
    <x v="3"/>
    <s v="Other"/>
    <x v="6"/>
    <s v="Non Puget Sound"/>
    <m/>
    <n v="4253.0474254742603"/>
    <n v="6614.1714060886998"/>
  </r>
  <r>
    <n v="524"/>
    <x v="11"/>
    <s v="Marine"/>
    <x v="0"/>
    <x v="0"/>
    <n v="10"/>
    <s v="Area 10: N Puget Sound"/>
    <s v="Area 10: N Puget Sound"/>
    <s v="NA"/>
    <x v="3"/>
    <s v="Pierce"/>
    <x v="7"/>
    <s v="South Puget Sound"/>
    <m/>
    <n v="1140.3617886178899"/>
    <n v="1773.4456215313701"/>
  </r>
  <r>
    <n v="522"/>
    <x v="11"/>
    <s v="Marine"/>
    <x v="0"/>
    <x v="0"/>
    <n v="10"/>
    <s v="Area 10: N Puget Sound"/>
    <s v="Area 10: N Puget Sound"/>
    <s v="NA"/>
    <x v="3"/>
    <s v="San Juan"/>
    <x v="12"/>
    <s v="North Puget Sound"/>
    <m/>
    <n v="50.2046070460705"/>
    <n v="78.076222331569895"/>
  </r>
  <r>
    <n v="519"/>
    <x v="11"/>
    <s v="Marine"/>
    <x v="0"/>
    <x v="0"/>
    <n v="10"/>
    <s v="Area 10: N Puget Sound"/>
    <s v="Area 10: N Puget Sound"/>
    <s v="NA"/>
    <x v="3"/>
    <s v="Skagit"/>
    <x v="8"/>
    <s v="North Puget Sound"/>
    <m/>
    <n v="100.409214092141"/>
    <n v="156.15244466313999"/>
  </r>
  <r>
    <n v="520"/>
    <x v="11"/>
    <s v="Marine"/>
    <x v="0"/>
    <x v="0"/>
    <n v="10"/>
    <s v="Area 10: N Puget Sound"/>
    <s v="Area 10: N Puget Sound"/>
    <s v="NA"/>
    <x v="3"/>
    <s v="Snohomish"/>
    <x v="9"/>
    <s v="North Puget Sound"/>
    <m/>
    <n v="7530.6910569105703"/>
    <n v="11711.4333497355"/>
  </r>
  <r>
    <n v="525"/>
    <x v="11"/>
    <s v="Marine"/>
    <x v="0"/>
    <x v="0"/>
    <n v="10"/>
    <s v="Area 10: N Puget Sound"/>
    <s v="Area 10: N Puget Sound"/>
    <s v="NA"/>
    <x v="3"/>
    <s v="Thurston"/>
    <x v="10"/>
    <s v="South Puget Sound"/>
    <m/>
    <n v="136.26964769647699"/>
    <n v="211.921174899975"/>
  </r>
  <r>
    <n v="518"/>
    <x v="11"/>
    <s v="Marine"/>
    <x v="0"/>
    <x v="0"/>
    <n v="10"/>
    <s v="Area 10: N Puget Sound"/>
    <s v="Area 10: N Puget Sound"/>
    <s v="NA"/>
    <x v="3"/>
    <s v="Whatcom"/>
    <x v="11"/>
    <s v="North Puget Sound"/>
    <m/>
    <n v="107.581300813008"/>
    <n v="167.306190710507"/>
  </r>
  <r>
    <n v="621"/>
    <x v="11"/>
    <s v="Marine"/>
    <x v="0"/>
    <x v="0"/>
    <n v="11"/>
    <s v="Area 11: Mid-Puget Sound"/>
    <s v="Area 11: Mid-Puget Sound"/>
    <s v="NA"/>
    <x v="3"/>
    <s v="Clallam"/>
    <x v="0"/>
    <s v="Strait of Juan de Fuca"/>
    <m/>
    <n v="6.13256658595642"/>
    <n v="25.331182475675799"/>
  </r>
  <r>
    <n v="622"/>
    <x v="11"/>
    <s v="Marine"/>
    <x v="0"/>
    <x v="0"/>
    <n v="11"/>
    <s v="Area 11: Mid-Puget Sound"/>
    <s v="Area 11: Mid-Puget Sound"/>
    <s v="NA"/>
    <x v="3"/>
    <s v="Jefferson"/>
    <x v="2"/>
    <s v="Strait of Juan de Fuca"/>
    <m/>
    <n v="12.265133171912799"/>
    <n v="50.662364951351599"/>
  </r>
  <r>
    <n v="616"/>
    <x v="11"/>
    <s v="Marine"/>
    <x v="0"/>
    <x v="0"/>
    <n v="11"/>
    <s v="Area 11: Mid-Puget Sound"/>
    <s v="Area 11: Mid-Puget Sound"/>
    <s v="NA"/>
    <x v="3"/>
    <s v="King"/>
    <x v="3"/>
    <s v="South Puget Sound"/>
    <m/>
    <n v="4519.7015738498803"/>
    <n v="18669.0814845731"/>
  </r>
  <r>
    <n v="620"/>
    <x v="11"/>
    <s v="Marine"/>
    <x v="0"/>
    <x v="0"/>
    <n v="11"/>
    <s v="Area 11: Mid-Puget Sound"/>
    <s v="Area 11: Mid-Puget Sound"/>
    <s v="NA"/>
    <x v="3"/>
    <s v="Kitsap"/>
    <x v="4"/>
    <s v="South Puget Sound"/>
    <m/>
    <n v="343.42372881355902"/>
    <n v="1418.54621863784"/>
  </r>
  <r>
    <n v="619"/>
    <x v="11"/>
    <s v="Marine"/>
    <x v="0"/>
    <x v="0"/>
    <n v="11"/>
    <s v="Area 11: Mid-Puget Sound"/>
    <s v="Area 11: Mid-Puget Sound"/>
    <s v="NA"/>
    <x v="3"/>
    <s v="Mason"/>
    <x v="5"/>
    <s v="South Puget Sound"/>
    <m/>
    <n v="24.530266343825701"/>
    <n v="101.324729902703"/>
  </r>
  <r>
    <n v="623"/>
    <x v="11"/>
    <s v="Marine"/>
    <x v="0"/>
    <x v="0"/>
    <n v="11"/>
    <s v="Area 11: Mid-Puget Sound"/>
    <s v="Area 11: Mid-Puget Sound"/>
    <s v="NA"/>
    <x v="3"/>
    <s v="Other"/>
    <x v="6"/>
    <s v="Non Puget Sound"/>
    <m/>
    <n v="361.82142857142901"/>
    <n v="1494.53976606487"/>
  </r>
  <r>
    <n v="617"/>
    <x v="11"/>
    <s v="Marine"/>
    <x v="0"/>
    <x v="0"/>
    <n v="11"/>
    <s v="Area 11: Mid-Puget Sound"/>
    <s v="Area 11: Mid-Puget Sound"/>
    <s v="NA"/>
    <x v="3"/>
    <s v="Pierce"/>
    <x v="7"/>
    <s v="South Puget Sound"/>
    <m/>
    <n v="4587.1598062953999"/>
    <n v="18947.7244918055"/>
  </r>
  <r>
    <n v="614"/>
    <x v="11"/>
    <s v="Marine"/>
    <x v="0"/>
    <x v="0"/>
    <n v="11"/>
    <s v="Area 11: Mid-Puget Sound"/>
    <s v="Area 11: Mid-Puget Sound"/>
    <s v="NA"/>
    <x v="3"/>
    <s v="Skagit"/>
    <x v="8"/>
    <s v="North Puget Sound"/>
    <m/>
    <n v="24.530266343825701"/>
    <n v="101.324729902703"/>
  </r>
  <r>
    <n v="615"/>
    <x v="11"/>
    <s v="Marine"/>
    <x v="0"/>
    <x v="0"/>
    <n v="11"/>
    <s v="Area 11: Mid-Puget Sound"/>
    <s v="Area 11: Mid-Puget Sound"/>
    <s v="NA"/>
    <x v="3"/>
    <s v="Snohomish"/>
    <x v="9"/>
    <s v="North Puget Sound"/>
    <m/>
    <n v="98.121065375302706"/>
    <n v="405.29891961081302"/>
  </r>
  <r>
    <n v="618"/>
    <x v="11"/>
    <s v="Marine"/>
    <x v="0"/>
    <x v="0"/>
    <n v="11"/>
    <s v="Area 11: Mid-Puget Sound"/>
    <s v="Area 11: Mid-Puget Sound"/>
    <s v="NA"/>
    <x v="3"/>
    <s v="Thurston"/>
    <x v="10"/>
    <s v="South Puget Sound"/>
    <m/>
    <n v="141.04903147699801"/>
    <n v="582.61719694054295"/>
  </r>
  <r>
    <n v="541"/>
    <x v="11"/>
    <s v="Marine"/>
    <x v="0"/>
    <x v="0"/>
    <n v="11"/>
    <s v="Area 11: Mid-Puget Sound"/>
    <s v="Area 11: Mid-Puget Sound"/>
    <s v="NA"/>
    <x v="3"/>
    <s v="Whatcom"/>
    <x v="11"/>
    <s v="North Puget Sound"/>
    <m/>
    <n v="12.265133171912799"/>
    <n v="50.662364951351599"/>
  </r>
  <r>
    <n v="1244"/>
    <x v="11"/>
    <s v="Marine"/>
    <x v="0"/>
    <x v="0"/>
    <n v="12"/>
    <s v="Area 12: Hood Canal"/>
    <s v="Area 12: Hood Canal"/>
    <s v="NA"/>
    <x v="4"/>
    <s v="Clallam"/>
    <x v="0"/>
    <s v="Strait of Juan de Fuca"/>
    <m/>
    <n v="164.06374501991999"/>
    <n v="80.134857259176698"/>
  </r>
  <r>
    <n v="1142"/>
    <x v="11"/>
    <s v="Marine"/>
    <x v="0"/>
    <x v="0"/>
    <n v="12"/>
    <s v="Area 12: Hood Canal"/>
    <s v="Area 12: Hood Canal"/>
    <s v="NA"/>
    <x v="4"/>
    <s v="Island"/>
    <x v="1"/>
    <s v="North Puget Sound"/>
    <m/>
    <n v="32.812749003984102"/>
    <n v="16.026971451835301"/>
  </r>
  <r>
    <n v="1245"/>
    <x v="11"/>
    <s v="Marine"/>
    <x v="0"/>
    <x v="0"/>
    <n v="12"/>
    <s v="Area 12: Hood Canal"/>
    <s v="Area 12: Hood Canal"/>
    <s v="NA"/>
    <x v="4"/>
    <s v="Jefferson"/>
    <x v="2"/>
    <s v="Strait of Juan de Fuca"/>
    <m/>
    <n v="1181.2589641434299"/>
    <n v="576.97097226607195"/>
  </r>
  <r>
    <n v="1239"/>
    <x v="11"/>
    <s v="Marine"/>
    <x v="0"/>
    <x v="0"/>
    <n v="12"/>
    <s v="Area 12: Hood Canal"/>
    <s v="Area 12: Hood Canal"/>
    <s v="NA"/>
    <x v="4"/>
    <s v="King"/>
    <x v="3"/>
    <s v="South Puget Sound"/>
    <m/>
    <n v="1476.5737051792801"/>
    <n v="721.21371533259003"/>
  </r>
  <r>
    <n v="1243"/>
    <x v="11"/>
    <s v="Marine"/>
    <x v="0"/>
    <x v="0"/>
    <n v="12"/>
    <s v="Area 12: Hood Canal"/>
    <s v="Area 12: Hood Canal"/>
    <s v="NA"/>
    <x v="4"/>
    <s v="Kitsap"/>
    <x v="4"/>
    <s v="South Puget Sound"/>
    <m/>
    <n v="1203.13413014608"/>
    <n v="587.65561990062895"/>
  </r>
  <r>
    <n v="1242"/>
    <x v="11"/>
    <s v="Marine"/>
    <x v="0"/>
    <x v="0"/>
    <n v="12"/>
    <s v="Area 12: Hood Canal"/>
    <s v="Area 12: Hood Canal"/>
    <s v="NA"/>
    <x v="4"/>
    <s v="Mason"/>
    <x v="5"/>
    <s v="South Puget Sound"/>
    <m/>
    <n v="1443.7609561753"/>
    <n v="705.18674388075499"/>
  </r>
  <r>
    <n v="1246"/>
    <x v="11"/>
    <s v="Marine"/>
    <x v="0"/>
    <x v="0"/>
    <n v="12"/>
    <s v="Area 12: Hood Canal"/>
    <s v="Area 12: Hood Canal"/>
    <s v="NA"/>
    <x v="4"/>
    <s v="Other"/>
    <x v="6"/>
    <s v="Non Puget Sound"/>
    <m/>
    <n v="623.44223107569701"/>
    <n v="304.51245758487102"/>
  </r>
  <r>
    <n v="1240"/>
    <x v="11"/>
    <s v="Marine"/>
    <x v="0"/>
    <x v="0"/>
    <n v="12"/>
    <s v="Area 12: Hood Canal"/>
    <s v="Area 12: Hood Canal"/>
    <s v="NA"/>
    <x v="4"/>
    <s v="Pierce"/>
    <x v="7"/>
    <s v="South Puget Sound"/>
    <m/>
    <n v="907.81938911022598"/>
    <n v="443.41287683411099"/>
  </r>
  <r>
    <n v="1141"/>
    <x v="11"/>
    <s v="Marine"/>
    <x v="0"/>
    <x v="0"/>
    <n v="12"/>
    <s v="Area 12: Hood Canal"/>
    <s v="Area 12: Hood Canal"/>
    <s v="NA"/>
    <x v="4"/>
    <s v="Snohomish"/>
    <x v="9"/>
    <s v="North Puget Sound"/>
    <m/>
    <n v="514.06640106241696"/>
    <n v="251.089219412087"/>
  </r>
  <r>
    <n v="1241"/>
    <x v="11"/>
    <s v="Marine"/>
    <x v="0"/>
    <x v="0"/>
    <n v="12"/>
    <s v="Area 12: Hood Canal"/>
    <s v="Area 12: Hood Canal"/>
    <s v="NA"/>
    <x v="4"/>
    <s v="Thurston"/>
    <x v="10"/>
    <s v="South Puget Sound"/>
    <m/>
    <n v="678.13014608233698"/>
    <n v="331.22407667126402"/>
  </r>
  <r>
    <n v="1140"/>
    <x v="11"/>
    <s v="Marine"/>
    <x v="0"/>
    <x v="0"/>
    <n v="12"/>
    <s v="Area 12: Hood Canal"/>
    <s v="Area 12: Hood Canal"/>
    <s v="NA"/>
    <x v="4"/>
    <s v="Whatcom"/>
    <x v="11"/>
    <s v="North Puget Sound"/>
    <m/>
    <n v="10.937583001328001"/>
    <n v="5.34232381727844"/>
  </r>
  <r>
    <n v="624"/>
    <x v="11"/>
    <s v="Marine"/>
    <x v="0"/>
    <x v="0"/>
    <n v="13"/>
    <s v="Area 13: S Puget Sound"/>
    <s v="Area 13: S Puget Sound"/>
    <s v="NA"/>
    <x v="3"/>
    <s v="King"/>
    <x v="3"/>
    <s v="South Puget Sound"/>
    <m/>
    <n v="901.74701670644401"/>
    <n v="1108.1552233249299"/>
  </r>
  <r>
    <n v="628"/>
    <x v="11"/>
    <s v="Marine"/>
    <x v="0"/>
    <x v="0"/>
    <n v="13"/>
    <s v="Area 13: S Puget Sound"/>
    <s v="Area 13: S Puget Sound"/>
    <s v="NA"/>
    <x v="3"/>
    <s v="Kitsap"/>
    <x v="4"/>
    <s v="South Puget Sound"/>
    <m/>
    <n v="64.410501193317501"/>
    <n v="79.153944523209105"/>
  </r>
  <r>
    <n v="627"/>
    <x v="11"/>
    <s v="Marine"/>
    <x v="0"/>
    <x v="0"/>
    <n v="13"/>
    <s v="Area 13: S Puget Sound"/>
    <s v="Area 13: S Puget Sound"/>
    <s v="NA"/>
    <x v="3"/>
    <s v="Mason"/>
    <x v="5"/>
    <s v="South Puget Sound"/>
    <m/>
    <n v="740.72076372314996"/>
    <n v="910.27036201690498"/>
  </r>
  <r>
    <n v="629"/>
    <x v="11"/>
    <s v="Marine"/>
    <x v="0"/>
    <x v="0"/>
    <n v="13"/>
    <s v="Area 13: S Puget Sound"/>
    <s v="Area 13: S Puget Sound"/>
    <s v="NA"/>
    <x v="3"/>
    <s v="Other"/>
    <x v="6"/>
    <s v="Non Puget Sound"/>
    <m/>
    <n v="150.29116945107401"/>
    <n v="184.69253722082101"/>
  </r>
  <r>
    <n v="625"/>
    <x v="11"/>
    <s v="Marine"/>
    <x v="0"/>
    <x v="0"/>
    <n v="13"/>
    <s v="Area 13: S Puget Sound"/>
    <s v="Area 13: S Puget Sound"/>
    <s v="NA"/>
    <x v="3"/>
    <s v="Pierce"/>
    <x v="7"/>
    <s v="South Puget Sound"/>
    <m/>
    <n v="1320.4152744630101"/>
    <n v="1622.65586272579"/>
  </r>
  <r>
    <n v="626"/>
    <x v="11"/>
    <s v="Marine"/>
    <x v="0"/>
    <x v="0"/>
    <n v="13"/>
    <s v="Area 13: S Puget Sound"/>
    <s v="Area 13: S Puget Sound"/>
    <s v="NA"/>
    <x v="3"/>
    <s v="Thurston"/>
    <x v="10"/>
    <s v="South Puget Sound"/>
    <m/>
    <n v="1320.4152744630101"/>
    <n v="1622.65586272579"/>
  </r>
  <r>
    <n v="2375"/>
    <x v="11"/>
    <s v="Marine"/>
    <x v="0"/>
    <x v="0"/>
    <d v="2023-08-01T00:00:00"/>
    <s v="Area 8-1: Skagit Bay-Saratoga Psg."/>
    <s v="Area 8-1: Skagit Bay-Saratoga Psg."/>
    <s v="NA"/>
    <x v="2"/>
    <s v="Island"/>
    <x v="1"/>
    <s v="North Puget Sound"/>
    <m/>
    <n v="581.69950738916305"/>
    <n v="587.59684548376697"/>
  </r>
  <r>
    <n v="2476"/>
    <x v="11"/>
    <s v="Marine"/>
    <x v="0"/>
    <x v="0"/>
    <d v="2023-08-01T00:00:00"/>
    <s v="Area 8-1: Skagit Bay-Saratoga Psg."/>
    <s v="Area 8-1: Skagit Bay-Saratoga Psg."/>
    <s v="NA"/>
    <x v="2"/>
    <s v="King"/>
    <x v="3"/>
    <s v="South Puget Sound"/>
    <m/>
    <n v="296.13793103448302"/>
    <n v="299.14021224628101"/>
  </r>
  <r>
    <n v="2478"/>
    <x v="11"/>
    <s v="Marine"/>
    <x v="0"/>
    <x v="0"/>
    <d v="2023-08-01T00:00:00"/>
    <s v="Area 8-1: Skagit Bay-Saratoga Psg."/>
    <s v="Area 8-1: Skagit Bay-Saratoga Psg."/>
    <s v="NA"/>
    <x v="2"/>
    <s v="Other"/>
    <x v="6"/>
    <s v="Non Puget Sound"/>
    <m/>
    <n v="211.52709359605899"/>
    <n v="213.67158017591501"/>
  </r>
  <r>
    <n v="2477"/>
    <x v="11"/>
    <s v="Marine"/>
    <x v="0"/>
    <x v="0"/>
    <d v="2023-08-01T00:00:00"/>
    <s v="Area 8-1: Skagit Bay-Saratoga Psg."/>
    <s v="Area 8-1: Skagit Bay-Saratoga Psg."/>
    <s v="NA"/>
    <x v="2"/>
    <s v="Pierce"/>
    <x v="7"/>
    <s v="South Puget Sound"/>
    <m/>
    <n v="10.576354679803"/>
    <n v="10.6835790087958"/>
  </r>
  <r>
    <n v="2373"/>
    <x v="11"/>
    <s v="Marine"/>
    <x v="0"/>
    <x v="0"/>
    <d v="2023-08-01T00:00:00"/>
    <s v="Area 8-1: Skagit Bay-Saratoga Psg."/>
    <s v="Area 8-1: Skagit Bay-Saratoga Psg."/>
    <s v="NA"/>
    <x v="2"/>
    <s v="Skagit"/>
    <x v="8"/>
    <s v="North Puget Sound"/>
    <m/>
    <n v="708.61576354679801"/>
    <n v="715.79979358931598"/>
  </r>
  <r>
    <n v="2374"/>
    <x v="11"/>
    <s v="Marine"/>
    <x v="0"/>
    <x v="0"/>
    <d v="2023-08-01T00:00:00"/>
    <s v="Area 8-1: Skagit Bay-Saratoga Psg."/>
    <s v="Area 8-1: Skagit Bay-Saratoga Psg."/>
    <s v="NA"/>
    <x v="2"/>
    <s v="Snohomish"/>
    <x v="9"/>
    <s v="North Puget Sound"/>
    <m/>
    <n v="232.679802955665"/>
    <n v="235.03873819350699"/>
  </r>
  <r>
    <n v="2372"/>
    <x v="11"/>
    <s v="Marine"/>
    <x v="0"/>
    <x v="0"/>
    <d v="2023-08-01T00:00:00"/>
    <s v="Area 8-1: Skagit Bay-Saratoga Psg."/>
    <s v="Area 8-1: Skagit Bay-Saratoga Psg."/>
    <s v="NA"/>
    <x v="2"/>
    <s v="Whatcom"/>
    <x v="11"/>
    <s v="North Puget Sound"/>
    <m/>
    <n v="105.76354679803001"/>
    <n v="106.835790087958"/>
  </r>
  <r>
    <n v="2482"/>
    <x v="11"/>
    <s v="Marine"/>
    <x v="0"/>
    <x v="0"/>
    <d v="2023-08-02T00:00:00"/>
    <s v="Area 8-2: Port Susan-Port Gardner"/>
    <s v="Area 8-2: Port Susan-Port Gardner"/>
    <s v="NA"/>
    <x v="2"/>
    <s v="Island"/>
    <x v="1"/>
    <s v="North Puget Sound"/>
    <m/>
    <n v="759.53018223234596"/>
    <n v="791.55383470484105"/>
  </r>
  <r>
    <n v="2601"/>
    <x v="11"/>
    <s v="Marine"/>
    <x v="0"/>
    <x v="0"/>
    <d v="2023-08-02T00:00:00"/>
    <s v="Area 8-2: Port Susan-Port Gardner"/>
    <s v="Area 8-2: Port Susan-Port Gardner"/>
    <s v="NA"/>
    <x v="2"/>
    <s v="Jefferson"/>
    <x v="2"/>
    <s v="Strait of Juan de Fuca"/>
    <m/>
    <n v="21.395216400911199"/>
    <n v="22.2972911184462"/>
  </r>
  <r>
    <n v="2483"/>
    <x v="11"/>
    <s v="Marine"/>
    <x v="0"/>
    <x v="0"/>
    <d v="2023-08-02T00:00:00"/>
    <s v="Area 8-2: Port Susan-Port Gardner"/>
    <s v="Area 8-2: Port Susan-Port Gardner"/>
    <s v="NA"/>
    <x v="2"/>
    <s v="King"/>
    <x v="3"/>
    <s v="South Puget Sound"/>
    <m/>
    <n v="2792.07574031891"/>
    <n v="2909.7964909572302"/>
  </r>
  <r>
    <n v="2600"/>
    <x v="11"/>
    <s v="Marine"/>
    <x v="0"/>
    <x v="0"/>
    <d v="2023-08-02T00:00:00"/>
    <s v="Area 8-2: Port Susan-Port Gardner"/>
    <s v="Area 8-2: Port Susan-Port Gardner"/>
    <s v="NA"/>
    <x v="2"/>
    <s v="Kitsap"/>
    <x v="4"/>
    <s v="South Puget Sound"/>
    <m/>
    <n v="224.649772209567"/>
    <n v="234.12155674368501"/>
  </r>
  <r>
    <n v="2602"/>
    <x v="11"/>
    <s v="Marine"/>
    <x v="0"/>
    <x v="0"/>
    <d v="2023-08-02T00:00:00"/>
    <s v="Area 8-2: Port Susan-Port Gardner"/>
    <s v="Area 8-2: Port Susan-Port Gardner"/>
    <s v="NA"/>
    <x v="2"/>
    <s v="Other"/>
    <x v="6"/>
    <s v="Non Puget Sound"/>
    <m/>
    <n v="1433.4794988610499"/>
    <n v="1493.9185049359"/>
  </r>
  <r>
    <n v="2484"/>
    <x v="11"/>
    <s v="Marine"/>
    <x v="0"/>
    <x v="0"/>
    <d v="2023-08-02T00:00:00"/>
    <s v="Area 8-2: Port Susan-Port Gardner"/>
    <s v="Area 8-2: Port Susan-Port Gardner"/>
    <s v="NA"/>
    <x v="2"/>
    <s v="Pierce"/>
    <x v="7"/>
    <s v="South Puget Sound"/>
    <m/>
    <n v="267.44020501138999"/>
    <n v="278.71613898057802"/>
  </r>
  <r>
    <n v="2480"/>
    <x v="11"/>
    <s v="Marine"/>
    <x v="0"/>
    <x v="0"/>
    <d v="2023-08-02T00:00:00"/>
    <s v="Area 8-2: Port Susan-Port Gardner"/>
    <s v="Area 8-2: Port Susan-Port Gardner"/>
    <s v="NA"/>
    <x v="2"/>
    <s v="Skagit"/>
    <x v="8"/>
    <s v="North Puget Sound"/>
    <m/>
    <n v="353.02107061503398"/>
    <n v="367.90530345436298"/>
  </r>
  <r>
    <n v="2481"/>
    <x v="11"/>
    <s v="Marine"/>
    <x v="0"/>
    <x v="0"/>
    <d v="2023-08-02T00:00:00"/>
    <s v="Area 8-2: Port Susan-Port Gardner"/>
    <s v="Area 8-2: Port Susan-Port Gardner"/>
    <s v="NA"/>
    <x v="2"/>
    <s v="Snohomish"/>
    <x v="9"/>
    <s v="North Puget Sound"/>
    <m/>
    <n v="12430.6207289294"/>
    <n v="12954.7261398173"/>
  </r>
  <r>
    <n v="2542"/>
    <x v="11"/>
    <s v="Marine"/>
    <x v="0"/>
    <x v="0"/>
    <d v="2023-08-02T00:00:00"/>
    <s v="Area 8-2: Port Susan-Port Gardner"/>
    <s v="Area 8-2: Port Susan-Port Gardner"/>
    <s v="NA"/>
    <x v="2"/>
    <s v="Thurston"/>
    <x v="10"/>
    <s v="South Puget Sound"/>
    <m/>
    <n v="149.76651480637801"/>
    <n v="156.081037829124"/>
  </r>
  <r>
    <n v="2479"/>
    <x v="11"/>
    <s v="Marine"/>
    <x v="0"/>
    <x v="0"/>
    <d v="2023-08-02T00:00:00"/>
    <s v="Area 8-2: Port Susan-Port Gardner"/>
    <s v="Area 8-2: Port Susan-Port Gardner"/>
    <s v="NA"/>
    <x v="2"/>
    <s v="Whatcom"/>
    <x v="11"/>
    <s v="North Puget Sound"/>
    <m/>
    <n v="353.02107061503398"/>
    <n v="367.90530345436298"/>
  </r>
  <r>
    <n v="2728"/>
    <x v="0"/>
    <s v="Marine"/>
    <x v="0"/>
    <x v="1"/>
    <n v="9"/>
    <s v="Area 9: Admiralty Inlet"/>
    <s v="Area 9: Admiralty Inlet"/>
    <s v="NA"/>
    <x v="2"/>
    <s v="Island"/>
    <x v="1"/>
    <s v="North Puget Sound"/>
    <m/>
    <n v="49.256410256410298"/>
    <n v="420.64974358974399"/>
  </r>
  <r>
    <n v="2730"/>
    <x v="0"/>
    <s v="Marine"/>
    <x v="0"/>
    <x v="1"/>
    <n v="9"/>
    <s v="Area 9: Admiralty Inlet"/>
    <s v="Area 9: Admiralty Inlet"/>
    <s v="NA"/>
    <x v="2"/>
    <s v="Jefferson"/>
    <x v="2"/>
    <s v="Strait of Juan de Fuca"/>
    <m/>
    <n v="5.7948717948718"/>
    <n v="49.488205128205202"/>
  </r>
  <r>
    <n v="2729"/>
    <x v="0"/>
    <s v="Marine"/>
    <x v="0"/>
    <x v="1"/>
    <n v="9"/>
    <s v="Area 9: Admiralty Inlet"/>
    <s v="Area 9: Admiralty Inlet"/>
    <s v="NA"/>
    <x v="2"/>
    <s v="King"/>
    <x v="3"/>
    <s v="South Puget Sound"/>
    <m/>
    <n v="11.5897435897436"/>
    <n v="98.976410256410304"/>
  </r>
  <r>
    <n v="2731"/>
    <x v="0"/>
    <s v="Marine"/>
    <x v="0"/>
    <x v="1"/>
    <n v="9"/>
    <s v="Area 9: Admiralty Inlet"/>
    <s v="Area 9: Admiralty Inlet"/>
    <s v="NA"/>
    <x v="2"/>
    <s v="Other"/>
    <x v="6"/>
    <s v="Non Puget Sound"/>
    <m/>
    <n v="2.8974358974359"/>
    <n v="24.744102564102601"/>
  </r>
  <r>
    <n v="2727"/>
    <x v="0"/>
    <s v="Marine"/>
    <x v="0"/>
    <x v="1"/>
    <n v="9"/>
    <s v="Area 9: Admiralty Inlet"/>
    <s v="Area 9: Admiralty Inlet"/>
    <s v="NA"/>
    <x v="2"/>
    <s v="Snohomish"/>
    <x v="9"/>
    <s v="North Puget Sound"/>
    <m/>
    <n v="43.461538461538503"/>
    <n v="371.16153846153901"/>
  </r>
  <r>
    <n v="2841"/>
    <x v="1"/>
    <s v="Marine"/>
    <x v="0"/>
    <x v="1"/>
    <n v="9"/>
    <s v="Area 9: Admiralty Inlet"/>
    <s v="Area 9: Admiralty Inlet"/>
    <s v="NA"/>
    <x v="2"/>
    <s v="Island"/>
    <x v="1"/>
    <s v="North Puget Sound"/>
    <m/>
    <n v="127.05"/>
    <n v="2356.7775000000001"/>
  </r>
  <r>
    <n v="2842"/>
    <x v="1"/>
    <s v="Marine"/>
    <x v="0"/>
    <x v="1"/>
    <n v="9"/>
    <s v="Area 9: Admiralty Inlet"/>
    <s v="Area 9: Admiralty Inlet"/>
    <s v="NA"/>
    <x v="2"/>
    <s v="King"/>
    <x v="3"/>
    <s v="South Puget Sound"/>
    <m/>
    <n v="3.85"/>
    <n v="71.417500000000004"/>
  </r>
  <r>
    <n v="1354"/>
    <x v="1"/>
    <s v="Marine"/>
    <x v="0"/>
    <x v="1"/>
    <n v="9"/>
    <s v="Area 9: Admiralty Inlet"/>
    <s v="Area 9: Admiralty Inlet"/>
    <s v="NA"/>
    <x v="2"/>
    <s v="Other"/>
    <x v="6"/>
    <s v="Non Puget Sound"/>
    <m/>
    <n v="3.85"/>
    <n v="71.417500000000004"/>
  </r>
  <r>
    <n v="2839"/>
    <x v="1"/>
    <s v="Marine"/>
    <x v="0"/>
    <x v="1"/>
    <n v="9"/>
    <s v="Area 9: Admiralty Inlet"/>
    <s v="Area 9: Admiralty Inlet"/>
    <s v="NA"/>
    <x v="2"/>
    <s v="Skagit"/>
    <x v="8"/>
    <s v="North Puget Sound"/>
    <m/>
    <n v="3.85"/>
    <n v="71.417500000000004"/>
  </r>
  <r>
    <n v="2840"/>
    <x v="1"/>
    <s v="Marine"/>
    <x v="0"/>
    <x v="1"/>
    <n v="9"/>
    <s v="Area 9: Admiralty Inlet"/>
    <s v="Area 9: Admiralty Inlet"/>
    <s v="NA"/>
    <x v="2"/>
    <s v="Snohomish"/>
    <x v="9"/>
    <s v="North Puget Sound"/>
    <m/>
    <n v="15.4"/>
    <n v="285.67"/>
  </r>
  <r>
    <n v="2836"/>
    <x v="1"/>
    <s v="Marine"/>
    <x v="0"/>
    <x v="1"/>
    <n v="81"/>
    <s v="Area 8-1: Skagit Bay-Saratoga Psg."/>
    <s v="Area 8-1: Skagit Bay-Saratoga Psg."/>
    <s v="NA"/>
    <x v="2"/>
    <s v="Island"/>
    <x v="1"/>
    <s v="North Puget Sound"/>
    <m/>
    <n v="4.5"/>
    <n v="83.474999999999994"/>
  </r>
  <r>
    <n v="2837"/>
    <x v="1"/>
    <s v="Marine"/>
    <x v="0"/>
    <x v="1"/>
    <n v="81"/>
    <s v="Area 8-1: Skagit Bay-Saratoga Psg."/>
    <s v="Area 8-1: Skagit Bay-Saratoga Psg."/>
    <s v="NA"/>
    <x v="2"/>
    <s v="Pierce"/>
    <x v="7"/>
    <s v="South Puget Sound"/>
    <m/>
    <n v="9"/>
    <n v="166.95"/>
  </r>
  <r>
    <n v="2835"/>
    <x v="1"/>
    <s v="Marine"/>
    <x v="0"/>
    <x v="1"/>
    <n v="81"/>
    <s v="Area 8-1: Skagit Bay-Saratoga Psg."/>
    <s v="Area 8-1: Skagit Bay-Saratoga Psg."/>
    <s v="NA"/>
    <x v="2"/>
    <s v="Snohomish"/>
    <x v="9"/>
    <s v="North Puget Sound"/>
    <m/>
    <n v="4.5"/>
    <n v="83.474999999999994"/>
  </r>
  <r>
    <n v="2838"/>
    <x v="1"/>
    <s v="Marine"/>
    <x v="0"/>
    <x v="1"/>
    <n v="82"/>
    <s v="Area 8-2: Port Susan-Port Gardner"/>
    <s v="Area 8-2: Port Susan-Port Gardner"/>
    <s v="NA"/>
    <x v="2"/>
    <s v="Snohomish"/>
    <x v="9"/>
    <s v="North Puget Sound"/>
    <m/>
    <n v="4"/>
    <n v="74.2"/>
  </r>
  <r>
    <n v="1359"/>
    <x v="2"/>
    <s v="Marine"/>
    <x v="0"/>
    <x v="1"/>
    <n v="9"/>
    <s v="Area 9: Admiralty Inlet"/>
    <s v="Area 9: Admiralty Inlet"/>
    <s v="NA"/>
    <x v="2"/>
    <s v="Island"/>
    <x v="1"/>
    <s v="North Puget Sound"/>
    <m/>
    <n v="36.807692307692299"/>
    <n v="314.33769230769201"/>
  </r>
  <r>
    <n v="1360"/>
    <x v="2"/>
    <s v="Marine"/>
    <x v="0"/>
    <x v="1"/>
    <n v="9"/>
    <s v="Area 9: Admiralty Inlet"/>
    <s v="Area 9: Admiralty Inlet"/>
    <s v="NA"/>
    <x v="2"/>
    <s v="King"/>
    <x v="3"/>
    <s v="South Puget Sound"/>
    <m/>
    <n v="6.6923076923076898"/>
    <n v="57.152307692307701"/>
  </r>
  <r>
    <n v="1362"/>
    <x v="2"/>
    <s v="Marine"/>
    <x v="0"/>
    <x v="1"/>
    <n v="9"/>
    <s v="Area 9: Admiralty Inlet"/>
    <s v="Area 9: Admiralty Inlet"/>
    <s v="NA"/>
    <x v="2"/>
    <s v="Kitsap"/>
    <x v="4"/>
    <s v="South Puget Sound"/>
    <m/>
    <n v="13.384615384615399"/>
    <n v="114.304615384616"/>
  </r>
  <r>
    <n v="1363"/>
    <x v="2"/>
    <s v="Marine"/>
    <x v="0"/>
    <x v="1"/>
    <n v="9"/>
    <s v="Area 9: Admiralty Inlet"/>
    <s v="Area 9: Admiralty Inlet"/>
    <s v="NA"/>
    <x v="2"/>
    <s v="Other"/>
    <x v="6"/>
    <s v="Non Puget Sound"/>
    <m/>
    <n v="6.6923076923076898"/>
    <n v="57.152307692307701"/>
  </r>
  <r>
    <n v="1358"/>
    <x v="2"/>
    <s v="Marine"/>
    <x v="0"/>
    <x v="1"/>
    <n v="9"/>
    <s v="Area 9: Admiralty Inlet"/>
    <s v="Area 9: Admiralty Inlet"/>
    <s v="NA"/>
    <x v="2"/>
    <s v="Snohomish"/>
    <x v="9"/>
    <s v="North Puget Sound"/>
    <m/>
    <n v="20.076923076923102"/>
    <n v="171.456923076923"/>
  </r>
  <r>
    <n v="1361"/>
    <x v="2"/>
    <s v="Marine"/>
    <x v="0"/>
    <x v="1"/>
    <n v="9"/>
    <s v="Area 9: Admiralty Inlet"/>
    <s v="Area 9: Admiralty Inlet"/>
    <s v="NA"/>
    <x v="2"/>
    <s v="Thurston"/>
    <x v="10"/>
    <s v="South Puget Sound"/>
    <m/>
    <n v="3.3461538461538498"/>
    <n v="28.5761538461539"/>
  </r>
  <r>
    <n v="1355"/>
    <x v="2"/>
    <s v="Marine"/>
    <x v="0"/>
    <x v="1"/>
    <n v="81"/>
    <s v="Area 8-1: Skagit Bay-Saratoga Psg."/>
    <s v="Area 8-1: Skagit Bay-Saratoga Psg."/>
    <s v="NA"/>
    <x v="2"/>
    <s v="King"/>
    <x v="3"/>
    <s v="South Puget Sound"/>
    <m/>
    <n v="3.5"/>
    <n v="29.89"/>
  </r>
  <r>
    <n v="1356"/>
    <x v="2"/>
    <s v="Marine"/>
    <x v="0"/>
    <x v="1"/>
    <n v="81"/>
    <s v="Area 8-1: Skagit Bay-Saratoga Psg."/>
    <s v="Area 8-1: Skagit Bay-Saratoga Psg."/>
    <s v="NA"/>
    <x v="2"/>
    <s v="Thurston"/>
    <x v="10"/>
    <s v="South Puget Sound"/>
    <m/>
    <n v="3.5"/>
    <n v="29.89"/>
  </r>
  <r>
    <n v="1357"/>
    <x v="2"/>
    <s v="Marine"/>
    <x v="0"/>
    <x v="1"/>
    <n v="82"/>
    <s v="Area 8-2: Port Susan-Port Gardner"/>
    <s v="Area 8-2: Port Susan-Port Gardner"/>
    <s v="NA"/>
    <x v="2"/>
    <s v="Snohomish"/>
    <x v="9"/>
    <s v="North Puget Sound"/>
    <m/>
    <n v="8"/>
    <n v="68.319999999999993"/>
  </r>
  <r>
    <n v="1522"/>
    <x v="3"/>
    <s v="Marine"/>
    <x v="0"/>
    <x v="1"/>
    <n v="9"/>
    <s v="Area 9: Admiralty Inlet"/>
    <s v="Area 9: Admiralty Inlet"/>
    <s v="NA"/>
    <x v="2"/>
    <s v="Island"/>
    <x v="1"/>
    <s v="North Puget Sound"/>
    <m/>
    <n v="24.588235294117698"/>
    <n v="456.11176470588299"/>
  </r>
  <r>
    <n v="1524"/>
    <x v="3"/>
    <s v="Marine"/>
    <x v="0"/>
    <x v="1"/>
    <n v="9"/>
    <s v="Area 9: Admiralty Inlet"/>
    <s v="Area 9: Admiralty Inlet"/>
    <s v="NA"/>
    <x v="2"/>
    <s v="Jefferson"/>
    <x v="2"/>
    <s v="Strait of Juan de Fuca"/>
    <m/>
    <n v="2.2352941176470602"/>
    <n v="41.464705882353002"/>
  </r>
  <r>
    <n v="1521"/>
    <x v="3"/>
    <s v="Marine"/>
    <x v="0"/>
    <x v="1"/>
    <n v="9"/>
    <s v="Area 9: Admiralty Inlet"/>
    <s v="Area 9: Admiralty Inlet"/>
    <s v="NA"/>
    <x v="2"/>
    <s v="Snohomish"/>
    <x v="9"/>
    <s v="North Puget Sound"/>
    <m/>
    <n v="8.9411764705882408"/>
    <n v="165.85882352941201"/>
  </r>
  <r>
    <n v="1523"/>
    <x v="3"/>
    <s v="Marine"/>
    <x v="0"/>
    <x v="1"/>
    <n v="9"/>
    <s v="Area 9: Admiralty Inlet"/>
    <s v="Area 9: Admiralty Inlet"/>
    <s v="NA"/>
    <x v="2"/>
    <s v="Thurston"/>
    <x v="10"/>
    <s v="South Puget Sound"/>
    <m/>
    <n v="2.2352941176470602"/>
    <n v="41.464705882353002"/>
  </r>
  <r>
    <n v="1364"/>
    <x v="3"/>
    <s v="Marine"/>
    <x v="0"/>
    <x v="1"/>
    <n v="82"/>
    <s v="Area 8-2: Port Susan-Port Gardner"/>
    <s v="Area 8-2: Port Susan-Port Gardner"/>
    <s v="NA"/>
    <x v="2"/>
    <s v="Other"/>
    <x v="6"/>
    <s v="Non Puget Sound"/>
    <m/>
    <n v="4"/>
    <n v="74.2"/>
  </r>
  <r>
    <n v="1527"/>
    <x v="4"/>
    <s v="Marine"/>
    <x v="0"/>
    <x v="1"/>
    <n v="9"/>
    <s v="Area 9: Admiralty Inlet"/>
    <s v="Area 9: Admiralty Inlet"/>
    <s v="NA"/>
    <x v="2"/>
    <s v="Island"/>
    <x v="1"/>
    <s v="North Puget Sound"/>
    <m/>
    <n v="7.3636363636363704"/>
    <n v="62.8854545454546"/>
  </r>
  <r>
    <n v="1528"/>
    <x v="4"/>
    <s v="Marine"/>
    <x v="0"/>
    <x v="1"/>
    <n v="9"/>
    <s v="Area 9: Admiralty Inlet"/>
    <s v="Area 9: Admiralty Inlet"/>
    <s v="NA"/>
    <x v="2"/>
    <s v="King"/>
    <x v="3"/>
    <s v="South Puget Sound"/>
    <m/>
    <n v="4.0909090909090899"/>
    <n v="34.936363636363602"/>
  </r>
  <r>
    <n v="1526"/>
    <x v="4"/>
    <s v="Marine"/>
    <x v="0"/>
    <x v="1"/>
    <n v="9"/>
    <s v="Area 9: Admiralty Inlet"/>
    <s v="Area 9: Admiralty Inlet"/>
    <s v="NA"/>
    <x v="2"/>
    <s v="Snohomish"/>
    <x v="9"/>
    <s v="North Puget Sound"/>
    <m/>
    <n v="6.5454545454545503"/>
    <n v="55.898181818181897"/>
  </r>
  <r>
    <n v="1525"/>
    <x v="4"/>
    <s v="Marine"/>
    <x v="0"/>
    <x v="1"/>
    <n v="81"/>
    <s v="Area 8-1: Skagit Bay-Saratoga Psg."/>
    <s v="Area 8-1: Skagit Bay-Saratoga Psg."/>
    <s v="NA"/>
    <x v="2"/>
    <s v="Snohomish"/>
    <x v="9"/>
    <s v="North Puget Sound"/>
    <m/>
    <n v="1"/>
    <n v="8.5399999999999991"/>
  </r>
  <r>
    <n v="1530"/>
    <x v="5"/>
    <s v="Marine"/>
    <x v="0"/>
    <x v="1"/>
    <n v="9"/>
    <s v="Area 9: Admiralty Inlet"/>
    <s v="Area 9: Admiralty Inlet"/>
    <s v="NA"/>
    <x v="2"/>
    <s v="Mason"/>
    <x v="5"/>
    <s v="South Puget Sound"/>
    <m/>
    <n v="13.3125"/>
    <n v="246.94687500000001"/>
  </r>
  <r>
    <n v="1531"/>
    <x v="5"/>
    <s v="Marine"/>
    <x v="0"/>
    <x v="1"/>
    <n v="9"/>
    <s v="Area 9: Admiralty Inlet"/>
    <s v="Area 9: Admiralty Inlet"/>
    <s v="NA"/>
    <x v="2"/>
    <s v="Other"/>
    <x v="6"/>
    <s v="Non Puget Sound"/>
    <m/>
    <n v="26.625"/>
    <n v="493.89375000000001"/>
  </r>
  <r>
    <n v="1529"/>
    <x v="5"/>
    <s v="Marine"/>
    <x v="0"/>
    <x v="1"/>
    <n v="9"/>
    <s v="Area 9: Admiralty Inlet"/>
    <s v="Area 9: Admiralty Inlet"/>
    <s v="NA"/>
    <x v="2"/>
    <s v="Snohomish"/>
    <x v="9"/>
    <s v="North Puget Sound"/>
    <m/>
    <n v="173.0625"/>
    <n v="3210.3093749999998"/>
  </r>
  <r>
    <n v="1689"/>
    <x v="6"/>
    <s v="Marine"/>
    <x v="0"/>
    <x v="1"/>
    <n v="9"/>
    <s v="Area 9: Admiralty Inlet"/>
    <s v="Area 9: Admiralty Inlet"/>
    <s v="NA"/>
    <x v="2"/>
    <s v="Island"/>
    <x v="1"/>
    <s v="North Puget Sound"/>
    <m/>
    <n v="5"/>
    <n v="42.7"/>
  </r>
  <r>
    <n v="1688"/>
    <x v="6"/>
    <s v="Marine"/>
    <x v="0"/>
    <x v="1"/>
    <n v="9"/>
    <s v="Area 9: Admiralty Inlet"/>
    <s v="Area 9: Admiralty Inlet"/>
    <s v="NA"/>
    <x v="2"/>
    <s v="Snohomish"/>
    <x v="9"/>
    <s v="North Puget Sound"/>
    <m/>
    <n v="10"/>
    <n v="85.4"/>
  </r>
  <r>
    <n v="1691"/>
    <x v="7"/>
    <s v="Marine"/>
    <x v="0"/>
    <x v="1"/>
    <n v="9"/>
    <s v="Area 9: Admiralty Inlet"/>
    <s v="Area 9: Admiralty Inlet"/>
    <s v="NA"/>
    <x v="2"/>
    <s v="Island"/>
    <x v="1"/>
    <s v="North Puget Sound"/>
    <m/>
    <n v="53.571428571428598"/>
    <n v="993.75000000000102"/>
  </r>
  <r>
    <n v="1694"/>
    <x v="7"/>
    <s v="Marine"/>
    <x v="0"/>
    <x v="1"/>
    <n v="9"/>
    <s v="Area 9: Admiralty Inlet"/>
    <s v="Area 9: Admiralty Inlet"/>
    <s v="NA"/>
    <x v="2"/>
    <s v="Jefferson"/>
    <x v="2"/>
    <s v="Strait of Juan de Fuca"/>
    <m/>
    <n v="10.714285714285699"/>
    <n v="198.75"/>
  </r>
  <r>
    <n v="1692"/>
    <x v="7"/>
    <s v="Marine"/>
    <x v="0"/>
    <x v="1"/>
    <n v="9"/>
    <s v="Area 9: Admiralty Inlet"/>
    <s v="Area 9: Admiralty Inlet"/>
    <s v="NA"/>
    <x v="2"/>
    <s v="King"/>
    <x v="3"/>
    <s v="South Puget Sound"/>
    <m/>
    <n v="10.714285714285699"/>
    <n v="198.75"/>
  </r>
  <r>
    <n v="1695"/>
    <x v="7"/>
    <s v="Marine"/>
    <x v="0"/>
    <x v="1"/>
    <n v="9"/>
    <s v="Area 9: Admiralty Inlet"/>
    <s v="Area 9: Admiralty Inlet"/>
    <s v="NA"/>
    <x v="2"/>
    <s v="Other"/>
    <x v="6"/>
    <s v="Non Puget Sound"/>
    <m/>
    <n v="10.714285714285699"/>
    <n v="198.75"/>
  </r>
  <r>
    <n v="1693"/>
    <x v="7"/>
    <s v="Marine"/>
    <x v="0"/>
    <x v="1"/>
    <n v="9"/>
    <s v="Area 9: Admiralty Inlet"/>
    <s v="Area 9: Admiralty Inlet"/>
    <s v="NA"/>
    <x v="2"/>
    <s v="Pierce"/>
    <x v="7"/>
    <s v="South Puget Sound"/>
    <m/>
    <n v="10.714285714285699"/>
    <n v="198.75"/>
  </r>
  <r>
    <n v="1690"/>
    <x v="7"/>
    <s v="Marine"/>
    <x v="0"/>
    <x v="1"/>
    <n v="9"/>
    <s v="Area 9: Admiralty Inlet"/>
    <s v="Area 9: Admiralty Inlet"/>
    <s v="NA"/>
    <x v="2"/>
    <s v="Snohomish"/>
    <x v="9"/>
    <s v="North Puget Sound"/>
    <m/>
    <n v="53.571428571428598"/>
    <n v="993.75000000000102"/>
  </r>
  <r>
    <n v="1857"/>
    <x v="8"/>
    <s v="Marine"/>
    <x v="0"/>
    <x v="1"/>
    <n v="9"/>
    <s v="Area 9: Admiralty Inlet"/>
    <s v="Area 9: Admiralty Inlet"/>
    <s v="NA"/>
    <x v="2"/>
    <s v="Island"/>
    <x v="1"/>
    <s v="North Puget Sound"/>
    <m/>
    <n v="58.8"/>
    <n v="502.15199999999999"/>
  </r>
  <r>
    <n v="1696"/>
    <x v="8"/>
    <s v="Marine"/>
    <x v="0"/>
    <x v="1"/>
    <n v="9"/>
    <s v="Area 9: Admiralty Inlet"/>
    <s v="Area 9: Admiralty Inlet"/>
    <s v="NA"/>
    <x v="2"/>
    <s v="Snohomish"/>
    <x v="9"/>
    <s v="North Puget Sound"/>
    <m/>
    <n v="25.2"/>
    <n v="215.208"/>
  </r>
  <r>
    <n v="1858"/>
    <x v="9"/>
    <s v="Marine"/>
    <x v="0"/>
    <x v="1"/>
    <n v="9"/>
    <s v="Area 9: Admiralty Inlet"/>
    <s v="Area 9: Admiralty Inlet"/>
    <s v="NA"/>
    <x v="2"/>
    <s v="Island"/>
    <x v="1"/>
    <s v="North Puget Sound"/>
    <m/>
    <n v="45.714285714285701"/>
    <n v="848"/>
  </r>
  <r>
    <n v="1859"/>
    <x v="9"/>
    <s v="Marine"/>
    <x v="0"/>
    <x v="1"/>
    <n v="9"/>
    <s v="Area 9: Admiralty Inlet"/>
    <s v="Area 9: Admiralty Inlet"/>
    <s v="NA"/>
    <x v="2"/>
    <s v="King"/>
    <x v="3"/>
    <s v="South Puget Sound"/>
    <m/>
    <n v="18.285714285714299"/>
    <n v="339.2"/>
  </r>
  <r>
    <n v="1860"/>
    <x v="10"/>
    <s v="Marine"/>
    <x v="0"/>
    <x v="1"/>
    <n v="9"/>
    <s v="Area 9: Admiralty Inlet"/>
    <s v="Area 9: Admiralty Inlet"/>
    <s v="NA"/>
    <x v="2"/>
    <s v="Other"/>
    <x v="6"/>
    <s v="Non Puget Sound"/>
    <m/>
    <n v="16"/>
    <n v="136.63999999999999"/>
  </r>
  <r>
    <n v="1862"/>
    <x v="11"/>
    <s v="Marine"/>
    <x v="0"/>
    <x v="1"/>
    <n v="9"/>
    <s v="Area 9: Admiralty Inlet"/>
    <s v="Area 9: Admiralty Inlet"/>
    <s v="NA"/>
    <x v="2"/>
    <s v="Island"/>
    <x v="1"/>
    <s v="North Puget Sound"/>
    <m/>
    <n v="24"/>
    <n v="445.2"/>
  </r>
  <r>
    <n v="1861"/>
    <x v="11"/>
    <s v="Marine"/>
    <x v="0"/>
    <x v="1"/>
    <n v="9"/>
    <s v="Area 9: Admiralty Inlet"/>
    <s v="Area 9: Admiralty Inlet"/>
    <s v="NA"/>
    <x v="2"/>
    <s v="Snohomish"/>
    <x v="9"/>
    <s v="North Puget Sound"/>
    <m/>
    <n v="12"/>
    <n v="222.6"/>
  </r>
  <r>
    <n v="969"/>
    <x v="0"/>
    <s v="Freshwater"/>
    <x v="1"/>
    <x v="0"/>
    <n v="714"/>
    <s v="Chambers Creek"/>
    <s v="Chambers Creek"/>
    <s v="Pierce"/>
    <x v="3"/>
    <s v="Kitsap"/>
    <x v="4"/>
    <s v="South Puget Sound"/>
    <m/>
    <n v="13.7272727272727"/>
    <n v="118.740909090909"/>
  </r>
  <r>
    <n v="967"/>
    <x v="0"/>
    <s v="Freshwater"/>
    <x v="1"/>
    <x v="0"/>
    <n v="714"/>
    <s v="Chambers Creek"/>
    <s v="Chambers Creek"/>
    <s v="Pierce"/>
    <x v="3"/>
    <s v="Pierce"/>
    <x v="7"/>
    <s v="South Puget Sound"/>
    <m/>
    <n v="132.69696969697"/>
    <n v="1147.8287878787901"/>
  </r>
  <r>
    <n v="968"/>
    <x v="0"/>
    <s v="Freshwater"/>
    <x v="1"/>
    <x v="0"/>
    <n v="714"/>
    <s v="Chambers Creek"/>
    <s v="Chambers Creek"/>
    <s v="Pierce"/>
    <x v="3"/>
    <s v="Thurston"/>
    <x v="10"/>
    <s v="South Puget Sound"/>
    <m/>
    <n v="4.5757575757575797"/>
    <n v="39.580303030303099"/>
  </r>
  <r>
    <n v="1533"/>
    <x v="0"/>
    <s v="Freshwater"/>
    <x v="1"/>
    <x v="0"/>
    <n v="724"/>
    <s v="Dakota Creek (Whatcom Co)"/>
    <s v="Dakota Creek (Whatcom Co)"/>
    <s v="Whatcom"/>
    <x v="1"/>
    <s v="Snohomish"/>
    <x v="9"/>
    <s v="North Puget Sound"/>
    <m/>
    <n v="12.25"/>
    <n v="105.96250000000001"/>
  </r>
  <r>
    <n v="1532"/>
    <x v="0"/>
    <s v="Freshwater"/>
    <x v="1"/>
    <x v="0"/>
    <n v="724"/>
    <s v="Dakota Creek (Whatcom Co)"/>
    <s v="Dakota Creek (Whatcom Co)"/>
    <s v="Whatcom"/>
    <x v="1"/>
    <s v="Whatcom"/>
    <x v="11"/>
    <s v="North Puget Sound"/>
    <m/>
    <n v="134.75"/>
    <n v="1165.5875000000001"/>
  </r>
  <r>
    <n v="267"/>
    <x v="0"/>
    <s v="Freshwater"/>
    <x v="1"/>
    <x v="0"/>
    <n v="728"/>
    <s v="Deschutes River"/>
    <s v="Deschutes River"/>
    <s v="Thurston"/>
    <x v="3"/>
    <s v="Pierce"/>
    <x v="7"/>
    <s v="South Puget Sound"/>
    <m/>
    <n v="12.6666666666667"/>
    <n v="109.566666666667"/>
  </r>
  <r>
    <n v="268"/>
    <x v="0"/>
    <s v="Freshwater"/>
    <x v="1"/>
    <x v="0"/>
    <n v="728"/>
    <s v="Deschutes River"/>
    <s v="Deschutes River"/>
    <s v="Thurston"/>
    <x v="3"/>
    <s v="Thurston"/>
    <x v="10"/>
    <s v="South Puget Sound"/>
    <m/>
    <n v="6.3333333333333401"/>
    <n v="54.783333333333402"/>
  </r>
  <r>
    <n v="631"/>
    <x v="0"/>
    <s v="Freshwater"/>
    <x v="1"/>
    <x v="0"/>
    <n v="736"/>
    <s v="Duckabush River"/>
    <s v="Duckabush River"/>
    <s v="Jefferson"/>
    <x v="4"/>
    <s v="Other"/>
    <x v="6"/>
    <s v="Non Puget Sound"/>
    <m/>
    <n v="6.3333333333333401"/>
    <n v="54.783333333333402"/>
  </r>
  <r>
    <n v="630"/>
    <x v="0"/>
    <s v="Freshwater"/>
    <x v="1"/>
    <x v="0"/>
    <n v="736"/>
    <s v="Duckabush River"/>
    <s v="Duckabush River"/>
    <s v="Jefferson"/>
    <x v="4"/>
    <s v="Thurston"/>
    <x v="10"/>
    <s v="South Puget Sound"/>
    <m/>
    <n v="31.6666666666667"/>
    <n v="273.91666666666703"/>
  </r>
  <r>
    <n v="1267"/>
    <x v="0"/>
    <s v="Freshwater"/>
    <x v="1"/>
    <x v="0"/>
    <n v="738"/>
    <s v="Dungeness River"/>
    <s v="Dungeness River"/>
    <s v="Clallam"/>
    <x v="0"/>
    <s v="Clallam"/>
    <x v="0"/>
    <s v="Strait of Juan de Fuca"/>
    <m/>
    <n v="201.513513513514"/>
    <n v="1743.0918918919001"/>
  </r>
  <r>
    <n v="1265"/>
    <x v="0"/>
    <s v="Freshwater"/>
    <x v="1"/>
    <x v="0"/>
    <n v="738"/>
    <s v="Dungeness River"/>
    <s v="Dungeness River"/>
    <s v="Clallam"/>
    <x v="0"/>
    <s v="King"/>
    <x v="3"/>
    <s v="South Puget Sound"/>
    <m/>
    <n v="6.2972972972973"/>
    <n v="54.471621621621701"/>
  </r>
  <r>
    <n v="1266"/>
    <x v="0"/>
    <s v="Freshwater"/>
    <x v="1"/>
    <x v="0"/>
    <n v="738"/>
    <s v="Dungeness River"/>
    <s v="Dungeness River"/>
    <s v="Clallam"/>
    <x v="0"/>
    <s v="Kitsap"/>
    <x v="4"/>
    <s v="South Puget Sound"/>
    <m/>
    <n v="25.1891891891892"/>
    <n v="217.886486486487"/>
  </r>
  <r>
    <n v="1269"/>
    <x v="0"/>
    <s v="Freshwater"/>
    <x v="1"/>
    <x v="0"/>
    <n v="742"/>
    <s v="Elwha River"/>
    <s v="Elwha River"/>
    <s v="Clallam"/>
    <x v="0"/>
    <s v="Clallam"/>
    <x v="0"/>
    <s v="Strait of Juan de Fuca"/>
    <m/>
    <n v="38"/>
    <n v="328.7"/>
  </r>
  <r>
    <n v="1268"/>
    <x v="0"/>
    <s v="Freshwater"/>
    <x v="1"/>
    <x v="0"/>
    <n v="742"/>
    <s v="Elwha River"/>
    <s v="Elwha River"/>
    <s v="Clallam"/>
    <x v="0"/>
    <s v="Snohomish"/>
    <x v="9"/>
    <s v="North Puget Sound"/>
    <m/>
    <n v="38"/>
    <n v="328.7"/>
  </r>
  <r>
    <n v="2014"/>
    <x v="0"/>
    <s v="Freshwater"/>
    <x v="1"/>
    <x v="0"/>
    <n v="746"/>
    <s v="Green - Duwamish River"/>
    <s v="Green - Duwamish River"/>
    <s v="King"/>
    <x v="3"/>
    <s v="King"/>
    <x v="3"/>
    <s v="South Puget Sound"/>
    <m/>
    <n v="1258.4315352697099"/>
    <n v="10885.432780083"/>
  </r>
  <r>
    <n v="2017"/>
    <x v="0"/>
    <s v="Freshwater"/>
    <x v="1"/>
    <x v="0"/>
    <n v="746"/>
    <s v="Green - Duwamish River"/>
    <s v="Green - Duwamish River"/>
    <s v="King"/>
    <x v="3"/>
    <s v="Other"/>
    <x v="6"/>
    <s v="Non Puget Sound"/>
    <m/>
    <n v="43.394190871369297"/>
    <n v="375.35975103734398"/>
  </r>
  <r>
    <n v="2015"/>
    <x v="0"/>
    <s v="Freshwater"/>
    <x v="1"/>
    <x v="0"/>
    <n v="746"/>
    <s v="Green - Duwamish River"/>
    <s v="Green - Duwamish River"/>
    <s v="King"/>
    <x v="3"/>
    <s v="Pierce"/>
    <x v="7"/>
    <s v="South Puget Sound"/>
    <m/>
    <n v="111.585062240664"/>
    <n v="965.21078838174401"/>
  </r>
  <r>
    <n v="1864"/>
    <x v="0"/>
    <s v="Freshwater"/>
    <x v="1"/>
    <x v="0"/>
    <n v="746"/>
    <s v="Green - Duwamish River"/>
    <s v="Green - Duwamish River"/>
    <s v="King"/>
    <x v="3"/>
    <s v="Snohomish"/>
    <x v="9"/>
    <s v="North Puget Sound"/>
    <m/>
    <n v="43.394190871369297"/>
    <n v="375.35975103734398"/>
  </r>
  <r>
    <n v="2016"/>
    <x v="0"/>
    <s v="Freshwater"/>
    <x v="1"/>
    <x v="0"/>
    <n v="746"/>
    <s v="Green - Duwamish River"/>
    <s v="Green - Duwamish River"/>
    <s v="King"/>
    <x v="3"/>
    <s v="Thurston"/>
    <x v="10"/>
    <s v="South Puget Sound"/>
    <m/>
    <n v="6.1991701244813298"/>
    <n v="53.622821576763499"/>
  </r>
  <r>
    <n v="1863"/>
    <x v="0"/>
    <s v="Freshwater"/>
    <x v="1"/>
    <x v="0"/>
    <n v="746"/>
    <s v="Green - Duwamish River"/>
    <s v="Green - Duwamish River"/>
    <s v="King"/>
    <x v="3"/>
    <s v="Whatcom"/>
    <x v="11"/>
    <s v="North Puget Sound"/>
    <m/>
    <n v="30.9958506224066"/>
    <n v="268.11410788381698"/>
  </r>
  <r>
    <n v="1276"/>
    <x v="0"/>
    <s v="Freshwater"/>
    <x v="1"/>
    <x v="0"/>
    <n v="752"/>
    <s v="Hoko River"/>
    <s v="Hoko River"/>
    <s v="Clallam"/>
    <x v="0"/>
    <s v="Clallam"/>
    <x v="0"/>
    <s v="Strait of Juan de Fuca"/>
    <m/>
    <n v="2"/>
    <n v="17.3"/>
  </r>
  <r>
    <n v="771"/>
    <x v="0"/>
    <s v="Freshwater"/>
    <x v="1"/>
    <x v="0"/>
    <n v="754"/>
    <s v="Kennedy Creek"/>
    <s v="Kennedy Creek"/>
    <s v="Mason/Thurston"/>
    <x v="3"/>
    <s v="Mason"/>
    <x v="5"/>
    <s v="South Puget Sound"/>
    <m/>
    <n v="25.130434782608699"/>
    <n v="217.378260869565"/>
  </r>
  <r>
    <n v="772"/>
    <x v="0"/>
    <s v="Freshwater"/>
    <x v="1"/>
    <x v="0"/>
    <n v="754"/>
    <s v="Kennedy Creek"/>
    <s v="Kennedy Creek"/>
    <s v="Mason/Thurston"/>
    <x v="3"/>
    <s v="Other"/>
    <x v="6"/>
    <s v="Non Puget Sound"/>
    <m/>
    <n v="31.413043478260899"/>
    <n v="271.72282608695701"/>
  </r>
  <r>
    <n v="769"/>
    <x v="0"/>
    <s v="Freshwater"/>
    <x v="1"/>
    <x v="0"/>
    <n v="754"/>
    <s v="Kennedy Creek"/>
    <s v="Kennedy Creek"/>
    <s v="Mason/Thurston"/>
    <x v="3"/>
    <s v="Pierce"/>
    <x v="7"/>
    <s v="South Puget Sound"/>
    <m/>
    <n v="43.978260869565197"/>
    <n v="380.411956521739"/>
  </r>
  <r>
    <n v="770"/>
    <x v="0"/>
    <s v="Freshwater"/>
    <x v="1"/>
    <x v="0"/>
    <n v="754"/>
    <s v="Kennedy Creek"/>
    <s v="Kennedy Creek"/>
    <s v="Mason/Thurston"/>
    <x v="3"/>
    <s v="Thurston"/>
    <x v="10"/>
    <s v="South Puget Sound"/>
    <m/>
    <n v="188.47826086956499"/>
    <n v="1630.3369565217399"/>
  </r>
  <r>
    <n v="2018"/>
    <x v="0"/>
    <s v="Freshwater"/>
    <x v="1"/>
    <x v="0"/>
    <n v="762"/>
    <s v="Lake Washington"/>
    <s v="Lake Washington"/>
    <s v="King"/>
    <x v="3"/>
    <s v="King"/>
    <x v="3"/>
    <s v="South Puget Sound"/>
    <m/>
    <n v="6"/>
    <n v="51.9"/>
  </r>
  <r>
    <n v="2020"/>
    <x v="0"/>
    <s v="Freshwater"/>
    <x v="1"/>
    <x v="0"/>
    <n v="764"/>
    <s v="Lake Sammamish"/>
    <s v="Lake Sammamish"/>
    <s v="King"/>
    <x v="3"/>
    <s v="King"/>
    <x v="3"/>
    <s v="South Puget Sound"/>
    <m/>
    <n v="138.470588235294"/>
    <n v="1197.77058823529"/>
  </r>
  <r>
    <n v="2021"/>
    <x v="0"/>
    <s v="Freshwater"/>
    <x v="1"/>
    <x v="0"/>
    <n v="764"/>
    <s v="Lake Sammamish"/>
    <s v="Lake Sammamish"/>
    <s v="King"/>
    <x v="3"/>
    <s v="Other"/>
    <x v="6"/>
    <s v="Non Puget Sound"/>
    <m/>
    <n v="37.764705882352899"/>
    <n v="326.66470588235302"/>
  </r>
  <r>
    <n v="2019"/>
    <x v="0"/>
    <s v="Freshwater"/>
    <x v="1"/>
    <x v="0"/>
    <n v="764"/>
    <s v="Lake Sammamish"/>
    <s v="Lake Sammamish"/>
    <s v="King"/>
    <x v="3"/>
    <s v="Snohomish"/>
    <x v="9"/>
    <s v="North Puget Sound"/>
    <m/>
    <n v="37.764705882352899"/>
    <n v="326.66470588235302"/>
  </r>
  <r>
    <n v="236"/>
    <x v="0"/>
    <s v="Freshwater"/>
    <x v="1"/>
    <x v="0"/>
    <n v="778"/>
    <s v="Minter Creek"/>
    <s v="Minter Creek"/>
    <s v="Kitsap/Pierce"/>
    <x v="3"/>
    <s v="King"/>
    <x v="3"/>
    <s v="South Puget Sound"/>
    <m/>
    <n v="2433.0118406889101"/>
    <n v="21045.552421959099"/>
  </r>
  <r>
    <n v="325"/>
    <x v="0"/>
    <s v="Freshwater"/>
    <x v="1"/>
    <x v="0"/>
    <n v="778"/>
    <s v="Minter Creek"/>
    <s v="Minter Creek"/>
    <s v="Kitsap/Pierce"/>
    <x v="3"/>
    <s v="Kitsap"/>
    <x v="4"/>
    <s v="South Puget Sound"/>
    <m/>
    <n v="414.97631862217497"/>
    <n v="3589.5451560818101"/>
  </r>
  <r>
    <n v="324"/>
    <x v="0"/>
    <s v="Freshwater"/>
    <x v="1"/>
    <x v="0"/>
    <n v="778"/>
    <s v="Minter Creek"/>
    <s v="Minter Creek"/>
    <s v="Kitsap/Pierce"/>
    <x v="3"/>
    <s v="Mason"/>
    <x v="5"/>
    <s v="South Puget Sound"/>
    <m/>
    <n v="119.37674919267999"/>
    <n v="1032.6088805166801"/>
  </r>
  <r>
    <n v="326"/>
    <x v="0"/>
    <s v="Freshwater"/>
    <x v="1"/>
    <x v="0"/>
    <n v="778"/>
    <s v="Minter Creek"/>
    <s v="Minter Creek"/>
    <s v="Kitsap/Pierce"/>
    <x v="3"/>
    <s v="Other"/>
    <x v="6"/>
    <s v="Non Puget Sound"/>
    <m/>
    <n v="136.43057050592"/>
    <n v="1180.12443487621"/>
  </r>
  <r>
    <n v="237"/>
    <x v="0"/>
    <s v="Freshwater"/>
    <x v="1"/>
    <x v="0"/>
    <n v="778"/>
    <s v="Minter Creek"/>
    <s v="Minter Creek"/>
    <s v="Kitsap/Pierce"/>
    <x v="3"/>
    <s v="Pierce"/>
    <x v="7"/>
    <s v="South Puget Sound"/>
    <m/>
    <n v="1819.07427341227"/>
    <n v="15734.992465016099"/>
  </r>
  <r>
    <n v="235"/>
    <x v="0"/>
    <s v="Freshwater"/>
    <x v="1"/>
    <x v="0"/>
    <n v="778"/>
    <s v="Minter Creek"/>
    <s v="Minter Creek"/>
    <s v="Kitsap/Pierce"/>
    <x v="3"/>
    <s v="Snohomish"/>
    <x v="9"/>
    <s v="North Puget Sound"/>
    <m/>
    <n v="233.06889128094701"/>
    <n v="2016.04590958019"/>
  </r>
  <r>
    <n v="238"/>
    <x v="0"/>
    <s v="Freshwater"/>
    <x v="1"/>
    <x v="0"/>
    <n v="778"/>
    <s v="Minter Creek"/>
    <s v="Minter Creek"/>
    <s v="Kitsap/Pierce"/>
    <x v="3"/>
    <s v="Thurston"/>
    <x v="10"/>
    <s v="South Puget Sound"/>
    <m/>
    <n v="125.06135629709399"/>
    <n v="1081.78073196986"/>
  </r>
  <r>
    <n v="280"/>
    <x v="0"/>
    <s v="Freshwater"/>
    <x v="1"/>
    <x v="0"/>
    <n v="786"/>
    <s v="Nisqually River"/>
    <s v="Nisqually River"/>
    <s v="Thurston/Pierce"/>
    <x v="3"/>
    <s v="King"/>
    <x v="3"/>
    <s v="South Puget Sound"/>
    <m/>
    <n v="405.05295566502502"/>
    <n v="3503.70806650247"/>
  </r>
  <r>
    <n v="284"/>
    <x v="0"/>
    <s v="Freshwater"/>
    <x v="1"/>
    <x v="0"/>
    <n v="786"/>
    <s v="Nisqually River"/>
    <s v="Nisqually River"/>
    <s v="Thurston/Pierce"/>
    <x v="3"/>
    <s v="Kitsap"/>
    <x v="4"/>
    <s v="South Puget Sound"/>
    <m/>
    <n v="90.683497536945794"/>
    <n v="784.41225369458095"/>
  </r>
  <r>
    <n v="283"/>
    <x v="0"/>
    <s v="Freshwater"/>
    <x v="1"/>
    <x v="0"/>
    <n v="786"/>
    <s v="Nisqually River"/>
    <s v="Nisqually River"/>
    <s v="Thurston/Pierce"/>
    <x v="3"/>
    <s v="Mason"/>
    <x v="5"/>
    <s v="South Puget Sound"/>
    <m/>
    <n v="36.273399014778299"/>
    <n v="313.76490147783198"/>
  </r>
  <r>
    <n v="361"/>
    <x v="0"/>
    <s v="Freshwater"/>
    <x v="1"/>
    <x v="0"/>
    <n v="786"/>
    <s v="Nisqually River"/>
    <s v="Nisqually River"/>
    <s v="Thurston/Pierce"/>
    <x v="3"/>
    <s v="Other"/>
    <x v="6"/>
    <s v="Non Puget Sound"/>
    <m/>
    <n v="308.323891625616"/>
    <n v="2667.0016625615799"/>
  </r>
  <r>
    <n v="281"/>
    <x v="0"/>
    <s v="Freshwater"/>
    <x v="1"/>
    <x v="0"/>
    <n v="786"/>
    <s v="Nisqually River"/>
    <s v="Nisqually River"/>
    <s v="Thurston/Pierce"/>
    <x v="3"/>
    <s v="Pierce"/>
    <x v="7"/>
    <s v="South Puget Sound"/>
    <m/>
    <n v="1995.03694581281"/>
    <n v="17257.069581280801"/>
  </r>
  <r>
    <n v="279"/>
    <x v="0"/>
    <s v="Freshwater"/>
    <x v="1"/>
    <x v="0"/>
    <n v="786"/>
    <s v="Nisqually River"/>
    <s v="Nisqually River"/>
    <s v="Thurston/Pierce"/>
    <x v="3"/>
    <s v="Snohomish"/>
    <x v="9"/>
    <s v="North Puget Sound"/>
    <m/>
    <n v="72.546798029556697"/>
    <n v="627.52980295566499"/>
  </r>
  <r>
    <n v="282"/>
    <x v="0"/>
    <s v="Freshwater"/>
    <x v="1"/>
    <x v="0"/>
    <n v="786"/>
    <s v="Nisqually River"/>
    <s v="Nisqually River"/>
    <s v="Thurston/Pierce"/>
    <x v="3"/>
    <s v="Thurston"/>
    <x v="10"/>
    <s v="South Puget Sound"/>
    <m/>
    <n v="2001.0825123152699"/>
    <n v="17309.363731527101"/>
  </r>
  <r>
    <n v="1537"/>
    <x v="0"/>
    <s v="Freshwater"/>
    <x v="1"/>
    <x v="0"/>
    <n v="788"/>
    <s v="Nooksack River"/>
    <s v="Nooksack River"/>
    <s v="Whatcom"/>
    <x v="1"/>
    <s v="King"/>
    <x v="3"/>
    <s v="South Puget Sound"/>
    <m/>
    <n v="18.450867052023099"/>
    <n v="159.6"/>
  </r>
  <r>
    <n v="1539"/>
    <x v="0"/>
    <s v="Freshwater"/>
    <x v="1"/>
    <x v="0"/>
    <n v="788"/>
    <s v="Nooksack River"/>
    <s v="Nooksack River"/>
    <s v="Whatcom"/>
    <x v="1"/>
    <s v="Other"/>
    <x v="6"/>
    <s v="Non Puget Sound"/>
    <m/>
    <n v="24.601156069364201"/>
    <n v="212.8"/>
  </r>
  <r>
    <n v="1538"/>
    <x v="0"/>
    <s v="Freshwater"/>
    <x v="1"/>
    <x v="0"/>
    <n v="788"/>
    <s v="Nooksack River"/>
    <s v="Nooksack River"/>
    <s v="Whatcom"/>
    <x v="1"/>
    <s v="Pierce"/>
    <x v="7"/>
    <s v="South Puget Sound"/>
    <m/>
    <n v="6.1502890173410396"/>
    <n v="53.2"/>
  </r>
  <r>
    <n v="1535"/>
    <x v="0"/>
    <s v="Freshwater"/>
    <x v="1"/>
    <x v="0"/>
    <n v="788"/>
    <s v="Nooksack River"/>
    <s v="Nooksack River"/>
    <s v="Whatcom"/>
    <x v="1"/>
    <s v="Skagit"/>
    <x v="8"/>
    <s v="North Puget Sound"/>
    <m/>
    <n v="24.601156069364201"/>
    <n v="212.8"/>
  </r>
  <r>
    <n v="1536"/>
    <x v="0"/>
    <s v="Freshwater"/>
    <x v="1"/>
    <x v="0"/>
    <n v="788"/>
    <s v="Nooksack River"/>
    <s v="Nooksack River"/>
    <s v="Whatcom"/>
    <x v="1"/>
    <s v="Snohomish"/>
    <x v="9"/>
    <s v="North Puget Sound"/>
    <m/>
    <n v="6.1502890173410396"/>
    <n v="53.2"/>
  </r>
  <r>
    <n v="1534"/>
    <x v="0"/>
    <s v="Freshwater"/>
    <x v="1"/>
    <x v="0"/>
    <n v="788"/>
    <s v="Nooksack River"/>
    <s v="Nooksack River"/>
    <s v="Whatcom"/>
    <x v="1"/>
    <s v="Whatcom"/>
    <x v="11"/>
    <s v="North Puget Sound"/>
    <m/>
    <n v="984.04624277456696"/>
    <n v="8512.0000000000091"/>
  </r>
  <r>
    <n v="971"/>
    <x v="0"/>
    <s v="Freshwater"/>
    <x v="1"/>
    <x v="0"/>
    <n v="802"/>
    <s v="Carbon River"/>
    <s v="Carbon River"/>
    <s v="Pierce"/>
    <x v="3"/>
    <s v="King"/>
    <x v="3"/>
    <s v="South Puget Sound"/>
    <m/>
    <n v="27.521739130434799"/>
    <n v="238.06304347826099"/>
  </r>
  <r>
    <n v="973"/>
    <x v="0"/>
    <s v="Freshwater"/>
    <x v="1"/>
    <x v="0"/>
    <n v="802"/>
    <s v="Carbon River"/>
    <s v="Carbon River"/>
    <s v="Pierce"/>
    <x v="3"/>
    <s v="Other"/>
    <x v="6"/>
    <s v="Non Puget Sound"/>
    <m/>
    <n v="4.5869565217391299"/>
    <n v="39.677173913043497"/>
  </r>
  <r>
    <n v="972"/>
    <x v="0"/>
    <s v="Freshwater"/>
    <x v="1"/>
    <x v="0"/>
    <n v="802"/>
    <s v="Carbon River"/>
    <s v="Carbon River"/>
    <s v="Pierce"/>
    <x v="3"/>
    <s v="Pierce"/>
    <x v="7"/>
    <s v="South Puget Sound"/>
    <m/>
    <n v="174.304347826087"/>
    <n v="1507.73260869565"/>
  </r>
  <r>
    <n v="970"/>
    <x v="0"/>
    <s v="Freshwater"/>
    <x v="1"/>
    <x v="0"/>
    <n v="802"/>
    <s v="Carbon River"/>
    <s v="Carbon River"/>
    <s v="Pierce"/>
    <x v="3"/>
    <s v="Skagit"/>
    <x v="8"/>
    <s v="North Puget Sound"/>
    <m/>
    <n v="4.5869565217391299"/>
    <n v="39.677173913043497"/>
  </r>
  <r>
    <n v="974"/>
    <x v="0"/>
    <s v="Freshwater"/>
    <x v="1"/>
    <x v="0"/>
    <n v="804"/>
    <s v="Puyallup River"/>
    <s v="Puyallup River"/>
    <s v="Pierce"/>
    <x v="3"/>
    <s v="King"/>
    <x v="3"/>
    <s v="South Puget Sound"/>
    <m/>
    <n v="244.73008849557499"/>
    <n v="2116.9152654867198"/>
  </r>
  <r>
    <n v="977"/>
    <x v="0"/>
    <s v="Freshwater"/>
    <x v="1"/>
    <x v="0"/>
    <n v="804"/>
    <s v="Puyallup River"/>
    <s v="Puyallup River"/>
    <s v="Pierce"/>
    <x v="3"/>
    <s v="Other"/>
    <x v="6"/>
    <s v="Non Puget Sound"/>
    <m/>
    <n v="23.876106194690301"/>
    <n v="206.528318584071"/>
  </r>
  <r>
    <n v="975"/>
    <x v="0"/>
    <s v="Freshwater"/>
    <x v="1"/>
    <x v="0"/>
    <n v="804"/>
    <s v="Puyallup River"/>
    <s v="Puyallup River"/>
    <s v="Pierce"/>
    <x v="3"/>
    <s v="Pierce"/>
    <x v="7"/>
    <s v="South Puget Sound"/>
    <m/>
    <n v="1056.5176991150399"/>
    <n v="9138.8780973450994"/>
  </r>
  <r>
    <n v="976"/>
    <x v="0"/>
    <s v="Freshwater"/>
    <x v="1"/>
    <x v="0"/>
    <n v="804"/>
    <s v="Puyallup River"/>
    <s v="Puyallup River"/>
    <s v="Pierce"/>
    <x v="3"/>
    <s v="Thurston"/>
    <x v="10"/>
    <s v="South Puget Sound"/>
    <m/>
    <n v="23.876106194690301"/>
    <n v="206.528318584071"/>
  </r>
  <r>
    <n v="647"/>
    <x v="0"/>
    <s v="Freshwater"/>
    <x v="1"/>
    <x v="0"/>
    <n v="812"/>
    <s v="Quilcene River"/>
    <s v="Quilcene River"/>
    <s v="Jefferson"/>
    <x v="4"/>
    <s v="Clallam"/>
    <x v="0"/>
    <s v="Strait of Juan de Fuca"/>
    <m/>
    <n v="119.352112676056"/>
    <n v="1032.39577464788"/>
  </r>
  <r>
    <n v="648"/>
    <x v="0"/>
    <s v="Freshwater"/>
    <x v="1"/>
    <x v="0"/>
    <n v="812"/>
    <s v="Quilcene River"/>
    <s v="Quilcene River"/>
    <s v="Jefferson"/>
    <x v="4"/>
    <s v="Jefferson"/>
    <x v="2"/>
    <s v="Strait of Juan de Fuca"/>
    <m/>
    <n v="87.943661971831006"/>
    <n v="760.71267605633795"/>
  </r>
  <r>
    <n v="633"/>
    <x v="0"/>
    <s v="Freshwater"/>
    <x v="1"/>
    <x v="0"/>
    <n v="812"/>
    <s v="Quilcene River"/>
    <s v="Quilcene River"/>
    <s v="Jefferson"/>
    <x v="4"/>
    <s v="King"/>
    <x v="3"/>
    <s v="South Puget Sound"/>
    <m/>
    <n v="6.28169014084507"/>
    <n v="54.336619718309898"/>
  </r>
  <r>
    <n v="646"/>
    <x v="0"/>
    <s v="Freshwater"/>
    <x v="1"/>
    <x v="0"/>
    <n v="812"/>
    <s v="Quilcene River"/>
    <s v="Quilcene River"/>
    <s v="Jefferson"/>
    <x v="4"/>
    <s v="Kitsap"/>
    <x v="4"/>
    <s v="South Puget Sound"/>
    <m/>
    <n v="18.845070422535201"/>
    <n v="163.00985915493001"/>
  </r>
  <r>
    <n v="645"/>
    <x v="0"/>
    <s v="Freshwater"/>
    <x v="1"/>
    <x v="0"/>
    <n v="812"/>
    <s v="Quilcene River"/>
    <s v="Quilcene River"/>
    <s v="Jefferson"/>
    <x v="4"/>
    <s v="Mason"/>
    <x v="5"/>
    <s v="South Puget Sound"/>
    <m/>
    <n v="81.661971830985905"/>
    <n v="706.37605633802798"/>
  </r>
  <r>
    <n v="632"/>
    <x v="0"/>
    <s v="Freshwater"/>
    <x v="1"/>
    <x v="0"/>
    <n v="812"/>
    <s v="Quilcene River"/>
    <s v="Quilcene River"/>
    <s v="Jefferson"/>
    <x v="4"/>
    <s v="Snohomish"/>
    <x v="9"/>
    <s v="North Puget Sound"/>
    <m/>
    <n v="50.253521126760603"/>
    <n v="434.69295774647901"/>
  </r>
  <r>
    <n v="634"/>
    <x v="0"/>
    <s v="Freshwater"/>
    <x v="1"/>
    <x v="0"/>
    <n v="812"/>
    <s v="Quilcene River"/>
    <s v="Quilcene River"/>
    <s v="Jefferson"/>
    <x v="4"/>
    <s v="Thurston"/>
    <x v="10"/>
    <s v="South Puget Sound"/>
    <m/>
    <n v="81.661971830985905"/>
    <n v="706.37605633802798"/>
  </r>
  <r>
    <n v="2154"/>
    <x v="0"/>
    <s v="Freshwater"/>
    <x v="1"/>
    <x v="0"/>
    <n v="816"/>
    <s v="Samish River"/>
    <s v="Samish River"/>
    <s v="Skagit"/>
    <x v="1"/>
    <s v="Island"/>
    <x v="1"/>
    <s v="North Puget Sound"/>
    <m/>
    <n v="467.07385229540898"/>
    <n v="4040.1888223552901"/>
  </r>
  <r>
    <n v="2286"/>
    <x v="0"/>
    <s v="Freshwater"/>
    <x v="1"/>
    <x v="0"/>
    <n v="816"/>
    <s v="Samish River"/>
    <s v="Samish River"/>
    <s v="Skagit"/>
    <x v="1"/>
    <s v="King"/>
    <x v="3"/>
    <s v="South Puget Sound"/>
    <m/>
    <n v="258.11976047904199"/>
    <n v="2232.7359281437102"/>
  </r>
  <r>
    <n v="2287"/>
    <x v="0"/>
    <s v="Freshwater"/>
    <x v="1"/>
    <x v="0"/>
    <n v="816"/>
    <s v="Samish River"/>
    <s v="Samish River"/>
    <s v="Skagit"/>
    <x v="1"/>
    <s v="Kitsap"/>
    <x v="4"/>
    <s v="South Puget Sound"/>
    <m/>
    <n v="6.1457085828343301"/>
    <n v="53.160379241516999"/>
  </r>
  <r>
    <n v="2288"/>
    <x v="0"/>
    <s v="Freshwater"/>
    <x v="1"/>
    <x v="0"/>
    <n v="816"/>
    <s v="Samish River"/>
    <s v="Samish River"/>
    <s v="Skagit"/>
    <x v="1"/>
    <s v="Other"/>
    <x v="6"/>
    <s v="Non Puget Sound"/>
    <m/>
    <n v="362.59680638722602"/>
    <n v="3136.4623752495099"/>
  </r>
  <r>
    <n v="2155"/>
    <x v="0"/>
    <s v="Freshwater"/>
    <x v="1"/>
    <x v="0"/>
    <n v="816"/>
    <s v="Samish River"/>
    <s v="Samish River"/>
    <s v="Skagit"/>
    <x v="1"/>
    <s v="San Juan"/>
    <x v="12"/>
    <s v="North Puget Sound"/>
    <m/>
    <n v="73.748502994012"/>
    <n v="637.92455089820396"/>
  </r>
  <r>
    <n v="2152"/>
    <x v="0"/>
    <s v="Freshwater"/>
    <x v="1"/>
    <x v="0"/>
    <n v="816"/>
    <s v="Samish River"/>
    <s v="Samish River"/>
    <s v="Skagit"/>
    <x v="1"/>
    <s v="Skagit"/>
    <x v="8"/>
    <s v="North Puget Sound"/>
    <m/>
    <n v="2144.85229540918"/>
    <n v="18552.972355289399"/>
  </r>
  <r>
    <n v="2153"/>
    <x v="0"/>
    <s v="Freshwater"/>
    <x v="1"/>
    <x v="0"/>
    <n v="816"/>
    <s v="Samish River"/>
    <s v="Samish River"/>
    <s v="Skagit"/>
    <x v="1"/>
    <s v="Snohomish"/>
    <x v="9"/>
    <s v="North Puget Sound"/>
    <m/>
    <n v="1856.00399201597"/>
    <n v="16054.434530938101"/>
  </r>
  <r>
    <n v="2151"/>
    <x v="0"/>
    <s v="Freshwater"/>
    <x v="1"/>
    <x v="0"/>
    <n v="816"/>
    <s v="Samish River"/>
    <s v="Samish River"/>
    <s v="Skagit"/>
    <x v="1"/>
    <s v="Whatcom"/>
    <x v="11"/>
    <s v="North Puget Sound"/>
    <m/>
    <n v="989.45908183632696"/>
    <n v="8558.82105788423"/>
  </r>
  <r>
    <n v="2198"/>
    <x v="0"/>
    <s v="Freshwater"/>
    <x v="1"/>
    <x v="0"/>
    <n v="824"/>
    <s v="Baker River"/>
    <s v="Baker River"/>
    <s v="Skagit/Whatcom"/>
    <x v="1"/>
    <s v="Pierce"/>
    <x v="7"/>
    <s v="South Puget Sound"/>
    <m/>
    <n v="5.9230769230769198"/>
    <n v="51.234615384615402"/>
  </r>
  <r>
    <n v="2196"/>
    <x v="0"/>
    <s v="Freshwater"/>
    <x v="1"/>
    <x v="0"/>
    <n v="824"/>
    <s v="Baker River"/>
    <s v="Baker River"/>
    <s v="Skagit/Whatcom"/>
    <x v="1"/>
    <s v="Skagit"/>
    <x v="8"/>
    <s v="North Puget Sound"/>
    <m/>
    <n v="136.230769230769"/>
    <n v="1178.3961538461499"/>
  </r>
  <r>
    <n v="2197"/>
    <x v="0"/>
    <s v="Freshwater"/>
    <x v="1"/>
    <x v="0"/>
    <n v="824"/>
    <s v="Baker River"/>
    <s v="Baker River"/>
    <s v="Skagit/Whatcom"/>
    <x v="1"/>
    <s v="Snohomish"/>
    <x v="9"/>
    <s v="North Puget Sound"/>
    <m/>
    <n v="5.9230769230769198"/>
    <n v="51.234615384615402"/>
  </r>
  <r>
    <n v="2195"/>
    <x v="0"/>
    <s v="Freshwater"/>
    <x v="1"/>
    <x v="0"/>
    <n v="824"/>
    <s v="Baker River"/>
    <s v="Baker River"/>
    <s v="Skagit/Whatcom"/>
    <x v="1"/>
    <s v="Whatcom"/>
    <x v="11"/>
    <s v="North Puget Sound"/>
    <m/>
    <n v="5.9230769230769198"/>
    <n v="51.234615384615402"/>
  </r>
  <r>
    <n v="1543"/>
    <x v="0"/>
    <s v="Freshwater"/>
    <x v="1"/>
    <x v="0"/>
    <n v="825"/>
    <s v="Baker Lake"/>
    <s v="Baker Lake"/>
    <s v="Whatcom"/>
    <x v="1"/>
    <s v="Island"/>
    <x v="1"/>
    <s v="North Puget Sound"/>
    <m/>
    <n v="177.75757575757601"/>
    <n v="1537.60303030303"/>
  </r>
  <r>
    <n v="1544"/>
    <x v="0"/>
    <s v="Freshwater"/>
    <x v="1"/>
    <x v="0"/>
    <n v="825"/>
    <s v="Baker Lake"/>
    <s v="Baker Lake"/>
    <s v="Whatcom"/>
    <x v="1"/>
    <s v="King"/>
    <x v="3"/>
    <s v="South Puget Sound"/>
    <m/>
    <n v="432.543434343434"/>
    <n v="3741.5007070707002"/>
  </r>
  <r>
    <n v="1546"/>
    <x v="0"/>
    <s v="Freshwater"/>
    <x v="1"/>
    <x v="0"/>
    <n v="825"/>
    <s v="Baker Lake"/>
    <s v="Baker Lake"/>
    <s v="Whatcom"/>
    <x v="1"/>
    <s v="Other"/>
    <x v="6"/>
    <s v="Non Puget Sound"/>
    <m/>
    <n v="82.953535353535401"/>
    <n v="717.54808080808095"/>
  </r>
  <r>
    <n v="1545"/>
    <x v="0"/>
    <s v="Freshwater"/>
    <x v="1"/>
    <x v="0"/>
    <n v="825"/>
    <s v="Baker Lake"/>
    <s v="Baker Lake"/>
    <s v="Whatcom"/>
    <x v="1"/>
    <s v="Pierce"/>
    <x v="7"/>
    <s v="South Puget Sound"/>
    <m/>
    <n v="29.626262626262601"/>
    <n v="256.26717171717098"/>
  </r>
  <r>
    <n v="1541"/>
    <x v="0"/>
    <s v="Freshwater"/>
    <x v="1"/>
    <x v="0"/>
    <n v="825"/>
    <s v="Baker Lake"/>
    <s v="Baker Lake"/>
    <s v="Whatcom"/>
    <x v="1"/>
    <s v="Skagit"/>
    <x v="8"/>
    <s v="North Puget Sound"/>
    <m/>
    <n v="1007.29292929293"/>
    <n v="8713.0838383838509"/>
  </r>
  <r>
    <n v="1542"/>
    <x v="0"/>
    <s v="Freshwater"/>
    <x v="1"/>
    <x v="0"/>
    <n v="825"/>
    <s v="Baker Lake"/>
    <s v="Baker Lake"/>
    <s v="Whatcom"/>
    <x v="1"/>
    <s v="Snohomish"/>
    <x v="9"/>
    <s v="North Puget Sound"/>
    <m/>
    <n v="930.26464646464694"/>
    <n v="8046.7891919191998"/>
  </r>
  <r>
    <n v="1540"/>
    <x v="0"/>
    <s v="Freshwater"/>
    <x v="1"/>
    <x v="0"/>
    <n v="825"/>
    <s v="Baker Lake"/>
    <s v="Baker Lake"/>
    <s v="Whatcom"/>
    <x v="1"/>
    <s v="Whatcom"/>
    <x v="11"/>
    <s v="North Puget Sound"/>
    <m/>
    <n v="272.56161616161597"/>
    <n v="2357.6579797979798"/>
  </r>
  <r>
    <n v="2397"/>
    <x v="0"/>
    <s v="Freshwater"/>
    <x v="1"/>
    <x v="0"/>
    <n v="826"/>
    <s v="Cascade River"/>
    <s v="Cascade River"/>
    <s v="Skagit"/>
    <x v="1"/>
    <s v="Island"/>
    <x v="1"/>
    <s v="North Puget Sound"/>
    <m/>
    <n v="35.517241379310299"/>
    <n v="307.22413793103402"/>
  </r>
  <r>
    <n v="2399"/>
    <x v="0"/>
    <s v="Freshwater"/>
    <x v="1"/>
    <x v="0"/>
    <n v="826"/>
    <s v="Cascade River"/>
    <s v="Cascade River"/>
    <s v="Skagit"/>
    <x v="1"/>
    <s v="Kitsap"/>
    <x v="4"/>
    <s v="South Puget Sound"/>
    <m/>
    <n v="11.8390804597701"/>
    <n v="102.408045977011"/>
  </r>
  <r>
    <n v="2400"/>
    <x v="0"/>
    <s v="Freshwater"/>
    <x v="1"/>
    <x v="0"/>
    <n v="826"/>
    <s v="Cascade River"/>
    <s v="Cascade River"/>
    <s v="Skagit"/>
    <x v="1"/>
    <s v="Other"/>
    <x v="6"/>
    <s v="Non Puget Sound"/>
    <m/>
    <n v="5.9195402298850599"/>
    <n v="51.204022988505798"/>
  </r>
  <r>
    <n v="2398"/>
    <x v="0"/>
    <s v="Freshwater"/>
    <x v="1"/>
    <x v="0"/>
    <n v="826"/>
    <s v="Cascade River"/>
    <s v="Cascade River"/>
    <s v="Skagit"/>
    <x v="1"/>
    <s v="Pierce"/>
    <x v="7"/>
    <s v="South Puget Sound"/>
    <m/>
    <n v="5.9195402298850599"/>
    <n v="51.204022988505798"/>
  </r>
  <r>
    <n v="2290"/>
    <x v="0"/>
    <s v="Freshwater"/>
    <x v="1"/>
    <x v="0"/>
    <n v="826"/>
    <s v="Cascade River"/>
    <s v="Cascade River"/>
    <s v="Skagit"/>
    <x v="1"/>
    <s v="Skagit"/>
    <x v="8"/>
    <s v="North Puget Sound"/>
    <m/>
    <n v="76.954022988505798"/>
    <n v="665.65229885057499"/>
  </r>
  <r>
    <n v="2291"/>
    <x v="0"/>
    <s v="Freshwater"/>
    <x v="1"/>
    <x v="0"/>
    <n v="826"/>
    <s v="Cascade River"/>
    <s v="Cascade River"/>
    <s v="Skagit"/>
    <x v="1"/>
    <s v="Snohomish"/>
    <x v="9"/>
    <s v="North Puget Sound"/>
    <m/>
    <n v="372.931034482759"/>
    <n v="3225.8534482758701"/>
  </r>
  <r>
    <n v="2289"/>
    <x v="0"/>
    <s v="Freshwater"/>
    <x v="1"/>
    <x v="0"/>
    <n v="826"/>
    <s v="Cascade River"/>
    <s v="Cascade River"/>
    <s v="Skagit"/>
    <x v="1"/>
    <s v="Whatcom"/>
    <x v="11"/>
    <s v="North Puget Sound"/>
    <m/>
    <n v="5.9195402298850599"/>
    <n v="51.204022988505798"/>
  </r>
  <r>
    <n v="2242"/>
    <x v="0"/>
    <s v="Freshwater"/>
    <x v="1"/>
    <x v="0"/>
    <n v="830"/>
    <s v="Skagit River"/>
    <s v="Skagit River"/>
    <s v="Skagit/Whatcom"/>
    <x v="2"/>
    <s v="Island"/>
    <x v="1"/>
    <s v="North Puget Sound"/>
    <m/>
    <n v="41.4166666666667"/>
    <n v="358.254166666667"/>
  </r>
  <r>
    <n v="2243"/>
    <x v="0"/>
    <s v="Freshwater"/>
    <x v="1"/>
    <x v="0"/>
    <n v="830"/>
    <s v="Skagit River"/>
    <s v="Skagit River"/>
    <s v="Skagit/Whatcom"/>
    <x v="2"/>
    <s v="King"/>
    <x v="3"/>
    <s v="South Puget Sound"/>
    <m/>
    <n v="41.4166666666667"/>
    <n v="358.254166666667"/>
  </r>
  <r>
    <n v="2246"/>
    <x v="0"/>
    <s v="Freshwater"/>
    <x v="1"/>
    <x v="0"/>
    <n v="830"/>
    <s v="Skagit River"/>
    <s v="Skagit River"/>
    <s v="Skagit/Whatcom"/>
    <x v="2"/>
    <s v="Other"/>
    <x v="6"/>
    <s v="Non Puget Sound"/>
    <m/>
    <n v="82.8333333333333"/>
    <n v="716.50833333333298"/>
  </r>
  <r>
    <n v="2244"/>
    <x v="0"/>
    <s v="Freshwater"/>
    <x v="1"/>
    <x v="0"/>
    <n v="830"/>
    <s v="Skagit River"/>
    <s v="Skagit River"/>
    <s v="Skagit/Whatcom"/>
    <x v="2"/>
    <s v="Pierce"/>
    <x v="7"/>
    <s v="South Puget Sound"/>
    <m/>
    <n v="76.9166666666667"/>
    <n v="665.32916666666699"/>
  </r>
  <r>
    <n v="2200"/>
    <x v="0"/>
    <s v="Freshwater"/>
    <x v="1"/>
    <x v="0"/>
    <n v="830"/>
    <s v="Skagit River"/>
    <s v="Skagit River"/>
    <s v="Skagit/Whatcom"/>
    <x v="2"/>
    <s v="Skagit"/>
    <x v="8"/>
    <s v="North Puget Sound"/>
    <m/>
    <n v="1757.25"/>
    <n v="15200.2125"/>
  </r>
  <r>
    <n v="2201"/>
    <x v="0"/>
    <s v="Freshwater"/>
    <x v="1"/>
    <x v="0"/>
    <n v="830"/>
    <s v="Skagit River"/>
    <s v="Skagit River"/>
    <s v="Skagit/Whatcom"/>
    <x v="2"/>
    <s v="Snohomish"/>
    <x v="9"/>
    <s v="North Puget Sound"/>
    <m/>
    <n v="171.583333333333"/>
    <n v="1484.19583333333"/>
  </r>
  <r>
    <n v="2245"/>
    <x v="0"/>
    <s v="Freshwater"/>
    <x v="1"/>
    <x v="0"/>
    <n v="830"/>
    <s v="Skagit River"/>
    <s v="Skagit River"/>
    <s v="Skagit/Whatcom"/>
    <x v="2"/>
    <s v="Thurston"/>
    <x v="10"/>
    <s v="South Puget Sound"/>
    <m/>
    <n v="5.9166666666666696"/>
    <n v="51.179166666666703"/>
  </r>
  <r>
    <n v="2199"/>
    <x v="0"/>
    <s v="Freshwater"/>
    <x v="1"/>
    <x v="0"/>
    <n v="830"/>
    <s v="Skagit River"/>
    <s v="Skagit River"/>
    <s v="Skagit/Whatcom"/>
    <x v="2"/>
    <s v="Whatcom"/>
    <x v="11"/>
    <s v="North Puget Sound"/>
    <m/>
    <n v="378.66666666666703"/>
    <n v="3275.4666666666699"/>
  </r>
  <r>
    <n v="1119"/>
    <x v="0"/>
    <s v="Freshwater"/>
    <x v="1"/>
    <x v="0"/>
    <n v="834"/>
    <s v="Skokomish River"/>
    <s v="Skokomish River"/>
    <s v="Mason"/>
    <x v="4"/>
    <s v="Clallam"/>
    <x v="0"/>
    <s v="Strait of Juan de Fuca"/>
    <m/>
    <n v="41.576549663928297"/>
    <n v="359.63715459297998"/>
  </r>
  <r>
    <n v="1063"/>
    <x v="0"/>
    <s v="Freshwater"/>
    <x v="1"/>
    <x v="0"/>
    <n v="834"/>
    <s v="Skokomish River"/>
    <s v="Skokomish River"/>
    <s v="Mason"/>
    <x v="4"/>
    <s v="Island"/>
    <x v="1"/>
    <s v="North Puget Sound"/>
    <m/>
    <n v="59.395070948468998"/>
    <n v="513.76736370425704"/>
  </r>
  <r>
    <n v="1064"/>
    <x v="0"/>
    <s v="Freshwater"/>
    <x v="1"/>
    <x v="0"/>
    <n v="834"/>
    <s v="Skokomish River"/>
    <s v="Skokomish River"/>
    <s v="Mason"/>
    <x v="4"/>
    <s v="King"/>
    <x v="3"/>
    <s v="South Puget Sound"/>
    <m/>
    <n v="1550.2113517550399"/>
    <n v="13409.3281926811"/>
  </r>
  <r>
    <n v="1118"/>
    <x v="0"/>
    <s v="Freshwater"/>
    <x v="1"/>
    <x v="0"/>
    <n v="834"/>
    <s v="Skokomish River"/>
    <s v="Skokomish River"/>
    <s v="Mason"/>
    <x v="4"/>
    <s v="Kitsap"/>
    <x v="4"/>
    <s v="South Puget Sound"/>
    <m/>
    <n v="576.13218820014902"/>
    <n v="4983.5434279312904"/>
  </r>
  <r>
    <n v="1117"/>
    <x v="0"/>
    <s v="Freshwater"/>
    <x v="1"/>
    <x v="0"/>
    <n v="834"/>
    <s v="Skokomish River"/>
    <s v="Skokomish River"/>
    <s v="Mason"/>
    <x v="4"/>
    <s v="Mason"/>
    <x v="5"/>
    <s v="South Puget Sound"/>
    <m/>
    <n v="617.70873786407799"/>
    <n v="5343.18058252427"/>
  </r>
  <r>
    <n v="1120"/>
    <x v="0"/>
    <s v="Freshwater"/>
    <x v="1"/>
    <x v="0"/>
    <n v="834"/>
    <s v="Skokomish River"/>
    <s v="Skokomish River"/>
    <s v="Mason"/>
    <x v="4"/>
    <s v="Other"/>
    <x v="6"/>
    <s v="Non Puget Sound"/>
    <m/>
    <n v="481.10007468259897"/>
    <n v="4161.51564600448"/>
  </r>
  <r>
    <n v="1065"/>
    <x v="0"/>
    <s v="Freshwater"/>
    <x v="1"/>
    <x v="0"/>
    <n v="834"/>
    <s v="Skokomish River"/>
    <s v="Skokomish River"/>
    <s v="Mason"/>
    <x v="4"/>
    <s v="Pierce"/>
    <x v="7"/>
    <s v="South Puget Sound"/>
    <m/>
    <n v="2797.5078416728902"/>
    <n v="24198.4428304705"/>
  </r>
  <r>
    <n v="1061"/>
    <x v="0"/>
    <s v="Freshwater"/>
    <x v="1"/>
    <x v="0"/>
    <n v="834"/>
    <s v="Skokomish River"/>
    <s v="Skokomish River"/>
    <s v="Mason"/>
    <x v="4"/>
    <s v="Skagit"/>
    <x v="8"/>
    <s v="North Puget Sound"/>
    <m/>
    <n v="59.395070948468998"/>
    <n v="513.76736370425704"/>
  </r>
  <r>
    <n v="1062"/>
    <x v="0"/>
    <s v="Freshwater"/>
    <x v="1"/>
    <x v="0"/>
    <n v="834"/>
    <s v="Skokomish River"/>
    <s v="Skokomish River"/>
    <s v="Mason"/>
    <x v="4"/>
    <s v="Snohomish"/>
    <x v="9"/>
    <s v="North Puget Sound"/>
    <m/>
    <n v="142.548170276326"/>
    <n v="1233.0416728902201"/>
  </r>
  <r>
    <n v="1116"/>
    <x v="0"/>
    <s v="Freshwater"/>
    <x v="1"/>
    <x v="0"/>
    <n v="834"/>
    <s v="Skokomish River"/>
    <s v="Skokomish River"/>
    <s v="Mason"/>
    <x v="4"/>
    <s v="Thurston"/>
    <x v="10"/>
    <s v="South Puget Sound"/>
    <m/>
    <n v="1597.7274085138199"/>
    <n v="13820.3420836445"/>
  </r>
  <r>
    <n v="1060"/>
    <x v="0"/>
    <s v="Freshwater"/>
    <x v="1"/>
    <x v="0"/>
    <n v="834"/>
    <s v="Skokomish River"/>
    <s v="Skokomish River"/>
    <s v="Mason"/>
    <x v="4"/>
    <s v="Whatcom"/>
    <x v="11"/>
    <s v="North Puget Sound"/>
    <m/>
    <n v="29.697535474234499"/>
    <n v="256.88368185212801"/>
  </r>
  <r>
    <n v="3566"/>
    <x v="0"/>
    <s v="Freshwater"/>
    <x v="1"/>
    <x v="0"/>
    <n v="844"/>
    <s v="Skykomish River"/>
    <s v="Skykomish River"/>
    <s v="Snohomish"/>
    <x v="2"/>
    <s v="King"/>
    <x v="3"/>
    <s v="South Puget Sound"/>
    <m/>
    <n v="291.50364963503699"/>
    <n v="2521.5065693430702"/>
  </r>
  <r>
    <n v="3568"/>
    <x v="0"/>
    <s v="Freshwater"/>
    <x v="1"/>
    <x v="0"/>
    <n v="844"/>
    <s v="Skykomish River"/>
    <s v="Skykomish River"/>
    <s v="Snohomish"/>
    <x v="2"/>
    <s v="Other"/>
    <x v="6"/>
    <s v="Non Puget Sound"/>
    <m/>
    <n v="6.0729927007299302"/>
    <n v="52.531386861313898"/>
  </r>
  <r>
    <n v="3567"/>
    <x v="0"/>
    <s v="Freshwater"/>
    <x v="1"/>
    <x v="0"/>
    <n v="844"/>
    <s v="Skykomish River"/>
    <s v="Skykomish River"/>
    <s v="Snohomish"/>
    <x v="2"/>
    <s v="Pierce"/>
    <x v="7"/>
    <s v="South Puget Sound"/>
    <m/>
    <n v="54.656934306569397"/>
    <n v="472.782481751825"/>
  </r>
  <r>
    <n v="3564"/>
    <x v="0"/>
    <s v="Freshwater"/>
    <x v="1"/>
    <x v="0"/>
    <n v="844"/>
    <s v="Skykomish River"/>
    <s v="Skykomish River"/>
    <s v="Snohomish"/>
    <x v="2"/>
    <s v="Skagit"/>
    <x v="8"/>
    <s v="North Puget Sound"/>
    <m/>
    <n v="12.1459854014599"/>
    <n v="105.06277372262799"/>
  </r>
  <r>
    <n v="3565"/>
    <x v="0"/>
    <s v="Freshwater"/>
    <x v="1"/>
    <x v="0"/>
    <n v="844"/>
    <s v="Skykomish River"/>
    <s v="Skykomish River"/>
    <s v="Snohomish"/>
    <x v="2"/>
    <s v="Snohomish"/>
    <x v="9"/>
    <s v="North Puget Sound"/>
    <m/>
    <n v="431.18248175182498"/>
    <n v="3729.7284671532898"/>
  </r>
  <r>
    <n v="3563"/>
    <x v="0"/>
    <s v="Freshwater"/>
    <x v="1"/>
    <x v="0"/>
    <n v="844"/>
    <s v="Skykomish River"/>
    <s v="Skykomish River"/>
    <s v="Snohomish"/>
    <x v="2"/>
    <s v="Whatcom"/>
    <x v="11"/>
    <s v="North Puget Sound"/>
    <m/>
    <n v="36.437956204379603"/>
    <n v="315.188321167884"/>
  </r>
  <r>
    <n v="3585"/>
    <x v="0"/>
    <s v="Freshwater"/>
    <x v="1"/>
    <x v="0"/>
    <n v="850"/>
    <s v="Snohomish River"/>
    <s v="Snohomish River"/>
    <s v="Snohomish"/>
    <x v="2"/>
    <s v="Jefferson"/>
    <x v="2"/>
    <s v="Strait of Juan de Fuca"/>
    <m/>
    <n v="6"/>
    <n v="51.9"/>
  </r>
  <r>
    <n v="3574"/>
    <x v="0"/>
    <s v="Freshwater"/>
    <x v="1"/>
    <x v="0"/>
    <n v="850"/>
    <s v="Snohomish River"/>
    <s v="Snohomish River"/>
    <s v="Snohomish"/>
    <x v="2"/>
    <s v="King"/>
    <x v="3"/>
    <s v="South Puget Sound"/>
    <m/>
    <n v="114"/>
    <n v="986.1"/>
  </r>
  <r>
    <n v="3586"/>
    <x v="0"/>
    <s v="Freshwater"/>
    <x v="1"/>
    <x v="0"/>
    <n v="850"/>
    <s v="Snohomish River"/>
    <s v="Snohomish River"/>
    <s v="Snohomish"/>
    <x v="2"/>
    <s v="Other"/>
    <x v="6"/>
    <s v="Non Puget Sound"/>
    <m/>
    <n v="18"/>
    <n v="155.69999999999999"/>
  </r>
  <r>
    <n v="3584"/>
    <x v="0"/>
    <s v="Freshwater"/>
    <x v="1"/>
    <x v="0"/>
    <n v="850"/>
    <s v="Snohomish River"/>
    <s v="Snohomish River"/>
    <s v="Snohomish"/>
    <x v="2"/>
    <s v="Pierce"/>
    <x v="7"/>
    <s v="South Puget Sound"/>
    <m/>
    <n v="30"/>
    <n v="259.5"/>
  </r>
  <r>
    <n v="3569"/>
    <x v="0"/>
    <s v="Freshwater"/>
    <x v="1"/>
    <x v="0"/>
    <n v="850"/>
    <s v="Snohomish River"/>
    <s v="Snohomish River"/>
    <s v="Snohomish"/>
    <x v="2"/>
    <s v="Skagit"/>
    <x v="8"/>
    <s v="North Puget Sound"/>
    <m/>
    <n v="18"/>
    <n v="155.69999999999999"/>
  </r>
  <r>
    <n v="3573"/>
    <x v="0"/>
    <s v="Freshwater"/>
    <x v="1"/>
    <x v="0"/>
    <n v="850"/>
    <s v="Snohomish River"/>
    <s v="Snohomish River"/>
    <s v="Snohomish"/>
    <x v="2"/>
    <s v="Snohomish"/>
    <x v="9"/>
    <s v="North Puget Sound"/>
    <m/>
    <n v="624"/>
    <n v="5397.6"/>
  </r>
  <r>
    <n v="1098"/>
    <x v="0"/>
    <s v="Freshwater"/>
    <x v="1"/>
    <x v="0"/>
    <n v="852"/>
    <s v="Snoqualmie River"/>
    <s v="Snoqualmie River"/>
    <s v="Snohomish/King"/>
    <x v="2"/>
    <s v="King"/>
    <x v="3"/>
    <s v="South Puget Sound"/>
    <m/>
    <n v="129.25"/>
    <n v="1118.0125"/>
  </r>
  <r>
    <n v="1099"/>
    <x v="0"/>
    <s v="Freshwater"/>
    <x v="1"/>
    <x v="0"/>
    <n v="852"/>
    <s v="Snoqualmie River"/>
    <s v="Snoqualmie River"/>
    <s v="Snohomish/King"/>
    <x v="2"/>
    <s v="Pierce"/>
    <x v="7"/>
    <s v="South Puget Sound"/>
    <m/>
    <n v="11.75"/>
    <n v="101.6375"/>
  </r>
  <r>
    <n v="1097"/>
    <x v="0"/>
    <s v="Freshwater"/>
    <x v="1"/>
    <x v="0"/>
    <n v="852"/>
    <s v="Snoqualmie River"/>
    <s v="Snoqualmie River"/>
    <s v="Snohomish/King"/>
    <x v="2"/>
    <s v="Snohomish"/>
    <x v="9"/>
    <s v="North Puget Sound"/>
    <m/>
    <n v="47"/>
    <n v="406.55"/>
  </r>
  <r>
    <n v="3589"/>
    <x v="0"/>
    <s v="Freshwater"/>
    <x v="1"/>
    <x v="0"/>
    <n v="872"/>
    <s v="Stillaguamish River"/>
    <s v="Stillaguamish River"/>
    <s v="Snohomish"/>
    <x v="2"/>
    <s v="Island"/>
    <x v="1"/>
    <s v="North Puget Sound"/>
    <m/>
    <n v="12.1785714285714"/>
    <n v="105.344642857143"/>
  </r>
  <r>
    <n v="3587"/>
    <x v="0"/>
    <s v="Freshwater"/>
    <x v="1"/>
    <x v="0"/>
    <n v="872"/>
    <s v="Stillaguamish River"/>
    <s v="Stillaguamish River"/>
    <s v="Snohomish"/>
    <x v="2"/>
    <s v="Snohomish"/>
    <x v="9"/>
    <s v="North Puget Sound"/>
    <m/>
    <n v="328.82142857142901"/>
    <n v="2844.30535714286"/>
  </r>
  <r>
    <n v="1550"/>
    <x v="0"/>
    <s v="Freshwater"/>
    <x v="1"/>
    <x v="0"/>
    <n v="884"/>
    <s v="Whatcom Creek"/>
    <s v="Whatcom Creek"/>
    <s v="Whatcom"/>
    <x v="1"/>
    <s v="Island"/>
    <x v="1"/>
    <s v="North Puget Sound"/>
    <m/>
    <n v="24.456140350877199"/>
    <n v="211.54561403508799"/>
  </r>
  <r>
    <n v="1551"/>
    <x v="0"/>
    <s v="Freshwater"/>
    <x v="1"/>
    <x v="0"/>
    <n v="884"/>
    <s v="Whatcom Creek"/>
    <s v="Whatcom Creek"/>
    <s v="Whatcom"/>
    <x v="1"/>
    <s v="King"/>
    <x v="3"/>
    <s v="South Puget Sound"/>
    <m/>
    <n v="24.456140350877199"/>
    <n v="211.54561403508799"/>
  </r>
  <r>
    <n v="1557"/>
    <x v="0"/>
    <s v="Freshwater"/>
    <x v="1"/>
    <x v="0"/>
    <n v="884"/>
    <s v="Whatcom Creek"/>
    <s v="Whatcom Creek"/>
    <s v="Whatcom"/>
    <x v="1"/>
    <s v="Other"/>
    <x v="6"/>
    <s v="Non Puget Sound"/>
    <m/>
    <n v="18.342105263157901"/>
    <n v="158.659210526316"/>
  </r>
  <r>
    <n v="1552"/>
    <x v="0"/>
    <s v="Freshwater"/>
    <x v="1"/>
    <x v="0"/>
    <n v="884"/>
    <s v="Whatcom Creek"/>
    <s v="Whatcom Creek"/>
    <s v="Whatcom"/>
    <x v="1"/>
    <s v="Pierce"/>
    <x v="7"/>
    <s v="South Puget Sound"/>
    <m/>
    <n v="18.342105263157901"/>
    <n v="158.659210526316"/>
  </r>
  <r>
    <n v="1548"/>
    <x v="0"/>
    <s v="Freshwater"/>
    <x v="1"/>
    <x v="0"/>
    <n v="884"/>
    <s v="Whatcom Creek"/>
    <s v="Whatcom Creek"/>
    <s v="Whatcom"/>
    <x v="1"/>
    <s v="Skagit"/>
    <x v="8"/>
    <s v="North Puget Sound"/>
    <m/>
    <n v="55.026315789473699"/>
    <n v="475.97763157894798"/>
  </r>
  <r>
    <n v="1549"/>
    <x v="0"/>
    <s v="Freshwater"/>
    <x v="1"/>
    <x v="0"/>
    <n v="884"/>
    <s v="Whatcom Creek"/>
    <s v="Whatcom Creek"/>
    <s v="Whatcom"/>
    <x v="1"/>
    <s v="Snohomish"/>
    <x v="9"/>
    <s v="North Puget Sound"/>
    <m/>
    <n v="67.254385964912302"/>
    <n v="581.75043859649099"/>
  </r>
  <r>
    <n v="1547"/>
    <x v="0"/>
    <s v="Freshwater"/>
    <x v="1"/>
    <x v="0"/>
    <n v="884"/>
    <s v="Whatcom Creek"/>
    <s v="Whatcom Creek"/>
    <s v="Whatcom"/>
    <x v="1"/>
    <s v="Whatcom"/>
    <x v="11"/>
    <s v="North Puget Sound"/>
    <m/>
    <n v="1186.12280701754"/>
    <n v="10259.9622807017"/>
  </r>
  <r>
    <n v="978"/>
    <x v="1"/>
    <s v="Freshwater"/>
    <x v="1"/>
    <x v="0"/>
    <n v="714"/>
    <s v="Chambers Creek"/>
    <s v="Chambers Creek"/>
    <s v="Pierce"/>
    <x v="3"/>
    <s v="Pierce"/>
    <x v="7"/>
    <s v="South Puget Sound"/>
    <m/>
    <n v="8.8571428571428594"/>
    <n v="30.468571428571401"/>
  </r>
  <r>
    <n v="979"/>
    <x v="1"/>
    <s v="Freshwater"/>
    <x v="1"/>
    <x v="0"/>
    <n v="714"/>
    <s v="Chambers Creek"/>
    <s v="Chambers Creek"/>
    <s v="Pierce"/>
    <x v="3"/>
    <s v="Thurston"/>
    <x v="10"/>
    <s v="South Puget Sound"/>
    <m/>
    <n v="53.142857142857203"/>
    <n v="182.81142857142899"/>
  </r>
  <r>
    <n v="1558"/>
    <x v="1"/>
    <s v="Freshwater"/>
    <x v="1"/>
    <x v="0"/>
    <n v="724"/>
    <s v="Dakota Creek (Whatcom Co)"/>
    <s v="Dakota Creek (Whatcom Co)"/>
    <s v="Whatcom"/>
    <x v="1"/>
    <s v="Whatcom"/>
    <x v="11"/>
    <s v="North Puget Sound"/>
    <m/>
    <n v="195"/>
    <n v="670.8"/>
  </r>
  <r>
    <n v="662"/>
    <x v="1"/>
    <s v="Freshwater"/>
    <x v="1"/>
    <x v="0"/>
    <n v="732"/>
    <s v="Dewatto River"/>
    <s v="Dewatto River"/>
    <s v="Mason"/>
    <x v="3"/>
    <s v="Kitsap"/>
    <x v="4"/>
    <s v="South Puget Sound"/>
    <m/>
    <n v="141.17647058823499"/>
    <n v="485.64705882352803"/>
  </r>
  <r>
    <n v="661"/>
    <x v="1"/>
    <s v="Freshwater"/>
    <x v="1"/>
    <x v="0"/>
    <n v="732"/>
    <s v="Dewatto River"/>
    <s v="Dewatto River"/>
    <s v="Mason"/>
    <x v="3"/>
    <s v="Thurston"/>
    <x v="10"/>
    <s v="South Puget Sound"/>
    <m/>
    <n v="8.8235294117647101"/>
    <n v="30.352941176470601"/>
  </r>
  <r>
    <n v="649"/>
    <x v="1"/>
    <s v="Freshwater"/>
    <x v="1"/>
    <x v="0"/>
    <n v="734"/>
    <s v="Dosewallips River"/>
    <s v="Dosewallips River"/>
    <s v="Jefferson"/>
    <x v="4"/>
    <s v="King"/>
    <x v="3"/>
    <s v="South Puget Sound"/>
    <m/>
    <n v="9"/>
    <n v="30.96"/>
  </r>
  <r>
    <n v="650"/>
    <x v="1"/>
    <s v="Freshwater"/>
    <x v="1"/>
    <x v="0"/>
    <n v="734"/>
    <s v="Dosewallips River"/>
    <s v="Dosewallips River"/>
    <s v="Jefferson"/>
    <x v="4"/>
    <s v="Kitsap"/>
    <x v="4"/>
    <s v="South Puget Sound"/>
    <m/>
    <n v="9"/>
    <n v="30.96"/>
  </r>
  <r>
    <n v="714"/>
    <x v="1"/>
    <s v="Freshwater"/>
    <x v="1"/>
    <x v="0"/>
    <n v="736"/>
    <s v="Duckabush River"/>
    <s v="Duckabush River"/>
    <s v="Jefferson"/>
    <x v="4"/>
    <s v="Kitsap"/>
    <x v="4"/>
    <s v="South Puget Sound"/>
    <m/>
    <n v="43.75"/>
    <n v="150.5"/>
  </r>
  <r>
    <n v="715"/>
    <x v="1"/>
    <s v="Freshwater"/>
    <x v="1"/>
    <x v="0"/>
    <n v="736"/>
    <s v="Duckabush River"/>
    <s v="Duckabush River"/>
    <s v="Jefferson"/>
    <x v="4"/>
    <s v="Other"/>
    <x v="6"/>
    <s v="Non Puget Sound"/>
    <m/>
    <n v="8.75"/>
    <n v="30.1"/>
  </r>
  <r>
    <n v="713"/>
    <x v="1"/>
    <s v="Freshwater"/>
    <x v="1"/>
    <x v="0"/>
    <n v="736"/>
    <s v="Duckabush River"/>
    <s v="Duckabush River"/>
    <s v="Jefferson"/>
    <x v="4"/>
    <s v="Thurston"/>
    <x v="10"/>
    <s v="South Puget Sound"/>
    <m/>
    <n v="17.5"/>
    <n v="60.2"/>
  </r>
  <r>
    <n v="1402"/>
    <x v="1"/>
    <s v="Freshwater"/>
    <x v="1"/>
    <x v="0"/>
    <n v="738"/>
    <s v="Dungeness River"/>
    <s v="Dungeness River"/>
    <s v="Clallam"/>
    <x v="0"/>
    <s v="Clallam"/>
    <x v="0"/>
    <s v="Strait of Juan de Fuca"/>
    <m/>
    <n v="1483.04498269896"/>
    <n v="5101.67474048442"/>
  </r>
  <r>
    <n v="1403"/>
    <x v="1"/>
    <s v="Freshwater"/>
    <x v="1"/>
    <x v="0"/>
    <n v="738"/>
    <s v="Dungeness River"/>
    <s v="Dungeness River"/>
    <s v="Clallam"/>
    <x v="0"/>
    <s v="Jefferson"/>
    <x v="2"/>
    <s v="Strait of Juan de Fuca"/>
    <m/>
    <n v="296.60899653979197"/>
    <n v="1020.33494809688"/>
  </r>
  <r>
    <n v="1401"/>
    <x v="1"/>
    <s v="Freshwater"/>
    <x v="1"/>
    <x v="0"/>
    <n v="738"/>
    <s v="Dungeness River"/>
    <s v="Dungeness River"/>
    <s v="Clallam"/>
    <x v="0"/>
    <s v="Kitsap"/>
    <x v="4"/>
    <s v="South Puget Sound"/>
    <m/>
    <n v="200.21107266435999"/>
    <n v="688.72608996539805"/>
  </r>
  <r>
    <n v="1404"/>
    <x v="1"/>
    <s v="Freshwater"/>
    <x v="1"/>
    <x v="0"/>
    <n v="738"/>
    <s v="Dungeness River"/>
    <s v="Dungeness River"/>
    <s v="Clallam"/>
    <x v="0"/>
    <s v="Other"/>
    <x v="6"/>
    <s v="Non Puget Sound"/>
    <m/>
    <n v="118.643598615917"/>
    <n v="408.13397923875402"/>
  </r>
  <r>
    <n v="1400"/>
    <x v="1"/>
    <s v="Freshwater"/>
    <x v="1"/>
    <x v="0"/>
    <n v="738"/>
    <s v="Dungeness River"/>
    <s v="Dungeness River"/>
    <s v="Clallam"/>
    <x v="0"/>
    <s v="Pierce"/>
    <x v="7"/>
    <s v="South Puget Sound"/>
    <m/>
    <n v="7.4152249134948098"/>
    <n v="25.508373702422102"/>
  </r>
  <r>
    <n v="1399"/>
    <x v="1"/>
    <s v="Freshwater"/>
    <x v="1"/>
    <x v="0"/>
    <n v="738"/>
    <s v="Dungeness River"/>
    <s v="Dungeness River"/>
    <s v="Clallam"/>
    <x v="0"/>
    <s v="Skagit"/>
    <x v="8"/>
    <s v="North Puget Sound"/>
    <m/>
    <n v="37.076124567474103"/>
    <n v="127.54186851211099"/>
  </r>
  <r>
    <n v="1405"/>
    <x v="1"/>
    <s v="Freshwater"/>
    <x v="1"/>
    <x v="0"/>
    <n v="742"/>
    <s v="Elwha River"/>
    <s v="Elwha River"/>
    <s v="Clallam"/>
    <x v="0"/>
    <s v="Clallam"/>
    <x v="0"/>
    <s v="Strait of Juan de Fuca"/>
    <m/>
    <n v="9"/>
    <n v="30.96"/>
  </r>
  <r>
    <n v="2158"/>
    <x v="1"/>
    <s v="Freshwater"/>
    <x v="1"/>
    <x v="0"/>
    <n v="746"/>
    <s v="Green - Duwamish River"/>
    <s v="Green - Duwamish River"/>
    <s v="King"/>
    <x v="3"/>
    <s v="Island"/>
    <x v="1"/>
    <s v="North Puget Sound"/>
    <m/>
    <n v="7.0216635464027801"/>
    <n v="24.154522599625601"/>
  </r>
  <r>
    <n v="2159"/>
    <x v="1"/>
    <s v="Freshwater"/>
    <x v="1"/>
    <x v="0"/>
    <n v="746"/>
    <s v="Green - Duwamish River"/>
    <s v="Green - Duwamish River"/>
    <s v="King"/>
    <x v="3"/>
    <s v="King"/>
    <x v="3"/>
    <s v="South Puget Sound"/>
    <m/>
    <n v="21633.745386466999"/>
    <n v="74420.084129446506"/>
  </r>
  <r>
    <n v="2162"/>
    <x v="1"/>
    <s v="Freshwater"/>
    <x v="1"/>
    <x v="0"/>
    <n v="746"/>
    <s v="Green - Duwamish River"/>
    <s v="Green - Duwamish River"/>
    <s v="King"/>
    <x v="3"/>
    <s v="Kitsap"/>
    <x v="4"/>
    <s v="South Puget Sound"/>
    <m/>
    <n v="112.34661674244499"/>
    <n v="386.47236159401098"/>
  </r>
  <r>
    <n v="2163"/>
    <x v="1"/>
    <s v="Freshwater"/>
    <x v="1"/>
    <x v="0"/>
    <n v="746"/>
    <s v="Green - Duwamish River"/>
    <s v="Green - Duwamish River"/>
    <s v="King"/>
    <x v="3"/>
    <s v="Other"/>
    <x v="6"/>
    <s v="Non Puget Sound"/>
    <m/>
    <n v="1074.31452259963"/>
    <n v="3695.64195774273"/>
  </r>
  <r>
    <n v="2160"/>
    <x v="1"/>
    <s v="Freshwater"/>
    <x v="1"/>
    <x v="0"/>
    <n v="746"/>
    <s v="Green - Duwamish River"/>
    <s v="Green - Duwamish River"/>
    <s v="King"/>
    <x v="3"/>
    <s v="Pierce"/>
    <x v="7"/>
    <s v="South Puget Sound"/>
    <m/>
    <n v="2478.6472318801798"/>
    <n v="8526.54647766782"/>
  </r>
  <r>
    <n v="2156"/>
    <x v="1"/>
    <s v="Freshwater"/>
    <x v="1"/>
    <x v="0"/>
    <n v="746"/>
    <s v="Green - Duwamish River"/>
    <s v="Green - Duwamish River"/>
    <s v="King"/>
    <x v="3"/>
    <s v="Skagit"/>
    <x v="8"/>
    <s v="North Puget Sound"/>
    <m/>
    <n v="14.043327092805599"/>
    <n v="48.309045199251301"/>
  </r>
  <r>
    <n v="2157"/>
    <x v="1"/>
    <s v="Freshwater"/>
    <x v="1"/>
    <x v="0"/>
    <n v="746"/>
    <s v="Green - Duwamish River"/>
    <s v="Green - Duwamish River"/>
    <s v="King"/>
    <x v="3"/>
    <s v="Snohomish"/>
    <x v="9"/>
    <s v="North Puget Sound"/>
    <m/>
    <n v="891.75127039315305"/>
    <n v="3067.62437015245"/>
  </r>
  <r>
    <n v="2161"/>
    <x v="1"/>
    <s v="Freshwater"/>
    <x v="1"/>
    <x v="0"/>
    <n v="746"/>
    <s v="Green - Duwamish River"/>
    <s v="Green - Duwamish River"/>
    <s v="King"/>
    <x v="3"/>
    <s v="Thurston"/>
    <x v="10"/>
    <s v="South Puget Sound"/>
    <m/>
    <n v="7.0216635464027801"/>
    <n v="24.154522599625601"/>
  </r>
  <r>
    <n v="2022"/>
    <x v="1"/>
    <s v="Freshwater"/>
    <x v="1"/>
    <x v="0"/>
    <n v="746"/>
    <s v="Green - Duwamish River"/>
    <s v="Green - Duwamish River"/>
    <s v="King"/>
    <x v="3"/>
    <s v="Whatcom"/>
    <x v="11"/>
    <s v="North Puget Sound"/>
    <m/>
    <n v="35.108317732013901"/>
    <n v="120.772612998128"/>
  </r>
  <r>
    <n v="773"/>
    <x v="1"/>
    <s v="Freshwater"/>
    <x v="1"/>
    <x v="0"/>
    <n v="754"/>
    <s v="Kennedy Creek"/>
    <s v="Kennedy Creek"/>
    <s v="Mason/Thurston"/>
    <x v="3"/>
    <s v="King"/>
    <x v="3"/>
    <s v="South Puget Sound"/>
    <m/>
    <n v="60.137931034482797"/>
    <n v="206.87448275862101"/>
  </r>
  <r>
    <n v="853"/>
    <x v="1"/>
    <s v="Freshwater"/>
    <x v="1"/>
    <x v="0"/>
    <n v="754"/>
    <s v="Kennedy Creek"/>
    <s v="Kennedy Creek"/>
    <s v="Mason/Thurston"/>
    <x v="3"/>
    <s v="Mason"/>
    <x v="5"/>
    <s v="South Puget Sound"/>
    <m/>
    <n v="45.1034482758621"/>
    <n v="155.155862068966"/>
  </r>
  <r>
    <n v="854"/>
    <x v="1"/>
    <s v="Freshwater"/>
    <x v="1"/>
    <x v="0"/>
    <n v="754"/>
    <s v="Kennedy Creek"/>
    <s v="Kennedy Creek"/>
    <s v="Mason/Thurston"/>
    <x v="3"/>
    <s v="Other"/>
    <x v="6"/>
    <s v="Non Puget Sound"/>
    <m/>
    <n v="7.5172413793103496"/>
    <n v="25.859310344827598"/>
  </r>
  <r>
    <n v="851"/>
    <x v="1"/>
    <s v="Freshwater"/>
    <x v="1"/>
    <x v="0"/>
    <n v="754"/>
    <s v="Kennedy Creek"/>
    <s v="Kennedy Creek"/>
    <s v="Mason/Thurston"/>
    <x v="3"/>
    <s v="Pierce"/>
    <x v="7"/>
    <s v="South Puget Sound"/>
    <m/>
    <n v="7.5172413793103496"/>
    <n v="25.859310344827598"/>
  </r>
  <r>
    <n v="852"/>
    <x v="1"/>
    <s v="Freshwater"/>
    <x v="1"/>
    <x v="0"/>
    <n v="754"/>
    <s v="Kennedy Creek"/>
    <s v="Kennedy Creek"/>
    <s v="Mason/Thurston"/>
    <x v="3"/>
    <s v="Thurston"/>
    <x v="10"/>
    <s v="South Puget Sound"/>
    <m/>
    <n v="97.724137931034505"/>
    <n v="336.17103448275901"/>
  </r>
  <r>
    <n v="2875"/>
    <x v="1"/>
    <s v="Freshwater"/>
    <x v="1"/>
    <x v="0"/>
    <n v="762"/>
    <s v="Lake Washington"/>
    <s v="Lake Washington"/>
    <s v="King"/>
    <x v="3"/>
    <s v="King"/>
    <x v="3"/>
    <s v="South Puget Sound"/>
    <m/>
    <n v="56"/>
    <n v="192.64"/>
  </r>
  <r>
    <n v="1628"/>
    <x v="1"/>
    <s v="Freshwater"/>
    <x v="1"/>
    <x v="0"/>
    <n v="762"/>
    <s v="Lake Washington"/>
    <s v="Lake Washington"/>
    <s v="King"/>
    <x v="3"/>
    <s v="Other"/>
    <x v="6"/>
    <s v="Non Puget Sound"/>
    <m/>
    <n v="7"/>
    <n v="24.08"/>
  </r>
  <r>
    <n v="2518"/>
    <x v="1"/>
    <s v="Freshwater"/>
    <x v="1"/>
    <x v="0"/>
    <n v="762"/>
    <s v="Lake Washington"/>
    <s v="Lake Washington"/>
    <s v="King"/>
    <x v="3"/>
    <s v="Snohomish"/>
    <x v="9"/>
    <s v="North Puget Sound"/>
    <m/>
    <n v="35"/>
    <n v="120.4"/>
  </r>
  <r>
    <n v="2444"/>
    <x v="1"/>
    <s v="Freshwater"/>
    <x v="1"/>
    <x v="0"/>
    <n v="764"/>
    <s v="Lake Sammamish"/>
    <s v="Lake Sammamish"/>
    <s v="King"/>
    <x v="3"/>
    <s v="King"/>
    <x v="3"/>
    <s v="South Puget Sound"/>
    <m/>
    <n v="151.111111111111"/>
    <n v="519.82222222222197"/>
  </r>
  <r>
    <n v="2691"/>
    <x v="1"/>
    <s v="Freshwater"/>
    <x v="1"/>
    <x v="0"/>
    <n v="764"/>
    <s v="Lake Sammamish"/>
    <s v="Lake Sammamish"/>
    <s v="King"/>
    <x v="3"/>
    <s v="Other"/>
    <x v="6"/>
    <s v="Non Puget Sound"/>
    <m/>
    <n v="37.7777777777778"/>
    <n v="129.955555555556"/>
  </r>
  <r>
    <n v="2538"/>
    <x v="1"/>
    <s v="Freshwater"/>
    <x v="1"/>
    <x v="0"/>
    <n v="764"/>
    <s v="Lake Sammamish"/>
    <s v="Lake Sammamish"/>
    <s v="King"/>
    <x v="3"/>
    <s v="Pierce"/>
    <x v="7"/>
    <s v="South Puget Sound"/>
    <m/>
    <n v="7.5555555555555598"/>
    <n v="25.991111111111099"/>
  </r>
  <r>
    <n v="1792"/>
    <x v="1"/>
    <s v="Freshwater"/>
    <x v="1"/>
    <x v="0"/>
    <n v="764"/>
    <s v="Lake Sammamish"/>
    <s v="Lake Sammamish"/>
    <s v="King"/>
    <x v="3"/>
    <s v="Snohomish"/>
    <x v="9"/>
    <s v="North Puget Sound"/>
    <m/>
    <n v="7.5555555555555598"/>
    <n v="25.991111111111099"/>
  </r>
  <r>
    <n v="329"/>
    <x v="1"/>
    <s v="Freshwater"/>
    <x v="1"/>
    <x v="0"/>
    <n v="778"/>
    <s v="Minter Creek"/>
    <s v="Minter Creek"/>
    <s v="Kitsap/Pierce"/>
    <x v="3"/>
    <s v="King"/>
    <x v="3"/>
    <s v="South Puget Sound"/>
    <m/>
    <n v="2541.2238805970201"/>
    <n v="8741.8101492537498"/>
  </r>
  <r>
    <n v="333"/>
    <x v="1"/>
    <s v="Freshwater"/>
    <x v="1"/>
    <x v="0"/>
    <n v="778"/>
    <s v="Minter Creek"/>
    <s v="Minter Creek"/>
    <s v="Kitsap/Pierce"/>
    <x v="3"/>
    <s v="Kitsap"/>
    <x v="4"/>
    <s v="South Puget Sound"/>
    <m/>
    <n v="463.35706084959799"/>
    <n v="1593.94828932262"/>
  </r>
  <r>
    <n v="332"/>
    <x v="1"/>
    <s v="Freshwater"/>
    <x v="1"/>
    <x v="0"/>
    <n v="778"/>
    <s v="Minter Creek"/>
    <s v="Minter Creek"/>
    <s v="Kitsap/Pierce"/>
    <x v="3"/>
    <s v="Mason"/>
    <x v="5"/>
    <s v="South Puget Sound"/>
    <m/>
    <n v="383.71756601607399"/>
    <n v="1319.98842709529"/>
  </r>
  <r>
    <n v="334"/>
    <x v="1"/>
    <s v="Freshwater"/>
    <x v="1"/>
    <x v="0"/>
    <n v="778"/>
    <s v="Minter Creek"/>
    <s v="Minter Creek"/>
    <s v="Kitsap/Pierce"/>
    <x v="3"/>
    <s v="Other"/>
    <x v="6"/>
    <s v="Non Puget Sound"/>
    <m/>
    <n v="224.438576349024"/>
    <n v="772.06870264064298"/>
  </r>
  <r>
    <n v="330"/>
    <x v="1"/>
    <s v="Freshwater"/>
    <x v="1"/>
    <x v="0"/>
    <n v="778"/>
    <s v="Minter Creek"/>
    <s v="Minter Creek"/>
    <s v="Kitsap/Pierce"/>
    <x v="3"/>
    <s v="Pierce"/>
    <x v="7"/>
    <s v="South Puget Sound"/>
    <m/>
    <n v="2222.6659012629202"/>
    <n v="7645.9707003444501"/>
  </r>
  <r>
    <n v="328"/>
    <x v="1"/>
    <s v="Freshwater"/>
    <x v="1"/>
    <x v="0"/>
    <n v="778"/>
    <s v="Minter Creek"/>
    <s v="Minter Creek"/>
    <s v="Kitsap/Pierce"/>
    <x v="3"/>
    <s v="Snohomish"/>
    <x v="9"/>
    <s v="North Puget Sound"/>
    <m/>
    <n v="260.63834672789898"/>
    <n v="896.59591274397201"/>
  </r>
  <r>
    <n v="331"/>
    <x v="1"/>
    <s v="Freshwater"/>
    <x v="1"/>
    <x v="0"/>
    <n v="778"/>
    <s v="Minter Creek"/>
    <s v="Minter Creek"/>
    <s v="Kitsap/Pierce"/>
    <x v="3"/>
    <s v="Thurston"/>
    <x v="10"/>
    <s v="South Puget Sound"/>
    <m/>
    <n v="195.47876004592399"/>
    <n v="672.44693455797801"/>
  </r>
  <r>
    <n v="327"/>
    <x v="1"/>
    <s v="Freshwater"/>
    <x v="1"/>
    <x v="0"/>
    <n v="778"/>
    <s v="Minter Creek"/>
    <s v="Minter Creek"/>
    <s v="Kitsap/Pierce"/>
    <x v="3"/>
    <s v="Whatcom"/>
    <x v="11"/>
    <s v="North Puget Sound"/>
    <m/>
    <n v="14.4799081515499"/>
    <n v="49.810884041331697"/>
  </r>
  <r>
    <n v="364"/>
    <x v="1"/>
    <s v="Freshwater"/>
    <x v="1"/>
    <x v="0"/>
    <n v="786"/>
    <s v="Nisqually River"/>
    <s v="Nisqually River"/>
    <s v="Thurston/Pierce"/>
    <x v="3"/>
    <s v="King"/>
    <x v="3"/>
    <s v="South Puget Sound"/>
    <m/>
    <n v="784.45244639912096"/>
    <n v="2698.5164156129799"/>
  </r>
  <r>
    <n v="368"/>
    <x v="1"/>
    <s v="Freshwater"/>
    <x v="1"/>
    <x v="0"/>
    <n v="786"/>
    <s v="Nisqually River"/>
    <s v="Nisqually River"/>
    <s v="Thurston/Pierce"/>
    <x v="3"/>
    <s v="Kitsap"/>
    <x v="4"/>
    <s v="South Puget Sound"/>
    <m/>
    <n v="50.377680043980199"/>
    <n v="173.29921935129201"/>
  </r>
  <r>
    <n v="367"/>
    <x v="1"/>
    <s v="Freshwater"/>
    <x v="1"/>
    <x v="0"/>
    <n v="786"/>
    <s v="Nisqually River"/>
    <s v="Nisqually River"/>
    <s v="Thurston/Pierce"/>
    <x v="3"/>
    <s v="Mason"/>
    <x v="5"/>
    <s v="South Puget Sound"/>
    <m/>
    <n v="43.180868609125902"/>
    <n v="148.54218801539301"/>
  </r>
  <r>
    <n v="369"/>
    <x v="1"/>
    <s v="Freshwater"/>
    <x v="1"/>
    <x v="0"/>
    <n v="786"/>
    <s v="Nisqually River"/>
    <s v="Nisqually River"/>
    <s v="Thurston/Pierce"/>
    <x v="3"/>
    <s v="Other"/>
    <x v="6"/>
    <s v="Non Puget Sound"/>
    <m/>
    <n v="820.43650357339197"/>
    <n v="2822.3015722924702"/>
  </r>
  <r>
    <n v="365"/>
    <x v="1"/>
    <s v="Freshwater"/>
    <x v="1"/>
    <x v="0"/>
    <n v="786"/>
    <s v="Nisqually River"/>
    <s v="Nisqually River"/>
    <s v="Thurston/Pierce"/>
    <x v="3"/>
    <s v="Pierce"/>
    <x v="7"/>
    <s v="South Puget Sound"/>
    <m/>
    <n v="4922.6190214403496"/>
    <n v="16933.809433754799"/>
  </r>
  <r>
    <n v="362"/>
    <x v="1"/>
    <s v="Freshwater"/>
    <x v="1"/>
    <x v="0"/>
    <n v="786"/>
    <s v="Nisqually River"/>
    <s v="Nisqually River"/>
    <s v="Thurston/Pierce"/>
    <x v="3"/>
    <s v="Skagit"/>
    <x v="8"/>
    <s v="North Puget Sound"/>
    <m/>
    <n v="21.590434304563001"/>
    <n v="74.271094007696703"/>
  </r>
  <r>
    <n v="363"/>
    <x v="1"/>
    <s v="Freshwater"/>
    <x v="1"/>
    <x v="0"/>
    <n v="786"/>
    <s v="Nisqually River"/>
    <s v="Nisqually River"/>
    <s v="Thurston/Pierce"/>
    <x v="3"/>
    <s v="Snohomish"/>
    <x v="9"/>
    <s v="North Puget Sound"/>
    <m/>
    <n v="129.542605827378"/>
    <n v="445.62656404618002"/>
  </r>
  <r>
    <n v="366"/>
    <x v="1"/>
    <s v="Freshwater"/>
    <x v="1"/>
    <x v="0"/>
    <n v="786"/>
    <s v="Nisqually River"/>
    <s v="Nisqually River"/>
    <s v="Thurston/Pierce"/>
    <x v="3"/>
    <s v="Thurston"/>
    <x v="10"/>
    <s v="South Puget Sound"/>
    <m/>
    <n v="6318.8004398020903"/>
    <n v="21736.673512919198"/>
  </r>
  <r>
    <n v="1560"/>
    <x v="1"/>
    <s v="Freshwater"/>
    <x v="1"/>
    <x v="0"/>
    <n v="788"/>
    <s v="Nooksack River"/>
    <s v="Nooksack River"/>
    <s v="Whatcom"/>
    <x v="1"/>
    <s v="Island"/>
    <x v="1"/>
    <s v="North Puget Sound"/>
    <m/>
    <n v="65.025000000000006"/>
    <n v="223.68600000000001"/>
  </r>
  <r>
    <n v="1561"/>
    <x v="1"/>
    <s v="Freshwater"/>
    <x v="1"/>
    <x v="0"/>
    <n v="788"/>
    <s v="Nooksack River"/>
    <s v="Nooksack River"/>
    <s v="Whatcom"/>
    <x v="1"/>
    <s v="King"/>
    <x v="3"/>
    <s v="South Puget Sound"/>
    <m/>
    <n v="21.675000000000001"/>
    <n v="74.561999999999998"/>
  </r>
  <r>
    <n v="1562"/>
    <x v="1"/>
    <s v="Freshwater"/>
    <x v="1"/>
    <x v="0"/>
    <n v="788"/>
    <s v="Nooksack River"/>
    <s v="Nooksack River"/>
    <s v="Whatcom"/>
    <x v="1"/>
    <s v="Other"/>
    <x v="6"/>
    <s v="Non Puget Sound"/>
    <m/>
    <n v="93.924999999999997"/>
    <n v="323.10199999999998"/>
  </r>
  <r>
    <n v="1559"/>
    <x v="1"/>
    <s v="Freshwater"/>
    <x v="1"/>
    <x v="0"/>
    <n v="788"/>
    <s v="Nooksack River"/>
    <s v="Nooksack River"/>
    <s v="Whatcom"/>
    <x v="1"/>
    <s v="Whatcom"/>
    <x v="11"/>
    <s v="North Puget Sound"/>
    <m/>
    <n v="2420.375"/>
    <n v="8326.09"/>
  </r>
  <r>
    <n v="1067"/>
    <x v="1"/>
    <s v="Freshwater"/>
    <x v="1"/>
    <x v="0"/>
    <n v="802"/>
    <s v="Carbon River"/>
    <s v="Carbon River"/>
    <s v="Pierce"/>
    <x v="3"/>
    <s v="King"/>
    <x v="3"/>
    <s v="South Puget Sound"/>
    <m/>
    <n v="612.33211233211205"/>
    <n v="2106.4224664224698"/>
  </r>
  <r>
    <n v="1071"/>
    <x v="1"/>
    <s v="Freshwater"/>
    <x v="1"/>
    <x v="0"/>
    <n v="802"/>
    <s v="Carbon River"/>
    <s v="Carbon River"/>
    <s v="Pierce"/>
    <x v="3"/>
    <s v="Kitsap"/>
    <x v="4"/>
    <s v="South Puget Sound"/>
    <m/>
    <n v="93.650793650793702"/>
    <n v="322.15873015873001"/>
  </r>
  <r>
    <n v="1070"/>
    <x v="1"/>
    <s v="Freshwater"/>
    <x v="1"/>
    <x v="0"/>
    <n v="802"/>
    <s v="Carbon River"/>
    <s v="Carbon River"/>
    <s v="Pierce"/>
    <x v="3"/>
    <s v="Mason"/>
    <x v="5"/>
    <s v="South Puget Sound"/>
    <m/>
    <n v="7.2039072039072103"/>
    <n v="24.7814407814408"/>
  </r>
  <r>
    <n v="1072"/>
    <x v="1"/>
    <s v="Freshwater"/>
    <x v="1"/>
    <x v="0"/>
    <n v="802"/>
    <s v="Carbon River"/>
    <s v="Carbon River"/>
    <s v="Pierce"/>
    <x v="3"/>
    <s v="Other"/>
    <x v="6"/>
    <s v="Non Puget Sound"/>
    <m/>
    <n v="266.54456654456698"/>
    <n v="916.91330891330995"/>
  </r>
  <r>
    <n v="1068"/>
    <x v="1"/>
    <s v="Freshwater"/>
    <x v="1"/>
    <x v="0"/>
    <n v="802"/>
    <s v="Carbon River"/>
    <s v="Carbon River"/>
    <s v="Pierce"/>
    <x v="3"/>
    <s v="Pierce"/>
    <x v="7"/>
    <s v="South Puget Sound"/>
    <m/>
    <n v="4783.3943833943804"/>
    <n v="16454.876678876699"/>
  </r>
  <r>
    <n v="981"/>
    <x v="1"/>
    <s v="Freshwater"/>
    <x v="1"/>
    <x v="0"/>
    <n v="802"/>
    <s v="Carbon River"/>
    <s v="Carbon River"/>
    <s v="Pierce"/>
    <x v="3"/>
    <s v="Skagit"/>
    <x v="8"/>
    <s v="North Puget Sound"/>
    <m/>
    <n v="14.407814407814399"/>
    <n v="49.5628815628815"/>
  </r>
  <r>
    <n v="1066"/>
    <x v="1"/>
    <s v="Freshwater"/>
    <x v="1"/>
    <x v="0"/>
    <n v="802"/>
    <s v="Carbon River"/>
    <s v="Carbon River"/>
    <s v="Pierce"/>
    <x v="3"/>
    <s v="Snohomish"/>
    <x v="9"/>
    <s v="North Puget Sound"/>
    <m/>
    <n v="43.223443223443198"/>
    <n v="148.68864468864501"/>
  </r>
  <r>
    <n v="1069"/>
    <x v="1"/>
    <s v="Freshwater"/>
    <x v="1"/>
    <x v="0"/>
    <n v="802"/>
    <s v="Carbon River"/>
    <s v="Carbon River"/>
    <s v="Pierce"/>
    <x v="3"/>
    <s v="Thurston"/>
    <x v="10"/>
    <s v="South Puget Sound"/>
    <m/>
    <n v="36.019536019535998"/>
    <n v="123.90720390720401"/>
  </r>
  <r>
    <n v="980"/>
    <x v="1"/>
    <s v="Freshwater"/>
    <x v="1"/>
    <x v="0"/>
    <n v="802"/>
    <s v="Carbon River"/>
    <s v="Carbon River"/>
    <s v="Pierce"/>
    <x v="3"/>
    <s v="Whatcom"/>
    <x v="11"/>
    <s v="North Puget Sound"/>
    <m/>
    <n v="43.223443223443198"/>
    <n v="148.68864468864501"/>
  </r>
  <r>
    <n v="1082"/>
    <x v="1"/>
    <s v="Freshwater"/>
    <x v="1"/>
    <x v="0"/>
    <n v="804"/>
    <s v="Puyallup River"/>
    <s v="Puyallup River"/>
    <s v="Pierce"/>
    <x v="3"/>
    <s v="Clallam"/>
    <x v="0"/>
    <s v="Strait of Juan de Fuca"/>
    <m/>
    <n v="79.238223709059497"/>
    <n v="272.57948955916498"/>
  </r>
  <r>
    <n v="1076"/>
    <x v="1"/>
    <s v="Freshwater"/>
    <x v="1"/>
    <x v="0"/>
    <n v="804"/>
    <s v="Puyallup River"/>
    <s v="Puyallup River"/>
    <s v="Pierce"/>
    <x v="3"/>
    <s v="Island"/>
    <x v="1"/>
    <s v="North Puget Sound"/>
    <m/>
    <n v="21.610424647925299"/>
    <n v="74.339860788863007"/>
  </r>
  <r>
    <n v="1083"/>
    <x v="1"/>
    <s v="Freshwater"/>
    <x v="1"/>
    <x v="0"/>
    <n v="804"/>
    <s v="Puyallup River"/>
    <s v="Puyallup River"/>
    <s v="Pierce"/>
    <x v="3"/>
    <s v="Jefferson"/>
    <x v="2"/>
    <s v="Strait of Juan de Fuca"/>
    <m/>
    <n v="7.20347488264178"/>
    <n v="24.779953596287701"/>
  </r>
  <r>
    <n v="1077"/>
    <x v="1"/>
    <s v="Freshwater"/>
    <x v="1"/>
    <x v="0"/>
    <n v="804"/>
    <s v="Puyallup River"/>
    <s v="Puyallup River"/>
    <s v="Pierce"/>
    <x v="3"/>
    <s v="King"/>
    <x v="3"/>
    <s v="South Puget Sound"/>
    <m/>
    <n v="41881.002967679298"/>
    <n v="144070.65020881701"/>
  </r>
  <r>
    <n v="1081"/>
    <x v="1"/>
    <s v="Freshwater"/>
    <x v="1"/>
    <x v="0"/>
    <n v="804"/>
    <s v="Puyallup River"/>
    <s v="Puyallup River"/>
    <s v="Pierce"/>
    <x v="3"/>
    <s v="Kitsap"/>
    <x v="4"/>
    <s v="South Puget Sound"/>
    <m/>
    <n v="1707.2235471860999"/>
    <n v="5872.8490023201803"/>
  </r>
  <r>
    <n v="1080"/>
    <x v="1"/>
    <s v="Freshwater"/>
    <x v="1"/>
    <x v="0"/>
    <n v="804"/>
    <s v="Puyallup River"/>
    <s v="Puyallup River"/>
    <s v="Pierce"/>
    <x v="3"/>
    <s v="Mason"/>
    <x v="5"/>
    <s v="South Puget Sound"/>
    <m/>
    <n v="475.42934225435698"/>
    <n v="1635.47693735499"/>
  </r>
  <r>
    <n v="1084"/>
    <x v="1"/>
    <s v="Freshwater"/>
    <x v="1"/>
    <x v="0"/>
    <n v="804"/>
    <s v="Puyallup River"/>
    <s v="Puyallup River"/>
    <s v="Pierce"/>
    <x v="3"/>
    <s v="Other"/>
    <x v="6"/>
    <s v="Non Puget Sound"/>
    <m/>
    <n v="7498.8173528300904"/>
    <n v="25795.9316937355"/>
  </r>
  <r>
    <n v="1078"/>
    <x v="1"/>
    <s v="Freshwater"/>
    <x v="1"/>
    <x v="0"/>
    <n v="804"/>
    <s v="Puyallup River"/>
    <s v="Puyallup River"/>
    <s v="Pierce"/>
    <x v="3"/>
    <s v="Pierce"/>
    <x v="7"/>
    <s v="South Puget Sound"/>
    <m/>
    <n v="72589.416392381201"/>
    <n v="249707.59238979101"/>
  </r>
  <r>
    <n v="1074"/>
    <x v="1"/>
    <s v="Freshwater"/>
    <x v="1"/>
    <x v="0"/>
    <n v="804"/>
    <s v="Puyallup River"/>
    <s v="Puyallup River"/>
    <s v="Pierce"/>
    <x v="3"/>
    <s v="Skagit"/>
    <x v="8"/>
    <s v="North Puget Sound"/>
    <m/>
    <n v="14.406949765283599"/>
    <n v="49.559907192575601"/>
  </r>
  <r>
    <n v="1075"/>
    <x v="1"/>
    <s v="Freshwater"/>
    <x v="1"/>
    <x v="0"/>
    <n v="804"/>
    <s v="Puyallup River"/>
    <s v="Puyallup River"/>
    <s v="Pierce"/>
    <x v="3"/>
    <s v="Snohomish"/>
    <x v="9"/>
    <s v="North Puget Sound"/>
    <m/>
    <n v="1743.24092159931"/>
    <n v="5996.7487703016304"/>
  </r>
  <r>
    <n v="1079"/>
    <x v="1"/>
    <s v="Freshwater"/>
    <x v="1"/>
    <x v="0"/>
    <n v="804"/>
    <s v="Puyallup River"/>
    <s v="Puyallup River"/>
    <s v="Pierce"/>
    <x v="3"/>
    <s v="Thurston"/>
    <x v="10"/>
    <s v="South Puget Sound"/>
    <m/>
    <n v="7412.3756542383899"/>
    <n v="25498.572250580099"/>
  </r>
  <r>
    <n v="1073"/>
    <x v="1"/>
    <s v="Freshwater"/>
    <x v="1"/>
    <x v="0"/>
    <n v="804"/>
    <s v="Puyallup River"/>
    <s v="Puyallup River"/>
    <s v="Pierce"/>
    <x v="3"/>
    <s v="Whatcom"/>
    <x v="11"/>
    <s v="North Puget Sound"/>
    <m/>
    <n v="72.034748826417797"/>
    <n v="247.799535962877"/>
  </r>
  <r>
    <n v="1468"/>
    <x v="1"/>
    <s v="Freshwater"/>
    <x v="1"/>
    <x v="0"/>
    <n v="810"/>
    <s v="Pysht River"/>
    <s v="Pysht River"/>
    <s v="Clallam"/>
    <x v="0"/>
    <s v="Kitsap"/>
    <x v="4"/>
    <s v="South Puget Sound"/>
    <m/>
    <n v="27"/>
    <n v="92.88"/>
  </r>
  <r>
    <n v="723"/>
    <x v="1"/>
    <s v="Freshwater"/>
    <x v="1"/>
    <x v="0"/>
    <n v="812"/>
    <s v="Quilcene River"/>
    <s v="Quilcene River"/>
    <s v="Jefferson"/>
    <x v="4"/>
    <s v="Clallam"/>
    <x v="0"/>
    <s v="Strait of Juan de Fuca"/>
    <m/>
    <n v="1068.1699716713899"/>
    <n v="3674.5047025495801"/>
  </r>
  <r>
    <n v="717"/>
    <x v="1"/>
    <s v="Freshwater"/>
    <x v="1"/>
    <x v="0"/>
    <n v="812"/>
    <s v="Quilcene River"/>
    <s v="Quilcene River"/>
    <s v="Jefferson"/>
    <x v="4"/>
    <s v="Island"/>
    <x v="1"/>
    <s v="North Puget Sound"/>
    <m/>
    <n v="170.61048158640199"/>
    <n v="586.90005665722299"/>
  </r>
  <r>
    <n v="724"/>
    <x v="1"/>
    <s v="Freshwater"/>
    <x v="1"/>
    <x v="0"/>
    <n v="812"/>
    <s v="Quilcene River"/>
    <s v="Quilcene River"/>
    <s v="Jefferson"/>
    <x v="4"/>
    <s v="Jefferson"/>
    <x v="2"/>
    <s v="Strait of Juan de Fuca"/>
    <m/>
    <n v="1624.5084985835699"/>
    <n v="5588.30923512748"/>
  </r>
  <r>
    <n v="718"/>
    <x v="1"/>
    <s v="Freshwater"/>
    <x v="1"/>
    <x v="0"/>
    <n v="812"/>
    <s v="Quilcene River"/>
    <s v="Quilcene River"/>
    <s v="Jefferson"/>
    <x v="4"/>
    <s v="King"/>
    <x v="3"/>
    <s v="South Puget Sound"/>
    <m/>
    <n v="482.160056657224"/>
    <n v="1658.6305949008499"/>
  </r>
  <r>
    <n v="722"/>
    <x v="1"/>
    <s v="Freshwater"/>
    <x v="1"/>
    <x v="0"/>
    <n v="812"/>
    <s v="Quilcene River"/>
    <s v="Quilcene River"/>
    <s v="Jefferson"/>
    <x v="4"/>
    <s v="Kitsap"/>
    <x v="4"/>
    <s v="South Puget Sound"/>
    <m/>
    <n v="912.39518413597705"/>
    <n v="3138.6394334277602"/>
  </r>
  <r>
    <n v="721"/>
    <x v="1"/>
    <s v="Freshwater"/>
    <x v="1"/>
    <x v="0"/>
    <n v="812"/>
    <s v="Quilcene River"/>
    <s v="Quilcene River"/>
    <s v="Jefferson"/>
    <x v="4"/>
    <s v="Mason"/>
    <x v="5"/>
    <s v="South Puget Sound"/>
    <m/>
    <n v="370.89235127478798"/>
    <n v="1275.8696883852699"/>
  </r>
  <r>
    <n v="725"/>
    <x v="1"/>
    <s v="Freshwater"/>
    <x v="1"/>
    <x v="0"/>
    <n v="812"/>
    <s v="Quilcene River"/>
    <s v="Quilcene River"/>
    <s v="Jefferson"/>
    <x v="4"/>
    <s v="Other"/>
    <x v="6"/>
    <s v="Non Puget Sound"/>
    <m/>
    <n v="163.19263456090701"/>
    <n v="561.38266288952002"/>
  </r>
  <r>
    <n v="719"/>
    <x v="1"/>
    <s v="Freshwater"/>
    <x v="1"/>
    <x v="0"/>
    <n v="812"/>
    <s v="Quilcene River"/>
    <s v="Quilcene River"/>
    <s v="Jefferson"/>
    <x v="4"/>
    <s v="Pierce"/>
    <x v="7"/>
    <s v="South Puget Sound"/>
    <m/>
    <n v="185.44617563739399"/>
    <n v="637.93484419263496"/>
  </r>
  <r>
    <n v="716"/>
    <x v="1"/>
    <s v="Freshwater"/>
    <x v="1"/>
    <x v="0"/>
    <n v="812"/>
    <s v="Quilcene River"/>
    <s v="Quilcene River"/>
    <s v="Jefferson"/>
    <x v="4"/>
    <s v="Snohomish"/>
    <x v="9"/>
    <s v="North Puget Sound"/>
    <m/>
    <n v="81.596317280453306"/>
    <n v="280.69133144475899"/>
  </r>
  <r>
    <n v="720"/>
    <x v="1"/>
    <s v="Freshwater"/>
    <x v="1"/>
    <x v="0"/>
    <n v="812"/>
    <s v="Quilcene River"/>
    <s v="Quilcene River"/>
    <s v="Jefferson"/>
    <x v="4"/>
    <s v="Thurston"/>
    <x v="10"/>
    <s v="South Puget Sound"/>
    <m/>
    <n v="178.02832861189799"/>
    <n v="612.41745042492903"/>
  </r>
  <r>
    <n v="2516"/>
    <x v="1"/>
    <s v="Freshwater"/>
    <x v="1"/>
    <x v="0"/>
    <n v="816"/>
    <s v="Samish River"/>
    <s v="Samish River"/>
    <s v="Skagit"/>
    <x v="1"/>
    <s v="Clallam"/>
    <x v="0"/>
    <s v="Strait of Juan de Fuca"/>
    <m/>
    <n v="28.901771336553999"/>
    <n v="99.422093397745797"/>
  </r>
  <r>
    <n v="2512"/>
    <x v="1"/>
    <s v="Freshwater"/>
    <x v="1"/>
    <x v="0"/>
    <n v="816"/>
    <s v="Samish River"/>
    <s v="Samish River"/>
    <s v="Skagit"/>
    <x v="1"/>
    <s v="Island"/>
    <x v="1"/>
    <s v="North Puget Sound"/>
    <m/>
    <n v="903.18035426731103"/>
    <n v="3106.94041867955"/>
  </r>
  <r>
    <n v="2513"/>
    <x v="1"/>
    <s v="Freshwater"/>
    <x v="1"/>
    <x v="0"/>
    <n v="816"/>
    <s v="Samish River"/>
    <s v="Samish River"/>
    <s v="Skagit"/>
    <x v="1"/>
    <s v="King"/>
    <x v="3"/>
    <s v="South Puget Sound"/>
    <m/>
    <n v="498.555555555556"/>
    <n v="1715.03111111111"/>
  </r>
  <r>
    <n v="2517"/>
    <x v="1"/>
    <s v="Freshwater"/>
    <x v="1"/>
    <x v="0"/>
    <n v="816"/>
    <s v="Samish River"/>
    <s v="Samish River"/>
    <s v="Skagit"/>
    <x v="1"/>
    <s v="Other"/>
    <x v="6"/>
    <s v="Non Puget Sound"/>
    <m/>
    <n v="332.37037037036998"/>
    <n v="1143.35407407407"/>
  </r>
  <r>
    <n v="2514"/>
    <x v="1"/>
    <s v="Freshwater"/>
    <x v="1"/>
    <x v="0"/>
    <n v="816"/>
    <s v="Samish River"/>
    <s v="Samish River"/>
    <s v="Skagit"/>
    <x v="1"/>
    <s v="Pierce"/>
    <x v="7"/>
    <s v="South Puget Sound"/>
    <m/>
    <n v="115.607085346216"/>
    <n v="397.68837359098302"/>
  </r>
  <r>
    <n v="2510"/>
    <x v="1"/>
    <s v="Freshwater"/>
    <x v="1"/>
    <x v="0"/>
    <n v="816"/>
    <s v="Samish River"/>
    <s v="Samish River"/>
    <s v="Skagit"/>
    <x v="1"/>
    <s v="Skagit"/>
    <x v="8"/>
    <s v="North Puget Sound"/>
    <m/>
    <n v="3049.1368760064402"/>
    <n v="10489.0308534622"/>
  </r>
  <r>
    <n v="2511"/>
    <x v="1"/>
    <s v="Freshwater"/>
    <x v="1"/>
    <x v="0"/>
    <n v="816"/>
    <s v="Samish River"/>
    <s v="Samish River"/>
    <s v="Skagit"/>
    <x v="1"/>
    <s v="Snohomish"/>
    <x v="9"/>
    <s v="North Puget Sound"/>
    <m/>
    <n v="2478.3268921095"/>
    <n v="8525.4445088566808"/>
  </r>
  <r>
    <n v="2515"/>
    <x v="1"/>
    <s v="Freshwater"/>
    <x v="1"/>
    <x v="0"/>
    <n v="816"/>
    <s v="Samish River"/>
    <s v="Samish River"/>
    <s v="Skagit"/>
    <x v="1"/>
    <s v="Thurston"/>
    <x v="10"/>
    <s v="South Puget Sound"/>
    <m/>
    <n v="14.450885668276999"/>
    <n v="49.711046698872899"/>
  </r>
  <r>
    <n v="2401"/>
    <x v="1"/>
    <s v="Freshwater"/>
    <x v="1"/>
    <x v="0"/>
    <n v="816"/>
    <s v="Samish River"/>
    <s v="Samish River"/>
    <s v="Skagit"/>
    <x v="1"/>
    <s v="Whatcom"/>
    <x v="11"/>
    <s v="North Puget Sound"/>
    <m/>
    <n v="1553.47020933978"/>
    <n v="5343.9375201288403"/>
  </r>
  <r>
    <n v="2270"/>
    <x v="1"/>
    <s v="Freshwater"/>
    <x v="1"/>
    <x v="0"/>
    <n v="824"/>
    <s v="Baker River"/>
    <s v="Baker River"/>
    <s v="Skagit/Whatcom"/>
    <x v="1"/>
    <s v="Skagit"/>
    <x v="8"/>
    <s v="North Puget Sound"/>
    <m/>
    <n v="7"/>
    <n v="24.08"/>
  </r>
  <r>
    <n v="1702"/>
    <x v="1"/>
    <s v="Freshwater"/>
    <x v="1"/>
    <x v="0"/>
    <n v="825"/>
    <s v="Baker Lake"/>
    <s v="Baker Lake"/>
    <s v="Whatcom"/>
    <x v="1"/>
    <s v="Clallam"/>
    <x v="0"/>
    <s v="Strait of Juan de Fuca"/>
    <m/>
    <n v="14.5699300699301"/>
    <n v="50.120559440559497"/>
  </r>
  <r>
    <n v="1697"/>
    <x v="1"/>
    <s v="Freshwater"/>
    <x v="1"/>
    <x v="0"/>
    <n v="825"/>
    <s v="Baker Lake"/>
    <s v="Baker Lake"/>
    <s v="Whatcom"/>
    <x v="1"/>
    <s v="Island"/>
    <x v="1"/>
    <s v="North Puget Sound"/>
    <m/>
    <n v="225.83391608391599"/>
    <n v="776.86867132867098"/>
  </r>
  <r>
    <n v="1699"/>
    <x v="1"/>
    <s v="Freshwater"/>
    <x v="1"/>
    <x v="0"/>
    <n v="825"/>
    <s v="Baker Lake"/>
    <s v="Baker Lake"/>
    <s v="Whatcom"/>
    <x v="1"/>
    <s v="King"/>
    <x v="3"/>
    <s v="South Puget Sound"/>
    <m/>
    <n v="1143.7395104895099"/>
    <n v="3934.4639160839101"/>
  </r>
  <r>
    <n v="1703"/>
    <x v="1"/>
    <s v="Freshwater"/>
    <x v="1"/>
    <x v="0"/>
    <n v="825"/>
    <s v="Baker Lake"/>
    <s v="Baker Lake"/>
    <s v="Whatcom"/>
    <x v="1"/>
    <s v="Other"/>
    <x v="6"/>
    <s v="Non Puget Sound"/>
    <m/>
    <n v="699.35664335664296"/>
    <n v="2405.7868531468498"/>
  </r>
  <r>
    <n v="1700"/>
    <x v="1"/>
    <s v="Freshwater"/>
    <x v="1"/>
    <x v="0"/>
    <n v="825"/>
    <s v="Baker Lake"/>
    <s v="Baker Lake"/>
    <s v="Whatcom"/>
    <x v="1"/>
    <s v="Pierce"/>
    <x v="7"/>
    <s v="South Puget Sound"/>
    <m/>
    <n v="131.12937062937101"/>
    <n v="451.08503496503602"/>
  </r>
  <r>
    <n v="1698"/>
    <x v="1"/>
    <s v="Freshwater"/>
    <x v="1"/>
    <x v="0"/>
    <n v="825"/>
    <s v="Baker Lake"/>
    <s v="Baker Lake"/>
    <s v="Whatcom"/>
    <x v="1"/>
    <s v="San Juan"/>
    <x v="12"/>
    <s v="North Puget Sound"/>
    <m/>
    <n v="36.424825174825202"/>
    <n v="125.301398601399"/>
  </r>
  <r>
    <n v="1564"/>
    <x v="1"/>
    <s v="Freshwater"/>
    <x v="1"/>
    <x v="0"/>
    <n v="825"/>
    <s v="Baker Lake"/>
    <s v="Baker Lake"/>
    <s v="Whatcom"/>
    <x v="1"/>
    <s v="Skagit"/>
    <x v="8"/>
    <s v="North Puget Sound"/>
    <m/>
    <n v="1988.79545454546"/>
    <n v="6841.45636363638"/>
  </r>
  <r>
    <n v="1565"/>
    <x v="1"/>
    <s v="Freshwater"/>
    <x v="1"/>
    <x v="0"/>
    <n v="825"/>
    <s v="Baker Lake"/>
    <s v="Baker Lake"/>
    <s v="Whatcom"/>
    <x v="1"/>
    <s v="Snohomish"/>
    <x v="9"/>
    <s v="North Puget Sound"/>
    <m/>
    <n v="2287.4790209790199"/>
    <n v="7868.9278321678303"/>
  </r>
  <r>
    <n v="1701"/>
    <x v="1"/>
    <s v="Freshwater"/>
    <x v="1"/>
    <x v="0"/>
    <n v="825"/>
    <s v="Baker Lake"/>
    <s v="Baker Lake"/>
    <s v="Whatcom"/>
    <x v="1"/>
    <s v="Thurston"/>
    <x v="10"/>
    <s v="South Puget Sound"/>
    <m/>
    <n v="80.134615384615401"/>
    <n v="275.66307692307703"/>
  </r>
  <r>
    <n v="1563"/>
    <x v="1"/>
    <s v="Freshwater"/>
    <x v="1"/>
    <x v="0"/>
    <n v="825"/>
    <s v="Baker Lake"/>
    <s v="Baker Lake"/>
    <s v="Whatcom"/>
    <x v="1"/>
    <s v="Whatcom"/>
    <x v="11"/>
    <s v="North Puget Sound"/>
    <m/>
    <n v="1726.53671328671"/>
    <n v="5939.28629370628"/>
  </r>
  <r>
    <n v="2635"/>
    <x v="1"/>
    <s v="Freshwater"/>
    <x v="1"/>
    <x v="0"/>
    <n v="826"/>
    <s v="Cascade River"/>
    <s v="Cascade River"/>
    <s v="Skagit"/>
    <x v="1"/>
    <s v="Island"/>
    <x v="1"/>
    <s v="North Puget Sound"/>
    <m/>
    <n v="72.819148936170194"/>
    <n v="250.497872340425"/>
  </r>
  <r>
    <n v="2637"/>
    <x v="1"/>
    <s v="Freshwater"/>
    <x v="1"/>
    <x v="0"/>
    <n v="826"/>
    <s v="Cascade River"/>
    <s v="Cascade River"/>
    <s v="Skagit"/>
    <x v="1"/>
    <s v="King"/>
    <x v="3"/>
    <s v="South Puget Sound"/>
    <m/>
    <n v="276.712765957447"/>
    <n v="951.89191489361804"/>
  </r>
  <r>
    <n v="2639"/>
    <x v="1"/>
    <s v="Freshwater"/>
    <x v="1"/>
    <x v="0"/>
    <n v="826"/>
    <s v="Cascade River"/>
    <s v="Cascade River"/>
    <s v="Skagit"/>
    <x v="1"/>
    <s v="Kitsap"/>
    <x v="4"/>
    <s v="South Puget Sound"/>
    <m/>
    <n v="65.537234042553195"/>
    <n v="225.44808510638299"/>
  </r>
  <r>
    <n v="2754"/>
    <x v="1"/>
    <s v="Freshwater"/>
    <x v="1"/>
    <x v="0"/>
    <n v="826"/>
    <s v="Cascade River"/>
    <s v="Cascade River"/>
    <s v="Skagit"/>
    <x v="1"/>
    <s v="Other"/>
    <x v="6"/>
    <s v="Non Puget Sound"/>
    <m/>
    <n v="80.101063829787293"/>
    <n v="275.54765957446801"/>
  </r>
  <r>
    <n v="2638"/>
    <x v="1"/>
    <s v="Freshwater"/>
    <x v="1"/>
    <x v="0"/>
    <n v="826"/>
    <s v="Cascade River"/>
    <s v="Cascade River"/>
    <s v="Skagit"/>
    <x v="1"/>
    <s v="Pierce"/>
    <x v="7"/>
    <s v="South Puget Sound"/>
    <m/>
    <n v="7.2819148936170199"/>
    <n v="25.049787234042501"/>
  </r>
  <r>
    <n v="2636"/>
    <x v="1"/>
    <s v="Freshwater"/>
    <x v="1"/>
    <x v="0"/>
    <n v="826"/>
    <s v="Cascade River"/>
    <s v="Cascade River"/>
    <s v="Skagit"/>
    <x v="1"/>
    <s v="San Juan"/>
    <x v="12"/>
    <s v="North Puget Sound"/>
    <m/>
    <n v="36.409574468085097"/>
    <n v="125.248936170213"/>
  </r>
  <r>
    <n v="2633"/>
    <x v="1"/>
    <s v="Freshwater"/>
    <x v="1"/>
    <x v="0"/>
    <n v="826"/>
    <s v="Cascade River"/>
    <s v="Cascade River"/>
    <s v="Skagit"/>
    <x v="1"/>
    <s v="Skagit"/>
    <x v="8"/>
    <s v="North Puget Sound"/>
    <m/>
    <n v="276.712765957447"/>
    <n v="951.89191489361804"/>
  </r>
  <r>
    <n v="2634"/>
    <x v="1"/>
    <s v="Freshwater"/>
    <x v="1"/>
    <x v="0"/>
    <n v="826"/>
    <s v="Cascade River"/>
    <s v="Cascade River"/>
    <s v="Skagit"/>
    <x v="1"/>
    <s v="Snohomish"/>
    <x v="9"/>
    <s v="North Puget Sound"/>
    <m/>
    <n v="517.01595744680901"/>
    <n v="1778.5348936170201"/>
  </r>
  <r>
    <n v="2632"/>
    <x v="1"/>
    <s v="Freshwater"/>
    <x v="1"/>
    <x v="0"/>
    <n v="826"/>
    <s v="Cascade River"/>
    <s v="Cascade River"/>
    <s v="Skagit"/>
    <x v="1"/>
    <s v="Whatcom"/>
    <x v="11"/>
    <s v="North Puget Sound"/>
    <m/>
    <n v="36.409574468085097"/>
    <n v="125.248936170213"/>
  </r>
  <r>
    <n v="2307"/>
    <x v="1"/>
    <s v="Freshwater"/>
    <x v="1"/>
    <x v="0"/>
    <n v="830"/>
    <s v="Skagit River"/>
    <s v="Skagit River"/>
    <s v="Skagit/Whatcom"/>
    <x v="2"/>
    <s v="Clallam"/>
    <x v="0"/>
    <s v="Strait of Juan de Fuca"/>
    <m/>
    <n v="29.138772398017501"/>
    <n v="100.23737704918"/>
  </r>
  <r>
    <n v="2274"/>
    <x v="1"/>
    <s v="Freshwater"/>
    <x v="1"/>
    <x v="0"/>
    <n v="830"/>
    <s v="Skagit River"/>
    <s v="Skagit River"/>
    <s v="Skagit/Whatcom"/>
    <x v="2"/>
    <s v="Island"/>
    <x v="1"/>
    <s v="North Puget Sound"/>
    <m/>
    <n v="2855.5996950057202"/>
    <n v="9823.2629508196806"/>
  </r>
  <r>
    <n v="2308"/>
    <x v="1"/>
    <s v="Freshwater"/>
    <x v="1"/>
    <x v="0"/>
    <n v="830"/>
    <s v="Skagit River"/>
    <s v="Skagit River"/>
    <s v="Skagit/Whatcom"/>
    <x v="2"/>
    <s v="Jefferson"/>
    <x v="2"/>
    <s v="Strait of Juan de Fuca"/>
    <m/>
    <n v="7.2846930995043904"/>
    <n v="25.059344262295099"/>
  </r>
  <r>
    <n v="2276"/>
    <x v="1"/>
    <s v="Freshwater"/>
    <x v="1"/>
    <x v="0"/>
    <n v="830"/>
    <s v="Skagit River"/>
    <s v="Skagit River"/>
    <s v="Skagit/Whatcom"/>
    <x v="2"/>
    <s v="King"/>
    <x v="3"/>
    <s v="South Puget Sound"/>
    <m/>
    <n v="2739.0446054136501"/>
    <n v="9422.3134426229608"/>
  </r>
  <r>
    <n v="2306"/>
    <x v="1"/>
    <s v="Freshwater"/>
    <x v="1"/>
    <x v="0"/>
    <n v="830"/>
    <s v="Skagit River"/>
    <s v="Skagit River"/>
    <s v="Skagit/Whatcom"/>
    <x v="2"/>
    <s v="Kitsap"/>
    <x v="4"/>
    <s v="South Puget Sound"/>
    <m/>
    <n v="123.839782691575"/>
    <n v="426.00885245901799"/>
  </r>
  <r>
    <n v="2305"/>
    <x v="1"/>
    <s v="Freshwater"/>
    <x v="1"/>
    <x v="0"/>
    <n v="830"/>
    <s v="Skagit River"/>
    <s v="Skagit River"/>
    <s v="Skagit/Whatcom"/>
    <x v="2"/>
    <s v="Mason"/>
    <x v="5"/>
    <s v="South Puget Sound"/>
    <m/>
    <n v="87.416317194052596"/>
    <n v="300.71213114754102"/>
  </r>
  <r>
    <n v="2309"/>
    <x v="1"/>
    <s v="Freshwater"/>
    <x v="1"/>
    <x v="0"/>
    <n v="830"/>
    <s v="Skagit River"/>
    <s v="Skagit River"/>
    <s v="Skagit/Whatcom"/>
    <x v="2"/>
    <s v="Other"/>
    <x v="6"/>
    <s v="Non Puget Sound"/>
    <m/>
    <n v="4603.9260388867697"/>
    <n v="15837.505573770501"/>
  </r>
  <r>
    <n v="2277"/>
    <x v="1"/>
    <s v="Freshwater"/>
    <x v="1"/>
    <x v="0"/>
    <n v="830"/>
    <s v="Skagit River"/>
    <s v="Skagit River"/>
    <s v="Skagit/Whatcom"/>
    <x v="2"/>
    <s v="Pierce"/>
    <x v="7"/>
    <s v="South Puget Sound"/>
    <m/>
    <n v="568.20606176134197"/>
    <n v="1954.62885245902"/>
  </r>
  <r>
    <n v="2275"/>
    <x v="1"/>
    <s v="Freshwater"/>
    <x v="1"/>
    <x v="0"/>
    <n v="830"/>
    <s v="Skagit River"/>
    <s v="Skagit River"/>
    <s v="Skagit/Whatcom"/>
    <x v="2"/>
    <s v="San Juan"/>
    <x v="12"/>
    <s v="North Puget Sound"/>
    <m/>
    <n v="36.423465497521903"/>
    <n v="125.296721311475"/>
  </r>
  <r>
    <n v="2272"/>
    <x v="1"/>
    <s v="Freshwater"/>
    <x v="1"/>
    <x v="0"/>
    <n v="830"/>
    <s v="Skagit River"/>
    <s v="Skagit River"/>
    <s v="Skagit/Whatcom"/>
    <x v="2"/>
    <s v="Skagit"/>
    <x v="8"/>
    <s v="North Puget Sound"/>
    <m/>
    <n v="38441.325486084599"/>
    <n v="132238.15967213101"/>
  </r>
  <r>
    <n v="2273"/>
    <x v="1"/>
    <s v="Freshwater"/>
    <x v="1"/>
    <x v="0"/>
    <n v="830"/>
    <s v="Skagit River"/>
    <s v="Skagit River"/>
    <s v="Skagit/Whatcom"/>
    <x v="2"/>
    <s v="Snohomish"/>
    <x v="9"/>
    <s v="North Puget Sound"/>
    <m/>
    <n v="12354.839496759399"/>
    <n v="42500.647868852298"/>
  </r>
  <r>
    <n v="2278"/>
    <x v="1"/>
    <s v="Freshwater"/>
    <x v="1"/>
    <x v="0"/>
    <n v="830"/>
    <s v="Skagit River"/>
    <s v="Skagit River"/>
    <s v="Skagit/Whatcom"/>
    <x v="2"/>
    <s v="Thurston"/>
    <x v="10"/>
    <s v="South Puget Sound"/>
    <m/>
    <n v="160.263248189096"/>
    <n v="551.30557377049001"/>
  </r>
  <r>
    <n v="2271"/>
    <x v="1"/>
    <s v="Freshwater"/>
    <x v="1"/>
    <x v="0"/>
    <n v="830"/>
    <s v="Skagit River"/>
    <s v="Skagit River"/>
    <s v="Skagit/Whatcom"/>
    <x v="2"/>
    <s v="Whatcom"/>
    <x v="11"/>
    <s v="North Puget Sound"/>
    <m/>
    <n v="14423.6923370187"/>
    <n v="49617.5016393443"/>
  </r>
  <r>
    <n v="1129"/>
    <x v="1"/>
    <s v="Freshwater"/>
    <x v="1"/>
    <x v="0"/>
    <n v="834"/>
    <s v="Skokomish River"/>
    <s v="Skokomish River"/>
    <s v="Mason"/>
    <x v="4"/>
    <s v="Clallam"/>
    <x v="0"/>
    <s v="Strait of Juan de Fuca"/>
    <m/>
    <n v="49.934272300469502"/>
    <n v="171.77389671361499"/>
  </r>
  <r>
    <n v="1123"/>
    <x v="1"/>
    <s v="Freshwater"/>
    <x v="1"/>
    <x v="0"/>
    <n v="834"/>
    <s v="Skokomish River"/>
    <s v="Skokomish River"/>
    <s v="Mason"/>
    <x v="4"/>
    <s v="Island"/>
    <x v="1"/>
    <s v="North Puget Sound"/>
    <m/>
    <n v="42.800804828973902"/>
    <n v="147.23476861167001"/>
  </r>
  <r>
    <n v="1130"/>
    <x v="1"/>
    <s v="Freshwater"/>
    <x v="1"/>
    <x v="0"/>
    <n v="834"/>
    <s v="Skokomish River"/>
    <s v="Skokomish River"/>
    <s v="Mason"/>
    <x v="4"/>
    <s v="Jefferson"/>
    <x v="2"/>
    <s v="Strait of Juan de Fuca"/>
    <m/>
    <n v="7.1334674714956403"/>
    <n v="24.539128101945"/>
  </r>
  <r>
    <n v="1124"/>
    <x v="1"/>
    <s v="Freshwater"/>
    <x v="1"/>
    <x v="0"/>
    <n v="834"/>
    <s v="Skokomish River"/>
    <s v="Skokomish River"/>
    <s v="Mason"/>
    <x v="4"/>
    <s v="King"/>
    <x v="3"/>
    <s v="South Puget Sound"/>
    <m/>
    <n v="1897.5023474178399"/>
    <n v="6527.4080751173697"/>
  </r>
  <r>
    <n v="1128"/>
    <x v="1"/>
    <s v="Freshwater"/>
    <x v="1"/>
    <x v="0"/>
    <n v="834"/>
    <s v="Skokomish River"/>
    <s v="Skokomish River"/>
    <s v="Mason"/>
    <x v="4"/>
    <s v="Kitsap"/>
    <x v="4"/>
    <s v="South Puget Sound"/>
    <m/>
    <n v="1697.7652582159601"/>
    <n v="5840.3124882628999"/>
  </r>
  <r>
    <n v="1127"/>
    <x v="1"/>
    <s v="Freshwater"/>
    <x v="1"/>
    <x v="0"/>
    <n v="834"/>
    <s v="Skokomish River"/>
    <s v="Skokomish River"/>
    <s v="Mason"/>
    <x v="4"/>
    <s v="Mason"/>
    <x v="5"/>
    <s v="South Puget Sound"/>
    <m/>
    <n v="1783.36686787391"/>
    <n v="6134.7820254862499"/>
  </r>
  <r>
    <n v="1131"/>
    <x v="1"/>
    <s v="Freshwater"/>
    <x v="1"/>
    <x v="0"/>
    <n v="834"/>
    <s v="Skokomish River"/>
    <s v="Skokomish River"/>
    <s v="Mason"/>
    <x v="4"/>
    <s v="Other"/>
    <x v="6"/>
    <s v="Non Puget Sound"/>
    <m/>
    <n v="920.21730382293799"/>
    <n v="3165.5475251509101"/>
  </r>
  <r>
    <n v="1125"/>
    <x v="1"/>
    <s v="Freshwater"/>
    <x v="1"/>
    <x v="0"/>
    <n v="834"/>
    <s v="Skokomish River"/>
    <s v="Skokomish River"/>
    <s v="Mason"/>
    <x v="4"/>
    <s v="Pierce"/>
    <x v="7"/>
    <s v="South Puget Sound"/>
    <m/>
    <n v="1712.0321931589499"/>
    <n v="5889.3907444667902"/>
  </r>
  <r>
    <n v="1122"/>
    <x v="1"/>
    <s v="Freshwater"/>
    <x v="1"/>
    <x v="0"/>
    <n v="834"/>
    <s v="Skokomish River"/>
    <s v="Skokomish River"/>
    <s v="Mason"/>
    <x v="4"/>
    <s v="Snohomish"/>
    <x v="9"/>
    <s v="North Puget Sound"/>
    <m/>
    <n v="271.07176391683402"/>
    <n v="932.48686787390898"/>
  </r>
  <r>
    <n v="1126"/>
    <x v="1"/>
    <s v="Freshwater"/>
    <x v="1"/>
    <x v="0"/>
    <n v="834"/>
    <s v="Skokomish River"/>
    <s v="Skokomish River"/>
    <s v="Mason"/>
    <x v="4"/>
    <s v="Thurston"/>
    <x v="10"/>
    <s v="South Puget Sound"/>
    <m/>
    <n v="2225.6418511066399"/>
    <n v="7656.2079678068403"/>
  </r>
  <r>
    <n v="1121"/>
    <x v="1"/>
    <s v="Freshwater"/>
    <x v="1"/>
    <x v="0"/>
    <n v="834"/>
    <s v="Skokomish River"/>
    <s v="Skokomish River"/>
    <s v="Mason"/>
    <x v="4"/>
    <s v="Whatcom"/>
    <x v="11"/>
    <s v="North Puget Sound"/>
    <m/>
    <n v="28.5338698859826"/>
    <n v="98.156512407780099"/>
  </r>
  <r>
    <n v="3617"/>
    <x v="1"/>
    <s v="Freshwater"/>
    <x v="1"/>
    <x v="0"/>
    <n v="840"/>
    <s v="Pilchuck River (Snohomish System)"/>
    <s v="Pilchuck River (Snohomish System)"/>
    <s v="Snohomish"/>
    <x v="2"/>
    <s v="King"/>
    <x v="3"/>
    <s v="South Puget Sound"/>
    <m/>
    <n v="4"/>
    <n v="13.76"/>
  </r>
  <r>
    <n v="3616"/>
    <x v="1"/>
    <s v="Freshwater"/>
    <x v="1"/>
    <x v="0"/>
    <n v="840"/>
    <s v="Pilchuck River (Snohomish System)"/>
    <s v="Pilchuck River (Snohomish System)"/>
    <s v="Snohomish"/>
    <x v="2"/>
    <s v="Snohomish"/>
    <x v="9"/>
    <s v="North Puget Sound"/>
    <m/>
    <n v="4"/>
    <n v="13.76"/>
  </r>
  <r>
    <n v="3621"/>
    <x v="1"/>
    <s v="Freshwater"/>
    <x v="1"/>
    <x v="0"/>
    <n v="844"/>
    <s v="Skykomish River"/>
    <s v="Skykomish River"/>
    <s v="Snohomish"/>
    <x v="2"/>
    <s v="King"/>
    <x v="3"/>
    <s v="South Puget Sound"/>
    <m/>
    <n v="4304.8521377672196"/>
    <n v="14808.691353919199"/>
  </r>
  <r>
    <n v="3624"/>
    <x v="1"/>
    <s v="Freshwater"/>
    <x v="1"/>
    <x v="0"/>
    <n v="844"/>
    <s v="Skykomish River"/>
    <s v="Skykomish River"/>
    <s v="Snohomish"/>
    <x v="2"/>
    <s v="Kitsap"/>
    <x v="4"/>
    <s v="South Puget Sound"/>
    <m/>
    <n v="28.843230403800501"/>
    <n v="99.220712589073699"/>
  </r>
  <r>
    <n v="3625"/>
    <x v="1"/>
    <s v="Freshwater"/>
    <x v="1"/>
    <x v="0"/>
    <n v="844"/>
    <s v="Skykomish River"/>
    <s v="Skykomish River"/>
    <s v="Snohomish"/>
    <x v="2"/>
    <s v="Other"/>
    <x v="6"/>
    <s v="Non Puget Sound"/>
    <m/>
    <n v="1074.4103325415699"/>
    <n v="3695.9715439430001"/>
  </r>
  <r>
    <n v="3622"/>
    <x v="1"/>
    <s v="Freshwater"/>
    <x v="1"/>
    <x v="0"/>
    <n v="844"/>
    <s v="Skykomish River"/>
    <s v="Skykomish River"/>
    <s v="Snohomish"/>
    <x v="2"/>
    <s v="Pierce"/>
    <x v="7"/>
    <s v="South Puget Sound"/>
    <m/>
    <n v="216.324228028504"/>
    <n v="744.15534441805403"/>
  </r>
  <r>
    <n v="3619"/>
    <x v="1"/>
    <s v="Freshwater"/>
    <x v="1"/>
    <x v="0"/>
    <n v="844"/>
    <s v="Skykomish River"/>
    <s v="Skykomish River"/>
    <s v="Snohomish"/>
    <x v="2"/>
    <s v="Skagit"/>
    <x v="8"/>
    <s v="North Puget Sound"/>
    <m/>
    <n v="137.005344418052"/>
    <n v="471.29838479809899"/>
  </r>
  <r>
    <n v="3620"/>
    <x v="1"/>
    <s v="Freshwater"/>
    <x v="1"/>
    <x v="0"/>
    <n v="844"/>
    <s v="Skykomish River"/>
    <s v="Skykomish River"/>
    <s v="Snohomish"/>
    <x v="2"/>
    <s v="Snohomish"/>
    <x v="9"/>
    <s v="North Puget Sound"/>
    <m/>
    <n v="6237.34857482185"/>
    <n v="21456.4790973872"/>
  </r>
  <r>
    <n v="3623"/>
    <x v="1"/>
    <s v="Freshwater"/>
    <x v="1"/>
    <x v="0"/>
    <n v="844"/>
    <s v="Skykomish River"/>
    <s v="Skykomish River"/>
    <s v="Snohomish"/>
    <x v="2"/>
    <s v="Thurston"/>
    <x v="10"/>
    <s v="South Puget Sound"/>
    <m/>
    <n v="72.108076009501204"/>
    <n v="248.05178147268401"/>
  </r>
  <r>
    <n v="3618"/>
    <x v="1"/>
    <s v="Freshwater"/>
    <x v="1"/>
    <x v="0"/>
    <n v="844"/>
    <s v="Skykomish River"/>
    <s v="Skykomish River"/>
    <s v="Snohomish"/>
    <x v="2"/>
    <s v="Whatcom"/>
    <x v="11"/>
    <s v="North Puget Sound"/>
    <m/>
    <n v="72.108076009501204"/>
    <n v="248.05178147268401"/>
  </r>
  <r>
    <n v="3658"/>
    <x v="1"/>
    <s v="Freshwater"/>
    <x v="1"/>
    <x v="0"/>
    <n v="850"/>
    <s v="Snohomish River"/>
    <s v="Snohomish River"/>
    <s v="Snohomish"/>
    <x v="2"/>
    <s v="Clallam"/>
    <x v="0"/>
    <s v="Strait of Juan de Fuca"/>
    <m/>
    <n v="36.0342619276337"/>
    <n v="123.95786103106001"/>
  </r>
  <r>
    <n v="3635"/>
    <x v="1"/>
    <s v="Freshwater"/>
    <x v="1"/>
    <x v="0"/>
    <n v="850"/>
    <s v="Snohomish River"/>
    <s v="Snohomish River"/>
    <s v="Snohomish"/>
    <x v="2"/>
    <s v="Island"/>
    <x v="1"/>
    <s v="North Puget Sound"/>
    <m/>
    <n v="43.241114313160402"/>
    <n v="148.749433237272"/>
  </r>
  <r>
    <n v="3636"/>
    <x v="1"/>
    <s v="Freshwater"/>
    <x v="1"/>
    <x v="0"/>
    <n v="850"/>
    <s v="Snohomish River"/>
    <s v="Snohomish River"/>
    <s v="Snohomish"/>
    <x v="2"/>
    <s v="King"/>
    <x v="3"/>
    <s v="South Puget Sound"/>
    <m/>
    <n v="14320.0156900416"/>
    <n v="49260.853973743098"/>
  </r>
  <r>
    <n v="3657"/>
    <x v="1"/>
    <s v="Freshwater"/>
    <x v="1"/>
    <x v="0"/>
    <n v="850"/>
    <s v="Snohomish River"/>
    <s v="Snohomish River"/>
    <s v="Snohomish"/>
    <x v="2"/>
    <s v="Kitsap"/>
    <x v="4"/>
    <s v="South Puget Sound"/>
    <m/>
    <n v="50.447966698687203"/>
    <n v="173.54100544348401"/>
  </r>
  <r>
    <n v="3656"/>
    <x v="1"/>
    <s v="Freshwater"/>
    <x v="1"/>
    <x v="0"/>
    <n v="850"/>
    <s v="Snohomish River"/>
    <s v="Snohomish River"/>
    <s v="Snohomish"/>
    <x v="2"/>
    <s v="Mason"/>
    <x v="5"/>
    <s v="South Puget Sound"/>
    <m/>
    <n v="28.827409542106999"/>
    <n v="99.166288824848095"/>
  </r>
  <r>
    <n v="3659"/>
    <x v="1"/>
    <s v="Freshwater"/>
    <x v="1"/>
    <x v="0"/>
    <n v="850"/>
    <s v="Snohomish River"/>
    <s v="Snohomish River"/>
    <s v="Snohomish"/>
    <x v="2"/>
    <s v="Other"/>
    <x v="6"/>
    <s v="Non Puget Sound"/>
    <m/>
    <n v="4151.1469740634002"/>
    <n v="14279.945590778099"/>
  </r>
  <r>
    <n v="3638"/>
    <x v="1"/>
    <s v="Freshwater"/>
    <x v="1"/>
    <x v="0"/>
    <n v="850"/>
    <s v="Snohomish River"/>
    <s v="Snohomish River"/>
    <s v="Snohomish"/>
    <x v="2"/>
    <s v="Pierce"/>
    <x v="7"/>
    <s v="South Puget Sound"/>
    <m/>
    <n v="324.308357348703"/>
    <n v="1115.62074927954"/>
  </r>
  <r>
    <n v="3633"/>
    <x v="1"/>
    <s v="Freshwater"/>
    <x v="1"/>
    <x v="0"/>
    <n v="850"/>
    <s v="Snohomish River"/>
    <s v="Snohomish River"/>
    <s v="Snohomish"/>
    <x v="2"/>
    <s v="Skagit"/>
    <x v="8"/>
    <s v="North Puget Sound"/>
    <m/>
    <n v="461.23855267371101"/>
    <n v="1586.66062119757"/>
  </r>
  <r>
    <n v="3634"/>
    <x v="1"/>
    <s v="Freshwater"/>
    <x v="1"/>
    <x v="0"/>
    <n v="850"/>
    <s v="Snohomish River"/>
    <s v="Snohomish River"/>
    <s v="Snohomish"/>
    <x v="2"/>
    <s v="Snohomish"/>
    <x v="9"/>
    <s v="North Puget Sound"/>
    <m/>
    <n v="47521.984630163301"/>
    <n v="163475.62712776201"/>
  </r>
  <r>
    <n v="3655"/>
    <x v="1"/>
    <s v="Freshwater"/>
    <x v="1"/>
    <x v="0"/>
    <n v="850"/>
    <s v="Snohomish River"/>
    <s v="Snohomish River"/>
    <s v="Snohomish"/>
    <x v="2"/>
    <s v="Thurston"/>
    <x v="10"/>
    <s v="South Puget Sound"/>
    <m/>
    <n v="345.92891450528299"/>
    <n v="1189.9954658981701"/>
  </r>
  <r>
    <n v="3628"/>
    <x v="1"/>
    <s v="Freshwater"/>
    <x v="1"/>
    <x v="0"/>
    <n v="850"/>
    <s v="Snohomish River"/>
    <s v="Snohomish River"/>
    <s v="Snohomish"/>
    <x v="2"/>
    <s v="Whatcom"/>
    <x v="11"/>
    <s v="North Puget Sound"/>
    <m/>
    <n v="237.82612872238201"/>
    <n v="818.12188280499402"/>
  </r>
  <r>
    <n v="1175"/>
    <x v="1"/>
    <s v="Freshwater"/>
    <x v="1"/>
    <x v="0"/>
    <n v="852"/>
    <s v="Snoqualmie River"/>
    <s v="Snoqualmie River"/>
    <s v="Snohomish/King"/>
    <x v="2"/>
    <s v="King"/>
    <x v="3"/>
    <s v="South Puget Sound"/>
    <m/>
    <n v="713.686567164179"/>
    <n v="2455.0817910447799"/>
  </r>
  <r>
    <n v="1176"/>
    <x v="1"/>
    <s v="Freshwater"/>
    <x v="1"/>
    <x v="0"/>
    <n v="852"/>
    <s v="Snoqualmie River"/>
    <s v="Snoqualmie River"/>
    <s v="Snohomish/King"/>
    <x v="2"/>
    <s v="Other"/>
    <x v="6"/>
    <s v="Non Puget Sound"/>
    <m/>
    <n v="50.462686567164198"/>
    <n v="173.59164179104499"/>
  </r>
  <r>
    <n v="1174"/>
    <x v="1"/>
    <s v="Freshwater"/>
    <x v="1"/>
    <x v="0"/>
    <n v="852"/>
    <s v="Snoqualmie River"/>
    <s v="Snoqualmie River"/>
    <s v="Snohomish/King"/>
    <x v="2"/>
    <s v="Snohomish"/>
    <x v="9"/>
    <s v="North Puget Sound"/>
    <m/>
    <n v="201.85074626865699"/>
    <n v="694.36656716417997"/>
  </r>
  <r>
    <n v="1511"/>
    <x v="1"/>
    <s v="Freshwater"/>
    <x v="1"/>
    <x v="0"/>
    <n v="858"/>
    <s v="Tolt River"/>
    <s v="Tolt River"/>
    <s v="King"/>
    <x v="2"/>
    <s v="King"/>
    <x v="3"/>
    <s v="South Puget Sound"/>
    <m/>
    <n v="4"/>
    <n v="13.76"/>
  </r>
  <r>
    <n v="3683"/>
    <x v="1"/>
    <s v="Freshwater"/>
    <x v="1"/>
    <x v="0"/>
    <n v="872"/>
    <s v="Stillaguamish River"/>
    <s v="Stillaguamish River"/>
    <s v="Snohomish"/>
    <x v="2"/>
    <s v="Clallam"/>
    <x v="0"/>
    <s v="Strait of Juan de Fuca"/>
    <m/>
    <n v="86.066815144766196"/>
    <n v="296.069844097996"/>
  </r>
  <r>
    <n v="3665"/>
    <x v="1"/>
    <s v="Freshwater"/>
    <x v="1"/>
    <x v="0"/>
    <n v="872"/>
    <s v="Stillaguamish River"/>
    <s v="Stillaguamish River"/>
    <s v="Snohomish"/>
    <x v="2"/>
    <s v="Island"/>
    <x v="1"/>
    <s v="North Puget Sound"/>
    <m/>
    <n v="401.64513734224198"/>
    <n v="1381.65927245731"/>
  </r>
  <r>
    <n v="3666"/>
    <x v="1"/>
    <s v="Freshwater"/>
    <x v="1"/>
    <x v="0"/>
    <n v="872"/>
    <s v="Stillaguamish River"/>
    <s v="Stillaguamish River"/>
    <s v="Snohomish"/>
    <x v="2"/>
    <s v="King"/>
    <x v="3"/>
    <s v="South Puget Sound"/>
    <m/>
    <n v="788.94580549369005"/>
    <n v="2713.9735708982898"/>
  </r>
  <r>
    <n v="3684"/>
    <x v="1"/>
    <s v="Freshwater"/>
    <x v="1"/>
    <x v="0"/>
    <n v="872"/>
    <s v="Stillaguamish River"/>
    <s v="Stillaguamish River"/>
    <s v="Snohomish"/>
    <x v="2"/>
    <s v="Other"/>
    <x v="6"/>
    <s v="Non Puget Sound"/>
    <m/>
    <n v="272.54491462509299"/>
    <n v="937.55450631031999"/>
  </r>
  <r>
    <n v="3667"/>
    <x v="1"/>
    <s v="Freshwater"/>
    <x v="1"/>
    <x v="0"/>
    <n v="872"/>
    <s v="Stillaguamish River"/>
    <s v="Stillaguamish River"/>
    <s v="Snohomish"/>
    <x v="2"/>
    <s v="Pierce"/>
    <x v="7"/>
    <s v="South Puget Sound"/>
    <m/>
    <n v="7.17223459539718"/>
    <n v="24.6724870081663"/>
  </r>
  <r>
    <n v="3663"/>
    <x v="1"/>
    <s v="Freshwater"/>
    <x v="1"/>
    <x v="0"/>
    <n v="872"/>
    <s v="Stillaguamish River"/>
    <s v="Stillaguamish River"/>
    <s v="Snohomish"/>
    <x v="2"/>
    <s v="Skagit"/>
    <x v="8"/>
    <s v="North Puget Sound"/>
    <m/>
    <n v="243.85597624350399"/>
    <n v="838.86455827765406"/>
  </r>
  <r>
    <n v="3664"/>
    <x v="1"/>
    <s v="Freshwater"/>
    <x v="1"/>
    <x v="0"/>
    <n v="872"/>
    <s v="Stillaguamish River"/>
    <s v="Stillaguamish River"/>
    <s v="Snohomish"/>
    <x v="2"/>
    <s v="Snohomish"/>
    <x v="9"/>
    <s v="North Puget Sound"/>
    <m/>
    <n v="7602.5686711210101"/>
    <n v="26152.836228656299"/>
  </r>
  <r>
    <n v="3668"/>
    <x v="1"/>
    <s v="Freshwater"/>
    <x v="1"/>
    <x v="0"/>
    <n v="872"/>
    <s v="Stillaguamish River"/>
    <s v="Stillaguamish River"/>
    <s v="Snohomish"/>
    <x v="2"/>
    <s v="Thurston"/>
    <x v="10"/>
    <s v="South Puget Sound"/>
    <m/>
    <n v="7.17223459539718"/>
    <n v="24.6724870081663"/>
  </r>
  <r>
    <n v="3660"/>
    <x v="1"/>
    <s v="Freshwater"/>
    <x v="1"/>
    <x v="0"/>
    <n v="872"/>
    <s v="Stillaguamish River"/>
    <s v="Stillaguamish River"/>
    <s v="Snohomish"/>
    <x v="2"/>
    <s v="Whatcom"/>
    <x v="11"/>
    <s v="North Puget Sound"/>
    <m/>
    <n v="251.028210838901"/>
    <n v="863.53704528581898"/>
  </r>
  <r>
    <n v="667"/>
    <x v="1"/>
    <s v="Freshwater"/>
    <x v="1"/>
    <x v="0"/>
    <n v="878"/>
    <s v="Tahuya River"/>
    <s v="Tahuya River"/>
    <s v="Mason"/>
    <x v="3"/>
    <s v="Jefferson"/>
    <x v="2"/>
    <s v="Strait of Juan de Fuca"/>
    <m/>
    <n v="15.0714285714286"/>
    <n v="51.845714285714401"/>
  </r>
  <r>
    <n v="663"/>
    <x v="1"/>
    <s v="Freshwater"/>
    <x v="1"/>
    <x v="0"/>
    <n v="878"/>
    <s v="Tahuya River"/>
    <s v="Tahuya River"/>
    <s v="Mason"/>
    <x v="3"/>
    <s v="King"/>
    <x v="3"/>
    <s v="South Puget Sound"/>
    <m/>
    <n v="15.0714285714286"/>
    <n v="51.845714285714401"/>
  </r>
  <r>
    <n v="666"/>
    <x v="1"/>
    <s v="Freshwater"/>
    <x v="1"/>
    <x v="0"/>
    <n v="878"/>
    <s v="Tahuya River"/>
    <s v="Tahuya River"/>
    <s v="Mason"/>
    <x v="3"/>
    <s v="Kitsap"/>
    <x v="4"/>
    <s v="South Puget Sound"/>
    <m/>
    <n v="105.5"/>
    <n v="362.92"/>
  </r>
  <r>
    <n v="665"/>
    <x v="1"/>
    <s v="Freshwater"/>
    <x v="1"/>
    <x v="0"/>
    <n v="878"/>
    <s v="Tahuya River"/>
    <s v="Tahuya River"/>
    <s v="Mason"/>
    <x v="3"/>
    <s v="Mason"/>
    <x v="5"/>
    <s v="South Puget Sound"/>
    <m/>
    <n v="60.285714285714299"/>
    <n v="207.38285714285701"/>
  </r>
  <r>
    <n v="664"/>
    <x v="1"/>
    <s v="Freshwater"/>
    <x v="1"/>
    <x v="0"/>
    <n v="878"/>
    <s v="Tahuya River"/>
    <s v="Tahuya River"/>
    <s v="Mason"/>
    <x v="3"/>
    <s v="Pierce"/>
    <x v="7"/>
    <s v="South Puget Sound"/>
    <m/>
    <n v="15.0714285714286"/>
    <n v="51.845714285714401"/>
  </r>
  <r>
    <n v="1707"/>
    <x v="1"/>
    <s v="Freshwater"/>
    <x v="1"/>
    <x v="0"/>
    <n v="884"/>
    <s v="Whatcom Creek"/>
    <s v="Whatcom Creek"/>
    <s v="Whatcom"/>
    <x v="1"/>
    <s v="Island"/>
    <x v="1"/>
    <s v="North Puget Sound"/>
    <m/>
    <n v="21.696000000000002"/>
    <n v="74.634240000000005"/>
  </r>
  <r>
    <n v="1708"/>
    <x v="1"/>
    <s v="Freshwater"/>
    <x v="1"/>
    <x v="0"/>
    <n v="884"/>
    <s v="Whatcom Creek"/>
    <s v="Whatcom Creek"/>
    <s v="Whatcom"/>
    <x v="1"/>
    <s v="King"/>
    <x v="3"/>
    <s v="South Puget Sound"/>
    <m/>
    <n v="14.464"/>
    <n v="49.756160000000001"/>
  </r>
  <r>
    <n v="1705"/>
    <x v="1"/>
    <s v="Freshwater"/>
    <x v="1"/>
    <x v="0"/>
    <n v="884"/>
    <s v="Whatcom Creek"/>
    <s v="Whatcom Creek"/>
    <s v="Whatcom"/>
    <x v="1"/>
    <s v="Skagit"/>
    <x v="8"/>
    <s v="North Puget Sound"/>
    <m/>
    <n v="101.248"/>
    <n v="348.29311999999999"/>
  </r>
  <r>
    <n v="1706"/>
    <x v="1"/>
    <s v="Freshwater"/>
    <x v="1"/>
    <x v="0"/>
    <n v="884"/>
    <s v="Whatcom Creek"/>
    <s v="Whatcom Creek"/>
    <s v="Whatcom"/>
    <x v="1"/>
    <s v="Snohomish"/>
    <x v="9"/>
    <s v="North Puget Sound"/>
    <m/>
    <n v="7.2320000000000002"/>
    <n v="24.878080000000001"/>
  </r>
  <r>
    <n v="1704"/>
    <x v="1"/>
    <s v="Freshwater"/>
    <x v="1"/>
    <x v="0"/>
    <n v="884"/>
    <s v="Whatcom Creek"/>
    <s v="Whatcom Creek"/>
    <s v="Whatcom"/>
    <x v="1"/>
    <s v="Whatcom"/>
    <x v="11"/>
    <s v="North Puget Sound"/>
    <m/>
    <n v="759.36"/>
    <n v="2612.1984000000002"/>
  </r>
  <r>
    <n v="1247"/>
    <x v="2"/>
    <s v="Freshwater"/>
    <x v="1"/>
    <x v="0"/>
    <n v="8"/>
    <s v="Unknown"/>
    <s v="Unknown"/>
    <s v="NA"/>
    <x v="5"/>
    <s v="Skagit"/>
    <x v="8"/>
    <s v="North Puget Sound"/>
    <m/>
    <n v="1"/>
    <n v="8.65"/>
  </r>
  <r>
    <n v="1086"/>
    <x v="2"/>
    <s v="Freshwater"/>
    <x v="1"/>
    <x v="0"/>
    <n v="714"/>
    <s v="Chambers Creek"/>
    <s v="Chambers Creek"/>
    <s v="Pierce"/>
    <x v="3"/>
    <s v="King"/>
    <x v="3"/>
    <s v="South Puget Sound"/>
    <m/>
    <n v="22.846153846153801"/>
    <n v="197.61923076923"/>
  </r>
  <r>
    <n v="1087"/>
    <x v="2"/>
    <s v="Freshwater"/>
    <x v="1"/>
    <x v="0"/>
    <n v="714"/>
    <s v="Chambers Creek"/>
    <s v="Chambers Creek"/>
    <s v="Pierce"/>
    <x v="3"/>
    <s v="Pierce"/>
    <x v="7"/>
    <s v="South Puget Sound"/>
    <m/>
    <n v="91.384615384615401"/>
    <n v="790.47692307692296"/>
  </r>
  <r>
    <n v="1150"/>
    <x v="2"/>
    <s v="Freshwater"/>
    <x v="1"/>
    <x v="0"/>
    <n v="714"/>
    <s v="Chambers Creek"/>
    <s v="Chambers Creek"/>
    <s v="Pierce"/>
    <x v="3"/>
    <s v="Thurston"/>
    <x v="10"/>
    <s v="South Puget Sound"/>
    <m/>
    <n v="53.307692307692299"/>
    <n v="461.11153846153798"/>
  </r>
  <r>
    <n v="1085"/>
    <x v="2"/>
    <s v="Freshwater"/>
    <x v="1"/>
    <x v="0"/>
    <n v="714"/>
    <s v="Chambers Creek"/>
    <s v="Chambers Creek"/>
    <s v="Pierce"/>
    <x v="3"/>
    <s v="Whatcom"/>
    <x v="11"/>
    <s v="North Puget Sound"/>
    <m/>
    <n v="30.461538461538499"/>
    <n v="263.49230769230797"/>
  </r>
  <r>
    <n v="1710"/>
    <x v="2"/>
    <s v="Freshwater"/>
    <x v="1"/>
    <x v="0"/>
    <n v="724"/>
    <s v="Dakota Creek (Whatcom Co)"/>
    <s v="Dakota Creek (Whatcom Co)"/>
    <s v="Whatcom"/>
    <x v="1"/>
    <s v="Snohomish"/>
    <x v="9"/>
    <s v="North Puget Sound"/>
    <m/>
    <n v="14"/>
    <n v="121.1"/>
  </r>
  <r>
    <n v="1709"/>
    <x v="2"/>
    <s v="Freshwater"/>
    <x v="1"/>
    <x v="0"/>
    <n v="724"/>
    <s v="Dakota Creek (Whatcom Co)"/>
    <s v="Dakota Creek (Whatcom Co)"/>
    <s v="Whatcom"/>
    <x v="1"/>
    <s v="Whatcom"/>
    <x v="11"/>
    <s v="North Puget Sound"/>
    <m/>
    <n v="49"/>
    <n v="423.85"/>
  </r>
  <r>
    <n v="270"/>
    <x v="2"/>
    <s v="Freshwater"/>
    <x v="1"/>
    <x v="0"/>
    <n v="728"/>
    <s v="Deschutes River"/>
    <s v="Deschutes River"/>
    <s v="Thurston"/>
    <x v="3"/>
    <s v="Other"/>
    <x v="6"/>
    <s v="Non Puget Sound"/>
    <m/>
    <n v="1"/>
    <n v="8.65"/>
  </r>
  <r>
    <n v="269"/>
    <x v="2"/>
    <s v="Freshwater"/>
    <x v="1"/>
    <x v="0"/>
    <n v="728"/>
    <s v="Deschutes River"/>
    <s v="Deschutes River"/>
    <s v="Thurston"/>
    <x v="3"/>
    <s v="Thurston"/>
    <x v="10"/>
    <s v="South Puget Sound"/>
    <m/>
    <n v="2"/>
    <n v="17.3"/>
  </r>
  <r>
    <n v="669"/>
    <x v="2"/>
    <s v="Freshwater"/>
    <x v="1"/>
    <x v="0"/>
    <n v="732"/>
    <s v="Dewatto River"/>
    <s v="Dewatto River"/>
    <s v="Mason"/>
    <x v="3"/>
    <s v="Kitsap"/>
    <x v="4"/>
    <s v="South Puget Sound"/>
    <m/>
    <n v="1.1818181818181801"/>
    <n v="10.222727272727299"/>
  </r>
  <r>
    <n v="668"/>
    <x v="2"/>
    <s v="Freshwater"/>
    <x v="1"/>
    <x v="0"/>
    <n v="732"/>
    <s v="Dewatto River"/>
    <s v="Dewatto River"/>
    <s v="Mason"/>
    <x v="3"/>
    <s v="Mason"/>
    <x v="5"/>
    <s v="South Puget Sound"/>
    <m/>
    <n v="11.818181818181801"/>
    <n v="102.227272727273"/>
  </r>
  <r>
    <n v="1588"/>
    <x v="2"/>
    <s v="Freshwater"/>
    <x v="1"/>
    <x v="0"/>
    <n v="738"/>
    <s v="Dungeness River"/>
    <s v="Dungeness River"/>
    <s v="Clallam"/>
    <x v="0"/>
    <s v="Clallam"/>
    <x v="0"/>
    <s v="Strait of Juan de Fuca"/>
    <m/>
    <n v="830.25384615384598"/>
    <n v="7181.6957692307697"/>
  </r>
  <r>
    <n v="1589"/>
    <x v="2"/>
    <s v="Freshwater"/>
    <x v="1"/>
    <x v="0"/>
    <n v="738"/>
    <s v="Dungeness River"/>
    <s v="Dungeness River"/>
    <s v="Clallam"/>
    <x v="0"/>
    <s v="Jefferson"/>
    <x v="2"/>
    <s v="Strait of Juan de Fuca"/>
    <m/>
    <n v="27.907692307692301"/>
    <n v="241.401538461538"/>
  </r>
  <r>
    <n v="1587"/>
    <x v="2"/>
    <s v="Freshwater"/>
    <x v="1"/>
    <x v="0"/>
    <n v="738"/>
    <s v="Dungeness River"/>
    <s v="Dungeness River"/>
    <s v="Clallam"/>
    <x v="0"/>
    <s v="Kitsap"/>
    <x v="4"/>
    <s v="South Puget Sound"/>
    <m/>
    <n v="20.930769230769201"/>
    <n v="181.05115384615399"/>
  </r>
  <r>
    <n v="1590"/>
    <x v="2"/>
    <s v="Freshwater"/>
    <x v="1"/>
    <x v="0"/>
    <n v="738"/>
    <s v="Dungeness River"/>
    <s v="Dungeness River"/>
    <s v="Clallam"/>
    <x v="0"/>
    <s v="Other"/>
    <x v="6"/>
    <s v="Non Puget Sound"/>
    <m/>
    <n v="6.9769230769230797"/>
    <n v="60.350384615384598"/>
  </r>
  <r>
    <n v="1586"/>
    <x v="2"/>
    <s v="Freshwater"/>
    <x v="1"/>
    <x v="0"/>
    <n v="738"/>
    <s v="Dungeness River"/>
    <s v="Dungeness River"/>
    <s v="Clallam"/>
    <x v="0"/>
    <s v="Pierce"/>
    <x v="7"/>
    <s v="South Puget Sound"/>
    <m/>
    <n v="20.930769230769201"/>
    <n v="181.05115384615399"/>
  </r>
  <r>
    <n v="2708"/>
    <x v="2"/>
    <s v="Freshwater"/>
    <x v="1"/>
    <x v="0"/>
    <n v="746"/>
    <s v="Green - Duwamish River"/>
    <s v="Green - Duwamish River"/>
    <s v="King"/>
    <x v="3"/>
    <s v="Clallam"/>
    <x v="0"/>
    <s v="Strait of Juan de Fuca"/>
    <m/>
    <n v="13.379825653798299"/>
    <n v="115.735491905355"/>
  </r>
  <r>
    <n v="2704"/>
    <x v="2"/>
    <s v="Freshwater"/>
    <x v="1"/>
    <x v="0"/>
    <n v="746"/>
    <s v="Green - Duwamish River"/>
    <s v="Green - Duwamish River"/>
    <s v="King"/>
    <x v="3"/>
    <s v="King"/>
    <x v="3"/>
    <s v="South Puget Sound"/>
    <m/>
    <n v="4569.2104607721003"/>
    <n v="39523.670485678696"/>
  </r>
  <r>
    <n v="2707"/>
    <x v="2"/>
    <s v="Freshwater"/>
    <x v="1"/>
    <x v="0"/>
    <n v="746"/>
    <s v="Green - Duwamish River"/>
    <s v="Green - Duwamish River"/>
    <s v="King"/>
    <x v="3"/>
    <s v="Mason"/>
    <x v="5"/>
    <s v="South Puget Sound"/>
    <m/>
    <n v="13.379825653798299"/>
    <n v="115.735491905355"/>
  </r>
  <r>
    <n v="2709"/>
    <x v="2"/>
    <s v="Freshwater"/>
    <x v="1"/>
    <x v="0"/>
    <n v="746"/>
    <s v="Green - Duwamish River"/>
    <s v="Green - Duwamish River"/>
    <s v="King"/>
    <x v="3"/>
    <s v="Other"/>
    <x v="6"/>
    <s v="Non Puget Sound"/>
    <m/>
    <n v="73.589041095890394"/>
    <n v="636.54520547945197"/>
  </r>
  <r>
    <n v="2705"/>
    <x v="2"/>
    <s v="Freshwater"/>
    <x v="1"/>
    <x v="0"/>
    <n v="746"/>
    <s v="Green - Duwamish River"/>
    <s v="Green - Duwamish River"/>
    <s v="King"/>
    <x v="3"/>
    <s v="Pierce"/>
    <x v="7"/>
    <s v="South Puget Sound"/>
    <m/>
    <n v="394.70485678704898"/>
    <n v="3414.1970112079698"/>
  </r>
  <r>
    <n v="2703"/>
    <x v="2"/>
    <s v="Freshwater"/>
    <x v="1"/>
    <x v="0"/>
    <n v="746"/>
    <s v="Green - Duwamish River"/>
    <s v="Green - Duwamish River"/>
    <s v="King"/>
    <x v="3"/>
    <s v="Snohomish"/>
    <x v="9"/>
    <s v="North Puget Sound"/>
    <m/>
    <n v="294.35616438356197"/>
    <n v="2546.1808219178101"/>
  </r>
  <r>
    <n v="2706"/>
    <x v="2"/>
    <s v="Freshwater"/>
    <x v="1"/>
    <x v="0"/>
    <n v="746"/>
    <s v="Green - Duwamish River"/>
    <s v="Green - Duwamish River"/>
    <s v="King"/>
    <x v="3"/>
    <s v="Thurston"/>
    <x v="10"/>
    <s v="South Puget Sound"/>
    <m/>
    <n v="13.379825653798299"/>
    <n v="115.735491905355"/>
  </r>
  <r>
    <n v="855"/>
    <x v="2"/>
    <s v="Freshwater"/>
    <x v="1"/>
    <x v="0"/>
    <n v="754"/>
    <s v="Kennedy Creek"/>
    <s v="Kennedy Creek"/>
    <s v="Mason/Thurston"/>
    <x v="3"/>
    <s v="King"/>
    <x v="3"/>
    <s v="South Puget Sound"/>
    <m/>
    <n v="64.615384615384599"/>
    <n v="558.92307692307702"/>
  </r>
  <r>
    <n v="858"/>
    <x v="2"/>
    <s v="Freshwater"/>
    <x v="1"/>
    <x v="0"/>
    <n v="754"/>
    <s v="Kennedy Creek"/>
    <s v="Kennedy Creek"/>
    <s v="Mason/Thurston"/>
    <x v="3"/>
    <s v="Other"/>
    <x v="6"/>
    <s v="Non Puget Sound"/>
    <m/>
    <n v="35.897435897435898"/>
    <n v="310.51282051282101"/>
  </r>
  <r>
    <n v="856"/>
    <x v="2"/>
    <s v="Freshwater"/>
    <x v="1"/>
    <x v="0"/>
    <n v="754"/>
    <s v="Kennedy Creek"/>
    <s v="Kennedy Creek"/>
    <s v="Mason/Thurston"/>
    <x v="3"/>
    <s v="Pierce"/>
    <x v="7"/>
    <s v="South Puget Sound"/>
    <m/>
    <n v="114.871794871795"/>
    <n v="993.641025641027"/>
  </r>
  <r>
    <n v="857"/>
    <x v="2"/>
    <s v="Freshwater"/>
    <x v="1"/>
    <x v="0"/>
    <n v="754"/>
    <s v="Kennedy Creek"/>
    <s v="Kennedy Creek"/>
    <s v="Mason/Thurston"/>
    <x v="3"/>
    <s v="Thurston"/>
    <x v="10"/>
    <s v="South Puget Sound"/>
    <m/>
    <n v="64.615384615384599"/>
    <n v="558.92307692307702"/>
  </r>
  <r>
    <n v="2711"/>
    <x v="2"/>
    <s v="Freshwater"/>
    <x v="1"/>
    <x v="0"/>
    <n v="762"/>
    <s v="Lake Washington"/>
    <s v="Lake Washington"/>
    <s v="King"/>
    <x v="3"/>
    <s v="King"/>
    <x v="3"/>
    <s v="South Puget Sound"/>
    <m/>
    <n v="89.3333333333333"/>
    <n v="772.73333333333301"/>
  </r>
  <r>
    <n v="2710"/>
    <x v="2"/>
    <s v="Freshwater"/>
    <x v="1"/>
    <x v="0"/>
    <n v="762"/>
    <s v="Lake Washington"/>
    <s v="Lake Washington"/>
    <s v="King"/>
    <x v="3"/>
    <s v="Snohomish"/>
    <x v="9"/>
    <s v="North Puget Sound"/>
    <m/>
    <n v="44.6666666666667"/>
    <n v="386.36666666666702"/>
  </r>
  <r>
    <n v="2810"/>
    <x v="2"/>
    <s v="Freshwater"/>
    <x v="1"/>
    <x v="0"/>
    <n v="764"/>
    <s v="Lake Sammamish"/>
    <s v="Lake Sammamish"/>
    <s v="King"/>
    <x v="3"/>
    <s v="King"/>
    <x v="3"/>
    <s v="South Puget Sound"/>
    <m/>
    <n v="221.25"/>
    <n v="1913.8125"/>
  </r>
  <r>
    <n v="2811"/>
    <x v="2"/>
    <s v="Freshwater"/>
    <x v="1"/>
    <x v="0"/>
    <n v="764"/>
    <s v="Lake Sammamish"/>
    <s v="Lake Sammamish"/>
    <s v="King"/>
    <x v="3"/>
    <s v="Pierce"/>
    <x v="7"/>
    <s v="South Puget Sound"/>
    <m/>
    <n v="7.375"/>
    <n v="63.793750000000003"/>
  </r>
  <r>
    <n v="2798"/>
    <x v="2"/>
    <s v="Freshwater"/>
    <x v="1"/>
    <x v="0"/>
    <n v="764"/>
    <s v="Lake Sammamish"/>
    <s v="Lake Sammamish"/>
    <s v="King"/>
    <x v="3"/>
    <s v="Snohomish"/>
    <x v="9"/>
    <s v="North Puget Sound"/>
    <m/>
    <n v="7.375"/>
    <n v="63.793750000000003"/>
  </r>
  <r>
    <n v="336"/>
    <x v="2"/>
    <s v="Freshwater"/>
    <x v="1"/>
    <x v="0"/>
    <n v="778"/>
    <s v="Minter Creek"/>
    <s v="Minter Creek"/>
    <s v="Kitsap/Pierce"/>
    <x v="3"/>
    <s v="Island"/>
    <x v="1"/>
    <s v="North Puget Sound"/>
    <m/>
    <n v="88.854961832061093"/>
    <n v="768.595419847328"/>
  </r>
  <r>
    <n v="337"/>
    <x v="2"/>
    <s v="Freshwater"/>
    <x v="1"/>
    <x v="0"/>
    <n v="778"/>
    <s v="Minter Creek"/>
    <s v="Minter Creek"/>
    <s v="Kitsap/Pierce"/>
    <x v="3"/>
    <s v="King"/>
    <x v="3"/>
    <s v="South Puget Sound"/>
    <m/>
    <n v="2265.8015267175601"/>
    <n v="19599.1832061069"/>
  </r>
  <r>
    <n v="341"/>
    <x v="2"/>
    <s v="Freshwater"/>
    <x v="1"/>
    <x v="0"/>
    <n v="778"/>
    <s v="Minter Creek"/>
    <s v="Minter Creek"/>
    <s v="Kitsap/Pierce"/>
    <x v="3"/>
    <s v="Kitsap"/>
    <x v="4"/>
    <s v="South Puget Sound"/>
    <m/>
    <n v="303.58778625954199"/>
    <n v="2626.0343511450401"/>
  </r>
  <r>
    <n v="340"/>
    <x v="2"/>
    <s v="Freshwater"/>
    <x v="1"/>
    <x v="0"/>
    <n v="778"/>
    <s v="Minter Creek"/>
    <s v="Minter Creek"/>
    <s v="Kitsap/Pierce"/>
    <x v="3"/>
    <s v="Mason"/>
    <x v="5"/>
    <s v="South Puget Sound"/>
    <m/>
    <n v="155.49618320610699"/>
    <n v="1345.0419847328301"/>
  </r>
  <r>
    <n v="342"/>
    <x v="2"/>
    <s v="Freshwater"/>
    <x v="1"/>
    <x v="0"/>
    <n v="778"/>
    <s v="Minter Creek"/>
    <s v="Minter Creek"/>
    <s v="Kitsap/Pierce"/>
    <x v="3"/>
    <s v="Other"/>
    <x v="6"/>
    <s v="Non Puget Sound"/>
    <m/>
    <n v="273.96946564885502"/>
    <n v="2369.8358778625998"/>
  </r>
  <r>
    <n v="338"/>
    <x v="2"/>
    <s v="Freshwater"/>
    <x v="1"/>
    <x v="0"/>
    <n v="778"/>
    <s v="Minter Creek"/>
    <s v="Minter Creek"/>
    <s v="Kitsap/Pierce"/>
    <x v="3"/>
    <s v="Pierce"/>
    <x v="7"/>
    <s v="South Puget Sound"/>
    <m/>
    <n v="2421.29770992366"/>
    <n v="20944.225190839701"/>
  </r>
  <r>
    <n v="335"/>
    <x v="2"/>
    <s v="Freshwater"/>
    <x v="1"/>
    <x v="0"/>
    <n v="778"/>
    <s v="Minter Creek"/>
    <s v="Minter Creek"/>
    <s v="Kitsap/Pierce"/>
    <x v="3"/>
    <s v="Snohomish"/>
    <x v="9"/>
    <s v="North Puget Sound"/>
    <m/>
    <n v="162.90076335877899"/>
    <n v="1409.0916030534399"/>
  </r>
  <r>
    <n v="339"/>
    <x v="2"/>
    <s v="Freshwater"/>
    <x v="1"/>
    <x v="0"/>
    <n v="778"/>
    <s v="Minter Creek"/>
    <s v="Minter Creek"/>
    <s v="Kitsap/Pierce"/>
    <x v="3"/>
    <s v="Thurston"/>
    <x v="10"/>
    <s v="South Puget Sound"/>
    <m/>
    <n v="148.09160305343499"/>
    <n v="1280.99236641221"/>
  </r>
  <r>
    <n v="372"/>
    <x v="2"/>
    <s v="Freshwater"/>
    <x v="1"/>
    <x v="0"/>
    <n v="786"/>
    <s v="Nisqually River"/>
    <s v="Nisqually River"/>
    <s v="Thurston/Pierce"/>
    <x v="3"/>
    <s v="King"/>
    <x v="3"/>
    <s v="South Puget Sound"/>
    <m/>
    <n v="1036.64485294118"/>
    <n v="8966.9779779412092"/>
  </r>
  <r>
    <n v="376"/>
    <x v="2"/>
    <s v="Freshwater"/>
    <x v="1"/>
    <x v="0"/>
    <n v="786"/>
    <s v="Nisqually River"/>
    <s v="Nisqually River"/>
    <s v="Thurston/Pierce"/>
    <x v="3"/>
    <s v="Kitsap"/>
    <x v="4"/>
    <s v="South Puget Sound"/>
    <m/>
    <n v="50.744852941176497"/>
    <n v="438.94297794117699"/>
  </r>
  <r>
    <n v="375"/>
    <x v="2"/>
    <s v="Freshwater"/>
    <x v="1"/>
    <x v="0"/>
    <n v="786"/>
    <s v="Nisqually River"/>
    <s v="Nisqually River"/>
    <s v="Thurston/Pierce"/>
    <x v="3"/>
    <s v="Mason"/>
    <x v="5"/>
    <s v="South Puget Sound"/>
    <m/>
    <n v="108.73897058823501"/>
    <n v="940.59209558823295"/>
  </r>
  <r>
    <n v="377"/>
    <x v="2"/>
    <s v="Freshwater"/>
    <x v="1"/>
    <x v="0"/>
    <n v="786"/>
    <s v="Nisqually River"/>
    <s v="Nisqually River"/>
    <s v="Thurston/Pierce"/>
    <x v="3"/>
    <s v="Other"/>
    <x v="6"/>
    <s v="Non Puget Sound"/>
    <m/>
    <n v="434.95588235294099"/>
    <n v="3762.36838235294"/>
  </r>
  <r>
    <n v="373"/>
    <x v="2"/>
    <s v="Freshwater"/>
    <x v="1"/>
    <x v="0"/>
    <n v="786"/>
    <s v="Nisqually River"/>
    <s v="Nisqually River"/>
    <s v="Thurston/Pierce"/>
    <x v="3"/>
    <s v="Pierce"/>
    <x v="7"/>
    <s v="South Puget Sound"/>
    <m/>
    <n v="4980.2448529411804"/>
    <n v="43079.117977941198"/>
  </r>
  <r>
    <n v="371"/>
    <x v="2"/>
    <s v="Freshwater"/>
    <x v="1"/>
    <x v="0"/>
    <n v="786"/>
    <s v="Nisqually River"/>
    <s v="Nisqually River"/>
    <s v="Thurston/Pierce"/>
    <x v="3"/>
    <s v="Snohomish"/>
    <x v="9"/>
    <s v="North Puget Sound"/>
    <m/>
    <n v="65.243382352941197"/>
    <n v="564.35525735294095"/>
  </r>
  <r>
    <n v="374"/>
    <x v="2"/>
    <s v="Freshwater"/>
    <x v="1"/>
    <x v="0"/>
    <n v="786"/>
    <s v="Nisqually River"/>
    <s v="Nisqually River"/>
    <s v="Thurston/Pierce"/>
    <x v="3"/>
    <s v="Thurston"/>
    <x v="10"/>
    <s v="South Puget Sound"/>
    <m/>
    <n v="3167.9286764705898"/>
    <n v="27402.583051470599"/>
  </r>
  <r>
    <n v="370"/>
    <x v="2"/>
    <s v="Freshwater"/>
    <x v="1"/>
    <x v="0"/>
    <n v="786"/>
    <s v="Nisqually River"/>
    <s v="Nisqually River"/>
    <s v="Thurston/Pierce"/>
    <x v="3"/>
    <s v="Whatcom"/>
    <x v="11"/>
    <s v="North Puget Sound"/>
    <m/>
    <n v="14.4985294117647"/>
    <n v="125.412279411765"/>
  </r>
  <r>
    <n v="1717"/>
    <x v="2"/>
    <s v="Freshwater"/>
    <x v="1"/>
    <x v="0"/>
    <n v="788"/>
    <s v="Nooksack River"/>
    <s v="Nooksack River"/>
    <s v="Whatcom"/>
    <x v="1"/>
    <s v="Island"/>
    <x v="1"/>
    <s v="North Puget Sound"/>
    <m/>
    <n v="48.701793721973097"/>
    <n v="421.27051569506699"/>
  </r>
  <r>
    <n v="1718"/>
    <x v="2"/>
    <s v="Freshwater"/>
    <x v="1"/>
    <x v="0"/>
    <n v="788"/>
    <s v="Nooksack River"/>
    <s v="Nooksack River"/>
    <s v="Whatcom"/>
    <x v="1"/>
    <s v="King"/>
    <x v="3"/>
    <s v="South Puget Sound"/>
    <m/>
    <n v="6.9573991031390197"/>
    <n v="60.181502242152497"/>
  </r>
  <r>
    <n v="1712"/>
    <x v="2"/>
    <s v="Freshwater"/>
    <x v="1"/>
    <x v="0"/>
    <n v="788"/>
    <s v="Nooksack River"/>
    <s v="Nooksack River"/>
    <s v="Whatcom"/>
    <x v="1"/>
    <s v="Skagit"/>
    <x v="8"/>
    <s v="North Puget Sound"/>
    <m/>
    <n v="90.446188340807197"/>
    <n v="782.35952914798202"/>
  </r>
  <r>
    <n v="1716"/>
    <x v="2"/>
    <s v="Freshwater"/>
    <x v="1"/>
    <x v="0"/>
    <n v="788"/>
    <s v="Nooksack River"/>
    <s v="Nooksack River"/>
    <s v="Whatcom"/>
    <x v="1"/>
    <s v="Snohomish"/>
    <x v="9"/>
    <s v="North Puget Sound"/>
    <m/>
    <n v="83.4887892376682"/>
    <n v="722.17802690583005"/>
  </r>
  <r>
    <n v="1711"/>
    <x v="2"/>
    <s v="Freshwater"/>
    <x v="1"/>
    <x v="0"/>
    <n v="788"/>
    <s v="Nooksack River"/>
    <s v="Nooksack River"/>
    <s v="Whatcom"/>
    <x v="1"/>
    <s v="Whatcom"/>
    <x v="11"/>
    <s v="North Puget Sound"/>
    <m/>
    <n v="2873.4058295964101"/>
    <n v="24854.9604260089"/>
  </r>
  <r>
    <n v="1151"/>
    <x v="2"/>
    <s v="Freshwater"/>
    <x v="1"/>
    <x v="0"/>
    <n v="802"/>
    <s v="Carbon River"/>
    <s v="Carbon River"/>
    <s v="Pierce"/>
    <x v="3"/>
    <s v="King"/>
    <x v="3"/>
    <s v="South Puget Sound"/>
    <m/>
    <n v="56.425531914893597"/>
    <n v="488.08085106382998"/>
  </r>
  <r>
    <n v="1153"/>
    <x v="2"/>
    <s v="Freshwater"/>
    <x v="1"/>
    <x v="0"/>
    <n v="802"/>
    <s v="Carbon River"/>
    <s v="Carbon River"/>
    <s v="Pierce"/>
    <x v="3"/>
    <s v="Other"/>
    <x v="6"/>
    <s v="Non Puget Sound"/>
    <m/>
    <n v="28.212765957446798"/>
    <n v="244.04042553191499"/>
  </r>
  <r>
    <n v="1152"/>
    <x v="2"/>
    <s v="Freshwater"/>
    <x v="1"/>
    <x v="0"/>
    <n v="802"/>
    <s v="Carbon River"/>
    <s v="Carbon River"/>
    <s v="Pierce"/>
    <x v="3"/>
    <s v="Pierce"/>
    <x v="7"/>
    <s v="South Puget Sound"/>
    <m/>
    <n v="578.36170212766001"/>
    <n v="5002.82872340426"/>
  </r>
  <r>
    <n v="1156"/>
    <x v="2"/>
    <s v="Freshwater"/>
    <x v="1"/>
    <x v="0"/>
    <n v="804"/>
    <s v="Puyallup River"/>
    <s v="Puyallup River"/>
    <s v="Pierce"/>
    <x v="3"/>
    <s v="King"/>
    <x v="3"/>
    <s v="South Puget Sound"/>
    <m/>
    <n v="2863.61574074074"/>
    <n v="24770.276157407399"/>
  </r>
  <r>
    <n v="1160"/>
    <x v="2"/>
    <s v="Freshwater"/>
    <x v="1"/>
    <x v="0"/>
    <n v="804"/>
    <s v="Puyallup River"/>
    <s v="Puyallup River"/>
    <s v="Pierce"/>
    <x v="3"/>
    <s v="Kitsap"/>
    <x v="4"/>
    <s v="South Puget Sound"/>
    <m/>
    <n v="141.06481481481501"/>
    <n v="1220.2106481481501"/>
  </r>
  <r>
    <n v="1159"/>
    <x v="2"/>
    <s v="Freshwater"/>
    <x v="1"/>
    <x v="0"/>
    <n v="804"/>
    <s v="Puyallup River"/>
    <s v="Puyallup River"/>
    <s v="Pierce"/>
    <x v="3"/>
    <s v="Mason"/>
    <x v="5"/>
    <s v="South Puget Sound"/>
    <m/>
    <n v="21.1597222222222"/>
    <n v="183.03159722222199"/>
  </r>
  <r>
    <n v="1161"/>
    <x v="2"/>
    <s v="Freshwater"/>
    <x v="1"/>
    <x v="0"/>
    <n v="804"/>
    <s v="Puyallup River"/>
    <s v="Puyallup River"/>
    <s v="Pierce"/>
    <x v="3"/>
    <s v="Other"/>
    <x v="6"/>
    <s v="Non Puget Sound"/>
    <m/>
    <n v="112.851851851852"/>
    <n v="976.16851851852005"/>
  </r>
  <r>
    <n v="1157"/>
    <x v="2"/>
    <s v="Freshwater"/>
    <x v="1"/>
    <x v="0"/>
    <n v="804"/>
    <s v="Puyallup River"/>
    <s v="Puyallup River"/>
    <s v="Pierce"/>
    <x v="3"/>
    <s v="Pierce"/>
    <x v="7"/>
    <s v="South Puget Sound"/>
    <m/>
    <n v="5762.4976851851898"/>
    <n v="49845.604976851901"/>
  </r>
  <r>
    <n v="1155"/>
    <x v="2"/>
    <s v="Freshwater"/>
    <x v="1"/>
    <x v="0"/>
    <n v="804"/>
    <s v="Puyallup River"/>
    <s v="Puyallup River"/>
    <s v="Pierce"/>
    <x v="3"/>
    <s v="Snohomish"/>
    <x v="9"/>
    <s v="North Puget Sound"/>
    <m/>
    <n v="35.266203703703702"/>
    <n v="305.05266203703701"/>
  </r>
  <r>
    <n v="1158"/>
    <x v="2"/>
    <s v="Freshwater"/>
    <x v="1"/>
    <x v="0"/>
    <n v="804"/>
    <s v="Puyallup River"/>
    <s v="Puyallup River"/>
    <s v="Pierce"/>
    <x v="3"/>
    <s v="Thurston"/>
    <x v="10"/>
    <s v="South Puget Sound"/>
    <m/>
    <n v="169.277777777778"/>
    <n v="1464.25277777778"/>
  </r>
  <r>
    <n v="1154"/>
    <x v="2"/>
    <s v="Freshwater"/>
    <x v="1"/>
    <x v="0"/>
    <n v="804"/>
    <s v="Puyallup River"/>
    <s v="Puyallup River"/>
    <s v="Pierce"/>
    <x v="3"/>
    <s v="Whatcom"/>
    <x v="11"/>
    <s v="North Puget Sound"/>
    <m/>
    <n v="35.266203703703702"/>
    <n v="305.05266203703701"/>
  </r>
  <r>
    <n v="743"/>
    <x v="2"/>
    <s v="Freshwater"/>
    <x v="1"/>
    <x v="0"/>
    <n v="812"/>
    <s v="Quilcene River"/>
    <s v="Quilcene River"/>
    <s v="Jefferson"/>
    <x v="4"/>
    <s v="Clallam"/>
    <x v="0"/>
    <s v="Strait of Juan de Fuca"/>
    <m/>
    <n v="681.70152761457098"/>
    <n v="5896.7182138660401"/>
  </r>
  <r>
    <n v="744"/>
    <x v="2"/>
    <s v="Freshwater"/>
    <x v="1"/>
    <x v="0"/>
    <n v="812"/>
    <s v="Quilcene River"/>
    <s v="Quilcene River"/>
    <s v="Jefferson"/>
    <x v="4"/>
    <s v="Jefferson"/>
    <x v="2"/>
    <s v="Strait of Juan de Fuca"/>
    <m/>
    <n v="1363.4030552291399"/>
    <n v="11793.4364277321"/>
  </r>
  <r>
    <n v="728"/>
    <x v="2"/>
    <s v="Freshwater"/>
    <x v="1"/>
    <x v="0"/>
    <n v="812"/>
    <s v="Quilcene River"/>
    <s v="Quilcene River"/>
    <s v="Jefferson"/>
    <x v="4"/>
    <s v="King"/>
    <x v="3"/>
    <s v="South Puget Sound"/>
    <m/>
    <n v="766.91421856639295"/>
    <n v="6633.8079905993"/>
  </r>
  <r>
    <n v="742"/>
    <x v="2"/>
    <s v="Freshwater"/>
    <x v="1"/>
    <x v="0"/>
    <n v="812"/>
    <s v="Quilcene River"/>
    <s v="Quilcene River"/>
    <s v="Jefferson"/>
    <x v="4"/>
    <s v="Kitsap"/>
    <x v="4"/>
    <s v="South Puget Sound"/>
    <m/>
    <n v="1114.8660399529999"/>
    <n v="9643.5912455934504"/>
  </r>
  <r>
    <n v="731"/>
    <x v="2"/>
    <s v="Freshwater"/>
    <x v="1"/>
    <x v="0"/>
    <n v="812"/>
    <s v="Quilcene River"/>
    <s v="Quilcene River"/>
    <s v="Jefferson"/>
    <x v="4"/>
    <s v="Mason"/>
    <x v="5"/>
    <s v="South Puget Sound"/>
    <m/>
    <n v="468.66980023501799"/>
    <n v="4053.9937720329099"/>
  </r>
  <r>
    <n v="745"/>
    <x v="2"/>
    <s v="Freshwater"/>
    <x v="1"/>
    <x v="0"/>
    <n v="812"/>
    <s v="Quilcene River"/>
    <s v="Quilcene River"/>
    <s v="Jefferson"/>
    <x v="4"/>
    <s v="Other"/>
    <x v="6"/>
    <s v="Non Puget Sound"/>
    <m/>
    <n v="511.27614571092801"/>
    <n v="4422.5386603995303"/>
  </r>
  <r>
    <n v="729"/>
    <x v="2"/>
    <s v="Freshwater"/>
    <x v="1"/>
    <x v="0"/>
    <n v="812"/>
    <s v="Quilcene River"/>
    <s v="Quilcene River"/>
    <s v="Jefferson"/>
    <x v="4"/>
    <s v="Pierce"/>
    <x v="7"/>
    <s v="South Puget Sound"/>
    <m/>
    <n v="397.65922444183298"/>
    <n v="3439.7522914218598"/>
  </r>
  <r>
    <n v="726"/>
    <x v="2"/>
    <s v="Freshwater"/>
    <x v="1"/>
    <x v="0"/>
    <n v="812"/>
    <s v="Quilcene River"/>
    <s v="Quilcene River"/>
    <s v="Jefferson"/>
    <x v="4"/>
    <s v="Skagit"/>
    <x v="8"/>
    <s v="North Puget Sound"/>
    <m/>
    <n v="7.1010575793184501"/>
    <n v="61.424148061104603"/>
  </r>
  <r>
    <n v="727"/>
    <x v="2"/>
    <s v="Freshwater"/>
    <x v="1"/>
    <x v="0"/>
    <n v="812"/>
    <s v="Quilcene River"/>
    <s v="Quilcene River"/>
    <s v="Jefferson"/>
    <x v="4"/>
    <s v="Snohomish"/>
    <x v="9"/>
    <s v="North Puget Sound"/>
    <m/>
    <n v="440.26556991774402"/>
    <n v="3808.2971797884902"/>
  </r>
  <r>
    <n v="730"/>
    <x v="2"/>
    <s v="Freshwater"/>
    <x v="1"/>
    <x v="0"/>
    <n v="812"/>
    <s v="Quilcene River"/>
    <s v="Quilcene River"/>
    <s v="Jefferson"/>
    <x v="4"/>
    <s v="Thurston"/>
    <x v="10"/>
    <s v="South Puget Sound"/>
    <m/>
    <n v="291.14336075205603"/>
    <n v="2518.3900705052802"/>
  </r>
  <r>
    <n v="2762"/>
    <x v="2"/>
    <s v="Freshwater"/>
    <x v="1"/>
    <x v="0"/>
    <n v="816"/>
    <s v="Samish River"/>
    <s v="Samish River"/>
    <s v="Skagit"/>
    <x v="1"/>
    <s v="Clallam"/>
    <x v="0"/>
    <s v="Strait of Juan de Fuca"/>
    <m/>
    <n v="13.9142461964039"/>
    <n v="120.358229598894"/>
  </r>
  <r>
    <n v="2758"/>
    <x v="2"/>
    <s v="Freshwater"/>
    <x v="1"/>
    <x v="0"/>
    <n v="816"/>
    <s v="Samish River"/>
    <s v="Samish River"/>
    <s v="Skagit"/>
    <x v="1"/>
    <s v="Island"/>
    <x v="1"/>
    <s v="North Puget Sound"/>
    <m/>
    <n v="500.91286307054003"/>
    <n v="4332.8962655601699"/>
  </r>
  <r>
    <n v="2759"/>
    <x v="2"/>
    <s v="Freshwater"/>
    <x v="1"/>
    <x v="0"/>
    <n v="816"/>
    <s v="Samish River"/>
    <s v="Samish River"/>
    <s v="Skagit"/>
    <x v="1"/>
    <s v="King"/>
    <x v="3"/>
    <s v="South Puget Sound"/>
    <m/>
    <n v="855.72614107883805"/>
    <n v="7402.0311203319498"/>
  </r>
  <r>
    <n v="2761"/>
    <x v="2"/>
    <s v="Freshwater"/>
    <x v="1"/>
    <x v="0"/>
    <n v="816"/>
    <s v="Samish River"/>
    <s v="Samish River"/>
    <s v="Skagit"/>
    <x v="1"/>
    <s v="Kitsap"/>
    <x v="4"/>
    <s v="South Puget Sound"/>
    <m/>
    <n v="13.9142461964039"/>
    <n v="120.358229598894"/>
  </r>
  <r>
    <n v="2763"/>
    <x v="2"/>
    <s v="Freshwater"/>
    <x v="1"/>
    <x v="0"/>
    <n v="816"/>
    <s v="Samish River"/>
    <s v="Samish River"/>
    <s v="Skagit"/>
    <x v="1"/>
    <s v="Other"/>
    <x v="6"/>
    <s v="Non Puget Sound"/>
    <m/>
    <n v="438.29875518672202"/>
    <n v="3791.2842323651498"/>
  </r>
  <r>
    <n v="2760"/>
    <x v="2"/>
    <s v="Freshwater"/>
    <x v="1"/>
    <x v="0"/>
    <n v="816"/>
    <s v="Samish River"/>
    <s v="Samish River"/>
    <s v="Skagit"/>
    <x v="1"/>
    <s v="Pierce"/>
    <x v="7"/>
    <s v="South Puget Sound"/>
    <m/>
    <n v="69.571230982019401"/>
    <n v="601.79114799446802"/>
  </r>
  <r>
    <n v="2756"/>
    <x v="2"/>
    <s v="Freshwater"/>
    <x v="1"/>
    <x v="0"/>
    <n v="816"/>
    <s v="Samish River"/>
    <s v="Samish River"/>
    <s v="Skagit"/>
    <x v="1"/>
    <s v="Skagit"/>
    <x v="8"/>
    <s v="North Puget Sound"/>
    <m/>
    <n v="3123.7482710926702"/>
    <n v="27020.422544951602"/>
  </r>
  <r>
    <n v="2757"/>
    <x v="2"/>
    <s v="Freshwater"/>
    <x v="1"/>
    <x v="0"/>
    <n v="816"/>
    <s v="Samish River"/>
    <s v="Samish River"/>
    <s v="Skagit"/>
    <x v="1"/>
    <s v="Snohomish"/>
    <x v="9"/>
    <s v="North Puget Sound"/>
    <m/>
    <n v="4139.4882434301499"/>
    <n v="35806.573305670798"/>
  </r>
  <r>
    <n v="2755"/>
    <x v="2"/>
    <s v="Freshwater"/>
    <x v="1"/>
    <x v="0"/>
    <n v="816"/>
    <s v="Samish River"/>
    <s v="Samish River"/>
    <s v="Skagit"/>
    <x v="1"/>
    <s v="Whatcom"/>
    <x v="11"/>
    <s v="North Puget Sound"/>
    <m/>
    <n v="904.42600276625205"/>
    <n v="7823.2849239280804"/>
  </r>
  <r>
    <n v="1871"/>
    <x v="2"/>
    <s v="Freshwater"/>
    <x v="1"/>
    <x v="0"/>
    <n v="825"/>
    <s v="Baker Lake"/>
    <s v="Baker Lake"/>
    <s v="Whatcom"/>
    <x v="1"/>
    <s v="Clallam"/>
    <x v="0"/>
    <s v="Strait of Juan de Fuca"/>
    <m/>
    <n v="14.556868537666199"/>
    <n v="125.91691285081301"/>
  </r>
  <r>
    <n v="1865"/>
    <x v="2"/>
    <s v="Freshwater"/>
    <x v="1"/>
    <x v="0"/>
    <n v="825"/>
    <s v="Baker Lake"/>
    <s v="Baker Lake"/>
    <s v="Whatcom"/>
    <x v="1"/>
    <s v="Island"/>
    <x v="1"/>
    <s v="North Puget Sound"/>
    <m/>
    <n v="189.23929098965999"/>
    <n v="1636.9198670605599"/>
  </r>
  <r>
    <n v="1867"/>
    <x v="2"/>
    <s v="Freshwater"/>
    <x v="1"/>
    <x v="0"/>
    <n v="825"/>
    <s v="Baker Lake"/>
    <s v="Baker Lake"/>
    <s v="Whatcom"/>
    <x v="1"/>
    <s v="King"/>
    <x v="3"/>
    <s v="South Puget Sound"/>
    <m/>
    <n v="1375.6240768094499"/>
    <n v="11899.1482644017"/>
  </r>
  <r>
    <n v="1870"/>
    <x v="2"/>
    <s v="Freshwater"/>
    <x v="1"/>
    <x v="0"/>
    <n v="825"/>
    <s v="Baker Lake"/>
    <s v="Baker Lake"/>
    <s v="Whatcom"/>
    <x v="1"/>
    <s v="Kitsap"/>
    <x v="4"/>
    <s v="South Puget Sound"/>
    <m/>
    <n v="7.2784342688330899"/>
    <n v="62.958456425406197"/>
  </r>
  <r>
    <n v="1872"/>
    <x v="2"/>
    <s v="Freshwater"/>
    <x v="1"/>
    <x v="0"/>
    <n v="825"/>
    <s v="Baker Lake"/>
    <s v="Baker Lake"/>
    <s v="Whatcom"/>
    <x v="1"/>
    <s v="Other"/>
    <x v="6"/>
    <s v="Non Puget Sound"/>
    <m/>
    <n v="524.04726735598194"/>
    <n v="4533.00886262924"/>
  </r>
  <r>
    <n v="1868"/>
    <x v="2"/>
    <s v="Freshwater"/>
    <x v="1"/>
    <x v="0"/>
    <n v="825"/>
    <s v="Baker Lake"/>
    <s v="Baker Lake"/>
    <s v="Whatcom"/>
    <x v="1"/>
    <s v="Pierce"/>
    <x v="7"/>
    <s v="South Puget Sound"/>
    <m/>
    <n v="138.29025110782899"/>
    <n v="1196.2106720827201"/>
  </r>
  <r>
    <n v="1866"/>
    <x v="2"/>
    <s v="Freshwater"/>
    <x v="1"/>
    <x v="0"/>
    <n v="825"/>
    <s v="Baker Lake"/>
    <s v="Baker Lake"/>
    <s v="Whatcom"/>
    <x v="1"/>
    <s v="San Juan"/>
    <x v="12"/>
    <s v="North Puget Sound"/>
    <m/>
    <n v="14.556868537666199"/>
    <n v="125.91691285081301"/>
  </r>
  <r>
    <n v="1720"/>
    <x v="2"/>
    <s v="Freshwater"/>
    <x v="1"/>
    <x v="0"/>
    <n v="825"/>
    <s v="Baker Lake"/>
    <s v="Baker Lake"/>
    <s v="Whatcom"/>
    <x v="1"/>
    <s v="Skagit"/>
    <x v="8"/>
    <s v="North Puget Sound"/>
    <m/>
    <n v="3013.2717872969001"/>
    <n v="26064.800960118198"/>
  </r>
  <r>
    <n v="1721"/>
    <x v="2"/>
    <s v="Freshwater"/>
    <x v="1"/>
    <x v="0"/>
    <n v="825"/>
    <s v="Baker Lake"/>
    <s v="Baker Lake"/>
    <s v="Whatcom"/>
    <x v="1"/>
    <s v="Snohomish"/>
    <x v="9"/>
    <s v="North Puget Sound"/>
    <m/>
    <n v="2984.1580502215702"/>
    <n v="25812.967134416602"/>
  </r>
  <r>
    <n v="1869"/>
    <x v="2"/>
    <s v="Freshwater"/>
    <x v="1"/>
    <x v="0"/>
    <n v="825"/>
    <s v="Baker Lake"/>
    <s v="Baker Lake"/>
    <s v="Whatcom"/>
    <x v="1"/>
    <s v="Thurston"/>
    <x v="10"/>
    <s v="South Puget Sound"/>
    <m/>
    <n v="58.227474150664698"/>
    <n v="503.66765140324998"/>
  </r>
  <r>
    <n v="1719"/>
    <x v="2"/>
    <s v="Freshwater"/>
    <x v="1"/>
    <x v="0"/>
    <n v="825"/>
    <s v="Baker Lake"/>
    <s v="Baker Lake"/>
    <s v="Whatcom"/>
    <x v="1"/>
    <s v="Whatcom"/>
    <x v="11"/>
    <s v="North Puget Sound"/>
    <m/>
    <n v="1535.74963072378"/>
    <n v="13284.234305760699"/>
  </r>
  <r>
    <n v="2872"/>
    <x v="2"/>
    <s v="Freshwater"/>
    <x v="1"/>
    <x v="0"/>
    <n v="826"/>
    <s v="Cascade River"/>
    <s v="Cascade River"/>
    <s v="Skagit"/>
    <x v="1"/>
    <s v="Clallam"/>
    <x v="0"/>
    <s v="Strait of Juan de Fuca"/>
    <m/>
    <n v="7.30941704035875"/>
    <n v="63.226457399103197"/>
  </r>
  <r>
    <n v="2868"/>
    <x v="2"/>
    <s v="Freshwater"/>
    <x v="1"/>
    <x v="0"/>
    <n v="826"/>
    <s v="Cascade River"/>
    <s v="Cascade River"/>
    <s v="Skagit"/>
    <x v="1"/>
    <s v="Island"/>
    <x v="1"/>
    <s v="North Puget Sound"/>
    <m/>
    <n v="124.26008968609899"/>
    <n v="1074.8497757847599"/>
  </r>
  <r>
    <n v="2869"/>
    <x v="2"/>
    <s v="Freshwater"/>
    <x v="1"/>
    <x v="0"/>
    <n v="826"/>
    <s v="Cascade River"/>
    <s v="Cascade River"/>
    <s v="Skagit"/>
    <x v="1"/>
    <s v="King"/>
    <x v="3"/>
    <s v="South Puget Sound"/>
    <m/>
    <n v="124.26008968609899"/>
    <n v="1074.8497757847599"/>
  </r>
  <r>
    <n v="2871"/>
    <x v="2"/>
    <s v="Freshwater"/>
    <x v="1"/>
    <x v="0"/>
    <n v="826"/>
    <s v="Cascade River"/>
    <s v="Cascade River"/>
    <s v="Skagit"/>
    <x v="1"/>
    <s v="Kitsap"/>
    <x v="4"/>
    <s v="South Puget Sound"/>
    <m/>
    <n v="14.6188340807175"/>
    <n v="126.452914798206"/>
  </r>
  <r>
    <n v="2873"/>
    <x v="2"/>
    <s v="Freshwater"/>
    <x v="1"/>
    <x v="0"/>
    <n v="826"/>
    <s v="Cascade River"/>
    <s v="Cascade River"/>
    <s v="Skagit"/>
    <x v="1"/>
    <s v="Other"/>
    <x v="6"/>
    <s v="Non Puget Sound"/>
    <m/>
    <n v="65.784753363228702"/>
    <n v="569.03811659192797"/>
  </r>
  <r>
    <n v="2870"/>
    <x v="2"/>
    <s v="Freshwater"/>
    <x v="1"/>
    <x v="0"/>
    <n v="826"/>
    <s v="Cascade River"/>
    <s v="Cascade River"/>
    <s v="Skagit"/>
    <x v="1"/>
    <s v="Pierce"/>
    <x v="7"/>
    <s v="South Puget Sound"/>
    <m/>
    <n v="36.547085201793699"/>
    <n v="316.13228699551598"/>
  </r>
  <r>
    <n v="2866"/>
    <x v="2"/>
    <s v="Freshwater"/>
    <x v="1"/>
    <x v="0"/>
    <n v="826"/>
    <s v="Cascade River"/>
    <s v="Cascade River"/>
    <s v="Skagit"/>
    <x v="1"/>
    <s v="Skagit"/>
    <x v="8"/>
    <s v="North Puget Sound"/>
    <m/>
    <n v="372.78026905829603"/>
    <n v="3224.5493273542602"/>
  </r>
  <r>
    <n v="2867"/>
    <x v="2"/>
    <s v="Freshwater"/>
    <x v="1"/>
    <x v="0"/>
    <n v="826"/>
    <s v="Cascade River"/>
    <s v="Cascade River"/>
    <s v="Skagit"/>
    <x v="1"/>
    <s v="Snohomish"/>
    <x v="9"/>
    <s v="North Puget Sound"/>
    <m/>
    <n v="599.37219730941695"/>
    <n v="5184.5695067264596"/>
  </r>
  <r>
    <n v="2865"/>
    <x v="2"/>
    <s v="Freshwater"/>
    <x v="1"/>
    <x v="0"/>
    <n v="826"/>
    <s v="Cascade River"/>
    <s v="Cascade River"/>
    <s v="Skagit"/>
    <x v="1"/>
    <s v="Whatcom"/>
    <x v="11"/>
    <s v="North Puget Sound"/>
    <m/>
    <n v="285.067264573991"/>
    <n v="2465.83183856502"/>
  </r>
  <r>
    <n v="2350"/>
    <x v="2"/>
    <s v="Freshwater"/>
    <x v="1"/>
    <x v="0"/>
    <n v="830"/>
    <s v="Skagit River"/>
    <s v="Skagit River"/>
    <s v="Skagit/Whatcom"/>
    <x v="2"/>
    <s v="Island"/>
    <x v="1"/>
    <s v="North Puget Sound"/>
    <m/>
    <n v="131.032080659945"/>
    <n v="1133.4274977085199"/>
  </r>
  <r>
    <n v="2352"/>
    <x v="2"/>
    <s v="Freshwater"/>
    <x v="1"/>
    <x v="0"/>
    <n v="830"/>
    <s v="Skagit River"/>
    <s v="Skagit River"/>
    <s v="Skagit/Whatcom"/>
    <x v="2"/>
    <s v="King"/>
    <x v="3"/>
    <s v="South Puget Sound"/>
    <m/>
    <n v="363.978001833181"/>
    <n v="3148.4097158570198"/>
  </r>
  <r>
    <n v="2354"/>
    <x v="2"/>
    <s v="Freshwater"/>
    <x v="1"/>
    <x v="0"/>
    <n v="830"/>
    <s v="Skagit River"/>
    <s v="Skagit River"/>
    <s v="Skagit/Whatcom"/>
    <x v="2"/>
    <s v="Kitsap"/>
    <x v="4"/>
    <s v="South Puget Sound"/>
    <m/>
    <n v="58.236480293308901"/>
    <n v="503.74555453712202"/>
  </r>
  <r>
    <n v="2355"/>
    <x v="2"/>
    <s v="Freshwater"/>
    <x v="1"/>
    <x v="0"/>
    <n v="830"/>
    <s v="Skagit River"/>
    <s v="Skagit River"/>
    <s v="Skagit/Whatcom"/>
    <x v="2"/>
    <s v="Other"/>
    <x v="6"/>
    <s v="Non Puget Sound"/>
    <m/>
    <n v="262.06416131988999"/>
    <n v="2266.8549954170498"/>
  </r>
  <r>
    <n v="2353"/>
    <x v="2"/>
    <s v="Freshwater"/>
    <x v="1"/>
    <x v="0"/>
    <n v="830"/>
    <s v="Skagit River"/>
    <s v="Skagit River"/>
    <s v="Skagit/Whatcom"/>
    <x v="2"/>
    <s v="Pierce"/>
    <x v="7"/>
    <s v="South Puget Sound"/>
    <m/>
    <n v="65.516040329972498"/>
    <n v="566.71374885426201"/>
  </r>
  <r>
    <n v="2351"/>
    <x v="2"/>
    <s v="Freshwater"/>
    <x v="1"/>
    <x v="0"/>
    <n v="830"/>
    <s v="Skagit River"/>
    <s v="Skagit River"/>
    <s v="Skagit/Whatcom"/>
    <x v="2"/>
    <s v="San Juan"/>
    <x v="12"/>
    <s v="North Puget Sound"/>
    <m/>
    <n v="14.5591200733272"/>
    <n v="125.93638863427999"/>
  </r>
  <r>
    <n v="2311"/>
    <x v="2"/>
    <s v="Freshwater"/>
    <x v="1"/>
    <x v="0"/>
    <n v="830"/>
    <s v="Skagit River"/>
    <s v="Skagit River"/>
    <s v="Skagit/Whatcom"/>
    <x v="2"/>
    <s v="Skagit"/>
    <x v="8"/>
    <s v="North Puget Sound"/>
    <m/>
    <n v="5590.7021081576504"/>
    <n v="48359.573235563701"/>
  </r>
  <r>
    <n v="2312"/>
    <x v="2"/>
    <s v="Freshwater"/>
    <x v="1"/>
    <x v="0"/>
    <n v="830"/>
    <s v="Skagit River"/>
    <s v="Skagit River"/>
    <s v="Skagit/Whatcom"/>
    <x v="2"/>
    <s v="Snohomish"/>
    <x v="9"/>
    <s v="North Puget Sound"/>
    <m/>
    <n v="1011.85884509624"/>
    <n v="8752.5790100824797"/>
  </r>
  <r>
    <n v="2310"/>
    <x v="2"/>
    <s v="Freshwater"/>
    <x v="1"/>
    <x v="0"/>
    <n v="830"/>
    <s v="Skagit River"/>
    <s v="Skagit River"/>
    <s v="Skagit/Whatcom"/>
    <x v="2"/>
    <s v="Whatcom"/>
    <x v="11"/>
    <s v="North Puget Sound"/>
    <m/>
    <n v="444.05316223647998"/>
    <n v="3841.05985334555"/>
  </r>
  <r>
    <n v="1133"/>
    <x v="2"/>
    <s v="Freshwater"/>
    <x v="1"/>
    <x v="0"/>
    <n v="834"/>
    <s v="Skokomish River"/>
    <s v="Skokomish River"/>
    <s v="Mason"/>
    <x v="4"/>
    <s v="Island"/>
    <x v="1"/>
    <s v="North Puget Sound"/>
    <m/>
    <n v="64.727626459144005"/>
    <n v="559.89396887159603"/>
  </r>
  <r>
    <n v="1148"/>
    <x v="2"/>
    <s v="Freshwater"/>
    <x v="1"/>
    <x v="0"/>
    <n v="834"/>
    <s v="Skokomish River"/>
    <s v="Skokomish River"/>
    <s v="Mason"/>
    <x v="4"/>
    <s v="Jefferson"/>
    <x v="2"/>
    <s v="Strait of Juan de Fuca"/>
    <m/>
    <n v="7.1919584954604403"/>
    <n v="62.210440985732802"/>
  </r>
  <r>
    <n v="1143"/>
    <x v="2"/>
    <s v="Freshwater"/>
    <x v="1"/>
    <x v="0"/>
    <n v="834"/>
    <s v="Skokomish River"/>
    <s v="Skokomish River"/>
    <s v="Mason"/>
    <x v="4"/>
    <s v="King"/>
    <x v="3"/>
    <s v="South Puget Sound"/>
    <m/>
    <n v="2502.8015564202301"/>
    <n v="21649.233463035001"/>
  </r>
  <r>
    <n v="1147"/>
    <x v="2"/>
    <s v="Freshwater"/>
    <x v="1"/>
    <x v="0"/>
    <n v="834"/>
    <s v="Skokomish River"/>
    <s v="Skokomish River"/>
    <s v="Mason"/>
    <x v="4"/>
    <s v="Kitsap"/>
    <x v="4"/>
    <s v="South Puget Sound"/>
    <m/>
    <n v="733.57976653696505"/>
    <n v="6345.4649805447498"/>
  </r>
  <r>
    <n v="1146"/>
    <x v="2"/>
    <s v="Freshwater"/>
    <x v="1"/>
    <x v="0"/>
    <n v="834"/>
    <s v="Skokomish River"/>
    <s v="Skokomish River"/>
    <s v="Mason"/>
    <x v="4"/>
    <s v="Mason"/>
    <x v="5"/>
    <s v="South Puget Sound"/>
    <m/>
    <n v="1762.02983138781"/>
    <n v="15241.558041504601"/>
  </r>
  <r>
    <n v="1149"/>
    <x v="2"/>
    <s v="Freshwater"/>
    <x v="1"/>
    <x v="0"/>
    <n v="834"/>
    <s v="Skokomish River"/>
    <s v="Skokomish River"/>
    <s v="Mason"/>
    <x v="4"/>
    <s v="Other"/>
    <x v="6"/>
    <s v="Non Puget Sound"/>
    <m/>
    <n v="1035.6420233463"/>
    <n v="8958.3035019454892"/>
  </r>
  <r>
    <n v="1144"/>
    <x v="2"/>
    <s v="Freshwater"/>
    <x v="1"/>
    <x v="0"/>
    <n v="834"/>
    <s v="Skokomish River"/>
    <s v="Skokomish River"/>
    <s v="Mason"/>
    <x v="4"/>
    <s v="Pierce"/>
    <x v="7"/>
    <s v="South Puget Sound"/>
    <m/>
    <n v="2999.0466926069998"/>
    <n v="25941.753891050601"/>
  </r>
  <r>
    <n v="1132"/>
    <x v="2"/>
    <s v="Freshwater"/>
    <x v="1"/>
    <x v="0"/>
    <n v="834"/>
    <s v="Skokomish River"/>
    <s v="Skokomish River"/>
    <s v="Mason"/>
    <x v="4"/>
    <s v="Snohomish"/>
    <x v="9"/>
    <s v="North Puget Sound"/>
    <m/>
    <n v="273.29442282749699"/>
    <n v="2363.99675745785"/>
  </r>
  <r>
    <n v="1145"/>
    <x v="2"/>
    <s v="Freshwater"/>
    <x v="1"/>
    <x v="0"/>
    <n v="834"/>
    <s v="Skokomish River"/>
    <s v="Skokomish River"/>
    <s v="Mason"/>
    <x v="4"/>
    <s v="Thurston"/>
    <x v="10"/>
    <s v="South Puget Sound"/>
    <m/>
    <n v="1711.6861219195901"/>
    <n v="14806.084954604499"/>
  </r>
  <r>
    <n v="3687"/>
    <x v="2"/>
    <s v="Freshwater"/>
    <x v="1"/>
    <x v="0"/>
    <n v="844"/>
    <s v="Skykomish River"/>
    <s v="Skykomish River"/>
    <s v="Snohomish"/>
    <x v="2"/>
    <s v="Island"/>
    <x v="1"/>
    <s v="North Puget Sound"/>
    <m/>
    <n v="21.336734693877599"/>
    <n v="184.562755102041"/>
  </r>
  <r>
    <n v="3688"/>
    <x v="2"/>
    <s v="Freshwater"/>
    <x v="1"/>
    <x v="0"/>
    <n v="844"/>
    <s v="Skykomish River"/>
    <s v="Skykomish River"/>
    <s v="Snohomish"/>
    <x v="2"/>
    <s v="King"/>
    <x v="3"/>
    <s v="South Puget Sound"/>
    <m/>
    <n v="611.65306122448999"/>
    <n v="5290.7989795918402"/>
  </r>
  <r>
    <n v="3692"/>
    <x v="2"/>
    <s v="Freshwater"/>
    <x v="1"/>
    <x v="0"/>
    <n v="844"/>
    <s v="Skykomish River"/>
    <s v="Skykomish River"/>
    <s v="Snohomish"/>
    <x v="2"/>
    <s v="Kitsap"/>
    <x v="4"/>
    <s v="South Puget Sound"/>
    <m/>
    <n v="7.1122448979591901"/>
    <n v="61.520918367347001"/>
  </r>
  <r>
    <n v="3693"/>
    <x v="2"/>
    <s v="Freshwater"/>
    <x v="1"/>
    <x v="0"/>
    <n v="844"/>
    <s v="Skykomish River"/>
    <s v="Skykomish River"/>
    <s v="Snohomish"/>
    <x v="2"/>
    <s v="Other"/>
    <x v="6"/>
    <s v="Non Puget Sound"/>
    <m/>
    <n v="49.785714285714299"/>
    <n v="430.646428571429"/>
  </r>
  <r>
    <n v="3689"/>
    <x v="2"/>
    <s v="Freshwater"/>
    <x v="1"/>
    <x v="0"/>
    <n v="844"/>
    <s v="Skykomish River"/>
    <s v="Skykomish River"/>
    <s v="Snohomish"/>
    <x v="2"/>
    <s v="Pierce"/>
    <x v="7"/>
    <s v="South Puget Sound"/>
    <m/>
    <n v="28.4489795918367"/>
    <n v="246.08367346938701"/>
  </r>
  <r>
    <n v="3686"/>
    <x v="2"/>
    <s v="Freshwater"/>
    <x v="1"/>
    <x v="0"/>
    <n v="844"/>
    <s v="Skykomish River"/>
    <s v="Skykomish River"/>
    <s v="Snohomish"/>
    <x v="2"/>
    <s v="Snohomish"/>
    <x v="9"/>
    <s v="North Puget Sound"/>
    <m/>
    <n v="1358.4387755102"/>
    <n v="11750.4954081632"/>
  </r>
  <r>
    <n v="3685"/>
    <x v="2"/>
    <s v="Freshwater"/>
    <x v="1"/>
    <x v="0"/>
    <n v="844"/>
    <s v="Skykomish River"/>
    <s v="Skykomish River"/>
    <s v="Snohomish"/>
    <x v="2"/>
    <s v="Whatcom"/>
    <x v="11"/>
    <s v="North Puget Sound"/>
    <m/>
    <n v="14.2244897959184"/>
    <n v="123.041836734694"/>
  </r>
  <r>
    <n v="3709"/>
    <x v="2"/>
    <s v="Freshwater"/>
    <x v="1"/>
    <x v="0"/>
    <n v="850"/>
    <s v="Snohomish River"/>
    <s v="Snohomish River"/>
    <s v="Snohomish"/>
    <x v="2"/>
    <s v="Clallam"/>
    <x v="0"/>
    <s v="Strait of Juan de Fuca"/>
    <m/>
    <n v="7.1226277372262796"/>
    <n v="61.610729927007299"/>
  </r>
  <r>
    <n v="3697"/>
    <x v="2"/>
    <s v="Freshwater"/>
    <x v="1"/>
    <x v="0"/>
    <n v="850"/>
    <s v="Snohomish River"/>
    <s v="Snohomish River"/>
    <s v="Snohomish"/>
    <x v="2"/>
    <s v="Island"/>
    <x v="1"/>
    <s v="North Puget Sound"/>
    <m/>
    <n v="35.6131386861314"/>
    <n v="308.053649635037"/>
  </r>
  <r>
    <n v="3706"/>
    <x v="2"/>
    <s v="Freshwater"/>
    <x v="1"/>
    <x v="0"/>
    <n v="850"/>
    <s v="Snohomish River"/>
    <s v="Snohomish River"/>
    <s v="Snohomish"/>
    <x v="2"/>
    <s v="King"/>
    <x v="3"/>
    <s v="South Puget Sound"/>
    <m/>
    <n v="1160.98832116788"/>
    <n v="10042.548978102201"/>
  </r>
  <r>
    <n v="3710"/>
    <x v="2"/>
    <s v="Freshwater"/>
    <x v="1"/>
    <x v="0"/>
    <n v="850"/>
    <s v="Snohomish River"/>
    <s v="Snohomish River"/>
    <s v="Snohomish"/>
    <x v="2"/>
    <s v="Other"/>
    <x v="6"/>
    <s v="Non Puget Sound"/>
    <m/>
    <n v="142.452554744526"/>
    <n v="1232.2145985401501"/>
  </r>
  <r>
    <n v="3707"/>
    <x v="2"/>
    <s v="Freshwater"/>
    <x v="1"/>
    <x v="0"/>
    <n v="850"/>
    <s v="Snohomish River"/>
    <s v="Snohomish River"/>
    <s v="Snohomish"/>
    <x v="2"/>
    <s v="Pierce"/>
    <x v="7"/>
    <s v="South Puget Sound"/>
    <m/>
    <n v="49.858394160583998"/>
    <n v="431.275109489052"/>
  </r>
  <r>
    <n v="3695"/>
    <x v="2"/>
    <s v="Freshwater"/>
    <x v="1"/>
    <x v="0"/>
    <n v="850"/>
    <s v="Snohomish River"/>
    <s v="Snohomish River"/>
    <s v="Snohomish"/>
    <x v="2"/>
    <s v="Skagit"/>
    <x v="8"/>
    <s v="North Puget Sound"/>
    <m/>
    <n v="21.367883211678802"/>
    <n v="184.83218978102201"/>
  </r>
  <r>
    <n v="3696"/>
    <x v="2"/>
    <s v="Freshwater"/>
    <x v="1"/>
    <x v="0"/>
    <n v="850"/>
    <s v="Snohomish River"/>
    <s v="Snohomish River"/>
    <s v="Snohomish"/>
    <x v="2"/>
    <s v="Snohomish"/>
    <x v="9"/>
    <s v="North Puget Sound"/>
    <m/>
    <n v="3440.2291970802899"/>
    <n v="29757.9825547445"/>
  </r>
  <r>
    <n v="3708"/>
    <x v="2"/>
    <s v="Freshwater"/>
    <x v="1"/>
    <x v="0"/>
    <n v="850"/>
    <s v="Snohomish River"/>
    <s v="Snohomish River"/>
    <s v="Snohomish"/>
    <x v="2"/>
    <s v="Thurston"/>
    <x v="10"/>
    <s v="South Puget Sound"/>
    <m/>
    <n v="7.1226277372262796"/>
    <n v="61.610729927007299"/>
  </r>
  <r>
    <n v="3694"/>
    <x v="2"/>
    <s v="Freshwater"/>
    <x v="1"/>
    <x v="0"/>
    <n v="850"/>
    <s v="Snohomish River"/>
    <s v="Snohomish River"/>
    <s v="Snohomish"/>
    <x v="2"/>
    <s v="Whatcom"/>
    <x v="11"/>
    <s v="North Puget Sound"/>
    <m/>
    <n v="14.2452554744526"/>
    <n v="123.221459854015"/>
  </r>
  <r>
    <n v="1178"/>
    <x v="2"/>
    <s v="Freshwater"/>
    <x v="1"/>
    <x v="0"/>
    <n v="852"/>
    <s v="Snoqualmie River"/>
    <s v="Snoqualmie River"/>
    <s v="Snohomish/King"/>
    <x v="2"/>
    <s v="King"/>
    <x v="3"/>
    <s v="South Puget Sound"/>
    <m/>
    <n v="513.10344827586198"/>
    <n v="4438.3448275862102"/>
  </r>
  <r>
    <n v="1179"/>
    <x v="2"/>
    <s v="Freshwater"/>
    <x v="1"/>
    <x v="0"/>
    <n v="852"/>
    <s v="Snoqualmie River"/>
    <s v="Snoqualmie River"/>
    <s v="Snohomish/King"/>
    <x v="2"/>
    <s v="Other"/>
    <x v="6"/>
    <s v="Non Puget Sound"/>
    <m/>
    <n v="49.885057471264403"/>
    <n v="431.50574712643697"/>
  </r>
  <r>
    <n v="1177"/>
    <x v="2"/>
    <s v="Freshwater"/>
    <x v="1"/>
    <x v="0"/>
    <n v="852"/>
    <s v="Snoqualmie River"/>
    <s v="Snoqualmie River"/>
    <s v="Snohomish/King"/>
    <x v="2"/>
    <s v="Snohomish"/>
    <x v="9"/>
    <s v="North Puget Sound"/>
    <m/>
    <n v="57.011494252873597"/>
    <n v="493.14942528735702"/>
  </r>
  <r>
    <n v="3718"/>
    <x v="2"/>
    <s v="Freshwater"/>
    <x v="1"/>
    <x v="0"/>
    <n v="872"/>
    <s v="Stillaguamish River"/>
    <s v="Stillaguamish River"/>
    <s v="Snohomish"/>
    <x v="2"/>
    <s v="Island"/>
    <x v="1"/>
    <s v="North Puget Sound"/>
    <m/>
    <n v="164.05780346820799"/>
    <n v="1419.1"/>
  </r>
  <r>
    <n v="3719"/>
    <x v="2"/>
    <s v="Freshwater"/>
    <x v="1"/>
    <x v="0"/>
    <n v="872"/>
    <s v="Stillaguamish River"/>
    <s v="Stillaguamish River"/>
    <s v="Snohomish"/>
    <x v="2"/>
    <s v="King"/>
    <x v="3"/>
    <s v="South Puget Sound"/>
    <m/>
    <n v="78.462427745664797"/>
    <n v="678.70000000000095"/>
  </r>
  <r>
    <n v="3720"/>
    <x v="2"/>
    <s v="Freshwater"/>
    <x v="1"/>
    <x v="0"/>
    <n v="872"/>
    <s v="Stillaguamish River"/>
    <s v="Stillaguamish River"/>
    <s v="Snohomish"/>
    <x v="2"/>
    <s v="Other"/>
    <x v="6"/>
    <s v="Non Puget Sound"/>
    <m/>
    <n v="35.6647398843931"/>
    <n v="308.5"/>
  </r>
  <r>
    <n v="3712"/>
    <x v="2"/>
    <s v="Freshwater"/>
    <x v="1"/>
    <x v="0"/>
    <n v="872"/>
    <s v="Stillaguamish River"/>
    <s v="Stillaguamish River"/>
    <s v="Snohomish"/>
    <x v="2"/>
    <s v="Skagit"/>
    <x v="8"/>
    <s v="North Puget Sound"/>
    <m/>
    <n v="14.2658959537572"/>
    <n v="123.4"/>
  </r>
  <r>
    <n v="3717"/>
    <x v="2"/>
    <s v="Freshwater"/>
    <x v="1"/>
    <x v="0"/>
    <n v="872"/>
    <s v="Stillaguamish River"/>
    <s v="Stillaguamish River"/>
    <s v="Snohomish"/>
    <x v="2"/>
    <s v="Snohomish"/>
    <x v="9"/>
    <s v="North Puget Sound"/>
    <m/>
    <n v="913.01734104046295"/>
    <n v="7897.6"/>
  </r>
  <r>
    <n v="3711"/>
    <x v="2"/>
    <s v="Freshwater"/>
    <x v="1"/>
    <x v="0"/>
    <n v="872"/>
    <s v="Stillaguamish River"/>
    <s v="Stillaguamish River"/>
    <s v="Snohomish"/>
    <x v="2"/>
    <s v="Whatcom"/>
    <x v="11"/>
    <s v="North Puget Sound"/>
    <m/>
    <n v="28.531791907514499"/>
    <n v="246.8"/>
  </r>
  <r>
    <n v="671"/>
    <x v="2"/>
    <s v="Freshwater"/>
    <x v="1"/>
    <x v="0"/>
    <n v="878"/>
    <s v="Tahuya River"/>
    <s v="Tahuya River"/>
    <s v="Mason"/>
    <x v="3"/>
    <s v="King"/>
    <x v="3"/>
    <s v="South Puget Sound"/>
    <m/>
    <n v="174.41860465116301"/>
    <n v="1508.72093023256"/>
  </r>
  <r>
    <n v="749"/>
    <x v="2"/>
    <s v="Freshwater"/>
    <x v="1"/>
    <x v="0"/>
    <n v="878"/>
    <s v="Tahuya River"/>
    <s v="Tahuya River"/>
    <s v="Mason"/>
    <x v="3"/>
    <s v="Kitsap"/>
    <x v="4"/>
    <s v="South Puget Sound"/>
    <m/>
    <n v="432.55813953488399"/>
    <n v="3741.6279069767502"/>
  </r>
  <r>
    <n v="674"/>
    <x v="2"/>
    <s v="Freshwater"/>
    <x v="1"/>
    <x v="0"/>
    <n v="878"/>
    <s v="Tahuya River"/>
    <s v="Tahuya River"/>
    <s v="Mason"/>
    <x v="3"/>
    <s v="Mason"/>
    <x v="5"/>
    <s v="South Puget Sound"/>
    <m/>
    <n v="411.62790697674399"/>
    <n v="3560.58139534884"/>
  </r>
  <r>
    <n v="672"/>
    <x v="2"/>
    <s v="Freshwater"/>
    <x v="1"/>
    <x v="0"/>
    <n v="878"/>
    <s v="Tahuya River"/>
    <s v="Tahuya River"/>
    <s v="Mason"/>
    <x v="3"/>
    <s v="Pierce"/>
    <x v="7"/>
    <s v="South Puget Sound"/>
    <m/>
    <n v="118.604651162791"/>
    <n v="1025.93023255814"/>
  </r>
  <r>
    <n v="670"/>
    <x v="2"/>
    <s v="Freshwater"/>
    <x v="1"/>
    <x v="0"/>
    <n v="878"/>
    <s v="Tahuya River"/>
    <s v="Tahuya River"/>
    <s v="Mason"/>
    <x v="3"/>
    <s v="Snohomish"/>
    <x v="9"/>
    <s v="North Puget Sound"/>
    <m/>
    <n v="13.953488372093"/>
    <n v="120.697674418604"/>
  </r>
  <r>
    <n v="673"/>
    <x v="2"/>
    <s v="Freshwater"/>
    <x v="1"/>
    <x v="0"/>
    <n v="878"/>
    <s v="Tahuya River"/>
    <s v="Tahuya River"/>
    <s v="Mason"/>
    <x v="3"/>
    <s v="Thurston"/>
    <x v="10"/>
    <s v="South Puget Sound"/>
    <m/>
    <n v="48.837209302325597"/>
    <n v="422.44186046511601"/>
  </r>
  <r>
    <n v="1875"/>
    <x v="2"/>
    <s v="Freshwater"/>
    <x v="1"/>
    <x v="0"/>
    <n v="884"/>
    <s v="Whatcom Creek"/>
    <s v="Whatcom Creek"/>
    <s v="Whatcom"/>
    <x v="1"/>
    <s v="King"/>
    <x v="3"/>
    <s v="South Puget Sound"/>
    <m/>
    <n v="13.9384615384615"/>
    <n v="120.567692307692"/>
  </r>
  <r>
    <n v="1877"/>
    <x v="2"/>
    <s v="Freshwater"/>
    <x v="1"/>
    <x v="0"/>
    <n v="884"/>
    <s v="Whatcom Creek"/>
    <s v="Whatcom Creek"/>
    <s v="Whatcom"/>
    <x v="1"/>
    <s v="Other"/>
    <x v="6"/>
    <s v="Non Puget Sound"/>
    <m/>
    <n v="27.876923076923099"/>
    <n v="241.13538461538499"/>
  </r>
  <r>
    <n v="1876"/>
    <x v="2"/>
    <s v="Freshwater"/>
    <x v="1"/>
    <x v="0"/>
    <n v="884"/>
    <s v="Whatcom Creek"/>
    <s v="Whatcom Creek"/>
    <s v="Whatcom"/>
    <x v="1"/>
    <s v="Pierce"/>
    <x v="7"/>
    <s v="South Puget Sound"/>
    <m/>
    <n v="6.9692307692307702"/>
    <n v="60.283846153846198"/>
  </r>
  <r>
    <n v="1874"/>
    <x v="2"/>
    <s v="Freshwater"/>
    <x v="1"/>
    <x v="0"/>
    <n v="884"/>
    <s v="Whatcom Creek"/>
    <s v="Whatcom Creek"/>
    <s v="Whatcom"/>
    <x v="1"/>
    <s v="Skagit"/>
    <x v="8"/>
    <s v="North Puget Sound"/>
    <m/>
    <n v="55.753846153846197"/>
    <n v="482.27076923076999"/>
  </r>
  <r>
    <n v="1873"/>
    <x v="2"/>
    <s v="Freshwater"/>
    <x v="1"/>
    <x v="0"/>
    <n v="884"/>
    <s v="Whatcom Creek"/>
    <s v="Whatcom Creek"/>
    <s v="Whatcom"/>
    <x v="1"/>
    <s v="Whatcom"/>
    <x v="11"/>
    <s v="North Puget Sound"/>
    <m/>
    <n v="348.46153846153902"/>
    <n v="3014.1923076923099"/>
  </r>
  <r>
    <n v="1248"/>
    <x v="3"/>
    <s v="Freshwater"/>
    <x v="1"/>
    <x v="0"/>
    <n v="8"/>
    <s v="Unknown"/>
    <s v="Unknown"/>
    <s v="NA"/>
    <x v="5"/>
    <s v="Other"/>
    <x v="6"/>
    <s v="Non Puget Sound"/>
    <m/>
    <n v="0"/>
    <n v="0"/>
  </r>
  <r>
    <n v="271"/>
    <x v="3"/>
    <s v="Freshwater"/>
    <x v="1"/>
    <x v="0"/>
    <n v="706"/>
    <s v="Black River (Thurston Co)"/>
    <s v="Black River (Thurston Co)"/>
    <s v="Thurston"/>
    <x v="3"/>
    <s v="Other"/>
    <x v="6"/>
    <s v="Non Puget Sound"/>
    <m/>
    <n v="15"/>
    <n v="51.6"/>
  </r>
  <r>
    <n v="1162"/>
    <x v="3"/>
    <s v="Freshwater"/>
    <x v="1"/>
    <x v="0"/>
    <n v="714"/>
    <s v="Chambers Creek"/>
    <s v="Chambers Creek"/>
    <s v="Pierce"/>
    <x v="3"/>
    <s v="Pierce"/>
    <x v="7"/>
    <s v="South Puget Sound"/>
    <m/>
    <n v="5"/>
    <n v="17.2"/>
  </r>
  <r>
    <n v="1163"/>
    <x v="3"/>
    <s v="Freshwater"/>
    <x v="1"/>
    <x v="0"/>
    <n v="714"/>
    <s v="Chambers Creek"/>
    <s v="Chambers Creek"/>
    <s v="Pierce"/>
    <x v="3"/>
    <s v="Thurston"/>
    <x v="10"/>
    <s v="South Puget Sound"/>
    <m/>
    <n v="10"/>
    <n v="34.4"/>
  </r>
  <r>
    <n v="1879"/>
    <x v="3"/>
    <s v="Freshwater"/>
    <x v="1"/>
    <x v="0"/>
    <n v="724"/>
    <s v="Dakota Creek (Whatcom Co)"/>
    <s v="Dakota Creek (Whatcom Co)"/>
    <s v="Whatcom"/>
    <x v="1"/>
    <s v="Other"/>
    <x v="6"/>
    <s v="Non Puget Sound"/>
    <m/>
    <n v="54.09375"/>
    <n v="186.08250000000001"/>
  </r>
  <r>
    <n v="1878"/>
    <x v="3"/>
    <s v="Freshwater"/>
    <x v="1"/>
    <x v="0"/>
    <n v="724"/>
    <s v="Dakota Creek (Whatcom Co)"/>
    <s v="Dakota Creek (Whatcom Co)"/>
    <s v="Whatcom"/>
    <x v="1"/>
    <s v="Whatcom"/>
    <x v="11"/>
    <s v="North Puget Sound"/>
    <m/>
    <n v="522.90625"/>
    <n v="1798.7974999999999"/>
  </r>
  <r>
    <n v="751"/>
    <x v="3"/>
    <s v="Freshwater"/>
    <x v="1"/>
    <x v="0"/>
    <n v="732"/>
    <s v="Dewatto River"/>
    <s v="Dewatto River"/>
    <s v="Mason"/>
    <x v="3"/>
    <s v="Kitsap"/>
    <x v="4"/>
    <s v="South Puget Sound"/>
    <m/>
    <n v="15.3333333333333"/>
    <n v="52.746666666666499"/>
  </r>
  <r>
    <n v="750"/>
    <x v="3"/>
    <s v="Freshwater"/>
    <x v="1"/>
    <x v="0"/>
    <n v="732"/>
    <s v="Dewatto River"/>
    <s v="Dewatto River"/>
    <s v="Mason"/>
    <x v="3"/>
    <s v="Mason"/>
    <x v="5"/>
    <s v="South Puget Sound"/>
    <m/>
    <n v="30.6666666666667"/>
    <n v="105.493333333333"/>
  </r>
  <r>
    <n v="747"/>
    <x v="3"/>
    <s v="Freshwater"/>
    <x v="1"/>
    <x v="0"/>
    <n v="736"/>
    <s v="Duckabush River"/>
    <s v="Duckabush River"/>
    <s v="Jefferson"/>
    <x v="4"/>
    <s v="Kitsap"/>
    <x v="4"/>
    <s v="South Puget Sound"/>
    <m/>
    <n v="4"/>
    <n v="13.76"/>
  </r>
  <r>
    <n v="746"/>
    <x v="3"/>
    <s v="Freshwater"/>
    <x v="1"/>
    <x v="0"/>
    <n v="736"/>
    <s v="Duckabush River"/>
    <s v="Duckabush River"/>
    <s v="Jefferson"/>
    <x v="4"/>
    <s v="Thurston"/>
    <x v="10"/>
    <s v="South Puget Sound"/>
    <m/>
    <n v="6"/>
    <n v="20.64"/>
  </r>
  <r>
    <n v="1746"/>
    <x v="3"/>
    <s v="Freshwater"/>
    <x v="1"/>
    <x v="0"/>
    <n v="738"/>
    <s v="Dungeness River"/>
    <s v="Dungeness River"/>
    <s v="Clallam"/>
    <x v="0"/>
    <s v="Clallam"/>
    <x v="0"/>
    <s v="Strait of Juan de Fuca"/>
    <m/>
    <n v="1122.3525641025601"/>
    <n v="3860.89282051281"/>
  </r>
  <r>
    <n v="1743"/>
    <x v="3"/>
    <s v="Freshwater"/>
    <x v="1"/>
    <x v="0"/>
    <n v="738"/>
    <s v="Dungeness River"/>
    <s v="Dungeness River"/>
    <s v="Clallam"/>
    <x v="0"/>
    <s v="King"/>
    <x v="3"/>
    <s v="South Puget Sound"/>
    <m/>
    <n v="18.551282051282101"/>
    <n v="63.8164102564104"/>
  </r>
  <r>
    <n v="1745"/>
    <x v="3"/>
    <s v="Freshwater"/>
    <x v="1"/>
    <x v="0"/>
    <n v="738"/>
    <s v="Dungeness River"/>
    <s v="Dungeness River"/>
    <s v="Clallam"/>
    <x v="0"/>
    <s v="Kitsap"/>
    <x v="4"/>
    <s v="South Puget Sound"/>
    <m/>
    <n v="120.583333333333"/>
    <n v="414.80666666666599"/>
  </r>
  <r>
    <n v="1747"/>
    <x v="3"/>
    <s v="Freshwater"/>
    <x v="1"/>
    <x v="0"/>
    <n v="738"/>
    <s v="Dungeness River"/>
    <s v="Dungeness River"/>
    <s v="Clallam"/>
    <x v="0"/>
    <s v="Other"/>
    <x v="6"/>
    <s v="Non Puget Sound"/>
    <m/>
    <n v="83.480769230769297"/>
    <n v="287.173846153846"/>
  </r>
  <r>
    <n v="1744"/>
    <x v="3"/>
    <s v="Freshwater"/>
    <x v="1"/>
    <x v="0"/>
    <n v="738"/>
    <s v="Dungeness River"/>
    <s v="Dungeness River"/>
    <s v="Clallam"/>
    <x v="0"/>
    <s v="Pierce"/>
    <x v="7"/>
    <s v="South Puget Sound"/>
    <m/>
    <n v="74.205128205128204"/>
    <n v="255.265641025641"/>
  </r>
  <r>
    <n v="1742"/>
    <x v="3"/>
    <s v="Freshwater"/>
    <x v="1"/>
    <x v="0"/>
    <n v="738"/>
    <s v="Dungeness River"/>
    <s v="Dungeness River"/>
    <s v="Clallam"/>
    <x v="0"/>
    <s v="Snohomish"/>
    <x v="9"/>
    <s v="North Puget Sound"/>
    <m/>
    <n v="27.826923076923102"/>
    <n v="95.724615384615504"/>
  </r>
  <r>
    <n v="2815"/>
    <x v="3"/>
    <s v="Freshwater"/>
    <x v="1"/>
    <x v="0"/>
    <n v="746"/>
    <s v="Green - Duwamish River"/>
    <s v="Green - Duwamish River"/>
    <s v="King"/>
    <x v="3"/>
    <s v="Island"/>
    <x v="1"/>
    <s v="North Puget Sound"/>
    <m/>
    <n v="8.9266627078384797"/>
    <n v="30.707719714964401"/>
  </r>
  <r>
    <n v="2816"/>
    <x v="3"/>
    <s v="Freshwater"/>
    <x v="1"/>
    <x v="0"/>
    <n v="746"/>
    <s v="Green - Duwamish River"/>
    <s v="Green - Duwamish River"/>
    <s v="King"/>
    <x v="3"/>
    <s v="King"/>
    <x v="3"/>
    <s v="South Puget Sound"/>
    <m/>
    <n v="25628.448634204298"/>
    <n v="88161.863301662801"/>
  </r>
  <r>
    <n v="2913"/>
    <x v="3"/>
    <s v="Freshwater"/>
    <x v="1"/>
    <x v="0"/>
    <n v="746"/>
    <s v="Green - Duwamish River"/>
    <s v="Green - Duwamish River"/>
    <s v="King"/>
    <x v="3"/>
    <s v="Kitsap"/>
    <x v="4"/>
    <s v="South Puget Sound"/>
    <m/>
    <n v="62.486638954869399"/>
    <n v="214.954038004751"/>
  </r>
  <r>
    <n v="2914"/>
    <x v="3"/>
    <s v="Freshwater"/>
    <x v="1"/>
    <x v="0"/>
    <n v="746"/>
    <s v="Green - Duwamish River"/>
    <s v="Green - Duwamish River"/>
    <s v="King"/>
    <x v="3"/>
    <s v="Other"/>
    <x v="6"/>
    <s v="Non Puget Sound"/>
    <m/>
    <n v="1446.11935866983"/>
    <n v="4974.6505938242199"/>
  </r>
  <r>
    <n v="2817"/>
    <x v="3"/>
    <s v="Freshwater"/>
    <x v="1"/>
    <x v="0"/>
    <n v="746"/>
    <s v="Green - Duwamish River"/>
    <s v="Green - Duwamish River"/>
    <s v="King"/>
    <x v="3"/>
    <s v="Pierce"/>
    <x v="7"/>
    <s v="South Puget Sound"/>
    <m/>
    <n v="2008.4991092636601"/>
    <n v="6909.2369358669903"/>
  </r>
  <r>
    <n v="2813"/>
    <x v="3"/>
    <s v="Freshwater"/>
    <x v="1"/>
    <x v="0"/>
    <n v="746"/>
    <s v="Green - Duwamish River"/>
    <s v="Green - Duwamish River"/>
    <s v="King"/>
    <x v="3"/>
    <s v="Skagit"/>
    <x v="8"/>
    <s v="North Puget Sound"/>
    <m/>
    <n v="26.779988123515398"/>
    <n v="92.123159144892995"/>
  </r>
  <r>
    <n v="2814"/>
    <x v="3"/>
    <s v="Freshwater"/>
    <x v="1"/>
    <x v="0"/>
    <n v="746"/>
    <s v="Green - Duwamish River"/>
    <s v="Green - Duwamish River"/>
    <s v="King"/>
    <x v="3"/>
    <s v="Snohomish"/>
    <x v="9"/>
    <s v="North Puget Sound"/>
    <m/>
    <n v="598.086401425178"/>
    <n v="2057.4172209026101"/>
  </r>
  <r>
    <n v="2912"/>
    <x v="3"/>
    <s v="Freshwater"/>
    <x v="1"/>
    <x v="0"/>
    <n v="746"/>
    <s v="Green - Duwamish River"/>
    <s v="Green - Duwamish River"/>
    <s v="King"/>
    <x v="3"/>
    <s v="Thurston"/>
    <x v="10"/>
    <s v="South Puget Sound"/>
    <m/>
    <n v="178.53325415677"/>
    <n v="614.15439429928904"/>
  </r>
  <r>
    <n v="2812"/>
    <x v="3"/>
    <s v="Freshwater"/>
    <x v="1"/>
    <x v="0"/>
    <n v="746"/>
    <s v="Green - Duwamish River"/>
    <s v="Green - Duwamish River"/>
    <s v="King"/>
    <x v="3"/>
    <s v="Whatcom"/>
    <x v="11"/>
    <s v="North Puget Sound"/>
    <m/>
    <n v="107.11995249406201"/>
    <n v="368.492636579573"/>
  </r>
  <r>
    <n v="859"/>
    <x v="3"/>
    <s v="Freshwater"/>
    <x v="1"/>
    <x v="0"/>
    <n v="754"/>
    <s v="Kennedy Creek"/>
    <s v="Kennedy Creek"/>
    <s v="Mason/Thurston"/>
    <x v="3"/>
    <s v="King"/>
    <x v="3"/>
    <s v="South Puget Sound"/>
    <m/>
    <n v="46.470588235294102"/>
    <n v="159.85882352941201"/>
  </r>
  <r>
    <n v="862"/>
    <x v="3"/>
    <s v="Freshwater"/>
    <x v="1"/>
    <x v="0"/>
    <n v="754"/>
    <s v="Kennedy Creek"/>
    <s v="Kennedy Creek"/>
    <s v="Mason/Thurston"/>
    <x v="3"/>
    <s v="Mason"/>
    <x v="5"/>
    <s v="South Puget Sound"/>
    <m/>
    <n v="18.588235294117698"/>
    <n v="63.943529411764899"/>
  </r>
  <r>
    <n v="860"/>
    <x v="3"/>
    <s v="Freshwater"/>
    <x v="1"/>
    <x v="0"/>
    <n v="754"/>
    <s v="Kennedy Creek"/>
    <s v="Kennedy Creek"/>
    <s v="Mason/Thurston"/>
    <x v="3"/>
    <s v="Pierce"/>
    <x v="7"/>
    <s v="South Puget Sound"/>
    <m/>
    <n v="9.2941176470588296"/>
    <n v="31.9717647058824"/>
  </r>
  <r>
    <n v="861"/>
    <x v="3"/>
    <s v="Freshwater"/>
    <x v="1"/>
    <x v="0"/>
    <n v="754"/>
    <s v="Kennedy Creek"/>
    <s v="Kennedy Creek"/>
    <s v="Mason/Thurston"/>
    <x v="3"/>
    <s v="Thurston"/>
    <x v="10"/>
    <s v="South Puget Sound"/>
    <m/>
    <n v="241.64705882352899"/>
    <n v="831.26588235294003"/>
  </r>
  <r>
    <n v="2916"/>
    <x v="3"/>
    <s v="Freshwater"/>
    <x v="1"/>
    <x v="0"/>
    <n v="762"/>
    <s v="Lake Washington"/>
    <s v="Lake Washington"/>
    <s v="King"/>
    <x v="3"/>
    <s v="King"/>
    <x v="3"/>
    <s v="South Puget Sound"/>
    <m/>
    <n v="130.375"/>
    <n v="448.49"/>
  </r>
  <r>
    <n v="2917"/>
    <x v="3"/>
    <s v="Freshwater"/>
    <x v="1"/>
    <x v="0"/>
    <n v="762"/>
    <s v="Lake Washington"/>
    <s v="Lake Washington"/>
    <s v="King"/>
    <x v="3"/>
    <s v="Other"/>
    <x v="6"/>
    <s v="Non Puget Sound"/>
    <m/>
    <n v="9.3125"/>
    <n v="32.034999999999997"/>
  </r>
  <r>
    <n v="2915"/>
    <x v="3"/>
    <s v="Freshwater"/>
    <x v="1"/>
    <x v="0"/>
    <n v="762"/>
    <s v="Lake Washington"/>
    <s v="Lake Washington"/>
    <s v="King"/>
    <x v="3"/>
    <s v="Snohomish"/>
    <x v="9"/>
    <s v="North Puget Sound"/>
    <m/>
    <n v="9.3125"/>
    <n v="32.034999999999997"/>
  </r>
  <r>
    <n v="3034"/>
    <x v="3"/>
    <s v="Freshwater"/>
    <x v="1"/>
    <x v="0"/>
    <n v="764"/>
    <s v="Lake Sammamish"/>
    <s v="Lake Sammamish"/>
    <s v="King"/>
    <x v="3"/>
    <s v="King"/>
    <x v="3"/>
    <s v="South Puget Sound"/>
    <m/>
    <n v="268.45714285714303"/>
    <n v="923.49257142857198"/>
  </r>
  <r>
    <n v="3036"/>
    <x v="3"/>
    <s v="Freshwater"/>
    <x v="1"/>
    <x v="0"/>
    <n v="764"/>
    <s v="Lake Sammamish"/>
    <s v="Lake Sammamish"/>
    <s v="King"/>
    <x v="3"/>
    <s v="Other"/>
    <x v="6"/>
    <s v="Non Puget Sound"/>
    <m/>
    <n v="27.771428571428601"/>
    <n v="95.533714285714396"/>
  </r>
  <r>
    <n v="3035"/>
    <x v="3"/>
    <s v="Freshwater"/>
    <x v="1"/>
    <x v="0"/>
    <n v="764"/>
    <s v="Lake Sammamish"/>
    <s v="Lake Sammamish"/>
    <s v="King"/>
    <x v="3"/>
    <s v="Pierce"/>
    <x v="7"/>
    <s v="South Puget Sound"/>
    <m/>
    <n v="18.514285714285698"/>
    <n v="63.689142857142798"/>
  </r>
  <r>
    <n v="3033"/>
    <x v="3"/>
    <s v="Freshwater"/>
    <x v="1"/>
    <x v="0"/>
    <n v="764"/>
    <s v="Lake Sammamish"/>
    <s v="Lake Sammamish"/>
    <s v="King"/>
    <x v="3"/>
    <s v="Snohomish"/>
    <x v="9"/>
    <s v="North Puget Sound"/>
    <m/>
    <n v="9.2571428571428598"/>
    <n v="31.844571428571399"/>
  </r>
  <r>
    <n v="438"/>
    <x v="3"/>
    <s v="Freshwater"/>
    <x v="1"/>
    <x v="0"/>
    <n v="778"/>
    <s v="Minter Creek"/>
    <s v="Minter Creek"/>
    <s v="Kitsap/Pierce"/>
    <x v="3"/>
    <s v="Clallam"/>
    <x v="0"/>
    <s v="Strait of Juan de Fuca"/>
    <m/>
    <n v="110.31055900621099"/>
    <n v="379.46832298136599"/>
  </r>
  <r>
    <n v="344"/>
    <x v="3"/>
    <s v="Freshwater"/>
    <x v="1"/>
    <x v="0"/>
    <n v="778"/>
    <s v="Minter Creek"/>
    <s v="Minter Creek"/>
    <s v="Kitsap/Pierce"/>
    <x v="3"/>
    <s v="King"/>
    <x v="3"/>
    <s v="South Puget Sound"/>
    <m/>
    <n v="2344.0993788819901"/>
    <n v="8063.7018633540501"/>
  </r>
  <r>
    <n v="437"/>
    <x v="3"/>
    <s v="Freshwater"/>
    <x v="1"/>
    <x v="0"/>
    <n v="778"/>
    <s v="Minter Creek"/>
    <s v="Minter Creek"/>
    <s v="Kitsap/Pierce"/>
    <x v="3"/>
    <s v="Kitsap"/>
    <x v="4"/>
    <s v="South Puget Sound"/>
    <m/>
    <n v="514.78260869565202"/>
    <n v="1770.8521739130399"/>
  </r>
  <r>
    <n v="347"/>
    <x v="3"/>
    <s v="Freshwater"/>
    <x v="1"/>
    <x v="0"/>
    <n v="778"/>
    <s v="Minter Creek"/>
    <s v="Minter Creek"/>
    <s v="Kitsap/Pierce"/>
    <x v="3"/>
    <s v="Mason"/>
    <x v="5"/>
    <s v="South Puget Sound"/>
    <m/>
    <n v="55.155279503105596"/>
    <n v="189.73416149068299"/>
  </r>
  <r>
    <n v="439"/>
    <x v="3"/>
    <s v="Freshwater"/>
    <x v="1"/>
    <x v="0"/>
    <n v="778"/>
    <s v="Minter Creek"/>
    <s v="Minter Creek"/>
    <s v="Kitsap/Pierce"/>
    <x v="3"/>
    <s v="Other"/>
    <x v="6"/>
    <s v="Non Puget Sound"/>
    <m/>
    <n v="330.93167701863399"/>
    <n v="1138.4049689440999"/>
  </r>
  <r>
    <n v="345"/>
    <x v="3"/>
    <s v="Freshwater"/>
    <x v="1"/>
    <x v="0"/>
    <n v="778"/>
    <s v="Minter Creek"/>
    <s v="Minter Creek"/>
    <s v="Kitsap/Pierce"/>
    <x v="3"/>
    <s v="Pierce"/>
    <x v="7"/>
    <s v="South Puget Sound"/>
    <m/>
    <n v="2132.6708074534199"/>
    <n v="7336.3875776397599"/>
  </r>
  <r>
    <n v="343"/>
    <x v="3"/>
    <s v="Freshwater"/>
    <x v="1"/>
    <x v="0"/>
    <n v="778"/>
    <s v="Minter Creek"/>
    <s v="Minter Creek"/>
    <s v="Kitsap/Pierce"/>
    <x v="3"/>
    <s v="Snohomish"/>
    <x v="9"/>
    <s v="North Puget Sound"/>
    <m/>
    <n v="239.00621118012401"/>
    <n v="822.18136645962704"/>
  </r>
  <r>
    <n v="346"/>
    <x v="3"/>
    <s v="Freshwater"/>
    <x v="1"/>
    <x v="0"/>
    <n v="778"/>
    <s v="Minter Creek"/>
    <s v="Minter Creek"/>
    <s v="Kitsap/Pierce"/>
    <x v="3"/>
    <s v="Thurston"/>
    <x v="10"/>
    <s v="South Puget Sound"/>
    <m/>
    <n v="193.04347826086999"/>
    <n v="664.06956521739301"/>
  </r>
  <r>
    <n v="381"/>
    <x v="3"/>
    <s v="Freshwater"/>
    <x v="1"/>
    <x v="0"/>
    <n v="786"/>
    <s v="Nisqually River"/>
    <s v="Nisqually River"/>
    <s v="Thurston/Pierce"/>
    <x v="3"/>
    <s v="King"/>
    <x v="3"/>
    <s v="South Puget Sound"/>
    <m/>
    <n v="1290.32874109264"/>
    <n v="4438.7308693586801"/>
  </r>
  <r>
    <n v="385"/>
    <x v="3"/>
    <s v="Freshwater"/>
    <x v="1"/>
    <x v="0"/>
    <n v="786"/>
    <s v="Nisqually River"/>
    <s v="Nisqually River"/>
    <s v="Thurston/Pierce"/>
    <x v="3"/>
    <s v="Kitsap"/>
    <x v="4"/>
    <s v="South Puget Sound"/>
    <m/>
    <n v="342.88456057007102"/>
    <n v="1179.52288836104"/>
  </r>
  <r>
    <n v="384"/>
    <x v="3"/>
    <s v="Freshwater"/>
    <x v="1"/>
    <x v="0"/>
    <n v="786"/>
    <s v="Nisqually River"/>
    <s v="Nisqually River"/>
    <s v="Thurston/Pierce"/>
    <x v="3"/>
    <s v="Mason"/>
    <x v="5"/>
    <s v="South Puget Sound"/>
    <m/>
    <n v="108.279334916865"/>
    <n v="372.48091211401601"/>
  </r>
  <r>
    <n v="386"/>
    <x v="3"/>
    <s v="Freshwater"/>
    <x v="1"/>
    <x v="0"/>
    <n v="786"/>
    <s v="Nisqually River"/>
    <s v="Nisqually River"/>
    <s v="Thurston/Pierce"/>
    <x v="3"/>
    <s v="Other"/>
    <x v="6"/>
    <s v="Non Puget Sound"/>
    <m/>
    <n v="1254.2356294536801"/>
    <n v="4314.5705653206596"/>
  </r>
  <r>
    <n v="382"/>
    <x v="3"/>
    <s v="Freshwater"/>
    <x v="1"/>
    <x v="0"/>
    <n v="786"/>
    <s v="Nisqually River"/>
    <s v="Nisqually River"/>
    <s v="Thurston/Pierce"/>
    <x v="3"/>
    <s v="Pierce"/>
    <x v="7"/>
    <s v="South Puget Sound"/>
    <m/>
    <n v="7543.4603325415701"/>
    <n v="25949.503543942999"/>
  </r>
  <r>
    <n v="379"/>
    <x v="3"/>
    <s v="Freshwater"/>
    <x v="1"/>
    <x v="0"/>
    <n v="786"/>
    <s v="Nisqually River"/>
    <s v="Nisqually River"/>
    <s v="Thurston/Pierce"/>
    <x v="3"/>
    <s v="Skagit"/>
    <x v="8"/>
    <s v="North Puget Sound"/>
    <m/>
    <n v="9.0232779097387201"/>
    <n v="31.040076009501199"/>
  </r>
  <r>
    <n v="380"/>
    <x v="3"/>
    <s v="Freshwater"/>
    <x v="1"/>
    <x v="0"/>
    <n v="786"/>
    <s v="Nisqually River"/>
    <s v="Nisqually River"/>
    <s v="Thurston/Pierce"/>
    <x v="3"/>
    <s v="Snohomish"/>
    <x v="9"/>
    <s v="North Puget Sound"/>
    <m/>
    <n v="162.419002375297"/>
    <n v="558.72136817102205"/>
  </r>
  <r>
    <n v="383"/>
    <x v="3"/>
    <s v="Freshwater"/>
    <x v="1"/>
    <x v="0"/>
    <n v="786"/>
    <s v="Nisqually River"/>
    <s v="Nisqually River"/>
    <s v="Thurston/Pierce"/>
    <x v="3"/>
    <s v="Thurston"/>
    <x v="10"/>
    <s v="South Puget Sound"/>
    <m/>
    <n v="8265.32256532067"/>
    <n v="28432.7096247031"/>
  </r>
  <r>
    <n v="378"/>
    <x v="3"/>
    <s v="Freshwater"/>
    <x v="1"/>
    <x v="0"/>
    <n v="786"/>
    <s v="Nisqually River"/>
    <s v="Nisqually River"/>
    <s v="Thurston/Pierce"/>
    <x v="3"/>
    <s v="Whatcom"/>
    <x v="11"/>
    <s v="North Puget Sound"/>
    <m/>
    <n v="18.046555819477401"/>
    <n v="62.080152019002298"/>
  </r>
  <r>
    <n v="1883"/>
    <x v="3"/>
    <s v="Freshwater"/>
    <x v="1"/>
    <x v="0"/>
    <n v="788"/>
    <s v="Nooksack River"/>
    <s v="Nooksack River"/>
    <s v="Whatcom"/>
    <x v="1"/>
    <s v="Island"/>
    <x v="1"/>
    <s v="North Puget Sound"/>
    <m/>
    <n v="119.52180451127801"/>
    <n v="411.15500751879603"/>
  </r>
  <r>
    <n v="1885"/>
    <x v="3"/>
    <s v="Freshwater"/>
    <x v="1"/>
    <x v="0"/>
    <n v="788"/>
    <s v="Nooksack River"/>
    <s v="Nooksack River"/>
    <s v="Whatcom"/>
    <x v="1"/>
    <s v="Kitsap"/>
    <x v="4"/>
    <s v="South Puget Sound"/>
    <m/>
    <n v="9.1939849624060201"/>
    <n v="31.6273082706767"/>
  </r>
  <r>
    <n v="1891"/>
    <x v="3"/>
    <s v="Freshwater"/>
    <x v="1"/>
    <x v="0"/>
    <n v="788"/>
    <s v="Nooksack River"/>
    <s v="Nooksack River"/>
    <s v="Whatcom"/>
    <x v="1"/>
    <s v="Other"/>
    <x v="6"/>
    <s v="Non Puget Sound"/>
    <m/>
    <n v="101.13383458646599"/>
    <n v="347.90039097744301"/>
  </r>
  <r>
    <n v="1881"/>
    <x v="3"/>
    <s v="Freshwater"/>
    <x v="1"/>
    <x v="0"/>
    <n v="788"/>
    <s v="Nooksack River"/>
    <s v="Nooksack River"/>
    <s v="Whatcom"/>
    <x v="1"/>
    <s v="Skagit"/>
    <x v="8"/>
    <s v="North Puget Sound"/>
    <m/>
    <n v="27.5819548872181"/>
    <n v="94.881924812030306"/>
  </r>
  <r>
    <n v="1882"/>
    <x v="3"/>
    <s v="Freshwater"/>
    <x v="1"/>
    <x v="0"/>
    <n v="788"/>
    <s v="Nooksack River"/>
    <s v="Nooksack River"/>
    <s v="Whatcom"/>
    <x v="1"/>
    <s v="Snohomish"/>
    <x v="9"/>
    <s v="North Puget Sound"/>
    <m/>
    <n v="91.939849624060201"/>
    <n v="316.27308270676701"/>
  </r>
  <r>
    <n v="1884"/>
    <x v="3"/>
    <s v="Freshwater"/>
    <x v="1"/>
    <x v="0"/>
    <n v="788"/>
    <s v="Nooksack River"/>
    <s v="Nooksack River"/>
    <s v="Whatcom"/>
    <x v="1"/>
    <s v="Thurston"/>
    <x v="10"/>
    <s v="South Puget Sound"/>
    <m/>
    <n v="91.939849624060201"/>
    <n v="316.27308270676701"/>
  </r>
  <r>
    <n v="1880"/>
    <x v="3"/>
    <s v="Freshwater"/>
    <x v="1"/>
    <x v="0"/>
    <n v="788"/>
    <s v="Nooksack River"/>
    <s v="Nooksack River"/>
    <s v="Whatcom"/>
    <x v="1"/>
    <s v="Whatcom"/>
    <x v="11"/>
    <s v="North Puget Sound"/>
    <m/>
    <n v="5672.6887218045104"/>
    <n v="19514.0492030075"/>
  </r>
  <r>
    <n v="1166"/>
    <x v="3"/>
    <s v="Freshwater"/>
    <x v="1"/>
    <x v="0"/>
    <n v="802"/>
    <s v="Carbon River"/>
    <s v="Carbon River"/>
    <s v="Pierce"/>
    <x v="3"/>
    <s v="Island"/>
    <x v="1"/>
    <s v="North Puget Sound"/>
    <m/>
    <n v="18.0715421303657"/>
    <n v="62.166104928457997"/>
  </r>
  <r>
    <n v="1167"/>
    <x v="3"/>
    <s v="Freshwater"/>
    <x v="1"/>
    <x v="0"/>
    <n v="802"/>
    <s v="Carbon River"/>
    <s v="Carbon River"/>
    <s v="Pierce"/>
    <x v="3"/>
    <s v="King"/>
    <x v="3"/>
    <s v="South Puget Sound"/>
    <m/>
    <n v="813.21939586645499"/>
    <n v="2797.4747217806098"/>
  </r>
  <r>
    <n v="1170"/>
    <x v="3"/>
    <s v="Freshwater"/>
    <x v="1"/>
    <x v="0"/>
    <n v="802"/>
    <s v="Carbon River"/>
    <s v="Carbon River"/>
    <s v="Pierce"/>
    <x v="3"/>
    <s v="Kitsap"/>
    <x v="4"/>
    <s v="South Puget Sound"/>
    <m/>
    <n v="171.67965023847401"/>
    <n v="590.57799682035102"/>
  </r>
  <r>
    <n v="1171"/>
    <x v="3"/>
    <s v="Freshwater"/>
    <x v="1"/>
    <x v="0"/>
    <n v="802"/>
    <s v="Carbon River"/>
    <s v="Carbon River"/>
    <s v="Pierce"/>
    <x v="3"/>
    <s v="Other"/>
    <x v="6"/>
    <s v="Non Puget Sound"/>
    <m/>
    <n v="578.28934817170102"/>
    <n v="1989.31535771065"/>
  </r>
  <r>
    <n v="1168"/>
    <x v="3"/>
    <s v="Freshwater"/>
    <x v="1"/>
    <x v="0"/>
    <n v="802"/>
    <s v="Carbon River"/>
    <s v="Carbon River"/>
    <s v="Pierce"/>
    <x v="3"/>
    <s v="Pierce"/>
    <x v="7"/>
    <s v="South Puget Sound"/>
    <m/>
    <n v="9342.9872813990496"/>
    <n v="32139.876248012701"/>
  </r>
  <r>
    <n v="1165"/>
    <x v="3"/>
    <s v="Freshwater"/>
    <x v="1"/>
    <x v="0"/>
    <n v="802"/>
    <s v="Carbon River"/>
    <s v="Carbon River"/>
    <s v="Pierce"/>
    <x v="3"/>
    <s v="Snohomish"/>
    <x v="9"/>
    <s v="North Puget Sound"/>
    <m/>
    <n v="234.93004769475399"/>
    <n v="808.15936406995399"/>
  </r>
  <r>
    <n v="1169"/>
    <x v="3"/>
    <s v="Freshwater"/>
    <x v="1"/>
    <x v="0"/>
    <n v="802"/>
    <s v="Carbon River"/>
    <s v="Carbon River"/>
    <s v="Pierce"/>
    <x v="3"/>
    <s v="Thurston"/>
    <x v="10"/>
    <s v="South Puget Sound"/>
    <m/>
    <n v="162.643879173291"/>
    <n v="559.49494435612098"/>
  </r>
  <r>
    <n v="1164"/>
    <x v="3"/>
    <s v="Freshwater"/>
    <x v="1"/>
    <x v="0"/>
    <n v="802"/>
    <s v="Carbon River"/>
    <s v="Carbon River"/>
    <s v="Pierce"/>
    <x v="3"/>
    <s v="Whatcom"/>
    <x v="11"/>
    <s v="North Puget Sound"/>
    <m/>
    <n v="45.178855325914199"/>
    <n v="155.41526232114501"/>
  </r>
  <r>
    <n v="25"/>
    <x v="3"/>
    <s v="Freshwater"/>
    <x v="1"/>
    <x v="0"/>
    <n v="804"/>
    <s v="Puyallup River"/>
    <s v="Puyallup River"/>
    <s v="Pierce"/>
    <x v="3"/>
    <s v="Island"/>
    <x v="1"/>
    <s v="North Puget Sound"/>
    <m/>
    <n v="206.545281367451"/>
    <n v="710.51576790403101"/>
  </r>
  <r>
    <n v="31"/>
    <x v="3"/>
    <s v="Freshwater"/>
    <x v="1"/>
    <x v="0"/>
    <n v="804"/>
    <s v="Puyallup River"/>
    <s v="Puyallup River"/>
    <s v="Pierce"/>
    <x v="3"/>
    <s v="Jefferson"/>
    <x v="2"/>
    <s v="Strait of Juan de Fuca"/>
    <m/>
    <n v="44.901148123358901"/>
    <n v="154.459949544355"/>
  </r>
  <r>
    <n v="26"/>
    <x v="3"/>
    <s v="Freshwater"/>
    <x v="1"/>
    <x v="0"/>
    <n v="804"/>
    <s v="Puyallup River"/>
    <s v="Puyallup River"/>
    <s v="Pierce"/>
    <x v="3"/>
    <s v="King"/>
    <x v="3"/>
    <s v="South Puget Sound"/>
    <m/>
    <n v="54797.361169747201"/>
    <n v="188502.92242392999"/>
  </r>
  <r>
    <n v="30"/>
    <x v="3"/>
    <s v="Freshwater"/>
    <x v="1"/>
    <x v="0"/>
    <n v="804"/>
    <s v="Puyallup River"/>
    <s v="Puyallup River"/>
    <s v="Pierce"/>
    <x v="3"/>
    <s v="Kitsap"/>
    <x v="4"/>
    <s v="South Puget Sound"/>
    <m/>
    <n v="2496.5038356587602"/>
    <n v="8587.9731946661304"/>
  </r>
  <r>
    <n v="29"/>
    <x v="3"/>
    <s v="Freshwater"/>
    <x v="1"/>
    <x v="0"/>
    <n v="804"/>
    <s v="Puyallup River"/>
    <s v="Puyallup River"/>
    <s v="Pierce"/>
    <x v="3"/>
    <s v="Mason"/>
    <x v="5"/>
    <s v="South Puget Sound"/>
    <m/>
    <n v="790.26020697111699"/>
    <n v="2718.4951119806401"/>
  </r>
  <r>
    <n v="32"/>
    <x v="3"/>
    <s v="Freshwater"/>
    <x v="1"/>
    <x v="0"/>
    <n v="804"/>
    <s v="Puyallup River"/>
    <s v="Puyallup River"/>
    <s v="Pierce"/>
    <x v="3"/>
    <s v="Other"/>
    <x v="6"/>
    <s v="Non Puget Sound"/>
    <m/>
    <n v="8647.9611285589308"/>
    <n v="29748.986282242699"/>
  </r>
  <r>
    <n v="27"/>
    <x v="3"/>
    <s v="Freshwater"/>
    <x v="1"/>
    <x v="0"/>
    <n v="804"/>
    <s v="Puyallup River"/>
    <s v="Puyallup River"/>
    <s v="Pierce"/>
    <x v="3"/>
    <s v="Pierce"/>
    <x v="7"/>
    <s v="South Puget Sound"/>
    <m/>
    <n v="96932.598568707195"/>
    <n v="333448.13907635299"/>
  </r>
  <r>
    <n v="1173"/>
    <x v="3"/>
    <s v="Freshwater"/>
    <x v="1"/>
    <x v="0"/>
    <n v="804"/>
    <s v="Puyallup River"/>
    <s v="Puyallup River"/>
    <s v="Pierce"/>
    <x v="3"/>
    <s v="Snohomish"/>
    <x v="9"/>
    <s v="North Puget Sound"/>
    <m/>
    <n v="2128.3144210472101"/>
    <n v="7321.4016084023997"/>
  </r>
  <r>
    <n v="28"/>
    <x v="3"/>
    <s v="Freshwater"/>
    <x v="1"/>
    <x v="0"/>
    <n v="804"/>
    <s v="Puyallup River"/>
    <s v="Puyallup River"/>
    <s v="Pierce"/>
    <x v="3"/>
    <s v="Thurston"/>
    <x v="10"/>
    <s v="South Puget Sound"/>
    <m/>
    <n v="8369.5740101940992"/>
    <n v="28791.334595067699"/>
  </r>
  <r>
    <n v="1172"/>
    <x v="3"/>
    <s v="Freshwater"/>
    <x v="1"/>
    <x v="0"/>
    <n v="804"/>
    <s v="Puyallup River"/>
    <s v="Puyallup River"/>
    <s v="Pierce"/>
    <x v="3"/>
    <s v="Whatcom"/>
    <x v="11"/>
    <s v="North Puget Sound"/>
    <m/>
    <n v="8.9802296246717805"/>
    <n v="30.891989908870901"/>
  </r>
  <r>
    <n v="817"/>
    <x v="3"/>
    <s v="Freshwater"/>
    <x v="1"/>
    <x v="0"/>
    <n v="812"/>
    <s v="Quilcene River"/>
    <s v="Quilcene River"/>
    <s v="Jefferson"/>
    <x v="4"/>
    <s v="Clallam"/>
    <x v="0"/>
    <s v="Strait of Juan de Fuca"/>
    <m/>
    <n v="428.22641509433998"/>
    <n v="1473.0988679245299"/>
  </r>
  <r>
    <n v="818"/>
    <x v="3"/>
    <s v="Freshwater"/>
    <x v="1"/>
    <x v="0"/>
    <n v="812"/>
    <s v="Quilcene River"/>
    <s v="Quilcene River"/>
    <s v="Jefferson"/>
    <x v="4"/>
    <s v="Jefferson"/>
    <x v="2"/>
    <s v="Strait of Juan de Fuca"/>
    <m/>
    <n v="588.81132075471703"/>
    <n v="2025.51094339623"/>
  </r>
  <r>
    <n v="812"/>
    <x v="3"/>
    <s v="Freshwater"/>
    <x v="1"/>
    <x v="0"/>
    <n v="812"/>
    <s v="Quilcene River"/>
    <s v="Quilcene River"/>
    <s v="Jefferson"/>
    <x v="4"/>
    <s v="King"/>
    <x v="3"/>
    <s v="South Puget Sound"/>
    <m/>
    <n v="276.56289308176099"/>
    <n v="951.37635220125799"/>
  </r>
  <r>
    <n v="816"/>
    <x v="3"/>
    <s v="Freshwater"/>
    <x v="1"/>
    <x v="0"/>
    <n v="812"/>
    <s v="Quilcene River"/>
    <s v="Quilcene River"/>
    <s v="Jefferson"/>
    <x v="4"/>
    <s v="Kitsap"/>
    <x v="4"/>
    <s v="South Puget Sound"/>
    <m/>
    <n v="713.71069182389897"/>
    <n v="2455.1647798742101"/>
  </r>
  <r>
    <n v="815"/>
    <x v="3"/>
    <s v="Freshwater"/>
    <x v="1"/>
    <x v="0"/>
    <n v="812"/>
    <s v="Quilcene River"/>
    <s v="Quilcene River"/>
    <s v="Jefferson"/>
    <x v="4"/>
    <s v="Mason"/>
    <x v="5"/>
    <s v="South Puget Sound"/>
    <m/>
    <n v="294.40566037735903"/>
    <n v="1012.75547169812"/>
  </r>
  <r>
    <n v="819"/>
    <x v="3"/>
    <s v="Freshwater"/>
    <x v="1"/>
    <x v="0"/>
    <n v="812"/>
    <s v="Quilcene River"/>
    <s v="Quilcene River"/>
    <s v="Jefferson"/>
    <x v="4"/>
    <s v="Other"/>
    <x v="6"/>
    <s v="Non Puget Sound"/>
    <m/>
    <n v="160.58490566037699"/>
    <n v="552.41207547169699"/>
  </r>
  <r>
    <n v="813"/>
    <x v="3"/>
    <s v="Freshwater"/>
    <x v="1"/>
    <x v="0"/>
    <n v="812"/>
    <s v="Quilcene River"/>
    <s v="Quilcene River"/>
    <s v="Jefferson"/>
    <x v="4"/>
    <s v="Pierce"/>
    <x v="7"/>
    <s v="South Puget Sound"/>
    <m/>
    <n v="214.11320754716999"/>
    <n v="736.54943396226497"/>
  </r>
  <r>
    <n v="748"/>
    <x v="3"/>
    <s v="Freshwater"/>
    <x v="1"/>
    <x v="0"/>
    <n v="812"/>
    <s v="Quilcene River"/>
    <s v="Quilcene River"/>
    <s v="Jefferson"/>
    <x v="4"/>
    <s v="Skagit"/>
    <x v="8"/>
    <s v="North Puget Sound"/>
    <m/>
    <n v="26.764150943396199"/>
    <n v="92.068679245282894"/>
  </r>
  <r>
    <n v="811"/>
    <x v="3"/>
    <s v="Freshwater"/>
    <x v="1"/>
    <x v="0"/>
    <n v="812"/>
    <s v="Quilcene River"/>
    <s v="Quilcene River"/>
    <s v="Jefferson"/>
    <x v="4"/>
    <s v="Snohomish"/>
    <x v="9"/>
    <s v="North Puget Sound"/>
    <m/>
    <n v="35.685534591195001"/>
    <n v="122.758238993711"/>
  </r>
  <r>
    <n v="814"/>
    <x v="3"/>
    <s v="Freshwater"/>
    <x v="1"/>
    <x v="0"/>
    <n v="812"/>
    <s v="Quilcene River"/>
    <s v="Quilcene River"/>
    <s v="Jefferson"/>
    <x v="4"/>
    <s v="Thurston"/>
    <x v="10"/>
    <s v="South Puget Sound"/>
    <m/>
    <n v="98.135220125786205"/>
    <n v="337.585157232705"/>
  </r>
  <r>
    <n v="2963"/>
    <x v="3"/>
    <s v="Freshwater"/>
    <x v="1"/>
    <x v="0"/>
    <n v="816"/>
    <s v="Samish River"/>
    <s v="Samish River"/>
    <s v="Skagit"/>
    <x v="1"/>
    <s v="Island"/>
    <x v="1"/>
    <s v="North Puget Sound"/>
    <m/>
    <n v="514.02702702702697"/>
    <n v="1768.2529729729699"/>
  </r>
  <r>
    <n v="2964"/>
    <x v="3"/>
    <s v="Freshwater"/>
    <x v="1"/>
    <x v="0"/>
    <n v="816"/>
    <s v="Samish River"/>
    <s v="Samish River"/>
    <s v="Skagit"/>
    <x v="1"/>
    <s v="King"/>
    <x v="3"/>
    <s v="South Puget Sound"/>
    <m/>
    <n v="928.85585585585602"/>
    <n v="3195.2641441441401"/>
  </r>
  <r>
    <n v="3080"/>
    <x v="3"/>
    <s v="Freshwater"/>
    <x v="1"/>
    <x v="0"/>
    <n v="816"/>
    <s v="Samish River"/>
    <s v="Samish River"/>
    <s v="Skagit"/>
    <x v="1"/>
    <s v="Other"/>
    <x v="6"/>
    <s v="Non Puget Sound"/>
    <m/>
    <n v="252.50450450450501"/>
    <n v="868.61549549549704"/>
  </r>
  <r>
    <n v="2965"/>
    <x v="3"/>
    <s v="Freshwater"/>
    <x v="1"/>
    <x v="0"/>
    <n v="816"/>
    <s v="Samish River"/>
    <s v="Samish River"/>
    <s v="Skagit"/>
    <x v="1"/>
    <s v="Pierce"/>
    <x v="7"/>
    <s v="South Puget Sound"/>
    <m/>
    <n v="45.090090090090101"/>
    <n v="155.10990990990999"/>
  </r>
  <r>
    <n v="2961"/>
    <x v="3"/>
    <s v="Freshwater"/>
    <x v="1"/>
    <x v="0"/>
    <n v="816"/>
    <s v="Samish River"/>
    <s v="Samish River"/>
    <s v="Skagit"/>
    <x v="1"/>
    <s v="Skagit"/>
    <x v="8"/>
    <s v="North Puget Sound"/>
    <m/>
    <n v="2128.2522522522499"/>
    <n v="7321.1877477477401"/>
  </r>
  <r>
    <n v="2962"/>
    <x v="3"/>
    <s v="Freshwater"/>
    <x v="1"/>
    <x v="0"/>
    <n v="816"/>
    <s v="Samish River"/>
    <s v="Samish River"/>
    <s v="Skagit"/>
    <x v="1"/>
    <s v="Snohomish"/>
    <x v="9"/>
    <s v="North Puget Sound"/>
    <m/>
    <n v="2867.72972972973"/>
    <n v="9864.9902702702693"/>
  </r>
  <r>
    <n v="3079"/>
    <x v="3"/>
    <s v="Freshwater"/>
    <x v="1"/>
    <x v="0"/>
    <n v="816"/>
    <s v="Samish River"/>
    <s v="Samish River"/>
    <s v="Skagit"/>
    <x v="1"/>
    <s v="Thurston"/>
    <x v="10"/>
    <s v="South Puget Sound"/>
    <m/>
    <n v="18.036036036035998"/>
    <n v="62.043963963963797"/>
  </r>
  <r>
    <n v="2874"/>
    <x v="3"/>
    <s v="Freshwater"/>
    <x v="1"/>
    <x v="0"/>
    <n v="816"/>
    <s v="Samish River"/>
    <s v="Samish River"/>
    <s v="Skagit"/>
    <x v="1"/>
    <s v="Whatcom"/>
    <x v="11"/>
    <s v="North Puget Sound"/>
    <m/>
    <n v="1253.5045045044999"/>
    <n v="4312.0554954954796"/>
  </r>
  <r>
    <n v="1899"/>
    <x v="3"/>
    <s v="Freshwater"/>
    <x v="1"/>
    <x v="0"/>
    <n v="825"/>
    <s v="Baker Lake"/>
    <s v="Baker Lake"/>
    <s v="Whatcom"/>
    <x v="1"/>
    <s v="Clallam"/>
    <x v="0"/>
    <s v="Strait of Juan de Fuca"/>
    <m/>
    <n v="17.827464788732399"/>
    <n v="61.326478873239502"/>
  </r>
  <r>
    <n v="1895"/>
    <x v="3"/>
    <s v="Freshwater"/>
    <x v="1"/>
    <x v="0"/>
    <n v="825"/>
    <s v="Baker Lake"/>
    <s v="Baker Lake"/>
    <s v="Whatcom"/>
    <x v="1"/>
    <s v="Island"/>
    <x v="1"/>
    <s v="North Puget Sound"/>
    <m/>
    <n v="71.309859154929597"/>
    <n v="245.30591549295801"/>
  </r>
  <r>
    <n v="1896"/>
    <x v="3"/>
    <s v="Freshwater"/>
    <x v="1"/>
    <x v="0"/>
    <n v="825"/>
    <s v="Baker Lake"/>
    <s v="Baker Lake"/>
    <s v="Whatcom"/>
    <x v="1"/>
    <s v="King"/>
    <x v="3"/>
    <s v="South Puget Sound"/>
    <m/>
    <n v="570.47887323943701"/>
    <n v="1962.44732394366"/>
  </r>
  <r>
    <n v="2023"/>
    <x v="3"/>
    <s v="Freshwater"/>
    <x v="1"/>
    <x v="0"/>
    <n v="825"/>
    <s v="Baker Lake"/>
    <s v="Baker Lake"/>
    <s v="Whatcom"/>
    <x v="1"/>
    <s v="Other"/>
    <x v="6"/>
    <s v="Non Puget Sound"/>
    <m/>
    <n v="320.89436619718299"/>
    <n v="1103.8766197183099"/>
  </r>
  <r>
    <n v="1897"/>
    <x v="3"/>
    <s v="Freshwater"/>
    <x v="1"/>
    <x v="0"/>
    <n v="825"/>
    <s v="Baker Lake"/>
    <s v="Baker Lake"/>
    <s v="Whatcom"/>
    <x v="1"/>
    <s v="Pierce"/>
    <x v="7"/>
    <s v="South Puget Sound"/>
    <m/>
    <n v="160.44718309859201"/>
    <n v="551.93830985915599"/>
  </r>
  <r>
    <n v="1893"/>
    <x v="3"/>
    <s v="Freshwater"/>
    <x v="1"/>
    <x v="0"/>
    <n v="825"/>
    <s v="Baker Lake"/>
    <s v="Baker Lake"/>
    <s v="Whatcom"/>
    <x v="1"/>
    <s v="Skagit"/>
    <x v="8"/>
    <s v="North Puget Sound"/>
    <m/>
    <n v="1773.8327464788699"/>
    <n v="6101.9846478873096"/>
  </r>
  <r>
    <n v="1894"/>
    <x v="3"/>
    <s v="Freshwater"/>
    <x v="1"/>
    <x v="0"/>
    <n v="825"/>
    <s v="Baker Lake"/>
    <s v="Baker Lake"/>
    <s v="Whatcom"/>
    <x v="1"/>
    <s v="Snohomish"/>
    <x v="9"/>
    <s v="North Puget Sound"/>
    <m/>
    <n v="1426.1971830985899"/>
    <n v="4906.11830985915"/>
  </r>
  <r>
    <n v="1898"/>
    <x v="3"/>
    <s v="Freshwater"/>
    <x v="1"/>
    <x v="0"/>
    <n v="825"/>
    <s v="Baker Lake"/>
    <s v="Baker Lake"/>
    <s v="Whatcom"/>
    <x v="1"/>
    <s v="Thurston"/>
    <x v="10"/>
    <s v="South Puget Sound"/>
    <m/>
    <n v="35.654929577464799"/>
    <n v="122.652957746479"/>
  </r>
  <r>
    <n v="1892"/>
    <x v="3"/>
    <s v="Freshwater"/>
    <x v="1"/>
    <x v="0"/>
    <n v="825"/>
    <s v="Baker Lake"/>
    <s v="Baker Lake"/>
    <s v="Whatcom"/>
    <x v="1"/>
    <s v="Whatcom"/>
    <x v="11"/>
    <s v="North Puget Sound"/>
    <m/>
    <n v="686.35739436619701"/>
    <n v="2361.0694366197199"/>
  </r>
  <r>
    <n v="3084"/>
    <x v="3"/>
    <s v="Freshwater"/>
    <x v="1"/>
    <x v="0"/>
    <n v="826"/>
    <s v="Cascade River"/>
    <s v="Cascade River"/>
    <s v="Skagit"/>
    <x v="1"/>
    <s v="Island"/>
    <x v="1"/>
    <s v="North Puget Sound"/>
    <m/>
    <n v="106.996904024768"/>
    <n v="368.069349845202"/>
  </r>
  <r>
    <n v="3189"/>
    <x v="3"/>
    <s v="Freshwater"/>
    <x v="1"/>
    <x v="0"/>
    <n v="826"/>
    <s v="Cascade River"/>
    <s v="Cascade River"/>
    <s v="Skagit"/>
    <x v="1"/>
    <s v="King"/>
    <x v="3"/>
    <s v="South Puget Sound"/>
    <m/>
    <n v="196.16099071207401"/>
    <n v="674.79380804953496"/>
  </r>
  <r>
    <n v="3190"/>
    <x v="3"/>
    <s v="Freshwater"/>
    <x v="1"/>
    <x v="0"/>
    <n v="826"/>
    <s v="Cascade River"/>
    <s v="Cascade River"/>
    <s v="Skagit"/>
    <x v="1"/>
    <s v="Other"/>
    <x v="6"/>
    <s v="Non Puget Sound"/>
    <m/>
    <n v="124.82972136222899"/>
    <n v="429.41424148606802"/>
  </r>
  <r>
    <n v="3188"/>
    <x v="3"/>
    <s v="Freshwater"/>
    <x v="1"/>
    <x v="0"/>
    <n v="826"/>
    <s v="Cascade River"/>
    <s v="Cascade River"/>
    <s v="Skagit"/>
    <x v="1"/>
    <s v="San Juan"/>
    <x v="12"/>
    <s v="North Puget Sound"/>
    <m/>
    <n v="53.4984520123839"/>
    <n v="184.034674922601"/>
  </r>
  <r>
    <n v="3082"/>
    <x v="3"/>
    <s v="Freshwater"/>
    <x v="1"/>
    <x v="0"/>
    <n v="826"/>
    <s v="Cascade River"/>
    <s v="Cascade River"/>
    <s v="Skagit"/>
    <x v="1"/>
    <s v="Skagit"/>
    <x v="8"/>
    <s v="North Puget Sound"/>
    <m/>
    <n v="989.72136222910206"/>
    <n v="3404.6414860681102"/>
  </r>
  <r>
    <n v="3083"/>
    <x v="3"/>
    <s v="Freshwater"/>
    <x v="1"/>
    <x v="0"/>
    <n v="826"/>
    <s v="Cascade River"/>
    <s v="Cascade River"/>
    <s v="Skagit"/>
    <x v="1"/>
    <s v="Snohomish"/>
    <x v="9"/>
    <s v="North Puget Sound"/>
    <m/>
    <n v="936.22291021671799"/>
    <n v="3220.6068111455102"/>
  </r>
  <r>
    <n v="3081"/>
    <x v="3"/>
    <s v="Freshwater"/>
    <x v="1"/>
    <x v="0"/>
    <n v="826"/>
    <s v="Cascade River"/>
    <s v="Cascade River"/>
    <s v="Skagit"/>
    <x v="1"/>
    <s v="Whatcom"/>
    <x v="11"/>
    <s v="North Puget Sound"/>
    <m/>
    <n v="472.56965944272503"/>
    <n v="1625.63962848297"/>
  </r>
  <r>
    <n v="2392"/>
    <x v="3"/>
    <s v="Freshwater"/>
    <x v="1"/>
    <x v="0"/>
    <n v="830"/>
    <s v="Skagit River"/>
    <s v="Skagit River"/>
    <s v="Skagit/Whatcom"/>
    <x v="2"/>
    <s v="Clallam"/>
    <x v="0"/>
    <s v="Strait of Juan de Fuca"/>
    <m/>
    <n v="178.283582089552"/>
    <n v="613.295522388059"/>
  </r>
  <r>
    <n v="2385"/>
    <x v="3"/>
    <s v="Freshwater"/>
    <x v="1"/>
    <x v="0"/>
    <n v="830"/>
    <s v="Skagit River"/>
    <s v="Skagit River"/>
    <s v="Skagit/Whatcom"/>
    <x v="2"/>
    <s v="Island"/>
    <x v="1"/>
    <s v="North Puget Sound"/>
    <m/>
    <n v="3993.5522388059699"/>
    <n v="13737.819701492501"/>
  </r>
  <r>
    <n v="2387"/>
    <x v="3"/>
    <s v="Freshwater"/>
    <x v="1"/>
    <x v="0"/>
    <n v="830"/>
    <s v="Skagit River"/>
    <s v="Skagit River"/>
    <s v="Skagit/Whatcom"/>
    <x v="2"/>
    <s v="King"/>
    <x v="3"/>
    <s v="South Puget Sound"/>
    <m/>
    <n v="3619.15671641791"/>
    <n v="12449.899104477599"/>
  </r>
  <r>
    <n v="2391"/>
    <x v="3"/>
    <s v="Freshwater"/>
    <x v="1"/>
    <x v="0"/>
    <n v="830"/>
    <s v="Skagit River"/>
    <s v="Skagit River"/>
    <s v="Skagit/Whatcom"/>
    <x v="2"/>
    <s v="Kitsap"/>
    <x v="4"/>
    <s v="South Puget Sound"/>
    <m/>
    <n v="115.884328358209"/>
    <n v="398.64208955223899"/>
  </r>
  <r>
    <n v="2390"/>
    <x v="3"/>
    <s v="Freshwater"/>
    <x v="1"/>
    <x v="0"/>
    <n v="830"/>
    <s v="Skagit River"/>
    <s v="Skagit River"/>
    <s v="Skagit/Whatcom"/>
    <x v="2"/>
    <s v="Mason"/>
    <x v="5"/>
    <s v="South Puget Sound"/>
    <m/>
    <n v="356.56716417910502"/>
    <n v="1226.59104477612"/>
  </r>
  <r>
    <n v="2422"/>
    <x v="3"/>
    <s v="Freshwater"/>
    <x v="1"/>
    <x v="0"/>
    <n v="830"/>
    <s v="Skagit River"/>
    <s v="Skagit River"/>
    <s v="Skagit/Whatcom"/>
    <x v="2"/>
    <s v="Other"/>
    <x v="6"/>
    <s v="Non Puget Sound"/>
    <m/>
    <n v="6578.6641791044804"/>
    <n v="22630.604776119399"/>
  </r>
  <r>
    <n v="2388"/>
    <x v="3"/>
    <s v="Freshwater"/>
    <x v="1"/>
    <x v="0"/>
    <n v="830"/>
    <s v="Skagit River"/>
    <s v="Skagit River"/>
    <s v="Skagit/Whatcom"/>
    <x v="2"/>
    <s v="Pierce"/>
    <x v="7"/>
    <s v="South Puget Sound"/>
    <m/>
    <n v="623.99253731343299"/>
    <n v="2146.5343283582101"/>
  </r>
  <r>
    <n v="2386"/>
    <x v="3"/>
    <s v="Freshwater"/>
    <x v="1"/>
    <x v="0"/>
    <n v="830"/>
    <s v="Skagit River"/>
    <s v="Skagit River"/>
    <s v="Skagit/Whatcom"/>
    <x v="2"/>
    <s v="San Juan"/>
    <x v="12"/>
    <s v="North Puget Sound"/>
    <m/>
    <n v="8.9141791044776202"/>
    <n v="30.664776119403001"/>
  </r>
  <r>
    <n v="2383"/>
    <x v="3"/>
    <s v="Freshwater"/>
    <x v="1"/>
    <x v="0"/>
    <n v="830"/>
    <s v="Skagit River"/>
    <s v="Skagit River"/>
    <s v="Skagit/Whatcom"/>
    <x v="2"/>
    <s v="Skagit"/>
    <x v="8"/>
    <s v="North Puget Sound"/>
    <m/>
    <n v="46487.444029850798"/>
    <n v="159916.80746268699"/>
  </r>
  <r>
    <n v="2384"/>
    <x v="3"/>
    <s v="Freshwater"/>
    <x v="1"/>
    <x v="0"/>
    <n v="830"/>
    <s v="Skagit River"/>
    <s v="Skagit River"/>
    <s v="Skagit/Whatcom"/>
    <x v="2"/>
    <s v="Snohomish"/>
    <x v="9"/>
    <s v="North Puget Sound"/>
    <m/>
    <n v="14022.0037313433"/>
    <n v="48235.692835820999"/>
  </r>
  <r>
    <n v="2389"/>
    <x v="3"/>
    <s v="Freshwater"/>
    <x v="1"/>
    <x v="0"/>
    <n v="830"/>
    <s v="Skagit River"/>
    <s v="Skagit River"/>
    <s v="Skagit/Whatcom"/>
    <x v="2"/>
    <s v="Thurston"/>
    <x v="10"/>
    <s v="South Puget Sound"/>
    <m/>
    <n v="115.884328358209"/>
    <n v="398.64208955223899"/>
  </r>
  <r>
    <n v="2356"/>
    <x v="3"/>
    <s v="Freshwater"/>
    <x v="1"/>
    <x v="0"/>
    <n v="830"/>
    <s v="Skagit River"/>
    <s v="Skagit River"/>
    <s v="Skagit/Whatcom"/>
    <x v="2"/>
    <s v="Whatcom"/>
    <x v="11"/>
    <s v="North Puget Sound"/>
    <m/>
    <n v="14681.652985074599"/>
    <n v="50504.886268656599"/>
  </r>
  <r>
    <n v="1221"/>
    <x v="3"/>
    <s v="Freshwater"/>
    <x v="1"/>
    <x v="0"/>
    <n v="834"/>
    <s v="Skokomish River"/>
    <s v="Skokomish River"/>
    <s v="Mason"/>
    <x v="4"/>
    <s v="Jefferson"/>
    <x v="2"/>
    <s v="Strait of Juan de Fuca"/>
    <m/>
    <n v="54.193150684931503"/>
    <n v="186.42443835616399"/>
  </r>
  <r>
    <n v="1216"/>
    <x v="3"/>
    <s v="Freshwater"/>
    <x v="1"/>
    <x v="0"/>
    <n v="834"/>
    <s v="Skokomish River"/>
    <s v="Skokomish River"/>
    <s v="Mason"/>
    <x v="4"/>
    <s v="King"/>
    <x v="3"/>
    <s v="South Puget Sound"/>
    <m/>
    <n v="3359.9753424657501"/>
    <n v="11558.315178082201"/>
  </r>
  <r>
    <n v="1220"/>
    <x v="3"/>
    <s v="Freshwater"/>
    <x v="1"/>
    <x v="0"/>
    <n v="834"/>
    <s v="Skokomish River"/>
    <s v="Skokomish River"/>
    <s v="Mason"/>
    <x v="4"/>
    <s v="Kitsap"/>
    <x v="4"/>
    <s v="South Puget Sound"/>
    <m/>
    <n v="668.38219178082204"/>
    <n v="2299.2347397260301"/>
  </r>
  <r>
    <n v="1219"/>
    <x v="3"/>
    <s v="Freshwater"/>
    <x v="1"/>
    <x v="0"/>
    <n v="834"/>
    <s v="Skokomish River"/>
    <s v="Skokomish River"/>
    <s v="Mason"/>
    <x v="4"/>
    <s v="Mason"/>
    <x v="5"/>
    <s v="South Puget Sound"/>
    <m/>
    <n v="1463.2150684931501"/>
    <n v="5033.4598356164397"/>
  </r>
  <r>
    <n v="1222"/>
    <x v="3"/>
    <s v="Freshwater"/>
    <x v="1"/>
    <x v="0"/>
    <n v="834"/>
    <s v="Skokomish River"/>
    <s v="Skokomish River"/>
    <s v="Mason"/>
    <x v="4"/>
    <s v="Other"/>
    <x v="6"/>
    <s v="Non Puget Sound"/>
    <m/>
    <n v="1508.37602739726"/>
    <n v="5188.8135342465703"/>
  </r>
  <r>
    <n v="1217"/>
    <x v="3"/>
    <s v="Freshwater"/>
    <x v="1"/>
    <x v="0"/>
    <n v="834"/>
    <s v="Skokomish River"/>
    <s v="Skokomish River"/>
    <s v="Mason"/>
    <x v="4"/>
    <s v="Pierce"/>
    <x v="7"/>
    <s v="South Puget Sound"/>
    <m/>
    <n v="3116.1061643835601"/>
    <n v="10719.405205479399"/>
  </r>
  <r>
    <n v="1215"/>
    <x v="3"/>
    <s v="Freshwater"/>
    <x v="1"/>
    <x v="0"/>
    <n v="834"/>
    <s v="Skokomish River"/>
    <s v="Skokomish River"/>
    <s v="Mason"/>
    <x v="4"/>
    <s v="Snohomish"/>
    <x v="9"/>
    <s v="North Puget Sound"/>
    <m/>
    <n v="650.317808219178"/>
    <n v="2237.0932602739699"/>
  </r>
  <r>
    <n v="1218"/>
    <x v="3"/>
    <s v="Freshwater"/>
    <x v="1"/>
    <x v="0"/>
    <n v="834"/>
    <s v="Skokomish River"/>
    <s v="Skokomish River"/>
    <s v="Mason"/>
    <x v="4"/>
    <s v="Thurston"/>
    <x v="10"/>
    <s v="South Puget Sound"/>
    <m/>
    <n v="2366.4342465753398"/>
    <n v="8140.5338082191702"/>
  </r>
  <r>
    <n v="1271"/>
    <x v="3"/>
    <s v="Freshwater"/>
    <x v="1"/>
    <x v="0"/>
    <n v="844"/>
    <s v="Skykomish River"/>
    <s v="Skykomish River"/>
    <s v="Snohomish"/>
    <x v="2"/>
    <s v="Island"/>
    <x v="1"/>
    <s v="North Puget Sound"/>
    <m/>
    <n v="26.647211413748401"/>
    <n v="91.666407263294502"/>
  </r>
  <r>
    <n v="1272"/>
    <x v="3"/>
    <s v="Freshwater"/>
    <x v="1"/>
    <x v="0"/>
    <n v="844"/>
    <s v="Skykomish River"/>
    <s v="Skykomish River"/>
    <s v="Snohomish"/>
    <x v="2"/>
    <s v="King"/>
    <x v="3"/>
    <s v="South Puget Sound"/>
    <m/>
    <n v="6697.3324686554297"/>
    <n v="23038.823692174701"/>
  </r>
  <r>
    <n v="1281"/>
    <x v="3"/>
    <s v="Freshwater"/>
    <x v="1"/>
    <x v="0"/>
    <n v="844"/>
    <s v="Skykomish River"/>
    <s v="Skykomish River"/>
    <s v="Snohomish"/>
    <x v="2"/>
    <s v="Kitsap"/>
    <x v="4"/>
    <s v="South Puget Sound"/>
    <m/>
    <n v="124.35365326415899"/>
    <n v="427.77656722870699"/>
  </r>
  <r>
    <n v="1275"/>
    <x v="3"/>
    <s v="Freshwater"/>
    <x v="1"/>
    <x v="0"/>
    <n v="844"/>
    <s v="Skykomish River"/>
    <s v="Skykomish River"/>
    <s v="Snohomish"/>
    <x v="2"/>
    <s v="Mason"/>
    <x v="5"/>
    <s v="South Puget Sound"/>
    <m/>
    <n v="17.764807609165601"/>
    <n v="61.110938175529697"/>
  </r>
  <r>
    <n v="1282"/>
    <x v="3"/>
    <s v="Freshwater"/>
    <x v="1"/>
    <x v="0"/>
    <n v="844"/>
    <s v="Skykomish River"/>
    <s v="Skykomish River"/>
    <s v="Snohomish"/>
    <x v="2"/>
    <s v="Other"/>
    <x v="6"/>
    <s v="Non Puget Sound"/>
    <m/>
    <n v="1767.59835711198"/>
    <n v="6080.5383484652102"/>
  </r>
  <r>
    <n v="1273"/>
    <x v="3"/>
    <s v="Freshwater"/>
    <x v="1"/>
    <x v="0"/>
    <n v="844"/>
    <s v="Skykomish River"/>
    <s v="Skykomish River"/>
    <s v="Snohomish"/>
    <x v="2"/>
    <s v="Pierce"/>
    <x v="7"/>
    <s v="South Puget Sound"/>
    <m/>
    <n v="479.64980544747101"/>
    <n v="1649.9953307393"/>
  </r>
  <r>
    <n v="3722"/>
    <x v="3"/>
    <s v="Freshwater"/>
    <x v="1"/>
    <x v="0"/>
    <n v="844"/>
    <s v="Skykomish River"/>
    <s v="Skykomish River"/>
    <s v="Snohomish"/>
    <x v="2"/>
    <s v="Skagit"/>
    <x v="8"/>
    <s v="North Puget Sound"/>
    <m/>
    <n v="168.76567228707299"/>
    <n v="580.55391266753099"/>
  </r>
  <r>
    <n v="1270"/>
    <x v="3"/>
    <s v="Freshwater"/>
    <x v="1"/>
    <x v="0"/>
    <n v="844"/>
    <s v="Skykomish River"/>
    <s v="Skykomish River"/>
    <s v="Snohomish"/>
    <x v="2"/>
    <s v="Snohomish"/>
    <x v="9"/>
    <s v="North Puget Sound"/>
    <m/>
    <n v="11067.4751405102"/>
    <n v="38072.114483355101"/>
  </r>
  <r>
    <n v="1274"/>
    <x v="3"/>
    <s v="Freshwater"/>
    <x v="1"/>
    <x v="0"/>
    <n v="844"/>
    <s v="Skykomish River"/>
    <s v="Skykomish River"/>
    <s v="Snohomish"/>
    <x v="2"/>
    <s v="Thurston"/>
    <x v="10"/>
    <s v="South Puget Sound"/>
    <m/>
    <n v="62.176826632079603"/>
    <n v="213.88828361435401"/>
  </r>
  <r>
    <n v="3721"/>
    <x v="3"/>
    <s v="Freshwater"/>
    <x v="1"/>
    <x v="0"/>
    <n v="844"/>
    <s v="Skykomish River"/>
    <s v="Skykomish River"/>
    <s v="Snohomish"/>
    <x v="2"/>
    <s v="Whatcom"/>
    <x v="11"/>
    <s v="North Puget Sound"/>
    <m/>
    <n v="133.23605706874201"/>
    <n v="458.33203631647302"/>
  </r>
  <r>
    <n v="1407"/>
    <x v="3"/>
    <s v="Freshwater"/>
    <x v="1"/>
    <x v="0"/>
    <n v="850"/>
    <s v="Snohomish River"/>
    <s v="Snohomish River"/>
    <s v="Snohomish"/>
    <x v="2"/>
    <s v="Island"/>
    <x v="1"/>
    <s v="North Puget Sound"/>
    <m/>
    <n v="481.48888888888899"/>
    <n v="1656.32177777778"/>
  </r>
  <r>
    <n v="1413"/>
    <x v="3"/>
    <s v="Freshwater"/>
    <x v="1"/>
    <x v="0"/>
    <n v="850"/>
    <s v="Snohomish River"/>
    <s v="Snohomish River"/>
    <s v="Snohomish"/>
    <x v="2"/>
    <s v="Jefferson"/>
    <x v="2"/>
    <s v="Strait of Juan de Fuca"/>
    <m/>
    <n v="71.331687242798395"/>
    <n v="245.38100411522601"/>
  </r>
  <r>
    <n v="1408"/>
    <x v="3"/>
    <s v="Freshwater"/>
    <x v="1"/>
    <x v="0"/>
    <n v="850"/>
    <s v="Snohomish River"/>
    <s v="Snohomish River"/>
    <s v="Snohomish"/>
    <x v="2"/>
    <s v="King"/>
    <x v="3"/>
    <s v="South Puget Sound"/>
    <m/>
    <n v="16022.880246913601"/>
    <n v="55118.708049382803"/>
  </r>
  <r>
    <n v="1412"/>
    <x v="3"/>
    <s v="Freshwater"/>
    <x v="1"/>
    <x v="0"/>
    <n v="850"/>
    <s v="Snohomish River"/>
    <s v="Snohomish River"/>
    <s v="Snohomish"/>
    <x v="2"/>
    <s v="Kitsap"/>
    <x v="4"/>
    <s v="South Puget Sound"/>
    <m/>
    <n v="240.74444444444501"/>
    <n v="828.16088888889101"/>
  </r>
  <r>
    <n v="1411"/>
    <x v="3"/>
    <s v="Freshwater"/>
    <x v="1"/>
    <x v="0"/>
    <n v="850"/>
    <s v="Snohomish River"/>
    <s v="Snohomish River"/>
    <s v="Snohomish"/>
    <x v="2"/>
    <s v="Mason"/>
    <x v="5"/>
    <s v="South Puget Sound"/>
    <m/>
    <n v="26.7493827160494"/>
    <n v="92.017876543209894"/>
  </r>
  <r>
    <n v="1414"/>
    <x v="3"/>
    <s v="Freshwater"/>
    <x v="1"/>
    <x v="0"/>
    <n v="850"/>
    <s v="Snohomish River"/>
    <s v="Snohomish River"/>
    <s v="Snohomish"/>
    <x v="2"/>
    <s v="Other"/>
    <x v="6"/>
    <s v="Non Puget Sound"/>
    <m/>
    <n v="5751.1172839506198"/>
    <n v="19783.843456790099"/>
  </r>
  <r>
    <n v="1409"/>
    <x v="3"/>
    <s v="Freshwater"/>
    <x v="1"/>
    <x v="0"/>
    <n v="850"/>
    <s v="Snohomish River"/>
    <s v="Snohomish River"/>
    <s v="Snohomish"/>
    <x v="2"/>
    <s v="Pierce"/>
    <x v="7"/>
    <s v="South Puget Sound"/>
    <m/>
    <n v="481.48888888888899"/>
    <n v="1656.32177777778"/>
  </r>
  <r>
    <n v="1284"/>
    <x v="3"/>
    <s v="Freshwater"/>
    <x v="1"/>
    <x v="0"/>
    <n v="850"/>
    <s v="Snohomish River"/>
    <s v="Snohomish River"/>
    <s v="Snohomish"/>
    <x v="2"/>
    <s v="Skagit"/>
    <x v="8"/>
    <s v="North Puget Sound"/>
    <m/>
    <n v="472.572427983539"/>
    <n v="1625.6491522633701"/>
  </r>
  <r>
    <n v="1406"/>
    <x v="3"/>
    <s v="Freshwater"/>
    <x v="1"/>
    <x v="0"/>
    <n v="850"/>
    <s v="Snohomish River"/>
    <s v="Snohomish River"/>
    <s v="Snohomish"/>
    <x v="2"/>
    <s v="Snohomish"/>
    <x v="9"/>
    <s v="North Puget Sound"/>
    <m/>
    <n v="62468.7251028807"/>
    <n v="214892.41435390999"/>
  </r>
  <r>
    <n v="1410"/>
    <x v="3"/>
    <s v="Freshwater"/>
    <x v="1"/>
    <x v="0"/>
    <n v="850"/>
    <s v="Snohomish River"/>
    <s v="Snohomish River"/>
    <s v="Snohomish"/>
    <x v="2"/>
    <s v="Thurston"/>
    <x v="10"/>
    <s v="South Puget Sound"/>
    <m/>
    <n v="356.65843621399199"/>
    <n v="1226.90502057613"/>
  </r>
  <r>
    <n v="1283"/>
    <x v="3"/>
    <s v="Freshwater"/>
    <x v="1"/>
    <x v="0"/>
    <n v="850"/>
    <s v="Snohomish River"/>
    <s v="Snohomish River"/>
    <s v="Snohomish"/>
    <x v="2"/>
    <s v="Whatcom"/>
    <x v="11"/>
    <s v="North Puget Sound"/>
    <m/>
    <n v="294.24320987654301"/>
    <n v="1012.1966419753099"/>
  </r>
  <r>
    <n v="1181"/>
    <x v="3"/>
    <s v="Freshwater"/>
    <x v="1"/>
    <x v="0"/>
    <n v="852"/>
    <s v="Snoqualmie River"/>
    <s v="Snoqualmie River"/>
    <s v="Snohomish/King"/>
    <x v="2"/>
    <s v="Island"/>
    <x v="1"/>
    <s v="North Puget Sound"/>
    <m/>
    <n v="54.467661691542297"/>
    <n v="187.36875621890599"/>
  </r>
  <r>
    <n v="1182"/>
    <x v="3"/>
    <s v="Freshwater"/>
    <x v="1"/>
    <x v="0"/>
    <n v="852"/>
    <s v="Snoqualmie River"/>
    <s v="Snoqualmie River"/>
    <s v="Snohomish/King"/>
    <x v="2"/>
    <s v="King"/>
    <x v="3"/>
    <s v="South Puget Sound"/>
    <m/>
    <n v="949.29353233830898"/>
    <n v="3265.56975124378"/>
  </r>
  <r>
    <n v="1184"/>
    <x v="3"/>
    <s v="Freshwater"/>
    <x v="1"/>
    <x v="0"/>
    <n v="852"/>
    <s v="Snoqualmie River"/>
    <s v="Snoqualmie River"/>
    <s v="Snohomish/King"/>
    <x v="2"/>
    <s v="Other"/>
    <x v="6"/>
    <s v="Non Puget Sound"/>
    <m/>
    <n v="287.90049751243799"/>
    <n v="990.37771144278702"/>
  </r>
  <r>
    <n v="1183"/>
    <x v="3"/>
    <s v="Freshwater"/>
    <x v="1"/>
    <x v="0"/>
    <n v="852"/>
    <s v="Snoqualmie River"/>
    <s v="Snoqualmie River"/>
    <s v="Snohomish/King"/>
    <x v="2"/>
    <s v="Pierce"/>
    <x v="7"/>
    <s v="South Puget Sound"/>
    <m/>
    <n v="46.686567164179102"/>
    <n v="160.60179104477601"/>
  </r>
  <r>
    <n v="1180"/>
    <x v="3"/>
    <s v="Freshwater"/>
    <x v="1"/>
    <x v="0"/>
    <n v="852"/>
    <s v="Snoqualmie River"/>
    <s v="Snoqualmie River"/>
    <s v="Snohomish/King"/>
    <x v="2"/>
    <s v="Snohomish"/>
    <x v="9"/>
    <s v="North Puget Sound"/>
    <m/>
    <n v="225.65174129353201"/>
    <n v="776.24199004975003"/>
  </r>
  <r>
    <n v="1423"/>
    <x v="3"/>
    <s v="Freshwater"/>
    <x v="1"/>
    <x v="0"/>
    <n v="872"/>
    <s v="Stillaguamish River"/>
    <s v="Stillaguamish River"/>
    <s v="Snohomish"/>
    <x v="2"/>
    <s v="Island"/>
    <x v="1"/>
    <s v="North Puget Sound"/>
    <m/>
    <n v="603.16345177665005"/>
    <n v="2074.8822741116801"/>
  </r>
  <r>
    <n v="1424"/>
    <x v="3"/>
    <s v="Freshwater"/>
    <x v="1"/>
    <x v="0"/>
    <n v="872"/>
    <s v="Stillaguamish River"/>
    <s v="Stillaguamish River"/>
    <s v="Snohomish"/>
    <x v="2"/>
    <s v="King"/>
    <x v="3"/>
    <s v="South Puget Sound"/>
    <m/>
    <n v="381.41218274111702"/>
    <n v="1312.0579086294399"/>
  </r>
  <r>
    <n v="1591"/>
    <x v="3"/>
    <s v="Freshwater"/>
    <x v="1"/>
    <x v="0"/>
    <n v="872"/>
    <s v="Stillaguamish River"/>
    <s v="Stillaguamish River"/>
    <s v="Snohomish"/>
    <x v="2"/>
    <s v="Kitsap"/>
    <x v="4"/>
    <s v="South Puget Sound"/>
    <m/>
    <n v="17.7401015228426"/>
    <n v="61.025949238578498"/>
  </r>
  <r>
    <n v="1426"/>
    <x v="3"/>
    <s v="Freshwater"/>
    <x v="1"/>
    <x v="0"/>
    <n v="872"/>
    <s v="Stillaguamish River"/>
    <s v="Stillaguamish River"/>
    <s v="Snohomish"/>
    <x v="2"/>
    <s v="Mason"/>
    <x v="5"/>
    <s v="South Puget Sound"/>
    <m/>
    <n v="44.350253807106597"/>
    <n v="152.564873096447"/>
  </r>
  <r>
    <n v="1592"/>
    <x v="3"/>
    <s v="Freshwater"/>
    <x v="1"/>
    <x v="0"/>
    <n v="872"/>
    <s v="Stillaguamish River"/>
    <s v="Stillaguamish River"/>
    <s v="Snohomish"/>
    <x v="2"/>
    <s v="Other"/>
    <x v="6"/>
    <s v="Non Puget Sound"/>
    <m/>
    <n v="434.632487309645"/>
    <n v="1495.13575634518"/>
  </r>
  <r>
    <n v="1425"/>
    <x v="3"/>
    <s v="Freshwater"/>
    <x v="1"/>
    <x v="0"/>
    <n v="872"/>
    <s v="Stillaguamish River"/>
    <s v="Stillaguamish River"/>
    <s v="Snohomish"/>
    <x v="2"/>
    <s v="Pierce"/>
    <x v="7"/>
    <s v="South Puget Sound"/>
    <m/>
    <n v="26.610152284264"/>
    <n v="91.538923857868198"/>
  </r>
  <r>
    <n v="1421"/>
    <x v="3"/>
    <s v="Freshwater"/>
    <x v="1"/>
    <x v="0"/>
    <n v="872"/>
    <s v="Stillaguamish River"/>
    <s v="Stillaguamish River"/>
    <s v="Snohomish"/>
    <x v="2"/>
    <s v="Skagit"/>
    <x v="8"/>
    <s v="North Puget Sound"/>
    <m/>
    <n v="141.920812182741"/>
    <n v="488.20759390862901"/>
  </r>
  <r>
    <n v="1422"/>
    <x v="3"/>
    <s v="Freshwater"/>
    <x v="1"/>
    <x v="0"/>
    <n v="872"/>
    <s v="Stillaguamish River"/>
    <s v="Stillaguamish River"/>
    <s v="Snohomish"/>
    <x v="2"/>
    <s v="Snohomish"/>
    <x v="9"/>
    <s v="North Puget Sound"/>
    <m/>
    <n v="7007.3401015228401"/>
    <n v="24105.249949238601"/>
  </r>
  <r>
    <n v="1420"/>
    <x v="3"/>
    <s v="Freshwater"/>
    <x v="1"/>
    <x v="0"/>
    <n v="872"/>
    <s v="Stillaguamish River"/>
    <s v="Stillaguamish River"/>
    <s v="Snohomish"/>
    <x v="2"/>
    <s v="Whatcom"/>
    <x v="11"/>
    <s v="North Puget Sound"/>
    <m/>
    <n v="79.830456852791897"/>
    <n v="274.61677157360401"/>
  </r>
  <r>
    <n v="752"/>
    <x v="3"/>
    <s v="Freshwater"/>
    <x v="1"/>
    <x v="0"/>
    <n v="878"/>
    <s v="Tahuya River"/>
    <s v="Tahuya River"/>
    <s v="Mason"/>
    <x v="3"/>
    <s v="King"/>
    <x v="3"/>
    <s v="South Puget Sound"/>
    <m/>
    <n v="78.157894736842096"/>
    <n v="268.86315789473701"/>
  </r>
  <r>
    <n v="755"/>
    <x v="3"/>
    <s v="Freshwater"/>
    <x v="1"/>
    <x v="0"/>
    <n v="878"/>
    <s v="Tahuya River"/>
    <s v="Tahuya River"/>
    <s v="Mason"/>
    <x v="3"/>
    <s v="Kitsap"/>
    <x v="4"/>
    <s v="South Puget Sound"/>
    <m/>
    <n v="156.31578947368399"/>
    <n v="537.72631578947301"/>
  </r>
  <r>
    <n v="754"/>
    <x v="3"/>
    <s v="Freshwater"/>
    <x v="1"/>
    <x v="0"/>
    <n v="878"/>
    <s v="Tahuya River"/>
    <s v="Tahuya River"/>
    <s v="Mason"/>
    <x v="3"/>
    <s v="Mason"/>
    <x v="5"/>
    <s v="South Puget Sound"/>
    <m/>
    <n v="23.447368421052602"/>
    <n v="80.658947368420996"/>
  </r>
  <r>
    <n v="753"/>
    <x v="3"/>
    <s v="Freshwater"/>
    <x v="1"/>
    <x v="0"/>
    <n v="878"/>
    <s v="Tahuya River"/>
    <s v="Tahuya River"/>
    <s v="Mason"/>
    <x v="3"/>
    <s v="Pierce"/>
    <x v="7"/>
    <s v="South Puget Sound"/>
    <m/>
    <n v="39.078947368421098"/>
    <n v="134.43157894736899"/>
  </r>
  <r>
    <n v="2027"/>
    <x v="3"/>
    <s v="Freshwater"/>
    <x v="1"/>
    <x v="0"/>
    <n v="884"/>
    <s v="Whatcom Creek"/>
    <s v="Whatcom Creek"/>
    <s v="Whatcom"/>
    <x v="1"/>
    <s v="Island"/>
    <x v="1"/>
    <s v="North Puget Sound"/>
    <m/>
    <n v="58.170305676855897"/>
    <n v="200.10585152838399"/>
  </r>
  <r>
    <n v="2028"/>
    <x v="3"/>
    <s v="Freshwater"/>
    <x v="1"/>
    <x v="0"/>
    <n v="884"/>
    <s v="Whatcom Creek"/>
    <s v="Whatcom Creek"/>
    <s v="Whatcom"/>
    <x v="1"/>
    <s v="King"/>
    <x v="3"/>
    <s v="South Puget Sound"/>
    <m/>
    <n v="41.550218340611401"/>
    <n v="142.93275109170301"/>
  </r>
  <r>
    <n v="2031"/>
    <x v="3"/>
    <s v="Freshwater"/>
    <x v="1"/>
    <x v="0"/>
    <n v="884"/>
    <s v="Whatcom Creek"/>
    <s v="Whatcom Creek"/>
    <s v="Whatcom"/>
    <x v="1"/>
    <s v="Mason"/>
    <x v="5"/>
    <s v="South Puget Sound"/>
    <m/>
    <n v="8.3100436681222707"/>
    <n v="28.586550218340602"/>
  </r>
  <r>
    <n v="2032"/>
    <x v="3"/>
    <s v="Freshwater"/>
    <x v="1"/>
    <x v="0"/>
    <n v="884"/>
    <s v="Whatcom Creek"/>
    <s v="Whatcom Creek"/>
    <s v="Whatcom"/>
    <x v="1"/>
    <s v="Other"/>
    <x v="6"/>
    <s v="Non Puget Sound"/>
    <m/>
    <n v="58.170305676855897"/>
    <n v="200.10585152838399"/>
  </r>
  <r>
    <n v="2029"/>
    <x v="3"/>
    <s v="Freshwater"/>
    <x v="1"/>
    <x v="0"/>
    <n v="884"/>
    <s v="Whatcom Creek"/>
    <s v="Whatcom Creek"/>
    <s v="Whatcom"/>
    <x v="1"/>
    <s v="Pierce"/>
    <x v="7"/>
    <s v="South Puget Sound"/>
    <m/>
    <n v="16.620087336244499"/>
    <n v="57.173100436681104"/>
  </r>
  <r>
    <n v="2025"/>
    <x v="3"/>
    <s v="Freshwater"/>
    <x v="1"/>
    <x v="0"/>
    <n v="884"/>
    <s v="Whatcom Creek"/>
    <s v="Whatcom Creek"/>
    <s v="Whatcom"/>
    <x v="1"/>
    <s v="Skagit"/>
    <x v="8"/>
    <s v="North Puget Sound"/>
    <m/>
    <n v="24.9301310043668"/>
    <n v="85.759650655021801"/>
  </r>
  <r>
    <n v="2026"/>
    <x v="3"/>
    <s v="Freshwater"/>
    <x v="1"/>
    <x v="0"/>
    <n v="884"/>
    <s v="Whatcom Creek"/>
    <s v="Whatcom Creek"/>
    <s v="Whatcom"/>
    <x v="1"/>
    <s v="Snohomish"/>
    <x v="9"/>
    <s v="North Puget Sound"/>
    <m/>
    <n v="166.20087336244501"/>
    <n v="571.73100436681102"/>
  </r>
  <r>
    <n v="2030"/>
    <x v="3"/>
    <s v="Freshwater"/>
    <x v="1"/>
    <x v="0"/>
    <n v="884"/>
    <s v="Whatcom Creek"/>
    <s v="Whatcom Creek"/>
    <s v="Whatcom"/>
    <x v="1"/>
    <s v="Thurston"/>
    <x v="10"/>
    <s v="South Puget Sound"/>
    <m/>
    <n v="24.9301310043668"/>
    <n v="85.759650655021801"/>
  </r>
  <r>
    <n v="2024"/>
    <x v="3"/>
    <s v="Freshwater"/>
    <x v="1"/>
    <x v="0"/>
    <n v="884"/>
    <s v="Whatcom Creek"/>
    <s v="Whatcom Creek"/>
    <s v="Whatcom"/>
    <x v="1"/>
    <s v="Whatcom"/>
    <x v="11"/>
    <s v="North Puget Sound"/>
    <m/>
    <n v="1504.1179039301301"/>
    <n v="5174.16558951965"/>
  </r>
  <r>
    <n v="33"/>
    <x v="4"/>
    <s v="Freshwater"/>
    <x v="1"/>
    <x v="0"/>
    <n v="714"/>
    <s v="Chambers Creek"/>
    <s v="Chambers Creek"/>
    <s v="Pierce"/>
    <x v="3"/>
    <s v="King"/>
    <x v="3"/>
    <s v="South Puget Sound"/>
    <m/>
    <n v="9"/>
    <n v="77.849999999999994"/>
  </r>
  <r>
    <n v="34"/>
    <x v="4"/>
    <s v="Freshwater"/>
    <x v="1"/>
    <x v="0"/>
    <n v="714"/>
    <s v="Chambers Creek"/>
    <s v="Chambers Creek"/>
    <s v="Pierce"/>
    <x v="3"/>
    <s v="Pierce"/>
    <x v="7"/>
    <s v="South Puget Sound"/>
    <m/>
    <n v="9"/>
    <n v="77.849999999999994"/>
  </r>
  <r>
    <n v="2035"/>
    <x v="4"/>
    <s v="Freshwater"/>
    <x v="1"/>
    <x v="0"/>
    <n v="724"/>
    <s v="Dakota Creek (Whatcom Co)"/>
    <s v="Dakota Creek (Whatcom Co)"/>
    <s v="Whatcom"/>
    <x v="1"/>
    <s v="Other"/>
    <x v="6"/>
    <s v="Non Puget Sound"/>
    <m/>
    <n v="7.1578947368421098"/>
    <n v="61.9157894736842"/>
  </r>
  <r>
    <n v="2034"/>
    <x v="4"/>
    <s v="Freshwater"/>
    <x v="1"/>
    <x v="0"/>
    <n v="724"/>
    <s v="Dakota Creek (Whatcom Co)"/>
    <s v="Dakota Creek (Whatcom Co)"/>
    <s v="Whatcom"/>
    <x v="1"/>
    <s v="Snohomish"/>
    <x v="9"/>
    <s v="North Puget Sound"/>
    <m/>
    <n v="42.947368421052602"/>
    <n v="371.494736842105"/>
  </r>
  <r>
    <n v="2033"/>
    <x v="4"/>
    <s v="Freshwater"/>
    <x v="1"/>
    <x v="0"/>
    <n v="724"/>
    <s v="Dakota Creek (Whatcom Co)"/>
    <s v="Dakota Creek (Whatcom Co)"/>
    <s v="Whatcom"/>
    <x v="1"/>
    <s v="Whatcom"/>
    <x v="11"/>
    <s v="North Puget Sound"/>
    <m/>
    <n v="85.894736842105303"/>
    <n v="742.98947368421102"/>
  </r>
  <r>
    <n v="757"/>
    <x v="4"/>
    <s v="Freshwater"/>
    <x v="1"/>
    <x v="0"/>
    <n v="732"/>
    <s v="Dewatto River"/>
    <s v="Dewatto River"/>
    <s v="Mason"/>
    <x v="3"/>
    <s v="Kitsap"/>
    <x v="4"/>
    <s v="South Puget Sound"/>
    <m/>
    <n v="136.875"/>
    <n v="1183.96875"/>
  </r>
  <r>
    <n v="756"/>
    <x v="4"/>
    <s v="Freshwater"/>
    <x v="1"/>
    <x v="0"/>
    <n v="732"/>
    <s v="Dewatto River"/>
    <s v="Dewatto River"/>
    <s v="Mason"/>
    <x v="3"/>
    <s v="Mason"/>
    <x v="5"/>
    <s v="South Puget Sound"/>
    <m/>
    <n v="9.125"/>
    <n v="78.931250000000006"/>
  </r>
  <r>
    <n v="820"/>
    <x v="4"/>
    <s v="Freshwater"/>
    <x v="1"/>
    <x v="0"/>
    <n v="736"/>
    <s v="Duckabush River"/>
    <s v="Duckabush River"/>
    <s v="Jefferson"/>
    <x v="4"/>
    <s v="Kitsap"/>
    <x v="4"/>
    <s v="South Puget Sound"/>
    <m/>
    <n v="9"/>
    <n v="77.849999999999994"/>
  </r>
  <r>
    <n v="821"/>
    <x v="4"/>
    <s v="Freshwater"/>
    <x v="1"/>
    <x v="0"/>
    <n v="736"/>
    <s v="Duckabush River"/>
    <s v="Duckabush River"/>
    <s v="Jefferson"/>
    <x v="4"/>
    <s v="Other"/>
    <x v="6"/>
    <s v="Non Puget Sound"/>
    <m/>
    <n v="9"/>
    <n v="77.849999999999994"/>
  </r>
  <r>
    <n v="1923"/>
    <x v="4"/>
    <s v="Freshwater"/>
    <x v="1"/>
    <x v="0"/>
    <n v="738"/>
    <s v="Dungeness River"/>
    <s v="Dungeness River"/>
    <s v="Clallam"/>
    <x v="0"/>
    <s v="Clallam"/>
    <x v="0"/>
    <s v="Strait of Juan de Fuca"/>
    <m/>
    <n v="391.5"/>
    <n v="3386.4749999999999"/>
  </r>
  <r>
    <n v="1922"/>
    <x v="4"/>
    <s v="Freshwater"/>
    <x v="1"/>
    <x v="0"/>
    <n v="738"/>
    <s v="Dungeness River"/>
    <s v="Dungeness River"/>
    <s v="Clallam"/>
    <x v="0"/>
    <s v="Kitsap"/>
    <x v="4"/>
    <s v="South Puget Sound"/>
    <m/>
    <n v="58"/>
    <n v="501.7"/>
  </r>
  <r>
    <n v="1924"/>
    <x v="4"/>
    <s v="Freshwater"/>
    <x v="1"/>
    <x v="0"/>
    <n v="738"/>
    <s v="Dungeness River"/>
    <s v="Dungeness River"/>
    <s v="Clallam"/>
    <x v="0"/>
    <s v="Other"/>
    <x v="6"/>
    <s v="Non Puget Sound"/>
    <m/>
    <n v="14.5"/>
    <n v="125.425"/>
  </r>
  <r>
    <n v="3157"/>
    <x v="4"/>
    <s v="Freshwater"/>
    <x v="1"/>
    <x v="0"/>
    <n v="746"/>
    <s v="Green - Duwamish River"/>
    <s v="Green - Duwamish River"/>
    <s v="King"/>
    <x v="3"/>
    <s v="Clallam"/>
    <x v="0"/>
    <s v="Strait of Juan de Fuca"/>
    <m/>
    <n v="7.0078431372549002"/>
    <n v="60.617843137254901"/>
  </r>
  <r>
    <n v="3154"/>
    <x v="4"/>
    <s v="Freshwater"/>
    <x v="1"/>
    <x v="0"/>
    <n v="746"/>
    <s v="Green - Duwamish River"/>
    <s v="Green - Duwamish River"/>
    <s v="King"/>
    <x v="3"/>
    <s v="King"/>
    <x v="3"/>
    <s v="South Puget Sound"/>
    <m/>
    <n v="2684.0039215686302"/>
    <n v="23216.6339215687"/>
  </r>
  <r>
    <n v="3268"/>
    <x v="4"/>
    <s v="Freshwater"/>
    <x v="1"/>
    <x v="0"/>
    <n v="746"/>
    <s v="Green - Duwamish River"/>
    <s v="Green - Duwamish River"/>
    <s v="King"/>
    <x v="3"/>
    <s v="Other"/>
    <x v="6"/>
    <s v="Non Puget Sound"/>
    <m/>
    <n v="105.11764705882401"/>
    <n v="909.26764705882795"/>
  </r>
  <r>
    <n v="3155"/>
    <x v="4"/>
    <s v="Freshwater"/>
    <x v="1"/>
    <x v="0"/>
    <n v="746"/>
    <s v="Green - Duwamish River"/>
    <s v="Green - Duwamish River"/>
    <s v="King"/>
    <x v="3"/>
    <s v="Pierce"/>
    <x v="7"/>
    <s v="South Puget Sound"/>
    <m/>
    <n v="385.43137254902001"/>
    <n v="3333.9813725490199"/>
  </r>
  <r>
    <n v="3037"/>
    <x v="4"/>
    <s v="Freshwater"/>
    <x v="1"/>
    <x v="0"/>
    <n v="746"/>
    <s v="Green - Duwamish River"/>
    <s v="Green - Duwamish River"/>
    <s v="King"/>
    <x v="3"/>
    <s v="Skagit"/>
    <x v="8"/>
    <s v="North Puget Sound"/>
    <m/>
    <n v="21.023529411764699"/>
    <n v="181.85352941176501"/>
  </r>
  <r>
    <n v="3153"/>
    <x v="4"/>
    <s v="Freshwater"/>
    <x v="1"/>
    <x v="0"/>
    <n v="746"/>
    <s v="Green - Duwamish River"/>
    <s v="Green - Duwamish River"/>
    <s v="King"/>
    <x v="3"/>
    <s v="Snohomish"/>
    <x v="9"/>
    <s v="North Puget Sound"/>
    <m/>
    <n v="364.40784313725499"/>
    <n v="3152.1278431372598"/>
  </r>
  <r>
    <n v="3156"/>
    <x v="4"/>
    <s v="Freshwater"/>
    <x v="1"/>
    <x v="0"/>
    <n v="746"/>
    <s v="Green - Duwamish River"/>
    <s v="Green - Duwamish River"/>
    <s v="King"/>
    <x v="3"/>
    <s v="Thurston"/>
    <x v="10"/>
    <s v="South Puget Sound"/>
    <m/>
    <n v="7.0078431372549002"/>
    <n v="60.617843137254901"/>
  </r>
  <r>
    <n v="863"/>
    <x v="4"/>
    <s v="Freshwater"/>
    <x v="1"/>
    <x v="0"/>
    <n v="754"/>
    <s v="Kennedy Creek"/>
    <s v="Kennedy Creek"/>
    <s v="Mason/Thurston"/>
    <x v="3"/>
    <s v="King"/>
    <x v="3"/>
    <s v="South Puget Sound"/>
    <m/>
    <n v="139.94230769230799"/>
    <n v="1210.5009615384599"/>
  </r>
  <r>
    <n v="866"/>
    <x v="4"/>
    <s v="Freshwater"/>
    <x v="1"/>
    <x v="0"/>
    <n v="754"/>
    <s v="Kennedy Creek"/>
    <s v="Kennedy Creek"/>
    <s v="Mason/Thurston"/>
    <x v="3"/>
    <s v="Mason"/>
    <x v="5"/>
    <s v="South Puget Sound"/>
    <m/>
    <n v="44.192307692307701"/>
    <n v="382.26346153846202"/>
  </r>
  <r>
    <n v="864"/>
    <x v="4"/>
    <s v="Freshwater"/>
    <x v="1"/>
    <x v="0"/>
    <n v="754"/>
    <s v="Kennedy Creek"/>
    <s v="Kennedy Creek"/>
    <s v="Mason/Thurston"/>
    <x v="3"/>
    <s v="Pierce"/>
    <x v="7"/>
    <s v="South Puget Sound"/>
    <m/>
    <n v="66.288461538461604"/>
    <n v="573.39519230769304"/>
  </r>
  <r>
    <n v="865"/>
    <x v="4"/>
    <s v="Freshwater"/>
    <x v="1"/>
    <x v="0"/>
    <n v="754"/>
    <s v="Kennedy Creek"/>
    <s v="Kennedy Creek"/>
    <s v="Mason/Thurston"/>
    <x v="3"/>
    <s v="Thurston"/>
    <x v="10"/>
    <s v="South Puget Sound"/>
    <m/>
    <n v="132.57692307692301"/>
    <n v="1146.7903846153799"/>
  </r>
  <r>
    <n v="3270"/>
    <x v="4"/>
    <s v="Freshwater"/>
    <x v="1"/>
    <x v="0"/>
    <n v="762"/>
    <s v="Lake Washington"/>
    <s v="Lake Washington"/>
    <s v="King"/>
    <x v="3"/>
    <s v="King"/>
    <x v="3"/>
    <s v="South Puget Sound"/>
    <m/>
    <n v="550.84615384615404"/>
    <n v="4764.8192307692298"/>
  </r>
  <r>
    <n v="3271"/>
    <x v="4"/>
    <s v="Freshwater"/>
    <x v="1"/>
    <x v="0"/>
    <n v="762"/>
    <s v="Lake Washington"/>
    <s v="Lake Washington"/>
    <s v="King"/>
    <x v="3"/>
    <s v="Other"/>
    <x v="6"/>
    <s v="Non Puget Sound"/>
    <m/>
    <n v="7.1538461538461604"/>
    <n v="61.880769230769303"/>
  </r>
  <r>
    <n v="3269"/>
    <x v="4"/>
    <s v="Freshwater"/>
    <x v="1"/>
    <x v="0"/>
    <n v="762"/>
    <s v="Lake Washington"/>
    <s v="Lake Washington"/>
    <s v="King"/>
    <x v="3"/>
    <s v="Snohomish"/>
    <x v="9"/>
    <s v="North Puget Sound"/>
    <m/>
    <n v="186"/>
    <n v="1608.9"/>
  </r>
  <r>
    <n v="3360"/>
    <x v="4"/>
    <s v="Freshwater"/>
    <x v="1"/>
    <x v="0"/>
    <n v="764"/>
    <s v="Lake Sammamish"/>
    <s v="Lake Sammamish"/>
    <s v="King"/>
    <x v="3"/>
    <s v="King"/>
    <x v="3"/>
    <s v="South Puget Sound"/>
    <m/>
    <n v="21.428571428571399"/>
    <n v="185.357142857143"/>
  </r>
  <r>
    <n v="3361"/>
    <x v="4"/>
    <s v="Freshwater"/>
    <x v="1"/>
    <x v="0"/>
    <n v="764"/>
    <s v="Lake Sammamish"/>
    <s v="Lake Sammamish"/>
    <s v="King"/>
    <x v="3"/>
    <s v="Other"/>
    <x v="6"/>
    <s v="Non Puget Sound"/>
    <m/>
    <n v="7.1428571428571397"/>
    <n v="61.785714285714299"/>
  </r>
  <r>
    <n v="3351"/>
    <x v="4"/>
    <s v="Freshwater"/>
    <x v="1"/>
    <x v="0"/>
    <n v="764"/>
    <s v="Lake Sammamish"/>
    <s v="Lake Sammamish"/>
    <s v="King"/>
    <x v="3"/>
    <s v="Snohomish"/>
    <x v="9"/>
    <s v="North Puget Sound"/>
    <m/>
    <n v="21.428571428571399"/>
    <n v="185.357142857143"/>
  </r>
  <r>
    <n v="441"/>
    <x v="4"/>
    <s v="Freshwater"/>
    <x v="1"/>
    <x v="0"/>
    <n v="778"/>
    <s v="Minter Creek"/>
    <s v="Minter Creek"/>
    <s v="Kitsap/Pierce"/>
    <x v="3"/>
    <s v="Island"/>
    <x v="1"/>
    <s v="North Puget Sound"/>
    <m/>
    <n v="48.203252032520297"/>
    <n v="416.95813008130102"/>
  </r>
  <r>
    <n v="442"/>
    <x v="4"/>
    <s v="Freshwater"/>
    <x v="1"/>
    <x v="0"/>
    <n v="778"/>
    <s v="Minter Creek"/>
    <s v="Minter Creek"/>
    <s v="Kitsap/Pierce"/>
    <x v="3"/>
    <s v="King"/>
    <x v="3"/>
    <s v="South Puget Sound"/>
    <m/>
    <n v="991.60975609756099"/>
    <n v="8577.4243902438993"/>
  </r>
  <r>
    <n v="446"/>
    <x v="4"/>
    <s v="Freshwater"/>
    <x v="1"/>
    <x v="0"/>
    <n v="778"/>
    <s v="Minter Creek"/>
    <s v="Minter Creek"/>
    <s v="Kitsap/Pierce"/>
    <x v="3"/>
    <s v="Kitsap"/>
    <x v="4"/>
    <s v="South Puget Sound"/>
    <m/>
    <n v="309.87804878048797"/>
    <n v="2680.4451219512198"/>
  </r>
  <r>
    <n v="445"/>
    <x v="4"/>
    <s v="Freshwater"/>
    <x v="1"/>
    <x v="0"/>
    <n v="778"/>
    <s v="Minter Creek"/>
    <s v="Minter Creek"/>
    <s v="Kitsap/Pierce"/>
    <x v="3"/>
    <s v="Mason"/>
    <x v="5"/>
    <s v="South Puget Sound"/>
    <m/>
    <n v="13.772357723577199"/>
    <n v="119.130894308943"/>
  </r>
  <r>
    <n v="447"/>
    <x v="4"/>
    <s v="Freshwater"/>
    <x v="1"/>
    <x v="0"/>
    <n v="778"/>
    <s v="Minter Creek"/>
    <s v="Minter Creek"/>
    <s v="Kitsap/Pierce"/>
    <x v="3"/>
    <s v="Other"/>
    <x v="6"/>
    <s v="Non Puget Sound"/>
    <m/>
    <n v="55.089430894308997"/>
    <n v="476.52357723577302"/>
  </r>
  <r>
    <n v="443"/>
    <x v="4"/>
    <s v="Freshwater"/>
    <x v="1"/>
    <x v="0"/>
    <n v="778"/>
    <s v="Minter Creek"/>
    <s v="Minter Creek"/>
    <s v="Kitsap/Pierce"/>
    <x v="3"/>
    <s v="Pierce"/>
    <x v="7"/>
    <s v="South Puget Sound"/>
    <m/>
    <n v="943.40650406504096"/>
    <n v="8160.4662601626096"/>
  </r>
  <r>
    <n v="440"/>
    <x v="4"/>
    <s v="Freshwater"/>
    <x v="1"/>
    <x v="0"/>
    <n v="778"/>
    <s v="Minter Creek"/>
    <s v="Minter Creek"/>
    <s v="Kitsap/Pierce"/>
    <x v="3"/>
    <s v="Snohomish"/>
    <x v="9"/>
    <s v="North Puget Sound"/>
    <m/>
    <n v="130.837398373984"/>
    <n v="1131.74349593496"/>
  </r>
  <r>
    <n v="444"/>
    <x v="4"/>
    <s v="Freshwater"/>
    <x v="1"/>
    <x v="0"/>
    <n v="778"/>
    <s v="Minter Creek"/>
    <s v="Minter Creek"/>
    <s v="Kitsap/Pierce"/>
    <x v="3"/>
    <s v="Thurston"/>
    <x v="10"/>
    <s v="South Puget Sound"/>
    <m/>
    <n v="48.203252032520297"/>
    <n v="416.95813008130102"/>
  </r>
  <r>
    <n v="389"/>
    <x v="4"/>
    <s v="Freshwater"/>
    <x v="1"/>
    <x v="0"/>
    <n v="786"/>
    <s v="Nisqually River"/>
    <s v="Nisqually River"/>
    <s v="Thurston/Pierce"/>
    <x v="3"/>
    <s v="King"/>
    <x v="3"/>
    <s v="South Puget Sound"/>
    <m/>
    <n v="70.714285714285694"/>
    <n v="611.67857142857099"/>
  </r>
  <r>
    <n v="393"/>
    <x v="4"/>
    <s v="Freshwater"/>
    <x v="1"/>
    <x v="0"/>
    <n v="786"/>
    <s v="Nisqually River"/>
    <s v="Nisqually River"/>
    <s v="Thurston/Pierce"/>
    <x v="3"/>
    <s v="Kitsap"/>
    <x v="4"/>
    <s v="South Puget Sound"/>
    <m/>
    <n v="14.1428571428571"/>
    <n v="122.335714285714"/>
  </r>
  <r>
    <n v="392"/>
    <x v="4"/>
    <s v="Freshwater"/>
    <x v="1"/>
    <x v="0"/>
    <n v="786"/>
    <s v="Nisqually River"/>
    <s v="Nisqually River"/>
    <s v="Thurston/Pierce"/>
    <x v="3"/>
    <s v="Mason"/>
    <x v="5"/>
    <s v="South Puget Sound"/>
    <m/>
    <n v="21.214285714285701"/>
    <n v="183.50357142857101"/>
  </r>
  <r>
    <n v="394"/>
    <x v="4"/>
    <s v="Freshwater"/>
    <x v="1"/>
    <x v="0"/>
    <n v="786"/>
    <s v="Nisqually River"/>
    <s v="Nisqually River"/>
    <s v="Thurston/Pierce"/>
    <x v="3"/>
    <s v="Other"/>
    <x v="6"/>
    <s v="Non Puget Sound"/>
    <m/>
    <n v="113.142857142857"/>
    <n v="978.68571428571295"/>
  </r>
  <r>
    <n v="390"/>
    <x v="4"/>
    <s v="Freshwater"/>
    <x v="1"/>
    <x v="0"/>
    <n v="786"/>
    <s v="Nisqually River"/>
    <s v="Nisqually River"/>
    <s v="Thurston/Pierce"/>
    <x v="3"/>
    <s v="Pierce"/>
    <x v="7"/>
    <s v="South Puget Sound"/>
    <m/>
    <n v="1089"/>
    <n v="9419.85"/>
  </r>
  <r>
    <n v="388"/>
    <x v="4"/>
    <s v="Freshwater"/>
    <x v="1"/>
    <x v="0"/>
    <n v="786"/>
    <s v="Nisqually River"/>
    <s v="Nisqually River"/>
    <s v="Thurston/Pierce"/>
    <x v="3"/>
    <s v="Snohomish"/>
    <x v="9"/>
    <s v="North Puget Sound"/>
    <m/>
    <n v="7.0714285714285703"/>
    <n v="61.167857142857102"/>
  </r>
  <r>
    <n v="391"/>
    <x v="4"/>
    <s v="Freshwater"/>
    <x v="1"/>
    <x v="0"/>
    <n v="786"/>
    <s v="Nisqually River"/>
    <s v="Nisqually River"/>
    <s v="Thurston/Pierce"/>
    <x v="3"/>
    <s v="Thurston"/>
    <x v="10"/>
    <s v="South Puget Sound"/>
    <m/>
    <n v="1541.57142857143"/>
    <n v="13334.592857142899"/>
  </r>
  <r>
    <n v="387"/>
    <x v="4"/>
    <s v="Freshwater"/>
    <x v="1"/>
    <x v="0"/>
    <n v="786"/>
    <s v="Nisqually River"/>
    <s v="Nisqually River"/>
    <s v="Thurston/Pierce"/>
    <x v="3"/>
    <s v="Whatcom"/>
    <x v="11"/>
    <s v="North Puget Sound"/>
    <m/>
    <n v="14.1428571428571"/>
    <n v="122.335714285714"/>
  </r>
  <r>
    <n v="2038"/>
    <x v="4"/>
    <s v="Freshwater"/>
    <x v="1"/>
    <x v="0"/>
    <n v="788"/>
    <s v="Nooksack River"/>
    <s v="Nooksack River"/>
    <s v="Whatcom"/>
    <x v="1"/>
    <s v="Island"/>
    <x v="1"/>
    <s v="North Puget Sound"/>
    <m/>
    <n v="14.214285714285699"/>
    <n v="122.953571428571"/>
  </r>
  <r>
    <n v="2039"/>
    <x v="4"/>
    <s v="Freshwater"/>
    <x v="1"/>
    <x v="0"/>
    <n v="788"/>
    <s v="Nooksack River"/>
    <s v="Nooksack River"/>
    <s v="Whatcom"/>
    <x v="1"/>
    <s v="King"/>
    <x v="3"/>
    <s v="South Puget Sound"/>
    <m/>
    <n v="28.428571428571399"/>
    <n v="245.90714285714299"/>
  </r>
  <r>
    <n v="2044"/>
    <x v="4"/>
    <s v="Freshwater"/>
    <x v="1"/>
    <x v="0"/>
    <n v="788"/>
    <s v="Nooksack River"/>
    <s v="Nooksack River"/>
    <s v="Whatcom"/>
    <x v="1"/>
    <s v="Other"/>
    <x v="6"/>
    <s v="Non Puget Sound"/>
    <m/>
    <n v="71.071428571428598"/>
    <n v="614.767857142857"/>
  </r>
  <r>
    <n v="2043"/>
    <x v="4"/>
    <s v="Freshwater"/>
    <x v="1"/>
    <x v="0"/>
    <n v="788"/>
    <s v="Nooksack River"/>
    <s v="Nooksack River"/>
    <s v="Whatcom"/>
    <x v="1"/>
    <s v="Pierce"/>
    <x v="7"/>
    <s v="South Puget Sound"/>
    <m/>
    <n v="7.1071428571428603"/>
    <n v="61.476785714285697"/>
  </r>
  <r>
    <n v="2037"/>
    <x v="4"/>
    <s v="Freshwater"/>
    <x v="1"/>
    <x v="0"/>
    <n v="788"/>
    <s v="Nooksack River"/>
    <s v="Nooksack River"/>
    <s v="Whatcom"/>
    <x v="1"/>
    <s v="Skagit"/>
    <x v="8"/>
    <s v="North Puget Sound"/>
    <m/>
    <n v="21.321428571428601"/>
    <n v="184.43035714285699"/>
  </r>
  <r>
    <n v="2036"/>
    <x v="4"/>
    <s v="Freshwater"/>
    <x v="1"/>
    <x v="0"/>
    <n v="788"/>
    <s v="Nooksack River"/>
    <s v="Nooksack River"/>
    <s v="Whatcom"/>
    <x v="1"/>
    <s v="Whatcom"/>
    <x v="11"/>
    <s v="North Puget Sound"/>
    <m/>
    <n v="1051.8571428571399"/>
    <n v="9098.5642857142593"/>
  </r>
  <r>
    <n v="36"/>
    <x v="4"/>
    <s v="Freshwater"/>
    <x v="1"/>
    <x v="0"/>
    <n v="802"/>
    <s v="Carbon River"/>
    <s v="Carbon River"/>
    <s v="Pierce"/>
    <x v="3"/>
    <s v="King"/>
    <x v="3"/>
    <s v="South Puget Sound"/>
    <m/>
    <n v="276.58914728682203"/>
    <n v="2392.4961240310099"/>
  </r>
  <r>
    <n v="132"/>
    <x v="4"/>
    <s v="Freshwater"/>
    <x v="1"/>
    <x v="0"/>
    <n v="802"/>
    <s v="Carbon River"/>
    <s v="Carbon River"/>
    <s v="Pierce"/>
    <x v="3"/>
    <s v="Kitsap"/>
    <x v="4"/>
    <s v="South Puget Sound"/>
    <m/>
    <n v="13.829457364341099"/>
    <n v="119.624806201551"/>
  </r>
  <r>
    <n v="133"/>
    <x v="4"/>
    <s v="Freshwater"/>
    <x v="1"/>
    <x v="0"/>
    <n v="802"/>
    <s v="Carbon River"/>
    <s v="Carbon River"/>
    <s v="Pierce"/>
    <x v="3"/>
    <s v="Other"/>
    <x v="6"/>
    <s v="Non Puget Sound"/>
    <m/>
    <n v="13.829457364341099"/>
    <n v="119.624806201551"/>
  </r>
  <r>
    <n v="37"/>
    <x v="4"/>
    <s v="Freshwater"/>
    <x v="1"/>
    <x v="0"/>
    <n v="802"/>
    <s v="Carbon River"/>
    <s v="Carbon River"/>
    <s v="Pierce"/>
    <x v="3"/>
    <s v="Pierce"/>
    <x v="7"/>
    <s v="South Puget Sound"/>
    <m/>
    <n v="532.43410852713203"/>
    <n v="4605.5550387596904"/>
  </r>
  <r>
    <n v="35"/>
    <x v="4"/>
    <s v="Freshwater"/>
    <x v="1"/>
    <x v="0"/>
    <n v="802"/>
    <s v="Carbon River"/>
    <s v="Carbon River"/>
    <s v="Pierce"/>
    <x v="3"/>
    <s v="Snohomish"/>
    <x v="9"/>
    <s v="North Puget Sound"/>
    <m/>
    <n v="48.403100775193799"/>
    <n v="418.68682170542598"/>
  </r>
  <r>
    <n v="131"/>
    <x v="4"/>
    <s v="Freshwater"/>
    <x v="1"/>
    <x v="0"/>
    <n v="802"/>
    <s v="Carbon River"/>
    <s v="Carbon River"/>
    <s v="Pierce"/>
    <x v="3"/>
    <s v="Thurston"/>
    <x v="10"/>
    <s v="South Puget Sound"/>
    <m/>
    <n v="6.9147286821705398"/>
    <n v="59.8124031007752"/>
  </r>
  <r>
    <n v="136"/>
    <x v="4"/>
    <s v="Freshwater"/>
    <x v="1"/>
    <x v="0"/>
    <n v="804"/>
    <s v="Puyallup River"/>
    <s v="Puyallup River"/>
    <s v="Pierce"/>
    <x v="3"/>
    <s v="King"/>
    <x v="3"/>
    <s v="South Puget Sound"/>
    <m/>
    <n v="1559.5516778523499"/>
    <n v="13490.122013422801"/>
  </r>
  <r>
    <n v="139"/>
    <x v="4"/>
    <s v="Freshwater"/>
    <x v="1"/>
    <x v="0"/>
    <n v="804"/>
    <s v="Puyallup River"/>
    <s v="Puyallup River"/>
    <s v="Pierce"/>
    <x v="3"/>
    <s v="Kitsap"/>
    <x v="4"/>
    <s v="South Puget Sound"/>
    <m/>
    <n v="124.21208053691301"/>
    <n v="1074.4344966443"/>
  </r>
  <r>
    <n v="140"/>
    <x v="4"/>
    <s v="Freshwater"/>
    <x v="1"/>
    <x v="0"/>
    <n v="804"/>
    <s v="Puyallup River"/>
    <s v="Puyallup River"/>
    <s v="Pierce"/>
    <x v="3"/>
    <s v="Other"/>
    <x v="6"/>
    <s v="Non Puget Sound"/>
    <m/>
    <n v="138.01342281879201"/>
    <n v="1193.8161073825499"/>
  </r>
  <r>
    <n v="137"/>
    <x v="4"/>
    <s v="Freshwater"/>
    <x v="1"/>
    <x v="0"/>
    <n v="804"/>
    <s v="Puyallup River"/>
    <s v="Puyallup River"/>
    <s v="Pierce"/>
    <x v="3"/>
    <s v="Pierce"/>
    <x v="7"/>
    <s v="South Puget Sound"/>
    <m/>
    <n v="3043.1959731543602"/>
    <n v="26323.645167785198"/>
  </r>
  <r>
    <n v="135"/>
    <x v="4"/>
    <s v="Freshwater"/>
    <x v="1"/>
    <x v="0"/>
    <n v="804"/>
    <s v="Puyallup River"/>
    <s v="Puyallup River"/>
    <s v="Pierce"/>
    <x v="3"/>
    <s v="Snohomish"/>
    <x v="9"/>
    <s v="North Puget Sound"/>
    <m/>
    <n v="34.503355704698002"/>
    <n v="298.454026845638"/>
  </r>
  <r>
    <n v="138"/>
    <x v="4"/>
    <s v="Freshwater"/>
    <x v="1"/>
    <x v="0"/>
    <n v="804"/>
    <s v="Puyallup River"/>
    <s v="Puyallup River"/>
    <s v="Pierce"/>
    <x v="3"/>
    <s v="Thurston"/>
    <x v="10"/>
    <s v="South Puget Sound"/>
    <m/>
    <n v="213.920805369128"/>
    <n v="1850.4149664429599"/>
  </r>
  <r>
    <n v="134"/>
    <x v="4"/>
    <s v="Freshwater"/>
    <x v="1"/>
    <x v="0"/>
    <n v="804"/>
    <s v="Puyallup River"/>
    <s v="Puyallup River"/>
    <s v="Pierce"/>
    <x v="3"/>
    <s v="Whatcom"/>
    <x v="11"/>
    <s v="North Puget Sound"/>
    <m/>
    <n v="27.602684563758402"/>
    <n v="238.76322147651001"/>
  </r>
  <r>
    <n v="828"/>
    <x v="4"/>
    <s v="Freshwater"/>
    <x v="1"/>
    <x v="0"/>
    <n v="812"/>
    <s v="Quilcene River"/>
    <s v="Quilcene River"/>
    <s v="Jefferson"/>
    <x v="4"/>
    <s v="Clallam"/>
    <x v="0"/>
    <s v="Strait of Juan de Fuca"/>
    <m/>
    <n v="331.14619883040899"/>
    <n v="2864.4146198830399"/>
  </r>
  <r>
    <n v="829"/>
    <x v="4"/>
    <s v="Freshwater"/>
    <x v="1"/>
    <x v="0"/>
    <n v="812"/>
    <s v="Quilcene River"/>
    <s v="Quilcene River"/>
    <s v="Jefferson"/>
    <x v="4"/>
    <s v="Jefferson"/>
    <x v="2"/>
    <s v="Strait of Juan de Fuca"/>
    <m/>
    <n v="79.187134502923996"/>
    <n v="684.96871345029297"/>
  </r>
  <r>
    <n v="824"/>
    <x v="4"/>
    <s v="Freshwater"/>
    <x v="1"/>
    <x v="0"/>
    <n v="812"/>
    <s v="Quilcene River"/>
    <s v="Quilcene River"/>
    <s v="Jefferson"/>
    <x v="4"/>
    <s v="King"/>
    <x v="3"/>
    <s v="South Puget Sound"/>
    <m/>
    <n v="86.385964912280699"/>
    <n v="747.23859649122801"/>
  </r>
  <r>
    <n v="827"/>
    <x v="4"/>
    <s v="Freshwater"/>
    <x v="1"/>
    <x v="0"/>
    <n v="812"/>
    <s v="Quilcene River"/>
    <s v="Quilcene River"/>
    <s v="Jefferson"/>
    <x v="4"/>
    <s v="Kitsap"/>
    <x v="4"/>
    <s v="South Puget Sound"/>
    <m/>
    <n v="424.730994152047"/>
    <n v="3673.9230994152099"/>
  </r>
  <r>
    <n v="830"/>
    <x v="4"/>
    <s v="Freshwater"/>
    <x v="1"/>
    <x v="0"/>
    <n v="812"/>
    <s v="Quilcene River"/>
    <s v="Quilcene River"/>
    <s v="Jefferson"/>
    <x v="4"/>
    <s v="Other"/>
    <x v="6"/>
    <s v="Non Puget Sound"/>
    <m/>
    <n v="100.783625730994"/>
    <n v="871.77836257309798"/>
  </r>
  <r>
    <n v="825"/>
    <x v="4"/>
    <s v="Freshwater"/>
    <x v="1"/>
    <x v="0"/>
    <n v="812"/>
    <s v="Quilcene River"/>
    <s v="Quilcene River"/>
    <s v="Jefferson"/>
    <x v="4"/>
    <s v="Pierce"/>
    <x v="7"/>
    <s v="South Puget Sound"/>
    <m/>
    <n v="107.982456140351"/>
    <n v="934.04824561403598"/>
  </r>
  <r>
    <n v="822"/>
    <x v="4"/>
    <s v="Freshwater"/>
    <x v="1"/>
    <x v="0"/>
    <n v="812"/>
    <s v="Quilcene River"/>
    <s v="Quilcene River"/>
    <s v="Jefferson"/>
    <x v="4"/>
    <s v="Skagit"/>
    <x v="8"/>
    <s v="North Puget Sound"/>
    <m/>
    <n v="14.397660818713501"/>
    <n v="124.539766081872"/>
  </r>
  <r>
    <n v="823"/>
    <x v="4"/>
    <s v="Freshwater"/>
    <x v="1"/>
    <x v="0"/>
    <n v="812"/>
    <s v="Quilcene River"/>
    <s v="Quilcene River"/>
    <s v="Jefferson"/>
    <x v="4"/>
    <s v="Snohomish"/>
    <x v="9"/>
    <s v="North Puget Sound"/>
    <m/>
    <n v="57.590643274853797"/>
    <n v="498.159064327485"/>
  </r>
  <r>
    <n v="826"/>
    <x v="4"/>
    <s v="Freshwater"/>
    <x v="1"/>
    <x v="0"/>
    <n v="812"/>
    <s v="Quilcene River"/>
    <s v="Quilcene River"/>
    <s v="Jefferson"/>
    <x v="4"/>
    <s v="Thurston"/>
    <x v="10"/>
    <s v="South Puget Sound"/>
    <m/>
    <n v="28.795321637426898"/>
    <n v="249.07953216374301"/>
  </r>
  <r>
    <n v="3194"/>
    <x v="4"/>
    <s v="Freshwater"/>
    <x v="1"/>
    <x v="0"/>
    <n v="816"/>
    <s v="Samish River"/>
    <s v="Samish River"/>
    <s v="Skagit"/>
    <x v="1"/>
    <s v="Island"/>
    <x v="1"/>
    <s v="North Puget Sound"/>
    <m/>
    <n v="472.83483483483502"/>
    <n v="4090.0213213213201"/>
  </r>
  <r>
    <n v="3294"/>
    <x v="4"/>
    <s v="Freshwater"/>
    <x v="1"/>
    <x v="0"/>
    <n v="816"/>
    <s v="Samish River"/>
    <s v="Samish River"/>
    <s v="Skagit"/>
    <x v="1"/>
    <s v="King"/>
    <x v="3"/>
    <s v="South Puget Sound"/>
    <m/>
    <n v="501.49149149149201"/>
    <n v="4337.9014014014101"/>
  </r>
  <r>
    <n v="3295"/>
    <x v="4"/>
    <s v="Freshwater"/>
    <x v="1"/>
    <x v="0"/>
    <n v="816"/>
    <s v="Samish River"/>
    <s v="Samish River"/>
    <s v="Skagit"/>
    <x v="1"/>
    <s v="Other"/>
    <x v="6"/>
    <s v="Non Puget Sound"/>
    <m/>
    <n v="343.87987987987998"/>
    <n v="2974.5609609609601"/>
  </r>
  <r>
    <n v="3192"/>
    <x v="4"/>
    <s v="Freshwater"/>
    <x v="1"/>
    <x v="0"/>
    <n v="816"/>
    <s v="Samish River"/>
    <s v="Samish River"/>
    <s v="Skagit"/>
    <x v="1"/>
    <s v="Skagit"/>
    <x v="8"/>
    <s v="North Puget Sound"/>
    <m/>
    <n v="1762.3843843843799"/>
    <n v="15244.624924924899"/>
  </r>
  <r>
    <n v="3193"/>
    <x v="4"/>
    <s v="Freshwater"/>
    <x v="1"/>
    <x v="0"/>
    <n v="816"/>
    <s v="Samish River"/>
    <s v="Samish River"/>
    <s v="Skagit"/>
    <x v="1"/>
    <s v="Snohomish"/>
    <x v="9"/>
    <s v="North Puget Sound"/>
    <m/>
    <n v="3180.8888888888901"/>
    <n v="27514.688888888901"/>
  </r>
  <r>
    <n v="3191"/>
    <x v="4"/>
    <s v="Freshwater"/>
    <x v="1"/>
    <x v="0"/>
    <n v="816"/>
    <s v="Samish River"/>
    <s v="Samish River"/>
    <s v="Skagit"/>
    <x v="1"/>
    <s v="Whatcom"/>
    <x v="11"/>
    <s v="North Puget Sound"/>
    <m/>
    <n v="895.52052052052102"/>
    <n v="7746.2525025025097"/>
  </r>
  <r>
    <n v="2164"/>
    <x v="4"/>
    <s v="Freshwater"/>
    <x v="1"/>
    <x v="0"/>
    <n v="825"/>
    <s v="Baker Lake"/>
    <s v="Baker Lake"/>
    <s v="Whatcom"/>
    <x v="1"/>
    <s v="Island"/>
    <x v="1"/>
    <s v="North Puget Sound"/>
    <m/>
    <n v="115.022222222222"/>
    <n v="994.94222222222004"/>
  </r>
  <r>
    <n v="2165"/>
    <x v="4"/>
    <s v="Freshwater"/>
    <x v="1"/>
    <x v="0"/>
    <n v="825"/>
    <s v="Baker Lake"/>
    <s v="Baker Lake"/>
    <s v="Whatcom"/>
    <x v="1"/>
    <s v="King"/>
    <x v="3"/>
    <s v="South Puget Sound"/>
    <m/>
    <n v="330.68888888888898"/>
    <n v="2860.4588888888902"/>
  </r>
  <r>
    <n v="2167"/>
    <x v="4"/>
    <s v="Freshwater"/>
    <x v="1"/>
    <x v="0"/>
    <n v="825"/>
    <s v="Baker Lake"/>
    <s v="Baker Lake"/>
    <s v="Whatcom"/>
    <x v="1"/>
    <s v="Other"/>
    <x v="6"/>
    <s v="Non Puget Sound"/>
    <m/>
    <n v="129.4"/>
    <n v="1119.31"/>
  </r>
  <r>
    <n v="2166"/>
    <x v="4"/>
    <s v="Freshwater"/>
    <x v="1"/>
    <x v="0"/>
    <n v="825"/>
    <s v="Baker Lake"/>
    <s v="Baker Lake"/>
    <s v="Whatcom"/>
    <x v="1"/>
    <s v="Pierce"/>
    <x v="7"/>
    <s v="South Puget Sound"/>
    <m/>
    <n v="35.9444444444444"/>
    <n v="310.91944444444403"/>
  </r>
  <r>
    <n v="2046"/>
    <x v="4"/>
    <s v="Freshwater"/>
    <x v="1"/>
    <x v="0"/>
    <n v="825"/>
    <s v="Baker Lake"/>
    <s v="Baker Lake"/>
    <s v="Whatcom"/>
    <x v="1"/>
    <s v="Skagit"/>
    <x v="8"/>
    <s v="North Puget Sound"/>
    <m/>
    <n v="1171.7888888888899"/>
    <n v="10135.973888888901"/>
  </r>
  <r>
    <n v="2047"/>
    <x v="4"/>
    <s v="Freshwater"/>
    <x v="1"/>
    <x v="0"/>
    <n v="825"/>
    <s v="Baker Lake"/>
    <s v="Baker Lake"/>
    <s v="Whatcom"/>
    <x v="1"/>
    <s v="Snohomish"/>
    <x v="9"/>
    <s v="North Puget Sound"/>
    <m/>
    <n v="1056.7666666666701"/>
    <n v="9141.0316666667004"/>
  </r>
  <r>
    <n v="2045"/>
    <x v="4"/>
    <s v="Freshwater"/>
    <x v="1"/>
    <x v="0"/>
    <n v="825"/>
    <s v="Baker Lake"/>
    <s v="Baker Lake"/>
    <s v="Whatcom"/>
    <x v="1"/>
    <s v="Whatcom"/>
    <x v="11"/>
    <s v="North Puget Sound"/>
    <m/>
    <n v="395.38888888888903"/>
    <n v="3420.11388888889"/>
  </r>
  <r>
    <n v="3395"/>
    <x v="4"/>
    <s v="Freshwater"/>
    <x v="1"/>
    <x v="0"/>
    <n v="826"/>
    <s v="Cascade River"/>
    <s v="Cascade River"/>
    <s v="Skagit"/>
    <x v="1"/>
    <s v="Island"/>
    <x v="1"/>
    <s v="North Puget Sound"/>
    <m/>
    <n v="35.865384615384599"/>
    <n v="310.23557692307702"/>
  </r>
  <r>
    <n v="3396"/>
    <x v="4"/>
    <s v="Freshwater"/>
    <x v="1"/>
    <x v="0"/>
    <n v="826"/>
    <s v="Cascade River"/>
    <s v="Cascade River"/>
    <s v="Skagit"/>
    <x v="1"/>
    <s v="King"/>
    <x v="3"/>
    <s v="South Puget Sound"/>
    <m/>
    <n v="57.384615384615401"/>
    <n v="496.37692307692299"/>
  </r>
  <r>
    <n v="3397"/>
    <x v="4"/>
    <s v="Freshwater"/>
    <x v="1"/>
    <x v="0"/>
    <n v="826"/>
    <s v="Cascade River"/>
    <s v="Cascade River"/>
    <s v="Skagit"/>
    <x v="1"/>
    <s v="Other"/>
    <x v="6"/>
    <s v="Non Puget Sound"/>
    <m/>
    <n v="50.211538461538503"/>
    <n v="434.32980769230801"/>
  </r>
  <r>
    <n v="3297"/>
    <x v="4"/>
    <s v="Freshwater"/>
    <x v="1"/>
    <x v="0"/>
    <n v="826"/>
    <s v="Cascade River"/>
    <s v="Cascade River"/>
    <s v="Skagit"/>
    <x v="1"/>
    <s v="Skagit"/>
    <x v="8"/>
    <s v="North Puget Sound"/>
    <m/>
    <n v="222.36538461538501"/>
    <n v="1923.46057692308"/>
  </r>
  <r>
    <n v="3394"/>
    <x v="4"/>
    <s v="Freshwater"/>
    <x v="1"/>
    <x v="0"/>
    <n v="826"/>
    <s v="Cascade River"/>
    <s v="Cascade River"/>
    <s v="Skagit"/>
    <x v="1"/>
    <s v="Snohomish"/>
    <x v="9"/>
    <s v="North Puget Sound"/>
    <m/>
    <n v="373"/>
    <n v="3226.45"/>
  </r>
  <r>
    <n v="3296"/>
    <x v="4"/>
    <s v="Freshwater"/>
    <x v="1"/>
    <x v="0"/>
    <n v="826"/>
    <s v="Cascade River"/>
    <s v="Cascade River"/>
    <s v="Skagit"/>
    <x v="1"/>
    <s v="Whatcom"/>
    <x v="11"/>
    <s v="North Puget Sound"/>
    <m/>
    <n v="7.1730769230769296"/>
    <n v="62.047115384615402"/>
  </r>
  <r>
    <n v="2461"/>
    <x v="4"/>
    <s v="Freshwater"/>
    <x v="1"/>
    <x v="0"/>
    <n v="830"/>
    <s v="Skagit River"/>
    <s v="Skagit River"/>
    <s v="Skagit/Whatcom"/>
    <x v="2"/>
    <s v="Clallam"/>
    <x v="0"/>
    <s v="Strait of Juan de Fuca"/>
    <m/>
    <n v="14.334047109207701"/>
    <n v="123.989507494647"/>
  </r>
  <r>
    <n v="2426"/>
    <x v="4"/>
    <s v="Freshwater"/>
    <x v="1"/>
    <x v="0"/>
    <n v="830"/>
    <s v="Skagit River"/>
    <s v="Skagit River"/>
    <s v="Skagit/Whatcom"/>
    <x v="2"/>
    <s v="Island"/>
    <x v="1"/>
    <s v="North Puget Sound"/>
    <m/>
    <n v="21.5010706638116"/>
    <n v="185.98426124196999"/>
  </r>
  <r>
    <n v="2428"/>
    <x v="4"/>
    <s v="Freshwater"/>
    <x v="1"/>
    <x v="0"/>
    <n v="830"/>
    <s v="Skagit River"/>
    <s v="Skagit River"/>
    <s v="Skagit/Whatcom"/>
    <x v="2"/>
    <s v="King"/>
    <x v="3"/>
    <s v="South Puget Sound"/>
    <m/>
    <n v="71.670235546038597"/>
    <n v="619.94753747323398"/>
  </r>
  <r>
    <n v="2460"/>
    <x v="4"/>
    <s v="Freshwater"/>
    <x v="1"/>
    <x v="0"/>
    <n v="830"/>
    <s v="Skagit River"/>
    <s v="Skagit River"/>
    <s v="Skagit/Whatcom"/>
    <x v="2"/>
    <s v="Kitsap"/>
    <x v="4"/>
    <s v="South Puget Sound"/>
    <m/>
    <n v="14.334047109207701"/>
    <n v="123.989507494647"/>
  </r>
  <r>
    <n v="2462"/>
    <x v="4"/>
    <s v="Freshwater"/>
    <x v="1"/>
    <x v="0"/>
    <n v="830"/>
    <s v="Skagit River"/>
    <s v="Skagit River"/>
    <s v="Skagit/Whatcom"/>
    <x v="2"/>
    <s v="Other"/>
    <x v="6"/>
    <s v="Non Puget Sound"/>
    <m/>
    <n v="93.171306209850101"/>
    <n v="805.93179871520294"/>
  </r>
  <r>
    <n v="2424"/>
    <x v="4"/>
    <s v="Freshwater"/>
    <x v="1"/>
    <x v="0"/>
    <n v="830"/>
    <s v="Skagit River"/>
    <s v="Skagit River"/>
    <s v="Skagit/Whatcom"/>
    <x v="2"/>
    <s v="Skagit"/>
    <x v="8"/>
    <s v="North Puget Sound"/>
    <m/>
    <n v="2078.43683083512"/>
    <n v="17978.478586723799"/>
  </r>
  <r>
    <n v="2425"/>
    <x v="4"/>
    <s v="Freshwater"/>
    <x v="1"/>
    <x v="0"/>
    <n v="830"/>
    <s v="Skagit River"/>
    <s v="Skagit River"/>
    <s v="Skagit/Whatcom"/>
    <x v="2"/>
    <s v="Snohomish"/>
    <x v="9"/>
    <s v="North Puget Sound"/>
    <m/>
    <n v="458.68950749464699"/>
    <n v="3967.6642398286999"/>
  </r>
  <r>
    <n v="2459"/>
    <x v="4"/>
    <s v="Freshwater"/>
    <x v="1"/>
    <x v="0"/>
    <n v="830"/>
    <s v="Skagit River"/>
    <s v="Skagit River"/>
    <s v="Skagit/Whatcom"/>
    <x v="2"/>
    <s v="Thurston"/>
    <x v="10"/>
    <s v="South Puget Sound"/>
    <m/>
    <n v="14.334047109207701"/>
    <n v="123.989507494647"/>
  </r>
  <r>
    <n v="2423"/>
    <x v="4"/>
    <s v="Freshwater"/>
    <x v="1"/>
    <x v="0"/>
    <n v="830"/>
    <s v="Skagit River"/>
    <s v="Skagit River"/>
    <s v="Skagit/Whatcom"/>
    <x v="2"/>
    <s v="Whatcom"/>
    <x v="11"/>
    <s v="North Puget Sound"/>
    <m/>
    <n v="580.52890792291203"/>
    <n v="5021.5750535331899"/>
  </r>
  <r>
    <n v="1230"/>
    <x v="4"/>
    <s v="Freshwater"/>
    <x v="1"/>
    <x v="0"/>
    <n v="834"/>
    <s v="Skokomish River"/>
    <s v="Skokomish River"/>
    <s v="Mason"/>
    <x v="4"/>
    <s v="Jefferson"/>
    <x v="2"/>
    <s v="Strait of Juan de Fuca"/>
    <m/>
    <n v="6.8271604938271597"/>
    <n v="59.054938271604897"/>
  </r>
  <r>
    <n v="1225"/>
    <x v="4"/>
    <s v="Freshwater"/>
    <x v="1"/>
    <x v="0"/>
    <n v="834"/>
    <s v="Skokomish River"/>
    <s v="Skokomish River"/>
    <s v="Mason"/>
    <x v="4"/>
    <s v="King"/>
    <x v="3"/>
    <s v="South Puget Sound"/>
    <m/>
    <n v="935.32098765432102"/>
    <n v="8090.5265432098804"/>
  </r>
  <r>
    <n v="1229"/>
    <x v="4"/>
    <s v="Freshwater"/>
    <x v="1"/>
    <x v="0"/>
    <n v="834"/>
    <s v="Skokomish River"/>
    <s v="Skokomish River"/>
    <s v="Mason"/>
    <x v="4"/>
    <s v="Kitsap"/>
    <x v="4"/>
    <s v="South Puget Sound"/>
    <m/>
    <n v="286.74074074074099"/>
    <n v="2480.3074074074102"/>
  </r>
  <r>
    <n v="1228"/>
    <x v="4"/>
    <s v="Freshwater"/>
    <x v="1"/>
    <x v="0"/>
    <n v="834"/>
    <s v="Skokomish River"/>
    <s v="Skokomish River"/>
    <s v="Mason"/>
    <x v="4"/>
    <s v="Mason"/>
    <x v="5"/>
    <s v="South Puget Sound"/>
    <m/>
    <n v="382.32098765432102"/>
    <n v="3307.0765432098801"/>
  </r>
  <r>
    <n v="1231"/>
    <x v="4"/>
    <s v="Freshwater"/>
    <x v="1"/>
    <x v="0"/>
    <n v="834"/>
    <s v="Skokomish River"/>
    <s v="Skokomish River"/>
    <s v="Mason"/>
    <x v="4"/>
    <s v="Other"/>
    <x v="6"/>
    <s v="Non Puget Sound"/>
    <m/>
    <n v="273.086419753087"/>
    <n v="2362.1975308642"/>
  </r>
  <r>
    <n v="1226"/>
    <x v="4"/>
    <s v="Freshwater"/>
    <x v="1"/>
    <x v="0"/>
    <n v="834"/>
    <s v="Skokomish River"/>
    <s v="Skokomish River"/>
    <s v="Mason"/>
    <x v="4"/>
    <s v="Pierce"/>
    <x v="7"/>
    <s v="South Puget Sound"/>
    <m/>
    <n v="1310.81481481482"/>
    <n v="11338.5481481482"/>
  </r>
  <r>
    <n v="1224"/>
    <x v="4"/>
    <s v="Freshwater"/>
    <x v="1"/>
    <x v="0"/>
    <n v="834"/>
    <s v="Skokomish River"/>
    <s v="Skokomish River"/>
    <s v="Mason"/>
    <x v="4"/>
    <s v="Snohomish"/>
    <x v="9"/>
    <s v="North Puget Sound"/>
    <m/>
    <n v="68.271604938271594"/>
    <n v="590.54938271604897"/>
  </r>
  <r>
    <n v="1227"/>
    <x v="4"/>
    <s v="Freshwater"/>
    <x v="1"/>
    <x v="0"/>
    <n v="834"/>
    <s v="Skokomish River"/>
    <s v="Skokomish River"/>
    <s v="Mason"/>
    <x v="4"/>
    <s v="Thurston"/>
    <x v="10"/>
    <s v="South Puget Sound"/>
    <m/>
    <n v="580.308641975309"/>
    <n v="5019.6697530864203"/>
  </r>
  <r>
    <n v="1223"/>
    <x v="4"/>
    <s v="Freshwater"/>
    <x v="1"/>
    <x v="0"/>
    <n v="834"/>
    <s v="Skokomish River"/>
    <s v="Skokomish River"/>
    <s v="Mason"/>
    <x v="4"/>
    <s v="Whatcom"/>
    <x v="11"/>
    <s v="North Puget Sound"/>
    <m/>
    <n v="27.3086419753086"/>
    <n v="236.21975308641899"/>
  </r>
  <r>
    <n v="1604"/>
    <x v="4"/>
    <s v="Freshwater"/>
    <x v="1"/>
    <x v="0"/>
    <n v="844"/>
    <s v="Skykomish River"/>
    <s v="Skykomish River"/>
    <s v="Snohomish"/>
    <x v="2"/>
    <s v="Clallam"/>
    <x v="0"/>
    <s v="Strait of Juan de Fuca"/>
    <m/>
    <n v="14.1415094339623"/>
    <n v="122.324056603774"/>
  </r>
  <r>
    <n v="1596"/>
    <x v="4"/>
    <s v="Freshwater"/>
    <x v="1"/>
    <x v="0"/>
    <n v="844"/>
    <s v="Skykomish River"/>
    <s v="Skykomish River"/>
    <s v="Snohomish"/>
    <x v="2"/>
    <s v="Island"/>
    <x v="1"/>
    <s v="North Puget Sound"/>
    <m/>
    <n v="7.0707547169811296"/>
    <n v="61.162028301886799"/>
  </r>
  <r>
    <n v="1597"/>
    <x v="4"/>
    <s v="Freshwater"/>
    <x v="1"/>
    <x v="0"/>
    <n v="844"/>
    <s v="Skykomish River"/>
    <s v="Skykomish River"/>
    <s v="Snohomish"/>
    <x v="2"/>
    <s v="King"/>
    <x v="3"/>
    <s v="South Puget Sound"/>
    <m/>
    <n v="466.669811320755"/>
    <n v="4036.69386792453"/>
  </r>
  <r>
    <n v="1605"/>
    <x v="4"/>
    <s v="Freshwater"/>
    <x v="1"/>
    <x v="0"/>
    <n v="844"/>
    <s v="Skykomish River"/>
    <s v="Skykomish River"/>
    <s v="Snohomish"/>
    <x v="2"/>
    <s v="Other"/>
    <x v="6"/>
    <s v="Non Puget Sound"/>
    <m/>
    <n v="77.778301886792505"/>
    <n v="672.78231132075496"/>
  </r>
  <r>
    <n v="1602"/>
    <x v="4"/>
    <s v="Freshwater"/>
    <x v="1"/>
    <x v="0"/>
    <n v="844"/>
    <s v="Skykomish River"/>
    <s v="Skykomish River"/>
    <s v="Snohomish"/>
    <x v="2"/>
    <s v="Pierce"/>
    <x v="7"/>
    <s v="South Puget Sound"/>
    <m/>
    <n v="14.1415094339623"/>
    <n v="122.324056603774"/>
  </r>
  <r>
    <n v="1594"/>
    <x v="4"/>
    <s v="Freshwater"/>
    <x v="1"/>
    <x v="0"/>
    <n v="844"/>
    <s v="Skykomish River"/>
    <s v="Skykomish River"/>
    <s v="Snohomish"/>
    <x v="2"/>
    <s v="Skagit"/>
    <x v="8"/>
    <s v="North Puget Sound"/>
    <m/>
    <n v="35.353773584905703"/>
    <n v="305.810141509434"/>
  </r>
  <r>
    <n v="1595"/>
    <x v="4"/>
    <s v="Freshwater"/>
    <x v="1"/>
    <x v="0"/>
    <n v="844"/>
    <s v="Skykomish River"/>
    <s v="Skykomish River"/>
    <s v="Snohomish"/>
    <x v="2"/>
    <s v="Snohomish"/>
    <x v="9"/>
    <s v="North Puget Sound"/>
    <m/>
    <n v="820.20754716981105"/>
    <n v="7094.7952830188697"/>
  </r>
  <r>
    <n v="1603"/>
    <x v="4"/>
    <s v="Freshwater"/>
    <x v="1"/>
    <x v="0"/>
    <n v="844"/>
    <s v="Skykomish River"/>
    <s v="Skykomish River"/>
    <s v="Snohomish"/>
    <x v="2"/>
    <s v="Thurston"/>
    <x v="10"/>
    <s v="South Puget Sound"/>
    <m/>
    <n v="49.495283018867902"/>
    <n v="428.13419811320699"/>
  </r>
  <r>
    <n v="1593"/>
    <x v="4"/>
    <s v="Freshwater"/>
    <x v="1"/>
    <x v="0"/>
    <n v="844"/>
    <s v="Skykomish River"/>
    <s v="Skykomish River"/>
    <s v="Snohomish"/>
    <x v="2"/>
    <s v="Whatcom"/>
    <x v="11"/>
    <s v="North Puget Sound"/>
    <m/>
    <n v="14.1415094339623"/>
    <n v="122.324056603774"/>
  </r>
  <r>
    <n v="1749"/>
    <x v="4"/>
    <s v="Freshwater"/>
    <x v="1"/>
    <x v="0"/>
    <n v="850"/>
    <s v="Snohomish River"/>
    <s v="Snohomish River"/>
    <s v="Snohomish"/>
    <x v="2"/>
    <s v="Island"/>
    <x v="1"/>
    <s v="North Puget Sound"/>
    <m/>
    <n v="7.13333333333334"/>
    <n v="61.703333333333397"/>
  </r>
  <r>
    <n v="1750"/>
    <x v="4"/>
    <s v="Freshwater"/>
    <x v="1"/>
    <x v="0"/>
    <n v="850"/>
    <s v="Snohomish River"/>
    <s v="Snohomish River"/>
    <s v="Snohomish"/>
    <x v="2"/>
    <s v="King"/>
    <x v="3"/>
    <s v="South Puget Sound"/>
    <m/>
    <n v="349.53333333333302"/>
    <n v="3023.46333333333"/>
  </r>
  <r>
    <n v="1753"/>
    <x v="4"/>
    <s v="Freshwater"/>
    <x v="1"/>
    <x v="0"/>
    <n v="850"/>
    <s v="Snohomish River"/>
    <s v="Snohomish River"/>
    <s v="Snohomish"/>
    <x v="2"/>
    <s v="Kitsap"/>
    <x v="4"/>
    <s v="South Puget Sound"/>
    <m/>
    <n v="7.13333333333334"/>
    <n v="61.703333333333397"/>
  </r>
  <r>
    <n v="1754"/>
    <x v="4"/>
    <s v="Freshwater"/>
    <x v="1"/>
    <x v="0"/>
    <n v="850"/>
    <s v="Snohomish River"/>
    <s v="Snohomish River"/>
    <s v="Snohomish"/>
    <x v="2"/>
    <s v="Other"/>
    <x v="6"/>
    <s v="Non Puget Sound"/>
    <m/>
    <n v="64.2"/>
    <n v="555.33000000000004"/>
  </r>
  <r>
    <n v="1751"/>
    <x v="4"/>
    <s v="Freshwater"/>
    <x v="1"/>
    <x v="0"/>
    <n v="850"/>
    <s v="Snohomish River"/>
    <s v="Snohomish River"/>
    <s v="Snohomish"/>
    <x v="2"/>
    <s v="Pierce"/>
    <x v="7"/>
    <s v="South Puget Sound"/>
    <m/>
    <n v="7.13333333333334"/>
    <n v="61.703333333333397"/>
  </r>
  <r>
    <n v="1606"/>
    <x v="4"/>
    <s v="Freshwater"/>
    <x v="1"/>
    <x v="0"/>
    <n v="850"/>
    <s v="Snohomish River"/>
    <s v="Snohomish River"/>
    <s v="Snohomish"/>
    <x v="2"/>
    <s v="Skagit"/>
    <x v="8"/>
    <s v="North Puget Sound"/>
    <m/>
    <n v="21.4"/>
    <n v="185.11"/>
  </r>
  <r>
    <n v="1748"/>
    <x v="4"/>
    <s v="Freshwater"/>
    <x v="1"/>
    <x v="0"/>
    <n v="850"/>
    <s v="Snohomish River"/>
    <s v="Snohomish River"/>
    <s v="Snohomish"/>
    <x v="2"/>
    <s v="Snohomish"/>
    <x v="9"/>
    <s v="North Puget Sound"/>
    <m/>
    <n v="820.33333333333303"/>
    <n v="7095.8833333333296"/>
  </r>
  <r>
    <n v="1752"/>
    <x v="4"/>
    <s v="Freshwater"/>
    <x v="1"/>
    <x v="0"/>
    <n v="850"/>
    <s v="Snohomish River"/>
    <s v="Snohomish River"/>
    <s v="Snohomish"/>
    <x v="2"/>
    <s v="Thurston"/>
    <x v="10"/>
    <s v="South Puget Sound"/>
    <m/>
    <n v="7.13333333333334"/>
    <n v="61.703333333333397"/>
  </r>
  <r>
    <n v="38"/>
    <x v="4"/>
    <s v="Freshwater"/>
    <x v="1"/>
    <x v="0"/>
    <n v="852"/>
    <s v="Snoqualmie River"/>
    <s v="Snoqualmie River"/>
    <s v="Snohomish/King"/>
    <x v="2"/>
    <s v="King"/>
    <x v="3"/>
    <s v="South Puget Sound"/>
    <m/>
    <n v="63.75"/>
    <n v="551.4375"/>
  </r>
  <r>
    <n v="39"/>
    <x v="4"/>
    <s v="Freshwater"/>
    <x v="1"/>
    <x v="0"/>
    <n v="852"/>
    <s v="Snoqualmie River"/>
    <s v="Snoqualmie River"/>
    <s v="Snohomish/King"/>
    <x v="2"/>
    <s v="Other"/>
    <x v="6"/>
    <s v="Non Puget Sound"/>
    <m/>
    <n v="7.0833333333333401"/>
    <n v="61.2708333333334"/>
  </r>
  <r>
    <n v="1185"/>
    <x v="4"/>
    <s v="Freshwater"/>
    <x v="1"/>
    <x v="0"/>
    <n v="852"/>
    <s v="Snoqualmie River"/>
    <s v="Snoqualmie River"/>
    <s v="Snohomish/King"/>
    <x v="2"/>
    <s v="Snohomish"/>
    <x v="9"/>
    <s v="North Puget Sound"/>
    <m/>
    <n v="14.1666666666667"/>
    <n v="122.541666666667"/>
  </r>
  <r>
    <n v="1761"/>
    <x v="4"/>
    <s v="Freshwater"/>
    <x v="1"/>
    <x v="0"/>
    <n v="872"/>
    <s v="Stillaguamish River"/>
    <s v="Stillaguamish River"/>
    <s v="Snohomish"/>
    <x v="2"/>
    <s v="Island"/>
    <x v="1"/>
    <s v="North Puget Sound"/>
    <m/>
    <n v="6.90625"/>
    <n v="59.739062500000003"/>
  </r>
  <r>
    <n v="1762"/>
    <x v="4"/>
    <s v="Freshwater"/>
    <x v="1"/>
    <x v="0"/>
    <n v="872"/>
    <s v="Stillaguamish River"/>
    <s v="Stillaguamish River"/>
    <s v="Snohomish"/>
    <x v="2"/>
    <s v="King"/>
    <x v="3"/>
    <s v="South Puget Sound"/>
    <m/>
    <n v="13.8125"/>
    <n v="119.47812500000001"/>
  </r>
  <r>
    <n v="1755"/>
    <x v="4"/>
    <s v="Freshwater"/>
    <x v="1"/>
    <x v="0"/>
    <n v="872"/>
    <s v="Stillaguamish River"/>
    <s v="Stillaguamish River"/>
    <s v="Snohomish"/>
    <x v="2"/>
    <s v="Skagit"/>
    <x v="8"/>
    <s v="North Puget Sound"/>
    <m/>
    <n v="20.71875"/>
    <n v="179.21718749999999"/>
  </r>
  <r>
    <n v="1756"/>
    <x v="4"/>
    <s v="Freshwater"/>
    <x v="1"/>
    <x v="0"/>
    <n v="872"/>
    <s v="Stillaguamish River"/>
    <s v="Stillaguamish River"/>
    <s v="Snohomish"/>
    <x v="2"/>
    <s v="Snohomish"/>
    <x v="9"/>
    <s v="North Puget Sound"/>
    <m/>
    <n v="165.75"/>
    <n v="1433.7375"/>
  </r>
  <r>
    <n v="1763"/>
    <x v="4"/>
    <s v="Freshwater"/>
    <x v="1"/>
    <x v="0"/>
    <n v="872"/>
    <s v="Stillaguamish River"/>
    <s v="Stillaguamish River"/>
    <s v="Snohomish"/>
    <x v="2"/>
    <s v="Thurston"/>
    <x v="10"/>
    <s v="South Puget Sound"/>
    <m/>
    <n v="13.8125"/>
    <n v="119.47812500000001"/>
  </r>
  <r>
    <n v="758"/>
    <x v="4"/>
    <s v="Freshwater"/>
    <x v="1"/>
    <x v="0"/>
    <n v="878"/>
    <s v="Tahuya River"/>
    <s v="Tahuya River"/>
    <s v="Mason"/>
    <x v="3"/>
    <s v="King"/>
    <x v="3"/>
    <s v="South Puget Sound"/>
    <m/>
    <n v="9.1333333333333293"/>
    <n v="79.003333333333302"/>
  </r>
  <r>
    <n v="761"/>
    <x v="4"/>
    <s v="Freshwater"/>
    <x v="1"/>
    <x v="0"/>
    <n v="878"/>
    <s v="Tahuya River"/>
    <s v="Tahuya River"/>
    <s v="Mason"/>
    <x v="3"/>
    <s v="Kitsap"/>
    <x v="4"/>
    <s v="South Puget Sound"/>
    <m/>
    <n v="100.466666666667"/>
    <n v="869.03666666667004"/>
  </r>
  <r>
    <n v="760"/>
    <x v="4"/>
    <s v="Freshwater"/>
    <x v="1"/>
    <x v="0"/>
    <n v="878"/>
    <s v="Tahuya River"/>
    <s v="Tahuya River"/>
    <s v="Mason"/>
    <x v="3"/>
    <s v="Mason"/>
    <x v="5"/>
    <s v="South Puget Sound"/>
    <m/>
    <n v="18.266666666666701"/>
    <n v="158.006666666667"/>
  </r>
  <r>
    <n v="759"/>
    <x v="4"/>
    <s v="Freshwater"/>
    <x v="1"/>
    <x v="0"/>
    <n v="878"/>
    <s v="Tahuya River"/>
    <s v="Tahuya River"/>
    <s v="Mason"/>
    <x v="3"/>
    <s v="Thurston"/>
    <x v="10"/>
    <s v="South Puget Sound"/>
    <m/>
    <n v="9.1333333333333293"/>
    <n v="79.003333333333302"/>
  </r>
  <r>
    <n v="2171"/>
    <x v="4"/>
    <s v="Freshwater"/>
    <x v="1"/>
    <x v="0"/>
    <n v="884"/>
    <s v="Whatcom Creek"/>
    <s v="Whatcom Creek"/>
    <s v="Whatcom"/>
    <x v="1"/>
    <s v="King"/>
    <x v="3"/>
    <s v="South Puget Sound"/>
    <m/>
    <n v="43.057471264367798"/>
    <n v="372.44712643678099"/>
  </r>
  <r>
    <n v="2172"/>
    <x v="4"/>
    <s v="Freshwater"/>
    <x v="1"/>
    <x v="0"/>
    <n v="884"/>
    <s v="Whatcom Creek"/>
    <s v="Whatcom Creek"/>
    <s v="Whatcom"/>
    <x v="1"/>
    <s v="Other"/>
    <x v="6"/>
    <s v="Non Puget Sound"/>
    <m/>
    <n v="107.64367816092"/>
    <n v="931.11781609195805"/>
  </r>
  <r>
    <n v="2169"/>
    <x v="4"/>
    <s v="Freshwater"/>
    <x v="1"/>
    <x v="0"/>
    <n v="884"/>
    <s v="Whatcom Creek"/>
    <s v="Whatcom Creek"/>
    <s v="Whatcom"/>
    <x v="1"/>
    <s v="Skagit"/>
    <x v="8"/>
    <s v="North Puget Sound"/>
    <m/>
    <n v="57.409961685823802"/>
    <n v="496.59616858237598"/>
  </r>
  <r>
    <n v="2170"/>
    <x v="4"/>
    <s v="Freshwater"/>
    <x v="1"/>
    <x v="0"/>
    <n v="884"/>
    <s v="Whatcom Creek"/>
    <s v="Whatcom Creek"/>
    <s v="Whatcom"/>
    <x v="1"/>
    <s v="Snohomish"/>
    <x v="9"/>
    <s v="North Puget Sound"/>
    <m/>
    <n v="193.758620689655"/>
    <n v="1676.01206896552"/>
  </r>
  <r>
    <n v="2168"/>
    <x v="4"/>
    <s v="Freshwater"/>
    <x v="1"/>
    <x v="0"/>
    <n v="884"/>
    <s v="Whatcom Creek"/>
    <s v="Whatcom Creek"/>
    <s v="Whatcom"/>
    <x v="1"/>
    <s v="Whatcom"/>
    <x v="11"/>
    <s v="North Puget Sound"/>
    <m/>
    <n v="1471.1302681992299"/>
    <n v="12725.2768199233"/>
  </r>
  <r>
    <n v="272"/>
    <x v="5"/>
    <s v="Freshwater"/>
    <x v="1"/>
    <x v="0"/>
    <n v="706"/>
    <s v="Black River (Thurston Co)"/>
    <s v="Black River (Thurston Co)"/>
    <s v="Thurston"/>
    <x v="3"/>
    <s v="Other"/>
    <x v="6"/>
    <s v="Non Puget Sound"/>
    <m/>
    <n v="9"/>
    <n v="30.96"/>
  </r>
  <r>
    <n v="2173"/>
    <x v="5"/>
    <s v="Freshwater"/>
    <x v="1"/>
    <x v="0"/>
    <n v="724"/>
    <s v="Dakota Creek (Whatcom Co)"/>
    <s v="Dakota Creek (Whatcom Co)"/>
    <s v="Whatcom"/>
    <x v="1"/>
    <s v="Whatcom"/>
    <x v="11"/>
    <s v="North Puget Sound"/>
    <m/>
    <n v="70"/>
    <n v="240.8"/>
  </r>
  <r>
    <n v="763"/>
    <x v="5"/>
    <s v="Freshwater"/>
    <x v="1"/>
    <x v="0"/>
    <n v="732"/>
    <s v="Dewatto River"/>
    <s v="Dewatto River"/>
    <s v="Mason"/>
    <x v="3"/>
    <s v="Kitsap"/>
    <x v="4"/>
    <s v="South Puget Sound"/>
    <m/>
    <n v="150.166666666667"/>
    <n v="516.57333333333497"/>
  </r>
  <r>
    <n v="762"/>
    <x v="5"/>
    <s v="Freshwater"/>
    <x v="1"/>
    <x v="0"/>
    <n v="732"/>
    <s v="Dewatto River"/>
    <s v="Dewatto River"/>
    <s v="Mason"/>
    <x v="3"/>
    <s v="Thurston"/>
    <x v="10"/>
    <s v="South Puget Sound"/>
    <m/>
    <n v="8.8333333333333304"/>
    <n v="30.386666666666699"/>
  </r>
  <r>
    <n v="831"/>
    <x v="5"/>
    <s v="Freshwater"/>
    <x v="1"/>
    <x v="0"/>
    <n v="734"/>
    <s v="Dosewallips River"/>
    <s v="Dosewallips River"/>
    <s v="Jefferson"/>
    <x v="4"/>
    <s v="Thurston"/>
    <x v="10"/>
    <s v="South Puget Sound"/>
    <m/>
    <n v="18"/>
    <n v="61.92"/>
  </r>
  <r>
    <n v="2064"/>
    <x v="5"/>
    <s v="Freshwater"/>
    <x v="1"/>
    <x v="0"/>
    <n v="738"/>
    <s v="Dungeness River"/>
    <s v="Dungeness River"/>
    <s v="Clallam"/>
    <x v="0"/>
    <s v="Clallam"/>
    <x v="0"/>
    <s v="Strait of Juan de Fuca"/>
    <m/>
    <n v="321.28205128205099"/>
    <n v="1105.2102564102599"/>
  </r>
  <r>
    <n v="2063"/>
    <x v="5"/>
    <s v="Freshwater"/>
    <x v="1"/>
    <x v="0"/>
    <n v="738"/>
    <s v="Dungeness River"/>
    <s v="Dungeness River"/>
    <s v="Clallam"/>
    <x v="0"/>
    <s v="Kitsap"/>
    <x v="4"/>
    <s v="South Puget Sound"/>
    <m/>
    <n v="27.538461538461501"/>
    <n v="94.7323076923076"/>
  </r>
  <r>
    <n v="2062"/>
    <x v="5"/>
    <s v="Freshwater"/>
    <x v="1"/>
    <x v="0"/>
    <n v="738"/>
    <s v="Dungeness River"/>
    <s v="Dungeness River"/>
    <s v="Clallam"/>
    <x v="0"/>
    <s v="Pierce"/>
    <x v="7"/>
    <s v="South Puget Sound"/>
    <m/>
    <n v="9.1794871794871806"/>
    <n v="31.577435897435901"/>
  </r>
  <r>
    <n v="3451"/>
    <x v="5"/>
    <s v="Freshwater"/>
    <x v="1"/>
    <x v="0"/>
    <n v="746"/>
    <s v="Green - Duwamish River"/>
    <s v="Green - Duwamish River"/>
    <s v="King"/>
    <x v="3"/>
    <s v="King"/>
    <x v="3"/>
    <s v="South Puget Sound"/>
    <m/>
    <n v="19444.641148325401"/>
    <n v="66889.565550239393"/>
  </r>
  <r>
    <n v="3454"/>
    <x v="5"/>
    <s v="Freshwater"/>
    <x v="1"/>
    <x v="0"/>
    <n v="746"/>
    <s v="Green - Duwamish River"/>
    <s v="Green - Duwamish River"/>
    <s v="King"/>
    <x v="3"/>
    <s v="Kitsap"/>
    <x v="4"/>
    <s v="South Puget Sound"/>
    <m/>
    <n v="151.562998405104"/>
    <n v="521.376714513558"/>
  </r>
  <r>
    <n v="3494"/>
    <x v="5"/>
    <s v="Freshwater"/>
    <x v="1"/>
    <x v="0"/>
    <n v="746"/>
    <s v="Green - Duwamish River"/>
    <s v="Green - Duwamish River"/>
    <s v="King"/>
    <x v="3"/>
    <s v="Other"/>
    <x v="6"/>
    <s v="Non Puget Sound"/>
    <m/>
    <n v="882.63157894736901"/>
    <n v="3036.2526315789501"/>
  </r>
  <r>
    <n v="3452"/>
    <x v="5"/>
    <s v="Freshwater"/>
    <x v="1"/>
    <x v="0"/>
    <n v="746"/>
    <s v="Green - Duwamish River"/>
    <s v="Green - Duwamish River"/>
    <s v="King"/>
    <x v="3"/>
    <s v="Pierce"/>
    <x v="7"/>
    <s v="South Puget Sound"/>
    <m/>
    <n v="1497.7990430622001"/>
    <n v="5152.4287081339698"/>
  </r>
  <r>
    <n v="3362"/>
    <x v="5"/>
    <s v="Freshwater"/>
    <x v="1"/>
    <x v="0"/>
    <n v="746"/>
    <s v="Green - Duwamish River"/>
    <s v="Green - Duwamish River"/>
    <s v="King"/>
    <x v="3"/>
    <s v="Skagit"/>
    <x v="8"/>
    <s v="North Puget Sound"/>
    <m/>
    <n v="8.9154704944178604"/>
    <n v="30.669218500797399"/>
  </r>
  <r>
    <n v="3363"/>
    <x v="5"/>
    <s v="Freshwater"/>
    <x v="1"/>
    <x v="0"/>
    <n v="746"/>
    <s v="Green - Duwamish River"/>
    <s v="Green - Duwamish River"/>
    <s v="King"/>
    <x v="3"/>
    <s v="Snohomish"/>
    <x v="9"/>
    <s v="North Puget Sound"/>
    <m/>
    <n v="205.05582137161099"/>
    <n v="705.39202551834205"/>
  </r>
  <r>
    <n v="3453"/>
    <x v="5"/>
    <s v="Freshwater"/>
    <x v="1"/>
    <x v="0"/>
    <n v="746"/>
    <s v="Green - Duwamish River"/>
    <s v="Green - Duwamish River"/>
    <s v="King"/>
    <x v="3"/>
    <s v="Thurston"/>
    <x v="10"/>
    <s v="South Puget Sound"/>
    <m/>
    <n v="169.39393939393901"/>
    <n v="582.71515151514996"/>
  </r>
  <r>
    <n v="869"/>
    <x v="5"/>
    <s v="Freshwater"/>
    <x v="1"/>
    <x v="0"/>
    <n v="754"/>
    <s v="Kennedy Creek"/>
    <s v="Kennedy Creek"/>
    <s v="Mason/Thurston"/>
    <x v="3"/>
    <s v="Other"/>
    <x v="6"/>
    <s v="Non Puget Sound"/>
    <m/>
    <n v="45.909090909090899"/>
    <n v="157.92727272727299"/>
  </r>
  <r>
    <n v="867"/>
    <x v="5"/>
    <s v="Freshwater"/>
    <x v="1"/>
    <x v="0"/>
    <n v="754"/>
    <s v="Kennedy Creek"/>
    <s v="Kennedy Creek"/>
    <s v="Mason/Thurston"/>
    <x v="3"/>
    <s v="Pierce"/>
    <x v="7"/>
    <s v="South Puget Sound"/>
    <m/>
    <n v="91.818181818181799"/>
    <n v="315.85454545454502"/>
  </r>
  <r>
    <n v="868"/>
    <x v="5"/>
    <s v="Freshwater"/>
    <x v="1"/>
    <x v="0"/>
    <n v="754"/>
    <s v="Kennedy Creek"/>
    <s v="Kennedy Creek"/>
    <s v="Mason/Thurston"/>
    <x v="3"/>
    <s v="Thurston"/>
    <x v="10"/>
    <s v="South Puget Sound"/>
    <m/>
    <n v="64.272727272727295"/>
    <n v="221.09818181818201"/>
  </r>
  <r>
    <n v="3495"/>
    <x v="5"/>
    <s v="Freshwater"/>
    <x v="1"/>
    <x v="0"/>
    <n v="762"/>
    <s v="Lake Washington"/>
    <s v="Lake Washington"/>
    <s v="King"/>
    <x v="3"/>
    <s v="King"/>
    <x v="3"/>
    <s v="South Puget Sound"/>
    <m/>
    <n v="123.2"/>
    <n v="423.80799999999999"/>
  </r>
  <r>
    <n v="3541"/>
    <x v="5"/>
    <s v="Freshwater"/>
    <x v="1"/>
    <x v="0"/>
    <n v="762"/>
    <s v="Lake Washington"/>
    <s v="Lake Washington"/>
    <s v="King"/>
    <x v="3"/>
    <s v="Other"/>
    <x v="6"/>
    <s v="Non Puget Sound"/>
    <m/>
    <n v="8.8000000000000007"/>
    <n v="30.271999999999998"/>
  </r>
  <r>
    <n v="449"/>
    <x v="5"/>
    <s v="Freshwater"/>
    <x v="1"/>
    <x v="0"/>
    <n v="778"/>
    <s v="Minter Creek"/>
    <s v="Minter Creek"/>
    <s v="Kitsap/Pierce"/>
    <x v="3"/>
    <s v="King"/>
    <x v="3"/>
    <s v="South Puget Sound"/>
    <m/>
    <n v="2276.2358490565998"/>
    <n v="7830.2513207546999"/>
  </r>
  <r>
    <n v="453"/>
    <x v="5"/>
    <s v="Freshwater"/>
    <x v="1"/>
    <x v="0"/>
    <n v="778"/>
    <s v="Minter Creek"/>
    <s v="Minter Creek"/>
    <s v="Kitsap/Pierce"/>
    <x v="3"/>
    <s v="Kitsap"/>
    <x v="4"/>
    <s v="South Puget Sound"/>
    <m/>
    <n v="146.264150943396"/>
    <n v="503.14867924528198"/>
  </r>
  <r>
    <n v="452"/>
    <x v="5"/>
    <s v="Freshwater"/>
    <x v="1"/>
    <x v="0"/>
    <n v="778"/>
    <s v="Minter Creek"/>
    <s v="Minter Creek"/>
    <s v="Kitsap/Pierce"/>
    <x v="3"/>
    <s v="Mason"/>
    <x v="5"/>
    <s v="South Puget Sound"/>
    <m/>
    <n v="36.5660377358491"/>
    <n v="125.78716981132099"/>
  </r>
  <r>
    <n v="454"/>
    <x v="5"/>
    <s v="Freshwater"/>
    <x v="1"/>
    <x v="0"/>
    <n v="778"/>
    <s v="Minter Creek"/>
    <s v="Minter Creek"/>
    <s v="Kitsap/Pierce"/>
    <x v="3"/>
    <s v="Other"/>
    <x v="6"/>
    <s v="Non Puget Sound"/>
    <m/>
    <n v="228.53773584905699"/>
    <n v="786.16981132075603"/>
  </r>
  <r>
    <n v="450"/>
    <x v="5"/>
    <s v="Freshwater"/>
    <x v="1"/>
    <x v="0"/>
    <n v="778"/>
    <s v="Minter Creek"/>
    <s v="Minter Creek"/>
    <s v="Kitsap/Pierce"/>
    <x v="3"/>
    <s v="Pierce"/>
    <x v="7"/>
    <s v="South Puget Sound"/>
    <m/>
    <n v="2011.1320754717001"/>
    <n v="6918.2943396226501"/>
  </r>
  <r>
    <n v="448"/>
    <x v="5"/>
    <s v="Freshwater"/>
    <x v="1"/>
    <x v="0"/>
    <n v="778"/>
    <s v="Minter Creek"/>
    <s v="Minter Creek"/>
    <s v="Kitsap/Pierce"/>
    <x v="3"/>
    <s v="Snohomish"/>
    <x v="9"/>
    <s v="North Puget Sound"/>
    <m/>
    <n v="118.839622641509"/>
    <n v="408.80830188679101"/>
  </r>
  <r>
    <n v="451"/>
    <x v="5"/>
    <s v="Freshwater"/>
    <x v="1"/>
    <x v="0"/>
    <n v="778"/>
    <s v="Minter Creek"/>
    <s v="Minter Creek"/>
    <s v="Kitsap/Pierce"/>
    <x v="3"/>
    <s v="Thurston"/>
    <x v="10"/>
    <s v="South Puget Sound"/>
    <m/>
    <n v="27.424528301886799"/>
    <n v="94.340377358490599"/>
  </r>
  <r>
    <n v="475"/>
    <x v="5"/>
    <s v="Freshwater"/>
    <x v="1"/>
    <x v="0"/>
    <n v="786"/>
    <s v="Nisqually River"/>
    <s v="Nisqually River"/>
    <s v="Thurston/Pierce"/>
    <x v="3"/>
    <s v="King"/>
    <x v="3"/>
    <s v="South Puget Sound"/>
    <m/>
    <n v="817.51912123677801"/>
    <n v="2812.2657770545202"/>
  </r>
  <r>
    <n v="479"/>
    <x v="5"/>
    <s v="Freshwater"/>
    <x v="1"/>
    <x v="0"/>
    <n v="786"/>
    <s v="Nisqually River"/>
    <s v="Nisqually River"/>
    <s v="Thurston/Pierce"/>
    <x v="3"/>
    <s v="Kitsap"/>
    <x v="4"/>
    <s v="South Puget Sound"/>
    <m/>
    <n v="269.51179820992701"/>
    <n v="927.12058584214901"/>
  </r>
  <r>
    <n v="478"/>
    <x v="5"/>
    <s v="Freshwater"/>
    <x v="1"/>
    <x v="0"/>
    <n v="786"/>
    <s v="Nisqually River"/>
    <s v="Nisqually River"/>
    <s v="Thurston/Pierce"/>
    <x v="3"/>
    <s v="Mason"/>
    <x v="5"/>
    <s v="South Puget Sound"/>
    <m/>
    <n v="170.69080553295399"/>
    <n v="587.17637103336199"/>
  </r>
  <r>
    <n v="480"/>
    <x v="5"/>
    <s v="Freshwater"/>
    <x v="1"/>
    <x v="0"/>
    <n v="786"/>
    <s v="Nisqually River"/>
    <s v="Nisqually River"/>
    <s v="Thurston/Pierce"/>
    <x v="3"/>
    <s v="Other"/>
    <x v="6"/>
    <s v="Non Puget Sound"/>
    <m/>
    <n v="673.77949552481698"/>
    <n v="2317.8014646053698"/>
  </r>
  <r>
    <n v="476"/>
    <x v="5"/>
    <s v="Freshwater"/>
    <x v="1"/>
    <x v="0"/>
    <n v="786"/>
    <s v="Nisqually River"/>
    <s v="Nisqually River"/>
    <s v="Thurston/Pierce"/>
    <x v="3"/>
    <s v="Pierce"/>
    <x v="7"/>
    <s v="South Puget Sound"/>
    <m/>
    <n v="4393.0423108218101"/>
    <n v="15112.065549227"/>
  </r>
  <r>
    <n v="474"/>
    <x v="5"/>
    <s v="Freshwater"/>
    <x v="1"/>
    <x v="0"/>
    <n v="786"/>
    <s v="Nisqually River"/>
    <s v="Nisqually River"/>
    <s v="Thurston/Pierce"/>
    <x v="3"/>
    <s v="Snohomish"/>
    <x v="9"/>
    <s v="North Puget Sound"/>
    <m/>
    <n v="89.837266069975598"/>
    <n v="309.04019528071598"/>
  </r>
  <r>
    <n v="477"/>
    <x v="5"/>
    <s v="Freshwater"/>
    <x v="1"/>
    <x v="0"/>
    <n v="786"/>
    <s v="Nisqually River"/>
    <s v="Nisqually River"/>
    <s v="Thurston/Pierce"/>
    <x v="3"/>
    <s v="Thurston"/>
    <x v="10"/>
    <s v="South Puget Sound"/>
    <m/>
    <n v="4599.6680227827501"/>
    <n v="15822.8579983727"/>
  </r>
  <r>
    <n v="395"/>
    <x v="5"/>
    <s v="Freshwater"/>
    <x v="1"/>
    <x v="0"/>
    <n v="786"/>
    <s v="Nisqually River"/>
    <s v="Nisqually River"/>
    <s v="Thurston/Pierce"/>
    <x v="3"/>
    <s v="Whatcom"/>
    <x v="11"/>
    <s v="North Puget Sound"/>
    <m/>
    <n v="26.951179820992699"/>
    <n v="92.712058584214901"/>
  </r>
  <r>
    <n v="2177"/>
    <x v="5"/>
    <s v="Freshwater"/>
    <x v="1"/>
    <x v="0"/>
    <n v="788"/>
    <s v="Nooksack River"/>
    <s v="Nooksack River"/>
    <s v="Whatcom"/>
    <x v="1"/>
    <s v="Island"/>
    <x v="1"/>
    <s v="North Puget Sound"/>
    <m/>
    <n v="87.338195077484102"/>
    <n v="300.44339106654502"/>
  </r>
  <r>
    <n v="2178"/>
    <x v="5"/>
    <s v="Freshwater"/>
    <x v="1"/>
    <x v="0"/>
    <n v="788"/>
    <s v="Nooksack River"/>
    <s v="Nooksack River"/>
    <s v="Whatcom"/>
    <x v="1"/>
    <s v="King"/>
    <x v="3"/>
    <s v="South Puget Sound"/>
    <m/>
    <n v="17.4676390154968"/>
    <n v="60.088678213309002"/>
  </r>
  <r>
    <n v="2181"/>
    <x v="5"/>
    <s v="Freshwater"/>
    <x v="1"/>
    <x v="0"/>
    <n v="788"/>
    <s v="Nooksack River"/>
    <s v="Nooksack River"/>
    <s v="Whatcom"/>
    <x v="1"/>
    <s v="Other"/>
    <x v="6"/>
    <s v="Non Puget Sound"/>
    <m/>
    <n v="253.280765724704"/>
    <n v="871.28583409298199"/>
  </r>
  <r>
    <n v="2179"/>
    <x v="5"/>
    <s v="Freshwater"/>
    <x v="1"/>
    <x v="0"/>
    <n v="788"/>
    <s v="Nooksack River"/>
    <s v="Nooksack River"/>
    <s v="Whatcom"/>
    <x v="1"/>
    <s v="Pierce"/>
    <x v="7"/>
    <s v="South Puget Sound"/>
    <m/>
    <n v="34.935278030993601"/>
    <n v="120.177356426618"/>
  </r>
  <r>
    <n v="2175"/>
    <x v="5"/>
    <s v="Freshwater"/>
    <x v="1"/>
    <x v="0"/>
    <n v="788"/>
    <s v="Nooksack River"/>
    <s v="Nooksack River"/>
    <s v="Whatcom"/>
    <x v="1"/>
    <s v="Skagit"/>
    <x v="8"/>
    <s v="North Puget Sound"/>
    <m/>
    <n v="148.474931631723"/>
    <n v="510.75376481312702"/>
  </r>
  <r>
    <n v="2176"/>
    <x v="5"/>
    <s v="Freshwater"/>
    <x v="1"/>
    <x v="0"/>
    <n v="788"/>
    <s v="Nooksack River"/>
    <s v="Nooksack River"/>
    <s v="Whatcom"/>
    <x v="1"/>
    <s v="Snohomish"/>
    <x v="9"/>
    <s v="North Puget Sound"/>
    <m/>
    <n v="17.4676390154968"/>
    <n v="60.088678213309002"/>
  </r>
  <r>
    <n v="2180"/>
    <x v="5"/>
    <s v="Freshwater"/>
    <x v="1"/>
    <x v="0"/>
    <n v="788"/>
    <s v="Nooksack River"/>
    <s v="Nooksack River"/>
    <s v="Whatcom"/>
    <x v="1"/>
    <s v="Thurston"/>
    <x v="10"/>
    <s v="South Puget Sound"/>
    <m/>
    <n v="8.7338195077484109"/>
    <n v="30.044339106654501"/>
  </r>
  <r>
    <n v="2174"/>
    <x v="5"/>
    <s v="Freshwater"/>
    <x v="1"/>
    <x v="0"/>
    <n v="788"/>
    <s v="Nooksack River"/>
    <s v="Nooksack River"/>
    <s v="Whatcom"/>
    <x v="1"/>
    <s v="Whatcom"/>
    <x v="11"/>
    <s v="North Puget Sound"/>
    <m/>
    <n v="9013.3017319963601"/>
    <n v="31005.757958067501"/>
  </r>
  <r>
    <n v="143"/>
    <x v="5"/>
    <s v="Freshwater"/>
    <x v="1"/>
    <x v="0"/>
    <n v="802"/>
    <s v="Carbon River"/>
    <s v="Carbon River"/>
    <s v="Pierce"/>
    <x v="3"/>
    <s v="King"/>
    <x v="3"/>
    <s v="South Puget Sound"/>
    <m/>
    <n v="1709.9534883720901"/>
    <n v="5882.2399999999898"/>
  </r>
  <r>
    <n v="242"/>
    <x v="5"/>
    <s v="Freshwater"/>
    <x v="1"/>
    <x v="0"/>
    <n v="802"/>
    <s v="Carbon River"/>
    <s v="Carbon River"/>
    <s v="Pierce"/>
    <x v="3"/>
    <s v="Kitsap"/>
    <x v="4"/>
    <s v="South Puget Sound"/>
    <m/>
    <n v="62.342054263565899"/>
    <n v="214.45666666666699"/>
  </r>
  <r>
    <n v="241"/>
    <x v="5"/>
    <s v="Freshwater"/>
    <x v="1"/>
    <x v="0"/>
    <n v="802"/>
    <s v="Carbon River"/>
    <s v="Carbon River"/>
    <s v="Pierce"/>
    <x v="3"/>
    <s v="Mason"/>
    <x v="5"/>
    <s v="South Puget Sound"/>
    <m/>
    <n v="133.59011627907"/>
    <n v="459.55000000000098"/>
  </r>
  <r>
    <n v="243"/>
    <x v="5"/>
    <s v="Freshwater"/>
    <x v="1"/>
    <x v="0"/>
    <n v="802"/>
    <s v="Carbon River"/>
    <s v="Carbon River"/>
    <s v="Pierce"/>
    <x v="3"/>
    <s v="Other"/>
    <x v="6"/>
    <s v="Non Puget Sound"/>
    <m/>
    <n v="418.582364341085"/>
    <n v="1439.92333333333"/>
  </r>
  <r>
    <n v="239"/>
    <x v="5"/>
    <s v="Freshwater"/>
    <x v="1"/>
    <x v="0"/>
    <n v="802"/>
    <s v="Carbon River"/>
    <s v="Carbon River"/>
    <s v="Pierce"/>
    <x v="3"/>
    <s v="Pierce"/>
    <x v="7"/>
    <s v="South Puget Sound"/>
    <m/>
    <n v="6750.7538759689896"/>
    <n v="23222.593333333301"/>
  </r>
  <r>
    <n v="141"/>
    <x v="5"/>
    <s v="Freshwater"/>
    <x v="1"/>
    <x v="0"/>
    <n v="802"/>
    <s v="Carbon River"/>
    <s v="Carbon River"/>
    <s v="Pierce"/>
    <x v="3"/>
    <s v="Skagit"/>
    <x v="8"/>
    <s v="North Puget Sound"/>
    <m/>
    <n v="8.9060077519379899"/>
    <n v="30.636666666666699"/>
  </r>
  <r>
    <n v="142"/>
    <x v="5"/>
    <s v="Freshwater"/>
    <x v="1"/>
    <x v="0"/>
    <n v="802"/>
    <s v="Carbon River"/>
    <s v="Carbon River"/>
    <s v="Pierce"/>
    <x v="3"/>
    <s v="Snohomish"/>
    <x v="9"/>
    <s v="North Puget Sound"/>
    <m/>
    <n v="71.248062015503905"/>
    <n v="245.09333333333299"/>
  </r>
  <r>
    <n v="240"/>
    <x v="5"/>
    <s v="Freshwater"/>
    <x v="1"/>
    <x v="0"/>
    <n v="802"/>
    <s v="Carbon River"/>
    <s v="Carbon River"/>
    <s v="Pierce"/>
    <x v="3"/>
    <s v="Thurston"/>
    <x v="10"/>
    <s v="South Puget Sound"/>
    <m/>
    <n v="35.624031007751903"/>
    <n v="122.54666666666699"/>
  </r>
  <r>
    <n v="246"/>
    <x v="5"/>
    <s v="Freshwater"/>
    <x v="1"/>
    <x v="0"/>
    <n v="804"/>
    <s v="Puyallup River"/>
    <s v="Puyallup River"/>
    <s v="Pierce"/>
    <x v="3"/>
    <s v="King"/>
    <x v="3"/>
    <s v="South Puget Sound"/>
    <m/>
    <n v="29400.628254492101"/>
    <n v="101138.16119545299"/>
  </r>
  <r>
    <n v="250"/>
    <x v="5"/>
    <s v="Freshwater"/>
    <x v="1"/>
    <x v="0"/>
    <n v="804"/>
    <s v="Puyallup River"/>
    <s v="Puyallup River"/>
    <s v="Pierce"/>
    <x v="3"/>
    <s v="Kitsap"/>
    <x v="4"/>
    <s v="South Puget Sound"/>
    <m/>
    <n v="2155.3929226256"/>
    <n v="7414.5516538320599"/>
  </r>
  <r>
    <n v="249"/>
    <x v="5"/>
    <s v="Freshwater"/>
    <x v="1"/>
    <x v="0"/>
    <n v="804"/>
    <s v="Puyallup River"/>
    <s v="Puyallup River"/>
    <s v="Pierce"/>
    <x v="3"/>
    <s v="Mason"/>
    <x v="5"/>
    <s v="South Puget Sound"/>
    <m/>
    <n v="570.02126879354603"/>
    <n v="1960.8731646497999"/>
  </r>
  <r>
    <n v="348"/>
    <x v="5"/>
    <s v="Freshwater"/>
    <x v="1"/>
    <x v="0"/>
    <n v="804"/>
    <s v="Puyallup River"/>
    <s v="Puyallup River"/>
    <s v="Pierce"/>
    <x v="3"/>
    <s v="Other"/>
    <x v="6"/>
    <s v="Non Puget Sound"/>
    <m/>
    <n v="5343.94939493949"/>
    <n v="18383.1859185918"/>
  </r>
  <r>
    <n v="247"/>
    <x v="5"/>
    <s v="Freshwater"/>
    <x v="1"/>
    <x v="0"/>
    <n v="804"/>
    <s v="Puyallup River"/>
    <s v="Puyallup River"/>
    <s v="Pierce"/>
    <x v="3"/>
    <s v="Pierce"/>
    <x v="7"/>
    <s v="South Puget Sound"/>
    <m/>
    <n v="53911.5428126146"/>
    <n v="185455.707275394"/>
  </r>
  <r>
    <n v="244"/>
    <x v="5"/>
    <s v="Freshwater"/>
    <x v="1"/>
    <x v="0"/>
    <n v="804"/>
    <s v="Puyallup River"/>
    <s v="Puyallup River"/>
    <s v="Pierce"/>
    <x v="3"/>
    <s v="Skagit"/>
    <x v="8"/>
    <s v="North Puget Sound"/>
    <m/>
    <n v="258.29088742207603"/>
    <n v="888.52065273194103"/>
  </r>
  <r>
    <n v="245"/>
    <x v="5"/>
    <s v="Freshwater"/>
    <x v="1"/>
    <x v="0"/>
    <n v="804"/>
    <s v="Puyallup River"/>
    <s v="Puyallup River"/>
    <s v="Pierce"/>
    <x v="3"/>
    <s v="Snohomish"/>
    <x v="9"/>
    <s v="North Puget Sound"/>
    <m/>
    <n v="757.05949761642796"/>
    <n v="2604.2846718005098"/>
  </r>
  <r>
    <n v="248"/>
    <x v="5"/>
    <s v="Freshwater"/>
    <x v="1"/>
    <x v="0"/>
    <n v="804"/>
    <s v="Puyallup River"/>
    <s v="Puyallup River"/>
    <s v="Pierce"/>
    <x v="3"/>
    <s v="Thurston"/>
    <x v="10"/>
    <s v="South Puget Sound"/>
    <m/>
    <n v="4756.1149614961496"/>
    <n v="16361.035467546801"/>
  </r>
  <r>
    <n v="842"/>
    <x v="5"/>
    <s v="Freshwater"/>
    <x v="1"/>
    <x v="0"/>
    <n v="812"/>
    <s v="Quilcene River"/>
    <s v="Quilcene River"/>
    <s v="Jefferson"/>
    <x v="4"/>
    <s v="Island"/>
    <x v="1"/>
    <s v="North Puget Sound"/>
    <m/>
    <n v="9.2098765432098801"/>
    <n v="31.681975308641999"/>
  </r>
  <r>
    <n v="846"/>
    <x v="5"/>
    <s v="Freshwater"/>
    <x v="1"/>
    <x v="0"/>
    <n v="812"/>
    <s v="Quilcene River"/>
    <s v="Quilcene River"/>
    <s v="Jefferson"/>
    <x v="4"/>
    <s v="Jefferson"/>
    <x v="2"/>
    <s v="Strait of Juan de Fuca"/>
    <m/>
    <n v="119.72839506172799"/>
    <n v="411.865679012344"/>
  </r>
  <r>
    <n v="843"/>
    <x v="5"/>
    <s v="Freshwater"/>
    <x v="1"/>
    <x v="0"/>
    <n v="812"/>
    <s v="Quilcene River"/>
    <s v="Quilcene River"/>
    <s v="Jefferson"/>
    <x v="4"/>
    <s v="King"/>
    <x v="3"/>
    <s v="South Puget Sound"/>
    <m/>
    <n v="73.679012345678998"/>
    <n v="253.45580246913599"/>
  </r>
  <r>
    <n v="845"/>
    <x v="5"/>
    <s v="Freshwater"/>
    <x v="1"/>
    <x v="0"/>
    <n v="812"/>
    <s v="Quilcene River"/>
    <s v="Quilcene River"/>
    <s v="Jefferson"/>
    <x v="4"/>
    <s v="Kitsap"/>
    <x v="4"/>
    <s v="South Puget Sound"/>
    <m/>
    <n v="368.39506172839498"/>
    <n v="1267.27901234568"/>
  </r>
  <r>
    <n v="847"/>
    <x v="5"/>
    <s v="Freshwater"/>
    <x v="1"/>
    <x v="0"/>
    <n v="812"/>
    <s v="Quilcene River"/>
    <s v="Quilcene River"/>
    <s v="Jefferson"/>
    <x v="4"/>
    <s v="Other"/>
    <x v="6"/>
    <s v="Non Puget Sound"/>
    <m/>
    <n v="128.938271604938"/>
    <n v="443.54765432098702"/>
  </r>
  <r>
    <n v="844"/>
    <x v="5"/>
    <s v="Freshwater"/>
    <x v="1"/>
    <x v="0"/>
    <n v="812"/>
    <s v="Quilcene River"/>
    <s v="Quilcene River"/>
    <s v="Jefferson"/>
    <x v="4"/>
    <s v="Pierce"/>
    <x v="7"/>
    <s v="South Puget Sound"/>
    <m/>
    <n v="36.839506172839499"/>
    <n v="126.72790123456799"/>
  </r>
  <r>
    <n v="832"/>
    <x v="5"/>
    <s v="Freshwater"/>
    <x v="1"/>
    <x v="0"/>
    <n v="812"/>
    <s v="Quilcene River"/>
    <s v="Quilcene River"/>
    <s v="Jefferson"/>
    <x v="4"/>
    <s v="Skagit"/>
    <x v="8"/>
    <s v="North Puget Sound"/>
    <m/>
    <n v="9.2098765432098801"/>
    <n v="31.681975308641999"/>
  </r>
  <r>
    <n v="3510"/>
    <x v="5"/>
    <s v="Freshwater"/>
    <x v="1"/>
    <x v="0"/>
    <n v="816"/>
    <s v="Samish River"/>
    <s v="Samish River"/>
    <s v="Skagit"/>
    <x v="1"/>
    <s v="Island"/>
    <x v="1"/>
    <s v="North Puget Sound"/>
    <m/>
    <n v="157.226666666667"/>
    <n v="540.85973333333402"/>
  </r>
  <r>
    <n v="3512"/>
    <x v="5"/>
    <s v="Freshwater"/>
    <x v="1"/>
    <x v="0"/>
    <n v="816"/>
    <s v="Samish River"/>
    <s v="Samish River"/>
    <s v="Skagit"/>
    <x v="1"/>
    <s v="Jefferson"/>
    <x v="2"/>
    <s v="Strait of Juan de Fuca"/>
    <m/>
    <n v="17.469629629629601"/>
    <n v="60.095525925925799"/>
  </r>
  <r>
    <n v="3511"/>
    <x v="5"/>
    <s v="Freshwater"/>
    <x v="1"/>
    <x v="0"/>
    <n v="816"/>
    <s v="Samish River"/>
    <s v="Samish River"/>
    <s v="Skagit"/>
    <x v="1"/>
    <s v="King"/>
    <x v="3"/>
    <s v="South Puget Sound"/>
    <m/>
    <n v="663.84592592592605"/>
    <n v="2283.62998518519"/>
  </r>
  <r>
    <n v="3513"/>
    <x v="5"/>
    <s v="Freshwater"/>
    <x v="1"/>
    <x v="0"/>
    <n v="816"/>
    <s v="Samish River"/>
    <s v="Samish River"/>
    <s v="Skagit"/>
    <x v="1"/>
    <s v="Other"/>
    <x v="6"/>
    <s v="Non Puget Sound"/>
    <m/>
    <n v="323.188148148148"/>
    <n v="1111.76722962963"/>
  </r>
  <r>
    <n v="3399"/>
    <x v="5"/>
    <s v="Freshwater"/>
    <x v="1"/>
    <x v="0"/>
    <n v="816"/>
    <s v="Samish River"/>
    <s v="Samish River"/>
    <s v="Skagit"/>
    <x v="1"/>
    <s v="Skagit"/>
    <x v="8"/>
    <s v="North Puget Sound"/>
    <m/>
    <n v="1502.3881481481501"/>
    <n v="5168.2152296296399"/>
  </r>
  <r>
    <n v="3467"/>
    <x v="5"/>
    <s v="Freshwater"/>
    <x v="1"/>
    <x v="0"/>
    <n v="816"/>
    <s v="Samish River"/>
    <s v="Samish River"/>
    <s v="Skagit"/>
    <x v="1"/>
    <s v="Snohomish"/>
    <x v="9"/>
    <s v="North Puget Sound"/>
    <m/>
    <n v="2305.9911111111101"/>
    <n v="7932.60942222222"/>
  </r>
  <r>
    <n v="3398"/>
    <x v="5"/>
    <s v="Freshwater"/>
    <x v="1"/>
    <x v="0"/>
    <n v="816"/>
    <s v="Samish River"/>
    <s v="Samish River"/>
    <s v="Skagit"/>
    <x v="1"/>
    <s v="Whatcom"/>
    <x v="11"/>
    <s v="North Puget Sound"/>
    <m/>
    <n v="925.89037037036996"/>
    <n v="3185.0628740740699"/>
  </r>
  <r>
    <n v="2192"/>
    <x v="5"/>
    <s v="Freshwater"/>
    <x v="1"/>
    <x v="0"/>
    <n v="825"/>
    <s v="Baker Lake"/>
    <s v="Baker Lake"/>
    <s v="Whatcom"/>
    <x v="1"/>
    <s v="Clallam"/>
    <x v="0"/>
    <s v="Strait of Juan de Fuca"/>
    <m/>
    <n v="35.183246073298399"/>
    <n v="121.030366492146"/>
  </r>
  <r>
    <n v="2187"/>
    <x v="5"/>
    <s v="Freshwater"/>
    <x v="1"/>
    <x v="0"/>
    <n v="825"/>
    <s v="Baker Lake"/>
    <s v="Baker Lake"/>
    <s v="Whatcom"/>
    <x v="1"/>
    <s v="Island"/>
    <x v="1"/>
    <s v="North Puget Sound"/>
    <m/>
    <n v="387.01570680628299"/>
    <n v="1331.3340314136101"/>
  </r>
  <r>
    <n v="2188"/>
    <x v="5"/>
    <s v="Freshwater"/>
    <x v="1"/>
    <x v="0"/>
    <n v="825"/>
    <s v="Baker Lake"/>
    <s v="Baker Lake"/>
    <s v="Whatcom"/>
    <x v="1"/>
    <s v="King"/>
    <x v="3"/>
    <s v="South Puget Sound"/>
    <m/>
    <n v="730.05235602094206"/>
    <n v="2511.3801047120401"/>
  </r>
  <r>
    <n v="2191"/>
    <x v="5"/>
    <s v="Freshwater"/>
    <x v="1"/>
    <x v="0"/>
    <n v="825"/>
    <s v="Baker Lake"/>
    <s v="Baker Lake"/>
    <s v="Whatcom"/>
    <x v="1"/>
    <s v="Mason"/>
    <x v="5"/>
    <s v="South Puget Sound"/>
    <m/>
    <n v="8.7958115183246104"/>
    <n v="30.257591623036699"/>
  </r>
  <r>
    <n v="2292"/>
    <x v="5"/>
    <s v="Freshwater"/>
    <x v="1"/>
    <x v="0"/>
    <n v="825"/>
    <s v="Baker Lake"/>
    <s v="Baker Lake"/>
    <s v="Whatcom"/>
    <x v="1"/>
    <s v="Other"/>
    <x v="6"/>
    <s v="Non Puget Sound"/>
    <m/>
    <n v="809.21465968586404"/>
    <n v="2783.69842931937"/>
  </r>
  <r>
    <n v="2189"/>
    <x v="5"/>
    <s v="Freshwater"/>
    <x v="1"/>
    <x v="0"/>
    <n v="825"/>
    <s v="Baker Lake"/>
    <s v="Baker Lake"/>
    <s v="Whatcom"/>
    <x v="1"/>
    <s v="Pierce"/>
    <x v="7"/>
    <s v="South Puget Sound"/>
    <m/>
    <n v="316.64921465968598"/>
    <n v="1089.27329842932"/>
  </r>
  <r>
    <n v="2185"/>
    <x v="5"/>
    <s v="Freshwater"/>
    <x v="1"/>
    <x v="0"/>
    <n v="825"/>
    <s v="Baker Lake"/>
    <s v="Baker Lake"/>
    <s v="Whatcom"/>
    <x v="1"/>
    <s v="Skagit"/>
    <x v="8"/>
    <s v="North Puget Sound"/>
    <m/>
    <n v="2656.3350785340299"/>
    <n v="9137.7926701570595"/>
  </r>
  <r>
    <n v="2186"/>
    <x v="5"/>
    <s v="Freshwater"/>
    <x v="1"/>
    <x v="0"/>
    <n v="825"/>
    <s v="Baker Lake"/>
    <s v="Baker Lake"/>
    <s v="Whatcom"/>
    <x v="1"/>
    <s v="Snohomish"/>
    <x v="9"/>
    <s v="North Puget Sound"/>
    <m/>
    <n v="3439.1623036649198"/>
    <n v="11830.7183246073"/>
  </r>
  <r>
    <n v="2190"/>
    <x v="5"/>
    <s v="Freshwater"/>
    <x v="1"/>
    <x v="0"/>
    <n v="825"/>
    <s v="Baker Lake"/>
    <s v="Baker Lake"/>
    <s v="Whatcom"/>
    <x v="1"/>
    <s v="Thurston"/>
    <x v="10"/>
    <s v="South Puget Sound"/>
    <m/>
    <n v="8.7958115183246104"/>
    <n v="30.257591623036699"/>
  </r>
  <r>
    <n v="2184"/>
    <x v="5"/>
    <s v="Freshwater"/>
    <x v="1"/>
    <x v="0"/>
    <n v="825"/>
    <s v="Baker Lake"/>
    <s v="Baker Lake"/>
    <s v="Whatcom"/>
    <x v="1"/>
    <s v="Whatcom"/>
    <x v="11"/>
    <s v="North Puget Sound"/>
    <m/>
    <n v="1688.7958115183301"/>
    <n v="5809.4575916230597"/>
  </r>
  <r>
    <n v="3558"/>
    <x v="5"/>
    <s v="Freshwater"/>
    <x v="1"/>
    <x v="0"/>
    <n v="826"/>
    <s v="Cascade River"/>
    <s v="Cascade River"/>
    <s v="Skagit"/>
    <x v="1"/>
    <s v="Island"/>
    <x v="1"/>
    <s v="North Puget Sound"/>
    <m/>
    <n v="96.847826086956601"/>
    <n v="333.15652173913099"/>
  </r>
  <r>
    <n v="3613"/>
    <x v="5"/>
    <s v="Freshwater"/>
    <x v="1"/>
    <x v="0"/>
    <n v="826"/>
    <s v="Cascade River"/>
    <s v="Cascade River"/>
    <s v="Skagit"/>
    <x v="1"/>
    <s v="King"/>
    <x v="3"/>
    <s v="South Puget Sound"/>
    <m/>
    <n v="26.413043478260899"/>
    <n v="90.860869565217499"/>
  </r>
  <r>
    <n v="3556"/>
    <x v="5"/>
    <s v="Freshwater"/>
    <x v="1"/>
    <x v="0"/>
    <n v="826"/>
    <s v="Cascade River"/>
    <s v="Cascade River"/>
    <s v="Skagit"/>
    <x v="1"/>
    <s v="Skagit"/>
    <x v="8"/>
    <s v="North Puget Sound"/>
    <m/>
    <n v="123.26086956521701"/>
    <n v="424.01739130434697"/>
  </r>
  <r>
    <n v="3557"/>
    <x v="5"/>
    <s v="Freshwater"/>
    <x v="1"/>
    <x v="0"/>
    <n v="826"/>
    <s v="Cascade River"/>
    <s v="Cascade River"/>
    <s v="Skagit"/>
    <x v="1"/>
    <s v="Snohomish"/>
    <x v="9"/>
    <s v="North Puget Sound"/>
    <m/>
    <n v="158.47826086956499"/>
    <n v="545.16521739130405"/>
  </r>
  <r>
    <n v="2501"/>
    <x v="5"/>
    <s v="Freshwater"/>
    <x v="1"/>
    <x v="0"/>
    <n v="830"/>
    <s v="Skagit River"/>
    <s v="Skagit River"/>
    <s v="Skagit/Whatcom"/>
    <x v="2"/>
    <s v="Clallam"/>
    <x v="0"/>
    <s v="Strait of Juan de Fuca"/>
    <m/>
    <n v="43.974358974358999"/>
    <n v="151.27179487179501"/>
  </r>
  <r>
    <n v="2494"/>
    <x v="5"/>
    <s v="Freshwater"/>
    <x v="1"/>
    <x v="0"/>
    <n v="830"/>
    <s v="Skagit River"/>
    <s v="Skagit River"/>
    <s v="Skagit/Whatcom"/>
    <x v="2"/>
    <s v="Island"/>
    <x v="1"/>
    <s v="North Puget Sound"/>
    <m/>
    <n v="536.48717948718001"/>
    <n v="1845.5158974358999"/>
  </r>
  <r>
    <n v="2496"/>
    <x v="5"/>
    <s v="Freshwater"/>
    <x v="1"/>
    <x v="0"/>
    <n v="830"/>
    <s v="Skagit River"/>
    <s v="Skagit River"/>
    <s v="Skagit/Whatcom"/>
    <x v="2"/>
    <s v="King"/>
    <x v="3"/>
    <s v="South Puget Sound"/>
    <m/>
    <n v="712.38461538461502"/>
    <n v="2450.6030769230802"/>
  </r>
  <r>
    <n v="2500"/>
    <x v="5"/>
    <s v="Freshwater"/>
    <x v="1"/>
    <x v="0"/>
    <n v="830"/>
    <s v="Skagit River"/>
    <s v="Skagit River"/>
    <s v="Skagit/Whatcom"/>
    <x v="2"/>
    <s v="Kitsap"/>
    <x v="4"/>
    <s v="South Puget Sound"/>
    <m/>
    <n v="87.948717948717999"/>
    <n v="302.54358974359002"/>
  </r>
  <r>
    <n v="2499"/>
    <x v="5"/>
    <s v="Freshwater"/>
    <x v="1"/>
    <x v="0"/>
    <n v="830"/>
    <s v="Skagit River"/>
    <s v="Skagit River"/>
    <s v="Skagit/Whatcom"/>
    <x v="2"/>
    <s v="Mason"/>
    <x v="5"/>
    <s v="South Puget Sound"/>
    <m/>
    <n v="114.333333333333"/>
    <n v="393.30666666666599"/>
  </r>
  <r>
    <n v="2502"/>
    <x v="5"/>
    <s v="Freshwater"/>
    <x v="1"/>
    <x v="0"/>
    <n v="830"/>
    <s v="Skagit River"/>
    <s v="Skagit River"/>
    <s v="Skagit/Whatcom"/>
    <x v="2"/>
    <s v="Other"/>
    <x v="6"/>
    <s v="Non Puget Sound"/>
    <m/>
    <n v="3078.2051282051302"/>
    <n v="10589.025641025601"/>
  </r>
  <r>
    <n v="2497"/>
    <x v="5"/>
    <s v="Freshwater"/>
    <x v="1"/>
    <x v="0"/>
    <n v="830"/>
    <s v="Skagit River"/>
    <s v="Skagit River"/>
    <s v="Skagit/Whatcom"/>
    <x v="2"/>
    <s v="Pierce"/>
    <x v="7"/>
    <s v="South Puget Sound"/>
    <m/>
    <n v="140.71794871794901"/>
    <n v="484.06974358974497"/>
  </r>
  <r>
    <n v="2495"/>
    <x v="5"/>
    <s v="Freshwater"/>
    <x v="1"/>
    <x v="0"/>
    <n v="830"/>
    <s v="Skagit River"/>
    <s v="Skagit River"/>
    <s v="Skagit/Whatcom"/>
    <x v="2"/>
    <s v="San Juan"/>
    <x v="12"/>
    <s v="North Puget Sound"/>
    <m/>
    <n v="35.179487179487197"/>
    <n v="121.017435897436"/>
  </r>
  <r>
    <n v="2464"/>
    <x v="5"/>
    <s v="Freshwater"/>
    <x v="1"/>
    <x v="0"/>
    <n v="830"/>
    <s v="Skagit River"/>
    <s v="Skagit River"/>
    <s v="Skagit/Whatcom"/>
    <x v="2"/>
    <s v="Skagit"/>
    <x v="8"/>
    <s v="North Puget Sound"/>
    <m/>
    <n v="18750.666666666701"/>
    <n v="64502.293333333502"/>
  </r>
  <r>
    <n v="2493"/>
    <x v="5"/>
    <s v="Freshwater"/>
    <x v="1"/>
    <x v="0"/>
    <n v="830"/>
    <s v="Skagit River"/>
    <s v="Skagit River"/>
    <s v="Skagit/Whatcom"/>
    <x v="2"/>
    <s v="Snohomish"/>
    <x v="9"/>
    <s v="North Puget Sound"/>
    <m/>
    <n v="3992.8717948717999"/>
    <n v="13735.478974359001"/>
  </r>
  <r>
    <n v="2498"/>
    <x v="5"/>
    <s v="Freshwater"/>
    <x v="1"/>
    <x v="0"/>
    <n v="830"/>
    <s v="Skagit River"/>
    <s v="Skagit River"/>
    <s v="Skagit/Whatcom"/>
    <x v="2"/>
    <s v="Thurston"/>
    <x v="10"/>
    <s v="South Puget Sound"/>
    <m/>
    <n v="281.435897435897"/>
    <n v="968.13948717948597"/>
  </r>
  <r>
    <n v="2463"/>
    <x v="5"/>
    <s v="Freshwater"/>
    <x v="1"/>
    <x v="0"/>
    <n v="830"/>
    <s v="Skagit River"/>
    <s v="Skagit River"/>
    <s v="Skagit/Whatcom"/>
    <x v="2"/>
    <s v="Whatcom"/>
    <x v="11"/>
    <s v="North Puget Sound"/>
    <m/>
    <n v="4467.7948717948702"/>
    <n v="15369.214358974399"/>
  </r>
  <r>
    <n v="1238"/>
    <x v="5"/>
    <s v="Freshwater"/>
    <x v="1"/>
    <x v="0"/>
    <n v="834"/>
    <s v="Skokomish River"/>
    <s v="Skokomish River"/>
    <s v="Mason"/>
    <x v="4"/>
    <s v="Jefferson"/>
    <x v="2"/>
    <s v="Strait of Juan de Fuca"/>
    <m/>
    <n v="9.0317679558011097"/>
    <n v="31.0692817679558"/>
  </r>
  <r>
    <n v="1233"/>
    <x v="5"/>
    <s v="Freshwater"/>
    <x v="1"/>
    <x v="0"/>
    <n v="834"/>
    <s v="Skokomish River"/>
    <s v="Skokomish River"/>
    <s v="Mason"/>
    <x v="4"/>
    <s v="King"/>
    <x v="3"/>
    <s v="South Puget Sound"/>
    <m/>
    <n v="975.43093922651997"/>
    <n v="3355.4824309392302"/>
  </r>
  <r>
    <n v="1237"/>
    <x v="5"/>
    <s v="Freshwater"/>
    <x v="1"/>
    <x v="0"/>
    <n v="834"/>
    <s v="Skokomish River"/>
    <s v="Skokomish River"/>
    <s v="Mason"/>
    <x v="4"/>
    <s v="Kitsap"/>
    <x v="4"/>
    <s v="South Puget Sound"/>
    <m/>
    <n v="650.28729281768005"/>
    <n v="2236.9882872928201"/>
  </r>
  <r>
    <n v="1236"/>
    <x v="5"/>
    <s v="Freshwater"/>
    <x v="1"/>
    <x v="0"/>
    <n v="834"/>
    <s v="Skokomish River"/>
    <s v="Skokomish River"/>
    <s v="Mason"/>
    <x v="4"/>
    <s v="Mason"/>
    <x v="5"/>
    <s v="South Puget Sound"/>
    <m/>
    <n v="894.14502762431005"/>
    <n v="3075.8588950276298"/>
  </r>
  <r>
    <n v="1250"/>
    <x v="5"/>
    <s v="Freshwater"/>
    <x v="1"/>
    <x v="0"/>
    <n v="834"/>
    <s v="Skokomish River"/>
    <s v="Skokomish River"/>
    <s v="Mason"/>
    <x v="4"/>
    <s v="Other"/>
    <x v="6"/>
    <s v="Non Puget Sound"/>
    <m/>
    <n v="803.82734806629901"/>
    <n v="2765.1660773480698"/>
  </r>
  <r>
    <n v="1234"/>
    <x v="5"/>
    <s v="Freshwater"/>
    <x v="1"/>
    <x v="0"/>
    <n v="834"/>
    <s v="Skokomish River"/>
    <s v="Skokomish River"/>
    <s v="Mason"/>
    <x v="4"/>
    <s v="Pierce"/>
    <x v="7"/>
    <s v="South Puget Sound"/>
    <m/>
    <n v="2086.3383977900598"/>
    <n v="7177.0040883978099"/>
  </r>
  <r>
    <n v="1232"/>
    <x v="5"/>
    <s v="Freshwater"/>
    <x v="1"/>
    <x v="0"/>
    <n v="834"/>
    <s v="Skokomish River"/>
    <s v="Skokomish River"/>
    <s v="Mason"/>
    <x v="4"/>
    <s v="Snohomish"/>
    <x v="9"/>
    <s v="North Puget Sound"/>
    <m/>
    <n v="45.158839779005497"/>
    <n v="155.346408839779"/>
  </r>
  <r>
    <n v="1235"/>
    <x v="5"/>
    <s v="Freshwater"/>
    <x v="1"/>
    <x v="0"/>
    <n v="834"/>
    <s v="Skokomish River"/>
    <s v="Skokomish River"/>
    <s v="Mason"/>
    <x v="4"/>
    <s v="Thurston"/>
    <x v="10"/>
    <s v="South Puget Sound"/>
    <m/>
    <n v="1074.78038674033"/>
    <n v="3697.2445303867298"/>
  </r>
  <r>
    <n v="1767"/>
    <x v="5"/>
    <s v="Freshwater"/>
    <x v="1"/>
    <x v="0"/>
    <n v="844"/>
    <s v="Skykomish River"/>
    <s v="Skykomish River"/>
    <s v="Snohomish"/>
    <x v="2"/>
    <s v="King"/>
    <x v="3"/>
    <s v="South Puget Sound"/>
    <m/>
    <n v="1909.93679775281"/>
    <n v="6570.1825842696699"/>
  </r>
  <r>
    <n v="1927"/>
    <x v="5"/>
    <s v="Freshwater"/>
    <x v="1"/>
    <x v="0"/>
    <n v="844"/>
    <s v="Skykomish River"/>
    <s v="Skykomish River"/>
    <s v="Snohomish"/>
    <x v="2"/>
    <s v="Kitsap"/>
    <x v="4"/>
    <s v="South Puget Sound"/>
    <m/>
    <n v="26.6502808988764"/>
    <n v="91.676966292134793"/>
  </r>
  <r>
    <n v="1928"/>
    <x v="5"/>
    <s v="Freshwater"/>
    <x v="1"/>
    <x v="0"/>
    <n v="844"/>
    <s v="Skykomish River"/>
    <s v="Skykomish River"/>
    <s v="Snohomish"/>
    <x v="2"/>
    <s v="Other"/>
    <x v="6"/>
    <s v="Non Puget Sound"/>
    <m/>
    <n v="426.40449438202302"/>
    <n v="1466.8314606741601"/>
  </r>
  <r>
    <n v="1925"/>
    <x v="5"/>
    <s v="Freshwater"/>
    <x v="1"/>
    <x v="0"/>
    <n v="844"/>
    <s v="Skykomish River"/>
    <s v="Skykomish River"/>
    <s v="Snohomish"/>
    <x v="2"/>
    <s v="Pierce"/>
    <x v="7"/>
    <s v="South Puget Sound"/>
    <m/>
    <n v="133.251404494382"/>
    <n v="458.38483146067398"/>
  </r>
  <r>
    <n v="1765"/>
    <x v="5"/>
    <s v="Freshwater"/>
    <x v="1"/>
    <x v="0"/>
    <n v="844"/>
    <s v="Skykomish River"/>
    <s v="Skykomish River"/>
    <s v="Snohomish"/>
    <x v="2"/>
    <s v="Skagit"/>
    <x v="8"/>
    <s v="North Puget Sound"/>
    <m/>
    <n v="8.8834269662921397"/>
    <n v="30.558988764045001"/>
  </r>
  <r>
    <n v="1766"/>
    <x v="5"/>
    <s v="Freshwater"/>
    <x v="1"/>
    <x v="0"/>
    <n v="844"/>
    <s v="Skykomish River"/>
    <s v="Skykomish River"/>
    <s v="Snohomish"/>
    <x v="2"/>
    <s v="Snohomish"/>
    <x v="9"/>
    <s v="North Puget Sound"/>
    <m/>
    <n v="3766.5730337078699"/>
    <n v="12957.0112359551"/>
  </r>
  <r>
    <n v="1926"/>
    <x v="5"/>
    <s v="Freshwater"/>
    <x v="1"/>
    <x v="0"/>
    <n v="844"/>
    <s v="Skykomish River"/>
    <s v="Skykomish River"/>
    <s v="Snohomish"/>
    <x v="2"/>
    <s v="Thurston"/>
    <x v="10"/>
    <s v="South Puget Sound"/>
    <m/>
    <n v="35.533707865168502"/>
    <n v="122.23595505618"/>
  </r>
  <r>
    <n v="1764"/>
    <x v="5"/>
    <s v="Freshwater"/>
    <x v="1"/>
    <x v="0"/>
    <n v="844"/>
    <s v="Skykomish River"/>
    <s v="Skykomish River"/>
    <s v="Snohomish"/>
    <x v="2"/>
    <s v="Whatcom"/>
    <x v="11"/>
    <s v="North Puget Sound"/>
    <m/>
    <n v="17.766853932584301"/>
    <n v="61.117977528090002"/>
  </r>
  <r>
    <n v="1936"/>
    <x v="5"/>
    <s v="Freshwater"/>
    <x v="1"/>
    <x v="0"/>
    <n v="850"/>
    <s v="Snohomish River"/>
    <s v="Snohomish River"/>
    <s v="Snohomish"/>
    <x v="2"/>
    <s v="Island"/>
    <x v="1"/>
    <s v="North Puget Sound"/>
    <m/>
    <n v="230.95296306138701"/>
    <n v="794.47819293117095"/>
  </r>
  <r>
    <n v="1938"/>
    <x v="5"/>
    <s v="Freshwater"/>
    <x v="1"/>
    <x v="0"/>
    <n v="850"/>
    <s v="Snohomish River"/>
    <s v="Snohomish River"/>
    <s v="Snohomish"/>
    <x v="2"/>
    <s v="King"/>
    <x v="3"/>
    <s v="South Puget Sound"/>
    <m/>
    <n v="7656.9790061121503"/>
    <n v="26340.007781025801"/>
  </r>
  <r>
    <n v="1941"/>
    <x v="5"/>
    <s v="Freshwater"/>
    <x v="1"/>
    <x v="0"/>
    <n v="850"/>
    <s v="Snohomish River"/>
    <s v="Snohomish River"/>
    <s v="Snohomish"/>
    <x v="2"/>
    <s v="Kitsap"/>
    <x v="4"/>
    <s v="South Puget Sound"/>
    <m/>
    <n v="53.2968376295509"/>
    <n v="183.34112144565501"/>
  </r>
  <r>
    <n v="2065"/>
    <x v="5"/>
    <s v="Freshwater"/>
    <x v="1"/>
    <x v="0"/>
    <n v="850"/>
    <s v="Snohomish River"/>
    <s v="Snohomish River"/>
    <s v="Snohomish"/>
    <x v="2"/>
    <s v="Other"/>
    <x v="6"/>
    <s v="Non Puget Sound"/>
    <m/>
    <n v="3233.34148285942"/>
    <n v="11122.6947010364"/>
  </r>
  <r>
    <n v="1939"/>
    <x v="5"/>
    <s v="Freshwater"/>
    <x v="1"/>
    <x v="0"/>
    <n v="850"/>
    <s v="Snohomish River"/>
    <s v="Snohomish River"/>
    <s v="Snohomish"/>
    <x v="2"/>
    <s v="Pierce"/>
    <x v="7"/>
    <s v="South Puget Sound"/>
    <m/>
    <n v="177.65612543183599"/>
    <n v="611.137071485516"/>
  </r>
  <r>
    <n v="1937"/>
    <x v="5"/>
    <s v="Freshwater"/>
    <x v="1"/>
    <x v="0"/>
    <n v="850"/>
    <s v="Snohomish River"/>
    <s v="Snohomish River"/>
    <s v="Snohomish"/>
    <x v="2"/>
    <s v="San Juan"/>
    <x v="12"/>
    <s v="North Puget Sound"/>
    <m/>
    <n v="35.5312250863673"/>
    <n v="122.227414297104"/>
  </r>
  <r>
    <n v="1930"/>
    <x v="5"/>
    <s v="Freshwater"/>
    <x v="1"/>
    <x v="0"/>
    <n v="850"/>
    <s v="Snohomish River"/>
    <s v="Snohomish River"/>
    <s v="Snohomish"/>
    <x v="2"/>
    <s v="Skagit"/>
    <x v="8"/>
    <s v="North Puget Sound"/>
    <m/>
    <n v="133.24209407387701"/>
    <n v="458.35280361413697"/>
  </r>
  <r>
    <n v="1931"/>
    <x v="5"/>
    <s v="Freshwater"/>
    <x v="1"/>
    <x v="0"/>
    <n v="850"/>
    <s v="Snohomish River"/>
    <s v="Snohomish River"/>
    <s v="Snohomish"/>
    <x v="2"/>
    <s v="Snohomish"/>
    <x v="9"/>
    <s v="North Puget Sound"/>
    <m/>
    <n v="21611.8676587829"/>
    <n v="74344.824746213199"/>
  </r>
  <r>
    <n v="1940"/>
    <x v="5"/>
    <s v="Freshwater"/>
    <x v="1"/>
    <x v="0"/>
    <n v="850"/>
    <s v="Snohomish River"/>
    <s v="Snohomish River"/>
    <s v="Snohomish"/>
    <x v="2"/>
    <s v="Thurston"/>
    <x v="10"/>
    <s v="South Puget Sound"/>
    <m/>
    <n v="213.187350518204"/>
    <n v="733.36448578262195"/>
  </r>
  <r>
    <n v="1929"/>
    <x v="5"/>
    <s v="Freshwater"/>
    <x v="1"/>
    <x v="0"/>
    <n v="850"/>
    <s v="Snohomish River"/>
    <s v="Snohomish River"/>
    <s v="Snohomish"/>
    <x v="2"/>
    <s v="Whatcom"/>
    <x v="11"/>
    <s v="North Puget Sound"/>
    <m/>
    <n v="79.945256444326404"/>
    <n v="275.01168216848299"/>
  </r>
  <r>
    <n v="41"/>
    <x v="5"/>
    <s v="Freshwater"/>
    <x v="1"/>
    <x v="0"/>
    <n v="852"/>
    <s v="Snoqualmie River"/>
    <s v="Snoqualmie River"/>
    <s v="Snohomish/King"/>
    <x v="2"/>
    <s v="King"/>
    <x v="3"/>
    <s v="South Puget Sound"/>
    <m/>
    <n v="142"/>
    <n v="488.48"/>
  </r>
  <r>
    <n v="40"/>
    <x v="5"/>
    <s v="Freshwater"/>
    <x v="1"/>
    <x v="0"/>
    <n v="852"/>
    <s v="Snoqualmie River"/>
    <s v="Snoqualmie River"/>
    <s v="Snohomish/King"/>
    <x v="2"/>
    <s v="Snohomish"/>
    <x v="9"/>
    <s v="North Puget Sound"/>
    <m/>
    <n v="284"/>
    <n v="976.96"/>
  </r>
  <r>
    <n v="2068"/>
    <x v="5"/>
    <s v="Freshwater"/>
    <x v="1"/>
    <x v="0"/>
    <n v="860"/>
    <s v="Wallace River"/>
    <s v="Wallace River"/>
    <s v="Snohomish"/>
    <x v="2"/>
    <s v="King"/>
    <x v="3"/>
    <s v="South Puget Sound"/>
    <m/>
    <n v="89.473684210526301"/>
    <n v="307.78947368421001"/>
  </r>
  <r>
    <n v="2069"/>
    <x v="5"/>
    <s v="Freshwater"/>
    <x v="1"/>
    <x v="0"/>
    <n v="860"/>
    <s v="Wallace River"/>
    <s v="Wallace River"/>
    <s v="Snohomish"/>
    <x v="2"/>
    <s v="Other"/>
    <x v="6"/>
    <s v="Non Puget Sound"/>
    <m/>
    <n v="44.7368421052632"/>
    <n v="153.894736842105"/>
  </r>
  <r>
    <n v="2067"/>
    <x v="5"/>
    <s v="Freshwater"/>
    <x v="1"/>
    <x v="0"/>
    <n v="860"/>
    <s v="Wallace River"/>
    <s v="Wallace River"/>
    <s v="Snohomish"/>
    <x v="2"/>
    <s v="Snohomish"/>
    <x v="9"/>
    <s v="North Puget Sound"/>
    <m/>
    <n v="26.842105263157901"/>
    <n v="92.336842105263202"/>
  </r>
  <r>
    <n v="2066"/>
    <x v="5"/>
    <s v="Freshwater"/>
    <x v="1"/>
    <x v="0"/>
    <n v="860"/>
    <s v="Wallace River"/>
    <s v="Wallace River"/>
    <s v="Snohomish"/>
    <x v="2"/>
    <s v="Whatcom"/>
    <x v="11"/>
    <s v="North Puget Sound"/>
    <m/>
    <n v="8.9473684210526301"/>
    <n v="30.778947368421001"/>
  </r>
  <r>
    <n v="2075"/>
    <x v="5"/>
    <s v="Freshwater"/>
    <x v="1"/>
    <x v="0"/>
    <n v="872"/>
    <s v="Stillaguamish River"/>
    <s v="Stillaguamish River"/>
    <s v="Snohomish"/>
    <x v="2"/>
    <s v="Island"/>
    <x v="1"/>
    <s v="North Puget Sound"/>
    <m/>
    <n v="124.33750000000001"/>
    <n v="427.721"/>
  </r>
  <r>
    <n v="2076"/>
    <x v="5"/>
    <s v="Freshwater"/>
    <x v="1"/>
    <x v="0"/>
    <n v="872"/>
    <s v="Stillaguamish River"/>
    <s v="Stillaguamish River"/>
    <s v="Snohomish"/>
    <x v="2"/>
    <s v="King"/>
    <x v="3"/>
    <s v="South Puget Sound"/>
    <m/>
    <n v="88.8125"/>
    <n v="305.51499999999999"/>
  </r>
  <r>
    <n v="2213"/>
    <x v="5"/>
    <s v="Freshwater"/>
    <x v="1"/>
    <x v="0"/>
    <n v="872"/>
    <s v="Stillaguamish River"/>
    <s v="Stillaguamish River"/>
    <s v="Snohomish"/>
    <x v="2"/>
    <s v="Other"/>
    <x v="6"/>
    <s v="Non Puget Sound"/>
    <m/>
    <n v="186.50624999999999"/>
    <n v="641.58150000000001"/>
  </r>
  <r>
    <n v="2070"/>
    <x v="5"/>
    <s v="Freshwater"/>
    <x v="1"/>
    <x v="0"/>
    <n v="872"/>
    <s v="Stillaguamish River"/>
    <s v="Stillaguamish River"/>
    <s v="Snohomish"/>
    <x v="2"/>
    <s v="Skagit"/>
    <x v="8"/>
    <s v="North Puget Sound"/>
    <m/>
    <n v="35.524999999999999"/>
    <n v="122.206"/>
  </r>
  <r>
    <n v="2071"/>
    <x v="5"/>
    <s v="Freshwater"/>
    <x v="1"/>
    <x v="0"/>
    <n v="872"/>
    <s v="Stillaguamish River"/>
    <s v="Stillaguamish River"/>
    <s v="Snohomish"/>
    <x v="2"/>
    <s v="Snohomish"/>
    <x v="9"/>
    <s v="North Puget Sound"/>
    <m/>
    <n v="2406.8187499999999"/>
    <n v="8279.4565000000002"/>
  </r>
  <r>
    <n v="2296"/>
    <x v="5"/>
    <s v="Freshwater"/>
    <x v="1"/>
    <x v="0"/>
    <n v="884"/>
    <s v="Whatcom Creek"/>
    <s v="Whatcom Creek"/>
    <s v="Whatcom"/>
    <x v="1"/>
    <s v="Island"/>
    <x v="1"/>
    <s v="North Puget Sound"/>
    <m/>
    <n v="192.11267605633799"/>
    <n v="660.86760563380301"/>
  </r>
  <r>
    <n v="2299"/>
    <x v="5"/>
    <s v="Freshwater"/>
    <x v="1"/>
    <x v="0"/>
    <n v="884"/>
    <s v="Whatcom Creek"/>
    <s v="Whatcom Creek"/>
    <s v="Whatcom"/>
    <x v="1"/>
    <s v="Jefferson"/>
    <x v="2"/>
    <s v="Strait of Juan de Fuca"/>
    <m/>
    <n v="17.4647887323944"/>
    <n v="60.078873239436703"/>
  </r>
  <r>
    <n v="2300"/>
    <x v="5"/>
    <s v="Freshwater"/>
    <x v="1"/>
    <x v="0"/>
    <n v="884"/>
    <s v="Whatcom Creek"/>
    <s v="Whatcom Creek"/>
    <s v="Whatcom"/>
    <x v="1"/>
    <s v="Other"/>
    <x v="6"/>
    <s v="Non Puget Sound"/>
    <m/>
    <n v="139.718309859155"/>
    <n v="480.630985915493"/>
  </r>
  <r>
    <n v="2297"/>
    <x v="5"/>
    <s v="Freshwater"/>
    <x v="1"/>
    <x v="0"/>
    <n v="884"/>
    <s v="Whatcom Creek"/>
    <s v="Whatcom Creek"/>
    <s v="Whatcom"/>
    <x v="1"/>
    <s v="Pierce"/>
    <x v="7"/>
    <s v="South Puget Sound"/>
    <m/>
    <n v="69.8591549295775"/>
    <n v="240.31549295774701"/>
  </r>
  <r>
    <n v="2294"/>
    <x v="5"/>
    <s v="Freshwater"/>
    <x v="1"/>
    <x v="0"/>
    <n v="884"/>
    <s v="Whatcom Creek"/>
    <s v="Whatcom Creek"/>
    <s v="Whatcom"/>
    <x v="1"/>
    <s v="Skagit"/>
    <x v="8"/>
    <s v="North Puget Sound"/>
    <m/>
    <n v="288.16901408450701"/>
    <n v="991.301408450704"/>
  </r>
  <r>
    <n v="2295"/>
    <x v="5"/>
    <s v="Freshwater"/>
    <x v="1"/>
    <x v="0"/>
    <n v="884"/>
    <s v="Whatcom Creek"/>
    <s v="Whatcom Creek"/>
    <s v="Whatcom"/>
    <x v="1"/>
    <s v="Snohomish"/>
    <x v="9"/>
    <s v="North Puget Sound"/>
    <m/>
    <n v="139.718309859155"/>
    <n v="480.630985915493"/>
  </r>
  <r>
    <n v="2298"/>
    <x v="5"/>
    <s v="Freshwater"/>
    <x v="1"/>
    <x v="0"/>
    <n v="884"/>
    <s v="Whatcom Creek"/>
    <s v="Whatcom Creek"/>
    <s v="Whatcom"/>
    <x v="1"/>
    <s v="Thurston"/>
    <x v="10"/>
    <s v="South Puget Sound"/>
    <m/>
    <n v="122.253521126761"/>
    <n v="420.55211267605802"/>
  </r>
  <r>
    <n v="2293"/>
    <x v="5"/>
    <s v="Freshwater"/>
    <x v="1"/>
    <x v="0"/>
    <n v="884"/>
    <s v="Whatcom Creek"/>
    <s v="Whatcom Creek"/>
    <s v="Whatcom"/>
    <x v="1"/>
    <s v="Whatcom"/>
    <x v="11"/>
    <s v="North Puget Sound"/>
    <m/>
    <n v="1510.7042253521099"/>
    <n v="5196.8225352112604"/>
  </r>
  <r>
    <n v="2301"/>
    <x v="6"/>
    <s v="Freshwater"/>
    <x v="1"/>
    <x v="0"/>
    <n v="724"/>
    <s v="Dakota Creek (Whatcom Co)"/>
    <s v="Dakota Creek (Whatcom Co)"/>
    <s v="Whatcom"/>
    <x v="1"/>
    <s v="Whatcom"/>
    <x v="11"/>
    <s v="North Puget Sound"/>
    <m/>
    <n v="10"/>
    <n v="86.5"/>
  </r>
  <r>
    <n v="274"/>
    <x v="6"/>
    <s v="Freshwater"/>
    <x v="1"/>
    <x v="0"/>
    <n v="728"/>
    <s v="Deschutes River"/>
    <s v="Deschutes River"/>
    <s v="Thurston"/>
    <x v="3"/>
    <s v="Other"/>
    <x v="6"/>
    <s v="Non Puget Sound"/>
    <m/>
    <n v="18"/>
    <n v="155.69999999999999"/>
  </r>
  <r>
    <n v="273"/>
    <x v="6"/>
    <s v="Freshwater"/>
    <x v="1"/>
    <x v="0"/>
    <n v="728"/>
    <s v="Deschutes River"/>
    <s v="Deschutes River"/>
    <s v="Thurston"/>
    <x v="3"/>
    <s v="Thurston"/>
    <x v="10"/>
    <s v="South Puget Sound"/>
    <m/>
    <n v="6"/>
    <n v="51.9"/>
  </r>
  <r>
    <n v="764"/>
    <x v="6"/>
    <s v="Freshwater"/>
    <x v="1"/>
    <x v="0"/>
    <n v="732"/>
    <s v="Dewatto River"/>
    <s v="Dewatto River"/>
    <s v="Mason"/>
    <x v="3"/>
    <s v="Kitsap"/>
    <x v="4"/>
    <s v="South Puget Sound"/>
    <m/>
    <n v="63"/>
    <n v="544.95000000000005"/>
  </r>
  <r>
    <n v="2210"/>
    <x v="6"/>
    <s v="Freshwater"/>
    <x v="1"/>
    <x v="0"/>
    <n v="738"/>
    <s v="Dungeness River"/>
    <s v="Dungeness River"/>
    <s v="Clallam"/>
    <x v="0"/>
    <s v="Clallam"/>
    <x v="0"/>
    <s v="Strait of Juan de Fuca"/>
    <m/>
    <n v="589.91463414634097"/>
    <n v="5102.7615853658499"/>
  </r>
  <r>
    <n v="2211"/>
    <x v="6"/>
    <s v="Freshwater"/>
    <x v="1"/>
    <x v="0"/>
    <n v="738"/>
    <s v="Dungeness River"/>
    <s v="Dungeness River"/>
    <s v="Clallam"/>
    <x v="0"/>
    <s v="Jefferson"/>
    <x v="2"/>
    <s v="Strait of Juan de Fuca"/>
    <m/>
    <n v="38.682926829268297"/>
    <n v="334.60731707317098"/>
  </r>
  <r>
    <n v="2205"/>
    <x v="6"/>
    <s v="Freshwater"/>
    <x v="1"/>
    <x v="0"/>
    <n v="738"/>
    <s v="Dungeness River"/>
    <s v="Dungeness River"/>
    <s v="Clallam"/>
    <x v="0"/>
    <s v="King"/>
    <x v="3"/>
    <s v="South Puget Sound"/>
    <m/>
    <n v="9.6707317073170795"/>
    <n v="83.651829268292701"/>
  </r>
  <r>
    <n v="2209"/>
    <x v="6"/>
    <s v="Freshwater"/>
    <x v="1"/>
    <x v="0"/>
    <n v="738"/>
    <s v="Dungeness River"/>
    <s v="Dungeness River"/>
    <s v="Clallam"/>
    <x v="0"/>
    <s v="Kitsap"/>
    <x v="4"/>
    <s v="South Puget Sound"/>
    <m/>
    <n v="67.695121951219505"/>
    <n v="585.56280487804895"/>
  </r>
  <r>
    <n v="2208"/>
    <x v="6"/>
    <s v="Freshwater"/>
    <x v="1"/>
    <x v="0"/>
    <n v="738"/>
    <s v="Dungeness River"/>
    <s v="Dungeness River"/>
    <s v="Clallam"/>
    <x v="0"/>
    <s v="Mason"/>
    <x v="5"/>
    <s v="South Puget Sound"/>
    <m/>
    <n v="9.6707317073170795"/>
    <n v="83.651829268292701"/>
  </r>
  <r>
    <n v="2212"/>
    <x v="6"/>
    <s v="Freshwater"/>
    <x v="1"/>
    <x v="0"/>
    <n v="738"/>
    <s v="Dungeness River"/>
    <s v="Dungeness River"/>
    <s v="Clallam"/>
    <x v="0"/>
    <s v="Other"/>
    <x v="6"/>
    <s v="Non Puget Sound"/>
    <m/>
    <n v="38.682926829268297"/>
    <n v="334.60731707317098"/>
  </r>
  <r>
    <n v="2206"/>
    <x v="6"/>
    <s v="Freshwater"/>
    <x v="1"/>
    <x v="0"/>
    <n v="738"/>
    <s v="Dungeness River"/>
    <s v="Dungeness River"/>
    <s v="Clallam"/>
    <x v="0"/>
    <s v="Pierce"/>
    <x v="7"/>
    <s v="South Puget Sound"/>
    <m/>
    <n v="19.341463414634202"/>
    <n v="167.303658536586"/>
  </r>
  <r>
    <n v="2207"/>
    <x v="6"/>
    <s v="Freshwater"/>
    <x v="1"/>
    <x v="0"/>
    <n v="738"/>
    <s v="Dungeness River"/>
    <s v="Dungeness River"/>
    <s v="Clallam"/>
    <x v="0"/>
    <s v="Thurston"/>
    <x v="10"/>
    <s v="South Puget Sound"/>
    <m/>
    <n v="19.341463414634202"/>
    <n v="167.303658536586"/>
  </r>
  <r>
    <n v="3644"/>
    <x v="6"/>
    <s v="Freshwater"/>
    <x v="1"/>
    <x v="0"/>
    <n v="746"/>
    <s v="Green - Duwamish River"/>
    <s v="Green - Duwamish River"/>
    <s v="King"/>
    <x v="3"/>
    <s v="Clallam"/>
    <x v="0"/>
    <s v="Strait of Juan de Fuca"/>
    <m/>
    <n v="9.1873198847262305"/>
    <n v="79.470317002881899"/>
  </r>
  <r>
    <n v="3551"/>
    <x v="6"/>
    <s v="Freshwater"/>
    <x v="1"/>
    <x v="0"/>
    <n v="746"/>
    <s v="Green - Duwamish River"/>
    <s v="Green - Duwamish River"/>
    <s v="King"/>
    <x v="3"/>
    <s v="King"/>
    <x v="3"/>
    <s v="South Puget Sound"/>
    <m/>
    <n v="2508.13832853026"/>
    <n v="21695.396541786798"/>
  </r>
  <r>
    <n v="3641"/>
    <x v="6"/>
    <s v="Freshwater"/>
    <x v="1"/>
    <x v="0"/>
    <n v="746"/>
    <s v="Green - Duwamish River"/>
    <s v="Green - Duwamish River"/>
    <s v="King"/>
    <x v="3"/>
    <s v="Kitsap"/>
    <x v="4"/>
    <s v="South Puget Sound"/>
    <m/>
    <n v="36.749279538904901"/>
    <n v="317.88126801152703"/>
  </r>
  <r>
    <n v="3645"/>
    <x v="6"/>
    <s v="Freshwater"/>
    <x v="1"/>
    <x v="0"/>
    <n v="746"/>
    <s v="Green - Duwamish River"/>
    <s v="Green - Duwamish River"/>
    <s v="King"/>
    <x v="3"/>
    <s v="Other"/>
    <x v="6"/>
    <s v="Non Puget Sound"/>
    <m/>
    <n v="73.498559077809801"/>
    <n v="635.76253602305496"/>
  </r>
  <r>
    <n v="3598"/>
    <x v="6"/>
    <s v="Freshwater"/>
    <x v="1"/>
    <x v="0"/>
    <n v="746"/>
    <s v="Green - Duwamish River"/>
    <s v="Green - Duwamish River"/>
    <s v="King"/>
    <x v="3"/>
    <s v="Pierce"/>
    <x v="7"/>
    <s v="South Puget Sound"/>
    <m/>
    <n v="349.11815561959702"/>
    <n v="3019.8720461095099"/>
  </r>
  <r>
    <n v="3543"/>
    <x v="6"/>
    <s v="Freshwater"/>
    <x v="1"/>
    <x v="0"/>
    <n v="746"/>
    <s v="Green - Duwamish River"/>
    <s v="Green - Duwamish River"/>
    <s v="King"/>
    <x v="3"/>
    <s v="Snohomish"/>
    <x v="9"/>
    <s v="North Puget Sound"/>
    <m/>
    <n v="165.37175792507199"/>
    <n v="1430.46570605187"/>
  </r>
  <r>
    <n v="3599"/>
    <x v="6"/>
    <s v="Freshwater"/>
    <x v="1"/>
    <x v="0"/>
    <n v="746"/>
    <s v="Green - Duwamish River"/>
    <s v="Green - Duwamish River"/>
    <s v="King"/>
    <x v="3"/>
    <s v="Thurston"/>
    <x v="10"/>
    <s v="South Puget Sound"/>
    <m/>
    <n v="27.5619596541787"/>
    <n v="238.41095100864601"/>
  </r>
  <r>
    <n v="3542"/>
    <x v="6"/>
    <s v="Freshwater"/>
    <x v="1"/>
    <x v="0"/>
    <n v="746"/>
    <s v="Green - Duwamish River"/>
    <s v="Green - Duwamish River"/>
    <s v="King"/>
    <x v="3"/>
    <s v="Whatcom"/>
    <x v="11"/>
    <s v="North Puget Sound"/>
    <m/>
    <n v="18.3746397694525"/>
    <n v="158.940634005764"/>
  </r>
  <r>
    <n v="870"/>
    <x v="6"/>
    <s v="Freshwater"/>
    <x v="1"/>
    <x v="0"/>
    <n v="754"/>
    <s v="Kennedy Creek"/>
    <s v="Kennedy Creek"/>
    <s v="Mason/Thurston"/>
    <x v="3"/>
    <s v="King"/>
    <x v="3"/>
    <s v="South Puget Sound"/>
    <m/>
    <n v="49.571428571428598"/>
    <n v="428.79285714285697"/>
  </r>
  <r>
    <n v="873"/>
    <x v="6"/>
    <s v="Freshwater"/>
    <x v="1"/>
    <x v="0"/>
    <n v="754"/>
    <s v="Kennedy Creek"/>
    <s v="Kennedy Creek"/>
    <s v="Mason/Thurston"/>
    <x v="3"/>
    <s v="Mason"/>
    <x v="5"/>
    <s v="South Puget Sound"/>
    <m/>
    <n v="9.9142857142857199"/>
    <n v="85.7585714285715"/>
  </r>
  <r>
    <n v="874"/>
    <x v="6"/>
    <s v="Freshwater"/>
    <x v="1"/>
    <x v="0"/>
    <n v="754"/>
    <s v="Kennedy Creek"/>
    <s v="Kennedy Creek"/>
    <s v="Mason/Thurston"/>
    <x v="3"/>
    <s v="Other"/>
    <x v="6"/>
    <s v="Non Puget Sound"/>
    <m/>
    <n v="19.828571428571401"/>
    <n v="171.517142857143"/>
  </r>
  <r>
    <n v="871"/>
    <x v="6"/>
    <s v="Freshwater"/>
    <x v="1"/>
    <x v="0"/>
    <n v="754"/>
    <s v="Kennedy Creek"/>
    <s v="Kennedy Creek"/>
    <s v="Mason/Thurston"/>
    <x v="3"/>
    <s v="Pierce"/>
    <x v="7"/>
    <s v="South Puget Sound"/>
    <m/>
    <n v="29.742857142857201"/>
    <n v="257.27571428571503"/>
  </r>
  <r>
    <n v="872"/>
    <x v="6"/>
    <s v="Freshwater"/>
    <x v="1"/>
    <x v="0"/>
    <n v="754"/>
    <s v="Kennedy Creek"/>
    <s v="Kennedy Creek"/>
    <s v="Mason/Thurston"/>
    <x v="3"/>
    <s v="Thurston"/>
    <x v="10"/>
    <s v="South Puget Sound"/>
    <m/>
    <n v="237.94285714285701"/>
    <n v="2058.2057142857102"/>
  </r>
  <r>
    <n v="3673"/>
    <x v="6"/>
    <s v="Freshwater"/>
    <x v="1"/>
    <x v="0"/>
    <n v="762"/>
    <s v="Lake Washington"/>
    <s v="Lake Washington"/>
    <s v="King"/>
    <x v="3"/>
    <s v="King"/>
    <x v="3"/>
    <s v="South Puget Sound"/>
    <m/>
    <n v="607.72941176470601"/>
    <n v="5256.8594117647099"/>
  </r>
  <r>
    <n v="3646"/>
    <x v="6"/>
    <s v="Freshwater"/>
    <x v="1"/>
    <x v="0"/>
    <n v="762"/>
    <s v="Lake Washington"/>
    <s v="Lake Washington"/>
    <s v="King"/>
    <x v="3"/>
    <s v="Snohomish"/>
    <x v="9"/>
    <s v="North Puget Sound"/>
    <m/>
    <n v="163.27058823529401"/>
    <n v="1412.29058823529"/>
  </r>
  <r>
    <n v="457"/>
    <x v="6"/>
    <s v="Freshwater"/>
    <x v="1"/>
    <x v="0"/>
    <n v="778"/>
    <s v="Minter Creek"/>
    <s v="Minter Creek"/>
    <s v="Kitsap/Pierce"/>
    <x v="3"/>
    <s v="King"/>
    <x v="3"/>
    <s v="South Puget Sound"/>
    <m/>
    <n v="2118.6104553119699"/>
    <n v="18325.9804384485"/>
  </r>
  <r>
    <n v="461"/>
    <x v="6"/>
    <s v="Freshwater"/>
    <x v="1"/>
    <x v="0"/>
    <n v="778"/>
    <s v="Minter Creek"/>
    <s v="Minter Creek"/>
    <s v="Kitsap/Pierce"/>
    <x v="3"/>
    <s v="Kitsap"/>
    <x v="4"/>
    <s v="South Puget Sound"/>
    <m/>
    <n v="318.24620573355799"/>
    <n v="2752.8296795952801"/>
  </r>
  <r>
    <n v="460"/>
    <x v="6"/>
    <s v="Freshwater"/>
    <x v="1"/>
    <x v="0"/>
    <n v="778"/>
    <s v="Minter Creek"/>
    <s v="Minter Creek"/>
    <s v="Kitsap/Pierce"/>
    <x v="3"/>
    <s v="Mason"/>
    <x v="5"/>
    <s v="South Puget Sound"/>
    <m/>
    <n v="54.556492411467097"/>
    <n v="471.91365935918998"/>
  </r>
  <r>
    <n v="542"/>
    <x v="6"/>
    <s v="Freshwater"/>
    <x v="1"/>
    <x v="0"/>
    <n v="778"/>
    <s v="Minter Creek"/>
    <s v="Minter Creek"/>
    <s v="Kitsap/Pierce"/>
    <x v="3"/>
    <s v="Other"/>
    <x v="6"/>
    <s v="Non Puget Sound"/>
    <m/>
    <n v="518.28667790893803"/>
    <n v="4483.1797639123097"/>
  </r>
  <r>
    <n v="458"/>
    <x v="6"/>
    <s v="Freshwater"/>
    <x v="1"/>
    <x v="0"/>
    <n v="778"/>
    <s v="Minter Creek"/>
    <s v="Minter Creek"/>
    <s v="Kitsap/Pierce"/>
    <x v="3"/>
    <s v="Pierce"/>
    <x v="7"/>
    <s v="South Puget Sound"/>
    <m/>
    <n v="2218.63069139966"/>
    <n v="19191.1554806071"/>
  </r>
  <r>
    <n v="456"/>
    <x v="6"/>
    <s v="Freshwater"/>
    <x v="1"/>
    <x v="0"/>
    <n v="778"/>
    <s v="Minter Creek"/>
    <s v="Minter Creek"/>
    <s v="Kitsap/Pierce"/>
    <x v="3"/>
    <s v="Snohomish"/>
    <x v="9"/>
    <s v="North Puget Sound"/>
    <m/>
    <n v="109.112984822934"/>
    <n v="943.82731871837905"/>
  </r>
  <r>
    <n v="459"/>
    <x v="6"/>
    <s v="Freshwater"/>
    <x v="1"/>
    <x v="0"/>
    <n v="778"/>
    <s v="Minter Creek"/>
    <s v="Minter Creek"/>
    <s v="Kitsap/Pierce"/>
    <x v="3"/>
    <s v="Thurston"/>
    <x v="10"/>
    <s v="South Puget Sound"/>
    <m/>
    <n v="36.3709949409781"/>
    <n v="314.60910623946103"/>
  </r>
  <r>
    <n v="455"/>
    <x v="6"/>
    <s v="Freshwater"/>
    <x v="1"/>
    <x v="0"/>
    <n v="778"/>
    <s v="Minter Creek"/>
    <s v="Minter Creek"/>
    <s v="Kitsap/Pierce"/>
    <x v="3"/>
    <s v="Whatcom"/>
    <x v="11"/>
    <s v="North Puget Sound"/>
    <m/>
    <n v="18.185497470489"/>
    <n v="157.30455311973"/>
  </r>
  <r>
    <n v="481"/>
    <x v="6"/>
    <s v="Freshwater"/>
    <x v="1"/>
    <x v="0"/>
    <n v="786"/>
    <s v="Nisqually River"/>
    <s v="Nisqually River"/>
    <s v="Thurston/Pierce"/>
    <x v="3"/>
    <s v="King"/>
    <x v="3"/>
    <s v="South Puget Sound"/>
    <m/>
    <n v="511.85858585858603"/>
    <n v="4427.57676767677"/>
  </r>
  <r>
    <n v="485"/>
    <x v="6"/>
    <s v="Freshwater"/>
    <x v="1"/>
    <x v="0"/>
    <n v="786"/>
    <s v="Nisqually River"/>
    <s v="Nisqually River"/>
    <s v="Thurston/Pierce"/>
    <x v="3"/>
    <s v="Kitsap"/>
    <x v="4"/>
    <s v="South Puget Sound"/>
    <m/>
    <n v="147.65151515151501"/>
    <n v="1277.1856060606001"/>
  </r>
  <r>
    <n v="484"/>
    <x v="6"/>
    <s v="Freshwater"/>
    <x v="1"/>
    <x v="0"/>
    <n v="786"/>
    <s v="Nisqually River"/>
    <s v="Nisqually River"/>
    <s v="Thurston/Pierce"/>
    <x v="3"/>
    <s v="Mason"/>
    <x v="5"/>
    <s v="South Puget Sound"/>
    <m/>
    <n v="68.904040404040401"/>
    <n v="596.01994949494997"/>
  </r>
  <r>
    <n v="486"/>
    <x v="6"/>
    <s v="Freshwater"/>
    <x v="1"/>
    <x v="0"/>
    <n v="786"/>
    <s v="Nisqually River"/>
    <s v="Nisqually River"/>
    <s v="Thurston/Pierce"/>
    <x v="3"/>
    <s v="Other"/>
    <x v="6"/>
    <s v="Non Puget Sound"/>
    <m/>
    <n v="167.338383838384"/>
    <n v="1447.47702020202"/>
  </r>
  <r>
    <n v="482"/>
    <x v="6"/>
    <s v="Freshwater"/>
    <x v="1"/>
    <x v="0"/>
    <n v="786"/>
    <s v="Nisqually River"/>
    <s v="Nisqually River"/>
    <s v="Thurston/Pierce"/>
    <x v="3"/>
    <s v="Pierce"/>
    <x v="7"/>
    <s v="South Puget Sound"/>
    <m/>
    <n v="1555.26262626263"/>
    <n v="13453.0217171718"/>
  </r>
  <r>
    <n v="483"/>
    <x v="6"/>
    <s v="Freshwater"/>
    <x v="1"/>
    <x v="0"/>
    <n v="786"/>
    <s v="Nisqually River"/>
    <s v="Nisqually River"/>
    <s v="Thurston/Pierce"/>
    <x v="3"/>
    <s v="Thurston"/>
    <x v="10"/>
    <s v="South Puget Sound"/>
    <m/>
    <n v="1446.9848484848501"/>
    <n v="12516.418939394"/>
  </r>
  <r>
    <n v="2304"/>
    <x v="6"/>
    <s v="Freshwater"/>
    <x v="1"/>
    <x v="0"/>
    <n v="788"/>
    <s v="Nooksack River"/>
    <s v="Nooksack River"/>
    <s v="Whatcom"/>
    <x v="1"/>
    <s v="Island"/>
    <x v="1"/>
    <s v="North Puget Sound"/>
    <m/>
    <n v="39.476190476190503"/>
    <n v="341.46904761904801"/>
  </r>
  <r>
    <n v="2402"/>
    <x v="6"/>
    <s v="Freshwater"/>
    <x v="1"/>
    <x v="0"/>
    <n v="788"/>
    <s v="Nooksack River"/>
    <s v="Nooksack River"/>
    <s v="Whatcom"/>
    <x v="1"/>
    <s v="King"/>
    <x v="3"/>
    <s v="South Puget Sound"/>
    <m/>
    <n v="29.6071428571429"/>
    <n v="256.101785714286"/>
  </r>
  <r>
    <n v="2403"/>
    <x v="6"/>
    <s v="Freshwater"/>
    <x v="1"/>
    <x v="0"/>
    <n v="788"/>
    <s v="Nooksack River"/>
    <s v="Nooksack River"/>
    <s v="Whatcom"/>
    <x v="1"/>
    <s v="Pierce"/>
    <x v="7"/>
    <s v="South Puget Sound"/>
    <m/>
    <n v="39.476190476190503"/>
    <n v="341.46904761904801"/>
  </r>
  <r>
    <n v="2303"/>
    <x v="6"/>
    <s v="Freshwater"/>
    <x v="1"/>
    <x v="0"/>
    <n v="788"/>
    <s v="Nooksack River"/>
    <s v="Nooksack River"/>
    <s v="Whatcom"/>
    <x v="1"/>
    <s v="Skagit"/>
    <x v="8"/>
    <s v="North Puget Sound"/>
    <m/>
    <n v="39.476190476190503"/>
    <n v="341.46904761904801"/>
  </r>
  <r>
    <n v="2302"/>
    <x v="6"/>
    <s v="Freshwater"/>
    <x v="1"/>
    <x v="0"/>
    <n v="788"/>
    <s v="Nooksack River"/>
    <s v="Nooksack River"/>
    <s v="Whatcom"/>
    <x v="1"/>
    <s v="Whatcom"/>
    <x v="11"/>
    <s v="North Puget Sound"/>
    <m/>
    <n v="680.96428571428601"/>
    <n v="5890.3410714285701"/>
  </r>
  <r>
    <n v="350"/>
    <x v="6"/>
    <s v="Freshwater"/>
    <x v="1"/>
    <x v="0"/>
    <n v="802"/>
    <s v="Carbon River"/>
    <s v="Carbon River"/>
    <s v="Pierce"/>
    <x v="3"/>
    <s v="King"/>
    <x v="3"/>
    <s v="South Puget Sound"/>
    <m/>
    <n v="165.15384615384599"/>
    <n v="1428.5807692307701"/>
  </r>
  <r>
    <n v="351"/>
    <x v="6"/>
    <s v="Freshwater"/>
    <x v="1"/>
    <x v="0"/>
    <n v="802"/>
    <s v="Carbon River"/>
    <s v="Carbon River"/>
    <s v="Pierce"/>
    <x v="3"/>
    <s v="Pierce"/>
    <x v="7"/>
    <s v="South Puget Sound"/>
    <m/>
    <n v="556.30769230769204"/>
    <n v="4812.0615384615403"/>
  </r>
  <r>
    <n v="349"/>
    <x v="6"/>
    <s v="Freshwater"/>
    <x v="1"/>
    <x v="0"/>
    <n v="802"/>
    <s v="Carbon River"/>
    <s v="Carbon River"/>
    <s v="Pierce"/>
    <x v="3"/>
    <s v="Snohomish"/>
    <x v="9"/>
    <s v="North Puget Sound"/>
    <m/>
    <n v="8.6923076923077005"/>
    <n v="75.188461538461596"/>
  </r>
  <r>
    <n v="352"/>
    <x v="6"/>
    <s v="Freshwater"/>
    <x v="1"/>
    <x v="0"/>
    <n v="802"/>
    <s v="Carbon River"/>
    <s v="Carbon River"/>
    <s v="Pierce"/>
    <x v="3"/>
    <s v="Thurston"/>
    <x v="10"/>
    <s v="South Puget Sound"/>
    <m/>
    <n v="60.846153846153904"/>
    <n v="526.31923076923101"/>
  </r>
  <r>
    <n v="354"/>
    <x v="6"/>
    <s v="Freshwater"/>
    <x v="1"/>
    <x v="0"/>
    <n v="804"/>
    <s v="Puyallup River"/>
    <s v="Puyallup River"/>
    <s v="Pierce"/>
    <x v="3"/>
    <s v="Other"/>
    <x v="6"/>
    <s v="Non Puget Sound"/>
    <m/>
    <n v="19.090909090909101"/>
    <n v="165.136363636364"/>
  </r>
  <r>
    <n v="353"/>
    <x v="6"/>
    <s v="Freshwater"/>
    <x v="1"/>
    <x v="0"/>
    <n v="804"/>
    <s v="Puyallup River"/>
    <s v="Puyallup River"/>
    <s v="Pierce"/>
    <x v="3"/>
    <s v="Pierce"/>
    <x v="7"/>
    <s v="South Puget Sound"/>
    <m/>
    <n v="50.909090909090899"/>
    <n v="440.36363636363598"/>
  </r>
  <r>
    <n v="923"/>
    <x v="6"/>
    <s v="Freshwater"/>
    <x v="1"/>
    <x v="0"/>
    <n v="812"/>
    <s v="Quilcene River"/>
    <s v="Quilcene River"/>
    <s v="Jefferson"/>
    <x v="4"/>
    <s v="Clallam"/>
    <x v="0"/>
    <s v="Strait of Juan de Fuca"/>
    <m/>
    <n v="951.75925925926003"/>
    <n v="8232.7175925926003"/>
  </r>
  <r>
    <n v="849"/>
    <x v="6"/>
    <s v="Freshwater"/>
    <x v="1"/>
    <x v="0"/>
    <n v="812"/>
    <s v="Quilcene River"/>
    <s v="Quilcene River"/>
    <s v="Jefferson"/>
    <x v="4"/>
    <s v="Island"/>
    <x v="1"/>
    <s v="North Puget Sound"/>
    <m/>
    <n v="10.0185185185185"/>
    <n v="86.660185185185"/>
  </r>
  <r>
    <n v="924"/>
    <x v="6"/>
    <s v="Freshwater"/>
    <x v="1"/>
    <x v="0"/>
    <n v="812"/>
    <s v="Quilcene River"/>
    <s v="Quilcene River"/>
    <s v="Jefferson"/>
    <x v="4"/>
    <s v="Jefferson"/>
    <x v="2"/>
    <s v="Strait of Juan de Fuca"/>
    <m/>
    <n v="260.48148148148198"/>
    <n v="2253.1648148148201"/>
  </r>
  <r>
    <n v="850"/>
    <x v="6"/>
    <s v="Freshwater"/>
    <x v="1"/>
    <x v="0"/>
    <n v="812"/>
    <s v="Quilcene River"/>
    <s v="Quilcene River"/>
    <s v="Jefferson"/>
    <x v="4"/>
    <s v="King"/>
    <x v="3"/>
    <s v="South Puget Sound"/>
    <m/>
    <n v="50.092592592592602"/>
    <n v="433.30092592592598"/>
  </r>
  <r>
    <n v="922"/>
    <x v="6"/>
    <s v="Freshwater"/>
    <x v="1"/>
    <x v="0"/>
    <n v="812"/>
    <s v="Quilcene River"/>
    <s v="Quilcene River"/>
    <s v="Jefferson"/>
    <x v="4"/>
    <s v="Kitsap"/>
    <x v="4"/>
    <s v="South Puget Sound"/>
    <m/>
    <n v="941.74074074074099"/>
    <n v="8146.0574074074102"/>
  </r>
  <r>
    <n v="921"/>
    <x v="6"/>
    <s v="Freshwater"/>
    <x v="1"/>
    <x v="0"/>
    <n v="812"/>
    <s v="Quilcene River"/>
    <s v="Quilcene River"/>
    <s v="Jefferson"/>
    <x v="4"/>
    <s v="Mason"/>
    <x v="5"/>
    <s v="South Puget Sound"/>
    <m/>
    <n v="190.35185185185199"/>
    <n v="1646.5435185185199"/>
  </r>
  <r>
    <n v="925"/>
    <x v="6"/>
    <s v="Freshwater"/>
    <x v="1"/>
    <x v="0"/>
    <n v="812"/>
    <s v="Quilcene River"/>
    <s v="Quilcene River"/>
    <s v="Jefferson"/>
    <x v="4"/>
    <s v="Other"/>
    <x v="6"/>
    <s v="Non Puget Sound"/>
    <m/>
    <n v="220.40740740740699"/>
    <n v="1906.5240740740701"/>
  </r>
  <r>
    <n v="919"/>
    <x v="6"/>
    <s v="Freshwater"/>
    <x v="1"/>
    <x v="0"/>
    <n v="812"/>
    <s v="Quilcene River"/>
    <s v="Quilcene River"/>
    <s v="Jefferson"/>
    <x v="4"/>
    <s v="Pierce"/>
    <x v="7"/>
    <s v="South Puget Sound"/>
    <m/>
    <n v="400.74074074074099"/>
    <n v="3466.4074074074101"/>
  </r>
  <r>
    <n v="848"/>
    <x v="6"/>
    <s v="Freshwater"/>
    <x v="1"/>
    <x v="0"/>
    <n v="812"/>
    <s v="Quilcene River"/>
    <s v="Quilcene River"/>
    <s v="Jefferson"/>
    <x v="4"/>
    <s v="Snohomish"/>
    <x v="9"/>
    <s v="North Puget Sound"/>
    <m/>
    <n v="40.074074074074097"/>
    <n v="346.64074074074102"/>
  </r>
  <r>
    <n v="920"/>
    <x v="6"/>
    <s v="Freshwater"/>
    <x v="1"/>
    <x v="0"/>
    <n v="812"/>
    <s v="Quilcene River"/>
    <s v="Quilcene River"/>
    <s v="Jefferson"/>
    <x v="4"/>
    <s v="Thurston"/>
    <x v="10"/>
    <s v="South Puget Sound"/>
    <m/>
    <n v="180.333333333333"/>
    <n v="1559.88333333333"/>
  </r>
  <r>
    <n v="3653"/>
    <x v="6"/>
    <s v="Freshwater"/>
    <x v="1"/>
    <x v="0"/>
    <n v="816"/>
    <s v="Samish River"/>
    <s v="Samish River"/>
    <s v="Skagit"/>
    <x v="1"/>
    <s v="Island"/>
    <x v="1"/>
    <s v="North Puget Sound"/>
    <m/>
    <n v="633.18253968253998"/>
    <n v="5477.0289682539697"/>
  </r>
  <r>
    <n v="3654"/>
    <x v="6"/>
    <s v="Freshwater"/>
    <x v="1"/>
    <x v="0"/>
    <n v="816"/>
    <s v="Samish River"/>
    <s v="Samish River"/>
    <s v="Skagit"/>
    <x v="1"/>
    <s v="King"/>
    <x v="3"/>
    <s v="South Puget Sound"/>
    <m/>
    <n v="457.839682539683"/>
    <n v="3960.3132539682601"/>
  </r>
  <r>
    <n v="3681"/>
    <x v="6"/>
    <s v="Freshwater"/>
    <x v="1"/>
    <x v="0"/>
    <n v="816"/>
    <s v="Samish River"/>
    <s v="Samish River"/>
    <s v="Skagit"/>
    <x v="1"/>
    <s v="Other"/>
    <x v="6"/>
    <s v="Non Puget Sound"/>
    <m/>
    <n v="516.28730158730195"/>
    <n v="4465.8851587301597"/>
  </r>
  <r>
    <n v="3680"/>
    <x v="6"/>
    <s v="Freshwater"/>
    <x v="1"/>
    <x v="0"/>
    <n v="816"/>
    <s v="Samish River"/>
    <s v="Samish River"/>
    <s v="Skagit"/>
    <x v="1"/>
    <s v="Pierce"/>
    <x v="7"/>
    <s v="South Puget Sound"/>
    <m/>
    <n v="175.34285714285701"/>
    <n v="1516.71571428571"/>
  </r>
  <r>
    <n v="3615"/>
    <x v="6"/>
    <s v="Freshwater"/>
    <x v="1"/>
    <x v="0"/>
    <n v="816"/>
    <s v="Samish River"/>
    <s v="Samish River"/>
    <s v="Skagit"/>
    <x v="1"/>
    <s v="Skagit"/>
    <x v="8"/>
    <s v="North Puget Sound"/>
    <m/>
    <n v="866.97301587301604"/>
    <n v="7499.3165873015896"/>
  </r>
  <r>
    <n v="3652"/>
    <x v="6"/>
    <s v="Freshwater"/>
    <x v="1"/>
    <x v="0"/>
    <n v="816"/>
    <s v="Samish River"/>
    <s v="Samish River"/>
    <s v="Skagit"/>
    <x v="1"/>
    <s v="Snohomish"/>
    <x v="9"/>
    <s v="North Puget Sound"/>
    <m/>
    <n v="2591.1777777777802"/>
    <n v="22413.687777777799"/>
  </r>
  <r>
    <n v="3614"/>
    <x v="6"/>
    <s v="Freshwater"/>
    <x v="1"/>
    <x v="0"/>
    <n v="816"/>
    <s v="Samish River"/>
    <s v="Samish River"/>
    <s v="Skagit"/>
    <x v="1"/>
    <s v="Whatcom"/>
    <x v="11"/>
    <s v="North Puget Sound"/>
    <m/>
    <n v="896.19682539682594"/>
    <n v="7752.1025396825398"/>
  </r>
  <r>
    <n v="2411"/>
    <x v="6"/>
    <s v="Freshwater"/>
    <x v="1"/>
    <x v="0"/>
    <n v="825"/>
    <s v="Baker Lake"/>
    <s v="Baker Lake"/>
    <s v="Whatcom"/>
    <x v="1"/>
    <s v="Clallam"/>
    <x v="0"/>
    <s v="Strait of Juan de Fuca"/>
    <m/>
    <n v="9.6879049676026003"/>
    <n v="83.800377969762494"/>
  </r>
  <r>
    <n v="2407"/>
    <x v="6"/>
    <s v="Freshwater"/>
    <x v="1"/>
    <x v="0"/>
    <n v="825"/>
    <s v="Baker Lake"/>
    <s v="Baker Lake"/>
    <s v="Whatcom"/>
    <x v="1"/>
    <s v="Island"/>
    <x v="1"/>
    <s v="North Puget Sound"/>
    <m/>
    <n v="329.38876889848802"/>
    <n v="2849.21285097192"/>
  </r>
  <r>
    <n v="2408"/>
    <x v="6"/>
    <s v="Freshwater"/>
    <x v="1"/>
    <x v="0"/>
    <n v="825"/>
    <s v="Baker Lake"/>
    <s v="Baker Lake"/>
    <s v="Whatcom"/>
    <x v="1"/>
    <s v="King"/>
    <x v="3"/>
    <s v="South Puget Sound"/>
    <m/>
    <n v="1365.99460043197"/>
    <n v="11815.8532937365"/>
  </r>
  <r>
    <n v="2412"/>
    <x v="6"/>
    <s v="Freshwater"/>
    <x v="1"/>
    <x v="0"/>
    <n v="825"/>
    <s v="Baker Lake"/>
    <s v="Baker Lake"/>
    <s v="Whatcom"/>
    <x v="1"/>
    <s v="Other"/>
    <x v="6"/>
    <s v="Non Puget Sound"/>
    <m/>
    <n v="445.64362850971901"/>
    <n v="3854.8173866090701"/>
  </r>
  <r>
    <n v="2409"/>
    <x v="6"/>
    <s v="Freshwater"/>
    <x v="1"/>
    <x v="0"/>
    <n v="825"/>
    <s v="Baker Lake"/>
    <s v="Baker Lake"/>
    <s v="Whatcom"/>
    <x v="1"/>
    <s v="Pierce"/>
    <x v="7"/>
    <s v="South Puget Sound"/>
    <m/>
    <n v="435.95572354211703"/>
    <n v="3771.01700863931"/>
  </r>
  <r>
    <n v="2405"/>
    <x v="6"/>
    <s v="Freshwater"/>
    <x v="1"/>
    <x v="0"/>
    <n v="825"/>
    <s v="Baker Lake"/>
    <s v="Baker Lake"/>
    <s v="Whatcom"/>
    <x v="1"/>
    <s v="Skagit"/>
    <x v="8"/>
    <s v="North Puget Sound"/>
    <m/>
    <n v="2509.16738660907"/>
    <n v="21704.2978941685"/>
  </r>
  <r>
    <n v="2406"/>
    <x v="6"/>
    <s v="Freshwater"/>
    <x v="1"/>
    <x v="0"/>
    <n v="825"/>
    <s v="Baker Lake"/>
    <s v="Baker Lake"/>
    <s v="Whatcom"/>
    <x v="1"/>
    <s v="Snohomish"/>
    <x v="9"/>
    <s v="North Puget Sound"/>
    <m/>
    <n v="2848.24406047516"/>
    <n v="24637.311123110099"/>
  </r>
  <r>
    <n v="2410"/>
    <x v="6"/>
    <s v="Freshwater"/>
    <x v="1"/>
    <x v="0"/>
    <n v="825"/>
    <s v="Baker Lake"/>
    <s v="Baker Lake"/>
    <s v="Whatcom"/>
    <x v="1"/>
    <s v="Thurston"/>
    <x v="10"/>
    <s v="South Puget Sound"/>
    <m/>
    <n v="58.127429805615598"/>
    <n v="502.80226781857499"/>
  </r>
  <r>
    <n v="2404"/>
    <x v="6"/>
    <s v="Freshwater"/>
    <x v="1"/>
    <x v="0"/>
    <n v="825"/>
    <s v="Baker Lake"/>
    <s v="Baker Lake"/>
    <s v="Whatcom"/>
    <x v="1"/>
    <s v="Whatcom"/>
    <x v="11"/>
    <s v="North Puget Sound"/>
    <m/>
    <n v="968.79049676025897"/>
    <n v="8380.0377969762394"/>
  </r>
  <r>
    <n v="1299"/>
    <x v="6"/>
    <s v="Freshwater"/>
    <x v="1"/>
    <x v="0"/>
    <n v="826"/>
    <s v="Cascade River"/>
    <s v="Cascade River"/>
    <s v="Skagit"/>
    <x v="1"/>
    <s v="Island"/>
    <x v="1"/>
    <s v="North Puget Sound"/>
    <m/>
    <n v="27.302325581395401"/>
    <n v="236.16511627906999"/>
  </r>
  <r>
    <n v="1300"/>
    <x v="6"/>
    <s v="Freshwater"/>
    <x v="1"/>
    <x v="0"/>
    <n v="826"/>
    <s v="Cascade River"/>
    <s v="Cascade River"/>
    <s v="Skagit"/>
    <x v="1"/>
    <s v="King"/>
    <x v="3"/>
    <s v="South Puget Sound"/>
    <m/>
    <n v="209.31782945736401"/>
    <n v="1810.5992248062"/>
  </r>
  <r>
    <n v="1301"/>
    <x v="6"/>
    <s v="Freshwater"/>
    <x v="1"/>
    <x v="0"/>
    <n v="826"/>
    <s v="Cascade River"/>
    <s v="Cascade River"/>
    <s v="Skagit"/>
    <x v="1"/>
    <s v="Kitsap"/>
    <x v="4"/>
    <s v="South Puget Sound"/>
    <m/>
    <n v="63.7054263565892"/>
    <n v="551.05193798449704"/>
  </r>
  <r>
    <n v="1302"/>
    <x v="6"/>
    <s v="Freshwater"/>
    <x v="1"/>
    <x v="0"/>
    <n v="826"/>
    <s v="Cascade River"/>
    <s v="Cascade River"/>
    <s v="Skagit"/>
    <x v="1"/>
    <s v="Other"/>
    <x v="6"/>
    <s v="Non Puget Sound"/>
    <m/>
    <n v="27.302325581395401"/>
    <n v="236.16511627906999"/>
  </r>
  <r>
    <n v="1259"/>
    <x v="6"/>
    <s v="Freshwater"/>
    <x v="1"/>
    <x v="0"/>
    <n v="826"/>
    <s v="Cascade River"/>
    <s v="Cascade River"/>
    <s v="Skagit"/>
    <x v="1"/>
    <s v="Skagit"/>
    <x v="8"/>
    <s v="North Puget Sound"/>
    <m/>
    <n v="236.62015503876"/>
    <n v="2046.76434108527"/>
  </r>
  <r>
    <n v="1260"/>
    <x v="6"/>
    <s v="Freshwater"/>
    <x v="1"/>
    <x v="0"/>
    <n v="826"/>
    <s v="Cascade River"/>
    <s v="Cascade River"/>
    <s v="Skagit"/>
    <x v="1"/>
    <s v="Snohomish"/>
    <x v="9"/>
    <s v="North Puget Sound"/>
    <m/>
    <n v="491.44186046511601"/>
    <n v="4250.9720930232497"/>
  </r>
  <r>
    <n v="3682"/>
    <x v="6"/>
    <s v="Freshwater"/>
    <x v="1"/>
    <x v="0"/>
    <n v="826"/>
    <s v="Cascade River"/>
    <s v="Cascade River"/>
    <s v="Skagit"/>
    <x v="1"/>
    <s v="Whatcom"/>
    <x v="11"/>
    <s v="North Puget Sound"/>
    <m/>
    <n v="118.31007751938"/>
    <n v="1023.38217054264"/>
  </r>
  <r>
    <n v="2541"/>
    <x v="6"/>
    <s v="Freshwater"/>
    <x v="1"/>
    <x v="0"/>
    <n v="830"/>
    <s v="Skagit River"/>
    <s v="Skagit River"/>
    <s v="Skagit/Whatcom"/>
    <x v="2"/>
    <s v="Island"/>
    <x v="1"/>
    <s v="North Puget Sound"/>
    <m/>
    <n v="57.518796992481199"/>
    <n v="497.53759398496197"/>
  </r>
  <r>
    <n v="2576"/>
    <x v="6"/>
    <s v="Freshwater"/>
    <x v="1"/>
    <x v="0"/>
    <n v="830"/>
    <s v="Skagit River"/>
    <s v="Skagit River"/>
    <s v="Skagit/Whatcom"/>
    <x v="2"/>
    <s v="King"/>
    <x v="3"/>
    <s v="South Puget Sound"/>
    <m/>
    <n v="67.105263157894797"/>
    <n v="580.46052631579005"/>
  </r>
  <r>
    <n v="2577"/>
    <x v="6"/>
    <s v="Freshwater"/>
    <x v="1"/>
    <x v="0"/>
    <n v="830"/>
    <s v="Skagit River"/>
    <s v="Skagit River"/>
    <s v="Skagit/Whatcom"/>
    <x v="2"/>
    <s v="Other"/>
    <x v="6"/>
    <s v="Non Puget Sound"/>
    <m/>
    <n v="86.278195488721806"/>
    <n v="746.30639097744404"/>
  </r>
  <r>
    <n v="2536"/>
    <x v="6"/>
    <s v="Freshwater"/>
    <x v="1"/>
    <x v="0"/>
    <n v="830"/>
    <s v="Skagit River"/>
    <s v="Skagit River"/>
    <s v="Skagit/Whatcom"/>
    <x v="2"/>
    <s v="Skagit"/>
    <x v="8"/>
    <s v="North Puget Sound"/>
    <m/>
    <n v="1687.2180451127799"/>
    <n v="14594.436090225499"/>
  </r>
  <r>
    <n v="2540"/>
    <x v="6"/>
    <s v="Freshwater"/>
    <x v="1"/>
    <x v="0"/>
    <n v="830"/>
    <s v="Skagit River"/>
    <s v="Skagit River"/>
    <s v="Skagit/Whatcom"/>
    <x v="2"/>
    <s v="Snohomish"/>
    <x v="9"/>
    <s v="North Puget Sound"/>
    <m/>
    <n v="153.38345864661699"/>
    <n v="1326.7669172932401"/>
  </r>
  <r>
    <n v="2535"/>
    <x v="6"/>
    <s v="Freshwater"/>
    <x v="1"/>
    <x v="0"/>
    <n v="830"/>
    <s v="Skagit River"/>
    <s v="Skagit River"/>
    <s v="Skagit/Whatcom"/>
    <x v="2"/>
    <s v="Whatcom"/>
    <x v="11"/>
    <s v="North Puget Sound"/>
    <m/>
    <n v="498.49624060150398"/>
    <n v="4311.9924812030104"/>
  </r>
  <r>
    <n v="2218"/>
    <x v="6"/>
    <s v="Freshwater"/>
    <x v="1"/>
    <x v="0"/>
    <n v="844"/>
    <s v="Skykomish River"/>
    <s v="Skykomish River"/>
    <s v="Snohomish"/>
    <x v="2"/>
    <s v="Jefferson"/>
    <x v="2"/>
    <s v="Strait of Juan de Fuca"/>
    <m/>
    <n v="22.862745098039198"/>
    <n v="197.76274509803901"/>
  </r>
  <r>
    <n v="2216"/>
    <x v="6"/>
    <s v="Freshwater"/>
    <x v="1"/>
    <x v="0"/>
    <n v="844"/>
    <s v="Skykomish River"/>
    <s v="Skykomish River"/>
    <s v="Snohomish"/>
    <x v="2"/>
    <s v="King"/>
    <x v="3"/>
    <s v="South Puget Sound"/>
    <m/>
    <n v="480.11764705882399"/>
    <n v="4153.0176470588303"/>
  </r>
  <r>
    <n v="2219"/>
    <x v="6"/>
    <s v="Freshwater"/>
    <x v="1"/>
    <x v="0"/>
    <n v="844"/>
    <s v="Skykomish River"/>
    <s v="Skykomish River"/>
    <s v="Snohomish"/>
    <x v="2"/>
    <s v="Other"/>
    <x v="6"/>
    <s v="Non Puget Sound"/>
    <m/>
    <n v="68.588235294117695"/>
    <n v="593.28823529411795"/>
  </r>
  <r>
    <n v="2217"/>
    <x v="6"/>
    <s v="Freshwater"/>
    <x v="1"/>
    <x v="0"/>
    <n v="844"/>
    <s v="Skykomish River"/>
    <s v="Skykomish River"/>
    <s v="Snohomish"/>
    <x v="2"/>
    <s v="Pierce"/>
    <x v="7"/>
    <s v="South Puget Sound"/>
    <m/>
    <n v="30.483660130718999"/>
    <n v="263.68366013071898"/>
  </r>
  <r>
    <n v="2214"/>
    <x v="6"/>
    <s v="Freshwater"/>
    <x v="1"/>
    <x v="0"/>
    <n v="844"/>
    <s v="Skykomish River"/>
    <s v="Skykomish River"/>
    <s v="Snohomish"/>
    <x v="2"/>
    <s v="Skagit"/>
    <x v="8"/>
    <s v="North Puget Sound"/>
    <m/>
    <n v="7.6209150326797399"/>
    <n v="65.920915032679801"/>
  </r>
  <r>
    <n v="2215"/>
    <x v="6"/>
    <s v="Freshwater"/>
    <x v="1"/>
    <x v="0"/>
    <n v="844"/>
    <s v="Skykomish River"/>
    <s v="Skykomish River"/>
    <s v="Snohomish"/>
    <x v="2"/>
    <s v="Snohomish"/>
    <x v="9"/>
    <s v="North Puget Sound"/>
    <m/>
    <n v="556.32679738562103"/>
    <n v="4812.2267973856196"/>
  </r>
  <r>
    <n v="2227"/>
    <x v="6"/>
    <s v="Freshwater"/>
    <x v="1"/>
    <x v="0"/>
    <n v="850"/>
    <s v="Snohomish River"/>
    <s v="Snohomish River"/>
    <s v="Snohomish"/>
    <x v="2"/>
    <s v="Island"/>
    <x v="1"/>
    <s v="North Puget Sound"/>
    <m/>
    <n v="17.464285714285701"/>
    <n v="151.06607142857101"/>
  </r>
  <r>
    <n v="2324"/>
    <x v="6"/>
    <s v="Freshwater"/>
    <x v="1"/>
    <x v="0"/>
    <n v="850"/>
    <s v="Snohomish River"/>
    <s v="Snohomish River"/>
    <s v="Snohomish"/>
    <x v="2"/>
    <s v="King"/>
    <x v="3"/>
    <s v="South Puget Sound"/>
    <m/>
    <n v="43.660714285714299"/>
    <n v="377.66517857142901"/>
  </r>
  <r>
    <n v="2325"/>
    <x v="6"/>
    <s v="Freshwater"/>
    <x v="1"/>
    <x v="0"/>
    <n v="850"/>
    <s v="Snohomish River"/>
    <s v="Snohomish River"/>
    <s v="Snohomish"/>
    <x v="2"/>
    <s v="Other"/>
    <x v="6"/>
    <s v="Non Puget Sound"/>
    <m/>
    <n v="17.464285714285701"/>
    <n v="151.06607142857101"/>
  </r>
  <r>
    <n v="2220"/>
    <x v="6"/>
    <s v="Freshwater"/>
    <x v="1"/>
    <x v="0"/>
    <n v="850"/>
    <s v="Snohomish River"/>
    <s v="Snohomish River"/>
    <s v="Snohomish"/>
    <x v="2"/>
    <s v="Skagit"/>
    <x v="8"/>
    <s v="North Puget Sound"/>
    <m/>
    <n v="34.928571428571402"/>
    <n v="302.13214285714298"/>
  </r>
  <r>
    <n v="2226"/>
    <x v="6"/>
    <s v="Freshwater"/>
    <x v="1"/>
    <x v="0"/>
    <n v="850"/>
    <s v="Snohomish River"/>
    <s v="Snohomish River"/>
    <s v="Snohomish"/>
    <x v="2"/>
    <s v="Snohomish"/>
    <x v="9"/>
    <s v="North Puget Sound"/>
    <m/>
    <n v="375.482142857143"/>
    <n v="3247.9205357142901"/>
  </r>
  <r>
    <n v="2327"/>
    <x v="6"/>
    <s v="Freshwater"/>
    <x v="1"/>
    <x v="0"/>
    <n v="860"/>
    <s v="Wallace River"/>
    <s v="Wallace River"/>
    <s v="Snohomish"/>
    <x v="2"/>
    <s v="King"/>
    <x v="3"/>
    <s v="South Puget Sound"/>
    <m/>
    <n v="159.07142857142901"/>
    <n v="1375.9678571428601"/>
  </r>
  <r>
    <n v="2326"/>
    <x v="6"/>
    <s v="Freshwater"/>
    <x v="1"/>
    <x v="0"/>
    <n v="860"/>
    <s v="Wallace River"/>
    <s v="Wallace River"/>
    <s v="Snohomish"/>
    <x v="2"/>
    <s v="Snohomish"/>
    <x v="9"/>
    <s v="North Puget Sound"/>
    <m/>
    <n v="102.928571428571"/>
    <n v="890.33214285713905"/>
  </r>
  <r>
    <n v="2416"/>
    <x v="6"/>
    <s v="Freshwater"/>
    <x v="1"/>
    <x v="0"/>
    <n v="884"/>
    <s v="Whatcom Creek"/>
    <s v="Whatcom Creek"/>
    <s v="Whatcom"/>
    <x v="1"/>
    <s v="Island"/>
    <x v="1"/>
    <s v="North Puget Sound"/>
    <m/>
    <n v="255.99593495935"/>
    <n v="2214.3648373983801"/>
  </r>
  <r>
    <n v="2417"/>
    <x v="6"/>
    <s v="Freshwater"/>
    <x v="1"/>
    <x v="0"/>
    <n v="884"/>
    <s v="Whatcom Creek"/>
    <s v="Whatcom Creek"/>
    <s v="Whatcom"/>
    <x v="1"/>
    <s v="King"/>
    <x v="3"/>
    <s v="South Puget Sound"/>
    <m/>
    <n v="266.23577235772399"/>
    <n v="2302.9394308943101"/>
  </r>
  <r>
    <n v="2420"/>
    <x v="6"/>
    <s v="Freshwater"/>
    <x v="1"/>
    <x v="0"/>
    <n v="884"/>
    <s v="Whatcom Creek"/>
    <s v="Whatcom Creek"/>
    <s v="Whatcom"/>
    <x v="1"/>
    <s v="Mason"/>
    <x v="5"/>
    <s v="South Puget Sound"/>
    <m/>
    <n v="20.479674796748"/>
    <n v="177.14918699187001"/>
  </r>
  <r>
    <n v="2421"/>
    <x v="6"/>
    <s v="Freshwater"/>
    <x v="1"/>
    <x v="0"/>
    <n v="884"/>
    <s v="Whatcom Creek"/>
    <s v="Whatcom Creek"/>
    <s v="Whatcom"/>
    <x v="1"/>
    <s v="Other"/>
    <x v="6"/>
    <s v="Non Puget Sound"/>
    <m/>
    <n v="61.439024390243901"/>
    <n v="531.44756097561003"/>
  </r>
  <r>
    <n v="2414"/>
    <x v="6"/>
    <s v="Freshwater"/>
    <x v="1"/>
    <x v="0"/>
    <n v="884"/>
    <s v="Whatcom Creek"/>
    <s v="Whatcom Creek"/>
    <s v="Whatcom"/>
    <x v="1"/>
    <s v="Skagit"/>
    <x v="8"/>
    <s v="North Puget Sound"/>
    <m/>
    <n v="440.31300813008102"/>
    <n v="3808.7075203252002"/>
  </r>
  <r>
    <n v="2415"/>
    <x v="6"/>
    <s v="Freshwater"/>
    <x v="1"/>
    <x v="0"/>
    <n v="884"/>
    <s v="Whatcom Creek"/>
    <s v="Whatcom Creek"/>
    <s v="Whatcom"/>
    <x v="1"/>
    <s v="Snohomish"/>
    <x v="9"/>
    <s v="North Puget Sound"/>
    <m/>
    <n v="1423.33739837398"/>
    <n v="12311.868495934899"/>
  </r>
  <r>
    <n v="2413"/>
    <x v="6"/>
    <s v="Freshwater"/>
    <x v="1"/>
    <x v="0"/>
    <n v="884"/>
    <s v="Whatcom Creek"/>
    <s v="Whatcom Creek"/>
    <s v="Whatcom"/>
    <x v="1"/>
    <s v="Whatcom"/>
    <x v="11"/>
    <s v="North Puget Sound"/>
    <m/>
    <n v="2570.1991869918702"/>
    <n v="22232.222967479702"/>
  </r>
  <r>
    <n v="2519"/>
    <x v="7"/>
    <s v="Freshwater"/>
    <x v="1"/>
    <x v="0"/>
    <n v="724"/>
    <s v="Dakota Creek (Whatcom Co)"/>
    <s v="Dakota Creek (Whatcom Co)"/>
    <s v="Whatcom"/>
    <x v="1"/>
    <s v="Whatcom"/>
    <x v="11"/>
    <s v="North Puget Sound"/>
    <m/>
    <n v="39"/>
    <n v="134.16"/>
  </r>
  <r>
    <n v="275"/>
    <x v="7"/>
    <s v="Freshwater"/>
    <x v="1"/>
    <x v="0"/>
    <n v="728"/>
    <s v="Deschutes River"/>
    <s v="Deschutes River"/>
    <s v="Thurston"/>
    <x v="3"/>
    <s v="King"/>
    <x v="3"/>
    <s v="South Puget Sound"/>
    <m/>
    <n v="10"/>
    <n v="34.4"/>
  </r>
  <r>
    <n v="765"/>
    <x v="7"/>
    <s v="Freshwater"/>
    <x v="1"/>
    <x v="0"/>
    <n v="732"/>
    <s v="Dewatto River"/>
    <s v="Dewatto River"/>
    <s v="Mason"/>
    <x v="3"/>
    <s v="King"/>
    <x v="3"/>
    <s v="South Puget Sound"/>
    <m/>
    <n v="10.192307692307701"/>
    <n v="35.061538461538497"/>
  </r>
  <r>
    <n v="766"/>
    <x v="7"/>
    <s v="Freshwater"/>
    <x v="1"/>
    <x v="0"/>
    <n v="732"/>
    <s v="Dewatto River"/>
    <s v="Dewatto River"/>
    <s v="Mason"/>
    <x v="3"/>
    <s v="Kitsap"/>
    <x v="4"/>
    <s v="South Puget Sound"/>
    <m/>
    <n v="254.80769230769201"/>
    <n v="876.53846153846098"/>
  </r>
  <r>
    <n v="926"/>
    <x v="7"/>
    <s v="Freshwater"/>
    <x v="1"/>
    <x v="0"/>
    <n v="736"/>
    <s v="Duckabush River"/>
    <s v="Duckabush River"/>
    <s v="Jefferson"/>
    <x v="4"/>
    <s v="Jefferson"/>
    <x v="2"/>
    <s v="Strait of Juan de Fuca"/>
    <m/>
    <n v="21"/>
    <n v="72.239999999999995"/>
  </r>
  <r>
    <n v="2321"/>
    <x v="7"/>
    <s v="Freshwater"/>
    <x v="1"/>
    <x v="0"/>
    <n v="738"/>
    <s v="Dungeness River"/>
    <s v="Dungeness River"/>
    <s v="Clallam"/>
    <x v="0"/>
    <s v="Clallam"/>
    <x v="0"/>
    <s v="Strait of Juan de Fuca"/>
    <m/>
    <n v="757.28155339805801"/>
    <n v="2605.04854368932"/>
  </r>
  <r>
    <n v="2322"/>
    <x v="7"/>
    <s v="Freshwater"/>
    <x v="1"/>
    <x v="0"/>
    <n v="738"/>
    <s v="Dungeness River"/>
    <s v="Dungeness River"/>
    <s v="Clallam"/>
    <x v="0"/>
    <s v="Jefferson"/>
    <x v="2"/>
    <s v="Strait of Juan de Fuca"/>
    <m/>
    <n v="80.776699029126206"/>
    <n v="277.87184466019397"/>
  </r>
  <r>
    <n v="2317"/>
    <x v="7"/>
    <s v="Freshwater"/>
    <x v="1"/>
    <x v="0"/>
    <n v="738"/>
    <s v="Dungeness River"/>
    <s v="Dungeness River"/>
    <s v="Clallam"/>
    <x v="0"/>
    <s v="King"/>
    <x v="3"/>
    <s v="South Puget Sound"/>
    <m/>
    <n v="141.359223300971"/>
    <n v="486.27572815534"/>
  </r>
  <r>
    <n v="2320"/>
    <x v="7"/>
    <s v="Freshwater"/>
    <x v="1"/>
    <x v="0"/>
    <n v="738"/>
    <s v="Dungeness River"/>
    <s v="Dungeness River"/>
    <s v="Clallam"/>
    <x v="0"/>
    <s v="Kitsap"/>
    <x v="4"/>
    <s v="South Puget Sound"/>
    <m/>
    <n v="30.291262135922299"/>
    <n v="104.201941747573"/>
  </r>
  <r>
    <n v="2319"/>
    <x v="7"/>
    <s v="Freshwater"/>
    <x v="1"/>
    <x v="0"/>
    <n v="738"/>
    <s v="Dungeness River"/>
    <s v="Dungeness River"/>
    <s v="Clallam"/>
    <x v="0"/>
    <s v="Mason"/>
    <x v="5"/>
    <s v="South Puget Sound"/>
    <m/>
    <n v="10.097087378640801"/>
    <n v="34.733980582524403"/>
  </r>
  <r>
    <n v="2323"/>
    <x v="7"/>
    <s v="Freshwater"/>
    <x v="1"/>
    <x v="0"/>
    <n v="738"/>
    <s v="Dungeness River"/>
    <s v="Dungeness River"/>
    <s v="Clallam"/>
    <x v="0"/>
    <s v="Other"/>
    <x v="6"/>
    <s v="Non Puget Sound"/>
    <m/>
    <n v="10.097087378640801"/>
    <n v="34.733980582524403"/>
  </r>
  <r>
    <n v="2318"/>
    <x v="7"/>
    <s v="Freshwater"/>
    <x v="1"/>
    <x v="0"/>
    <n v="738"/>
    <s v="Dungeness River"/>
    <s v="Dungeness River"/>
    <s v="Clallam"/>
    <x v="0"/>
    <s v="Pierce"/>
    <x v="7"/>
    <s v="South Puget Sound"/>
    <m/>
    <n v="10.097087378640801"/>
    <n v="34.733980582524403"/>
  </r>
  <r>
    <n v="3700"/>
    <x v="7"/>
    <s v="Freshwater"/>
    <x v="1"/>
    <x v="0"/>
    <n v="746"/>
    <s v="Green - Duwamish River"/>
    <s v="Green - Duwamish River"/>
    <s v="King"/>
    <x v="3"/>
    <s v="King"/>
    <x v="3"/>
    <s v="South Puget Sound"/>
    <m/>
    <n v="7044.8432919954903"/>
    <n v="24234.260924464499"/>
  </r>
  <r>
    <n v="3702"/>
    <x v="7"/>
    <s v="Freshwater"/>
    <x v="1"/>
    <x v="0"/>
    <n v="746"/>
    <s v="Green - Duwamish River"/>
    <s v="Green - Duwamish River"/>
    <s v="King"/>
    <x v="3"/>
    <s v="Kitsap"/>
    <x v="4"/>
    <s v="South Puget Sound"/>
    <m/>
    <n v="20.302142051860201"/>
    <n v="69.839368658399096"/>
  </r>
  <r>
    <n v="1"/>
    <x v="7"/>
    <s v="Freshwater"/>
    <x v="1"/>
    <x v="0"/>
    <n v="746"/>
    <s v="Green - Duwamish River"/>
    <s v="Green - Duwamish River"/>
    <s v="King"/>
    <x v="3"/>
    <s v="Other"/>
    <x v="6"/>
    <s v="Non Puget Sound"/>
    <m/>
    <n v="741.02818489289803"/>
    <n v="2549.1369560315702"/>
  </r>
  <r>
    <n v="3701"/>
    <x v="7"/>
    <s v="Freshwater"/>
    <x v="1"/>
    <x v="0"/>
    <n v="746"/>
    <s v="Green - Duwamish River"/>
    <s v="Green - Duwamish River"/>
    <s v="King"/>
    <x v="3"/>
    <s v="Pierce"/>
    <x v="7"/>
    <s v="South Puget Sound"/>
    <m/>
    <n v="1035.4092446448699"/>
    <n v="3561.8078015783499"/>
  </r>
  <r>
    <n v="3674"/>
    <x v="7"/>
    <s v="Freshwater"/>
    <x v="1"/>
    <x v="0"/>
    <n v="746"/>
    <s v="Green - Duwamish River"/>
    <s v="Green - Duwamish River"/>
    <s v="King"/>
    <x v="3"/>
    <s v="Snohomish"/>
    <x v="9"/>
    <s v="North Puget Sound"/>
    <m/>
    <n v="162.41713641488201"/>
    <n v="558.71494926719402"/>
  </r>
  <r>
    <n v="957"/>
    <x v="7"/>
    <s v="Freshwater"/>
    <x v="1"/>
    <x v="0"/>
    <n v="754"/>
    <s v="Kennedy Creek"/>
    <s v="Kennedy Creek"/>
    <s v="Mason/Thurston"/>
    <x v="3"/>
    <s v="Mason"/>
    <x v="5"/>
    <s v="South Puget Sound"/>
    <m/>
    <n v="20.6666666666667"/>
    <n v="71.093333333333405"/>
  </r>
  <r>
    <n v="875"/>
    <x v="7"/>
    <s v="Freshwater"/>
    <x v="1"/>
    <x v="0"/>
    <n v="754"/>
    <s v="Kennedy Creek"/>
    <s v="Kennedy Creek"/>
    <s v="Mason/Thurston"/>
    <x v="3"/>
    <s v="Pierce"/>
    <x v="7"/>
    <s v="South Puget Sound"/>
    <m/>
    <n v="31"/>
    <n v="106.64"/>
  </r>
  <r>
    <n v="876"/>
    <x v="7"/>
    <s v="Freshwater"/>
    <x v="1"/>
    <x v="0"/>
    <n v="754"/>
    <s v="Kennedy Creek"/>
    <s v="Kennedy Creek"/>
    <s v="Mason/Thurston"/>
    <x v="3"/>
    <s v="Thurston"/>
    <x v="10"/>
    <s v="South Puget Sound"/>
    <m/>
    <n v="10.3333333333333"/>
    <n v="35.546666666666603"/>
  </r>
  <r>
    <n v="3"/>
    <x v="7"/>
    <s v="Freshwater"/>
    <x v="1"/>
    <x v="0"/>
    <n v="762"/>
    <s v="Lake Washington"/>
    <s v="Lake Washington"/>
    <s v="King"/>
    <x v="3"/>
    <s v="King"/>
    <x v="3"/>
    <s v="South Puget Sound"/>
    <m/>
    <n v="326.90196078431399"/>
    <n v="1124.5427450980401"/>
  </r>
  <r>
    <n v="2"/>
    <x v="7"/>
    <s v="Freshwater"/>
    <x v="1"/>
    <x v="0"/>
    <n v="762"/>
    <s v="Lake Washington"/>
    <s v="Lake Washington"/>
    <s v="King"/>
    <x v="3"/>
    <s v="Snohomish"/>
    <x v="9"/>
    <s v="North Puget Sound"/>
    <m/>
    <n v="194.09803921568599"/>
    <n v="667.69725490196004"/>
  </r>
  <r>
    <n v="4"/>
    <x v="7"/>
    <s v="Freshwater"/>
    <x v="1"/>
    <x v="0"/>
    <n v="764"/>
    <s v="Lake Sammamish"/>
    <s v="Lake Sammamish"/>
    <s v="King"/>
    <x v="3"/>
    <s v="King"/>
    <x v="3"/>
    <s v="South Puget Sound"/>
    <m/>
    <n v="20.5"/>
    <n v="70.52"/>
  </r>
  <r>
    <n v="5"/>
    <x v="7"/>
    <s v="Freshwater"/>
    <x v="1"/>
    <x v="0"/>
    <n v="764"/>
    <s v="Lake Sammamish"/>
    <s v="Lake Sammamish"/>
    <s v="King"/>
    <x v="3"/>
    <s v="Thurston"/>
    <x v="10"/>
    <s v="South Puget Sound"/>
    <m/>
    <n v="20.5"/>
    <n v="70.52"/>
  </r>
  <r>
    <n v="544"/>
    <x v="7"/>
    <s v="Freshwater"/>
    <x v="1"/>
    <x v="0"/>
    <n v="778"/>
    <s v="Minter Creek"/>
    <s v="Minter Creek"/>
    <s v="Kitsap/Pierce"/>
    <x v="3"/>
    <s v="King"/>
    <x v="3"/>
    <s v="South Puget Sound"/>
    <m/>
    <n v="2678.8479262672799"/>
    <n v="9215.2368663594407"/>
  </r>
  <r>
    <n v="547"/>
    <x v="7"/>
    <s v="Freshwater"/>
    <x v="1"/>
    <x v="0"/>
    <n v="778"/>
    <s v="Minter Creek"/>
    <s v="Minter Creek"/>
    <s v="Kitsap/Pierce"/>
    <x v="3"/>
    <s v="Kitsap"/>
    <x v="4"/>
    <s v="South Puget Sound"/>
    <m/>
    <n v="347.25806451612902"/>
    <n v="1194.5677419354799"/>
  </r>
  <r>
    <n v="548"/>
    <x v="7"/>
    <s v="Freshwater"/>
    <x v="1"/>
    <x v="0"/>
    <n v="778"/>
    <s v="Minter Creek"/>
    <s v="Minter Creek"/>
    <s v="Kitsap/Pierce"/>
    <x v="3"/>
    <s v="Other"/>
    <x v="6"/>
    <s v="Non Puget Sound"/>
    <m/>
    <n v="515.92626728110599"/>
    <n v="1774.786359447"/>
  </r>
  <r>
    <n v="545"/>
    <x v="7"/>
    <s v="Freshwater"/>
    <x v="1"/>
    <x v="0"/>
    <n v="778"/>
    <s v="Minter Creek"/>
    <s v="Minter Creek"/>
    <s v="Kitsap/Pierce"/>
    <x v="3"/>
    <s v="Pierce"/>
    <x v="7"/>
    <s v="South Puget Sound"/>
    <m/>
    <n v="2500.2580645161302"/>
    <n v="8600.8877419354903"/>
  </r>
  <r>
    <n v="543"/>
    <x v="7"/>
    <s v="Freshwater"/>
    <x v="1"/>
    <x v="0"/>
    <n v="778"/>
    <s v="Minter Creek"/>
    <s v="Minter Creek"/>
    <s v="Kitsap/Pierce"/>
    <x v="3"/>
    <s v="Snohomish"/>
    <x v="9"/>
    <s v="North Puget Sound"/>
    <m/>
    <n v="367.10138248847898"/>
    <n v="1262.8287557603701"/>
  </r>
  <r>
    <n v="546"/>
    <x v="7"/>
    <s v="Freshwater"/>
    <x v="1"/>
    <x v="0"/>
    <n v="778"/>
    <s v="Minter Creek"/>
    <s v="Minter Creek"/>
    <s v="Kitsap/Pierce"/>
    <x v="3"/>
    <s v="Thurston"/>
    <x v="10"/>
    <s v="South Puget Sound"/>
    <m/>
    <n v="49.608294930875601"/>
    <n v="170.652534562212"/>
  </r>
  <r>
    <n v="489"/>
    <x v="7"/>
    <s v="Freshwater"/>
    <x v="1"/>
    <x v="0"/>
    <n v="786"/>
    <s v="Nisqually River"/>
    <s v="Nisqually River"/>
    <s v="Thurston/Pierce"/>
    <x v="3"/>
    <s v="King"/>
    <x v="3"/>
    <s v="South Puget Sound"/>
    <m/>
    <n v="2377.13033953998"/>
    <n v="8177.32836801753"/>
  </r>
  <r>
    <n v="493"/>
    <x v="7"/>
    <s v="Freshwater"/>
    <x v="1"/>
    <x v="0"/>
    <n v="786"/>
    <s v="Nisqually River"/>
    <s v="Nisqually River"/>
    <s v="Thurston/Pierce"/>
    <x v="3"/>
    <s v="Kitsap"/>
    <x v="4"/>
    <s v="South Puget Sound"/>
    <m/>
    <n v="118.856516976999"/>
    <n v="408.86641840087702"/>
  </r>
  <r>
    <n v="492"/>
    <x v="7"/>
    <s v="Freshwater"/>
    <x v="1"/>
    <x v="0"/>
    <n v="786"/>
    <s v="Nisqually River"/>
    <s v="Nisqually River"/>
    <s v="Thurston/Pierce"/>
    <x v="3"/>
    <s v="Mason"/>
    <x v="5"/>
    <s v="South Puget Sound"/>
    <m/>
    <n v="59.428258488499502"/>
    <n v="204.433209200438"/>
  </r>
  <r>
    <n v="494"/>
    <x v="7"/>
    <s v="Freshwater"/>
    <x v="1"/>
    <x v="0"/>
    <n v="786"/>
    <s v="Nisqually River"/>
    <s v="Nisqually River"/>
    <s v="Thurston/Pierce"/>
    <x v="3"/>
    <s v="Other"/>
    <x v="6"/>
    <s v="Non Puget Sound"/>
    <m/>
    <n v="1030.0898138006601"/>
    <n v="3543.5089594742699"/>
  </r>
  <r>
    <n v="490"/>
    <x v="7"/>
    <s v="Freshwater"/>
    <x v="1"/>
    <x v="0"/>
    <n v="786"/>
    <s v="Nisqually River"/>
    <s v="Nisqually River"/>
    <s v="Thurston/Pierce"/>
    <x v="3"/>
    <s v="Pierce"/>
    <x v="7"/>
    <s v="South Puget Sound"/>
    <m/>
    <n v="6626.25082146769"/>
    <n v="22794.302825848899"/>
  </r>
  <r>
    <n v="488"/>
    <x v="7"/>
    <s v="Freshwater"/>
    <x v="1"/>
    <x v="0"/>
    <n v="786"/>
    <s v="Nisqually River"/>
    <s v="Nisqually River"/>
    <s v="Thurston/Pierce"/>
    <x v="3"/>
    <s v="Snohomish"/>
    <x v="9"/>
    <s v="North Puget Sound"/>
    <m/>
    <n v="188.189485213582"/>
    <n v="647.37182913472202"/>
  </r>
  <r>
    <n v="491"/>
    <x v="7"/>
    <s v="Freshwater"/>
    <x v="1"/>
    <x v="0"/>
    <n v="786"/>
    <s v="Nisqually River"/>
    <s v="Nisqually River"/>
    <s v="Thurston/Pierce"/>
    <x v="3"/>
    <s v="Thurston"/>
    <x v="10"/>
    <s v="South Puget Sound"/>
    <m/>
    <n v="7626.6265060241003"/>
    <n v="26235.595180722899"/>
  </r>
  <r>
    <n v="487"/>
    <x v="7"/>
    <s v="Freshwater"/>
    <x v="1"/>
    <x v="0"/>
    <n v="786"/>
    <s v="Nisqually River"/>
    <s v="Nisqually River"/>
    <s v="Thurston/Pierce"/>
    <x v="3"/>
    <s v="Whatcom"/>
    <x v="11"/>
    <s v="North Puget Sound"/>
    <m/>
    <n v="59.428258488499502"/>
    <n v="204.433209200438"/>
  </r>
  <r>
    <n v="2523"/>
    <x v="7"/>
    <s v="Freshwater"/>
    <x v="1"/>
    <x v="0"/>
    <n v="788"/>
    <s v="Nooksack River"/>
    <s v="Nooksack River"/>
    <s v="Whatcom"/>
    <x v="1"/>
    <s v="Island"/>
    <x v="1"/>
    <s v="North Puget Sound"/>
    <m/>
    <n v="96.715328467153299"/>
    <n v="332.70072992700699"/>
  </r>
  <r>
    <n v="2524"/>
    <x v="7"/>
    <s v="Freshwater"/>
    <x v="1"/>
    <x v="0"/>
    <n v="788"/>
    <s v="Nooksack River"/>
    <s v="Nooksack River"/>
    <s v="Whatcom"/>
    <x v="1"/>
    <s v="King"/>
    <x v="3"/>
    <s v="South Puget Sound"/>
    <m/>
    <n v="29.014598540146"/>
    <n v="99.810218978102199"/>
  </r>
  <r>
    <n v="2526"/>
    <x v="7"/>
    <s v="Freshwater"/>
    <x v="1"/>
    <x v="0"/>
    <n v="788"/>
    <s v="Nooksack River"/>
    <s v="Nooksack River"/>
    <s v="Whatcom"/>
    <x v="1"/>
    <s v="Other"/>
    <x v="6"/>
    <s v="Non Puget Sound"/>
    <m/>
    <n v="48.3576642335766"/>
    <n v="166.35036496350301"/>
  </r>
  <r>
    <n v="2525"/>
    <x v="7"/>
    <s v="Freshwater"/>
    <x v="1"/>
    <x v="0"/>
    <n v="788"/>
    <s v="Nooksack River"/>
    <s v="Nooksack River"/>
    <s v="Whatcom"/>
    <x v="1"/>
    <s v="Pierce"/>
    <x v="7"/>
    <s v="South Puget Sound"/>
    <m/>
    <n v="67.700729927007302"/>
    <n v="232.89051094890499"/>
  </r>
  <r>
    <n v="2521"/>
    <x v="7"/>
    <s v="Freshwater"/>
    <x v="1"/>
    <x v="0"/>
    <n v="788"/>
    <s v="Nooksack River"/>
    <s v="Nooksack River"/>
    <s v="Whatcom"/>
    <x v="1"/>
    <s v="Skagit"/>
    <x v="8"/>
    <s v="North Puget Sound"/>
    <m/>
    <n v="96.715328467153299"/>
    <n v="332.70072992700699"/>
  </r>
  <r>
    <n v="2522"/>
    <x v="7"/>
    <s v="Freshwater"/>
    <x v="1"/>
    <x v="0"/>
    <n v="788"/>
    <s v="Nooksack River"/>
    <s v="Nooksack River"/>
    <s v="Whatcom"/>
    <x v="1"/>
    <s v="Snohomish"/>
    <x v="9"/>
    <s v="North Puget Sound"/>
    <m/>
    <n v="135.401459854015"/>
    <n v="465.78102189781202"/>
  </r>
  <r>
    <n v="2520"/>
    <x v="7"/>
    <s v="Freshwater"/>
    <x v="1"/>
    <x v="0"/>
    <n v="788"/>
    <s v="Nooksack River"/>
    <s v="Nooksack River"/>
    <s v="Whatcom"/>
    <x v="1"/>
    <s v="Whatcom"/>
    <x v="11"/>
    <s v="North Puget Sound"/>
    <m/>
    <n v="2176.0948905109499"/>
    <n v="7485.7664233576697"/>
  </r>
  <r>
    <n v="355"/>
    <x v="7"/>
    <s v="Freshwater"/>
    <x v="1"/>
    <x v="0"/>
    <n v="802"/>
    <s v="Carbon River"/>
    <s v="Carbon River"/>
    <s v="Pierce"/>
    <x v="3"/>
    <s v="King"/>
    <x v="3"/>
    <s v="South Puget Sound"/>
    <m/>
    <n v="362.503267973856"/>
    <n v="1247.01124183006"/>
  </r>
  <r>
    <n v="357"/>
    <x v="7"/>
    <s v="Freshwater"/>
    <x v="1"/>
    <x v="0"/>
    <n v="802"/>
    <s v="Carbon River"/>
    <s v="Carbon River"/>
    <s v="Pierce"/>
    <x v="3"/>
    <s v="Kitsap"/>
    <x v="4"/>
    <s v="South Puget Sound"/>
    <m/>
    <n v="58.7843137254902"/>
    <n v="202.21803921568599"/>
  </r>
  <r>
    <n v="356"/>
    <x v="7"/>
    <s v="Freshwater"/>
    <x v="1"/>
    <x v="0"/>
    <n v="802"/>
    <s v="Carbon River"/>
    <s v="Carbon River"/>
    <s v="Pierce"/>
    <x v="3"/>
    <s v="Pierce"/>
    <x v="7"/>
    <s v="South Puget Sound"/>
    <m/>
    <n v="1077.7124183006499"/>
    <n v="3707.3307189542402"/>
  </r>
  <r>
    <n v="462"/>
    <x v="7"/>
    <s v="Freshwater"/>
    <x v="1"/>
    <x v="0"/>
    <n v="804"/>
    <s v="Puyallup River"/>
    <s v="Puyallup River"/>
    <s v="Pierce"/>
    <x v="3"/>
    <s v="King"/>
    <x v="3"/>
    <s v="South Puget Sound"/>
    <m/>
    <n v="5486.1074230537097"/>
    <n v="18872.209535304799"/>
  </r>
  <r>
    <n v="465"/>
    <x v="7"/>
    <s v="Freshwater"/>
    <x v="1"/>
    <x v="0"/>
    <n v="804"/>
    <s v="Puyallup River"/>
    <s v="Puyallup River"/>
    <s v="Pierce"/>
    <x v="3"/>
    <s v="Kitsap"/>
    <x v="4"/>
    <s v="South Puget Sound"/>
    <m/>
    <n v="254.71213035606499"/>
    <n v="876.20972842486401"/>
  </r>
  <r>
    <n v="466"/>
    <x v="7"/>
    <s v="Freshwater"/>
    <x v="1"/>
    <x v="0"/>
    <n v="804"/>
    <s v="Puyallup River"/>
    <s v="Puyallup River"/>
    <s v="Pierce"/>
    <x v="3"/>
    <s v="Other"/>
    <x v="6"/>
    <s v="Non Puget Sound"/>
    <m/>
    <n v="871.89921544960805"/>
    <n v="2999.3333011466498"/>
  </r>
  <r>
    <n v="463"/>
    <x v="7"/>
    <s v="Freshwater"/>
    <x v="1"/>
    <x v="0"/>
    <n v="804"/>
    <s v="Puyallup River"/>
    <s v="Puyallup River"/>
    <s v="Pierce"/>
    <x v="3"/>
    <s v="Pierce"/>
    <x v="7"/>
    <s v="South Puget Sound"/>
    <m/>
    <n v="9159.8400724200401"/>
    <n v="31509.849849124901"/>
  </r>
  <r>
    <n v="359"/>
    <x v="7"/>
    <s v="Freshwater"/>
    <x v="1"/>
    <x v="0"/>
    <n v="804"/>
    <s v="Puyallup River"/>
    <s v="Puyallup River"/>
    <s v="Pierce"/>
    <x v="3"/>
    <s v="Skagit"/>
    <x v="8"/>
    <s v="North Puget Sound"/>
    <m/>
    <n v="9.7966203983101998"/>
    <n v="33.700374170187096"/>
  </r>
  <r>
    <n v="360"/>
    <x v="7"/>
    <s v="Freshwater"/>
    <x v="1"/>
    <x v="0"/>
    <n v="804"/>
    <s v="Puyallup River"/>
    <s v="Puyallup River"/>
    <s v="Pierce"/>
    <x v="3"/>
    <s v="Snohomish"/>
    <x v="9"/>
    <s v="North Puget Sound"/>
    <m/>
    <n v="78.372963186481599"/>
    <n v="269.602993361497"/>
  </r>
  <r>
    <n v="464"/>
    <x v="7"/>
    <s v="Freshwater"/>
    <x v="1"/>
    <x v="0"/>
    <n v="804"/>
    <s v="Puyallup River"/>
    <s v="Puyallup River"/>
    <s v="Pierce"/>
    <x v="3"/>
    <s v="Thurston"/>
    <x v="10"/>
    <s v="South Puget Sound"/>
    <m/>
    <n v="362.47495473747699"/>
    <n v="1246.9138442969199"/>
  </r>
  <r>
    <n v="358"/>
    <x v="7"/>
    <s v="Freshwater"/>
    <x v="1"/>
    <x v="0"/>
    <n v="804"/>
    <s v="Puyallup River"/>
    <s v="Puyallup River"/>
    <s v="Pierce"/>
    <x v="3"/>
    <s v="Whatcom"/>
    <x v="11"/>
    <s v="North Puget Sound"/>
    <m/>
    <n v="9.7966203983101998"/>
    <n v="33.700374170187096"/>
  </r>
  <r>
    <n v="932"/>
    <x v="7"/>
    <s v="Freshwater"/>
    <x v="1"/>
    <x v="0"/>
    <n v="812"/>
    <s v="Quilcene River"/>
    <s v="Quilcene River"/>
    <s v="Jefferson"/>
    <x v="4"/>
    <s v="Clallam"/>
    <x v="0"/>
    <s v="Strait of Juan de Fuca"/>
    <m/>
    <n v="50.882352941176499"/>
    <n v="175.035294117647"/>
  </r>
  <r>
    <n v="933"/>
    <x v="7"/>
    <s v="Freshwater"/>
    <x v="1"/>
    <x v="0"/>
    <n v="812"/>
    <s v="Quilcene River"/>
    <s v="Quilcene River"/>
    <s v="Jefferson"/>
    <x v="4"/>
    <s v="Jefferson"/>
    <x v="2"/>
    <s v="Strait of Juan de Fuca"/>
    <m/>
    <n v="40.705882352941202"/>
    <n v="140.02823529411799"/>
  </r>
  <r>
    <n v="927"/>
    <x v="7"/>
    <s v="Freshwater"/>
    <x v="1"/>
    <x v="0"/>
    <n v="812"/>
    <s v="Quilcene River"/>
    <s v="Quilcene River"/>
    <s v="Jefferson"/>
    <x v="4"/>
    <s v="King"/>
    <x v="3"/>
    <s v="South Puget Sound"/>
    <m/>
    <n v="468.11764705882399"/>
    <n v="1610.3247058823499"/>
  </r>
  <r>
    <n v="931"/>
    <x v="7"/>
    <s v="Freshwater"/>
    <x v="1"/>
    <x v="0"/>
    <n v="812"/>
    <s v="Quilcene River"/>
    <s v="Quilcene River"/>
    <s v="Jefferson"/>
    <x v="4"/>
    <s v="Kitsap"/>
    <x v="4"/>
    <s v="South Puget Sound"/>
    <m/>
    <n v="661.47058823529403"/>
    <n v="2275.45882352941"/>
  </r>
  <r>
    <n v="930"/>
    <x v="7"/>
    <s v="Freshwater"/>
    <x v="1"/>
    <x v="0"/>
    <n v="812"/>
    <s v="Quilcene River"/>
    <s v="Quilcene River"/>
    <s v="Jefferson"/>
    <x v="4"/>
    <s v="Mason"/>
    <x v="5"/>
    <s v="South Puget Sound"/>
    <m/>
    <n v="213.70588235294099"/>
    <n v="735.14823529411694"/>
  </r>
  <r>
    <n v="934"/>
    <x v="7"/>
    <s v="Freshwater"/>
    <x v="1"/>
    <x v="0"/>
    <n v="812"/>
    <s v="Quilcene River"/>
    <s v="Quilcene River"/>
    <s v="Jefferson"/>
    <x v="4"/>
    <s v="Other"/>
    <x v="6"/>
    <s v="Non Puget Sound"/>
    <m/>
    <n v="274.76470588235298"/>
    <n v="945.19058823529394"/>
  </r>
  <r>
    <n v="928"/>
    <x v="7"/>
    <s v="Freshwater"/>
    <x v="1"/>
    <x v="0"/>
    <n v="812"/>
    <s v="Quilcene River"/>
    <s v="Quilcene River"/>
    <s v="Jefferson"/>
    <x v="4"/>
    <s v="Pierce"/>
    <x v="7"/>
    <s v="South Puget Sound"/>
    <m/>
    <n v="386.70588235294099"/>
    <n v="1330.2682352941199"/>
  </r>
  <r>
    <n v="929"/>
    <x v="7"/>
    <s v="Freshwater"/>
    <x v="1"/>
    <x v="0"/>
    <n v="812"/>
    <s v="Quilcene River"/>
    <s v="Quilcene River"/>
    <s v="Jefferson"/>
    <x v="4"/>
    <s v="Thurston"/>
    <x v="10"/>
    <s v="South Puget Sound"/>
    <m/>
    <n v="152.64705882352899"/>
    <n v="525.10588235293994"/>
  </r>
  <r>
    <n v="1333"/>
    <x v="7"/>
    <s v="Freshwater"/>
    <x v="1"/>
    <x v="0"/>
    <n v="816"/>
    <s v="Samish River"/>
    <s v="Samish River"/>
    <s v="Skagit"/>
    <x v="1"/>
    <s v="Island"/>
    <x v="1"/>
    <s v="North Puget Sound"/>
    <m/>
    <n v="261.11353211009202"/>
    <n v="898.23055045871604"/>
  </r>
  <r>
    <n v="1334"/>
    <x v="7"/>
    <s v="Freshwater"/>
    <x v="1"/>
    <x v="0"/>
    <n v="816"/>
    <s v="Samish River"/>
    <s v="Samish River"/>
    <s v="Skagit"/>
    <x v="1"/>
    <s v="King"/>
    <x v="3"/>
    <s v="South Puget Sound"/>
    <m/>
    <n v="1460.30160550459"/>
    <n v="5023.4375229357902"/>
  </r>
  <r>
    <n v="1336"/>
    <x v="7"/>
    <s v="Freshwater"/>
    <x v="1"/>
    <x v="0"/>
    <n v="816"/>
    <s v="Samish River"/>
    <s v="Samish River"/>
    <s v="Skagit"/>
    <x v="1"/>
    <s v="Other"/>
    <x v="6"/>
    <s v="Non Puget Sound"/>
    <m/>
    <n v="444.86009174311903"/>
    <n v="1530.3187155963301"/>
  </r>
  <r>
    <n v="1335"/>
    <x v="7"/>
    <s v="Freshwater"/>
    <x v="1"/>
    <x v="0"/>
    <n v="816"/>
    <s v="Samish River"/>
    <s v="Samish River"/>
    <s v="Skagit"/>
    <x v="1"/>
    <s v="Pierce"/>
    <x v="7"/>
    <s v="South Puget Sound"/>
    <m/>
    <n v="19.341743119266098"/>
    <n v="66.535596330275396"/>
  </r>
  <r>
    <n v="1304"/>
    <x v="7"/>
    <s v="Freshwater"/>
    <x v="1"/>
    <x v="0"/>
    <n v="816"/>
    <s v="Samish River"/>
    <s v="Samish River"/>
    <s v="Skagit"/>
    <x v="1"/>
    <s v="Skagit"/>
    <x v="8"/>
    <s v="North Puget Sound"/>
    <m/>
    <n v="1276.55504587156"/>
    <n v="4391.3493577981699"/>
  </r>
  <r>
    <n v="1332"/>
    <x v="7"/>
    <s v="Freshwater"/>
    <x v="1"/>
    <x v="0"/>
    <n v="816"/>
    <s v="Samish River"/>
    <s v="Samish River"/>
    <s v="Skagit"/>
    <x v="1"/>
    <s v="Snohomish"/>
    <x v="9"/>
    <s v="North Puget Sound"/>
    <m/>
    <n v="4071.4369266055101"/>
    <n v="14005.743027523"/>
  </r>
  <r>
    <n v="1303"/>
    <x v="7"/>
    <s v="Freshwater"/>
    <x v="1"/>
    <x v="0"/>
    <n v="816"/>
    <s v="Samish River"/>
    <s v="Samish River"/>
    <s v="Skagit"/>
    <x v="1"/>
    <s v="Whatcom"/>
    <x v="11"/>
    <s v="North Puget Sound"/>
    <m/>
    <n v="899.39105504587201"/>
    <n v="3093.9052293578002"/>
  </r>
  <r>
    <n v="2642"/>
    <x v="7"/>
    <s v="Freshwater"/>
    <x v="1"/>
    <x v="0"/>
    <n v="825"/>
    <s v="Baker Lake"/>
    <s v="Baker Lake"/>
    <s v="Whatcom"/>
    <x v="1"/>
    <s v="Clallam"/>
    <x v="0"/>
    <s v="Strait of Juan de Fuca"/>
    <m/>
    <n v="9.9750519750519793"/>
    <n v="34.314178794178801"/>
  </r>
  <r>
    <n v="2530"/>
    <x v="7"/>
    <s v="Freshwater"/>
    <x v="1"/>
    <x v="0"/>
    <n v="825"/>
    <s v="Baker Lake"/>
    <s v="Baker Lake"/>
    <s v="Whatcom"/>
    <x v="1"/>
    <s v="Island"/>
    <x v="1"/>
    <s v="North Puget Sound"/>
    <m/>
    <n v="169.57588357588401"/>
    <n v="583.341039501041"/>
  </r>
  <r>
    <n v="2533"/>
    <x v="7"/>
    <s v="Freshwater"/>
    <x v="1"/>
    <x v="0"/>
    <n v="825"/>
    <s v="Baker Lake"/>
    <s v="Baker Lake"/>
    <s v="Whatcom"/>
    <x v="1"/>
    <s v="King"/>
    <x v="3"/>
    <s v="South Puget Sound"/>
    <m/>
    <n v="488.777546777547"/>
    <n v="1681.3947609147599"/>
  </r>
  <r>
    <n v="2641"/>
    <x v="7"/>
    <s v="Freshwater"/>
    <x v="1"/>
    <x v="0"/>
    <n v="825"/>
    <s v="Baker Lake"/>
    <s v="Baker Lake"/>
    <s v="Whatcom"/>
    <x v="1"/>
    <s v="Mason"/>
    <x v="5"/>
    <s v="South Puget Sound"/>
    <m/>
    <n v="59.850311850311897"/>
    <n v="205.88507276507301"/>
  </r>
  <r>
    <n v="2643"/>
    <x v="7"/>
    <s v="Freshwater"/>
    <x v="1"/>
    <x v="0"/>
    <n v="825"/>
    <s v="Baker Lake"/>
    <s v="Baker Lake"/>
    <s v="Whatcom"/>
    <x v="1"/>
    <s v="Other"/>
    <x v="6"/>
    <s v="Non Puget Sound"/>
    <m/>
    <n v="249.37629937629899"/>
    <n v="857.85446985446902"/>
  </r>
  <r>
    <n v="2534"/>
    <x v="7"/>
    <s v="Freshwater"/>
    <x v="1"/>
    <x v="0"/>
    <n v="825"/>
    <s v="Baker Lake"/>
    <s v="Baker Lake"/>
    <s v="Whatcom"/>
    <x v="1"/>
    <s v="Pierce"/>
    <x v="7"/>
    <s v="South Puget Sound"/>
    <m/>
    <n v="269.32640332640301"/>
    <n v="926.48282744282596"/>
  </r>
  <r>
    <n v="2528"/>
    <x v="7"/>
    <s v="Freshwater"/>
    <x v="1"/>
    <x v="0"/>
    <n v="825"/>
    <s v="Baker Lake"/>
    <s v="Baker Lake"/>
    <s v="Whatcom"/>
    <x v="1"/>
    <s v="Skagit"/>
    <x v="8"/>
    <s v="North Puget Sound"/>
    <m/>
    <n v="1735.65904365904"/>
    <n v="5970.6671101870998"/>
  </r>
  <r>
    <n v="2529"/>
    <x v="7"/>
    <s v="Freshwater"/>
    <x v="1"/>
    <x v="0"/>
    <n v="825"/>
    <s v="Baker Lake"/>
    <s v="Baker Lake"/>
    <s v="Whatcom"/>
    <x v="1"/>
    <s v="Snohomish"/>
    <x v="9"/>
    <s v="North Puget Sound"/>
    <m/>
    <n v="1326.68191268191"/>
    <n v="4563.7857796257704"/>
  </r>
  <r>
    <n v="2640"/>
    <x v="7"/>
    <s v="Freshwater"/>
    <x v="1"/>
    <x v="0"/>
    <n v="825"/>
    <s v="Baker Lake"/>
    <s v="Baker Lake"/>
    <s v="Whatcom"/>
    <x v="1"/>
    <s v="Thurston"/>
    <x v="10"/>
    <s v="South Puget Sound"/>
    <m/>
    <n v="29.925155925155899"/>
    <n v="102.94253638253601"/>
  </r>
  <r>
    <n v="2527"/>
    <x v="7"/>
    <s v="Freshwater"/>
    <x v="1"/>
    <x v="0"/>
    <n v="825"/>
    <s v="Baker Lake"/>
    <s v="Baker Lake"/>
    <s v="Whatcom"/>
    <x v="1"/>
    <s v="Whatcom"/>
    <x v="11"/>
    <s v="North Puget Sound"/>
    <m/>
    <n v="458.85239085239101"/>
    <n v="1578.45222453223"/>
  </r>
  <r>
    <n v="1383"/>
    <x v="7"/>
    <s v="Freshwater"/>
    <x v="1"/>
    <x v="0"/>
    <n v="826"/>
    <s v="Cascade River"/>
    <s v="Cascade River"/>
    <s v="Skagit"/>
    <x v="1"/>
    <s v="King"/>
    <x v="3"/>
    <s v="South Puget Sound"/>
    <m/>
    <n v="20"/>
    <n v="68.8"/>
  </r>
  <r>
    <n v="1338"/>
    <x v="7"/>
    <s v="Freshwater"/>
    <x v="1"/>
    <x v="0"/>
    <n v="826"/>
    <s v="Cascade River"/>
    <s v="Cascade River"/>
    <s v="Skagit"/>
    <x v="1"/>
    <s v="Skagit"/>
    <x v="8"/>
    <s v="North Puget Sound"/>
    <m/>
    <n v="100"/>
    <n v="344"/>
  </r>
  <r>
    <n v="1382"/>
    <x v="7"/>
    <s v="Freshwater"/>
    <x v="1"/>
    <x v="0"/>
    <n v="826"/>
    <s v="Cascade River"/>
    <s v="Cascade River"/>
    <s v="Skagit"/>
    <x v="1"/>
    <s v="Snohomish"/>
    <x v="9"/>
    <s v="North Puget Sound"/>
    <m/>
    <n v="120"/>
    <n v="412.8"/>
  </r>
  <r>
    <n v="1337"/>
    <x v="7"/>
    <s v="Freshwater"/>
    <x v="1"/>
    <x v="0"/>
    <n v="826"/>
    <s v="Cascade River"/>
    <s v="Cascade River"/>
    <s v="Skagit"/>
    <x v="1"/>
    <s v="Whatcom"/>
    <x v="11"/>
    <s v="North Puget Sound"/>
    <m/>
    <n v="120"/>
    <n v="412.8"/>
  </r>
  <r>
    <n v="2581"/>
    <x v="7"/>
    <s v="Freshwater"/>
    <x v="1"/>
    <x v="0"/>
    <n v="830"/>
    <s v="Skagit River"/>
    <s v="Skagit River"/>
    <s v="Skagit/Whatcom"/>
    <x v="2"/>
    <s v="King"/>
    <x v="3"/>
    <s v="South Puget Sound"/>
    <m/>
    <n v="70"/>
    <n v="240.8"/>
  </r>
  <r>
    <n v="2617"/>
    <x v="7"/>
    <s v="Freshwater"/>
    <x v="1"/>
    <x v="0"/>
    <n v="830"/>
    <s v="Skagit River"/>
    <s v="Skagit River"/>
    <s v="Skagit/Whatcom"/>
    <x v="2"/>
    <s v="Other"/>
    <x v="6"/>
    <s v="Non Puget Sound"/>
    <m/>
    <n v="30"/>
    <n v="103.2"/>
  </r>
  <r>
    <n v="2579"/>
    <x v="7"/>
    <s v="Freshwater"/>
    <x v="1"/>
    <x v="0"/>
    <n v="830"/>
    <s v="Skagit River"/>
    <s v="Skagit River"/>
    <s v="Skagit/Whatcom"/>
    <x v="2"/>
    <s v="Skagit"/>
    <x v="8"/>
    <s v="North Puget Sound"/>
    <m/>
    <n v="180"/>
    <n v="619.20000000000005"/>
  </r>
  <r>
    <n v="2580"/>
    <x v="7"/>
    <s v="Freshwater"/>
    <x v="1"/>
    <x v="0"/>
    <n v="830"/>
    <s v="Skagit River"/>
    <s v="Skagit River"/>
    <s v="Skagit/Whatcom"/>
    <x v="2"/>
    <s v="Snohomish"/>
    <x v="9"/>
    <s v="North Puget Sound"/>
    <m/>
    <n v="130"/>
    <n v="447.2"/>
  </r>
  <r>
    <n v="2578"/>
    <x v="7"/>
    <s v="Freshwater"/>
    <x v="1"/>
    <x v="0"/>
    <n v="830"/>
    <s v="Skagit River"/>
    <s v="Skagit River"/>
    <s v="Skagit/Whatcom"/>
    <x v="2"/>
    <s v="Whatcom"/>
    <x v="11"/>
    <s v="North Puget Sound"/>
    <m/>
    <n v="170"/>
    <n v="584.79999999999995"/>
  </r>
  <r>
    <n v="2333"/>
    <x v="7"/>
    <s v="Freshwater"/>
    <x v="1"/>
    <x v="0"/>
    <n v="844"/>
    <s v="Skykomish River"/>
    <s v="Skykomish River"/>
    <s v="Snohomish"/>
    <x v="2"/>
    <s v="Island"/>
    <x v="1"/>
    <s v="North Puget Sound"/>
    <m/>
    <n v="39.191637630662001"/>
    <n v="134.819233449477"/>
  </r>
  <r>
    <n v="2335"/>
    <x v="7"/>
    <s v="Freshwater"/>
    <x v="1"/>
    <x v="0"/>
    <n v="844"/>
    <s v="Skykomish River"/>
    <s v="Skykomish River"/>
    <s v="Snohomish"/>
    <x v="2"/>
    <s v="King"/>
    <x v="3"/>
    <s v="South Puget Sound"/>
    <m/>
    <n v="1048.37630662021"/>
    <n v="3606.4144947735199"/>
  </r>
  <r>
    <n v="2435"/>
    <x v="7"/>
    <s v="Freshwater"/>
    <x v="1"/>
    <x v="0"/>
    <n v="844"/>
    <s v="Skykomish River"/>
    <s v="Skykomish River"/>
    <s v="Snohomish"/>
    <x v="2"/>
    <s v="Kitsap"/>
    <x v="4"/>
    <s v="South Puget Sound"/>
    <m/>
    <n v="9.7979094076655109"/>
    <n v="33.704808362369398"/>
  </r>
  <r>
    <n v="2436"/>
    <x v="7"/>
    <s v="Freshwater"/>
    <x v="1"/>
    <x v="0"/>
    <n v="844"/>
    <s v="Skykomish River"/>
    <s v="Skykomish River"/>
    <s v="Snohomish"/>
    <x v="2"/>
    <s v="Other"/>
    <x v="6"/>
    <s v="Non Puget Sound"/>
    <m/>
    <n v="137.170731707317"/>
    <n v="471.86731707317102"/>
  </r>
  <r>
    <n v="2433"/>
    <x v="7"/>
    <s v="Freshwater"/>
    <x v="1"/>
    <x v="0"/>
    <n v="844"/>
    <s v="Skykomish River"/>
    <s v="Skykomish River"/>
    <s v="Snohomish"/>
    <x v="2"/>
    <s v="Pierce"/>
    <x v="7"/>
    <s v="South Puget Sound"/>
    <m/>
    <n v="68.585365853658601"/>
    <n v="235.93365853658599"/>
  </r>
  <r>
    <n v="2334"/>
    <x v="7"/>
    <s v="Freshwater"/>
    <x v="1"/>
    <x v="0"/>
    <n v="844"/>
    <s v="Skykomish River"/>
    <s v="Skykomish River"/>
    <s v="Snohomish"/>
    <x v="2"/>
    <s v="San Juan"/>
    <x v="12"/>
    <s v="North Puget Sound"/>
    <m/>
    <n v="9.7979094076655109"/>
    <n v="33.704808362369398"/>
  </r>
  <r>
    <n v="2332"/>
    <x v="7"/>
    <s v="Freshwater"/>
    <x v="1"/>
    <x v="0"/>
    <n v="844"/>
    <s v="Skykomish River"/>
    <s v="Skykomish River"/>
    <s v="Snohomish"/>
    <x v="2"/>
    <s v="Snohomish"/>
    <x v="9"/>
    <s v="North Puget Sound"/>
    <m/>
    <n v="1469.6864111498301"/>
    <n v="5055.7212543554197"/>
  </r>
  <r>
    <n v="2434"/>
    <x v="7"/>
    <s v="Freshwater"/>
    <x v="1"/>
    <x v="0"/>
    <n v="844"/>
    <s v="Skykomish River"/>
    <s v="Skykomish River"/>
    <s v="Snohomish"/>
    <x v="2"/>
    <s v="Thurston"/>
    <x v="10"/>
    <s v="South Puget Sound"/>
    <m/>
    <n v="19.595818815331"/>
    <n v="67.409616724738598"/>
  </r>
  <r>
    <n v="2328"/>
    <x v="7"/>
    <s v="Freshwater"/>
    <x v="1"/>
    <x v="0"/>
    <n v="844"/>
    <s v="Skykomish River"/>
    <s v="Skykomish River"/>
    <s v="Snohomish"/>
    <x v="2"/>
    <s v="Whatcom"/>
    <x v="11"/>
    <s v="North Puget Sound"/>
    <m/>
    <n v="9.7979094076655109"/>
    <n v="33.704808362369398"/>
  </r>
  <r>
    <n v="2442"/>
    <x v="7"/>
    <s v="Freshwater"/>
    <x v="1"/>
    <x v="0"/>
    <n v="850"/>
    <s v="Snohomish River"/>
    <s v="Snohomish River"/>
    <s v="Snohomish"/>
    <x v="2"/>
    <s v="Island"/>
    <x v="1"/>
    <s v="North Puget Sound"/>
    <m/>
    <n v="127.19341894061"/>
    <n v="437.545361155698"/>
  </r>
  <r>
    <n v="2443"/>
    <x v="7"/>
    <s v="Freshwater"/>
    <x v="1"/>
    <x v="0"/>
    <n v="850"/>
    <s v="Snohomish River"/>
    <s v="Snohomish River"/>
    <s v="Snohomish"/>
    <x v="2"/>
    <s v="King"/>
    <x v="3"/>
    <s v="South Puget Sound"/>
    <m/>
    <n v="1878.5489566613201"/>
    <n v="6462.20841091494"/>
  </r>
  <r>
    <n v="2548"/>
    <x v="7"/>
    <s v="Freshwater"/>
    <x v="1"/>
    <x v="0"/>
    <n v="850"/>
    <s v="Snohomish River"/>
    <s v="Snohomish River"/>
    <s v="Snohomish"/>
    <x v="2"/>
    <s v="Other"/>
    <x v="6"/>
    <s v="Non Puget Sound"/>
    <m/>
    <n v="635.96709470304995"/>
    <n v="2187.72680577849"/>
  </r>
  <r>
    <n v="2547"/>
    <x v="7"/>
    <s v="Freshwater"/>
    <x v="1"/>
    <x v="0"/>
    <n v="850"/>
    <s v="Snohomish River"/>
    <s v="Snohomish River"/>
    <s v="Snohomish"/>
    <x v="2"/>
    <s v="Pierce"/>
    <x v="7"/>
    <s v="South Puget Sound"/>
    <m/>
    <n v="68.488764044943807"/>
    <n v="235.60134831460701"/>
  </r>
  <r>
    <n v="2440"/>
    <x v="7"/>
    <s v="Freshwater"/>
    <x v="1"/>
    <x v="0"/>
    <n v="850"/>
    <s v="Snohomish River"/>
    <s v="Snohomish River"/>
    <s v="Snohomish"/>
    <x v="2"/>
    <s v="Skagit"/>
    <x v="8"/>
    <s v="North Puget Sound"/>
    <m/>
    <n v="127.19341894061"/>
    <n v="437.545361155698"/>
  </r>
  <r>
    <n v="2441"/>
    <x v="7"/>
    <s v="Freshwater"/>
    <x v="1"/>
    <x v="0"/>
    <n v="850"/>
    <s v="Snohomish River"/>
    <s v="Snohomish River"/>
    <s v="Snohomish"/>
    <x v="2"/>
    <s v="Snohomish"/>
    <x v="9"/>
    <s v="North Puget Sound"/>
    <m/>
    <n v="9285.1195826645308"/>
    <n v="31940.811364366"/>
  </r>
  <r>
    <n v="2437"/>
    <x v="7"/>
    <s v="Freshwater"/>
    <x v="1"/>
    <x v="0"/>
    <n v="850"/>
    <s v="Snohomish River"/>
    <s v="Snohomish River"/>
    <s v="Snohomish"/>
    <x v="2"/>
    <s v="Whatcom"/>
    <x v="11"/>
    <s v="North Puget Sound"/>
    <m/>
    <n v="68.488764044943807"/>
    <n v="235.60134831460701"/>
  </r>
  <r>
    <n v="43"/>
    <x v="7"/>
    <s v="Freshwater"/>
    <x v="1"/>
    <x v="0"/>
    <n v="852"/>
    <s v="Snoqualmie River"/>
    <s v="Snoqualmie River"/>
    <s v="Snohomish/King"/>
    <x v="2"/>
    <s v="Clallam"/>
    <x v="0"/>
    <s v="Strait of Juan de Fuca"/>
    <m/>
    <n v="19.5"/>
    <n v="67.08"/>
  </r>
  <r>
    <n v="42"/>
    <x v="7"/>
    <s v="Freshwater"/>
    <x v="1"/>
    <x v="0"/>
    <n v="852"/>
    <s v="Snoqualmie River"/>
    <s v="Snoqualmie River"/>
    <s v="Snohomish/King"/>
    <x v="2"/>
    <s v="Snohomish"/>
    <x v="9"/>
    <s v="North Puget Sound"/>
    <m/>
    <n v="19.5"/>
    <n v="67.08"/>
  </r>
  <r>
    <n v="2550"/>
    <x v="7"/>
    <s v="Freshwater"/>
    <x v="1"/>
    <x v="0"/>
    <n v="860"/>
    <s v="Wallace River"/>
    <s v="Wallace River"/>
    <s v="Snohomish"/>
    <x v="2"/>
    <s v="King"/>
    <x v="3"/>
    <s v="South Puget Sound"/>
    <m/>
    <n v="97.924528301886795"/>
    <n v="336.86037735849101"/>
  </r>
  <r>
    <n v="2549"/>
    <x v="7"/>
    <s v="Freshwater"/>
    <x v="1"/>
    <x v="0"/>
    <n v="860"/>
    <s v="Wallace River"/>
    <s v="Wallace River"/>
    <s v="Snohomish"/>
    <x v="2"/>
    <s v="Snohomish"/>
    <x v="9"/>
    <s v="North Puget Sound"/>
    <m/>
    <n v="421.07547169811301"/>
    <n v="1448.4996226415101"/>
  </r>
  <r>
    <n v="2647"/>
    <x v="7"/>
    <s v="Freshwater"/>
    <x v="1"/>
    <x v="0"/>
    <n v="884"/>
    <s v="Whatcom Creek"/>
    <s v="Whatcom Creek"/>
    <s v="Whatcom"/>
    <x v="1"/>
    <s v="King"/>
    <x v="3"/>
    <s v="South Puget Sound"/>
    <m/>
    <n v="9.6666666666666696"/>
    <n v="33.253333333333302"/>
  </r>
  <r>
    <n v="2648"/>
    <x v="7"/>
    <s v="Freshwater"/>
    <x v="1"/>
    <x v="0"/>
    <n v="884"/>
    <s v="Whatcom Creek"/>
    <s v="Whatcom Creek"/>
    <s v="Whatcom"/>
    <x v="1"/>
    <s v="Pierce"/>
    <x v="7"/>
    <s v="South Puget Sound"/>
    <m/>
    <n v="38.6666666666667"/>
    <n v="133.01333333333301"/>
  </r>
  <r>
    <n v="2645"/>
    <x v="7"/>
    <s v="Freshwater"/>
    <x v="1"/>
    <x v="0"/>
    <n v="884"/>
    <s v="Whatcom Creek"/>
    <s v="Whatcom Creek"/>
    <s v="Whatcom"/>
    <x v="1"/>
    <s v="Skagit"/>
    <x v="8"/>
    <s v="North Puget Sound"/>
    <m/>
    <n v="29"/>
    <n v="99.76"/>
  </r>
  <r>
    <n v="2646"/>
    <x v="7"/>
    <s v="Freshwater"/>
    <x v="1"/>
    <x v="0"/>
    <n v="884"/>
    <s v="Whatcom Creek"/>
    <s v="Whatcom Creek"/>
    <s v="Whatcom"/>
    <x v="1"/>
    <s v="Snohomish"/>
    <x v="9"/>
    <s v="North Puget Sound"/>
    <m/>
    <n v="203"/>
    <n v="698.32"/>
  </r>
  <r>
    <n v="2644"/>
    <x v="7"/>
    <s v="Freshwater"/>
    <x v="1"/>
    <x v="0"/>
    <n v="884"/>
    <s v="Whatcom Creek"/>
    <s v="Whatcom Creek"/>
    <s v="Whatcom"/>
    <x v="1"/>
    <s v="Whatcom"/>
    <x v="11"/>
    <s v="North Puget Sound"/>
    <m/>
    <n v="618.66666666666697"/>
    <n v="2128.21333333333"/>
  </r>
  <r>
    <n v="467"/>
    <x v="8"/>
    <s v="Freshwater"/>
    <x v="1"/>
    <x v="0"/>
    <n v="714"/>
    <s v="Chambers Creek"/>
    <s v="Chambers Creek"/>
    <s v="Pierce"/>
    <x v="3"/>
    <s v="Pierce"/>
    <x v="7"/>
    <s v="South Puget Sound"/>
    <m/>
    <n v="2"/>
    <n v="17.3"/>
  </r>
  <r>
    <n v="2649"/>
    <x v="8"/>
    <s v="Freshwater"/>
    <x v="1"/>
    <x v="0"/>
    <n v="724"/>
    <s v="Dakota Creek (Whatcom Co)"/>
    <s v="Dakota Creek (Whatcom Co)"/>
    <s v="Whatcom"/>
    <x v="1"/>
    <s v="Whatcom"/>
    <x v="11"/>
    <s v="North Puget Sound"/>
    <m/>
    <n v="19"/>
    <n v="164.35"/>
  </r>
  <r>
    <n v="767"/>
    <x v="8"/>
    <s v="Freshwater"/>
    <x v="1"/>
    <x v="0"/>
    <n v="732"/>
    <s v="Dewatto River"/>
    <s v="Dewatto River"/>
    <s v="Mason"/>
    <x v="3"/>
    <s v="Kitsap"/>
    <x v="4"/>
    <s v="South Puget Sound"/>
    <m/>
    <n v="2"/>
    <n v="17.3"/>
  </r>
  <r>
    <n v="2432"/>
    <x v="8"/>
    <s v="Freshwater"/>
    <x v="1"/>
    <x v="0"/>
    <n v="738"/>
    <s v="Dungeness River"/>
    <s v="Dungeness River"/>
    <s v="Clallam"/>
    <x v="0"/>
    <s v="Clallam"/>
    <x v="0"/>
    <s v="Strait of Juan de Fuca"/>
    <m/>
    <n v="171.61904761904799"/>
    <n v="1484.50476190477"/>
  </r>
  <r>
    <n v="2431"/>
    <x v="8"/>
    <s v="Freshwater"/>
    <x v="1"/>
    <x v="0"/>
    <n v="738"/>
    <s v="Dungeness River"/>
    <s v="Dungeness River"/>
    <s v="Clallam"/>
    <x v="0"/>
    <s v="Kitsap"/>
    <x v="4"/>
    <s v="South Puget Sound"/>
    <m/>
    <n v="30.285714285714299"/>
    <n v="261.97142857142899"/>
  </r>
  <r>
    <n v="2430"/>
    <x v="8"/>
    <s v="Freshwater"/>
    <x v="1"/>
    <x v="0"/>
    <n v="738"/>
    <s v="Dungeness River"/>
    <s v="Dungeness River"/>
    <s v="Clallam"/>
    <x v="0"/>
    <s v="Pierce"/>
    <x v="7"/>
    <s v="South Puget Sound"/>
    <m/>
    <n v="10.0952380952381"/>
    <n v="87.323809523809601"/>
  </r>
  <r>
    <n v="7"/>
    <x v="8"/>
    <s v="Freshwater"/>
    <x v="1"/>
    <x v="0"/>
    <n v="746"/>
    <s v="Green - Duwamish River"/>
    <s v="Green - Duwamish River"/>
    <s v="King"/>
    <x v="3"/>
    <s v="King"/>
    <x v="3"/>
    <s v="South Puget Sound"/>
    <m/>
    <n v="4188.42638623327"/>
    <n v="36229.888240917797"/>
  </r>
  <r>
    <n v="10"/>
    <x v="8"/>
    <s v="Freshwater"/>
    <x v="1"/>
    <x v="0"/>
    <n v="746"/>
    <s v="Green - Duwamish River"/>
    <s v="Green - Duwamish River"/>
    <s v="King"/>
    <x v="3"/>
    <s v="Other"/>
    <x v="6"/>
    <s v="Non Puget Sound"/>
    <m/>
    <n v="145.09560229445501"/>
    <n v="1255.0769598470399"/>
  </r>
  <r>
    <n v="8"/>
    <x v="8"/>
    <s v="Freshwater"/>
    <x v="1"/>
    <x v="0"/>
    <n v="746"/>
    <s v="Green - Duwamish River"/>
    <s v="Green - Duwamish River"/>
    <s v="King"/>
    <x v="3"/>
    <s v="Pierce"/>
    <x v="7"/>
    <s v="South Puget Sound"/>
    <m/>
    <n v="502.99808795411099"/>
    <n v="4350.9334608030604"/>
  </r>
  <r>
    <n v="6"/>
    <x v="8"/>
    <s v="Freshwater"/>
    <x v="1"/>
    <x v="0"/>
    <n v="746"/>
    <s v="Green - Duwamish River"/>
    <s v="Green - Duwamish River"/>
    <s v="King"/>
    <x v="3"/>
    <s v="Snohomish"/>
    <x v="9"/>
    <s v="North Puget Sound"/>
    <m/>
    <n v="106.4034416826"/>
    <n v="920.38977055449004"/>
  </r>
  <r>
    <n v="9"/>
    <x v="8"/>
    <s v="Freshwater"/>
    <x v="1"/>
    <x v="0"/>
    <n v="746"/>
    <s v="Green - Duwamish River"/>
    <s v="Green - Duwamish River"/>
    <s v="King"/>
    <x v="3"/>
    <s v="Thurston"/>
    <x v="10"/>
    <s v="South Puget Sound"/>
    <m/>
    <n v="116.076481835564"/>
    <n v="1004.06156787763"/>
  </r>
  <r>
    <n v="958"/>
    <x v="8"/>
    <s v="Freshwater"/>
    <x v="1"/>
    <x v="0"/>
    <n v="754"/>
    <s v="Kennedy Creek"/>
    <s v="Kennedy Creek"/>
    <s v="Mason/Thurston"/>
    <x v="3"/>
    <s v="Pierce"/>
    <x v="7"/>
    <s v="South Puget Sound"/>
    <m/>
    <n v="221.157894736842"/>
    <n v="1913.0157894736799"/>
  </r>
  <r>
    <n v="959"/>
    <x v="8"/>
    <s v="Freshwater"/>
    <x v="1"/>
    <x v="0"/>
    <n v="754"/>
    <s v="Kennedy Creek"/>
    <s v="Kennedy Creek"/>
    <s v="Mason/Thurston"/>
    <x v="3"/>
    <s v="Thurston"/>
    <x v="10"/>
    <s v="South Puget Sound"/>
    <m/>
    <n v="160.842105263158"/>
    <n v="1391.2842105263201"/>
  </r>
  <r>
    <n v="12"/>
    <x v="8"/>
    <s v="Freshwater"/>
    <x v="1"/>
    <x v="0"/>
    <n v="762"/>
    <s v="Lake Washington"/>
    <s v="Lake Washington"/>
    <s v="King"/>
    <x v="3"/>
    <s v="King"/>
    <x v="3"/>
    <s v="South Puget Sound"/>
    <m/>
    <n v="90.3"/>
    <n v="781.09500000000003"/>
  </r>
  <r>
    <n v="11"/>
    <x v="8"/>
    <s v="Freshwater"/>
    <x v="1"/>
    <x v="0"/>
    <n v="762"/>
    <s v="Lake Washington"/>
    <s v="Lake Washington"/>
    <s v="King"/>
    <x v="3"/>
    <s v="Snohomish"/>
    <x v="9"/>
    <s v="North Puget Sound"/>
    <m/>
    <n v="210.7"/>
    <n v="1822.5550000000001"/>
  </r>
  <r>
    <n v="14"/>
    <x v="8"/>
    <s v="Freshwater"/>
    <x v="1"/>
    <x v="0"/>
    <n v="764"/>
    <s v="Lake Sammamish"/>
    <s v="Lake Sammamish"/>
    <s v="King"/>
    <x v="3"/>
    <s v="King"/>
    <x v="3"/>
    <s v="South Puget Sound"/>
    <m/>
    <n v="10"/>
    <n v="86.5"/>
  </r>
  <r>
    <n v="13"/>
    <x v="8"/>
    <s v="Freshwater"/>
    <x v="1"/>
    <x v="0"/>
    <n v="764"/>
    <s v="Lake Sammamish"/>
    <s v="Lake Sammamish"/>
    <s v="King"/>
    <x v="3"/>
    <s v="Snohomish"/>
    <x v="9"/>
    <s v="North Puget Sound"/>
    <m/>
    <n v="10"/>
    <n v="86.5"/>
  </r>
  <r>
    <n v="593"/>
    <x v="8"/>
    <s v="Freshwater"/>
    <x v="1"/>
    <x v="0"/>
    <n v="770"/>
    <s v="McAllister Creek"/>
    <s v="McAllister Creek"/>
    <s v="Thurston"/>
    <x v="3"/>
    <s v="Thurston"/>
    <x v="10"/>
    <s v="South Puget Sound"/>
    <m/>
    <n v="47"/>
    <n v="406.55"/>
  </r>
  <r>
    <n v="550"/>
    <x v="8"/>
    <s v="Freshwater"/>
    <x v="1"/>
    <x v="0"/>
    <n v="778"/>
    <s v="Minter Creek"/>
    <s v="Minter Creek"/>
    <s v="Kitsap/Pierce"/>
    <x v="3"/>
    <s v="King"/>
    <x v="3"/>
    <s v="South Puget Sound"/>
    <m/>
    <n v="1969.8185840707999"/>
    <n v="17038.9307522124"/>
  </r>
  <r>
    <n v="554"/>
    <x v="8"/>
    <s v="Freshwater"/>
    <x v="1"/>
    <x v="0"/>
    <n v="778"/>
    <s v="Minter Creek"/>
    <s v="Minter Creek"/>
    <s v="Kitsap/Pierce"/>
    <x v="3"/>
    <s v="Kitsap"/>
    <x v="4"/>
    <s v="South Puget Sound"/>
    <m/>
    <n v="329.92035398230098"/>
    <n v="2853.8110619468998"/>
  </r>
  <r>
    <n v="553"/>
    <x v="8"/>
    <s v="Freshwater"/>
    <x v="1"/>
    <x v="0"/>
    <n v="778"/>
    <s v="Minter Creek"/>
    <s v="Minter Creek"/>
    <s v="Kitsap/Pierce"/>
    <x v="3"/>
    <s v="Mason"/>
    <x v="5"/>
    <s v="South Puget Sound"/>
    <m/>
    <n v="67.924778761062001"/>
    <n v="587.54933628318599"/>
  </r>
  <r>
    <n v="555"/>
    <x v="8"/>
    <s v="Freshwater"/>
    <x v="1"/>
    <x v="0"/>
    <n v="778"/>
    <s v="Minter Creek"/>
    <s v="Minter Creek"/>
    <s v="Kitsap/Pierce"/>
    <x v="3"/>
    <s v="Other"/>
    <x v="6"/>
    <s v="Non Puget Sound"/>
    <m/>
    <n v="164.960176991151"/>
    <n v="1426.9055309734599"/>
  </r>
  <r>
    <n v="551"/>
    <x v="8"/>
    <s v="Freshwater"/>
    <x v="1"/>
    <x v="0"/>
    <n v="778"/>
    <s v="Minter Creek"/>
    <s v="Minter Creek"/>
    <s v="Kitsap/Pierce"/>
    <x v="3"/>
    <s v="Pierce"/>
    <x v="7"/>
    <s v="South Puget Sound"/>
    <m/>
    <n v="1407.0132743362799"/>
    <n v="12170.664823008799"/>
  </r>
  <r>
    <n v="549"/>
    <x v="8"/>
    <s v="Freshwater"/>
    <x v="1"/>
    <x v="0"/>
    <n v="778"/>
    <s v="Minter Creek"/>
    <s v="Minter Creek"/>
    <s v="Kitsap/Pierce"/>
    <x v="3"/>
    <s v="Snohomish"/>
    <x v="9"/>
    <s v="North Puget Sound"/>
    <m/>
    <n v="349.327433628319"/>
    <n v="3021.6823008849601"/>
  </r>
  <r>
    <n v="552"/>
    <x v="8"/>
    <s v="Freshwater"/>
    <x v="1"/>
    <x v="0"/>
    <n v="778"/>
    <s v="Minter Creek"/>
    <s v="Minter Creek"/>
    <s v="Kitsap/Pierce"/>
    <x v="3"/>
    <s v="Thurston"/>
    <x v="10"/>
    <s v="South Puget Sound"/>
    <m/>
    <n v="97.035398230088504"/>
    <n v="839.35619469026597"/>
  </r>
  <r>
    <n v="496"/>
    <x v="8"/>
    <s v="Freshwater"/>
    <x v="1"/>
    <x v="0"/>
    <n v="786"/>
    <s v="Nisqually River"/>
    <s v="Nisqually River"/>
    <s v="Thurston/Pierce"/>
    <x v="3"/>
    <s v="King"/>
    <x v="3"/>
    <s v="South Puget Sound"/>
    <m/>
    <n v="339.81125226860303"/>
    <n v="2939.3673321234201"/>
  </r>
  <r>
    <n v="500"/>
    <x v="8"/>
    <s v="Freshwater"/>
    <x v="1"/>
    <x v="0"/>
    <n v="786"/>
    <s v="Nisqually River"/>
    <s v="Nisqually River"/>
    <s v="Thurston/Pierce"/>
    <x v="3"/>
    <s v="Kitsap"/>
    <x v="4"/>
    <s v="South Puget Sound"/>
    <m/>
    <n v="9.43920145190563"/>
    <n v="81.649092558983696"/>
  </r>
  <r>
    <n v="499"/>
    <x v="8"/>
    <s v="Freshwater"/>
    <x v="1"/>
    <x v="0"/>
    <n v="786"/>
    <s v="Nisqually River"/>
    <s v="Nisqually River"/>
    <s v="Thurston/Pierce"/>
    <x v="3"/>
    <s v="Mason"/>
    <x v="5"/>
    <s v="South Puget Sound"/>
    <m/>
    <n v="18.878402903811299"/>
    <n v="163.29818511796799"/>
  </r>
  <r>
    <n v="501"/>
    <x v="8"/>
    <s v="Freshwater"/>
    <x v="1"/>
    <x v="0"/>
    <n v="786"/>
    <s v="Nisqually River"/>
    <s v="Nisqually River"/>
    <s v="Thurston/Pierce"/>
    <x v="3"/>
    <s v="Other"/>
    <x v="6"/>
    <s v="Non Puget Sound"/>
    <m/>
    <n v="217.10163339382899"/>
    <n v="1877.9291288566201"/>
  </r>
  <r>
    <n v="497"/>
    <x v="8"/>
    <s v="Freshwater"/>
    <x v="1"/>
    <x v="0"/>
    <n v="786"/>
    <s v="Nisqually River"/>
    <s v="Nisqually River"/>
    <s v="Thurston/Pierce"/>
    <x v="3"/>
    <s v="Pierce"/>
    <x v="7"/>
    <s v="South Puget Sound"/>
    <m/>
    <n v="2142.6987295825802"/>
    <n v="18534.344010889301"/>
  </r>
  <r>
    <n v="495"/>
    <x v="8"/>
    <s v="Freshwater"/>
    <x v="1"/>
    <x v="0"/>
    <n v="786"/>
    <s v="Nisqually River"/>
    <s v="Nisqually River"/>
    <s v="Thurston/Pierce"/>
    <x v="3"/>
    <s v="Snohomish"/>
    <x v="9"/>
    <s v="North Puget Sound"/>
    <m/>
    <n v="9.43920145190563"/>
    <n v="81.649092558983696"/>
  </r>
  <r>
    <n v="498"/>
    <x v="8"/>
    <s v="Freshwater"/>
    <x v="1"/>
    <x v="0"/>
    <n v="786"/>
    <s v="Nisqually River"/>
    <s v="Nisqually River"/>
    <s v="Thurston/Pierce"/>
    <x v="3"/>
    <s v="Thurston"/>
    <x v="10"/>
    <s v="South Puget Sound"/>
    <m/>
    <n v="2463.6315789473701"/>
    <n v="21310.4131578948"/>
  </r>
  <r>
    <n v="2655"/>
    <x v="8"/>
    <s v="Freshwater"/>
    <x v="1"/>
    <x v="0"/>
    <n v="788"/>
    <s v="Nooksack River"/>
    <s v="Nooksack River"/>
    <s v="Whatcom"/>
    <x v="1"/>
    <s v="Island"/>
    <x v="1"/>
    <s v="North Puget Sound"/>
    <m/>
    <n v="320.10677618069798"/>
    <n v="2768.9236139630402"/>
  </r>
  <r>
    <n v="2656"/>
    <x v="8"/>
    <s v="Freshwater"/>
    <x v="1"/>
    <x v="0"/>
    <n v="788"/>
    <s v="Nooksack River"/>
    <s v="Nooksack River"/>
    <s v="Whatcom"/>
    <x v="1"/>
    <s v="King"/>
    <x v="3"/>
    <s v="South Puget Sound"/>
    <m/>
    <n v="174.60369609856301"/>
    <n v="1510.3219712525699"/>
  </r>
  <r>
    <n v="2657"/>
    <x v="8"/>
    <s v="Freshwater"/>
    <x v="1"/>
    <x v="0"/>
    <n v="788"/>
    <s v="Nooksack River"/>
    <s v="Nooksack River"/>
    <s v="Whatcom"/>
    <x v="1"/>
    <s v="Other"/>
    <x v="6"/>
    <s v="Non Puget Sound"/>
    <m/>
    <n v="126.102669404517"/>
    <n v="1090.78809034907"/>
  </r>
  <r>
    <n v="2653"/>
    <x v="8"/>
    <s v="Freshwater"/>
    <x v="1"/>
    <x v="0"/>
    <n v="788"/>
    <s v="Nooksack River"/>
    <s v="Nooksack River"/>
    <s v="Whatcom"/>
    <x v="1"/>
    <s v="Skagit"/>
    <x v="8"/>
    <s v="North Puget Sound"/>
    <m/>
    <n v="446.20944558521597"/>
    <n v="3859.7117043121202"/>
  </r>
  <r>
    <n v="2654"/>
    <x v="8"/>
    <s v="Freshwater"/>
    <x v="1"/>
    <x v="0"/>
    <n v="788"/>
    <s v="Nooksack River"/>
    <s v="Nooksack River"/>
    <s v="Whatcom"/>
    <x v="1"/>
    <s v="Snohomish"/>
    <x v="9"/>
    <s v="North Puget Sound"/>
    <m/>
    <n v="281.30595482546198"/>
    <n v="2433.2965092402501"/>
  </r>
  <r>
    <n v="2650"/>
    <x v="8"/>
    <s v="Freshwater"/>
    <x v="1"/>
    <x v="0"/>
    <n v="788"/>
    <s v="Nooksack River"/>
    <s v="Nooksack River"/>
    <s v="Whatcom"/>
    <x v="1"/>
    <s v="Whatcom"/>
    <x v="11"/>
    <s v="North Puget Sound"/>
    <m/>
    <n v="3375.6714579055501"/>
    <n v="29199.558110883001"/>
  </r>
  <r>
    <n v="469"/>
    <x v="8"/>
    <s v="Freshwater"/>
    <x v="1"/>
    <x v="0"/>
    <n v="802"/>
    <s v="Carbon River"/>
    <s v="Carbon River"/>
    <s v="Pierce"/>
    <x v="3"/>
    <s v="King"/>
    <x v="3"/>
    <s v="South Puget Sound"/>
    <m/>
    <n v="821.932075471698"/>
    <n v="7109.7124528301902"/>
  </r>
  <r>
    <n v="470"/>
    <x v="8"/>
    <s v="Freshwater"/>
    <x v="1"/>
    <x v="0"/>
    <n v="802"/>
    <s v="Carbon River"/>
    <s v="Carbon River"/>
    <s v="Pierce"/>
    <x v="3"/>
    <s v="Pierce"/>
    <x v="7"/>
    <s v="South Puget Sound"/>
    <m/>
    <n v="1731.92830188679"/>
    <n v="14981.179811320701"/>
  </r>
  <r>
    <n v="468"/>
    <x v="8"/>
    <s v="Freshwater"/>
    <x v="1"/>
    <x v="0"/>
    <n v="802"/>
    <s v="Carbon River"/>
    <s v="Carbon River"/>
    <s v="Pierce"/>
    <x v="3"/>
    <s v="Snohomish"/>
    <x v="9"/>
    <s v="North Puget Sound"/>
    <m/>
    <n v="19.569811320754699"/>
    <n v="169.27886792452799"/>
  </r>
  <r>
    <n v="471"/>
    <x v="8"/>
    <s v="Freshwater"/>
    <x v="1"/>
    <x v="0"/>
    <n v="802"/>
    <s v="Carbon River"/>
    <s v="Carbon River"/>
    <s v="Pierce"/>
    <x v="3"/>
    <s v="Thurston"/>
    <x v="10"/>
    <s v="South Puget Sound"/>
    <m/>
    <n v="19.569811320754699"/>
    <n v="169.27886792452799"/>
  </r>
  <r>
    <n v="570"/>
    <x v="8"/>
    <s v="Freshwater"/>
    <x v="1"/>
    <x v="0"/>
    <n v="804"/>
    <s v="Puyallup River"/>
    <s v="Puyallup River"/>
    <s v="Pierce"/>
    <x v="3"/>
    <s v="Jefferson"/>
    <x v="2"/>
    <s v="Strait of Juan de Fuca"/>
    <m/>
    <n v="9.8397085610200392"/>
    <n v="85.113479052823294"/>
  </r>
  <r>
    <n v="473"/>
    <x v="8"/>
    <s v="Freshwater"/>
    <x v="1"/>
    <x v="0"/>
    <n v="804"/>
    <s v="Puyallup River"/>
    <s v="Puyallup River"/>
    <s v="Pierce"/>
    <x v="3"/>
    <s v="King"/>
    <x v="3"/>
    <s v="South Puget Sound"/>
    <m/>
    <n v="1220.1238615664799"/>
    <n v="10554.0714025501"/>
  </r>
  <r>
    <n v="569"/>
    <x v="8"/>
    <s v="Freshwater"/>
    <x v="1"/>
    <x v="0"/>
    <n v="804"/>
    <s v="Puyallup River"/>
    <s v="Puyallup River"/>
    <s v="Pierce"/>
    <x v="3"/>
    <s v="Kitsap"/>
    <x v="4"/>
    <s v="South Puget Sound"/>
    <m/>
    <n v="9.8397085610200392"/>
    <n v="85.113479052823294"/>
  </r>
  <r>
    <n v="571"/>
    <x v="8"/>
    <s v="Freshwater"/>
    <x v="1"/>
    <x v="0"/>
    <n v="804"/>
    <s v="Puyallup River"/>
    <s v="Puyallup River"/>
    <s v="Pierce"/>
    <x v="3"/>
    <s v="Other"/>
    <x v="6"/>
    <s v="Non Puget Sound"/>
    <m/>
    <n v="98.397085610200406"/>
    <n v="851.13479052823402"/>
  </r>
  <r>
    <n v="567"/>
    <x v="8"/>
    <s v="Freshwater"/>
    <x v="1"/>
    <x v="0"/>
    <n v="804"/>
    <s v="Puyallup River"/>
    <s v="Puyallup River"/>
    <s v="Pierce"/>
    <x v="3"/>
    <s v="Pierce"/>
    <x v="7"/>
    <s v="South Puget Sound"/>
    <m/>
    <n v="3975.2422586521002"/>
    <n v="34385.845537340698"/>
  </r>
  <r>
    <n v="472"/>
    <x v="8"/>
    <s v="Freshwater"/>
    <x v="1"/>
    <x v="0"/>
    <n v="804"/>
    <s v="Puyallup River"/>
    <s v="Puyallup River"/>
    <s v="Pierce"/>
    <x v="3"/>
    <s v="Snohomish"/>
    <x v="9"/>
    <s v="North Puget Sound"/>
    <m/>
    <n v="19.6794171220401"/>
    <n v="170.22695810564699"/>
  </r>
  <r>
    <n v="568"/>
    <x v="8"/>
    <s v="Freshwater"/>
    <x v="1"/>
    <x v="0"/>
    <n v="804"/>
    <s v="Puyallup River"/>
    <s v="Puyallup River"/>
    <s v="Pierce"/>
    <x v="3"/>
    <s v="Thurston"/>
    <x v="10"/>
    <s v="South Puget Sound"/>
    <m/>
    <n v="68.877959927140296"/>
    <n v="595.79435336976405"/>
  </r>
  <r>
    <n v="950"/>
    <x v="8"/>
    <s v="Freshwater"/>
    <x v="1"/>
    <x v="0"/>
    <n v="812"/>
    <s v="Quilcene River"/>
    <s v="Quilcene River"/>
    <s v="Jefferson"/>
    <x v="4"/>
    <s v="Clallam"/>
    <x v="0"/>
    <s v="Strait of Juan de Fuca"/>
    <m/>
    <n v="200.78431372548999"/>
    <n v="1736.7843137254899"/>
  </r>
  <r>
    <n v="951"/>
    <x v="8"/>
    <s v="Freshwater"/>
    <x v="1"/>
    <x v="0"/>
    <n v="812"/>
    <s v="Quilcene River"/>
    <s v="Quilcene River"/>
    <s v="Jefferson"/>
    <x v="4"/>
    <s v="Jefferson"/>
    <x v="2"/>
    <s v="Strait of Juan de Fuca"/>
    <m/>
    <n v="542.11764705882399"/>
    <n v="4689.3176470588296"/>
  </r>
  <r>
    <n v="937"/>
    <x v="8"/>
    <s v="Freshwater"/>
    <x v="1"/>
    <x v="0"/>
    <n v="812"/>
    <s v="Quilcene River"/>
    <s v="Quilcene River"/>
    <s v="Jefferson"/>
    <x v="4"/>
    <s v="King"/>
    <x v="3"/>
    <s v="South Puget Sound"/>
    <m/>
    <n v="401.56862745098101"/>
    <n v="3473.5686274509899"/>
  </r>
  <r>
    <n v="940"/>
    <x v="8"/>
    <s v="Freshwater"/>
    <x v="1"/>
    <x v="0"/>
    <n v="812"/>
    <s v="Quilcene River"/>
    <s v="Quilcene River"/>
    <s v="Jefferson"/>
    <x v="4"/>
    <s v="Kitsap"/>
    <x v="4"/>
    <s v="South Puget Sound"/>
    <m/>
    <n v="913.56862745098101"/>
    <n v="7902.3686274509901"/>
  </r>
  <r>
    <n v="939"/>
    <x v="8"/>
    <s v="Freshwater"/>
    <x v="1"/>
    <x v="0"/>
    <n v="812"/>
    <s v="Quilcene River"/>
    <s v="Quilcene River"/>
    <s v="Jefferson"/>
    <x v="4"/>
    <s v="Mason"/>
    <x v="5"/>
    <s v="South Puget Sound"/>
    <m/>
    <n v="70.274509803921603"/>
    <n v="607.87450980392202"/>
  </r>
  <r>
    <n v="952"/>
    <x v="8"/>
    <s v="Freshwater"/>
    <x v="1"/>
    <x v="0"/>
    <n v="812"/>
    <s v="Quilcene River"/>
    <s v="Quilcene River"/>
    <s v="Jefferson"/>
    <x v="4"/>
    <s v="Other"/>
    <x v="6"/>
    <s v="Non Puget Sound"/>
    <m/>
    <n v="230.90196078431401"/>
    <n v="1997.30196078432"/>
  </r>
  <r>
    <n v="938"/>
    <x v="8"/>
    <s v="Freshwater"/>
    <x v="1"/>
    <x v="0"/>
    <n v="812"/>
    <s v="Quilcene River"/>
    <s v="Quilcene River"/>
    <s v="Jefferson"/>
    <x v="4"/>
    <s v="Pierce"/>
    <x v="7"/>
    <s v="South Puget Sound"/>
    <m/>
    <n v="150.58823529411799"/>
    <n v="1302.5882352941201"/>
  </r>
  <r>
    <n v="935"/>
    <x v="8"/>
    <s v="Freshwater"/>
    <x v="1"/>
    <x v="0"/>
    <n v="812"/>
    <s v="Quilcene River"/>
    <s v="Quilcene River"/>
    <s v="Jefferson"/>
    <x v="4"/>
    <s v="Skagit"/>
    <x v="8"/>
    <s v="North Puget Sound"/>
    <m/>
    <n v="10.039215686274501"/>
    <n v="86.8392156862744"/>
  </r>
  <r>
    <n v="936"/>
    <x v="8"/>
    <s v="Freshwater"/>
    <x v="1"/>
    <x v="0"/>
    <n v="812"/>
    <s v="Quilcene River"/>
    <s v="Quilcene River"/>
    <s v="Jefferson"/>
    <x v="4"/>
    <s v="Snohomish"/>
    <x v="9"/>
    <s v="North Puget Sound"/>
    <m/>
    <n v="40.156862745098003"/>
    <n v="347.356862745098"/>
  </r>
  <r>
    <n v="1387"/>
    <x v="8"/>
    <s v="Freshwater"/>
    <x v="1"/>
    <x v="0"/>
    <n v="816"/>
    <s v="Samish River"/>
    <s v="Samish River"/>
    <s v="Skagit"/>
    <x v="1"/>
    <s v="Island"/>
    <x v="1"/>
    <s v="North Puget Sound"/>
    <m/>
    <n v="329.62306610407899"/>
    <n v="2851.2395218002798"/>
  </r>
  <r>
    <n v="1388"/>
    <x v="8"/>
    <s v="Freshwater"/>
    <x v="1"/>
    <x v="0"/>
    <n v="816"/>
    <s v="Samish River"/>
    <s v="Samish River"/>
    <s v="Skagit"/>
    <x v="1"/>
    <s v="King"/>
    <x v="3"/>
    <s v="South Puget Sound"/>
    <m/>
    <n v="688.33052039381198"/>
    <n v="5954.0590014064701"/>
  </r>
  <r>
    <n v="1444"/>
    <x v="8"/>
    <s v="Freshwater"/>
    <x v="1"/>
    <x v="0"/>
    <n v="816"/>
    <s v="Samish River"/>
    <s v="Samish River"/>
    <s v="Skagit"/>
    <x v="1"/>
    <s v="Other"/>
    <x v="6"/>
    <s v="Non Puget Sound"/>
    <m/>
    <n v="339.31786216596299"/>
    <n v="2935.0995077355801"/>
  </r>
  <r>
    <n v="1391"/>
    <x v="8"/>
    <s v="Freshwater"/>
    <x v="1"/>
    <x v="0"/>
    <n v="816"/>
    <s v="Samish River"/>
    <s v="Samish River"/>
    <s v="Skagit"/>
    <x v="1"/>
    <s v="Pierce"/>
    <x v="7"/>
    <s v="South Puget Sound"/>
    <m/>
    <n v="48.473980309423403"/>
    <n v="419.29992967651202"/>
  </r>
  <r>
    <n v="1385"/>
    <x v="8"/>
    <s v="Freshwater"/>
    <x v="1"/>
    <x v="0"/>
    <n v="816"/>
    <s v="Samish River"/>
    <s v="Samish River"/>
    <s v="Skagit"/>
    <x v="1"/>
    <s v="Skagit"/>
    <x v="8"/>
    <s v="North Puget Sound"/>
    <m/>
    <n v="891.92123769339003"/>
    <n v="7715.1187060478196"/>
  </r>
  <r>
    <n v="1386"/>
    <x v="8"/>
    <s v="Freshwater"/>
    <x v="1"/>
    <x v="0"/>
    <n v="816"/>
    <s v="Samish River"/>
    <s v="Samish River"/>
    <s v="Skagit"/>
    <x v="1"/>
    <s v="Snohomish"/>
    <x v="9"/>
    <s v="North Puget Sound"/>
    <m/>
    <n v="3470.7369901547099"/>
    <n v="30021.8749648382"/>
  </r>
  <r>
    <n v="1443"/>
    <x v="8"/>
    <s v="Freshwater"/>
    <x v="1"/>
    <x v="0"/>
    <n v="816"/>
    <s v="Samish River"/>
    <s v="Samish River"/>
    <s v="Skagit"/>
    <x v="1"/>
    <s v="Thurston"/>
    <x v="10"/>
    <s v="South Puget Sound"/>
    <m/>
    <n v="29.084388185653999"/>
    <n v="251.57995780590699"/>
  </r>
  <r>
    <n v="1384"/>
    <x v="8"/>
    <s v="Freshwater"/>
    <x v="1"/>
    <x v="0"/>
    <n v="816"/>
    <s v="Samish River"/>
    <s v="Samish River"/>
    <s v="Skagit"/>
    <x v="1"/>
    <s v="Whatcom"/>
    <x v="11"/>
    <s v="North Puget Sound"/>
    <m/>
    <n v="1095.51195499297"/>
    <n v="9476.1784106891901"/>
  </r>
  <r>
    <n v="2764"/>
    <x v="8"/>
    <s v="Freshwater"/>
    <x v="1"/>
    <x v="0"/>
    <n v="825"/>
    <s v="Baker Lake"/>
    <s v="Baker Lake"/>
    <s v="Whatcom"/>
    <x v="1"/>
    <s v="Island"/>
    <x v="1"/>
    <s v="North Puget Sound"/>
    <m/>
    <n v="162.90571870170001"/>
    <n v="1409.1344667697099"/>
  </r>
  <r>
    <n v="2766"/>
    <x v="8"/>
    <s v="Freshwater"/>
    <x v="1"/>
    <x v="0"/>
    <n v="825"/>
    <s v="Baker Lake"/>
    <s v="Baker Lake"/>
    <s v="Whatcom"/>
    <x v="1"/>
    <s v="King"/>
    <x v="3"/>
    <s v="South Puget Sound"/>
    <m/>
    <n v="536.63060278207104"/>
    <n v="4641.8547140649098"/>
  </r>
  <r>
    <n v="2769"/>
    <x v="8"/>
    <s v="Freshwater"/>
    <x v="1"/>
    <x v="0"/>
    <n v="825"/>
    <s v="Baker Lake"/>
    <s v="Baker Lake"/>
    <s v="Whatcom"/>
    <x v="1"/>
    <s v="Kitsap"/>
    <x v="4"/>
    <s v="South Puget Sound"/>
    <m/>
    <n v="9.5826893353941305"/>
    <n v="82.890262751159199"/>
  </r>
  <r>
    <n v="2770"/>
    <x v="8"/>
    <s v="Freshwater"/>
    <x v="1"/>
    <x v="0"/>
    <n v="825"/>
    <s v="Baker Lake"/>
    <s v="Baker Lake"/>
    <s v="Whatcom"/>
    <x v="1"/>
    <s v="Other"/>
    <x v="6"/>
    <s v="Non Puget Sound"/>
    <m/>
    <n v="814.52859350850099"/>
    <n v="7045.6723338485299"/>
  </r>
  <r>
    <n v="2767"/>
    <x v="8"/>
    <s v="Freshwater"/>
    <x v="1"/>
    <x v="0"/>
    <n v="825"/>
    <s v="Baker Lake"/>
    <s v="Baker Lake"/>
    <s v="Whatcom"/>
    <x v="1"/>
    <s v="Pierce"/>
    <x v="7"/>
    <s v="South Puget Sound"/>
    <m/>
    <n v="153.323029366306"/>
    <n v="1326.2442040185499"/>
  </r>
  <r>
    <n v="2765"/>
    <x v="8"/>
    <s v="Freshwater"/>
    <x v="1"/>
    <x v="0"/>
    <n v="825"/>
    <s v="Baker Lake"/>
    <s v="Baker Lake"/>
    <s v="Whatcom"/>
    <x v="1"/>
    <s v="San Juan"/>
    <x v="12"/>
    <s v="North Puget Sound"/>
    <m/>
    <n v="9.5826893353941305"/>
    <n v="82.890262751159199"/>
  </r>
  <r>
    <n v="2659"/>
    <x v="8"/>
    <s v="Freshwater"/>
    <x v="1"/>
    <x v="0"/>
    <n v="825"/>
    <s v="Baker Lake"/>
    <s v="Baker Lake"/>
    <s v="Whatcom"/>
    <x v="1"/>
    <s v="Skagit"/>
    <x v="8"/>
    <s v="North Puget Sound"/>
    <m/>
    <n v="1935.70324574961"/>
    <n v="16743.833075734099"/>
  </r>
  <r>
    <n v="2660"/>
    <x v="8"/>
    <s v="Freshwater"/>
    <x v="1"/>
    <x v="0"/>
    <n v="825"/>
    <s v="Baker Lake"/>
    <s v="Baker Lake"/>
    <s v="Whatcom"/>
    <x v="1"/>
    <s v="Snohomish"/>
    <x v="9"/>
    <s v="North Puget Sound"/>
    <m/>
    <n v="2002.7820710973699"/>
    <n v="17324.064914992301"/>
  </r>
  <r>
    <n v="2768"/>
    <x v="8"/>
    <s v="Freshwater"/>
    <x v="1"/>
    <x v="0"/>
    <n v="825"/>
    <s v="Baker Lake"/>
    <s v="Baker Lake"/>
    <s v="Whatcom"/>
    <x v="1"/>
    <s v="Thurston"/>
    <x v="10"/>
    <s v="South Puget Sound"/>
    <m/>
    <n v="38.330757341576501"/>
    <n v="331.56105100463702"/>
  </r>
  <r>
    <n v="2658"/>
    <x v="8"/>
    <s v="Freshwater"/>
    <x v="1"/>
    <x v="0"/>
    <n v="825"/>
    <s v="Baker Lake"/>
    <s v="Baker Lake"/>
    <s v="Whatcom"/>
    <x v="1"/>
    <s v="Whatcom"/>
    <x v="11"/>
    <s v="North Puget Sound"/>
    <m/>
    <n v="536.63060278207104"/>
    <n v="4641.8547140649098"/>
  </r>
  <r>
    <n v="1490"/>
    <x v="8"/>
    <s v="Freshwater"/>
    <x v="1"/>
    <x v="0"/>
    <n v="826"/>
    <s v="Cascade River"/>
    <s v="Cascade River"/>
    <s v="Skagit"/>
    <x v="1"/>
    <s v="Island"/>
    <x v="1"/>
    <s v="North Puget Sound"/>
    <m/>
    <n v="19.155080213903702"/>
    <n v="165.69144385026701"/>
  </r>
  <r>
    <n v="1491"/>
    <x v="8"/>
    <s v="Freshwater"/>
    <x v="1"/>
    <x v="0"/>
    <n v="826"/>
    <s v="Cascade River"/>
    <s v="Cascade River"/>
    <s v="Skagit"/>
    <x v="1"/>
    <s v="King"/>
    <x v="3"/>
    <s v="South Puget Sound"/>
    <m/>
    <n v="229.86096256684499"/>
    <n v="1988.2973262032101"/>
  </r>
  <r>
    <n v="1493"/>
    <x v="8"/>
    <s v="Freshwater"/>
    <x v="1"/>
    <x v="0"/>
    <n v="826"/>
    <s v="Cascade River"/>
    <s v="Cascade River"/>
    <s v="Skagit"/>
    <x v="1"/>
    <s v="Other"/>
    <x v="6"/>
    <s v="Non Puget Sound"/>
    <m/>
    <n v="114.930481283422"/>
    <n v="994.14866310160005"/>
  </r>
  <r>
    <n v="1446"/>
    <x v="8"/>
    <s v="Freshwater"/>
    <x v="1"/>
    <x v="0"/>
    <n v="826"/>
    <s v="Cascade River"/>
    <s v="Cascade River"/>
    <s v="Skagit"/>
    <x v="1"/>
    <s v="Skagit"/>
    <x v="8"/>
    <s v="North Puget Sound"/>
    <m/>
    <n v="775.78074866310203"/>
    <n v="6710.5034759358296"/>
  </r>
  <r>
    <n v="1489"/>
    <x v="8"/>
    <s v="Freshwater"/>
    <x v="1"/>
    <x v="0"/>
    <n v="826"/>
    <s v="Cascade River"/>
    <s v="Cascade River"/>
    <s v="Skagit"/>
    <x v="1"/>
    <s v="Snohomish"/>
    <x v="9"/>
    <s v="North Puget Sound"/>
    <m/>
    <n v="478.87700534759398"/>
    <n v="4142.2860962566901"/>
  </r>
  <r>
    <n v="1492"/>
    <x v="8"/>
    <s v="Freshwater"/>
    <x v="1"/>
    <x v="0"/>
    <n v="826"/>
    <s v="Cascade River"/>
    <s v="Cascade River"/>
    <s v="Skagit"/>
    <x v="1"/>
    <s v="Thurston"/>
    <x v="10"/>
    <s v="South Puget Sound"/>
    <m/>
    <n v="19.155080213903702"/>
    <n v="165.69144385026701"/>
  </r>
  <r>
    <n v="1445"/>
    <x v="8"/>
    <s v="Freshwater"/>
    <x v="1"/>
    <x v="0"/>
    <n v="826"/>
    <s v="Cascade River"/>
    <s v="Cascade River"/>
    <s v="Skagit"/>
    <x v="1"/>
    <s v="Whatcom"/>
    <x v="11"/>
    <s v="North Puget Sound"/>
    <m/>
    <n v="153.24064171123001"/>
    <n v="1325.5315508021399"/>
  </r>
  <r>
    <n v="2621"/>
    <x v="8"/>
    <s v="Freshwater"/>
    <x v="1"/>
    <x v="0"/>
    <n v="830"/>
    <s v="Skagit River"/>
    <s v="Skagit River"/>
    <s v="Skagit/Whatcom"/>
    <x v="2"/>
    <s v="Island"/>
    <x v="1"/>
    <s v="North Puget Sound"/>
    <m/>
    <n v="47.911184210526301"/>
    <n v="414.431743421053"/>
  </r>
  <r>
    <n v="2622"/>
    <x v="8"/>
    <s v="Freshwater"/>
    <x v="1"/>
    <x v="0"/>
    <n v="830"/>
    <s v="Skagit River"/>
    <s v="Skagit River"/>
    <s v="Skagit/Whatcom"/>
    <x v="2"/>
    <s v="King"/>
    <x v="3"/>
    <s v="South Puget Sound"/>
    <m/>
    <n v="105.404605263158"/>
    <n v="911.74983552631704"/>
  </r>
  <r>
    <n v="2661"/>
    <x v="8"/>
    <s v="Freshwater"/>
    <x v="1"/>
    <x v="0"/>
    <n v="830"/>
    <s v="Skagit River"/>
    <s v="Skagit River"/>
    <s v="Skagit/Whatcom"/>
    <x v="2"/>
    <s v="Mason"/>
    <x v="5"/>
    <s v="South Puget Sound"/>
    <m/>
    <n v="47.911184210526301"/>
    <n v="414.431743421053"/>
  </r>
  <r>
    <n v="2662"/>
    <x v="8"/>
    <s v="Freshwater"/>
    <x v="1"/>
    <x v="0"/>
    <n v="830"/>
    <s v="Skagit River"/>
    <s v="Skagit River"/>
    <s v="Skagit/Whatcom"/>
    <x v="2"/>
    <s v="Other"/>
    <x v="6"/>
    <s v="Non Puget Sound"/>
    <m/>
    <n v="67.075657894736906"/>
    <n v="580.20444078947401"/>
  </r>
  <r>
    <n v="2623"/>
    <x v="8"/>
    <s v="Freshwater"/>
    <x v="1"/>
    <x v="0"/>
    <n v="830"/>
    <s v="Skagit River"/>
    <s v="Skagit River"/>
    <s v="Skagit/Whatcom"/>
    <x v="2"/>
    <s v="Pierce"/>
    <x v="7"/>
    <s v="South Puget Sound"/>
    <m/>
    <n v="28.746710526315798"/>
    <n v="248.65904605263199"/>
  </r>
  <r>
    <n v="2619"/>
    <x v="8"/>
    <s v="Freshwater"/>
    <x v="1"/>
    <x v="0"/>
    <n v="830"/>
    <s v="Skagit River"/>
    <s v="Skagit River"/>
    <s v="Skagit/Whatcom"/>
    <x v="2"/>
    <s v="Skagit"/>
    <x v="8"/>
    <s v="North Puget Sound"/>
    <m/>
    <n v="1858.9539473684199"/>
    <n v="16079.951644736801"/>
  </r>
  <r>
    <n v="2620"/>
    <x v="8"/>
    <s v="Freshwater"/>
    <x v="1"/>
    <x v="0"/>
    <n v="830"/>
    <s v="Skagit River"/>
    <s v="Skagit River"/>
    <s v="Skagit/Whatcom"/>
    <x v="2"/>
    <s v="Snohomish"/>
    <x v="9"/>
    <s v="North Puget Sound"/>
    <m/>
    <n v="354.54276315789502"/>
    <n v="3066.79490131579"/>
  </r>
  <r>
    <n v="2618"/>
    <x v="8"/>
    <s v="Freshwater"/>
    <x v="1"/>
    <x v="0"/>
    <n v="830"/>
    <s v="Skagit River"/>
    <s v="Skagit River"/>
    <s v="Skagit/Whatcom"/>
    <x v="2"/>
    <s v="Whatcom"/>
    <x v="11"/>
    <s v="North Puget Sound"/>
    <m/>
    <n v="402.45394736842098"/>
    <n v="3481.2266447368402"/>
  </r>
  <r>
    <n v="1251"/>
    <x v="8"/>
    <s v="Freshwater"/>
    <x v="1"/>
    <x v="0"/>
    <n v="834"/>
    <s v="Skokomish River"/>
    <s v="Skokomish River"/>
    <s v="Mason"/>
    <x v="4"/>
    <s v="King"/>
    <x v="3"/>
    <s v="South Puget Sound"/>
    <m/>
    <n v="2"/>
    <n v="17.3"/>
  </r>
  <r>
    <n v="2553"/>
    <x v="8"/>
    <s v="Freshwater"/>
    <x v="1"/>
    <x v="0"/>
    <n v="844"/>
    <s v="Skykomish River"/>
    <s v="Skykomish River"/>
    <s v="Snohomish"/>
    <x v="2"/>
    <s v="Island"/>
    <x v="1"/>
    <s v="North Puget Sound"/>
    <m/>
    <n v="59.647058823529399"/>
    <n v="515.94705882352901"/>
  </r>
  <r>
    <n v="2554"/>
    <x v="8"/>
    <s v="Freshwater"/>
    <x v="1"/>
    <x v="0"/>
    <n v="844"/>
    <s v="Skykomish River"/>
    <s v="Skykomish River"/>
    <s v="Snohomish"/>
    <x v="2"/>
    <s v="King"/>
    <x v="3"/>
    <s v="South Puget Sound"/>
    <m/>
    <n v="198.82352941176501"/>
    <n v="1719.8235294117701"/>
  </r>
  <r>
    <n v="2559"/>
    <x v="8"/>
    <s v="Freshwater"/>
    <x v="1"/>
    <x v="0"/>
    <n v="844"/>
    <s v="Skykomish River"/>
    <s v="Skykomish River"/>
    <s v="Snohomish"/>
    <x v="2"/>
    <s v="Other"/>
    <x v="6"/>
    <s v="Non Puget Sound"/>
    <m/>
    <n v="39.764705882352899"/>
    <n v="343.96470588235297"/>
  </r>
  <r>
    <n v="2557"/>
    <x v="8"/>
    <s v="Freshwater"/>
    <x v="1"/>
    <x v="0"/>
    <n v="844"/>
    <s v="Skykomish River"/>
    <s v="Skykomish River"/>
    <s v="Snohomish"/>
    <x v="2"/>
    <s v="Pierce"/>
    <x v="7"/>
    <s v="South Puget Sound"/>
    <m/>
    <n v="129.23529411764699"/>
    <n v="1117.8852941176499"/>
  </r>
  <r>
    <n v="2551"/>
    <x v="8"/>
    <s v="Freshwater"/>
    <x v="1"/>
    <x v="0"/>
    <n v="844"/>
    <s v="Skykomish River"/>
    <s v="Skykomish River"/>
    <s v="Snohomish"/>
    <x v="2"/>
    <s v="Skagit"/>
    <x v="8"/>
    <s v="North Puget Sound"/>
    <m/>
    <n v="19.882352941176499"/>
    <n v="171.982352941177"/>
  </r>
  <r>
    <n v="2552"/>
    <x v="8"/>
    <s v="Freshwater"/>
    <x v="1"/>
    <x v="0"/>
    <n v="844"/>
    <s v="Skykomish River"/>
    <s v="Skykomish River"/>
    <s v="Snohomish"/>
    <x v="2"/>
    <s v="Snohomish"/>
    <x v="9"/>
    <s v="North Puget Sound"/>
    <m/>
    <n v="377.76470588235298"/>
    <n v="3267.6647058823501"/>
  </r>
  <r>
    <n v="2558"/>
    <x v="8"/>
    <s v="Freshwater"/>
    <x v="1"/>
    <x v="0"/>
    <n v="844"/>
    <s v="Skykomish River"/>
    <s v="Skykomish River"/>
    <s v="Snohomish"/>
    <x v="2"/>
    <s v="Thurston"/>
    <x v="10"/>
    <s v="South Puget Sound"/>
    <m/>
    <n v="19.882352941176499"/>
    <n v="171.982352941177"/>
  </r>
  <r>
    <n v="2675"/>
    <x v="8"/>
    <s v="Freshwater"/>
    <x v="1"/>
    <x v="0"/>
    <n v="850"/>
    <s v="Snohomish River"/>
    <s v="Snohomish River"/>
    <s v="Snohomish"/>
    <x v="2"/>
    <s v="Island"/>
    <x v="1"/>
    <s v="North Puget Sound"/>
    <m/>
    <n v="19.884615384615401"/>
    <n v="172.00192307692299"/>
  </r>
  <r>
    <n v="2676"/>
    <x v="8"/>
    <s v="Freshwater"/>
    <x v="1"/>
    <x v="0"/>
    <n v="850"/>
    <s v="Snohomish River"/>
    <s v="Snohomish River"/>
    <s v="Snohomish"/>
    <x v="2"/>
    <s v="King"/>
    <x v="3"/>
    <s v="South Puget Sound"/>
    <m/>
    <n v="49.711538461538503"/>
    <n v="430.00480769230802"/>
  </r>
  <r>
    <n v="2678"/>
    <x v="8"/>
    <s v="Freshwater"/>
    <x v="1"/>
    <x v="0"/>
    <n v="850"/>
    <s v="Snohomish River"/>
    <s v="Snohomish River"/>
    <s v="Snohomish"/>
    <x v="2"/>
    <s v="Other"/>
    <x v="6"/>
    <s v="Non Puget Sound"/>
    <m/>
    <n v="29.826923076923102"/>
    <n v="258.00288461538503"/>
  </r>
  <r>
    <n v="2677"/>
    <x v="8"/>
    <s v="Freshwater"/>
    <x v="1"/>
    <x v="0"/>
    <n v="850"/>
    <s v="Snohomish River"/>
    <s v="Snohomish River"/>
    <s v="Snohomish"/>
    <x v="2"/>
    <s v="Pierce"/>
    <x v="7"/>
    <s v="South Puget Sound"/>
    <m/>
    <n v="9.9423076923077005"/>
    <n v="86.000961538461596"/>
  </r>
  <r>
    <n v="2560"/>
    <x v="8"/>
    <s v="Freshwater"/>
    <x v="1"/>
    <x v="0"/>
    <n v="850"/>
    <s v="Snohomish River"/>
    <s v="Snohomish River"/>
    <s v="Snohomish"/>
    <x v="2"/>
    <s v="Snohomish"/>
    <x v="9"/>
    <s v="North Puget Sound"/>
    <m/>
    <n v="407.63461538461502"/>
    <n v="3526.0394230769198"/>
  </r>
  <r>
    <n v="45"/>
    <x v="8"/>
    <s v="Freshwater"/>
    <x v="1"/>
    <x v="0"/>
    <n v="852"/>
    <s v="Snoqualmie River"/>
    <s v="Snoqualmie River"/>
    <s v="Snohomish/King"/>
    <x v="2"/>
    <s v="King"/>
    <x v="3"/>
    <s v="South Puget Sound"/>
    <m/>
    <n v="5"/>
    <n v="43.25"/>
  </r>
  <r>
    <n v="44"/>
    <x v="8"/>
    <s v="Freshwater"/>
    <x v="1"/>
    <x v="0"/>
    <n v="852"/>
    <s v="Snoqualmie River"/>
    <s v="Snoqualmie River"/>
    <s v="Snohomish/King"/>
    <x v="2"/>
    <s v="Whatcom"/>
    <x v="11"/>
    <s v="North Puget Sound"/>
    <m/>
    <n v="5"/>
    <n v="43.25"/>
  </r>
  <r>
    <n v="2680"/>
    <x v="8"/>
    <s v="Freshwater"/>
    <x v="1"/>
    <x v="0"/>
    <n v="860"/>
    <s v="Wallace River"/>
    <s v="Wallace River"/>
    <s v="Snohomish"/>
    <x v="2"/>
    <s v="King"/>
    <x v="3"/>
    <s v="South Puget Sound"/>
    <m/>
    <n v="19.8571428571429"/>
    <n v="171.76428571428599"/>
  </r>
  <r>
    <n v="2679"/>
    <x v="8"/>
    <s v="Freshwater"/>
    <x v="1"/>
    <x v="0"/>
    <n v="860"/>
    <s v="Wallace River"/>
    <s v="Wallace River"/>
    <s v="Snohomish"/>
    <x v="2"/>
    <s v="Snohomish"/>
    <x v="9"/>
    <s v="North Puget Sound"/>
    <m/>
    <n v="119.142857142857"/>
    <n v="1030.5857142857101"/>
  </r>
  <r>
    <n v="2772"/>
    <x v="8"/>
    <s v="Freshwater"/>
    <x v="1"/>
    <x v="0"/>
    <n v="884"/>
    <s v="Whatcom Creek"/>
    <s v="Whatcom Creek"/>
    <s v="Whatcom"/>
    <x v="1"/>
    <s v="Snohomish"/>
    <x v="9"/>
    <s v="North Puget Sound"/>
    <m/>
    <n v="38.727272727272698"/>
    <n v="334.99090909090899"/>
  </r>
  <r>
    <n v="2771"/>
    <x v="8"/>
    <s v="Freshwater"/>
    <x v="1"/>
    <x v="0"/>
    <n v="884"/>
    <s v="Whatcom Creek"/>
    <s v="Whatcom Creek"/>
    <s v="Whatcom"/>
    <x v="1"/>
    <s v="Whatcom"/>
    <x v="11"/>
    <s v="North Puget Sound"/>
    <m/>
    <n v="174.272727272727"/>
    <n v="1507.45909090909"/>
  </r>
  <r>
    <n v="276"/>
    <x v="9"/>
    <s v="Freshwater"/>
    <x v="1"/>
    <x v="0"/>
    <n v="706"/>
    <s v="Black River (Thurston Co)"/>
    <s v="Black River (Thurston Co)"/>
    <s v="Thurston"/>
    <x v="3"/>
    <s v="King"/>
    <x v="3"/>
    <s v="South Puget Sound"/>
    <m/>
    <n v="22"/>
    <n v="75.680000000000007"/>
  </r>
  <r>
    <n v="3104"/>
    <x v="9"/>
    <s v="Freshwater"/>
    <x v="1"/>
    <x v="0"/>
    <n v="710"/>
    <s v="California Creek"/>
    <s v="California Creek"/>
    <s v="Whatcom"/>
    <x v="1"/>
    <s v="Whatcom"/>
    <x v="11"/>
    <s v="North Puget Sound"/>
    <m/>
    <n v="11"/>
    <n v="37.840000000000003"/>
  </r>
  <r>
    <n v="572"/>
    <x v="9"/>
    <s v="Freshwater"/>
    <x v="1"/>
    <x v="0"/>
    <n v="714"/>
    <s v="Chambers Creek"/>
    <s v="Chambers Creek"/>
    <s v="Pierce"/>
    <x v="3"/>
    <s v="Pierce"/>
    <x v="7"/>
    <s v="South Puget Sound"/>
    <m/>
    <n v="11"/>
    <n v="37.840000000000003"/>
  </r>
  <r>
    <n v="2774"/>
    <x v="9"/>
    <s v="Freshwater"/>
    <x v="1"/>
    <x v="0"/>
    <n v="724"/>
    <s v="Dakota Creek (Whatcom Co)"/>
    <s v="Dakota Creek (Whatcom Co)"/>
    <s v="Whatcom"/>
    <x v="1"/>
    <s v="Snohomish"/>
    <x v="9"/>
    <s v="North Puget Sound"/>
    <m/>
    <n v="51.6666666666667"/>
    <n v="177.73333333333301"/>
  </r>
  <r>
    <n v="2773"/>
    <x v="9"/>
    <s v="Freshwater"/>
    <x v="1"/>
    <x v="0"/>
    <n v="724"/>
    <s v="Dakota Creek (Whatcom Co)"/>
    <s v="Dakota Creek (Whatcom Co)"/>
    <s v="Whatcom"/>
    <x v="1"/>
    <s v="Whatcom"/>
    <x v="11"/>
    <s v="North Puget Sound"/>
    <m/>
    <n v="72.3333333333334"/>
    <n v="248.82666666666699"/>
  </r>
  <r>
    <n v="953"/>
    <x v="9"/>
    <s v="Freshwater"/>
    <x v="1"/>
    <x v="0"/>
    <n v="736"/>
    <s v="Duckabush River"/>
    <s v="Duckabush River"/>
    <s v="Jefferson"/>
    <x v="4"/>
    <s v="King"/>
    <x v="3"/>
    <s v="South Puget Sound"/>
    <m/>
    <n v="11"/>
    <n v="37.840000000000003"/>
  </r>
  <r>
    <n v="2545"/>
    <x v="9"/>
    <s v="Freshwater"/>
    <x v="1"/>
    <x v="0"/>
    <n v="738"/>
    <s v="Dungeness River"/>
    <s v="Dungeness River"/>
    <s v="Clallam"/>
    <x v="0"/>
    <s v="Clallam"/>
    <x v="0"/>
    <s v="Strait of Juan de Fuca"/>
    <m/>
    <n v="528.82758620689697"/>
    <n v="1819.1668965517299"/>
  </r>
  <r>
    <n v="2546"/>
    <x v="9"/>
    <s v="Freshwater"/>
    <x v="1"/>
    <x v="0"/>
    <n v="738"/>
    <s v="Dungeness River"/>
    <s v="Dungeness River"/>
    <s v="Clallam"/>
    <x v="0"/>
    <s v="Jefferson"/>
    <x v="2"/>
    <s v="Strait of Juan de Fuca"/>
    <m/>
    <n v="55.086206896551701"/>
    <n v="189.49655172413799"/>
  </r>
  <r>
    <n v="2544"/>
    <x v="9"/>
    <s v="Freshwater"/>
    <x v="1"/>
    <x v="0"/>
    <n v="738"/>
    <s v="Dungeness River"/>
    <s v="Dungeness River"/>
    <s v="Clallam"/>
    <x v="0"/>
    <s v="Mason"/>
    <x v="5"/>
    <s v="South Puget Sound"/>
    <m/>
    <n v="11.017241379310301"/>
    <n v="37.899310344827398"/>
  </r>
  <r>
    <n v="2543"/>
    <x v="9"/>
    <s v="Freshwater"/>
    <x v="1"/>
    <x v="0"/>
    <n v="738"/>
    <s v="Dungeness River"/>
    <s v="Dungeness River"/>
    <s v="Clallam"/>
    <x v="0"/>
    <s v="Pierce"/>
    <x v="7"/>
    <s v="South Puget Sound"/>
    <m/>
    <n v="44.068965517241402"/>
    <n v="151.59724137930999"/>
  </r>
  <r>
    <n v="16"/>
    <x v="9"/>
    <s v="Freshwater"/>
    <x v="1"/>
    <x v="0"/>
    <n v="746"/>
    <s v="Green - Duwamish River"/>
    <s v="Green - Duwamish River"/>
    <s v="King"/>
    <x v="3"/>
    <s v="Island"/>
    <x v="1"/>
    <s v="North Puget Sound"/>
    <m/>
    <n v="173.48453608247399"/>
    <n v="596.78680412371102"/>
  </r>
  <r>
    <n v="21"/>
    <x v="9"/>
    <s v="Freshwater"/>
    <x v="1"/>
    <x v="0"/>
    <n v="746"/>
    <s v="Green - Duwamish River"/>
    <s v="Green - Duwamish River"/>
    <s v="King"/>
    <x v="3"/>
    <s v="Jefferson"/>
    <x v="2"/>
    <s v="Strait of Juan de Fuca"/>
    <m/>
    <n v="119.270618556701"/>
    <n v="410.29092783505098"/>
  </r>
  <r>
    <n v="17"/>
    <x v="9"/>
    <s v="Freshwater"/>
    <x v="1"/>
    <x v="0"/>
    <n v="746"/>
    <s v="Green - Duwamish River"/>
    <s v="Green - Duwamish River"/>
    <s v="King"/>
    <x v="3"/>
    <s v="King"/>
    <x v="3"/>
    <s v="South Puget Sound"/>
    <m/>
    <n v="12751.113402061899"/>
    <n v="43863.8301030929"/>
  </r>
  <r>
    <n v="20"/>
    <x v="9"/>
    <s v="Freshwater"/>
    <x v="1"/>
    <x v="0"/>
    <n v="746"/>
    <s v="Green - Duwamish River"/>
    <s v="Green - Duwamish River"/>
    <s v="King"/>
    <x v="3"/>
    <s v="Kitsap"/>
    <x v="4"/>
    <s v="South Puget Sound"/>
    <m/>
    <n v="65.056701030927897"/>
    <n v="223.79505154639199"/>
  </r>
  <r>
    <n v="22"/>
    <x v="9"/>
    <s v="Freshwater"/>
    <x v="1"/>
    <x v="0"/>
    <n v="746"/>
    <s v="Green - Duwamish River"/>
    <s v="Green - Duwamish River"/>
    <s v="King"/>
    <x v="3"/>
    <s v="Other"/>
    <x v="6"/>
    <s v="Non Puget Sound"/>
    <m/>
    <n v="672.252577319588"/>
    <n v="2312.54886597938"/>
  </r>
  <r>
    <n v="18"/>
    <x v="9"/>
    <s v="Freshwater"/>
    <x v="1"/>
    <x v="0"/>
    <n v="746"/>
    <s v="Green - Duwamish River"/>
    <s v="Green - Duwamish River"/>
    <s v="King"/>
    <x v="3"/>
    <s v="Pierce"/>
    <x v="7"/>
    <s v="South Puget Sound"/>
    <m/>
    <n v="2417.9407216494801"/>
    <n v="8317.7160824742095"/>
  </r>
  <r>
    <n v="15"/>
    <x v="9"/>
    <s v="Freshwater"/>
    <x v="1"/>
    <x v="0"/>
    <n v="746"/>
    <s v="Green - Duwamish River"/>
    <s v="Green - Duwamish River"/>
    <s v="King"/>
    <x v="3"/>
    <s v="Snohomish"/>
    <x v="9"/>
    <s v="North Puget Sound"/>
    <m/>
    <n v="552.98195876288696"/>
    <n v="1902.25793814433"/>
  </r>
  <r>
    <n v="19"/>
    <x v="9"/>
    <s v="Freshwater"/>
    <x v="1"/>
    <x v="0"/>
    <n v="746"/>
    <s v="Green - Duwamish River"/>
    <s v="Green - Duwamish River"/>
    <s v="King"/>
    <x v="3"/>
    <s v="Thurston"/>
    <x v="10"/>
    <s v="South Puget Sound"/>
    <m/>
    <n v="75.899484536082497"/>
    <n v="261.09422680412399"/>
  </r>
  <r>
    <n v="960"/>
    <x v="9"/>
    <s v="Freshwater"/>
    <x v="1"/>
    <x v="0"/>
    <n v="754"/>
    <s v="Kennedy Creek"/>
    <s v="Kennedy Creek"/>
    <s v="Mason/Thurston"/>
    <x v="3"/>
    <s v="Pierce"/>
    <x v="7"/>
    <s v="South Puget Sound"/>
    <m/>
    <n v="22"/>
    <n v="75.680000000000007"/>
  </r>
  <r>
    <n v="961"/>
    <x v="9"/>
    <s v="Freshwater"/>
    <x v="1"/>
    <x v="0"/>
    <n v="754"/>
    <s v="Kennedy Creek"/>
    <s v="Kennedy Creek"/>
    <s v="Mason/Thurston"/>
    <x v="3"/>
    <s v="Thurston"/>
    <x v="10"/>
    <s v="South Puget Sound"/>
    <m/>
    <n v="11"/>
    <n v="37.840000000000003"/>
  </r>
  <r>
    <n v="24"/>
    <x v="9"/>
    <s v="Freshwater"/>
    <x v="1"/>
    <x v="0"/>
    <n v="762"/>
    <s v="Lake Washington"/>
    <s v="Lake Washington"/>
    <s v="King"/>
    <x v="3"/>
    <s v="King"/>
    <x v="3"/>
    <s v="South Puget Sound"/>
    <m/>
    <n v="451"/>
    <n v="1551.44"/>
  </r>
  <r>
    <n v="23"/>
    <x v="9"/>
    <s v="Freshwater"/>
    <x v="1"/>
    <x v="0"/>
    <n v="762"/>
    <s v="Lake Washington"/>
    <s v="Lake Washington"/>
    <s v="King"/>
    <x v="3"/>
    <s v="Snohomish"/>
    <x v="9"/>
    <s v="North Puget Sound"/>
    <m/>
    <n v="99"/>
    <n v="340.56"/>
  </r>
  <r>
    <n v="105"/>
    <x v="9"/>
    <s v="Freshwater"/>
    <x v="1"/>
    <x v="0"/>
    <n v="764"/>
    <s v="Lake Sammamish"/>
    <s v="Lake Sammamish"/>
    <s v="King"/>
    <x v="3"/>
    <s v="King"/>
    <x v="3"/>
    <s v="South Puget Sound"/>
    <m/>
    <n v="11"/>
    <n v="37.840000000000003"/>
  </r>
  <r>
    <n v="106"/>
    <x v="9"/>
    <s v="Freshwater"/>
    <x v="1"/>
    <x v="0"/>
    <n v="764"/>
    <s v="Lake Sammamish"/>
    <s v="Lake Sammamish"/>
    <s v="King"/>
    <x v="3"/>
    <s v="Pierce"/>
    <x v="7"/>
    <s v="South Puget Sound"/>
    <m/>
    <n v="66"/>
    <n v="227.04"/>
  </r>
  <r>
    <n v="2562"/>
    <x v="9"/>
    <s v="Freshwater"/>
    <x v="1"/>
    <x v="0"/>
    <n v="768"/>
    <s v="Lyre River"/>
    <s v="Lyre River"/>
    <s v="Clallam"/>
    <x v="0"/>
    <s v="Pierce"/>
    <x v="7"/>
    <s v="South Puget Sound"/>
    <m/>
    <n v="0"/>
    <n v="0"/>
  </r>
  <r>
    <n v="2561"/>
    <x v="9"/>
    <s v="Freshwater"/>
    <x v="1"/>
    <x v="0"/>
    <n v="768"/>
    <s v="Lyre River"/>
    <s v="Lyre River"/>
    <s v="Clallam"/>
    <x v="0"/>
    <s v="Snohomish"/>
    <x v="9"/>
    <s v="North Puget Sound"/>
    <m/>
    <n v="0"/>
    <n v="0"/>
  </r>
  <r>
    <n v="2563"/>
    <x v="9"/>
    <s v="Freshwater"/>
    <x v="1"/>
    <x v="0"/>
    <n v="768"/>
    <s v="Lyre River"/>
    <s v="Lyre River"/>
    <s v="Clallam"/>
    <x v="0"/>
    <s v="Thurston"/>
    <x v="10"/>
    <s v="South Puget Sound"/>
    <m/>
    <n v="0"/>
    <n v="0"/>
  </r>
  <r>
    <n v="557"/>
    <x v="9"/>
    <s v="Freshwater"/>
    <x v="1"/>
    <x v="0"/>
    <n v="778"/>
    <s v="Minter Creek"/>
    <s v="Minter Creek"/>
    <s v="Kitsap/Pierce"/>
    <x v="3"/>
    <s v="Island"/>
    <x v="1"/>
    <s v="North Puget Sound"/>
    <m/>
    <n v="10.7590361445783"/>
    <n v="37.011084337349402"/>
  </r>
  <r>
    <n v="558"/>
    <x v="9"/>
    <s v="Freshwater"/>
    <x v="1"/>
    <x v="0"/>
    <n v="778"/>
    <s v="Minter Creek"/>
    <s v="Minter Creek"/>
    <s v="Kitsap/Pierce"/>
    <x v="3"/>
    <s v="King"/>
    <x v="3"/>
    <s v="South Puget Sound"/>
    <m/>
    <n v="505.67469879518097"/>
    <n v="1739.52096385542"/>
  </r>
  <r>
    <n v="561"/>
    <x v="9"/>
    <s v="Freshwater"/>
    <x v="1"/>
    <x v="0"/>
    <n v="778"/>
    <s v="Minter Creek"/>
    <s v="Minter Creek"/>
    <s v="Kitsap/Pierce"/>
    <x v="3"/>
    <s v="Kitsap"/>
    <x v="4"/>
    <s v="South Puget Sound"/>
    <m/>
    <n v="419.60240963855398"/>
    <n v="1443.4322891566301"/>
  </r>
  <r>
    <n v="562"/>
    <x v="9"/>
    <s v="Freshwater"/>
    <x v="1"/>
    <x v="0"/>
    <n v="778"/>
    <s v="Minter Creek"/>
    <s v="Minter Creek"/>
    <s v="Kitsap/Pierce"/>
    <x v="3"/>
    <s v="Other"/>
    <x v="6"/>
    <s v="Non Puget Sound"/>
    <m/>
    <n v="10.7590361445783"/>
    <n v="37.011084337349402"/>
  </r>
  <r>
    <n v="559"/>
    <x v="9"/>
    <s v="Freshwater"/>
    <x v="1"/>
    <x v="0"/>
    <n v="778"/>
    <s v="Minter Creek"/>
    <s v="Minter Creek"/>
    <s v="Kitsap/Pierce"/>
    <x v="3"/>
    <s v="Pierce"/>
    <x v="7"/>
    <s v="South Puget Sound"/>
    <m/>
    <n v="645.54216867469904"/>
    <n v="2220.66506024096"/>
  </r>
  <r>
    <n v="556"/>
    <x v="9"/>
    <s v="Freshwater"/>
    <x v="1"/>
    <x v="0"/>
    <n v="778"/>
    <s v="Minter Creek"/>
    <s v="Minter Creek"/>
    <s v="Kitsap/Pierce"/>
    <x v="3"/>
    <s v="Snohomish"/>
    <x v="9"/>
    <s v="North Puget Sound"/>
    <m/>
    <n v="75.313253012048193"/>
    <n v="259.07759036144603"/>
  </r>
  <r>
    <n v="560"/>
    <x v="9"/>
    <s v="Freshwater"/>
    <x v="1"/>
    <x v="0"/>
    <n v="778"/>
    <s v="Minter Creek"/>
    <s v="Minter Creek"/>
    <s v="Kitsap/Pierce"/>
    <x v="3"/>
    <s v="Thurston"/>
    <x v="10"/>
    <s v="South Puget Sound"/>
    <m/>
    <n v="118.34939759036099"/>
    <n v="407.12192771084199"/>
  </r>
  <r>
    <n v="502"/>
    <x v="9"/>
    <s v="Freshwater"/>
    <x v="1"/>
    <x v="0"/>
    <n v="786"/>
    <s v="Nisqually River"/>
    <s v="Nisqually River"/>
    <s v="Thurston/Pierce"/>
    <x v="3"/>
    <s v="King"/>
    <x v="3"/>
    <s v="South Puget Sound"/>
    <m/>
    <n v="497.02729044834302"/>
    <n v="1709.7738791423001"/>
  </r>
  <r>
    <n v="581"/>
    <x v="9"/>
    <s v="Freshwater"/>
    <x v="1"/>
    <x v="0"/>
    <n v="786"/>
    <s v="Nisqually River"/>
    <s v="Nisqually River"/>
    <s v="Thurston/Pierce"/>
    <x v="3"/>
    <s v="Mason"/>
    <x v="5"/>
    <s v="South Puget Sound"/>
    <m/>
    <n v="31.725146198830402"/>
    <n v="109.134502923977"/>
  </r>
  <r>
    <n v="582"/>
    <x v="9"/>
    <s v="Freshwater"/>
    <x v="1"/>
    <x v="0"/>
    <n v="786"/>
    <s v="Nisqually River"/>
    <s v="Nisqually River"/>
    <s v="Thurston/Pierce"/>
    <x v="3"/>
    <s v="Other"/>
    <x v="6"/>
    <s v="Non Puget Sound"/>
    <m/>
    <n v="296.10136452241699"/>
    <n v="1018.58869395711"/>
  </r>
  <r>
    <n v="503"/>
    <x v="9"/>
    <s v="Freshwater"/>
    <x v="1"/>
    <x v="0"/>
    <n v="786"/>
    <s v="Nisqually River"/>
    <s v="Nisqually River"/>
    <s v="Thurston/Pierce"/>
    <x v="3"/>
    <s v="Pierce"/>
    <x v="7"/>
    <s v="South Puget Sound"/>
    <m/>
    <n v="2538.0116959064298"/>
    <n v="8730.7602339181194"/>
  </r>
  <r>
    <n v="580"/>
    <x v="9"/>
    <s v="Freshwater"/>
    <x v="1"/>
    <x v="0"/>
    <n v="786"/>
    <s v="Nisqually River"/>
    <s v="Nisqually River"/>
    <s v="Thurston/Pierce"/>
    <x v="3"/>
    <s v="Thurston"/>
    <x v="10"/>
    <s v="South Puget Sound"/>
    <m/>
    <n v="2062.1345029239801"/>
    <n v="7093.7426900584896"/>
  </r>
  <r>
    <n v="2879"/>
    <x v="9"/>
    <s v="Freshwater"/>
    <x v="1"/>
    <x v="0"/>
    <n v="788"/>
    <s v="Nooksack River"/>
    <s v="Nooksack River"/>
    <s v="Whatcom"/>
    <x v="1"/>
    <s v="Island"/>
    <x v="1"/>
    <s v="North Puget Sound"/>
    <m/>
    <n v="289.48953974895397"/>
    <n v="995.84401673640195"/>
  </r>
  <r>
    <n v="2880"/>
    <x v="9"/>
    <s v="Freshwater"/>
    <x v="1"/>
    <x v="0"/>
    <n v="788"/>
    <s v="Nooksack River"/>
    <s v="Nooksack River"/>
    <s v="Whatcom"/>
    <x v="1"/>
    <s v="King"/>
    <x v="3"/>
    <s v="South Puget Sound"/>
    <m/>
    <n v="41.355648535564903"/>
    <n v="142.26343096234299"/>
  </r>
  <r>
    <n v="2881"/>
    <x v="9"/>
    <s v="Freshwater"/>
    <x v="1"/>
    <x v="0"/>
    <n v="788"/>
    <s v="Nooksack River"/>
    <s v="Nooksack River"/>
    <s v="Whatcom"/>
    <x v="1"/>
    <s v="Other"/>
    <x v="6"/>
    <s v="Non Puget Sound"/>
    <m/>
    <n v="72.372384937238493"/>
    <n v="248.96100418410001"/>
  </r>
  <r>
    <n v="2877"/>
    <x v="9"/>
    <s v="Freshwater"/>
    <x v="1"/>
    <x v="0"/>
    <n v="788"/>
    <s v="Nooksack River"/>
    <s v="Nooksack River"/>
    <s v="Whatcom"/>
    <x v="1"/>
    <s v="Skagit"/>
    <x v="8"/>
    <s v="North Puget Sound"/>
    <m/>
    <n v="392.87866108786602"/>
    <n v="1351.50259414226"/>
  </r>
  <r>
    <n v="2878"/>
    <x v="9"/>
    <s v="Freshwater"/>
    <x v="1"/>
    <x v="0"/>
    <n v="788"/>
    <s v="Nooksack River"/>
    <s v="Nooksack River"/>
    <s v="Whatcom"/>
    <x v="1"/>
    <s v="Snohomish"/>
    <x v="9"/>
    <s v="North Puget Sound"/>
    <m/>
    <n v="175.76150627615101"/>
    <n v="604.61958158995901"/>
  </r>
  <r>
    <n v="2876"/>
    <x v="9"/>
    <s v="Freshwater"/>
    <x v="1"/>
    <x v="0"/>
    <n v="788"/>
    <s v="Nooksack River"/>
    <s v="Nooksack River"/>
    <s v="Whatcom"/>
    <x v="1"/>
    <s v="Whatcom"/>
    <x v="11"/>
    <s v="North Puget Sound"/>
    <m/>
    <n v="1499.14225941423"/>
    <n v="5157.0493723849504"/>
  </r>
  <r>
    <n v="579"/>
    <x v="9"/>
    <s v="Freshwater"/>
    <x v="1"/>
    <x v="0"/>
    <n v="802"/>
    <s v="Carbon River"/>
    <s v="Carbon River"/>
    <s v="Pierce"/>
    <x v="3"/>
    <s v="Clallam"/>
    <x v="0"/>
    <s v="Strait of Juan de Fuca"/>
    <m/>
    <n v="21.174603174603199"/>
    <n v="72.840634920634997"/>
  </r>
  <r>
    <n v="574"/>
    <x v="9"/>
    <s v="Freshwater"/>
    <x v="1"/>
    <x v="0"/>
    <n v="802"/>
    <s v="Carbon River"/>
    <s v="Carbon River"/>
    <s v="Pierce"/>
    <x v="3"/>
    <s v="King"/>
    <x v="3"/>
    <s v="South Puget Sound"/>
    <m/>
    <n v="719.93650793650795"/>
    <n v="2476.5815873015899"/>
  </r>
  <r>
    <n v="578"/>
    <x v="9"/>
    <s v="Freshwater"/>
    <x v="1"/>
    <x v="0"/>
    <n v="802"/>
    <s v="Carbon River"/>
    <s v="Carbon River"/>
    <s v="Pierce"/>
    <x v="3"/>
    <s v="Kitsap"/>
    <x v="4"/>
    <s v="South Puget Sound"/>
    <m/>
    <n v="74.1111111111111"/>
    <n v="254.942222222222"/>
  </r>
  <r>
    <n v="577"/>
    <x v="9"/>
    <s v="Freshwater"/>
    <x v="1"/>
    <x v="0"/>
    <n v="802"/>
    <s v="Carbon River"/>
    <s v="Carbon River"/>
    <s v="Pierce"/>
    <x v="3"/>
    <s v="Mason"/>
    <x v="5"/>
    <s v="South Puget Sound"/>
    <m/>
    <n v="10.587301587301599"/>
    <n v="36.420317460317499"/>
  </r>
  <r>
    <n v="675"/>
    <x v="9"/>
    <s v="Freshwater"/>
    <x v="1"/>
    <x v="0"/>
    <n v="802"/>
    <s v="Carbon River"/>
    <s v="Carbon River"/>
    <s v="Pierce"/>
    <x v="3"/>
    <s v="Other"/>
    <x v="6"/>
    <s v="Non Puget Sound"/>
    <m/>
    <n v="275.26984126984098"/>
    <n v="946.92825396825299"/>
  </r>
  <r>
    <n v="575"/>
    <x v="9"/>
    <s v="Freshwater"/>
    <x v="1"/>
    <x v="0"/>
    <n v="802"/>
    <s v="Carbon River"/>
    <s v="Carbon River"/>
    <s v="Pierce"/>
    <x v="3"/>
    <s v="Pierce"/>
    <x v="7"/>
    <s v="South Puget Sound"/>
    <m/>
    <n v="2805.63492063492"/>
    <n v="9651.3841269841305"/>
  </r>
  <r>
    <n v="573"/>
    <x v="9"/>
    <s v="Freshwater"/>
    <x v="1"/>
    <x v="0"/>
    <n v="802"/>
    <s v="Carbon River"/>
    <s v="Carbon River"/>
    <s v="Pierce"/>
    <x v="3"/>
    <s v="Snohomish"/>
    <x v="9"/>
    <s v="North Puget Sound"/>
    <m/>
    <n v="42.349206349206398"/>
    <n v="145.68126984126999"/>
  </r>
  <r>
    <n v="576"/>
    <x v="9"/>
    <s v="Freshwater"/>
    <x v="1"/>
    <x v="0"/>
    <n v="802"/>
    <s v="Carbon River"/>
    <s v="Carbon River"/>
    <s v="Pierce"/>
    <x v="3"/>
    <s v="Thurston"/>
    <x v="10"/>
    <s v="South Puget Sound"/>
    <m/>
    <n v="52.936507936508001"/>
    <n v="182.10158730158801"/>
  </r>
  <r>
    <n v="683"/>
    <x v="9"/>
    <s v="Freshwater"/>
    <x v="1"/>
    <x v="0"/>
    <n v="804"/>
    <s v="Puyallup River"/>
    <s v="Puyallup River"/>
    <s v="Pierce"/>
    <x v="3"/>
    <s v="Clallam"/>
    <x v="0"/>
    <s v="Strait of Juan de Fuca"/>
    <m/>
    <n v="31.84375"/>
    <n v="109.5425"/>
  </r>
  <r>
    <n v="684"/>
    <x v="9"/>
    <s v="Freshwater"/>
    <x v="1"/>
    <x v="0"/>
    <n v="804"/>
    <s v="Puyallup River"/>
    <s v="Puyallup River"/>
    <s v="Pierce"/>
    <x v="3"/>
    <s v="Jefferson"/>
    <x v="2"/>
    <s v="Strait of Juan de Fuca"/>
    <m/>
    <n v="127.375"/>
    <n v="438.17"/>
  </r>
  <r>
    <n v="678"/>
    <x v="9"/>
    <s v="Freshwater"/>
    <x v="1"/>
    <x v="0"/>
    <n v="804"/>
    <s v="Puyallup River"/>
    <s v="Puyallup River"/>
    <s v="Pierce"/>
    <x v="3"/>
    <s v="King"/>
    <x v="3"/>
    <s v="South Puget Sound"/>
    <m/>
    <n v="12450.90625"/>
    <n v="42831.1175"/>
  </r>
  <r>
    <n v="682"/>
    <x v="9"/>
    <s v="Freshwater"/>
    <x v="1"/>
    <x v="0"/>
    <n v="804"/>
    <s v="Puyallup River"/>
    <s v="Puyallup River"/>
    <s v="Pierce"/>
    <x v="3"/>
    <s v="Kitsap"/>
    <x v="4"/>
    <s v="South Puget Sound"/>
    <m/>
    <n v="583.80208333333303"/>
    <n v="2008.2791666666701"/>
  </r>
  <r>
    <n v="681"/>
    <x v="9"/>
    <s v="Freshwater"/>
    <x v="1"/>
    <x v="0"/>
    <n v="804"/>
    <s v="Puyallup River"/>
    <s v="Puyallup River"/>
    <s v="Pierce"/>
    <x v="3"/>
    <s v="Mason"/>
    <x v="5"/>
    <s v="South Puget Sound"/>
    <m/>
    <n v="488.27083333333297"/>
    <n v="1679.6516666666701"/>
  </r>
  <r>
    <n v="685"/>
    <x v="9"/>
    <s v="Freshwater"/>
    <x v="1"/>
    <x v="0"/>
    <n v="804"/>
    <s v="Puyallup River"/>
    <s v="Puyallup River"/>
    <s v="Pierce"/>
    <x v="3"/>
    <s v="Other"/>
    <x v="6"/>
    <s v="Non Puget Sound"/>
    <m/>
    <n v="1050.84375"/>
    <n v="3614.9025000000001"/>
  </r>
  <r>
    <n v="679"/>
    <x v="9"/>
    <s v="Freshwater"/>
    <x v="1"/>
    <x v="0"/>
    <n v="804"/>
    <s v="Puyallup River"/>
    <s v="Puyallup River"/>
    <s v="Pierce"/>
    <x v="3"/>
    <s v="Pierce"/>
    <x v="7"/>
    <s v="South Puget Sound"/>
    <m/>
    <n v="23681.135416666701"/>
    <n v="81463.105833333495"/>
  </r>
  <r>
    <n v="676"/>
    <x v="9"/>
    <s v="Freshwater"/>
    <x v="1"/>
    <x v="0"/>
    <n v="804"/>
    <s v="Puyallup River"/>
    <s v="Puyallup River"/>
    <s v="Pierce"/>
    <x v="3"/>
    <s v="Skagit"/>
    <x v="8"/>
    <s v="North Puget Sound"/>
    <m/>
    <n v="10.6145833333333"/>
    <n v="36.514166666666597"/>
  </r>
  <r>
    <n v="677"/>
    <x v="9"/>
    <s v="Freshwater"/>
    <x v="1"/>
    <x v="0"/>
    <n v="804"/>
    <s v="Puyallup River"/>
    <s v="Puyallup River"/>
    <s v="Pierce"/>
    <x v="3"/>
    <s v="Snohomish"/>
    <x v="9"/>
    <s v="North Puget Sound"/>
    <m/>
    <n v="467.04166666666703"/>
    <n v="1606.62333333333"/>
  </r>
  <r>
    <n v="680"/>
    <x v="9"/>
    <s v="Freshwater"/>
    <x v="1"/>
    <x v="0"/>
    <n v="804"/>
    <s v="Puyallup River"/>
    <s v="Puyallup River"/>
    <s v="Pierce"/>
    <x v="3"/>
    <s v="Thurston"/>
    <x v="10"/>
    <s v="South Puget Sound"/>
    <m/>
    <n v="1868.1666666666699"/>
    <n v="6426.4933333333402"/>
  </r>
  <r>
    <n v="1030"/>
    <x v="9"/>
    <s v="Freshwater"/>
    <x v="1"/>
    <x v="0"/>
    <n v="812"/>
    <s v="Quilcene River"/>
    <s v="Quilcene River"/>
    <s v="Jefferson"/>
    <x v="4"/>
    <s v="Clallam"/>
    <x v="0"/>
    <s v="Strait of Juan de Fuca"/>
    <m/>
    <n v="33.075949367088597"/>
    <n v="113.781265822785"/>
  </r>
  <r>
    <n v="1031"/>
    <x v="9"/>
    <s v="Freshwater"/>
    <x v="1"/>
    <x v="0"/>
    <n v="812"/>
    <s v="Quilcene River"/>
    <s v="Quilcene River"/>
    <s v="Jefferson"/>
    <x v="4"/>
    <s v="Jefferson"/>
    <x v="2"/>
    <s v="Strait of Juan de Fuca"/>
    <m/>
    <n v="275.63291139240499"/>
    <n v="948.17721518987298"/>
  </r>
  <r>
    <n v="956"/>
    <x v="9"/>
    <s v="Freshwater"/>
    <x v="1"/>
    <x v="0"/>
    <n v="812"/>
    <s v="Quilcene River"/>
    <s v="Quilcene River"/>
    <s v="Jefferson"/>
    <x v="4"/>
    <s v="King"/>
    <x v="3"/>
    <s v="South Puget Sound"/>
    <m/>
    <n v="209.481012658228"/>
    <n v="720.61468354430394"/>
  </r>
  <r>
    <n v="1029"/>
    <x v="9"/>
    <s v="Freshwater"/>
    <x v="1"/>
    <x v="0"/>
    <n v="812"/>
    <s v="Quilcene River"/>
    <s v="Quilcene River"/>
    <s v="Jefferson"/>
    <x v="4"/>
    <s v="Kitsap"/>
    <x v="4"/>
    <s v="South Puget Sound"/>
    <m/>
    <n v="683.569620253165"/>
    <n v="2351.47949367089"/>
  </r>
  <r>
    <n v="1028"/>
    <x v="9"/>
    <s v="Freshwater"/>
    <x v="1"/>
    <x v="0"/>
    <n v="812"/>
    <s v="Quilcene River"/>
    <s v="Quilcene River"/>
    <s v="Jefferson"/>
    <x v="4"/>
    <s v="Mason"/>
    <x v="5"/>
    <s v="South Puget Sound"/>
    <m/>
    <n v="143.329113924051"/>
    <n v="493.05215189873502"/>
  </r>
  <r>
    <n v="1032"/>
    <x v="9"/>
    <s v="Freshwater"/>
    <x v="1"/>
    <x v="0"/>
    <n v="812"/>
    <s v="Quilcene River"/>
    <s v="Quilcene River"/>
    <s v="Jefferson"/>
    <x v="4"/>
    <s v="Other"/>
    <x v="6"/>
    <s v="Non Puget Sound"/>
    <m/>
    <n v="88.202531645569593"/>
    <n v="303.416708860759"/>
  </r>
  <r>
    <n v="1026"/>
    <x v="9"/>
    <s v="Freshwater"/>
    <x v="1"/>
    <x v="0"/>
    <n v="812"/>
    <s v="Quilcene River"/>
    <s v="Quilcene River"/>
    <s v="Jefferson"/>
    <x v="4"/>
    <s v="Pierce"/>
    <x v="7"/>
    <s v="South Puget Sound"/>
    <m/>
    <n v="198.45569620253201"/>
    <n v="682.68759493670996"/>
  </r>
  <r>
    <n v="955"/>
    <x v="9"/>
    <s v="Freshwater"/>
    <x v="1"/>
    <x v="0"/>
    <n v="812"/>
    <s v="Quilcene River"/>
    <s v="Quilcene River"/>
    <s v="Jefferson"/>
    <x v="4"/>
    <s v="Snohomish"/>
    <x v="9"/>
    <s v="North Puget Sound"/>
    <m/>
    <n v="44.101265822784796"/>
    <n v="151.70835443038001"/>
  </r>
  <r>
    <n v="1027"/>
    <x v="9"/>
    <s v="Freshwater"/>
    <x v="1"/>
    <x v="0"/>
    <n v="812"/>
    <s v="Quilcene River"/>
    <s v="Quilcene River"/>
    <s v="Jefferson"/>
    <x v="4"/>
    <s v="Thurston"/>
    <x v="10"/>
    <s v="South Puget Sound"/>
    <m/>
    <n v="44.101265822784796"/>
    <n v="151.70835443038001"/>
  </r>
  <r>
    <n v="954"/>
    <x v="9"/>
    <s v="Freshwater"/>
    <x v="1"/>
    <x v="0"/>
    <n v="812"/>
    <s v="Quilcene River"/>
    <s v="Quilcene River"/>
    <s v="Jefferson"/>
    <x v="4"/>
    <s v="Whatcom"/>
    <x v="11"/>
    <s v="North Puget Sound"/>
    <m/>
    <n v="22.050632911392398"/>
    <n v="75.854177215189793"/>
  </r>
  <r>
    <n v="1497"/>
    <x v="9"/>
    <s v="Freshwater"/>
    <x v="1"/>
    <x v="0"/>
    <n v="816"/>
    <s v="Samish River"/>
    <s v="Samish River"/>
    <s v="Skagit"/>
    <x v="1"/>
    <s v="Island"/>
    <x v="1"/>
    <s v="North Puget Sound"/>
    <m/>
    <n v="41.369978858350997"/>
    <n v="142.31272727272699"/>
  </r>
  <r>
    <n v="1498"/>
    <x v="9"/>
    <s v="Freshwater"/>
    <x v="1"/>
    <x v="0"/>
    <n v="816"/>
    <s v="Samish River"/>
    <s v="Samish River"/>
    <s v="Skagit"/>
    <x v="1"/>
    <s v="King"/>
    <x v="3"/>
    <s v="South Puget Sound"/>
    <m/>
    <n v="475.75475687103602"/>
    <n v="1636.5963636363599"/>
  </r>
  <r>
    <n v="1572"/>
    <x v="9"/>
    <s v="Freshwater"/>
    <x v="1"/>
    <x v="0"/>
    <n v="816"/>
    <s v="Samish River"/>
    <s v="Samish River"/>
    <s v="Skagit"/>
    <x v="1"/>
    <s v="Other"/>
    <x v="6"/>
    <s v="Non Puget Sound"/>
    <m/>
    <n v="268.90486257928097"/>
    <n v="925.03272727272702"/>
  </r>
  <r>
    <n v="1571"/>
    <x v="9"/>
    <s v="Freshwater"/>
    <x v="1"/>
    <x v="0"/>
    <n v="816"/>
    <s v="Samish River"/>
    <s v="Samish River"/>
    <s v="Skagit"/>
    <x v="1"/>
    <s v="Pierce"/>
    <x v="7"/>
    <s v="South Puget Sound"/>
    <m/>
    <n v="20.684989429175499"/>
    <n v="71.156363636363693"/>
  </r>
  <r>
    <n v="1495"/>
    <x v="9"/>
    <s v="Freshwater"/>
    <x v="1"/>
    <x v="0"/>
    <n v="816"/>
    <s v="Samish River"/>
    <s v="Samish River"/>
    <s v="Skagit"/>
    <x v="1"/>
    <s v="Skagit"/>
    <x v="8"/>
    <s v="North Puget Sound"/>
    <m/>
    <n v="486.09725158562401"/>
    <n v="1672.1745454545501"/>
  </r>
  <r>
    <n v="1496"/>
    <x v="9"/>
    <s v="Freshwater"/>
    <x v="1"/>
    <x v="0"/>
    <n v="816"/>
    <s v="Samish River"/>
    <s v="Samish River"/>
    <s v="Skagit"/>
    <x v="1"/>
    <s v="Snohomish"/>
    <x v="9"/>
    <s v="North Puget Sound"/>
    <m/>
    <n v="3113.0909090909099"/>
    <n v="10709.032727272701"/>
  </r>
  <r>
    <n v="1494"/>
    <x v="9"/>
    <s v="Freshwater"/>
    <x v="1"/>
    <x v="0"/>
    <n v="816"/>
    <s v="Samish River"/>
    <s v="Samish River"/>
    <s v="Skagit"/>
    <x v="1"/>
    <s v="Whatcom"/>
    <x v="11"/>
    <s v="North Puget Sound"/>
    <m/>
    <n v="486.09725158562401"/>
    <n v="1672.1745454545501"/>
  </r>
  <r>
    <n v="2885"/>
    <x v="9"/>
    <s v="Freshwater"/>
    <x v="1"/>
    <x v="0"/>
    <n v="825"/>
    <s v="Baker Lake"/>
    <s v="Baker Lake"/>
    <s v="Whatcom"/>
    <x v="1"/>
    <s v="Island"/>
    <x v="1"/>
    <s v="North Puget Sound"/>
    <m/>
    <n v="270.04545454545502"/>
    <n v="928.95636363636504"/>
  </r>
  <r>
    <n v="2886"/>
    <x v="9"/>
    <s v="Freshwater"/>
    <x v="1"/>
    <x v="0"/>
    <n v="825"/>
    <s v="Baker Lake"/>
    <s v="Baker Lake"/>
    <s v="Whatcom"/>
    <x v="1"/>
    <s v="King"/>
    <x v="3"/>
    <s v="South Puget Sound"/>
    <m/>
    <n v="519.31818181818198"/>
    <n v="1786.45454545455"/>
  </r>
  <r>
    <n v="2888"/>
    <x v="9"/>
    <s v="Freshwater"/>
    <x v="1"/>
    <x v="0"/>
    <n v="825"/>
    <s v="Baker Lake"/>
    <s v="Baker Lake"/>
    <s v="Whatcom"/>
    <x v="1"/>
    <s v="Other"/>
    <x v="6"/>
    <s v="Non Puget Sound"/>
    <m/>
    <n v="228.5"/>
    <n v="786.04"/>
  </r>
  <r>
    <n v="2883"/>
    <x v="9"/>
    <s v="Freshwater"/>
    <x v="1"/>
    <x v="0"/>
    <n v="825"/>
    <s v="Baker Lake"/>
    <s v="Baker Lake"/>
    <s v="Whatcom"/>
    <x v="1"/>
    <s v="Skagit"/>
    <x v="8"/>
    <s v="North Puget Sound"/>
    <m/>
    <n v="602.40909090909099"/>
    <n v="2072.2872727272702"/>
  </r>
  <r>
    <n v="2884"/>
    <x v="9"/>
    <s v="Freshwater"/>
    <x v="1"/>
    <x v="0"/>
    <n v="825"/>
    <s v="Baker Lake"/>
    <s v="Baker Lake"/>
    <s v="Whatcom"/>
    <x v="1"/>
    <s v="Snohomish"/>
    <x v="9"/>
    <s v="North Puget Sound"/>
    <m/>
    <n v="612.79545454545496"/>
    <n v="2108.01636363636"/>
  </r>
  <r>
    <n v="2887"/>
    <x v="9"/>
    <s v="Freshwater"/>
    <x v="1"/>
    <x v="0"/>
    <n v="825"/>
    <s v="Baker Lake"/>
    <s v="Baker Lake"/>
    <s v="Whatcom"/>
    <x v="1"/>
    <s v="Thurston"/>
    <x v="10"/>
    <s v="South Puget Sound"/>
    <m/>
    <n v="51.931818181818201"/>
    <n v="178.64545454545501"/>
  </r>
  <r>
    <n v="2882"/>
    <x v="9"/>
    <s v="Freshwater"/>
    <x v="1"/>
    <x v="0"/>
    <n v="825"/>
    <s v="Baker Lake"/>
    <s v="Baker Lake"/>
    <s v="Whatcom"/>
    <x v="1"/>
    <s v="Whatcom"/>
    <x v="11"/>
    <s v="North Puget Sound"/>
    <m/>
    <n v="457"/>
    <n v="1572.08"/>
  </r>
  <r>
    <n v="1580"/>
    <x v="9"/>
    <s v="Freshwater"/>
    <x v="1"/>
    <x v="0"/>
    <n v="826"/>
    <s v="Cascade River"/>
    <s v="Cascade River"/>
    <s v="Skagit"/>
    <x v="1"/>
    <s v="Island"/>
    <x v="1"/>
    <s v="North Puget Sound"/>
    <m/>
    <n v="62.531645569620302"/>
    <n v="215.10886075949401"/>
  </r>
  <r>
    <n v="1623"/>
    <x v="9"/>
    <s v="Freshwater"/>
    <x v="1"/>
    <x v="0"/>
    <n v="826"/>
    <s v="Cascade River"/>
    <s v="Cascade River"/>
    <s v="Skagit"/>
    <x v="1"/>
    <s v="King"/>
    <x v="3"/>
    <s v="South Puget Sound"/>
    <m/>
    <n v="562.78481012658199"/>
    <n v="1935.97974683544"/>
  </r>
  <r>
    <n v="1625"/>
    <x v="9"/>
    <s v="Freshwater"/>
    <x v="1"/>
    <x v="0"/>
    <n v="826"/>
    <s v="Cascade River"/>
    <s v="Cascade River"/>
    <s v="Skagit"/>
    <x v="1"/>
    <s v="Other"/>
    <x v="6"/>
    <s v="Non Puget Sound"/>
    <m/>
    <n v="156.329113924051"/>
    <n v="537.77215189873505"/>
  </r>
  <r>
    <n v="1624"/>
    <x v="9"/>
    <s v="Freshwater"/>
    <x v="1"/>
    <x v="0"/>
    <n v="826"/>
    <s v="Cascade River"/>
    <s v="Cascade River"/>
    <s v="Skagit"/>
    <x v="1"/>
    <s v="Pierce"/>
    <x v="7"/>
    <s v="South Puget Sound"/>
    <m/>
    <n v="31.265822784810101"/>
    <n v="107.554430379747"/>
  </r>
  <r>
    <n v="1581"/>
    <x v="9"/>
    <s v="Freshwater"/>
    <x v="1"/>
    <x v="0"/>
    <n v="826"/>
    <s v="Cascade River"/>
    <s v="Cascade River"/>
    <s v="Skagit"/>
    <x v="1"/>
    <s v="San Juan"/>
    <x v="12"/>
    <s v="North Puget Sound"/>
    <m/>
    <n v="20.843881856540101"/>
    <n v="71.702953586497898"/>
  </r>
  <r>
    <n v="1574"/>
    <x v="9"/>
    <s v="Freshwater"/>
    <x v="1"/>
    <x v="0"/>
    <n v="826"/>
    <s v="Cascade River"/>
    <s v="Cascade River"/>
    <s v="Skagit"/>
    <x v="1"/>
    <s v="Skagit"/>
    <x v="8"/>
    <s v="North Puget Sound"/>
    <m/>
    <n v="1063.0379746835399"/>
    <n v="3656.8506329113802"/>
  </r>
  <r>
    <n v="1575"/>
    <x v="9"/>
    <s v="Freshwater"/>
    <x v="1"/>
    <x v="0"/>
    <n v="826"/>
    <s v="Cascade River"/>
    <s v="Cascade River"/>
    <s v="Skagit"/>
    <x v="1"/>
    <s v="Snohomish"/>
    <x v="9"/>
    <s v="North Puget Sound"/>
    <m/>
    <n v="531.518987341772"/>
    <n v="1828.4253164557001"/>
  </r>
  <r>
    <n v="1573"/>
    <x v="9"/>
    <s v="Freshwater"/>
    <x v="1"/>
    <x v="0"/>
    <n v="826"/>
    <s v="Cascade River"/>
    <s v="Cascade River"/>
    <s v="Skagit"/>
    <x v="1"/>
    <s v="Whatcom"/>
    <x v="11"/>
    <s v="North Puget Sound"/>
    <m/>
    <n v="41.687763713080201"/>
    <n v="143.405907172996"/>
  </r>
  <r>
    <n v="2712"/>
    <x v="9"/>
    <s v="Freshwater"/>
    <x v="1"/>
    <x v="0"/>
    <n v="830"/>
    <s v="Skagit River"/>
    <s v="Skagit River"/>
    <s v="Skagit/Whatcom"/>
    <x v="2"/>
    <s v="Island"/>
    <x v="1"/>
    <s v="North Puget Sound"/>
    <m/>
    <n v="156.99056603773599"/>
    <n v="540.04754716981199"/>
  </r>
  <r>
    <n v="2739"/>
    <x v="9"/>
    <s v="Freshwater"/>
    <x v="1"/>
    <x v="0"/>
    <n v="830"/>
    <s v="Skagit River"/>
    <s v="Skagit River"/>
    <s v="Skagit/Whatcom"/>
    <x v="2"/>
    <s v="King"/>
    <x v="3"/>
    <s v="South Puget Sound"/>
    <m/>
    <n v="397.70943396226397"/>
    <n v="1368.1204528301901"/>
  </r>
  <r>
    <n v="2742"/>
    <x v="9"/>
    <s v="Freshwater"/>
    <x v="1"/>
    <x v="0"/>
    <n v="830"/>
    <s v="Skagit River"/>
    <s v="Skagit River"/>
    <s v="Skagit/Whatcom"/>
    <x v="2"/>
    <s v="Other"/>
    <x v="6"/>
    <s v="Non Puget Sound"/>
    <m/>
    <n v="52.330188679245303"/>
    <n v="180.015849056604"/>
  </r>
  <r>
    <n v="2740"/>
    <x v="9"/>
    <s v="Freshwater"/>
    <x v="1"/>
    <x v="0"/>
    <n v="830"/>
    <s v="Skagit River"/>
    <s v="Skagit River"/>
    <s v="Skagit/Whatcom"/>
    <x v="2"/>
    <s v="Pierce"/>
    <x v="7"/>
    <s v="South Puget Sound"/>
    <m/>
    <n v="31.398113207547201"/>
    <n v="108.00950943396199"/>
  </r>
  <r>
    <n v="2664"/>
    <x v="9"/>
    <s v="Freshwater"/>
    <x v="1"/>
    <x v="0"/>
    <n v="830"/>
    <s v="Skagit River"/>
    <s v="Skagit River"/>
    <s v="Skagit/Whatcom"/>
    <x v="2"/>
    <s v="Skagit"/>
    <x v="8"/>
    <s v="North Puget Sound"/>
    <m/>
    <n v="3767.7735849056598"/>
    <n v="12961.1411320755"/>
  </r>
  <r>
    <n v="2667"/>
    <x v="9"/>
    <s v="Freshwater"/>
    <x v="1"/>
    <x v="0"/>
    <n v="830"/>
    <s v="Skagit River"/>
    <s v="Skagit River"/>
    <s v="Skagit/Whatcom"/>
    <x v="2"/>
    <s v="Snohomish"/>
    <x v="9"/>
    <s v="North Puget Sound"/>
    <m/>
    <n v="575.63207547169804"/>
    <n v="1980.17433962264"/>
  </r>
  <r>
    <n v="2741"/>
    <x v="9"/>
    <s v="Freshwater"/>
    <x v="1"/>
    <x v="0"/>
    <n v="830"/>
    <s v="Skagit River"/>
    <s v="Skagit River"/>
    <s v="Skagit/Whatcom"/>
    <x v="2"/>
    <s v="Thurston"/>
    <x v="10"/>
    <s v="South Puget Sound"/>
    <m/>
    <n v="31.398113207547201"/>
    <n v="108.00950943396199"/>
  </r>
  <r>
    <n v="2663"/>
    <x v="9"/>
    <s v="Freshwater"/>
    <x v="1"/>
    <x v="0"/>
    <n v="830"/>
    <s v="Skagit River"/>
    <s v="Skagit River"/>
    <s v="Skagit/Whatcom"/>
    <x v="2"/>
    <s v="Whatcom"/>
    <x v="11"/>
    <s v="North Puget Sound"/>
    <m/>
    <n v="533.76792452830205"/>
    <n v="1836.16166037736"/>
  </r>
  <r>
    <n v="2681"/>
    <x v="9"/>
    <s v="Freshwater"/>
    <x v="1"/>
    <x v="0"/>
    <n v="840"/>
    <s v="Pilchuck River (Snohomish System)"/>
    <s v="Pilchuck River (Snohomish System)"/>
    <s v="Snohomish"/>
    <x v="2"/>
    <s v="Other"/>
    <x v="6"/>
    <s v="Non Puget Sound"/>
    <m/>
    <n v="0"/>
    <n v="0"/>
  </r>
  <r>
    <n v="2689"/>
    <x v="9"/>
    <s v="Freshwater"/>
    <x v="1"/>
    <x v="0"/>
    <n v="844"/>
    <s v="Skykomish River"/>
    <s v="Skykomish River"/>
    <s v="Snohomish"/>
    <x v="2"/>
    <s v="King"/>
    <x v="3"/>
    <s v="South Puget Sound"/>
    <m/>
    <n v="210.16949152542401"/>
    <n v="722.98305084745903"/>
  </r>
  <r>
    <n v="2784"/>
    <x v="9"/>
    <s v="Freshwater"/>
    <x v="1"/>
    <x v="0"/>
    <n v="844"/>
    <s v="Skykomish River"/>
    <s v="Skykomish River"/>
    <s v="Snohomish"/>
    <x v="2"/>
    <s v="Other"/>
    <x v="6"/>
    <s v="Non Puget Sound"/>
    <m/>
    <n v="52.542372881355902"/>
    <n v="180.74576271186399"/>
  </r>
  <r>
    <n v="2690"/>
    <x v="9"/>
    <s v="Freshwater"/>
    <x v="1"/>
    <x v="0"/>
    <n v="844"/>
    <s v="Skykomish River"/>
    <s v="Skykomish River"/>
    <s v="Snohomish"/>
    <x v="2"/>
    <s v="Pierce"/>
    <x v="7"/>
    <s v="South Puget Sound"/>
    <m/>
    <n v="42.033898305084797"/>
    <n v="144.59661016949201"/>
  </r>
  <r>
    <n v="2682"/>
    <x v="9"/>
    <s v="Freshwater"/>
    <x v="1"/>
    <x v="0"/>
    <n v="844"/>
    <s v="Skykomish River"/>
    <s v="Skykomish River"/>
    <s v="Snohomish"/>
    <x v="2"/>
    <s v="Skagit"/>
    <x v="8"/>
    <s v="North Puget Sound"/>
    <m/>
    <n v="21.016949152542399"/>
    <n v="72.298305084745806"/>
  </r>
  <r>
    <n v="2688"/>
    <x v="9"/>
    <s v="Freshwater"/>
    <x v="1"/>
    <x v="0"/>
    <n v="844"/>
    <s v="Skykomish River"/>
    <s v="Skykomish River"/>
    <s v="Snohomish"/>
    <x v="2"/>
    <s v="Snohomish"/>
    <x v="9"/>
    <s v="North Puget Sound"/>
    <m/>
    <n v="294.23728813559302"/>
    <n v="1012.17627118644"/>
  </r>
  <r>
    <n v="2787"/>
    <x v="9"/>
    <s v="Freshwater"/>
    <x v="1"/>
    <x v="0"/>
    <n v="850"/>
    <s v="Snohomish River"/>
    <s v="Snohomish River"/>
    <s v="Snohomish"/>
    <x v="2"/>
    <s v="King"/>
    <x v="3"/>
    <s v="South Puget Sound"/>
    <m/>
    <n v="381.92982456140402"/>
    <n v="1313.83859649123"/>
  </r>
  <r>
    <n v="2789"/>
    <x v="9"/>
    <s v="Freshwater"/>
    <x v="1"/>
    <x v="0"/>
    <n v="850"/>
    <s v="Snohomish River"/>
    <s v="Snohomish River"/>
    <s v="Snohomish"/>
    <x v="2"/>
    <s v="Other"/>
    <x v="6"/>
    <s v="Non Puget Sound"/>
    <m/>
    <n v="130.947368421053"/>
    <n v="450.458947368422"/>
  </r>
  <r>
    <n v="2788"/>
    <x v="9"/>
    <s v="Freshwater"/>
    <x v="1"/>
    <x v="0"/>
    <n v="850"/>
    <s v="Snohomish River"/>
    <s v="Snohomish River"/>
    <s v="Snohomish"/>
    <x v="2"/>
    <s v="Pierce"/>
    <x v="7"/>
    <s v="South Puget Sound"/>
    <m/>
    <n v="21.824561403508799"/>
    <n v="75.076491228070296"/>
  </r>
  <r>
    <n v="2785"/>
    <x v="9"/>
    <s v="Freshwater"/>
    <x v="1"/>
    <x v="0"/>
    <n v="850"/>
    <s v="Snohomish River"/>
    <s v="Snohomish River"/>
    <s v="Snohomish"/>
    <x v="2"/>
    <s v="Skagit"/>
    <x v="8"/>
    <s v="North Puget Sound"/>
    <m/>
    <n v="76.385964912280699"/>
    <n v="262.76771929824599"/>
  </r>
  <r>
    <n v="2786"/>
    <x v="9"/>
    <s v="Freshwater"/>
    <x v="1"/>
    <x v="0"/>
    <n v="850"/>
    <s v="Snohomish River"/>
    <s v="Snohomish River"/>
    <s v="Snohomish"/>
    <x v="2"/>
    <s v="Snohomish"/>
    <x v="9"/>
    <s v="North Puget Sound"/>
    <m/>
    <n v="1254.91228070175"/>
    <n v="4316.8982456140202"/>
  </r>
  <r>
    <n v="46"/>
    <x v="9"/>
    <s v="Freshwater"/>
    <x v="1"/>
    <x v="0"/>
    <n v="852"/>
    <s v="Snoqualmie River"/>
    <s v="Snoqualmie River"/>
    <s v="Snohomish/King"/>
    <x v="2"/>
    <s v="King"/>
    <x v="3"/>
    <s v="South Puget Sound"/>
    <m/>
    <n v="76.125"/>
    <n v="261.87"/>
  </r>
  <r>
    <n v="47"/>
    <x v="9"/>
    <s v="Freshwater"/>
    <x v="1"/>
    <x v="0"/>
    <n v="852"/>
    <s v="Snoqualmie River"/>
    <s v="Snoqualmie River"/>
    <s v="Snohomish/King"/>
    <x v="2"/>
    <s v="Other"/>
    <x v="6"/>
    <s v="Non Puget Sound"/>
    <m/>
    <n v="10.875"/>
    <n v="37.409999999999997"/>
  </r>
  <r>
    <n v="2791"/>
    <x v="9"/>
    <s v="Freshwater"/>
    <x v="1"/>
    <x v="0"/>
    <n v="860"/>
    <s v="Wallace River"/>
    <s v="Wallace River"/>
    <s v="Snohomish"/>
    <x v="2"/>
    <s v="King"/>
    <x v="3"/>
    <s v="South Puget Sound"/>
    <m/>
    <n v="184.243243243243"/>
    <n v="633.79675675675605"/>
  </r>
  <r>
    <n v="2790"/>
    <x v="9"/>
    <s v="Freshwater"/>
    <x v="1"/>
    <x v="0"/>
    <n v="860"/>
    <s v="Wallace River"/>
    <s v="Wallace River"/>
    <s v="Snohomish"/>
    <x v="2"/>
    <s v="Snohomish"/>
    <x v="9"/>
    <s v="North Puget Sound"/>
    <m/>
    <n v="216.756756756757"/>
    <n v="745.643243243244"/>
  </r>
  <r>
    <n v="2795"/>
    <x v="9"/>
    <s v="Freshwater"/>
    <x v="1"/>
    <x v="0"/>
    <n v="872"/>
    <s v="Stillaguamish River"/>
    <s v="Stillaguamish River"/>
    <s v="Snohomish"/>
    <x v="2"/>
    <s v="King"/>
    <x v="3"/>
    <s v="South Puget Sound"/>
    <m/>
    <n v="21.678160919540201"/>
    <n v="74.572873563218295"/>
  </r>
  <r>
    <n v="2797"/>
    <x v="9"/>
    <s v="Freshwater"/>
    <x v="1"/>
    <x v="0"/>
    <n v="872"/>
    <s v="Stillaguamish River"/>
    <s v="Stillaguamish River"/>
    <s v="Snohomish"/>
    <x v="2"/>
    <s v="Other"/>
    <x v="6"/>
    <s v="Non Puget Sound"/>
    <m/>
    <n v="21.678160919540201"/>
    <n v="74.572873563218295"/>
  </r>
  <r>
    <n v="2796"/>
    <x v="9"/>
    <s v="Freshwater"/>
    <x v="1"/>
    <x v="0"/>
    <n v="872"/>
    <s v="Stillaguamish River"/>
    <s v="Stillaguamish River"/>
    <s v="Snohomish"/>
    <x v="2"/>
    <s v="Pierce"/>
    <x v="7"/>
    <s v="South Puget Sound"/>
    <m/>
    <n v="10.8390804597701"/>
    <n v="37.286436781609098"/>
  </r>
  <r>
    <n v="2793"/>
    <x v="9"/>
    <s v="Freshwater"/>
    <x v="1"/>
    <x v="0"/>
    <n v="872"/>
    <s v="Stillaguamish River"/>
    <s v="Stillaguamish River"/>
    <s v="Snohomish"/>
    <x v="2"/>
    <s v="Skagit"/>
    <x v="8"/>
    <s v="North Puget Sound"/>
    <m/>
    <n v="21.678160919540201"/>
    <n v="74.572873563218295"/>
  </r>
  <r>
    <n v="2794"/>
    <x v="9"/>
    <s v="Freshwater"/>
    <x v="1"/>
    <x v="0"/>
    <n v="872"/>
    <s v="Stillaguamish River"/>
    <s v="Stillaguamish River"/>
    <s v="Snohomish"/>
    <x v="2"/>
    <s v="Snohomish"/>
    <x v="9"/>
    <s v="North Puget Sound"/>
    <m/>
    <n v="823.77011494252895"/>
    <n v="2833.7691954022998"/>
  </r>
  <r>
    <n v="2792"/>
    <x v="9"/>
    <s v="Freshwater"/>
    <x v="1"/>
    <x v="0"/>
    <n v="872"/>
    <s v="Stillaguamish River"/>
    <s v="Stillaguamish River"/>
    <s v="Snohomish"/>
    <x v="2"/>
    <s v="Whatcom"/>
    <x v="11"/>
    <s v="North Puget Sound"/>
    <m/>
    <n v="43.356321839080501"/>
    <n v="149.14574712643699"/>
  </r>
  <r>
    <n v="2892"/>
    <x v="9"/>
    <s v="Freshwater"/>
    <x v="1"/>
    <x v="0"/>
    <n v="884"/>
    <s v="Whatcom Creek"/>
    <s v="Whatcom Creek"/>
    <s v="Whatcom"/>
    <x v="1"/>
    <s v="King"/>
    <x v="3"/>
    <s v="South Puget Sound"/>
    <m/>
    <n v="31.8461538461539"/>
    <n v="109.55076923076901"/>
  </r>
  <r>
    <n v="2890"/>
    <x v="9"/>
    <s v="Freshwater"/>
    <x v="1"/>
    <x v="0"/>
    <n v="884"/>
    <s v="Whatcom Creek"/>
    <s v="Whatcom Creek"/>
    <s v="Whatcom"/>
    <x v="1"/>
    <s v="Skagit"/>
    <x v="8"/>
    <s v="North Puget Sound"/>
    <m/>
    <n v="74.307692307692307"/>
    <n v="255.61846153846199"/>
  </r>
  <r>
    <n v="2891"/>
    <x v="9"/>
    <s v="Freshwater"/>
    <x v="1"/>
    <x v="0"/>
    <n v="884"/>
    <s v="Whatcom Creek"/>
    <s v="Whatcom Creek"/>
    <s v="Whatcom"/>
    <x v="1"/>
    <s v="Snohomish"/>
    <x v="9"/>
    <s v="North Puget Sound"/>
    <m/>
    <n v="42.461538461538503"/>
    <n v="146.067692307692"/>
  </r>
  <r>
    <n v="2889"/>
    <x v="9"/>
    <s v="Freshwater"/>
    <x v="1"/>
    <x v="0"/>
    <n v="884"/>
    <s v="Whatcom Creek"/>
    <s v="Whatcom Creek"/>
    <s v="Whatcom"/>
    <x v="1"/>
    <s v="Whatcom"/>
    <x v="11"/>
    <s v="North Puget Sound"/>
    <m/>
    <n v="265.38461538461502"/>
    <n v="912.923076923076"/>
  </r>
  <r>
    <n v="775"/>
    <x v="10"/>
    <s v="Freshwater"/>
    <x v="1"/>
    <x v="0"/>
    <n v="714"/>
    <s v="Chambers Creek"/>
    <s v="Chambers Creek"/>
    <s v="Pierce"/>
    <x v="3"/>
    <s v="Other"/>
    <x v="6"/>
    <s v="Non Puget Sound"/>
    <m/>
    <n v="7"/>
    <n v="60.55"/>
  </r>
  <r>
    <n v="774"/>
    <x v="10"/>
    <s v="Freshwater"/>
    <x v="1"/>
    <x v="0"/>
    <n v="714"/>
    <s v="Chambers Creek"/>
    <s v="Chambers Creek"/>
    <s v="Pierce"/>
    <x v="3"/>
    <s v="Pierce"/>
    <x v="7"/>
    <s v="South Puget Sound"/>
    <m/>
    <n v="7"/>
    <n v="60.55"/>
  </r>
  <r>
    <n v="2893"/>
    <x v="10"/>
    <s v="Freshwater"/>
    <x v="1"/>
    <x v="0"/>
    <n v="724"/>
    <s v="Dakota Creek (Whatcom Co)"/>
    <s v="Dakota Creek (Whatcom Co)"/>
    <s v="Whatcom"/>
    <x v="1"/>
    <s v="Pierce"/>
    <x v="7"/>
    <s v="South Puget Sound"/>
    <m/>
    <n v="12"/>
    <n v="103.8"/>
  </r>
  <r>
    <n v="277"/>
    <x v="10"/>
    <s v="Freshwater"/>
    <x v="1"/>
    <x v="0"/>
    <n v="728"/>
    <s v="Deschutes River"/>
    <s v="Deschutes River"/>
    <s v="Thurston"/>
    <x v="3"/>
    <s v="Other"/>
    <x v="6"/>
    <s v="Non Puget Sound"/>
    <m/>
    <n v="14"/>
    <n v="121.1"/>
  </r>
  <r>
    <n v="1033"/>
    <x v="10"/>
    <s v="Freshwater"/>
    <x v="1"/>
    <x v="0"/>
    <n v="736"/>
    <s v="Duckabush River"/>
    <s v="Duckabush River"/>
    <s v="Jefferson"/>
    <x v="4"/>
    <s v="Jefferson"/>
    <x v="2"/>
    <s v="Strait of Juan de Fuca"/>
    <m/>
    <n v="7"/>
    <n v="60.55"/>
  </r>
  <r>
    <n v="2672"/>
    <x v="10"/>
    <s v="Freshwater"/>
    <x v="1"/>
    <x v="0"/>
    <n v="738"/>
    <s v="Dungeness River"/>
    <s v="Dungeness River"/>
    <s v="Clallam"/>
    <x v="0"/>
    <s v="Clallam"/>
    <x v="0"/>
    <s v="Strait of Juan de Fuca"/>
    <m/>
    <n v="132.42307692307699"/>
    <n v="1145.4596153846201"/>
  </r>
  <r>
    <n v="2673"/>
    <x v="10"/>
    <s v="Freshwater"/>
    <x v="1"/>
    <x v="0"/>
    <n v="738"/>
    <s v="Dungeness River"/>
    <s v="Dungeness River"/>
    <s v="Clallam"/>
    <x v="0"/>
    <s v="Jefferson"/>
    <x v="2"/>
    <s v="Strait of Juan de Fuca"/>
    <m/>
    <n v="48.153846153846203"/>
    <n v="416.53076923076998"/>
  </r>
  <r>
    <n v="2671"/>
    <x v="10"/>
    <s v="Freshwater"/>
    <x v="1"/>
    <x v="0"/>
    <n v="738"/>
    <s v="Dungeness River"/>
    <s v="Dungeness River"/>
    <s v="Clallam"/>
    <x v="0"/>
    <s v="Kitsap"/>
    <x v="4"/>
    <s v="South Puget Sound"/>
    <m/>
    <n v="24.076923076923102"/>
    <n v="208.26538461538499"/>
  </r>
  <r>
    <n v="2674"/>
    <x v="10"/>
    <s v="Freshwater"/>
    <x v="1"/>
    <x v="0"/>
    <n v="738"/>
    <s v="Dungeness River"/>
    <s v="Dungeness River"/>
    <s v="Clallam"/>
    <x v="0"/>
    <s v="Other"/>
    <x v="6"/>
    <s v="Non Puget Sound"/>
    <m/>
    <n v="12.038461538461499"/>
    <n v="104.132692307692"/>
  </r>
  <r>
    <n v="2670"/>
    <x v="10"/>
    <s v="Freshwater"/>
    <x v="1"/>
    <x v="0"/>
    <n v="738"/>
    <s v="Dungeness River"/>
    <s v="Dungeness River"/>
    <s v="Clallam"/>
    <x v="0"/>
    <s v="Pierce"/>
    <x v="7"/>
    <s v="South Puget Sound"/>
    <m/>
    <n v="96.307692307692307"/>
    <n v="833.06153846153802"/>
  </r>
  <r>
    <n v="114"/>
    <x v="10"/>
    <s v="Freshwater"/>
    <x v="1"/>
    <x v="0"/>
    <n v="746"/>
    <s v="Green - Duwamish River"/>
    <s v="Green - Duwamish River"/>
    <s v="King"/>
    <x v="3"/>
    <s v="Clallam"/>
    <x v="0"/>
    <s v="Strait of Juan de Fuca"/>
    <m/>
    <n v="296.345707656613"/>
    <n v="2563.3903712297001"/>
  </r>
  <r>
    <n v="109"/>
    <x v="10"/>
    <s v="Freshwater"/>
    <x v="1"/>
    <x v="0"/>
    <n v="746"/>
    <s v="Green - Duwamish River"/>
    <s v="Green - Duwamish River"/>
    <s v="King"/>
    <x v="3"/>
    <s v="Island"/>
    <x v="1"/>
    <s v="North Puget Sound"/>
    <m/>
    <n v="35.561484918793496"/>
    <n v="307.60684454756398"/>
  </r>
  <r>
    <n v="110"/>
    <x v="10"/>
    <s v="Freshwater"/>
    <x v="1"/>
    <x v="0"/>
    <n v="746"/>
    <s v="Green - Duwamish River"/>
    <s v="Green - Duwamish River"/>
    <s v="King"/>
    <x v="3"/>
    <s v="King"/>
    <x v="3"/>
    <s v="South Puget Sound"/>
    <m/>
    <n v="3864.3480278422298"/>
    <n v="33426.610440835299"/>
  </r>
  <r>
    <n v="113"/>
    <x v="10"/>
    <s v="Freshwater"/>
    <x v="1"/>
    <x v="0"/>
    <n v="746"/>
    <s v="Green - Duwamish River"/>
    <s v="Green - Duwamish River"/>
    <s v="King"/>
    <x v="3"/>
    <s v="Mason"/>
    <x v="5"/>
    <s v="South Puget Sound"/>
    <m/>
    <n v="11.8538283062645"/>
    <n v="102.53561484918799"/>
  </r>
  <r>
    <n v="111"/>
    <x v="10"/>
    <s v="Freshwater"/>
    <x v="1"/>
    <x v="0"/>
    <n v="746"/>
    <s v="Green - Duwamish River"/>
    <s v="Green - Duwamish River"/>
    <s v="King"/>
    <x v="3"/>
    <s v="Pierce"/>
    <x v="7"/>
    <s v="South Puget Sound"/>
    <m/>
    <n v="533.42227378190296"/>
    <n v="4614.1026682134598"/>
  </r>
  <r>
    <n v="107"/>
    <x v="10"/>
    <s v="Freshwater"/>
    <x v="1"/>
    <x v="0"/>
    <n v="746"/>
    <s v="Green - Duwamish River"/>
    <s v="Green - Duwamish River"/>
    <s v="King"/>
    <x v="3"/>
    <s v="Skagit"/>
    <x v="8"/>
    <s v="North Puget Sound"/>
    <m/>
    <n v="23.707656612529"/>
    <n v="205.07122969837599"/>
  </r>
  <r>
    <n v="108"/>
    <x v="10"/>
    <s v="Freshwater"/>
    <x v="1"/>
    <x v="0"/>
    <n v="746"/>
    <s v="Green - Duwamish River"/>
    <s v="Green - Duwamish River"/>
    <s v="King"/>
    <x v="3"/>
    <s v="Snohomish"/>
    <x v="9"/>
    <s v="North Puget Sound"/>
    <m/>
    <n v="284.49187935034797"/>
    <n v="2460.85475638051"/>
  </r>
  <r>
    <n v="112"/>
    <x v="10"/>
    <s v="Freshwater"/>
    <x v="1"/>
    <x v="0"/>
    <n v="746"/>
    <s v="Green - Duwamish River"/>
    <s v="Green - Duwamish River"/>
    <s v="King"/>
    <x v="3"/>
    <s v="Thurston"/>
    <x v="10"/>
    <s v="South Puget Sound"/>
    <m/>
    <n v="59.269141531322497"/>
    <n v="512.67807424594002"/>
  </r>
  <r>
    <n v="962"/>
    <x v="10"/>
    <s v="Freshwater"/>
    <x v="1"/>
    <x v="0"/>
    <n v="754"/>
    <s v="Kennedy Creek"/>
    <s v="Kennedy Creek"/>
    <s v="Mason/Thurston"/>
    <x v="3"/>
    <s v="King"/>
    <x v="3"/>
    <s v="South Puget Sound"/>
    <m/>
    <n v="11.948717948718"/>
    <n v="103.356410256411"/>
  </r>
  <r>
    <n v="965"/>
    <x v="10"/>
    <s v="Freshwater"/>
    <x v="1"/>
    <x v="0"/>
    <n v="754"/>
    <s v="Kennedy Creek"/>
    <s v="Kennedy Creek"/>
    <s v="Mason/Thurston"/>
    <x v="3"/>
    <s v="Mason"/>
    <x v="5"/>
    <s v="South Puget Sound"/>
    <m/>
    <n v="23.897435897435901"/>
    <n v="206.712820512821"/>
  </r>
  <r>
    <n v="966"/>
    <x v="10"/>
    <s v="Freshwater"/>
    <x v="1"/>
    <x v="0"/>
    <n v="754"/>
    <s v="Kennedy Creek"/>
    <s v="Kennedy Creek"/>
    <s v="Mason/Thurston"/>
    <x v="3"/>
    <s v="Other"/>
    <x v="6"/>
    <s v="Non Puget Sound"/>
    <m/>
    <n v="35.846153846153904"/>
    <n v="310.06923076923101"/>
  </r>
  <r>
    <n v="963"/>
    <x v="10"/>
    <s v="Freshwater"/>
    <x v="1"/>
    <x v="0"/>
    <n v="754"/>
    <s v="Kennedy Creek"/>
    <s v="Kennedy Creek"/>
    <s v="Mason/Thurston"/>
    <x v="3"/>
    <s v="Pierce"/>
    <x v="7"/>
    <s v="South Puget Sound"/>
    <m/>
    <n v="203.128205128205"/>
    <n v="1757.0589743589701"/>
  </r>
  <r>
    <n v="964"/>
    <x v="10"/>
    <s v="Freshwater"/>
    <x v="1"/>
    <x v="0"/>
    <n v="754"/>
    <s v="Kennedy Creek"/>
    <s v="Kennedy Creek"/>
    <s v="Mason/Thurston"/>
    <x v="3"/>
    <s v="Thurston"/>
    <x v="10"/>
    <s v="South Puget Sound"/>
    <m/>
    <n v="191.17948717948701"/>
    <n v="1653.70256410256"/>
  </r>
  <r>
    <n v="116"/>
    <x v="10"/>
    <s v="Freshwater"/>
    <x v="1"/>
    <x v="0"/>
    <n v="762"/>
    <s v="Lake Washington"/>
    <s v="Lake Washington"/>
    <s v="King"/>
    <x v="3"/>
    <s v="King"/>
    <x v="3"/>
    <s v="South Puget Sound"/>
    <m/>
    <n v="108.529411764706"/>
    <n v="938.77941176470699"/>
  </r>
  <r>
    <n v="115"/>
    <x v="10"/>
    <s v="Freshwater"/>
    <x v="1"/>
    <x v="0"/>
    <n v="762"/>
    <s v="Lake Washington"/>
    <s v="Lake Washington"/>
    <s v="King"/>
    <x v="3"/>
    <s v="Snohomish"/>
    <x v="9"/>
    <s v="North Puget Sound"/>
    <m/>
    <n v="14.4705882352941"/>
    <n v="125.17058823529401"/>
  </r>
  <r>
    <n v="117"/>
    <x v="10"/>
    <s v="Freshwater"/>
    <x v="1"/>
    <x v="0"/>
    <n v="764"/>
    <s v="Lake Sammamish"/>
    <s v="Lake Sammamish"/>
    <s v="King"/>
    <x v="3"/>
    <s v="Pierce"/>
    <x v="7"/>
    <s v="South Puget Sound"/>
    <m/>
    <n v="7"/>
    <n v="60.55"/>
  </r>
  <r>
    <n v="594"/>
    <x v="10"/>
    <s v="Freshwater"/>
    <x v="1"/>
    <x v="0"/>
    <n v="770"/>
    <s v="McAllister Creek"/>
    <s v="McAllister Creek"/>
    <s v="Thurston"/>
    <x v="3"/>
    <s v="Pierce"/>
    <x v="7"/>
    <s v="South Puget Sound"/>
    <m/>
    <n v="84"/>
    <n v="726.6"/>
  </r>
  <r>
    <n v="564"/>
    <x v="10"/>
    <s v="Freshwater"/>
    <x v="1"/>
    <x v="0"/>
    <n v="778"/>
    <s v="Minter Creek"/>
    <s v="Minter Creek"/>
    <s v="Kitsap/Pierce"/>
    <x v="3"/>
    <s v="King"/>
    <x v="3"/>
    <s v="South Puget Sound"/>
    <m/>
    <n v="957.11229946524099"/>
    <n v="8279.0213903743406"/>
  </r>
  <r>
    <n v="652"/>
    <x v="10"/>
    <s v="Freshwater"/>
    <x v="1"/>
    <x v="0"/>
    <n v="778"/>
    <s v="Minter Creek"/>
    <s v="Minter Creek"/>
    <s v="Kitsap/Pierce"/>
    <x v="3"/>
    <s v="Kitsap"/>
    <x v="4"/>
    <s v="South Puget Sound"/>
    <m/>
    <n v="163.71657754010701"/>
    <n v="1416.14839572193"/>
  </r>
  <r>
    <n v="651"/>
    <x v="10"/>
    <s v="Freshwater"/>
    <x v="1"/>
    <x v="0"/>
    <n v="778"/>
    <s v="Minter Creek"/>
    <s v="Minter Creek"/>
    <s v="Kitsap/Pierce"/>
    <x v="3"/>
    <s v="Mason"/>
    <x v="5"/>
    <s v="South Puget Sound"/>
    <m/>
    <n v="50.374331550802196"/>
    <n v="435.73796791443903"/>
  </r>
  <r>
    <n v="653"/>
    <x v="10"/>
    <s v="Freshwater"/>
    <x v="1"/>
    <x v="0"/>
    <n v="778"/>
    <s v="Minter Creek"/>
    <s v="Minter Creek"/>
    <s v="Kitsap/Pierce"/>
    <x v="3"/>
    <s v="Other"/>
    <x v="6"/>
    <s v="Non Puget Sound"/>
    <m/>
    <n v="75.561497326203195"/>
    <n v="653.606951871658"/>
  </r>
  <r>
    <n v="565"/>
    <x v="10"/>
    <s v="Freshwater"/>
    <x v="1"/>
    <x v="0"/>
    <n v="778"/>
    <s v="Minter Creek"/>
    <s v="Minter Creek"/>
    <s v="Kitsap/Pierce"/>
    <x v="3"/>
    <s v="Pierce"/>
    <x v="7"/>
    <s v="South Puget Sound"/>
    <m/>
    <n v="680.05347593582906"/>
    <n v="5882.4625668449198"/>
  </r>
  <r>
    <n v="563"/>
    <x v="10"/>
    <s v="Freshwater"/>
    <x v="1"/>
    <x v="0"/>
    <n v="778"/>
    <s v="Minter Creek"/>
    <s v="Minter Creek"/>
    <s v="Kitsap/Pierce"/>
    <x v="3"/>
    <s v="Snohomish"/>
    <x v="9"/>
    <s v="North Puget Sound"/>
    <m/>
    <n v="352.62032085561498"/>
    <n v="3050.1657754010698"/>
  </r>
  <r>
    <n v="566"/>
    <x v="10"/>
    <s v="Freshwater"/>
    <x v="1"/>
    <x v="0"/>
    <n v="778"/>
    <s v="Minter Creek"/>
    <s v="Minter Creek"/>
    <s v="Kitsap/Pierce"/>
    <x v="3"/>
    <s v="Thurston"/>
    <x v="10"/>
    <s v="South Puget Sound"/>
    <m/>
    <n v="75.561497326203195"/>
    <n v="653.606951871658"/>
  </r>
  <r>
    <n v="583"/>
    <x v="10"/>
    <s v="Freshwater"/>
    <x v="1"/>
    <x v="0"/>
    <n v="786"/>
    <s v="Nisqually River"/>
    <s v="Nisqually River"/>
    <s v="Thurston/Pierce"/>
    <x v="3"/>
    <s v="King"/>
    <x v="3"/>
    <s v="South Puget Sound"/>
    <m/>
    <n v="217.02439024390199"/>
    <n v="1877.2609756097499"/>
  </r>
  <r>
    <n v="586"/>
    <x v="10"/>
    <s v="Freshwater"/>
    <x v="1"/>
    <x v="0"/>
    <n v="786"/>
    <s v="Nisqually River"/>
    <s v="Nisqually River"/>
    <s v="Thurston/Pierce"/>
    <x v="3"/>
    <s v="Other"/>
    <x v="6"/>
    <s v="Non Puget Sound"/>
    <m/>
    <n v="180.85365853658499"/>
    <n v="1564.3841463414601"/>
  </r>
  <r>
    <n v="584"/>
    <x v="10"/>
    <s v="Freshwater"/>
    <x v="1"/>
    <x v="0"/>
    <n v="786"/>
    <s v="Nisqually River"/>
    <s v="Nisqually River"/>
    <s v="Thurston/Pierce"/>
    <x v="3"/>
    <s v="Pierce"/>
    <x v="7"/>
    <s v="South Puget Sound"/>
    <m/>
    <n v="1181.5772357723599"/>
    <n v="10220.6430894309"/>
  </r>
  <r>
    <n v="585"/>
    <x v="10"/>
    <s v="Freshwater"/>
    <x v="1"/>
    <x v="0"/>
    <n v="786"/>
    <s v="Nisqually River"/>
    <s v="Nisqually River"/>
    <s v="Thurston/Pierce"/>
    <x v="3"/>
    <s v="Thurston"/>
    <x v="10"/>
    <s v="South Puget Sound"/>
    <m/>
    <n v="1386.5447154471501"/>
    <n v="11993.6117886178"/>
  </r>
  <r>
    <n v="3105"/>
    <x v="10"/>
    <s v="Freshwater"/>
    <x v="1"/>
    <x v="0"/>
    <n v="788"/>
    <s v="Nooksack River, Middle Fork"/>
    <s v="Nooksack River"/>
    <s v="Whatcom"/>
    <x v="1"/>
    <s v="Whatcom"/>
    <x v="11"/>
    <s v="North Puget Sound"/>
    <m/>
    <n v="0"/>
    <n v="0"/>
  </r>
  <r>
    <n v="3107"/>
    <x v="10"/>
    <s v="Freshwater"/>
    <x v="1"/>
    <x v="0"/>
    <n v="790"/>
    <s v="Nooksack River, North Fork"/>
    <s v="Nooksack River, No. Fork"/>
    <s v="Whatcom"/>
    <x v="1"/>
    <s v="Skagit"/>
    <x v="8"/>
    <s v="North Puget Sound"/>
    <m/>
    <n v="47.382352941176499"/>
    <n v="409.857352941177"/>
  </r>
  <r>
    <n v="3115"/>
    <x v="10"/>
    <s v="Freshwater"/>
    <x v="1"/>
    <x v="0"/>
    <n v="790"/>
    <s v="Nooksack River, North Fork"/>
    <s v="Nooksack River, No. Fork"/>
    <s v="Whatcom"/>
    <x v="1"/>
    <s v="Snohomish"/>
    <x v="9"/>
    <s v="North Puget Sound"/>
    <m/>
    <n v="78.970588235294102"/>
    <n v="683.09558823529403"/>
  </r>
  <r>
    <n v="3106"/>
    <x v="10"/>
    <s v="Freshwater"/>
    <x v="1"/>
    <x v="0"/>
    <n v="790"/>
    <s v="Nooksack River, North Fork"/>
    <s v="Nooksack River, No. Fork"/>
    <s v="Whatcom"/>
    <x v="1"/>
    <s v="Whatcom"/>
    <x v="11"/>
    <s v="North Puget Sound"/>
    <m/>
    <n v="410.64705882353002"/>
    <n v="3552.09705882354"/>
  </r>
  <r>
    <n v="3125"/>
    <x v="10"/>
    <s v="Freshwater"/>
    <x v="1"/>
    <x v="0"/>
    <n v="792"/>
    <s v="Nooksack River, South Fork"/>
    <s v="Nooksack River, So. Fork"/>
    <s v="Whatcom"/>
    <x v="1"/>
    <s v="Island"/>
    <x v="1"/>
    <s v="North Puget Sound"/>
    <m/>
    <n v="36.538461538461497"/>
    <n v="316.05769230769198"/>
  </r>
  <r>
    <n v="3126"/>
    <x v="10"/>
    <s v="Freshwater"/>
    <x v="1"/>
    <x v="0"/>
    <n v="792"/>
    <s v="Nooksack River, South Fork"/>
    <s v="Nooksack River, So. Fork"/>
    <s v="Whatcom"/>
    <x v="1"/>
    <s v="King"/>
    <x v="3"/>
    <s v="South Puget Sound"/>
    <m/>
    <n v="36.538461538461497"/>
    <n v="316.05769230769198"/>
  </r>
  <r>
    <n v="3117"/>
    <x v="10"/>
    <s v="Freshwater"/>
    <x v="1"/>
    <x v="0"/>
    <n v="792"/>
    <s v="Nooksack River, South Fork"/>
    <s v="Nooksack River, So. Fork"/>
    <s v="Whatcom"/>
    <x v="1"/>
    <s v="Skagit"/>
    <x v="8"/>
    <s v="North Puget Sound"/>
    <m/>
    <n v="36.538461538461497"/>
    <n v="316.05769230769198"/>
  </r>
  <r>
    <n v="3124"/>
    <x v="10"/>
    <s v="Freshwater"/>
    <x v="1"/>
    <x v="0"/>
    <n v="792"/>
    <s v="Nooksack River, South Fork"/>
    <s v="Nooksack River, So. Fork"/>
    <s v="Whatcom"/>
    <x v="1"/>
    <s v="Snohomish"/>
    <x v="9"/>
    <s v="North Puget Sound"/>
    <m/>
    <n v="73.076923076923094"/>
    <n v="632.11538461538498"/>
  </r>
  <r>
    <n v="3116"/>
    <x v="10"/>
    <s v="Freshwater"/>
    <x v="1"/>
    <x v="0"/>
    <n v="792"/>
    <s v="Nooksack River, South Fork"/>
    <s v="Nooksack River, So. Fork"/>
    <s v="Whatcom"/>
    <x v="1"/>
    <s v="Whatcom"/>
    <x v="11"/>
    <s v="North Puget Sound"/>
    <m/>
    <n v="292.30769230769198"/>
    <n v="2528.4615384615399"/>
  </r>
  <r>
    <n v="2894"/>
    <x v="10"/>
    <s v="Freshwater"/>
    <x v="1"/>
    <x v="0"/>
    <n v="794"/>
    <s v="Nooksack River, below North Fork"/>
    <s v="Nooksack River, below North Fork"/>
    <s v="Whatcom"/>
    <x v="1"/>
    <s v="Whatcom"/>
    <x v="11"/>
    <s v="North Puget Sound"/>
    <m/>
    <n v="670"/>
    <n v="5795.5"/>
  </r>
  <r>
    <n v="776"/>
    <x v="10"/>
    <s v="Freshwater"/>
    <x v="1"/>
    <x v="0"/>
    <n v="802"/>
    <s v="Carbon River"/>
    <s v="Carbon River"/>
    <s v="Pierce"/>
    <x v="3"/>
    <s v="King"/>
    <x v="3"/>
    <s v="South Puget Sound"/>
    <m/>
    <n v="371.538461538462"/>
    <n v="3213.8076923077001"/>
  </r>
  <r>
    <n v="778"/>
    <x v="10"/>
    <s v="Freshwater"/>
    <x v="1"/>
    <x v="0"/>
    <n v="802"/>
    <s v="Carbon River"/>
    <s v="Carbon River"/>
    <s v="Pierce"/>
    <x v="3"/>
    <s v="Mason"/>
    <x v="5"/>
    <s v="South Puget Sound"/>
    <m/>
    <n v="49.538461538461597"/>
    <n v="428.50769230769299"/>
  </r>
  <r>
    <n v="779"/>
    <x v="10"/>
    <s v="Freshwater"/>
    <x v="1"/>
    <x v="0"/>
    <n v="802"/>
    <s v="Carbon River"/>
    <s v="Carbon River"/>
    <s v="Pierce"/>
    <x v="3"/>
    <s v="Other"/>
    <x v="6"/>
    <s v="Non Puget Sound"/>
    <m/>
    <n v="86.692307692307693"/>
    <n v="749.88846153846202"/>
  </r>
  <r>
    <n v="777"/>
    <x v="10"/>
    <s v="Freshwater"/>
    <x v="1"/>
    <x v="0"/>
    <n v="802"/>
    <s v="Carbon River"/>
    <s v="Carbon River"/>
    <s v="Pierce"/>
    <x v="3"/>
    <s v="Pierce"/>
    <x v="7"/>
    <s v="South Puget Sound"/>
    <m/>
    <n v="780.23076923076906"/>
    <n v="6748.9961538461503"/>
  </r>
  <r>
    <n v="781"/>
    <x v="10"/>
    <s v="Freshwater"/>
    <x v="1"/>
    <x v="0"/>
    <n v="804"/>
    <s v="Puyallup River"/>
    <s v="Puyallup River"/>
    <s v="Pierce"/>
    <x v="3"/>
    <s v="King"/>
    <x v="3"/>
    <s v="South Puget Sound"/>
    <m/>
    <n v="1955.3874709976801"/>
    <n v="16914.1016241299"/>
  </r>
  <r>
    <n v="784"/>
    <x v="10"/>
    <s v="Freshwater"/>
    <x v="1"/>
    <x v="0"/>
    <n v="804"/>
    <s v="Puyallup River"/>
    <s v="Puyallup River"/>
    <s v="Pierce"/>
    <x v="3"/>
    <s v="Mason"/>
    <x v="5"/>
    <s v="South Puget Sound"/>
    <m/>
    <n v="12.3758700696056"/>
    <n v="107.051276102088"/>
  </r>
  <r>
    <n v="785"/>
    <x v="10"/>
    <s v="Freshwater"/>
    <x v="1"/>
    <x v="0"/>
    <n v="804"/>
    <s v="Puyallup River"/>
    <s v="Puyallup River"/>
    <s v="Pierce"/>
    <x v="3"/>
    <s v="Other"/>
    <x v="6"/>
    <s v="Non Puget Sound"/>
    <m/>
    <n v="297.02088167053398"/>
    <n v="2569.2306264501199"/>
  </r>
  <r>
    <n v="782"/>
    <x v="10"/>
    <s v="Freshwater"/>
    <x v="1"/>
    <x v="0"/>
    <n v="804"/>
    <s v="Puyallup River"/>
    <s v="Puyallup River"/>
    <s v="Pierce"/>
    <x v="3"/>
    <s v="Pierce"/>
    <x v="7"/>
    <s v="South Puget Sound"/>
    <m/>
    <n v="2834.0742459396802"/>
    <n v="24514.742227378199"/>
  </r>
  <r>
    <n v="780"/>
    <x v="10"/>
    <s v="Freshwater"/>
    <x v="1"/>
    <x v="0"/>
    <n v="804"/>
    <s v="Puyallup River"/>
    <s v="Puyallup River"/>
    <s v="Pierce"/>
    <x v="3"/>
    <s v="Snohomish"/>
    <x v="9"/>
    <s v="North Puget Sound"/>
    <m/>
    <n v="136.13457076566101"/>
    <n v="1177.5640371229699"/>
  </r>
  <r>
    <n v="783"/>
    <x v="10"/>
    <s v="Freshwater"/>
    <x v="1"/>
    <x v="0"/>
    <n v="804"/>
    <s v="Puyallup River"/>
    <s v="Puyallup River"/>
    <s v="Pierce"/>
    <x v="3"/>
    <s v="Thurston"/>
    <x v="10"/>
    <s v="South Puget Sound"/>
    <m/>
    <n v="99.006960556844604"/>
    <n v="856.41020881670602"/>
  </r>
  <r>
    <n v="1040"/>
    <x v="10"/>
    <s v="Freshwater"/>
    <x v="1"/>
    <x v="0"/>
    <n v="812"/>
    <s v="Quilcene River"/>
    <s v="Quilcene River"/>
    <s v="Jefferson"/>
    <x v="4"/>
    <s v="Clallam"/>
    <x v="0"/>
    <s v="Strait of Juan de Fuca"/>
    <m/>
    <n v="732.53968253968299"/>
    <n v="6336.4682539682599"/>
  </r>
  <r>
    <n v="1041"/>
    <x v="10"/>
    <s v="Freshwater"/>
    <x v="1"/>
    <x v="0"/>
    <n v="812"/>
    <s v="Quilcene River"/>
    <s v="Quilcene River"/>
    <s v="Jefferson"/>
    <x v="4"/>
    <s v="Jefferson"/>
    <x v="2"/>
    <s v="Strait of Juan de Fuca"/>
    <m/>
    <n v="394.44444444444503"/>
    <n v="3411.9444444444498"/>
  </r>
  <r>
    <n v="1035"/>
    <x v="10"/>
    <s v="Freshwater"/>
    <x v="1"/>
    <x v="0"/>
    <n v="812"/>
    <s v="Quilcene River"/>
    <s v="Quilcene River"/>
    <s v="Jefferson"/>
    <x v="4"/>
    <s v="King"/>
    <x v="3"/>
    <s v="South Puget Sound"/>
    <m/>
    <n v="146.50793650793699"/>
    <n v="1267.2936507936499"/>
  </r>
  <r>
    <n v="1039"/>
    <x v="10"/>
    <s v="Freshwater"/>
    <x v="1"/>
    <x v="0"/>
    <n v="812"/>
    <s v="Quilcene River"/>
    <s v="Quilcene River"/>
    <s v="Jefferson"/>
    <x v="4"/>
    <s v="Kitsap"/>
    <x v="4"/>
    <s v="South Puget Sound"/>
    <m/>
    <n v="833.96825396825398"/>
    <n v="7213.8253968254003"/>
  </r>
  <r>
    <n v="1038"/>
    <x v="10"/>
    <s v="Freshwater"/>
    <x v="1"/>
    <x v="0"/>
    <n v="812"/>
    <s v="Quilcene River"/>
    <s v="Quilcene River"/>
    <s v="Jefferson"/>
    <x v="4"/>
    <s v="Mason"/>
    <x v="5"/>
    <s v="South Puget Sound"/>
    <m/>
    <n v="552.22222222222194"/>
    <n v="4776.7222222222199"/>
  </r>
  <r>
    <n v="1042"/>
    <x v="10"/>
    <s v="Freshwater"/>
    <x v="1"/>
    <x v="0"/>
    <n v="812"/>
    <s v="Quilcene River"/>
    <s v="Quilcene River"/>
    <s v="Jefferson"/>
    <x v="4"/>
    <s v="Other"/>
    <x v="6"/>
    <s v="Non Puget Sound"/>
    <m/>
    <n v="22.539682539682499"/>
    <n v="194.968253968254"/>
  </r>
  <r>
    <n v="1036"/>
    <x v="10"/>
    <s v="Freshwater"/>
    <x v="1"/>
    <x v="0"/>
    <n v="812"/>
    <s v="Quilcene River"/>
    <s v="Quilcene River"/>
    <s v="Jefferson"/>
    <x v="4"/>
    <s v="Pierce"/>
    <x v="7"/>
    <s v="South Puget Sound"/>
    <m/>
    <n v="101.428571428571"/>
    <n v="877.35714285713902"/>
  </r>
  <r>
    <n v="1034"/>
    <x v="10"/>
    <s v="Freshwater"/>
    <x v="1"/>
    <x v="0"/>
    <n v="812"/>
    <s v="Quilcene River"/>
    <s v="Quilcene River"/>
    <s v="Jefferson"/>
    <x v="4"/>
    <s v="Snohomish"/>
    <x v="9"/>
    <s v="North Puget Sound"/>
    <m/>
    <n v="45.079365079365097"/>
    <n v="389.93650793650801"/>
  </r>
  <r>
    <n v="1037"/>
    <x v="10"/>
    <s v="Freshwater"/>
    <x v="1"/>
    <x v="0"/>
    <n v="812"/>
    <s v="Quilcene River"/>
    <s v="Quilcene River"/>
    <s v="Jefferson"/>
    <x v="4"/>
    <s v="Thurston"/>
    <x v="10"/>
    <s v="South Puget Sound"/>
    <m/>
    <n v="11.269841269841301"/>
    <n v="97.4841269841273"/>
  </r>
  <r>
    <n v="1660"/>
    <x v="10"/>
    <s v="Freshwater"/>
    <x v="1"/>
    <x v="0"/>
    <n v="816"/>
    <s v="Samish River"/>
    <s v="Samish River"/>
    <s v="Skagit"/>
    <x v="1"/>
    <s v="Island"/>
    <x v="1"/>
    <s v="North Puget Sound"/>
    <m/>
    <n v="292.76279069767401"/>
    <n v="2532.3981395348801"/>
  </r>
  <r>
    <n v="1661"/>
    <x v="10"/>
    <s v="Freshwater"/>
    <x v="1"/>
    <x v="0"/>
    <n v="816"/>
    <s v="Samish River"/>
    <s v="Samish River"/>
    <s v="Skagit"/>
    <x v="1"/>
    <s v="King"/>
    <x v="3"/>
    <s v="South Puget Sound"/>
    <m/>
    <n v="1097.86046511628"/>
    <n v="9496.4930232558199"/>
  </r>
  <r>
    <n v="1662"/>
    <x v="10"/>
    <s v="Freshwater"/>
    <x v="1"/>
    <x v="0"/>
    <n v="816"/>
    <s v="Samish River"/>
    <s v="Samish River"/>
    <s v="Skagit"/>
    <x v="1"/>
    <s v="Kitsap"/>
    <x v="4"/>
    <s v="South Puget Sound"/>
    <m/>
    <n v="85.389147286821697"/>
    <n v="738.61612403100798"/>
  </r>
  <r>
    <n v="1663"/>
    <x v="10"/>
    <s v="Freshwater"/>
    <x v="1"/>
    <x v="0"/>
    <n v="816"/>
    <s v="Samish River"/>
    <s v="Samish River"/>
    <s v="Skagit"/>
    <x v="1"/>
    <s v="Other"/>
    <x v="6"/>
    <s v="Non Puget Sound"/>
    <m/>
    <n v="231.77054263565901"/>
    <n v="2004.8151937984501"/>
  </r>
  <r>
    <n v="1627"/>
    <x v="10"/>
    <s v="Freshwater"/>
    <x v="1"/>
    <x v="0"/>
    <n v="816"/>
    <s v="Samish River"/>
    <s v="Samish River"/>
    <s v="Skagit"/>
    <x v="1"/>
    <s v="Skagit"/>
    <x v="8"/>
    <s v="North Puget Sound"/>
    <m/>
    <n v="1646.79069767442"/>
    <n v="14244.7395348837"/>
  </r>
  <r>
    <n v="1659"/>
    <x v="10"/>
    <s v="Freshwater"/>
    <x v="1"/>
    <x v="0"/>
    <n v="816"/>
    <s v="Samish River"/>
    <s v="Samish River"/>
    <s v="Skagit"/>
    <x v="1"/>
    <s v="Snohomish"/>
    <x v="9"/>
    <s v="North Puget Sound"/>
    <m/>
    <n v="3342.3751937984498"/>
    <n v="28911.545426356599"/>
  </r>
  <r>
    <n v="1626"/>
    <x v="10"/>
    <s v="Freshwater"/>
    <x v="1"/>
    <x v="0"/>
    <n v="816"/>
    <s v="Samish River"/>
    <s v="Samish River"/>
    <s v="Skagit"/>
    <x v="1"/>
    <s v="Whatcom"/>
    <x v="11"/>
    <s v="North Puget Sound"/>
    <m/>
    <n v="1171.0511627906999"/>
    <n v="10129.5925581396"/>
  </r>
  <r>
    <n v="2899"/>
    <x v="10"/>
    <s v="Freshwater"/>
    <x v="1"/>
    <x v="0"/>
    <n v="825"/>
    <s v="Baker Lake"/>
    <s v="Baker Lake"/>
    <s v="Whatcom"/>
    <x v="1"/>
    <s v="Island"/>
    <x v="1"/>
    <s v="North Puget Sound"/>
    <m/>
    <n v="106.964856230032"/>
    <n v="925.24600638977699"/>
  </r>
  <r>
    <n v="2900"/>
    <x v="10"/>
    <s v="Freshwater"/>
    <x v="1"/>
    <x v="0"/>
    <n v="825"/>
    <s v="Baker Lake"/>
    <s v="Baker Lake"/>
    <s v="Whatcom"/>
    <x v="1"/>
    <s v="King"/>
    <x v="3"/>
    <s v="South Puget Sound"/>
    <m/>
    <n v="1051.8210862619801"/>
    <n v="9098.25239616613"/>
  </r>
  <r>
    <n v="2966"/>
    <x v="10"/>
    <s v="Freshwater"/>
    <x v="1"/>
    <x v="0"/>
    <n v="825"/>
    <s v="Baker Lake"/>
    <s v="Baker Lake"/>
    <s v="Whatcom"/>
    <x v="1"/>
    <s v="Kitsap"/>
    <x v="4"/>
    <s v="South Puget Sound"/>
    <m/>
    <n v="35.654952076677297"/>
    <n v="308.415335463259"/>
  </r>
  <r>
    <n v="2967"/>
    <x v="10"/>
    <s v="Freshwater"/>
    <x v="1"/>
    <x v="0"/>
    <n v="825"/>
    <s v="Baker Lake"/>
    <s v="Baker Lake"/>
    <s v="Whatcom"/>
    <x v="1"/>
    <s v="Other"/>
    <x v="6"/>
    <s v="Non Puget Sound"/>
    <m/>
    <n v="231.757188498403"/>
    <n v="2004.6996805111901"/>
  </r>
  <r>
    <n v="2901"/>
    <x v="10"/>
    <s v="Freshwater"/>
    <x v="1"/>
    <x v="0"/>
    <n v="825"/>
    <s v="Baker Lake"/>
    <s v="Baker Lake"/>
    <s v="Whatcom"/>
    <x v="1"/>
    <s v="Pierce"/>
    <x v="7"/>
    <s v="South Puget Sound"/>
    <m/>
    <n v="35.654952076677297"/>
    <n v="308.415335463259"/>
  </r>
  <r>
    <n v="2897"/>
    <x v="10"/>
    <s v="Freshwater"/>
    <x v="1"/>
    <x v="0"/>
    <n v="825"/>
    <s v="Baker Lake"/>
    <s v="Baker Lake"/>
    <s v="Whatcom"/>
    <x v="1"/>
    <s v="Skagit"/>
    <x v="8"/>
    <s v="North Puget Sound"/>
    <m/>
    <n v="1640.1277955271601"/>
    <n v="14187.105431309899"/>
  </r>
  <r>
    <n v="2898"/>
    <x v="10"/>
    <s v="Freshwater"/>
    <x v="1"/>
    <x v="0"/>
    <n v="825"/>
    <s v="Baker Lake"/>
    <s v="Baker Lake"/>
    <s v="Whatcom"/>
    <x v="1"/>
    <s v="Snohomish"/>
    <x v="9"/>
    <s v="North Puget Sound"/>
    <m/>
    <n v="1604.47284345048"/>
    <n v="13878.690095846699"/>
  </r>
  <r>
    <n v="2896"/>
    <x v="10"/>
    <s v="Freshwater"/>
    <x v="1"/>
    <x v="0"/>
    <n v="825"/>
    <s v="Baker Lake"/>
    <s v="Baker Lake"/>
    <s v="Whatcom"/>
    <x v="1"/>
    <s v="Whatcom"/>
    <x v="11"/>
    <s v="North Puget Sound"/>
    <m/>
    <n v="873.54632587859396"/>
    <n v="7556.1757188498405"/>
  </r>
  <r>
    <n v="1667"/>
    <x v="10"/>
    <s v="Freshwater"/>
    <x v="1"/>
    <x v="0"/>
    <n v="826"/>
    <s v="Cascade River"/>
    <s v="Cascade River"/>
    <s v="Skagit"/>
    <x v="1"/>
    <s v="Island"/>
    <x v="1"/>
    <s v="North Puget Sound"/>
    <m/>
    <n v="374.30405405405401"/>
    <n v="3237.7300675675701"/>
  </r>
  <r>
    <n v="1668"/>
    <x v="10"/>
    <s v="Freshwater"/>
    <x v="1"/>
    <x v="0"/>
    <n v="826"/>
    <s v="Cascade River"/>
    <s v="Cascade River"/>
    <s v="Skagit"/>
    <x v="1"/>
    <s v="King"/>
    <x v="3"/>
    <s v="South Puget Sound"/>
    <m/>
    <n v="736.53378378378397"/>
    <n v="6371.0172297297304"/>
  </r>
  <r>
    <n v="1728"/>
    <x v="10"/>
    <s v="Freshwater"/>
    <x v="1"/>
    <x v="0"/>
    <n v="826"/>
    <s v="Cascade River"/>
    <s v="Cascade River"/>
    <s v="Skagit"/>
    <x v="1"/>
    <s v="Other"/>
    <x v="6"/>
    <s v="Non Puget Sound"/>
    <m/>
    <n v="12.0743243243243"/>
    <n v="104.442905405405"/>
  </r>
  <r>
    <n v="1669"/>
    <x v="10"/>
    <s v="Freshwater"/>
    <x v="1"/>
    <x v="0"/>
    <n v="826"/>
    <s v="Cascade River"/>
    <s v="Cascade River"/>
    <s v="Skagit"/>
    <x v="1"/>
    <s v="Pierce"/>
    <x v="7"/>
    <s v="South Puget Sound"/>
    <m/>
    <n v="12.0743243243243"/>
    <n v="104.442905405405"/>
  </r>
  <r>
    <n v="1665"/>
    <x v="10"/>
    <s v="Freshwater"/>
    <x v="1"/>
    <x v="0"/>
    <n v="826"/>
    <s v="Cascade River"/>
    <s v="Cascade River"/>
    <s v="Skagit"/>
    <x v="1"/>
    <s v="Skagit"/>
    <x v="8"/>
    <s v="North Puget Sound"/>
    <m/>
    <n v="422.60135135135101"/>
    <n v="3655.5016891891901"/>
  </r>
  <r>
    <n v="1666"/>
    <x v="10"/>
    <s v="Freshwater"/>
    <x v="1"/>
    <x v="0"/>
    <n v="826"/>
    <s v="Cascade River"/>
    <s v="Cascade River"/>
    <s v="Skagit"/>
    <x v="1"/>
    <s v="Snohomish"/>
    <x v="9"/>
    <s v="North Puget Sound"/>
    <m/>
    <n v="1883.59459459459"/>
    <n v="16293.0932432432"/>
  </r>
  <r>
    <n v="1664"/>
    <x v="10"/>
    <s v="Freshwater"/>
    <x v="1"/>
    <x v="0"/>
    <n v="826"/>
    <s v="Cascade River"/>
    <s v="Cascade River"/>
    <s v="Skagit"/>
    <x v="1"/>
    <s v="Whatcom"/>
    <x v="11"/>
    <s v="North Puget Sound"/>
    <m/>
    <n v="132.81756756756801"/>
    <n v="1148.87195945946"/>
  </r>
  <r>
    <n v="2820"/>
    <x v="10"/>
    <s v="Freshwater"/>
    <x v="1"/>
    <x v="0"/>
    <n v="830"/>
    <s v="Skagit River"/>
    <s v="Skagit River"/>
    <s v="Skagit/Whatcom"/>
    <x v="2"/>
    <s v="Clallam"/>
    <x v="0"/>
    <s v="Strait of Juan de Fuca"/>
    <m/>
    <n v="12.073319755600799"/>
    <n v="104.434215885947"/>
  </r>
  <r>
    <n v="2746"/>
    <x v="10"/>
    <s v="Freshwater"/>
    <x v="1"/>
    <x v="0"/>
    <n v="830"/>
    <s v="Skagit River"/>
    <s v="Skagit River"/>
    <s v="Skagit/Whatcom"/>
    <x v="2"/>
    <s v="Island"/>
    <x v="1"/>
    <s v="North Puget Sound"/>
    <m/>
    <n v="12.073319755600799"/>
    <n v="104.434215885947"/>
  </r>
  <r>
    <n v="2821"/>
    <x v="10"/>
    <s v="Freshwater"/>
    <x v="1"/>
    <x v="0"/>
    <n v="830"/>
    <s v="Skagit River"/>
    <s v="Skagit River"/>
    <s v="Skagit/Whatcom"/>
    <x v="2"/>
    <s v="Jefferson"/>
    <x v="2"/>
    <s v="Strait of Juan de Fuca"/>
    <m/>
    <n v="24.146639511201599"/>
    <n v="208.868431771894"/>
  </r>
  <r>
    <n v="2775"/>
    <x v="10"/>
    <s v="Freshwater"/>
    <x v="1"/>
    <x v="0"/>
    <n v="830"/>
    <s v="Skagit River"/>
    <s v="Skagit River"/>
    <s v="Skagit/Whatcom"/>
    <x v="2"/>
    <s v="King"/>
    <x v="3"/>
    <s v="South Puget Sound"/>
    <m/>
    <n v="664.03258655804495"/>
    <n v="5743.8818737270904"/>
  </r>
  <r>
    <n v="2819"/>
    <x v="10"/>
    <s v="Freshwater"/>
    <x v="1"/>
    <x v="0"/>
    <n v="830"/>
    <s v="Skagit River"/>
    <s v="Skagit River"/>
    <s v="Skagit/Whatcom"/>
    <x v="2"/>
    <s v="Kitsap"/>
    <x v="4"/>
    <s v="South Puget Sound"/>
    <m/>
    <n v="72.439918533604896"/>
    <n v="626.60529531568204"/>
  </r>
  <r>
    <n v="2850"/>
    <x v="10"/>
    <s v="Freshwater"/>
    <x v="1"/>
    <x v="0"/>
    <n v="830"/>
    <s v="Skagit River"/>
    <s v="Skagit River"/>
    <s v="Skagit/Whatcom"/>
    <x v="2"/>
    <s v="Other"/>
    <x v="6"/>
    <s v="Non Puget Sound"/>
    <m/>
    <n v="193.17311608961299"/>
    <n v="1670.9474541751499"/>
  </r>
  <r>
    <n v="2818"/>
    <x v="10"/>
    <s v="Freshwater"/>
    <x v="1"/>
    <x v="0"/>
    <n v="830"/>
    <s v="Skagit River"/>
    <s v="Skagit River"/>
    <s v="Skagit/Whatcom"/>
    <x v="2"/>
    <s v="Pierce"/>
    <x v="7"/>
    <s v="South Puget Sound"/>
    <m/>
    <n v="60.366598778004096"/>
    <n v="522.17107942973496"/>
  </r>
  <r>
    <n v="2744"/>
    <x v="10"/>
    <s v="Freshwater"/>
    <x v="1"/>
    <x v="0"/>
    <n v="830"/>
    <s v="Skagit River"/>
    <s v="Skagit River"/>
    <s v="Skagit/Whatcom"/>
    <x v="2"/>
    <s v="Skagit"/>
    <x v="8"/>
    <s v="North Puget Sound"/>
    <m/>
    <n v="3803.0957230142599"/>
    <n v="32896.778004073298"/>
  </r>
  <r>
    <n v="2745"/>
    <x v="10"/>
    <s v="Freshwater"/>
    <x v="1"/>
    <x v="0"/>
    <n v="830"/>
    <s v="Skagit River"/>
    <s v="Skagit River"/>
    <s v="Skagit/Whatcom"/>
    <x v="2"/>
    <s v="Snohomish"/>
    <x v="9"/>
    <s v="North Puget Sound"/>
    <m/>
    <n v="495.006109979634"/>
    <n v="4281.8028513238296"/>
  </r>
  <r>
    <n v="2743"/>
    <x v="10"/>
    <s v="Freshwater"/>
    <x v="1"/>
    <x v="0"/>
    <n v="830"/>
    <s v="Skagit River"/>
    <s v="Skagit River"/>
    <s v="Skagit/Whatcom"/>
    <x v="2"/>
    <s v="Whatcom"/>
    <x v="11"/>
    <s v="North Puget Sound"/>
    <m/>
    <n v="591.59266802443994"/>
    <n v="5117.2765784114099"/>
  </r>
  <r>
    <n v="2970"/>
    <x v="10"/>
    <s v="Freshwater"/>
    <x v="1"/>
    <x v="0"/>
    <n v="844"/>
    <s v="Skykomish River"/>
    <s v="Skykomish River"/>
    <s v="Snohomish"/>
    <x v="2"/>
    <s v="King"/>
    <x v="3"/>
    <s v="South Puget Sound"/>
    <m/>
    <n v="557.15254237288104"/>
    <n v="4819.36949152542"/>
  </r>
  <r>
    <n v="3046"/>
    <x v="10"/>
    <s v="Freshwater"/>
    <x v="1"/>
    <x v="0"/>
    <n v="844"/>
    <s v="Skykomish River"/>
    <s v="Skykomish River"/>
    <s v="Snohomish"/>
    <x v="2"/>
    <s v="Other"/>
    <x v="6"/>
    <s v="Non Puget Sound"/>
    <m/>
    <n v="19.8983050847458"/>
    <n v="172.120338983051"/>
  </r>
  <r>
    <n v="2971"/>
    <x v="10"/>
    <s v="Freshwater"/>
    <x v="1"/>
    <x v="0"/>
    <n v="844"/>
    <s v="Skykomish River"/>
    <s v="Skykomish River"/>
    <s v="Snohomish"/>
    <x v="2"/>
    <s v="Pierce"/>
    <x v="7"/>
    <s v="South Puget Sound"/>
    <m/>
    <n v="79.593220338983102"/>
    <n v="688.481355932204"/>
  </r>
  <r>
    <n v="2918"/>
    <x v="10"/>
    <s v="Freshwater"/>
    <x v="1"/>
    <x v="0"/>
    <n v="844"/>
    <s v="Skykomish River"/>
    <s v="Skykomish River"/>
    <s v="Snohomish"/>
    <x v="2"/>
    <s v="Skagit"/>
    <x v="8"/>
    <s v="North Puget Sound"/>
    <m/>
    <n v="19.8983050847458"/>
    <n v="172.120338983051"/>
  </r>
  <r>
    <n v="2969"/>
    <x v="10"/>
    <s v="Freshwater"/>
    <x v="1"/>
    <x v="0"/>
    <n v="844"/>
    <s v="Skykomish River"/>
    <s v="Skykomish River"/>
    <s v="Snohomish"/>
    <x v="2"/>
    <s v="Snohomish"/>
    <x v="9"/>
    <s v="North Puget Sound"/>
    <m/>
    <n v="477.55932203389801"/>
    <n v="4130.8881355932199"/>
  </r>
  <r>
    <n v="3038"/>
    <x v="10"/>
    <s v="Freshwater"/>
    <x v="1"/>
    <x v="0"/>
    <n v="844"/>
    <s v="Skykomish River"/>
    <s v="Skykomish River"/>
    <s v="Snohomish"/>
    <x v="2"/>
    <s v="Thurston"/>
    <x v="10"/>
    <s v="South Puget Sound"/>
    <m/>
    <n v="19.8983050847458"/>
    <n v="172.120338983051"/>
  </r>
  <r>
    <n v="3086"/>
    <x v="10"/>
    <s v="Freshwater"/>
    <x v="1"/>
    <x v="0"/>
    <n v="860"/>
    <s v="Wallace River"/>
    <s v="Wallace River"/>
    <s v="Snohomish"/>
    <x v="2"/>
    <s v="King"/>
    <x v="3"/>
    <s v="South Puget Sound"/>
    <m/>
    <n v="173.894736842105"/>
    <n v="1504.18947368421"/>
  </r>
  <r>
    <n v="3047"/>
    <x v="10"/>
    <s v="Freshwater"/>
    <x v="1"/>
    <x v="0"/>
    <n v="860"/>
    <s v="Wallace River"/>
    <s v="Wallace River"/>
    <s v="Snohomish"/>
    <x v="2"/>
    <s v="Snohomish"/>
    <x v="9"/>
    <s v="North Puget Sound"/>
    <m/>
    <n v="298.10526315789502"/>
    <n v="2578.6105263157901"/>
  </r>
  <r>
    <n v="3197"/>
    <x v="10"/>
    <s v="Freshwater"/>
    <x v="1"/>
    <x v="0"/>
    <n v="872"/>
    <s v="Stillaguamish River"/>
    <s v="Stillaguamish River"/>
    <s v="Snohomish"/>
    <x v="2"/>
    <s v="Island"/>
    <x v="1"/>
    <s v="North Puget Sound"/>
    <m/>
    <n v="12.473684210526301"/>
    <n v="107.897368421053"/>
  </r>
  <r>
    <n v="3198"/>
    <x v="10"/>
    <s v="Freshwater"/>
    <x v="1"/>
    <x v="0"/>
    <n v="872"/>
    <s v="Stillaguamish River"/>
    <s v="Stillaguamish River"/>
    <s v="Snohomish"/>
    <x v="2"/>
    <s v="King"/>
    <x v="3"/>
    <s v="South Puget Sound"/>
    <m/>
    <n v="37.421052631579002"/>
    <n v="323.692105263158"/>
  </r>
  <r>
    <n v="3087"/>
    <x v="10"/>
    <s v="Freshwater"/>
    <x v="1"/>
    <x v="0"/>
    <n v="872"/>
    <s v="Stillaguamish River"/>
    <s v="Stillaguamish River"/>
    <s v="Snohomish"/>
    <x v="2"/>
    <s v="Snohomish"/>
    <x v="9"/>
    <s v="North Puget Sound"/>
    <m/>
    <n v="424.10526315789502"/>
    <n v="3668.5105263157898"/>
  </r>
  <r>
    <n v="2968"/>
    <x v="10"/>
    <s v="Freshwater"/>
    <x v="1"/>
    <x v="0"/>
    <n v="884"/>
    <s v="Whatcom Creek"/>
    <s v="Whatcom Creek"/>
    <s v="Whatcom"/>
    <x v="1"/>
    <s v="Whatcom"/>
    <x v="11"/>
    <s v="North Puget Sound"/>
    <m/>
    <n v="12"/>
    <n v="103.8"/>
  </r>
  <r>
    <n v="278"/>
    <x v="11"/>
    <s v="Freshwater"/>
    <x v="1"/>
    <x v="0"/>
    <n v="728"/>
    <s v="Deschutes River"/>
    <s v="Deschutes River"/>
    <s v="Thurston"/>
    <x v="3"/>
    <s v="Other"/>
    <x v="6"/>
    <s v="Non Puget Sound"/>
    <m/>
    <n v="8"/>
    <n v="27.52"/>
  </r>
  <r>
    <n v="2781"/>
    <x v="11"/>
    <s v="Freshwater"/>
    <x v="1"/>
    <x v="0"/>
    <n v="738"/>
    <s v="Dungeness River"/>
    <s v="Dungeness River"/>
    <s v="Clallam"/>
    <x v="0"/>
    <s v="Clallam"/>
    <x v="0"/>
    <s v="Strait of Juan de Fuca"/>
    <m/>
    <n v="875.69655172413798"/>
    <n v="3012.3961379310299"/>
  </r>
  <r>
    <n v="2782"/>
    <x v="11"/>
    <s v="Freshwater"/>
    <x v="1"/>
    <x v="0"/>
    <n v="738"/>
    <s v="Dungeness River"/>
    <s v="Dungeness River"/>
    <s v="Clallam"/>
    <x v="0"/>
    <s v="Jefferson"/>
    <x v="2"/>
    <s v="Strait of Juan de Fuca"/>
    <m/>
    <n v="84.744827586206895"/>
    <n v="291.52220689655201"/>
  </r>
  <r>
    <n v="2777"/>
    <x v="11"/>
    <s v="Freshwater"/>
    <x v="1"/>
    <x v="0"/>
    <n v="738"/>
    <s v="Dungeness River"/>
    <s v="Dungeness River"/>
    <s v="Clallam"/>
    <x v="0"/>
    <s v="King"/>
    <x v="3"/>
    <s v="South Puget Sound"/>
    <m/>
    <n v="296.60689655172399"/>
    <n v="1020.32772413793"/>
  </r>
  <r>
    <n v="2780"/>
    <x v="11"/>
    <s v="Freshwater"/>
    <x v="1"/>
    <x v="0"/>
    <n v="738"/>
    <s v="Dungeness River"/>
    <s v="Dungeness River"/>
    <s v="Clallam"/>
    <x v="0"/>
    <s v="Kitsap"/>
    <x v="4"/>
    <s v="South Puget Sound"/>
    <m/>
    <n v="607.33793103448295"/>
    <n v="2089.2424827586201"/>
  </r>
  <r>
    <n v="2779"/>
    <x v="11"/>
    <s v="Freshwater"/>
    <x v="1"/>
    <x v="0"/>
    <n v="738"/>
    <s v="Dungeness River"/>
    <s v="Dungeness River"/>
    <s v="Clallam"/>
    <x v="0"/>
    <s v="Mason"/>
    <x v="5"/>
    <s v="South Puget Sound"/>
    <m/>
    <n v="70.620689655172399"/>
    <n v="242.935172413793"/>
  </r>
  <r>
    <n v="2783"/>
    <x v="11"/>
    <s v="Freshwater"/>
    <x v="1"/>
    <x v="0"/>
    <n v="738"/>
    <s v="Dungeness River"/>
    <s v="Dungeness River"/>
    <s v="Clallam"/>
    <x v="0"/>
    <s v="Other"/>
    <x v="6"/>
    <s v="Non Puget Sound"/>
    <m/>
    <n v="70.620689655172399"/>
    <n v="242.935172413793"/>
  </r>
  <r>
    <n v="2778"/>
    <x v="11"/>
    <s v="Freshwater"/>
    <x v="1"/>
    <x v="0"/>
    <n v="738"/>
    <s v="Dungeness River"/>
    <s v="Dungeness River"/>
    <s v="Clallam"/>
    <x v="0"/>
    <s v="Pierce"/>
    <x v="7"/>
    <s v="South Puget Sound"/>
    <m/>
    <n v="42.372413793103497"/>
    <n v="145.761103448276"/>
  </r>
  <r>
    <n v="121"/>
    <x v="11"/>
    <s v="Freshwater"/>
    <x v="1"/>
    <x v="0"/>
    <n v="746"/>
    <s v="Green - Duwamish River"/>
    <s v="Green - Duwamish River"/>
    <s v="King"/>
    <x v="3"/>
    <s v="King"/>
    <x v="3"/>
    <s v="South Puget Sound"/>
    <m/>
    <n v="22033.372459349601"/>
    <n v="75794.801260162596"/>
  </r>
  <r>
    <n v="124"/>
    <x v="11"/>
    <s v="Freshwater"/>
    <x v="1"/>
    <x v="0"/>
    <n v="746"/>
    <s v="Green - Duwamish River"/>
    <s v="Green - Duwamish River"/>
    <s v="King"/>
    <x v="3"/>
    <s v="Kitsap"/>
    <x v="4"/>
    <s v="South Puget Sound"/>
    <m/>
    <n v="27.2184959349594"/>
    <n v="93.631626016260299"/>
  </r>
  <r>
    <n v="125"/>
    <x v="11"/>
    <s v="Freshwater"/>
    <x v="1"/>
    <x v="0"/>
    <n v="746"/>
    <s v="Green - Duwamish River"/>
    <s v="Green - Duwamish River"/>
    <s v="King"/>
    <x v="3"/>
    <s v="Other"/>
    <x v="6"/>
    <s v="Non Puget Sound"/>
    <m/>
    <n v="585.19766260162601"/>
    <n v="2013.0799593495899"/>
  </r>
  <r>
    <n v="122"/>
    <x v="11"/>
    <s v="Freshwater"/>
    <x v="1"/>
    <x v="0"/>
    <n v="746"/>
    <s v="Green - Duwamish River"/>
    <s v="Green - Duwamish River"/>
    <s v="King"/>
    <x v="3"/>
    <s v="Pierce"/>
    <x v="7"/>
    <s v="South Puget Sound"/>
    <m/>
    <n v="3375.0934959349602"/>
    <n v="11610.321626016301"/>
  </r>
  <r>
    <n v="119"/>
    <x v="11"/>
    <s v="Freshwater"/>
    <x v="1"/>
    <x v="0"/>
    <n v="746"/>
    <s v="Green - Duwamish River"/>
    <s v="Green - Duwamish River"/>
    <s v="King"/>
    <x v="3"/>
    <s v="Skagit"/>
    <x v="8"/>
    <s v="North Puget Sound"/>
    <m/>
    <n v="54.4369918699187"/>
    <n v="187.26325203252"/>
  </r>
  <r>
    <n v="120"/>
    <x v="11"/>
    <s v="Freshwater"/>
    <x v="1"/>
    <x v="0"/>
    <n v="746"/>
    <s v="Green - Duwamish River"/>
    <s v="Green - Duwamish River"/>
    <s v="King"/>
    <x v="3"/>
    <s v="Snohomish"/>
    <x v="9"/>
    <s v="North Puget Sound"/>
    <m/>
    <n v="557.97916666666697"/>
    <n v="1919.4483333333301"/>
  </r>
  <r>
    <n v="123"/>
    <x v="11"/>
    <s v="Freshwater"/>
    <x v="1"/>
    <x v="0"/>
    <n v="746"/>
    <s v="Green - Duwamish River"/>
    <s v="Green - Duwamish River"/>
    <s v="King"/>
    <x v="3"/>
    <s v="Thurston"/>
    <x v="10"/>
    <s v="South Puget Sound"/>
    <m/>
    <n v="54.4369918699187"/>
    <n v="187.26325203252"/>
  </r>
  <r>
    <n v="118"/>
    <x v="11"/>
    <s v="Freshwater"/>
    <x v="1"/>
    <x v="0"/>
    <n v="746"/>
    <s v="Green - Duwamish River"/>
    <s v="Green - Duwamish River"/>
    <s v="King"/>
    <x v="3"/>
    <s v="Whatcom"/>
    <x v="11"/>
    <s v="North Puget Sound"/>
    <m/>
    <n v="95.264735772357696"/>
    <n v="327.71069105690998"/>
  </r>
  <r>
    <n v="127"/>
    <x v="11"/>
    <s v="Freshwater"/>
    <x v="1"/>
    <x v="0"/>
    <n v="762"/>
    <s v="Lake Washington"/>
    <s v="Lake Washington"/>
    <s v="King"/>
    <x v="3"/>
    <s v="Island"/>
    <x v="1"/>
    <s v="North Puget Sound"/>
    <m/>
    <n v="40.875"/>
    <n v="140.61000000000001"/>
  </r>
  <r>
    <n v="128"/>
    <x v="11"/>
    <s v="Freshwater"/>
    <x v="1"/>
    <x v="0"/>
    <n v="762"/>
    <s v="Lake Washington"/>
    <s v="Lake Washington"/>
    <s v="King"/>
    <x v="3"/>
    <s v="King"/>
    <x v="3"/>
    <s v="South Puget Sound"/>
    <m/>
    <n v="626.75"/>
    <n v="2156.02"/>
  </r>
  <r>
    <n v="129"/>
    <x v="11"/>
    <s v="Freshwater"/>
    <x v="1"/>
    <x v="0"/>
    <n v="762"/>
    <s v="Lake Washington"/>
    <s v="Lake Washington"/>
    <s v="King"/>
    <x v="3"/>
    <s v="Pierce"/>
    <x v="7"/>
    <s v="South Puget Sound"/>
    <m/>
    <n v="13.625"/>
    <n v="46.87"/>
  </r>
  <r>
    <n v="126"/>
    <x v="11"/>
    <s v="Freshwater"/>
    <x v="1"/>
    <x v="0"/>
    <n v="762"/>
    <s v="Lake Washington"/>
    <s v="Lake Washington"/>
    <s v="King"/>
    <x v="3"/>
    <s v="Snohomish"/>
    <x v="9"/>
    <s v="North Puget Sound"/>
    <m/>
    <n v="81.75"/>
    <n v="281.22000000000003"/>
  </r>
  <r>
    <n v="130"/>
    <x v="11"/>
    <s v="Freshwater"/>
    <x v="1"/>
    <x v="0"/>
    <n v="764"/>
    <s v="Lake Sammamish"/>
    <s v="Lake Sammamish"/>
    <s v="King"/>
    <x v="3"/>
    <s v="King"/>
    <x v="3"/>
    <s v="South Puget Sound"/>
    <m/>
    <n v="13.6666666666667"/>
    <n v="47.013333333333399"/>
  </r>
  <r>
    <n v="215"/>
    <x v="11"/>
    <s v="Freshwater"/>
    <x v="1"/>
    <x v="0"/>
    <n v="764"/>
    <s v="Lake Sammamish"/>
    <s v="Lake Sammamish"/>
    <s v="King"/>
    <x v="3"/>
    <s v="Pierce"/>
    <x v="7"/>
    <s v="South Puget Sound"/>
    <m/>
    <n v="27.3333333333333"/>
    <n v="94.0266666666666"/>
  </r>
  <r>
    <n v="595"/>
    <x v="11"/>
    <s v="Freshwater"/>
    <x v="1"/>
    <x v="0"/>
    <n v="774"/>
    <s v="McLane Creek"/>
    <s v="McLane Creek"/>
    <s v="Thurston"/>
    <x v="3"/>
    <s v="Pierce"/>
    <x v="7"/>
    <s v="South Puget Sound"/>
    <m/>
    <n v="25"/>
    <n v="86"/>
  </r>
  <r>
    <n v="655"/>
    <x v="11"/>
    <s v="Freshwater"/>
    <x v="1"/>
    <x v="0"/>
    <n v="778"/>
    <s v="Minter Creek"/>
    <s v="Minter Creek"/>
    <s v="Kitsap/Pierce"/>
    <x v="3"/>
    <s v="King"/>
    <x v="3"/>
    <s v="South Puget Sound"/>
    <m/>
    <n v="2285.75829383886"/>
    <n v="7863.0085308056796"/>
  </r>
  <r>
    <n v="659"/>
    <x v="11"/>
    <s v="Freshwater"/>
    <x v="1"/>
    <x v="0"/>
    <n v="778"/>
    <s v="Minter Creek"/>
    <s v="Minter Creek"/>
    <s v="Kitsap/Pierce"/>
    <x v="3"/>
    <s v="Kitsap"/>
    <x v="4"/>
    <s v="South Puget Sound"/>
    <m/>
    <n v="988.43601895734605"/>
    <n v="3400.2199052132701"/>
  </r>
  <r>
    <n v="658"/>
    <x v="11"/>
    <s v="Freshwater"/>
    <x v="1"/>
    <x v="0"/>
    <n v="778"/>
    <s v="Minter Creek"/>
    <s v="Minter Creek"/>
    <s v="Kitsap/Pierce"/>
    <x v="3"/>
    <s v="Mason"/>
    <x v="5"/>
    <s v="South Puget Sound"/>
    <m/>
    <n v="222.39810426540299"/>
    <n v="765.04947867298597"/>
  </r>
  <r>
    <n v="660"/>
    <x v="11"/>
    <s v="Freshwater"/>
    <x v="1"/>
    <x v="0"/>
    <n v="778"/>
    <s v="Minter Creek"/>
    <s v="Minter Creek"/>
    <s v="Kitsap/Pierce"/>
    <x v="3"/>
    <s v="Other"/>
    <x v="6"/>
    <s v="Non Puget Sound"/>
    <m/>
    <n v="420.08530805687201"/>
    <n v="1445.0934597156399"/>
  </r>
  <r>
    <n v="656"/>
    <x v="11"/>
    <s v="Freshwater"/>
    <x v="1"/>
    <x v="0"/>
    <n v="778"/>
    <s v="Minter Creek"/>
    <s v="Minter Creek"/>
    <s v="Kitsap/Pierce"/>
    <x v="3"/>
    <s v="Pierce"/>
    <x v="7"/>
    <s v="South Puget Sound"/>
    <m/>
    <n v="3261.8388625592402"/>
    <n v="11220.7256872038"/>
  </r>
  <r>
    <n v="654"/>
    <x v="11"/>
    <s v="Freshwater"/>
    <x v="1"/>
    <x v="0"/>
    <n v="778"/>
    <s v="Minter Creek"/>
    <s v="Minter Creek"/>
    <s v="Kitsap/Pierce"/>
    <x v="3"/>
    <s v="Snohomish"/>
    <x v="9"/>
    <s v="North Puget Sound"/>
    <m/>
    <n v="593.06161137440802"/>
    <n v="2040.1319431279601"/>
  </r>
  <r>
    <n v="657"/>
    <x v="11"/>
    <s v="Freshwater"/>
    <x v="1"/>
    <x v="0"/>
    <n v="778"/>
    <s v="Minter Creek"/>
    <s v="Minter Creek"/>
    <s v="Kitsap/Pierce"/>
    <x v="3"/>
    <s v="Thurston"/>
    <x v="10"/>
    <s v="South Puget Sound"/>
    <m/>
    <n v="49.421800947867297"/>
    <n v="170.01099526066301"/>
  </r>
  <r>
    <n v="587"/>
    <x v="11"/>
    <s v="Freshwater"/>
    <x v="1"/>
    <x v="0"/>
    <n v="786"/>
    <s v="Nisqually River"/>
    <s v="Nisqually River"/>
    <s v="Thurston/Pierce"/>
    <x v="3"/>
    <s v="King"/>
    <x v="3"/>
    <s v="South Puget Sound"/>
    <m/>
    <n v="985.18909710391802"/>
    <n v="3389.0504940374799"/>
  </r>
  <r>
    <n v="590"/>
    <x v="11"/>
    <s v="Freshwater"/>
    <x v="1"/>
    <x v="0"/>
    <n v="786"/>
    <s v="Nisqually River"/>
    <s v="Nisqually River"/>
    <s v="Thurston/Pierce"/>
    <x v="3"/>
    <s v="Other"/>
    <x v="6"/>
    <s v="Non Puget Sound"/>
    <m/>
    <n v="445.35945485519602"/>
    <n v="1532.0365247018699"/>
  </r>
  <r>
    <n v="588"/>
    <x v="11"/>
    <s v="Freshwater"/>
    <x v="1"/>
    <x v="0"/>
    <n v="786"/>
    <s v="Nisqually River"/>
    <s v="Nisqually River"/>
    <s v="Thurston/Pierce"/>
    <x v="3"/>
    <s v="Pierce"/>
    <x v="7"/>
    <s v="South Puget Sound"/>
    <m/>
    <n v="3184.9948892674602"/>
    <n v="10956.382419080101"/>
  </r>
  <r>
    <n v="589"/>
    <x v="11"/>
    <s v="Freshwater"/>
    <x v="1"/>
    <x v="0"/>
    <n v="786"/>
    <s v="Nisqually River"/>
    <s v="Nisqually River"/>
    <s v="Thurston/Pierce"/>
    <x v="3"/>
    <s v="Thurston"/>
    <x v="10"/>
    <s v="South Puget Sound"/>
    <m/>
    <n v="3306.4565587734301"/>
    <n v="11374.2105621806"/>
  </r>
  <r>
    <n v="3127"/>
    <x v="11"/>
    <s v="Freshwater"/>
    <x v="1"/>
    <x v="0"/>
    <n v="788"/>
    <s v="Nooksack River, Middle Fork"/>
    <s v="Nooksack River"/>
    <s v="Whatcom"/>
    <x v="1"/>
    <s v="Whatcom"/>
    <x v="11"/>
    <s v="North Puget Sound"/>
    <m/>
    <n v="14"/>
    <n v="48.16"/>
  </r>
  <r>
    <n v="3129"/>
    <x v="11"/>
    <s v="Freshwater"/>
    <x v="1"/>
    <x v="0"/>
    <n v="790"/>
    <s v="Nooksack River, North Fork"/>
    <s v="Nooksack River, No. Fork"/>
    <s v="Whatcom"/>
    <x v="1"/>
    <s v="Island"/>
    <x v="1"/>
    <s v="North Puget Sound"/>
    <m/>
    <n v="14.85"/>
    <n v="51.084000000000003"/>
  </r>
  <r>
    <n v="3130"/>
    <x v="11"/>
    <s v="Freshwater"/>
    <x v="1"/>
    <x v="0"/>
    <n v="790"/>
    <s v="Nooksack River, North Fork"/>
    <s v="Nooksack River, No. Fork"/>
    <s v="Whatcom"/>
    <x v="1"/>
    <s v="King"/>
    <x v="3"/>
    <s v="South Puget Sound"/>
    <m/>
    <n v="14.85"/>
    <n v="51.084000000000003"/>
  </r>
  <r>
    <n v="3128"/>
    <x v="11"/>
    <s v="Freshwater"/>
    <x v="1"/>
    <x v="0"/>
    <n v="790"/>
    <s v="Nooksack River, North Fork"/>
    <s v="Nooksack River, No. Fork"/>
    <s v="Whatcom"/>
    <x v="1"/>
    <s v="Whatcom"/>
    <x v="11"/>
    <s v="North Puget Sound"/>
    <m/>
    <n v="267.3"/>
    <n v="919.51199999999994"/>
  </r>
  <r>
    <n v="3133"/>
    <x v="11"/>
    <s v="Freshwater"/>
    <x v="1"/>
    <x v="0"/>
    <n v="792"/>
    <s v="Nooksack River, South Fork"/>
    <s v="Nooksack River, So. Fork"/>
    <s v="Whatcom"/>
    <x v="1"/>
    <s v="Island"/>
    <x v="1"/>
    <s v="North Puget Sound"/>
    <m/>
    <n v="81.75"/>
    <n v="281.22000000000003"/>
  </r>
  <r>
    <n v="3134"/>
    <x v="11"/>
    <s v="Freshwater"/>
    <x v="1"/>
    <x v="0"/>
    <n v="792"/>
    <s v="Nooksack River, South Fork"/>
    <s v="Nooksack River, So. Fork"/>
    <s v="Whatcom"/>
    <x v="1"/>
    <s v="King"/>
    <x v="3"/>
    <s v="South Puget Sound"/>
    <m/>
    <n v="81.75"/>
    <n v="281.22000000000003"/>
  </r>
  <r>
    <n v="3132"/>
    <x v="11"/>
    <s v="Freshwater"/>
    <x v="1"/>
    <x v="0"/>
    <n v="792"/>
    <s v="Nooksack River, South Fork"/>
    <s v="Nooksack River, So. Fork"/>
    <s v="Whatcom"/>
    <x v="1"/>
    <s v="Skagit"/>
    <x v="8"/>
    <s v="North Puget Sound"/>
    <m/>
    <n v="177.125"/>
    <n v="609.30999999999995"/>
  </r>
  <r>
    <n v="3131"/>
    <x v="11"/>
    <s v="Freshwater"/>
    <x v="1"/>
    <x v="0"/>
    <n v="792"/>
    <s v="Nooksack River, South Fork"/>
    <s v="Nooksack River, So. Fork"/>
    <s v="Whatcom"/>
    <x v="1"/>
    <s v="Whatcom"/>
    <x v="11"/>
    <s v="North Puget Sound"/>
    <m/>
    <n v="422.375"/>
    <n v="1452.97"/>
  </r>
  <r>
    <n v="2975"/>
    <x v="11"/>
    <s v="Freshwater"/>
    <x v="1"/>
    <x v="0"/>
    <n v="794"/>
    <s v="Nooksack River, below North Fork"/>
    <s v="Nooksack River, below North Fork"/>
    <s v="Whatcom"/>
    <x v="1"/>
    <s v="Other"/>
    <x v="6"/>
    <s v="Non Puget Sound"/>
    <m/>
    <n v="13.6272727272727"/>
    <n v="46.8778181818181"/>
  </r>
  <r>
    <n v="2974"/>
    <x v="11"/>
    <s v="Freshwater"/>
    <x v="1"/>
    <x v="0"/>
    <n v="794"/>
    <s v="Nooksack River, below North Fork"/>
    <s v="Nooksack River, below North Fork"/>
    <s v="Whatcom"/>
    <x v="1"/>
    <s v="Pierce"/>
    <x v="7"/>
    <s v="South Puget Sound"/>
    <m/>
    <n v="13.6272727272727"/>
    <n v="46.8778181818181"/>
  </r>
  <r>
    <n v="2973"/>
    <x v="11"/>
    <s v="Freshwater"/>
    <x v="1"/>
    <x v="0"/>
    <n v="794"/>
    <s v="Nooksack River, below North Fork"/>
    <s v="Nooksack River, below North Fork"/>
    <s v="Whatcom"/>
    <x v="1"/>
    <s v="Skagit"/>
    <x v="8"/>
    <s v="North Puget Sound"/>
    <m/>
    <n v="68.136363636363697"/>
    <n v="234.38909090909101"/>
  </r>
  <r>
    <n v="2972"/>
    <x v="11"/>
    <s v="Freshwater"/>
    <x v="1"/>
    <x v="0"/>
    <n v="794"/>
    <s v="Nooksack River, below North Fork"/>
    <s v="Nooksack River, below North Fork"/>
    <s v="Whatcom"/>
    <x v="1"/>
    <s v="Whatcom"/>
    <x v="11"/>
    <s v="North Puget Sound"/>
    <m/>
    <n v="2902.6090909090899"/>
    <n v="9984.9752727272698"/>
  </r>
  <r>
    <n v="878"/>
    <x v="11"/>
    <s v="Freshwater"/>
    <x v="1"/>
    <x v="0"/>
    <n v="802"/>
    <s v="Carbon River"/>
    <s v="Carbon River"/>
    <s v="Pierce"/>
    <x v="3"/>
    <s v="King"/>
    <x v="3"/>
    <s v="South Puget Sound"/>
    <m/>
    <n v="644.81122448979602"/>
    <n v="2218.1506122449"/>
  </r>
  <r>
    <n v="880"/>
    <x v="11"/>
    <s v="Freshwater"/>
    <x v="1"/>
    <x v="0"/>
    <n v="802"/>
    <s v="Carbon River"/>
    <s v="Carbon River"/>
    <s v="Pierce"/>
    <x v="3"/>
    <s v="Other"/>
    <x v="6"/>
    <s v="Non Puget Sound"/>
    <m/>
    <n v="164.632653061225"/>
    <n v="566.33632653061397"/>
  </r>
  <r>
    <n v="879"/>
    <x v="11"/>
    <s v="Freshwater"/>
    <x v="1"/>
    <x v="0"/>
    <n v="802"/>
    <s v="Carbon River"/>
    <s v="Carbon River"/>
    <s v="Pierce"/>
    <x v="3"/>
    <s v="Pierce"/>
    <x v="7"/>
    <s v="South Puget Sound"/>
    <m/>
    <n v="1769.80102040816"/>
    <n v="6088.1155102040702"/>
  </r>
  <r>
    <n v="877"/>
    <x v="11"/>
    <s v="Freshwater"/>
    <x v="1"/>
    <x v="0"/>
    <n v="802"/>
    <s v="Carbon River"/>
    <s v="Carbon River"/>
    <s v="Pierce"/>
    <x v="3"/>
    <s v="Snohomish"/>
    <x v="9"/>
    <s v="North Puget Sound"/>
    <m/>
    <n v="54.877551020408198"/>
    <n v="188.77877551020401"/>
  </r>
  <r>
    <n v="786"/>
    <x v="11"/>
    <s v="Freshwater"/>
    <x v="1"/>
    <x v="0"/>
    <n v="802"/>
    <s v="Carbon River"/>
    <s v="Carbon River"/>
    <s v="Pierce"/>
    <x v="3"/>
    <s v="Whatcom"/>
    <x v="11"/>
    <s v="North Puget Sound"/>
    <m/>
    <n v="54.877551020408198"/>
    <n v="188.77877551020401"/>
  </r>
  <r>
    <n v="882"/>
    <x v="11"/>
    <s v="Freshwater"/>
    <x v="1"/>
    <x v="0"/>
    <n v="804"/>
    <s v="Puyallup River"/>
    <s v="Puyallup River"/>
    <s v="Pierce"/>
    <x v="3"/>
    <s v="King"/>
    <x v="3"/>
    <s v="South Puget Sound"/>
    <m/>
    <n v="17108.2216358839"/>
    <n v="58852.282427440601"/>
  </r>
  <r>
    <n v="886"/>
    <x v="11"/>
    <s v="Freshwater"/>
    <x v="1"/>
    <x v="0"/>
    <n v="804"/>
    <s v="Puyallup River"/>
    <s v="Puyallup River"/>
    <s v="Pierce"/>
    <x v="3"/>
    <s v="Kitsap"/>
    <x v="4"/>
    <s v="South Puget Sound"/>
    <m/>
    <n v="422.93051890941098"/>
    <n v="1454.8809850483699"/>
  </r>
  <r>
    <n v="885"/>
    <x v="11"/>
    <s v="Freshwater"/>
    <x v="1"/>
    <x v="0"/>
    <n v="804"/>
    <s v="Puyallup River"/>
    <s v="Puyallup River"/>
    <s v="Pierce"/>
    <x v="3"/>
    <s v="Mason"/>
    <x v="5"/>
    <s v="South Puget Sound"/>
    <m/>
    <n v="54.571679859278802"/>
    <n v="187.726578715919"/>
  </r>
  <r>
    <n v="887"/>
    <x v="11"/>
    <s v="Freshwater"/>
    <x v="1"/>
    <x v="0"/>
    <n v="804"/>
    <s v="Puyallup River"/>
    <s v="Puyallup River"/>
    <s v="Pierce"/>
    <x v="3"/>
    <s v="Other"/>
    <x v="6"/>
    <s v="Non Puget Sound"/>
    <m/>
    <n v="2182.8671943711502"/>
    <n v="7509.0631486367602"/>
  </r>
  <r>
    <n v="883"/>
    <x v="11"/>
    <s v="Freshwater"/>
    <x v="1"/>
    <x v="0"/>
    <n v="804"/>
    <s v="Puyallup River"/>
    <s v="Puyallup River"/>
    <s v="Pierce"/>
    <x v="3"/>
    <s v="Pierce"/>
    <x v="7"/>
    <s v="South Puget Sound"/>
    <m/>
    <n v="23697.7519788918"/>
    <n v="81520.266807387801"/>
  </r>
  <r>
    <n v="881"/>
    <x v="11"/>
    <s v="Freshwater"/>
    <x v="1"/>
    <x v="0"/>
    <n v="804"/>
    <s v="Puyallup River"/>
    <s v="Puyallup River"/>
    <s v="Pierce"/>
    <x v="3"/>
    <s v="Snohomish"/>
    <x v="9"/>
    <s v="North Puget Sound"/>
    <m/>
    <n v="941.36147757256003"/>
    <n v="3238.2834828496102"/>
  </r>
  <r>
    <n v="884"/>
    <x v="11"/>
    <s v="Freshwater"/>
    <x v="1"/>
    <x v="0"/>
    <n v="804"/>
    <s v="Puyallup River"/>
    <s v="Puyallup River"/>
    <s v="Pierce"/>
    <x v="3"/>
    <s v="Thurston"/>
    <x v="10"/>
    <s v="South Puget Sound"/>
    <m/>
    <n v="2128.2955145118699"/>
    <n v="7321.3365699208298"/>
  </r>
  <r>
    <n v="982"/>
    <x v="11"/>
    <s v="Freshwater"/>
    <x v="1"/>
    <x v="0"/>
    <n v="808"/>
    <s v="White (Stuck) River"/>
    <s v="White (Stuck) River"/>
    <s v="Pierce"/>
    <x v="3"/>
    <s v="King"/>
    <x v="3"/>
    <s v="South Puget Sound"/>
    <m/>
    <n v="3"/>
    <n v="10.32"/>
  </r>
  <r>
    <n v="1048"/>
    <x v="11"/>
    <s v="Freshwater"/>
    <x v="1"/>
    <x v="0"/>
    <n v="812"/>
    <s v="Quilcene River"/>
    <s v="Quilcene River"/>
    <s v="Jefferson"/>
    <x v="4"/>
    <s v="Clallam"/>
    <x v="0"/>
    <s v="Strait of Juan de Fuca"/>
    <m/>
    <n v="759.46799999999996"/>
    <n v="2612.5699199999999"/>
  </r>
  <r>
    <n v="1058"/>
    <x v="11"/>
    <s v="Freshwater"/>
    <x v="1"/>
    <x v="0"/>
    <n v="812"/>
    <s v="Quilcene River"/>
    <s v="Quilcene River"/>
    <s v="Jefferson"/>
    <x v="4"/>
    <s v="Jefferson"/>
    <x v="2"/>
    <s v="Strait of Juan de Fuca"/>
    <m/>
    <n v="1532.26"/>
    <n v="5270.9744000000001"/>
  </r>
  <r>
    <n v="1043"/>
    <x v="11"/>
    <s v="Freshwater"/>
    <x v="1"/>
    <x v="0"/>
    <n v="812"/>
    <s v="Quilcene River"/>
    <s v="Quilcene River"/>
    <s v="Jefferson"/>
    <x v="4"/>
    <s v="King"/>
    <x v="3"/>
    <s v="South Puget Sound"/>
    <m/>
    <n v="572.93200000000002"/>
    <n v="1970.88608"/>
  </r>
  <r>
    <n v="1047"/>
    <x v="11"/>
    <s v="Freshwater"/>
    <x v="1"/>
    <x v="0"/>
    <n v="812"/>
    <s v="Quilcene River"/>
    <s v="Quilcene River"/>
    <s v="Jefferson"/>
    <x v="4"/>
    <s v="Kitsap"/>
    <x v="4"/>
    <s v="South Puget Sound"/>
    <m/>
    <n v="1212.4839999999999"/>
    <n v="4170.9449599999998"/>
  </r>
  <r>
    <n v="1046"/>
    <x v="11"/>
    <s v="Freshwater"/>
    <x v="1"/>
    <x v="0"/>
    <n v="812"/>
    <s v="Quilcene River"/>
    <s v="Quilcene River"/>
    <s v="Jefferson"/>
    <x v="4"/>
    <s v="Mason"/>
    <x v="5"/>
    <s v="South Puget Sound"/>
    <m/>
    <n v="453.01600000000002"/>
    <n v="1558.3750399999999"/>
  </r>
  <r>
    <n v="1059"/>
    <x v="11"/>
    <s v="Freshwater"/>
    <x v="1"/>
    <x v="0"/>
    <n v="812"/>
    <s v="Quilcene River"/>
    <s v="Quilcene River"/>
    <s v="Jefferson"/>
    <x v="4"/>
    <s v="Other"/>
    <x v="6"/>
    <s v="Non Puget Sound"/>
    <m/>
    <n v="559.60799999999995"/>
    <n v="1925.05152"/>
  </r>
  <r>
    <n v="1044"/>
    <x v="11"/>
    <s v="Freshwater"/>
    <x v="1"/>
    <x v="0"/>
    <n v="812"/>
    <s v="Quilcene River"/>
    <s v="Quilcene River"/>
    <s v="Jefferson"/>
    <x v="4"/>
    <s v="Pierce"/>
    <x v="7"/>
    <s v="South Puget Sound"/>
    <m/>
    <n v="1399.02"/>
    <n v="4812.6288000000004"/>
  </r>
  <r>
    <n v="1045"/>
    <x v="11"/>
    <s v="Freshwater"/>
    <x v="1"/>
    <x v="0"/>
    <n v="812"/>
    <s v="Quilcene River"/>
    <s v="Quilcene River"/>
    <s v="Jefferson"/>
    <x v="4"/>
    <s v="Thurston"/>
    <x v="10"/>
    <s v="South Puget Sound"/>
    <m/>
    <n v="173.21199999999999"/>
    <n v="595.84928000000002"/>
  </r>
  <r>
    <n v="1732"/>
    <x v="11"/>
    <s v="Freshwater"/>
    <x v="1"/>
    <x v="0"/>
    <n v="816"/>
    <s v="Samish River"/>
    <s v="Samish River"/>
    <s v="Skagit"/>
    <x v="1"/>
    <s v="Island"/>
    <x v="1"/>
    <s v="North Puget Sound"/>
    <m/>
    <n v="700.73479318734803"/>
    <n v="2410.5276885644798"/>
  </r>
  <r>
    <n v="1736"/>
    <x v="11"/>
    <s v="Freshwater"/>
    <x v="1"/>
    <x v="0"/>
    <n v="816"/>
    <s v="Samish River"/>
    <s v="Samish River"/>
    <s v="Skagit"/>
    <x v="1"/>
    <s v="King"/>
    <x v="3"/>
    <s v="South Puget Sound"/>
    <m/>
    <n v="943.29683698296901"/>
    <n v="3244.9411192214102"/>
  </r>
  <r>
    <n v="1785"/>
    <x v="11"/>
    <s v="Freshwater"/>
    <x v="1"/>
    <x v="0"/>
    <n v="816"/>
    <s v="Samish River"/>
    <s v="Samish River"/>
    <s v="Skagit"/>
    <x v="1"/>
    <s v="Other"/>
    <x v="6"/>
    <s v="Non Puget Sound"/>
    <m/>
    <n v="808.54014598540198"/>
    <n v="2781.3781021897798"/>
  </r>
  <r>
    <n v="1737"/>
    <x v="11"/>
    <s v="Freshwater"/>
    <x v="1"/>
    <x v="0"/>
    <n v="816"/>
    <s v="Samish River"/>
    <s v="Samish River"/>
    <s v="Skagit"/>
    <x v="1"/>
    <s v="Pierce"/>
    <x v="7"/>
    <s v="South Puget Sound"/>
    <m/>
    <n v="269.51338199513401"/>
    <n v="927.12603406326105"/>
  </r>
  <r>
    <n v="1730"/>
    <x v="11"/>
    <s v="Freshwater"/>
    <x v="1"/>
    <x v="0"/>
    <n v="816"/>
    <s v="Samish River"/>
    <s v="Samish River"/>
    <s v="Skagit"/>
    <x v="1"/>
    <s v="Skagit"/>
    <x v="8"/>
    <s v="North Puget Sound"/>
    <m/>
    <n v="2290.8637469586401"/>
    <n v="7880.5712895377201"/>
  </r>
  <r>
    <n v="1731"/>
    <x v="11"/>
    <s v="Freshwater"/>
    <x v="1"/>
    <x v="0"/>
    <n v="816"/>
    <s v="Samish River"/>
    <s v="Samish River"/>
    <s v="Skagit"/>
    <x v="1"/>
    <s v="Snohomish"/>
    <x v="9"/>
    <s v="North Puget Sound"/>
    <m/>
    <n v="5242.03527980535"/>
    <n v="18032.6013625304"/>
  </r>
  <r>
    <n v="1729"/>
    <x v="11"/>
    <s v="Freshwater"/>
    <x v="1"/>
    <x v="0"/>
    <n v="816"/>
    <s v="Samish River"/>
    <s v="Samish River"/>
    <s v="Skagit"/>
    <x v="1"/>
    <s v="Whatcom"/>
    <x v="11"/>
    <s v="North Puget Sound"/>
    <m/>
    <n v="822.01581508515801"/>
    <n v="2827.73440389294"/>
  </r>
  <r>
    <n v="2979"/>
    <x v="11"/>
    <s v="Freshwater"/>
    <x v="1"/>
    <x v="0"/>
    <n v="825"/>
    <s v="Baker Lake"/>
    <s v="Baker Lake"/>
    <s v="Whatcom"/>
    <x v="1"/>
    <s v="Island"/>
    <x v="1"/>
    <s v="North Puget Sound"/>
    <m/>
    <n v="434.173719376392"/>
    <n v="1493.5575946547899"/>
  </r>
  <r>
    <n v="2981"/>
    <x v="11"/>
    <s v="Freshwater"/>
    <x v="1"/>
    <x v="0"/>
    <n v="825"/>
    <s v="Baker Lake"/>
    <s v="Baker Lake"/>
    <s v="Whatcom"/>
    <x v="1"/>
    <s v="King"/>
    <x v="3"/>
    <s v="South Puget Sound"/>
    <m/>
    <n v="624.12472160356401"/>
    <n v="2146.9890423162601"/>
  </r>
  <r>
    <n v="2988"/>
    <x v="11"/>
    <s v="Freshwater"/>
    <x v="1"/>
    <x v="0"/>
    <n v="825"/>
    <s v="Baker Lake"/>
    <s v="Baker Lake"/>
    <s v="Whatcom"/>
    <x v="1"/>
    <s v="Other"/>
    <x v="6"/>
    <s v="Non Puget Sound"/>
    <m/>
    <n v="502.01336302895299"/>
    <n v="1726.9259688196"/>
  </r>
  <r>
    <n v="2982"/>
    <x v="11"/>
    <s v="Freshwater"/>
    <x v="1"/>
    <x v="0"/>
    <n v="825"/>
    <s v="Baker Lake"/>
    <s v="Baker Lake"/>
    <s v="Whatcom"/>
    <x v="1"/>
    <s v="Pierce"/>
    <x v="7"/>
    <s v="South Puget Sound"/>
    <m/>
    <n v="54.271714922049"/>
    <n v="186.69469933184899"/>
  </r>
  <r>
    <n v="2980"/>
    <x v="11"/>
    <s v="Freshwater"/>
    <x v="1"/>
    <x v="0"/>
    <n v="825"/>
    <s v="Baker Lake"/>
    <s v="Baker Lake"/>
    <s v="Whatcom"/>
    <x v="1"/>
    <s v="San Juan"/>
    <x v="12"/>
    <s v="North Puget Sound"/>
    <m/>
    <n v="67.839643652561307"/>
    <n v="233.368374164811"/>
  </r>
  <r>
    <n v="2977"/>
    <x v="11"/>
    <s v="Freshwater"/>
    <x v="1"/>
    <x v="0"/>
    <n v="825"/>
    <s v="Baker Lake"/>
    <s v="Baker Lake"/>
    <s v="Whatcom"/>
    <x v="1"/>
    <s v="Skagit"/>
    <x v="8"/>
    <s v="North Puget Sound"/>
    <m/>
    <n v="2103.0289532294"/>
    <n v="7234.4195991091401"/>
  </r>
  <r>
    <n v="2978"/>
    <x v="11"/>
    <s v="Freshwater"/>
    <x v="1"/>
    <x v="0"/>
    <n v="825"/>
    <s v="Baker Lake"/>
    <s v="Baker Lake"/>
    <s v="Whatcom"/>
    <x v="1"/>
    <s v="Snohomish"/>
    <x v="9"/>
    <s v="North Puget Sound"/>
    <m/>
    <n v="1628.15144766147"/>
    <n v="5600.8409799554602"/>
  </r>
  <r>
    <n v="2983"/>
    <x v="11"/>
    <s v="Freshwater"/>
    <x v="1"/>
    <x v="0"/>
    <n v="825"/>
    <s v="Baker Lake"/>
    <s v="Baker Lake"/>
    <s v="Whatcom"/>
    <x v="1"/>
    <s v="Thurston"/>
    <x v="10"/>
    <s v="South Puget Sound"/>
    <m/>
    <n v="13.5679287305123"/>
    <n v="46.673674832962298"/>
  </r>
  <r>
    <n v="2976"/>
    <x v="11"/>
    <s v="Freshwater"/>
    <x v="1"/>
    <x v="0"/>
    <n v="825"/>
    <s v="Baker Lake"/>
    <s v="Baker Lake"/>
    <s v="Whatcom"/>
    <x v="1"/>
    <s v="Whatcom"/>
    <x v="11"/>
    <s v="North Puget Sound"/>
    <m/>
    <n v="664.82850779509999"/>
    <n v="2287.0100668151399"/>
  </r>
  <r>
    <n v="1789"/>
    <x v="11"/>
    <s v="Freshwater"/>
    <x v="1"/>
    <x v="0"/>
    <n v="826"/>
    <s v="Cascade River"/>
    <s v="Cascade River"/>
    <s v="Skagit"/>
    <x v="1"/>
    <s v="Island"/>
    <x v="1"/>
    <s v="North Puget Sound"/>
    <m/>
    <n v="542.36440677966095"/>
    <n v="1865.73355932203"/>
  </r>
  <r>
    <n v="1790"/>
    <x v="11"/>
    <s v="Freshwater"/>
    <x v="1"/>
    <x v="0"/>
    <n v="826"/>
    <s v="Cascade River"/>
    <s v="Cascade River"/>
    <s v="Skagit"/>
    <x v="1"/>
    <s v="King"/>
    <x v="3"/>
    <s v="South Puget Sound"/>
    <m/>
    <n v="403.296610169492"/>
    <n v="1387.3403389830501"/>
  </r>
  <r>
    <n v="1791"/>
    <x v="11"/>
    <s v="Freshwater"/>
    <x v="1"/>
    <x v="0"/>
    <n v="826"/>
    <s v="Cascade River"/>
    <s v="Cascade River"/>
    <s v="Skagit"/>
    <x v="1"/>
    <s v="Other"/>
    <x v="6"/>
    <s v="Non Puget Sound"/>
    <m/>
    <n v="333.76271186440698"/>
    <n v="1148.1437288135601"/>
  </r>
  <r>
    <n v="1787"/>
    <x v="11"/>
    <s v="Freshwater"/>
    <x v="1"/>
    <x v="0"/>
    <n v="826"/>
    <s v="Cascade River"/>
    <s v="Cascade River"/>
    <s v="Skagit"/>
    <x v="1"/>
    <s v="Skagit"/>
    <x v="8"/>
    <s v="North Puget Sound"/>
    <m/>
    <n v="959.56779661017003"/>
    <n v="3300.91322033898"/>
  </r>
  <r>
    <n v="1788"/>
    <x v="11"/>
    <s v="Freshwater"/>
    <x v="1"/>
    <x v="0"/>
    <n v="826"/>
    <s v="Cascade River"/>
    <s v="Cascade River"/>
    <s v="Skagit"/>
    <x v="1"/>
    <s v="Snohomish"/>
    <x v="9"/>
    <s v="North Puget Sound"/>
    <m/>
    <n v="862.22033898305096"/>
    <n v="2966.0379661017"/>
  </r>
  <r>
    <n v="1786"/>
    <x v="11"/>
    <s v="Freshwater"/>
    <x v="1"/>
    <x v="0"/>
    <n v="826"/>
    <s v="Cascade River"/>
    <s v="Cascade River"/>
    <s v="Skagit"/>
    <x v="1"/>
    <s v="Whatcom"/>
    <x v="11"/>
    <s v="North Puget Sound"/>
    <m/>
    <n v="180.78813559322001"/>
    <n v="621.91118644067706"/>
  </r>
  <r>
    <n v="2854"/>
    <x v="11"/>
    <s v="Freshwater"/>
    <x v="1"/>
    <x v="0"/>
    <n v="830"/>
    <s v="Skagit River"/>
    <s v="Skagit River"/>
    <s v="Skagit/Whatcom"/>
    <x v="2"/>
    <s v="Island"/>
    <x v="1"/>
    <s v="North Puget Sound"/>
    <m/>
    <n v="1891.4548845884799"/>
    <n v="6506.6048029843696"/>
  </r>
  <r>
    <n v="2856"/>
    <x v="11"/>
    <s v="Freshwater"/>
    <x v="1"/>
    <x v="0"/>
    <n v="830"/>
    <s v="Skagit River"/>
    <s v="Skagit River"/>
    <s v="Skagit/Whatcom"/>
    <x v="2"/>
    <s v="King"/>
    <x v="3"/>
    <s v="South Puget Sound"/>
    <m/>
    <n v="2786.7435299603599"/>
    <n v="9586.3977430636405"/>
  </r>
  <r>
    <n v="2902"/>
    <x v="11"/>
    <s v="Freshwater"/>
    <x v="1"/>
    <x v="0"/>
    <n v="830"/>
    <s v="Skagit River"/>
    <s v="Skagit River"/>
    <s v="Skagit/Whatcom"/>
    <x v="2"/>
    <s v="Kitsap"/>
    <x v="4"/>
    <s v="South Puget Sound"/>
    <m/>
    <n v="176.53578922825801"/>
    <n v="607.28311494520801"/>
  </r>
  <r>
    <n v="2937"/>
    <x v="11"/>
    <s v="Freshwater"/>
    <x v="1"/>
    <x v="0"/>
    <n v="830"/>
    <s v="Skagit River"/>
    <s v="Skagit River"/>
    <s v="Skagit/Whatcom"/>
    <x v="2"/>
    <s v="Other"/>
    <x v="6"/>
    <s v="Non Puget Sound"/>
    <m/>
    <n v="3909.0067614828599"/>
    <n v="13446.983259500999"/>
  </r>
  <r>
    <n v="2857"/>
    <x v="11"/>
    <s v="Freshwater"/>
    <x v="1"/>
    <x v="0"/>
    <n v="830"/>
    <s v="Skagit River"/>
    <s v="Skagit River"/>
    <s v="Skagit/Whatcom"/>
    <x v="2"/>
    <s v="Pierce"/>
    <x v="7"/>
    <s v="South Puget Sound"/>
    <m/>
    <n v="327.852179995337"/>
    <n v="1127.81149918396"/>
  </r>
  <r>
    <n v="2855"/>
    <x v="11"/>
    <s v="Freshwater"/>
    <x v="1"/>
    <x v="0"/>
    <n v="830"/>
    <s v="Skagit River"/>
    <s v="Skagit River"/>
    <s v="Skagit/Whatcom"/>
    <x v="2"/>
    <s v="San Juan"/>
    <x v="12"/>
    <s v="North Puget Sound"/>
    <m/>
    <n v="25.2193984611798"/>
    <n v="86.754730706458503"/>
  </r>
  <r>
    <n v="2852"/>
    <x v="11"/>
    <s v="Freshwater"/>
    <x v="1"/>
    <x v="0"/>
    <n v="830"/>
    <s v="Skagit River"/>
    <s v="Skagit River"/>
    <s v="Skagit/Whatcom"/>
    <x v="2"/>
    <s v="Skagit"/>
    <x v="8"/>
    <s v="North Puget Sound"/>
    <m/>
    <n v="26934.317556540002"/>
    <n v="92654.052394497601"/>
  </r>
  <r>
    <n v="2853"/>
    <x v="11"/>
    <s v="Freshwater"/>
    <x v="1"/>
    <x v="0"/>
    <n v="830"/>
    <s v="Skagit River"/>
    <s v="Skagit River"/>
    <s v="Skagit/Whatcom"/>
    <x v="2"/>
    <s v="Snohomish"/>
    <x v="9"/>
    <s v="North Puget Sound"/>
    <m/>
    <n v="8171.0851014222399"/>
    <n v="28108.5327488925"/>
  </r>
  <r>
    <n v="2858"/>
    <x v="11"/>
    <s v="Freshwater"/>
    <x v="1"/>
    <x v="0"/>
    <n v="830"/>
    <s v="Skagit River"/>
    <s v="Skagit River"/>
    <s v="Skagit/Whatcom"/>
    <x v="2"/>
    <s v="Thurston"/>
    <x v="10"/>
    <s v="South Puget Sound"/>
    <m/>
    <n v="277.41338307297701"/>
    <n v="954.302037771041"/>
  </r>
  <r>
    <n v="2851"/>
    <x v="11"/>
    <s v="Freshwater"/>
    <x v="1"/>
    <x v="0"/>
    <n v="830"/>
    <s v="Skagit River"/>
    <s v="Skagit River"/>
    <s v="Skagit/Whatcom"/>
    <x v="2"/>
    <s v="Whatcom"/>
    <x v="11"/>
    <s v="North Puget Sound"/>
    <m/>
    <n v="9583.3714152483099"/>
    <n v="32966.797668454201"/>
  </r>
  <r>
    <n v="1252"/>
    <x v="11"/>
    <s v="Freshwater"/>
    <x v="1"/>
    <x v="0"/>
    <n v="834"/>
    <s v="Skokomish River"/>
    <s v="Skokomish River"/>
    <s v="Mason"/>
    <x v="4"/>
    <s v="Thurston"/>
    <x v="10"/>
    <s v="South Puget Sound"/>
    <m/>
    <n v="1"/>
    <n v="3.44"/>
  </r>
  <r>
    <n v="3352"/>
    <x v="11"/>
    <s v="Freshwater"/>
    <x v="1"/>
    <x v="0"/>
    <n v="844"/>
    <s v="Skykomish River"/>
    <s v="Skykomish River"/>
    <s v="Snohomish"/>
    <x v="2"/>
    <s v="Clallam"/>
    <x v="0"/>
    <s v="Strait of Juan de Fuca"/>
    <m/>
    <n v="9.5263157894736903"/>
    <n v="32.770526315789503"/>
  </r>
  <r>
    <n v="3364"/>
    <x v="11"/>
    <s v="Freshwater"/>
    <x v="1"/>
    <x v="0"/>
    <n v="844"/>
    <s v="Skykomish River"/>
    <s v="Skykomish River"/>
    <s v="Snohomish"/>
    <x v="2"/>
    <s v="Island"/>
    <x v="1"/>
    <s v="North Puget Sound"/>
    <m/>
    <n v="104.789473684211"/>
    <n v="360.47578947368601"/>
  </r>
  <r>
    <n v="3455"/>
    <x v="11"/>
    <s v="Freshwater"/>
    <x v="1"/>
    <x v="0"/>
    <n v="844"/>
    <s v="Skykomish River"/>
    <s v="Skykomish River"/>
    <s v="Snohomish"/>
    <x v="2"/>
    <s v="King"/>
    <x v="3"/>
    <s v="South Puget Sound"/>
    <m/>
    <n v="1009.78947368421"/>
    <n v="3473.6757894736802"/>
  </r>
  <r>
    <n v="1285"/>
    <x v="11"/>
    <s v="Freshwater"/>
    <x v="1"/>
    <x v="0"/>
    <n v="844"/>
    <s v="Skykomish River"/>
    <s v="Skykomish River"/>
    <s v="Snohomish"/>
    <x v="2"/>
    <s v="Other"/>
    <x v="6"/>
    <s v="Non Puget Sound"/>
    <m/>
    <n v="600.15789473684197"/>
    <n v="2064.54315789474"/>
  </r>
  <r>
    <n v="3515"/>
    <x v="11"/>
    <s v="Freshwater"/>
    <x v="1"/>
    <x v="0"/>
    <n v="844"/>
    <s v="Skykomish River"/>
    <s v="Skykomish River"/>
    <s v="Snohomish"/>
    <x v="2"/>
    <s v="Pierce"/>
    <x v="7"/>
    <s v="South Puget Sound"/>
    <m/>
    <n v="57.157894736842103"/>
    <n v="196.62315789473701"/>
  </r>
  <r>
    <n v="3273"/>
    <x v="11"/>
    <s v="Freshwater"/>
    <x v="1"/>
    <x v="0"/>
    <n v="844"/>
    <s v="Skykomish River"/>
    <s v="Skykomish River"/>
    <s v="Snohomish"/>
    <x v="2"/>
    <s v="Skagit"/>
    <x v="8"/>
    <s v="North Puget Sound"/>
    <m/>
    <n v="19.052631578947398"/>
    <n v="65.541052631579007"/>
  </r>
  <r>
    <n v="3298"/>
    <x v="11"/>
    <s v="Freshwater"/>
    <x v="1"/>
    <x v="0"/>
    <n v="844"/>
    <s v="Skykomish River"/>
    <s v="Skykomish River"/>
    <s v="Snohomish"/>
    <x v="2"/>
    <s v="Snohomish"/>
    <x v="9"/>
    <s v="North Puget Sound"/>
    <m/>
    <n v="1933.84210526316"/>
    <n v="6652.41684210527"/>
  </r>
  <r>
    <n v="3544"/>
    <x v="11"/>
    <s v="Freshwater"/>
    <x v="1"/>
    <x v="0"/>
    <n v="844"/>
    <s v="Skykomish River"/>
    <s v="Skykomish River"/>
    <s v="Snohomish"/>
    <x v="2"/>
    <s v="Thurston"/>
    <x v="10"/>
    <s v="South Puget Sound"/>
    <m/>
    <n v="19.052631578947398"/>
    <n v="65.541052631579007"/>
  </r>
  <r>
    <n v="3272"/>
    <x v="11"/>
    <s v="Freshwater"/>
    <x v="1"/>
    <x v="0"/>
    <n v="844"/>
    <s v="Skykomish River"/>
    <s v="Skykomish River"/>
    <s v="Snohomish"/>
    <x v="2"/>
    <s v="Whatcom"/>
    <x v="11"/>
    <s v="North Puget Sound"/>
    <m/>
    <n v="47.631578947368403"/>
    <n v="163.85263157894701"/>
  </r>
  <r>
    <n v="1289"/>
    <x v="11"/>
    <s v="Freshwater"/>
    <x v="1"/>
    <x v="0"/>
    <n v="850"/>
    <s v="Snohomish River"/>
    <s v="Snohomish River"/>
    <s v="Snohomish"/>
    <x v="2"/>
    <s v="Island"/>
    <x v="1"/>
    <s v="North Puget Sound"/>
    <m/>
    <n v="219.3412512546"/>
    <n v="754.53390431582397"/>
  </r>
  <r>
    <n v="1290"/>
    <x v="11"/>
    <s v="Freshwater"/>
    <x v="1"/>
    <x v="0"/>
    <n v="850"/>
    <s v="Snohomish River"/>
    <s v="Snohomish River"/>
    <s v="Snohomish"/>
    <x v="2"/>
    <s v="King"/>
    <x v="3"/>
    <s v="South Puget Sound"/>
    <m/>
    <n v="13080.714620274301"/>
    <n v="44997.658293743603"/>
  </r>
  <r>
    <n v="1429"/>
    <x v="11"/>
    <s v="Freshwater"/>
    <x v="1"/>
    <x v="0"/>
    <n v="850"/>
    <s v="Snohomish River"/>
    <s v="Snohomish River"/>
    <s v="Snohomish"/>
    <x v="2"/>
    <s v="Kitsap"/>
    <x v="4"/>
    <s v="South Puget Sound"/>
    <m/>
    <n v="279.16159250585503"/>
    <n v="960.31587822014103"/>
  </r>
  <r>
    <n v="1428"/>
    <x v="11"/>
    <s v="Freshwater"/>
    <x v="1"/>
    <x v="0"/>
    <n v="850"/>
    <s v="Snohomish River"/>
    <s v="Snohomish River"/>
    <s v="Snohomish"/>
    <x v="2"/>
    <s v="Mason"/>
    <x v="5"/>
    <s v="South Puget Sound"/>
    <m/>
    <n v="159.52091000334599"/>
    <n v="548.75193041150999"/>
  </r>
  <r>
    <n v="1430"/>
    <x v="11"/>
    <s v="Freshwater"/>
    <x v="1"/>
    <x v="0"/>
    <n v="850"/>
    <s v="Snohomish River"/>
    <s v="Snohomish River"/>
    <s v="Snohomish"/>
    <x v="2"/>
    <s v="Other"/>
    <x v="6"/>
    <s v="Non Puget Sound"/>
    <m/>
    <n v="2951.13683506189"/>
    <n v="10151.9107126129"/>
  </r>
  <r>
    <n v="1291"/>
    <x v="11"/>
    <s v="Freshwater"/>
    <x v="1"/>
    <x v="0"/>
    <n v="850"/>
    <s v="Snohomish River"/>
    <s v="Snohomish River"/>
    <s v="Snohomish"/>
    <x v="2"/>
    <s v="Pierce"/>
    <x v="7"/>
    <s v="South Puget Sound"/>
    <m/>
    <n v="299.10170625627302"/>
    <n v="1028.90986952158"/>
  </r>
  <r>
    <n v="1287"/>
    <x v="11"/>
    <s v="Freshwater"/>
    <x v="1"/>
    <x v="0"/>
    <n v="850"/>
    <s v="Snohomish River"/>
    <s v="Snohomish River"/>
    <s v="Snohomish"/>
    <x v="2"/>
    <s v="Skagit"/>
    <x v="8"/>
    <s v="North Puget Sound"/>
    <m/>
    <n v="358.92204750752802"/>
    <n v="1234.6918434259001"/>
  </r>
  <r>
    <n v="1288"/>
    <x v="11"/>
    <s v="Freshwater"/>
    <x v="1"/>
    <x v="0"/>
    <n v="850"/>
    <s v="Snohomish River"/>
    <s v="Snohomish River"/>
    <s v="Snohomish"/>
    <x v="2"/>
    <s v="Snohomish"/>
    <x v="9"/>
    <s v="North Puget Sound"/>
    <m/>
    <n v="42153.400468384098"/>
    <n v="145007.69761124099"/>
  </r>
  <r>
    <n v="1427"/>
    <x v="11"/>
    <s v="Freshwater"/>
    <x v="1"/>
    <x v="0"/>
    <n v="850"/>
    <s v="Snohomish River"/>
    <s v="Snohomish River"/>
    <s v="Snohomish"/>
    <x v="2"/>
    <s v="Thurston"/>
    <x v="10"/>
    <s v="South Puget Sound"/>
    <m/>
    <n v="59.820341251254597"/>
    <n v="205.781973904316"/>
  </r>
  <r>
    <n v="1286"/>
    <x v="11"/>
    <s v="Freshwater"/>
    <x v="1"/>
    <x v="0"/>
    <n v="850"/>
    <s v="Snohomish River"/>
    <s v="Snohomish River"/>
    <s v="Snohomish"/>
    <x v="2"/>
    <s v="Whatcom"/>
    <x v="11"/>
    <s v="North Puget Sound"/>
    <m/>
    <n v="39.880227500836398"/>
    <n v="137.18798260287701"/>
  </r>
  <r>
    <n v="48"/>
    <x v="11"/>
    <s v="Freshwater"/>
    <x v="1"/>
    <x v="0"/>
    <n v="852"/>
    <s v="Snoqualmie River"/>
    <s v="Snoqualmie River"/>
    <s v="Snohomish/King"/>
    <x v="2"/>
    <s v="King"/>
    <x v="3"/>
    <s v="South Puget Sound"/>
    <m/>
    <n v="4"/>
    <n v="13.76"/>
  </r>
  <r>
    <n v="1432"/>
    <x v="11"/>
    <s v="Freshwater"/>
    <x v="1"/>
    <x v="0"/>
    <n v="860"/>
    <s v="Wallace River"/>
    <s v="Wallace River"/>
    <s v="Snohomish"/>
    <x v="2"/>
    <s v="King"/>
    <x v="3"/>
    <s v="South Puget Sound"/>
    <m/>
    <n v="559.84782608695696"/>
    <n v="1925.8765217391301"/>
  </r>
  <r>
    <n v="1607"/>
    <x v="11"/>
    <s v="Freshwater"/>
    <x v="1"/>
    <x v="0"/>
    <n v="860"/>
    <s v="Wallace River"/>
    <s v="Wallace River"/>
    <s v="Snohomish"/>
    <x v="2"/>
    <s v="Other"/>
    <x v="6"/>
    <s v="Non Puget Sound"/>
    <m/>
    <n v="14.355072463768099"/>
    <n v="49.3814492753623"/>
  </r>
  <r>
    <n v="1433"/>
    <x v="11"/>
    <s v="Freshwater"/>
    <x v="1"/>
    <x v="0"/>
    <n v="860"/>
    <s v="Wallace River"/>
    <s v="Wallace River"/>
    <s v="Snohomish"/>
    <x v="2"/>
    <s v="Pierce"/>
    <x v="7"/>
    <s v="South Puget Sound"/>
    <m/>
    <n v="43.065217391304401"/>
    <n v="148.144347826087"/>
  </r>
  <r>
    <n v="1431"/>
    <x v="11"/>
    <s v="Freshwater"/>
    <x v="1"/>
    <x v="0"/>
    <n v="860"/>
    <s v="Wallace River"/>
    <s v="Wallace River"/>
    <s v="Snohomish"/>
    <x v="2"/>
    <s v="Snohomish"/>
    <x v="9"/>
    <s v="North Puget Sound"/>
    <m/>
    <n v="1335.02173913043"/>
    <n v="4592.4747826086796"/>
  </r>
  <r>
    <n v="1434"/>
    <x v="11"/>
    <s v="Freshwater"/>
    <x v="1"/>
    <x v="0"/>
    <n v="860"/>
    <s v="Wallace River"/>
    <s v="Wallace River"/>
    <s v="Snohomish"/>
    <x v="2"/>
    <s v="Thurston"/>
    <x v="10"/>
    <s v="South Puget Sound"/>
    <m/>
    <n v="28.710144927536199"/>
    <n v="98.762898550724501"/>
  </r>
  <r>
    <n v="1608"/>
    <x v="11"/>
    <s v="Freshwater"/>
    <x v="1"/>
    <x v="0"/>
    <n v="872"/>
    <s v="Stillaguamish River"/>
    <s v="Stillaguamish River"/>
    <s v="Snohomish"/>
    <x v="2"/>
    <s v="Snohomish"/>
    <x v="9"/>
    <s v="North Puget Sound"/>
    <m/>
    <n v="10"/>
    <n v="34.4"/>
  </r>
  <r>
    <n v="2989"/>
    <x v="11"/>
    <s v="Freshwater"/>
    <x v="1"/>
    <x v="0"/>
    <n v="884"/>
    <s v="Whatcom Creek"/>
    <s v="Whatcom Creek"/>
    <s v="Whatcom"/>
    <x v="1"/>
    <s v="Whatcom"/>
    <x v="11"/>
    <s v="North Puget Sound"/>
    <m/>
    <n v="28"/>
    <n v="96.32"/>
  </r>
  <r>
    <n v="2905"/>
    <x v="0"/>
    <s v="Freshwater"/>
    <x v="1"/>
    <x v="1"/>
    <n v="718"/>
    <s v="Clallam River"/>
    <s v="Clallam River"/>
    <s v="Clallam"/>
    <x v="0"/>
    <s v="Clallam"/>
    <x v="0"/>
    <s v="Strait of Juan de Fuca"/>
    <m/>
    <n v="16.210526315789501"/>
    <n v="138.437894736842"/>
  </r>
  <r>
    <n v="2906"/>
    <x v="0"/>
    <s v="Freshwater"/>
    <x v="1"/>
    <x v="1"/>
    <n v="718"/>
    <s v="Clallam River"/>
    <s v="Clallam River"/>
    <s v="Clallam"/>
    <x v="0"/>
    <s v="Other"/>
    <x v="6"/>
    <s v="Non Puget Sound"/>
    <m/>
    <n v="2.3157894736842102"/>
    <n v="19.776842105263199"/>
  </r>
  <r>
    <n v="2904"/>
    <x v="0"/>
    <s v="Freshwater"/>
    <x v="1"/>
    <x v="1"/>
    <n v="718"/>
    <s v="Clallam River"/>
    <s v="Clallam River"/>
    <s v="Clallam"/>
    <x v="0"/>
    <s v="Pierce"/>
    <x v="7"/>
    <s v="South Puget Sound"/>
    <m/>
    <n v="18.526315789473699"/>
    <n v="158.214736842105"/>
  </r>
  <r>
    <n v="2903"/>
    <x v="0"/>
    <s v="Freshwater"/>
    <x v="1"/>
    <x v="1"/>
    <n v="718"/>
    <s v="Clallam River"/>
    <s v="Clallam River"/>
    <s v="Clallam"/>
    <x v="0"/>
    <s v="Whatcom"/>
    <x v="11"/>
    <s v="North Puget Sound"/>
    <m/>
    <n v="6.9473684210526301"/>
    <n v="59.330526315789498"/>
  </r>
  <r>
    <n v="2907"/>
    <x v="0"/>
    <s v="Freshwater"/>
    <x v="1"/>
    <x v="1"/>
    <n v="726"/>
    <s v="Deep Creek (Clallam Co.)"/>
    <s v="Deep Creek (Clallam Co.)"/>
    <s v="Clallam"/>
    <x v="0"/>
    <s v="Clallam"/>
    <x v="0"/>
    <s v="Strait of Juan de Fuca"/>
    <m/>
    <n v="2"/>
    <n v="17.079999999999998"/>
  </r>
  <r>
    <n v="2908"/>
    <x v="0"/>
    <s v="Freshwater"/>
    <x v="1"/>
    <x v="1"/>
    <n v="738"/>
    <s v="Dungeness River"/>
    <s v="Dungeness River"/>
    <s v="Clallam"/>
    <x v="0"/>
    <s v="Clallam"/>
    <x v="0"/>
    <s v="Strait of Juan de Fuca"/>
    <m/>
    <n v="26"/>
    <n v="222.04"/>
  </r>
  <r>
    <n v="2911"/>
    <x v="0"/>
    <s v="Freshwater"/>
    <x v="1"/>
    <x v="1"/>
    <n v="742"/>
    <s v="Elwha River"/>
    <s v="Elwha River"/>
    <s v="Clallam"/>
    <x v="0"/>
    <s v="Clallam"/>
    <x v="0"/>
    <s v="Strait of Juan de Fuca"/>
    <m/>
    <n v="160.42253521126801"/>
    <n v="1370.00845070423"/>
  </r>
  <r>
    <n v="2910"/>
    <x v="0"/>
    <s v="Freshwater"/>
    <x v="1"/>
    <x v="1"/>
    <n v="742"/>
    <s v="Elwha River"/>
    <s v="Elwha River"/>
    <s v="Clallam"/>
    <x v="0"/>
    <s v="King"/>
    <x v="3"/>
    <s v="South Puget Sound"/>
    <m/>
    <n v="7.1830985915493004"/>
    <n v="61.343661971830997"/>
  </r>
  <r>
    <n v="2909"/>
    <x v="0"/>
    <s v="Freshwater"/>
    <x v="1"/>
    <x v="1"/>
    <n v="742"/>
    <s v="Elwha River"/>
    <s v="Elwha River"/>
    <s v="Clallam"/>
    <x v="0"/>
    <s v="Snohomish"/>
    <x v="9"/>
    <s v="North Puget Sound"/>
    <m/>
    <n v="2.3943661971830998"/>
    <n v="20.4478873239437"/>
  </r>
  <r>
    <n v="598"/>
    <x v="0"/>
    <s v="Freshwater"/>
    <x v="1"/>
    <x v="1"/>
    <n v="746"/>
    <s v="Green (Duwamish River) (King Co.)"/>
    <s v="Green - Duwamish River"/>
    <s v="King"/>
    <x v="3"/>
    <s v="King"/>
    <x v="3"/>
    <s v="South Puget Sound"/>
    <m/>
    <n v="396.29779411764702"/>
    <n v="3384.3831617647102"/>
  </r>
  <r>
    <n v="600"/>
    <x v="0"/>
    <s v="Freshwater"/>
    <x v="1"/>
    <x v="1"/>
    <n v="746"/>
    <s v="Green (Duwamish River) (King Co.)"/>
    <s v="Green - Duwamish River"/>
    <s v="King"/>
    <x v="3"/>
    <s v="Kitsap"/>
    <x v="4"/>
    <s v="South Puget Sound"/>
    <m/>
    <n v="3.90441176470588"/>
    <n v="33.3436764705882"/>
  </r>
  <r>
    <n v="601"/>
    <x v="0"/>
    <s v="Freshwater"/>
    <x v="1"/>
    <x v="1"/>
    <n v="746"/>
    <s v="Green (Duwamish River) (King Co.)"/>
    <s v="Green - Duwamish River"/>
    <s v="King"/>
    <x v="3"/>
    <s v="Other"/>
    <x v="6"/>
    <s v="Non Puget Sound"/>
    <m/>
    <n v="9.7610294117647101"/>
    <n v="83.359191176470603"/>
  </r>
  <r>
    <n v="599"/>
    <x v="0"/>
    <s v="Freshwater"/>
    <x v="1"/>
    <x v="1"/>
    <n v="746"/>
    <s v="Green (Duwamish River) (King Co.)"/>
    <s v="Green - Duwamish River"/>
    <s v="King"/>
    <x v="3"/>
    <s v="Pierce"/>
    <x v="7"/>
    <s v="South Puget Sound"/>
    <m/>
    <n v="111.27573529411799"/>
    <n v="950.29477941176799"/>
  </r>
  <r>
    <n v="597"/>
    <x v="0"/>
    <s v="Freshwater"/>
    <x v="1"/>
    <x v="1"/>
    <n v="746"/>
    <s v="Green (Duwamish River) (King Co.)"/>
    <s v="Green - Duwamish River"/>
    <s v="King"/>
    <x v="3"/>
    <s v="Snohomish"/>
    <x v="9"/>
    <s v="North Puget Sound"/>
    <m/>
    <n v="5.8566176470588296"/>
    <n v="50.015514705882403"/>
  </r>
  <r>
    <n v="596"/>
    <x v="0"/>
    <s v="Freshwater"/>
    <x v="1"/>
    <x v="1"/>
    <n v="746"/>
    <s v="Green (Duwamish River) (King Co.)"/>
    <s v="Green - Duwamish River"/>
    <s v="King"/>
    <x v="3"/>
    <s v="Whatcom"/>
    <x v="11"/>
    <s v="North Puget Sound"/>
    <m/>
    <n v="3.90441176470588"/>
    <n v="33.3436764705882"/>
  </r>
  <r>
    <n v="216"/>
    <x v="0"/>
    <s v="Freshwater"/>
    <x v="1"/>
    <x v="1"/>
    <n v="748"/>
    <s v="Soos Creek"/>
    <s v="Soos Creek"/>
    <s v="King"/>
    <x v="3"/>
    <s v="King"/>
    <x v="3"/>
    <s v="South Puget Sound"/>
    <m/>
    <n v="4"/>
    <n v="34.159999999999997"/>
  </r>
  <r>
    <n v="2925"/>
    <x v="0"/>
    <s v="Freshwater"/>
    <x v="1"/>
    <x v="1"/>
    <n v="752"/>
    <s v="Hoko River"/>
    <s v="Hoko River"/>
    <s v="Clallam"/>
    <x v="0"/>
    <s v="Clallam"/>
    <x v="0"/>
    <s v="Strait of Juan de Fuca"/>
    <m/>
    <n v="74.857142857142904"/>
    <n v="639.28"/>
  </r>
  <r>
    <n v="2920"/>
    <x v="0"/>
    <s v="Freshwater"/>
    <x v="1"/>
    <x v="1"/>
    <n v="752"/>
    <s v="Hoko River"/>
    <s v="Hoko River"/>
    <s v="Clallam"/>
    <x v="0"/>
    <s v="Island"/>
    <x v="1"/>
    <s v="North Puget Sound"/>
    <m/>
    <n v="14.035714285714301"/>
    <n v="119.86499999999999"/>
  </r>
  <r>
    <n v="2926"/>
    <x v="0"/>
    <s v="Freshwater"/>
    <x v="1"/>
    <x v="1"/>
    <n v="752"/>
    <s v="Hoko River"/>
    <s v="Hoko River"/>
    <s v="Clallam"/>
    <x v="0"/>
    <s v="Jefferson"/>
    <x v="2"/>
    <s v="Strait of Juan de Fuca"/>
    <m/>
    <n v="2.33928571428571"/>
    <n v="19.977499999999999"/>
  </r>
  <r>
    <n v="2921"/>
    <x v="0"/>
    <s v="Freshwater"/>
    <x v="1"/>
    <x v="1"/>
    <n v="752"/>
    <s v="Hoko River"/>
    <s v="Hoko River"/>
    <s v="Clallam"/>
    <x v="0"/>
    <s v="King"/>
    <x v="3"/>
    <s v="South Puget Sound"/>
    <m/>
    <n v="14.035714285714301"/>
    <n v="119.86499999999999"/>
  </r>
  <r>
    <n v="2924"/>
    <x v="0"/>
    <s v="Freshwater"/>
    <x v="1"/>
    <x v="1"/>
    <n v="752"/>
    <s v="Hoko River"/>
    <s v="Hoko River"/>
    <s v="Clallam"/>
    <x v="0"/>
    <s v="Kitsap"/>
    <x v="4"/>
    <s v="South Puget Sound"/>
    <m/>
    <n v="2.33928571428571"/>
    <n v="19.977499999999999"/>
  </r>
  <r>
    <n v="2927"/>
    <x v="0"/>
    <s v="Freshwater"/>
    <x v="1"/>
    <x v="1"/>
    <n v="752"/>
    <s v="Hoko River"/>
    <s v="Hoko River"/>
    <s v="Clallam"/>
    <x v="0"/>
    <s v="Other"/>
    <x v="6"/>
    <s v="Non Puget Sound"/>
    <m/>
    <n v="4.6785714285714297"/>
    <n v="39.954999999999998"/>
  </r>
  <r>
    <n v="2922"/>
    <x v="0"/>
    <s v="Freshwater"/>
    <x v="1"/>
    <x v="1"/>
    <n v="752"/>
    <s v="Hoko River"/>
    <s v="Hoko River"/>
    <s v="Clallam"/>
    <x v="0"/>
    <s v="Pierce"/>
    <x v="7"/>
    <s v="South Puget Sound"/>
    <m/>
    <n v="7.0178571428571397"/>
    <n v="59.932499999999997"/>
  </r>
  <r>
    <n v="2919"/>
    <x v="0"/>
    <s v="Freshwater"/>
    <x v="1"/>
    <x v="1"/>
    <n v="752"/>
    <s v="Hoko River"/>
    <s v="Hoko River"/>
    <s v="Clallam"/>
    <x v="0"/>
    <s v="Skagit"/>
    <x v="8"/>
    <s v="North Puget Sound"/>
    <m/>
    <n v="9.3571428571428594"/>
    <n v="79.91"/>
  </r>
  <r>
    <n v="2923"/>
    <x v="0"/>
    <s v="Freshwater"/>
    <x v="1"/>
    <x v="1"/>
    <n v="752"/>
    <s v="Hoko River"/>
    <s v="Hoko River"/>
    <s v="Clallam"/>
    <x v="0"/>
    <s v="Thurston"/>
    <x v="10"/>
    <s v="South Puget Sound"/>
    <m/>
    <n v="2.33928571428571"/>
    <n v="19.977499999999999"/>
  </r>
  <r>
    <n v="2933"/>
    <x v="0"/>
    <s v="Freshwater"/>
    <x v="1"/>
    <x v="1"/>
    <n v="768"/>
    <s v="Lyre River"/>
    <s v="Lyre River"/>
    <s v="Clallam"/>
    <x v="0"/>
    <s v="Clallam"/>
    <x v="0"/>
    <s v="Strait of Juan de Fuca"/>
    <m/>
    <n v="245.12315270936"/>
    <n v="2093.35172413793"/>
  </r>
  <r>
    <n v="2929"/>
    <x v="0"/>
    <s v="Freshwater"/>
    <x v="1"/>
    <x v="1"/>
    <n v="768"/>
    <s v="Lyre River"/>
    <s v="Lyre River"/>
    <s v="Clallam"/>
    <x v="0"/>
    <s v="Island"/>
    <x v="1"/>
    <s v="North Puget Sound"/>
    <m/>
    <n v="9.1921182266009893"/>
    <n v="78.500689655172394"/>
  </r>
  <r>
    <n v="2934"/>
    <x v="0"/>
    <s v="Freshwater"/>
    <x v="1"/>
    <x v="1"/>
    <n v="768"/>
    <s v="Lyre River"/>
    <s v="Lyre River"/>
    <s v="Clallam"/>
    <x v="0"/>
    <s v="Jefferson"/>
    <x v="2"/>
    <s v="Strait of Juan de Fuca"/>
    <m/>
    <n v="16.852216748768502"/>
    <n v="143.91793103448299"/>
  </r>
  <r>
    <n v="2930"/>
    <x v="0"/>
    <s v="Freshwater"/>
    <x v="1"/>
    <x v="1"/>
    <n v="768"/>
    <s v="Lyre River"/>
    <s v="Lyre River"/>
    <s v="Clallam"/>
    <x v="0"/>
    <s v="King"/>
    <x v="3"/>
    <s v="South Puget Sound"/>
    <m/>
    <n v="6.1280788177339902"/>
    <n v="52.333793103448301"/>
  </r>
  <r>
    <n v="2932"/>
    <x v="0"/>
    <s v="Freshwater"/>
    <x v="1"/>
    <x v="1"/>
    <n v="768"/>
    <s v="Lyre River"/>
    <s v="Lyre River"/>
    <s v="Clallam"/>
    <x v="0"/>
    <s v="Kitsap"/>
    <x v="4"/>
    <s v="South Puget Sound"/>
    <m/>
    <n v="4.5960591133004902"/>
    <n v="39.250344827586197"/>
  </r>
  <r>
    <n v="2931"/>
    <x v="0"/>
    <s v="Freshwater"/>
    <x v="1"/>
    <x v="1"/>
    <n v="768"/>
    <s v="Lyre River"/>
    <s v="Lyre River"/>
    <s v="Clallam"/>
    <x v="0"/>
    <s v="Mason"/>
    <x v="5"/>
    <s v="South Puget Sound"/>
    <m/>
    <n v="4.5960591133004902"/>
    <n v="39.250344827586197"/>
  </r>
  <r>
    <n v="2935"/>
    <x v="0"/>
    <s v="Freshwater"/>
    <x v="1"/>
    <x v="1"/>
    <n v="768"/>
    <s v="Lyre River"/>
    <s v="Lyre River"/>
    <s v="Clallam"/>
    <x v="0"/>
    <s v="Other"/>
    <x v="6"/>
    <s v="Non Puget Sound"/>
    <m/>
    <n v="22.980295566502502"/>
    <n v="196.25172413793101"/>
  </r>
  <r>
    <n v="2928"/>
    <x v="0"/>
    <s v="Freshwater"/>
    <x v="1"/>
    <x v="1"/>
    <n v="768"/>
    <s v="Lyre River"/>
    <s v="Lyre River"/>
    <s v="Clallam"/>
    <x v="0"/>
    <s v="Whatcom"/>
    <x v="11"/>
    <s v="North Puget Sound"/>
    <m/>
    <n v="1.5320197044335"/>
    <n v="13.0834482758621"/>
  </r>
  <r>
    <n v="2936"/>
    <x v="0"/>
    <s v="Freshwater"/>
    <x v="1"/>
    <x v="1"/>
    <n v="782"/>
    <s v="Morse Creek (Clallam Co.)"/>
    <s v="Morse Creek (Clallam Co.)"/>
    <s v="Clallam"/>
    <x v="0"/>
    <s v="Clallam"/>
    <x v="0"/>
    <s v="Strait of Juan de Fuca"/>
    <m/>
    <n v="14"/>
    <n v="119.56"/>
  </r>
  <r>
    <n v="2990"/>
    <x v="0"/>
    <s v="Freshwater"/>
    <x v="1"/>
    <x v="1"/>
    <n v="790"/>
    <s v="Nooksack River, No. Fork"/>
    <s v="Nooksack River, No. Fork"/>
    <s v="Whatcom"/>
    <x v="1"/>
    <s v="Whatcom"/>
    <x v="11"/>
    <s v="North Puget Sound"/>
    <m/>
    <n v="74"/>
    <n v="631.96"/>
  </r>
  <r>
    <n v="2999"/>
    <x v="0"/>
    <s v="Freshwater"/>
    <x v="1"/>
    <x v="1"/>
    <n v="792"/>
    <s v="Nooksack River, So. Fork"/>
    <s v="Nooksack River, So. Fork"/>
    <s v="Whatcom"/>
    <x v="1"/>
    <s v="Clallam"/>
    <x v="0"/>
    <s v="Strait of Juan de Fuca"/>
    <m/>
    <n v="2.4285714285714302"/>
    <n v="20.74"/>
  </r>
  <r>
    <n v="2991"/>
    <x v="0"/>
    <s v="Freshwater"/>
    <x v="1"/>
    <x v="1"/>
    <n v="792"/>
    <s v="Nooksack River, So. Fork"/>
    <s v="Nooksack River, So. Fork"/>
    <s v="Whatcom"/>
    <x v="1"/>
    <s v="Whatcom"/>
    <x v="11"/>
    <s v="North Puget Sound"/>
    <m/>
    <n v="14.5714285714286"/>
    <n v="124.44"/>
  </r>
  <r>
    <n v="3000"/>
    <x v="0"/>
    <s v="Freshwater"/>
    <x v="1"/>
    <x v="1"/>
    <n v="794"/>
    <s v="Nooksack River, below North Fork"/>
    <s v="Nooksack River, below North Fork"/>
    <s v="Whatcom"/>
    <x v="1"/>
    <s v="Whatcom"/>
    <x v="11"/>
    <s v="North Puget Sound"/>
    <m/>
    <n v="19"/>
    <n v="162.26"/>
  </r>
  <r>
    <n v="984"/>
    <x v="0"/>
    <s v="Freshwater"/>
    <x v="1"/>
    <x v="1"/>
    <n v="802"/>
    <s v="Carbon River"/>
    <s v="Carbon River"/>
    <s v="Pierce"/>
    <x v="3"/>
    <s v="Other"/>
    <x v="6"/>
    <s v="Non Puget Sound"/>
    <m/>
    <n v="2.3333333333333299"/>
    <n v="19.926666666666598"/>
  </r>
  <r>
    <n v="983"/>
    <x v="0"/>
    <s v="Freshwater"/>
    <x v="1"/>
    <x v="1"/>
    <n v="802"/>
    <s v="Carbon River"/>
    <s v="Carbon River"/>
    <s v="Pierce"/>
    <x v="3"/>
    <s v="Pierce"/>
    <x v="7"/>
    <s v="South Puget Sound"/>
    <m/>
    <n v="4.6666666666666696"/>
    <n v="39.853333333333403"/>
  </r>
  <r>
    <n v="985"/>
    <x v="0"/>
    <s v="Freshwater"/>
    <x v="1"/>
    <x v="1"/>
    <n v="804"/>
    <s v="Puyallup River"/>
    <s v="Puyallup River"/>
    <s v="Pierce"/>
    <x v="3"/>
    <s v="Pierce"/>
    <x v="7"/>
    <s v="South Puget Sound"/>
    <m/>
    <n v="16"/>
    <n v="136.63999999999999"/>
  </r>
  <r>
    <n v="986"/>
    <x v="0"/>
    <s v="Freshwater"/>
    <x v="1"/>
    <x v="1"/>
    <n v="808"/>
    <s v="White (Stuck) River"/>
    <s v="White (Stuck) River"/>
    <s v="Pierce"/>
    <x v="3"/>
    <s v="Other"/>
    <x v="6"/>
    <s v="Non Puget Sound"/>
    <m/>
    <n v="24"/>
    <n v="204.96"/>
  </r>
  <r>
    <n v="2946"/>
    <x v="0"/>
    <s v="Freshwater"/>
    <x v="1"/>
    <x v="1"/>
    <n v="810"/>
    <s v="Pysht River"/>
    <s v="Pysht River"/>
    <s v="Clallam"/>
    <x v="0"/>
    <s v="Clallam"/>
    <x v="0"/>
    <s v="Strait of Juan de Fuca"/>
    <m/>
    <n v="16.625"/>
    <n v="141.97749999999999"/>
  </r>
  <r>
    <n v="2945"/>
    <x v="0"/>
    <s v="Freshwater"/>
    <x v="1"/>
    <x v="1"/>
    <n v="810"/>
    <s v="Pysht River"/>
    <s v="Pysht River"/>
    <s v="Clallam"/>
    <x v="0"/>
    <s v="Island"/>
    <x v="1"/>
    <s v="North Puget Sound"/>
    <m/>
    <n v="2.375"/>
    <n v="20.282499999999999"/>
  </r>
  <r>
    <n v="2947"/>
    <x v="0"/>
    <s v="Freshwater"/>
    <x v="1"/>
    <x v="1"/>
    <n v="814"/>
    <s v="Salt Creek (Clallam Co.)"/>
    <s v="Salt Creek (Clallam Co.)"/>
    <s v="Clallam"/>
    <x v="0"/>
    <s v="Clallam"/>
    <x v="0"/>
    <s v="Strait of Juan de Fuca"/>
    <m/>
    <n v="2"/>
    <n v="17.079999999999998"/>
  </r>
  <r>
    <n v="1829"/>
    <x v="0"/>
    <s v="Freshwater"/>
    <x v="1"/>
    <x v="1"/>
    <n v="816"/>
    <s v="Samish River"/>
    <s v="Samish River"/>
    <s v="Skagit"/>
    <x v="1"/>
    <s v="King"/>
    <x v="3"/>
    <s v="South Puget Sound"/>
    <m/>
    <n v="2"/>
    <n v="17.079999999999998"/>
  </r>
  <r>
    <n v="2950"/>
    <x v="0"/>
    <s v="Freshwater"/>
    <x v="1"/>
    <x v="1"/>
    <n v="818"/>
    <s v="Sekiu River"/>
    <s v="Sekiu River"/>
    <s v="Clallam"/>
    <x v="0"/>
    <s v="Clallam"/>
    <x v="0"/>
    <s v="Strait of Juan de Fuca"/>
    <m/>
    <n v="15.75"/>
    <n v="134.505"/>
  </r>
  <r>
    <n v="2949"/>
    <x v="0"/>
    <s v="Freshwater"/>
    <x v="1"/>
    <x v="1"/>
    <n v="818"/>
    <s v="Sekiu River"/>
    <s v="Sekiu River"/>
    <s v="Clallam"/>
    <x v="0"/>
    <s v="King"/>
    <x v="3"/>
    <s v="South Puget Sound"/>
    <m/>
    <n v="2.25"/>
    <n v="19.215"/>
  </r>
  <r>
    <n v="1833"/>
    <x v="0"/>
    <s v="Freshwater"/>
    <x v="1"/>
    <x v="1"/>
    <n v="826"/>
    <s v="Cascade River"/>
    <s v="Cascade River"/>
    <s v="Skagit"/>
    <x v="1"/>
    <s v="Island"/>
    <x v="1"/>
    <s v="North Puget Sound"/>
    <m/>
    <n v="27.725321888412001"/>
    <n v="236.774248927038"/>
  </r>
  <r>
    <n v="1835"/>
    <x v="0"/>
    <s v="Freshwater"/>
    <x v="1"/>
    <x v="1"/>
    <n v="826"/>
    <s v="Cascade River"/>
    <s v="Cascade River"/>
    <s v="Skagit"/>
    <x v="1"/>
    <s v="King"/>
    <x v="3"/>
    <s v="South Puget Sound"/>
    <m/>
    <n v="19.4077253218884"/>
    <n v="165.74197424892699"/>
  </r>
  <r>
    <n v="1837"/>
    <x v="0"/>
    <s v="Freshwater"/>
    <x v="1"/>
    <x v="1"/>
    <n v="826"/>
    <s v="Cascade River"/>
    <s v="Cascade River"/>
    <s v="Skagit"/>
    <x v="1"/>
    <s v="Other"/>
    <x v="6"/>
    <s v="Non Puget Sound"/>
    <m/>
    <n v="11.0901287553648"/>
    <n v="94.709699570815403"/>
  </r>
  <r>
    <n v="1836"/>
    <x v="0"/>
    <s v="Freshwater"/>
    <x v="1"/>
    <x v="1"/>
    <n v="826"/>
    <s v="Cascade River"/>
    <s v="Cascade River"/>
    <s v="Skagit"/>
    <x v="1"/>
    <s v="Pierce"/>
    <x v="7"/>
    <s v="South Puget Sound"/>
    <m/>
    <n v="8.3175965665236102"/>
    <n v="71.032274678111605"/>
  </r>
  <r>
    <n v="1834"/>
    <x v="0"/>
    <s v="Freshwater"/>
    <x v="1"/>
    <x v="1"/>
    <n v="826"/>
    <s v="Cascade River"/>
    <s v="Cascade River"/>
    <s v="Skagit"/>
    <x v="1"/>
    <s v="San Juan"/>
    <x v="12"/>
    <s v="North Puget Sound"/>
    <m/>
    <n v="30.497854077253201"/>
    <n v="260.45167381974198"/>
  </r>
  <r>
    <n v="1831"/>
    <x v="0"/>
    <s v="Freshwater"/>
    <x v="1"/>
    <x v="1"/>
    <n v="826"/>
    <s v="Cascade River"/>
    <s v="Cascade River"/>
    <s v="Skagit"/>
    <x v="1"/>
    <s v="Skagit"/>
    <x v="8"/>
    <s v="North Puget Sound"/>
    <m/>
    <n v="249.52789699570801"/>
    <n v="2130.9682403433499"/>
  </r>
  <r>
    <n v="1832"/>
    <x v="0"/>
    <s v="Freshwater"/>
    <x v="1"/>
    <x v="1"/>
    <n v="826"/>
    <s v="Cascade River"/>
    <s v="Cascade River"/>
    <s v="Skagit"/>
    <x v="1"/>
    <s v="Snohomish"/>
    <x v="9"/>
    <s v="North Puget Sound"/>
    <m/>
    <n v="194.07725321888401"/>
    <n v="1657.41974248927"/>
  </r>
  <r>
    <n v="1830"/>
    <x v="0"/>
    <s v="Freshwater"/>
    <x v="1"/>
    <x v="1"/>
    <n v="826"/>
    <s v="Cascade River"/>
    <s v="Cascade River"/>
    <s v="Skagit"/>
    <x v="1"/>
    <s v="Whatcom"/>
    <x v="11"/>
    <s v="North Puget Sound"/>
    <m/>
    <n v="105.35622317596599"/>
    <n v="899.74214592274996"/>
  </r>
  <r>
    <n v="2132"/>
    <x v="0"/>
    <s v="Freshwater"/>
    <x v="1"/>
    <x v="1"/>
    <n v="828"/>
    <s v="Sauk River"/>
    <s v="Sauk River"/>
    <s v="Skagit/Snohomish"/>
    <x v="2"/>
    <s v="Other"/>
    <x v="6"/>
    <s v="Non Puget Sound"/>
    <m/>
    <n v="3.6666666666666701"/>
    <n v="31.3133333333334"/>
  </r>
  <r>
    <n v="2131"/>
    <x v="0"/>
    <s v="Freshwater"/>
    <x v="1"/>
    <x v="1"/>
    <n v="828"/>
    <s v="Sauk River"/>
    <s v="Sauk River"/>
    <s v="Skagit/Snohomish"/>
    <x v="2"/>
    <s v="Snohomish"/>
    <x v="9"/>
    <s v="North Puget Sound"/>
    <m/>
    <n v="7.3333333333333401"/>
    <n v="62.626666666666701"/>
  </r>
  <r>
    <n v="3021"/>
    <x v="0"/>
    <s v="Freshwater"/>
    <x v="1"/>
    <x v="1"/>
    <n v="830"/>
    <s v="Skagit River"/>
    <s v="Skagit River"/>
    <s v="Skagit/Whatcom"/>
    <x v="2"/>
    <s v="King"/>
    <x v="3"/>
    <s v="South Puget Sound"/>
    <m/>
    <n v="7.90243902439025"/>
    <n v="67.486829268292695"/>
  </r>
  <r>
    <n v="3057"/>
    <x v="0"/>
    <s v="Freshwater"/>
    <x v="1"/>
    <x v="1"/>
    <n v="830"/>
    <s v="Skagit River"/>
    <s v="Skagit River"/>
    <s v="Skagit/Whatcom"/>
    <x v="2"/>
    <s v="Other"/>
    <x v="6"/>
    <s v="Non Puget Sound"/>
    <m/>
    <n v="13.170731707317101"/>
    <n v="112.478048780488"/>
  </r>
  <r>
    <n v="2939"/>
    <x v="0"/>
    <s v="Freshwater"/>
    <x v="1"/>
    <x v="1"/>
    <n v="830"/>
    <s v="Skagit River"/>
    <s v="Skagit River"/>
    <s v="Skagit/Whatcom"/>
    <x v="2"/>
    <s v="Skagit"/>
    <x v="8"/>
    <s v="North Puget Sound"/>
    <m/>
    <n v="63.219512195122"/>
    <n v="539.89463414634201"/>
  </r>
  <r>
    <n v="2940"/>
    <x v="0"/>
    <s v="Freshwater"/>
    <x v="1"/>
    <x v="1"/>
    <n v="830"/>
    <s v="Skagit River"/>
    <s v="Skagit River"/>
    <s v="Skagit/Whatcom"/>
    <x v="2"/>
    <s v="Snohomish"/>
    <x v="9"/>
    <s v="North Puget Sound"/>
    <m/>
    <n v="18.439024390243901"/>
    <n v="157.46926829268301"/>
  </r>
  <r>
    <n v="2938"/>
    <x v="0"/>
    <s v="Freshwater"/>
    <x v="1"/>
    <x v="1"/>
    <n v="830"/>
    <s v="Skagit River"/>
    <s v="Skagit River"/>
    <s v="Skagit/Whatcom"/>
    <x v="2"/>
    <s v="Whatcom"/>
    <x v="11"/>
    <s v="North Puget Sound"/>
    <m/>
    <n v="5.2682926829268304"/>
    <n v="44.991219512195102"/>
  </r>
  <r>
    <n v="1610"/>
    <x v="0"/>
    <s v="Freshwater"/>
    <x v="1"/>
    <x v="1"/>
    <n v="840"/>
    <s v="Pilchuck River (Snohomish System)"/>
    <s v="Pilchuck River (Snohomish System)"/>
    <s v="Snohomish"/>
    <x v="2"/>
    <s v="King"/>
    <x v="3"/>
    <s v="South Puget Sound"/>
    <m/>
    <n v="2.19354838709677"/>
    <n v="18.7329032258064"/>
  </r>
  <r>
    <n v="1611"/>
    <x v="0"/>
    <s v="Freshwater"/>
    <x v="1"/>
    <x v="1"/>
    <n v="840"/>
    <s v="Pilchuck River (Snohomish System)"/>
    <s v="Pilchuck River (Snohomish System)"/>
    <s v="Snohomish"/>
    <x v="2"/>
    <s v="Pierce"/>
    <x v="7"/>
    <s v="South Puget Sound"/>
    <m/>
    <n v="2.19354838709677"/>
    <n v="18.7329032258064"/>
  </r>
  <r>
    <n v="1609"/>
    <x v="0"/>
    <s v="Freshwater"/>
    <x v="1"/>
    <x v="1"/>
    <n v="840"/>
    <s v="Pilchuck River (Snohomish System)"/>
    <s v="Pilchuck River (Snohomish System)"/>
    <s v="Snohomish"/>
    <x v="2"/>
    <s v="Snohomish"/>
    <x v="9"/>
    <s v="North Puget Sound"/>
    <m/>
    <n v="63.612903225806498"/>
    <n v="543.25419354838698"/>
  </r>
  <r>
    <n v="218"/>
    <x v="0"/>
    <s v="Freshwater"/>
    <x v="1"/>
    <x v="1"/>
    <n v="842"/>
    <s v="Raging River"/>
    <s v="Raging River"/>
    <s v="King"/>
    <x v="3"/>
    <s v="King"/>
    <x v="3"/>
    <s v="South Puget Sound"/>
    <m/>
    <n v="26.428571428571399"/>
    <n v="225.7"/>
  </r>
  <r>
    <n v="219"/>
    <x v="0"/>
    <s v="Freshwater"/>
    <x v="1"/>
    <x v="1"/>
    <n v="842"/>
    <s v="Raging River"/>
    <s v="Raging River"/>
    <s v="King"/>
    <x v="3"/>
    <s v="Pierce"/>
    <x v="7"/>
    <s v="South Puget Sound"/>
    <m/>
    <n v="5.28571428571429"/>
    <n v="45.14"/>
  </r>
  <r>
    <n v="217"/>
    <x v="0"/>
    <s v="Freshwater"/>
    <x v="1"/>
    <x v="1"/>
    <n v="842"/>
    <s v="Raging River"/>
    <s v="Raging River"/>
    <s v="King"/>
    <x v="3"/>
    <s v="Snohomish"/>
    <x v="9"/>
    <s v="North Puget Sound"/>
    <m/>
    <n v="5.28571428571429"/>
    <n v="45.14"/>
  </r>
  <r>
    <n v="1768"/>
    <x v="0"/>
    <s v="Freshwater"/>
    <x v="1"/>
    <x v="1"/>
    <n v="844"/>
    <s v="Skykomish River"/>
    <s v="Skykomish River"/>
    <s v="Snohomish"/>
    <x v="2"/>
    <s v="Island"/>
    <x v="1"/>
    <s v="North Puget Sound"/>
    <m/>
    <n v="12.944711538461499"/>
    <n v="110.547836538461"/>
  </r>
  <r>
    <n v="1769"/>
    <x v="0"/>
    <s v="Freshwater"/>
    <x v="1"/>
    <x v="1"/>
    <n v="844"/>
    <s v="Skykomish River"/>
    <s v="Skykomish River"/>
    <s v="Snohomish"/>
    <x v="2"/>
    <s v="King"/>
    <x v="3"/>
    <s v="South Puget Sound"/>
    <m/>
    <n v="1177.96875"/>
    <n v="10059.853125"/>
  </r>
  <r>
    <n v="1772"/>
    <x v="0"/>
    <s v="Freshwater"/>
    <x v="1"/>
    <x v="1"/>
    <n v="844"/>
    <s v="Skykomish River"/>
    <s v="Skykomish River"/>
    <s v="Snohomish"/>
    <x v="2"/>
    <s v="Other"/>
    <x v="6"/>
    <s v="Non Puget Sound"/>
    <m/>
    <n v="54.367788461538503"/>
    <n v="464.30091346153898"/>
  </r>
  <r>
    <n v="1770"/>
    <x v="0"/>
    <s v="Freshwater"/>
    <x v="1"/>
    <x v="1"/>
    <n v="844"/>
    <s v="Skykomish River"/>
    <s v="Skykomish River"/>
    <s v="Snohomish"/>
    <x v="2"/>
    <s v="Pierce"/>
    <x v="7"/>
    <s v="South Puget Sound"/>
    <m/>
    <n v="28.478365384615401"/>
    <n v="243.20524038461599"/>
  </r>
  <r>
    <n v="1613"/>
    <x v="0"/>
    <s v="Freshwater"/>
    <x v="1"/>
    <x v="1"/>
    <n v="844"/>
    <s v="Skykomish River"/>
    <s v="Skykomish River"/>
    <s v="Snohomish"/>
    <x v="2"/>
    <s v="Skagit"/>
    <x v="8"/>
    <s v="North Puget Sound"/>
    <m/>
    <n v="18.122596153846199"/>
    <n v="154.76697115384701"/>
  </r>
  <r>
    <n v="1614"/>
    <x v="0"/>
    <s v="Freshwater"/>
    <x v="1"/>
    <x v="1"/>
    <n v="844"/>
    <s v="Skykomish River"/>
    <s v="Skykomish River"/>
    <s v="Snohomish"/>
    <x v="2"/>
    <s v="Snohomish"/>
    <x v="9"/>
    <s v="North Puget Sound"/>
    <m/>
    <n v="1928.76201923077"/>
    <n v="16471.627644230801"/>
  </r>
  <r>
    <n v="1771"/>
    <x v="0"/>
    <s v="Freshwater"/>
    <x v="1"/>
    <x v="1"/>
    <n v="844"/>
    <s v="Skykomish River"/>
    <s v="Skykomish River"/>
    <s v="Snohomish"/>
    <x v="2"/>
    <s v="Thurston"/>
    <x v="10"/>
    <s v="South Puget Sound"/>
    <m/>
    <n v="5.1778846153846203"/>
    <n v="44.219134615384696"/>
  </r>
  <r>
    <n v="1612"/>
    <x v="0"/>
    <s v="Freshwater"/>
    <x v="1"/>
    <x v="1"/>
    <n v="844"/>
    <s v="Skykomish River"/>
    <s v="Skykomish River"/>
    <s v="Snohomish"/>
    <x v="2"/>
    <s v="Whatcom"/>
    <x v="11"/>
    <s v="North Puget Sound"/>
    <m/>
    <n v="5.1778846153846203"/>
    <n v="44.219134615384696"/>
  </r>
  <r>
    <n v="1774"/>
    <x v="0"/>
    <s v="Freshwater"/>
    <x v="1"/>
    <x v="1"/>
    <n v="846"/>
    <s v="Skykomish River, No. Fork"/>
    <s v="Skykomish River, No. Fork"/>
    <s v="Snohomish"/>
    <x v="2"/>
    <s v="King"/>
    <x v="3"/>
    <s v="South Puget Sound"/>
    <m/>
    <n v="21.846153846153801"/>
    <n v="186.56615384615299"/>
  </r>
  <r>
    <n v="1942"/>
    <x v="0"/>
    <s v="Freshwater"/>
    <x v="1"/>
    <x v="1"/>
    <n v="846"/>
    <s v="Skykomish River, No. Fork"/>
    <s v="Skykomish River, No. Fork"/>
    <s v="Snohomish"/>
    <x v="2"/>
    <s v="Other"/>
    <x v="6"/>
    <s v="Non Puget Sound"/>
    <m/>
    <n v="5.4615384615384599"/>
    <n v="46.641538461538403"/>
  </r>
  <r>
    <n v="1775"/>
    <x v="0"/>
    <s v="Freshwater"/>
    <x v="1"/>
    <x v="1"/>
    <n v="846"/>
    <s v="Skykomish River, No. Fork"/>
    <s v="Skykomish River, No. Fork"/>
    <s v="Snohomish"/>
    <x v="2"/>
    <s v="Pierce"/>
    <x v="7"/>
    <s v="South Puget Sound"/>
    <m/>
    <n v="2.7307692307692299"/>
    <n v="23.320769230769201"/>
  </r>
  <r>
    <n v="1773"/>
    <x v="0"/>
    <s v="Freshwater"/>
    <x v="1"/>
    <x v="1"/>
    <n v="846"/>
    <s v="Skykomish River, No. Fork"/>
    <s v="Skykomish River, No. Fork"/>
    <s v="Snohomish"/>
    <x v="2"/>
    <s v="Snohomish"/>
    <x v="9"/>
    <s v="North Puget Sound"/>
    <m/>
    <n v="40.961538461538503"/>
    <n v="349.81153846153899"/>
  </r>
  <r>
    <n v="50"/>
    <x v="0"/>
    <s v="Freshwater"/>
    <x v="1"/>
    <x v="1"/>
    <n v="848"/>
    <s v="Skykomish River, So. Fork"/>
    <s v="Skykomish River, So. Fork"/>
    <s v="Snohomish/King"/>
    <x v="2"/>
    <s v="King"/>
    <x v="3"/>
    <s v="South Puget Sound"/>
    <m/>
    <n v="5.3333333333333304"/>
    <n v="45.546666666666603"/>
  </r>
  <r>
    <n v="52"/>
    <x v="0"/>
    <s v="Freshwater"/>
    <x v="1"/>
    <x v="1"/>
    <n v="848"/>
    <s v="Skykomish River, So. Fork"/>
    <s v="Skykomish River, So. Fork"/>
    <s v="Snohomish/King"/>
    <x v="2"/>
    <s v="Other"/>
    <x v="6"/>
    <s v="Non Puget Sound"/>
    <m/>
    <n v="2.6666666666666701"/>
    <n v="22.773333333333401"/>
  </r>
  <r>
    <n v="51"/>
    <x v="0"/>
    <s v="Freshwater"/>
    <x v="1"/>
    <x v="1"/>
    <n v="848"/>
    <s v="Skykomish River, So. Fork"/>
    <s v="Skykomish River, So. Fork"/>
    <s v="Snohomish/King"/>
    <x v="2"/>
    <s v="Pierce"/>
    <x v="7"/>
    <s v="South Puget Sound"/>
    <m/>
    <n v="5.3333333333333304"/>
    <n v="45.546666666666603"/>
  </r>
  <r>
    <n v="49"/>
    <x v="0"/>
    <s v="Freshwater"/>
    <x v="1"/>
    <x v="1"/>
    <n v="848"/>
    <s v="Skykomish River, So. Fork"/>
    <s v="Skykomish River, So. Fork"/>
    <s v="Snohomish/King"/>
    <x v="2"/>
    <s v="Snohomish"/>
    <x v="9"/>
    <s v="North Puget Sound"/>
    <m/>
    <n v="10.6666666666667"/>
    <n v="91.093333333333604"/>
  </r>
  <r>
    <n v="1944"/>
    <x v="0"/>
    <s v="Freshwater"/>
    <x v="1"/>
    <x v="1"/>
    <n v="850"/>
    <s v="Snohomish River"/>
    <s v="Snohomish River"/>
    <s v="Snohomish"/>
    <x v="2"/>
    <s v="Island"/>
    <x v="1"/>
    <s v="North Puget Sound"/>
    <m/>
    <n v="2.6687898089172002"/>
    <n v="22.791464968152901"/>
  </r>
  <r>
    <n v="1945"/>
    <x v="0"/>
    <s v="Freshwater"/>
    <x v="1"/>
    <x v="1"/>
    <n v="850"/>
    <s v="Snohomish River"/>
    <s v="Snohomish River"/>
    <s v="Snohomish"/>
    <x v="2"/>
    <s v="King"/>
    <x v="3"/>
    <s v="South Puget Sound"/>
    <m/>
    <n v="21.350318471337602"/>
    <n v="182.33171974522301"/>
  </r>
  <r>
    <n v="1946"/>
    <x v="0"/>
    <s v="Freshwater"/>
    <x v="1"/>
    <x v="1"/>
    <n v="850"/>
    <s v="Snohomish River"/>
    <s v="Snohomish River"/>
    <s v="Snohomish"/>
    <x v="2"/>
    <s v="Other"/>
    <x v="6"/>
    <s v="Non Puget Sound"/>
    <m/>
    <n v="8.0063694267515899"/>
    <n v="68.374394904458597"/>
  </r>
  <r>
    <n v="1943"/>
    <x v="0"/>
    <s v="Freshwater"/>
    <x v="1"/>
    <x v="1"/>
    <n v="850"/>
    <s v="Snohomish River"/>
    <s v="Snohomish River"/>
    <s v="Snohomish"/>
    <x v="2"/>
    <s v="Snohomish"/>
    <x v="9"/>
    <s v="North Puget Sound"/>
    <m/>
    <n v="386.97452229299398"/>
    <n v="3304.7624203821701"/>
  </r>
  <r>
    <n v="54"/>
    <x v="0"/>
    <s v="Freshwater"/>
    <x v="1"/>
    <x v="1"/>
    <n v="852"/>
    <s v="Snoqualmie River"/>
    <s v="Snoqualmie River"/>
    <s v="Snohomish/King"/>
    <x v="2"/>
    <s v="Island"/>
    <x v="1"/>
    <s v="North Puget Sound"/>
    <m/>
    <n v="2.4073107049608402"/>
    <n v="20.558433420365599"/>
  </r>
  <r>
    <n v="55"/>
    <x v="0"/>
    <s v="Freshwater"/>
    <x v="1"/>
    <x v="1"/>
    <n v="852"/>
    <s v="Snoqualmie River"/>
    <s v="Snoqualmie River"/>
    <s v="Snohomish/King"/>
    <x v="2"/>
    <s v="King"/>
    <x v="3"/>
    <s v="South Puget Sound"/>
    <m/>
    <n v="844.96605744125304"/>
    <n v="7216.0101305483004"/>
  </r>
  <r>
    <n v="58"/>
    <x v="0"/>
    <s v="Freshwater"/>
    <x v="1"/>
    <x v="1"/>
    <n v="852"/>
    <s v="Snoqualmie River"/>
    <s v="Snoqualmie River"/>
    <s v="Snohomish/King"/>
    <x v="2"/>
    <s v="Kitsap"/>
    <x v="4"/>
    <s v="South Puget Sound"/>
    <m/>
    <n v="2.4073107049608402"/>
    <n v="20.558433420365599"/>
  </r>
  <r>
    <n v="59"/>
    <x v="0"/>
    <s v="Freshwater"/>
    <x v="1"/>
    <x v="1"/>
    <n v="852"/>
    <s v="Snoqualmie River"/>
    <s v="Snoqualmie River"/>
    <s v="Snohomish/King"/>
    <x v="2"/>
    <s v="Other"/>
    <x v="6"/>
    <s v="Non Puget Sound"/>
    <m/>
    <n v="16.851174934725901"/>
    <n v="143.90903394255901"/>
  </r>
  <r>
    <n v="56"/>
    <x v="0"/>
    <s v="Freshwater"/>
    <x v="1"/>
    <x v="1"/>
    <n v="852"/>
    <s v="Snoqualmie River"/>
    <s v="Snoqualmie River"/>
    <s v="Snohomish/King"/>
    <x v="2"/>
    <s v="Pierce"/>
    <x v="7"/>
    <s v="South Puget Sound"/>
    <m/>
    <n v="19.2584856396867"/>
    <n v="164.467467362924"/>
  </r>
  <r>
    <n v="53"/>
    <x v="0"/>
    <s v="Freshwater"/>
    <x v="1"/>
    <x v="1"/>
    <n v="852"/>
    <s v="Snoqualmie River"/>
    <s v="Snoqualmie River"/>
    <s v="Snohomish/King"/>
    <x v="2"/>
    <s v="Snohomish"/>
    <x v="9"/>
    <s v="North Puget Sound"/>
    <m/>
    <n v="31.295039164490898"/>
    <n v="267.25963446475203"/>
  </r>
  <r>
    <n v="57"/>
    <x v="0"/>
    <s v="Freshwater"/>
    <x v="1"/>
    <x v="1"/>
    <n v="852"/>
    <s v="Snoqualmie River"/>
    <s v="Snoqualmie River"/>
    <s v="Snohomish/King"/>
    <x v="2"/>
    <s v="Thurston"/>
    <x v="10"/>
    <s v="South Puget Sound"/>
    <m/>
    <n v="4.8146214099216698"/>
    <n v="41.116866840731099"/>
  </r>
  <r>
    <n v="1948"/>
    <x v="0"/>
    <s v="Freshwater"/>
    <x v="1"/>
    <x v="1"/>
    <n v="854"/>
    <s v="Sultan River"/>
    <s v="Sultan River"/>
    <s v="Snohomish"/>
    <x v="2"/>
    <s v="King"/>
    <x v="3"/>
    <s v="South Puget Sound"/>
    <m/>
    <n v="8.4"/>
    <n v="71.736000000000004"/>
  </r>
  <r>
    <n v="1949"/>
    <x v="0"/>
    <s v="Freshwater"/>
    <x v="1"/>
    <x v="1"/>
    <n v="854"/>
    <s v="Sultan River"/>
    <s v="Sultan River"/>
    <s v="Snohomish"/>
    <x v="2"/>
    <s v="Other"/>
    <x v="6"/>
    <s v="Non Puget Sound"/>
    <m/>
    <n v="4.2"/>
    <n v="35.868000000000002"/>
  </r>
  <r>
    <n v="1947"/>
    <x v="0"/>
    <s v="Freshwater"/>
    <x v="1"/>
    <x v="1"/>
    <n v="854"/>
    <s v="Sultan River"/>
    <s v="Sultan River"/>
    <s v="Snohomish"/>
    <x v="2"/>
    <s v="Snohomish"/>
    <x v="9"/>
    <s v="North Puget Sound"/>
    <m/>
    <n v="8.4"/>
    <n v="71.736000000000004"/>
  </r>
  <r>
    <n v="1513"/>
    <x v="0"/>
    <s v="Freshwater"/>
    <x v="1"/>
    <x v="1"/>
    <n v="856"/>
    <s v="Tokul Creek"/>
    <s v="Tokul Creek"/>
    <s v="King"/>
    <x v="2"/>
    <s v="King"/>
    <x v="3"/>
    <s v="South Puget Sound"/>
    <m/>
    <n v="222.56390977443601"/>
    <n v="1900.69578947368"/>
  </r>
  <r>
    <n v="1516"/>
    <x v="0"/>
    <s v="Freshwater"/>
    <x v="1"/>
    <x v="1"/>
    <n v="856"/>
    <s v="Tokul Creek"/>
    <s v="Tokul Creek"/>
    <s v="King"/>
    <x v="2"/>
    <s v="Other"/>
    <x v="6"/>
    <s v="Non Puget Sound"/>
    <m/>
    <n v="4.4962406015037599"/>
    <n v="38.397894736842098"/>
  </r>
  <r>
    <n v="1514"/>
    <x v="0"/>
    <s v="Freshwater"/>
    <x v="1"/>
    <x v="1"/>
    <n v="856"/>
    <s v="Tokul Creek"/>
    <s v="Tokul Creek"/>
    <s v="King"/>
    <x v="2"/>
    <s v="Pierce"/>
    <x v="7"/>
    <s v="South Puget Sound"/>
    <m/>
    <n v="4.4962406015037599"/>
    <n v="38.397894736842098"/>
  </r>
  <r>
    <n v="1512"/>
    <x v="0"/>
    <s v="Freshwater"/>
    <x v="1"/>
    <x v="1"/>
    <n v="856"/>
    <s v="Tokul Creek"/>
    <s v="Tokul Creek"/>
    <s v="King"/>
    <x v="2"/>
    <s v="Snohomish"/>
    <x v="9"/>
    <s v="North Puget Sound"/>
    <m/>
    <n v="62.947368421052602"/>
    <n v="537.57052631578904"/>
  </r>
  <r>
    <n v="1515"/>
    <x v="0"/>
    <s v="Freshwater"/>
    <x v="1"/>
    <x v="1"/>
    <n v="856"/>
    <s v="Tokul Creek"/>
    <s v="Tokul Creek"/>
    <s v="King"/>
    <x v="2"/>
    <s v="Thurston"/>
    <x v="10"/>
    <s v="South Puget Sound"/>
    <m/>
    <n v="4.4962406015037599"/>
    <n v="38.397894736842098"/>
  </r>
  <r>
    <n v="1517"/>
    <x v="0"/>
    <s v="Freshwater"/>
    <x v="1"/>
    <x v="1"/>
    <n v="858"/>
    <s v="Tolt River"/>
    <s v="Tolt River"/>
    <s v="King"/>
    <x v="2"/>
    <s v="King"/>
    <x v="3"/>
    <s v="South Puget Sound"/>
    <m/>
    <n v="16"/>
    <n v="136.63999999999999"/>
  </r>
  <r>
    <n v="2078"/>
    <x v="0"/>
    <s v="Freshwater"/>
    <x v="1"/>
    <x v="1"/>
    <n v="860"/>
    <s v="Wallace River"/>
    <s v="Wallace River"/>
    <s v="Snohomish"/>
    <x v="2"/>
    <s v="King"/>
    <x v="3"/>
    <s v="South Puget Sound"/>
    <m/>
    <n v="62.307692307692299"/>
    <n v="532.10769230769199"/>
  </r>
  <r>
    <n v="2080"/>
    <x v="0"/>
    <s v="Freshwater"/>
    <x v="1"/>
    <x v="1"/>
    <n v="860"/>
    <s v="Wallace River"/>
    <s v="Wallace River"/>
    <s v="Snohomish"/>
    <x v="2"/>
    <s v="Other"/>
    <x v="6"/>
    <s v="Non Puget Sound"/>
    <m/>
    <n v="2.3076923076923102"/>
    <n v="19.707692307692302"/>
  </r>
  <r>
    <n v="2079"/>
    <x v="0"/>
    <s v="Freshwater"/>
    <x v="1"/>
    <x v="1"/>
    <n v="860"/>
    <s v="Wallace River"/>
    <s v="Wallace River"/>
    <s v="Snohomish"/>
    <x v="2"/>
    <s v="Pierce"/>
    <x v="7"/>
    <s v="South Puget Sound"/>
    <m/>
    <n v="9.2307692307692299"/>
    <n v="78.830769230769207"/>
  </r>
  <r>
    <n v="2077"/>
    <x v="0"/>
    <s v="Freshwater"/>
    <x v="1"/>
    <x v="1"/>
    <n v="860"/>
    <s v="Wallace River"/>
    <s v="Wallace River"/>
    <s v="Snohomish"/>
    <x v="2"/>
    <s v="Snohomish"/>
    <x v="9"/>
    <s v="North Puget Sound"/>
    <m/>
    <n v="76.153846153846203"/>
    <n v="650.35384615384601"/>
  </r>
  <r>
    <n v="2081"/>
    <x v="0"/>
    <s v="Freshwater"/>
    <x v="1"/>
    <x v="1"/>
    <n v="866"/>
    <s v="Canyon Creek"/>
    <s v="Canyon Creek"/>
    <s v="Snohomish"/>
    <x v="2"/>
    <s v="Snohomish"/>
    <x v="9"/>
    <s v="North Puget Sound"/>
    <m/>
    <n v="11"/>
    <n v="93.94"/>
  </r>
  <r>
    <n v="2229"/>
    <x v="0"/>
    <s v="Freshwater"/>
    <x v="1"/>
    <x v="1"/>
    <n v="872"/>
    <s v="Stillaguamish R, No. Fork"/>
    <s v="Stillaguamish R, No. Fork"/>
    <s v="Snohomish"/>
    <x v="2"/>
    <s v="King"/>
    <x v="3"/>
    <s v="South Puget Sound"/>
    <m/>
    <n v="15.535714285714301"/>
    <n v="132.67500000000001"/>
  </r>
  <r>
    <n v="2230"/>
    <x v="0"/>
    <s v="Freshwater"/>
    <x v="1"/>
    <x v="1"/>
    <n v="872"/>
    <s v="Stillaguamish R, No. Fork"/>
    <s v="Stillaguamish R, No. Fork"/>
    <s v="Snohomish"/>
    <x v="2"/>
    <s v="Other"/>
    <x v="6"/>
    <s v="Non Puget Sound"/>
    <m/>
    <n v="2.58928571428571"/>
    <n v="22.112500000000001"/>
  </r>
  <r>
    <n v="2228"/>
    <x v="0"/>
    <s v="Freshwater"/>
    <x v="1"/>
    <x v="1"/>
    <n v="872"/>
    <s v="Stillaguamish R, No. Fork"/>
    <s v="Stillaguamish R, No. Fork"/>
    <s v="Snohomish"/>
    <x v="2"/>
    <s v="San Juan"/>
    <x v="12"/>
    <s v="North Puget Sound"/>
    <m/>
    <n v="2.58928571428571"/>
    <n v="22.112500000000001"/>
  </r>
  <r>
    <n v="2082"/>
    <x v="0"/>
    <s v="Freshwater"/>
    <x v="1"/>
    <x v="1"/>
    <n v="872"/>
    <s v="Stillaguamish R, No. Fork"/>
    <s v="Stillaguamish R, No. Fork"/>
    <s v="Snohomish"/>
    <x v="2"/>
    <s v="Skagit"/>
    <x v="8"/>
    <s v="North Puget Sound"/>
    <m/>
    <n v="5.1785714285714297"/>
    <n v="44.225000000000001"/>
  </r>
  <r>
    <n v="2083"/>
    <x v="0"/>
    <s v="Freshwater"/>
    <x v="1"/>
    <x v="1"/>
    <n v="872"/>
    <s v="Stillaguamish R, No. Fork"/>
    <s v="Stillaguamish R, No. Fork"/>
    <s v="Snohomish"/>
    <x v="2"/>
    <s v="Snohomish"/>
    <x v="9"/>
    <s v="North Puget Sound"/>
    <m/>
    <n v="119.107142857143"/>
    <n v="1017.175"/>
  </r>
  <r>
    <n v="2231"/>
    <x v="0"/>
    <s v="Freshwater"/>
    <x v="1"/>
    <x v="1"/>
    <n v="874"/>
    <s v="Stillaguamish R, So. Fork"/>
    <s v="Stillaguamish R, So. Fork"/>
    <s v="Snohomish"/>
    <x v="2"/>
    <s v="Snohomish"/>
    <x v="9"/>
    <s v="North Puget Sound"/>
    <m/>
    <n v="3"/>
    <n v="25.62"/>
  </r>
  <r>
    <n v="2233"/>
    <x v="0"/>
    <s v="Freshwater"/>
    <x v="1"/>
    <x v="1"/>
    <n v="876"/>
    <s v="Stillaguamish River"/>
    <s v="Stillaguamish River"/>
    <s v="Snohomish"/>
    <x v="2"/>
    <s v="Island"/>
    <x v="1"/>
    <s v="North Puget Sound"/>
    <m/>
    <n v="3"/>
    <n v="25.62"/>
  </r>
  <r>
    <n v="2232"/>
    <x v="0"/>
    <s v="Freshwater"/>
    <x v="1"/>
    <x v="1"/>
    <n v="876"/>
    <s v="Stillaguamish River"/>
    <s v="Stillaguamish River"/>
    <s v="Snohomish"/>
    <x v="2"/>
    <s v="Snohomish"/>
    <x v="9"/>
    <s v="North Puget Sound"/>
    <m/>
    <n v="3"/>
    <n v="25.62"/>
  </r>
  <r>
    <n v="3001"/>
    <x v="0"/>
    <s v="Freshwater"/>
    <x v="1"/>
    <x v="1"/>
    <n v="884"/>
    <s v="Whatcom Creek"/>
    <s v="Whatcom Creek"/>
    <s v="Whatcom"/>
    <x v="1"/>
    <s v="Whatcom"/>
    <x v="11"/>
    <s v="North Puget Sound"/>
    <m/>
    <n v="23"/>
    <n v="196.42"/>
  </r>
  <r>
    <n v="3027"/>
    <x v="1"/>
    <s v="Freshwater"/>
    <x v="1"/>
    <x v="1"/>
    <n v="718"/>
    <s v="Clallam River"/>
    <s v="Clallam River"/>
    <s v="Clallam"/>
    <x v="0"/>
    <s v="Clallam"/>
    <x v="0"/>
    <s v="Strait of Juan de Fuca"/>
    <m/>
    <n v="9"/>
    <n v="166.95"/>
  </r>
  <r>
    <n v="3028"/>
    <x v="1"/>
    <s v="Freshwater"/>
    <x v="1"/>
    <x v="1"/>
    <n v="726"/>
    <s v="Deep Creek (Clallam Co.)"/>
    <s v="Deep Creek (Clallam Co.)"/>
    <s v="Clallam"/>
    <x v="0"/>
    <s v="Clallam"/>
    <x v="0"/>
    <s v="Strait of Juan de Fuca"/>
    <m/>
    <n v="2"/>
    <n v="37.1"/>
  </r>
  <r>
    <n v="3031"/>
    <x v="1"/>
    <s v="Freshwater"/>
    <x v="1"/>
    <x v="1"/>
    <n v="738"/>
    <s v="Dungeness River"/>
    <s v="Dungeness River"/>
    <s v="Clallam"/>
    <x v="0"/>
    <s v="Clallam"/>
    <x v="0"/>
    <s v="Strait of Juan de Fuca"/>
    <m/>
    <n v="56.307692307692299"/>
    <n v="1044.5076923076899"/>
  </r>
  <r>
    <n v="3029"/>
    <x v="1"/>
    <s v="Freshwater"/>
    <x v="1"/>
    <x v="1"/>
    <n v="738"/>
    <s v="Dungeness River"/>
    <s v="Dungeness River"/>
    <s v="Clallam"/>
    <x v="0"/>
    <s v="Skagit"/>
    <x v="8"/>
    <s v="North Puget Sound"/>
    <m/>
    <n v="2.3461538461538498"/>
    <n v="43.521153846153901"/>
  </r>
  <r>
    <n v="3030"/>
    <x v="1"/>
    <s v="Freshwater"/>
    <x v="1"/>
    <x v="1"/>
    <n v="738"/>
    <s v="Dungeness River"/>
    <s v="Dungeness River"/>
    <s v="Clallam"/>
    <x v="0"/>
    <s v="Snohomish"/>
    <x v="9"/>
    <s v="North Puget Sound"/>
    <m/>
    <n v="2.3461538461538498"/>
    <n v="43.521153846153901"/>
  </r>
  <r>
    <n v="3032"/>
    <x v="1"/>
    <s v="Freshwater"/>
    <x v="1"/>
    <x v="1"/>
    <n v="742"/>
    <s v="Elwha River"/>
    <s v="Elwha River"/>
    <s v="Clallam"/>
    <x v="0"/>
    <s v="Clallam"/>
    <x v="0"/>
    <s v="Strait of Juan de Fuca"/>
    <m/>
    <n v="13"/>
    <n v="241.15"/>
  </r>
  <r>
    <n v="603"/>
    <x v="1"/>
    <s v="Freshwater"/>
    <x v="1"/>
    <x v="1"/>
    <n v="746"/>
    <s v="Green (Duwamish River) (King Co.)"/>
    <s v="Green - Duwamish River"/>
    <s v="King"/>
    <x v="3"/>
    <s v="King"/>
    <x v="3"/>
    <s v="South Puget Sound"/>
    <m/>
    <n v="395.519230769231"/>
    <n v="7336.8817307692398"/>
  </r>
  <r>
    <n v="606"/>
    <x v="1"/>
    <s v="Freshwater"/>
    <x v="1"/>
    <x v="1"/>
    <n v="746"/>
    <s v="Green (Duwamish River) (King Co.)"/>
    <s v="Green - Duwamish River"/>
    <s v="King"/>
    <x v="3"/>
    <s v="Other"/>
    <x v="6"/>
    <s v="Non Puget Sound"/>
    <m/>
    <n v="10.0769230769231"/>
    <n v="186.926923076924"/>
  </r>
  <r>
    <n v="604"/>
    <x v="1"/>
    <s v="Freshwater"/>
    <x v="1"/>
    <x v="1"/>
    <n v="746"/>
    <s v="Green (Duwamish River) (King Co.)"/>
    <s v="Green - Duwamish River"/>
    <s v="King"/>
    <x v="3"/>
    <s v="Pierce"/>
    <x v="7"/>
    <s v="South Puget Sound"/>
    <m/>
    <n v="100.769230769231"/>
    <n v="1869.26923076924"/>
  </r>
  <r>
    <n v="602"/>
    <x v="1"/>
    <s v="Freshwater"/>
    <x v="1"/>
    <x v="1"/>
    <n v="746"/>
    <s v="Green (Duwamish River) (King Co.)"/>
    <s v="Green - Duwamish River"/>
    <s v="King"/>
    <x v="3"/>
    <s v="Snohomish"/>
    <x v="9"/>
    <s v="North Puget Sound"/>
    <m/>
    <n v="10.0769230769231"/>
    <n v="186.926923076924"/>
  </r>
  <r>
    <n v="605"/>
    <x v="1"/>
    <s v="Freshwater"/>
    <x v="1"/>
    <x v="1"/>
    <n v="746"/>
    <s v="Green (Duwamish River) (King Co.)"/>
    <s v="Green - Duwamish River"/>
    <s v="King"/>
    <x v="3"/>
    <s v="Thurston"/>
    <x v="10"/>
    <s v="South Puget Sound"/>
    <m/>
    <n v="7.5576923076923102"/>
    <n v="140.195192307692"/>
  </r>
  <r>
    <n v="220"/>
    <x v="1"/>
    <s v="Freshwater"/>
    <x v="1"/>
    <x v="1"/>
    <n v="748"/>
    <s v="Soos Creek"/>
    <s v="Soos Creek"/>
    <s v="King"/>
    <x v="3"/>
    <s v="King"/>
    <x v="3"/>
    <s v="South Puget Sound"/>
    <m/>
    <n v="3"/>
    <n v="55.65"/>
  </r>
  <r>
    <n v="3044"/>
    <x v="1"/>
    <s v="Freshwater"/>
    <x v="1"/>
    <x v="1"/>
    <n v="752"/>
    <s v="Hoko River"/>
    <s v="Hoko River"/>
    <s v="Clallam"/>
    <x v="0"/>
    <s v="Clallam"/>
    <x v="0"/>
    <s v="Strait of Juan de Fuca"/>
    <m/>
    <n v="41"/>
    <n v="760.55"/>
  </r>
  <r>
    <n v="3040"/>
    <x v="1"/>
    <s v="Freshwater"/>
    <x v="1"/>
    <x v="1"/>
    <n v="752"/>
    <s v="Hoko River"/>
    <s v="Hoko River"/>
    <s v="Clallam"/>
    <x v="0"/>
    <s v="King"/>
    <x v="3"/>
    <s v="South Puget Sound"/>
    <m/>
    <n v="11.3888888888889"/>
    <n v="211.263888888889"/>
  </r>
  <r>
    <n v="3043"/>
    <x v="1"/>
    <s v="Freshwater"/>
    <x v="1"/>
    <x v="1"/>
    <n v="752"/>
    <s v="Hoko River"/>
    <s v="Hoko River"/>
    <s v="Clallam"/>
    <x v="0"/>
    <s v="Kitsap"/>
    <x v="4"/>
    <s v="South Puget Sound"/>
    <m/>
    <n v="11.3888888888889"/>
    <n v="211.263888888889"/>
  </r>
  <r>
    <n v="3045"/>
    <x v="1"/>
    <s v="Freshwater"/>
    <x v="1"/>
    <x v="1"/>
    <n v="752"/>
    <s v="Hoko River"/>
    <s v="Hoko River"/>
    <s v="Clallam"/>
    <x v="0"/>
    <s v="Other"/>
    <x v="6"/>
    <s v="Non Puget Sound"/>
    <m/>
    <n v="2.2777777777777799"/>
    <n v="42.252777777777801"/>
  </r>
  <r>
    <n v="3041"/>
    <x v="1"/>
    <s v="Freshwater"/>
    <x v="1"/>
    <x v="1"/>
    <n v="752"/>
    <s v="Hoko River"/>
    <s v="Hoko River"/>
    <s v="Clallam"/>
    <x v="0"/>
    <s v="Pierce"/>
    <x v="7"/>
    <s v="South Puget Sound"/>
    <m/>
    <n v="9.1111111111111107"/>
    <n v="169.01111111111101"/>
  </r>
  <r>
    <n v="3039"/>
    <x v="1"/>
    <s v="Freshwater"/>
    <x v="1"/>
    <x v="1"/>
    <n v="752"/>
    <s v="Hoko River"/>
    <s v="Hoko River"/>
    <s v="Clallam"/>
    <x v="0"/>
    <s v="Snohomish"/>
    <x v="9"/>
    <s v="North Puget Sound"/>
    <m/>
    <n v="2.2777777777777799"/>
    <n v="42.252777777777801"/>
  </r>
  <r>
    <n v="3042"/>
    <x v="1"/>
    <s v="Freshwater"/>
    <x v="1"/>
    <x v="1"/>
    <n v="752"/>
    <s v="Hoko River"/>
    <s v="Hoko River"/>
    <s v="Clallam"/>
    <x v="0"/>
    <s v="Thurston"/>
    <x v="10"/>
    <s v="South Puget Sound"/>
    <m/>
    <n v="4.5555555555555598"/>
    <n v="84.505555555555603"/>
  </r>
  <r>
    <n v="221"/>
    <x v="1"/>
    <s v="Freshwater"/>
    <x v="1"/>
    <x v="1"/>
    <n v="762"/>
    <s v="Lake Washington"/>
    <s v="Lake Washington"/>
    <s v="King"/>
    <x v="3"/>
    <s v="Clallam"/>
    <x v="0"/>
    <s v="Strait of Juan de Fuca"/>
    <m/>
    <n v="7"/>
    <n v="129.85"/>
  </r>
  <r>
    <n v="222"/>
    <x v="1"/>
    <s v="Freshwater"/>
    <x v="1"/>
    <x v="1"/>
    <n v="763"/>
    <s v="Lake Sammamish"/>
    <s v="Lake Sammamish"/>
    <s v="King"/>
    <x v="3"/>
    <s v="Clallam"/>
    <x v="0"/>
    <s v="Strait of Juan de Fuca"/>
    <m/>
    <n v="2"/>
    <n v="37.1"/>
  </r>
  <r>
    <n v="3052"/>
    <x v="1"/>
    <s v="Freshwater"/>
    <x v="1"/>
    <x v="1"/>
    <n v="768"/>
    <s v="Lyre River"/>
    <s v="Lyre River"/>
    <s v="Clallam"/>
    <x v="0"/>
    <s v="Clallam"/>
    <x v="0"/>
    <s v="Strait of Juan de Fuca"/>
    <m/>
    <n v="258.30769230769198"/>
    <n v="4791.6076923076898"/>
  </r>
  <r>
    <n v="3048"/>
    <x v="1"/>
    <s v="Freshwater"/>
    <x v="1"/>
    <x v="1"/>
    <n v="768"/>
    <s v="Lyre River"/>
    <s v="Lyre River"/>
    <s v="Clallam"/>
    <x v="0"/>
    <s v="Island"/>
    <x v="1"/>
    <s v="North Puget Sound"/>
    <m/>
    <n v="7.0769230769230802"/>
    <n v="131.276923076923"/>
  </r>
  <r>
    <n v="3053"/>
    <x v="1"/>
    <s v="Freshwater"/>
    <x v="1"/>
    <x v="1"/>
    <n v="768"/>
    <s v="Lyre River"/>
    <s v="Lyre River"/>
    <s v="Clallam"/>
    <x v="0"/>
    <s v="Jefferson"/>
    <x v="2"/>
    <s v="Strait of Juan de Fuca"/>
    <m/>
    <n v="24.769230769230798"/>
    <n v="459.46923076923099"/>
  </r>
  <r>
    <n v="3049"/>
    <x v="1"/>
    <s v="Freshwater"/>
    <x v="1"/>
    <x v="1"/>
    <n v="768"/>
    <s v="Lyre River"/>
    <s v="Lyre River"/>
    <s v="Clallam"/>
    <x v="0"/>
    <s v="King"/>
    <x v="3"/>
    <s v="South Puget Sound"/>
    <m/>
    <n v="10.615384615384601"/>
    <n v="196.915384615384"/>
  </r>
  <r>
    <n v="3051"/>
    <x v="1"/>
    <s v="Freshwater"/>
    <x v="1"/>
    <x v="1"/>
    <n v="768"/>
    <s v="Lyre River"/>
    <s v="Lyre River"/>
    <s v="Clallam"/>
    <x v="0"/>
    <s v="Kitsap"/>
    <x v="4"/>
    <s v="South Puget Sound"/>
    <m/>
    <n v="3.5384615384615401"/>
    <n v="65.638461538461598"/>
  </r>
  <r>
    <n v="3050"/>
    <x v="1"/>
    <s v="Freshwater"/>
    <x v="1"/>
    <x v="1"/>
    <n v="768"/>
    <s v="Lyre River"/>
    <s v="Lyre River"/>
    <s v="Clallam"/>
    <x v="0"/>
    <s v="Mason"/>
    <x v="5"/>
    <s v="South Puget Sound"/>
    <m/>
    <n v="10.615384615384601"/>
    <n v="196.915384615384"/>
  </r>
  <r>
    <n v="3054"/>
    <x v="1"/>
    <s v="Freshwater"/>
    <x v="1"/>
    <x v="1"/>
    <n v="768"/>
    <s v="Lyre River"/>
    <s v="Lyre River"/>
    <s v="Clallam"/>
    <x v="0"/>
    <s v="Other"/>
    <x v="6"/>
    <s v="Non Puget Sound"/>
    <m/>
    <n v="7.0769230769230802"/>
    <n v="131.276923076923"/>
  </r>
  <r>
    <n v="3055"/>
    <x v="1"/>
    <s v="Freshwater"/>
    <x v="1"/>
    <x v="1"/>
    <n v="782"/>
    <s v="Morse Creek (Clallam Co.)"/>
    <s v="Morse Creek (Clallam Co.)"/>
    <s v="Clallam"/>
    <x v="0"/>
    <s v="Clallam"/>
    <x v="0"/>
    <s v="Strait of Juan de Fuca"/>
    <m/>
    <n v="22.727272727272702"/>
    <n v="421.59090909090901"/>
  </r>
  <r>
    <n v="3056"/>
    <x v="1"/>
    <s v="Freshwater"/>
    <x v="1"/>
    <x v="1"/>
    <n v="782"/>
    <s v="Morse Creek (Clallam Co.)"/>
    <s v="Morse Creek (Clallam Co.)"/>
    <s v="Clallam"/>
    <x v="0"/>
    <s v="Other"/>
    <x v="6"/>
    <s v="Non Puget Sound"/>
    <m/>
    <n v="2.2727272727272698"/>
    <n v="42.159090909090899"/>
  </r>
  <r>
    <n v="3009"/>
    <x v="1"/>
    <s v="Freshwater"/>
    <x v="1"/>
    <x v="1"/>
    <n v="790"/>
    <s v="Nooksack River, No. Fork"/>
    <s v="Nooksack River, No. Fork"/>
    <s v="Whatcom"/>
    <x v="1"/>
    <s v="Other"/>
    <x v="6"/>
    <s v="Non Puget Sound"/>
    <m/>
    <n v="6.7058823529411802"/>
    <n v="124.39411764705901"/>
  </r>
  <r>
    <n v="3008"/>
    <x v="1"/>
    <s v="Freshwater"/>
    <x v="1"/>
    <x v="1"/>
    <n v="790"/>
    <s v="Nooksack River, No. Fork"/>
    <s v="Nooksack River, No. Fork"/>
    <s v="Whatcom"/>
    <x v="1"/>
    <s v="Whatcom"/>
    <x v="11"/>
    <s v="North Puget Sound"/>
    <m/>
    <n v="31.294117647058801"/>
    <n v="580.50588235294094"/>
  </r>
  <r>
    <n v="3010"/>
    <x v="1"/>
    <s v="Freshwater"/>
    <x v="1"/>
    <x v="1"/>
    <n v="794"/>
    <s v="Nooksack River, below North Fork"/>
    <s v="Nooksack River, below North Fork"/>
    <s v="Whatcom"/>
    <x v="1"/>
    <s v="Whatcom"/>
    <x v="11"/>
    <s v="North Puget Sound"/>
    <m/>
    <n v="31"/>
    <n v="575.04999999999995"/>
  </r>
  <r>
    <n v="989"/>
    <x v="1"/>
    <s v="Freshwater"/>
    <x v="1"/>
    <x v="1"/>
    <n v="804"/>
    <s v="Puyallup River"/>
    <s v="Puyallup River"/>
    <s v="Pierce"/>
    <x v="3"/>
    <s v="Other"/>
    <x v="6"/>
    <s v="Non Puget Sound"/>
    <m/>
    <n v="2.3636363636363602"/>
    <n v="43.845454545454501"/>
  </r>
  <r>
    <n v="988"/>
    <x v="1"/>
    <s v="Freshwater"/>
    <x v="1"/>
    <x v="1"/>
    <n v="804"/>
    <s v="Puyallup River"/>
    <s v="Puyallup River"/>
    <s v="Pierce"/>
    <x v="3"/>
    <s v="Pierce"/>
    <x v="7"/>
    <s v="South Puget Sound"/>
    <m/>
    <n v="18.909090909090899"/>
    <n v="350.76363636363601"/>
  </r>
  <r>
    <n v="987"/>
    <x v="1"/>
    <s v="Freshwater"/>
    <x v="1"/>
    <x v="1"/>
    <n v="804"/>
    <s v="Puyallup River"/>
    <s v="Puyallup River"/>
    <s v="Pierce"/>
    <x v="3"/>
    <s v="Snohomish"/>
    <x v="9"/>
    <s v="North Puget Sound"/>
    <m/>
    <n v="4.7272727272727302"/>
    <n v="87.690909090909102"/>
  </r>
  <r>
    <n v="3067"/>
    <x v="1"/>
    <s v="Freshwater"/>
    <x v="1"/>
    <x v="1"/>
    <n v="810"/>
    <s v="Pysht River"/>
    <s v="Pysht River"/>
    <s v="Clallam"/>
    <x v="0"/>
    <s v="Clallam"/>
    <x v="0"/>
    <s v="Strait of Juan de Fuca"/>
    <m/>
    <n v="0.66666666666666996"/>
    <n v="12.366666666666699"/>
  </r>
  <r>
    <n v="3066"/>
    <x v="1"/>
    <s v="Freshwater"/>
    <x v="1"/>
    <x v="1"/>
    <n v="810"/>
    <s v="Pysht River"/>
    <s v="Pysht River"/>
    <s v="Clallam"/>
    <x v="0"/>
    <s v="Kitsap"/>
    <x v="4"/>
    <s v="South Puget Sound"/>
    <m/>
    <n v="1.3333333333333299"/>
    <n v="24.733333333333299"/>
  </r>
  <r>
    <n v="3069"/>
    <x v="1"/>
    <s v="Freshwater"/>
    <x v="1"/>
    <x v="1"/>
    <n v="818"/>
    <s v="Sekiu River"/>
    <s v="Sekiu River"/>
    <s v="Clallam"/>
    <x v="0"/>
    <s v="Clallam"/>
    <x v="0"/>
    <s v="Strait of Juan de Fuca"/>
    <m/>
    <n v="22.5"/>
    <n v="417.375"/>
  </r>
  <r>
    <n v="3068"/>
    <x v="1"/>
    <s v="Freshwater"/>
    <x v="1"/>
    <x v="1"/>
    <n v="818"/>
    <s v="Sekiu River"/>
    <s v="Sekiu River"/>
    <s v="Clallam"/>
    <x v="0"/>
    <s v="King"/>
    <x v="3"/>
    <s v="South Puget Sound"/>
    <m/>
    <n v="4.5"/>
    <n v="83.474999999999994"/>
  </r>
  <r>
    <n v="1907"/>
    <x v="1"/>
    <s v="Freshwater"/>
    <x v="1"/>
    <x v="1"/>
    <n v="826"/>
    <s v="Cascade River"/>
    <s v="Cascade River"/>
    <s v="Skagit"/>
    <x v="1"/>
    <s v="Island"/>
    <x v="1"/>
    <s v="North Puget Sound"/>
    <m/>
    <n v="44.472140762463397"/>
    <n v="824.95821114369596"/>
  </r>
  <r>
    <n v="1909"/>
    <x v="1"/>
    <s v="Freshwater"/>
    <x v="1"/>
    <x v="1"/>
    <n v="826"/>
    <s v="Cascade River"/>
    <s v="Cascade River"/>
    <s v="Skagit"/>
    <x v="1"/>
    <s v="King"/>
    <x v="3"/>
    <s v="South Puget Sound"/>
    <m/>
    <n v="47.436950146627602"/>
    <n v="879.95542521994196"/>
  </r>
  <r>
    <n v="1910"/>
    <x v="1"/>
    <s v="Freshwater"/>
    <x v="1"/>
    <x v="1"/>
    <n v="826"/>
    <s v="Cascade River"/>
    <s v="Cascade River"/>
    <s v="Skagit"/>
    <x v="1"/>
    <s v="Kitsap"/>
    <x v="4"/>
    <s v="South Puget Sound"/>
    <m/>
    <n v="8.8944281524926705"/>
    <n v="164.99164222873901"/>
  </r>
  <r>
    <n v="1911"/>
    <x v="1"/>
    <s v="Freshwater"/>
    <x v="1"/>
    <x v="1"/>
    <n v="826"/>
    <s v="Cascade River"/>
    <s v="Cascade River"/>
    <s v="Skagit"/>
    <x v="1"/>
    <s v="Other"/>
    <x v="6"/>
    <s v="Non Puget Sound"/>
    <m/>
    <n v="14.8240469208211"/>
    <n v="274.986070381231"/>
  </r>
  <r>
    <n v="1908"/>
    <x v="1"/>
    <s v="Freshwater"/>
    <x v="1"/>
    <x v="1"/>
    <n v="826"/>
    <s v="Cascade River"/>
    <s v="Cascade River"/>
    <s v="Skagit"/>
    <x v="1"/>
    <s v="San Juan"/>
    <x v="12"/>
    <s v="North Puget Sound"/>
    <m/>
    <n v="11.859237536656901"/>
    <n v="219.988856304986"/>
  </r>
  <r>
    <n v="1905"/>
    <x v="1"/>
    <s v="Freshwater"/>
    <x v="1"/>
    <x v="1"/>
    <n v="826"/>
    <s v="Cascade River"/>
    <s v="Cascade River"/>
    <s v="Skagit"/>
    <x v="1"/>
    <s v="Skagit"/>
    <x v="8"/>
    <s v="North Puget Sound"/>
    <m/>
    <n v="474.36950146627601"/>
    <n v="8799.5542521994194"/>
  </r>
  <r>
    <n v="1906"/>
    <x v="1"/>
    <s v="Freshwater"/>
    <x v="1"/>
    <x v="1"/>
    <n v="826"/>
    <s v="Cascade River"/>
    <s v="Cascade River"/>
    <s v="Skagit"/>
    <x v="1"/>
    <s v="Snohomish"/>
    <x v="9"/>
    <s v="North Puget Sound"/>
    <m/>
    <n v="136.38123167155399"/>
    <n v="2529.8718475073301"/>
  </r>
  <r>
    <n v="1904"/>
    <x v="1"/>
    <s v="Freshwater"/>
    <x v="1"/>
    <x v="1"/>
    <n v="826"/>
    <s v="Cascade River"/>
    <s v="Cascade River"/>
    <s v="Skagit"/>
    <x v="1"/>
    <s v="Whatcom"/>
    <x v="11"/>
    <s v="North Puget Sound"/>
    <m/>
    <n v="272.762463343109"/>
    <n v="5059.7436950146703"/>
  </r>
  <r>
    <n v="3171"/>
    <x v="1"/>
    <s v="Freshwater"/>
    <x v="1"/>
    <x v="1"/>
    <n v="830"/>
    <s v="Skagit River"/>
    <s v="Skagit River"/>
    <s v="Skagit/Whatcom"/>
    <x v="2"/>
    <s v="King"/>
    <x v="3"/>
    <s v="South Puget Sound"/>
    <m/>
    <n v="9.3934426229508201"/>
    <n v="174.248360655738"/>
  </r>
  <r>
    <n v="3173"/>
    <x v="1"/>
    <s v="Freshwater"/>
    <x v="1"/>
    <x v="1"/>
    <n v="830"/>
    <s v="Skagit River"/>
    <s v="Skagit River"/>
    <s v="Skagit/Whatcom"/>
    <x v="2"/>
    <s v="Other"/>
    <x v="6"/>
    <s v="Non Puget Sound"/>
    <m/>
    <n v="12.5245901639344"/>
    <n v="232.33114754098301"/>
  </r>
  <r>
    <n v="3172"/>
    <x v="1"/>
    <s v="Freshwater"/>
    <x v="1"/>
    <x v="1"/>
    <n v="830"/>
    <s v="Skagit River"/>
    <s v="Skagit River"/>
    <s v="Skagit/Whatcom"/>
    <x v="2"/>
    <s v="Pierce"/>
    <x v="7"/>
    <s v="South Puget Sound"/>
    <m/>
    <n v="6.2622950819672196"/>
    <n v="116.165573770492"/>
  </r>
  <r>
    <n v="3059"/>
    <x v="1"/>
    <s v="Freshwater"/>
    <x v="1"/>
    <x v="1"/>
    <n v="830"/>
    <s v="Skagit River"/>
    <s v="Skagit River"/>
    <s v="Skagit/Whatcom"/>
    <x v="2"/>
    <s v="Skagit"/>
    <x v="8"/>
    <s v="North Puget Sound"/>
    <m/>
    <n v="128.37704918032799"/>
    <n v="2381.3942622950799"/>
  </r>
  <r>
    <n v="3142"/>
    <x v="1"/>
    <s v="Freshwater"/>
    <x v="1"/>
    <x v="1"/>
    <n v="830"/>
    <s v="Skagit River"/>
    <s v="Skagit River"/>
    <s v="Skagit/Whatcom"/>
    <x v="2"/>
    <s v="Snohomish"/>
    <x v="9"/>
    <s v="North Puget Sound"/>
    <m/>
    <n v="21.918032786885199"/>
    <n v="406.57950819671998"/>
  </r>
  <r>
    <n v="3058"/>
    <x v="1"/>
    <s v="Freshwater"/>
    <x v="1"/>
    <x v="1"/>
    <n v="830"/>
    <s v="Skagit River"/>
    <s v="Skagit River"/>
    <s v="Skagit/Whatcom"/>
    <x v="2"/>
    <s v="Whatcom"/>
    <x v="11"/>
    <s v="North Puget Sound"/>
    <m/>
    <n v="12.5245901639344"/>
    <n v="232.33114754098301"/>
  </r>
  <r>
    <n v="2234"/>
    <x v="1"/>
    <s v="Freshwater"/>
    <x v="1"/>
    <x v="1"/>
    <n v="840"/>
    <s v="Pilchuck River (Snohomish System)"/>
    <s v="Pilchuck River (Snohomish System)"/>
    <s v="Snohomish"/>
    <x v="2"/>
    <s v="Snohomish"/>
    <x v="9"/>
    <s v="North Puget Sound"/>
    <m/>
    <n v="15"/>
    <n v="278.25"/>
  </r>
  <r>
    <n v="224"/>
    <x v="1"/>
    <s v="Freshwater"/>
    <x v="1"/>
    <x v="1"/>
    <n v="842"/>
    <s v="Raging River"/>
    <s v="Raging River"/>
    <s v="King"/>
    <x v="3"/>
    <s v="King"/>
    <x v="3"/>
    <s v="South Puget Sound"/>
    <m/>
    <n v="21.3333333333333"/>
    <n v="395.73333333333301"/>
  </r>
  <r>
    <n v="223"/>
    <x v="1"/>
    <s v="Freshwater"/>
    <x v="1"/>
    <x v="1"/>
    <n v="842"/>
    <s v="Raging River"/>
    <s v="Raging River"/>
    <s v="King"/>
    <x v="3"/>
    <s v="Snohomish"/>
    <x v="9"/>
    <s v="North Puget Sound"/>
    <m/>
    <n v="2.6666666666666701"/>
    <n v="49.466666666666697"/>
  </r>
  <r>
    <n v="2338"/>
    <x v="1"/>
    <s v="Freshwater"/>
    <x v="1"/>
    <x v="1"/>
    <n v="844"/>
    <s v="Skykomish River"/>
    <s v="Skykomish River"/>
    <s v="Snohomish"/>
    <x v="2"/>
    <s v="Island"/>
    <x v="1"/>
    <s v="North Puget Sound"/>
    <m/>
    <n v="16.006176652254499"/>
    <n v="296.91457689932099"/>
  </r>
  <r>
    <n v="2339"/>
    <x v="1"/>
    <s v="Freshwater"/>
    <x v="1"/>
    <x v="1"/>
    <n v="844"/>
    <s v="Skykomish River"/>
    <s v="Skykomish River"/>
    <s v="Snohomish"/>
    <x v="2"/>
    <s v="King"/>
    <x v="3"/>
    <s v="South Puget Sound"/>
    <m/>
    <n v="1661.9746757257601"/>
    <n v="30829.630234712899"/>
  </r>
  <r>
    <n v="2446"/>
    <x v="1"/>
    <s v="Freshwater"/>
    <x v="1"/>
    <x v="1"/>
    <n v="844"/>
    <s v="Skykomish River"/>
    <s v="Skykomish River"/>
    <s v="Snohomish"/>
    <x v="2"/>
    <s v="Kitsap"/>
    <x v="4"/>
    <s v="South Puget Sound"/>
    <m/>
    <n v="10.6707844348363"/>
    <n v="197.94305126621299"/>
  </r>
  <r>
    <n v="2445"/>
    <x v="1"/>
    <s v="Freshwater"/>
    <x v="1"/>
    <x v="1"/>
    <n v="844"/>
    <s v="Skykomish River"/>
    <s v="Skykomish River"/>
    <s v="Snohomish"/>
    <x v="2"/>
    <s v="Mason"/>
    <x v="5"/>
    <s v="South Puget Sound"/>
    <m/>
    <n v="2.6676961087090798"/>
    <n v="49.485762816553397"/>
  </r>
  <r>
    <n v="2447"/>
    <x v="1"/>
    <s v="Freshwater"/>
    <x v="1"/>
    <x v="1"/>
    <n v="844"/>
    <s v="Skykomish River"/>
    <s v="Skykomish River"/>
    <s v="Snohomish"/>
    <x v="2"/>
    <s v="Other"/>
    <x v="6"/>
    <s v="Non Puget Sound"/>
    <m/>
    <n v="138.720197652872"/>
    <n v="2573.25966646078"/>
  </r>
  <r>
    <n v="2340"/>
    <x v="1"/>
    <s v="Freshwater"/>
    <x v="1"/>
    <x v="1"/>
    <n v="844"/>
    <s v="Skykomish River"/>
    <s v="Skykomish River"/>
    <s v="Snohomish"/>
    <x v="2"/>
    <s v="Pierce"/>
    <x v="7"/>
    <s v="South Puget Sound"/>
    <m/>
    <n v="18.673872760963601"/>
    <n v="346.40033971587502"/>
  </r>
  <r>
    <n v="2336"/>
    <x v="1"/>
    <s v="Freshwater"/>
    <x v="1"/>
    <x v="1"/>
    <n v="844"/>
    <s v="Skykomish River"/>
    <s v="Skykomish River"/>
    <s v="Snohomish"/>
    <x v="2"/>
    <s v="Skagit"/>
    <x v="8"/>
    <s v="North Puget Sound"/>
    <m/>
    <n v="24.009264978381701"/>
    <n v="445.37186534898098"/>
  </r>
  <r>
    <n v="2337"/>
    <x v="1"/>
    <s v="Freshwater"/>
    <x v="1"/>
    <x v="1"/>
    <n v="844"/>
    <s v="Skykomish River"/>
    <s v="Skykomish River"/>
    <s v="Snohomish"/>
    <x v="2"/>
    <s v="Snohomish"/>
    <x v="9"/>
    <s v="North Puget Sound"/>
    <m/>
    <n v="2408.9295861643"/>
    <n v="44685.643823347797"/>
  </r>
  <r>
    <n v="2341"/>
    <x v="1"/>
    <s v="Freshwater"/>
    <x v="1"/>
    <x v="1"/>
    <n v="844"/>
    <s v="Skykomish River"/>
    <s v="Skykomish River"/>
    <s v="Snohomish"/>
    <x v="2"/>
    <s v="Thurston"/>
    <x v="10"/>
    <s v="South Puget Sound"/>
    <m/>
    <n v="16.006176652254499"/>
    <n v="296.91457689932099"/>
  </r>
  <r>
    <n v="2235"/>
    <x v="1"/>
    <s v="Freshwater"/>
    <x v="1"/>
    <x v="1"/>
    <n v="844"/>
    <s v="Skykomish River"/>
    <s v="Skykomish River"/>
    <s v="Snohomish"/>
    <x v="2"/>
    <s v="Whatcom"/>
    <x v="11"/>
    <s v="North Puget Sound"/>
    <m/>
    <n v="21.341568869672599"/>
    <n v="395.886102532427"/>
  </r>
  <r>
    <n v="2450"/>
    <x v="1"/>
    <s v="Freshwater"/>
    <x v="1"/>
    <x v="1"/>
    <n v="846"/>
    <s v="Skykomish River, No. Fork"/>
    <s v="Skykomish River, No. Fork"/>
    <s v="Snohomish"/>
    <x v="2"/>
    <s v="King"/>
    <x v="3"/>
    <s v="South Puget Sound"/>
    <m/>
    <n v="30"/>
    <n v="556.5"/>
  </r>
  <r>
    <n v="2449"/>
    <x v="1"/>
    <s v="Freshwater"/>
    <x v="1"/>
    <x v="1"/>
    <n v="846"/>
    <s v="Skykomish River, No. Fork"/>
    <s v="Skykomish River, No. Fork"/>
    <s v="Snohomish"/>
    <x v="2"/>
    <s v="Snohomish"/>
    <x v="9"/>
    <s v="North Puget Sound"/>
    <m/>
    <n v="27.272727272727298"/>
    <n v="505.90909090909099"/>
  </r>
  <r>
    <n v="2448"/>
    <x v="1"/>
    <s v="Freshwater"/>
    <x v="1"/>
    <x v="1"/>
    <n v="846"/>
    <s v="Skykomish River, No. Fork"/>
    <s v="Skykomish River, No. Fork"/>
    <s v="Snohomish"/>
    <x v="2"/>
    <s v="Whatcom"/>
    <x v="11"/>
    <s v="North Puget Sound"/>
    <m/>
    <n v="2.7272727272727302"/>
    <n v="50.590909090909101"/>
  </r>
  <r>
    <n v="61"/>
    <x v="1"/>
    <s v="Freshwater"/>
    <x v="1"/>
    <x v="1"/>
    <n v="848"/>
    <s v="Skykomish River, So. Fork"/>
    <s v="Skykomish River, So. Fork"/>
    <s v="Snohomish/King"/>
    <x v="2"/>
    <s v="King"/>
    <x v="3"/>
    <s v="South Puget Sound"/>
    <m/>
    <n v="3"/>
    <n v="55.65"/>
  </r>
  <r>
    <n v="62"/>
    <x v="1"/>
    <s v="Freshwater"/>
    <x v="1"/>
    <x v="1"/>
    <n v="848"/>
    <s v="Skykomish River, So. Fork"/>
    <s v="Skykomish River, So. Fork"/>
    <s v="Snohomish/King"/>
    <x v="2"/>
    <s v="Pierce"/>
    <x v="7"/>
    <s v="South Puget Sound"/>
    <m/>
    <n v="3"/>
    <n v="55.65"/>
  </r>
  <r>
    <n v="60"/>
    <x v="1"/>
    <s v="Freshwater"/>
    <x v="1"/>
    <x v="1"/>
    <n v="848"/>
    <s v="Skykomish River, So. Fork"/>
    <s v="Skykomish River, So. Fork"/>
    <s v="Snohomish/King"/>
    <x v="2"/>
    <s v="Snohomish"/>
    <x v="9"/>
    <s v="North Puget Sound"/>
    <m/>
    <n v="3"/>
    <n v="55.65"/>
  </r>
  <r>
    <n v="2565"/>
    <x v="1"/>
    <s v="Freshwater"/>
    <x v="1"/>
    <x v="1"/>
    <n v="850"/>
    <s v="Snohomish River"/>
    <s v="Snohomish River"/>
    <s v="Snohomish"/>
    <x v="2"/>
    <s v="Clallam"/>
    <x v="0"/>
    <s v="Strait of Juan de Fuca"/>
    <m/>
    <n v="24.136363636363601"/>
    <n v="447.72954545454502"/>
  </r>
  <r>
    <n v="2564"/>
    <x v="1"/>
    <s v="Freshwater"/>
    <x v="1"/>
    <x v="1"/>
    <n v="850"/>
    <s v="Snohomish River"/>
    <s v="Snohomish River"/>
    <s v="Snohomish"/>
    <x v="2"/>
    <s v="King"/>
    <x v="3"/>
    <s v="South Puget Sound"/>
    <m/>
    <n v="56.318181818181799"/>
    <n v="1044.7022727272699"/>
  </r>
  <r>
    <n v="2566"/>
    <x v="1"/>
    <s v="Freshwater"/>
    <x v="1"/>
    <x v="1"/>
    <n v="850"/>
    <s v="Snohomish River"/>
    <s v="Snohomish River"/>
    <s v="Snohomish"/>
    <x v="2"/>
    <s v="Other"/>
    <x v="6"/>
    <s v="Non Puget Sound"/>
    <m/>
    <n v="24.136363636363601"/>
    <n v="447.72954545454502"/>
  </r>
  <r>
    <n v="2451"/>
    <x v="1"/>
    <s v="Freshwater"/>
    <x v="1"/>
    <x v="1"/>
    <n v="850"/>
    <s v="Snohomish River"/>
    <s v="Snohomish River"/>
    <s v="Snohomish"/>
    <x v="2"/>
    <s v="Snohomish"/>
    <x v="9"/>
    <s v="North Puget Sound"/>
    <m/>
    <n v="603.40909090909099"/>
    <n v="11193.2386363636"/>
  </r>
  <r>
    <n v="66"/>
    <x v="1"/>
    <s v="Freshwater"/>
    <x v="1"/>
    <x v="1"/>
    <n v="852"/>
    <s v="Snoqualmie River"/>
    <s v="Snoqualmie River"/>
    <s v="Snohomish/King"/>
    <x v="2"/>
    <s v="King"/>
    <x v="3"/>
    <s v="South Puget Sound"/>
    <m/>
    <n v="1302.90619136961"/>
    <n v="24168.9098499063"/>
  </r>
  <r>
    <n v="145"/>
    <x v="1"/>
    <s v="Freshwater"/>
    <x v="1"/>
    <x v="1"/>
    <n v="852"/>
    <s v="Snoqualmie River"/>
    <s v="Snoqualmie River"/>
    <s v="Snohomish/King"/>
    <x v="2"/>
    <s v="Kitsap"/>
    <x v="4"/>
    <s v="South Puget Sound"/>
    <m/>
    <n v="2.54971857410882"/>
    <n v="47.297279549718603"/>
  </r>
  <r>
    <n v="146"/>
    <x v="1"/>
    <s v="Freshwater"/>
    <x v="1"/>
    <x v="1"/>
    <n v="852"/>
    <s v="Snoqualmie River"/>
    <s v="Snoqualmie River"/>
    <s v="Snohomish/King"/>
    <x v="2"/>
    <s v="Other"/>
    <x v="6"/>
    <s v="Non Puget Sound"/>
    <m/>
    <n v="17.848030018761701"/>
    <n v="331.08095684802998"/>
  </r>
  <r>
    <n v="144"/>
    <x v="1"/>
    <s v="Freshwater"/>
    <x v="1"/>
    <x v="1"/>
    <n v="852"/>
    <s v="Snoqualmie River"/>
    <s v="Snoqualmie River"/>
    <s v="Snohomish/King"/>
    <x v="2"/>
    <s v="Pierce"/>
    <x v="7"/>
    <s v="South Puget Sound"/>
    <m/>
    <n v="20.397748592870499"/>
    <n v="378.37823639774803"/>
  </r>
  <r>
    <n v="64"/>
    <x v="1"/>
    <s v="Freshwater"/>
    <x v="1"/>
    <x v="1"/>
    <n v="852"/>
    <s v="Snoqualmie River"/>
    <s v="Snoqualmie River"/>
    <s v="Snohomish/King"/>
    <x v="2"/>
    <s v="Skagit"/>
    <x v="8"/>
    <s v="North Puget Sound"/>
    <m/>
    <n v="2.54971857410882"/>
    <n v="47.297279549718603"/>
  </r>
  <r>
    <n v="65"/>
    <x v="1"/>
    <s v="Freshwater"/>
    <x v="1"/>
    <x v="1"/>
    <n v="852"/>
    <s v="Snoqualmie River"/>
    <s v="Snoqualmie River"/>
    <s v="Snohomish/King"/>
    <x v="2"/>
    <s v="Snohomish"/>
    <x v="9"/>
    <s v="North Puget Sound"/>
    <m/>
    <n v="10.198874296435299"/>
    <n v="189.18911819887501"/>
  </r>
  <r>
    <n v="63"/>
    <x v="1"/>
    <s v="Freshwater"/>
    <x v="1"/>
    <x v="1"/>
    <n v="852"/>
    <s v="Snoqualmie River"/>
    <s v="Snoqualmie River"/>
    <s v="Snohomish/King"/>
    <x v="2"/>
    <s v="Whatcom"/>
    <x v="11"/>
    <s v="North Puget Sound"/>
    <m/>
    <n v="2.54971857410882"/>
    <n v="47.297279549718603"/>
  </r>
  <r>
    <n v="2568"/>
    <x v="1"/>
    <s v="Freshwater"/>
    <x v="1"/>
    <x v="1"/>
    <n v="854"/>
    <s v="Sultan River"/>
    <s v="Sultan River"/>
    <s v="Snohomish"/>
    <x v="2"/>
    <s v="King"/>
    <x v="3"/>
    <s v="South Puget Sound"/>
    <m/>
    <n v="11.1111111111111"/>
    <n v="206.111111111111"/>
  </r>
  <r>
    <n v="2569"/>
    <x v="1"/>
    <s v="Freshwater"/>
    <x v="1"/>
    <x v="1"/>
    <n v="854"/>
    <s v="Sultan River"/>
    <s v="Sultan River"/>
    <s v="Snohomish"/>
    <x v="2"/>
    <s v="Other"/>
    <x v="6"/>
    <s v="Non Puget Sound"/>
    <m/>
    <n v="5.5555555555555598"/>
    <n v="103.055555555556"/>
  </r>
  <r>
    <n v="2567"/>
    <x v="1"/>
    <s v="Freshwater"/>
    <x v="1"/>
    <x v="1"/>
    <n v="854"/>
    <s v="Sultan River"/>
    <s v="Sultan River"/>
    <s v="Snohomish"/>
    <x v="2"/>
    <s v="Snohomish"/>
    <x v="9"/>
    <s v="North Puget Sound"/>
    <m/>
    <n v="33.3333333333333"/>
    <n v="618.33333333333303"/>
  </r>
  <r>
    <n v="1519"/>
    <x v="1"/>
    <s v="Freshwater"/>
    <x v="1"/>
    <x v="1"/>
    <n v="856"/>
    <s v="Tokul Creek"/>
    <s v="Tokul Creek"/>
    <s v="King"/>
    <x v="2"/>
    <s v="King"/>
    <x v="3"/>
    <s v="South Puget Sound"/>
    <m/>
    <n v="450.81407035175903"/>
    <n v="8362.6010050251298"/>
  </r>
  <r>
    <n v="1679"/>
    <x v="1"/>
    <s v="Freshwater"/>
    <x v="1"/>
    <x v="1"/>
    <n v="856"/>
    <s v="Tokul Creek"/>
    <s v="Tokul Creek"/>
    <s v="King"/>
    <x v="2"/>
    <s v="Kitsap"/>
    <x v="4"/>
    <s v="South Puget Sound"/>
    <m/>
    <n v="5.0653266331658298"/>
    <n v="93.961809045226104"/>
  </r>
  <r>
    <n v="1680"/>
    <x v="1"/>
    <s v="Freshwater"/>
    <x v="1"/>
    <x v="1"/>
    <n v="856"/>
    <s v="Tokul Creek"/>
    <s v="Tokul Creek"/>
    <s v="King"/>
    <x v="2"/>
    <s v="Other"/>
    <x v="6"/>
    <s v="Non Puget Sound"/>
    <m/>
    <n v="10.1306532663317"/>
    <n v="187.923618090453"/>
  </r>
  <r>
    <n v="1520"/>
    <x v="1"/>
    <s v="Freshwater"/>
    <x v="1"/>
    <x v="1"/>
    <n v="856"/>
    <s v="Tokul Creek"/>
    <s v="Tokul Creek"/>
    <s v="King"/>
    <x v="2"/>
    <s v="Pierce"/>
    <x v="7"/>
    <s v="South Puget Sound"/>
    <m/>
    <n v="22.793969849246199"/>
    <n v="422.82814070351702"/>
  </r>
  <r>
    <n v="1518"/>
    <x v="1"/>
    <s v="Freshwater"/>
    <x v="1"/>
    <x v="1"/>
    <n v="856"/>
    <s v="Tokul Creek"/>
    <s v="Tokul Creek"/>
    <s v="King"/>
    <x v="2"/>
    <s v="Snohomish"/>
    <x v="9"/>
    <s v="North Puget Sound"/>
    <m/>
    <n v="15.1959798994975"/>
    <n v="281.88542713567898"/>
  </r>
  <r>
    <n v="1681"/>
    <x v="1"/>
    <s v="Freshwater"/>
    <x v="1"/>
    <x v="1"/>
    <n v="858"/>
    <s v="Tolt River"/>
    <s v="Tolt River"/>
    <s v="King"/>
    <x v="2"/>
    <s v="King"/>
    <x v="3"/>
    <s v="South Puget Sound"/>
    <m/>
    <n v="3"/>
    <n v="55.65"/>
  </r>
  <r>
    <n v="2694"/>
    <x v="1"/>
    <s v="Freshwater"/>
    <x v="1"/>
    <x v="1"/>
    <n v="860"/>
    <s v="Wallace River"/>
    <s v="Wallace River"/>
    <s v="Snohomish"/>
    <x v="2"/>
    <s v="Island"/>
    <x v="1"/>
    <s v="North Puget Sound"/>
    <m/>
    <n v="2.5588235294117601"/>
    <n v="47.466176470588202"/>
  </r>
  <r>
    <n v="2695"/>
    <x v="1"/>
    <s v="Freshwater"/>
    <x v="1"/>
    <x v="1"/>
    <n v="860"/>
    <s v="Wallace River"/>
    <s v="Wallace River"/>
    <s v="Snohomish"/>
    <x v="2"/>
    <s v="King"/>
    <x v="3"/>
    <s v="South Puget Sound"/>
    <m/>
    <n v="48.617647058823501"/>
    <n v="901.85735294117603"/>
  </r>
  <r>
    <n v="2697"/>
    <x v="1"/>
    <s v="Freshwater"/>
    <x v="1"/>
    <x v="1"/>
    <n v="860"/>
    <s v="Wallace River"/>
    <s v="Wallace River"/>
    <s v="Snohomish"/>
    <x v="2"/>
    <s v="Other"/>
    <x v="6"/>
    <s v="Non Puget Sound"/>
    <m/>
    <n v="7.6764705882352997"/>
    <n v="142.398529411765"/>
  </r>
  <r>
    <n v="2696"/>
    <x v="1"/>
    <s v="Freshwater"/>
    <x v="1"/>
    <x v="1"/>
    <n v="860"/>
    <s v="Wallace River"/>
    <s v="Wallace River"/>
    <s v="Snohomish"/>
    <x v="2"/>
    <s v="Pierce"/>
    <x v="7"/>
    <s v="South Puget Sound"/>
    <m/>
    <n v="10.235294117647101"/>
    <n v="189.864705882354"/>
  </r>
  <r>
    <n v="2692"/>
    <x v="1"/>
    <s v="Freshwater"/>
    <x v="1"/>
    <x v="1"/>
    <n v="860"/>
    <s v="Wallace River"/>
    <s v="Wallace River"/>
    <s v="Snohomish"/>
    <x v="2"/>
    <s v="Skagit"/>
    <x v="8"/>
    <s v="North Puget Sound"/>
    <m/>
    <n v="10.235294117647101"/>
    <n v="189.864705882354"/>
  </r>
  <r>
    <n v="2693"/>
    <x v="1"/>
    <s v="Freshwater"/>
    <x v="1"/>
    <x v="1"/>
    <n v="860"/>
    <s v="Wallace River"/>
    <s v="Wallace River"/>
    <s v="Snohomish"/>
    <x v="2"/>
    <s v="Snohomish"/>
    <x v="9"/>
    <s v="North Puget Sound"/>
    <m/>
    <n v="168.882352941177"/>
    <n v="3132.7676470588299"/>
  </r>
  <r>
    <n v="2570"/>
    <x v="1"/>
    <s v="Freshwater"/>
    <x v="1"/>
    <x v="1"/>
    <n v="860"/>
    <s v="Wallace River"/>
    <s v="Wallace River"/>
    <s v="Snohomish"/>
    <x v="2"/>
    <s v="Whatcom"/>
    <x v="11"/>
    <s v="North Puget Sound"/>
    <m/>
    <n v="12.794117647058799"/>
    <n v="237.33088235294099"/>
  </r>
  <r>
    <n v="2801"/>
    <x v="1"/>
    <s v="Freshwater"/>
    <x v="1"/>
    <x v="1"/>
    <n v="872"/>
    <s v="Stillaguamish R, No. Fork"/>
    <s v="Stillaguamish R, No. Fork"/>
    <s v="Snohomish"/>
    <x v="2"/>
    <s v="Island"/>
    <x v="1"/>
    <s v="North Puget Sound"/>
    <m/>
    <n v="8.1162790697674403"/>
    <n v="150.55697674418599"/>
  </r>
  <r>
    <n v="2803"/>
    <x v="1"/>
    <s v="Freshwater"/>
    <x v="1"/>
    <x v="1"/>
    <n v="872"/>
    <s v="Stillaguamish R, No. Fork"/>
    <s v="Stillaguamish R, No. Fork"/>
    <s v="Snohomish"/>
    <x v="2"/>
    <s v="King"/>
    <x v="3"/>
    <s v="South Puget Sound"/>
    <m/>
    <n v="24.3488372093023"/>
    <n v="451.67093023255802"/>
  </r>
  <r>
    <n v="2804"/>
    <x v="1"/>
    <s v="Freshwater"/>
    <x v="1"/>
    <x v="1"/>
    <n v="872"/>
    <s v="Stillaguamish R, No. Fork"/>
    <s v="Stillaguamish R, No. Fork"/>
    <s v="Snohomish"/>
    <x v="2"/>
    <s v="Other"/>
    <x v="6"/>
    <s v="Non Puget Sound"/>
    <m/>
    <n v="2.7054263565891499"/>
    <n v="50.185658914728698"/>
  </r>
  <r>
    <n v="2802"/>
    <x v="1"/>
    <s v="Freshwater"/>
    <x v="1"/>
    <x v="1"/>
    <n v="872"/>
    <s v="Stillaguamish R, No. Fork"/>
    <s v="Stillaguamish R, No. Fork"/>
    <s v="Snohomish"/>
    <x v="2"/>
    <s v="San Juan"/>
    <x v="12"/>
    <s v="North Puget Sound"/>
    <m/>
    <n v="24.3488372093023"/>
    <n v="451.67093023255802"/>
  </r>
  <r>
    <n v="2799"/>
    <x v="1"/>
    <s v="Freshwater"/>
    <x v="1"/>
    <x v="1"/>
    <n v="872"/>
    <s v="Stillaguamish R, No. Fork"/>
    <s v="Stillaguamish R, No. Fork"/>
    <s v="Snohomish"/>
    <x v="2"/>
    <s v="Skagit"/>
    <x v="8"/>
    <s v="North Puget Sound"/>
    <m/>
    <n v="16.232558139534898"/>
    <n v="301.11395348837198"/>
  </r>
  <r>
    <n v="2800"/>
    <x v="1"/>
    <s v="Freshwater"/>
    <x v="1"/>
    <x v="1"/>
    <n v="872"/>
    <s v="Stillaguamish R, No. Fork"/>
    <s v="Stillaguamish R, No. Fork"/>
    <s v="Snohomish"/>
    <x v="2"/>
    <s v="Snohomish"/>
    <x v="9"/>
    <s v="North Puget Sound"/>
    <m/>
    <n v="267.83720930232602"/>
    <n v="4968.3802325581501"/>
  </r>
  <r>
    <n v="2698"/>
    <x v="1"/>
    <s v="Freshwater"/>
    <x v="1"/>
    <x v="1"/>
    <n v="872"/>
    <s v="Stillaguamish R, No. Fork"/>
    <s v="Stillaguamish R, No. Fork"/>
    <s v="Snohomish"/>
    <x v="2"/>
    <s v="Whatcom"/>
    <x v="11"/>
    <s v="North Puget Sound"/>
    <m/>
    <n v="5.4108527131782997"/>
    <n v="100.371317829457"/>
  </r>
  <r>
    <n v="2805"/>
    <x v="1"/>
    <s v="Freshwater"/>
    <x v="1"/>
    <x v="1"/>
    <n v="874"/>
    <s v="Stillaguamish R, So. Fork"/>
    <s v="Stillaguamish R, So. Fork"/>
    <s v="Snohomish"/>
    <x v="2"/>
    <s v="Snohomish"/>
    <x v="9"/>
    <s v="North Puget Sound"/>
    <m/>
    <n v="11"/>
    <n v="204.05"/>
  </r>
  <r>
    <n v="1393"/>
    <x v="1"/>
    <s v="Freshwater"/>
    <x v="1"/>
    <x v="1"/>
    <n v="876"/>
    <s v="Stillaguamish River"/>
    <s v="Stillaguamish River"/>
    <s v="Snohomish"/>
    <x v="2"/>
    <s v="King"/>
    <x v="3"/>
    <s v="South Puget Sound"/>
    <m/>
    <n v="9"/>
    <n v="166.95"/>
  </r>
  <r>
    <n v="1566"/>
    <x v="1"/>
    <s v="Freshwater"/>
    <x v="1"/>
    <x v="1"/>
    <n v="876"/>
    <s v="Stillaguamish River"/>
    <s v="Stillaguamish River"/>
    <s v="Snohomish"/>
    <x v="2"/>
    <s v="Other"/>
    <x v="6"/>
    <s v="Non Puget Sound"/>
    <m/>
    <n v="3"/>
    <n v="55.65"/>
  </r>
  <r>
    <n v="1392"/>
    <x v="1"/>
    <s v="Freshwater"/>
    <x v="1"/>
    <x v="1"/>
    <n v="876"/>
    <s v="Stillaguamish River"/>
    <s v="Stillaguamish River"/>
    <s v="Snohomish"/>
    <x v="2"/>
    <s v="Snohomish"/>
    <x v="9"/>
    <s v="North Puget Sound"/>
    <m/>
    <n v="72"/>
    <n v="1335.6"/>
  </r>
  <r>
    <n v="3011"/>
    <x v="1"/>
    <s v="Freshwater"/>
    <x v="1"/>
    <x v="1"/>
    <n v="884"/>
    <s v="Whatcom Creek"/>
    <s v="Whatcom Creek"/>
    <s v="Whatcom"/>
    <x v="1"/>
    <s v="Whatcom"/>
    <x v="11"/>
    <s v="North Puget Sound"/>
    <m/>
    <n v="4"/>
    <n v="74.2"/>
  </r>
  <r>
    <n v="3148"/>
    <x v="2"/>
    <s v="Freshwater"/>
    <x v="1"/>
    <x v="1"/>
    <n v="718"/>
    <s v="Clallam River"/>
    <s v="Clallam River"/>
    <s v="Clallam"/>
    <x v="0"/>
    <s v="Clallam"/>
    <x v="0"/>
    <s v="Strait of Juan de Fuca"/>
    <m/>
    <n v="16"/>
    <n v="136.63999999999999"/>
  </r>
  <r>
    <n v="3151"/>
    <x v="2"/>
    <s v="Freshwater"/>
    <x v="1"/>
    <x v="1"/>
    <n v="738"/>
    <s v="Dungeness River"/>
    <s v="Dungeness River"/>
    <s v="Clallam"/>
    <x v="0"/>
    <s v="Clallam"/>
    <x v="0"/>
    <s v="Strait of Juan de Fuca"/>
    <m/>
    <n v="74.400000000000006"/>
    <n v="635.37599999999998"/>
  </r>
  <r>
    <n v="3152"/>
    <x v="2"/>
    <s v="Freshwater"/>
    <x v="1"/>
    <x v="1"/>
    <n v="738"/>
    <s v="Dungeness River"/>
    <s v="Dungeness River"/>
    <s v="Clallam"/>
    <x v="0"/>
    <s v="Jefferson"/>
    <x v="2"/>
    <s v="Strait of Juan de Fuca"/>
    <m/>
    <n v="3.1"/>
    <n v="26.474"/>
  </r>
  <r>
    <n v="3150"/>
    <x v="2"/>
    <s v="Freshwater"/>
    <x v="1"/>
    <x v="1"/>
    <n v="738"/>
    <s v="Dungeness River"/>
    <s v="Dungeness River"/>
    <s v="Clallam"/>
    <x v="0"/>
    <s v="Kitsap"/>
    <x v="4"/>
    <s v="South Puget Sound"/>
    <m/>
    <n v="6.2"/>
    <n v="52.948"/>
  </r>
  <r>
    <n v="3149"/>
    <x v="2"/>
    <s v="Freshwater"/>
    <x v="1"/>
    <x v="1"/>
    <n v="738"/>
    <s v="Dungeness River"/>
    <s v="Dungeness River"/>
    <s v="Clallam"/>
    <x v="0"/>
    <s v="Whatcom"/>
    <x v="11"/>
    <s v="North Puget Sound"/>
    <m/>
    <n v="9.3000000000000007"/>
    <n v="79.421999999999997"/>
  </r>
  <r>
    <n v="611"/>
    <x v="2"/>
    <s v="Freshwater"/>
    <x v="1"/>
    <x v="1"/>
    <n v="746"/>
    <s v="Green (Duwamish River) (King Co.)"/>
    <s v="Green - Duwamish River"/>
    <s v="King"/>
    <x v="3"/>
    <s v="Clallam"/>
    <x v="0"/>
    <s v="Strait of Juan de Fuca"/>
    <m/>
    <n v="3.4507042253521099"/>
    <n v="29.469014084506998"/>
  </r>
  <r>
    <n v="608"/>
    <x v="2"/>
    <s v="Freshwater"/>
    <x v="1"/>
    <x v="1"/>
    <n v="746"/>
    <s v="Green (Duwamish River) (King Co.)"/>
    <s v="Green - Duwamish River"/>
    <s v="King"/>
    <x v="3"/>
    <s v="King"/>
    <x v="3"/>
    <s v="South Puget Sound"/>
    <m/>
    <n v="517.60563380281701"/>
    <n v="4420.3521126760597"/>
  </r>
  <r>
    <n v="609"/>
    <x v="2"/>
    <s v="Freshwater"/>
    <x v="1"/>
    <x v="1"/>
    <n v="746"/>
    <s v="Green (Duwamish River) (King Co.)"/>
    <s v="Green - Duwamish River"/>
    <s v="King"/>
    <x v="3"/>
    <s v="Pierce"/>
    <x v="7"/>
    <s v="South Puget Sound"/>
    <m/>
    <n v="203.591549295775"/>
    <n v="1738.67183098592"/>
  </r>
  <r>
    <n v="607"/>
    <x v="2"/>
    <s v="Freshwater"/>
    <x v="1"/>
    <x v="1"/>
    <n v="746"/>
    <s v="Green (Duwamish River) (King Co.)"/>
    <s v="Green - Duwamish River"/>
    <s v="King"/>
    <x v="3"/>
    <s v="Snohomish"/>
    <x v="9"/>
    <s v="North Puget Sound"/>
    <m/>
    <n v="3.4507042253521099"/>
    <n v="29.469014084506998"/>
  </r>
  <r>
    <n v="610"/>
    <x v="2"/>
    <s v="Freshwater"/>
    <x v="1"/>
    <x v="1"/>
    <n v="746"/>
    <s v="Green (Duwamish River) (King Co.)"/>
    <s v="Green - Duwamish River"/>
    <s v="King"/>
    <x v="3"/>
    <s v="Thurston"/>
    <x v="10"/>
    <s v="South Puget Sound"/>
    <m/>
    <n v="6.9014084507042304"/>
    <n v="58.938028169014103"/>
  </r>
  <r>
    <n v="3163"/>
    <x v="2"/>
    <s v="Freshwater"/>
    <x v="1"/>
    <x v="1"/>
    <n v="752"/>
    <s v="Hoko River"/>
    <s v="Hoko River"/>
    <s v="Clallam"/>
    <x v="0"/>
    <s v="Clallam"/>
    <x v="0"/>
    <s v="Strait of Juan de Fuca"/>
    <m/>
    <n v="127.329268292683"/>
    <n v="1087.39195121951"/>
  </r>
  <r>
    <n v="3160"/>
    <x v="2"/>
    <s v="Freshwater"/>
    <x v="1"/>
    <x v="1"/>
    <n v="752"/>
    <s v="Hoko River"/>
    <s v="Hoko River"/>
    <s v="Clallam"/>
    <x v="0"/>
    <s v="Island"/>
    <x v="1"/>
    <s v="North Puget Sound"/>
    <m/>
    <n v="4.8048780487804903"/>
    <n v="41.033658536585399"/>
  </r>
  <r>
    <n v="3161"/>
    <x v="2"/>
    <s v="Freshwater"/>
    <x v="1"/>
    <x v="1"/>
    <n v="752"/>
    <s v="Hoko River"/>
    <s v="Hoko River"/>
    <s v="Clallam"/>
    <x v="0"/>
    <s v="King"/>
    <x v="3"/>
    <s v="South Puget Sound"/>
    <m/>
    <n v="19.219512195122"/>
    <n v="164.13463414634199"/>
  </r>
  <r>
    <n v="3164"/>
    <x v="2"/>
    <s v="Freshwater"/>
    <x v="1"/>
    <x v="1"/>
    <n v="752"/>
    <s v="Hoko River"/>
    <s v="Hoko River"/>
    <s v="Clallam"/>
    <x v="0"/>
    <s v="Other"/>
    <x v="6"/>
    <s v="Non Puget Sound"/>
    <m/>
    <n v="2.4024390243902398"/>
    <n v="20.5168292682926"/>
  </r>
  <r>
    <n v="3162"/>
    <x v="2"/>
    <s v="Freshwater"/>
    <x v="1"/>
    <x v="1"/>
    <n v="752"/>
    <s v="Hoko River"/>
    <s v="Hoko River"/>
    <s v="Clallam"/>
    <x v="0"/>
    <s v="Pierce"/>
    <x v="7"/>
    <s v="South Puget Sound"/>
    <m/>
    <n v="38.439024390243901"/>
    <n v="328.26926829268302"/>
  </r>
  <r>
    <n v="3158"/>
    <x v="2"/>
    <s v="Freshwater"/>
    <x v="1"/>
    <x v="1"/>
    <n v="752"/>
    <s v="Hoko River"/>
    <s v="Hoko River"/>
    <s v="Clallam"/>
    <x v="0"/>
    <s v="Skagit"/>
    <x v="8"/>
    <s v="North Puget Sound"/>
    <m/>
    <n v="2.4024390243902398"/>
    <n v="20.5168292682926"/>
  </r>
  <r>
    <n v="3159"/>
    <x v="2"/>
    <s v="Freshwater"/>
    <x v="1"/>
    <x v="1"/>
    <n v="752"/>
    <s v="Hoko River"/>
    <s v="Hoko River"/>
    <s v="Clallam"/>
    <x v="0"/>
    <s v="Snohomish"/>
    <x v="9"/>
    <s v="North Puget Sound"/>
    <m/>
    <n v="2.4024390243902398"/>
    <n v="20.5168292682926"/>
  </r>
  <r>
    <n v="3166"/>
    <x v="2"/>
    <s v="Freshwater"/>
    <x v="1"/>
    <x v="1"/>
    <n v="768"/>
    <s v="Lyre River"/>
    <s v="Lyre River"/>
    <s v="Clallam"/>
    <x v="0"/>
    <s v="Clallam"/>
    <x v="0"/>
    <s v="Strait of Juan de Fuca"/>
    <m/>
    <n v="12.5714285714286"/>
    <n v="107.36"/>
  </r>
  <r>
    <n v="3165"/>
    <x v="2"/>
    <s v="Freshwater"/>
    <x v="1"/>
    <x v="1"/>
    <n v="768"/>
    <s v="Lyre River"/>
    <s v="Lyre River"/>
    <s v="Clallam"/>
    <x v="0"/>
    <s v="Island"/>
    <x v="1"/>
    <s v="North Puget Sound"/>
    <m/>
    <n v="6.28571428571429"/>
    <n v="53.68"/>
  </r>
  <r>
    <n v="3167"/>
    <x v="2"/>
    <s v="Freshwater"/>
    <x v="1"/>
    <x v="1"/>
    <n v="768"/>
    <s v="Lyre River"/>
    <s v="Lyre River"/>
    <s v="Clallam"/>
    <x v="0"/>
    <s v="Other"/>
    <x v="6"/>
    <s v="Non Puget Sound"/>
    <m/>
    <n v="3.1428571428571401"/>
    <n v="26.84"/>
  </r>
  <r>
    <n v="3168"/>
    <x v="2"/>
    <s v="Freshwater"/>
    <x v="1"/>
    <x v="1"/>
    <n v="782"/>
    <s v="Morse Creek (Clallam Co.)"/>
    <s v="Morse Creek (Clallam Co.)"/>
    <s v="Clallam"/>
    <x v="0"/>
    <s v="Clallam"/>
    <x v="0"/>
    <s v="Strait of Juan de Fuca"/>
    <m/>
    <n v="9"/>
    <n v="76.86"/>
  </r>
  <r>
    <n v="592"/>
    <x v="2"/>
    <s v="Freshwater"/>
    <x v="1"/>
    <x v="1"/>
    <n v="786"/>
    <s v="Nisqually River"/>
    <s v="Nisqually River"/>
    <s v="Thurston/Pierce"/>
    <x v="3"/>
    <s v="Other"/>
    <x v="6"/>
    <s v="Non Puget Sound"/>
    <m/>
    <n v="3"/>
    <n v="25.62"/>
  </r>
  <r>
    <n v="591"/>
    <x v="2"/>
    <s v="Freshwater"/>
    <x v="1"/>
    <x v="1"/>
    <n v="786"/>
    <s v="Nisqually River"/>
    <s v="Nisqually River"/>
    <s v="Thurston/Pierce"/>
    <x v="3"/>
    <s v="Thurston"/>
    <x v="10"/>
    <s v="South Puget Sound"/>
    <m/>
    <n v="3"/>
    <n v="25.62"/>
  </r>
  <r>
    <n v="3012"/>
    <x v="2"/>
    <s v="Freshwater"/>
    <x v="1"/>
    <x v="1"/>
    <n v="790"/>
    <s v="Nooksack River, No. Fork"/>
    <s v="Nooksack River, No. Fork"/>
    <s v="Whatcom"/>
    <x v="1"/>
    <s v="Whatcom"/>
    <x v="11"/>
    <s v="North Puget Sound"/>
    <m/>
    <n v="51"/>
    <n v="435.54"/>
  </r>
  <r>
    <n v="3014"/>
    <x v="2"/>
    <s v="Freshwater"/>
    <x v="1"/>
    <x v="1"/>
    <n v="794"/>
    <s v="Nooksack River, below North Fork"/>
    <s v="Nooksack River, below North Fork"/>
    <s v="Whatcom"/>
    <x v="1"/>
    <s v="Skagit"/>
    <x v="8"/>
    <s v="North Puget Sound"/>
    <m/>
    <n v="3.2"/>
    <n v="27.327999999999999"/>
  </r>
  <r>
    <n v="3013"/>
    <x v="2"/>
    <s v="Freshwater"/>
    <x v="1"/>
    <x v="1"/>
    <n v="794"/>
    <s v="Nooksack River, below North Fork"/>
    <s v="Nooksack River, below North Fork"/>
    <s v="Whatcom"/>
    <x v="1"/>
    <s v="Whatcom"/>
    <x v="11"/>
    <s v="North Puget Sound"/>
    <m/>
    <n v="28.8"/>
    <n v="245.952"/>
  </r>
  <r>
    <n v="3176"/>
    <x v="2"/>
    <s v="Freshwater"/>
    <x v="1"/>
    <x v="1"/>
    <n v="810"/>
    <s v="Pysht River"/>
    <s v="Pysht River"/>
    <s v="Clallam"/>
    <x v="0"/>
    <s v="Clallam"/>
    <x v="0"/>
    <s v="Strait of Juan de Fuca"/>
    <m/>
    <n v="22"/>
    <n v="187.88"/>
  </r>
  <r>
    <n v="3178"/>
    <x v="2"/>
    <s v="Freshwater"/>
    <x v="1"/>
    <x v="1"/>
    <n v="818"/>
    <s v="Sekiu River"/>
    <s v="Sekiu River"/>
    <s v="Clallam"/>
    <x v="0"/>
    <s v="Clallam"/>
    <x v="0"/>
    <s v="Strait of Juan de Fuca"/>
    <m/>
    <n v="3"/>
    <n v="25.62"/>
  </r>
  <r>
    <n v="3177"/>
    <x v="2"/>
    <s v="Freshwater"/>
    <x v="1"/>
    <x v="1"/>
    <n v="818"/>
    <s v="Sekiu River"/>
    <s v="Sekiu River"/>
    <s v="Clallam"/>
    <x v="0"/>
    <s v="Pierce"/>
    <x v="7"/>
    <s v="South Puget Sound"/>
    <m/>
    <n v="3"/>
    <n v="25.62"/>
  </r>
  <r>
    <n v="1917"/>
    <x v="2"/>
    <s v="Freshwater"/>
    <x v="1"/>
    <x v="1"/>
    <n v="826"/>
    <s v="Cascade River"/>
    <s v="Cascade River"/>
    <s v="Skagit"/>
    <x v="1"/>
    <s v="Island"/>
    <x v="1"/>
    <s v="North Puget Sound"/>
    <m/>
    <n v="9.0181818181818194"/>
    <n v="77.015272727272702"/>
  </r>
  <r>
    <n v="1959"/>
    <x v="2"/>
    <s v="Freshwater"/>
    <x v="1"/>
    <x v="1"/>
    <n v="826"/>
    <s v="Cascade River"/>
    <s v="Cascade River"/>
    <s v="Skagit"/>
    <x v="1"/>
    <s v="King"/>
    <x v="3"/>
    <s v="South Puget Sound"/>
    <m/>
    <n v="13.527272727272701"/>
    <n v="115.522909090909"/>
  </r>
  <r>
    <n v="1960"/>
    <x v="2"/>
    <s v="Freshwater"/>
    <x v="1"/>
    <x v="1"/>
    <n v="826"/>
    <s v="Cascade River"/>
    <s v="Cascade River"/>
    <s v="Skagit"/>
    <x v="1"/>
    <s v="Kitsap"/>
    <x v="4"/>
    <s v="South Puget Sound"/>
    <m/>
    <n v="13.527272727272701"/>
    <n v="115.522909090909"/>
  </r>
  <r>
    <n v="1961"/>
    <x v="2"/>
    <s v="Freshwater"/>
    <x v="1"/>
    <x v="1"/>
    <n v="826"/>
    <s v="Cascade River"/>
    <s v="Cascade River"/>
    <s v="Skagit"/>
    <x v="1"/>
    <s v="Other"/>
    <x v="6"/>
    <s v="Non Puget Sound"/>
    <m/>
    <n v="11.2727272727273"/>
    <n v="96.269090909091105"/>
  </r>
  <r>
    <n v="1958"/>
    <x v="2"/>
    <s v="Freshwater"/>
    <x v="1"/>
    <x v="1"/>
    <n v="826"/>
    <s v="Cascade River"/>
    <s v="Cascade River"/>
    <s v="Skagit"/>
    <x v="1"/>
    <s v="San Juan"/>
    <x v="12"/>
    <s v="North Puget Sound"/>
    <m/>
    <n v="4.5090909090909097"/>
    <n v="38.507636363636401"/>
  </r>
  <r>
    <n v="1915"/>
    <x v="2"/>
    <s v="Freshwater"/>
    <x v="1"/>
    <x v="1"/>
    <n v="826"/>
    <s v="Cascade River"/>
    <s v="Cascade River"/>
    <s v="Skagit"/>
    <x v="1"/>
    <s v="Skagit"/>
    <x v="8"/>
    <s v="North Puget Sound"/>
    <m/>
    <n v="193.89090909090899"/>
    <n v="1655.8283636363601"/>
  </r>
  <r>
    <n v="1916"/>
    <x v="2"/>
    <s v="Freshwater"/>
    <x v="1"/>
    <x v="1"/>
    <n v="826"/>
    <s v="Cascade River"/>
    <s v="Cascade River"/>
    <s v="Skagit"/>
    <x v="1"/>
    <s v="Snohomish"/>
    <x v="9"/>
    <s v="North Puget Sound"/>
    <m/>
    <n v="76.654545454545499"/>
    <n v="654.629818181818"/>
  </r>
  <r>
    <n v="1912"/>
    <x v="2"/>
    <s v="Freshwater"/>
    <x v="1"/>
    <x v="1"/>
    <n v="826"/>
    <s v="Cascade River"/>
    <s v="Cascade River"/>
    <s v="Skagit"/>
    <x v="1"/>
    <s v="Whatcom"/>
    <x v="11"/>
    <s v="North Puget Sound"/>
    <m/>
    <n v="49.6"/>
    <n v="423.584"/>
  </r>
  <r>
    <n v="3346"/>
    <x v="2"/>
    <s v="Freshwater"/>
    <x v="1"/>
    <x v="1"/>
    <n v="830"/>
    <s v="Skagit River"/>
    <s v="Skagit River"/>
    <s v="Skagit/Whatcom"/>
    <x v="2"/>
    <s v="Island"/>
    <x v="1"/>
    <s v="North Puget Sound"/>
    <m/>
    <n v="2.0476190476190501"/>
    <n v="17.4866666666667"/>
  </r>
  <r>
    <n v="3374"/>
    <x v="2"/>
    <s v="Freshwater"/>
    <x v="1"/>
    <x v="1"/>
    <n v="830"/>
    <s v="Skagit River"/>
    <s v="Skagit River"/>
    <s v="Skagit/Whatcom"/>
    <x v="2"/>
    <s v="King"/>
    <x v="3"/>
    <s v="South Puget Sound"/>
    <m/>
    <n v="10.2380952380952"/>
    <n v="87.433333333332996"/>
  </r>
  <r>
    <n v="3376"/>
    <x v="2"/>
    <s v="Freshwater"/>
    <x v="1"/>
    <x v="1"/>
    <n v="830"/>
    <s v="Skagit River"/>
    <s v="Skagit River"/>
    <s v="Skagit/Whatcom"/>
    <x v="2"/>
    <s v="Other"/>
    <x v="6"/>
    <s v="Non Puget Sound"/>
    <m/>
    <n v="2.0476190476190501"/>
    <n v="17.4866666666667"/>
  </r>
  <r>
    <n v="3375"/>
    <x v="2"/>
    <s v="Freshwater"/>
    <x v="1"/>
    <x v="1"/>
    <n v="830"/>
    <s v="Skagit River"/>
    <s v="Skagit River"/>
    <s v="Skagit/Whatcom"/>
    <x v="2"/>
    <s v="Pierce"/>
    <x v="7"/>
    <s v="South Puget Sound"/>
    <m/>
    <n v="2.0476190476190501"/>
    <n v="17.4866666666667"/>
  </r>
  <r>
    <n v="3281"/>
    <x v="2"/>
    <s v="Freshwater"/>
    <x v="1"/>
    <x v="1"/>
    <n v="830"/>
    <s v="Skagit River"/>
    <s v="Skagit River"/>
    <s v="Skagit/Whatcom"/>
    <x v="2"/>
    <s v="Skagit"/>
    <x v="8"/>
    <s v="North Puget Sound"/>
    <m/>
    <n v="100.333333333333"/>
    <n v="856.84666666666396"/>
  </r>
  <r>
    <n v="3345"/>
    <x v="2"/>
    <s v="Freshwater"/>
    <x v="1"/>
    <x v="1"/>
    <n v="830"/>
    <s v="Skagit River"/>
    <s v="Skagit River"/>
    <s v="Skagit/Whatcom"/>
    <x v="2"/>
    <s v="Snohomish"/>
    <x v="9"/>
    <s v="North Puget Sound"/>
    <m/>
    <n v="8.1904761904761898"/>
    <n v="69.946666666666701"/>
  </r>
  <r>
    <n v="3280"/>
    <x v="2"/>
    <s v="Freshwater"/>
    <x v="1"/>
    <x v="1"/>
    <n v="830"/>
    <s v="Skagit River"/>
    <s v="Skagit River"/>
    <s v="Skagit/Whatcom"/>
    <x v="2"/>
    <s v="Whatcom"/>
    <x v="11"/>
    <s v="North Puget Sound"/>
    <m/>
    <n v="4.0952380952381002"/>
    <n v="34.9733333333334"/>
  </r>
  <r>
    <n v="1568"/>
    <x v="2"/>
    <s v="Freshwater"/>
    <x v="1"/>
    <x v="1"/>
    <n v="840"/>
    <s v="Pilchuck River (Snohomish System)"/>
    <s v="Pilchuck River (Snohomish System)"/>
    <s v="Snohomish"/>
    <x v="2"/>
    <s v="King"/>
    <x v="3"/>
    <s v="South Puget Sound"/>
    <m/>
    <n v="3"/>
    <n v="25.62"/>
  </r>
  <r>
    <n v="1567"/>
    <x v="2"/>
    <s v="Freshwater"/>
    <x v="1"/>
    <x v="1"/>
    <n v="840"/>
    <s v="Pilchuck River (Snohomish System)"/>
    <s v="Pilchuck River (Snohomish System)"/>
    <s v="Snohomish"/>
    <x v="2"/>
    <s v="Snohomish"/>
    <x v="9"/>
    <s v="North Puget Sound"/>
    <m/>
    <n v="24"/>
    <n v="204.96"/>
  </r>
  <r>
    <n v="225"/>
    <x v="2"/>
    <s v="Freshwater"/>
    <x v="1"/>
    <x v="1"/>
    <n v="842"/>
    <s v="Raging River"/>
    <s v="Raging River"/>
    <s v="King"/>
    <x v="3"/>
    <s v="King"/>
    <x v="3"/>
    <s v="South Puget Sound"/>
    <m/>
    <n v="9"/>
    <n v="76.86"/>
  </r>
  <r>
    <n v="226"/>
    <x v="2"/>
    <s v="Freshwater"/>
    <x v="1"/>
    <x v="1"/>
    <n v="842"/>
    <s v="Raging River"/>
    <s v="Raging River"/>
    <s v="King"/>
    <x v="3"/>
    <s v="Other"/>
    <x v="6"/>
    <s v="Non Puget Sound"/>
    <m/>
    <n v="6"/>
    <n v="51.24"/>
  </r>
  <r>
    <n v="1585"/>
    <x v="2"/>
    <s v="Freshwater"/>
    <x v="1"/>
    <x v="1"/>
    <n v="844"/>
    <s v="Skykomish River"/>
    <s v="Skykomish River"/>
    <s v="Snohomish"/>
    <x v="2"/>
    <s v="Island"/>
    <x v="1"/>
    <s v="North Puget Sound"/>
    <m/>
    <n v="34.947251526929499"/>
    <n v="298.44952803997802"/>
  </r>
  <r>
    <n v="1722"/>
    <x v="2"/>
    <s v="Freshwater"/>
    <x v="1"/>
    <x v="1"/>
    <n v="844"/>
    <s v="Skykomish River"/>
    <s v="Skykomish River"/>
    <s v="Snohomish"/>
    <x v="2"/>
    <s v="King"/>
    <x v="3"/>
    <s v="South Puget Sound"/>
    <m/>
    <n v="2155.0805108273198"/>
    <n v="18404.387562465301"/>
  </r>
  <r>
    <n v="1725"/>
    <x v="2"/>
    <s v="Freshwater"/>
    <x v="1"/>
    <x v="1"/>
    <n v="844"/>
    <s v="Skykomish River"/>
    <s v="Skykomish River"/>
    <s v="Snohomish"/>
    <x v="2"/>
    <s v="Kitsap"/>
    <x v="4"/>
    <s v="South Puget Sound"/>
    <m/>
    <n v="8.7368128817323694"/>
    <n v="74.612382009994406"/>
  </r>
  <r>
    <n v="1726"/>
    <x v="2"/>
    <s v="Freshwater"/>
    <x v="1"/>
    <x v="1"/>
    <n v="844"/>
    <s v="Skykomish River"/>
    <s v="Skykomish River"/>
    <s v="Snohomish"/>
    <x v="2"/>
    <s v="Other"/>
    <x v="6"/>
    <s v="Non Puget Sound"/>
    <m/>
    <n v="110.66629650194299"/>
    <n v="945.09017212659296"/>
  </r>
  <r>
    <n v="1723"/>
    <x v="2"/>
    <s v="Freshwater"/>
    <x v="1"/>
    <x v="1"/>
    <n v="844"/>
    <s v="Skykomish River"/>
    <s v="Skykomish River"/>
    <s v="Snohomish"/>
    <x v="2"/>
    <s v="Pierce"/>
    <x v="7"/>
    <s v="South Puget Sound"/>
    <m/>
    <n v="55.333148250971703"/>
    <n v="472.54508606329802"/>
  </r>
  <r>
    <n v="1570"/>
    <x v="2"/>
    <s v="Freshwater"/>
    <x v="1"/>
    <x v="1"/>
    <n v="844"/>
    <s v="Skykomish River"/>
    <s v="Skykomish River"/>
    <s v="Snohomish"/>
    <x v="2"/>
    <s v="Skagit"/>
    <x v="8"/>
    <s v="North Puget Sound"/>
    <m/>
    <n v="8.7368128817323694"/>
    <n v="74.612382009994406"/>
  </r>
  <r>
    <n v="1584"/>
    <x v="2"/>
    <s v="Freshwater"/>
    <x v="1"/>
    <x v="1"/>
    <n v="844"/>
    <s v="Skykomish River"/>
    <s v="Skykomish River"/>
    <s v="Snohomish"/>
    <x v="2"/>
    <s v="Snohomish"/>
    <x v="9"/>
    <s v="North Puget Sound"/>
    <m/>
    <n v="2821.9905607995602"/>
    <n v="24099.799389228199"/>
  </r>
  <r>
    <n v="1724"/>
    <x v="2"/>
    <s v="Freshwater"/>
    <x v="1"/>
    <x v="1"/>
    <n v="844"/>
    <s v="Skykomish River"/>
    <s v="Skykomish River"/>
    <s v="Snohomish"/>
    <x v="2"/>
    <s v="Thurston"/>
    <x v="10"/>
    <s v="South Puget Sound"/>
    <m/>
    <n v="5.8245419211549203"/>
    <n v="49.741588006663001"/>
  </r>
  <r>
    <n v="1569"/>
    <x v="2"/>
    <s v="Freshwater"/>
    <x v="1"/>
    <x v="1"/>
    <n v="844"/>
    <s v="Skykomish River"/>
    <s v="Skykomish River"/>
    <s v="Snohomish"/>
    <x v="2"/>
    <s v="Whatcom"/>
    <x v="11"/>
    <s v="North Puget Sound"/>
    <m/>
    <n v="43.684064408661897"/>
    <n v="373.06191004997299"/>
  </r>
  <r>
    <n v="1900"/>
    <x v="2"/>
    <s v="Freshwater"/>
    <x v="1"/>
    <x v="1"/>
    <n v="846"/>
    <s v="Skykomish River, No. Fork"/>
    <s v="Skykomish River, No. Fork"/>
    <s v="Snohomish"/>
    <x v="2"/>
    <s v="Island"/>
    <x v="1"/>
    <s v="North Puget Sound"/>
    <m/>
    <n v="8.9210526315789505"/>
    <n v="76.185789473684196"/>
  </r>
  <r>
    <n v="1901"/>
    <x v="2"/>
    <s v="Freshwater"/>
    <x v="1"/>
    <x v="1"/>
    <n v="846"/>
    <s v="Skykomish River, No. Fork"/>
    <s v="Skykomish River, No. Fork"/>
    <s v="Snohomish"/>
    <x v="2"/>
    <s v="King"/>
    <x v="3"/>
    <s v="South Puget Sound"/>
    <m/>
    <n v="35.684210526315802"/>
    <n v="304.74315789473701"/>
  </r>
  <r>
    <n v="1738"/>
    <x v="2"/>
    <s v="Freshwater"/>
    <x v="1"/>
    <x v="1"/>
    <n v="846"/>
    <s v="Skykomish River, No. Fork"/>
    <s v="Skykomish River, No. Fork"/>
    <s v="Snohomish"/>
    <x v="2"/>
    <s v="Skagit"/>
    <x v="8"/>
    <s v="North Puget Sound"/>
    <m/>
    <n v="2.9736842105263199"/>
    <n v="25.395263157894799"/>
  </r>
  <r>
    <n v="1739"/>
    <x v="2"/>
    <s v="Freshwater"/>
    <x v="1"/>
    <x v="1"/>
    <n v="846"/>
    <s v="Skykomish River, No. Fork"/>
    <s v="Skykomish River, No. Fork"/>
    <s v="Snohomish"/>
    <x v="2"/>
    <s v="Snohomish"/>
    <x v="9"/>
    <s v="North Puget Sound"/>
    <m/>
    <n v="56.5"/>
    <n v="482.51"/>
  </r>
  <r>
    <n v="1727"/>
    <x v="2"/>
    <s v="Freshwater"/>
    <x v="1"/>
    <x v="1"/>
    <n v="846"/>
    <s v="Skykomish River, No. Fork"/>
    <s v="Skykomish River, No. Fork"/>
    <s v="Snohomish"/>
    <x v="2"/>
    <s v="Whatcom"/>
    <x v="11"/>
    <s v="North Puget Sound"/>
    <m/>
    <n v="8.9210526315789505"/>
    <n v="76.185789473684196"/>
  </r>
  <r>
    <n v="148"/>
    <x v="2"/>
    <s v="Freshwater"/>
    <x v="1"/>
    <x v="1"/>
    <n v="848"/>
    <s v="Skykomish River, So. Fork"/>
    <s v="Skykomish River, So. Fork"/>
    <s v="Snohomish/King"/>
    <x v="2"/>
    <s v="King"/>
    <x v="3"/>
    <s v="South Puget Sound"/>
    <m/>
    <n v="6"/>
    <n v="51.24"/>
  </r>
  <r>
    <n v="149"/>
    <x v="2"/>
    <s v="Freshwater"/>
    <x v="1"/>
    <x v="1"/>
    <n v="848"/>
    <s v="Skykomish River, So. Fork"/>
    <s v="Skykomish River, So. Fork"/>
    <s v="Snohomish/King"/>
    <x v="2"/>
    <s v="Other"/>
    <x v="6"/>
    <s v="Non Puget Sound"/>
    <m/>
    <n v="3"/>
    <n v="25.62"/>
  </r>
  <r>
    <n v="147"/>
    <x v="2"/>
    <s v="Freshwater"/>
    <x v="1"/>
    <x v="1"/>
    <n v="848"/>
    <s v="Skykomish River, So. Fork"/>
    <s v="Skykomish River, So. Fork"/>
    <s v="Snohomish/King"/>
    <x v="2"/>
    <s v="Snohomish"/>
    <x v="9"/>
    <s v="North Puget Sound"/>
    <m/>
    <n v="21"/>
    <n v="179.34"/>
  </r>
  <r>
    <n v="1918"/>
    <x v="2"/>
    <s v="Freshwater"/>
    <x v="1"/>
    <x v="1"/>
    <n v="850"/>
    <s v="Snohomish River"/>
    <s v="Snohomish River"/>
    <s v="Snohomish"/>
    <x v="2"/>
    <s v="King"/>
    <x v="3"/>
    <s v="South Puget Sound"/>
    <m/>
    <n v="49.515283842794801"/>
    <n v="422.86052401746798"/>
  </r>
  <r>
    <n v="2048"/>
    <x v="2"/>
    <s v="Freshwater"/>
    <x v="1"/>
    <x v="1"/>
    <n v="850"/>
    <s v="Snohomish River"/>
    <s v="Snohomish River"/>
    <s v="Snohomish"/>
    <x v="2"/>
    <s v="Other"/>
    <x v="6"/>
    <s v="Non Puget Sound"/>
    <m/>
    <n v="2.91266375545852"/>
    <n v="24.874148471615801"/>
  </r>
  <r>
    <n v="1903"/>
    <x v="2"/>
    <s v="Freshwater"/>
    <x v="1"/>
    <x v="1"/>
    <n v="850"/>
    <s v="Snohomish River"/>
    <s v="Snohomish River"/>
    <s v="Snohomish"/>
    <x v="2"/>
    <s v="Snohomish"/>
    <x v="9"/>
    <s v="North Puget Sound"/>
    <m/>
    <n v="605.83406113537103"/>
    <n v="5173.8228820960703"/>
  </r>
  <r>
    <n v="1919"/>
    <x v="2"/>
    <s v="Freshwater"/>
    <x v="1"/>
    <x v="1"/>
    <n v="850"/>
    <s v="Snohomish River"/>
    <s v="Snohomish River"/>
    <s v="Snohomish"/>
    <x v="2"/>
    <s v="Thurston"/>
    <x v="10"/>
    <s v="South Puget Sound"/>
    <m/>
    <n v="5.8253275109170302"/>
    <n v="49.748296943231402"/>
  </r>
  <r>
    <n v="1902"/>
    <x v="2"/>
    <s v="Freshwater"/>
    <x v="1"/>
    <x v="1"/>
    <n v="850"/>
    <s v="Snohomish River"/>
    <s v="Snohomish River"/>
    <s v="Snohomish"/>
    <x v="2"/>
    <s v="Whatcom"/>
    <x v="11"/>
    <s v="North Puget Sound"/>
    <m/>
    <n v="2.91266375545852"/>
    <n v="24.874148471615801"/>
  </r>
  <r>
    <n v="151"/>
    <x v="2"/>
    <s v="Freshwater"/>
    <x v="1"/>
    <x v="1"/>
    <n v="852"/>
    <s v="Snoqualmie River"/>
    <s v="Snoqualmie River"/>
    <s v="Snohomish/King"/>
    <x v="2"/>
    <s v="King"/>
    <x v="3"/>
    <s v="South Puget Sound"/>
    <m/>
    <n v="1063.7588832487299"/>
    <n v="9084.5008629441509"/>
  </r>
  <r>
    <n v="154"/>
    <x v="2"/>
    <s v="Freshwater"/>
    <x v="1"/>
    <x v="1"/>
    <n v="852"/>
    <s v="Snoqualmie River"/>
    <s v="Snoqualmie River"/>
    <s v="Snohomish/King"/>
    <x v="2"/>
    <s v="Kitsap"/>
    <x v="4"/>
    <s v="South Puget Sound"/>
    <m/>
    <n v="2.9467005076142101"/>
    <n v="25.164822335025399"/>
  </r>
  <r>
    <n v="155"/>
    <x v="2"/>
    <s v="Freshwater"/>
    <x v="1"/>
    <x v="1"/>
    <n v="852"/>
    <s v="Snoqualmie River"/>
    <s v="Snoqualmie River"/>
    <s v="Snohomish/King"/>
    <x v="2"/>
    <s v="Other"/>
    <x v="6"/>
    <s v="Non Puget Sound"/>
    <m/>
    <n v="11.786802030456901"/>
    <n v="100.65928934010201"/>
  </r>
  <r>
    <n v="152"/>
    <x v="2"/>
    <s v="Freshwater"/>
    <x v="1"/>
    <x v="1"/>
    <n v="852"/>
    <s v="Snoqualmie River"/>
    <s v="Snoqualmie River"/>
    <s v="Snohomish/King"/>
    <x v="2"/>
    <s v="Pierce"/>
    <x v="7"/>
    <s v="South Puget Sound"/>
    <m/>
    <n v="35.360406091370599"/>
    <n v="301.97786802030498"/>
  </r>
  <r>
    <n v="150"/>
    <x v="2"/>
    <s v="Freshwater"/>
    <x v="1"/>
    <x v="1"/>
    <n v="852"/>
    <s v="Snoqualmie River"/>
    <s v="Snoqualmie River"/>
    <s v="Snohomish/King"/>
    <x v="2"/>
    <s v="Snohomish"/>
    <x v="9"/>
    <s v="North Puget Sound"/>
    <m/>
    <n v="44.200507614213201"/>
    <n v="377.47233502538103"/>
  </r>
  <r>
    <n v="153"/>
    <x v="2"/>
    <s v="Freshwater"/>
    <x v="1"/>
    <x v="1"/>
    <n v="852"/>
    <s v="Snoqualmie River"/>
    <s v="Snoqualmie River"/>
    <s v="Snohomish/King"/>
    <x v="2"/>
    <s v="Thurston"/>
    <x v="10"/>
    <s v="South Puget Sound"/>
    <m/>
    <n v="2.9467005076142101"/>
    <n v="25.164822335025399"/>
  </r>
  <r>
    <n v="2050"/>
    <x v="2"/>
    <s v="Freshwater"/>
    <x v="1"/>
    <x v="1"/>
    <n v="854"/>
    <s v="Sultan River"/>
    <s v="Sultan River"/>
    <s v="Snohomish"/>
    <x v="2"/>
    <s v="King"/>
    <x v="3"/>
    <s v="South Puget Sound"/>
    <m/>
    <n v="3"/>
    <n v="25.62"/>
  </r>
  <r>
    <n v="2051"/>
    <x v="2"/>
    <s v="Freshwater"/>
    <x v="1"/>
    <x v="1"/>
    <n v="854"/>
    <s v="Sultan River"/>
    <s v="Sultan River"/>
    <s v="Snohomish"/>
    <x v="2"/>
    <s v="Other"/>
    <x v="6"/>
    <s v="Non Puget Sound"/>
    <m/>
    <n v="6"/>
    <n v="51.24"/>
  </r>
  <r>
    <n v="2049"/>
    <x v="2"/>
    <s v="Freshwater"/>
    <x v="1"/>
    <x v="1"/>
    <n v="854"/>
    <s v="Sultan River"/>
    <s v="Sultan River"/>
    <s v="Snohomish"/>
    <x v="2"/>
    <s v="Snohomish"/>
    <x v="9"/>
    <s v="North Puget Sound"/>
    <m/>
    <n v="12"/>
    <n v="102.48"/>
  </r>
  <r>
    <n v="1683"/>
    <x v="2"/>
    <s v="Freshwater"/>
    <x v="1"/>
    <x v="1"/>
    <n v="856"/>
    <s v="Tokul Creek"/>
    <s v="Tokul Creek"/>
    <s v="King"/>
    <x v="2"/>
    <s v="King"/>
    <x v="3"/>
    <s v="South Puget Sound"/>
    <m/>
    <n v="467.75581395348797"/>
    <n v="3994.6346511627899"/>
  </r>
  <r>
    <n v="1685"/>
    <x v="2"/>
    <s v="Freshwater"/>
    <x v="1"/>
    <x v="1"/>
    <n v="856"/>
    <s v="Tokul Creek"/>
    <s v="Tokul Creek"/>
    <s v="King"/>
    <x v="2"/>
    <s v="Other"/>
    <x v="6"/>
    <s v="Non Puget Sound"/>
    <m/>
    <n v="5.8837209302325597"/>
    <n v="50.246976744186099"/>
  </r>
  <r>
    <n v="1684"/>
    <x v="2"/>
    <s v="Freshwater"/>
    <x v="1"/>
    <x v="1"/>
    <n v="856"/>
    <s v="Tokul Creek"/>
    <s v="Tokul Creek"/>
    <s v="King"/>
    <x v="2"/>
    <s v="Pierce"/>
    <x v="7"/>
    <s v="South Puget Sound"/>
    <m/>
    <n v="8.8255813953488396"/>
    <n v="75.370465116279107"/>
  </r>
  <r>
    <n v="1682"/>
    <x v="2"/>
    <s v="Freshwater"/>
    <x v="1"/>
    <x v="1"/>
    <n v="856"/>
    <s v="Tokul Creek"/>
    <s v="Tokul Creek"/>
    <s v="King"/>
    <x v="2"/>
    <s v="Snohomish"/>
    <x v="9"/>
    <s v="North Puget Sound"/>
    <m/>
    <n v="23.5348837209302"/>
    <n v="200.987906976744"/>
  </r>
  <r>
    <n v="1687"/>
    <x v="2"/>
    <s v="Freshwater"/>
    <x v="1"/>
    <x v="1"/>
    <n v="858"/>
    <s v="Tolt River"/>
    <s v="Tolt River"/>
    <s v="King"/>
    <x v="2"/>
    <s v="King"/>
    <x v="3"/>
    <s v="South Puget Sound"/>
    <m/>
    <n v="3"/>
    <n v="25.62"/>
  </r>
  <r>
    <n v="1686"/>
    <x v="2"/>
    <s v="Freshwater"/>
    <x v="1"/>
    <x v="1"/>
    <n v="858"/>
    <s v="Tolt River"/>
    <s v="Tolt River"/>
    <s v="King"/>
    <x v="2"/>
    <s v="Snohomish"/>
    <x v="9"/>
    <s v="North Puget Sound"/>
    <m/>
    <n v="3"/>
    <n v="25.62"/>
  </r>
  <r>
    <n v="2060"/>
    <x v="2"/>
    <s v="Freshwater"/>
    <x v="1"/>
    <x v="1"/>
    <n v="860"/>
    <s v="Wallace River"/>
    <s v="Wallace River"/>
    <s v="Snohomish"/>
    <x v="2"/>
    <s v="King"/>
    <x v="3"/>
    <s v="South Puget Sound"/>
    <m/>
    <n v="20.461538461538499"/>
    <n v="174.74153846153899"/>
  </r>
  <r>
    <n v="2204"/>
    <x v="2"/>
    <s v="Freshwater"/>
    <x v="1"/>
    <x v="1"/>
    <n v="860"/>
    <s v="Wallace River"/>
    <s v="Wallace River"/>
    <s v="Snohomish"/>
    <x v="2"/>
    <s v="Other"/>
    <x v="6"/>
    <s v="Non Puget Sound"/>
    <m/>
    <n v="11.692307692307701"/>
    <n v="99.852307692307704"/>
  </r>
  <r>
    <n v="2059"/>
    <x v="2"/>
    <s v="Freshwater"/>
    <x v="1"/>
    <x v="1"/>
    <n v="860"/>
    <s v="Wallace River"/>
    <s v="Wallace River"/>
    <s v="Snohomish"/>
    <x v="2"/>
    <s v="Snohomish"/>
    <x v="9"/>
    <s v="North Puget Sound"/>
    <m/>
    <n v="119.846153846154"/>
    <n v="1023.4861538461601"/>
  </r>
  <r>
    <n v="2315"/>
    <x v="2"/>
    <s v="Freshwater"/>
    <x v="1"/>
    <x v="1"/>
    <n v="866"/>
    <s v="Canyon Creek"/>
    <s v="Canyon Creek"/>
    <s v="Snohomish"/>
    <x v="2"/>
    <s v="King"/>
    <x v="3"/>
    <s v="South Puget Sound"/>
    <m/>
    <n v="3.5714285714285698"/>
    <n v="30.5"/>
  </r>
  <r>
    <n v="2314"/>
    <x v="2"/>
    <s v="Freshwater"/>
    <x v="1"/>
    <x v="1"/>
    <n v="866"/>
    <s v="Canyon Creek"/>
    <s v="Canyon Creek"/>
    <s v="Snohomish"/>
    <x v="2"/>
    <s v="Snohomish"/>
    <x v="9"/>
    <s v="North Puget Sound"/>
    <m/>
    <n v="21.428571428571399"/>
    <n v="183"/>
  </r>
  <r>
    <n v="2133"/>
    <x v="2"/>
    <s v="Freshwater"/>
    <x v="1"/>
    <x v="1"/>
    <n v="870"/>
    <s v="Pilchuck Creek (Stillaguamish System)"/>
    <s v="Pilchuck Creek (Stillaguamish System)"/>
    <s v="Skagit/Snohomish"/>
    <x v="2"/>
    <s v="Pierce"/>
    <x v="7"/>
    <s v="South Puget Sound"/>
    <m/>
    <n v="4"/>
    <n v="34.159999999999997"/>
  </r>
  <r>
    <n v="1278"/>
    <x v="2"/>
    <s v="Freshwater"/>
    <x v="1"/>
    <x v="1"/>
    <n v="872"/>
    <s v="Stillaguamish R, No. Fork"/>
    <s v="Stillaguamish R, No. Fork"/>
    <s v="Snohomish"/>
    <x v="2"/>
    <s v="Island"/>
    <x v="1"/>
    <s v="North Puget Sound"/>
    <m/>
    <n v="16.787564766839399"/>
    <n v="143.365803108808"/>
  </r>
  <r>
    <n v="1280"/>
    <x v="2"/>
    <s v="Freshwater"/>
    <x v="1"/>
    <x v="1"/>
    <n v="872"/>
    <s v="Stillaguamish R, No. Fork"/>
    <s v="Stillaguamish R, No. Fork"/>
    <s v="Snohomish"/>
    <x v="2"/>
    <s v="King"/>
    <x v="3"/>
    <s v="South Puget Sound"/>
    <m/>
    <n v="20.145077720207301"/>
    <n v="172.03896373057"/>
  </r>
  <r>
    <n v="1416"/>
    <x v="2"/>
    <s v="Freshwater"/>
    <x v="1"/>
    <x v="1"/>
    <n v="872"/>
    <s v="Stillaguamish R, No. Fork"/>
    <s v="Stillaguamish R, No. Fork"/>
    <s v="Snohomish"/>
    <x v="2"/>
    <s v="Other"/>
    <x v="6"/>
    <s v="Non Puget Sound"/>
    <m/>
    <n v="3.35751295336788"/>
    <n v="28.673160621761699"/>
  </r>
  <r>
    <n v="1415"/>
    <x v="2"/>
    <s v="Freshwater"/>
    <x v="1"/>
    <x v="1"/>
    <n v="872"/>
    <s v="Stillaguamish R, No. Fork"/>
    <s v="Stillaguamish R, No. Fork"/>
    <s v="Snohomish"/>
    <x v="2"/>
    <s v="Pierce"/>
    <x v="7"/>
    <s v="South Puget Sound"/>
    <m/>
    <n v="3.35751295336788"/>
    <n v="28.673160621761699"/>
  </r>
  <r>
    <n v="1279"/>
    <x v="2"/>
    <s v="Freshwater"/>
    <x v="1"/>
    <x v="1"/>
    <n v="872"/>
    <s v="Stillaguamish R, No. Fork"/>
    <s v="Stillaguamish R, No. Fork"/>
    <s v="Snohomish"/>
    <x v="2"/>
    <s v="San Juan"/>
    <x v="12"/>
    <s v="North Puget Sound"/>
    <m/>
    <n v="10.072538860103601"/>
    <n v="86.019481865284703"/>
  </r>
  <r>
    <n v="3671"/>
    <x v="2"/>
    <s v="Freshwater"/>
    <x v="1"/>
    <x v="1"/>
    <n v="872"/>
    <s v="Stillaguamish R, No. Fork"/>
    <s v="Stillaguamish R, No. Fork"/>
    <s v="Snohomish"/>
    <x v="2"/>
    <s v="Skagit"/>
    <x v="8"/>
    <s v="North Puget Sound"/>
    <m/>
    <n v="26.860103626943001"/>
    <n v="229.385284974093"/>
  </r>
  <r>
    <n v="1277"/>
    <x v="2"/>
    <s v="Freshwater"/>
    <x v="1"/>
    <x v="1"/>
    <n v="872"/>
    <s v="Stillaguamish R, No. Fork"/>
    <s v="Stillaguamish R, No. Fork"/>
    <s v="Snohomish"/>
    <x v="2"/>
    <s v="Snohomish"/>
    <x v="9"/>
    <s v="North Puget Sound"/>
    <m/>
    <n v="530.48704663212402"/>
    <n v="4530.3593782383396"/>
  </r>
  <r>
    <n v="2429"/>
    <x v="2"/>
    <s v="Freshwater"/>
    <x v="1"/>
    <x v="1"/>
    <n v="872"/>
    <s v="Stillaguamish R, No. Fork"/>
    <s v="Stillaguamish R, No. Fork"/>
    <s v="Snohomish"/>
    <x v="2"/>
    <s v="Whatcom"/>
    <x v="11"/>
    <s v="North Puget Sound"/>
    <m/>
    <n v="36.9326424870466"/>
    <n v="315.404766839378"/>
  </r>
  <r>
    <n v="1417"/>
    <x v="2"/>
    <s v="Freshwater"/>
    <x v="1"/>
    <x v="1"/>
    <n v="874"/>
    <s v="Stillaguamish R, So. Fork"/>
    <s v="Stillaguamish R, So. Fork"/>
    <s v="Snohomish"/>
    <x v="2"/>
    <s v="Snohomish"/>
    <x v="9"/>
    <s v="North Puget Sound"/>
    <m/>
    <n v="24"/>
    <n v="204.96"/>
  </r>
  <r>
    <n v="1598"/>
    <x v="2"/>
    <s v="Freshwater"/>
    <x v="1"/>
    <x v="1"/>
    <n v="876"/>
    <s v="Stillaguamish River"/>
    <s v="Stillaguamish River"/>
    <s v="Snohomish"/>
    <x v="2"/>
    <s v="Island"/>
    <x v="1"/>
    <s v="North Puget Sound"/>
    <m/>
    <n v="3.6315789473684199"/>
    <n v="31.0136842105263"/>
  </r>
  <r>
    <n v="1599"/>
    <x v="2"/>
    <s v="Freshwater"/>
    <x v="1"/>
    <x v="1"/>
    <n v="876"/>
    <s v="Stillaguamish River"/>
    <s v="Stillaguamish River"/>
    <s v="Snohomish"/>
    <x v="2"/>
    <s v="Other"/>
    <x v="6"/>
    <s v="Non Puget Sound"/>
    <m/>
    <n v="10.894736842105299"/>
    <n v="93.041052631579205"/>
  </r>
  <r>
    <n v="1418"/>
    <x v="2"/>
    <s v="Freshwater"/>
    <x v="1"/>
    <x v="1"/>
    <n v="876"/>
    <s v="Stillaguamish River"/>
    <s v="Stillaguamish River"/>
    <s v="Snohomish"/>
    <x v="2"/>
    <s v="Skagit"/>
    <x v="8"/>
    <s v="North Puget Sound"/>
    <m/>
    <n v="3.6315789473684199"/>
    <n v="31.0136842105263"/>
  </r>
  <r>
    <n v="1419"/>
    <x v="2"/>
    <s v="Freshwater"/>
    <x v="1"/>
    <x v="1"/>
    <n v="876"/>
    <s v="Stillaguamish River"/>
    <s v="Stillaguamish River"/>
    <s v="Snohomish"/>
    <x v="2"/>
    <s v="Snohomish"/>
    <x v="9"/>
    <s v="North Puget Sound"/>
    <m/>
    <n v="50.842105263157897"/>
    <n v="434.19157894736799"/>
  </r>
  <r>
    <n v="3261"/>
    <x v="3"/>
    <s v="Freshwater"/>
    <x v="1"/>
    <x v="1"/>
    <n v="718"/>
    <s v="Clallam River"/>
    <s v="Clallam River"/>
    <s v="Clallam"/>
    <x v="0"/>
    <s v="Clallam"/>
    <x v="0"/>
    <s v="Strait of Juan de Fuca"/>
    <m/>
    <n v="6"/>
    <n v="111.3"/>
  </r>
  <r>
    <n v="3264"/>
    <x v="3"/>
    <s v="Freshwater"/>
    <x v="1"/>
    <x v="1"/>
    <n v="738"/>
    <s v="Dungeness River"/>
    <s v="Dungeness River"/>
    <s v="Clallam"/>
    <x v="0"/>
    <s v="Clallam"/>
    <x v="0"/>
    <s v="Strait of Juan de Fuca"/>
    <m/>
    <n v="78.966666666666697"/>
    <n v="1464.8316666666699"/>
  </r>
  <r>
    <n v="3265"/>
    <x v="3"/>
    <s v="Freshwater"/>
    <x v="1"/>
    <x v="1"/>
    <n v="738"/>
    <s v="Dungeness River"/>
    <s v="Dungeness River"/>
    <s v="Clallam"/>
    <x v="0"/>
    <s v="Jefferson"/>
    <x v="2"/>
    <s v="Strait of Juan de Fuca"/>
    <m/>
    <n v="3.43333333333333"/>
    <n v="63.688333333333297"/>
  </r>
  <r>
    <n v="3262"/>
    <x v="3"/>
    <s v="Freshwater"/>
    <x v="1"/>
    <x v="1"/>
    <n v="738"/>
    <s v="Dungeness River"/>
    <s v="Dungeness River"/>
    <s v="Clallam"/>
    <x v="0"/>
    <s v="King"/>
    <x v="3"/>
    <s v="South Puget Sound"/>
    <m/>
    <n v="3.43333333333333"/>
    <n v="63.688333333333297"/>
  </r>
  <r>
    <n v="3263"/>
    <x v="3"/>
    <s v="Freshwater"/>
    <x v="1"/>
    <x v="1"/>
    <n v="738"/>
    <s v="Dungeness River"/>
    <s v="Dungeness River"/>
    <s v="Clallam"/>
    <x v="0"/>
    <s v="Kitsap"/>
    <x v="4"/>
    <s v="South Puget Sound"/>
    <m/>
    <n v="6.8666666666666698"/>
    <n v="127.37666666666701"/>
  </r>
  <r>
    <n v="3266"/>
    <x v="3"/>
    <s v="Freshwater"/>
    <x v="1"/>
    <x v="1"/>
    <n v="738"/>
    <s v="Dungeness River"/>
    <s v="Dungeness River"/>
    <s v="Clallam"/>
    <x v="0"/>
    <s v="Other"/>
    <x v="6"/>
    <s v="Non Puget Sound"/>
    <m/>
    <n v="10.3"/>
    <n v="191.065"/>
  </r>
  <r>
    <n v="3267"/>
    <x v="3"/>
    <s v="Freshwater"/>
    <x v="1"/>
    <x v="1"/>
    <n v="742"/>
    <s v="Elwha River"/>
    <s v="Elwha River"/>
    <s v="Clallam"/>
    <x v="0"/>
    <s v="Clallam"/>
    <x v="0"/>
    <s v="Strait of Juan de Fuca"/>
    <m/>
    <n v="1"/>
    <n v="18.55"/>
  </r>
  <r>
    <n v="613"/>
    <x v="3"/>
    <s v="Freshwater"/>
    <x v="1"/>
    <x v="1"/>
    <n v="746"/>
    <s v="Green (Duwamish River) (King Co.)"/>
    <s v="Green - Duwamish River"/>
    <s v="King"/>
    <x v="3"/>
    <s v="King"/>
    <x v="3"/>
    <s v="South Puget Sound"/>
    <m/>
    <n v="654.31279620853104"/>
    <n v="12137.5023696683"/>
  </r>
  <r>
    <n v="687"/>
    <x v="3"/>
    <s v="Freshwater"/>
    <x v="1"/>
    <x v="1"/>
    <n v="746"/>
    <s v="Green (Duwamish River) (King Co.)"/>
    <s v="Green - Duwamish River"/>
    <s v="King"/>
    <x v="3"/>
    <s v="Other"/>
    <x v="6"/>
    <s v="Non Puget Sound"/>
    <m/>
    <n v="11.0900473933649"/>
    <n v="205.72037914691899"/>
  </r>
  <r>
    <n v="686"/>
    <x v="3"/>
    <s v="Freshwater"/>
    <x v="1"/>
    <x v="1"/>
    <n v="746"/>
    <s v="Green (Duwamish River) (King Co.)"/>
    <s v="Green - Duwamish River"/>
    <s v="King"/>
    <x v="3"/>
    <s v="Pierce"/>
    <x v="7"/>
    <s v="South Puget Sound"/>
    <m/>
    <n v="107.203791469194"/>
    <n v="1988.6303317535501"/>
  </r>
  <r>
    <n v="612"/>
    <x v="3"/>
    <s v="Freshwater"/>
    <x v="1"/>
    <x v="1"/>
    <n v="746"/>
    <s v="Green (Duwamish River) (King Co.)"/>
    <s v="Green - Duwamish River"/>
    <s v="King"/>
    <x v="3"/>
    <s v="Snohomish"/>
    <x v="9"/>
    <s v="North Puget Sound"/>
    <m/>
    <n v="7.3933649289099597"/>
    <n v="137.14691943128"/>
  </r>
  <r>
    <n v="227"/>
    <x v="3"/>
    <s v="Freshwater"/>
    <x v="1"/>
    <x v="1"/>
    <n v="748"/>
    <s v="Soos Creek"/>
    <s v="Soos Creek"/>
    <s v="King"/>
    <x v="3"/>
    <s v="King"/>
    <x v="3"/>
    <s v="South Puget Sound"/>
    <m/>
    <n v="22"/>
    <n v="408.1"/>
  </r>
  <r>
    <n v="228"/>
    <x v="3"/>
    <s v="Freshwater"/>
    <x v="1"/>
    <x v="1"/>
    <n v="748"/>
    <s v="Soos Creek"/>
    <s v="Soos Creek"/>
    <s v="King"/>
    <x v="3"/>
    <s v="Pierce"/>
    <x v="7"/>
    <s v="South Puget Sound"/>
    <m/>
    <n v="44"/>
    <n v="816.2"/>
  </r>
  <r>
    <n v="3277"/>
    <x v="3"/>
    <s v="Freshwater"/>
    <x v="1"/>
    <x v="1"/>
    <n v="752"/>
    <s v="Hoko River"/>
    <s v="Hoko River"/>
    <s v="Clallam"/>
    <x v="0"/>
    <s v="Clallam"/>
    <x v="0"/>
    <s v="Strait of Juan de Fuca"/>
    <m/>
    <n v="20.727272727272702"/>
    <n v="384.49090909090899"/>
  </r>
  <r>
    <n v="3274"/>
    <x v="3"/>
    <s v="Freshwater"/>
    <x v="1"/>
    <x v="1"/>
    <n v="752"/>
    <s v="Hoko River"/>
    <s v="Hoko River"/>
    <s v="Clallam"/>
    <x v="0"/>
    <s v="Island"/>
    <x v="1"/>
    <s v="North Puget Sound"/>
    <m/>
    <n v="6.9090909090909101"/>
    <n v="128.16363636363599"/>
  </r>
  <r>
    <n v="3275"/>
    <x v="3"/>
    <s v="Freshwater"/>
    <x v="1"/>
    <x v="1"/>
    <n v="752"/>
    <s v="Hoko River"/>
    <s v="Hoko River"/>
    <s v="Clallam"/>
    <x v="0"/>
    <s v="King"/>
    <x v="3"/>
    <s v="South Puget Sound"/>
    <m/>
    <n v="3.4545454545454599"/>
    <n v="64.081818181818306"/>
  </r>
  <r>
    <n v="3276"/>
    <x v="3"/>
    <s v="Freshwater"/>
    <x v="1"/>
    <x v="1"/>
    <n v="752"/>
    <s v="Hoko River"/>
    <s v="Hoko River"/>
    <s v="Clallam"/>
    <x v="0"/>
    <s v="Pierce"/>
    <x v="7"/>
    <s v="South Puget Sound"/>
    <m/>
    <n v="6.9090909090909101"/>
    <n v="128.16363636363599"/>
  </r>
  <r>
    <n v="3278"/>
    <x v="3"/>
    <s v="Freshwater"/>
    <x v="1"/>
    <x v="1"/>
    <n v="768"/>
    <s v="Lyre River"/>
    <s v="Lyre River"/>
    <s v="Clallam"/>
    <x v="0"/>
    <s v="Clallam"/>
    <x v="0"/>
    <s v="Strait of Juan de Fuca"/>
    <m/>
    <n v="10"/>
    <n v="185.5"/>
  </r>
  <r>
    <n v="3279"/>
    <x v="3"/>
    <s v="Freshwater"/>
    <x v="1"/>
    <x v="1"/>
    <n v="782"/>
    <s v="Morse Creek (Clallam Co.)"/>
    <s v="Morse Creek (Clallam Co.)"/>
    <s v="Clallam"/>
    <x v="0"/>
    <s v="Clallam"/>
    <x v="0"/>
    <s v="Strait of Juan de Fuca"/>
    <m/>
    <n v="3"/>
    <n v="55.65"/>
  </r>
  <r>
    <n v="3015"/>
    <x v="3"/>
    <s v="Freshwater"/>
    <x v="1"/>
    <x v="1"/>
    <n v="790"/>
    <s v="Nooksack River, No. Fork"/>
    <s v="Nooksack River, No. Fork"/>
    <s v="Whatcom"/>
    <x v="1"/>
    <s v="Whatcom"/>
    <x v="11"/>
    <s v="North Puget Sound"/>
    <m/>
    <n v="83"/>
    <n v="1539.65"/>
  </r>
  <r>
    <n v="3016"/>
    <x v="3"/>
    <s v="Freshwater"/>
    <x v="1"/>
    <x v="1"/>
    <n v="794"/>
    <s v="Nooksack River, below North Fork"/>
    <s v="Nooksack River, below North Fork"/>
    <s v="Whatcom"/>
    <x v="1"/>
    <s v="Whatcom"/>
    <x v="11"/>
    <s v="North Puget Sound"/>
    <m/>
    <n v="21"/>
    <n v="389.55"/>
  </r>
  <r>
    <n v="990"/>
    <x v="3"/>
    <s v="Freshwater"/>
    <x v="1"/>
    <x v="1"/>
    <n v="804"/>
    <s v="Puyallup River"/>
    <s v="Puyallup River"/>
    <s v="Pierce"/>
    <x v="3"/>
    <s v="King"/>
    <x v="3"/>
    <s v="South Puget Sound"/>
    <m/>
    <n v="1"/>
    <n v="18.55"/>
  </r>
  <r>
    <n v="991"/>
    <x v="3"/>
    <s v="Freshwater"/>
    <x v="1"/>
    <x v="1"/>
    <n v="804"/>
    <s v="Puyallup River"/>
    <s v="Puyallup River"/>
    <s v="Pierce"/>
    <x v="3"/>
    <s v="Pierce"/>
    <x v="7"/>
    <s v="South Puget Sound"/>
    <m/>
    <n v="4"/>
    <n v="74.2"/>
  </r>
  <r>
    <n v="3284"/>
    <x v="3"/>
    <s v="Freshwater"/>
    <x v="1"/>
    <x v="1"/>
    <n v="810"/>
    <s v="Pysht River"/>
    <s v="Pysht River"/>
    <s v="Clallam"/>
    <x v="0"/>
    <s v="Kitsap"/>
    <x v="4"/>
    <s v="South Puget Sound"/>
    <m/>
    <n v="3"/>
    <n v="55.65"/>
  </r>
  <r>
    <n v="3286"/>
    <x v="3"/>
    <s v="Freshwater"/>
    <x v="1"/>
    <x v="1"/>
    <n v="818"/>
    <s v="Sekiu River"/>
    <s v="Sekiu River"/>
    <s v="Clallam"/>
    <x v="0"/>
    <s v="Clallam"/>
    <x v="0"/>
    <s v="Strait of Juan de Fuca"/>
    <m/>
    <n v="3.5"/>
    <n v="64.924999999999997"/>
  </r>
  <r>
    <n v="3285"/>
    <x v="3"/>
    <s v="Freshwater"/>
    <x v="1"/>
    <x v="1"/>
    <n v="818"/>
    <s v="Sekiu River"/>
    <s v="Sekiu River"/>
    <s v="Clallam"/>
    <x v="0"/>
    <s v="Pierce"/>
    <x v="7"/>
    <s v="South Puget Sound"/>
    <m/>
    <n v="3.5"/>
    <n v="64.924999999999997"/>
  </r>
  <r>
    <n v="1993"/>
    <x v="3"/>
    <s v="Freshwater"/>
    <x v="1"/>
    <x v="1"/>
    <n v="826"/>
    <s v="Cascade River"/>
    <s v="Cascade River"/>
    <s v="Skagit"/>
    <x v="1"/>
    <s v="Island"/>
    <x v="1"/>
    <s v="North Puget Sound"/>
    <m/>
    <n v="6.0338983050847501"/>
    <n v="111.92881355932199"/>
  </r>
  <r>
    <n v="1994"/>
    <x v="3"/>
    <s v="Freshwater"/>
    <x v="1"/>
    <x v="1"/>
    <n v="826"/>
    <s v="Cascade River"/>
    <s v="Cascade River"/>
    <s v="Skagit"/>
    <x v="1"/>
    <s v="King"/>
    <x v="3"/>
    <s v="South Puget Sound"/>
    <m/>
    <n v="6.0338983050847501"/>
    <n v="111.92881355932199"/>
  </r>
  <r>
    <n v="1995"/>
    <x v="3"/>
    <s v="Freshwater"/>
    <x v="1"/>
    <x v="1"/>
    <n v="826"/>
    <s v="Cascade River"/>
    <s v="Cascade River"/>
    <s v="Skagit"/>
    <x v="1"/>
    <s v="Pierce"/>
    <x v="7"/>
    <s v="South Puget Sound"/>
    <m/>
    <n v="3.0169491525423702"/>
    <n v="55.964406779660997"/>
  </r>
  <r>
    <n v="1963"/>
    <x v="3"/>
    <s v="Freshwater"/>
    <x v="1"/>
    <x v="1"/>
    <n v="826"/>
    <s v="Cascade River"/>
    <s v="Cascade River"/>
    <s v="Skagit"/>
    <x v="1"/>
    <s v="Skagit"/>
    <x v="8"/>
    <s v="North Puget Sound"/>
    <m/>
    <n v="81.457627118644098"/>
    <n v="1511.03898305085"/>
  </r>
  <r>
    <n v="1992"/>
    <x v="3"/>
    <s v="Freshwater"/>
    <x v="1"/>
    <x v="1"/>
    <n v="826"/>
    <s v="Cascade River"/>
    <s v="Cascade River"/>
    <s v="Skagit"/>
    <x v="1"/>
    <s v="Snohomish"/>
    <x v="9"/>
    <s v="North Puget Sound"/>
    <m/>
    <n v="27.152542372881399"/>
    <n v="503.67966101694998"/>
  </r>
  <r>
    <n v="1962"/>
    <x v="3"/>
    <s v="Freshwater"/>
    <x v="1"/>
    <x v="1"/>
    <n v="826"/>
    <s v="Cascade River"/>
    <s v="Cascade River"/>
    <s v="Skagit"/>
    <x v="1"/>
    <s v="Whatcom"/>
    <x v="11"/>
    <s v="North Puget Sound"/>
    <m/>
    <n v="54.305084745762699"/>
    <n v="1007.3593220339"/>
  </r>
  <r>
    <n v="3445"/>
    <x v="3"/>
    <s v="Freshwater"/>
    <x v="1"/>
    <x v="1"/>
    <n v="830"/>
    <s v="Skagit River"/>
    <s v="Skagit River"/>
    <s v="Skagit/Whatcom"/>
    <x v="2"/>
    <s v="King"/>
    <x v="3"/>
    <s v="South Puget Sound"/>
    <m/>
    <n v="2.8275862068965498"/>
    <n v="52.451724137931002"/>
  </r>
  <r>
    <n v="3460"/>
    <x v="3"/>
    <s v="Freshwater"/>
    <x v="1"/>
    <x v="1"/>
    <n v="830"/>
    <s v="Skagit River"/>
    <s v="Skagit River"/>
    <s v="Skagit/Whatcom"/>
    <x v="2"/>
    <s v="Other"/>
    <x v="6"/>
    <s v="Non Puget Sound"/>
    <m/>
    <n v="5.6551724137930997"/>
    <n v="104.903448275862"/>
  </r>
  <r>
    <n v="3377"/>
    <x v="3"/>
    <s v="Freshwater"/>
    <x v="1"/>
    <x v="1"/>
    <n v="830"/>
    <s v="Skagit River"/>
    <s v="Skagit River"/>
    <s v="Skagit/Whatcom"/>
    <x v="2"/>
    <s v="Skagit"/>
    <x v="8"/>
    <s v="North Puget Sound"/>
    <m/>
    <n v="65.034482758620697"/>
    <n v="1206.3896551724099"/>
  </r>
  <r>
    <n v="3444"/>
    <x v="3"/>
    <s v="Freshwater"/>
    <x v="1"/>
    <x v="1"/>
    <n v="830"/>
    <s v="Skagit River"/>
    <s v="Skagit River"/>
    <s v="Skagit/Whatcom"/>
    <x v="2"/>
    <s v="Snohomish"/>
    <x v="9"/>
    <s v="North Puget Sound"/>
    <m/>
    <n v="8.4827586206896601"/>
    <n v="157.35517241379301"/>
  </r>
  <r>
    <n v="229"/>
    <x v="3"/>
    <s v="Freshwater"/>
    <x v="1"/>
    <x v="1"/>
    <n v="842"/>
    <s v="Raging River"/>
    <s v="Raging River"/>
    <s v="King"/>
    <x v="3"/>
    <s v="King"/>
    <x v="3"/>
    <s v="South Puget Sound"/>
    <m/>
    <n v="15"/>
    <n v="278.25"/>
  </r>
  <r>
    <n v="1758"/>
    <x v="3"/>
    <s v="Freshwater"/>
    <x v="1"/>
    <x v="1"/>
    <n v="844"/>
    <s v="Skykomish River"/>
    <s v="Skykomish River"/>
    <s v="Snohomish"/>
    <x v="2"/>
    <s v="Island"/>
    <x v="1"/>
    <s v="North Puget Sound"/>
    <m/>
    <n v="7.1442176870748302"/>
    <n v="132.525238095238"/>
  </r>
  <r>
    <n v="1759"/>
    <x v="3"/>
    <s v="Freshwater"/>
    <x v="1"/>
    <x v="1"/>
    <n v="844"/>
    <s v="Skykomish River"/>
    <s v="Skykomish River"/>
    <s v="Snohomish"/>
    <x v="2"/>
    <s v="King"/>
    <x v="3"/>
    <s v="South Puget Sound"/>
    <m/>
    <n v="1932.51088435374"/>
    <n v="35848.076904761903"/>
  </r>
  <r>
    <n v="1933"/>
    <x v="3"/>
    <s v="Freshwater"/>
    <x v="1"/>
    <x v="1"/>
    <n v="844"/>
    <s v="Skykomish River"/>
    <s v="Skykomish River"/>
    <s v="Snohomish"/>
    <x v="2"/>
    <s v="Kitsap"/>
    <x v="4"/>
    <s v="South Puget Sound"/>
    <m/>
    <n v="32.148979591836699"/>
    <n v="596.36357142857105"/>
  </r>
  <r>
    <n v="1934"/>
    <x v="3"/>
    <s v="Freshwater"/>
    <x v="1"/>
    <x v="1"/>
    <n v="844"/>
    <s v="Skykomish River"/>
    <s v="Skykomish River"/>
    <s v="Snohomish"/>
    <x v="2"/>
    <s v="Other"/>
    <x v="6"/>
    <s v="Non Puget Sound"/>
    <m/>
    <n v="128.595918367347"/>
    <n v="2385.4542857142901"/>
  </r>
  <r>
    <n v="1760"/>
    <x v="3"/>
    <s v="Freshwater"/>
    <x v="1"/>
    <x v="1"/>
    <n v="844"/>
    <s v="Skykomish River"/>
    <s v="Skykomish River"/>
    <s v="Snohomish"/>
    <x v="2"/>
    <s v="Pierce"/>
    <x v="7"/>
    <s v="South Puget Sound"/>
    <m/>
    <n v="57.153741496598599"/>
    <n v="1060.2019047619001"/>
  </r>
  <r>
    <n v="1601"/>
    <x v="3"/>
    <s v="Freshwater"/>
    <x v="1"/>
    <x v="1"/>
    <n v="844"/>
    <s v="Skykomish River"/>
    <s v="Skykomish River"/>
    <s v="Snohomish"/>
    <x v="2"/>
    <s v="Skagit"/>
    <x v="8"/>
    <s v="North Puget Sound"/>
    <m/>
    <n v="25.004761904761899"/>
    <n v="463.83833333333303"/>
  </r>
  <r>
    <n v="1757"/>
    <x v="3"/>
    <s v="Freshwater"/>
    <x v="1"/>
    <x v="1"/>
    <n v="844"/>
    <s v="Skykomish River"/>
    <s v="Skykomish River"/>
    <s v="Snohomish"/>
    <x v="2"/>
    <s v="Snohomish"/>
    <x v="9"/>
    <s v="North Puget Sound"/>
    <m/>
    <n v="2968.4224489795902"/>
    <n v="55064.236428571399"/>
  </r>
  <r>
    <n v="1932"/>
    <x v="3"/>
    <s v="Freshwater"/>
    <x v="1"/>
    <x v="1"/>
    <n v="844"/>
    <s v="Skykomish River"/>
    <s v="Skykomish River"/>
    <s v="Snohomish"/>
    <x v="2"/>
    <s v="Thurston"/>
    <x v="10"/>
    <s v="South Puget Sound"/>
    <m/>
    <n v="21.432653061224499"/>
    <n v="397.57571428571401"/>
  </r>
  <r>
    <n v="1600"/>
    <x v="3"/>
    <s v="Freshwater"/>
    <x v="1"/>
    <x v="1"/>
    <n v="844"/>
    <s v="Skykomish River"/>
    <s v="Skykomish River"/>
    <s v="Snohomish"/>
    <x v="2"/>
    <s v="Whatcom"/>
    <x v="11"/>
    <s v="North Puget Sound"/>
    <m/>
    <n v="78.586394557823098"/>
    <n v="1457.77761904762"/>
  </r>
  <r>
    <n v="2072"/>
    <x v="3"/>
    <s v="Freshwater"/>
    <x v="1"/>
    <x v="1"/>
    <n v="846"/>
    <s v="Skykomish River, No. Fork"/>
    <s v="Skykomish River, No. Fork"/>
    <s v="Snohomish"/>
    <x v="2"/>
    <s v="King"/>
    <x v="3"/>
    <s v="South Puget Sound"/>
    <m/>
    <n v="57.945945945946001"/>
    <n v="1074.8972972972999"/>
  </r>
  <r>
    <n v="2073"/>
    <x v="3"/>
    <s v="Freshwater"/>
    <x v="1"/>
    <x v="1"/>
    <n v="846"/>
    <s v="Skykomish River, No. Fork"/>
    <s v="Skykomish River, No. Fork"/>
    <s v="Snohomish"/>
    <x v="2"/>
    <s v="Other"/>
    <x v="6"/>
    <s v="Non Puget Sound"/>
    <m/>
    <n v="7.2432432432432501"/>
    <n v="134.36216216216201"/>
  </r>
  <r>
    <n v="1935"/>
    <x v="3"/>
    <s v="Freshwater"/>
    <x v="1"/>
    <x v="1"/>
    <n v="846"/>
    <s v="Skykomish River, No. Fork"/>
    <s v="Skykomish River, No. Fork"/>
    <s v="Snohomish"/>
    <x v="2"/>
    <s v="Snohomish"/>
    <x v="9"/>
    <s v="North Puget Sound"/>
    <m/>
    <n v="68.810810810810807"/>
    <n v="1276.44054054054"/>
  </r>
  <r>
    <n v="157"/>
    <x v="3"/>
    <s v="Freshwater"/>
    <x v="1"/>
    <x v="1"/>
    <n v="848"/>
    <s v="Skykomish River, So. Fork"/>
    <s v="Skykomish River, So. Fork"/>
    <s v="Snohomish/King"/>
    <x v="2"/>
    <s v="King"/>
    <x v="3"/>
    <s v="South Puget Sound"/>
    <m/>
    <n v="18.181818181818201"/>
    <n v="337.27272727272799"/>
  </r>
  <r>
    <n v="159"/>
    <x v="3"/>
    <s v="Freshwater"/>
    <x v="1"/>
    <x v="1"/>
    <n v="848"/>
    <s v="Skykomish River, So. Fork"/>
    <s v="Skykomish River, So. Fork"/>
    <s v="Snohomish/King"/>
    <x v="2"/>
    <s v="Other"/>
    <x v="6"/>
    <s v="Non Puget Sound"/>
    <m/>
    <n v="3.6363636363636398"/>
    <n v="67.454545454545496"/>
  </r>
  <r>
    <n v="156"/>
    <x v="3"/>
    <s v="Freshwater"/>
    <x v="1"/>
    <x v="1"/>
    <n v="848"/>
    <s v="Skykomish River, So. Fork"/>
    <s v="Skykomish River, So. Fork"/>
    <s v="Snohomish/King"/>
    <x v="2"/>
    <s v="Snohomish"/>
    <x v="9"/>
    <s v="North Puget Sound"/>
    <m/>
    <n v="14.5454545454546"/>
    <n v="269.81818181818301"/>
  </r>
  <r>
    <n v="158"/>
    <x v="3"/>
    <s v="Freshwater"/>
    <x v="1"/>
    <x v="1"/>
    <n v="848"/>
    <s v="Skykomish River, So. Fork"/>
    <s v="Skykomish River, So. Fork"/>
    <s v="Snohomish/King"/>
    <x v="2"/>
    <s v="Thurston"/>
    <x v="10"/>
    <s v="South Puget Sound"/>
    <m/>
    <n v="3.6363636363636398"/>
    <n v="67.454545454545496"/>
  </r>
  <r>
    <n v="2222"/>
    <x v="3"/>
    <s v="Freshwater"/>
    <x v="1"/>
    <x v="1"/>
    <n v="850"/>
    <s v="Snohomish River"/>
    <s v="Snohomish River"/>
    <s v="Snohomish"/>
    <x v="2"/>
    <s v="King"/>
    <x v="3"/>
    <s v="South Puget Sound"/>
    <m/>
    <n v="43.076923076923102"/>
    <n v="799.076923076924"/>
  </r>
  <r>
    <n v="2221"/>
    <x v="3"/>
    <s v="Freshwater"/>
    <x v="1"/>
    <x v="1"/>
    <n v="850"/>
    <s v="Snohomish River"/>
    <s v="Snohomish River"/>
    <s v="Snohomish"/>
    <x v="2"/>
    <s v="Snohomish"/>
    <x v="9"/>
    <s v="North Puget Sound"/>
    <m/>
    <n v="653.33333333333303"/>
    <n v="12119.333333333299"/>
  </r>
  <r>
    <n v="2074"/>
    <x v="3"/>
    <s v="Freshwater"/>
    <x v="1"/>
    <x v="1"/>
    <n v="850"/>
    <s v="Snohomish River"/>
    <s v="Snohomish River"/>
    <s v="Snohomish"/>
    <x v="2"/>
    <s v="Whatcom"/>
    <x v="11"/>
    <s v="North Puget Sound"/>
    <m/>
    <n v="3.5897435897435899"/>
    <n v="66.589743589743605"/>
  </r>
  <r>
    <n v="161"/>
    <x v="3"/>
    <s v="Freshwater"/>
    <x v="1"/>
    <x v="1"/>
    <n v="852"/>
    <s v="Snoqualmie River"/>
    <s v="Snoqualmie River"/>
    <s v="Snohomish/King"/>
    <x v="2"/>
    <s v="Island"/>
    <x v="1"/>
    <s v="North Puget Sound"/>
    <m/>
    <n v="3.09958506224066"/>
    <n v="57.497302904564201"/>
  </r>
  <r>
    <n v="162"/>
    <x v="3"/>
    <s v="Freshwater"/>
    <x v="1"/>
    <x v="1"/>
    <n v="852"/>
    <s v="Snoqualmie River"/>
    <s v="Snoqualmie River"/>
    <s v="Snohomish/King"/>
    <x v="2"/>
    <s v="King"/>
    <x v="3"/>
    <s v="South Puget Sound"/>
    <m/>
    <n v="675.70954356846505"/>
    <n v="12534.412033195"/>
  </r>
  <r>
    <n v="165"/>
    <x v="3"/>
    <s v="Freshwater"/>
    <x v="1"/>
    <x v="1"/>
    <n v="852"/>
    <s v="Snoqualmie River"/>
    <s v="Snoqualmie River"/>
    <s v="Snohomish/King"/>
    <x v="2"/>
    <s v="Other"/>
    <x v="6"/>
    <s v="Non Puget Sound"/>
    <m/>
    <n v="15.4979253112033"/>
    <n v="287.48651452282098"/>
  </r>
  <r>
    <n v="163"/>
    <x v="3"/>
    <s v="Freshwater"/>
    <x v="1"/>
    <x v="1"/>
    <n v="852"/>
    <s v="Snoqualmie River"/>
    <s v="Snoqualmie River"/>
    <s v="Snohomish/King"/>
    <x v="2"/>
    <s v="Pierce"/>
    <x v="7"/>
    <s v="South Puget Sound"/>
    <m/>
    <n v="24.796680497925301"/>
    <n v="459.978423236514"/>
  </r>
  <r>
    <n v="160"/>
    <x v="3"/>
    <s v="Freshwater"/>
    <x v="1"/>
    <x v="1"/>
    <n v="852"/>
    <s v="Snoqualmie River"/>
    <s v="Snoqualmie River"/>
    <s v="Snohomish/King"/>
    <x v="2"/>
    <s v="Snohomish"/>
    <x v="9"/>
    <s v="North Puget Sound"/>
    <m/>
    <n v="21.697095435684702"/>
    <n v="402.48112033195099"/>
  </r>
  <r>
    <n v="164"/>
    <x v="3"/>
    <s v="Freshwater"/>
    <x v="1"/>
    <x v="1"/>
    <n v="852"/>
    <s v="Snoqualmie River"/>
    <s v="Snoqualmie River"/>
    <s v="Snohomish/King"/>
    <x v="2"/>
    <s v="Thurston"/>
    <x v="10"/>
    <s v="South Puget Sound"/>
    <m/>
    <n v="6.1991701244813298"/>
    <n v="114.994605809129"/>
  </r>
  <r>
    <n v="2223"/>
    <x v="3"/>
    <s v="Freshwater"/>
    <x v="1"/>
    <x v="1"/>
    <n v="854"/>
    <s v="Sultan River"/>
    <s v="Sultan River"/>
    <s v="Snohomish"/>
    <x v="2"/>
    <s v="Snohomish"/>
    <x v="9"/>
    <s v="North Puget Sound"/>
    <m/>
    <n v="4"/>
    <n v="74.2"/>
  </r>
  <r>
    <n v="1846"/>
    <x v="3"/>
    <s v="Freshwater"/>
    <x v="1"/>
    <x v="1"/>
    <n v="856"/>
    <s v="Tokul Creek"/>
    <s v="Tokul Creek"/>
    <s v="King"/>
    <x v="2"/>
    <s v="Island"/>
    <x v="1"/>
    <s v="North Puget Sound"/>
    <m/>
    <n v="3.0459770114942502"/>
    <n v="56.502873563218301"/>
  </r>
  <r>
    <n v="1847"/>
    <x v="3"/>
    <s v="Freshwater"/>
    <x v="1"/>
    <x v="1"/>
    <n v="856"/>
    <s v="Tokul Creek"/>
    <s v="Tokul Creek"/>
    <s v="King"/>
    <x v="2"/>
    <s v="King"/>
    <x v="3"/>
    <s v="South Puget Sound"/>
    <m/>
    <n v="243.67816091954001"/>
    <n v="4520.2298850574698"/>
  </r>
  <r>
    <n v="1848"/>
    <x v="3"/>
    <s v="Freshwater"/>
    <x v="1"/>
    <x v="1"/>
    <n v="856"/>
    <s v="Tokul Creek"/>
    <s v="Tokul Creek"/>
    <s v="King"/>
    <x v="2"/>
    <s v="Pierce"/>
    <x v="7"/>
    <s v="South Puget Sound"/>
    <m/>
    <n v="3.0459770114942502"/>
    <n v="56.502873563218301"/>
  </r>
  <r>
    <n v="1845"/>
    <x v="3"/>
    <s v="Freshwater"/>
    <x v="1"/>
    <x v="1"/>
    <n v="856"/>
    <s v="Tokul Creek"/>
    <s v="Tokul Creek"/>
    <s v="King"/>
    <x v="2"/>
    <s v="Snohomish"/>
    <x v="9"/>
    <s v="North Puget Sound"/>
    <m/>
    <n v="12.183908045977001"/>
    <n v="226.01149425287301"/>
  </r>
  <r>
    <n v="1849"/>
    <x v="3"/>
    <s v="Freshwater"/>
    <x v="1"/>
    <x v="1"/>
    <n v="856"/>
    <s v="Tokul Creek"/>
    <s v="Tokul Creek"/>
    <s v="King"/>
    <x v="2"/>
    <s v="Thurston"/>
    <x v="10"/>
    <s v="South Puget Sound"/>
    <m/>
    <n v="3.0459770114942502"/>
    <n v="56.502873563218301"/>
  </r>
  <r>
    <n v="2329"/>
    <x v="3"/>
    <s v="Freshwater"/>
    <x v="1"/>
    <x v="1"/>
    <n v="860"/>
    <s v="Wallace River"/>
    <s v="Wallace River"/>
    <s v="Snohomish"/>
    <x v="2"/>
    <s v="Island"/>
    <x v="1"/>
    <s v="North Puget Sound"/>
    <m/>
    <n v="3.16326530612245"/>
    <n v="58.678571428571502"/>
  </r>
  <r>
    <n v="2330"/>
    <x v="3"/>
    <s v="Freshwater"/>
    <x v="1"/>
    <x v="1"/>
    <n v="860"/>
    <s v="Wallace River"/>
    <s v="Wallace River"/>
    <s v="Snohomish"/>
    <x v="2"/>
    <s v="King"/>
    <x v="3"/>
    <s v="South Puget Sound"/>
    <m/>
    <n v="31.632653061224499"/>
    <n v="586.78571428571399"/>
  </r>
  <r>
    <n v="2331"/>
    <x v="3"/>
    <s v="Freshwater"/>
    <x v="1"/>
    <x v="1"/>
    <n v="860"/>
    <s v="Wallace River"/>
    <s v="Wallace River"/>
    <s v="Snohomish"/>
    <x v="2"/>
    <s v="Other"/>
    <x v="6"/>
    <s v="Non Puget Sound"/>
    <m/>
    <n v="6.3265306122449001"/>
    <n v="117.357142857143"/>
  </r>
  <r>
    <n v="2224"/>
    <x v="3"/>
    <s v="Freshwater"/>
    <x v="1"/>
    <x v="1"/>
    <n v="860"/>
    <s v="Wallace River"/>
    <s v="Wallace River"/>
    <s v="Snohomish"/>
    <x v="2"/>
    <s v="Skagit"/>
    <x v="8"/>
    <s v="North Puget Sound"/>
    <m/>
    <n v="3.16326530612245"/>
    <n v="58.678571428571502"/>
  </r>
  <r>
    <n v="2225"/>
    <x v="3"/>
    <s v="Freshwater"/>
    <x v="1"/>
    <x v="1"/>
    <n v="860"/>
    <s v="Wallace River"/>
    <s v="Wallace River"/>
    <s v="Snohomish"/>
    <x v="2"/>
    <s v="Snohomish"/>
    <x v="9"/>
    <s v="North Puget Sound"/>
    <m/>
    <n v="110.71428571428601"/>
    <n v="2053.75000000001"/>
  </r>
  <r>
    <n v="2556"/>
    <x v="3"/>
    <s v="Freshwater"/>
    <x v="1"/>
    <x v="1"/>
    <n v="872"/>
    <s v="Stillaguamish R, No. Fork"/>
    <s v="Stillaguamish R, No. Fork"/>
    <s v="Snohomish"/>
    <x v="2"/>
    <s v="Island"/>
    <x v="1"/>
    <s v="North Puget Sound"/>
    <m/>
    <n v="12.8571428571429"/>
    <n v="238.50000000000099"/>
  </r>
  <r>
    <n v="2684"/>
    <x v="3"/>
    <s v="Freshwater"/>
    <x v="1"/>
    <x v="1"/>
    <n v="872"/>
    <s v="Stillaguamish R, No. Fork"/>
    <s v="Stillaguamish R, No. Fork"/>
    <s v="Snohomish"/>
    <x v="2"/>
    <s v="King"/>
    <x v="3"/>
    <s v="South Puget Sound"/>
    <m/>
    <n v="28.928571428571399"/>
    <n v="536.62499999999898"/>
  </r>
  <r>
    <n v="2685"/>
    <x v="3"/>
    <s v="Freshwater"/>
    <x v="1"/>
    <x v="1"/>
    <n v="872"/>
    <s v="Stillaguamish R, No. Fork"/>
    <s v="Stillaguamish R, No. Fork"/>
    <s v="Snohomish"/>
    <x v="2"/>
    <s v="Other"/>
    <x v="6"/>
    <s v="Non Puget Sound"/>
    <m/>
    <n v="6.4285714285714297"/>
    <n v="119.25"/>
  </r>
  <r>
    <n v="2683"/>
    <x v="3"/>
    <s v="Freshwater"/>
    <x v="1"/>
    <x v="1"/>
    <n v="872"/>
    <s v="Stillaguamish R, No. Fork"/>
    <s v="Stillaguamish R, No. Fork"/>
    <s v="Snohomish"/>
    <x v="2"/>
    <s v="San Juan"/>
    <x v="12"/>
    <s v="North Puget Sound"/>
    <m/>
    <n v="6.4285714285714297"/>
    <n v="119.25"/>
  </r>
  <r>
    <n v="2439"/>
    <x v="3"/>
    <s v="Freshwater"/>
    <x v="1"/>
    <x v="1"/>
    <n v="872"/>
    <s v="Stillaguamish R, No. Fork"/>
    <s v="Stillaguamish R, No. Fork"/>
    <s v="Snohomish"/>
    <x v="2"/>
    <s v="Skagit"/>
    <x v="8"/>
    <s v="North Puget Sound"/>
    <m/>
    <n v="22.5"/>
    <n v="417.375"/>
  </r>
  <r>
    <n v="2555"/>
    <x v="3"/>
    <s v="Freshwater"/>
    <x v="1"/>
    <x v="1"/>
    <n v="872"/>
    <s v="Stillaguamish R, No. Fork"/>
    <s v="Stillaguamish R, No. Fork"/>
    <s v="Snohomish"/>
    <x v="2"/>
    <s v="Snohomish"/>
    <x v="9"/>
    <s v="North Puget Sound"/>
    <m/>
    <n v="221.78571428571399"/>
    <n v="4114.12499999999"/>
  </r>
  <r>
    <n v="2438"/>
    <x v="3"/>
    <s v="Freshwater"/>
    <x v="1"/>
    <x v="1"/>
    <n v="872"/>
    <s v="Stillaguamish R, No. Fork"/>
    <s v="Stillaguamish R, No. Fork"/>
    <s v="Snohomish"/>
    <x v="2"/>
    <s v="Whatcom"/>
    <x v="11"/>
    <s v="North Puget Sound"/>
    <m/>
    <n v="16.071428571428601"/>
    <n v="298.12500000000102"/>
  </r>
  <r>
    <n v="1256"/>
    <x v="3"/>
    <s v="Freshwater"/>
    <x v="1"/>
    <x v="1"/>
    <n v="876"/>
    <s v="Stillaguamish River"/>
    <s v="Stillaguamish River"/>
    <s v="Snohomish"/>
    <x v="2"/>
    <s v="King"/>
    <x v="3"/>
    <s v="South Puget Sound"/>
    <m/>
    <n v="8.44444444444445"/>
    <n v="156.64444444444501"/>
  </r>
  <r>
    <n v="2686"/>
    <x v="3"/>
    <s v="Freshwater"/>
    <x v="1"/>
    <x v="1"/>
    <n v="876"/>
    <s v="Stillaguamish River"/>
    <s v="Stillaguamish River"/>
    <s v="Snohomish"/>
    <x v="2"/>
    <s v="Skagit"/>
    <x v="8"/>
    <s v="North Puget Sound"/>
    <m/>
    <n v="4.2222222222222197"/>
    <n v="78.322222222222194"/>
  </r>
  <r>
    <n v="2687"/>
    <x v="3"/>
    <s v="Freshwater"/>
    <x v="1"/>
    <x v="1"/>
    <n v="876"/>
    <s v="Stillaguamish River"/>
    <s v="Stillaguamish River"/>
    <s v="Snohomish"/>
    <x v="2"/>
    <s v="Snohomish"/>
    <x v="9"/>
    <s v="North Puget Sound"/>
    <m/>
    <n v="25.3333333333333"/>
    <n v="469.933333333333"/>
  </r>
  <r>
    <n v="3018"/>
    <x v="3"/>
    <s v="Freshwater"/>
    <x v="1"/>
    <x v="1"/>
    <n v="884"/>
    <s v="Whatcom Creek"/>
    <s v="Whatcom Creek"/>
    <s v="Whatcom"/>
    <x v="1"/>
    <s v="Snohomish"/>
    <x v="9"/>
    <s v="North Puget Sound"/>
    <m/>
    <n v="6.8571428571428603"/>
    <n v="127.2"/>
  </r>
  <r>
    <n v="3017"/>
    <x v="3"/>
    <s v="Freshwater"/>
    <x v="1"/>
    <x v="1"/>
    <n v="884"/>
    <s v="Whatcom Creek"/>
    <s v="Whatcom Creek"/>
    <s v="Whatcom"/>
    <x v="1"/>
    <s v="Whatcom"/>
    <x v="11"/>
    <s v="North Puget Sound"/>
    <m/>
    <n v="41.142857142857103"/>
    <n v="763.19999999999902"/>
  </r>
  <r>
    <n v="688"/>
    <x v="4"/>
    <s v="Freshwater"/>
    <x v="1"/>
    <x v="1"/>
    <n v="706"/>
    <s v="Black River (Thurston Co.)"/>
    <s v="Black River (Thurston Co)"/>
    <s v="Thurston"/>
    <x v="3"/>
    <s v="Other"/>
    <x v="6"/>
    <s v="Non Puget Sound"/>
    <m/>
    <n v="4"/>
    <n v="34.159999999999997"/>
  </r>
  <r>
    <n v="234"/>
    <x v="4"/>
    <s v="Freshwater"/>
    <x v="1"/>
    <x v="1"/>
    <n v="708"/>
    <s v="Burley Creek (Kitsap Co.)"/>
    <s v="Burley Creek (Kitsap Co.)"/>
    <s v="Kitsap"/>
    <x v="3"/>
    <s v="Other"/>
    <x v="6"/>
    <s v="Non Puget Sound"/>
    <m/>
    <n v="12"/>
    <n v="102.48"/>
  </r>
  <r>
    <n v="3354"/>
    <x v="4"/>
    <s v="Freshwater"/>
    <x v="1"/>
    <x v="1"/>
    <n v="718"/>
    <s v="Clallam River"/>
    <s v="Clallam River"/>
    <s v="Clallam"/>
    <x v="0"/>
    <s v="Clallam"/>
    <x v="0"/>
    <s v="Strait of Juan de Fuca"/>
    <m/>
    <n v="6"/>
    <n v="51.24"/>
  </r>
  <r>
    <n v="3353"/>
    <x v="4"/>
    <s v="Freshwater"/>
    <x v="1"/>
    <x v="1"/>
    <n v="718"/>
    <s v="Clallam River"/>
    <s v="Clallam River"/>
    <s v="Clallam"/>
    <x v="0"/>
    <s v="Whatcom"/>
    <x v="11"/>
    <s v="North Puget Sound"/>
    <m/>
    <n v="12"/>
    <n v="102.48"/>
  </r>
  <r>
    <n v="3355"/>
    <x v="4"/>
    <s v="Freshwater"/>
    <x v="1"/>
    <x v="1"/>
    <n v="726"/>
    <s v="Deep Creek (Clallam Co.)"/>
    <s v="Deep Creek (Clallam Co.)"/>
    <s v="Clallam"/>
    <x v="0"/>
    <s v="Clallam"/>
    <x v="0"/>
    <s v="Strait of Juan de Fuca"/>
    <m/>
    <n v="9"/>
    <n v="76.86"/>
  </r>
  <r>
    <n v="3358"/>
    <x v="4"/>
    <s v="Freshwater"/>
    <x v="1"/>
    <x v="1"/>
    <n v="738"/>
    <s v="Dungeness River"/>
    <s v="Dungeness River"/>
    <s v="Clallam"/>
    <x v="0"/>
    <s v="Clallam"/>
    <x v="0"/>
    <s v="Strait of Juan de Fuca"/>
    <m/>
    <n v="33.733333333333299"/>
    <n v="288.082666666666"/>
  </r>
  <r>
    <n v="3357"/>
    <x v="4"/>
    <s v="Freshwater"/>
    <x v="1"/>
    <x v="1"/>
    <n v="738"/>
    <s v="Dungeness River"/>
    <s v="Dungeness River"/>
    <s v="Clallam"/>
    <x v="0"/>
    <s v="King"/>
    <x v="3"/>
    <s v="South Puget Sound"/>
    <m/>
    <n v="3.06666666666667"/>
    <n v="26.189333333333401"/>
  </r>
  <r>
    <n v="3359"/>
    <x v="4"/>
    <s v="Freshwater"/>
    <x v="1"/>
    <x v="1"/>
    <n v="738"/>
    <s v="Dungeness River"/>
    <s v="Dungeness River"/>
    <s v="Clallam"/>
    <x v="0"/>
    <s v="Other"/>
    <x v="6"/>
    <s v="Non Puget Sound"/>
    <m/>
    <n v="6.1333333333333302"/>
    <n v="52.378666666666597"/>
  </r>
  <r>
    <n v="3356"/>
    <x v="4"/>
    <s v="Freshwater"/>
    <x v="1"/>
    <x v="1"/>
    <n v="738"/>
    <s v="Dungeness River"/>
    <s v="Dungeness River"/>
    <s v="Clallam"/>
    <x v="0"/>
    <s v="Snohomish"/>
    <x v="9"/>
    <s v="North Puget Sound"/>
    <m/>
    <n v="3.06666666666667"/>
    <n v="26.189333333333401"/>
  </r>
  <r>
    <n v="690"/>
    <x v="4"/>
    <s v="Freshwater"/>
    <x v="1"/>
    <x v="1"/>
    <n v="746"/>
    <s v="Green (Duwamish River) (King Co.)"/>
    <s v="Green - Duwamish River"/>
    <s v="King"/>
    <x v="3"/>
    <s v="King"/>
    <x v="3"/>
    <s v="South Puget Sound"/>
    <m/>
    <n v="157.744186046512"/>
    <n v="1347.1353488372099"/>
  </r>
  <r>
    <n v="692"/>
    <x v="4"/>
    <s v="Freshwater"/>
    <x v="1"/>
    <x v="1"/>
    <n v="746"/>
    <s v="Green (Duwamish River) (King Co.)"/>
    <s v="Green - Duwamish River"/>
    <s v="King"/>
    <x v="3"/>
    <s v="Other"/>
    <x v="6"/>
    <s v="Non Puget Sound"/>
    <m/>
    <n v="2.7674418604651199"/>
    <n v="23.6339534883721"/>
  </r>
  <r>
    <n v="691"/>
    <x v="4"/>
    <s v="Freshwater"/>
    <x v="1"/>
    <x v="1"/>
    <n v="746"/>
    <s v="Green (Duwamish River) (King Co.)"/>
    <s v="Green - Duwamish River"/>
    <s v="King"/>
    <x v="3"/>
    <s v="Pierce"/>
    <x v="7"/>
    <s v="South Puget Sound"/>
    <m/>
    <n v="69.186046511627893"/>
    <n v="590.84883720930202"/>
  </r>
  <r>
    <n v="689"/>
    <x v="4"/>
    <s v="Freshwater"/>
    <x v="1"/>
    <x v="1"/>
    <n v="746"/>
    <s v="Green (Duwamish River) (King Co.)"/>
    <s v="Green - Duwamish River"/>
    <s v="King"/>
    <x v="3"/>
    <s v="Snohomish"/>
    <x v="9"/>
    <s v="North Puget Sound"/>
    <m/>
    <n v="8.3023255813953494"/>
    <n v="70.9018604651163"/>
  </r>
  <r>
    <n v="230"/>
    <x v="4"/>
    <s v="Freshwater"/>
    <x v="1"/>
    <x v="1"/>
    <n v="748"/>
    <s v="Soos Creek"/>
    <s v="Soos Creek"/>
    <s v="King"/>
    <x v="3"/>
    <s v="Pierce"/>
    <x v="7"/>
    <s v="South Puget Sound"/>
    <m/>
    <n v="9"/>
    <n v="76.86"/>
  </r>
  <r>
    <n v="3370"/>
    <x v="4"/>
    <s v="Freshwater"/>
    <x v="1"/>
    <x v="1"/>
    <n v="752"/>
    <s v="Hoko River"/>
    <s v="Hoko River"/>
    <s v="Clallam"/>
    <x v="0"/>
    <s v="Clallam"/>
    <x v="0"/>
    <s v="Strait of Juan de Fuca"/>
    <m/>
    <n v="159.12605042016801"/>
    <n v="1358.9364705882299"/>
  </r>
  <r>
    <n v="3366"/>
    <x v="4"/>
    <s v="Freshwater"/>
    <x v="1"/>
    <x v="1"/>
    <n v="752"/>
    <s v="Hoko River"/>
    <s v="Hoko River"/>
    <s v="Clallam"/>
    <x v="0"/>
    <s v="Island"/>
    <x v="1"/>
    <s v="North Puget Sound"/>
    <m/>
    <n v="13.2605042016807"/>
    <n v="113.244705882353"/>
  </r>
  <r>
    <n v="3371"/>
    <x v="4"/>
    <s v="Freshwater"/>
    <x v="1"/>
    <x v="1"/>
    <n v="752"/>
    <s v="Hoko River"/>
    <s v="Hoko River"/>
    <s v="Clallam"/>
    <x v="0"/>
    <s v="Jefferson"/>
    <x v="2"/>
    <s v="Strait of Juan de Fuca"/>
    <m/>
    <n v="2.21008403361345"/>
    <n v="18.874117647058899"/>
  </r>
  <r>
    <n v="3369"/>
    <x v="4"/>
    <s v="Freshwater"/>
    <x v="1"/>
    <x v="1"/>
    <n v="752"/>
    <s v="Hoko River"/>
    <s v="Hoko River"/>
    <s v="Clallam"/>
    <x v="0"/>
    <s v="Kitsap"/>
    <x v="4"/>
    <s v="South Puget Sound"/>
    <m/>
    <n v="4.4201680672268902"/>
    <n v="37.748235294117599"/>
  </r>
  <r>
    <n v="3372"/>
    <x v="4"/>
    <s v="Freshwater"/>
    <x v="1"/>
    <x v="1"/>
    <n v="752"/>
    <s v="Hoko River"/>
    <s v="Hoko River"/>
    <s v="Clallam"/>
    <x v="0"/>
    <s v="Other"/>
    <x v="6"/>
    <s v="Non Puget Sound"/>
    <m/>
    <n v="15.4705882352941"/>
    <n v="132.118823529412"/>
  </r>
  <r>
    <n v="3367"/>
    <x v="4"/>
    <s v="Freshwater"/>
    <x v="1"/>
    <x v="1"/>
    <n v="752"/>
    <s v="Hoko River"/>
    <s v="Hoko River"/>
    <s v="Clallam"/>
    <x v="0"/>
    <s v="Pierce"/>
    <x v="7"/>
    <s v="South Puget Sound"/>
    <m/>
    <n v="53.0420168067227"/>
    <n v="452.97882352941201"/>
  </r>
  <r>
    <n v="3365"/>
    <x v="4"/>
    <s v="Freshwater"/>
    <x v="1"/>
    <x v="1"/>
    <n v="752"/>
    <s v="Hoko River"/>
    <s v="Hoko River"/>
    <s v="Clallam"/>
    <x v="0"/>
    <s v="Snohomish"/>
    <x v="9"/>
    <s v="North Puget Sound"/>
    <m/>
    <n v="11.0504201680672"/>
    <n v="94.370588235293894"/>
  </r>
  <r>
    <n v="3368"/>
    <x v="4"/>
    <s v="Freshwater"/>
    <x v="1"/>
    <x v="1"/>
    <n v="752"/>
    <s v="Hoko River"/>
    <s v="Hoko River"/>
    <s v="Clallam"/>
    <x v="0"/>
    <s v="Thurston"/>
    <x v="10"/>
    <s v="South Puget Sound"/>
    <m/>
    <n v="4.4201680672268902"/>
    <n v="37.748235294117599"/>
  </r>
  <r>
    <n v="3373"/>
    <x v="4"/>
    <s v="Freshwater"/>
    <x v="1"/>
    <x v="1"/>
    <n v="768"/>
    <s v="Lyre River"/>
    <s v="Lyre River"/>
    <s v="Clallam"/>
    <x v="0"/>
    <s v="Clallam"/>
    <x v="0"/>
    <s v="Strait of Juan de Fuca"/>
    <m/>
    <n v="6"/>
    <n v="51.24"/>
  </r>
  <r>
    <n v="3020"/>
    <x v="4"/>
    <s v="Freshwater"/>
    <x v="1"/>
    <x v="1"/>
    <n v="790"/>
    <s v="Nooksack River, No. Fork"/>
    <s v="Nooksack River, No. Fork"/>
    <s v="Whatcom"/>
    <x v="1"/>
    <s v="Pierce"/>
    <x v="7"/>
    <s v="South Puget Sound"/>
    <m/>
    <n v="3.0476190476190501"/>
    <n v="26.026666666666699"/>
  </r>
  <r>
    <n v="3019"/>
    <x v="4"/>
    <s v="Freshwater"/>
    <x v="1"/>
    <x v="1"/>
    <n v="790"/>
    <s v="Nooksack River, No. Fork"/>
    <s v="Nooksack River, No. Fork"/>
    <s v="Whatcom"/>
    <x v="1"/>
    <s v="Whatcom"/>
    <x v="11"/>
    <s v="North Puget Sound"/>
    <m/>
    <n v="60.952380952380999"/>
    <n v="520.53333333333399"/>
  </r>
  <r>
    <n v="3085"/>
    <x v="4"/>
    <s v="Freshwater"/>
    <x v="1"/>
    <x v="1"/>
    <n v="792"/>
    <s v="Nooksack River, So. Fork"/>
    <s v="Nooksack River, So. Fork"/>
    <s v="Whatcom"/>
    <x v="1"/>
    <s v="Snohomish"/>
    <x v="9"/>
    <s v="North Puget Sound"/>
    <m/>
    <n v="3"/>
    <n v="25.62"/>
  </r>
  <r>
    <n v="3088"/>
    <x v="4"/>
    <s v="Freshwater"/>
    <x v="1"/>
    <x v="1"/>
    <n v="794"/>
    <s v="Nooksack River, below North Fork"/>
    <s v="Nooksack River, below North Fork"/>
    <s v="Whatcom"/>
    <x v="1"/>
    <s v="Whatcom"/>
    <x v="11"/>
    <s v="North Puget Sound"/>
    <m/>
    <n v="43"/>
    <n v="367.22"/>
  </r>
  <r>
    <n v="993"/>
    <x v="4"/>
    <s v="Freshwater"/>
    <x v="1"/>
    <x v="1"/>
    <n v="804"/>
    <s v="Puyallup River"/>
    <s v="Puyallup River"/>
    <s v="Pierce"/>
    <x v="3"/>
    <s v="Other"/>
    <x v="6"/>
    <s v="Non Puget Sound"/>
    <m/>
    <n v="3"/>
    <n v="25.62"/>
  </r>
  <r>
    <n v="992"/>
    <x v="4"/>
    <s v="Freshwater"/>
    <x v="1"/>
    <x v="1"/>
    <n v="804"/>
    <s v="Puyallup River"/>
    <s v="Puyallup River"/>
    <s v="Pierce"/>
    <x v="3"/>
    <s v="Pierce"/>
    <x v="7"/>
    <s v="South Puget Sound"/>
    <m/>
    <n v="6"/>
    <n v="51.24"/>
  </r>
  <r>
    <n v="1088"/>
    <x v="4"/>
    <s v="Freshwater"/>
    <x v="1"/>
    <x v="1"/>
    <n v="808"/>
    <s v="White (Stuck) River"/>
    <s v="White (Stuck) River"/>
    <s v="Pierce"/>
    <x v="3"/>
    <s v="King"/>
    <x v="3"/>
    <s v="South Puget Sound"/>
    <m/>
    <n v="3"/>
    <n v="25.62"/>
  </r>
  <r>
    <n v="3382"/>
    <x v="4"/>
    <s v="Freshwater"/>
    <x v="1"/>
    <x v="1"/>
    <n v="810"/>
    <s v="Pysht River"/>
    <s v="Pysht River"/>
    <s v="Clallam"/>
    <x v="0"/>
    <s v="Clallam"/>
    <x v="0"/>
    <s v="Strait of Juan de Fuca"/>
    <m/>
    <n v="18"/>
    <n v="153.72"/>
  </r>
  <r>
    <n v="3383"/>
    <x v="4"/>
    <s v="Freshwater"/>
    <x v="1"/>
    <x v="1"/>
    <n v="814"/>
    <s v="Salt Creek (Clallam Co.)"/>
    <s v="Salt Creek (Clallam Co.)"/>
    <s v="Clallam"/>
    <x v="0"/>
    <s v="Snohomish"/>
    <x v="9"/>
    <s v="North Puget Sound"/>
    <m/>
    <n v="12"/>
    <n v="102.48"/>
  </r>
  <r>
    <n v="1996"/>
    <x v="4"/>
    <s v="Freshwater"/>
    <x v="1"/>
    <x v="1"/>
    <n v="816"/>
    <s v="Samish River"/>
    <s v="Samish River"/>
    <s v="Skagit"/>
    <x v="1"/>
    <s v="King"/>
    <x v="3"/>
    <s v="South Puget Sound"/>
    <m/>
    <n v="3"/>
    <n v="25.62"/>
  </r>
  <r>
    <n v="3386"/>
    <x v="4"/>
    <s v="Freshwater"/>
    <x v="1"/>
    <x v="1"/>
    <n v="818"/>
    <s v="Sekiu River"/>
    <s v="Sekiu River"/>
    <s v="Clallam"/>
    <x v="0"/>
    <s v="Clallam"/>
    <x v="0"/>
    <s v="Strait of Juan de Fuca"/>
    <m/>
    <n v="3"/>
    <n v="25.62"/>
  </r>
  <r>
    <n v="3385"/>
    <x v="4"/>
    <s v="Freshwater"/>
    <x v="1"/>
    <x v="1"/>
    <n v="818"/>
    <s v="Sekiu River"/>
    <s v="Sekiu River"/>
    <s v="Clallam"/>
    <x v="0"/>
    <s v="Pierce"/>
    <x v="7"/>
    <s v="South Puget Sound"/>
    <m/>
    <n v="12"/>
    <n v="102.48"/>
  </r>
  <r>
    <n v="2053"/>
    <x v="4"/>
    <s v="Freshwater"/>
    <x v="1"/>
    <x v="1"/>
    <n v="826"/>
    <s v="Cascade River"/>
    <s v="Cascade River"/>
    <s v="Skagit"/>
    <x v="1"/>
    <s v="Island"/>
    <x v="1"/>
    <s v="North Puget Sound"/>
    <m/>
    <n v="3.2035398230088501"/>
    <n v="27.358230088495599"/>
  </r>
  <r>
    <n v="2055"/>
    <x v="4"/>
    <s v="Freshwater"/>
    <x v="1"/>
    <x v="1"/>
    <n v="826"/>
    <s v="Cascade River"/>
    <s v="Cascade River"/>
    <s v="Skagit"/>
    <x v="1"/>
    <s v="King"/>
    <x v="3"/>
    <s v="South Puget Sound"/>
    <m/>
    <n v="12.8141592920354"/>
    <n v="109.432920353982"/>
  </r>
  <r>
    <n v="2054"/>
    <x v="4"/>
    <s v="Freshwater"/>
    <x v="1"/>
    <x v="1"/>
    <n v="826"/>
    <s v="Cascade River"/>
    <s v="Cascade River"/>
    <s v="Skagit"/>
    <x v="1"/>
    <s v="San Juan"/>
    <x v="12"/>
    <s v="North Puget Sound"/>
    <m/>
    <n v="12.8141592920354"/>
    <n v="109.432920353982"/>
  </r>
  <r>
    <n v="1998"/>
    <x v="4"/>
    <s v="Freshwater"/>
    <x v="1"/>
    <x v="1"/>
    <n v="826"/>
    <s v="Cascade River"/>
    <s v="Cascade River"/>
    <s v="Skagit"/>
    <x v="1"/>
    <s v="Skagit"/>
    <x v="8"/>
    <s v="North Puget Sound"/>
    <m/>
    <n v="198.61946902654901"/>
    <n v="1696.2102654867299"/>
  </r>
  <r>
    <n v="2052"/>
    <x v="4"/>
    <s v="Freshwater"/>
    <x v="1"/>
    <x v="1"/>
    <n v="826"/>
    <s v="Cascade River"/>
    <s v="Cascade River"/>
    <s v="Skagit"/>
    <x v="1"/>
    <s v="Snohomish"/>
    <x v="9"/>
    <s v="North Puget Sound"/>
    <m/>
    <n v="38.442477876106203"/>
    <n v="328.298761061947"/>
  </r>
  <r>
    <n v="1997"/>
    <x v="4"/>
    <s v="Freshwater"/>
    <x v="1"/>
    <x v="1"/>
    <n v="826"/>
    <s v="Cascade River"/>
    <s v="Cascade River"/>
    <s v="Skagit"/>
    <x v="1"/>
    <s v="Whatcom"/>
    <x v="11"/>
    <s v="North Puget Sound"/>
    <m/>
    <n v="96.106194690265497"/>
    <n v="820.74690265486697"/>
  </r>
  <r>
    <n v="2134"/>
    <x v="4"/>
    <s v="Freshwater"/>
    <x v="1"/>
    <x v="1"/>
    <n v="828"/>
    <s v="Sauk River"/>
    <s v="Sauk River"/>
    <s v="Skagit/Snohomish"/>
    <x v="2"/>
    <s v="King"/>
    <x v="3"/>
    <s v="South Puget Sound"/>
    <m/>
    <n v="2"/>
    <n v="17.079999999999998"/>
  </r>
  <r>
    <n v="3554"/>
    <x v="4"/>
    <s v="Freshwater"/>
    <x v="1"/>
    <x v="1"/>
    <n v="830"/>
    <s v="Skagit River"/>
    <s v="Skagit River"/>
    <s v="Skagit/Whatcom"/>
    <x v="2"/>
    <s v="Island"/>
    <x v="1"/>
    <s v="North Puget Sound"/>
    <m/>
    <n v="2.4666666666666699"/>
    <n v="21.065333333333399"/>
  </r>
  <r>
    <n v="3603"/>
    <x v="4"/>
    <s v="Freshwater"/>
    <x v="1"/>
    <x v="1"/>
    <n v="830"/>
    <s v="Skagit River"/>
    <s v="Skagit River"/>
    <s v="Skagit/Whatcom"/>
    <x v="2"/>
    <s v="King"/>
    <x v="3"/>
    <s v="South Puget Sound"/>
    <m/>
    <n v="4.93333333333333"/>
    <n v="42.130666666666599"/>
  </r>
  <r>
    <n v="3604"/>
    <x v="4"/>
    <s v="Freshwater"/>
    <x v="1"/>
    <x v="1"/>
    <n v="830"/>
    <s v="Skagit River"/>
    <s v="Skagit River"/>
    <s v="Skagit/Whatcom"/>
    <x v="2"/>
    <s v="Mason"/>
    <x v="5"/>
    <s v="South Puget Sound"/>
    <m/>
    <n v="4.93333333333333"/>
    <n v="42.130666666666599"/>
  </r>
  <r>
    <n v="3605"/>
    <x v="4"/>
    <s v="Freshwater"/>
    <x v="1"/>
    <x v="1"/>
    <n v="830"/>
    <s v="Skagit River"/>
    <s v="Skagit River"/>
    <s v="Skagit/Whatcom"/>
    <x v="2"/>
    <s v="Other"/>
    <x v="6"/>
    <s v="Non Puget Sound"/>
    <m/>
    <n v="2.4666666666666699"/>
    <n v="21.065333333333399"/>
  </r>
  <r>
    <n v="3553"/>
    <x v="4"/>
    <s v="Freshwater"/>
    <x v="1"/>
    <x v="1"/>
    <n v="830"/>
    <s v="Skagit River"/>
    <s v="Skagit River"/>
    <s v="Skagit/Whatcom"/>
    <x v="2"/>
    <s v="Skagit"/>
    <x v="8"/>
    <s v="North Puget Sound"/>
    <m/>
    <n v="17.266666666666701"/>
    <n v="147.45733333333399"/>
  </r>
  <r>
    <n v="3552"/>
    <x v="4"/>
    <s v="Freshwater"/>
    <x v="1"/>
    <x v="1"/>
    <n v="830"/>
    <s v="Skagit River"/>
    <s v="Skagit River"/>
    <s v="Skagit/Whatcom"/>
    <x v="2"/>
    <s v="Whatcom"/>
    <x v="11"/>
    <s v="North Puget Sound"/>
    <m/>
    <n v="4.93333333333333"/>
    <n v="42.130666666666599"/>
  </r>
  <r>
    <n v="1257"/>
    <x v="4"/>
    <s v="Freshwater"/>
    <x v="1"/>
    <x v="1"/>
    <n v="840"/>
    <s v="Pilchuck River (Snohomish System)"/>
    <s v="Pilchuck River (Snohomish System)"/>
    <s v="Snohomish"/>
    <x v="2"/>
    <s v="King"/>
    <x v="3"/>
    <s v="South Puget Sound"/>
    <m/>
    <n v="16.6666666666667"/>
    <n v="142.333333333334"/>
  </r>
  <r>
    <n v="1258"/>
    <x v="4"/>
    <s v="Freshwater"/>
    <x v="1"/>
    <x v="1"/>
    <n v="840"/>
    <s v="Pilchuck River (Snohomish System)"/>
    <s v="Pilchuck River (Snohomish System)"/>
    <s v="Snohomish"/>
    <x v="2"/>
    <s v="Other"/>
    <x v="6"/>
    <s v="Non Puget Sound"/>
    <m/>
    <n v="3.3333333333333299"/>
    <n v="28.466666666666601"/>
  </r>
  <r>
    <n v="1389"/>
    <x v="4"/>
    <s v="Freshwater"/>
    <x v="1"/>
    <x v="1"/>
    <n v="844"/>
    <s v="Skykomish River"/>
    <s v="Skykomish River"/>
    <s v="Snohomish"/>
    <x v="2"/>
    <s v="Clallam"/>
    <x v="0"/>
    <s v="Strait of Juan de Fuca"/>
    <m/>
    <n v="19.379310344827601"/>
    <n v="165.49931034482799"/>
  </r>
  <r>
    <n v="1308"/>
    <x v="4"/>
    <s v="Freshwater"/>
    <x v="1"/>
    <x v="1"/>
    <n v="844"/>
    <s v="Skykomish River"/>
    <s v="Skykomish River"/>
    <s v="Snohomish"/>
    <x v="2"/>
    <s v="Island"/>
    <x v="1"/>
    <s v="North Puget Sound"/>
    <m/>
    <n v="6.45977011494253"/>
    <n v="55.1664367816092"/>
  </r>
  <r>
    <n v="1309"/>
    <x v="4"/>
    <s v="Freshwater"/>
    <x v="1"/>
    <x v="1"/>
    <n v="844"/>
    <s v="Skykomish River"/>
    <s v="Skykomish River"/>
    <s v="Snohomish"/>
    <x v="2"/>
    <s v="King"/>
    <x v="3"/>
    <s v="South Puget Sound"/>
    <m/>
    <n v="1715.06896551724"/>
    <n v="14646.6889655172"/>
  </r>
  <r>
    <n v="1312"/>
    <x v="4"/>
    <s v="Freshwater"/>
    <x v="1"/>
    <x v="1"/>
    <n v="844"/>
    <s v="Skykomish River"/>
    <s v="Skykomish River"/>
    <s v="Snohomish"/>
    <x v="2"/>
    <s v="Kitsap"/>
    <x v="4"/>
    <s v="South Puget Sound"/>
    <m/>
    <n v="45.218390804597703"/>
    <n v="386.16505747126399"/>
  </r>
  <r>
    <n v="1390"/>
    <x v="4"/>
    <s v="Freshwater"/>
    <x v="1"/>
    <x v="1"/>
    <n v="844"/>
    <s v="Skykomish River"/>
    <s v="Skykomish River"/>
    <s v="Snohomish"/>
    <x v="2"/>
    <s v="Other"/>
    <x v="6"/>
    <s v="Non Puget Sound"/>
    <m/>
    <n v="100.126436781609"/>
    <n v="855.07977011494097"/>
  </r>
  <r>
    <n v="1310"/>
    <x v="4"/>
    <s v="Freshwater"/>
    <x v="1"/>
    <x v="1"/>
    <n v="844"/>
    <s v="Skykomish River"/>
    <s v="Skykomish River"/>
    <s v="Snohomish"/>
    <x v="2"/>
    <s v="Pierce"/>
    <x v="7"/>
    <s v="South Puget Sound"/>
    <m/>
    <n v="96.896551724138007"/>
    <n v="827.49655172413804"/>
  </r>
  <r>
    <n v="1306"/>
    <x v="4"/>
    <s v="Freshwater"/>
    <x v="1"/>
    <x v="1"/>
    <n v="844"/>
    <s v="Skykomish River"/>
    <s v="Skykomish River"/>
    <s v="Snohomish"/>
    <x v="2"/>
    <s v="Skagit"/>
    <x v="8"/>
    <s v="North Puget Sound"/>
    <m/>
    <n v="12.919540229885101"/>
    <n v="110.332873563219"/>
  </r>
  <r>
    <n v="1307"/>
    <x v="4"/>
    <s v="Freshwater"/>
    <x v="1"/>
    <x v="1"/>
    <n v="844"/>
    <s v="Skykomish River"/>
    <s v="Skykomish River"/>
    <s v="Snohomish"/>
    <x v="2"/>
    <s v="Snohomish"/>
    <x v="9"/>
    <s v="North Puget Sound"/>
    <m/>
    <n v="1912.09195402299"/>
    <n v="16329.2652873563"/>
  </r>
  <r>
    <n v="1311"/>
    <x v="4"/>
    <s v="Freshwater"/>
    <x v="1"/>
    <x v="1"/>
    <n v="844"/>
    <s v="Skykomish River"/>
    <s v="Skykomish River"/>
    <s v="Snohomish"/>
    <x v="2"/>
    <s v="Thurston"/>
    <x v="10"/>
    <s v="South Puget Sound"/>
    <m/>
    <n v="9.6896551724138007"/>
    <n v="82.749655172413895"/>
  </r>
  <r>
    <n v="1305"/>
    <x v="4"/>
    <s v="Freshwater"/>
    <x v="1"/>
    <x v="1"/>
    <n v="844"/>
    <s v="Skykomish River"/>
    <s v="Skykomish River"/>
    <s v="Snohomish"/>
    <x v="2"/>
    <s v="Whatcom"/>
    <x v="11"/>
    <s v="North Puget Sound"/>
    <m/>
    <n v="16.149425287356301"/>
    <n v="137.91609195402299"/>
  </r>
  <r>
    <n v="1448"/>
    <x v="4"/>
    <s v="Freshwater"/>
    <x v="1"/>
    <x v="1"/>
    <n v="846"/>
    <s v="Skykomish River, No. Fork"/>
    <s v="Skykomish River, No. Fork"/>
    <s v="Snohomish"/>
    <x v="2"/>
    <s v="King"/>
    <x v="3"/>
    <s v="South Puget Sound"/>
    <m/>
    <n v="64.941176470588303"/>
    <n v="554.59764705882401"/>
  </r>
  <r>
    <n v="1449"/>
    <x v="4"/>
    <s v="Freshwater"/>
    <x v="1"/>
    <x v="1"/>
    <n v="846"/>
    <s v="Skykomish River, No. Fork"/>
    <s v="Skykomish River, No. Fork"/>
    <s v="Snohomish"/>
    <x v="2"/>
    <s v="Other"/>
    <x v="6"/>
    <s v="Non Puget Sound"/>
    <m/>
    <n v="9.7411764705882398"/>
    <n v="83.189647058823596"/>
  </r>
  <r>
    <n v="1447"/>
    <x v="4"/>
    <s v="Freshwater"/>
    <x v="1"/>
    <x v="1"/>
    <n v="846"/>
    <s v="Skykomish River, No. Fork"/>
    <s v="Skykomish River, No. Fork"/>
    <s v="Snohomish"/>
    <x v="2"/>
    <s v="Snohomish"/>
    <x v="9"/>
    <s v="North Puget Sound"/>
    <m/>
    <n v="201.31764705882401"/>
    <n v="1719.25270588236"/>
  </r>
  <r>
    <n v="167"/>
    <x v="4"/>
    <s v="Freshwater"/>
    <x v="1"/>
    <x v="1"/>
    <n v="848"/>
    <s v="Skykomish River, So. Fork"/>
    <s v="Skykomish River, So. Fork"/>
    <s v="Snohomish/King"/>
    <x v="2"/>
    <s v="King"/>
    <x v="3"/>
    <s v="South Puget Sound"/>
    <m/>
    <n v="9.75"/>
    <n v="83.265000000000001"/>
  </r>
  <r>
    <n v="169"/>
    <x v="4"/>
    <s v="Freshwater"/>
    <x v="1"/>
    <x v="1"/>
    <n v="848"/>
    <s v="Skykomish River, So. Fork"/>
    <s v="Skykomish River, So. Fork"/>
    <s v="Snohomish/King"/>
    <x v="2"/>
    <s v="Mason"/>
    <x v="5"/>
    <s v="South Puget Sound"/>
    <m/>
    <n v="3.25"/>
    <n v="27.754999999999999"/>
  </r>
  <r>
    <n v="166"/>
    <x v="4"/>
    <s v="Freshwater"/>
    <x v="1"/>
    <x v="1"/>
    <n v="848"/>
    <s v="Skykomish River, So. Fork"/>
    <s v="Skykomish River, So. Fork"/>
    <s v="Snohomish/King"/>
    <x v="2"/>
    <s v="Snohomish"/>
    <x v="9"/>
    <s v="North Puget Sound"/>
    <m/>
    <n v="22.75"/>
    <n v="194.285"/>
  </r>
  <r>
    <n v="168"/>
    <x v="4"/>
    <s v="Freshwater"/>
    <x v="1"/>
    <x v="1"/>
    <n v="848"/>
    <s v="Skykomish River, So. Fork"/>
    <s v="Skykomish River, So. Fork"/>
    <s v="Snohomish/King"/>
    <x v="2"/>
    <s v="Thurston"/>
    <x v="10"/>
    <s v="South Puget Sound"/>
    <m/>
    <n v="3.25"/>
    <n v="27.754999999999999"/>
  </r>
  <r>
    <n v="1451"/>
    <x v="4"/>
    <s v="Freshwater"/>
    <x v="1"/>
    <x v="1"/>
    <n v="850"/>
    <s v="Snohomish River"/>
    <s v="Snohomish River"/>
    <s v="Snohomish"/>
    <x v="2"/>
    <s v="King"/>
    <x v="3"/>
    <s v="South Puget Sound"/>
    <m/>
    <n v="3.2371134020618602"/>
    <n v="27.644948453608301"/>
  </r>
  <r>
    <n v="1452"/>
    <x v="4"/>
    <s v="Freshwater"/>
    <x v="1"/>
    <x v="1"/>
    <n v="850"/>
    <s v="Snohomish River"/>
    <s v="Snohomish River"/>
    <s v="Snohomish"/>
    <x v="2"/>
    <s v="Other"/>
    <x v="6"/>
    <s v="Non Puget Sound"/>
    <m/>
    <n v="3.2371134020618602"/>
    <n v="27.644948453608301"/>
  </r>
  <r>
    <n v="1450"/>
    <x v="4"/>
    <s v="Freshwater"/>
    <x v="1"/>
    <x v="1"/>
    <n v="850"/>
    <s v="Snohomish River"/>
    <s v="Snohomish River"/>
    <s v="Snohomish"/>
    <x v="2"/>
    <s v="Snohomish"/>
    <x v="9"/>
    <s v="North Puget Sound"/>
    <m/>
    <n v="307.52577319587601"/>
    <n v="2626.2701030927801"/>
  </r>
  <r>
    <n v="171"/>
    <x v="4"/>
    <s v="Freshwater"/>
    <x v="1"/>
    <x v="1"/>
    <n v="852"/>
    <s v="Snoqualmie River"/>
    <s v="Snoqualmie River"/>
    <s v="Snohomish/King"/>
    <x v="2"/>
    <s v="King"/>
    <x v="3"/>
    <s v="South Puget Sound"/>
    <m/>
    <n v="627.01463414634202"/>
    <n v="5354.7049756097604"/>
  </r>
  <r>
    <n v="173"/>
    <x v="4"/>
    <s v="Freshwater"/>
    <x v="1"/>
    <x v="1"/>
    <n v="852"/>
    <s v="Snoqualmie River"/>
    <s v="Snoqualmie River"/>
    <s v="Snohomish/King"/>
    <x v="2"/>
    <s v="Other"/>
    <x v="6"/>
    <s v="Non Puget Sound"/>
    <m/>
    <n v="16.243902439024399"/>
    <n v="138.722926829268"/>
  </r>
  <r>
    <n v="172"/>
    <x v="4"/>
    <s v="Freshwater"/>
    <x v="1"/>
    <x v="1"/>
    <n v="852"/>
    <s v="Snoqualmie River"/>
    <s v="Snoqualmie River"/>
    <s v="Snohomish/King"/>
    <x v="2"/>
    <s v="Pierce"/>
    <x v="7"/>
    <s v="South Puget Sound"/>
    <m/>
    <n v="6.4975609756097601"/>
    <n v="55.489170731707297"/>
  </r>
  <r>
    <n v="170"/>
    <x v="4"/>
    <s v="Freshwater"/>
    <x v="1"/>
    <x v="1"/>
    <n v="852"/>
    <s v="Snoqualmie River"/>
    <s v="Snoqualmie River"/>
    <s v="Snohomish/King"/>
    <x v="2"/>
    <s v="Snohomish"/>
    <x v="9"/>
    <s v="North Puget Sound"/>
    <m/>
    <n v="16.243902439024399"/>
    <n v="138.722926829268"/>
  </r>
  <r>
    <n v="1851"/>
    <x v="4"/>
    <s v="Freshwater"/>
    <x v="1"/>
    <x v="1"/>
    <n v="856"/>
    <s v="Tokul Creek"/>
    <s v="Tokul Creek"/>
    <s v="King"/>
    <x v="2"/>
    <s v="King"/>
    <x v="3"/>
    <s v="South Puget Sound"/>
    <m/>
    <n v="1224.50363196126"/>
    <n v="10457.2610169492"/>
  </r>
  <r>
    <n v="1854"/>
    <x v="4"/>
    <s v="Freshwater"/>
    <x v="1"/>
    <x v="1"/>
    <n v="856"/>
    <s v="Tokul Creek"/>
    <s v="Tokul Creek"/>
    <s v="King"/>
    <x v="2"/>
    <s v="Other"/>
    <x v="6"/>
    <s v="Non Puget Sound"/>
    <m/>
    <n v="19.539951573849901"/>
    <n v="166.871186440678"/>
  </r>
  <r>
    <n v="1852"/>
    <x v="4"/>
    <s v="Freshwater"/>
    <x v="1"/>
    <x v="1"/>
    <n v="856"/>
    <s v="Tokul Creek"/>
    <s v="Tokul Creek"/>
    <s v="King"/>
    <x v="2"/>
    <s v="Pierce"/>
    <x v="7"/>
    <s v="South Puget Sound"/>
    <m/>
    <n v="22.796610169491501"/>
    <n v="194.683050847457"/>
  </r>
  <r>
    <n v="1850"/>
    <x v="4"/>
    <s v="Freshwater"/>
    <x v="1"/>
    <x v="1"/>
    <n v="856"/>
    <s v="Tokul Creek"/>
    <s v="Tokul Creek"/>
    <s v="King"/>
    <x v="2"/>
    <s v="Snohomish"/>
    <x v="9"/>
    <s v="North Puget Sound"/>
    <m/>
    <n v="74.903147699757895"/>
    <n v="639.67288135593196"/>
  </r>
  <r>
    <n v="1853"/>
    <x v="4"/>
    <s v="Freshwater"/>
    <x v="1"/>
    <x v="1"/>
    <n v="856"/>
    <s v="Tokul Creek"/>
    <s v="Tokul Creek"/>
    <s v="King"/>
    <x v="2"/>
    <s v="Thurston"/>
    <x v="10"/>
    <s v="South Puget Sound"/>
    <m/>
    <n v="3.2566585956416501"/>
    <n v="27.811864406779701"/>
  </r>
  <r>
    <n v="1856"/>
    <x v="4"/>
    <s v="Freshwater"/>
    <x v="1"/>
    <x v="1"/>
    <n v="858"/>
    <s v="Tolt River"/>
    <s v="Tolt River"/>
    <s v="King"/>
    <x v="2"/>
    <s v="Clallam"/>
    <x v="0"/>
    <s v="Strait of Juan de Fuca"/>
    <m/>
    <n v="9.6"/>
    <n v="81.983999999999995"/>
  </r>
  <r>
    <n v="1855"/>
    <x v="4"/>
    <s v="Freshwater"/>
    <x v="1"/>
    <x v="1"/>
    <n v="858"/>
    <s v="Tolt River"/>
    <s v="Tolt River"/>
    <s v="King"/>
    <x v="2"/>
    <s v="King"/>
    <x v="3"/>
    <s v="South Puget Sound"/>
    <m/>
    <n v="22.4"/>
    <n v="191.29599999999999"/>
  </r>
  <r>
    <n v="1455"/>
    <x v="4"/>
    <s v="Freshwater"/>
    <x v="1"/>
    <x v="1"/>
    <n v="860"/>
    <s v="Wallace River"/>
    <s v="Wallace River"/>
    <s v="Snohomish"/>
    <x v="2"/>
    <s v="King"/>
    <x v="3"/>
    <s v="South Puget Sound"/>
    <m/>
    <n v="123.04761904761899"/>
    <n v="1050.82666666667"/>
  </r>
  <r>
    <n v="1454"/>
    <x v="4"/>
    <s v="Freshwater"/>
    <x v="1"/>
    <x v="1"/>
    <n v="860"/>
    <s v="Wallace River"/>
    <s v="Wallace River"/>
    <s v="Snohomish"/>
    <x v="2"/>
    <s v="Snohomish"/>
    <x v="9"/>
    <s v="North Puget Sound"/>
    <m/>
    <n v="145.71428571428601"/>
    <n v="1244.4000000000001"/>
  </r>
  <r>
    <n v="1453"/>
    <x v="4"/>
    <s v="Freshwater"/>
    <x v="1"/>
    <x v="1"/>
    <n v="860"/>
    <s v="Wallace River"/>
    <s v="Wallace River"/>
    <s v="Snohomish"/>
    <x v="2"/>
    <s v="Whatcom"/>
    <x v="11"/>
    <s v="North Puget Sound"/>
    <m/>
    <n v="3.2380952380952399"/>
    <n v="27.6533333333333"/>
  </r>
  <r>
    <n v="1457"/>
    <x v="4"/>
    <s v="Freshwater"/>
    <x v="1"/>
    <x v="1"/>
    <n v="866"/>
    <s v="Canyon Creek"/>
    <s v="Canyon Creek"/>
    <s v="Snohomish"/>
    <x v="2"/>
    <s v="Other"/>
    <x v="6"/>
    <s v="Non Puget Sound"/>
    <m/>
    <n v="3.25"/>
    <n v="27.754999999999999"/>
  </r>
  <r>
    <n v="1456"/>
    <x v="4"/>
    <s v="Freshwater"/>
    <x v="1"/>
    <x v="1"/>
    <n v="866"/>
    <s v="Canyon Creek"/>
    <s v="Canyon Creek"/>
    <s v="Snohomish"/>
    <x v="2"/>
    <s v="Snohomish"/>
    <x v="9"/>
    <s v="North Puget Sound"/>
    <m/>
    <n v="9.75"/>
    <n v="83.265000000000001"/>
  </r>
  <r>
    <n v="1461"/>
    <x v="4"/>
    <s v="Freshwater"/>
    <x v="1"/>
    <x v="1"/>
    <n v="872"/>
    <s v="Stillaguamish R, No. Fork"/>
    <s v="Stillaguamish R, No. Fork"/>
    <s v="Snohomish"/>
    <x v="2"/>
    <s v="Island"/>
    <x v="1"/>
    <s v="North Puget Sound"/>
    <m/>
    <n v="3.28125"/>
    <n v="28.021875000000001"/>
  </r>
  <r>
    <n v="1462"/>
    <x v="4"/>
    <s v="Freshwater"/>
    <x v="1"/>
    <x v="1"/>
    <n v="872"/>
    <s v="Stillaguamish R, No. Fork"/>
    <s v="Stillaguamish R, No. Fork"/>
    <s v="Snohomish"/>
    <x v="2"/>
    <s v="King"/>
    <x v="3"/>
    <s v="South Puget Sound"/>
    <m/>
    <n v="9.84375"/>
    <n v="84.065624999999997"/>
  </r>
  <r>
    <n v="1459"/>
    <x v="4"/>
    <s v="Freshwater"/>
    <x v="1"/>
    <x v="1"/>
    <n v="872"/>
    <s v="Stillaguamish R, No. Fork"/>
    <s v="Stillaguamish R, No. Fork"/>
    <s v="Snohomish"/>
    <x v="2"/>
    <s v="Skagit"/>
    <x v="8"/>
    <s v="North Puget Sound"/>
    <m/>
    <n v="16.40625"/>
    <n v="140.109375"/>
  </r>
  <r>
    <n v="1460"/>
    <x v="4"/>
    <s v="Freshwater"/>
    <x v="1"/>
    <x v="1"/>
    <n v="872"/>
    <s v="Stillaguamish R, No. Fork"/>
    <s v="Stillaguamish R, No. Fork"/>
    <s v="Snohomish"/>
    <x v="2"/>
    <s v="Snohomish"/>
    <x v="9"/>
    <s v="North Puget Sound"/>
    <m/>
    <n v="72.1875"/>
    <n v="616.48125000000005"/>
  </r>
  <r>
    <n v="1458"/>
    <x v="4"/>
    <s v="Freshwater"/>
    <x v="1"/>
    <x v="1"/>
    <n v="872"/>
    <s v="Stillaguamish R, No. Fork"/>
    <s v="Stillaguamish R, No. Fork"/>
    <s v="Snohomish"/>
    <x v="2"/>
    <s v="Whatcom"/>
    <x v="11"/>
    <s v="North Puget Sound"/>
    <m/>
    <n v="3.28125"/>
    <n v="28.021875000000001"/>
  </r>
  <r>
    <n v="1463"/>
    <x v="4"/>
    <s v="Freshwater"/>
    <x v="1"/>
    <x v="1"/>
    <n v="874"/>
    <s v="Stillaguamish R, So. Fork"/>
    <s v="Stillaguamish R, So. Fork"/>
    <s v="Snohomish"/>
    <x v="2"/>
    <s v="Other"/>
    <x v="6"/>
    <s v="Non Puget Sound"/>
    <m/>
    <n v="3"/>
    <n v="25.62"/>
  </r>
  <r>
    <n v="3090"/>
    <x v="4"/>
    <s v="Freshwater"/>
    <x v="1"/>
    <x v="1"/>
    <n v="884"/>
    <s v="Whatcom Creek"/>
    <s v="Whatcom Creek"/>
    <s v="Whatcom"/>
    <x v="1"/>
    <s v="Snohomish"/>
    <x v="9"/>
    <s v="North Puget Sound"/>
    <m/>
    <n v="3"/>
    <n v="25.62"/>
  </r>
  <r>
    <n v="3089"/>
    <x v="4"/>
    <s v="Freshwater"/>
    <x v="1"/>
    <x v="1"/>
    <n v="884"/>
    <s v="Whatcom Creek"/>
    <s v="Whatcom Creek"/>
    <s v="Whatcom"/>
    <x v="1"/>
    <s v="Whatcom"/>
    <x v="11"/>
    <s v="North Puget Sound"/>
    <m/>
    <n v="12"/>
    <n v="102.48"/>
  </r>
  <r>
    <n v="3449"/>
    <x v="5"/>
    <s v="Freshwater"/>
    <x v="1"/>
    <x v="1"/>
    <n v="718"/>
    <s v="Clallam River"/>
    <s v="Clallam River"/>
    <s v="Clallam"/>
    <x v="0"/>
    <s v="King"/>
    <x v="3"/>
    <s v="South Puget Sound"/>
    <m/>
    <n v="16"/>
    <n v="296.8"/>
  </r>
  <r>
    <n v="3450"/>
    <x v="5"/>
    <s v="Freshwater"/>
    <x v="1"/>
    <x v="1"/>
    <n v="738"/>
    <s v="Dungeness River"/>
    <s v="Dungeness River"/>
    <s v="Clallam"/>
    <x v="0"/>
    <s v="Other"/>
    <x v="6"/>
    <s v="Non Puget Sound"/>
    <m/>
    <n v="10"/>
    <n v="185.5"/>
  </r>
  <r>
    <n v="694"/>
    <x v="5"/>
    <s v="Freshwater"/>
    <x v="1"/>
    <x v="1"/>
    <n v="746"/>
    <s v="Green (Duwamish River) (King Co.)"/>
    <s v="Green - Duwamish River"/>
    <s v="King"/>
    <x v="3"/>
    <s v="King"/>
    <x v="3"/>
    <s v="South Puget Sound"/>
    <m/>
    <n v="48.928571428571402"/>
    <n v="907.625"/>
  </r>
  <r>
    <n v="696"/>
    <x v="5"/>
    <s v="Freshwater"/>
    <x v="1"/>
    <x v="1"/>
    <n v="746"/>
    <s v="Green (Duwamish River) (King Co.)"/>
    <s v="Green - Duwamish River"/>
    <s v="King"/>
    <x v="3"/>
    <s v="Other"/>
    <x v="6"/>
    <s v="Non Puget Sound"/>
    <m/>
    <n v="9.78571428571429"/>
    <n v="181.52500000000001"/>
  </r>
  <r>
    <n v="695"/>
    <x v="5"/>
    <s v="Freshwater"/>
    <x v="1"/>
    <x v="1"/>
    <n v="746"/>
    <s v="Green (Duwamish River) (King Co.)"/>
    <s v="Green - Duwamish River"/>
    <s v="King"/>
    <x v="3"/>
    <s v="Pierce"/>
    <x v="7"/>
    <s v="South Puget Sound"/>
    <m/>
    <n v="68.5"/>
    <n v="1270.675"/>
  </r>
  <r>
    <n v="693"/>
    <x v="5"/>
    <s v="Freshwater"/>
    <x v="1"/>
    <x v="1"/>
    <n v="746"/>
    <s v="Green (Duwamish River) (King Co.)"/>
    <s v="Green - Duwamish River"/>
    <s v="King"/>
    <x v="3"/>
    <s v="Whatcom"/>
    <x v="11"/>
    <s v="North Puget Sound"/>
    <m/>
    <n v="9.78571428571429"/>
    <n v="181.52500000000001"/>
  </r>
  <r>
    <n v="231"/>
    <x v="5"/>
    <s v="Freshwater"/>
    <x v="1"/>
    <x v="1"/>
    <n v="748"/>
    <s v="Soos Creek"/>
    <s v="Soos Creek"/>
    <s v="King"/>
    <x v="3"/>
    <s v="Pierce"/>
    <x v="7"/>
    <s v="South Puget Sound"/>
    <m/>
    <n v="8"/>
    <n v="148.4"/>
  </r>
  <r>
    <n v="3459"/>
    <x v="5"/>
    <s v="Freshwater"/>
    <x v="1"/>
    <x v="1"/>
    <n v="752"/>
    <s v="Hoko River"/>
    <s v="Hoko River"/>
    <s v="Clallam"/>
    <x v="0"/>
    <s v="Clallam"/>
    <x v="0"/>
    <s v="Strait of Juan de Fuca"/>
    <m/>
    <n v="74.285714285714306"/>
    <n v="1378"/>
  </r>
  <r>
    <n v="3457"/>
    <x v="5"/>
    <s v="Freshwater"/>
    <x v="1"/>
    <x v="1"/>
    <n v="752"/>
    <s v="Hoko River"/>
    <s v="Hoko River"/>
    <s v="Clallam"/>
    <x v="0"/>
    <s v="King"/>
    <x v="3"/>
    <s v="South Puget Sound"/>
    <m/>
    <n v="18.571428571428601"/>
    <n v="344.50000000000102"/>
  </r>
  <r>
    <n v="3458"/>
    <x v="5"/>
    <s v="Freshwater"/>
    <x v="1"/>
    <x v="1"/>
    <n v="752"/>
    <s v="Hoko River"/>
    <s v="Hoko River"/>
    <s v="Clallam"/>
    <x v="0"/>
    <s v="Kitsap"/>
    <x v="4"/>
    <s v="South Puget Sound"/>
    <m/>
    <n v="18.571428571428601"/>
    <n v="344.50000000000102"/>
  </r>
  <r>
    <n v="3456"/>
    <x v="5"/>
    <s v="Freshwater"/>
    <x v="1"/>
    <x v="1"/>
    <n v="752"/>
    <s v="Hoko River"/>
    <s v="Hoko River"/>
    <s v="Clallam"/>
    <x v="0"/>
    <s v="Snohomish"/>
    <x v="9"/>
    <s v="North Puget Sound"/>
    <m/>
    <n v="18.571428571428601"/>
    <n v="344.50000000000102"/>
  </r>
  <r>
    <n v="3091"/>
    <x v="5"/>
    <s v="Freshwater"/>
    <x v="1"/>
    <x v="1"/>
    <n v="794"/>
    <s v="Nooksack River, below North Fork"/>
    <s v="Nooksack River, below North Fork"/>
    <s v="Whatcom"/>
    <x v="1"/>
    <s v="Whatcom"/>
    <x v="11"/>
    <s v="North Puget Sound"/>
    <m/>
    <n v="10"/>
    <n v="185.5"/>
  </r>
  <r>
    <n v="1089"/>
    <x v="5"/>
    <s v="Freshwater"/>
    <x v="1"/>
    <x v="1"/>
    <n v="804"/>
    <s v="Puyallup River"/>
    <s v="Puyallup River"/>
    <s v="Pierce"/>
    <x v="3"/>
    <s v="Pierce"/>
    <x v="7"/>
    <s v="South Puget Sound"/>
    <m/>
    <n v="14"/>
    <n v="259.7"/>
  </r>
  <r>
    <n v="2093"/>
    <x v="5"/>
    <s v="Freshwater"/>
    <x v="1"/>
    <x v="1"/>
    <n v="826"/>
    <s v="Cascade River"/>
    <s v="Cascade River"/>
    <s v="Skagit"/>
    <x v="1"/>
    <s v="King"/>
    <x v="3"/>
    <s v="South Puget Sound"/>
    <m/>
    <n v="9.3333333333333304"/>
    <n v="173.13333333333301"/>
  </r>
  <r>
    <n v="2094"/>
    <x v="5"/>
    <s v="Freshwater"/>
    <x v="1"/>
    <x v="1"/>
    <n v="826"/>
    <s v="Cascade River"/>
    <s v="Cascade River"/>
    <s v="Skagit"/>
    <x v="1"/>
    <s v="Kitsap"/>
    <x v="4"/>
    <s v="South Puget Sound"/>
    <m/>
    <n v="9.3333333333333304"/>
    <n v="173.13333333333301"/>
  </r>
  <r>
    <n v="2092"/>
    <x v="5"/>
    <s v="Freshwater"/>
    <x v="1"/>
    <x v="1"/>
    <n v="826"/>
    <s v="Cascade River"/>
    <s v="Cascade River"/>
    <s v="Skagit"/>
    <x v="1"/>
    <s v="San Juan"/>
    <x v="12"/>
    <s v="North Puget Sound"/>
    <m/>
    <n v="9.3333333333333304"/>
    <n v="173.13333333333301"/>
  </r>
  <r>
    <n v="2056"/>
    <x v="5"/>
    <s v="Freshwater"/>
    <x v="1"/>
    <x v="1"/>
    <n v="826"/>
    <s v="Cascade River"/>
    <s v="Cascade River"/>
    <s v="Skagit"/>
    <x v="1"/>
    <s v="Skagit"/>
    <x v="8"/>
    <s v="North Puget Sound"/>
    <m/>
    <n v="74.6666666666667"/>
    <n v="1385.06666666667"/>
  </r>
  <r>
    <n v="2058"/>
    <x v="5"/>
    <s v="Freshwater"/>
    <x v="1"/>
    <x v="1"/>
    <n v="826"/>
    <s v="Cascade River"/>
    <s v="Cascade River"/>
    <s v="Skagit"/>
    <x v="1"/>
    <s v="Snohomish"/>
    <x v="9"/>
    <s v="North Puget Sound"/>
    <m/>
    <n v="9.3333333333333304"/>
    <n v="173.13333333333301"/>
  </r>
  <r>
    <n v="3606"/>
    <x v="5"/>
    <s v="Freshwater"/>
    <x v="1"/>
    <x v="1"/>
    <n v="830"/>
    <s v="Skagit River"/>
    <s v="Skagit River"/>
    <s v="Skagit/Whatcom"/>
    <x v="2"/>
    <s v="Snohomish"/>
    <x v="9"/>
    <s v="North Puget Sound"/>
    <m/>
    <n v="20"/>
    <n v="371"/>
  </r>
  <r>
    <n v="1464"/>
    <x v="5"/>
    <s v="Freshwater"/>
    <x v="1"/>
    <x v="1"/>
    <n v="840"/>
    <s v="Pilchuck River (Snohomish System)"/>
    <s v="Pilchuck River (Snohomish System)"/>
    <s v="Snohomish"/>
    <x v="2"/>
    <s v="Snohomish"/>
    <x v="9"/>
    <s v="North Puget Sound"/>
    <m/>
    <n v="4"/>
    <n v="74.2"/>
  </r>
  <r>
    <n v="1466"/>
    <x v="5"/>
    <s v="Freshwater"/>
    <x v="1"/>
    <x v="1"/>
    <n v="844"/>
    <s v="Skykomish River"/>
    <s v="Skykomish River"/>
    <s v="Snohomish"/>
    <x v="2"/>
    <s v="Island"/>
    <x v="1"/>
    <s v="North Puget Sound"/>
    <m/>
    <n v="50.227272727272698"/>
    <n v="931.71590909090901"/>
  </r>
  <r>
    <n v="1467"/>
    <x v="5"/>
    <s v="Freshwater"/>
    <x v="1"/>
    <x v="1"/>
    <n v="844"/>
    <s v="Skykomish River"/>
    <s v="Skykomish River"/>
    <s v="Snohomish"/>
    <x v="2"/>
    <s v="King"/>
    <x v="3"/>
    <s v="South Puget Sound"/>
    <m/>
    <n v="1117.5568181818201"/>
    <n v="20730.678977272801"/>
  </r>
  <r>
    <n v="1577"/>
    <x v="5"/>
    <s v="Freshwater"/>
    <x v="1"/>
    <x v="1"/>
    <n v="844"/>
    <s v="Skykomish River"/>
    <s v="Skykomish River"/>
    <s v="Snohomish"/>
    <x v="2"/>
    <s v="Other"/>
    <x v="6"/>
    <s v="Non Puget Sound"/>
    <m/>
    <n v="12.556818181818199"/>
    <n v="232.92897727272799"/>
  </r>
  <r>
    <n v="1576"/>
    <x v="5"/>
    <s v="Freshwater"/>
    <x v="1"/>
    <x v="1"/>
    <n v="844"/>
    <s v="Skykomish River"/>
    <s v="Skykomish River"/>
    <s v="Snohomish"/>
    <x v="2"/>
    <s v="Pierce"/>
    <x v="7"/>
    <s v="South Puget Sound"/>
    <m/>
    <n v="25.113636363636399"/>
    <n v="465.85795454545502"/>
  </r>
  <r>
    <n v="1465"/>
    <x v="5"/>
    <s v="Freshwater"/>
    <x v="1"/>
    <x v="1"/>
    <n v="844"/>
    <s v="Skykomish River"/>
    <s v="Skykomish River"/>
    <s v="Snohomish"/>
    <x v="2"/>
    <s v="Snohomish"/>
    <x v="9"/>
    <s v="North Puget Sound"/>
    <m/>
    <n v="2109.54545454545"/>
    <n v="39132.068181818096"/>
  </r>
  <r>
    <n v="1579"/>
    <x v="5"/>
    <s v="Freshwater"/>
    <x v="1"/>
    <x v="1"/>
    <n v="846"/>
    <s v="Skykomish River, No. Fork"/>
    <s v="Skykomish River, No. Fork"/>
    <s v="Snohomish"/>
    <x v="2"/>
    <s v="Other"/>
    <x v="6"/>
    <s v="Non Puget Sound"/>
    <m/>
    <n v="8"/>
    <n v="148.4"/>
  </r>
  <r>
    <n v="1578"/>
    <x v="5"/>
    <s v="Freshwater"/>
    <x v="1"/>
    <x v="1"/>
    <n v="846"/>
    <s v="Skykomish River, No. Fork"/>
    <s v="Skykomish River, No. Fork"/>
    <s v="Snohomish"/>
    <x v="2"/>
    <s v="Snohomish"/>
    <x v="9"/>
    <s v="North Puget Sound"/>
    <m/>
    <n v="32"/>
    <n v="593.6"/>
  </r>
  <r>
    <n v="174"/>
    <x v="5"/>
    <s v="Freshwater"/>
    <x v="1"/>
    <x v="1"/>
    <n v="848"/>
    <s v="Skykomish River, So. Fork"/>
    <s v="Skykomish River, So. Fork"/>
    <s v="Snohomish/King"/>
    <x v="2"/>
    <s v="King"/>
    <x v="3"/>
    <s v="South Puget Sound"/>
    <m/>
    <n v="16"/>
    <n v="296.8"/>
  </r>
  <r>
    <n v="175"/>
    <x v="5"/>
    <s v="Freshwater"/>
    <x v="1"/>
    <x v="1"/>
    <n v="848"/>
    <s v="Skykomish River, So. Fork"/>
    <s v="Skykomish River, So. Fork"/>
    <s v="Snohomish/King"/>
    <x v="2"/>
    <s v="Other"/>
    <x v="6"/>
    <s v="Non Puget Sound"/>
    <m/>
    <n v="16"/>
    <n v="296.8"/>
  </r>
  <r>
    <n v="1629"/>
    <x v="5"/>
    <s v="Freshwater"/>
    <x v="1"/>
    <x v="1"/>
    <n v="850"/>
    <s v="Snohomish River"/>
    <s v="Snohomish River"/>
    <s v="Snohomish"/>
    <x v="2"/>
    <s v="Snohomish"/>
    <x v="9"/>
    <s v="North Puget Sound"/>
    <m/>
    <n v="105"/>
    <n v="1947.75"/>
  </r>
  <r>
    <n v="251"/>
    <x v="5"/>
    <s v="Freshwater"/>
    <x v="1"/>
    <x v="1"/>
    <n v="852"/>
    <s v="Snoqualmie River"/>
    <s v="Snoqualmie River"/>
    <s v="Snohomish/King"/>
    <x v="2"/>
    <s v="King"/>
    <x v="3"/>
    <s v="South Puget Sound"/>
    <m/>
    <n v="109.230769230769"/>
    <n v="2026.23076923076"/>
  </r>
  <r>
    <n v="252"/>
    <x v="5"/>
    <s v="Freshwater"/>
    <x v="1"/>
    <x v="1"/>
    <n v="852"/>
    <s v="Snoqualmie River"/>
    <s v="Snoqualmie River"/>
    <s v="Snohomish/King"/>
    <x v="2"/>
    <s v="Pierce"/>
    <x v="7"/>
    <s v="South Puget Sound"/>
    <m/>
    <n v="21.846153846153801"/>
    <n v="405.24615384615299"/>
  </r>
  <r>
    <n v="176"/>
    <x v="5"/>
    <s v="Freshwater"/>
    <x v="1"/>
    <x v="1"/>
    <n v="852"/>
    <s v="Snoqualmie River"/>
    <s v="Snoqualmie River"/>
    <s v="Snohomish/King"/>
    <x v="2"/>
    <s v="Snohomish"/>
    <x v="9"/>
    <s v="North Puget Sound"/>
    <m/>
    <n v="10.9230769230769"/>
    <n v="202.62307692307601"/>
  </r>
  <r>
    <n v="1631"/>
    <x v="5"/>
    <s v="Freshwater"/>
    <x v="1"/>
    <x v="1"/>
    <n v="854"/>
    <s v="Sultan River"/>
    <s v="Sultan River"/>
    <s v="Snohomish"/>
    <x v="2"/>
    <s v="Other"/>
    <x v="6"/>
    <s v="Non Puget Sound"/>
    <m/>
    <n v="4"/>
    <n v="74.2"/>
  </r>
  <r>
    <n v="1630"/>
    <x v="5"/>
    <s v="Freshwater"/>
    <x v="1"/>
    <x v="1"/>
    <n v="854"/>
    <s v="Sultan River"/>
    <s v="Sultan River"/>
    <s v="Snohomish"/>
    <x v="2"/>
    <s v="Snohomish"/>
    <x v="9"/>
    <s v="North Puget Sound"/>
    <m/>
    <n v="4"/>
    <n v="74.2"/>
  </r>
  <r>
    <n v="2005"/>
    <x v="5"/>
    <s v="Freshwater"/>
    <x v="1"/>
    <x v="1"/>
    <n v="856"/>
    <s v="Tokul Creek"/>
    <s v="Tokul Creek"/>
    <s v="King"/>
    <x v="2"/>
    <s v="King"/>
    <x v="3"/>
    <s v="South Puget Sound"/>
    <m/>
    <n v="220.8"/>
    <n v="4095.84"/>
  </r>
  <r>
    <n v="2006"/>
    <x v="5"/>
    <s v="Freshwater"/>
    <x v="1"/>
    <x v="1"/>
    <n v="856"/>
    <s v="Tokul Creek"/>
    <s v="Tokul Creek"/>
    <s v="King"/>
    <x v="2"/>
    <s v="Pierce"/>
    <x v="7"/>
    <s v="South Puget Sound"/>
    <m/>
    <n v="55.2"/>
    <n v="1023.96"/>
  </r>
  <r>
    <n v="1633"/>
    <x v="5"/>
    <s v="Freshwater"/>
    <x v="1"/>
    <x v="1"/>
    <n v="860"/>
    <s v="Wallace River"/>
    <s v="Wallace River"/>
    <s v="Snohomish"/>
    <x v="2"/>
    <s v="King"/>
    <x v="3"/>
    <s v="South Puget Sound"/>
    <m/>
    <n v="57.195121951219498"/>
    <n v="1060.9695121951199"/>
  </r>
  <r>
    <n v="1634"/>
    <x v="5"/>
    <s v="Freshwater"/>
    <x v="1"/>
    <x v="1"/>
    <n v="860"/>
    <s v="Wallace River"/>
    <s v="Wallace River"/>
    <s v="Snohomish"/>
    <x v="2"/>
    <s v="Other"/>
    <x v="6"/>
    <s v="Non Puget Sound"/>
    <m/>
    <n v="11.439024390243899"/>
    <n v="212.19390243902399"/>
  </r>
  <r>
    <n v="1632"/>
    <x v="5"/>
    <s v="Freshwater"/>
    <x v="1"/>
    <x v="1"/>
    <n v="860"/>
    <s v="Wallace River"/>
    <s v="Wallace River"/>
    <s v="Snohomish"/>
    <x v="2"/>
    <s v="Snohomish"/>
    <x v="9"/>
    <s v="North Puget Sound"/>
    <m/>
    <n v="400.36585365853699"/>
    <n v="7426.7865853658604"/>
  </r>
  <r>
    <n v="3492"/>
    <x v="6"/>
    <s v="Freshwater"/>
    <x v="1"/>
    <x v="1"/>
    <n v="726"/>
    <s v="Deep Creek (Clallam Co.)"/>
    <s v="Deep Creek (Clallam Co.)"/>
    <s v="Clallam"/>
    <x v="0"/>
    <s v="Clallam"/>
    <x v="0"/>
    <s v="Strait of Juan de Fuca"/>
    <m/>
    <n v="5"/>
    <n v="42.7"/>
  </r>
  <r>
    <n v="3493"/>
    <x v="6"/>
    <s v="Freshwater"/>
    <x v="1"/>
    <x v="1"/>
    <n v="738"/>
    <s v="Dungeness River"/>
    <s v="Dungeness River"/>
    <s v="Clallam"/>
    <x v="0"/>
    <s v="Clallam"/>
    <x v="0"/>
    <s v="Strait of Juan de Fuca"/>
    <m/>
    <n v="5"/>
    <n v="42.7"/>
  </r>
  <r>
    <n v="697"/>
    <x v="6"/>
    <s v="Freshwater"/>
    <x v="1"/>
    <x v="1"/>
    <n v="746"/>
    <s v="Green (Duwamish River) (King Co.)"/>
    <s v="Green - Duwamish River"/>
    <s v="King"/>
    <x v="3"/>
    <s v="King"/>
    <x v="3"/>
    <s v="South Puget Sound"/>
    <m/>
    <n v="96.545454545454604"/>
    <n v="824.49818181818205"/>
  </r>
  <r>
    <n v="698"/>
    <x v="6"/>
    <s v="Freshwater"/>
    <x v="1"/>
    <x v="1"/>
    <n v="746"/>
    <s v="Green (Duwamish River) (King Co.)"/>
    <s v="Green - Duwamish River"/>
    <s v="King"/>
    <x v="3"/>
    <s v="Pierce"/>
    <x v="7"/>
    <s v="South Puget Sound"/>
    <m/>
    <n v="21.454545454545499"/>
    <n v="183.221818181819"/>
  </r>
  <r>
    <n v="3500"/>
    <x v="6"/>
    <s v="Freshwater"/>
    <x v="1"/>
    <x v="1"/>
    <n v="752"/>
    <s v="Hoko River"/>
    <s v="Hoko River"/>
    <s v="Clallam"/>
    <x v="0"/>
    <s v="Clallam"/>
    <x v="0"/>
    <s v="Strait of Juan de Fuca"/>
    <m/>
    <n v="46.44"/>
    <n v="396.5976"/>
  </r>
  <r>
    <n v="3499"/>
    <x v="6"/>
    <s v="Freshwater"/>
    <x v="1"/>
    <x v="1"/>
    <n v="752"/>
    <s v="Hoko River"/>
    <s v="Hoko River"/>
    <s v="Clallam"/>
    <x v="0"/>
    <s v="Kitsap"/>
    <x v="4"/>
    <s v="South Puget Sound"/>
    <m/>
    <n v="5.16"/>
    <n v="44.066400000000002"/>
  </r>
  <r>
    <n v="3498"/>
    <x v="6"/>
    <s v="Freshwater"/>
    <x v="1"/>
    <x v="1"/>
    <n v="752"/>
    <s v="Hoko River"/>
    <s v="Hoko River"/>
    <s v="Clallam"/>
    <x v="0"/>
    <s v="Mason"/>
    <x v="5"/>
    <s v="South Puget Sound"/>
    <m/>
    <n v="5.16"/>
    <n v="44.066400000000002"/>
  </r>
  <r>
    <n v="3501"/>
    <x v="6"/>
    <s v="Freshwater"/>
    <x v="1"/>
    <x v="1"/>
    <n v="752"/>
    <s v="Hoko River"/>
    <s v="Hoko River"/>
    <s v="Clallam"/>
    <x v="0"/>
    <s v="Other"/>
    <x v="6"/>
    <s v="Non Puget Sound"/>
    <m/>
    <n v="5.16"/>
    <n v="44.066400000000002"/>
  </r>
  <r>
    <n v="3497"/>
    <x v="6"/>
    <s v="Freshwater"/>
    <x v="1"/>
    <x v="1"/>
    <n v="752"/>
    <s v="Hoko River"/>
    <s v="Hoko River"/>
    <s v="Clallam"/>
    <x v="0"/>
    <s v="Pierce"/>
    <x v="7"/>
    <s v="South Puget Sound"/>
    <m/>
    <n v="61.92"/>
    <n v="528.79679999999996"/>
  </r>
  <r>
    <n v="3496"/>
    <x v="6"/>
    <s v="Freshwater"/>
    <x v="1"/>
    <x v="1"/>
    <n v="752"/>
    <s v="Hoko River"/>
    <s v="Hoko River"/>
    <s v="Clallam"/>
    <x v="0"/>
    <s v="Skagit"/>
    <x v="8"/>
    <s v="North Puget Sound"/>
    <m/>
    <n v="5.16"/>
    <n v="44.066400000000002"/>
  </r>
  <r>
    <n v="3502"/>
    <x v="6"/>
    <s v="Freshwater"/>
    <x v="1"/>
    <x v="1"/>
    <n v="768"/>
    <s v="Lyre River"/>
    <s v="Lyre River"/>
    <s v="Clallam"/>
    <x v="0"/>
    <s v="Clallam"/>
    <x v="0"/>
    <s v="Strait of Juan de Fuca"/>
    <m/>
    <n v="5"/>
    <n v="42.7"/>
  </r>
  <r>
    <n v="1090"/>
    <x v="6"/>
    <s v="Freshwater"/>
    <x v="1"/>
    <x v="1"/>
    <n v="808"/>
    <s v="White (Stuck) River"/>
    <s v="White (Stuck) River"/>
    <s v="Pierce"/>
    <x v="3"/>
    <s v="Pierce"/>
    <x v="7"/>
    <s v="South Puget Sound"/>
    <m/>
    <n v="5"/>
    <n v="42.7"/>
  </r>
  <r>
    <n v="3504"/>
    <x v="6"/>
    <s v="Freshwater"/>
    <x v="1"/>
    <x v="1"/>
    <n v="810"/>
    <s v="Pysht River"/>
    <s v="Pysht River"/>
    <s v="Clallam"/>
    <x v="0"/>
    <s v="Clallam"/>
    <x v="0"/>
    <s v="Strait of Juan de Fuca"/>
    <m/>
    <n v="21"/>
    <n v="179.34"/>
  </r>
  <r>
    <n v="3505"/>
    <x v="6"/>
    <s v="Freshwater"/>
    <x v="1"/>
    <x v="1"/>
    <n v="818"/>
    <s v="Sekiu River"/>
    <s v="Sekiu River"/>
    <s v="Clallam"/>
    <x v="0"/>
    <s v="Clallam"/>
    <x v="0"/>
    <s v="Strait of Juan de Fuca"/>
    <m/>
    <n v="5"/>
    <n v="42.7"/>
  </r>
  <r>
    <n v="3506"/>
    <x v="6"/>
    <s v="Freshwater"/>
    <x v="1"/>
    <x v="1"/>
    <n v="818"/>
    <s v="Sekiu River"/>
    <s v="Sekiu River"/>
    <s v="Clallam"/>
    <x v="0"/>
    <s v="Other"/>
    <x v="6"/>
    <s v="Non Puget Sound"/>
    <m/>
    <n v="5"/>
    <n v="42.7"/>
  </r>
  <r>
    <n v="2095"/>
    <x v="6"/>
    <s v="Freshwater"/>
    <x v="1"/>
    <x v="1"/>
    <n v="826"/>
    <s v="Cascade River"/>
    <s v="Cascade River"/>
    <s v="Skagit"/>
    <x v="1"/>
    <s v="Snohomish"/>
    <x v="9"/>
    <s v="North Puget Sound"/>
    <m/>
    <n v="5"/>
    <n v="42.7"/>
  </r>
  <r>
    <n v="2136"/>
    <x v="6"/>
    <s v="Freshwater"/>
    <x v="1"/>
    <x v="1"/>
    <n v="828"/>
    <s v="Sauk River"/>
    <s v="Sauk River"/>
    <s v="Skagit/Snohomish"/>
    <x v="2"/>
    <s v="King"/>
    <x v="3"/>
    <s v="South Puget Sound"/>
    <m/>
    <n v="5"/>
    <n v="42.7"/>
  </r>
  <r>
    <n v="2135"/>
    <x v="6"/>
    <s v="Freshwater"/>
    <x v="1"/>
    <x v="1"/>
    <n v="828"/>
    <s v="Sauk River"/>
    <s v="Sauk River"/>
    <s v="Skagit/Snohomish"/>
    <x v="2"/>
    <s v="Snohomish"/>
    <x v="9"/>
    <s v="North Puget Sound"/>
    <m/>
    <n v="5"/>
    <n v="42.7"/>
  </r>
  <r>
    <n v="1365"/>
    <x v="6"/>
    <s v="Freshwater"/>
    <x v="1"/>
    <x v="1"/>
    <n v="830"/>
    <s v="Skagit River"/>
    <s v="Skagit River"/>
    <s v="Skagit/Whatcom"/>
    <x v="2"/>
    <s v="King"/>
    <x v="3"/>
    <s v="South Puget Sound"/>
    <m/>
    <n v="5.4"/>
    <n v="46.116"/>
  </r>
  <r>
    <n v="1366"/>
    <x v="6"/>
    <s v="Freshwater"/>
    <x v="1"/>
    <x v="1"/>
    <n v="830"/>
    <s v="Skagit River"/>
    <s v="Skagit River"/>
    <s v="Skagit/Whatcom"/>
    <x v="2"/>
    <s v="Other"/>
    <x v="6"/>
    <s v="Non Puget Sound"/>
    <m/>
    <n v="10.8"/>
    <n v="92.231999999999999"/>
  </r>
  <r>
    <n v="3676"/>
    <x v="6"/>
    <s v="Freshwater"/>
    <x v="1"/>
    <x v="1"/>
    <n v="830"/>
    <s v="Skagit River"/>
    <s v="Skagit River"/>
    <s v="Skagit/Whatcom"/>
    <x v="2"/>
    <s v="Skagit"/>
    <x v="8"/>
    <s v="North Puget Sound"/>
    <m/>
    <n v="5.4"/>
    <n v="46.116"/>
  </r>
  <r>
    <n v="3677"/>
    <x v="6"/>
    <s v="Freshwater"/>
    <x v="1"/>
    <x v="1"/>
    <n v="830"/>
    <s v="Skagit River"/>
    <s v="Skagit River"/>
    <s v="Skagit/Whatcom"/>
    <x v="2"/>
    <s v="Snohomish"/>
    <x v="9"/>
    <s v="North Puget Sound"/>
    <m/>
    <n v="5.4"/>
    <n v="46.116"/>
  </r>
  <r>
    <n v="1635"/>
    <x v="6"/>
    <s v="Freshwater"/>
    <x v="1"/>
    <x v="1"/>
    <n v="840"/>
    <s v="Pilchuck River (Snohomish System)"/>
    <s v="Pilchuck River (Snohomish System)"/>
    <s v="Snohomish"/>
    <x v="2"/>
    <s v="Snohomish"/>
    <x v="9"/>
    <s v="North Puget Sound"/>
    <m/>
    <n v="3"/>
    <n v="25.62"/>
  </r>
  <r>
    <n v="232"/>
    <x v="6"/>
    <s v="Freshwater"/>
    <x v="1"/>
    <x v="1"/>
    <n v="842"/>
    <s v="Raging River"/>
    <s v="Raging River"/>
    <s v="King"/>
    <x v="3"/>
    <s v="Other"/>
    <x v="6"/>
    <s v="Non Puget Sound"/>
    <m/>
    <n v="3"/>
    <n v="25.62"/>
  </r>
  <r>
    <n v="1794"/>
    <x v="6"/>
    <s v="Freshwater"/>
    <x v="1"/>
    <x v="1"/>
    <n v="844"/>
    <s v="Skykomish River"/>
    <s v="Skykomish River"/>
    <s v="Snohomish"/>
    <x v="2"/>
    <s v="Clallam"/>
    <x v="0"/>
    <s v="Strait of Juan de Fuca"/>
    <m/>
    <n v="3.2022900763358799"/>
    <n v="27.347557251908398"/>
  </r>
  <r>
    <n v="1639"/>
    <x v="6"/>
    <s v="Freshwater"/>
    <x v="1"/>
    <x v="1"/>
    <n v="844"/>
    <s v="Skykomish River"/>
    <s v="Skykomish River"/>
    <s v="Snohomish"/>
    <x v="2"/>
    <s v="Island"/>
    <x v="1"/>
    <s v="North Puget Sound"/>
    <m/>
    <n v="6.4045801526717598"/>
    <n v="54.695114503816797"/>
  </r>
  <r>
    <n v="1734"/>
    <x v="6"/>
    <s v="Freshwater"/>
    <x v="1"/>
    <x v="1"/>
    <n v="844"/>
    <s v="Skykomish River"/>
    <s v="Skykomish River"/>
    <s v="Snohomish"/>
    <x v="2"/>
    <s v="King"/>
    <x v="3"/>
    <s v="South Puget Sound"/>
    <m/>
    <n v="704.50381679389295"/>
    <n v="6016.46259541985"/>
  </r>
  <r>
    <n v="1793"/>
    <x v="6"/>
    <s v="Freshwater"/>
    <x v="1"/>
    <x v="1"/>
    <n v="844"/>
    <s v="Skykomish River"/>
    <s v="Skykomish River"/>
    <s v="Snohomish"/>
    <x v="2"/>
    <s v="Kitsap"/>
    <x v="4"/>
    <s v="South Puget Sound"/>
    <m/>
    <n v="19.213740458015302"/>
    <n v="164.08534351145099"/>
  </r>
  <r>
    <n v="1795"/>
    <x v="6"/>
    <s v="Freshwater"/>
    <x v="1"/>
    <x v="1"/>
    <n v="844"/>
    <s v="Skykomish River"/>
    <s v="Skykomish River"/>
    <s v="Snohomish"/>
    <x v="2"/>
    <s v="Other"/>
    <x v="6"/>
    <s v="Non Puget Sound"/>
    <m/>
    <n v="12.8091603053435"/>
    <n v="109.390229007633"/>
  </r>
  <r>
    <n v="1735"/>
    <x v="6"/>
    <s v="Freshwater"/>
    <x v="1"/>
    <x v="1"/>
    <n v="844"/>
    <s v="Skykomish River"/>
    <s v="Skykomish River"/>
    <s v="Snohomish"/>
    <x v="2"/>
    <s v="Pierce"/>
    <x v="7"/>
    <s v="South Puget Sound"/>
    <m/>
    <n v="3.2022900763358799"/>
    <n v="27.347557251908398"/>
  </r>
  <r>
    <n v="1637"/>
    <x v="6"/>
    <s v="Freshwater"/>
    <x v="1"/>
    <x v="1"/>
    <n v="844"/>
    <s v="Skykomish River"/>
    <s v="Skykomish River"/>
    <s v="Snohomish"/>
    <x v="2"/>
    <s v="Skagit"/>
    <x v="8"/>
    <s v="North Puget Sound"/>
    <m/>
    <n v="19.213740458015302"/>
    <n v="164.08534351145099"/>
  </r>
  <r>
    <n v="1638"/>
    <x v="6"/>
    <s v="Freshwater"/>
    <x v="1"/>
    <x v="1"/>
    <n v="844"/>
    <s v="Skykomish River"/>
    <s v="Skykomish River"/>
    <s v="Snohomish"/>
    <x v="2"/>
    <s v="Snohomish"/>
    <x v="9"/>
    <s v="North Puget Sound"/>
    <m/>
    <n v="880.62977099236696"/>
    <n v="7520.5782442748095"/>
  </r>
  <r>
    <n v="1636"/>
    <x v="6"/>
    <s v="Freshwater"/>
    <x v="1"/>
    <x v="1"/>
    <n v="844"/>
    <s v="Skykomish River"/>
    <s v="Skykomish River"/>
    <s v="Snohomish"/>
    <x v="2"/>
    <s v="Whatcom"/>
    <x v="11"/>
    <s v="North Puget Sound"/>
    <m/>
    <n v="28.820610687022899"/>
    <n v="246.12801526717601"/>
  </r>
  <r>
    <n v="1796"/>
    <x v="6"/>
    <s v="Freshwater"/>
    <x v="1"/>
    <x v="1"/>
    <n v="846"/>
    <s v="Skykomish River, No. Fork"/>
    <s v="Skykomish River, No. Fork"/>
    <s v="Snohomish"/>
    <x v="2"/>
    <s v="King"/>
    <x v="3"/>
    <s v="South Puget Sound"/>
    <m/>
    <n v="6"/>
    <n v="51.24"/>
  </r>
  <r>
    <n v="1797"/>
    <x v="6"/>
    <s v="Freshwater"/>
    <x v="1"/>
    <x v="1"/>
    <n v="846"/>
    <s v="Skykomish River, No. Fork"/>
    <s v="Skykomish River, No. Fork"/>
    <s v="Snohomish"/>
    <x v="2"/>
    <s v="Other"/>
    <x v="6"/>
    <s v="Non Puget Sound"/>
    <m/>
    <n v="9"/>
    <n v="76.86"/>
  </r>
  <r>
    <n v="1799"/>
    <x v="6"/>
    <s v="Freshwater"/>
    <x v="1"/>
    <x v="1"/>
    <n v="850"/>
    <s v="Snohomish River"/>
    <s v="Snohomish River"/>
    <s v="Snohomish"/>
    <x v="2"/>
    <s v="King"/>
    <x v="3"/>
    <s v="South Puget Sound"/>
    <m/>
    <n v="3.1538461538461502"/>
    <n v="26.933846153846101"/>
  </r>
  <r>
    <n v="1798"/>
    <x v="6"/>
    <s v="Freshwater"/>
    <x v="1"/>
    <x v="1"/>
    <n v="850"/>
    <s v="Snohomish River"/>
    <s v="Snohomish River"/>
    <s v="Snohomish"/>
    <x v="2"/>
    <s v="Snohomish"/>
    <x v="9"/>
    <s v="North Puget Sound"/>
    <m/>
    <n v="37.846153846153904"/>
    <n v="323.206153846154"/>
  </r>
  <r>
    <n v="2007"/>
    <x v="6"/>
    <s v="Freshwater"/>
    <x v="1"/>
    <x v="1"/>
    <n v="856"/>
    <s v="Tokul Creek"/>
    <s v="Tokul Creek"/>
    <s v="King"/>
    <x v="2"/>
    <s v="King"/>
    <x v="3"/>
    <s v="South Puget Sound"/>
    <m/>
    <n v="3"/>
    <n v="25.62"/>
  </r>
  <r>
    <n v="2008"/>
    <x v="6"/>
    <s v="Freshwater"/>
    <x v="1"/>
    <x v="1"/>
    <n v="856"/>
    <s v="Tokul Creek"/>
    <s v="Tokul Creek"/>
    <s v="King"/>
    <x v="2"/>
    <s v="Other"/>
    <x v="6"/>
    <s v="Non Puget Sound"/>
    <m/>
    <n v="3"/>
    <n v="25.62"/>
  </r>
  <r>
    <n v="1802"/>
    <x v="6"/>
    <s v="Freshwater"/>
    <x v="1"/>
    <x v="1"/>
    <n v="860"/>
    <s v="Wallace River"/>
    <s v="Wallace River"/>
    <s v="Snohomish"/>
    <x v="2"/>
    <s v="Island"/>
    <x v="1"/>
    <s v="North Puget Sound"/>
    <m/>
    <n v="3.14851485148515"/>
    <n v="26.888316831683198"/>
  </r>
  <r>
    <n v="1803"/>
    <x v="6"/>
    <s v="Freshwater"/>
    <x v="1"/>
    <x v="1"/>
    <n v="860"/>
    <s v="Wallace River"/>
    <s v="Wallace River"/>
    <s v="Snohomish"/>
    <x v="2"/>
    <s v="King"/>
    <x v="3"/>
    <s v="South Puget Sound"/>
    <m/>
    <n v="103.90099009901"/>
    <n v="887.31445544554504"/>
  </r>
  <r>
    <n v="1800"/>
    <x v="6"/>
    <s v="Freshwater"/>
    <x v="1"/>
    <x v="1"/>
    <n v="860"/>
    <s v="Wallace River"/>
    <s v="Wallace River"/>
    <s v="Snohomish"/>
    <x v="2"/>
    <s v="Skagit"/>
    <x v="8"/>
    <s v="North Puget Sound"/>
    <m/>
    <n v="3.14851485148515"/>
    <n v="26.888316831683198"/>
  </r>
  <r>
    <n v="1801"/>
    <x v="6"/>
    <s v="Freshwater"/>
    <x v="1"/>
    <x v="1"/>
    <n v="860"/>
    <s v="Wallace River"/>
    <s v="Wallace River"/>
    <s v="Snohomish"/>
    <x v="2"/>
    <s v="Snohomish"/>
    <x v="9"/>
    <s v="North Puget Sound"/>
    <m/>
    <n v="207.80198019802"/>
    <n v="1774.6289108910901"/>
  </r>
  <r>
    <n v="1804"/>
    <x v="6"/>
    <s v="Freshwater"/>
    <x v="1"/>
    <x v="1"/>
    <n v="872"/>
    <s v="Stillaguamish R, No. Fork"/>
    <s v="Stillaguamish R, No. Fork"/>
    <s v="Snohomish"/>
    <x v="2"/>
    <s v="Snohomish"/>
    <x v="9"/>
    <s v="North Puget Sound"/>
    <m/>
    <n v="21"/>
    <n v="179.34"/>
  </r>
  <r>
    <n v="1805"/>
    <x v="6"/>
    <s v="Freshwater"/>
    <x v="1"/>
    <x v="1"/>
    <n v="874"/>
    <s v="Stillaguamish R, So. Fork"/>
    <s v="Stillaguamish R, So. Fork"/>
    <s v="Snohomish"/>
    <x v="2"/>
    <s v="Snohomish"/>
    <x v="9"/>
    <s v="North Puget Sound"/>
    <m/>
    <n v="5"/>
    <n v="42.7"/>
  </r>
  <r>
    <n v="1806"/>
    <x v="6"/>
    <s v="Freshwater"/>
    <x v="1"/>
    <x v="1"/>
    <n v="876"/>
    <s v="Stillaguamish River"/>
    <s v="Stillaguamish River"/>
    <s v="Snohomish"/>
    <x v="2"/>
    <s v="Snohomish"/>
    <x v="9"/>
    <s v="North Puget Sound"/>
    <m/>
    <n v="5"/>
    <n v="42.7"/>
  </r>
  <r>
    <n v="3540"/>
    <x v="7"/>
    <s v="Freshwater"/>
    <x v="1"/>
    <x v="1"/>
    <n v="738"/>
    <s v="Dungeness River"/>
    <s v="Dungeness River"/>
    <s v="Clallam"/>
    <x v="0"/>
    <s v="Clallam"/>
    <x v="0"/>
    <s v="Strait of Juan de Fuca"/>
    <m/>
    <n v="54"/>
    <n v="1001.7"/>
  </r>
  <r>
    <n v="699"/>
    <x v="7"/>
    <s v="Freshwater"/>
    <x v="1"/>
    <x v="1"/>
    <n v="746"/>
    <s v="Green (Duwamish River) (King Co.)"/>
    <s v="Green - Duwamish River"/>
    <s v="King"/>
    <x v="3"/>
    <s v="King"/>
    <x v="3"/>
    <s v="South Puget Sound"/>
    <m/>
    <n v="423"/>
    <n v="7846.65"/>
  </r>
  <r>
    <n v="700"/>
    <x v="7"/>
    <s v="Freshwater"/>
    <x v="1"/>
    <x v="1"/>
    <n v="746"/>
    <s v="Green (Duwamish River) (King Co.)"/>
    <s v="Green - Duwamish River"/>
    <s v="King"/>
    <x v="3"/>
    <s v="Pierce"/>
    <x v="7"/>
    <s v="South Puget Sound"/>
    <m/>
    <n v="270"/>
    <n v="5008.5"/>
  </r>
  <r>
    <n v="701"/>
    <x v="7"/>
    <s v="Freshwater"/>
    <x v="1"/>
    <x v="1"/>
    <n v="746"/>
    <s v="Green (Duwamish River) (King Co.)"/>
    <s v="Green - Duwamish River"/>
    <s v="King"/>
    <x v="3"/>
    <s v="Thurston"/>
    <x v="10"/>
    <s v="South Puget Sound"/>
    <m/>
    <n v="9"/>
    <n v="166.95"/>
  </r>
  <r>
    <n v="233"/>
    <x v="7"/>
    <s v="Freshwater"/>
    <x v="1"/>
    <x v="1"/>
    <n v="748"/>
    <s v="Soos Creek"/>
    <s v="Soos Creek"/>
    <s v="King"/>
    <x v="3"/>
    <s v="Pierce"/>
    <x v="7"/>
    <s v="South Puget Sound"/>
    <m/>
    <n v="8"/>
    <n v="148.4"/>
  </r>
  <r>
    <n v="3549"/>
    <x v="7"/>
    <s v="Freshwater"/>
    <x v="1"/>
    <x v="1"/>
    <n v="752"/>
    <s v="Hoko River"/>
    <s v="Hoko River"/>
    <s v="Clallam"/>
    <x v="0"/>
    <s v="Clallam"/>
    <x v="0"/>
    <s v="Strait of Juan de Fuca"/>
    <m/>
    <n v="296.18181818181802"/>
    <n v="5494.1727272727203"/>
  </r>
  <r>
    <n v="3545"/>
    <x v="7"/>
    <s v="Freshwater"/>
    <x v="1"/>
    <x v="1"/>
    <n v="752"/>
    <s v="Hoko River"/>
    <s v="Hoko River"/>
    <s v="Clallam"/>
    <x v="0"/>
    <s v="King"/>
    <x v="3"/>
    <s v="South Puget Sound"/>
    <m/>
    <n v="21.939393939393899"/>
    <n v="406.97575757575697"/>
  </r>
  <r>
    <n v="3548"/>
    <x v="7"/>
    <s v="Freshwater"/>
    <x v="1"/>
    <x v="1"/>
    <n v="752"/>
    <s v="Hoko River"/>
    <s v="Hoko River"/>
    <s v="Clallam"/>
    <x v="0"/>
    <s v="Kitsap"/>
    <x v="4"/>
    <s v="South Puget Sound"/>
    <m/>
    <n v="10.969696969697001"/>
    <n v="203.487878787879"/>
  </r>
  <r>
    <n v="3546"/>
    <x v="7"/>
    <s v="Freshwater"/>
    <x v="1"/>
    <x v="1"/>
    <n v="752"/>
    <s v="Hoko River"/>
    <s v="Hoko River"/>
    <s v="Clallam"/>
    <x v="0"/>
    <s v="Pierce"/>
    <x v="7"/>
    <s v="South Puget Sound"/>
    <m/>
    <n v="21.939393939393899"/>
    <n v="406.97575757575697"/>
  </r>
  <r>
    <n v="3547"/>
    <x v="7"/>
    <s v="Freshwater"/>
    <x v="1"/>
    <x v="1"/>
    <n v="752"/>
    <s v="Hoko River"/>
    <s v="Hoko River"/>
    <s v="Clallam"/>
    <x v="0"/>
    <s v="Thurston"/>
    <x v="10"/>
    <s v="South Puget Sound"/>
    <m/>
    <n v="10.969696969697001"/>
    <n v="203.487878787879"/>
  </r>
  <r>
    <n v="3550"/>
    <x v="7"/>
    <s v="Freshwater"/>
    <x v="1"/>
    <x v="1"/>
    <n v="782"/>
    <s v="Morse Creek (Clallam Co.)"/>
    <s v="Morse Creek (Clallam Co.)"/>
    <s v="Clallam"/>
    <x v="0"/>
    <s v="Clallam"/>
    <x v="0"/>
    <s v="Strait of Juan de Fuca"/>
    <m/>
    <n v="10"/>
    <n v="185.5"/>
  </r>
  <r>
    <n v="3135"/>
    <x v="7"/>
    <s v="Freshwater"/>
    <x v="1"/>
    <x v="1"/>
    <n v="788"/>
    <s v="Nooksack River, Mid. Fork"/>
    <s v="Nooksack River"/>
    <s v="Whatcom"/>
    <x v="1"/>
    <s v="Whatcom"/>
    <x v="11"/>
    <s v="North Puget Sound"/>
    <m/>
    <n v="44"/>
    <n v="816.2"/>
  </r>
  <r>
    <n v="3092"/>
    <x v="7"/>
    <s v="Freshwater"/>
    <x v="1"/>
    <x v="1"/>
    <n v="790"/>
    <s v="Nooksack River, No. Fork"/>
    <s v="Nooksack River, No. Fork"/>
    <s v="Whatcom"/>
    <x v="1"/>
    <s v="Whatcom"/>
    <x v="11"/>
    <s v="North Puget Sound"/>
    <m/>
    <n v="228"/>
    <n v="4229.3999999999996"/>
  </r>
  <r>
    <n v="3094"/>
    <x v="7"/>
    <s v="Freshwater"/>
    <x v="1"/>
    <x v="1"/>
    <n v="794"/>
    <s v="Nooksack River, below North Fork"/>
    <s v="Nooksack River, below North Fork"/>
    <s v="Whatcom"/>
    <x v="1"/>
    <s v="King"/>
    <x v="3"/>
    <s v="South Puget Sound"/>
    <m/>
    <n v="10.8571428571429"/>
    <n v="201.400000000001"/>
  </r>
  <r>
    <n v="3093"/>
    <x v="7"/>
    <s v="Freshwater"/>
    <x v="1"/>
    <x v="1"/>
    <n v="794"/>
    <s v="Nooksack River, below North Fork"/>
    <s v="Nooksack River, below North Fork"/>
    <s v="Whatcom"/>
    <x v="1"/>
    <s v="Whatcom"/>
    <x v="11"/>
    <s v="North Puget Sound"/>
    <m/>
    <n v="65.142857142857196"/>
    <n v="1208.4000000000001"/>
  </r>
  <r>
    <n v="2096"/>
    <x v="7"/>
    <s v="Freshwater"/>
    <x v="1"/>
    <x v="1"/>
    <n v="826"/>
    <s v="Cascade River"/>
    <s v="Cascade River"/>
    <s v="Skagit"/>
    <x v="1"/>
    <s v="Pierce"/>
    <x v="7"/>
    <s v="South Puget Sound"/>
    <m/>
    <n v="10"/>
    <n v="185.5"/>
  </r>
  <r>
    <n v="1369"/>
    <x v="7"/>
    <s v="Freshwater"/>
    <x v="1"/>
    <x v="1"/>
    <n v="830"/>
    <s v="Skagit River"/>
    <s v="Skagit River"/>
    <s v="Skagit/Whatcom"/>
    <x v="2"/>
    <s v="King"/>
    <x v="3"/>
    <s v="South Puget Sound"/>
    <m/>
    <n v="10.6666666666667"/>
    <n v="197.86666666666699"/>
  </r>
  <r>
    <n v="1367"/>
    <x v="7"/>
    <s v="Freshwater"/>
    <x v="1"/>
    <x v="1"/>
    <n v="830"/>
    <s v="Skagit River"/>
    <s v="Skagit River"/>
    <s v="Skagit/Whatcom"/>
    <x v="2"/>
    <s v="Skagit"/>
    <x v="8"/>
    <s v="North Puget Sound"/>
    <m/>
    <n v="10.6666666666667"/>
    <n v="197.86666666666699"/>
  </r>
  <r>
    <n v="1368"/>
    <x v="7"/>
    <s v="Freshwater"/>
    <x v="1"/>
    <x v="1"/>
    <n v="830"/>
    <s v="Skagit River"/>
    <s v="Skagit River"/>
    <s v="Skagit/Whatcom"/>
    <x v="2"/>
    <s v="Snohomish"/>
    <x v="9"/>
    <s v="North Puget Sound"/>
    <m/>
    <n v="10.6666666666667"/>
    <n v="197.86666666666699"/>
  </r>
  <r>
    <n v="1810"/>
    <x v="7"/>
    <s v="Freshwater"/>
    <x v="1"/>
    <x v="1"/>
    <n v="844"/>
    <s v="Skykomish River"/>
    <s v="Skykomish River"/>
    <s v="Snohomish"/>
    <x v="2"/>
    <s v="Island"/>
    <x v="1"/>
    <s v="North Puget Sound"/>
    <m/>
    <n v="17.331651954602801"/>
    <n v="321.50214375788198"/>
  </r>
  <r>
    <n v="1913"/>
    <x v="7"/>
    <s v="Freshwater"/>
    <x v="1"/>
    <x v="1"/>
    <n v="844"/>
    <s v="Skykomish River"/>
    <s v="Skykomish River"/>
    <s v="Snohomish"/>
    <x v="2"/>
    <s v="King"/>
    <x v="3"/>
    <s v="South Puget Sound"/>
    <m/>
    <n v="2903.0517023959701"/>
    <n v="53851.609079445203"/>
  </r>
  <r>
    <n v="1965"/>
    <x v="7"/>
    <s v="Freshwater"/>
    <x v="1"/>
    <x v="1"/>
    <n v="844"/>
    <s v="Skykomish River"/>
    <s v="Skykomish River"/>
    <s v="Snohomish"/>
    <x v="2"/>
    <s v="Other"/>
    <x v="6"/>
    <s v="Non Puget Sound"/>
    <m/>
    <n v="216.64564943253501"/>
    <n v="4018.77679697352"/>
  </r>
  <r>
    <n v="1914"/>
    <x v="7"/>
    <s v="Freshwater"/>
    <x v="1"/>
    <x v="1"/>
    <n v="844"/>
    <s v="Skykomish River"/>
    <s v="Skykomish River"/>
    <s v="Snohomish"/>
    <x v="2"/>
    <s v="Pierce"/>
    <x v="7"/>
    <s v="South Puget Sound"/>
    <m/>
    <n v="60.660781841109703"/>
    <n v="1125.2575031525901"/>
  </r>
  <r>
    <n v="1808"/>
    <x v="7"/>
    <s v="Freshwater"/>
    <x v="1"/>
    <x v="1"/>
    <n v="844"/>
    <s v="Skykomish River"/>
    <s v="Skykomish River"/>
    <s v="Snohomish"/>
    <x v="2"/>
    <s v="Skagit"/>
    <x v="8"/>
    <s v="North Puget Sound"/>
    <m/>
    <n v="8.6658259773013899"/>
    <n v="160.75107187894099"/>
  </r>
  <r>
    <n v="1809"/>
    <x v="7"/>
    <s v="Freshwater"/>
    <x v="1"/>
    <x v="1"/>
    <n v="844"/>
    <s v="Skykomish River"/>
    <s v="Skykomish River"/>
    <s v="Snohomish"/>
    <x v="2"/>
    <s v="Snohomish"/>
    <x v="9"/>
    <s v="North Puget Sound"/>
    <m/>
    <n v="3630.98108448928"/>
    <n v="67354.699117276105"/>
  </r>
  <r>
    <n v="1964"/>
    <x v="7"/>
    <s v="Freshwater"/>
    <x v="1"/>
    <x v="1"/>
    <n v="844"/>
    <s v="Skykomish River"/>
    <s v="Skykomish River"/>
    <s v="Snohomish"/>
    <x v="2"/>
    <s v="Thurston"/>
    <x v="10"/>
    <s v="South Puget Sound"/>
    <m/>
    <n v="17.331651954602801"/>
    <n v="321.50214375788198"/>
  </r>
  <r>
    <n v="1807"/>
    <x v="7"/>
    <s v="Freshwater"/>
    <x v="1"/>
    <x v="1"/>
    <n v="844"/>
    <s v="Skykomish River"/>
    <s v="Skykomish River"/>
    <s v="Snohomish"/>
    <x v="2"/>
    <s v="Whatcom"/>
    <x v="11"/>
    <s v="North Puget Sound"/>
    <m/>
    <n v="17.331651954602801"/>
    <n v="321.50214375788198"/>
  </r>
  <r>
    <n v="1968"/>
    <x v="7"/>
    <s v="Freshwater"/>
    <x v="1"/>
    <x v="1"/>
    <n v="846"/>
    <s v="Skykomish River, No. Fork"/>
    <s v="Skykomish River, No. Fork"/>
    <s v="Snohomish"/>
    <x v="2"/>
    <s v="King"/>
    <x v="3"/>
    <s v="South Puget Sound"/>
    <m/>
    <n v="16.6666666666667"/>
    <n v="309.16666666666703"/>
  </r>
  <r>
    <n v="1966"/>
    <x v="7"/>
    <s v="Freshwater"/>
    <x v="1"/>
    <x v="1"/>
    <n v="846"/>
    <s v="Skykomish River, No. Fork"/>
    <s v="Skykomish River, No. Fork"/>
    <s v="Snohomish"/>
    <x v="2"/>
    <s v="Skagit"/>
    <x v="8"/>
    <s v="North Puget Sound"/>
    <m/>
    <n v="8.3333333333333304"/>
    <n v="154.583333333333"/>
  </r>
  <r>
    <n v="1967"/>
    <x v="7"/>
    <s v="Freshwater"/>
    <x v="1"/>
    <x v="1"/>
    <n v="846"/>
    <s v="Skykomish River, No. Fork"/>
    <s v="Skykomish River, No. Fork"/>
    <s v="Snohomish"/>
    <x v="2"/>
    <s v="Snohomish"/>
    <x v="9"/>
    <s v="North Puget Sound"/>
    <m/>
    <n v="25"/>
    <n v="463.75"/>
  </r>
  <r>
    <n v="254"/>
    <x v="7"/>
    <s v="Freshwater"/>
    <x v="1"/>
    <x v="1"/>
    <n v="848"/>
    <s v="Skykomish River, So. Fork"/>
    <s v="Skykomish River, So. Fork"/>
    <s v="Snohomish/King"/>
    <x v="2"/>
    <s v="King"/>
    <x v="3"/>
    <s v="South Puget Sound"/>
    <m/>
    <n v="26"/>
    <n v="482.3"/>
  </r>
  <r>
    <n v="255"/>
    <x v="7"/>
    <s v="Freshwater"/>
    <x v="1"/>
    <x v="1"/>
    <n v="848"/>
    <s v="Skykomish River, So. Fork"/>
    <s v="Skykomish River, So. Fork"/>
    <s v="Snohomish/King"/>
    <x v="2"/>
    <s v="Kitsap"/>
    <x v="4"/>
    <s v="South Puget Sound"/>
    <m/>
    <n v="8.6666666666666696"/>
    <n v="160.76666666666699"/>
  </r>
  <r>
    <n v="253"/>
    <x v="7"/>
    <s v="Freshwater"/>
    <x v="1"/>
    <x v="1"/>
    <n v="848"/>
    <s v="Skykomish River, So. Fork"/>
    <s v="Skykomish River, So. Fork"/>
    <s v="Snohomish/King"/>
    <x v="2"/>
    <s v="Snohomish"/>
    <x v="9"/>
    <s v="North Puget Sound"/>
    <m/>
    <n v="95.3333333333333"/>
    <n v="1768.43333333333"/>
  </r>
  <r>
    <n v="1970"/>
    <x v="7"/>
    <s v="Freshwater"/>
    <x v="1"/>
    <x v="1"/>
    <n v="850"/>
    <s v="Snohomish River"/>
    <s v="Snohomish River"/>
    <s v="Snohomish"/>
    <x v="2"/>
    <s v="Other"/>
    <x v="6"/>
    <s v="Non Puget Sound"/>
    <m/>
    <n v="8.7619047619047592"/>
    <n v="162.53333333333299"/>
  </r>
  <r>
    <n v="1969"/>
    <x v="7"/>
    <s v="Freshwater"/>
    <x v="1"/>
    <x v="1"/>
    <n v="850"/>
    <s v="Snohomish River"/>
    <s v="Snohomish River"/>
    <s v="Snohomish"/>
    <x v="2"/>
    <s v="Snohomish"/>
    <x v="9"/>
    <s v="North Puget Sound"/>
    <m/>
    <n v="359.23809523809501"/>
    <n v="6663.8666666666604"/>
  </r>
  <r>
    <n v="257"/>
    <x v="7"/>
    <s v="Freshwater"/>
    <x v="1"/>
    <x v="1"/>
    <n v="852"/>
    <s v="Snoqualmie River"/>
    <s v="Snoqualmie River"/>
    <s v="Snohomish/King"/>
    <x v="2"/>
    <s v="King"/>
    <x v="3"/>
    <s v="South Puget Sound"/>
    <m/>
    <n v="418.56603773584902"/>
    <n v="7764.4"/>
  </r>
  <r>
    <n v="258"/>
    <x v="7"/>
    <s v="Freshwater"/>
    <x v="1"/>
    <x v="1"/>
    <n v="852"/>
    <s v="Snoqualmie River"/>
    <s v="Snoqualmie River"/>
    <s v="Snohomish/King"/>
    <x v="2"/>
    <s v="Other"/>
    <x v="6"/>
    <s v="Non Puget Sound"/>
    <m/>
    <n v="17.811320754716998"/>
    <n v="330.4"/>
  </r>
  <r>
    <n v="256"/>
    <x v="7"/>
    <s v="Freshwater"/>
    <x v="1"/>
    <x v="1"/>
    <n v="852"/>
    <s v="Snoqualmie River"/>
    <s v="Snoqualmie River"/>
    <s v="Snohomish/King"/>
    <x v="2"/>
    <s v="Snohomish"/>
    <x v="9"/>
    <s v="North Puget Sound"/>
    <m/>
    <n v="35.622641509433997"/>
    <n v="660.80000000000098"/>
  </r>
  <r>
    <n v="2011"/>
    <x v="7"/>
    <s v="Freshwater"/>
    <x v="1"/>
    <x v="1"/>
    <n v="856"/>
    <s v="Tokul Creek"/>
    <s v="Tokul Creek"/>
    <s v="King"/>
    <x v="2"/>
    <s v="King"/>
    <x v="3"/>
    <s v="South Puget Sound"/>
    <m/>
    <n v="735.17241379310303"/>
    <n v="13637.4482758621"/>
  </r>
  <r>
    <n v="2012"/>
    <x v="7"/>
    <s v="Freshwater"/>
    <x v="1"/>
    <x v="1"/>
    <n v="856"/>
    <s v="Tokul Creek"/>
    <s v="Tokul Creek"/>
    <s v="King"/>
    <x v="2"/>
    <s v="Pierce"/>
    <x v="7"/>
    <s v="South Puget Sound"/>
    <m/>
    <n v="26.8965517241379"/>
    <n v="498.93103448275798"/>
  </r>
  <r>
    <n v="2010"/>
    <x v="7"/>
    <s v="Freshwater"/>
    <x v="1"/>
    <x v="1"/>
    <n v="856"/>
    <s v="Tokul Creek"/>
    <s v="Tokul Creek"/>
    <s v="King"/>
    <x v="2"/>
    <s v="Snohomish"/>
    <x v="9"/>
    <s v="North Puget Sound"/>
    <m/>
    <n v="8.9655172413793096"/>
    <n v="166.31034482758599"/>
  </r>
  <r>
    <n v="2009"/>
    <x v="7"/>
    <s v="Freshwater"/>
    <x v="1"/>
    <x v="1"/>
    <n v="856"/>
    <s v="Tokul Creek"/>
    <s v="Tokul Creek"/>
    <s v="King"/>
    <x v="2"/>
    <s v="Whatcom"/>
    <x v="11"/>
    <s v="North Puget Sound"/>
    <m/>
    <n v="8.9655172413793096"/>
    <n v="166.31034482758599"/>
  </r>
  <r>
    <n v="2013"/>
    <x v="7"/>
    <s v="Freshwater"/>
    <x v="1"/>
    <x v="1"/>
    <n v="858"/>
    <s v="Tolt River"/>
    <s v="Tolt River"/>
    <s v="King"/>
    <x v="2"/>
    <s v="King"/>
    <x v="3"/>
    <s v="South Puget Sound"/>
    <m/>
    <n v="8"/>
    <n v="148.4"/>
  </r>
  <r>
    <n v="2144"/>
    <x v="7"/>
    <s v="Freshwater"/>
    <x v="1"/>
    <x v="1"/>
    <n v="858"/>
    <s v="Tolt River"/>
    <s v="Tolt River"/>
    <s v="King"/>
    <x v="2"/>
    <s v="Pierce"/>
    <x v="7"/>
    <s v="South Puget Sound"/>
    <m/>
    <n v="8"/>
    <n v="148.4"/>
  </r>
  <r>
    <n v="1973"/>
    <x v="7"/>
    <s v="Freshwater"/>
    <x v="1"/>
    <x v="1"/>
    <n v="860"/>
    <s v="Wallace River"/>
    <s v="Wallace River"/>
    <s v="Snohomish"/>
    <x v="2"/>
    <s v="King"/>
    <x v="3"/>
    <s v="South Puget Sound"/>
    <m/>
    <n v="478.95652173913101"/>
    <n v="8884.6434782608794"/>
  </r>
  <r>
    <n v="1974"/>
    <x v="7"/>
    <s v="Freshwater"/>
    <x v="1"/>
    <x v="1"/>
    <n v="860"/>
    <s v="Wallace River"/>
    <s v="Wallace River"/>
    <s v="Snohomish"/>
    <x v="2"/>
    <s v="Other"/>
    <x v="6"/>
    <s v="Non Puget Sound"/>
    <m/>
    <n v="8.86956521739131"/>
    <n v="164.53043478260901"/>
  </r>
  <r>
    <n v="1972"/>
    <x v="7"/>
    <s v="Freshwater"/>
    <x v="1"/>
    <x v="1"/>
    <n v="860"/>
    <s v="Wallace River"/>
    <s v="Wallace River"/>
    <s v="Snohomish"/>
    <x v="2"/>
    <s v="Snohomish"/>
    <x v="9"/>
    <s v="North Puget Sound"/>
    <m/>
    <n v="319.304347826087"/>
    <n v="5923.0956521739099"/>
  </r>
  <r>
    <n v="1971"/>
    <x v="7"/>
    <s v="Freshwater"/>
    <x v="1"/>
    <x v="1"/>
    <n v="860"/>
    <s v="Wallace River"/>
    <s v="Wallace River"/>
    <s v="Snohomish"/>
    <x v="2"/>
    <s v="Whatcom"/>
    <x v="11"/>
    <s v="North Puget Sound"/>
    <m/>
    <n v="8.86956521739131"/>
    <n v="164.53043478260901"/>
  </r>
  <r>
    <n v="2137"/>
    <x v="7"/>
    <s v="Freshwater"/>
    <x v="1"/>
    <x v="1"/>
    <n v="870"/>
    <s v="Pilchuck Creek (Stillaguamish System)"/>
    <s v="Pilchuck Creek (Stillaguamish System)"/>
    <s v="Skagit/Snohomish"/>
    <x v="2"/>
    <s v="King"/>
    <x v="3"/>
    <s v="South Puget Sound"/>
    <m/>
    <n v="10"/>
    <n v="185.5"/>
  </r>
  <r>
    <n v="1975"/>
    <x v="7"/>
    <s v="Freshwater"/>
    <x v="1"/>
    <x v="1"/>
    <n v="872"/>
    <s v="Stillaguamish R, No. Fork"/>
    <s v="Stillaguamish R, No. Fork"/>
    <s v="Snohomish"/>
    <x v="2"/>
    <s v="Snohomish"/>
    <x v="9"/>
    <s v="North Puget Sound"/>
    <m/>
    <n v="86"/>
    <n v="1595.3"/>
  </r>
  <r>
    <n v="3597"/>
    <x v="8"/>
    <s v="Freshwater"/>
    <x v="1"/>
    <x v="1"/>
    <n v="738"/>
    <s v="Dungeness River"/>
    <s v="Dungeness River"/>
    <s v="Clallam"/>
    <x v="0"/>
    <s v="Clallam"/>
    <x v="0"/>
    <s v="Strait of Juan de Fuca"/>
    <m/>
    <n v="61.6666666666667"/>
    <n v="526.63333333333401"/>
  </r>
  <r>
    <n v="3596"/>
    <x v="8"/>
    <s v="Freshwater"/>
    <x v="1"/>
    <x v="1"/>
    <n v="738"/>
    <s v="Dungeness River"/>
    <s v="Dungeness River"/>
    <s v="Clallam"/>
    <x v="0"/>
    <s v="Kitsap"/>
    <x v="4"/>
    <s v="South Puget Sound"/>
    <m/>
    <n v="12.3333333333333"/>
    <n v="105.326666666666"/>
  </r>
  <r>
    <n v="703"/>
    <x v="8"/>
    <s v="Freshwater"/>
    <x v="1"/>
    <x v="1"/>
    <n v="746"/>
    <s v="Green (Duwamish River) (King Co.)"/>
    <s v="Green - Duwamish River"/>
    <s v="King"/>
    <x v="3"/>
    <s v="Pierce"/>
    <x v="7"/>
    <s v="South Puget Sound"/>
    <m/>
    <n v="22.6666666666667"/>
    <n v="193.57333333333401"/>
  </r>
  <r>
    <n v="702"/>
    <x v="8"/>
    <s v="Freshwater"/>
    <x v="1"/>
    <x v="1"/>
    <n v="746"/>
    <s v="Green (Duwamish River) (King Co.)"/>
    <s v="Green - Duwamish River"/>
    <s v="King"/>
    <x v="3"/>
    <s v="Snohomish"/>
    <x v="9"/>
    <s v="North Puget Sound"/>
    <m/>
    <n v="11.3333333333333"/>
    <n v="96.786666666666406"/>
  </r>
  <r>
    <n v="3600"/>
    <x v="8"/>
    <s v="Freshwater"/>
    <x v="1"/>
    <x v="1"/>
    <n v="752"/>
    <s v="Hoko River"/>
    <s v="Hoko River"/>
    <s v="Clallam"/>
    <x v="0"/>
    <s v="Clallam"/>
    <x v="0"/>
    <s v="Strait of Juan de Fuca"/>
    <m/>
    <n v="56"/>
    <n v="478.24"/>
  </r>
  <r>
    <n v="3601"/>
    <x v="8"/>
    <s v="Freshwater"/>
    <x v="1"/>
    <x v="1"/>
    <n v="752"/>
    <s v="Hoko River"/>
    <s v="Hoko River"/>
    <s v="Clallam"/>
    <x v="0"/>
    <s v="Other"/>
    <x v="6"/>
    <s v="Non Puget Sound"/>
    <m/>
    <n v="14"/>
    <n v="119.56"/>
  </r>
  <r>
    <n v="3602"/>
    <x v="8"/>
    <s v="Freshwater"/>
    <x v="1"/>
    <x v="1"/>
    <n v="768"/>
    <s v="Lyre River"/>
    <s v="Lyre River"/>
    <s v="Clallam"/>
    <x v="0"/>
    <s v="Mason"/>
    <x v="5"/>
    <s v="South Puget Sound"/>
    <m/>
    <n v="14"/>
    <n v="119.56"/>
  </r>
  <r>
    <n v="3096"/>
    <x v="8"/>
    <s v="Freshwater"/>
    <x v="1"/>
    <x v="1"/>
    <n v="790"/>
    <s v="Nooksack River, No. Fork"/>
    <s v="Nooksack River, No. Fork"/>
    <s v="Whatcom"/>
    <x v="1"/>
    <s v="Island"/>
    <x v="1"/>
    <s v="North Puget Sound"/>
    <m/>
    <n v="14"/>
    <n v="119.56"/>
  </r>
  <r>
    <n v="3095"/>
    <x v="8"/>
    <s v="Freshwater"/>
    <x v="1"/>
    <x v="1"/>
    <n v="790"/>
    <s v="Nooksack River, No. Fork"/>
    <s v="Nooksack River, No. Fork"/>
    <s v="Whatcom"/>
    <x v="1"/>
    <s v="Whatcom"/>
    <x v="11"/>
    <s v="North Puget Sound"/>
    <m/>
    <n v="14"/>
    <n v="119.56"/>
  </r>
  <r>
    <n v="3098"/>
    <x v="8"/>
    <s v="Freshwater"/>
    <x v="1"/>
    <x v="1"/>
    <n v="794"/>
    <s v="Nooksack River, below North Fork"/>
    <s v="Nooksack River, below North Fork"/>
    <s v="Whatcom"/>
    <x v="1"/>
    <s v="King"/>
    <x v="3"/>
    <s v="South Puget Sound"/>
    <m/>
    <n v="0"/>
    <n v="0"/>
  </r>
  <r>
    <n v="3097"/>
    <x v="8"/>
    <s v="Freshwater"/>
    <x v="1"/>
    <x v="1"/>
    <n v="794"/>
    <s v="Nooksack River, below North Fork"/>
    <s v="Nooksack River, below North Fork"/>
    <s v="Whatcom"/>
    <x v="1"/>
    <s v="Whatcom"/>
    <x v="11"/>
    <s v="North Puget Sound"/>
    <m/>
    <n v="54"/>
    <n v="461.16"/>
  </r>
  <r>
    <n v="1091"/>
    <x v="8"/>
    <s v="Freshwater"/>
    <x v="1"/>
    <x v="1"/>
    <n v="804"/>
    <s v="Puyallup River"/>
    <s v="Puyallup River"/>
    <s v="Pierce"/>
    <x v="3"/>
    <s v="Pierce"/>
    <x v="7"/>
    <s v="South Puget Sound"/>
    <m/>
    <n v="68"/>
    <n v="580.72"/>
  </r>
  <r>
    <n v="3608"/>
    <x v="8"/>
    <s v="Freshwater"/>
    <x v="1"/>
    <x v="1"/>
    <n v="818"/>
    <s v="Sekiu River"/>
    <s v="Sekiu River"/>
    <s v="Clallam"/>
    <x v="0"/>
    <s v="Clallam"/>
    <x v="0"/>
    <s v="Strait of Juan de Fuca"/>
    <m/>
    <n v="14"/>
    <n v="119.56"/>
  </r>
  <r>
    <n v="2097"/>
    <x v="8"/>
    <s v="Freshwater"/>
    <x v="1"/>
    <x v="1"/>
    <n v="826"/>
    <s v="Cascade River"/>
    <s v="Cascade River"/>
    <s v="Skagit"/>
    <x v="1"/>
    <s v="King"/>
    <x v="3"/>
    <s v="South Puget Sound"/>
    <m/>
    <n v="14"/>
    <n v="119.56"/>
  </r>
  <r>
    <n v="2139"/>
    <x v="8"/>
    <s v="Freshwater"/>
    <x v="1"/>
    <x v="1"/>
    <n v="828"/>
    <s v="Sauk River"/>
    <s v="Sauk River"/>
    <s v="Skagit/Snohomish"/>
    <x v="2"/>
    <s v="Skagit"/>
    <x v="8"/>
    <s v="North Puget Sound"/>
    <m/>
    <n v="0"/>
    <n v="0"/>
  </r>
  <r>
    <n v="2193"/>
    <x v="8"/>
    <s v="Freshwater"/>
    <x v="1"/>
    <x v="1"/>
    <n v="828"/>
    <s v="Sauk River"/>
    <s v="Sauk River"/>
    <s v="Skagit/Snohomish"/>
    <x v="2"/>
    <s v="Snohomish"/>
    <x v="9"/>
    <s v="North Puget Sound"/>
    <m/>
    <n v="8"/>
    <n v="68.319999999999993"/>
  </r>
  <r>
    <n v="2138"/>
    <x v="8"/>
    <s v="Freshwater"/>
    <x v="1"/>
    <x v="1"/>
    <n v="828"/>
    <s v="Sauk River"/>
    <s v="Sauk River"/>
    <s v="Skagit/Snohomish"/>
    <x v="2"/>
    <s v="Whatcom"/>
    <x v="11"/>
    <s v="North Puget Sound"/>
    <m/>
    <n v="24"/>
    <n v="204.96"/>
  </r>
  <r>
    <n v="1372"/>
    <x v="8"/>
    <s v="Freshwater"/>
    <x v="1"/>
    <x v="1"/>
    <n v="830"/>
    <s v="Skagit River"/>
    <s v="Skagit River"/>
    <s v="Skagit/Whatcom"/>
    <x v="2"/>
    <s v="King"/>
    <x v="3"/>
    <s v="South Puget Sound"/>
    <m/>
    <n v="20"/>
    <n v="170.8"/>
  </r>
  <r>
    <n v="1370"/>
    <x v="8"/>
    <s v="Freshwater"/>
    <x v="1"/>
    <x v="1"/>
    <n v="830"/>
    <s v="Skagit River"/>
    <s v="Skagit River"/>
    <s v="Skagit/Whatcom"/>
    <x v="2"/>
    <s v="Skagit"/>
    <x v="8"/>
    <s v="North Puget Sound"/>
    <m/>
    <n v="10"/>
    <n v="85.4"/>
  </r>
  <r>
    <n v="1371"/>
    <x v="8"/>
    <s v="Freshwater"/>
    <x v="1"/>
    <x v="1"/>
    <n v="830"/>
    <s v="Skagit River"/>
    <s v="Skagit River"/>
    <s v="Skagit/Whatcom"/>
    <x v="2"/>
    <s v="Snohomish"/>
    <x v="9"/>
    <s v="North Puget Sound"/>
    <m/>
    <n v="10"/>
    <n v="85.4"/>
  </r>
  <r>
    <n v="2105"/>
    <x v="8"/>
    <s v="Freshwater"/>
    <x v="1"/>
    <x v="1"/>
    <n v="844"/>
    <s v="Skykomish River"/>
    <s v="Skykomish River"/>
    <s v="Snohomish"/>
    <x v="2"/>
    <s v="Clallam"/>
    <x v="0"/>
    <s v="Strait of Juan de Fuca"/>
    <m/>
    <n v="13.922879177377901"/>
    <n v="118.901388174807"/>
  </r>
  <r>
    <n v="2101"/>
    <x v="8"/>
    <s v="Freshwater"/>
    <x v="1"/>
    <x v="1"/>
    <n v="844"/>
    <s v="Skykomish River"/>
    <s v="Skykomish River"/>
    <s v="Snohomish"/>
    <x v="2"/>
    <s v="Island"/>
    <x v="1"/>
    <s v="North Puget Sound"/>
    <m/>
    <n v="6.9614395886889504"/>
    <n v="59.450694087403598"/>
  </r>
  <r>
    <n v="2102"/>
    <x v="8"/>
    <s v="Freshwater"/>
    <x v="1"/>
    <x v="1"/>
    <n v="844"/>
    <s v="Skykomish River"/>
    <s v="Skykomish River"/>
    <s v="Snohomish"/>
    <x v="2"/>
    <s v="King"/>
    <x v="3"/>
    <s v="South Puget Sound"/>
    <m/>
    <n v="2408.6580976863802"/>
    <n v="20569.9401542417"/>
  </r>
  <r>
    <n v="2104"/>
    <x v="8"/>
    <s v="Freshwater"/>
    <x v="1"/>
    <x v="1"/>
    <n v="844"/>
    <s v="Skykomish River"/>
    <s v="Skykomish River"/>
    <s v="Snohomish"/>
    <x v="2"/>
    <s v="Kitsap"/>
    <x v="4"/>
    <s v="South Puget Sound"/>
    <m/>
    <n v="27.845758354755802"/>
    <n v="237.80277634961499"/>
  </r>
  <r>
    <n v="2106"/>
    <x v="8"/>
    <s v="Freshwater"/>
    <x v="1"/>
    <x v="1"/>
    <n v="844"/>
    <s v="Skykomish River"/>
    <s v="Skykomish River"/>
    <s v="Snohomish"/>
    <x v="2"/>
    <s v="Other"/>
    <x v="6"/>
    <s v="Non Puget Sound"/>
    <m/>
    <n v="48.7300771208226"/>
    <n v="416.15485861182498"/>
  </r>
  <r>
    <n v="2103"/>
    <x v="8"/>
    <s v="Freshwater"/>
    <x v="1"/>
    <x v="1"/>
    <n v="844"/>
    <s v="Skykomish River"/>
    <s v="Skykomish River"/>
    <s v="Snohomish"/>
    <x v="2"/>
    <s v="Pierce"/>
    <x v="7"/>
    <s v="South Puget Sound"/>
    <m/>
    <n v="229.727506426735"/>
    <n v="1961.87290488432"/>
  </r>
  <r>
    <n v="1976"/>
    <x v="8"/>
    <s v="Freshwater"/>
    <x v="1"/>
    <x v="1"/>
    <n v="844"/>
    <s v="Skykomish River"/>
    <s v="Skykomish River"/>
    <s v="Snohomish"/>
    <x v="2"/>
    <s v="Skagit"/>
    <x v="8"/>
    <s v="North Puget Sound"/>
    <m/>
    <n v="104.421593830334"/>
    <n v="891.76041131105205"/>
  </r>
  <r>
    <n v="2100"/>
    <x v="8"/>
    <s v="Freshwater"/>
    <x v="1"/>
    <x v="1"/>
    <n v="844"/>
    <s v="Skykomish River"/>
    <s v="Skykomish River"/>
    <s v="Snohomish"/>
    <x v="2"/>
    <s v="Snohomish"/>
    <x v="9"/>
    <s v="North Puget Sound"/>
    <m/>
    <n v="2575.7326478149098"/>
    <n v="21996.756812339299"/>
  </r>
  <r>
    <n v="2108"/>
    <x v="8"/>
    <s v="Freshwater"/>
    <x v="1"/>
    <x v="1"/>
    <n v="846"/>
    <s v="Skykomish River, No. Fork"/>
    <s v="Skykomish River, No. Fork"/>
    <s v="Snohomish"/>
    <x v="2"/>
    <s v="King"/>
    <x v="3"/>
    <s v="South Puget Sound"/>
    <m/>
    <n v="154.95652173913001"/>
    <n v="1323.3286956521699"/>
  </r>
  <r>
    <n v="2107"/>
    <x v="8"/>
    <s v="Freshwater"/>
    <x v="1"/>
    <x v="1"/>
    <n v="846"/>
    <s v="Skykomish River, No. Fork"/>
    <s v="Skykomish River, No. Fork"/>
    <s v="Snohomish"/>
    <x v="2"/>
    <s v="Snohomish"/>
    <x v="9"/>
    <s v="North Puget Sound"/>
    <m/>
    <n v="7.0434782608695699"/>
    <n v="60.151304347826098"/>
  </r>
  <r>
    <n v="259"/>
    <x v="8"/>
    <s v="Freshwater"/>
    <x v="1"/>
    <x v="1"/>
    <n v="848"/>
    <s v="Skykomish River, So. Fork"/>
    <s v="Skykomish River, So. Fork"/>
    <s v="Snohomish/King"/>
    <x v="2"/>
    <s v="King"/>
    <x v="3"/>
    <s v="South Puget Sound"/>
    <m/>
    <n v="14.6666666666667"/>
    <n v="125.253333333334"/>
  </r>
  <r>
    <n v="260"/>
    <x v="8"/>
    <s v="Freshwater"/>
    <x v="1"/>
    <x v="1"/>
    <n v="848"/>
    <s v="Skykomish River, So. Fork"/>
    <s v="Skykomish River, So. Fork"/>
    <s v="Snohomish/King"/>
    <x v="2"/>
    <s v="Pierce"/>
    <x v="7"/>
    <s v="South Puget Sound"/>
    <m/>
    <n v="7.3333333333333401"/>
    <n v="62.626666666666701"/>
  </r>
  <r>
    <n v="2109"/>
    <x v="8"/>
    <s v="Freshwater"/>
    <x v="1"/>
    <x v="1"/>
    <n v="850"/>
    <s v="Snohomish River"/>
    <s v="Snohomish River"/>
    <s v="Snohomish"/>
    <x v="2"/>
    <s v="Snohomish"/>
    <x v="9"/>
    <s v="North Puget Sound"/>
    <m/>
    <n v="158"/>
    <n v="1349.32"/>
  </r>
  <r>
    <n v="261"/>
    <x v="8"/>
    <s v="Freshwater"/>
    <x v="1"/>
    <x v="1"/>
    <n v="852"/>
    <s v="Snoqualmie River"/>
    <s v="Snoqualmie River"/>
    <s v="Snohomish/King"/>
    <x v="2"/>
    <s v="King"/>
    <x v="3"/>
    <s v="South Puget Sound"/>
    <m/>
    <n v="70.153846153846203"/>
    <n v="599.11384615384702"/>
  </r>
  <r>
    <n v="262"/>
    <x v="8"/>
    <s v="Freshwater"/>
    <x v="1"/>
    <x v="1"/>
    <n v="852"/>
    <s v="Snoqualmie River"/>
    <s v="Snoqualmie River"/>
    <s v="Snohomish/King"/>
    <x v="2"/>
    <s v="Pierce"/>
    <x v="7"/>
    <s v="South Puget Sound"/>
    <m/>
    <n v="5.8461538461538503"/>
    <n v="49.926153846153902"/>
  </r>
  <r>
    <n v="2146"/>
    <x v="8"/>
    <s v="Freshwater"/>
    <x v="1"/>
    <x v="1"/>
    <n v="856"/>
    <s v="Tokul Creek"/>
    <s v="Tokul Creek"/>
    <s v="King"/>
    <x v="2"/>
    <s v="King"/>
    <x v="3"/>
    <s v="South Puget Sound"/>
    <m/>
    <n v="34.285714285714299"/>
    <n v="292.8"/>
  </r>
  <r>
    <n v="2145"/>
    <x v="8"/>
    <s v="Freshwater"/>
    <x v="1"/>
    <x v="1"/>
    <n v="856"/>
    <s v="Tokul Creek"/>
    <s v="Tokul Creek"/>
    <s v="King"/>
    <x v="2"/>
    <s v="Snohomish"/>
    <x v="9"/>
    <s v="North Puget Sound"/>
    <m/>
    <n v="5.71428571428571"/>
    <n v="48.8"/>
  </r>
  <r>
    <n v="2111"/>
    <x v="8"/>
    <s v="Freshwater"/>
    <x v="1"/>
    <x v="1"/>
    <n v="860"/>
    <s v="Wallace River"/>
    <s v="Wallace River"/>
    <s v="Snohomish"/>
    <x v="2"/>
    <s v="King"/>
    <x v="3"/>
    <s v="South Puget Sound"/>
    <m/>
    <n v="51.428571428571402"/>
    <n v="439.2"/>
  </r>
  <r>
    <n v="2110"/>
    <x v="8"/>
    <s v="Freshwater"/>
    <x v="1"/>
    <x v="1"/>
    <n v="860"/>
    <s v="Wallace River"/>
    <s v="Wallace River"/>
    <s v="Snohomish"/>
    <x v="2"/>
    <s v="Snohomish"/>
    <x v="9"/>
    <s v="North Puget Sound"/>
    <m/>
    <n v="38.571428571428598"/>
    <n v="329.4"/>
  </r>
  <r>
    <n v="2113"/>
    <x v="8"/>
    <s v="Freshwater"/>
    <x v="1"/>
    <x v="1"/>
    <n v="866"/>
    <s v="Canyon Creek"/>
    <s v="Canyon Creek"/>
    <s v="Snohomish"/>
    <x v="2"/>
    <s v="King"/>
    <x v="3"/>
    <s v="South Puget Sound"/>
    <m/>
    <n v="10"/>
    <n v="85.4"/>
  </r>
  <r>
    <n v="2112"/>
    <x v="8"/>
    <s v="Freshwater"/>
    <x v="1"/>
    <x v="1"/>
    <n v="866"/>
    <s v="Canyon Creek"/>
    <s v="Canyon Creek"/>
    <s v="Snohomish"/>
    <x v="2"/>
    <s v="Snohomish"/>
    <x v="9"/>
    <s v="North Puget Sound"/>
    <m/>
    <n v="10"/>
    <n v="85.4"/>
  </r>
  <r>
    <n v="2194"/>
    <x v="8"/>
    <s v="Freshwater"/>
    <x v="1"/>
    <x v="1"/>
    <n v="870"/>
    <s v="Pilchuck Creek (Stillaguamish System)"/>
    <s v="Pilchuck Creek (Stillaguamish System)"/>
    <s v="Skagit/Snohomish"/>
    <x v="2"/>
    <s v="Snohomish"/>
    <x v="9"/>
    <s v="North Puget Sound"/>
    <m/>
    <n v="40"/>
    <n v="341.6"/>
  </r>
  <r>
    <n v="2114"/>
    <x v="8"/>
    <s v="Freshwater"/>
    <x v="1"/>
    <x v="1"/>
    <n v="872"/>
    <s v="Stillaguamish R, No. Fork"/>
    <s v="Stillaguamish R, No. Fork"/>
    <s v="Snohomish"/>
    <x v="2"/>
    <s v="Snohomish"/>
    <x v="9"/>
    <s v="North Puget Sound"/>
    <m/>
    <n v="94"/>
    <n v="802.76"/>
  </r>
  <r>
    <n v="1249"/>
    <x v="8"/>
    <s v="Freshwater"/>
    <x v="1"/>
    <x v="1"/>
    <n v="900"/>
    <s v="Other Lakes"/>
    <s v="Other Lakes"/>
    <s v="NA"/>
    <x v="5"/>
    <s v="Other"/>
    <x v="6"/>
    <s v="Non Puget Sound"/>
    <m/>
    <n v="0"/>
    <n v="0"/>
  </r>
  <r>
    <n v="3642"/>
    <x v="9"/>
    <s v="Freshwater"/>
    <x v="1"/>
    <x v="1"/>
    <n v="738"/>
    <s v="Dungeness River"/>
    <s v="Dungeness River"/>
    <s v="Clallam"/>
    <x v="0"/>
    <s v="Clallam"/>
    <x v="0"/>
    <s v="Strait of Juan de Fuca"/>
    <m/>
    <n v="9"/>
    <n v="166.95"/>
  </r>
  <r>
    <n v="3643"/>
    <x v="9"/>
    <s v="Freshwater"/>
    <x v="1"/>
    <x v="1"/>
    <n v="738"/>
    <s v="Dungeness River"/>
    <s v="Dungeness River"/>
    <s v="Clallam"/>
    <x v="0"/>
    <s v="Other"/>
    <x v="6"/>
    <s v="Non Puget Sound"/>
    <m/>
    <n v="9"/>
    <n v="166.95"/>
  </r>
  <r>
    <n v="705"/>
    <x v="9"/>
    <s v="Freshwater"/>
    <x v="1"/>
    <x v="1"/>
    <n v="746"/>
    <s v="Green (Duwamish River) (King Co.)"/>
    <s v="Green - Duwamish River"/>
    <s v="King"/>
    <x v="3"/>
    <s v="King"/>
    <x v="3"/>
    <s v="South Puget Sound"/>
    <m/>
    <n v="474.920634920635"/>
    <n v="8809.7777777777792"/>
  </r>
  <r>
    <n v="706"/>
    <x v="9"/>
    <s v="Freshwater"/>
    <x v="1"/>
    <x v="1"/>
    <n v="746"/>
    <s v="Green (Duwamish River) (King Co.)"/>
    <s v="Green - Duwamish River"/>
    <s v="King"/>
    <x v="3"/>
    <s v="Pierce"/>
    <x v="7"/>
    <s v="South Puget Sound"/>
    <m/>
    <n v="205.079365079365"/>
    <n v="3804.2222222222199"/>
  </r>
  <r>
    <n v="704"/>
    <x v="9"/>
    <s v="Freshwater"/>
    <x v="1"/>
    <x v="1"/>
    <n v="746"/>
    <s v="Green (Duwamish River) (King Co.)"/>
    <s v="Green - Duwamish River"/>
    <s v="King"/>
    <x v="3"/>
    <s v="Snohomish"/>
    <x v="9"/>
    <s v="North Puget Sound"/>
    <m/>
    <n v="0"/>
    <n v="0"/>
  </r>
  <r>
    <n v="1093"/>
    <x v="9"/>
    <s v="Freshwater"/>
    <x v="1"/>
    <x v="1"/>
    <n v="804"/>
    <s v="Puyallup River"/>
    <s v="Puyallup River"/>
    <s v="Pierce"/>
    <x v="3"/>
    <s v="King"/>
    <x v="3"/>
    <s v="South Puget Sound"/>
    <m/>
    <n v="8"/>
    <n v="148.4"/>
  </r>
  <r>
    <n v="1094"/>
    <x v="9"/>
    <s v="Freshwater"/>
    <x v="1"/>
    <x v="1"/>
    <n v="804"/>
    <s v="Puyallup River"/>
    <s v="Puyallup River"/>
    <s v="Pierce"/>
    <x v="3"/>
    <s v="Pierce"/>
    <x v="7"/>
    <s v="South Puget Sound"/>
    <m/>
    <n v="0"/>
    <n v="0"/>
  </r>
  <r>
    <n v="1092"/>
    <x v="9"/>
    <s v="Freshwater"/>
    <x v="1"/>
    <x v="1"/>
    <n v="804"/>
    <s v="Puyallup River"/>
    <s v="Puyallup River"/>
    <s v="Pierce"/>
    <x v="3"/>
    <s v="Snohomish"/>
    <x v="9"/>
    <s v="North Puget Sound"/>
    <m/>
    <n v="0"/>
    <n v="0"/>
  </r>
  <r>
    <n v="2099"/>
    <x v="9"/>
    <s v="Freshwater"/>
    <x v="1"/>
    <x v="1"/>
    <n v="826"/>
    <s v="Cascade River"/>
    <s v="Cascade River"/>
    <s v="Skagit"/>
    <x v="1"/>
    <s v="Skagit"/>
    <x v="8"/>
    <s v="North Puget Sound"/>
    <m/>
    <n v="8.6666666666666696"/>
    <n v="160.76666666666699"/>
  </r>
  <r>
    <n v="2098"/>
    <x v="9"/>
    <s v="Freshwater"/>
    <x v="1"/>
    <x v="1"/>
    <n v="826"/>
    <s v="Cascade River"/>
    <s v="Cascade River"/>
    <s v="Skagit"/>
    <x v="1"/>
    <s v="Whatcom"/>
    <x v="11"/>
    <s v="North Puget Sound"/>
    <m/>
    <n v="17.3333333333333"/>
    <n v="321.53333333333302"/>
  </r>
  <r>
    <n v="1375"/>
    <x v="9"/>
    <s v="Freshwater"/>
    <x v="1"/>
    <x v="1"/>
    <n v="830"/>
    <s v="Skagit River"/>
    <s v="Skagit River"/>
    <s v="Skagit/Whatcom"/>
    <x v="2"/>
    <s v="Pierce"/>
    <x v="7"/>
    <s v="South Puget Sound"/>
    <m/>
    <n v="8.6666666666666696"/>
    <n v="160.76666666666699"/>
  </r>
  <r>
    <n v="1374"/>
    <x v="9"/>
    <s v="Freshwater"/>
    <x v="1"/>
    <x v="1"/>
    <n v="830"/>
    <s v="Skagit River"/>
    <s v="Skagit River"/>
    <s v="Skagit/Whatcom"/>
    <x v="2"/>
    <s v="Skagit"/>
    <x v="8"/>
    <s v="North Puget Sound"/>
    <m/>
    <n v="8.6666666666666696"/>
    <n v="160.76666666666699"/>
  </r>
  <r>
    <n v="1373"/>
    <x v="9"/>
    <s v="Freshwater"/>
    <x v="1"/>
    <x v="1"/>
    <n v="830"/>
    <s v="Skagit River"/>
    <s v="Skagit River"/>
    <s v="Skagit/Whatcom"/>
    <x v="2"/>
    <s v="Whatcom"/>
    <x v="11"/>
    <s v="North Puget Sound"/>
    <m/>
    <n v="8.6666666666666696"/>
    <n v="160.76666666666699"/>
  </r>
  <r>
    <n v="2247"/>
    <x v="9"/>
    <s v="Freshwater"/>
    <x v="1"/>
    <x v="1"/>
    <n v="844"/>
    <s v="Skykomish River"/>
    <s v="Skykomish River"/>
    <s v="Snohomish"/>
    <x v="2"/>
    <s v="King"/>
    <x v="3"/>
    <s v="South Puget Sound"/>
    <m/>
    <n v="149.010309278351"/>
    <n v="2764.1412371134102"/>
  </r>
  <r>
    <n v="2249"/>
    <x v="9"/>
    <s v="Freshwater"/>
    <x v="1"/>
    <x v="1"/>
    <n v="844"/>
    <s v="Skykomish River"/>
    <s v="Skykomish River"/>
    <s v="Snohomish"/>
    <x v="2"/>
    <s v="Other"/>
    <x v="6"/>
    <s v="Non Puget Sound"/>
    <m/>
    <n v="27.0927835051546"/>
    <n v="502.57113402061799"/>
  </r>
  <r>
    <n v="2248"/>
    <x v="9"/>
    <s v="Freshwater"/>
    <x v="1"/>
    <x v="1"/>
    <n v="844"/>
    <s v="Skykomish River"/>
    <s v="Skykomish River"/>
    <s v="Snohomish"/>
    <x v="2"/>
    <s v="Pierce"/>
    <x v="7"/>
    <s v="South Puget Sound"/>
    <m/>
    <n v="4.5154639175257696"/>
    <n v="83.761855670103003"/>
  </r>
  <r>
    <n v="2115"/>
    <x v="9"/>
    <s v="Freshwater"/>
    <x v="1"/>
    <x v="1"/>
    <n v="844"/>
    <s v="Skykomish River"/>
    <s v="Skykomish River"/>
    <s v="Snohomish"/>
    <x v="2"/>
    <s v="Snohomish"/>
    <x v="9"/>
    <s v="North Puget Sound"/>
    <m/>
    <n v="257.38144329896897"/>
    <n v="4774.4257731958796"/>
  </r>
  <r>
    <n v="2251"/>
    <x v="9"/>
    <s v="Freshwater"/>
    <x v="1"/>
    <x v="1"/>
    <n v="850"/>
    <s v="Snohomish River"/>
    <s v="Snohomish River"/>
    <s v="Snohomish"/>
    <x v="2"/>
    <s v="King"/>
    <x v="3"/>
    <s v="South Puget Sound"/>
    <m/>
    <n v="5"/>
    <n v="92.75"/>
  </r>
  <r>
    <n v="2250"/>
    <x v="9"/>
    <s v="Freshwater"/>
    <x v="1"/>
    <x v="1"/>
    <n v="850"/>
    <s v="Snohomish River"/>
    <s v="Snohomish River"/>
    <s v="Snohomish"/>
    <x v="2"/>
    <s v="Snohomish"/>
    <x v="9"/>
    <s v="North Puget Sound"/>
    <m/>
    <n v="15"/>
    <n v="278.25"/>
  </r>
  <r>
    <n v="263"/>
    <x v="9"/>
    <s v="Freshwater"/>
    <x v="1"/>
    <x v="1"/>
    <n v="852"/>
    <s v="Snoqualmie River"/>
    <s v="Snoqualmie River"/>
    <s v="Snohomish/King"/>
    <x v="2"/>
    <s v="King"/>
    <x v="3"/>
    <s v="South Puget Sound"/>
    <m/>
    <n v="6"/>
    <n v="111.3"/>
  </r>
  <r>
    <n v="2147"/>
    <x v="9"/>
    <s v="Freshwater"/>
    <x v="1"/>
    <x v="1"/>
    <n v="856"/>
    <s v="Tokul Creek"/>
    <s v="Tokul Creek"/>
    <s v="King"/>
    <x v="2"/>
    <s v="Snohomish"/>
    <x v="9"/>
    <s v="North Puget Sound"/>
    <m/>
    <n v="6"/>
    <n v="111.3"/>
  </r>
  <r>
    <n v="2252"/>
    <x v="9"/>
    <s v="Freshwater"/>
    <x v="1"/>
    <x v="1"/>
    <n v="860"/>
    <s v="Wallace River"/>
    <s v="Wallace River"/>
    <s v="Snohomish"/>
    <x v="2"/>
    <s v="Snohomish"/>
    <x v="9"/>
    <s v="North Puget Sound"/>
    <m/>
    <n v="14"/>
    <n v="259.7"/>
  </r>
  <r>
    <n v="2359"/>
    <x v="9"/>
    <s v="Freshwater"/>
    <x v="1"/>
    <x v="1"/>
    <n v="872"/>
    <s v="Stillaguamish R, No. Fork"/>
    <s v="Stillaguamish R, No. Fork"/>
    <s v="Snohomish"/>
    <x v="2"/>
    <s v="Island"/>
    <x v="1"/>
    <s v="North Puget Sound"/>
    <m/>
    <n v="9.5"/>
    <n v="176.22499999999999"/>
  </r>
  <r>
    <n v="2360"/>
    <x v="9"/>
    <s v="Freshwater"/>
    <x v="1"/>
    <x v="1"/>
    <n v="872"/>
    <s v="Stillaguamish R, No. Fork"/>
    <s v="Stillaguamish R, No. Fork"/>
    <s v="Snohomish"/>
    <x v="2"/>
    <s v="King"/>
    <x v="3"/>
    <s v="South Puget Sound"/>
    <m/>
    <n v="9.5"/>
    <n v="176.22499999999999"/>
  </r>
  <r>
    <n v="2361"/>
    <x v="9"/>
    <s v="Freshwater"/>
    <x v="1"/>
    <x v="1"/>
    <n v="872"/>
    <s v="Stillaguamish R, No. Fork"/>
    <s v="Stillaguamish R, No. Fork"/>
    <s v="Snohomish"/>
    <x v="2"/>
    <s v="Other"/>
    <x v="6"/>
    <s v="Non Puget Sound"/>
    <m/>
    <n v="9.5"/>
    <n v="176.22499999999999"/>
  </r>
  <r>
    <n v="2357"/>
    <x v="9"/>
    <s v="Freshwater"/>
    <x v="1"/>
    <x v="1"/>
    <n v="872"/>
    <s v="Stillaguamish R, No. Fork"/>
    <s v="Stillaguamish R, No. Fork"/>
    <s v="Snohomish"/>
    <x v="2"/>
    <s v="Skagit"/>
    <x v="8"/>
    <s v="North Puget Sound"/>
    <m/>
    <n v="9.5"/>
    <n v="176.22499999999999"/>
  </r>
  <r>
    <n v="2358"/>
    <x v="9"/>
    <s v="Freshwater"/>
    <x v="1"/>
    <x v="1"/>
    <n v="872"/>
    <s v="Stillaguamish R, No. Fork"/>
    <s v="Stillaguamish R, No. Fork"/>
    <s v="Snohomish"/>
    <x v="2"/>
    <s v="Snohomish"/>
    <x v="9"/>
    <s v="North Puget Sound"/>
    <m/>
    <n v="38"/>
    <n v="704.9"/>
  </r>
  <r>
    <n v="768"/>
    <x v="10"/>
    <s v="Freshwater"/>
    <x v="1"/>
    <x v="1"/>
    <n v="732"/>
    <s v="Dewatto River"/>
    <s v="Dewatto River"/>
    <s v="Mason"/>
    <x v="3"/>
    <s v="Pierce"/>
    <x v="7"/>
    <s v="South Puget Sound"/>
    <m/>
    <n v="12"/>
    <n v="102.48"/>
  </r>
  <r>
    <n v="3672"/>
    <x v="10"/>
    <s v="Freshwater"/>
    <x v="1"/>
    <x v="1"/>
    <n v="738"/>
    <s v="Dungeness River"/>
    <s v="Dungeness River"/>
    <s v="Clallam"/>
    <x v="0"/>
    <s v="Kitsap"/>
    <x v="4"/>
    <s v="South Puget Sound"/>
    <m/>
    <n v="12"/>
    <n v="102.48"/>
  </r>
  <r>
    <n v="707"/>
    <x v="10"/>
    <s v="Freshwater"/>
    <x v="1"/>
    <x v="1"/>
    <n v="746"/>
    <s v="Green (Duwamish River) (King Co.)"/>
    <s v="Green - Duwamish River"/>
    <s v="King"/>
    <x v="3"/>
    <s v="King"/>
    <x v="3"/>
    <s v="South Puget Sound"/>
    <m/>
    <n v="7.6"/>
    <n v="64.903999999999996"/>
  </r>
  <r>
    <n v="708"/>
    <x v="10"/>
    <s v="Freshwater"/>
    <x v="1"/>
    <x v="1"/>
    <n v="746"/>
    <s v="Green (Duwamish River) (King Co.)"/>
    <s v="Green - Duwamish River"/>
    <s v="King"/>
    <x v="3"/>
    <s v="Pierce"/>
    <x v="7"/>
    <s v="South Puget Sound"/>
    <m/>
    <n v="68.400000000000006"/>
    <n v="584.13599999999997"/>
  </r>
  <r>
    <n v="3675"/>
    <x v="10"/>
    <s v="Freshwater"/>
    <x v="1"/>
    <x v="1"/>
    <n v="752"/>
    <s v="Hoko River"/>
    <s v="Hoko River"/>
    <s v="Clallam"/>
    <x v="0"/>
    <s v="Clallam"/>
    <x v="0"/>
    <s v="Strait of Juan de Fuca"/>
    <m/>
    <n v="34"/>
    <n v="290.36"/>
  </r>
  <r>
    <n v="3099"/>
    <x v="10"/>
    <s v="Freshwater"/>
    <x v="1"/>
    <x v="1"/>
    <n v="790"/>
    <s v="Nooksack River, No. Fork"/>
    <s v="Nooksack River, No. Fork"/>
    <s v="Whatcom"/>
    <x v="1"/>
    <s v="Whatcom"/>
    <x v="11"/>
    <s v="North Puget Sound"/>
    <m/>
    <n v="12"/>
    <n v="102.48"/>
  </r>
  <r>
    <n v="3100"/>
    <x v="10"/>
    <s v="Freshwater"/>
    <x v="1"/>
    <x v="1"/>
    <n v="794"/>
    <s v="Nooksack River, below North Fork"/>
    <s v="Nooksack River, below North Fork"/>
    <s v="Whatcom"/>
    <x v="1"/>
    <s v="King"/>
    <x v="3"/>
    <s v="South Puget Sound"/>
    <m/>
    <n v="12"/>
    <n v="102.48"/>
  </r>
  <r>
    <n v="3678"/>
    <x v="10"/>
    <s v="Freshwater"/>
    <x v="1"/>
    <x v="1"/>
    <n v="818"/>
    <s v="Sekiu River"/>
    <s v="Sekiu River"/>
    <s v="Clallam"/>
    <x v="0"/>
    <s v="Kitsap"/>
    <x v="4"/>
    <s v="South Puget Sound"/>
    <m/>
    <n v="12"/>
    <n v="102.48"/>
  </r>
  <r>
    <n v="2130"/>
    <x v="10"/>
    <s v="Freshwater"/>
    <x v="1"/>
    <x v="1"/>
    <n v="826"/>
    <s v="Cascade River"/>
    <s v="Cascade River"/>
    <s v="Skagit"/>
    <x v="1"/>
    <s v="King"/>
    <x v="3"/>
    <s v="South Puget Sound"/>
    <m/>
    <n v="12"/>
    <n v="102.48"/>
  </r>
  <r>
    <n v="1381"/>
    <x v="10"/>
    <s v="Freshwater"/>
    <x v="1"/>
    <x v="1"/>
    <n v="830"/>
    <s v="Skagit River"/>
    <s v="Skagit River"/>
    <s v="Skagit/Whatcom"/>
    <x v="2"/>
    <s v="Other"/>
    <x v="6"/>
    <s v="Non Puget Sound"/>
    <m/>
    <n v="8"/>
    <n v="68.319999999999993"/>
  </r>
  <r>
    <n v="1380"/>
    <x v="10"/>
    <s v="Freshwater"/>
    <x v="1"/>
    <x v="1"/>
    <n v="830"/>
    <s v="Skagit River"/>
    <s v="Skagit River"/>
    <s v="Skagit/Whatcom"/>
    <x v="2"/>
    <s v="Snohomish"/>
    <x v="9"/>
    <s v="North Puget Sound"/>
    <m/>
    <n v="8"/>
    <n v="68.319999999999993"/>
  </r>
  <r>
    <n v="1376"/>
    <x v="10"/>
    <s v="Freshwater"/>
    <x v="1"/>
    <x v="1"/>
    <n v="830"/>
    <s v="Skagit River"/>
    <s v="Skagit River"/>
    <s v="Skagit/Whatcom"/>
    <x v="2"/>
    <s v="Whatcom"/>
    <x v="11"/>
    <s v="North Puget Sound"/>
    <m/>
    <n v="16"/>
    <n v="136.63999999999999"/>
  </r>
  <r>
    <n v="2363"/>
    <x v="10"/>
    <s v="Freshwater"/>
    <x v="1"/>
    <x v="1"/>
    <n v="844"/>
    <s v="Skykomish River"/>
    <s v="Skykomish River"/>
    <s v="Snohomish"/>
    <x v="2"/>
    <s v="Island"/>
    <x v="1"/>
    <s v="North Puget Sound"/>
    <m/>
    <n v="15.478260869565201"/>
    <n v="132.18434782608699"/>
  </r>
  <r>
    <n v="2364"/>
    <x v="10"/>
    <s v="Freshwater"/>
    <x v="1"/>
    <x v="1"/>
    <n v="844"/>
    <s v="Skykomish River"/>
    <s v="Skykomish River"/>
    <s v="Snohomish"/>
    <x v="2"/>
    <s v="King"/>
    <x v="3"/>
    <s v="South Puget Sound"/>
    <m/>
    <n v="495.304347826087"/>
    <n v="4229.8991304347801"/>
  </r>
  <r>
    <n v="2365"/>
    <x v="10"/>
    <s v="Freshwater"/>
    <x v="1"/>
    <x v="1"/>
    <n v="844"/>
    <s v="Skykomish River"/>
    <s v="Skykomish River"/>
    <s v="Snohomish"/>
    <x v="2"/>
    <s v="Other"/>
    <x v="6"/>
    <s v="Non Puget Sound"/>
    <m/>
    <n v="15.478260869565201"/>
    <n v="132.18434782608699"/>
  </r>
  <r>
    <n v="2362"/>
    <x v="10"/>
    <s v="Freshwater"/>
    <x v="1"/>
    <x v="1"/>
    <n v="844"/>
    <s v="Skykomish River"/>
    <s v="Skykomish River"/>
    <s v="Snohomish"/>
    <x v="2"/>
    <s v="Snohomish"/>
    <x v="9"/>
    <s v="North Puget Sound"/>
    <m/>
    <n v="541.73913043478296"/>
    <n v="4626.4521739130496"/>
  </r>
  <r>
    <n v="2366"/>
    <x v="10"/>
    <s v="Freshwater"/>
    <x v="1"/>
    <x v="1"/>
    <n v="846"/>
    <s v="Skykomish River, No. Fork"/>
    <s v="Skykomish River, No. Fork"/>
    <s v="Snohomish"/>
    <x v="2"/>
    <s v="Snohomish"/>
    <x v="9"/>
    <s v="North Puget Sound"/>
    <m/>
    <n v="66"/>
    <n v="563.64"/>
  </r>
  <r>
    <n v="2427"/>
    <x v="10"/>
    <s v="Freshwater"/>
    <x v="1"/>
    <x v="1"/>
    <n v="850"/>
    <s v="Snohomish River"/>
    <s v="Snohomish River"/>
    <s v="Snohomish"/>
    <x v="2"/>
    <s v="Other"/>
    <x v="6"/>
    <s v="Non Puget Sound"/>
    <m/>
    <n v="16"/>
    <n v="136.63999999999999"/>
  </r>
  <r>
    <n v="2367"/>
    <x v="10"/>
    <s v="Freshwater"/>
    <x v="1"/>
    <x v="1"/>
    <n v="850"/>
    <s v="Snohomish River"/>
    <s v="Snohomish River"/>
    <s v="Snohomish"/>
    <x v="2"/>
    <s v="Snohomish"/>
    <x v="9"/>
    <s v="North Puget Sound"/>
    <m/>
    <n v="48"/>
    <n v="409.92"/>
  </r>
  <r>
    <n v="264"/>
    <x v="10"/>
    <s v="Freshwater"/>
    <x v="1"/>
    <x v="1"/>
    <n v="852"/>
    <s v="Snoqualmie River"/>
    <s v="Snoqualmie River"/>
    <s v="Snohomish/King"/>
    <x v="2"/>
    <s v="King"/>
    <x v="3"/>
    <s v="South Puget Sound"/>
    <m/>
    <n v="92"/>
    <n v="785.68"/>
  </r>
  <r>
    <n v="2148"/>
    <x v="10"/>
    <s v="Freshwater"/>
    <x v="1"/>
    <x v="1"/>
    <n v="856"/>
    <s v="Tokul Creek"/>
    <s v="Tokul Creek"/>
    <s v="King"/>
    <x v="2"/>
    <s v="King"/>
    <x v="3"/>
    <s v="South Puget Sound"/>
    <m/>
    <n v="50"/>
    <n v="427"/>
  </r>
  <r>
    <n v="2466"/>
    <x v="10"/>
    <s v="Freshwater"/>
    <x v="1"/>
    <x v="1"/>
    <n v="860"/>
    <s v="Wallace River"/>
    <s v="Wallace River"/>
    <s v="Snohomish"/>
    <x v="2"/>
    <s v="King"/>
    <x v="3"/>
    <s v="South Puget Sound"/>
    <m/>
    <n v="48"/>
    <n v="409.92"/>
  </r>
  <r>
    <n v="2465"/>
    <x v="10"/>
    <s v="Freshwater"/>
    <x v="1"/>
    <x v="1"/>
    <n v="860"/>
    <s v="Wallace River"/>
    <s v="Wallace River"/>
    <s v="Snohomish"/>
    <x v="2"/>
    <s v="Snohomish"/>
    <x v="9"/>
    <s v="North Puget Sound"/>
    <m/>
    <n v="16"/>
    <n v="136.63999999999999"/>
  </r>
  <r>
    <n v="2468"/>
    <x v="10"/>
    <s v="Freshwater"/>
    <x v="1"/>
    <x v="1"/>
    <n v="872"/>
    <s v="Stillaguamish R, No. Fork"/>
    <s v="Stillaguamish R, No. Fork"/>
    <s v="Snohomish"/>
    <x v="2"/>
    <s v="King"/>
    <x v="3"/>
    <s v="South Puget Sound"/>
    <m/>
    <n v="24"/>
    <n v="204.96"/>
  </r>
  <r>
    <n v="2467"/>
    <x v="10"/>
    <s v="Freshwater"/>
    <x v="1"/>
    <x v="1"/>
    <n v="872"/>
    <s v="Stillaguamish R, No. Fork"/>
    <s v="Stillaguamish R, No. Fork"/>
    <s v="Snohomish"/>
    <x v="2"/>
    <s v="Snohomish"/>
    <x v="9"/>
    <s v="North Puget Sound"/>
    <m/>
    <n v="48"/>
    <n v="409.92"/>
  </r>
  <r>
    <n v="2470"/>
    <x v="10"/>
    <s v="Freshwater"/>
    <x v="1"/>
    <x v="1"/>
    <n v="876"/>
    <s v="Stillaguamish River"/>
    <s v="Stillaguamish River"/>
    <s v="Snohomish"/>
    <x v="2"/>
    <s v="Island"/>
    <x v="1"/>
    <s v="North Puget Sound"/>
    <m/>
    <n v="10.909090909090899"/>
    <n v="93.1636363636363"/>
  </r>
  <r>
    <n v="2469"/>
    <x v="10"/>
    <s v="Freshwater"/>
    <x v="1"/>
    <x v="1"/>
    <n v="876"/>
    <s v="Stillaguamish River"/>
    <s v="Stillaguamish River"/>
    <s v="Snohomish"/>
    <x v="2"/>
    <s v="Snohomish"/>
    <x v="9"/>
    <s v="North Puget Sound"/>
    <m/>
    <n v="109.09090909090899"/>
    <n v="931.63636363636294"/>
  </r>
  <r>
    <n v="3699"/>
    <x v="11"/>
    <s v="Freshwater"/>
    <x v="1"/>
    <x v="1"/>
    <n v="738"/>
    <s v="Dungeness River"/>
    <s v="Dungeness River"/>
    <s v="Clallam"/>
    <x v="0"/>
    <s v="Clallam"/>
    <x v="0"/>
    <s v="Strait of Juan de Fuca"/>
    <m/>
    <n v="24"/>
    <n v="445.2"/>
  </r>
  <r>
    <n v="709"/>
    <x v="11"/>
    <s v="Freshwater"/>
    <x v="1"/>
    <x v="1"/>
    <n v="746"/>
    <s v="Green (Duwamish River) (King Co.)"/>
    <s v="Green - Duwamish River"/>
    <s v="King"/>
    <x v="3"/>
    <s v="King"/>
    <x v="3"/>
    <s v="South Puget Sound"/>
    <m/>
    <n v="44.307692307692299"/>
    <n v="821.90769230769195"/>
  </r>
  <r>
    <n v="711"/>
    <x v="11"/>
    <s v="Freshwater"/>
    <x v="1"/>
    <x v="1"/>
    <n v="746"/>
    <s v="Green (Duwamish River) (King Co.)"/>
    <s v="Green - Duwamish River"/>
    <s v="King"/>
    <x v="3"/>
    <s v="Kitsap"/>
    <x v="4"/>
    <s v="South Puget Sound"/>
    <m/>
    <n v="11.0769230769231"/>
    <n v="205.47692307692299"/>
  </r>
  <r>
    <n v="710"/>
    <x v="11"/>
    <s v="Freshwater"/>
    <x v="1"/>
    <x v="1"/>
    <n v="746"/>
    <s v="Green (Duwamish River) (King Co.)"/>
    <s v="Green - Duwamish River"/>
    <s v="King"/>
    <x v="3"/>
    <s v="Pierce"/>
    <x v="7"/>
    <s v="South Puget Sound"/>
    <m/>
    <n v="88.615384615384599"/>
    <n v="1643.81538461538"/>
  </r>
  <r>
    <n v="1096"/>
    <x v="11"/>
    <s v="Freshwater"/>
    <x v="1"/>
    <x v="1"/>
    <n v="804"/>
    <s v="Puyallup River"/>
    <s v="Puyallup River"/>
    <s v="Pierce"/>
    <x v="3"/>
    <s v="Pierce"/>
    <x v="7"/>
    <s v="South Puget Sound"/>
    <m/>
    <n v="12"/>
    <n v="222.6"/>
  </r>
  <r>
    <n v="1095"/>
    <x v="11"/>
    <s v="Freshwater"/>
    <x v="1"/>
    <x v="1"/>
    <n v="804"/>
    <s v="Puyallup River"/>
    <s v="Puyallup River"/>
    <s v="Pierce"/>
    <x v="3"/>
    <s v="Snohomish"/>
    <x v="9"/>
    <s v="North Puget Sound"/>
    <m/>
    <n v="0"/>
    <n v="0"/>
  </r>
  <r>
    <n v="3705"/>
    <x v="11"/>
    <s v="Freshwater"/>
    <x v="1"/>
    <x v="1"/>
    <n v="818"/>
    <s v="Sekiu River"/>
    <s v="Sekiu River"/>
    <s v="Clallam"/>
    <x v="0"/>
    <s v="Snohomish"/>
    <x v="9"/>
    <s v="North Puget Sound"/>
    <m/>
    <n v="12"/>
    <n v="222.6"/>
  </r>
  <r>
    <n v="2472"/>
    <x v="11"/>
    <s v="Freshwater"/>
    <x v="1"/>
    <x v="1"/>
    <n v="844"/>
    <s v="Skykomish River"/>
    <s v="Skykomish River"/>
    <s v="Snohomish"/>
    <x v="2"/>
    <s v="King"/>
    <x v="3"/>
    <s v="South Puget Sound"/>
    <m/>
    <n v="917.64705882352996"/>
    <n v="17022.352941176501"/>
  </r>
  <r>
    <n v="2474"/>
    <x v="11"/>
    <s v="Freshwater"/>
    <x v="1"/>
    <x v="1"/>
    <n v="844"/>
    <s v="Skykomish River"/>
    <s v="Skykomish River"/>
    <s v="Snohomish"/>
    <x v="2"/>
    <s v="Kitsap"/>
    <x v="4"/>
    <s v="South Puget Sound"/>
    <m/>
    <n v="14.3382352941177"/>
    <n v="265.974264705883"/>
  </r>
  <r>
    <n v="2475"/>
    <x v="11"/>
    <s v="Freshwater"/>
    <x v="1"/>
    <x v="1"/>
    <n v="844"/>
    <s v="Skykomish River"/>
    <s v="Skykomish River"/>
    <s v="Snohomish"/>
    <x v="2"/>
    <s v="Other"/>
    <x v="6"/>
    <s v="Non Puget Sound"/>
    <m/>
    <n v="14.3382352941177"/>
    <n v="265.974264705883"/>
  </r>
  <r>
    <n v="2473"/>
    <x v="11"/>
    <s v="Freshwater"/>
    <x v="1"/>
    <x v="1"/>
    <n v="844"/>
    <s v="Skykomish River"/>
    <s v="Skykomish River"/>
    <s v="Snohomish"/>
    <x v="2"/>
    <s v="Pierce"/>
    <x v="7"/>
    <s v="South Puget Sound"/>
    <m/>
    <n v="57.352941176470601"/>
    <n v="1063.89705882353"/>
  </r>
  <r>
    <n v="2471"/>
    <x v="11"/>
    <s v="Freshwater"/>
    <x v="1"/>
    <x v="1"/>
    <n v="844"/>
    <s v="Skykomish River"/>
    <s v="Skykomish River"/>
    <s v="Snohomish"/>
    <x v="2"/>
    <s v="Snohomish"/>
    <x v="9"/>
    <s v="North Puget Sound"/>
    <m/>
    <n v="946.32352941176498"/>
    <n v="17554.301470588201"/>
  </r>
  <r>
    <n v="2582"/>
    <x v="11"/>
    <s v="Freshwater"/>
    <x v="1"/>
    <x v="1"/>
    <n v="850"/>
    <s v="Snohomish River"/>
    <s v="Snohomish River"/>
    <s v="Snohomish"/>
    <x v="2"/>
    <s v="King"/>
    <x v="3"/>
    <s v="South Puget Sound"/>
    <m/>
    <n v="14.7777777777778"/>
    <n v="274.12777777777802"/>
  </r>
  <r>
    <n v="2539"/>
    <x v="11"/>
    <s v="Freshwater"/>
    <x v="1"/>
    <x v="1"/>
    <n v="850"/>
    <s v="Snohomish River"/>
    <s v="Snohomish River"/>
    <s v="Snohomish"/>
    <x v="2"/>
    <s v="Snohomish"/>
    <x v="9"/>
    <s v="North Puget Sound"/>
    <m/>
    <n v="251.222222222222"/>
    <n v="4660.1722222222197"/>
  </r>
  <r>
    <n v="265"/>
    <x v="11"/>
    <s v="Freshwater"/>
    <x v="1"/>
    <x v="1"/>
    <n v="852"/>
    <s v="Snoqualmie River"/>
    <s v="Snoqualmie River"/>
    <s v="Snohomish/King"/>
    <x v="2"/>
    <s v="King"/>
    <x v="3"/>
    <s v="South Puget Sound"/>
    <m/>
    <n v="506.222222222222"/>
    <n v="9390.4222222222197"/>
  </r>
  <r>
    <n v="266"/>
    <x v="11"/>
    <s v="Freshwater"/>
    <x v="1"/>
    <x v="1"/>
    <n v="852"/>
    <s v="Snoqualmie River"/>
    <s v="Snoqualmie River"/>
    <s v="Snohomish/King"/>
    <x v="2"/>
    <s v="Pierce"/>
    <x v="7"/>
    <s v="South Puget Sound"/>
    <m/>
    <n v="29.7777777777778"/>
    <n v="552.37777777777796"/>
  </r>
  <r>
    <n v="2150"/>
    <x v="11"/>
    <s v="Freshwater"/>
    <x v="1"/>
    <x v="1"/>
    <n v="856"/>
    <s v="Tokul Creek"/>
    <s v="Tokul Creek"/>
    <s v="King"/>
    <x v="2"/>
    <s v="King"/>
    <x v="3"/>
    <s v="South Puget Sound"/>
    <m/>
    <n v="819.677419354839"/>
    <n v="15205.016129032299"/>
  </r>
  <r>
    <n v="2149"/>
    <x v="11"/>
    <s v="Freshwater"/>
    <x v="1"/>
    <x v="1"/>
    <n v="856"/>
    <s v="Tokul Creek"/>
    <s v="Tokul Creek"/>
    <s v="King"/>
    <x v="2"/>
    <s v="Snohomish"/>
    <x v="9"/>
    <s v="North Puget Sound"/>
    <m/>
    <n v="104.322580645161"/>
    <n v="1935.1838709677399"/>
  </r>
  <r>
    <n v="2584"/>
    <x v="11"/>
    <s v="Freshwater"/>
    <x v="1"/>
    <x v="1"/>
    <n v="860"/>
    <s v="Wallace River"/>
    <s v="Wallace River"/>
    <s v="Snohomish"/>
    <x v="2"/>
    <s v="King"/>
    <x v="3"/>
    <s v="South Puget Sound"/>
    <m/>
    <n v="176.727272727273"/>
    <n v="3278.2909090909102"/>
  </r>
  <r>
    <n v="2583"/>
    <x v="11"/>
    <s v="Freshwater"/>
    <x v="1"/>
    <x v="1"/>
    <n v="860"/>
    <s v="Wallace River"/>
    <s v="Wallace River"/>
    <s v="Snohomish"/>
    <x v="2"/>
    <s v="Snohomish"/>
    <x v="9"/>
    <s v="North Puget Sound"/>
    <m/>
    <n v="309.27272727272702"/>
    <n v="5737.0090909090904"/>
  </r>
  <r>
    <n v="2585"/>
    <x v="11"/>
    <s v="Freshwater"/>
    <x v="1"/>
    <x v="1"/>
    <n v="866"/>
    <s v="Canyon Creek"/>
    <s v="Canyon Creek"/>
    <s v="Snohomish"/>
    <x v="2"/>
    <s v="Snohomish"/>
    <x v="9"/>
    <s v="North Puget Sound"/>
    <m/>
    <n v="12"/>
    <n v="222.6"/>
  </r>
  <r>
    <n v="2587"/>
    <x v="11"/>
    <s v="Freshwater"/>
    <x v="1"/>
    <x v="1"/>
    <n v="872"/>
    <s v="Stillaguamish R, No. Fork"/>
    <s v="Stillaguamish R, No. Fork"/>
    <s v="Snohomish"/>
    <x v="2"/>
    <s v="King"/>
    <x v="3"/>
    <s v="South Puget Sound"/>
    <m/>
    <n v="23.891891891891898"/>
    <n v="443.194594594595"/>
  </r>
  <r>
    <n v="2586"/>
    <x v="11"/>
    <s v="Freshwater"/>
    <x v="1"/>
    <x v="1"/>
    <n v="872"/>
    <s v="Stillaguamish R, No. Fork"/>
    <s v="Stillaguamish R, No. Fork"/>
    <s v="Snohomish"/>
    <x v="2"/>
    <s v="Snohomish"/>
    <x v="9"/>
    <s v="North Puget Sound"/>
    <m/>
    <n v="418.10810810810801"/>
    <n v="7755.9054054054004"/>
  </r>
  <r>
    <n v="2588"/>
    <x v="11"/>
    <s v="Freshwater"/>
    <x v="1"/>
    <x v="1"/>
    <n v="876"/>
    <s v="Stillaguamish River"/>
    <s v="Stillaguamish River"/>
    <s v="Snohomish"/>
    <x v="2"/>
    <s v="Snohomish"/>
    <x v="9"/>
    <s v="North Puget Sound"/>
    <m/>
    <n v="156"/>
    <n v="2893.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4">
  <r>
    <n v="3120"/>
    <x v="0"/>
    <s v="Marine"/>
    <x v="0"/>
    <x v="0"/>
    <n v="5"/>
    <s v="Area 5: W Juan de Fuca"/>
    <s v="Area 5: W Juan de Fuca"/>
    <s v="NA"/>
    <x v="0"/>
    <s v="Clallam"/>
    <s v="11Clallam"/>
    <s v="Strait of Juan de Fuca"/>
    <s v="03Strait of Juan de Fuca"/>
    <n v="2398.93354743083"/>
    <n v="4507.4474530632397"/>
    <n v="2398.93354743083"/>
    <n v="4507.4474530632397"/>
  </r>
  <r>
    <n v="3004"/>
    <x v="0"/>
    <s v="Marine"/>
    <x v="0"/>
    <x v="0"/>
    <n v="5"/>
    <s v="Area 5: W Juan de Fuca"/>
    <s v="Area 5: W Juan de Fuca"/>
    <s v="NA"/>
    <x v="0"/>
    <s v="Island"/>
    <s v="04Island"/>
    <s v="North Puget Sound"/>
    <s v="01North Puget Sound"/>
    <n v="164.11215415019799"/>
    <n v="308.35656620553402"/>
    <n v="164.11215415019799"/>
    <n v="308.35656620553402"/>
  </r>
  <r>
    <n v="3121"/>
    <x v="0"/>
    <s v="Marine"/>
    <x v="0"/>
    <x v="0"/>
    <n v="5"/>
    <s v="Area 5: W Juan de Fuca"/>
    <s v="Area 5: W Juan de Fuca"/>
    <s v="NA"/>
    <x v="0"/>
    <s v="Jefferson"/>
    <s v="12Jefferson"/>
    <s v="Strait of Juan de Fuca"/>
    <s v="03Strait of Juan de Fuca"/>
    <n v="651.62178853754995"/>
    <n v="1224.3569540513799"/>
    <n v="651.62178853754995"/>
    <n v="1224.3569540513799"/>
  </r>
  <r>
    <n v="3005"/>
    <x v="0"/>
    <s v="Marine"/>
    <x v="0"/>
    <x v="0"/>
    <n v="5"/>
    <s v="Area 5: W Juan de Fuca"/>
    <s v="Area 5: W Juan de Fuca"/>
    <s v="NA"/>
    <x v="0"/>
    <s v="King"/>
    <s v="06King"/>
    <s v="South Puget Sound"/>
    <s v="02South Puget Sound"/>
    <n v="3610.4673913043498"/>
    <n v="6783.8444565217396"/>
    <n v="3610.4673913043498"/>
    <n v="6783.8444565217396"/>
  </r>
  <r>
    <n v="3119"/>
    <x v="0"/>
    <s v="Marine"/>
    <x v="0"/>
    <x v="0"/>
    <n v="5"/>
    <s v="Area 5: W Juan de Fuca"/>
    <s v="Area 5: W Juan de Fuca"/>
    <s v="NA"/>
    <x v="0"/>
    <s v="Kitsap"/>
    <s v="10Kitsap"/>
    <s v="South Puget Sound"/>
    <s v="02South Puget Sound"/>
    <n v="1559.06546442688"/>
    <n v="2929.3873789525701"/>
    <n v="1559.06546442688"/>
    <n v="2929.3873789525701"/>
  </r>
  <r>
    <n v="3118"/>
    <x v="0"/>
    <s v="Marine"/>
    <x v="0"/>
    <x v="0"/>
    <n v="5"/>
    <s v="Area 5: W Juan de Fuca"/>
    <s v="Area 5: W Juan de Fuca"/>
    <s v="NA"/>
    <x v="0"/>
    <s v="Mason"/>
    <s v="09Mason"/>
    <s v="South Puget Sound"/>
    <s v="02South Puget Sound"/>
    <n v="516.47060276679804"/>
    <n v="970.41625247035597"/>
    <n v="516.47060276679804"/>
    <n v="970.41625247035597"/>
  </r>
  <r>
    <n v="3122"/>
    <x v="0"/>
    <s v="Marine"/>
    <x v="0"/>
    <x v="0"/>
    <n v="5"/>
    <s v="Area 5: W Juan de Fuca"/>
    <s v="Area 5: W Juan de Fuca"/>
    <s v="NA"/>
    <x v="0"/>
    <s v="Other"/>
    <s v="20Other"/>
    <s v="Non Puget Sound"/>
    <s v="07Non Puget Sound"/>
    <n v="4682.0232213438703"/>
    <n v="8797.2314476284591"/>
    <n v="4682.0232213438703"/>
    <n v="8797.2314476284591"/>
  </r>
  <r>
    <n v="3006"/>
    <x v="0"/>
    <s v="Marine"/>
    <x v="0"/>
    <x v="0"/>
    <n v="5"/>
    <s v="Area 5: W Juan de Fuca"/>
    <s v="Area 5: W Juan de Fuca"/>
    <s v="NA"/>
    <x v="0"/>
    <s v="Pierce"/>
    <s v="07Pierce"/>
    <s v="South Puget Sound"/>
    <s v="02South Puget Sound"/>
    <n v="3393.2601284584998"/>
    <n v="6375.7254718379399"/>
    <n v="3393.2601284584998"/>
    <n v="6375.7254718379399"/>
  </r>
  <r>
    <n v="3002"/>
    <x v="0"/>
    <s v="Marine"/>
    <x v="0"/>
    <x v="0"/>
    <n v="5"/>
    <s v="Area 5: W Juan de Fuca"/>
    <s v="Area 5: W Juan de Fuca"/>
    <s v="NA"/>
    <x v="0"/>
    <s v="Skagit"/>
    <s v="02Skagit"/>
    <s v="North Puget Sound"/>
    <s v="01North Puget Sound"/>
    <n v="77.229249011857704"/>
    <n v="145.10897233201601"/>
    <n v="77.229249011857704"/>
    <n v="145.10897233201601"/>
  </r>
  <r>
    <n v="3003"/>
    <x v="0"/>
    <s v="Marine"/>
    <x v="0"/>
    <x v="0"/>
    <n v="5"/>
    <s v="Area 5: W Juan de Fuca"/>
    <s v="Area 5: W Juan de Fuca"/>
    <s v="NA"/>
    <x v="0"/>
    <s v="Snohomish"/>
    <s v="03Snohomish"/>
    <s v="North Puget Sound"/>
    <s v="01North Puget Sound"/>
    <n v="1423.9142786561299"/>
    <n v="2675.4466773715399"/>
    <n v="1423.9142786561299"/>
    <n v="2675.4466773715399"/>
  </r>
  <r>
    <n v="3007"/>
    <x v="0"/>
    <s v="Marine"/>
    <x v="0"/>
    <x v="0"/>
    <n v="5"/>
    <s v="Area 5: W Juan de Fuca"/>
    <s v="Area 5: W Juan de Fuca"/>
    <s v="NA"/>
    <x v="0"/>
    <s v="Thurston"/>
    <s v="08Thurston"/>
    <s v="South Puget Sound"/>
    <s v="02South Puget Sound"/>
    <n v="675.75592885375499"/>
    <n v="1269.70350790514"/>
    <n v="675.75592885375499"/>
    <n v="1269.70350790514"/>
  </r>
  <r>
    <n v="1556"/>
    <x v="0"/>
    <s v="Marine"/>
    <x v="0"/>
    <x v="0"/>
    <n v="5"/>
    <s v="Area 5: W Juan de Fuca"/>
    <s v="Area 5: W Juan de Fuca"/>
    <s v="NA"/>
    <x v="0"/>
    <s v="Whatcom"/>
    <s v="01Whatcom"/>
    <s v="North Puget Sound"/>
    <s v="01North Puget Sound"/>
    <n v="386.14624505928901"/>
    <n v="725.54486166007905"/>
    <n v="386.14624505928901"/>
    <n v="725.54486166007905"/>
  </r>
  <r>
    <n v="3530"/>
    <x v="1"/>
    <s v="Marine"/>
    <x v="0"/>
    <x v="0"/>
    <n v="5"/>
    <s v="Area 5: W Juan de Fuca"/>
    <s v="Area 5: W Juan de Fuca"/>
    <s v="NA"/>
    <x v="0"/>
    <s v="Clallam"/>
    <s v="11Clallam"/>
    <s v="Strait of Juan de Fuca"/>
    <s v="03Strait of Juan de Fuca"/>
    <n v="6191.2241902308897"/>
    <n v="5365.1922081380499"/>
    <n v="6191.2241902308897"/>
    <n v="5365.1922081380499"/>
  </r>
  <r>
    <n v="3429"/>
    <x v="1"/>
    <s v="Marine"/>
    <x v="0"/>
    <x v="0"/>
    <n v="5"/>
    <s v="Area 5: W Juan de Fuca"/>
    <s v="Area 5: W Juan de Fuca"/>
    <s v="NA"/>
    <x v="0"/>
    <s v="Island"/>
    <s v="04Island"/>
    <s v="North Puget Sound"/>
    <s v="01North Puget Sound"/>
    <n v="1131.20599153531"/>
    <n v="980.28069814703201"/>
    <n v="1131.20599153531"/>
    <n v="980.28069814703201"/>
  </r>
  <r>
    <n v="3578"/>
    <x v="1"/>
    <s v="Marine"/>
    <x v="0"/>
    <x v="0"/>
    <n v="5"/>
    <s v="Area 5: W Juan de Fuca"/>
    <s v="Area 5: W Juan de Fuca"/>
    <s v="NA"/>
    <x v="0"/>
    <s v="Jefferson"/>
    <s v="12Jefferson"/>
    <s v="Strait of Juan de Fuca"/>
    <s v="03Strait of Juan de Fuca"/>
    <n v="1368.3943445991599"/>
    <n v="1185.8234251778599"/>
    <n v="1368.3943445991599"/>
    <n v="1185.8234251778599"/>
  </r>
  <r>
    <n v="3431"/>
    <x v="1"/>
    <s v="Marine"/>
    <x v="0"/>
    <x v="0"/>
    <n v="5"/>
    <s v="Area 5: W Juan de Fuca"/>
    <s v="Area 5: W Juan de Fuca"/>
    <s v="NA"/>
    <x v="0"/>
    <s v="King"/>
    <s v="06King"/>
    <s v="South Puget Sound"/>
    <s v="02South Puget Sound"/>
    <n v="9663.9049491914302"/>
    <n v="8374.5485449227599"/>
    <n v="9663.9049491914302"/>
    <n v="8374.5485449227599"/>
  </r>
  <r>
    <n v="3529"/>
    <x v="1"/>
    <s v="Marine"/>
    <x v="0"/>
    <x v="0"/>
    <n v="5"/>
    <s v="Area 5: W Juan de Fuca"/>
    <s v="Area 5: W Juan de Fuca"/>
    <s v="NA"/>
    <x v="0"/>
    <s v="Kitsap"/>
    <s v="10Kitsap"/>
    <s v="South Puget Sound"/>
    <s v="02South Puget Sound"/>
    <n v="5820.2372790284498"/>
    <n v="5043.7023017564998"/>
    <n v="5820.2372790284498"/>
    <n v="5043.7023017564998"/>
  </r>
  <r>
    <n v="3485"/>
    <x v="1"/>
    <s v="Marine"/>
    <x v="0"/>
    <x v="0"/>
    <n v="5"/>
    <s v="Area 5: W Juan de Fuca"/>
    <s v="Area 5: W Juan de Fuca"/>
    <s v="NA"/>
    <x v="0"/>
    <s v="Mason"/>
    <s v="09Mason"/>
    <s v="South Puget Sound"/>
    <s v="02South Puget Sound"/>
    <n v="2590.8266257744199"/>
    <n v="2245.1590183367498"/>
    <n v="2590.8266257744199"/>
    <n v="2245.1590183367498"/>
  </r>
  <r>
    <n v="3579"/>
    <x v="1"/>
    <s v="Marine"/>
    <x v="0"/>
    <x v="0"/>
    <n v="5"/>
    <s v="Area 5: W Juan de Fuca"/>
    <s v="Area 5: W Juan de Fuca"/>
    <s v="NA"/>
    <x v="0"/>
    <s v="Other"/>
    <s v="20Other"/>
    <s v="Non Puget Sound"/>
    <s v="07Non Puget Sound"/>
    <n v="15630.1042916438"/>
    <n v="13544.738678698201"/>
    <n v="15630.1042916438"/>
    <n v="13544.738678698201"/>
  </r>
  <r>
    <n v="3432"/>
    <x v="1"/>
    <s v="Marine"/>
    <x v="0"/>
    <x v="0"/>
    <n v="5"/>
    <s v="Area 5: W Juan de Fuca"/>
    <s v="Area 5: W Juan de Fuca"/>
    <s v="NA"/>
    <x v="0"/>
    <s v="Pierce"/>
    <s v="07Pierce"/>
    <s v="South Puget Sound"/>
    <s v="02South Puget Sound"/>
    <n v="10655.230629945499"/>
    <n v="9233.6117373849393"/>
    <n v="10655.230629945499"/>
    <n v="9233.6117373849393"/>
  </r>
  <r>
    <n v="3430"/>
    <x v="1"/>
    <s v="Marine"/>
    <x v="0"/>
    <x v="0"/>
    <n v="5"/>
    <s v="Area 5: W Juan de Fuca"/>
    <s v="Area 5: W Juan de Fuca"/>
    <s v="NA"/>
    <x v="0"/>
    <s v="San Juan"/>
    <s v="05San Juan"/>
    <s v="North Puget Sound"/>
    <s v="01North Puget Sound"/>
    <n v="36.490515855977698"/>
    <n v="31.621958004743"/>
    <n v="36.490515855977698"/>
    <n v="31.621958004743"/>
  </r>
  <r>
    <n v="3427"/>
    <x v="1"/>
    <s v="Marine"/>
    <x v="0"/>
    <x v="0"/>
    <n v="5"/>
    <s v="Area 5: W Juan de Fuca"/>
    <s v="Area 5: W Juan de Fuca"/>
    <s v="NA"/>
    <x v="0"/>
    <s v="Skagit"/>
    <s v="02Skagit"/>
    <s v="North Puget Sound"/>
    <s v="01North Puget Sound"/>
    <n v="796.70959618884694"/>
    <n v="690.41274977022101"/>
    <n v="796.70959618884694"/>
    <n v="690.41274977022101"/>
  </r>
  <r>
    <n v="3428"/>
    <x v="1"/>
    <s v="Marine"/>
    <x v="0"/>
    <x v="0"/>
    <n v="5"/>
    <s v="Area 5: W Juan de Fuca"/>
    <s v="Area 5: W Juan de Fuca"/>
    <s v="NA"/>
    <x v="0"/>
    <s v="Snohomish"/>
    <s v="03Snohomish"/>
    <s v="North Puget Sound"/>
    <s v="01North Puget Sound"/>
    <n v="4068.6925179415198"/>
    <n v="3525.8483175288402"/>
    <n v="4068.6925179415198"/>
    <n v="3525.8483175288402"/>
  </r>
  <r>
    <n v="3484"/>
    <x v="1"/>
    <s v="Marine"/>
    <x v="0"/>
    <x v="0"/>
    <n v="5"/>
    <s v="Area 5: W Juan de Fuca"/>
    <s v="Area 5: W Juan de Fuca"/>
    <s v="NA"/>
    <x v="0"/>
    <s v="Thurston"/>
    <s v="08Thurston"/>
    <s v="South Puget Sound"/>
    <s v="02South Puget Sound"/>
    <n v="3436.1902431045701"/>
    <n v="2977.73437877996"/>
    <n v="3436.1902431045701"/>
    <n v="2977.73437877996"/>
  </r>
  <r>
    <n v="3426"/>
    <x v="1"/>
    <s v="Marine"/>
    <x v="0"/>
    <x v="0"/>
    <n v="5"/>
    <s v="Area 5: W Juan de Fuca"/>
    <s v="Area 5: W Juan de Fuca"/>
    <s v="NA"/>
    <x v="0"/>
    <s v="Whatcom"/>
    <s v="01Whatcom"/>
    <s v="North Puget Sound"/>
    <s v="01North Puget Sound"/>
    <n v="614.25701690895801"/>
    <n v="532.30295974650596"/>
    <n v="614.25701690895801"/>
    <n v="532.30295974650596"/>
  </r>
  <r>
    <n v="1343"/>
    <x v="2"/>
    <s v="Marine"/>
    <x v="0"/>
    <x v="0"/>
    <n v="5"/>
    <s v="Area 5: W Juan de Fuca"/>
    <s v="Area 5: W Juan de Fuca"/>
    <s v="NA"/>
    <x v="0"/>
    <s v="Clallam"/>
    <s v="11Clallam"/>
    <s v="Strait of Juan de Fuca"/>
    <s v="03Strait of Juan de Fuca"/>
    <n v="8862.8502994011997"/>
    <n v="7988.7952095808396"/>
    <n v="8862.8502994011997"/>
    <n v="7988.7952095808396"/>
  </r>
  <r>
    <n v="1326"/>
    <x v="2"/>
    <s v="Marine"/>
    <x v="0"/>
    <x v="0"/>
    <n v="5"/>
    <s v="Area 5: W Juan de Fuca"/>
    <s v="Area 5: W Juan de Fuca"/>
    <s v="NA"/>
    <x v="0"/>
    <s v="Island"/>
    <s v="04Island"/>
    <s v="North Puget Sound"/>
    <s v="01North Puget Sound"/>
    <n v="858.99001996007996"/>
    <n v="774.27634730538898"/>
    <n v="858.99001996007996"/>
    <n v="774.27634730538898"/>
  </r>
  <r>
    <n v="1344"/>
    <x v="2"/>
    <s v="Marine"/>
    <x v="0"/>
    <x v="0"/>
    <n v="5"/>
    <s v="Area 5: W Juan de Fuca"/>
    <s v="Area 5: W Juan de Fuca"/>
    <s v="NA"/>
    <x v="0"/>
    <s v="Jefferson"/>
    <s v="12Jefferson"/>
    <s v="Strait of Juan de Fuca"/>
    <s v="03Strait of Juan de Fuca"/>
    <n v="875.04590818363295"/>
    <n v="788.74880239520996"/>
    <n v="875.04590818363295"/>
    <n v="788.74880239520996"/>
  </r>
  <r>
    <n v="1327"/>
    <x v="2"/>
    <s v="Marine"/>
    <x v="0"/>
    <x v="0"/>
    <n v="5"/>
    <s v="Area 5: W Juan de Fuca"/>
    <s v="Area 5: W Juan de Fuca"/>
    <s v="NA"/>
    <x v="0"/>
    <s v="King"/>
    <s v="06King"/>
    <s v="South Puget Sound"/>
    <s v="02South Puget Sound"/>
    <n v="14145.2375249501"/>
    <n v="12750.2329341317"/>
    <n v="14145.2375249501"/>
    <n v="12750.2329341317"/>
  </r>
  <r>
    <n v="1342"/>
    <x v="2"/>
    <s v="Marine"/>
    <x v="0"/>
    <x v="0"/>
    <n v="5"/>
    <s v="Area 5: W Juan de Fuca"/>
    <s v="Area 5: W Juan de Fuca"/>
    <s v="NA"/>
    <x v="0"/>
    <s v="Kitsap"/>
    <s v="10Kitsap"/>
    <s v="South Puget Sound"/>
    <s v="02South Puget Sound"/>
    <n v="6430.3832335329398"/>
    <n v="5796.2182634730498"/>
    <n v="6430.3832335329398"/>
    <n v="5796.2182634730498"/>
  </r>
  <r>
    <n v="1341"/>
    <x v="2"/>
    <s v="Marine"/>
    <x v="0"/>
    <x v="0"/>
    <n v="5"/>
    <s v="Area 5: W Juan de Fuca"/>
    <s v="Area 5: W Juan de Fuca"/>
    <s v="NA"/>
    <x v="0"/>
    <s v="Mason"/>
    <s v="09Mason"/>
    <s v="South Puget Sound"/>
    <s v="02South Puget Sound"/>
    <n v="2785.69660678643"/>
    <n v="2510.9709580838298"/>
    <n v="2785.69660678643"/>
    <n v="2510.9709580838298"/>
  </r>
  <r>
    <n v="1345"/>
    <x v="2"/>
    <s v="Marine"/>
    <x v="0"/>
    <x v="0"/>
    <n v="5"/>
    <s v="Area 5: W Juan de Fuca"/>
    <s v="Area 5: W Juan de Fuca"/>
    <s v="NA"/>
    <x v="0"/>
    <s v="Other"/>
    <s v="20Other"/>
    <s v="Non Puget Sound"/>
    <s v="07Non Puget Sound"/>
    <n v="16071.9441117764"/>
    <n v="14486.927544910201"/>
    <n v="16071.9441117764"/>
    <n v="14486.927544910201"/>
  </r>
  <r>
    <n v="1339"/>
    <x v="2"/>
    <s v="Marine"/>
    <x v="0"/>
    <x v="0"/>
    <n v="5"/>
    <s v="Area 5: W Juan de Fuca"/>
    <s v="Area 5: W Juan de Fuca"/>
    <s v="NA"/>
    <x v="0"/>
    <s v="Pierce"/>
    <s v="07Pierce"/>
    <s v="South Puget Sound"/>
    <s v="02South Puget Sound"/>
    <n v="13302.3033932136"/>
    <n v="11990.429041916201"/>
    <n v="13302.3033932136"/>
    <n v="11990.429041916201"/>
  </r>
  <r>
    <n v="1324"/>
    <x v="2"/>
    <s v="Marine"/>
    <x v="0"/>
    <x v="0"/>
    <n v="5"/>
    <s v="Area 5: W Juan de Fuca"/>
    <s v="Area 5: W Juan de Fuca"/>
    <s v="NA"/>
    <x v="0"/>
    <s v="Skagit"/>
    <s v="02Skagit"/>
    <s v="North Puget Sound"/>
    <s v="01North Puget Sound"/>
    <n v="1212.2195608782399"/>
    <n v="1092.6703592814399"/>
    <n v="1212.2195608782399"/>
    <n v="1092.6703592814399"/>
  </r>
  <r>
    <n v="1325"/>
    <x v="2"/>
    <s v="Marine"/>
    <x v="0"/>
    <x v="0"/>
    <n v="5"/>
    <s v="Area 5: W Juan de Fuca"/>
    <s v="Area 5: W Juan de Fuca"/>
    <s v="NA"/>
    <x v="0"/>
    <s v="Snohomish"/>
    <s v="03Snohomish"/>
    <s v="North Puget Sound"/>
    <s v="01North Puget Sound"/>
    <n v="4142.4191616766502"/>
    <n v="3733.8934131736501"/>
    <n v="4142.4191616766502"/>
    <n v="3733.8934131736501"/>
  </r>
  <r>
    <n v="1340"/>
    <x v="2"/>
    <s v="Marine"/>
    <x v="0"/>
    <x v="0"/>
    <n v="5"/>
    <s v="Area 5: W Juan de Fuca"/>
    <s v="Area 5: W Juan de Fuca"/>
    <s v="NA"/>
    <x v="0"/>
    <s v="Thurston"/>
    <s v="08Thurston"/>
    <s v="South Puget Sound"/>
    <s v="02South Puget Sound"/>
    <n v="3443.9880239520999"/>
    <n v="3104.34161676647"/>
    <n v="3443.9880239520999"/>
    <n v="3104.34161676647"/>
  </r>
  <r>
    <n v="1323"/>
    <x v="2"/>
    <s v="Marine"/>
    <x v="0"/>
    <x v="0"/>
    <n v="5"/>
    <s v="Area 5: W Juan de Fuca"/>
    <s v="Area 5: W Juan de Fuca"/>
    <s v="NA"/>
    <x v="0"/>
    <s v="Whatcom"/>
    <s v="01Whatcom"/>
    <s v="North Puget Sound"/>
    <s v="01North Puget Sound"/>
    <n v="264.92215568862298"/>
    <n v="238.79550898203601"/>
    <n v="264.92215568862298"/>
    <n v="238.79550898203601"/>
  </r>
  <r>
    <n v="1653"/>
    <x v="3"/>
    <s v="Marine"/>
    <x v="0"/>
    <x v="0"/>
    <n v="5"/>
    <s v="Area 5: W Juan de Fuca"/>
    <s v="Area 5: W Juan de Fuca"/>
    <s v="NA"/>
    <x v="0"/>
    <s v="Clallam"/>
    <s v="11Clallam"/>
    <s v="Strait of Juan de Fuca"/>
    <s v="03Strait of Juan de Fuca"/>
    <n v="7278.99410781814"/>
    <n v="5786.7225652976904"/>
    <n v="7278.99410781814"/>
    <n v="5786.7225652976904"/>
  </r>
  <r>
    <n v="1505"/>
    <x v="3"/>
    <s v="Marine"/>
    <x v="0"/>
    <x v="0"/>
    <n v="5"/>
    <s v="Area 5: W Juan de Fuca"/>
    <s v="Area 5: W Juan de Fuca"/>
    <s v="NA"/>
    <x v="0"/>
    <s v="Island"/>
    <s v="04Island"/>
    <s v="North Puget Sound"/>
    <s v="01North Puget Sound"/>
    <n v="1095.0189077477801"/>
    <n v="870.52833523876495"/>
    <n v="1095.0189077477801"/>
    <n v="870.52833523876495"/>
  </r>
  <r>
    <n v="1654"/>
    <x v="3"/>
    <s v="Marine"/>
    <x v="0"/>
    <x v="0"/>
    <n v="5"/>
    <s v="Area 5: W Juan de Fuca"/>
    <s v="Area 5: W Juan de Fuca"/>
    <s v="NA"/>
    <x v="0"/>
    <s v="Jefferson"/>
    <s v="12Jefferson"/>
    <s v="Strait of Juan de Fuca"/>
    <s v="03Strait of Juan de Fuca"/>
    <n v="1463.8673819365099"/>
    <n v="1163.75893237182"/>
    <n v="1463.8673819365099"/>
    <n v="1163.75893237182"/>
  </r>
  <r>
    <n v="1506"/>
    <x v="3"/>
    <s v="Marine"/>
    <x v="0"/>
    <x v="0"/>
    <n v="5"/>
    <s v="Area 5: W Juan de Fuca"/>
    <s v="Area 5: W Juan de Fuca"/>
    <s v="NA"/>
    <x v="0"/>
    <s v="King"/>
    <s v="06King"/>
    <s v="South Puget Sound"/>
    <s v="02South Puget Sound"/>
    <n v="10149.096297599201"/>
    <n v="8068.4231492393001"/>
    <n v="10149.096297599201"/>
    <n v="8068.4231492393001"/>
  </r>
  <r>
    <n v="1652"/>
    <x v="3"/>
    <s v="Marine"/>
    <x v="0"/>
    <x v="0"/>
    <n v="5"/>
    <s v="Area 5: W Juan de Fuca"/>
    <s v="Area 5: W Juan de Fuca"/>
    <s v="NA"/>
    <x v="0"/>
    <s v="Kitsap"/>
    <s v="10Kitsap"/>
    <s v="South Puget Sound"/>
    <s v="02South Puget Sound"/>
    <n v="5676.8085480608597"/>
    <n v="4513.0021590009701"/>
    <n v="5676.8085480608597"/>
    <n v="4513.0021590009701"/>
  </r>
  <r>
    <n v="1651"/>
    <x v="3"/>
    <s v="Marine"/>
    <x v="0"/>
    <x v="0"/>
    <n v="5"/>
    <s v="Area 5: W Juan de Fuca"/>
    <s v="Area 5: W Juan de Fuca"/>
    <s v="NA"/>
    <x v="0"/>
    <s v="Mason"/>
    <s v="09Mason"/>
    <s v="South Puget Sound"/>
    <s v="02South Puget Sound"/>
    <n v="2443.6211415003099"/>
    <n v="1942.65270600651"/>
    <n v="2443.6211415003099"/>
    <n v="1942.65270600651"/>
  </r>
  <r>
    <n v="1655"/>
    <x v="3"/>
    <s v="Marine"/>
    <x v="0"/>
    <x v="0"/>
    <n v="5"/>
    <s v="Area 5: W Juan de Fuca"/>
    <s v="Area 5: W Juan de Fuca"/>
    <s v="NA"/>
    <x v="0"/>
    <s v="Other"/>
    <s v="20Other"/>
    <s v="Non Puget Sound"/>
    <s v="07Non Puget Sound"/>
    <n v="17128.401020139001"/>
    <n v="13616.895854366399"/>
    <n v="17128.401020139001"/>
    <n v="13616.895854366399"/>
  </r>
  <r>
    <n v="1507"/>
    <x v="3"/>
    <s v="Marine"/>
    <x v="0"/>
    <x v="0"/>
    <n v="5"/>
    <s v="Area 5: W Juan de Fuca"/>
    <s v="Area 5: W Juan de Fuca"/>
    <s v="NA"/>
    <x v="0"/>
    <s v="Pierce"/>
    <s v="07Pierce"/>
    <s v="South Puget Sound"/>
    <s v="02South Puget Sound"/>
    <n v="11739.755342537999"/>
    <n v="9332.9800993756107"/>
    <n v="11739.755342537999"/>
    <n v="9332.9800993756107"/>
  </r>
  <r>
    <n v="1503"/>
    <x v="3"/>
    <s v="Marine"/>
    <x v="0"/>
    <x v="0"/>
    <n v="5"/>
    <s v="Area 5: W Juan de Fuca"/>
    <s v="Area 5: W Juan de Fuca"/>
    <s v="NA"/>
    <x v="0"/>
    <s v="Skagit"/>
    <s v="02Skagit"/>
    <s v="North Puget Sound"/>
    <s v="01North Puget Sound"/>
    <n v="691.59088910386095"/>
    <n v="549.80736962448304"/>
    <n v="691.59088910386095"/>
    <n v="549.80736962448304"/>
  </r>
  <r>
    <n v="1504"/>
    <x v="3"/>
    <s v="Marine"/>
    <x v="0"/>
    <x v="0"/>
    <n v="5"/>
    <s v="Area 5: W Juan de Fuca"/>
    <s v="Area 5: W Juan de Fuca"/>
    <s v="NA"/>
    <x v="0"/>
    <s v="Snohomish"/>
    <s v="03Snohomish"/>
    <s v="North Puget Sound"/>
    <s v="01North Puget Sound"/>
    <n v="4109.2025327587698"/>
    <n v="3266.77212118547"/>
    <n v="4109.2025327587698"/>
    <n v="3266.77212118547"/>
  </r>
  <r>
    <n v="1650"/>
    <x v="3"/>
    <s v="Marine"/>
    <x v="0"/>
    <x v="0"/>
    <n v="5"/>
    <s v="Area 5: W Juan de Fuca"/>
    <s v="Area 5: W Juan de Fuca"/>
    <s v="NA"/>
    <x v="0"/>
    <s v="Thurston"/>
    <s v="08Thurston"/>
    <s v="South Puget Sound"/>
    <s v="02South Puget Sound"/>
    <n v="2881.62870459942"/>
    <n v="2290.8640401020102"/>
    <n v="2881.62870459942"/>
    <n v="2290.8640401020102"/>
  </r>
  <r>
    <n v="1502"/>
    <x v="3"/>
    <s v="Marine"/>
    <x v="0"/>
    <x v="0"/>
    <n v="5"/>
    <s v="Area 5: W Juan de Fuca"/>
    <s v="Area 5: W Juan de Fuca"/>
    <s v="NA"/>
    <x v="0"/>
    <s v="Whatcom"/>
    <s v="01Whatcom"/>
    <s v="North Puget Sound"/>
    <s v="01North Puget Sound"/>
    <n v="876.01512619822404"/>
    <n v="696.42266819101201"/>
    <n v="876.01512619822404"/>
    <n v="696.42266819101201"/>
  </r>
  <r>
    <n v="1839"/>
    <x v="4"/>
    <s v="Marine"/>
    <x v="0"/>
    <x v="0"/>
    <n v="5"/>
    <s v="Area 5: W Juan de Fuca"/>
    <s v="Area 5: W Juan de Fuca"/>
    <s v="NA"/>
    <x v="0"/>
    <s v="Clallam"/>
    <s v="11Clallam"/>
    <s v="Strait of Juan de Fuca"/>
    <s v="03Strait of Juan de Fuca"/>
    <n v="5520.9171290495797"/>
    <n v="6360.8597440486901"/>
    <n v="5520.9171290495797"/>
    <n v="6360.8597440486901"/>
  </r>
  <r>
    <n v="1824"/>
    <x v="4"/>
    <s v="Marine"/>
    <x v="0"/>
    <x v="0"/>
    <n v="5"/>
    <s v="Area 5: W Juan de Fuca"/>
    <s v="Area 5: W Juan de Fuca"/>
    <s v="NA"/>
    <x v="0"/>
    <s v="Island"/>
    <s v="04Island"/>
    <s v="North Puget Sound"/>
    <s v="01North Puget Sound"/>
    <n v="549.25076069446902"/>
    <n v="632.81280472525498"/>
    <n v="549.25076069446902"/>
    <n v="632.81280472525498"/>
  </r>
  <r>
    <n v="1840"/>
    <x v="4"/>
    <s v="Marine"/>
    <x v="0"/>
    <x v="0"/>
    <n v="5"/>
    <s v="Area 5: W Juan de Fuca"/>
    <s v="Area 5: W Juan de Fuca"/>
    <s v="NA"/>
    <x v="0"/>
    <s v="Jefferson"/>
    <s v="12Jefferson"/>
    <s v="Strait of Juan de Fuca"/>
    <s v="03Strait of Juan de Fuca"/>
    <n v="994.33327367102197"/>
    <n v="1145.60938786469"/>
    <n v="994.33327367102197"/>
    <n v="1145.60938786469"/>
  </r>
  <r>
    <n v="1825"/>
    <x v="4"/>
    <s v="Marine"/>
    <x v="0"/>
    <x v="0"/>
    <n v="5"/>
    <s v="Area 5: W Juan de Fuca"/>
    <s v="Area 5: W Juan de Fuca"/>
    <s v="NA"/>
    <x v="0"/>
    <s v="King"/>
    <s v="06King"/>
    <s v="South Puget Sound"/>
    <s v="02South Puget Sound"/>
    <n v="8835.3613746196606"/>
    <n v="10179.5577035976"/>
    <n v="8835.3613746196606"/>
    <n v="10179.5577035976"/>
  </r>
  <r>
    <n v="1838"/>
    <x v="4"/>
    <s v="Marine"/>
    <x v="0"/>
    <x v="0"/>
    <n v="5"/>
    <s v="Area 5: W Juan de Fuca"/>
    <s v="Area 5: W Juan de Fuca"/>
    <s v="NA"/>
    <x v="0"/>
    <s v="Kitsap"/>
    <s v="10Kitsap"/>
    <s v="South Puget Sound"/>
    <s v="02South Puget Sound"/>
    <n v="5520.9171290495797"/>
    <n v="6360.8597440486901"/>
    <n v="5520.9171290495797"/>
    <n v="6360.8597440486901"/>
  </r>
  <r>
    <n v="1828"/>
    <x v="4"/>
    <s v="Marine"/>
    <x v="0"/>
    <x v="0"/>
    <n v="5"/>
    <s v="Area 5: W Juan de Fuca"/>
    <s v="Area 5: W Juan de Fuca"/>
    <s v="NA"/>
    <x v="0"/>
    <s v="Mason"/>
    <s v="09Mason"/>
    <s v="South Puget Sound"/>
    <s v="02South Puget Sound"/>
    <n v="1988.6665473420401"/>
    <n v="2291.21877572937"/>
    <n v="1988.6665473420401"/>
    <n v="2291.21877572937"/>
  </r>
  <r>
    <n v="1841"/>
    <x v="4"/>
    <s v="Marine"/>
    <x v="0"/>
    <x v="0"/>
    <n v="5"/>
    <s v="Area 5: W Juan de Fuca"/>
    <s v="Area 5: W Juan de Fuca"/>
    <s v="NA"/>
    <x v="0"/>
    <s v="Other"/>
    <s v="20Other"/>
    <s v="Non Puget Sound"/>
    <s v="07Non Puget Sound"/>
    <n v="12074.046894576701"/>
    <n v="13910.971138356899"/>
    <n v="12074.046894576701"/>
    <n v="13910.971138356899"/>
  </r>
  <r>
    <n v="1826"/>
    <x v="4"/>
    <s v="Marine"/>
    <x v="0"/>
    <x v="0"/>
    <n v="5"/>
    <s v="Area 5: W Juan de Fuca"/>
    <s v="Area 5: W Juan de Fuca"/>
    <s v="NA"/>
    <x v="0"/>
    <s v="Pierce"/>
    <s v="07Pierce"/>
    <s v="South Puget Sound"/>
    <s v="02South Puget Sound"/>
    <n v="9394.0819760157501"/>
    <n v="10823.2810739216"/>
    <n v="9394.0819760157501"/>
    <n v="10823.2810739216"/>
  </r>
  <r>
    <n v="1822"/>
    <x v="4"/>
    <s v="Marine"/>
    <x v="0"/>
    <x v="0"/>
    <n v="5"/>
    <s v="Area 5: W Juan de Fuca"/>
    <s v="Area 5: W Juan de Fuca"/>
    <s v="NA"/>
    <x v="0"/>
    <s v="Skagit"/>
    <s v="02Skagit"/>
    <s v="North Puget Sound"/>
    <s v="01North Puget Sound"/>
    <n v="577.66028279935597"/>
    <n v="665.54450152138895"/>
    <n v="577.66028279935597"/>
    <n v="665.54450152138895"/>
  </r>
  <r>
    <n v="1823"/>
    <x v="4"/>
    <s v="Marine"/>
    <x v="0"/>
    <x v="0"/>
    <n v="5"/>
    <s v="Area 5: W Juan de Fuca"/>
    <s v="Area 5: W Juan de Fuca"/>
    <s v="NA"/>
    <x v="0"/>
    <s v="Snohomish"/>
    <s v="03Snohomish"/>
    <s v="North Puget Sound"/>
    <s v="01North Puget Sound"/>
    <n v="3276.56488276356"/>
    <n v="3775.05569715411"/>
    <n v="3276.56488276356"/>
    <n v="3775.05569715411"/>
  </r>
  <r>
    <n v="1827"/>
    <x v="4"/>
    <s v="Marine"/>
    <x v="0"/>
    <x v="0"/>
    <n v="5"/>
    <s v="Area 5: W Juan de Fuca"/>
    <s v="Area 5: W Juan de Fuca"/>
    <s v="NA"/>
    <x v="0"/>
    <s v="Thurston"/>
    <s v="08Thurston"/>
    <s v="South Puget Sound"/>
    <s v="02South Puget Sound"/>
    <n v="3115.5775908358701"/>
    <n v="3589.5760819760199"/>
    <n v="3115.5775908358701"/>
    <n v="3589.5760819760199"/>
  </r>
  <r>
    <n v="1821"/>
    <x v="4"/>
    <s v="Marine"/>
    <x v="0"/>
    <x v="0"/>
    <n v="5"/>
    <s v="Area 5: W Juan de Fuca"/>
    <s v="Area 5: W Juan de Fuca"/>
    <s v="NA"/>
    <x v="0"/>
    <s v="Whatcom"/>
    <s v="01Whatcom"/>
    <s v="North Puget Sound"/>
    <s v="01North Puget Sound"/>
    <n v="1060.6221585824201"/>
    <n v="1221.98334705567"/>
    <n v="1060.6221585824201"/>
    <n v="1221.98334705567"/>
  </r>
  <r>
    <n v="2140"/>
    <x v="5"/>
    <s v="Marine"/>
    <x v="0"/>
    <x v="0"/>
    <n v="5"/>
    <s v="Area 5: W Juan de Fuca"/>
    <s v="Area 5: W Juan de Fuca"/>
    <s v="NA"/>
    <x v="0"/>
    <s v="Clallam"/>
    <s v="11Clallam"/>
    <s v="Strait of Juan de Fuca"/>
    <s v="03Strait of Juan de Fuca"/>
    <n v="7284.3055703482796"/>
    <n v="5243.5305304079302"/>
    <n v="7284.3055703482796"/>
    <n v="5243.5305304079302"/>
  </r>
  <r>
    <n v="2124"/>
    <x v="5"/>
    <s v="Marine"/>
    <x v="0"/>
    <x v="0"/>
    <n v="5"/>
    <s v="Area 5: W Juan de Fuca"/>
    <s v="Area 5: W Juan de Fuca"/>
    <s v="NA"/>
    <x v="0"/>
    <s v="Island"/>
    <s v="04Island"/>
    <s v="North Puget Sound"/>
    <s v="01North Puget Sound"/>
    <n v="1116.6360634785401"/>
    <n v="803.79869208648404"/>
    <n v="1116.6360634785401"/>
    <n v="803.79869208648404"/>
  </r>
  <r>
    <n v="2141"/>
    <x v="5"/>
    <s v="Marine"/>
    <x v="0"/>
    <x v="0"/>
    <n v="5"/>
    <s v="Area 5: W Juan de Fuca"/>
    <s v="Area 5: W Juan de Fuca"/>
    <s v="NA"/>
    <x v="0"/>
    <s v="Jefferson"/>
    <s v="12Jefferson"/>
    <s v="Strait of Juan de Fuca"/>
    <s v="03Strait of Juan de Fuca"/>
    <n v="1613.8880604963299"/>
    <n v="1161.7402971562501"/>
    <n v="1613.8880604963299"/>
    <n v="1161.7402971562501"/>
  </r>
  <r>
    <n v="2125"/>
    <x v="5"/>
    <s v="Marine"/>
    <x v="0"/>
    <x v="0"/>
    <n v="5"/>
    <s v="Area 5: W Juan de Fuca"/>
    <s v="Area 5: W Juan de Fuca"/>
    <s v="NA"/>
    <x v="0"/>
    <s v="King"/>
    <s v="06King"/>
    <s v="South Puget Sound"/>
    <s v="02South Puget Sound"/>
    <n v="12719.1826605602"/>
    <n v="9155.7694770476101"/>
    <n v="12719.1826605602"/>
    <n v="9155.7694770476101"/>
  </r>
  <r>
    <n v="2129"/>
    <x v="5"/>
    <s v="Marine"/>
    <x v="0"/>
    <x v="0"/>
    <n v="5"/>
    <s v="Area 5: W Juan de Fuca"/>
    <s v="Area 5: W Juan de Fuca"/>
    <s v="NA"/>
    <x v="0"/>
    <s v="Kitsap"/>
    <s v="10Kitsap"/>
    <s v="South Puget Sound"/>
    <s v="02South Puget Sound"/>
    <n v="8645.2057727127503"/>
    <n v="6223.1601863883297"/>
    <n v="8645.2057727127503"/>
    <n v="6223.1601863883297"/>
  </r>
  <r>
    <n v="2128"/>
    <x v="5"/>
    <s v="Marine"/>
    <x v="0"/>
    <x v="0"/>
    <n v="5"/>
    <s v="Area 5: W Juan de Fuca"/>
    <s v="Area 5: W Juan de Fuca"/>
    <s v="NA"/>
    <x v="0"/>
    <s v="Mason"/>
    <s v="09Mason"/>
    <s v="South Puget Sound"/>
    <s v="02South Puget Sound"/>
    <n v="3541.8300138459899"/>
    <n v="2549.5489764618201"/>
    <n v="3541.8300138459899"/>
    <n v="2549.5489764618201"/>
  </r>
  <r>
    <n v="2142"/>
    <x v="5"/>
    <s v="Marine"/>
    <x v="0"/>
    <x v="0"/>
    <n v="5"/>
    <s v="Area 5: W Juan de Fuca"/>
    <s v="Area 5: W Juan de Fuca"/>
    <s v="NA"/>
    <x v="0"/>
    <s v="Other"/>
    <s v="20Other"/>
    <s v="Non Puget Sound"/>
    <s v="07Non Puget Sound"/>
    <n v="23065.513686228602"/>
    <n v="16603.466733411398"/>
    <n v="23065.513686228602"/>
    <n v="16603.466733411398"/>
  </r>
  <r>
    <n v="2126"/>
    <x v="5"/>
    <s v="Marine"/>
    <x v="0"/>
    <x v="0"/>
    <n v="5"/>
    <s v="Area 5: W Juan de Fuca"/>
    <s v="Area 5: W Juan de Fuca"/>
    <s v="NA"/>
    <x v="0"/>
    <s v="Pierce"/>
    <s v="07Pierce"/>
    <s v="South Puget Sound"/>
    <s v="02South Puget Sound"/>
    <n v="12631.945468100999"/>
    <n v="9092.9727042283594"/>
    <n v="12631.945468100999"/>
    <n v="9092.9727042283594"/>
  </r>
  <r>
    <n v="2004"/>
    <x v="5"/>
    <s v="Marine"/>
    <x v="0"/>
    <x v="0"/>
    <n v="5"/>
    <s v="Area 5: W Juan de Fuca"/>
    <s v="Area 5: W Juan de Fuca"/>
    <s v="NA"/>
    <x v="0"/>
    <s v="Skagit"/>
    <s v="02Skagit"/>
    <s v="North Puget Sound"/>
    <s v="01North Puget Sound"/>
    <n v="549.59431249334295"/>
    <n v="395.61966876131697"/>
    <n v="549.59431249334295"/>
    <n v="395.61966876131697"/>
  </r>
  <r>
    <n v="2123"/>
    <x v="5"/>
    <s v="Marine"/>
    <x v="0"/>
    <x v="0"/>
    <n v="5"/>
    <s v="Area 5: W Juan de Fuca"/>
    <s v="Area 5: W Juan de Fuca"/>
    <s v="NA"/>
    <x v="0"/>
    <s v="Snohomish"/>
    <s v="03Snohomish"/>
    <s v="North Puget Sound"/>
    <s v="01North Puget Sound"/>
    <n v="5094.6520396208298"/>
    <n v="3667.33153264459"/>
    <n v="5094.6520396208298"/>
    <n v="3667.33153264459"/>
  </r>
  <r>
    <n v="2127"/>
    <x v="5"/>
    <s v="Marine"/>
    <x v="0"/>
    <x v="0"/>
    <n v="5"/>
    <s v="Area 5: W Juan de Fuca"/>
    <s v="Area 5: W Juan de Fuca"/>
    <s v="NA"/>
    <x v="0"/>
    <s v="Thurston"/>
    <s v="08Thurston"/>
    <s v="South Puget Sound"/>
    <s v="02South Puget Sound"/>
    <n v="4998.6911279156502"/>
    <n v="3598.2550825434"/>
    <n v="4998.6911279156502"/>
    <n v="3598.2550825434"/>
  </r>
  <r>
    <n v="2003"/>
    <x v="5"/>
    <s v="Marine"/>
    <x v="0"/>
    <x v="0"/>
    <n v="5"/>
    <s v="Area 5: W Juan de Fuca"/>
    <s v="Area 5: W Juan de Fuca"/>
    <s v="NA"/>
    <x v="0"/>
    <s v="Whatcom"/>
    <s v="01Whatcom"/>
    <s v="North Puget Sound"/>
    <s v="01North Puget Sound"/>
    <n v="645.55522419853003"/>
    <n v="464.69611886249902"/>
    <n v="645.55522419853003"/>
    <n v="464.69611886249902"/>
  </r>
  <r>
    <n v="2393"/>
    <x v="6"/>
    <s v="Marine"/>
    <x v="0"/>
    <x v="0"/>
    <n v="5"/>
    <s v="Area 5: W Juan de Fuca"/>
    <s v="Area 5: W Juan de Fuca"/>
    <s v="NA"/>
    <x v="0"/>
    <s v="Clallam"/>
    <s v="11Clallam"/>
    <s v="Strait of Juan de Fuca"/>
    <s v="03Strait of Juan de Fuca"/>
    <n v="536.48874598070802"/>
    <n v="2081.93450160772"/>
    <n v="536.48874598070802"/>
    <n v="2081.93450160772"/>
  </r>
  <r>
    <n v="2377"/>
    <x v="6"/>
    <s v="Marine"/>
    <x v="0"/>
    <x v="0"/>
    <n v="5"/>
    <s v="Area 5: W Juan de Fuca"/>
    <s v="Area 5: W Juan de Fuca"/>
    <s v="NA"/>
    <x v="0"/>
    <s v="Island"/>
    <s v="04Island"/>
    <s v="North Puget Sound"/>
    <s v="01North Puget Sound"/>
    <n v="20.372990353697801"/>
    <n v="79.060803858520899"/>
    <n v="20.372990353697801"/>
    <n v="79.060803858520899"/>
  </r>
  <r>
    <n v="2394"/>
    <x v="6"/>
    <s v="Marine"/>
    <x v="0"/>
    <x v="0"/>
    <n v="5"/>
    <s v="Area 5: W Juan de Fuca"/>
    <s v="Area 5: W Juan de Fuca"/>
    <s v="NA"/>
    <x v="0"/>
    <s v="Jefferson"/>
    <s v="12Jefferson"/>
    <s v="Strait of Juan de Fuca"/>
    <s v="03Strait of Juan de Fuca"/>
    <n v="203.72990353697799"/>
    <n v="790.60803858520899"/>
    <n v="203.72990353697799"/>
    <n v="790.60803858520899"/>
  </r>
  <r>
    <n v="2378"/>
    <x v="6"/>
    <s v="Marine"/>
    <x v="0"/>
    <x v="0"/>
    <n v="5"/>
    <s v="Area 5: W Juan de Fuca"/>
    <s v="Area 5: W Juan de Fuca"/>
    <s v="NA"/>
    <x v="0"/>
    <s v="King"/>
    <s v="06King"/>
    <s v="South Puget Sound"/>
    <s v="02South Puget Sound"/>
    <n v="427.83279742765302"/>
    <n v="1660.2768810289399"/>
    <n v="427.83279742765302"/>
    <n v="1660.2768810289399"/>
  </r>
  <r>
    <n v="2382"/>
    <x v="6"/>
    <s v="Marine"/>
    <x v="0"/>
    <x v="0"/>
    <n v="5"/>
    <s v="Area 5: W Juan de Fuca"/>
    <s v="Area 5: W Juan de Fuca"/>
    <s v="NA"/>
    <x v="0"/>
    <s v="Kitsap"/>
    <s v="10Kitsap"/>
    <s v="South Puget Sound"/>
    <s v="02South Puget Sound"/>
    <n v="224.10289389067501"/>
    <n v="869.66884244373"/>
    <n v="224.10289389067501"/>
    <n v="869.66884244373"/>
  </r>
  <r>
    <n v="2381"/>
    <x v="6"/>
    <s v="Marine"/>
    <x v="0"/>
    <x v="0"/>
    <n v="5"/>
    <s v="Area 5: W Juan de Fuca"/>
    <s v="Area 5: W Juan de Fuca"/>
    <s v="NA"/>
    <x v="0"/>
    <s v="Mason"/>
    <s v="09Mason"/>
    <s v="South Puget Sound"/>
    <s v="02South Puget Sound"/>
    <n v="54.3279742765273"/>
    <n v="210.828810289389"/>
    <n v="54.3279742765273"/>
    <n v="210.828810289389"/>
  </r>
  <r>
    <n v="2395"/>
    <x v="6"/>
    <s v="Marine"/>
    <x v="0"/>
    <x v="0"/>
    <n v="5"/>
    <s v="Area 5: W Juan de Fuca"/>
    <s v="Area 5: W Juan de Fuca"/>
    <s v="NA"/>
    <x v="0"/>
    <s v="Other"/>
    <s v="20Other"/>
    <s v="Non Puget Sound"/>
    <s v="07Non Puget Sound"/>
    <n v="1439.6913183279701"/>
    <n v="5586.96347266881"/>
    <n v="1439.6913183279701"/>
    <n v="5586.96347266881"/>
  </r>
  <r>
    <n v="2379"/>
    <x v="6"/>
    <s v="Marine"/>
    <x v="0"/>
    <x v="0"/>
    <n v="5"/>
    <s v="Area 5: W Juan de Fuca"/>
    <s v="Area 5: W Juan de Fuca"/>
    <s v="NA"/>
    <x v="0"/>
    <s v="Pierce"/>
    <s v="07Pierce"/>
    <s v="South Puget Sound"/>
    <s v="02South Puget Sound"/>
    <n v="882.82958199356904"/>
    <n v="3425.9681672025699"/>
    <n v="882.82958199356904"/>
    <n v="3425.9681672025699"/>
  </r>
  <r>
    <n v="2285"/>
    <x v="6"/>
    <s v="Marine"/>
    <x v="0"/>
    <x v="0"/>
    <n v="5"/>
    <s v="Area 5: W Juan de Fuca"/>
    <s v="Area 5: W Juan de Fuca"/>
    <s v="NA"/>
    <x v="0"/>
    <s v="Skagit"/>
    <s v="02Skagit"/>
    <s v="North Puget Sound"/>
    <s v="01North Puget Sound"/>
    <n v="81.491961414791007"/>
    <n v="316.24321543408399"/>
    <n v="81.491961414791007"/>
    <n v="316.24321543408399"/>
  </r>
  <r>
    <n v="2376"/>
    <x v="6"/>
    <s v="Marine"/>
    <x v="0"/>
    <x v="0"/>
    <n v="5"/>
    <s v="Area 5: W Juan de Fuca"/>
    <s v="Area 5: W Juan de Fuca"/>
    <s v="NA"/>
    <x v="0"/>
    <s v="Snohomish"/>
    <s v="03Snohomish"/>
    <s v="North Puget Sound"/>
    <s v="01North Puget Sound"/>
    <n v="156.19292604501601"/>
    <n v="606.13282958199397"/>
    <n v="156.19292604501601"/>
    <n v="606.13282958199397"/>
  </r>
  <r>
    <n v="2380"/>
    <x v="6"/>
    <s v="Marine"/>
    <x v="0"/>
    <x v="0"/>
    <n v="5"/>
    <s v="Area 5: W Juan de Fuca"/>
    <s v="Area 5: W Juan de Fuca"/>
    <s v="NA"/>
    <x v="0"/>
    <s v="Thurston"/>
    <s v="08Thurston"/>
    <s v="South Puget Sound"/>
    <s v="02South Puget Sound"/>
    <n v="190.147909967846"/>
    <n v="737.90083601286199"/>
    <n v="190.147909967846"/>
    <n v="737.90083601286199"/>
  </r>
  <r>
    <n v="2284"/>
    <x v="6"/>
    <s v="Marine"/>
    <x v="0"/>
    <x v="0"/>
    <n v="5"/>
    <s v="Area 5: W Juan de Fuca"/>
    <s v="Area 5: W Juan de Fuca"/>
    <s v="NA"/>
    <x v="0"/>
    <s v="Whatcom"/>
    <s v="01Whatcom"/>
    <s v="North Puget Sound"/>
    <s v="01North Puget Sound"/>
    <n v="6.7909967845659196"/>
    <n v="26.3536012861736"/>
    <n v="6.7909967845659196"/>
    <n v="26.3536012861736"/>
  </r>
  <r>
    <n v="2615"/>
    <x v="7"/>
    <s v="Marine"/>
    <x v="0"/>
    <x v="0"/>
    <n v="5"/>
    <s v="Area 5: W Juan de Fuca"/>
    <s v="Area 5: W Juan de Fuca"/>
    <s v="NA"/>
    <x v="0"/>
    <s v="Clallam"/>
    <s v="11Clallam"/>
    <s v="Strait of Juan de Fuca"/>
    <s v="03Strait of Juan de Fuca"/>
    <n v="2180.9127031908502"/>
    <n v="3971.4699721538"/>
    <n v="2180.9127031908502"/>
    <n v="3971.4699721538"/>
  </r>
  <r>
    <n v="2509"/>
    <x v="7"/>
    <s v="Marine"/>
    <x v="0"/>
    <x v="0"/>
    <n v="5"/>
    <s v="Area 5: W Juan de Fuca"/>
    <s v="Area 5: W Juan de Fuca"/>
    <s v="NA"/>
    <x v="0"/>
    <s v="Island"/>
    <s v="04Island"/>
    <s v="North Puget Sound"/>
    <s v="01North Puget Sound"/>
    <n v="352.794701986755"/>
    <n v="642.44367196605504"/>
    <n v="352.794701986755"/>
    <n v="642.44367196605504"/>
  </r>
  <r>
    <n v="2616"/>
    <x v="7"/>
    <s v="Marine"/>
    <x v="0"/>
    <x v="0"/>
    <n v="5"/>
    <s v="Area 5: W Juan de Fuca"/>
    <s v="Area 5: W Juan de Fuca"/>
    <s v="NA"/>
    <x v="0"/>
    <s v="Jefferson"/>
    <s v="12Jefferson"/>
    <s v="Strait of Juan de Fuca"/>
    <s v="03Strait of Juan de Fuca"/>
    <n v="705.58940397351"/>
    <n v="1284.8873439321101"/>
    <n v="705.58940397351"/>
    <n v="1284.8873439321101"/>
  </r>
  <r>
    <n v="2610"/>
    <x v="7"/>
    <s v="Marine"/>
    <x v="0"/>
    <x v="0"/>
    <n v="5"/>
    <s v="Area 5: W Juan de Fuca"/>
    <s v="Area 5: W Juan de Fuca"/>
    <s v="NA"/>
    <x v="0"/>
    <s v="King"/>
    <s v="06King"/>
    <s v="South Puget Sound"/>
    <s v="02South Puget Sound"/>
    <n v="1771.9915713425701"/>
    <n v="3226.8193523749601"/>
    <n v="1771.9915713425701"/>
    <n v="3226.8193523749601"/>
  </r>
  <r>
    <n v="2614"/>
    <x v="7"/>
    <s v="Marine"/>
    <x v="0"/>
    <x v="0"/>
    <n v="5"/>
    <s v="Area 5: W Juan de Fuca"/>
    <s v="Area 5: W Juan de Fuca"/>
    <s v="NA"/>
    <x v="0"/>
    <s v="Kitsap"/>
    <s v="10Kitsap"/>
    <s v="South Puget Sound"/>
    <s v="02South Puget Sound"/>
    <n v="906.04093919325703"/>
    <n v="1649.9121575491899"/>
    <n v="906.04093919325703"/>
    <n v="1649.9121575491899"/>
  </r>
  <r>
    <n v="2613"/>
    <x v="7"/>
    <s v="Marine"/>
    <x v="0"/>
    <x v="0"/>
    <n v="5"/>
    <s v="Area 5: W Juan de Fuca"/>
    <s v="Area 5: W Juan de Fuca"/>
    <s v="NA"/>
    <x v="0"/>
    <s v="Mason"/>
    <s v="09Mason"/>
    <s v="South Puget Sound"/>
    <s v="02South Puget Sound"/>
    <n v="272.61408789885598"/>
    <n v="496.433746519225"/>
    <n v="272.61408789885598"/>
    <n v="496.433746519225"/>
  </r>
  <r>
    <n v="2624"/>
    <x v="7"/>
    <s v="Marine"/>
    <x v="0"/>
    <x v="0"/>
    <n v="5"/>
    <s v="Area 5: W Juan de Fuca"/>
    <s v="Area 5: W Juan de Fuca"/>
    <s v="NA"/>
    <x v="0"/>
    <s v="Other"/>
    <s v="20Other"/>
    <s v="Non Puget Sound"/>
    <s v="07Non Puget Sound"/>
    <n v="3576.0553883202901"/>
    <n v="6512.0426749286498"/>
    <n v="3576.0553883202901"/>
    <n v="6512.0426749286498"/>
  </r>
  <r>
    <n v="2611"/>
    <x v="7"/>
    <s v="Marine"/>
    <x v="0"/>
    <x v="0"/>
    <n v="5"/>
    <s v="Area 5: W Juan de Fuca"/>
    <s v="Area 5: W Juan de Fuca"/>
    <s v="NA"/>
    <x v="0"/>
    <s v="Pierce"/>
    <s v="07Pierce"/>
    <s v="South Puget Sound"/>
    <s v="02South Puget Sound"/>
    <n v="1715.8651414810399"/>
    <n v="3124.61240456218"/>
    <n v="1715.8651414810399"/>
    <n v="3124.61240456218"/>
  </r>
  <r>
    <n v="2507"/>
    <x v="7"/>
    <s v="Marine"/>
    <x v="0"/>
    <x v="0"/>
    <n v="5"/>
    <s v="Area 5: W Juan de Fuca"/>
    <s v="Area 5: W Juan de Fuca"/>
    <s v="NA"/>
    <x v="0"/>
    <s v="Skagit"/>
    <s v="02Skagit"/>
    <s v="North Puget Sound"/>
    <s v="01North Puget Sound"/>
    <n v="32.072245635159497"/>
    <n v="58.403970178732301"/>
    <n v="32.072245635159497"/>
    <n v="58.403970178732301"/>
  </r>
  <r>
    <n v="2508"/>
    <x v="7"/>
    <s v="Marine"/>
    <x v="0"/>
    <x v="0"/>
    <n v="5"/>
    <s v="Area 5: W Juan de Fuca"/>
    <s v="Area 5: W Juan de Fuca"/>
    <s v="NA"/>
    <x v="0"/>
    <s v="Snohomish"/>
    <s v="03Snohomish"/>
    <s v="North Puget Sound"/>
    <s v="01North Puget Sound"/>
    <n v="1074.4202287778401"/>
    <n v="1956.5330009875299"/>
    <n v="1074.4202287778401"/>
    <n v="1956.5330009875299"/>
  </r>
  <r>
    <n v="2612"/>
    <x v="7"/>
    <s v="Marine"/>
    <x v="0"/>
    <x v="0"/>
    <n v="5"/>
    <s v="Area 5: W Juan de Fuca"/>
    <s v="Area 5: W Juan de Fuca"/>
    <s v="NA"/>
    <x v="0"/>
    <s v="Thurston"/>
    <s v="08Thurston"/>
    <s v="South Puget Sound"/>
    <s v="02South Puget Sound"/>
    <n v="721.62552679109001"/>
    <n v="1314.0893290214799"/>
    <n v="721.62552679109001"/>
    <n v="1314.0893290214799"/>
  </r>
  <r>
    <n v="2506"/>
    <x v="7"/>
    <s v="Marine"/>
    <x v="0"/>
    <x v="0"/>
    <n v="5"/>
    <s v="Area 5: W Juan de Fuca"/>
    <s v="Area 5: W Juan de Fuca"/>
    <s v="NA"/>
    <x v="0"/>
    <s v="Whatcom"/>
    <s v="01Whatcom"/>
    <s v="North Puget Sound"/>
    <s v="01North Puget Sound"/>
    <n v="8.0180614087898903"/>
    <n v="14.6009925446831"/>
    <n v="8.0180614087898903"/>
    <n v="14.6009925446831"/>
  </r>
  <r>
    <n v="2845"/>
    <x v="8"/>
    <s v="Marine"/>
    <x v="0"/>
    <x v="0"/>
    <n v="5"/>
    <s v="Area 5: W Juan de Fuca"/>
    <s v="Area 5: W Juan de Fuca"/>
    <s v="NA"/>
    <x v="0"/>
    <s v="Clallam"/>
    <s v="11Clallam"/>
    <s v="Strait of Juan de Fuca"/>
    <s v="03Strait of Juan de Fuca"/>
    <n v="5236.9695945945996"/>
    <n v="5996.2271749019201"/>
    <n v="5236.9695945945996"/>
    <n v="5996.2271749019201"/>
  </r>
  <r>
    <n v="2749"/>
    <x v="8"/>
    <s v="Marine"/>
    <x v="0"/>
    <x v="0"/>
    <n v="5"/>
    <s v="Area 5: W Juan de Fuca"/>
    <s v="Area 5: W Juan de Fuca"/>
    <s v="NA"/>
    <x v="0"/>
    <s v="Island"/>
    <s v="04Island"/>
    <s v="North Puget Sound"/>
    <s v="01North Puget Sound"/>
    <n v="221.28040540540499"/>
    <n v="253.361711615574"/>
    <n v="221.28040540540499"/>
    <n v="253.361711615574"/>
  </r>
  <r>
    <n v="2846"/>
    <x v="8"/>
    <s v="Marine"/>
    <x v="0"/>
    <x v="0"/>
    <n v="5"/>
    <s v="Area 5: W Juan de Fuca"/>
    <s v="Area 5: W Juan de Fuca"/>
    <s v="NA"/>
    <x v="0"/>
    <s v="Jefferson"/>
    <s v="12Jefferson"/>
    <s v="Strait of Juan de Fuca"/>
    <s v="03Strait of Juan de Fuca"/>
    <n v="389.875"/>
    <n v="446.39920617982102"/>
    <n v="389.875"/>
    <n v="446.39920617982102"/>
  </r>
  <r>
    <n v="2751"/>
    <x v="8"/>
    <s v="Marine"/>
    <x v="0"/>
    <x v="0"/>
    <n v="5"/>
    <s v="Area 5: W Juan de Fuca"/>
    <s v="Area 5: W Juan de Fuca"/>
    <s v="NA"/>
    <x v="0"/>
    <s v="King"/>
    <s v="06King"/>
    <s v="South Puget Sound"/>
    <s v="02South Puget Sound"/>
    <n v="3846.0641891891901"/>
    <n v="4403.6678447468803"/>
    <n v="3846.0641891891901"/>
    <n v="4403.6678447468803"/>
  </r>
  <r>
    <n v="2844"/>
    <x v="8"/>
    <s v="Marine"/>
    <x v="0"/>
    <x v="0"/>
    <n v="5"/>
    <s v="Area 5: W Juan de Fuca"/>
    <s v="Area 5: W Juan de Fuca"/>
    <s v="NA"/>
    <x v="0"/>
    <s v="Kitsap"/>
    <s v="10Kitsap"/>
    <s v="South Puget Sound"/>
    <s v="02South Puget Sound"/>
    <n v="3277.0574324324298"/>
    <n v="3752.1663005925502"/>
    <n v="3277.0574324324298"/>
    <n v="3752.1663005925502"/>
  </r>
  <r>
    <n v="2843"/>
    <x v="8"/>
    <s v="Marine"/>
    <x v="0"/>
    <x v="0"/>
    <n v="5"/>
    <s v="Area 5: W Juan de Fuca"/>
    <s v="Area 5: W Juan de Fuca"/>
    <s v="NA"/>
    <x v="0"/>
    <s v="Mason"/>
    <s v="09Mason"/>
    <s v="South Puget Sound"/>
    <s v="02South Puget Sound"/>
    <n v="853.51013513513499"/>
    <n v="977.25231623149898"/>
    <n v="853.51013513513499"/>
    <n v="977.25231623149898"/>
  </r>
  <r>
    <n v="2847"/>
    <x v="8"/>
    <s v="Marine"/>
    <x v="0"/>
    <x v="0"/>
    <n v="5"/>
    <s v="Area 5: W Juan de Fuca"/>
    <s v="Area 5: W Juan de Fuca"/>
    <s v="NA"/>
    <x v="0"/>
    <s v="Other"/>
    <s v="20Other"/>
    <s v="Non Puget Sound"/>
    <s v="07Non Puget Sound"/>
    <n v="6385.52027027027"/>
    <n v="7311.2951066208498"/>
    <n v="6385.52027027027"/>
    <n v="7311.2951066208498"/>
  </r>
  <r>
    <n v="2752"/>
    <x v="8"/>
    <s v="Marine"/>
    <x v="0"/>
    <x v="0"/>
    <n v="5"/>
    <s v="Area 5: W Juan de Fuca"/>
    <s v="Area 5: W Juan de Fuca"/>
    <s v="NA"/>
    <x v="0"/>
    <s v="Pierce"/>
    <s v="07Pierce"/>
    <s v="South Puget Sound"/>
    <s v="02South Puget Sound"/>
    <n v="4615.2770270270303"/>
    <n v="5284.4014136962596"/>
    <n v="4615.2770270270303"/>
    <n v="5284.4014136962596"/>
  </r>
  <r>
    <n v="2750"/>
    <x v="8"/>
    <s v="Marine"/>
    <x v="0"/>
    <x v="0"/>
    <n v="5"/>
    <s v="Area 5: W Juan de Fuca"/>
    <s v="Area 5: W Juan de Fuca"/>
    <s v="NA"/>
    <x v="0"/>
    <s v="San Juan"/>
    <s v="05San Juan"/>
    <s v="North Puget Sound"/>
    <s v="01North Puget Sound"/>
    <n v="94.834459459459495"/>
    <n v="108.583590692389"/>
    <n v="94.834459459459495"/>
    <n v="108.583590692389"/>
  </r>
  <r>
    <n v="2747"/>
    <x v="8"/>
    <s v="Marine"/>
    <x v="0"/>
    <x v="0"/>
    <n v="5"/>
    <s v="Area 5: W Juan de Fuca"/>
    <s v="Area 5: W Juan de Fuca"/>
    <s v="NA"/>
    <x v="0"/>
    <s v="Skagit"/>
    <s v="02Skagit"/>
    <s v="North Puget Sound"/>
    <s v="01North Puget Sound"/>
    <n v="210.743243243243"/>
    <n v="241.29686820530799"/>
    <n v="210.743243243243"/>
    <n v="241.29686820530799"/>
  </r>
  <r>
    <n v="2748"/>
    <x v="8"/>
    <s v="Marine"/>
    <x v="0"/>
    <x v="0"/>
    <n v="5"/>
    <s v="Area 5: W Juan de Fuca"/>
    <s v="Area 5: W Juan de Fuca"/>
    <s v="NA"/>
    <x v="0"/>
    <s v="Snohomish"/>
    <s v="03Snohomish"/>
    <s v="North Puget Sound"/>
    <s v="01North Puget Sound"/>
    <n v="1264.45945945946"/>
    <n v="1447.78120923185"/>
    <n v="1264.45945945946"/>
    <n v="1447.78120923185"/>
  </r>
  <r>
    <n v="2753"/>
    <x v="8"/>
    <s v="Marine"/>
    <x v="0"/>
    <x v="0"/>
    <n v="5"/>
    <s v="Area 5: W Juan de Fuca"/>
    <s v="Area 5: W Juan de Fuca"/>
    <s v="NA"/>
    <x v="0"/>
    <s v="Thurston"/>
    <s v="08Thurston"/>
    <s v="South Puget Sound"/>
    <s v="02South Puget Sound"/>
    <n v="1433.0540540540501"/>
    <n v="1640.8187037961"/>
    <n v="1433.0540540540501"/>
    <n v="1640.8187037961"/>
  </r>
  <r>
    <n v="2738"/>
    <x v="8"/>
    <s v="Marine"/>
    <x v="0"/>
    <x v="0"/>
    <n v="5"/>
    <s v="Area 5: W Juan de Fuca"/>
    <s v="Area 5: W Juan de Fuca"/>
    <s v="NA"/>
    <x v="0"/>
    <s v="Whatcom"/>
    <s v="01Whatcom"/>
    <s v="North Puget Sound"/>
    <s v="01North Puget Sound"/>
    <n v="242.35472972973"/>
    <n v="277.49139843610499"/>
    <n v="242.35472972973"/>
    <n v="277.49139843610499"/>
  </r>
  <r>
    <n v="3077"/>
    <x v="9"/>
    <s v="Marine"/>
    <x v="0"/>
    <x v="0"/>
    <n v="5"/>
    <s v="Area 5: W Juan de Fuca"/>
    <s v="Area 5: W Juan de Fuca"/>
    <s v="NA"/>
    <x v="0"/>
    <s v="Clallam"/>
    <s v="11Clallam"/>
    <s v="Strait of Juan de Fuca"/>
    <s v="03Strait of Juan de Fuca"/>
    <n v="3885.92"/>
    <n v="5166.0830664669002"/>
    <n v="3885.92"/>
    <n v="5166.0830664669002"/>
  </r>
  <r>
    <n v="2958"/>
    <x v="9"/>
    <s v="Marine"/>
    <x v="0"/>
    <x v="0"/>
    <n v="5"/>
    <s v="Area 5: W Juan de Fuca"/>
    <s v="Area 5: W Juan de Fuca"/>
    <s v="NA"/>
    <x v="0"/>
    <s v="Island"/>
    <s v="04Island"/>
    <s v="North Puget Sound"/>
    <s v="01North Puget Sound"/>
    <n v="401.99172413793099"/>
    <n v="534.42238618623105"/>
    <n v="401.99172413793099"/>
    <n v="534.42238618623105"/>
  </r>
  <r>
    <n v="3078"/>
    <x v="9"/>
    <s v="Marine"/>
    <x v="0"/>
    <x v="0"/>
    <n v="5"/>
    <s v="Area 5: W Juan de Fuca"/>
    <s v="Area 5: W Juan de Fuca"/>
    <s v="NA"/>
    <x v="0"/>
    <s v="Jefferson"/>
    <s v="12Jefferson"/>
    <s v="Strait of Juan de Fuca"/>
    <s v="03Strait of Juan de Fuca"/>
    <n v="703.48551724137894"/>
    <n v="935.23917582590502"/>
    <n v="703.48551724137894"/>
    <n v="935.23917582590502"/>
  </r>
  <r>
    <n v="3072"/>
    <x v="9"/>
    <s v="Marine"/>
    <x v="0"/>
    <x v="0"/>
    <n v="5"/>
    <s v="Area 5: W Juan de Fuca"/>
    <s v="Area 5: W Juan de Fuca"/>
    <s v="NA"/>
    <x v="0"/>
    <s v="King"/>
    <s v="06King"/>
    <s v="South Puget Sound"/>
    <s v="02South Puget Sound"/>
    <n v="2767.04303448276"/>
    <n v="3678.6074249152298"/>
    <n v="2767.04303448276"/>
    <n v="3678.6074249152298"/>
  </r>
  <r>
    <n v="3076"/>
    <x v="9"/>
    <s v="Marine"/>
    <x v="0"/>
    <x v="0"/>
    <n v="5"/>
    <s v="Area 5: W Juan de Fuca"/>
    <s v="Area 5: W Juan de Fuca"/>
    <s v="NA"/>
    <x v="0"/>
    <s v="Kitsap"/>
    <s v="10Kitsap"/>
    <s v="South Puget Sound"/>
    <s v="02South Puget Sound"/>
    <n v="2666.5451034482799"/>
    <n v="3545.00182836867"/>
    <n v="2666.5451034482799"/>
    <n v="3545.00182836867"/>
  </r>
  <r>
    <n v="3075"/>
    <x v="9"/>
    <s v="Marine"/>
    <x v="0"/>
    <x v="0"/>
    <n v="5"/>
    <s v="Area 5: W Juan de Fuca"/>
    <s v="Area 5: W Juan de Fuca"/>
    <s v="NA"/>
    <x v="0"/>
    <s v="Mason"/>
    <s v="09Mason"/>
    <s v="South Puget Sound"/>
    <s v="02South Puget Sound"/>
    <n v="529.28910344827602"/>
    <n v="703.65614181187095"/>
    <n v="529.28910344827602"/>
    <n v="703.65614181187095"/>
  </r>
  <r>
    <n v="3180"/>
    <x v="9"/>
    <s v="Marine"/>
    <x v="0"/>
    <x v="0"/>
    <n v="5"/>
    <s v="Area 5: W Juan de Fuca"/>
    <s v="Area 5: W Juan de Fuca"/>
    <s v="NA"/>
    <x v="0"/>
    <s v="Other"/>
    <s v="20Other"/>
    <s v="Non Puget Sound"/>
    <s v="07Non Puget Sound"/>
    <n v="6512.2659310344798"/>
    <n v="8657.6426562169509"/>
    <n v="6512.2659310344798"/>
    <n v="8657.6426562169509"/>
  </r>
  <r>
    <n v="3073"/>
    <x v="9"/>
    <s v="Marine"/>
    <x v="0"/>
    <x v="0"/>
    <n v="5"/>
    <s v="Area 5: W Juan de Fuca"/>
    <s v="Area 5: W Juan de Fuca"/>
    <s v="NA"/>
    <x v="0"/>
    <s v="Pierce"/>
    <s v="07Pierce"/>
    <s v="South Puget Sound"/>
    <s v="02South Puget Sound"/>
    <n v="3504.0278620689701"/>
    <n v="4658.3817995899799"/>
    <n v="3504.0278620689701"/>
    <n v="4658.3817995899799"/>
  </r>
  <r>
    <n v="3071"/>
    <x v="9"/>
    <s v="Marine"/>
    <x v="0"/>
    <x v="0"/>
    <n v="5"/>
    <s v="Area 5: W Juan de Fuca"/>
    <s v="Area 5: W Juan de Fuca"/>
    <s v="NA"/>
    <x v="0"/>
    <s v="San Juan"/>
    <s v="05San Juan"/>
    <s v="North Puget Sound"/>
    <s v="01North Puget Sound"/>
    <n v="53.598896551724202"/>
    <n v="71.256318158164206"/>
    <n v="53.598896551724202"/>
    <n v="71.256318158164206"/>
  </r>
  <r>
    <n v="2956"/>
    <x v="9"/>
    <s v="Marine"/>
    <x v="0"/>
    <x v="0"/>
    <n v="5"/>
    <s v="Area 5: W Juan de Fuca"/>
    <s v="Area 5: W Juan de Fuca"/>
    <s v="NA"/>
    <x v="0"/>
    <s v="Skagit"/>
    <s v="02Skagit"/>
    <s v="North Puget Sound"/>
    <s v="01North Puget Sound"/>
    <n v="214.39558620689701"/>
    <n v="285.02527263265699"/>
    <n v="214.39558620689701"/>
    <n v="285.02527263265699"/>
  </r>
  <r>
    <n v="2957"/>
    <x v="9"/>
    <s v="Marine"/>
    <x v="0"/>
    <x v="0"/>
    <n v="5"/>
    <s v="Area 5: W Juan de Fuca"/>
    <s v="Area 5: W Juan de Fuca"/>
    <s v="NA"/>
    <x v="0"/>
    <s v="Snohomish"/>
    <s v="03Snohomish"/>
    <s v="North Puget Sound"/>
    <s v="01North Puget Sound"/>
    <n v="1333.2725517241399"/>
    <n v="1772.50091418433"/>
    <n v="1333.2725517241399"/>
    <n v="1772.50091418433"/>
  </r>
  <r>
    <n v="3074"/>
    <x v="9"/>
    <s v="Marine"/>
    <x v="0"/>
    <x v="0"/>
    <n v="5"/>
    <s v="Area 5: W Juan de Fuca"/>
    <s v="Area 5: W Juan de Fuca"/>
    <s v="NA"/>
    <x v="0"/>
    <s v="Thurston"/>
    <s v="08Thurston"/>
    <s v="South Puget Sound"/>
    <s v="02South Puget Sound"/>
    <n v="1360.0719999999999"/>
    <n v="1808.12907326342"/>
    <n v="1360.0719999999999"/>
    <n v="1808.12907326342"/>
  </r>
  <r>
    <n v="2955"/>
    <x v="9"/>
    <s v="Marine"/>
    <x v="0"/>
    <x v="0"/>
    <n v="5"/>
    <s v="Area 5: W Juan de Fuca"/>
    <s v="Area 5: W Juan de Fuca"/>
    <s v="NA"/>
    <x v="0"/>
    <s v="Whatcom"/>
    <s v="01Whatcom"/>
    <s v="North Puget Sound"/>
    <s v="01North Puget Sound"/>
    <n v="355.09268965517202"/>
    <n v="472.07310779783802"/>
    <n v="355.09268965517202"/>
    <n v="472.07310779783802"/>
  </r>
  <r>
    <n v="3463"/>
    <x v="10"/>
    <s v="Marine"/>
    <x v="0"/>
    <x v="0"/>
    <n v="5"/>
    <s v="Area 5: W Juan de Fuca"/>
    <s v="Area 5: W Juan de Fuca"/>
    <s v="NA"/>
    <x v="0"/>
    <s v="Clallam"/>
    <s v="11Clallam"/>
    <s v="Strait of Juan de Fuca"/>
    <s v="03Strait of Juan de Fuca"/>
    <n v="5627.8814303638701"/>
    <n v="6139.4180018127399"/>
    <n v="5627.8814303638701"/>
    <n v="6139.4180018127399"/>
  </r>
  <r>
    <n v="3388"/>
    <x v="10"/>
    <s v="Marine"/>
    <x v="0"/>
    <x v="0"/>
    <n v="5"/>
    <s v="Area 5: W Juan de Fuca"/>
    <s v="Area 5: W Juan de Fuca"/>
    <s v="NA"/>
    <x v="0"/>
    <s v="Island"/>
    <s v="04Island"/>
    <s v="North Puget Sound"/>
    <s v="01North Puget Sound"/>
    <n v="988.503764115433"/>
    <n v="1078.3521080467301"/>
    <n v="988.503764115433"/>
    <n v="1078.3521080467301"/>
  </r>
  <r>
    <n v="3464"/>
    <x v="10"/>
    <s v="Marine"/>
    <x v="0"/>
    <x v="0"/>
    <n v="5"/>
    <s v="Area 5: W Juan de Fuca"/>
    <s v="Area 5: W Juan de Fuca"/>
    <s v="NA"/>
    <x v="0"/>
    <s v="Jefferson"/>
    <s v="12Jefferson"/>
    <s v="Strait of Juan de Fuca"/>
    <s v="03Strait of Juan de Fuca"/>
    <n v="566.74215809284794"/>
    <n v="618.25520861346104"/>
    <n v="566.74215809284794"/>
    <n v="618.25520861346104"/>
  </r>
  <r>
    <n v="3389"/>
    <x v="10"/>
    <s v="Marine"/>
    <x v="0"/>
    <x v="0"/>
    <n v="5"/>
    <s v="Area 5: W Juan de Fuca"/>
    <s v="Area 5: W Juan de Fuca"/>
    <s v="NA"/>
    <x v="0"/>
    <s v="King"/>
    <s v="06King"/>
    <s v="South Puget Sound"/>
    <s v="02South Puget Sound"/>
    <n v="6247.3437892095399"/>
    <n v="6815.18532285536"/>
    <n v="6247.3437892095399"/>
    <n v="6815.18532285536"/>
  </r>
  <r>
    <n v="3462"/>
    <x v="10"/>
    <s v="Marine"/>
    <x v="0"/>
    <x v="0"/>
    <n v="5"/>
    <s v="Area 5: W Juan de Fuca"/>
    <s v="Area 5: W Juan de Fuca"/>
    <s v="NA"/>
    <x v="0"/>
    <s v="Kitsap"/>
    <s v="10Kitsap"/>
    <s v="South Puget Sound"/>
    <s v="02South Puget Sound"/>
    <n v="4968.8789209535798"/>
    <n v="5420.5165964482503"/>
    <n v="4968.8789209535798"/>
    <n v="5420.5165964482503"/>
  </r>
  <r>
    <n v="3392"/>
    <x v="10"/>
    <s v="Marine"/>
    <x v="0"/>
    <x v="0"/>
    <n v="5"/>
    <s v="Area 5: W Juan de Fuca"/>
    <s v="Area 5: W Juan de Fuca"/>
    <s v="NA"/>
    <x v="0"/>
    <s v="Mason"/>
    <s v="09Mason"/>
    <s v="South Puget Sound"/>
    <s v="02South Puget Sound"/>
    <n v="1911.1072772898401"/>
    <n v="2084.8140755570198"/>
    <n v="1911.1072772898401"/>
    <n v="2084.8140755570198"/>
  </r>
  <r>
    <n v="3465"/>
    <x v="10"/>
    <s v="Marine"/>
    <x v="0"/>
    <x v="0"/>
    <n v="5"/>
    <s v="Area 5: W Juan de Fuca"/>
    <s v="Area 5: W Juan de Fuca"/>
    <s v="NA"/>
    <x v="0"/>
    <s v="Other"/>
    <s v="20Other"/>
    <s v="Non Puget Sound"/>
    <s v="07Non Puget Sound"/>
    <n v="7934.3902132998801"/>
    <n v="8655.5729205884509"/>
    <n v="7934.3902132998801"/>
    <n v="8655.5729205884509"/>
  </r>
  <r>
    <n v="3390"/>
    <x v="10"/>
    <s v="Marine"/>
    <x v="0"/>
    <x v="0"/>
    <n v="5"/>
    <s v="Area 5: W Juan de Fuca"/>
    <s v="Area 5: W Juan de Fuca"/>
    <s v="NA"/>
    <x v="0"/>
    <s v="Pierce"/>
    <s v="07Pierce"/>
    <s v="South Puget Sound"/>
    <s v="02South Puget Sound"/>
    <n v="7499.4485570890902"/>
    <n v="8181.0979930478898"/>
    <n v="7499.4485570890902"/>
    <n v="8181.0979930478898"/>
  </r>
  <r>
    <n v="3384"/>
    <x v="10"/>
    <s v="Marine"/>
    <x v="0"/>
    <x v="0"/>
    <n v="5"/>
    <s v="Area 5: W Juan de Fuca"/>
    <s v="Area 5: W Juan de Fuca"/>
    <s v="NA"/>
    <x v="0"/>
    <s v="Skagit"/>
    <s v="02Skagit"/>
    <s v="North Puget Sound"/>
    <s v="01North Puget Sound"/>
    <n v="224.06085319949801"/>
    <n v="244.42647782392601"/>
    <n v="224.06085319949801"/>
    <n v="244.42647782392601"/>
  </r>
  <r>
    <n v="3387"/>
    <x v="10"/>
    <s v="Marine"/>
    <x v="0"/>
    <x v="0"/>
    <n v="5"/>
    <s v="Area 5: W Juan de Fuca"/>
    <s v="Area 5: W Juan de Fuca"/>
    <s v="NA"/>
    <x v="0"/>
    <s v="Snohomish"/>
    <s v="03Snohomish"/>
    <s v="North Puget Sound"/>
    <s v="01North Puget Sound"/>
    <n v="2715.0903387703902"/>
    <n v="2961.8737901016998"/>
    <n v="2715.0903387703902"/>
    <n v="2961.8737901016998"/>
  </r>
  <r>
    <n v="3391"/>
    <x v="10"/>
    <s v="Marine"/>
    <x v="0"/>
    <x v="0"/>
    <n v="5"/>
    <s v="Area 5: W Juan de Fuca"/>
    <s v="Area 5: W Juan de Fuca"/>
    <s v="NA"/>
    <x v="0"/>
    <s v="Thurston"/>
    <s v="08Thurston"/>
    <s v="South Puget Sound"/>
    <s v="02South Puget Sound"/>
    <n v="2860.07089084065"/>
    <n v="3120.0320992818802"/>
    <n v="2860.07089084065"/>
    <n v="3120.0320992818802"/>
  </r>
  <r>
    <n v="3293"/>
    <x v="10"/>
    <s v="Marine"/>
    <x v="0"/>
    <x v="0"/>
    <n v="5"/>
    <s v="Area 5: W Juan de Fuca"/>
    <s v="Area 5: W Juan de Fuca"/>
    <s v="NA"/>
    <x v="0"/>
    <s v="Whatcom"/>
    <s v="01Whatcom"/>
    <s v="North Puget Sound"/>
    <s v="01North Puget Sound"/>
    <n v="474.48180677540802"/>
    <n v="517.609011862432"/>
    <n v="474.48180677540802"/>
    <n v="517.609011862432"/>
  </r>
  <r>
    <n v="1329"/>
    <x v="11"/>
    <s v="Marine"/>
    <x v="0"/>
    <x v="0"/>
    <n v="5"/>
    <s v="Area 5: W Juan de Fuca"/>
    <s v="Area 5: W Juan de Fuca"/>
    <s v="NA"/>
    <x v="0"/>
    <s v="Clallam"/>
    <s v="11Clallam"/>
    <s v="Strait of Juan de Fuca"/>
    <s v="03Strait of Juan de Fuca"/>
    <n v="6088.3767535070101"/>
    <n v="6361.8094006908204"/>
    <n v="6088.3767535070101"/>
    <n v="6361.8094006908204"/>
  </r>
  <r>
    <n v="3588"/>
    <x v="11"/>
    <s v="Marine"/>
    <x v="0"/>
    <x v="0"/>
    <n v="5"/>
    <s v="Area 5: W Juan de Fuca"/>
    <s v="Area 5: W Juan de Fuca"/>
    <s v="NA"/>
    <x v="0"/>
    <s v="Island"/>
    <s v="04Island"/>
    <s v="North Puget Sound"/>
    <s v="01North Puget Sound"/>
    <n v="582.56513026052096"/>
    <n v="608.72847924058499"/>
    <n v="582.56513026052096"/>
    <n v="608.72847924058499"/>
  </r>
  <r>
    <n v="1330"/>
    <x v="11"/>
    <s v="Marine"/>
    <x v="0"/>
    <x v="0"/>
    <n v="5"/>
    <s v="Area 5: W Juan de Fuca"/>
    <s v="Area 5: W Juan de Fuca"/>
    <s v="NA"/>
    <x v="0"/>
    <s v="Jefferson"/>
    <s v="12Jefferson"/>
    <s v="Strait of Juan de Fuca"/>
    <s v="03Strait of Juan de Fuca"/>
    <n v="502.60521042084201"/>
    <n v="525.17751150168101"/>
    <n v="502.60521042084201"/>
    <n v="525.17751150168101"/>
  </r>
  <r>
    <n v="3610"/>
    <x v="11"/>
    <s v="Marine"/>
    <x v="0"/>
    <x v="0"/>
    <n v="5"/>
    <s v="Area 5: W Juan de Fuca"/>
    <s v="Area 5: W Juan de Fuca"/>
    <s v="NA"/>
    <x v="0"/>
    <s v="King"/>
    <s v="06King"/>
    <s v="South Puget Sound"/>
    <s v="02South Puget Sound"/>
    <n v="6431.0621242485004"/>
    <n v="6719.8849767146903"/>
    <n v="6431.0621242485004"/>
    <n v="6719.8849767146903"/>
  </r>
  <r>
    <n v="1328"/>
    <x v="11"/>
    <s v="Marine"/>
    <x v="0"/>
    <x v="0"/>
    <n v="5"/>
    <s v="Area 5: W Juan de Fuca"/>
    <s v="Area 5: W Juan de Fuca"/>
    <s v="NA"/>
    <x v="0"/>
    <s v="Kitsap"/>
    <s v="10Kitsap"/>
    <s v="South Puget Sound"/>
    <s v="02South Puget Sound"/>
    <n v="4169.3386773547099"/>
    <n v="4356.5861749571304"/>
    <n v="4169.3386773547099"/>
    <n v="4356.5861749571304"/>
  </r>
  <r>
    <n v="3637"/>
    <x v="11"/>
    <s v="Marine"/>
    <x v="0"/>
    <x v="0"/>
    <n v="5"/>
    <s v="Area 5: W Juan de Fuca"/>
    <s v="Area 5: W Juan de Fuca"/>
    <s v="NA"/>
    <x v="0"/>
    <s v="Mason"/>
    <s v="09Mason"/>
    <s v="South Puget Sound"/>
    <s v="02South Puget Sound"/>
    <n v="1245.0901803607201"/>
    <n v="1301.00792622007"/>
    <n v="1245.0901803607201"/>
    <n v="1301.00792622007"/>
  </r>
  <r>
    <n v="1331"/>
    <x v="11"/>
    <s v="Marine"/>
    <x v="0"/>
    <x v="0"/>
    <n v="5"/>
    <s v="Area 5: W Juan de Fuca"/>
    <s v="Area 5: W Juan de Fuca"/>
    <s v="NA"/>
    <x v="0"/>
    <s v="Other"/>
    <s v="20Other"/>
    <s v="Non Puget Sound"/>
    <s v="07Non Puget Sound"/>
    <n v="8635.6713426853694"/>
    <n v="9023.5045158016092"/>
    <n v="8635.6713426853694"/>
    <n v="9023.5045158016092"/>
  </r>
  <r>
    <n v="3611"/>
    <x v="11"/>
    <s v="Marine"/>
    <x v="0"/>
    <x v="0"/>
    <n v="5"/>
    <s v="Area 5: W Juan de Fuca"/>
    <s v="Area 5: W Juan de Fuca"/>
    <s v="NA"/>
    <x v="0"/>
    <s v="Pierce"/>
    <s v="07Pierce"/>
    <s v="South Puget Sound"/>
    <s v="02South Puget Sound"/>
    <n v="5540.0801603206401"/>
    <n v="5788.8884790526199"/>
    <n v="5540.0801603206401"/>
    <n v="5788.8884790526199"/>
  </r>
  <r>
    <n v="3508"/>
    <x v="11"/>
    <s v="Marine"/>
    <x v="0"/>
    <x v="0"/>
    <n v="5"/>
    <s v="Area 5: W Juan de Fuca"/>
    <s v="Area 5: W Juan de Fuca"/>
    <s v="NA"/>
    <x v="0"/>
    <s v="Skagit"/>
    <s v="02Skagit"/>
    <s v="North Puget Sound"/>
    <s v="01North Puget Sound"/>
    <n v="673.94789579158305"/>
    <n v="704.21529951361799"/>
    <n v="673.94789579158305"/>
    <n v="704.21529951361799"/>
  </r>
  <r>
    <n v="3509"/>
    <x v="11"/>
    <s v="Marine"/>
    <x v="0"/>
    <x v="0"/>
    <n v="5"/>
    <s v="Area 5: W Juan de Fuca"/>
    <s v="Area 5: W Juan de Fuca"/>
    <s v="NA"/>
    <x v="0"/>
    <s v="Snohomish"/>
    <s v="03Snohomish"/>
    <s v="North Puget Sound"/>
    <s v="01North Puget Sound"/>
    <n v="2787.1743486974001"/>
    <n v="2912.3480183275101"/>
    <n v="2787.1743486974001"/>
    <n v="2912.3480183275101"/>
  </r>
  <r>
    <n v="3612"/>
    <x v="11"/>
    <s v="Marine"/>
    <x v="0"/>
    <x v="0"/>
    <n v="5"/>
    <s v="Area 5: W Juan de Fuca"/>
    <s v="Area 5: W Juan de Fuca"/>
    <s v="NA"/>
    <x v="0"/>
    <s v="Thurston"/>
    <s v="08Thurston"/>
    <s v="South Puget Sound"/>
    <s v="02South Puget Sound"/>
    <n v="2433.0661322645301"/>
    <n v="2542.3365897694998"/>
    <n v="2433.0661322645301"/>
    <n v="2542.3365897694998"/>
  </r>
  <r>
    <n v="3393"/>
    <x v="11"/>
    <s v="Marine"/>
    <x v="0"/>
    <x v="0"/>
    <n v="5"/>
    <s v="Area 5: W Juan de Fuca"/>
    <s v="Area 5: W Juan de Fuca"/>
    <s v="NA"/>
    <x v="0"/>
    <s v="Whatcom"/>
    <s v="01Whatcom"/>
    <s v="North Puget Sound"/>
    <s v="01North Puget Sound"/>
    <n v="811.02204408817704"/>
    <n v="847.44552992316699"/>
    <n v="811.02204408817704"/>
    <n v="847.44552992316699"/>
  </r>
  <r>
    <n v="3327"/>
    <x v="0"/>
    <s v="Marine"/>
    <x v="0"/>
    <x v="0"/>
    <n v="6"/>
    <s v="Area 6: E Juan de Fuca"/>
    <s v="Area 6: E Juan de Fuca"/>
    <s v="NA"/>
    <x v="0"/>
    <s v="Clallam"/>
    <s v="11Clallam"/>
    <s v="Strait of Juan de Fuca"/>
    <s v="03Strait of Juan de Fuca"/>
    <n v="2287.1511254019301"/>
    <n v="10838.455562701"/>
    <n v="2287.1511254019301"/>
    <n v="10838.455562701"/>
  </r>
  <r>
    <n v="3232"/>
    <x v="0"/>
    <s v="Marine"/>
    <x v="0"/>
    <x v="0"/>
    <n v="6"/>
    <s v="Area 6: E Juan de Fuca"/>
    <s v="Area 6: E Juan de Fuca"/>
    <s v="NA"/>
    <x v="0"/>
    <s v="Island"/>
    <s v="04Island"/>
    <s v="North Puget Sound"/>
    <s v="01North Puget Sound"/>
    <n v="29.0739549839228"/>
    <n v="137.77697749196099"/>
    <n v="29.0739549839228"/>
    <n v="137.77697749196099"/>
  </r>
  <r>
    <n v="3328"/>
    <x v="0"/>
    <s v="Marine"/>
    <x v="0"/>
    <x v="0"/>
    <n v="6"/>
    <s v="Area 6: E Juan de Fuca"/>
    <s v="Area 6: E Juan de Fuca"/>
    <s v="NA"/>
    <x v="0"/>
    <s v="Jefferson"/>
    <s v="12Jefferson"/>
    <s v="Strait of Juan de Fuca"/>
    <s v="03Strait of Juan de Fuca"/>
    <n v="92.067524115755702"/>
    <n v="436.29376205787798"/>
    <n v="92.067524115755702"/>
    <n v="436.29376205787798"/>
  </r>
  <r>
    <n v="3233"/>
    <x v="0"/>
    <s v="Marine"/>
    <x v="0"/>
    <x v="0"/>
    <n v="6"/>
    <s v="Area 6: E Juan de Fuca"/>
    <s v="Area 6: E Juan de Fuca"/>
    <s v="NA"/>
    <x v="0"/>
    <s v="King"/>
    <s v="06King"/>
    <s v="South Puget Sound"/>
    <s v="02South Puget Sound"/>
    <n v="92.067524115755702"/>
    <n v="436.29376205787798"/>
    <n v="92.067524115755702"/>
    <n v="436.29376205787798"/>
  </r>
  <r>
    <n v="3326"/>
    <x v="0"/>
    <s v="Marine"/>
    <x v="0"/>
    <x v="0"/>
    <n v="6"/>
    <s v="Area 6: E Juan de Fuca"/>
    <s v="Area 6: E Juan de Fuca"/>
    <s v="NA"/>
    <x v="0"/>
    <s v="Kitsap"/>
    <s v="10Kitsap"/>
    <s v="South Puget Sound"/>
    <s v="02South Puget Sound"/>
    <n v="150.215434083601"/>
    <n v="711.84771704180105"/>
    <n v="150.215434083601"/>
    <n v="711.84771704180105"/>
  </r>
  <r>
    <n v="3325"/>
    <x v="0"/>
    <s v="Marine"/>
    <x v="0"/>
    <x v="0"/>
    <n v="6"/>
    <s v="Area 6: E Juan de Fuca"/>
    <s v="Area 6: E Juan de Fuca"/>
    <s v="NA"/>
    <x v="0"/>
    <s v="Mason"/>
    <s v="09Mason"/>
    <s v="South Puget Sound"/>
    <s v="02South Puget Sound"/>
    <n v="29.0739549839228"/>
    <n v="137.77697749196099"/>
    <n v="29.0739549839228"/>
    <n v="137.77697749196099"/>
  </r>
  <r>
    <n v="3329"/>
    <x v="0"/>
    <s v="Marine"/>
    <x v="0"/>
    <x v="0"/>
    <n v="6"/>
    <s v="Area 6: E Juan de Fuca"/>
    <s v="Area 6: E Juan de Fuca"/>
    <s v="NA"/>
    <x v="0"/>
    <s v="Other"/>
    <s v="20Other"/>
    <s v="Non Puget Sound"/>
    <s v="07Non Puget Sound"/>
    <n v="174.44372990353699"/>
    <n v="826.66186495176896"/>
    <n v="174.44372990353699"/>
    <n v="826.66186495176896"/>
  </r>
  <r>
    <n v="3234"/>
    <x v="0"/>
    <s v="Marine"/>
    <x v="0"/>
    <x v="0"/>
    <n v="6"/>
    <s v="Area 6: E Juan de Fuca"/>
    <s v="Area 6: E Juan de Fuca"/>
    <s v="NA"/>
    <x v="0"/>
    <s v="Pierce"/>
    <s v="07Pierce"/>
    <s v="South Puget Sound"/>
    <s v="02South Puget Sound"/>
    <n v="58.147909967845699"/>
    <n v="275.55395498392301"/>
    <n v="58.147909967845699"/>
    <n v="275.55395498392301"/>
  </r>
  <r>
    <n v="3230"/>
    <x v="0"/>
    <s v="Marine"/>
    <x v="0"/>
    <x v="0"/>
    <n v="6"/>
    <s v="Area 6: E Juan de Fuca"/>
    <s v="Area 6: E Juan de Fuca"/>
    <s v="NA"/>
    <x v="0"/>
    <s v="Skagit"/>
    <s v="02Skagit"/>
    <s v="North Puget Sound"/>
    <s v="01North Puget Sound"/>
    <n v="24.228295819935699"/>
    <n v="114.814147909968"/>
    <n v="24.228295819935699"/>
    <n v="114.814147909968"/>
  </r>
  <r>
    <n v="3231"/>
    <x v="0"/>
    <s v="Marine"/>
    <x v="0"/>
    <x v="0"/>
    <n v="6"/>
    <s v="Area 6: E Juan de Fuca"/>
    <s v="Area 6: E Juan de Fuca"/>
    <s v="NA"/>
    <x v="0"/>
    <s v="Snohomish"/>
    <s v="03Snohomish"/>
    <s v="North Puget Sound"/>
    <s v="01North Puget Sound"/>
    <n v="38.765273311897097"/>
    <n v="183.70263665594899"/>
    <n v="38.765273311897097"/>
    <n v="183.70263665594899"/>
  </r>
  <r>
    <n v="3235"/>
    <x v="0"/>
    <s v="Marine"/>
    <x v="0"/>
    <x v="0"/>
    <n v="6"/>
    <s v="Area 6: E Juan de Fuca"/>
    <s v="Area 6: E Juan de Fuca"/>
    <s v="NA"/>
    <x v="0"/>
    <s v="Thurston"/>
    <s v="08Thurston"/>
    <s v="South Puget Sound"/>
    <s v="02South Puget Sound"/>
    <n v="14.5369774919614"/>
    <n v="68.888488745980695"/>
    <n v="14.5369774919614"/>
    <n v="68.888488745980695"/>
  </r>
  <r>
    <n v="3123"/>
    <x v="0"/>
    <s v="Marine"/>
    <x v="0"/>
    <x v="0"/>
    <n v="6"/>
    <s v="Area 6: E Juan de Fuca"/>
    <s v="Area 6: E Juan de Fuca"/>
    <s v="NA"/>
    <x v="0"/>
    <s v="Whatcom"/>
    <s v="01Whatcom"/>
    <s v="North Puget Sound"/>
    <s v="01North Puget Sound"/>
    <n v="24.228295819935699"/>
    <n v="114.814147909968"/>
    <n v="24.228295819935699"/>
    <n v="114.814147909968"/>
  </r>
  <r>
    <n v="1320"/>
    <x v="1"/>
    <s v="Marine"/>
    <x v="0"/>
    <x v="0"/>
    <n v="6"/>
    <s v="Area 6: E Juan de Fuca"/>
    <s v="Area 6: E Juan de Fuca"/>
    <s v="NA"/>
    <x v="0"/>
    <s v="Clallam"/>
    <s v="11Clallam"/>
    <s v="Strait of Juan de Fuca"/>
    <s v="03Strait of Juan de Fuca"/>
    <n v="13391.017411491601"/>
    <n v="16812.109349971"/>
    <n v="13391.017411491601"/>
    <n v="16812.109349971"/>
  </r>
  <r>
    <n v="3583"/>
    <x v="1"/>
    <s v="Marine"/>
    <x v="0"/>
    <x v="0"/>
    <n v="6"/>
    <s v="Area 6: E Juan de Fuca"/>
    <s v="Area 6: E Juan de Fuca"/>
    <s v="NA"/>
    <x v="0"/>
    <s v="Island"/>
    <s v="04Island"/>
    <s v="North Puget Sound"/>
    <s v="01North Puget Sound"/>
    <n v="1922.2399883923399"/>
    <n v="2413.32737376669"/>
    <n v="1922.2399883923399"/>
    <n v="2413.32737376669"/>
  </r>
  <r>
    <n v="1321"/>
    <x v="1"/>
    <s v="Marine"/>
    <x v="0"/>
    <x v="0"/>
    <n v="6"/>
    <s v="Area 6: E Juan de Fuca"/>
    <s v="Area 6: E Juan de Fuca"/>
    <s v="NA"/>
    <x v="0"/>
    <s v="Jefferson"/>
    <s v="12Jefferson"/>
    <s v="Strait of Juan de Fuca"/>
    <s v="03Strait of Juan de Fuca"/>
    <n v="352.704585026117"/>
    <n v="442.81236215902499"/>
    <n v="352.704585026117"/>
    <n v="442.81236215902499"/>
  </r>
  <r>
    <n v="3632"/>
    <x v="1"/>
    <s v="Marine"/>
    <x v="0"/>
    <x v="0"/>
    <n v="6"/>
    <s v="Area 6: E Juan de Fuca"/>
    <s v="Area 6: E Juan de Fuca"/>
    <s v="NA"/>
    <x v="0"/>
    <s v="King"/>
    <s v="06King"/>
    <s v="South Puget Sound"/>
    <s v="02South Puget Sound"/>
    <n v="634.86825304701097"/>
    <n v="797.06225188624501"/>
    <n v="634.86825304701097"/>
    <n v="797.06225188624501"/>
  </r>
  <r>
    <n v="3716"/>
    <x v="1"/>
    <s v="Marine"/>
    <x v="0"/>
    <x v="0"/>
    <n v="6"/>
    <s v="Area 6: E Juan de Fuca"/>
    <s v="Area 6: E Juan de Fuca"/>
    <s v="NA"/>
    <x v="0"/>
    <s v="Kitsap"/>
    <s v="10Kitsap"/>
    <s v="South Puget Sound"/>
    <s v="02South Puget Sound"/>
    <n v="611.35461404526995"/>
    <n v="767.54142774231002"/>
    <n v="611.35461404526995"/>
    <n v="767.54142774231002"/>
  </r>
  <r>
    <n v="3715"/>
    <x v="1"/>
    <s v="Marine"/>
    <x v="0"/>
    <x v="0"/>
    <n v="6"/>
    <s v="Area 6: E Juan de Fuca"/>
    <s v="Area 6: E Juan de Fuca"/>
    <s v="NA"/>
    <x v="0"/>
    <s v="Mason"/>
    <s v="09Mason"/>
    <s v="South Puget Sound"/>
    <s v="02South Puget Sound"/>
    <n v="35.270458502611703"/>
    <n v="44.281236215902503"/>
    <n v="35.270458502611703"/>
    <n v="44.281236215902503"/>
  </r>
  <r>
    <n v="1322"/>
    <x v="1"/>
    <s v="Marine"/>
    <x v="0"/>
    <x v="0"/>
    <n v="6"/>
    <s v="Area 6: E Juan de Fuca"/>
    <s v="Area 6: E Juan de Fuca"/>
    <s v="NA"/>
    <x v="0"/>
    <s v="Other"/>
    <s v="20Other"/>
    <s v="Non Puget Sound"/>
    <s v="07Non Puget Sound"/>
    <n v="1587.1706326175299"/>
    <n v="1992.6556297156101"/>
    <n v="1587.1706326175299"/>
    <n v="1992.6556297156101"/>
  </r>
  <r>
    <n v="3662"/>
    <x v="1"/>
    <s v="Marine"/>
    <x v="0"/>
    <x v="0"/>
    <n v="6"/>
    <s v="Area 6: E Juan de Fuca"/>
    <s v="Area 6: E Juan de Fuca"/>
    <s v="NA"/>
    <x v="0"/>
    <s v="Pierce"/>
    <s v="07Pierce"/>
    <s v="South Puget Sound"/>
    <s v="02South Puget Sound"/>
    <n v="734.80121880441095"/>
    <n v="922.52575449796905"/>
    <n v="734.80121880441095"/>
    <n v="922.52575449796905"/>
  </r>
  <r>
    <n v="3631"/>
    <x v="1"/>
    <s v="Marine"/>
    <x v="0"/>
    <x v="0"/>
    <n v="6"/>
    <s v="Area 6: E Juan de Fuca"/>
    <s v="Area 6: E Juan de Fuca"/>
    <s v="NA"/>
    <x v="0"/>
    <s v="San Juan"/>
    <s v="05San Juan"/>
    <s v="North Puget Sound"/>
    <s v="01North Puget Sound"/>
    <n v="29.3920487521764"/>
    <n v="36.901030179918799"/>
    <n v="29.3920487521764"/>
    <n v="36.901030179918799"/>
  </r>
  <r>
    <n v="3581"/>
    <x v="1"/>
    <s v="Marine"/>
    <x v="0"/>
    <x v="0"/>
    <n v="6"/>
    <s v="Area 6: E Juan de Fuca"/>
    <s v="Area 6: E Juan de Fuca"/>
    <s v="NA"/>
    <x v="0"/>
    <s v="Skagit"/>
    <s v="02Skagit"/>
    <s v="North Puget Sound"/>
    <s v="01North Puget Sound"/>
    <n v="676.01712130005797"/>
    <n v="848.72369413813101"/>
    <n v="676.01712130005797"/>
    <n v="848.72369413813101"/>
  </r>
  <r>
    <n v="3582"/>
    <x v="1"/>
    <s v="Marine"/>
    <x v="0"/>
    <x v="0"/>
    <n v="6"/>
    <s v="Area 6: E Juan de Fuca"/>
    <s v="Area 6: E Juan de Fuca"/>
    <s v="NA"/>
    <x v="0"/>
    <s v="Snohomish"/>
    <s v="03Snohomish"/>
    <s v="North Puget Sound"/>
    <s v="01North Puget Sound"/>
    <n v="141.08183401044701"/>
    <n v="177.12494486361001"/>
    <n v="141.08183401044701"/>
    <n v="177.12494486361001"/>
  </r>
  <r>
    <n v="3691"/>
    <x v="1"/>
    <s v="Marine"/>
    <x v="0"/>
    <x v="0"/>
    <n v="6"/>
    <s v="Area 6: E Juan de Fuca"/>
    <s v="Area 6: E Juan de Fuca"/>
    <s v="NA"/>
    <x v="0"/>
    <s v="Thurston"/>
    <s v="08Thurston"/>
    <s v="South Puget Sound"/>
    <s v="02South Puget Sound"/>
    <n v="23.5136390017412"/>
    <n v="29.520824143934998"/>
    <n v="23.5136390017412"/>
    <n v="29.520824143934998"/>
  </r>
  <r>
    <n v="3580"/>
    <x v="1"/>
    <s v="Marine"/>
    <x v="0"/>
    <x v="0"/>
    <n v="6"/>
    <s v="Area 6: E Juan de Fuca"/>
    <s v="Area 6: E Juan de Fuca"/>
    <s v="NA"/>
    <x v="0"/>
    <s v="Whatcom"/>
    <s v="01Whatcom"/>
    <s v="North Puget Sound"/>
    <s v="01North Puget Sound"/>
    <n v="117.568195008706"/>
    <n v="147.604120719675"/>
    <n v="117.568195008706"/>
    <n v="147.604120719675"/>
  </r>
  <r>
    <n v="1499"/>
    <x v="2"/>
    <s v="Marine"/>
    <x v="0"/>
    <x v="0"/>
    <n v="6"/>
    <s v="Area 6: E Juan de Fuca"/>
    <s v="Area 6: E Juan de Fuca"/>
    <s v="NA"/>
    <x v="0"/>
    <s v="Clallam"/>
    <s v="11Clallam"/>
    <s v="Strait of Juan de Fuca"/>
    <s v="03Strait of Juan de Fuca"/>
    <n v="13429.9118130964"/>
    <n v="19056.955811122101"/>
    <n v="13429.9118130964"/>
    <n v="19056.955811122101"/>
  </r>
  <r>
    <n v="1482"/>
    <x v="2"/>
    <s v="Marine"/>
    <x v="0"/>
    <x v="0"/>
    <n v="6"/>
    <s v="Area 6: E Juan de Fuca"/>
    <s v="Area 6: E Juan de Fuca"/>
    <s v="NA"/>
    <x v="0"/>
    <s v="Island"/>
    <s v="04Island"/>
    <s v="North Puget Sound"/>
    <s v="01North Puget Sound"/>
    <n v="253.28594932543601"/>
    <n v="359.411082592958"/>
    <n v="253.28594932543601"/>
    <n v="359.411082592958"/>
  </r>
  <r>
    <n v="1500"/>
    <x v="2"/>
    <s v="Marine"/>
    <x v="0"/>
    <x v="0"/>
    <n v="6"/>
    <s v="Area 6: E Juan de Fuca"/>
    <s v="Area 6: E Juan de Fuca"/>
    <s v="NA"/>
    <x v="0"/>
    <s v="Jefferson"/>
    <s v="12Jefferson"/>
    <s v="Strait of Juan de Fuca"/>
    <s v="03Strait of Juan de Fuca"/>
    <n v="287.82494241526803"/>
    <n v="408.421684764725"/>
    <n v="287.82494241526803"/>
    <n v="408.421684764725"/>
  </r>
  <r>
    <n v="1483"/>
    <x v="2"/>
    <s v="Marine"/>
    <x v="0"/>
    <x v="0"/>
    <n v="6"/>
    <s v="Area 6: E Juan de Fuca"/>
    <s v="Area 6: E Juan de Fuca"/>
    <s v="NA"/>
    <x v="0"/>
    <s v="King"/>
    <s v="06King"/>
    <s v="South Puget Sound"/>
    <s v="02South Puget Sound"/>
    <n v="817.42283645936197"/>
    <n v="1159.9175847318199"/>
    <n v="817.42283645936197"/>
    <n v="1159.9175847318199"/>
  </r>
  <r>
    <n v="1487"/>
    <x v="2"/>
    <s v="Marine"/>
    <x v="0"/>
    <x v="0"/>
    <n v="6"/>
    <s v="Area 6: E Juan de Fuca"/>
    <s v="Area 6: E Juan de Fuca"/>
    <s v="NA"/>
    <x v="0"/>
    <s v="Kitsap"/>
    <s v="10Kitsap"/>
    <s v="South Puget Sound"/>
    <s v="02South Puget Sound"/>
    <n v="754.10134912800299"/>
    <n v="1070.0648140835799"/>
    <n v="754.10134912800299"/>
    <n v="1070.0648140835799"/>
  </r>
  <r>
    <n v="1486"/>
    <x v="2"/>
    <s v="Marine"/>
    <x v="0"/>
    <x v="0"/>
    <n v="6"/>
    <s v="Area 6: E Juan de Fuca"/>
    <s v="Area 6: E Juan de Fuca"/>
    <s v="NA"/>
    <x v="0"/>
    <s v="Mason"/>
    <s v="09Mason"/>
    <s v="South Puget Sound"/>
    <s v="02South Puget Sound"/>
    <n v="40.295491938137602"/>
    <n v="57.179035867061501"/>
    <n v="40.295491938137602"/>
    <n v="57.179035867061501"/>
  </r>
  <r>
    <n v="1501"/>
    <x v="2"/>
    <s v="Marine"/>
    <x v="0"/>
    <x v="0"/>
    <n v="6"/>
    <s v="Area 6: E Juan de Fuca"/>
    <s v="Area 6: E Juan de Fuca"/>
    <s v="NA"/>
    <x v="0"/>
    <s v="Other"/>
    <s v="20Other"/>
    <s v="Non Puget Sound"/>
    <s v="07Non Puget Sound"/>
    <n v="880.74432379072096"/>
    <n v="1249.77035538006"/>
    <n v="880.74432379072096"/>
    <n v="1249.77035538006"/>
  </r>
  <r>
    <n v="1484"/>
    <x v="2"/>
    <s v="Marine"/>
    <x v="0"/>
    <x v="0"/>
    <n v="6"/>
    <s v="Area 6: E Juan de Fuca"/>
    <s v="Area 6: E Juan de Fuca"/>
    <s v="NA"/>
    <x v="0"/>
    <s v="Pierce"/>
    <s v="07Pierce"/>
    <s v="South Puget Sound"/>
    <s v="02South Puget Sound"/>
    <n v="402.95491938137599"/>
    <n v="571.79035867061498"/>
    <n v="402.95491938137599"/>
    <n v="571.79035867061498"/>
  </r>
  <r>
    <n v="1480"/>
    <x v="2"/>
    <s v="Marine"/>
    <x v="0"/>
    <x v="0"/>
    <n v="6"/>
    <s v="Area 6: E Juan de Fuca"/>
    <s v="Area 6: E Juan de Fuca"/>
    <s v="NA"/>
    <x v="0"/>
    <s v="Skagit"/>
    <s v="02Skagit"/>
    <s v="North Puget Sound"/>
    <s v="01North Puget Sound"/>
    <n v="212.99045738729899"/>
    <n v="302.23204672589702"/>
    <n v="212.99045738729899"/>
    <n v="302.23204672589702"/>
  </r>
  <r>
    <n v="1481"/>
    <x v="2"/>
    <s v="Marine"/>
    <x v="0"/>
    <x v="0"/>
    <n v="6"/>
    <s v="Area 6: E Juan de Fuca"/>
    <s v="Area 6: E Juan de Fuca"/>
    <s v="NA"/>
    <x v="0"/>
    <s v="Snohomish"/>
    <s v="03Snohomish"/>
    <s v="North Puget Sound"/>
    <s v="01North Puget Sound"/>
    <n v="247.52945047713101"/>
    <n v="351.24264889766403"/>
    <n v="247.52945047713101"/>
    <n v="351.24264889766403"/>
  </r>
  <r>
    <n v="1485"/>
    <x v="2"/>
    <s v="Marine"/>
    <x v="0"/>
    <x v="0"/>
    <n v="6"/>
    <s v="Area 6: E Juan de Fuca"/>
    <s v="Area 6: E Juan de Fuca"/>
    <s v="NA"/>
    <x v="0"/>
    <s v="Thurston"/>
    <s v="08Thurston"/>
    <s v="South Puget Sound"/>
    <s v="02South Puget Sound"/>
    <n v="97.860480421191198"/>
    <n v="138.86337282000699"/>
    <n v="97.860480421191198"/>
    <n v="138.86337282000699"/>
  </r>
  <r>
    <n v="1479"/>
    <x v="2"/>
    <s v="Marine"/>
    <x v="0"/>
    <x v="0"/>
    <n v="6"/>
    <s v="Area 6: E Juan de Fuca"/>
    <s v="Area 6: E Juan de Fuca"/>
    <s v="NA"/>
    <x v="0"/>
    <s v="Whatcom"/>
    <s v="01Whatcom"/>
    <s v="North Puget Sound"/>
    <s v="01North Puget Sound"/>
    <n v="69.077986179664407"/>
    <n v="98.021204343534095"/>
    <n v="69.077986179664407"/>
    <n v="98.021204343534095"/>
  </r>
  <r>
    <n v="1676"/>
    <x v="3"/>
    <s v="Marine"/>
    <x v="0"/>
    <x v="0"/>
    <n v="6"/>
    <s v="Area 6: E Juan de Fuca"/>
    <s v="Area 6: E Juan de Fuca"/>
    <s v="NA"/>
    <x v="0"/>
    <s v="Clallam"/>
    <s v="11Clallam"/>
    <s v="Strait of Juan de Fuca"/>
    <s v="03Strait of Juan de Fuca"/>
    <n v="15445.454450042"/>
    <n v="14801.135335852199"/>
    <n v="15445.454450042"/>
    <n v="14801.135335852199"/>
  </r>
  <r>
    <n v="1670"/>
    <x v="3"/>
    <s v="Marine"/>
    <x v="0"/>
    <x v="0"/>
    <n v="6"/>
    <s v="Area 6: E Juan de Fuca"/>
    <s v="Area 6: E Juan de Fuca"/>
    <s v="NA"/>
    <x v="0"/>
    <s v="Island"/>
    <s v="04Island"/>
    <s v="North Puget Sound"/>
    <s v="01North Puget Sound"/>
    <n v="3690.90575146935"/>
    <n v="3536.9367548278801"/>
    <n v="3690.90575146935"/>
    <n v="3536.9367548278801"/>
  </r>
  <r>
    <n v="1677"/>
    <x v="3"/>
    <s v="Marine"/>
    <x v="0"/>
    <x v="0"/>
    <n v="6"/>
    <s v="Area 6: E Juan de Fuca"/>
    <s v="Area 6: E Juan de Fuca"/>
    <s v="NA"/>
    <x v="0"/>
    <s v="Jefferson"/>
    <s v="12Jefferson"/>
    <s v="Strait of Juan de Fuca"/>
    <s v="03Strait of Juan de Fuca"/>
    <n v="450.79764903442498"/>
    <n v="431.99227539882497"/>
    <n v="450.79764903442498"/>
    <n v="431.99227539882497"/>
  </r>
  <r>
    <n v="1671"/>
    <x v="3"/>
    <s v="Marine"/>
    <x v="0"/>
    <x v="0"/>
    <n v="6"/>
    <s v="Area 6: E Juan de Fuca"/>
    <s v="Area 6: E Juan de Fuca"/>
    <s v="NA"/>
    <x v="0"/>
    <s v="King"/>
    <s v="06King"/>
    <s v="South Puget Sound"/>
    <s v="02South Puget Sound"/>
    <n v="1138.2640638119201"/>
    <n v="1090.78049538203"/>
    <n v="1138.2640638119201"/>
    <n v="1090.78049538203"/>
  </r>
  <r>
    <n v="1675"/>
    <x v="3"/>
    <s v="Marine"/>
    <x v="0"/>
    <x v="0"/>
    <n v="6"/>
    <s v="Area 6: E Juan de Fuca"/>
    <s v="Area 6: E Juan de Fuca"/>
    <s v="NA"/>
    <x v="0"/>
    <s v="Kitsap"/>
    <s v="10Kitsap"/>
    <s v="South Puget Sound"/>
    <s v="02South Puget Sound"/>
    <n v="935.40512174643197"/>
    <n v="896.38397145256101"/>
    <n v="935.40512174643197"/>
    <n v="896.38397145256101"/>
  </r>
  <r>
    <n v="1674"/>
    <x v="3"/>
    <s v="Marine"/>
    <x v="0"/>
    <x v="0"/>
    <n v="6"/>
    <s v="Area 6: E Juan de Fuca"/>
    <s v="Area 6: E Juan de Fuca"/>
    <s v="NA"/>
    <x v="0"/>
    <s v="Mason"/>
    <s v="09Mason"/>
    <s v="South Puget Sound"/>
    <s v="02South Puget Sound"/>
    <n v="219.763853904282"/>
    <n v="210.596234256927"/>
    <n v="219.763853904282"/>
    <n v="210.596234256927"/>
  </r>
  <r>
    <n v="1678"/>
    <x v="3"/>
    <s v="Marine"/>
    <x v="0"/>
    <x v="0"/>
    <n v="6"/>
    <s v="Area 6: E Juan de Fuca"/>
    <s v="Area 6: E Juan de Fuca"/>
    <s v="NA"/>
    <x v="0"/>
    <s v="Other"/>
    <s v="20Other"/>
    <s v="Non Puget Sound"/>
    <s v="07Non Puget Sound"/>
    <n v="2699.1509235936201"/>
    <n v="2586.55374895046"/>
    <n v="2699.1509235936201"/>
    <n v="2586.55374895046"/>
  </r>
  <r>
    <n v="1672"/>
    <x v="3"/>
    <s v="Marine"/>
    <x v="0"/>
    <x v="0"/>
    <n v="6"/>
    <s v="Area 6: E Juan de Fuca"/>
    <s v="Area 6: E Juan de Fuca"/>
    <s v="NA"/>
    <x v="0"/>
    <s v="Pierce"/>
    <s v="07Pierce"/>
    <s v="South Puget Sound"/>
    <s v="02South Puget Sound"/>
    <n v="670.56150293870701"/>
    <n v="642.58850965575095"/>
    <n v="670.56150293870701"/>
    <n v="642.58850965575095"/>
  </r>
  <r>
    <n v="1657"/>
    <x v="3"/>
    <s v="Marine"/>
    <x v="0"/>
    <x v="0"/>
    <n v="6"/>
    <s v="Area 6: E Juan de Fuca"/>
    <s v="Area 6: E Juan de Fuca"/>
    <s v="NA"/>
    <x v="0"/>
    <s v="Skagit"/>
    <s v="02Skagit"/>
    <s v="North Puget Sound"/>
    <s v="01North Puget Sound"/>
    <n v="963.57997481108305"/>
    <n v="923.38348866498802"/>
    <n v="963.57997481108305"/>
    <n v="923.38348866498802"/>
  </r>
  <r>
    <n v="1658"/>
    <x v="3"/>
    <s v="Marine"/>
    <x v="0"/>
    <x v="0"/>
    <n v="6"/>
    <s v="Area 6: E Juan de Fuca"/>
    <s v="Area 6: E Juan de Fuca"/>
    <s v="NA"/>
    <x v="0"/>
    <s v="Snohomish"/>
    <s v="03Snohomish"/>
    <s v="North Puget Sound"/>
    <s v="01North Puget Sound"/>
    <n v="400.08291351805201"/>
    <n v="383.39314441645701"/>
    <n v="400.08291351805201"/>
    <n v="383.39314441645701"/>
  </r>
  <r>
    <n v="1673"/>
    <x v="3"/>
    <s v="Marine"/>
    <x v="0"/>
    <x v="0"/>
    <n v="6"/>
    <s v="Area 6: E Juan de Fuca"/>
    <s v="Area 6: E Juan de Fuca"/>
    <s v="NA"/>
    <x v="0"/>
    <s v="Thurston"/>
    <s v="08Thurston"/>
    <s v="South Puget Sound"/>
    <s v="02South Puget Sound"/>
    <n v="112.699412258606"/>
    <n v="107.998068849706"/>
    <n v="112.699412258606"/>
    <n v="107.998068849706"/>
  </r>
  <r>
    <n v="1656"/>
    <x v="3"/>
    <s v="Marine"/>
    <x v="0"/>
    <x v="0"/>
    <n v="6"/>
    <s v="Area 6: E Juan de Fuca"/>
    <s v="Area 6: E Juan de Fuca"/>
    <s v="NA"/>
    <x v="0"/>
    <s v="Whatcom"/>
    <s v="01Whatcom"/>
    <s v="North Puget Sound"/>
    <s v="01North Puget Sound"/>
    <n v="118.334382871537"/>
    <n v="113.397972292191"/>
    <n v="118.334382871537"/>
    <n v="113.397972292191"/>
  </r>
  <r>
    <n v="2000"/>
    <x v="4"/>
    <s v="Marine"/>
    <x v="0"/>
    <x v="0"/>
    <n v="6"/>
    <s v="Area 6: E Juan de Fuca"/>
    <s v="Area 6: E Juan de Fuca"/>
    <s v="NA"/>
    <x v="0"/>
    <s v="Clallam"/>
    <s v="11Clallam"/>
    <s v="Strait of Juan de Fuca"/>
    <s v="03Strait of Juan de Fuca"/>
    <n v="15400.381260096899"/>
    <n v="24163.159172859501"/>
    <n v="15400.381260096899"/>
    <n v="24163.159172859501"/>
  </r>
  <r>
    <n v="1986"/>
    <x v="4"/>
    <s v="Marine"/>
    <x v="0"/>
    <x v="0"/>
    <n v="6"/>
    <s v="Area 6: E Juan de Fuca"/>
    <s v="Area 6: E Juan de Fuca"/>
    <s v="NA"/>
    <x v="0"/>
    <s v="Island"/>
    <s v="04Island"/>
    <s v="North Puget Sound"/>
    <s v="01North Puget Sound"/>
    <n v="462.85298869143799"/>
    <n v="726.21516639741503"/>
    <n v="462.85298869143799"/>
    <n v="726.21516639741503"/>
  </r>
  <r>
    <n v="2001"/>
    <x v="4"/>
    <s v="Marine"/>
    <x v="0"/>
    <x v="0"/>
    <n v="6"/>
    <s v="Area 6: E Juan de Fuca"/>
    <s v="Area 6: E Juan de Fuca"/>
    <s v="NA"/>
    <x v="0"/>
    <s v="Jefferson"/>
    <s v="12Jefferson"/>
    <s v="Strait of Juan de Fuca"/>
    <s v="03Strait of Juan de Fuca"/>
    <n v="511.94345718901502"/>
    <n v="803.23798707592903"/>
    <n v="511.94345718901502"/>
    <n v="803.23798707592903"/>
  </r>
  <r>
    <n v="1988"/>
    <x v="4"/>
    <s v="Marine"/>
    <x v="0"/>
    <x v="0"/>
    <n v="6"/>
    <s v="Area 6: E Juan de Fuca"/>
    <s v="Area 6: E Juan de Fuca"/>
    <s v="NA"/>
    <x v="0"/>
    <s v="King"/>
    <s v="06King"/>
    <s v="South Puget Sound"/>
    <s v="02South Puget Sound"/>
    <n v="981.80936995153502"/>
    <n v="1540.4564135702699"/>
    <n v="981.80936995153502"/>
    <n v="1540.4564135702699"/>
  </r>
  <r>
    <n v="1999"/>
    <x v="4"/>
    <s v="Marine"/>
    <x v="0"/>
    <x v="0"/>
    <n v="6"/>
    <s v="Area 6: E Juan de Fuca"/>
    <s v="Area 6: E Juan de Fuca"/>
    <s v="NA"/>
    <x v="0"/>
    <s v="Kitsap"/>
    <s v="10Kitsap"/>
    <s v="South Puget Sound"/>
    <s v="02South Puget Sound"/>
    <n v="1058.95153473344"/>
    <n v="1661.49227463651"/>
    <n v="1058.95153473344"/>
    <n v="1661.49227463651"/>
  </r>
  <r>
    <n v="1991"/>
    <x v="4"/>
    <s v="Marine"/>
    <x v="0"/>
    <x v="0"/>
    <n v="6"/>
    <s v="Area 6: E Juan de Fuca"/>
    <s v="Area 6: E Juan de Fuca"/>
    <s v="NA"/>
    <x v="0"/>
    <s v="Mason"/>
    <s v="09Mason"/>
    <s v="South Puget Sound"/>
    <s v="02South Puget Sound"/>
    <n v="56.103392568659103"/>
    <n v="88.026080775444299"/>
    <n v="56.103392568659103"/>
    <n v="88.026080775444299"/>
  </r>
  <r>
    <n v="2002"/>
    <x v="4"/>
    <s v="Marine"/>
    <x v="0"/>
    <x v="0"/>
    <n v="6"/>
    <s v="Area 6: E Juan de Fuca"/>
    <s v="Area 6: E Juan de Fuca"/>
    <s v="NA"/>
    <x v="0"/>
    <s v="Other"/>
    <s v="20Other"/>
    <s v="Non Puget Sound"/>
    <s v="07Non Puget Sound"/>
    <n v="1458.68820678514"/>
    <n v="2288.67810016155"/>
    <n v="1458.68820678514"/>
    <n v="2288.67810016155"/>
  </r>
  <r>
    <n v="1989"/>
    <x v="4"/>
    <s v="Marine"/>
    <x v="0"/>
    <x v="0"/>
    <n v="6"/>
    <s v="Area 6: E Juan de Fuca"/>
    <s v="Area 6: E Juan de Fuca"/>
    <s v="NA"/>
    <x v="0"/>
    <s v="Pierce"/>
    <s v="07Pierce"/>
    <s v="South Puget Sound"/>
    <s v="02South Puget Sound"/>
    <n v="652.20193861066195"/>
    <n v="1023.30318901454"/>
    <n v="652.20193861066195"/>
    <n v="1023.30318901454"/>
  </r>
  <r>
    <n v="1987"/>
    <x v="4"/>
    <s v="Marine"/>
    <x v="0"/>
    <x v="0"/>
    <n v="6"/>
    <s v="Area 6: E Juan de Fuca"/>
    <s v="Area 6: E Juan de Fuca"/>
    <s v="NA"/>
    <x v="0"/>
    <s v="San Juan"/>
    <s v="05San Juan"/>
    <s v="North Puget Sound"/>
    <s v="01North Puget Sound"/>
    <n v="21.038772213247199"/>
    <n v="33.009780290791603"/>
    <n v="21.038772213247199"/>
    <n v="33.009780290791603"/>
  </r>
  <r>
    <n v="1843"/>
    <x v="4"/>
    <s v="Marine"/>
    <x v="0"/>
    <x v="0"/>
    <n v="6"/>
    <s v="Area 6: E Juan de Fuca"/>
    <s v="Area 6: E Juan de Fuca"/>
    <s v="NA"/>
    <x v="0"/>
    <s v="Skagit"/>
    <s v="02Skagit"/>
    <s v="North Puget Sound"/>
    <s v="01North Puget Sound"/>
    <n v="392.72374798061401"/>
    <n v="616.18256542811002"/>
    <n v="392.72374798061401"/>
    <n v="616.18256542811002"/>
  </r>
  <r>
    <n v="1844"/>
    <x v="4"/>
    <s v="Marine"/>
    <x v="0"/>
    <x v="0"/>
    <n v="6"/>
    <s v="Area 6: E Juan de Fuca"/>
    <s v="Area 6: E Juan de Fuca"/>
    <s v="NA"/>
    <x v="0"/>
    <s v="Snohomish"/>
    <s v="03Snohomish"/>
    <s v="North Puget Sound"/>
    <s v="01North Puget Sound"/>
    <n v="462.85298869143799"/>
    <n v="726.21516639741503"/>
    <n v="462.85298869143799"/>
    <n v="726.21516639741503"/>
  </r>
  <r>
    <n v="1990"/>
    <x v="4"/>
    <s v="Marine"/>
    <x v="0"/>
    <x v="0"/>
    <n v="6"/>
    <s v="Area 6: E Juan de Fuca"/>
    <s v="Area 6: E Juan de Fuca"/>
    <s v="NA"/>
    <x v="0"/>
    <s v="Thurston"/>
    <s v="08Thurston"/>
    <s v="South Puget Sound"/>
    <s v="02South Puget Sound"/>
    <n v="182.33602584814199"/>
    <n v="286.08476252019398"/>
    <n v="182.33602584814199"/>
    <n v="286.08476252019398"/>
  </r>
  <r>
    <n v="1842"/>
    <x v="4"/>
    <s v="Marine"/>
    <x v="0"/>
    <x v="0"/>
    <n v="6"/>
    <s v="Area 6: E Juan de Fuca"/>
    <s v="Area 6: E Juan de Fuca"/>
    <s v="NA"/>
    <x v="0"/>
    <s v="Whatcom"/>
    <s v="01Whatcom"/>
    <s v="North Puget Sound"/>
    <s v="01North Puget Sound"/>
    <n v="63.116316639741498"/>
    <n v="99.029340872374803"/>
    <n v="63.116316639741498"/>
    <n v="99.029340872374803"/>
  </r>
  <r>
    <n v="2281"/>
    <x v="5"/>
    <s v="Marine"/>
    <x v="0"/>
    <x v="0"/>
    <n v="6"/>
    <s v="Area 6: E Juan de Fuca"/>
    <s v="Area 6: E Juan de Fuca"/>
    <s v="NA"/>
    <x v="0"/>
    <s v="Clallam"/>
    <s v="11Clallam"/>
    <s v="Strait of Juan de Fuca"/>
    <s v="03Strait of Juan de Fuca"/>
    <n v="21490.199560088"/>
    <n v="20448.6982123575"/>
    <n v="21490.199560088"/>
    <n v="20448.6982123575"/>
  </r>
  <r>
    <n v="2265"/>
    <x v="5"/>
    <s v="Marine"/>
    <x v="0"/>
    <x v="0"/>
    <n v="6"/>
    <s v="Area 6: E Juan de Fuca"/>
    <s v="Area 6: E Juan de Fuca"/>
    <s v="NA"/>
    <x v="0"/>
    <s v="Island"/>
    <s v="04Island"/>
    <s v="North Puget Sound"/>
    <s v="01North Puget Sound"/>
    <n v="2567.1361727654498"/>
    <n v="2442.7224475104999"/>
    <n v="2567.1361727654498"/>
    <n v="2442.7224475104999"/>
  </r>
  <r>
    <n v="2282"/>
    <x v="5"/>
    <s v="Marine"/>
    <x v="0"/>
    <x v="0"/>
    <n v="6"/>
    <s v="Area 6: E Juan de Fuca"/>
    <s v="Area 6: E Juan de Fuca"/>
    <s v="NA"/>
    <x v="0"/>
    <s v="Jefferson"/>
    <s v="12Jefferson"/>
    <s v="Strait of Juan de Fuca"/>
    <s v="03Strait of Juan de Fuca"/>
    <n v="1391.4017196560701"/>
    <n v="1323.9688062387499"/>
    <n v="1391.4017196560701"/>
    <n v="1323.9688062387499"/>
  </r>
  <r>
    <n v="2267"/>
    <x v="5"/>
    <s v="Marine"/>
    <x v="0"/>
    <x v="0"/>
    <n v="6"/>
    <s v="Area 6: E Juan de Fuca"/>
    <s v="Area 6: E Juan de Fuca"/>
    <s v="NA"/>
    <x v="0"/>
    <s v="King"/>
    <s v="06King"/>
    <s v="South Puget Sound"/>
    <s v="02South Puget Sound"/>
    <n v="1614.02599480104"/>
    <n v="1535.80381523695"/>
    <n v="1614.02599480104"/>
    <n v="1535.80381523695"/>
  </r>
  <r>
    <n v="2280"/>
    <x v="5"/>
    <s v="Marine"/>
    <x v="0"/>
    <x v="0"/>
    <n v="6"/>
    <s v="Area 6: E Juan de Fuca"/>
    <s v="Area 6: E Juan de Fuca"/>
    <s v="NA"/>
    <x v="0"/>
    <s v="Kitsap"/>
    <s v="10Kitsap"/>
    <s v="South Puget Sound"/>
    <s v="02South Puget Sound"/>
    <n v="1711.42411517696"/>
    <n v="1628.4816316736701"/>
    <n v="1711.42411517696"/>
    <n v="1628.4816316736701"/>
  </r>
  <r>
    <n v="2279"/>
    <x v="5"/>
    <s v="Marine"/>
    <x v="0"/>
    <x v="0"/>
    <n v="6"/>
    <s v="Area 6: E Juan de Fuca"/>
    <s v="Area 6: E Juan de Fuca"/>
    <s v="NA"/>
    <x v="0"/>
    <s v="Mason"/>
    <s v="09Mason"/>
    <s v="South Puget Sound"/>
    <s v="02South Puget Sound"/>
    <n v="153.054189162168"/>
    <n v="145.63656868626299"/>
    <n v="153.054189162168"/>
    <n v="145.63656868626299"/>
  </r>
  <r>
    <n v="2283"/>
    <x v="5"/>
    <s v="Marine"/>
    <x v="0"/>
    <x v="0"/>
    <n v="6"/>
    <s v="Area 6: E Juan de Fuca"/>
    <s v="Area 6: E Juan de Fuca"/>
    <s v="NA"/>
    <x v="0"/>
    <s v="Other"/>
    <s v="20Other"/>
    <s v="Non Puget Sound"/>
    <s v="07Non Puget Sound"/>
    <n v="2921.9436112777398"/>
    <n v="2780.3344931013798"/>
    <n v="2921.9436112777398"/>
    <n v="2780.3344931013798"/>
  </r>
  <r>
    <n v="2268"/>
    <x v="5"/>
    <s v="Marine"/>
    <x v="0"/>
    <x v="0"/>
    <n v="6"/>
    <s v="Area 6: E Juan de Fuca"/>
    <s v="Area 6: E Juan de Fuca"/>
    <s v="NA"/>
    <x v="0"/>
    <s v="Pierce"/>
    <s v="07Pierce"/>
    <s v="South Puget Sound"/>
    <s v="02South Puget Sound"/>
    <n v="1113.1213757248599"/>
    <n v="1059.175044991"/>
    <n v="1113.1213757248599"/>
    <n v="1059.175044991"/>
  </r>
  <r>
    <n v="2266"/>
    <x v="5"/>
    <s v="Marine"/>
    <x v="0"/>
    <x v="0"/>
    <n v="6"/>
    <s v="Area 6: E Juan de Fuca"/>
    <s v="Area 6: E Juan de Fuca"/>
    <s v="NA"/>
    <x v="0"/>
    <s v="San Juan"/>
    <s v="05San Juan"/>
    <s v="North Puget Sound"/>
    <s v="01North Puget Sound"/>
    <n v="13.9140171965607"/>
    <n v="13.239688062387501"/>
    <n v="13.9140171965607"/>
    <n v="13.239688062387501"/>
  </r>
  <r>
    <n v="2263"/>
    <x v="5"/>
    <s v="Marine"/>
    <x v="0"/>
    <x v="0"/>
    <n v="6"/>
    <s v="Area 6: E Juan de Fuca"/>
    <s v="Area 6: E Juan de Fuca"/>
    <s v="NA"/>
    <x v="0"/>
    <s v="Skagit"/>
    <s v="02Skagit"/>
    <s v="North Puget Sound"/>
    <s v="01North Puget Sound"/>
    <n v="1036.5942811437701"/>
    <n v="986.35676064787106"/>
    <n v="1036.5942811437701"/>
    <n v="986.35676064787106"/>
  </r>
  <r>
    <n v="2264"/>
    <x v="5"/>
    <s v="Marine"/>
    <x v="0"/>
    <x v="0"/>
    <n v="6"/>
    <s v="Area 6: E Juan de Fuca"/>
    <s v="Area 6: E Juan de Fuca"/>
    <s v="NA"/>
    <x v="0"/>
    <s v="Snohomish"/>
    <s v="03Snohomish"/>
    <s v="North Puget Sound"/>
    <s v="01North Puget Sound"/>
    <n v="549.60367926414699"/>
    <n v="522.96767846430703"/>
    <n v="549.60367926414699"/>
    <n v="522.96767846430703"/>
  </r>
  <r>
    <n v="2269"/>
    <x v="5"/>
    <s v="Marine"/>
    <x v="0"/>
    <x v="0"/>
    <n v="6"/>
    <s v="Area 6: E Juan de Fuca"/>
    <s v="Area 6: E Juan de Fuca"/>
    <s v="NA"/>
    <x v="0"/>
    <s v="Thurston"/>
    <s v="08Thurston"/>
    <s v="South Puget Sound"/>
    <s v="02South Puget Sound"/>
    <n v="194.79624075185001"/>
    <n v="185.35563287342501"/>
    <n v="194.79624075185001"/>
    <n v="185.35563287342501"/>
  </r>
  <r>
    <n v="2143"/>
    <x v="5"/>
    <s v="Marine"/>
    <x v="0"/>
    <x v="0"/>
    <n v="6"/>
    <s v="Area 6: E Juan de Fuca"/>
    <s v="Area 6: E Juan de Fuca"/>
    <s v="NA"/>
    <x v="0"/>
    <s v="Whatcom"/>
    <s v="01Whatcom"/>
    <s v="North Puget Sound"/>
    <s v="01North Puget Sound"/>
    <n v="34.785042991401703"/>
    <n v="33.099220155968801"/>
    <n v="34.785042991401703"/>
    <n v="33.099220155968801"/>
  </r>
  <r>
    <n v="2503"/>
    <x v="6"/>
    <s v="Marine"/>
    <x v="0"/>
    <x v="0"/>
    <n v="6"/>
    <s v="Area 6: E Juan de Fuca"/>
    <s v="Area 6: E Juan de Fuca"/>
    <s v="NA"/>
    <x v="0"/>
    <s v="Clallam"/>
    <s v="11Clallam"/>
    <s v="Strait of Juan de Fuca"/>
    <s v="03Strait of Juan de Fuca"/>
    <n v="4756.05"/>
    <n v="12392.731"/>
    <n v="4756.05"/>
    <n v="12392.731"/>
  </r>
  <r>
    <n v="2487"/>
    <x v="6"/>
    <s v="Marine"/>
    <x v="0"/>
    <x v="0"/>
    <n v="6"/>
    <s v="Area 6: E Juan de Fuca"/>
    <s v="Area 6: E Juan de Fuca"/>
    <s v="NA"/>
    <x v="0"/>
    <s v="Island"/>
    <s v="04Island"/>
    <s v="North Puget Sound"/>
    <s v="01North Puget Sound"/>
    <n v="182.92500000000001"/>
    <n v="476.64350000000002"/>
    <n v="182.92500000000001"/>
    <n v="476.64350000000002"/>
  </r>
  <r>
    <n v="2504"/>
    <x v="6"/>
    <s v="Marine"/>
    <x v="0"/>
    <x v="0"/>
    <n v="6"/>
    <s v="Area 6: E Juan de Fuca"/>
    <s v="Area 6: E Juan de Fuca"/>
    <s v="NA"/>
    <x v="0"/>
    <s v="Jefferson"/>
    <s v="12Jefferson"/>
    <s v="Strait of Juan de Fuca"/>
    <s v="03Strait of Juan de Fuca"/>
    <n v="323.63653846153898"/>
    <n v="843.29234615384598"/>
    <n v="323.63653846153898"/>
    <n v="843.29234615384598"/>
  </r>
  <r>
    <n v="2488"/>
    <x v="6"/>
    <s v="Marine"/>
    <x v="0"/>
    <x v="0"/>
    <n v="6"/>
    <s v="Area 6: E Juan de Fuca"/>
    <s v="Area 6: E Juan de Fuca"/>
    <s v="NA"/>
    <x v="0"/>
    <s v="King"/>
    <s v="06King"/>
    <s v="South Puget Sound"/>
    <s v="02South Puget Sound"/>
    <n v="182.92500000000001"/>
    <n v="476.64350000000002"/>
    <n v="182.92500000000001"/>
    <n v="476.64350000000002"/>
  </r>
  <r>
    <n v="2492"/>
    <x v="6"/>
    <s v="Marine"/>
    <x v="0"/>
    <x v="0"/>
    <n v="6"/>
    <s v="Area 6: E Juan de Fuca"/>
    <s v="Area 6: E Juan de Fuca"/>
    <s v="NA"/>
    <x v="0"/>
    <s v="Kitsap"/>
    <s v="10Kitsap"/>
    <s v="South Puget Sound"/>
    <s v="02South Puget Sound"/>
    <n v="168.85384615384601"/>
    <n v="439.97861538461501"/>
    <n v="168.85384615384601"/>
    <n v="439.97861538461501"/>
  </r>
  <r>
    <n v="2491"/>
    <x v="6"/>
    <s v="Marine"/>
    <x v="0"/>
    <x v="0"/>
    <n v="6"/>
    <s v="Area 6: E Juan de Fuca"/>
    <s v="Area 6: E Juan de Fuca"/>
    <s v="NA"/>
    <x v="0"/>
    <s v="Mason"/>
    <s v="09Mason"/>
    <s v="South Puget Sound"/>
    <s v="02South Puget Sound"/>
    <n v="7.0355769230769303"/>
    <n v="18.3324423076923"/>
    <n v="7.0355769230769303"/>
    <n v="18.3324423076923"/>
  </r>
  <r>
    <n v="2505"/>
    <x v="6"/>
    <s v="Marine"/>
    <x v="0"/>
    <x v="0"/>
    <n v="6"/>
    <s v="Area 6: E Juan de Fuca"/>
    <s v="Area 6: E Juan de Fuca"/>
    <s v="NA"/>
    <x v="0"/>
    <s v="Other"/>
    <s v="20Other"/>
    <s v="Non Puget Sound"/>
    <s v="07Non Puget Sound"/>
    <n v="457.3125"/>
    <n v="1191.6087500000001"/>
    <n v="457.3125"/>
    <n v="1191.6087500000001"/>
  </r>
  <r>
    <n v="2489"/>
    <x v="6"/>
    <s v="Marine"/>
    <x v="0"/>
    <x v="0"/>
    <n v="6"/>
    <s v="Area 6: E Juan de Fuca"/>
    <s v="Area 6: E Juan de Fuca"/>
    <s v="NA"/>
    <x v="0"/>
    <s v="Pierce"/>
    <s v="07Pierce"/>
    <s v="South Puget Sound"/>
    <s v="02South Puget Sound"/>
    <n v="436.20576923076902"/>
    <n v="1136.6114230769199"/>
    <n v="436.20576923076902"/>
    <n v="1136.6114230769199"/>
  </r>
  <r>
    <n v="2485"/>
    <x v="6"/>
    <s v="Marine"/>
    <x v="0"/>
    <x v="0"/>
    <n v="6"/>
    <s v="Area 6: E Juan de Fuca"/>
    <s v="Area 6: E Juan de Fuca"/>
    <s v="NA"/>
    <x v="0"/>
    <s v="Skagit"/>
    <s v="02Skagit"/>
    <s v="North Puget Sound"/>
    <s v="01North Puget Sound"/>
    <n v="260.31634615384598"/>
    <n v="678.30036538461502"/>
    <n v="260.31634615384598"/>
    <n v="678.30036538461502"/>
  </r>
  <r>
    <n v="2486"/>
    <x v="6"/>
    <s v="Marine"/>
    <x v="0"/>
    <x v="0"/>
    <n v="6"/>
    <s v="Area 6: E Juan de Fuca"/>
    <s v="Area 6: E Juan de Fuca"/>
    <s v="NA"/>
    <x v="0"/>
    <s v="Snohomish"/>
    <s v="03Snohomish"/>
    <s v="North Puget Sound"/>
    <s v="01North Puget Sound"/>
    <n v="401.02788461538501"/>
    <n v="1044.9492115384601"/>
    <n v="401.02788461538501"/>
    <n v="1044.9492115384601"/>
  </r>
  <r>
    <n v="2490"/>
    <x v="6"/>
    <s v="Marine"/>
    <x v="0"/>
    <x v="0"/>
    <n v="6"/>
    <s v="Area 6: E Juan de Fuca"/>
    <s v="Area 6: E Juan de Fuca"/>
    <s v="NA"/>
    <x v="0"/>
    <s v="Thurston"/>
    <s v="08Thurston"/>
    <s v="South Puget Sound"/>
    <s v="02South Puget Sound"/>
    <n v="126.640384615385"/>
    <n v="329.98396153846198"/>
    <n v="126.640384615385"/>
    <n v="329.98396153846198"/>
  </r>
  <r>
    <n v="2396"/>
    <x v="6"/>
    <s v="Marine"/>
    <x v="0"/>
    <x v="0"/>
    <n v="6"/>
    <s v="Area 6: E Juan de Fuca"/>
    <s v="Area 6: E Juan de Fuca"/>
    <s v="NA"/>
    <x v="0"/>
    <s v="Whatcom"/>
    <s v="01Whatcom"/>
    <s v="North Puget Sound"/>
    <s v="01North Puget Sound"/>
    <n v="14.0711538461538"/>
    <n v="36.664884615384601"/>
    <n v="14.0711538461538"/>
    <n v="36.664884615384601"/>
  </r>
  <r>
    <n v="2735"/>
    <x v="7"/>
    <s v="Marine"/>
    <x v="0"/>
    <x v="0"/>
    <n v="6"/>
    <s v="Area 6: E Juan de Fuca"/>
    <s v="Area 6: E Juan de Fuca"/>
    <s v="NA"/>
    <x v="0"/>
    <s v="Clallam"/>
    <s v="11Clallam"/>
    <s v="Strait of Juan de Fuca"/>
    <s v="03Strait of Juan de Fuca"/>
    <n v="4025.4453781512598"/>
    <n v="5133.8563452651097"/>
    <n v="4025.4453781512598"/>
    <n v="5133.8563452651097"/>
  </r>
  <r>
    <n v="2628"/>
    <x v="7"/>
    <s v="Marine"/>
    <x v="0"/>
    <x v="0"/>
    <n v="6"/>
    <s v="Area 6: E Juan de Fuca"/>
    <s v="Area 6: E Juan de Fuca"/>
    <s v="NA"/>
    <x v="0"/>
    <s v="Island"/>
    <s v="04Island"/>
    <s v="North Puget Sound"/>
    <s v="01North Puget Sound"/>
    <n v="119.428571428571"/>
    <n v="152.31336451920899"/>
    <n v="119.428571428571"/>
    <n v="152.31336451920899"/>
  </r>
  <r>
    <n v="2736"/>
    <x v="7"/>
    <s v="Marine"/>
    <x v="0"/>
    <x v="0"/>
    <n v="6"/>
    <s v="Area 6: E Juan de Fuca"/>
    <s v="Area 6: E Juan de Fuca"/>
    <s v="NA"/>
    <x v="0"/>
    <s v="Jefferson"/>
    <s v="12Jefferson"/>
    <s v="Strait of Juan de Fuca"/>
    <s v="03Strait of Juan de Fuca"/>
    <n v="470.68907563025198"/>
    <n v="600.29384839923603"/>
    <n v="470.68907563025198"/>
    <n v="600.29384839923603"/>
  </r>
  <r>
    <n v="2630"/>
    <x v="7"/>
    <s v="Marine"/>
    <x v="0"/>
    <x v="0"/>
    <n v="6"/>
    <s v="Area 6: E Juan de Fuca"/>
    <s v="Area 6: E Juan de Fuca"/>
    <s v="NA"/>
    <x v="0"/>
    <s v="King"/>
    <s v="06King"/>
    <s v="South Puget Sound"/>
    <s v="02South Puget Sound"/>
    <n v="210.756302521008"/>
    <n v="268.78829032801599"/>
    <n v="210.756302521008"/>
    <n v="268.78829032801599"/>
  </r>
  <r>
    <n v="2734"/>
    <x v="7"/>
    <s v="Marine"/>
    <x v="0"/>
    <x v="0"/>
    <n v="6"/>
    <s v="Area 6: E Juan de Fuca"/>
    <s v="Area 6: E Juan de Fuca"/>
    <s v="NA"/>
    <x v="0"/>
    <s v="Kitsap"/>
    <s v="10Kitsap"/>
    <s v="South Puget Sound"/>
    <s v="02South Puget Sound"/>
    <n v="189.68067226890801"/>
    <n v="241.90946129521501"/>
    <n v="189.68067226890801"/>
    <n v="241.90946129521501"/>
  </r>
  <r>
    <n v="2733"/>
    <x v="7"/>
    <s v="Marine"/>
    <x v="0"/>
    <x v="0"/>
    <n v="6"/>
    <s v="Area 6: E Juan de Fuca"/>
    <s v="Area 6: E Juan de Fuca"/>
    <s v="NA"/>
    <x v="0"/>
    <s v="Mason"/>
    <s v="09Mason"/>
    <s v="South Puget Sound"/>
    <s v="02South Puget Sound"/>
    <n v="28.1008403361345"/>
    <n v="35.838438710402201"/>
    <n v="28.1008403361345"/>
    <n v="35.838438710402201"/>
  </r>
  <r>
    <n v="2737"/>
    <x v="7"/>
    <s v="Marine"/>
    <x v="0"/>
    <x v="0"/>
    <n v="6"/>
    <s v="Area 6: E Juan de Fuca"/>
    <s v="Area 6: E Juan de Fuca"/>
    <s v="NA"/>
    <x v="0"/>
    <s v="Other"/>
    <s v="20Other"/>
    <s v="Non Puget Sound"/>
    <s v="07Non Puget Sound"/>
    <n v="281.00840336134502"/>
    <n v="358.38438710402198"/>
    <n v="281.00840336134502"/>
    <n v="358.38438710402198"/>
  </r>
  <r>
    <n v="2631"/>
    <x v="7"/>
    <s v="Marine"/>
    <x v="0"/>
    <x v="0"/>
    <n v="6"/>
    <s v="Area 6: E Juan de Fuca"/>
    <s v="Area 6: E Juan de Fuca"/>
    <s v="NA"/>
    <x v="0"/>
    <s v="Pierce"/>
    <s v="07Pierce"/>
    <s v="South Puget Sound"/>
    <s v="02South Puget Sound"/>
    <n v="63.226890756302502"/>
    <n v="80.636487098404899"/>
    <n v="63.226890756302502"/>
    <n v="80.636487098404899"/>
  </r>
  <r>
    <n v="2629"/>
    <x v="7"/>
    <s v="Marine"/>
    <x v="0"/>
    <x v="0"/>
    <n v="6"/>
    <s v="Area 6: E Juan de Fuca"/>
    <s v="Area 6: E Juan de Fuca"/>
    <s v="NA"/>
    <x v="0"/>
    <s v="San Juan"/>
    <s v="05San Juan"/>
    <s v="North Puget Sound"/>
    <s v="01North Puget Sound"/>
    <n v="7.0252100840336196"/>
    <n v="8.9596096776005396"/>
    <n v="7.0252100840336196"/>
    <n v="8.9596096776005396"/>
  </r>
  <r>
    <n v="2626"/>
    <x v="7"/>
    <s v="Marine"/>
    <x v="0"/>
    <x v="0"/>
    <n v="6"/>
    <s v="Area 6: E Juan de Fuca"/>
    <s v="Area 6: E Juan de Fuca"/>
    <s v="NA"/>
    <x v="0"/>
    <s v="Skagit"/>
    <s v="02Skagit"/>
    <s v="North Puget Sound"/>
    <s v="01North Puget Sound"/>
    <n v="189.68067226890801"/>
    <n v="241.90946129521501"/>
    <n v="189.68067226890801"/>
    <n v="241.90946129521501"/>
  </r>
  <r>
    <n v="2627"/>
    <x v="7"/>
    <s v="Marine"/>
    <x v="0"/>
    <x v="0"/>
    <n v="6"/>
    <s v="Area 6: E Juan de Fuca"/>
    <s v="Area 6: E Juan de Fuca"/>
    <s v="NA"/>
    <x v="0"/>
    <s v="Snohomish"/>
    <s v="03Snohomish"/>
    <s v="North Puget Sound"/>
    <s v="01North Puget Sound"/>
    <n v="196.70588235294099"/>
    <n v="250.869070972815"/>
    <n v="196.70588235294099"/>
    <n v="250.869070972815"/>
  </r>
  <r>
    <n v="2732"/>
    <x v="7"/>
    <s v="Marine"/>
    <x v="0"/>
    <x v="0"/>
    <n v="6"/>
    <s v="Area 6: E Juan de Fuca"/>
    <s v="Area 6: E Juan de Fuca"/>
    <s v="NA"/>
    <x v="0"/>
    <s v="Thurston"/>
    <s v="08Thurston"/>
    <s v="South Puget Sound"/>
    <s v="02South Puget Sound"/>
    <n v="56.2016806722689"/>
    <n v="71.676877420804303"/>
    <n v="56.2016806722689"/>
    <n v="71.676877420804303"/>
  </r>
  <r>
    <n v="2625"/>
    <x v="7"/>
    <s v="Marine"/>
    <x v="0"/>
    <x v="0"/>
    <n v="6"/>
    <s v="Area 6: E Juan de Fuca"/>
    <s v="Area 6: E Juan de Fuca"/>
    <s v="NA"/>
    <x v="0"/>
    <s v="Whatcom"/>
    <s v="01Whatcom"/>
    <s v="North Puget Sound"/>
    <s v="01North Puget Sound"/>
    <n v="14.0504201680672"/>
    <n v="17.919219355201101"/>
    <n v="14.0504201680672"/>
    <n v="17.919219355201101"/>
  </r>
  <r>
    <n v="2952"/>
    <x v="8"/>
    <s v="Marine"/>
    <x v="0"/>
    <x v="0"/>
    <n v="6"/>
    <s v="Area 6: E Juan de Fuca"/>
    <s v="Area 6: E Juan de Fuca"/>
    <s v="NA"/>
    <x v="0"/>
    <s v="Clallam"/>
    <s v="11Clallam"/>
    <s v="Strait of Juan de Fuca"/>
    <s v="03Strait of Juan de Fuca"/>
    <n v="12042.012591815301"/>
    <n v="13172.1045862064"/>
    <n v="12042.012591815301"/>
    <n v="13172.1045862064"/>
  </r>
  <r>
    <n v="2860"/>
    <x v="8"/>
    <s v="Marine"/>
    <x v="0"/>
    <x v="0"/>
    <n v="6"/>
    <s v="Area 6: E Juan de Fuca"/>
    <s v="Area 6: E Juan de Fuca"/>
    <s v="NA"/>
    <x v="0"/>
    <s v="Island"/>
    <s v="04Island"/>
    <s v="North Puget Sound"/>
    <s v="01North Puget Sound"/>
    <n v="39.275970619097599"/>
    <n v="42.961854488605397"/>
    <n v="39.275970619097599"/>
    <n v="42.961854488605397"/>
  </r>
  <r>
    <n v="2953"/>
    <x v="8"/>
    <s v="Marine"/>
    <x v="0"/>
    <x v="0"/>
    <n v="6"/>
    <s v="Area 6: E Juan de Fuca"/>
    <s v="Area 6: E Juan de Fuca"/>
    <s v="NA"/>
    <x v="0"/>
    <s v="Jefferson"/>
    <s v="12Jefferson"/>
    <s v="Strait of Juan de Fuca"/>
    <s v="03Strait of Juan de Fuca"/>
    <n v="424.18048268625398"/>
    <n v="463.98802847693901"/>
    <n v="424.18048268625398"/>
    <n v="463.98802847693901"/>
  </r>
  <r>
    <n v="2862"/>
    <x v="8"/>
    <s v="Marine"/>
    <x v="0"/>
    <x v="0"/>
    <n v="6"/>
    <s v="Area 6: E Juan de Fuca"/>
    <s v="Area 6: E Juan de Fuca"/>
    <s v="NA"/>
    <x v="0"/>
    <s v="King"/>
    <s v="06King"/>
    <s v="South Puget Sound"/>
    <s v="02South Puget Sound"/>
    <n v="424.18048268625398"/>
    <n v="463.98802847693901"/>
    <n v="424.18048268625398"/>
    <n v="463.98802847693901"/>
  </r>
  <r>
    <n v="2951"/>
    <x v="8"/>
    <s v="Marine"/>
    <x v="0"/>
    <x v="0"/>
    <n v="6"/>
    <s v="Area 6: E Juan de Fuca"/>
    <s v="Area 6: E Juan de Fuca"/>
    <s v="NA"/>
    <x v="0"/>
    <s v="Kitsap"/>
    <s v="10Kitsap"/>
    <s v="South Puget Sound"/>
    <s v="02South Puget Sound"/>
    <n v="471.31164742917099"/>
    <n v="515.54225386326505"/>
    <n v="471.31164742917099"/>
    <n v="515.54225386326505"/>
  </r>
  <r>
    <n v="2948"/>
    <x v="8"/>
    <s v="Marine"/>
    <x v="0"/>
    <x v="0"/>
    <n v="6"/>
    <s v="Area 6: E Juan de Fuca"/>
    <s v="Area 6: E Juan de Fuca"/>
    <s v="NA"/>
    <x v="0"/>
    <s v="Mason"/>
    <s v="09Mason"/>
    <s v="South Puget Sound"/>
    <s v="02South Puget Sound"/>
    <n v="109.972717733473"/>
    <n v="120.29319256809499"/>
    <n v="109.972717733473"/>
    <n v="120.29319256809499"/>
  </r>
  <r>
    <n v="2954"/>
    <x v="8"/>
    <s v="Marine"/>
    <x v="0"/>
    <x v="0"/>
    <n v="6"/>
    <s v="Area 6: E Juan de Fuca"/>
    <s v="Area 6: E Juan de Fuca"/>
    <s v="NA"/>
    <x v="0"/>
    <s v="Other"/>
    <s v="20Other"/>
    <s v="Non Puget Sound"/>
    <s v="07Non Puget Sound"/>
    <n v="432.03567681007399"/>
    <n v="472.58039937465998"/>
    <n v="432.03567681007399"/>
    <n v="472.58039937465998"/>
  </r>
  <r>
    <n v="2863"/>
    <x v="8"/>
    <s v="Marine"/>
    <x v="0"/>
    <x v="0"/>
    <n v="6"/>
    <s v="Area 6: E Juan de Fuca"/>
    <s v="Area 6: E Juan de Fuca"/>
    <s v="NA"/>
    <x v="0"/>
    <s v="Pierce"/>
    <s v="07Pierce"/>
    <s v="South Puget Sound"/>
    <s v="02South Puget Sound"/>
    <n v="463.456453305352"/>
    <n v="506.94988296554402"/>
    <n v="463.456453305352"/>
    <n v="506.94988296554402"/>
  </r>
  <r>
    <n v="2861"/>
    <x v="8"/>
    <s v="Marine"/>
    <x v="0"/>
    <x v="0"/>
    <n v="6"/>
    <s v="Area 6: E Juan de Fuca"/>
    <s v="Area 6: E Juan de Fuca"/>
    <s v="NA"/>
    <x v="0"/>
    <s v="San Juan"/>
    <s v="05San Juan"/>
    <s v="North Puget Sound"/>
    <s v="01North Puget Sound"/>
    <n v="117.827911857293"/>
    <n v="128.88556346581601"/>
    <n v="117.827911857293"/>
    <n v="128.88556346581601"/>
  </r>
  <r>
    <n v="2849"/>
    <x v="8"/>
    <s v="Marine"/>
    <x v="0"/>
    <x v="0"/>
    <n v="6"/>
    <s v="Area 6: E Juan de Fuca"/>
    <s v="Area 6: E Juan de Fuca"/>
    <s v="NA"/>
    <x v="0"/>
    <s v="Skagit"/>
    <s v="02Skagit"/>
    <s v="North Puget Sound"/>
    <s v="01North Puget Sound"/>
    <n v="70.696747114375697"/>
    <n v="77.331338079489797"/>
    <n v="70.696747114375697"/>
    <n v="77.331338079489797"/>
  </r>
  <r>
    <n v="2859"/>
    <x v="8"/>
    <s v="Marine"/>
    <x v="0"/>
    <x v="0"/>
    <n v="6"/>
    <s v="Area 6: E Juan de Fuca"/>
    <s v="Area 6: E Juan de Fuca"/>
    <s v="NA"/>
    <x v="0"/>
    <s v="Snohomish"/>
    <s v="03Snohomish"/>
    <s v="North Puget Sound"/>
    <s v="01North Puget Sound"/>
    <n v="274.931794333683"/>
    <n v="300.73298142023799"/>
    <n v="274.931794333683"/>
    <n v="300.73298142023799"/>
  </r>
  <r>
    <n v="2864"/>
    <x v="8"/>
    <s v="Marine"/>
    <x v="0"/>
    <x v="0"/>
    <n v="6"/>
    <s v="Area 6: E Juan de Fuca"/>
    <s v="Area 6: E Juan de Fuca"/>
    <s v="NA"/>
    <x v="0"/>
    <s v="Thurston"/>
    <s v="08Thurston"/>
    <s v="South Puget Sound"/>
    <s v="02South Puget Sound"/>
    <n v="31.420776495278101"/>
    <n v="34.3694835908844"/>
    <n v="31.420776495278101"/>
    <n v="34.3694835908844"/>
  </r>
  <r>
    <n v="2848"/>
    <x v="8"/>
    <s v="Marine"/>
    <x v="0"/>
    <x v="0"/>
    <n v="6"/>
    <s v="Area 6: E Juan de Fuca"/>
    <s v="Area 6: E Juan de Fuca"/>
    <s v="NA"/>
    <x v="0"/>
    <s v="Whatcom"/>
    <s v="01Whatcom"/>
    <s v="North Puget Sound"/>
    <s v="01North Puget Sound"/>
    <n v="70.696747114375697"/>
    <n v="77.331338079489797"/>
    <n v="70.696747114375697"/>
    <n v="77.331338079489797"/>
  </r>
  <r>
    <n v="3290"/>
    <x v="9"/>
    <s v="Marine"/>
    <x v="0"/>
    <x v="0"/>
    <n v="6"/>
    <s v="Area 6: E Juan de Fuca"/>
    <s v="Area 6: E Juan de Fuca"/>
    <s v="NA"/>
    <x v="0"/>
    <s v="Clallam"/>
    <s v="11Clallam"/>
    <s v="Strait of Juan de Fuca"/>
    <s v="03Strait of Juan de Fuca"/>
    <n v="8587.6116504854399"/>
    <n v="9126.6460985593094"/>
    <n v="8587.6116504854399"/>
    <n v="9126.6460985593094"/>
  </r>
  <r>
    <n v="3184"/>
    <x v="9"/>
    <s v="Marine"/>
    <x v="0"/>
    <x v="0"/>
    <n v="6"/>
    <s v="Area 6: E Juan de Fuca"/>
    <s v="Area 6: E Juan de Fuca"/>
    <s v="NA"/>
    <x v="0"/>
    <s v="Island"/>
    <s v="04Island"/>
    <s v="North Puget Sound"/>
    <s v="01North Puget Sound"/>
    <n v="290.81553398058298"/>
    <n v="309.06968859662999"/>
    <n v="290.81553398058298"/>
    <n v="309.06968859662999"/>
  </r>
  <r>
    <n v="3291"/>
    <x v="9"/>
    <s v="Marine"/>
    <x v="0"/>
    <x v="0"/>
    <n v="6"/>
    <s v="Area 6: E Juan de Fuca"/>
    <s v="Area 6: E Juan de Fuca"/>
    <s v="NA"/>
    <x v="0"/>
    <s v="Jefferson"/>
    <s v="12Jefferson"/>
    <s v="Strait of Juan de Fuca"/>
    <s v="03Strait of Juan de Fuca"/>
    <n v="367.79611650485401"/>
    <n v="390.88225322515001"/>
    <n v="367.79611650485401"/>
    <n v="390.88225322515001"/>
  </r>
  <r>
    <n v="3185"/>
    <x v="9"/>
    <s v="Marine"/>
    <x v="0"/>
    <x v="0"/>
    <n v="6"/>
    <s v="Area 6: E Juan de Fuca"/>
    <s v="Area 6: E Juan de Fuca"/>
    <s v="NA"/>
    <x v="0"/>
    <s v="King"/>
    <s v="06King"/>
    <s v="South Puget Sound"/>
    <s v="02South Puget Sound"/>
    <n v="624.39805825242695"/>
    <n v="663.59080198688196"/>
    <n v="624.39805825242695"/>
    <n v="663.59080198688196"/>
  </r>
  <r>
    <n v="3289"/>
    <x v="9"/>
    <s v="Marine"/>
    <x v="0"/>
    <x v="0"/>
    <n v="6"/>
    <s v="Area 6: E Juan de Fuca"/>
    <s v="Area 6: E Juan de Fuca"/>
    <s v="NA"/>
    <x v="0"/>
    <s v="Kitsap"/>
    <s v="10Kitsap"/>
    <s v="South Puget Sound"/>
    <s v="02South Puget Sound"/>
    <n v="419.116504854369"/>
    <n v="445.42396297749599"/>
    <n v="419.116504854369"/>
    <n v="445.42396297749599"/>
  </r>
  <r>
    <n v="3288"/>
    <x v="9"/>
    <s v="Marine"/>
    <x v="0"/>
    <x v="0"/>
    <n v="6"/>
    <s v="Area 6: E Juan de Fuca"/>
    <s v="Area 6: E Juan de Fuca"/>
    <s v="NA"/>
    <x v="0"/>
    <s v="Mason"/>
    <s v="09Mason"/>
    <s v="South Puget Sound"/>
    <s v="02South Puget Sound"/>
    <n v="76.980582524271895"/>
    <n v="81.812564628519695"/>
    <n v="76.980582524271895"/>
    <n v="81.812564628519695"/>
  </r>
  <r>
    <n v="3292"/>
    <x v="9"/>
    <s v="Marine"/>
    <x v="0"/>
    <x v="0"/>
    <n v="6"/>
    <s v="Area 6: E Juan de Fuca"/>
    <s v="Area 6: E Juan de Fuca"/>
    <s v="NA"/>
    <x v="0"/>
    <s v="Other"/>
    <s v="20Other"/>
    <s v="Non Puget Sound"/>
    <s v="07Non Puget Sound"/>
    <n v="838.233009708738"/>
    <n v="890.84792595499198"/>
    <n v="838.233009708738"/>
    <n v="890.84792595499198"/>
  </r>
  <r>
    <n v="3186"/>
    <x v="9"/>
    <s v="Marine"/>
    <x v="0"/>
    <x v="0"/>
    <n v="6"/>
    <s v="Area 6: E Juan de Fuca"/>
    <s v="Area 6: E Juan de Fuca"/>
    <s v="NA"/>
    <x v="0"/>
    <s v="Pierce"/>
    <s v="07Pierce"/>
    <s v="South Puget Sound"/>
    <s v="02South Puget Sound"/>
    <n v="419.116504854369"/>
    <n v="445.42396297749599"/>
    <n v="419.116504854369"/>
    <n v="445.42396297749599"/>
  </r>
  <r>
    <n v="3182"/>
    <x v="9"/>
    <s v="Marine"/>
    <x v="0"/>
    <x v="0"/>
    <n v="6"/>
    <s v="Area 6: E Juan de Fuca"/>
    <s v="Area 6: E Juan de Fuca"/>
    <s v="NA"/>
    <x v="0"/>
    <s v="Skagit"/>
    <s v="02Skagit"/>
    <s v="North Puget Sound"/>
    <s v="01North Puget Sound"/>
    <n v="359.242718446602"/>
    <n v="381.79196826642499"/>
    <n v="359.242718446602"/>
    <n v="381.79196826642499"/>
  </r>
  <r>
    <n v="3183"/>
    <x v="9"/>
    <s v="Marine"/>
    <x v="0"/>
    <x v="0"/>
    <n v="6"/>
    <s v="Area 6: E Juan de Fuca"/>
    <s v="Area 6: E Juan de Fuca"/>
    <s v="NA"/>
    <x v="0"/>
    <s v="Snohomish"/>
    <s v="03Snohomish"/>
    <s v="North Puget Sound"/>
    <s v="01North Puget Sound"/>
    <n v="145.40776699029101"/>
    <n v="154.53484429831499"/>
    <n v="145.40776699029101"/>
    <n v="154.53484429831499"/>
  </r>
  <r>
    <n v="3187"/>
    <x v="9"/>
    <s v="Marine"/>
    <x v="0"/>
    <x v="0"/>
    <n v="6"/>
    <s v="Area 6: E Juan de Fuca"/>
    <s v="Area 6: E Juan de Fuca"/>
    <s v="NA"/>
    <x v="0"/>
    <s v="Thurston"/>
    <s v="08Thurston"/>
    <s v="South Puget Sound"/>
    <s v="02South Puget Sound"/>
    <n v="162.514563106796"/>
    <n v="172.71541421576401"/>
    <n v="162.514563106796"/>
    <n v="172.71541421576401"/>
  </r>
  <r>
    <n v="3181"/>
    <x v="9"/>
    <s v="Marine"/>
    <x v="0"/>
    <x v="0"/>
    <n v="6"/>
    <s v="Area 6: E Juan de Fuca"/>
    <s v="Area 6: E Juan de Fuca"/>
    <s v="NA"/>
    <x v="0"/>
    <s v="Whatcom"/>
    <s v="01Whatcom"/>
    <s v="North Puget Sound"/>
    <s v="01North Puget Sound"/>
    <n v="42.766990291262097"/>
    <n v="45.451424793622003"/>
    <n v="42.766990291262097"/>
    <n v="45.451424793622003"/>
  </r>
  <r>
    <n v="2959"/>
    <x v="10"/>
    <s v="Marine"/>
    <x v="0"/>
    <x v="0"/>
    <n v="6"/>
    <s v="Area 6: E Juan de Fuca"/>
    <s v="Area 6: E Juan de Fuca"/>
    <s v="NA"/>
    <x v="0"/>
    <s v="Clallam"/>
    <s v="11Clallam"/>
    <s v="Strait of Juan de Fuca"/>
    <s v="03Strait of Juan de Fuca"/>
    <n v="5812.1787564766901"/>
    <n v="6421.6520532004697"/>
    <n v="5812.1787564766901"/>
    <n v="6421.6520532004697"/>
  </r>
  <r>
    <n v="3555"/>
    <x v="10"/>
    <s v="Marine"/>
    <x v="0"/>
    <x v="0"/>
    <n v="6"/>
    <s v="Area 6: E Juan de Fuca"/>
    <s v="Area 6: E Juan de Fuca"/>
    <s v="NA"/>
    <x v="0"/>
    <s v="Island"/>
    <s v="04Island"/>
    <s v="North Puget Sound"/>
    <s v="01North Puget Sound"/>
    <n v="19.836787564766801"/>
    <n v="21.916901205462299"/>
    <n v="19.836787564766801"/>
    <n v="21.916901205462299"/>
  </r>
  <r>
    <n v="2960"/>
    <x v="10"/>
    <s v="Marine"/>
    <x v="0"/>
    <x v="0"/>
    <n v="6"/>
    <s v="Area 6: E Juan de Fuca"/>
    <s v="Area 6: E Juan de Fuca"/>
    <s v="NA"/>
    <x v="0"/>
    <s v="Jefferson"/>
    <s v="12Jefferson"/>
    <s v="Strait of Juan de Fuca"/>
    <s v="03Strait of Juan de Fuca"/>
    <n v="148.77590673575099"/>
    <n v="164.37675904096801"/>
    <n v="148.77590673575099"/>
    <n v="164.37675904096801"/>
  </r>
  <r>
    <n v="3609"/>
    <x v="10"/>
    <s v="Marine"/>
    <x v="0"/>
    <x v="0"/>
    <n v="6"/>
    <s v="Area 6: E Juan de Fuca"/>
    <s v="Area 6: E Juan de Fuca"/>
    <s v="NA"/>
    <x v="0"/>
    <s v="King"/>
    <s v="06King"/>
    <s v="South Puget Sound"/>
    <s v="02South Puget Sound"/>
    <n v="416.57253886010398"/>
    <n v="460.254925314709"/>
    <n v="416.57253886010398"/>
    <n v="460.254925314709"/>
  </r>
  <r>
    <n v="3679"/>
    <x v="10"/>
    <s v="Marine"/>
    <x v="0"/>
    <x v="0"/>
    <n v="6"/>
    <s v="Area 6: E Juan de Fuca"/>
    <s v="Area 6: E Juan de Fuca"/>
    <s v="NA"/>
    <x v="0"/>
    <s v="Kitsap"/>
    <s v="10Kitsap"/>
    <s v="South Puget Sound"/>
    <s v="02South Puget Sound"/>
    <n v="366.980569948187"/>
    <n v="405.46267230105298"/>
    <n v="366.980569948187"/>
    <n v="405.46267230105298"/>
  </r>
  <r>
    <n v="3241"/>
    <x v="10"/>
    <s v="Marine"/>
    <x v="0"/>
    <x v="0"/>
    <n v="6"/>
    <s v="Area 6: E Juan de Fuca"/>
    <s v="Area 6: E Juan de Fuca"/>
    <s v="NA"/>
    <x v="0"/>
    <s v="Other"/>
    <s v="20Other"/>
    <s v="Non Puget Sound"/>
    <s v="07Non Puget Sound"/>
    <n v="476.08290155440397"/>
    <n v="526.005628931096"/>
    <n v="476.08290155440397"/>
    <n v="526.005628931096"/>
  </r>
  <r>
    <n v="3650"/>
    <x v="10"/>
    <s v="Marine"/>
    <x v="0"/>
    <x v="0"/>
    <n v="6"/>
    <s v="Area 6: E Juan de Fuca"/>
    <s v="Area 6: E Juan de Fuca"/>
    <s v="NA"/>
    <x v="0"/>
    <s v="Pierce"/>
    <s v="07Pierce"/>
    <s v="South Puget Sound"/>
    <s v="02South Puget Sound"/>
    <n v="138.857512953368"/>
    <n v="153.41830843823601"/>
    <n v="138.857512953368"/>
    <n v="153.41830843823601"/>
  </r>
  <r>
    <n v="3466"/>
    <x v="10"/>
    <s v="Marine"/>
    <x v="0"/>
    <x v="0"/>
    <n v="6"/>
    <s v="Area 6: E Juan de Fuca"/>
    <s v="Area 6: E Juan de Fuca"/>
    <s v="NA"/>
    <x v="0"/>
    <s v="Skagit"/>
    <s v="02Skagit"/>
    <s v="North Puget Sound"/>
    <s v="01North Puget Sound"/>
    <n v="19.836787564766801"/>
    <n v="21.916901205462299"/>
    <n v="19.836787564766801"/>
    <n v="21.916901205462299"/>
  </r>
  <r>
    <n v="3507"/>
    <x v="10"/>
    <s v="Marine"/>
    <x v="0"/>
    <x v="0"/>
    <n v="6"/>
    <s v="Area 6: E Juan de Fuca"/>
    <s v="Area 6: E Juan de Fuca"/>
    <s v="NA"/>
    <x v="0"/>
    <s v="Snohomish"/>
    <s v="03Snohomish"/>
    <s v="North Puget Sound"/>
    <s v="01North Puget Sound"/>
    <n v="49.5919689119171"/>
    <n v="54.792253013655902"/>
    <n v="49.5919689119171"/>
    <n v="54.792253013655902"/>
  </r>
  <r>
    <n v="3651"/>
    <x v="10"/>
    <s v="Marine"/>
    <x v="0"/>
    <x v="0"/>
    <n v="6"/>
    <s v="Area 6: E Juan de Fuca"/>
    <s v="Area 6: E Juan de Fuca"/>
    <s v="NA"/>
    <x v="0"/>
    <s v="Thurston"/>
    <s v="08Thurston"/>
    <s v="South Puget Sound"/>
    <s v="02South Puget Sound"/>
    <n v="208.28626943005199"/>
    <n v="230.12746265735501"/>
    <n v="208.28626943005199"/>
    <n v="230.12746265735501"/>
  </r>
  <r>
    <n v="1508"/>
    <x v="11"/>
    <s v="Marine"/>
    <x v="0"/>
    <x v="0"/>
    <n v="6"/>
    <s v="Area 6: E Juan de Fuca"/>
    <s v="Area 6: E Juan de Fuca"/>
    <s v="NA"/>
    <x v="0"/>
    <s v="Clallam"/>
    <s v="11Clallam"/>
    <s v="Strait of Juan de Fuca"/>
    <s v="03Strait of Juan de Fuca"/>
    <n v="8762.4835742444193"/>
    <n v="13190.7164768895"/>
    <n v="8762.4835742444193"/>
    <n v="13190.7164768895"/>
  </r>
  <r>
    <n v="1349"/>
    <x v="11"/>
    <s v="Marine"/>
    <x v="0"/>
    <x v="0"/>
    <n v="6"/>
    <s v="Area 6: E Juan de Fuca"/>
    <s v="Area 6: E Juan de Fuca"/>
    <s v="NA"/>
    <x v="0"/>
    <s v="Island"/>
    <s v="04Island"/>
    <s v="North Puget Sound"/>
    <s v="01North Puget Sound"/>
    <n v="410.47963206307497"/>
    <n v="617.92075274147703"/>
    <n v="410.47963206307497"/>
    <n v="617.92075274147703"/>
  </r>
  <r>
    <n v="1509"/>
    <x v="11"/>
    <s v="Marine"/>
    <x v="0"/>
    <x v="0"/>
    <n v="6"/>
    <s v="Area 6: E Juan de Fuca"/>
    <s v="Area 6: E Juan de Fuca"/>
    <s v="NA"/>
    <x v="0"/>
    <s v="Jefferson"/>
    <s v="12Jefferson"/>
    <s v="Strait of Juan de Fuca"/>
    <s v="03Strait of Juan de Fuca"/>
    <n v="167.54270696451999"/>
    <n v="252.212552139378"/>
    <n v="167.54270696451999"/>
    <n v="252.212552139378"/>
  </r>
  <r>
    <n v="1351"/>
    <x v="11"/>
    <s v="Marine"/>
    <x v="0"/>
    <x v="0"/>
    <n v="6"/>
    <s v="Area 6: E Juan de Fuca"/>
    <s v="Area 6: E Juan de Fuca"/>
    <s v="NA"/>
    <x v="0"/>
    <s v="King"/>
    <s v="06King"/>
    <s v="South Puget Sound"/>
    <s v="02South Puget Sound"/>
    <n v="435.61103810775302"/>
    <n v="655.75263556238394"/>
    <n v="435.61103810775302"/>
    <n v="655.75263556238394"/>
  </r>
  <r>
    <n v="1488"/>
    <x v="11"/>
    <s v="Marine"/>
    <x v="0"/>
    <x v="0"/>
    <n v="6"/>
    <s v="Area 6: E Juan de Fuca"/>
    <s v="Area 6: E Juan de Fuca"/>
    <s v="NA"/>
    <x v="0"/>
    <s v="Kitsap"/>
    <s v="10Kitsap"/>
    <s v="South Puget Sound"/>
    <s v="02South Puget Sound"/>
    <n v="293.19973718791101"/>
    <n v="441.37196624391203"/>
    <n v="293.19973718791101"/>
    <n v="441.37196624391203"/>
  </r>
  <r>
    <n v="1353"/>
    <x v="11"/>
    <s v="Marine"/>
    <x v="0"/>
    <x v="0"/>
    <n v="6"/>
    <s v="Area 6: E Juan de Fuca"/>
    <s v="Area 6: E Juan de Fuca"/>
    <s v="NA"/>
    <x v="0"/>
    <s v="Mason"/>
    <s v="09Mason"/>
    <s v="South Puget Sound"/>
    <s v="02South Puget Sound"/>
    <n v="50.262812089356103"/>
    <n v="75.663765641813498"/>
    <n v="50.262812089356103"/>
    <n v="75.663765641813498"/>
  </r>
  <r>
    <n v="1510"/>
    <x v="11"/>
    <s v="Marine"/>
    <x v="0"/>
    <x v="0"/>
    <n v="6"/>
    <s v="Area 6: E Juan de Fuca"/>
    <s v="Area 6: E Juan de Fuca"/>
    <s v="NA"/>
    <x v="0"/>
    <s v="Other"/>
    <s v="20Other"/>
    <s v="Non Puget Sound"/>
    <s v="07Non Puget Sound"/>
    <n v="1038.76478318003"/>
    <n v="1563.71782326415"/>
    <n v="1038.76478318003"/>
    <n v="1563.71782326415"/>
  </r>
  <r>
    <n v="1352"/>
    <x v="11"/>
    <s v="Marine"/>
    <x v="0"/>
    <x v="0"/>
    <n v="6"/>
    <s v="Area 6: E Juan de Fuca"/>
    <s v="Area 6: E Juan de Fuca"/>
    <s v="NA"/>
    <x v="0"/>
    <s v="Pierce"/>
    <s v="07Pierce"/>
    <s v="South Puget Sound"/>
    <s v="02South Puget Sound"/>
    <n v="368.59395532194497"/>
    <n v="554.86761470663203"/>
    <n v="368.59395532194497"/>
    <n v="554.86761470663203"/>
  </r>
  <r>
    <n v="1350"/>
    <x v="11"/>
    <s v="Marine"/>
    <x v="0"/>
    <x v="0"/>
    <n v="6"/>
    <s v="Area 6: E Juan de Fuca"/>
    <s v="Area 6: E Juan de Fuca"/>
    <s v="NA"/>
    <x v="0"/>
    <s v="San Juan"/>
    <s v="05San Juan"/>
    <s v="North Puget Sound"/>
    <s v="01North Puget Sound"/>
    <n v="33.5085413929041"/>
    <n v="50.442510427875703"/>
    <n v="33.5085413929041"/>
    <n v="50.442510427875703"/>
  </r>
  <r>
    <n v="1347"/>
    <x v="11"/>
    <s v="Marine"/>
    <x v="0"/>
    <x v="0"/>
    <n v="6"/>
    <s v="Area 6: E Juan de Fuca"/>
    <s v="Area 6: E Juan de Fuca"/>
    <s v="NA"/>
    <x v="0"/>
    <s v="Skagit"/>
    <s v="02Skagit"/>
    <s v="North Puget Sound"/>
    <s v="01North Puget Sound"/>
    <n v="737.18791064388995"/>
    <n v="1109.73522941326"/>
    <n v="737.18791064388995"/>
    <n v="1109.73522941326"/>
  </r>
  <r>
    <n v="1348"/>
    <x v="11"/>
    <s v="Marine"/>
    <x v="0"/>
    <x v="0"/>
    <n v="6"/>
    <s v="Area 6: E Juan de Fuca"/>
    <s v="Area 6: E Juan de Fuca"/>
    <s v="NA"/>
    <x v="0"/>
    <s v="Snohomish"/>
    <s v="03Snohomish"/>
    <s v="North Puget Sound"/>
    <s v="01North Puget Sound"/>
    <n v="427.23390275952698"/>
    <n v="643.14200795541501"/>
    <n v="427.23390275952698"/>
    <n v="643.14200795541501"/>
  </r>
  <r>
    <n v="1346"/>
    <x v="11"/>
    <s v="Marine"/>
    <x v="0"/>
    <x v="0"/>
    <n v="6"/>
    <s v="Area 6: E Juan de Fuca"/>
    <s v="Area 6: E Juan de Fuca"/>
    <s v="NA"/>
    <x v="0"/>
    <s v="Whatcom"/>
    <s v="01Whatcom"/>
    <s v="North Puget Sound"/>
    <s v="01North Puget Sound"/>
    <n v="25.131406044678101"/>
    <n v="37.831882820906799"/>
    <n v="25.131406044678101"/>
    <n v="37.831882820906799"/>
  </r>
  <r>
    <n v="3201"/>
    <x v="0"/>
    <s v="Marine"/>
    <x v="0"/>
    <x v="0"/>
    <n v="7"/>
    <s v="Area 7: San Juan Islands"/>
    <s v="Area 7: San Juan Islands"/>
    <s v="NA"/>
    <x v="1"/>
    <s v="Clallam"/>
    <s v="11Clallam"/>
    <s v="Strait of Juan de Fuca"/>
    <s v="03Strait of Juan de Fuca"/>
    <n v="57.946428571428598"/>
    <n v="433.17168367347"/>
    <n v="57.946428571428598"/>
    <n v="433.17168367347"/>
  </r>
  <r>
    <n v="3139"/>
    <x v="0"/>
    <s v="Marine"/>
    <x v="0"/>
    <x v="0"/>
    <n v="7"/>
    <s v="Area 7: San Juan Islands"/>
    <s v="Area 7: San Juan Islands"/>
    <s v="NA"/>
    <x v="1"/>
    <s v="Island"/>
    <s v="04Island"/>
    <s v="North Puget Sound"/>
    <s v="01North Puget Sound"/>
    <n v="156.455357142857"/>
    <n v="1169.56354591837"/>
    <n v="156.455357142857"/>
    <n v="1169.56354591837"/>
  </r>
  <r>
    <n v="3202"/>
    <x v="0"/>
    <s v="Marine"/>
    <x v="0"/>
    <x v="0"/>
    <n v="7"/>
    <s v="Area 7: San Juan Islands"/>
    <s v="Area 7: San Juan Islands"/>
    <s v="NA"/>
    <x v="1"/>
    <s v="Jefferson"/>
    <s v="12Jefferson"/>
    <s v="Strait of Juan de Fuca"/>
    <s v="03Strait of Juan de Fuca"/>
    <n v="17.383928571428601"/>
    <n v="129.95150510204101"/>
    <n v="17.383928571428601"/>
    <n v="129.95150510204101"/>
  </r>
  <r>
    <n v="3141"/>
    <x v="0"/>
    <s v="Marine"/>
    <x v="0"/>
    <x v="0"/>
    <n v="7"/>
    <s v="Area 7: San Juan Islands"/>
    <s v="Area 7: San Juan Islands"/>
    <s v="NA"/>
    <x v="1"/>
    <s v="King"/>
    <s v="06King"/>
    <s v="South Puget Sound"/>
    <s v="02South Puget Sound"/>
    <n v="347.67857142857201"/>
    <n v="2599.0301020408201"/>
    <n v="347.67857142857201"/>
    <n v="2599.0301020408201"/>
  </r>
  <r>
    <n v="3200"/>
    <x v="0"/>
    <s v="Marine"/>
    <x v="0"/>
    <x v="0"/>
    <n v="7"/>
    <s v="Area 7: San Juan Islands"/>
    <s v="Area 7: San Juan Islands"/>
    <s v="NA"/>
    <x v="1"/>
    <s v="Kitsap"/>
    <s v="10Kitsap"/>
    <s v="South Puget Sound"/>
    <s v="02South Puget Sound"/>
    <n v="11.589285714285699"/>
    <n v="86.634336734693903"/>
    <n v="11.589285714285699"/>
    <n v="86.634336734693903"/>
  </r>
  <r>
    <n v="3199"/>
    <x v="0"/>
    <s v="Marine"/>
    <x v="0"/>
    <x v="0"/>
    <n v="7"/>
    <s v="Area 7: San Juan Islands"/>
    <s v="Area 7: San Juan Islands"/>
    <s v="NA"/>
    <x v="1"/>
    <s v="Mason"/>
    <s v="09Mason"/>
    <s v="South Puget Sound"/>
    <s v="02South Puget Sound"/>
    <n v="5.7946428571428603"/>
    <n v="43.317168367346902"/>
    <n v="5.7946428571428603"/>
    <n v="43.317168367346902"/>
  </r>
  <r>
    <n v="3203"/>
    <x v="0"/>
    <s v="Marine"/>
    <x v="0"/>
    <x v="0"/>
    <n v="7"/>
    <s v="Area 7: San Juan Islands"/>
    <s v="Area 7: San Juan Islands"/>
    <s v="NA"/>
    <x v="1"/>
    <s v="Other"/>
    <s v="20Other"/>
    <s v="Non Puget Sound"/>
    <s v="07Non Puget Sound"/>
    <n v="336.08928571428601"/>
    <n v="2512.3957653061202"/>
    <n v="336.08928571428601"/>
    <n v="2512.3957653061202"/>
  </r>
  <r>
    <n v="3195"/>
    <x v="0"/>
    <s v="Marine"/>
    <x v="0"/>
    <x v="0"/>
    <n v="7"/>
    <s v="Area 7: San Juan Islands"/>
    <s v="Area 7: San Juan Islands"/>
    <s v="NA"/>
    <x v="1"/>
    <s v="Pierce"/>
    <s v="07Pierce"/>
    <s v="South Puget Sound"/>
    <s v="02South Puget Sound"/>
    <n v="23.178571428571399"/>
    <n v="173.26867346938801"/>
    <n v="23.178571428571399"/>
    <n v="173.26867346938801"/>
  </r>
  <r>
    <n v="3140"/>
    <x v="0"/>
    <s v="Marine"/>
    <x v="0"/>
    <x v="0"/>
    <n v="7"/>
    <s v="Area 7: San Juan Islands"/>
    <s v="Area 7: San Juan Islands"/>
    <s v="NA"/>
    <x v="1"/>
    <s v="San Juan"/>
    <s v="05San Juan"/>
    <s v="North Puget Sound"/>
    <s v="01North Puget Sound"/>
    <n v="573.669642857143"/>
    <n v="4288.3996683673504"/>
    <n v="573.669642857143"/>
    <n v="4288.3996683673504"/>
  </r>
  <r>
    <n v="3137"/>
    <x v="0"/>
    <s v="Marine"/>
    <x v="0"/>
    <x v="0"/>
    <n v="7"/>
    <s v="Area 7: San Juan Islands"/>
    <s v="Area 7: San Juan Islands"/>
    <s v="NA"/>
    <x v="1"/>
    <s v="Skagit"/>
    <s v="02Skagit"/>
    <s v="North Puget Sound"/>
    <s v="01North Puget Sound"/>
    <n v="1002.47321428571"/>
    <n v="7493.8701275510202"/>
    <n v="1002.47321428571"/>
    <n v="7493.8701275510202"/>
  </r>
  <r>
    <n v="3138"/>
    <x v="0"/>
    <s v="Marine"/>
    <x v="0"/>
    <x v="0"/>
    <n v="7"/>
    <s v="Area 7: San Juan Islands"/>
    <s v="Area 7: San Juan Islands"/>
    <s v="NA"/>
    <x v="1"/>
    <s v="Snohomish"/>
    <s v="03Snohomish"/>
    <s v="North Puget Sound"/>
    <s v="01North Puget Sound"/>
    <n v="538.90178571428601"/>
    <n v="4028.4966581632698"/>
    <n v="538.90178571428601"/>
    <n v="4028.4966581632698"/>
  </r>
  <r>
    <n v="3196"/>
    <x v="0"/>
    <s v="Marine"/>
    <x v="0"/>
    <x v="0"/>
    <n v="7"/>
    <s v="Area 7: San Juan Islands"/>
    <s v="Area 7: San Juan Islands"/>
    <s v="NA"/>
    <x v="1"/>
    <s v="Thurston"/>
    <s v="08Thurston"/>
    <s v="South Puget Sound"/>
    <s v="02South Puget Sound"/>
    <n v="28.973214285714299"/>
    <n v="216.585841836735"/>
    <n v="28.973214285714299"/>
    <n v="216.585841836735"/>
  </r>
  <r>
    <n v="3136"/>
    <x v="0"/>
    <s v="Marine"/>
    <x v="0"/>
    <x v="0"/>
    <n v="7"/>
    <s v="Area 7: San Juan Islands"/>
    <s v="Area 7: San Juan Islands"/>
    <s v="NA"/>
    <x v="1"/>
    <s v="Whatcom"/>
    <s v="01Whatcom"/>
    <s v="North Puget Sound"/>
    <s v="01North Puget Sound"/>
    <n v="1442.86607142857"/>
    <n v="10785.974923469401"/>
    <n v="1442.86607142857"/>
    <n v="10785.974923469401"/>
  </r>
  <r>
    <n v="3217"/>
    <x v="1"/>
    <s v="Marine"/>
    <x v="0"/>
    <x v="0"/>
    <n v="7"/>
    <s v="Area 7: San Juan Islands"/>
    <s v="Area 7: San Juan Islands"/>
    <s v="NA"/>
    <x v="1"/>
    <s v="Clallam"/>
    <s v="11Clallam"/>
    <s v="Strait of Juan de Fuca"/>
    <s v="03Strait of Juan de Fuca"/>
    <n v="218.927638678112"/>
    <n v="470.02727818836303"/>
    <n v="218.927638678112"/>
    <n v="470.02727818836303"/>
  </r>
  <r>
    <n v="3207"/>
    <x v="1"/>
    <s v="Marine"/>
    <x v="0"/>
    <x v="0"/>
    <n v="7"/>
    <s v="Area 7: San Juan Islands"/>
    <s v="Area 7: San Juan Islands"/>
    <s v="NA"/>
    <x v="1"/>
    <s v="Island"/>
    <s v="04Island"/>
    <s v="North Puget Sound"/>
    <s v="01North Puget Sound"/>
    <n v="993.59466784681695"/>
    <n v="2133.2007240856501"/>
    <n v="993.59466784681695"/>
    <n v="2133.2007240856501"/>
  </r>
  <r>
    <n v="3218"/>
    <x v="1"/>
    <s v="Marine"/>
    <x v="0"/>
    <x v="0"/>
    <n v="7"/>
    <s v="Area 7: San Juan Islands"/>
    <s v="Area 7: San Juan Islands"/>
    <s v="NA"/>
    <x v="1"/>
    <s v="Jefferson"/>
    <s v="12Jefferson"/>
    <s v="Strait of Juan de Fuca"/>
    <s v="03Strait of Juan de Fuca"/>
    <n v="16.840587590624001"/>
    <n v="36.155944476027898"/>
    <n v="16.840587590624001"/>
    <n v="36.155944476027898"/>
  </r>
  <r>
    <n v="3209"/>
    <x v="1"/>
    <s v="Marine"/>
    <x v="0"/>
    <x v="0"/>
    <n v="7"/>
    <s v="Area 7: San Juan Islands"/>
    <s v="Area 7: San Juan Islands"/>
    <s v="NA"/>
    <x v="1"/>
    <s v="King"/>
    <s v="06King"/>
    <s v="South Puget Sound"/>
    <s v="02South Puget Sound"/>
    <n v="3042.5328247060702"/>
    <n v="6532.1739686690498"/>
    <n v="3042.5328247060702"/>
    <n v="6532.1739686690498"/>
  </r>
  <r>
    <n v="3216"/>
    <x v="1"/>
    <s v="Marine"/>
    <x v="0"/>
    <x v="0"/>
    <n v="7"/>
    <s v="Area 7: San Juan Islands"/>
    <s v="Area 7: San Juan Islands"/>
    <s v="NA"/>
    <x v="1"/>
    <s v="Kitsap"/>
    <s v="10Kitsap"/>
    <s v="South Puget Sound"/>
    <s v="02South Puget Sound"/>
    <n v="39.294704378122702"/>
    <n v="84.363870444065199"/>
    <n v="39.294704378122702"/>
    <n v="84.363870444065199"/>
  </r>
  <r>
    <n v="3212"/>
    <x v="1"/>
    <s v="Marine"/>
    <x v="0"/>
    <x v="0"/>
    <n v="7"/>
    <s v="Area 7: San Juan Islands"/>
    <s v="Area 7: San Juan Islands"/>
    <s v="NA"/>
    <x v="1"/>
    <s v="Mason"/>
    <s v="09Mason"/>
    <s v="South Puget Sound"/>
    <s v="02South Puget Sound"/>
    <n v="22.454116787498702"/>
    <n v="48.207925968037301"/>
    <n v="22.454116787498702"/>
    <n v="48.207925968037301"/>
  </r>
  <r>
    <n v="3219"/>
    <x v="1"/>
    <s v="Marine"/>
    <x v="0"/>
    <x v="0"/>
    <n v="7"/>
    <s v="Area 7: San Juan Islands"/>
    <s v="Area 7: San Juan Islands"/>
    <s v="NA"/>
    <x v="1"/>
    <s v="Other"/>
    <s v="20Other"/>
    <s v="Non Puget Sound"/>
    <s v="07Non Puget Sound"/>
    <n v="3637.5669195747901"/>
    <n v="7809.6840068220299"/>
    <n v="3637.5669195747901"/>
    <n v="7809.6840068220299"/>
  </r>
  <r>
    <n v="3210"/>
    <x v="1"/>
    <s v="Marine"/>
    <x v="0"/>
    <x v="0"/>
    <n v="7"/>
    <s v="Area 7: San Juan Islands"/>
    <s v="Area 7: San Juan Islands"/>
    <s v="NA"/>
    <x v="1"/>
    <s v="Pierce"/>
    <s v="07Pierce"/>
    <s v="South Puget Sound"/>
    <s v="02South Puget Sound"/>
    <n v="241.38175546561101"/>
    <n v="518.23520415639996"/>
    <n v="241.38175546561101"/>
    <n v="518.23520415639996"/>
  </r>
  <r>
    <n v="3208"/>
    <x v="1"/>
    <s v="Marine"/>
    <x v="0"/>
    <x v="0"/>
    <n v="7"/>
    <s v="Area 7: San Juan Islands"/>
    <s v="Area 7: San Juan Islands"/>
    <s v="NA"/>
    <x v="1"/>
    <s v="San Juan"/>
    <s v="05San Juan"/>
    <s v="North Puget Sound"/>
    <s v="01North Puget Sound"/>
    <n v="2144.36815320613"/>
    <n v="4603.8569299475603"/>
    <n v="2144.36815320613"/>
    <n v="4603.8569299475603"/>
  </r>
  <r>
    <n v="3205"/>
    <x v="1"/>
    <s v="Marine"/>
    <x v="0"/>
    <x v="0"/>
    <n v="7"/>
    <s v="Area 7: San Juan Islands"/>
    <s v="Area 7: San Juan Islands"/>
    <s v="NA"/>
    <x v="1"/>
    <s v="Skagit"/>
    <s v="02Skagit"/>
    <s v="North Puget Sound"/>
    <s v="01North Puget Sound"/>
    <n v="3727.3833867247799"/>
    <n v="8002.5157106941797"/>
    <n v="3727.3833867247799"/>
    <n v="8002.5157106941797"/>
  </r>
  <r>
    <n v="3206"/>
    <x v="1"/>
    <s v="Marine"/>
    <x v="0"/>
    <x v="0"/>
    <n v="7"/>
    <s v="Area 7: San Juan Islands"/>
    <s v="Area 7: San Juan Islands"/>
    <s v="NA"/>
    <x v="1"/>
    <s v="Snohomish"/>
    <s v="03Snohomish"/>
    <s v="North Puget Sound"/>
    <s v="01North Puget Sound"/>
    <n v="1425.8364160061701"/>
    <n v="3061.2032989703598"/>
    <n v="1425.8364160061701"/>
    <n v="3061.2032989703598"/>
  </r>
  <r>
    <n v="3211"/>
    <x v="1"/>
    <s v="Marine"/>
    <x v="0"/>
    <x v="0"/>
    <n v="7"/>
    <s v="Area 7: San Juan Islands"/>
    <s v="Area 7: San Juan Islands"/>
    <s v="NA"/>
    <x v="1"/>
    <s v="Thurston"/>
    <s v="08Thurston"/>
    <s v="South Puget Sound"/>
    <s v="02South Puget Sound"/>
    <n v="72.975879559370796"/>
    <n v="156.67575939612101"/>
    <n v="72.975879559370796"/>
    <n v="156.67575939612101"/>
  </r>
  <r>
    <n v="3204"/>
    <x v="1"/>
    <s v="Marine"/>
    <x v="0"/>
    <x v="0"/>
    <n v="7"/>
    <s v="Area 7: San Juan Islands"/>
    <s v="Area 7: San Juan Islands"/>
    <s v="NA"/>
    <x v="1"/>
    <s v="Whatcom"/>
    <s v="01Whatcom"/>
    <s v="North Puget Sound"/>
    <s v="01North Puget Sound"/>
    <n v="3721.7698575279101"/>
    <n v="7990.4637292021698"/>
    <n v="3721.7698575279101"/>
    <n v="7990.4637292021698"/>
  </r>
  <r>
    <n v="3242"/>
    <x v="2"/>
    <s v="Marine"/>
    <x v="0"/>
    <x v="0"/>
    <n v="7"/>
    <s v="Area 7: San Juan Islands"/>
    <s v="Area 7: San Juan Islands"/>
    <s v="NA"/>
    <x v="1"/>
    <s v="Clallam"/>
    <s v="11Clallam"/>
    <s v="Strait of Juan de Fuca"/>
    <s v="03Strait of Juan de Fuca"/>
    <n v="101.18421052631599"/>
    <n v="443.145285087719"/>
    <n v="101.18421052631599"/>
    <n v="443.145285087719"/>
  </r>
  <r>
    <n v="3229"/>
    <x v="2"/>
    <s v="Marine"/>
    <x v="0"/>
    <x v="0"/>
    <n v="7"/>
    <s v="Area 7: San Juan Islands"/>
    <s v="Area 7: San Juan Islands"/>
    <s v="NA"/>
    <x v="1"/>
    <s v="Island"/>
    <s v="04Island"/>
    <s v="North Puget Sound"/>
    <s v="01North Puget Sound"/>
    <n v="258.01973684210498"/>
    <n v="1130.0204769736799"/>
    <n v="258.01973684210498"/>
    <n v="1130.0204769736799"/>
  </r>
  <r>
    <n v="3243"/>
    <x v="2"/>
    <s v="Marine"/>
    <x v="0"/>
    <x v="0"/>
    <n v="7"/>
    <s v="Area 7: San Juan Islands"/>
    <s v="Area 7: San Juan Islands"/>
    <s v="NA"/>
    <x v="1"/>
    <s v="Jefferson"/>
    <s v="12Jefferson"/>
    <s v="Strait of Juan de Fuca"/>
    <s v="03Strait of Juan de Fuca"/>
    <n v="10.1184210526316"/>
    <n v="44.3145285087719"/>
    <n v="10.1184210526316"/>
    <n v="44.3145285087719"/>
  </r>
  <r>
    <n v="3237"/>
    <x v="2"/>
    <s v="Marine"/>
    <x v="0"/>
    <x v="0"/>
    <n v="7"/>
    <s v="Area 7: San Juan Islands"/>
    <s v="Area 7: San Juan Islands"/>
    <s v="NA"/>
    <x v="1"/>
    <s v="King"/>
    <s v="06King"/>
    <s v="South Puget Sound"/>
    <s v="02South Puget Sound"/>
    <n v="748.76315789473699"/>
    <n v="3279.2751096491202"/>
    <n v="748.76315789473699"/>
    <n v="3279.2751096491202"/>
  </r>
  <r>
    <n v="3240"/>
    <x v="2"/>
    <s v="Marine"/>
    <x v="0"/>
    <x v="0"/>
    <n v="7"/>
    <s v="Area 7: San Juan Islands"/>
    <s v="Area 7: San Juan Islands"/>
    <s v="NA"/>
    <x v="1"/>
    <s v="Kitsap"/>
    <s v="10Kitsap"/>
    <s v="South Puget Sound"/>
    <s v="02South Puget Sound"/>
    <n v="10.1184210526316"/>
    <n v="44.3145285087719"/>
    <n v="10.1184210526316"/>
    <n v="44.3145285087719"/>
  </r>
  <r>
    <n v="3239"/>
    <x v="2"/>
    <s v="Marine"/>
    <x v="0"/>
    <x v="0"/>
    <n v="7"/>
    <s v="Area 7: San Juan Islands"/>
    <s v="Area 7: San Juan Islands"/>
    <s v="NA"/>
    <x v="1"/>
    <s v="Mason"/>
    <s v="09Mason"/>
    <s v="South Puget Sound"/>
    <s v="02South Puget Sound"/>
    <n v="35.414473684210499"/>
    <n v="155.10084978070199"/>
    <n v="35.414473684210499"/>
    <n v="155.10084978070199"/>
  </r>
  <r>
    <n v="3244"/>
    <x v="2"/>
    <s v="Marine"/>
    <x v="0"/>
    <x v="0"/>
    <n v="7"/>
    <s v="Area 7: San Juan Islands"/>
    <s v="Area 7: San Juan Islands"/>
    <s v="NA"/>
    <x v="1"/>
    <s v="Other"/>
    <s v="20Other"/>
    <s v="Non Puget Sound"/>
    <s v="07Non Puget Sound"/>
    <n v="642.51973684210498"/>
    <n v="2813.9725603070201"/>
    <n v="642.51973684210498"/>
    <n v="2813.9725603070201"/>
  </r>
  <r>
    <n v="3238"/>
    <x v="2"/>
    <s v="Marine"/>
    <x v="0"/>
    <x v="0"/>
    <n v="7"/>
    <s v="Area 7: San Juan Islands"/>
    <s v="Area 7: San Juan Islands"/>
    <s v="NA"/>
    <x v="1"/>
    <s v="Pierce"/>
    <s v="07Pierce"/>
    <s v="South Puget Sound"/>
    <s v="02South Puget Sound"/>
    <n v="172.01315789473699"/>
    <n v="753.34698464912299"/>
    <n v="172.01315789473699"/>
    <n v="753.34698464912299"/>
  </r>
  <r>
    <n v="3236"/>
    <x v="2"/>
    <s v="Marine"/>
    <x v="0"/>
    <x v="0"/>
    <n v="7"/>
    <s v="Area 7: San Juan Islands"/>
    <s v="Area 7: San Juan Islands"/>
    <s v="NA"/>
    <x v="1"/>
    <s v="San Juan"/>
    <s v="05San Juan"/>
    <s v="North Puget Sound"/>
    <s v="01North Puget Sound"/>
    <n v="1290.0986842105301"/>
    <n v="5650.1023848684199"/>
    <n v="1290.0986842105301"/>
    <n v="5650.1023848684199"/>
  </r>
  <r>
    <n v="3227"/>
    <x v="2"/>
    <s v="Marine"/>
    <x v="0"/>
    <x v="0"/>
    <n v="7"/>
    <s v="Area 7: San Juan Islands"/>
    <s v="Area 7: San Juan Islands"/>
    <s v="NA"/>
    <x v="1"/>
    <s v="Skagit"/>
    <s v="02Skagit"/>
    <s v="North Puget Sound"/>
    <s v="01North Puget Sound"/>
    <n v="2504.3092105263199"/>
    <n v="10967.845805921101"/>
    <n v="2504.3092105263199"/>
    <n v="10967.845805921101"/>
  </r>
  <r>
    <n v="3228"/>
    <x v="2"/>
    <s v="Marine"/>
    <x v="0"/>
    <x v="0"/>
    <n v="7"/>
    <s v="Area 7: San Juan Islands"/>
    <s v="Area 7: San Juan Islands"/>
    <s v="NA"/>
    <x v="1"/>
    <s v="Snohomish"/>
    <s v="03Snohomish"/>
    <s v="North Puget Sound"/>
    <s v="01North Puget Sound"/>
    <n v="824.65131578947398"/>
    <n v="3611.6340734649102"/>
    <n v="824.65131578947398"/>
    <n v="3611.6340734649102"/>
  </r>
  <r>
    <n v="3220"/>
    <x v="2"/>
    <s v="Marine"/>
    <x v="0"/>
    <x v="0"/>
    <n v="7"/>
    <s v="Area 7: San Juan Islands"/>
    <s v="Area 7: San Juan Islands"/>
    <s v="NA"/>
    <x v="1"/>
    <s v="Whatcom"/>
    <s v="01Whatcom"/>
    <s v="North Puget Sound"/>
    <s v="01North Puget Sound"/>
    <n v="2630.78947368421"/>
    <n v="11521.7774122807"/>
    <n v="2630.78947368421"/>
    <n v="11521.7774122807"/>
  </r>
  <r>
    <n v="3299"/>
    <x v="3"/>
    <s v="Marine"/>
    <x v="0"/>
    <x v="0"/>
    <n v="7"/>
    <s v="Area 7: San Juan Islands"/>
    <s v="Area 7: San Juan Islands"/>
    <s v="NA"/>
    <x v="1"/>
    <s v="Clallam"/>
    <s v="11Clallam"/>
    <s v="Strait of Juan de Fuca"/>
    <s v="03Strait of Juan de Fuca"/>
    <n v="296.50021105951902"/>
    <n v="516.23789784719304"/>
    <n v="296.50021105951902"/>
    <n v="516.23789784719304"/>
  </r>
  <r>
    <n v="3248"/>
    <x v="3"/>
    <s v="Marine"/>
    <x v="0"/>
    <x v="0"/>
    <n v="7"/>
    <s v="Area 7: San Juan Islands"/>
    <s v="Area 7: San Juan Islands"/>
    <s v="NA"/>
    <x v="1"/>
    <s v="Island"/>
    <s v="04Island"/>
    <s v="North Puget Sound"/>
    <s v="01North Puget Sound"/>
    <n v="2092.2845082313202"/>
    <n v="3642.8862980160402"/>
    <n v="2092.2845082313202"/>
    <n v="3642.8862980160402"/>
  </r>
  <r>
    <n v="3300"/>
    <x v="3"/>
    <s v="Marine"/>
    <x v="0"/>
    <x v="0"/>
    <n v="7"/>
    <s v="Area 7: San Juan Islands"/>
    <s v="Area 7: San Juan Islands"/>
    <s v="NA"/>
    <x v="1"/>
    <s v="Jefferson"/>
    <s v="12Jefferson"/>
    <s v="Strait of Juan de Fuca"/>
    <s v="03Strait of Juan de Fuca"/>
    <n v="16.783030814689699"/>
    <n v="29.221013085690199"/>
    <n v="16.783030814689699"/>
    <n v="29.221013085690199"/>
  </r>
  <r>
    <n v="3250"/>
    <x v="3"/>
    <s v="Marine"/>
    <x v="0"/>
    <x v="0"/>
    <n v="7"/>
    <s v="Area 7: San Juan Islands"/>
    <s v="Area 7: San Juan Islands"/>
    <s v="NA"/>
    <x v="1"/>
    <s v="King"/>
    <s v="06King"/>
    <s v="South Puget Sound"/>
    <s v="02South Puget Sound"/>
    <n v="3703.45546644154"/>
    <n v="6448.1035542422997"/>
    <n v="3703.45546644154"/>
    <n v="6448.1035542422997"/>
  </r>
  <r>
    <n v="3254"/>
    <x v="3"/>
    <s v="Marine"/>
    <x v="0"/>
    <x v="0"/>
    <n v="7"/>
    <s v="Area 7: San Juan Islands"/>
    <s v="Area 7: San Juan Islands"/>
    <s v="NA"/>
    <x v="1"/>
    <s v="Kitsap"/>
    <s v="10Kitsap"/>
    <s v="South Puget Sound"/>
    <s v="02South Puget Sound"/>
    <n v="179.01899535669099"/>
    <n v="311.69080624736199"/>
    <n v="179.01899535669099"/>
    <n v="311.69080624736199"/>
  </r>
  <r>
    <n v="3253"/>
    <x v="3"/>
    <s v="Marine"/>
    <x v="0"/>
    <x v="0"/>
    <n v="7"/>
    <s v="Area 7: San Juan Islands"/>
    <s v="Area 7: San Juan Islands"/>
    <s v="NA"/>
    <x v="1"/>
    <s v="Mason"/>
    <s v="09Mason"/>
    <s v="South Puget Sound"/>
    <s v="02South Puget Sound"/>
    <n v="156.64162093710399"/>
    <n v="272.729455466442"/>
    <n v="156.64162093710399"/>
    <n v="272.729455466442"/>
  </r>
  <r>
    <n v="3301"/>
    <x v="3"/>
    <s v="Marine"/>
    <x v="0"/>
    <x v="0"/>
    <n v="7"/>
    <s v="Area 7: San Juan Islands"/>
    <s v="Area 7: San Juan Islands"/>
    <s v="NA"/>
    <x v="1"/>
    <s v="Other"/>
    <s v="20Other"/>
    <s v="Non Puget Sound"/>
    <s v="07Non Puget Sound"/>
    <n v="4928.6167159138904"/>
    <n v="8581.2375094976796"/>
    <n v="4928.6167159138904"/>
    <n v="8581.2375094976796"/>
  </r>
  <r>
    <n v="3251"/>
    <x v="3"/>
    <s v="Marine"/>
    <x v="0"/>
    <x v="0"/>
    <n v="7"/>
    <s v="Area 7: San Juan Islands"/>
    <s v="Area 7: San Juan Islands"/>
    <s v="NA"/>
    <x v="1"/>
    <s v="Pierce"/>
    <s v="07Pierce"/>
    <s v="South Puget Sound"/>
    <s v="02South Puget Sound"/>
    <n v="279.71718024482902"/>
    <n v="487.01688476150298"/>
    <n v="279.71718024482902"/>
    <n v="487.01688476150298"/>
  </r>
  <r>
    <n v="3249"/>
    <x v="3"/>
    <s v="Marine"/>
    <x v="0"/>
    <x v="0"/>
    <n v="7"/>
    <s v="Area 7: San Juan Islands"/>
    <s v="Area 7: San Juan Islands"/>
    <s v="NA"/>
    <x v="1"/>
    <s v="San Juan"/>
    <s v="05San Juan"/>
    <s v="North Puget Sound"/>
    <s v="01North Puget Sound"/>
    <n v="3121.6437315322901"/>
    <n v="5435.1084339383697"/>
    <n v="3121.6437315322901"/>
    <n v="5435.1084339383697"/>
  </r>
  <r>
    <n v="3246"/>
    <x v="3"/>
    <s v="Marine"/>
    <x v="0"/>
    <x v="0"/>
    <n v="7"/>
    <s v="Area 7: San Juan Islands"/>
    <s v="Area 7: San Juan Islands"/>
    <s v="NA"/>
    <x v="1"/>
    <s v="Skagit"/>
    <s v="02Skagit"/>
    <s v="North Puget Sound"/>
    <s v="01North Puget Sound"/>
    <n v="5264.27733220768"/>
    <n v="9165.6577712114795"/>
    <n v="5264.27733220768"/>
    <n v="9165.6577712114795"/>
  </r>
  <r>
    <n v="3247"/>
    <x v="3"/>
    <s v="Marine"/>
    <x v="0"/>
    <x v="0"/>
    <n v="7"/>
    <s v="Area 7: San Juan Islands"/>
    <s v="Area 7: San Juan Islands"/>
    <s v="NA"/>
    <x v="1"/>
    <s v="Snohomish"/>
    <s v="03Snohomish"/>
    <s v="North Puget Sound"/>
    <s v="01North Puget Sound"/>
    <n v="2551.0206838328399"/>
    <n v="4441.5939890249101"/>
    <n v="2551.0206838328399"/>
    <n v="4441.5939890249101"/>
  </r>
  <r>
    <n v="3252"/>
    <x v="3"/>
    <s v="Marine"/>
    <x v="0"/>
    <x v="0"/>
    <n v="7"/>
    <s v="Area 7: San Juan Islands"/>
    <s v="Area 7: San Juan Islands"/>
    <s v="NA"/>
    <x v="1"/>
    <s v="Thurston"/>
    <s v="08Thurston"/>
    <s v="South Puget Sound"/>
    <s v="02South Puget Sound"/>
    <n v="123.075559307725"/>
    <n v="214.287429295061"/>
    <n v="123.075559307725"/>
    <n v="214.287429295061"/>
  </r>
  <r>
    <n v="3245"/>
    <x v="3"/>
    <s v="Marine"/>
    <x v="0"/>
    <x v="0"/>
    <n v="7"/>
    <s v="Area 7: San Juan Islands"/>
    <s v="Area 7: San Juan Islands"/>
    <s v="NA"/>
    <x v="1"/>
    <s v="Whatcom"/>
    <s v="01Whatcom"/>
    <s v="North Puget Sound"/>
    <s v="01North Puget Sound"/>
    <n v="3792.9649641198798"/>
    <n v="6603.9489573659803"/>
    <n v="3792.9649641198798"/>
    <n v="6603.9489573659803"/>
  </r>
  <r>
    <n v="3315"/>
    <x v="4"/>
    <s v="Marine"/>
    <x v="0"/>
    <x v="0"/>
    <n v="7"/>
    <s v="Area 7: San Juan Islands"/>
    <s v="Area 7: San Juan Islands"/>
    <s v="NA"/>
    <x v="1"/>
    <s v="Clallam"/>
    <s v="11Clallam"/>
    <s v="Strait of Juan de Fuca"/>
    <s v="03Strait of Juan de Fuca"/>
    <n v="155.356828193833"/>
    <n v="772.95456261799904"/>
    <n v="155.356828193833"/>
    <n v="772.95456261799904"/>
  </r>
  <r>
    <n v="3305"/>
    <x v="4"/>
    <s v="Marine"/>
    <x v="0"/>
    <x v="0"/>
    <n v="7"/>
    <s v="Area 7: San Juan Islands"/>
    <s v="Area 7: San Juan Islands"/>
    <s v="NA"/>
    <x v="1"/>
    <s v="Island"/>
    <s v="04Island"/>
    <s v="North Puget Sound"/>
    <s v="01North Puget Sound"/>
    <n v="833.27753303964801"/>
    <n v="4145.8471994965403"/>
    <n v="833.27753303964801"/>
    <n v="4145.8471994965403"/>
  </r>
  <r>
    <n v="3316"/>
    <x v="4"/>
    <s v="Marine"/>
    <x v="0"/>
    <x v="0"/>
    <n v="7"/>
    <s v="Area 7: San Juan Islands"/>
    <s v="Area 7: San Juan Islands"/>
    <s v="NA"/>
    <x v="1"/>
    <s v="Jefferson"/>
    <s v="12Jefferson"/>
    <s v="Strait of Juan de Fuca"/>
    <s v="03Strait of Juan de Fuca"/>
    <n v="28.246696035242302"/>
    <n v="140.53719320327301"/>
    <n v="28.246696035242302"/>
    <n v="140.53719320327301"/>
  </r>
  <r>
    <n v="3307"/>
    <x v="4"/>
    <s v="Marine"/>
    <x v="0"/>
    <x v="0"/>
    <n v="7"/>
    <s v="Area 7: San Juan Islands"/>
    <s v="Area 7: San Juan Islands"/>
    <s v="NA"/>
    <x v="1"/>
    <s v="King"/>
    <s v="06King"/>
    <s v="South Puget Sound"/>
    <s v="02South Puget Sound"/>
    <n v="1228.7312775330399"/>
    <n v="6113.3679043423499"/>
    <n v="1228.7312775330399"/>
    <n v="6113.3679043423499"/>
  </r>
  <r>
    <n v="3310"/>
    <x v="4"/>
    <s v="Marine"/>
    <x v="0"/>
    <x v="0"/>
    <n v="7"/>
    <s v="Area 7: San Juan Islands"/>
    <s v="Area 7: San Juan Islands"/>
    <s v="NA"/>
    <x v="1"/>
    <s v="Kitsap"/>
    <s v="10Kitsap"/>
    <s v="South Puget Sound"/>
    <s v="02South Puget Sound"/>
    <n v="56.493392070484603"/>
    <n v="281.07438640654499"/>
    <n v="56.493392070484603"/>
    <n v="281.07438640654499"/>
  </r>
  <r>
    <n v="3317"/>
    <x v="4"/>
    <s v="Marine"/>
    <x v="0"/>
    <x v="0"/>
    <n v="7"/>
    <s v="Area 7: San Juan Islands"/>
    <s v="Area 7: San Juan Islands"/>
    <s v="NA"/>
    <x v="1"/>
    <s v="Other"/>
    <s v="20Other"/>
    <s v="Non Puget Sound"/>
    <s v="07Non Puget Sound"/>
    <n v="939.20264317180602"/>
    <n v="4672.86167400881"/>
    <n v="939.20264317180602"/>
    <n v="4672.86167400881"/>
  </r>
  <r>
    <n v="3308"/>
    <x v="4"/>
    <s v="Marine"/>
    <x v="0"/>
    <x v="0"/>
    <n v="7"/>
    <s v="Area 7: San Juan Islands"/>
    <s v="Area 7: San Juan Islands"/>
    <s v="NA"/>
    <x v="1"/>
    <s v="Pierce"/>
    <s v="07Pierce"/>
    <s v="South Puget Sound"/>
    <s v="02South Puget Sound"/>
    <n v="134.171806167401"/>
    <n v="667.55166771554502"/>
    <n v="134.171806167401"/>
    <n v="667.55166771554502"/>
  </r>
  <r>
    <n v="3306"/>
    <x v="4"/>
    <s v="Marine"/>
    <x v="0"/>
    <x v="0"/>
    <n v="7"/>
    <s v="Area 7: San Juan Islands"/>
    <s v="Area 7: San Juan Islands"/>
    <s v="NA"/>
    <x v="1"/>
    <s v="San Juan"/>
    <s v="05San Juan"/>
    <s v="North Puget Sound"/>
    <s v="01North Puget Sound"/>
    <n v="1023.94273127753"/>
    <n v="5094.4732536186302"/>
    <n v="1023.94273127753"/>
    <n v="5094.4732536186302"/>
  </r>
  <r>
    <n v="3303"/>
    <x v="4"/>
    <s v="Marine"/>
    <x v="0"/>
    <x v="0"/>
    <n v="7"/>
    <s v="Area 7: San Juan Islands"/>
    <s v="Area 7: San Juan Islands"/>
    <s v="NA"/>
    <x v="1"/>
    <s v="Skagit"/>
    <s v="02Skagit"/>
    <s v="North Puget Sound"/>
    <s v="01North Puget Sound"/>
    <n v="2464.5242290748902"/>
    <n v="12261.8701069855"/>
    <n v="2464.5242290748902"/>
    <n v="12261.8701069855"/>
  </r>
  <r>
    <n v="3304"/>
    <x v="4"/>
    <s v="Marine"/>
    <x v="0"/>
    <x v="0"/>
    <n v="7"/>
    <s v="Area 7: San Juan Islands"/>
    <s v="Area 7: San Juan Islands"/>
    <s v="NA"/>
    <x v="1"/>
    <s v="Snohomish"/>
    <s v="03Snohomish"/>
    <s v="North Puget Sound"/>
    <s v="01North Puget Sound"/>
    <n v="1419.39647577093"/>
    <n v="7061.9939584644499"/>
    <n v="1419.39647577093"/>
    <n v="7061.9939584644499"/>
  </r>
  <r>
    <n v="3309"/>
    <x v="4"/>
    <s v="Marine"/>
    <x v="0"/>
    <x v="0"/>
    <n v="7"/>
    <s v="Area 7: San Juan Islands"/>
    <s v="Area 7: San Juan Islands"/>
    <s v="NA"/>
    <x v="1"/>
    <s v="Thurston"/>
    <s v="08Thurston"/>
    <s v="South Puget Sound"/>
    <s v="02South Puget Sound"/>
    <n v="141.233480176211"/>
    <n v="702.68596601636295"/>
    <n v="141.233480176211"/>
    <n v="702.68596601636295"/>
  </r>
  <r>
    <n v="3302"/>
    <x v="4"/>
    <s v="Marine"/>
    <x v="0"/>
    <x v="0"/>
    <n v="7"/>
    <s v="Area 7: San Juan Islands"/>
    <s v="Area 7: San Juan Islands"/>
    <s v="NA"/>
    <x v="1"/>
    <s v="Whatcom"/>
    <s v="01Whatcom"/>
    <s v="North Puget Sound"/>
    <s v="01North Puget Sound"/>
    <n v="2796.4229074889899"/>
    <n v="13913.182127124001"/>
    <n v="2796.4229074889899"/>
    <n v="13913.182127124001"/>
  </r>
  <r>
    <n v="3339"/>
    <x v="5"/>
    <s v="Marine"/>
    <x v="0"/>
    <x v="0"/>
    <n v="7"/>
    <s v="Area 7: San Juan Islands"/>
    <s v="Area 7: San Juan Islands"/>
    <s v="NA"/>
    <x v="1"/>
    <s v="Clallam"/>
    <s v="11Clallam"/>
    <s v="Strait of Juan de Fuca"/>
    <s v="03Strait of Juan de Fuca"/>
    <n v="352.912190650779"/>
    <n v="415.66530522456497"/>
    <n v="352.912190650779"/>
    <n v="415.66530522456497"/>
  </r>
  <r>
    <n v="3332"/>
    <x v="5"/>
    <s v="Marine"/>
    <x v="0"/>
    <x v="0"/>
    <n v="7"/>
    <s v="Area 7: San Juan Islands"/>
    <s v="Area 7: San Juan Islands"/>
    <s v="NA"/>
    <x v="1"/>
    <s v="Island"/>
    <s v="04Island"/>
    <s v="North Puget Sound"/>
    <s v="01North Puget Sound"/>
    <n v="2249.8152153987198"/>
    <n v="2649.8663208066"/>
    <n v="2249.8152153987198"/>
    <n v="2649.8663208066"/>
  </r>
  <r>
    <n v="3340"/>
    <x v="5"/>
    <s v="Marine"/>
    <x v="0"/>
    <x v="0"/>
    <n v="7"/>
    <s v="Area 7: San Juan Islands"/>
    <s v="Area 7: San Juan Islands"/>
    <s v="NA"/>
    <x v="1"/>
    <s v="Jefferson"/>
    <s v="12Jefferson"/>
    <s v="Strait of Juan de Fuca"/>
    <s v="03Strait of Juan de Fuca"/>
    <n v="44.114023831347403"/>
    <n v="51.958163153070601"/>
    <n v="44.114023831347403"/>
    <n v="51.958163153070601"/>
  </r>
  <r>
    <n v="3334"/>
    <x v="5"/>
    <s v="Marine"/>
    <x v="0"/>
    <x v="0"/>
    <n v="7"/>
    <s v="Area 7: San Juan Islands"/>
    <s v="Area 7: San Juan Islands"/>
    <s v="NA"/>
    <x v="1"/>
    <s v="King"/>
    <s v="06King"/>
    <s v="South Puget Sound"/>
    <s v="02South Puget Sound"/>
    <n v="5286.3305224564601"/>
    <n v="6226.3198845096204"/>
    <n v="5286.3305224564601"/>
    <n v="6226.3198845096204"/>
  </r>
  <r>
    <n v="3338"/>
    <x v="5"/>
    <s v="Marine"/>
    <x v="0"/>
    <x v="0"/>
    <n v="7"/>
    <s v="Area 7: San Juan Islands"/>
    <s v="Area 7: San Juan Islands"/>
    <s v="NA"/>
    <x v="1"/>
    <s v="Kitsap"/>
    <s v="10Kitsap"/>
    <s v="South Puget Sound"/>
    <s v="02South Puget Sound"/>
    <n v="404.378551787351"/>
    <n v="476.28316223648"/>
    <n v="404.378551787351"/>
    <n v="476.28316223648"/>
  </r>
  <r>
    <n v="3337"/>
    <x v="5"/>
    <s v="Marine"/>
    <x v="0"/>
    <x v="0"/>
    <n v="7"/>
    <s v="Area 7: San Juan Islands"/>
    <s v="Area 7: San Juan Islands"/>
    <s v="NA"/>
    <x v="1"/>
    <s v="Mason"/>
    <s v="09Mason"/>
    <s v="South Puget Sound"/>
    <s v="02South Puget Sound"/>
    <n v="242.627131072411"/>
    <n v="285.769897341888"/>
    <n v="242.627131072411"/>
    <n v="285.769897341888"/>
  </r>
  <r>
    <n v="3341"/>
    <x v="5"/>
    <s v="Marine"/>
    <x v="0"/>
    <x v="0"/>
    <n v="7"/>
    <s v="Area 7: San Juan Islands"/>
    <s v="Area 7: San Juan Islands"/>
    <s v="NA"/>
    <x v="1"/>
    <s v="Other"/>
    <s v="20Other"/>
    <s v="Non Puget Sound"/>
    <s v="07Non Puget Sound"/>
    <n v="7727.3065077910196"/>
    <n v="9101.3382456462004"/>
    <n v="7727.3065077910196"/>
    <n v="9101.3382456462004"/>
  </r>
  <r>
    <n v="3335"/>
    <x v="5"/>
    <s v="Marine"/>
    <x v="0"/>
    <x v="0"/>
    <n v="7"/>
    <s v="Area 7: San Juan Islands"/>
    <s v="Area 7: San Juan Islands"/>
    <s v="NA"/>
    <x v="1"/>
    <s v="Pierce"/>
    <s v="07Pierce"/>
    <s v="South Puget Sound"/>
    <s v="02South Puget Sound"/>
    <n v="573.482309807516"/>
    <n v="675.45612098991705"/>
    <n v="573.482309807516"/>
    <n v="675.45612098991705"/>
  </r>
  <r>
    <n v="3333"/>
    <x v="5"/>
    <s v="Marine"/>
    <x v="0"/>
    <x v="0"/>
    <n v="7"/>
    <s v="Area 7: San Juan Islands"/>
    <s v="Area 7: San Juan Islands"/>
    <s v="NA"/>
    <x v="1"/>
    <s v="San Juan"/>
    <s v="05San Juan"/>
    <s v="North Puget Sound"/>
    <s v="01North Puget Sound"/>
    <n v="5433.3772685609501"/>
    <n v="6399.5137616865304"/>
    <n v="5433.3772685609501"/>
    <n v="6399.5137616865304"/>
  </r>
  <r>
    <n v="3330"/>
    <x v="5"/>
    <s v="Marine"/>
    <x v="0"/>
    <x v="0"/>
    <n v="7"/>
    <s v="Area 7: San Juan Islands"/>
    <s v="Area 7: San Juan Islands"/>
    <s v="NA"/>
    <x v="1"/>
    <s v="Skagit"/>
    <s v="02Skagit"/>
    <s v="North Puget Sound"/>
    <s v="01North Puget Sound"/>
    <n v="8477.2449129239303"/>
    <n v="9984.6270192484008"/>
    <n v="8477.2449129239303"/>
    <n v="9984.6270192484008"/>
  </r>
  <r>
    <n v="3331"/>
    <x v="5"/>
    <s v="Marine"/>
    <x v="0"/>
    <x v="0"/>
    <n v="7"/>
    <s v="Area 7: San Juan Islands"/>
    <s v="Area 7: San Juan Islands"/>
    <s v="NA"/>
    <x v="1"/>
    <s v="Snohomish"/>
    <s v="03Snohomish"/>
    <s v="North Puget Sound"/>
    <s v="01North Puget Sound"/>
    <n v="3837.9200733272201"/>
    <n v="4520.3601943171398"/>
    <n v="3837.9200733272201"/>
    <n v="4520.3601943171398"/>
  </r>
  <r>
    <n v="3336"/>
    <x v="5"/>
    <s v="Marine"/>
    <x v="0"/>
    <x v="0"/>
    <n v="7"/>
    <s v="Area 7: San Juan Islands"/>
    <s v="Area 7: San Juan Islands"/>
    <s v="NA"/>
    <x v="1"/>
    <s v="Thurston"/>
    <s v="08Thurston"/>
    <s v="South Puget Sound"/>
    <s v="02South Puget Sound"/>
    <n v="205.86544454628799"/>
    <n v="242.47142804766301"/>
    <n v="205.86544454628799"/>
    <n v="242.47142804766301"/>
  </r>
  <r>
    <n v="3324"/>
    <x v="5"/>
    <s v="Marine"/>
    <x v="0"/>
    <x v="0"/>
    <n v="7"/>
    <s v="Area 7: San Juan Islands"/>
    <s v="Area 7: San Juan Islands"/>
    <s v="NA"/>
    <x v="1"/>
    <s v="Whatcom"/>
    <s v="01Whatcom"/>
    <s v="North Puget Sound"/>
    <s v="01North Puget Sound"/>
    <n v="5271.6258478460104"/>
    <n v="6209.0004967919303"/>
    <n v="5271.6258478460104"/>
    <n v="6209.0004967919303"/>
  </r>
  <r>
    <n v="3406"/>
    <x v="6"/>
    <s v="Marine"/>
    <x v="0"/>
    <x v="0"/>
    <n v="7"/>
    <s v="Area 7: San Juan Islands"/>
    <s v="Area 7: San Juan Islands"/>
    <s v="NA"/>
    <x v="1"/>
    <s v="Clallam"/>
    <s v="11Clallam"/>
    <s v="Strait of Juan de Fuca"/>
    <s v="03Strait of Juan de Fuca"/>
    <n v="57.453703703703702"/>
    <n v="283.91685185185202"/>
    <n v="57.453703703703702"/>
    <n v="283.91685185185202"/>
  </r>
  <r>
    <n v="3400"/>
    <x v="6"/>
    <s v="Marine"/>
    <x v="0"/>
    <x v="0"/>
    <n v="7"/>
    <s v="Area 7: San Juan Islands"/>
    <s v="Area 7: San Juan Islands"/>
    <s v="NA"/>
    <x v="1"/>
    <s v="Island"/>
    <s v="04Island"/>
    <s v="North Puget Sound"/>
    <s v="01North Puget Sound"/>
    <n v="492.46031746031798"/>
    <n v="2433.5730158730198"/>
    <n v="492.46031746031798"/>
    <n v="2433.5730158730198"/>
  </r>
  <r>
    <n v="3402"/>
    <x v="6"/>
    <s v="Marine"/>
    <x v="0"/>
    <x v="0"/>
    <n v="7"/>
    <s v="Area 7: San Juan Islands"/>
    <s v="Area 7: San Juan Islands"/>
    <s v="NA"/>
    <x v="1"/>
    <s v="King"/>
    <s v="06King"/>
    <s v="South Puget Sound"/>
    <s v="02South Puget Sound"/>
    <n v="705.85978835978801"/>
    <n v="3488.1213227513199"/>
    <n v="705.85978835978801"/>
    <n v="3488.1213227513199"/>
  </r>
  <r>
    <n v="3405"/>
    <x v="6"/>
    <s v="Marine"/>
    <x v="0"/>
    <x v="0"/>
    <n v="7"/>
    <s v="Area 7: San Juan Islands"/>
    <s v="Area 7: San Juan Islands"/>
    <s v="NA"/>
    <x v="1"/>
    <s v="Kitsap"/>
    <s v="10Kitsap"/>
    <s v="South Puget Sound"/>
    <s v="02South Puget Sound"/>
    <n v="8.2076719576719608"/>
    <n v="40.559550264550303"/>
    <n v="8.2076719576719608"/>
    <n v="40.559550264550303"/>
  </r>
  <r>
    <n v="3407"/>
    <x v="6"/>
    <s v="Marine"/>
    <x v="0"/>
    <x v="0"/>
    <n v="7"/>
    <s v="Area 7: San Juan Islands"/>
    <s v="Area 7: San Juan Islands"/>
    <s v="NA"/>
    <x v="1"/>
    <s v="Other"/>
    <s v="20Other"/>
    <s v="Non Puget Sound"/>
    <s v="07Non Puget Sound"/>
    <n v="443.21428571428601"/>
    <n v="2190.21571428571"/>
    <n v="443.21428571428601"/>
    <n v="2190.21571428571"/>
  </r>
  <r>
    <n v="3403"/>
    <x v="6"/>
    <s v="Marine"/>
    <x v="0"/>
    <x v="0"/>
    <n v="7"/>
    <s v="Area 7: San Juan Islands"/>
    <s v="Area 7: San Juan Islands"/>
    <s v="NA"/>
    <x v="1"/>
    <s v="Pierce"/>
    <s v="07Pierce"/>
    <s v="South Puget Sound"/>
    <s v="02South Puget Sound"/>
    <n v="98.492063492063494"/>
    <n v="486.71460317460298"/>
    <n v="98.492063492063494"/>
    <n v="486.71460317460298"/>
  </r>
  <r>
    <n v="3401"/>
    <x v="6"/>
    <s v="Marine"/>
    <x v="0"/>
    <x v="0"/>
    <n v="7"/>
    <s v="Area 7: San Juan Islands"/>
    <s v="Area 7: San Juan Islands"/>
    <s v="NA"/>
    <x v="1"/>
    <s v="San Juan"/>
    <s v="05San Juan"/>
    <s v="North Puget Sound"/>
    <s v="01North Puget Sound"/>
    <n v="697.65211640211601"/>
    <n v="3447.5617724867702"/>
    <n v="697.65211640211601"/>
    <n v="3447.5617724867702"/>
  </r>
  <r>
    <n v="3343"/>
    <x v="6"/>
    <s v="Marine"/>
    <x v="0"/>
    <x v="0"/>
    <n v="7"/>
    <s v="Area 7: San Juan Islands"/>
    <s v="Area 7: San Juan Islands"/>
    <s v="NA"/>
    <x v="1"/>
    <s v="Skagit"/>
    <s v="02Skagit"/>
    <s v="North Puget Sound"/>
    <s v="01North Puget Sound"/>
    <n v="1698.9880952381"/>
    <n v="8395.8269047619106"/>
    <n v="1698.9880952381"/>
    <n v="8395.8269047619106"/>
  </r>
  <r>
    <n v="3344"/>
    <x v="6"/>
    <s v="Marine"/>
    <x v="0"/>
    <x v="0"/>
    <n v="7"/>
    <s v="Area 7: San Juan Islands"/>
    <s v="Area 7: San Juan Islands"/>
    <s v="NA"/>
    <x v="1"/>
    <s v="Snohomish"/>
    <s v="03Snohomish"/>
    <s v="North Puget Sound"/>
    <s v="01North Puget Sound"/>
    <n v="746.89814814814804"/>
    <n v="3690.9190740740801"/>
    <n v="746.89814814814804"/>
    <n v="3690.9190740740801"/>
  </r>
  <r>
    <n v="3404"/>
    <x v="6"/>
    <s v="Marine"/>
    <x v="0"/>
    <x v="0"/>
    <n v="7"/>
    <s v="Area 7: San Juan Islands"/>
    <s v="Area 7: San Juan Islands"/>
    <s v="NA"/>
    <x v="1"/>
    <s v="Thurston"/>
    <s v="08Thurston"/>
    <s v="South Puget Sound"/>
    <s v="02South Puget Sound"/>
    <n v="41.038359788359799"/>
    <n v="202.797751322751"/>
    <n v="41.038359788359799"/>
    <n v="202.797751322751"/>
  </r>
  <r>
    <n v="3342"/>
    <x v="6"/>
    <s v="Marine"/>
    <x v="0"/>
    <x v="0"/>
    <n v="7"/>
    <s v="Area 7: San Juan Islands"/>
    <s v="Area 7: San Juan Islands"/>
    <s v="NA"/>
    <x v="1"/>
    <s v="Whatcom"/>
    <s v="01Whatcom"/>
    <s v="North Puget Sound"/>
    <s v="01North Puget Sound"/>
    <n v="1214.7354497354499"/>
    <n v="6002.8134391534404"/>
    <n v="1214.7354497354499"/>
    <n v="6002.8134391534404"/>
  </r>
  <r>
    <n v="3433"/>
    <x v="7"/>
    <s v="Marine"/>
    <x v="0"/>
    <x v="0"/>
    <n v="7"/>
    <s v="Area 7: San Juan Islands"/>
    <s v="Area 7: San Juan Islands"/>
    <s v="NA"/>
    <x v="1"/>
    <s v="Clallam"/>
    <s v="11Clallam"/>
    <s v="Strait of Juan de Fuca"/>
    <s v="03Strait of Juan de Fuca"/>
    <n v="86.936736958934503"/>
    <n v="241.032811709284"/>
    <n v="86.936736958934503"/>
    <n v="241.032811709284"/>
  </r>
  <r>
    <n v="3411"/>
    <x v="7"/>
    <s v="Marine"/>
    <x v="0"/>
    <x v="0"/>
    <n v="7"/>
    <s v="Area 7: San Juan Islands"/>
    <s v="Area 7: San Juan Islands"/>
    <s v="NA"/>
    <x v="1"/>
    <s v="Island"/>
    <s v="04Island"/>
    <s v="North Puget Sound"/>
    <s v="01North Puget Sound"/>
    <n v="724.47280799112104"/>
    <n v="2008.60676424403"/>
    <n v="724.47280799112104"/>
    <n v="2008.60676424403"/>
  </r>
  <r>
    <n v="3434"/>
    <x v="7"/>
    <s v="Marine"/>
    <x v="0"/>
    <x v="0"/>
    <n v="7"/>
    <s v="Area 7: San Juan Islands"/>
    <s v="Area 7: San Juan Islands"/>
    <s v="NA"/>
    <x v="1"/>
    <s v="Jefferson"/>
    <s v="12Jefferson"/>
    <s v="Strait of Juan de Fuca"/>
    <s v="03Strait of Juan de Fuca"/>
    <n v="28.978912319644799"/>
    <n v="80.344270569761207"/>
    <n v="28.978912319644799"/>
    <n v="80.344270569761207"/>
  </r>
  <r>
    <n v="3413"/>
    <x v="7"/>
    <s v="Marine"/>
    <x v="0"/>
    <x v="0"/>
    <n v="7"/>
    <s v="Area 7: San Juan Islands"/>
    <s v="Area 7: San Juan Islands"/>
    <s v="NA"/>
    <x v="1"/>
    <s v="King"/>
    <s v="06King"/>
    <s v="South Puget Sound"/>
    <s v="02South Puget Sound"/>
    <n v="1354.7641509434"/>
    <n v="3756.0946491363402"/>
    <n v="1354.7641509434"/>
    <n v="3756.0946491363402"/>
  </r>
  <r>
    <n v="3421"/>
    <x v="7"/>
    <s v="Marine"/>
    <x v="0"/>
    <x v="0"/>
    <n v="7"/>
    <s v="Area 7: San Juan Islands"/>
    <s v="Area 7: San Juan Islands"/>
    <s v="NA"/>
    <x v="1"/>
    <s v="Kitsap"/>
    <s v="10Kitsap"/>
    <s v="South Puget Sound"/>
    <s v="02South Puget Sound"/>
    <n v="43.468368479467301"/>
    <n v="120.516405854642"/>
    <n v="43.468368479467301"/>
    <n v="120.516405854642"/>
  </r>
  <r>
    <n v="3420"/>
    <x v="7"/>
    <s v="Marine"/>
    <x v="0"/>
    <x v="0"/>
    <n v="7"/>
    <s v="Area 7: San Juan Islands"/>
    <s v="Area 7: San Juan Islands"/>
    <s v="NA"/>
    <x v="1"/>
    <s v="Mason"/>
    <s v="09Mason"/>
    <s v="South Puget Sound"/>
    <s v="02South Puget Sound"/>
    <n v="7.2447280799112104"/>
    <n v="20.086067642440302"/>
    <n v="7.2447280799112104"/>
    <n v="20.086067642440302"/>
  </r>
  <r>
    <n v="3435"/>
    <x v="7"/>
    <s v="Marine"/>
    <x v="0"/>
    <x v="0"/>
    <n v="7"/>
    <s v="Area 7: San Juan Islands"/>
    <s v="Area 7: San Juan Islands"/>
    <s v="NA"/>
    <x v="1"/>
    <s v="Other"/>
    <s v="20Other"/>
    <s v="Non Puget Sound"/>
    <s v="07Non Puget Sound"/>
    <n v="1195.3801331853499"/>
    <n v="3314.2011610026502"/>
    <n v="1195.3801331853499"/>
    <n v="3314.2011610026502"/>
  </r>
  <r>
    <n v="3414"/>
    <x v="7"/>
    <s v="Marine"/>
    <x v="0"/>
    <x v="0"/>
    <n v="7"/>
    <s v="Area 7: San Juan Islands"/>
    <s v="Area 7: San Juan Islands"/>
    <s v="NA"/>
    <x v="1"/>
    <s v="Pierce"/>
    <s v="07Pierce"/>
    <s v="South Puget Sound"/>
    <s v="02South Puget Sound"/>
    <n v="181.11820199778001"/>
    <n v="502.15169106100802"/>
    <n v="181.11820199778001"/>
    <n v="502.15169106100802"/>
  </r>
  <r>
    <n v="3412"/>
    <x v="7"/>
    <s v="Marine"/>
    <x v="0"/>
    <x v="0"/>
    <n v="7"/>
    <s v="Area 7: San Juan Islands"/>
    <s v="Area 7: San Juan Islands"/>
    <s v="NA"/>
    <x v="1"/>
    <s v="San Juan"/>
    <s v="05San Juan"/>
    <s v="North Puget Sound"/>
    <s v="01North Puget Sound"/>
    <n v="1818.42674805771"/>
    <n v="5041.6029782525202"/>
    <n v="1818.42674805771"/>
    <n v="5041.6029782525202"/>
  </r>
  <r>
    <n v="3409"/>
    <x v="7"/>
    <s v="Marine"/>
    <x v="0"/>
    <x v="0"/>
    <n v="7"/>
    <s v="Area 7: San Juan Islands"/>
    <s v="Area 7: San Juan Islands"/>
    <s v="NA"/>
    <x v="1"/>
    <s v="Skagit"/>
    <s v="02Skagit"/>
    <s v="North Puget Sound"/>
    <s v="01North Puget Sound"/>
    <n v="3136.9672586015499"/>
    <n v="8697.2672891766506"/>
    <n v="3136.9672586015499"/>
    <n v="8697.2672891766506"/>
  </r>
  <r>
    <n v="3410"/>
    <x v="7"/>
    <s v="Marine"/>
    <x v="0"/>
    <x v="0"/>
    <n v="7"/>
    <s v="Area 7: San Juan Islands"/>
    <s v="Area 7: San Juan Islands"/>
    <s v="NA"/>
    <x v="1"/>
    <s v="Snohomish"/>
    <s v="03Snohomish"/>
    <s v="North Puget Sound"/>
    <s v="01North Puget Sound"/>
    <n v="1956.0765815760301"/>
    <n v="5423.2382634588803"/>
    <n v="1956.0765815760301"/>
    <n v="5423.2382634588803"/>
  </r>
  <r>
    <n v="3419"/>
    <x v="7"/>
    <s v="Marine"/>
    <x v="0"/>
    <x v="0"/>
    <n v="7"/>
    <s v="Area 7: San Juan Islands"/>
    <s v="Area 7: San Juan Islands"/>
    <s v="NA"/>
    <x v="1"/>
    <s v="Thurston"/>
    <s v="08Thurston"/>
    <s v="South Puget Sound"/>
    <s v="02South Puget Sound"/>
    <n v="268.05493895671498"/>
    <n v="743.18450277029103"/>
    <n v="268.05493895671498"/>
    <n v="743.18450277029103"/>
  </r>
  <r>
    <n v="3408"/>
    <x v="7"/>
    <s v="Marine"/>
    <x v="0"/>
    <x v="0"/>
    <n v="7"/>
    <s v="Area 7: San Juan Islands"/>
    <s v="Area 7: San Juan Islands"/>
    <s v="NA"/>
    <x v="1"/>
    <s v="Whatcom"/>
    <s v="01Whatcom"/>
    <s v="North Puget Sound"/>
    <s v="01North Puget Sound"/>
    <n v="2253.1104328523902"/>
    <n v="6246.7670367989303"/>
    <n v="2253.1104328523902"/>
    <n v="6246.7670367989303"/>
  </r>
  <r>
    <n v="3469"/>
    <x v="8"/>
    <s v="Marine"/>
    <x v="0"/>
    <x v="0"/>
    <n v="7"/>
    <s v="Area 7: San Juan Islands"/>
    <s v="Area 7: San Juan Islands"/>
    <s v="NA"/>
    <x v="1"/>
    <s v="Clallam"/>
    <s v="11Clallam"/>
    <s v="Strait of Juan de Fuca"/>
    <s v="03Strait of Juan de Fuca"/>
    <n v="198.536343612335"/>
    <n v="462.04394327604803"/>
    <n v="198.536343612335"/>
    <n v="462.04394327604803"/>
  </r>
  <r>
    <n v="3439"/>
    <x v="8"/>
    <s v="Marine"/>
    <x v="0"/>
    <x v="0"/>
    <n v="7"/>
    <s v="Area 7: San Juan Islands"/>
    <s v="Area 7: San Juan Islands"/>
    <s v="NA"/>
    <x v="1"/>
    <s v="Island"/>
    <s v="04Island"/>
    <s v="North Puget Sound"/>
    <s v="01North Puget Sound"/>
    <n v="801.78138766519805"/>
    <n v="1865.9466939994199"/>
    <n v="801.78138766519805"/>
    <n v="1865.9466939994199"/>
  </r>
  <r>
    <n v="3441"/>
    <x v="8"/>
    <s v="Marine"/>
    <x v="0"/>
    <x v="0"/>
    <n v="7"/>
    <s v="Area 7: San Juan Islands"/>
    <s v="Area 7: San Juan Islands"/>
    <s v="NA"/>
    <x v="1"/>
    <s v="King"/>
    <s v="06King"/>
    <s v="South Puget Sound"/>
    <s v="02South Puget Sound"/>
    <n v="1420.2984581497799"/>
    <n v="3305.3912865132602"/>
    <n v="1420.2984581497799"/>
    <n v="3305.3912865132602"/>
  </r>
  <r>
    <n v="3468"/>
    <x v="8"/>
    <s v="Marine"/>
    <x v="0"/>
    <x v="0"/>
    <n v="7"/>
    <s v="Area 7: San Juan Islands"/>
    <s v="Area 7: San Juan Islands"/>
    <s v="NA"/>
    <x v="1"/>
    <s v="Kitsap"/>
    <s v="10Kitsap"/>
    <s v="South Puget Sound"/>
    <s v="02South Puget Sound"/>
    <n v="30.5440528634361"/>
    <n v="71.083683580930398"/>
    <n v="30.5440528634361"/>
    <n v="71.083683580930398"/>
  </r>
  <r>
    <n v="3470"/>
    <x v="8"/>
    <s v="Marine"/>
    <x v="0"/>
    <x v="0"/>
    <n v="7"/>
    <s v="Area 7: San Juan Islands"/>
    <s v="Area 7: San Juan Islands"/>
    <s v="NA"/>
    <x v="1"/>
    <s v="Other"/>
    <s v="20Other"/>
    <s v="Non Puget Sound"/>
    <s v="07Non Puget Sound"/>
    <n v="1313.39427312775"/>
    <n v="3056.5983939800099"/>
    <n v="1313.39427312775"/>
    <n v="3056.5983939800099"/>
  </r>
  <r>
    <n v="3442"/>
    <x v="8"/>
    <s v="Marine"/>
    <x v="0"/>
    <x v="0"/>
    <n v="7"/>
    <s v="Area 7: San Juan Islands"/>
    <s v="Area 7: San Juan Islands"/>
    <s v="NA"/>
    <x v="1"/>
    <s v="Pierce"/>
    <s v="07Pierce"/>
    <s v="South Puget Sound"/>
    <s v="02South Puget Sound"/>
    <n v="145.084251101322"/>
    <n v="337.647497009419"/>
    <n v="145.084251101322"/>
    <n v="337.647497009419"/>
  </r>
  <r>
    <n v="3440"/>
    <x v="8"/>
    <s v="Marine"/>
    <x v="0"/>
    <x v="0"/>
    <n v="7"/>
    <s v="Area 7: San Juan Islands"/>
    <s v="Area 7: San Juan Islands"/>
    <s v="NA"/>
    <x v="1"/>
    <s v="San Juan"/>
    <s v="05San Juan"/>
    <s v="North Puget Sound"/>
    <s v="01North Puget Sound"/>
    <n v="1756.2830396475799"/>
    <n v="4087.3118059035"/>
    <n v="1756.2830396475799"/>
    <n v="4087.3118059035"/>
  </r>
  <r>
    <n v="3437"/>
    <x v="8"/>
    <s v="Marine"/>
    <x v="0"/>
    <x v="0"/>
    <n v="7"/>
    <s v="Area 7: San Juan Islands"/>
    <s v="Area 7: San Juan Islands"/>
    <s v="NA"/>
    <x v="1"/>
    <s v="Skagit"/>
    <s v="02Skagit"/>
    <s v="North Puget Sound"/>
    <s v="01North Puget Sound"/>
    <n v="2916.95704845815"/>
    <n v="6788.4917819788498"/>
    <n v="2916.95704845815"/>
    <n v="6788.4917819788498"/>
  </r>
  <r>
    <n v="3438"/>
    <x v="8"/>
    <s v="Marine"/>
    <x v="0"/>
    <x v="0"/>
    <n v="7"/>
    <s v="Area 7: San Juan Islands"/>
    <s v="Area 7: San Juan Islands"/>
    <s v="NA"/>
    <x v="1"/>
    <s v="Snohomish"/>
    <s v="03Snohomish"/>
    <s v="North Puget Sound"/>
    <s v="01North Puget Sound"/>
    <n v="2619.1525330396498"/>
    <n v="6095.4258670647796"/>
    <n v="2619.1525330396498"/>
    <n v="6095.4258670647796"/>
  </r>
  <r>
    <n v="3443"/>
    <x v="8"/>
    <s v="Marine"/>
    <x v="0"/>
    <x v="0"/>
    <n v="7"/>
    <s v="Area 7: San Juan Islands"/>
    <s v="Area 7: San Juan Islands"/>
    <s v="NA"/>
    <x v="1"/>
    <s v="Thurston"/>
    <s v="08Thurston"/>
    <s v="South Puget Sound"/>
    <s v="02South Puget Sound"/>
    <n v="53.452092511013198"/>
    <n v="124.396446266628"/>
    <n v="53.452092511013198"/>
    <n v="124.396446266628"/>
  </r>
  <r>
    <n v="3436"/>
    <x v="8"/>
    <s v="Marine"/>
    <x v="0"/>
    <x v="0"/>
    <n v="7"/>
    <s v="Area 7: San Juan Islands"/>
    <s v="Area 7: San Juan Islands"/>
    <s v="NA"/>
    <x v="1"/>
    <s v="Whatcom"/>
    <s v="01Whatcom"/>
    <s v="North Puget Sound"/>
    <s v="01North Puget Sound"/>
    <n v="2611.5165198237901"/>
    <n v="6077.6549461695504"/>
    <n v="2611.5165198237901"/>
    <n v="6077.6549461695504"/>
  </r>
  <r>
    <n v="3487"/>
    <x v="9"/>
    <s v="Marine"/>
    <x v="0"/>
    <x v="0"/>
    <n v="7"/>
    <s v="Area 7: San Juan Islands"/>
    <s v="Area 7: San Juan Islands"/>
    <s v="NA"/>
    <x v="1"/>
    <s v="Clallam"/>
    <s v="11Clallam"/>
    <s v="Strait of Juan de Fuca"/>
    <s v="03Strait of Juan de Fuca"/>
    <n v="138.290135396518"/>
    <n v="308.02483486000301"/>
    <n v="138.290135396518"/>
    <n v="308.02483486000301"/>
  </r>
  <r>
    <n v="3474"/>
    <x v="9"/>
    <s v="Marine"/>
    <x v="0"/>
    <x v="0"/>
    <n v="7"/>
    <s v="Area 7: San Juan Islands"/>
    <s v="Area 7: San Juan Islands"/>
    <s v="NA"/>
    <x v="1"/>
    <s v="Island"/>
    <s v="04Island"/>
    <s v="North Puget Sound"/>
    <s v="01North Puget Sound"/>
    <n v="929.61702127659601"/>
    <n v="2070.6113898922399"/>
    <n v="929.61702127659601"/>
    <n v="2070.6113898922399"/>
  </r>
  <r>
    <n v="3488"/>
    <x v="9"/>
    <s v="Marine"/>
    <x v="0"/>
    <x v="0"/>
    <n v="7"/>
    <s v="Area 7: San Juan Islands"/>
    <s v="Area 7: San Juan Islands"/>
    <s v="NA"/>
    <x v="1"/>
    <s v="Jefferson"/>
    <s v="12Jefferson"/>
    <s v="Strait of Juan de Fuca"/>
    <s v="03Strait of Juan de Fuca"/>
    <n v="61.462282398452601"/>
    <n v="136.89992660444599"/>
    <n v="61.462282398452601"/>
    <n v="136.89992660444599"/>
  </r>
  <r>
    <n v="3478"/>
    <x v="9"/>
    <s v="Marine"/>
    <x v="0"/>
    <x v="0"/>
    <n v="7"/>
    <s v="Area 7: San Juan Islands"/>
    <s v="Area 7: San Juan Islands"/>
    <s v="NA"/>
    <x v="1"/>
    <s v="King"/>
    <s v="06King"/>
    <s v="South Puget Sound"/>
    <s v="02South Puget Sound"/>
    <n v="1421.31528046422"/>
    <n v="3165.8108027278099"/>
    <n v="1421.31528046422"/>
    <n v="3165.8108027278099"/>
  </r>
  <r>
    <n v="3486"/>
    <x v="9"/>
    <s v="Marine"/>
    <x v="0"/>
    <x v="0"/>
    <n v="7"/>
    <s v="Area 7: San Juan Islands"/>
    <s v="Area 7: San Juan Islands"/>
    <s v="NA"/>
    <x v="1"/>
    <s v="Kitsap"/>
    <s v="10Kitsap"/>
    <s v="South Puget Sound"/>
    <s v="02South Puget Sound"/>
    <n v="38.413926499032897"/>
    <n v="85.562454127778594"/>
    <n v="38.413926499032897"/>
    <n v="85.562454127778594"/>
  </r>
  <r>
    <n v="3514"/>
    <x v="9"/>
    <s v="Marine"/>
    <x v="0"/>
    <x v="0"/>
    <n v="7"/>
    <s v="Area 7: San Juan Islands"/>
    <s v="Area 7: San Juan Islands"/>
    <s v="NA"/>
    <x v="1"/>
    <s v="Other"/>
    <s v="20Other"/>
    <s v="Non Puget Sound"/>
    <s v="07Non Puget Sound"/>
    <n v="1413.6324951644101"/>
    <n v="3148.6983119022502"/>
    <n v="1413.6324951644101"/>
    <n v="3148.6983119022502"/>
  </r>
  <r>
    <n v="3482"/>
    <x v="9"/>
    <s v="Marine"/>
    <x v="0"/>
    <x v="0"/>
    <n v="7"/>
    <s v="Area 7: San Juan Islands"/>
    <s v="Area 7: San Juan Islands"/>
    <s v="NA"/>
    <x v="1"/>
    <s v="Pierce"/>
    <s v="07Pierce"/>
    <s v="South Puget Sound"/>
    <s v="02South Puget Sound"/>
    <n v="76.827852998065794"/>
    <n v="171.12490825555699"/>
    <n v="76.827852998065794"/>
    <n v="171.12490825555699"/>
  </r>
  <r>
    <n v="3475"/>
    <x v="9"/>
    <s v="Marine"/>
    <x v="0"/>
    <x v="0"/>
    <n v="7"/>
    <s v="Area 7: San Juan Islands"/>
    <s v="Area 7: San Juan Islands"/>
    <s v="NA"/>
    <x v="1"/>
    <s v="San Juan"/>
    <s v="05San Juan"/>
    <s v="North Puget Sound"/>
    <s v="01North Puget Sound"/>
    <n v="1782.4061895551299"/>
    <n v="3970.0978715289302"/>
    <n v="1782.4061895551299"/>
    <n v="3970.0978715289302"/>
  </r>
  <r>
    <n v="3472"/>
    <x v="9"/>
    <s v="Marine"/>
    <x v="0"/>
    <x v="0"/>
    <n v="7"/>
    <s v="Area 7: San Juan Islands"/>
    <s v="Area 7: San Juan Islands"/>
    <s v="NA"/>
    <x v="1"/>
    <s v="Skagit"/>
    <s v="02Skagit"/>
    <s v="North Puget Sound"/>
    <s v="01North Puget Sound"/>
    <n v="2735.0715667311401"/>
    <n v="6092.0467338978397"/>
    <n v="2735.0715667311401"/>
    <n v="6092.0467338978397"/>
  </r>
  <r>
    <n v="3473"/>
    <x v="9"/>
    <s v="Marine"/>
    <x v="0"/>
    <x v="0"/>
    <n v="7"/>
    <s v="Area 7: San Juan Islands"/>
    <s v="Area 7: San Juan Islands"/>
    <s v="NA"/>
    <x v="1"/>
    <s v="Snohomish"/>
    <s v="03Snohomish"/>
    <s v="North Puget Sound"/>
    <s v="01North Puget Sound"/>
    <n v="1244.61121856867"/>
    <n v="2772.2235137400298"/>
    <n v="1244.61121856867"/>
    <n v="2772.2235137400298"/>
  </r>
  <r>
    <n v="3483"/>
    <x v="9"/>
    <s v="Marine"/>
    <x v="0"/>
    <x v="0"/>
    <n v="7"/>
    <s v="Area 7: San Juan Islands"/>
    <s v="Area 7: San Juan Islands"/>
    <s v="NA"/>
    <x v="1"/>
    <s v="Thurston"/>
    <s v="08Thurston"/>
    <s v="South Puget Sound"/>
    <s v="02South Puget Sound"/>
    <n v="176.70406189555101"/>
    <n v="393.58728898778202"/>
    <n v="176.70406189555101"/>
    <n v="393.58728898778202"/>
  </r>
  <r>
    <n v="3471"/>
    <x v="9"/>
    <s v="Marine"/>
    <x v="0"/>
    <x v="0"/>
    <n v="7"/>
    <s v="Area 7: San Juan Islands"/>
    <s v="Area 7: San Juan Islands"/>
    <s v="NA"/>
    <x v="1"/>
    <s v="Whatcom"/>
    <s v="01Whatcom"/>
    <s v="North Puget Sound"/>
    <s v="01North Puget Sound"/>
    <n v="1897.6479690522201"/>
    <n v="4226.7852339122601"/>
    <n v="1897.6479690522201"/>
    <n v="4226.7852339122601"/>
  </r>
  <r>
    <n v="3526"/>
    <x v="10"/>
    <s v="Marine"/>
    <x v="0"/>
    <x v="0"/>
    <n v="7"/>
    <s v="Area 7: San Juan Islands"/>
    <s v="Area 7: San Juan Islands"/>
    <s v="NA"/>
    <x v="1"/>
    <s v="Clallam"/>
    <s v="11Clallam"/>
    <s v="Strait of Juan de Fuca"/>
    <s v="03Strait of Juan de Fuca"/>
    <n v="18.156521739130401"/>
    <n v="37.041918239563103"/>
    <n v="18.156521739130401"/>
    <n v="37.041918239563103"/>
  </r>
  <r>
    <n v="3519"/>
    <x v="10"/>
    <s v="Marine"/>
    <x v="0"/>
    <x v="0"/>
    <n v="7"/>
    <s v="Area 7: San Juan Islands"/>
    <s v="Area 7: San Juan Islands"/>
    <s v="NA"/>
    <x v="1"/>
    <s v="Island"/>
    <s v="04Island"/>
    <s v="North Puget Sound"/>
    <s v="01North Puget Sound"/>
    <n v="1461.6"/>
    <n v="2981.87441828483"/>
    <n v="1461.6"/>
    <n v="2981.87441828483"/>
  </r>
  <r>
    <n v="3521"/>
    <x v="10"/>
    <s v="Marine"/>
    <x v="0"/>
    <x v="0"/>
    <n v="7"/>
    <s v="Area 7: San Juan Islands"/>
    <s v="Area 7: San Juan Islands"/>
    <s v="NA"/>
    <x v="1"/>
    <s v="King"/>
    <s v="06King"/>
    <s v="South Puget Sound"/>
    <s v="02South Puget Sound"/>
    <n v="1652.24347826087"/>
    <n v="3370.8145598002502"/>
    <n v="1652.24347826087"/>
    <n v="3370.8145598002502"/>
  </r>
  <r>
    <n v="3525"/>
    <x v="10"/>
    <s v="Marine"/>
    <x v="0"/>
    <x v="0"/>
    <n v="7"/>
    <s v="Area 7: San Juan Islands"/>
    <s v="Area 7: San Juan Islands"/>
    <s v="NA"/>
    <x v="1"/>
    <s v="Kitsap"/>
    <s v="10Kitsap"/>
    <s v="South Puget Sound"/>
    <s v="02South Puget Sound"/>
    <n v="36.313043478260902"/>
    <n v="74.083836479126305"/>
    <n v="36.313043478260902"/>
    <n v="74.083836479126305"/>
  </r>
  <r>
    <n v="3524"/>
    <x v="10"/>
    <s v="Marine"/>
    <x v="0"/>
    <x v="0"/>
    <n v="7"/>
    <s v="Area 7: San Juan Islands"/>
    <s v="Area 7: San Juan Islands"/>
    <s v="NA"/>
    <x v="1"/>
    <s v="Mason"/>
    <s v="09Mason"/>
    <s v="South Puget Sound"/>
    <s v="02South Puget Sound"/>
    <n v="9.07826086956522"/>
    <n v="18.520959119781601"/>
    <n v="9.07826086956522"/>
    <n v="18.520959119781601"/>
  </r>
  <r>
    <n v="3527"/>
    <x v="10"/>
    <s v="Marine"/>
    <x v="0"/>
    <x v="0"/>
    <n v="7"/>
    <s v="Area 7: San Juan Islands"/>
    <s v="Area 7: San Juan Islands"/>
    <s v="NA"/>
    <x v="1"/>
    <s v="Other"/>
    <s v="20Other"/>
    <s v="Non Puget Sound"/>
    <s v="07Non Puget Sound"/>
    <n v="1098.46956521739"/>
    <n v="2241.0360534935699"/>
    <n v="1098.46956521739"/>
    <n v="2241.0360534935699"/>
  </r>
  <r>
    <n v="3522"/>
    <x v="10"/>
    <s v="Marine"/>
    <x v="0"/>
    <x v="0"/>
    <n v="7"/>
    <s v="Area 7: San Juan Islands"/>
    <s v="Area 7: San Juan Islands"/>
    <s v="NA"/>
    <x v="1"/>
    <s v="Pierce"/>
    <s v="07Pierce"/>
    <s v="South Puget Sound"/>
    <s v="02South Puget Sound"/>
    <n v="190.64347826087001"/>
    <n v="388.94014151541302"/>
    <n v="190.64347826087001"/>
    <n v="388.94014151541302"/>
  </r>
  <r>
    <n v="3520"/>
    <x v="10"/>
    <s v="Marine"/>
    <x v="0"/>
    <x v="0"/>
    <n v="7"/>
    <s v="Area 7: San Juan Islands"/>
    <s v="Area 7: San Juan Islands"/>
    <s v="NA"/>
    <x v="1"/>
    <s v="San Juan"/>
    <s v="05San Juan"/>
    <s v="North Puget Sound"/>
    <s v="01North Puget Sound"/>
    <n v="553.77391304347805"/>
    <n v="1129.7785063066799"/>
    <n v="553.77391304347805"/>
    <n v="1129.7785063066799"/>
  </r>
  <r>
    <n v="3517"/>
    <x v="10"/>
    <s v="Marine"/>
    <x v="0"/>
    <x v="0"/>
    <n v="7"/>
    <s v="Area 7: San Juan Islands"/>
    <s v="Area 7: San Juan Islands"/>
    <s v="NA"/>
    <x v="1"/>
    <s v="Skagit"/>
    <s v="02Skagit"/>
    <s v="North Puget Sound"/>
    <s v="01North Puget Sound"/>
    <n v="3177.3913043478301"/>
    <n v="6482.3356919235503"/>
    <n v="3177.3913043478301"/>
    <n v="6482.3356919235503"/>
  </r>
  <r>
    <n v="3518"/>
    <x v="10"/>
    <s v="Marine"/>
    <x v="0"/>
    <x v="0"/>
    <n v="7"/>
    <s v="Area 7: San Juan Islands"/>
    <s v="Area 7: San Juan Islands"/>
    <s v="NA"/>
    <x v="1"/>
    <s v="Snohomish"/>
    <s v="03Snohomish"/>
    <s v="North Puget Sound"/>
    <s v="01North Puget Sound"/>
    <n v="1715.79130434783"/>
    <n v="3500.4612736387198"/>
    <n v="1715.79130434783"/>
    <n v="3500.4612736387198"/>
  </r>
  <r>
    <n v="3523"/>
    <x v="10"/>
    <s v="Marine"/>
    <x v="0"/>
    <x v="0"/>
    <n v="7"/>
    <s v="Area 7: San Juan Islands"/>
    <s v="Area 7: San Juan Islands"/>
    <s v="NA"/>
    <x v="1"/>
    <s v="Thurston"/>
    <s v="08Thurston"/>
    <s v="South Puget Sound"/>
    <s v="02South Puget Sound"/>
    <n v="127.095652173913"/>
    <n v="259.29342767694197"/>
    <n v="127.095652173913"/>
    <n v="259.29342767694197"/>
  </r>
  <r>
    <n v="3516"/>
    <x v="10"/>
    <s v="Marine"/>
    <x v="0"/>
    <x v="0"/>
    <n v="7"/>
    <s v="Area 7: San Juan Islands"/>
    <s v="Area 7: San Juan Islands"/>
    <s v="NA"/>
    <x v="1"/>
    <s v="Whatcom"/>
    <s v="01Whatcom"/>
    <s v="North Puget Sound"/>
    <s v="01North Puget Sound"/>
    <n v="2487.4434782608701"/>
    <n v="5074.7427988201498"/>
    <n v="2487.4434782608701"/>
    <n v="5074.7427988201498"/>
  </r>
  <r>
    <n v="3533"/>
    <x v="11"/>
    <s v="Marine"/>
    <x v="0"/>
    <x v="0"/>
    <n v="7"/>
    <s v="Area 7: San Juan Islands"/>
    <s v="Area 7: San Juan Islands"/>
    <s v="NA"/>
    <x v="1"/>
    <s v="Island"/>
    <s v="04Island"/>
    <s v="North Puget Sound"/>
    <s v="01North Puget Sound"/>
    <n v="147.14350797266499"/>
    <n v="297.77809338145602"/>
    <n v="147.14350797266499"/>
    <n v="297.77809338145602"/>
  </r>
  <r>
    <n v="3561"/>
    <x v="11"/>
    <s v="Marine"/>
    <x v="0"/>
    <x v="0"/>
    <n v="7"/>
    <s v="Area 7: San Juan Islands"/>
    <s v="Area 7: San Juan Islands"/>
    <s v="NA"/>
    <x v="1"/>
    <s v="Jefferson"/>
    <s v="12Jefferson"/>
    <s v="Strait of Juan de Fuca"/>
    <s v="03Strait of Juan de Fuca"/>
    <n v="42.041002277904298"/>
    <n v="85.079455251844706"/>
    <n v="42.041002277904298"/>
    <n v="85.079455251844706"/>
  </r>
  <r>
    <n v="3535"/>
    <x v="11"/>
    <s v="Marine"/>
    <x v="0"/>
    <x v="0"/>
    <n v="7"/>
    <s v="Area 7: San Juan Islands"/>
    <s v="Area 7: San Juan Islands"/>
    <s v="NA"/>
    <x v="1"/>
    <s v="King"/>
    <s v="06King"/>
    <s v="South Puget Sound"/>
    <s v="02South Puget Sound"/>
    <n v="367.85876993166301"/>
    <n v="744.44523345364098"/>
    <n v="367.85876993166301"/>
    <n v="744.44523345364098"/>
  </r>
  <r>
    <n v="3560"/>
    <x v="11"/>
    <s v="Marine"/>
    <x v="0"/>
    <x v="0"/>
    <n v="7"/>
    <s v="Area 7: San Juan Islands"/>
    <s v="Area 7: San Juan Islands"/>
    <s v="NA"/>
    <x v="1"/>
    <s v="Kitsap"/>
    <s v="10Kitsap"/>
    <s v="South Puget Sound"/>
    <s v="02South Puget Sound"/>
    <n v="63.061503416856503"/>
    <n v="127.619182877767"/>
    <n v="63.061503416856503"/>
    <n v="127.619182877767"/>
  </r>
  <r>
    <n v="3559"/>
    <x v="11"/>
    <s v="Marine"/>
    <x v="0"/>
    <x v="0"/>
    <n v="7"/>
    <s v="Area 7: San Juan Islands"/>
    <s v="Area 7: San Juan Islands"/>
    <s v="NA"/>
    <x v="1"/>
    <s v="Mason"/>
    <s v="09Mason"/>
    <s v="South Puget Sound"/>
    <s v="02South Puget Sound"/>
    <n v="10.510250569476099"/>
    <n v="21.269863812961201"/>
    <n v="10.510250569476099"/>
    <n v="21.269863812961201"/>
  </r>
  <r>
    <n v="3562"/>
    <x v="11"/>
    <s v="Marine"/>
    <x v="0"/>
    <x v="0"/>
    <n v="7"/>
    <s v="Area 7: San Juan Islands"/>
    <s v="Area 7: San Juan Islands"/>
    <s v="NA"/>
    <x v="1"/>
    <s v="Other"/>
    <s v="20Other"/>
    <s v="Non Puget Sound"/>
    <s v="07Non Puget Sound"/>
    <n v="472.96127562642403"/>
    <n v="957.14387158325303"/>
    <n v="472.96127562642403"/>
    <n v="957.14387158325303"/>
  </r>
  <r>
    <n v="3536"/>
    <x v="11"/>
    <s v="Marine"/>
    <x v="0"/>
    <x v="0"/>
    <n v="7"/>
    <s v="Area 7: San Juan Islands"/>
    <s v="Area 7: San Juan Islands"/>
    <s v="NA"/>
    <x v="1"/>
    <s v="Pierce"/>
    <s v="07Pierce"/>
    <s v="South Puget Sound"/>
    <s v="02South Puget Sound"/>
    <n v="52.551252847380397"/>
    <n v="106.349319064806"/>
    <n v="52.551252847380397"/>
    <n v="106.349319064806"/>
  </r>
  <r>
    <n v="3534"/>
    <x v="11"/>
    <s v="Marine"/>
    <x v="0"/>
    <x v="0"/>
    <n v="7"/>
    <s v="Area 7: San Juan Islands"/>
    <s v="Area 7: San Juan Islands"/>
    <s v="NA"/>
    <x v="1"/>
    <s v="San Juan"/>
    <s v="05San Juan"/>
    <s v="North Puget Sound"/>
    <s v="01North Puget Sound"/>
    <n v="262.75626423690198"/>
    <n v="531.74659532402904"/>
    <n v="262.75626423690198"/>
    <n v="531.74659532402904"/>
  </r>
  <r>
    <n v="3531"/>
    <x v="11"/>
    <s v="Marine"/>
    <x v="0"/>
    <x v="0"/>
    <n v="7"/>
    <s v="Area 7: San Juan Islands"/>
    <s v="Area 7: San Juan Islands"/>
    <s v="NA"/>
    <x v="1"/>
    <s v="Skagit"/>
    <s v="02Skagit"/>
    <s v="North Puget Sound"/>
    <s v="01North Puget Sound"/>
    <n v="1208.6788154897499"/>
    <n v="2446.03433849053"/>
    <n v="1208.6788154897499"/>
    <n v="2446.03433849053"/>
  </r>
  <r>
    <n v="3532"/>
    <x v="11"/>
    <s v="Marine"/>
    <x v="0"/>
    <x v="0"/>
    <n v="7"/>
    <s v="Area 7: San Juan Islands"/>
    <s v="Area 7: San Juan Islands"/>
    <s v="NA"/>
    <x v="1"/>
    <s v="Snohomish"/>
    <s v="03Snohomish"/>
    <s v="North Puget Sound"/>
    <s v="01North Puget Sound"/>
    <n v="557.04328018223202"/>
    <n v="1127.3027820869399"/>
    <n v="557.04328018223202"/>
    <n v="1127.3027820869399"/>
  </r>
  <r>
    <n v="3537"/>
    <x v="11"/>
    <s v="Marine"/>
    <x v="0"/>
    <x v="0"/>
    <n v="7"/>
    <s v="Area 7: San Juan Islands"/>
    <s v="Area 7: San Juan Islands"/>
    <s v="NA"/>
    <x v="1"/>
    <s v="Thurston"/>
    <s v="08Thurston"/>
    <s v="South Puget Sound"/>
    <s v="02South Puget Sound"/>
    <n v="63.061503416856503"/>
    <n v="127.619182877767"/>
    <n v="63.061503416856503"/>
    <n v="127.619182877767"/>
  </r>
  <r>
    <n v="3528"/>
    <x v="11"/>
    <s v="Marine"/>
    <x v="0"/>
    <x v="0"/>
    <n v="7"/>
    <s v="Area 7: San Juan Islands"/>
    <s v="Area 7: San Juan Islands"/>
    <s v="NA"/>
    <x v="1"/>
    <s v="Whatcom"/>
    <s v="01Whatcom"/>
    <s v="North Puget Sound"/>
    <s v="01North Puget Sound"/>
    <n v="1366.3325740318901"/>
    <n v="2765.0822956849502"/>
    <n v="1366.3325740318901"/>
    <n v="2765.0822956849502"/>
  </r>
  <r>
    <n v="2825"/>
    <x v="0"/>
    <s v="Marine"/>
    <x v="0"/>
    <x v="0"/>
    <n v="9"/>
    <s v="Area 9: Admiralty Inlet"/>
    <s v="Area 9: Admiralty Inlet"/>
    <s v="NA"/>
    <x v="2"/>
    <s v="Clallam"/>
    <s v="11Clallam"/>
    <s v="Strait of Juan de Fuca"/>
    <s v="03Strait of Juan de Fuca"/>
    <n v="67.730296827021505"/>
    <n v="549.92398669396096"/>
    <n v="67.730296827021505"/>
    <n v="549.92398669396096"/>
  </r>
  <r>
    <n v="2719"/>
    <x v="0"/>
    <s v="Marine"/>
    <x v="0"/>
    <x v="0"/>
    <n v="9"/>
    <s v="Area 9: Admiralty Inlet"/>
    <s v="Area 9: Admiralty Inlet"/>
    <s v="NA"/>
    <x v="2"/>
    <s v="Island"/>
    <s v="04Island"/>
    <s v="North Puget Sound"/>
    <s v="01North Puget Sound"/>
    <n v="749.017400204708"/>
    <n v="6081.5123234391003"/>
    <n v="749.017400204708"/>
    <n v="6081.5123234391003"/>
  </r>
  <r>
    <n v="2826"/>
    <x v="0"/>
    <s v="Marine"/>
    <x v="0"/>
    <x v="0"/>
    <n v="9"/>
    <s v="Area 9: Admiralty Inlet"/>
    <s v="Area 9: Admiralty Inlet"/>
    <s v="NA"/>
    <x v="2"/>
    <s v="Jefferson"/>
    <s v="12Jefferson"/>
    <s v="Strait of Juan de Fuca"/>
    <s v="03Strait of Juan de Fuca"/>
    <n v="729.09672466734901"/>
    <n v="5919.7699744114598"/>
    <n v="729.09672466734901"/>
    <n v="5919.7699744114598"/>
  </r>
  <r>
    <n v="2721"/>
    <x v="0"/>
    <s v="Marine"/>
    <x v="0"/>
    <x v="0"/>
    <n v="9"/>
    <s v="Area 9: Admiralty Inlet"/>
    <s v="Area 9: Admiralty Inlet"/>
    <s v="NA"/>
    <x v="2"/>
    <s v="King"/>
    <s v="06King"/>
    <s v="South Puget Sound"/>
    <s v="02South Puget Sound"/>
    <n v="1577.7175025588499"/>
    <n v="12809.994042988699"/>
    <n v="1577.7175025588499"/>
    <n v="12809.994042988699"/>
  </r>
  <r>
    <n v="2824"/>
    <x v="0"/>
    <s v="Marine"/>
    <x v="0"/>
    <x v="0"/>
    <n v="9"/>
    <s v="Area 9: Admiralty Inlet"/>
    <s v="Area 9: Admiralty Inlet"/>
    <s v="NA"/>
    <x v="2"/>
    <s v="Kitsap"/>
    <s v="10Kitsap"/>
    <s v="South Puget Sound"/>
    <s v="02South Puget Sound"/>
    <n v="1063.76407369498"/>
    <n v="8637.0414380757393"/>
    <n v="1063.76407369498"/>
    <n v="8637.0414380757393"/>
  </r>
  <r>
    <n v="2823"/>
    <x v="0"/>
    <s v="Marine"/>
    <x v="0"/>
    <x v="0"/>
    <n v="9"/>
    <s v="Area 9: Admiralty Inlet"/>
    <s v="Area 9: Admiralty Inlet"/>
    <s v="NA"/>
    <x v="2"/>
    <s v="Mason"/>
    <s v="09Mason"/>
    <s v="South Puget Sound"/>
    <s v="02South Puget Sound"/>
    <n v="15.936540429887399"/>
    <n v="129.39387922210901"/>
    <n v="15.936540429887399"/>
    <n v="129.39387922210901"/>
  </r>
  <r>
    <n v="2827"/>
    <x v="0"/>
    <s v="Marine"/>
    <x v="0"/>
    <x v="0"/>
    <n v="9"/>
    <s v="Area 9: Admiralty Inlet"/>
    <s v="Area 9: Admiralty Inlet"/>
    <s v="NA"/>
    <x v="2"/>
    <s v="Other"/>
    <s v="20Other"/>
    <s v="Non Puget Sound"/>
    <s v="07Non Puget Sound"/>
    <n v="649.41402251791203"/>
    <n v="5272.8005783009203"/>
    <n v="649.41402251791203"/>
    <n v="5272.8005783009203"/>
  </r>
  <r>
    <n v="2722"/>
    <x v="0"/>
    <s v="Marine"/>
    <x v="0"/>
    <x v="0"/>
    <n v="9"/>
    <s v="Area 9: Admiralty Inlet"/>
    <s v="Area 9: Admiralty Inlet"/>
    <s v="NA"/>
    <x v="2"/>
    <s v="Pierce"/>
    <s v="07Pierce"/>
    <s v="South Puget Sound"/>
    <s v="02South Puget Sound"/>
    <n v="191.23848515864901"/>
    <n v="1552.7265506653"/>
    <n v="191.23848515864901"/>
    <n v="1552.7265506653"/>
  </r>
  <r>
    <n v="2720"/>
    <x v="0"/>
    <s v="Marine"/>
    <x v="0"/>
    <x v="0"/>
    <n v="9"/>
    <s v="Area 9: Admiralty Inlet"/>
    <s v="Area 9: Admiralty Inlet"/>
    <s v="NA"/>
    <x v="2"/>
    <s v="San Juan"/>
    <s v="05San Juan"/>
    <s v="North Puget Sound"/>
    <s v="01North Puget Sound"/>
    <n v="3.9841351074718498"/>
    <n v="32.348469805527102"/>
    <n v="3.9841351074718498"/>
    <n v="32.348469805527102"/>
  </r>
  <r>
    <n v="2717"/>
    <x v="0"/>
    <s v="Marine"/>
    <x v="0"/>
    <x v="0"/>
    <n v="9"/>
    <s v="Area 9: Admiralty Inlet"/>
    <s v="Area 9: Admiralty Inlet"/>
    <s v="NA"/>
    <x v="2"/>
    <s v="Skagit"/>
    <s v="02Skagit"/>
    <s v="North Puget Sound"/>
    <s v="01North Puget Sound"/>
    <n v="167.33367451381801"/>
    <n v="1358.63573183214"/>
    <n v="167.33367451381801"/>
    <n v="1358.63573183214"/>
  </r>
  <r>
    <n v="2718"/>
    <x v="0"/>
    <s v="Marine"/>
    <x v="0"/>
    <x v="0"/>
    <n v="9"/>
    <s v="Area 9: Admiralty Inlet"/>
    <s v="Area 9: Admiralty Inlet"/>
    <s v="NA"/>
    <x v="2"/>
    <s v="Snohomish"/>
    <s v="03Snohomish"/>
    <s v="North Puget Sound"/>
    <s v="01North Puget Sound"/>
    <n v="2533.9099283521"/>
    <n v="20573.6267963153"/>
    <n v="2533.9099283521"/>
    <n v="20573.6267963153"/>
  </r>
  <r>
    <n v="2822"/>
    <x v="0"/>
    <s v="Marine"/>
    <x v="0"/>
    <x v="0"/>
    <n v="9"/>
    <s v="Area 9: Admiralty Inlet"/>
    <s v="Area 9: Admiralty Inlet"/>
    <s v="NA"/>
    <x v="2"/>
    <s v="Thurston"/>
    <s v="08Thurston"/>
    <s v="South Puget Sound"/>
    <s v="02South Puget Sound"/>
    <n v="27.888945752303002"/>
    <n v="226.43928863868999"/>
    <n v="27.888945752303002"/>
    <n v="226.43928863868999"/>
  </r>
  <r>
    <n v="2716"/>
    <x v="0"/>
    <s v="Marine"/>
    <x v="0"/>
    <x v="0"/>
    <n v="9"/>
    <s v="Area 9: Admiralty Inlet"/>
    <s v="Area 9: Admiralty Inlet"/>
    <s v="NA"/>
    <x v="2"/>
    <s v="Whatcom"/>
    <s v="01Whatcom"/>
    <s v="North Puget Sound"/>
    <s v="01North Puget Sound"/>
    <n v="7.9682702149437104"/>
    <n v="64.696939611054304"/>
    <n v="7.9682702149437104"/>
    <n v="64.696939611054304"/>
  </r>
  <r>
    <n v="1553"/>
    <x v="1"/>
    <s v="Marine"/>
    <x v="0"/>
    <x v="0"/>
    <n v="9"/>
    <s v="Area 9: Admiralty Inlet"/>
    <s v="Area 9: Admiralty Inlet"/>
    <s v="NA"/>
    <x v="2"/>
    <s v="Clallam"/>
    <s v="11Clallam"/>
    <s v="Strait of Juan de Fuca"/>
    <s v="03Strait of Juan de Fuca"/>
    <n v="47.660561994797099"/>
    <n v="95.651814930450101"/>
    <n v="47.660561994797099"/>
    <n v="95.651814930450101"/>
  </r>
  <r>
    <n v="3649"/>
    <x v="1"/>
    <s v="Marine"/>
    <x v="0"/>
    <x v="0"/>
    <n v="9"/>
    <s v="Area 9: Admiralty Inlet"/>
    <s v="Area 9: Admiralty Inlet"/>
    <s v="NA"/>
    <x v="2"/>
    <s v="Island"/>
    <s v="04Island"/>
    <s v="North Puget Sound"/>
    <s v="01North Puget Sound"/>
    <n v="9804.4584675011192"/>
    <n v="19676.944785692602"/>
    <n v="9804.4584675011192"/>
    <n v="19676.944785692602"/>
  </r>
  <r>
    <n v="1554"/>
    <x v="1"/>
    <s v="Marine"/>
    <x v="0"/>
    <x v="0"/>
    <n v="9"/>
    <s v="Area 9: Admiralty Inlet"/>
    <s v="Area 9: Admiralty Inlet"/>
    <s v="NA"/>
    <x v="2"/>
    <s v="Jefferson"/>
    <s v="12Jefferson"/>
    <s v="Strait of Juan de Fuca"/>
    <s v="03Strait of Juan de Fuca"/>
    <n v="1664.71534396113"/>
    <n v="3340.9812500707199"/>
    <n v="1664.71534396113"/>
    <n v="3340.9812500707199"/>
  </r>
  <r>
    <n v="3703"/>
    <x v="1"/>
    <s v="Marine"/>
    <x v="0"/>
    <x v="0"/>
    <n v="9"/>
    <s v="Area 9: Admiralty Inlet"/>
    <s v="Area 9: Admiralty Inlet"/>
    <s v="NA"/>
    <x v="2"/>
    <s v="King"/>
    <s v="06King"/>
    <s v="South Puget Sound"/>
    <s v="02South Puget Sound"/>
    <n v="6270.7682281725902"/>
    <n v="12585.045935849201"/>
    <n v="6270.7682281725902"/>
    <n v="12585.045935849201"/>
  </r>
  <r>
    <n v="1379"/>
    <x v="1"/>
    <s v="Marine"/>
    <x v="0"/>
    <x v="0"/>
    <n v="9"/>
    <s v="Area 9: Admiralty Inlet"/>
    <s v="Area 9: Admiralty Inlet"/>
    <s v="NA"/>
    <x v="2"/>
    <s v="Kitsap"/>
    <s v="10Kitsap"/>
    <s v="South Puget Sound"/>
    <s v="02South Puget Sound"/>
    <n v="2393.2410773101701"/>
    <n v="4803.0875640076001"/>
    <n v="2393.2410773101701"/>
    <n v="4803.0875640076001"/>
  </r>
  <r>
    <n v="1378"/>
    <x v="1"/>
    <s v="Marine"/>
    <x v="0"/>
    <x v="0"/>
    <n v="9"/>
    <s v="Area 9: Admiralty Inlet"/>
    <s v="Area 9: Admiralty Inlet"/>
    <s v="NA"/>
    <x v="2"/>
    <s v="Mason"/>
    <s v="09Mason"/>
    <s v="South Puget Sound"/>
    <s v="02South Puget Sound"/>
    <n v="139.57736012762001"/>
    <n v="280.12317229631799"/>
    <n v="139.57736012762001"/>
    <n v="280.12317229631799"/>
  </r>
  <r>
    <n v="1555"/>
    <x v="1"/>
    <s v="Marine"/>
    <x v="0"/>
    <x v="0"/>
    <n v="9"/>
    <s v="Area 9: Admiralty Inlet"/>
    <s v="Area 9: Admiralty Inlet"/>
    <s v="NA"/>
    <x v="2"/>
    <s v="Other"/>
    <s v="20Other"/>
    <s v="Non Puget Sound"/>
    <s v="07Non Puget Sound"/>
    <n v="3642.62866674521"/>
    <n v="7310.5315696844"/>
    <n v="3642.62866674521"/>
    <n v="7310.5315696844"/>
  </r>
  <r>
    <n v="3704"/>
    <x v="1"/>
    <s v="Marine"/>
    <x v="0"/>
    <x v="0"/>
    <n v="9"/>
    <s v="Area 9: Admiralty Inlet"/>
    <s v="Area 9: Admiralty Inlet"/>
    <s v="NA"/>
    <x v="2"/>
    <s v="Pierce"/>
    <s v="07Pierce"/>
    <s v="South Puget Sound"/>
    <s v="02South Puget Sound"/>
    <n v="439.15803552348802"/>
    <n v="881.36315185914805"/>
    <n v="439.15803552348802"/>
    <n v="881.36315185914805"/>
  </r>
  <r>
    <n v="3647"/>
    <x v="1"/>
    <s v="Marine"/>
    <x v="0"/>
    <x v="0"/>
    <n v="9"/>
    <s v="Area 9: Admiralty Inlet"/>
    <s v="Area 9: Admiralty Inlet"/>
    <s v="NA"/>
    <x v="2"/>
    <s v="Skagit"/>
    <s v="02Skagit"/>
    <s v="North Puget Sound"/>
    <s v="01North Puget Sound"/>
    <n v="422.13640623963198"/>
    <n v="847.20178938398703"/>
    <n v="422.13640623963198"/>
    <n v="847.20178938398703"/>
  </r>
  <r>
    <n v="3648"/>
    <x v="1"/>
    <s v="Marine"/>
    <x v="0"/>
    <x v="0"/>
    <n v="9"/>
    <s v="Area 9: Admiralty Inlet"/>
    <s v="Area 9: Admiralty Inlet"/>
    <s v="NA"/>
    <x v="2"/>
    <s v="Snohomish"/>
    <s v="03Snohomish"/>
    <s v="North Puget Sound"/>
    <s v="01North Puget Sound"/>
    <n v="10264.042458165201"/>
    <n v="20599.301572521901"/>
    <n v="10264.042458165201"/>
    <n v="20599.301572521901"/>
  </r>
  <r>
    <n v="1377"/>
    <x v="1"/>
    <s v="Marine"/>
    <x v="0"/>
    <x v="0"/>
    <n v="9"/>
    <s v="Area 9: Admiralty Inlet"/>
    <s v="Area 9: Admiralty Inlet"/>
    <s v="NA"/>
    <x v="2"/>
    <s v="Thurston"/>
    <s v="08Thurston"/>
    <s v="South Puget Sound"/>
    <s v="02South Puget Sound"/>
    <n v="136.173034270849"/>
    <n v="273.290899801286"/>
    <n v="136.173034270849"/>
    <n v="273.290899801286"/>
  </r>
  <r>
    <n v="3607"/>
    <x v="1"/>
    <s v="Marine"/>
    <x v="0"/>
    <x v="0"/>
    <n v="9"/>
    <s v="Area 9: Admiralty Inlet"/>
    <s v="Area 9: Admiralty Inlet"/>
    <s v="NA"/>
    <x v="2"/>
    <s v="Whatcom"/>
    <s v="01Whatcom"/>
    <s v="North Puget Sound"/>
    <s v="01North Puget Sound"/>
    <n v="408.51910281254698"/>
    <n v="819.87269940385795"/>
    <n v="408.51910281254698"/>
    <n v="819.87269940385795"/>
  </r>
  <r>
    <n v="3101"/>
    <x v="2"/>
    <s v="Marine"/>
    <x v="0"/>
    <x v="0"/>
    <n v="9"/>
    <s v="Area 9: Admiralty Inlet"/>
    <s v="Area 9: Admiralty Inlet"/>
    <s v="NA"/>
    <x v="2"/>
    <s v="Clallam"/>
    <s v="11Clallam"/>
    <s v="Strait of Juan de Fuca"/>
    <s v="03Strait of Juan de Fuca"/>
    <n v="356.518264595608"/>
    <n v="673.83672201392596"/>
    <n v="356.518264595608"/>
    <n v="673.83672201392596"/>
  </r>
  <r>
    <n v="2993"/>
    <x v="2"/>
    <s v="Marine"/>
    <x v="0"/>
    <x v="0"/>
    <n v="9"/>
    <s v="Area 9: Admiralty Inlet"/>
    <s v="Area 9: Admiralty Inlet"/>
    <s v="NA"/>
    <x v="2"/>
    <s v="Island"/>
    <s v="04Island"/>
    <s v="North Puget Sound"/>
    <s v="01North Puget Sound"/>
    <n v="9154.4689876807697"/>
    <n v="17302.3880878415"/>
    <n v="9154.4689876807697"/>
    <n v="17302.3880878415"/>
  </r>
  <r>
    <n v="3102"/>
    <x v="2"/>
    <s v="Marine"/>
    <x v="0"/>
    <x v="0"/>
    <n v="9"/>
    <s v="Area 9: Admiralty Inlet"/>
    <s v="Area 9: Admiralty Inlet"/>
    <s v="NA"/>
    <x v="2"/>
    <s v="Jefferson"/>
    <s v="12Jefferson"/>
    <s v="Strait of Juan de Fuca"/>
    <s v="03Strait of Juan de Fuca"/>
    <n v="3524.9305838243199"/>
    <n v="6662.2888805570501"/>
    <n v="3524.9305838243199"/>
    <n v="6662.2888805570501"/>
  </r>
  <r>
    <n v="2994"/>
    <x v="2"/>
    <s v="Marine"/>
    <x v="0"/>
    <x v="0"/>
    <n v="9"/>
    <s v="Area 9: Admiralty Inlet"/>
    <s v="Area 9: Admiralty Inlet"/>
    <s v="NA"/>
    <x v="2"/>
    <s v="King"/>
    <s v="06King"/>
    <s v="South Puget Sound"/>
    <s v="02South Puget Sound"/>
    <n v="8918.7069094804501"/>
    <n v="16856.786384574199"/>
    <n v="8918.7069094804501"/>
    <n v="16856.786384574199"/>
  </r>
  <r>
    <n v="2998"/>
    <x v="2"/>
    <s v="Marine"/>
    <x v="0"/>
    <x v="0"/>
    <n v="9"/>
    <s v="Area 9: Admiralty Inlet"/>
    <s v="Area 9: Admiralty Inlet"/>
    <s v="NA"/>
    <x v="2"/>
    <s v="Kitsap"/>
    <s v="10Kitsap"/>
    <s v="South Puget Sound"/>
    <s v="02South Puget Sound"/>
    <n v="5123.5124799142995"/>
    <n v="9683.6857953936797"/>
    <n v="5123.5124799142995"/>
    <n v="9683.6857953936797"/>
  </r>
  <r>
    <n v="2997"/>
    <x v="2"/>
    <s v="Marine"/>
    <x v="0"/>
    <x v="0"/>
    <n v="9"/>
    <s v="Area 9: Admiralty Inlet"/>
    <s v="Area 9: Admiralty Inlet"/>
    <s v="NA"/>
    <x v="2"/>
    <s v="Mason"/>
    <s v="09Mason"/>
    <s v="South Puget Sound"/>
    <s v="02South Puget Sound"/>
    <n v="299.01531869309099"/>
    <n v="565.15337975361604"/>
    <n v="299.01531869309099"/>
    <n v="565.15337975361604"/>
  </r>
  <r>
    <n v="3103"/>
    <x v="2"/>
    <s v="Marine"/>
    <x v="0"/>
    <x v="0"/>
    <n v="9"/>
    <s v="Area 9: Admiralty Inlet"/>
    <s v="Area 9: Admiralty Inlet"/>
    <s v="NA"/>
    <x v="2"/>
    <s v="Other"/>
    <s v="20Other"/>
    <s v="Non Puget Sound"/>
    <s v="07Non Puget Sound"/>
    <n v="2668.1366898768101"/>
    <n v="5042.9070808784199"/>
    <n v="2668.1366898768101"/>
    <n v="5042.9070808784199"/>
  </r>
  <r>
    <n v="2995"/>
    <x v="2"/>
    <s v="Marine"/>
    <x v="0"/>
    <x v="0"/>
    <n v="9"/>
    <s v="Area 9: Admiralty Inlet"/>
    <s v="Area 9: Admiralty Inlet"/>
    <s v="NA"/>
    <x v="2"/>
    <s v="Pierce"/>
    <s v="07Pierce"/>
    <s v="South Puget Sound"/>
    <s v="02South Puget Sound"/>
    <n v="1017.80214247456"/>
    <n v="1923.6951580074999"/>
    <n v="1017.80214247456"/>
    <n v="1923.6951580074999"/>
  </r>
  <r>
    <n v="2987"/>
    <x v="2"/>
    <s v="Marine"/>
    <x v="0"/>
    <x v="0"/>
    <n v="9"/>
    <s v="Area 9: Admiralty Inlet"/>
    <s v="Area 9: Admiralty Inlet"/>
    <s v="NA"/>
    <x v="2"/>
    <s v="Skagit"/>
    <s v="02Skagit"/>
    <s v="North Puget Sound"/>
    <s v="01North Puget Sound"/>
    <n v="793.54065345473998"/>
    <n v="1499.8301231922901"/>
    <n v="793.54065345473998"/>
    <n v="1499.8301231922901"/>
  </r>
  <r>
    <n v="2992"/>
    <x v="2"/>
    <s v="Marine"/>
    <x v="0"/>
    <x v="0"/>
    <n v="9"/>
    <s v="Area 9: Admiralty Inlet"/>
    <s v="Area 9: Admiralty Inlet"/>
    <s v="NA"/>
    <x v="2"/>
    <s v="Snohomish"/>
    <s v="03Snohomish"/>
    <s v="North Puget Sound"/>
    <s v="01North Puget Sound"/>
    <n v="21379.595286555999"/>
    <n v="40408.466652383497"/>
    <n v="21379.595286555999"/>
    <n v="40408.466652383497"/>
  </r>
  <r>
    <n v="2996"/>
    <x v="2"/>
    <s v="Marine"/>
    <x v="0"/>
    <x v="0"/>
    <n v="9"/>
    <s v="Area 9: Admiralty Inlet"/>
    <s v="Area 9: Admiralty Inlet"/>
    <s v="NA"/>
    <x v="2"/>
    <s v="Thurston"/>
    <s v="08Thurston"/>
    <s v="South Puget Sound"/>
    <s v="02South Puget Sound"/>
    <n v="247.26266738082501"/>
    <n v="467.33837171933601"/>
    <n v="247.26266738082501"/>
    <n v="467.33837171933601"/>
  </r>
  <r>
    <n v="2986"/>
    <x v="2"/>
    <s v="Marine"/>
    <x v="0"/>
    <x v="0"/>
    <n v="9"/>
    <s v="Area 9: Admiralty Inlet"/>
    <s v="Area 9: Admiralty Inlet"/>
    <s v="NA"/>
    <x v="2"/>
    <s v="Whatcom"/>
    <s v="01Whatcom"/>
    <s v="North Puget Sound"/>
    <s v="01North Puget Sound"/>
    <n v="195.510016068559"/>
    <n v="369.52336368505598"/>
    <n v="195.510016068559"/>
    <n v="369.52336368505598"/>
  </r>
  <r>
    <n v="3424"/>
    <x v="3"/>
    <s v="Marine"/>
    <x v="0"/>
    <x v="0"/>
    <n v="9"/>
    <s v="Area 9: Admiralty Inlet"/>
    <s v="Area 9: Admiralty Inlet"/>
    <s v="NA"/>
    <x v="2"/>
    <s v="Clallam"/>
    <s v="11Clallam"/>
    <s v="Strait of Juan de Fuca"/>
    <s v="03Strait of Juan de Fuca"/>
    <n v="631.19587881761299"/>
    <n v="884.81940390040495"/>
    <n v="631.19587881761299"/>
    <n v="884.81940390040495"/>
  </r>
  <r>
    <n v="3415"/>
    <x v="3"/>
    <s v="Marine"/>
    <x v="0"/>
    <x v="0"/>
    <n v="9"/>
    <s v="Area 9: Admiralty Inlet"/>
    <s v="Area 9: Admiralty Inlet"/>
    <s v="NA"/>
    <x v="2"/>
    <s v="Island"/>
    <s v="04Island"/>
    <s v="North Puget Sound"/>
    <s v="01North Puget Sound"/>
    <n v="22696.751809149999"/>
    <n v="31816.631065252099"/>
    <n v="22696.751809149999"/>
    <n v="31816.631065252099"/>
  </r>
  <r>
    <n v="3425"/>
    <x v="3"/>
    <s v="Marine"/>
    <x v="0"/>
    <x v="0"/>
    <n v="9"/>
    <s v="Area 9: Admiralty Inlet"/>
    <s v="Area 9: Admiralty Inlet"/>
    <s v="NA"/>
    <x v="2"/>
    <s v="Jefferson"/>
    <s v="12Jefferson"/>
    <s v="Strait of Juan de Fuca"/>
    <s v="03Strait of Juan de Fuca"/>
    <n v="4634.0297436526398"/>
    <n v="6496.0491236354701"/>
    <n v="4634.0297436526398"/>
    <n v="6496.0491236354701"/>
  </r>
  <r>
    <n v="3416"/>
    <x v="3"/>
    <s v="Marine"/>
    <x v="0"/>
    <x v="0"/>
    <n v="9"/>
    <s v="Area 9: Admiralty Inlet"/>
    <s v="Area 9: Admiralty Inlet"/>
    <s v="NA"/>
    <x v="2"/>
    <s v="King"/>
    <s v="06King"/>
    <s v="South Puget Sound"/>
    <s v="02South Puget Sound"/>
    <n v="13223.553661229"/>
    <n v="18536.966511713501"/>
    <n v="13223.553661229"/>
    <n v="18536.966511713501"/>
  </r>
  <r>
    <n v="3423"/>
    <x v="3"/>
    <s v="Marine"/>
    <x v="0"/>
    <x v="0"/>
    <n v="9"/>
    <s v="Area 9: Admiralty Inlet"/>
    <s v="Area 9: Admiralty Inlet"/>
    <s v="NA"/>
    <x v="2"/>
    <s v="Kitsap"/>
    <s v="10Kitsap"/>
    <s v="South Puget Sound"/>
    <s v="02South Puget Sound"/>
    <n v="6890.5550104256099"/>
    <n v="9659.2784925794203"/>
    <n v="6890.5550104256099"/>
    <n v="9659.2784925794203"/>
  </r>
  <r>
    <n v="3422"/>
    <x v="3"/>
    <s v="Marine"/>
    <x v="0"/>
    <x v="0"/>
    <n v="9"/>
    <s v="Area 9: Admiralty Inlet"/>
    <s v="Area 9: Admiralty Inlet"/>
    <s v="NA"/>
    <x v="2"/>
    <s v="Mason"/>
    <s v="09Mason"/>
    <s v="South Puget Sound"/>
    <s v="02South Puget Sound"/>
    <n v="289.29811112473902"/>
    <n v="405.54222678768599"/>
    <n v="289.29811112473902"/>
    <n v="405.54222678768599"/>
  </r>
  <r>
    <n v="3476"/>
    <x v="3"/>
    <s v="Marine"/>
    <x v="0"/>
    <x v="0"/>
    <n v="9"/>
    <s v="Area 9: Admiralty Inlet"/>
    <s v="Area 9: Admiralty Inlet"/>
    <s v="NA"/>
    <x v="2"/>
    <s v="Other"/>
    <s v="20Other"/>
    <s v="Non Puget Sound"/>
    <s v="07Non Puget Sound"/>
    <n v="8447.5048448423895"/>
    <n v="11841.833022200401"/>
    <n v="8447.5048448423895"/>
    <n v="11841.833022200401"/>
  </r>
  <r>
    <n v="3417"/>
    <x v="3"/>
    <s v="Marine"/>
    <x v="0"/>
    <x v="0"/>
    <n v="9"/>
    <s v="Area 9: Admiralty Inlet"/>
    <s v="Area 9: Admiralty Inlet"/>
    <s v="NA"/>
    <x v="2"/>
    <s v="Pierce"/>
    <s v="07Pierce"/>
    <s v="South Puget Sound"/>
    <s v="02South Puget Sound"/>
    <n v="1288.69158591929"/>
    <n v="1806.50628296333"/>
    <n v="1288.69158591929"/>
    <n v="1806.50628296333"/>
  </r>
  <r>
    <n v="3322"/>
    <x v="3"/>
    <s v="Marine"/>
    <x v="0"/>
    <x v="0"/>
    <n v="9"/>
    <s v="Area 9: Admiralty Inlet"/>
    <s v="Area 9: Admiralty Inlet"/>
    <s v="NA"/>
    <x v="2"/>
    <s v="Skagit"/>
    <s v="02Skagit"/>
    <s v="North Puget Sound"/>
    <s v="01North Puget Sound"/>
    <n v="1209.79210106709"/>
    <n v="1695.9038574757799"/>
    <n v="1209.79210106709"/>
    <n v="1695.9038574757799"/>
  </r>
  <r>
    <n v="3323"/>
    <x v="3"/>
    <s v="Marine"/>
    <x v="0"/>
    <x v="0"/>
    <n v="9"/>
    <s v="Area 9: Admiralty Inlet"/>
    <s v="Area 9: Admiralty Inlet"/>
    <s v="NA"/>
    <x v="2"/>
    <s v="Snohomish"/>
    <s v="03Snohomish"/>
    <s v="North Puget Sound"/>
    <s v="01North Puget Sound"/>
    <n v="25205.75542745"/>
    <n v="35333.788195756199"/>
    <n v="25205.75542745"/>
    <n v="35333.788195756199"/>
  </r>
  <r>
    <n v="3418"/>
    <x v="3"/>
    <s v="Marine"/>
    <x v="0"/>
    <x v="0"/>
    <n v="9"/>
    <s v="Area 9: Admiralty Inlet"/>
    <s v="Area 9: Admiralty Inlet"/>
    <s v="NA"/>
    <x v="2"/>
    <s v="Thurston"/>
    <s v="08Thurston"/>
    <s v="South Puget Sound"/>
    <s v="02South Puget Sound"/>
    <n v="568.07629093585194"/>
    <n v="796.33746351036405"/>
    <n v="568.07629093585194"/>
    <n v="796.33746351036405"/>
  </r>
  <r>
    <n v="3321"/>
    <x v="3"/>
    <s v="Marine"/>
    <x v="0"/>
    <x v="0"/>
    <n v="9"/>
    <s v="Area 9: Admiralty Inlet"/>
    <s v="Area 9: Admiralty Inlet"/>
    <s v="NA"/>
    <x v="2"/>
    <s v="Whatcom"/>
    <s v="01Whatcom"/>
    <s v="North Puget Sound"/>
    <s v="01North Puget Sound"/>
    <n v="683.79553538574805"/>
    <n v="958.55435422543906"/>
    <n v="683.79553538574805"/>
    <n v="958.55435422543906"/>
  </r>
  <r>
    <n v="2537"/>
    <x v="4"/>
    <s v="Marine"/>
    <x v="0"/>
    <x v="0"/>
    <n v="9"/>
    <s v="Area 9: Admiralty Inlet"/>
    <s v="Area 9: Admiralty Inlet"/>
    <s v="NA"/>
    <x v="2"/>
    <s v="Clallam"/>
    <s v="11Clallam"/>
    <s v="Strait of Juan de Fuca"/>
    <s v="03Strait of Juan de Fuca"/>
    <n v="216.024977043159"/>
    <n v="659.43343250688702"/>
    <n v="216.024977043159"/>
    <n v="659.43343250688702"/>
  </r>
  <r>
    <n v="1582"/>
    <x v="4"/>
    <s v="Marine"/>
    <x v="0"/>
    <x v="0"/>
    <n v="9"/>
    <s v="Area 9: Admiralty Inlet"/>
    <s v="Area 9: Admiralty Inlet"/>
    <s v="NA"/>
    <x v="2"/>
    <s v="Island"/>
    <s v="04Island"/>
    <s v="North Puget Sound"/>
    <s v="01North Puget Sound"/>
    <n v="6318.7305785123999"/>
    <n v="19288.4279008265"/>
    <n v="6318.7305785123999"/>
    <n v="19288.4279008265"/>
  </r>
  <r>
    <n v="2668"/>
    <x v="4"/>
    <s v="Marine"/>
    <x v="0"/>
    <x v="0"/>
    <n v="9"/>
    <s v="Area 9: Admiralty Inlet"/>
    <s v="Area 9: Admiralty Inlet"/>
    <s v="NA"/>
    <x v="2"/>
    <s v="Jefferson"/>
    <s v="12Jefferson"/>
    <s v="Strait of Juan de Fuca"/>
    <s v="03Strait of Juan de Fuca"/>
    <n v="1525.67640036731"/>
    <n v="4657.2486170798902"/>
    <n v="1525.67640036731"/>
    <n v="4657.2486170798902"/>
  </r>
  <r>
    <n v="1733"/>
    <x v="4"/>
    <s v="Marine"/>
    <x v="0"/>
    <x v="0"/>
    <n v="9"/>
    <s v="Area 9: Admiralty Inlet"/>
    <s v="Area 9: Admiralty Inlet"/>
    <s v="NA"/>
    <x v="2"/>
    <s v="King"/>
    <s v="06King"/>
    <s v="South Puget Sound"/>
    <s v="02South Puget Sound"/>
    <n v="7088.3195592286502"/>
    <n v="21637.6595041322"/>
    <n v="7088.3195592286502"/>
    <n v="21637.6595041322"/>
  </r>
  <r>
    <n v="2313"/>
    <x v="4"/>
    <s v="Marine"/>
    <x v="0"/>
    <x v="0"/>
    <n v="9"/>
    <s v="Area 9: Admiralty Inlet"/>
    <s v="Area 9: Admiralty Inlet"/>
    <s v="NA"/>
    <x v="2"/>
    <s v="Kitsap"/>
    <s v="10Kitsap"/>
    <s v="South Puget Sound"/>
    <s v="02South Puget Sound"/>
    <n v="2923.08797061524"/>
    <n v="8922.9586336088196"/>
    <n v="2923.08797061524"/>
    <n v="8922.9586336088196"/>
  </r>
  <r>
    <n v="2203"/>
    <x v="4"/>
    <s v="Marine"/>
    <x v="0"/>
    <x v="0"/>
    <n v="9"/>
    <s v="Area 9: Admiralty Inlet"/>
    <s v="Area 9: Admiralty Inlet"/>
    <s v="NA"/>
    <x v="2"/>
    <s v="Mason"/>
    <s v="09Mason"/>
    <s v="South Puget Sound"/>
    <s v="02South Puget Sound"/>
    <n v="74.258585858585903"/>
    <n v="226.680242424243"/>
    <n v="74.258585858585903"/>
    <n v="226.680242424243"/>
  </r>
  <r>
    <n v="2776"/>
    <x v="4"/>
    <s v="Marine"/>
    <x v="0"/>
    <x v="0"/>
    <n v="9"/>
    <s v="Area 9: Admiralty Inlet"/>
    <s v="Area 9: Admiralty Inlet"/>
    <s v="NA"/>
    <x v="2"/>
    <s v="Other"/>
    <s v="20Other"/>
    <s v="Non Puget Sound"/>
    <s v="07Non Puget Sound"/>
    <n v="2275.0130394857702"/>
    <n v="6944.6583360881596"/>
    <n v="2275.0130394857702"/>
    <n v="6944.6583360881596"/>
  </r>
  <r>
    <n v="2057"/>
    <x v="4"/>
    <s v="Marine"/>
    <x v="0"/>
    <x v="0"/>
    <n v="9"/>
    <s v="Area 9: Admiralty Inlet"/>
    <s v="Area 9: Admiralty Inlet"/>
    <s v="NA"/>
    <x v="2"/>
    <s v="Pierce"/>
    <s v="07Pierce"/>
    <s v="South Puget Sound"/>
    <s v="02South Puget Sound"/>
    <n v="688.57961432506897"/>
    <n v="2101.9440661157"/>
    <n v="688.57961432506897"/>
    <n v="2101.9440661157"/>
  </r>
  <r>
    <n v="1583"/>
    <x v="4"/>
    <s v="Marine"/>
    <x v="0"/>
    <x v="0"/>
    <n v="9"/>
    <s v="Area 9: Admiralty Inlet"/>
    <s v="Area 9: Admiralty Inlet"/>
    <s v="NA"/>
    <x v="2"/>
    <s v="San Juan"/>
    <s v="05San Juan"/>
    <s v="North Puget Sound"/>
    <s v="01North Puget Sound"/>
    <n v="27.0031221303949"/>
    <n v="82.429179063360905"/>
    <n v="27.0031221303949"/>
    <n v="82.429179063360905"/>
  </r>
  <r>
    <n v="1261"/>
    <x v="4"/>
    <s v="Marine"/>
    <x v="0"/>
    <x v="0"/>
    <n v="9"/>
    <s v="Area 9: Admiralty Inlet"/>
    <s v="Area 9: Admiralty Inlet"/>
    <s v="NA"/>
    <x v="2"/>
    <s v="Skagit"/>
    <s v="02Skagit"/>
    <s v="North Puget Sound"/>
    <s v="01North Puget Sound"/>
    <n v="729.08429752066104"/>
    <n v="2225.58783471074"/>
    <n v="729.08429752066104"/>
    <n v="2225.58783471074"/>
  </r>
  <r>
    <n v="1262"/>
    <x v="4"/>
    <s v="Marine"/>
    <x v="0"/>
    <x v="0"/>
    <n v="9"/>
    <s v="Area 9: Admiralty Inlet"/>
    <s v="Area 9: Admiralty Inlet"/>
    <s v="NA"/>
    <x v="2"/>
    <s v="Snohomish"/>
    <s v="03Snohomish"/>
    <s v="North Puget Sound"/>
    <s v="01North Puget Sound"/>
    <n v="14338.657851239701"/>
    <n v="43769.894082644598"/>
    <n v="14338.657851239701"/>
    <n v="43769.894082644598"/>
  </r>
  <r>
    <n v="2202"/>
    <x v="4"/>
    <s v="Marine"/>
    <x v="0"/>
    <x v="0"/>
    <n v="9"/>
    <s v="Area 9: Admiralty Inlet"/>
    <s v="Area 9: Admiralty Inlet"/>
    <s v="NA"/>
    <x v="2"/>
    <s v="Thurston"/>
    <s v="08Thurston"/>
    <s v="South Puget Sound"/>
    <s v="02South Puget Sound"/>
    <n v="182.271074380165"/>
    <n v="556.39695867768603"/>
    <n v="182.271074380165"/>
    <n v="556.39695867768603"/>
  </r>
  <r>
    <n v="3714"/>
    <x v="4"/>
    <s v="Marine"/>
    <x v="0"/>
    <x v="0"/>
    <n v="9"/>
    <s v="Area 9: Admiralty Inlet"/>
    <s v="Area 9: Admiralty Inlet"/>
    <s v="NA"/>
    <x v="2"/>
    <s v="Whatcom"/>
    <s v="01Whatcom"/>
    <s v="North Puget Sound"/>
    <s v="01North Puget Sound"/>
    <n v="371.29292929292899"/>
    <n v="1133.4012121212099"/>
    <n v="371.29292929292899"/>
    <n v="1133.4012121212099"/>
  </r>
  <r>
    <n v="1784"/>
    <x v="5"/>
    <s v="Marine"/>
    <x v="0"/>
    <x v="0"/>
    <n v="9"/>
    <s v="Area 9: Admiralty Inlet"/>
    <s v="Area 9: Admiralty Inlet"/>
    <s v="NA"/>
    <x v="2"/>
    <s v="Clallam"/>
    <s v="11Clallam"/>
    <s v="Strait of Juan de Fuca"/>
    <s v="03Strait of Juan de Fuca"/>
    <n v="354.25185453229602"/>
    <n v="569.40941438996504"/>
    <n v="354.25185453229602"/>
    <n v="569.40941438996504"/>
  </r>
  <r>
    <n v="1777"/>
    <x v="5"/>
    <s v="Marine"/>
    <x v="0"/>
    <x v="0"/>
    <n v="9"/>
    <s v="Area 9: Admiralty Inlet"/>
    <s v="Area 9: Admiralty Inlet"/>
    <s v="NA"/>
    <x v="2"/>
    <s v="Island"/>
    <s v="04Island"/>
    <s v="North Puget Sound"/>
    <s v="01North Puget Sound"/>
    <n v="30770.3160846752"/>
    <n v="49458.901733912302"/>
    <n v="30770.3160846752"/>
    <n v="49458.901733912302"/>
  </r>
  <r>
    <n v="1950"/>
    <x v="5"/>
    <s v="Marine"/>
    <x v="0"/>
    <x v="0"/>
    <n v="9"/>
    <s v="Area 9: Admiralty Inlet"/>
    <s v="Area 9: Admiralty Inlet"/>
    <s v="NA"/>
    <x v="2"/>
    <s v="Jefferson"/>
    <s v="12Jefferson"/>
    <s v="Strait of Juan de Fuca"/>
    <s v="03Strait of Juan de Fuca"/>
    <n v="4754.0598878234096"/>
    <n v="7641.4743411133204"/>
    <n v="4754.0598878234096"/>
    <n v="7641.4743411133204"/>
  </r>
  <r>
    <n v="1779"/>
    <x v="5"/>
    <s v="Marine"/>
    <x v="0"/>
    <x v="0"/>
    <n v="9"/>
    <s v="Area 9: Admiralty Inlet"/>
    <s v="Area 9: Admiralty Inlet"/>
    <s v="NA"/>
    <x v="2"/>
    <s v="King"/>
    <s v="06King"/>
    <s v="South Puget Sound"/>
    <s v="02South Puget Sound"/>
    <n v="19356.3213316447"/>
    <n v="31112.530402267701"/>
    <n v="19356.3213316447"/>
    <n v="31112.530402267701"/>
  </r>
  <r>
    <n v="1783"/>
    <x v="5"/>
    <s v="Marine"/>
    <x v="0"/>
    <x v="0"/>
    <n v="9"/>
    <s v="Area 9: Admiralty Inlet"/>
    <s v="Area 9: Admiralty Inlet"/>
    <s v="NA"/>
    <x v="2"/>
    <s v="Kitsap"/>
    <s v="10Kitsap"/>
    <s v="South Puget Sound"/>
    <s v="02South Puget Sound"/>
    <n v="11449.419938483799"/>
    <n v="18403.312273083699"/>
    <n v="11449.419938483799"/>
    <n v="18403.312273083699"/>
  </r>
  <r>
    <n v="1782"/>
    <x v="5"/>
    <s v="Marine"/>
    <x v="0"/>
    <x v="0"/>
    <n v="9"/>
    <s v="Area 9: Admiralty Inlet"/>
    <s v="Area 9: Admiralty Inlet"/>
    <s v="NA"/>
    <x v="2"/>
    <s v="Mason"/>
    <s v="09Mason"/>
    <s v="South Puget Sound"/>
    <s v="02South Puget Sound"/>
    <n v="297.57155780712901"/>
    <n v="478.30390808756999"/>
    <n v="297.57155780712901"/>
    <n v="478.30390808756999"/>
  </r>
  <r>
    <n v="1951"/>
    <x v="5"/>
    <s v="Marine"/>
    <x v="0"/>
    <x v="0"/>
    <n v="9"/>
    <s v="Area 9: Admiralty Inlet"/>
    <s v="Area 9: Admiralty Inlet"/>
    <s v="NA"/>
    <x v="2"/>
    <s v="Other"/>
    <s v="20Other"/>
    <s v="Non Puget Sound"/>
    <s v="07Non Puget Sound"/>
    <n v="11669.056088293801"/>
    <n v="18756.346110005401"/>
    <n v="11669.056088293801"/>
    <n v="18756.346110005401"/>
  </r>
  <r>
    <n v="1780"/>
    <x v="5"/>
    <s v="Marine"/>
    <x v="0"/>
    <x v="0"/>
    <n v="9"/>
    <s v="Area 9: Admiralty Inlet"/>
    <s v="Area 9: Admiralty Inlet"/>
    <s v="NA"/>
    <x v="2"/>
    <s v="Pierce"/>
    <s v="07Pierce"/>
    <s v="South Puget Sound"/>
    <s v="02South Puget Sound"/>
    <n v="2125.5111271937799"/>
    <n v="3416.45648633979"/>
    <n v="2125.5111271937799"/>
    <n v="3416.45648633979"/>
  </r>
  <r>
    <n v="1778"/>
    <x v="5"/>
    <s v="Marine"/>
    <x v="0"/>
    <x v="0"/>
    <n v="9"/>
    <s v="Area 9: Admiralty Inlet"/>
    <s v="Area 9: Admiralty Inlet"/>
    <s v="NA"/>
    <x v="2"/>
    <s v="San Juan"/>
    <s v="05San Juan"/>
    <s v="North Puget Sound"/>
    <s v="01North Puget Sound"/>
    <n v="56.680296725167402"/>
    <n v="91.105506302394303"/>
    <n v="56.680296725167402"/>
    <n v="91.105506302394303"/>
  </r>
  <r>
    <n v="1622"/>
    <x v="5"/>
    <s v="Marine"/>
    <x v="0"/>
    <x v="0"/>
    <n v="9"/>
    <s v="Area 9: Admiralty Inlet"/>
    <s v="Area 9: Admiralty Inlet"/>
    <s v="NA"/>
    <x v="2"/>
    <s v="Skagit"/>
    <s v="02Skagit"/>
    <s v="North Puget Sound"/>
    <s v="01North Puget Sound"/>
    <n v="1742.9191242989"/>
    <n v="2801.49431879863"/>
    <n v="1742.9191242989"/>
    <n v="2801.49431879863"/>
  </r>
  <r>
    <n v="1776"/>
    <x v="5"/>
    <s v="Marine"/>
    <x v="0"/>
    <x v="0"/>
    <n v="9"/>
    <s v="Area 9: Admiralty Inlet"/>
    <s v="Area 9: Admiralty Inlet"/>
    <s v="NA"/>
    <x v="2"/>
    <s v="Snohomish"/>
    <s v="03Snohomish"/>
    <s v="North Puget Sound"/>
    <s v="01North Puget Sound"/>
    <n v="33441.375067848698"/>
    <n v="53752.248718412702"/>
    <n v="33441.375067848698"/>
    <n v="53752.248718412702"/>
  </r>
  <r>
    <n v="1781"/>
    <x v="5"/>
    <s v="Marine"/>
    <x v="0"/>
    <x v="0"/>
    <n v="9"/>
    <s v="Area 9: Admiralty Inlet"/>
    <s v="Area 9: Admiralty Inlet"/>
    <s v="NA"/>
    <x v="2"/>
    <s v="Thurston"/>
    <s v="08Thurston"/>
    <s v="South Puget Sound"/>
    <s v="02South Puget Sound"/>
    <n v="814.77926542428099"/>
    <n v="1309.64165309692"/>
    <n v="814.77926542428099"/>
    <n v="1309.64165309692"/>
  </r>
  <r>
    <n v="1621"/>
    <x v="5"/>
    <s v="Marine"/>
    <x v="0"/>
    <x v="0"/>
    <n v="9"/>
    <s v="Area 9: Admiralty Inlet"/>
    <s v="Area 9: Admiralty Inlet"/>
    <s v="NA"/>
    <x v="2"/>
    <s v="Whatcom"/>
    <s v="01Whatcom"/>
    <s v="North Puget Sound"/>
    <s v="01North Puget Sound"/>
    <n v="644.73837524877899"/>
    <n v="1036.3251341897401"/>
    <n v="644.73837524877899"/>
    <n v="1036.3251341897401"/>
  </r>
  <r>
    <n v="2346"/>
    <x v="6"/>
    <s v="Marine"/>
    <x v="0"/>
    <x v="0"/>
    <n v="9"/>
    <s v="Area 9: Admiralty Inlet"/>
    <s v="Area 9: Admiralty Inlet"/>
    <s v="NA"/>
    <x v="2"/>
    <s v="Clallam"/>
    <s v="11Clallam"/>
    <s v="Strait of Juan de Fuca"/>
    <s v="03Strait of Juan de Fuca"/>
    <n v="46.970330782312899"/>
    <n v="194.50187755101999"/>
    <n v="46.970330782312899"/>
    <n v="194.50187755101999"/>
  </r>
  <r>
    <n v="2239"/>
    <x v="6"/>
    <s v="Marine"/>
    <x v="0"/>
    <x v="0"/>
    <n v="9"/>
    <s v="Area 9: Admiralty Inlet"/>
    <s v="Area 9: Admiralty Inlet"/>
    <s v="NA"/>
    <x v="2"/>
    <s v="Island"/>
    <s v="04Island"/>
    <s v="North Puget Sound"/>
    <s v="01North Puget Sound"/>
    <n v="663.45592230016996"/>
    <n v="2747.3390204081602"/>
    <n v="663.45592230016996"/>
    <n v="2747.3390204081602"/>
  </r>
  <r>
    <n v="2347"/>
    <x v="6"/>
    <s v="Marine"/>
    <x v="0"/>
    <x v="0"/>
    <n v="9"/>
    <s v="Area 9: Admiralty Inlet"/>
    <s v="Area 9: Admiralty Inlet"/>
    <s v="NA"/>
    <x v="2"/>
    <s v="Jefferson"/>
    <s v="12Jefferson"/>
    <s v="Strait of Juan de Fuca"/>
    <s v="03Strait of Juan de Fuca"/>
    <n v="868.95111947278895"/>
    <n v="3598.2847346938802"/>
    <n v="868.95111947278895"/>
    <n v="3598.2847346938802"/>
  </r>
  <r>
    <n v="2241"/>
    <x v="6"/>
    <s v="Marine"/>
    <x v="0"/>
    <x v="0"/>
    <n v="9"/>
    <s v="Area 9: Admiralty Inlet"/>
    <s v="Area 9: Admiralty Inlet"/>
    <s v="NA"/>
    <x v="2"/>
    <s v="King"/>
    <s v="06King"/>
    <s v="South Puget Sound"/>
    <s v="02South Puget Sound"/>
    <n v="1332.7831359481299"/>
    <n v="5518.9907755102004"/>
    <n v="1332.7831359481299"/>
    <n v="5518.9907755102004"/>
  </r>
  <r>
    <n v="2345"/>
    <x v="6"/>
    <s v="Marine"/>
    <x v="0"/>
    <x v="0"/>
    <n v="9"/>
    <s v="Area 9: Admiralty Inlet"/>
    <s v="Area 9: Admiralty Inlet"/>
    <s v="NA"/>
    <x v="2"/>
    <s v="Kitsap"/>
    <s v="10Kitsap"/>
    <s v="South Puget Sound"/>
    <s v="02South Puget Sound"/>
    <n v="487.31718186649698"/>
    <n v="2017.9569795918401"/>
    <n v="487.31718186649698"/>
    <n v="2017.9569795918401"/>
  </r>
  <r>
    <n v="2344"/>
    <x v="6"/>
    <s v="Marine"/>
    <x v="0"/>
    <x v="0"/>
    <n v="9"/>
    <s v="Area 9: Admiralty Inlet"/>
    <s v="Area 9: Admiralty Inlet"/>
    <s v="NA"/>
    <x v="2"/>
    <s v="Mason"/>
    <s v="09Mason"/>
    <s v="South Puget Sound"/>
    <s v="02South Puget Sound"/>
    <n v="5.8712913477891204"/>
    <n v="24.312734693877601"/>
    <n v="5.8712913477891204"/>
    <n v="24.312734693877601"/>
  </r>
  <r>
    <n v="2348"/>
    <x v="6"/>
    <s v="Marine"/>
    <x v="0"/>
    <x v="0"/>
    <n v="9"/>
    <s v="Area 9: Admiralty Inlet"/>
    <s v="Area 9: Admiralty Inlet"/>
    <s v="NA"/>
    <x v="2"/>
    <s v="Other"/>
    <s v="20Other"/>
    <s v="Non Puget Sound"/>
    <s v="07Non Puget Sound"/>
    <n v="446.21814243197298"/>
    <n v="1847.76783673469"/>
    <n v="446.21814243197298"/>
    <n v="1847.76783673469"/>
  </r>
  <r>
    <n v="2342"/>
    <x v="6"/>
    <s v="Marine"/>
    <x v="0"/>
    <x v="0"/>
    <n v="9"/>
    <s v="Area 9: Admiralty Inlet"/>
    <s v="Area 9: Admiralty Inlet"/>
    <s v="NA"/>
    <x v="2"/>
    <s v="Pierce"/>
    <s v="07Pierce"/>
    <s v="South Puget Sound"/>
    <s v="02South Puget Sound"/>
    <n v="334.66360682397999"/>
    <n v="1385.8258775510201"/>
    <n v="334.66360682397999"/>
    <n v="1385.8258775510201"/>
  </r>
  <r>
    <n v="2240"/>
    <x v="6"/>
    <s v="Marine"/>
    <x v="0"/>
    <x v="0"/>
    <n v="9"/>
    <s v="Area 9: Admiralty Inlet"/>
    <s v="Area 9: Admiralty Inlet"/>
    <s v="NA"/>
    <x v="2"/>
    <s v="San Juan"/>
    <s v="05San Juan"/>
    <s v="North Puget Sound"/>
    <s v="01North Puget Sound"/>
    <n v="5.8712913477891204"/>
    <n v="24.312734693877601"/>
    <n v="5.8712913477891204"/>
    <n v="24.312734693877601"/>
  </r>
  <r>
    <n v="2237"/>
    <x v="6"/>
    <s v="Marine"/>
    <x v="0"/>
    <x v="0"/>
    <n v="9"/>
    <s v="Area 9: Admiralty Inlet"/>
    <s v="Area 9: Admiralty Inlet"/>
    <s v="NA"/>
    <x v="2"/>
    <s v="Skagit"/>
    <s v="02Skagit"/>
    <s v="North Puget Sound"/>
    <s v="01North Puget Sound"/>
    <n v="105.68324426020401"/>
    <n v="437.629224489796"/>
    <n v="105.68324426020401"/>
    <n v="437.629224489796"/>
  </r>
  <r>
    <n v="2238"/>
    <x v="6"/>
    <s v="Marine"/>
    <x v="0"/>
    <x v="0"/>
    <n v="9"/>
    <s v="Area 9: Admiralty Inlet"/>
    <s v="Area 9: Admiralty Inlet"/>
    <s v="NA"/>
    <x v="2"/>
    <s v="Snohomish"/>
    <s v="03Snohomish"/>
    <s v="North Puget Sound"/>
    <s v="01North Puget Sound"/>
    <n v="1373.8821753826501"/>
    <n v="5689.1799183673502"/>
    <n v="1373.8821753826501"/>
    <n v="5689.1799183673502"/>
  </r>
  <r>
    <n v="2343"/>
    <x v="6"/>
    <s v="Marine"/>
    <x v="0"/>
    <x v="0"/>
    <n v="9"/>
    <s v="Area 9: Admiralty Inlet"/>
    <s v="Area 9: Admiralty Inlet"/>
    <s v="NA"/>
    <x v="2"/>
    <s v="Thurston"/>
    <s v="08Thurston"/>
    <s v="South Puget Sound"/>
    <s v="02South Puget Sound"/>
    <n v="11.7425826955782"/>
    <n v="48.625469387755103"/>
    <n v="11.7425826955782"/>
    <n v="48.625469387755103"/>
  </r>
  <r>
    <n v="2236"/>
    <x v="6"/>
    <s v="Marine"/>
    <x v="0"/>
    <x v="0"/>
    <n v="9"/>
    <s v="Area 9: Admiralty Inlet"/>
    <s v="Area 9: Admiralty Inlet"/>
    <s v="NA"/>
    <x v="2"/>
    <s v="Whatcom"/>
    <s v="01Whatcom"/>
    <s v="North Puget Sound"/>
    <s v="01North Puget Sound"/>
    <n v="70.455496173469399"/>
    <n v="291.75281632653099"/>
    <n v="70.455496173469399"/>
    <n v="291.75281632653099"/>
  </r>
  <r>
    <n v="3169"/>
    <x v="7"/>
    <s v="Marine"/>
    <x v="0"/>
    <x v="0"/>
    <n v="9"/>
    <s v="Area 9: Admiralty Inlet"/>
    <s v="Area 9: Admiralty Inlet"/>
    <s v="NA"/>
    <x v="2"/>
    <s v="Clallam"/>
    <s v="11Clallam"/>
    <s v="Strait of Juan de Fuca"/>
    <s v="03Strait of Juan de Fuca"/>
    <n v="169.105113636364"/>
    <n v="388.42725354670398"/>
    <n v="169.105113636364"/>
    <n v="388.42725354670398"/>
  </r>
  <r>
    <n v="2701"/>
    <x v="7"/>
    <s v="Marine"/>
    <x v="0"/>
    <x v="0"/>
    <n v="9"/>
    <s v="Area 9: Admiralty Inlet"/>
    <s v="Area 9: Admiralty Inlet"/>
    <s v="NA"/>
    <x v="2"/>
    <s v="Island"/>
    <s v="04Island"/>
    <s v="North Puget Sound"/>
    <s v="01North Puget Sound"/>
    <n v="1663.9943181818201"/>
    <n v="3822.1241748995699"/>
    <n v="1663.9943181818201"/>
    <n v="3822.1241748995699"/>
  </r>
  <r>
    <n v="3170"/>
    <x v="7"/>
    <s v="Marine"/>
    <x v="0"/>
    <x v="0"/>
    <n v="9"/>
    <s v="Area 9: Admiralty Inlet"/>
    <s v="Area 9: Admiralty Inlet"/>
    <s v="NA"/>
    <x v="2"/>
    <s v="Jefferson"/>
    <s v="12Jefferson"/>
    <s v="Strait of Juan de Fuca"/>
    <s v="03Strait of Juan de Fuca"/>
    <n v="1258.14204545455"/>
    <n v="2889.89876638748"/>
    <n v="1258.14204545455"/>
    <n v="2889.89876638748"/>
  </r>
  <r>
    <n v="2702"/>
    <x v="7"/>
    <s v="Marine"/>
    <x v="0"/>
    <x v="0"/>
    <n v="9"/>
    <s v="Area 9: Admiralty Inlet"/>
    <s v="Area 9: Admiralty Inlet"/>
    <s v="NA"/>
    <x v="2"/>
    <s v="King"/>
    <s v="06King"/>
    <s v="South Puget Sound"/>
    <s v="02South Puget Sound"/>
    <n v="2698.9176136363599"/>
    <n v="6199.2989666054"/>
    <n v="2698.9176136363599"/>
    <n v="6199.2989666054"/>
  </r>
  <r>
    <n v="2809"/>
    <x v="7"/>
    <s v="Marine"/>
    <x v="0"/>
    <x v="0"/>
    <n v="9"/>
    <s v="Area 9: Admiralty Inlet"/>
    <s v="Area 9: Admiralty Inlet"/>
    <s v="NA"/>
    <x v="2"/>
    <s v="Kitsap"/>
    <s v="10Kitsap"/>
    <s v="South Puget Sound"/>
    <s v="02South Puget Sound"/>
    <n v="2448.64204545455"/>
    <n v="5624.4266313562803"/>
    <n v="2448.64204545455"/>
    <n v="5624.4266313562803"/>
  </r>
  <r>
    <n v="2808"/>
    <x v="7"/>
    <s v="Marine"/>
    <x v="0"/>
    <x v="0"/>
    <n v="9"/>
    <s v="Area 9: Admiralty Inlet"/>
    <s v="Area 9: Admiralty Inlet"/>
    <s v="NA"/>
    <x v="2"/>
    <s v="Mason"/>
    <s v="09Mason"/>
    <s v="South Puget Sound"/>
    <s v="02South Puget Sound"/>
    <n v="40.585227272727302"/>
    <n v="93.222540851209104"/>
    <n v="40.585227272727302"/>
    <n v="93.222540851209104"/>
  </r>
  <r>
    <n v="1263"/>
    <x v="7"/>
    <s v="Marine"/>
    <x v="0"/>
    <x v="0"/>
    <n v="9"/>
    <s v="Area 9: Admiralty Inlet"/>
    <s v="Area 9: Admiralty Inlet"/>
    <s v="NA"/>
    <x v="2"/>
    <s v="Other"/>
    <s v="20Other"/>
    <s v="Non Puget Sound"/>
    <s v="07Non Puget Sound"/>
    <n v="1237.8494318181799"/>
    <n v="2843.2874959618798"/>
    <n v="1237.8494318181799"/>
    <n v="2843.2874959618798"/>
  </r>
  <r>
    <n v="2806"/>
    <x v="7"/>
    <s v="Marine"/>
    <x v="0"/>
    <x v="0"/>
    <n v="9"/>
    <s v="Area 9: Admiralty Inlet"/>
    <s v="Area 9: Admiralty Inlet"/>
    <s v="NA"/>
    <x v="2"/>
    <s v="Pierce"/>
    <s v="07Pierce"/>
    <s v="South Puget Sound"/>
    <s v="02South Puget Sound"/>
    <n v="412.61647727272702"/>
    <n v="947.76249865395903"/>
    <n v="412.61647727272702"/>
    <n v="947.76249865395903"/>
  </r>
  <r>
    <n v="2699"/>
    <x v="7"/>
    <s v="Marine"/>
    <x v="0"/>
    <x v="0"/>
    <n v="9"/>
    <s v="Area 9: Admiralty Inlet"/>
    <s v="Area 9: Admiralty Inlet"/>
    <s v="NA"/>
    <x v="2"/>
    <s v="Skagit"/>
    <s v="02Skagit"/>
    <s v="North Puget Sound"/>
    <s v="01North Puget Sound"/>
    <n v="365.26704545454601"/>
    <n v="839.00286766088095"/>
    <n v="365.26704545454601"/>
    <n v="839.00286766088095"/>
  </r>
  <r>
    <n v="2700"/>
    <x v="7"/>
    <s v="Marine"/>
    <x v="0"/>
    <x v="0"/>
    <n v="9"/>
    <s v="Area 9: Admiralty Inlet"/>
    <s v="Area 9: Admiralty Inlet"/>
    <s v="NA"/>
    <x v="2"/>
    <s v="Snohomish"/>
    <s v="03Snohomish"/>
    <s v="North Puget Sound"/>
    <s v="01North Puget Sound"/>
    <n v="3821.7755681818198"/>
    <n v="8778.45593015552"/>
    <n v="3821.7755681818198"/>
    <n v="8778.45593015552"/>
  </r>
  <r>
    <n v="2807"/>
    <x v="7"/>
    <s v="Marine"/>
    <x v="0"/>
    <x v="0"/>
    <n v="9"/>
    <s v="Area 9: Admiralty Inlet"/>
    <s v="Area 9: Admiralty Inlet"/>
    <s v="NA"/>
    <x v="2"/>
    <s v="Thurston"/>
    <s v="08Thurston"/>
    <s v="South Puget Sound"/>
    <s v="02South Puget Sound"/>
    <n v="60.877840909090899"/>
    <n v="139.833811276814"/>
    <n v="60.877840909090899"/>
    <n v="139.833811276814"/>
  </r>
  <r>
    <n v="2575"/>
    <x v="7"/>
    <s v="Marine"/>
    <x v="0"/>
    <x v="0"/>
    <n v="9"/>
    <s v="Area 9: Admiralty Inlet"/>
    <s v="Area 9: Admiralty Inlet"/>
    <s v="NA"/>
    <x v="2"/>
    <s v="Whatcom"/>
    <s v="01Whatcom"/>
    <s v="North Puget Sound"/>
    <s v="01North Puget Sound"/>
    <n v="108.227272727273"/>
    <n v="248.593442269891"/>
    <n v="108.227272727273"/>
    <n v="248.593442269891"/>
  </r>
  <r>
    <n v="1645"/>
    <x v="8"/>
    <s v="Marine"/>
    <x v="0"/>
    <x v="0"/>
    <n v="9"/>
    <s v="Area 9: Admiralty Inlet"/>
    <s v="Area 9: Admiralty Inlet"/>
    <s v="NA"/>
    <x v="2"/>
    <s v="Clallam"/>
    <s v="11Clallam"/>
    <s v="Strait of Juan de Fuca"/>
    <s v="03Strait of Juan de Fuca"/>
    <n v="134.11170212766001"/>
    <n v="314.59138513581701"/>
    <n v="134.11170212766001"/>
    <n v="314.59138513581701"/>
  </r>
  <r>
    <n v="1477"/>
    <x v="8"/>
    <s v="Marine"/>
    <x v="0"/>
    <x v="0"/>
    <n v="9"/>
    <s v="Area 9: Admiralty Inlet"/>
    <s v="Area 9: Admiralty Inlet"/>
    <s v="NA"/>
    <x v="2"/>
    <s v="Island"/>
    <s v="04Island"/>
    <s v="North Puget Sound"/>
    <s v="01North Puget Sound"/>
    <n v="1672.8670212766001"/>
    <n v="3924.1135935362399"/>
    <n v="1672.8670212766001"/>
    <n v="3924.1135935362399"/>
  </r>
  <r>
    <n v="1646"/>
    <x v="8"/>
    <s v="Marine"/>
    <x v="0"/>
    <x v="0"/>
    <n v="9"/>
    <s v="Area 9: Admiralty Inlet"/>
    <s v="Area 9: Admiralty Inlet"/>
    <s v="NA"/>
    <x v="2"/>
    <s v="Jefferson"/>
    <s v="12Jefferson"/>
    <s v="Strait of Juan de Fuca"/>
    <s v="03Strait of Juan de Fuca"/>
    <n v="1277.5904255319199"/>
    <n v="2996.89687945173"/>
    <n v="1277.5904255319199"/>
    <n v="2996.89687945173"/>
  </r>
  <r>
    <n v="1640"/>
    <x v="8"/>
    <s v="Marine"/>
    <x v="0"/>
    <x v="0"/>
    <n v="9"/>
    <s v="Area 9: Admiralty Inlet"/>
    <s v="Area 9: Admiralty Inlet"/>
    <s v="NA"/>
    <x v="2"/>
    <s v="King"/>
    <s v="06King"/>
    <s v="South Puget Sound"/>
    <s v="02South Puget Sound"/>
    <n v="3522.19680851064"/>
    <n v="8262.1632201459306"/>
    <n v="3522.19680851064"/>
    <n v="8262.1632201459306"/>
  </r>
  <r>
    <n v="1644"/>
    <x v="8"/>
    <s v="Marine"/>
    <x v="0"/>
    <x v="0"/>
    <n v="9"/>
    <s v="Area 9: Admiralty Inlet"/>
    <s v="Area 9: Admiralty Inlet"/>
    <s v="NA"/>
    <x v="2"/>
    <s v="Kitsap"/>
    <s v="10Kitsap"/>
    <s v="South Puget Sound"/>
    <s v="02South Puget Sound"/>
    <n v="2308.1329787233999"/>
    <n v="5414.2833126006399"/>
    <n v="2308.1329787233999"/>
    <n v="5414.2833126006399"/>
  </r>
  <r>
    <n v="1643"/>
    <x v="8"/>
    <s v="Marine"/>
    <x v="0"/>
    <x v="0"/>
    <n v="9"/>
    <s v="Area 9: Admiralty Inlet"/>
    <s v="Area 9: Admiralty Inlet"/>
    <s v="NA"/>
    <x v="2"/>
    <s v="Mason"/>
    <s v="09Mason"/>
    <s v="South Puget Sound"/>
    <s v="02South Puget Sound"/>
    <n v="77.643617021276597"/>
    <n v="182.13185455231499"/>
    <n v="77.643617021276597"/>
    <n v="182.13185455231499"/>
  </r>
  <r>
    <n v="1647"/>
    <x v="8"/>
    <s v="Marine"/>
    <x v="0"/>
    <x v="0"/>
    <n v="9"/>
    <s v="Area 9: Admiralty Inlet"/>
    <s v="Area 9: Admiralty Inlet"/>
    <s v="NA"/>
    <x v="2"/>
    <s v="Other"/>
    <s v="20Other"/>
    <s v="Non Puget Sound"/>
    <s v="07Non Puget Sound"/>
    <n v="1446.9946808510599"/>
    <n v="3394.2754712022402"/>
    <n v="1446.9946808510599"/>
    <n v="3394.2754712022402"/>
  </r>
  <r>
    <n v="1641"/>
    <x v="8"/>
    <s v="Marine"/>
    <x v="0"/>
    <x v="0"/>
    <n v="9"/>
    <s v="Area 9: Admiralty Inlet"/>
    <s v="Area 9: Admiralty Inlet"/>
    <s v="NA"/>
    <x v="2"/>
    <s v="Pierce"/>
    <s v="07Pierce"/>
    <s v="South Puget Sound"/>
    <s v="02South Puget Sound"/>
    <n v="359.98404255319201"/>
    <n v="844.42950746982501"/>
    <n v="359.98404255319201"/>
    <n v="844.42950746982501"/>
  </r>
  <r>
    <n v="1478"/>
    <x v="8"/>
    <s v="Marine"/>
    <x v="0"/>
    <x v="0"/>
    <n v="9"/>
    <s v="Area 9: Admiralty Inlet"/>
    <s v="Area 9: Admiralty Inlet"/>
    <s v="NA"/>
    <x v="2"/>
    <s v="San Juan"/>
    <s v="05San Juan"/>
    <s v="North Puget Sound"/>
    <s v="01North Puget Sound"/>
    <n v="14.1170212765957"/>
    <n v="33.114882645875497"/>
    <n v="14.1170212765957"/>
    <n v="33.114882645875497"/>
  </r>
  <r>
    <n v="1475"/>
    <x v="8"/>
    <s v="Marine"/>
    <x v="0"/>
    <x v="0"/>
    <n v="9"/>
    <s v="Area 9: Admiralty Inlet"/>
    <s v="Area 9: Admiralty Inlet"/>
    <s v="NA"/>
    <x v="2"/>
    <s v="Skagit"/>
    <s v="02Skagit"/>
    <s v="North Puget Sound"/>
    <s v="01North Puget Sound"/>
    <n v="310.57446808510599"/>
    <n v="728.52741820925996"/>
    <n v="310.57446808510599"/>
    <n v="728.52741820925996"/>
  </r>
  <r>
    <n v="1476"/>
    <x v="8"/>
    <s v="Marine"/>
    <x v="0"/>
    <x v="0"/>
    <n v="9"/>
    <s v="Area 9: Admiralty Inlet"/>
    <s v="Area 9: Admiralty Inlet"/>
    <s v="NA"/>
    <x v="2"/>
    <s v="Snohomish"/>
    <s v="03Snohomish"/>
    <s v="North Puget Sound"/>
    <s v="01North Puget Sound"/>
    <n v="4602.1489361702097"/>
    <n v="10795.4517425554"/>
    <n v="4602.1489361702097"/>
    <n v="10795.4517425554"/>
  </r>
  <r>
    <n v="1642"/>
    <x v="8"/>
    <s v="Marine"/>
    <x v="0"/>
    <x v="0"/>
    <n v="9"/>
    <s v="Area 9: Admiralty Inlet"/>
    <s v="Area 9: Admiralty Inlet"/>
    <s v="NA"/>
    <x v="2"/>
    <s v="Thurston"/>
    <s v="08Thurston"/>
    <s v="South Puget Sound"/>
    <s v="02South Puget Sound"/>
    <n v="56.468085106383"/>
    <n v="132.45953058350199"/>
    <n v="56.468085106383"/>
    <n v="132.45953058350199"/>
  </r>
  <r>
    <n v="1474"/>
    <x v="8"/>
    <s v="Marine"/>
    <x v="0"/>
    <x v="0"/>
    <n v="9"/>
    <s v="Area 9: Admiralty Inlet"/>
    <s v="Area 9: Admiralty Inlet"/>
    <s v="NA"/>
    <x v="2"/>
    <s v="Whatcom"/>
    <s v="01Whatcom"/>
    <s v="North Puget Sound"/>
    <s v="01North Puget Sound"/>
    <n v="141.17021276595699"/>
    <n v="331.14882645875502"/>
    <n v="141.17021276595699"/>
    <n v="331.14882645875502"/>
  </r>
  <r>
    <n v="2119"/>
    <x v="9"/>
    <s v="Marine"/>
    <x v="0"/>
    <x v="0"/>
    <n v="9"/>
    <s v="Area 9: Admiralty Inlet"/>
    <s v="Area 9: Admiralty Inlet"/>
    <s v="NA"/>
    <x v="2"/>
    <s v="Clallam"/>
    <s v="11Clallam"/>
    <s v="Strait of Juan de Fuca"/>
    <s v="03Strait of Juan de Fuca"/>
    <n v="103.544251041922"/>
    <n v="151.095141434076"/>
    <n v="103.544251041922"/>
    <n v="151.095141434076"/>
  </r>
  <r>
    <n v="1984"/>
    <x v="9"/>
    <s v="Marine"/>
    <x v="0"/>
    <x v="0"/>
    <n v="9"/>
    <s v="Area 9: Admiralty Inlet"/>
    <s v="Area 9: Admiralty Inlet"/>
    <s v="NA"/>
    <x v="2"/>
    <s v="Island"/>
    <s v="04Island"/>
    <s v="North Puget Sound"/>
    <s v="01North Puget Sound"/>
    <n v="9812.8090218190791"/>
    <n v="14319.170326675499"/>
    <n v="9812.8090218190791"/>
    <n v="14319.170326675499"/>
  </r>
  <r>
    <n v="2120"/>
    <x v="9"/>
    <s v="Marine"/>
    <x v="0"/>
    <x v="0"/>
    <n v="9"/>
    <s v="Area 9: Admiralty Inlet"/>
    <s v="Area 9: Admiralty Inlet"/>
    <s v="NA"/>
    <x v="2"/>
    <s v="Jefferson"/>
    <s v="12Jefferson"/>
    <s v="Strait of Juan de Fuca"/>
    <s v="03Strait of Juan de Fuca"/>
    <n v="1306.25055160579"/>
    <n v="1906.1233227068101"/>
    <n v="1306.25055160579"/>
    <n v="1906.1233227068101"/>
  </r>
  <r>
    <n v="2061"/>
    <x v="9"/>
    <s v="Marine"/>
    <x v="0"/>
    <x v="0"/>
    <n v="9"/>
    <s v="Area 9: Admiralty Inlet"/>
    <s v="Area 9: Admiralty Inlet"/>
    <s v="NA"/>
    <x v="2"/>
    <s v="King"/>
    <s v="06King"/>
    <s v="South Puget Sound"/>
    <s v="02South Puget Sound"/>
    <n v="5153.3177249325799"/>
    <n v="7519.8889621421004"/>
    <n v="5153.3177249325799"/>
    <n v="7519.8889621421004"/>
  </r>
  <r>
    <n v="2118"/>
    <x v="9"/>
    <s v="Marine"/>
    <x v="0"/>
    <x v="0"/>
    <n v="9"/>
    <s v="Area 9: Admiralty Inlet"/>
    <s v="Area 9: Admiralty Inlet"/>
    <s v="NA"/>
    <x v="2"/>
    <s v="Kitsap"/>
    <s v="10Kitsap"/>
    <s v="South Puget Sound"/>
    <s v="02South Puget Sound"/>
    <n v="2548.78156410885"/>
    <n v="3719.2650199157201"/>
    <n v="2548.78156410885"/>
    <n v="3719.2650199157201"/>
  </r>
  <r>
    <n v="2121"/>
    <x v="9"/>
    <s v="Marine"/>
    <x v="0"/>
    <x v="0"/>
    <n v="9"/>
    <s v="Area 9: Admiralty Inlet"/>
    <s v="Area 9: Admiralty Inlet"/>
    <s v="NA"/>
    <x v="2"/>
    <s v="Other"/>
    <s v="20Other"/>
    <s v="Non Puget Sound"/>
    <s v="07Non Puget Sound"/>
    <n v="3034.6430497670999"/>
    <n v="4428.2499143371597"/>
    <n v="3034.6430497670999"/>
    <n v="4428.2499143371597"/>
  </r>
  <r>
    <n v="2116"/>
    <x v="9"/>
    <s v="Marine"/>
    <x v="0"/>
    <x v="0"/>
    <n v="9"/>
    <s v="Area 9: Admiralty Inlet"/>
    <s v="Area 9: Admiralty Inlet"/>
    <s v="NA"/>
    <x v="2"/>
    <s v="Pierce"/>
    <s v="07Pierce"/>
    <s v="South Puget Sound"/>
    <s v="02South Puget Sound"/>
    <n v="509.75631282177"/>
    <n v="743.85300398314496"/>
    <n v="509.75631282177"/>
    <n v="743.85300398314496"/>
  </r>
  <r>
    <n v="1985"/>
    <x v="9"/>
    <s v="Marine"/>
    <x v="0"/>
    <x v="0"/>
    <n v="9"/>
    <s v="Area 9: Admiralty Inlet"/>
    <s v="Area 9: Admiralty Inlet"/>
    <s v="NA"/>
    <x v="2"/>
    <s v="San Juan"/>
    <s v="05San Juan"/>
    <s v="North Puget Sound"/>
    <s v="01North Puget Sound"/>
    <n v="7.9649423878401597"/>
    <n v="11.622703187236599"/>
    <n v="7.9649423878401597"/>
    <n v="11.622703187236599"/>
  </r>
  <r>
    <n v="1982"/>
    <x v="9"/>
    <s v="Marine"/>
    <x v="0"/>
    <x v="0"/>
    <n v="9"/>
    <s v="Area 9: Admiralty Inlet"/>
    <s v="Area 9: Admiralty Inlet"/>
    <s v="NA"/>
    <x v="2"/>
    <s v="Skagit"/>
    <s v="02Skagit"/>
    <s v="North Puget Sound"/>
    <s v="01North Puget Sound"/>
    <n v="780.56435400833595"/>
    <n v="1139.0249123491899"/>
    <n v="780.56435400833595"/>
    <n v="1139.0249123491899"/>
  </r>
  <r>
    <n v="1983"/>
    <x v="9"/>
    <s v="Marine"/>
    <x v="0"/>
    <x v="0"/>
    <n v="9"/>
    <s v="Area 9: Admiralty Inlet"/>
    <s v="Area 9: Admiralty Inlet"/>
    <s v="NA"/>
    <x v="2"/>
    <s v="Snohomish"/>
    <s v="03Snohomish"/>
    <s v="North Puget Sound"/>
    <s v="01North Puget Sound"/>
    <n v="8960.5601863201791"/>
    <n v="13075.5410856412"/>
    <n v="8960.5601863201791"/>
    <n v="13075.5410856412"/>
  </r>
  <r>
    <n v="2117"/>
    <x v="9"/>
    <s v="Marine"/>
    <x v="0"/>
    <x v="0"/>
    <n v="9"/>
    <s v="Area 9: Admiralty Inlet"/>
    <s v="Area 9: Admiralty Inlet"/>
    <s v="NA"/>
    <x v="2"/>
    <s v="Thurston"/>
    <s v="08Thurston"/>
    <s v="South Puget Sound"/>
    <s v="02South Puget Sound"/>
    <n v="31.8597695513606"/>
    <n v="46.490812748946503"/>
    <n v="31.8597695513606"/>
    <n v="46.490812748946503"/>
  </r>
  <r>
    <n v="1981"/>
    <x v="9"/>
    <s v="Marine"/>
    <x v="0"/>
    <x v="0"/>
    <n v="9"/>
    <s v="Area 9: Admiralty Inlet"/>
    <s v="Area 9: Admiralty Inlet"/>
    <s v="NA"/>
    <x v="2"/>
    <s v="Whatcom"/>
    <s v="01Whatcom"/>
    <s v="North Puget Sound"/>
    <s v="01North Puget Sound"/>
    <n v="238.948271635205"/>
    <n v="348.681095617099"/>
    <n v="238.948271635205"/>
    <n v="348.681095617099"/>
  </r>
  <r>
    <n v="2369"/>
    <x v="10"/>
    <s v="Marine"/>
    <x v="0"/>
    <x v="0"/>
    <n v="9"/>
    <s v="Area 9: Admiralty Inlet"/>
    <s v="Area 9: Admiralty Inlet"/>
    <s v="NA"/>
    <x v="2"/>
    <s v="Clallam"/>
    <s v="11Clallam"/>
    <s v="Strait of Juan de Fuca"/>
    <s v="03Strait of Juan de Fuca"/>
    <n v="27.860869565217399"/>
    <n v="134.644547963371"/>
    <n v="27.860869565217399"/>
    <n v="134.644547963371"/>
  </r>
  <r>
    <n v="2259"/>
    <x v="10"/>
    <s v="Marine"/>
    <x v="0"/>
    <x v="0"/>
    <n v="9"/>
    <s v="Area 9: Admiralty Inlet"/>
    <s v="Area 9: Admiralty Inlet"/>
    <s v="NA"/>
    <x v="2"/>
    <s v="Island"/>
    <s v="04Island"/>
    <s v="North Puget Sound"/>
    <s v="01North Puget Sound"/>
    <n v="1857.3913043478301"/>
    <n v="8976.3031975580907"/>
    <n v="1857.3913043478301"/>
    <n v="8976.3031975580907"/>
  </r>
  <r>
    <n v="2370"/>
    <x v="10"/>
    <s v="Marine"/>
    <x v="0"/>
    <x v="0"/>
    <n v="9"/>
    <s v="Area 9: Admiralty Inlet"/>
    <s v="Area 9: Admiralty Inlet"/>
    <s v="NA"/>
    <x v="2"/>
    <s v="Jefferson"/>
    <s v="12Jefferson"/>
    <s v="Strait of Juan de Fuca"/>
    <s v="03Strait of Juan de Fuca"/>
    <n v="1290.8869565217401"/>
    <n v="6238.5307223028703"/>
    <n v="1290.8869565217401"/>
    <n v="6238.5307223028703"/>
  </r>
  <r>
    <n v="2261"/>
    <x v="10"/>
    <s v="Marine"/>
    <x v="0"/>
    <x v="0"/>
    <n v="9"/>
    <s v="Area 9: Admiralty Inlet"/>
    <s v="Area 9: Admiralty Inlet"/>
    <s v="NA"/>
    <x v="2"/>
    <s v="King"/>
    <s v="06King"/>
    <s v="South Puget Sound"/>
    <s v="02South Puget Sound"/>
    <n v="1671.6521739130401"/>
    <n v="8078.6728778022798"/>
    <n v="1671.6521739130401"/>
    <n v="8078.6728778022798"/>
  </r>
  <r>
    <n v="2368"/>
    <x v="10"/>
    <s v="Marine"/>
    <x v="0"/>
    <x v="0"/>
    <n v="9"/>
    <s v="Area 9: Admiralty Inlet"/>
    <s v="Area 9: Admiralty Inlet"/>
    <s v="NA"/>
    <x v="2"/>
    <s v="Kitsap"/>
    <s v="10Kitsap"/>
    <s v="South Puget Sound"/>
    <s v="02South Puget Sound"/>
    <n v="1309.46086956522"/>
    <n v="6328.2937542784603"/>
    <n v="1309.46086956522"/>
    <n v="6328.2937542784603"/>
  </r>
  <r>
    <n v="2316"/>
    <x v="10"/>
    <s v="Marine"/>
    <x v="0"/>
    <x v="0"/>
    <n v="9"/>
    <s v="Area 9: Admiralty Inlet"/>
    <s v="Area 9: Admiralty Inlet"/>
    <s v="NA"/>
    <x v="2"/>
    <s v="Mason"/>
    <s v="09Mason"/>
    <s v="South Puget Sound"/>
    <s v="02South Puget Sound"/>
    <n v="27.860869565217399"/>
    <n v="134.644547963371"/>
    <n v="27.860869565217399"/>
    <n v="134.644547963371"/>
  </r>
  <r>
    <n v="2371"/>
    <x v="10"/>
    <s v="Marine"/>
    <x v="0"/>
    <x v="0"/>
    <n v="9"/>
    <s v="Area 9: Admiralty Inlet"/>
    <s v="Area 9: Admiralty Inlet"/>
    <s v="NA"/>
    <x v="2"/>
    <s v="Other"/>
    <s v="20Other"/>
    <s v="Non Puget Sound"/>
    <s v="07Non Puget Sound"/>
    <n v="705.80869565217404"/>
    <n v="3410.9952150720701"/>
    <n v="705.80869565217404"/>
    <n v="3410.9952150720701"/>
  </r>
  <r>
    <n v="2262"/>
    <x v="10"/>
    <s v="Marine"/>
    <x v="0"/>
    <x v="0"/>
    <n v="9"/>
    <s v="Area 9: Admiralty Inlet"/>
    <s v="Area 9: Admiralty Inlet"/>
    <s v="NA"/>
    <x v="2"/>
    <s v="Pierce"/>
    <s v="07Pierce"/>
    <s v="South Puget Sound"/>
    <s v="02South Puget Sound"/>
    <n v="167.165217391304"/>
    <n v="807.86728778022803"/>
    <n v="167.165217391304"/>
    <n v="807.86728778022803"/>
  </r>
  <r>
    <n v="2260"/>
    <x v="10"/>
    <s v="Marine"/>
    <x v="0"/>
    <x v="0"/>
    <n v="9"/>
    <s v="Area 9: Admiralty Inlet"/>
    <s v="Area 9: Admiralty Inlet"/>
    <s v="NA"/>
    <x v="2"/>
    <s v="San Juan"/>
    <s v="05San Juan"/>
    <s v="North Puget Sound"/>
    <s v="01North Puget Sound"/>
    <n v="9.2869565217391301"/>
    <n v="44.8815159877905"/>
    <n v="9.2869565217391301"/>
    <n v="44.8815159877905"/>
  </r>
  <r>
    <n v="2257"/>
    <x v="10"/>
    <s v="Marine"/>
    <x v="0"/>
    <x v="0"/>
    <n v="9"/>
    <s v="Area 9: Admiralty Inlet"/>
    <s v="Area 9: Admiralty Inlet"/>
    <s v="NA"/>
    <x v="2"/>
    <s v="Skagit"/>
    <s v="02Skagit"/>
    <s v="North Puget Sound"/>
    <s v="01North Puget Sound"/>
    <n v="139.304347826087"/>
    <n v="673.22273981685703"/>
    <n v="139.304347826087"/>
    <n v="673.22273981685703"/>
  </r>
  <r>
    <n v="2258"/>
    <x v="10"/>
    <s v="Marine"/>
    <x v="0"/>
    <x v="0"/>
    <n v="9"/>
    <s v="Area 9: Admiralty Inlet"/>
    <s v="Area 9: Admiralty Inlet"/>
    <s v="NA"/>
    <x v="2"/>
    <s v="Snohomish"/>
    <s v="03Snohomish"/>
    <s v="North Puget Sound"/>
    <s v="01North Puget Sound"/>
    <n v="3380.45217391304"/>
    <n v="16336.871819555699"/>
    <n v="3380.45217391304"/>
    <n v="16336.871819555699"/>
  </r>
  <r>
    <n v="2256"/>
    <x v="10"/>
    <s v="Marine"/>
    <x v="0"/>
    <x v="0"/>
    <n v="9"/>
    <s v="Area 9: Admiralty Inlet"/>
    <s v="Area 9: Admiralty Inlet"/>
    <s v="NA"/>
    <x v="2"/>
    <s v="Whatcom"/>
    <s v="01Whatcom"/>
    <s v="North Puget Sound"/>
    <s v="01North Puget Sound"/>
    <n v="92.869565217391298"/>
    <n v="448.81515987790499"/>
    <n v="92.869565217391298"/>
    <n v="448.81515987790499"/>
  </r>
  <r>
    <n v="2724"/>
    <x v="11"/>
    <s v="Marine"/>
    <x v="0"/>
    <x v="0"/>
    <n v="9"/>
    <s v="Area 9: Admiralty Inlet"/>
    <s v="Area 9: Admiralty Inlet"/>
    <s v="NA"/>
    <x v="2"/>
    <s v="Clallam"/>
    <s v="11Clallam"/>
    <s v="Strait of Juan de Fuca"/>
    <s v="03Strait of Juan de Fuca"/>
    <n v="311.85448807854101"/>
    <n v="348.96528810945699"/>
    <n v="311.85448807854101"/>
    <n v="348.96528810945699"/>
  </r>
  <r>
    <n v="2606"/>
    <x v="11"/>
    <s v="Marine"/>
    <x v="0"/>
    <x v="0"/>
    <n v="9"/>
    <s v="Area 9: Admiralty Inlet"/>
    <s v="Area 9: Admiralty Inlet"/>
    <s v="NA"/>
    <x v="2"/>
    <s v="Island"/>
    <s v="04Island"/>
    <s v="North Puget Sound"/>
    <s v="01North Puget Sound"/>
    <n v="14731.0212131837"/>
    <n v="16484.0182146441"/>
    <n v="14731.0212131837"/>
    <n v="16484.0182146441"/>
  </r>
  <r>
    <n v="2725"/>
    <x v="11"/>
    <s v="Marine"/>
    <x v="0"/>
    <x v="0"/>
    <n v="9"/>
    <s v="Area 9: Admiralty Inlet"/>
    <s v="Area 9: Admiralty Inlet"/>
    <s v="NA"/>
    <x v="2"/>
    <s v="Jefferson"/>
    <s v="12Jefferson"/>
    <s v="Strait of Juan de Fuca"/>
    <s v="03Strait of Juan de Fuca"/>
    <n v="1518.23895511922"/>
    <n v="1698.9099552697301"/>
    <n v="1518.23895511922"/>
    <n v="1698.9099552697301"/>
  </r>
  <r>
    <n v="2607"/>
    <x v="11"/>
    <s v="Marine"/>
    <x v="0"/>
    <x v="0"/>
    <n v="9"/>
    <s v="Area 9: Admiralty Inlet"/>
    <s v="Area 9: Admiralty Inlet"/>
    <s v="NA"/>
    <x v="2"/>
    <s v="King"/>
    <s v="06King"/>
    <s v="South Puget Sound"/>
    <s v="02South Puget Sound"/>
    <n v="8075.3899018232796"/>
    <n v="9036.3643026238497"/>
    <n v="8075.3899018232796"/>
    <n v="9036.3643026238497"/>
  </r>
  <r>
    <n v="2723"/>
    <x v="11"/>
    <s v="Marine"/>
    <x v="0"/>
    <x v="0"/>
    <n v="9"/>
    <s v="Area 9: Admiralty Inlet"/>
    <s v="Area 9: Admiralty Inlet"/>
    <s v="NA"/>
    <x v="2"/>
    <s v="Kitsap"/>
    <s v="10Kitsap"/>
    <s v="South Puget Sound"/>
    <s v="02South Puget Sound"/>
    <n v="2199.3948106591902"/>
    <n v="2461.12361087723"/>
    <n v="2199.3948106591902"/>
    <n v="2461.12361087723"/>
  </r>
  <r>
    <n v="2669"/>
    <x v="11"/>
    <s v="Marine"/>
    <x v="0"/>
    <x v="0"/>
    <n v="9"/>
    <s v="Area 9: Admiralty Inlet"/>
    <s v="Area 9: Admiralty Inlet"/>
    <s v="NA"/>
    <x v="2"/>
    <s v="Mason"/>
    <s v="09Mason"/>
    <s v="South Puget Sound"/>
    <s v="02South Puget Sound"/>
    <n v="57.4468793828892"/>
    <n v="64.283079388584298"/>
    <n v="57.4468793828892"/>
    <n v="64.283079388584298"/>
  </r>
  <r>
    <n v="2726"/>
    <x v="11"/>
    <s v="Marine"/>
    <x v="0"/>
    <x v="0"/>
    <n v="9"/>
    <s v="Area 9: Admiralty Inlet"/>
    <s v="Area 9: Admiralty Inlet"/>
    <s v="NA"/>
    <x v="2"/>
    <s v="Other"/>
    <s v="20Other"/>
    <s v="Non Puget Sound"/>
    <s v="07Non Puget Sound"/>
    <n v="4390.5829242636801"/>
    <n v="4913.0639246989404"/>
    <n v="4390.5829242636801"/>
    <n v="4913.0639246989404"/>
  </r>
  <r>
    <n v="2608"/>
    <x v="11"/>
    <s v="Marine"/>
    <x v="0"/>
    <x v="0"/>
    <n v="9"/>
    <s v="Area 9: Admiralty Inlet"/>
    <s v="Area 9: Admiralty Inlet"/>
    <s v="NA"/>
    <x v="2"/>
    <s v="Pierce"/>
    <s v="07Pierce"/>
    <s v="South Puget Sound"/>
    <s v="02South Puget Sound"/>
    <n v="672.94915848527398"/>
    <n v="753.03035855198698"/>
    <n v="672.94915848527398"/>
    <n v="753.03035855198698"/>
  </r>
  <r>
    <n v="2604"/>
    <x v="11"/>
    <s v="Marine"/>
    <x v="0"/>
    <x v="0"/>
    <n v="9"/>
    <s v="Area 9: Admiralty Inlet"/>
    <s v="Area 9: Admiralty Inlet"/>
    <s v="NA"/>
    <x v="2"/>
    <s v="Skagit"/>
    <s v="02Skagit"/>
    <s v="North Puget Sound"/>
    <s v="01North Puget Sound"/>
    <n v="919.15007012622698"/>
    <n v="1028.5292702173499"/>
    <n v="919.15007012622698"/>
    <n v="1028.5292702173499"/>
  </r>
  <r>
    <n v="2605"/>
    <x v="11"/>
    <s v="Marine"/>
    <x v="0"/>
    <x v="0"/>
    <n v="9"/>
    <s v="Area 9: Admiralty Inlet"/>
    <s v="Area 9: Admiralty Inlet"/>
    <s v="NA"/>
    <x v="2"/>
    <s v="Snohomish"/>
    <s v="03Snohomish"/>
    <s v="North Puget Sound"/>
    <s v="01North Puget Sound"/>
    <n v="13253.815743338"/>
    <n v="14831.024744651901"/>
    <n v="13253.815743338"/>
    <n v="14831.024744651901"/>
  </r>
  <r>
    <n v="2609"/>
    <x v="11"/>
    <s v="Marine"/>
    <x v="0"/>
    <x v="0"/>
    <n v="9"/>
    <s v="Area 9: Admiralty Inlet"/>
    <s v="Area 9: Admiralty Inlet"/>
    <s v="NA"/>
    <x v="2"/>
    <s v="Thurston"/>
    <s v="08Thurston"/>
    <s v="South Puget Sound"/>
    <s v="02South Puget Sound"/>
    <n v="237.994214586255"/>
    <n v="266.31561460984898"/>
    <n v="237.994214586255"/>
    <n v="266.31561460984898"/>
  </r>
  <r>
    <n v="2603"/>
    <x v="11"/>
    <s v="Marine"/>
    <x v="0"/>
    <x v="0"/>
    <n v="9"/>
    <s v="Area 9: Admiralty Inlet"/>
    <s v="Area 9: Admiralty Inlet"/>
    <s v="NA"/>
    <x v="2"/>
    <s v="Whatcom"/>
    <s v="01Whatcom"/>
    <s v="North Puget Sound"/>
    <s v="01North Puget Sound"/>
    <n v="443.16164095371698"/>
    <n v="495.89804099765001"/>
    <n v="443.16164095371698"/>
    <n v="495.89804099765001"/>
  </r>
  <r>
    <n v="795"/>
    <x v="0"/>
    <s v="Marine"/>
    <x v="0"/>
    <x v="0"/>
    <n v="10"/>
    <s v="Area 10: N Puget Sound"/>
    <s v="Area 10: N Puget Sound"/>
    <s v="NA"/>
    <x v="3"/>
    <s v="Clallam"/>
    <s v="11Clallam"/>
    <s v="Strait of Juan de Fuca"/>
    <s v="03Strait of Juan de Fuca"/>
    <n v="5.4935289042277802"/>
    <n v="34.521863675582402"/>
    <n v="5.4935289042277802"/>
    <n v="34.521863675582402"/>
  </r>
  <r>
    <n v="788"/>
    <x v="0"/>
    <s v="Marine"/>
    <x v="0"/>
    <x v="0"/>
    <n v="10"/>
    <s v="Area 10: N Puget Sound"/>
    <s v="Area 10: N Puget Sound"/>
    <s v="NA"/>
    <x v="3"/>
    <s v="Island"/>
    <s v="04Island"/>
    <s v="North Puget Sound"/>
    <s v="01North Puget Sound"/>
    <n v="5.4935289042277802"/>
    <n v="34.521863675582402"/>
    <n v="5.4935289042277802"/>
    <n v="34.521863675582402"/>
  </r>
  <r>
    <n v="790"/>
    <x v="0"/>
    <s v="Marine"/>
    <x v="0"/>
    <x v="0"/>
    <n v="10"/>
    <s v="Area 10: N Puget Sound"/>
    <s v="Area 10: N Puget Sound"/>
    <s v="NA"/>
    <x v="3"/>
    <s v="King"/>
    <s v="06King"/>
    <s v="South Puget Sound"/>
    <s v="02South Puget Sound"/>
    <n v="3120.32441760138"/>
    <n v="19608.418567730801"/>
    <n v="3120.32441760138"/>
    <n v="19608.418567730801"/>
  </r>
  <r>
    <n v="794"/>
    <x v="0"/>
    <s v="Marine"/>
    <x v="0"/>
    <x v="0"/>
    <n v="10"/>
    <s v="Area 10: N Puget Sound"/>
    <s v="Area 10: N Puget Sound"/>
    <s v="NA"/>
    <x v="3"/>
    <s v="Kitsap"/>
    <s v="10Kitsap"/>
    <s v="South Puget Sound"/>
    <s v="02South Puget Sound"/>
    <n v="1516.21397756687"/>
    <n v="9528.0343744607399"/>
    <n v="1516.21397756687"/>
    <n v="9528.0343744607399"/>
  </r>
  <r>
    <n v="793"/>
    <x v="0"/>
    <s v="Marine"/>
    <x v="0"/>
    <x v="0"/>
    <n v="10"/>
    <s v="Area 10: N Puget Sound"/>
    <s v="Area 10: N Puget Sound"/>
    <s v="NA"/>
    <x v="3"/>
    <s v="Mason"/>
    <s v="09Mason"/>
    <s v="South Puget Sound"/>
    <s v="02South Puget Sound"/>
    <n v="49.4417601380501"/>
    <n v="310.696773080242"/>
    <n v="49.4417601380501"/>
    <n v="310.696773080242"/>
  </r>
  <r>
    <n v="796"/>
    <x v="0"/>
    <s v="Marine"/>
    <x v="0"/>
    <x v="0"/>
    <n v="10"/>
    <s v="Area 10: N Puget Sound"/>
    <s v="Area 10: N Puget Sound"/>
    <s v="NA"/>
    <x v="3"/>
    <s v="Other"/>
    <s v="20Other"/>
    <s v="Non Puget Sound"/>
    <s v="07Non Puget Sound"/>
    <n v="510.89818809318399"/>
    <n v="3210.5333218291598"/>
    <n v="510.89818809318399"/>
    <n v="3210.5333218291598"/>
  </r>
  <r>
    <n v="791"/>
    <x v="0"/>
    <s v="Marine"/>
    <x v="0"/>
    <x v="0"/>
    <n v="10"/>
    <s v="Area 10: N Puget Sound"/>
    <s v="Area 10: N Puget Sound"/>
    <s v="NA"/>
    <x v="3"/>
    <s v="Pierce"/>
    <s v="07Pierce"/>
    <s v="South Puget Sound"/>
    <s v="02South Puget Sound"/>
    <n v="164.80586712683399"/>
    <n v="1035.6559102674701"/>
    <n v="164.80586712683399"/>
    <n v="1035.6559102674701"/>
  </r>
  <r>
    <n v="789"/>
    <x v="0"/>
    <s v="Marine"/>
    <x v="0"/>
    <x v="0"/>
    <n v="10"/>
    <s v="Area 10: N Puget Sound"/>
    <s v="Area 10: N Puget Sound"/>
    <s v="NA"/>
    <x v="3"/>
    <s v="San Juan"/>
    <s v="05San Juan"/>
    <s v="North Puget Sound"/>
    <s v="01North Puget Sound"/>
    <n v="10.987057808455599"/>
    <n v="69.043727351164804"/>
    <n v="10.987057808455599"/>
    <n v="69.043727351164804"/>
  </r>
  <r>
    <n v="787"/>
    <x v="0"/>
    <s v="Marine"/>
    <x v="0"/>
    <x v="0"/>
    <n v="10"/>
    <s v="Area 10: N Puget Sound"/>
    <s v="Area 10: N Puget Sound"/>
    <s v="NA"/>
    <x v="3"/>
    <s v="Snohomish"/>
    <s v="03Snohomish"/>
    <s v="North Puget Sound"/>
    <s v="01North Puget Sound"/>
    <n v="917.41932700604002"/>
    <n v="5765.1512338222601"/>
    <n v="917.41932700604002"/>
    <n v="5765.1512338222601"/>
  </r>
  <r>
    <n v="792"/>
    <x v="0"/>
    <s v="Marine"/>
    <x v="0"/>
    <x v="0"/>
    <n v="10"/>
    <s v="Area 10: N Puget Sound"/>
    <s v="Area 10: N Puget Sound"/>
    <s v="NA"/>
    <x v="3"/>
    <s v="Thurston"/>
    <s v="08Thurston"/>
    <s v="South Puget Sound"/>
    <s v="02South Puget Sound"/>
    <n v="43.948231233822298"/>
    <n v="276.17490940465899"/>
    <n v="43.948231233822298"/>
    <n v="276.17490940465899"/>
  </r>
  <r>
    <n v="712"/>
    <x v="0"/>
    <s v="Marine"/>
    <x v="0"/>
    <x v="0"/>
    <n v="10"/>
    <s v="Area 10: N Puget Sound"/>
    <s v="Area 10: N Puget Sound"/>
    <s v="NA"/>
    <x v="3"/>
    <s v="Whatcom"/>
    <s v="01Whatcom"/>
    <s v="North Puget Sound"/>
    <s v="01North Puget Sound"/>
    <n v="21.974115616911099"/>
    <n v="138.08745470233001"/>
    <n v="21.974115616911099"/>
    <n v="138.08745470233001"/>
  </r>
  <r>
    <n v="900"/>
    <x v="1"/>
    <s v="Marine"/>
    <x v="0"/>
    <x v="0"/>
    <n v="10"/>
    <s v="Area 10: N Puget Sound"/>
    <s v="Area 10: N Puget Sound"/>
    <s v="NA"/>
    <x v="3"/>
    <s v="Clallam"/>
    <s v="11Clallam"/>
    <s v="Strait of Juan de Fuca"/>
    <s v="03Strait of Juan de Fuca"/>
    <n v="16.292665055811199"/>
    <n v="31.975589232989499"/>
    <n v="16.292665055811199"/>
    <n v="31.975589232989499"/>
  </r>
  <r>
    <n v="893"/>
    <x v="1"/>
    <s v="Marine"/>
    <x v="0"/>
    <x v="0"/>
    <n v="10"/>
    <s v="Area 10: N Puget Sound"/>
    <s v="Area 10: N Puget Sound"/>
    <s v="NA"/>
    <x v="3"/>
    <s v="Island"/>
    <s v="04Island"/>
    <s v="North Puget Sound"/>
    <s v="01North Puget Sound"/>
    <n v="12.219498791858401"/>
    <n v="23.981691924742101"/>
    <n v="12.219498791858401"/>
    <n v="23.981691924742101"/>
  </r>
  <r>
    <n v="901"/>
    <x v="1"/>
    <s v="Marine"/>
    <x v="0"/>
    <x v="0"/>
    <n v="10"/>
    <s v="Area 10: N Puget Sound"/>
    <s v="Area 10: N Puget Sound"/>
    <s v="NA"/>
    <x v="3"/>
    <s v="Jefferson"/>
    <s v="12Jefferson"/>
    <s v="Strait of Juan de Fuca"/>
    <s v="03Strait of Juan de Fuca"/>
    <n v="36.658496375575297"/>
    <n v="71.945075774226297"/>
    <n v="36.658496375575297"/>
    <n v="71.945075774226297"/>
  </r>
  <r>
    <n v="895"/>
    <x v="1"/>
    <s v="Marine"/>
    <x v="0"/>
    <x v="0"/>
    <n v="10"/>
    <s v="Area 10: N Puget Sound"/>
    <s v="Area 10: N Puget Sound"/>
    <s v="NA"/>
    <x v="3"/>
    <s v="King"/>
    <s v="06King"/>
    <s v="South Puget Sound"/>
    <s v="02South Puget Sound"/>
    <n v="15327.324651254399"/>
    <n v="30081.0355709348"/>
    <n v="15327.324651254399"/>
    <n v="30081.0355709348"/>
  </r>
  <r>
    <n v="899"/>
    <x v="1"/>
    <s v="Marine"/>
    <x v="0"/>
    <x v="0"/>
    <n v="10"/>
    <s v="Area 10: N Puget Sound"/>
    <s v="Area 10: N Puget Sound"/>
    <s v="NA"/>
    <x v="3"/>
    <s v="Kitsap"/>
    <s v="10Kitsap"/>
    <s v="South Puget Sound"/>
    <s v="02South Puget Sound"/>
    <n v="2370.5827656205302"/>
    <n v="4652.4482333999704"/>
    <n v="2370.5827656205302"/>
    <n v="4652.4482333999704"/>
  </r>
  <r>
    <n v="898"/>
    <x v="1"/>
    <s v="Marine"/>
    <x v="0"/>
    <x v="0"/>
    <n v="10"/>
    <s v="Area 10: N Puget Sound"/>
    <s v="Area 10: N Puget Sound"/>
    <s v="NA"/>
    <x v="3"/>
    <s v="Mason"/>
    <s v="09Mason"/>
    <s v="South Puget Sound"/>
    <s v="02South Puget Sound"/>
    <n v="114.048655390679"/>
    <n v="223.829124630926"/>
    <n v="114.048655390679"/>
    <n v="223.829124630926"/>
  </r>
  <r>
    <n v="902"/>
    <x v="1"/>
    <s v="Marine"/>
    <x v="0"/>
    <x v="0"/>
    <n v="10"/>
    <s v="Area 10: N Puget Sound"/>
    <s v="Area 10: N Puget Sound"/>
    <s v="NA"/>
    <x v="3"/>
    <s v="Other"/>
    <s v="20Other"/>
    <s v="Non Puget Sound"/>
    <s v="07Non Puget Sound"/>
    <n v="2142.48545483918"/>
    <n v="4204.7899841381204"/>
    <n v="2142.48545483918"/>
    <n v="4204.7899841381204"/>
  </r>
  <r>
    <n v="896"/>
    <x v="1"/>
    <s v="Marine"/>
    <x v="0"/>
    <x v="0"/>
    <n v="10"/>
    <s v="Area 10: N Puget Sound"/>
    <s v="Area 10: N Puget Sound"/>
    <s v="NA"/>
    <x v="3"/>
    <s v="Pierce"/>
    <s v="07Pierce"/>
    <s v="South Puget Sound"/>
    <s v="02South Puget Sound"/>
    <n v="513.21894925805395"/>
    <n v="1007.23106083917"/>
    <n v="513.21894925805395"/>
    <n v="1007.23106083917"/>
  </r>
  <r>
    <n v="894"/>
    <x v="1"/>
    <s v="Marine"/>
    <x v="0"/>
    <x v="0"/>
    <n v="10"/>
    <s v="Area 10: N Puget Sound"/>
    <s v="Area 10: N Puget Sound"/>
    <s v="NA"/>
    <x v="3"/>
    <s v="San Juan"/>
    <s v="05San Juan"/>
    <s v="North Puget Sound"/>
    <s v="01North Puget Sound"/>
    <n v="93.682824070914606"/>
    <n v="183.85963808968901"/>
    <n v="93.682824070914606"/>
    <n v="183.85963808968901"/>
  </r>
  <r>
    <n v="891"/>
    <x v="1"/>
    <s v="Marine"/>
    <x v="0"/>
    <x v="0"/>
    <n v="10"/>
    <s v="Area 10: N Puget Sound"/>
    <s v="Area 10: N Puget Sound"/>
    <s v="NA"/>
    <x v="3"/>
    <s v="Skagit"/>
    <s v="02Skagit"/>
    <s v="North Puget Sound"/>
    <s v="01North Puget Sound"/>
    <n v="12.219498791858401"/>
    <n v="23.981691924742101"/>
    <n v="12.219498791858401"/>
    <n v="23.981691924742101"/>
  </r>
  <r>
    <n v="892"/>
    <x v="1"/>
    <s v="Marine"/>
    <x v="0"/>
    <x v="0"/>
    <n v="10"/>
    <s v="Area 10: N Puget Sound"/>
    <s v="Area 10: N Puget Sound"/>
    <s v="NA"/>
    <x v="3"/>
    <s v="Snohomish"/>
    <s v="03Snohomish"/>
    <s v="North Puget Sound"/>
    <s v="01North Puget Sound"/>
    <n v="3115.9721919239"/>
    <n v="6115.3314408092401"/>
    <n v="3115.9721919239"/>
    <n v="6115.3314408092401"/>
  </r>
  <r>
    <n v="897"/>
    <x v="1"/>
    <s v="Marine"/>
    <x v="0"/>
    <x v="0"/>
    <n v="10"/>
    <s v="Area 10: N Puget Sound"/>
    <s v="Area 10: N Puget Sound"/>
    <s v="NA"/>
    <x v="3"/>
    <s v="Thurston"/>
    <s v="08Thurston"/>
    <s v="South Puget Sound"/>
    <s v="02South Puget Sound"/>
    <n v="44.804828903480903"/>
    <n v="87.932870390721106"/>
    <n v="44.804828903480903"/>
    <n v="87.932870390721106"/>
  </r>
  <r>
    <n v="890"/>
    <x v="1"/>
    <s v="Marine"/>
    <x v="0"/>
    <x v="0"/>
    <n v="10"/>
    <s v="Area 10: N Puget Sound"/>
    <s v="Area 10: N Puget Sound"/>
    <s v="NA"/>
    <x v="3"/>
    <s v="Whatcom"/>
    <s v="01Whatcom"/>
    <s v="North Puget Sound"/>
    <s v="01North Puget Sound"/>
    <n v="8.1463325279056207"/>
    <n v="15.9877946164947"/>
    <n v="8.1463325279056207"/>
    <n v="15.9877946164947"/>
  </r>
  <r>
    <n v="1004"/>
    <x v="2"/>
    <s v="Marine"/>
    <x v="0"/>
    <x v="0"/>
    <n v="10"/>
    <s v="Area 10: N Puget Sound"/>
    <s v="Area 10: N Puget Sound"/>
    <s v="NA"/>
    <x v="3"/>
    <s v="Clallam"/>
    <s v="11Clallam"/>
    <s v="Strait of Juan de Fuca"/>
    <s v="03Strait of Juan de Fuca"/>
    <n v="44.225425950196602"/>
    <n v="84.916679772826598"/>
    <n v="44.225425950196602"/>
    <n v="84.916679772826598"/>
  </r>
  <r>
    <n v="997"/>
    <x v="2"/>
    <s v="Marine"/>
    <x v="0"/>
    <x v="0"/>
    <n v="10"/>
    <s v="Area 10: N Puget Sound"/>
    <s v="Area 10: N Puget Sound"/>
    <s v="NA"/>
    <x v="3"/>
    <s v="Island"/>
    <s v="04Island"/>
    <s v="North Puget Sound"/>
    <s v="01North Puget Sound"/>
    <n v="71.866317169069504"/>
    <n v="137.98960463084299"/>
    <n v="71.866317169069504"/>
    <n v="137.98960463084299"/>
  </r>
  <r>
    <n v="1005"/>
    <x v="2"/>
    <s v="Marine"/>
    <x v="0"/>
    <x v="0"/>
    <n v="10"/>
    <s v="Area 10: N Puget Sound"/>
    <s v="Area 10: N Puget Sound"/>
    <s v="NA"/>
    <x v="3"/>
    <s v="Jefferson"/>
    <s v="12Jefferson"/>
    <s v="Strait of Juan de Fuca"/>
    <s v="03Strait of Juan de Fuca"/>
    <n v="93.979030144167794"/>
    <n v="180.44794451725599"/>
    <n v="93.979030144167794"/>
    <n v="180.44794451725599"/>
  </r>
  <r>
    <n v="999"/>
    <x v="2"/>
    <s v="Marine"/>
    <x v="0"/>
    <x v="0"/>
    <n v="10"/>
    <s v="Area 10: N Puget Sound"/>
    <s v="Area 10: N Puget Sound"/>
    <s v="NA"/>
    <x v="3"/>
    <s v="King"/>
    <s v="06King"/>
    <s v="South Puget Sound"/>
    <s v="02South Puget Sound"/>
    <n v="14909.496723460001"/>
    <n v="28627.535668414199"/>
    <n v="14909.496723460001"/>
    <n v="28627.535668414199"/>
  </r>
  <r>
    <n v="1003"/>
    <x v="2"/>
    <s v="Marine"/>
    <x v="0"/>
    <x v="0"/>
    <n v="10"/>
    <s v="Area 10: N Puget Sound"/>
    <s v="Area 10: N Puget Sound"/>
    <s v="NA"/>
    <x v="3"/>
    <s v="Kitsap"/>
    <s v="10Kitsap"/>
    <s v="South Puget Sound"/>
    <s v="02South Puget Sound"/>
    <n v="3709.4076015727401"/>
    <n v="7122.3865159458301"/>
    <n v="3709.4076015727401"/>
    <n v="7122.3865159458301"/>
  </r>
  <r>
    <n v="1002"/>
    <x v="2"/>
    <s v="Marine"/>
    <x v="0"/>
    <x v="0"/>
    <n v="10"/>
    <s v="Area 10: N Puget Sound"/>
    <s v="Area 10: N Puget Sound"/>
    <s v="NA"/>
    <x v="3"/>
    <s v="Mason"/>
    <s v="09Mason"/>
    <s v="South Puget Sound"/>
    <s v="02South Puget Sound"/>
    <n v="38.697247706421997"/>
    <n v="74.302094801223305"/>
    <n v="38.697247706421997"/>
    <n v="74.302094801223305"/>
  </r>
  <r>
    <n v="1006"/>
    <x v="2"/>
    <s v="Marine"/>
    <x v="0"/>
    <x v="0"/>
    <n v="10"/>
    <s v="Area 10: N Puget Sound"/>
    <s v="Area 10: N Puget Sound"/>
    <s v="NA"/>
    <x v="3"/>
    <s v="Other"/>
    <s v="20Other"/>
    <s v="Non Puget Sound"/>
    <s v="07Non Puget Sound"/>
    <n v="1984.6159895150699"/>
    <n v="3810.6360048055899"/>
    <n v="1984.6159895150699"/>
    <n v="3810.6360048055899"/>
  </r>
  <r>
    <n v="1000"/>
    <x v="2"/>
    <s v="Marine"/>
    <x v="0"/>
    <x v="0"/>
    <n v="10"/>
    <s v="Area 10: N Puget Sound"/>
    <s v="Area 10: N Puget Sound"/>
    <s v="NA"/>
    <x v="3"/>
    <s v="Pierce"/>
    <s v="07Pierce"/>
    <s v="South Puget Sound"/>
    <s v="02South Puget Sound"/>
    <n v="657.85321100917395"/>
    <n v="1263.1356116208001"/>
    <n v="657.85321100917395"/>
    <n v="1263.1356116208001"/>
  </r>
  <r>
    <n v="998"/>
    <x v="2"/>
    <s v="Marine"/>
    <x v="0"/>
    <x v="0"/>
    <n v="10"/>
    <s v="Area 10: N Puget Sound"/>
    <s v="Area 10: N Puget Sound"/>
    <s v="NA"/>
    <x v="3"/>
    <s v="San Juan"/>
    <s v="05San Juan"/>
    <s v="North Puget Sound"/>
    <s v="01North Puget Sound"/>
    <n v="116.091743119266"/>
    <n v="222.90628440367001"/>
    <n v="116.091743119266"/>
    <n v="222.90628440367001"/>
  </r>
  <r>
    <n v="995"/>
    <x v="2"/>
    <s v="Marine"/>
    <x v="0"/>
    <x v="0"/>
    <n v="10"/>
    <s v="Area 10: N Puget Sound"/>
    <s v="Area 10: N Puget Sound"/>
    <s v="NA"/>
    <x v="3"/>
    <s v="Skagit"/>
    <s v="02Skagit"/>
    <s v="North Puget Sound"/>
    <s v="01North Puget Sound"/>
    <n v="116.091743119266"/>
    <n v="222.90628440367001"/>
    <n v="116.091743119266"/>
    <n v="222.90628440367001"/>
  </r>
  <r>
    <n v="996"/>
    <x v="2"/>
    <s v="Marine"/>
    <x v="0"/>
    <x v="0"/>
    <n v="10"/>
    <s v="Area 10: N Puget Sound"/>
    <s v="Area 10: N Puget Sound"/>
    <s v="NA"/>
    <x v="3"/>
    <s v="Snohomish"/>
    <s v="03Snohomish"/>
    <s v="North Puget Sound"/>
    <s v="01North Puget Sound"/>
    <n v="3372.1887287024902"/>
    <n v="6474.8968326780296"/>
    <n v="3372.1887287024902"/>
    <n v="6474.8968326780296"/>
  </r>
  <r>
    <n v="1001"/>
    <x v="2"/>
    <s v="Marine"/>
    <x v="0"/>
    <x v="0"/>
    <n v="10"/>
    <s v="Area 10: N Puget Sound"/>
    <s v="Area 10: N Puget Sound"/>
    <s v="NA"/>
    <x v="3"/>
    <s v="Thurston"/>
    <s v="08Thurston"/>
    <s v="South Puget Sound"/>
    <s v="02South Puget Sound"/>
    <n v="71.866317169069504"/>
    <n v="137.98960463084299"/>
    <n v="71.866317169069504"/>
    <n v="137.98960463084299"/>
  </r>
  <r>
    <n v="994"/>
    <x v="2"/>
    <s v="Marine"/>
    <x v="0"/>
    <x v="0"/>
    <n v="10"/>
    <s v="Area 10: N Puget Sound"/>
    <s v="Area 10: N Puget Sound"/>
    <s v="NA"/>
    <x v="3"/>
    <s v="Whatcom"/>
    <s v="01Whatcom"/>
    <s v="North Puget Sound"/>
    <s v="01North Puget Sound"/>
    <n v="121.619921363041"/>
    <n v="233.52086937527301"/>
    <n v="121.619921363041"/>
    <n v="233.52086937527301"/>
  </r>
  <r>
    <n v="1108"/>
    <x v="3"/>
    <s v="Marine"/>
    <x v="0"/>
    <x v="0"/>
    <n v="10"/>
    <s v="Area 10: N Puget Sound"/>
    <s v="Area 10: N Puget Sound"/>
    <s v="NA"/>
    <x v="3"/>
    <s v="Clallam"/>
    <s v="11Clallam"/>
    <s v="Strait of Juan de Fuca"/>
    <s v="03Strait of Juan de Fuca"/>
    <n v="59.340866290018802"/>
    <n v="111.369774011299"/>
    <n v="59.340866290018802"/>
    <n v="111.369774011299"/>
  </r>
  <r>
    <n v="1101"/>
    <x v="3"/>
    <s v="Marine"/>
    <x v="0"/>
    <x v="0"/>
    <n v="10"/>
    <s v="Area 10: N Puget Sound"/>
    <s v="Area 10: N Puget Sound"/>
    <s v="NA"/>
    <x v="3"/>
    <s v="Island"/>
    <s v="04Island"/>
    <s v="North Puget Sound"/>
    <s v="01North Puget Sound"/>
    <n v="108.791588198368"/>
    <n v="204.17791902071599"/>
    <n v="108.791588198368"/>
    <n v="204.17791902071599"/>
  </r>
  <r>
    <n v="1109"/>
    <x v="3"/>
    <s v="Marine"/>
    <x v="0"/>
    <x v="0"/>
    <n v="10"/>
    <s v="Area 10: N Puget Sound"/>
    <s v="Area 10: N Puget Sound"/>
    <s v="NA"/>
    <x v="3"/>
    <s v="Jefferson"/>
    <s v="12Jefferson"/>
    <s v="Strait of Juan de Fuca"/>
    <s v="03Strait of Juan de Fuca"/>
    <n v="44.505649717514103"/>
    <n v="83.527330508474606"/>
    <n v="44.505649717514103"/>
    <n v="83.527330508474606"/>
  </r>
  <r>
    <n v="1103"/>
    <x v="3"/>
    <s v="Marine"/>
    <x v="0"/>
    <x v="0"/>
    <n v="10"/>
    <s v="Area 10: N Puget Sound"/>
    <s v="Area 10: N Puget Sound"/>
    <s v="NA"/>
    <x v="3"/>
    <s v="King"/>
    <s v="06King"/>
    <s v="South Puget Sound"/>
    <s v="02South Puget Sound"/>
    <n v="18435.2291274325"/>
    <n v="34598.8764595104"/>
    <n v="18435.2291274325"/>
    <n v="34598.8764595104"/>
  </r>
  <r>
    <n v="1107"/>
    <x v="3"/>
    <s v="Marine"/>
    <x v="0"/>
    <x v="0"/>
    <n v="10"/>
    <s v="Area 10: N Puget Sound"/>
    <s v="Area 10: N Puget Sound"/>
    <s v="NA"/>
    <x v="3"/>
    <s v="Kitsap"/>
    <s v="10Kitsap"/>
    <s v="South Puget Sound"/>
    <s v="02South Puget Sound"/>
    <n v="5034.0834902699298"/>
    <n v="9447.8691619585697"/>
    <n v="5034.0834902699298"/>
    <n v="9447.8691619585697"/>
  </r>
  <r>
    <n v="1106"/>
    <x v="3"/>
    <s v="Marine"/>
    <x v="0"/>
    <x v="0"/>
    <n v="10"/>
    <s v="Area 10: N Puget Sound"/>
    <s v="Area 10: N Puget Sound"/>
    <s v="NA"/>
    <x v="3"/>
    <s v="Mason"/>
    <s v="09Mason"/>
    <s v="South Puget Sound"/>
    <s v="02South Puget Sound"/>
    <n v="108.791588198368"/>
    <n v="204.17791902071599"/>
    <n v="108.791588198368"/>
    <n v="204.17791902071599"/>
  </r>
  <r>
    <n v="1110"/>
    <x v="3"/>
    <s v="Marine"/>
    <x v="0"/>
    <x v="0"/>
    <n v="10"/>
    <s v="Area 10: N Puget Sound"/>
    <s v="Area 10: N Puget Sound"/>
    <s v="NA"/>
    <x v="3"/>
    <s v="Other"/>
    <s v="20Other"/>
    <s v="Non Puget Sound"/>
    <s v="07Non Puget Sound"/>
    <n v="3253.85750156937"/>
    <n v="6106.7759416195904"/>
    <n v="3253.85750156937"/>
    <n v="6106.7759416195904"/>
  </r>
  <r>
    <n v="1104"/>
    <x v="3"/>
    <s v="Marine"/>
    <x v="0"/>
    <x v="0"/>
    <n v="10"/>
    <s v="Area 10: N Puget Sound"/>
    <s v="Area 10: N Puget Sound"/>
    <s v="NA"/>
    <x v="3"/>
    <s v="Pierce"/>
    <s v="07Pierce"/>
    <s v="South Puget Sound"/>
    <s v="02South Puget Sound"/>
    <n v="771.43126177024499"/>
    <n v="1447.8070621468901"/>
    <n v="771.43126177024499"/>
    <n v="1447.8070621468901"/>
  </r>
  <r>
    <n v="1102"/>
    <x v="3"/>
    <s v="Marine"/>
    <x v="0"/>
    <x v="0"/>
    <n v="10"/>
    <s v="Area 10: N Puget Sound"/>
    <s v="Area 10: N Puget Sound"/>
    <s v="NA"/>
    <x v="3"/>
    <s v="San Juan"/>
    <s v="05San Juan"/>
    <s v="North Puget Sound"/>
    <s v="01North Puget Sound"/>
    <n v="19.780288763339598"/>
    <n v="37.123258003766502"/>
    <n v="19.780288763339598"/>
    <n v="37.123258003766502"/>
  </r>
  <r>
    <n v="1025"/>
    <x v="3"/>
    <s v="Marine"/>
    <x v="0"/>
    <x v="0"/>
    <n v="10"/>
    <s v="Area 10: N Puget Sound"/>
    <s v="Area 10: N Puget Sound"/>
    <s v="NA"/>
    <x v="3"/>
    <s v="Skagit"/>
    <s v="02Skagit"/>
    <s v="North Puget Sound"/>
    <s v="01North Puget Sound"/>
    <n v="24.725360954174501"/>
    <n v="46.404072504708097"/>
    <n v="24.725360954174501"/>
    <n v="46.404072504708097"/>
  </r>
  <r>
    <n v="1100"/>
    <x v="3"/>
    <s v="Marine"/>
    <x v="0"/>
    <x v="0"/>
    <n v="10"/>
    <s v="Area 10: N Puget Sound"/>
    <s v="Area 10: N Puget Sound"/>
    <s v="NA"/>
    <x v="3"/>
    <s v="Snohomish"/>
    <s v="03Snohomish"/>
    <s v="North Puget Sound"/>
    <s v="01North Puget Sound"/>
    <n v="3580.2322661644698"/>
    <n v="6719.30969868174"/>
    <n v="3580.2322661644698"/>
    <n v="6719.30969868174"/>
  </r>
  <r>
    <n v="1105"/>
    <x v="3"/>
    <s v="Marine"/>
    <x v="0"/>
    <x v="0"/>
    <n v="10"/>
    <s v="Area 10: N Puget Sound"/>
    <s v="Area 10: N Puget Sound"/>
    <s v="NA"/>
    <x v="3"/>
    <s v="Thurston"/>
    <s v="08Thurston"/>
    <s v="South Puget Sound"/>
    <s v="02South Puget Sound"/>
    <n v="44.505649717514103"/>
    <n v="83.527330508474606"/>
    <n v="44.505649717514103"/>
    <n v="83.527330508474606"/>
  </r>
  <r>
    <n v="1024"/>
    <x v="3"/>
    <s v="Marine"/>
    <x v="0"/>
    <x v="0"/>
    <n v="10"/>
    <s v="Area 10: N Puget Sound"/>
    <s v="Area 10: N Puget Sound"/>
    <s v="NA"/>
    <x v="3"/>
    <s v="Whatcom"/>
    <s v="01Whatcom"/>
    <s v="North Puget Sound"/>
    <s v="01North Puget Sound"/>
    <n v="24.725360954174501"/>
    <n v="46.404072504708097"/>
    <n v="24.725360954174501"/>
    <n v="46.404072504708097"/>
  </r>
  <r>
    <n v="1208"/>
    <x v="4"/>
    <s v="Marine"/>
    <x v="0"/>
    <x v="0"/>
    <n v="10"/>
    <s v="Area 10: N Puget Sound"/>
    <s v="Area 10: N Puget Sound"/>
    <s v="NA"/>
    <x v="3"/>
    <s v="Clallam"/>
    <s v="11Clallam"/>
    <s v="Strait of Juan de Fuca"/>
    <s v="03Strait of Juan de Fuca"/>
    <n v="6.8149587178241902"/>
    <n v="23.973428848955798"/>
    <n v="6.8149587178241902"/>
    <n v="23.973428848955798"/>
  </r>
  <r>
    <n v="1202"/>
    <x v="4"/>
    <s v="Marine"/>
    <x v="0"/>
    <x v="0"/>
    <n v="10"/>
    <s v="Area 10: N Puget Sound"/>
    <s v="Area 10: N Puget Sound"/>
    <s v="NA"/>
    <x v="3"/>
    <s v="Island"/>
    <s v="04Island"/>
    <s v="North Puget Sound"/>
    <s v="01North Puget Sound"/>
    <n v="6.8149587178241902"/>
    <n v="23.973428848955798"/>
    <n v="6.8149587178241902"/>
    <n v="23.973428848955798"/>
  </r>
  <r>
    <n v="1209"/>
    <x v="4"/>
    <s v="Marine"/>
    <x v="0"/>
    <x v="0"/>
    <n v="10"/>
    <s v="Area 10: N Puget Sound"/>
    <s v="Area 10: N Puget Sound"/>
    <s v="NA"/>
    <x v="3"/>
    <s v="Jefferson"/>
    <s v="12Jefferson"/>
    <s v="Strait of Juan de Fuca"/>
    <s v="03Strait of Juan de Fuca"/>
    <n v="54.5196697425935"/>
    <n v="191.78743079164599"/>
    <n v="54.5196697425935"/>
    <n v="191.78743079164599"/>
  </r>
  <r>
    <n v="1203"/>
    <x v="4"/>
    <s v="Marine"/>
    <x v="0"/>
    <x v="0"/>
    <n v="10"/>
    <s v="Area 10: N Puget Sound"/>
    <s v="Area 10: N Puget Sound"/>
    <s v="NA"/>
    <x v="3"/>
    <s v="King"/>
    <s v="06King"/>
    <s v="South Puget Sound"/>
    <s v="02South Puget Sound"/>
    <n v="7441.9349198640102"/>
    <n v="26178.9843030597"/>
    <n v="7441.9349198640102"/>
    <n v="26178.9843030597"/>
  </r>
  <r>
    <n v="1207"/>
    <x v="4"/>
    <s v="Marine"/>
    <x v="0"/>
    <x v="0"/>
    <n v="10"/>
    <s v="Area 10: N Puget Sound"/>
    <s v="Area 10: N Puget Sound"/>
    <s v="NA"/>
    <x v="3"/>
    <s v="Kitsap"/>
    <s v="10Kitsap"/>
    <s v="South Puget Sound"/>
    <s v="02South Puget Sound"/>
    <n v="2562.42447790189"/>
    <n v="9014.0092472073902"/>
    <n v="2562.42447790189"/>
    <n v="9014.0092472073902"/>
  </r>
  <r>
    <n v="1206"/>
    <x v="4"/>
    <s v="Marine"/>
    <x v="0"/>
    <x v="0"/>
    <n v="10"/>
    <s v="Area 10: N Puget Sound"/>
    <s v="Area 10: N Puget Sound"/>
    <s v="NA"/>
    <x v="3"/>
    <s v="Mason"/>
    <s v="09Mason"/>
    <s v="South Puget Sound"/>
    <s v="02South Puget Sound"/>
    <n v="88.594463331714394"/>
    <n v="311.65457503642602"/>
    <n v="88.594463331714394"/>
    <n v="311.65457503642602"/>
  </r>
  <r>
    <n v="1210"/>
    <x v="4"/>
    <s v="Marine"/>
    <x v="0"/>
    <x v="0"/>
    <n v="10"/>
    <s v="Area 10: N Puget Sound"/>
    <s v="Area 10: N Puget Sound"/>
    <s v="NA"/>
    <x v="3"/>
    <s v="Other"/>
    <s v="20Other"/>
    <s v="Non Puget Sound"/>
    <s v="07Non Puget Sound"/>
    <n v="1499.29091792132"/>
    <n v="5274.1543467702804"/>
    <n v="1499.29091792132"/>
    <n v="5274.1543467702804"/>
  </r>
  <r>
    <n v="1204"/>
    <x v="4"/>
    <s v="Marine"/>
    <x v="0"/>
    <x v="0"/>
    <n v="10"/>
    <s v="Area 10: N Puget Sound"/>
    <s v="Area 10: N Puget Sound"/>
    <s v="NA"/>
    <x v="3"/>
    <s v="Pierce"/>
    <s v="07Pierce"/>
    <s v="South Puget Sound"/>
    <s v="02South Puget Sound"/>
    <n v="531.56677999028705"/>
    <n v="1869.9274502185499"/>
    <n v="531.56677999028705"/>
    <n v="1869.9274502185499"/>
  </r>
  <r>
    <n v="1200"/>
    <x v="4"/>
    <s v="Marine"/>
    <x v="0"/>
    <x v="0"/>
    <n v="10"/>
    <s v="Area 10: N Puget Sound"/>
    <s v="Area 10: N Puget Sound"/>
    <s v="NA"/>
    <x v="3"/>
    <s v="Skagit"/>
    <s v="02Skagit"/>
    <s v="North Puget Sound"/>
    <s v="01North Puget Sound"/>
    <n v="13.6299174356484"/>
    <n v="47.946857697911597"/>
    <n v="13.6299174356484"/>
    <n v="47.946857697911597"/>
  </r>
  <r>
    <n v="1201"/>
    <x v="4"/>
    <s v="Marine"/>
    <x v="0"/>
    <x v="0"/>
    <n v="10"/>
    <s v="Area 10: N Puget Sound"/>
    <s v="Area 10: N Puget Sound"/>
    <s v="NA"/>
    <x v="3"/>
    <s v="Snohomish"/>
    <s v="03Snohomish"/>
    <s v="North Puget Sound"/>
    <s v="01North Puget Sound"/>
    <n v="1778.7042253521099"/>
    <n v="6257.0649295774701"/>
    <n v="1778.7042253521099"/>
    <n v="6257.0649295774701"/>
  </r>
  <r>
    <n v="1205"/>
    <x v="4"/>
    <s v="Marine"/>
    <x v="0"/>
    <x v="0"/>
    <n v="10"/>
    <s v="Area 10: N Puget Sound"/>
    <s v="Area 10: N Puget Sound"/>
    <s v="NA"/>
    <x v="3"/>
    <s v="Thurston"/>
    <s v="08Thurston"/>
    <s v="South Puget Sound"/>
    <s v="02South Puget Sound"/>
    <n v="47.704711024769303"/>
    <n v="167.81400194269099"/>
    <n v="47.704711024769303"/>
    <n v="167.81400194269099"/>
  </r>
  <r>
    <n v="3260"/>
    <x v="5"/>
    <s v="Marine"/>
    <x v="0"/>
    <x v="0"/>
    <n v="10"/>
    <s v="Area 10: N Puget Sound"/>
    <s v="Area 10: N Puget Sound"/>
    <s v="NA"/>
    <x v="3"/>
    <s v="Clallam"/>
    <s v="11Clallam"/>
    <s v="Strait of Juan de Fuca"/>
    <s v="03Strait of Juan de Fuca"/>
    <n v="36.135215794306703"/>
    <n v="44.5324839302112"/>
    <n v="36.135215794306703"/>
    <n v="44.5324839302112"/>
  </r>
  <r>
    <n v="3179"/>
    <x v="5"/>
    <s v="Marine"/>
    <x v="0"/>
    <x v="0"/>
    <n v="10"/>
    <s v="Area 10: N Puget Sound"/>
    <s v="Area 10: N Puget Sound"/>
    <s v="NA"/>
    <x v="3"/>
    <s v="Island"/>
    <s v="04Island"/>
    <s v="North Puget Sound"/>
    <s v="01North Puget Sound"/>
    <n v="65.043388429752099"/>
    <n v="80.158471074380202"/>
    <n v="65.043388429752099"/>
    <n v="80.158471074380202"/>
  </r>
  <r>
    <n v="3287"/>
    <x v="5"/>
    <s v="Marine"/>
    <x v="0"/>
    <x v="0"/>
    <n v="10"/>
    <s v="Area 10: N Puget Sound"/>
    <s v="Area 10: N Puget Sound"/>
    <s v="NA"/>
    <x v="3"/>
    <s v="Jefferson"/>
    <s v="12Jefferson"/>
    <s v="Strait of Juan de Fuca"/>
    <s v="03Strait of Juan de Fuca"/>
    <n v="57.8163452708907"/>
    <n v="71.251974288337905"/>
    <n v="57.8163452708907"/>
    <n v="71.251974288337905"/>
  </r>
  <r>
    <n v="3255"/>
    <x v="5"/>
    <s v="Marine"/>
    <x v="0"/>
    <x v="0"/>
    <n v="10"/>
    <s v="Area 10: N Puget Sound"/>
    <s v="Area 10: N Puget Sound"/>
    <s v="NA"/>
    <x v="3"/>
    <s v="King"/>
    <s v="06King"/>
    <s v="South Puget Sound"/>
    <s v="02South Puget Sound"/>
    <n v="19484.108356290199"/>
    <n v="24011.915335169899"/>
    <n v="19484.108356290199"/>
    <n v="24011.915335169899"/>
  </r>
  <r>
    <n v="3259"/>
    <x v="5"/>
    <s v="Marine"/>
    <x v="0"/>
    <x v="0"/>
    <n v="10"/>
    <s v="Area 10: N Puget Sound"/>
    <s v="Area 10: N Puget Sound"/>
    <s v="NA"/>
    <x v="3"/>
    <s v="Kitsap"/>
    <s v="10Kitsap"/>
    <s v="South Puget Sound"/>
    <s v="02South Puget Sound"/>
    <n v="2558.3732782369202"/>
    <n v="3152.8998622589502"/>
    <n v="2558.3732782369202"/>
    <n v="3152.8998622589502"/>
  </r>
  <r>
    <n v="3258"/>
    <x v="5"/>
    <s v="Marine"/>
    <x v="0"/>
    <x v="0"/>
    <n v="10"/>
    <s v="Area 10: N Puget Sound"/>
    <s v="Area 10: N Puget Sound"/>
    <s v="NA"/>
    <x v="3"/>
    <s v="Mason"/>
    <s v="09Mason"/>
    <s v="South Puget Sound"/>
    <s v="02South Puget Sound"/>
    <n v="108.40564738291999"/>
    <n v="133.59745179063401"/>
    <n v="108.40564738291999"/>
    <n v="133.59745179063401"/>
  </r>
  <r>
    <n v="3347"/>
    <x v="5"/>
    <s v="Marine"/>
    <x v="0"/>
    <x v="0"/>
    <n v="10"/>
    <s v="Area 10: N Puget Sound"/>
    <s v="Area 10: N Puget Sound"/>
    <s v="NA"/>
    <x v="3"/>
    <s v="Other"/>
    <s v="20Other"/>
    <s v="Non Puget Sound"/>
    <s v="07Non Puget Sound"/>
    <n v="5304.6496786042198"/>
    <n v="6537.3686409550101"/>
    <n v="5304.6496786042198"/>
    <n v="6537.3686409550101"/>
  </r>
  <r>
    <n v="3256"/>
    <x v="5"/>
    <s v="Marine"/>
    <x v="0"/>
    <x v="0"/>
    <n v="10"/>
    <s v="Area 10: N Puget Sound"/>
    <s v="Area 10: N Puget Sound"/>
    <s v="NA"/>
    <x v="3"/>
    <s v="Pierce"/>
    <s v="07Pierce"/>
    <s v="South Puget Sound"/>
    <s v="02South Puget Sound"/>
    <n v="860.01813590450001"/>
    <n v="1059.8731175390301"/>
    <n v="860.01813590450001"/>
    <n v="1059.8731175390301"/>
  </r>
  <r>
    <n v="3174"/>
    <x v="5"/>
    <s v="Marine"/>
    <x v="0"/>
    <x v="0"/>
    <n v="10"/>
    <s v="Area 10: N Puget Sound"/>
    <s v="Area 10: N Puget Sound"/>
    <s v="NA"/>
    <x v="3"/>
    <s v="Skagit"/>
    <s v="02Skagit"/>
    <s v="North Puget Sound"/>
    <s v="01North Puget Sound"/>
    <n v="28.9081726354454"/>
    <n v="35.625987144169002"/>
    <n v="28.9081726354454"/>
    <n v="35.625987144169002"/>
  </r>
  <r>
    <n v="3175"/>
    <x v="5"/>
    <s v="Marine"/>
    <x v="0"/>
    <x v="0"/>
    <n v="10"/>
    <s v="Area 10: N Puget Sound"/>
    <s v="Area 10: N Puget Sound"/>
    <s v="NA"/>
    <x v="3"/>
    <s v="Snohomish"/>
    <s v="03Snohomish"/>
    <s v="North Puget Sound"/>
    <s v="01North Puget Sound"/>
    <n v="2847.4550045913702"/>
    <n v="3509.1597337006401"/>
    <n v="2847.4550045913702"/>
    <n v="3509.1597337006401"/>
  </r>
  <r>
    <n v="3257"/>
    <x v="5"/>
    <s v="Marine"/>
    <x v="0"/>
    <x v="0"/>
    <n v="10"/>
    <s v="Area 10: N Puget Sound"/>
    <s v="Area 10: N Puget Sound"/>
    <s v="NA"/>
    <x v="3"/>
    <s v="Thurston"/>
    <s v="08Thurston"/>
    <s v="South Puget Sound"/>
    <s v="02South Puget Sound"/>
    <n v="115.632690541781"/>
    <n v="142.50394857667601"/>
    <n v="115.632690541781"/>
    <n v="142.50394857667601"/>
  </r>
  <r>
    <n v="3147"/>
    <x v="5"/>
    <s v="Marine"/>
    <x v="0"/>
    <x v="0"/>
    <n v="10"/>
    <s v="Area 10: N Puget Sound"/>
    <s v="Area 10: N Puget Sound"/>
    <s v="NA"/>
    <x v="3"/>
    <s v="Whatcom"/>
    <s v="01Whatcom"/>
    <s v="North Puget Sound"/>
    <s v="01North Puget Sound"/>
    <n v="14.4540863177227"/>
    <n v="17.812993572084501"/>
    <n v="14.4540863177227"/>
    <n v="17.812993572084501"/>
  </r>
  <r>
    <n v="3594"/>
    <x v="6"/>
    <s v="Marine"/>
    <x v="0"/>
    <x v="0"/>
    <n v="10"/>
    <s v="Area 10: N Puget Sound"/>
    <s v="Area 10: N Puget Sound"/>
    <s v="NA"/>
    <x v="3"/>
    <s v="Island"/>
    <s v="04Island"/>
    <s v="North Puget Sound"/>
    <s v="01North Puget Sound"/>
    <n v="8.5406001303117502"/>
    <n v="73.007206266318605"/>
    <n v="8.5406001303117502"/>
    <n v="73.007206266318605"/>
  </r>
  <r>
    <n v="3698"/>
    <x v="6"/>
    <s v="Marine"/>
    <x v="0"/>
    <x v="0"/>
    <n v="10"/>
    <s v="Area 10: N Puget Sound"/>
    <s v="Area 10: N Puget Sound"/>
    <s v="NA"/>
    <x v="3"/>
    <s v="Jefferson"/>
    <s v="12Jefferson"/>
    <s v="Strait of Juan de Fuca"/>
    <s v="03Strait of Juan de Fuca"/>
    <n v="4.2703000651558698"/>
    <n v="36.503603133159302"/>
    <n v="4.2703000651558698"/>
    <n v="36.503603133159302"/>
  </r>
  <r>
    <n v="3595"/>
    <x v="6"/>
    <s v="Marine"/>
    <x v="0"/>
    <x v="0"/>
    <n v="10"/>
    <s v="Area 10: N Puget Sound"/>
    <s v="Area 10: N Puget Sound"/>
    <s v="NA"/>
    <x v="3"/>
    <s v="King"/>
    <s v="06King"/>
    <s v="South Puget Sound"/>
    <s v="02South Puget Sound"/>
    <n v="751.57281146743298"/>
    <n v="6424.6341514360302"/>
    <n v="751.57281146743298"/>
    <n v="6424.6341514360302"/>
  </r>
  <r>
    <n v="3670"/>
    <x v="6"/>
    <s v="Marine"/>
    <x v="0"/>
    <x v="0"/>
    <n v="10"/>
    <s v="Area 10: N Puget Sound"/>
    <s v="Area 10: N Puget Sound"/>
    <s v="NA"/>
    <x v="3"/>
    <s v="Kitsap"/>
    <s v="10Kitsap"/>
    <s v="South Puget Sound"/>
    <s v="02South Puget Sound"/>
    <n v="277.569504235132"/>
    <n v="2372.73420365535"/>
    <n v="277.569504235132"/>
    <n v="2372.73420365535"/>
  </r>
  <r>
    <n v="3669"/>
    <x v="6"/>
    <s v="Marine"/>
    <x v="0"/>
    <x v="0"/>
    <n v="10"/>
    <s v="Area 10: N Puget Sound"/>
    <s v="Area 10: N Puget Sound"/>
    <s v="NA"/>
    <x v="3"/>
    <s v="Mason"/>
    <s v="09Mason"/>
    <s v="South Puget Sound"/>
    <s v="02South Puget Sound"/>
    <n v="4.2703000651558698"/>
    <n v="36.503603133159302"/>
    <n v="4.2703000651558698"/>
    <n v="36.503603133159302"/>
  </r>
  <r>
    <n v="3723"/>
    <x v="6"/>
    <s v="Marine"/>
    <x v="0"/>
    <x v="0"/>
    <n v="10"/>
    <s v="Area 10: N Puget Sound"/>
    <s v="Area 10: N Puget Sound"/>
    <s v="NA"/>
    <x v="3"/>
    <s v="Other"/>
    <s v="20Other"/>
    <s v="Non Puget Sound"/>
    <s v="07Non Puget Sound"/>
    <n v="204.97440312748199"/>
    <n v="1752.1729503916499"/>
    <n v="204.97440312748199"/>
    <n v="1752.1729503916499"/>
  </r>
  <r>
    <n v="3639"/>
    <x v="6"/>
    <s v="Marine"/>
    <x v="0"/>
    <x v="0"/>
    <n v="10"/>
    <s v="Area 10: N Puget Sound"/>
    <s v="Area 10: N Puget Sound"/>
    <s v="NA"/>
    <x v="3"/>
    <s v="Pierce"/>
    <s v="07Pierce"/>
    <s v="South Puget Sound"/>
    <s v="02South Puget Sound"/>
    <n v="140.919902150144"/>
    <n v="1204.6189033942601"/>
    <n v="140.919902150144"/>
    <n v="1204.6189033942601"/>
  </r>
  <r>
    <n v="3593"/>
    <x v="6"/>
    <s v="Marine"/>
    <x v="0"/>
    <x v="0"/>
    <n v="10"/>
    <s v="Area 10: N Puget Sound"/>
    <s v="Area 10: N Puget Sound"/>
    <s v="NA"/>
    <x v="3"/>
    <s v="Snohomish"/>
    <s v="03Snohomish"/>
    <s v="North Puget Sound"/>
    <s v="01North Puget Sound"/>
    <n v="239.136803648729"/>
    <n v="2044.2017754569199"/>
    <n v="239.136803648729"/>
    <n v="2044.2017754569199"/>
  </r>
  <r>
    <n v="3640"/>
    <x v="6"/>
    <s v="Marine"/>
    <x v="0"/>
    <x v="0"/>
    <n v="10"/>
    <s v="Area 10: N Puget Sound"/>
    <s v="Area 10: N Puget Sound"/>
    <s v="NA"/>
    <x v="3"/>
    <s v="Thurston"/>
    <s v="08Thurston"/>
    <s v="South Puget Sound"/>
    <s v="02South Puget Sound"/>
    <n v="4.2703000651558698"/>
    <n v="36.503603133159302"/>
    <n v="4.2703000651558698"/>
    <n v="36.503603133159302"/>
  </r>
  <r>
    <n v="103"/>
    <x v="7"/>
    <s v="Marine"/>
    <x v="0"/>
    <x v="0"/>
    <n v="10"/>
    <s v="Area 10: N Puget Sound"/>
    <s v="Area 10: N Puget Sound"/>
    <s v="NA"/>
    <x v="3"/>
    <s v="Clallam"/>
    <s v="11Clallam"/>
    <s v="Strait of Juan de Fuca"/>
    <s v="03Strait of Juan de Fuca"/>
    <n v="34.8963165075034"/>
    <n v="50.885080151693998"/>
    <n v="34.8963165075034"/>
    <n v="50.885080151693998"/>
  </r>
  <r>
    <n v="97"/>
    <x v="7"/>
    <s v="Marine"/>
    <x v="0"/>
    <x v="0"/>
    <n v="10"/>
    <s v="Area 10: N Puget Sound"/>
    <s v="Area 10: N Puget Sound"/>
    <s v="NA"/>
    <x v="3"/>
    <s v="Island"/>
    <s v="04Island"/>
    <s v="North Puget Sound"/>
    <s v="01North Puget Sound"/>
    <n v="307.08758526602998"/>
    <n v="447.788705334908"/>
    <n v="307.08758526602998"/>
    <n v="447.788705334908"/>
  </r>
  <r>
    <n v="104"/>
    <x v="7"/>
    <s v="Marine"/>
    <x v="0"/>
    <x v="0"/>
    <n v="10"/>
    <s v="Area 10: N Puget Sound"/>
    <s v="Area 10: N Puget Sound"/>
    <s v="NA"/>
    <x v="3"/>
    <s v="Jefferson"/>
    <s v="12Jefferson"/>
    <s v="Strait of Juan de Fuca"/>
    <s v="03Strait of Juan de Fuca"/>
    <n v="76.771896316507494"/>
    <n v="111.947176333727"/>
    <n v="76.771896316507494"/>
    <n v="111.947176333727"/>
  </r>
  <r>
    <n v="98"/>
    <x v="7"/>
    <s v="Marine"/>
    <x v="0"/>
    <x v="0"/>
    <n v="10"/>
    <s v="Area 10: N Puget Sound"/>
    <s v="Area 10: N Puget Sound"/>
    <s v="NA"/>
    <x v="3"/>
    <s v="King"/>
    <s v="06King"/>
    <s v="South Puget Sound"/>
    <s v="02South Puget Sound"/>
    <n v="11334.323601637099"/>
    <n v="16527.474033270199"/>
    <n v="11334.323601637099"/>
    <n v="16527.474033270199"/>
  </r>
  <r>
    <n v="102"/>
    <x v="7"/>
    <s v="Marine"/>
    <x v="0"/>
    <x v="0"/>
    <n v="10"/>
    <s v="Area 10: N Puget Sound"/>
    <s v="Area 10: N Puget Sound"/>
    <s v="NA"/>
    <x v="3"/>
    <s v="Kitsap"/>
    <s v="10Kitsap"/>
    <s v="South Puget Sound"/>
    <s v="02South Puget Sound"/>
    <n v="3196.5025920873099"/>
    <n v="4661.0733418951704"/>
    <n v="3196.5025920873099"/>
    <n v="4661.0733418951704"/>
  </r>
  <r>
    <n v="101"/>
    <x v="7"/>
    <s v="Marine"/>
    <x v="0"/>
    <x v="0"/>
    <n v="10"/>
    <s v="Area 10: N Puget Sound"/>
    <s v="Area 10: N Puget Sound"/>
    <s v="NA"/>
    <x v="3"/>
    <s v="Mason"/>
    <s v="09Mason"/>
    <s v="South Puget Sound"/>
    <s v="02South Puget Sound"/>
    <n v="62.813369713506098"/>
    <n v="91.593144273049305"/>
    <n v="62.813369713506098"/>
    <n v="91.593144273049305"/>
  </r>
  <r>
    <n v="177"/>
    <x v="7"/>
    <s v="Marine"/>
    <x v="0"/>
    <x v="0"/>
    <n v="10"/>
    <s v="Area 10: N Puget Sound"/>
    <s v="Area 10: N Puget Sound"/>
    <s v="NA"/>
    <x v="3"/>
    <s v="Other"/>
    <s v="20Other"/>
    <s v="Non Puget Sound"/>
    <s v="07Non Puget Sound"/>
    <n v="2519.5140518417502"/>
    <n v="3673.9027869523102"/>
    <n v="2519.5140518417502"/>
    <n v="3673.9027869523102"/>
  </r>
  <r>
    <n v="99"/>
    <x v="7"/>
    <s v="Marine"/>
    <x v="0"/>
    <x v="0"/>
    <n v="10"/>
    <s v="Area 10: N Puget Sound"/>
    <s v="Area 10: N Puget Sound"/>
    <s v="NA"/>
    <x v="3"/>
    <s v="Pierce"/>
    <s v="07Pierce"/>
    <s v="South Puget Sound"/>
    <s v="02South Puget Sound"/>
    <n v="746.78117326057304"/>
    <n v="1088.94071524625"/>
    <n v="746.78117326057304"/>
    <n v="1088.94071524625"/>
  </r>
  <r>
    <n v="84"/>
    <x v="7"/>
    <s v="Marine"/>
    <x v="0"/>
    <x v="0"/>
    <n v="10"/>
    <s v="Area 10: N Puget Sound"/>
    <s v="Area 10: N Puget Sound"/>
    <s v="NA"/>
    <x v="3"/>
    <s v="Skagit"/>
    <s v="02Skagit"/>
    <s v="North Puget Sound"/>
    <s v="01North Puget Sound"/>
    <n v="69.7926330150068"/>
    <n v="101.770160303388"/>
    <n v="69.7926330150068"/>
    <n v="101.770160303388"/>
  </r>
  <r>
    <n v="85"/>
    <x v="7"/>
    <s v="Marine"/>
    <x v="0"/>
    <x v="0"/>
    <n v="10"/>
    <s v="Area 10: N Puget Sound"/>
    <s v="Area 10: N Puget Sound"/>
    <s v="NA"/>
    <x v="3"/>
    <s v="Snohomish"/>
    <s v="03Snohomish"/>
    <s v="North Puget Sound"/>
    <s v="01North Puget Sound"/>
    <n v="7049.0559345156898"/>
    <n v="10278.7861906422"/>
    <n v="7049.0559345156898"/>
    <n v="10278.7861906422"/>
  </r>
  <r>
    <n v="100"/>
    <x v="7"/>
    <s v="Marine"/>
    <x v="0"/>
    <x v="0"/>
    <n v="10"/>
    <s v="Area 10: N Puget Sound"/>
    <s v="Area 10: N Puget Sound"/>
    <s v="NA"/>
    <x v="3"/>
    <s v="Thurston"/>
    <s v="08Thurston"/>
    <s v="South Puget Sound"/>
    <s v="02South Puget Sound"/>
    <n v="90.730422919508896"/>
    <n v="132.301208394404"/>
    <n v="90.730422919508896"/>
    <n v="132.301208394404"/>
  </r>
  <r>
    <n v="83"/>
    <x v="7"/>
    <s v="Marine"/>
    <x v="0"/>
    <x v="0"/>
    <n v="10"/>
    <s v="Area 10: N Puget Sound"/>
    <s v="Area 10: N Puget Sound"/>
    <s v="NA"/>
    <x v="3"/>
    <s v="Whatcom"/>
    <s v="01Whatcom"/>
    <s v="North Puget Sound"/>
    <s v="01North Puget Sound"/>
    <n v="90.730422919508896"/>
    <n v="132.301208394404"/>
    <n v="90.730422919508896"/>
    <n v="132.301208394404"/>
  </r>
  <r>
    <n v="285"/>
    <x v="8"/>
    <s v="Marine"/>
    <x v="0"/>
    <x v="0"/>
    <n v="10"/>
    <s v="Area 10: N Puget Sound"/>
    <s v="Area 10: N Puget Sound"/>
    <s v="NA"/>
    <x v="3"/>
    <s v="Clallam"/>
    <s v="11Clallam"/>
    <s v="Strait of Juan de Fuca"/>
    <s v="03Strait of Juan de Fuca"/>
    <n v="21.367801047120398"/>
    <n v="28.238866468591301"/>
    <n v="21.367801047120398"/>
    <n v="28.238866468591301"/>
  </r>
  <r>
    <n v="209"/>
    <x v="8"/>
    <s v="Marine"/>
    <x v="0"/>
    <x v="0"/>
    <n v="10"/>
    <s v="Area 10: N Puget Sound"/>
    <s v="Area 10: N Puget Sound"/>
    <s v="NA"/>
    <x v="3"/>
    <s v="Island"/>
    <s v="04Island"/>
    <s v="North Puget Sound"/>
    <s v="01North Puget Sound"/>
    <n v="270.65881326352502"/>
    <n v="357.69230860215703"/>
    <n v="270.65881326352502"/>
    <n v="357.69230860215703"/>
  </r>
  <r>
    <n v="286"/>
    <x v="8"/>
    <s v="Marine"/>
    <x v="0"/>
    <x v="0"/>
    <n v="10"/>
    <s v="Area 10: N Puget Sound"/>
    <s v="Area 10: N Puget Sound"/>
    <s v="NA"/>
    <x v="3"/>
    <s v="Jefferson"/>
    <s v="12Jefferson"/>
    <s v="Strait of Juan de Fuca"/>
    <s v="03Strait of Juan de Fuca"/>
    <n v="85.471204188481707"/>
    <n v="112.955465874365"/>
    <n v="85.471204188481707"/>
    <n v="112.955465874365"/>
  </r>
  <r>
    <n v="210"/>
    <x v="8"/>
    <s v="Marine"/>
    <x v="0"/>
    <x v="0"/>
    <n v="10"/>
    <s v="Area 10: N Puget Sound"/>
    <s v="Area 10: N Puget Sound"/>
    <s v="NA"/>
    <x v="3"/>
    <s v="King"/>
    <s v="06King"/>
    <s v="South Puget Sound"/>
    <s v="02South Puget Sound"/>
    <n v="15057.1771378709"/>
    <n v="19898.987904867299"/>
    <n v="15057.1771378709"/>
    <n v="19898.987904867299"/>
  </r>
  <r>
    <n v="214"/>
    <x v="8"/>
    <s v="Marine"/>
    <x v="0"/>
    <x v="0"/>
    <n v="10"/>
    <s v="Area 10: N Puget Sound"/>
    <s v="Area 10: N Puget Sound"/>
    <s v="NA"/>
    <x v="3"/>
    <s v="Kitsap"/>
    <s v="10Kitsap"/>
    <s v="South Puget Sound"/>
    <s v="02South Puget Sound"/>
    <n v="4031.3917975567201"/>
    <n v="5327.7328070742296"/>
    <n v="4031.3917975567201"/>
    <n v="5327.7328070742296"/>
  </r>
  <r>
    <n v="213"/>
    <x v="8"/>
    <s v="Marine"/>
    <x v="0"/>
    <x v="0"/>
    <n v="10"/>
    <s v="Area 10: N Puget Sound"/>
    <s v="Area 10: N Puget Sound"/>
    <s v="NA"/>
    <x v="3"/>
    <s v="Mason"/>
    <s v="09Mason"/>
    <s v="South Puget Sound"/>
    <s v="02South Puget Sound"/>
    <n v="78.348603839441594"/>
    <n v="103.542510384835"/>
    <n v="78.348603839441594"/>
    <n v="103.542510384835"/>
  </r>
  <r>
    <n v="287"/>
    <x v="8"/>
    <s v="Marine"/>
    <x v="0"/>
    <x v="0"/>
    <n v="10"/>
    <s v="Area 10: N Puget Sound"/>
    <s v="Area 10: N Puget Sound"/>
    <s v="NA"/>
    <x v="3"/>
    <s v="Other"/>
    <s v="20Other"/>
    <s v="Non Puget Sound"/>
    <s v="07Non Puget Sound"/>
    <n v="4359.0314136125698"/>
    <n v="5760.72875959263"/>
    <n v="4359.0314136125698"/>
    <n v="5760.72875959263"/>
  </r>
  <r>
    <n v="211"/>
    <x v="8"/>
    <s v="Marine"/>
    <x v="0"/>
    <x v="0"/>
    <n v="10"/>
    <s v="Area 10: N Puget Sound"/>
    <s v="Area 10: N Puget Sound"/>
    <s v="NA"/>
    <x v="3"/>
    <s v="Pierce"/>
    <s v="07Pierce"/>
    <s v="South Puget Sound"/>
    <s v="02South Puget Sound"/>
    <n v="690.89223385689399"/>
    <n v="913.05668248445204"/>
    <n v="690.89223385689399"/>
    <n v="913.05668248445204"/>
  </r>
  <r>
    <n v="198"/>
    <x v="8"/>
    <s v="Marine"/>
    <x v="0"/>
    <x v="0"/>
    <n v="10"/>
    <s v="Area 10: N Puget Sound"/>
    <s v="Area 10: N Puget Sound"/>
    <s v="NA"/>
    <x v="3"/>
    <s v="Skagit"/>
    <s v="02Skagit"/>
    <s v="North Puget Sound"/>
    <s v="01North Puget Sound"/>
    <n v="121.084205933682"/>
    <n v="160.020243322017"/>
    <n v="121.084205933682"/>
    <n v="160.020243322017"/>
  </r>
  <r>
    <n v="199"/>
    <x v="8"/>
    <s v="Marine"/>
    <x v="0"/>
    <x v="0"/>
    <n v="10"/>
    <s v="Area 10: N Puget Sound"/>
    <s v="Area 10: N Puget Sound"/>
    <s v="NA"/>
    <x v="3"/>
    <s v="Snohomish"/>
    <s v="03Snohomish"/>
    <s v="North Puget Sound"/>
    <s v="01North Puget Sound"/>
    <n v="7649.6727748691101"/>
    <n v="10109.514195755701"/>
    <n v="7649.6727748691101"/>
    <n v="10109.514195755701"/>
  </r>
  <r>
    <n v="212"/>
    <x v="8"/>
    <s v="Marine"/>
    <x v="0"/>
    <x v="0"/>
    <n v="10"/>
    <s v="Area 10: N Puget Sound"/>
    <s v="Area 10: N Puget Sound"/>
    <s v="NA"/>
    <x v="3"/>
    <s v="Thurston"/>
    <s v="08Thurston"/>
    <s v="South Puget Sound"/>
    <s v="02South Puget Sound"/>
    <n v="256.41361256544502"/>
    <n v="338.86639762309602"/>
    <n v="256.41361256544502"/>
    <n v="338.86639762309602"/>
  </r>
  <r>
    <n v="197"/>
    <x v="8"/>
    <s v="Marine"/>
    <x v="0"/>
    <x v="0"/>
    <n v="10"/>
    <s v="Area 10: N Puget Sound"/>
    <s v="Area 10: N Puget Sound"/>
    <s v="NA"/>
    <x v="3"/>
    <s v="Whatcom"/>
    <s v="01Whatcom"/>
    <s v="North Puget Sound"/>
    <s v="01North Puget Sound"/>
    <n v="28.4904013961606"/>
    <n v="37.651821958121701"/>
    <n v="28.4904013961606"/>
    <n v="37.651821958121701"/>
  </r>
  <r>
    <n v="396"/>
    <x v="9"/>
    <s v="Marine"/>
    <x v="0"/>
    <x v="0"/>
    <n v="10"/>
    <s v="Area 10: N Puget Sound"/>
    <s v="Area 10: N Puget Sound"/>
    <s v="NA"/>
    <x v="3"/>
    <s v="Clallam"/>
    <s v="11Clallam"/>
    <s v="Strait of Juan de Fuca"/>
    <s v="03Strait of Juan de Fuca"/>
    <n v="132.46248534583799"/>
    <n v="157.69991541279501"/>
    <n v="132.46248534583799"/>
    <n v="157.69991541279501"/>
  </r>
  <r>
    <n v="317"/>
    <x v="9"/>
    <s v="Marine"/>
    <x v="0"/>
    <x v="0"/>
    <n v="10"/>
    <s v="Area 10: N Puget Sound"/>
    <s v="Area 10: N Puget Sound"/>
    <s v="NA"/>
    <x v="3"/>
    <s v="Island"/>
    <s v="04Island"/>
    <s v="North Puget Sound"/>
    <s v="01North Puget Sound"/>
    <n v="428.55509964829997"/>
    <n v="510.20560868845303"/>
    <n v="428.55509964829997"/>
    <n v="510.20560868845303"/>
  </r>
  <r>
    <n v="397"/>
    <x v="9"/>
    <s v="Marine"/>
    <x v="0"/>
    <x v="0"/>
    <n v="10"/>
    <s v="Area 10: N Puget Sound"/>
    <s v="Area 10: N Puget Sound"/>
    <s v="NA"/>
    <x v="3"/>
    <s v="Jefferson"/>
    <s v="12Jefferson"/>
    <s v="Strait of Juan de Fuca"/>
    <s v="03Strait of Juan de Fuca"/>
    <n v="171.42203985931999"/>
    <n v="204.08224347538101"/>
    <n v="171.42203985931999"/>
    <n v="204.08224347538101"/>
  </r>
  <r>
    <n v="319"/>
    <x v="9"/>
    <s v="Marine"/>
    <x v="0"/>
    <x v="0"/>
    <n v="10"/>
    <s v="Area 10: N Puget Sound"/>
    <s v="Area 10: N Puget Sound"/>
    <s v="NA"/>
    <x v="3"/>
    <s v="King"/>
    <s v="06King"/>
    <s v="South Puget Sound"/>
    <s v="02South Puget Sound"/>
    <n v="17188.9554513482"/>
    <n v="20463.883141213199"/>
    <n v="17188.9554513482"/>
    <n v="20463.883141213199"/>
  </r>
  <r>
    <n v="323"/>
    <x v="9"/>
    <s v="Marine"/>
    <x v="0"/>
    <x v="0"/>
    <n v="10"/>
    <s v="Area 10: N Puget Sound"/>
    <s v="Area 10: N Puget Sound"/>
    <s v="NA"/>
    <x v="3"/>
    <s v="Kitsap"/>
    <s v="10Kitsap"/>
    <s v="South Puget Sound"/>
    <s v="02South Puget Sound"/>
    <n v="4394.6377491207504"/>
    <n v="5231.9266054597801"/>
    <n v="4394.6377491207504"/>
    <n v="5231.9266054597801"/>
  </r>
  <r>
    <n v="322"/>
    <x v="9"/>
    <s v="Marine"/>
    <x v="0"/>
    <x v="0"/>
    <n v="10"/>
    <s v="Area 10: N Puget Sound"/>
    <s v="Area 10: N Puget Sound"/>
    <s v="NA"/>
    <x v="3"/>
    <s v="Mason"/>
    <s v="09Mason"/>
    <s v="South Puget Sound"/>
    <s v="02South Puget Sound"/>
    <n v="249.341148886284"/>
    <n v="296.84689960055499"/>
    <n v="249.341148886284"/>
    <n v="296.84689960055499"/>
  </r>
  <r>
    <n v="398"/>
    <x v="9"/>
    <s v="Marine"/>
    <x v="0"/>
    <x v="0"/>
    <n v="10"/>
    <s v="Area 10: N Puget Sound"/>
    <s v="Area 10: N Puget Sound"/>
    <s v="NA"/>
    <x v="3"/>
    <s v="Other"/>
    <s v="20Other"/>
    <s v="Non Puget Sound"/>
    <s v="07Non Puget Sound"/>
    <n v="5290.7075029308298"/>
    <n v="6298.7201508992703"/>
    <n v="5290.7075029308298"/>
    <n v="6298.7201508992703"/>
  </r>
  <r>
    <n v="320"/>
    <x v="9"/>
    <s v="Marine"/>
    <x v="0"/>
    <x v="0"/>
    <n v="10"/>
    <s v="Area 10: N Puget Sound"/>
    <s v="Area 10: N Puget Sound"/>
    <s v="NA"/>
    <x v="3"/>
    <s v="Pierce"/>
    <s v="07Pierce"/>
    <s v="South Puget Sound"/>
    <s v="02South Puget Sound"/>
    <n v="1511.6307151230999"/>
    <n v="1799.6343288283599"/>
    <n v="1511.6307151230999"/>
    <n v="1799.6343288283599"/>
  </r>
  <r>
    <n v="318"/>
    <x v="9"/>
    <s v="Marine"/>
    <x v="0"/>
    <x v="0"/>
    <n v="10"/>
    <s v="Area 10: N Puget Sound"/>
    <s v="Area 10: N Puget Sound"/>
    <s v="NA"/>
    <x v="3"/>
    <s v="San Juan"/>
    <s v="05San Juan"/>
    <s v="North Puget Sound"/>
    <s v="01North Puget Sound"/>
    <n v="7.7919109026963698"/>
    <n v="9.2764656125173399"/>
    <n v="7.7919109026963698"/>
    <n v="9.2764656125173399"/>
  </r>
  <r>
    <n v="306"/>
    <x v="9"/>
    <s v="Marine"/>
    <x v="0"/>
    <x v="0"/>
    <n v="10"/>
    <s v="Area 10: N Puget Sound"/>
    <s v="Area 10: N Puget Sound"/>
    <s v="NA"/>
    <x v="3"/>
    <s v="Skagit"/>
    <s v="02Skagit"/>
    <s v="North Puget Sound"/>
    <s v="01North Puget Sound"/>
    <n v="366.21981242672899"/>
    <n v="435.99388378831497"/>
    <n v="366.21981242672899"/>
    <n v="435.99388378831497"/>
  </r>
  <r>
    <n v="307"/>
    <x v="9"/>
    <s v="Marine"/>
    <x v="0"/>
    <x v="0"/>
    <n v="10"/>
    <s v="Area 10: N Puget Sound"/>
    <s v="Area 10: N Puget Sound"/>
    <s v="NA"/>
    <x v="3"/>
    <s v="Snohomish"/>
    <s v="03Snohomish"/>
    <s v="North Puget Sound"/>
    <s v="01North Puget Sound"/>
    <n v="9856.7672919109009"/>
    <n v="11734.7289998344"/>
    <n v="9856.7672919109009"/>
    <n v="11734.7289998344"/>
  </r>
  <r>
    <n v="321"/>
    <x v="9"/>
    <s v="Marine"/>
    <x v="0"/>
    <x v="0"/>
    <n v="10"/>
    <s v="Area 10: N Puget Sound"/>
    <s v="Area 10: N Puget Sound"/>
    <s v="NA"/>
    <x v="3"/>
    <s v="Thurston"/>
    <s v="08Thurston"/>
    <s v="South Puget Sound"/>
    <s v="02South Puget Sound"/>
    <n v="163.63012895662399"/>
    <n v="194.80577786286401"/>
    <n v="163.63012895662399"/>
    <n v="194.80577786286401"/>
  </r>
  <r>
    <n v="305"/>
    <x v="9"/>
    <s v="Marine"/>
    <x v="0"/>
    <x v="0"/>
    <n v="10"/>
    <s v="Area 10: N Puget Sound"/>
    <s v="Area 10: N Puget Sound"/>
    <s v="NA"/>
    <x v="3"/>
    <s v="Whatcom"/>
    <s v="01Whatcom"/>
    <s v="North Puget Sound"/>
    <s v="01North Puget Sound"/>
    <n v="116.878663540446"/>
    <n v="139.14698418776001"/>
    <n v="116.878663540446"/>
    <n v="139.14698418776001"/>
  </r>
  <r>
    <n v="429"/>
    <x v="10"/>
    <s v="Marine"/>
    <x v="0"/>
    <x v="0"/>
    <n v="10"/>
    <s v="Area 10: N Puget Sound"/>
    <s v="Area 10: N Puget Sound"/>
    <s v="NA"/>
    <x v="3"/>
    <s v="Island"/>
    <s v="04Island"/>
    <s v="North Puget Sound"/>
    <s v="01North Puget Sound"/>
    <n v="297.25312409183402"/>
    <n v="507.586226384577"/>
    <n v="297.25312409183402"/>
    <n v="507.586226384577"/>
  </r>
  <r>
    <n v="435"/>
    <x v="10"/>
    <s v="Marine"/>
    <x v="0"/>
    <x v="0"/>
    <n v="10"/>
    <s v="Area 10: N Puget Sound"/>
    <s v="Area 10: N Puget Sound"/>
    <s v="NA"/>
    <x v="3"/>
    <s v="Jefferson"/>
    <s v="12Jefferson"/>
    <s v="Strait of Juan de Fuca"/>
    <s v="03Strait of Juan de Fuca"/>
    <n v="27.867480383609401"/>
    <n v="47.586208723554101"/>
    <n v="27.867480383609401"/>
    <n v="47.586208723554101"/>
  </r>
  <r>
    <n v="430"/>
    <x v="10"/>
    <s v="Marine"/>
    <x v="0"/>
    <x v="0"/>
    <n v="10"/>
    <s v="Area 10: N Puget Sound"/>
    <s v="Area 10: N Puget Sound"/>
    <s v="NA"/>
    <x v="3"/>
    <s v="King"/>
    <s v="06King"/>
    <s v="South Puget Sound"/>
    <s v="02South Puget Sound"/>
    <n v="12930.5108979948"/>
    <n v="22080.000847729101"/>
    <n v="12930.5108979948"/>
    <n v="22080.000847729101"/>
  </r>
  <r>
    <n v="434"/>
    <x v="10"/>
    <s v="Marine"/>
    <x v="0"/>
    <x v="0"/>
    <n v="10"/>
    <s v="Area 10: N Puget Sound"/>
    <s v="Area 10: N Puget Sound"/>
    <s v="NA"/>
    <x v="3"/>
    <s v="Kitsap"/>
    <s v="10Kitsap"/>
    <s v="South Puget Sound"/>
    <s v="02South Puget Sound"/>
    <n v="3845.7122929380998"/>
    <n v="6566.89680385047"/>
    <n v="3845.7122929380998"/>
    <n v="6566.89680385047"/>
  </r>
  <r>
    <n v="433"/>
    <x v="10"/>
    <s v="Marine"/>
    <x v="0"/>
    <x v="0"/>
    <n v="10"/>
    <s v="Area 10: N Puget Sound"/>
    <s v="Area 10: N Puget Sound"/>
    <s v="NA"/>
    <x v="3"/>
    <s v="Mason"/>
    <s v="09Mason"/>
    <s v="South Puget Sound"/>
    <s v="02South Puget Sound"/>
    <n v="83.602441150828298"/>
    <n v="142.75862617066201"/>
    <n v="83.602441150828298"/>
    <n v="142.75862617066201"/>
  </r>
  <r>
    <n v="436"/>
    <x v="10"/>
    <s v="Marine"/>
    <x v="0"/>
    <x v="0"/>
    <n v="10"/>
    <s v="Area 10: N Puget Sound"/>
    <s v="Area 10: N Puget Sound"/>
    <s v="NA"/>
    <x v="3"/>
    <s v="Other"/>
    <s v="20Other"/>
    <s v="Non Puget Sound"/>
    <s v="07Non Puget Sound"/>
    <n v="3446.2784074397"/>
    <n v="5884.8278121461899"/>
    <n v="3446.2784074397"/>
    <n v="5884.8278121461899"/>
  </r>
  <r>
    <n v="431"/>
    <x v="10"/>
    <s v="Marine"/>
    <x v="0"/>
    <x v="0"/>
    <n v="10"/>
    <s v="Area 10: N Puget Sound"/>
    <s v="Area 10: N Puget Sound"/>
    <s v="NA"/>
    <x v="3"/>
    <s v="Pierce"/>
    <s v="07Pierce"/>
    <s v="South Puget Sound"/>
    <s v="02South Puget Sound"/>
    <n v="1662.7596628886999"/>
    <n v="2839.3104538387302"/>
    <n v="1662.7596628886999"/>
    <n v="2839.3104538387302"/>
  </r>
  <r>
    <n v="418"/>
    <x v="10"/>
    <s v="Marine"/>
    <x v="0"/>
    <x v="0"/>
    <n v="10"/>
    <s v="Area 10: N Puget Sound"/>
    <s v="Area 10: N Puget Sound"/>
    <s v="NA"/>
    <x v="3"/>
    <s v="Skagit"/>
    <s v="02Skagit"/>
    <s v="North Puget Sound"/>
    <s v="01North Puget Sound"/>
    <n v="102.180761406568"/>
    <n v="174.48276531969799"/>
    <n v="102.180761406568"/>
    <n v="174.48276531969799"/>
  </r>
  <r>
    <n v="428"/>
    <x v="10"/>
    <s v="Marine"/>
    <x v="0"/>
    <x v="0"/>
    <n v="10"/>
    <s v="Area 10: N Puget Sound"/>
    <s v="Area 10: N Puget Sound"/>
    <s v="NA"/>
    <x v="3"/>
    <s v="Snohomish"/>
    <s v="03Snohomish"/>
    <s v="North Puget Sound"/>
    <s v="01North Puget Sound"/>
    <n v="9270.5818076140695"/>
    <n v="15830.345435368999"/>
    <n v="9270.5818076140695"/>
    <n v="15830.345435368999"/>
  </r>
  <r>
    <n v="432"/>
    <x v="10"/>
    <s v="Marine"/>
    <x v="0"/>
    <x v="0"/>
    <n v="10"/>
    <s v="Area 10: N Puget Sound"/>
    <s v="Area 10: N Puget Sound"/>
    <s v="NA"/>
    <x v="3"/>
    <s v="Thurston"/>
    <s v="08Thurston"/>
    <s v="South Puget Sound"/>
    <s v="02South Puget Sound"/>
    <n v="157.915722173787"/>
    <n v="269.655182766807"/>
    <n v="157.915722173787"/>
    <n v="269.655182766807"/>
  </r>
  <r>
    <n v="417"/>
    <x v="10"/>
    <s v="Marine"/>
    <x v="0"/>
    <x v="0"/>
    <n v="10"/>
    <s v="Area 10: N Puget Sound"/>
    <s v="Area 10: N Puget Sound"/>
    <s v="NA"/>
    <x v="3"/>
    <s v="Whatcom"/>
    <s v="01Whatcom"/>
    <s v="North Puget Sound"/>
    <s v="01North Puget Sound"/>
    <n v="139.33740191804699"/>
    <n v="237.93104361777"/>
    <n v="139.33740191804699"/>
    <n v="237.93104361777"/>
  </r>
  <r>
    <n v="538"/>
    <x v="11"/>
    <s v="Marine"/>
    <x v="0"/>
    <x v="0"/>
    <n v="10"/>
    <s v="Area 10: N Puget Sound"/>
    <s v="Area 10: N Puget Sound"/>
    <s v="NA"/>
    <x v="3"/>
    <s v="Clallam"/>
    <s v="11Clallam"/>
    <s v="Strait of Juan de Fuca"/>
    <s v="03Strait of Juan de Fuca"/>
    <n v="28.6883468834688"/>
    <n v="44.614984189468501"/>
    <n v="28.6883468834688"/>
    <n v="44.614984189468501"/>
  </r>
  <r>
    <n v="521"/>
    <x v="11"/>
    <s v="Marine"/>
    <x v="0"/>
    <x v="0"/>
    <n v="10"/>
    <s v="Area 10: N Puget Sound"/>
    <s v="Area 10: N Puget Sound"/>
    <s v="NA"/>
    <x v="3"/>
    <s v="Island"/>
    <s v="04Island"/>
    <s v="North Puget Sound"/>
    <s v="01North Puget Sound"/>
    <n v="164.95799457994599"/>
    <n v="256.53615908944403"/>
    <n v="164.95799457994599"/>
    <n v="256.53615908944403"/>
  </r>
  <r>
    <n v="539"/>
    <x v="11"/>
    <s v="Marine"/>
    <x v="0"/>
    <x v="0"/>
    <n v="10"/>
    <s v="Area 10: N Puget Sound"/>
    <s v="Area 10: N Puget Sound"/>
    <s v="NA"/>
    <x v="3"/>
    <s v="Jefferson"/>
    <s v="12Jefferson"/>
    <s v="Strait of Juan de Fuca"/>
    <s v="03Strait of Juan de Fuca"/>
    <n v="114.753387533875"/>
    <n v="178.459936757874"/>
    <n v="114.753387533875"/>
    <n v="178.459936757874"/>
  </r>
  <r>
    <n v="523"/>
    <x v="11"/>
    <s v="Marine"/>
    <x v="0"/>
    <x v="0"/>
    <n v="10"/>
    <s v="Area 10: N Puget Sound"/>
    <s v="Area 10: N Puget Sound"/>
    <s v="NA"/>
    <x v="3"/>
    <s v="King"/>
    <s v="06King"/>
    <s v="South Puget Sound"/>
    <s v="02South Puget Sound"/>
    <n v="18790.867208672102"/>
    <n v="29222.814644101902"/>
    <n v="18790.867208672102"/>
    <n v="29222.814644101902"/>
  </r>
  <r>
    <n v="537"/>
    <x v="11"/>
    <s v="Marine"/>
    <x v="0"/>
    <x v="0"/>
    <n v="10"/>
    <s v="Area 10: N Puget Sound"/>
    <s v="Area 10: N Puget Sound"/>
    <s v="NA"/>
    <x v="3"/>
    <s v="Kitsap"/>
    <s v="10Kitsap"/>
    <s v="South Puget Sound"/>
    <s v="02South Puget Sound"/>
    <n v="4475.3821138211397"/>
    <n v="6959.9375335570903"/>
    <n v="4475.3821138211397"/>
    <n v="6959.9375335570903"/>
  </r>
  <r>
    <n v="536"/>
    <x v="11"/>
    <s v="Marine"/>
    <x v="0"/>
    <x v="0"/>
    <n v="10"/>
    <s v="Area 10: N Puget Sound"/>
    <s v="Area 10: N Puget Sound"/>
    <s v="NA"/>
    <x v="3"/>
    <s v="Mason"/>
    <s v="09Mason"/>
    <s v="South Puget Sound"/>
    <s v="02South Puget Sound"/>
    <n v="157.785907859079"/>
    <n v="245.38241304207699"/>
    <n v="157.785907859079"/>
    <n v="245.38241304207699"/>
  </r>
  <r>
    <n v="540"/>
    <x v="11"/>
    <s v="Marine"/>
    <x v="0"/>
    <x v="0"/>
    <n v="10"/>
    <s v="Area 10: N Puget Sound"/>
    <s v="Area 10: N Puget Sound"/>
    <s v="NA"/>
    <x v="3"/>
    <s v="Other"/>
    <s v="20Other"/>
    <s v="Non Puget Sound"/>
    <s v="07Non Puget Sound"/>
    <n v="4253.0474254742603"/>
    <n v="6614.1714060886998"/>
    <n v="4253.0474254742603"/>
    <n v="6614.1714060886998"/>
  </r>
  <r>
    <n v="524"/>
    <x v="11"/>
    <s v="Marine"/>
    <x v="0"/>
    <x v="0"/>
    <n v="10"/>
    <s v="Area 10: N Puget Sound"/>
    <s v="Area 10: N Puget Sound"/>
    <s v="NA"/>
    <x v="3"/>
    <s v="Pierce"/>
    <s v="07Pierce"/>
    <s v="South Puget Sound"/>
    <s v="02South Puget Sound"/>
    <n v="1140.3617886178899"/>
    <n v="1773.4456215313701"/>
    <n v="1140.3617886178899"/>
    <n v="1773.4456215313701"/>
  </r>
  <r>
    <n v="522"/>
    <x v="11"/>
    <s v="Marine"/>
    <x v="0"/>
    <x v="0"/>
    <n v="10"/>
    <s v="Area 10: N Puget Sound"/>
    <s v="Area 10: N Puget Sound"/>
    <s v="NA"/>
    <x v="3"/>
    <s v="San Juan"/>
    <s v="05San Juan"/>
    <s v="North Puget Sound"/>
    <s v="01North Puget Sound"/>
    <n v="50.2046070460705"/>
    <n v="78.076222331569895"/>
    <n v="50.2046070460705"/>
    <n v="78.076222331569895"/>
  </r>
  <r>
    <n v="519"/>
    <x v="11"/>
    <s v="Marine"/>
    <x v="0"/>
    <x v="0"/>
    <n v="10"/>
    <s v="Area 10: N Puget Sound"/>
    <s v="Area 10: N Puget Sound"/>
    <s v="NA"/>
    <x v="3"/>
    <s v="Skagit"/>
    <s v="02Skagit"/>
    <s v="North Puget Sound"/>
    <s v="01North Puget Sound"/>
    <n v="100.409214092141"/>
    <n v="156.15244466313999"/>
    <n v="100.409214092141"/>
    <n v="156.15244466313999"/>
  </r>
  <r>
    <n v="520"/>
    <x v="11"/>
    <s v="Marine"/>
    <x v="0"/>
    <x v="0"/>
    <n v="10"/>
    <s v="Area 10: N Puget Sound"/>
    <s v="Area 10: N Puget Sound"/>
    <s v="NA"/>
    <x v="3"/>
    <s v="Snohomish"/>
    <s v="03Snohomish"/>
    <s v="North Puget Sound"/>
    <s v="01North Puget Sound"/>
    <n v="7530.6910569105703"/>
    <n v="11711.4333497355"/>
    <n v="7530.6910569105703"/>
    <n v="11711.4333497355"/>
  </r>
  <r>
    <n v="525"/>
    <x v="11"/>
    <s v="Marine"/>
    <x v="0"/>
    <x v="0"/>
    <n v="10"/>
    <s v="Area 10: N Puget Sound"/>
    <s v="Area 10: N Puget Sound"/>
    <s v="NA"/>
    <x v="3"/>
    <s v="Thurston"/>
    <s v="08Thurston"/>
    <s v="South Puget Sound"/>
    <s v="02South Puget Sound"/>
    <n v="136.26964769647699"/>
    <n v="211.921174899975"/>
    <n v="136.26964769647699"/>
    <n v="211.921174899975"/>
  </r>
  <r>
    <n v="518"/>
    <x v="11"/>
    <s v="Marine"/>
    <x v="0"/>
    <x v="0"/>
    <n v="10"/>
    <s v="Area 10: N Puget Sound"/>
    <s v="Area 10: N Puget Sound"/>
    <s v="NA"/>
    <x v="3"/>
    <s v="Whatcom"/>
    <s v="01Whatcom"/>
    <s v="North Puget Sound"/>
    <s v="01North Puget Sound"/>
    <n v="107.581300813008"/>
    <n v="167.306190710507"/>
    <n v="107.581300813008"/>
    <n v="167.306190710507"/>
  </r>
  <r>
    <n v="803"/>
    <x v="0"/>
    <s v="Marine"/>
    <x v="0"/>
    <x v="0"/>
    <n v="11"/>
    <s v="Area 11: Mid-Puget Sound"/>
    <s v="Area 11: Mid-Puget Sound"/>
    <s v="NA"/>
    <x v="3"/>
    <s v="Clallam"/>
    <s v="11Clallam"/>
    <s v="Strait of Juan de Fuca"/>
    <s v="03Strait of Juan de Fuca"/>
    <n v="12.699082568807301"/>
    <n v="159.033055045872"/>
    <n v="12.699082568807301"/>
    <n v="159.033055045872"/>
  </r>
  <r>
    <n v="798"/>
    <x v="0"/>
    <s v="Marine"/>
    <x v="0"/>
    <x v="0"/>
    <n v="11"/>
    <s v="Area 11: Mid-Puget Sound"/>
    <s v="Area 11: Mid-Puget Sound"/>
    <s v="NA"/>
    <x v="3"/>
    <s v="King"/>
    <s v="06King"/>
    <s v="South Puget Sound"/>
    <s v="02South Puget Sound"/>
    <n v="1460.3944954128399"/>
    <n v="18288.801330275201"/>
    <n v="1460.3944954128399"/>
    <n v="18288.801330275201"/>
  </r>
  <r>
    <n v="802"/>
    <x v="0"/>
    <s v="Marine"/>
    <x v="0"/>
    <x v="0"/>
    <n v="11"/>
    <s v="Area 11: Mid-Puget Sound"/>
    <s v="Area 11: Mid-Puget Sound"/>
    <s v="NA"/>
    <x v="3"/>
    <s v="Kitsap"/>
    <s v="10Kitsap"/>
    <s v="South Puget Sound"/>
    <s v="02South Puget Sound"/>
    <n v="190.48623853211001"/>
    <n v="2385.49582568807"/>
    <n v="190.48623853211001"/>
    <n v="2385.49582568807"/>
  </r>
  <r>
    <n v="801"/>
    <x v="0"/>
    <s v="Marine"/>
    <x v="0"/>
    <x v="0"/>
    <n v="11"/>
    <s v="Area 11: Mid-Puget Sound"/>
    <s v="Area 11: Mid-Puget Sound"/>
    <s v="NA"/>
    <x v="3"/>
    <s v="Mason"/>
    <s v="09Mason"/>
    <s v="South Puget Sound"/>
    <s v="02South Puget Sound"/>
    <n v="21.165137614678901"/>
    <n v="265.05509174311902"/>
    <n v="21.165137614678901"/>
    <n v="265.05509174311902"/>
  </r>
  <r>
    <n v="804"/>
    <x v="0"/>
    <s v="Marine"/>
    <x v="0"/>
    <x v="0"/>
    <n v="11"/>
    <s v="Area 11: Mid-Puget Sound"/>
    <s v="Area 11: Mid-Puget Sound"/>
    <s v="NA"/>
    <x v="3"/>
    <s v="Other"/>
    <s v="20Other"/>
    <s v="Non Puget Sound"/>
    <s v="07Non Puget Sound"/>
    <n v="177.78715596330301"/>
    <n v="2226.4627706422002"/>
    <n v="177.78715596330301"/>
    <n v="2226.4627706422002"/>
  </r>
  <r>
    <n v="799"/>
    <x v="0"/>
    <s v="Marine"/>
    <x v="0"/>
    <x v="0"/>
    <n v="11"/>
    <s v="Area 11: Mid-Puget Sound"/>
    <s v="Area 11: Mid-Puget Sound"/>
    <s v="NA"/>
    <x v="3"/>
    <s v="Pierce"/>
    <s v="07Pierce"/>
    <s v="South Puget Sound"/>
    <s v="02South Puget Sound"/>
    <n v="2658.3412844036702"/>
    <n v="33290.919522935801"/>
    <n v="2658.3412844036702"/>
    <n v="33290.919522935801"/>
  </r>
  <r>
    <n v="797"/>
    <x v="0"/>
    <s v="Marine"/>
    <x v="0"/>
    <x v="0"/>
    <n v="11"/>
    <s v="Area 11: Mid-Puget Sound"/>
    <s v="Area 11: Mid-Puget Sound"/>
    <s v="NA"/>
    <x v="3"/>
    <s v="Snohomish"/>
    <s v="03Snohomish"/>
    <s v="North Puget Sound"/>
    <s v="01North Puget Sound"/>
    <n v="29.6311926605505"/>
    <n v="371.07712844036701"/>
    <n v="29.6311926605505"/>
    <n v="371.07712844036701"/>
  </r>
  <r>
    <n v="800"/>
    <x v="0"/>
    <s v="Marine"/>
    <x v="0"/>
    <x v="0"/>
    <n v="11"/>
    <s v="Area 11: Mid-Puget Sound"/>
    <s v="Area 11: Mid-Puget Sound"/>
    <s v="NA"/>
    <x v="3"/>
    <s v="Thurston"/>
    <s v="08Thurston"/>
    <s v="South Puget Sound"/>
    <s v="02South Puget Sound"/>
    <n v="63.4954128440367"/>
    <n v="795.16527522935803"/>
    <n v="63.4954128440367"/>
    <n v="795.16527522935803"/>
  </r>
  <r>
    <n v="911"/>
    <x v="1"/>
    <s v="Marine"/>
    <x v="0"/>
    <x v="0"/>
    <n v="11"/>
    <s v="Area 11: Mid-Puget Sound"/>
    <s v="Area 11: Mid-Puget Sound"/>
    <s v="NA"/>
    <x v="3"/>
    <s v="Clallam"/>
    <s v="11Clallam"/>
    <s v="Strait of Juan de Fuca"/>
    <s v="03Strait of Juan de Fuca"/>
    <n v="5.22894623620647"/>
    <n v="17.283196279024398"/>
    <n v="5.22894623620647"/>
    <n v="17.283196279024398"/>
  </r>
  <r>
    <n v="906"/>
    <x v="1"/>
    <s v="Marine"/>
    <x v="0"/>
    <x v="0"/>
    <n v="11"/>
    <s v="Area 11: Mid-Puget Sound"/>
    <s v="Area 11: Mid-Puget Sound"/>
    <s v="NA"/>
    <x v="3"/>
    <s v="King"/>
    <s v="06King"/>
    <s v="South Puget Sound"/>
    <s v="02South Puget Sound"/>
    <n v="11681.4658916852"/>
    <n v="38610.660487340603"/>
    <n v="11681.4658916852"/>
    <n v="38610.660487340603"/>
  </r>
  <r>
    <n v="910"/>
    <x v="1"/>
    <s v="Marine"/>
    <x v="0"/>
    <x v="0"/>
    <n v="11"/>
    <s v="Area 11: Mid-Puget Sound"/>
    <s v="Area 11: Mid-Puget Sound"/>
    <s v="NA"/>
    <x v="3"/>
    <s v="Kitsap"/>
    <s v="10Kitsap"/>
    <s v="South Puget Sound"/>
    <s v="02South Puget Sound"/>
    <n v="460.14726878616898"/>
    <n v="1520.9212725541499"/>
    <n v="460.14726878616898"/>
    <n v="1520.9212725541499"/>
  </r>
  <r>
    <n v="909"/>
    <x v="1"/>
    <s v="Marine"/>
    <x v="0"/>
    <x v="0"/>
    <n v="11"/>
    <s v="Area 11: Mid-Puget Sound"/>
    <s v="Area 11: Mid-Puget Sound"/>
    <s v="NA"/>
    <x v="3"/>
    <s v="Mason"/>
    <s v="09Mason"/>
    <s v="South Puget Sound"/>
    <s v="02South Puget Sound"/>
    <n v="31.373677417238799"/>
    <n v="103.69917767414699"/>
    <n v="31.373677417238799"/>
    <n v="103.69917767414699"/>
  </r>
  <r>
    <n v="912"/>
    <x v="1"/>
    <s v="Marine"/>
    <x v="0"/>
    <x v="0"/>
    <n v="11"/>
    <s v="Area 11: Mid-Puget Sound"/>
    <s v="Area 11: Mid-Puget Sound"/>
    <s v="NA"/>
    <x v="3"/>
    <s v="Other"/>
    <s v="20Other"/>
    <s v="Non Puget Sound"/>
    <s v="07Non Puget Sound"/>
    <n v="873.23402144648003"/>
    <n v="2886.2937785970798"/>
    <n v="873.23402144648003"/>
    <n v="2886.2937785970798"/>
  </r>
  <r>
    <n v="907"/>
    <x v="1"/>
    <s v="Marine"/>
    <x v="0"/>
    <x v="0"/>
    <n v="11"/>
    <s v="Area 11: Mid-Puget Sound"/>
    <s v="Area 11: Mid-Puget Sound"/>
    <s v="NA"/>
    <x v="3"/>
    <s v="Pierce"/>
    <s v="07Pierce"/>
    <s v="South Puget Sound"/>
    <s v="02South Puget Sound"/>
    <n v="8580.7007736148098"/>
    <n v="28361.7250938791"/>
    <n v="8580.7007736148098"/>
    <n v="28361.7250938791"/>
  </r>
  <r>
    <n v="905"/>
    <x v="1"/>
    <s v="Marine"/>
    <x v="0"/>
    <x v="0"/>
    <n v="11"/>
    <s v="Area 11: Mid-Puget Sound"/>
    <s v="Area 11: Mid-Puget Sound"/>
    <s v="NA"/>
    <x v="3"/>
    <s v="San Juan"/>
    <s v="05San Juan"/>
    <s v="North Puget Sound"/>
    <s v="01North Puget Sound"/>
    <n v="5.22894623620647"/>
    <n v="17.283196279024398"/>
    <n v="5.22894623620647"/>
    <n v="17.283196279024398"/>
  </r>
  <r>
    <n v="903"/>
    <x v="1"/>
    <s v="Marine"/>
    <x v="0"/>
    <x v="0"/>
    <n v="11"/>
    <s v="Area 11: Mid-Puget Sound"/>
    <s v="Area 11: Mid-Puget Sound"/>
    <s v="NA"/>
    <x v="3"/>
    <s v="Skagit"/>
    <s v="02Skagit"/>
    <s v="North Puget Sound"/>
    <s v="01North Puget Sound"/>
    <n v="130.72365590516199"/>
    <n v="432.07990697561002"/>
    <n v="130.72365590516199"/>
    <n v="432.07990697561002"/>
  </r>
  <r>
    <n v="904"/>
    <x v="1"/>
    <s v="Marine"/>
    <x v="0"/>
    <x v="0"/>
    <n v="11"/>
    <s v="Area 11: Mid-Puget Sound"/>
    <s v="Area 11: Mid-Puget Sound"/>
    <s v="NA"/>
    <x v="3"/>
    <s v="Snohomish"/>
    <s v="03Snohomish"/>
    <s v="North Puget Sound"/>
    <s v="01North Puget Sound"/>
    <n v="198.69995697584599"/>
    <n v="656.76145860292797"/>
    <n v="198.69995697584599"/>
    <n v="656.76145860292797"/>
  </r>
  <r>
    <n v="908"/>
    <x v="1"/>
    <s v="Marine"/>
    <x v="0"/>
    <x v="0"/>
    <n v="11"/>
    <s v="Area 11: Mid-Puget Sound"/>
    <s v="Area 11: Mid-Puget Sound"/>
    <s v="NA"/>
    <x v="3"/>
    <s v="Thurston"/>
    <s v="08Thurston"/>
    <s v="South Puget Sound"/>
    <s v="02South Puget Sound"/>
    <n v="575.18408598271105"/>
    <n v="1901.15159069269"/>
    <n v="575.18408598271105"/>
    <n v="1901.15159069269"/>
  </r>
  <r>
    <n v="1015"/>
    <x v="2"/>
    <s v="Marine"/>
    <x v="0"/>
    <x v="0"/>
    <n v="11"/>
    <s v="Area 11: Mid-Puget Sound"/>
    <s v="Area 11: Mid-Puget Sound"/>
    <s v="NA"/>
    <x v="3"/>
    <s v="Clallam"/>
    <s v="11Clallam"/>
    <s v="Strait of Juan de Fuca"/>
    <s v="03Strait of Juan de Fuca"/>
    <n v="10.1723446893788"/>
    <n v="49.066997995991997"/>
    <n v="10.1723446893788"/>
    <n v="49.066997995991997"/>
  </r>
  <r>
    <n v="1009"/>
    <x v="2"/>
    <s v="Marine"/>
    <x v="0"/>
    <x v="0"/>
    <n v="11"/>
    <s v="Area 11: Mid-Puget Sound"/>
    <s v="Area 11: Mid-Puget Sound"/>
    <s v="NA"/>
    <x v="3"/>
    <s v="Island"/>
    <s v="04Island"/>
    <s v="North Puget Sound"/>
    <s v="01North Puget Sound"/>
    <n v="15.258517034068101"/>
    <n v="73.600496993988003"/>
    <n v="15.258517034068101"/>
    <n v="73.600496993988003"/>
  </r>
  <r>
    <n v="1010"/>
    <x v="2"/>
    <s v="Marine"/>
    <x v="0"/>
    <x v="0"/>
    <n v="11"/>
    <s v="Area 11: Mid-Puget Sound"/>
    <s v="Area 11: Mid-Puget Sound"/>
    <s v="NA"/>
    <x v="3"/>
    <s v="King"/>
    <s v="06King"/>
    <s v="South Puget Sound"/>
    <s v="02South Puget Sound"/>
    <n v="6047.45891783567"/>
    <n v="29170.330308617202"/>
    <n v="6047.45891783567"/>
    <n v="29170.330308617202"/>
  </r>
  <r>
    <n v="1014"/>
    <x v="2"/>
    <s v="Marine"/>
    <x v="0"/>
    <x v="0"/>
    <n v="11"/>
    <s v="Area 11: Mid-Puget Sound"/>
    <s v="Area 11: Mid-Puget Sound"/>
    <s v="NA"/>
    <x v="3"/>
    <s v="Kitsap"/>
    <s v="10Kitsap"/>
    <s v="South Puget Sound"/>
    <s v="02South Puget Sound"/>
    <n v="422.15230460921902"/>
    <n v="2036.28041683367"/>
    <n v="422.15230460921902"/>
    <n v="2036.28041683367"/>
  </r>
  <r>
    <n v="1013"/>
    <x v="2"/>
    <s v="Marine"/>
    <x v="0"/>
    <x v="0"/>
    <n v="11"/>
    <s v="Area 11: Mid-Puget Sound"/>
    <s v="Area 11: Mid-Puget Sound"/>
    <s v="NA"/>
    <x v="3"/>
    <s v="Mason"/>
    <s v="09Mason"/>
    <s v="South Puget Sound"/>
    <s v="02South Puget Sound"/>
    <n v="76.292585170340701"/>
    <n v="368.00248496993999"/>
    <n v="76.292585170340701"/>
    <n v="368.00248496993999"/>
  </r>
  <r>
    <n v="1016"/>
    <x v="2"/>
    <s v="Marine"/>
    <x v="0"/>
    <x v="0"/>
    <n v="11"/>
    <s v="Area 11: Mid-Puget Sound"/>
    <s v="Area 11: Mid-Puget Sound"/>
    <s v="NA"/>
    <x v="3"/>
    <s v="Other"/>
    <s v="20Other"/>
    <s v="Non Puget Sound"/>
    <s v="07Non Puget Sound"/>
    <n v="432.32464929859702"/>
    <n v="2085.34741482966"/>
    <n v="432.32464929859702"/>
    <n v="2085.34741482966"/>
  </r>
  <r>
    <n v="1011"/>
    <x v="2"/>
    <s v="Marine"/>
    <x v="0"/>
    <x v="0"/>
    <n v="11"/>
    <s v="Area 11: Mid-Puget Sound"/>
    <s v="Area 11: Mid-Puget Sound"/>
    <s v="NA"/>
    <x v="3"/>
    <s v="Pierce"/>
    <s v="07Pierce"/>
    <s v="South Puget Sound"/>
    <s v="02South Puget Sound"/>
    <n v="5264.1883767535101"/>
    <n v="25392.1714629259"/>
    <n v="5264.1883767535101"/>
    <n v="25392.1714629259"/>
  </r>
  <r>
    <n v="1008"/>
    <x v="2"/>
    <s v="Marine"/>
    <x v="0"/>
    <x v="0"/>
    <n v="11"/>
    <s v="Area 11: Mid-Puget Sound"/>
    <s v="Area 11: Mid-Puget Sound"/>
    <s v="NA"/>
    <x v="3"/>
    <s v="Snohomish"/>
    <s v="03Snohomish"/>
    <s v="North Puget Sound"/>
    <s v="01North Puget Sound"/>
    <n v="61.034068136272602"/>
    <n v="294.40198797595201"/>
    <n v="61.034068136272602"/>
    <n v="294.40198797595201"/>
  </r>
  <r>
    <n v="1012"/>
    <x v="2"/>
    <s v="Marine"/>
    <x v="0"/>
    <x v="0"/>
    <n v="11"/>
    <s v="Area 11: Mid-Puget Sound"/>
    <s v="Area 11: Mid-Puget Sound"/>
    <s v="NA"/>
    <x v="3"/>
    <s v="Thurston"/>
    <s v="08Thurston"/>
    <s v="South Puget Sound"/>
    <s v="02South Puget Sound"/>
    <n v="350.94589178356699"/>
    <n v="1692.8114308617201"/>
    <n v="350.94589178356699"/>
    <n v="1692.8114308617201"/>
  </r>
  <r>
    <n v="1007"/>
    <x v="2"/>
    <s v="Marine"/>
    <x v="0"/>
    <x v="0"/>
    <n v="11"/>
    <s v="Area 11: Mid-Puget Sound"/>
    <s v="Area 11: Mid-Puget Sound"/>
    <s v="NA"/>
    <x v="3"/>
    <s v="Whatcom"/>
    <s v="01Whatcom"/>
    <s v="North Puget Sound"/>
    <s v="01North Puget Sound"/>
    <n v="10.1723446893788"/>
    <n v="49.066997995991997"/>
    <n v="10.1723446893788"/>
    <n v="49.066997995991997"/>
  </r>
  <r>
    <n v="1189"/>
    <x v="3"/>
    <s v="Marine"/>
    <x v="0"/>
    <x v="0"/>
    <n v="11"/>
    <s v="Area 11: Mid-Puget Sound"/>
    <s v="Area 11: Mid-Puget Sound"/>
    <s v="NA"/>
    <x v="3"/>
    <s v="Clallam"/>
    <s v="11Clallam"/>
    <s v="Strait of Juan de Fuca"/>
    <s v="03Strait of Juan de Fuca"/>
    <n v="11.9892224788299"/>
    <n v="53.643926096997703"/>
    <n v="11.9892224788299"/>
    <n v="53.643926096997703"/>
  </r>
  <r>
    <n v="1113"/>
    <x v="3"/>
    <s v="Marine"/>
    <x v="0"/>
    <x v="0"/>
    <n v="11"/>
    <s v="Area 11: Mid-Puget Sound"/>
    <s v="Area 11: Mid-Puget Sound"/>
    <s v="NA"/>
    <x v="3"/>
    <s v="Island"/>
    <s v="04Island"/>
    <s v="North Puget Sound"/>
    <s v="01North Puget Sound"/>
    <n v="3.9964074929432898"/>
    <n v="17.881308698999199"/>
    <n v="3.9964074929432898"/>
    <n v="17.881308698999199"/>
  </r>
  <r>
    <n v="1114"/>
    <x v="3"/>
    <s v="Marine"/>
    <x v="0"/>
    <x v="0"/>
    <n v="11"/>
    <s v="Area 11: Mid-Puget Sound"/>
    <s v="Area 11: Mid-Puget Sound"/>
    <s v="NA"/>
    <x v="3"/>
    <s v="King"/>
    <s v="06King"/>
    <s v="South Puget Sound"/>
    <s v="02South Puget Sound"/>
    <n v="7521.23890171927"/>
    <n v="33652.622971516597"/>
    <n v="7521.23890171927"/>
    <n v="33652.622971516597"/>
  </r>
  <r>
    <n v="1188"/>
    <x v="3"/>
    <s v="Marine"/>
    <x v="0"/>
    <x v="0"/>
    <n v="11"/>
    <s v="Area 11: Mid-Puget Sound"/>
    <s v="Area 11: Mid-Puget Sound"/>
    <s v="NA"/>
    <x v="3"/>
    <s v="Kitsap"/>
    <s v="10Kitsap"/>
    <s v="South Puget Sound"/>
    <s v="02South Puget Sound"/>
    <n v="455.59045419553502"/>
    <n v="2038.4691916859099"/>
    <n v="455.59045419553502"/>
    <n v="2038.4691916859099"/>
  </r>
  <r>
    <n v="1187"/>
    <x v="3"/>
    <s v="Marine"/>
    <x v="0"/>
    <x v="0"/>
    <n v="11"/>
    <s v="Area 11: Mid-Puget Sound"/>
    <s v="Area 11: Mid-Puget Sound"/>
    <s v="NA"/>
    <x v="3"/>
    <s v="Mason"/>
    <s v="09Mason"/>
    <s v="South Puget Sound"/>
    <s v="02South Puget Sound"/>
    <n v="51.953297408262799"/>
    <n v="232.45701308699"/>
    <n v="51.953297408262799"/>
    <n v="232.45701308699"/>
  </r>
  <r>
    <n v="1190"/>
    <x v="3"/>
    <s v="Marine"/>
    <x v="0"/>
    <x v="0"/>
    <n v="11"/>
    <s v="Area 11: Mid-Puget Sound"/>
    <s v="Area 11: Mid-Puget Sound"/>
    <s v="NA"/>
    <x v="3"/>
    <s v="Other"/>
    <s v="20Other"/>
    <s v="Non Puget Sound"/>
    <s v="07Non Puget Sound"/>
    <n v="679.38927380035898"/>
    <n v="3039.8224788298699"/>
    <n v="679.38927380035898"/>
    <n v="3039.8224788298699"/>
  </r>
  <r>
    <n v="1115"/>
    <x v="3"/>
    <s v="Marine"/>
    <x v="0"/>
    <x v="0"/>
    <n v="11"/>
    <s v="Area 11: Mid-Puget Sound"/>
    <s v="Area 11: Mid-Puget Sound"/>
    <s v="NA"/>
    <x v="3"/>
    <s v="Pierce"/>
    <s v="07Pierce"/>
    <s v="South Puget Sound"/>
    <s v="02South Puget Sound"/>
    <n v="6182.4423915832704"/>
    <n v="27662.384557351801"/>
    <n v="6182.4423915832704"/>
    <n v="27662.384557351801"/>
  </r>
  <r>
    <n v="1111"/>
    <x v="3"/>
    <s v="Marine"/>
    <x v="0"/>
    <x v="0"/>
    <n v="11"/>
    <s v="Area 11: Mid-Puget Sound"/>
    <s v="Area 11: Mid-Puget Sound"/>
    <s v="NA"/>
    <x v="3"/>
    <s v="Skagit"/>
    <s v="02Skagit"/>
    <s v="North Puget Sound"/>
    <s v="01North Puget Sound"/>
    <n v="55.949704901206097"/>
    <n v="250.338321785989"/>
    <n v="55.949704901206097"/>
    <n v="250.338321785989"/>
  </r>
  <r>
    <n v="1112"/>
    <x v="3"/>
    <s v="Marine"/>
    <x v="0"/>
    <x v="0"/>
    <n v="11"/>
    <s v="Area 11: Mid-Puget Sound"/>
    <s v="Area 11: Mid-Puget Sound"/>
    <s v="NA"/>
    <x v="3"/>
    <s v="Snohomish"/>
    <s v="03Snohomish"/>
    <s v="North Puget Sound"/>
    <s v="01North Puget Sound"/>
    <n v="139.87426225301499"/>
    <n v="625.84580446497296"/>
    <n v="139.87426225301499"/>
    <n v="625.84580446497296"/>
  </r>
  <r>
    <n v="1186"/>
    <x v="3"/>
    <s v="Marine"/>
    <x v="0"/>
    <x v="0"/>
    <n v="11"/>
    <s v="Area 11: Mid-Puget Sound"/>
    <s v="Area 11: Mid-Puget Sound"/>
    <s v="NA"/>
    <x v="3"/>
    <s v="Thurston"/>
    <s v="08Thurston"/>
    <s v="South Puget Sound"/>
    <s v="02South Puget Sound"/>
    <n v="471.57608416730801"/>
    <n v="2109.9944264819101"/>
    <n v="471.57608416730801"/>
    <n v="2109.9944264819101"/>
  </r>
  <r>
    <n v="3063"/>
    <x v="4"/>
    <s v="Marine"/>
    <x v="0"/>
    <x v="0"/>
    <n v="11"/>
    <s v="Area 11: Mid-Puget Sound"/>
    <s v="Area 11: Mid-Puget Sound"/>
    <s v="NA"/>
    <x v="3"/>
    <s v="Clallam"/>
    <s v="11Clallam"/>
    <s v="Strait of Juan de Fuca"/>
    <s v="03Strait of Juan de Fuca"/>
    <n v="10.4988814317673"/>
    <n v="110.832505592841"/>
    <n v="10.4988814317673"/>
    <n v="110.832505592841"/>
  </r>
  <r>
    <n v="1214"/>
    <x v="4"/>
    <s v="Marine"/>
    <x v="0"/>
    <x v="0"/>
    <n v="11"/>
    <s v="Area 11: Mid-Puget Sound"/>
    <s v="Area 11: Mid-Puget Sound"/>
    <s v="NA"/>
    <x v="3"/>
    <s v="Island"/>
    <s v="04Island"/>
    <s v="North Puget Sound"/>
    <s v="01North Puget Sound"/>
    <n v="31.496644295302001"/>
    <n v="332.49751677852402"/>
    <n v="31.496644295302001"/>
    <n v="332.49751677852402"/>
  </r>
  <r>
    <n v="3022"/>
    <x v="4"/>
    <s v="Marine"/>
    <x v="0"/>
    <x v="0"/>
    <n v="11"/>
    <s v="Area 11: Mid-Puget Sound"/>
    <s v="Area 11: Mid-Puget Sound"/>
    <s v="NA"/>
    <x v="3"/>
    <s v="King"/>
    <s v="06King"/>
    <s v="South Puget Sound"/>
    <s v="02South Puget Sound"/>
    <n v="1784.8098434004501"/>
    <n v="18841.525950783001"/>
    <n v="1784.8098434004501"/>
    <n v="18841.525950783001"/>
  </r>
  <r>
    <n v="3026"/>
    <x v="4"/>
    <s v="Marine"/>
    <x v="0"/>
    <x v="0"/>
    <n v="11"/>
    <s v="Area 11: Mid-Puget Sound"/>
    <s v="Area 11: Mid-Puget Sound"/>
    <s v="NA"/>
    <x v="3"/>
    <s v="Kitsap"/>
    <s v="10Kitsap"/>
    <s v="South Puget Sound"/>
    <s v="02South Puget Sound"/>
    <n v="278.220357941835"/>
    <n v="2937.06139821029"/>
    <n v="278.220357941835"/>
    <n v="2937.06139821029"/>
  </r>
  <r>
    <n v="3025"/>
    <x v="4"/>
    <s v="Marine"/>
    <x v="0"/>
    <x v="0"/>
    <n v="11"/>
    <s v="Area 11: Mid-Puget Sound"/>
    <s v="Area 11: Mid-Puget Sound"/>
    <s v="NA"/>
    <x v="3"/>
    <s v="Mason"/>
    <s v="09Mason"/>
    <s v="South Puget Sound"/>
    <s v="02South Puget Sound"/>
    <n v="20.9977628635347"/>
    <n v="221.665011185682"/>
    <n v="20.9977628635347"/>
    <n v="221.665011185682"/>
  </r>
  <r>
    <n v="3064"/>
    <x v="4"/>
    <s v="Marine"/>
    <x v="0"/>
    <x v="0"/>
    <n v="11"/>
    <s v="Area 11: Mid-Puget Sound"/>
    <s v="Area 11: Mid-Puget Sound"/>
    <s v="NA"/>
    <x v="3"/>
    <s v="Other"/>
    <s v="20Other"/>
    <s v="Non Puget Sound"/>
    <s v="07Non Puget Sound"/>
    <n v="241.47427293064899"/>
    <n v="2549.14762863535"/>
    <n v="241.47427293064899"/>
    <n v="2549.14762863535"/>
  </r>
  <r>
    <n v="3023"/>
    <x v="4"/>
    <s v="Marine"/>
    <x v="0"/>
    <x v="0"/>
    <n v="11"/>
    <s v="Area 11: Mid-Puget Sound"/>
    <s v="Area 11: Mid-Puget Sound"/>
    <s v="NA"/>
    <x v="3"/>
    <s v="Pierce"/>
    <s v="07Pierce"/>
    <s v="South Puget Sound"/>
    <s v="02South Puget Sound"/>
    <n v="2178.51789709172"/>
    <n v="22997.744910514601"/>
    <n v="2178.51789709172"/>
    <n v="22997.744910514601"/>
  </r>
  <r>
    <n v="1212"/>
    <x v="4"/>
    <s v="Marine"/>
    <x v="0"/>
    <x v="0"/>
    <n v="11"/>
    <s v="Area 11: Mid-Puget Sound"/>
    <s v="Area 11: Mid-Puget Sound"/>
    <s v="NA"/>
    <x v="3"/>
    <s v="Skagit"/>
    <s v="02Skagit"/>
    <s v="North Puget Sound"/>
    <s v="01North Puget Sound"/>
    <n v="68.242729306487703"/>
    <n v="720.41128635346797"/>
    <n v="68.242729306487703"/>
    <n v="720.41128635346797"/>
  </r>
  <r>
    <n v="1213"/>
    <x v="4"/>
    <s v="Marine"/>
    <x v="0"/>
    <x v="0"/>
    <n v="11"/>
    <s v="Area 11: Mid-Puget Sound"/>
    <s v="Area 11: Mid-Puget Sound"/>
    <s v="NA"/>
    <x v="3"/>
    <s v="Snohomish"/>
    <s v="03Snohomish"/>
    <s v="North Puget Sound"/>
    <s v="01North Puget Sound"/>
    <n v="62.993288590604003"/>
    <n v="664.99503355704701"/>
    <n v="62.993288590604003"/>
    <n v="664.99503355704701"/>
  </r>
  <r>
    <n v="3024"/>
    <x v="4"/>
    <s v="Marine"/>
    <x v="0"/>
    <x v="0"/>
    <n v="11"/>
    <s v="Area 11: Mid-Puget Sound"/>
    <s v="Area 11: Mid-Puget Sound"/>
    <s v="NA"/>
    <x v="3"/>
    <s v="Thurston"/>
    <s v="08Thurston"/>
    <s v="South Puget Sound"/>
    <s v="02South Puget Sound"/>
    <n v="10.4988814317673"/>
    <n v="110.832505592841"/>
    <n v="10.4988814317673"/>
    <n v="110.832505592841"/>
  </r>
  <r>
    <n v="1211"/>
    <x v="4"/>
    <s v="Marine"/>
    <x v="0"/>
    <x v="0"/>
    <n v="11"/>
    <s v="Area 11: Mid-Puget Sound"/>
    <s v="Area 11: Mid-Puget Sound"/>
    <s v="NA"/>
    <x v="3"/>
    <s v="Whatcom"/>
    <s v="01Whatcom"/>
    <s v="North Puget Sound"/>
    <s v="01North Puget Sound"/>
    <n v="5.2494407158836696"/>
    <n v="55.416252796420601"/>
    <n v="5.2494407158836696"/>
    <n v="55.416252796420601"/>
  </r>
  <r>
    <n v="3350"/>
    <x v="5"/>
    <s v="Marine"/>
    <x v="0"/>
    <x v="0"/>
    <n v="11"/>
    <s v="Area 11: Mid-Puget Sound"/>
    <s v="Area 11: Mid-Puget Sound"/>
    <s v="NA"/>
    <x v="3"/>
    <s v="Island"/>
    <s v="04Island"/>
    <s v="North Puget Sound"/>
    <s v="01North Puget Sound"/>
    <n v="4.6032403918613403"/>
    <n v="19.3646948003014"/>
    <n v="4.6032403918613403"/>
    <n v="19.3646948003014"/>
  </r>
  <r>
    <n v="3381"/>
    <x v="5"/>
    <s v="Marine"/>
    <x v="0"/>
    <x v="0"/>
    <n v="11"/>
    <s v="Area 11: Mid-Puget Sound"/>
    <s v="Area 11: Mid-Puget Sound"/>
    <s v="NA"/>
    <x v="3"/>
    <s v="King"/>
    <s v="06King"/>
    <s v="South Puget Sound"/>
    <s v="02South Puget Sound"/>
    <n v="5832.3055764883202"/>
    <n v="24535.0683119819"/>
    <n v="5832.3055764883202"/>
    <n v="24535.0683119819"/>
  </r>
  <r>
    <n v="3489"/>
    <x v="5"/>
    <s v="Marine"/>
    <x v="0"/>
    <x v="0"/>
    <n v="11"/>
    <s v="Area 11: Mid-Puget Sound"/>
    <s v="Area 11: Mid-Puget Sound"/>
    <s v="NA"/>
    <x v="3"/>
    <s v="Kitsap"/>
    <s v="10Kitsap"/>
    <s v="South Puget Sound"/>
    <s v="02South Puget Sound"/>
    <n v="363.65599095704601"/>
    <n v="1529.8108892238099"/>
    <n v="363.65599095704601"/>
    <n v="1529.8108892238099"/>
  </r>
  <r>
    <n v="3448"/>
    <x v="5"/>
    <s v="Marine"/>
    <x v="0"/>
    <x v="0"/>
    <n v="11"/>
    <s v="Area 11: Mid-Puget Sound"/>
    <s v="Area 11: Mid-Puget Sound"/>
    <s v="NA"/>
    <x v="3"/>
    <s v="Mason"/>
    <s v="09Mason"/>
    <s v="South Puget Sound"/>
    <s v="02South Puget Sound"/>
    <n v="32.222682743029402"/>
    <n v="135.55286360210999"/>
    <n v="32.222682743029402"/>
    <n v="135.55286360210999"/>
  </r>
  <r>
    <n v="3490"/>
    <x v="5"/>
    <s v="Marine"/>
    <x v="0"/>
    <x v="0"/>
    <n v="11"/>
    <s v="Area 11: Mid-Puget Sound"/>
    <s v="Area 11: Mid-Puget Sound"/>
    <s v="NA"/>
    <x v="3"/>
    <s v="Other"/>
    <s v="20Other"/>
    <s v="Non Puget Sound"/>
    <s v="07Non Puget Sound"/>
    <n v="612.23097211755805"/>
    <n v="2575.5044084400902"/>
    <n v="612.23097211755805"/>
    <n v="2575.5044084400902"/>
  </r>
  <r>
    <n v="3446"/>
    <x v="5"/>
    <s v="Marine"/>
    <x v="0"/>
    <x v="0"/>
    <n v="11"/>
    <s v="Area 11: Mid-Puget Sound"/>
    <s v="Area 11: Mid-Puget Sound"/>
    <s v="NA"/>
    <x v="3"/>
    <s v="Pierce"/>
    <s v="07Pierce"/>
    <s v="South Puget Sound"/>
    <s v="02South Puget Sound"/>
    <n v="4902.4510173323297"/>
    <n v="20623.399962321"/>
    <n v="4902.4510173323297"/>
    <n v="20623.399962321"/>
  </r>
  <r>
    <n v="3348"/>
    <x v="5"/>
    <s v="Marine"/>
    <x v="0"/>
    <x v="0"/>
    <n v="11"/>
    <s v="Area 11: Mid-Puget Sound"/>
    <s v="Area 11: Mid-Puget Sound"/>
    <s v="NA"/>
    <x v="3"/>
    <s v="Skagit"/>
    <s v="02Skagit"/>
    <s v="North Puget Sound"/>
    <s v="01North Puget Sound"/>
    <n v="36.825923134890701"/>
    <n v="154.917558402411"/>
    <n v="36.825923134890701"/>
    <n v="154.917558402411"/>
  </r>
  <r>
    <n v="3349"/>
    <x v="5"/>
    <s v="Marine"/>
    <x v="0"/>
    <x v="0"/>
    <n v="11"/>
    <s v="Area 11: Mid-Puget Sound"/>
    <s v="Area 11: Mid-Puget Sound"/>
    <s v="NA"/>
    <x v="3"/>
    <s v="Snohomish"/>
    <s v="03Snohomish"/>
    <s v="North Puget Sound"/>
    <s v="01North Puget Sound"/>
    <n v="87.461567445365503"/>
    <n v="367.929201205727"/>
    <n v="87.461567445365503"/>
    <n v="367.929201205727"/>
  </r>
  <r>
    <n v="3447"/>
    <x v="5"/>
    <s v="Marine"/>
    <x v="0"/>
    <x v="0"/>
    <n v="11"/>
    <s v="Area 11: Mid-Puget Sound"/>
    <s v="Area 11: Mid-Puget Sound"/>
    <s v="NA"/>
    <x v="3"/>
    <s v="Thurston"/>
    <s v="08Thurston"/>
    <s v="South Puget Sound"/>
    <s v="02South Puget Sound"/>
    <n v="345.24302938960102"/>
    <n v="1452.3521100226101"/>
    <n v="345.24302938960102"/>
    <n v="1452.3521100226101"/>
  </r>
  <r>
    <n v="74"/>
    <x v="6"/>
    <s v="Marine"/>
    <x v="0"/>
    <x v="0"/>
    <n v="11"/>
    <s v="Area 11: Mid-Puget Sound"/>
    <s v="Area 11: Mid-Puget Sound"/>
    <s v="NA"/>
    <x v="3"/>
    <s v="Clallam"/>
    <s v="11Clallam"/>
    <s v="Strait of Juan de Fuca"/>
    <s v="03Strait of Juan de Fuca"/>
    <n v="34.772993372221897"/>
    <n v="307.97881619937698"/>
    <n v="34.772993372221897"/>
    <n v="307.97881619937698"/>
  </r>
  <r>
    <n v="69"/>
    <x v="6"/>
    <s v="Marine"/>
    <x v="0"/>
    <x v="0"/>
    <n v="11"/>
    <s v="Area 11: Mid-Puget Sound"/>
    <s v="Area 11: Mid-Puget Sound"/>
    <s v="NA"/>
    <x v="3"/>
    <s v="Island"/>
    <s v="04Island"/>
    <s v="North Puget Sound"/>
    <s v="01North Puget Sound"/>
    <n v="6.9545986744443802"/>
    <n v="61.595763239875403"/>
    <n v="6.9545986744443802"/>
    <n v="61.595763239875403"/>
  </r>
  <r>
    <n v="70"/>
    <x v="6"/>
    <s v="Marine"/>
    <x v="0"/>
    <x v="0"/>
    <n v="11"/>
    <s v="Area 11: Mid-Puget Sound"/>
    <s v="Area 11: Mid-Puget Sound"/>
    <s v="NA"/>
    <x v="3"/>
    <s v="King"/>
    <s v="06King"/>
    <s v="South Puget Sound"/>
    <s v="02South Puget Sound"/>
    <n v="549.413295281106"/>
    <n v="4866.0652959501604"/>
    <n v="549.413295281106"/>
    <n v="4866.0652959501604"/>
  </r>
  <r>
    <n v="73"/>
    <x v="6"/>
    <s v="Marine"/>
    <x v="0"/>
    <x v="0"/>
    <n v="11"/>
    <s v="Area 11: Mid-Puget Sound"/>
    <s v="Area 11: Mid-Puget Sound"/>
    <s v="NA"/>
    <x v="3"/>
    <s v="Kitsap"/>
    <s v="10Kitsap"/>
    <s v="South Puget Sound"/>
    <s v="02South Puget Sound"/>
    <n v="153.00117083777599"/>
    <n v="1355.1067912772601"/>
    <n v="153.00117083777599"/>
    <n v="1355.1067912772601"/>
  </r>
  <r>
    <n v="75"/>
    <x v="6"/>
    <s v="Marine"/>
    <x v="0"/>
    <x v="0"/>
    <n v="11"/>
    <s v="Area 11: Mid-Puget Sound"/>
    <s v="Area 11: Mid-Puget Sound"/>
    <s v="NA"/>
    <x v="3"/>
    <s v="Other"/>
    <s v="20Other"/>
    <s v="Non Puget Sound"/>
    <s v="07Non Puget Sound"/>
    <n v="90.409782767776903"/>
    <n v="800.74492211838003"/>
    <n v="90.409782767776903"/>
    <n v="800.74492211838003"/>
  </r>
  <r>
    <n v="71"/>
    <x v="6"/>
    <s v="Marine"/>
    <x v="0"/>
    <x v="0"/>
    <n v="11"/>
    <s v="Area 11: Mid-Puget Sound"/>
    <s v="Area 11: Mid-Puget Sound"/>
    <s v="NA"/>
    <x v="3"/>
    <s v="Pierce"/>
    <s v="07Pierce"/>
    <s v="South Puget Sound"/>
    <s v="02South Puget Sound"/>
    <n v="1328.3283468188799"/>
    <n v="11764.790778816199"/>
    <n v="1328.3283468188799"/>
    <n v="11764.790778816199"/>
  </r>
  <r>
    <n v="67"/>
    <x v="6"/>
    <s v="Marine"/>
    <x v="0"/>
    <x v="0"/>
    <n v="11"/>
    <s v="Area 11: Mid-Puget Sound"/>
    <s v="Area 11: Mid-Puget Sound"/>
    <s v="NA"/>
    <x v="3"/>
    <s v="Skagit"/>
    <s v="02Skagit"/>
    <s v="North Puget Sound"/>
    <s v="01North Puget Sound"/>
    <n v="13.909197348888799"/>
    <n v="123.191526479751"/>
    <n v="13.909197348888799"/>
    <n v="123.191526479751"/>
  </r>
  <r>
    <n v="68"/>
    <x v="6"/>
    <s v="Marine"/>
    <x v="0"/>
    <x v="0"/>
    <n v="11"/>
    <s v="Area 11: Mid-Puget Sound"/>
    <s v="Area 11: Mid-Puget Sound"/>
    <s v="NA"/>
    <x v="3"/>
    <s v="Snohomish"/>
    <s v="03Snohomish"/>
    <s v="North Puget Sound"/>
    <s v="01North Puget Sound"/>
    <n v="13.909197348888799"/>
    <n v="123.191526479751"/>
    <n v="13.909197348888799"/>
    <n v="123.191526479751"/>
  </r>
  <r>
    <n v="72"/>
    <x v="6"/>
    <s v="Marine"/>
    <x v="0"/>
    <x v="0"/>
    <n v="11"/>
    <s v="Area 11: Mid-Puget Sound"/>
    <s v="Area 11: Mid-Puget Sound"/>
    <s v="NA"/>
    <x v="3"/>
    <s v="Thurston"/>
    <s v="08Thurston"/>
    <s v="South Puget Sound"/>
    <s v="02South Puget Sound"/>
    <n v="13.909197348888799"/>
    <n v="123.191526479751"/>
    <n v="13.909197348888799"/>
    <n v="123.191526479751"/>
  </r>
  <r>
    <n v="3724"/>
    <x v="6"/>
    <s v="Marine"/>
    <x v="0"/>
    <x v="0"/>
    <n v="11"/>
    <s v="Area 11: Mid-Puget Sound"/>
    <s v="Area 11: Mid-Puget Sound"/>
    <s v="NA"/>
    <x v="3"/>
    <s v="Whatcom"/>
    <s v="01Whatcom"/>
    <s v="North Puget Sound"/>
    <s v="01North Puget Sound"/>
    <n v="27.818394697777499"/>
    <n v="246.38305295950201"/>
    <n v="27.818394697777499"/>
    <n v="246.38305295950201"/>
  </r>
  <r>
    <n v="186"/>
    <x v="7"/>
    <s v="Marine"/>
    <x v="0"/>
    <x v="0"/>
    <n v="11"/>
    <s v="Area 11: Mid-Puget Sound"/>
    <s v="Area 11: Mid-Puget Sound"/>
    <s v="NA"/>
    <x v="3"/>
    <s v="Jefferson"/>
    <s v="12Jefferson"/>
    <s v="Strait of Juan de Fuca"/>
    <s v="03Strait of Juan de Fuca"/>
    <n v="5.10889929742389"/>
    <n v="21.911801350404701"/>
    <n v="5.10889929742389"/>
    <n v="21.911801350404701"/>
  </r>
  <r>
    <n v="181"/>
    <x v="7"/>
    <s v="Marine"/>
    <x v="0"/>
    <x v="0"/>
    <n v="11"/>
    <s v="Area 11: Mid-Puget Sound"/>
    <s v="Area 11: Mid-Puget Sound"/>
    <s v="NA"/>
    <x v="3"/>
    <s v="King"/>
    <s v="06King"/>
    <s v="South Puget Sound"/>
    <s v="02South Puget Sound"/>
    <n v="3366.7646370023399"/>
    <n v="14439.877089916699"/>
    <n v="3366.7646370023399"/>
    <n v="14439.877089916699"/>
  </r>
  <r>
    <n v="185"/>
    <x v="7"/>
    <s v="Marine"/>
    <x v="0"/>
    <x v="0"/>
    <n v="11"/>
    <s v="Area 11: Mid-Puget Sound"/>
    <s v="Area 11: Mid-Puget Sound"/>
    <s v="NA"/>
    <x v="3"/>
    <s v="Kitsap"/>
    <s v="10Kitsap"/>
    <s v="South Puget Sound"/>
    <s v="02South Puget Sound"/>
    <n v="592.63231850117097"/>
    <n v="2541.7689566469398"/>
    <n v="592.63231850117097"/>
    <n v="2541.7689566469398"/>
  </r>
  <r>
    <n v="184"/>
    <x v="7"/>
    <s v="Marine"/>
    <x v="0"/>
    <x v="0"/>
    <n v="11"/>
    <s v="Area 11: Mid-Puget Sound"/>
    <s v="Area 11: Mid-Puget Sound"/>
    <s v="NA"/>
    <x v="3"/>
    <s v="Mason"/>
    <s v="09Mason"/>
    <s v="South Puget Sound"/>
    <s v="02South Puget Sound"/>
    <n v="189.029274004684"/>
    <n v="810.73664996497405"/>
    <n v="189.029274004684"/>
    <n v="810.73664996497405"/>
  </r>
  <r>
    <n v="187"/>
    <x v="7"/>
    <s v="Marine"/>
    <x v="0"/>
    <x v="0"/>
    <n v="11"/>
    <s v="Area 11: Mid-Puget Sound"/>
    <s v="Area 11: Mid-Puget Sound"/>
    <s v="NA"/>
    <x v="3"/>
    <s v="Other"/>
    <s v="20Other"/>
    <s v="Non Puget Sound"/>
    <s v="07Non Puget Sound"/>
    <n v="352.514051522248"/>
    <n v="1511.9142931779199"/>
    <n v="352.514051522248"/>
    <n v="1511.9142931779199"/>
  </r>
  <r>
    <n v="182"/>
    <x v="7"/>
    <s v="Marine"/>
    <x v="0"/>
    <x v="0"/>
    <n v="11"/>
    <s v="Area 11: Mid-Puget Sound"/>
    <s v="Area 11: Mid-Puget Sound"/>
    <s v="NA"/>
    <x v="3"/>
    <s v="Pierce"/>
    <s v="07Pierce"/>
    <s v="South Puget Sound"/>
    <s v="02South Puget Sound"/>
    <n v="3908.3079625292698"/>
    <n v="16762.5280330596"/>
    <n v="3908.3079625292698"/>
    <n v="16762.5280330596"/>
  </r>
  <r>
    <n v="179"/>
    <x v="7"/>
    <s v="Marine"/>
    <x v="0"/>
    <x v="0"/>
    <n v="11"/>
    <s v="Area 11: Mid-Puget Sound"/>
    <s v="Area 11: Mid-Puget Sound"/>
    <s v="NA"/>
    <x v="3"/>
    <s v="Skagit"/>
    <s v="02Skagit"/>
    <s v="North Puget Sound"/>
    <s v="01North Puget Sound"/>
    <n v="25.5444964871194"/>
    <n v="109.559006752023"/>
    <n v="25.5444964871194"/>
    <n v="109.559006752023"/>
  </r>
  <r>
    <n v="180"/>
    <x v="7"/>
    <s v="Marine"/>
    <x v="0"/>
    <x v="0"/>
    <n v="11"/>
    <s v="Area 11: Mid-Puget Sound"/>
    <s v="Area 11: Mid-Puget Sound"/>
    <s v="NA"/>
    <x v="3"/>
    <s v="Snohomish"/>
    <s v="03Snohomish"/>
    <s v="North Puget Sound"/>
    <s v="01North Puget Sound"/>
    <n v="178.81147540983599"/>
    <n v="766.91304726416399"/>
    <n v="178.81147540983599"/>
    <n v="766.91304726416399"/>
  </r>
  <r>
    <n v="183"/>
    <x v="7"/>
    <s v="Marine"/>
    <x v="0"/>
    <x v="0"/>
    <n v="11"/>
    <s v="Area 11: Mid-Puget Sound"/>
    <s v="Area 11: Mid-Puget Sound"/>
    <s v="NA"/>
    <x v="3"/>
    <s v="Thurston"/>
    <s v="08Thurston"/>
    <s v="South Puget Sound"/>
    <s v="02South Puget Sound"/>
    <n v="86.851288056206101"/>
    <n v="372.50062295688002"/>
    <n v="86.851288056206101"/>
    <n v="372.50062295688002"/>
  </r>
  <r>
    <n v="178"/>
    <x v="7"/>
    <s v="Marine"/>
    <x v="0"/>
    <x v="0"/>
    <n v="11"/>
    <s v="Area 11: Mid-Puget Sound"/>
    <s v="Area 11: Mid-Puget Sound"/>
    <s v="NA"/>
    <x v="3"/>
    <s v="Whatcom"/>
    <s v="01Whatcom"/>
    <s v="North Puget Sound"/>
    <s v="01North Puget Sound"/>
    <n v="20.435597189695599"/>
    <n v="87.647205401618805"/>
    <n v="20.435597189695599"/>
    <n v="87.647205401618805"/>
  </r>
  <r>
    <n v="291"/>
    <x v="8"/>
    <s v="Marine"/>
    <x v="0"/>
    <x v="0"/>
    <n v="11"/>
    <s v="Area 11: Mid-Puget Sound"/>
    <s v="Area 11: Mid-Puget Sound"/>
    <s v="NA"/>
    <x v="3"/>
    <s v="Island"/>
    <s v="04Island"/>
    <s v="North Puget Sound"/>
    <s v="01North Puget Sound"/>
    <n v="6.8807947019867601"/>
    <n v="20.637457922790901"/>
    <n v="6.8807947019867601"/>
    <n v="20.637457922790901"/>
  </r>
  <r>
    <n v="292"/>
    <x v="8"/>
    <s v="Marine"/>
    <x v="0"/>
    <x v="0"/>
    <n v="11"/>
    <s v="Area 11: Mid-Puget Sound"/>
    <s v="Area 11: Mid-Puget Sound"/>
    <s v="NA"/>
    <x v="3"/>
    <s v="King"/>
    <s v="06King"/>
    <s v="South Puget Sound"/>
    <s v="02South Puget Sound"/>
    <n v="5153.71523178808"/>
    <n v="15457.455984170399"/>
    <n v="5153.71523178808"/>
    <n v="15457.455984170399"/>
  </r>
  <r>
    <n v="296"/>
    <x v="8"/>
    <s v="Marine"/>
    <x v="0"/>
    <x v="0"/>
    <n v="11"/>
    <s v="Area 11: Mid-Puget Sound"/>
    <s v="Area 11: Mid-Puget Sound"/>
    <s v="NA"/>
    <x v="3"/>
    <s v="Kitsap"/>
    <s v="10Kitsap"/>
    <s v="South Puget Sound"/>
    <s v="02South Puget Sound"/>
    <n v="288.99337748344402"/>
    <n v="866.77323275721699"/>
    <n v="288.99337748344402"/>
    <n v="866.77323275721699"/>
  </r>
  <r>
    <n v="295"/>
    <x v="8"/>
    <s v="Marine"/>
    <x v="0"/>
    <x v="0"/>
    <n v="11"/>
    <s v="Area 11: Mid-Puget Sound"/>
    <s v="Area 11: Mid-Puget Sound"/>
    <s v="NA"/>
    <x v="3"/>
    <s v="Mason"/>
    <s v="09Mason"/>
    <s v="South Puget Sound"/>
    <s v="02South Puget Sound"/>
    <n v="89.450331125827802"/>
    <n v="268.28695299628203"/>
    <n v="89.450331125827802"/>
    <n v="268.28695299628203"/>
  </r>
  <r>
    <n v="297"/>
    <x v="8"/>
    <s v="Marine"/>
    <x v="0"/>
    <x v="0"/>
    <n v="11"/>
    <s v="Area 11: Mid-Puget Sound"/>
    <s v="Area 11: Mid-Puget Sound"/>
    <s v="NA"/>
    <x v="3"/>
    <s v="Other"/>
    <s v="20Other"/>
    <s v="Non Puget Sound"/>
    <s v="07Non Puget Sound"/>
    <n v="288.99337748344402"/>
    <n v="866.77323275721699"/>
    <n v="288.99337748344402"/>
    <n v="866.77323275721699"/>
  </r>
  <r>
    <n v="293"/>
    <x v="8"/>
    <s v="Marine"/>
    <x v="0"/>
    <x v="0"/>
    <n v="11"/>
    <s v="Area 11: Mid-Puget Sound"/>
    <s v="Area 11: Mid-Puget Sound"/>
    <s v="NA"/>
    <x v="3"/>
    <s v="Pierce"/>
    <s v="07Pierce"/>
    <s v="South Puget Sound"/>
    <s v="02South Puget Sound"/>
    <n v="6316.56953642384"/>
    <n v="18945.186373122"/>
    <n v="6316.56953642384"/>
    <n v="18945.186373122"/>
  </r>
  <r>
    <n v="289"/>
    <x v="8"/>
    <s v="Marine"/>
    <x v="0"/>
    <x v="0"/>
    <n v="11"/>
    <s v="Area 11: Mid-Puget Sound"/>
    <s v="Area 11: Mid-Puget Sound"/>
    <s v="NA"/>
    <x v="3"/>
    <s v="Skagit"/>
    <s v="02Skagit"/>
    <s v="North Puget Sound"/>
    <s v="01North Puget Sound"/>
    <n v="34.403973509933799"/>
    <n v="103.18728961395399"/>
    <n v="34.403973509933799"/>
    <n v="103.18728961395399"/>
  </r>
  <r>
    <n v="290"/>
    <x v="8"/>
    <s v="Marine"/>
    <x v="0"/>
    <x v="0"/>
    <n v="11"/>
    <s v="Area 11: Mid-Puget Sound"/>
    <s v="Area 11: Mid-Puget Sound"/>
    <s v="NA"/>
    <x v="3"/>
    <s v="Snohomish"/>
    <s v="03Snohomish"/>
    <s v="North Puget Sound"/>
    <s v="01North Puget Sound"/>
    <n v="110.09271523178801"/>
    <n v="330.19932676465402"/>
    <n v="110.09271523178801"/>
    <n v="330.19932676465402"/>
  </r>
  <r>
    <n v="294"/>
    <x v="8"/>
    <s v="Marine"/>
    <x v="0"/>
    <x v="0"/>
    <n v="11"/>
    <s v="Area 11: Mid-Puget Sound"/>
    <s v="Area 11: Mid-Puget Sound"/>
    <s v="NA"/>
    <x v="3"/>
    <s v="Thurston"/>
    <s v="08Thurston"/>
    <s v="South Puget Sound"/>
    <s v="02South Puget Sound"/>
    <n v="165.139072847682"/>
    <n v="495.298990146981"/>
    <n v="165.139072847682"/>
    <n v="495.298990146981"/>
  </r>
  <r>
    <n v="288"/>
    <x v="8"/>
    <s v="Marine"/>
    <x v="0"/>
    <x v="0"/>
    <n v="11"/>
    <s v="Area 11: Mid-Puget Sound"/>
    <s v="Area 11: Mid-Puget Sound"/>
    <s v="NA"/>
    <x v="3"/>
    <s v="Whatcom"/>
    <s v="01Whatcom"/>
    <s v="North Puget Sound"/>
    <s v="01North Puget Sound"/>
    <n v="13.761589403973501"/>
    <n v="41.274915845581802"/>
    <n v="13.761589403973501"/>
    <n v="41.274915845581802"/>
  </r>
  <r>
    <n v="407"/>
    <x v="9"/>
    <s v="Marine"/>
    <x v="0"/>
    <x v="0"/>
    <n v="11"/>
    <s v="Area 11: Mid-Puget Sound"/>
    <s v="Area 11: Mid-Puget Sound"/>
    <s v="NA"/>
    <x v="3"/>
    <s v="Clallam"/>
    <s v="11Clallam"/>
    <s v="Strait of Juan de Fuca"/>
    <s v="03Strait of Juan de Fuca"/>
    <n v="6.0301163586584501"/>
    <n v="18.190389110962901"/>
    <n v="6.0301163586584501"/>
    <n v="18.190389110962901"/>
  </r>
  <r>
    <n v="401"/>
    <x v="9"/>
    <s v="Marine"/>
    <x v="0"/>
    <x v="0"/>
    <n v="11"/>
    <s v="Area 11: Mid-Puget Sound"/>
    <s v="Area 11: Mid-Puget Sound"/>
    <s v="NA"/>
    <x v="3"/>
    <s v="Island"/>
    <s v="04Island"/>
    <s v="North Puget Sound"/>
    <s v="01North Puget Sound"/>
    <n v="6.0301163586584501"/>
    <n v="18.190389110962901"/>
    <n v="6.0301163586584501"/>
    <n v="18.190389110962901"/>
  </r>
  <r>
    <n v="402"/>
    <x v="9"/>
    <s v="Marine"/>
    <x v="0"/>
    <x v="0"/>
    <n v="11"/>
    <s v="Area 11: Mid-Puget Sound"/>
    <s v="Area 11: Mid-Puget Sound"/>
    <s v="NA"/>
    <x v="3"/>
    <s v="King"/>
    <s v="06King"/>
    <s v="South Puget Sound"/>
    <s v="02South Puget Sound"/>
    <n v="4124.5995893223799"/>
    <n v="12442.2261518986"/>
    <n v="4124.5995893223799"/>
    <n v="12442.2261518986"/>
  </r>
  <r>
    <n v="406"/>
    <x v="9"/>
    <s v="Marine"/>
    <x v="0"/>
    <x v="0"/>
    <n v="11"/>
    <s v="Area 11: Mid-Puget Sound"/>
    <s v="Area 11: Mid-Puget Sound"/>
    <s v="NA"/>
    <x v="3"/>
    <s v="Kitsap"/>
    <s v="10Kitsap"/>
    <s v="South Puget Sound"/>
    <s v="02South Puget Sound"/>
    <n v="416.078028747433"/>
    <n v="1255.13684865644"/>
    <n v="416.078028747433"/>
    <n v="1255.13684865644"/>
  </r>
  <r>
    <n v="405"/>
    <x v="9"/>
    <s v="Marine"/>
    <x v="0"/>
    <x v="0"/>
    <n v="11"/>
    <s v="Area 11: Mid-Puget Sound"/>
    <s v="Area 11: Mid-Puget Sound"/>
    <s v="NA"/>
    <x v="3"/>
    <s v="Mason"/>
    <s v="09Mason"/>
    <s v="South Puget Sound"/>
    <s v="02South Puget Sound"/>
    <n v="42.210814510609197"/>
    <n v="127.33272377674101"/>
    <n v="42.210814510609197"/>
    <n v="127.33272377674101"/>
  </r>
  <r>
    <n v="408"/>
    <x v="9"/>
    <s v="Marine"/>
    <x v="0"/>
    <x v="0"/>
    <n v="11"/>
    <s v="Area 11: Mid-Puget Sound"/>
    <s v="Area 11: Mid-Puget Sound"/>
    <s v="NA"/>
    <x v="3"/>
    <s v="Other"/>
    <s v="20Other"/>
    <s v="Non Puget Sound"/>
    <s v="07Non Puget Sound"/>
    <n v="349.74674880218998"/>
    <n v="1055.0425684358499"/>
    <n v="349.74674880218998"/>
    <n v="1055.0425684358499"/>
  </r>
  <r>
    <n v="403"/>
    <x v="9"/>
    <s v="Marine"/>
    <x v="0"/>
    <x v="0"/>
    <n v="11"/>
    <s v="Area 11: Mid-Puget Sound"/>
    <s v="Area 11: Mid-Puget Sound"/>
    <s v="NA"/>
    <x v="3"/>
    <s v="Pierce"/>
    <s v="07Pierce"/>
    <s v="South Puget Sound"/>
    <s v="02South Puget Sound"/>
    <n v="3678.3709787816601"/>
    <n v="11096.137357687399"/>
    <n v="3678.3709787816601"/>
    <n v="11096.137357687399"/>
  </r>
  <r>
    <n v="400"/>
    <x v="9"/>
    <s v="Marine"/>
    <x v="0"/>
    <x v="0"/>
    <n v="11"/>
    <s v="Area 11: Mid-Puget Sound"/>
    <s v="Area 11: Mid-Puget Sound"/>
    <s v="NA"/>
    <x v="3"/>
    <s v="Snohomish"/>
    <s v="03Snohomish"/>
    <s v="North Puget Sound"/>
    <s v="01North Puget Sound"/>
    <n v="66.331279945242997"/>
    <n v="200.094280220592"/>
    <n v="66.331279945242997"/>
    <n v="200.094280220592"/>
  </r>
  <r>
    <n v="404"/>
    <x v="9"/>
    <s v="Marine"/>
    <x v="0"/>
    <x v="0"/>
    <n v="11"/>
    <s v="Area 11: Mid-Puget Sound"/>
    <s v="Area 11: Mid-Puget Sound"/>
    <s v="NA"/>
    <x v="3"/>
    <s v="Thurston"/>
    <s v="08Thurston"/>
    <s v="South Puget Sound"/>
    <s v="02South Puget Sound"/>
    <n v="72.3613963039015"/>
    <n v="218.28466933155499"/>
    <n v="72.3613963039015"/>
    <n v="218.28466933155499"/>
  </r>
  <r>
    <n v="399"/>
    <x v="9"/>
    <s v="Marine"/>
    <x v="0"/>
    <x v="0"/>
    <n v="11"/>
    <s v="Area 11: Mid-Puget Sound"/>
    <s v="Area 11: Mid-Puget Sound"/>
    <s v="NA"/>
    <x v="3"/>
    <s v="Whatcom"/>
    <s v="01Whatcom"/>
    <s v="North Puget Sound"/>
    <s v="01North Puget Sound"/>
    <n v="48.240930869267601"/>
    <n v="145.523112887704"/>
    <n v="48.240930869267601"/>
    <n v="145.523112887704"/>
  </r>
  <r>
    <n v="506"/>
    <x v="10"/>
    <s v="Marine"/>
    <x v="0"/>
    <x v="0"/>
    <n v="11"/>
    <s v="Area 11: Mid-Puget Sound"/>
    <s v="Area 11: Mid-Puget Sound"/>
    <s v="NA"/>
    <x v="3"/>
    <s v="King"/>
    <s v="06King"/>
    <s v="South Puget Sound"/>
    <s v="02South Puget Sound"/>
    <n v="2812.73342354533"/>
    <n v="16903.315185649401"/>
    <n v="2812.73342354533"/>
    <n v="16903.315185649401"/>
  </r>
  <r>
    <n v="509"/>
    <x v="10"/>
    <s v="Marine"/>
    <x v="0"/>
    <x v="0"/>
    <n v="11"/>
    <s v="Area 11: Mid-Puget Sound"/>
    <s v="Area 11: Mid-Puget Sound"/>
    <s v="NA"/>
    <x v="3"/>
    <s v="Kitsap"/>
    <s v="10Kitsap"/>
    <s v="South Puget Sound"/>
    <s v="02South Puget Sound"/>
    <n v="274.22192151556197"/>
    <n v="1647.95551949228"/>
    <n v="274.22192151556197"/>
    <n v="1647.95551949228"/>
  </r>
  <r>
    <n v="510"/>
    <x v="10"/>
    <s v="Marine"/>
    <x v="0"/>
    <x v="0"/>
    <n v="11"/>
    <s v="Area 11: Mid-Puget Sound"/>
    <s v="Area 11: Mid-Puget Sound"/>
    <s v="NA"/>
    <x v="3"/>
    <s v="Other"/>
    <s v="20Other"/>
    <s v="Non Puget Sound"/>
    <s v="07Non Puget Sound"/>
    <n v="156.69824086603501"/>
    <n v="941.68886828130496"/>
    <n v="156.69824086603501"/>
    <n v="941.68886828130496"/>
  </r>
  <r>
    <n v="507"/>
    <x v="10"/>
    <s v="Marine"/>
    <x v="0"/>
    <x v="0"/>
    <n v="11"/>
    <s v="Area 11: Mid-Puget Sound"/>
    <s v="Area 11: Mid-Puget Sound"/>
    <s v="NA"/>
    <x v="3"/>
    <s v="Pierce"/>
    <s v="07Pierce"/>
    <s v="South Puget Sound"/>
    <s v="02South Puget Sound"/>
    <n v="2444.4925575101502"/>
    <n v="14690.3463451884"/>
    <n v="2444.4925575101502"/>
    <n v="14690.3463451884"/>
  </r>
  <r>
    <n v="504"/>
    <x v="10"/>
    <s v="Marine"/>
    <x v="0"/>
    <x v="0"/>
    <n v="11"/>
    <s v="Area 11: Mid-Puget Sound"/>
    <s v="Area 11: Mid-Puget Sound"/>
    <s v="NA"/>
    <x v="3"/>
    <s v="Skagit"/>
    <s v="02Skagit"/>
    <s v="North Puget Sound"/>
    <s v="01North Puget Sound"/>
    <n v="7.8349120433017596"/>
    <n v="47.084443414065198"/>
    <n v="7.8349120433017596"/>
    <n v="47.084443414065198"/>
  </r>
  <r>
    <n v="505"/>
    <x v="10"/>
    <s v="Marine"/>
    <x v="0"/>
    <x v="0"/>
    <n v="11"/>
    <s v="Area 11: Mid-Puget Sound"/>
    <s v="Area 11: Mid-Puget Sound"/>
    <s v="NA"/>
    <x v="3"/>
    <s v="Snohomish"/>
    <s v="03Snohomish"/>
    <s v="North Puget Sound"/>
    <s v="01North Puget Sound"/>
    <n v="47.0094722598106"/>
    <n v="282.506660484392"/>
    <n v="47.0094722598106"/>
    <n v="282.506660484392"/>
  </r>
  <r>
    <n v="508"/>
    <x v="10"/>
    <s v="Marine"/>
    <x v="0"/>
    <x v="0"/>
    <n v="11"/>
    <s v="Area 11: Mid-Puget Sound"/>
    <s v="Area 11: Mid-Puget Sound"/>
    <s v="NA"/>
    <x v="3"/>
    <s v="Thurston"/>
    <s v="08Thurston"/>
    <s v="South Puget Sound"/>
    <s v="02South Puget Sound"/>
    <n v="47.0094722598106"/>
    <n v="282.506660484392"/>
    <n v="47.0094722598106"/>
    <n v="282.506660484392"/>
  </r>
  <r>
    <n v="621"/>
    <x v="11"/>
    <s v="Marine"/>
    <x v="0"/>
    <x v="0"/>
    <n v="11"/>
    <s v="Area 11: Mid-Puget Sound"/>
    <s v="Area 11: Mid-Puget Sound"/>
    <s v="NA"/>
    <x v="3"/>
    <s v="Clallam"/>
    <s v="11Clallam"/>
    <s v="Strait of Juan de Fuca"/>
    <s v="03Strait of Juan de Fuca"/>
    <n v="6.13256658595642"/>
    <n v="25.331182475675799"/>
    <n v="6.13256658595642"/>
    <n v="25.331182475675799"/>
  </r>
  <r>
    <n v="622"/>
    <x v="11"/>
    <s v="Marine"/>
    <x v="0"/>
    <x v="0"/>
    <n v="11"/>
    <s v="Area 11: Mid-Puget Sound"/>
    <s v="Area 11: Mid-Puget Sound"/>
    <s v="NA"/>
    <x v="3"/>
    <s v="Jefferson"/>
    <s v="12Jefferson"/>
    <s v="Strait of Juan de Fuca"/>
    <s v="03Strait of Juan de Fuca"/>
    <n v="12.265133171912799"/>
    <n v="50.662364951351599"/>
    <n v="12.265133171912799"/>
    <n v="50.662364951351599"/>
  </r>
  <r>
    <n v="616"/>
    <x v="11"/>
    <s v="Marine"/>
    <x v="0"/>
    <x v="0"/>
    <n v="11"/>
    <s v="Area 11: Mid-Puget Sound"/>
    <s v="Area 11: Mid-Puget Sound"/>
    <s v="NA"/>
    <x v="3"/>
    <s v="King"/>
    <s v="06King"/>
    <s v="South Puget Sound"/>
    <s v="02South Puget Sound"/>
    <n v="4519.7015738498803"/>
    <n v="18669.0814845731"/>
    <n v="4519.7015738498803"/>
    <n v="18669.0814845731"/>
  </r>
  <r>
    <n v="620"/>
    <x v="11"/>
    <s v="Marine"/>
    <x v="0"/>
    <x v="0"/>
    <n v="11"/>
    <s v="Area 11: Mid-Puget Sound"/>
    <s v="Area 11: Mid-Puget Sound"/>
    <s v="NA"/>
    <x v="3"/>
    <s v="Kitsap"/>
    <s v="10Kitsap"/>
    <s v="South Puget Sound"/>
    <s v="02South Puget Sound"/>
    <n v="343.42372881355902"/>
    <n v="1418.54621863784"/>
    <n v="343.42372881355902"/>
    <n v="1418.54621863784"/>
  </r>
  <r>
    <n v="619"/>
    <x v="11"/>
    <s v="Marine"/>
    <x v="0"/>
    <x v="0"/>
    <n v="11"/>
    <s v="Area 11: Mid-Puget Sound"/>
    <s v="Area 11: Mid-Puget Sound"/>
    <s v="NA"/>
    <x v="3"/>
    <s v="Mason"/>
    <s v="09Mason"/>
    <s v="South Puget Sound"/>
    <s v="02South Puget Sound"/>
    <n v="24.530266343825701"/>
    <n v="101.324729902703"/>
    <n v="24.530266343825701"/>
    <n v="101.324729902703"/>
  </r>
  <r>
    <n v="623"/>
    <x v="11"/>
    <s v="Marine"/>
    <x v="0"/>
    <x v="0"/>
    <n v="11"/>
    <s v="Area 11: Mid-Puget Sound"/>
    <s v="Area 11: Mid-Puget Sound"/>
    <s v="NA"/>
    <x v="3"/>
    <s v="Other"/>
    <s v="20Other"/>
    <s v="Non Puget Sound"/>
    <s v="07Non Puget Sound"/>
    <n v="361.82142857142901"/>
    <n v="1494.53976606487"/>
    <n v="361.82142857142901"/>
    <n v="1494.53976606487"/>
  </r>
  <r>
    <n v="617"/>
    <x v="11"/>
    <s v="Marine"/>
    <x v="0"/>
    <x v="0"/>
    <n v="11"/>
    <s v="Area 11: Mid-Puget Sound"/>
    <s v="Area 11: Mid-Puget Sound"/>
    <s v="NA"/>
    <x v="3"/>
    <s v="Pierce"/>
    <s v="07Pierce"/>
    <s v="South Puget Sound"/>
    <s v="02South Puget Sound"/>
    <n v="4587.1598062953999"/>
    <n v="18947.7244918055"/>
    <n v="4587.1598062953999"/>
    <n v="18947.7244918055"/>
  </r>
  <r>
    <n v="614"/>
    <x v="11"/>
    <s v="Marine"/>
    <x v="0"/>
    <x v="0"/>
    <n v="11"/>
    <s v="Area 11: Mid-Puget Sound"/>
    <s v="Area 11: Mid-Puget Sound"/>
    <s v="NA"/>
    <x v="3"/>
    <s v="Skagit"/>
    <s v="02Skagit"/>
    <s v="North Puget Sound"/>
    <s v="01North Puget Sound"/>
    <n v="24.530266343825701"/>
    <n v="101.324729902703"/>
    <n v="24.530266343825701"/>
    <n v="101.324729902703"/>
  </r>
  <r>
    <n v="615"/>
    <x v="11"/>
    <s v="Marine"/>
    <x v="0"/>
    <x v="0"/>
    <n v="11"/>
    <s v="Area 11: Mid-Puget Sound"/>
    <s v="Area 11: Mid-Puget Sound"/>
    <s v="NA"/>
    <x v="3"/>
    <s v="Snohomish"/>
    <s v="03Snohomish"/>
    <s v="North Puget Sound"/>
    <s v="01North Puget Sound"/>
    <n v="98.121065375302706"/>
    <n v="405.29891961081302"/>
    <n v="98.121065375302706"/>
    <n v="405.29891961081302"/>
  </r>
  <r>
    <n v="618"/>
    <x v="11"/>
    <s v="Marine"/>
    <x v="0"/>
    <x v="0"/>
    <n v="11"/>
    <s v="Area 11: Mid-Puget Sound"/>
    <s v="Area 11: Mid-Puget Sound"/>
    <s v="NA"/>
    <x v="3"/>
    <s v="Thurston"/>
    <s v="08Thurston"/>
    <s v="South Puget Sound"/>
    <s v="02South Puget Sound"/>
    <n v="141.04903147699801"/>
    <n v="582.61719694054295"/>
    <n v="141.04903147699801"/>
    <n v="582.61719694054295"/>
  </r>
  <r>
    <n v="541"/>
    <x v="11"/>
    <s v="Marine"/>
    <x v="0"/>
    <x v="0"/>
    <n v="11"/>
    <s v="Area 11: Mid-Puget Sound"/>
    <s v="Area 11: Mid-Puget Sound"/>
    <s v="NA"/>
    <x v="3"/>
    <s v="Whatcom"/>
    <s v="01Whatcom"/>
    <s v="North Puget Sound"/>
    <s v="01North Puget Sound"/>
    <n v="12.265133171912799"/>
    <n v="50.662364951351599"/>
    <n v="12.265133171912799"/>
    <n v="50.662364951351599"/>
  </r>
  <r>
    <n v="91"/>
    <x v="0"/>
    <s v="Marine"/>
    <x v="0"/>
    <x v="0"/>
    <n v="12"/>
    <s v="Area 12: Hood Canal"/>
    <s v="Area 12: Hood Canal"/>
    <s v="NA"/>
    <x v="4"/>
    <s v="Clallam"/>
    <s v="11Clallam"/>
    <s v="Strait of Juan de Fuca"/>
    <s v="03Strait of Juan de Fuca"/>
    <n v="115.96033402922799"/>
    <n v="542.51189979123205"/>
    <n v="115.96033402922799"/>
    <n v="542.51189979123205"/>
  </r>
  <r>
    <n v="1255"/>
    <x v="0"/>
    <s v="Marine"/>
    <x v="0"/>
    <x v="0"/>
    <n v="12"/>
    <s v="Area 12: Hood Canal"/>
    <s v="Area 12: Hood Canal"/>
    <s v="NA"/>
    <x v="4"/>
    <s v="Island"/>
    <s v="04Island"/>
    <s v="North Puget Sound"/>
    <s v="01North Puget Sound"/>
    <n v="10.0835073068894"/>
    <n v="47.174947807933201"/>
    <n v="10.0835073068894"/>
    <n v="47.174947807933201"/>
  </r>
  <r>
    <n v="92"/>
    <x v="0"/>
    <s v="Marine"/>
    <x v="0"/>
    <x v="0"/>
    <n v="12"/>
    <s v="Area 12: Hood Canal"/>
    <s v="Area 12: Hood Canal"/>
    <s v="NA"/>
    <x v="4"/>
    <s v="Jefferson"/>
    <s v="12Jefferson"/>
    <s v="Strait of Juan de Fuca"/>
    <s v="03Strait of Juan de Fuca"/>
    <n v="272.25469728601303"/>
    <n v="1273.7235908142"/>
    <n v="272.25469728601303"/>
    <n v="1273.7235908142"/>
  </r>
  <r>
    <n v="86"/>
    <x v="0"/>
    <s v="Marine"/>
    <x v="0"/>
    <x v="0"/>
    <n v="12"/>
    <s v="Area 12: Hood Canal"/>
    <s v="Area 12: Hood Canal"/>
    <s v="NA"/>
    <x v="4"/>
    <s v="King"/>
    <s v="06King"/>
    <s v="South Puget Sound"/>
    <s v="02South Puget Sound"/>
    <n v="453.75782881002101"/>
    <n v="2122.87265135699"/>
    <n v="453.75782881002101"/>
    <n v="2122.87265135699"/>
  </r>
  <r>
    <n v="90"/>
    <x v="0"/>
    <s v="Marine"/>
    <x v="0"/>
    <x v="0"/>
    <n v="12"/>
    <s v="Area 12: Hood Canal"/>
    <s v="Area 12: Hood Canal"/>
    <s v="NA"/>
    <x v="4"/>
    <s v="Kitsap"/>
    <s v="10Kitsap"/>
    <s v="South Puget Sound"/>
    <s v="02South Puget Sound"/>
    <n v="282.338204592902"/>
    <n v="1320.89853862213"/>
    <n v="282.338204592902"/>
    <n v="1320.89853862213"/>
  </r>
  <r>
    <n v="89"/>
    <x v="0"/>
    <s v="Marine"/>
    <x v="0"/>
    <x v="0"/>
    <n v="12"/>
    <s v="Area 12: Hood Canal"/>
    <s v="Area 12: Hood Canal"/>
    <s v="NA"/>
    <x v="4"/>
    <s v="Mason"/>
    <s v="09Mason"/>
    <s v="South Puget Sound"/>
    <s v="02South Puget Sound"/>
    <n v="448.71607515657598"/>
    <n v="2099.28517745303"/>
    <n v="448.71607515657598"/>
    <n v="2099.28517745303"/>
  </r>
  <r>
    <n v="93"/>
    <x v="0"/>
    <s v="Marine"/>
    <x v="0"/>
    <x v="0"/>
    <n v="12"/>
    <s v="Area 12: Hood Canal"/>
    <s v="Area 12: Hood Canal"/>
    <s v="NA"/>
    <x v="4"/>
    <s v="Other"/>
    <s v="20Other"/>
    <s v="Non Puget Sound"/>
    <s v="07Non Puget Sound"/>
    <n v="252.087682672234"/>
    <n v="1179.3736951983301"/>
    <n v="252.087682672234"/>
    <n v="1179.3736951983301"/>
  </r>
  <r>
    <n v="87"/>
    <x v="0"/>
    <s v="Marine"/>
    <x v="0"/>
    <x v="0"/>
    <n v="12"/>
    <s v="Area 12: Hood Canal"/>
    <s v="Area 12: Hood Canal"/>
    <s v="NA"/>
    <x v="4"/>
    <s v="Pierce"/>
    <s v="07Pierce"/>
    <s v="South Puget Sound"/>
    <s v="02South Puget Sound"/>
    <n v="267.212943632568"/>
    <n v="1250.1361169102299"/>
    <n v="267.212943632568"/>
    <n v="1250.1361169102299"/>
  </r>
  <r>
    <n v="1254"/>
    <x v="0"/>
    <s v="Marine"/>
    <x v="0"/>
    <x v="0"/>
    <n v="12"/>
    <s v="Area 12: Hood Canal"/>
    <s v="Area 12: Hood Canal"/>
    <s v="NA"/>
    <x v="4"/>
    <s v="Snohomish"/>
    <s v="03Snohomish"/>
    <s v="North Puget Sound"/>
    <s v="01North Puget Sound"/>
    <n v="50.417536534446803"/>
    <n v="235.874739039666"/>
    <n v="50.417536534446803"/>
    <n v="235.874739039666"/>
  </r>
  <r>
    <n v="88"/>
    <x v="0"/>
    <s v="Marine"/>
    <x v="0"/>
    <x v="0"/>
    <n v="12"/>
    <s v="Area 12: Hood Canal"/>
    <s v="Area 12: Hood Canal"/>
    <s v="NA"/>
    <x v="4"/>
    <s v="Thurston"/>
    <s v="08Thurston"/>
    <s v="South Puget Sound"/>
    <s v="02South Puget Sound"/>
    <n v="257.12943632567902"/>
    <n v="1202.9611691022999"/>
    <n v="257.12943632567902"/>
    <n v="1202.9611691022999"/>
  </r>
  <r>
    <n v="1253"/>
    <x v="0"/>
    <s v="Marine"/>
    <x v="0"/>
    <x v="0"/>
    <n v="12"/>
    <s v="Area 12: Hood Canal"/>
    <s v="Area 12: Hood Canal"/>
    <s v="NA"/>
    <x v="4"/>
    <s v="Whatcom"/>
    <s v="01Whatcom"/>
    <s v="North Puget Sound"/>
    <s v="01North Puget Sound"/>
    <n v="5.0417536534446796"/>
    <n v="23.5874739039666"/>
    <n v="5.0417536534446796"/>
    <n v="23.5874739039666"/>
  </r>
  <r>
    <n v="203"/>
    <x v="1"/>
    <s v="Marine"/>
    <x v="0"/>
    <x v="0"/>
    <n v="12"/>
    <s v="Area 12: Hood Canal"/>
    <s v="Area 12: Hood Canal"/>
    <s v="NA"/>
    <x v="4"/>
    <s v="Clallam"/>
    <s v="11Clallam"/>
    <s v="Strait of Juan de Fuca"/>
    <s v="03Strait of Juan de Fuca"/>
    <n v="354.269230769231"/>
    <n v="2017.5947570850201"/>
    <n v="354.269230769231"/>
    <n v="2017.5947570850201"/>
  </r>
  <r>
    <n v="204"/>
    <x v="1"/>
    <s v="Marine"/>
    <x v="0"/>
    <x v="0"/>
    <n v="12"/>
    <s v="Area 12: Hood Canal"/>
    <s v="Area 12: Hood Canal"/>
    <s v="NA"/>
    <x v="4"/>
    <s v="Jefferson"/>
    <s v="12Jefferson"/>
    <s v="Strait of Juan de Fuca"/>
    <s v="03Strait of Juan de Fuca"/>
    <n v="929.23076923076906"/>
    <n v="5292.0518218623502"/>
    <n v="929.23076923076906"/>
    <n v="5292.0518218623502"/>
  </r>
  <r>
    <n v="95"/>
    <x v="1"/>
    <s v="Marine"/>
    <x v="0"/>
    <x v="0"/>
    <n v="12"/>
    <s v="Area 12: Hood Canal"/>
    <s v="Area 12: Hood Canal"/>
    <s v="NA"/>
    <x v="4"/>
    <s v="King"/>
    <s v="06King"/>
    <s v="South Puget Sound"/>
    <s v="02South Puget Sound"/>
    <n v="574.96153846153902"/>
    <n v="3274.4570647773298"/>
    <n v="574.96153846153902"/>
    <n v="3274.4570647773298"/>
  </r>
  <r>
    <n v="202"/>
    <x v="1"/>
    <s v="Marine"/>
    <x v="0"/>
    <x v="0"/>
    <n v="12"/>
    <s v="Area 12: Hood Canal"/>
    <s v="Area 12: Hood Canal"/>
    <s v="NA"/>
    <x v="4"/>
    <s v="Kitsap"/>
    <s v="10Kitsap"/>
    <s v="South Puget Sound"/>
    <s v="02South Puget Sound"/>
    <n v="993.11538461538498"/>
    <n v="5655.8803846153896"/>
    <n v="993.11538461538498"/>
    <n v="5655.8803846153896"/>
  </r>
  <r>
    <n v="201"/>
    <x v="1"/>
    <s v="Marine"/>
    <x v="0"/>
    <x v="0"/>
    <n v="12"/>
    <s v="Area 12: Hood Canal"/>
    <s v="Area 12: Hood Canal"/>
    <s v="NA"/>
    <x v="4"/>
    <s v="Mason"/>
    <s v="09Mason"/>
    <s v="South Puget Sound"/>
    <s v="02South Puget Sound"/>
    <n v="696.92307692307702"/>
    <n v="3969.0388663967601"/>
    <n v="696.92307692307702"/>
    <n v="3969.0388663967601"/>
  </r>
  <r>
    <n v="205"/>
    <x v="1"/>
    <s v="Marine"/>
    <x v="0"/>
    <x v="0"/>
    <n v="12"/>
    <s v="Area 12: Hood Canal"/>
    <s v="Area 12: Hood Canal"/>
    <s v="NA"/>
    <x v="4"/>
    <s v="Other"/>
    <s v="20Other"/>
    <s v="Non Puget Sound"/>
    <s v="07Non Puget Sound"/>
    <n v="696.92307692307702"/>
    <n v="3969.0388663967601"/>
    <n v="696.92307692307702"/>
    <n v="3969.0388663967601"/>
  </r>
  <r>
    <n v="96"/>
    <x v="1"/>
    <s v="Marine"/>
    <x v="0"/>
    <x v="0"/>
    <n v="12"/>
    <s v="Area 12: Hood Canal"/>
    <s v="Area 12: Hood Canal"/>
    <s v="NA"/>
    <x v="4"/>
    <s v="Pierce"/>
    <s v="07Pierce"/>
    <s v="South Puget Sound"/>
    <s v="02South Puget Sound"/>
    <n v="708.538461538462"/>
    <n v="4035.1895141700402"/>
    <n v="708.538461538462"/>
    <n v="4035.1895141700402"/>
  </r>
  <r>
    <n v="94"/>
    <x v="1"/>
    <s v="Marine"/>
    <x v="0"/>
    <x v="0"/>
    <n v="12"/>
    <s v="Area 12: Hood Canal"/>
    <s v="Area 12: Hood Canal"/>
    <s v="NA"/>
    <x v="4"/>
    <s v="Snohomish"/>
    <s v="03Snohomish"/>
    <s v="North Puget Sound"/>
    <s v="01North Puget Sound"/>
    <n v="110.346153846154"/>
    <n v="628.43115384615396"/>
    <n v="110.346153846154"/>
    <n v="628.43115384615396"/>
  </r>
  <r>
    <n v="200"/>
    <x v="1"/>
    <s v="Marine"/>
    <x v="0"/>
    <x v="0"/>
    <n v="12"/>
    <s v="Area 12: Hood Canal"/>
    <s v="Area 12: Hood Canal"/>
    <s v="NA"/>
    <x v="4"/>
    <s v="Thurston"/>
    <s v="08Thurston"/>
    <s v="South Puget Sound"/>
    <s v="02South Puget Sound"/>
    <n v="673.69230769230796"/>
    <n v="3836.7375708502"/>
    <n v="673.69230769230796"/>
    <n v="3836.7375708502"/>
  </r>
  <r>
    <n v="311"/>
    <x v="2"/>
    <s v="Marine"/>
    <x v="0"/>
    <x v="0"/>
    <n v="12"/>
    <s v="Area 12: Hood Canal"/>
    <s v="Area 12: Hood Canal"/>
    <s v="NA"/>
    <x v="4"/>
    <s v="Clallam"/>
    <s v="11Clallam"/>
    <s v="Strait of Juan de Fuca"/>
    <s v="03Strait of Juan de Fuca"/>
    <n v="301.18629173989501"/>
    <n v="1199.5821616871699"/>
    <n v="301.18629173989501"/>
    <n v="1199.5821616871699"/>
  </r>
  <r>
    <n v="312"/>
    <x v="2"/>
    <s v="Marine"/>
    <x v="0"/>
    <x v="0"/>
    <n v="12"/>
    <s v="Area 12: Hood Canal"/>
    <s v="Area 12: Hood Canal"/>
    <s v="NA"/>
    <x v="4"/>
    <s v="Jefferson"/>
    <s v="12Jefferson"/>
    <s v="Strait of Juan de Fuca"/>
    <s v="03Strait of Juan de Fuca"/>
    <n v="722.84710017574696"/>
    <n v="2878.9971880492099"/>
    <n v="722.84710017574696"/>
    <n v="2878.9971880492099"/>
  </r>
  <r>
    <n v="207"/>
    <x v="2"/>
    <s v="Marine"/>
    <x v="0"/>
    <x v="0"/>
    <n v="12"/>
    <s v="Area 12: Hood Canal"/>
    <s v="Area 12: Hood Canal"/>
    <s v="NA"/>
    <x v="4"/>
    <s v="King"/>
    <s v="06King"/>
    <s v="South Puget Sound"/>
    <s v="02South Puget Sound"/>
    <n v="1048.1282952548299"/>
    <n v="4174.5459226713501"/>
    <n v="1048.1282952548299"/>
    <n v="4174.5459226713501"/>
  </r>
  <r>
    <n v="310"/>
    <x v="2"/>
    <s v="Marine"/>
    <x v="0"/>
    <x v="0"/>
    <n v="12"/>
    <s v="Area 12: Hood Canal"/>
    <s v="Area 12: Hood Canal"/>
    <s v="NA"/>
    <x v="4"/>
    <s v="Kitsap"/>
    <s v="10Kitsap"/>
    <s v="South Puget Sound"/>
    <s v="02South Puget Sound"/>
    <n v="1186.6739894551799"/>
    <n v="4726.3537170474501"/>
    <n v="1186.6739894551799"/>
    <n v="4726.3537170474501"/>
  </r>
  <r>
    <n v="309"/>
    <x v="2"/>
    <s v="Marine"/>
    <x v="0"/>
    <x v="0"/>
    <n v="12"/>
    <s v="Area 12: Hood Canal"/>
    <s v="Area 12: Hood Canal"/>
    <s v="NA"/>
    <x v="4"/>
    <s v="Mason"/>
    <s v="09Mason"/>
    <s v="South Puget Sound"/>
    <s v="02South Puget Sound"/>
    <n v="1277.02987697715"/>
    <n v="5086.2283655536003"/>
    <n v="1277.02987697715"/>
    <n v="5086.2283655536003"/>
  </r>
  <r>
    <n v="313"/>
    <x v="2"/>
    <s v="Marine"/>
    <x v="0"/>
    <x v="0"/>
    <n v="12"/>
    <s v="Area 12: Hood Canal"/>
    <s v="Area 12: Hood Canal"/>
    <s v="NA"/>
    <x v="4"/>
    <s v="Other"/>
    <s v="20Other"/>
    <s v="Non Puget Sound"/>
    <s v="07Non Puget Sound"/>
    <n v="505.99297012302299"/>
    <n v="2015.2980316344499"/>
    <n v="505.99297012302299"/>
    <n v="2015.2980316344499"/>
  </r>
  <r>
    <n v="208"/>
    <x v="2"/>
    <s v="Marine"/>
    <x v="0"/>
    <x v="0"/>
    <n v="12"/>
    <s v="Area 12: Hood Canal"/>
    <s v="Area 12: Hood Canal"/>
    <s v="NA"/>
    <x v="4"/>
    <s v="Pierce"/>
    <s v="07Pierce"/>
    <s v="South Puget Sound"/>
    <s v="02South Puget Sound"/>
    <n v="987.89103690685397"/>
    <n v="3934.6294903339199"/>
    <n v="987.89103690685397"/>
    <n v="3934.6294903339199"/>
  </r>
  <r>
    <n v="206"/>
    <x v="2"/>
    <s v="Marine"/>
    <x v="0"/>
    <x v="0"/>
    <n v="12"/>
    <s v="Area 12: Hood Canal"/>
    <s v="Area 12: Hood Canal"/>
    <s v="NA"/>
    <x v="4"/>
    <s v="Snohomish"/>
    <s v="03Snohomish"/>
    <s v="North Puget Sound"/>
    <s v="01North Puget Sound"/>
    <n v="114.45079086116"/>
    <n v="455.84122144112501"/>
    <n v="114.45079086116"/>
    <n v="455.84122144112501"/>
  </r>
  <r>
    <n v="308"/>
    <x v="2"/>
    <s v="Marine"/>
    <x v="0"/>
    <x v="0"/>
    <n v="12"/>
    <s v="Area 12: Hood Canal"/>
    <s v="Area 12: Hood Canal"/>
    <s v="NA"/>
    <x v="4"/>
    <s v="Thurston"/>
    <s v="08Thurston"/>
    <s v="South Puget Sound"/>
    <s v="02South Puget Sound"/>
    <n v="710.79964850615102"/>
    <n v="2831.0139015817199"/>
    <n v="710.79964850615102"/>
    <n v="2831.0139015817199"/>
  </r>
  <r>
    <n v="422"/>
    <x v="3"/>
    <s v="Marine"/>
    <x v="0"/>
    <x v="0"/>
    <n v="12"/>
    <s v="Area 12: Hood Canal"/>
    <s v="Area 12: Hood Canal"/>
    <s v="NA"/>
    <x v="4"/>
    <s v="Clallam"/>
    <s v="11Clallam"/>
    <s v="Strait of Juan de Fuca"/>
    <s v="03Strait of Juan de Fuca"/>
    <n v="357.08651911468797"/>
    <n v="1489.2252716297801"/>
    <n v="357.08651911468797"/>
    <n v="1489.2252716297801"/>
  </r>
  <r>
    <n v="423"/>
    <x v="3"/>
    <s v="Marine"/>
    <x v="0"/>
    <x v="0"/>
    <n v="12"/>
    <s v="Area 12: Hood Canal"/>
    <s v="Area 12: Hood Canal"/>
    <s v="NA"/>
    <x v="4"/>
    <s v="Jefferson"/>
    <s v="12Jefferson"/>
    <s v="Strait of Juan de Fuca"/>
    <s v="03Strait of Juan de Fuca"/>
    <n v="747.64989939637803"/>
    <n v="3118.0654124748498"/>
    <n v="747.64989939637803"/>
    <n v="3118.0654124748498"/>
  </r>
  <r>
    <n v="315"/>
    <x v="3"/>
    <s v="Marine"/>
    <x v="0"/>
    <x v="0"/>
    <n v="12"/>
    <s v="Area 12: Hood Canal"/>
    <s v="Area 12: Hood Canal"/>
    <s v="NA"/>
    <x v="4"/>
    <s v="King"/>
    <s v="06King"/>
    <s v="South Puget Sound"/>
    <s v="02South Puget Sound"/>
    <n v="875.97786720321994"/>
    <n v="3653.2557444668"/>
    <n v="875.97786720321994"/>
    <n v="3653.2557444668"/>
  </r>
  <r>
    <n v="421"/>
    <x v="3"/>
    <s v="Marine"/>
    <x v="0"/>
    <x v="0"/>
    <n v="12"/>
    <s v="Area 12: Hood Canal"/>
    <s v="Area 12: Hood Canal"/>
    <s v="NA"/>
    <x v="4"/>
    <s v="Kitsap"/>
    <s v="10Kitsap"/>
    <s v="South Puget Sound"/>
    <s v="02South Puget Sound"/>
    <n v="686.27565392354097"/>
    <n v="2862.1048189134799"/>
    <n v="686.27565392354097"/>
    <n v="2862.1048189134799"/>
  </r>
  <r>
    <n v="420"/>
    <x v="3"/>
    <s v="Marine"/>
    <x v="0"/>
    <x v="0"/>
    <n v="12"/>
    <s v="Area 12: Hood Canal"/>
    <s v="Area 12: Hood Canal"/>
    <s v="NA"/>
    <x v="4"/>
    <s v="Mason"/>
    <s v="09Mason"/>
    <s v="South Puget Sound"/>
    <s v="02South Puget Sound"/>
    <n v="892.71629778672104"/>
    <n v="3723.0631790744501"/>
    <n v="892.71629778672104"/>
    <n v="3723.0631790744501"/>
  </r>
  <r>
    <n v="424"/>
    <x v="3"/>
    <s v="Marine"/>
    <x v="0"/>
    <x v="0"/>
    <n v="12"/>
    <s v="Area 12: Hood Canal"/>
    <s v="Area 12: Hood Canal"/>
    <s v="NA"/>
    <x v="4"/>
    <s v="Other"/>
    <s v="20Other"/>
    <s v="Non Puget Sound"/>
    <s v="07Non Puget Sound"/>
    <n v="485.41448692152898"/>
    <n v="2024.41560362173"/>
    <n v="485.41448692152898"/>
    <n v="2024.41560362173"/>
  </r>
  <r>
    <n v="316"/>
    <x v="3"/>
    <s v="Marine"/>
    <x v="0"/>
    <x v="0"/>
    <n v="12"/>
    <s v="Area 12: Hood Canal"/>
    <s v="Area 12: Hood Canal"/>
    <s v="NA"/>
    <x v="4"/>
    <s v="Pierce"/>
    <s v="07Pierce"/>
    <s v="South Puget Sound"/>
    <s v="02South Puget Sound"/>
    <n v="675.11670020120698"/>
    <n v="2815.5665291750502"/>
    <n v="675.11670020120698"/>
    <n v="2815.5665291750502"/>
  </r>
  <r>
    <n v="314"/>
    <x v="3"/>
    <s v="Marine"/>
    <x v="0"/>
    <x v="0"/>
    <n v="12"/>
    <s v="Area 12: Hood Canal"/>
    <s v="Area 12: Hood Canal"/>
    <s v="NA"/>
    <x v="4"/>
    <s v="Snohomish"/>
    <s v="03Snohomish"/>
    <s v="North Puget Sound"/>
    <s v="01North Puget Sound"/>
    <n v="27.897384305835001"/>
    <n v="116.345724346076"/>
    <n v="27.897384305835001"/>
    <n v="116.345724346076"/>
  </r>
  <r>
    <n v="419"/>
    <x v="3"/>
    <s v="Marine"/>
    <x v="0"/>
    <x v="0"/>
    <n v="12"/>
    <s v="Area 12: Hood Canal"/>
    <s v="Area 12: Hood Canal"/>
    <s v="NA"/>
    <x v="4"/>
    <s v="Thurston"/>
    <s v="08Thurston"/>
    <s v="South Puget Sound"/>
    <s v="02South Puget Sound"/>
    <n v="797.86519114688201"/>
    <n v="3327.48771629779"/>
    <n v="797.86519114688201"/>
    <n v="3327.48771629779"/>
  </r>
  <r>
    <n v="530"/>
    <x v="4"/>
    <s v="Marine"/>
    <x v="0"/>
    <x v="0"/>
    <n v="12"/>
    <s v="Area 12: Hood Canal"/>
    <s v="Area 12: Hood Canal"/>
    <s v="NA"/>
    <x v="4"/>
    <s v="Clallam"/>
    <s v="11Clallam"/>
    <s v="Strait of Juan de Fuca"/>
    <s v="03Strait of Juan de Fuca"/>
    <n v="125.574803149606"/>
    <n v="585.09141732283501"/>
    <n v="125.574803149606"/>
    <n v="585.09141732283501"/>
  </r>
  <r>
    <n v="531"/>
    <x v="4"/>
    <s v="Marine"/>
    <x v="0"/>
    <x v="0"/>
    <n v="12"/>
    <s v="Area 12: Hood Canal"/>
    <s v="Area 12: Hood Canal"/>
    <s v="NA"/>
    <x v="4"/>
    <s v="Jefferson"/>
    <s v="12Jefferson"/>
    <s v="Strait of Juan de Fuca"/>
    <s v="03Strait of Juan de Fuca"/>
    <n v="90.692913385826799"/>
    <n v="422.566023622047"/>
    <n v="90.692913385826799"/>
    <n v="422.566023622047"/>
  </r>
  <r>
    <n v="427"/>
    <x v="4"/>
    <s v="Marine"/>
    <x v="0"/>
    <x v="0"/>
    <n v="12"/>
    <s v="Area 12: Hood Canal"/>
    <s v="Area 12: Hood Canal"/>
    <s v="NA"/>
    <x v="4"/>
    <s v="King"/>
    <s v="06King"/>
    <s v="South Puget Sound"/>
    <s v="02South Puget Sound"/>
    <n v="969.71653543307104"/>
    <n v="4518.20594488189"/>
    <n v="969.71653543307104"/>
    <n v="4518.20594488189"/>
  </r>
  <r>
    <n v="529"/>
    <x v="4"/>
    <s v="Marine"/>
    <x v="0"/>
    <x v="0"/>
    <n v="12"/>
    <s v="Area 12: Hood Canal"/>
    <s v="Area 12: Hood Canal"/>
    <s v="NA"/>
    <x v="4"/>
    <s v="Kitsap"/>
    <s v="10Kitsap"/>
    <s v="South Puget Sound"/>
    <s v="02South Puget Sound"/>
    <n v="341.84251968503901"/>
    <n v="1592.7488582677199"/>
    <n v="341.84251968503901"/>
    <n v="1592.7488582677199"/>
  </r>
  <r>
    <n v="528"/>
    <x v="4"/>
    <s v="Marine"/>
    <x v="0"/>
    <x v="0"/>
    <n v="12"/>
    <s v="Area 12: Hood Canal"/>
    <s v="Area 12: Hood Canal"/>
    <s v="NA"/>
    <x v="4"/>
    <s v="Mason"/>
    <s v="09Mason"/>
    <s v="South Puget Sound"/>
    <s v="02South Puget Sound"/>
    <n v="558.11023622047196"/>
    <n v="2600.4062992126001"/>
    <n v="558.11023622047196"/>
    <n v="2600.4062992126001"/>
  </r>
  <r>
    <n v="532"/>
    <x v="4"/>
    <s v="Marine"/>
    <x v="0"/>
    <x v="0"/>
    <n v="12"/>
    <s v="Area 12: Hood Canal"/>
    <s v="Area 12: Hood Canal"/>
    <s v="NA"/>
    <x v="4"/>
    <s v="Other"/>
    <s v="20Other"/>
    <s v="Non Puget Sound"/>
    <s v="07Non Puget Sound"/>
    <n v="139.52755905511799"/>
    <n v="650.10157480315002"/>
    <n v="139.52755905511799"/>
    <n v="650.10157480315002"/>
  </r>
  <r>
    <n v="526"/>
    <x v="4"/>
    <s v="Marine"/>
    <x v="0"/>
    <x v="0"/>
    <n v="12"/>
    <s v="Area 12: Hood Canal"/>
    <s v="Area 12: Hood Canal"/>
    <s v="NA"/>
    <x v="4"/>
    <s v="Pierce"/>
    <s v="07Pierce"/>
    <s v="South Puget Sound"/>
    <s v="02South Puget Sound"/>
    <n v="606.94488188976402"/>
    <n v="2827.9418503937"/>
    <n v="606.94488188976402"/>
    <n v="2827.9418503937"/>
  </r>
  <r>
    <n v="426"/>
    <x v="4"/>
    <s v="Marine"/>
    <x v="0"/>
    <x v="0"/>
    <n v="12"/>
    <s v="Area 12: Hood Canal"/>
    <s v="Area 12: Hood Canal"/>
    <s v="NA"/>
    <x v="4"/>
    <s v="San Juan"/>
    <s v="05San Juan"/>
    <s v="North Puget Sound"/>
    <s v="01North Puget Sound"/>
    <n v="13.9527559055118"/>
    <n v="65.010157480315002"/>
    <n v="13.9527559055118"/>
    <n v="65.010157480315002"/>
  </r>
  <r>
    <n v="425"/>
    <x v="4"/>
    <s v="Marine"/>
    <x v="0"/>
    <x v="0"/>
    <n v="12"/>
    <s v="Area 12: Hood Canal"/>
    <s v="Area 12: Hood Canal"/>
    <s v="NA"/>
    <x v="4"/>
    <s v="Snohomish"/>
    <s v="03Snohomish"/>
    <s v="North Puget Sound"/>
    <s v="01North Puget Sound"/>
    <n v="76.740157480315006"/>
    <n v="357.555866141732"/>
    <n v="76.740157480315006"/>
    <n v="357.555866141732"/>
  </r>
  <r>
    <n v="527"/>
    <x v="4"/>
    <s v="Marine"/>
    <x v="0"/>
    <x v="0"/>
    <n v="12"/>
    <s v="Area 12: Hood Canal"/>
    <s v="Area 12: Hood Canal"/>
    <s v="NA"/>
    <x v="4"/>
    <s v="Thurston"/>
    <s v="08Thurston"/>
    <s v="South Puget Sound"/>
    <s v="02South Puget Sound"/>
    <n v="620.89763779527595"/>
    <n v="2892.9520078740202"/>
    <n v="620.89763779527595"/>
    <n v="2892.9520078740202"/>
  </r>
  <r>
    <n v="535"/>
    <x v="5"/>
    <s v="Marine"/>
    <x v="0"/>
    <x v="0"/>
    <n v="12"/>
    <s v="Area 12: Hood Canal"/>
    <s v="Area 12: Hood Canal"/>
    <s v="NA"/>
    <x v="4"/>
    <s v="Island"/>
    <s v="04Island"/>
    <s v="North Puget Sound"/>
    <s v="01North Puget Sound"/>
    <n v="6.1172316384180796"/>
    <n v="40.422217514124299"/>
    <n v="6.1172316384180796"/>
    <n v="40.422217514124299"/>
  </r>
  <r>
    <n v="640"/>
    <x v="5"/>
    <s v="Marine"/>
    <x v="0"/>
    <x v="0"/>
    <n v="12"/>
    <s v="Area 12: Hood Canal"/>
    <s v="Area 12: Hood Canal"/>
    <s v="NA"/>
    <x v="4"/>
    <s v="Jefferson"/>
    <s v="12Jefferson"/>
    <s v="Strait of Juan de Fuca"/>
    <s v="03Strait of Juan de Fuca"/>
    <n v="544.43361581920897"/>
    <n v="3597.5773587570602"/>
    <n v="544.43361581920897"/>
    <n v="3597.5773587570602"/>
  </r>
  <r>
    <n v="635"/>
    <x v="5"/>
    <s v="Marine"/>
    <x v="0"/>
    <x v="0"/>
    <n v="12"/>
    <s v="Area 12: Hood Canal"/>
    <s v="Area 12: Hood Canal"/>
    <s v="NA"/>
    <x v="4"/>
    <s v="King"/>
    <s v="06King"/>
    <s v="South Puget Sound"/>
    <s v="02South Puget Sound"/>
    <n v="990.99152542372894"/>
    <n v="6548.3992372881403"/>
    <n v="990.99152542372894"/>
    <n v="6548.3992372881403"/>
  </r>
  <r>
    <n v="639"/>
    <x v="5"/>
    <s v="Marine"/>
    <x v="0"/>
    <x v="0"/>
    <n v="12"/>
    <s v="Area 12: Hood Canal"/>
    <s v="Area 12: Hood Canal"/>
    <s v="NA"/>
    <x v="4"/>
    <s v="Kitsap"/>
    <s v="10Kitsap"/>
    <s v="South Puget Sound"/>
    <s v="02South Puget Sound"/>
    <n v="464.90960451977401"/>
    <n v="3072.0885310734502"/>
    <n v="464.90960451977401"/>
    <n v="3072.0885310734502"/>
  </r>
  <r>
    <n v="638"/>
    <x v="5"/>
    <s v="Marine"/>
    <x v="0"/>
    <x v="0"/>
    <n v="12"/>
    <s v="Area 12: Hood Canal"/>
    <s v="Area 12: Hood Canal"/>
    <s v="NA"/>
    <x v="4"/>
    <s v="Mason"/>
    <s v="09Mason"/>
    <s v="South Puget Sound"/>
    <s v="02South Puget Sound"/>
    <n v="483.26129943502798"/>
    <n v="3193.3551836158199"/>
    <n v="483.26129943502798"/>
    <n v="3193.3551836158199"/>
  </r>
  <r>
    <n v="641"/>
    <x v="5"/>
    <s v="Marine"/>
    <x v="0"/>
    <x v="0"/>
    <n v="12"/>
    <s v="Area 12: Hood Canal"/>
    <s v="Area 12: Hood Canal"/>
    <s v="NA"/>
    <x v="4"/>
    <s v="Other"/>
    <s v="20Other"/>
    <s v="Non Puget Sound"/>
    <s v="07Non Puget Sound"/>
    <n v="415.97175141243002"/>
    <n v="2748.7107909604501"/>
    <n v="415.97175141243002"/>
    <n v="2748.7107909604501"/>
  </r>
  <r>
    <n v="636"/>
    <x v="5"/>
    <s v="Marine"/>
    <x v="0"/>
    <x v="0"/>
    <n v="12"/>
    <s v="Area 12: Hood Canal"/>
    <s v="Area 12: Hood Canal"/>
    <s v="NA"/>
    <x v="4"/>
    <s v="Pierce"/>
    <s v="07Pierce"/>
    <s v="South Puget Sound"/>
    <s v="02South Puget Sound"/>
    <n v="648.42655367231703"/>
    <n v="4284.7550564971798"/>
    <n v="648.42655367231703"/>
    <n v="4284.7550564971798"/>
  </r>
  <r>
    <n v="533"/>
    <x v="5"/>
    <s v="Marine"/>
    <x v="0"/>
    <x v="0"/>
    <n v="12"/>
    <s v="Area 12: Hood Canal"/>
    <s v="Area 12: Hood Canal"/>
    <s v="NA"/>
    <x v="4"/>
    <s v="Skagit"/>
    <s v="02Skagit"/>
    <s v="North Puget Sound"/>
    <s v="01North Puget Sound"/>
    <n v="6.1172316384180796"/>
    <n v="40.422217514124299"/>
    <n v="6.1172316384180796"/>
    <n v="40.422217514124299"/>
  </r>
  <r>
    <n v="534"/>
    <x v="5"/>
    <s v="Marine"/>
    <x v="0"/>
    <x v="0"/>
    <n v="12"/>
    <s v="Area 12: Hood Canal"/>
    <s v="Area 12: Hood Canal"/>
    <s v="NA"/>
    <x v="4"/>
    <s v="Snohomish"/>
    <s v="03Snohomish"/>
    <s v="North Puget Sound"/>
    <s v="01North Puget Sound"/>
    <n v="244.68926553672301"/>
    <n v="1616.8887005649699"/>
    <n v="244.68926553672301"/>
    <n v="1616.8887005649699"/>
  </r>
  <r>
    <n v="637"/>
    <x v="5"/>
    <s v="Marine"/>
    <x v="0"/>
    <x v="0"/>
    <n v="12"/>
    <s v="Area 12: Hood Canal"/>
    <s v="Area 12: Hood Canal"/>
    <s v="NA"/>
    <x v="4"/>
    <s v="Thurston"/>
    <s v="08Thurston"/>
    <s v="South Puget Sound"/>
    <s v="02South Puget Sound"/>
    <n v="526.08192090395505"/>
    <n v="3476.3107062146901"/>
    <n v="526.08192090395505"/>
    <n v="3476.3107062146901"/>
  </r>
  <r>
    <n v="736"/>
    <x v="6"/>
    <s v="Marine"/>
    <x v="0"/>
    <x v="0"/>
    <n v="12"/>
    <s v="Area 12: Hood Canal"/>
    <s v="Area 12: Hood Canal"/>
    <s v="NA"/>
    <x v="4"/>
    <s v="Clallam"/>
    <s v="11Clallam"/>
    <s v="Strait of Juan de Fuca"/>
    <s v="03Strait of Juan de Fuca"/>
    <n v="229.41537203597699"/>
    <n v="617.86005723630399"/>
    <n v="229.41537203597699"/>
    <n v="617.86005723630399"/>
  </r>
  <r>
    <n v="737"/>
    <x v="6"/>
    <s v="Marine"/>
    <x v="0"/>
    <x v="0"/>
    <n v="12"/>
    <s v="Area 12: Hood Canal"/>
    <s v="Area 12: Hood Canal"/>
    <s v="NA"/>
    <x v="4"/>
    <s v="Jefferson"/>
    <s v="12Jefferson"/>
    <s v="Strait of Juan de Fuca"/>
    <s v="03Strait of Juan de Fuca"/>
    <n v="1368.5813573180701"/>
    <n v="3685.85482420278"/>
    <n v="1368.5813573180701"/>
    <n v="3685.85482420278"/>
  </r>
  <r>
    <n v="644"/>
    <x v="6"/>
    <s v="Marine"/>
    <x v="0"/>
    <x v="0"/>
    <n v="12"/>
    <s v="Area 12: Hood Canal"/>
    <s v="Area 12: Hood Canal"/>
    <s v="NA"/>
    <x v="4"/>
    <s v="King"/>
    <s v="06King"/>
    <s v="South Puget Sound"/>
    <s v="02South Puget Sound"/>
    <n v="2309.9754701553602"/>
    <n v="6221.2116107931297"/>
    <n v="2309.9754701553602"/>
    <n v="6221.2116107931297"/>
  </r>
  <r>
    <n v="735"/>
    <x v="6"/>
    <s v="Marine"/>
    <x v="0"/>
    <x v="0"/>
    <n v="12"/>
    <s v="Area 12: Hood Canal"/>
    <s v="Area 12: Hood Canal"/>
    <s v="NA"/>
    <x v="4"/>
    <s v="Kitsap"/>
    <s v="10Kitsap"/>
    <s v="South Puget Sound"/>
    <s v="02South Puget Sound"/>
    <n v="1099.61161079313"/>
    <n v="2961.4671708912501"/>
    <n v="1099.61161079313"/>
    <n v="2961.4671708912501"/>
  </r>
  <r>
    <n v="734"/>
    <x v="6"/>
    <s v="Marine"/>
    <x v="0"/>
    <x v="0"/>
    <n v="12"/>
    <s v="Area 12: Hood Canal"/>
    <s v="Area 12: Hood Canal"/>
    <s v="NA"/>
    <x v="4"/>
    <s v="Mason"/>
    <s v="09Mason"/>
    <s v="South Puget Sound"/>
    <s v="02South Puget Sound"/>
    <n v="1067.96811120196"/>
    <n v="2876.24509403107"/>
    <n v="1067.96811120196"/>
    <n v="2876.24509403107"/>
  </r>
  <r>
    <n v="738"/>
    <x v="6"/>
    <s v="Marine"/>
    <x v="0"/>
    <x v="0"/>
    <n v="12"/>
    <s v="Area 12: Hood Canal"/>
    <s v="Area 12: Hood Canal"/>
    <s v="NA"/>
    <x v="4"/>
    <s v="Other"/>
    <s v="20Other"/>
    <s v="Non Puget Sound"/>
    <s v="07Non Puget Sound"/>
    <n v="798.99836467702403"/>
    <n v="2151.8574407195401"/>
    <n v="798.99836467702403"/>
    <n v="2151.8574407195401"/>
  </r>
  <r>
    <n v="732"/>
    <x v="6"/>
    <s v="Marine"/>
    <x v="0"/>
    <x v="0"/>
    <n v="12"/>
    <s v="Area 12: Hood Canal"/>
    <s v="Area 12: Hood Canal"/>
    <s v="NA"/>
    <x v="4"/>
    <s v="Pierce"/>
    <s v="07Pierce"/>
    <s v="South Puget Sound"/>
    <s v="02South Puget Sound"/>
    <n v="1685.0163532297599"/>
    <n v="4538.0755928045801"/>
    <n v="1685.0163532297599"/>
    <n v="4538.0755928045801"/>
  </r>
  <r>
    <n v="643"/>
    <x v="6"/>
    <s v="Marine"/>
    <x v="0"/>
    <x v="0"/>
    <n v="12"/>
    <s v="Area 12: Hood Canal"/>
    <s v="Area 12: Hood Canal"/>
    <s v="NA"/>
    <x v="4"/>
    <s v="Snohomish"/>
    <s v="03Snohomish"/>
    <s v="North Puget Sound"/>
    <s v="01North Puget Sound"/>
    <n v="189.86099754701601"/>
    <n v="511.33246116108"/>
    <n v="189.86099754701601"/>
    <n v="511.33246116108"/>
  </r>
  <r>
    <n v="733"/>
    <x v="6"/>
    <s v="Marine"/>
    <x v="0"/>
    <x v="0"/>
    <n v="12"/>
    <s v="Area 12: Hood Canal"/>
    <s v="Area 12: Hood Canal"/>
    <s v="NA"/>
    <x v="4"/>
    <s v="Thurston"/>
    <s v="08Thurston"/>
    <s v="South Puget Sound"/>
    <s v="02South Puget Sound"/>
    <n v="909.75061324611602"/>
    <n v="2450.13470973017"/>
    <n v="909.75061324611602"/>
    <n v="2450.13470973017"/>
  </r>
  <r>
    <n v="642"/>
    <x v="6"/>
    <s v="Marine"/>
    <x v="0"/>
    <x v="0"/>
    <n v="12"/>
    <s v="Area 12: Hood Canal"/>
    <s v="Area 12: Hood Canal"/>
    <s v="NA"/>
    <x v="4"/>
    <s v="Whatcom"/>
    <s v="01Whatcom"/>
    <s v="North Puget Sound"/>
    <s v="01North Puget Sound"/>
    <n v="15.8217497955846"/>
    <n v="42.611038430089998"/>
    <n v="15.8217497955846"/>
    <n v="42.611038430089998"/>
  </r>
  <r>
    <n v="836"/>
    <x v="7"/>
    <s v="Marine"/>
    <x v="0"/>
    <x v="0"/>
    <n v="12"/>
    <s v="Area 12: Hood Canal"/>
    <s v="Area 12: Hood Canal"/>
    <s v="NA"/>
    <x v="4"/>
    <s v="Clallam"/>
    <s v="11Clallam"/>
    <s v="Strait of Juan de Fuca"/>
    <s v="03Strait of Juan de Fuca"/>
    <n v="198.83112351709701"/>
    <n v="120.300370298856"/>
    <n v="198.83112351709701"/>
    <n v="120.300370298856"/>
  </r>
  <r>
    <n v="837"/>
    <x v="7"/>
    <s v="Marine"/>
    <x v="0"/>
    <x v="0"/>
    <n v="12"/>
    <s v="Area 12: Hood Canal"/>
    <s v="Area 12: Hood Canal"/>
    <s v="NA"/>
    <x v="4"/>
    <s v="Jefferson"/>
    <s v="12Jefferson"/>
    <s v="Strait of Juan de Fuca"/>
    <s v="03Strait of Juan de Fuca"/>
    <n v="1177.0802512212099"/>
    <n v="712.17819216922601"/>
    <n v="1177.0802512212099"/>
    <n v="712.17819216922601"/>
  </r>
  <r>
    <n v="740"/>
    <x v="7"/>
    <s v="Marine"/>
    <x v="0"/>
    <x v="0"/>
    <n v="12"/>
    <s v="Area 12: Hood Canal"/>
    <s v="Area 12: Hood Canal"/>
    <s v="NA"/>
    <x v="4"/>
    <s v="King"/>
    <s v="06King"/>
    <s v="South Puget Sound"/>
    <s v="02South Puget Sound"/>
    <n v="2799.5422191207299"/>
    <n v="1693.82921380789"/>
    <n v="2799.5422191207299"/>
    <n v="1693.82921380789"/>
  </r>
  <r>
    <n v="835"/>
    <x v="7"/>
    <s v="Marine"/>
    <x v="0"/>
    <x v="0"/>
    <n v="12"/>
    <s v="Area 12: Hood Canal"/>
    <s v="Area 12: Hood Canal"/>
    <s v="NA"/>
    <x v="4"/>
    <s v="Kitsap"/>
    <s v="10Kitsap"/>
    <s v="South Puget Sound"/>
    <s v="02South Puget Sound"/>
    <n v="1733.80739706909"/>
    <n v="1049.0192290060199"/>
    <n v="1733.80739706909"/>
    <n v="1049.0192290060199"/>
  </r>
  <r>
    <n v="834"/>
    <x v="7"/>
    <s v="Marine"/>
    <x v="0"/>
    <x v="0"/>
    <n v="12"/>
    <s v="Area 12: Hood Canal"/>
    <s v="Area 12: Hood Canal"/>
    <s v="NA"/>
    <x v="4"/>
    <s v="Mason"/>
    <s v="09Mason"/>
    <s v="South Puget Sound"/>
    <s v="02South Puget Sound"/>
    <n v="1161.17376133985"/>
    <n v="702.55416254531804"/>
    <n v="1161.17376133985"/>
    <n v="702.55416254531804"/>
  </r>
  <r>
    <n v="838"/>
    <x v="7"/>
    <s v="Marine"/>
    <x v="0"/>
    <x v="0"/>
    <n v="12"/>
    <s v="Area 12: Hood Canal"/>
    <s v="Area 12: Hood Canal"/>
    <s v="NA"/>
    <x v="4"/>
    <s v="Other"/>
    <s v="20Other"/>
    <s v="Non Puget Sound"/>
    <s v="07Non Puget Sound"/>
    <n v="1423.63084438241"/>
    <n v="861.35065133980697"/>
    <n v="1423.63084438241"/>
    <n v="861.35065133980697"/>
  </r>
  <r>
    <n v="741"/>
    <x v="7"/>
    <s v="Marine"/>
    <x v="0"/>
    <x v="0"/>
    <n v="12"/>
    <s v="Area 12: Hood Canal"/>
    <s v="Area 12: Hood Canal"/>
    <s v="NA"/>
    <x v="4"/>
    <s v="Pierce"/>
    <s v="07Pierce"/>
    <s v="South Puget Sound"/>
    <s v="02South Puget Sound"/>
    <n v="1558.8360083740399"/>
    <n v="943.15490314302895"/>
    <n v="1558.8360083740399"/>
    <n v="943.15490314302895"/>
  </r>
  <r>
    <n v="739"/>
    <x v="7"/>
    <s v="Marine"/>
    <x v="0"/>
    <x v="0"/>
    <n v="12"/>
    <s v="Area 12: Hood Canal"/>
    <s v="Area 12: Hood Canal"/>
    <s v="NA"/>
    <x v="4"/>
    <s v="Snohomish"/>
    <s v="03Snohomish"/>
    <s v="North Puget Sound"/>
    <s v="01North Puget Sound"/>
    <n v="278.36357292393598"/>
    <n v="168.42051841839799"/>
    <n v="278.36357292393598"/>
    <n v="168.42051841839799"/>
  </r>
  <r>
    <n v="833"/>
    <x v="7"/>
    <s v="Marine"/>
    <x v="0"/>
    <x v="0"/>
    <n v="12"/>
    <s v="Area 12: Hood Canal"/>
    <s v="Area 12: Hood Canal"/>
    <s v="NA"/>
    <x v="4"/>
    <s v="Thurston"/>
    <s v="08Thurston"/>
    <s v="South Puget Sound"/>
    <s v="02South Puget Sound"/>
    <n v="1065.7348220516401"/>
    <n v="644.80998480186702"/>
    <n v="1065.7348220516401"/>
    <n v="644.80998480186702"/>
  </r>
  <r>
    <n v="944"/>
    <x v="8"/>
    <s v="Marine"/>
    <x v="0"/>
    <x v="0"/>
    <n v="12"/>
    <s v="Area 12: Hood Canal"/>
    <s v="Area 12: Hood Canal"/>
    <s v="NA"/>
    <x v="4"/>
    <s v="Clallam"/>
    <s v="11Clallam"/>
    <s v="Strait of Juan de Fuca"/>
    <s v="03Strait of Juan de Fuca"/>
    <n v="93.147169811320794"/>
    <n v="78.783958166614198"/>
    <n v="93.147169811320794"/>
    <n v="78.783958166614198"/>
  </r>
  <r>
    <n v="945"/>
    <x v="8"/>
    <s v="Marine"/>
    <x v="0"/>
    <x v="0"/>
    <n v="12"/>
    <s v="Area 12: Hood Canal"/>
    <s v="Area 12: Hood Canal"/>
    <s v="NA"/>
    <x v="4"/>
    <s v="Jefferson"/>
    <s v="12Jefferson"/>
    <s v="Strait of Juan de Fuca"/>
    <s v="03Strait of Juan de Fuca"/>
    <n v="939.23396226415105"/>
    <n v="794.40491151336005"/>
    <n v="939.23396226415105"/>
    <n v="794.40491151336005"/>
  </r>
  <r>
    <n v="840"/>
    <x v="8"/>
    <s v="Marine"/>
    <x v="0"/>
    <x v="0"/>
    <n v="12"/>
    <s v="Area 12: Hood Canal"/>
    <s v="Area 12: Hood Canal"/>
    <s v="NA"/>
    <x v="4"/>
    <s v="King"/>
    <s v="06King"/>
    <s v="South Puget Sound"/>
    <s v="02South Puget Sound"/>
    <n v="2134.6226415094302"/>
    <n v="1805.4657079849101"/>
    <n v="2134.6226415094302"/>
    <n v="1805.4657079849101"/>
  </r>
  <r>
    <n v="943"/>
    <x v="8"/>
    <s v="Marine"/>
    <x v="0"/>
    <x v="0"/>
    <n v="12"/>
    <s v="Area 12: Hood Canal"/>
    <s v="Area 12: Hood Canal"/>
    <s v="NA"/>
    <x v="4"/>
    <s v="Kitsap"/>
    <s v="10Kitsap"/>
    <s v="South Puget Sound"/>
    <s v="02South Puget Sound"/>
    <n v="690.84150943396196"/>
    <n v="584.31435640238794"/>
    <n v="690.84150943396196"/>
    <n v="584.31435640238794"/>
  </r>
  <r>
    <n v="942"/>
    <x v="8"/>
    <s v="Marine"/>
    <x v="0"/>
    <x v="0"/>
    <n v="12"/>
    <s v="Area 12: Hood Canal"/>
    <s v="Area 12: Hood Canal"/>
    <s v="NA"/>
    <x v="4"/>
    <s v="Mason"/>
    <s v="09Mason"/>
    <s v="South Puget Sound"/>
    <s v="02South Puget Sound"/>
    <n v="520.07169811320796"/>
    <n v="439.87709976359599"/>
    <n v="520.07169811320796"/>
    <n v="439.87709976359599"/>
  </r>
  <r>
    <n v="946"/>
    <x v="8"/>
    <s v="Marine"/>
    <x v="0"/>
    <x v="0"/>
    <n v="12"/>
    <s v="Area 12: Hood Canal"/>
    <s v="Area 12: Hood Canal"/>
    <s v="NA"/>
    <x v="4"/>
    <s v="Other"/>
    <s v="20Other"/>
    <s v="Non Puget Sound"/>
    <s v="07Non Puget Sound"/>
    <n v="1482.59245283019"/>
    <n v="1253.9780008186101"/>
    <n v="1482.59245283019"/>
    <n v="1253.9780008186101"/>
  </r>
  <r>
    <n v="841"/>
    <x v="8"/>
    <s v="Marine"/>
    <x v="0"/>
    <x v="0"/>
    <n v="12"/>
    <s v="Area 12: Hood Canal"/>
    <s v="Area 12: Hood Canal"/>
    <s v="NA"/>
    <x v="4"/>
    <s v="Pierce"/>
    <s v="07Pierce"/>
    <s v="South Puget Sound"/>
    <s v="02South Puget Sound"/>
    <n v="1234.2"/>
    <n v="1043.8874457076399"/>
    <n v="1234.2"/>
    <n v="1043.8874457076399"/>
  </r>
  <r>
    <n v="839"/>
    <x v="8"/>
    <s v="Marine"/>
    <x v="0"/>
    <x v="0"/>
    <n v="12"/>
    <s v="Area 12: Hood Canal"/>
    <s v="Area 12: Hood Canal"/>
    <s v="NA"/>
    <x v="4"/>
    <s v="Snohomish"/>
    <s v="03Snohomish"/>
    <s v="North Puget Sound"/>
    <s v="01North Puget Sound"/>
    <n v="349.30188679245299"/>
    <n v="295.43984312480302"/>
    <n v="349.30188679245299"/>
    <n v="295.43984312480302"/>
  </r>
  <r>
    <n v="941"/>
    <x v="8"/>
    <s v="Marine"/>
    <x v="0"/>
    <x v="0"/>
    <n v="12"/>
    <s v="Area 12: Hood Canal"/>
    <s v="Area 12: Hood Canal"/>
    <s v="NA"/>
    <x v="4"/>
    <s v="Thurston"/>
    <s v="08Thurston"/>
    <s v="South Puget Sound"/>
    <s v="02South Puget Sound"/>
    <n v="783.98867924528304"/>
    <n v="663.09831456900304"/>
    <n v="783.98867924528304"/>
    <n v="663.09831456900304"/>
  </r>
  <r>
    <n v="1052"/>
    <x v="9"/>
    <s v="Marine"/>
    <x v="0"/>
    <x v="0"/>
    <n v="12"/>
    <s v="Area 12: Hood Canal"/>
    <s v="Area 12: Hood Canal"/>
    <s v="NA"/>
    <x v="4"/>
    <s v="Clallam"/>
    <s v="11Clallam"/>
    <s v="Strait of Juan de Fuca"/>
    <s v="03Strait of Juan de Fuca"/>
    <n v="111.96674584323"/>
    <n v="103.08862968782501"/>
    <n v="111.96674584323"/>
    <n v="103.08862968782501"/>
  </r>
  <r>
    <n v="1053"/>
    <x v="9"/>
    <s v="Marine"/>
    <x v="0"/>
    <x v="0"/>
    <n v="12"/>
    <s v="Area 12: Hood Canal"/>
    <s v="Area 12: Hood Canal"/>
    <s v="NA"/>
    <x v="4"/>
    <s v="Jefferson"/>
    <s v="12Jefferson"/>
    <s v="Strait of Juan de Fuca"/>
    <s v="03Strait of Juan de Fuca"/>
    <n v="413.41567695961999"/>
    <n v="380.63494038581598"/>
    <n v="413.41567695961999"/>
    <n v="380.63494038581598"/>
  </r>
  <r>
    <n v="948"/>
    <x v="9"/>
    <s v="Marine"/>
    <x v="0"/>
    <x v="0"/>
    <n v="12"/>
    <s v="Area 12: Hood Canal"/>
    <s v="Area 12: Hood Canal"/>
    <s v="NA"/>
    <x v="4"/>
    <s v="King"/>
    <s v="06King"/>
    <s v="South Puget Sound"/>
    <s v="02South Puget Sound"/>
    <n v="482.31828978622298"/>
    <n v="444.07409711678503"/>
    <n v="482.31828978622298"/>
    <n v="444.07409711678503"/>
  </r>
  <r>
    <n v="1051"/>
    <x v="9"/>
    <s v="Marine"/>
    <x v="0"/>
    <x v="0"/>
    <n v="12"/>
    <s v="Area 12: Hood Canal"/>
    <s v="Area 12: Hood Canal"/>
    <s v="NA"/>
    <x v="4"/>
    <s v="Kitsap"/>
    <s v="10Kitsap"/>
    <s v="South Puget Sound"/>
    <s v="02South Puget Sound"/>
    <n v="757.92874109263698"/>
    <n v="697.83072404066297"/>
    <n v="757.92874109263698"/>
    <n v="697.83072404066297"/>
  </r>
  <r>
    <n v="1050"/>
    <x v="9"/>
    <s v="Marine"/>
    <x v="0"/>
    <x v="0"/>
    <n v="12"/>
    <s v="Area 12: Hood Canal"/>
    <s v="Area 12: Hood Canal"/>
    <s v="NA"/>
    <x v="4"/>
    <s v="Mason"/>
    <s v="09Mason"/>
    <s v="South Puget Sound"/>
    <s v="02South Puget Sound"/>
    <n v="1085.216152019"/>
    <n v="999.16671851276703"/>
    <n v="1085.216152019"/>
    <n v="999.16671851276703"/>
  </r>
  <r>
    <n v="1054"/>
    <x v="9"/>
    <s v="Marine"/>
    <x v="0"/>
    <x v="0"/>
    <n v="12"/>
    <s v="Area 12: Hood Canal"/>
    <s v="Area 12: Hood Canal"/>
    <s v="NA"/>
    <x v="4"/>
    <s v="Other"/>
    <s v="20Other"/>
    <s v="Non Puget Sound"/>
    <s v="07Non Puget Sound"/>
    <n v="198.09501187648499"/>
    <n v="182.38757560153701"/>
    <n v="198.09501187648499"/>
    <n v="182.38757560153701"/>
  </r>
  <r>
    <n v="949"/>
    <x v="9"/>
    <s v="Marine"/>
    <x v="0"/>
    <x v="0"/>
    <n v="12"/>
    <s v="Area 12: Hood Canal"/>
    <s v="Area 12: Hood Canal"/>
    <s v="NA"/>
    <x v="4"/>
    <s v="Pierce"/>
    <s v="07Pierce"/>
    <s v="South Puget Sound"/>
    <s v="02South Puget Sound"/>
    <n v="370.35154394299298"/>
    <n v="340.98546742896002"/>
    <n v="370.35154394299298"/>
    <n v="340.98546742896002"/>
  </r>
  <r>
    <n v="947"/>
    <x v="9"/>
    <s v="Marine"/>
    <x v="0"/>
    <x v="0"/>
    <n v="12"/>
    <s v="Area 12: Hood Canal"/>
    <s v="Area 12: Hood Canal"/>
    <s v="NA"/>
    <x v="4"/>
    <s v="Snohomish"/>
    <s v="03Snohomish"/>
    <s v="North Puget Sound"/>
    <s v="01North Puget Sound"/>
    <n v="8.6128266033254199"/>
    <n v="7.9298945913711698"/>
    <n v="8.6128266033254199"/>
    <n v="7.9298945913711698"/>
  </r>
  <r>
    <n v="1049"/>
    <x v="9"/>
    <s v="Marine"/>
    <x v="0"/>
    <x v="0"/>
    <n v="12"/>
    <s v="Area 12: Hood Canal"/>
    <s v="Area 12: Hood Canal"/>
    <s v="NA"/>
    <x v="4"/>
    <s v="Thurston"/>
    <s v="08Thurston"/>
    <s v="South Puget Sound"/>
    <s v="02South Puget Sound"/>
    <n v="198.09501187648499"/>
    <n v="182.38757560153701"/>
    <n v="198.09501187648499"/>
    <n v="182.38757560153701"/>
  </r>
  <r>
    <n v="1137"/>
    <x v="10"/>
    <s v="Marine"/>
    <x v="0"/>
    <x v="0"/>
    <n v="12"/>
    <s v="Area 12: Hood Canal"/>
    <s v="Area 12: Hood Canal"/>
    <s v="NA"/>
    <x v="4"/>
    <s v="Clallam"/>
    <s v="11Clallam"/>
    <s v="Strait of Juan de Fuca"/>
    <s v="03Strait of Juan de Fuca"/>
    <n v="281.80846325166999"/>
    <n v="249.64215326586901"/>
    <n v="281.80846325166999"/>
    <n v="249.64215326586901"/>
  </r>
  <r>
    <n v="1138"/>
    <x v="10"/>
    <s v="Marine"/>
    <x v="0"/>
    <x v="0"/>
    <n v="12"/>
    <s v="Area 12: Hood Canal"/>
    <s v="Area 12: Hood Canal"/>
    <s v="NA"/>
    <x v="4"/>
    <s v="Jefferson"/>
    <s v="12Jefferson"/>
    <s v="Strait of Juan de Fuca"/>
    <s v="03Strait of Juan de Fuca"/>
    <n v="1489.5590200445399"/>
    <n v="1319.5370958338799"/>
    <n v="1489.5590200445399"/>
    <n v="1319.5370958338799"/>
  </r>
  <r>
    <n v="1056"/>
    <x v="10"/>
    <s v="Marine"/>
    <x v="0"/>
    <x v="0"/>
    <n v="12"/>
    <s v="Area 12: Hood Canal"/>
    <s v="Area 12: Hood Canal"/>
    <s v="NA"/>
    <x v="4"/>
    <s v="King"/>
    <s v="06King"/>
    <s v="South Puget Sound"/>
    <s v="02South Puget Sound"/>
    <n v="885.683741648107"/>
    <n v="784.589624549875"/>
    <n v="885.683741648107"/>
    <n v="784.589624549875"/>
  </r>
  <r>
    <n v="1136"/>
    <x v="10"/>
    <s v="Marine"/>
    <x v="0"/>
    <x v="0"/>
    <n v="12"/>
    <s v="Area 12: Hood Canal"/>
    <s v="Area 12: Hood Canal"/>
    <s v="NA"/>
    <x v="4"/>
    <s v="Kitsap"/>
    <s v="10Kitsap"/>
    <s v="South Puget Sound"/>
    <s v="02South Puget Sound"/>
    <n v="362.325167037862"/>
    <n v="320.968482770403"/>
    <n v="362.325167037862"/>
    <n v="320.968482770403"/>
  </r>
  <r>
    <n v="1135"/>
    <x v="10"/>
    <s v="Marine"/>
    <x v="0"/>
    <x v="0"/>
    <n v="12"/>
    <s v="Area 12: Hood Canal"/>
    <s v="Area 12: Hood Canal"/>
    <s v="NA"/>
    <x v="4"/>
    <s v="Mason"/>
    <s v="09Mason"/>
    <s v="South Puget Sound"/>
    <s v="02South Puget Sound"/>
    <n v="161.033407572383"/>
    <n v="142.652659009068"/>
    <n v="161.033407572383"/>
    <n v="142.652659009068"/>
  </r>
  <r>
    <n v="1139"/>
    <x v="10"/>
    <s v="Marine"/>
    <x v="0"/>
    <x v="0"/>
    <n v="12"/>
    <s v="Area 12: Hood Canal"/>
    <s v="Area 12: Hood Canal"/>
    <s v="NA"/>
    <x v="4"/>
    <s v="Other"/>
    <s v="20Other"/>
    <s v="Non Puget Sound"/>
    <s v="07Non Puget Sound"/>
    <n v="412.64810690423201"/>
    <n v="365.54743871073703"/>
    <n v="412.64810690423201"/>
    <n v="365.54743871073703"/>
  </r>
  <r>
    <n v="1057"/>
    <x v="10"/>
    <s v="Marine"/>
    <x v="0"/>
    <x v="0"/>
    <n v="12"/>
    <s v="Area 12: Hood Canal"/>
    <s v="Area 12: Hood Canal"/>
    <s v="NA"/>
    <x v="4"/>
    <s v="Pierce"/>
    <s v="07Pierce"/>
    <s v="South Puget Sound"/>
    <s v="02South Puget Sound"/>
    <n v="211.35634743875301"/>
    <n v="187.231614949402"/>
    <n v="211.35634743875301"/>
    <n v="187.231614949402"/>
  </r>
  <r>
    <n v="1055"/>
    <x v="10"/>
    <s v="Marine"/>
    <x v="0"/>
    <x v="0"/>
    <n v="12"/>
    <s v="Area 12: Hood Canal"/>
    <s v="Area 12: Hood Canal"/>
    <s v="NA"/>
    <x v="4"/>
    <s v="Snohomish"/>
    <s v="03Snohomish"/>
    <s v="North Puget Sound"/>
    <s v="01North Puget Sound"/>
    <n v="30.193763919821802"/>
    <n v="26.747373564200299"/>
    <n v="30.193763919821802"/>
    <n v="26.747373564200299"/>
  </r>
  <r>
    <n v="1134"/>
    <x v="10"/>
    <s v="Marine"/>
    <x v="0"/>
    <x v="0"/>
    <n v="12"/>
    <s v="Area 12: Hood Canal"/>
    <s v="Area 12: Hood Canal"/>
    <s v="NA"/>
    <x v="4"/>
    <s v="Thurston"/>
    <s v="08Thurston"/>
    <s v="South Puget Sound"/>
    <s v="02South Puget Sound"/>
    <n v="684.391982182628"/>
    <n v="606.27380078854003"/>
    <n v="684.391982182628"/>
    <n v="606.27380078854003"/>
  </r>
  <r>
    <n v="1244"/>
    <x v="11"/>
    <s v="Marine"/>
    <x v="0"/>
    <x v="0"/>
    <n v="12"/>
    <s v="Area 12: Hood Canal"/>
    <s v="Area 12: Hood Canal"/>
    <s v="NA"/>
    <x v="4"/>
    <s v="Clallam"/>
    <s v="11Clallam"/>
    <s v="Strait of Juan de Fuca"/>
    <s v="03Strait of Juan de Fuca"/>
    <n v="164.06374501991999"/>
    <n v="80.134857259176698"/>
    <n v="164.06374501991999"/>
    <n v="80.134857259176698"/>
  </r>
  <r>
    <n v="1142"/>
    <x v="11"/>
    <s v="Marine"/>
    <x v="0"/>
    <x v="0"/>
    <n v="12"/>
    <s v="Area 12: Hood Canal"/>
    <s v="Area 12: Hood Canal"/>
    <s v="NA"/>
    <x v="4"/>
    <s v="Island"/>
    <s v="04Island"/>
    <s v="North Puget Sound"/>
    <s v="01North Puget Sound"/>
    <n v="32.812749003984102"/>
    <n v="16.026971451835301"/>
    <n v="32.812749003984102"/>
    <n v="16.026971451835301"/>
  </r>
  <r>
    <n v="1245"/>
    <x v="11"/>
    <s v="Marine"/>
    <x v="0"/>
    <x v="0"/>
    <n v="12"/>
    <s v="Area 12: Hood Canal"/>
    <s v="Area 12: Hood Canal"/>
    <s v="NA"/>
    <x v="4"/>
    <s v="Jefferson"/>
    <s v="12Jefferson"/>
    <s v="Strait of Juan de Fuca"/>
    <s v="03Strait of Juan de Fuca"/>
    <n v="1181.2589641434299"/>
    <n v="576.97097226607195"/>
    <n v="1181.2589641434299"/>
    <n v="576.97097226607195"/>
  </r>
  <r>
    <n v="1239"/>
    <x v="11"/>
    <s v="Marine"/>
    <x v="0"/>
    <x v="0"/>
    <n v="12"/>
    <s v="Area 12: Hood Canal"/>
    <s v="Area 12: Hood Canal"/>
    <s v="NA"/>
    <x v="4"/>
    <s v="King"/>
    <s v="06King"/>
    <s v="South Puget Sound"/>
    <s v="02South Puget Sound"/>
    <n v="1476.5737051792801"/>
    <n v="721.21371533259003"/>
    <n v="1476.5737051792801"/>
    <n v="721.21371533259003"/>
  </r>
  <r>
    <n v="1243"/>
    <x v="11"/>
    <s v="Marine"/>
    <x v="0"/>
    <x v="0"/>
    <n v="12"/>
    <s v="Area 12: Hood Canal"/>
    <s v="Area 12: Hood Canal"/>
    <s v="NA"/>
    <x v="4"/>
    <s v="Kitsap"/>
    <s v="10Kitsap"/>
    <s v="South Puget Sound"/>
    <s v="02South Puget Sound"/>
    <n v="1203.13413014608"/>
    <n v="587.65561990062895"/>
    <n v="1203.13413014608"/>
    <n v="587.65561990062895"/>
  </r>
  <r>
    <n v="1242"/>
    <x v="11"/>
    <s v="Marine"/>
    <x v="0"/>
    <x v="0"/>
    <n v="12"/>
    <s v="Area 12: Hood Canal"/>
    <s v="Area 12: Hood Canal"/>
    <s v="NA"/>
    <x v="4"/>
    <s v="Mason"/>
    <s v="09Mason"/>
    <s v="South Puget Sound"/>
    <s v="02South Puget Sound"/>
    <n v="1443.7609561753"/>
    <n v="705.18674388075499"/>
    <n v="1443.7609561753"/>
    <n v="705.18674388075499"/>
  </r>
  <r>
    <n v="1246"/>
    <x v="11"/>
    <s v="Marine"/>
    <x v="0"/>
    <x v="0"/>
    <n v="12"/>
    <s v="Area 12: Hood Canal"/>
    <s v="Area 12: Hood Canal"/>
    <s v="NA"/>
    <x v="4"/>
    <s v="Other"/>
    <s v="20Other"/>
    <s v="Non Puget Sound"/>
    <s v="07Non Puget Sound"/>
    <n v="623.44223107569701"/>
    <n v="304.51245758487102"/>
    <n v="623.44223107569701"/>
    <n v="304.51245758487102"/>
  </r>
  <r>
    <n v="1240"/>
    <x v="11"/>
    <s v="Marine"/>
    <x v="0"/>
    <x v="0"/>
    <n v="12"/>
    <s v="Area 12: Hood Canal"/>
    <s v="Area 12: Hood Canal"/>
    <s v="NA"/>
    <x v="4"/>
    <s v="Pierce"/>
    <s v="07Pierce"/>
    <s v="South Puget Sound"/>
    <s v="02South Puget Sound"/>
    <n v="907.81938911022598"/>
    <n v="443.41287683411099"/>
    <n v="907.81938911022598"/>
    <n v="443.41287683411099"/>
  </r>
  <r>
    <n v="1141"/>
    <x v="11"/>
    <s v="Marine"/>
    <x v="0"/>
    <x v="0"/>
    <n v="12"/>
    <s v="Area 12: Hood Canal"/>
    <s v="Area 12: Hood Canal"/>
    <s v="NA"/>
    <x v="4"/>
    <s v="Snohomish"/>
    <s v="03Snohomish"/>
    <s v="North Puget Sound"/>
    <s v="01North Puget Sound"/>
    <n v="514.06640106241696"/>
    <n v="251.089219412087"/>
    <n v="514.06640106241696"/>
    <n v="251.089219412087"/>
  </r>
  <r>
    <n v="1241"/>
    <x v="11"/>
    <s v="Marine"/>
    <x v="0"/>
    <x v="0"/>
    <n v="12"/>
    <s v="Area 12: Hood Canal"/>
    <s v="Area 12: Hood Canal"/>
    <s v="NA"/>
    <x v="4"/>
    <s v="Thurston"/>
    <s v="08Thurston"/>
    <s v="South Puget Sound"/>
    <s v="02South Puget Sound"/>
    <n v="678.13014608233698"/>
    <n v="331.22407667126402"/>
    <n v="678.13014608233698"/>
    <n v="331.22407667126402"/>
  </r>
  <r>
    <n v="1140"/>
    <x v="11"/>
    <s v="Marine"/>
    <x v="0"/>
    <x v="0"/>
    <n v="12"/>
    <s v="Area 12: Hood Canal"/>
    <s v="Area 12: Hood Canal"/>
    <s v="NA"/>
    <x v="4"/>
    <s v="Whatcom"/>
    <s v="01Whatcom"/>
    <s v="North Puget Sound"/>
    <s v="01North Puget Sound"/>
    <n v="10.937583001328001"/>
    <n v="5.34232381727844"/>
    <n v="10.937583001328001"/>
    <n v="5.34232381727844"/>
  </r>
  <r>
    <n v="888"/>
    <x v="0"/>
    <s v="Marine"/>
    <x v="0"/>
    <x v="0"/>
    <n v="13"/>
    <s v="Area 13: S Puget Sound"/>
    <s v="Area 13: S Puget Sound"/>
    <s v="NA"/>
    <x v="3"/>
    <s v="Clallam"/>
    <s v="11Clallam"/>
    <s v="Strait of Juan de Fuca"/>
    <s v="03Strait of Juan de Fuca"/>
    <n v="9.91020408163266"/>
    <n v="233.38979591836701"/>
    <n v="9.91020408163266"/>
    <n v="233.38979591836701"/>
  </r>
  <r>
    <n v="806"/>
    <x v="0"/>
    <s v="Marine"/>
    <x v="0"/>
    <x v="0"/>
    <n v="13"/>
    <s v="Area 13: S Puget Sound"/>
    <s v="Area 13: S Puget Sound"/>
    <s v="NA"/>
    <x v="3"/>
    <s v="King"/>
    <s v="06King"/>
    <s v="South Puget Sound"/>
    <s v="02South Puget Sound"/>
    <n v="74.326530612244895"/>
    <n v="1750.42346938776"/>
    <n v="74.326530612244895"/>
    <n v="1750.42346938776"/>
  </r>
  <r>
    <n v="810"/>
    <x v="0"/>
    <s v="Marine"/>
    <x v="0"/>
    <x v="0"/>
    <n v="13"/>
    <s v="Area 13: S Puget Sound"/>
    <s v="Area 13: S Puget Sound"/>
    <s v="NA"/>
    <x v="3"/>
    <s v="Kitsap"/>
    <s v="10Kitsap"/>
    <s v="South Puget Sound"/>
    <s v="02South Puget Sound"/>
    <n v="49.551020408163303"/>
    <n v="1166.94897959184"/>
    <n v="49.551020408163303"/>
    <n v="1166.94897959184"/>
  </r>
  <r>
    <n v="809"/>
    <x v="0"/>
    <s v="Marine"/>
    <x v="0"/>
    <x v="0"/>
    <n v="13"/>
    <s v="Area 13: S Puget Sound"/>
    <s v="Area 13: S Puget Sound"/>
    <s v="NA"/>
    <x v="3"/>
    <s v="Mason"/>
    <s v="09Mason"/>
    <s v="South Puget Sound"/>
    <s v="02South Puget Sound"/>
    <n v="158.56326530612299"/>
    <n v="3734.23673469388"/>
    <n v="158.56326530612299"/>
    <n v="3734.23673469388"/>
  </r>
  <r>
    <n v="889"/>
    <x v="0"/>
    <s v="Marine"/>
    <x v="0"/>
    <x v="0"/>
    <n v="13"/>
    <s v="Area 13: S Puget Sound"/>
    <s v="Area 13: S Puget Sound"/>
    <s v="NA"/>
    <x v="3"/>
    <s v="Other"/>
    <s v="20Other"/>
    <s v="Non Puget Sound"/>
    <s v="07Non Puget Sound"/>
    <n v="158.56326530612299"/>
    <n v="3734.23673469388"/>
    <n v="158.56326530612299"/>
    <n v="3734.23673469388"/>
  </r>
  <r>
    <n v="807"/>
    <x v="0"/>
    <s v="Marine"/>
    <x v="0"/>
    <x v="0"/>
    <n v="13"/>
    <s v="Area 13: S Puget Sound"/>
    <s v="Area 13: S Puget Sound"/>
    <s v="NA"/>
    <x v="3"/>
    <s v="Pierce"/>
    <s v="07Pierce"/>
    <s v="South Puget Sound"/>
    <s v="02South Puget Sound"/>
    <n v="401.36326530612303"/>
    <n v="9452.2867346938801"/>
    <n v="401.36326530612303"/>
    <n v="9452.2867346938801"/>
  </r>
  <r>
    <n v="805"/>
    <x v="0"/>
    <s v="Marine"/>
    <x v="0"/>
    <x v="0"/>
    <n v="13"/>
    <s v="Area 13: S Puget Sound"/>
    <s v="Area 13: S Puget Sound"/>
    <s v="NA"/>
    <x v="3"/>
    <s v="Snohomish"/>
    <s v="03Snohomish"/>
    <s v="North Puget Sound"/>
    <s v="01North Puget Sound"/>
    <n v="14.865306122449001"/>
    <n v="350.08469387755099"/>
    <n v="14.865306122449001"/>
    <n v="350.08469387755099"/>
  </r>
  <r>
    <n v="808"/>
    <x v="0"/>
    <s v="Marine"/>
    <x v="0"/>
    <x v="0"/>
    <n v="13"/>
    <s v="Area 13: S Puget Sound"/>
    <s v="Area 13: S Puget Sound"/>
    <s v="NA"/>
    <x v="3"/>
    <s v="Thurston"/>
    <s v="08Thurston"/>
    <s v="South Puget Sound"/>
    <s v="02South Puget Sound"/>
    <n v="346.857142857143"/>
    <n v="8168.6428571428596"/>
    <n v="346.857142857143"/>
    <n v="8168.6428571428596"/>
  </r>
  <r>
    <n v="914"/>
    <x v="1"/>
    <s v="Marine"/>
    <x v="0"/>
    <x v="0"/>
    <n v="13"/>
    <s v="Area 13: S Puget Sound"/>
    <s v="Area 13: S Puget Sound"/>
    <s v="NA"/>
    <x v="3"/>
    <s v="King"/>
    <s v="06King"/>
    <s v="South Puget Sound"/>
    <s v="02South Puget Sound"/>
    <n v="358.53061224489801"/>
    <n v="1703.9717176870799"/>
    <n v="358.53061224489801"/>
    <n v="1703.9717176870799"/>
  </r>
  <r>
    <n v="917"/>
    <x v="1"/>
    <s v="Marine"/>
    <x v="0"/>
    <x v="0"/>
    <n v="13"/>
    <s v="Area 13: S Puget Sound"/>
    <s v="Area 13: S Puget Sound"/>
    <s v="NA"/>
    <x v="3"/>
    <s v="Mason"/>
    <s v="09Mason"/>
    <s v="South Puget Sound"/>
    <s v="02South Puget Sound"/>
    <n v="335.02040816326502"/>
    <n v="1592.23586734694"/>
    <n v="335.02040816326502"/>
    <n v="1592.23586734694"/>
  </r>
  <r>
    <n v="918"/>
    <x v="1"/>
    <s v="Marine"/>
    <x v="0"/>
    <x v="0"/>
    <n v="13"/>
    <s v="Area 13: S Puget Sound"/>
    <s v="Area 13: S Puget Sound"/>
    <s v="NA"/>
    <x v="3"/>
    <s v="Other"/>
    <s v="20Other"/>
    <s v="Non Puget Sound"/>
    <s v="07Non Puget Sound"/>
    <n v="352.65306122448999"/>
    <n v="1676.0377551020399"/>
    <n v="352.65306122448999"/>
    <n v="1676.0377551020399"/>
  </r>
  <r>
    <n v="915"/>
    <x v="1"/>
    <s v="Marine"/>
    <x v="0"/>
    <x v="0"/>
    <n v="13"/>
    <s v="Area 13: S Puget Sound"/>
    <s v="Area 13: S Puget Sound"/>
    <s v="NA"/>
    <x v="3"/>
    <s v="Pierce"/>
    <s v="07Pierce"/>
    <s v="South Puget Sound"/>
    <s v="02South Puget Sound"/>
    <n v="1157.87755102041"/>
    <n v="5502.9906292516998"/>
    <n v="1157.87755102041"/>
    <n v="5502.9906292516998"/>
  </r>
  <r>
    <n v="913"/>
    <x v="1"/>
    <s v="Marine"/>
    <x v="0"/>
    <x v="0"/>
    <n v="13"/>
    <s v="Area 13: S Puget Sound"/>
    <s v="Area 13: S Puget Sound"/>
    <s v="NA"/>
    <x v="3"/>
    <s v="Snohomish"/>
    <s v="03Snohomish"/>
    <s v="North Puget Sound"/>
    <s v="01North Puget Sound"/>
    <n v="76.4081632653062"/>
    <n v="363.14151360544201"/>
    <n v="76.4081632653062"/>
    <n v="363.14151360544201"/>
  </r>
  <r>
    <n v="916"/>
    <x v="1"/>
    <s v="Marine"/>
    <x v="0"/>
    <x v="0"/>
    <n v="13"/>
    <s v="Area 13: S Puget Sound"/>
    <s v="Area 13: S Puget Sound"/>
    <s v="NA"/>
    <x v="3"/>
    <s v="Thurston"/>
    <s v="08Thurston"/>
    <s v="South Puget Sound"/>
    <s v="02South Puget Sound"/>
    <n v="1175.51020408163"/>
    <n v="5586.7925170068002"/>
    <n v="1175.51020408163"/>
    <n v="5586.7925170068002"/>
  </r>
  <r>
    <n v="1018"/>
    <x v="2"/>
    <s v="Marine"/>
    <x v="0"/>
    <x v="0"/>
    <n v="13"/>
    <s v="Area 13: S Puget Sound"/>
    <s v="Area 13: S Puget Sound"/>
    <s v="NA"/>
    <x v="3"/>
    <s v="King"/>
    <s v="06King"/>
    <s v="South Puget Sound"/>
    <s v="02South Puget Sound"/>
    <n v="139.625"/>
    <n v="1804.1556250000001"/>
    <n v="139.625"/>
    <n v="1804.1556250000001"/>
  </r>
  <r>
    <n v="1022"/>
    <x v="2"/>
    <s v="Marine"/>
    <x v="0"/>
    <x v="0"/>
    <n v="13"/>
    <s v="Area 13: S Puget Sound"/>
    <s v="Area 13: S Puget Sound"/>
    <s v="NA"/>
    <x v="3"/>
    <s v="Kitsap"/>
    <s v="10Kitsap"/>
    <s v="South Puget Sound"/>
    <s v="02South Puget Sound"/>
    <n v="30.353260869565201"/>
    <n v="392.20774456521701"/>
    <n v="30.353260869565201"/>
    <n v="392.20774456521701"/>
  </r>
  <r>
    <n v="1021"/>
    <x v="2"/>
    <s v="Marine"/>
    <x v="0"/>
    <x v="0"/>
    <n v="13"/>
    <s v="Area 13: S Puget Sound"/>
    <s v="Area 13: S Puget Sound"/>
    <s v="NA"/>
    <x v="3"/>
    <s v="Mason"/>
    <s v="09Mason"/>
    <s v="South Puget Sound"/>
    <s v="02South Puget Sound"/>
    <n v="212.47282608695701"/>
    <n v="2745.4542119565199"/>
    <n v="212.47282608695701"/>
    <n v="2745.4542119565199"/>
  </r>
  <r>
    <n v="1023"/>
    <x v="2"/>
    <s v="Marine"/>
    <x v="0"/>
    <x v="0"/>
    <n v="13"/>
    <s v="Area 13: S Puget Sound"/>
    <s v="Area 13: S Puget Sound"/>
    <s v="NA"/>
    <x v="3"/>
    <s v="Other"/>
    <s v="20Other"/>
    <s v="Non Puget Sound"/>
    <s v="07Non Puget Sound"/>
    <n v="133.554347826087"/>
    <n v="1725.7140760869599"/>
    <n v="133.554347826087"/>
    <n v="1725.7140760869599"/>
  </r>
  <r>
    <n v="1019"/>
    <x v="2"/>
    <s v="Marine"/>
    <x v="0"/>
    <x v="0"/>
    <n v="13"/>
    <s v="Area 13: S Puget Sound"/>
    <s v="Area 13: S Puget Sound"/>
    <s v="NA"/>
    <x v="3"/>
    <s v="Pierce"/>
    <s v="07Pierce"/>
    <s v="South Puget Sound"/>
    <s v="02South Puget Sound"/>
    <n v="734.54891304347802"/>
    <n v="9491.4274184782607"/>
    <n v="734.54891304347802"/>
    <n v="9491.4274184782607"/>
  </r>
  <r>
    <n v="1017"/>
    <x v="2"/>
    <s v="Marine"/>
    <x v="0"/>
    <x v="0"/>
    <n v="13"/>
    <s v="Area 13: S Puget Sound"/>
    <s v="Area 13: S Puget Sound"/>
    <s v="NA"/>
    <x v="3"/>
    <s v="Snohomish"/>
    <s v="03Snohomish"/>
    <s v="North Puget Sound"/>
    <s v="01North Puget Sound"/>
    <n v="12.1413043478261"/>
    <n v="156.88309782608701"/>
    <n v="12.1413043478261"/>
    <n v="156.88309782608701"/>
  </r>
  <r>
    <n v="1020"/>
    <x v="2"/>
    <s v="Marine"/>
    <x v="0"/>
    <x v="0"/>
    <n v="13"/>
    <s v="Area 13: S Puget Sound"/>
    <s v="Area 13: S Puget Sound"/>
    <s v="NA"/>
    <x v="3"/>
    <s v="Thurston"/>
    <s v="08Thurston"/>
    <s v="South Puget Sound"/>
    <s v="02South Puget Sound"/>
    <n v="971.304347826087"/>
    <n v="12550.647826087001"/>
    <n v="971.304347826087"/>
    <n v="12550.647826087001"/>
  </r>
  <r>
    <n v="1198"/>
    <x v="3"/>
    <s v="Marine"/>
    <x v="0"/>
    <x v="0"/>
    <n v="13"/>
    <s v="Area 13: S Puget Sound"/>
    <s v="Area 13: S Puget Sound"/>
    <s v="NA"/>
    <x v="3"/>
    <s v="Clallam"/>
    <s v="11Clallam"/>
    <s v="Strait of Juan de Fuca"/>
    <s v="03Strait of Juan de Fuca"/>
    <n v="11.0420841683367"/>
    <n v="109.225170340681"/>
    <n v="11.0420841683367"/>
    <n v="109.225170340681"/>
  </r>
  <r>
    <n v="1193"/>
    <x v="3"/>
    <s v="Marine"/>
    <x v="0"/>
    <x v="0"/>
    <n v="13"/>
    <s v="Area 13: S Puget Sound"/>
    <s v="Area 13: S Puget Sound"/>
    <s v="NA"/>
    <x v="3"/>
    <s v="King"/>
    <s v="06King"/>
    <s v="South Puget Sound"/>
    <s v="02South Puget Sound"/>
    <n v="198.75751503006001"/>
    <n v="1966.05306613227"/>
    <n v="198.75751503006001"/>
    <n v="1966.05306613227"/>
  </r>
  <r>
    <n v="1197"/>
    <x v="3"/>
    <s v="Marine"/>
    <x v="0"/>
    <x v="0"/>
    <n v="13"/>
    <s v="Area 13: S Puget Sound"/>
    <s v="Area 13: S Puget Sound"/>
    <s v="NA"/>
    <x v="3"/>
    <s v="Kitsap"/>
    <s v="10Kitsap"/>
    <s v="South Puget Sound"/>
    <s v="02South Puget Sound"/>
    <n v="27.605210420841701"/>
    <n v="273.06292585170303"/>
    <n v="27.605210420841701"/>
    <n v="273.06292585170303"/>
  </r>
  <r>
    <n v="1196"/>
    <x v="3"/>
    <s v="Marine"/>
    <x v="0"/>
    <x v="0"/>
    <n v="13"/>
    <s v="Area 13: S Puget Sound"/>
    <s v="Area 13: S Puget Sound"/>
    <s v="NA"/>
    <x v="3"/>
    <s v="Mason"/>
    <s v="09Mason"/>
    <s v="South Puget Sound"/>
    <s v="02South Puget Sound"/>
    <n v="397.51503006012001"/>
    <n v="3932.1061322645301"/>
    <n v="397.51503006012001"/>
    <n v="3932.1061322645301"/>
  </r>
  <r>
    <n v="1199"/>
    <x v="3"/>
    <s v="Marine"/>
    <x v="0"/>
    <x v="0"/>
    <n v="13"/>
    <s v="Area 13: S Puget Sound"/>
    <s v="Area 13: S Puget Sound"/>
    <s v="NA"/>
    <x v="3"/>
    <s v="Other"/>
    <s v="20Other"/>
    <s v="Non Puget Sound"/>
    <s v="07Non Puget Sound"/>
    <n v="187.71543086172301"/>
    <n v="1856.82789579158"/>
    <n v="187.71543086172301"/>
    <n v="1856.82789579158"/>
  </r>
  <r>
    <n v="1194"/>
    <x v="3"/>
    <s v="Marine"/>
    <x v="0"/>
    <x v="0"/>
    <n v="13"/>
    <s v="Area 13: S Puget Sound"/>
    <s v="Area 13: S Puget Sound"/>
    <s v="NA"/>
    <x v="3"/>
    <s v="Pierce"/>
    <s v="07Pierce"/>
    <s v="South Puget Sound"/>
    <s v="02South Puget Sound"/>
    <n v="922.01402805611201"/>
    <n v="9120.3017234469007"/>
    <n v="922.01402805611201"/>
    <n v="9120.3017234469007"/>
  </r>
  <r>
    <n v="1191"/>
    <x v="3"/>
    <s v="Marine"/>
    <x v="0"/>
    <x v="0"/>
    <n v="13"/>
    <s v="Area 13: S Puget Sound"/>
    <s v="Area 13: S Puget Sound"/>
    <s v="NA"/>
    <x v="3"/>
    <s v="Skagit"/>
    <s v="02Skagit"/>
    <s v="North Puget Sound"/>
    <s v="01North Puget Sound"/>
    <n v="16.563126252505"/>
    <n v="163.83775551102201"/>
    <n v="16.563126252505"/>
    <n v="163.83775551102201"/>
  </r>
  <r>
    <n v="1192"/>
    <x v="3"/>
    <s v="Marine"/>
    <x v="0"/>
    <x v="0"/>
    <n v="13"/>
    <s v="Area 13: S Puget Sound"/>
    <s v="Area 13: S Puget Sound"/>
    <s v="NA"/>
    <x v="3"/>
    <s v="Snohomish"/>
    <s v="03Snohomish"/>
    <s v="North Puget Sound"/>
    <s v="01North Puget Sound"/>
    <n v="27.605210420841701"/>
    <n v="273.06292585170303"/>
    <n v="27.605210420841701"/>
    <n v="273.06292585170303"/>
  </r>
  <r>
    <n v="1195"/>
    <x v="3"/>
    <s v="Marine"/>
    <x v="0"/>
    <x v="0"/>
    <n v="13"/>
    <s v="Area 13: S Puget Sound"/>
    <s v="Area 13: S Puget Sound"/>
    <s v="NA"/>
    <x v="3"/>
    <s v="Thurston"/>
    <s v="08Thurston"/>
    <s v="South Puget Sound"/>
    <s v="02South Puget Sound"/>
    <n v="966.18236472945898"/>
    <n v="9557.2024048096191"/>
    <n v="966.18236472945898"/>
    <n v="9557.2024048096191"/>
  </r>
  <r>
    <n v="3065"/>
    <x v="4"/>
    <s v="Marine"/>
    <x v="0"/>
    <x v="0"/>
    <n v="13"/>
    <s v="Area 13: S Puget Sound"/>
    <s v="Area 13: S Puget Sound"/>
    <s v="NA"/>
    <x v="3"/>
    <s v="King"/>
    <s v="06King"/>
    <s v="South Puget Sound"/>
    <s v="02South Puget Sound"/>
    <n v="49.801526717557302"/>
    <n v="494.628282442748"/>
    <n v="49.801526717557302"/>
    <n v="494.628282442748"/>
  </r>
  <r>
    <n v="3145"/>
    <x v="4"/>
    <s v="Marine"/>
    <x v="0"/>
    <x v="0"/>
    <n v="13"/>
    <s v="Area 13: S Puget Sound"/>
    <s v="Area 13: S Puget Sound"/>
    <s v="NA"/>
    <x v="3"/>
    <s v="Kitsap"/>
    <s v="10Kitsap"/>
    <s v="South Puget Sound"/>
    <s v="02South Puget Sound"/>
    <n v="71.145038167939006"/>
    <n v="706.61183206106898"/>
    <n v="71.145038167939006"/>
    <n v="706.61183206106898"/>
  </r>
  <r>
    <n v="3144"/>
    <x v="4"/>
    <s v="Marine"/>
    <x v="0"/>
    <x v="0"/>
    <n v="13"/>
    <s v="Area 13: S Puget Sound"/>
    <s v="Area 13: S Puget Sound"/>
    <s v="NA"/>
    <x v="3"/>
    <s v="Mason"/>
    <s v="09Mason"/>
    <s v="South Puget Sound"/>
    <s v="02South Puget Sound"/>
    <n v="192.09160305343499"/>
    <n v="1907.8519465648901"/>
    <n v="192.09160305343499"/>
    <n v="1907.8519465648901"/>
  </r>
  <r>
    <n v="3146"/>
    <x v="4"/>
    <s v="Marine"/>
    <x v="0"/>
    <x v="0"/>
    <n v="13"/>
    <s v="Area 13: S Puget Sound"/>
    <s v="Area 13: S Puget Sound"/>
    <s v="NA"/>
    <x v="3"/>
    <s v="Other"/>
    <s v="20Other"/>
    <s v="Non Puget Sound"/>
    <s v="07Non Puget Sound"/>
    <n v="78.259541984732806"/>
    <n v="777.27301526717599"/>
    <n v="78.259541984732806"/>
    <n v="777.27301526717599"/>
  </r>
  <r>
    <n v="3070"/>
    <x v="4"/>
    <s v="Marine"/>
    <x v="0"/>
    <x v="0"/>
    <n v="13"/>
    <s v="Area 13: S Puget Sound"/>
    <s v="Area 13: S Puget Sound"/>
    <s v="NA"/>
    <x v="3"/>
    <s v="Pierce"/>
    <s v="07Pierce"/>
    <s v="South Puget Sound"/>
    <s v="02South Puget Sound"/>
    <n v="825.28244274809197"/>
    <n v="8196.6972519083993"/>
    <n v="825.28244274809197"/>
    <n v="8196.6972519083993"/>
  </r>
  <r>
    <n v="3143"/>
    <x v="4"/>
    <s v="Marine"/>
    <x v="0"/>
    <x v="0"/>
    <n v="13"/>
    <s v="Area 13: S Puget Sound"/>
    <s v="Area 13: S Puget Sound"/>
    <s v="NA"/>
    <x v="3"/>
    <s v="Thurston"/>
    <s v="08Thurston"/>
    <s v="South Puget Sound"/>
    <s v="02South Puget Sound"/>
    <n v="647.41984732824403"/>
    <n v="6430.1676717557302"/>
    <n v="647.41984732824403"/>
    <n v="6430.1676717557302"/>
  </r>
  <r>
    <n v="3491"/>
    <x v="5"/>
    <s v="Marine"/>
    <x v="0"/>
    <x v="0"/>
    <n v="13"/>
    <s v="Area 13: S Puget Sound"/>
    <s v="Area 13: S Puget Sound"/>
    <s v="NA"/>
    <x v="3"/>
    <s v="King"/>
    <s v="06King"/>
    <s v="South Puget Sound"/>
    <s v="02South Puget Sound"/>
    <n v="59.061994609164401"/>
    <n v="496.33035040431298"/>
    <n v="59.061994609164401"/>
    <n v="496.33035040431298"/>
  </r>
  <r>
    <n v="3591"/>
    <x v="5"/>
    <s v="Marine"/>
    <x v="0"/>
    <x v="0"/>
    <n v="13"/>
    <s v="Area 13: S Puget Sound"/>
    <s v="Area 13: S Puget Sound"/>
    <s v="NA"/>
    <x v="3"/>
    <s v="Kitsap"/>
    <s v="10Kitsap"/>
    <s v="South Puget Sound"/>
    <s v="02South Puget Sound"/>
    <n v="14.7654986522911"/>
    <n v="124.082587601078"/>
    <n v="14.7654986522911"/>
    <n v="124.082587601078"/>
  </r>
  <r>
    <n v="3590"/>
    <x v="5"/>
    <s v="Marine"/>
    <x v="0"/>
    <x v="0"/>
    <n v="13"/>
    <s v="Area 13: S Puget Sound"/>
    <s v="Area 13: S Puget Sound"/>
    <s v="NA"/>
    <x v="3"/>
    <s v="Mason"/>
    <s v="09Mason"/>
    <s v="South Puget Sound"/>
    <s v="02South Puget Sound"/>
    <n v="310.07547169811301"/>
    <n v="2605.7343396226402"/>
    <n v="310.07547169811301"/>
    <n v="2605.7343396226402"/>
  </r>
  <r>
    <n v="3592"/>
    <x v="5"/>
    <s v="Marine"/>
    <x v="0"/>
    <x v="0"/>
    <n v="13"/>
    <s v="Area 13: S Puget Sound"/>
    <s v="Area 13: S Puget Sound"/>
    <s v="NA"/>
    <x v="3"/>
    <s v="Other"/>
    <s v="20Other"/>
    <s v="Non Puget Sound"/>
    <s v="07Non Puget Sound"/>
    <n v="147.654986522911"/>
    <n v="1240.8258760107799"/>
    <n v="147.654986522911"/>
    <n v="1240.8258760107799"/>
  </r>
  <r>
    <n v="3538"/>
    <x v="5"/>
    <s v="Marine"/>
    <x v="0"/>
    <x v="0"/>
    <n v="13"/>
    <s v="Area 13: S Puget Sound"/>
    <s v="Area 13: S Puget Sound"/>
    <s v="NA"/>
    <x v="3"/>
    <s v="Pierce"/>
    <s v="07Pierce"/>
    <s v="South Puget Sound"/>
    <s v="02South Puget Sound"/>
    <n v="1129.5606469002701"/>
    <n v="9492.3179514824806"/>
    <n v="1129.5606469002701"/>
    <n v="9492.3179514824806"/>
  </r>
  <r>
    <n v="3539"/>
    <x v="5"/>
    <s v="Marine"/>
    <x v="0"/>
    <x v="0"/>
    <n v="13"/>
    <s v="Area 13: S Puget Sound"/>
    <s v="Area 13: S Puget Sound"/>
    <s v="NA"/>
    <x v="3"/>
    <s v="Thurston"/>
    <s v="08Thurston"/>
    <s v="South Puget Sound"/>
    <s v="02South Puget Sound"/>
    <n v="1077.88140161725"/>
    <n v="9058.0288948787093"/>
    <n v="1077.88140161725"/>
    <n v="9058.0288948787093"/>
  </r>
  <r>
    <n v="76"/>
    <x v="6"/>
    <s v="Marine"/>
    <x v="0"/>
    <x v="0"/>
    <n v="13"/>
    <s v="Area 13: S Puget Sound"/>
    <s v="Area 13: S Puget Sound"/>
    <s v="NA"/>
    <x v="3"/>
    <s v="Island"/>
    <s v="04Island"/>
    <s v="North Puget Sound"/>
    <s v="01North Puget Sound"/>
    <n v="23.3520710059172"/>
    <n v="139.59177514792901"/>
    <n v="23.3520710059172"/>
    <n v="139.59177514792901"/>
  </r>
  <r>
    <n v="77"/>
    <x v="6"/>
    <s v="Marine"/>
    <x v="0"/>
    <x v="0"/>
    <n v="13"/>
    <s v="Area 13: S Puget Sound"/>
    <s v="Area 13: S Puget Sound"/>
    <s v="NA"/>
    <x v="3"/>
    <s v="King"/>
    <s v="06King"/>
    <s v="South Puget Sound"/>
    <s v="02South Puget Sound"/>
    <n v="147.89644970414199"/>
    <n v="884.081242603551"/>
    <n v="147.89644970414199"/>
    <n v="884.081242603551"/>
  </r>
  <r>
    <n v="81"/>
    <x v="6"/>
    <s v="Marine"/>
    <x v="0"/>
    <x v="0"/>
    <n v="13"/>
    <s v="Area 13: S Puget Sound"/>
    <s v="Area 13: S Puget Sound"/>
    <s v="NA"/>
    <x v="3"/>
    <s v="Kitsap"/>
    <s v="10Kitsap"/>
    <s v="South Puget Sound"/>
    <s v="02South Puget Sound"/>
    <n v="179.03254437869799"/>
    <n v="1070.20360946746"/>
    <n v="179.03254437869799"/>
    <n v="1070.20360946746"/>
  </r>
  <r>
    <n v="80"/>
    <x v="6"/>
    <s v="Marine"/>
    <x v="0"/>
    <x v="0"/>
    <n v="13"/>
    <s v="Area 13: S Puget Sound"/>
    <s v="Area 13: S Puget Sound"/>
    <s v="NA"/>
    <x v="3"/>
    <s v="Mason"/>
    <s v="09Mason"/>
    <s v="South Puget Sound"/>
    <s v="02South Puget Sound"/>
    <n v="31.136094674556201"/>
    <n v="186.122366863905"/>
    <n v="31.136094674556201"/>
    <n v="186.122366863905"/>
  </r>
  <r>
    <n v="82"/>
    <x v="6"/>
    <s v="Marine"/>
    <x v="0"/>
    <x v="0"/>
    <n v="13"/>
    <s v="Area 13: S Puget Sound"/>
    <s v="Area 13: S Puget Sound"/>
    <s v="NA"/>
    <x v="3"/>
    <s v="Other"/>
    <s v="20Other"/>
    <s v="Non Puget Sound"/>
    <s v="07Non Puget Sound"/>
    <n v="233.52071005917199"/>
    <n v="1395.91775147929"/>
    <n v="233.52071005917199"/>
    <n v="1395.91775147929"/>
  </r>
  <r>
    <n v="78"/>
    <x v="6"/>
    <s v="Marine"/>
    <x v="0"/>
    <x v="0"/>
    <n v="13"/>
    <s v="Area 13: S Puget Sound"/>
    <s v="Area 13: S Puget Sound"/>
    <s v="NA"/>
    <x v="3"/>
    <s v="Pierce"/>
    <s v="07Pierce"/>
    <s v="South Puget Sound"/>
    <s v="02South Puget Sound"/>
    <n v="809.538461538462"/>
    <n v="4839.1815384615402"/>
    <n v="809.538461538462"/>
    <n v="4839.1815384615402"/>
  </r>
  <r>
    <n v="79"/>
    <x v="6"/>
    <s v="Marine"/>
    <x v="0"/>
    <x v="0"/>
    <n v="13"/>
    <s v="Area 13: S Puget Sound"/>
    <s v="Area 13: S Puget Sound"/>
    <s v="NA"/>
    <x v="3"/>
    <s v="Thurston"/>
    <s v="08Thurston"/>
    <s v="South Puget Sound"/>
    <s v="02South Puget Sound"/>
    <n v="1206.5236686390499"/>
    <n v="7212.2417159763299"/>
    <n v="1206.5236686390499"/>
    <n v="7212.2417159763299"/>
  </r>
  <r>
    <n v="194"/>
    <x v="7"/>
    <s v="Marine"/>
    <x v="0"/>
    <x v="0"/>
    <n v="13"/>
    <s v="Area 13: S Puget Sound"/>
    <s v="Area 13: S Puget Sound"/>
    <s v="NA"/>
    <x v="3"/>
    <s v="Clallam"/>
    <s v="11Clallam"/>
    <s v="Strait of Juan de Fuca"/>
    <s v="03Strait of Juan de Fuca"/>
    <n v="16.338549075391199"/>
    <n v="18.374076454428099"/>
    <n v="16.338549075391199"/>
    <n v="18.374076454428099"/>
  </r>
  <r>
    <n v="195"/>
    <x v="7"/>
    <s v="Marine"/>
    <x v="0"/>
    <x v="0"/>
    <n v="13"/>
    <s v="Area 13: S Puget Sound"/>
    <s v="Area 13: S Puget Sound"/>
    <s v="NA"/>
    <x v="3"/>
    <s v="Jefferson"/>
    <s v="12Jefferson"/>
    <s v="Strait of Juan de Fuca"/>
    <s v="03Strait of Juan de Fuca"/>
    <n v="32.677098150782399"/>
    <n v="36.748152908856298"/>
    <n v="32.677098150782399"/>
    <n v="36.748152908856298"/>
  </r>
  <r>
    <n v="189"/>
    <x v="7"/>
    <s v="Marine"/>
    <x v="0"/>
    <x v="0"/>
    <n v="13"/>
    <s v="Area 13: S Puget Sound"/>
    <s v="Area 13: S Puget Sound"/>
    <s v="NA"/>
    <x v="3"/>
    <s v="King"/>
    <s v="06King"/>
    <s v="South Puget Sound"/>
    <s v="02South Puget Sound"/>
    <n v="253.247510668563"/>
    <n v="284.79818504363601"/>
    <n v="253.247510668563"/>
    <n v="284.79818504363601"/>
  </r>
  <r>
    <n v="193"/>
    <x v="7"/>
    <s v="Marine"/>
    <x v="0"/>
    <x v="0"/>
    <n v="13"/>
    <s v="Area 13: S Puget Sound"/>
    <s v="Area 13: S Puget Sound"/>
    <s v="NA"/>
    <x v="3"/>
    <s v="Kitsap"/>
    <s v="10Kitsap"/>
    <s v="South Puget Sound"/>
    <s v="02South Puget Sound"/>
    <n v="179.724039829303"/>
    <n v="202.11484099870901"/>
    <n v="179.724039829303"/>
    <n v="202.11484099870901"/>
  </r>
  <r>
    <n v="192"/>
    <x v="7"/>
    <s v="Marine"/>
    <x v="0"/>
    <x v="0"/>
    <n v="13"/>
    <s v="Area 13: S Puget Sound"/>
    <s v="Area 13: S Puget Sound"/>
    <s v="NA"/>
    <x v="3"/>
    <s v="Mason"/>
    <s v="09Mason"/>
    <s v="South Puget Sound"/>
    <s v="02South Puget Sound"/>
    <n v="751.57325746799404"/>
    <n v="845.207516903694"/>
    <n v="751.57325746799404"/>
    <n v="845.207516903694"/>
  </r>
  <r>
    <n v="196"/>
    <x v="7"/>
    <s v="Marine"/>
    <x v="0"/>
    <x v="0"/>
    <n v="13"/>
    <s v="Area 13: S Puget Sound"/>
    <s v="Area 13: S Puget Sound"/>
    <s v="NA"/>
    <x v="3"/>
    <s v="Other"/>
    <s v="20Other"/>
    <s v="Non Puget Sound"/>
    <s v="07Non Puget Sound"/>
    <n v="661.71123755334304"/>
    <n v="744.15009640433902"/>
    <n v="661.71123755334304"/>
    <n v="744.15009640433902"/>
  </r>
  <r>
    <n v="190"/>
    <x v="7"/>
    <s v="Marine"/>
    <x v="0"/>
    <x v="0"/>
    <n v="13"/>
    <s v="Area 13: S Puget Sound"/>
    <s v="Area 13: S Puget Sound"/>
    <s v="NA"/>
    <x v="3"/>
    <s v="Pierce"/>
    <s v="07Pierce"/>
    <s v="South Puget Sound"/>
    <s v="02South Puget Sound"/>
    <n v="1633.8549075391199"/>
    <n v="1837.40764544281"/>
    <n v="1633.8549075391199"/>
    <n v="1837.40764544281"/>
  </r>
  <r>
    <n v="191"/>
    <x v="7"/>
    <s v="Marine"/>
    <x v="0"/>
    <x v="0"/>
    <n v="13"/>
    <s v="Area 13: S Puget Sound"/>
    <s v="Area 13: S Puget Sound"/>
    <s v="NA"/>
    <x v="3"/>
    <s v="Thurston"/>
    <s v="08Thurston"/>
    <s v="South Puget Sound"/>
    <s v="02South Puget Sound"/>
    <n v="2181.1963015647202"/>
    <n v="2452.9392066661499"/>
    <n v="2181.1963015647202"/>
    <n v="2452.9392066661499"/>
  </r>
  <r>
    <n v="188"/>
    <x v="7"/>
    <s v="Marine"/>
    <x v="0"/>
    <x v="0"/>
    <n v="13"/>
    <s v="Area 13: S Puget Sound"/>
    <s v="Area 13: S Puget Sound"/>
    <s v="NA"/>
    <x v="3"/>
    <s v="Whatcom"/>
    <s v="01Whatcom"/>
    <s v="North Puget Sound"/>
    <s v="01North Puget Sound"/>
    <n v="32.677098150782399"/>
    <n v="36.748152908856298"/>
    <n v="32.677098150782399"/>
    <n v="36.748152908856298"/>
  </r>
  <r>
    <n v="299"/>
    <x v="8"/>
    <s v="Marine"/>
    <x v="0"/>
    <x v="0"/>
    <n v="13"/>
    <s v="Area 13: S Puget Sound"/>
    <s v="Area 13: S Puget Sound"/>
    <s v="NA"/>
    <x v="3"/>
    <s v="King"/>
    <s v="06King"/>
    <s v="South Puget Sound"/>
    <s v="02South Puget Sound"/>
    <n v="293.97586206896602"/>
    <n v="329.20437485996302"/>
    <n v="293.97586206896602"/>
    <n v="329.20437485996302"/>
  </r>
  <r>
    <n v="303"/>
    <x v="8"/>
    <s v="Marine"/>
    <x v="0"/>
    <x v="0"/>
    <n v="13"/>
    <s v="Area 13: S Puget Sound"/>
    <s v="Area 13: S Puget Sound"/>
    <s v="NA"/>
    <x v="3"/>
    <s v="Kitsap"/>
    <s v="10Kitsap"/>
    <s v="South Puget Sound"/>
    <s v="02South Puget Sound"/>
    <n v="193.405172413793"/>
    <n v="216.581825565765"/>
    <n v="193.405172413793"/>
    <n v="216.581825565765"/>
  </r>
  <r>
    <n v="302"/>
    <x v="8"/>
    <s v="Marine"/>
    <x v="0"/>
    <x v="0"/>
    <n v="13"/>
    <s v="Area 13: S Puget Sound"/>
    <s v="Area 13: S Puget Sound"/>
    <s v="NA"/>
    <x v="3"/>
    <s v="Mason"/>
    <s v="09Mason"/>
    <s v="South Puget Sound"/>
    <s v="02South Puget Sound"/>
    <n v="487.38103448275899"/>
    <n v="545.786200425728"/>
    <n v="487.38103448275899"/>
    <n v="545.786200425728"/>
  </r>
  <r>
    <n v="304"/>
    <x v="8"/>
    <s v="Marine"/>
    <x v="0"/>
    <x v="0"/>
    <n v="13"/>
    <s v="Area 13: S Puget Sound"/>
    <s v="Area 13: S Puget Sound"/>
    <s v="NA"/>
    <x v="3"/>
    <s v="Other"/>
    <s v="20Other"/>
    <s v="Non Puget Sound"/>
    <s v="07Non Puget Sound"/>
    <n v="263.03103448275903"/>
    <n v="294.55128276943998"/>
    <n v="263.03103448275903"/>
    <n v="294.55128276943998"/>
  </r>
  <r>
    <n v="300"/>
    <x v="8"/>
    <s v="Marine"/>
    <x v="0"/>
    <x v="0"/>
    <n v="13"/>
    <s v="Area 13: S Puget Sound"/>
    <s v="Area 13: S Puget Sound"/>
    <s v="NA"/>
    <x v="3"/>
    <s v="Pierce"/>
    <s v="07Pierce"/>
    <s v="South Puget Sound"/>
    <s v="02South Puget Sound"/>
    <n v="1423.4620689655201"/>
    <n v="1594.0422361640301"/>
    <n v="1423.4620689655201"/>
    <n v="1594.0422361640301"/>
  </r>
  <r>
    <n v="298"/>
    <x v="8"/>
    <s v="Marine"/>
    <x v="0"/>
    <x v="0"/>
    <n v="13"/>
    <s v="Area 13: S Puget Sound"/>
    <s v="Area 13: S Puget Sound"/>
    <s v="NA"/>
    <x v="3"/>
    <s v="Snohomish"/>
    <s v="03Snohomish"/>
    <s v="North Puget Sound"/>
    <s v="01North Puget Sound"/>
    <n v="61.889655172413804"/>
    <n v="69.306184181044799"/>
    <n v="61.889655172413804"/>
    <n v="69.306184181044799"/>
  </r>
  <r>
    <n v="301"/>
    <x v="8"/>
    <s v="Marine"/>
    <x v="0"/>
    <x v="0"/>
    <n v="13"/>
    <s v="Area 13: S Puget Sound"/>
    <s v="Area 13: S Puget Sound"/>
    <s v="NA"/>
    <x v="3"/>
    <s v="Thurston"/>
    <s v="08Thurston"/>
    <s v="South Puget Sound"/>
    <s v="02South Puget Sound"/>
    <n v="1763.8551724137899"/>
    <n v="1975.2262491597801"/>
    <n v="1763.8551724137899"/>
    <n v="1975.2262491597801"/>
  </r>
  <r>
    <n v="415"/>
    <x v="9"/>
    <s v="Marine"/>
    <x v="0"/>
    <x v="0"/>
    <n v="13"/>
    <s v="Area 13: S Puget Sound"/>
    <s v="Area 13: S Puget Sound"/>
    <s v="NA"/>
    <x v="3"/>
    <s v="Jefferson"/>
    <s v="12Jefferson"/>
    <s v="Strait of Juan de Fuca"/>
    <s v="03Strait of Juan de Fuca"/>
    <n v="8.7318435754189991"/>
    <n v="10.521023671966899"/>
    <n v="8.7318435754189991"/>
    <n v="10.521023671966899"/>
  </r>
  <r>
    <n v="410"/>
    <x v="9"/>
    <s v="Marine"/>
    <x v="0"/>
    <x v="0"/>
    <n v="13"/>
    <s v="Area 13: S Puget Sound"/>
    <s v="Area 13: S Puget Sound"/>
    <s v="NA"/>
    <x v="3"/>
    <s v="King"/>
    <s v="06King"/>
    <s v="South Puget Sound"/>
    <s v="02South Puget Sound"/>
    <n v="192.100558659218"/>
    <n v="231.462520783272"/>
    <n v="192.100558659218"/>
    <n v="231.462520783272"/>
  </r>
  <r>
    <n v="414"/>
    <x v="9"/>
    <s v="Marine"/>
    <x v="0"/>
    <x v="0"/>
    <n v="13"/>
    <s v="Area 13: S Puget Sound"/>
    <s v="Area 13: S Puget Sound"/>
    <s v="NA"/>
    <x v="3"/>
    <s v="Kitsap"/>
    <s v="10Kitsap"/>
    <s v="South Puget Sound"/>
    <s v="02South Puget Sound"/>
    <n v="52.391061452514002"/>
    <n v="63.1261420318015"/>
    <n v="52.391061452514002"/>
    <n v="63.1261420318015"/>
  </r>
  <r>
    <n v="413"/>
    <x v="9"/>
    <s v="Marine"/>
    <x v="0"/>
    <x v="0"/>
    <n v="13"/>
    <s v="Area 13: S Puget Sound"/>
    <s v="Area 13: S Puget Sound"/>
    <s v="NA"/>
    <x v="3"/>
    <s v="Mason"/>
    <s v="09Mason"/>
    <s v="South Puget Sound"/>
    <s v="02South Puget Sound"/>
    <n v="261.95530726256999"/>
    <n v="315.630710159008"/>
    <n v="261.95530726256999"/>
    <n v="315.630710159008"/>
  </r>
  <r>
    <n v="416"/>
    <x v="9"/>
    <s v="Marine"/>
    <x v="0"/>
    <x v="0"/>
    <n v="13"/>
    <s v="Area 13: S Puget Sound"/>
    <s v="Area 13: S Puget Sound"/>
    <s v="NA"/>
    <x v="3"/>
    <s v="Other"/>
    <s v="20Other"/>
    <s v="Non Puget Sound"/>
    <s v="07Non Puget Sound"/>
    <n v="331.81005586592198"/>
    <n v="399.79889953474299"/>
    <n v="331.81005586592198"/>
    <n v="399.79889953474299"/>
  </r>
  <r>
    <n v="411"/>
    <x v="9"/>
    <s v="Marine"/>
    <x v="0"/>
    <x v="0"/>
    <n v="13"/>
    <s v="Area 13: S Puget Sound"/>
    <s v="Area 13: S Puget Sound"/>
    <s v="NA"/>
    <x v="3"/>
    <s v="Pierce"/>
    <s v="07Pierce"/>
    <s v="South Puget Sound"/>
    <s v="02South Puget Sound"/>
    <n v="1100.21229050279"/>
    <n v="1325.6489826678301"/>
    <n v="1100.21229050279"/>
    <n v="1325.6489826678301"/>
  </r>
  <r>
    <n v="409"/>
    <x v="9"/>
    <s v="Marine"/>
    <x v="0"/>
    <x v="0"/>
    <n v="13"/>
    <s v="Area 13: S Puget Sound"/>
    <s v="Area 13: S Puget Sound"/>
    <s v="NA"/>
    <x v="3"/>
    <s v="Snohomish"/>
    <s v="03Snohomish"/>
    <s v="North Puget Sound"/>
    <s v="01North Puget Sound"/>
    <n v="26.195530726257001"/>
    <n v="31.5630710159008"/>
    <n v="26.195530726257001"/>
    <n v="31.5630710159008"/>
  </r>
  <r>
    <n v="412"/>
    <x v="9"/>
    <s v="Marine"/>
    <x v="0"/>
    <x v="0"/>
    <n v="13"/>
    <s v="Area 13: S Puget Sound"/>
    <s v="Area 13: S Puget Sound"/>
    <s v="NA"/>
    <x v="3"/>
    <s v="Thurston"/>
    <s v="08Thurston"/>
    <s v="South Puget Sound"/>
    <s v="02South Puget Sound"/>
    <n v="1152.60335195531"/>
    <n v="1388.7751246996299"/>
    <n v="1152.60335195531"/>
    <n v="1388.7751246996299"/>
  </r>
  <r>
    <n v="512"/>
    <x v="10"/>
    <s v="Marine"/>
    <x v="0"/>
    <x v="0"/>
    <n v="13"/>
    <s v="Area 13: S Puget Sound"/>
    <s v="Area 13: S Puget Sound"/>
    <s v="NA"/>
    <x v="3"/>
    <s v="King"/>
    <s v="06King"/>
    <s v="South Puget Sound"/>
    <s v="02South Puget Sound"/>
    <n v="339.2"/>
    <n v="407.74434472761101"/>
    <n v="339.2"/>
    <n v="407.74434472761101"/>
  </r>
  <r>
    <n v="516"/>
    <x v="10"/>
    <s v="Marine"/>
    <x v="0"/>
    <x v="0"/>
    <n v="13"/>
    <s v="Area 13: S Puget Sound"/>
    <s v="Area 13: S Puget Sound"/>
    <s v="NA"/>
    <x v="3"/>
    <s v="Kitsap"/>
    <s v="10Kitsap"/>
    <s v="South Puget Sound"/>
    <s v="02South Puget Sound"/>
    <n v="69.835294117647095"/>
    <n v="83.947365090978806"/>
    <n v="69.835294117647095"/>
    <n v="83.947365090978806"/>
  </r>
  <r>
    <n v="515"/>
    <x v="10"/>
    <s v="Marine"/>
    <x v="0"/>
    <x v="0"/>
    <n v="13"/>
    <s v="Area 13: S Puget Sound"/>
    <s v="Area 13: S Puget Sound"/>
    <s v="NA"/>
    <x v="3"/>
    <s v="Mason"/>
    <s v="09Mason"/>
    <s v="South Puget Sound"/>
    <s v="02South Puget Sound"/>
    <n v="478.87058823529401"/>
    <n v="575.63907490956899"/>
    <n v="478.87058823529401"/>
    <n v="575.63907490956899"/>
  </r>
  <r>
    <n v="517"/>
    <x v="10"/>
    <s v="Marine"/>
    <x v="0"/>
    <x v="0"/>
    <n v="13"/>
    <s v="Area 13: S Puget Sound"/>
    <s v="Area 13: S Puget Sound"/>
    <s v="NA"/>
    <x v="3"/>
    <s v="Other"/>
    <s v="20Other"/>
    <s v="Non Puget Sound"/>
    <s v="07Non Puget Sound"/>
    <n v="478.87058823529401"/>
    <n v="575.63907490956899"/>
    <n v="478.87058823529401"/>
    <n v="575.63907490956899"/>
  </r>
  <r>
    <n v="513"/>
    <x v="10"/>
    <s v="Marine"/>
    <x v="0"/>
    <x v="0"/>
    <n v="13"/>
    <s v="Area 13: S Puget Sound"/>
    <s v="Area 13: S Puget Sound"/>
    <s v="NA"/>
    <x v="3"/>
    <s v="Pierce"/>
    <s v="07Pierce"/>
    <s v="South Puget Sound"/>
    <s v="02South Puget Sound"/>
    <n v="748.23529411764696"/>
    <n v="899.43605454620104"/>
    <n v="748.23529411764696"/>
    <n v="899.43605454620104"/>
  </r>
  <r>
    <n v="511"/>
    <x v="10"/>
    <s v="Marine"/>
    <x v="0"/>
    <x v="0"/>
    <n v="13"/>
    <s v="Area 13: S Puget Sound"/>
    <s v="Area 13: S Puget Sound"/>
    <s v="NA"/>
    <x v="3"/>
    <s v="Snohomish"/>
    <s v="03Snohomish"/>
    <s v="North Puget Sound"/>
    <s v="01North Puget Sound"/>
    <n v="59.858823529411801"/>
    <n v="71.954884363696095"/>
    <n v="59.858823529411801"/>
    <n v="71.954884363696095"/>
  </r>
  <r>
    <n v="514"/>
    <x v="10"/>
    <s v="Marine"/>
    <x v="0"/>
    <x v="0"/>
    <n v="13"/>
    <s v="Area 13: S Puget Sound"/>
    <s v="Area 13: S Puget Sound"/>
    <s v="NA"/>
    <x v="3"/>
    <s v="Thurston"/>
    <s v="08Thurston"/>
    <s v="South Puget Sound"/>
    <s v="02South Puget Sound"/>
    <n v="1217.1294117647101"/>
    <n v="1463.0826487284901"/>
    <n v="1217.1294117647101"/>
    <n v="1463.0826487284901"/>
  </r>
  <r>
    <n v="624"/>
    <x v="11"/>
    <s v="Marine"/>
    <x v="0"/>
    <x v="0"/>
    <n v="13"/>
    <s v="Area 13: S Puget Sound"/>
    <s v="Area 13: S Puget Sound"/>
    <s v="NA"/>
    <x v="3"/>
    <s v="King"/>
    <s v="06King"/>
    <s v="South Puget Sound"/>
    <s v="02South Puget Sound"/>
    <n v="901.74701670644401"/>
    <n v="1108.1552233249299"/>
    <n v="901.74701670644401"/>
    <n v="1108.1552233249299"/>
  </r>
  <r>
    <n v="628"/>
    <x v="11"/>
    <s v="Marine"/>
    <x v="0"/>
    <x v="0"/>
    <n v="13"/>
    <s v="Area 13: S Puget Sound"/>
    <s v="Area 13: S Puget Sound"/>
    <s v="NA"/>
    <x v="3"/>
    <s v="Kitsap"/>
    <s v="10Kitsap"/>
    <s v="South Puget Sound"/>
    <s v="02South Puget Sound"/>
    <n v="64.410501193317501"/>
    <n v="79.153944523209105"/>
    <n v="64.410501193317501"/>
    <n v="79.153944523209105"/>
  </r>
  <r>
    <n v="627"/>
    <x v="11"/>
    <s v="Marine"/>
    <x v="0"/>
    <x v="0"/>
    <n v="13"/>
    <s v="Area 13: S Puget Sound"/>
    <s v="Area 13: S Puget Sound"/>
    <s v="NA"/>
    <x v="3"/>
    <s v="Mason"/>
    <s v="09Mason"/>
    <s v="South Puget Sound"/>
    <s v="02South Puget Sound"/>
    <n v="740.72076372314996"/>
    <n v="910.27036201690498"/>
    <n v="740.72076372314996"/>
    <n v="910.27036201690498"/>
  </r>
  <r>
    <n v="629"/>
    <x v="11"/>
    <s v="Marine"/>
    <x v="0"/>
    <x v="0"/>
    <n v="13"/>
    <s v="Area 13: S Puget Sound"/>
    <s v="Area 13: S Puget Sound"/>
    <s v="NA"/>
    <x v="3"/>
    <s v="Other"/>
    <s v="20Other"/>
    <s v="Non Puget Sound"/>
    <s v="07Non Puget Sound"/>
    <n v="150.29116945107401"/>
    <n v="184.69253722082101"/>
    <n v="150.29116945107401"/>
    <n v="184.69253722082101"/>
  </r>
  <r>
    <n v="625"/>
    <x v="11"/>
    <s v="Marine"/>
    <x v="0"/>
    <x v="0"/>
    <n v="13"/>
    <s v="Area 13: S Puget Sound"/>
    <s v="Area 13: S Puget Sound"/>
    <s v="NA"/>
    <x v="3"/>
    <s v="Pierce"/>
    <s v="07Pierce"/>
    <s v="South Puget Sound"/>
    <s v="02South Puget Sound"/>
    <n v="1320.4152744630101"/>
    <n v="1622.65586272579"/>
    <n v="1320.4152744630101"/>
    <n v="1622.65586272579"/>
  </r>
  <r>
    <n v="626"/>
    <x v="11"/>
    <s v="Marine"/>
    <x v="0"/>
    <x v="0"/>
    <n v="13"/>
    <s v="Area 13: S Puget Sound"/>
    <s v="Area 13: S Puget Sound"/>
    <s v="NA"/>
    <x v="3"/>
    <s v="Thurston"/>
    <s v="08Thurston"/>
    <s v="South Puget Sound"/>
    <s v="02South Puget Sound"/>
    <n v="1320.4152744630101"/>
    <n v="1622.65586272579"/>
    <n v="1320.4152744630101"/>
    <n v="1622.65586272579"/>
  </r>
  <r>
    <n v="2591"/>
    <x v="0"/>
    <s v="Marine"/>
    <x v="0"/>
    <x v="0"/>
    <s v="8-1"/>
    <s v="Area 8-1: Skagit Bay-Saratoga Psg."/>
    <s v="Area 8-1: Skagit Bay-Saratoga Psg."/>
    <s v="NA"/>
    <x v="2"/>
    <s v="Island"/>
    <s v="04Island"/>
    <s v="North Puget Sound"/>
    <s v="01North Puget Sound"/>
    <n v="128.93877551020401"/>
    <n v="1744.53612244898"/>
    <n v="128.93877551020401"/>
    <n v="1744.53612244898"/>
  </r>
  <r>
    <n v="2592"/>
    <x v="0"/>
    <s v="Marine"/>
    <x v="0"/>
    <x v="0"/>
    <s v="8-1"/>
    <s v="Area 8-1: Skagit Bay-Saratoga Psg."/>
    <s v="Area 8-1: Skagit Bay-Saratoga Psg."/>
    <s v="NA"/>
    <x v="2"/>
    <s v="King"/>
    <s v="06King"/>
    <s v="South Puget Sound"/>
    <s v="02South Puget Sound"/>
    <n v="9.5510204081632697"/>
    <n v="129.22489795918401"/>
    <n v="9.5510204081632697"/>
    <n v="129.22489795918401"/>
  </r>
  <r>
    <n v="2595"/>
    <x v="0"/>
    <s v="Marine"/>
    <x v="0"/>
    <x v="0"/>
    <s v="8-1"/>
    <s v="Area 8-1: Skagit Bay-Saratoga Psg."/>
    <s v="Area 8-1: Skagit Bay-Saratoga Psg."/>
    <s v="NA"/>
    <x v="2"/>
    <s v="Other"/>
    <s v="20Other"/>
    <s v="Non Puget Sound"/>
    <s v="07Non Puget Sound"/>
    <n v="9.5510204081632697"/>
    <n v="129.22489795918401"/>
    <n v="9.5510204081632697"/>
    <n v="129.22489795918401"/>
  </r>
  <r>
    <n v="2593"/>
    <x v="0"/>
    <s v="Marine"/>
    <x v="0"/>
    <x v="0"/>
    <s v="8-1"/>
    <s v="Area 8-1: Skagit Bay-Saratoga Psg."/>
    <s v="Area 8-1: Skagit Bay-Saratoga Psg."/>
    <s v="NA"/>
    <x v="2"/>
    <s v="Pierce"/>
    <s v="07Pierce"/>
    <s v="South Puget Sound"/>
    <s v="02South Puget Sound"/>
    <n v="4.7755102040816304"/>
    <n v="64.612448979591903"/>
    <n v="4.7755102040816304"/>
    <n v="64.612448979591903"/>
  </r>
  <r>
    <n v="2589"/>
    <x v="0"/>
    <s v="Marine"/>
    <x v="0"/>
    <x v="0"/>
    <s v="8-1"/>
    <s v="Area 8-1: Skagit Bay-Saratoga Psg."/>
    <s v="Area 8-1: Skagit Bay-Saratoga Psg."/>
    <s v="NA"/>
    <x v="2"/>
    <s v="Skagit"/>
    <s v="02Skagit"/>
    <s v="North Puget Sound"/>
    <s v="01North Puget Sound"/>
    <n v="33.428571428571402"/>
    <n v="452.28714285714301"/>
    <n v="33.428571428571402"/>
    <n v="452.28714285714301"/>
  </r>
  <r>
    <n v="2590"/>
    <x v="0"/>
    <s v="Marine"/>
    <x v="0"/>
    <x v="0"/>
    <s v="8-1"/>
    <s v="Area 8-1: Skagit Bay-Saratoga Psg."/>
    <s v="Area 8-1: Skagit Bay-Saratoga Psg."/>
    <s v="NA"/>
    <x v="2"/>
    <s v="Snohomish"/>
    <s v="03Snohomish"/>
    <s v="North Puget Sound"/>
    <s v="01North Puget Sound"/>
    <n v="42.979591836734699"/>
    <n v="581.51204081632704"/>
    <n v="42.979591836734699"/>
    <n v="581.51204081632704"/>
  </r>
  <r>
    <n v="2594"/>
    <x v="0"/>
    <s v="Marine"/>
    <x v="0"/>
    <x v="0"/>
    <s v="8-1"/>
    <s v="Area 8-1: Skagit Bay-Saratoga Psg."/>
    <s v="Area 8-1: Skagit Bay-Saratoga Psg."/>
    <s v="NA"/>
    <x v="2"/>
    <s v="Thurston"/>
    <s v="08Thurston"/>
    <s v="South Puget Sound"/>
    <s v="02South Puget Sound"/>
    <n v="4.7755102040816304"/>
    <n v="64.612448979591903"/>
    <n v="4.7755102040816304"/>
    <n v="64.612448979591903"/>
  </r>
  <r>
    <n v="2831"/>
    <x v="1"/>
    <s v="Marine"/>
    <x v="0"/>
    <x v="0"/>
    <s v="8-1"/>
    <s v="Area 8-1: Skagit Bay-Saratoga Psg."/>
    <s v="Area 8-1: Skagit Bay-Saratoga Psg."/>
    <s v="NA"/>
    <x v="2"/>
    <s v="Island"/>
    <s v="04Island"/>
    <s v="North Puget Sound"/>
    <s v="01North Puget Sound"/>
    <n v="6674.7644225430704"/>
    <n v="8632.1394602560104"/>
    <n v="6674.7644225430704"/>
    <n v="8632.1394602560104"/>
  </r>
  <r>
    <n v="2832"/>
    <x v="1"/>
    <s v="Marine"/>
    <x v="0"/>
    <x v="0"/>
    <s v="8-1"/>
    <s v="Area 8-1: Skagit Bay-Saratoga Psg."/>
    <s v="Area 8-1: Skagit Bay-Saratoga Psg."/>
    <s v="NA"/>
    <x v="2"/>
    <s v="King"/>
    <s v="06King"/>
    <s v="South Puget Sound"/>
    <s v="02South Puget Sound"/>
    <n v="611.26215480361702"/>
    <n v="790.51481565713198"/>
    <n v="611.26215480361702"/>
    <n v="790.51481565713198"/>
  </r>
  <r>
    <n v="2941"/>
    <x v="1"/>
    <s v="Marine"/>
    <x v="0"/>
    <x v="0"/>
    <s v="8-1"/>
    <s v="Area 8-1: Skagit Bay-Saratoga Psg."/>
    <s v="Area 8-1: Skagit Bay-Saratoga Psg."/>
    <s v="NA"/>
    <x v="2"/>
    <s v="Kitsap"/>
    <s v="10Kitsap"/>
    <s v="South Puget Sound"/>
    <s v="02South Puget Sound"/>
    <n v="38.203884675226099"/>
    <n v="49.407175978570798"/>
    <n v="38.203884675226099"/>
    <n v="49.407175978570798"/>
  </r>
  <r>
    <n v="2942"/>
    <x v="1"/>
    <s v="Marine"/>
    <x v="0"/>
    <x v="0"/>
    <s v="8-1"/>
    <s v="Area 8-1: Skagit Bay-Saratoga Psg."/>
    <s v="Area 8-1: Skagit Bay-Saratoga Psg."/>
    <s v="NA"/>
    <x v="2"/>
    <s v="Other"/>
    <s v="20Other"/>
    <s v="Non Puget Sound"/>
    <s v="07Non Puget Sound"/>
    <n v="1489.9515023338199"/>
    <n v="1926.8798631642601"/>
    <n v="1489.9515023338199"/>
    <n v="1926.8798631642601"/>
  </r>
  <r>
    <n v="2833"/>
    <x v="1"/>
    <s v="Marine"/>
    <x v="0"/>
    <x v="0"/>
    <s v="8-1"/>
    <s v="Area 8-1: Skagit Bay-Saratoga Psg."/>
    <s v="Area 8-1: Skagit Bay-Saratoga Psg."/>
    <s v="NA"/>
    <x v="2"/>
    <s v="Pierce"/>
    <s v="07Pierce"/>
    <s v="South Puget Sound"/>
    <s v="02South Puget Sound"/>
    <n v="81.865467161198694"/>
    <n v="105.87251995408"/>
    <n v="81.865467161198694"/>
    <n v="105.87251995408"/>
  </r>
  <r>
    <n v="2829"/>
    <x v="1"/>
    <s v="Marine"/>
    <x v="0"/>
    <x v="0"/>
    <s v="8-1"/>
    <s v="Area 8-1: Skagit Bay-Saratoga Psg."/>
    <s v="Area 8-1: Skagit Bay-Saratoga Psg."/>
    <s v="NA"/>
    <x v="2"/>
    <s v="Skagit"/>
    <s v="02Skagit"/>
    <s v="North Puget Sound"/>
    <s v="01North Puget Sound"/>
    <n v="2150.3329374341502"/>
    <n v="2780.91819079384"/>
    <n v="2150.3329374341502"/>
    <n v="2780.91819079384"/>
  </r>
  <r>
    <n v="2830"/>
    <x v="1"/>
    <s v="Marine"/>
    <x v="0"/>
    <x v="0"/>
    <s v="8-1"/>
    <s v="Area 8-1: Skagit Bay-Saratoga Psg."/>
    <s v="Area 8-1: Skagit Bay-Saratoga Psg."/>
    <s v="NA"/>
    <x v="2"/>
    <s v="Snohomish"/>
    <s v="03Snohomish"/>
    <s v="North Puget Sound"/>
    <s v="01North Puget Sound"/>
    <n v="1402.6283373618701"/>
    <n v="1813.9491752132401"/>
    <n v="1402.6283373618701"/>
    <n v="1813.9491752132401"/>
  </r>
  <r>
    <n v="2834"/>
    <x v="1"/>
    <s v="Marine"/>
    <x v="0"/>
    <x v="0"/>
    <s v="8-1"/>
    <s v="Area 8-1: Skagit Bay-Saratoga Psg."/>
    <s v="Area 8-1: Skagit Bay-Saratoga Psg."/>
    <s v="NA"/>
    <x v="2"/>
    <s v="Thurston"/>
    <s v="08Thurston"/>
    <s v="South Puget Sound"/>
    <s v="02South Puget Sound"/>
    <n v="27.288489053732899"/>
    <n v="35.290839984693399"/>
    <n v="27.288489053732899"/>
    <n v="35.290839984693399"/>
  </r>
  <r>
    <n v="2828"/>
    <x v="1"/>
    <s v="Marine"/>
    <x v="0"/>
    <x v="0"/>
    <s v="8-1"/>
    <s v="Area 8-1: Skagit Bay-Saratoga Psg."/>
    <s v="Area 8-1: Skagit Bay-Saratoga Psg."/>
    <s v="NA"/>
    <x v="2"/>
    <s v="Whatcom"/>
    <s v="01Whatcom"/>
    <s v="North Puget Sound"/>
    <s v="01North Puget Sound"/>
    <n v="458.44661610271299"/>
    <n v="592.88611174284904"/>
    <n v="458.44661610271299"/>
    <n v="592.88611174284904"/>
  </r>
  <r>
    <n v="1886"/>
    <x v="2"/>
    <s v="Marine"/>
    <x v="0"/>
    <x v="0"/>
    <s v="8-1"/>
    <s v="Area 8-1: Skagit Bay-Saratoga Psg."/>
    <s v="Area 8-1: Skagit Bay-Saratoga Psg."/>
    <s v="NA"/>
    <x v="2"/>
    <s v="Island"/>
    <s v="04Island"/>
    <s v="North Puget Sound"/>
    <s v="01North Puget Sound"/>
    <n v="718.640963855422"/>
    <n v="2127.78101204819"/>
    <n v="718.640963855422"/>
    <n v="2127.78101204819"/>
  </r>
  <r>
    <n v="1887"/>
    <x v="2"/>
    <s v="Marine"/>
    <x v="0"/>
    <x v="0"/>
    <s v="8-1"/>
    <s v="Area 8-1: Skagit Bay-Saratoga Psg."/>
    <s v="Area 8-1: Skagit Bay-Saratoga Psg."/>
    <s v="NA"/>
    <x v="2"/>
    <s v="King"/>
    <s v="06King"/>
    <s v="South Puget Sound"/>
    <s v="02South Puget Sound"/>
    <n v="136.29397590361501"/>
    <n v="403.54467469879501"/>
    <n v="136.29397590361501"/>
    <n v="403.54467469879501"/>
  </r>
  <r>
    <n v="1890"/>
    <x v="2"/>
    <s v="Marine"/>
    <x v="0"/>
    <x v="0"/>
    <s v="8-1"/>
    <s v="Area 8-1: Skagit Bay-Saratoga Psg."/>
    <s v="Area 8-1: Skagit Bay-Saratoga Psg."/>
    <s v="NA"/>
    <x v="2"/>
    <s v="Kitsap"/>
    <s v="10Kitsap"/>
    <s v="South Puget Sound"/>
    <s v="02South Puget Sound"/>
    <n v="18.585542168674699"/>
    <n v="55.028819277108397"/>
    <n v="18.585542168674699"/>
    <n v="55.028819277108397"/>
  </r>
  <r>
    <n v="1889"/>
    <x v="2"/>
    <s v="Marine"/>
    <x v="0"/>
    <x v="0"/>
    <s v="8-1"/>
    <s v="Area 8-1: Skagit Bay-Saratoga Psg."/>
    <s v="Area 8-1: Skagit Bay-Saratoga Psg."/>
    <s v="NA"/>
    <x v="2"/>
    <s v="Mason"/>
    <s v="09Mason"/>
    <s v="South Puget Sound"/>
    <s v="02South Puget Sound"/>
    <n v="18.585542168674699"/>
    <n v="55.028819277108397"/>
    <n v="18.585542168674699"/>
    <n v="55.028819277108397"/>
  </r>
  <r>
    <n v="2040"/>
    <x v="2"/>
    <s v="Marine"/>
    <x v="0"/>
    <x v="0"/>
    <s v="8-1"/>
    <s v="Area 8-1: Skagit Bay-Saratoga Psg."/>
    <s v="Area 8-1: Skagit Bay-Saratoga Psg."/>
    <s v="NA"/>
    <x v="2"/>
    <s v="Other"/>
    <s v="20Other"/>
    <s v="Non Puget Sound"/>
    <s v="07Non Puget Sound"/>
    <n v="272.58795180722899"/>
    <n v="807.08934939759104"/>
    <n v="272.58795180722899"/>
    <n v="807.08934939759104"/>
  </r>
  <r>
    <n v="1888"/>
    <x v="2"/>
    <s v="Marine"/>
    <x v="0"/>
    <x v="0"/>
    <s v="8-1"/>
    <s v="Area 8-1: Skagit Bay-Saratoga Psg."/>
    <s v="Area 8-1: Skagit Bay-Saratoga Psg."/>
    <s v="NA"/>
    <x v="2"/>
    <s v="Pierce"/>
    <s v="07Pierce"/>
    <s v="South Puget Sound"/>
    <s v="02South Puget Sound"/>
    <n v="30.975903614457799"/>
    <n v="91.714698795180695"/>
    <n v="30.975903614457799"/>
    <n v="91.714698795180695"/>
  </r>
  <r>
    <n v="1714"/>
    <x v="2"/>
    <s v="Marine"/>
    <x v="0"/>
    <x v="0"/>
    <s v="8-1"/>
    <s v="Area 8-1: Skagit Bay-Saratoga Psg."/>
    <s v="Area 8-1: Skagit Bay-Saratoga Psg."/>
    <s v="NA"/>
    <x v="2"/>
    <s v="Skagit"/>
    <s v="02Skagit"/>
    <s v="North Puget Sound"/>
    <s v="01North Puget Sound"/>
    <n v="836.34939759036195"/>
    <n v="2476.29686746988"/>
    <n v="836.34939759036195"/>
    <n v="2476.29686746988"/>
  </r>
  <r>
    <n v="1715"/>
    <x v="2"/>
    <s v="Marine"/>
    <x v="0"/>
    <x v="0"/>
    <s v="8-1"/>
    <s v="Area 8-1: Skagit Bay-Saratoga Psg."/>
    <s v="Area 8-1: Skagit Bay-Saratoga Psg."/>
    <s v="NA"/>
    <x v="2"/>
    <s v="Snohomish"/>
    <s v="03Snohomish"/>
    <s v="North Puget Sound"/>
    <s v="01North Puget Sound"/>
    <n v="520.39518072289195"/>
    <n v="1540.80693975904"/>
    <n v="520.39518072289195"/>
    <n v="1540.80693975904"/>
  </r>
  <r>
    <n v="1713"/>
    <x v="2"/>
    <s v="Marine"/>
    <x v="0"/>
    <x v="0"/>
    <s v="8-1"/>
    <s v="Area 8-1: Skagit Bay-Saratoga Psg."/>
    <s v="Area 8-1: Skagit Bay-Saratoga Psg."/>
    <s v="NA"/>
    <x v="2"/>
    <s v="Whatcom"/>
    <s v="01Whatcom"/>
    <s v="North Puget Sound"/>
    <s v="01North Puget Sound"/>
    <n v="18.585542168674699"/>
    <n v="55.028819277108397"/>
    <n v="18.585542168674699"/>
    <n v="55.028819277108397"/>
  </r>
  <r>
    <n v="3215"/>
    <x v="3"/>
    <s v="Marine"/>
    <x v="0"/>
    <x v="0"/>
    <s v="8-1"/>
    <s v="Area 8-1: Skagit Bay-Saratoga Psg."/>
    <s v="Area 8-1: Skagit Bay-Saratoga Psg."/>
    <s v="NA"/>
    <x v="2"/>
    <s v="Clallam"/>
    <s v="11Clallam"/>
    <s v="Strait of Juan de Fuca"/>
    <s v="03Strait of Juan de Fuca"/>
    <n v="5.3348982785602503"/>
    <n v="9.5268648930620792"/>
    <n v="5.3348982785602503"/>
    <n v="9.5268648930620792"/>
  </r>
  <r>
    <n v="3111"/>
    <x v="3"/>
    <s v="Marine"/>
    <x v="0"/>
    <x v="0"/>
    <s v="8-1"/>
    <s v="Area 8-1: Skagit Bay-Saratoga Psg."/>
    <s v="Area 8-1: Skagit Bay-Saratoga Psg."/>
    <s v="NA"/>
    <x v="2"/>
    <s v="Island"/>
    <s v="04Island"/>
    <s v="North Puget Sound"/>
    <s v="01North Puget Sound"/>
    <n v="4118.5414710485102"/>
    <n v="7354.7396974439198"/>
    <n v="4118.5414710485102"/>
    <n v="7354.7396974439198"/>
  </r>
  <r>
    <n v="3113"/>
    <x v="3"/>
    <s v="Marine"/>
    <x v="0"/>
    <x v="0"/>
    <s v="8-1"/>
    <s v="Area 8-1: Skagit Bay-Saratoga Psg."/>
    <s v="Area 8-1: Skagit Bay-Saratoga Psg."/>
    <s v="NA"/>
    <x v="2"/>
    <s v="King"/>
    <s v="06King"/>
    <s v="South Puget Sound"/>
    <s v="02South Puget Sound"/>
    <n v="714.87636932707403"/>
    <n v="1276.5998956703199"/>
    <n v="714.87636932707403"/>
    <n v="1276.5998956703199"/>
  </r>
  <r>
    <n v="3214"/>
    <x v="3"/>
    <s v="Marine"/>
    <x v="0"/>
    <x v="0"/>
    <s v="8-1"/>
    <s v="Area 8-1: Skagit Bay-Saratoga Psg."/>
    <s v="Area 8-1: Skagit Bay-Saratoga Psg."/>
    <s v="NA"/>
    <x v="2"/>
    <s v="Kitsap"/>
    <s v="10Kitsap"/>
    <s v="South Puget Sound"/>
    <s v="02South Puget Sound"/>
    <n v="42.679186228482003"/>
    <n v="76.214919144496605"/>
    <n v="42.679186228482003"/>
    <n v="76.214919144496605"/>
  </r>
  <r>
    <n v="3221"/>
    <x v="3"/>
    <s v="Marine"/>
    <x v="0"/>
    <x v="0"/>
    <s v="8-1"/>
    <s v="Area 8-1: Skagit Bay-Saratoga Psg."/>
    <s v="Area 8-1: Skagit Bay-Saratoga Psg."/>
    <s v="NA"/>
    <x v="2"/>
    <s v="Other"/>
    <s v="20Other"/>
    <s v="Non Puget Sound"/>
    <s v="07Non Puget Sound"/>
    <n v="1168.3427230047"/>
    <n v="2086.3834115805998"/>
    <n v="1168.3427230047"/>
    <n v="2086.3834115805998"/>
  </r>
  <r>
    <n v="3114"/>
    <x v="3"/>
    <s v="Marine"/>
    <x v="0"/>
    <x v="0"/>
    <s v="8-1"/>
    <s v="Area 8-1: Skagit Bay-Saratoga Psg."/>
    <s v="Area 8-1: Skagit Bay-Saratoga Psg."/>
    <s v="NA"/>
    <x v="2"/>
    <s v="Pierce"/>
    <s v="07Pierce"/>
    <s v="South Puget Sound"/>
    <s v="02South Puget Sound"/>
    <n v="85.358372456964005"/>
    <n v="152.42983828899301"/>
    <n v="85.358372456964005"/>
    <n v="152.42983828899301"/>
  </r>
  <r>
    <n v="3112"/>
    <x v="3"/>
    <s v="Marine"/>
    <x v="0"/>
    <x v="0"/>
    <s v="8-1"/>
    <s v="Area 8-1: Skagit Bay-Saratoga Psg."/>
    <s v="Area 8-1: Skagit Bay-Saratoga Psg."/>
    <s v="NA"/>
    <x v="2"/>
    <s v="San Juan"/>
    <s v="05San Juan"/>
    <s v="North Puget Sound"/>
    <s v="01North Puget Sound"/>
    <n v="5.3348982785602503"/>
    <n v="9.5268648930620792"/>
    <n v="5.3348982785602503"/>
    <n v="9.5268648930620792"/>
  </r>
  <r>
    <n v="3109"/>
    <x v="3"/>
    <s v="Marine"/>
    <x v="0"/>
    <x v="0"/>
    <s v="8-1"/>
    <s v="Area 8-1: Skagit Bay-Saratoga Psg."/>
    <s v="Area 8-1: Skagit Bay-Saratoga Psg."/>
    <s v="NA"/>
    <x v="2"/>
    <s v="Skagit"/>
    <s v="02Skagit"/>
    <s v="North Puget Sound"/>
    <s v="01North Puget Sound"/>
    <n v="2101.94992175274"/>
    <n v="3753.58476786646"/>
    <n v="2101.94992175274"/>
    <n v="3753.58476786646"/>
  </r>
  <r>
    <n v="3110"/>
    <x v="3"/>
    <s v="Marine"/>
    <x v="0"/>
    <x v="0"/>
    <s v="8-1"/>
    <s v="Area 8-1: Skagit Bay-Saratoga Psg."/>
    <s v="Area 8-1: Skagit Bay-Saratoga Psg."/>
    <s v="NA"/>
    <x v="2"/>
    <s v="Snohomish"/>
    <s v="03Snohomish"/>
    <s v="North Puget Sound"/>
    <s v="01North Puget Sound"/>
    <n v="1557.7902973395901"/>
    <n v="2781.8445487741301"/>
    <n v="1557.7902973395901"/>
    <n v="2781.8445487741301"/>
  </r>
  <r>
    <n v="3213"/>
    <x v="3"/>
    <s v="Marine"/>
    <x v="0"/>
    <x v="0"/>
    <s v="8-1"/>
    <s v="Area 8-1: Skagit Bay-Saratoga Psg."/>
    <s v="Area 8-1: Skagit Bay-Saratoga Psg."/>
    <s v="NA"/>
    <x v="2"/>
    <s v="Thurston"/>
    <s v="08Thurston"/>
    <s v="South Puget Sound"/>
    <s v="02South Puget Sound"/>
    <n v="42.679186228482003"/>
    <n v="76.214919144496605"/>
    <n v="42.679186228482003"/>
    <n v="76.214919144496605"/>
  </r>
  <r>
    <n v="3108"/>
    <x v="3"/>
    <s v="Marine"/>
    <x v="0"/>
    <x v="0"/>
    <s v="8-1"/>
    <s v="Area 8-1: Skagit Bay-Saratoga Psg."/>
    <s v="Area 8-1: Skagit Bay-Saratoga Psg."/>
    <s v="NA"/>
    <x v="2"/>
    <s v="Whatcom"/>
    <s v="01Whatcom"/>
    <s v="North Puget Sound"/>
    <s v="01North Puget Sound"/>
    <n v="384.11267605633799"/>
    <n v="685.93427230046996"/>
    <n v="384.11267605633799"/>
    <n v="685.93427230046996"/>
  </r>
  <r>
    <n v="3481"/>
    <x v="4"/>
    <s v="Marine"/>
    <x v="0"/>
    <x v="0"/>
    <s v="8-1"/>
    <s v="Area 8-1: Skagit Bay-Saratoga Psg."/>
    <s v="Area 8-1: Skagit Bay-Saratoga Psg."/>
    <s v="NA"/>
    <x v="2"/>
    <s v="Island"/>
    <s v="04Island"/>
    <s v="North Puget Sound"/>
    <s v="01North Puget Sound"/>
    <n v="1477.86346863469"/>
    <n v="3935.37708487085"/>
    <n v="1477.86346863469"/>
    <n v="3935.37708487085"/>
  </r>
  <r>
    <n v="3570"/>
    <x v="4"/>
    <s v="Marine"/>
    <x v="0"/>
    <x v="0"/>
    <s v="8-1"/>
    <s v="Area 8-1: Skagit Bay-Saratoga Psg."/>
    <s v="Area 8-1: Skagit Bay-Saratoga Psg."/>
    <s v="NA"/>
    <x v="2"/>
    <s v="King"/>
    <s v="06King"/>
    <s v="South Puget Sound"/>
    <s v="02South Puget Sound"/>
    <n v="145.02398523985201"/>
    <n v="386.18186346863502"/>
    <n v="145.02398523985201"/>
    <n v="386.18186346863502"/>
  </r>
  <r>
    <n v="3572"/>
    <x v="4"/>
    <s v="Marine"/>
    <x v="0"/>
    <x v="0"/>
    <s v="8-1"/>
    <s v="Area 8-1: Skagit Bay-Saratoga Psg."/>
    <s v="Area 8-1: Skagit Bay-Saratoga Psg."/>
    <s v="NA"/>
    <x v="2"/>
    <s v="Kitsap"/>
    <s v="10Kitsap"/>
    <s v="South Puget Sound"/>
    <s v="02South Puget Sound"/>
    <n v="13.811808118081199"/>
    <n v="36.779225092250897"/>
    <n v="13.811808118081199"/>
    <n v="36.779225092250897"/>
  </r>
  <r>
    <n v="3575"/>
    <x v="4"/>
    <s v="Marine"/>
    <x v="0"/>
    <x v="0"/>
    <s v="8-1"/>
    <s v="Area 8-1: Skagit Bay-Saratoga Psg."/>
    <s v="Area 8-1: Skagit Bay-Saratoga Psg."/>
    <s v="NA"/>
    <x v="2"/>
    <s v="Other"/>
    <s v="20Other"/>
    <s v="Non Puget Sound"/>
    <s v="07Non Puget Sound"/>
    <n v="352.20110701107001"/>
    <n v="937.87023985239898"/>
    <n v="352.20110701107001"/>
    <n v="937.87023985239898"/>
  </r>
  <r>
    <n v="3571"/>
    <x v="4"/>
    <s v="Marine"/>
    <x v="0"/>
    <x v="0"/>
    <s v="8-1"/>
    <s v="Area 8-1: Skagit Bay-Saratoga Psg."/>
    <s v="Area 8-1: Skagit Bay-Saratoga Psg."/>
    <s v="NA"/>
    <x v="2"/>
    <s v="Pierce"/>
    <s v="07Pierce"/>
    <s v="South Puget Sound"/>
    <s v="02South Puget Sound"/>
    <n v="27.623616236162398"/>
    <n v="73.558450184501893"/>
    <n v="27.623616236162398"/>
    <n v="73.558450184501893"/>
  </r>
  <r>
    <n v="3479"/>
    <x v="4"/>
    <s v="Marine"/>
    <x v="0"/>
    <x v="0"/>
    <s v="8-1"/>
    <s v="Area 8-1: Skagit Bay-Saratoga Psg."/>
    <s v="Area 8-1: Skagit Bay-Saratoga Psg."/>
    <s v="NA"/>
    <x v="2"/>
    <s v="Skagit"/>
    <s v="02Skagit"/>
    <s v="North Puget Sound"/>
    <s v="01North Puget Sound"/>
    <n v="1194.7214022140199"/>
    <n v="3181.4029704797099"/>
    <n v="1194.7214022140199"/>
    <n v="3181.4029704797099"/>
  </r>
  <r>
    <n v="3480"/>
    <x v="4"/>
    <s v="Marine"/>
    <x v="0"/>
    <x v="0"/>
    <s v="8-1"/>
    <s v="Area 8-1: Skagit Bay-Saratoga Psg."/>
    <s v="Area 8-1: Skagit Bay-Saratoga Psg."/>
    <s v="NA"/>
    <x v="2"/>
    <s v="Snohomish"/>
    <s v="03Snohomish"/>
    <s v="North Puget Sound"/>
    <s v="01North Puget Sound"/>
    <n v="448.88376383763801"/>
    <n v="1195.32481549815"/>
    <n v="448.88376383763801"/>
    <n v="1195.32481549815"/>
  </r>
  <r>
    <n v="3477"/>
    <x v="4"/>
    <s v="Marine"/>
    <x v="0"/>
    <x v="0"/>
    <s v="8-1"/>
    <s v="Area 8-1: Skagit Bay-Saratoga Psg."/>
    <s v="Area 8-1: Skagit Bay-Saratoga Psg."/>
    <s v="NA"/>
    <x v="2"/>
    <s v="Whatcom"/>
    <s v="01Whatcom"/>
    <s v="North Puget Sound"/>
    <s v="01North Puget Sound"/>
    <n v="82.870848708487102"/>
    <n v="220.67535055350601"/>
    <n v="82.870848708487102"/>
    <n v="220.67535055350601"/>
  </r>
  <r>
    <n v="1436"/>
    <x v="5"/>
    <s v="Marine"/>
    <x v="0"/>
    <x v="0"/>
    <s v="8-1"/>
    <s v="Area 8-1: Skagit Bay-Saratoga Psg."/>
    <s v="Area 8-1: Skagit Bay-Saratoga Psg."/>
    <s v="NA"/>
    <x v="2"/>
    <s v="Clallam"/>
    <s v="11Clallam"/>
    <s v="Strait of Juan de Fuca"/>
    <s v="03Strait of Juan de Fuca"/>
    <n v="7.1098610191925902"/>
    <n v="12.967359364659201"/>
    <n v="7.1098610191925902"/>
    <n v="12.967359364659201"/>
  </r>
  <r>
    <n v="1295"/>
    <x v="5"/>
    <s v="Marine"/>
    <x v="0"/>
    <x v="0"/>
    <s v="8-1"/>
    <s v="Area 8-1: Skagit Bay-Saratoga Psg."/>
    <s v="Area 8-1: Skagit Bay-Saratoga Psg."/>
    <s v="NA"/>
    <x v="2"/>
    <s v="Island"/>
    <s v="04Island"/>
    <s v="North Puget Sound"/>
    <s v="01North Puget Sound"/>
    <n v="3853.54467240238"/>
    <n v="7028.3087756452696"/>
    <n v="3853.54467240238"/>
    <n v="7028.3087756452696"/>
  </r>
  <r>
    <n v="1296"/>
    <x v="5"/>
    <s v="Marine"/>
    <x v="0"/>
    <x v="0"/>
    <s v="8-1"/>
    <s v="Area 8-1: Skagit Bay-Saratoga Psg."/>
    <s v="Area 8-1: Skagit Bay-Saratoga Psg."/>
    <s v="NA"/>
    <x v="2"/>
    <s v="King"/>
    <s v="06King"/>
    <s v="South Puget Sound"/>
    <s v="02South Puget Sound"/>
    <n v="846.07346128391805"/>
    <n v="1543.11576439444"/>
    <n v="846.07346128391805"/>
    <n v="1543.11576439444"/>
  </r>
  <r>
    <n v="1435"/>
    <x v="5"/>
    <s v="Marine"/>
    <x v="0"/>
    <x v="0"/>
    <s v="8-1"/>
    <s v="Area 8-1: Skagit Bay-Saratoga Psg."/>
    <s v="Area 8-1: Skagit Bay-Saratoga Psg."/>
    <s v="NA"/>
    <x v="2"/>
    <s v="Kitsap"/>
    <s v="10Kitsap"/>
    <s v="South Puget Sound"/>
    <s v="02South Puget Sound"/>
    <n v="85.3183322303111"/>
    <n v="155.60831237591"/>
    <n v="85.3183322303111"/>
    <n v="155.60831237591"/>
  </r>
  <r>
    <n v="1437"/>
    <x v="5"/>
    <s v="Marine"/>
    <x v="0"/>
    <x v="0"/>
    <s v="8-1"/>
    <s v="Area 8-1: Skagit Bay-Saratoga Psg."/>
    <s v="Area 8-1: Skagit Bay-Saratoga Psg."/>
    <s v="NA"/>
    <x v="2"/>
    <s v="Other"/>
    <s v="20Other"/>
    <s v="Non Puget Sound"/>
    <s v="07Non Puget Sound"/>
    <n v="1827.2342819324999"/>
    <n v="3332.6113567174102"/>
    <n v="1827.2342819324999"/>
    <n v="3332.6113567174102"/>
  </r>
  <r>
    <n v="1297"/>
    <x v="5"/>
    <s v="Marine"/>
    <x v="0"/>
    <x v="0"/>
    <s v="8-1"/>
    <s v="Area 8-1: Skagit Bay-Saratoga Psg."/>
    <s v="Area 8-1: Skagit Bay-Saratoga Psg."/>
    <s v="NA"/>
    <x v="2"/>
    <s v="Pierce"/>
    <s v="07Pierce"/>
    <s v="South Puget Sound"/>
    <s v="02South Puget Sound"/>
    <n v="92.428193249503707"/>
    <n v="168.57567174056899"/>
    <n v="92.428193249503707"/>
    <n v="168.57567174056899"/>
  </r>
  <r>
    <n v="1293"/>
    <x v="5"/>
    <s v="Marine"/>
    <x v="0"/>
    <x v="0"/>
    <s v="8-1"/>
    <s v="Area 8-1: Skagit Bay-Saratoga Psg."/>
    <s v="Area 8-1: Skagit Bay-Saratoga Psg."/>
    <s v="NA"/>
    <x v="2"/>
    <s v="Skagit"/>
    <s v="02Skagit"/>
    <s v="North Puget Sound"/>
    <s v="01North Puget Sound"/>
    <n v="2310.70483123759"/>
    <n v="4214.3917935142299"/>
    <n v="2310.70483123759"/>
    <n v="4214.3917935142299"/>
  </r>
  <r>
    <n v="1294"/>
    <x v="5"/>
    <s v="Marine"/>
    <x v="0"/>
    <x v="0"/>
    <s v="8-1"/>
    <s v="Area 8-1: Skagit Bay-Saratoga Psg."/>
    <s v="Area 8-1: Skagit Bay-Saratoga Psg."/>
    <s v="NA"/>
    <x v="2"/>
    <s v="Snohomish"/>
    <s v="03Snohomish"/>
    <s v="North Puget Sound"/>
    <s v="01North Puget Sound"/>
    <n v="1244.2256783587"/>
    <n v="2269.28788881536"/>
    <n v="1244.2256783587"/>
    <n v="2269.28788881536"/>
  </r>
  <r>
    <n v="1298"/>
    <x v="5"/>
    <s v="Marine"/>
    <x v="0"/>
    <x v="0"/>
    <s v="8-1"/>
    <s v="Area 8-1: Skagit Bay-Saratoga Psg."/>
    <s v="Area 8-1: Skagit Bay-Saratoga Psg."/>
    <s v="NA"/>
    <x v="2"/>
    <s v="Thurston"/>
    <s v="08Thurston"/>
    <s v="South Puget Sound"/>
    <s v="02South Puget Sound"/>
    <n v="7.1098610191925902"/>
    <n v="12.967359364659201"/>
    <n v="7.1098610191925902"/>
    <n v="12.967359364659201"/>
  </r>
  <r>
    <n v="1292"/>
    <x v="5"/>
    <s v="Marine"/>
    <x v="0"/>
    <x v="0"/>
    <s v="8-1"/>
    <s v="Area 8-1: Skagit Bay-Saratoga Psg."/>
    <s v="Area 8-1: Skagit Bay-Saratoga Psg."/>
    <s v="NA"/>
    <x v="2"/>
    <s v="Whatcom"/>
    <s v="01Whatcom"/>
    <s v="North Puget Sound"/>
    <s v="01North Puget Sound"/>
    <n v="469.25082726671098"/>
    <n v="855.845718067505"/>
    <n v="469.25082726671098"/>
    <n v="855.845718067505"/>
  </r>
  <r>
    <n v="1954"/>
    <x v="6"/>
    <s v="Marine"/>
    <x v="0"/>
    <x v="0"/>
    <s v="8-1"/>
    <s v="Area 8-1: Skagit Bay-Saratoga Psg."/>
    <s v="Area 8-1: Skagit Bay-Saratoga Psg."/>
    <s v="NA"/>
    <x v="2"/>
    <s v="Island"/>
    <s v="04Island"/>
    <s v="North Puget Sound"/>
    <s v="01North Puget Sound"/>
    <n v="206.8"/>
    <n v="1011.644"/>
    <n v="206.8"/>
    <n v="1011.644"/>
  </r>
  <r>
    <n v="1955"/>
    <x v="6"/>
    <s v="Marine"/>
    <x v="0"/>
    <x v="0"/>
    <s v="8-1"/>
    <s v="Area 8-1: Skagit Bay-Saratoga Psg."/>
    <s v="Area 8-1: Skagit Bay-Saratoga Psg."/>
    <s v="NA"/>
    <x v="2"/>
    <s v="King"/>
    <s v="06King"/>
    <s v="South Puget Sound"/>
    <s v="02South Puget Sound"/>
    <n v="9.4"/>
    <n v="45.983818181818201"/>
    <n v="9.4"/>
    <n v="45.983818181818201"/>
  </r>
  <r>
    <n v="1957"/>
    <x v="6"/>
    <s v="Marine"/>
    <x v="0"/>
    <x v="0"/>
    <s v="8-1"/>
    <s v="Area 8-1: Skagit Bay-Saratoga Psg."/>
    <s v="Area 8-1: Skagit Bay-Saratoga Psg."/>
    <s v="NA"/>
    <x v="2"/>
    <s v="Other"/>
    <s v="20Other"/>
    <s v="Non Puget Sound"/>
    <s v="07Non Puget Sound"/>
    <n v="9.4"/>
    <n v="45.983818181818201"/>
    <n v="9.4"/>
    <n v="45.983818181818201"/>
  </r>
  <r>
    <n v="1956"/>
    <x v="6"/>
    <s v="Marine"/>
    <x v="0"/>
    <x v="0"/>
    <s v="8-1"/>
    <s v="Area 8-1: Skagit Bay-Saratoga Psg."/>
    <s v="Area 8-1: Skagit Bay-Saratoga Psg."/>
    <s v="NA"/>
    <x v="2"/>
    <s v="Pierce"/>
    <s v="07Pierce"/>
    <s v="South Puget Sound"/>
    <s v="02South Puget Sound"/>
    <n v="18.8"/>
    <n v="91.967636363636402"/>
    <n v="18.8"/>
    <n v="91.967636363636402"/>
  </r>
  <r>
    <n v="1952"/>
    <x v="6"/>
    <s v="Marine"/>
    <x v="0"/>
    <x v="0"/>
    <s v="8-1"/>
    <s v="Area 8-1: Skagit Bay-Saratoga Psg."/>
    <s v="Area 8-1: Skagit Bay-Saratoga Psg."/>
    <s v="NA"/>
    <x v="2"/>
    <s v="Skagit"/>
    <s v="02Skagit"/>
    <s v="North Puget Sound"/>
    <s v="01North Puget Sound"/>
    <n v="103.4"/>
    <n v="505.822"/>
    <n v="103.4"/>
    <n v="505.822"/>
  </r>
  <r>
    <n v="1953"/>
    <x v="6"/>
    <s v="Marine"/>
    <x v="0"/>
    <x v="0"/>
    <s v="8-1"/>
    <s v="Area 8-1: Skagit Bay-Saratoga Psg."/>
    <s v="Area 8-1: Skagit Bay-Saratoga Psg."/>
    <s v="NA"/>
    <x v="2"/>
    <s v="Snohomish"/>
    <s v="03Snohomish"/>
    <s v="North Puget Sound"/>
    <s v="01North Puget Sound"/>
    <n v="169.2"/>
    <n v="827.70872727272695"/>
    <n v="169.2"/>
    <n v="827.70872727272695"/>
  </r>
  <r>
    <n v="2453"/>
    <x v="7"/>
    <s v="Marine"/>
    <x v="0"/>
    <x v="0"/>
    <s v="8-1"/>
    <s v="Area 8-1: Skagit Bay-Saratoga Psg."/>
    <s v="Area 8-1: Skagit Bay-Saratoga Psg."/>
    <s v="NA"/>
    <x v="2"/>
    <s v="Island"/>
    <s v="04Island"/>
    <s v="North Puget Sound"/>
    <s v="01North Puget Sound"/>
    <n v="268.07407407407402"/>
    <n v="1285.3067844157799"/>
    <n v="268.07407407407402"/>
    <n v="1285.3067844157799"/>
  </r>
  <r>
    <n v="2454"/>
    <x v="7"/>
    <s v="Marine"/>
    <x v="0"/>
    <x v="0"/>
    <s v="8-1"/>
    <s v="Area 8-1: Skagit Bay-Saratoga Psg."/>
    <s v="Area 8-1: Skagit Bay-Saratoga Psg."/>
    <s v="NA"/>
    <x v="2"/>
    <s v="King"/>
    <s v="06King"/>
    <s v="South Puget Sound"/>
    <s v="02South Puget Sound"/>
    <n v="19.148148148148199"/>
    <n v="91.807627458269906"/>
    <n v="19.148148148148199"/>
    <n v="91.807627458269906"/>
  </r>
  <r>
    <n v="2455"/>
    <x v="7"/>
    <s v="Marine"/>
    <x v="0"/>
    <x v="0"/>
    <s v="8-1"/>
    <s v="Area 8-1: Skagit Bay-Saratoga Psg."/>
    <s v="Area 8-1: Skagit Bay-Saratoga Psg."/>
    <s v="NA"/>
    <x v="2"/>
    <s v="Other"/>
    <s v="20Other"/>
    <s v="Non Puget Sound"/>
    <s v="07Non Puget Sound"/>
    <n v="19.148148148148199"/>
    <n v="91.807627458269906"/>
    <n v="19.148148148148199"/>
    <n v="91.807627458269906"/>
  </r>
  <r>
    <n v="2349"/>
    <x v="7"/>
    <s v="Marine"/>
    <x v="0"/>
    <x v="0"/>
    <s v="8-1"/>
    <s v="Area 8-1: Skagit Bay-Saratoga Psg."/>
    <s v="Area 8-1: Skagit Bay-Saratoga Psg."/>
    <s v="NA"/>
    <x v="2"/>
    <s v="Skagit"/>
    <s v="02Skagit"/>
    <s v="North Puget Sound"/>
    <s v="01North Puget Sound"/>
    <n v="89.358024691357997"/>
    <n v="428.43559480526"/>
    <n v="89.358024691357997"/>
    <n v="428.43559480526"/>
  </r>
  <r>
    <n v="2452"/>
    <x v="7"/>
    <s v="Marine"/>
    <x v="0"/>
    <x v="0"/>
    <s v="8-1"/>
    <s v="Area 8-1: Skagit Bay-Saratoga Psg."/>
    <s v="Area 8-1: Skagit Bay-Saratoga Psg."/>
    <s v="NA"/>
    <x v="2"/>
    <s v="Snohomish"/>
    <s v="03Snohomish"/>
    <s v="North Puget Sound"/>
    <s v="01North Puget Sound"/>
    <n v="121.27160493827201"/>
    <n v="581.44830723570897"/>
    <n v="121.27160493827201"/>
    <n v="581.44830723570897"/>
  </r>
  <r>
    <n v="1315"/>
    <x v="8"/>
    <s v="Marine"/>
    <x v="0"/>
    <x v="0"/>
    <s v="8-1"/>
    <s v="Area 8-1: Skagit Bay-Saratoga Psg."/>
    <s v="Area 8-1: Skagit Bay-Saratoga Psg."/>
    <s v="NA"/>
    <x v="2"/>
    <s v="Island"/>
    <s v="04Island"/>
    <s v="North Puget Sound"/>
    <s v="01North Puget Sound"/>
    <n v="700.58252427184505"/>
    <n v="1676.78696548632"/>
    <n v="700.58252427184505"/>
    <n v="1676.78696548632"/>
  </r>
  <r>
    <n v="1317"/>
    <x v="8"/>
    <s v="Marine"/>
    <x v="0"/>
    <x v="0"/>
    <s v="8-1"/>
    <s v="Area 8-1: Skagit Bay-Saratoga Psg."/>
    <s v="Area 8-1: Skagit Bay-Saratoga Psg."/>
    <s v="NA"/>
    <x v="2"/>
    <s v="Jefferson"/>
    <s v="12Jefferson"/>
    <s v="Strait of Juan de Fuca"/>
    <s v="03Strait of Juan de Fuca"/>
    <n v="15.9223300970874"/>
    <n v="38.108794670143702"/>
    <n v="15.9223300970874"/>
    <n v="38.108794670143702"/>
  </r>
  <r>
    <n v="1316"/>
    <x v="8"/>
    <s v="Marine"/>
    <x v="0"/>
    <x v="0"/>
    <s v="8-1"/>
    <s v="Area 8-1: Skagit Bay-Saratoga Psg."/>
    <s v="Area 8-1: Skagit Bay-Saratoga Psg."/>
    <s v="NA"/>
    <x v="2"/>
    <s v="King"/>
    <s v="06King"/>
    <s v="South Puget Sound"/>
    <s v="02South Puget Sound"/>
    <n v="31.8446601941748"/>
    <n v="76.217589340287503"/>
    <n v="31.8446601941748"/>
    <n v="76.217589340287503"/>
  </r>
  <r>
    <n v="1318"/>
    <x v="8"/>
    <s v="Marine"/>
    <x v="0"/>
    <x v="0"/>
    <s v="8-1"/>
    <s v="Area 8-1: Skagit Bay-Saratoga Psg."/>
    <s v="Area 8-1: Skagit Bay-Saratoga Psg."/>
    <s v="NA"/>
    <x v="2"/>
    <s v="Other"/>
    <s v="20Other"/>
    <s v="Non Puget Sound"/>
    <s v="07Non Puget Sound"/>
    <n v="47.766990291262097"/>
    <n v="114.326384010431"/>
    <n v="47.766990291262097"/>
    <n v="114.326384010431"/>
  </r>
  <r>
    <n v="1313"/>
    <x v="8"/>
    <s v="Marine"/>
    <x v="0"/>
    <x v="0"/>
    <s v="8-1"/>
    <s v="Area 8-1: Skagit Bay-Saratoga Psg."/>
    <s v="Area 8-1: Skagit Bay-Saratoga Psg."/>
    <s v="NA"/>
    <x v="2"/>
    <s v="Skagit"/>
    <s v="02Skagit"/>
    <s v="North Puget Sound"/>
    <s v="01North Puget Sound"/>
    <n v="525.43689320388398"/>
    <n v="1257.5902241147401"/>
    <n v="525.43689320388398"/>
    <n v="1257.5902241147401"/>
  </r>
  <r>
    <n v="1314"/>
    <x v="8"/>
    <s v="Marine"/>
    <x v="0"/>
    <x v="0"/>
    <s v="8-1"/>
    <s v="Area 8-1: Skagit Bay-Saratoga Psg."/>
    <s v="Area 8-1: Skagit Bay-Saratoga Psg."/>
    <s v="NA"/>
    <x v="2"/>
    <s v="Snohomish"/>
    <s v="03Snohomish"/>
    <s v="North Puget Sound"/>
    <s v="01North Puget Sound"/>
    <n v="310.485436893204"/>
    <n v="743.12149606780304"/>
    <n v="310.485436893204"/>
    <n v="743.12149606780304"/>
  </r>
  <r>
    <n v="1264"/>
    <x v="8"/>
    <s v="Marine"/>
    <x v="0"/>
    <x v="0"/>
    <s v="8-1"/>
    <s v="Area 8-1: Skagit Bay-Saratoga Psg."/>
    <s v="Area 8-1: Skagit Bay-Saratoga Psg."/>
    <s v="NA"/>
    <x v="2"/>
    <s v="Whatcom"/>
    <s v="01Whatcom"/>
    <s v="North Puget Sound"/>
    <s v="01North Puget Sound"/>
    <n v="7.9611650485436902"/>
    <n v="19.054397335071901"/>
    <n v="7.9611650485436902"/>
    <n v="19.054397335071901"/>
  </r>
  <r>
    <n v="1741"/>
    <x v="9"/>
    <s v="Marine"/>
    <x v="0"/>
    <x v="0"/>
    <s v="8-1"/>
    <s v="Area 8-1: Skagit Bay-Saratoga Psg."/>
    <s v="Area 8-1: Skagit Bay-Saratoga Psg."/>
    <s v="NA"/>
    <x v="2"/>
    <s v="Island"/>
    <s v="04Island"/>
    <s v="North Puget Sound"/>
    <s v="01North Puget Sound"/>
    <n v="602.68363636363597"/>
    <n v="799.42066126012196"/>
    <n v="602.68363636363597"/>
    <n v="799.42066126012196"/>
  </r>
  <r>
    <n v="1811"/>
    <x v="9"/>
    <s v="Marine"/>
    <x v="0"/>
    <x v="0"/>
    <s v="8-1"/>
    <s v="Area 8-1: Skagit Bay-Saratoga Psg."/>
    <s v="Area 8-1: Skagit Bay-Saratoga Psg."/>
    <s v="NA"/>
    <x v="2"/>
    <s v="King"/>
    <s v="06King"/>
    <s v="South Puget Sound"/>
    <s v="02South Puget Sound"/>
    <n v="148.48727272727299"/>
    <n v="196.95871364379801"/>
    <n v="148.48727272727299"/>
    <n v="196.95871364379801"/>
  </r>
  <r>
    <n v="1812"/>
    <x v="9"/>
    <s v="Marine"/>
    <x v="0"/>
    <x v="0"/>
    <s v="8-1"/>
    <s v="Area 8-1: Skagit Bay-Saratoga Psg."/>
    <s v="Area 8-1: Skagit Bay-Saratoga Psg."/>
    <s v="NA"/>
    <x v="2"/>
    <s v="Kitsap"/>
    <s v="10Kitsap"/>
    <s v="South Puget Sound"/>
    <s v="02South Puget Sound"/>
    <n v="17.469090909090902"/>
    <n v="23.171613369858601"/>
    <n v="17.469090909090902"/>
    <n v="23.171613369858601"/>
  </r>
  <r>
    <n v="1813"/>
    <x v="9"/>
    <s v="Marine"/>
    <x v="0"/>
    <x v="0"/>
    <s v="8-1"/>
    <s v="Area 8-1: Skagit Bay-Saratoga Psg."/>
    <s v="Area 8-1: Skagit Bay-Saratoga Psg."/>
    <s v="NA"/>
    <x v="2"/>
    <s v="Other"/>
    <s v="20Other"/>
    <s v="Non Puget Sound"/>
    <s v="07Non Puget Sound"/>
    <n v="331.91272727272701"/>
    <n v="440.26065402731399"/>
    <n v="331.91272727272701"/>
    <n v="440.26065402731399"/>
  </r>
  <r>
    <n v="1649"/>
    <x v="9"/>
    <s v="Marine"/>
    <x v="0"/>
    <x v="0"/>
    <s v="8-1"/>
    <s v="Area 8-1: Skagit Bay-Saratoga Psg."/>
    <s v="Area 8-1: Skagit Bay-Saratoga Psg."/>
    <s v="NA"/>
    <x v="2"/>
    <s v="Skagit"/>
    <s v="02Skagit"/>
    <s v="North Puget Sound"/>
    <s v="01North Puget Sound"/>
    <n v="873.45454545454595"/>
    <n v="1158.58066849293"/>
    <n v="873.45454545454595"/>
    <n v="1158.58066849293"/>
  </r>
  <r>
    <n v="1740"/>
    <x v="9"/>
    <s v="Marine"/>
    <x v="0"/>
    <x v="0"/>
    <s v="8-1"/>
    <s v="Area 8-1: Skagit Bay-Saratoga Psg."/>
    <s v="Area 8-1: Skagit Bay-Saratoga Psg."/>
    <s v="NA"/>
    <x v="2"/>
    <s v="Snohomish"/>
    <s v="03Snohomish"/>
    <s v="North Puget Sound"/>
    <s v="01North Puget Sound"/>
    <n v="401.78909090909099"/>
    <n v="532.94710750674801"/>
    <n v="401.78909090909099"/>
    <n v="532.94710750674801"/>
  </r>
  <r>
    <n v="1648"/>
    <x v="9"/>
    <s v="Marine"/>
    <x v="0"/>
    <x v="0"/>
    <s v="8-1"/>
    <s v="Area 8-1: Skagit Bay-Saratoga Psg."/>
    <s v="Area 8-1: Skagit Bay-Saratoga Psg."/>
    <s v="NA"/>
    <x v="2"/>
    <s v="Whatcom"/>
    <s v="01Whatcom"/>
    <s v="North Puget Sound"/>
    <s v="01North Puget Sound"/>
    <n v="26.203636363636399"/>
    <n v="34.7574200547879"/>
    <n v="26.203636363636399"/>
    <n v="34.7574200547879"/>
  </r>
  <r>
    <n v="2375"/>
    <x v="11"/>
    <s v="Marine"/>
    <x v="0"/>
    <x v="0"/>
    <s v="8-1"/>
    <s v="Area 8-1: Skagit Bay-Saratoga Psg."/>
    <s v="Area 8-1: Skagit Bay-Saratoga Psg."/>
    <s v="NA"/>
    <x v="2"/>
    <s v="Island"/>
    <s v="04Island"/>
    <s v="North Puget Sound"/>
    <s v="01North Puget Sound"/>
    <n v="581.69950738916305"/>
    <n v="587.59684548376697"/>
    <n v="581.69950738916305"/>
    <n v="587.59684548376697"/>
  </r>
  <r>
    <n v="2476"/>
    <x v="11"/>
    <s v="Marine"/>
    <x v="0"/>
    <x v="0"/>
    <s v="8-1"/>
    <s v="Area 8-1: Skagit Bay-Saratoga Psg."/>
    <s v="Area 8-1: Skagit Bay-Saratoga Psg."/>
    <s v="NA"/>
    <x v="2"/>
    <s v="King"/>
    <s v="06King"/>
    <s v="South Puget Sound"/>
    <s v="02South Puget Sound"/>
    <n v="296.13793103448302"/>
    <n v="299.14021224628101"/>
    <n v="296.13793103448302"/>
    <n v="299.14021224628101"/>
  </r>
  <r>
    <n v="2478"/>
    <x v="11"/>
    <s v="Marine"/>
    <x v="0"/>
    <x v="0"/>
    <s v="8-1"/>
    <s v="Area 8-1: Skagit Bay-Saratoga Psg."/>
    <s v="Area 8-1: Skagit Bay-Saratoga Psg."/>
    <s v="NA"/>
    <x v="2"/>
    <s v="Other"/>
    <s v="20Other"/>
    <s v="Non Puget Sound"/>
    <s v="07Non Puget Sound"/>
    <n v="211.52709359605899"/>
    <n v="213.67158017591501"/>
    <n v="211.52709359605899"/>
    <n v="213.67158017591501"/>
  </r>
  <r>
    <n v="2477"/>
    <x v="11"/>
    <s v="Marine"/>
    <x v="0"/>
    <x v="0"/>
    <s v="8-1"/>
    <s v="Area 8-1: Skagit Bay-Saratoga Psg."/>
    <s v="Area 8-1: Skagit Bay-Saratoga Psg."/>
    <s v="NA"/>
    <x v="2"/>
    <s v="Pierce"/>
    <s v="07Pierce"/>
    <s v="South Puget Sound"/>
    <s v="02South Puget Sound"/>
    <n v="10.576354679803"/>
    <n v="10.6835790087958"/>
    <n v="10.576354679803"/>
    <n v="10.6835790087958"/>
  </r>
  <r>
    <n v="2373"/>
    <x v="11"/>
    <s v="Marine"/>
    <x v="0"/>
    <x v="0"/>
    <s v="8-1"/>
    <s v="Area 8-1: Skagit Bay-Saratoga Psg."/>
    <s v="Area 8-1: Skagit Bay-Saratoga Psg."/>
    <s v="NA"/>
    <x v="2"/>
    <s v="Skagit"/>
    <s v="02Skagit"/>
    <s v="North Puget Sound"/>
    <s v="01North Puget Sound"/>
    <n v="708.61576354679801"/>
    <n v="715.79979358931598"/>
    <n v="708.61576354679801"/>
    <n v="715.79979358931598"/>
  </r>
  <r>
    <n v="2374"/>
    <x v="11"/>
    <s v="Marine"/>
    <x v="0"/>
    <x v="0"/>
    <s v="8-1"/>
    <s v="Area 8-1: Skagit Bay-Saratoga Psg."/>
    <s v="Area 8-1: Skagit Bay-Saratoga Psg."/>
    <s v="NA"/>
    <x v="2"/>
    <s v="Snohomish"/>
    <s v="03Snohomish"/>
    <s v="North Puget Sound"/>
    <s v="01North Puget Sound"/>
    <n v="232.679802955665"/>
    <n v="235.03873819350699"/>
    <n v="232.679802955665"/>
    <n v="235.03873819350699"/>
  </r>
  <r>
    <n v="2372"/>
    <x v="11"/>
    <s v="Marine"/>
    <x v="0"/>
    <x v="0"/>
    <s v="8-1"/>
    <s v="Area 8-1: Skagit Bay-Saratoga Psg."/>
    <s v="Area 8-1: Skagit Bay-Saratoga Psg."/>
    <s v="NA"/>
    <x v="2"/>
    <s v="Whatcom"/>
    <s v="01Whatcom"/>
    <s v="North Puget Sound"/>
    <s v="01North Puget Sound"/>
    <n v="105.76354679803001"/>
    <n v="106.835790087958"/>
    <n v="105.76354679803001"/>
    <n v="106.835790087958"/>
  </r>
  <r>
    <n v="2599"/>
    <x v="0"/>
    <s v="Marine"/>
    <x v="0"/>
    <x v="0"/>
    <s v="8-2"/>
    <s v="Area 8-2: Port Susan-Port Gardner"/>
    <s v="Area 8-2: Port Susan-Port Gardner"/>
    <s v="NA"/>
    <x v="2"/>
    <s v="Island"/>
    <s v="04Island"/>
    <s v="North Puget Sound"/>
    <s v="01North Puget Sound"/>
    <n v="78.050761421319805"/>
    <n v="2145.7600000000002"/>
    <n v="78.050761421319805"/>
    <n v="2145.7600000000002"/>
  </r>
  <r>
    <n v="2665"/>
    <x v="0"/>
    <s v="Marine"/>
    <x v="0"/>
    <x v="0"/>
    <s v="8-2"/>
    <s v="Area 8-2: Port Susan-Port Gardner"/>
    <s v="Area 8-2: Port Susan-Port Gardner"/>
    <s v="NA"/>
    <x v="2"/>
    <s v="King"/>
    <s v="06King"/>
    <s v="South Puget Sound"/>
    <s v="02South Puget Sound"/>
    <n v="82.928934010152304"/>
    <n v="2279.87"/>
    <n v="82.928934010152304"/>
    <n v="2279.87"/>
  </r>
  <r>
    <n v="2714"/>
    <x v="0"/>
    <s v="Marine"/>
    <x v="0"/>
    <x v="0"/>
    <s v="8-2"/>
    <s v="Area 8-2: Port Susan-Port Gardner"/>
    <s v="Area 8-2: Port Susan-Port Gardner"/>
    <s v="NA"/>
    <x v="2"/>
    <s v="Kitsap"/>
    <s v="10Kitsap"/>
    <s v="South Puget Sound"/>
    <s v="02South Puget Sound"/>
    <n v="4.8781725888324896"/>
    <n v="134.11000000000001"/>
    <n v="4.8781725888324896"/>
    <n v="134.11000000000001"/>
  </r>
  <r>
    <n v="2715"/>
    <x v="0"/>
    <s v="Marine"/>
    <x v="0"/>
    <x v="0"/>
    <s v="8-2"/>
    <s v="Area 8-2: Port Susan-Port Gardner"/>
    <s v="Area 8-2: Port Susan-Port Gardner"/>
    <s v="NA"/>
    <x v="2"/>
    <s v="Other"/>
    <s v="20Other"/>
    <s v="Non Puget Sound"/>
    <s v="07Non Puget Sound"/>
    <n v="53.659898477157398"/>
    <n v="1475.21"/>
    <n v="53.659898477157398"/>
    <n v="1475.21"/>
  </r>
  <r>
    <n v="2666"/>
    <x v="0"/>
    <s v="Marine"/>
    <x v="0"/>
    <x v="0"/>
    <s v="8-2"/>
    <s v="Area 8-2: Port Susan-Port Gardner"/>
    <s v="Area 8-2: Port Susan-Port Gardner"/>
    <s v="NA"/>
    <x v="2"/>
    <s v="Pierce"/>
    <s v="07Pierce"/>
    <s v="South Puget Sound"/>
    <s v="02South Puget Sound"/>
    <n v="24.3908629441624"/>
    <n v="670.55"/>
    <n v="24.3908629441624"/>
    <n v="670.55"/>
  </r>
  <r>
    <n v="2597"/>
    <x v="0"/>
    <s v="Marine"/>
    <x v="0"/>
    <x v="0"/>
    <s v="8-2"/>
    <s v="Area 8-2: Port Susan-Port Gardner"/>
    <s v="Area 8-2: Port Susan-Port Gardner"/>
    <s v="NA"/>
    <x v="2"/>
    <s v="Skagit"/>
    <s v="02Skagit"/>
    <s v="North Puget Sound"/>
    <s v="01North Puget Sound"/>
    <n v="24.3908629441624"/>
    <n v="670.55"/>
    <n v="24.3908629441624"/>
    <n v="670.55"/>
  </r>
  <r>
    <n v="2598"/>
    <x v="0"/>
    <s v="Marine"/>
    <x v="0"/>
    <x v="0"/>
    <s v="8-2"/>
    <s v="Area 8-2: Port Susan-Port Gardner"/>
    <s v="Area 8-2: Port Susan-Port Gardner"/>
    <s v="NA"/>
    <x v="2"/>
    <s v="Snohomish"/>
    <s v="03Snohomish"/>
    <s v="North Puget Sound"/>
    <s v="01North Puget Sound"/>
    <n v="668.30964467005094"/>
    <n v="18373.07"/>
    <n v="668.30964467005094"/>
    <n v="18373.07"/>
  </r>
  <r>
    <n v="2713"/>
    <x v="0"/>
    <s v="Marine"/>
    <x v="0"/>
    <x v="0"/>
    <s v="8-2"/>
    <s v="Area 8-2: Port Susan-Port Gardner"/>
    <s v="Area 8-2: Port Susan-Port Gardner"/>
    <s v="NA"/>
    <x v="2"/>
    <s v="Thurston"/>
    <s v="08Thurston"/>
    <s v="South Puget Sound"/>
    <s v="02South Puget Sound"/>
    <n v="14.634517766497501"/>
    <n v="402.33"/>
    <n v="14.634517766497501"/>
    <n v="402.33"/>
  </r>
  <r>
    <n v="2596"/>
    <x v="0"/>
    <s v="Marine"/>
    <x v="0"/>
    <x v="0"/>
    <s v="8-2"/>
    <s v="Area 8-2: Port Susan-Port Gardner"/>
    <s v="Area 8-2: Port Susan-Port Gardner"/>
    <s v="NA"/>
    <x v="2"/>
    <s v="Whatcom"/>
    <s v="01Whatcom"/>
    <s v="North Puget Sound"/>
    <s v="01North Puget Sound"/>
    <n v="9.7563451776649792"/>
    <n v="268.22000000000003"/>
    <n v="9.7563451776649792"/>
    <n v="268.22000000000003"/>
  </r>
  <r>
    <n v="3461"/>
    <x v="1"/>
    <s v="Marine"/>
    <x v="0"/>
    <x v="0"/>
    <s v="8-2"/>
    <s v="Area 8-2: Port Susan-Port Gardner"/>
    <s v="Area 8-2: Port Susan-Port Gardner"/>
    <s v="NA"/>
    <x v="2"/>
    <s v="Clallam"/>
    <s v="11Clallam"/>
    <s v="Strait of Juan de Fuca"/>
    <s v="03Strait of Juan de Fuca"/>
    <n v="74.793311147285394"/>
    <n v="140.130841202863"/>
    <n v="74.793311147285394"/>
    <n v="140.130841202863"/>
  </r>
  <r>
    <n v="3061"/>
    <x v="1"/>
    <s v="Marine"/>
    <x v="0"/>
    <x v="0"/>
    <s v="8-2"/>
    <s v="Area 8-2: Port Susan-Port Gardner"/>
    <s v="Area 8-2: Port Susan-Port Gardner"/>
    <s v="NA"/>
    <x v="2"/>
    <s v="Island"/>
    <s v="04Island"/>
    <s v="North Puget Sound"/>
    <s v="01North Puget Sound"/>
    <n v="1570.65953409299"/>
    <n v="2942.7476652601299"/>
    <n v="1570.65953409299"/>
    <n v="2942.7476652601299"/>
  </r>
  <r>
    <n v="3282"/>
    <x v="1"/>
    <s v="Marine"/>
    <x v="0"/>
    <x v="0"/>
    <s v="8-2"/>
    <s v="Area 8-2: Port Susan-Port Gardner"/>
    <s v="Area 8-2: Port Susan-Port Gardner"/>
    <s v="NA"/>
    <x v="2"/>
    <s v="King"/>
    <s v="06King"/>
    <s v="South Puget Sound"/>
    <s v="02South Puget Sound"/>
    <n v="3854.7321898985601"/>
    <n v="7222.1279696860202"/>
    <n v="3854.7321898985601"/>
    <n v="7222.1279696860202"/>
  </r>
  <r>
    <n v="3380"/>
    <x v="1"/>
    <s v="Marine"/>
    <x v="0"/>
    <x v="0"/>
    <s v="8-2"/>
    <s v="Area 8-2: Port Susan-Port Gardner"/>
    <s v="Area 8-2: Port Susan-Port Gardner"/>
    <s v="NA"/>
    <x v="2"/>
    <s v="Kitsap"/>
    <s v="10Kitsap"/>
    <s v="South Puget Sound"/>
    <s v="02South Puget Sound"/>
    <n v="201.366606934999"/>
    <n v="377.27534170001599"/>
    <n v="201.366606934999"/>
    <n v="377.27534170001599"/>
  </r>
  <r>
    <n v="3379"/>
    <x v="1"/>
    <s v="Marine"/>
    <x v="0"/>
    <x v="0"/>
    <s v="8-2"/>
    <s v="Area 8-2: Port Susan-Port Gardner"/>
    <s v="Area 8-2: Port Susan-Port Gardner"/>
    <s v="NA"/>
    <x v="2"/>
    <s v="Mason"/>
    <s v="09Mason"/>
    <s v="South Puget Sound"/>
    <s v="02South Puget Sound"/>
    <n v="23.013326506857101"/>
    <n v="43.117181908573301"/>
    <n v="23.013326506857101"/>
    <n v="43.117181908573301"/>
  </r>
  <r>
    <n v="3503"/>
    <x v="1"/>
    <s v="Marine"/>
    <x v="0"/>
    <x v="0"/>
    <s v="8-2"/>
    <s v="Area 8-2: Port Susan-Port Gardner"/>
    <s v="Area 8-2: Port Susan-Port Gardner"/>
    <s v="NA"/>
    <x v="2"/>
    <s v="Other"/>
    <s v="20Other"/>
    <s v="Non Puget Sound"/>
    <s v="07Non Puget Sound"/>
    <n v="2157.49936001785"/>
    <n v="4042.2358039287401"/>
    <n v="2157.49936001785"/>
    <n v="4042.2358039287401"/>
  </r>
  <r>
    <n v="3283"/>
    <x v="1"/>
    <s v="Marine"/>
    <x v="0"/>
    <x v="0"/>
    <s v="8-2"/>
    <s v="Area 8-2: Port Susan-Port Gardner"/>
    <s v="Area 8-2: Port Susan-Port Gardner"/>
    <s v="NA"/>
    <x v="2"/>
    <s v="Pierce"/>
    <s v="07Pierce"/>
    <s v="South Puget Sound"/>
    <s v="02South Puget Sound"/>
    <n v="373.96655573642698"/>
    <n v="700.65420601431504"/>
    <n v="373.96655573642698"/>
    <n v="700.65420601431504"/>
  </r>
  <r>
    <n v="3062"/>
    <x v="1"/>
    <s v="Marine"/>
    <x v="0"/>
    <x v="0"/>
    <s v="8-2"/>
    <s v="Area 8-2: Port Susan-Port Gardner"/>
    <s v="Area 8-2: Port Susan-Port Gardner"/>
    <s v="NA"/>
    <x v="2"/>
    <s v="San Juan"/>
    <s v="05San Juan"/>
    <s v="North Puget Sound"/>
    <s v="01North Puget Sound"/>
    <n v="17.259994880142798"/>
    <n v="32.33788643143"/>
    <n v="17.259994880142798"/>
    <n v="32.33788643143"/>
  </r>
  <r>
    <n v="2944"/>
    <x v="1"/>
    <s v="Marine"/>
    <x v="0"/>
    <x v="0"/>
    <s v="8-2"/>
    <s v="Area 8-2: Port Susan-Port Gardner"/>
    <s v="Area 8-2: Port Susan-Port Gardner"/>
    <s v="NA"/>
    <x v="2"/>
    <s v="Skagit"/>
    <s v="02Skagit"/>
    <s v="North Puget Sound"/>
    <s v="01North Puget Sound"/>
    <n v="224.379933441856"/>
    <n v="420.39252360858899"/>
    <n v="224.379933441856"/>
    <n v="420.39252360858899"/>
  </r>
  <r>
    <n v="3060"/>
    <x v="1"/>
    <s v="Marine"/>
    <x v="0"/>
    <x v="0"/>
    <s v="8-2"/>
    <s v="Area 8-2: Port Susan-Port Gardner"/>
    <s v="Area 8-2: Port Susan-Port Gardner"/>
    <s v="NA"/>
    <x v="2"/>
    <s v="Snohomish"/>
    <s v="03Snohomish"/>
    <s v="North Puget Sound"/>
    <s v="01North Puget Sound"/>
    <n v="15234.8221475394"/>
    <n v="28543.5744234755"/>
    <n v="15234.8221475394"/>
    <n v="28543.5744234755"/>
  </r>
  <r>
    <n v="3378"/>
    <x v="1"/>
    <s v="Marine"/>
    <x v="0"/>
    <x v="0"/>
    <s v="8-2"/>
    <s v="Area 8-2: Port Susan-Port Gardner"/>
    <s v="Area 8-2: Port Susan-Port Gardner"/>
    <s v="NA"/>
    <x v="2"/>
    <s v="Thurston"/>
    <s v="08Thurston"/>
    <s v="South Puget Sound"/>
    <s v="02South Puget Sound"/>
    <n v="40.273321386999903"/>
    <n v="75.455068340003194"/>
    <n v="40.273321386999903"/>
    <n v="75.455068340003194"/>
  </r>
  <r>
    <n v="2943"/>
    <x v="1"/>
    <s v="Marine"/>
    <x v="0"/>
    <x v="0"/>
    <s v="8-2"/>
    <s v="Area 8-2: Port Susan-Port Gardner"/>
    <s v="Area 8-2: Port Susan-Port Gardner"/>
    <s v="NA"/>
    <x v="2"/>
    <s v="Whatcom"/>
    <s v="01Whatcom"/>
    <s v="North Puget Sound"/>
    <s v="01North Puget Sound"/>
    <n v="207.11993856171401"/>
    <n v="388.05463717715901"/>
    <n v="207.11993856171401"/>
    <n v="388.05463717715901"/>
  </r>
  <r>
    <n v="2895"/>
    <x v="2"/>
    <s v="Marine"/>
    <x v="0"/>
    <x v="0"/>
    <s v="8-2"/>
    <s v="Area 8-2: Port Susan-Port Gardner"/>
    <s v="Area 8-2: Port Susan-Port Gardner"/>
    <s v="NA"/>
    <x v="2"/>
    <s v="Clallam"/>
    <s v="11Clallam"/>
    <s v="Strait of Juan de Fuca"/>
    <s v="03Strait of Juan de Fuca"/>
    <n v="77.314028314028306"/>
    <n v="232.74087945087999"/>
    <n v="77.314028314028306"/>
    <n v="232.74087945087999"/>
  </r>
  <r>
    <n v="2183"/>
    <x v="2"/>
    <s v="Marine"/>
    <x v="0"/>
    <x v="0"/>
    <s v="8-2"/>
    <s v="Area 8-2: Port Susan-Port Gardner"/>
    <s v="Area 8-2: Port Susan-Port Gardner"/>
    <s v="NA"/>
    <x v="2"/>
    <s v="Island"/>
    <s v="04Island"/>
    <s v="North Puget Sound"/>
    <s v="01North Puget Sound"/>
    <n v="921.82110682110704"/>
    <n v="2774.9874088374099"/>
    <n v="921.82110682110704"/>
    <n v="2774.9874088374099"/>
  </r>
  <r>
    <n v="2984"/>
    <x v="2"/>
    <s v="Marine"/>
    <x v="0"/>
    <x v="0"/>
    <s v="8-2"/>
    <s v="Area 8-2: Port Susan-Port Gardner"/>
    <s v="Area 8-2: Port Susan-Port Gardner"/>
    <s v="NA"/>
    <x v="2"/>
    <s v="Jefferson"/>
    <s v="12Jefferson"/>
    <s v="Strait of Juan de Fuca"/>
    <s v="03Strait of Juan de Fuca"/>
    <n v="5.9472329472329504"/>
    <n v="17.903144573144601"/>
    <n v="5.9472329472329504"/>
    <n v="17.903144573144601"/>
  </r>
  <r>
    <n v="2419"/>
    <x v="2"/>
    <s v="Marine"/>
    <x v="0"/>
    <x v="0"/>
    <s v="8-2"/>
    <s v="Area 8-2: Port Susan-Port Gardner"/>
    <s v="Area 8-2: Port Susan-Port Gardner"/>
    <s v="NA"/>
    <x v="2"/>
    <s v="King"/>
    <s v="06King"/>
    <s v="South Puget Sound"/>
    <s v="02South Puget Sound"/>
    <n v="1694.9613899613901"/>
    <n v="5102.3962033462103"/>
    <n v="1694.9613899613901"/>
    <n v="5102.3962033462103"/>
  </r>
  <r>
    <n v="2652"/>
    <x v="2"/>
    <s v="Marine"/>
    <x v="0"/>
    <x v="0"/>
    <s v="8-2"/>
    <s v="Area 8-2: Port Susan-Port Gardner"/>
    <s v="Area 8-2: Port Susan-Port Gardner"/>
    <s v="NA"/>
    <x v="2"/>
    <s v="Kitsap"/>
    <s v="10Kitsap"/>
    <s v="South Puget Sound"/>
    <s v="02South Puget Sound"/>
    <n v="89.208494208494201"/>
    <n v="268.54716859716899"/>
    <n v="89.208494208494201"/>
    <n v="268.54716859716899"/>
  </r>
  <r>
    <n v="2651"/>
    <x v="2"/>
    <s v="Marine"/>
    <x v="0"/>
    <x v="0"/>
    <s v="8-2"/>
    <s v="Area 8-2: Port Susan-Port Gardner"/>
    <s v="Area 8-2: Port Susan-Port Gardner"/>
    <s v="NA"/>
    <x v="2"/>
    <s v="Mason"/>
    <s v="09Mason"/>
    <s v="South Puget Sound"/>
    <s v="02South Puget Sound"/>
    <n v="23.788931788931801"/>
    <n v="71.612578292578306"/>
    <n v="23.788931788931801"/>
    <n v="71.612578292578306"/>
  </r>
  <r>
    <n v="2985"/>
    <x v="2"/>
    <s v="Marine"/>
    <x v="0"/>
    <x v="0"/>
    <s v="8-2"/>
    <s v="Area 8-2: Port Susan-Port Gardner"/>
    <s v="Area 8-2: Port Susan-Port Gardner"/>
    <s v="NA"/>
    <x v="2"/>
    <s v="Other"/>
    <s v="20Other"/>
    <s v="Non Puget Sound"/>
    <s v="07Non Puget Sound"/>
    <n v="487.673101673102"/>
    <n v="1468.05785499786"/>
    <n v="487.673101673102"/>
    <n v="1468.05785499786"/>
  </r>
  <r>
    <n v="2531"/>
    <x v="2"/>
    <s v="Marine"/>
    <x v="0"/>
    <x v="0"/>
    <s v="8-2"/>
    <s v="Area 8-2: Port Susan-Port Gardner"/>
    <s v="Area 8-2: Port Susan-Port Gardner"/>
    <s v="NA"/>
    <x v="2"/>
    <s v="Pierce"/>
    <s v="07Pierce"/>
    <s v="South Puget Sound"/>
    <s v="02South Puget Sound"/>
    <n v="166.52252252252299"/>
    <n v="501.28804804804798"/>
    <n v="166.52252252252299"/>
    <n v="501.28804804804798"/>
  </r>
  <r>
    <n v="2418"/>
    <x v="2"/>
    <s v="Marine"/>
    <x v="0"/>
    <x v="0"/>
    <s v="8-2"/>
    <s v="Area 8-2: Port Susan-Port Gardner"/>
    <s v="Area 8-2: Port Susan-Port Gardner"/>
    <s v="NA"/>
    <x v="2"/>
    <s v="San Juan"/>
    <s v="05San Juan"/>
    <s v="North Puget Sound"/>
    <s v="01North Puget Sound"/>
    <n v="11.894465894465901"/>
    <n v="35.806289146289203"/>
    <n v="11.894465894465901"/>
    <n v="35.806289146289203"/>
  </r>
  <r>
    <n v="2042"/>
    <x v="2"/>
    <s v="Marine"/>
    <x v="0"/>
    <x v="0"/>
    <s v="8-2"/>
    <s v="Area 8-2: Port Susan-Port Gardner"/>
    <s v="Area 8-2: Port Susan-Port Gardner"/>
    <s v="NA"/>
    <x v="2"/>
    <s v="Skagit"/>
    <s v="02Skagit"/>
    <s v="North Puget Sound"/>
    <s v="01North Puget Sound"/>
    <n v="178.416988416988"/>
    <n v="537.09433719433696"/>
    <n v="178.416988416988"/>
    <n v="537.09433719433696"/>
  </r>
  <r>
    <n v="2182"/>
    <x v="2"/>
    <s v="Marine"/>
    <x v="0"/>
    <x v="0"/>
    <s v="8-2"/>
    <s v="Area 8-2: Port Susan-Port Gardner"/>
    <s v="Area 8-2: Port Susan-Port Gardner"/>
    <s v="NA"/>
    <x v="2"/>
    <s v="Snohomish"/>
    <s v="03Snohomish"/>
    <s v="North Puget Sound"/>
    <s v="01North Puget Sound"/>
    <n v="10140.0321750322"/>
    <n v="30524.861497211499"/>
    <n v="10140.0321750322"/>
    <n v="30524.861497211499"/>
  </r>
  <r>
    <n v="2532"/>
    <x v="2"/>
    <s v="Marine"/>
    <x v="0"/>
    <x v="0"/>
    <s v="8-2"/>
    <s v="Area 8-2: Port Susan-Port Gardner"/>
    <s v="Area 8-2: Port Susan-Port Gardner"/>
    <s v="NA"/>
    <x v="2"/>
    <s v="Thurston"/>
    <s v="08Thurston"/>
    <s v="South Puget Sound"/>
    <s v="02South Puget Sound"/>
    <n v="5.9472329472329504"/>
    <n v="17.903144573144601"/>
    <n v="5.9472329472329504"/>
    <n v="17.903144573144601"/>
  </r>
  <r>
    <n v="2041"/>
    <x v="2"/>
    <s v="Marine"/>
    <x v="0"/>
    <x v="0"/>
    <s v="8-2"/>
    <s v="Area 8-2: Port Susan-Port Gardner"/>
    <s v="Area 8-2: Port Susan-Port Gardner"/>
    <s v="NA"/>
    <x v="2"/>
    <s v="Whatcom"/>
    <s v="01Whatcom"/>
    <s v="North Puget Sound"/>
    <s v="01North Puget Sound"/>
    <n v="59.472329472329498"/>
    <n v="179.03144573144601"/>
    <n v="59.472329472329498"/>
    <n v="179.03144573144601"/>
  </r>
  <r>
    <n v="3318"/>
    <x v="3"/>
    <s v="Marine"/>
    <x v="0"/>
    <x v="0"/>
    <s v="8-2"/>
    <s v="Area 8-2: Port Susan-Port Gardner"/>
    <s v="Area 8-2: Port Susan-Port Gardner"/>
    <s v="NA"/>
    <x v="2"/>
    <s v="Clallam"/>
    <s v="11Clallam"/>
    <s v="Strait of Juan de Fuca"/>
    <s v="03Strait of Juan de Fuca"/>
    <n v="32.446105919003102"/>
    <n v="49.215115264797497"/>
    <n v="32.446105919003102"/>
    <n v="49.215115264797497"/>
  </r>
  <r>
    <n v="3225"/>
    <x v="3"/>
    <s v="Marine"/>
    <x v="0"/>
    <x v="0"/>
    <s v="8-2"/>
    <s v="Area 8-2: Port Susan-Port Gardner"/>
    <s v="Area 8-2: Port Susan-Port Gardner"/>
    <s v="NA"/>
    <x v="2"/>
    <s v="Island"/>
    <s v="04Island"/>
    <s v="North Puget Sound"/>
    <s v="01North Puget Sound"/>
    <n v="1643.93603322949"/>
    <n v="2493.5658400830698"/>
    <n v="1643.93603322949"/>
    <n v="2493.5658400830698"/>
  </r>
  <r>
    <n v="3319"/>
    <x v="3"/>
    <s v="Marine"/>
    <x v="0"/>
    <x v="0"/>
    <s v="8-2"/>
    <s v="Area 8-2: Port Susan-Port Gardner"/>
    <s v="Area 8-2: Port Susan-Port Gardner"/>
    <s v="NA"/>
    <x v="2"/>
    <s v="Jefferson"/>
    <s v="12Jefferson"/>
    <s v="Strait of Juan de Fuca"/>
    <s v="03Strait of Juan de Fuca"/>
    <n v="21.630737279335399"/>
    <n v="32.810076843198303"/>
    <n v="21.630737279335399"/>
    <n v="32.810076843198303"/>
  </r>
  <r>
    <n v="3226"/>
    <x v="3"/>
    <s v="Marine"/>
    <x v="0"/>
    <x v="0"/>
    <s v="8-2"/>
    <s v="Area 8-2: Port Susan-Port Gardner"/>
    <s v="Area 8-2: Port Susan-Port Gardner"/>
    <s v="NA"/>
    <x v="2"/>
    <s v="King"/>
    <s v="06King"/>
    <s v="South Puget Sound"/>
    <s v="02South Puget Sound"/>
    <n v="3439.2872274143301"/>
    <n v="5216.8022180685402"/>
    <n v="3439.2872274143301"/>
    <n v="5216.8022180685402"/>
  </r>
  <r>
    <n v="3314"/>
    <x v="3"/>
    <s v="Marine"/>
    <x v="0"/>
    <x v="0"/>
    <s v="8-2"/>
    <s v="Area 8-2: Port Susan-Port Gardner"/>
    <s v="Area 8-2: Port Susan-Port Gardner"/>
    <s v="NA"/>
    <x v="2"/>
    <s v="Kitsap"/>
    <s v="10Kitsap"/>
    <s v="South Puget Sound"/>
    <s v="02South Puget Sound"/>
    <n v="64.892211838006304"/>
    <n v="98.430230529594994"/>
    <n v="64.892211838006304"/>
    <n v="98.430230529594994"/>
  </r>
  <r>
    <n v="3313"/>
    <x v="3"/>
    <s v="Marine"/>
    <x v="0"/>
    <x v="0"/>
    <s v="8-2"/>
    <s v="Area 8-2: Port Susan-Port Gardner"/>
    <s v="Area 8-2: Port Susan-Port Gardner"/>
    <s v="NA"/>
    <x v="2"/>
    <s v="Mason"/>
    <s v="09Mason"/>
    <s v="South Puget Sound"/>
    <s v="02South Puget Sound"/>
    <n v="37.853790238837"/>
    <n v="57.417634475597097"/>
    <n v="37.853790238837"/>
    <n v="57.417634475597097"/>
  </r>
  <r>
    <n v="3320"/>
    <x v="3"/>
    <s v="Marine"/>
    <x v="0"/>
    <x v="0"/>
    <s v="8-2"/>
    <s v="Area 8-2: Port Susan-Port Gardner"/>
    <s v="Area 8-2: Port Susan-Port Gardner"/>
    <s v="NA"/>
    <x v="2"/>
    <s v="Other"/>
    <s v="20Other"/>
    <s v="Non Puget Sound"/>
    <s v="07Non Puget Sound"/>
    <n v="1892.68951194185"/>
    <n v="2870.8817237798498"/>
    <n v="1892.68951194185"/>
    <n v="2870.8817237798498"/>
  </r>
  <r>
    <n v="3311"/>
    <x v="3"/>
    <s v="Marine"/>
    <x v="0"/>
    <x v="0"/>
    <s v="8-2"/>
    <s v="Area 8-2: Port Susan-Port Gardner"/>
    <s v="Area 8-2: Port Susan-Port Gardner"/>
    <s v="NA"/>
    <x v="2"/>
    <s v="Pierce"/>
    <s v="07Pierce"/>
    <s v="South Puget Sound"/>
    <s v="02South Puget Sound"/>
    <n v="178.453582554517"/>
    <n v="270.68313395638597"/>
    <n v="178.453582554517"/>
    <n v="270.68313395638597"/>
  </r>
  <r>
    <n v="3223"/>
    <x v="3"/>
    <s v="Marine"/>
    <x v="0"/>
    <x v="0"/>
    <s v="8-2"/>
    <s v="Area 8-2: Port Susan-Port Gardner"/>
    <s v="Area 8-2: Port Susan-Port Gardner"/>
    <s v="NA"/>
    <x v="2"/>
    <s v="Skagit"/>
    <s v="02Skagit"/>
    <s v="North Puget Sound"/>
    <s v="01North Puget Sound"/>
    <n v="270.384215991693"/>
    <n v="410.12596053997902"/>
    <n v="270.384215991693"/>
    <n v="410.12596053997902"/>
  </r>
  <r>
    <n v="3224"/>
    <x v="3"/>
    <s v="Marine"/>
    <x v="0"/>
    <x v="0"/>
    <s v="8-2"/>
    <s v="Area 8-2: Port Susan-Port Gardner"/>
    <s v="Area 8-2: Port Susan-Port Gardner"/>
    <s v="NA"/>
    <x v="2"/>
    <s v="Snohomish"/>
    <s v="03Snohomish"/>
    <s v="North Puget Sound"/>
    <s v="01North Puget Sound"/>
    <n v="18137.3732087227"/>
    <n v="27511.2494330218"/>
    <n v="18137.3732087227"/>
    <n v="27511.2494330218"/>
  </r>
  <r>
    <n v="3312"/>
    <x v="3"/>
    <s v="Marine"/>
    <x v="0"/>
    <x v="0"/>
    <s v="8-2"/>
    <s v="Area 8-2: Port Susan-Port Gardner"/>
    <s v="Area 8-2: Port Susan-Port Gardner"/>
    <s v="NA"/>
    <x v="2"/>
    <s v="Thurston"/>
    <s v="08Thurston"/>
    <s v="South Puget Sound"/>
    <s v="02South Puget Sound"/>
    <n v="91.930633437175501"/>
    <n v="139.44282658359299"/>
    <n v="91.930633437175501"/>
    <n v="139.44282658359299"/>
  </r>
  <r>
    <n v="3222"/>
    <x v="3"/>
    <s v="Marine"/>
    <x v="0"/>
    <x v="0"/>
    <s v="8-2"/>
    <s v="Area 8-2: Port Susan-Port Gardner"/>
    <s v="Area 8-2: Port Susan-Port Gardner"/>
    <s v="NA"/>
    <x v="2"/>
    <s v="Whatcom"/>
    <s v="01Whatcom"/>
    <s v="North Puget Sound"/>
    <s v="01North Puget Sound"/>
    <n v="227.12274143302199"/>
    <n v="344.50580685358301"/>
    <n v="227.12274143302199"/>
    <n v="344.50580685358301"/>
  </r>
  <r>
    <n v="3627"/>
    <x v="4"/>
    <s v="Marine"/>
    <x v="0"/>
    <x v="0"/>
    <s v="8-2"/>
    <s v="Area 8-2: Port Susan-Port Gardner"/>
    <s v="Area 8-2: Port Susan-Port Gardner"/>
    <s v="NA"/>
    <x v="2"/>
    <s v="Island"/>
    <s v="04Island"/>
    <s v="North Puget Sound"/>
    <s v="01North Puget Sound"/>
    <n v="913.56482183472303"/>
    <n v="4369.7598786959798"/>
    <n v="913.56482183472303"/>
    <n v="4369.7598786959798"/>
  </r>
  <r>
    <n v="3629"/>
    <x v="4"/>
    <s v="Marine"/>
    <x v="0"/>
    <x v="0"/>
    <s v="8-2"/>
    <s v="Area 8-2: Port Susan-Port Gardner"/>
    <s v="Area 8-2: Port Susan-Port Gardner"/>
    <s v="NA"/>
    <x v="2"/>
    <s v="King"/>
    <s v="06King"/>
    <s v="South Puget Sound"/>
    <s v="02South Puget Sound"/>
    <n v="1141.9560272934"/>
    <n v="5462.1998483699799"/>
    <n v="1141.9560272934"/>
    <n v="5462.1998483699799"/>
  </r>
  <r>
    <n v="3690"/>
    <x v="4"/>
    <s v="Marine"/>
    <x v="0"/>
    <x v="0"/>
    <s v="8-2"/>
    <s v="Area 8-2: Port Susan-Port Gardner"/>
    <s v="Area 8-2: Port Susan-Port Gardner"/>
    <s v="NA"/>
    <x v="2"/>
    <s v="Kitsap"/>
    <s v="10Kitsap"/>
    <s v="South Puget Sound"/>
    <s v="02South Puget Sound"/>
    <n v="42.823351023502703"/>
    <n v="204.83249431387401"/>
    <n v="42.823351023502703"/>
    <n v="204.83249431387401"/>
  </r>
  <r>
    <n v="3713"/>
    <x v="4"/>
    <s v="Marine"/>
    <x v="0"/>
    <x v="0"/>
    <s v="8-2"/>
    <s v="Area 8-2: Port Susan-Port Gardner"/>
    <s v="Area 8-2: Port Susan-Port Gardner"/>
    <s v="NA"/>
    <x v="2"/>
    <s v="Other"/>
    <s v="20Other"/>
    <s v="Non Puget Sound"/>
    <s v="07Non Puget Sound"/>
    <n v="556.703563305535"/>
    <n v="2662.8224260803599"/>
    <n v="556.703563305535"/>
    <n v="2662.8224260803599"/>
  </r>
  <r>
    <n v="3630"/>
    <x v="4"/>
    <s v="Marine"/>
    <x v="0"/>
    <x v="0"/>
    <s v="8-2"/>
    <s v="Area 8-2: Port Susan-Port Gardner"/>
    <s v="Area 8-2: Port Susan-Port Gardner"/>
    <s v="NA"/>
    <x v="2"/>
    <s v="Pierce"/>
    <s v="07Pierce"/>
    <s v="South Puget Sound"/>
    <s v="02South Puget Sound"/>
    <n v="164.15617892342701"/>
    <n v="785.19122820318501"/>
    <n v="164.15617892342701"/>
    <n v="785.19122820318501"/>
  </r>
  <r>
    <n v="3577"/>
    <x v="4"/>
    <s v="Marine"/>
    <x v="0"/>
    <x v="0"/>
    <s v="8-2"/>
    <s v="Area 8-2: Port Susan-Port Gardner"/>
    <s v="Area 8-2: Port Susan-Port Gardner"/>
    <s v="NA"/>
    <x v="2"/>
    <s v="Skagit"/>
    <s v="02Skagit"/>
    <s v="North Puget Sound"/>
    <s v="01North Puget Sound"/>
    <n v="149.881728582259"/>
    <n v="716.91373009855999"/>
    <n v="149.881728582259"/>
    <n v="716.91373009855999"/>
  </r>
  <r>
    <n v="3626"/>
    <x v="4"/>
    <s v="Marine"/>
    <x v="0"/>
    <x v="0"/>
    <s v="8-2"/>
    <s v="Area 8-2: Port Susan-Port Gardner"/>
    <s v="Area 8-2: Port Susan-Port Gardner"/>
    <s v="NA"/>
    <x v="2"/>
    <s v="Snohomish"/>
    <s v="03Snohomish"/>
    <s v="North Puget Sound"/>
    <s v="01North Puget Sound"/>
    <n v="6352.1304018195597"/>
    <n v="30383.486656558001"/>
    <n v="6352.1304018195597"/>
    <n v="30383.486656558001"/>
  </r>
  <r>
    <n v="3661"/>
    <x v="4"/>
    <s v="Marine"/>
    <x v="0"/>
    <x v="0"/>
    <s v="8-2"/>
    <s v="Area 8-2: Port Susan-Port Gardner"/>
    <s v="Area 8-2: Port Susan-Port Gardner"/>
    <s v="NA"/>
    <x v="2"/>
    <s v="Thurston"/>
    <s v="08Thurston"/>
    <s v="South Puget Sound"/>
    <s v="02South Puget Sound"/>
    <n v="42.823351023502703"/>
    <n v="204.83249431387401"/>
    <n v="42.823351023502703"/>
    <n v="204.83249431387401"/>
  </r>
  <r>
    <n v="3576"/>
    <x v="4"/>
    <s v="Marine"/>
    <x v="0"/>
    <x v="0"/>
    <s v="8-2"/>
    <s v="Area 8-2: Port Susan-Port Gardner"/>
    <s v="Area 8-2: Port Susan-Port Gardner"/>
    <s v="NA"/>
    <x v="2"/>
    <s v="Whatcom"/>
    <s v="01Whatcom"/>
    <s v="North Puget Sound"/>
    <s v="01North Puget Sound"/>
    <n v="49.9605761940864"/>
    <n v="238.971243366187"/>
    <n v="49.9605761940864"/>
    <n v="238.971243366187"/>
  </r>
  <r>
    <n v="1619"/>
    <x v="5"/>
    <s v="Marine"/>
    <x v="0"/>
    <x v="0"/>
    <s v="8-2"/>
    <s v="Area 8-2: Port Susan-Port Gardner"/>
    <s v="Area 8-2: Port Susan-Port Gardner"/>
    <s v="NA"/>
    <x v="2"/>
    <s v="Clallam"/>
    <s v="11Clallam"/>
    <s v="Strait of Juan de Fuca"/>
    <s v="03Strait of Juan de Fuca"/>
    <n v="100.939520730316"/>
    <n v="123.41322175732201"/>
    <n v="100.939520730316"/>
    <n v="123.41322175732201"/>
  </r>
  <r>
    <n v="1441"/>
    <x v="5"/>
    <s v="Marine"/>
    <x v="0"/>
    <x v="0"/>
    <s v="8-2"/>
    <s v="Area 8-2: Port Susan-Port Gardner"/>
    <s v="Area 8-2: Port Susan-Port Gardner"/>
    <s v="NA"/>
    <x v="2"/>
    <s v="Island"/>
    <s v="04Island"/>
    <s v="North Puget Sound"/>
    <s v="01North Puget Sound"/>
    <n v="1117.54469379992"/>
    <n v="1366.3606694560699"/>
    <n v="1117.54469379992"/>
    <n v="1366.3606694560699"/>
  </r>
  <r>
    <n v="1442"/>
    <x v="5"/>
    <s v="Marine"/>
    <x v="0"/>
    <x v="0"/>
    <s v="8-2"/>
    <s v="Area 8-2: Port Susan-Port Gardner"/>
    <s v="Area 8-2: Port Susan-Port Gardner"/>
    <s v="NA"/>
    <x v="2"/>
    <s v="King"/>
    <s v="06King"/>
    <s v="South Puget Sound"/>
    <s v="02South Puget Sound"/>
    <n v="5349.7945987067296"/>
    <n v="6540.9007531380803"/>
    <n v="5349.7945987067296"/>
    <n v="6540.9007531380803"/>
  </r>
  <r>
    <n v="1618"/>
    <x v="5"/>
    <s v="Marine"/>
    <x v="0"/>
    <x v="0"/>
    <s v="8-2"/>
    <s v="Area 8-2: Port Susan-Port Gardner"/>
    <s v="Area 8-2: Port Susan-Port Gardner"/>
    <s v="NA"/>
    <x v="2"/>
    <s v="Kitsap"/>
    <s v="10Kitsap"/>
    <s v="South Puget Sound"/>
    <s v="02South Puget Sound"/>
    <n v="158.61924686192501"/>
    <n v="193.935062761506"/>
    <n v="158.61924686192501"/>
    <n v="193.935062761506"/>
  </r>
  <r>
    <n v="1617"/>
    <x v="5"/>
    <s v="Marine"/>
    <x v="0"/>
    <x v="0"/>
    <s v="8-2"/>
    <s v="Area 8-2: Port Susan-Port Gardner"/>
    <s v="Area 8-2: Port Susan-Port Gardner"/>
    <s v="NA"/>
    <x v="2"/>
    <s v="Mason"/>
    <s v="09Mason"/>
    <s v="South Puget Sound"/>
    <s v="02South Puget Sound"/>
    <n v="64.889691898060093"/>
    <n v="79.337071129707098"/>
    <n v="64.889691898060093"/>
    <n v="79.337071129707098"/>
  </r>
  <r>
    <n v="1620"/>
    <x v="5"/>
    <s v="Marine"/>
    <x v="0"/>
    <x v="0"/>
    <s v="8-2"/>
    <s v="Area 8-2: Port Susan-Port Gardner"/>
    <s v="Area 8-2: Port Susan-Port Gardner"/>
    <s v="NA"/>
    <x v="2"/>
    <s v="Other"/>
    <s v="20Other"/>
    <s v="Non Puget Sound"/>
    <s v="07Non Puget Sound"/>
    <n v="3504.0433624952502"/>
    <n v="4284.2018410041801"/>
    <n v="3504.0433624952502"/>
    <n v="4284.2018410041801"/>
  </r>
  <r>
    <n v="1615"/>
    <x v="5"/>
    <s v="Marine"/>
    <x v="0"/>
    <x v="0"/>
    <s v="8-2"/>
    <s v="Area 8-2: Port Susan-Port Gardner"/>
    <s v="Area 8-2: Port Susan-Port Gardner"/>
    <s v="NA"/>
    <x v="2"/>
    <s v="Pierce"/>
    <s v="07Pierce"/>
    <s v="South Puget Sound"/>
    <s v="02South Puget Sound"/>
    <n v="216.29897299353399"/>
    <n v="264.45690376569002"/>
    <n v="216.29897299353399"/>
    <n v="264.45690376569002"/>
  </r>
  <r>
    <n v="1439"/>
    <x v="5"/>
    <s v="Marine"/>
    <x v="0"/>
    <x v="0"/>
    <s v="8-2"/>
    <s v="Area 8-2: Port Susan-Port Gardner"/>
    <s v="Area 8-2: Port Susan-Port Gardner"/>
    <s v="NA"/>
    <x v="2"/>
    <s v="Skagit"/>
    <s v="02Skagit"/>
    <s v="North Puget Sound"/>
    <s v="01North Puget Sound"/>
    <n v="432.59794598706702"/>
    <n v="528.91380753138105"/>
    <n v="432.59794598706702"/>
    <n v="528.91380753138105"/>
  </r>
  <r>
    <n v="1440"/>
    <x v="5"/>
    <s v="Marine"/>
    <x v="0"/>
    <x v="0"/>
    <s v="8-2"/>
    <s v="Area 8-2: Port Susan-Port Gardner"/>
    <s v="Area 8-2: Port Susan-Port Gardner"/>
    <s v="NA"/>
    <x v="2"/>
    <s v="Snohomish"/>
    <s v="03Snohomish"/>
    <s v="North Puget Sound"/>
    <s v="01North Puget Sound"/>
    <n v="26712.923164701398"/>
    <n v="32660.427615062799"/>
    <n v="26712.923164701398"/>
    <n v="32660.427615062799"/>
  </r>
  <r>
    <n v="1616"/>
    <x v="5"/>
    <s v="Marine"/>
    <x v="0"/>
    <x v="0"/>
    <s v="8-2"/>
    <s v="Area 8-2: Port Susan-Port Gardner"/>
    <s v="Area 8-2: Port Susan-Port Gardner"/>
    <s v="NA"/>
    <x v="2"/>
    <s v="Thurston"/>
    <s v="08Thurston"/>
    <s v="South Puget Sound"/>
    <s v="02South Puget Sound"/>
    <n v="79.309623430962404"/>
    <n v="96.967531380753201"/>
    <n v="79.309623430962404"/>
    <n v="96.967531380753201"/>
  </r>
  <r>
    <n v="1438"/>
    <x v="5"/>
    <s v="Marine"/>
    <x v="0"/>
    <x v="0"/>
    <s v="8-2"/>
    <s v="Area 8-2: Port Susan-Port Gardner"/>
    <s v="Area 8-2: Port Susan-Port Gardner"/>
    <s v="NA"/>
    <x v="2"/>
    <s v="Whatcom"/>
    <s v="01Whatcom"/>
    <s v="North Puget Sound"/>
    <s v="01North Puget Sound"/>
    <n v="173.03917839482699"/>
    <n v="211.56552301255201"/>
    <n v="173.03917839482699"/>
    <n v="211.56552301255201"/>
  </r>
  <r>
    <n v="2087"/>
    <x v="6"/>
    <s v="Marine"/>
    <x v="0"/>
    <x v="0"/>
    <s v="8-2"/>
    <s v="Area 8-2: Port Susan-Port Gardner"/>
    <s v="Area 8-2: Port Susan-Port Gardner"/>
    <s v="NA"/>
    <x v="2"/>
    <s v="Island"/>
    <s v="04Island"/>
    <s v="North Puget Sound"/>
    <s v="01North Puget Sound"/>
    <n v="171.45"/>
    <n v="3821.28"/>
    <n v="171.45"/>
    <n v="3821.28"/>
  </r>
  <r>
    <n v="2088"/>
    <x v="6"/>
    <s v="Marine"/>
    <x v="0"/>
    <x v="0"/>
    <s v="8-2"/>
    <s v="Area 8-2: Port Susan-Port Gardner"/>
    <s v="Area 8-2: Port Susan-Port Gardner"/>
    <s v="NA"/>
    <x v="2"/>
    <s v="King"/>
    <s v="06King"/>
    <s v="South Puget Sound"/>
    <s v="02South Puget Sound"/>
    <n v="114.3"/>
    <n v="2547.52"/>
    <n v="114.3"/>
    <n v="2547.52"/>
  </r>
  <r>
    <n v="2090"/>
    <x v="6"/>
    <s v="Marine"/>
    <x v="0"/>
    <x v="0"/>
    <s v="8-2"/>
    <s v="Area 8-2: Port Susan-Port Gardner"/>
    <s v="Area 8-2: Port Susan-Port Gardner"/>
    <s v="NA"/>
    <x v="2"/>
    <s v="Kitsap"/>
    <s v="10Kitsap"/>
    <s v="South Puget Sound"/>
    <s v="02South Puget Sound"/>
    <n v="57.15"/>
    <n v="1273.76"/>
    <n v="57.15"/>
    <n v="1273.76"/>
  </r>
  <r>
    <n v="2091"/>
    <x v="6"/>
    <s v="Marine"/>
    <x v="0"/>
    <x v="0"/>
    <s v="8-2"/>
    <s v="Area 8-2: Port Susan-Port Gardner"/>
    <s v="Area 8-2: Port Susan-Port Gardner"/>
    <s v="NA"/>
    <x v="2"/>
    <s v="Other"/>
    <s v="20Other"/>
    <s v="Non Puget Sound"/>
    <s v="07Non Puget Sound"/>
    <n v="104.77500000000001"/>
    <n v="2335.2266666666701"/>
    <n v="104.77500000000001"/>
    <n v="2335.2266666666701"/>
  </r>
  <r>
    <n v="2089"/>
    <x v="6"/>
    <s v="Marine"/>
    <x v="0"/>
    <x v="0"/>
    <s v="8-2"/>
    <s v="Area 8-2: Port Susan-Port Gardner"/>
    <s v="Area 8-2: Port Susan-Port Gardner"/>
    <s v="NA"/>
    <x v="2"/>
    <s v="Pierce"/>
    <s v="07Pierce"/>
    <s v="South Puget Sound"/>
    <s v="02South Puget Sound"/>
    <n v="9.5250000000000004"/>
    <n v="212.29333333333301"/>
    <n v="9.5250000000000004"/>
    <n v="212.29333333333301"/>
  </r>
  <r>
    <n v="2085"/>
    <x v="6"/>
    <s v="Marine"/>
    <x v="0"/>
    <x v="0"/>
    <s v="8-2"/>
    <s v="Area 8-2: Port Susan-Port Gardner"/>
    <s v="Area 8-2: Port Susan-Port Gardner"/>
    <s v="NA"/>
    <x v="2"/>
    <s v="Skagit"/>
    <s v="02Skagit"/>
    <s v="North Puget Sound"/>
    <s v="01North Puget Sound"/>
    <n v="19.05"/>
    <n v="424.58666666666699"/>
    <n v="19.05"/>
    <n v="424.58666666666699"/>
  </r>
  <r>
    <n v="2086"/>
    <x v="6"/>
    <s v="Marine"/>
    <x v="0"/>
    <x v="0"/>
    <s v="8-2"/>
    <s v="Area 8-2: Port Susan-Port Gardner"/>
    <s v="Area 8-2: Port Susan-Port Gardner"/>
    <s v="NA"/>
    <x v="2"/>
    <s v="Snohomish"/>
    <s v="03Snohomish"/>
    <s v="North Puget Sound"/>
    <s v="01North Puget Sound"/>
    <n v="657.22500000000002"/>
    <n v="14648.24"/>
    <n v="657.22500000000002"/>
    <n v="14648.24"/>
  </r>
  <r>
    <n v="2084"/>
    <x v="6"/>
    <s v="Marine"/>
    <x v="0"/>
    <x v="0"/>
    <s v="8-2"/>
    <s v="Area 8-2: Port Susan-Port Gardner"/>
    <s v="Area 8-2: Port Susan-Port Gardner"/>
    <s v="NA"/>
    <x v="2"/>
    <s v="Whatcom"/>
    <s v="01Whatcom"/>
    <s v="North Puget Sound"/>
    <s v="01North Puget Sound"/>
    <n v="9.5250000000000004"/>
    <n v="212.29333333333301"/>
    <n v="9.5250000000000004"/>
    <n v="212.29333333333301"/>
  </r>
  <r>
    <n v="2571"/>
    <x v="7"/>
    <s v="Marine"/>
    <x v="0"/>
    <x v="0"/>
    <s v="8-2"/>
    <s v="Area 8-2: Port Susan-Port Gardner"/>
    <s v="Area 8-2: Port Susan-Port Gardner"/>
    <s v="NA"/>
    <x v="2"/>
    <s v="Island"/>
    <s v="04Island"/>
    <s v="North Puget Sound"/>
    <s v="01North Puget Sound"/>
    <n v="104"/>
    <n v="386.606969152955"/>
    <n v="104"/>
    <n v="386.606969152955"/>
  </r>
  <r>
    <n v="2572"/>
    <x v="7"/>
    <s v="Marine"/>
    <x v="0"/>
    <x v="0"/>
    <s v="8-2"/>
    <s v="Area 8-2: Port Susan-Port Gardner"/>
    <s v="Area 8-2: Port Susan-Port Gardner"/>
    <s v="NA"/>
    <x v="2"/>
    <s v="King"/>
    <s v="06King"/>
    <s v="South Puget Sound"/>
    <s v="02South Puget Sound"/>
    <n v="240"/>
    <n v="892.16992881451199"/>
    <n v="240"/>
    <n v="892.16992881451199"/>
  </r>
  <r>
    <n v="2573"/>
    <x v="7"/>
    <s v="Marine"/>
    <x v="0"/>
    <x v="0"/>
    <s v="8-2"/>
    <s v="Area 8-2: Port Susan-Port Gardner"/>
    <s v="Area 8-2: Port Susan-Port Gardner"/>
    <s v="NA"/>
    <x v="2"/>
    <s v="Kitsap"/>
    <s v="10Kitsap"/>
    <s v="South Puget Sound"/>
    <s v="02South Puget Sound"/>
    <n v="8"/>
    <n v="29.7389976271504"/>
    <n v="8"/>
    <n v="29.7389976271504"/>
  </r>
  <r>
    <n v="2574"/>
    <x v="7"/>
    <s v="Marine"/>
    <x v="0"/>
    <x v="0"/>
    <s v="8-2"/>
    <s v="Area 8-2: Port Susan-Port Gardner"/>
    <s v="Area 8-2: Port Susan-Port Gardner"/>
    <s v="NA"/>
    <x v="2"/>
    <s v="Other"/>
    <s v="20Other"/>
    <s v="Non Puget Sound"/>
    <s v="07Non Puget Sound"/>
    <n v="216"/>
    <n v="802.95293593306099"/>
    <n v="216"/>
    <n v="802.95293593306099"/>
  </r>
  <r>
    <n v="2457"/>
    <x v="7"/>
    <s v="Marine"/>
    <x v="0"/>
    <x v="0"/>
    <s v="8-2"/>
    <s v="Area 8-2: Port Susan-Port Gardner"/>
    <s v="Area 8-2: Port Susan-Port Gardner"/>
    <s v="NA"/>
    <x v="2"/>
    <s v="Skagit"/>
    <s v="02Skagit"/>
    <s v="North Puget Sound"/>
    <s v="01North Puget Sound"/>
    <n v="56"/>
    <n v="208.17298339005299"/>
    <n v="56"/>
    <n v="208.17298339005299"/>
  </r>
  <r>
    <n v="2458"/>
    <x v="7"/>
    <s v="Marine"/>
    <x v="0"/>
    <x v="0"/>
    <s v="8-2"/>
    <s v="Area 8-2: Port Susan-Port Gardner"/>
    <s v="Area 8-2: Port Susan-Port Gardner"/>
    <s v="NA"/>
    <x v="2"/>
    <s v="Snohomish"/>
    <s v="03Snohomish"/>
    <s v="North Puget Sound"/>
    <s v="01North Puget Sound"/>
    <n v="856"/>
    <n v="3182.0727461050901"/>
    <n v="856"/>
    <n v="3182.0727461050901"/>
  </r>
  <r>
    <n v="2456"/>
    <x v="7"/>
    <s v="Marine"/>
    <x v="0"/>
    <x v="0"/>
    <s v="8-2"/>
    <s v="Area 8-2: Port Susan-Port Gardner"/>
    <s v="Area 8-2: Port Susan-Port Gardner"/>
    <s v="NA"/>
    <x v="2"/>
    <s v="Whatcom"/>
    <s v="01Whatcom"/>
    <s v="North Puget Sound"/>
    <s v="01North Puget Sound"/>
    <n v="16"/>
    <n v="59.477995254300801"/>
    <n v="16"/>
    <n v="59.477995254300801"/>
  </r>
  <r>
    <n v="1471"/>
    <x v="8"/>
    <s v="Marine"/>
    <x v="0"/>
    <x v="0"/>
    <s v="8-2"/>
    <s v="Area 8-2: Port Susan-Port Gardner"/>
    <s v="Area 8-2: Port Susan-Port Gardner"/>
    <s v="NA"/>
    <x v="2"/>
    <s v="Clallam"/>
    <s v="11Clallam"/>
    <s v="Strait of Juan de Fuca"/>
    <s v="03Strait of Juan de Fuca"/>
    <n v="23.1071428571429"/>
    <n v="37.379888522487299"/>
    <n v="23.1071428571429"/>
    <n v="37.379888522487299"/>
  </r>
  <r>
    <n v="1396"/>
    <x v="8"/>
    <s v="Marine"/>
    <x v="0"/>
    <x v="0"/>
    <s v="8-2"/>
    <s v="Area 8-2: Port Susan-Port Gardner"/>
    <s v="Area 8-2: Port Susan-Port Gardner"/>
    <s v="NA"/>
    <x v="2"/>
    <s v="Island"/>
    <s v="04Island"/>
    <s v="North Puget Sound"/>
    <s v="01North Puget Sound"/>
    <n v="662.40476190476204"/>
    <n v="1071.5568043113001"/>
    <n v="662.40476190476204"/>
    <n v="1071.5568043113001"/>
  </r>
  <r>
    <n v="1472"/>
    <x v="8"/>
    <s v="Marine"/>
    <x v="0"/>
    <x v="0"/>
    <s v="8-2"/>
    <s v="Area 8-2: Port Susan-Port Gardner"/>
    <s v="Area 8-2: Port Susan-Port Gardner"/>
    <s v="NA"/>
    <x v="2"/>
    <s v="Jefferson"/>
    <s v="12Jefferson"/>
    <s v="Strait of Juan de Fuca"/>
    <s v="03Strait of Juan de Fuca"/>
    <n v="7.7023809523809499"/>
    <n v="12.4599628408291"/>
    <n v="7.7023809523809499"/>
    <n v="12.4599628408291"/>
  </r>
  <r>
    <n v="1397"/>
    <x v="8"/>
    <s v="Marine"/>
    <x v="0"/>
    <x v="0"/>
    <s v="8-2"/>
    <s v="Area 8-2: Port Susan-Port Gardner"/>
    <s v="Area 8-2: Port Susan-Port Gardner"/>
    <s v="NA"/>
    <x v="2"/>
    <s v="King"/>
    <s v="06King"/>
    <s v="South Puget Sound"/>
    <s v="02South Puget Sound"/>
    <n v="1478.8571428571399"/>
    <n v="2392.3128654391899"/>
    <n v="1478.8571428571399"/>
    <n v="2392.3128654391899"/>
  </r>
  <r>
    <n v="1470"/>
    <x v="8"/>
    <s v="Marine"/>
    <x v="0"/>
    <x v="0"/>
    <s v="8-2"/>
    <s v="Area 8-2: Port Susan-Port Gardner"/>
    <s v="Area 8-2: Port Susan-Port Gardner"/>
    <s v="NA"/>
    <x v="2"/>
    <s v="Kitsap"/>
    <s v="10Kitsap"/>
    <s v="South Puget Sound"/>
    <s v="02South Puget Sound"/>
    <n v="38.511904761904802"/>
    <n v="62.299814204145498"/>
    <n v="38.511904761904802"/>
    <n v="62.299814204145498"/>
  </r>
  <r>
    <n v="1473"/>
    <x v="8"/>
    <s v="Marine"/>
    <x v="0"/>
    <x v="0"/>
    <s v="8-2"/>
    <s v="Area 8-2: Port Susan-Port Gardner"/>
    <s v="Area 8-2: Port Susan-Port Gardner"/>
    <s v="NA"/>
    <x v="2"/>
    <s v="Other"/>
    <s v="20Other"/>
    <s v="Non Puget Sound"/>
    <s v="07Non Puget Sound"/>
    <n v="754.83333333333303"/>
    <n v="1221.07635840125"/>
    <n v="754.83333333333303"/>
    <n v="1221.07635840125"/>
  </r>
  <r>
    <n v="1398"/>
    <x v="8"/>
    <s v="Marine"/>
    <x v="0"/>
    <x v="0"/>
    <s v="8-2"/>
    <s v="Area 8-2: Port Susan-Port Gardner"/>
    <s v="Area 8-2: Port Susan-Port Gardner"/>
    <s v="NA"/>
    <x v="2"/>
    <s v="Pierce"/>
    <s v="07Pierce"/>
    <s v="South Puget Sound"/>
    <s v="02South Puget Sound"/>
    <n v="46.214285714285701"/>
    <n v="74.759777044974598"/>
    <n v="46.214285714285701"/>
    <n v="74.759777044974598"/>
  </r>
  <r>
    <n v="1394"/>
    <x v="8"/>
    <s v="Marine"/>
    <x v="0"/>
    <x v="0"/>
    <s v="8-2"/>
    <s v="Area 8-2: Port Susan-Port Gardner"/>
    <s v="Area 8-2: Port Susan-Port Gardner"/>
    <s v="NA"/>
    <x v="2"/>
    <s v="Skagit"/>
    <s v="02Skagit"/>
    <s v="North Puget Sound"/>
    <s v="01North Puget Sound"/>
    <n v="100.130952380952"/>
    <n v="161.979516930778"/>
    <n v="100.130952380952"/>
    <n v="161.979516930778"/>
  </r>
  <r>
    <n v="1395"/>
    <x v="8"/>
    <s v="Marine"/>
    <x v="0"/>
    <x v="0"/>
    <s v="8-2"/>
    <s v="Area 8-2: Port Susan-Port Gardner"/>
    <s v="Area 8-2: Port Susan-Port Gardner"/>
    <s v="NA"/>
    <x v="2"/>
    <s v="Snohomish"/>
    <s v="03Snohomish"/>
    <s v="North Puget Sound"/>
    <s v="01North Puget Sound"/>
    <n v="8387.8928571428605"/>
    <n v="13568.8995336629"/>
    <n v="8387.8928571428605"/>
    <n v="13568.8995336629"/>
  </r>
  <r>
    <n v="1469"/>
    <x v="8"/>
    <s v="Marine"/>
    <x v="0"/>
    <x v="0"/>
    <s v="8-2"/>
    <s v="Area 8-2: Port Susan-Port Gardner"/>
    <s v="Area 8-2: Port Susan-Port Gardner"/>
    <s v="NA"/>
    <x v="2"/>
    <s v="Thurston"/>
    <s v="08Thurston"/>
    <s v="South Puget Sound"/>
    <s v="02South Puget Sound"/>
    <n v="7.7023809523809499"/>
    <n v="12.4599628408291"/>
    <n v="7.7023809523809499"/>
    <n v="12.4599628408291"/>
  </r>
  <r>
    <n v="1319"/>
    <x v="8"/>
    <s v="Marine"/>
    <x v="0"/>
    <x v="0"/>
    <s v="8-2"/>
    <s v="Area 8-2: Port Susan-Port Gardner"/>
    <s v="Area 8-2: Port Susan-Port Gardner"/>
    <s v="NA"/>
    <x v="2"/>
    <s v="Whatcom"/>
    <s v="01Whatcom"/>
    <s v="North Puget Sound"/>
    <s v="01North Puget Sound"/>
    <n v="138.642857142857"/>
    <n v="224.27933113492401"/>
    <n v="138.642857142857"/>
    <n v="224.27933113492401"/>
  </r>
  <r>
    <n v="1978"/>
    <x v="9"/>
    <s v="Marine"/>
    <x v="0"/>
    <x v="0"/>
    <s v="8-2"/>
    <s v="Area 8-2: Port Susan-Port Gardner"/>
    <s v="Area 8-2: Port Susan-Port Gardner"/>
    <s v="NA"/>
    <x v="2"/>
    <s v="Clallam"/>
    <s v="11Clallam"/>
    <s v="Strait of Juan de Fuca"/>
    <s v="03Strait of Juan de Fuca"/>
    <n v="69.285607755406403"/>
    <n v="73.157344870238205"/>
    <n v="69.285607755406403"/>
    <n v="73.157344870238205"/>
  </r>
  <r>
    <n v="1817"/>
    <x v="9"/>
    <s v="Marine"/>
    <x v="0"/>
    <x v="0"/>
    <s v="8-2"/>
    <s v="Area 8-2: Port Susan-Port Gardner"/>
    <s v="Area 8-2: Port Susan-Port Gardner"/>
    <s v="NA"/>
    <x v="2"/>
    <s v="Island"/>
    <s v="04Island"/>
    <s v="North Puget Sound"/>
    <s v="01North Puget Sound"/>
    <n v="623.570469798658"/>
    <n v="658.41610383214299"/>
    <n v="623.570469798658"/>
    <n v="658.41610383214299"/>
  </r>
  <r>
    <n v="1979"/>
    <x v="9"/>
    <s v="Marine"/>
    <x v="0"/>
    <x v="0"/>
    <s v="8-2"/>
    <s v="Area 8-2: Port Susan-Port Gardner"/>
    <s v="Area 8-2: Port Susan-Port Gardner"/>
    <s v="NA"/>
    <x v="2"/>
    <s v="Jefferson"/>
    <s v="12Jefferson"/>
    <s v="Strait of Juan de Fuca"/>
    <s v="03Strait of Juan de Fuca"/>
    <n v="34.642803877703201"/>
    <n v="36.578672435119103"/>
    <n v="34.642803877703201"/>
    <n v="36.578672435119103"/>
  </r>
  <r>
    <n v="1819"/>
    <x v="9"/>
    <s v="Marine"/>
    <x v="0"/>
    <x v="0"/>
    <s v="8-2"/>
    <s v="Area 8-2: Port Susan-Port Gardner"/>
    <s v="Area 8-2: Port Susan-Port Gardner"/>
    <s v="NA"/>
    <x v="2"/>
    <s v="King"/>
    <s v="06King"/>
    <s v="South Puget Sound"/>
    <s v="02South Puget Sound"/>
    <n v="1446.3370618941101"/>
    <n v="1527.15957416622"/>
    <n v="1446.3370618941101"/>
    <n v="1527.15957416622"/>
  </r>
  <r>
    <n v="1977"/>
    <x v="9"/>
    <s v="Marine"/>
    <x v="0"/>
    <x v="0"/>
    <s v="8-2"/>
    <s v="Area 8-2: Port Susan-Port Gardner"/>
    <s v="Area 8-2: Port Susan-Port Gardner"/>
    <s v="NA"/>
    <x v="2"/>
    <s v="Kitsap"/>
    <s v="10Kitsap"/>
    <s v="South Puget Sound"/>
    <s v="02South Puget Sound"/>
    <n v="95.2677106636838"/>
    <n v="100.591349196577"/>
    <n v="95.2677106636838"/>
    <n v="100.591349196577"/>
  </r>
  <r>
    <n v="1921"/>
    <x v="9"/>
    <s v="Marine"/>
    <x v="0"/>
    <x v="0"/>
    <s v="8-2"/>
    <s v="Area 8-2: Port Susan-Port Gardner"/>
    <s v="Area 8-2: Port Susan-Port Gardner"/>
    <s v="NA"/>
    <x v="2"/>
    <s v="Mason"/>
    <s v="09Mason"/>
    <s v="South Puget Sound"/>
    <s v="02South Puget Sound"/>
    <n v="8.6607009694258004"/>
    <n v="9.1446681087797703"/>
    <n v="8.6607009694258004"/>
    <n v="9.1446681087797703"/>
  </r>
  <r>
    <n v="1980"/>
    <x v="9"/>
    <s v="Marine"/>
    <x v="0"/>
    <x v="0"/>
    <s v="8-2"/>
    <s v="Area 8-2: Port Susan-Port Gardner"/>
    <s v="Area 8-2: Port Susan-Port Gardner"/>
    <s v="NA"/>
    <x v="2"/>
    <s v="Other"/>
    <s v="20Other"/>
    <s v="Non Puget Sound"/>
    <s v="07Non Puget Sound"/>
    <n v="588.92766592095495"/>
    <n v="621.83743139702403"/>
    <n v="588.92766592095495"/>
    <n v="621.83743139702403"/>
  </r>
  <r>
    <n v="1820"/>
    <x v="9"/>
    <s v="Marine"/>
    <x v="0"/>
    <x v="0"/>
    <s v="8-2"/>
    <s v="Area 8-2: Port Susan-Port Gardner"/>
    <s v="Area 8-2: Port Susan-Port Gardner"/>
    <s v="NA"/>
    <x v="2"/>
    <s v="Pierce"/>
    <s v="07Pierce"/>
    <s v="South Puget Sound"/>
    <s v="02South Puget Sound"/>
    <n v="190.535421327368"/>
    <n v="201.18269839315499"/>
    <n v="190.535421327368"/>
    <n v="201.18269839315499"/>
  </r>
  <r>
    <n v="1818"/>
    <x v="9"/>
    <s v="Marine"/>
    <x v="0"/>
    <x v="0"/>
    <s v="8-2"/>
    <s v="Area 8-2: Port Susan-Port Gardner"/>
    <s v="Area 8-2: Port Susan-Port Gardner"/>
    <s v="NA"/>
    <x v="2"/>
    <s v="San Juan"/>
    <s v="05San Juan"/>
    <s v="North Puget Sound"/>
    <s v="01North Puget Sound"/>
    <n v="17.321401938851601"/>
    <n v="18.289336217559502"/>
    <n v="17.321401938851601"/>
    <n v="18.289336217559502"/>
  </r>
  <r>
    <n v="1815"/>
    <x v="9"/>
    <s v="Marine"/>
    <x v="0"/>
    <x v="0"/>
    <s v="8-2"/>
    <s v="Area 8-2: Port Susan-Port Gardner"/>
    <s v="Area 8-2: Port Susan-Port Gardner"/>
    <s v="NA"/>
    <x v="2"/>
    <s v="Skagit"/>
    <s v="02Skagit"/>
    <s v="North Puget Sound"/>
    <s v="01North Puget Sound"/>
    <n v="199.19612229679399"/>
    <n v="210.32736650193499"/>
    <n v="199.19612229679399"/>
    <n v="210.32736650193499"/>
  </r>
  <r>
    <n v="1816"/>
    <x v="9"/>
    <s v="Marine"/>
    <x v="0"/>
    <x v="0"/>
    <s v="8-2"/>
    <s v="Area 8-2: Port Susan-Port Gardner"/>
    <s v="Area 8-2: Port Susan-Port Gardner"/>
    <s v="NA"/>
    <x v="2"/>
    <s v="Snohomish"/>
    <s v="03Snohomish"/>
    <s v="North Puget Sound"/>
    <s v="01North Puget Sound"/>
    <n v="8167.0410141685297"/>
    <n v="8623.4220265793192"/>
    <n v="8167.0410141685297"/>
    <n v="8623.4220265793192"/>
  </r>
  <r>
    <n v="1920"/>
    <x v="9"/>
    <s v="Marine"/>
    <x v="0"/>
    <x v="0"/>
    <s v="8-2"/>
    <s v="Area 8-2: Port Susan-Port Gardner"/>
    <s v="Area 8-2: Port Susan-Port Gardner"/>
    <s v="NA"/>
    <x v="2"/>
    <s v="Thurston"/>
    <s v="08Thurston"/>
    <s v="South Puget Sound"/>
    <s v="02South Puget Sound"/>
    <n v="17.321401938851601"/>
    <n v="18.289336217559502"/>
    <n v="17.321401938851601"/>
    <n v="18.289336217559502"/>
  </r>
  <r>
    <n v="1814"/>
    <x v="9"/>
    <s v="Marine"/>
    <x v="0"/>
    <x v="0"/>
    <s v="8-2"/>
    <s v="Area 8-2: Port Susan-Port Gardner"/>
    <s v="Area 8-2: Port Susan-Port Gardner"/>
    <s v="NA"/>
    <x v="2"/>
    <s v="Whatcom"/>
    <s v="01Whatcom"/>
    <s v="North Puget Sound"/>
    <s v="01North Puget Sound"/>
    <n v="155.89261744966399"/>
    <n v="164.604025958036"/>
    <n v="155.89261744966399"/>
    <n v="164.604025958036"/>
  </r>
  <r>
    <n v="2253"/>
    <x v="10"/>
    <s v="Marine"/>
    <x v="0"/>
    <x v="0"/>
    <s v="8-2"/>
    <s v="Area 8-2: Port Susan-Port Gardner"/>
    <s v="Area 8-2: Port Susan-Port Gardner"/>
    <s v="NA"/>
    <x v="2"/>
    <s v="Island"/>
    <s v="04Island"/>
    <s v="North Puget Sound"/>
    <s v="01North Puget Sound"/>
    <n v="50.113636363636402"/>
    <n v="96.002859737366407"/>
    <n v="50.113636363636402"/>
    <n v="96.002859737366407"/>
  </r>
  <r>
    <n v="2254"/>
    <x v="10"/>
    <s v="Marine"/>
    <x v="0"/>
    <x v="0"/>
    <s v="8-2"/>
    <s v="Area 8-2: Port Susan-Port Gardner"/>
    <s v="Area 8-2: Port Susan-Port Gardner"/>
    <s v="NA"/>
    <x v="2"/>
    <s v="King"/>
    <s v="06King"/>
    <s v="South Puget Sound"/>
    <s v="02South Puget Sound"/>
    <n v="30.068181818181799"/>
    <n v="57.6017158424198"/>
    <n v="30.068181818181799"/>
    <n v="57.6017158424198"/>
  </r>
  <r>
    <n v="2255"/>
    <x v="10"/>
    <s v="Marine"/>
    <x v="0"/>
    <x v="0"/>
    <s v="8-2"/>
    <s v="Area 8-2: Port Susan-Port Gardner"/>
    <s v="Area 8-2: Port Susan-Port Gardner"/>
    <s v="NA"/>
    <x v="2"/>
    <s v="Other"/>
    <s v="20Other"/>
    <s v="Non Puget Sound"/>
    <s v="07Non Puget Sound"/>
    <n v="60.136363636363598"/>
    <n v="115.20343168484"/>
    <n v="60.136363636363598"/>
    <n v="115.20343168484"/>
  </r>
  <r>
    <n v="2122"/>
    <x v="10"/>
    <s v="Marine"/>
    <x v="0"/>
    <x v="0"/>
    <s v="8-2"/>
    <s v="Area 8-2: Port Susan-Port Gardner"/>
    <s v="Area 8-2: Port Susan-Port Gardner"/>
    <s v="NA"/>
    <x v="2"/>
    <s v="Snohomish"/>
    <s v="03Snohomish"/>
    <s v="North Puget Sound"/>
    <s v="01North Puget Sound"/>
    <n v="300.68181818181802"/>
    <n v="576.01715842419799"/>
    <n v="300.68181818181802"/>
    <n v="576.01715842419799"/>
  </r>
  <r>
    <n v="2482"/>
    <x v="11"/>
    <s v="Marine"/>
    <x v="0"/>
    <x v="0"/>
    <s v="8-2"/>
    <s v="Area 8-2: Port Susan-Port Gardner"/>
    <s v="Area 8-2: Port Susan-Port Gardner"/>
    <s v="NA"/>
    <x v="2"/>
    <s v="Island"/>
    <s v="04Island"/>
    <s v="North Puget Sound"/>
    <s v="01North Puget Sound"/>
    <n v="759.53018223234596"/>
    <n v="791.55383470484105"/>
    <n v="759.53018223234596"/>
    <n v="791.55383470484105"/>
  </r>
  <r>
    <n v="2601"/>
    <x v="11"/>
    <s v="Marine"/>
    <x v="0"/>
    <x v="0"/>
    <s v="8-2"/>
    <s v="Area 8-2: Port Susan-Port Gardner"/>
    <s v="Area 8-2: Port Susan-Port Gardner"/>
    <s v="NA"/>
    <x v="2"/>
    <s v="Jefferson"/>
    <s v="12Jefferson"/>
    <s v="Strait of Juan de Fuca"/>
    <s v="03Strait of Juan de Fuca"/>
    <n v="21.395216400911199"/>
    <n v="22.2972911184462"/>
    <n v="21.395216400911199"/>
    <n v="22.2972911184462"/>
  </r>
  <r>
    <n v="2483"/>
    <x v="11"/>
    <s v="Marine"/>
    <x v="0"/>
    <x v="0"/>
    <s v="8-2"/>
    <s v="Area 8-2: Port Susan-Port Gardner"/>
    <s v="Area 8-2: Port Susan-Port Gardner"/>
    <s v="NA"/>
    <x v="2"/>
    <s v="King"/>
    <s v="06King"/>
    <s v="South Puget Sound"/>
    <s v="02South Puget Sound"/>
    <n v="2792.07574031891"/>
    <n v="2909.7964909572302"/>
    <n v="2792.07574031891"/>
    <n v="2909.7964909572302"/>
  </r>
  <r>
    <n v="2600"/>
    <x v="11"/>
    <s v="Marine"/>
    <x v="0"/>
    <x v="0"/>
    <s v="8-2"/>
    <s v="Area 8-2: Port Susan-Port Gardner"/>
    <s v="Area 8-2: Port Susan-Port Gardner"/>
    <s v="NA"/>
    <x v="2"/>
    <s v="Kitsap"/>
    <s v="10Kitsap"/>
    <s v="South Puget Sound"/>
    <s v="02South Puget Sound"/>
    <n v="224.649772209567"/>
    <n v="234.12155674368501"/>
    <n v="224.649772209567"/>
    <n v="234.12155674368501"/>
  </r>
  <r>
    <n v="2602"/>
    <x v="11"/>
    <s v="Marine"/>
    <x v="0"/>
    <x v="0"/>
    <s v="8-2"/>
    <s v="Area 8-2: Port Susan-Port Gardner"/>
    <s v="Area 8-2: Port Susan-Port Gardner"/>
    <s v="NA"/>
    <x v="2"/>
    <s v="Other"/>
    <s v="20Other"/>
    <s v="Non Puget Sound"/>
    <s v="07Non Puget Sound"/>
    <n v="1433.4794988610499"/>
    <n v="1493.9185049359"/>
    <n v="1433.4794988610499"/>
    <n v="1493.9185049359"/>
  </r>
  <r>
    <n v="2484"/>
    <x v="11"/>
    <s v="Marine"/>
    <x v="0"/>
    <x v="0"/>
    <s v="8-2"/>
    <s v="Area 8-2: Port Susan-Port Gardner"/>
    <s v="Area 8-2: Port Susan-Port Gardner"/>
    <s v="NA"/>
    <x v="2"/>
    <s v="Pierce"/>
    <s v="07Pierce"/>
    <s v="South Puget Sound"/>
    <s v="02South Puget Sound"/>
    <n v="267.44020501138999"/>
    <n v="278.71613898057802"/>
    <n v="267.44020501138999"/>
    <n v="278.71613898057802"/>
  </r>
  <r>
    <n v="2480"/>
    <x v="11"/>
    <s v="Marine"/>
    <x v="0"/>
    <x v="0"/>
    <s v="8-2"/>
    <s v="Area 8-2: Port Susan-Port Gardner"/>
    <s v="Area 8-2: Port Susan-Port Gardner"/>
    <s v="NA"/>
    <x v="2"/>
    <s v="Skagit"/>
    <s v="02Skagit"/>
    <s v="North Puget Sound"/>
    <s v="01North Puget Sound"/>
    <n v="353.02107061503398"/>
    <n v="367.90530345436298"/>
    <n v="353.02107061503398"/>
    <n v="367.90530345436298"/>
  </r>
  <r>
    <n v="2481"/>
    <x v="11"/>
    <s v="Marine"/>
    <x v="0"/>
    <x v="0"/>
    <s v="8-2"/>
    <s v="Area 8-2: Port Susan-Port Gardner"/>
    <s v="Area 8-2: Port Susan-Port Gardner"/>
    <s v="NA"/>
    <x v="2"/>
    <s v="Snohomish"/>
    <s v="03Snohomish"/>
    <s v="North Puget Sound"/>
    <s v="01North Puget Sound"/>
    <n v="12430.6207289294"/>
    <n v="12954.7261398173"/>
    <n v="12430.6207289294"/>
    <n v="12954.7261398173"/>
  </r>
  <r>
    <n v="2542"/>
    <x v="11"/>
    <s v="Marine"/>
    <x v="0"/>
    <x v="0"/>
    <s v="8-2"/>
    <s v="Area 8-2: Port Susan-Port Gardner"/>
    <s v="Area 8-2: Port Susan-Port Gardner"/>
    <s v="NA"/>
    <x v="2"/>
    <s v="Thurston"/>
    <s v="08Thurston"/>
    <s v="South Puget Sound"/>
    <s v="02South Puget Sound"/>
    <n v="149.76651480637801"/>
    <n v="156.081037829124"/>
    <n v="149.76651480637801"/>
    <n v="156.081037829124"/>
  </r>
  <r>
    <n v="2479"/>
    <x v="11"/>
    <s v="Marine"/>
    <x v="0"/>
    <x v="0"/>
    <s v="8-2"/>
    <s v="Area 8-2: Port Susan-Port Gardner"/>
    <s v="Area 8-2: Port Susan-Port Gardner"/>
    <s v="NA"/>
    <x v="2"/>
    <s v="Whatcom"/>
    <s v="01Whatcom"/>
    <s v="North Puget Sound"/>
    <s v="01North Puget Sound"/>
    <n v="353.02107061503398"/>
    <n v="367.90530345436298"/>
    <n v="353.02107061503398"/>
    <n v="367.90530345436298"/>
  </r>
  <r>
    <n v="1247"/>
    <x v="2"/>
    <s v="Freshwater"/>
    <x v="1"/>
    <x v="0"/>
    <n v="8"/>
    <s v="Unknown"/>
    <s v="Unknown"/>
    <s v="NA"/>
    <x v="5"/>
    <s v="Skagit"/>
    <s v="02Skagit"/>
    <s v="North Puget Sound"/>
    <s v="01North Puget Sound"/>
    <n v="1"/>
    <n v="8.65"/>
    <n v="0"/>
    <n v="0"/>
  </r>
  <r>
    <n v="1248"/>
    <x v="3"/>
    <s v="Freshwater"/>
    <x v="1"/>
    <x v="0"/>
    <n v="8"/>
    <s v="Unknown"/>
    <s v="Unknown"/>
    <s v="NA"/>
    <x v="5"/>
    <s v="Other"/>
    <s v="20Other"/>
    <s v="Non Puget Sound"/>
    <s v="07Non Puget Sound"/>
    <n v="0"/>
    <n v="0"/>
    <n v="0"/>
    <n v="0"/>
  </r>
  <r>
    <n v="271"/>
    <x v="3"/>
    <s v="Freshwater"/>
    <x v="1"/>
    <x v="0"/>
    <n v="706"/>
    <s v="Black River (Thurston Co)"/>
    <s v="Black River (Thurston Co)"/>
    <s v="Thurston"/>
    <x v="3"/>
    <s v="Other"/>
    <s v="20Other"/>
    <s v="Non Puget Sound"/>
    <s v="07Non Puget Sound"/>
    <n v="15"/>
    <n v="51.6"/>
    <n v="15"/>
    <n v="53.085606596736227"/>
  </r>
  <r>
    <n v="272"/>
    <x v="5"/>
    <s v="Freshwater"/>
    <x v="1"/>
    <x v="0"/>
    <n v="706"/>
    <s v="Black River (Thurston Co)"/>
    <s v="Black River (Thurston Co)"/>
    <s v="Thurston"/>
    <x v="3"/>
    <s v="Other"/>
    <s v="20Other"/>
    <s v="Non Puget Sound"/>
    <s v="07Non Puget Sound"/>
    <n v="9"/>
    <n v="30.96"/>
    <n v="9"/>
    <n v="31.851363958041738"/>
  </r>
  <r>
    <n v="276"/>
    <x v="9"/>
    <s v="Freshwater"/>
    <x v="1"/>
    <x v="0"/>
    <n v="706"/>
    <s v="Black River (Thurston Co)"/>
    <s v="Black River (Thurston Co)"/>
    <s v="Thurston"/>
    <x v="3"/>
    <s v="King"/>
    <s v="06King"/>
    <s v="South Puget Sound"/>
    <s v="02South Puget Sound"/>
    <n v="22"/>
    <n v="75.680000000000007"/>
    <n v="22"/>
    <n v="77.858889675213135"/>
  </r>
  <r>
    <n v="3104"/>
    <x v="9"/>
    <s v="Freshwater"/>
    <x v="1"/>
    <x v="0"/>
    <n v="710"/>
    <s v="California Creek"/>
    <s v="California Creek"/>
    <s v="Whatcom"/>
    <x v="1"/>
    <s v="Whatcom"/>
    <s v="01Whatcom"/>
    <s v="North Puget Sound"/>
    <s v="01North Puget Sound"/>
    <n v="11"/>
    <n v="37.840000000000003"/>
    <n v="11"/>
    <n v="38.929444837606567"/>
  </r>
  <r>
    <n v="969"/>
    <x v="0"/>
    <s v="Freshwater"/>
    <x v="1"/>
    <x v="0"/>
    <n v="714"/>
    <s v="Chambers Creek"/>
    <s v="Chambers Creek"/>
    <s v="Pierce"/>
    <x v="3"/>
    <s v="Kitsap"/>
    <s v="10Kitsap"/>
    <s v="South Puget Sound"/>
    <s v="02South Puget Sound"/>
    <n v="13.7272727272727"/>
    <n v="118.740909090909"/>
    <n v="13.681318681318681"/>
    <n v="65.937866545285104"/>
  </r>
  <r>
    <n v="967"/>
    <x v="0"/>
    <s v="Freshwater"/>
    <x v="1"/>
    <x v="0"/>
    <n v="714"/>
    <s v="Chambers Creek"/>
    <s v="Chambers Creek"/>
    <s v="Pierce"/>
    <x v="3"/>
    <s v="Pierce"/>
    <s v="07Pierce"/>
    <s v="South Puget Sound"/>
    <s v="02South Puget Sound"/>
    <n v="132.69696969697"/>
    <n v="1147.8287878787901"/>
    <n v="132.74725274725279"/>
    <n v="639.78267298557773"/>
  </r>
  <r>
    <n v="968"/>
    <x v="0"/>
    <s v="Freshwater"/>
    <x v="1"/>
    <x v="0"/>
    <n v="714"/>
    <s v="Chambers Creek"/>
    <s v="Chambers Creek"/>
    <s v="Pierce"/>
    <x v="3"/>
    <s v="Thurston"/>
    <s v="08Thurston"/>
    <s v="South Puget Sound"/>
    <s v="02South Puget Sound"/>
    <n v="4.5757575757575797"/>
    <n v="39.580303030303099"/>
    <n v="4.5714285714285703"/>
    <n v="22.032250990231805"/>
  </r>
  <r>
    <n v="978"/>
    <x v="1"/>
    <s v="Freshwater"/>
    <x v="1"/>
    <x v="0"/>
    <n v="714"/>
    <s v="Chambers Creek"/>
    <s v="Chambers Creek"/>
    <s v="Pierce"/>
    <x v="3"/>
    <s v="Pierce"/>
    <s v="07Pierce"/>
    <s v="South Puget Sound"/>
    <s v="02South Puget Sound"/>
    <n v="8.8571428571428594"/>
    <n v="30.468571428571401"/>
    <n v="8.8333333333333304"/>
    <n v="31.261523884744658"/>
  </r>
  <r>
    <n v="979"/>
    <x v="1"/>
    <s v="Freshwater"/>
    <x v="1"/>
    <x v="0"/>
    <n v="714"/>
    <s v="Chambers Creek"/>
    <s v="Chambers Creek"/>
    <s v="Pierce"/>
    <x v="3"/>
    <s v="Thurston"/>
    <s v="08Thurston"/>
    <s v="South Puget Sound"/>
    <s v="02South Puget Sound"/>
    <n v="53.142857142857203"/>
    <n v="182.81142857142899"/>
    <n v="53.1666666666667"/>
    <n v="188.15898338176521"/>
  </r>
  <r>
    <n v="1086"/>
    <x v="2"/>
    <s v="Freshwater"/>
    <x v="1"/>
    <x v="0"/>
    <n v="714"/>
    <s v="Chambers Creek"/>
    <s v="Chambers Creek"/>
    <s v="Pierce"/>
    <x v="3"/>
    <s v="King"/>
    <s v="06King"/>
    <s v="South Puget Sound"/>
    <s v="02South Puget Sound"/>
    <n v="22.846153846153801"/>
    <n v="197.61923076923"/>
    <n v="22.933333333333302"/>
    <n v="110.52845913432942"/>
  </r>
  <r>
    <n v="1087"/>
    <x v="2"/>
    <s v="Freshwater"/>
    <x v="1"/>
    <x v="0"/>
    <n v="714"/>
    <s v="Chambers Creek"/>
    <s v="Chambers Creek"/>
    <s v="Pierce"/>
    <x v="3"/>
    <s v="Pierce"/>
    <s v="07Pierce"/>
    <s v="South Puget Sound"/>
    <s v="02South Puget Sound"/>
    <n v="91.384615384615401"/>
    <n v="790.47692307692296"/>
    <n v="91.405128205128278"/>
    <n v="440.53203390212252"/>
  </r>
  <r>
    <n v="1150"/>
    <x v="2"/>
    <s v="Freshwater"/>
    <x v="1"/>
    <x v="0"/>
    <n v="714"/>
    <s v="Chambers Creek"/>
    <s v="Chambers Creek"/>
    <s v="Pierce"/>
    <x v="3"/>
    <s v="Thurston"/>
    <s v="08Thurston"/>
    <s v="South Puget Sound"/>
    <s v="02South Puget Sound"/>
    <n v="53.307692307692299"/>
    <n v="461.11153846153798"/>
    <n v="53.2"/>
    <n v="256.40032089882271"/>
  </r>
  <r>
    <n v="1085"/>
    <x v="2"/>
    <s v="Freshwater"/>
    <x v="1"/>
    <x v="0"/>
    <n v="714"/>
    <s v="Chambers Creek"/>
    <s v="Chambers Creek"/>
    <s v="Pierce"/>
    <x v="3"/>
    <s v="Whatcom"/>
    <s v="01Whatcom"/>
    <s v="North Puget Sound"/>
    <s v="01North Puget Sound"/>
    <n v="30.461538461538499"/>
    <n v="263.49230769230797"/>
    <n v="30.461538461538499"/>
    <n v="146.81105707914099"/>
  </r>
  <r>
    <n v="1162"/>
    <x v="3"/>
    <s v="Freshwater"/>
    <x v="1"/>
    <x v="0"/>
    <n v="714"/>
    <s v="Chambers Creek"/>
    <s v="Chambers Creek"/>
    <s v="Pierce"/>
    <x v="3"/>
    <s v="Pierce"/>
    <s v="07Pierce"/>
    <s v="South Puget Sound"/>
    <s v="02South Puget Sound"/>
    <n v="5"/>
    <n v="17.2"/>
    <n v="5"/>
    <n v="17.695202198912078"/>
  </r>
  <r>
    <n v="1163"/>
    <x v="3"/>
    <s v="Freshwater"/>
    <x v="1"/>
    <x v="0"/>
    <n v="714"/>
    <s v="Chambers Creek"/>
    <s v="Chambers Creek"/>
    <s v="Pierce"/>
    <x v="3"/>
    <s v="Thurston"/>
    <s v="08Thurston"/>
    <s v="South Puget Sound"/>
    <s v="02South Puget Sound"/>
    <n v="10"/>
    <n v="34.4"/>
    <n v="10"/>
    <n v="35.390404397824156"/>
  </r>
  <r>
    <n v="33"/>
    <x v="4"/>
    <s v="Freshwater"/>
    <x v="1"/>
    <x v="0"/>
    <n v="714"/>
    <s v="Chambers Creek"/>
    <s v="Chambers Creek"/>
    <s v="Pierce"/>
    <x v="3"/>
    <s v="King"/>
    <s v="06King"/>
    <s v="South Puget Sound"/>
    <s v="02South Puget Sound"/>
    <n v="9"/>
    <n v="77.849999999999994"/>
    <n v="9"/>
    <n v="43.375994137018878"/>
  </r>
  <r>
    <n v="34"/>
    <x v="4"/>
    <s v="Freshwater"/>
    <x v="1"/>
    <x v="0"/>
    <n v="714"/>
    <s v="Chambers Creek"/>
    <s v="Chambers Creek"/>
    <s v="Pierce"/>
    <x v="3"/>
    <s v="Pierce"/>
    <s v="07Pierce"/>
    <s v="South Puget Sound"/>
    <s v="02South Puget Sound"/>
    <n v="9"/>
    <n v="77.849999999999994"/>
    <n v="9"/>
    <n v="43.375994137018878"/>
  </r>
  <r>
    <n v="467"/>
    <x v="8"/>
    <s v="Freshwater"/>
    <x v="1"/>
    <x v="0"/>
    <n v="714"/>
    <s v="Chambers Creek"/>
    <s v="Chambers Creek"/>
    <s v="Pierce"/>
    <x v="3"/>
    <s v="Pierce"/>
    <s v="07Pierce"/>
    <s v="South Puget Sound"/>
    <s v="02South Puget Sound"/>
    <n v="2"/>
    <n v="17.3"/>
    <n v="2"/>
    <n v="9.6391098082264168"/>
  </r>
  <r>
    <n v="572"/>
    <x v="9"/>
    <s v="Freshwater"/>
    <x v="1"/>
    <x v="0"/>
    <n v="714"/>
    <s v="Chambers Creek"/>
    <s v="Chambers Creek"/>
    <s v="Pierce"/>
    <x v="3"/>
    <s v="Pierce"/>
    <s v="07Pierce"/>
    <s v="South Puget Sound"/>
    <s v="02South Puget Sound"/>
    <n v="11"/>
    <n v="37.840000000000003"/>
    <n v="11"/>
    <n v="38.929444837606567"/>
  </r>
  <r>
    <n v="775"/>
    <x v="10"/>
    <s v="Freshwater"/>
    <x v="1"/>
    <x v="0"/>
    <n v="714"/>
    <s v="Chambers Creek"/>
    <s v="Chambers Creek"/>
    <s v="Pierce"/>
    <x v="3"/>
    <s v="Other"/>
    <s v="20Other"/>
    <s v="Non Puget Sound"/>
    <s v="07Non Puget Sound"/>
    <n v="7"/>
    <n v="60.55"/>
    <n v="7"/>
    <n v="33.736884328792456"/>
  </r>
  <r>
    <n v="774"/>
    <x v="10"/>
    <s v="Freshwater"/>
    <x v="1"/>
    <x v="0"/>
    <n v="714"/>
    <s v="Chambers Creek"/>
    <s v="Chambers Creek"/>
    <s v="Pierce"/>
    <x v="3"/>
    <s v="Pierce"/>
    <s v="07Pierce"/>
    <s v="South Puget Sound"/>
    <s v="02South Puget Sound"/>
    <n v="7"/>
    <n v="60.55"/>
    <n v="7"/>
    <n v="33.736884328792456"/>
  </r>
  <r>
    <n v="1533"/>
    <x v="0"/>
    <s v="Freshwater"/>
    <x v="1"/>
    <x v="0"/>
    <n v="724"/>
    <s v="Dakota Creek (Whatcom Co)"/>
    <s v="Dakota Creek (Whatcom Co)"/>
    <s v="Whatcom"/>
    <x v="1"/>
    <s v="Snohomish"/>
    <s v="03Snohomish"/>
    <s v="North Puget Sound"/>
    <s v="01North Puget Sound"/>
    <n v="12.25"/>
    <n v="105.96250000000001"/>
    <n v="12.2608695652174"/>
    <n v="59.091934041735897"/>
  </r>
  <r>
    <n v="1532"/>
    <x v="0"/>
    <s v="Freshwater"/>
    <x v="1"/>
    <x v="0"/>
    <n v="724"/>
    <s v="Dakota Creek (Whatcom Co)"/>
    <s v="Dakota Creek (Whatcom Co)"/>
    <s v="Whatcom"/>
    <x v="1"/>
    <s v="Whatcom"/>
    <s v="01Whatcom"/>
    <s v="North Puget Sound"/>
    <s v="01North Puget Sound"/>
    <n v="134.75"/>
    <n v="1165.5875000000001"/>
    <n v="134.73913043478299"/>
    <n v="649.38263686290759"/>
  </r>
  <r>
    <n v="1558"/>
    <x v="1"/>
    <s v="Freshwater"/>
    <x v="1"/>
    <x v="0"/>
    <n v="724"/>
    <s v="Dakota Creek (Whatcom Co)"/>
    <s v="Dakota Creek (Whatcom Co)"/>
    <s v="Whatcom"/>
    <x v="1"/>
    <s v="Whatcom"/>
    <s v="01Whatcom"/>
    <s v="North Puget Sound"/>
    <s v="01North Puget Sound"/>
    <n v="195"/>
    <n v="670.8"/>
    <n v="195"/>
    <n v="690.11288575757101"/>
  </r>
  <r>
    <n v="1710"/>
    <x v="2"/>
    <s v="Freshwater"/>
    <x v="1"/>
    <x v="0"/>
    <n v="724"/>
    <s v="Dakota Creek (Whatcom Co)"/>
    <s v="Dakota Creek (Whatcom Co)"/>
    <s v="Whatcom"/>
    <x v="1"/>
    <s v="Snohomish"/>
    <s v="03Snohomish"/>
    <s v="North Puget Sound"/>
    <s v="01North Puget Sound"/>
    <n v="14"/>
    <n v="121.1"/>
    <n v="14"/>
    <n v="67.473768657584912"/>
  </r>
  <r>
    <n v="1709"/>
    <x v="2"/>
    <s v="Freshwater"/>
    <x v="1"/>
    <x v="0"/>
    <n v="724"/>
    <s v="Dakota Creek (Whatcom Co)"/>
    <s v="Dakota Creek (Whatcom Co)"/>
    <s v="Whatcom"/>
    <x v="1"/>
    <s v="Whatcom"/>
    <s v="01Whatcom"/>
    <s v="North Puget Sound"/>
    <s v="01North Puget Sound"/>
    <n v="49"/>
    <n v="423.85"/>
    <n v="49"/>
    <n v="236.15819030154722"/>
  </r>
  <r>
    <n v="1879"/>
    <x v="3"/>
    <s v="Freshwater"/>
    <x v="1"/>
    <x v="0"/>
    <n v="724"/>
    <s v="Dakota Creek (Whatcom Co)"/>
    <s v="Dakota Creek (Whatcom Co)"/>
    <s v="Whatcom"/>
    <x v="1"/>
    <s v="Other"/>
    <s v="20Other"/>
    <s v="Non Puget Sound"/>
    <s v="07Non Puget Sound"/>
    <n v="54.09375"/>
    <n v="186.08250000000001"/>
    <n v="54.101694915254299"/>
    <n v="191.46808616585565"/>
  </r>
  <r>
    <n v="1878"/>
    <x v="3"/>
    <s v="Freshwater"/>
    <x v="1"/>
    <x v="0"/>
    <n v="724"/>
    <s v="Dakota Creek (Whatcom Co)"/>
    <s v="Dakota Creek (Whatcom Co)"/>
    <s v="Whatcom"/>
    <x v="1"/>
    <s v="Whatcom"/>
    <s v="01Whatcom"/>
    <s v="North Puget Sound"/>
    <s v="01North Puget Sound"/>
    <n v="522.90625"/>
    <n v="1798.7974999999999"/>
    <n v="522.89830508474597"/>
    <n v="1850.558247588599"/>
  </r>
  <r>
    <n v="2035"/>
    <x v="4"/>
    <s v="Freshwater"/>
    <x v="1"/>
    <x v="0"/>
    <n v="724"/>
    <s v="Dakota Creek (Whatcom Co)"/>
    <s v="Dakota Creek (Whatcom Co)"/>
    <s v="Whatcom"/>
    <x v="1"/>
    <s v="Other"/>
    <s v="20Other"/>
    <s v="Non Puget Sound"/>
    <s v="07Non Puget Sound"/>
    <n v="7.1578947368421098"/>
    <n v="61.9157894736842"/>
    <n v="7.1578947368421098"/>
    <n v="34.497866682073514"/>
  </r>
  <r>
    <n v="2034"/>
    <x v="4"/>
    <s v="Freshwater"/>
    <x v="1"/>
    <x v="0"/>
    <n v="724"/>
    <s v="Dakota Creek (Whatcom Co)"/>
    <s v="Dakota Creek (Whatcom Co)"/>
    <s v="Whatcom"/>
    <x v="1"/>
    <s v="Snohomish"/>
    <s v="03Snohomish"/>
    <s v="North Puget Sound"/>
    <s v="01North Puget Sound"/>
    <n v="42.947368421052602"/>
    <n v="371.494736842105"/>
    <n v="42.947368421052602"/>
    <n v="206.98720009244082"/>
  </r>
  <r>
    <n v="2033"/>
    <x v="4"/>
    <s v="Freshwater"/>
    <x v="1"/>
    <x v="0"/>
    <n v="724"/>
    <s v="Dakota Creek (Whatcom Co)"/>
    <s v="Dakota Creek (Whatcom Co)"/>
    <s v="Whatcom"/>
    <x v="1"/>
    <s v="Whatcom"/>
    <s v="01Whatcom"/>
    <s v="North Puget Sound"/>
    <s v="01North Puget Sound"/>
    <n v="85.894736842105303"/>
    <n v="742.98947368421102"/>
    <n v="85.894736842105303"/>
    <n v="413.97440018488209"/>
  </r>
  <r>
    <n v="2173"/>
    <x v="5"/>
    <s v="Freshwater"/>
    <x v="1"/>
    <x v="0"/>
    <n v="724"/>
    <s v="Dakota Creek (Whatcom Co)"/>
    <s v="Dakota Creek (Whatcom Co)"/>
    <s v="Whatcom"/>
    <x v="1"/>
    <s v="Whatcom"/>
    <s v="01Whatcom"/>
    <s v="North Puget Sound"/>
    <s v="01North Puget Sound"/>
    <n v="70"/>
    <n v="240.8"/>
    <n v="70"/>
    <n v="247.73283078476908"/>
  </r>
  <r>
    <n v="2301"/>
    <x v="6"/>
    <s v="Freshwater"/>
    <x v="1"/>
    <x v="0"/>
    <n v="724"/>
    <s v="Dakota Creek (Whatcom Co)"/>
    <s v="Dakota Creek (Whatcom Co)"/>
    <s v="Whatcom"/>
    <x v="1"/>
    <s v="Whatcom"/>
    <s v="01Whatcom"/>
    <s v="North Puget Sound"/>
    <s v="01North Puget Sound"/>
    <n v="10"/>
    <n v="86.5"/>
    <n v="10"/>
    <n v="48.195549041132082"/>
  </r>
  <r>
    <n v="2519"/>
    <x v="7"/>
    <s v="Freshwater"/>
    <x v="1"/>
    <x v="0"/>
    <n v="724"/>
    <s v="Dakota Creek (Whatcom Co)"/>
    <s v="Dakota Creek (Whatcom Co)"/>
    <s v="Whatcom"/>
    <x v="1"/>
    <s v="Whatcom"/>
    <s v="01Whatcom"/>
    <s v="North Puget Sound"/>
    <s v="01North Puget Sound"/>
    <n v="39"/>
    <n v="134.16"/>
    <n v="39"/>
    <n v="138.02257715151418"/>
  </r>
  <r>
    <n v="2649"/>
    <x v="8"/>
    <s v="Freshwater"/>
    <x v="1"/>
    <x v="0"/>
    <n v="724"/>
    <s v="Dakota Creek (Whatcom Co)"/>
    <s v="Dakota Creek (Whatcom Co)"/>
    <s v="Whatcom"/>
    <x v="1"/>
    <s v="Whatcom"/>
    <s v="01Whatcom"/>
    <s v="North Puget Sound"/>
    <s v="01North Puget Sound"/>
    <n v="19"/>
    <n v="164.35"/>
    <n v="19"/>
    <n v="91.571543178150961"/>
  </r>
  <r>
    <n v="2774"/>
    <x v="9"/>
    <s v="Freshwater"/>
    <x v="1"/>
    <x v="0"/>
    <n v="724"/>
    <s v="Dakota Creek (Whatcom Co)"/>
    <s v="Dakota Creek (Whatcom Co)"/>
    <s v="Whatcom"/>
    <x v="1"/>
    <s v="Snohomish"/>
    <s v="03Snohomish"/>
    <s v="North Puget Sound"/>
    <s v="01North Puget Sound"/>
    <n v="51.6666666666667"/>
    <n v="177.73333333333301"/>
    <n v="51.6666666666667"/>
    <n v="182.85042272209157"/>
  </r>
  <r>
    <n v="2773"/>
    <x v="9"/>
    <s v="Freshwater"/>
    <x v="1"/>
    <x v="0"/>
    <n v="724"/>
    <s v="Dakota Creek (Whatcom Co)"/>
    <s v="Dakota Creek (Whatcom Co)"/>
    <s v="Whatcom"/>
    <x v="1"/>
    <s v="Whatcom"/>
    <s v="01Whatcom"/>
    <s v="North Puget Sound"/>
    <s v="01North Puget Sound"/>
    <n v="72.3333333333334"/>
    <n v="248.82666666666699"/>
    <n v="72.3333333333334"/>
    <n v="255.99059181092827"/>
  </r>
  <r>
    <n v="2893"/>
    <x v="10"/>
    <s v="Freshwater"/>
    <x v="1"/>
    <x v="0"/>
    <n v="724"/>
    <s v="Dakota Creek (Whatcom Co)"/>
    <s v="Dakota Creek (Whatcom Co)"/>
    <s v="Whatcom"/>
    <x v="1"/>
    <s v="Pierce"/>
    <s v="07Pierce"/>
    <s v="South Puget Sound"/>
    <s v="02South Puget Sound"/>
    <n v="12"/>
    <n v="103.8"/>
    <n v="12"/>
    <n v="57.834658849358505"/>
  </r>
  <r>
    <n v="267"/>
    <x v="0"/>
    <s v="Freshwater"/>
    <x v="1"/>
    <x v="0"/>
    <n v="728"/>
    <s v="Deschutes River"/>
    <s v="Deschutes River"/>
    <s v="Thurston"/>
    <x v="3"/>
    <s v="Pierce"/>
    <s v="07Pierce"/>
    <s v="South Puget Sound"/>
    <s v="02South Puget Sound"/>
    <n v="12.6666666666667"/>
    <n v="109.566666666667"/>
    <n v="13"/>
    <n v="62.654213753471709"/>
  </r>
  <r>
    <n v="268"/>
    <x v="0"/>
    <s v="Freshwater"/>
    <x v="1"/>
    <x v="0"/>
    <n v="728"/>
    <s v="Deschutes River"/>
    <s v="Deschutes River"/>
    <s v="Thurston"/>
    <x v="3"/>
    <s v="Thurston"/>
    <s v="08Thurston"/>
    <s v="South Puget Sound"/>
    <s v="02South Puget Sound"/>
    <n v="6.3333333333333401"/>
    <n v="54.783333333333402"/>
    <n v="6"/>
    <n v="28.917329424679252"/>
  </r>
  <r>
    <n v="270"/>
    <x v="2"/>
    <s v="Freshwater"/>
    <x v="1"/>
    <x v="0"/>
    <n v="728"/>
    <s v="Deschutes River"/>
    <s v="Deschutes River"/>
    <s v="Thurston"/>
    <x v="3"/>
    <s v="Other"/>
    <s v="20Other"/>
    <s v="Non Puget Sound"/>
    <s v="07Non Puget Sound"/>
    <n v="1"/>
    <n v="8.65"/>
    <n v="1"/>
    <n v="4.8195549041132084"/>
  </r>
  <r>
    <n v="269"/>
    <x v="2"/>
    <s v="Freshwater"/>
    <x v="1"/>
    <x v="0"/>
    <n v="728"/>
    <s v="Deschutes River"/>
    <s v="Deschutes River"/>
    <s v="Thurston"/>
    <x v="3"/>
    <s v="Thurston"/>
    <s v="08Thurston"/>
    <s v="South Puget Sound"/>
    <s v="02South Puget Sound"/>
    <n v="2"/>
    <n v="17.3"/>
    <n v="2"/>
    <n v="9.6391098082264168"/>
  </r>
  <r>
    <n v="274"/>
    <x v="6"/>
    <s v="Freshwater"/>
    <x v="1"/>
    <x v="0"/>
    <n v="728"/>
    <s v="Deschutes River"/>
    <s v="Deschutes River"/>
    <s v="Thurston"/>
    <x v="3"/>
    <s v="Other"/>
    <s v="20Other"/>
    <s v="Non Puget Sound"/>
    <s v="07Non Puget Sound"/>
    <n v="18"/>
    <n v="155.69999999999999"/>
    <n v="24"/>
    <n v="115.66931769871701"/>
  </r>
  <r>
    <n v="273"/>
    <x v="6"/>
    <s v="Freshwater"/>
    <x v="1"/>
    <x v="0"/>
    <n v="728"/>
    <s v="Deschutes River"/>
    <s v="Deschutes River"/>
    <s v="Thurston"/>
    <x v="3"/>
    <s v="Thurston"/>
    <s v="08Thurston"/>
    <s v="South Puget Sound"/>
    <s v="02South Puget Sound"/>
    <n v="6"/>
    <n v="51.9"/>
    <n v="0"/>
    <n v="0"/>
  </r>
  <r>
    <n v="275"/>
    <x v="7"/>
    <s v="Freshwater"/>
    <x v="1"/>
    <x v="0"/>
    <n v="728"/>
    <s v="Deschutes River"/>
    <s v="Deschutes River"/>
    <s v="Thurston"/>
    <x v="3"/>
    <s v="King"/>
    <s v="06King"/>
    <s v="South Puget Sound"/>
    <s v="02South Puget Sound"/>
    <n v="10"/>
    <n v="34.4"/>
    <n v="10"/>
    <n v="35.390404397824156"/>
  </r>
  <r>
    <n v="277"/>
    <x v="10"/>
    <s v="Freshwater"/>
    <x v="1"/>
    <x v="0"/>
    <n v="728"/>
    <s v="Deschutes River"/>
    <s v="Deschutes River"/>
    <s v="Thurston"/>
    <x v="3"/>
    <s v="Other"/>
    <s v="20Other"/>
    <s v="Non Puget Sound"/>
    <s v="07Non Puget Sound"/>
    <n v="14"/>
    <n v="121.1"/>
    <n v="14"/>
    <n v="67.473768657584912"/>
  </r>
  <r>
    <n v="278"/>
    <x v="11"/>
    <s v="Freshwater"/>
    <x v="1"/>
    <x v="0"/>
    <n v="728"/>
    <s v="Deschutes River"/>
    <s v="Deschutes River"/>
    <s v="Thurston"/>
    <x v="3"/>
    <s v="Other"/>
    <s v="20Other"/>
    <s v="Non Puget Sound"/>
    <s v="07Non Puget Sound"/>
    <n v="8"/>
    <n v="27.52"/>
    <n v="8"/>
    <n v="28.312323518259323"/>
  </r>
  <r>
    <n v="662"/>
    <x v="1"/>
    <s v="Freshwater"/>
    <x v="1"/>
    <x v="0"/>
    <n v="732"/>
    <s v="Dewatto River"/>
    <s v="Dewatto River"/>
    <s v="Mason"/>
    <x v="4"/>
    <s v="Kitsap"/>
    <s v="10Kitsap"/>
    <s v="South Puget Sound"/>
    <s v="02South Puget Sound"/>
    <n v="141.17647058823499"/>
    <n v="485.64705882352803"/>
    <n v="141.17647058823499"/>
    <n v="499.62923855751637"/>
  </r>
  <r>
    <n v="661"/>
    <x v="1"/>
    <s v="Freshwater"/>
    <x v="1"/>
    <x v="0"/>
    <n v="732"/>
    <s v="Dewatto River"/>
    <s v="Dewatto River"/>
    <s v="Mason"/>
    <x v="4"/>
    <s v="Thurston"/>
    <s v="08Thurston"/>
    <s v="South Puget Sound"/>
    <s v="02South Puget Sound"/>
    <n v="8.8235294117647101"/>
    <n v="30.352941176470601"/>
    <n v="8.8235294117647101"/>
    <n v="31.226827409844855"/>
  </r>
  <r>
    <n v="669"/>
    <x v="2"/>
    <s v="Freshwater"/>
    <x v="1"/>
    <x v="0"/>
    <n v="732"/>
    <s v="Dewatto River"/>
    <s v="Dewatto River"/>
    <s v="Mason"/>
    <x v="4"/>
    <s v="Kitsap"/>
    <s v="10Kitsap"/>
    <s v="South Puget Sound"/>
    <s v="02South Puget Sound"/>
    <n v="1.1818181818181801"/>
    <n v="10.222727272727299"/>
    <n v="1.1818181818181801"/>
    <n v="5.6958376139519657"/>
  </r>
  <r>
    <n v="668"/>
    <x v="2"/>
    <s v="Freshwater"/>
    <x v="1"/>
    <x v="0"/>
    <n v="732"/>
    <s v="Dewatto River"/>
    <s v="Dewatto River"/>
    <s v="Mason"/>
    <x v="4"/>
    <s v="Mason"/>
    <s v="09Mason"/>
    <s v="South Puget Sound"/>
    <s v="02South Puget Sound"/>
    <n v="11.818181818181801"/>
    <n v="102.227272727273"/>
    <n v="11.818181818181801"/>
    <n v="56.95837613951965"/>
  </r>
  <r>
    <n v="751"/>
    <x v="3"/>
    <s v="Freshwater"/>
    <x v="1"/>
    <x v="0"/>
    <n v="732"/>
    <s v="Dewatto River"/>
    <s v="Dewatto River"/>
    <s v="Mason"/>
    <x v="4"/>
    <s v="Kitsap"/>
    <s v="10Kitsap"/>
    <s v="South Puget Sound"/>
    <s v="02South Puget Sound"/>
    <n v="15.3333333333333"/>
    <n v="52.746666666666499"/>
    <n v="15.3333333333333"/>
    <n v="54.26528674333025"/>
  </r>
  <r>
    <n v="750"/>
    <x v="3"/>
    <s v="Freshwater"/>
    <x v="1"/>
    <x v="0"/>
    <n v="732"/>
    <s v="Dewatto River"/>
    <s v="Dewatto River"/>
    <s v="Mason"/>
    <x v="4"/>
    <s v="Mason"/>
    <s v="09Mason"/>
    <s v="South Puget Sound"/>
    <s v="02South Puget Sound"/>
    <n v="30.6666666666667"/>
    <n v="105.493333333333"/>
    <n v="30.6666666666667"/>
    <n v="108.53057348666086"/>
  </r>
  <r>
    <n v="757"/>
    <x v="4"/>
    <s v="Freshwater"/>
    <x v="1"/>
    <x v="0"/>
    <n v="732"/>
    <s v="Dewatto River"/>
    <s v="Dewatto River"/>
    <s v="Mason"/>
    <x v="4"/>
    <s v="Kitsap"/>
    <s v="10Kitsap"/>
    <s v="South Puget Sound"/>
    <s v="02South Puget Sound"/>
    <n v="136.875"/>
    <n v="1183.96875"/>
    <n v="136.875"/>
    <n v="659.67657750049545"/>
  </r>
  <r>
    <n v="756"/>
    <x v="4"/>
    <s v="Freshwater"/>
    <x v="1"/>
    <x v="0"/>
    <n v="732"/>
    <s v="Dewatto River"/>
    <s v="Dewatto River"/>
    <s v="Mason"/>
    <x v="4"/>
    <s v="Mason"/>
    <s v="09Mason"/>
    <s v="South Puget Sound"/>
    <s v="02South Puget Sound"/>
    <n v="9.125"/>
    <n v="78.931250000000006"/>
    <n v="9.125"/>
    <n v="43.978438500033029"/>
  </r>
  <r>
    <n v="763"/>
    <x v="5"/>
    <s v="Freshwater"/>
    <x v="1"/>
    <x v="0"/>
    <n v="732"/>
    <s v="Dewatto River"/>
    <s v="Dewatto River"/>
    <s v="Mason"/>
    <x v="4"/>
    <s v="Kitsap"/>
    <s v="10Kitsap"/>
    <s v="South Puget Sound"/>
    <s v="02South Puget Sound"/>
    <n v="150.166666666667"/>
    <n v="516.57333333333497"/>
    <n v="150.166666666667"/>
    <n v="531.44590604066059"/>
  </r>
  <r>
    <n v="762"/>
    <x v="5"/>
    <s v="Freshwater"/>
    <x v="1"/>
    <x v="0"/>
    <n v="732"/>
    <s v="Dewatto River"/>
    <s v="Dewatto River"/>
    <s v="Mason"/>
    <x v="4"/>
    <s v="Thurston"/>
    <s v="08Thurston"/>
    <s v="South Puget Sound"/>
    <s v="02South Puget Sound"/>
    <n v="8.8333333333333304"/>
    <n v="30.386666666666699"/>
    <n v="8.8333333333333304"/>
    <n v="31.261523884744658"/>
  </r>
  <r>
    <n v="764"/>
    <x v="6"/>
    <s v="Freshwater"/>
    <x v="1"/>
    <x v="0"/>
    <n v="732"/>
    <s v="Dewatto River"/>
    <s v="Dewatto River"/>
    <s v="Mason"/>
    <x v="4"/>
    <s v="Kitsap"/>
    <s v="10Kitsap"/>
    <s v="South Puget Sound"/>
    <s v="02South Puget Sound"/>
    <n v="63"/>
    <n v="544.95000000000005"/>
    <n v="63"/>
    <n v="303.63195895913213"/>
  </r>
  <r>
    <n v="765"/>
    <x v="7"/>
    <s v="Freshwater"/>
    <x v="1"/>
    <x v="0"/>
    <n v="732"/>
    <s v="Dewatto River"/>
    <s v="Dewatto River"/>
    <s v="Mason"/>
    <x v="4"/>
    <s v="King"/>
    <s v="06King"/>
    <s v="South Puget Sound"/>
    <s v="02South Puget Sound"/>
    <n v="10.192307692307701"/>
    <n v="35.061538461538497"/>
    <n v="10.181818181818199"/>
    <n v="36.033866295966476"/>
  </r>
  <r>
    <n v="766"/>
    <x v="7"/>
    <s v="Freshwater"/>
    <x v="1"/>
    <x v="0"/>
    <n v="732"/>
    <s v="Dewatto River"/>
    <s v="Dewatto River"/>
    <s v="Mason"/>
    <x v="4"/>
    <s v="Kitsap"/>
    <s v="10Kitsap"/>
    <s v="South Puget Sound"/>
    <s v="02South Puget Sound"/>
    <n v="254.80769230769201"/>
    <n v="876.53846153846098"/>
    <n v="254.81818181818201"/>
    <n v="901.81185024637432"/>
  </r>
  <r>
    <n v="767"/>
    <x v="8"/>
    <s v="Freshwater"/>
    <x v="1"/>
    <x v="0"/>
    <n v="732"/>
    <s v="Dewatto River"/>
    <s v="Dewatto River"/>
    <s v="Mason"/>
    <x v="4"/>
    <s v="Kitsap"/>
    <s v="10Kitsap"/>
    <s v="South Puget Sound"/>
    <s v="02South Puget Sound"/>
    <n v="2"/>
    <n v="17.3"/>
    <n v="2"/>
    <n v="9.6391098082264168"/>
  </r>
  <r>
    <n v="649"/>
    <x v="1"/>
    <s v="Freshwater"/>
    <x v="1"/>
    <x v="0"/>
    <n v="734"/>
    <s v="Dosewallips River"/>
    <s v="Dosewallips River"/>
    <s v="Jefferson"/>
    <x v="4"/>
    <s v="King"/>
    <s v="06King"/>
    <s v="South Puget Sound"/>
    <s v="02South Puget Sound"/>
    <n v="9"/>
    <n v="30.96"/>
    <n v="9"/>
    <n v="31.851363958041738"/>
  </r>
  <r>
    <n v="650"/>
    <x v="1"/>
    <s v="Freshwater"/>
    <x v="1"/>
    <x v="0"/>
    <n v="734"/>
    <s v="Dosewallips River"/>
    <s v="Dosewallips River"/>
    <s v="Jefferson"/>
    <x v="4"/>
    <s v="Kitsap"/>
    <s v="10Kitsap"/>
    <s v="South Puget Sound"/>
    <s v="02South Puget Sound"/>
    <n v="9"/>
    <n v="30.96"/>
    <n v="9"/>
    <n v="31.851363958041738"/>
  </r>
  <r>
    <n v="831"/>
    <x v="5"/>
    <s v="Freshwater"/>
    <x v="1"/>
    <x v="0"/>
    <n v="734"/>
    <s v="Dosewallips River"/>
    <s v="Dosewallips River"/>
    <s v="Jefferson"/>
    <x v="4"/>
    <s v="Thurston"/>
    <s v="08Thurston"/>
    <s v="South Puget Sound"/>
    <s v="02South Puget Sound"/>
    <n v="18"/>
    <n v="61.92"/>
    <n v="18"/>
    <n v="63.702727916083475"/>
  </r>
  <r>
    <n v="631"/>
    <x v="0"/>
    <s v="Freshwater"/>
    <x v="1"/>
    <x v="0"/>
    <n v="736"/>
    <s v="Duckabush River"/>
    <s v="Duckabush River"/>
    <s v="Jefferson"/>
    <x v="4"/>
    <s v="Other"/>
    <s v="20Other"/>
    <s v="Non Puget Sound"/>
    <s v="07Non Puget Sound"/>
    <n v="6.3333333333333401"/>
    <n v="54.783333333333402"/>
    <n v="6"/>
    <n v="28.917329424679252"/>
  </r>
  <r>
    <n v="630"/>
    <x v="0"/>
    <s v="Freshwater"/>
    <x v="1"/>
    <x v="0"/>
    <n v="736"/>
    <s v="Duckabush River"/>
    <s v="Duckabush River"/>
    <s v="Jefferson"/>
    <x v="4"/>
    <s v="Thurston"/>
    <s v="08Thurston"/>
    <s v="South Puget Sound"/>
    <s v="02South Puget Sound"/>
    <n v="31.6666666666667"/>
    <n v="273.91666666666703"/>
    <n v="32"/>
    <n v="154.22575693162267"/>
  </r>
  <r>
    <n v="714"/>
    <x v="1"/>
    <s v="Freshwater"/>
    <x v="1"/>
    <x v="0"/>
    <n v="736"/>
    <s v="Duckabush River"/>
    <s v="Duckabush River"/>
    <s v="Jefferson"/>
    <x v="4"/>
    <s v="Kitsap"/>
    <s v="10Kitsap"/>
    <s v="South Puget Sound"/>
    <s v="02South Puget Sound"/>
    <n v="43.75"/>
    <n v="150.5"/>
    <n v="43.75"/>
    <n v="154.83301924048067"/>
  </r>
  <r>
    <n v="715"/>
    <x v="1"/>
    <s v="Freshwater"/>
    <x v="1"/>
    <x v="0"/>
    <n v="736"/>
    <s v="Duckabush River"/>
    <s v="Duckabush River"/>
    <s v="Jefferson"/>
    <x v="4"/>
    <s v="Other"/>
    <s v="20Other"/>
    <s v="Non Puget Sound"/>
    <s v="07Non Puget Sound"/>
    <n v="8.75"/>
    <n v="30.1"/>
    <n v="8.75"/>
    <n v="30.966603848096135"/>
  </r>
  <r>
    <n v="713"/>
    <x v="1"/>
    <s v="Freshwater"/>
    <x v="1"/>
    <x v="0"/>
    <n v="736"/>
    <s v="Duckabush River"/>
    <s v="Duckabush River"/>
    <s v="Jefferson"/>
    <x v="4"/>
    <s v="Thurston"/>
    <s v="08Thurston"/>
    <s v="South Puget Sound"/>
    <s v="02South Puget Sound"/>
    <n v="17.5"/>
    <n v="60.2"/>
    <n v="17.5"/>
    <n v="61.93320769619227"/>
  </r>
  <r>
    <n v="747"/>
    <x v="3"/>
    <s v="Freshwater"/>
    <x v="1"/>
    <x v="0"/>
    <n v="736"/>
    <s v="Duckabush River"/>
    <s v="Duckabush River"/>
    <s v="Jefferson"/>
    <x v="4"/>
    <s v="Kitsap"/>
    <s v="10Kitsap"/>
    <s v="South Puget Sound"/>
    <s v="02South Puget Sound"/>
    <n v="4"/>
    <n v="13.76"/>
    <n v="10"/>
    <n v="35.390404397824156"/>
  </r>
  <r>
    <n v="746"/>
    <x v="3"/>
    <s v="Freshwater"/>
    <x v="1"/>
    <x v="0"/>
    <n v="736"/>
    <s v="Duckabush River"/>
    <s v="Duckabush River"/>
    <s v="Jefferson"/>
    <x v="4"/>
    <s v="Thurston"/>
    <s v="08Thurston"/>
    <s v="South Puget Sound"/>
    <s v="02South Puget Sound"/>
    <n v="6"/>
    <n v="20.64"/>
    <n v="0"/>
    <n v="0"/>
  </r>
  <r>
    <n v="820"/>
    <x v="4"/>
    <s v="Freshwater"/>
    <x v="1"/>
    <x v="0"/>
    <n v="736"/>
    <s v="Duckabush River"/>
    <s v="Duckabush River"/>
    <s v="Jefferson"/>
    <x v="4"/>
    <s v="Kitsap"/>
    <s v="10Kitsap"/>
    <s v="South Puget Sound"/>
    <s v="02South Puget Sound"/>
    <n v="9"/>
    <n v="77.849999999999994"/>
    <n v="9"/>
    <n v="43.375994137018878"/>
  </r>
  <r>
    <n v="821"/>
    <x v="4"/>
    <s v="Freshwater"/>
    <x v="1"/>
    <x v="0"/>
    <n v="736"/>
    <s v="Duckabush River"/>
    <s v="Duckabush River"/>
    <s v="Jefferson"/>
    <x v="4"/>
    <s v="Other"/>
    <s v="20Other"/>
    <s v="Non Puget Sound"/>
    <s v="07Non Puget Sound"/>
    <n v="9"/>
    <n v="77.849999999999994"/>
    <n v="9"/>
    <n v="43.375994137018878"/>
  </r>
  <r>
    <n v="926"/>
    <x v="7"/>
    <s v="Freshwater"/>
    <x v="1"/>
    <x v="0"/>
    <n v="736"/>
    <s v="Duckabush River"/>
    <s v="Duckabush River"/>
    <s v="Jefferson"/>
    <x v="4"/>
    <s v="Jefferson"/>
    <s v="12Jefferson"/>
    <s v="Strait of Juan de Fuca"/>
    <s v="03Strait of Juan de Fuca"/>
    <n v="21"/>
    <n v="72.239999999999995"/>
    <n v="21"/>
    <n v="74.319849235430723"/>
  </r>
  <r>
    <n v="953"/>
    <x v="9"/>
    <s v="Freshwater"/>
    <x v="1"/>
    <x v="0"/>
    <n v="736"/>
    <s v="Duckabush River"/>
    <s v="Duckabush River"/>
    <s v="Jefferson"/>
    <x v="4"/>
    <s v="King"/>
    <s v="06King"/>
    <s v="South Puget Sound"/>
    <s v="02South Puget Sound"/>
    <n v="11"/>
    <n v="37.840000000000003"/>
    <n v="11"/>
    <n v="38.929444837606567"/>
  </r>
  <r>
    <n v="1033"/>
    <x v="10"/>
    <s v="Freshwater"/>
    <x v="1"/>
    <x v="0"/>
    <n v="736"/>
    <s v="Duckabush River"/>
    <s v="Duckabush River"/>
    <s v="Jefferson"/>
    <x v="4"/>
    <s v="Jefferson"/>
    <s v="12Jefferson"/>
    <s v="Strait of Juan de Fuca"/>
    <s v="03Strait of Juan de Fuca"/>
    <n v="7"/>
    <n v="60.55"/>
    <n v="7"/>
    <n v="33.736884328792456"/>
  </r>
  <r>
    <n v="1267"/>
    <x v="0"/>
    <s v="Freshwater"/>
    <x v="1"/>
    <x v="0"/>
    <n v="738"/>
    <s v="Dungeness River"/>
    <s v="Dungeness River"/>
    <s v="Clallam"/>
    <x v="0"/>
    <s v="Clallam"/>
    <s v="11Clallam"/>
    <s v="Strait of Juan de Fuca"/>
    <s v="03Strait of Juan de Fuca"/>
    <n v="201.513513513514"/>
    <n v="1743.0918918919001"/>
    <n v="201.53146853146851"/>
    <n v="971.29197749397576"/>
  </r>
  <r>
    <n v="1265"/>
    <x v="0"/>
    <s v="Freshwater"/>
    <x v="1"/>
    <x v="0"/>
    <n v="738"/>
    <s v="Dungeness River"/>
    <s v="Dungeness River"/>
    <s v="Clallam"/>
    <x v="0"/>
    <s v="King"/>
    <s v="06King"/>
    <s v="South Puget Sound"/>
    <s v="02South Puget Sound"/>
    <n v="6.2972972972973"/>
    <n v="54.471621621621701"/>
    <n v="6.3076923076923102"/>
    <n v="30.400269395175634"/>
  </r>
  <r>
    <n v="1266"/>
    <x v="0"/>
    <s v="Freshwater"/>
    <x v="1"/>
    <x v="0"/>
    <n v="738"/>
    <s v="Dungeness River"/>
    <s v="Dungeness River"/>
    <s v="Clallam"/>
    <x v="0"/>
    <s v="Kitsap"/>
    <s v="10Kitsap"/>
    <s v="South Puget Sound"/>
    <s v="02South Puget Sound"/>
    <n v="25.1891891891892"/>
    <n v="217.886486486487"/>
    <n v="25.160839160839103"/>
    <n v="121.26404576922576"/>
  </r>
  <r>
    <n v="1402"/>
    <x v="1"/>
    <s v="Freshwater"/>
    <x v="1"/>
    <x v="0"/>
    <n v="738"/>
    <s v="Dungeness River"/>
    <s v="Dungeness River"/>
    <s v="Clallam"/>
    <x v="0"/>
    <s v="Clallam"/>
    <s v="11Clallam"/>
    <s v="Strait of Juan de Fuca"/>
    <s v="03Strait of Juan de Fuca"/>
    <n v="1483.04498269896"/>
    <n v="5101.67474048442"/>
    <n v="1498.458571974036"/>
    <n v="5303.105483554722"/>
  </r>
  <r>
    <n v="1403"/>
    <x v="1"/>
    <s v="Freshwater"/>
    <x v="1"/>
    <x v="0"/>
    <n v="738"/>
    <s v="Dungeness River"/>
    <s v="Dungeness River"/>
    <s v="Clallam"/>
    <x v="0"/>
    <s v="Jefferson"/>
    <s v="12Jefferson"/>
    <s v="Strait of Juan de Fuca"/>
    <s v="03Strait of Juan de Fuca"/>
    <n v="296.60899653979197"/>
    <n v="1020.33494809688"/>
    <n v="299.78566883034262"/>
    <n v="1060.9536052578012"/>
  </r>
  <r>
    <n v="1401"/>
    <x v="1"/>
    <s v="Freshwater"/>
    <x v="1"/>
    <x v="0"/>
    <n v="738"/>
    <s v="Dungeness River"/>
    <s v="Dungeness River"/>
    <s v="Clallam"/>
    <x v="0"/>
    <s v="Kitsap"/>
    <s v="10Kitsap"/>
    <s v="South Puget Sound"/>
    <s v="02South Puget Sound"/>
    <n v="200.21107266435999"/>
    <n v="688.72608996539805"/>
    <n v="179.8722158584703"/>
    <n v="636.57504591639827"/>
  </r>
  <r>
    <n v="1404"/>
    <x v="1"/>
    <s v="Freshwater"/>
    <x v="1"/>
    <x v="0"/>
    <n v="738"/>
    <s v="Dungeness River"/>
    <s v="Dungeness River"/>
    <s v="Clallam"/>
    <x v="0"/>
    <s v="Other"/>
    <s v="20Other"/>
    <s v="Non Puget Sound"/>
    <s v="07Non Puget Sound"/>
    <n v="118.643598615917"/>
    <n v="408.13397923875402"/>
    <n v="119.917525773196"/>
    <n v="424.39297314999072"/>
  </r>
  <r>
    <n v="1400"/>
    <x v="1"/>
    <s v="Freshwater"/>
    <x v="1"/>
    <x v="0"/>
    <n v="738"/>
    <s v="Dungeness River"/>
    <s v="Dungeness River"/>
    <s v="Clallam"/>
    <x v="0"/>
    <s v="Pierce"/>
    <s v="07Pierce"/>
    <s v="South Puget Sound"/>
    <s v="02South Puget Sound"/>
    <n v="7.4152249134948098"/>
    <n v="25.508373702422102"/>
    <n v="7.4948453608247396"/>
    <n v="26.524560821874381"/>
  </r>
  <r>
    <n v="1399"/>
    <x v="1"/>
    <s v="Freshwater"/>
    <x v="1"/>
    <x v="0"/>
    <n v="738"/>
    <s v="Dungeness River"/>
    <s v="Dungeness River"/>
    <s v="Clallam"/>
    <x v="0"/>
    <s v="Skagit"/>
    <s v="02Skagit"/>
    <s v="North Puget Sound"/>
    <s v="01North Puget Sound"/>
    <n v="37.076124567474103"/>
    <n v="127.54186851211099"/>
    <n v="37.471172203130998"/>
    <n v="132.61199375293134"/>
  </r>
  <r>
    <n v="1588"/>
    <x v="2"/>
    <s v="Freshwater"/>
    <x v="1"/>
    <x v="0"/>
    <n v="738"/>
    <s v="Dungeness River"/>
    <s v="Dungeness River"/>
    <s v="Clallam"/>
    <x v="0"/>
    <s v="Clallam"/>
    <s v="11Clallam"/>
    <s v="Strait of Juan de Fuca"/>
    <s v="03Strait of Juan de Fuca"/>
    <n v="830.25384615384598"/>
    <n v="7181.6957692307697"/>
    <n v="830.25"/>
    <n v="4001.4354591399915"/>
  </r>
  <r>
    <n v="1589"/>
    <x v="2"/>
    <s v="Freshwater"/>
    <x v="1"/>
    <x v="0"/>
    <n v="738"/>
    <s v="Dungeness River"/>
    <s v="Dungeness River"/>
    <s v="Clallam"/>
    <x v="0"/>
    <s v="Jefferson"/>
    <s v="12Jefferson"/>
    <s v="Strait of Juan de Fuca"/>
    <s v="03Strait of Juan de Fuca"/>
    <n v="27.907692307692301"/>
    <n v="241.401538461538"/>
    <n v="27.923076923076898"/>
    <n v="134.57680232254563"/>
  </r>
  <r>
    <n v="1587"/>
    <x v="2"/>
    <s v="Freshwater"/>
    <x v="1"/>
    <x v="0"/>
    <n v="738"/>
    <s v="Dungeness River"/>
    <s v="Dungeness River"/>
    <s v="Clallam"/>
    <x v="0"/>
    <s v="Kitsap"/>
    <s v="10Kitsap"/>
    <s v="South Puget Sound"/>
    <s v="02South Puget Sound"/>
    <n v="20.930769230769201"/>
    <n v="181.05115384615399"/>
    <n v="20.929487179487232"/>
    <n v="100.87081257647222"/>
  </r>
  <r>
    <n v="1590"/>
    <x v="2"/>
    <s v="Freshwater"/>
    <x v="1"/>
    <x v="0"/>
    <n v="738"/>
    <s v="Dungeness River"/>
    <s v="Dungeness River"/>
    <s v="Clallam"/>
    <x v="0"/>
    <s v="Other"/>
    <s v="20Other"/>
    <s v="Non Puget Sound"/>
    <s v="07Non Puget Sound"/>
    <n v="6.9769230769230797"/>
    <n v="60.350384615384598"/>
    <n v="6.9743589743589798"/>
    <n v="33.613305997917784"/>
  </r>
  <r>
    <n v="1586"/>
    <x v="2"/>
    <s v="Freshwater"/>
    <x v="1"/>
    <x v="0"/>
    <n v="738"/>
    <s v="Dungeness River"/>
    <s v="Dungeness River"/>
    <s v="Clallam"/>
    <x v="0"/>
    <s v="Pierce"/>
    <s v="07Pierce"/>
    <s v="South Puget Sound"/>
    <s v="02South Puget Sound"/>
    <n v="20.930769230769201"/>
    <n v="181.05115384615399"/>
    <n v="20.923076923076898"/>
    <n v="100.83991799375316"/>
  </r>
  <r>
    <n v="1746"/>
    <x v="3"/>
    <s v="Freshwater"/>
    <x v="1"/>
    <x v="0"/>
    <n v="738"/>
    <s v="Dungeness River"/>
    <s v="Dungeness River"/>
    <s v="Clallam"/>
    <x v="0"/>
    <s v="Clallam"/>
    <s v="11Clallam"/>
    <s v="Strait of Juan de Fuca"/>
    <s v="03Strait of Juan de Fuca"/>
    <n v="1122.3525641025601"/>
    <n v="3860.89282051281"/>
    <n v="1122.3496503496531"/>
    <n v="3972.0408001630763"/>
  </r>
  <r>
    <n v="1743"/>
    <x v="3"/>
    <s v="Freshwater"/>
    <x v="1"/>
    <x v="0"/>
    <n v="738"/>
    <s v="Dungeness River"/>
    <s v="Dungeness River"/>
    <s v="Clallam"/>
    <x v="0"/>
    <s v="King"/>
    <s v="06King"/>
    <s v="South Puget Sound"/>
    <s v="02South Puget Sound"/>
    <n v="18.551282051282101"/>
    <n v="63.8164102564104"/>
    <n v="18.5454545454546"/>
    <n v="65.633113610510435"/>
  </r>
  <r>
    <n v="1745"/>
    <x v="3"/>
    <s v="Freshwater"/>
    <x v="1"/>
    <x v="0"/>
    <n v="738"/>
    <s v="Dungeness River"/>
    <s v="Dungeness River"/>
    <s v="Clallam"/>
    <x v="0"/>
    <s v="Kitsap"/>
    <s v="10Kitsap"/>
    <s v="South Puget Sound"/>
    <s v="02South Puget Sound"/>
    <n v="120.583333333333"/>
    <n v="414.80666666666599"/>
    <n v="120.545454545455"/>
    <n v="426.61523846831824"/>
  </r>
  <r>
    <n v="1747"/>
    <x v="3"/>
    <s v="Freshwater"/>
    <x v="1"/>
    <x v="0"/>
    <n v="738"/>
    <s v="Dungeness River"/>
    <s v="Dungeness River"/>
    <s v="Clallam"/>
    <x v="0"/>
    <s v="Other"/>
    <s v="20Other"/>
    <s v="Non Puget Sound"/>
    <s v="07Non Puget Sound"/>
    <n v="83.480769230769297"/>
    <n v="287.173846153846"/>
    <n v="83.454545454545496"/>
    <n v="295.34901124729629"/>
  </r>
  <r>
    <n v="1744"/>
    <x v="3"/>
    <s v="Freshwater"/>
    <x v="1"/>
    <x v="0"/>
    <n v="738"/>
    <s v="Dungeness River"/>
    <s v="Dungeness River"/>
    <s v="Clallam"/>
    <x v="0"/>
    <s v="Pierce"/>
    <s v="07Pierce"/>
    <s v="South Puget Sound"/>
    <s v="02South Puget Sound"/>
    <n v="74.205128205128204"/>
    <n v="255.265641025641"/>
    <n v="74.181818181818201"/>
    <n v="262.53245444204106"/>
  </r>
  <r>
    <n v="1742"/>
    <x v="3"/>
    <s v="Freshwater"/>
    <x v="1"/>
    <x v="0"/>
    <n v="738"/>
    <s v="Dungeness River"/>
    <s v="Dungeness River"/>
    <s v="Clallam"/>
    <x v="0"/>
    <s v="Snohomish"/>
    <s v="03Snohomish"/>
    <s v="North Puget Sound"/>
    <s v="01North Puget Sound"/>
    <n v="27.826923076923102"/>
    <n v="95.724615384615504"/>
    <n v="27.923076923076898"/>
    <n v="98.820898433924285"/>
  </r>
  <r>
    <n v="1923"/>
    <x v="4"/>
    <s v="Freshwater"/>
    <x v="1"/>
    <x v="0"/>
    <n v="738"/>
    <s v="Dungeness River"/>
    <s v="Dungeness River"/>
    <s v="Clallam"/>
    <x v="0"/>
    <s v="Clallam"/>
    <s v="11Clallam"/>
    <s v="Strait of Juan de Fuca"/>
    <s v="03Strait of Juan de Fuca"/>
    <n v="391.5"/>
    <n v="3386.4749999999999"/>
    <n v="391.5"/>
    <n v="1886.8557449603211"/>
  </r>
  <r>
    <n v="1922"/>
    <x v="4"/>
    <s v="Freshwater"/>
    <x v="1"/>
    <x v="0"/>
    <n v="738"/>
    <s v="Dungeness River"/>
    <s v="Dungeness River"/>
    <s v="Clallam"/>
    <x v="0"/>
    <s v="Kitsap"/>
    <s v="10Kitsap"/>
    <s v="South Puget Sound"/>
    <s v="02South Puget Sound"/>
    <n v="58"/>
    <n v="501.7"/>
    <n v="58"/>
    <n v="279.53418443856611"/>
  </r>
  <r>
    <n v="1924"/>
    <x v="4"/>
    <s v="Freshwater"/>
    <x v="1"/>
    <x v="0"/>
    <n v="738"/>
    <s v="Dungeness River"/>
    <s v="Dungeness River"/>
    <s v="Clallam"/>
    <x v="0"/>
    <s v="Other"/>
    <s v="20Other"/>
    <s v="Non Puget Sound"/>
    <s v="07Non Puget Sound"/>
    <n v="14.5"/>
    <n v="125.425"/>
    <n v="14.5"/>
    <n v="69.883546109641529"/>
  </r>
  <r>
    <n v="2064"/>
    <x v="5"/>
    <s v="Freshwater"/>
    <x v="1"/>
    <x v="0"/>
    <n v="738"/>
    <s v="Dungeness River"/>
    <s v="Dungeness River"/>
    <s v="Clallam"/>
    <x v="0"/>
    <s v="Clallam"/>
    <s v="11Clallam"/>
    <s v="Strait of Juan de Fuca"/>
    <s v="03Strait of Juan de Fuca"/>
    <n v="321.28205128205099"/>
    <n v="1105.2102564102599"/>
    <n v="321.36842105263202"/>
    <n v="1137.3358381742873"/>
  </r>
  <r>
    <n v="2063"/>
    <x v="5"/>
    <s v="Freshwater"/>
    <x v="1"/>
    <x v="0"/>
    <n v="738"/>
    <s v="Dungeness River"/>
    <s v="Dungeness River"/>
    <s v="Clallam"/>
    <x v="0"/>
    <s v="Kitsap"/>
    <s v="10Kitsap"/>
    <s v="South Puget Sound"/>
    <s v="02South Puget Sound"/>
    <n v="27.538461538461501"/>
    <n v="94.7323076923076"/>
    <n v="27.473684210526301"/>
    <n v="97.230479450864195"/>
  </r>
  <r>
    <n v="2062"/>
    <x v="5"/>
    <s v="Freshwater"/>
    <x v="1"/>
    <x v="0"/>
    <n v="738"/>
    <s v="Dungeness River"/>
    <s v="Dungeness River"/>
    <s v="Clallam"/>
    <x v="0"/>
    <s v="Pierce"/>
    <s v="07Pierce"/>
    <s v="South Puget Sound"/>
    <s v="02South Puget Sound"/>
    <n v="9.1794871794871806"/>
    <n v="31.577435897435901"/>
    <n v="9.1578947368421098"/>
    <n v="32.410159816954767"/>
  </r>
  <r>
    <n v="2210"/>
    <x v="6"/>
    <s v="Freshwater"/>
    <x v="1"/>
    <x v="0"/>
    <n v="738"/>
    <s v="Dungeness River"/>
    <s v="Dungeness River"/>
    <s v="Clallam"/>
    <x v="0"/>
    <s v="Clallam"/>
    <s v="11Clallam"/>
    <s v="Strait of Juan de Fuca"/>
    <s v="03Strait of Juan de Fuca"/>
    <n v="589.91463414634097"/>
    <n v="5102.7615853658499"/>
    <n v="591.42857142857201"/>
    <n v="2850.4224718612431"/>
  </r>
  <r>
    <n v="2211"/>
    <x v="6"/>
    <s v="Freshwater"/>
    <x v="1"/>
    <x v="0"/>
    <n v="738"/>
    <s v="Dungeness River"/>
    <s v="Dungeness River"/>
    <s v="Clallam"/>
    <x v="0"/>
    <s v="Jefferson"/>
    <s v="12Jefferson"/>
    <s v="Strait of Juan de Fuca"/>
    <s v="03Strait of Juan de Fuca"/>
    <n v="38.682926829268297"/>
    <n v="334.60731707317098"/>
    <n v="37.015873015872998"/>
    <n v="178.4000323236825"/>
  </r>
  <r>
    <n v="2205"/>
    <x v="6"/>
    <s v="Freshwater"/>
    <x v="1"/>
    <x v="0"/>
    <n v="738"/>
    <s v="Dungeness River"/>
    <s v="Dungeness River"/>
    <s v="Clallam"/>
    <x v="0"/>
    <s v="King"/>
    <s v="06King"/>
    <s v="South Puget Sound"/>
    <s v="02South Puget Sound"/>
    <n v="9.6707317073170795"/>
    <n v="83.651829268292701"/>
    <n v="9.2539682539682602"/>
    <n v="44.600008080920674"/>
  </r>
  <r>
    <n v="2209"/>
    <x v="6"/>
    <s v="Freshwater"/>
    <x v="1"/>
    <x v="0"/>
    <n v="738"/>
    <s v="Dungeness River"/>
    <s v="Dungeness River"/>
    <s v="Clallam"/>
    <x v="0"/>
    <s v="Kitsap"/>
    <s v="10Kitsap"/>
    <s v="South Puget Sound"/>
    <s v="02South Puget Sound"/>
    <n v="67.695121951219505"/>
    <n v="585.56280487804895"/>
    <n v="72.015873015872998"/>
    <n v="347.08445396764478"/>
  </r>
  <r>
    <n v="2208"/>
    <x v="6"/>
    <s v="Freshwater"/>
    <x v="1"/>
    <x v="0"/>
    <n v="738"/>
    <s v="Dungeness River"/>
    <s v="Dungeness River"/>
    <s v="Clallam"/>
    <x v="0"/>
    <s v="Mason"/>
    <s v="09Mason"/>
    <s v="South Puget Sound"/>
    <s v="02South Puget Sound"/>
    <n v="9.6707317073170795"/>
    <n v="83.651829268292701"/>
    <n v="9.2539682539682602"/>
    <n v="44.600008080920674"/>
  </r>
  <r>
    <n v="2212"/>
    <x v="6"/>
    <s v="Freshwater"/>
    <x v="1"/>
    <x v="0"/>
    <n v="738"/>
    <s v="Dungeness River"/>
    <s v="Dungeness River"/>
    <s v="Clallam"/>
    <x v="0"/>
    <s v="Other"/>
    <s v="20Other"/>
    <s v="Non Puget Sound"/>
    <s v="07Non Puget Sound"/>
    <n v="38.682926829268297"/>
    <n v="334.60731707317098"/>
    <n v="37.015873015872998"/>
    <n v="178.4000323236825"/>
  </r>
  <r>
    <n v="2206"/>
    <x v="6"/>
    <s v="Freshwater"/>
    <x v="1"/>
    <x v="0"/>
    <n v="738"/>
    <s v="Dungeness River"/>
    <s v="Dungeness River"/>
    <s v="Clallam"/>
    <x v="0"/>
    <s v="Pierce"/>
    <s v="07Pierce"/>
    <s v="South Puget Sound"/>
    <s v="02South Puget Sound"/>
    <n v="19.341463414634202"/>
    <n v="167.303658536586"/>
    <n v="18.507936507936499"/>
    <n v="89.200016161841248"/>
  </r>
  <r>
    <n v="2207"/>
    <x v="6"/>
    <s v="Freshwater"/>
    <x v="1"/>
    <x v="0"/>
    <n v="738"/>
    <s v="Dungeness River"/>
    <s v="Dungeness River"/>
    <s v="Clallam"/>
    <x v="0"/>
    <s v="Thurston"/>
    <s v="08Thurston"/>
    <s v="South Puget Sound"/>
    <s v="02South Puget Sound"/>
    <n v="19.341463414634202"/>
    <n v="167.303658536586"/>
    <n v="18.507936507936499"/>
    <n v="89.200016161841248"/>
  </r>
  <r>
    <n v="2321"/>
    <x v="7"/>
    <s v="Freshwater"/>
    <x v="1"/>
    <x v="0"/>
    <n v="738"/>
    <s v="Dungeness River"/>
    <s v="Dungeness River"/>
    <s v="Clallam"/>
    <x v="0"/>
    <s v="Clallam"/>
    <s v="11Clallam"/>
    <s v="Strait of Juan de Fuca"/>
    <s v="03Strait of Juan de Fuca"/>
    <n v="757.28155339805801"/>
    <n v="2605.04854368932"/>
    <n v="764.62878787878799"/>
    <n v="2706.0522017248409"/>
  </r>
  <r>
    <n v="2322"/>
    <x v="7"/>
    <s v="Freshwater"/>
    <x v="1"/>
    <x v="0"/>
    <n v="738"/>
    <s v="Dungeness River"/>
    <s v="Dungeness River"/>
    <s v="Clallam"/>
    <x v="0"/>
    <s v="Jefferson"/>
    <s v="12Jefferson"/>
    <s v="Strait of Juan de Fuca"/>
    <s v="03Strait of Juan de Fuca"/>
    <n v="80.776699029126206"/>
    <n v="277.87184466019397"/>
    <n v="81.5713012477718"/>
    <n v="288.6841338415382"/>
  </r>
  <r>
    <n v="2317"/>
    <x v="7"/>
    <s v="Freshwater"/>
    <x v="1"/>
    <x v="0"/>
    <n v="738"/>
    <s v="Dungeness River"/>
    <s v="Dungeness River"/>
    <s v="Clallam"/>
    <x v="0"/>
    <s v="King"/>
    <s v="06King"/>
    <s v="South Puget Sound"/>
    <s v="02South Puget Sound"/>
    <n v="141.359223300971"/>
    <n v="486.27572815534"/>
    <n v="142.84402852049911"/>
    <n v="505.53079351547905"/>
  </r>
  <r>
    <n v="2320"/>
    <x v="7"/>
    <s v="Freshwater"/>
    <x v="1"/>
    <x v="0"/>
    <n v="738"/>
    <s v="Dungeness River"/>
    <s v="Dungeness River"/>
    <s v="Clallam"/>
    <x v="0"/>
    <s v="Kitsap"/>
    <s v="10Kitsap"/>
    <s v="South Puget Sound"/>
    <s v="02South Puget Sound"/>
    <n v="30.291262135922299"/>
    <n v="104.201941747573"/>
    <n v="30.573529411764699"/>
    <n v="108.20095697511235"/>
  </r>
  <r>
    <n v="2319"/>
    <x v="7"/>
    <s v="Freshwater"/>
    <x v="1"/>
    <x v="0"/>
    <n v="738"/>
    <s v="Dungeness River"/>
    <s v="Dungeness River"/>
    <s v="Clallam"/>
    <x v="0"/>
    <s v="Mason"/>
    <s v="09Mason"/>
    <s v="South Puget Sound"/>
    <s v="02South Puget Sound"/>
    <n v="10.097087378640801"/>
    <n v="34.733980582524403"/>
    <n v="0"/>
    <n v="0"/>
  </r>
  <r>
    <n v="2323"/>
    <x v="7"/>
    <s v="Freshwater"/>
    <x v="1"/>
    <x v="0"/>
    <n v="738"/>
    <s v="Dungeness River"/>
    <s v="Dungeness River"/>
    <s v="Clallam"/>
    <x v="0"/>
    <s v="Other"/>
    <s v="20Other"/>
    <s v="Non Puget Sound"/>
    <s v="07Non Puget Sound"/>
    <n v="10.097087378640801"/>
    <n v="34.733980582524403"/>
    <n v="10.1911764705882"/>
    <n v="36.066985658370669"/>
  </r>
  <r>
    <n v="2318"/>
    <x v="7"/>
    <s v="Freshwater"/>
    <x v="1"/>
    <x v="0"/>
    <n v="738"/>
    <s v="Dungeness River"/>
    <s v="Dungeness River"/>
    <s v="Clallam"/>
    <x v="0"/>
    <s v="Pierce"/>
    <s v="07Pierce"/>
    <s v="South Puget Sound"/>
    <s v="02South Puget Sound"/>
    <n v="10.097087378640801"/>
    <n v="34.733980582524403"/>
    <n v="10.1911764705882"/>
    <n v="36.066985658370669"/>
  </r>
  <r>
    <n v="2432"/>
    <x v="8"/>
    <s v="Freshwater"/>
    <x v="1"/>
    <x v="0"/>
    <n v="738"/>
    <s v="Dungeness River"/>
    <s v="Dungeness River"/>
    <s v="Clallam"/>
    <x v="0"/>
    <s v="Clallam"/>
    <s v="11Clallam"/>
    <s v="Strait of Juan de Fuca"/>
    <s v="03Strait of Juan de Fuca"/>
    <n v="171.61904761904799"/>
    <n v="1484.50476190477"/>
    <n v="171.529411764706"/>
    <n v="826.6954176702427"/>
  </r>
  <r>
    <n v="2431"/>
    <x v="8"/>
    <s v="Freshwater"/>
    <x v="1"/>
    <x v="0"/>
    <n v="738"/>
    <s v="Dungeness River"/>
    <s v="Dungeness River"/>
    <s v="Clallam"/>
    <x v="0"/>
    <s v="Kitsap"/>
    <s v="10Kitsap"/>
    <s v="South Puget Sound"/>
    <s v="02South Puget Sound"/>
    <n v="30.285714285714299"/>
    <n v="261.97142857142899"/>
    <n v="30.352941176470601"/>
    <n v="146.28766650131863"/>
  </r>
  <r>
    <n v="2430"/>
    <x v="8"/>
    <s v="Freshwater"/>
    <x v="1"/>
    <x v="0"/>
    <n v="738"/>
    <s v="Dungeness River"/>
    <s v="Dungeness River"/>
    <s v="Clallam"/>
    <x v="0"/>
    <s v="Pierce"/>
    <s v="07Pierce"/>
    <s v="South Puget Sound"/>
    <s v="02South Puget Sound"/>
    <n v="10.0952380952381"/>
    <n v="87.323809523809601"/>
    <n v="10.117647058823501"/>
    <n v="48.762555500439383"/>
  </r>
  <r>
    <n v="2545"/>
    <x v="9"/>
    <s v="Freshwater"/>
    <x v="1"/>
    <x v="0"/>
    <n v="738"/>
    <s v="Dungeness River"/>
    <s v="Dungeness River"/>
    <s v="Clallam"/>
    <x v="0"/>
    <s v="Clallam"/>
    <s v="11Clallam"/>
    <s v="Strait of Juan de Fuca"/>
    <s v="03Strait of Juan de Fuca"/>
    <n v="528.82758620689697"/>
    <n v="1819.1668965517299"/>
    <n v="538.11428571428598"/>
    <n v="1904.4082183674871"/>
  </r>
  <r>
    <n v="2546"/>
    <x v="9"/>
    <s v="Freshwater"/>
    <x v="1"/>
    <x v="0"/>
    <n v="738"/>
    <s v="Dungeness River"/>
    <s v="Dungeness River"/>
    <s v="Clallam"/>
    <x v="0"/>
    <s v="Jefferson"/>
    <s v="12Jefferson"/>
    <s v="Strait of Juan de Fuca"/>
    <s v="03Strait of Juan de Fuca"/>
    <n v="55.086206896551701"/>
    <n v="189.49655172413799"/>
    <n v="44.828571428571394"/>
    <n v="158.65012714338872"/>
  </r>
  <r>
    <n v="2544"/>
    <x v="9"/>
    <s v="Freshwater"/>
    <x v="1"/>
    <x v="0"/>
    <n v="738"/>
    <s v="Dungeness River"/>
    <s v="Dungeness River"/>
    <s v="Clallam"/>
    <x v="0"/>
    <s v="Mason"/>
    <s v="09Mason"/>
    <s v="South Puget Sound"/>
    <s v="02South Puget Sound"/>
    <n v="11.017241379310301"/>
    <n v="37.899310344827398"/>
    <n v="11.214285714285699"/>
    <n v="39.687810646131318"/>
  </r>
  <r>
    <n v="2543"/>
    <x v="9"/>
    <s v="Freshwater"/>
    <x v="1"/>
    <x v="0"/>
    <n v="738"/>
    <s v="Dungeness River"/>
    <s v="Dungeness River"/>
    <s v="Clallam"/>
    <x v="0"/>
    <s v="Pierce"/>
    <s v="07Pierce"/>
    <s v="South Puget Sound"/>
    <s v="02South Puget Sound"/>
    <n v="44.068965517241402"/>
    <n v="151.59724137930999"/>
    <n v="44.842857142857099"/>
    <n v="158.70068486395701"/>
  </r>
  <r>
    <n v="2672"/>
    <x v="10"/>
    <s v="Freshwater"/>
    <x v="1"/>
    <x v="0"/>
    <n v="738"/>
    <s v="Dungeness River"/>
    <s v="Dungeness River"/>
    <s v="Clallam"/>
    <x v="0"/>
    <s v="Clallam"/>
    <s v="11Clallam"/>
    <s v="Strait of Juan de Fuca"/>
    <s v="03Strait of Juan de Fuca"/>
    <n v="132.42307692307699"/>
    <n v="1145.4596153846201"/>
    <n v="132.38095238095241"/>
    <n v="638.01726825879632"/>
  </r>
  <r>
    <n v="2673"/>
    <x v="10"/>
    <s v="Freshwater"/>
    <x v="1"/>
    <x v="0"/>
    <n v="738"/>
    <s v="Dungeness River"/>
    <s v="Dungeness River"/>
    <s v="Clallam"/>
    <x v="0"/>
    <s v="Jefferson"/>
    <s v="12Jefferson"/>
    <s v="Strait of Juan de Fuca"/>
    <s v="03Strait of Juan de Fuca"/>
    <n v="48.153846153846203"/>
    <n v="416.53076923076998"/>
    <n v="48.190476190476197"/>
    <n v="232.25664585536035"/>
  </r>
  <r>
    <n v="2671"/>
    <x v="10"/>
    <s v="Freshwater"/>
    <x v="1"/>
    <x v="0"/>
    <n v="738"/>
    <s v="Dungeness River"/>
    <s v="Dungeness River"/>
    <s v="Clallam"/>
    <x v="0"/>
    <s v="Kitsap"/>
    <s v="10Kitsap"/>
    <s v="South Puget Sound"/>
    <s v="02South Puget Sound"/>
    <n v="24.076923076923102"/>
    <n v="208.26538461538499"/>
    <n v="24"/>
    <n v="115.66931769871701"/>
  </r>
  <r>
    <n v="2674"/>
    <x v="10"/>
    <s v="Freshwater"/>
    <x v="1"/>
    <x v="0"/>
    <n v="738"/>
    <s v="Dungeness River"/>
    <s v="Dungeness River"/>
    <s v="Clallam"/>
    <x v="0"/>
    <s v="Other"/>
    <s v="20Other"/>
    <s v="Non Puget Sound"/>
    <s v="07Non Puget Sound"/>
    <n v="12.038461538461499"/>
    <n v="104.132692307692"/>
    <n v="12.047619047619101"/>
    <n v="58.064161463840335"/>
  </r>
  <r>
    <n v="2670"/>
    <x v="10"/>
    <s v="Freshwater"/>
    <x v="1"/>
    <x v="0"/>
    <n v="738"/>
    <s v="Dungeness River"/>
    <s v="Dungeness River"/>
    <s v="Clallam"/>
    <x v="0"/>
    <s v="Pierce"/>
    <s v="07Pierce"/>
    <s v="South Puget Sound"/>
    <s v="02South Puget Sound"/>
    <n v="96.307692307692307"/>
    <n v="833.06153846153802"/>
    <n v="96.380952380952394"/>
    <n v="464.51329171072069"/>
  </r>
  <r>
    <n v="2781"/>
    <x v="11"/>
    <s v="Freshwater"/>
    <x v="1"/>
    <x v="0"/>
    <n v="738"/>
    <s v="Dungeness River"/>
    <s v="Dungeness River"/>
    <s v="Clallam"/>
    <x v="0"/>
    <s v="Clallam"/>
    <s v="11Clallam"/>
    <s v="Strait of Juan de Fuca"/>
    <s v="03Strait of Juan de Fuca"/>
    <n v="875.69655172413798"/>
    <n v="3012.3961379310299"/>
    <n v="875.65725047081003"/>
    <n v="3098.9864208048762"/>
  </r>
  <r>
    <n v="2782"/>
    <x v="11"/>
    <s v="Freshwater"/>
    <x v="1"/>
    <x v="0"/>
    <n v="738"/>
    <s v="Dungeness River"/>
    <s v="Dungeness River"/>
    <s v="Clallam"/>
    <x v="0"/>
    <s v="Jefferson"/>
    <s v="12Jefferson"/>
    <s v="Strait of Juan de Fuca"/>
    <s v="03Strait of Juan de Fuca"/>
    <n v="84.744827586206895"/>
    <n v="291.52220689655201"/>
    <n v="84.730696798493398"/>
    <n v="299.86536246081056"/>
  </r>
  <r>
    <n v="2777"/>
    <x v="11"/>
    <s v="Freshwater"/>
    <x v="1"/>
    <x v="0"/>
    <n v="738"/>
    <s v="Dungeness River"/>
    <s v="Dungeness River"/>
    <s v="Clallam"/>
    <x v="0"/>
    <s v="King"/>
    <s v="06King"/>
    <s v="South Puget Sound"/>
    <s v="02South Puget Sound"/>
    <n v="296.60689655172399"/>
    <n v="1020.32772413793"/>
    <n v="296.57344632768371"/>
    <n v="1049.5854199193122"/>
  </r>
  <r>
    <n v="2780"/>
    <x v="11"/>
    <s v="Freshwater"/>
    <x v="1"/>
    <x v="0"/>
    <n v="738"/>
    <s v="Dungeness River"/>
    <s v="Dungeness River"/>
    <s v="Clallam"/>
    <x v="0"/>
    <s v="Kitsap"/>
    <s v="10Kitsap"/>
    <s v="South Puget Sound"/>
    <s v="02South Puget Sound"/>
    <n v="607.33793103448295"/>
    <n v="2089.2424827586201"/>
    <n v="607.4500941619591"/>
    <n v="2149.7904483888092"/>
  </r>
  <r>
    <n v="2779"/>
    <x v="11"/>
    <s v="Freshwater"/>
    <x v="1"/>
    <x v="0"/>
    <n v="738"/>
    <s v="Dungeness River"/>
    <s v="Dungeness River"/>
    <s v="Clallam"/>
    <x v="0"/>
    <s v="Mason"/>
    <s v="09Mason"/>
    <s v="South Puget Sound"/>
    <s v="02South Puget Sound"/>
    <n v="70.620689655172399"/>
    <n v="242.935172413793"/>
    <n v="70.619585687382298"/>
    <n v="249.9255695883254"/>
  </r>
  <r>
    <n v="2783"/>
    <x v="11"/>
    <s v="Freshwater"/>
    <x v="1"/>
    <x v="0"/>
    <n v="738"/>
    <s v="Dungeness River"/>
    <s v="Dungeness River"/>
    <s v="Clallam"/>
    <x v="0"/>
    <s v="Other"/>
    <s v="20Other"/>
    <s v="Non Puget Sound"/>
    <s v="07Non Puget Sound"/>
    <n v="70.620689655172399"/>
    <n v="242.935172413793"/>
    <n v="70.635593220339004"/>
    <n v="249.98222089480035"/>
  </r>
  <r>
    <n v="2778"/>
    <x v="11"/>
    <s v="Freshwater"/>
    <x v="1"/>
    <x v="0"/>
    <n v="738"/>
    <s v="Dungeness River"/>
    <s v="Dungeness River"/>
    <s v="Clallam"/>
    <x v="0"/>
    <s v="Pierce"/>
    <s v="07Pierce"/>
    <s v="South Puget Sound"/>
    <s v="02South Puget Sound"/>
    <n v="42.372413793103497"/>
    <n v="145.761103448276"/>
    <n v="42.3333333333333"/>
    <n v="149.81937861745547"/>
  </r>
  <r>
    <n v="1269"/>
    <x v="0"/>
    <s v="Freshwater"/>
    <x v="1"/>
    <x v="0"/>
    <n v="742"/>
    <s v="Elwha River"/>
    <s v="Elwha River"/>
    <s v="Clallam"/>
    <x v="0"/>
    <s v="Clallam"/>
    <s v="11Clallam"/>
    <s v="Strait of Juan de Fuca"/>
    <s v="03Strait of Juan de Fuca"/>
    <n v="38"/>
    <n v="328.7"/>
    <n v="38"/>
    <n v="183.14308635630192"/>
  </r>
  <r>
    <n v="1268"/>
    <x v="0"/>
    <s v="Freshwater"/>
    <x v="1"/>
    <x v="0"/>
    <n v="742"/>
    <s v="Elwha River"/>
    <s v="Elwha River"/>
    <s v="Clallam"/>
    <x v="0"/>
    <s v="Snohomish"/>
    <s v="03Snohomish"/>
    <s v="North Puget Sound"/>
    <s v="01North Puget Sound"/>
    <n v="38"/>
    <n v="328.7"/>
    <n v="38"/>
    <n v="183.14308635630192"/>
  </r>
  <r>
    <n v="1405"/>
    <x v="1"/>
    <s v="Freshwater"/>
    <x v="1"/>
    <x v="0"/>
    <n v="742"/>
    <s v="Elwha River"/>
    <s v="Elwha River"/>
    <s v="Clallam"/>
    <x v="0"/>
    <s v="Clallam"/>
    <s v="11Clallam"/>
    <s v="Strait of Juan de Fuca"/>
    <s v="03Strait of Juan de Fuca"/>
    <n v="9"/>
    <n v="30.96"/>
    <n v="9"/>
    <n v="31.851363958041738"/>
  </r>
  <r>
    <n v="2014"/>
    <x v="0"/>
    <s v="Freshwater"/>
    <x v="1"/>
    <x v="0"/>
    <n v="746"/>
    <s v="Green - Duwamish River"/>
    <s v="Green - Duwamish River"/>
    <s v="King"/>
    <x v="3"/>
    <s v="King"/>
    <s v="06King"/>
    <s v="South Puget Sound"/>
    <s v="02South Puget Sound"/>
    <n v="1258.4315352697099"/>
    <n v="10885.432780083"/>
    <n v="1268.281870853192"/>
    <n v="6112.5541104683762"/>
  </r>
  <r>
    <n v="2017"/>
    <x v="0"/>
    <s v="Freshwater"/>
    <x v="1"/>
    <x v="0"/>
    <n v="746"/>
    <s v="Green - Duwamish River"/>
    <s v="Green - Duwamish River"/>
    <s v="King"/>
    <x v="3"/>
    <s v="Other"/>
    <s v="20Other"/>
    <s v="Non Puget Sound"/>
    <s v="07Non Puget Sound"/>
    <n v="43.394190871369297"/>
    <n v="375.35975103734398"/>
    <n v="37.797289972899804"/>
    <n v="182.16611425107826"/>
  </r>
  <r>
    <n v="2015"/>
    <x v="0"/>
    <s v="Freshwater"/>
    <x v="1"/>
    <x v="0"/>
    <n v="746"/>
    <s v="Green - Duwamish River"/>
    <s v="Green - Duwamish River"/>
    <s v="King"/>
    <x v="3"/>
    <s v="Pierce"/>
    <s v="07Pierce"/>
    <s v="South Puget Sound"/>
    <s v="02South Puget Sound"/>
    <n v="111.585062240664"/>
    <n v="965.21078838174401"/>
    <n v="106.4730492477339"/>
    <n v="513.15270665780304"/>
  </r>
  <r>
    <n v="1864"/>
    <x v="0"/>
    <s v="Freshwater"/>
    <x v="1"/>
    <x v="0"/>
    <n v="746"/>
    <s v="Green - Duwamish River"/>
    <s v="Green - Duwamish River"/>
    <s v="King"/>
    <x v="3"/>
    <s v="Snohomish"/>
    <s v="03Snohomish"/>
    <s v="North Puget Sound"/>
    <s v="01North Puget Sound"/>
    <n v="43.394190871369297"/>
    <n v="375.35975103734398"/>
    <n v="43.779207550696192"/>
    <n v="210.99629444914783"/>
  </r>
  <r>
    <n v="2016"/>
    <x v="0"/>
    <s v="Freshwater"/>
    <x v="1"/>
    <x v="0"/>
    <n v="746"/>
    <s v="Green - Duwamish River"/>
    <s v="Green - Duwamish River"/>
    <s v="King"/>
    <x v="3"/>
    <s v="Thurston"/>
    <s v="08Thurston"/>
    <s v="South Puget Sound"/>
    <s v="02South Puget Sound"/>
    <n v="6.1991701244813298"/>
    <n v="53.622821576763499"/>
    <n v="6.2888888888888896"/>
    <n v="30.309645285867514"/>
  </r>
  <r>
    <n v="1863"/>
    <x v="0"/>
    <s v="Freshwater"/>
    <x v="1"/>
    <x v="0"/>
    <n v="746"/>
    <s v="Green - Duwamish River"/>
    <s v="Green - Duwamish River"/>
    <s v="King"/>
    <x v="3"/>
    <s v="Whatcom"/>
    <s v="01Whatcom"/>
    <s v="North Puget Sound"/>
    <s v="01North Puget Sound"/>
    <n v="30.9958506224066"/>
    <n v="268.11410788381698"/>
    <n v="31.379693486590092"/>
    <n v="151.23615563286458"/>
  </r>
  <r>
    <n v="2158"/>
    <x v="1"/>
    <s v="Freshwater"/>
    <x v="1"/>
    <x v="0"/>
    <n v="746"/>
    <s v="Green - Duwamish River"/>
    <s v="Green - Duwamish River"/>
    <s v="King"/>
    <x v="3"/>
    <s v="Island"/>
    <s v="04Island"/>
    <s v="North Puget Sound"/>
    <s v="01North Puget Sound"/>
    <n v="7.0216635464027801"/>
    <n v="24.154522599625601"/>
    <n v="7.2972304648862503"/>
    <n v="25.825193713644673"/>
  </r>
  <r>
    <n v="2159"/>
    <x v="1"/>
    <s v="Freshwater"/>
    <x v="1"/>
    <x v="0"/>
    <n v="746"/>
    <s v="Green - Duwamish River"/>
    <s v="Green - Duwamish River"/>
    <s v="King"/>
    <x v="3"/>
    <s v="King"/>
    <s v="06King"/>
    <s v="South Puget Sound"/>
    <s v="02South Puget Sound"/>
    <n v="21633.745386466999"/>
    <n v="74420.084129446506"/>
    <n v="21789.878532169427"/>
    <n v="77115.261303294305"/>
  </r>
  <r>
    <n v="2162"/>
    <x v="1"/>
    <s v="Freshwater"/>
    <x v="1"/>
    <x v="0"/>
    <n v="746"/>
    <s v="Green - Duwamish River"/>
    <s v="Green - Duwamish River"/>
    <s v="King"/>
    <x v="3"/>
    <s v="Kitsap"/>
    <s v="10Kitsap"/>
    <s v="South Puget Sound"/>
    <s v="02South Puget Sound"/>
    <n v="112.34661674244499"/>
    <n v="386.47236159401098"/>
    <n v="109.33974041680381"/>
    <n v="386.95776301038046"/>
  </r>
  <r>
    <n v="2163"/>
    <x v="1"/>
    <s v="Freshwater"/>
    <x v="1"/>
    <x v="0"/>
    <n v="746"/>
    <s v="Green - Duwamish River"/>
    <s v="Green - Duwamish River"/>
    <s v="King"/>
    <x v="3"/>
    <s v="Other"/>
    <s v="20Other"/>
    <s v="Non Puget Sound"/>
    <s v="07Non Puget Sound"/>
    <n v="1074.31452259963"/>
    <n v="3695.64195774273"/>
    <n v="1100.4822963765787"/>
    <n v="3894.6513501413292"/>
  </r>
  <r>
    <n v="2160"/>
    <x v="1"/>
    <s v="Freshwater"/>
    <x v="1"/>
    <x v="0"/>
    <n v="746"/>
    <s v="Green - Duwamish River"/>
    <s v="Green - Duwamish River"/>
    <s v="King"/>
    <x v="3"/>
    <s v="Pierce"/>
    <s v="07Pierce"/>
    <s v="South Puget Sound"/>
    <s v="02South Puget Sound"/>
    <n v="2478.6472318801798"/>
    <n v="8526.54647766782"/>
    <n v="2277.2059773627934"/>
    <n v="8059.1240436011658"/>
  </r>
  <r>
    <n v="2156"/>
    <x v="1"/>
    <s v="Freshwater"/>
    <x v="1"/>
    <x v="0"/>
    <n v="746"/>
    <s v="Green - Duwamish River"/>
    <s v="Green - Duwamish River"/>
    <s v="King"/>
    <x v="3"/>
    <s v="Skagit"/>
    <s v="02Skagit"/>
    <s v="North Puget Sound"/>
    <s v="01North Puget Sound"/>
    <n v="14.043327092805599"/>
    <n v="48.309045199251301"/>
    <n v="14.594460929772501"/>
    <n v="51.650387427289346"/>
  </r>
  <r>
    <n v="2157"/>
    <x v="1"/>
    <s v="Freshwater"/>
    <x v="1"/>
    <x v="0"/>
    <n v="746"/>
    <s v="Green - Duwamish River"/>
    <s v="Green - Duwamish River"/>
    <s v="King"/>
    <x v="3"/>
    <s v="Snohomish"/>
    <s v="03Snohomish"/>
    <s v="North Puget Sound"/>
    <s v="01North Puget Sound"/>
    <n v="891.75127039315305"/>
    <n v="3067.62437015245"/>
    <n v="918.71560995531206"/>
    <n v="3251.3716962912176"/>
  </r>
  <r>
    <n v="2161"/>
    <x v="1"/>
    <s v="Freshwater"/>
    <x v="1"/>
    <x v="0"/>
    <n v="746"/>
    <s v="Green - Duwamish River"/>
    <s v="Green - Duwamish River"/>
    <s v="King"/>
    <x v="3"/>
    <s v="Thurston"/>
    <s v="08Thurston"/>
    <s v="South Puget Sound"/>
    <s v="02South Puget Sound"/>
    <n v="7.0216635464027801"/>
    <n v="24.154522599625601"/>
    <n v="0"/>
    <n v="0"/>
  </r>
  <r>
    <n v="2022"/>
    <x v="1"/>
    <s v="Freshwater"/>
    <x v="1"/>
    <x v="0"/>
    <n v="746"/>
    <s v="Green - Duwamish River"/>
    <s v="Green - Duwamish River"/>
    <s v="King"/>
    <x v="3"/>
    <s v="Whatcom"/>
    <s v="01Whatcom"/>
    <s v="North Puget Sound"/>
    <s v="01North Puget Sound"/>
    <n v="35.108317732013901"/>
    <n v="120.772612998128"/>
    <n v="36.486152324431302"/>
    <n v="129.12596856822356"/>
  </r>
  <r>
    <n v="2708"/>
    <x v="2"/>
    <s v="Freshwater"/>
    <x v="1"/>
    <x v="0"/>
    <n v="746"/>
    <s v="Green - Duwamish River"/>
    <s v="Green - Duwamish River"/>
    <s v="King"/>
    <x v="3"/>
    <s v="Clallam"/>
    <s v="11Clallam"/>
    <s v="Strait of Juan de Fuca"/>
    <s v="03Strait of Juan de Fuca"/>
    <n v="13.379825653798299"/>
    <n v="115.735491905355"/>
    <n v="13.535353535353501"/>
    <n v="65.234379510219014"/>
  </r>
  <r>
    <n v="2704"/>
    <x v="2"/>
    <s v="Freshwater"/>
    <x v="1"/>
    <x v="0"/>
    <n v="746"/>
    <s v="Green - Duwamish River"/>
    <s v="Green - Duwamish River"/>
    <s v="King"/>
    <x v="3"/>
    <s v="King"/>
    <s v="06King"/>
    <s v="South Puget Sound"/>
    <s v="02South Puget Sound"/>
    <n v="4569.2104607721003"/>
    <n v="39523.670485678696"/>
    <n v="4566.8381457843188"/>
    <n v="22010.127181806085"/>
  </r>
  <r>
    <n v="2707"/>
    <x v="2"/>
    <s v="Freshwater"/>
    <x v="1"/>
    <x v="0"/>
    <n v="746"/>
    <s v="Green - Duwamish River"/>
    <s v="Green - Duwamish River"/>
    <s v="King"/>
    <x v="3"/>
    <s v="Mason"/>
    <s v="09Mason"/>
    <s v="South Puget Sound"/>
    <s v="02South Puget Sound"/>
    <n v="13.379825653798299"/>
    <n v="115.735491905355"/>
    <n v="13.535353535353501"/>
    <n v="65.234379510219014"/>
  </r>
  <r>
    <n v="2709"/>
    <x v="2"/>
    <s v="Freshwater"/>
    <x v="1"/>
    <x v="0"/>
    <n v="746"/>
    <s v="Green - Duwamish River"/>
    <s v="Green - Duwamish River"/>
    <s v="King"/>
    <x v="3"/>
    <s v="Other"/>
    <s v="20Other"/>
    <s v="Non Puget Sound"/>
    <s v="07Non Puget Sound"/>
    <n v="73.589041095890394"/>
    <n v="636.54520547945197"/>
    <n v="74.424097085967603"/>
    <n v="358.69102209487272"/>
  </r>
  <r>
    <n v="2705"/>
    <x v="2"/>
    <s v="Freshwater"/>
    <x v="1"/>
    <x v="0"/>
    <n v="746"/>
    <s v="Green - Duwamish River"/>
    <s v="Green - Duwamish River"/>
    <s v="King"/>
    <x v="3"/>
    <s v="Pierce"/>
    <s v="07Pierce"/>
    <s v="South Puget Sound"/>
    <s v="02South Puget Sound"/>
    <n v="394.70485678704898"/>
    <n v="3414.1970112079698"/>
    <n v="392.37426610435801"/>
    <n v="1891.0693184510797"/>
  </r>
  <r>
    <n v="2703"/>
    <x v="2"/>
    <s v="Freshwater"/>
    <x v="1"/>
    <x v="0"/>
    <n v="746"/>
    <s v="Green - Duwamish River"/>
    <s v="Green - Duwamish River"/>
    <s v="King"/>
    <x v="3"/>
    <s v="Snohomish"/>
    <s v="03Snohomish"/>
    <s v="North Puget Sound"/>
    <s v="01North Puget Sound"/>
    <n v="294.35616438356197"/>
    <n v="2546.1808219178101"/>
    <n v="297.75743041930122"/>
    <n v="1435.0582840134905"/>
  </r>
  <r>
    <n v="2706"/>
    <x v="2"/>
    <s v="Freshwater"/>
    <x v="1"/>
    <x v="0"/>
    <n v="746"/>
    <s v="Green - Duwamish River"/>
    <s v="Green - Duwamish River"/>
    <s v="King"/>
    <x v="3"/>
    <s v="Thurston"/>
    <s v="08Thurston"/>
    <s v="South Puget Sound"/>
    <s v="02South Puget Sound"/>
    <n v="13.379825653798299"/>
    <n v="115.735491905355"/>
    <n v="13.535353535353501"/>
    <n v="65.234379510219014"/>
  </r>
  <r>
    <n v="2815"/>
    <x v="3"/>
    <s v="Freshwater"/>
    <x v="1"/>
    <x v="0"/>
    <n v="746"/>
    <s v="Green - Duwamish River"/>
    <s v="Green - Duwamish River"/>
    <s v="King"/>
    <x v="3"/>
    <s v="Island"/>
    <s v="04Island"/>
    <s v="North Puget Sound"/>
    <s v="01North Puget Sound"/>
    <n v="8.9266627078384797"/>
    <n v="30.707719714964401"/>
    <n v="9.0423076923077002"/>
    <n v="32.001092592032563"/>
  </r>
  <r>
    <n v="2816"/>
    <x v="3"/>
    <s v="Freshwater"/>
    <x v="1"/>
    <x v="0"/>
    <n v="746"/>
    <s v="Green - Duwamish River"/>
    <s v="Green - Duwamish River"/>
    <s v="King"/>
    <x v="3"/>
    <s v="King"/>
    <s v="06King"/>
    <s v="South Puget Sound"/>
    <s v="02South Puget Sound"/>
    <n v="25628.448634204298"/>
    <n v="88161.863301662801"/>
    <n v="25777.65127056179"/>
    <n v="91228.15028912673"/>
  </r>
  <r>
    <n v="2913"/>
    <x v="3"/>
    <s v="Freshwater"/>
    <x v="1"/>
    <x v="0"/>
    <n v="746"/>
    <s v="Green - Duwamish River"/>
    <s v="Green - Duwamish River"/>
    <s v="King"/>
    <x v="3"/>
    <s v="Kitsap"/>
    <s v="10Kitsap"/>
    <s v="South Puget Sound"/>
    <s v="02South Puget Sound"/>
    <n v="62.486638954869399"/>
    <n v="214.954038004751"/>
    <n v="63.294887194887238"/>
    <n v="224.00316541417209"/>
  </r>
  <r>
    <n v="2914"/>
    <x v="3"/>
    <s v="Freshwater"/>
    <x v="1"/>
    <x v="0"/>
    <n v="746"/>
    <s v="Green - Duwamish River"/>
    <s v="Green - Duwamish River"/>
    <s v="King"/>
    <x v="3"/>
    <s v="Other"/>
    <s v="20Other"/>
    <s v="Non Puget Sound"/>
    <s v="07Non Puget Sound"/>
    <n v="1446.11935866983"/>
    <n v="4974.6505938242199"/>
    <n v="1456.2059972291347"/>
    <n v="5153.5719128475876"/>
  </r>
  <r>
    <n v="2817"/>
    <x v="3"/>
    <s v="Freshwater"/>
    <x v="1"/>
    <x v="0"/>
    <n v="746"/>
    <s v="Green - Duwamish River"/>
    <s v="Green - Duwamish River"/>
    <s v="King"/>
    <x v="3"/>
    <s v="Pierce"/>
    <s v="07Pierce"/>
    <s v="South Puget Sound"/>
    <s v="02South Puget Sound"/>
    <n v="2008.4991092636601"/>
    <n v="6909.2369358669903"/>
    <n v="1872.5882471827576"/>
    <n v="6627.1655338410492"/>
  </r>
  <r>
    <n v="2813"/>
    <x v="3"/>
    <s v="Freshwater"/>
    <x v="1"/>
    <x v="0"/>
    <n v="746"/>
    <s v="Green - Duwamish River"/>
    <s v="Green - Duwamish River"/>
    <s v="King"/>
    <x v="3"/>
    <s v="Skagit"/>
    <s v="02Skagit"/>
    <s v="North Puget Sound"/>
    <s v="01North Puget Sound"/>
    <n v="26.779988123515398"/>
    <n v="92.123159144892995"/>
    <n v="27.124389774389797"/>
    <n v="95.994312315986122"/>
  </r>
  <r>
    <n v="2814"/>
    <x v="3"/>
    <s v="Freshwater"/>
    <x v="1"/>
    <x v="0"/>
    <n v="746"/>
    <s v="Green - Duwamish River"/>
    <s v="Green - Duwamish River"/>
    <s v="King"/>
    <x v="3"/>
    <s v="Snohomish"/>
    <s v="03Snohomish"/>
    <s v="North Puget Sound"/>
    <s v="01North Puget Sound"/>
    <n v="598.086401425178"/>
    <n v="2057.4172209026101"/>
    <n v="569.76174549097436"/>
    <n v="2016.4098583335744"/>
  </r>
  <r>
    <n v="2912"/>
    <x v="3"/>
    <s v="Freshwater"/>
    <x v="1"/>
    <x v="0"/>
    <n v="746"/>
    <s v="Green - Duwamish River"/>
    <s v="Green - Duwamish River"/>
    <s v="King"/>
    <x v="3"/>
    <s v="Thurston"/>
    <s v="08Thurston"/>
    <s v="South Puget Sound"/>
    <s v="02South Puget Sound"/>
    <n v="178.53325415677"/>
    <n v="614.15439429928904"/>
    <n v="180.8343340784258"/>
    <n v="639.9800212046722"/>
  </r>
  <r>
    <n v="2812"/>
    <x v="3"/>
    <s v="Freshwater"/>
    <x v="1"/>
    <x v="0"/>
    <n v="746"/>
    <s v="Green - Duwamish River"/>
    <s v="Green - Duwamish River"/>
    <s v="King"/>
    <x v="3"/>
    <s v="Whatcom"/>
    <s v="01Whatcom"/>
    <s v="North Puget Sound"/>
    <s v="01North Puget Sound"/>
    <n v="107.11995249406201"/>
    <n v="368.492636579573"/>
    <n v="108.49682079534374"/>
    <n v="383.9746363825472"/>
  </r>
  <r>
    <n v="3157"/>
    <x v="4"/>
    <s v="Freshwater"/>
    <x v="1"/>
    <x v="0"/>
    <n v="746"/>
    <s v="Green - Duwamish River"/>
    <s v="Green - Duwamish River"/>
    <s v="King"/>
    <x v="3"/>
    <s v="Clallam"/>
    <s v="11Clallam"/>
    <s v="Strait of Juan de Fuca"/>
    <s v="03Strait of Juan de Fuca"/>
    <n v="7.0078431372549002"/>
    <n v="60.617843137254901"/>
    <n v="7.1229508196721296"/>
    <n v="34.329452554708013"/>
  </r>
  <r>
    <n v="3154"/>
    <x v="4"/>
    <s v="Freshwater"/>
    <x v="1"/>
    <x v="0"/>
    <n v="746"/>
    <s v="Green - Duwamish River"/>
    <s v="Green - Duwamish River"/>
    <s v="King"/>
    <x v="3"/>
    <s v="King"/>
    <s v="06King"/>
    <s v="South Puget Sound"/>
    <s v="02South Puget Sound"/>
    <n v="2684.0039215686302"/>
    <n v="23216.6339215687"/>
    <n v="2691.4093784322467"/>
    <n v="12971.395268799417"/>
  </r>
  <r>
    <n v="3268"/>
    <x v="4"/>
    <s v="Freshwater"/>
    <x v="1"/>
    <x v="0"/>
    <n v="746"/>
    <s v="Green - Duwamish River"/>
    <s v="Green - Duwamish River"/>
    <s v="King"/>
    <x v="3"/>
    <s v="Other"/>
    <s v="20Other"/>
    <s v="Non Puget Sound"/>
    <s v="07Non Puget Sound"/>
    <n v="105.11764705882401"/>
    <n v="909.26764705882795"/>
    <n v="98.689450026441094"/>
    <n v="475.63922285916959"/>
  </r>
  <r>
    <n v="3155"/>
    <x v="4"/>
    <s v="Freshwater"/>
    <x v="1"/>
    <x v="0"/>
    <n v="746"/>
    <s v="Green - Duwamish River"/>
    <s v="Green - Duwamish River"/>
    <s v="King"/>
    <x v="3"/>
    <s v="Pierce"/>
    <s v="07Pierce"/>
    <s v="South Puget Sound"/>
    <s v="02South Puget Sound"/>
    <n v="385.43137254902001"/>
    <n v="3333.9813725490199"/>
    <n v="381.94238904934338"/>
    <n v="1840.7923142314778"/>
  </r>
  <r>
    <n v="3037"/>
    <x v="4"/>
    <s v="Freshwater"/>
    <x v="1"/>
    <x v="0"/>
    <n v="746"/>
    <s v="Green - Duwamish River"/>
    <s v="Green - Duwamish River"/>
    <s v="King"/>
    <x v="3"/>
    <s v="Skagit"/>
    <s v="02Skagit"/>
    <s v="North Puget Sound"/>
    <s v="01North Puget Sound"/>
    <n v="21.023529411764699"/>
    <n v="181.85352941176501"/>
    <n v="21.368852459016399"/>
    <n v="102.98835766412408"/>
  </r>
  <r>
    <n v="3153"/>
    <x v="4"/>
    <s v="Freshwater"/>
    <x v="1"/>
    <x v="0"/>
    <n v="746"/>
    <s v="Green - Duwamish River"/>
    <s v="Green - Duwamish River"/>
    <s v="King"/>
    <x v="3"/>
    <s v="Snohomish"/>
    <s v="03Snohomish"/>
    <s v="North Puget Sound"/>
    <s v="01North Puget Sound"/>
    <n v="364.40784313725499"/>
    <n v="3152.1278431372598"/>
    <n v="366.34402839360553"/>
    <n v="1765.6151586369899"/>
  </r>
  <r>
    <n v="3156"/>
    <x v="4"/>
    <s v="Freshwater"/>
    <x v="1"/>
    <x v="0"/>
    <n v="746"/>
    <s v="Green - Duwamish River"/>
    <s v="Green - Duwamish River"/>
    <s v="King"/>
    <x v="3"/>
    <s v="Thurston"/>
    <s v="08Thurston"/>
    <s v="South Puget Sound"/>
    <s v="02South Puget Sound"/>
    <n v="7.0078431372549002"/>
    <n v="60.617843137254901"/>
    <n v="7.1229508196721296"/>
    <n v="34.329452554708013"/>
  </r>
  <r>
    <n v="3451"/>
    <x v="5"/>
    <s v="Freshwater"/>
    <x v="1"/>
    <x v="0"/>
    <n v="746"/>
    <s v="Green - Duwamish River"/>
    <s v="Green - Duwamish River"/>
    <s v="King"/>
    <x v="3"/>
    <s v="King"/>
    <s v="06King"/>
    <s v="South Puget Sound"/>
    <s v="02South Puget Sound"/>
    <n v="19444.641148325401"/>
    <n v="66889.565550239393"/>
    <n v="19431.084408208222"/>
    <n v="68767.393509474467"/>
  </r>
  <r>
    <n v="3454"/>
    <x v="5"/>
    <s v="Freshwater"/>
    <x v="1"/>
    <x v="0"/>
    <n v="746"/>
    <s v="Green - Duwamish River"/>
    <s v="Green - Duwamish River"/>
    <s v="King"/>
    <x v="3"/>
    <s v="Kitsap"/>
    <s v="10Kitsap"/>
    <s v="South Puget Sound"/>
    <s v="02South Puget Sound"/>
    <n v="151.562998405104"/>
    <n v="521.376714513558"/>
    <n v="152.51804179804941"/>
    <n v="539.76751771972158"/>
  </r>
  <r>
    <n v="3494"/>
    <x v="5"/>
    <s v="Freshwater"/>
    <x v="1"/>
    <x v="0"/>
    <n v="746"/>
    <s v="Green - Duwamish River"/>
    <s v="Green - Duwamish River"/>
    <s v="King"/>
    <x v="3"/>
    <s v="Other"/>
    <s v="20Other"/>
    <s v="Non Puget Sound"/>
    <s v="07Non Puget Sound"/>
    <n v="882.63157894736901"/>
    <n v="3036.2526315789501"/>
    <n v="889.99858464951501"/>
    <n v="3149.740982423747"/>
  </r>
  <r>
    <n v="3452"/>
    <x v="5"/>
    <s v="Freshwater"/>
    <x v="1"/>
    <x v="0"/>
    <n v="746"/>
    <s v="Green - Duwamish River"/>
    <s v="Green - Duwamish River"/>
    <s v="King"/>
    <x v="3"/>
    <s v="Pierce"/>
    <s v="07Pierce"/>
    <s v="South Puget Sound"/>
    <s v="02South Puget Sound"/>
    <n v="1497.7990430622001"/>
    <n v="5152.4287081339698"/>
    <n v="1509.5879984421795"/>
    <n v="5342.4929738970668"/>
  </r>
  <r>
    <n v="3362"/>
    <x v="5"/>
    <s v="Freshwater"/>
    <x v="1"/>
    <x v="0"/>
    <n v="746"/>
    <s v="Green - Duwamish River"/>
    <s v="Green - Duwamish River"/>
    <s v="King"/>
    <x v="3"/>
    <s v="Skagit"/>
    <s v="02Skagit"/>
    <s v="North Puget Sound"/>
    <s v="01North Puget Sound"/>
    <n v="8.9154704944178604"/>
    <n v="30.669218500797399"/>
    <n v="8.9718045112782008"/>
    <n v="31.751578983235863"/>
  </r>
  <r>
    <n v="3363"/>
    <x v="5"/>
    <s v="Freshwater"/>
    <x v="1"/>
    <x v="0"/>
    <n v="746"/>
    <s v="Green - Duwamish River"/>
    <s v="Green - Duwamish River"/>
    <s v="King"/>
    <x v="3"/>
    <s v="Snohomish"/>
    <s v="03Snohomish"/>
    <s v="North Puget Sound"/>
    <s v="01North Puget Sound"/>
    <n v="205.05582137161099"/>
    <n v="705.39202551834205"/>
    <n v="197.37676621063599"/>
    <n v="698.52435749292022"/>
  </r>
  <r>
    <n v="3453"/>
    <x v="5"/>
    <s v="Freshwater"/>
    <x v="1"/>
    <x v="0"/>
    <n v="746"/>
    <s v="Green - Duwamish River"/>
    <s v="Green - Duwamish River"/>
    <s v="King"/>
    <x v="3"/>
    <s v="Thurston"/>
    <s v="08Thurston"/>
    <s v="South Puget Sound"/>
    <s v="02South Puget Sound"/>
    <n v="169.39393939393901"/>
    <n v="582.71515151514996"/>
    <n v="170.46239618011722"/>
    <n v="603.2733135436464"/>
  </r>
  <r>
    <n v="3644"/>
    <x v="6"/>
    <s v="Freshwater"/>
    <x v="1"/>
    <x v="0"/>
    <n v="746"/>
    <s v="Green - Duwamish River"/>
    <s v="Green - Duwamish River"/>
    <s v="King"/>
    <x v="3"/>
    <s v="Clallam"/>
    <s v="11Clallam"/>
    <s v="Strait of Juan de Fuca"/>
    <s v="03Strait of Juan de Fuca"/>
    <n v="9.1873198847262305"/>
    <n v="79.470317002881899"/>
    <n v="9.0136986301369895"/>
    <n v="43.442015437075234"/>
  </r>
  <r>
    <n v="3551"/>
    <x v="6"/>
    <s v="Freshwater"/>
    <x v="1"/>
    <x v="0"/>
    <n v="746"/>
    <s v="Green - Duwamish River"/>
    <s v="Green - Duwamish River"/>
    <s v="King"/>
    <x v="3"/>
    <s v="King"/>
    <s v="06King"/>
    <s v="South Puget Sound"/>
    <s v="02South Puget Sound"/>
    <n v="2508.13832853026"/>
    <n v="21695.396541786798"/>
    <n v="2514.7074301013054"/>
    <n v="12119.770527154669"/>
  </r>
  <r>
    <n v="3641"/>
    <x v="6"/>
    <s v="Freshwater"/>
    <x v="1"/>
    <x v="0"/>
    <n v="746"/>
    <s v="Green - Duwamish River"/>
    <s v="Green - Duwamish River"/>
    <s v="King"/>
    <x v="3"/>
    <s v="Kitsap"/>
    <s v="10Kitsap"/>
    <s v="South Puget Sound"/>
    <s v="02South Puget Sound"/>
    <n v="36.749279538904901"/>
    <n v="317.88126801152703"/>
    <n v="36.054794520548"/>
    <n v="173.76806174830116"/>
  </r>
  <r>
    <n v="3645"/>
    <x v="6"/>
    <s v="Freshwater"/>
    <x v="1"/>
    <x v="0"/>
    <n v="746"/>
    <s v="Green - Duwamish River"/>
    <s v="Green - Duwamish River"/>
    <s v="King"/>
    <x v="3"/>
    <s v="Other"/>
    <s v="20Other"/>
    <s v="Non Puget Sound"/>
    <s v="07Non Puget Sound"/>
    <n v="73.498559077809801"/>
    <n v="635.76253602305496"/>
    <n v="62.816560654248121"/>
    <n v="302.74786296070636"/>
  </r>
  <r>
    <n v="3598"/>
    <x v="6"/>
    <s v="Freshwater"/>
    <x v="1"/>
    <x v="0"/>
    <n v="746"/>
    <s v="Green - Duwamish River"/>
    <s v="Green - Duwamish River"/>
    <s v="King"/>
    <x v="3"/>
    <s v="Pierce"/>
    <s v="07Pierce"/>
    <s v="South Puget Sound"/>
    <s v="02South Puget Sound"/>
    <n v="349.11815561959702"/>
    <n v="3019.8720461095099"/>
    <n v="355.03466097809456"/>
    <n v="1711.109041447146"/>
  </r>
  <r>
    <n v="3543"/>
    <x v="6"/>
    <s v="Freshwater"/>
    <x v="1"/>
    <x v="0"/>
    <n v="746"/>
    <s v="Green - Duwamish River"/>
    <s v="Green - Duwamish River"/>
    <s v="King"/>
    <x v="3"/>
    <s v="Snohomish"/>
    <s v="03Snohomish"/>
    <s v="North Puget Sound"/>
    <s v="01North Puget Sound"/>
    <n v="165.37175792507199"/>
    <n v="1430.46570605187"/>
    <n v="164.67012814847601"/>
    <n v="793.63672367893798"/>
  </r>
  <r>
    <n v="3599"/>
    <x v="6"/>
    <s v="Freshwater"/>
    <x v="1"/>
    <x v="0"/>
    <n v="746"/>
    <s v="Green - Duwamish River"/>
    <s v="Green - Duwamish River"/>
    <s v="King"/>
    <x v="3"/>
    <s v="Thurston"/>
    <s v="08Thurston"/>
    <s v="South Puget Sound"/>
    <s v="02South Puget Sound"/>
    <n v="27.5619596541787"/>
    <n v="238.41095100864601"/>
    <n v="27.041095890411"/>
    <n v="130.32604631122587"/>
  </r>
  <r>
    <n v="3542"/>
    <x v="6"/>
    <s v="Freshwater"/>
    <x v="1"/>
    <x v="0"/>
    <n v="746"/>
    <s v="Green - Duwamish River"/>
    <s v="Green - Duwamish River"/>
    <s v="King"/>
    <x v="3"/>
    <s v="Whatcom"/>
    <s v="01Whatcom"/>
    <s v="North Puget Sound"/>
    <s v="01North Puget Sound"/>
    <n v="18.3746397694525"/>
    <n v="158.940634005764"/>
    <n v="18.66163107678328"/>
    <n v="89.940755574862308"/>
  </r>
  <r>
    <n v="3700"/>
    <x v="7"/>
    <s v="Freshwater"/>
    <x v="1"/>
    <x v="0"/>
    <n v="746"/>
    <s v="Green - Duwamish River"/>
    <s v="Green - Duwamish River"/>
    <s v="King"/>
    <x v="3"/>
    <s v="King"/>
    <s v="06King"/>
    <s v="South Puget Sound"/>
    <s v="02South Puget Sound"/>
    <n v="7044.8432919954903"/>
    <n v="24234.260924464499"/>
    <n v="7002.9225739229551"/>
    <n v="24783.626185778499"/>
  </r>
  <r>
    <n v="3702"/>
    <x v="7"/>
    <s v="Freshwater"/>
    <x v="1"/>
    <x v="0"/>
    <n v="746"/>
    <s v="Green - Duwamish River"/>
    <s v="Green - Duwamish River"/>
    <s v="King"/>
    <x v="3"/>
    <s v="Kitsap"/>
    <s v="10Kitsap"/>
    <s v="South Puget Sound"/>
    <s v="02South Puget Sound"/>
    <n v="20.302142051860201"/>
    <n v="69.839368658399096"/>
    <n v="20.809195402298901"/>
    <n v="73.644584048070115"/>
  </r>
  <r>
    <n v="1"/>
    <x v="7"/>
    <s v="Freshwater"/>
    <x v="1"/>
    <x v="0"/>
    <n v="746"/>
    <s v="Green - Duwamish River"/>
    <s v="Green - Duwamish River"/>
    <s v="King"/>
    <x v="3"/>
    <s v="Other"/>
    <s v="20Other"/>
    <s v="Non Puget Sound"/>
    <s v="07Non Puget Sound"/>
    <n v="741.02818489289803"/>
    <n v="2549.1369560315702"/>
    <n v="757.21702421689906"/>
    <n v="2679.8216703953062"/>
  </r>
  <r>
    <n v="3701"/>
    <x v="7"/>
    <s v="Freshwater"/>
    <x v="1"/>
    <x v="0"/>
    <n v="746"/>
    <s v="Green - Duwamish River"/>
    <s v="Green - Duwamish River"/>
    <s v="King"/>
    <x v="3"/>
    <s v="Pierce"/>
    <s v="07Pierce"/>
    <s v="South Puget Sound"/>
    <s v="02South Puget Sound"/>
    <n v="1035.4092446448699"/>
    <n v="3561.8078015783499"/>
    <n v="1056.9059752566459"/>
    <n v="3740.4329874809428"/>
  </r>
  <r>
    <n v="3674"/>
    <x v="7"/>
    <s v="Freshwater"/>
    <x v="1"/>
    <x v="0"/>
    <n v="746"/>
    <s v="Green - Duwamish River"/>
    <s v="Green - Duwamish River"/>
    <s v="King"/>
    <x v="3"/>
    <s v="Snohomish"/>
    <s v="03Snohomish"/>
    <s v="North Puget Sound"/>
    <s v="01North Puget Sound"/>
    <n v="162.41713641488201"/>
    <n v="558.71494926719402"/>
    <n v="166.1452312011937"/>
    <n v="587.99469209802362"/>
  </r>
  <r>
    <n v="7"/>
    <x v="8"/>
    <s v="Freshwater"/>
    <x v="1"/>
    <x v="0"/>
    <n v="746"/>
    <s v="Green - Duwamish River"/>
    <s v="Green - Duwamish River"/>
    <s v="King"/>
    <x v="3"/>
    <s v="King"/>
    <s v="06King"/>
    <s v="South Puget Sound"/>
    <s v="02South Puget Sound"/>
    <n v="4188.42638623327"/>
    <n v="36229.888240917797"/>
    <n v="4166.7273118988396"/>
    <n v="20081.771050164498"/>
  </r>
  <r>
    <n v="10"/>
    <x v="8"/>
    <s v="Freshwater"/>
    <x v="1"/>
    <x v="0"/>
    <n v="746"/>
    <s v="Green - Duwamish River"/>
    <s v="Green - Duwamish River"/>
    <s v="King"/>
    <x v="3"/>
    <s v="Other"/>
    <s v="20Other"/>
    <s v="Non Puget Sound"/>
    <s v="07Non Puget Sound"/>
    <n v="145.09560229445501"/>
    <n v="1255.0769598470399"/>
    <n v="145.295897043248"/>
    <n v="700.26155314231369"/>
  </r>
  <r>
    <n v="8"/>
    <x v="8"/>
    <s v="Freshwater"/>
    <x v="1"/>
    <x v="0"/>
    <n v="746"/>
    <s v="Green - Duwamish River"/>
    <s v="Green - Duwamish River"/>
    <s v="King"/>
    <x v="3"/>
    <s v="Pierce"/>
    <s v="07Pierce"/>
    <s v="South Puget Sound"/>
    <s v="02South Puget Sound"/>
    <n v="502.99808795411099"/>
    <n v="4350.9334608030604"/>
    <n v="494.81237354507709"/>
    <n v="2384.7754015350729"/>
  </r>
  <r>
    <n v="6"/>
    <x v="8"/>
    <s v="Freshwater"/>
    <x v="1"/>
    <x v="0"/>
    <n v="746"/>
    <s v="Green - Duwamish River"/>
    <s v="Green - Duwamish River"/>
    <s v="King"/>
    <x v="3"/>
    <s v="Snohomish"/>
    <s v="03Snohomish"/>
    <s v="North Puget Sound"/>
    <s v="01North Puget Sound"/>
    <n v="106.4034416826"/>
    <n v="920.38977055449004"/>
    <n v="106.77136150234739"/>
    <n v="514.59043894748254"/>
  </r>
  <r>
    <n v="9"/>
    <x v="8"/>
    <s v="Freshwater"/>
    <x v="1"/>
    <x v="0"/>
    <n v="746"/>
    <s v="Green - Duwamish River"/>
    <s v="Green - Duwamish River"/>
    <s v="King"/>
    <x v="3"/>
    <s v="Thurston"/>
    <s v="08Thurston"/>
    <s v="South Puget Sound"/>
    <s v="02South Puget Sound"/>
    <n v="116.076481835564"/>
    <n v="1004.06156787763"/>
    <n v="116.3930560104815"/>
    <n v="560.96272390003946"/>
  </r>
  <r>
    <n v="16"/>
    <x v="9"/>
    <s v="Freshwater"/>
    <x v="1"/>
    <x v="0"/>
    <n v="746"/>
    <s v="Green - Duwamish River"/>
    <s v="Green - Duwamish River"/>
    <s v="King"/>
    <x v="3"/>
    <s v="Island"/>
    <s v="04Island"/>
    <s v="North Puget Sound"/>
    <s v="01North Puget Sound"/>
    <n v="173.48453608247399"/>
    <n v="596.78680412371102"/>
    <n v="173.92901802480921"/>
    <n v="615.54182844144441"/>
  </r>
  <r>
    <n v="21"/>
    <x v="9"/>
    <s v="Freshwater"/>
    <x v="1"/>
    <x v="0"/>
    <n v="746"/>
    <s v="Green - Duwamish River"/>
    <s v="Green - Duwamish River"/>
    <s v="King"/>
    <x v="3"/>
    <s v="Jefferson"/>
    <s v="12Jefferson"/>
    <s v="Strait of Juan de Fuca"/>
    <s v="03Strait of Juan de Fuca"/>
    <n v="119.270618556701"/>
    <n v="410.29092783505098"/>
    <n v="119.407894736842"/>
    <n v="422.58936830296568"/>
  </r>
  <r>
    <n v="17"/>
    <x v="9"/>
    <s v="Freshwater"/>
    <x v="1"/>
    <x v="0"/>
    <n v="746"/>
    <s v="Green - Duwamish River"/>
    <s v="Green - Duwamish River"/>
    <s v="King"/>
    <x v="3"/>
    <s v="King"/>
    <s v="06King"/>
    <s v="South Puget Sound"/>
    <s v="02South Puget Sound"/>
    <n v="12751.113402061899"/>
    <n v="43863.8301030929"/>
    <n v="12774.418963750797"/>
    <n v="45209.185307437445"/>
  </r>
  <r>
    <n v="20"/>
    <x v="9"/>
    <s v="Freshwater"/>
    <x v="1"/>
    <x v="0"/>
    <n v="746"/>
    <s v="Green - Duwamish River"/>
    <s v="Green - Duwamish River"/>
    <s v="King"/>
    <x v="3"/>
    <s v="Kitsap"/>
    <s v="10Kitsap"/>
    <s v="South Puget Sound"/>
    <s v="02South Puget Sound"/>
    <n v="65.056701030927897"/>
    <n v="223.79505154639199"/>
    <n v="65.10794108559071"/>
    <n v="230.41963645287655"/>
  </r>
  <r>
    <n v="22"/>
    <x v="9"/>
    <s v="Freshwater"/>
    <x v="1"/>
    <x v="0"/>
    <n v="746"/>
    <s v="Green - Duwamish River"/>
    <s v="Green - Duwamish River"/>
    <s v="King"/>
    <x v="3"/>
    <s v="Other"/>
    <s v="20Other"/>
    <s v="Non Puget Sound"/>
    <s v="07Non Puget Sound"/>
    <n v="672.252577319588"/>
    <n v="2312.54886597938"/>
    <n v="672.67442294841692"/>
    <n v="2380.6219856217481"/>
  </r>
  <r>
    <n v="18"/>
    <x v="9"/>
    <s v="Freshwater"/>
    <x v="1"/>
    <x v="0"/>
    <n v="746"/>
    <s v="Green - Duwamish River"/>
    <s v="Green - Duwamish River"/>
    <s v="King"/>
    <x v="3"/>
    <s v="Pierce"/>
    <s v="07Pierce"/>
    <s v="South Puget Sound"/>
    <s v="02South Puget Sound"/>
    <n v="2417.9407216494801"/>
    <n v="8317.7160824742095"/>
    <n v="2421.7657916757994"/>
    <n v="8570.7270724223308"/>
  </r>
  <r>
    <n v="15"/>
    <x v="9"/>
    <s v="Freshwater"/>
    <x v="1"/>
    <x v="0"/>
    <n v="746"/>
    <s v="Green - Duwamish River"/>
    <s v="Green - Duwamish River"/>
    <s v="King"/>
    <x v="3"/>
    <s v="Snohomish"/>
    <s v="03Snohomish"/>
    <s v="North Puget Sound"/>
    <s v="01North Puget Sound"/>
    <n v="552.98195876288696"/>
    <n v="1902.25793814433"/>
    <n v="553.64847452089134"/>
    <n v="1959.3843407532786"/>
  </r>
  <r>
    <n v="19"/>
    <x v="9"/>
    <s v="Freshwater"/>
    <x v="1"/>
    <x v="0"/>
    <n v="746"/>
    <s v="Green - Duwamish River"/>
    <s v="Green - Duwamish River"/>
    <s v="King"/>
    <x v="3"/>
    <s v="Thurston"/>
    <s v="08Thurston"/>
    <s v="South Puget Sound"/>
    <s v="02South Puget Sound"/>
    <n v="75.899484536082497"/>
    <n v="261.09422680412399"/>
    <n v="76.047493256865295"/>
    <n v="269.1351539801268"/>
  </r>
  <r>
    <n v="114"/>
    <x v="10"/>
    <s v="Freshwater"/>
    <x v="1"/>
    <x v="0"/>
    <n v="746"/>
    <s v="Green - Duwamish River"/>
    <s v="Green - Duwamish River"/>
    <s v="King"/>
    <x v="3"/>
    <s v="Clallam"/>
    <s v="11Clallam"/>
    <s v="Strait of Juan de Fuca"/>
    <s v="03Strait of Juan de Fuca"/>
    <n v="296.345707656613"/>
    <n v="2563.3903712297001"/>
    <n v="297.23523622047196"/>
    <n v="1432.5415404016237"/>
  </r>
  <r>
    <n v="109"/>
    <x v="10"/>
    <s v="Freshwater"/>
    <x v="1"/>
    <x v="0"/>
    <n v="746"/>
    <s v="Green - Duwamish River"/>
    <s v="Green - Duwamish River"/>
    <s v="King"/>
    <x v="3"/>
    <s v="Island"/>
    <s v="04Island"/>
    <s v="North Puget Sound"/>
    <s v="01North Puget Sound"/>
    <n v="35.561484918793496"/>
    <n v="307.60684454756398"/>
    <n v="35.622047244094503"/>
    <n v="171.68241248982807"/>
  </r>
  <r>
    <n v="110"/>
    <x v="10"/>
    <s v="Freshwater"/>
    <x v="1"/>
    <x v="0"/>
    <n v="746"/>
    <s v="Green - Duwamish River"/>
    <s v="Green - Duwamish River"/>
    <s v="King"/>
    <x v="3"/>
    <s v="King"/>
    <s v="06King"/>
    <s v="South Puget Sound"/>
    <s v="02South Puget Sound"/>
    <n v="3864.3480278422298"/>
    <n v="33426.610440835299"/>
    <n v="3871.1898979957041"/>
    <n v="18657.412257638705"/>
  </r>
  <r>
    <n v="113"/>
    <x v="10"/>
    <s v="Freshwater"/>
    <x v="1"/>
    <x v="0"/>
    <n v="746"/>
    <s v="Green - Duwamish River"/>
    <s v="Green - Duwamish River"/>
    <s v="King"/>
    <x v="3"/>
    <s v="Mason"/>
    <s v="09Mason"/>
    <s v="South Puget Sound"/>
    <s v="02South Puget Sound"/>
    <n v="11.8538283062645"/>
    <n v="102.53561484918799"/>
    <n v="0"/>
    <n v="0"/>
  </r>
  <r>
    <n v="111"/>
    <x v="10"/>
    <s v="Freshwater"/>
    <x v="1"/>
    <x v="0"/>
    <n v="746"/>
    <s v="Green - Duwamish River"/>
    <s v="Green - Duwamish River"/>
    <s v="King"/>
    <x v="3"/>
    <s v="Pierce"/>
    <s v="07Pierce"/>
    <s v="South Puget Sound"/>
    <s v="02South Puget Sound"/>
    <n v="533.42227378190296"/>
    <n v="4614.1026682134598"/>
    <n v="535.8813707945601"/>
    <n v="2582.7096886358308"/>
  </r>
  <r>
    <n v="107"/>
    <x v="10"/>
    <s v="Freshwater"/>
    <x v="1"/>
    <x v="0"/>
    <n v="746"/>
    <s v="Green - Duwamish River"/>
    <s v="Green - Duwamish River"/>
    <s v="King"/>
    <x v="3"/>
    <s v="Skagit"/>
    <s v="02Skagit"/>
    <s v="North Puget Sound"/>
    <s v="01North Puget Sound"/>
    <n v="23.707656612529"/>
    <n v="205.07122969837599"/>
    <n v="23.824999999999999"/>
    <n v="114.82589559049718"/>
  </r>
  <r>
    <n v="108"/>
    <x v="10"/>
    <s v="Freshwater"/>
    <x v="1"/>
    <x v="0"/>
    <n v="746"/>
    <s v="Green - Duwamish River"/>
    <s v="Green - Duwamish River"/>
    <s v="King"/>
    <x v="3"/>
    <s v="Snohomish"/>
    <s v="03Snohomish"/>
    <s v="North Puget Sound"/>
    <s v="01North Puget Sound"/>
    <n v="284.49187935034797"/>
    <n v="2460.85475638051"/>
    <n v="285.707659269864"/>
    <n v="1376.9837503767785"/>
  </r>
  <r>
    <n v="112"/>
    <x v="10"/>
    <s v="Freshwater"/>
    <x v="1"/>
    <x v="0"/>
    <n v="746"/>
    <s v="Green - Duwamish River"/>
    <s v="Green - Duwamish River"/>
    <s v="King"/>
    <x v="3"/>
    <s v="Thurston"/>
    <s v="08Thurston"/>
    <s v="South Puget Sound"/>
    <s v="02South Puget Sound"/>
    <n v="59.269141531322497"/>
    <n v="512.67807424594002"/>
    <n v="59.538788475304202"/>
    <n v="286.95045998111135"/>
  </r>
  <r>
    <n v="121"/>
    <x v="11"/>
    <s v="Freshwater"/>
    <x v="1"/>
    <x v="0"/>
    <n v="746"/>
    <s v="Green - Duwamish River"/>
    <s v="Green - Duwamish River"/>
    <s v="King"/>
    <x v="3"/>
    <s v="King"/>
    <s v="06King"/>
    <s v="South Puget Sound"/>
    <s v="02South Puget Sound"/>
    <n v="22033.372459349601"/>
    <n v="75794.801260162596"/>
    <n v="22050.61491898675"/>
    <n v="78038.017920363563"/>
  </r>
  <r>
    <n v="124"/>
    <x v="11"/>
    <s v="Freshwater"/>
    <x v="1"/>
    <x v="0"/>
    <n v="746"/>
    <s v="Green - Duwamish River"/>
    <s v="Green - Duwamish River"/>
    <s v="King"/>
    <x v="3"/>
    <s v="Kitsap"/>
    <s v="10Kitsap"/>
    <s v="South Puget Sound"/>
    <s v="02South Puget Sound"/>
    <n v="27.2184959349594"/>
    <n v="93.631626016260299"/>
    <n v="27.495769881556701"/>
    <n v="97.308641533780516"/>
  </r>
  <r>
    <n v="125"/>
    <x v="11"/>
    <s v="Freshwater"/>
    <x v="1"/>
    <x v="0"/>
    <n v="746"/>
    <s v="Green - Duwamish River"/>
    <s v="Green - Duwamish River"/>
    <s v="King"/>
    <x v="3"/>
    <s v="Other"/>
    <s v="20Other"/>
    <s v="Non Puget Sound"/>
    <s v="07Non Puget Sound"/>
    <n v="585.19766260162601"/>
    <n v="2013.0799593495899"/>
    <n v="588.79856126116601"/>
    <n v="2083.7819191889703"/>
  </r>
  <r>
    <n v="122"/>
    <x v="11"/>
    <s v="Freshwater"/>
    <x v="1"/>
    <x v="0"/>
    <n v="746"/>
    <s v="Green - Duwamish River"/>
    <s v="Green - Duwamish River"/>
    <s v="King"/>
    <x v="3"/>
    <s v="Pierce"/>
    <s v="07Pierce"/>
    <s v="South Puget Sound"/>
    <s v="02South Puget Sound"/>
    <n v="3375.0934959349602"/>
    <n v="11610.321626016301"/>
    <n v="3348.8484244664828"/>
    <n v="11851.71000088851"/>
  </r>
  <r>
    <n v="119"/>
    <x v="11"/>
    <s v="Freshwater"/>
    <x v="1"/>
    <x v="0"/>
    <n v="746"/>
    <s v="Green - Duwamish River"/>
    <s v="Green - Duwamish River"/>
    <s v="King"/>
    <x v="3"/>
    <s v="Skagit"/>
    <s v="02Skagit"/>
    <s v="North Puget Sound"/>
    <s v="01North Puget Sound"/>
    <n v="54.4369918699187"/>
    <n v="187.26325203252"/>
    <n v="54.7635619242579"/>
    <n v="193.81046027647722"/>
  </r>
  <r>
    <n v="120"/>
    <x v="11"/>
    <s v="Freshwater"/>
    <x v="1"/>
    <x v="0"/>
    <n v="746"/>
    <s v="Green - Duwamish River"/>
    <s v="Green - Duwamish River"/>
    <s v="King"/>
    <x v="3"/>
    <s v="Snohomish"/>
    <s v="03Snohomish"/>
    <s v="North Puget Sound"/>
    <s v="01North Puget Sound"/>
    <n v="557.97916666666697"/>
    <n v="1919.4483333333301"/>
    <n v="561.81785657625619"/>
    <n v="1988.2961142152476"/>
  </r>
  <r>
    <n v="123"/>
    <x v="11"/>
    <s v="Freshwater"/>
    <x v="1"/>
    <x v="0"/>
    <n v="746"/>
    <s v="Green - Duwamish River"/>
    <s v="Green - Duwamish River"/>
    <s v="King"/>
    <x v="3"/>
    <s v="Thurston"/>
    <s v="08Thurston"/>
    <s v="South Puget Sound"/>
    <s v="02South Puget Sound"/>
    <n v="54.4369918699187"/>
    <n v="187.26325203252"/>
    <n v="54.767679076327902"/>
    <n v="193.82503104414968"/>
  </r>
  <r>
    <n v="118"/>
    <x v="11"/>
    <s v="Freshwater"/>
    <x v="1"/>
    <x v="0"/>
    <n v="746"/>
    <s v="Green - Duwamish River"/>
    <s v="Green - Duwamish River"/>
    <s v="King"/>
    <x v="3"/>
    <s v="Whatcom"/>
    <s v="01Whatcom"/>
    <s v="North Puget Sound"/>
    <s v="01North Puget Sound"/>
    <n v="95.264735772357696"/>
    <n v="327.71069105690998"/>
    <n v="95.893227827165205"/>
    <n v="339.37001118160612"/>
  </r>
  <r>
    <n v="1276"/>
    <x v="0"/>
    <s v="Freshwater"/>
    <x v="1"/>
    <x v="0"/>
    <n v="752"/>
    <s v="Hoko River"/>
    <s v="Hoko River"/>
    <s v="Clallam"/>
    <x v="0"/>
    <s v="Clallam"/>
    <s v="11Clallam"/>
    <s v="Strait of Juan de Fuca"/>
    <s v="03Strait of Juan de Fuca"/>
    <n v="2"/>
    <n v="17.3"/>
    <n v="2"/>
    <n v="9.6391098082264168"/>
  </r>
  <r>
    <n v="771"/>
    <x v="0"/>
    <s v="Freshwater"/>
    <x v="1"/>
    <x v="0"/>
    <n v="754"/>
    <s v="Kennedy Creek"/>
    <s v="Kennedy Creek"/>
    <s v="Mason/Thurston"/>
    <x v="3"/>
    <s v="Mason"/>
    <s v="09Mason"/>
    <s v="South Puget Sound"/>
    <s v="02South Puget Sound"/>
    <n v="25.130434782608699"/>
    <n v="217.378260869565"/>
    <n v="25.161290322580701"/>
    <n v="121.26622016801002"/>
  </r>
  <r>
    <n v="772"/>
    <x v="0"/>
    <s v="Freshwater"/>
    <x v="1"/>
    <x v="0"/>
    <n v="754"/>
    <s v="Kennedy Creek"/>
    <s v="Kennedy Creek"/>
    <s v="Mason/Thurston"/>
    <x v="3"/>
    <s v="Other"/>
    <s v="20Other"/>
    <s v="Non Puget Sound"/>
    <s v="07Non Puget Sound"/>
    <n v="31.413043478260899"/>
    <n v="271.72282608695701"/>
    <n v="31.404301075268801"/>
    <n v="151.35475325755945"/>
  </r>
  <r>
    <n v="769"/>
    <x v="0"/>
    <s v="Freshwater"/>
    <x v="1"/>
    <x v="0"/>
    <n v="754"/>
    <s v="Kennedy Creek"/>
    <s v="Kennedy Creek"/>
    <s v="Mason/Thurston"/>
    <x v="3"/>
    <s v="Pierce"/>
    <s v="07Pierce"/>
    <s v="South Puget Sound"/>
    <s v="02South Puget Sound"/>
    <n v="43.978260869565197"/>
    <n v="380.411956521739"/>
    <n v="43.984946236559097"/>
    <n v="211.98786334156421"/>
  </r>
  <r>
    <n v="770"/>
    <x v="0"/>
    <s v="Freshwater"/>
    <x v="1"/>
    <x v="0"/>
    <n v="754"/>
    <s v="Kennedy Creek"/>
    <s v="Kennedy Creek"/>
    <s v="Mason/Thurston"/>
    <x v="3"/>
    <s v="Thurston"/>
    <s v="08Thurston"/>
    <s v="South Puget Sound"/>
    <s v="02South Puget Sound"/>
    <n v="188.47826086956499"/>
    <n v="1630.3369565217399"/>
    <n v="188.44946236559127"/>
    <n v="908.24253052158292"/>
  </r>
  <r>
    <n v="773"/>
    <x v="1"/>
    <s v="Freshwater"/>
    <x v="1"/>
    <x v="0"/>
    <n v="754"/>
    <s v="Kennedy Creek"/>
    <s v="Kennedy Creek"/>
    <s v="Mason/Thurston"/>
    <x v="3"/>
    <s v="King"/>
    <s v="06King"/>
    <s v="South Puget Sound"/>
    <s v="02South Puget Sound"/>
    <n v="60.137931034482797"/>
    <n v="206.87448275862101"/>
    <n v="60.029411764705877"/>
    <n v="212.44651581164439"/>
  </r>
  <r>
    <n v="853"/>
    <x v="1"/>
    <s v="Freshwater"/>
    <x v="1"/>
    <x v="0"/>
    <n v="754"/>
    <s v="Kennedy Creek"/>
    <s v="Kennedy Creek"/>
    <s v="Mason/Thurston"/>
    <x v="3"/>
    <s v="Mason"/>
    <s v="09Mason"/>
    <s v="South Puget Sound"/>
    <s v="02South Puget Sound"/>
    <n v="45.1034482758621"/>
    <n v="155.155862068966"/>
    <n v="45.117647058823501"/>
    <n v="159.67317748900652"/>
  </r>
  <r>
    <n v="854"/>
    <x v="1"/>
    <s v="Freshwater"/>
    <x v="1"/>
    <x v="0"/>
    <n v="754"/>
    <s v="Kennedy Creek"/>
    <s v="Kennedy Creek"/>
    <s v="Mason/Thurston"/>
    <x v="3"/>
    <s v="Other"/>
    <s v="20Other"/>
    <s v="Non Puget Sound"/>
    <s v="07Non Puget Sound"/>
    <n v="7.5172413793103496"/>
    <n v="25.859310344827598"/>
    <n v="7.5294117647058796"/>
    <n v="26.646892723067587"/>
  </r>
  <r>
    <n v="851"/>
    <x v="1"/>
    <s v="Freshwater"/>
    <x v="1"/>
    <x v="0"/>
    <n v="754"/>
    <s v="Kennedy Creek"/>
    <s v="Kennedy Creek"/>
    <s v="Mason/Thurston"/>
    <x v="3"/>
    <s v="Pierce"/>
    <s v="07Pierce"/>
    <s v="South Puget Sound"/>
    <s v="02South Puget Sound"/>
    <n v="7.5172413793103496"/>
    <n v="25.859310344827598"/>
    <n v="7.5294117647058796"/>
    <n v="26.646892723067587"/>
  </r>
  <r>
    <n v="852"/>
    <x v="1"/>
    <s v="Freshwater"/>
    <x v="1"/>
    <x v="0"/>
    <n v="754"/>
    <s v="Kennedy Creek"/>
    <s v="Kennedy Creek"/>
    <s v="Mason/Thurston"/>
    <x v="3"/>
    <s v="Thurston"/>
    <s v="08Thurston"/>
    <s v="South Puget Sound"/>
    <s v="02South Puget Sound"/>
    <n v="97.724137931034505"/>
    <n v="336.17103448275901"/>
    <n v="97.794117647058798"/>
    <n v="346.09733712578026"/>
  </r>
  <r>
    <n v="855"/>
    <x v="2"/>
    <s v="Freshwater"/>
    <x v="1"/>
    <x v="0"/>
    <n v="754"/>
    <s v="Kennedy Creek"/>
    <s v="Kennedy Creek"/>
    <s v="Mason/Thurston"/>
    <x v="3"/>
    <s v="King"/>
    <s v="06King"/>
    <s v="South Puget Sound"/>
    <s v="02South Puget Sound"/>
    <n v="64.615384615384599"/>
    <n v="558.92307692307702"/>
    <n v="68.089285714285694"/>
    <n v="328.16005088185102"/>
  </r>
  <r>
    <n v="858"/>
    <x v="2"/>
    <s v="Freshwater"/>
    <x v="1"/>
    <x v="0"/>
    <n v="754"/>
    <s v="Kennedy Creek"/>
    <s v="Kennedy Creek"/>
    <s v="Mason/Thurston"/>
    <x v="3"/>
    <s v="Other"/>
    <s v="20Other"/>
    <s v="Non Puget Sound"/>
    <s v="07Non Puget Sound"/>
    <n v="35.897435897435898"/>
    <n v="310.51282051282101"/>
    <n v="37.848214285714299"/>
    <n v="182.41154677264194"/>
  </r>
  <r>
    <n v="856"/>
    <x v="2"/>
    <s v="Freshwater"/>
    <x v="1"/>
    <x v="0"/>
    <n v="754"/>
    <s v="Kennedy Creek"/>
    <s v="Kennedy Creek"/>
    <s v="Mason/Thurston"/>
    <x v="3"/>
    <s v="Pierce"/>
    <s v="07Pierce"/>
    <s v="South Puget Sound"/>
    <s v="02South Puget Sound"/>
    <n v="114.871794871795"/>
    <n v="993.641025641027"/>
    <n v="105.97321428571431"/>
    <n v="510.74372461535432"/>
  </r>
  <r>
    <n v="857"/>
    <x v="2"/>
    <s v="Freshwater"/>
    <x v="1"/>
    <x v="0"/>
    <n v="754"/>
    <s v="Kennedy Creek"/>
    <s v="Kennedy Creek"/>
    <s v="Mason/Thurston"/>
    <x v="3"/>
    <s v="Thurston"/>
    <s v="08Thurston"/>
    <s v="South Puget Sound"/>
    <s v="02South Puget Sound"/>
    <n v="64.615384615384599"/>
    <n v="558.92307692307702"/>
    <n v="68.089285714285694"/>
    <n v="328.16005088185102"/>
  </r>
  <r>
    <n v="859"/>
    <x v="3"/>
    <s v="Freshwater"/>
    <x v="1"/>
    <x v="0"/>
    <n v="754"/>
    <s v="Kennedy Creek"/>
    <s v="Kennedy Creek"/>
    <s v="Mason/Thurston"/>
    <x v="3"/>
    <s v="King"/>
    <s v="06King"/>
    <s v="South Puget Sound"/>
    <s v="02South Puget Sound"/>
    <n v="46.470588235294102"/>
    <n v="159.85882352941201"/>
    <n v="47.818181818181799"/>
    <n v="169.23047921141361"/>
  </r>
  <r>
    <n v="862"/>
    <x v="3"/>
    <s v="Freshwater"/>
    <x v="1"/>
    <x v="0"/>
    <n v="754"/>
    <s v="Kennedy Creek"/>
    <s v="Kennedy Creek"/>
    <s v="Mason/Thurston"/>
    <x v="3"/>
    <s v="Mason"/>
    <s v="09Mason"/>
    <s v="South Puget Sound"/>
    <s v="02South Puget Sound"/>
    <n v="18.588235294117698"/>
    <n v="63.943529411764899"/>
    <n v="19.181818181818201"/>
    <n v="67.885230254008221"/>
  </r>
  <r>
    <n v="860"/>
    <x v="3"/>
    <s v="Freshwater"/>
    <x v="1"/>
    <x v="0"/>
    <n v="754"/>
    <s v="Kennedy Creek"/>
    <s v="Kennedy Creek"/>
    <s v="Mason/Thurston"/>
    <x v="3"/>
    <s v="Pierce"/>
    <s v="07Pierce"/>
    <s v="South Puget Sound"/>
    <s v="02South Puget Sound"/>
    <n v="9.2941176470588296"/>
    <n v="31.9717647058824"/>
    <n v="9.5454545454545503"/>
    <n v="33.781749652468527"/>
  </r>
  <r>
    <n v="861"/>
    <x v="3"/>
    <s v="Freshwater"/>
    <x v="1"/>
    <x v="0"/>
    <n v="754"/>
    <s v="Kennedy Creek"/>
    <s v="Kennedy Creek"/>
    <s v="Mason/Thurston"/>
    <x v="3"/>
    <s v="Thurston"/>
    <s v="08Thurston"/>
    <s v="South Puget Sound"/>
    <s v="02South Puget Sound"/>
    <n v="241.64705882352899"/>
    <n v="831.26588235294003"/>
    <n v="239.45454545454578"/>
    <n v="847.43931985335405"/>
  </r>
  <r>
    <n v="863"/>
    <x v="4"/>
    <s v="Freshwater"/>
    <x v="1"/>
    <x v="0"/>
    <n v="754"/>
    <s v="Kennedy Creek"/>
    <s v="Kennedy Creek"/>
    <s v="Mason/Thurston"/>
    <x v="3"/>
    <s v="King"/>
    <s v="06King"/>
    <s v="South Puget Sound"/>
    <s v="02South Puget Sound"/>
    <n v="139.94230769230799"/>
    <n v="1210.5009615384599"/>
    <n v="140.0972222222222"/>
    <n v="675.20625441374898"/>
  </r>
  <r>
    <n v="866"/>
    <x v="4"/>
    <s v="Freshwater"/>
    <x v="1"/>
    <x v="0"/>
    <n v="754"/>
    <s v="Kennedy Creek"/>
    <s v="Kennedy Creek"/>
    <s v="Mason/Thurston"/>
    <x v="3"/>
    <s v="Mason"/>
    <s v="09Mason"/>
    <s v="South Puget Sound"/>
    <s v="02South Puget Sound"/>
    <n v="44.192307692307701"/>
    <n v="382.26346153846202"/>
    <n v="44.245370370370367"/>
    <n v="213.24299175282374"/>
  </r>
  <r>
    <n v="864"/>
    <x v="4"/>
    <s v="Freshwater"/>
    <x v="1"/>
    <x v="0"/>
    <n v="754"/>
    <s v="Kennedy Creek"/>
    <s v="Kennedy Creek"/>
    <s v="Mason/Thurston"/>
    <x v="3"/>
    <s v="Pierce"/>
    <s v="07Pierce"/>
    <s v="South Puget Sound"/>
    <s v="02South Puget Sound"/>
    <n v="66.288461538461604"/>
    <n v="573.39519230769304"/>
    <n v="66.356481481481495"/>
    <n v="319.80870574377144"/>
  </r>
  <r>
    <n v="865"/>
    <x v="4"/>
    <s v="Freshwater"/>
    <x v="1"/>
    <x v="0"/>
    <n v="754"/>
    <s v="Kennedy Creek"/>
    <s v="Kennedy Creek"/>
    <s v="Mason/Thurston"/>
    <x v="3"/>
    <s v="Thurston"/>
    <s v="08Thurston"/>
    <s v="South Puget Sound"/>
    <s v="02South Puget Sound"/>
    <n v="132.57692307692301"/>
    <n v="1146.7903846153799"/>
    <n v="132.30092592592598"/>
    <n v="637.63157636501489"/>
  </r>
  <r>
    <n v="869"/>
    <x v="5"/>
    <s v="Freshwater"/>
    <x v="1"/>
    <x v="0"/>
    <n v="754"/>
    <s v="Kennedy Creek"/>
    <s v="Kennedy Creek"/>
    <s v="Mason/Thurston"/>
    <x v="3"/>
    <s v="Other"/>
    <s v="20Other"/>
    <s v="Non Puget Sound"/>
    <s v="07Non Puget Sound"/>
    <n v="45.909090909090899"/>
    <n v="157.92727272727299"/>
    <n v="45.963636363636397"/>
    <n v="162.66716785036277"/>
  </r>
  <r>
    <n v="867"/>
    <x v="5"/>
    <s v="Freshwater"/>
    <x v="1"/>
    <x v="0"/>
    <n v="754"/>
    <s v="Kennedy Creek"/>
    <s v="Kennedy Creek"/>
    <s v="Mason/Thurston"/>
    <x v="3"/>
    <s v="Pierce"/>
    <s v="07Pierce"/>
    <s v="South Puget Sound"/>
    <s v="02South Puget Sound"/>
    <n v="91.818181818181799"/>
    <n v="315.85454545454502"/>
    <n v="91.745454545454606"/>
    <n v="324.69087380258327"/>
  </r>
  <r>
    <n v="868"/>
    <x v="5"/>
    <s v="Freshwater"/>
    <x v="1"/>
    <x v="0"/>
    <n v="754"/>
    <s v="Kennedy Creek"/>
    <s v="Kennedy Creek"/>
    <s v="Mason/Thurston"/>
    <x v="3"/>
    <s v="Thurston"/>
    <s v="08Thurston"/>
    <s v="South Puget Sound"/>
    <s v="02South Puget Sound"/>
    <n v="64.272727272727295"/>
    <n v="221.09818181818201"/>
    <n v="64.290909090909096"/>
    <n v="227.52812718310221"/>
  </r>
  <r>
    <n v="870"/>
    <x v="6"/>
    <s v="Freshwater"/>
    <x v="1"/>
    <x v="0"/>
    <n v="754"/>
    <s v="Kennedy Creek"/>
    <s v="Kennedy Creek"/>
    <s v="Mason/Thurston"/>
    <x v="3"/>
    <s v="King"/>
    <s v="06King"/>
    <s v="South Puget Sound"/>
    <s v="02South Puget Sound"/>
    <n v="49.571428571428598"/>
    <n v="428.79285714285697"/>
    <n v="40.827586206896598"/>
    <n v="196.77079332655327"/>
  </r>
  <r>
    <n v="873"/>
    <x v="6"/>
    <s v="Freshwater"/>
    <x v="1"/>
    <x v="0"/>
    <n v="754"/>
    <s v="Kennedy Creek"/>
    <s v="Kennedy Creek"/>
    <s v="Mason/Thurston"/>
    <x v="3"/>
    <s v="Mason"/>
    <s v="09Mason"/>
    <s v="South Puget Sound"/>
    <s v="02South Puget Sound"/>
    <n v="9.9142857142857199"/>
    <n v="85.7585714285715"/>
    <n v="10.2068965517241"/>
    <n v="49.192698331638084"/>
  </r>
  <r>
    <n v="874"/>
    <x v="6"/>
    <s v="Freshwater"/>
    <x v="1"/>
    <x v="0"/>
    <n v="754"/>
    <s v="Kennedy Creek"/>
    <s v="Kennedy Creek"/>
    <s v="Mason/Thurston"/>
    <x v="3"/>
    <s v="Other"/>
    <s v="20Other"/>
    <s v="Non Puget Sound"/>
    <s v="07Non Puget Sound"/>
    <n v="19.828571428571401"/>
    <n v="171.517142857143"/>
    <n v="20.406896551724099"/>
    <n v="98.352158353592799"/>
  </r>
  <r>
    <n v="871"/>
    <x v="6"/>
    <s v="Freshwater"/>
    <x v="1"/>
    <x v="0"/>
    <n v="754"/>
    <s v="Kennedy Creek"/>
    <s v="Kennedy Creek"/>
    <s v="Mason/Thurston"/>
    <x v="3"/>
    <s v="Pierce"/>
    <s v="07Pierce"/>
    <s v="South Puget Sound"/>
    <s v="02South Puget Sound"/>
    <n v="29.742857142857201"/>
    <n v="257.27571428571503"/>
    <n v="30.620689655172399"/>
    <n v="147.57809499491472"/>
  </r>
  <r>
    <n v="872"/>
    <x v="6"/>
    <s v="Freshwater"/>
    <x v="1"/>
    <x v="0"/>
    <n v="754"/>
    <s v="Kennedy Creek"/>
    <s v="Kennedy Creek"/>
    <s v="Mason/Thurston"/>
    <x v="3"/>
    <s v="Thurston"/>
    <s v="08Thurston"/>
    <s v="South Puget Sound"/>
    <s v="02South Puget Sound"/>
    <n v="237.94285714285701"/>
    <n v="2058.2057142857102"/>
    <n v="244.93793103448297"/>
    <n v="1180.4918067205851"/>
  </r>
  <r>
    <n v="957"/>
    <x v="7"/>
    <s v="Freshwater"/>
    <x v="1"/>
    <x v="0"/>
    <n v="754"/>
    <s v="Kennedy Creek"/>
    <s v="Kennedy Creek"/>
    <s v="Mason/Thurston"/>
    <x v="3"/>
    <s v="Mason"/>
    <s v="09Mason"/>
    <s v="South Puget Sound"/>
    <s v="02South Puget Sound"/>
    <n v="20.6666666666667"/>
    <n v="71.093333333333405"/>
    <n v="24.6666666666667"/>
    <n v="87.29633084796636"/>
  </r>
  <r>
    <n v="875"/>
    <x v="7"/>
    <s v="Freshwater"/>
    <x v="1"/>
    <x v="0"/>
    <n v="754"/>
    <s v="Kennedy Creek"/>
    <s v="Kennedy Creek"/>
    <s v="Mason/Thurston"/>
    <x v="3"/>
    <s v="Pierce"/>
    <s v="07Pierce"/>
    <s v="South Puget Sound"/>
    <s v="02South Puget Sound"/>
    <n v="31"/>
    <n v="106.64"/>
    <n v="37.3333333333333"/>
    <n v="132.12417641854339"/>
  </r>
  <r>
    <n v="876"/>
    <x v="7"/>
    <s v="Freshwater"/>
    <x v="1"/>
    <x v="0"/>
    <n v="754"/>
    <s v="Kennedy Creek"/>
    <s v="Kennedy Creek"/>
    <s v="Mason/Thurston"/>
    <x v="3"/>
    <s v="Thurston"/>
    <s v="08Thurston"/>
    <s v="South Puget Sound"/>
    <s v="02South Puget Sound"/>
    <n v="10.3333333333333"/>
    <n v="35.546666666666603"/>
    <n v="0"/>
    <n v="0"/>
  </r>
  <r>
    <n v="958"/>
    <x v="8"/>
    <s v="Freshwater"/>
    <x v="1"/>
    <x v="0"/>
    <n v="754"/>
    <s v="Kennedy Creek"/>
    <s v="Kennedy Creek"/>
    <s v="Mason/Thurston"/>
    <x v="3"/>
    <s v="Pierce"/>
    <s v="07Pierce"/>
    <s v="South Puget Sound"/>
    <s v="02South Puget Sound"/>
    <n v="221.157894736842"/>
    <n v="1913.0157894736799"/>
    <n v="221.21428571428601"/>
    <n v="1066.1543955741877"/>
  </r>
  <r>
    <n v="959"/>
    <x v="8"/>
    <s v="Freshwater"/>
    <x v="1"/>
    <x v="0"/>
    <n v="754"/>
    <s v="Kennedy Creek"/>
    <s v="Kennedy Creek"/>
    <s v="Mason/Thurston"/>
    <x v="3"/>
    <s v="Thurston"/>
    <s v="08Thurston"/>
    <s v="South Puget Sound"/>
    <s v="02South Puget Sound"/>
    <n v="160.842105263158"/>
    <n v="1391.2842105263201"/>
    <n v="160.78571428571431"/>
    <n v="774.91557779705954"/>
  </r>
  <r>
    <n v="960"/>
    <x v="9"/>
    <s v="Freshwater"/>
    <x v="1"/>
    <x v="0"/>
    <n v="754"/>
    <s v="Kennedy Creek"/>
    <s v="Kennedy Creek"/>
    <s v="Mason/Thurston"/>
    <x v="3"/>
    <s v="Pierce"/>
    <s v="07Pierce"/>
    <s v="South Puget Sound"/>
    <s v="02South Puget Sound"/>
    <n v="22"/>
    <n v="75.680000000000007"/>
    <n v="22"/>
    <n v="77.858889675213135"/>
  </r>
  <r>
    <n v="961"/>
    <x v="9"/>
    <s v="Freshwater"/>
    <x v="1"/>
    <x v="0"/>
    <n v="754"/>
    <s v="Kennedy Creek"/>
    <s v="Kennedy Creek"/>
    <s v="Mason/Thurston"/>
    <x v="3"/>
    <s v="Thurston"/>
    <s v="08Thurston"/>
    <s v="South Puget Sound"/>
    <s v="02South Puget Sound"/>
    <n v="11"/>
    <n v="37.840000000000003"/>
    <n v="11"/>
    <n v="38.929444837606567"/>
  </r>
  <r>
    <n v="962"/>
    <x v="10"/>
    <s v="Freshwater"/>
    <x v="1"/>
    <x v="0"/>
    <n v="754"/>
    <s v="Kennedy Creek"/>
    <s v="Kennedy Creek"/>
    <s v="Mason/Thurston"/>
    <x v="3"/>
    <s v="King"/>
    <s v="06King"/>
    <s v="South Puget Sound"/>
    <s v="02South Puget Sound"/>
    <n v="11.948717948718"/>
    <n v="103.356410256411"/>
    <n v="11.9166666666667"/>
    <n v="57.433029274015894"/>
  </r>
  <r>
    <n v="965"/>
    <x v="10"/>
    <s v="Freshwater"/>
    <x v="1"/>
    <x v="0"/>
    <n v="754"/>
    <s v="Kennedy Creek"/>
    <s v="Kennedy Creek"/>
    <s v="Mason/Thurston"/>
    <x v="3"/>
    <s v="Mason"/>
    <s v="09Mason"/>
    <s v="South Puget Sound"/>
    <s v="02South Puget Sound"/>
    <n v="23.897435897435901"/>
    <n v="206.712820512821"/>
    <n v="23.8333333333333"/>
    <n v="114.8660585480313"/>
  </r>
  <r>
    <n v="966"/>
    <x v="10"/>
    <s v="Freshwater"/>
    <x v="1"/>
    <x v="0"/>
    <n v="754"/>
    <s v="Kennedy Creek"/>
    <s v="Kennedy Creek"/>
    <s v="Mason/Thurston"/>
    <x v="3"/>
    <s v="Other"/>
    <s v="20Other"/>
    <s v="Non Puget Sound"/>
    <s v="07Non Puget Sound"/>
    <n v="35.846153846153904"/>
    <n v="310.06923076923101"/>
    <n v="35.8888888888889"/>
    <n v="172.96847044761853"/>
  </r>
  <r>
    <n v="963"/>
    <x v="10"/>
    <s v="Freshwater"/>
    <x v="1"/>
    <x v="0"/>
    <n v="754"/>
    <s v="Kennedy Creek"/>
    <s v="Kennedy Creek"/>
    <s v="Mason/Thurston"/>
    <x v="3"/>
    <s v="Pierce"/>
    <s v="07Pierce"/>
    <s v="South Puget Sound"/>
    <s v="02South Puget Sound"/>
    <n v="203.128205128205"/>
    <n v="1757.0589743589701"/>
    <n v="203.13888888888931"/>
    <n v="979.03902816055461"/>
  </r>
  <r>
    <n v="964"/>
    <x v="10"/>
    <s v="Freshwater"/>
    <x v="1"/>
    <x v="0"/>
    <n v="754"/>
    <s v="Kennedy Creek"/>
    <s v="Kennedy Creek"/>
    <s v="Mason/Thurston"/>
    <x v="3"/>
    <s v="Thurston"/>
    <s v="08Thurston"/>
    <s v="South Puget Sound"/>
    <s v="02South Puget Sound"/>
    <n v="191.17948717948701"/>
    <n v="1653.70256410256"/>
    <n v="191.22222222222268"/>
    <n v="921.60599888653906"/>
  </r>
  <r>
    <n v="2018"/>
    <x v="0"/>
    <s v="Freshwater"/>
    <x v="1"/>
    <x v="0"/>
    <n v="762"/>
    <s v="Lake Washington"/>
    <s v="Lake Washington"/>
    <s v="King"/>
    <x v="2"/>
    <s v="King"/>
    <s v="06King"/>
    <s v="South Puget Sound"/>
    <s v="02South Puget Sound"/>
    <n v="6"/>
    <n v="51.9"/>
    <n v="6"/>
    <n v="28.917329424679252"/>
  </r>
  <r>
    <n v="2875"/>
    <x v="1"/>
    <s v="Freshwater"/>
    <x v="1"/>
    <x v="0"/>
    <n v="762"/>
    <s v="Lake Washington"/>
    <s v="Lake Washington"/>
    <s v="King"/>
    <x v="2"/>
    <s v="King"/>
    <s v="06King"/>
    <s v="South Puget Sound"/>
    <s v="02South Puget Sound"/>
    <n v="56"/>
    <n v="192.64"/>
    <n v="52.8333333333333"/>
    <n v="186.97930323517082"/>
  </r>
  <r>
    <n v="1628"/>
    <x v="1"/>
    <s v="Freshwater"/>
    <x v="1"/>
    <x v="0"/>
    <n v="762"/>
    <s v="Lake Washington"/>
    <s v="Lake Washington"/>
    <s v="King"/>
    <x v="2"/>
    <s v="Other"/>
    <s v="20Other"/>
    <s v="Non Puget Sound"/>
    <s v="07Non Puget Sound"/>
    <n v="7"/>
    <n v="24.08"/>
    <n v="7.6666666666666696"/>
    <n v="27.132643371665196"/>
  </r>
  <r>
    <n v="2518"/>
    <x v="1"/>
    <s v="Freshwater"/>
    <x v="1"/>
    <x v="0"/>
    <n v="762"/>
    <s v="Lake Washington"/>
    <s v="Lake Washington"/>
    <s v="King"/>
    <x v="2"/>
    <s v="Snohomish"/>
    <s v="03Snohomish"/>
    <s v="North Puget Sound"/>
    <s v="01North Puget Sound"/>
    <n v="35"/>
    <n v="120.4"/>
    <n v="37.5"/>
    <n v="132.71401649184057"/>
  </r>
  <r>
    <n v="2711"/>
    <x v="2"/>
    <s v="Freshwater"/>
    <x v="1"/>
    <x v="0"/>
    <n v="762"/>
    <s v="Lake Washington"/>
    <s v="Lake Washington"/>
    <s v="King"/>
    <x v="2"/>
    <s v="King"/>
    <s v="06King"/>
    <s v="South Puget Sound"/>
    <s v="02South Puget Sound"/>
    <n v="89.3333333333333"/>
    <n v="772.73333333333301"/>
    <n v="86.685714285714297"/>
    <n v="417.78655940227077"/>
  </r>
  <r>
    <n v="2710"/>
    <x v="2"/>
    <s v="Freshwater"/>
    <x v="1"/>
    <x v="0"/>
    <n v="762"/>
    <s v="Lake Washington"/>
    <s v="Lake Washington"/>
    <s v="King"/>
    <x v="2"/>
    <s v="Snohomish"/>
    <s v="03Snohomish"/>
    <s v="North Puget Sound"/>
    <s v="01North Puget Sound"/>
    <n v="44.6666666666667"/>
    <n v="386.36666666666702"/>
    <n v="47.314285714285703"/>
    <n v="228.03379774889919"/>
  </r>
  <r>
    <n v="2916"/>
    <x v="3"/>
    <s v="Freshwater"/>
    <x v="1"/>
    <x v="0"/>
    <n v="762"/>
    <s v="Lake Washington"/>
    <s v="Lake Washington"/>
    <s v="King"/>
    <x v="2"/>
    <s v="King"/>
    <s v="06King"/>
    <s v="South Puget Sound"/>
    <s v="02South Puget Sound"/>
    <n v="130.375"/>
    <n v="448.49"/>
    <n v="130.4"/>
    <n v="461.49087334762697"/>
  </r>
  <r>
    <n v="2917"/>
    <x v="3"/>
    <s v="Freshwater"/>
    <x v="1"/>
    <x v="0"/>
    <n v="762"/>
    <s v="Lake Washington"/>
    <s v="Lake Washington"/>
    <s v="King"/>
    <x v="2"/>
    <s v="Other"/>
    <s v="20Other"/>
    <s v="Non Puget Sound"/>
    <s v="07Non Puget Sound"/>
    <n v="9.3125"/>
    <n v="32.034999999999997"/>
    <n v="9.3000000000000007"/>
    <n v="32.913076089976464"/>
  </r>
  <r>
    <n v="2915"/>
    <x v="3"/>
    <s v="Freshwater"/>
    <x v="1"/>
    <x v="0"/>
    <n v="762"/>
    <s v="Lake Washington"/>
    <s v="Lake Washington"/>
    <s v="King"/>
    <x v="2"/>
    <s v="Snohomish"/>
    <s v="03Snohomish"/>
    <s v="North Puget Sound"/>
    <s v="01North Puget Sound"/>
    <n v="9.3125"/>
    <n v="32.034999999999997"/>
    <n v="9.3000000000000007"/>
    <n v="32.913076089976464"/>
  </r>
  <r>
    <n v="3270"/>
    <x v="4"/>
    <s v="Freshwater"/>
    <x v="1"/>
    <x v="0"/>
    <n v="762"/>
    <s v="Lake Washington"/>
    <s v="Lake Washington"/>
    <s v="King"/>
    <x v="2"/>
    <s v="King"/>
    <s v="06King"/>
    <s v="South Puget Sound"/>
    <s v="02South Puget Sound"/>
    <n v="550.84615384615404"/>
    <n v="4764.8192307692298"/>
    <n v="550.87443037974697"/>
    <n v="2654.9695624872797"/>
  </r>
  <r>
    <n v="3271"/>
    <x v="4"/>
    <s v="Freshwater"/>
    <x v="1"/>
    <x v="0"/>
    <n v="762"/>
    <s v="Lake Washington"/>
    <s v="Lake Washington"/>
    <s v="King"/>
    <x v="2"/>
    <s v="Other"/>
    <s v="20Other"/>
    <s v="Non Puget Sound"/>
    <s v="07Non Puget Sound"/>
    <n v="7.1538461538461604"/>
    <n v="61.880769230769303"/>
    <n v="7.1518987341772204"/>
    <n v="34.468968618024867"/>
  </r>
  <r>
    <n v="3269"/>
    <x v="4"/>
    <s v="Freshwater"/>
    <x v="1"/>
    <x v="0"/>
    <n v="762"/>
    <s v="Lake Washington"/>
    <s v="Lake Washington"/>
    <s v="King"/>
    <x v="2"/>
    <s v="Snohomish"/>
    <s v="03Snohomish"/>
    <s v="North Puget Sound"/>
    <s v="01North Puget Sound"/>
    <n v="186"/>
    <n v="1608.9"/>
    <n v="185.97367088607598"/>
    <n v="896.31031755492324"/>
  </r>
  <r>
    <n v="3495"/>
    <x v="5"/>
    <s v="Freshwater"/>
    <x v="1"/>
    <x v="0"/>
    <n v="762"/>
    <s v="Lake Washington"/>
    <s v="Lake Washington"/>
    <s v="King"/>
    <x v="2"/>
    <s v="King"/>
    <s v="06King"/>
    <s v="South Puget Sound"/>
    <s v="02South Puget Sound"/>
    <n v="123.2"/>
    <n v="423.80799999999999"/>
    <n v="123.25"/>
    <n v="436.18673420318271"/>
  </r>
  <r>
    <n v="3541"/>
    <x v="5"/>
    <s v="Freshwater"/>
    <x v="1"/>
    <x v="0"/>
    <n v="762"/>
    <s v="Lake Washington"/>
    <s v="Lake Washington"/>
    <s v="King"/>
    <x v="2"/>
    <s v="Other"/>
    <s v="20Other"/>
    <s v="Non Puget Sound"/>
    <s v="07Non Puget Sound"/>
    <n v="8.8000000000000007"/>
    <n v="30.271999999999998"/>
    <n v="8.75"/>
    <n v="30.966603848096135"/>
  </r>
  <r>
    <n v="3673"/>
    <x v="6"/>
    <s v="Freshwater"/>
    <x v="1"/>
    <x v="0"/>
    <n v="762"/>
    <s v="Lake Washington"/>
    <s v="Lake Washington"/>
    <s v="King"/>
    <x v="2"/>
    <s v="King"/>
    <s v="06King"/>
    <s v="South Puget Sound"/>
    <s v="02South Puget Sound"/>
    <n v="607.72941176470601"/>
    <n v="5256.8594117647099"/>
    <n v="637.5"/>
    <n v="3072.4662513721705"/>
  </r>
  <r>
    <n v="3646"/>
    <x v="6"/>
    <s v="Freshwater"/>
    <x v="1"/>
    <x v="0"/>
    <n v="762"/>
    <s v="Lake Washington"/>
    <s v="Lake Washington"/>
    <s v="King"/>
    <x v="2"/>
    <s v="Snohomish"/>
    <s v="03Snohomish"/>
    <s v="North Puget Sound"/>
    <s v="01North Puget Sound"/>
    <n v="163.27058823529401"/>
    <n v="1412.29058823529"/>
    <n v="133.5"/>
    <n v="643.41057969911333"/>
  </r>
  <r>
    <n v="3"/>
    <x v="7"/>
    <s v="Freshwater"/>
    <x v="1"/>
    <x v="0"/>
    <n v="762"/>
    <s v="Lake Washington"/>
    <s v="Lake Washington"/>
    <s v="King"/>
    <x v="2"/>
    <s v="King"/>
    <s v="06King"/>
    <s v="South Puget Sound"/>
    <s v="02South Puget Sound"/>
    <n v="326.90196078431399"/>
    <n v="1124.5427450980401"/>
    <n v="347.38260869565198"/>
    <n v="1229.4011002510229"/>
  </r>
  <r>
    <n v="2"/>
    <x v="7"/>
    <s v="Freshwater"/>
    <x v="1"/>
    <x v="0"/>
    <n v="762"/>
    <s v="Lake Washington"/>
    <s v="Lake Washington"/>
    <s v="King"/>
    <x v="2"/>
    <s v="Snohomish"/>
    <s v="03Snohomish"/>
    <s v="North Puget Sound"/>
    <s v="01North Puget Sound"/>
    <n v="194.09803921568599"/>
    <n v="667.69725490196004"/>
    <n v="173.61739130434779"/>
    <n v="614.43896887561471"/>
  </r>
  <r>
    <n v="12"/>
    <x v="8"/>
    <s v="Freshwater"/>
    <x v="1"/>
    <x v="0"/>
    <n v="762"/>
    <s v="Lake Washington"/>
    <s v="Lake Washington"/>
    <s v="King"/>
    <x v="2"/>
    <s v="King"/>
    <s v="06King"/>
    <s v="South Puget Sound"/>
    <s v="02South Puget Sound"/>
    <n v="90.3"/>
    <n v="781.09500000000003"/>
    <n v="90.3"/>
    <n v="435.20580784142271"/>
  </r>
  <r>
    <n v="11"/>
    <x v="8"/>
    <s v="Freshwater"/>
    <x v="1"/>
    <x v="0"/>
    <n v="762"/>
    <s v="Lake Washington"/>
    <s v="Lake Washington"/>
    <s v="King"/>
    <x v="2"/>
    <s v="Snohomish"/>
    <s v="03Snohomish"/>
    <s v="North Puget Sound"/>
    <s v="01North Puget Sound"/>
    <n v="210.7"/>
    <n v="1822.5550000000001"/>
    <n v="210.7"/>
    <n v="1015.480218296653"/>
  </r>
  <r>
    <n v="24"/>
    <x v="9"/>
    <s v="Freshwater"/>
    <x v="1"/>
    <x v="0"/>
    <n v="762"/>
    <s v="Lake Washington"/>
    <s v="Lake Washington"/>
    <s v="King"/>
    <x v="2"/>
    <s v="King"/>
    <s v="06King"/>
    <s v="South Puget Sound"/>
    <s v="02South Puget Sound"/>
    <n v="451"/>
    <n v="1551.44"/>
    <n v="451"/>
    <n v="1596.1072383418693"/>
  </r>
  <r>
    <n v="23"/>
    <x v="9"/>
    <s v="Freshwater"/>
    <x v="1"/>
    <x v="0"/>
    <n v="762"/>
    <s v="Lake Washington"/>
    <s v="Lake Washington"/>
    <s v="King"/>
    <x v="2"/>
    <s v="Snohomish"/>
    <s v="03Snohomish"/>
    <s v="North Puget Sound"/>
    <s v="01North Puget Sound"/>
    <n v="99"/>
    <n v="340.56"/>
    <n v="99"/>
    <n v="350.36500353845912"/>
  </r>
  <r>
    <n v="116"/>
    <x v="10"/>
    <s v="Freshwater"/>
    <x v="1"/>
    <x v="0"/>
    <n v="762"/>
    <s v="Lake Washington"/>
    <s v="Lake Washington"/>
    <s v="King"/>
    <x v="2"/>
    <s v="King"/>
    <s v="06King"/>
    <s v="South Puget Sound"/>
    <s v="02South Puget Sound"/>
    <n v="108.529411764706"/>
    <n v="938.77941176470699"/>
    <n v="108"/>
    <n v="520.51192964422648"/>
  </r>
  <r>
    <n v="115"/>
    <x v="10"/>
    <s v="Freshwater"/>
    <x v="1"/>
    <x v="0"/>
    <n v="762"/>
    <s v="Lake Washington"/>
    <s v="Lake Washington"/>
    <s v="King"/>
    <x v="2"/>
    <s v="Snohomish"/>
    <s v="03Snohomish"/>
    <s v="North Puget Sound"/>
    <s v="01North Puget Sound"/>
    <n v="14.4705882352941"/>
    <n v="125.17058823529401"/>
    <n v="15"/>
    <n v="72.293323561698131"/>
  </r>
  <r>
    <n v="127"/>
    <x v="11"/>
    <s v="Freshwater"/>
    <x v="1"/>
    <x v="0"/>
    <n v="762"/>
    <s v="Lake Washington"/>
    <s v="Lake Washington"/>
    <s v="King"/>
    <x v="2"/>
    <s v="Island"/>
    <s v="04Island"/>
    <s v="North Puget Sound"/>
    <s v="01North Puget Sound"/>
    <n v="40.875"/>
    <n v="140.61000000000001"/>
    <n v="40.875"/>
    <n v="144.65827797610623"/>
  </r>
  <r>
    <n v="128"/>
    <x v="11"/>
    <s v="Freshwater"/>
    <x v="1"/>
    <x v="0"/>
    <n v="762"/>
    <s v="Lake Washington"/>
    <s v="Lake Washington"/>
    <s v="King"/>
    <x v="2"/>
    <s v="King"/>
    <s v="06King"/>
    <s v="South Puget Sound"/>
    <s v="02South Puget Sound"/>
    <n v="626.75"/>
    <n v="2156.02"/>
    <n v="626.75"/>
    <n v="2218.0935956336289"/>
  </r>
  <r>
    <n v="129"/>
    <x v="11"/>
    <s v="Freshwater"/>
    <x v="1"/>
    <x v="0"/>
    <n v="762"/>
    <s v="Lake Washington"/>
    <s v="Lake Washington"/>
    <s v="King"/>
    <x v="2"/>
    <s v="Pierce"/>
    <s v="07Pierce"/>
    <s v="South Puget Sound"/>
    <s v="02South Puget Sound"/>
    <n v="13.625"/>
    <n v="46.87"/>
    <n v="13.625"/>
    <n v="48.219425992035411"/>
  </r>
  <r>
    <n v="126"/>
    <x v="11"/>
    <s v="Freshwater"/>
    <x v="1"/>
    <x v="0"/>
    <n v="762"/>
    <s v="Lake Washington"/>
    <s v="Lake Washington"/>
    <s v="King"/>
    <x v="2"/>
    <s v="Snohomish"/>
    <s v="03Snohomish"/>
    <s v="North Puget Sound"/>
    <s v="01North Puget Sound"/>
    <n v="81.75"/>
    <n v="281.22000000000003"/>
    <n v="81.75"/>
    <n v="289.31655595221247"/>
  </r>
  <r>
    <n v="2020"/>
    <x v="0"/>
    <s v="Freshwater"/>
    <x v="1"/>
    <x v="0"/>
    <n v="764"/>
    <s v="Lake Sammamish"/>
    <s v="Lake Sammamish"/>
    <s v="King"/>
    <x v="2"/>
    <s v="King"/>
    <s v="06King"/>
    <s v="South Puget Sound"/>
    <s v="02South Puget Sound"/>
    <n v="138.470588235294"/>
    <n v="1197.77058823529"/>
    <n v="136.3461538461539"/>
    <n v="657.12777442620495"/>
  </r>
  <r>
    <n v="2021"/>
    <x v="0"/>
    <s v="Freshwater"/>
    <x v="1"/>
    <x v="0"/>
    <n v="764"/>
    <s v="Lake Sammamish"/>
    <s v="Lake Sammamish"/>
    <s v="King"/>
    <x v="2"/>
    <s v="Other"/>
    <s v="20Other"/>
    <s v="Non Puget Sound"/>
    <s v="07Non Puget Sound"/>
    <n v="37.764705882352899"/>
    <n v="326.66470588235302"/>
    <n v="38.769230769230802"/>
    <n v="186.850436282543"/>
  </r>
  <r>
    <n v="2019"/>
    <x v="0"/>
    <s v="Freshwater"/>
    <x v="1"/>
    <x v="0"/>
    <n v="764"/>
    <s v="Lake Sammamish"/>
    <s v="Lake Sammamish"/>
    <s v="King"/>
    <x v="2"/>
    <s v="Snohomish"/>
    <s v="03Snohomish"/>
    <s v="North Puget Sound"/>
    <s v="01North Puget Sound"/>
    <n v="37.764705882352899"/>
    <n v="326.66470588235302"/>
    <n v="38.884615384615401"/>
    <n v="187.40653877147906"/>
  </r>
  <r>
    <n v="2444"/>
    <x v="1"/>
    <s v="Freshwater"/>
    <x v="1"/>
    <x v="0"/>
    <n v="764"/>
    <s v="Lake Sammamish"/>
    <s v="Lake Sammamish"/>
    <s v="King"/>
    <x v="2"/>
    <s v="King"/>
    <s v="06King"/>
    <s v="South Puget Sound"/>
    <s v="02South Puget Sound"/>
    <n v="151.111111111111"/>
    <n v="519.82222222222197"/>
    <n v="151"/>
    <n v="534.39510640714468"/>
  </r>
  <r>
    <n v="2691"/>
    <x v="1"/>
    <s v="Freshwater"/>
    <x v="1"/>
    <x v="0"/>
    <n v="764"/>
    <s v="Lake Sammamish"/>
    <s v="Lake Sammamish"/>
    <s v="King"/>
    <x v="2"/>
    <s v="Other"/>
    <s v="20Other"/>
    <s v="Non Puget Sound"/>
    <s v="07Non Puget Sound"/>
    <n v="37.7777777777778"/>
    <n v="129.955555555556"/>
    <n v="37.9"/>
    <n v="134.12963266775353"/>
  </r>
  <r>
    <n v="2538"/>
    <x v="1"/>
    <s v="Freshwater"/>
    <x v="1"/>
    <x v="0"/>
    <n v="764"/>
    <s v="Lake Sammamish"/>
    <s v="Lake Sammamish"/>
    <s v="King"/>
    <x v="2"/>
    <s v="Pierce"/>
    <s v="07Pierce"/>
    <s v="South Puget Sound"/>
    <s v="02South Puget Sound"/>
    <n v="7.5555555555555598"/>
    <n v="25.991111111111099"/>
    <n v="7.5"/>
    <n v="26.542803298368113"/>
  </r>
  <r>
    <n v="1792"/>
    <x v="1"/>
    <s v="Freshwater"/>
    <x v="1"/>
    <x v="0"/>
    <n v="764"/>
    <s v="Lake Sammamish"/>
    <s v="Lake Sammamish"/>
    <s v="King"/>
    <x v="2"/>
    <s v="Snohomish"/>
    <s v="03Snohomish"/>
    <s v="North Puget Sound"/>
    <s v="01North Puget Sound"/>
    <n v="7.5555555555555598"/>
    <n v="25.991111111111099"/>
    <n v="7.6"/>
    <n v="26.896707342346357"/>
  </r>
  <r>
    <n v="2810"/>
    <x v="2"/>
    <s v="Freshwater"/>
    <x v="1"/>
    <x v="0"/>
    <n v="764"/>
    <s v="Lake Sammamish"/>
    <s v="Lake Sammamish"/>
    <s v="King"/>
    <x v="2"/>
    <s v="King"/>
    <s v="06King"/>
    <s v="South Puget Sound"/>
    <s v="02South Puget Sound"/>
    <n v="221.25"/>
    <n v="1913.8125"/>
    <n v="221.22499999999999"/>
    <n v="1066.2060336624445"/>
  </r>
  <r>
    <n v="2811"/>
    <x v="2"/>
    <s v="Freshwater"/>
    <x v="1"/>
    <x v="0"/>
    <n v="764"/>
    <s v="Lake Sammamish"/>
    <s v="Lake Sammamish"/>
    <s v="King"/>
    <x v="2"/>
    <s v="Pierce"/>
    <s v="07Pierce"/>
    <s v="South Puget Sound"/>
    <s v="02South Puget Sound"/>
    <n v="7.375"/>
    <n v="63.793750000000003"/>
    <n v="7.4"/>
    <n v="35.664706290437742"/>
  </r>
  <r>
    <n v="2798"/>
    <x v="2"/>
    <s v="Freshwater"/>
    <x v="1"/>
    <x v="0"/>
    <n v="764"/>
    <s v="Lake Sammamish"/>
    <s v="Lake Sammamish"/>
    <s v="King"/>
    <x v="2"/>
    <s v="Snohomish"/>
    <s v="03Snohomish"/>
    <s v="North Puget Sound"/>
    <s v="01North Puget Sound"/>
    <n v="7.375"/>
    <n v="63.793750000000003"/>
    <n v="7.375"/>
    <n v="35.544217417834915"/>
  </r>
  <r>
    <n v="3034"/>
    <x v="3"/>
    <s v="Freshwater"/>
    <x v="1"/>
    <x v="0"/>
    <n v="764"/>
    <s v="Lake Sammamish"/>
    <s v="Lake Sammamish"/>
    <s v="King"/>
    <x v="2"/>
    <s v="King"/>
    <s v="06King"/>
    <s v="South Puget Sound"/>
    <s v="02South Puget Sound"/>
    <n v="268.45714285714303"/>
    <n v="923.49257142857198"/>
    <n v="268.90909090909099"/>
    <n v="951.68014735239888"/>
  </r>
  <r>
    <n v="3036"/>
    <x v="3"/>
    <s v="Freshwater"/>
    <x v="1"/>
    <x v="0"/>
    <n v="764"/>
    <s v="Lake Sammamish"/>
    <s v="Lake Sammamish"/>
    <s v="King"/>
    <x v="2"/>
    <s v="Other"/>
    <s v="20Other"/>
    <s v="Non Puget Sound"/>
    <s v="07Non Puget Sound"/>
    <n v="27.771428571428601"/>
    <n v="95.533714285714396"/>
    <n v="27.27272727272728"/>
    <n v="96.519284721338622"/>
  </r>
  <r>
    <n v="3035"/>
    <x v="3"/>
    <s v="Freshwater"/>
    <x v="1"/>
    <x v="0"/>
    <n v="764"/>
    <s v="Lake Sammamish"/>
    <s v="Lake Sammamish"/>
    <s v="King"/>
    <x v="2"/>
    <s v="Pierce"/>
    <s v="07Pierce"/>
    <s v="South Puget Sound"/>
    <s v="02South Puget Sound"/>
    <n v="18.514285714285698"/>
    <n v="63.689142857142798"/>
    <n v="18.5454545454546"/>
    <n v="65.633113610510435"/>
  </r>
  <r>
    <n v="3033"/>
    <x v="3"/>
    <s v="Freshwater"/>
    <x v="1"/>
    <x v="0"/>
    <n v="764"/>
    <s v="Lake Sammamish"/>
    <s v="Lake Sammamish"/>
    <s v="King"/>
    <x v="2"/>
    <s v="Snohomish"/>
    <s v="03Snohomish"/>
    <s v="North Puget Sound"/>
    <s v="01North Puget Sound"/>
    <n v="9.2571428571428598"/>
    <n v="31.844571428571399"/>
    <n v="9.2727272727272805"/>
    <n v="32.816556805255154"/>
  </r>
  <r>
    <n v="3360"/>
    <x v="4"/>
    <s v="Freshwater"/>
    <x v="1"/>
    <x v="0"/>
    <n v="764"/>
    <s v="Lake Sammamish"/>
    <s v="Lake Sammamish"/>
    <s v="King"/>
    <x v="2"/>
    <s v="King"/>
    <s v="06King"/>
    <s v="South Puget Sound"/>
    <s v="02South Puget Sound"/>
    <n v="21.428571428571399"/>
    <n v="185.357142857143"/>
    <n v="21.5"/>
    <n v="103.62043043843398"/>
  </r>
  <r>
    <n v="3361"/>
    <x v="4"/>
    <s v="Freshwater"/>
    <x v="1"/>
    <x v="0"/>
    <n v="764"/>
    <s v="Lake Sammamish"/>
    <s v="Lake Sammamish"/>
    <s v="King"/>
    <x v="2"/>
    <s v="Other"/>
    <s v="20Other"/>
    <s v="Non Puget Sound"/>
    <s v="07Non Puget Sound"/>
    <n v="7.1428571428571397"/>
    <n v="61.785714285714299"/>
    <n v="7"/>
    <n v="33.736884328792456"/>
  </r>
  <r>
    <n v="3351"/>
    <x v="4"/>
    <s v="Freshwater"/>
    <x v="1"/>
    <x v="0"/>
    <n v="764"/>
    <s v="Lake Sammamish"/>
    <s v="Lake Sammamish"/>
    <s v="King"/>
    <x v="2"/>
    <s v="Snohomish"/>
    <s v="03Snohomish"/>
    <s v="North Puget Sound"/>
    <s v="01North Puget Sound"/>
    <n v="21.428571428571399"/>
    <n v="185.357142857143"/>
    <n v="21.5"/>
    <n v="103.62043043843398"/>
  </r>
  <r>
    <n v="4"/>
    <x v="7"/>
    <s v="Freshwater"/>
    <x v="1"/>
    <x v="0"/>
    <n v="764"/>
    <s v="Lake Sammamish"/>
    <s v="Lake Sammamish"/>
    <s v="King"/>
    <x v="2"/>
    <s v="King"/>
    <s v="06King"/>
    <s v="South Puget Sound"/>
    <s v="02South Puget Sound"/>
    <n v="20.5"/>
    <n v="70.52"/>
    <n v="20.5"/>
    <n v="72.550329015539518"/>
  </r>
  <r>
    <n v="5"/>
    <x v="7"/>
    <s v="Freshwater"/>
    <x v="1"/>
    <x v="0"/>
    <n v="764"/>
    <s v="Lake Sammamish"/>
    <s v="Lake Sammamish"/>
    <s v="King"/>
    <x v="2"/>
    <s v="Thurston"/>
    <s v="08Thurston"/>
    <s v="South Puget Sound"/>
    <s v="02South Puget Sound"/>
    <n v="20.5"/>
    <n v="70.52"/>
    <n v="20.5"/>
    <n v="72.550329015539518"/>
  </r>
  <r>
    <n v="14"/>
    <x v="8"/>
    <s v="Freshwater"/>
    <x v="1"/>
    <x v="0"/>
    <n v="764"/>
    <s v="Lake Sammamish"/>
    <s v="Lake Sammamish"/>
    <s v="King"/>
    <x v="2"/>
    <s v="King"/>
    <s v="06King"/>
    <s v="South Puget Sound"/>
    <s v="02South Puget Sound"/>
    <n v="10"/>
    <n v="86.5"/>
    <n v="10"/>
    <n v="48.195549041132082"/>
  </r>
  <r>
    <n v="13"/>
    <x v="8"/>
    <s v="Freshwater"/>
    <x v="1"/>
    <x v="0"/>
    <n v="764"/>
    <s v="Lake Sammamish"/>
    <s v="Lake Sammamish"/>
    <s v="King"/>
    <x v="2"/>
    <s v="Snohomish"/>
    <s v="03Snohomish"/>
    <s v="North Puget Sound"/>
    <s v="01North Puget Sound"/>
    <n v="10"/>
    <n v="86.5"/>
    <n v="0"/>
    <n v="0"/>
  </r>
  <r>
    <n v="105"/>
    <x v="9"/>
    <s v="Freshwater"/>
    <x v="1"/>
    <x v="0"/>
    <n v="764"/>
    <s v="Lake Sammamish"/>
    <s v="Lake Sammamish"/>
    <s v="King"/>
    <x v="2"/>
    <s v="King"/>
    <s v="06King"/>
    <s v="South Puget Sound"/>
    <s v="02South Puget Sound"/>
    <n v="11"/>
    <n v="37.840000000000003"/>
    <n v="11"/>
    <n v="38.929444837606567"/>
  </r>
  <r>
    <n v="106"/>
    <x v="9"/>
    <s v="Freshwater"/>
    <x v="1"/>
    <x v="0"/>
    <n v="764"/>
    <s v="Lake Sammamish"/>
    <s v="Lake Sammamish"/>
    <s v="King"/>
    <x v="2"/>
    <s v="Pierce"/>
    <s v="07Pierce"/>
    <s v="South Puget Sound"/>
    <s v="02South Puget Sound"/>
    <n v="66"/>
    <n v="227.04"/>
    <n v="66"/>
    <n v="233.5766690256394"/>
  </r>
  <r>
    <n v="117"/>
    <x v="10"/>
    <s v="Freshwater"/>
    <x v="1"/>
    <x v="0"/>
    <n v="764"/>
    <s v="Lake Sammamish"/>
    <s v="Lake Sammamish"/>
    <s v="King"/>
    <x v="2"/>
    <s v="Pierce"/>
    <s v="07Pierce"/>
    <s v="South Puget Sound"/>
    <s v="02South Puget Sound"/>
    <n v="7"/>
    <n v="60.55"/>
    <n v="7"/>
    <n v="33.736884328792456"/>
  </r>
  <r>
    <n v="130"/>
    <x v="11"/>
    <s v="Freshwater"/>
    <x v="1"/>
    <x v="0"/>
    <n v="764"/>
    <s v="Lake Sammamish"/>
    <s v="Lake Sammamish"/>
    <s v="King"/>
    <x v="2"/>
    <s v="King"/>
    <s v="06King"/>
    <s v="South Puget Sound"/>
    <s v="02South Puget Sound"/>
    <n v="13.6666666666667"/>
    <n v="47.013333333333399"/>
    <n v="13.6666666666667"/>
    <n v="48.366886010359792"/>
  </r>
  <r>
    <n v="215"/>
    <x v="11"/>
    <s v="Freshwater"/>
    <x v="1"/>
    <x v="0"/>
    <n v="764"/>
    <s v="Lake Sammamish"/>
    <s v="Lake Sammamish"/>
    <s v="King"/>
    <x v="2"/>
    <s v="Pierce"/>
    <s v="07Pierce"/>
    <s v="South Puget Sound"/>
    <s v="02South Puget Sound"/>
    <n v="27.3333333333333"/>
    <n v="94.0266666666666"/>
    <n v="27.3333333333333"/>
    <n v="96.733772020719229"/>
  </r>
  <r>
    <n v="2562"/>
    <x v="9"/>
    <s v="Freshwater"/>
    <x v="1"/>
    <x v="0"/>
    <n v="768"/>
    <s v="Lyre River"/>
    <s v="Lyre River"/>
    <s v="Clallam"/>
    <x v="0"/>
    <s v="Pierce"/>
    <s v="07Pierce"/>
    <s v="South Puget Sound"/>
    <s v="02South Puget Sound"/>
    <n v="0"/>
    <n v="0"/>
    <n v="0"/>
    <n v="0"/>
  </r>
  <r>
    <n v="2561"/>
    <x v="9"/>
    <s v="Freshwater"/>
    <x v="1"/>
    <x v="0"/>
    <n v="768"/>
    <s v="Lyre River"/>
    <s v="Lyre River"/>
    <s v="Clallam"/>
    <x v="0"/>
    <s v="Snohomish"/>
    <s v="03Snohomish"/>
    <s v="North Puget Sound"/>
    <s v="01North Puget Sound"/>
    <n v="0"/>
    <n v="0"/>
    <n v="0"/>
    <n v="0"/>
  </r>
  <r>
    <n v="2563"/>
    <x v="9"/>
    <s v="Freshwater"/>
    <x v="1"/>
    <x v="0"/>
    <n v="768"/>
    <s v="Lyre River"/>
    <s v="Lyre River"/>
    <s v="Clallam"/>
    <x v="0"/>
    <s v="Thurston"/>
    <s v="08Thurston"/>
    <s v="South Puget Sound"/>
    <s v="02South Puget Sound"/>
    <n v="0"/>
    <n v="0"/>
    <n v="0"/>
    <n v="0"/>
  </r>
  <r>
    <n v="593"/>
    <x v="8"/>
    <s v="Freshwater"/>
    <x v="1"/>
    <x v="0"/>
    <n v="770"/>
    <s v="McAllister Creek"/>
    <s v="McAllister Creek"/>
    <s v="Thurston"/>
    <x v="3"/>
    <s v="Thurston"/>
    <s v="08Thurston"/>
    <s v="South Puget Sound"/>
    <s v="02South Puget Sound"/>
    <n v="47"/>
    <n v="406.55"/>
    <n v="47"/>
    <n v="226.51908049332079"/>
  </r>
  <r>
    <n v="594"/>
    <x v="10"/>
    <s v="Freshwater"/>
    <x v="1"/>
    <x v="0"/>
    <n v="770"/>
    <s v="McAllister Creek"/>
    <s v="McAllister Creek"/>
    <s v="Thurston"/>
    <x v="3"/>
    <s v="Pierce"/>
    <s v="07Pierce"/>
    <s v="South Puget Sound"/>
    <s v="02South Puget Sound"/>
    <n v="84"/>
    <n v="726.6"/>
    <n v="84"/>
    <n v="404.84261194550953"/>
  </r>
  <r>
    <n v="595"/>
    <x v="11"/>
    <s v="Freshwater"/>
    <x v="1"/>
    <x v="0"/>
    <n v="774"/>
    <s v="McLane Creek"/>
    <s v="McLane Creek"/>
    <s v="Thurston"/>
    <x v="3"/>
    <s v="Pierce"/>
    <s v="07Pierce"/>
    <s v="South Puget Sound"/>
    <s v="02South Puget Sound"/>
    <n v="25"/>
    <n v="86"/>
    <n v="25"/>
    <n v="88.476010994560383"/>
  </r>
  <r>
    <n v="236"/>
    <x v="0"/>
    <s v="Freshwater"/>
    <x v="1"/>
    <x v="0"/>
    <n v="778"/>
    <s v="Minter Creek"/>
    <s v="Minter Creek"/>
    <s v="Kitsap/Pierce"/>
    <x v="3"/>
    <s v="King"/>
    <s v="06King"/>
    <s v="South Puget Sound"/>
    <s v="02South Puget Sound"/>
    <n v="2433.0118406889101"/>
    <n v="21045.552421959099"/>
    <n v="2403.6794644463307"/>
    <n v="11584.665150788524"/>
  </r>
  <r>
    <n v="325"/>
    <x v="0"/>
    <s v="Freshwater"/>
    <x v="1"/>
    <x v="0"/>
    <n v="778"/>
    <s v="Minter Creek"/>
    <s v="Minter Creek"/>
    <s v="Kitsap/Pierce"/>
    <x v="3"/>
    <s v="Kitsap"/>
    <s v="10Kitsap"/>
    <s v="South Puget Sound"/>
    <s v="02South Puget Sound"/>
    <n v="414.97631862217497"/>
    <n v="3589.5451560818101"/>
    <n v="432.187687919204"/>
    <n v="2082.9522908083486"/>
  </r>
  <r>
    <n v="324"/>
    <x v="0"/>
    <s v="Freshwater"/>
    <x v="1"/>
    <x v="0"/>
    <n v="778"/>
    <s v="Minter Creek"/>
    <s v="Minter Creek"/>
    <s v="Kitsap/Pierce"/>
    <x v="3"/>
    <s v="Mason"/>
    <s v="09Mason"/>
    <s v="South Puget Sound"/>
    <s v="02South Puget Sound"/>
    <n v="119.37674919267999"/>
    <n v="1032.6088805166801"/>
    <n v="124.33027522935799"/>
    <n v="599.21658771139732"/>
  </r>
  <r>
    <n v="326"/>
    <x v="0"/>
    <s v="Freshwater"/>
    <x v="1"/>
    <x v="0"/>
    <n v="778"/>
    <s v="Minter Creek"/>
    <s v="Minter Creek"/>
    <s v="Kitsap/Pierce"/>
    <x v="3"/>
    <s v="Other"/>
    <s v="20Other"/>
    <s v="Non Puget Sound"/>
    <s v="07Non Puget Sound"/>
    <n v="136.43057050592"/>
    <n v="1180.12443487621"/>
    <n v="142.08981574281131"/>
    <n v="684.80966828780845"/>
  </r>
  <r>
    <n v="237"/>
    <x v="0"/>
    <s v="Freshwater"/>
    <x v="1"/>
    <x v="0"/>
    <n v="778"/>
    <s v="Minter Creek"/>
    <s v="Minter Creek"/>
    <s v="Kitsap/Pierce"/>
    <x v="3"/>
    <s v="Pierce"/>
    <s v="07Pierce"/>
    <s v="South Puget Sound"/>
    <s v="02South Puget Sound"/>
    <n v="1819.07427341227"/>
    <n v="15734.992465016099"/>
    <n v="1805.729319250637"/>
    <n v="8702.8115960954128"/>
  </r>
  <r>
    <n v="235"/>
    <x v="0"/>
    <s v="Freshwater"/>
    <x v="1"/>
    <x v="0"/>
    <n v="778"/>
    <s v="Minter Creek"/>
    <s v="Minter Creek"/>
    <s v="Kitsap/Pierce"/>
    <x v="3"/>
    <s v="Snohomish"/>
    <s v="03Snohomish"/>
    <s v="North Puget Sound"/>
    <s v="01North Puget Sound"/>
    <n v="233.06889128094701"/>
    <n v="2016.04590958019"/>
    <n v="242.73395780330497"/>
    <n v="1169.8696367257271"/>
  </r>
  <r>
    <n v="238"/>
    <x v="0"/>
    <s v="Freshwater"/>
    <x v="1"/>
    <x v="0"/>
    <n v="778"/>
    <s v="Minter Creek"/>
    <s v="Minter Creek"/>
    <s v="Kitsap/Pierce"/>
    <x v="3"/>
    <s v="Thurston"/>
    <s v="08Thurston"/>
    <s v="South Puget Sound"/>
    <s v="02South Puget Sound"/>
    <n v="125.06135629709399"/>
    <n v="1081.78073196986"/>
    <n v="130.2494796083576"/>
    <n v="627.74451820465322"/>
  </r>
  <r>
    <n v="329"/>
    <x v="1"/>
    <s v="Freshwater"/>
    <x v="1"/>
    <x v="0"/>
    <n v="778"/>
    <s v="Minter Creek"/>
    <s v="Minter Creek"/>
    <s v="Kitsap/Pierce"/>
    <x v="3"/>
    <s v="King"/>
    <s v="06King"/>
    <s v="South Puget Sound"/>
    <s v="02South Puget Sound"/>
    <n v="2541.2238805970201"/>
    <n v="8741.8101492537498"/>
    <n v="2525.0967216019849"/>
    <n v="8936.4194121114233"/>
  </r>
  <r>
    <n v="333"/>
    <x v="1"/>
    <s v="Freshwater"/>
    <x v="1"/>
    <x v="0"/>
    <n v="778"/>
    <s v="Minter Creek"/>
    <s v="Minter Creek"/>
    <s v="Kitsap/Pierce"/>
    <x v="3"/>
    <s v="Kitsap"/>
    <s v="10Kitsap"/>
    <s v="South Puget Sound"/>
    <s v="02South Puget Sound"/>
    <n v="463.35706084959799"/>
    <n v="1593.94828932262"/>
    <n v="448.33584972532401"/>
    <n v="1586.6787027821335"/>
  </r>
  <r>
    <n v="332"/>
    <x v="1"/>
    <s v="Freshwater"/>
    <x v="1"/>
    <x v="0"/>
    <n v="778"/>
    <s v="Minter Creek"/>
    <s v="Minter Creek"/>
    <s v="Kitsap/Pierce"/>
    <x v="3"/>
    <s v="Mason"/>
    <s v="09Mason"/>
    <s v="South Puget Sound"/>
    <s v="02South Puget Sound"/>
    <n v="383.71756601607399"/>
    <n v="1319.98842709529"/>
    <n v="396.01286549707601"/>
    <n v="1401.5055456682664"/>
  </r>
  <r>
    <n v="334"/>
    <x v="1"/>
    <s v="Freshwater"/>
    <x v="1"/>
    <x v="0"/>
    <n v="778"/>
    <s v="Minter Creek"/>
    <s v="Minter Creek"/>
    <s v="Kitsap/Pierce"/>
    <x v="3"/>
    <s v="Other"/>
    <s v="20Other"/>
    <s v="Non Puget Sound"/>
    <s v="07Non Puget Sound"/>
    <n v="224.438576349024"/>
    <n v="772.06870264064298"/>
    <n v="231.63866737550899"/>
    <n v="819.77861125923391"/>
  </r>
  <r>
    <n v="330"/>
    <x v="1"/>
    <s v="Freshwater"/>
    <x v="1"/>
    <x v="0"/>
    <n v="778"/>
    <s v="Minter Creek"/>
    <s v="Minter Creek"/>
    <s v="Kitsap/Pierce"/>
    <x v="3"/>
    <s v="Pierce"/>
    <s v="07Pierce"/>
    <s v="South Puget Sound"/>
    <s v="02South Puget Sound"/>
    <n v="2222.6659012629202"/>
    <n v="7645.9707003444501"/>
    <n v="2219.2273258904852"/>
    <n v="7853.935251396616"/>
  </r>
  <r>
    <n v="328"/>
    <x v="1"/>
    <s v="Freshwater"/>
    <x v="1"/>
    <x v="0"/>
    <n v="778"/>
    <s v="Minter Creek"/>
    <s v="Minter Creek"/>
    <s v="Kitsap/Pierce"/>
    <x v="3"/>
    <s v="Snohomish"/>
    <s v="03Snohomish"/>
    <s v="North Puget Sound"/>
    <s v="01North Puget Sound"/>
    <n v="260.63834672789898"/>
    <n v="896.59591274397201"/>
    <n v="268.998334219387"/>
    <n v="951.99598303651658"/>
  </r>
  <r>
    <n v="331"/>
    <x v="1"/>
    <s v="Freshwater"/>
    <x v="1"/>
    <x v="0"/>
    <n v="778"/>
    <s v="Minter Creek"/>
    <s v="Minter Creek"/>
    <s v="Kitsap/Pierce"/>
    <x v="3"/>
    <s v="Thurston"/>
    <s v="08Thurston"/>
    <s v="South Puget Sound"/>
    <s v="02South Puget Sound"/>
    <n v="195.47876004592399"/>
    <n v="672.44693455797801"/>
    <n v="201.7467659046608"/>
    <n v="713.98996313191083"/>
  </r>
  <r>
    <n v="327"/>
    <x v="1"/>
    <s v="Freshwater"/>
    <x v="1"/>
    <x v="0"/>
    <n v="778"/>
    <s v="Minter Creek"/>
    <s v="Minter Creek"/>
    <s v="Kitsap/Pierce"/>
    <x v="3"/>
    <s v="Whatcom"/>
    <s v="01Whatcom"/>
    <s v="North Puget Sound"/>
    <s v="01North Puget Sound"/>
    <n v="14.4799081515499"/>
    <n v="49.810884041331697"/>
    <n v="14.9434697855751"/>
    <n v="52.885543881816936"/>
  </r>
  <r>
    <n v="336"/>
    <x v="2"/>
    <s v="Freshwater"/>
    <x v="1"/>
    <x v="0"/>
    <n v="778"/>
    <s v="Minter Creek"/>
    <s v="Minter Creek"/>
    <s v="Kitsap/Pierce"/>
    <x v="3"/>
    <s v="Island"/>
    <s v="04Island"/>
    <s v="North Puget Sound"/>
    <s v="01North Puget Sound"/>
    <n v="88.854961832061093"/>
    <n v="768.595419847328"/>
    <n v="91.517671517671502"/>
    <n v="441.07444257601537"/>
  </r>
  <r>
    <n v="337"/>
    <x v="2"/>
    <s v="Freshwater"/>
    <x v="1"/>
    <x v="0"/>
    <n v="778"/>
    <s v="Minter Creek"/>
    <s v="Minter Creek"/>
    <s v="Kitsap/Pierce"/>
    <x v="3"/>
    <s v="King"/>
    <s v="06King"/>
    <s v="South Puget Sound"/>
    <s v="02South Puget Sound"/>
    <n v="2265.8015267175601"/>
    <n v="19599.1832061069"/>
    <n v="2302.1607761607811"/>
    <n v="11095.390258802763"/>
  </r>
  <r>
    <n v="341"/>
    <x v="2"/>
    <s v="Freshwater"/>
    <x v="1"/>
    <x v="0"/>
    <n v="778"/>
    <s v="Minter Creek"/>
    <s v="Minter Creek"/>
    <s v="Kitsap/Pierce"/>
    <x v="3"/>
    <s v="Kitsap"/>
    <s v="10Kitsap"/>
    <s v="South Puget Sound"/>
    <s v="02South Puget Sound"/>
    <n v="303.58778625954199"/>
    <n v="2626.0343511450401"/>
    <n v="313.4209979209985"/>
    <n v="1510.5497075822041"/>
  </r>
  <r>
    <n v="340"/>
    <x v="2"/>
    <s v="Freshwater"/>
    <x v="1"/>
    <x v="0"/>
    <n v="778"/>
    <s v="Minter Creek"/>
    <s v="Minter Creek"/>
    <s v="Kitsap/Pierce"/>
    <x v="3"/>
    <s v="Mason"/>
    <s v="09Mason"/>
    <s v="South Puget Sound"/>
    <s v="02South Puget Sound"/>
    <n v="155.49618320610699"/>
    <n v="1345.0419847328301"/>
    <n v="160.61313236313231"/>
    <n v="774.08380974571821"/>
  </r>
  <r>
    <n v="342"/>
    <x v="2"/>
    <s v="Freshwater"/>
    <x v="1"/>
    <x v="0"/>
    <n v="778"/>
    <s v="Minter Creek"/>
    <s v="Minter Creek"/>
    <s v="Kitsap/Pierce"/>
    <x v="3"/>
    <s v="Other"/>
    <s v="20Other"/>
    <s v="Non Puget Sound"/>
    <s v="07Non Puget Sound"/>
    <n v="273.96946564885502"/>
    <n v="2369.8358778625998"/>
    <n v="267.68087318087299"/>
    <n v="1290.1026650761823"/>
  </r>
  <r>
    <n v="338"/>
    <x v="2"/>
    <s v="Freshwater"/>
    <x v="1"/>
    <x v="0"/>
    <n v="778"/>
    <s v="Minter Creek"/>
    <s v="Minter Creek"/>
    <s v="Kitsap/Pierce"/>
    <x v="3"/>
    <s v="Pierce"/>
    <s v="07Pierce"/>
    <s v="South Puget Sound"/>
    <s v="02South Puget Sound"/>
    <n v="2421.29770992366"/>
    <n v="20944.225190839701"/>
    <n v="2363.3693693693672"/>
    <n v="11390.388434375074"/>
  </r>
  <r>
    <n v="335"/>
    <x v="2"/>
    <s v="Freshwater"/>
    <x v="1"/>
    <x v="0"/>
    <n v="778"/>
    <s v="Minter Creek"/>
    <s v="Minter Creek"/>
    <s v="Kitsap/Pierce"/>
    <x v="3"/>
    <s v="Snohomish"/>
    <s v="03Snohomish"/>
    <s v="North Puget Sound"/>
    <s v="01North Puget Sound"/>
    <n v="162.90076335877899"/>
    <n v="1409.0916030534399"/>
    <n v="168.27027027027"/>
    <n v="810.9878062975348"/>
  </r>
  <r>
    <n v="339"/>
    <x v="2"/>
    <s v="Freshwater"/>
    <x v="1"/>
    <x v="0"/>
    <n v="778"/>
    <s v="Minter Creek"/>
    <s v="Minter Creek"/>
    <s v="Kitsap/Pierce"/>
    <x v="3"/>
    <s v="Thurston"/>
    <s v="08Thurston"/>
    <s v="South Puget Sound"/>
    <s v="02South Puget Sound"/>
    <n v="148.09160305343499"/>
    <n v="1280.99236641221"/>
    <n v="152.9669092169095"/>
    <n v="737.23241748339615"/>
  </r>
  <r>
    <n v="438"/>
    <x v="3"/>
    <s v="Freshwater"/>
    <x v="1"/>
    <x v="0"/>
    <n v="778"/>
    <s v="Minter Creek"/>
    <s v="Minter Creek"/>
    <s v="Kitsap/Pierce"/>
    <x v="3"/>
    <s v="Clallam"/>
    <s v="11Clallam"/>
    <s v="Strait of Juan de Fuca"/>
    <s v="03Strait of Juan de Fuca"/>
    <n v="110.31055900621099"/>
    <n v="379.46832298136599"/>
    <n v="110.82593856655301"/>
    <n v="392.21747836387271"/>
  </r>
  <r>
    <n v="344"/>
    <x v="3"/>
    <s v="Freshwater"/>
    <x v="1"/>
    <x v="0"/>
    <n v="778"/>
    <s v="Minter Creek"/>
    <s v="Minter Creek"/>
    <s v="Kitsap/Pierce"/>
    <x v="3"/>
    <s v="King"/>
    <s v="06King"/>
    <s v="South Puget Sound"/>
    <s v="02South Puget Sound"/>
    <n v="2344.0993788819901"/>
    <n v="8063.7018633540501"/>
    <n v="2355.0581445857893"/>
    <n v="8334.6460117280512"/>
  </r>
  <r>
    <n v="437"/>
    <x v="3"/>
    <s v="Freshwater"/>
    <x v="1"/>
    <x v="0"/>
    <n v="778"/>
    <s v="Minter Creek"/>
    <s v="Minter Creek"/>
    <s v="Kitsap/Pierce"/>
    <x v="3"/>
    <s v="Kitsap"/>
    <s v="10Kitsap"/>
    <s v="South Puget Sound"/>
    <s v="02South Puget Sound"/>
    <n v="514.78260869565202"/>
    <n v="1770.8521739130399"/>
    <n v="489.48644120384779"/>
    <n v="1732.3123101455949"/>
  </r>
  <r>
    <n v="347"/>
    <x v="3"/>
    <s v="Freshwater"/>
    <x v="1"/>
    <x v="0"/>
    <n v="778"/>
    <s v="Minter Creek"/>
    <s v="Minter Creek"/>
    <s v="Kitsap/Pierce"/>
    <x v="3"/>
    <s v="Mason"/>
    <s v="09Mason"/>
    <s v="South Puget Sound"/>
    <s v="02South Puget Sound"/>
    <n v="55.155279503105596"/>
    <n v="189.73416149068299"/>
    <n v="55.412969283276503"/>
    <n v="196.10873918193636"/>
  </r>
  <r>
    <n v="439"/>
    <x v="3"/>
    <s v="Freshwater"/>
    <x v="1"/>
    <x v="0"/>
    <n v="778"/>
    <s v="Minter Creek"/>
    <s v="Minter Creek"/>
    <s v="Kitsap/Pierce"/>
    <x v="3"/>
    <s v="Other"/>
    <s v="20Other"/>
    <s v="Non Puget Sound"/>
    <s v="07Non Puget Sound"/>
    <n v="330.93167701863399"/>
    <n v="1138.4049689440999"/>
    <n v="332.48563450201669"/>
    <n v="1176.6801061493525"/>
  </r>
  <r>
    <n v="345"/>
    <x v="3"/>
    <s v="Freshwater"/>
    <x v="1"/>
    <x v="0"/>
    <n v="778"/>
    <s v="Minter Creek"/>
    <s v="Minter Creek"/>
    <s v="Kitsap/Pierce"/>
    <x v="3"/>
    <s v="Pierce"/>
    <s v="07Pierce"/>
    <s v="South Puget Sound"/>
    <s v="02South Puget Sound"/>
    <n v="2132.6708074534199"/>
    <n v="7336.3875776397599"/>
    <n v="2142.659137449582"/>
    <n v="7582.957336103379"/>
  </r>
  <r>
    <n v="343"/>
    <x v="3"/>
    <s v="Freshwater"/>
    <x v="1"/>
    <x v="0"/>
    <n v="778"/>
    <s v="Minter Creek"/>
    <s v="Minter Creek"/>
    <s v="Kitsap/Pierce"/>
    <x v="3"/>
    <s v="Snohomish"/>
    <s v="03Snohomish"/>
    <s v="North Puget Sound"/>
    <s v="01North Puget Sound"/>
    <n v="239.00621118012401"/>
    <n v="822.18136645962704"/>
    <n v="240.12634191746861"/>
    <n v="849.8168347029407"/>
  </r>
  <r>
    <n v="346"/>
    <x v="3"/>
    <s v="Freshwater"/>
    <x v="1"/>
    <x v="0"/>
    <n v="778"/>
    <s v="Minter Creek"/>
    <s v="Minter Creek"/>
    <s v="Kitsap/Pierce"/>
    <x v="3"/>
    <s v="Thurston"/>
    <s v="08Thurston"/>
    <s v="South Puget Sound"/>
    <s v="02South Puget Sound"/>
    <n v="193.04347826086999"/>
    <n v="664.06956521739301"/>
    <n v="193.945392491468"/>
    <n v="686.3805871367781"/>
  </r>
  <r>
    <n v="441"/>
    <x v="4"/>
    <s v="Freshwater"/>
    <x v="1"/>
    <x v="0"/>
    <n v="778"/>
    <s v="Minter Creek"/>
    <s v="Minter Creek"/>
    <s v="Kitsap/Pierce"/>
    <x v="3"/>
    <s v="Island"/>
    <s v="04Island"/>
    <s v="North Puget Sound"/>
    <s v="01North Puget Sound"/>
    <n v="48.203252032520297"/>
    <n v="416.95813008130102"/>
    <n v="48.189522342064805"/>
    <n v="232.25204873057146"/>
  </r>
  <r>
    <n v="442"/>
    <x v="4"/>
    <s v="Freshwater"/>
    <x v="1"/>
    <x v="0"/>
    <n v="778"/>
    <s v="Minter Creek"/>
    <s v="Minter Creek"/>
    <s v="Kitsap/Pierce"/>
    <x v="3"/>
    <s v="King"/>
    <s v="06King"/>
    <s v="South Puget Sound"/>
    <s v="02South Puget Sound"/>
    <n v="991.60975609756099"/>
    <n v="8577.4243902438993"/>
    <n v="991.65986132511591"/>
    <n v="4779.3591478616863"/>
  </r>
  <r>
    <n v="446"/>
    <x v="4"/>
    <s v="Freshwater"/>
    <x v="1"/>
    <x v="0"/>
    <n v="778"/>
    <s v="Minter Creek"/>
    <s v="Minter Creek"/>
    <s v="Kitsap/Pierce"/>
    <x v="3"/>
    <s v="Kitsap"/>
    <s v="10Kitsap"/>
    <s v="South Puget Sound"/>
    <s v="02South Puget Sound"/>
    <n v="309.87804878048797"/>
    <n v="2680.4451219512198"/>
    <n v="309.88636363636402"/>
    <n v="1493.5143435814473"/>
  </r>
  <r>
    <n v="445"/>
    <x v="4"/>
    <s v="Freshwater"/>
    <x v="1"/>
    <x v="0"/>
    <n v="778"/>
    <s v="Minter Creek"/>
    <s v="Minter Creek"/>
    <s v="Kitsap/Pierce"/>
    <x v="3"/>
    <s v="Mason"/>
    <s v="09Mason"/>
    <s v="South Puget Sound"/>
    <s v="02South Puget Sound"/>
    <n v="13.772357723577199"/>
    <n v="119.130894308943"/>
    <n v="13.7727272727273"/>
    <n v="66.378415270286595"/>
  </r>
  <r>
    <n v="447"/>
    <x v="4"/>
    <s v="Freshwater"/>
    <x v="1"/>
    <x v="0"/>
    <n v="778"/>
    <s v="Minter Creek"/>
    <s v="Minter Creek"/>
    <s v="Kitsap/Pierce"/>
    <x v="3"/>
    <s v="Other"/>
    <s v="20Other"/>
    <s v="Non Puget Sound"/>
    <s v="07Non Puget Sound"/>
    <n v="55.089430894308997"/>
    <n v="476.52357723577302"/>
    <n v="55.090909090909101"/>
    <n v="265.51366108114587"/>
  </r>
  <r>
    <n v="443"/>
    <x v="4"/>
    <s v="Freshwater"/>
    <x v="1"/>
    <x v="0"/>
    <n v="778"/>
    <s v="Minter Creek"/>
    <s v="Minter Creek"/>
    <s v="Kitsap/Pierce"/>
    <x v="3"/>
    <s v="Pierce"/>
    <s v="07Pierce"/>
    <s v="South Puget Sound"/>
    <s v="02South Puget Sound"/>
    <n v="943.40650406504096"/>
    <n v="8160.4662601626096"/>
    <n v="943.42526964560807"/>
    <n v="4546.8898849848165"/>
  </r>
  <r>
    <n v="440"/>
    <x v="4"/>
    <s v="Freshwater"/>
    <x v="1"/>
    <x v="0"/>
    <n v="778"/>
    <s v="Minter Creek"/>
    <s v="Minter Creek"/>
    <s v="Kitsap/Pierce"/>
    <x v="3"/>
    <s v="Snohomish"/>
    <s v="03Snohomish"/>
    <s v="North Puget Sound"/>
    <s v="01North Puget Sound"/>
    <n v="130.837398373984"/>
    <n v="1131.74349593496"/>
    <n v="130.77080123266569"/>
    <n v="630.25705639570754"/>
  </r>
  <r>
    <n v="444"/>
    <x v="4"/>
    <s v="Freshwater"/>
    <x v="1"/>
    <x v="0"/>
    <n v="778"/>
    <s v="Minter Creek"/>
    <s v="Minter Creek"/>
    <s v="Kitsap/Pierce"/>
    <x v="3"/>
    <s v="Thurston"/>
    <s v="08Thurston"/>
    <s v="South Puget Sound"/>
    <s v="02South Puget Sound"/>
    <n v="48.203252032520297"/>
    <n v="416.95813008130102"/>
    <n v="48.204545454545503"/>
    <n v="232.32445344600285"/>
  </r>
  <r>
    <n v="449"/>
    <x v="5"/>
    <s v="Freshwater"/>
    <x v="1"/>
    <x v="0"/>
    <n v="778"/>
    <s v="Minter Creek"/>
    <s v="Minter Creek"/>
    <s v="Kitsap/Pierce"/>
    <x v="3"/>
    <s v="King"/>
    <s v="06King"/>
    <s v="South Puget Sound"/>
    <s v="02South Puget Sound"/>
    <n v="2276.2358490565998"/>
    <n v="7830.2513207546999"/>
    <n v="2293.4047571054211"/>
    <n v="8116.4521801854535"/>
  </r>
  <r>
    <n v="453"/>
    <x v="5"/>
    <s v="Freshwater"/>
    <x v="1"/>
    <x v="0"/>
    <n v="778"/>
    <s v="Minter Creek"/>
    <s v="Minter Creek"/>
    <s v="Kitsap/Pierce"/>
    <x v="3"/>
    <s v="Kitsap"/>
    <s v="10Kitsap"/>
    <s v="South Puget Sound"/>
    <s v="02South Puget Sound"/>
    <n v="146.264150943396"/>
    <n v="503.14867924528198"/>
    <n v="147.37190082644599"/>
    <n v="521.55511671239594"/>
  </r>
  <r>
    <n v="452"/>
    <x v="5"/>
    <s v="Freshwater"/>
    <x v="1"/>
    <x v="0"/>
    <n v="778"/>
    <s v="Minter Creek"/>
    <s v="Minter Creek"/>
    <s v="Kitsap/Pierce"/>
    <x v="3"/>
    <s v="Mason"/>
    <s v="09Mason"/>
    <s v="South Puget Sound"/>
    <s v="02South Puget Sound"/>
    <n v="36.5660377358491"/>
    <n v="125.78716981132099"/>
    <n v="36.842975206611598"/>
    <n v="130.38877917809933"/>
  </r>
  <r>
    <n v="454"/>
    <x v="5"/>
    <s v="Freshwater"/>
    <x v="1"/>
    <x v="0"/>
    <n v="778"/>
    <s v="Minter Creek"/>
    <s v="Minter Creek"/>
    <s v="Kitsap/Pierce"/>
    <x v="3"/>
    <s v="Other"/>
    <s v="20Other"/>
    <s v="Non Puget Sound"/>
    <s v="07Non Puget Sound"/>
    <n v="228.53773584905699"/>
    <n v="786.16981132075603"/>
    <n v="230.37381576295098"/>
    <n v="815.30225025206721"/>
  </r>
  <r>
    <n v="450"/>
    <x v="5"/>
    <s v="Freshwater"/>
    <x v="1"/>
    <x v="0"/>
    <n v="778"/>
    <s v="Minter Creek"/>
    <s v="Minter Creek"/>
    <s v="Kitsap/Pierce"/>
    <x v="3"/>
    <s v="Pierce"/>
    <s v="07Pierce"/>
    <s v="South Puget Sound"/>
    <s v="02South Puget Sound"/>
    <n v="2011.1320754717001"/>
    <n v="6918.2943396226501"/>
    <n v="1989.625881878653"/>
    <n v="7041.3664560063044"/>
  </r>
  <r>
    <n v="448"/>
    <x v="5"/>
    <s v="Freshwater"/>
    <x v="1"/>
    <x v="0"/>
    <n v="778"/>
    <s v="Minter Creek"/>
    <s v="Minter Creek"/>
    <s v="Kitsap/Pierce"/>
    <x v="3"/>
    <s v="Snohomish"/>
    <s v="03Snohomish"/>
    <s v="North Puget Sound"/>
    <s v="01North Puget Sound"/>
    <n v="118.839622641509"/>
    <n v="408.80830188679101"/>
    <n v="119.74843781495694"/>
    <n v="423.79456402790242"/>
  </r>
  <r>
    <n v="451"/>
    <x v="5"/>
    <s v="Freshwater"/>
    <x v="1"/>
    <x v="0"/>
    <n v="778"/>
    <s v="Minter Creek"/>
    <s v="Minter Creek"/>
    <s v="Kitsap/Pierce"/>
    <x v="3"/>
    <s v="Thurston"/>
    <s v="08Thurston"/>
    <s v="South Puget Sound"/>
    <s v="02South Puget Sound"/>
    <n v="27.424528301886799"/>
    <n v="94.340377358490599"/>
    <n v="27.632231404958699"/>
    <n v="97.791584383574502"/>
  </r>
  <r>
    <n v="457"/>
    <x v="6"/>
    <s v="Freshwater"/>
    <x v="1"/>
    <x v="0"/>
    <n v="778"/>
    <s v="Minter Creek"/>
    <s v="Minter Creek"/>
    <s v="Kitsap/Pierce"/>
    <x v="3"/>
    <s v="King"/>
    <s v="06King"/>
    <s v="South Puget Sound"/>
    <s v="02South Puget Sound"/>
    <n v="2118.6104553119699"/>
    <n v="18325.9804384485"/>
    <n v="2230.3835011147921"/>
    <n v="10749.455740850985"/>
  </r>
  <r>
    <n v="461"/>
    <x v="6"/>
    <s v="Freshwater"/>
    <x v="1"/>
    <x v="0"/>
    <n v="778"/>
    <s v="Minter Creek"/>
    <s v="Minter Creek"/>
    <s v="Kitsap/Pierce"/>
    <x v="3"/>
    <s v="Kitsap"/>
    <s v="10Kitsap"/>
    <s v="South Puget Sound"/>
    <s v="02South Puget Sound"/>
    <n v="318.24620573355799"/>
    <n v="2752.8296795952801"/>
    <n v="170.36078643334918"/>
    <n v="821.06316372343099"/>
  </r>
  <r>
    <n v="460"/>
    <x v="6"/>
    <s v="Freshwater"/>
    <x v="1"/>
    <x v="0"/>
    <n v="778"/>
    <s v="Minter Creek"/>
    <s v="Minter Creek"/>
    <s v="Kitsap/Pierce"/>
    <x v="3"/>
    <s v="Mason"/>
    <s v="09Mason"/>
    <s v="South Puget Sound"/>
    <s v="02South Puget Sound"/>
    <n v="54.556492411467097"/>
    <n v="471.91365935918998"/>
    <n v="0"/>
    <n v="0"/>
  </r>
  <r>
    <n v="542"/>
    <x v="6"/>
    <s v="Freshwater"/>
    <x v="1"/>
    <x v="0"/>
    <n v="778"/>
    <s v="Minter Creek"/>
    <s v="Minter Creek"/>
    <s v="Kitsap/Pierce"/>
    <x v="3"/>
    <s v="Other"/>
    <s v="20Other"/>
    <s v="Non Puget Sound"/>
    <s v="07Non Puget Sound"/>
    <n v="518.28667790893803"/>
    <n v="4483.1797639123097"/>
    <n v="546.10379028444004"/>
    <n v="2631.9772006201842"/>
  </r>
  <r>
    <n v="458"/>
    <x v="6"/>
    <s v="Freshwater"/>
    <x v="1"/>
    <x v="0"/>
    <n v="778"/>
    <s v="Minter Creek"/>
    <s v="Minter Creek"/>
    <s v="Kitsap/Pierce"/>
    <x v="3"/>
    <s v="Pierce"/>
    <s v="07Pierce"/>
    <s v="South Puget Sound"/>
    <s v="02South Puget Sound"/>
    <n v="2218.63069139966"/>
    <n v="19191.1554806071"/>
    <n v="2283.4716708330598"/>
    <n v="11005.317089567056"/>
  </r>
  <r>
    <n v="456"/>
    <x v="6"/>
    <s v="Freshwater"/>
    <x v="1"/>
    <x v="0"/>
    <n v="778"/>
    <s v="Minter Creek"/>
    <s v="Minter Creek"/>
    <s v="Kitsap/Pierce"/>
    <x v="3"/>
    <s v="Snohomish"/>
    <s v="03Snohomish"/>
    <s v="North Puget Sound"/>
    <s v="01North Puget Sound"/>
    <n v="109.112984822934"/>
    <n v="943.82731871837905"/>
    <n v="103.824295655699"/>
    <n v="500.38689329352383"/>
  </r>
  <r>
    <n v="459"/>
    <x v="6"/>
    <s v="Freshwater"/>
    <x v="1"/>
    <x v="0"/>
    <n v="778"/>
    <s v="Minter Creek"/>
    <s v="Minter Creek"/>
    <s v="Kitsap/Pierce"/>
    <x v="3"/>
    <s v="Thurston"/>
    <s v="08Thurston"/>
    <s v="South Puget Sound"/>
    <s v="02South Puget Sound"/>
    <n v="36.3709949409781"/>
    <n v="314.60910623946103"/>
    <n v="38.570637119113599"/>
    <n v="185.89330328219489"/>
  </r>
  <r>
    <n v="455"/>
    <x v="6"/>
    <s v="Freshwater"/>
    <x v="1"/>
    <x v="0"/>
    <n v="778"/>
    <s v="Minter Creek"/>
    <s v="Minter Creek"/>
    <s v="Kitsap/Pierce"/>
    <x v="3"/>
    <s v="Whatcom"/>
    <s v="01Whatcom"/>
    <s v="North Puget Sound"/>
    <s v="01North Puget Sound"/>
    <n v="18.185497470489"/>
    <n v="157.30455311973"/>
    <n v="19.285318559556799"/>
    <n v="92.946651641097446"/>
  </r>
  <r>
    <n v="544"/>
    <x v="7"/>
    <s v="Freshwater"/>
    <x v="1"/>
    <x v="0"/>
    <n v="778"/>
    <s v="Minter Creek"/>
    <s v="Minter Creek"/>
    <s v="Kitsap/Pierce"/>
    <x v="3"/>
    <s v="King"/>
    <s v="06King"/>
    <s v="South Puget Sound"/>
    <s v="02South Puget Sound"/>
    <n v="2678.8479262672799"/>
    <n v="9215.2368663594407"/>
    <n v="2699.0164444444454"/>
    <n v="9551.928344526641"/>
  </r>
  <r>
    <n v="547"/>
    <x v="7"/>
    <s v="Freshwater"/>
    <x v="1"/>
    <x v="0"/>
    <n v="778"/>
    <s v="Minter Creek"/>
    <s v="Minter Creek"/>
    <s v="Kitsap/Pierce"/>
    <x v="3"/>
    <s v="Kitsap"/>
    <s v="10Kitsap"/>
    <s v="South Puget Sound"/>
    <s v="02South Puget Sound"/>
    <n v="347.25806451612902"/>
    <n v="1194.5677419354799"/>
    <n v="353.80488888888891"/>
    <n v="1252.1298095705019"/>
  </r>
  <r>
    <n v="548"/>
    <x v="7"/>
    <s v="Freshwater"/>
    <x v="1"/>
    <x v="0"/>
    <n v="778"/>
    <s v="Minter Creek"/>
    <s v="Minter Creek"/>
    <s v="Kitsap/Pierce"/>
    <x v="3"/>
    <s v="Other"/>
    <s v="20Other"/>
    <s v="Non Puget Sound"/>
    <s v="07Non Puget Sound"/>
    <n v="515.92626728110599"/>
    <n v="1774.786359447"/>
    <n v="525.70622222222198"/>
    <n v="1860.4955798896847"/>
  </r>
  <r>
    <n v="545"/>
    <x v="7"/>
    <s v="Freshwater"/>
    <x v="1"/>
    <x v="0"/>
    <n v="778"/>
    <s v="Minter Creek"/>
    <s v="Minter Creek"/>
    <s v="Kitsap/Pierce"/>
    <x v="3"/>
    <s v="Pierce"/>
    <s v="07Pierce"/>
    <s v="South Puget Sound"/>
    <s v="02South Puget Sound"/>
    <n v="2500.2580645161302"/>
    <n v="8600.8877419354903"/>
    <n v="2486.6862222222221"/>
    <n v="8800.4831014942065"/>
  </r>
  <r>
    <n v="543"/>
    <x v="7"/>
    <s v="Freshwater"/>
    <x v="1"/>
    <x v="0"/>
    <n v="778"/>
    <s v="Minter Creek"/>
    <s v="Minter Creek"/>
    <s v="Kitsap/Pierce"/>
    <x v="3"/>
    <s v="Snohomish"/>
    <s v="03Snohomish"/>
    <s v="North Puget Sound"/>
    <s v="01North Puget Sound"/>
    <n v="367.10138248847898"/>
    <n v="1262.8287557603701"/>
    <n v="303.24622222222217"/>
    <n v="1073.2006436556892"/>
  </r>
  <r>
    <n v="546"/>
    <x v="7"/>
    <s v="Freshwater"/>
    <x v="1"/>
    <x v="0"/>
    <n v="778"/>
    <s v="Minter Creek"/>
    <s v="Minter Creek"/>
    <s v="Kitsap/Pierce"/>
    <x v="3"/>
    <s v="Thurston"/>
    <s v="08Thurston"/>
    <s v="South Puget Sound"/>
    <s v="02South Puget Sound"/>
    <n v="49.608294930875601"/>
    <n v="170.652534562212"/>
    <n v="50.54"/>
    <n v="178.86310382660326"/>
  </r>
  <r>
    <n v="550"/>
    <x v="8"/>
    <s v="Freshwater"/>
    <x v="1"/>
    <x v="0"/>
    <n v="778"/>
    <s v="Minter Creek"/>
    <s v="Minter Creek"/>
    <s v="Kitsap/Pierce"/>
    <x v="3"/>
    <s v="King"/>
    <s v="06King"/>
    <s v="South Puget Sound"/>
    <s v="02South Puget Sound"/>
    <n v="1969.8185840707999"/>
    <n v="17038.9307522124"/>
    <n v="1969.8257233994052"/>
    <n v="9493.6832254579513"/>
  </r>
  <r>
    <n v="554"/>
    <x v="8"/>
    <s v="Freshwater"/>
    <x v="1"/>
    <x v="0"/>
    <n v="778"/>
    <s v="Minter Creek"/>
    <s v="Minter Creek"/>
    <s v="Kitsap/Pierce"/>
    <x v="3"/>
    <s v="Kitsap"/>
    <s v="10Kitsap"/>
    <s v="South Puget Sound"/>
    <s v="02South Puget Sound"/>
    <n v="329.92035398230098"/>
    <n v="2853.8110619468998"/>
    <n v="329.91569833675084"/>
    <n v="1590.0468218628214"/>
  </r>
  <r>
    <n v="553"/>
    <x v="8"/>
    <s v="Freshwater"/>
    <x v="1"/>
    <x v="0"/>
    <n v="778"/>
    <s v="Minter Creek"/>
    <s v="Minter Creek"/>
    <s v="Kitsap/Pierce"/>
    <x v="3"/>
    <s v="Mason"/>
    <s v="09Mason"/>
    <s v="South Puget Sound"/>
    <s v="02South Puget Sound"/>
    <n v="67.924778761062001"/>
    <n v="587.54933628318599"/>
    <n v="67.929824561403507"/>
    <n v="327.39151910046218"/>
  </r>
  <r>
    <n v="555"/>
    <x v="8"/>
    <s v="Freshwater"/>
    <x v="1"/>
    <x v="0"/>
    <n v="778"/>
    <s v="Minter Creek"/>
    <s v="Minter Creek"/>
    <s v="Kitsap/Pierce"/>
    <x v="3"/>
    <s v="Other"/>
    <s v="20Other"/>
    <s v="Non Puget Sound"/>
    <s v="07Non Puget Sound"/>
    <n v="164.960176991151"/>
    <n v="1426.9055309734599"/>
    <n v="164.968170426065"/>
    <n v="795.07315479952513"/>
  </r>
  <r>
    <n v="551"/>
    <x v="8"/>
    <s v="Freshwater"/>
    <x v="1"/>
    <x v="0"/>
    <n v="778"/>
    <s v="Minter Creek"/>
    <s v="Minter Creek"/>
    <s v="Kitsap/Pierce"/>
    <x v="3"/>
    <s v="Pierce"/>
    <s v="07Pierce"/>
    <s v="South Puget Sound"/>
    <s v="02South Puget Sound"/>
    <n v="1407.0132743362799"/>
    <n v="12170.664823008799"/>
    <n v="1407.0198906356779"/>
    <n v="6781.209614098012"/>
  </r>
  <r>
    <n v="549"/>
    <x v="8"/>
    <s v="Freshwater"/>
    <x v="1"/>
    <x v="0"/>
    <n v="778"/>
    <s v="Minter Creek"/>
    <s v="Minter Creek"/>
    <s v="Kitsap/Pierce"/>
    <x v="3"/>
    <s v="Snohomish"/>
    <s v="03Snohomish"/>
    <s v="North Puget Sound"/>
    <s v="01North Puget Sound"/>
    <n v="349.327433628319"/>
    <n v="3021.6823008849601"/>
    <n v="389.29808612440195"/>
    <n v="1876.2435001427475"/>
  </r>
  <r>
    <n v="552"/>
    <x v="8"/>
    <s v="Freshwater"/>
    <x v="1"/>
    <x v="0"/>
    <n v="778"/>
    <s v="Minter Creek"/>
    <s v="Minter Creek"/>
    <s v="Kitsap/Pierce"/>
    <x v="3"/>
    <s v="Thurston"/>
    <s v="08Thurston"/>
    <s v="South Puget Sound"/>
    <s v="02South Puget Sound"/>
    <n v="97.035398230088504"/>
    <n v="839.35619469026597"/>
    <n v="97.042606516290803"/>
    <n v="467.70217014351772"/>
  </r>
  <r>
    <n v="557"/>
    <x v="9"/>
    <s v="Freshwater"/>
    <x v="1"/>
    <x v="0"/>
    <n v="778"/>
    <s v="Minter Creek"/>
    <s v="Minter Creek"/>
    <s v="Kitsap/Pierce"/>
    <x v="3"/>
    <s v="Island"/>
    <s v="04Island"/>
    <s v="North Puget Sound"/>
    <s v="01North Puget Sound"/>
    <n v="10.7590361445783"/>
    <n v="37.011084337349402"/>
    <n v="10.752808988764"/>
    <n v="38.054625852491654"/>
  </r>
  <r>
    <n v="558"/>
    <x v="9"/>
    <s v="Freshwater"/>
    <x v="1"/>
    <x v="0"/>
    <n v="778"/>
    <s v="Minter Creek"/>
    <s v="Minter Creek"/>
    <s v="Kitsap/Pierce"/>
    <x v="3"/>
    <s v="King"/>
    <s v="06King"/>
    <s v="South Puget Sound"/>
    <s v="02South Puget Sound"/>
    <n v="505.67469879518097"/>
    <n v="1739.52096385542"/>
    <n v="505.45088768909022"/>
    <n v="1788.81113185561"/>
  </r>
  <r>
    <n v="561"/>
    <x v="9"/>
    <s v="Freshwater"/>
    <x v="1"/>
    <x v="0"/>
    <n v="778"/>
    <s v="Minter Creek"/>
    <s v="Minter Creek"/>
    <s v="Kitsap/Pierce"/>
    <x v="3"/>
    <s v="Kitsap"/>
    <s v="10Kitsap"/>
    <s v="South Puget Sound"/>
    <s v="02South Puget Sound"/>
    <n v="419.60240963855398"/>
    <n v="1443.4322891566301"/>
    <n v="419.95236149618216"/>
    <n v="1486.2283901171124"/>
  </r>
  <r>
    <n v="562"/>
    <x v="9"/>
    <s v="Freshwater"/>
    <x v="1"/>
    <x v="0"/>
    <n v="778"/>
    <s v="Minter Creek"/>
    <s v="Minter Creek"/>
    <s v="Kitsap/Pierce"/>
    <x v="3"/>
    <s v="Other"/>
    <s v="20Other"/>
    <s v="Non Puget Sound"/>
    <s v="07Non Puget Sound"/>
    <n v="10.7590361445783"/>
    <n v="37.011084337349402"/>
    <n v="10.752808988764"/>
    <n v="38.054625852491654"/>
  </r>
  <r>
    <n v="559"/>
    <x v="9"/>
    <s v="Freshwater"/>
    <x v="1"/>
    <x v="0"/>
    <n v="778"/>
    <s v="Minter Creek"/>
    <s v="Minter Creek"/>
    <s v="Kitsap/Pierce"/>
    <x v="3"/>
    <s v="Pierce"/>
    <s v="07Pierce"/>
    <s v="South Puget Sound"/>
    <s v="02South Puget Sound"/>
    <n v="645.54216867469904"/>
    <n v="2220.66506024096"/>
    <n v="645.41064254098012"/>
    <n v="2284.1343642184816"/>
  </r>
  <r>
    <n v="556"/>
    <x v="9"/>
    <s v="Freshwater"/>
    <x v="1"/>
    <x v="0"/>
    <n v="778"/>
    <s v="Minter Creek"/>
    <s v="Minter Creek"/>
    <s v="Kitsap/Pierce"/>
    <x v="3"/>
    <s v="Snohomish"/>
    <s v="03Snohomish"/>
    <s v="North Puget Sound"/>
    <s v="01North Puget Sound"/>
    <n v="75.313253012048193"/>
    <n v="259.07759036144603"/>
    <n v="75.280490296220691"/>
    <n v="266.42069948497272"/>
  </r>
  <r>
    <n v="560"/>
    <x v="9"/>
    <s v="Freshwater"/>
    <x v="1"/>
    <x v="0"/>
    <n v="778"/>
    <s v="Minter Creek"/>
    <s v="Minter Creek"/>
    <s v="Kitsap/Pierce"/>
    <x v="3"/>
    <s v="Thurston"/>
    <s v="08Thurston"/>
    <s v="South Puget Sound"/>
    <s v="02South Puget Sound"/>
    <n v="118.34939759036099"/>
    <n v="407.12192771084199"/>
    <n v="118.4"/>
    <n v="419.02238807023798"/>
  </r>
  <r>
    <n v="564"/>
    <x v="10"/>
    <s v="Freshwater"/>
    <x v="1"/>
    <x v="0"/>
    <n v="778"/>
    <s v="Minter Creek"/>
    <s v="Minter Creek"/>
    <s v="Kitsap/Pierce"/>
    <x v="3"/>
    <s v="King"/>
    <s v="06King"/>
    <s v="South Puget Sound"/>
    <s v="02South Puget Sound"/>
    <n v="957.11229946524099"/>
    <n v="8279.0213903743406"/>
    <n v="967.23675952166946"/>
    <n v="4661.6506677912303"/>
  </r>
  <r>
    <n v="652"/>
    <x v="10"/>
    <s v="Freshwater"/>
    <x v="1"/>
    <x v="0"/>
    <n v="778"/>
    <s v="Minter Creek"/>
    <s v="Minter Creek"/>
    <s v="Kitsap/Pierce"/>
    <x v="3"/>
    <s v="Kitsap"/>
    <s v="10Kitsap"/>
    <s v="South Puget Sound"/>
    <s v="02South Puget Sound"/>
    <n v="163.71657754010701"/>
    <n v="1416.14839572193"/>
    <n v="167.44654731457771"/>
    <n v="807.01782828679745"/>
  </r>
  <r>
    <n v="651"/>
    <x v="10"/>
    <s v="Freshwater"/>
    <x v="1"/>
    <x v="0"/>
    <n v="778"/>
    <s v="Minter Creek"/>
    <s v="Minter Creek"/>
    <s v="Kitsap/Pierce"/>
    <x v="3"/>
    <s v="Mason"/>
    <s v="09Mason"/>
    <s v="South Puget Sound"/>
    <s v="02South Puget Sound"/>
    <n v="50.374331550802196"/>
    <n v="435.73796791443903"/>
    <n v="51.941176470588204"/>
    <n v="250.33335178423297"/>
  </r>
  <r>
    <n v="653"/>
    <x v="10"/>
    <s v="Freshwater"/>
    <x v="1"/>
    <x v="0"/>
    <n v="778"/>
    <s v="Minter Creek"/>
    <s v="Minter Creek"/>
    <s v="Kitsap/Pierce"/>
    <x v="3"/>
    <s v="Other"/>
    <s v="20Other"/>
    <s v="Non Puget Sound"/>
    <s v="07Non Puget Sound"/>
    <n v="75.561497326203195"/>
    <n v="653.606951871658"/>
    <n v="63.3913043478261"/>
    <n v="305.51787174769822"/>
  </r>
  <r>
    <n v="565"/>
    <x v="10"/>
    <s v="Freshwater"/>
    <x v="1"/>
    <x v="0"/>
    <n v="778"/>
    <s v="Minter Creek"/>
    <s v="Minter Creek"/>
    <s v="Kitsap/Pierce"/>
    <x v="3"/>
    <s v="Pierce"/>
    <s v="07Pierce"/>
    <s v="South Puget Sound"/>
    <s v="02South Puget Sound"/>
    <n v="680.05347593582906"/>
    <n v="5882.4625668449198"/>
    <n v="673.67852353632372"/>
    <n v="3246.8306319052344"/>
  </r>
  <r>
    <n v="563"/>
    <x v="10"/>
    <s v="Freshwater"/>
    <x v="1"/>
    <x v="0"/>
    <n v="778"/>
    <s v="Minter Creek"/>
    <s v="Minter Creek"/>
    <s v="Kitsap/Pierce"/>
    <x v="3"/>
    <s v="Snohomish"/>
    <s v="03Snohomish"/>
    <s v="North Puget Sound"/>
    <s v="01North Puget Sound"/>
    <n v="352.62032085561498"/>
    <n v="3050.1657754010698"/>
    <n v="354.98354876615804"/>
    <n v="1710.8627033354473"/>
  </r>
  <r>
    <n v="566"/>
    <x v="10"/>
    <s v="Freshwater"/>
    <x v="1"/>
    <x v="0"/>
    <n v="778"/>
    <s v="Minter Creek"/>
    <s v="Minter Creek"/>
    <s v="Kitsap/Pierce"/>
    <x v="3"/>
    <s v="Thurston"/>
    <s v="08Thurston"/>
    <s v="South Puget Sound"/>
    <s v="02South Puget Sound"/>
    <n v="75.561497326203195"/>
    <n v="653.606951871658"/>
    <n v="76.322140042856105"/>
    <n v="367.83874433596225"/>
  </r>
  <r>
    <n v="655"/>
    <x v="11"/>
    <s v="Freshwater"/>
    <x v="1"/>
    <x v="0"/>
    <n v="778"/>
    <s v="Minter Creek"/>
    <s v="Minter Creek"/>
    <s v="Kitsap/Pierce"/>
    <x v="3"/>
    <s v="King"/>
    <s v="06King"/>
    <s v="South Puget Sound"/>
    <s v="02South Puget Sound"/>
    <n v="2285.75829383886"/>
    <n v="7863.0085308056796"/>
    <n v="2349.1163974546171"/>
    <n v="8313.6179283478705"/>
  </r>
  <r>
    <n v="659"/>
    <x v="11"/>
    <s v="Freshwater"/>
    <x v="1"/>
    <x v="0"/>
    <n v="778"/>
    <s v="Minter Creek"/>
    <s v="Minter Creek"/>
    <s v="Kitsap/Pierce"/>
    <x v="3"/>
    <s v="Kitsap"/>
    <s v="10Kitsap"/>
    <s v="South Puget Sound"/>
    <s v="02South Puget Sound"/>
    <n v="988.43601895734605"/>
    <n v="3400.2199052132701"/>
    <n v="1014.637524566813"/>
    <n v="3590.8432311626752"/>
  </r>
  <r>
    <n v="658"/>
    <x v="11"/>
    <s v="Freshwater"/>
    <x v="1"/>
    <x v="0"/>
    <n v="778"/>
    <s v="Minter Creek"/>
    <s v="Minter Creek"/>
    <s v="Kitsap/Pierce"/>
    <x v="3"/>
    <s v="Mason"/>
    <s v="09Mason"/>
    <s v="South Puget Sound"/>
    <s v="02South Puget Sound"/>
    <n v="222.39810426540299"/>
    <n v="765.04947867298597"/>
    <n v="229.19810767926998"/>
    <n v="811.14137179854106"/>
  </r>
  <r>
    <n v="660"/>
    <x v="11"/>
    <s v="Freshwater"/>
    <x v="1"/>
    <x v="0"/>
    <n v="778"/>
    <s v="Minter Creek"/>
    <s v="Minter Creek"/>
    <s v="Kitsap/Pierce"/>
    <x v="3"/>
    <s v="Other"/>
    <s v="20Other"/>
    <s v="Non Puget Sound"/>
    <s v="07Non Puget Sound"/>
    <n v="420.08530805687201"/>
    <n v="1445.0934597156399"/>
    <n v="435.69120088544514"/>
    <n v="1541.9287791909544"/>
  </r>
  <r>
    <n v="656"/>
    <x v="11"/>
    <s v="Freshwater"/>
    <x v="1"/>
    <x v="0"/>
    <n v="778"/>
    <s v="Minter Creek"/>
    <s v="Minter Creek"/>
    <s v="Kitsap/Pierce"/>
    <x v="3"/>
    <s v="Pierce"/>
    <s v="07Pierce"/>
    <s v="South Puget Sound"/>
    <s v="02South Puget Sound"/>
    <n v="3261.8388625592402"/>
    <n v="11220.7256872038"/>
    <n v="3151.9189253571149"/>
    <n v="11154.768539754361"/>
  </r>
  <r>
    <n v="654"/>
    <x v="11"/>
    <s v="Freshwater"/>
    <x v="1"/>
    <x v="0"/>
    <n v="778"/>
    <s v="Minter Creek"/>
    <s v="Minter Creek"/>
    <s v="Kitsap/Pierce"/>
    <x v="3"/>
    <s v="Snohomish"/>
    <s v="03Snohomish"/>
    <s v="North Puget Sound"/>
    <s v="01North Puget Sound"/>
    <n v="593.06161137440802"/>
    <n v="2040.1319431279601"/>
    <n v="615.11372440509092"/>
    <n v="2176.9123457347923"/>
  </r>
  <r>
    <n v="657"/>
    <x v="11"/>
    <s v="Freshwater"/>
    <x v="1"/>
    <x v="0"/>
    <n v="778"/>
    <s v="Minter Creek"/>
    <s v="Minter Creek"/>
    <s v="Kitsap/Pierce"/>
    <x v="3"/>
    <s v="Thurston"/>
    <s v="08Thurston"/>
    <s v="South Puget Sound"/>
    <s v="02South Puget Sound"/>
    <n v="49.421800947867297"/>
    <n v="170.01099526066301"/>
    <n v="25.324119651647102"/>
    <n v="89.623083549067672"/>
  </r>
  <r>
    <n v="280"/>
    <x v="0"/>
    <s v="Freshwater"/>
    <x v="1"/>
    <x v="0"/>
    <n v="786"/>
    <s v="Nisqually River"/>
    <s v="Nisqually River"/>
    <s v="Thurston/Pierce"/>
    <x v="3"/>
    <s v="King"/>
    <s v="06King"/>
    <s v="South Puget Sound"/>
    <s v="02South Puget Sound"/>
    <n v="405.05295566502502"/>
    <n v="3503.70806650247"/>
    <n v="406.41290011731155"/>
    <n v="1958.7292858552605"/>
  </r>
  <r>
    <n v="284"/>
    <x v="0"/>
    <s v="Freshwater"/>
    <x v="1"/>
    <x v="0"/>
    <n v="786"/>
    <s v="Nisqually River"/>
    <s v="Nisqually River"/>
    <s v="Thurston/Pierce"/>
    <x v="3"/>
    <s v="Kitsap"/>
    <s v="10Kitsap"/>
    <s v="South Puget Sound"/>
    <s v="02South Puget Sound"/>
    <n v="90.683497536945794"/>
    <n v="784.41225369458095"/>
    <n v="91.019964103645364"/>
    <n v="438.67571436793219"/>
  </r>
  <r>
    <n v="283"/>
    <x v="0"/>
    <s v="Freshwater"/>
    <x v="1"/>
    <x v="0"/>
    <n v="786"/>
    <s v="Nisqually River"/>
    <s v="Nisqually River"/>
    <s v="Thurston/Pierce"/>
    <x v="3"/>
    <s v="Mason"/>
    <s v="09Mason"/>
    <s v="South Puget Sound"/>
    <s v="02South Puget Sound"/>
    <n v="36.273399014778299"/>
    <n v="313.76490147783198"/>
    <n v="24.269975186104261"/>
    <n v="116.97047793089467"/>
  </r>
  <r>
    <n v="361"/>
    <x v="0"/>
    <s v="Freshwater"/>
    <x v="1"/>
    <x v="0"/>
    <n v="786"/>
    <s v="Nisqually River"/>
    <s v="Nisqually River"/>
    <s v="Thurston/Pierce"/>
    <x v="3"/>
    <s v="Other"/>
    <s v="20Other"/>
    <s v="Non Puget Sound"/>
    <s v="07Non Puget Sound"/>
    <n v="308.323891625616"/>
    <n v="2667.0016625615799"/>
    <n v="309.47857193056444"/>
    <n v="1491.5489690659042"/>
  </r>
  <r>
    <n v="281"/>
    <x v="0"/>
    <s v="Freshwater"/>
    <x v="1"/>
    <x v="0"/>
    <n v="786"/>
    <s v="Nisqually River"/>
    <s v="Nisqually River"/>
    <s v="Thurston/Pierce"/>
    <x v="3"/>
    <s v="Pierce"/>
    <s v="07Pierce"/>
    <s v="South Puget Sound"/>
    <s v="02South Puget Sound"/>
    <n v="1995.03694581281"/>
    <n v="17257.069581280801"/>
    <n v="1959.7835294388001"/>
    <n v="9445.2843203070606"/>
  </r>
  <r>
    <n v="279"/>
    <x v="0"/>
    <s v="Freshwater"/>
    <x v="1"/>
    <x v="0"/>
    <n v="786"/>
    <s v="Nisqually River"/>
    <s v="Nisqually River"/>
    <s v="Thurston/Pierce"/>
    <x v="3"/>
    <s v="Snohomish"/>
    <s v="03Snohomish"/>
    <s v="North Puget Sound"/>
    <s v="01North Puget Sound"/>
    <n v="72.546798029556697"/>
    <n v="627.52980295566499"/>
    <n v="72.931218070354703"/>
    <n v="351.49600971392783"/>
  </r>
  <r>
    <n v="282"/>
    <x v="0"/>
    <s v="Freshwater"/>
    <x v="1"/>
    <x v="0"/>
    <n v="786"/>
    <s v="Nisqually River"/>
    <s v="Nisqually River"/>
    <s v="Thurston/Pierce"/>
    <x v="3"/>
    <s v="Thurston"/>
    <s v="08Thurston"/>
    <s v="South Puget Sound"/>
    <s v="02South Puget Sound"/>
    <n v="2001.0825123152699"/>
    <n v="17309.363731527101"/>
    <n v="1984.1038411532236"/>
    <n v="9562.4973978998732"/>
  </r>
  <r>
    <n v="364"/>
    <x v="1"/>
    <s v="Freshwater"/>
    <x v="1"/>
    <x v="0"/>
    <n v="786"/>
    <s v="Nisqually River"/>
    <s v="Nisqually River"/>
    <s v="Thurston/Pierce"/>
    <x v="3"/>
    <s v="King"/>
    <s v="06King"/>
    <s v="South Puget Sound"/>
    <s v="02South Puget Sound"/>
    <n v="784.45244639912096"/>
    <n v="2698.5164156129799"/>
    <n v="799.78045759581812"/>
    <n v="2830.4553823792858"/>
  </r>
  <r>
    <n v="368"/>
    <x v="1"/>
    <s v="Freshwater"/>
    <x v="1"/>
    <x v="0"/>
    <n v="786"/>
    <s v="Nisqually River"/>
    <s v="Nisqually River"/>
    <s v="Thurston/Pierce"/>
    <x v="3"/>
    <s v="Kitsap"/>
    <s v="10Kitsap"/>
    <s v="South Puget Sound"/>
    <s v="02South Puget Sound"/>
    <n v="50.377680043980199"/>
    <n v="173.29921935129201"/>
    <n v="43.885620404778543"/>
    <n v="155.31298533745161"/>
  </r>
  <r>
    <n v="367"/>
    <x v="1"/>
    <s v="Freshwater"/>
    <x v="1"/>
    <x v="0"/>
    <n v="786"/>
    <s v="Nisqually River"/>
    <s v="Nisqually River"/>
    <s v="Thurston/Pierce"/>
    <x v="3"/>
    <s v="Mason"/>
    <s v="09Mason"/>
    <s v="South Puget Sound"/>
    <s v="02South Puget Sound"/>
    <n v="43.180868609125902"/>
    <n v="148.54218801539301"/>
    <n v="44.227492739593401"/>
    <n v="156.52288535560422"/>
  </r>
  <r>
    <n v="369"/>
    <x v="1"/>
    <s v="Freshwater"/>
    <x v="1"/>
    <x v="0"/>
    <n v="786"/>
    <s v="Nisqually River"/>
    <s v="Nisqually River"/>
    <s v="Thurston/Pierce"/>
    <x v="3"/>
    <s v="Other"/>
    <s v="20Other"/>
    <s v="Non Puget Sound"/>
    <s v="07Non Puget Sound"/>
    <n v="820.43650357339197"/>
    <n v="2822.3015722924702"/>
    <n v="759.36643114931996"/>
    <n v="2687.4285084506923"/>
  </r>
  <r>
    <n v="365"/>
    <x v="1"/>
    <s v="Freshwater"/>
    <x v="1"/>
    <x v="0"/>
    <n v="786"/>
    <s v="Nisqually River"/>
    <s v="Nisqually River"/>
    <s v="Thurston/Pierce"/>
    <x v="3"/>
    <s v="Pierce"/>
    <s v="07Pierce"/>
    <s v="South Puget Sound"/>
    <s v="02South Puget Sound"/>
    <n v="4922.6190214403496"/>
    <n v="16933.809433754799"/>
    <n v="4879.8874969646195"/>
    <n v="17270.119193346378"/>
  </r>
  <r>
    <n v="362"/>
    <x v="1"/>
    <s v="Freshwater"/>
    <x v="1"/>
    <x v="0"/>
    <n v="786"/>
    <s v="Nisqually River"/>
    <s v="Nisqually River"/>
    <s v="Thurston/Pierce"/>
    <x v="3"/>
    <s v="Skagit"/>
    <s v="02Skagit"/>
    <s v="North Puget Sound"/>
    <s v="01North Puget Sound"/>
    <n v="21.590434304563001"/>
    <n v="74.271094007696703"/>
    <n v="21.965000850083442"/>
    <n v="77.73502626830043"/>
  </r>
  <r>
    <n v="363"/>
    <x v="1"/>
    <s v="Freshwater"/>
    <x v="1"/>
    <x v="0"/>
    <n v="786"/>
    <s v="Nisqually River"/>
    <s v="Nisqually River"/>
    <s v="Thurston/Pierce"/>
    <x v="3"/>
    <s v="Snohomish"/>
    <s v="03Snohomish"/>
    <s v="North Puget Sound"/>
    <s v="01North Puget Sound"/>
    <n v="129.542605827378"/>
    <n v="445.62656404618002"/>
    <n v="132.945141457723"/>
    <n v="470.49823189147543"/>
  </r>
  <r>
    <n v="366"/>
    <x v="1"/>
    <s v="Freshwater"/>
    <x v="1"/>
    <x v="0"/>
    <n v="786"/>
    <s v="Nisqually River"/>
    <s v="Nisqually River"/>
    <s v="Thurston/Pierce"/>
    <x v="3"/>
    <s v="Thurston"/>
    <s v="08Thurston"/>
    <s v="South Puget Sound"/>
    <s v="02South Puget Sound"/>
    <n v="6318.8004398020903"/>
    <n v="21736.673512919198"/>
    <n v="6115.9423588380687"/>
    <n v="21644.567335306183"/>
  </r>
  <r>
    <n v="372"/>
    <x v="2"/>
    <s v="Freshwater"/>
    <x v="1"/>
    <x v="0"/>
    <n v="786"/>
    <s v="Nisqually River"/>
    <s v="Nisqually River"/>
    <s v="Thurston/Pierce"/>
    <x v="3"/>
    <s v="King"/>
    <s v="06King"/>
    <s v="South Puget Sound"/>
    <s v="02South Puget Sound"/>
    <n v="1036.64485294118"/>
    <n v="8966.9779779412092"/>
    <n v="1027.1631784873955"/>
    <n v="4950.4693342034379"/>
  </r>
  <r>
    <n v="376"/>
    <x v="2"/>
    <s v="Freshwater"/>
    <x v="1"/>
    <x v="0"/>
    <n v="786"/>
    <s v="Nisqually River"/>
    <s v="Nisqually River"/>
    <s v="Thurston/Pierce"/>
    <x v="3"/>
    <s v="Kitsap"/>
    <s v="10Kitsap"/>
    <s v="South Puget Sound"/>
    <s v="02South Puget Sound"/>
    <n v="50.744852941176497"/>
    <n v="438.94297794117699"/>
    <n v="58.490908181397359"/>
    <n v="281.90014337168901"/>
  </r>
  <r>
    <n v="375"/>
    <x v="2"/>
    <s v="Freshwater"/>
    <x v="1"/>
    <x v="0"/>
    <n v="786"/>
    <s v="Nisqually River"/>
    <s v="Nisqually River"/>
    <s v="Thurston/Pierce"/>
    <x v="3"/>
    <s v="Mason"/>
    <s v="09Mason"/>
    <s v="South Puget Sound"/>
    <s v="02South Puget Sound"/>
    <n v="108.73897058823501"/>
    <n v="940.59209558823295"/>
    <n v="109.33881763683836"/>
    <n v="526.96443475156411"/>
  </r>
  <r>
    <n v="377"/>
    <x v="2"/>
    <s v="Freshwater"/>
    <x v="1"/>
    <x v="0"/>
    <n v="786"/>
    <s v="Nisqually River"/>
    <s v="Nisqually River"/>
    <s v="Thurston/Pierce"/>
    <x v="3"/>
    <s v="Other"/>
    <s v="20Other"/>
    <s v="Non Puget Sound"/>
    <s v="07Non Puget Sound"/>
    <n v="434.95588235294099"/>
    <n v="3762.36838235294"/>
    <n v="474.85631632964527"/>
    <n v="2288.5960881156748"/>
  </r>
  <r>
    <n v="373"/>
    <x v="2"/>
    <s v="Freshwater"/>
    <x v="1"/>
    <x v="0"/>
    <n v="786"/>
    <s v="Nisqually River"/>
    <s v="Nisqually River"/>
    <s v="Thurston/Pierce"/>
    <x v="3"/>
    <s v="Pierce"/>
    <s v="07Pierce"/>
    <s v="South Puget Sound"/>
    <s v="02South Puget Sound"/>
    <n v="4980.2448529411804"/>
    <n v="43079.117977941198"/>
    <n v="5052.8126572141418"/>
    <n v="24352.308021641707"/>
  </r>
  <r>
    <n v="371"/>
    <x v="2"/>
    <s v="Freshwater"/>
    <x v="1"/>
    <x v="0"/>
    <n v="786"/>
    <s v="Nisqually River"/>
    <s v="Nisqually River"/>
    <s v="Thurston/Pierce"/>
    <x v="3"/>
    <s v="Snohomish"/>
    <s v="03Snohomish"/>
    <s v="North Puget Sound"/>
    <s v="01North Puget Sound"/>
    <n v="65.243382352941197"/>
    <n v="564.35525735294095"/>
    <n v="65.623964718672255"/>
    <n v="316.27830098722904"/>
  </r>
  <r>
    <n v="374"/>
    <x v="2"/>
    <s v="Freshwater"/>
    <x v="1"/>
    <x v="0"/>
    <n v="786"/>
    <s v="Nisqually River"/>
    <s v="Nisqually River"/>
    <s v="Thurston/Pierce"/>
    <x v="3"/>
    <s v="Thurston"/>
    <s v="08Thurston"/>
    <s v="South Puget Sound"/>
    <s v="02South Puget Sound"/>
    <n v="3167.9286764705898"/>
    <n v="27402.583051470599"/>
    <n v="3403.1388562270918"/>
    <n v="16401.614563907497"/>
  </r>
  <r>
    <n v="370"/>
    <x v="2"/>
    <s v="Freshwater"/>
    <x v="1"/>
    <x v="0"/>
    <n v="786"/>
    <s v="Nisqually River"/>
    <s v="Nisqually River"/>
    <s v="Thurston/Pierce"/>
    <x v="3"/>
    <s v="Whatcom"/>
    <s v="01Whatcom"/>
    <s v="North Puget Sound"/>
    <s v="01North Puget Sound"/>
    <n v="14.4985294117647"/>
    <n v="125.412279411765"/>
    <n v="14.575301204819301"/>
    <n v="70.246464400614016"/>
  </r>
  <r>
    <n v="381"/>
    <x v="3"/>
    <s v="Freshwater"/>
    <x v="1"/>
    <x v="0"/>
    <n v="786"/>
    <s v="Nisqually River"/>
    <s v="Nisqually River"/>
    <s v="Thurston/Pierce"/>
    <x v="3"/>
    <s v="King"/>
    <s v="06King"/>
    <s v="South Puget Sound"/>
    <s v="02South Puget Sound"/>
    <n v="1290.32874109264"/>
    <n v="4438.7308693586801"/>
    <n v="1297.9754322318283"/>
    <n v="4593.5875445125002"/>
  </r>
  <r>
    <n v="385"/>
    <x v="3"/>
    <s v="Freshwater"/>
    <x v="1"/>
    <x v="0"/>
    <n v="786"/>
    <s v="Nisqually River"/>
    <s v="Nisqually River"/>
    <s v="Thurston/Pierce"/>
    <x v="3"/>
    <s v="Kitsap"/>
    <s v="10Kitsap"/>
    <s v="South Puget Sound"/>
    <s v="02South Puget Sound"/>
    <n v="342.88456057007102"/>
    <n v="1179.52288836104"/>
    <n v="346.73786516853926"/>
    <n v="1227.1193268352831"/>
  </r>
  <r>
    <n v="384"/>
    <x v="3"/>
    <s v="Freshwater"/>
    <x v="1"/>
    <x v="0"/>
    <n v="786"/>
    <s v="Nisqually River"/>
    <s v="Nisqually River"/>
    <s v="Thurston/Pierce"/>
    <x v="3"/>
    <s v="Mason"/>
    <s v="09Mason"/>
    <s v="South Puget Sound"/>
    <s v="02South Puget Sound"/>
    <n v="108.279334916865"/>
    <n v="372.48091211401601"/>
    <n v="100.43"/>
    <n v="355.425831367348"/>
  </r>
  <r>
    <n v="386"/>
    <x v="3"/>
    <s v="Freshwater"/>
    <x v="1"/>
    <x v="0"/>
    <n v="786"/>
    <s v="Nisqually River"/>
    <s v="Nisqually River"/>
    <s v="Thurston/Pierce"/>
    <x v="3"/>
    <s v="Other"/>
    <s v="20Other"/>
    <s v="Non Puget Sound"/>
    <s v="07Non Puget Sound"/>
    <n v="1254.2356294536801"/>
    <n v="4314.5705653206596"/>
    <n v="1272.1125141436701"/>
    <n v="4502.0576315077278"/>
  </r>
  <r>
    <n v="382"/>
    <x v="3"/>
    <s v="Freshwater"/>
    <x v="1"/>
    <x v="0"/>
    <n v="786"/>
    <s v="Nisqually River"/>
    <s v="Nisqually River"/>
    <s v="Thurston/Pierce"/>
    <x v="3"/>
    <s v="Pierce"/>
    <s v="07Pierce"/>
    <s v="South Puget Sound"/>
    <s v="02South Puget Sound"/>
    <n v="7543.4603325415701"/>
    <n v="25949.503543942999"/>
    <n v="7477.5327343629833"/>
    <n v="26463.290736707379"/>
  </r>
  <r>
    <n v="379"/>
    <x v="3"/>
    <s v="Freshwater"/>
    <x v="1"/>
    <x v="0"/>
    <n v="786"/>
    <s v="Nisqually River"/>
    <s v="Nisqually River"/>
    <s v="Thurston/Pierce"/>
    <x v="3"/>
    <s v="Skagit"/>
    <s v="02Skagit"/>
    <s v="North Puget Sound"/>
    <s v="01North Puget Sound"/>
    <n v="9.0232779097387201"/>
    <n v="31.040076009501199"/>
    <n v="9.3277310924369807"/>
    <n v="33.011217547550281"/>
  </r>
  <r>
    <n v="380"/>
    <x v="3"/>
    <s v="Freshwater"/>
    <x v="1"/>
    <x v="0"/>
    <n v="786"/>
    <s v="Nisqually River"/>
    <s v="Nisqually River"/>
    <s v="Thurston/Pierce"/>
    <x v="3"/>
    <s v="Snohomish"/>
    <s v="03Snohomish"/>
    <s v="North Puget Sound"/>
    <s v="01North Puget Sound"/>
    <n v="162.419002375297"/>
    <n v="558.72136817102205"/>
    <n v="164.1345777683556"/>
    <n v="580.87890828882223"/>
  </r>
  <r>
    <n v="383"/>
    <x v="3"/>
    <s v="Freshwater"/>
    <x v="1"/>
    <x v="0"/>
    <n v="786"/>
    <s v="Nisqually River"/>
    <s v="Nisqually River"/>
    <s v="Thurston/Pierce"/>
    <x v="3"/>
    <s v="Thurston"/>
    <s v="08Thurston"/>
    <s v="South Puget Sound"/>
    <s v="02South Puget Sound"/>
    <n v="8265.32256532067"/>
    <n v="28432.7096247031"/>
    <n v="8249.4891452321845"/>
    <n v="29195.275692522773"/>
  </r>
  <r>
    <n v="378"/>
    <x v="3"/>
    <s v="Freshwater"/>
    <x v="1"/>
    <x v="0"/>
    <n v="786"/>
    <s v="Nisqually River"/>
    <s v="Nisqually River"/>
    <s v="Thurston/Pierce"/>
    <x v="3"/>
    <s v="Whatcom"/>
    <s v="01Whatcom"/>
    <s v="North Puget Sound"/>
    <s v="01North Puget Sound"/>
    <n v="18.046555819477401"/>
    <n v="62.080152019002298"/>
    <n v="18.260000000000002"/>
    <n v="64.622878430426908"/>
  </r>
  <r>
    <n v="389"/>
    <x v="4"/>
    <s v="Freshwater"/>
    <x v="1"/>
    <x v="0"/>
    <n v="786"/>
    <s v="Nisqually River"/>
    <s v="Nisqually River"/>
    <s v="Thurston/Pierce"/>
    <x v="3"/>
    <s v="King"/>
    <s v="06King"/>
    <s v="South Puget Sound"/>
    <s v="02South Puget Sound"/>
    <n v="70.714285714285694"/>
    <n v="611.67857142857099"/>
    <n v="71.375676340383663"/>
    <n v="343.9989909406932"/>
  </r>
  <r>
    <n v="393"/>
    <x v="4"/>
    <s v="Freshwater"/>
    <x v="1"/>
    <x v="0"/>
    <n v="786"/>
    <s v="Nisqually River"/>
    <s v="Nisqually River"/>
    <s v="Thurston/Pierce"/>
    <x v="3"/>
    <s v="Kitsap"/>
    <s v="10Kitsap"/>
    <s v="South Puget Sound"/>
    <s v="02South Puget Sound"/>
    <n v="14.1428571428571"/>
    <n v="122.335714285714"/>
    <n v="14.2990654205607"/>
    <n v="68.915130871898924"/>
  </r>
  <r>
    <n v="392"/>
    <x v="4"/>
    <s v="Freshwater"/>
    <x v="1"/>
    <x v="0"/>
    <n v="786"/>
    <s v="Nisqually River"/>
    <s v="Nisqually River"/>
    <s v="Thurston/Pierce"/>
    <x v="3"/>
    <s v="Mason"/>
    <s v="09Mason"/>
    <s v="South Puget Sound"/>
    <s v="02South Puget Sound"/>
    <n v="21.214285714285701"/>
    <n v="183.50357142857101"/>
    <n v="30.660714285714292"/>
    <n v="147.77099589932823"/>
  </r>
  <r>
    <n v="394"/>
    <x v="4"/>
    <s v="Freshwater"/>
    <x v="1"/>
    <x v="0"/>
    <n v="786"/>
    <s v="Nisqually River"/>
    <s v="Nisqually River"/>
    <s v="Thurston/Pierce"/>
    <x v="3"/>
    <s v="Other"/>
    <s v="20Other"/>
    <s v="Non Puget Sound"/>
    <s v="07Non Puget Sound"/>
    <n v="113.142857142857"/>
    <n v="978.68571428571295"/>
    <n v="114.19283898999839"/>
    <n v="550.35865716885678"/>
  </r>
  <r>
    <n v="390"/>
    <x v="4"/>
    <s v="Freshwater"/>
    <x v="1"/>
    <x v="0"/>
    <n v="786"/>
    <s v="Nisqually River"/>
    <s v="Nisqually River"/>
    <s v="Thurston/Pierce"/>
    <x v="3"/>
    <s v="Pierce"/>
    <s v="07Pierce"/>
    <s v="South Puget Sound"/>
    <s v="02South Puget Sound"/>
    <n v="1089"/>
    <n v="9419.85"/>
    <n v="1101.1924658943753"/>
    <n v="5307.257549373754"/>
  </r>
  <r>
    <n v="388"/>
    <x v="4"/>
    <s v="Freshwater"/>
    <x v="1"/>
    <x v="0"/>
    <n v="786"/>
    <s v="Nisqually River"/>
    <s v="Nisqually River"/>
    <s v="Thurston/Pierce"/>
    <x v="3"/>
    <s v="Snohomish"/>
    <s v="03Snohomish"/>
    <s v="North Puget Sound"/>
    <s v="01North Puget Sound"/>
    <n v="7.0714285714285703"/>
    <n v="61.167857142857102"/>
    <n v="7.2040816326530601"/>
    <n v="34.720466962284945"/>
  </r>
  <r>
    <n v="391"/>
    <x v="4"/>
    <s v="Freshwater"/>
    <x v="1"/>
    <x v="0"/>
    <n v="786"/>
    <s v="Nisqually River"/>
    <s v="Nisqually River"/>
    <s v="Thurston/Pierce"/>
    <x v="3"/>
    <s v="Thurston"/>
    <s v="08Thurston"/>
    <s v="South Puget Sound"/>
    <s v="02South Puget Sound"/>
    <n v="1541.57142857143"/>
    <n v="13334.592857142899"/>
    <n v="1504.6669941710084"/>
    <n v="7251.8251908141638"/>
  </r>
  <r>
    <n v="387"/>
    <x v="4"/>
    <s v="Freshwater"/>
    <x v="1"/>
    <x v="0"/>
    <n v="786"/>
    <s v="Nisqually River"/>
    <s v="Nisqually River"/>
    <s v="Thurston/Pierce"/>
    <x v="3"/>
    <s v="Whatcom"/>
    <s v="01Whatcom"/>
    <s v="North Puget Sound"/>
    <s v="01North Puget Sound"/>
    <n v="14.1428571428571"/>
    <n v="122.335714285714"/>
    <n v="14.408163265306101"/>
    <n v="69.440933924569791"/>
  </r>
  <r>
    <n v="475"/>
    <x v="5"/>
    <s v="Freshwater"/>
    <x v="1"/>
    <x v="0"/>
    <n v="786"/>
    <s v="Nisqually River"/>
    <s v="Nisqually River"/>
    <s v="Thurston/Pierce"/>
    <x v="3"/>
    <s v="King"/>
    <s v="06King"/>
    <s v="South Puget Sound"/>
    <s v="02South Puget Sound"/>
    <n v="817.51912123677801"/>
    <n v="2812.2657770545202"/>
    <n v="821.58498111894517"/>
    <n v="2907.6224728978191"/>
  </r>
  <r>
    <n v="479"/>
    <x v="5"/>
    <s v="Freshwater"/>
    <x v="1"/>
    <x v="0"/>
    <n v="786"/>
    <s v="Nisqually River"/>
    <s v="Nisqually River"/>
    <s v="Thurston/Pierce"/>
    <x v="3"/>
    <s v="Kitsap"/>
    <s v="10Kitsap"/>
    <s v="South Puget Sound"/>
    <s v="02South Puget Sound"/>
    <n v="269.51179820992701"/>
    <n v="927.12058584214901"/>
    <n v="270.84462335110544"/>
    <n v="958.53007493719883"/>
  </r>
  <r>
    <n v="478"/>
    <x v="5"/>
    <s v="Freshwater"/>
    <x v="1"/>
    <x v="0"/>
    <n v="786"/>
    <s v="Nisqually River"/>
    <s v="Nisqually River"/>
    <s v="Thurston/Pierce"/>
    <x v="3"/>
    <s v="Mason"/>
    <s v="09Mason"/>
    <s v="South Puget Sound"/>
    <s v="02South Puget Sound"/>
    <n v="170.69080553295399"/>
    <n v="587.17637103336199"/>
    <n v="171.5410677773568"/>
    <n v="607.09077594752193"/>
  </r>
  <r>
    <n v="480"/>
    <x v="5"/>
    <s v="Freshwater"/>
    <x v="1"/>
    <x v="0"/>
    <n v="786"/>
    <s v="Nisqually River"/>
    <s v="Nisqually River"/>
    <s v="Thurston/Pierce"/>
    <x v="3"/>
    <s v="Other"/>
    <s v="20Other"/>
    <s v="Non Puget Sound"/>
    <s v="07Non Puget Sound"/>
    <n v="673.77949552481698"/>
    <n v="2317.8014646053698"/>
    <n v="650.03551951042346"/>
    <n v="2300.5019908423596"/>
  </r>
  <r>
    <n v="476"/>
    <x v="5"/>
    <s v="Freshwater"/>
    <x v="1"/>
    <x v="0"/>
    <n v="786"/>
    <s v="Nisqually River"/>
    <s v="Nisqually River"/>
    <s v="Thurston/Pierce"/>
    <x v="3"/>
    <s v="Pierce"/>
    <s v="07Pierce"/>
    <s v="South Puget Sound"/>
    <s v="02South Puget Sound"/>
    <n v="4393.0423108218101"/>
    <n v="15112.065549227"/>
    <n v="4440.9032039274844"/>
    <n v="15716.536027858661"/>
  </r>
  <r>
    <n v="474"/>
    <x v="5"/>
    <s v="Freshwater"/>
    <x v="1"/>
    <x v="0"/>
    <n v="786"/>
    <s v="Nisqually River"/>
    <s v="Nisqually River"/>
    <s v="Thurston/Pierce"/>
    <x v="3"/>
    <s v="Snohomish"/>
    <s v="03Snohomish"/>
    <s v="North Puget Sound"/>
    <s v="01North Puget Sound"/>
    <n v="89.837266069975598"/>
    <n v="309.04019528071598"/>
    <n v="90.284210526315803"/>
    <n v="319.51947212646087"/>
  </r>
  <r>
    <n v="477"/>
    <x v="5"/>
    <s v="Freshwater"/>
    <x v="1"/>
    <x v="0"/>
    <n v="786"/>
    <s v="Nisqually River"/>
    <s v="Nisqually River"/>
    <s v="Thurston/Pierce"/>
    <x v="3"/>
    <s v="Thurston"/>
    <s v="08Thurston"/>
    <s v="South Puget Sound"/>
    <s v="02South Puget Sound"/>
    <n v="4599.6680227827501"/>
    <n v="15822.8579983727"/>
    <n v="4655.7776168099545"/>
    <n v="16476.985264524228"/>
  </r>
  <r>
    <n v="395"/>
    <x v="5"/>
    <s v="Freshwater"/>
    <x v="1"/>
    <x v="0"/>
    <n v="786"/>
    <s v="Nisqually River"/>
    <s v="Nisqually River"/>
    <s v="Thurston/Pierce"/>
    <x v="3"/>
    <s v="Whatcom"/>
    <s v="01Whatcom"/>
    <s v="North Puget Sound"/>
    <s v="01North Puget Sound"/>
    <n v="26.951179820992699"/>
    <n v="92.712058584214901"/>
    <n v="9.0287769784172696"/>
    <n v="31.953206848395201"/>
  </r>
  <r>
    <n v="481"/>
    <x v="6"/>
    <s v="Freshwater"/>
    <x v="1"/>
    <x v="0"/>
    <n v="786"/>
    <s v="Nisqually River"/>
    <s v="Nisqually River"/>
    <s v="Thurston/Pierce"/>
    <x v="3"/>
    <s v="King"/>
    <s v="06King"/>
    <s v="South Puget Sound"/>
    <s v="02South Puget Sound"/>
    <n v="511.85858585858603"/>
    <n v="4427.57676767677"/>
    <n v="425.62342093130502"/>
    <n v="2051.3154456549114"/>
  </r>
  <r>
    <n v="485"/>
    <x v="6"/>
    <s v="Freshwater"/>
    <x v="1"/>
    <x v="0"/>
    <n v="786"/>
    <s v="Nisqually River"/>
    <s v="Nisqually River"/>
    <s v="Thurston/Pierce"/>
    <x v="3"/>
    <s v="Kitsap"/>
    <s v="10Kitsap"/>
    <s v="South Puget Sound"/>
    <s v="02South Puget Sound"/>
    <n v="147.65151515151501"/>
    <n v="1277.1856060606001"/>
    <n v="152.5293683725219"/>
    <n v="735.123665361078"/>
  </r>
  <r>
    <n v="484"/>
    <x v="6"/>
    <s v="Freshwater"/>
    <x v="1"/>
    <x v="0"/>
    <n v="786"/>
    <s v="Nisqually River"/>
    <s v="Nisqually River"/>
    <s v="Thurston/Pierce"/>
    <x v="3"/>
    <s v="Mason"/>
    <s v="09Mason"/>
    <s v="South Puget Sound"/>
    <s v="02South Puget Sound"/>
    <n v="68.904040404040401"/>
    <n v="596.01994949494997"/>
    <n v="62.713692946058103"/>
    <n v="302.25208639322426"/>
  </r>
  <r>
    <n v="486"/>
    <x v="6"/>
    <s v="Freshwater"/>
    <x v="1"/>
    <x v="0"/>
    <n v="786"/>
    <s v="Nisqually River"/>
    <s v="Nisqually River"/>
    <s v="Thurston/Pierce"/>
    <x v="3"/>
    <s v="Other"/>
    <s v="20Other"/>
    <s v="Non Puget Sound"/>
    <s v="07Non Puget Sound"/>
    <n v="167.338383838384"/>
    <n v="1447.47702020202"/>
    <n v="176.47312125403388"/>
    <n v="850.52189698404391"/>
  </r>
  <r>
    <n v="482"/>
    <x v="6"/>
    <s v="Freshwater"/>
    <x v="1"/>
    <x v="0"/>
    <n v="786"/>
    <s v="Nisqually River"/>
    <s v="Nisqually River"/>
    <s v="Thurston/Pierce"/>
    <x v="3"/>
    <s v="Pierce"/>
    <s v="07Pierce"/>
    <s v="South Puget Sound"/>
    <s v="02South Puget Sound"/>
    <n v="1555.26262626263"/>
    <n v="13453.0217171718"/>
    <n v="1608.651728907327"/>
    <n v="7752.9853290654992"/>
  </r>
  <r>
    <n v="483"/>
    <x v="6"/>
    <s v="Freshwater"/>
    <x v="1"/>
    <x v="0"/>
    <n v="786"/>
    <s v="Nisqually River"/>
    <s v="Nisqually River"/>
    <s v="Thurston/Pierce"/>
    <x v="3"/>
    <s v="Thurston"/>
    <s v="08Thurston"/>
    <s v="South Puget Sound"/>
    <s v="02South Puget Sound"/>
    <n v="1446.9848484848501"/>
    <n v="12516.418939394"/>
    <n v="1481.008667588751"/>
    <n v="7137.8025869115336"/>
  </r>
  <r>
    <n v="489"/>
    <x v="7"/>
    <s v="Freshwater"/>
    <x v="1"/>
    <x v="0"/>
    <n v="786"/>
    <s v="Nisqually River"/>
    <s v="Nisqually River"/>
    <s v="Thurston/Pierce"/>
    <x v="3"/>
    <s v="King"/>
    <s v="06King"/>
    <s v="South Puget Sound"/>
    <s v="02South Puget Sound"/>
    <n v="2377.13033953998"/>
    <n v="8177.32836801753"/>
    <n v="2413.483342846177"/>
    <n v="8541.4151510738684"/>
  </r>
  <r>
    <n v="493"/>
    <x v="7"/>
    <s v="Freshwater"/>
    <x v="1"/>
    <x v="0"/>
    <n v="786"/>
    <s v="Nisqually River"/>
    <s v="Nisqually River"/>
    <s v="Thurston/Pierce"/>
    <x v="3"/>
    <s v="Kitsap"/>
    <s v="10Kitsap"/>
    <s v="South Puget Sound"/>
    <s v="02South Puget Sound"/>
    <n v="118.856516976999"/>
    <n v="408.86641840087702"/>
    <n v="121.8785128903864"/>
    <n v="431.3329858596199"/>
  </r>
  <r>
    <n v="492"/>
    <x v="7"/>
    <s v="Freshwater"/>
    <x v="1"/>
    <x v="0"/>
    <n v="786"/>
    <s v="Nisqually River"/>
    <s v="Nisqually River"/>
    <s v="Thurston/Pierce"/>
    <x v="3"/>
    <s v="Mason"/>
    <s v="09Mason"/>
    <s v="South Puget Sound"/>
    <s v="02South Puget Sound"/>
    <n v="59.428258488499502"/>
    <n v="204.433209200438"/>
    <n v="60.939256445193202"/>
    <n v="215.66649292980995"/>
  </r>
  <r>
    <n v="494"/>
    <x v="7"/>
    <s v="Freshwater"/>
    <x v="1"/>
    <x v="0"/>
    <n v="786"/>
    <s v="Nisqually River"/>
    <s v="Nisqually River"/>
    <s v="Thurston/Pierce"/>
    <x v="3"/>
    <s v="Other"/>
    <s v="20Other"/>
    <s v="Non Puget Sound"/>
    <s v="07Non Puget Sound"/>
    <n v="1030.0898138006601"/>
    <n v="3543.5089594742699"/>
    <n v="1048.8592704057251"/>
    <n v="3711.9553736065404"/>
  </r>
  <r>
    <n v="490"/>
    <x v="7"/>
    <s v="Freshwater"/>
    <x v="1"/>
    <x v="0"/>
    <n v="786"/>
    <s v="Nisqually River"/>
    <s v="Nisqually River"/>
    <s v="Thurston/Pierce"/>
    <x v="3"/>
    <s v="Pierce"/>
    <s v="07Pierce"/>
    <s v="South Puget Sound"/>
    <s v="02South Puget Sound"/>
    <n v="6626.25082146769"/>
    <n v="22794.302825848899"/>
    <n v="6547.1411427170797"/>
    <n v="23170.597269038997"/>
  </r>
  <r>
    <n v="488"/>
    <x v="7"/>
    <s v="Freshwater"/>
    <x v="1"/>
    <x v="0"/>
    <n v="786"/>
    <s v="Nisqually River"/>
    <s v="Nisqually River"/>
    <s v="Thurston/Pierce"/>
    <x v="3"/>
    <s v="Snohomish"/>
    <s v="03Snohomish"/>
    <s v="North Puget Sound"/>
    <s v="01North Puget Sound"/>
    <n v="188.189485213582"/>
    <n v="647.37182913472202"/>
    <n v="181.84250441721377"/>
    <n v="643.54797680383206"/>
  </r>
  <r>
    <n v="491"/>
    <x v="7"/>
    <s v="Freshwater"/>
    <x v="1"/>
    <x v="0"/>
    <n v="786"/>
    <s v="Nisqually River"/>
    <s v="Nisqually River"/>
    <s v="Thurston/Pierce"/>
    <x v="3"/>
    <s v="Thurston"/>
    <s v="08Thurston"/>
    <s v="South Puget Sound"/>
    <s v="02South Puget Sound"/>
    <n v="7626.6265060241003"/>
    <n v="26235.595180722899"/>
    <n v="7631.4906233947031"/>
    <n v="27008.153932014167"/>
  </r>
  <r>
    <n v="487"/>
    <x v="7"/>
    <s v="Freshwater"/>
    <x v="1"/>
    <x v="0"/>
    <n v="786"/>
    <s v="Nisqually River"/>
    <s v="Nisqually River"/>
    <s v="Thurston/Pierce"/>
    <x v="3"/>
    <s v="Whatcom"/>
    <s v="01Whatcom"/>
    <s v="North Puget Sound"/>
    <s v="01North Puget Sound"/>
    <n v="59.428258488499502"/>
    <n v="204.433209200438"/>
    <n v="60.365346883534002"/>
    <n v="213.63540378232022"/>
  </r>
  <r>
    <n v="496"/>
    <x v="8"/>
    <s v="Freshwater"/>
    <x v="1"/>
    <x v="0"/>
    <n v="786"/>
    <s v="Nisqually River"/>
    <s v="Nisqually River"/>
    <s v="Thurston/Pierce"/>
    <x v="3"/>
    <s v="King"/>
    <s v="06King"/>
    <s v="South Puget Sound"/>
    <s v="02South Puget Sound"/>
    <n v="339.81125226860303"/>
    <n v="2939.3673321234201"/>
    <n v="341.142027863777"/>
    <n v="1644.1527333899912"/>
  </r>
  <r>
    <n v="500"/>
    <x v="8"/>
    <s v="Freshwater"/>
    <x v="1"/>
    <x v="0"/>
    <n v="786"/>
    <s v="Nisqually River"/>
    <s v="Nisqually River"/>
    <s v="Thurston/Pierce"/>
    <x v="3"/>
    <s v="Kitsap"/>
    <s v="10Kitsap"/>
    <s v="South Puget Sound"/>
    <s v="02South Puget Sound"/>
    <n v="9.43920145190563"/>
    <n v="81.649092558983696"/>
    <n v="9.4736842105263204"/>
    <n v="45.658941196861996"/>
  </r>
  <r>
    <n v="499"/>
    <x v="8"/>
    <s v="Freshwater"/>
    <x v="1"/>
    <x v="0"/>
    <n v="786"/>
    <s v="Nisqually River"/>
    <s v="Nisqually River"/>
    <s v="Thurston/Pierce"/>
    <x v="3"/>
    <s v="Mason"/>
    <s v="09Mason"/>
    <s v="South Puget Sound"/>
    <s v="02South Puget Sound"/>
    <n v="18.878402903811299"/>
    <n v="163.29818511796799"/>
    <n v="18.951625386996909"/>
    <n v="91.338399074817332"/>
  </r>
  <r>
    <n v="501"/>
    <x v="8"/>
    <s v="Freshwater"/>
    <x v="1"/>
    <x v="0"/>
    <n v="786"/>
    <s v="Nisqually River"/>
    <s v="Nisqually River"/>
    <s v="Thurston/Pierce"/>
    <x v="3"/>
    <s v="Other"/>
    <s v="20Other"/>
    <s v="Non Puget Sound"/>
    <s v="07Non Puget Sound"/>
    <n v="217.10163339382899"/>
    <n v="1877.9291288566201"/>
    <n v="217.9713622291026"/>
    <n v="1050.5249477875079"/>
  </r>
  <r>
    <n v="497"/>
    <x v="8"/>
    <s v="Freshwater"/>
    <x v="1"/>
    <x v="0"/>
    <n v="786"/>
    <s v="Nisqually River"/>
    <s v="Nisqually River"/>
    <s v="Thurston/Pierce"/>
    <x v="3"/>
    <s v="Pierce"/>
    <s v="07Pierce"/>
    <s v="South Puget Sound"/>
    <s v="02South Puget Sound"/>
    <n v="2142.6987295825802"/>
    <n v="18534.344010889301"/>
    <n v="2151.8657894736798"/>
    <n v="10371.035318651315"/>
  </r>
  <r>
    <n v="495"/>
    <x v="8"/>
    <s v="Freshwater"/>
    <x v="1"/>
    <x v="0"/>
    <n v="786"/>
    <s v="Nisqually River"/>
    <s v="Nisqually River"/>
    <s v="Thurston/Pierce"/>
    <x v="3"/>
    <s v="Snohomish"/>
    <s v="03Snohomish"/>
    <s v="North Puget Sound"/>
    <s v="01North Puget Sound"/>
    <n v="9.43920145190563"/>
    <n v="81.649092558983696"/>
    <n v="9.4779411764705905"/>
    <n v="45.679457877955343"/>
  </r>
  <r>
    <n v="498"/>
    <x v="8"/>
    <s v="Freshwater"/>
    <x v="1"/>
    <x v="0"/>
    <n v="786"/>
    <s v="Nisqually River"/>
    <s v="Nisqually River"/>
    <s v="Thurston/Pierce"/>
    <x v="3"/>
    <s v="Thurston"/>
    <s v="08Thurston"/>
    <s v="South Puget Sound"/>
    <s v="02South Puget Sound"/>
    <n v="2463.6315789473701"/>
    <n v="21310.4131578948"/>
    <n v="2472.1175696594501"/>
    <n v="11914.506356396629"/>
  </r>
  <r>
    <n v="502"/>
    <x v="9"/>
    <s v="Freshwater"/>
    <x v="1"/>
    <x v="0"/>
    <n v="786"/>
    <s v="Nisqually River"/>
    <s v="Nisqually River"/>
    <s v="Thurston/Pierce"/>
    <x v="3"/>
    <s v="King"/>
    <s v="06King"/>
    <s v="South Puget Sound"/>
    <s v="02South Puget Sound"/>
    <n v="497.02729044834302"/>
    <n v="1709.7738791423001"/>
    <n v="506.13642981312489"/>
    <n v="1791.2372931557431"/>
  </r>
  <r>
    <n v="581"/>
    <x v="9"/>
    <s v="Freshwater"/>
    <x v="1"/>
    <x v="0"/>
    <n v="786"/>
    <s v="Nisqually River"/>
    <s v="Nisqually River"/>
    <s v="Thurston/Pierce"/>
    <x v="3"/>
    <s v="Mason"/>
    <s v="09Mason"/>
    <s v="South Puget Sound"/>
    <s v="02South Puget Sound"/>
    <n v="31.725146198830402"/>
    <n v="109.134502923977"/>
    <n v="32.259615384615401"/>
    <n v="114.16808341798087"/>
  </r>
  <r>
    <n v="582"/>
    <x v="9"/>
    <s v="Freshwater"/>
    <x v="1"/>
    <x v="0"/>
    <n v="786"/>
    <s v="Nisqually River"/>
    <s v="Nisqually River"/>
    <s v="Thurston/Pierce"/>
    <x v="3"/>
    <s v="Other"/>
    <s v="20Other"/>
    <s v="Non Puget Sound"/>
    <s v="07Non Puget Sound"/>
    <n v="296.10136452241699"/>
    <n v="1018.58869395711"/>
    <n v="302.44958713602779"/>
    <n v="1070.3813198698977"/>
  </r>
  <r>
    <n v="503"/>
    <x v="9"/>
    <s v="Freshwater"/>
    <x v="1"/>
    <x v="0"/>
    <n v="786"/>
    <s v="Nisqually River"/>
    <s v="Nisqually River"/>
    <s v="Thurston/Pierce"/>
    <x v="3"/>
    <s v="Pierce"/>
    <s v="07Pierce"/>
    <s v="South Puget Sound"/>
    <s v="02South Puget Sound"/>
    <n v="2538.0116959064298"/>
    <n v="8730.7602339181194"/>
    <n v="2490.2722946544991"/>
    <n v="8813.1743568520233"/>
  </r>
  <r>
    <n v="580"/>
    <x v="9"/>
    <s v="Freshwater"/>
    <x v="1"/>
    <x v="0"/>
    <n v="786"/>
    <s v="Nisqually River"/>
    <s v="Nisqually River"/>
    <s v="Thurston/Pierce"/>
    <x v="3"/>
    <s v="Thurston"/>
    <s v="08Thurston"/>
    <s v="South Puget Sound"/>
    <s v="02South Puget Sound"/>
    <n v="2062.1345029239801"/>
    <n v="7093.7426900584896"/>
    <n v="2093.8820730117391"/>
    <n v="7410.333332523981"/>
  </r>
  <r>
    <n v="583"/>
    <x v="10"/>
    <s v="Freshwater"/>
    <x v="1"/>
    <x v="0"/>
    <n v="786"/>
    <s v="Nisqually River"/>
    <s v="Nisqually River"/>
    <s v="Thurston/Pierce"/>
    <x v="3"/>
    <s v="King"/>
    <s v="06King"/>
    <s v="South Puget Sound"/>
    <s v="02South Puget Sound"/>
    <n v="217.02439024390199"/>
    <n v="1877.2609756097499"/>
    <n v="217.30994152046799"/>
    <n v="1047.3371943675261"/>
  </r>
  <r>
    <n v="586"/>
    <x v="10"/>
    <s v="Freshwater"/>
    <x v="1"/>
    <x v="0"/>
    <n v="786"/>
    <s v="Nisqually River"/>
    <s v="Nisqually River"/>
    <s v="Thurston/Pierce"/>
    <x v="3"/>
    <s v="Other"/>
    <s v="20Other"/>
    <s v="Non Puget Sound"/>
    <s v="07Non Puget Sound"/>
    <n v="180.85365853658499"/>
    <n v="1564.3841463414601"/>
    <n v="168.81871345029199"/>
    <n v="813.63105831543726"/>
  </r>
  <r>
    <n v="584"/>
    <x v="10"/>
    <s v="Freshwater"/>
    <x v="1"/>
    <x v="0"/>
    <n v="786"/>
    <s v="Nisqually River"/>
    <s v="Nisqually River"/>
    <s v="Thurston/Pierce"/>
    <x v="3"/>
    <s v="Pierce"/>
    <s v="07Pierce"/>
    <s v="South Puget Sound"/>
    <s v="02South Puget Sound"/>
    <n v="1181.5772357723599"/>
    <n v="10220.6430894309"/>
    <n v="1181.567251461988"/>
    <n v="5694.6282413231884"/>
  </r>
  <r>
    <n v="585"/>
    <x v="10"/>
    <s v="Freshwater"/>
    <x v="1"/>
    <x v="0"/>
    <n v="786"/>
    <s v="Nisqually River"/>
    <s v="Nisqually River"/>
    <s v="Thurston/Pierce"/>
    <x v="3"/>
    <s v="Thurston"/>
    <s v="08Thurston"/>
    <s v="South Puget Sound"/>
    <s v="02South Puget Sound"/>
    <n v="1386.5447154471501"/>
    <n v="11993.6117886178"/>
    <n v="1386.304093567252"/>
    <n v="6681.3686927442659"/>
  </r>
  <r>
    <n v="587"/>
    <x v="11"/>
    <s v="Freshwater"/>
    <x v="1"/>
    <x v="0"/>
    <n v="786"/>
    <s v="Nisqually River"/>
    <s v="Nisqually River"/>
    <s v="Thurston/Pierce"/>
    <x v="3"/>
    <s v="King"/>
    <s v="06King"/>
    <s v="South Puget Sound"/>
    <s v="02South Puget Sound"/>
    <n v="985.18909710391802"/>
    <n v="3389.0504940374799"/>
    <n v="899.64273159636082"/>
    <n v="3183.8720084758384"/>
  </r>
  <r>
    <n v="590"/>
    <x v="11"/>
    <s v="Freshwater"/>
    <x v="1"/>
    <x v="0"/>
    <n v="786"/>
    <s v="Nisqually River"/>
    <s v="Nisqually River"/>
    <s v="Thurston/Pierce"/>
    <x v="3"/>
    <s v="Other"/>
    <s v="20Other"/>
    <s v="Non Puget Sound"/>
    <s v="07Non Puget Sound"/>
    <n v="445.35945485519602"/>
    <n v="1532.0365247018699"/>
    <n v="462.12445719602988"/>
    <n v="1635.4771422292476"/>
  </r>
  <r>
    <n v="588"/>
    <x v="11"/>
    <s v="Freshwater"/>
    <x v="1"/>
    <x v="0"/>
    <n v="786"/>
    <s v="Nisqually River"/>
    <s v="Nisqually River"/>
    <s v="Thurston/Pierce"/>
    <x v="3"/>
    <s v="Pierce"/>
    <s v="07Pierce"/>
    <s v="South Puget Sound"/>
    <s v="02South Puget Sound"/>
    <n v="3184.9948892674602"/>
    <n v="10956.382419080101"/>
    <n v="3130.0316635649269"/>
    <n v="11077.308635155705"/>
  </r>
  <r>
    <n v="589"/>
    <x v="11"/>
    <s v="Freshwater"/>
    <x v="1"/>
    <x v="0"/>
    <n v="786"/>
    <s v="Nisqually River"/>
    <s v="Nisqually River"/>
    <s v="Thurston/Pierce"/>
    <x v="3"/>
    <s v="Thurston"/>
    <s v="08Thurston"/>
    <s v="South Puget Sound"/>
    <s v="02South Puget Sound"/>
    <n v="3306.4565587734301"/>
    <n v="11374.2105621806"/>
    <n v="3442.2011476426751"/>
    <n v="12182.089063372867"/>
  </r>
  <r>
    <n v="1537"/>
    <x v="0"/>
    <s v="Freshwater"/>
    <x v="1"/>
    <x v="0"/>
    <n v="788"/>
    <s v="Nooksack River"/>
    <s v="Nooksack River"/>
    <s v="Whatcom"/>
    <x v="1"/>
    <s v="King"/>
    <s v="06King"/>
    <s v="South Puget Sound"/>
    <s v="02South Puget Sound"/>
    <n v="18.450867052023099"/>
    <n v="159.6"/>
    <n v="18.863095238095241"/>
    <n v="90.91172316151642"/>
  </r>
  <r>
    <n v="1539"/>
    <x v="0"/>
    <s v="Freshwater"/>
    <x v="1"/>
    <x v="0"/>
    <n v="788"/>
    <s v="Nooksack River"/>
    <s v="Nooksack River"/>
    <s v="Whatcom"/>
    <x v="1"/>
    <s v="Other"/>
    <s v="20Other"/>
    <s v="Non Puget Sound"/>
    <s v="07Non Puget Sound"/>
    <n v="24.601156069364201"/>
    <n v="212.8"/>
    <n v="25.25"/>
    <n v="121.69376132885851"/>
  </r>
  <r>
    <n v="1538"/>
    <x v="0"/>
    <s v="Freshwater"/>
    <x v="1"/>
    <x v="0"/>
    <n v="788"/>
    <s v="Nooksack River"/>
    <s v="Nooksack River"/>
    <s v="Whatcom"/>
    <x v="1"/>
    <s v="Pierce"/>
    <s v="07Pierce"/>
    <s v="South Puget Sound"/>
    <s v="02South Puget Sound"/>
    <n v="6.1502890173410396"/>
    <n v="53.2"/>
    <n v="6.2380952380952399"/>
    <n v="30.064842497087167"/>
  </r>
  <r>
    <n v="1535"/>
    <x v="0"/>
    <s v="Freshwater"/>
    <x v="1"/>
    <x v="0"/>
    <n v="788"/>
    <s v="Nooksack River"/>
    <s v="Nooksack River"/>
    <s v="Whatcom"/>
    <x v="1"/>
    <s v="Skagit"/>
    <s v="02Skagit"/>
    <s v="North Puget Sound"/>
    <s v="01North Puget Sound"/>
    <n v="24.601156069364201"/>
    <n v="212.8"/>
    <n v="25.25"/>
    <n v="121.69376132885851"/>
  </r>
  <r>
    <n v="1536"/>
    <x v="0"/>
    <s v="Freshwater"/>
    <x v="1"/>
    <x v="0"/>
    <n v="788"/>
    <s v="Nooksack River"/>
    <s v="Nooksack River"/>
    <s v="Whatcom"/>
    <x v="1"/>
    <s v="Snohomish"/>
    <s v="03Snohomish"/>
    <s v="North Puget Sound"/>
    <s v="01North Puget Sound"/>
    <n v="6.1502890173410396"/>
    <n v="53.2"/>
    <n v="6.3125"/>
    <n v="30.423440332214629"/>
  </r>
  <r>
    <n v="1534"/>
    <x v="0"/>
    <s v="Freshwater"/>
    <x v="1"/>
    <x v="0"/>
    <n v="788"/>
    <s v="Nooksack River"/>
    <s v="Nooksack River"/>
    <s v="Whatcom"/>
    <x v="1"/>
    <s v="Whatcom"/>
    <s v="01Whatcom"/>
    <s v="North Puget Sound"/>
    <s v="01North Puget Sound"/>
    <n v="984.04624277456696"/>
    <n v="8512.0000000000091"/>
    <n v="982.08630952380997"/>
    <n v="4733.2188893279208"/>
  </r>
  <r>
    <n v="1560"/>
    <x v="1"/>
    <s v="Freshwater"/>
    <x v="1"/>
    <x v="0"/>
    <n v="788"/>
    <s v="Nooksack River"/>
    <s v="Nooksack River"/>
    <s v="Whatcom"/>
    <x v="1"/>
    <s v="Island"/>
    <s v="04Island"/>
    <s v="North Puget Sound"/>
    <s v="01North Puget Sound"/>
    <n v="65.025000000000006"/>
    <n v="223.68600000000001"/>
    <n v="64.864361702127695"/>
    <n v="229.55759916450367"/>
  </r>
  <r>
    <n v="1561"/>
    <x v="1"/>
    <s v="Freshwater"/>
    <x v="1"/>
    <x v="0"/>
    <n v="788"/>
    <s v="Nooksack River"/>
    <s v="Nooksack River"/>
    <s v="Whatcom"/>
    <x v="1"/>
    <s v="King"/>
    <s v="06King"/>
    <s v="South Puget Sound"/>
    <s v="02South Puget Sound"/>
    <n v="21.675000000000001"/>
    <n v="74.561999999999998"/>
    <n v="21.658625830058309"/>
    <n v="76.650752682692342"/>
  </r>
  <r>
    <n v="1562"/>
    <x v="1"/>
    <s v="Freshwater"/>
    <x v="1"/>
    <x v="0"/>
    <n v="788"/>
    <s v="Nooksack River"/>
    <s v="Nooksack River"/>
    <s v="Whatcom"/>
    <x v="1"/>
    <s v="Other"/>
    <s v="20Other"/>
    <s v="Non Puget Sound"/>
    <s v="07Non Puget Sound"/>
    <n v="93.924999999999997"/>
    <n v="323.10199999999998"/>
    <n v="93.880237941351297"/>
    <n v="332.24595857083767"/>
  </r>
  <r>
    <n v="1559"/>
    <x v="1"/>
    <s v="Freshwater"/>
    <x v="1"/>
    <x v="0"/>
    <n v="788"/>
    <s v="Nooksack River"/>
    <s v="Nooksack River"/>
    <s v="Whatcom"/>
    <x v="1"/>
    <s v="Whatcom"/>
    <s v="01Whatcom"/>
    <s v="North Puget Sound"/>
    <s v="01North Puget Sound"/>
    <n v="2420.375"/>
    <n v="8326.09"/>
    <n v="2420.5967745264661"/>
    <n v="8566.5898734560415"/>
  </r>
  <r>
    <n v="1717"/>
    <x v="2"/>
    <s v="Freshwater"/>
    <x v="1"/>
    <x v="0"/>
    <n v="788"/>
    <s v="Nooksack River"/>
    <s v="Nooksack River"/>
    <s v="Whatcom"/>
    <x v="1"/>
    <s v="Island"/>
    <s v="04Island"/>
    <s v="North Puget Sound"/>
    <s v="01North Puget Sound"/>
    <n v="48.701793721973097"/>
    <n v="421.27051569506699"/>
    <n v="48.6388888888889"/>
    <n v="234.41779547506195"/>
  </r>
  <r>
    <n v="1718"/>
    <x v="2"/>
    <s v="Freshwater"/>
    <x v="1"/>
    <x v="0"/>
    <n v="788"/>
    <s v="Nooksack River"/>
    <s v="Nooksack River"/>
    <s v="Whatcom"/>
    <x v="1"/>
    <s v="King"/>
    <s v="06King"/>
    <s v="South Puget Sound"/>
    <s v="02South Puget Sound"/>
    <n v="6.9573991031390197"/>
    <n v="60.181502242152497"/>
    <n v="6.9575757575757597"/>
    <n v="33.532418363163423"/>
  </r>
  <r>
    <n v="1712"/>
    <x v="2"/>
    <s v="Freshwater"/>
    <x v="1"/>
    <x v="0"/>
    <n v="788"/>
    <s v="Nooksack River"/>
    <s v="Nooksack River"/>
    <s v="Whatcom"/>
    <x v="1"/>
    <s v="Skagit"/>
    <s v="02Skagit"/>
    <s v="North Puget Sound"/>
    <s v="01North Puget Sound"/>
    <n v="90.446188340807197"/>
    <n v="782.35952914798202"/>
    <n v="90.459991216512947"/>
    <n v="435.97689429358275"/>
  </r>
  <r>
    <n v="1716"/>
    <x v="2"/>
    <s v="Freshwater"/>
    <x v="1"/>
    <x v="0"/>
    <n v="788"/>
    <s v="Nooksack River"/>
    <s v="Nooksack River"/>
    <s v="Whatcom"/>
    <x v="1"/>
    <s v="Snohomish"/>
    <s v="03Snohomish"/>
    <s v="North Puget Sound"/>
    <s v="01North Puget Sound"/>
    <n v="83.4887892376682"/>
    <n v="722.17802690583005"/>
    <n v="83.370707070707113"/>
    <n v="401.8097001220122"/>
  </r>
  <r>
    <n v="1711"/>
    <x v="2"/>
    <s v="Freshwater"/>
    <x v="1"/>
    <x v="0"/>
    <n v="788"/>
    <s v="Nooksack River"/>
    <s v="Nooksack River"/>
    <s v="Whatcom"/>
    <x v="1"/>
    <s v="Whatcom"/>
    <s v="01Whatcom"/>
    <s v="North Puget Sound"/>
    <s v="01North Puget Sound"/>
    <n v="2873.4058295964101"/>
    <n v="24854.9604260089"/>
    <n v="2873.5728370663169"/>
    <n v="13849.342059209474"/>
  </r>
  <r>
    <n v="1883"/>
    <x v="3"/>
    <s v="Freshwater"/>
    <x v="1"/>
    <x v="0"/>
    <n v="788"/>
    <s v="Nooksack River"/>
    <s v="Nooksack River"/>
    <s v="Whatcom"/>
    <x v="1"/>
    <s v="Island"/>
    <s v="04Island"/>
    <s v="North Puget Sound"/>
    <s v="01North Puget Sound"/>
    <n v="119.52180451127801"/>
    <n v="411.15500751879603"/>
    <n v="117.4"/>
    <n v="415.48334763045557"/>
  </r>
  <r>
    <n v="1885"/>
    <x v="3"/>
    <s v="Freshwater"/>
    <x v="1"/>
    <x v="0"/>
    <n v="788"/>
    <s v="Nooksack River"/>
    <s v="Nooksack River"/>
    <s v="Whatcom"/>
    <x v="1"/>
    <s v="Kitsap"/>
    <s v="10Kitsap"/>
    <s v="South Puget Sound"/>
    <s v="02South Puget Sound"/>
    <n v="9.1939849624060201"/>
    <n v="31.6273082706767"/>
    <n v="9.1917098445595897"/>
    <n v="32.529832850642528"/>
  </r>
  <r>
    <n v="1891"/>
    <x v="3"/>
    <s v="Freshwater"/>
    <x v="1"/>
    <x v="0"/>
    <n v="788"/>
    <s v="Nooksack River"/>
    <s v="Nooksack River"/>
    <s v="Whatcom"/>
    <x v="1"/>
    <s v="Other"/>
    <s v="20Other"/>
    <s v="Non Puget Sound"/>
    <s v="07Non Puget Sound"/>
    <n v="101.13383458646599"/>
    <n v="347.90039097744301"/>
    <n v="101.6490797380638"/>
    <n v="359.74020385967515"/>
  </r>
  <r>
    <n v="1881"/>
    <x v="3"/>
    <s v="Freshwater"/>
    <x v="1"/>
    <x v="0"/>
    <n v="788"/>
    <s v="Nooksack River"/>
    <s v="Nooksack River"/>
    <s v="Whatcom"/>
    <x v="1"/>
    <s v="Skagit"/>
    <s v="02Skagit"/>
    <s v="North Puget Sound"/>
    <s v="01North Puget Sound"/>
    <n v="27.5819548872181"/>
    <n v="94.881924812030306"/>
    <n v="27.414188919888431"/>
    <n v="97.019923211320176"/>
  </r>
  <r>
    <n v="1882"/>
    <x v="3"/>
    <s v="Freshwater"/>
    <x v="1"/>
    <x v="0"/>
    <n v="788"/>
    <s v="Nooksack River"/>
    <s v="Nooksack River"/>
    <s v="Whatcom"/>
    <x v="1"/>
    <s v="Snohomish"/>
    <s v="03Snohomish"/>
    <s v="North Puget Sound"/>
    <s v="01North Puget Sound"/>
    <n v="91.939849624060201"/>
    <n v="316.27308270676701"/>
    <n v="90.518518518518505"/>
    <n v="320.34869758623046"/>
  </r>
  <r>
    <n v="1884"/>
    <x v="3"/>
    <s v="Freshwater"/>
    <x v="1"/>
    <x v="0"/>
    <n v="788"/>
    <s v="Nooksack River"/>
    <s v="Nooksack River"/>
    <s v="Whatcom"/>
    <x v="1"/>
    <s v="Thurston"/>
    <s v="08Thurston"/>
    <s v="South Puget Sound"/>
    <s v="02South Puget Sound"/>
    <n v="91.939849624060201"/>
    <n v="316.27308270676701"/>
    <n v="90.497435897435935"/>
    <n v="320.27408533764259"/>
  </r>
  <r>
    <n v="1880"/>
    <x v="3"/>
    <s v="Freshwater"/>
    <x v="1"/>
    <x v="0"/>
    <n v="788"/>
    <s v="Nooksack River"/>
    <s v="Nooksack River"/>
    <s v="Whatcom"/>
    <x v="1"/>
    <s v="Whatcom"/>
    <s v="01Whatcom"/>
    <s v="North Puget Sound"/>
    <s v="01North Puget Sound"/>
    <n v="5672.6887218045104"/>
    <n v="19514.0492030075"/>
    <n v="5677.3290670815322"/>
    <n v="20092.297158353715"/>
  </r>
  <r>
    <n v="2038"/>
    <x v="4"/>
    <s v="Freshwater"/>
    <x v="1"/>
    <x v="0"/>
    <n v="788"/>
    <s v="Nooksack River"/>
    <s v="Nooksack River"/>
    <s v="Whatcom"/>
    <x v="1"/>
    <s v="Island"/>
    <s v="04Island"/>
    <s v="North Puget Sound"/>
    <s v="01North Puget Sound"/>
    <n v="14.214285714285699"/>
    <n v="122.953571428571"/>
    <n v="14.303030303030299"/>
    <n v="68.934239840649511"/>
  </r>
  <r>
    <n v="2039"/>
    <x v="4"/>
    <s v="Freshwater"/>
    <x v="1"/>
    <x v="0"/>
    <n v="788"/>
    <s v="Nooksack River"/>
    <s v="Nooksack River"/>
    <s v="Whatcom"/>
    <x v="1"/>
    <s v="King"/>
    <s v="06King"/>
    <s v="South Puget Sound"/>
    <s v="02South Puget Sound"/>
    <n v="28.428571428571399"/>
    <n v="245.90714285714299"/>
    <n v="28.606060606060598"/>
    <n v="137.86847968129902"/>
  </r>
  <r>
    <n v="2044"/>
    <x v="4"/>
    <s v="Freshwater"/>
    <x v="1"/>
    <x v="0"/>
    <n v="788"/>
    <s v="Nooksack River"/>
    <s v="Nooksack River"/>
    <s v="Whatcom"/>
    <x v="1"/>
    <s v="Other"/>
    <s v="20Other"/>
    <s v="Non Puget Sound"/>
    <s v="07Non Puget Sound"/>
    <n v="71.071428571428598"/>
    <n v="614.767857142857"/>
    <n v="71.509433962264197"/>
    <n v="344.64364314319005"/>
  </r>
  <r>
    <n v="2043"/>
    <x v="4"/>
    <s v="Freshwater"/>
    <x v="1"/>
    <x v="0"/>
    <n v="788"/>
    <s v="Nooksack River"/>
    <s v="Nooksack River"/>
    <s v="Whatcom"/>
    <x v="1"/>
    <s v="Pierce"/>
    <s v="07Pierce"/>
    <s v="South Puget Sound"/>
    <s v="02South Puget Sound"/>
    <n v="7.1071428571428603"/>
    <n v="61.476785714285697"/>
    <n v="7.1515151515151496"/>
    <n v="34.467119920324755"/>
  </r>
  <r>
    <n v="2037"/>
    <x v="4"/>
    <s v="Freshwater"/>
    <x v="1"/>
    <x v="0"/>
    <n v="788"/>
    <s v="Nooksack River"/>
    <s v="Nooksack River"/>
    <s v="Whatcom"/>
    <x v="1"/>
    <s v="Skagit"/>
    <s v="02Skagit"/>
    <s v="North Puget Sound"/>
    <s v="01North Puget Sound"/>
    <n v="21.321428571428601"/>
    <n v="184.43035714285699"/>
    <n v="21.4528301886793"/>
    <n v="103.39309294295721"/>
  </r>
  <r>
    <n v="2036"/>
    <x v="4"/>
    <s v="Freshwater"/>
    <x v="1"/>
    <x v="0"/>
    <n v="788"/>
    <s v="Nooksack River"/>
    <s v="Nooksack River"/>
    <s v="Whatcom"/>
    <x v="1"/>
    <s v="Whatcom"/>
    <s v="01Whatcom"/>
    <s v="North Puget Sound"/>
    <s v="01North Puget Sound"/>
    <n v="1051.8571428571399"/>
    <n v="9098.5642857142593"/>
    <n v="1050.9771297884511"/>
    <n v="5065.241979982753"/>
  </r>
  <r>
    <n v="2177"/>
    <x v="5"/>
    <s v="Freshwater"/>
    <x v="1"/>
    <x v="0"/>
    <n v="788"/>
    <s v="Nooksack River"/>
    <s v="Nooksack River"/>
    <s v="Whatcom"/>
    <x v="1"/>
    <s v="Island"/>
    <s v="04Island"/>
    <s v="North Puget Sound"/>
    <s v="01North Puget Sound"/>
    <n v="87.338195077484102"/>
    <n v="300.44339106654502"/>
    <n v="87.75"/>
    <n v="310.55079859090694"/>
  </r>
  <r>
    <n v="2178"/>
    <x v="5"/>
    <s v="Freshwater"/>
    <x v="1"/>
    <x v="0"/>
    <n v="788"/>
    <s v="Nooksack River"/>
    <s v="Nooksack River"/>
    <s v="Whatcom"/>
    <x v="1"/>
    <s v="King"/>
    <s v="06King"/>
    <s v="South Puget Sound"/>
    <s v="02South Puget Sound"/>
    <n v="17.4676390154968"/>
    <n v="60.088678213309002"/>
    <n v="17.616666666666699"/>
    <n v="62.346095747500328"/>
  </r>
  <r>
    <n v="2181"/>
    <x v="5"/>
    <s v="Freshwater"/>
    <x v="1"/>
    <x v="0"/>
    <n v="788"/>
    <s v="Nooksack River"/>
    <s v="Nooksack River"/>
    <s v="Whatcom"/>
    <x v="1"/>
    <s v="Other"/>
    <s v="20Other"/>
    <s v="Non Puget Sound"/>
    <s v="07Non Puget Sound"/>
    <n v="253.280765724704"/>
    <n v="871.28583409298199"/>
    <n v="247.67465051258156"/>
    <n v="876.53060407300268"/>
  </r>
  <r>
    <n v="2179"/>
    <x v="5"/>
    <s v="Freshwater"/>
    <x v="1"/>
    <x v="0"/>
    <n v="788"/>
    <s v="Nooksack River"/>
    <s v="Nooksack River"/>
    <s v="Whatcom"/>
    <x v="1"/>
    <s v="Pierce"/>
    <s v="07Pierce"/>
    <s v="South Puget Sound"/>
    <s v="02South Puget Sound"/>
    <n v="34.935278030993601"/>
    <n v="120.177356426618"/>
    <n v="35.407758620689663"/>
    <n v="125.30948964067515"/>
  </r>
  <r>
    <n v="2175"/>
    <x v="5"/>
    <s v="Freshwater"/>
    <x v="1"/>
    <x v="0"/>
    <n v="788"/>
    <s v="Nooksack River"/>
    <s v="Nooksack River"/>
    <s v="Whatcom"/>
    <x v="1"/>
    <s v="Skagit"/>
    <s v="02Skagit"/>
    <s v="North Puget Sound"/>
    <s v="01North Puget Sound"/>
    <n v="148.474931631723"/>
    <n v="510.75376481312702"/>
    <n v="153.24527027027"/>
    <n v="542.34120869187143"/>
  </r>
  <r>
    <n v="2176"/>
    <x v="5"/>
    <s v="Freshwater"/>
    <x v="1"/>
    <x v="0"/>
    <n v="788"/>
    <s v="Nooksack River"/>
    <s v="Nooksack River"/>
    <s v="Whatcom"/>
    <x v="1"/>
    <s v="Snohomish"/>
    <s v="03Snohomish"/>
    <s v="North Puget Sound"/>
    <s v="01North Puget Sound"/>
    <n v="17.4676390154968"/>
    <n v="60.088678213309002"/>
    <n v="18.080055917986961"/>
    <n v="63.986049047283238"/>
  </r>
  <r>
    <n v="2180"/>
    <x v="5"/>
    <s v="Freshwater"/>
    <x v="1"/>
    <x v="0"/>
    <n v="788"/>
    <s v="Nooksack River"/>
    <s v="Nooksack River"/>
    <s v="Whatcom"/>
    <x v="1"/>
    <s v="Thurston"/>
    <s v="08Thurston"/>
    <s v="South Puget Sound"/>
    <s v="02South Puget Sound"/>
    <n v="8.7338195077484109"/>
    <n v="30.044339106654501"/>
    <n v="9.0972972972973007"/>
    <n v="32.195703027858414"/>
  </r>
  <r>
    <n v="2174"/>
    <x v="5"/>
    <s v="Freshwater"/>
    <x v="1"/>
    <x v="0"/>
    <n v="788"/>
    <s v="Nooksack River"/>
    <s v="Nooksack River"/>
    <s v="Whatcom"/>
    <x v="1"/>
    <s v="Whatcom"/>
    <s v="01Whatcom"/>
    <s v="North Puget Sound"/>
    <s v="01North Puget Sound"/>
    <n v="9013.3017319963601"/>
    <n v="31005.757958067501"/>
    <n v="9012.1283007144993"/>
    <n v="31894.286504736192"/>
  </r>
  <r>
    <n v="2304"/>
    <x v="6"/>
    <s v="Freshwater"/>
    <x v="1"/>
    <x v="0"/>
    <n v="788"/>
    <s v="Nooksack River"/>
    <s v="Nooksack River"/>
    <s v="Whatcom"/>
    <x v="1"/>
    <s v="Island"/>
    <s v="04Island"/>
    <s v="North Puget Sound"/>
    <s v="01North Puget Sound"/>
    <n v="39.476190476190503"/>
    <n v="341.46904761904801"/>
    <n v="38.580645161290299"/>
    <n v="185.94153759094817"/>
  </r>
  <r>
    <n v="2402"/>
    <x v="6"/>
    <s v="Freshwater"/>
    <x v="1"/>
    <x v="0"/>
    <n v="788"/>
    <s v="Nooksack River"/>
    <s v="Nooksack River"/>
    <s v="Whatcom"/>
    <x v="1"/>
    <s v="King"/>
    <s v="06King"/>
    <s v="South Puget Sound"/>
    <s v="02South Puget Sound"/>
    <n v="29.6071428571429"/>
    <n v="256.101785714286"/>
    <n v="30.411534701857299"/>
    <n v="146.57006121394537"/>
  </r>
  <r>
    <n v="2403"/>
    <x v="6"/>
    <s v="Freshwater"/>
    <x v="1"/>
    <x v="0"/>
    <n v="788"/>
    <s v="Nooksack River"/>
    <s v="Nooksack River"/>
    <s v="Whatcom"/>
    <x v="1"/>
    <s v="Pierce"/>
    <s v="07Pierce"/>
    <s v="South Puget Sound"/>
    <s v="02South Puget Sound"/>
    <n v="39.476190476190503"/>
    <n v="341.46904761904801"/>
    <n v="38.200000000000003"/>
    <n v="184.10699733712457"/>
  </r>
  <r>
    <n v="2303"/>
    <x v="6"/>
    <s v="Freshwater"/>
    <x v="1"/>
    <x v="0"/>
    <n v="788"/>
    <s v="Nooksack River"/>
    <s v="Nooksack River"/>
    <s v="Whatcom"/>
    <x v="1"/>
    <s v="Skagit"/>
    <s v="02Skagit"/>
    <s v="North Puget Sound"/>
    <s v="01North Puget Sound"/>
    <n v="39.476190476190503"/>
    <n v="341.46904761904801"/>
    <n v="41.532746823069402"/>
    <n v="200.1693536324164"/>
  </r>
  <r>
    <n v="2302"/>
    <x v="6"/>
    <s v="Freshwater"/>
    <x v="1"/>
    <x v="0"/>
    <n v="788"/>
    <s v="Nooksack River"/>
    <s v="Nooksack River"/>
    <s v="Whatcom"/>
    <x v="1"/>
    <s v="Whatcom"/>
    <s v="01Whatcom"/>
    <s v="North Puget Sound"/>
    <s v="01North Puget Sound"/>
    <n v="680.96428571428601"/>
    <n v="5890.3410714285701"/>
    <n v="680.27507331378297"/>
    <n v="3278.6230657354149"/>
  </r>
  <r>
    <n v="2523"/>
    <x v="7"/>
    <s v="Freshwater"/>
    <x v="1"/>
    <x v="0"/>
    <n v="788"/>
    <s v="Nooksack River"/>
    <s v="Nooksack River"/>
    <s v="Whatcom"/>
    <x v="1"/>
    <s v="Island"/>
    <s v="04Island"/>
    <s v="North Puget Sound"/>
    <s v="01North Puget Sound"/>
    <n v="96.715328467153299"/>
    <n v="332.70072992700699"/>
    <n v="96.718576195773096"/>
    <n v="342.29095243501786"/>
  </r>
  <r>
    <n v="2524"/>
    <x v="7"/>
    <s v="Freshwater"/>
    <x v="1"/>
    <x v="0"/>
    <n v="788"/>
    <s v="Nooksack River"/>
    <s v="Nooksack River"/>
    <s v="Whatcom"/>
    <x v="1"/>
    <s v="King"/>
    <s v="06King"/>
    <s v="South Puget Sound"/>
    <s v="02South Puget Sound"/>
    <n v="29.014598540146"/>
    <n v="99.810218978102199"/>
    <n v="29.068965517241399"/>
    <n v="102.87624450815787"/>
  </r>
  <r>
    <n v="2526"/>
    <x v="7"/>
    <s v="Freshwater"/>
    <x v="1"/>
    <x v="0"/>
    <n v="788"/>
    <s v="Nooksack River"/>
    <s v="Nooksack River"/>
    <s v="Whatcom"/>
    <x v="1"/>
    <s v="Other"/>
    <s v="20Other"/>
    <s v="Non Puget Sound"/>
    <s v="07Non Puget Sound"/>
    <n v="48.3576642335766"/>
    <n v="166.35036496350301"/>
    <n v="48.314396357710166"/>
    <n v="170.98660253361251"/>
  </r>
  <r>
    <n v="2525"/>
    <x v="7"/>
    <s v="Freshwater"/>
    <x v="1"/>
    <x v="0"/>
    <n v="788"/>
    <s v="Nooksack River"/>
    <s v="Nooksack River"/>
    <s v="Whatcom"/>
    <x v="1"/>
    <s v="Pierce"/>
    <s v="07Pierce"/>
    <s v="South Puget Sound"/>
    <s v="02South Puget Sound"/>
    <n v="67.700729927007302"/>
    <n v="232.89051094890499"/>
    <n v="67.468965517241401"/>
    <n v="238.77539739580263"/>
  </r>
  <r>
    <n v="2521"/>
    <x v="7"/>
    <s v="Freshwater"/>
    <x v="1"/>
    <x v="0"/>
    <n v="788"/>
    <s v="Nooksack River"/>
    <s v="Nooksack River"/>
    <s v="Whatcom"/>
    <x v="1"/>
    <s v="Skagit"/>
    <s v="02Skagit"/>
    <s v="North Puget Sound"/>
    <s v="01North Puget Sound"/>
    <n v="96.715328467153299"/>
    <n v="332.70072992700699"/>
    <n v="96.716692966345079"/>
    <n v="342.28428760991471"/>
  </r>
  <r>
    <n v="2522"/>
    <x v="7"/>
    <s v="Freshwater"/>
    <x v="1"/>
    <x v="0"/>
    <n v="788"/>
    <s v="Nooksack River"/>
    <s v="Nooksack River"/>
    <s v="Whatcom"/>
    <x v="1"/>
    <s v="Snohomish"/>
    <s v="03Snohomish"/>
    <s v="North Puget Sound"/>
    <s v="01North Puget Sound"/>
    <n v="135.401459854015"/>
    <n v="465.78102189781202"/>
    <n v="135.2547274749723"/>
    <n v="478.67195020567669"/>
  </r>
  <r>
    <n v="2520"/>
    <x v="7"/>
    <s v="Freshwater"/>
    <x v="1"/>
    <x v="0"/>
    <n v="788"/>
    <s v="Nooksack River"/>
    <s v="Nooksack River"/>
    <s v="Whatcom"/>
    <x v="1"/>
    <s v="Whatcom"/>
    <s v="01Whatcom"/>
    <s v="North Puget Sound"/>
    <s v="01North Puget Sound"/>
    <n v="2176.0948905109499"/>
    <n v="7485.7664233576697"/>
    <n v="2176.457675970722"/>
    <n v="7702.5717307352379"/>
  </r>
  <r>
    <n v="2655"/>
    <x v="8"/>
    <s v="Freshwater"/>
    <x v="1"/>
    <x v="0"/>
    <n v="788"/>
    <s v="Nooksack River"/>
    <s v="Nooksack River"/>
    <s v="Whatcom"/>
    <x v="1"/>
    <s v="Island"/>
    <s v="04Island"/>
    <s v="North Puget Sound"/>
    <s v="01North Puget Sound"/>
    <n v="320.10677618069798"/>
    <n v="2768.9236139630402"/>
    <n v="323.9636835278863"/>
    <n v="1561.3607597014038"/>
  </r>
  <r>
    <n v="2656"/>
    <x v="8"/>
    <s v="Freshwater"/>
    <x v="1"/>
    <x v="0"/>
    <n v="788"/>
    <s v="Nooksack River"/>
    <s v="Nooksack River"/>
    <s v="Whatcom"/>
    <x v="1"/>
    <s v="King"/>
    <s v="06King"/>
    <s v="South Puget Sound"/>
    <s v="02South Puget Sound"/>
    <n v="174.60369609856301"/>
    <n v="1510.3219712525699"/>
    <n v="176.611327280588"/>
    <n v="851.18798851710073"/>
  </r>
  <r>
    <n v="2657"/>
    <x v="8"/>
    <s v="Freshwater"/>
    <x v="1"/>
    <x v="0"/>
    <n v="788"/>
    <s v="Nooksack River"/>
    <s v="Nooksack River"/>
    <s v="Whatcom"/>
    <x v="1"/>
    <s v="Other"/>
    <s v="20Other"/>
    <s v="Non Puget Sound"/>
    <s v="07Non Puget Sound"/>
    <n v="126.102669404517"/>
    <n v="1090.78809034907"/>
    <n v="127.32728058798099"/>
    <n v="613.66081958520238"/>
  </r>
  <r>
    <n v="2653"/>
    <x v="8"/>
    <s v="Freshwater"/>
    <x v="1"/>
    <x v="0"/>
    <n v="788"/>
    <s v="Nooksack River"/>
    <s v="Nooksack River"/>
    <s v="Whatcom"/>
    <x v="1"/>
    <s v="Skagit"/>
    <s v="02Skagit"/>
    <s v="North Puget Sound"/>
    <s v="01North Puget Sound"/>
    <n v="446.20944558521597"/>
    <n v="3859.7117043121202"/>
    <n v="451.29096411586698"/>
    <n v="2175.0215792866047"/>
  </r>
  <r>
    <n v="2654"/>
    <x v="8"/>
    <s v="Freshwater"/>
    <x v="1"/>
    <x v="0"/>
    <n v="788"/>
    <s v="Nooksack River"/>
    <s v="Nooksack River"/>
    <s v="Whatcom"/>
    <x v="1"/>
    <s v="Snohomish"/>
    <s v="03Snohomish"/>
    <s v="North Puget Sound"/>
    <s v="01North Puget Sound"/>
    <n v="281.30595482546198"/>
    <n v="2433.2965092402501"/>
    <n v="284.63640293990511"/>
    <n v="1371.8207716781628"/>
  </r>
  <r>
    <n v="2650"/>
    <x v="8"/>
    <s v="Freshwater"/>
    <x v="1"/>
    <x v="0"/>
    <n v="788"/>
    <s v="Nooksack River"/>
    <s v="Nooksack River"/>
    <s v="Whatcom"/>
    <x v="1"/>
    <s v="Whatcom"/>
    <s v="01Whatcom"/>
    <s v="North Puget Sound"/>
    <s v="01North Puget Sound"/>
    <n v="3375.6714579055501"/>
    <n v="29199.558110883001"/>
    <n v="3360.1703415477764"/>
    <n v="16194.52544826234"/>
  </r>
  <r>
    <n v="2879"/>
    <x v="9"/>
    <s v="Freshwater"/>
    <x v="1"/>
    <x v="0"/>
    <n v="788"/>
    <s v="Nooksack River"/>
    <s v="Nooksack River"/>
    <s v="Whatcom"/>
    <x v="1"/>
    <s v="Island"/>
    <s v="04Island"/>
    <s v="North Puget Sound"/>
    <s v="01North Puget Sound"/>
    <n v="289.48953974895397"/>
    <n v="995.84401673640195"/>
    <n v="297.20408163265313"/>
    <n v="1051.8172637663536"/>
  </r>
  <r>
    <n v="2880"/>
    <x v="9"/>
    <s v="Freshwater"/>
    <x v="1"/>
    <x v="0"/>
    <n v="788"/>
    <s v="Nooksack River"/>
    <s v="Nooksack River"/>
    <s v="Whatcom"/>
    <x v="1"/>
    <s v="King"/>
    <s v="06King"/>
    <s v="South Puget Sound"/>
    <s v="02South Puget Sound"/>
    <n v="41.355648535564903"/>
    <n v="142.26343096234299"/>
    <n v="42.325000000000003"/>
    <n v="149.78988661379074"/>
  </r>
  <r>
    <n v="2881"/>
    <x v="9"/>
    <s v="Freshwater"/>
    <x v="1"/>
    <x v="0"/>
    <n v="788"/>
    <s v="Nooksack River"/>
    <s v="Nooksack River"/>
    <s v="Whatcom"/>
    <x v="1"/>
    <s v="Other"/>
    <s v="20Other"/>
    <s v="Non Puget Sound"/>
    <s v="07Non Puget Sound"/>
    <n v="72.372384937238493"/>
    <n v="248.96100418410001"/>
    <n v="73.900000000000006"/>
    <n v="261.53508849992051"/>
  </r>
  <r>
    <n v="2877"/>
    <x v="9"/>
    <s v="Freshwater"/>
    <x v="1"/>
    <x v="0"/>
    <n v="788"/>
    <s v="Nooksack River"/>
    <s v="Nooksack River"/>
    <s v="Whatcom"/>
    <x v="1"/>
    <s v="Skagit"/>
    <s v="02Skagit"/>
    <s v="North Puget Sound"/>
    <s v="01North Puget Sound"/>
    <n v="392.87866108786602"/>
    <n v="1351.50259414226"/>
    <n v="340.15306122448982"/>
    <n v="1203.8154393892532"/>
  </r>
  <r>
    <n v="2878"/>
    <x v="9"/>
    <s v="Freshwater"/>
    <x v="1"/>
    <x v="0"/>
    <n v="788"/>
    <s v="Nooksack River"/>
    <s v="Nooksack River"/>
    <s v="Whatcom"/>
    <x v="1"/>
    <s v="Snohomish"/>
    <s v="03Snohomish"/>
    <s v="North Puget Sound"/>
    <s v="01North Puget Sound"/>
    <n v="175.76150627615101"/>
    <n v="604.61958158995901"/>
    <n v="180.625"/>
    <n v="639.23917943569882"/>
  </r>
  <r>
    <n v="2876"/>
    <x v="9"/>
    <s v="Freshwater"/>
    <x v="1"/>
    <x v="0"/>
    <n v="788"/>
    <s v="Nooksack River"/>
    <s v="Nooksack River"/>
    <s v="Whatcom"/>
    <x v="1"/>
    <s v="Whatcom"/>
    <s v="01Whatcom"/>
    <s v="North Puget Sound"/>
    <s v="01North Puget Sound"/>
    <n v="1499.14225941423"/>
    <n v="5157.0493723849504"/>
    <n v="1536.792857142857"/>
    <n v="5438.7720689973312"/>
  </r>
  <r>
    <n v="3105"/>
    <x v="10"/>
    <s v="Freshwater"/>
    <x v="1"/>
    <x v="0"/>
    <n v="788"/>
    <s v="Nooksack River, Middle Fork"/>
    <s v="Nooksack River"/>
    <s v="Whatcom"/>
    <x v="1"/>
    <s v="Whatcom"/>
    <s v="01Whatcom"/>
    <s v="North Puget Sound"/>
    <s v="01North Puget Sound"/>
    <n v="0"/>
    <n v="0"/>
    <n v="0"/>
    <n v="0"/>
  </r>
  <r>
    <n v="3127"/>
    <x v="11"/>
    <s v="Freshwater"/>
    <x v="1"/>
    <x v="0"/>
    <n v="788"/>
    <s v="Nooksack River, Middle Fork"/>
    <s v="Nooksack River"/>
    <s v="Whatcom"/>
    <x v="1"/>
    <s v="Whatcom"/>
    <s v="01Whatcom"/>
    <s v="North Puget Sound"/>
    <s v="01North Puget Sound"/>
    <n v="14"/>
    <n v="48.16"/>
    <n v="14"/>
    <n v="49.546566156953816"/>
  </r>
  <r>
    <n v="3107"/>
    <x v="10"/>
    <s v="Freshwater"/>
    <x v="1"/>
    <x v="0"/>
    <n v="790"/>
    <s v="Nooksack River, North Fork"/>
    <s v="Nooksack River, No. Fork"/>
    <s v="Whatcom"/>
    <x v="1"/>
    <s v="Skagit"/>
    <s v="02Skagit"/>
    <s v="North Puget Sound"/>
    <s v="01North Puget Sound"/>
    <n v="47.382352941176499"/>
    <n v="409.857352941177"/>
    <n v="36.809523809523796"/>
    <n v="177.40552099426233"/>
  </r>
  <r>
    <n v="3115"/>
    <x v="10"/>
    <s v="Freshwater"/>
    <x v="1"/>
    <x v="0"/>
    <n v="790"/>
    <s v="Nooksack River, North Fork"/>
    <s v="Nooksack River, No. Fork"/>
    <s v="Whatcom"/>
    <x v="1"/>
    <s v="Snohomish"/>
    <s v="03Snohomish"/>
    <s v="North Puget Sound"/>
    <s v="01North Puget Sound"/>
    <n v="78.970588235294102"/>
    <n v="683.09558823529403"/>
    <n v="131.19047619047632"/>
    <n v="632.27970289675727"/>
  </r>
  <r>
    <n v="3106"/>
    <x v="10"/>
    <s v="Freshwater"/>
    <x v="1"/>
    <x v="0"/>
    <n v="790"/>
    <s v="Nooksack River, North Fork"/>
    <s v="Nooksack River, No. Fork"/>
    <s v="Whatcom"/>
    <x v="1"/>
    <s v="Whatcom"/>
    <s v="01Whatcom"/>
    <s v="North Puget Sound"/>
    <s v="01North Puget Sound"/>
    <n v="410.64705882353002"/>
    <n v="3552.09705882354"/>
    <n v="369.00000000000023"/>
    <n v="1778.4157596177749"/>
  </r>
  <r>
    <n v="3129"/>
    <x v="11"/>
    <s v="Freshwater"/>
    <x v="1"/>
    <x v="0"/>
    <n v="790"/>
    <s v="Nooksack River, North Fork"/>
    <s v="Nooksack River, No. Fork"/>
    <s v="Whatcom"/>
    <x v="1"/>
    <s v="Island"/>
    <s v="04Island"/>
    <s v="North Puget Sound"/>
    <s v="01North Puget Sound"/>
    <n v="14.85"/>
    <n v="51.084000000000003"/>
    <n v="17.2222222222222"/>
    <n v="60.950140907363739"/>
  </r>
  <r>
    <n v="3130"/>
    <x v="11"/>
    <s v="Freshwater"/>
    <x v="1"/>
    <x v="0"/>
    <n v="790"/>
    <s v="Nooksack River, North Fork"/>
    <s v="Nooksack River, No. Fork"/>
    <s v="Whatcom"/>
    <x v="1"/>
    <s v="King"/>
    <s v="06King"/>
    <s v="South Puget Sound"/>
    <s v="02South Puget Sound"/>
    <n v="14.85"/>
    <n v="51.084000000000003"/>
    <n v="27"/>
    <n v="95.55409187412522"/>
  </r>
  <r>
    <n v="3128"/>
    <x v="11"/>
    <s v="Freshwater"/>
    <x v="1"/>
    <x v="0"/>
    <n v="790"/>
    <s v="Nooksack River, North Fork"/>
    <s v="Nooksack River, No. Fork"/>
    <s v="Whatcom"/>
    <x v="1"/>
    <s v="Whatcom"/>
    <s v="01Whatcom"/>
    <s v="North Puget Sound"/>
    <s v="01North Puget Sound"/>
    <n v="267.3"/>
    <n v="919.51199999999994"/>
    <n v="236.777777777778"/>
    <n v="837.96613079737051"/>
  </r>
  <r>
    <n v="3125"/>
    <x v="10"/>
    <s v="Freshwater"/>
    <x v="1"/>
    <x v="0"/>
    <n v="792"/>
    <s v="Nooksack River, South Fork"/>
    <s v="Nooksack River, So. Fork"/>
    <s v="Whatcom"/>
    <x v="1"/>
    <s v="Island"/>
    <s v="04Island"/>
    <s v="North Puget Sound"/>
    <s v="01North Puget Sound"/>
    <n v="36.538461538461497"/>
    <n v="316.05769230769198"/>
    <n v="36.5675675675676"/>
    <n v="176.23939960176153"/>
  </r>
  <r>
    <n v="3126"/>
    <x v="10"/>
    <s v="Freshwater"/>
    <x v="1"/>
    <x v="0"/>
    <n v="792"/>
    <s v="Nooksack River, South Fork"/>
    <s v="Nooksack River, So. Fork"/>
    <s v="Whatcom"/>
    <x v="1"/>
    <s v="King"/>
    <s v="06King"/>
    <s v="South Puget Sound"/>
    <s v="02South Puget Sound"/>
    <n v="36.538461538461497"/>
    <n v="316.05769230769198"/>
    <n v="36.5675675675676"/>
    <n v="176.23939960176153"/>
  </r>
  <r>
    <n v="3117"/>
    <x v="10"/>
    <s v="Freshwater"/>
    <x v="1"/>
    <x v="0"/>
    <n v="792"/>
    <s v="Nooksack River, South Fork"/>
    <s v="Nooksack River, So. Fork"/>
    <s v="Whatcom"/>
    <x v="1"/>
    <s v="Skagit"/>
    <s v="02Skagit"/>
    <s v="North Puget Sound"/>
    <s v="01North Puget Sound"/>
    <n v="36.538461538461497"/>
    <n v="316.05769230769198"/>
    <n v="36.5675675675676"/>
    <n v="176.23939960176153"/>
  </r>
  <r>
    <n v="3124"/>
    <x v="10"/>
    <s v="Freshwater"/>
    <x v="1"/>
    <x v="0"/>
    <n v="792"/>
    <s v="Nooksack River, South Fork"/>
    <s v="Nooksack River, So. Fork"/>
    <s v="Whatcom"/>
    <x v="1"/>
    <s v="Snohomish"/>
    <s v="03Snohomish"/>
    <s v="North Puget Sound"/>
    <s v="01North Puget Sound"/>
    <n v="73.076923076923094"/>
    <n v="632.11538461538498"/>
    <n v="72.756756756756801"/>
    <n v="350.65518383439905"/>
  </r>
  <r>
    <n v="3116"/>
    <x v="10"/>
    <s v="Freshwater"/>
    <x v="1"/>
    <x v="0"/>
    <n v="792"/>
    <s v="Nooksack River, South Fork"/>
    <s v="Nooksack River, So. Fork"/>
    <s v="Whatcom"/>
    <x v="1"/>
    <s v="Whatcom"/>
    <s v="01Whatcom"/>
    <s v="North Puget Sound"/>
    <s v="01North Puget Sound"/>
    <n v="292.30769230769198"/>
    <n v="2528.4615384615399"/>
    <n v="292.54054054054097"/>
    <n v="1409.9151968140932"/>
  </r>
  <r>
    <n v="3133"/>
    <x v="11"/>
    <s v="Freshwater"/>
    <x v="1"/>
    <x v="0"/>
    <n v="792"/>
    <s v="Nooksack River, South Fork"/>
    <s v="Nooksack River, So. Fork"/>
    <s v="Whatcom"/>
    <x v="1"/>
    <s v="Island"/>
    <s v="04Island"/>
    <s v="North Puget Sound"/>
    <s v="01North Puget Sound"/>
    <n v="81.75"/>
    <n v="281.22000000000003"/>
    <n v="81.75"/>
    <n v="289.31655595221247"/>
  </r>
  <r>
    <n v="3134"/>
    <x v="11"/>
    <s v="Freshwater"/>
    <x v="1"/>
    <x v="0"/>
    <n v="792"/>
    <s v="Nooksack River, South Fork"/>
    <s v="Nooksack River, So. Fork"/>
    <s v="Whatcom"/>
    <x v="1"/>
    <s v="King"/>
    <s v="06King"/>
    <s v="South Puget Sound"/>
    <s v="02South Puget Sound"/>
    <n v="81.75"/>
    <n v="281.22000000000003"/>
    <n v="81.75"/>
    <n v="289.31655595221247"/>
  </r>
  <r>
    <n v="3132"/>
    <x v="11"/>
    <s v="Freshwater"/>
    <x v="1"/>
    <x v="0"/>
    <n v="792"/>
    <s v="Nooksack River, South Fork"/>
    <s v="Nooksack River, So. Fork"/>
    <s v="Whatcom"/>
    <x v="1"/>
    <s v="Skagit"/>
    <s v="02Skagit"/>
    <s v="North Puget Sound"/>
    <s v="01North Puget Sound"/>
    <n v="177.125"/>
    <n v="609.30999999999995"/>
    <n v="177.125"/>
    <n v="626.85253789646026"/>
  </r>
  <r>
    <n v="3131"/>
    <x v="11"/>
    <s v="Freshwater"/>
    <x v="1"/>
    <x v="0"/>
    <n v="792"/>
    <s v="Nooksack River, South Fork"/>
    <s v="Nooksack River, So. Fork"/>
    <s v="Whatcom"/>
    <x v="1"/>
    <s v="Whatcom"/>
    <s v="01Whatcom"/>
    <s v="North Puget Sound"/>
    <s v="01North Puget Sound"/>
    <n v="422.375"/>
    <n v="1452.97"/>
    <n v="422.375"/>
    <n v="1494.8022057530977"/>
  </r>
  <r>
    <n v="2894"/>
    <x v="10"/>
    <s v="Freshwater"/>
    <x v="1"/>
    <x v="0"/>
    <n v="794"/>
    <s v="Nooksack River, below North Fork"/>
    <s v="Nooksack River, below North Fork"/>
    <s v="Whatcom"/>
    <x v="1"/>
    <s v="Whatcom"/>
    <s v="01Whatcom"/>
    <s v="North Puget Sound"/>
    <s v="01North Puget Sound"/>
    <n v="670"/>
    <n v="5795.5"/>
    <n v="670"/>
    <n v="3229.1017857558495"/>
  </r>
  <r>
    <n v="2975"/>
    <x v="11"/>
    <s v="Freshwater"/>
    <x v="1"/>
    <x v="0"/>
    <n v="794"/>
    <s v="Nooksack River, below North Fork"/>
    <s v="Nooksack River, below North Fork"/>
    <s v="Whatcom"/>
    <x v="1"/>
    <s v="Other"/>
    <s v="20Other"/>
    <s v="Non Puget Sound"/>
    <s v="07Non Puget Sound"/>
    <n v="13.6272727272727"/>
    <n v="46.8778181818181"/>
    <n v="13.838983050847499"/>
    <n v="48.976720662412724"/>
  </r>
  <r>
    <n v="2974"/>
    <x v="11"/>
    <s v="Freshwater"/>
    <x v="1"/>
    <x v="0"/>
    <n v="794"/>
    <s v="Nooksack River, below North Fork"/>
    <s v="Nooksack River, below North Fork"/>
    <s v="Whatcom"/>
    <x v="1"/>
    <s v="Pierce"/>
    <s v="07Pierce"/>
    <s v="South Puget Sound"/>
    <s v="02South Puget Sound"/>
    <n v="13.6272727272727"/>
    <n v="46.8778181818181"/>
    <n v="13.838983050847499"/>
    <n v="48.976720662412724"/>
  </r>
  <r>
    <n v="2973"/>
    <x v="11"/>
    <s v="Freshwater"/>
    <x v="1"/>
    <x v="0"/>
    <n v="794"/>
    <s v="Nooksack River, below North Fork"/>
    <s v="Nooksack River, below North Fork"/>
    <s v="Whatcom"/>
    <x v="1"/>
    <s v="Skagit"/>
    <s v="02Skagit"/>
    <s v="North Puget Sound"/>
    <s v="01North Puget Sound"/>
    <n v="68.136363636363697"/>
    <n v="234.38909090909101"/>
    <n v="69.194915254237301"/>
    <n v="244.88360331206295"/>
  </r>
  <r>
    <n v="2972"/>
    <x v="11"/>
    <s v="Freshwater"/>
    <x v="1"/>
    <x v="0"/>
    <n v="794"/>
    <s v="Nooksack River, below North Fork"/>
    <s v="Nooksack River, below North Fork"/>
    <s v="Whatcom"/>
    <x v="1"/>
    <s v="Whatcom"/>
    <s v="01Whatcom"/>
    <s v="North Puget Sound"/>
    <s v="01North Puget Sound"/>
    <n v="2902.6090909090899"/>
    <n v="9984.9752727272698"/>
    <n v="2901.1271186440699"/>
    <n v="10267.206193830802"/>
  </r>
  <r>
    <n v="971"/>
    <x v="0"/>
    <s v="Freshwater"/>
    <x v="1"/>
    <x v="0"/>
    <n v="802"/>
    <s v="Carbon River"/>
    <s v="Carbon River"/>
    <s v="Pierce"/>
    <x v="3"/>
    <s v="King"/>
    <s v="06King"/>
    <s v="South Puget Sound"/>
    <s v="02South Puget Sound"/>
    <n v="27.521739130434799"/>
    <n v="238.06304347826099"/>
    <n v="36.2068965517241"/>
    <n v="174.50112583858149"/>
  </r>
  <r>
    <n v="973"/>
    <x v="0"/>
    <s v="Freshwater"/>
    <x v="1"/>
    <x v="0"/>
    <n v="802"/>
    <s v="Carbon River"/>
    <s v="Carbon River"/>
    <s v="Pierce"/>
    <x v="3"/>
    <s v="Other"/>
    <s v="20Other"/>
    <s v="Non Puget Sound"/>
    <s v="07Non Puget Sound"/>
    <n v="4.5869565217391299"/>
    <n v="39.677173913043497"/>
    <n v="6.0344827586206904"/>
    <n v="29.083520973096952"/>
  </r>
  <r>
    <n v="972"/>
    <x v="0"/>
    <s v="Freshwater"/>
    <x v="1"/>
    <x v="0"/>
    <n v="802"/>
    <s v="Carbon River"/>
    <s v="Carbon River"/>
    <s v="Pierce"/>
    <x v="3"/>
    <s v="Pierce"/>
    <s v="07Pierce"/>
    <s v="South Puget Sound"/>
    <s v="02South Puget Sound"/>
    <n v="174.304347826087"/>
    <n v="1507.73260869565"/>
    <n v="162.758620689655"/>
    <n v="784.4241085315283"/>
  </r>
  <r>
    <n v="970"/>
    <x v="0"/>
    <s v="Freshwater"/>
    <x v="1"/>
    <x v="0"/>
    <n v="802"/>
    <s v="Carbon River"/>
    <s v="Carbon River"/>
    <s v="Pierce"/>
    <x v="3"/>
    <s v="Skagit"/>
    <s v="02Skagit"/>
    <s v="North Puget Sound"/>
    <s v="01North Puget Sound"/>
    <n v="4.5869565217391299"/>
    <n v="39.677173913043497"/>
    <n v="6"/>
    <n v="28.917329424679252"/>
  </r>
  <r>
    <n v="1067"/>
    <x v="1"/>
    <s v="Freshwater"/>
    <x v="1"/>
    <x v="0"/>
    <n v="802"/>
    <s v="Carbon River"/>
    <s v="Carbon River"/>
    <s v="Pierce"/>
    <x v="3"/>
    <s v="King"/>
    <s v="06King"/>
    <s v="South Puget Sound"/>
    <s v="02South Puget Sound"/>
    <n v="612.33211233211205"/>
    <n v="2106.4224664224698"/>
    <n v="616.44067672046401"/>
    <n v="2181.6084836405607"/>
  </r>
  <r>
    <n v="1071"/>
    <x v="1"/>
    <s v="Freshwater"/>
    <x v="1"/>
    <x v="0"/>
    <n v="802"/>
    <s v="Carbon River"/>
    <s v="Carbon River"/>
    <s v="Pierce"/>
    <x v="3"/>
    <s v="Kitsap"/>
    <s v="10Kitsap"/>
    <s v="South Puget Sound"/>
    <s v="02South Puget Sound"/>
    <n v="93.650793650793702"/>
    <n v="322.15873015873001"/>
    <n v="97.74627392186261"/>
    <n v="345.9280162475211"/>
  </r>
  <r>
    <n v="1070"/>
    <x v="1"/>
    <s v="Freshwater"/>
    <x v="1"/>
    <x v="0"/>
    <n v="802"/>
    <s v="Carbon River"/>
    <s v="Carbon River"/>
    <s v="Pierce"/>
    <x v="3"/>
    <s v="Mason"/>
    <s v="09Mason"/>
    <s v="South Puget Sound"/>
    <s v="02South Puget Sound"/>
    <n v="7.2039072039072103"/>
    <n v="24.7814407814408"/>
    <n v="7.5354969574036499"/>
    <n v="26.668428466108868"/>
  </r>
  <r>
    <n v="1072"/>
    <x v="1"/>
    <s v="Freshwater"/>
    <x v="1"/>
    <x v="0"/>
    <n v="802"/>
    <s v="Carbon River"/>
    <s v="Carbon River"/>
    <s v="Pierce"/>
    <x v="3"/>
    <s v="Other"/>
    <s v="20Other"/>
    <s v="Non Puget Sound"/>
    <s v="07Non Puget Sound"/>
    <n v="266.54456654456698"/>
    <n v="916.91330891330995"/>
    <n v="278.81338742393501"/>
    <n v="986.73185324602787"/>
  </r>
  <r>
    <n v="1068"/>
    <x v="1"/>
    <s v="Freshwater"/>
    <x v="1"/>
    <x v="0"/>
    <n v="802"/>
    <s v="Carbon River"/>
    <s v="Carbon River"/>
    <s v="Pierce"/>
    <x v="3"/>
    <s v="Pierce"/>
    <s v="07Pierce"/>
    <s v="South Puget Sound"/>
    <s v="02South Puget Sound"/>
    <n v="4783.3943833943804"/>
    <n v="16454.876678876699"/>
    <n v="4771.4317106152803"/>
    <n v="16886.289779527662"/>
  </r>
  <r>
    <n v="981"/>
    <x v="1"/>
    <s v="Freshwater"/>
    <x v="1"/>
    <x v="0"/>
    <n v="802"/>
    <s v="Carbon River"/>
    <s v="Carbon River"/>
    <s v="Pierce"/>
    <x v="3"/>
    <s v="Skagit"/>
    <s v="02Skagit"/>
    <s v="North Puget Sound"/>
    <s v="01North Puget Sound"/>
    <n v="14.407814407814399"/>
    <n v="49.5628815628815"/>
    <n v="0"/>
    <n v="0"/>
  </r>
  <r>
    <n v="1066"/>
    <x v="1"/>
    <s v="Freshwater"/>
    <x v="1"/>
    <x v="0"/>
    <n v="802"/>
    <s v="Carbon River"/>
    <s v="Carbon River"/>
    <s v="Pierce"/>
    <x v="3"/>
    <s v="Snohomish"/>
    <s v="03Snohomish"/>
    <s v="North Puget Sound"/>
    <s v="01North Puget Sound"/>
    <n v="43.223443223443198"/>
    <n v="148.68864468864501"/>
    <n v="45.1419878296146"/>
    <n v="159.75932046117168"/>
  </r>
  <r>
    <n v="1069"/>
    <x v="1"/>
    <s v="Freshwater"/>
    <x v="1"/>
    <x v="0"/>
    <n v="802"/>
    <s v="Carbon River"/>
    <s v="Carbon River"/>
    <s v="Pierce"/>
    <x v="3"/>
    <s v="Thurston"/>
    <s v="08Thurston"/>
    <s v="South Puget Sound"/>
    <s v="02South Puget Sound"/>
    <n v="36.019536019535998"/>
    <n v="123.90720390720401"/>
    <n v="37.677484787018301"/>
    <n v="133.3421423305445"/>
  </r>
  <r>
    <n v="980"/>
    <x v="1"/>
    <s v="Freshwater"/>
    <x v="1"/>
    <x v="0"/>
    <n v="802"/>
    <s v="Carbon River"/>
    <s v="Carbon River"/>
    <s v="Pierce"/>
    <x v="3"/>
    <s v="Whatcom"/>
    <s v="01Whatcom"/>
    <s v="North Puget Sound"/>
    <s v="01North Puget Sound"/>
    <n v="43.223443223443198"/>
    <n v="148.68864468864501"/>
    <n v="45.212981744421903"/>
    <n v="160.01057079665321"/>
  </r>
  <r>
    <n v="1151"/>
    <x v="2"/>
    <s v="Freshwater"/>
    <x v="1"/>
    <x v="0"/>
    <n v="802"/>
    <s v="Carbon River"/>
    <s v="Carbon River"/>
    <s v="Pierce"/>
    <x v="3"/>
    <s v="King"/>
    <s v="06King"/>
    <s v="South Puget Sound"/>
    <s v="02South Puget Sound"/>
    <n v="56.425531914893597"/>
    <n v="488.08085106382998"/>
    <n v="56.381635581061701"/>
    <n v="271.73438826662971"/>
  </r>
  <r>
    <n v="1153"/>
    <x v="2"/>
    <s v="Freshwater"/>
    <x v="1"/>
    <x v="0"/>
    <n v="802"/>
    <s v="Carbon River"/>
    <s v="Carbon River"/>
    <s v="Pierce"/>
    <x v="3"/>
    <s v="Other"/>
    <s v="20Other"/>
    <s v="Non Puget Sound"/>
    <s v="07Non Puget Sound"/>
    <n v="28.212765957446798"/>
    <n v="244.04042553191499"/>
    <n v="28.195121951219502"/>
    <n v="135.88793827206993"/>
  </r>
  <r>
    <n v="1152"/>
    <x v="2"/>
    <s v="Freshwater"/>
    <x v="1"/>
    <x v="0"/>
    <n v="802"/>
    <s v="Carbon River"/>
    <s v="Carbon River"/>
    <s v="Pierce"/>
    <x v="3"/>
    <s v="Pierce"/>
    <s v="07Pierce"/>
    <s v="South Puget Sound"/>
    <s v="02South Puget Sound"/>
    <n v="578.36170212766001"/>
    <n v="5002.82872340426"/>
    <n v="578.42324246771898"/>
    <n v="2787.7425748883584"/>
  </r>
  <r>
    <n v="1166"/>
    <x v="3"/>
    <s v="Freshwater"/>
    <x v="1"/>
    <x v="0"/>
    <n v="802"/>
    <s v="Carbon River"/>
    <s v="Carbon River"/>
    <s v="Pierce"/>
    <x v="3"/>
    <s v="Island"/>
    <s v="04Island"/>
    <s v="North Puget Sound"/>
    <s v="01North Puget Sound"/>
    <n v="18.0715421303657"/>
    <n v="62.166104928457997"/>
    <n v="18.283822138126801"/>
    <n v="64.707185940619738"/>
  </r>
  <r>
    <n v="1167"/>
    <x v="3"/>
    <s v="Freshwater"/>
    <x v="1"/>
    <x v="0"/>
    <n v="802"/>
    <s v="Carbon River"/>
    <s v="Carbon River"/>
    <s v="Pierce"/>
    <x v="3"/>
    <s v="King"/>
    <s v="06King"/>
    <s v="South Puget Sound"/>
    <s v="02South Puget Sound"/>
    <n v="813.21939586645499"/>
    <n v="2797.4747217806098"/>
    <n v="822.03551415471941"/>
    <n v="2909.216927530882"/>
  </r>
  <r>
    <n v="1170"/>
    <x v="3"/>
    <s v="Freshwater"/>
    <x v="1"/>
    <x v="0"/>
    <n v="802"/>
    <s v="Carbon River"/>
    <s v="Carbon River"/>
    <s v="Pierce"/>
    <x v="3"/>
    <s v="Kitsap"/>
    <s v="10Kitsap"/>
    <s v="South Puget Sound"/>
    <s v="02South Puget Sound"/>
    <n v="171.67965023847401"/>
    <n v="590.57799682035102"/>
    <n v="173.43635834364329"/>
    <n v="613.79828590674788"/>
  </r>
  <r>
    <n v="1171"/>
    <x v="3"/>
    <s v="Freshwater"/>
    <x v="1"/>
    <x v="0"/>
    <n v="802"/>
    <s v="Carbon River"/>
    <s v="Carbon River"/>
    <s v="Pierce"/>
    <x v="3"/>
    <s v="Other"/>
    <s v="20Other"/>
    <s v="Non Puget Sound"/>
    <s v="07Non Puget Sound"/>
    <n v="578.28934817170102"/>
    <n v="1989.31535771065"/>
    <n v="584.71164155932354"/>
    <n v="2069.3181450900065"/>
  </r>
  <r>
    <n v="1168"/>
    <x v="3"/>
    <s v="Freshwater"/>
    <x v="1"/>
    <x v="0"/>
    <n v="802"/>
    <s v="Carbon River"/>
    <s v="Carbon River"/>
    <s v="Pierce"/>
    <x v="3"/>
    <s v="Pierce"/>
    <s v="07Pierce"/>
    <s v="South Puget Sound"/>
    <s v="02South Puget Sound"/>
    <n v="9342.9872813990496"/>
    <n v="32139.876248012701"/>
    <n v="9320.6476117701313"/>
    <n v="32986.148823015887"/>
  </r>
  <r>
    <n v="1165"/>
    <x v="3"/>
    <s v="Freshwater"/>
    <x v="1"/>
    <x v="0"/>
    <n v="802"/>
    <s v="Carbon River"/>
    <s v="Carbon River"/>
    <s v="Pierce"/>
    <x v="3"/>
    <s v="Snohomish"/>
    <s v="03Snohomish"/>
    <s v="North Puget Sound"/>
    <s v="01North Puget Sound"/>
    <n v="234.93004769475399"/>
    <n v="808.15936406995399"/>
    <n v="237.6210974456009"/>
    <n v="840.95067320545957"/>
  </r>
  <r>
    <n v="1169"/>
    <x v="3"/>
    <s v="Freshwater"/>
    <x v="1"/>
    <x v="0"/>
    <n v="802"/>
    <s v="Carbon River"/>
    <s v="Carbon River"/>
    <s v="Pierce"/>
    <x v="3"/>
    <s v="Thurston"/>
    <s v="08Thurston"/>
    <s v="South Puget Sound"/>
    <s v="02South Puget Sound"/>
    <n v="162.643879173291"/>
    <n v="559.49494435612098"/>
    <n v="164.55439924314101"/>
    <n v="582.36467346557686"/>
  </r>
  <r>
    <n v="1164"/>
    <x v="3"/>
    <s v="Freshwater"/>
    <x v="1"/>
    <x v="0"/>
    <n v="802"/>
    <s v="Carbon River"/>
    <s v="Carbon River"/>
    <s v="Pierce"/>
    <x v="3"/>
    <s v="Whatcom"/>
    <s v="01Whatcom"/>
    <s v="North Puget Sound"/>
    <s v="01North Puget Sound"/>
    <n v="45.178855325914199"/>
    <n v="155.41526232114501"/>
    <n v="45.7095553453169"/>
    <n v="161.76796485154898"/>
  </r>
  <r>
    <n v="36"/>
    <x v="4"/>
    <s v="Freshwater"/>
    <x v="1"/>
    <x v="0"/>
    <n v="802"/>
    <s v="Carbon River"/>
    <s v="Carbon River"/>
    <s v="Pierce"/>
    <x v="3"/>
    <s v="King"/>
    <s v="06King"/>
    <s v="South Puget Sound"/>
    <s v="02South Puget Sound"/>
    <n v="276.58914728682203"/>
    <n v="2392.4961240310099"/>
    <n v="278.506024096386"/>
    <n v="1342.2750742588084"/>
  </r>
  <r>
    <n v="132"/>
    <x v="4"/>
    <s v="Freshwater"/>
    <x v="1"/>
    <x v="0"/>
    <n v="802"/>
    <s v="Carbon River"/>
    <s v="Carbon River"/>
    <s v="Pierce"/>
    <x v="3"/>
    <s v="Kitsap"/>
    <s v="10Kitsap"/>
    <s v="South Puget Sound"/>
    <s v="02South Puget Sound"/>
    <n v="13.829457364341099"/>
    <n v="119.624806201551"/>
    <n v="13.903614457831299"/>
    <n v="67.009233245140152"/>
  </r>
  <r>
    <n v="133"/>
    <x v="4"/>
    <s v="Freshwater"/>
    <x v="1"/>
    <x v="0"/>
    <n v="802"/>
    <s v="Carbon River"/>
    <s v="Carbon River"/>
    <s v="Pierce"/>
    <x v="3"/>
    <s v="Other"/>
    <s v="20Other"/>
    <s v="Non Puget Sound"/>
    <s v="07Non Puget Sound"/>
    <n v="13.829457364341099"/>
    <n v="119.624806201551"/>
    <n v="13.903614457831299"/>
    <n v="67.009233245140152"/>
  </r>
  <r>
    <n v="37"/>
    <x v="4"/>
    <s v="Freshwater"/>
    <x v="1"/>
    <x v="0"/>
    <n v="802"/>
    <s v="Carbon River"/>
    <s v="Carbon River"/>
    <s v="Pierce"/>
    <x v="3"/>
    <s v="Pierce"/>
    <s v="07Pierce"/>
    <s v="South Puget Sound"/>
    <s v="02South Puget Sound"/>
    <n v="532.43410852713203"/>
    <n v="4605.5550387596904"/>
    <n v="529.83132530120497"/>
    <n v="2553.5511622082231"/>
  </r>
  <r>
    <n v="35"/>
    <x v="4"/>
    <s v="Freshwater"/>
    <x v="1"/>
    <x v="0"/>
    <n v="802"/>
    <s v="Carbon River"/>
    <s v="Carbon River"/>
    <s v="Pierce"/>
    <x v="3"/>
    <s v="Snohomish"/>
    <s v="03Snohomish"/>
    <s v="North Puget Sound"/>
    <s v="01North Puget Sound"/>
    <n v="48.403100775193799"/>
    <n v="418.68682170542598"/>
    <n v="48.855421686747"/>
    <n v="235.46138718288032"/>
  </r>
  <r>
    <n v="131"/>
    <x v="4"/>
    <s v="Freshwater"/>
    <x v="1"/>
    <x v="0"/>
    <n v="802"/>
    <s v="Carbon River"/>
    <s v="Carbon River"/>
    <s v="Pierce"/>
    <x v="3"/>
    <s v="Thurston"/>
    <s v="08Thurston"/>
    <s v="South Puget Sound"/>
    <s v="02South Puget Sound"/>
    <n v="6.9147286821705398"/>
    <n v="59.8124031007752"/>
    <n v="7"/>
    <n v="33.736884328792456"/>
  </r>
  <r>
    <n v="143"/>
    <x v="5"/>
    <s v="Freshwater"/>
    <x v="1"/>
    <x v="0"/>
    <n v="802"/>
    <s v="Carbon River"/>
    <s v="Carbon River"/>
    <s v="Pierce"/>
    <x v="3"/>
    <s v="King"/>
    <s v="06King"/>
    <s v="South Puget Sound"/>
    <s v="02South Puget Sound"/>
    <n v="1709.9534883720901"/>
    <n v="5882.2399999999898"/>
    <n v="1709.8694048268551"/>
    <n v="6051.2969704289299"/>
  </r>
  <r>
    <n v="242"/>
    <x v="5"/>
    <s v="Freshwater"/>
    <x v="1"/>
    <x v="0"/>
    <n v="802"/>
    <s v="Carbon River"/>
    <s v="Carbon River"/>
    <s v="Pierce"/>
    <x v="3"/>
    <s v="Kitsap"/>
    <s v="10Kitsap"/>
    <s v="South Puget Sound"/>
    <s v="02South Puget Sound"/>
    <n v="62.342054263565899"/>
    <n v="214.45666666666699"/>
    <n v="62.339217520068608"/>
    <n v="220.62101178791525"/>
  </r>
  <r>
    <n v="241"/>
    <x v="5"/>
    <s v="Freshwater"/>
    <x v="1"/>
    <x v="0"/>
    <n v="802"/>
    <s v="Carbon River"/>
    <s v="Carbon River"/>
    <s v="Pierce"/>
    <x v="3"/>
    <s v="Mason"/>
    <s v="09Mason"/>
    <s v="South Puget Sound"/>
    <s v="02South Puget Sound"/>
    <n v="133.59011627907"/>
    <n v="459.55000000000098"/>
    <n v="133.5873405554257"/>
    <n v="472.77100046863706"/>
  </r>
  <r>
    <n v="243"/>
    <x v="5"/>
    <s v="Freshwater"/>
    <x v="1"/>
    <x v="0"/>
    <n v="802"/>
    <s v="Carbon River"/>
    <s v="Carbon River"/>
    <s v="Pierce"/>
    <x v="3"/>
    <s v="Other"/>
    <s v="20Other"/>
    <s v="Non Puget Sound"/>
    <s v="07Non Puget Sound"/>
    <n v="418.582364341085"/>
    <n v="1439.92333333333"/>
    <n v="418.55902371859821"/>
    <n v="1481.2973113759663"/>
  </r>
  <r>
    <n v="239"/>
    <x v="5"/>
    <s v="Freshwater"/>
    <x v="1"/>
    <x v="0"/>
    <n v="802"/>
    <s v="Carbon River"/>
    <s v="Carbon River"/>
    <s v="Pierce"/>
    <x v="3"/>
    <s v="Pierce"/>
    <s v="07Pierce"/>
    <s v="South Puget Sound"/>
    <s v="02South Puget Sound"/>
    <n v="6750.7538759689896"/>
    <n v="23222.593333333301"/>
    <n v="6750.8743277998601"/>
    <n v="23891.617249972634"/>
  </r>
  <r>
    <n v="141"/>
    <x v="5"/>
    <s v="Freshwater"/>
    <x v="1"/>
    <x v="0"/>
    <n v="802"/>
    <s v="Carbon River"/>
    <s v="Carbon River"/>
    <s v="Pierce"/>
    <x v="3"/>
    <s v="Skagit"/>
    <s v="02Skagit"/>
    <s v="North Puget Sound"/>
    <s v="01North Puget Sound"/>
    <n v="8.9060077519379899"/>
    <n v="30.636666666666699"/>
    <n v="8.9054373522458601"/>
    <n v="31.516702923546937"/>
  </r>
  <r>
    <n v="142"/>
    <x v="5"/>
    <s v="Freshwater"/>
    <x v="1"/>
    <x v="0"/>
    <n v="802"/>
    <s v="Carbon River"/>
    <s v="Carbon River"/>
    <s v="Pierce"/>
    <x v="3"/>
    <s v="Snohomish"/>
    <s v="03Snohomish"/>
    <s v="North Puget Sound"/>
    <s v="01North Puget Sound"/>
    <n v="71.248062015503905"/>
    <n v="245.09333333333299"/>
    <n v="71.243498817966895"/>
    <n v="252.13362338837555"/>
  </r>
  <r>
    <n v="240"/>
    <x v="5"/>
    <s v="Freshwater"/>
    <x v="1"/>
    <x v="0"/>
    <n v="802"/>
    <s v="Carbon River"/>
    <s v="Carbon River"/>
    <s v="Pierce"/>
    <x v="3"/>
    <s v="Thurston"/>
    <s v="08Thurston"/>
    <s v="South Puget Sound"/>
    <s v="02South Puget Sound"/>
    <n v="35.624031007751903"/>
    <n v="122.54666666666699"/>
    <n v="35.621749408983497"/>
    <n v="126.06681169418795"/>
  </r>
  <r>
    <n v="350"/>
    <x v="6"/>
    <s v="Freshwater"/>
    <x v="1"/>
    <x v="0"/>
    <n v="802"/>
    <s v="Carbon River"/>
    <s v="Carbon River"/>
    <s v="Pierce"/>
    <x v="3"/>
    <s v="King"/>
    <s v="06King"/>
    <s v="South Puget Sound"/>
    <s v="02South Puget Sound"/>
    <n v="165.15384615384599"/>
    <n v="1428.5807692307701"/>
    <n v="161.79545454545499"/>
    <n v="779.78207641777328"/>
  </r>
  <r>
    <n v="351"/>
    <x v="6"/>
    <s v="Freshwater"/>
    <x v="1"/>
    <x v="0"/>
    <n v="802"/>
    <s v="Carbon River"/>
    <s v="Carbon River"/>
    <s v="Pierce"/>
    <x v="3"/>
    <s v="Pierce"/>
    <s v="07Pierce"/>
    <s v="South Puget Sound"/>
    <s v="02South Puget Sound"/>
    <n v="556.30769230769204"/>
    <n v="4812.0615384615403"/>
    <n v="566.28409090909099"/>
    <n v="2729.2372674621993"/>
  </r>
  <r>
    <n v="349"/>
    <x v="6"/>
    <s v="Freshwater"/>
    <x v="1"/>
    <x v="0"/>
    <n v="802"/>
    <s v="Carbon River"/>
    <s v="Carbon River"/>
    <s v="Pierce"/>
    <x v="3"/>
    <s v="Snohomish"/>
    <s v="03Snohomish"/>
    <s v="North Puget Sound"/>
    <s v="01North Puget Sound"/>
    <n v="8.6923076923077005"/>
    <n v="75.188461538461596"/>
    <n v="0"/>
    <n v="0"/>
  </r>
  <r>
    <n v="352"/>
    <x v="6"/>
    <s v="Freshwater"/>
    <x v="1"/>
    <x v="0"/>
    <n v="802"/>
    <s v="Carbon River"/>
    <s v="Carbon River"/>
    <s v="Pierce"/>
    <x v="3"/>
    <s v="Thurston"/>
    <s v="08Thurston"/>
    <s v="South Puget Sound"/>
    <s v="02South Puget Sound"/>
    <n v="60.846153846153904"/>
    <n v="526.31923076923101"/>
    <n v="62.920454545454596"/>
    <n v="303.24858527357793"/>
  </r>
  <r>
    <n v="355"/>
    <x v="7"/>
    <s v="Freshwater"/>
    <x v="1"/>
    <x v="0"/>
    <n v="802"/>
    <s v="Carbon River"/>
    <s v="Carbon River"/>
    <s v="Pierce"/>
    <x v="3"/>
    <s v="King"/>
    <s v="06King"/>
    <s v="South Puget Sound"/>
    <s v="02South Puget Sound"/>
    <n v="362.503267973856"/>
    <n v="1247.01124183006"/>
    <n v="376.00448143405936"/>
    <n v="1330.6950653345525"/>
  </r>
  <r>
    <n v="357"/>
    <x v="7"/>
    <s v="Freshwater"/>
    <x v="1"/>
    <x v="0"/>
    <n v="802"/>
    <s v="Carbon River"/>
    <s v="Carbon River"/>
    <s v="Pierce"/>
    <x v="3"/>
    <s v="Kitsap"/>
    <s v="10Kitsap"/>
    <s v="South Puget Sound"/>
    <s v="02South Puget Sound"/>
    <n v="58.7843137254902"/>
    <n v="202.21803921568599"/>
    <n v="64.647887323943706"/>
    <n v="228.79148758593377"/>
  </r>
  <r>
    <n v="356"/>
    <x v="7"/>
    <s v="Freshwater"/>
    <x v="1"/>
    <x v="0"/>
    <n v="802"/>
    <s v="Carbon River"/>
    <s v="Carbon River"/>
    <s v="Pierce"/>
    <x v="3"/>
    <s v="Pierce"/>
    <s v="07Pierce"/>
    <s v="South Puget Sound"/>
    <s v="02South Puget Sound"/>
    <n v="1077.7124183006499"/>
    <n v="3707.3307189542402"/>
    <n v="1058.347631241998"/>
    <n v="3745.5350663133581"/>
  </r>
  <r>
    <n v="469"/>
    <x v="8"/>
    <s v="Freshwater"/>
    <x v="1"/>
    <x v="0"/>
    <n v="802"/>
    <s v="Carbon River"/>
    <s v="Carbon River"/>
    <s v="Pierce"/>
    <x v="3"/>
    <s v="King"/>
    <s v="06King"/>
    <s v="South Puget Sound"/>
    <s v="02South Puget Sound"/>
    <n v="821.932075471698"/>
    <n v="7109.7124528301902"/>
    <n v="829.03654485049901"/>
    <n v="3995.5871454232924"/>
  </r>
  <r>
    <n v="470"/>
    <x v="8"/>
    <s v="Freshwater"/>
    <x v="1"/>
    <x v="0"/>
    <n v="802"/>
    <s v="Carbon River"/>
    <s v="Carbon River"/>
    <s v="Pierce"/>
    <x v="3"/>
    <s v="Pierce"/>
    <s v="07Pierce"/>
    <s v="South Puget Sound"/>
    <s v="02South Puget Sound"/>
    <n v="1731.92830188679"/>
    <n v="14981.179811320701"/>
    <n v="1724.358803986712"/>
    <n v="8310.6419302049453"/>
  </r>
  <r>
    <n v="468"/>
    <x v="8"/>
    <s v="Freshwater"/>
    <x v="1"/>
    <x v="0"/>
    <n v="802"/>
    <s v="Carbon River"/>
    <s v="Carbon River"/>
    <s v="Pierce"/>
    <x v="3"/>
    <s v="Snohomish"/>
    <s v="03Snohomish"/>
    <s v="North Puget Sound"/>
    <s v="01North Puget Sound"/>
    <n v="19.569811320754699"/>
    <n v="169.27886792452799"/>
    <n v="19.802325581395401"/>
    <n v="95.43839536866065"/>
  </r>
  <r>
    <n v="471"/>
    <x v="8"/>
    <s v="Freshwater"/>
    <x v="1"/>
    <x v="0"/>
    <n v="802"/>
    <s v="Carbon River"/>
    <s v="Carbon River"/>
    <s v="Pierce"/>
    <x v="3"/>
    <s v="Thurston"/>
    <s v="08Thurston"/>
    <s v="South Puget Sound"/>
    <s v="02South Puget Sound"/>
    <n v="19.569811320754699"/>
    <n v="169.27886792452799"/>
    <n v="19.802325581395401"/>
    <n v="95.43839536866065"/>
  </r>
  <r>
    <n v="579"/>
    <x v="9"/>
    <s v="Freshwater"/>
    <x v="1"/>
    <x v="0"/>
    <n v="802"/>
    <s v="Carbon River"/>
    <s v="Carbon River"/>
    <s v="Pierce"/>
    <x v="3"/>
    <s v="Clallam"/>
    <s v="11Clallam"/>
    <s v="Strait of Juan de Fuca"/>
    <s v="03Strait of Juan de Fuca"/>
    <n v="21.174603174603199"/>
    <n v="72.840634920634997"/>
    <n v="22.3150183150183"/>
    <n v="78.973752231335013"/>
  </r>
  <r>
    <n v="574"/>
    <x v="9"/>
    <s v="Freshwater"/>
    <x v="1"/>
    <x v="0"/>
    <n v="802"/>
    <s v="Carbon River"/>
    <s v="Carbon River"/>
    <s v="Pierce"/>
    <x v="3"/>
    <s v="King"/>
    <s v="06King"/>
    <s v="South Puget Sound"/>
    <s v="02South Puget Sound"/>
    <n v="719.93650793650795"/>
    <n v="2476.5815873015899"/>
    <n v="740.92336996336996"/>
    <n v="2622.1577690802342"/>
  </r>
  <r>
    <n v="578"/>
    <x v="9"/>
    <s v="Freshwater"/>
    <x v="1"/>
    <x v="0"/>
    <n v="802"/>
    <s v="Carbon River"/>
    <s v="Carbon River"/>
    <s v="Pierce"/>
    <x v="3"/>
    <s v="Kitsap"/>
    <s v="10Kitsap"/>
    <s v="South Puget Sound"/>
    <s v="02South Puget Sound"/>
    <n v="74.1111111111111"/>
    <n v="254.942222222222"/>
    <n v="78.102564102564102"/>
    <n v="276.40813280967274"/>
  </r>
  <r>
    <n v="577"/>
    <x v="9"/>
    <s v="Freshwater"/>
    <x v="1"/>
    <x v="0"/>
    <n v="802"/>
    <s v="Carbon River"/>
    <s v="Carbon River"/>
    <s v="Pierce"/>
    <x v="3"/>
    <s v="Mason"/>
    <s v="09Mason"/>
    <s v="South Puget Sound"/>
    <s v="02South Puget Sound"/>
    <n v="10.587301587301599"/>
    <n v="36.420317460317499"/>
    <n v="9.92"/>
    <n v="35.107281162641563"/>
  </r>
  <r>
    <n v="675"/>
    <x v="9"/>
    <s v="Freshwater"/>
    <x v="1"/>
    <x v="0"/>
    <n v="802"/>
    <s v="Carbon River"/>
    <s v="Carbon River"/>
    <s v="Pierce"/>
    <x v="3"/>
    <s v="Other"/>
    <s v="20Other"/>
    <s v="Non Puget Sound"/>
    <s v="07Non Puget Sound"/>
    <n v="275.26984126984098"/>
    <n v="946.92825396825299"/>
    <n v="289.29963369963411"/>
    <n v="1023.8431028772447"/>
  </r>
  <r>
    <n v="575"/>
    <x v="9"/>
    <s v="Freshwater"/>
    <x v="1"/>
    <x v="0"/>
    <n v="802"/>
    <s v="Carbon River"/>
    <s v="Carbon River"/>
    <s v="Pierce"/>
    <x v="3"/>
    <s v="Pierce"/>
    <s v="07Pierce"/>
    <s v="South Puget Sound"/>
    <s v="02South Puget Sound"/>
    <n v="2805.63492063492"/>
    <n v="9651.3841269841305"/>
    <n v="2806.8893772893816"/>
    <n v="9933.6950162228022"/>
  </r>
  <r>
    <n v="573"/>
    <x v="9"/>
    <s v="Freshwater"/>
    <x v="1"/>
    <x v="0"/>
    <n v="802"/>
    <s v="Carbon River"/>
    <s v="Carbon River"/>
    <s v="Pierce"/>
    <x v="3"/>
    <s v="Snohomish"/>
    <s v="03Snohomish"/>
    <s v="North Puget Sound"/>
    <s v="01North Puget Sound"/>
    <n v="42.349206349206398"/>
    <n v="145.68126984126999"/>
    <n v="43.392527472527505"/>
    <n v="153.56790950964427"/>
  </r>
  <r>
    <n v="576"/>
    <x v="9"/>
    <s v="Freshwater"/>
    <x v="1"/>
    <x v="0"/>
    <n v="802"/>
    <s v="Carbon River"/>
    <s v="Carbon River"/>
    <s v="Pierce"/>
    <x v="3"/>
    <s v="Thurston"/>
    <s v="08Thurston"/>
    <s v="South Puget Sound"/>
    <s v="02South Puget Sound"/>
    <n v="52.936507936508001"/>
    <n v="182.10158730158801"/>
    <n v="11.1575091575092"/>
    <n v="39.486876115667684"/>
  </r>
  <r>
    <n v="776"/>
    <x v="10"/>
    <s v="Freshwater"/>
    <x v="1"/>
    <x v="0"/>
    <n v="802"/>
    <s v="Carbon River"/>
    <s v="Carbon River"/>
    <s v="Pierce"/>
    <x v="3"/>
    <s v="King"/>
    <s v="06King"/>
    <s v="South Puget Sound"/>
    <s v="02South Puget Sound"/>
    <n v="371.538461538462"/>
    <n v="3213.8076923077001"/>
    <n v="371.61818181818199"/>
    <n v="1791.034230639453"/>
  </r>
  <r>
    <n v="778"/>
    <x v="10"/>
    <s v="Freshwater"/>
    <x v="1"/>
    <x v="0"/>
    <n v="802"/>
    <s v="Carbon River"/>
    <s v="Carbon River"/>
    <s v="Pierce"/>
    <x v="3"/>
    <s v="Mason"/>
    <s v="09Mason"/>
    <s v="South Puget Sound"/>
    <s v="02South Puget Sound"/>
    <n v="49.538461538461597"/>
    <n v="428.50769230769299"/>
    <n v="49.6"/>
    <n v="239.04992324401513"/>
  </r>
  <r>
    <n v="779"/>
    <x v="10"/>
    <s v="Freshwater"/>
    <x v="1"/>
    <x v="0"/>
    <n v="802"/>
    <s v="Carbon River"/>
    <s v="Carbon River"/>
    <s v="Pierce"/>
    <x v="3"/>
    <s v="Other"/>
    <s v="20Other"/>
    <s v="Non Puget Sound"/>
    <s v="07Non Puget Sound"/>
    <n v="86.692307692307693"/>
    <n v="749.88846153846202"/>
    <n v="86.331818181818207"/>
    <n v="416.08093769919179"/>
  </r>
  <r>
    <n v="777"/>
    <x v="10"/>
    <s v="Freshwater"/>
    <x v="1"/>
    <x v="0"/>
    <n v="802"/>
    <s v="Carbon River"/>
    <s v="Carbon River"/>
    <s v="Pierce"/>
    <x v="3"/>
    <s v="Pierce"/>
    <s v="07Pierce"/>
    <s v="South Puget Sound"/>
    <s v="02South Puget Sound"/>
    <n v="780.23076923076906"/>
    <n v="6748.9961538461503"/>
    <n v="780.45"/>
    <n v="3761.4216249151536"/>
  </r>
  <r>
    <n v="878"/>
    <x v="11"/>
    <s v="Freshwater"/>
    <x v="1"/>
    <x v="0"/>
    <n v="802"/>
    <s v="Carbon River"/>
    <s v="Carbon River"/>
    <s v="Pierce"/>
    <x v="3"/>
    <s v="King"/>
    <s v="06King"/>
    <s v="South Puget Sound"/>
    <s v="02South Puget Sound"/>
    <n v="644.81122448979602"/>
    <n v="2218.1506122449"/>
    <n v="648.25"/>
    <n v="2294.1829650889508"/>
  </r>
  <r>
    <n v="880"/>
    <x v="11"/>
    <s v="Freshwater"/>
    <x v="1"/>
    <x v="0"/>
    <n v="802"/>
    <s v="Carbon River"/>
    <s v="Carbon River"/>
    <s v="Pierce"/>
    <x v="3"/>
    <s v="Other"/>
    <s v="20Other"/>
    <s v="Non Puget Sound"/>
    <s v="07Non Puget Sound"/>
    <n v="164.632653061225"/>
    <n v="566.33632653061397"/>
    <n v="172.15909090909099"/>
    <n v="609.27798480345018"/>
  </r>
  <r>
    <n v="879"/>
    <x v="11"/>
    <s v="Freshwater"/>
    <x v="1"/>
    <x v="0"/>
    <n v="802"/>
    <s v="Carbon River"/>
    <s v="Carbon River"/>
    <s v="Pierce"/>
    <x v="3"/>
    <s v="Pierce"/>
    <s v="07Pierce"/>
    <s v="South Puget Sound"/>
    <s v="02South Puget Sound"/>
    <n v="1769.80102040816"/>
    <n v="6088.1155102040702"/>
    <n v="1785.8181818181799"/>
    <n v="6320.0827635532451"/>
  </r>
  <r>
    <n v="877"/>
    <x v="11"/>
    <s v="Freshwater"/>
    <x v="1"/>
    <x v="0"/>
    <n v="802"/>
    <s v="Carbon River"/>
    <s v="Carbon River"/>
    <s v="Pierce"/>
    <x v="3"/>
    <s v="Snohomish"/>
    <s v="03Snohomish"/>
    <s v="North Puget Sound"/>
    <s v="01North Puget Sound"/>
    <n v="54.877551020408198"/>
    <n v="188.77877551020401"/>
    <n v="27.590909090909101"/>
    <n v="97.645343043087578"/>
  </r>
  <r>
    <n v="786"/>
    <x v="11"/>
    <s v="Freshwater"/>
    <x v="1"/>
    <x v="0"/>
    <n v="802"/>
    <s v="Carbon River"/>
    <s v="Carbon River"/>
    <s v="Pierce"/>
    <x v="3"/>
    <s v="Whatcom"/>
    <s v="01Whatcom"/>
    <s v="North Puget Sound"/>
    <s v="01North Puget Sound"/>
    <n v="54.877551020408198"/>
    <n v="188.77877551020401"/>
    <n v="55.181818181818201"/>
    <n v="195.29068608617516"/>
  </r>
  <r>
    <n v="974"/>
    <x v="0"/>
    <s v="Freshwater"/>
    <x v="1"/>
    <x v="0"/>
    <n v="804"/>
    <s v="Puyallup River"/>
    <s v="Puyallup River"/>
    <s v="Pierce"/>
    <x v="3"/>
    <s v="King"/>
    <s v="06King"/>
    <s v="South Puget Sound"/>
    <s v="02South Puget Sound"/>
    <n v="244.73008849557499"/>
    <n v="2116.9152654867198"/>
    <n v="251.23045361294771"/>
    <n v="1210.818964772868"/>
  </r>
  <r>
    <n v="977"/>
    <x v="0"/>
    <s v="Freshwater"/>
    <x v="1"/>
    <x v="0"/>
    <n v="804"/>
    <s v="Puyallup River"/>
    <s v="Puyallup River"/>
    <s v="Pierce"/>
    <x v="3"/>
    <s v="Other"/>
    <s v="20Other"/>
    <s v="Non Puget Sound"/>
    <s v="07Non Puget Sound"/>
    <n v="23.876106194690301"/>
    <n v="206.528318584071"/>
    <n v="24.43999016232172"/>
    <n v="117.78987444329621"/>
  </r>
  <r>
    <n v="975"/>
    <x v="0"/>
    <s v="Freshwater"/>
    <x v="1"/>
    <x v="0"/>
    <n v="804"/>
    <s v="Puyallup River"/>
    <s v="Puyallup River"/>
    <s v="Pierce"/>
    <x v="3"/>
    <s v="Pierce"/>
    <s v="07Pierce"/>
    <s v="South Puget Sound"/>
    <s v="02South Puget Sound"/>
    <n v="1056.5176991150399"/>
    <n v="9138.8780973450994"/>
    <n v="1048.9183412714601"/>
    <n v="5055.3195356891574"/>
  </r>
  <r>
    <n v="976"/>
    <x v="0"/>
    <s v="Freshwater"/>
    <x v="1"/>
    <x v="0"/>
    <n v="804"/>
    <s v="Puyallup River"/>
    <s v="Puyallup River"/>
    <s v="Pierce"/>
    <x v="3"/>
    <s v="Thurston"/>
    <s v="08Thurston"/>
    <s v="South Puget Sound"/>
    <s v="02South Puget Sound"/>
    <n v="23.876106194690301"/>
    <n v="206.528318584071"/>
    <n v="24.411214953270999"/>
    <n v="117.65119074339893"/>
  </r>
  <r>
    <n v="1082"/>
    <x v="1"/>
    <s v="Freshwater"/>
    <x v="1"/>
    <x v="0"/>
    <n v="804"/>
    <s v="Puyallup River"/>
    <s v="Puyallup River"/>
    <s v="Pierce"/>
    <x v="3"/>
    <s v="Clallam"/>
    <s v="11Clallam"/>
    <s v="Strait of Juan de Fuca"/>
    <s v="03Strait of Juan de Fuca"/>
    <n v="79.238223709059497"/>
    <n v="272.57948955916498"/>
    <n v="75.632107023411393"/>
    <n v="267.66508530180454"/>
  </r>
  <r>
    <n v="1076"/>
    <x v="1"/>
    <s v="Freshwater"/>
    <x v="1"/>
    <x v="0"/>
    <n v="804"/>
    <s v="Puyallup River"/>
    <s v="Puyallup River"/>
    <s v="Pierce"/>
    <x v="3"/>
    <s v="Island"/>
    <s v="04Island"/>
    <s v="North Puget Sound"/>
    <s v="01North Puget Sound"/>
    <n v="21.610424647925299"/>
    <n v="74.339860788863007"/>
    <n v="15.129344026321199"/>
    <n v="53.543360336531236"/>
  </r>
  <r>
    <n v="1083"/>
    <x v="1"/>
    <s v="Freshwater"/>
    <x v="1"/>
    <x v="0"/>
    <n v="804"/>
    <s v="Puyallup River"/>
    <s v="Puyallup River"/>
    <s v="Pierce"/>
    <x v="3"/>
    <s v="Jefferson"/>
    <s v="12Jefferson"/>
    <s v="Strait of Juan de Fuca"/>
    <s v="03Strait of Juan de Fuca"/>
    <n v="7.20347488264178"/>
    <n v="24.779953596287701"/>
    <n v="7.5632107023411397"/>
    <n v="26.766508530180456"/>
  </r>
  <r>
    <n v="1077"/>
    <x v="1"/>
    <s v="Freshwater"/>
    <x v="1"/>
    <x v="0"/>
    <n v="804"/>
    <s v="Puyallup River"/>
    <s v="Puyallup River"/>
    <s v="Pierce"/>
    <x v="3"/>
    <s v="King"/>
    <s v="06King"/>
    <s v="South Puget Sound"/>
    <s v="02South Puget Sound"/>
    <n v="41881.002967679298"/>
    <n v="144070.65020881701"/>
    <n v="42380.307386197623"/>
    <n v="149985.62169016278"/>
  </r>
  <r>
    <n v="1081"/>
    <x v="1"/>
    <s v="Freshwater"/>
    <x v="1"/>
    <x v="0"/>
    <n v="804"/>
    <s v="Puyallup River"/>
    <s v="Puyallup River"/>
    <s v="Pierce"/>
    <x v="3"/>
    <s v="Kitsap"/>
    <s v="10Kitsap"/>
    <s v="South Puget Sound"/>
    <s v="02South Puget Sound"/>
    <n v="1707.2235471860999"/>
    <n v="5872.8490023201803"/>
    <n v="1633.8449434230361"/>
    <n v="5782.2433271081372"/>
  </r>
  <r>
    <n v="1080"/>
    <x v="1"/>
    <s v="Freshwater"/>
    <x v="1"/>
    <x v="0"/>
    <n v="804"/>
    <s v="Puyallup River"/>
    <s v="Puyallup River"/>
    <s v="Pierce"/>
    <x v="3"/>
    <s v="Mason"/>
    <s v="09Mason"/>
    <s v="South Puget Sound"/>
    <s v="02South Puget Sound"/>
    <n v="475.42934225435698"/>
    <n v="1635.47693735499"/>
    <n v="499.2245702909002"/>
    <n v="1766.7759427924948"/>
  </r>
  <r>
    <n v="1084"/>
    <x v="1"/>
    <s v="Freshwater"/>
    <x v="1"/>
    <x v="0"/>
    <n v="804"/>
    <s v="Puyallup River"/>
    <s v="Puyallup River"/>
    <s v="Pierce"/>
    <x v="3"/>
    <s v="Other"/>
    <s v="20Other"/>
    <s v="Non Puget Sound"/>
    <s v="07Non Puget Sound"/>
    <n v="7498.8173528300904"/>
    <n v="25795.9316937355"/>
    <n v="7571.559431409908"/>
    <n v="26796.055019975614"/>
  </r>
  <r>
    <n v="1078"/>
    <x v="1"/>
    <s v="Freshwater"/>
    <x v="1"/>
    <x v="0"/>
    <n v="804"/>
    <s v="Puyallup River"/>
    <s v="Puyallup River"/>
    <s v="Pierce"/>
    <x v="3"/>
    <s v="Pierce"/>
    <s v="07Pierce"/>
    <s v="South Puget Sound"/>
    <s v="02South Puget Sound"/>
    <n v="72589.416392381201"/>
    <n v="249707.59238979101"/>
    <n v="71954.577523357686"/>
    <n v="254650.15968262168"/>
  </r>
  <r>
    <n v="1074"/>
    <x v="1"/>
    <s v="Freshwater"/>
    <x v="1"/>
    <x v="0"/>
    <n v="804"/>
    <s v="Puyallup River"/>
    <s v="Puyallup River"/>
    <s v="Pierce"/>
    <x v="3"/>
    <s v="Skagit"/>
    <s v="02Skagit"/>
    <s v="North Puget Sound"/>
    <s v="01North Puget Sound"/>
    <n v="14.406949765283599"/>
    <n v="49.559907192575601"/>
    <n v="15.129344026321199"/>
    <n v="53.543360336531236"/>
  </r>
  <r>
    <n v="1075"/>
    <x v="1"/>
    <s v="Freshwater"/>
    <x v="1"/>
    <x v="0"/>
    <n v="804"/>
    <s v="Puyallup River"/>
    <s v="Puyallup River"/>
    <s v="Pierce"/>
    <x v="3"/>
    <s v="Snohomish"/>
    <s v="03Snohomish"/>
    <s v="North Puget Sound"/>
    <s v="01North Puget Sound"/>
    <n v="1743.24092159931"/>
    <n v="5996.7487703016304"/>
    <n v="1830.5294518806204"/>
    <n v="6478.3177564182542"/>
  </r>
  <r>
    <n v="1079"/>
    <x v="1"/>
    <s v="Freshwater"/>
    <x v="1"/>
    <x v="0"/>
    <n v="804"/>
    <s v="Puyallup River"/>
    <s v="Puyallup River"/>
    <s v="Pierce"/>
    <x v="3"/>
    <s v="Thurston"/>
    <s v="08Thurston"/>
    <s v="South Puget Sound"/>
    <s v="02South Puget Sound"/>
    <n v="7412.3756542383899"/>
    <n v="25498.572250580099"/>
    <n v="7442.993503841255"/>
    <n v="26341.055003132016"/>
  </r>
  <r>
    <n v="1073"/>
    <x v="1"/>
    <s v="Freshwater"/>
    <x v="1"/>
    <x v="0"/>
    <n v="804"/>
    <s v="Puyallup River"/>
    <s v="Puyallup River"/>
    <s v="Pierce"/>
    <x v="3"/>
    <s v="Whatcom"/>
    <s v="01Whatcom"/>
    <s v="North Puget Sound"/>
    <s v="01North Puget Sound"/>
    <n v="72.034748826417797"/>
    <n v="247.799535962877"/>
    <n v="75.509183820592256"/>
    <n v="267.23005511604003"/>
  </r>
  <r>
    <n v="1156"/>
    <x v="2"/>
    <s v="Freshwater"/>
    <x v="1"/>
    <x v="0"/>
    <n v="804"/>
    <s v="Puyallup River"/>
    <s v="Puyallup River"/>
    <s v="Pierce"/>
    <x v="3"/>
    <s v="King"/>
    <s v="06King"/>
    <s v="South Puget Sound"/>
    <s v="02South Puget Sound"/>
    <n v="2863.61574074074"/>
    <n v="24770.276157407399"/>
    <n v="2903.5316813164263"/>
    <n v="13993.730353936651"/>
  </r>
  <r>
    <n v="1160"/>
    <x v="2"/>
    <s v="Freshwater"/>
    <x v="1"/>
    <x v="0"/>
    <n v="804"/>
    <s v="Puyallup River"/>
    <s v="Puyallup River"/>
    <s v="Pierce"/>
    <x v="3"/>
    <s v="Kitsap"/>
    <s v="10Kitsap"/>
    <s v="South Puget Sound"/>
    <s v="02South Puget Sound"/>
    <n v="141.06481481481501"/>
    <n v="1220.2106481481501"/>
    <n v="144.74576271186399"/>
    <n v="697.61015052757091"/>
  </r>
  <r>
    <n v="1159"/>
    <x v="2"/>
    <s v="Freshwater"/>
    <x v="1"/>
    <x v="0"/>
    <n v="804"/>
    <s v="Puyallup River"/>
    <s v="Puyallup River"/>
    <s v="Pierce"/>
    <x v="3"/>
    <s v="Mason"/>
    <s v="09Mason"/>
    <s v="South Puget Sound"/>
    <s v="02South Puget Sound"/>
    <n v="21.1597222222222"/>
    <n v="183.03159722222199"/>
    <n v="14.4745762711864"/>
    <n v="69.761015052757088"/>
  </r>
  <r>
    <n v="1161"/>
    <x v="2"/>
    <s v="Freshwater"/>
    <x v="1"/>
    <x v="0"/>
    <n v="804"/>
    <s v="Puyallup River"/>
    <s v="Puyallup River"/>
    <s v="Pierce"/>
    <x v="3"/>
    <s v="Other"/>
    <s v="20Other"/>
    <s v="Non Puget Sound"/>
    <s v="07Non Puget Sound"/>
    <n v="112.851851851852"/>
    <n v="976.16851851852005"/>
    <n v="115.796610169492"/>
    <n v="558.08812042206057"/>
  </r>
  <r>
    <n v="1157"/>
    <x v="2"/>
    <s v="Freshwater"/>
    <x v="1"/>
    <x v="0"/>
    <n v="804"/>
    <s v="Puyallup River"/>
    <s v="Puyallup River"/>
    <s v="Pierce"/>
    <x v="3"/>
    <s v="Pierce"/>
    <s v="07Pierce"/>
    <s v="South Puget Sound"/>
    <s v="02South Puget Sound"/>
    <n v="5762.4976851851898"/>
    <n v="49845.604976851901"/>
    <n v="5717.1344041037892"/>
    <n v="27554.043154772764"/>
  </r>
  <r>
    <n v="1155"/>
    <x v="2"/>
    <s v="Freshwater"/>
    <x v="1"/>
    <x v="0"/>
    <n v="804"/>
    <s v="Puyallup River"/>
    <s v="Puyallup River"/>
    <s v="Pierce"/>
    <x v="3"/>
    <s v="Snohomish"/>
    <s v="03Snohomish"/>
    <s v="North Puget Sound"/>
    <s v="01North Puget Sound"/>
    <n v="35.266203703703702"/>
    <n v="305.05266203703701"/>
    <n v="36.229152542372901"/>
    <n v="174.60838980745882"/>
  </r>
  <r>
    <n v="1158"/>
    <x v="2"/>
    <s v="Freshwater"/>
    <x v="1"/>
    <x v="0"/>
    <n v="804"/>
    <s v="Puyallup River"/>
    <s v="Puyallup River"/>
    <s v="Pierce"/>
    <x v="3"/>
    <s v="Thurston"/>
    <s v="08Thurston"/>
    <s v="South Puget Sound"/>
    <s v="02South Puget Sound"/>
    <n v="169.277777777778"/>
    <n v="1464.25277777778"/>
    <n v="173.54458364038314"/>
    <n v="836.40764916629348"/>
  </r>
  <r>
    <n v="1154"/>
    <x v="2"/>
    <s v="Freshwater"/>
    <x v="1"/>
    <x v="0"/>
    <n v="804"/>
    <s v="Puyallup River"/>
    <s v="Puyallup River"/>
    <s v="Pierce"/>
    <x v="3"/>
    <s v="Whatcom"/>
    <s v="01Whatcom"/>
    <s v="North Puget Sound"/>
    <s v="01North Puget Sound"/>
    <n v="35.266203703703702"/>
    <n v="305.05266203703701"/>
    <n v="35.543229244484301"/>
    <n v="171.30254481327432"/>
  </r>
  <r>
    <n v="25"/>
    <x v="3"/>
    <s v="Freshwater"/>
    <x v="1"/>
    <x v="0"/>
    <n v="804"/>
    <s v="Puyallup River"/>
    <s v="Puyallup River"/>
    <s v="Pierce"/>
    <x v="3"/>
    <s v="Island"/>
    <s v="04Island"/>
    <s v="North Puget Sound"/>
    <s v="01North Puget Sound"/>
    <n v="206.545281367451"/>
    <n v="710.51576790403101"/>
    <n v="200.53808568431802"/>
    <n v="709.71239495335249"/>
  </r>
  <r>
    <n v="31"/>
    <x v="3"/>
    <s v="Freshwater"/>
    <x v="1"/>
    <x v="0"/>
    <n v="804"/>
    <s v="Puyallup River"/>
    <s v="Puyallup River"/>
    <s v="Pierce"/>
    <x v="3"/>
    <s v="Jefferson"/>
    <s v="12Jefferson"/>
    <s v="Strait of Juan de Fuca"/>
    <s v="03Strait of Juan de Fuca"/>
    <n v="44.901148123358901"/>
    <n v="154.459949544355"/>
    <n v="45.584381087303001"/>
    <n v="161.32496809041803"/>
  </r>
  <r>
    <n v="26"/>
    <x v="3"/>
    <s v="Freshwater"/>
    <x v="1"/>
    <x v="0"/>
    <n v="804"/>
    <s v="Puyallup River"/>
    <s v="Puyallup River"/>
    <s v="Pierce"/>
    <x v="3"/>
    <s v="King"/>
    <s v="06King"/>
    <s v="South Puget Sound"/>
    <s v="02South Puget Sound"/>
    <n v="54797.361169747201"/>
    <n v="188502.92242392999"/>
    <n v="55034.103521346515"/>
    <n v="194767.91792921713"/>
  </r>
  <r>
    <n v="30"/>
    <x v="3"/>
    <s v="Freshwater"/>
    <x v="1"/>
    <x v="0"/>
    <n v="804"/>
    <s v="Puyallup River"/>
    <s v="Puyallup River"/>
    <s v="Pierce"/>
    <x v="3"/>
    <s v="Kitsap"/>
    <s v="10Kitsap"/>
    <s v="South Puget Sound"/>
    <s v="02South Puget Sound"/>
    <n v="2496.5038356587602"/>
    <n v="8587.9731946661304"/>
    <n v="2533.0054644002503"/>
    <n v="8964.4087727023234"/>
  </r>
  <r>
    <n v="29"/>
    <x v="3"/>
    <s v="Freshwater"/>
    <x v="1"/>
    <x v="0"/>
    <n v="804"/>
    <s v="Puyallup River"/>
    <s v="Puyallup River"/>
    <s v="Pierce"/>
    <x v="3"/>
    <s v="Mason"/>
    <s v="09Mason"/>
    <s v="South Puget Sound"/>
    <s v="02South Puget Sound"/>
    <n v="790.26020697111699"/>
    <n v="2718.4951119806401"/>
    <n v="801.92355634165267"/>
    <n v="2838.039895507241"/>
  </r>
  <r>
    <n v="32"/>
    <x v="3"/>
    <s v="Freshwater"/>
    <x v="1"/>
    <x v="0"/>
    <n v="804"/>
    <s v="Puyallup River"/>
    <s v="Puyallup River"/>
    <s v="Pierce"/>
    <x v="3"/>
    <s v="Other"/>
    <s v="20Other"/>
    <s v="Non Puget Sound"/>
    <s v="07Non Puget Sound"/>
    <n v="8647.9611285589308"/>
    <n v="29748.986282242699"/>
    <n v="8648.7500908579132"/>
    <n v="30608.276325117993"/>
  </r>
  <r>
    <n v="27"/>
    <x v="3"/>
    <s v="Freshwater"/>
    <x v="1"/>
    <x v="0"/>
    <n v="804"/>
    <s v="Puyallup River"/>
    <s v="Puyallup River"/>
    <s v="Pierce"/>
    <x v="3"/>
    <s v="Pierce"/>
    <s v="07Pierce"/>
    <s v="South Puget Sound"/>
    <s v="02South Puget Sound"/>
    <n v="96932.598568707195"/>
    <n v="333448.13907635299"/>
    <n v="96633.269154634472"/>
    <n v="341989.04736663011"/>
  </r>
  <r>
    <n v="1173"/>
    <x v="3"/>
    <s v="Freshwater"/>
    <x v="1"/>
    <x v="0"/>
    <n v="804"/>
    <s v="Puyallup River"/>
    <s v="Puyallup River"/>
    <s v="Pierce"/>
    <x v="3"/>
    <s v="Snohomish"/>
    <s v="03Snohomish"/>
    <s v="North Puget Sound"/>
    <s v="01North Puget Sound"/>
    <n v="2128.3144210472101"/>
    <n v="7321.4016084023997"/>
    <n v="2159.7144671815895"/>
    <n v="7643.3168377387774"/>
  </r>
  <r>
    <n v="28"/>
    <x v="3"/>
    <s v="Freshwater"/>
    <x v="1"/>
    <x v="0"/>
    <n v="804"/>
    <s v="Puyallup River"/>
    <s v="Puyallup River"/>
    <s v="Pierce"/>
    <x v="3"/>
    <s v="Thurston"/>
    <s v="08Thurston"/>
    <s v="South Puget Sound"/>
    <s v="02South Puget Sound"/>
    <n v="8369.5740101940992"/>
    <n v="28791.334595067699"/>
    <n v="8356.9944022485015"/>
    <n v="29575.741144592721"/>
  </r>
  <r>
    <n v="1172"/>
    <x v="3"/>
    <s v="Freshwater"/>
    <x v="1"/>
    <x v="0"/>
    <n v="804"/>
    <s v="Puyallup River"/>
    <s v="Puyallup River"/>
    <s v="Pierce"/>
    <x v="3"/>
    <s v="Whatcom"/>
    <s v="01Whatcom"/>
    <s v="North Puget Sound"/>
    <s v="01North Puget Sound"/>
    <n v="8.9802296246717805"/>
    <n v="30.891989908870901"/>
    <n v="9.1168762174606002"/>
    <n v="32.264993618083608"/>
  </r>
  <r>
    <n v="136"/>
    <x v="4"/>
    <s v="Freshwater"/>
    <x v="1"/>
    <x v="0"/>
    <n v="804"/>
    <s v="Puyallup River"/>
    <s v="Puyallup River"/>
    <s v="Pierce"/>
    <x v="3"/>
    <s v="King"/>
    <s v="06King"/>
    <s v="South Puget Sound"/>
    <s v="02South Puget Sound"/>
    <n v="1559.5516778523499"/>
    <n v="13490.122013422801"/>
    <n v="1568.8315669250821"/>
    <n v="7561.0698721013887"/>
  </r>
  <r>
    <n v="139"/>
    <x v="4"/>
    <s v="Freshwater"/>
    <x v="1"/>
    <x v="0"/>
    <n v="804"/>
    <s v="Puyallup River"/>
    <s v="Puyallup River"/>
    <s v="Pierce"/>
    <x v="3"/>
    <s v="Kitsap"/>
    <s v="10Kitsap"/>
    <s v="South Puget Sound"/>
    <s v="02South Puget Sound"/>
    <n v="124.21208053691301"/>
    <n v="1074.4344966443"/>
    <n v="125.76372637263731"/>
    <n v="606.12518419879575"/>
  </r>
  <r>
    <n v="140"/>
    <x v="4"/>
    <s v="Freshwater"/>
    <x v="1"/>
    <x v="0"/>
    <n v="804"/>
    <s v="Puyallup River"/>
    <s v="Puyallup River"/>
    <s v="Pierce"/>
    <x v="3"/>
    <s v="Other"/>
    <s v="20Other"/>
    <s v="Non Puget Sound"/>
    <s v="07Non Puget Sound"/>
    <n v="138.01342281879201"/>
    <n v="1193.8161073825499"/>
    <n v="140.03295143344133"/>
    <n v="674.89649781848891"/>
  </r>
  <r>
    <n v="137"/>
    <x v="4"/>
    <s v="Freshwater"/>
    <x v="1"/>
    <x v="0"/>
    <n v="804"/>
    <s v="Puyallup River"/>
    <s v="Puyallup River"/>
    <s v="Pierce"/>
    <x v="3"/>
    <s v="Pierce"/>
    <s v="07Pierce"/>
    <s v="South Puget Sound"/>
    <s v="02South Puget Sound"/>
    <n v="3043.1959731543602"/>
    <n v="26323.645167785198"/>
    <n v="3028.1389073759897"/>
    <n v="14594.281721379964"/>
  </r>
  <r>
    <n v="135"/>
    <x v="4"/>
    <s v="Freshwater"/>
    <x v="1"/>
    <x v="0"/>
    <n v="804"/>
    <s v="Puyallup River"/>
    <s v="Puyallup River"/>
    <s v="Pierce"/>
    <x v="3"/>
    <s v="Snohomish"/>
    <s v="03Snohomish"/>
    <s v="North Puget Sound"/>
    <s v="01North Puget Sound"/>
    <n v="34.503355704698002"/>
    <n v="298.454026845638"/>
    <n v="34.715909090909101"/>
    <n v="167.31522990983927"/>
  </r>
  <r>
    <n v="138"/>
    <x v="4"/>
    <s v="Freshwater"/>
    <x v="1"/>
    <x v="0"/>
    <n v="804"/>
    <s v="Puyallup River"/>
    <s v="Puyallup River"/>
    <s v="Pierce"/>
    <x v="3"/>
    <s v="Thurston"/>
    <s v="08Thurston"/>
    <s v="South Puget Sound"/>
    <s v="02South Puget Sound"/>
    <n v="213.920805369128"/>
    <n v="1850.4149664429599"/>
    <n v="215.74421152921568"/>
    <n v="1039.7910727096687"/>
  </r>
  <r>
    <n v="134"/>
    <x v="4"/>
    <s v="Freshwater"/>
    <x v="1"/>
    <x v="0"/>
    <n v="804"/>
    <s v="Puyallup River"/>
    <s v="Puyallup River"/>
    <s v="Pierce"/>
    <x v="3"/>
    <s v="Whatcom"/>
    <s v="01Whatcom"/>
    <s v="North Puget Sound"/>
    <s v="01North Puget Sound"/>
    <n v="27.602684563758402"/>
    <n v="238.76322147651001"/>
    <n v="27.772727272727298"/>
    <n v="133.85218392787149"/>
  </r>
  <r>
    <n v="246"/>
    <x v="5"/>
    <s v="Freshwater"/>
    <x v="1"/>
    <x v="0"/>
    <n v="804"/>
    <s v="Puyallup River"/>
    <s v="Puyallup River"/>
    <s v="Pierce"/>
    <x v="3"/>
    <s v="King"/>
    <s v="06King"/>
    <s v="South Puget Sound"/>
    <s v="02South Puget Sound"/>
    <n v="29400.628254492101"/>
    <n v="101138.16119545299"/>
    <n v="29577.517836235325"/>
    <n v="104676.03173082251"/>
  </r>
  <r>
    <n v="250"/>
    <x v="5"/>
    <s v="Freshwater"/>
    <x v="1"/>
    <x v="0"/>
    <n v="804"/>
    <s v="Puyallup River"/>
    <s v="Puyallup River"/>
    <s v="Pierce"/>
    <x v="3"/>
    <s v="Kitsap"/>
    <s v="10Kitsap"/>
    <s v="South Puget Sound"/>
    <s v="02South Puget Sound"/>
    <n v="2155.3929226256"/>
    <n v="7414.5516538320599"/>
    <n v="2176.904209911821"/>
    <n v="7704.1520324105222"/>
  </r>
  <r>
    <n v="249"/>
    <x v="5"/>
    <s v="Freshwater"/>
    <x v="1"/>
    <x v="0"/>
    <n v="804"/>
    <s v="Puyallup River"/>
    <s v="Puyallup River"/>
    <s v="Pierce"/>
    <x v="3"/>
    <s v="Mason"/>
    <s v="09Mason"/>
    <s v="South Puget Sound"/>
    <s v="02South Puget Sound"/>
    <n v="570.02126879354603"/>
    <n v="1960.8731646497999"/>
    <n v="575.70515459082196"/>
    <n v="2037.4438234881059"/>
  </r>
  <r>
    <n v="348"/>
    <x v="5"/>
    <s v="Freshwater"/>
    <x v="1"/>
    <x v="0"/>
    <n v="804"/>
    <s v="Puyallup River"/>
    <s v="Puyallup River"/>
    <s v="Pierce"/>
    <x v="3"/>
    <s v="Other"/>
    <s v="20Other"/>
    <s v="Non Puget Sound"/>
    <s v="07Non Puget Sound"/>
    <n v="5343.94939493949"/>
    <n v="18383.1859185918"/>
    <n v="5379.2434978965002"/>
    <n v="19037.36027449233"/>
  </r>
  <r>
    <n v="247"/>
    <x v="5"/>
    <s v="Freshwater"/>
    <x v="1"/>
    <x v="0"/>
    <n v="804"/>
    <s v="Puyallup River"/>
    <s v="Puyallup River"/>
    <s v="Pierce"/>
    <x v="3"/>
    <s v="Pierce"/>
    <s v="07Pierce"/>
    <s v="South Puget Sound"/>
    <s v="02South Puget Sound"/>
    <n v="53911.5428126146"/>
    <n v="185455.707275394"/>
    <n v="53635.70339621068"/>
    <n v="189818.92333536464"/>
  </r>
  <r>
    <n v="244"/>
    <x v="5"/>
    <s v="Freshwater"/>
    <x v="1"/>
    <x v="0"/>
    <n v="804"/>
    <s v="Puyallup River"/>
    <s v="Puyallup River"/>
    <s v="Pierce"/>
    <x v="3"/>
    <s v="Skagit"/>
    <s v="02Skagit"/>
    <s v="North Puget Sound"/>
    <s v="01North Puget Sound"/>
    <n v="258.29088742207603"/>
    <n v="888.52065273194103"/>
    <n v="262.04583812811671"/>
    <n v="927.39081821208174"/>
  </r>
  <r>
    <n v="245"/>
    <x v="5"/>
    <s v="Freshwater"/>
    <x v="1"/>
    <x v="0"/>
    <n v="804"/>
    <s v="Puyallup River"/>
    <s v="Puyallup River"/>
    <s v="Pierce"/>
    <x v="3"/>
    <s v="Snohomish"/>
    <s v="03Snohomish"/>
    <s v="North Puget Sound"/>
    <s v="01North Puget Sound"/>
    <n v="757.05949761642796"/>
    <n v="2604.2846718005098"/>
    <n v="742.32351751680676"/>
    <n v="2627.1129478935095"/>
  </r>
  <r>
    <n v="248"/>
    <x v="5"/>
    <s v="Freshwater"/>
    <x v="1"/>
    <x v="0"/>
    <n v="804"/>
    <s v="Puyallup River"/>
    <s v="Puyallup River"/>
    <s v="Pierce"/>
    <x v="3"/>
    <s v="Thurston"/>
    <s v="08Thurston"/>
    <s v="South Puget Sound"/>
    <s v="02South Puget Sound"/>
    <n v="4756.1149614961496"/>
    <n v="16361.035467546801"/>
    <n v="4803.55654950997"/>
    <n v="16999.980883497465"/>
  </r>
  <r>
    <n v="354"/>
    <x v="6"/>
    <s v="Freshwater"/>
    <x v="1"/>
    <x v="0"/>
    <n v="804"/>
    <s v="Puyallup River"/>
    <s v="Puyallup River"/>
    <s v="Pierce"/>
    <x v="3"/>
    <s v="Other"/>
    <s v="20Other"/>
    <s v="Non Puget Sound"/>
    <s v="07Non Puget Sound"/>
    <n v="19.090909090909101"/>
    <n v="165.136363636364"/>
    <n v="35"/>
    <n v="168.68442164396228"/>
  </r>
  <r>
    <n v="353"/>
    <x v="6"/>
    <s v="Freshwater"/>
    <x v="1"/>
    <x v="0"/>
    <n v="804"/>
    <s v="Puyallup River"/>
    <s v="Puyallup River"/>
    <s v="Pierce"/>
    <x v="3"/>
    <s v="Pierce"/>
    <s v="07Pierce"/>
    <s v="South Puget Sound"/>
    <s v="02South Puget Sound"/>
    <n v="50.909090909090899"/>
    <n v="440.36363636363598"/>
    <n v="35"/>
    <n v="168.68442164396228"/>
  </r>
  <r>
    <n v="462"/>
    <x v="7"/>
    <s v="Freshwater"/>
    <x v="1"/>
    <x v="0"/>
    <n v="804"/>
    <s v="Puyallup River"/>
    <s v="Puyallup River"/>
    <s v="Pierce"/>
    <x v="3"/>
    <s v="King"/>
    <s v="06King"/>
    <s v="South Puget Sound"/>
    <s v="02South Puget Sound"/>
    <n v="5486.1074230537097"/>
    <n v="18872.209535304799"/>
    <n v="5502.9823293747286"/>
    <n v="19475.277003065199"/>
  </r>
  <r>
    <n v="465"/>
    <x v="7"/>
    <s v="Freshwater"/>
    <x v="1"/>
    <x v="0"/>
    <n v="804"/>
    <s v="Puyallup River"/>
    <s v="Puyallup River"/>
    <s v="Pierce"/>
    <x v="3"/>
    <s v="Kitsap"/>
    <s v="10Kitsap"/>
    <s v="South Puget Sound"/>
    <s v="02South Puget Sound"/>
    <n v="254.71213035606499"/>
    <n v="876.20972842486401"/>
    <n v="258.31984785615532"/>
    <n v="914.20438796137455"/>
  </r>
  <r>
    <n v="466"/>
    <x v="7"/>
    <s v="Freshwater"/>
    <x v="1"/>
    <x v="0"/>
    <n v="804"/>
    <s v="Puyallup River"/>
    <s v="Puyallup River"/>
    <s v="Pierce"/>
    <x v="3"/>
    <s v="Other"/>
    <s v="20Other"/>
    <s v="Non Puget Sound"/>
    <s v="07Non Puget Sound"/>
    <n v="871.89921544960805"/>
    <n v="2999.3333011466498"/>
    <n v="864.14705251108933"/>
    <n v="3058.2513647555234"/>
  </r>
  <r>
    <n v="463"/>
    <x v="7"/>
    <s v="Freshwater"/>
    <x v="1"/>
    <x v="0"/>
    <n v="804"/>
    <s v="Puyallup River"/>
    <s v="Puyallup River"/>
    <s v="Pierce"/>
    <x v="3"/>
    <s v="Pierce"/>
    <s v="07Pierce"/>
    <s v="South Puget Sound"/>
    <s v="02South Puget Sound"/>
    <n v="9159.8400724200401"/>
    <n v="31509.849849124901"/>
    <n v="9160.6520842276022"/>
    <n v="32419.918180858553"/>
  </r>
  <r>
    <n v="359"/>
    <x v="7"/>
    <s v="Freshwater"/>
    <x v="1"/>
    <x v="0"/>
    <n v="804"/>
    <s v="Puyallup River"/>
    <s v="Puyallup River"/>
    <s v="Pierce"/>
    <x v="3"/>
    <s v="Skagit"/>
    <s v="02Skagit"/>
    <s v="North Puget Sound"/>
    <s v="01North Puget Sound"/>
    <n v="9.7966203983101998"/>
    <n v="33.700374170187096"/>
    <n v="9.9398340248962693"/>
    <n v="35.177474578833106"/>
  </r>
  <r>
    <n v="360"/>
    <x v="7"/>
    <s v="Freshwater"/>
    <x v="1"/>
    <x v="0"/>
    <n v="804"/>
    <s v="Puyallup River"/>
    <s v="Puyallup River"/>
    <s v="Pierce"/>
    <x v="3"/>
    <s v="Snohomish"/>
    <s v="03Snohomish"/>
    <s v="North Puget Sound"/>
    <s v="01North Puget Sound"/>
    <n v="78.372963186481599"/>
    <n v="269.602993361497"/>
    <n v="79.518672199170098"/>
    <n v="281.41979663066468"/>
  </r>
  <r>
    <n v="464"/>
    <x v="7"/>
    <s v="Freshwater"/>
    <x v="1"/>
    <x v="0"/>
    <n v="804"/>
    <s v="Puyallup River"/>
    <s v="Puyallup River"/>
    <s v="Pierce"/>
    <x v="3"/>
    <s v="Thurston"/>
    <s v="08Thurston"/>
    <s v="South Puget Sound"/>
    <s v="02South Puget Sound"/>
    <n v="362.47495473747699"/>
    <n v="1246.9138442969199"/>
    <n v="347.52351313969598"/>
    <n v="1229.8997667766396"/>
  </r>
  <r>
    <n v="358"/>
    <x v="7"/>
    <s v="Freshwater"/>
    <x v="1"/>
    <x v="0"/>
    <n v="804"/>
    <s v="Puyallup River"/>
    <s v="Puyallup River"/>
    <s v="Pierce"/>
    <x v="3"/>
    <s v="Whatcom"/>
    <s v="01Whatcom"/>
    <s v="North Puget Sound"/>
    <s v="01North Puget Sound"/>
    <n v="9.7966203983101998"/>
    <n v="33.700374170187096"/>
    <n v="9.9166666666666696"/>
    <n v="35.095484361175629"/>
  </r>
  <r>
    <n v="570"/>
    <x v="8"/>
    <s v="Freshwater"/>
    <x v="1"/>
    <x v="0"/>
    <n v="804"/>
    <s v="Puyallup River"/>
    <s v="Puyallup River"/>
    <s v="Pierce"/>
    <x v="3"/>
    <s v="Jefferson"/>
    <s v="12Jefferson"/>
    <s v="Strait of Juan de Fuca"/>
    <s v="03Strait of Juan de Fuca"/>
    <n v="9.8397085610200392"/>
    <n v="85.113479052823294"/>
    <n v="10.025477707006401"/>
    <n v="48.31834024888034"/>
  </r>
  <r>
    <n v="473"/>
    <x v="8"/>
    <s v="Freshwater"/>
    <x v="1"/>
    <x v="0"/>
    <n v="804"/>
    <s v="Puyallup River"/>
    <s v="Puyallup River"/>
    <s v="Pierce"/>
    <x v="3"/>
    <s v="King"/>
    <s v="06King"/>
    <s v="South Puget Sound"/>
    <s v="02South Puget Sound"/>
    <n v="1220.1238615664799"/>
    <n v="10554.0714025501"/>
    <n v="1232.6093898224697"/>
    <n v="5940.6286295748732"/>
  </r>
  <r>
    <n v="569"/>
    <x v="8"/>
    <s v="Freshwater"/>
    <x v="1"/>
    <x v="0"/>
    <n v="804"/>
    <s v="Puyallup River"/>
    <s v="Puyallup River"/>
    <s v="Pierce"/>
    <x v="3"/>
    <s v="Kitsap"/>
    <s v="10Kitsap"/>
    <s v="South Puget Sound"/>
    <s v="02South Puget Sound"/>
    <n v="9.8397085610200392"/>
    <n v="85.113479052823294"/>
    <n v="10.012499999999999"/>
    <n v="48.255793477433492"/>
  </r>
  <r>
    <n v="571"/>
    <x v="8"/>
    <s v="Freshwater"/>
    <x v="1"/>
    <x v="0"/>
    <n v="804"/>
    <s v="Puyallup River"/>
    <s v="Puyallup River"/>
    <s v="Pierce"/>
    <x v="3"/>
    <s v="Other"/>
    <s v="20Other"/>
    <s v="Non Puget Sound"/>
    <s v="07Non Puget Sound"/>
    <n v="98.397085610200406"/>
    <n v="851.13479052823402"/>
    <n v="100.31440574603599"/>
    <n v="483.47078616650998"/>
  </r>
  <r>
    <n v="567"/>
    <x v="8"/>
    <s v="Freshwater"/>
    <x v="1"/>
    <x v="0"/>
    <n v="804"/>
    <s v="Puyallup River"/>
    <s v="Puyallup River"/>
    <s v="Pierce"/>
    <x v="3"/>
    <s v="Pierce"/>
    <s v="07Pierce"/>
    <s v="South Puget Sound"/>
    <s v="02South Puget Sound"/>
    <n v="3975.2422586521002"/>
    <n v="34385.845537340698"/>
    <n v="3958.8060568074038"/>
    <n v="19079.683145519197"/>
  </r>
  <r>
    <n v="472"/>
    <x v="8"/>
    <s v="Freshwater"/>
    <x v="1"/>
    <x v="0"/>
    <n v="804"/>
    <s v="Puyallup River"/>
    <s v="Puyallup River"/>
    <s v="Pierce"/>
    <x v="3"/>
    <s v="Snohomish"/>
    <s v="03Snohomish"/>
    <s v="North Puget Sound"/>
    <s v="01North Puget Sound"/>
    <n v="19.6794171220401"/>
    <n v="170.22695810564699"/>
    <n v="20.170212765957501"/>
    <n v="97.211447853177319"/>
  </r>
  <r>
    <n v="568"/>
    <x v="8"/>
    <s v="Freshwater"/>
    <x v="1"/>
    <x v="0"/>
    <n v="804"/>
    <s v="Puyallup River"/>
    <s v="Puyallup River"/>
    <s v="Pierce"/>
    <x v="3"/>
    <s v="Thurston"/>
    <s v="08Thurston"/>
    <s v="South Puget Sound"/>
    <s v="02South Puget Sound"/>
    <n v="68.877959927140296"/>
    <n v="595.79435336976405"/>
    <n v="70.061957151129107"/>
    <n v="337.66744917949376"/>
  </r>
  <r>
    <n v="683"/>
    <x v="9"/>
    <s v="Freshwater"/>
    <x v="1"/>
    <x v="0"/>
    <n v="804"/>
    <s v="Puyallup River"/>
    <s v="Puyallup River"/>
    <s v="Pierce"/>
    <x v="3"/>
    <s v="Clallam"/>
    <s v="11Clallam"/>
    <s v="Strait of Juan de Fuca"/>
    <s v="03Strait of Juan de Fuca"/>
    <n v="31.84375"/>
    <n v="109.5425"/>
    <n v="32.381158537331004"/>
    <n v="114.59822955062003"/>
  </r>
  <r>
    <n v="684"/>
    <x v="9"/>
    <s v="Freshwater"/>
    <x v="1"/>
    <x v="0"/>
    <n v="804"/>
    <s v="Puyallup River"/>
    <s v="Puyallup River"/>
    <s v="Pierce"/>
    <x v="3"/>
    <s v="Jefferson"/>
    <s v="12Jefferson"/>
    <s v="Strait of Juan de Fuca"/>
    <s v="03Strait of Juan de Fuca"/>
    <n v="127.375"/>
    <n v="438.17"/>
    <n v="129.49826712625787"/>
    <n v="458.29960424157235"/>
  </r>
  <r>
    <n v="678"/>
    <x v="9"/>
    <s v="Freshwater"/>
    <x v="1"/>
    <x v="0"/>
    <n v="804"/>
    <s v="Puyallup River"/>
    <s v="Puyallup River"/>
    <s v="Pierce"/>
    <x v="3"/>
    <s v="King"/>
    <s v="06King"/>
    <s v="South Puget Sound"/>
    <s v="02South Puget Sound"/>
    <n v="12450.90625"/>
    <n v="42831.1175"/>
    <n v="12596.78961371637"/>
    <n v="44580.547854373341"/>
  </r>
  <r>
    <n v="682"/>
    <x v="9"/>
    <s v="Freshwater"/>
    <x v="1"/>
    <x v="0"/>
    <n v="804"/>
    <s v="Puyallup River"/>
    <s v="Puyallup River"/>
    <s v="Pierce"/>
    <x v="3"/>
    <s v="Kitsap"/>
    <s v="10Kitsap"/>
    <s v="South Puget Sound"/>
    <s v="02South Puget Sound"/>
    <n v="583.80208333333303"/>
    <n v="2008.2791666666701"/>
    <n v="593.68533471131298"/>
    <n v="2101.0764080490953"/>
  </r>
  <r>
    <n v="681"/>
    <x v="9"/>
    <s v="Freshwater"/>
    <x v="1"/>
    <x v="0"/>
    <n v="804"/>
    <s v="Puyallup River"/>
    <s v="Puyallup River"/>
    <s v="Pierce"/>
    <x v="3"/>
    <s v="Mason"/>
    <s v="09Mason"/>
    <s v="South Puget Sound"/>
    <s v="02South Puget Sound"/>
    <n v="488.27083333333297"/>
    <n v="1679.6516666666701"/>
    <n v="474.90608053214396"/>
    <n v="1680.711824101822"/>
  </r>
  <r>
    <n v="685"/>
    <x v="9"/>
    <s v="Freshwater"/>
    <x v="1"/>
    <x v="0"/>
    <n v="804"/>
    <s v="Puyallup River"/>
    <s v="Puyallup River"/>
    <s v="Pierce"/>
    <x v="3"/>
    <s v="Other"/>
    <s v="20Other"/>
    <s v="Non Puget Sound"/>
    <s v="07Non Puget Sound"/>
    <n v="1050.84375"/>
    <n v="3614.9025000000001"/>
    <n v="1068.446396616592"/>
    <n v="3781.2750053659206"/>
  </r>
  <r>
    <n v="679"/>
    <x v="9"/>
    <s v="Freshwater"/>
    <x v="1"/>
    <x v="0"/>
    <n v="804"/>
    <s v="Puyallup River"/>
    <s v="Puyallup River"/>
    <s v="Pierce"/>
    <x v="3"/>
    <s v="Pierce"/>
    <s v="07Pierce"/>
    <s v="South Puget Sound"/>
    <s v="02South Puget Sound"/>
    <n v="23681.135416666701"/>
    <n v="81463.105833333495"/>
    <n v="23597.453341537908"/>
    <n v="83512.341651581344"/>
  </r>
  <r>
    <n v="676"/>
    <x v="9"/>
    <s v="Freshwater"/>
    <x v="1"/>
    <x v="0"/>
    <n v="804"/>
    <s v="Puyallup River"/>
    <s v="Puyallup River"/>
    <s v="Pierce"/>
    <x v="3"/>
    <s v="Skagit"/>
    <s v="02Skagit"/>
    <s v="North Puget Sound"/>
    <s v="01North Puget Sound"/>
    <n v="10.6145833333333"/>
    <n v="36.514166666666597"/>
    <n v="10.8472222222222"/>
    <n v="38.388758103750845"/>
  </r>
  <r>
    <n v="677"/>
    <x v="9"/>
    <s v="Freshwater"/>
    <x v="1"/>
    <x v="0"/>
    <n v="804"/>
    <s v="Puyallup River"/>
    <s v="Puyallup River"/>
    <s v="Pierce"/>
    <x v="3"/>
    <s v="Snohomish"/>
    <s v="03Snohomish"/>
    <s v="North Puget Sound"/>
    <s v="01North Puget Sound"/>
    <n v="467.04166666666703"/>
    <n v="1606.62333333333"/>
    <n v="474.86652999754506"/>
    <n v="1680.5718531604614"/>
  </r>
  <r>
    <n v="680"/>
    <x v="9"/>
    <s v="Freshwater"/>
    <x v="1"/>
    <x v="0"/>
    <n v="804"/>
    <s v="Puyallup River"/>
    <s v="Puyallup River"/>
    <s v="Pierce"/>
    <x v="3"/>
    <s v="Thurston"/>
    <s v="08Thurston"/>
    <s v="South Puget Sound"/>
    <s v="02South Puget Sound"/>
    <n v="1868.1666666666699"/>
    <n v="6426.4933333333402"/>
    <n v="1781.1260550023162"/>
    <n v="6303.4771370033159"/>
  </r>
  <r>
    <n v="781"/>
    <x v="10"/>
    <s v="Freshwater"/>
    <x v="1"/>
    <x v="0"/>
    <n v="804"/>
    <s v="Puyallup River"/>
    <s v="Puyallup River"/>
    <s v="Pierce"/>
    <x v="3"/>
    <s v="King"/>
    <s v="06King"/>
    <s v="South Puget Sound"/>
    <s v="02South Puget Sound"/>
    <n v="1955.3874709976801"/>
    <n v="16914.1016241299"/>
    <n v="1955.720057136059"/>
    <n v="9425.7001924426568"/>
  </r>
  <r>
    <n v="784"/>
    <x v="10"/>
    <s v="Freshwater"/>
    <x v="1"/>
    <x v="0"/>
    <n v="804"/>
    <s v="Puyallup River"/>
    <s v="Puyallup River"/>
    <s v="Pierce"/>
    <x v="3"/>
    <s v="Mason"/>
    <s v="09Mason"/>
    <s v="South Puget Sound"/>
    <s v="02South Puget Sound"/>
    <n v="12.3758700696056"/>
    <n v="107.051276102088"/>
    <n v="12.3806451612903"/>
    <n v="59.66919910318213"/>
  </r>
  <r>
    <n v="785"/>
    <x v="10"/>
    <s v="Freshwater"/>
    <x v="1"/>
    <x v="0"/>
    <n v="804"/>
    <s v="Puyallup River"/>
    <s v="Puyallup River"/>
    <s v="Pierce"/>
    <x v="3"/>
    <s v="Other"/>
    <s v="20Other"/>
    <s v="Non Puget Sound"/>
    <s v="07Non Puget Sound"/>
    <n v="297.02088167053398"/>
    <n v="2569.2306264501199"/>
    <n v="296.882394952982"/>
    <n v="1430.8410025405187"/>
  </r>
  <r>
    <n v="782"/>
    <x v="10"/>
    <s v="Freshwater"/>
    <x v="1"/>
    <x v="0"/>
    <n v="804"/>
    <s v="Puyallup River"/>
    <s v="Puyallup River"/>
    <s v="Pierce"/>
    <x v="3"/>
    <s v="Pierce"/>
    <s v="07Pierce"/>
    <s v="South Puget Sound"/>
    <s v="02South Puget Sound"/>
    <n v="2834.0742459396802"/>
    <n v="24514.742227378199"/>
    <n v="2833.8357814545902"/>
    <n v="13657.827137960956"/>
  </r>
  <r>
    <n v="780"/>
    <x v="10"/>
    <s v="Freshwater"/>
    <x v="1"/>
    <x v="0"/>
    <n v="804"/>
    <s v="Puyallup River"/>
    <s v="Puyallup River"/>
    <s v="Pierce"/>
    <x v="3"/>
    <s v="Snohomish"/>
    <s v="03Snohomish"/>
    <s v="North Puget Sound"/>
    <s v="01North Puget Sound"/>
    <n v="136.13457076566101"/>
    <n v="1177.5640371229699"/>
    <n v="136.15300559457211"/>
    <n v="656.1968858230731"/>
  </r>
  <r>
    <n v="783"/>
    <x v="10"/>
    <s v="Freshwater"/>
    <x v="1"/>
    <x v="0"/>
    <n v="804"/>
    <s v="Puyallup River"/>
    <s v="Puyallup River"/>
    <s v="Pierce"/>
    <x v="3"/>
    <s v="Thurston"/>
    <s v="08Thurston"/>
    <s v="South Puget Sound"/>
    <s v="02South Puget Sound"/>
    <n v="99.006960556844604"/>
    <n v="856.41020881670602"/>
    <n v="99.028115700511904"/>
    <n v="477.27144066949234"/>
  </r>
  <r>
    <n v="882"/>
    <x v="11"/>
    <s v="Freshwater"/>
    <x v="1"/>
    <x v="0"/>
    <n v="804"/>
    <s v="Puyallup River"/>
    <s v="Puyallup River"/>
    <s v="Pierce"/>
    <x v="3"/>
    <s v="King"/>
    <s v="06King"/>
    <s v="South Puget Sound"/>
    <s v="02South Puget Sound"/>
    <n v="17108.2216358839"/>
    <n v="58852.282427440601"/>
    <n v="17131.073787513804"/>
    <n v="60627.562910907858"/>
  </r>
  <r>
    <n v="886"/>
    <x v="11"/>
    <s v="Freshwater"/>
    <x v="1"/>
    <x v="0"/>
    <n v="804"/>
    <s v="Puyallup River"/>
    <s v="Puyallup River"/>
    <s v="Pierce"/>
    <x v="3"/>
    <s v="Kitsap"/>
    <s v="10Kitsap"/>
    <s v="South Puget Sound"/>
    <s v="02South Puget Sound"/>
    <n v="422.93051890941098"/>
    <n v="1454.8809850483699"/>
    <n v="401.17412957711775"/>
    <n v="1419.7714679679304"/>
  </r>
  <r>
    <n v="885"/>
    <x v="11"/>
    <s v="Freshwater"/>
    <x v="1"/>
    <x v="0"/>
    <n v="804"/>
    <s v="Puyallup River"/>
    <s v="Puyallup River"/>
    <s v="Pierce"/>
    <x v="3"/>
    <s v="Mason"/>
    <s v="09Mason"/>
    <s v="South Puget Sound"/>
    <s v="02South Puget Sound"/>
    <n v="54.571679859278802"/>
    <n v="187.726578715919"/>
    <n v="55.304038004750602"/>
    <n v="195.72322698207597"/>
  </r>
  <r>
    <n v="887"/>
    <x v="11"/>
    <s v="Freshwater"/>
    <x v="1"/>
    <x v="0"/>
    <n v="804"/>
    <s v="Puyallup River"/>
    <s v="Puyallup River"/>
    <s v="Pierce"/>
    <x v="3"/>
    <s v="Other"/>
    <s v="20Other"/>
    <s v="Non Puget Sound"/>
    <s v="07Non Puget Sound"/>
    <n v="2182.8671943711502"/>
    <n v="7509.0631486367602"/>
    <n v="2169.3153020201826"/>
    <n v="7677.2945804882302"/>
  </r>
  <r>
    <n v="883"/>
    <x v="11"/>
    <s v="Freshwater"/>
    <x v="1"/>
    <x v="0"/>
    <n v="804"/>
    <s v="Puyallup River"/>
    <s v="Puyallup River"/>
    <s v="Pierce"/>
    <x v="3"/>
    <s v="Pierce"/>
    <s v="07Pierce"/>
    <s v="South Puget Sound"/>
    <s v="02South Puget Sound"/>
    <n v="23697.7519788918"/>
    <n v="81520.266807387801"/>
    <n v="23698.407497431883"/>
    <n v="83869.622491854214"/>
  </r>
  <r>
    <n v="881"/>
    <x v="11"/>
    <s v="Freshwater"/>
    <x v="1"/>
    <x v="0"/>
    <n v="804"/>
    <s v="Puyallup River"/>
    <s v="Puyallup River"/>
    <s v="Pierce"/>
    <x v="3"/>
    <s v="Snohomish"/>
    <s v="03Snohomish"/>
    <s v="North Puget Sound"/>
    <s v="01North Puget Sound"/>
    <n v="941.36147757256003"/>
    <n v="3238.2834828496102"/>
    <n v="952.96345836834189"/>
    <n v="3372.576216800468"/>
  </r>
  <r>
    <n v="884"/>
    <x v="11"/>
    <s v="Freshwater"/>
    <x v="1"/>
    <x v="0"/>
    <n v="804"/>
    <s v="Puyallup River"/>
    <s v="Puyallup River"/>
    <s v="Pierce"/>
    <x v="3"/>
    <s v="Thurston"/>
    <s v="08Thurston"/>
    <s v="South Puget Sound"/>
    <s v="02South Puget Sound"/>
    <n v="2128.2955145118699"/>
    <n v="7321.3365699208298"/>
    <n v="2127.761787083848"/>
    <n v="7530.2350107134398"/>
  </r>
  <r>
    <n v="982"/>
    <x v="11"/>
    <s v="Freshwater"/>
    <x v="1"/>
    <x v="0"/>
    <n v="808"/>
    <s v="White (Stuck) River"/>
    <s v="White (Stuck) River"/>
    <s v="Pierce"/>
    <x v="3"/>
    <s v="King"/>
    <s v="06King"/>
    <s v="South Puget Sound"/>
    <s v="02South Puget Sound"/>
    <n v="3"/>
    <n v="10.32"/>
    <n v="3"/>
    <n v="10.617121319347246"/>
  </r>
  <r>
    <n v="1468"/>
    <x v="1"/>
    <s v="Freshwater"/>
    <x v="1"/>
    <x v="0"/>
    <n v="810"/>
    <s v="Pysht River"/>
    <s v="Pysht River"/>
    <s v="Clallam"/>
    <x v="0"/>
    <s v="Kitsap"/>
    <s v="10Kitsap"/>
    <s v="South Puget Sound"/>
    <s v="02South Puget Sound"/>
    <n v="27"/>
    <n v="92.88"/>
    <n v="27"/>
    <n v="95.55409187412522"/>
  </r>
  <r>
    <n v="647"/>
    <x v="0"/>
    <s v="Freshwater"/>
    <x v="1"/>
    <x v="0"/>
    <n v="812"/>
    <s v="Quilcene River"/>
    <s v="Quilcene River"/>
    <s v="Jefferson"/>
    <x v="4"/>
    <s v="Clallam"/>
    <s v="11Clallam"/>
    <s v="Strait of Juan de Fuca"/>
    <s v="03Strait of Juan de Fuca"/>
    <n v="119.352112676056"/>
    <n v="1032.39577464788"/>
    <n v="119.4209558823529"/>
    <n v="575.55585357668099"/>
  </r>
  <r>
    <n v="648"/>
    <x v="0"/>
    <s v="Freshwater"/>
    <x v="1"/>
    <x v="0"/>
    <n v="812"/>
    <s v="Quilcene River"/>
    <s v="Quilcene River"/>
    <s v="Jefferson"/>
    <x v="4"/>
    <s v="Jefferson"/>
    <s v="12Jefferson"/>
    <s v="Strait of Juan de Fuca"/>
    <s v="03Strait of Juan de Fuca"/>
    <n v="87.943661971831006"/>
    <n v="760.71267605633795"/>
    <n v="87.984926470588306"/>
    <n v="424.04818385936392"/>
  </r>
  <r>
    <n v="633"/>
    <x v="0"/>
    <s v="Freshwater"/>
    <x v="1"/>
    <x v="0"/>
    <n v="812"/>
    <s v="Quilcene River"/>
    <s v="Quilcene River"/>
    <s v="Jefferson"/>
    <x v="4"/>
    <s v="King"/>
    <s v="06King"/>
    <s v="South Puget Sound"/>
    <s v="02South Puget Sound"/>
    <n v="6.28169014084507"/>
    <n v="54.336619718309898"/>
    <n v="6.2941176470588296"/>
    <n v="30.33484557294787"/>
  </r>
  <r>
    <n v="646"/>
    <x v="0"/>
    <s v="Freshwater"/>
    <x v="1"/>
    <x v="0"/>
    <n v="812"/>
    <s v="Quilcene River"/>
    <s v="Quilcene River"/>
    <s v="Jefferson"/>
    <x v="4"/>
    <s v="Kitsap"/>
    <s v="10Kitsap"/>
    <s v="South Puget Sound"/>
    <s v="02South Puget Sound"/>
    <n v="18.845070422535201"/>
    <n v="163.00985915493001"/>
    <n v="18.694117647058832"/>
    <n v="90.097326383951668"/>
  </r>
  <r>
    <n v="645"/>
    <x v="0"/>
    <s v="Freshwater"/>
    <x v="1"/>
    <x v="0"/>
    <n v="812"/>
    <s v="Quilcene River"/>
    <s v="Quilcene River"/>
    <s v="Jefferson"/>
    <x v="4"/>
    <s v="Mason"/>
    <s v="09Mason"/>
    <s v="South Puget Sound"/>
    <s v="02South Puget Sound"/>
    <n v="81.661971830985905"/>
    <n v="706.37605633802798"/>
    <n v="81.784926470588303"/>
    <n v="394.16694345386202"/>
  </r>
  <r>
    <n v="632"/>
    <x v="0"/>
    <s v="Freshwater"/>
    <x v="1"/>
    <x v="0"/>
    <n v="812"/>
    <s v="Quilcene River"/>
    <s v="Quilcene River"/>
    <s v="Jefferson"/>
    <x v="4"/>
    <s v="Snohomish"/>
    <s v="03Snohomish"/>
    <s v="North Puget Sound"/>
    <s v="01North Puget Sound"/>
    <n v="50.253521126760603"/>
    <n v="434.69295774647901"/>
    <n v="50.1132352941177"/>
    <n v="241.52348892274409"/>
  </r>
  <r>
    <n v="634"/>
    <x v="0"/>
    <s v="Freshwater"/>
    <x v="1"/>
    <x v="0"/>
    <n v="812"/>
    <s v="Quilcene River"/>
    <s v="Quilcene River"/>
    <s v="Jefferson"/>
    <x v="4"/>
    <s v="Thurston"/>
    <s v="08Thurston"/>
    <s v="South Puget Sound"/>
    <s v="02South Puget Sound"/>
    <n v="81.661971830985905"/>
    <n v="706.37605633802798"/>
    <n v="81.707720588235304"/>
    <n v="393.7948454649412"/>
  </r>
  <r>
    <n v="723"/>
    <x v="1"/>
    <s v="Freshwater"/>
    <x v="1"/>
    <x v="0"/>
    <n v="812"/>
    <s v="Quilcene River"/>
    <s v="Quilcene River"/>
    <s v="Jefferson"/>
    <x v="4"/>
    <s v="Clallam"/>
    <s v="11Clallam"/>
    <s v="Strait of Juan de Fuca"/>
    <s v="03Strait of Juan de Fuca"/>
    <n v="1068.1699716713899"/>
    <n v="3674.5047025495801"/>
    <n v="1080.4834710743798"/>
    <n v="3823.874698648704"/>
  </r>
  <r>
    <n v="717"/>
    <x v="1"/>
    <s v="Freshwater"/>
    <x v="1"/>
    <x v="0"/>
    <n v="812"/>
    <s v="Quilcene River"/>
    <s v="Quilcene River"/>
    <s v="Jefferson"/>
    <x v="4"/>
    <s v="Island"/>
    <s v="04Island"/>
    <s v="North Puget Sound"/>
    <s v="01North Puget Sound"/>
    <n v="170.61048158640199"/>
    <n v="586.90005665722299"/>
    <n v="172.5371900826446"/>
    <n v="610.61609306890477"/>
  </r>
  <r>
    <n v="724"/>
    <x v="1"/>
    <s v="Freshwater"/>
    <x v="1"/>
    <x v="0"/>
    <n v="812"/>
    <s v="Quilcene River"/>
    <s v="Quilcene River"/>
    <s v="Jefferson"/>
    <x v="4"/>
    <s v="Jefferson"/>
    <s v="12Jefferson"/>
    <s v="Strait of Juan de Fuca"/>
    <s v="03Strait of Juan de Fuca"/>
    <n v="1624.5084985835699"/>
    <n v="5588.30923512748"/>
    <n v="1643.0909090909099"/>
    <n v="5814.9651735115822"/>
  </r>
  <r>
    <n v="718"/>
    <x v="1"/>
    <s v="Freshwater"/>
    <x v="1"/>
    <x v="0"/>
    <n v="812"/>
    <s v="Quilcene River"/>
    <s v="Quilcene River"/>
    <s v="Jefferson"/>
    <x v="4"/>
    <s v="King"/>
    <s v="06King"/>
    <s v="South Puget Sound"/>
    <s v="02South Puget Sound"/>
    <n v="482.160056657224"/>
    <n v="1658.6305949008499"/>
    <n v="465.140495867769"/>
    <n v="1646.15102505648"/>
  </r>
  <r>
    <n v="722"/>
    <x v="1"/>
    <s v="Freshwater"/>
    <x v="1"/>
    <x v="0"/>
    <n v="812"/>
    <s v="Quilcene River"/>
    <s v="Quilcene River"/>
    <s v="Jefferson"/>
    <x v="4"/>
    <s v="Kitsap"/>
    <s v="10Kitsap"/>
    <s v="South Puget Sound"/>
    <s v="02South Puget Sound"/>
    <n v="912.39518413597705"/>
    <n v="3138.6394334277602"/>
    <n v="915.34297520661198"/>
    <n v="3239.4358055269527"/>
  </r>
  <r>
    <n v="721"/>
    <x v="1"/>
    <s v="Freshwater"/>
    <x v="1"/>
    <x v="0"/>
    <n v="812"/>
    <s v="Quilcene River"/>
    <s v="Quilcene River"/>
    <s v="Jefferson"/>
    <x v="4"/>
    <s v="Mason"/>
    <s v="09Mason"/>
    <s v="South Puget Sound"/>
    <s v="02South Puget Sound"/>
    <n v="370.89235127478798"/>
    <n v="1275.8696883852699"/>
    <n v="375.13636363636397"/>
    <n v="1327.6227613420135"/>
  </r>
  <r>
    <n v="725"/>
    <x v="1"/>
    <s v="Freshwater"/>
    <x v="1"/>
    <x v="0"/>
    <n v="812"/>
    <s v="Quilcene River"/>
    <s v="Quilcene River"/>
    <s v="Jefferson"/>
    <x v="4"/>
    <s v="Other"/>
    <s v="20Other"/>
    <s v="Non Puget Sound"/>
    <s v="07Non Puget Sound"/>
    <n v="163.19263456090701"/>
    <n v="561.38266288952002"/>
    <n v="135.07024793388399"/>
    <n v="478.01906964945266"/>
  </r>
  <r>
    <n v="719"/>
    <x v="1"/>
    <s v="Freshwater"/>
    <x v="1"/>
    <x v="0"/>
    <n v="812"/>
    <s v="Quilcene River"/>
    <s v="Quilcene River"/>
    <s v="Jefferson"/>
    <x v="4"/>
    <s v="Pierce"/>
    <s v="07Pierce"/>
    <s v="South Puget Sound"/>
    <s v="02South Puget Sound"/>
    <n v="185.44617563739399"/>
    <n v="637.93484419263496"/>
    <n v="187.59504132231399"/>
    <n v="663.90643754232246"/>
  </r>
  <r>
    <n v="716"/>
    <x v="1"/>
    <s v="Freshwater"/>
    <x v="1"/>
    <x v="0"/>
    <n v="812"/>
    <s v="Quilcene River"/>
    <s v="Quilcene River"/>
    <s v="Jefferson"/>
    <x v="4"/>
    <s v="Snohomish"/>
    <s v="03Snohomish"/>
    <s v="North Puget Sound"/>
    <s v="01North Puget Sound"/>
    <n v="81.596317280453306"/>
    <n v="280.69133144475899"/>
    <n v="82.524793388429799"/>
    <n v="292.05858108634158"/>
  </r>
  <r>
    <n v="720"/>
    <x v="1"/>
    <s v="Freshwater"/>
    <x v="1"/>
    <x v="0"/>
    <n v="812"/>
    <s v="Quilcene River"/>
    <s v="Quilcene River"/>
    <s v="Jefferson"/>
    <x v="4"/>
    <s v="Thurston"/>
    <s v="08Thurston"/>
    <s v="South Puget Sound"/>
    <s v="02South Puget Sound"/>
    <n v="178.02832861189799"/>
    <n v="612.41745042492903"/>
    <n v="180.07851239669401"/>
    <n v="637.30513770775906"/>
  </r>
  <r>
    <n v="743"/>
    <x v="2"/>
    <s v="Freshwater"/>
    <x v="1"/>
    <x v="0"/>
    <n v="812"/>
    <s v="Quilcene River"/>
    <s v="Quilcene River"/>
    <s v="Jefferson"/>
    <x v="4"/>
    <s v="Clallam"/>
    <s v="11Clallam"/>
    <s v="Strait of Juan de Fuca"/>
    <s v="03Strait of Juan de Fuca"/>
    <n v="681.70152761457098"/>
    <n v="5896.7182138660401"/>
    <n v="719.78006335623536"/>
    <n v="3469.0195342314601"/>
  </r>
  <r>
    <n v="744"/>
    <x v="2"/>
    <s v="Freshwater"/>
    <x v="1"/>
    <x v="0"/>
    <n v="812"/>
    <s v="Quilcene River"/>
    <s v="Quilcene River"/>
    <s v="Jefferson"/>
    <x v="4"/>
    <s v="Jefferson"/>
    <s v="12Jefferson"/>
    <s v="Strait of Juan de Fuca"/>
    <s v="03Strait of Juan de Fuca"/>
    <n v="1363.4030552291399"/>
    <n v="11793.4364277321"/>
    <n v="1139.5525363064139"/>
    <n v="5492.1360148502217"/>
  </r>
  <r>
    <n v="728"/>
    <x v="2"/>
    <s v="Freshwater"/>
    <x v="1"/>
    <x v="0"/>
    <n v="812"/>
    <s v="Quilcene River"/>
    <s v="Quilcene River"/>
    <s v="Jefferson"/>
    <x v="4"/>
    <s v="King"/>
    <s v="06King"/>
    <s v="South Puget Sound"/>
    <s v="02South Puget Sound"/>
    <n v="766.91421856639295"/>
    <n v="6633.8079905993"/>
    <n v="779.76171473238219"/>
    <n v="3758.1043962781773"/>
  </r>
  <r>
    <n v="742"/>
    <x v="2"/>
    <s v="Freshwater"/>
    <x v="1"/>
    <x v="0"/>
    <n v="812"/>
    <s v="Quilcene River"/>
    <s v="Quilcene River"/>
    <s v="Jefferson"/>
    <x v="4"/>
    <s v="Kitsap"/>
    <s v="10Kitsap"/>
    <s v="South Puget Sound"/>
    <s v="02South Puget Sound"/>
    <n v="1114.8660399529999"/>
    <n v="9643.5912455934504"/>
    <n v="1169.6195334677302"/>
    <n v="5637.0455584710016"/>
  </r>
  <r>
    <n v="731"/>
    <x v="2"/>
    <s v="Freshwater"/>
    <x v="1"/>
    <x v="0"/>
    <n v="812"/>
    <s v="Quilcene River"/>
    <s v="Quilcene River"/>
    <s v="Jefferson"/>
    <x v="4"/>
    <s v="Mason"/>
    <s v="09Mason"/>
    <s v="South Puget Sound"/>
    <s v="02South Puget Sound"/>
    <n v="468.66980023501799"/>
    <n v="4053.9937720329099"/>
    <n v="494.856502242153"/>
    <n v="2384.9880822134774"/>
  </r>
  <r>
    <n v="745"/>
    <x v="2"/>
    <s v="Freshwater"/>
    <x v="1"/>
    <x v="0"/>
    <n v="812"/>
    <s v="Quilcene River"/>
    <s v="Quilcene River"/>
    <s v="Jefferson"/>
    <x v="4"/>
    <s v="Other"/>
    <s v="20Other"/>
    <s v="Non Puget Sound"/>
    <s v="07Non Puget Sound"/>
    <n v="511.27614571092801"/>
    <n v="4422.5386603995303"/>
    <n v="539.78931994898596"/>
    <n v="2601.544264148069"/>
  </r>
  <r>
    <n v="729"/>
    <x v="2"/>
    <s v="Freshwater"/>
    <x v="1"/>
    <x v="0"/>
    <n v="812"/>
    <s v="Quilcene River"/>
    <s v="Quilcene River"/>
    <s v="Jefferson"/>
    <x v="4"/>
    <s v="Pierce"/>
    <s v="07Pierce"/>
    <s v="South Puget Sound"/>
    <s v="02South Puget Sound"/>
    <n v="397.65922444183298"/>
    <n v="3439.7522914218598"/>
    <n v="419.86944090179747"/>
    <n v="2023.583822985529"/>
  </r>
  <r>
    <n v="726"/>
    <x v="2"/>
    <s v="Freshwater"/>
    <x v="1"/>
    <x v="0"/>
    <n v="812"/>
    <s v="Quilcene River"/>
    <s v="Quilcene River"/>
    <s v="Jefferson"/>
    <x v="4"/>
    <s v="Skagit"/>
    <s v="02Skagit"/>
    <s v="North Puget Sound"/>
    <s v="01North Puget Sound"/>
    <n v="7.1010575793184501"/>
    <n v="61.424148061104603"/>
    <n v="7.5"/>
    <n v="36.146661780849065"/>
  </r>
  <r>
    <n v="727"/>
    <x v="2"/>
    <s v="Freshwater"/>
    <x v="1"/>
    <x v="0"/>
    <n v="812"/>
    <s v="Quilcene River"/>
    <s v="Quilcene River"/>
    <s v="Jefferson"/>
    <x v="4"/>
    <s v="Snohomish"/>
    <s v="03Snohomish"/>
    <s v="North Puget Sound"/>
    <s v="01North Puget Sound"/>
    <n v="440.26556991774402"/>
    <n v="3808.2971797884902"/>
    <n v="464.85609083803081"/>
    <n v="2240.3994523053266"/>
  </r>
  <r>
    <n v="730"/>
    <x v="2"/>
    <s v="Freshwater"/>
    <x v="1"/>
    <x v="0"/>
    <n v="812"/>
    <s v="Quilcene River"/>
    <s v="Quilcene River"/>
    <s v="Jefferson"/>
    <x v="4"/>
    <s v="Thurston"/>
    <s v="08Thurston"/>
    <s v="South Puget Sound"/>
    <s v="02South Puget Sound"/>
    <n v="291.14336075205603"/>
    <n v="2518.3900705052802"/>
    <n v="307.41479820627802"/>
    <n v="1481.6024982920396"/>
  </r>
  <r>
    <n v="817"/>
    <x v="3"/>
    <s v="Freshwater"/>
    <x v="1"/>
    <x v="0"/>
    <n v="812"/>
    <s v="Quilcene River"/>
    <s v="Quilcene River"/>
    <s v="Jefferson"/>
    <x v="4"/>
    <s v="Clallam"/>
    <s v="11Clallam"/>
    <s v="Strait of Juan de Fuca"/>
    <s v="03Strait of Juan de Fuca"/>
    <n v="428.22641509433998"/>
    <n v="1473.0988679245299"/>
    <n v="433.70258538142389"/>
    <n v="1534.890988503045"/>
  </r>
  <r>
    <n v="818"/>
    <x v="3"/>
    <s v="Freshwater"/>
    <x v="1"/>
    <x v="0"/>
    <n v="812"/>
    <s v="Quilcene River"/>
    <s v="Quilcene River"/>
    <s v="Jefferson"/>
    <x v="4"/>
    <s v="Jefferson"/>
    <s v="12Jefferson"/>
    <s v="Strait of Juan de Fuca"/>
    <s v="03Strait of Juan de Fuca"/>
    <n v="588.81132075471703"/>
    <n v="2025.51094339623"/>
    <n v="569.28247685924021"/>
    <n v="2014.7137072643482"/>
  </r>
  <r>
    <n v="812"/>
    <x v="3"/>
    <s v="Freshwater"/>
    <x v="1"/>
    <x v="0"/>
    <n v="812"/>
    <s v="Quilcene River"/>
    <s v="Quilcene River"/>
    <s v="Jefferson"/>
    <x v="4"/>
    <s v="King"/>
    <s v="06King"/>
    <s v="South Puget Sound"/>
    <s v="02South Puget Sound"/>
    <n v="276.56289308176099"/>
    <n v="951.37635220125799"/>
    <n v="280.059048834983"/>
    <n v="991.14029935400322"/>
  </r>
  <r>
    <n v="816"/>
    <x v="3"/>
    <s v="Freshwater"/>
    <x v="1"/>
    <x v="0"/>
    <n v="812"/>
    <s v="Quilcene River"/>
    <s v="Quilcene River"/>
    <s v="Jefferson"/>
    <x v="4"/>
    <s v="Kitsap"/>
    <s v="10Kitsap"/>
    <s v="South Puget Sound"/>
    <s v="02South Puget Sound"/>
    <n v="713.71069182389897"/>
    <n v="2455.1647798742101"/>
    <n v="722.73954676029405"/>
    <n v="2557.8044834146945"/>
  </r>
  <r>
    <n v="815"/>
    <x v="3"/>
    <s v="Freshwater"/>
    <x v="1"/>
    <x v="0"/>
    <n v="812"/>
    <s v="Quilcene River"/>
    <s v="Quilcene River"/>
    <s v="Jefferson"/>
    <x v="4"/>
    <s v="Mason"/>
    <s v="09Mason"/>
    <s v="South Puget Sound"/>
    <s v="02South Puget Sound"/>
    <n v="294.40566037735903"/>
    <n v="1012.75547169812"/>
    <n v="289.12926907117833"/>
    <n v="1023.2401755676312"/>
  </r>
  <r>
    <n v="819"/>
    <x v="3"/>
    <s v="Freshwater"/>
    <x v="1"/>
    <x v="0"/>
    <n v="812"/>
    <s v="Quilcene River"/>
    <s v="Quilcene River"/>
    <s v="Jefferson"/>
    <x v="4"/>
    <s v="Other"/>
    <s v="20Other"/>
    <s v="Non Puget Sound"/>
    <s v="07Non Puget Sound"/>
    <n v="160.58490566037699"/>
    <n v="552.41207547169699"/>
    <n v="162.62617299712741"/>
    <n v="575.54060280388501"/>
  </r>
  <r>
    <n v="813"/>
    <x v="3"/>
    <s v="Freshwater"/>
    <x v="1"/>
    <x v="0"/>
    <n v="812"/>
    <s v="Quilcene River"/>
    <s v="Quilcene River"/>
    <s v="Jefferson"/>
    <x v="4"/>
    <s v="Pierce"/>
    <s v="07Pierce"/>
    <s v="South Puget Sound"/>
    <s v="02South Puget Sound"/>
    <n v="214.11320754716999"/>
    <n v="736.54943396226497"/>
    <n v="216.896265560166"/>
    <n v="767.60465505521347"/>
  </r>
  <r>
    <n v="748"/>
    <x v="3"/>
    <s v="Freshwater"/>
    <x v="1"/>
    <x v="0"/>
    <n v="812"/>
    <s v="Quilcene River"/>
    <s v="Quilcene River"/>
    <s v="Jefferson"/>
    <x v="4"/>
    <s v="Skagit"/>
    <s v="02Skagit"/>
    <s v="North Puget Sound"/>
    <s v="01North Puget Sound"/>
    <n v="26.764150943396199"/>
    <n v="92.068679245282894"/>
    <n v="27.092307692307699"/>
    <n v="95.880772530105148"/>
  </r>
  <r>
    <n v="811"/>
    <x v="3"/>
    <s v="Freshwater"/>
    <x v="1"/>
    <x v="0"/>
    <n v="812"/>
    <s v="Quilcene River"/>
    <s v="Quilcene River"/>
    <s v="Jefferson"/>
    <x v="4"/>
    <s v="Snohomish"/>
    <s v="03Snohomish"/>
    <s v="North Puget Sound"/>
    <s v="01North Puget Sound"/>
    <n v="35.685534591195001"/>
    <n v="122.758238993711"/>
    <n v="36.061538461538504"/>
    <n v="127.62324293615372"/>
  </r>
  <r>
    <n v="814"/>
    <x v="3"/>
    <s v="Freshwater"/>
    <x v="1"/>
    <x v="0"/>
    <n v="812"/>
    <s v="Quilcene River"/>
    <s v="Quilcene River"/>
    <s v="Jefferson"/>
    <x v="4"/>
    <s v="Thurston"/>
    <s v="08Thurston"/>
    <s v="South Puget Sound"/>
    <s v="02South Puget Sound"/>
    <n v="98.135220125786205"/>
    <n v="337.585157232705"/>
    <n v="99.410788381742805"/>
    <n v="351.81880023363971"/>
  </r>
  <r>
    <n v="828"/>
    <x v="4"/>
    <s v="Freshwater"/>
    <x v="1"/>
    <x v="0"/>
    <n v="812"/>
    <s v="Quilcene River"/>
    <s v="Quilcene River"/>
    <s v="Jefferson"/>
    <x v="4"/>
    <s v="Clallam"/>
    <s v="11Clallam"/>
    <s v="Strait of Juan de Fuca"/>
    <s v="03Strait of Juan de Fuca"/>
    <n v="331.14619883040899"/>
    <n v="2864.4146198830399"/>
    <n v="331.17500000000001"/>
    <n v="1596.1160953696919"/>
  </r>
  <r>
    <n v="829"/>
    <x v="4"/>
    <s v="Freshwater"/>
    <x v="1"/>
    <x v="0"/>
    <n v="812"/>
    <s v="Quilcene River"/>
    <s v="Quilcene River"/>
    <s v="Jefferson"/>
    <x v="4"/>
    <s v="Jefferson"/>
    <s v="12Jefferson"/>
    <s v="Strait of Juan de Fuca"/>
    <s v="03Strait of Juan de Fuca"/>
    <n v="79.187134502923996"/>
    <n v="684.96871345029297"/>
    <n v="79.2"/>
    <n v="381.70874840576613"/>
  </r>
  <r>
    <n v="824"/>
    <x v="4"/>
    <s v="Freshwater"/>
    <x v="1"/>
    <x v="0"/>
    <n v="812"/>
    <s v="Quilcene River"/>
    <s v="Quilcene River"/>
    <s v="Jefferson"/>
    <x v="4"/>
    <s v="King"/>
    <s v="06King"/>
    <s v="South Puget Sound"/>
    <s v="02South Puget Sound"/>
    <n v="86.385964912280699"/>
    <n v="747.23859649122801"/>
    <n v="86.387500000000003"/>
    <n v="416.34929927907979"/>
  </r>
  <r>
    <n v="827"/>
    <x v="4"/>
    <s v="Freshwater"/>
    <x v="1"/>
    <x v="0"/>
    <n v="812"/>
    <s v="Quilcene River"/>
    <s v="Quilcene River"/>
    <s v="Jefferson"/>
    <x v="4"/>
    <s v="Kitsap"/>
    <s v="10Kitsap"/>
    <s v="South Puget Sound"/>
    <s v="02South Puget Sound"/>
    <n v="424.730994152047"/>
    <n v="3673.9230994152099"/>
    <n v="424.65"/>
    <n v="2046.6239900316739"/>
  </r>
  <r>
    <n v="830"/>
    <x v="4"/>
    <s v="Freshwater"/>
    <x v="1"/>
    <x v="0"/>
    <n v="812"/>
    <s v="Quilcene River"/>
    <s v="Quilcene River"/>
    <s v="Jefferson"/>
    <x v="4"/>
    <s v="Other"/>
    <s v="20Other"/>
    <s v="Non Puget Sound"/>
    <s v="07Non Puget Sound"/>
    <n v="100.783625730994"/>
    <n v="871.77836257309798"/>
    <n v="100.80000000000001"/>
    <n v="485.81113433461144"/>
  </r>
  <r>
    <n v="825"/>
    <x v="4"/>
    <s v="Freshwater"/>
    <x v="1"/>
    <x v="0"/>
    <n v="812"/>
    <s v="Quilcene River"/>
    <s v="Quilcene River"/>
    <s v="Jefferson"/>
    <x v="4"/>
    <s v="Pierce"/>
    <s v="07Pierce"/>
    <s v="South Puget Sound"/>
    <s v="02South Puget Sound"/>
    <n v="107.982456140351"/>
    <n v="934.04824561403598"/>
    <n v="107.9875"/>
    <n v="520.45168520792504"/>
  </r>
  <r>
    <n v="822"/>
    <x v="4"/>
    <s v="Freshwater"/>
    <x v="1"/>
    <x v="0"/>
    <n v="812"/>
    <s v="Quilcene River"/>
    <s v="Quilcene River"/>
    <s v="Jefferson"/>
    <x v="4"/>
    <s v="Skagit"/>
    <s v="02Skagit"/>
    <s v="North Puget Sound"/>
    <s v="01North Puget Sound"/>
    <n v="14.397660818713501"/>
    <n v="124.539766081872"/>
    <n v="14.4"/>
    <n v="69.401590619230205"/>
  </r>
  <r>
    <n v="823"/>
    <x v="4"/>
    <s v="Freshwater"/>
    <x v="1"/>
    <x v="0"/>
    <n v="812"/>
    <s v="Quilcene River"/>
    <s v="Quilcene River"/>
    <s v="Jefferson"/>
    <x v="4"/>
    <s v="Snohomish"/>
    <s v="03Snohomish"/>
    <s v="North Puget Sound"/>
    <s v="01North Puget Sound"/>
    <n v="57.590643274853797"/>
    <n v="498.159064327485"/>
    <n v="57.6"/>
    <n v="277.60636247692082"/>
  </r>
  <r>
    <n v="826"/>
    <x v="4"/>
    <s v="Freshwater"/>
    <x v="1"/>
    <x v="0"/>
    <n v="812"/>
    <s v="Quilcene River"/>
    <s v="Quilcene River"/>
    <s v="Jefferson"/>
    <x v="4"/>
    <s v="Thurston"/>
    <s v="08Thurston"/>
    <s v="South Puget Sound"/>
    <s v="02South Puget Sound"/>
    <n v="28.795321637426898"/>
    <n v="249.07953216374301"/>
    <n v="28.8"/>
    <n v="138.80318123846041"/>
  </r>
  <r>
    <n v="842"/>
    <x v="5"/>
    <s v="Freshwater"/>
    <x v="1"/>
    <x v="0"/>
    <n v="812"/>
    <s v="Quilcene River"/>
    <s v="Quilcene River"/>
    <s v="Jefferson"/>
    <x v="4"/>
    <s v="Island"/>
    <s v="04Island"/>
    <s v="North Puget Sound"/>
    <s v="01North Puget Sound"/>
    <n v="9.2098765432098801"/>
    <n v="31.681975308641999"/>
    <n v="9.25"/>
    <n v="32.73612406798734"/>
  </r>
  <r>
    <n v="846"/>
    <x v="5"/>
    <s v="Freshwater"/>
    <x v="1"/>
    <x v="0"/>
    <n v="812"/>
    <s v="Quilcene River"/>
    <s v="Quilcene River"/>
    <s v="Jefferson"/>
    <x v="4"/>
    <s v="Jefferson"/>
    <s v="12Jefferson"/>
    <s v="Strait of Juan de Fuca"/>
    <s v="03Strait of Juan de Fuca"/>
    <n v="119.72839506172799"/>
    <n v="411.865679012344"/>
    <n v="119.875"/>
    <n v="424.24247271891704"/>
  </r>
  <r>
    <n v="843"/>
    <x v="5"/>
    <s v="Freshwater"/>
    <x v="1"/>
    <x v="0"/>
    <n v="812"/>
    <s v="Quilcene River"/>
    <s v="Quilcene River"/>
    <s v="Jefferson"/>
    <x v="4"/>
    <s v="King"/>
    <s v="06King"/>
    <s v="South Puget Sound"/>
    <s v="02South Puget Sound"/>
    <n v="73.679012345678998"/>
    <n v="253.45580246913599"/>
    <n v="73.6666666666667"/>
    <n v="260.7093123973047"/>
  </r>
  <r>
    <n v="845"/>
    <x v="5"/>
    <s v="Freshwater"/>
    <x v="1"/>
    <x v="0"/>
    <n v="812"/>
    <s v="Quilcene River"/>
    <s v="Quilcene River"/>
    <s v="Jefferson"/>
    <x v="4"/>
    <s v="Kitsap"/>
    <s v="10Kitsap"/>
    <s v="South Puget Sound"/>
    <s v="02South Puget Sound"/>
    <n v="368.39506172839498"/>
    <n v="1267.27901234568"/>
    <n v="368.375"/>
    <n v="1303.6940220048473"/>
  </r>
  <r>
    <n v="847"/>
    <x v="5"/>
    <s v="Freshwater"/>
    <x v="1"/>
    <x v="0"/>
    <n v="812"/>
    <s v="Quilcene River"/>
    <s v="Quilcene River"/>
    <s v="Jefferson"/>
    <x v="4"/>
    <s v="Other"/>
    <s v="20Other"/>
    <s v="Non Puget Sound"/>
    <s v="07Non Puget Sound"/>
    <n v="128.938271604938"/>
    <n v="443.54765432098702"/>
    <n v="129"/>
    <n v="456.53621673193157"/>
  </r>
  <r>
    <n v="844"/>
    <x v="5"/>
    <s v="Freshwater"/>
    <x v="1"/>
    <x v="0"/>
    <n v="812"/>
    <s v="Quilcene River"/>
    <s v="Quilcene River"/>
    <s v="Jefferson"/>
    <x v="4"/>
    <s v="Pierce"/>
    <s v="07Pierce"/>
    <s v="South Puget Sound"/>
    <s v="02South Puget Sound"/>
    <n v="36.839506172839499"/>
    <n v="126.72790123456799"/>
    <n v="36.625"/>
    <n v="129.61735610703096"/>
  </r>
  <r>
    <n v="832"/>
    <x v="5"/>
    <s v="Freshwater"/>
    <x v="1"/>
    <x v="0"/>
    <n v="812"/>
    <s v="Quilcene River"/>
    <s v="Quilcene River"/>
    <s v="Jefferson"/>
    <x v="4"/>
    <s v="Skagit"/>
    <s v="02Skagit"/>
    <s v="North Puget Sound"/>
    <s v="01North Puget Sound"/>
    <n v="9.2098765432098801"/>
    <n v="31.681975308641999"/>
    <n v="9.2083333333333304"/>
    <n v="32.588664049663066"/>
  </r>
  <r>
    <n v="923"/>
    <x v="6"/>
    <s v="Freshwater"/>
    <x v="1"/>
    <x v="0"/>
    <n v="812"/>
    <s v="Quilcene River"/>
    <s v="Quilcene River"/>
    <s v="Jefferson"/>
    <x v="4"/>
    <s v="Clallam"/>
    <s v="11Clallam"/>
    <s v="Strait of Juan de Fuca"/>
    <s v="03Strait of Juan de Fuca"/>
    <n v="951.75925925926003"/>
    <n v="8232.7175925926003"/>
    <n v="950.15837339456198"/>
    <n v="4579.3404481779899"/>
  </r>
  <r>
    <n v="849"/>
    <x v="6"/>
    <s v="Freshwater"/>
    <x v="1"/>
    <x v="0"/>
    <n v="812"/>
    <s v="Quilcene River"/>
    <s v="Quilcene River"/>
    <s v="Jefferson"/>
    <x v="4"/>
    <s v="Island"/>
    <s v="04Island"/>
    <s v="North Puget Sound"/>
    <s v="01North Puget Sound"/>
    <n v="10.0185185185185"/>
    <n v="86.660185185185"/>
    <n v="10.1436464088398"/>
    <n v="48.887860795314189"/>
  </r>
  <r>
    <n v="924"/>
    <x v="6"/>
    <s v="Freshwater"/>
    <x v="1"/>
    <x v="0"/>
    <n v="812"/>
    <s v="Quilcene River"/>
    <s v="Quilcene River"/>
    <s v="Jefferson"/>
    <x v="4"/>
    <s v="Jefferson"/>
    <s v="12Jefferson"/>
    <s v="Strait of Juan de Fuca"/>
    <s v="03Strait of Juan de Fuca"/>
    <n v="260.48148148148198"/>
    <n v="2253.1648148148201"/>
    <n v="262.01745354093418"/>
    <n v="1262.807503176464"/>
  </r>
  <r>
    <n v="850"/>
    <x v="6"/>
    <s v="Freshwater"/>
    <x v="1"/>
    <x v="0"/>
    <n v="812"/>
    <s v="Quilcene River"/>
    <s v="Quilcene River"/>
    <s v="Jefferson"/>
    <x v="4"/>
    <s v="King"/>
    <s v="06King"/>
    <s v="South Puget Sound"/>
    <s v="02South Puget Sound"/>
    <n v="50.092592592592602"/>
    <n v="433.30092592592598"/>
    <n v="50.718232044198899"/>
    <n v="244.43930397657047"/>
  </r>
  <r>
    <n v="922"/>
    <x v="6"/>
    <s v="Freshwater"/>
    <x v="1"/>
    <x v="0"/>
    <n v="812"/>
    <s v="Quilcene River"/>
    <s v="Quilcene River"/>
    <s v="Jefferson"/>
    <x v="4"/>
    <s v="Kitsap"/>
    <s v="10Kitsap"/>
    <s v="South Puget Sound"/>
    <s v="02South Puget Sound"/>
    <n v="941.74074074074099"/>
    <n v="8146.0574074074102"/>
    <n v="935.02963335007507"/>
    <n v="4506.4266549035292"/>
  </r>
  <r>
    <n v="921"/>
    <x v="6"/>
    <s v="Freshwater"/>
    <x v="1"/>
    <x v="0"/>
    <n v="812"/>
    <s v="Quilcene River"/>
    <s v="Quilcene River"/>
    <s v="Jefferson"/>
    <x v="4"/>
    <s v="Mason"/>
    <s v="09Mason"/>
    <s v="South Puget Sound"/>
    <s v="02South Puget Sound"/>
    <n v="190.35185185185199"/>
    <n v="1646.5435185185199"/>
    <n v="191.00868192580941"/>
    <n v="920.57682970373469"/>
  </r>
  <r>
    <n v="925"/>
    <x v="6"/>
    <s v="Freshwater"/>
    <x v="1"/>
    <x v="0"/>
    <n v="812"/>
    <s v="Quilcene River"/>
    <s v="Quilcene River"/>
    <s v="Jefferson"/>
    <x v="4"/>
    <s v="Other"/>
    <s v="20Other"/>
    <s v="Non Puget Sound"/>
    <s v="07Non Puget Sound"/>
    <n v="220.40740740740699"/>
    <n v="1906.5240740740701"/>
    <n v="222.10107985936691"/>
    <n v="1070.4283486450511"/>
  </r>
  <r>
    <n v="919"/>
    <x v="6"/>
    <s v="Freshwater"/>
    <x v="1"/>
    <x v="0"/>
    <n v="812"/>
    <s v="Quilcene River"/>
    <s v="Quilcene River"/>
    <s v="Jefferson"/>
    <x v="4"/>
    <s v="Pierce"/>
    <s v="07Pierce"/>
    <s v="South Puget Sound"/>
    <s v="02South Puget Sound"/>
    <n v="400.74074074074099"/>
    <n v="3466.4074074074101"/>
    <n v="402.94988161010303"/>
    <n v="1942.0390780258087"/>
  </r>
  <r>
    <n v="848"/>
    <x v="6"/>
    <s v="Freshwater"/>
    <x v="1"/>
    <x v="0"/>
    <n v="812"/>
    <s v="Quilcene River"/>
    <s v="Quilcene River"/>
    <s v="Jefferson"/>
    <x v="4"/>
    <s v="Snohomish"/>
    <s v="03Snohomish"/>
    <s v="North Puget Sound"/>
    <s v="01North Puget Sound"/>
    <n v="40.074074074074097"/>
    <n v="346.64074074074102"/>
    <n v="39.714285714285701"/>
    <n v="191.40518047763879"/>
  </r>
  <r>
    <n v="920"/>
    <x v="6"/>
    <s v="Freshwater"/>
    <x v="1"/>
    <x v="0"/>
    <n v="812"/>
    <s v="Quilcene River"/>
    <s v="Quilcene River"/>
    <s v="Jefferson"/>
    <x v="4"/>
    <s v="Thurston"/>
    <s v="08Thurston"/>
    <s v="South Puget Sound"/>
    <s v="02South Puget Sound"/>
    <n v="180.333333333333"/>
    <n v="1559.88333333333"/>
    <n v="182.15873215182563"/>
    <n v="877.92401086937559"/>
  </r>
  <r>
    <n v="932"/>
    <x v="7"/>
    <s v="Freshwater"/>
    <x v="1"/>
    <x v="0"/>
    <n v="812"/>
    <s v="Quilcene River"/>
    <s v="Quilcene River"/>
    <s v="Jefferson"/>
    <x v="4"/>
    <s v="Clallam"/>
    <s v="11Clallam"/>
    <s v="Strait of Juan de Fuca"/>
    <s v="03Strait of Juan de Fuca"/>
    <n v="50.882352941176499"/>
    <n v="175.035294117647"/>
    <n v="51.126712328767098"/>
    <n v="180.93950248462895"/>
  </r>
  <r>
    <n v="933"/>
    <x v="7"/>
    <s v="Freshwater"/>
    <x v="1"/>
    <x v="0"/>
    <n v="812"/>
    <s v="Quilcene River"/>
    <s v="Quilcene River"/>
    <s v="Jefferson"/>
    <x v="4"/>
    <s v="Jefferson"/>
    <s v="12Jefferson"/>
    <s v="Strait of Juan de Fuca"/>
    <s v="03Strait of Juan de Fuca"/>
    <n v="40.705882352941202"/>
    <n v="140.02823529411799"/>
    <n v="30.665221247659399"/>
    <n v="108.52545809034159"/>
  </r>
  <r>
    <n v="927"/>
    <x v="7"/>
    <s v="Freshwater"/>
    <x v="1"/>
    <x v="0"/>
    <n v="812"/>
    <s v="Quilcene River"/>
    <s v="Quilcene River"/>
    <s v="Jefferson"/>
    <x v="4"/>
    <s v="King"/>
    <s v="06King"/>
    <s v="South Puget Sound"/>
    <s v="02South Puget Sound"/>
    <n v="468.11764705882399"/>
    <n v="1610.3247058823499"/>
    <n v="470.20134029762494"/>
    <n v="1664.0615581531877"/>
  </r>
  <r>
    <n v="931"/>
    <x v="7"/>
    <s v="Freshwater"/>
    <x v="1"/>
    <x v="0"/>
    <n v="812"/>
    <s v="Quilcene River"/>
    <s v="Quilcene River"/>
    <s v="Jefferson"/>
    <x v="4"/>
    <s v="Kitsap"/>
    <s v="10Kitsap"/>
    <s v="South Puget Sound"/>
    <s v="02South Puget Sound"/>
    <n v="661.47058823529403"/>
    <n v="2275.45882352941"/>
    <n v="664.565955454814"/>
    <n v="2351.9257912572261"/>
  </r>
  <r>
    <n v="930"/>
    <x v="7"/>
    <s v="Freshwater"/>
    <x v="1"/>
    <x v="0"/>
    <n v="812"/>
    <s v="Quilcene River"/>
    <s v="Quilcene River"/>
    <s v="Jefferson"/>
    <x v="4"/>
    <s v="Mason"/>
    <s v="09Mason"/>
    <s v="South Puget Sound"/>
    <s v="02South Puget Sound"/>
    <n v="213.70588235294099"/>
    <n v="735.14823529411694"/>
    <n v="214.68345323740999"/>
    <n v="759.77342275933108"/>
  </r>
  <r>
    <n v="934"/>
    <x v="7"/>
    <s v="Freshwater"/>
    <x v="1"/>
    <x v="0"/>
    <n v="812"/>
    <s v="Quilcene River"/>
    <s v="Quilcene River"/>
    <s v="Jefferson"/>
    <x v="4"/>
    <s v="Other"/>
    <s v="20Other"/>
    <s v="Non Puget Sound"/>
    <s v="07Non Puget Sound"/>
    <n v="274.76470588235298"/>
    <n v="945.19058823529394"/>
    <n v="275.94471272297272"/>
    <n v="976.57949747074167"/>
  </r>
  <r>
    <n v="928"/>
    <x v="7"/>
    <s v="Freshwater"/>
    <x v="1"/>
    <x v="0"/>
    <n v="812"/>
    <s v="Quilcene River"/>
    <s v="Quilcene River"/>
    <s v="Jefferson"/>
    <x v="4"/>
    <s v="Pierce"/>
    <s v="07Pierce"/>
    <s v="South Puget Sound"/>
    <s v="02South Puget Sound"/>
    <n v="386.70588235294099"/>
    <n v="1330.2682352941199"/>
    <n v="388.49034197299704"/>
    <n v="1374.8830307073363"/>
  </r>
  <r>
    <n v="929"/>
    <x v="7"/>
    <s v="Freshwater"/>
    <x v="1"/>
    <x v="0"/>
    <n v="812"/>
    <s v="Quilcene River"/>
    <s v="Quilcene River"/>
    <s v="Jefferson"/>
    <x v="4"/>
    <s v="Thurston"/>
    <s v="08Thurston"/>
    <s v="South Puget Sound"/>
    <s v="02South Puget Sound"/>
    <n v="152.64705882352899"/>
    <n v="525.10588235293994"/>
    <n v="153.32226273775501"/>
    <n v="542.61368814785953"/>
  </r>
  <r>
    <n v="950"/>
    <x v="8"/>
    <s v="Freshwater"/>
    <x v="1"/>
    <x v="0"/>
    <n v="812"/>
    <s v="Quilcene River"/>
    <s v="Quilcene River"/>
    <s v="Jefferson"/>
    <x v="4"/>
    <s v="Clallam"/>
    <s v="11Clallam"/>
    <s v="Strait of Juan de Fuca"/>
    <s v="03Strait of Juan de Fuca"/>
    <n v="200.78431372548999"/>
    <n v="1736.7843137254899"/>
    <n v="200.80429732868791"/>
    <n v="967.78733595748463"/>
  </r>
  <r>
    <n v="951"/>
    <x v="8"/>
    <s v="Freshwater"/>
    <x v="1"/>
    <x v="0"/>
    <n v="812"/>
    <s v="Quilcene River"/>
    <s v="Quilcene River"/>
    <s v="Jefferson"/>
    <x v="4"/>
    <s v="Jefferson"/>
    <s v="12Jefferson"/>
    <s v="Strait of Juan de Fuca"/>
    <s v="03Strait of Juan de Fuca"/>
    <n v="542.11764705882399"/>
    <n v="4689.3176470588296"/>
    <n v="542.16995741385995"/>
    <n v="2613.017877116818"/>
  </r>
  <r>
    <n v="937"/>
    <x v="8"/>
    <s v="Freshwater"/>
    <x v="1"/>
    <x v="0"/>
    <n v="812"/>
    <s v="Quilcene River"/>
    <s v="Quilcene River"/>
    <s v="Jefferson"/>
    <x v="4"/>
    <s v="King"/>
    <s v="06King"/>
    <s v="South Puget Sound"/>
    <s v="02South Puget Sound"/>
    <n v="401.56862745098101"/>
    <n v="3473.5686274509899"/>
    <n v="401.60085172280299"/>
    <n v="1935.5373544166766"/>
  </r>
  <r>
    <n v="940"/>
    <x v="8"/>
    <s v="Freshwater"/>
    <x v="1"/>
    <x v="0"/>
    <n v="812"/>
    <s v="Quilcene River"/>
    <s v="Quilcene River"/>
    <s v="Jefferson"/>
    <x v="4"/>
    <s v="Kitsap"/>
    <s v="10Kitsap"/>
    <s v="South Puget Sound"/>
    <s v="02South Puget Sound"/>
    <n v="913.56862745098101"/>
    <n v="7902.3686274509901"/>
    <n v="913.53368176538902"/>
    <n v="4402.8257360249754"/>
  </r>
  <r>
    <n v="939"/>
    <x v="8"/>
    <s v="Freshwater"/>
    <x v="1"/>
    <x v="0"/>
    <n v="812"/>
    <s v="Quilcene River"/>
    <s v="Quilcene River"/>
    <s v="Jefferson"/>
    <x v="4"/>
    <s v="Mason"/>
    <s v="09Mason"/>
    <s v="South Puget Sound"/>
    <s v="02South Puget Sound"/>
    <n v="70.274509803921603"/>
    <n v="607.87450980392202"/>
    <n v="70.282617111885401"/>
    <n v="338.73093197549821"/>
  </r>
  <r>
    <n v="952"/>
    <x v="8"/>
    <s v="Freshwater"/>
    <x v="1"/>
    <x v="0"/>
    <n v="812"/>
    <s v="Quilcene River"/>
    <s v="Quilcene River"/>
    <s v="Jefferson"/>
    <x v="4"/>
    <s v="Other"/>
    <s v="20Other"/>
    <s v="Non Puget Sound"/>
    <s v="07Non Puget Sound"/>
    <n v="230.90196078431401"/>
    <n v="1997.30196078432"/>
    <n v="230.80429732868791"/>
    <n v="1112.3739830808809"/>
  </r>
  <r>
    <n v="938"/>
    <x v="8"/>
    <s v="Freshwater"/>
    <x v="1"/>
    <x v="0"/>
    <n v="812"/>
    <s v="Quilcene River"/>
    <s v="Quilcene River"/>
    <s v="Jefferson"/>
    <x v="4"/>
    <s v="Pierce"/>
    <s v="07Pierce"/>
    <s v="South Puget Sound"/>
    <s v="02South Puget Sound"/>
    <n v="150.58823529411799"/>
    <n v="1302.5882352941201"/>
    <n v="150.60201316298878"/>
    <n v="725.8346711090046"/>
  </r>
  <r>
    <n v="935"/>
    <x v="8"/>
    <s v="Freshwater"/>
    <x v="1"/>
    <x v="0"/>
    <n v="812"/>
    <s v="Quilcene River"/>
    <s v="Quilcene River"/>
    <s v="Jefferson"/>
    <x v="4"/>
    <s v="Skagit"/>
    <s v="02Skagit"/>
    <s v="North Puget Sound"/>
    <s v="01North Puget Sound"/>
    <n v="10.039215686274501"/>
    <n v="86.8392156862744"/>
    <n v="10.040650406504099"/>
    <n v="48.391465907153112"/>
  </r>
  <r>
    <n v="936"/>
    <x v="8"/>
    <s v="Freshwater"/>
    <x v="1"/>
    <x v="0"/>
    <n v="812"/>
    <s v="Quilcene River"/>
    <s v="Quilcene River"/>
    <s v="Jefferson"/>
    <x v="4"/>
    <s v="Snohomish"/>
    <s v="03Snohomish"/>
    <s v="North Puget Sound"/>
    <s v="01North Puget Sound"/>
    <n v="40.156862745098003"/>
    <n v="347.356862745098"/>
    <n v="40.1616337591947"/>
    <n v="193.56119894132542"/>
  </r>
  <r>
    <n v="1030"/>
    <x v="9"/>
    <s v="Freshwater"/>
    <x v="1"/>
    <x v="0"/>
    <n v="812"/>
    <s v="Quilcene River"/>
    <s v="Quilcene River"/>
    <s v="Jefferson"/>
    <x v="4"/>
    <s v="Clallam"/>
    <s v="11Clallam"/>
    <s v="Strait of Juan de Fuca"/>
    <s v="03Strait of Juan de Fuca"/>
    <n v="33.075949367088597"/>
    <n v="113.781265822785"/>
    <n v="33.072000000000003"/>
    <n v="117.04314542448405"/>
  </r>
  <r>
    <n v="1031"/>
    <x v="9"/>
    <s v="Freshwater"/>
    <x v="1"/>
    <x v="0"/>
    <n v="812"/>
    <s v="Quilcene River"/>
    <s v="Quilcene River"/>
    <s v="Jefferson"/>
    <x v="4"/>
    <s v="Jefferson"/>
    <s v="12Jefferson"/>
    <s v="Strait of Juan de Fuca"/>
    <s v="03Strait of Juan de Fuca"/>
    <n v="275.63291139240499"/>
    <n v="948.17721518987298"/>
    <n v="275.72579310344804"/>
    <n v="975.80473208418198"/>
  </r>
  <r>
    <n v="956"/>
    <x v="9"/>
    <s v="Freshwater"/>
    <x v="1"/>
    <x v="0"/>
    <n v="812"/>
    <s v="Quilcene River"/>
    <s v="Quilcene River"/>
    <s v="Jefferson"/>
    <x v="4"/>
    <s v="King"/>
    <s v="06King"/>
    <s v="South Puget Sound"/>
    <s v="02South Puget Sound"/>
    <n v="209.481012658228"/>
    <n v="720.61468354430394"/>
    <n v="209.45599999999999"/>
    <n v="741.27325435506555"/>
  </r>
  <r>
    <n v="1029"/>
    <x v="9"/>
    <s v="Freshwater"/>
    <x v="1"/>
    <x v="0"/>
    <n v="812"/>
    <s v="Quilcene River"/>
    <s v="Quilcene River"/>
    <s v="Jefferson"/>
    <x v="4"/>
    <s v="Kitsap"/>
    <s v="10Kitsap"/>
    <s v="South Puget Sound"/>
    <s v="02South Puget Sound"/>
    <n v="683.569620253165"/>
    <n v="2351.47949367089"/>
    <n v="683.63475862069004"/>
    <n v="2419.4110567995122"/>
  </r>
  <r>
    <n v="1028"/>
    <x v="9"/>
    <s v="Freshwater"/>
    <x v="1"/>
    <x v="0"/>
    <n v="812"/>
    <s v="Quilcene River"/>
    <s v="Quilcene River"/>
    <s v="Jefferson"/>
    <x v="4"/>
    <s v="Mason"/>
    <s v="09Mason"/>
    <s v="South Puget Sound"/>
    <s v="02South Puget Sound"/>
    <n v="143.329113924051"/>
    <n v="493.05215189873502"/>
    <n v="143.31200000000001"/>
    <n v="507.18696350609753"/>
  </r>
  <r>
    <n v="1032"/>
    <x v="9"/>
    <s v="Freshwater"/>
    <x v="1"/>
    <x v="0"/>
    <n v="812"/>
    <s v="Quilcene River"/>
    <s v="Quilcene River"/>
    <s v="Jefferson"/>
    <x v="4"/>
    <s v="Other"/>
    <s v="20Other"/>
    <s v="Non Puget Sound"/>
    <s v="07Non Puget Sound"/>
    <n v="88.202531645569593"/>
    <n v="303.416708860759"/>
    <n v="88.096000000000004"/>
    <n v="311.77530658307165"/>
  </r>
  <r>
    <n v="1026"/>
    <x v="9"/>
    <s v="Freshwater"/>
    <x v="1"/>
    <x v="0"/>
    <n v="812"/>
    <s v="Quilcene River"/>
    <s v="Quilcene River"/>
    <s v="Jefferson"/>
    <x v="4"/>
    <s v="Pierce"/>
    <s v="07Pierce"/>
    <s v="South Puget Sound"/>
    <s v="02South Puget Sound"/>
    <n v="198.45569620253201"/>
    <n v="682.68759493670996"/>
    <n v="198.44248275862068"/>
    <n v="702.29597145358332"/>
  </r>
  <r>
    <n v="955"/>
    <x v="9"/>
    <s v="Freshwater"/>
    <x v="1"/>
    <x v="0"/>
    <n v="812"/>
    <s v="Quilcene River"/>
    <s v="Quilcene River"/>
    <s v="Jefferson"/>
    <x v="4"/>
    <s v="Snohomish"/>
    <s v="03Snohomish"/>
    <s v="North Puget Sound"/>
    <s v="01North Puget Sound"/>
    <n v="44.101265822784796"/>
    <n v="151.70835443038001"/>
    <n v="44.095999999999997"/>
    <n v="156.05752723264538"/>
  </r>
  <r>
    <n v="1027"/>
    <x v="9"/>
    <s v="Freshwater"/>
    <x v="1"/>
    <x v="0"/>
    <n v="812"/>
    <s v="Quilcene River"/>
    <s v="Quilcene River"/>
    <s v="Jefferson"/>
    <x v="4"/>
    <s v="Thurston"/>
    <s v="08Thurston"/>
    <s v="South Puget Sound"/>
    <s v="02South Puget Sound"/>
    <n v="44.101265822784796"/>
    <n v="151.70835443038001"/>
    <n v="44.095999999999997"/>
    <n v="156.05752723264538"/>
  </r>
  <r>
    <n v="954"/>
    <x v="9"/>
    <s v="Freshwater"/>
    <x v="1"/>
    <x v="0"/>
    <n v="812"/>
    <s v="Quilcene River"/>
    <s v="Quilcene River"/>
    <s v="Jefferson"/>
    <x v="4"/>
    <s v="Whatcom"/>
    <s v="01Whatcom"/>
    <s v="North Puget Sound"/>
    <s v="01North Puget Sound"/>
    <n v="22.050632911392398"/>
    <n v="75.854177215189793"/>
    <n v="22.068965517241399"/>
    <n v="78.10296142968096"/>
  </r>
  <r>
    <n v="1040"/>
    <x v="10"/>
    <s v="Freshwater"/>
    <x v="1"/>
    <x v="0"/>
    <n v="812"/>
    <s v="Quilcene River"/>
    <s v="Quilcene River"/>
    <s v="Jefferson"/>
    <x v="4"/>
    <s v="Clallam"/>
    <s v="11Clallam"/>
    <s v="Strait of Juan de Fuca"/>
    <s v="03Strait of Juan de Fuca"/>
    <n v="732.53968253968299"/>
    <n v="6336.4682539682599"/>
    <n v="732.60109890109902"/>
    <n v="3530.8112189675176"/>
  </r>
  <r>
    <n v="1041"/>
    <x v="10"/>
    <s v="Freshwater"/>
    <x v="1"/>
    <x v="0"/>
    <n v="812"/>
    <s v="Quilcene River"/>
    <s v="Quilcene River"/>
    <s v="Jefferson"/>
    <x v="4"/>
    <s v="Jefferson"/>
    <s v="12Jefferson"/>
    <s v="Strait of Juan de Fuca"/>
    <s v="03Strait of Juan de Fuca"/>
    <n v="394.44444444444503"/>
    <n v="3411.9444444444498"/>
    <n v="394.42362637362601"/>
    <n v="1900.9463227871249"/>
  </r>
  <r>
    <n v="1035"/>
    <x v="10"/>
    <s v="Freshwater"/>
    <x v="1"/>
    <x v="0"/>
    <n v="812"/>
    <s v="Quilcene River"/>
    <s v="Quilcene River"/>
    <s v="Jefferson"/>
    <x v="4"/>
    <s v="King"/>
    <s v="06King"/>
    <s v="South Puget Sound"/>
    <s v="02South Puget Sound"/>
    <n v="146.50793650793699"/>
    <n v="1267.2936507936499"/>
    <n v="146.51098901098911"/>
    <n v="706.11775559438888"/>
  </r>
  <r>
    <n v="1039"/>
    <x v="10"/>
    <s v="Freshwater"/>
    <x v="1"/>
    <x v="0"/>
    <n v="812"/>
    <s v="Quilcene River"/>
    <s v="Quilcene River"/>
    <s v="Jefferson"/>
    <x v="4"/>
    <s v="Kitsap"/>
    <s v="10Kitsap"/>
    <s v="South Puget Sound"/>
    <s v="02South Puget Sound"/>
    <n v="833.96825396825398"/>
    <n v="7213.8253968254003"/>
    <n v="833.90714285714296"/>
    <n v="4019.0612599321771"/>
  </r>
  <r>
    <n v="1038"/>
    <x v="10"/>
    <s v="Freshwater"/>
    <x v="1"/>
    <x v="0"/>
    <n v="812"/>
    <s v="Quilcene River"/>
    <s v="Quilcene River"/>
    <s v="Jefferson"/>
    <x v="4"/>
    <s v="Mason"/>
    <s v="09Mason"/>
    <s v="South Puget Sound"/>
    <s v="02South Puget Sound"/>
    <n v="552.22222222222194"/>
    <n v="4776.7222222222199"/>
    <n v="552.22967032967097"/>
    <n v="2661.501215834186"/>
  </r>
  <r>
    <n v="1042"/>
    <x v="10"/>
    <s v="Freshwater"/>
    <x v="1"/>
    <x v="0"/>
    <n v="812"/>
    <s v="Quilcene River"/>
    <s v="Quilcene River"/>
    <s v="Jefferson"/>
    <x v="4"/>
    <s v="Other"/>
    <s v="20Other"/>
    <s v="Non Puget Sound"/>
    <s v="07Non Puget Sound"/>
    <n v="22.539682539682499"/>
    <n v="194.968253968254"/>
    <n v="22.538461538461501"/>
    <n v="108.62535283885906"/>
  </r>
  <r>
    <n v="1036"/>
    <x v="10"/>
    <s v="Freshwater"/>
    <x v="1"/>
    <x v="0"/>
    <n v="812"/>
    <s v="Quilcene River"/>
    <s v="Quilcene River"/>
    <s v="Jefferson"/>
    <x v="4"/>
    <s v="Pierce"/>
    <s v="07Pierce"/>
    <s v="South Puget Sound"/>
    <s v="02South Puget Sound"/>
    <n v="101.428571428571"/>
    <n v="877.35714285713902"/>
    <n v="101.434065934066"/>
    <n v="488.86704991667034"/>
  </r>
  <r>
    <n v="1034"/>
    <x v="10"/>
    <s v="Freshwater"/>
    <x v="1"/>
    <x v="0"/>
    <n v="812"/>
    <s v="Quilcene River"/>
    <s v="Quilcene River"/>
    <s v="Jefferson"/>
    <x v="4"/>
    <s v="Snohomish"/>
    <s v="03Snohomish"/>
    <s v="North Puget Sound"/>
    <s v="01North Puget Sound"/>
    <n v="45.079365079365097"/>
    <n v="389.93650793650801"/>
    <n v="45.085714285714303"/>
    <n v="217.2930753911613"/>
  </r>
  <r>
    <n v="1037"/>
    <x v="10"/>
    <s v="Freshwater"/>
    <x v="1"/>
    <x v="0"/>
    <n v="812"/>
    <s v="Quilcene River"/>
    <s v="Quilcene River"/>
    <s v="Jefferson"/>
    <x v="4"/>
    <s v="Thurston"/>
    <s v="08Thurston"/>
    <s v="South Puget Sound"/>
    <s v="02South Puget Sound"/>
    <n v="11.269841269841301"/>
    <n v="97.4841269841273"/>
    <n v="11.2692307692308"/>
    <n v="54.312676419429771"/>
  </r>
  <r>
    <n v="1048"/>
    <x v="11"/>
    <s v="Freshwater"/>
    <x v="1"/>
    <x v="0"/>
    <n v="812"/>
    <s v="Quilcene River"/>
    <s v="Quilcene River"/>
    <s v="Jefferson"/>
    <x v="4"/>
    <s v="Clallam"/>
    <s v="11Clallam"/>
    <s v="Strait of Juan de Fuca"/>
    <s v="03Strait of Juan de Fuca"/>
    <n v="759.46799999999996"/>
    <n v="2612.5699199999999"/>
    <n v="775.07458652682556"/>
    <n v="2743.0203055660704"/>
  </r>
  <r>
    <n v="1058"/>
    <x v="11"/>
    <s v="Freshwater"/>
    <x v="1"/>
    <x v="0"/>
    <n v="812"/>
    <s v="Quilcene River"/>
    <s v="Quilcene River"/>
    <s v="Jefferson"/>
    <x v="4"/>
    <s v="Jefferson"/>
    <s v="12Jefferson"/>
    <s v="Strait of Juan de Fuca"/>
    <s v="03Strait of Juan de Fuca"/>
    <n v="1532.26"/>
    <n v="5270.9744000000001"/>
    <n v="1563.552884227511"/>
    <n v="5533.476887019594"/>
  </r>
  <r>
    <n v="1043"/>
    <x v="11"/>
    <s v="Freshwater"/>
    <x v="1"/>
    <x v="0"/>
    <n v="812"/>
    <s v="Quilcene River"/>
    <s v="Quilcene River"/>
    <s v="Jefferson"/>
    <x v="4"/>
    <s v="King"/>
    <s v="06King"/>
    <s v="South Puget Sound"/>
    <s v="02South Puget Sound"/>
    <n v="572.93200000000002"/>
    <n v="1970.88608"/>
    <n v="448.70141185962098"/>
    <n v="1587.9724419586637"/>
  </r>
  <r>
    <n v="1047"/>
    <x v="11"/>
    <s v="Freshwater"/>
    <x v="1"/>
    <x v="0"/>
    <n v="812"/>
    <s v="Quilcene River"/>
    <s v="Quilcene River"/>
    <s v="Jefferson"/>
    <x v="4"/>
    <s v="Kitsap"/>
    <s v="10Kitsap"/>
    <s v="South Puget Sound"/>
    <s v="02South Puget Sound"/>
    <n v="1212.4839999999999"/>
    <n v="4170.9449599999998"/>
    <n v="1237.4190601048817"/>
    <n v="4379.276094668724"/>
  </r>
  <r>
    <n v="1046"/>
    <x v="11"/>
    <s v="Freshwater"/>
    <x v="1"/>
    <x v="0"/>
    <n v="812"/>
    <s v="Quilcene River"/>
    <s v="Quilcene River"/>
    <s v="Jefferson"/>
    <x v="4"/>
    <s v="Mason"/>
    <s v="09Mason"/>
    <s v="South Puget Sound"/>
    <s v="02South Puget Sound"/>
    <n v="453.01600000000002"/>
    <n v="1558.3750399999999"/>
    <n v="462.28053650665555"/>
    <n v="1636.0295132213653"/>
  </r>
  <r>
    <n v="1059"/>
    <x v="11"/>
    <s v="Freshwater"/>
    <x v="1"/>
    <x v="0"/>
    <n v="812"/>
    <s v="Quilcene River"/>
    <s v="Quilcene River"/>
    <s v="Jefferson"/>
    <x v="4"/>
    <s v="Other"/>
    <s v="20Other"/>
    <s v="Non Puget Sound"/>
    <s v="07Non Puget Sound"/>
    <n v="559.60799999999995"/>
    <n v="1925.05152"/>
    <n v="570.78061718434822"/>
    <n v="2020.0156864593741"/>
  </r>
  <r>
    <n v="1044"/>
    <x v="11"/>
    <s v="Freshwater"/>
    <x v="1"/>
    <x v="0"/>
    <n v="812"/>
    <s v="Quilcene River"/>
    <s v="Quilcene River"/>
    <s v="Jefferson"/>
    <x v="4"/>
    <s v="Pierce"/>
    <s v="07Pierce"/>
    <s v="South Puget Sound"/>
    <s v="02South Puget Sound"/>
    <n v="1399.02"/>
    <n v="4812.6288000000004"/>
    <n v="1427.427430415491"/>
    <n v="5051.7234010951224"/>
  </r>
  <r>
    <n v="1045"/>
    <x v="11"/>
    <s v="Freshwater"/>
    <x v="1"/>
    <x v="0"/>
    <n v="812"/>
    <s v="Quilcene River"/>
    <s v="Quilcene River"/>
    <s v="Jefferson"/>
    <x v="4"/>
    <s v="Thurston"/>
    <s v="08Thurston"/>
    <s v="South Puget Sound"/>
    <s v="02South Puget Sound"/>
    <n v="173.21199999999999"/>
    <n v="595.84928000000002"/>
    <n v="176.76347317466681"/>
    <n v="625.57307984153999"/>
  </r>
  <r>
    <n v="2154"/>
    <x v="0"/>
    <s v="Freshwater"/>
    <x v="1"/>
    <x v="0"/>
    <n v="816"/>
    <s v="Samish River"/>
    <s v="Samish River"/>
    <s v="Skagit"/>
    <x v="1"/>
    <s v="Island"/>
    <s v="04Island"/>
    <s v="North Puget Sound"/>
    <s v="01North Puget Sound"/>
    <n v="467.07385229540898"/>
    <n v="4040.1888223552901"/>
    <n v="475.34526937118261"/>
    <n v="2290.9526241448971"/>
  </r>
  <r>
    <n v="2286"/>
    <x v="0"/>
    <s v="Freshwater"/>
    <x v="1"/>
    <x v="0"/>
    <n v="816"/>
    <s v="Samish River"/>
    <s v="Samish River"/>
    <s v="Skagit"/>
    <x v="1"/>
    <s v="King"/>
    <s v="06King"/>
    <s v="South Puget Sound"/>
    <s v="02South Puget Sound"/>
    <n v="258.11976047904199"/>
    <n v="2232.7359281437102"/>
    <n v="262.55137784753225"/>
    <n v="1265.380780686754"/>
  </r>
  <r>
    <n v="2287"/>
    <x v="0"/>
    <s v="Freshwater"/>
    <x v="1"/>
    <x v="0"/>
    <n v="816"/>
    <s v="Samish River"/>
    <s v="Samish River"/>
    <s v="Skagit"/>
    <x v="1"/>
    <s v="Kitsap"/>
    <s v="10Kitsap"/>
    <s v="South Puget Sound"/>
    <s v="02South Puget Sound"/>
    <n v="6.1457085828343301"/>
    <n v="53.160379241516999"/>
    <n v="6.2578616352201299"/>
    <n v="30.160107733287077"/>
  </r>
  <r>
    <n v="2288"/>
    <x v="0"/>
    <s v="Freshwater"/>
    <x v="1"/>
    <x v="0"/>
    <n v="816"/>
    <s v="Samish River"/>
    <s v="Samish River"/>
    <s v="Skagit"/>
    <x v="1"/>
    <s v="Other"/>
    <s v="20Other"/>
    <s v="Non Puget Sound"/>
    <s v="07Non Puget Sound"/>
    <n v="362.59680638722602"/>
    <n v="3136.4623752495099"/>
    <n v="356.63718198050668"/>
    <n v="1718.8324794032658"/>
  </r>
  <r>
    <n v="2155"/>
    <x v="0"/>
    <s v="Freshwater"/>
    <x v="1"/>
    <x v="0"/>
    <n v="816"/>
    <s v="Samish River"/>
    <s v="Samish River"/>
    <s v="Skagit"/>
    <x v="1"/>
    <s v="San Juan"/>
    <s v="05San Juan"/>
    <s v="North Puget Sound"/>
    <s v="01North Puget Sound"/>
    <n v="73.748502994012"/>
    <n v="637.92455089820396"/>
    <n v="75.208285385500602"/>
    <n v="362.47046065963519"/>
  </r>
  <r>
    <n v="2152"/>
    <x v="0"/>
    <s v="Freshwater"/>
    <x v="1"/>
    <x v="0"/>
    <n v="816"/>
    <s v="Samish River"/>
    <s v="Samish River"/>
    <s v="Skagit"/>
    <x v="1"/>
    <s v="Skagit"/>
    <s v="02Skagit"/>
    <s v="North Puget Sound"/>
    <s v="01North Puget Sound"/>
    <n v="2144.85229540918"/>
    <n v="18552.972355289399"/>
    <n v="2093.1079133826906"/>
    <n v="10087.848508781712"/>
  </r>
  <r>
    <n v="2153"/>
    <x v="0"/>
    <s v="Freshwater"/>
    <x v="1"/>
    <x v="0"/>
    <n v="816"/>
    <s v="Samish River"/>
    <s v="Samish River"/>
    <s v="Skagit"/>
    <x v="1"/>
    <s v="Snohomish"/>
    <s v="03Snohomish"/>
    <s v="North Puget Sound"/>
    <s v="01North Puget Sound"/>
    <n v="1856.00399201597"/>
    <n v="16054.434530938101"/>
    <n v="1888.2350710351652"/>
    <n v="9100.4525967260834"/>
  </r>
  <r>
    <n v="2151"/>
    <x v="0"/>
    <s v="Freshwater"/>
    <x v="1"/>
    <x v="0"/>
    <n v="816"/>
    <s v="Samish River"/>
    <s v="Samish River"/>
    <s v="Skagit"/>
    <x v="1"/>
    <s v="Whatcom"/>
    <s v="01Whatcom"/>
    <s v="North Puget Sound"/>
    <s v="01North Puget Sound"/>
    <n v="989.45908183632696"/>
    <n v="8558.82105788423"/>
    <n v="1000.6570393621984"/>
    <n v="4822.7215413934873"/>
  </r>
  <r>
    <n v="2516"/>
    <x v="1"/>
    <s v="Freshwater"/>
    <x v="1"/>
    <x v="0"/>
    <n v="816"/>
    <s v="Samish River"/>
    <s v="Samish River"/>
    <s v="Skagit"/>
    <x v="1"/>
    <s v="Clallam"/>
    <s v="11Clallam"/>
    <s v="Strait of Juan de Fuca"/>
    <s v="03Strait of Juan de Fuca"/>
    <n v="28.901771336553999"/>
    <n v="99.422093397745797"/>
    <n v="29.481481481481499"/>
    <n v="104.33615518765941"/>
  </r>
  <r>
    <n v="2512"/>
    <x v="1"/>
    <s v="Freshwater"/>
    <x v="1"/>
    <x v="0"/>
    <n v="816"/>
    <s v="Samish River"/>
    <s v="Samish River"/>
    <s v="Skagit"/>
    <x v="1"/>
    <s v="Island"/>
    <s v="04Island"/>
    <s v="North Puget Sound"/>
    <s v="01North Puget Sound"/>
    <n v="903.18035426731103"/>
    <n v="3106.94041867955"/>
    <n v="921.86734370240674"/>
    <n v="3262.5258094776127"/>
  </r>
  <r>
    <n v="2513"/>
    <x v="1"/>
    <s v="Freshwater"/>
    <x v="1"/>
    <x v="0"/>
    <n v="816"/>
    <s v="Samish River"/>
    <s v="Samish River"/>
    <s v="Skagit"/>
    <x v="1"/>
    <s v="King"/>
    <s v="06King"/>
    <s v="South Puget Sound"/>
    <s v="02South Puget Sound"/>
    <n v="498.555555555556"/>
    <n v="1715.03111111111"/>
    <n v="501.40775859091156"/>
    <n v="1774.5023344738947"/>
  </r>
  <r>
    <n v="2517"/>
    <x v="1"/>
    <s v="Freshwater"/>
    <x v="1"/>
    <x v="0"/>
    <n v="816"/>
    <s v="Samish River"/>
    <s v="Samish River"/>
    <s v="Skagit"/>
    <x v="1"/>
    <s v="Other"/>
    <s v="20Other"/>
    <s v="Non Puget Sound"/>
    <s v="07Non Puget Sound"/>
    <n v="332.37037037036998"/>
    <n v="1143.35407407407"/>
    <n v="338.94327261156008"/>
    <n v="1199.5339485645068"/>
  </r>
  <r>
    <n v="2514"/>
    <x v="1"/>
    <s v="Freshwater"/>
    <x v="1"/>
    <x v="0"/>
    <n v="816"/>
    <s v="Samish River"/>
    <s v="Samish River"/>
    <s v="Skagit"/>
    <x v="1"/>
    <s v="Pierce"/>
    <s v="07Pierce"/>
    <s v="South Puget Sound"/>
    <s v="02South Puget Sound"/>
    <n v="115.607085346216"/>
    <n v="397.68837359098302"/>
    <n v="117.96437031384606"/>
    <n v="417.48067699416947"/>
  </r>
  <r>
    <n v="2510"/>
    <x v="1"/>
    <s v="Freshwater"/>
    <x v="1"/>
    <x v="0"/>
    <n v="816"/>
    <s v="Samish River"/>
    <s v="Samish River"/>
    <s v="Skagit"/>
    <x v="1"/>
    <s v="Skagit"/>
    <s v="02Skagit"/>
    <s v="North Puget Sound"/>
    <s v="01North Puget Sound"/>
    <n v="3049.1368760064402"/>
    <n v="10489.0308534622"/>
    <n v="3030.411102946488"/>
    <n v="10724.747442493253"/>
  </r>
  <r>
    <n v="2511"/>
    <x v="1"/>
    <s v="Freshwater"/>
    <x v="1"/>
    <x v="0"/>
    <n v="816"/>
    <s v="Samish River"/>
    <s v="Samish River"/>
    <s v="Skagit"/>
    <x v="1"/>
    <s v="Snohomish"/>
    <s v="03Snohomish"/>
    <s v="North Puget Sound"/>
    <s v="01North Puget Sound"/>
    <n v="2478.3268921095"/>
    <n v="8525.4445088566808"/>
    <n v="2448.471068445715"/>
    <n v="8665.2381268666431"/>
  </r>
  <r>
    <n v="2515"/>
    <x v="1"/>
    <s v="Freshwater"/>
    <x v="1"/>
    <x v="0"/>
    <n v="816"/>
    <s v="Samish River"/>
    <s v="Samish River"/>
    <s v="Skagit"/>
    <x v="1"/>
    <s v="Thurston"/>
    <s v="08Thurston"/>
    <s v="South Puget Sound"/>
    <s v="02South Puget Sound"/>
    <n v="14.450885668276999"/>
    <n v="49.711046698872899"/>
    <n v="14.7555040556199"/>
    <n v="52.220325562212267"/>
  </r>
  <r>
    <n v="2401"/>
    <x v="1"/>
    <s v="Freshwater"/>
    <x v="1"/>
    <x v="0"/>
    <n v="816"/>
    <s v="Samish River"/>
    <s v="Samish River"/>
    <s v="Skagit"/>
    <x v="1"/>
    <s v="Whatcom"/>
    <s v="01Whatcom"/>
    <s v="North Puget Sound"/>
    <s v="01North Puget Sound"/>
    <n v="1553.47020933978"/>
    <n v="5343.9375201288403"/>
    <n v="1570.6980978519714"/>
    <n v="5558.764086987444"/>
  </r>
  <r>
    <n v="2762"/>
    <x v="2"/>
    <s v="Freshwater"/>
    <x v="1"/>
    <x v="0"/>
    <n v="816"/>
    <s v="Samish River"/>
    <s v="Samish River"/>
    <s v="Skagit"/>
    <x v="1"/>
    <s v="Clallam"/>
    <s v="11Clallam"/>
    <s v="Strait of Juan de Fuca"/>
    <s v="03Strait of Juan de Fuca"/>
    <n v="13.9142461964039"/>
    <n v="120.358229598894"/>
    <n v="14.251063829787199"/>
    <n v="68.683784569681251"/>
  </r>
  <r>
    <n v="2758"/>
    <x v="2"/>
    <s v="Freshwater"/>
    <x v="1"/>
    <x v="0"/>
    <n v="816"/>
    <s v="Samish River"/>
    <s v="Samish River"/>
    <s v="Skagit"/>
    <x v="1"/>
    <s v="Island"/>
    <s v="04Island"/>
    <s v="North Puget Sound"/>
    <s v="01North Puget Sound"/>
    <n v="500.91286307054003"/>
    <n v="4332.8962655601699"/>
    <n v="513.28342164531591"/>
    <n v="2473.7976319906902"/>
  </r>
  <r>
    <n v="2759"/>
    <x v="2"/>
    <s v="Freshwater"/>
    <x v="1"/>
    <x v="0"/>
    <n v="816"/>
    <s v="Samish River"/>
    <s v="Samish River"/>
    <s v="Skagit"/>
    <x v="1"/>
    <s v="King"/>
    <s v="06King"/>
    <s v="South Puget Sound"/>
    <s v="02South Puget Sound"/>
    <n v="855.72614107883805"/>
    <n v="7402.0311203319498"/>
    <n v="877.05605277580685"/>
    <n v="4227.0198003378127"/>
  </r>
  <r>
    <n v="2761"/>
    <x v="2"/>
    <s v="Freshwater"/>
    <x v="1"/>
    <x v="0"/>
    <n v="816"/>
    <s v="Samish River"/>
    <s v="Samish River"/>
    <s v="Skagit"/>
    <x v="1"/>
    <s v="Kitsap"/>
    <s v="10Kitsap"/>
    <s v="South Puget Sound"/>
    <s v="02South Puget Sound"/>
    <n v="13.9142461964039"/>
    <n v="120.358229598894"/>
    <n v="14.263839811543001"/>
    <n v="68.745359115207293"/>
  </r>
  <r>
    <n v="2763"/>
    <x v="2"/>
    <s v="Freshwater"/>
    <x v="1"/>
    <x v="0"/>
    <n v="816"/>
    <s v="Samish River"/>
    <s v="Samish River"/>
    <s v="Skagit"/>
    <x v="1"/>
    <s v="Other"/>
    <s v="20Other"/>
    <s v="Non Puget Sound"/>
    <s v="07Non Puget Sound"/>
    <n v="438.29875518672202"/>
    <n v="3791.2842323651498"/>
    <n v="449.26713312391274"/>
    <n v="2165.2676147042353"/>
  </r>
  <r>
    <n v="2760"/>
    <x v="2"/>
    <s v="Freshwater"/>
    <x v="1"/>
    <x v="0"/>
    <n v="816"/>
    <s v="Samish River"/>
    <s v="Samish River"/>
    <s v="Skagit"/>
    <x v="1"/>
    <s v="Pierce"/>
    <s v="07Pierce"/>
    <s v="South Puget Sound"/>
    <s v="02South Puget Sound"/>
    <n v="69.571230982019401"/>
    <n v="601.79114799446802"/>
    <n v="71.306423075959202"/>
    <n v="343.66522103051045"/>
  </r>
  <r>
    <n v="2756"/>
    <x v="2"/>
    <s v="Freshwater"/>
    <x v="1"/>
    <x v="0"/>
    <n v="816"/>
    <s v="Samish River"/>
    <s v="Samish River"/>
    <s v="Skagit"/>
    <x v="1"/>
    <s v="Skagit"/>
    <s v="02Skagit"/>
    <s v="North Puget Sound"/>
    <s v="01North Puget Sound"/>
    <n v="3123.7482710926702"/>
    <n v="27020.422544951602"/>
    <n v="3008.6531868040902"/>
    <n v="14500.369221237486"/>
  </r>
  <r>
    <n v="2757"/>
    <x v="2"/>
    <s v="Freshwater"/>
    <x v="1"/>
    <x v="0"/>
    <n v="816"/>
    <s v="Samish River"/>
    <s v="Samish River"/>
    <s v="Skagit"/>
    <x v="1"/>
    <s v="Snohomish"/>
    <s v="03Snohomish"/>
    <s v="North Puget Sound"/>
    <s v="01North Puget Sound"/>
    <n v="4139.4882434301499"/>
    <n v="35806.573305670798"/>
    <n v="4199.2415545741878"/>
    <n v="20238.475227904"/>
  </r>
  <r>
    <n v="2755"/>
    <x v="2"/>
    <s v="Freshwater"/>
    <x v="1"/>
    <x v="0"/>
    <n v="816"/>
    <s v="Samish River"/>
    <s v="Samish River"/>
    <s v="Skagit"/>
    <x v="1"/>
    <s v="Whatcom"/>
    <s v="01Whatcom"/>
    <s v="North Puget Sound"/>
    <s v="01North Puget Sound"/>
    <n v="904.42600276625205"/>
    <n v="7823.2849239280804"/>
    <n v="912.67732435939797"/>
    <n v="4398.6984744892579"/>
  </r>
  <r>
    <n v="2963"/>
    <x v="3"/>
    <s v="Freshwater"/>
    <x v="1"/>
    <x v="0"/>
    <n v="816"/>
    <s v="Samish River"/>
    <s v="Samish River"/>
    <s v="Skagit"/>
    <x v="1"/>
    <s v="Island"/>
    <s v="04Island"/>
    <s v="North Puget Sound"/>
    <s v="01North Puget Sound"/>
    <n v="514.02702702702697"/>
    <n v="1768.2529729729699"/>
    <n v="520.48958965029294"/>
    <n v="1842.0337062581416"/>
  </r>
  <r>
    <n v="2964"/>
    <x v="3"/>
    <s v="Freshwater"/>
    <x v="1"/>
    <x v="0"/>
    <n v="816"/>
    <s v="Samish River"/>
    <s v="Samish River"/>
    <s v="Skagit"/>
    <x v="1"/>
    <s v="King"/>
    <s v="06King"/>
    <s v="South Puget Sound"/>
    <s v="02South Puget Sound"/>
    <n v="928.85585585585602"/>
    <n v="3195.2641441441401"/>
    <n v="868.28302736277283"/>
    <n v="3072.8887470135546"/>
  </r>
  <r>
    <n v="3080"/>
    <x v="3"/>
    <s v="Freshwater"/>
    <x v="1"/>
    <x v="0"/>
    <n v="816"/>
    <s v="Samish River"/>
    <s v="Samish River"/>
    <s v="Skagit"/>
    <x v="1"/>
    <s v="Other"/>
    <s v="20Other"/>
    <s v="Non Puget Sound"/>
    <s v="07Non Puget Sound"/>
    <n v="252.50450450450501"/>
    <n v="868.61549549549704"/>
    <n v="255.84313725490199"/>
    <n v="905.43920898590113"/>
  </r>
  <r>
    <n v="2965"/>
    <x v="3"/>
    <s v="Freshwater"/>
    <x v="1"/>
    <x v="0"/>
    <n v="816"/>
    <s v="Samish River"/>
    <s v="Samish River"/>
    <s v="Skagit"/>
    <x v="1"/>
    <s v="Pierce"/>
    <s v="07Pierce"/>
    <s v="South Puget Sound"/>
    <s v="02South Puget Sound"/>
    <n v="45.090090090090101"/>
    <n v="155.10990990990999"/>
    <n v="45.686274509803901"/>
    <n v="161.68557303319656"/>
  </r>
  <r>
    <n v="2961"/>
    <x v="3"/>
    <s v="Freshwater"/>
    <x v="1"/>
    <x v="0"/>
    <n v="816"/>
    <s v="Samish River"/>
    <s v="Samish River"/>
    <s v="Skagit"/>
    <x v="1"/>
    <s v="Skagit"/>
    <s v="02Skagit"/>
    <s v="North Puget Sound"/>
    <s v="01North Puget Sound"/>
    <n v="2128.2522522522499"/>
    <n v="7321.1877477477401"/>
    <n v="2150.5379844533909"/>
    <n v="7610.8408942687174"/>
  </r>
  <r>
    <n v="2962"/>
    <x v="3"/>
    <s v="Freshwater"/>
    <x v="1"/>
    <x v="0"/>
    <n v="816"/>
    <s v="Samish River"/>
    <s v="Samish River"/>
    <s v="Skagit"/>
    <x v="1"/>
    <s v="Snohomish"/>
    <s v="03Snohomish"/>
    <s v="North Puget Sound"/>
    <s v="01North Puget Sound"/>
    <n v="2867.72972972973"/>
    <n v="9864.9902702702693"/>
    <n v="2888.4236497785582"/>
    <n v="10222.248103790238"/>
  </r>
  <r>
    <n v="3079"/>
    <x v="3"/>
    <s v="Freshwater"/>
    <x v="1"/>
    <x v="0"/>
    <n v="816"/>
    <s v="Samish River"/>
    <s v="Samish River"/>
    <s v="Skagit"/>
    <x v="1"/>
    <s v="Thurston"/>
    <s v="08Thurston"/>
    <s v="South Puget Sound"/>
    <s v="02South Puget Sound"/>
    <n v="18.036036036035998"/>
    <n v="62.043963963963797"/>
    <n v="18.2745098039216"/>
    <n v="64.674229213278764"/>
  </r>
  <r>
    <n v="2874"/>
    <x v="3"/>
    <s v="Freshwater"/>
    <x v="1"/>
    <x v="0"/>
    <n v="816"/>
    <s v="Samish River"/>
    <s v="Samish River"/>
    <s v="Skagit"/>
    <x v="1"/>
    <s v="Whatcom"/>
    <s v="01Whatcom"/>
    <s v="North Puget Sound"/>
    <s v="01North Puget Sound"/>
    <n v="1253.5045045044999"/>
    <n v="4312.0554954954796"/>
    <n v="1260.4618271863569"/>
    <n v="4460.8253792145515"/>
  </r>
  <r>
    <n v="3194"/>
    <x v="4"/>
    <s v="Freshwater"/>
    <x v="1"/>
    <x v="0"/>
    <n v="816"/>
    <s v="Samish River"/>
    <s v="Samish River"/>
    <s v="Skagit"/>
    <x v="1"/>
    <s v="Island"/>
    <s v="04Island"/>
    <s v="North Puget Sound"/>
    <s v="01North Puget Sound"/>
    <n v="472.83483483483502"/>
    <n v="4090.0213213213201"/>
    <n v="477.14710776688514"/>
    <n v="2299.6366832213248"/>
  </r>
  <r>
    <n v="3294"/>
    <x v="4"/>
    <s v="Freshwater"/>
    <x v="1"/>
    <x v="0"/>
    <n v="816"/>
    <s v="Samish River"/>
    <s v="Samish River"/>
    <s v="Skagit"/>
    <x v="1"/>
    <s v="King"/>
    <s v="06King"/>
    <s v="South Puget Sound"/>
    <s v="02South Puget Sound"/>
    <n v="501.49149149149201"/>
    <n v="4337.9014014014101"/>
    <n v="506.66459863256568"/>
    <n v="2441.8978510801321"/>
  </r>
  <r>
    <n v="3295"/>
    <x v="4"/>
    <s v="Freshwater"/>
    <x v="1"/>
    <x v="0"/>
    <n v="816"/>
    <s v="Samish River"/>
    <s v="Samish River"/>
    <s v="Skagit"/>
    <x v="1"/>
    <s v="Other"/>
    <s v="20Other"/>
    <s v="Non Puget Sound"/>
    <s v="07Non Puget Sound"/>
    <n v="343.87987987987998"/>
    <n v="2974.5609609609601"/>
    <n v="346.29466772781512"/>
    <n v="1668.9861641158454"/>
  </r>
  <r>
    <n v="3192"/>
    <x v="4"/>
    <s v="Freshwater"/>
    <x v="1"/>
    <x v="0"/>
    <n v="816"/>
    <s v="Samish River"/>
    <s v="Samish River"/>
    <s v="Skagit"/>
    <x v="1"/>
    <s v="Skagit"/>
    <s v="02Skagit"/>
    <s v="North Puget Sound"/>
    <s v="01North Puget Sound"/>
    <n v="1762.3843843843799"/>
    <n v="15244.624924924899"/>
    <n v="1722.0027493398011"/>
    <n v="8299.2867954770663"/>
  </r>
  <r>
    <n v="3193"/>
    <x v="4"/>
    <s v="Freshwater"/>
    <x v="1"/>
    <x v="0"/>
    <n v="816"/>
    <s v="Samish River"/>
    <s v="Samish River"/>
    <s v="Skagit"/>
    <x v="1"/>
    <s v="Snohomish"/>
    <s v="03Snohomish"/>
    <s v="North Puget Sound"/>
    <s v="01North Puget Sound"/>
    <n v="3180.8888888888901"/>
    <n v="27514.688888888901"/>
    <n v="3201.6215135839102"/>
    <n v="15430.390666907688"/>
  </r>
  <r>
    <n v="3191"/>
    <x v="4"/>
    <s v="Freshwater"/>
    <x v="1"/>
    <x v="0"/>
    <n v="816"/>
    <s v="Samish River"/>
    <s v="Samish River"/>
    <s v="Skagit"/>
    <x v="1"/>
    <s v="Whatcom"/>
    <s v="01Whatcom"/>
    <s v="North Puget Sound"/>
    <s v="01North Puget Sound"/>
    <n v="895.52052052052102"/>
    <n v="7746.2525025025097"/>
    <n v="903.2693629490293"/>
    <n v="4353.356287936208"/>
  </r>
  <r>
    <n v="3510"/>
    <x v="5"/>
    <s v="Freshwater"/>
    <x v="1"/>
    <x v="0"/>
    <n v="816"/>
    <s v="Samish River"/>
    <s v="Samish River"/>
    <s v="Skagit"/>
    <x v="1"/>
    <s v="Island"/>
    <s v="04Island"/>
    <s v="North Puget Sound"/>
    <s v="01North Puget Sound"/>
    <n v="157.226666666667"/>
    <n v="540.85973333333402"/>
    <n v="157.92258311775382"/>
    <n v="558.89440800863053"/>
  </r>
  <r>
    <n v="3512"/>
    <x v="5"/>
    <s v="Freshwater"/>
    <x v="1"/>
    <x v="0"/>
    <n v="816"/>
    <s v="Samish River"/>
    <s v="Samish River"/>
    <s v="Skagit"/>
    <x v="1"/>
    <s v="Jefferson"/>
    <s v="12Jefferson"/>
    <s v="Strait of Juan de Fuca"/>
    <s v="03Strait of Juan de Fuca"/>
    <n v="17.469629629629601"/>
    <n v="60.095525925925799"/>
    <n v="17.549295774647899"/>
    <n v="62.107667436181579"/>
  </r>
  <r>
    <n v="3511"/>
    <x v="5"/>
    <s v="Freshwater"/>
    <x v="1"/>
    <x v="0"/>
    <n v="816"/>
    <s v="Samish River"/>
    <s v="Samish River"/>
    <s v="Skagit"/>
    <x v="1"/>
    <s v="King"/>
    <s v="06King"/>
    <s v="South Puget Sound"/>
    <s v="02South Puget Sound"/>
    <n v="663.84592592592605"/>
    <n v="2283.62998518519"/>
    <n v="666.80839522600149"/>
    <n v="2359.8618762912351"/>
  </r>
  <r>
    <n v="3513"/>
    <x v="5"/>
    <s v="Freshwater"/>
    <x v="1"/>
    <x v="0"/>
    <n v="816"/>
    <s v="Samish River"/>
    <s v="Samish River"/>
    <s v="Skagit"/>
    <x v="1"/>
    <s v="Other"/>
    <s v="20Other"/>
    <s v="Non Puget Sound"/>
    <s v="07Non Puget Sound"/>
    <n v="323.188148148148"/>
    <n v="1111.76722962963"/>
    <n v="324.63239827766347"/>
    <n v="1148.8871855682023"/>
  </r>
  <r>
    <n v="3399"/>
    <x v="5"/>
    <s v="Freshwater"/>
    <x v="1"/>
    <x v="0"/>
    <n v="816"/>
    <s v="Samish River"/>
    <s v="Samish River"/>
    <s v="Skagit"/>
    <x v="1"/>
    <s v="Skagit"/>
    <s v="02Skagit"/>
    <s v="North Puget Sound"/>
    <s v="01North Puget Sound"/>
    <n v="1502.3881481481501"/>
    <n v="5168.2152296296399"/>
    <n v="1500.3205539640549"/>
    <n v="5309.6951131155456"/>
  </r>
  <r>
    <n v="3467"/>
    <x v="5"/>
    <s v="Freshwater"/>
    <x v="1"/>
    <x v="0"/>
    <n v="816"/>
    <s v="Samish River"/>
    <s v="Samish River"/>
    <s v="Skagit"/>
    <x v="1"/>
    <s v="Snohomish"/>
    <s v="03Snohomish"/>
    <s v="North Puget Sound"/>
    <s v="01North Puget Sound"/>
    <n v="2305.9911111111101"/>
    <n v="7932.60942222222"/>
    <n v="2316.2938106613601"/>
    <n v="8197.4574663482672"/>
  </r>
  <r>
    <n v="3398"/>
    <x v="5"/>
    <s v="Freshwater"/>
    <x v="1"/>
    <x v="0"/>
    <n v="816"/>
    <s v="Samish River"/>
    <s v="Samish River"/>
    <s v="Skagit"/>
    <x v="1"/>
    <s v="Whatcom"/>
    <s v="01Whatcom"/>
    <s v="North Puget Sound"/>
    <s v="01North Puget Sound"/>
    <n v="925.89037037036996"/>
    <n v="3185.0628740740699"/>
    <n v="912.4729629785129"/>
    <n v="3229.2787161890401"/>
  </r>
  <r>
    <n v="3653"/>
    <x v="6"/>
    <s v="Freshwater"/>
    <x v="1"/>
    <x v="0"/>
    <n v="816"/>
    <s v="Samish River"/>
    <s v="Samish River"/>
    <s v="Skagit"/>
    <x v="1"/>
    <s v="Island"/>
    <s v="04Island"/>
    <s v="North Puget Sound"/>
    <s v="01North Puget Sound"/>
    <n v="633.18253968253998"/>
    <n v="5477.0289682539697"/>
    <n v="632.82332911925869"/>
    <n v="3049.92677929397"/>
  </r>
  <r>
    <n v="3654"/>
    <x v="6"/>
    <s v="Freshwater"/>
    <x v="1"/>
    <x v="0"/>
    <n v="816"/>
    <s v="Samish River"/>
    <s v="Samish River"/>
    <s v="Skagit"/>
    <x v="1"/>
    <s v="King"/>
    <s v="06King"/>
    <s v="South Puget Sound"/>
    <s v="02South Puget Sound"/>
    <n v="457.839682539683"/>
    <n v="3960.3132539682601"/>
    <n v="448.45431942688583"/>
    <n v="2161.350214464599"/>
  </r>
  <r>
    <n v="3681"/>
    <x v="6"/>
    <s v="Freshwater"/>
    <x v="1"/>
    <x v="0"/>
    <n v="816"/>
    <s v="Samish River"/>
    <s v="Samish River"/>
    <s v="Skagit"/>
    <x v="1"/>
    <s v="Other"/>
    <s v="20Other"/>
    <s v="Non Puget Sound"/>
    <s v="07Non Puget Sound"/>
    <n v="516.28730158730195"/>
    <n v="4465.8851587301597"/>
    <n v="516.25368731563401"/>
    <n v="2488.1129904685909"/>
  </r>
  <r>
    <n v="3680"/>
    <x v="6"/>
    <s v="Freshwater"/>
    <x v="1"/>
    <x v="0"/>
    <n v="816"/>
    <s v="Samish River"/>
    <s v="Samish River"/>
    <s v="Skagit"/>
    <x v="1"/>
    <s v="Pierce"/>
    <s v="07Pierce"/>
    <s v="South Puget Sound"/>
    <s v="02South Puget Sound"/>
    <n v="175.34285714285701"/>
    <n v="1516.71571428571"/>
    <n v="175.5372608512435"/>
    <n v="846.0114663902101"/>
  </r>
  <r>
    <n v="3615"/>
    <x v="6"/>
    <s v="Freshwater"/>
    <x v="1"/>
    <x v="0"/>
    <n v="816"/>
    <s v="Samish River"/>
    <s v="Samish River"/>
    <s v="Skagit"/>
    <x v="1"/>
    <s v="Skagit"/>
    <s v="02Skagit"/>
    <s v="North Puget Sound"/>
    <s v="01North Puget Sound"/>
    <n v="866.97301587301604"/>
    <n v="7499.3165873015896"/>
    <n v="869.87126843657893"/>
    <n v="4192.3923377406909"/>
  </r>
  <r>
    <n v="3652"/>
    <x v="6"/>
    <s v="Freshwater"/>
    <x v="1"/>
    <x v="0"/>
    <n v="816"/>
    <s v="Samish River"/>
    <s v="Samish River"/>
    <s v="Skagit"/>
    <x v="1"/>
    <s v="Snohomish"/>
    <s v="03Snohomish"/>
    <s v="North Puget Sound"/>
    <s v="01North Puget Sound"/>
    <n v="2591.1777777777802"/>
    <n v="22413.687777777799"/>
    <n v="2597.1831352718063"/>
    <n v="12517.266716479353"/>
  </r>
  <r>
    <n v="3614"/>
    <x v="6"/>
    <s v="Freshwater"/>
    <x v="1"/>
    <x v="0"/>
    <n v="816"/>
    <s v="Samish River"/>
    <s v="Samish River"/>
    <s v="Skagit"/>
    <x v="1"/>
    <s v="Whatcom"/>
    <s v="01Whatcom"/>
    <s v="North Puget Sound"/>
    <s v="01North Puget Sound"/>
    <n v="896.19682539682594"/>
    <n v="7752.1025396825398"/>
    <n v="896.87699957859195"/>
    <n v="4322.547941705343"/>
  </r>
  <r>
    <n v="1333"/>
    <x v="7"/>
    <s v="Freshwater"/>
    <x v="1"/>
    <x v="0"/>
    <n v="816"/>
    <s v="Samish River"/>
    <s v="Samish River"/>
    <s v="Skagit"/>
    <x v="1"/>
    <s v="Island"/>
    <s v="04Island"/>
    <s v="North Puget Sound"/>
    <s v="01North Puget Sound"/>
    <n v="261.11353211009202"/>
    <n v="898.23055045871604"/>
    <n v="261.13864205969458"/>
    <n v="924.18021463912419"/>
  </r>
  <r>
    <n v="1334"/>
    <x v="7"/>
    <s v="Freshwater"/>
    <x v="1"/>
    <x v="0"/>
    <n v="816"/>
    <s v="Samish River"/>
    <s v="Samish River"/>
    <s v="Skagit"/>
    <x v="1"/>
    <s v="King"/>
    <s v="06King"/>
    <s v="South Puget Sound"/>
    <s v="02South Puget Sound"/>
    <n v="1460.30160550459"/>
    <n v="5023.4375229357902"/>
    <n v="1460.283094098884"/>
    <n v="5168.0009235465404"/>
  </r>
  <r>
    <n v="1336"/>
    <x v="7"/>
    <s v="Freshwater"/>
    <x v="1"/>
    <x v="0"/>
    <n v="816"/>
    <s v="Samish River"/>
    <s v="Samish River"/>
    <s v="Skagit"/>
    <x v="1"/>
    <s v="Other"/>
    <s v="20Other"/>
    <s v="Non Puget Sound"/>
    <s v="07Non Puget Sound"/>
    <n v="444.86009174311903"/>
    <n v="1530.3187155963301"/>
    <n v="444.87240829346098"/>
    <n v="1574.4214434939524"/>
  </r>
  <r>
    <n v="1335"/>
    <x v="7"/>
    <s v="Freshwater"/>
    <x v="1"/>
    <x v="0"/>
    <n v="816"/>
    <s v="Samish River"/>
    <s v="Samish River"/>
    <s v="Skagit"/>
    <x v="1"/>
    <s v="Pierce"/>
    <s v="07Pierce"/>
    <s v="South Puget Sound"/>
    <s v="02South Puget Sound"/>
    <n v="19.341743119266098"/>
    <n v="66.535596330275396"/>
    <n v="19.342902711323799"/>
    <n v="68.455314918151856"/>
  </r>
  <r>
    <n v="1304"/>
    <x v="7"/>
    <s v="Freshwater"/>
    <x v="1"/>
    <x v="0"/>
    <n v="816"/>
    <s v="Samish River"/>
    <s v="Samish River"/>
    <s v="Skagit"/>
    <x v="1"/>
    <s v="Skagit"/>
    <s v="02Skagit"/>
    <s v="North Puget Sound"/>
    <s v="01North Puget Sound"/>
    <n v="1276.55504587156"/>
    <n v="4391.3493577981699"/>
    <n v="1276.5738209159285"/>
    <n v="4517.8463765890265"/>
  </r>
  <r>
    <n v="1332"/>
    <x v="7"/>
    <s v="Freshwater"/>
    <x v="1"/>
    <x v="0"/>
    <n v="816"/>
    <s v="Samish River"/>
    <s v="Samish River"/>
    <s v="Skagit"/>
    <x v="1"/>
    <s v="Snohomish"/>
    <s v="03Snohomish"/>
    <s v="North Puget Sound"/>
    <s v="01North Puget Sound"/>
    <n v="4071.4369266055101"/>
    <n v="14005.743027523"/>
    <n v="4071.3088972431133"/>
    <n v="14408.526830189328"/>
  </r>
  <r>
    <n v="1303"/>
    <x v="7"/>
    <s v="Freshwater"/>
    <x v="1"/>
    <x v="0"/>
    <n v="816"/>
    <s v="Samish River"/>
    <s v="Samish River"/>
    <s v="Skagit"/>
    <x v="1"/>
    <s v="Whatcom"/>
    <s v="01Whatcom"/>
    <s v="North Puget Sound"/>
    <s v="01North Puget Sound"/>
    <n v="899.39105504587201"/>
    <n v="3093.9052293578002"/>
    <n v="899.48023467760402"/>
    <n v="3183.2969253090178"/>
  </r>
  <r>
    <n v="1387"/>
    <x v="8"/>
    <s v="Freshwater"/>
    <x v="1"/>
    <x v="0"/>
    <n v="816"/>
    <s v="Samish River"/>
    <s v="Samish River"/>
    <s v="Skagit"/>
    <x v="1"/>
    <s v="Island"/>
    <s v="04Island"/>
    <s v="North Puget Sound"/>
    <s v="01North Puget Sound"/>
    <n v="329.62306610407899"/>
    <n v="2851.2395218002798"/>
    <n v="330.16637408234999"/>
    <n v="1591.254967381866"/>
  </r>
  <r>
    <n v="1388"/>
    <x v="8"/>
    <s v="Freshwater"/>
    <x v="1"/>
    <x v="0"/>
    <n v="816"/>
    <s v="Samish River"/>
    <s v="Samish River"/>
    <s v="Skagit"/>
    <x v="1"/>
    <s v="King"/>
    <s v="06King"/>
    <s v="South Puget Sound"/>
    <s v="02South Puget Sound"/>
    <n v="688.33052039381198"/>
    <n v="5954.0590014064701"/>
    <n v="689.41408769061479"/>
    <n v="3322.6690472940359"/>
  </r>
  <r>
    <n v="1444"/>
    <x v="8"/>
    <s v="Freshwater"/>
    <x v="1"/>
    <x v="0"/>
    <n v="816"/>
    <s v="Samish River"/>
    <s v="Samish River"/>
    <s v="Skagit"/>
    <x v="1"/>
    <s v="Other"/>
    <s v="20Other"/>
    <s v="Non Puget Sound"/>
    <s v="07Non Puget Sound"/>
    <n v="339.31786216596299"/>
    <n v="2935.0995077355801"/>
    <n v="339.8898819023301"/>
    <n v="1638.1179471808343"/>
  </r>
  <r>
    <n v="1391"/>
    <x v="8"/>
    <s v="Freshwater"/>
    <x v="1"/>
    <x v="0"/>
    <n v="816"/>
    <s v="Samish River"/>
    <s v="Samish River"/>
    <s v="Skagit"/>
    <x v="1"/>
    <s v="Pierce"/>
    <s v="07Pierce"/>
    <s v="South Puget Sound"/>
    <s v="02South Puget Sound"/>
    <n v="48.473980309423403"/>
    <n v="419.29992967651202"/>
    <n v="48.557692307692299"/>
    <n v="234.02646409395865"/>
  </r>
  <r>
    <n v="1385"/>
    <x v="8"/>
    <s v="Freshwater"/>
    <x v="1"/>
    <x v="0"/>
    <n v="816"/>
    <s v="Samish River"/>
    <s v="Samish River"/>
    <s v="Skagit"/>
    <x v="1"/>
    <s v="Skagit"/>
    <s v="02Skagit"/>
    <s v="North Puget Sound"/>
    <s v="01North Puget Sound"/>
    <n v="891.92123769339003"/>
    <n v="7715.1187060478196"/>
    <n v="893.3267651139613"/>
    <n v="4305.4373917805806"/>
  </r>
  <r>
    <n v="1386"/>
    <x v="8"/>
    <s v="Freshwater"/>
    <x v="1"/>
    <x v="0"/>
    <n v="816"/>
    <s v="Samish River"/>
    <s v="Samish River"/>
    <s v="Skagit"/>
    <x v="1"/>
    <s v="Snohomish"/>
    <s v="03Snohomish"/>
    <s v="North Puget Sound"/>
    <s v="01North Puget Sound"/>
    <n v="3470.7369901547099"/>
    <n v="30021.8749648382"/>
    <n v="3466.2753636405109"/>
    <n v="16705.904427840418"/>
  </r>
  <r>
    <n v="1443"/>
    <x v="8"/>
    <s v="Freshwater"/>
    <x v="1"/>
    <x v="0"/>
    <n v="816"/>
    <s v="Samish River"/>
    <s v="Samish River"/>
    <s v="Skagit"/>
    <x v="1"/>
    <s v="Thurston"/>
    <s v="08Thurston"/>
    <s v="South Puget Sound"/>
    <s v="02South Puget Sound"/>
    <n v="29.084388185653999"/>
    <n v="251.57995780590699"/>
    <n v="29.116954474097309"/>
    <n v="140.33076072847672"/>
  </r>
  <r>
    <n v="1384"/>
    <x v="8"/>
    <s v="Freshwater"/>
    <x v="1"/>
    <x v="0"/>
    <n v="816"/>
    <s v="Samish River"/>
    <s v="Samish River"/>
    <s v="Skagit"/>
    <x v="1"/>
    <s v="Whatcom"/>
    <s v="01Whatcom"/>
    <s v="North Puget Sound"/>
    <s v="01North Puget Sound"/>
    <n v="1095.51195499297"/>
    <n v="9476.1784106891901"/>
    <n v="1096.2528807884469"/>
    <n v="5283.4509477521915"/>
  </r>
  <r>
    <n v="1497"/>
    <x v="9"/>
    <s v="Freshwater"/>
    <x v="1"/>
    <x v="0"/>
    <n v="816"/>
    <s v="Samish River"/>
    <s v="Samish River"/>
    <s v="Skagit"/>
    <x v="1"/>
    <s v="Island"/>
    <s v="04Island"/>
    <s v="North Puget Sound"/>
    <s v="01North Puget Sound"/>
    <n v="41.369978858350997"/>
    <n v="142.31272727272699"/>
    <n v="41.374239684366202"/>
    <n v="146.42510740822243"/>
  </r>
  <r>
    <n v="1498"/>
    <x v="9"/>
    <s v="Freshwater"/>
    <x v="1"/>
    <x v="0"/>
    <n v="816"/>
    <s v="Samish River"/>
    <s v="Samish River"/>
    <s v="Skagit"/>
    <x v="1"/>
    <s v="King"/>
    <s v="06King"/>
    <s v="South Puget Sound"/>
    <s v="02South Puget Sound"/>
    <n v="475.75475687103602"/>
    <n v="1636.5963636363599"/>
    <n v="475.76919283248401"/>
    <n v="1683.766413436799"/>
  </r>
  <r>
    <n v="1572"/>
    <x v="9"/>
    <s v="Freshwater"/>
    <x v="1"/>
    <x v="0"/>
    <n v="816"/>
    <s v="Samish River"/>
    <s v="Samish River"/>
    <s v="Skagit"/>
    <x v="1"/>
    <s v="Other"/>
    <s v="20Other"/>
    <s v="Non Puget Sound"/>
    <s v="07Non Puget Sound"/>
    <n v="268.90486257928097"/>
    <n v="925.03272727272702"/>
    <n v="268.8932270261385"/>
    <n v="951.62400442909802"/>
  </r>
  <r>
    <n v="1571"/>
    <x v="9"/>
    <s v="Freshwater"/>
    <x v="1"/>
    <x v="0"/>
    <n v="816"/>
    <s v="Samish River"/>
    <s v="Samish River"/>
    <s v="Skagit"/>
    <x v="1"/>
    <s v="Pierce"/>
    <s v="07Pierce"/>
    <s v="South Puget Sound"/>
    <s v="02South Puget Sound"/>
    <n v="20.684989429175499"/>
    <n v="71.156363636363693"/>
    <n v="20.685927996054502"/>
    <n v="73.208335712464105"/>
  </r>
  <r>
    <n v="1495"/>
    <x v="9"/>
    <s v="Freshwater"/>
    <x v="1"/>
    <x v="0"/>
    <n v="816"/>
    <s v="Samish River"/>
    <s v="Samish River"/>
    <s v="Skagit"/>
    <x v="1"/>
    <s v="Skagit"/>
    <s v="02Skagit"/>
    <s v="North Puget Sound"/>
    <s v="01North Puget Sound"/>
    <n v="486.09725158562401"/>
    <n v="1672.1745454545501"/>
    <n v="486.0630993479096"/>
    <n v="1720.1969648782299"/>
  </r>
  <r>
    <n v="1496"/>
    <x v="9"/>
    <s v="Freshwater"/>
    <x v="1"/>
    <x v="0"/>
    <n v="816"/>
    <s v="Samish River"/>
    <s v="Samish River"/>
    <s v="Skagit"/>
    <x v="1"/>
    <s v="Snohomish"/>
    <s v="03Snohomish"/>
    <s v="North Puget Sound"/>
    <s v="01North Puget Sound"/>
    <n v="3113.0909090909099"/>
    <n v="10709.032727272701"/>
    <n v="3113.1009644364135"/>
    <n v="11017.390206266105"/>
  </r>
  <r>
    <n v="1494"/>
    <x v="9"/>
    <s v="Freshwater"/>
    <x v="1"/>
    <x v="0"/>
    <n v="816"/>
    <s v="Samish River"/>
    <s v="Samish River"/>
    <s v="Skagit"/>
    <x v="1"/>
    <s v="Whatcom"/>
    <s v="01Whatcom"/>
    <s v="North Puget Sound"/>
    <s v="01North Puget Sound"/>
    <n v="486.09725158562401"/>
    <n v="1672.1745454545501"/>
    <n v="486.11334867664004"/>
    <n v="1720.3747992846788"/>
  </r>
  <r>
    <n v="1660"/>
    <x v="10"/>
    <s v="Freshwater"/>
    <x v="1"/>
    <x v="0"/>
    <n v="816"/>
    <s v="Samish River"/>
    <s v="Samish River"/>
    <s v="Skagit"/>
    <x v="1"/>
    <s v="Island"/>
    <s v="04Island"/>
    <s v="North Puget Sound"/>
    <s v="01North Puget Sound"/>
    <n v="292.76279069767401"/>
    <n v="2532.3981395348801"/>
    <n v="292.74957174144004"/>
    <n v="1410.922634163499"/>
  </r>
  <r>
    <n v="1661"/>
    <x v="10"/>
    <s v="Freshwater"/>
    <x v="1"/>
    <x v="0"/>
    <n v="816"/>
    <s v="Samish River"/>
    <s v="Samish River"/>
    <s v="Skagit"/>
    <x v="1"/>
    <s v="King"/>
    <s v="06King"/>
    <s v="South Puget Sound"/>
    <s v="02South Puget Sound"/>
    <n v="1097.86046511628"/>
    <n v="9496.4930232558199"/>
    <n v="1097.8665568011802"/>
    <n v="5291.2281478930099"/>
  </r>
  <r>
    <n v="1662"/>
    <x v="10"/>
    <s v="Freshwater"/>
    <x v="1"/>
    <x v="0"/>
    <n v="816"/>
    <s v="Samish River"/>
    <s v="Samish River"/>
    <s v="Skagit"/>
    <x v="1"/>
    <s v="Kitsap"/>
    <s v="10Kitsap"/>
    <s v="South Puget Sound"/>
    <s v="02South Puget Sound"/>
    <n v="85.389147286821697"/>
    <n v="738.61612403100798"/>
    <n v="85.386928898237102"/>
    <n v="411.52699191866446"/>
  </r>
  <r>
    <n v="1663"/>
    <x v="10"/>
    <s v="Freshwater"/>
    <x v="1"/>
    <x v="0"/>
    <n v="816"/>
    <s v="Samish River"/>
    <s v="Samish River"/>
    <s v="Skagit"/>
    <x v="1"/>
    <s v="Other"/>
    <s v="20Other"/>
    <s v="Non Puget Sound"/>
    <s v="07Non Puget Sound"/>
    <n v="231.77054263565901"/>
    <n v="2004.8151937984501"/>
    <n v="231.77153761085901"/>
    <n v="1117.0356507262745"/>
  </r>
  <r>
    <n v="1627"/>
    <x v="10"/>
    <s v="Freshwater"/>
    <x v="1"/>
    <x v="0"/>
    <n v="816"/>
    <s v="Samish River"/>
    <s v="Samish River"/>
    <s v="Skagit"/>
    <x v="1"/>
    <s v="Skagit"/>
    <s v="02Skagit"/>
    <s v="North Puget Sound"/>
    <s v="01North Puget Sound"/>
    <n v="1646.79069767442"/>
    <n v="14244.7395348837"/>
    <n v="1646.7867380792381"/>
    <n v="7936.7790995383857"/>
  </r>
  <r>
    <n v="1659"/>
    <x v="10"/>
    <s v="Freshwater"/>
    <x v="1"/>
    <x v="0"/>
    <n v="816"/>
    <s v="Samish River"/>
    <s v="Samish River"/>
    <s v="Skagit"/>
    <x v="1"/>
    <s v="Snohomish"/>
    <s v="03Snohomish"/>
    <s v="North Puget Sound"/>
    <s v="01North Puget Sound"/>
    <n v="3342.3751937984498"/>
    <n v="28911.545426356599"/>
    <n v="3342.39126569378"/>
    <n v="16108.838216039612"/>
  </r>
  <r>
    <n v="1626"/>
    <x v="10"/>
    <s v="Freshwater"/>
    <x v="1"/>
    <x v="0"/>
    <n v="816"/>
    <s v="Samish River"/>
    <s v="Samish River"/>
    <s v="Skagit"/>
    <x v="1"/>
    <s v="Whatcom"/>
    <s v="01Whatcom"/>
    <s v="North Puget Sound"/>
    <s v="01North Puget Sound"/>
    <n v="1171.0511627906999"/>
    <n v="10129.5925581396"/>
    <n v="1171.0474011752719"/>
    <n v="5643.9272452833093"/>
  </r>
  <r>
    <n v="1732"/>
    <x v="11"/>
    <s v="Freshwater"/>
    <x v="1"/>
    <x v="0"/>
    <n v="816"/>
    <s v="Samish River"/>
    <s v="Samish River"/>
    <s v="Skagit"/>
    <x v="1"/>
    <s v="Island"/>
    <s v="04Island"/>
    <s v="North Puget Sound"/>
    <s v="01North Puget Sound"/>
    <n v="700.73479318734803"/>
    <n v="2410.5276885644798"/>
    <n v="705.59243458475601"/>
    <n v="2497.1201599999799"/>
  </r>
  <r>
    <n v="1736"/>
    <x v="11"/>
    <s v="Freshwater"/>
    <x v="1"/>
    <x v="0"/>
    <n v="816"/>
    <s v="Samish River"/>
    <s v="Samish River"/>
    <s v="Skagit"/>
    <x v="1"/>
    <s v="King"/>
    <s v="06King"/>
    <s v="South Puget Sound"/>
    <s v="02South Puget Sound"/>
    <n v="943.29683698296901"/>
    <n v="3244.9411192214102"/>
    <n v="948.29588048619894"/>
    <n v="3356.0574699197305"/>
  </r>
  <r>
    <n v="1785"/>
    <x v="11"/>
    <s v="Freshwater"/>
    <x v="1"/>
    <x v="0"/>
    <n v="816"/>
    <s v="Samish River"/>
    <s v="Samish River"/>
    <s v="Skagit"/>
    <x v="1"/>
    <s v="Other"/>
    <s v="20Other"/>
    <s v="Non Puget Sound"/>
    <s v="07Non Puget Sound"/>
    <n v="808.54014598540198"/>
    <n v="2781.3781021897798"/>
    <n v="813.63638404885978"/>
    <n v="2879.4920664272508"/>
  </r>
  <r>
    <n v="1737"/>
    <x v="11"/>
    <s v="Freshwater"/>
    <x v="1"/>
    <x v="0"/>
    <n v="816"/>
    <s v="Samish River"/>
    <s v="Samish River"/>
    <s v="Skagit"/>
    <x v="1"/>
    <s v="Pierce"/>
    <s v="07Pierce"/>
    <s v="South Puget Sound"/>
    <s v="02South Puget Sound"/>
    <n v="269.51338199513401"/>
    <n v="927.12603406326105"/>
    <n v="257.687264235675"/>
    <n v="911.96564894695075"/>
  </r>
  <r>
    <n v="1730"/>
    <x v="11"/>
    <s v="Freshwater"/>
    <x v="1"/>
    <x v="0"/>
    <n v="816"/>
    <s v="Samish River"/>
    <s v="Samish River"/>
    <s v="Skagit"/>
    <x v="1"/>
    <s v="Skagit"/>
    <s v="02Skagit"/>
    <s v="North Puget Sound"/>
    <s v="01North Puget Sound"/>
    <n v="2290.8637469586401"/>
    <n v="7880.5712895377201"/>
    <n v="2278.3578827615111"/>
    <n v="8063.2006833900305"/>
  </r>
  <r>
    <n v="1731"/>
    <x v="11"/>
    <s v="Freshwater"/>
    <x v="1"/>
    <x v="0"/>
    <n v="816"/>
    <s v="Samish River"/>
    <s v="Samish River"/>
    <s v="Skagit"/>
    <x v="1"/>
    <s v="Snohomish"/>
    <s v="03Snohomish"/>
    <s v="North Puget Sound"/>
    <s v="01North Puget Sound"/>
    <n v="5242.03527980535"/>
    <n v="18032.6013625304"/>
    <n v="5246.5525118256337"/>
    <n v="18567.761508792926"/>
  </r>
  <r>
    <n v="1729"/>
    <x v="11"/>
    <s v="Freshwater"/>
    <x v="1"/>
    <x v="0"/>
    <n v="816"/>
    <s v="Samish River"/>
    <s v="Samish River"/>
    <s v="Skagit"/>
    <x v="1"/>
    <s v="Whatcom"/>
    <s v="01Whatcom"/>
    <s v="North Puget Sound"/>
    <s v="01North Puget Sound"/>
    <n v="822.01581508515801"/>
    <n v="2827.73440389294"/>
    <n v="826.87764205736198"/>
    <n v="2926.3534139929329"/>
  </r>
  <r>
    <n v="2198"/>
    <x v="0"/>
    <s v="Freshwater"/>
    <x v="1"/>
    <x v="0"/>
    <n v="824"/>
    <s v="Baker River"/>
    <s v="Baker River"/>
    <s v="Skagit/Whatcom"/>
    <x v="1"/>
    <s v="Pierce"/>
    <s v="07Pierce"/>
    <s v="South Puget Sound"/>
    <s v="02South Puget Sound"/>
    <n v="5.9230769230769198"/>
    <n v="51.234615384615402"/>
    <n v="5.9230769230769198"/>
    <n v="28.546594432055141"/>
  </r>
  <r>
    <n v="2196"/>
    <x v="0"/>
    <s v="Freshwater"/>
    <x v="1"/>
    <x v="0"/>
    <n v="824"/>
    <s v="Baker River"/>
    <s v="Baker River"/>
    <s v="Skagit/Whatcom"/>
    <x v="1"/>
    <s v="Skagit"/>
    <s v="02Skagit"/>
    <s v="North Puget Sound"/>
    <s v="01North Puget Sound"/>
    <n v="136.230769230769"/>
    <n v="1178.3961538461499"/>
    <n v="136.230769230769"/>
    <n v="656.57167193726752"/>
  </r>
  <r>
    <n v="2197"/>
    <x v="0"/>
    <s v="Freshwater"/>
    <x v="1"/>
    <x v="0"/>
    <n v="824"/>
    <s v="Baker River"/>
    <s v="Baker River"/>
    <s v="Skagit/Whatcom"/>
    <x v="1"/>
    <s v="Snohomish"/>
    <s v="03Snohomish"/>
    <s v="North Puget Sound"/>
    <s v="01North Puget Sound"/>
    <n v="5.9230769230769198"/>
    <n v="51.234615384615402"/>
    <n v="5.9230769230769198"/>
    <n v="28.546594432055141"/>
  </r>
  <r>
    <n v="2195"/>
    <x v="0"/>
    <s v="Freshwater"/>
    <x v="1"/>
    <x v="0"/>
    <n v="824"/>
    <s v="Baker River"/>
    <s v="Baker River"/>
    <s v="Skagit/Whatcom"/>
    <x v="1"/>
    <s v="Whatcom"/>
    <s v="01Whatcom"/>
    <s v="North Puget Sound"/>
    <s v="01North Puget Sound"/>
    <n v="5.9230769230769198"/>
    <n v="51.234615384615402"/>
    <n v="5.9230769230769198"/>
    <n v="28.546594432055141"/>
  </r>
  <r>
    <n v="2270"/>
    <x v="1"/>
    <s v="Freshwater"/>
    <x v="1"/>
    <x v="0"/>
    <n v="824"/>
    <s v="Baker River"/>
    <s v="Baker River"/>
    <s v="Skagit/Whatcom"/>
    <x v="1"/>
    <s v="Skagit"/>
    <s v="02Skagit"/>
    <s v="North Puget Sound"/>
    <s v="01North Puget Sound"/>
    <n v="7"/>
    <n v="24.08"/>
    <n v="7"/>
    <n v="24.773283078476908"/>
  </r>
  <r>
    <n v="1543"/>
    <x v="0"/>
    <s v="Freshwater"/>
    <x v="1"/>
    <x v="0"/>
    <n v="825"/>
    <s v="Baker Lake"/>
    <s v="Baker Lake"/>
    <s v="Whatcom"/>
    <x v="1"/>
    <s v="Island"/>
    <s v="04Island"/>
    <s v="North Puget Sound"/>
    <s v="01North Puget Sound"/>
    <n v="177.75757575757601"/>
    <n v="1537.60303030303"/>
    <n v="180.70647321428569"/>
    <n v="870.92476918491275"/>
  </r>
  <r>
    <n v="1544"/>
    <x v="0"/>
    <s v="Freshwater"/>
    <x v="1"/>
    <x v="0"/>
    <n v="825"/>
    <s v="Baker Lake"/>
    <s v="Baker Lake"/>
    <s v="Whatcom"/>
    <x v="1"/>
    <s v="King"/>
    <s v="06King"/>
    <s v="South Puget Sound"/>
    <s v="02South Puget Sound"/>
    <n v="432.543434343434"/>
    <n v="3741.5007070707002"/>
    <n v="439.609375"/>
    <n v="2118.7215191753926"/>
  </r>
  <r>
    <n v="1546"/>
    <x v="0"/>
    <s v="Freshwater"/>
    <x v="1"/>
    <x v="0"/>
    <n v="825"/>
    <s v="Baker Lake"/>
    <s v="Baker Lake"/>
    <s v="Whatcom"/>
    <x v="1"/>
    <s v="Other"/>
    <s v="20Other"/>
    <s v="Non Puget Sound"/>
    <s v="07Non Puget Sound"/>
    <n v="82.953535353535401"/>
    <n v="717.54808080808095"/>
    <n v="84.329985119047592"/>
    <n v="406.43299334429969"/>
  </r>
  <r>
    <n v="1545"/>
    <x v="0"/>
    <s v="Freshwater"/>
    <x v="1"/>
    <x v="0"/>
    <n v="825"/>
    <s v="Baker Lake"/>
    <s v="Baker Lake"/>
    <s v="Whatcom"/>
    <x v="1"/>
    <s v="Pierce"/>
    <s v="07Pierce"/>
    <s v="South Puget Sound"/>
    <s v="02South Puget Sound"/>
    <n v="29.626262626262601"/>
    <n v="256.26717171717098"/>
    <n v="30.118303571428601"/>
    <n v="145.15681768124907"/>
  </r>
  <r>
    <n v="1541"/>
    <x v="0"/>
    <s v="Freshwater"/>
    <x v="1"/>
    <x v="0"/>
    <n v="825"/>
    <s v="Baker Lake"/>
    <s v="Baker Lake"/>
    <s v="Whatcom"/>
    <x v="1"/>
    <s v="Skagit"/>
    <s v="02Skagit"/>
    <s v="North Puget Sound"/>
    <s v="01North Puget Sound"/>
    <n v="1007.29292929293"/>
    <n v="8713.0838383838509"/>
    <n v="987.72842261904793"/>
    <n v="4760.4113631656364"/>
  </r>
  <r>
    <n v="1542"/>
    <x v="0"/>
    <s v="Freshwater"/>
    <x v="1"/>
    <x v="0"/>
    <n v="825"/>
    <s v="Baker Lake"/>
    <s v="Baker Lake"/>
    <s v="Whatcom"/>
    <x v="1"/>
    <s v="Snohomish"/>
    <s v="03Snohomish"/>
    <s v="North Puget Sound"/>
    <s v="01North Puget Sound"/>
    <n v="930.26464646464694"/>
    <n v="8046.7891919191998"/>
    <n v="933.41852678571399"/>
    <n v="4498.6618383602145"/>
  </r>
  <r>
    <n v="1540"/>
    <x v="0"/>
    <s v="Freshwater"/>
    <x v="1"/>
    <x v="0"/>
    <n v="825"/>
    <s v="Baker Lake"/>
    <s v="Baker Lake"/>
    <s v="Whatcom"/>
    <x v="1"/>
    <s v="Whatcom"/>
    <s v="01Whatcom"/>
    <s v="North Puget Sound"/>
    <s v="01North Puget Sound"/>
    <n v="272.56161616161597"/>
    <n v="2357.6579797979798"/>
    <n v="277.08891369047603"/>
    <n v="1335.4452328523353"/>
  </r>
  <r>
    <n v="1702"/>
    <x v="1"/>
    <s v="Freshwater"/>
    <x v="1"/>
    <x v="0"/>
    <n v="825"/>
    <s v="Baker Lake"/>
    <s v="Baker Lake"/>
    <s v="Whatcom"/>
    <x v="1"/>
    <s v="Clallam"/>
    <s v="11Clallam"/>
    <s v="Strait of Juan de Fuca"/>
    <s v="03Strait of Juan de Fuca"/>
    <n v="14.5699300699301"/>
    <n v="50.120559440559497"/>
    <n v="14.7246376811594"/>
    <n v="52.111088214767086"/>
  </r>
  <r>
    <n v="1697"/>
    <x v="1"/>
    <s v="Freshwater"/>
    <x v="1"/>
    <x v="0"/>
    <n v="825"/>
    <s v="Baker Lake"/>
    <s v="Baker Lake"/>
    <s v="Whatcom"/>
    <x v="1"/>
    <s v="Island"/>
    <s v="04Island"/>
    <s v="North Puget Sound"/>
    <s v="01North Puget Sound"/>
    <n v="225.83391608391599"/>
    <n v="776.86867132867098"/>
    <n v="228.23351449275401"/>
    <n v="807.72763750352237"/>
  </r>
  <r>
    <n v="1699"/>
    <x v="1"/>
    <s v="Freshwater"/>
    <x v="1"/>
    <x v="0"/>
    <n v="825"/>
    <s v="Baker Lake"/>
    <s v="Baker Lake"/>
    <s v="Whatcom"/>
    <x v="1"/>
    <s v="King"/>
    <s v="06King"/>
    <s v="South Puget Sound"/>
    <s v="02South Puget Sound"/>
    <n v="1143.7395104895099"/>
    <n v="3934.4639160839101"/>
    <n v="1155.8989130434779"/>
    <n v="4090.7729975614061"/>
  </r>
  <r>
    <n v="1703"/>
    <x v="1"/>
    <s v="Freshwater"/>
    <x v="1"/>
    <x v="0"/>
    <n v="825"/>
    <s v="Baker Lake"/>
    <s v="Baker Lake"/>
    <s v="Whatcom"/>
    <x v="1"/>
    <s v="Other"/>
    <s v="20Other"/>
    <s v="Non Puget Sound"/>
    <s v="07Non Puget Sound"/>
    <n v="699.35664335664296"/>
    <n v="2405.7868531468498"/>
    <n v="633.14880785413777"/>
    <n v="2240.7392353958198"/>
  </r>
  <r>
    <n v="1700"/>
    <x v="1"/>
    <s v="Freshwater"/>
    <x v="1"/>
    <x v="0"/>
    <n v="825"/>
    <s v="Baker Lake"/>
    <s v="Baker Lake"/>
    <s v="Whatcom"/>
    <x v="1"/>
    <s v="Pierce"/>
    <s v="07Pierce"/>
    <s v="South Puget Sound"/>
    <s v="02South Puget Sound"/>
    <n v="131.12937062937101"/>
    <n v="451.08503496503602"/>
    <n v="132.52336956521742"/>
    <n v="469.00556410753461"/>
  </r>
  <r>
    <n v="1698"/>
    <x v="1"/>
    <s v="Freshwater"/>
    <x v="1"/>
    <x v="0"/>
    <n v="825"/>
    <s v="Baker Lake"/>
    <s v="Baker Lake"/>
    <s v="Whatcom"/>
    <x v="1"/>
    <s v="San Juan"/>
    <s v="05San Juan"/>
    <s v="North Puget Sound"/>
    <s v="01North Puget Sound"/>
    <n v="36.424825174825202"/>
    <n v="125.301398601399"/>
    <n v="36.8125"/>
    <n v="130.28092618949017"/>
  </r>
  <r>
    <n v="1564"/>
    <x v="1"/>
    <s v="Freshwater"/>
    <x v="1"/>
    <x v="0"/>
    <n v="825"/>
    <s v="Baker Lake"/>
    <s v="Baker Lake"/>
    <s v="Whatcom"/>
    <x v="1"/>
    <s v="Skagit"/>
    <s v="02Skagit"/>
    <s v="North Puget Sound"/>
    <s v="01North Puget Sound"/>
    <n v="1988.79545454546"/>
    <n v="6841.45636363638"/>
    <n v="2009.822761804581"/>
    <n v="7112.8440308215932"/>
  </r>
  <r>
    <n v="1565"/>
    <x v="1"/>
    <s v="Freshwater"/>
    <x v="1"/>
    <x v="0"/>
    <n v="825"/>
    <s v="Baker Lake"/>
    <s v="Baker Lake"/>
    <s v="Whatcom"/>
    <x v="1"/>
    <s v="Snohomish"/>
    <s v="03Snohomish"/>
    <s v="North Puget Sound"/>
    <s v="01North Puget Sound"/>
    <n v="2287.4790209790199"/>
    <n v="7868.9278321678303"/>
    <n v="2296.9759992987388"/>
    <n v="8129.0909507278611"/>
  </r>
  <r>
    <n v="1701"/>
    <x v="1"/>
    <s v="Freshwater"/>
    <x v="1"/>
    <x v="0"/>
    <n v="825"/>
    <s v="Baker Lake"/>
    <s v="Baker Lake"/>
    <s v="Whatcom"/>
    <x v="1"/>
    <s v="Thurston"/>
    <s v="08Thurston"/>
    <s v="South Puget Sound"/>
    <s v="02South Puget Sound"/>
    <n v="80.134615384615401"/>
    <n v="275.66307692307703"/>
    <n v="80.985688405797092"/>
    <n v="286.6116263117338"/>
  </r>
  <r>
    <n v="1563"/>
    <x v="1"/>
    <s v="Freshwater"/>
    <x v="1"/>
    <x v="0"/>
    <n v="825"/>
    <s v="Baker Lake"/>
    <s v="Baker Lake"/>
    <s v="Whatcom"/>
    <x v="1"/>
    <s v="Whatcom"/>
    <s v="01Whatcom"/>
    <s v="North Puget Sound"/>
    <s v="01North Puget Sound"/>
    <n v="1726.53671328671"/>
    <n v="5939.28629370628"/>
    <n v="1744.8738078541378"/>
    <n v="6175.1789683129255"/>
  </r>
  <r>
    <n v="1871"/>
    <x v="2"/>
    <s v="Freshwater"/>
    <x v="1"/>
    <x v="0"/>
    <n v="825"/>
    <s v="Baker Lake"/>
    <s v="Baker Lake"/>
    <s v="Whatcom"/>
    <x v="1"/>
    <s v="Clallam"/>
    <s v="11Clallam"/>
    <s v="Strait of Juan de Fuca"/>
    <s v="03Strait of Juan de Fuca"/>
    <n v="14.556868537666199"/>
    <n v="125.91691285081301"/>
    <n v="15.11509460805236"/>
    <n v="72.848028344373859"/>
  </r>
  <r>
    <n v="1865"/>
    <x v="2"/>
    <s v="Freshwater"/>
    <x v="1"/>
    <x v="0"/>
    <n v="825"/>
    <s v="Baker Lake"/>
    <s v="Baker Lake"/>
    <s v="Whatcom"/>
    <x v="1"/>
    <s v="Island"/>
    <s v="04Island"/>
    <s v="North Puget Sound"/>
    <s v="01North Puget Sound"/>
    <n v="189.23929098965999"/>
    <n v="1636.9198670605599"/>
    <n v="196.55177797245986"/>
    <n v="947.29208543933942"/>
  </r>
  <r>
    <n v="1867"/>
    <x v="2"/>
    <s v="Freshwater"/>
    <x v="1"/>
    <x v="0"/>
    <n v="825"/>
    <s v="Baker Lake"/>
    <s v="Baker Lake"/>
    <s v="Whatcom"/>
    <x v="1"/>
    <s v="King"/>
    <s v="06King"/>
    <s v="South Puget Sound"/>
    <s v="02South Puget Sound"/>
    <n v="1375.6240768094499"/>
    <n v="11899.1482644017"/>
    <n v="1413.2008820600372"/>
    <n v="6810.9992416295645"/>
  </r>
  <r>
    <n v="1870"/>
    <x v="2"/>
    <s v="Freshwater"/>
    <x v="1"/>
    <x v="0"/>
    <n v="825"/>
    <s v="Baker Lake"/>
    <s v="Baker Lake"/>
    <s v="Whatcom"/>
    <x v="1"/>
    <s v="Kitsap"/>
    <s v="10Kitsap"/>
    <s v="South Puget Sound"/>
    <s v="02South Puget Sound"/>
    <n v="7.2784342688330899"/>
    <n v="62.958456425406197"/>
    <n v="7.5526315789473699"/>
    <n v="36.400322565276085"/>
  </r>
  <r>
    <n v="1872"/>
    <x v="2"/>
    <s v="Freshwater"/>
    <x v="1"/>
    <x v="0"/>
    <n v="825"/>
    <s v="Baker Lake"/>
    <s v="Baker Lake"/>
    <s v="Whatcom"/>
    <x v="1"/>
    <s v="Other"/>
    <s v="20Other"/>
    <s v="Non Puget Sound"/>
    <s v="07Non Puget Sound"/>
    <n v="524.04726735598194"/>
    <n v="4533.00886262924"/>
    <n v="528.89037521246644"/>
    <n v="2549.0162015935175"/>
  </r>
  <r>
    <n v="1868"/>
    <x v="2"/>
    <s v="Freshwater"/>
    <x v="1"/>
    <x v="0"/>
    <n v="825"/>
    <s v="Baker Lake"/>
    <s v="Baker Lake"/>
    <s v="Whatcom"/>
    <x v="1"/>
    <s v="Pierce"/>
    <s v="07Pierce"/>
    <s v="South Puget Sound"/>
    <s v="02South Puget Sound"/>
    <n v="138.29025110782899"/>
    <n v="1196.2106720827201"/>
    <n v="143.65386256935551"/>
    <n v="692.3476778409422"/>
  </r>
  <r>
    <n v="1866"/>
    <x v="2"/>
    <s v="Freshwater"/>
    <x v="1"/>
    <x v="0"/>
    <n v="825"/>
    <s v="Baker Lake"/>
    <s v="Baker Lake"/>
    <s v="Whatcom"/>
    <x v="1"/>
    <s v="San Juan"/>
    <s v="05San Juan"/>
    <s v="North Puget Sound"/>
    <s v="01North Puget Sound"/>
    <n v="14.556868537666199"/>
    <n v="125.91691285081301"/>
    <n v="15.139280125195601"/>
    <n v="72.964591772130092"/>
  </r>
  <r>
    <n v="1720"/>
    <x v="2"/>
    <s v="Freshwater"/>
    <x v="1"/>
    <x v="0"/>
    <n v="825"/>
    <s v="Baker Lake"/>
    <s v="Baker Lake"/>
    <s v="Whatcom"/>
    <x v="1"/>
    <s v="Skagit"/>
    <s v="02Skagit"/>
    <s v="North Puget Sound"/>
    <s v="01North Puget Sound"/>
    <n v="3013.2717872969001"/>
    <n v="26064.800960118198"/>
    <n v="3075.7539292105685"/>
    <n v="14823.764933372266"/>
  </r>
  <r>
    <n v="1721"/>
    <x v="2"/>
    <s v="Freshwater"/>
    <x v="1"/>
    <x v="0"/>
    <n v="825"/>
    <s v="Baker Lake"/>
    <s v="Baker Lake"/>
    <s v="Whatcom"/>
    <x v="1"/>
    <s v="Snohomish"/>
    <s v="03Snohomish"/>
    <s v="North Puget Sound"/>
    <s v="01North Puget Sound"/>
    <n v="2984.1580502215702"/>
    <n v="25812.967134416602"/>
    <n v="2910.2814879708894"/>
    <n v="14026.261417699985"/>
  </r>
  <r>
    <n v="1869"/>
    <x v="2"/>
    <s v="Freshwater"/>
    <x v="1"/>
    <x v="0"/>
    <n v="825"/>
    <s v="Baker Lake"/>
    <s v="Baker Lake"/>
    <s v="Whatcom"/>
    <x v="1"/>
    <s v="Thurston"/>
    <s v="08Thurston"/>
    <s v="South Puget Sound"/>
    <s v="02South Puget Sound"/>
    <n v="58.227474150664698"/>
    <n v="503.66765140324998"/>
    <n v="60.508749466495999"/>
    <n v="291.6252402330083"/>
  </r>
  <r>
    <n v="1719"/>
    <x v="2"/>
    <s v="Freshwater"/>
    <x v="1"/>
    <x v="0"/>
    <n v="825"/>
    <s v="Baker Lake"/>
    <s v="Baker Lake"/>
    <s v="Whatcom"/>
    <x v="1"/>
    <s v="Whatcom"/>
    <s v="01Whatcom"/>
    <s v="North Puget Sound"/>
    <s v="01North Puget Sound"/>
    <n v="1535.74963072378"/>
    <n v="13284.234305760699"/>
    <n v="1488.3519292255401"/>
    <n v="7173.1938395453062"/>
  </r>
  <r>
    <n v="1899"/>
    <x v="3"/>
    <s v="Freshwater"/>
    <x v="1"/>
    <x v="0"/>
    <n v="825"/>
    <s v="Baker Lake"/>
    <s v="Baker Lake"/>
    <s v="Whatcom"/>
    <x v="1"/>
    <s v="Clallam"/>
    <s v="11Clallam"/>
    <s v="Strait of Juan de Fuca"/>
    <s v="03Strait of Juan de Fuca"/>
    <n v="17.827464788732399"/>
    <n v="61.326478873239502"/>
    <n v="17.921375921375901"/>
    <n v="63.42447412229216"/>
  </r>
  <r>
    <n v="1895"/>
    <x v="3"/>
    <s v="Freshwater"/>
    <x v="1"/>
    <x v="0"/>
    <n v="825"/>
    <s v="Baker Lake"/>
    <s v="Baker Lake"/>
    <s v="Whatcom"/>
    <x v="1"/>
    <s v="Island"/>
    <s v="04Island"/>
    <s v="North Puget Sound"/>
    <s v="01North Puget Sound"/>
    <n v="71.309859154929597"/>
    <n v="245.30591549295801"/>
    <n v="71.685503685503704"/>
    <n v="253.69789648916898"/>
  </r>
  <r>
    <n v="1896"/>
    <x v="3"/>
    <s v="Freshwater"/>
    <x v="1"/>
    <x v="0"/>
    <n v="825"/>
    <s v="Baker Lake"/>
    <s v="Baker Lake"/>
    <s v="Whatcom"/>
    <x v="1"/>
    <s v="King"/>
    <s v="06King"/>
    <s v="South Puget Sound"/>
    <s v="02South Puget Sound"/>
    <n v="570.47887323943701"/>
    <n v="1962.44732394366"/>
    <n v="573.60919394467805"/>
    <n v="2030.0261340012103"/>
  </r>
  <r>
    <n v="2023"/>
    <x v="3"/>
    <s v="Freshwater"/>
    <x v="1"/>
    <x v="0"/>
    <n v="825"/>
    <s v="Baker Lake"/>
    <s v="Baker Lake"/>
    <s v="Whatcom"/>
    <x v="1"/>
    <s v="Other"/>
    <s v="20Other"/>
    <s v="Non Puget Sound"/>
    <s v="07Non Puget Sound"/>
    <n v="320.89436619718299"/>
    <n v="1103.8766197183099"/>
    <n v="295.71294285487801"/>
    <n v="1046.5400633304798"/>
  </r>
  <r>
    <n v="1897"/>
    <x v="3"/>
    <s v="Freshwater"/>
    <x v="1"/>
    <x v="0"/>
    <n v="825"/>
    <s v="Baker Lake"/>
    <s v="Baker Lake"/>
    <s v="Whatcom"/>
    <x v="1"/>
    <s v="Pierce"/>
    <s v="07Pierce"/>
    <s v="South Puget Sound"/>
    <s v="02South Puget Sound"/>
    <n v="160.44718309859201"/>
    <n v="551.93830985915599"/>
    <n v="161.29358801616831"/>
    <n v="570.82453066682399"/>
  </r>
  <r>
    <n v="1893"/>
    <x v="3"/>
    <s v="Freshwater"/>
    <x v="1"/>
    <x v="0"/>
    <n v="825"/>
    <s v="Baker Lake"/>
    <s v="Baker Lake"/>
    <s v="Whatcom"/>
    <x v="1"/>
    <s v="Skagit"/>
    <s v="02Skagit"/>
    <s v="North Puget Sound"/>
    <s v="01North Puget Sound"/>
    <n v="1773.8327464788699"/>
    <n v="6101.9846478873096"/>
    <n v="1783.2100340810061"/>
    <n v="6310.8524232384598"/>
  </r>
  <r>
    <n v="1894"/>
    <x v="3"/>
    <s v="Freshwater"/>
    <x v="1"/>
    <x v="0"/>
    <n v="825"/>
    <s v="Baker Lake"/>
    <s v="Baker Lake"/>
    <s v="Whatcom"/>
    <x v="1"/>
    <s v="Snohomish"/>
    <s v="03Snohomish"/>
    <s v="North Puget Sound"/>
    <s v="01North Puget Sound"/>
    <n v="1426.1971830985899"/>
    <n v="4906.11830985915"/>
    <n v="1433.7407941666011"/>
    <n v="5074.0666507213573"/>
  </r>
  <r>
    <n v="1898"/>
    <x v="3"/>
    <s v="Freshwater"/>
    <x v="1"/>
    <x v="0"/>
    <n v="825"/>
    <s v="Baker Lake"/>
    <s v="Baker Lake"/>
    <s v="Whatcom"/>
    <x v="1"/>
    <s v="Thurston"/>
    <s v="08Thurston"/>
    <s v="South Puget Sound"/>
    <s v="02South Puget Sound"/>
    <n v="35.654929577464799"/>
    <n v="122.652957746479"/>
    <n v="35.842751842751902"/>
    <n v="126.84894824458466"/>
  </r>
  <r>
    <n v="1892"/>
    <x v="3"/>
    <s v="Freshwater"/>
    <x v="1"/>
    <x v="0"/>
    <n v="825"/>
    <s v="Baker Lake"/>
    <s v="Baker Lake"/>
    <s v="Whatcom"/>
    <x v="1"/>
    <s v="Whatcom"/>
    <s v="01Whatcom"/>
    <s v="North Puget Sound"/>
    <s v="01North Puget Sound"/>
    <n v="686.35739436619701"/>
    <n v="2361.0694366197199"/>
    <n v="689.98381548704197"/>
    <n v="2441.8806258040099"/>
  </r>
  <r>
    <n v="2164"/>
    <x v="4"/>
    <s v="Freshwater"/>
    <x v="1"/>
    <x v="0"/>
    <n v="825"/>
    <s v="Baker Lake"/>
    <s v="Baker Lake"/>
    <s v="Whatcom"/>
    <x v="1"/>
    <s v="Island"/>
    <s v="04Island"/>
    <s v="North Puget Sound"/>
    <s v="01North Puget Sound"/>
    <n v="115.022222222222"/>
    <n v="994.94222222222004"/>
    <n v="116.0382954218255"/>
    <n v="559.2529357651963"/>
  </r>
  <r>
    <n v="2165"/>
    <x v="4"/>
    <s v="Freshwater"/>
    <x v="1"/>
    <x v="0"/>
    <n v="825"/>
    <s v="Baker Lake"/>
    <s v="Baker Lake"/>
    <s v="Whatcom"/>
    <x v="1"/>
    <s v="King"/>
    <s v="06King"/>
    <s v="South Puget Sound"/>
    <s v="02South Puget Sound"/>
    <n v="330.68888888888898"/>
    <n v="2860.4588888888902"/>
    <n v="333.58993185526464"/>
    <n v="1607.7549920358317"/>
  </r>
  <r>
    <n v="2167"/>
    <x v="4"/>
    <s v="Freshwater"/>
    <x v="1"/>
    <x v="0"/>
    <n v="825"/>
    <s v="Baker Lake"/>
    <s v="Baker Lake"/>
    <s v="Whatcom"/>
    <x v="1"/>
    <s v="Other"/>
    <s v="20Other"/>
    <s v="Non Puget Sound"/>
    <s v="07Non Puget Sound"/>
    <n v="129.4"/>
    <n v="1119.31"/>
    <n v="130.53373644303659"/>
    <n v="629.11450962625804"/>
  </r>
  <r>
    <n v="2166"/>
    <x v="4"/>
    <s v="Freshwater"/>
    <x v="1"/>
    <x v="0"/>
    <n v="825"/>
    <s v="Baker Lake"/>
    <s v="Baker Lake"/>
    <s v="Whatcom"/>
    <x v="1"/>
    <s v="Pierce"/>
    <s v="07Pierce"/>
    <s v="South Puget Sound"/>
    <s v="02South Puget Sound"/>
    <n v="35.9444444444444"/>
    <n v="310.91944444444403"/>
    <n v="36.260245704962095"/>
    <n v="174.75824501169996"/>
  </r>
  <r>
    <n v="2046"/>
    <x v="4"/>
    <s v="Freshwater"/>
    <x v="1"/>
    <x v="0"/>
    <n v="825"/>
    <s v="Baker Lake"/>
    <s v="Baker Lake"/>
    <s v="Whatcom"/>
    <x v="1"/>
    <s v="Skagit"/>
    <s v="02Skagit"/>
    <s v="North Puget Sound"/>
    <s v="01North Puget Sound"/>
    <n v="1171.7888888888899"/>
    <n v="10135.973888888901"/>
    <n v="1160.614214415971"/>
    <n v="5593.6439288719921"/>
  </r>
  <r>
    <n v="2047"/>
    <x v="4"/>
    <s v="Freshwater"/>
    <x v="1"/>
    <x v="0"/>
    <n v="825"/>
    <s v="Baker Lake"/>
    <s v="Baker Lake"/>
    <s v="Whatcom"/>
    <x v="1"/>
    <s v="Snohomish"/>
    <s v="03Snohomish"/>
    <s v="North Puget Sound"/>
    <s v="01North Puget Sound"/>
    <n v="1056.7666666666701"/>
    <n v="9141.0316666667004"/>
    <n v="1066.1015932431139"/>
    <n v="5138.1351619977549"/>
  </r>
  <r>
    <n v="2045"/>
    <x v="4"/>
    <s v="Freshwater"/>
    <x v="1"/>
    <x v="0"/>
    <n v="825"/>
    <s v="Baker Lake"/>
    <s v="Baker Lake"/>
    <s v="Whatcom"/>
    <x v="1"/>
    <s v="Whatcom"/>
    <s v="01Whatcom"/>
    <s v="North Puget Sound"/>
    <s v="01North Puget Sound"/>
    <n v="395.38888888888903"/>
    <n v="3420.11388888889"/>
    <n v="391.86198291582701"/>
    <n v="1888.6003414975003"/>
  </r>
  <r>
    <n v="2192"/>
    <x v="5"/>
    <s v="Freshwater"/>
    <x v="1"/>
    <x v="0"/>
    <n v="825"/>
    <s v="Baker Lake"/>
    <s v="Baker Lake"/>
    <s v="Whatcom"/>
    <x v="1"/>
    <s v="Clallam"/>
    <s v="11Clallam"/>
    <s v="Strait of Juan de Fuca"/>
    <s v="03Strait of Juan de Fuca"/>
    <n v="35.183246073298399"/>
    <n v="121.030366492146"/>
    <n v="35.369127516778498"/>
    <n v="125.1727726017001"/>
  </r>
  <r>
    <n v="2187"/>
    <x v="5"/>
    <s v="Freshwater"/>
    <x v="1"/>
    <x v="0"/>
    <n v="825"/>
    <s v="Baker Lake"/>
    <s v="Baker Lake"/>
    <s v="Whatcom"/>
    <x v="1"/>
    <s v="Island"/>
    <s v="04Island"/>
    <s v="North Puget Sound"/>
    <s v="01North Puget Sound"/>
    <n v="387.01570680628299"/>
    <n v="1331.3340314136101"/>
    <n v="389.04634803852758"/>
    <n v="1376.8507586580133"/>
  </r>
  <r>
    <n v="2188"/>
    <x v="5"/>
    <s v="Freshwater"/>
    <x v="1"/>
    <x v="0"/>
    <n v="825"/>
    <s v="Baker Lake"/>
    <s v="Baker Lake"/>
    <s v="Whatcom"/>
    <x v="1"/>
    <s v="King"/>
    <s v="06King"/>
    <s v="South Puget Sound"/>
    <s v="02South Puget Sound"/>
    <n v="730.05235602094206"/>
    <n v="2511.3801047120401"/>
    <n v="733.89661902221212"/>
    <n v="2597.2898133391973"/>
  </r>
  <r>
    <n v="2191"/>
    <x v="5"/>
    <s v="Freshwater"/>
    <x v="1"/>
    <x v="0"/>
    <n v="825"/>
    <s v="Baker Lake"/>
    <s v="Baker Lake"/>
    <s v="Whatcom"/>
    <x v="1"/>
    <s v="Mason"/>
    <s v="09Mason"/>
    <s v="South Puget Sound"/>
    <s v="02South Puget Sound"/>
    <n v="8.7958115183246104"/>
    <n v="30.257591623036699"/>
    <n v="8.8422818791946298"/>
    <n v="31.293193150425044"/>
  </r>
  <r>
    <n v="2292"/>
    <x v="5"/>
    <s v="Freshwater"/>
    <x v="1"/>
    <x v="0"/>
    <n v="825"/>
    <s v="Baker Lake"/>
    <s v="Baker Lake"/>
    <s v="Whatcom"/>
    <x v="1"/>
    <s v="Other"/>
    <s v="20Other"/>
    <s v="Non Puget Sound"/>
    <s v="07Non Puget Sound"/>
    <n v="809.21465968586404"/>
    <n v="2783.69842931937"/>
    <n v="813.46821206930395"/>
    <n v="2878.8968989907644"/>
  </r>
  <r>
    <n v="2189"/>
    <x v="5"/>
    <s v="Freshwater"/>
    <x v="1"/>
    <x v="0"/>
    <n v="825"/>
    <s v="Baker Lake"/>
    <s v="Baker Lake"/>
    <s v="Whatcom"/>
    <x v="1"/>
    <s v="Pierce"/>
    <s v="07Pierce"/>
    <s v="South Puget Sound"/>
    <s v="02South Puget Sound"/>
    <n v="316.64921465968598"/>
    <n v="1089.27329842932"/>
    <n v="318.32214765100701"/>
    <n v="1126.5549534153029"/>
  </r>
  <r>
    <n v="2185"/>
    <x v="5"/>
    <s v="Freshwater"/>
    <x v="1"/>
    <x v="0"/>
    <n v="825"/>
    <s v="Baker Lake"/>
    <s v="Baker Lake"/>
    <s v="Whatcom"/>
    <x v="1"/>
    <s v="Skagit"/>
    <s v="02Skagit"/>
    <s v="North Puget Sound"/>
    <s v="01North Puget Sound"/>
    <n v="2656.3350785340299"/>
    <n v="9137.7926701570595"/>
    <n v="2635.0145881890389"/>
    <n v="9325.4231870176172"/>
  </r>
  <r>
    <n v="2186"/>
    <x v="5"/>
    <s v="Freshwater"/>
    <x v="1"/>
    <x v="0"/>
    <n v="825"/>
    <s v="Baker Lake"/>
    <s v="Baker Lake"/>
    <s v="Whatcom"/>
    <x v="1"/>
    <s v="Snohomish"/>
    <s v="03Snohomish"/>
    <s v="North Puget Sound"/>
    <s v="01North Puget Sound"/>
    <n v="3439.1623036649198"/>
    <n v="11830.7183246073"/>
    <n v="3439.5211591923817"/>
    <n v="12172.60447586913"/>
  </r>
  <r>
    <n v="2190"/>
    <x v="5"/>
    <s v="Freshwater"/>
    <x v="1"/>
    <x v="0"/>
    <n v="825"/>
    <s v="Baker Lake"/>
    <s v="Baker Lake"/>
    <s v="Whatcom"/>
    <x v="1"/>
    <s v="Thurston"/>
    <s v="08Thurston"/>
    <s v="South Puget Sound"/>
    <s v="02South Puget Sound"/>
    <n v="8.7958115183246104"/>
    <n v="30.257591623036699"/>
    <n v="8.8422818791946298"/>
    <n v="31.293193150425044"/>
  </r>
  <r>
    <n v="2184"/>
    <x v="5"/>
    <s v="Freshwater"/>
    <x v="1"/>
    <x v="0"/>
    <n v="825"/>
    <s v="Baker Lake"/>
    <s v="Baker Lake"/>
    <s v="Whatcom"/>
    <x v="1"/>
    <s v="Whatcom"/>
    <s v="01Whatcom"/>
    <s v="North Puget Sound"/>
    <s v="01North Puget Sound"/>
    <n v="1688.7958115183301"/>
    <n v="5809.4575916230597"/>
    <n v="1697.6772345623531"/>
    <n v="6008.1483868141449"/>
  </r>
  <r>
    <n v="2411"/>
    <x v="6"/>
    <s v="Freshwater"/>
    <x v="1"/>
    <x v="0"/>
    <n v="825"/>
    <s v="Baker Lake"/>
    <s v="Baker Lake"/>
    <s v="Whatcom"/>
    <x v="1"/>
    <s v="Clallam"/>
    <s v="11Clallam"/>
    <s v="Strait of Juan de Fuca"/>
    <s v="03Strait of Juan de Fuca"/>
    <n v="9.6879049676026003"/>
    <n v="83.800377969762494"/>
    <n v="10.227544910179599"/>
    <n v="49.292214228894174"/>
  </r>
  <r>
    <n v="2407"/>
    <x v="6"/>
    <s v="Freshwater"/>
    <x v="1"/>
    <x v="0"/>
    <n v="825"/>
    <s v="Baker Lake"/>
    <s v="Baker Lake"/>
    <s v="Whatcom"/>
    <x v="1"/>
    <s v="Island"/>
    <s v="04Island"/>
    <s v="North Puget Sound"/>
    <s v="01North Puget Sound"/>
    <n v="329.38876889848802"/>
    <n v="2849.21285097192"/>
    <n v="339.81878039153099"/>
    <n v="1637.7752695457725"/>
  </r>
  <r>
    <n v="2408"/>
    <x v="6"/>
    <s v="Freshwater"/>
    <x v="1"/>
    <x v="0"/>
    <n v="825"/>
    <s v="Baker Lake"/>
    <s v="Baker Lake"/>
    <s v="Whatcom"/>
    <x v="1"/>
    <s v="King"/>
    <s v="06King"/>
    <s v="South Puget Sound"/>
    <s v="02South Puget Sound"/>
    <n v="1365.99460043197"/>
    <n v="11815.8532937365"/>
    <n v="1369.6930066934849"/>
    <n v="6601.3106475391505"/>
  </r>
  <r>
    <n v="2412"/>
    <x v="6"/>
    <s v="Freshwater"/>
    <x v="1"/>
    <x v="0"/>
    <n v="825"/>
    <s v="Baker Lake"/>
    <s v="Baker Lake"/>
    <s v="Whatcom"/>
    <x v="1"/>
    <s v="Other"/>
    <s v="20Other"/>
    <s v="Non Puget Sound"/>
    <s v="07Non Puget Sound"/>
    <n v="445.64362850971901"/>
    <n v="3854.8173866090701"/>
    <n v="451.65931014225714"/>
    <n v="2176.7968431845038"/>
  </r>
  <r>
    <n v="2409"/>
    <x v="6"/>
    <s v="Freshwater"/>
    <x v="1"/>
    <x v="0"/>
    <n v="825"/>
    <s v="Baker Lake"/>
    <s v="Baker Lake"/>
    <s v="Whatcom"/>
    <x v="1"/>
    <s v="Pierce"/>
    <s v="07Pierce"/>
    <s v="South Puget Sound"/>
    <s v="02South Puget Sound"/>
    <n v="435.95572354211703"/>
    <n v="3771.01700863931"/>
    <n v="438.17051063478823"/>
    <n v="2111.7868333676824"/>
  </r>
  <r>
    <n v="2405"/>
    <x v="6"/>
    <s v="Freshwater"/>
    <x v="1"/>
    <x v="0"/>
    <n v="825"/>
    <s v="Baker Lake"/>
    <s v="Baker Lake"/>
    <s v="Whatcom"/>
    <x v="1"/>
    <s v="Skagit"/>
    <s v="02Skagit"/>
    <s v="North Puget Sound"/>
    <s v="01North Puget Sound"/>
    <n v="2509.16738660907"/>
    <n v="21704.2978941685"/>
    <n v="2508.1482489762052"/>
    <n v="12088.158193596226"/>
  </r>
  <r>
    <n v="2406"/>
    <x v="6"/>
    <s v="Freshwater"/>
    <x v="1"/>
    <x v="0"/>
    <n v="825"/>
    <s v="Baker Lake"/>
    <s v="Baker Lake"/>
    <s v="Whatcom"/>
    <x v="1"/>
    <s v="Snohomish"/>
    <s v="03Snohomish"/>
    <s v="North Puget Sound"/>
    <s v="01North Puget Sound"/>
    <n v="2848.24406047516"/>
    <n v="24637.311123110099"/>
    <n v="2847.2198864758343"/>
    <n v="13722.332566953261"/>
  </r>
  <r>
    <n v="2410"/>
    <x v="6"/>
    <s v="Freshwater"/>
    <x v="1"/>
    <x v="0"/>
    <n v="825"/>
    <s v="Baker Lake"/>
    <s v="Baker Lake"/>
    <s v="Whatcom"/>
    <x v="1"/>
    <s v="Thurston"/>
    <s v="08Thurston"/>
    <s v="South Puget Sound"/>
    <s v="02South Puget Sound"/>
    <n v="58.127429805615598"/>
    <n v="502.80226781857499"/>
    <n v="58.537502834443302"/>
    <n v="282.12470886028206"/>
  </r>
  <r>
    <n v="2404"/>
    <x v="6"/>
    <s v="Freshwater"/>
    <x v="1"/>
    <x v="0"/>
    <n v="825"/>
    <s v="Baker Lake"/>
    <s v="Baker Lake"/>
    <s v="Whatcom"/>
    <x v="1"/>
    <s v="Whatcom"/>
    <s v="01Whatcom"/>
    <s v="North Puget Sound"/>
    <s v="01North Puget Sound"/>
    <n v="968.79049676025897"/>
    <n v="8380.0377969762394"/>
    <n v="947.52520894127156"/>
    <n v="4566.6497675237979"/>
  </r>
  <r>
    <n v="2642"/>
    <x v="7"/>
    <s v="Freshwater"/>
    <x v="1"/>
    <x v="0"/>
    <n v="825"/>
    <s v="Baker Lake"/>
    <s v="Baker Lake"/>
    <s v="Whatcom"/>
    <x v="1"/>
    <s v="Clallam"/>
    <s v="11Clallam"/>
    <s v="Strait of Juan de Fuca"/>
    <s v="03Strait of Juan de Fuca"/>
    <n v="9.9750519750519793"/>
    <n v="34.314178794178801"/>
    <n v="9.99457994579946"/>
    <n v="35.371222606822627"/>
  </r>
  <r>
    <n v="2530"/>
    <x v="7"/>
    <s v="Freshwater"/>
    <x v="1"/>
    <x v="0"/>
    <n v="825"/>
    <s v="Baker Lake"/>
    <s v="Baker Lake"/>
    <s v="Whatcom"/>
    <x v="1"/>
    <s v="Island"/>
    <s v="04Island"/>
    <s v="North Puget Sound"/>
    <s v="01North Puget Sound"/>
    <n v="169.57588357588401"/>
    <n v="583.341039501041"/>
    <n v="169.93495934959401"/>
    <n v="601.40669327099408"/>
  </r>
  <r>
    <n v="2533"/>
    <x v="7"/>
    <s v="Freshwater"/>
    <x v="1"/>
    <x v="0"/>
    <n v="825"/>
    <s v="Baker Lake"/>
    <s v="Baker Lake"/>
    <s v="Whatcom"/>
    <x v="1"/>
    <s v="King"/>
    <s v="06King"/>
    <s v="South Puget Sound"/>
    <s v="02South Puget Sound"/>
    <n v="488.777546777547"/>
    <n v="1681.3947609147599"/>
    <n v="479.81029810298099"/>
    <n v="1698.0680484105058"/>
  </r>
  <r>
    <n v="2641"/>
    <x v="7"/>
    <s v="Freshwater"/>
    <x v="1"/>
    <x v="0"/>
    <n v="825"/>
    <s v="Baker Lake"/>
    <s v="Baker Lake"/>
    <s v="Whatcom"/>
    <x v="1"/>
    <s v="Mason"/>
    <s v="09Mason"/>
    <s v="South Puget Sound"/>
    <s v="02South Puget Sound"/>
    <n v="59.850311850311897"/>
    <n v="205.88507276507301"/>
    <n v="59.967479674796799"/>
    <n v="212.22733564093591"/>
  </r>
  <r>
    <n v="2643"/>
    <x v="7"/>
    <s v="Freshwater"/>
    <x v="1"/>
    <x v="0"/>
    <n v="825"/>
    <s v="Baker Lake"/>
    <s v="Baker Lake"/>
    <s v="Whatcom"/>
    <x v="1"/>
    <s v="Other"/>
    <s v="20Other"/>
    <s v="Non Puget Sound"/>
    <s v="07Non Puget Sound"/>
    <n v="249.37629937629899"/>
    <n v="857.85446985446902"/>
    <n v="249.907859078591"/>
    <n v="884.43401949857855"/>
  </r>
  <r>
    <n v="2534"/>
    <x v="7"/>
    <s v="Freshwater"/>
    <x v="1"/>
    <x v="0"/>
    <n v="825"/>
    <s v="Baker Lake"/>
    <s v="Baker Lake"/>
    <s v="Whatcom"/>
    <x v="1"/>
    <s v="Pierce"/>
    <s v="07Pierce"/>
    <s v="South Puget Sound"/>
    <s v="02South Puget Sound"/>
    <n v="269.32640332640301"/>
    <n v="926.48282744282596"/>
    <n v="269.918699186992"/>
    <n v="955.25319187622961"/>
  </r>
  <r>
    <n v="2528"/>
    <x v="7"/>
    <s v="Freshwater"/>
    <x v="1"/>
    <x v="0"/>
    <n v="825"/>
    <s v="Baker Lake"/>
    <s v="Baker Lake"/>
    <s v="Whatcom"/>
    <x v="1"/>
    <s v="Skagit"/>
    <s v="02Skagit"/>
    <s v="North Puget Sound"/>
    <s v="01North Puget Sound"/>
    <n v="1735.65904365904"/>
    <n v="5970.6671101870998"/>
    <n v="1739.3116531165299"/>
    <n v="6155.4942777642036"/>
  </r>
  <r>
    <n v="2529"/>
    <x v="7"/>
    <s v="Freshwater"/>
    <x v="1"/>
    <x v="0"/>
    <n v="825"/>
    <s v="Baker Lake"/>
    <s v="Baker Lake"/>
    <s v="Whatcom"/>
    <x v="1"/>
    <s v="Snohomish"/>
    <s v="03Snohomish"/>
    <s v="North Puget Sound"/>
    <s v="01North Puget Sound"/>
    <n v="1326.68191268191"/>
    <n v="4563.7857796257704"/>
    <n v="1329.3821138211399"/>
    <n v="4704.7370607364437"/>
  </r>
  <r>
    <n v="2640"/>
    <x v="7"/>
    <s v="Freshwater"/>
    <x v="1"/>
    <x v="0"/>
    <n v="825"/>
    <s v="Baker Lake"/>
    <s v="Baker Lake"/>
    <s v="Whatcom"/>
    <x v="1"/>
    <s v="Thurston"/>
    <s v="08Thurston"/>
    <s v="South Puget Sound"/>
    <s v="02South Puget Sound"/>
    <n v="29.925155925155899"/>
    <n v="102.94253638253601"/>
    <n v="29.983739837398399"/>
    <n v="106.11366782046795"/>
  </r>
  <r>
    <n v="2527"/>
    <x v="7"/>
    <s v="Freshwater"/>
    <x v="1"/>
    <x v="0"/>
    <n v="825"/>
    <s v="Baker Lake"/>
    <s v="Baker Lake"/>
    <s v="Whatcom"/>
    <x v="1"/>
    <s v="Whatcom"/>
    <s v="01Whatcom"/>
    <s v="North Puget Sound"/>
    <s v="01North Puget Sound"/>
    <n v="458.85239085239101"/>
    <n v="1578.45222453223"/>
    <n v="459.788617886179"/>
    <n v="1627.2105124508519"/>
  </r>
  <r>
    <n v="2764"/>
    <x v="8"/>
    <s v="Freshwater"/>
    <x v="1"/>
    <x v="0"/>
    <n v="825"/>
    <s v="Baker Lake"/>
    <s v="Baker Lake"/>
    <s v="Whatcom"/>
    <x v="1"/>
    <s v="Island"/>
    <s v="04Island"/>
    <s v="North Puget Sound"/>
    <s v="01North Puget Sound"/>
    <n v="162.90571870170001"/>
    <n v="1409.1344667697099"/>
    <n v="164.00042129824669"/>
    <n v="790.40903474459708"/>
  </r>
  <r>
    <n v="2766"/>
    <x v="8"/>
    <s v="Freshwater"/>
    <x v="1"/>
    <x v="0"/>
    <n v="825"/>
    <s v="Baker Lake"/>
    <s v="Baker Lake"/>
    <s v="Whatcom"/>
    <x v="1"/>
    <s v="King"/>
    <s v="06King"/>
    <s v="South Puget Sound"/>
    <s v="02South Puget Sound"/>
    <n v="536.63060278207104"/>
    <n v="4641.8547140649098"/>
    <n v="530.00158797031497"/>
    <n v="2554.3717524901194"/>
  </r>
  <r>
    <n v="2769"/>
    <x v="8"/>
    <s v="Freshwater"/>
    <x v="1"/>
    <x v="0"/>
    <n v="825"/>
    <s v="Baker Lake"/>
    <s v="Baker Lake"/>
    <s v="Whatcom"/>
    <x v="1"/>
    <s v="Kitsap"/>
    <s v="10Kitsap"/>
    <s v="South Puget Sound"/>
    <s v="02South Puget Sound"/>
    <n v="9.5826893353941305"/>
    <n v="82.890262751159199"/>
    <n v="9.6271510516252405"/>
    <n v="46.398583063499061"/>
  </r>
  <r>
    <n v="2770"/>
    <x v="8"/>
    <s v="Freshwater"/>
    <x v="1"/>
    <x v="0"/>
    <n v="825"/>
    <s v="Baker Lake"/>
    <s v="Baker Lake"/>
    <s v="Whatcom"/>
    <x v="1"/>
    <s v="Other"/>
    <s v="20Other"/>
    <s v="Non Puget Sound"/>
    <s v="07Non Puget Sound"/>
    <n v="814.52859350850099"/>
    <n v="7045.6723338485299"/>
    <n v="820.17153320154296"/>
    <n v="3952.8617350555455"/>
  </r>
  <r>
    <n v="2767"/>
    <x v="8"/>
    <s v="Freshwater"/>
    <x v="1"/>
    <x v="0"/>
    <n v="825"/>
    <s v="Baker Lake"/>
    <s v="Baker Lake"/>
    <s v="Whatcom"/>
    <x v="1"/>
    <s v="Pierce"/>
    <s v="07Pierce"/>
    <s v="South Puget Sound"/>
    <s v="02South Puget Sound"/>
    <n v="153.323029366306"/>
    <n v="1326.2442040185499"/>
    <n v="154.03441682600399"/>
    <n v="742.37732901598565"/>
  </r>
  <r>
    <n v="2765"/>
    <x v="8"/>
    <s v="Freshwater"/>
    <x v="1"/>
    <x v="0"/>
    <n v="825"/>
    <s v="Baker Lake"/>
    <s v="Baker Lake"/>
    <s v="Whatcom"/>
    <x v="1"/>
    <s v="San Juan"/>
    <s v="05San Juan"/>
    <s v="North Puget Sound"/>
    <s v="01North Puget Sound"/>
    <n v="9.5826893353941305"/>
    <n v="82.890262751159199"/>
    <n v="9.6271510516252405"/>
    <n v="46.398583063499061"/>
  </r>
  <r>
    <n v="2659"/>
    <x v="8"/>
    <s v="Freshwater"/>
    <x v="1"/>
    <x v="0"/>
    <n v="825"/>
    <s v="Baker Lake"/>
    <s v="Baker Lake"/>
    <s v="Whatcom"/>
    <x v="1"/>
    <s v="Skagit"/>
    <s v="02Skagit"/>
    <s v="North Puget Sound"/>
    <s v="01North Puget Sound"/>
    <n v="1935.70324574961"/>
    <n v="16743.833075734099"/>
    <n v="1918.2597465729"/>
    <n v="9245.15816895838"/>
  </r>
  <r>
    <n v="2660"/>
    <x v="8"/>
    <s v="Freshwater"/>
    <x v="1"/>
    <x v="0"/>
    <n v="825"/>
    <s v="Baker Lake"/>
    <s v="Baker Lake"/>
    <s v="Whatcom"/>
    <x v="1"/>
    <s v="Snohomish"/>
    <s v="03Snohomish"/>
    <s v="North Puget Sound"/>
    <s v="01North Puget Sound"/>
    <n v="2002.7820710973699"/>
    <n v="17324.064914992301"/>
    <n v="2015.7170820235249"/>
    <n v="9714.859147971245"/>
  </r>
  <r>
    <n v="2768"/>
    <x v="8"/>
    <s v="Freshwater"/>
    <x v="1"/>
    <x v="0"/>
    <n v="825"/>
    <s v="Baker Lake"/>
    <s v="Baker Lake"/>
    <s v="Whatcom"/>
    <x v="1"/>
    <s v="Thurston"/>
    <s v="08Thurston"/>
    <s v="South Puget Sound"/>
    <s v="02South Puget Sound"/>
    <n v="38.330757341576501"/>
    <n v="331.56105100463702"/>
    <n v="38.508604206500998"/>
    <n v="185.59433225399641"/>
  </r>
  <r>
    <n v="2658"/>
    <x v="8"/>
    <s v="Freshwater"/>
    <x v="1"/>
    <x v="0"/>
    <n v="825"/>
    <s v="Baker Lake"/>
    <s v="Baker Lake"/>
    <s v="Whatcom"/>
    <x v="1"/>
    <s v="Whatcom"/>
    <s v="01Whatcom"/>
    <s v="North Puget Sound"/>
    <s v="01North Puget Sound"/>
    <n v="536.63060278207104"/>
    <n v="4641.8547140649098"/>
    <n v="540.05230579771205"/>
    <n v="2602.8117388850092"/>
  </r>
  <r>
    <n v="2885"/>
    <x v="9"/>
    <s v="Freshwater"/>
    <x v="1"/>
    <x v="0"/>
    <n v="825"/>
    <s v="Baker Lake"/>
    <s v="Baker Lake"/>
    <s v="Whatcom"/>
    <x v="1"/>
    <s v="Island"/>
    <s v="04Island"/>
    <s v="North Puget Sound"/>
    <s v="01North Puget Sound"/>
    <n v="270.04545454545502"/>
    <n v="928.95636363636504"/>
    <n v="261.66666666666703"/>
    <n v="926.04891507639991"/>
  </r>
  <r>
    <n v="2886"/>
    <x v="9"/>
    <s v="Freshwater"/>
    <x v="1"/>
    <x v="0"/>
    <n v="825"/>
    <s v="Baker Lake"/>
    <s v="Baker Lake"/>
    <s v="Whatcom"/>
    <x v="1"/>
    <s v="King"/>
    <s v="06King"/>
    <s v="South Puget Sound"/>
    <s v="02South Puget Sound"/>
    <n v="519.31818181818198"/>
    <n v="1786.45454545455"/>
    <n v="523.33333333333303"/>
    <n v="1852.0978301527962"/>
  </r>
  <r>
    <n v="2888"/>
    <x v="9"/>
    <s v="Freshwater"/>
    <x v="1"/>
    <x v="0"/>
    <n v="825"/>
    <s v="Baker Lake"/>
    <s v="Baker Lake"/>
    <s v="Whatcom"/>
    <x v="1"/>
    <s v="Other"/>
    <s v="20Other"/>
    <s v="Non Puget Sound"/>
    <s v="07Non Puget Sound"/>
    <n v="228.5"/>
    <n v="786.04"/>
    <n v="230.19047619047629"/>
    <n v="814.65340409086684"/>
  </r>
  <r>
    <n v="2883"/>
    <x v="9"/>
    <s v="Freshwater"/>
    <x v="1"/>
    <x v="0"/>
    <n v="825"/>
    <s v="Baker Lake"/>
    <s v="Baker Lake"/>
    <s v="Whatcom"/>
    <x v="1"/>
    <s v="Skagit"/>
    <s v="02Skagit"/>
    <s v="North Puget Sound"/>
    <s v="01North Puget Sound"/>
    <n v="602.40909090909099"/>
    <n v="2072.2872727272702"/>
    <n v="596.52380952380963"/>
    <n v="2111.1218851978251"/>
  </r>
  <r>
    <n v="2884"/>
    <x v="9"/>
    <s v="Freshwater"/>
    <x v="1"/>
    <x v="0"/>
    <n v="825"/>
    <s v="Baker Lake"/>
    <s v="Baker Lake"/>
    <s v="Whatcom"/>
    <x v="1"/>
    <s v="Snohomish"/>
    <s v="03Snohomish"/>
    <s v="North Puget Sound"/>
    <s v="01North Puget Sound"/>
    <n v="612.79545454545496"/>
    <n v="2108.01636363636"/>
    <n v="617.49523809523771"/>
    <n v="2185.3406189921175"/>
  </r>
  <r>
    <n v="2887"/>
    <x v="9"/>
    <s v="Freshwater"/>
    <x v="1"/>
    <x v="0"/>
    <n v="825"/>
    <s v="Baker Lake"/>
    <s v="Baker Lake"/>
    <s v="Whatcom"/>
    <x v="1"/>
    <s v="Thurston"/>
    <s v="08Thurston"/>
    <s v="South Puget Sound"/>
    <s v="02South Puget Sound"/>
    <n v="51.931818181818201"/>
    <n v="178.64545454545501"/>
    <n v="52.3333333333333"/>
    <n v="185.20978301527961"/>
  </r>
  <r>
    <n v="2882"/>
    <x v="9"/>
    <s v="Freshwater"/>
    <x v="1"/>
    <x v="0"/>
    <n v="825"/>
    <s v="Baker Lake"/>
    <s v="Baker Lake"/>
    <s v="Whatcom"/>
    <x v="1"/>
    <s v="Whatcom"/>
    <s v="01Whatcom"/>
    <s v="North Puget Sound"/>
    <s v="01North Puget Sound"/>
    <n v="457"/>
    <n v="1572.08"/>
    <n v="460.45714285714257"/>
    <n v="1629.5764493580964"/>
  </r>
  <r>
    <n v="2899"/>
    <x v="10"/>
    <s v="Freshwater"/>
    <x v="1"/>
    <x v="0"/>
    <n v="825"/>
    <s v="Baker Lake"/>
    <s v="Baker Lake"/>
    <s v="Whatcom"/>
    <x v="1"/>
    <s v="Island"/>
    <s v="04Island"/>
    <s v="North Puget Sound"/>
    <s v="01North Puget Sound"/>
    <n v="106.964856230032"/>
    <n v="925.24600638977699"/>
    <n v="107.10299003322299"/>
    <n v="516.18874085980792"/>
  </r>
  <r>
    <n v="2900"/>
    <x v="10"/>
    <s v="Freshwater"/>
    <x v="1"/>
    <x v="0"/>
    <n v="825"/>
    <s v="Baker Lake"/>
    <s v="Baker Lake"/>
    <s v="Whatcom"/>
    <x v="1"/>
    <s v="King"/>
    <s v="06King"/>
    <s v="South Puget Sound"/>
    <s v="02South Puget Sound"/>
    <n v="1051.8210862619801"/>
    <n v="9098.25239616613"/>
    <n v="1053.17940199336"/>
    <n v="5075.855951788114"/>
  </r>
  <r>
    <n v="2966"/>
    <x v="10"/>
    <s v="Freshwater"/>
    <x v="1"/>
    <x v="0"/>
    <n v="825"/>
    <s v="Baker Lake"/>
    <s v="Baker Lake"/>
    <s v="Whatcom"/>
    <x v="1"/>
    <s v="Kitsap"/>
    <s v="10Kitsap"/>
    <s v="South Puget Sound"/>
    <s v="02South Puget Sound"/>
    <n v="35.654952076677297"/>
    <n v="308.415335463259"/>
    <n v="35.700996677740903"/>
    <n v="172.06291361993553"/>
  </r>
  <r>
    <n v="2967"/>
    <x v="10"/>
    <s v="Freshwater"/>
    <x v="1"/>
    <x v="0"/>
    <n v="825"/>
    <s v="Baker Lake"/>
    <s v="Baker Lake"/>
    <s v="Whatcom"/>
    <x v="1"/>
    <s v="Other"/>
    <s v="20Other"/>
    <s v="Non Puget Sound"/>
    <s v="07Non Puget Sound"/>
    <n v="231.757188498403"/>
    <n v="2004.6996805111901"/>
    <n v="232.056478405316"/>
    <n v="1118.4089385295815"/>
  </r>
  <r>
    <n v="2901"/>
    <x v="10"/>
    <s v="Freshwater"/>
    <x v="1"/>
    <x v="0"/>
    <n v="825"/>
    <s v="Baker Lake"/>
    <s v="Baker Lake"/>
    <s v="Whatcom"/>
    <x v="1"/>
    <s v="Pierce"/>
    <s v="07Pierce"/>
    <s v="South Puget Sound"/>
    <s v="02South Puget Sound"/>
    <n v="35.654952076677297"/>
    <n v="308.415335463259"/>
    <n v="35.700996677740903"/>
    <n v="172.06291361993553"/>
  </r>
  <r>
    <n v="2897"/>
    <x v="10"/>
    <s v="Freshwater"/>
    <x v="1"/>
    <x v="0"/>
    <n v="825"/>
    <s v="Baker Lake"/>
    <s v="Baker Lake"/>
    <s v="Whatcom"/>
    <x v="1"/>
    <s v="Skagit"/>
    <s v="02Skagit"/>
    <s v="North Puget Sound"/>
    <s v="01North Puget Sound"/>
    <n v="1640.1277955271601"/>
    <n v="14187.105431309899"/>
    <n v="1638.6428571428601"/>
    <n v="7897.5292182329504"/>
  </r>
  <r>
    <n v="2898"/>
    <x v="10"/>
    <s v="Freshwater"/>
    <x v="1"/>
    <x v="0"/>
    <n v="825"/>
    <s v="Baker Lake"/>
    <s v="Baker Lake"/>
    <s v="Whatcom"/>
    <x v="1"/>
    <s v="Snohomish"/>
    <s v="03Snohomish"/>
    <s v="North Puget Sound"/>
    <s v="01North Puget Sound"/>
    <n v="1604.47284345048"/>
    <n v="13878.690095846699"/>
    <n v="1603.5423588039901"/>
    <n v="7728.3604393270325"/>
  </r>
  <r>
    <n v="2896"/>
    <x v="10"/>
    <s v="Freshwater"/>
    <x v="1"/>
    <x v="0"/>
    <n v="825"/>
    <s v="Baker Lake"/>
    <s v="Baker Lake"/>
    <s v="Whatcom"/>
    <x v="1"/>
    <s v="Whatcom"/>
    <s v="01Whatcom"/>
    <s v="North Puget Sound"/>
    <s v="01North Puget Sound"/>
    <n v="873.54632587859396"/>
    <n v="7556.1757188498405"/>
    <n v="874.073920265781"/>
    <n v="4212.6472489744019"/>
  </r>
  <r>
    <n v="2979"/>
    <x v="11"/>
    <s v="Freshwater"/>
    <x v="1"/>
    <x v="0"/>
    <n v="825"/>
    <s v="Baker Lake"/>
    <s v="Baker Lake"/>
    <s v="Whatcom"/>
    <x v="1"/>
    <s v="Island"/>
    <s v="04Island"/>
    <s v="North Puget Sound"/>
    <s v="01North Puget Sound"/>
    <n v="434.173719376392"/>
    <n v="1493.5575946547899"/>
    <n v="436.10140845070401"/>
    <n v="1543.3805203531103"/>
  </r>
  <r>
    <n v="2981"/>
    <x v="11"/>
    <s v="Freshwater"/>
    <x v="1"/>
    <x v="0"/>
    <n v="825"/>
    <s v="Baker Lake"/>
    <s v="Baker Lake"/>
    <s v="Whatcom"/>
    <x v="1"/>
    <s v="King"/>
    <s v="06King"/>
    <s v="South Puget Sound"/>
    <s v="02South Puget Sound"/>
    <n v="624.12472160356401"/>
    <n v="2146.9890423162601"/>
    <n v="626.87961615848997"/>
    <n v="2218.5523124601741"/>
  </r>
  <r>
    <n v="2988"/>
    <x v="11"/>
    <s v="Freshwater"/>
    <x v="1"/>
    <x v="0"/>
    <n v="825"/>
    <s v="Baker Lake"/>
    <s v="Baker Lake"/>
    <s v="Whatcom"/>
    <x v="1"/>
    <s v="Other"/>
    <s v="20Other"/>
    <s v="Non Puget Sound"/>
    <s v="07Non Puget Sound"/>
    <n v="502.01336302895299"/>
    <n v="1726.9259688196"/>
    <n v="504.23866274570531"/>
    <n v="1784.521018758858"/>
  </r>
  <r>
    <n v="2982"/>
    <x v="11"/>
    <s v="Freshwater"/>
    <x v="1"/>
    <x v="0"/>
    <n v="825"/>
    <s v="Baker Lake"/>
    <s v="Baker Lake"/>
    <s v="Whatcom"/>
    <x v="1"/>
    <s v="Pierce"/>
    <s v="07Pierce"/>
    <s v="South Puget Sound"/>
    <s v="02South Puget Sound"/>
    <n v="54.271714922049"/>
    <n v="186.69469933184899"/>
    <n v="54.509085280916302"/>
    <n v="192.90985714471122"/>
  </r>
  <r>
    <n v="2980"/>
    <x v="11"/>
    <s v="Freshwater"/>
    <x v="1"/>
    <x v="0"/>
    <n v="825"/>
    <s v="Baker Lake"/>
    <s v="Baker Lake"/>
    <s v="Whatcom"/>
    <x v="1"/>
    <s v="San Juan"/>
    <s v="05San Juan"/>
    <s v="North Puget Sound"/>
    <s v="01North Puget Sound"/>
    <n v="67.839643652561307"/>
    <n v="233.368374164811"/>
    <n v="68.1408450704226"/>
    <n v="241.15320630517382"/>
  </r>
  <r>
    <n v="2977"/>
    <x v="11"/>
    <s v="Freshwater"/>
    <x v="1"/>
    <x v="0"/>
    <n v="825"/>
    <s v="Baker Lake"/>
    <s v="Baker Lake"/>
    <s v="Whatcom"/>
    <x v="1"/>
    <s v="Skagit"/>
    <s v="02Skagit"/>
    <s v="North Puget Sound"/>
    <s v="01North Puget Sound"/>
    <n v="2103.0289532294"/>
    <n v="7234.4195991091401"/>
    <n v="2112.639281844919"/>
    <n v="7476.7158531220484"/>
  </r>
  <r>
    <n v="2978"/>
    <x v="11"/>
    <s v="Freshwater"/>
    <x v="1"/>
    <x v="0"/>
    <n v="825"/>
    <s v="Baker Lake"/>
    <s v="Baker Lake"/>
    <s v="Whatcom"/>
    <x v="1"/>
    <s v="Snohomish"/>
    <s v="03Snohomish"/>
    <s v="North Puget Sound"/>
    <s v="01North Puget Sound"/>
    <n v="1628.15144766147"/>
    <n v="5600.8409799554602"/>
    <n v="1635.3515554867679"/>
    <n v="5787.5752881287481"/>
  </r>
  <r>
    <n v="2983"/>
    <x v="11"/>
    <s v="Freshwater"/>
    <x v="1"/>
    <x v="0"/>
    <n v="825"/>
    <s v="Baker Lake"/>
    <s v="Baker Lake"/>
    <s v="Whatcom"/>
    <x v="1"/>
    <s v="Thurston"/>
    <s v="08Thurston"/>
    <s v="South Puget Sound"/>
    <s v="02South Puget Sound"/>
    <n v="13.5679287305123"/>
    <n v="46.673674832962298"/>
    <n v="13.626373626373599"/>
    <n v="48.22428731132073"/>
  </r>
  <r>
    <n v="2976"/>
    <x v="11"/>
    <s v="Freshwater"/>
    <x v="1"/>
    <x v="0"/>
    <n v="825"/>
    <s v="Baker Lake"/>
    <s v="Baker Lake"/>
    <s v="Whatcom"/>
    <x v="1"/>
    <s v="Whatcom"/>
    <s v="01Whatcom"/>
    <s v="North Puget Sound"/>
    <s v="01North Puget Sound"/>
    <n v="664.82850779509999"/>
    <n v="2287.0100668151399"/>
    <n v="640.51317133570672"/>
    <n v="2266.8020155703489"/>
  </r>
  <r>
    <n v="2397"/>
    <x v="0"/>
    <s v="Freshwater"/>
    <x v="1"/>
    <x v="0"/>
    <n v="826"/>
    <s v="Cascade River"/>
    <s v="Cascade River"/>
    <s v="Skagit"/>
    <x v="1"/>
    <s v="Island"/>
    <s v="04Island"/>
    <s v="North Puget Sound"/>
    <s v="01North Puget Sound"/>
    <n v="35.517241379310299"/>
    <n v="307.22413793103402"/>
    <n v="35.692307692307701"/>
    <n v="172.02103657757917"/>
  </r>
  <r>
    <n v="2399"/>
    <x v="0"/>
    <s v="Freshwater"/>
    <x v="1"/>
    <x v="0"/>
    <n v="826"/>
    <s v="Cascade River"/>
    <s v="Cascade River"/>
    <s v="Skagit"/>
    <x v="1"/>
    <s v="Kitsap"/>
    <s v="10Kitsap"/>
    <s v="South Puget Sound"/>
    <s v="02South Puget Sound"/>
    <n v="11.8390804597701"/>
    <n v="102.408045977011"/>
    <n v="11.75"/>
    <n v="56.629770123330196"/>
  </r>
  <r>
    <n v="2400"/>
    <x v="0"/>
    <s v="Freshwater"/>
    <x v="1"/>
    <x v="0"/>
    <n v="826"/>
    <s v="Cascade River"/>
    <s v="Cascade River"/>
    <s v="Skagit"/>
    <x v="1"/>
    <s v="Other"/>
    <s v="20Other"/>
    <s v="Non Puget Sound"/>
    <s v="07Non Puget Sound"/>
    <n v="5.9195402298850599"/>
    <n v="51.204022988505798"/>
    <n v="5.9230769230769198"/>
    <n v="28.546594432055141"/>
  </r>
  <r>
    <n v="2398"/>
    <x v="0"/>
    <s v="Freshwater"/>
    <x v="1"/>
    <x v="0"/>
    <n v="826"/>
    <s v="Cascade River"/>
    <s v="Cascade River"/>
    <s v="Skagit"/>
    <x v="1"/>
    <s v="Pierce"/>
    <s v="07Pierce"/>
    <s v="South Puget Sound"/>
    <s v="02South Puget Sound"/>
    <n v="5.9195402298850599"/>
    <n v="51.204022988505798"/>
    <n v="5.9230769230769198"/>
    <n v="28.546594432055141"/>
  </r>
  <r>
    <n v="2290"/>
    <x v="0"/>
    <s v="Freshwater"/>
    <x v="1"/>
    <x v="0"/>
    <n v="826"/>
    <s v="Cascade River"/>
    <s v="Cascade River"/>
    <s v="Skagit"/>
    <x v="1"/>
    <s v="Skagit"/>
    <s v="02Skagit"/>
    <s v="North Puget Sound"/>
    <s v="01North Puget Sound"/>
    <n v="76.954022988505798"/>
    <n v="665.65229885057499"/>
    <n v="76.9211538461538"/>
    <n v="370.72572424927711"/>
  </r>
  <r>
    <n v="2291"/>
    <x v="0"/>
    <s v="Freshwater"/>
    <x v="1"/>
    <x v="0"/>
    <n v="826"/>
    <s v="Cascade River"/>
    <s v="Cascade River"/>
    <s v="Skagit"/>
    <x v="1"/>
    <s v="Snohomish"/>
    <s v="03Snohomish"/>
    <s v="North Puget Sound"/>
    <s v="01North Puget Sound"/>
    <n v="372.931034482759"/>
    <n v="3225.8534482758701"/>
    <n v="372.86538461538458"/>
    <n v="1797.0451929971343"/>
  </r>
  <r>
    <n v="2289"/>
    <x v="0"/>
    <s v="Freshwater"/>
    <x v="1"/>
    <x v="0"/>
    <n v="826"/>
    <s v="Cascade River"/>
    <s v="Cascade River"/>
    <s v="Skagit"/>
    <x v="1"/>
    <s v="Whatcom"/>
    <s v="01Whatcom"/>
    <s v="North Puget Sound"/>
    <s v="01North Puget Sound"/>
    <n v="5.9195402298850599"/>
    <n v="51.204022988505798"/>
    <n v="5.9249999999999998"/>
    <n v="28.55586280687076"/>
  </r>
  <r>
    <n v="2635"/>
    <x v="1"/>
    <s v="Freshwater"/>
    <x v="1"/>
    <x v="0"/>
    <n v="826"/>
    <s v="Cascade River"/>
    <s v="Cascade River"/>
    <s v="Skagit"/>
    <x v="1"/>
    <s v="Island"/>
    <s v="04Island"/>
    <s v="North Puget Sound"/>
    <s v="01North Puget Sound"/>
    <n v="72.819148936170194"/>
    <n v="250.497872340425"/>
    <n v="74.947553921005266"/>
    <n v="265.24242418921074"/>
  </r>
  <r>
    <n v="2637"/>
    <x v="1"/>
    <s v="Freshwater"/>
    <x v="1"/>
    <x v="0"/>
    <n v="826"/>
    <s v="Cascade River"/>
    <s v="Cascade River"/>
    <s v="Skagit"/>
    <x v="1"/>
    <s v="King"/>
    <s v="06King"/>
    <s v="South Puget Sound"/>
    <s v="02South Puget Sound"/>
    <n v="276.712765957447"/>
    <n v="951.89191489361804"/>
    <n v="277.49909014289557"/>
    <n v="982.08050201853325"/>
  </r>
  <r>
    <n v="2639"/>
    <x v="1"/>
    <s v="Freshwater"/>
    <x v="1"/>
    <x v="0"/>
    <n v="826"/>
    <s v="Cascade River"/>
    <s v="Cascade River"/>
    <s v="Skagit"/>
    <x v="1"/>
    <s v="Kitsap"/>
    <s v="10Kitsap"/>
    <s v="South Puget Sound"/>
    <s v="02South Puget Sound"/>
    <n v="65.537234042553195"/>
    <n v="225.44808510638299"/>
    <n v="67.624564226334201"/>
    <n v="239.32606751965997"/>
  </r>
  <r>
    <n v="2754"/>
    <x v="1"/>
    <s v="Freshwater"/>
    <x v="1"/>
    <x v="0"/>
    <n v="826"/>
    <s v="Cascade River"/>
    <s v="Cascade River"/>
    <s v="Skagit"/>
    <x v="1"/>
    <s v="Other"/>
    <s v="20Other"/>
    <s v="Non Puget Sound"/>
    <s v="07Non Puget Sound"/>
    <n v="80.101063829787293"/>
    <n v="275.54765957446801"/>
    <n v="80.704545454545496"/>
    <n v="285.6166500378946"/>
  </r>
  <r>
    <n v="2638"/>
    <x v="1"/>
    <s v="Freshwater"/>
    <x v="1"/>
    <x v="0"/>
    <n v="826"/>
    <s v="Cascade River"/>
    <s v="Cascade River"/>
    <s v="Skagit"/>
    <x v="1"/>
    <s v="Pierce"/>
    <s v="07Pierce"/>
    <s v="South Puget Sound"/>
    <s v="02South Puget Sound"/>
    <n v="7.2819148936170199"/>
    <n v="25.049787234042501"/>
    <n v="7.28571428571429"/>
    <n v="25.784437489843327"/>
  </r>
  <r>
    <n v="2636"/>
    <x v="1"/>
    <s v="Freshwater"/>
    <x v="1"/>
    <x v="0"/>
    <n v="826"/>
    <s v="Cascade River"/>
    <s v="Cascade River"/>
    <s v="Skagit"/>
    <x v="1"/>
    <s v="San Juan"/>
    <s v="05San Juan"/>
    <s v="North Puget Sound"/>
    <s v="01North Puget Sound"/>
    <n v="36.409574468085097"/>
    <n v="125.248936170213"/>
    <n v="37.610619469026602"/>
    <n v="133.10550326615297"/>
  </r>
  <r>
    <n v="2633"/>
    <x v="1"/>
    <s v="Freshwater"/>
    <x v="1"/>
    <x v="0"/>
    <n v="826"/>
    <s v="Cascade River"/>
    <s v="Cascade River"/>
    <s v="Skagit"/>
    <x v="1"/>
    <s v="Skagit"/>
    <s v="02Skagit"/>
    <s v="North Puget Sound"/>
    <s v="01North Puget Sound"/>
    <n v="276.712765957447"/>
    <n v="951.89191489361804"/>
    <n v="284.34807301842648"/>
    <n v="1006.3193293864144"/>
  </r>
  <r>
    <n v="2634"/>
    <x v="1"/>
    <s v="Freshwater"/>
    <x v="1"/>
    <x v="0"/>
    <n v="826"/>
    <s v="Cascade River"/>
    <s v="Cascade River"/>
    <s v="Skagit"/>
    <x v="1"/>
    <s v="Snohomish"/>
    <s v="03Snohomish"/>
    <s v="North Puget Sound"/>
    <s v="01North Puget Sound"/>
    <n v="517.01595744680901"/>
    <n v="1778.5348936170201"/>
    <n v="531.6941251963384"/>
    <n v="1881.6870106645761"/>
  </r>
  <r>
    <n v="2632"/>
    <x v="1"/>
    <s v="Freshwater"/>
    <x v="1"/>
    <x v="0"/>
    <n v="826"/>
    <s v="Cascade River"/>
    <s v="Cascade River"/>
    <s v="Skagit"/>
    <x v="1"/>
    <s v="Whatcom"/>
    <s v="01Whatcom"/>
    <s v="North Puget Sound"/>
    <s v="01North Puget Sound"/>
    <n v="36.409574468085097"/>
    <n v="125.248936170213"/>
    <n v="7.28571428571429"/>
    <n v="25.784437489843327"/>
  </r>
  <r>
    <n v="2872"/>
    <x v="2"/>
    <s v="Freshwater"/>
    <x v="1"/>
    <x v="0"/>
    <n v="826"/>
    <s v="Cascade River"/>
    <s v="Cascade River"/>
    <s v="Skagit"/>
    <x v="1"/>
    <s v="Clallam"/>
    <s v="11Clallam"/>
    <s v="Strait of Juan de Fuca"/>
    <s v="03Strait of Juan de Fuca"/>
    <n v="7.30941704035875"/>
    <n v="63.226457399103197"/>
    <n v="7.3783783783783798"/>
    <n v="35.560499697916384"/>
  </r>
  <r>
    <n v="2868"/>
    <x v="2"/>
    <s v="Freshwater"/>
    <x v="1"/>
    <x v="0"/>
    <n v="826"/>
    <s v="Cascade River"/>
    <s v="Cascade River"/>
    <s v="Skagit"/>
    <x v="1"/>
    <s v="Island"/>
    <s v="04Island"/>
    <s v="North Puget Sound"/>
    <s v="01North Puget Sound"/>
    <n v="124.26008968609899"/>
    <n v="1074.8497757847599"/>
    <n v="125.53302245907881"/>
    <n v="605.01329402080682"/>
  </r>
  <r>
    <n v="2869"/>
    <x v="2"/>
    <s v="Freshwater"/>
    <x v="1"/>
    <x v="0"/>
    <n v="826"/>
    <s v="Cascade River"/>
    <s v="Cascade River"/>
    <s v="Skagit"/>
    <x v="1"/>
    <s v="King"/>
    <s v="06King"/>
    <s v="South Puget Sound"/>
    <s v="02South Puget Sound"/>
    <n v="124.26008968609899"/>
    <n v="1074.8497757847599"/>
    <n v="118.172535211268"/>
    <n v="569.53902160895746"/>
  </r>
  <r>
    <n v="2871"/>
    <x v="2"/>
    <s v="Freshwater"/>
    <x v="1"/>
    <x v="0"/>
    <n v="826"/>
    <s v="Cascade River"/>
    <s v="Cascade River"/>
    <s v="Skagit"/>
    <x v="1"/>
    <s v="Kitsap"/>
    <s v="10Kitsap"/>
    <s v="South Puget Sound"/>
    <s v="02South Puget Sound"/>
    <n v="14.6188340807175"/>
    <n v="126.452914798206"/>
    <n v="14.7746478873239"/>
    <n v="71.207226681897751"/>
  </r>
  <r>
    <n v="2873"/>
    <x v="2"/>
    <s v="Freshwater"/>
    <x v="1"/>
    <x v="0"/>
    <n v="826"/>
    <s v="Cascade River"/>
    <s v="Cascade River"/>
    <s v="Skagit"/>
    <x v="1"/>
    <s v="Other"/>
    <s v="20Other"/>
    <s v="Non Puget Sound"/>
    <s v="07Non Puget Sound"/>
    <n v="65.784753363228702"/>
    <n v="569.03811659192797"/>
    <n v="66.405405405405403"/>
    <n v="320.04449728124735"/>
  </r>
  <r>
    <n v="2870"/>
    <x v="2"/>
    <s v="Freshwater"/>
    <x v="1"/>
    <x v="0"/>
    <n v="826"/>
    <s v="Cascade River"/>
    <s v="Cascade River"/>
    <s v="Skagit"/>
    <x v="1"/>
    <s v="Pierce"/>
    <s v="07Pierce"/>
    <s v="South Puget Sound"/>
    <s v="02South Puget Sound"/>
    <n v="36.547085201793699"/>
    <n v="316.13228699551598"/>
    <n v="36.936619718309899"/>
    <n v="178.01806670474511"/>
  </r>
  <r>
    <n v="2866"/>
    <x v="2"/>
    <s v="Freshwater"/>
    <x v="1"/>
    <x v="0"/>
    <n v="826"/>
    <s v="Cascade River"/>
    <s v="Cascade River"/>
    <s v="Skagit"/>
    <x v="1"/>
    <s v="Skagit"/>
    <s v="02Skagit"/>
    <s v="North Puget Sound"/>
    <s v="01North Puget Sound"/>
    <n v="372.78026905829603"/>
    <n v="3224.5493273542602"/>
    <n v="378.21988568933472"/>
    <n v="1822.8515049071702"/>
  </r>
  <r>
    <n v="2867"/>
    <x v="2"/>
    <s v="Freshwater"/>
    <x v="1"/>
    <x v="0"/>
    <n v="826"/>
    <s v="Cascade River"/>
    <s v="Cascade River"/>
    <s v="Skagit"/>
    <x v="1"/>
    <s v="Snohomish"/>
    <s v="03Snohomish"/>
    <s v="North Puget Sound"/>
    <s v="01North Puget Sound"/>
    <n v="599.37219730941695"/>
    <n v="5184.5695067264596"/>
    <n v="594.25947177500655"/>
    <n v="2864.0661515089578"/>
  </r>
  <r>
    <n v="2865"/>
    <x v="2"/>
    <s v="Freshwater"/>
    <x v="1"/>
    <x v="0"/>
    <n v="826"/>
    <s v="Cascade River"/>
    <s v="Cascade River"/>
    <s v="Skagit"/>
    <x v="1"/>
    <s v="Whatcom"/>
    <s v="01Whatcom"/>
    <s v="North Puget Sound"/>
    <s v="01North Puget Sound"/>
    <n v="285.067264573991"/>
    <n v="2465.83183856502"/>
    <n v="288.320033475895"/>
    <n v="1389.5742312928342"/>
  </r>
  <r>
    <n v="3084"/>
    <x v="3"/>
    <s v="Freshwater"/>
    <x v="1"/>
    <x v="0"/>
    <n v="826"/>
    <s v="Cascade River"/>
    <s v="Cascade River"/>
    <s v="Skagit"/>
    <x v="1"/>
    <s v="Island"/>
    <s v="04Island"/>
    <s v="North Puget Sound"/>
    <s v="01North Puget Sound"/>
    <n v="106.996904024768"/>
    <n v="368.069349845202"/>
    <n v="108.45143540669861"/>
    <n v="383.81401565675685"/>
  </r>
  <r>
    <n v="3189"/>
    <x v="3"/>
    <s v="Freshwater"/>
    <x v="1"/>
    <x v="0"/>
    <n v="826"/>
    <s v="Cascade River"/>
    <s v="Cascade River"/>
    <s v="Skagit"/>
    <x v="1"/>
    <s v="King"/>
    <s v="06King"/>
    <s v="South Puget Sound"/>
    <s v="02South Puget Sound"/>
    <n v="196.16099071207401"/>
    <n v="674.79380804953496"/>
    <n v="198.7025518341307"/>
    <n v="703.2163664289501"/>
  </r>
  <r>
    <n v="3190"/>
    <x v="3"/>
    <s v="Freshwater"/>
    <x v="1"/>
    <x v="0"/>
    <n v="826"/>
    <s v="Cascade River"/>
    <s v="Cascade River"/>
    <s v="Skagit"/>
    <x v="1"/>
    <s v="Other"/>
    <s v="20Other"/>
    <s v="Non Puget Sound"/>
    <s v="07Non Puget Sound"/>
    <n v="124.82972136222899"/>
    <n v="429.41424148606802"/>
    <n v="126.43460925039879"/>
    <n v="447.4571951252492"/>
  </r>
  <r>
    <n v="3188"/>
    <x v="3"/>
    <s v="Freshwater"/>
    <x v="1"/>
    <x v="0"/>
    <n v="826"/>
    <s v="Cascade River"/>
    <s v="Cascade River"/>
    <s v="Skagit"/>
    <x v="1"/>
    <s v="San Juan"/>
    <s v="05San Juan"/>
    <s v="North Puget Sound"/>
    <s v="01North Puget Sound"/>
    <n v="53.4984520123839"/>
    <n v="184.034674922601"/>
    <n v="54.200956937799099"/>
    <n v="191.81937847777627"/>
  </r>
  <r>
    <n v="3082"/>
    <x v="3"/>
    <s v="Freshwater"/>
    <x v="1"/>
    <x v="0"/>
    <n v="826"/>
    <s v="Cascade River"/>
    <s v="Cascade River"/>
    <s v="Skagit"/>
    <x v="1"/>
    <s v="Skagit"/>
    <s v="02Skagit"/>
    <s v="North Puget Sound"/>
    <s v="01North Puget Sound"/>
    <n v="989.72136222910206"/>
    <n v="3404.6414860681102"/>
    <n v="1002.4127141863988"/>
    <n v="3547.5791328577175"/>
  </r>
  <r>
    <n v="3083"/>
    <x v="3"/>
    <s v="Freshwater"/>
    <x v="1"/>
    <x v="0"/>
    <n v="826"/>
    <s v="Cascade River"/>
    <s v="Cascade River"/>
    <s v="Skagit"/>
    <x v="1"/>
    <s v="Snohomish"/>
    <s v="03Snohomish"/>
    <s v="North Puget Sound"/>
    <s v="01North Puget Sound"/>
    <n v="936.22291021671799"/>
    <n v="3220.6068111455102"/>
    <n v="911.77734633787247"/>
    <n v="3226.8169007672277"/>
  </r>
  <r>
    <n v="3081"/>
    <x v="3"/>
    <s v="Freshwater"/>
    <x v="1"/>
    <x v="0"/>
    <n v="826"/>
    <s v="Cascade River"/>
    <s v="Cascade River"/>
    <s v="Skagit"/>
    <x v="1"/>
    <s v="Whatcom"/>
    <s v="01Whatcom"/>
    <s v="North Puget Sound"/>
    <s v="01North Puget Sound"/>
    <n v="472.56965944272503"/>
    <n v="1625.63962848297"/>
    <n v="478.02038604670162"/>
    <n v="1691.7334772596789"/>
  </r>
  <r>
    <n v="3395"/>
    <x v="4"/>
    <s v="Freshwater"/>
    <x v="1"/>
    <x v="0"/>
    <n v="826"/>
    <s v="Cascade River"/>
    <s v="Cascade River"/>
    <s v="Skagit"/>
    <x v="1"/>
    <s v="Island"/>
    <s v="04Island"/>
    <s v="North Puget Sound"/>
    <s v="01North Puget Sound"/>
    <n v="35.865384615384599"/>
    <n v="310.23557692307702"/>
    <n v="35.9027777777778"/>
    <n v="173.03540871017572"/>
  </r>
  <r>
    <n v="3396"/>
    <x v="4"/>
    <s v="Freshwater"/>
    <x v="1"/>
    <x v="0"/>
    <n v="826"/>
    <s v="Cascade River"/>
    <s v="Cascade River"/>
    <s v="Skagit"/>
    <x v="1"/>
    <s v="King"/>
    <s v="06King"/>
    <s v="South Puget Sound"/>
    <s v="02South Puget Sound"/>
    <n v="57.384615384615401"/>
    <n v="496.37692307692299"/>
    <n v="57.4444444444445"/>
    <n v="276.85665393628125"/>
  </r>
  <r>
    <n v="3397"/>
    <x v="4"/>
    <s v="Freshwater"/>
    <x v="1"/>
    <x v="0"/>
    <n v="826"/>
    <s v="Cascade River"/>
    <s v="Cascade River"/>
    <s v="Skagit"/>
    <x v="1"/>
    <s v="Other"/>
    <s v="20Other"/>
    <s v="Non Puget Sound"/>
    <s v="07Non Puget Sound"/>
    <n v="50.211538461538503"/>
    <n v="434.32980769230801"/>
    <n v="50.2708333333333"/>
    <n v="242.28304132552427"/>
  </r>
  <r>
    <n v="3297"/>
    <x v="4"/>
    <s v="Freshwater"/>
    <x v="1"/>
    <x v="0"/>
    <n v="826"/>
    <s v="Cascade River"/>
    <s v="Cascade River"/>
    <s v="Skagit"/>
    <x v="1"/>
    <s v="Skagit"/>
    <s v="02Skagit"/>
    <s v="North Puget Sound"/>
    <s v="01North Puget Sound"/>
    <n v="222.36538461538501"/>
    <n v="1923.46057692308"/>
    <n v="222.40277777777766"/>
    <n v="1071.8823983272885"/>
  </r>
  <r>
    <n v="3394"/>
    <x v="4"/>
    <s v="Freshwater"/>
    <x v="1"/>
    <x v="0"/>
    <n v="826"/>
    <s v="Cascade River"/>
    <s v="Cascade River"/>
    <s v="Skagit"/>
    <x v="1"/>
    <s v="Snohomish"/>
    <s v="03Snohomish"/>
    <s v="North Puget Sound"/>
    <s v="01North Puget Sound"/>
    <n v="373"/>
    <n v="3226.45"/>
    <n v="372.81249999999972"/>
    <n v="1796.7903126897043"/>
  </r>
  <r>
    <n v="3296"/>
    <x v="4"/>
    <s v="Freshwater"/>
    <x v="1"/>
    <x v="0"/>
    <n v="826"/>
    <s v="Cascade River"/>
    <s v="Cascade River"/>
    <s v="Skagit"/>
    <x v="1"/>
    <s v="Whatcom"/>
    <s v="01Whatcom"/>
    <s v="North Puget Sound"/>
    <s v="01North Puget Sound"/>
    <n v="7.1730769230769296"/>
    <n v="62.047115384615402"/>
    <n v="7.1666666666666696"/>
    <n v="34.540143479478004"/>
  </r>
  <r>
    <n v="3558"/>
    <x v="5"/>
    <s v="Freshwater"/>
    <x v="1"/>
    <x v="0"/>
    <n v="826"/>
    <s v="Cascade River"/>
    <s v="Cascade River"/>
    <s v="Skagit"/>
    <x v="1"/>
    <s v="Island"/>
    <s v="04Island"/>
    <s v="North Puget Sound"/>
    <s v="01North Puget Sound"/>
    <n v="96.847826086956601"/>
    <n v="333.15652173913099"/>
    <n v="96.684210526315795"/>
    <n v="342.16933094106827"/>
  </r>
  <r>
    <n v="3613"/>
    <x v="5"/>
    <s v="Freshwater"/>
    <x v="1"/>
    <x v="0"/>
    <n v="826"/>
    <s v="Cascade River"/>
    <s v="Cascade River"/>
    <s v="Skagit"/>
    <x v="1"/>
    <s v="King"/>
    <s v="06King"/>
    <s v="South Puget Sound"/>
    <s v="02South Puget Sound"/>
    <n v="26.413043478260899"/>
    <n v="90.860869565217499"/>
    <n v="26.3684210526316"/>
    <n v="93.318908438473244"/>
  </r>
  <r>
    <n v="3556"/>
    <x v="5"/>
    <s v="Freshwater"/>
    <x v="1"/>
    <x v="0"/>
    <n v="826"/>
    <s v="Cascade River"/>
    <s v="Cascade River"/>
    <s v="Skagit"/>
    <x v="1"/>
    <s v="Skagit"/>
    <s v="02Skagit"/>
    <s v="North Puget Sound"/>
    <s v="01North Puget Sound"/>
    <n v="123.26086956521701"/>
    <n v="424.01739130434697"/>
    <n v="123.48421052631579"/>
    <n v="437.01561472723699"/>
  </r>
  <r>
    <n v="3557"/>
    <x v="5"/>
    <s v="Freshwater"/>
    <x v="1"/>
    <x v="0"/>
    <n v="826"/>
    <s v="Cascade River"/>
    <s v="Cascade River"/>
    <s v="Skagit"/>
    <x v="1"/>
    <s v="Snohomish"/>
    <s v="03Snohomish"/>
    <s v="North Puget Sound"/>
    <s v="01North Puget Sound"/>
    <n v="158.47826086956499"/>
    <n v="545.16521739130405"/>
    <n v="158.46315789473701"/>
    <n v="560.80752400510039"/>
  </r>
  <r>
    <n v="1299"/>
    <x v="6"/>
    <s v="Freshwater"/>
    <x v="1"/>
    <x v="0"/>
    <n v="826"/>
    <s v="Cascade River"/>
    <s v="Cascade River"/>
    <s v="Skagit"/>
    <x v="1"/>
    <s v="Island"/>
    <s v="04Island"/>
    <s v="North Puget Sound"/>
    <s v="01North Puget Sound"/>
    <n v="27.302325581395401"/>
    <n v="236.16511627906999"/>
    <n v="29.342857142857099"/>
    <n v="141.41951104355022"/>
  </r>
  <r>
    <n v="1300"/>
    <x v="6"/>
    <s v="Freshwater"/>
    <x v="1"/>
    <x v="0"/>
    <n v="826"/>
    <s v="Cascade River"/>
    <s v="Cascade River"/>
    <s v="Skagit"/>
    <x v="1"/>
    <s v="King"/>
    <s v="06King"/>
    <s v="South Puget Sound"/>
    <s v="02South Puget Sound"/>
    <n v="209.31782945736401"/>
    <n v="1810.5992248062"/>
    <n v="224.96666666666667"/>
    <n v="1084.2392015953349"/>
  </r>
  <r>
    <n v="1301"/>
    <x v="6"/>
    <s v="Freshwater"/>
    <x v="1"/>
    <x v="0"/>
    <n v="826"/>
    <s v="Cascade River"/>
    <s v="Cascade River"/>
    <s v="Skagit"/>
    <x v="1"/>
    <s v="Kitsap"/>
    <s v="10Kitsap"/>
    <s v="South Puget Sound"/>
    <s v="02South Puget Sound"/>
    <n v="63.7054263565892"/>
    <n v="551.05193798449704"/>
    <n v="68.466666666666697"/>
    <n v="329.97885910161784"/>
  </r>
  <r>
    <n v="1302"/>
    <x v="6"/>
    <s v="Freshwater"/>
    <x v="1"/>
    <x v="0"/>
    <n v="826"/>
    <s v="Cascade River"/>
    <s v="Cascade River"/>
    <s v="Skagit"/>
    <x v="1"/>
    <s v="Other"/>
    <s v="20Other"/>
    <s v="Non Puget Sound"/>
    <s v="07Non Puget Sound"/>
    <n v="27.302325581395401"/>
    <n v="236.16511627906999"/>
    <n v="29.342857142857099"/>
    <n v="141.41951104355022"/>
  </r>
  <r>
    <n v="1259"/>
    <x v="6"/>
    <s v="Freshwater"/>
    <x v="1"/>
    <x v="0"/>
    <n v="826"/>
    <s v="Cascade River"/>
    <s v="Cascade River"/>
    <s v="Skagit"/>
    <x v="1"/>
    <s v="Skagit"/>
    <s v="02Skagit"/>
    <s v="North Puget Sound"/>
    <s v="01North Puget Sound"/>
    <n v="236.62015503876"/>
    <n v="2046.76434108527"/>
    <n v="254.78571428571465"/>
    <n v="1227.9537387837029"/>
  </r>
  <r>
    <n v="1260"/>
    <x v="6"/>
    <s v="Freshwater"/>
    <x v="1"/>
    <x v="0"/>
    <n v="826"/>
    <s v="Cascade River"/>
    <s v="Cascade River"/>
    <s v="Skagit"/>
    <x v="1"/>
    <s v="Snohomish"/>
    <s v="03Snohomish"/>
    <s v="North Puget Sound"/>
    <s v="01North Puget Sound"/>
    <n v="491.44186046511601"/>
    <n v="4250.9720930232497"/>
    <n v="479.18095238095304"/>
    <n v="2309.43890900526"/>
  </r>
  <r>
    <n v="3682"/>
    <x v="6"/>
    <s v="Freshwater"/>
    <x v="1"/>
    <x v="0"/>
    <n v="826"/>
    <s v="Cascade River"/>
    <s v="Cascade River"/>
    <s v="Skagit"/>
    <x v="1"/>
    <s v="Whatcom"/>
    <s v="01Whatcom"/>
    <s v="North Puget Sound"/>
    <s v="01North Puget Sound"/>
    <n v="118.31007751938"/>
    <n v="1023.38217054264"/>
    <n v="87.914285714285768"/>
    <n v="423.70772685589577"/>
  </r>
  <r>
    <n v="1383"/>
    <x v="7"/>
    <s v="Freshwater"/>
    <x v="1"/>
    <x v="0"/>
    <n v="826"/>
    <s v="Cascade River"/>
    <s v="Cascade River"/>
    <s v="Skagit"/>
    <x v="1"/>
    <s v="King"/>
    <s v="06King"/>
    <s v="South Puget Sound"/>
    <s v="02South Puget Sound"/>
    <n v="20"/>
    <n v="68.8"/>
    <n v="20"/>
    <n v="70.780808795648312"/>
  </r>
  <r>
    <n v="1338"/>
    <x v="7"/>
    <s v="Freshwater"/>
    <x v="1"/>
    <x v="0"/>
    <n v="826"/>
    <s v="Cascade River"/>
    <s v="Cascade River"/>
    <s v="Skagit"/>
    <x v="1"/>
    <s v="Skagit"/>
    <s v="02Skagit"/>
    <s v="North Puget Sound"/>
    <s v="01North Puget Sound"/>
    <n v="100"/>
    <n v="344"/>
    <n v="100"/>
    <n v="353.90404397824153"/>
  </r>
  <r>
    <n v="1382"/>
    <x v="7"/>
    <s v="Freshwater"/>
    <x v="1"/>
    <x v="0"/>
    <n v="826"/>
    <s v="Cascade River"/>
    <s v="Cascade River"/>
    <s v="Skagit"/>
    <x v="1"/>
    <s v="Snohomish"/>
    <s v="03Snohomish"/>
    <s v="North Puget Sound"/>
    <s v="01North Puget Sound"/>
    <n v="120"/>
    <n v="412.8"/>
    <n v="120"/>
    <n v="424.68485277388982"/>
  </r>
  <r>
    <n v="1337"/>
    <x v="7"/>
    <s v="Freshwater"/>
    <x v="1"/>
    <x v="0"/>
    <n v="826"/>
    <s v="Cascade River"/>
    <s v="Cascade River"/>
    <s v="Skagit"/>
    <x v="1"/>
    <s v="Whatcom"/>
    <s v="01Whatcom"/>
    <s v="North Puget Sound"/>
    <s v="01North Puget Sound"/>
    <n v="120"/>
    <n v="412.8"/>
    <n v="120"/>
    <n v="424.68485277388982"/>
  </r>
  <r>
    <n v="1490"/>
    <x v="8"/>
    <s v="Freshwater"/>
    <x v="1"/>
    <x v="0"/>
    <n v="826"/>
    <s v="Cascade River"/>
    <s v="Cascade River"/>
    <s v="Skagit"/>
    <x v="1"/>
    <s v="Island"/>
    <s v="04Island"/>
    <s v="North Puget Sound"/>
    <s v="01North Puget Sound"/>
    <n v="19.155080213903702"/>
    <n v="165.69144385026701"/>
    <n v="19.078947368421048"/>
    <n v="91.952034354791451"/>
  </r>
  <r>
    <n v="1491"/>
    <x v="8"/>
    <s v="Freshwater"/>
    <x v="1"/>
    <x v="0"/>
    <n v="826"/>
    <s v="Cascade River"/>
    <s v="Cascade River"/>
    <s v="Skagit"/>
    <x v="1"/>
    <s v="King"/>
    <s v="06King"/>
    <s v="South Puget Sound"/>
    <s v="02South Puget Sound"/>
    <n v="229.86096256684499"/>
    <n v="1988.2973262032101"/>
    <n v="229.6113761173693"/>
    <n v="1106.6246338066496"/>
  </r>
  <r>
    <n v="1493"/>
    <x v="8"/>
    <s v="Freshwater"/>
    <x v="1"/>
    <x v="0"/>
    <n v="826"/>
    <s v="Cascade River"/>
    <s v="Cascade River"/>
    <s v="Skagit"/>
    <x v="1"/>
    <s v="Other"/>
    <s v="20Other"/>
    <s v="Non Puget Sound"/>
    <s v="07Non Puget Sound"/>
    <n v="114.930481283422"/>
    <n v="994.14866310160005"/>
    <n v="114.9954303122621"/>
    <n v="554.22679011207151"/>
  </r>
  <r>
    <n v="1446"/>
    <x v="8"/>
    <s v="Freshwater"/>
    <x v="1"/>
    <x v="0"/>
    <n v="826"/>
    <s v="Cascade River"/>
    <s v="Cascade River"/>
    <s v="Skagit"/>
    <x v="1"/>
    <s v="Skagit"/>
    <s v="02Skagit"/>
    <s v="North Puget Sound"/>
    <s v="01North Puget Sound"/>
    <n v="775.78074866310203"/>
    <n v="6710.5034759358296"/>
    <n v="775.80857417725611"/>
    <n v="3739.0520183290705"/>
  </r>
  <r>
    <n v="1489"/>
    <x v="8"/>
    <s v="Freshwater"/>
    <x v="1"/>
    <x v="0"/>
    <n v="826"/>
    <s v="Cascade River"/>
    <s v="Cascade River"/>
    <s v="Skagit"/>
    <x v="1"/>
    <s v="Snohomish"/>
    <s v="03Snohomish"/>
    <s v="North Puget Sound"/>
    <s v="01North Puget Sound"/>
    <n v="478.87700534759398"/>
    <n v="4142.2860962566901"/>
    <n v="478.94374073034919"/>
    <n v="2308.2956544312797"/>
  </r>
  <r>
    <n v="1492"/>
    <x v="8"/>
    <s v="Freshwater"/>
    <x v="1"/>
    <x v="0"/>
    <n v="826"/>
    <s v="Cascade River"/>
    <s v="Cascade River"/>
    <s v="Skagit"/>
    <x v="1"/>
    <s v="Thurston"/>
    <s v="08Thurston"/>
    <s v="South Puget Sound"/>
    <s v="02South Puget Sound"/>
    <n v="19.155080213903702"/>
    <n v="165.69144385026701"/>
    <n v="19.1683168316832"/>
    <n v="92.382755389734527"/>
  </r>
  <r>
    <n v="1445"/>
    <x v="8"/>
    <s v="Freshwater"/>
    <x v="1"/>
    <x v="0"/>
    <n v="826"/>
    <s v="Cascade River"/>
    <s v="Cascade River"/>
    <s v="Skagit"/>
    <x v="1"/>
    <s v="Whatcom"/>
    <s v="01Whatcom"/>
    <s v="North Puget Sound"/>
    <s v="01North Puget Sound"/>
    <n v="153.24064171123001"/>
    <n v="1325.5315508021399"/>
    <n v="153.39361446266079"/>
    <n v="739.28894684316765"/>
  </r>
  <r>
    <n v="1580"/>
    <x v="9"/>
    <s v="Freshwater"/>
    <x v="1"/>
    <x v="0"/>
    <n v="826"/>
    <s v="Cascade River"/>
    <s v="Cascade River"/>
    <s v="Skagit"/>
    <x v="1"/>
    <s v="Island"/>
    <s v="04Island"/>
    <s v="North Puget Sound"/>
    <s v="01North Puget Sound"/>
    <n v="62.531645569620302"/>
    <n v="215.10886075949401"/>
    <n v="62.580475998386397"/>
    <n v="221.47483529912228"/>
  </r>
  <r>
    <n v="1623"/>
    <x v="9"/>
    <s v="Freshwater"/>
    <x v="1"/>
    <x v="0"/>
    <n v="826"/>
    <s v="Cascade River"/>
    <s v="Cascade River"/>
    <s v="Skagit"/>
    <x v="1"/>
    <s v="King"/>
    <s v="06King"/>
    <s v="South Puget Sound"/>
    <s v="02South Puget Sound"/>
    <n v="562.78481012658199"/>
    <n v="1935.97974683544"/>
    <n v="562.148517547398"/>
    <n v="1989.4663367639762"/>
  </r>
  <r>
    <n v="1625"/>
    <x v="9"/>
    <s v="Freshwater"/>
    <x v="1"/>
    <x v="0"/>
    <n v="826"/>
    <s v="Cascade River"/>
    <s v="Cascade River"/>
    <s v="Skagit"/>
    <x v="1"/>
    <s v="Other"/>
    <s v="20Other"/>
    <s v="Non Puget Sound"/>
    <s v="07Non Puget Sound"/>
    <n v="156.329113924051"/>
    <n v="537.77215189873505"/>
    <n v="156.22947761194001"/>
    <n v="552.90243915473718"/>
  </r>
  <r>
    <n v="1624"/>
    <x v="9"/>
    <s v="Freshwater"/>
    <x v="1"/>
    <x v="0"/>
    <n v="826"/>
    <s v="Cascade River"/>
    <s v="Cascade River"/>
    <s v="Skagit"/>
    <x v="1"/>
    <s v="Pierce"/>
    <s v="07Pierce"/>
    <s v="South Puget Sound"/>
    <s v="02South Puget Sound"/>
    <n v="31.265822784810101"/>
    <n v="107.554430379747"/>
    <n v="31.283178701089099"/>
    <n v="110.71243450809425"/>
  </r>
  <r>
    <n v="1581"/>
    <x v="9"/>
    <s v="Freshwater"/>
    <x v="1"/>
    <x v="0"/>
    <n v="826"/>
    <s v="Cascade River"/>
    <s v="Cascade River"/>
    <s v="Skagit"/>
    <x v="1"/>
    <s v="San Juan"/>
    <s v="05San Juan"/>
    <s v="North Puget Sound"/>
    <s v="01North Puget Sound"/>
    <n v="20.843881856540101"/>
    <n v="71.702953586497898"/>
    <n v="20.8507462686567"/>
    <n v="73.791634244418361"/>
  </r>
  <r>
    <n v="1574"/>
    <x v="9"/>
    <s v="Freshwater"/>
    <x v="1"/>
    <x v="0"/>
    <n v="826"/>
    <s v="Cascade River"/>
    <s v="Cascade River"/>
    <s v="Skagit"/>
    <x v="1"/>
    <s v="Skagit"/>
    <s v="02Skagit"/>
    <s v="North Puget Sound"/>
    <s v="01North Puget Sound"/>
    <n v="1063.0379746835399"/>
    <n v="3656.8506329113802"/>
    <n v="1063.426583299718"/>
    <n v="3763.5096830373454"/>
  </r>
  <r>
    <n v="1575"/>
    <x v="9"/>
    <s v="Freshwater"/>
    <x v="1"/>
    <x v="0"/>
    <n v="826"/>
    <s v="Cascade River"/>
    <s v="Cascade River"/>
    <s v="Skagit"/>
    <x v="1"/>
    <s v="Snohomish"/>
    <s v="03Snohomish"/>
    <s v="North Puget Sound"/>
    <s v="01North Puget Sound"/>
    <n v="531.518987341772"/>
    <n v="1828.4253164557001"/>
    <n v="531.93102057281203"/>
    <n v="1882.5253929819137"/>
  </r>
  <r>
    <n v="1573"/>
    <x v="9"/>
    <s v="Freshwater"/>
    <x v="1"/>
    <x v="0"/>
    <n v="826"/>
    <s v="Cascade River"/>
    <s v="Cascade River"/>
    <s v="Skagit"/>
    <x v="1"/>
    <s v="Whatcom"/>
    <s v="01Whatcom"/>
    <s v="North Puget Sound"/>
    <s v="01North Puget Sound"/>
    <n v="41.687763713080201"/>
    <n v="143.405907172996"/>
    <n v="41.55"/>
    <n v="147.04713027295935"/>
  </r>
  <r>
    <n v="1667"/>
    <x v="10"/>
    <s v="Freshwater"/>
    <x v="1"/>
    <x v="0"/>
    <n v="826"/>
    <s v="Cascade River"/>
    <s v="Cascade River"/>
    <s v="Skagit"/>
    <x v="1"/>
    <s v="Island"/>
    <s v="04Island"/>
    <s v="North Puget Sound"/>
    <s v="01North Puget Sound"/>
    <n v="374.30405405405401"/>
    <n v="3237.7300675675701"/>
    <n v="374.35279374907799"/>
    <n v="1804.2138429818492"/>
  </r>
  <r>
    <n v="1668"/>
    <x v="10"/>
    <s v="Freshwater"/>
    <x v="1"/>
    <x v="0"/>
    <n v="826"/>
    <s v="Cascade River"/>
    <s v="Cascade River"/>
    <s v="Skagit"/>
    <x v="1"/>
    <s v="King"/>
    <s v="06King"/>
    <s v="South Puget Sound"/>
    <s v="02South Puget Sound"/>
    <n v="736.53378378378397"/>
    <n v="6371.0172297297304"/>
    <n v="736.55118187625999"/>
    <n v="3549.8488607421086"/>
  </r>
  <r>
    <n v="1728"/>
    <x v="10"/>
    <s v="Freshwater"/>
    <x v="1"/>
    <x v="0"/>
    <n v="826"/>
    <s v="Cascade River"/>
    <s v="Cascade River"/>
    <s v="Skagit"/>
    <x v="1"/>
    <s v="Other"/>
    <s v="20Other"/>
    <s v="Non Puget Sound"/>
    <s v="07Non Puget Sound"/>
    <n v="12.0743243243243"/>
    <n v="104.442905405405"/>
    <n v="12.0760233918129"/>
    <n v="58.201057760197685"/>
  </r>
  <r>
    <n v="1669"/>
    <x v="10"/>
    <s v="Freshwater"/>
    <x v="1"/>
    <x v="0"/>
    <n v="826"/>
    <s v="Cascade River"/>
    <s v="Cascade River"/>
    <s v="Skagit"/>
    <x v="1"/>
    <s v="Pierce"/>
    <s v="07Pierce"/>
    <s v="South Puget Sound"/>
    <s v="02South Puget Sound"/>
    <n v="12.0743243243243"/>
    <n v="104.442905405405"/>
    <n v="12.075630252100799"/>
    <n v="58.199163001770224"/>
  </r>
  <r>
    <n v="1665"/>
    <x v="10"/>
    <s v="Freshwater"/>
    <x v="1"/>
    <x v="0"/>
    <n v="826"/>
    <s v="Cascade River"/>
    <s v="Cascade River"/>
    <s v="Skagit"/>
    <x v="1"/>
    <s v="Skagit"/>
    <s v="02Skagit"/>
    <s v="North Puget Sound"/>
    <s v="01North Puget Sound"/>
    <n v="422.60135135135101"/>
    <n v="3655.5016891891901"/>
    <n v="422.65570789719396"/>
    <n v="2037.0123897473609"/>
  </r>
  <r>
    <n v="1666"/>
    <x v="10"/>
    <s v="Freshwater"/>
    <x v="1"/>
    <x v="0"/>
    <n v="826"/>
    <s v="Cascade River"/>
    <s v="Cascade River"/>
    <s v="Skagit"/>
    <x v="1"/>
    <s v="Snohomish"/>
    <s v="03Snohomish"/>
    <s v="North Puget Sound"/>
    <s v="01North Puget Sound"/>
    <n v="1883.59459459459"/>
    <n v="16293.0932432432"/>
    <n v="1883.452798663327"/>
    <n v="9077.4041724635845"/>
  </r>
  <r>
    <n v="1664"/>
    <x v="10"/>
    <s v="Freshwater"/>
    <x v="1"/>
    <x v="0"/>
    <n v="826"/>
    <s v="Cascade River"/>
    <s v="Cascade River"/>
    <s v="Skagit"/>
    <x v="1"/>
    <s v="Whatcom"/>
    <s v="01Whatcom"/>
    <s v="North Puget Sound"/>
    <s v="01North Puget Sound"/>
    <n v="132.81756756756801"/>
    <n v="1148.87195945946"/>
    <n v="132.8358641702298"/>
    <n v="640.20974060374704"/>
  </r>
  <r>
    <n v="1789"/>
    <x v="11"/>
    <s v="Freshwater"/>
    <x v="1"/>
    <x v="0"/>
    <n v="826"/>
    <s v="Cascade River"/>
    <s v="Cascade River"/>
    <s v="Skagit"/>
    <x v="1"/>
    <s v="Island"/>
    <s v="04Island"/>
    <s v="North Puget Sound"/>
    <s v="01North Puget Sound"/>
    <n v="542.36440677966095"/>
    <n v="1865.73355932203"/>
    <n v="529.07329776422807"/>
    <n v="1872.4117963966464"/>
  </r>
  <r>
    <n v="1790"/>
    <x v="11"/>
    <s v="Freshwater"/>
    <x v="1"/>
    <x v="0"/>
    <n v="826"/>
    <s v="Cascade River"/>
    <s v="Cascade River"/>
    <s v="Skagit"/>
    <x v="1"/>
    <s v="King"/>
    <s v="06King"/>
    <s v="South Puget Sound"/>
    <s v="02South Puget Sound"/>
    <n v="403.296610169492"/>
    <n v="1387.3403389830501"/>
    <n v="393.41641260162567"/>
    <n v="1392.3165938712775"/>
  </r>
  <r>
    <n v="1791"/>
    <x v="11"/>
    <s v="Freshwater"/>
    <x v="1"/>
    <x v="0"/>
    <n v="826"/>
    <s v="Cascade River"/>
    <s v="Cascade River"/>
    <s v="Skagit"/>
    <x v="1"/>
    <s v="Other"/>
    <s v="20Other"/>
    <s v="Non Puget Sound"/>
    <s v="07Non Puget Sound"/>
    <n v="333.76271186440698"/>
    <n v="1148.1437288135601"/>
    <n v="325.625"/>
    <n v="1152.4000432041489"/>
  </r>
  <r>
    <n v="1787"/>
    <x v="11"/>
    <s v="Freshwater"/>
    <x v="1"/>
    <x v="0"/>
    <n v="826"/>
    <s v="Cascade River"/>
    <s v="Cascade River"/>
    <s v="Skagit"/>
    <x v="1"/>
    <s v="Skagit"/>
    <s v="02Skagit"/>
    <s v="North Puget Sound"/>
    <s v="01North Puget Sound"/>
    <n v="959.56779661017003"/>
    <n v="3300.91322033898"/>
    <n v="936.10454776422796"/>
    <n v="3312.9118504018325"/>
  </r>
  <r>
    <n v="1788"/>
    <x v="11"/>
    <s v="Freshwater"/>
    <x v="1"/>
    <x v="0"/>
    <n v="826"/>
    <s v="Cascade River"/>
    <s v="Cascade River"/>
    <s v="Skagit"/>
    <x v="1"/>
    <s v="Snohomish"/>
    <s v="03Snohomish"/>
    <s v="North Puget Sound"/>
    <s v="01North Puget Sound"/>
    <n v="862.22033898305096"/>
    <n v="2966.0379661017"/>
    <n v="903.46824186991807"/>
    <n v="3197.4106440367605"/>
  </r>
  <r>
    <n v="1786"/>
    <x v="11"/>
    <s v="Freshwater"/>
    <x v="1"/>
    <x v="0"/>
    <n v="826"/>
    <s v="Cascade River"/>
    <s v="Cascade River"/>
    <s v="Skagit"/>
    <x v="1"/>
    <s v="Whatcom"/>
    <s v="01Whatcom"/>
    <s v="North Puget Sound"/>
    <s v="01North Puget Sound"/>
    <n v="180.78813559322001"/>
    <n v="621.91118644067706"/>
    <n v="176.3125"/>
    <n v="623.97706753913712"/>
  </r>
  <r>
    <n v="2242"/>
    <x v="0"/>
    <s v="Freshwater"/>
    <x v="1"/>
    <x v="0"/>
    <n v="830"/>
    <s v="Skagit River"/>
    <s v="Skagit River"/>
    <s v="Skagit/Whatcom"/>
    <x v="2"/>
    <s v="Island"/>
    <s v="04Island"/>
    <s v="North Puget Sound"/>
    <s v="01North Puget Sound"/>
    <n v="41.4166666666667"/>
    <n v="358.254166666667"/>
    <n v="41.75405340963276"/>
    <n v="201.23595287700041"/>
  </r>
  <r>
    <n v="2243"/>
    <x v="0"/>
    <s v="Freshwater"/>
    <x v="1"/>
    <x v="0"/>
    <n v="830"/>
    <s v="Skagit River"/>
    <s v="Skagit River"/>
    <s v="Skagit/Whatcom"/>
    <x v="2"/>
    <s v="King"/>
    <s v="06King"/>
    <s v="South Puget Sound"/>
    <s v="02South Puget Sound"/>
    <n v="41.4166666666667"/>
    <n v="358.254166666667"/>
    <n v="41.651219429116452"/>
    <n v="200.74033886189355"/>
  </r>
  <r>
    <n v="2246"/>
    <x v="0"/>
    <s v="Freshwater"/>
    <x v="1"/>
    <x v="0"/>
    <n v="830"/>
    <s v="Skagit River"/>
    <s v="Skagit River"/>
    <s v="Skagit/Whatcom"/>
    <x v="2"/>
    <s v="Other"/>
    <s v="20Other"/>
    <s v="Non Puget Sound"/>
    <s v="07Non Puget Sound"/>
    <n v="82.8333333333333"/>
    <n v="716.50833333333298"/>
    <n v="83.409326248382001"/>
    <n v="401.99582736916801"/>
  </r>
  <r>
    <n v="2244"/>
    <x v="0"/>
    <s v="Freshwater"/>
    <x v="1"/>
    <x v="0"/>
    <n v="830"/>
    <s v="Skagit River"/>
    <s v="Skagit River"/>
    <s v="Skagit/Whatcom"/>
    <x v="2"/>
    <s v="Pierce"/>
    <s v="07Pierce"/>
    <s v="South Puget Sound"/>
    <s v="02South Puget Sound"/>
    <n v="76.9166666666667"/>
    <n v="665.32916666666699"/>
    <n v="77.381974248927094"/>
    <n v="372.94667348137858"/>
  </r>
  <r>
    <n v="2200"/>
    <x v="0"/>
    <s v="Freshwater"/>
    <x v="1"/>
    <x v="0"/>
    <n v="830"/>
    <s v="Skagit River"/>
    <s v="Skagit River"/>
    <s v="Skagit/Whatcom"/>
    <x v="2"/>
    <s v="Skagit"/>
    <s v="02Skagit"/>
    <s v="North Puget Sound"/>
    <s v="01North Puget Sound"/>
    <n v="1757.25"/>
    <n v="15200.2125"/>
    <n v="1751.6960794332031"/>
    <n v="8442.3954301481735"/>
  </r>
  <r>
    <n v="2201"/>
    <x v="0"/>
    <s v="Freshwater"/>
    <x v="1"/>
    <x v="0"/>
    <n v="830"/>
    <s v="Skagit River"/>
    <s v="Skagit River"/>
    <s v="Skagit/Whatcom"/>
    <x v="2"/>
    <s v="Snohomish"/>
    <s v="03Snohomish"/>
    <s v="North Puget Sound"/>
    <s v="01North Puget Sound"/>
    <n v="171.583333333333"/>
    <n v="1484.19583333333"/>
    <n v="172.94546631241917"/>
    <n v="833.52017031016544"/>
  </r>
  <r>
    <n v="2245"/>
    <x v="0"/>
    <s v="Freshwater"/>
    <x v="1"/>
    <x v="0"/>
    <n v="830"/>
    <s v="Skagit River"/>
    <s v="Skagit River"/>
    <s v="Skagit/Whatcom"/>
    <x v="2"/>
    <s v="Thurston"/>
    <s v="08Thurston"/>
    <s v="South Puget Sound"/>
    <s v="02South Puget Sound"/>
    <n v="5.9166666666666696"/>
    <n v="51.179166666666703"/>
    <n v="5.9484978540772504"/>
    <n v="28.669112004724909"/>
  </r>
  <r>
    <n v="2199"/>
    <x v="0"/>
    <s v="Freshwater"/>
    <x v="1"/>
    <x v="0"/>
    <n v="830"/>
    <s v="Skagit River"/>
    <s v="Skagit River"/>
    <s v="Skagit/Whatcom"/>
    <x v="2"/>
    <s v="Whatcom"/>
    <s v="01Whatcom"/>
    <s v="North Puget Sound"/>
    <s v="01North Puget Sound"/>
    <n v="378.66666666666703"/>
    <n v="3275.4666666666699"/>
    <n v="381.21338306424104"/>
    <n v="1837.27882986085"/>
  </r>
  <r>
    <n v="2307"/>
    <x v="1"/>
    <s v="Freshwater"/>
    <x v="1"/>
    <x v="0"/>
    <n v="830"/>
    <s v="Skagit River"/>
    <s v="Skagit River"/>
    <s v="Skagit/Whatcom"/>
    <x v="2"/>
    <s v="Clallam"/>
    <s v="11Clallam"/>
    <s v="Strait of Juan de Fuca"/>
    <s v="03Strait of Juan de Fuca"/>
    <n v="29.138772398017501"/>
    <n v="100.23737704918"/>
    <n v="30.3738087918844"/>
    <n v="107.49413762469756"/>
  </r>
  <r>
    <n v="2274"/>
    <x v="1"/>
    <s v="Freshwater"/>
    <x v="1"/>
    <x v="0"/>
    <n v="830"/>
    <s v="Skagit River"/>
    <s v="Skagit River"/>
    <s v="Skagit/Whatcom"/>
    <x v="2"/>
    <s v="Island"/>
    <s v="04Island"/>
    <s v="North Puget Sound"/>
    <s v="01North Puget Sound"/>
    <n v="2855.5996950057202"/>
    <n v="9823.2629508196806"/>
    <n v="2888.3351785503082"/>
    <n v="10221.935000535705"/>
  </r>
  <r>
    <n v="2308"/>
    <x v="1"/>
    <s v="Freshwater"/>
    <x v="1"/>
    <x v="0"/>
    <n v="830"/>
    <s v="Skagit River"/>
    <s v="Skagit River"/>
    <s v="Skagit/Whatcom"/>
    <x v="2"/>
    <s v="Jefferson"/>
    <s v="12Jefferson"/>
    <s v="Strait of Juan de Fuca"/>
    <s v="03Strait of Juan de Fuca"/>
    <n v="7.2846930995043904"/>
    <n v="25.059344262295099"/>
    <n v="7.6810730253353201"/>
    <n v="27.183628057583558"/>
  </r>
  <r>
    <n v="2276"/>
    <x v="1"/>
    <s v="Freshwater"/>
    <x v="1"/>
    <x v="0"/>
    <n v="830"/>
    <s v="Skagit River"/>
    <s v="Skagit River"/>
    <s v="Skagit/Whatcom"/>
    <x v="2"/>
    <s v="King"/>
    <s v="06King"/>
    <s v="South Puget Sound"/>
    <s v="02South Puget Sound"/>
    <n v="2739.0446054136501"/>
    <n v="9422.3134426229608"/>
    <n v="2699.0058566821817"/>
    <n v="9551.8908740078223"/>
  </r>
  <r>
    <n v="2306"/>
    <x v="1"/>
    <s v="Freshwater"/>
    <x v="1"/>
    <x v="0"/>
    <n v="830"/>
    <s v="Skagit River"/>
    <s v="Skagit River"/>
    <s v="Skagit/Whatcom"/>
    <x v="2"/>
    <s v="Kitsap"/>
    <s v="10Kitsap"/>
    <s v="South Puget Sound"/>
    <s v="02South Puget Sound"/>
    <n v="123.839782691575"/>
    <n v="426.00885245901799"/>
    <n v="129.25485311200759"/>
    <n v="457.43815220153084"/>
  </r>
  <r>
    <n v="2305"/>
    <x v="1"/>
    <s v="Freshwater"/>
    <x v="1"/>
    <x v="0"/>
    <n v="830"/>
    <s v="Skagit River"/>
    <s v="Skagit River"/>
    <s v="Skagit/Whatcom"/>
    <x v="2"/>
    <s v="Mason"/>
    <s v="09Mason"/>
    <s v="South Puget Sound"/>
    <s v="02South Puget Sound"/>
    <n v="87.416317194052596"/>
    <n v="300.71213114754102"/>
    <n v="91.1214263756533"/>
    <n v="322.48241287409303"/>
  </r>
  <r>
    <n v="2309"/>
    <x v="1"/>
    <s v="Freshwater"/>
    <x v="1"/>
    <x v="0"/>
    <n v="830"/>
    <s v="Skagit River"/>
    <s v="Skagit River"/>
    <s v="Skagit/Whatcom"/>
    <x v="2"/>
    <s v="Other"/>
    <s v="20Other"/>
    <s v="Non Puget Sound"/>
    <s v="07Non Puget Sound"/>
    <n v="4603.9260388867697"/>
    <n v="15837.505573770501"/>
    <n v="4503.0082514824517"/>
    <n v="15936.328302670301"/>
  </r>
  <r>
    <n v="2277"/>
    <x v="1"/>
    <s v="Freshwater"/>
    <x v="1"/>
    <x v="0"/>
    <n v="830"/>
    <s v="Skagit River"/>
    <s v="Skagit River"/>
    <s v="Skagit/Whatcom"/>
    <x v="2"/>
    <s v="Pierce"/>
    <s v="07Pierce"/>
    <s v="South Puget Sound"/>
    <s v="02South Puget Sound"/>
    <n v="568.20606176134197"/>
    <n v="1954.62885245902"/>
    <n v="411.61451767476603"/>
    <n v="1456.7204236525308"/>
  </r>
  <r>
    <n v="2275"/>
    <x v="1"/>
    <s v="Freshwater"/>
    <x v="1"/>
    <x v="0"/>
    <n v="830"/>
    <s v="Skagit River"/>
    <s v="Skagit River"/>
    <s v="Skagit/Whatcom"/>
    <x v="2"/>
    <s v="San Juan"/>
    <s v="05San Juan"/>
    <s v="North Puget Sound"/>
    <s v="01North Puget Sound"/>
    <n v="36.423465497521903"/>
    <n v="125.296721311475"/>
    <n v="15.362146050670599"/>
    <n v="54.367256115166974"/>
  </r>
  <r>
    <n v="2272"/>
    <x v="1"/>
    <s v="Freshwater"/>
    <x v="1"/>
    <x v="0"/>
    <n v="830"/>
    <s v="Skagit River"/>
    <s v="Skagit River"/>
    <s v="Skagit/Whatcom"/>
    <x v="2"/>
    <s v="Skagit"/>
    <s v="02Skagit"/>
    <s v="North Puget Sound"/>
    <s v="01North Puget Sound"/>
    <n v="38441.325486084599"/>
    <n v="132238.15967213101"/>
    <n v="38446.862071742624"/>
    <n v="136064.99965463387"/>
  </r>
  <r>
    <n v="2273"/>
    <x v="1"/>
    <s v="Freshwater"/>
    <x v="1"/>
    <x v="0"/>
    <n v="830"/>
    <s v="Skagit River"/>
    <s v="Skagit River"/>
    <s v="Skagit/Whatcom"/>
    <x v="2"/>
    <s v="Snohomish"/>
    <s v="03Snohomish"/>
    <s v="North Puget Sound"/>
    <s v="01North Puget Sound"/>
    <n v="12354.839496759399"/>
    <n v="42500.647868852298"/>
    <n v="12464.018047917863"/>
    <n v="44110.663913759199"/>
  </r>
  <r>
    <n v="2278"/>
    <x v="1"/>
    <s v="Freshwater"/>
    <x v="1"/>
    <x v="0"/>
    <n v="830"/>
    <s v="Skagit River"/>
    <s v="Skagit River"/>
    <s v="Skagit/Whatcom"/>
    <x v="2"/>
    <s v="Thurston"/>
    <s v="08Thurston"/>
    <s v="South Puget Sound"/>
    <s v="02South Puget Sound"/>
    <n v="160.263248189096"/>
    <n v="551.30557377049001"/>
    <n v="152.48087709960009"/>
    <n v="539.63599034897709"/>
  </r>
  <r>
    <n v="2271"/>
    <x v="1"/>
    <s v="Freshwater"/>
    <x v="1"/>
    <x v="0"/>
    <n v="830"/>
    <s v="Skagit River"/>
    <s v="Skagit River"/>
    <s v="Skagit/Whatcom"/>
    <x v="2"/>
    <s v="Whatcom"/>
    <s v="01Whatcom"/>
    <s v="North Puget Sound"/>
    <s v="01North Puget Sound"/>
    <n v="14423.6923370187"/>
    <n v="49617.5016393443"/>
    <n v="14591.881891494628"/>
    <n v="51641.260106528207"/>
  </r>
  <r>
    <n v="2350"/>
    <x v="2"/>
    <s v="Freshwater"/>
    <x v="1"/>
    <x v="0"/>
    <n v="830"/>
    <s v="Skagit River"/>
    <s v="Skagit River"/>
    <s v="Skagit/Whatcom"/>
    <x v="2"/>
    <s v="Island"/>
    <s v="04Island"/>
    <s v="North Puget Sound"/>
    <s v="01North Puget Sound"/>
    <n v="131.032080659945"/>
    <n v="1133.4274977085199"/>
    <n v="133.79137380819202"/>
    <n v="644.81487176531527"/>
  </r>
  <r>
    <n v="2352"/>
    <x v="2"/>
    <s v="Freshwater"/>
    <x v="1"/>
    <x v="0"/>
    <n v="830"/>
    <s v="Skagit River"/>
    <s v="Skagit River"/>
    <s v="Skagit/Whatcom"/>
    <x v="2"/>
    <s v="King"/>
    <s v="06King"/>
    <s v="South Puget Sound"/>
    <s v="02South Puget Sound"/>
    <n v="363.978001833181"/>
    <n v="3148.4097158570198"/>
    <n v="363.5235229892894"/>
    <n v="1752.0215779835405"/>
  </r>
  <r>
    <n v="2354"/>
    <x v="2"/>
    <s v="Freshwater"/>
    <x v="1"/>
    <x v="0"/>
    <n v="830"/>
    <s v="Skagit River"/>
    <s v="Skagit River"/>
    <s v="Skagit/Whatcom"/>
    <x v="2"/>
    <s v="Kitsap"/>
    <s v="10Kitsap"/>
    <s v="South Puget Sound"/>
    <s v="02South Puget Sound"/>
    <n v="58.236480293308901"/>
    <n v="503.74555453712202"/>
    <n v="58.5906735751295"/>
    <n v="282.38096816431153"/>
  </r>
  <r>
    <n v="2355"/>
    <x v="2"/>
    <s v="Freshwater"/>
    <x v="1"/>
    <x v="0"/>
    <n v="830"/>
    <s v="Skagit River"/>
    <s v="Skagit River"/>
    <s v="Skagit/Whatcom"/>
    <x v="2"/>
    <s v="Other"/>
    <s v="20Other"/>
    <s v="Non Puget Sound"/>
    <s v="07Non Puget Sound"/>
    <n v="262.06416131988999"/>
    <n v="2266.8549954170498"/>
    <n v="243.00166216132445"/>
    <n v="1171.1598525772722"/>
  </r>
  <r>
    <n v="2353"/>
    <x v="2"/>
    <s v="Freshwater"/>
    <x v="1"/>
    <x v="0"/>
    <n v="830"/>
    <s v="Skagit River"/>
    <s v="Skagit River"/>
    <s v="Skagit/Whatcom"/>
    <x v="2"/>
    <s v="Pierce"/>
    <s v="07Pierce"/>
    <s v="South Puget Sound"/>
    <s v="02South Puget Sound"/>
    <n v="65.516040329972498"/>
    <n v="566.71374885426201"/>
    <n v="66.81834943752051"/>
    <n v="322.034703716352"/>
  </r>
  <r>
    <n v="2351"/>
    <x v="2"/>
    <s v="Freshwater"/>
    <x v="1"/>
    <x v="0"/>
    <n v="830"/>
    <s v="Skagit River"/>
    <s v="Skagit River"/>
    <s v="Skagit/Whatcom"/>
    <x v="2"/>
    <s v="San Juan"/>
    <s v="05San Juan"/>
    <s v="North Puget Sound"/>
    <s v="01North Puget Sound"/>
    <n v="14.5591200733272"/>
    <n v="125.93638863427999"/>
    <n v="14.6476683937824"/>
    <n v="70.595242041078009"/>
  </r>
  <r>
    <n v="2311"/>
    <x v="2"/>
    <s v="Freshwater"/>
    <x v="1"/>
    <x v="0"/>
    <n v="830"/>
    <s v="Skagit River"/>
    <s v="Skagit River"/>
    <s v="Skagit/Whatcom"/>
    <x v="2"/>
    <s v="Skagit"/>
    <s v="02Skagit"/>
    <s v="North Puget Sound"/>
    <s v="01North Puget Sound"/>
    <n v="5590.7021081576504"/>
    <n v="48359.573235563701"/>
    <n v="5591.6551917901079"/>
    <n v="26949.289201702097"/>
  </r>
  <r>
    <n v="2312"/>
    <x v="2"/>
    <s v="Freshwater"/>
    <x v="1"/>
    <x v="0"/>
    <n v="830"/>
    <s v="Skagit River"/>
    <s v="Skagit River"/>
    <s v="Skagit/Whatcom"/>
    <x v="2"/>
    <s v="Snohomish"/>
    <s v="03Snohomish"/>
    <s v="North Puget Sound"/>
    <s v="01North Puget Sound"/>
    <n v="1011.85884509624"/>
    <n v="8752.5790100824797"/>
    <n v="1021.1714474417336"/>
    <n v="4921.5918574581901"/>
  </r>
  <r>
    <n v="2310"/>
    <x v="2"/>
    <s v="Freshwater"/>
    <x v="1"/>
    <x v="0"/>
    <n v="830"/>
    <s v="Skagit River"/>
    <s v="Skagit River"/>
    <s v="Skagit/Whatcom"/>
    <x v="2"/>
    <s v="Whatcom"/>
    <s v="01Whatcom"/>
    <s v="North Puget Sound"/>
    <s v="01North Puget Sound"/>
    <n v="444.05316223647998"/>
    <n v="3841.05985334555"/>
    <n v="448.80011040292732"/>
    <n v="2163.0167730589778"/>
  </r>
  <r>
    <n v="2392"/>
    <x v="3"/>
    <s v="Freshwater"/>
    <x v="1"/>
    <x v="0"/>
    <n v="830"/>
    <s v="Skagit River"/>
    <s v="Skagit River"/>
    <s v="Skagit/Whatcom"/>
    <x v="2"/>
    <s v="Clallam"/>
    <s v="11Clallam"/>
    <s v="Strait of Juan de Fuca"/>
    <s v="03Strait of Juan de Fuca"/>
    <n v="178.283582089552"/>
    <n v="613.295522388059"/>
    <n v="179.69963519928581"/>
    <n v="635.96427598442006"/>
  </r>
  <r>
    <n v="2385"/>
    <x v="3"/>
    <s v="Freshwater"/>
    <x v="1"/>
    <x v="0"/>
    <n v="830"/>
    <s v="Skagit River"/>
    <s v="Skagit River"/>
    <s v="Skagit/Whatcom"/>
    <x v="2"/>
    <s v="Island"/>
    <s v="04Island"/>
    <s v="North Puget Sound"/>
    <s v="01North Puget Sound"/>
    <n v="3993.5522388059699"/>
    <n v="13737.819701492501"/>
    <n v="4025.1424325621506"/>
    <n v="14245.141844721615"/>
  </r>
  <r>
    <n v="2387"/>
    <x v="3"/>
    <s v="Freshwater"/>
    <x v="1"/>
    <x v="0"/>
    <n v="830"/>
    <s v="Skagit River"/>
    <s v="Skagit River"/>
    <s v="Skagit/Whatcom"/>
    <x v="2"/>
    <s v="King"/>
    <s v="06King"/>
    <s v="South Puget Sound"/>
    <s v="02South Puget Sound"/>
    <n v="3619.15671641791"/>
    <n v="12449.899104477599"/>
    <n v="3593.8592141326449"/>
    <n v="12718.813093700081"/>
  </r>
  <r>
    <n v="2391"/>
    <x v="3"/>
    <s v="Freshwater"/>
    <x v="1"/>
    <x v="0"/>
    <n v="830"/>
    <s v="Skagit River"/>
    <s v="Skagit River"/>
    <s v="Skagit/Whatcom"/>
    <x v="2"/>
    <s v="Kitsap"/>
    <s v="10Kitsap"/>
    <s v="South Puget Sound"/>
    <s v="02South Puget Sound"/>
    <n v="115.884328358209"/>
    <n v="398.64208955223899"/>
    <n v="89.879428540504691"/>
    <n v="318.0869323093799"/>
  </r>
  <r>
    <n v="2390"/>
    <x v="3"/>
    <s v="Freshwater"/>
    <x v="1"/>
    <x v="0"/>
    <n v="830"/>
    <s v="Skagit River"/>
    <s v="Skagit River"/>
    <s v="Skagit/Whatcom"/>
    <x v="2"/>
    <s v="Mason"/>
    <s v="09Mason"/>
    <s v="South Puget Sound"/>
    <s v="02South Puget Sound"/>
    <n v="356.56716417910502"/>
    <n v="1226.59104477612"/>
    <n v="359.38940092516799"/>
    <n v="1271.8936235033452"/>
  </r>
  <r>
    <n v="2422"/>
    <x v="3"/>
    <s v="Freshwater"/>
    <x v="1"/>
    <x v="0"/>
    <n v="830"/>
    <s v="Skagit River"/>
    <s v="Skagit River"/>
    <s v="Skagit/Whatcom"/>
    <x v="2"/>
    <s v="Other"/>
    <s v="20Other"/>
    <s v="Non Puget Sound"/>
    <s v="07Non Puget Sound"/>
    <n v="6578.6641791044804"/>
    <n v="22630.604776119399"/>
    <n v="6621.7678102433965"/>
    <n v="23434.704063300833"/>
  </r>
  <r>
    <n v="2388"/>
    <x v="3"/>
    <s v="Freshwater"/>
    <x v="1"/>
    <x v="0"/>
    <n v="830"/>
    <s v="Skagit River"/>
    <s v="Skagit River"/>
    <s v="Skagit/Whatcom"/>
    <x v="2"/>
    <s v="Pierce"/>
    <s v="07Pierce"/>
    <s v="South Puget Sound"/>
    <s v="02South Puget Sound"/>
    <n v="623.99253731343299"/>
    <n v="2146.5343283582101"/>
    <n v="628.94045306931559"/>
    <n v="2225.8456976273824"/>
  </r>
  <r>
    <n v="2386"/>
    <x v="3"/>
    <s v="Freshwater"/>
    <x v="1"/>
    <x v="0"/>
    <n v="830"/>
    <s v="Skagit River"/>
    <s v="Skagit River"/>
    <s v="Skagit/Whatcom"/>
    <x v="2"/>
    <s v="San Juan"/>
    <s v="05San Juan"/>
    <s v="North Puget Sound"/>
    <s v="01North Puget Sound"/>
    <n v="8.9141791044776202"/>
    <n v="30.664776119403001"/>
    <n v="8.9849108367626904"/>
    <n v="31.797962799142422"/>
  </r>
  <r>
    <n v="2383"/>
    <x v="3"/>
    <s v="Freshwater"/>
    <x v="1"/>
    <x v="0"/>
    <n v="830"/>
    <s v="Skagit River"/>
    <s v="Skagit River"/>
    <s v="Skagit/Whatcom"/>
    <x v="2"/>
    <s v="Skagit"/>
    <s v="02Skagit"/>
    <s v="North Puget Sound"/>
    <s v="01North Puget Sound"/>
    <n v="46487.444029850798"/>
    <n v="159916.80746268699"/>
    <n v="46504.804745326772"/>
    <n v="164582.38463789661"/>
  </r>
  <r>
    <n v="2384"/>
    <x v="3"/>
    <s v="Freshwater"/>
    <x v="1"/>
    <x v="0"/>
    <n v="830"/>
    <s v="Skagit River"/>
    <s v="Skagit River"/>
    <s v="Skagit/Whatcom"/>
    <x v="2"/>
    <s v="Snohomish"/>
    <s v="03Snohomish"/>
    <s v="North Puget Sound"/>
    <s v="01North Puget Sound"/>
    <n v="14022.0037313433"/>
    <n v="48235.692835820999"/>
    <n v="13989.477720951778"/>
    <n v="49509.32738588348"/>
  </r>
  <r>
    <n v="2389"/>
    <x v="3"/>
    <s v="Freshwater"/>
    <x v="1"/>
    <x v="0"/>
    <n v="830"/>
    <s v="Skagit River"/>
    <s v="Skagit River"/>
    <s v="Skagit/Whatcom"/>
    <x v="2"/>
    <s v="Thurston"/>
    <s v="08Thurston"/>
    <s v="South Puget Sound"/>
    <s v="02South Puget Sound"/>
    <n v="115.884328358209"/>
    <n v="398.64208955223899"/>
    <n v="116.80469195633421"/>
    <n v="413.3765283897946"/>
  </r>
  <r>
    <n v="2356"/>
    <x v="3"/>
    <s v="Freshwater"/>
    <x v="1"/>
    <x v="0"/>
    <n v="830"/>
    <s v="Skagit River"/>
    <s v="Skagit River"/>
    <s v="Skagit/Whatcom"/>
    <x v="2"/>
    <s v="Whatcom"/>
    <s v="01Whatcom"/>
    <s v="North Puget Sound"/>
    <s v="01North Puget Sound"/>
    <n v="14681.652985074599"/>
    <n v="50504.886268656599"/>
    <n v="14663.249556255954"/>
    <n v="51893.833158211382"/>
  </r>
  <r>
    <n v="2461"/>
    <x v="4"/>
    <s v="Freshwater"/>
    <x v="1"/>
    <x v="0"/>
    <n v="830"/>
    <s v="Skagit River"/>
    <s v="Skagit River"/>
    <s v="Skagit/Whatcom"/>
    <x v="2"/>
    <s v="Clallam"/>
    <s v="11Clallam"/>
    <s v="Strait of Juan de Fuca"/>
    <s v="03Strait of Juan de Fuca"/>
    <n v="14.334047109207701"/>
    <n v="123.989507494647"/>
    <n v="14.4505494505495"/>
    <n v="69.645216471526268"/>
  </r>
  <r>
    <n v="2426"/>
    <x v="4"/>
    <s v="Freshwater"/>
    <x v="1"/>
    <x v="0"/>
    <n v="830"/>
    <s v="Skagit River"/>
    <s v="Skagit River"/>
    <s v="Skagit/Whatcom"/>
    <x v="2"/>
    <s v="Island"/>
    <s v="04Island"/>
    <s v="North Puget Sound"/>
    <s v="01North Puget Sound"/>
    <n v="21.5010706638116"/>
    <n v="185.98426124196999"/>
    <n v="21.66573932396722"/>
    <n v="104.41922021006461"/>
  </r>
  <r>
    <n v="2428"/>
    <x v="4"/>
    <s v="Freshwater"/>
    <x v="1"/>
    <x v="0"/>
    <n v="830"/>
    <s v="Skagit River"/>
    <s v="Skagit River"/>
    <s v="Skagit/Whatcom"/>
    <x v="2"/>
    <s v="King"/>
    <s v="06King"/>
    <s v="South Puget Sound"/>
    <s v="02South Puget Sound"/>
    <n v="71.670235546038597"/>
    <n v="619.94753747323398"/>
    <n v="72.197827488966709"/>
    <n v="347.96139354076894"/>
  </r>
  <r>
    <n v="2460"/>
    <x v="4"/>
    <s v="Freshwater"/>
    <x v="1"/>
    <x v="0"/>
    <n v="830"/>
    <s v="Skagit River"/>
    <s v="Skagit River"/>
    <s v="Skagit/Whatcom"/>
    <x v="2"/>
    <s v="Kitsap"/>
    <s v="10Kitsap"/>
    <s v="South Puget Sound"/>
    <s v="02South Puget Sound"/>
    <n v="14.334047109207701"/>
    <n v="123.989507494647"/>
    <n v="14.430379746835399"/>
    <n v="69.548007477076467"/>
  </r>
  <r>
    <n v="2462"/>
    <x v="4"/>
    <s v="Freshwater"/>
    <x v="1"/>
    <x v="0"/>
    <n v="830"/>
    <s v="Skagit River"/>
    <s v="Skagit River"/>
    <s v="Skagit/Whatcom"/>
    <x v="2"/>
    <s v="Other"/>
    <s v="20Other"/>
    <s v="Non Puget Sound"/>
    <s v="07Non Puget Sound"/>
    <n v="93.171306209850101"/>
    <n v="805.93179871520294"/>
    <n v="94.382478632478652"/>
    <n v="454.88153775552257"/>
  </r>
  <r>
    <n v="2424"/>
    <x v="4"/>
    <s v="Freshwater"/>
    <x v="1"/>
    <x v="0"/>
    <n v="830"/>
    <s v="Skagit River"/>
    <s v="Skagit River"/>
    <s v="Skagit/Whatcom"/>
    <x v="2"/>
    <s v="Skagit"/>
    <s v="02Skagit"/>
    <s v="North Puget Sound"/>
    <s v="01North Puget Sound"/>
    <n v="2078.43683083512"/>
    <n v="17978.478586723799"/>
    <n v="2097.0175692802277"/>
    <n v="10106.691310036082"/>
  </r>
  <r>
    <n v="2425"/>
    <x v="4"/>
    <s v="Freshwater"/>
    <x v="1"/>
    <x v="0"/>
    <n v="830"/>
    <s v="Skagit River"/>
    <s v="Skagit River"/>
    <s v="Skagit/Whatcom"/>
    <x v="2"/>
    <s v="Snohomish"/>
    <s v="03Snohomish"/>
    <s v="North Puget Sound"/>
    <s v="01North Puget Sound"/>
    <n v="458.68950749464699"/>
    <n v="3967.6642398286999"/>
    <n v="446.98710993647762"/>
    <n v="2154.2789177697405"/>
  </r>
  <r>
    <n v="2459"/>
    <x v="4"/>
    <s v="Freshwater"/>
    <x v="1"/>
    <x v="0"/>
    <n v="830"/>
    <s v="Skagit River"/>
    <s v="Skagit River"/>
    <s v="Skagit/Whatcom"/>
    <x v="2"/>
    <s v="Thurston"/>
    <s v="08Thurston"/>
    <s v="South Puget Sound"/>
    <s v="02South Puget Sound"/>
    <n v="14.334047109207701"/>
    <n v="123.989507494647"/>
    <n v="0"/>
    <n v="0"/>
  </r>
  <r>
    <n v="2423"/>
    <x v="4"/>
    <s v="Freshwater"/>
    <x v="1"/>
    <x v="0"/>
    <n v="830"/>
    <s v="Skagit River"/>
    <s v="Skagit River"/>
    <s v="Skagit/Whatcom"/>
    <x v="2"/>
    <s v="Whatcom"/>
    <s v="01Whatcom"/>
    <s v="North Puget Sound"/>
    <s v="01North Puget Sound"/>
    <n v="580.52890792291203"/>
    <n v="5021.5750535331899"/>
    <n v="585.86834614049917"/>
    <n v="2823.6246608061374"/>
  </r>
  <r>
    <n v="2501"/>
    <x v="5"/>
    <s v="Freshwater"/>
    <x v="1"/>
    <x v="0"/>
    <n v="830"/>
    <s v="Skagit River"/>
    <s v="Skagit River"/>
    <s v="Skagit/Whatcom"/>
    <x v="2"/>
    <s v="Clallam"/>
    <s v="11Clallam"/>
    <s v="Strait of Juan de Fuca"/>
    <s v="03Strait of Juan de Fuca"/>
    <n v="43.974358974358999"/>
    <n v="151.27179487179501"/>
    <n v="44.206088029617398"/>
    <n v="156.44713322139731"/>
  </r>
  <r>
    <n v="2494"/>
    <x v="5"/>
    <s v="Freshwater"/>
    <x v="1"/>
    <x v="0"/>
    <n v="830"/>
    <s v="Skagit River"/>
    <s v="Skagit River"/>
    <s v="Skagit/Whatcom"/>
    <x v="2"/>
    <s v="Island"/>
    <s v="04Island"/>
    <s v="North Puget Sound"/>
    <s v="01North Puget Sound"/>
    <n v="536.48717948718001"/>
    <n v="1845.5158974358999"/>
    <n v="538.99442874930276"/>
    <n v="1907.5230801612042"/>
  </r>
  <r>
    <n v="2496"/>
    <x v="5"/>
    <s v="Freshwater"/>
    <x v="1"/>
    <x v="0"/>
    <n v="830"/>
    <s v="Skagit River"/>
    <s v="Skagit River"/>
    <s v="Skagit/Whatcom"/>
    <x v="2"/>
    <s v="King"/>
    <s v="06King"/>
    <s v="South Puget Sound"/>
    <s v="02South Puget Sound"/>
    <n v="712.38461538461502"/>
    <n v="2450.6030769230802"/>
    <n v="707.06139177205694"/>
    <n v="2502.3188588901471"/>
  </r>
  <r>
    <n v="2500"/>
    <x v="5"/>
    <s v="Freshwater"/>
    <x v="1"/>
    <x v="0"/>
    <n v="830"/>
    <s v="Skagit River"/>
    <s v="Skagit River"/>
    <s v="Skagit/Whatcom"/>
    <x v="2"/>
    <s v="Kitsap"/>
    <s v="10Kitsap"/>
    <s v="South Puget Sound"/>
    <s v="02South Puget Sound"/>
    <n v="87.948717948717999"/>
    <n v="302.54358974359002"/>
    <n v="88.385773268126229"/>
    <n v="312.80082589733831"/>
  </r>
  <r>
    <n v="2499"/>
    <x v="5"/>
    <s v="Freshwater"/>
    <x v="1"/>
    <x v="0"/>
    <n v="830"/>
    <s v="Skagit River"/>
    <s v="Skagit River"/>
    <s v="Skagit/Whatcom"/>
    <x v="2"/>
    <s v="Mason"/>
    <s v="09Mason"/>
    <s v="South Puget Sound"/>
    <s v="02South Puget Sound"/>
    <n v="114.333333333333"/>
    <n v="393.30666666666599"/>
    <n v="114.93582887700499"/>
    <n v="406.76254637563221"/>
  </r>
  <r>
    <n v="2502"/>
    <x v="5"/>
    <s v="Freshwater"/>
    <x v="1"/>
    <x v="0"/>
    <n v="830"/>
    <s v="Skagit River"/>
    <s v="Skagit River"/>
    <s v="Skagit/Whatcom"/>
    <x v="2"/>
    <s v="Other"/>
    <s v="20Other"/>
    <s v="Non Puget Sound"/>
    <s v="07Non Puget Sound"/>
    <n v="3078.2051282051302"/>
    <n v="10589.025641025601"/>
    <n v="3093.476605119869"/>
    <n v="10947.938805040034"/>
  </r>
  <r>
    <n v="2497"/>
    <x v="5"/>
    <s v="Freshwater"/>
    <x v="1"/>
    <x v="0"/>
    <n v="830"/>
    <s v="Skagit River"/>
    <s v="Skagit River"/>
    <s v="Skagit/Whatcom"/>
    <x v="2"/>
    <s v="Pierce"/>
    <s v="07Pierce"/>
    <s v="South Puget Sound"/>
    <s v="02South Puget Sound"/>
    <n v="140.71794871794901"/>
    <n v="484.06974358974497"/>
    <n v="141.459481694776"/>
    <n v="500.63082630847259"/>
  </r>
  <r>
    <n v="2495"/>
    <x v="5"/>
    <s v="Freshwater"/>
    <x v="1"/>
    <x v="0"/>
    <n v="830"/>
    <s v="Skagit River"/>
    <s v="Skagit River"/>
    <s v="Skagit/Whatcom"/>
    <x v="2"/>
    <s v="San Juan"/>
    <s v="05San Juan"/>
    <s v="North Puget Sound"/>
    <s v="01North Puget Sound"/>
    <n v="35.179487179487197"/>
    <n v="121.017435897436"/>
    <n v="35.260869565217398"/>
    <n v="124.78964333319736"/>
  </r>
  <r>
    <n v="2464"/>
    <x v="5"/>
    <s v="Freshwater"/>
    <x v="1"/>
    <x v="0"/>
    <n v="830"/>
    <s v="Skagit River"/>
    <s v="Skagit River"/>
    <s v="Skagit/Whatcom"/>
    <x v="2"/>
    <s v="Skagit"/>
    <s v="02Skagit"/>
    <s v="North Puget Sound"/>
    <s v="01North Puget Sound"/>
    <n v="18750.666666666701"/>
    <n v="64502.293333333502"/>
    <n v="18754.10124046111"/>
    <n v="66371.522701765425"/>
  </r>
  <r>
    <n v="2493"/>
    <x v="5"/>
    <s v="Freshwater"/>
    <x v="1"/>
    <x v="0"/>
    <n v="830"/>
    <s v="Skagit River"/>
    <s v="Skagit River"/>
    <s v="Skagit/Whatcom"/>
    <x v="2"/>
    <s v="Snohomish"/>
    <s v="03Snohomish"/>
    <s v="North Puget Sound"/>
    <s v="01North Puget Sound"/>
    <n v="3992.8717948717999"/>
    <n v="13735.478974359001"/>
    <n v="4012.3016268381634"/>
    <n v="14199.697713985035"/>
  </r>
  <r>
    <n v="2498"/>
    <x v="5"/>
    <s v="Freshwater"/>
    <x v="1"/>
    <x v="0"/>
    <n v="830"/>
    <s v="Skagit River"/>
    <s v="Skagit River"/>
    <s v="Skagit/Whatcom"/>
    <x v="2"/>
    <s v="Thurston"/>
    <s v="08Thurston"/>
    <s v="South Puget Sound"/>
    <s v="02South Puget Sound"/>
    <n v="281.435897435897"/>
    <n v="968.13948717948597"/>
    <n v="282.86615780733462"/>
    <n v="1001.0747715260316"/>
  </r>
  <r>
    <n v="2463"/>
    <x v="5"/>
    <s v="Freshwater"/>
    <x v="1"/>
    <x v="0"/>
    <n v="830"/>
    <s v="Skagit River"/>
    <s v="Skagit River"/>
    <s v="Skagit/Whatcom"/>
    <x v="2"/>
    <s v="Whatcom"/>
    <s v="01Whatcom"/>
    <s v="North Puget Sound"/>
    <s v="01North Puget Sound"/>
    <n v="4467.7948717948702"/>
    <n v="15369.214358974399"/>
    <n v="4428.9505078174616"/>
    <n v="15674.234952960862"/>
  </r>
  <r>
    <n v="2541"/>
    <x v="6"/>
    <s v="Freshwater"/>
    <x v="1"/>
    <x v="0"/>
    <n v="830"/>
    <s v="Skagit River"/>
    <s v="Skagit River"/>
    <s v="Skagit/Whatcom"/>
    <x v="2"/>
    <s v="Island"/>
    <s v="04Island"/>
    <s v="North Puget Sound"/>
    <s v="01North Puget Sound"/>
    <n v="57.518796992481199"/>
    <n v="497.53759398496197"/>
    <n v="57.762838468720851"/>
    <n v="278.39117141742264"/>
  </r>
  <r>
    <n v="2576"/>
    <x v="6"/>
    <s v="Freshwater"/>
    <x v="1"/>
    <x v="0"/>
    <n v="830"/>
    <s v="Skagit River"/>
    <s v="Skagit River"/>
    <s v="Skagit/Whatcom"/>
    <x v="2"/>
    <s v="King"/>
    <s v="06King"/>
    <s v="South Puget Sound"/>
    <s v="02South Puget Sound"/>
    <n v="67.105263157894797"/>
    <n v="580.46052631579005"/>
    <n v="57.7746031746032"/>
    <n v="278.44787206335337"/>
  </r>
  <r>
    <n v="2577"/>
    <x v="6"/>
    <s v="Freshwater"/>
    <x v="1"/>
    <x v="0"/>
    <n v="830"/>
    <s v="Skagit River"/>
    <s v="Skagit River"/>
    <s v="Skagit/Whatcom"/>
    <x v="2"/>
    <s v="Other"/>
    <s v="20Other"/>
    <s v="Non Puget Sound"/>
    <s v="07Non Puget Sound"/>
    <n v="86.278195488721806"/>
    <n v="746.30639097744404"/>
    <n v="86.574603174603197"/>
    <n v="417.25105330181378"/>
  </r>
  <r>
    <n v="2536"/>
    <x v="6"/>
    <s v="Freshwater"/>
    <x v="1"/>
    <x v="0"/>
    <n v="830"/>
    <s v="Skagit River"/>
    <s v="Skagit River"/>
    <s v="Skagit/Whatcom"/>
    <x v="2"/>
    <s v="Skagit"/>
    <s v="02Skagit"/>
    <s v="North Puget Sound"/>
    <s v="01North Puget Sound"/>
    <n v="1687.2180451127799"/>
    <n v="14594.436090225499"/>
    <n v="1693.6887021475231"/>
    <n v="8162.8256904762302"/>
  </r>
  <r>
    <n v="2540"/>
    <x v="6"/>
    <s v="Freshwater"/>
    <x v="1"/>
    <x v="0"/>
    <n v="830"/>
    <s v="Skagit River"/>
    <s v="Skagit River"/>
    <s v="Skagit/Whatcom"/>
    <x v="2"/>
    <s v="Snohomish"/>
    <s v="03Snohomish"/>
    <s v="North Puget Sound"/>
    <s v="01North Puget Sound"/>
    <n v="153.38345864661699"/>
    <n v="1326.7669172932401"/>
    <n v="153.6554621848739"/>
    <n v="740.55093631689067"/>
  </r>
  <r>
    <n v="2535"/>
    <x v="6"/>
    <s v="Freshwater"/>
    <x v="1"/>
    <x v="0"/>
    <n v="830"/>
    <s v="Skagit River"/>
    <s v="Skagit River"/>
    <s v="Skagit/Whatcom"/>
    <x v="2"/>
    <s v="Whatcom"/>
    <s v="01Whatcom"/>
    <s v="North Puget Sound"/>
    <s v="01North Puget Sound"/>
    <n v="498.49624060150398"/>
    <n v="4311.9924812030104"/>
    <n v="500.54379084967297"/>
    <n v="2412.3982819129574"/>
  </r>
  <r>
    <n v="2581"/>
    <x v="7"/>
    <s v="Freshwater"/>
    <x v="1"/>
    <x v="0"/>
    <n v="830"/>
    <s v="Skagit River"/>
    <s v="Skagit River"/>
    <s v="Skagit/Whatcom"/>
    <x v="2"/>
    <s v="King"/>
    <s v="06King"/>
    <s v="South Puget Sound"/>
    <s v="02South Puget Sound"/>
    <n v="70"/>
    <n v="240.8"/>
    <n v="70"/>
    <n v="247.73283078476908"/>
  </r>
  <r>
    <n v="2617"/>
    <x v="7"/>
    <s v="Freshwater"/>
    <x v="1"/>
    <x v="0"/>
    <n v="830"/>
    <s v="Skagit River"/>
    <s v="Skagit River"/>
    <s v="Skagit/Whatcom"/>
    <x v="2"/>
    <s v="Other"/>
    <s v="20Other"/>
    <s v="Non Puget Sound"/>
    <s v="07Non Puget Sound"/>
    <n v="30"/>
    <n v="103.2"/>
    <n v="30"/>
    <n v="106.17121319347245"/>
  </r>
  <r>
    <n v="2579"/>
    <x v="7"/>
    <s v="Freshwater"/>
    <x v="1"/>
    <x v="0"/>
    <n v="830"/>
    <s v="Skagit River"/>
    <s v="Skagit River"/>
    <s v="Skagit/Whatcom"/>
    <x v="2"/>
    <s v="Skagit"/>
    <s v="02Skagit"/>
    <s v="North Puget Sound"/>
    <s v="01North Puget Sound"/>
    <n v="180"/>
    <n v="619.20000000000005"/>
    <n v="180"/>
    <n v="637.02727916083472"/>
  </r>
  <r>
    <n v="2580"/>
    <x v="7"/>
    <s v="Freshwater"/>
    <x v="1"/>
    <x v="0"/>
    <n v="830"/>
    <s v="Skagit River"/>
    <s v="Skagit River"/>
    <s v="Skagit/Whatcom"/>
    <x v="2"/>
    <s v="Snohomish"/>
    <s v="03Snohomish"/>
    <s v="North Puget Sound"/>
    <s v="01North Puget Sound"/>
    <n v="130"/>
    <n v="447.2"/>
    <n v="130"/>
    <n v="460.07525717171399"/>
  </r>
  <r>
    <n v="2578"/>
    <x v="7"/>
    <s v="Freshwater"/>
    <x v="1"/>
    <x v="0"/>
    <n v="830"/>
    <s v="Skagit River"/>
    <s v="Skagit River"/>
    <s v="Skagit/Whatcom"/>
    <x v="2"/>
    <s v="Whatcom"/>
    <s v="01Whatcom"/>
    <s v="North Puget Sound"/>
    <s v="01North Puget Sound"/>
    <n v="170"/>
    <n v="584.79999999999995"/>
    <n v="170"/>
    <n v="601.63687476301061"/>
  </r>
  <r>
    <n v="2621"/>
    <x v="8"/>
    <s v="Freshwater"/>
    <x v="1"/>
    <x v="0"/>
    <n v="830"/>
    <s v="Skagit River"/>
    <s v="Skagit River"/>
    <s v="Skagit/Whatcom"/>
    <x v="2"/>
    <s v="Island"/>
    <s v="04Island"/>
    <s v="North Puget Sound"/>
    <s v="01North Puget Sound"/>
    <n v="47.911184210526301"/>
    <n v="414.431743421053"/>
    <n v="48.175635876840715"/>
    <n v="232.18512214899991"/>
  </r>
  <r>
    <n v="2622"/>
    <x v="8"/>
    <s v="Freshwater"/>
    <x v="1"/>
    <x v="0"/>
    <n v="830"/>
    <s v="Skagit River"/>
    <s v="Skagit River"/>
    <s v="Skagit/Whatcom"/>
    <x v="2"/>
    <s v="King"/>
    <s v="06King"/>
    <s v="South Puget Sound"/>
    <s v="02South Puget Sound"/>
    <n v="105.404605263158"/>
    <n v="911.74983552631704"/>
    <n v="106.55341365461848"/>
    <n v="513.54002732911977"/>
  </r>
  <r>
    <n v="2661"/>
    <x v="8"/>
    <s v="Freshwater"/>
    <x v="1"/>
    <x v="0"/>
    <n v="830"/>
    <s v="Skagit River"/>
    <s v="Skagit River"/>
    <s v="Skagit/Whatcom"/>
    <x v="2"/>
    <s v="Mason"/>
    <s v="09Mason"/>
    <s v="South Puget Sound"/>
    <s v="02South Puget Sound"/>
    <n v="47.911184210526301"/>
    <n v="414.431743421053"/>
    <n v="48.4444444444445"/>
    <n v="233.48065979926236"/>
  </r>
  <r>
    <n v="2662"/>
    <x v="8"/>
    <s v="Freshwater"/>
    <x v="1"/>
    <x v="0"/>
    <n v="830"/>
    <s v="Skagit River"/>
    <s v="Skagit River"/>
    <s v="Skagit/Whatcom"/>
    <x v="2"/>
    <s v="Other"/>
    <s v="20Other"/>
    <s v="Non Puget Sound"/>
    <s v="07Non Puget Sound"/>
    <n v="67.075657894736906"/>
    <n v="580.20444078947401"/>
    <n v="67.600401606425663"/>
    <n v="325.8038470822712"/>
  </r>
  <r>
    <n v="2623"/>
    <x v="8"/>
    <s v="Freshwater"/>
    <x v="1"/>
    <x v="0"/>
    <n v="830"/>
    <s v="Skagit River"/>
    <s v="Skagit River"/>
    <s v="Skagit/Whatcom"/>
    <x v="2"/>
    <s v="Pierce"/>
    <s v="07Pierce"/>
    <s v="South Puget Sound"/>
    <s v="02South Puget Sound"/>
    <n v="28.746710526315798"/>
    <n v="248.65904605263199"/>
    <n v="29.044444444444473"/>
    <n v="139.98129465946599"/>
  </r>
  <r>
    <n v="2619"/>
    <x v="8"/>
    <s v="Freshwater"/>
    <x v="1"/>
    <x v="0"/>
    <n v="830"/>
    <s v="Skagit River"/>
    <s v="Skagit River"/>
    <s v="Skagit/Whatcom"/>
    <x v="2"/>
    <s v="Skagit"/>
    <s v="02Skagit"/>
    <s v="North Puget Sound"/>
    <s v="01North Puget Sound"/>
    <n v="1858.9539473684199"/>
    <n v="16079.951644736801"/>
    <n v="1868.2963855421704"/>
    <n v="9004.3570072767488"/>
  </r>
  <r>
    <n v="2620"/>
    <x v="8"/>
    <s v="Freshwater"/>
    <x v="1"/>
    <x v="0"/>
    <n v="830"/>
    <s v="Skagit River"/>
    <s v="Skagit River"/>
    <s v="Skagit/Whatcom"/>
    <x v="2"/>
    <s v="Snohomish"/>
    <s v="03Snohomish"/>
    <s v="North Puget Sound"/>
    <s v="01North Puget Sound"/>
    <n v="354.54276315789502"/>
    <n v="3066.79490131579"/>
    <n v="338.23453815261036"/>
    <n v="1630.1399270938794"/>
  </r>
  <r>
    <n v="2618"/>
    <x v="8"/>
    <s v="Freshwater"/>
    <x v="1"/>
    <x v="0"/>
    <n v="830"/>
    <s v="Skagit River"/>
    <s v="Skagit River"/>
    <s v="Skagit/Whatcom"/>
    <x v="2"/>
    <s v="Whatcom"/>
    <s v="01Whatcom"/>
    <s v="North Puget Sound"/>
    <s v="01North Puget Sound"/>
    <n v="402.45394736842098"/>
    <n v="3481.2266447368402"/>
    <n v="406.65073627844737"/>
    <n v="1959.875550292038"/>
  </r>
  <r>
    <n v="2712"/>
    <x v="9"/>
    <s v="Freshwater"/>
    <x v="1"/>
    <x v="0"/>
    <n v="830"/>
    <s v="Skagit River"/>
    <s v="Skagit River"/>
    <s v="Skagit/Whatcom"/>
    <x v="2"/>
    <s v="Island"/>
    <s v="04Island"/>
    <s v="North Puget Sound"/>
    <s v="01North Puget Sound"/>
    <n v="156.99056603773599"/>
    <n v="540.04754716981199"/>
    <n v="156.99572322825838"/>
    <n v="555.61421337769389"/>
  </r>
  <r>
    <n v="2739"/>
    <x v="9"/>
    <s v="Freshwater"/>
    <x v="1"/>
    <x v="0"/>
    <n v="830"/>
    <s v="Skagit River"/>
    <s v="Skagit River"/>
    <s v="Skagit/Whatcom"/>
    <x v="2"/>
    <s v="King"/>
    <s v="06King"/>
    <s v="South Puget Sound"/>
    <s v="02South Puget Sound"/>
    <n v="397.70943396226397"/>
    <n v="1368.1204528301901"/>
    <n v="397.9118801699089"/>
    <n v="1408.2262353911622"/>
  </r>
  <r>
    <n v="2742"/>
    <x v="9"/>
    <s v="Freshwater"/>
    <x v="1"/>
    <x v="0"/>
    <n v="830"/>
    <s v="Skagit River"/>
    <s v="Skagit River"/>
    <s v="Skagit/Whatcom"/>
    <x v="2"/>
    <s v="Other"/>
    <s v="20Other"/>
    <s v="Non Puget Sound"/>
    <s v="07Non Puget Sound"/>
    <n v="52.330188679245303"/>
    <n v="180.015849056604"/>
    <n v="52.333389224234402"/>
    <n v="185.20998081543883"/>
  </r>
  <r>
    <n v="2740"/>
    <x v="9"/>
    <s v="Freshwater"/>
    <x v="1"/>
    <x v="0"/>
    <n v="830"/>
    <s v="Skagit River"/>
    <s v="Skagit River"/>
    <s v="Skagit/Whatcom"/>
    <x v="2"/>
    <s v="Pierce"/>
    <s v="07Pierce"/>
    <s v="South Puget Sound"/>
    <s v="02South Puget Sound"/>
    <n v="31.398113207547201"/>
    <n v="108.00950943396199"/>
    <n v="31.577464788732399"/>
    <n v="111.75392487312925"/>
  </r>
  <r>
    <n v="2664"/>
    <x v="9"/>
    <s v="Freshwater"/>
    <x v="1"/>
    <x v="0"/>
    <n v="830"/>
    <s v="Skagit River"/>
    <s v="Skagit River"/>
    <s v="Skagit/Whatcom"/>
    <x v="2"/>
    <s v="Skagit"/>
    <s v="02Skagit"/>
    <s v="North Puget Sound"/>
    <s v="01North Puget Sound"/>
    <n v="3767.7735849056598"/>
    <n v="12961.1411320755"/>
    <n v="3766.4507757657129"/>
    <n v="13329.621609884709"/>
  </r>
  <r>
    <n v="2667"/>
    <x v="9"/>
    <s v="Freshwater"/>
    <x v="1"/>
    <x v="0"/>
    <n v="830"/>
    <s v="Skagit River"/>
    <s v="Skagit River"/>
    <s v="Skagit/Whatcom"/>
    <x v="2"/>
    <s v="Snohomish"/>
    <s v="03Snohomish"/>
    <s v="North Puget Sound"/>
    <s v="01North Puget Sound"/>
    <n v="575.63207547169804"/>
    <n v="1980.17433962264"/>
    <n v="575.57352336239637"/>
    <n v="2036.9779752475695"/>
  </r>
  <r>
    <n v="2741"/>
    <x v="9"/>
    <s v="Freshwater"/>
    <x v="1"/>
    <x v="0"/>
    <n v="830"/>
    <s v="Skagit River"/>
    <s v="Skagit River"/>
    <s v="Skagit/Whatcom"/>
    <x v="2"/>
    <s v="Thurston"/>
    <s v="08Thurston"/>
    <s v="South Puget Sound"/>
    <s v="02South Puget Sound"/>
    <n v="31.398113207547201"/>
    <n v="108.00950943396199"/>
    <n v="31.577464788732399"/>
    <n v="111.75392487312925"/>
  </r>
  <r>
    <n v="2663"/>
    <x v="9"/>
    <s v="Freshwater"/>
    <x v="1"/>
    <x v="0"/>
    <n v="830"/>
    <s v="Skagit River"/>
    <s v="Skagit River"/>
    <s v="Skagit/Whatcom"/>
    <x v="2"/>
    <s v="Whatcom"/>
    <s v="01Whatcom"/>
    <s v="North Puget Sound"/>
    <s v="01North Puget Sound"/>
    <n v="533.76792452830205"/>
    <n v="1836.16166037736"/>
    <n v="534.57977867203272"/>
    <n v="1891.8994550102568"/>
  </r>
  <r>
    <n v="2820"/>
    <x v="10"/>
    <s v="Freshwater"/>
    <x v="1"/>
    <x v="0"/>
    <n v="830"/>
    <s v="Skagit River"/>
    <s v="Skagit River"/>
    <s v="Skagit/Whatcom"/>
    <x v="2"/>
    <s v="Clallam"/>
    <s v="11Clallam"/>
    <s v="Strait of Juan de Fuca"/>
    <s v="03Strait of Juan de Fuca"/>
    <n v="12.073319755600799"/>
    <n v="104.434215885947"/>
    <n v="12.0746268656716"/>
    <n v="58.19432712578466"/>
  </r>
  <r>
    <n v="2746"/>
    <x v="10"/>
    <s v="Freshwater"/>
    <x v="1"/>
    <x v="0"/>
    <n v="830"/>
    <s v="Skagit River"/>
    <s v="Skagit River"/>
    <s v="Skagit/Whatcom"/>
    <x v="2"/>
    <s v="Island"/>
    <s v="04Island"/>
    <s v="North Puget Sound"/>
    <s v="01North Puget Sound"/>
    <n v="12.073319755600799"/>
    <n v="104.434215885947"/>
    <n v="12.0746268656716"/>
    <n v="58.19432712578466"/>
  </r>
  <r>
    <n v="2821"/>
    <x v="10"/>
    <s v="Freshwater"/>
    <x v="1"/>
    <x v="0"/>
    <n v="830"/>
    <s v="Skagit River"/>
    <s v="Skagit River"/>
    <s v="Skagit/Whatcom"/>
    <x v="2"/>
    <s v="Jefferson"/>
    <s v="12Jefferson"/>
    <s v="Strait of Juan de Fuca"/>
    <s v="03Strait of Juan de Fuca"/>
    <n v="24.146639511201599"/>
    <n v="208.868431771894"/>
    <n v="24.1492537313433"/>
    <n v="116.3886542515698"/>
  </r>
  <r>
    <n v="2775"/>
    <x v="10"/>
    <s v="Freshwater"/>
    <x v="1"/>
    <x v="0"/>
    <n v="830"/>
    <s v="Skagit River"/>
    <s v="Skagit River"/>
    <s v="Skagit/Whatcom"/>
    <x v="2"/>
    <s v="King"/>
    <s v="06King"/>
    <s v="South Puget Sound"/>
    <s v="02South Puget Sound"/>
    <n v="664.03258655804495"/>
    <n v="5743.8818737270904"/>
    <n v="664.62679844023103"/>
    <n v="3203.2053458276764"/>
  </r>
  <r>
    <n v="2819"/>
    <x v="10"/>
    <s v="Freshwater"/>
    <x v="1"/>
    <x v="0"/>
    <n v="830"/>
    <s v="Skagit River"/>
    <s v="Skagit River"/>
    <s v="Skagit/Whatcom"/>
    <x v="2"/>
    <s v="Kitsap"/>
    <s v="10Kitsap"/>
    <s v="South Puget Sound"/>
    <s v="02South Puget Sound"/>
    <n v="72.439918533604896"/>
    <n v="626.60529531568204"/>
    <n v="72.514723678902797"/>
    <n v="349.48869212707018"/>
  </r>
  <r>
    <n v="2850"/>
    <x v="10"/>
    <s v="Freshwater"/>
    <x v="1"/>
    <x v="0"/>
    <n v="830"/>
    <s v="Skagit River"/>
    <s v="Skagit River"/>
    <s v="Skagit/Whatcom"/>
    <x v="2"/>
    <s v="Other"/>
    <s v="20Other"/>
    <s v="Non Puget Sound"/>
    <s v="07Non Puget Sound"/>
    <n v="193.17311608961299"/>
    <n v="1670.9474541751499"/>
    <n v="193.56232351754718"/>
    <n v="932.8842455605419"/>
  </r>
  <r>
    <n v="2818"/>
    <x v="10"/>
    <s v="Freshwater"/>
    <x v="1"/>
    <x v="0"/>
    <n v="830"/>
    <s v="Skagit River"/>
    <s v="Skagit River"/>
    <s v="Skagit/Whatcom"/>
    <x v="2"/>
    <s v="Pierce"/>
    <s v="07Pierce"/>
    <s v="South Puget Sound"/>
    <s v="02South Puget Sound"/>
    <n v="60.366598778004096"/>
    <n v="522.17107942973496"/>
    <n v="60.440096813231094"/>
    <n v="291.29436500128503"/>
  </r>
  <r>
    <n v="2744"/>
    <x v="10"/>
    <s v="Freshwater"/>
    <x v="1"/>
    <x v="0"/>
    <n v="830"/>
    <s v="Skagit River"/>
    <s v="Skagit River"/>
    <s v="Skagit/Whatcom"/>
    <x v="2"/>
    <s v="Skagit"/>
    <s v="02Skagit"/>
    <s v="North Puget Sound"/>
    <s v="01North Puget Sound"/>
    <n v="3803.0957230142599"/>
    <n v="32896.778004073298"/>
    <n v="3807.9769396261931"/>
    <n v="18352.753934125427"/>
  </r>
  <r>
    <n v="2745"/>
    <x v="10"/>
    <s v="Freshwater"/>
    <x v="1"/>
    <x v="0"/>
    <n v="830"/>
    <s v="Skagit River"/>
    <s v="Skagit River"/>
    <s v="Skagit/Whatcom"/>
    <x v="2"/>
    <s v="Snohomish"/>
    <s v="03Snohomish"/>
    <s v="North Puget Sound"/>
    <s v="01North Puget Sound"/>
    <n v="495.006109979634"/>
    <n v="4281.8028513238296"/>
    <n v="483.42033077853898"/>
    <n v="2329.8708259517371"/>
  </r>
  <r>
    <n v="2743"/>
    <x v="10"/>
    <s v="Freshwater"/>
    <x v="1"/>
    <x v="0"/>
    <n v="830"/>
    <s v="Skagit River"/>
    <s v="Skagit River"/>
    <s v="Skagit/Whatcom"/>
    <x v="2"/>
    <s v="Whatcom"/>
    <s v="01Whatcom"/>
    <s v="North Puget Sound"/>
    <s v="01North Puget Sound"/>
    <n v="591.59266802443994"/>
    <n v="5117.2765784114099"/>
    <n v="592.16027968266826"/>
    <n v="2853.9489799656531"/>
  </r>
  <r>
    <n v="2854"/>
    <x v="11"/>
    <s v="Freshwater"/>
    <x v="1"/>
    <x v="0"/>
    <n v="830"/>
    <s v="Skagit River"/>
    <s v="Skagit River"/>
    <s v="Skagit/Whatcom"/>
    <x v="2"/>
    <s v="Island"/>
    <s v="04Island"/>
    <s v="North Puget Sound"/>
    <s v="01North Puget Sound"/>
    <n v="1891.4548845884799"/>
    <n v="6506.6048029843696"/>
    <n v="1907.8686299672481"/>
    <n v="6752.0242352463638"/>
  </r>
  <r>
    <n v="2856"/>
    <x v="11"/>
    <s v="Freshwater"/>
    <x v="1"/>
    <x v="0"/>
    <n v="830"/>
    <s v="Skagit River"/>
    <s v="Skagit River"/>
    <s v="Skagit/Whatcom"/>
    <x v="2"/>
    <s v="King"/>
    <s v="06King"/>
    <s v="South Puget Sound"/>
    <s v="02South Puget Sound"/>
    <n v="2786.7435299603599"/>
    <n v="9586.3977430636405"/>
    <n v="3042.7785227318795"/>
    <n v="10768.516241249519"/>
  </r>
  <r>
    <n v="2902"/>
    <x v="11"/>
    <s v="Freshwater"/>
    <x v="1"/>
    <x v="0"/>
    <n v="830"/>
    <s v="Skagit River"/>
    <s v="Skagit River"/>
    <s v="Skagit/Whatcom"/>
    <x v="2"/>
    <s v="Kitsap"/>
    <s v="10Kitsap"/>
    <s v="South Puget Sound"/>
    <s v="02South Puget Sound"/>
    <n v="176.53578922825801"/>
    <n v="607.28311494520801"/>
    <n v="158.53811688206662"/>
    <n v="561.07280689258505"/>
  </r>
  <r>
    <n v="2937"/>
    <x v="11"/>
    <s v="Freshwater"/>
    <x v="1"/>
    <x v="0"/>
    <n v="830"/>
    <s v="Skagit River"/>
    <s v="Skagit River"/>
    <s v="Skagit/Whatcom"/>
    <x v="2"/>
    <s v="Other"/>
    <s v="20Other"/>
    <s v="Non Puget Sound"/>
    <s v="07Non Puget Sound"/>
    <n v="3909.0067614828599"/>
    <n v="13446.983259500999"/>
    <n v="3932.4628243333391"/>
    <n v="13917.14496325666"/>
  </r>
  <r>
    <n v="2857"/>
    <x v="11"/>
    <s v="Freshwater"/>
    <x v="1"/>
    <x v="0"/>
    <n v="830"/>
    <s v="Skagit River"/>
    <s v="Skagit River"/>
    <s v="Skagit/Whatcom"/>
    <x v="2"/>
    <s v="Pierce"/>
    <s v="07Pierce"/>
    <s v="South Puget Sound"/>
    <s v="02South Puget Sound"/>
    <n v="327.852179995337"/>
    <n v="1127.81149918396"/>
    <n v="337.3469819503469"/>
    <n v="1193.8846113608263"/>
  </r>
  <r>
    <n v="2855"/>
    <x v="11"/>
    <s v="Freshwater"/>
    <x v="1"/>
    <x v="0"/>
    <n v="830"/>
    <s v="Skagit River"/>
    <s v="Skagit River"/>
    <s v="Skagit/Whatcom"/>
    <x v="2"/>
    <s v="San Juan"/>
    <s v="05San Juan"/>
    <s v="North Puget Sound"/>
    <s v="01North Puget Sound"/>
    <n v="25.2193984611798"/>
    <n v="86.754730706458503"/>
    <n v="29.9905213270142"/>
    <n v="106.13766778646024"/>
  </r>
  <r>
    <n v="2852"/>
    <x v="11"/>
    <s v="Freshwater"/>
    <x v="1"/>
    <x v="0"/>
    <n v="830"/>
    <s v="Skagit River"/>
    <s v="Skagit River"/>
    <s v="Skagit/Whatcom"/>
    <x v="2"/>
    <s v="Skagit"/>
    <s v="02Skagit"/>
    <s v="North Puget Sound"/>
    <s v="01North Puget Sound"/>
    <n v="26934.317556540002"/>
    <n v="92654.052394497601"/>
    <n v="26548.863231321699"/>
    <n v="93957.500605899942"/>
  </r>
  <r>
    <n v="2853"/>
    <x v="11"/>
    <s v="Freshwater"/>
    <x v="1"/>
    <x v="0"/>
    <n v="830"/>
    <s v="Skagit River"/>
    <s v="Skagit River"/>
    <s v="Skagit/Whatcom"/>
    <x v="2"/>
    <s v="Snohomish"/>
    <s v="03Snohomish"/>
    <s v="North Puget Sound"/>
    <s v="01North Puget Sound"/>
    <n v="8171.0851014222399"/>
    <n v="28108.5327488925"/>
    <n v="8143.3553199262096"/>
    <n v="28819.663792736126"/>
  </r>
  <r>
    <n v="2858"/>
    <x v="11"/>
    <s v="Freshwater"/>
    <x v="1"/>
    <x v="0"/>
    <n v="830"/>
    <s v="Skagit River"/>
    <s v="Skagit River"/>
    <s v="Skagit/Whatcom"/>
    <x v="2"/>
    <s v="Thurston"/>
    <s v="08Thurston"/>
    <s v="South Puget Sound"/>
    <s v="02South Puget Sound"/>
    <n v="277.41338307297701"/>
    <n v="954.302037771041"/>
    <n v="291.34908529188192"/>
    <n v="1031.0961949415862"/>
  </r>
  <r>
    <n v="2851"/>
    <x v="11"/>
    <s v="Freshwater"/>
    <x v="1"/>
    <x v="0"/>
    <n v="830"/>
    <s v="Skagit River"/>
    <s v="Skagit River"/>
    <s v="Skagit/Whatcom"/>
    <x v="2"/>
    <s v="Whatcom"/>
    <s v="01Whatcom"/>
    <s v="North Puget Sound"/>
    <s v="01North Puget Sound"/>
    <n v="9583.3714152483099"/>
    <n v="32966.797668454201"/>
    <n v="9668.4467662683492"/>
    <n v="34217.024095707209"/>
  </r>
  <r>
    <n v="1119"/>
    <x v="0"/>
    <s v="Freshwater"/>
    <x v="1"/>
    <x v="0"/>
    <n v="834"/>
    <s v="Skokomish River"/>
    <s v="Skokomish River"/>
    <s v="Mason"/>
    <x v="4"/>
    <s v="Clallam"/>
    <s v="11Clallam"/>
    <s v="Strait of Juan de Fuca"/>
    <s v="03Strait of Juan de Fuca"/>
    <n v="41.576549663928297"/>
    <n v="359.63715459297998"/>
    <n v="41.871552313654"/>
    <n v="201.80224529610391"/>
  </r>
  <r>
    <n v="1063"/>
    <x v="0"/>
    <s v="Freshwater"/>
    <x v="1"/>
    <x v="0"/>
    <n v="834"/>
    <s v="Skokomish River"/>
    <s v="Skokomish River"/>
    <s v="Mason"/>
    <x v="4"/>
    <s v="Island"/>
    <s v="04Island"/>
    <s v="North Puget Sound"/>
    <s v="01North Puget Sound"/>
    <n v="59.395070948468998"/>
    <n v="513.76736370425704"/>
    <n v="59.889446090722601"/>
    <n v="288.6404736111657"/>
  </r>
  <r>
    <n v="1064"/>
    <x v="0"/>
    <s v="Freshwater"/>
    <x v="1"/>
    <x v="0"/>
    <n v="834"/>
    <s v="Skokomish River"/>
    <s v="Skokomish River"/>
    <s v="Mason"/>
    <x v="4"/>
    <s v="King"/>
    <s v="06King"/>
    <s v="South Puget Sound"/>
    <s v="02South Puget Sound"/>
    <n v="1550.2113517550399"/>
    <n v="13409.3281926811"/>
    <n v="1551.2469516083659"/>
    <n v="7476.3198531147646"/>
  </r>
  <r>
    <n v="1118"/>
    <x v="0"/>
    <s v="Freshwater"/>
    <x v="1"/>
    <x v="0"/>
    <n v="834"/>
    <s v="Skokomish River"/>
    <s v="Skokomish River"/>
    <s v="Mason"/>
    <x v="4"/>
    <s v="Kitsap"/>
    <s v="10Kitsap"/>
    <s v="South Puget Sound"/>
    <s v="02South Puget Sound"/>
    <n v="576.13218820014902"/>
    <n v="4983.5434279312904"/>
    <n v="568.74705646022596"/>
    <n v="2741.1076651628337"/>
  </r>
  <r>
    <n v="1117"/>
    <x v="0"/>
    <s v="Freshwater"/>
    <x v="1"/>
    <x v="0"/>
    <n v="834"/>
    <s v="Skokomish River"/>
    <s v="Skokomish River"/>
    <s v="Mason"/>
    <x v="4"/>
    <s v="Mason"/>
    <s v="09Mason"/>
    <s v="South Puget Sound"/>
    <s v="02South Puget Sound"/>
    <n v="617.70873786407799"/>
    <n v="5343.18058252427"/>
    <n v="598.95103738778641"/>
    <n v="2886.6774095659998"/>
  </r>
  <r>
    <n v="1120"/>
    <x v="0"/>
    <s v="Freshwater"/>
    <x v="1"/>
    <x v="0"/>
    <n v="834"/>
    <s v="Skokomish River"/>
    <s v="Skokomish River"/>
    <s v="Mason"/>
    <x v="4"/>
    <s v="Other"/>
    <s v="20Other"/>
    <s v="Non Puget Sound"/>
    <s v="07Non Puget Sound"/>
    <n v="481.10007468259897"/>
    <n v="4161.51564600448"/>
    <n v="485.15598205141777"/>
    <n v="2338.2358925557701"/>
  </r>
  <r>
    <n v="1065"/>
    <x v="0"/>
    <s v="Freshwater"/>
    <x v="1"/>
    <x v="0"/>
    <n v="834"/>
    <s v="Skokomish River"/>
    <s v="Skokomish River"/>
    <s v="Mason"/>
    <x v="4"/>
    <s v="Pierce"/>
    <s v="07Pierce"/>
    <s v="South Puget Sound"/>
    <s v="02South Puget Sound"/>
    <n v="2797.5078416728902"/>
    <n v="24198.4428304705"/>
    <n v="2797.1720450060084"/>
    <n v="13481.12424715708"/>
  </r>
  <r>
    <n v="1061"/>
    <x v="0"/>
    <s v="Freshwater"/>
    <x v="1"/>
    <x v="0"/>
    <n v="834"/>
    <s v="Skokomish River"/>
    <s v="Skokomish River"/>
    <s v="Mason"/>
    <x v="4"/>
    <s v="Skagit"/>
    <s v="02Skagit"/>
    <s v="North Puget Sound"/>
    <s v="01North Puget Sound"/>
    <n v="59.395070948468998"/>
    <n v="513.76736370425704"/>
    <n v="59.763563962170302"/>
    <n v="288.03377778116129"/>
  </r>
  <r>
    <n v="1062"/>
    <x v="0"/>
    <s v="Freshwater"/>
    <x v="1"/>
    <x v="0"/>
    <n v="834"/>
    <s v="Skokomish River"/>
    <s v="Skokomish River"/>
    <s v="Mason"/>
    <x v="4"/>
    <s v="Snohomish"/>
    <s v="03Snohomish"/>
    <s v="North Puget Sound"/>
    <s v="01North Puget Sound"/>
    <n v="142.548170276326"/>
    <n v="1233.0416728902201"/>
    <n v="143.7713081019412"/>
    <n v="692.91371303348183"/>
  </r>
  <r>
    <n v="1116"/>
    <x v="0"/>
    <s v="Freshwater"/>
    <x v="1"/>
    <x v="0"/>
    <n v="834"/>
    <s v="Skokomish River"/>
    <s v="Skokomish River"/>
    <s v="Mason"/>
    <x v="4"/>
    <s v="Thurston"/>
    <s v="08Thurston"/>
    <s v="South Puget Sound"/>
    <s v="02South Puget Sound"/>
    <n v="1597.7274085138199"/>
    <n v="13820.3420836445"/>
    <n v="1610.4701567697543"/>
    <n v="7761.7493419876373"/>
  </r>
  <r>
    <n v="1060"/>
    <x v="0"/>
    <s v="Freshwater"/>
    <x v="1"/>
    <x v="0"/>
    <n v="834"/>
    <s v="Skokomish River"/>
    <s v="Skokomish River"/>
    <s v="Mason"/>
    <x v="4"/>
    <s v="Whatcom"/>
    <s v="01Whatcom"/>
    <s v="North Puget Sound"/>
    <s v="01North Puget Sound"/>
    <n v="29.697535474234499"/>
    <n v="256.88368185212801"/>
    <n v="29.960900247949688"/>
    <n v="144.39820372165255"/>
  </r>
  <r>
    <n v="1129"/>
    <x v="1"/>
    <s v="Freshwater"/>
    <x v="1"/>
    <x v="0"/>
    <n v="834"/>
    <s v="Skokomish River"/>
    <s v="Skokomish River"/>
    <s v="Mason"/>
    <x v="4"/>
    <s v="Clallam"/>
    <s v="11Clallam"/>
    <s v="Strait of Juan de Fuca"/>
    <s v="03Strait of Juan de Fuca"/>
    <n v="49.934272300469502"/>
    <n v="171.77389671361499"/>
    <n v="52.215406562054199"/>
    <n v="184.79243540278992"/>
  </r>
  <r>
    <n v="1123"/>
    <x v="1"/>
    <s v="Freshwater"/>
    <x v="1"/>
    <x v="0"/>
    <n v="834"/>
    <s v="Skokomish River"/>
    <s v="Skokomish River"/>
    <s v="Mason"/>
    <x v="4"/>
    <s v="Island"/>
    <s v="04Island"/>
    <s v="North Puget Sound"/>
    <s v="01North Puget Sound"/>
    <n v="42.800804828973902"/>
    <n v="147.23476861167001"/>
    <n v="44.756062767475001"/>
    <n v="158.39351605953411"/>
  </r>
  <r>
    <n v="1130"/>
    <x v="1"/>
    <s v="Freshwater"/>
    <x v="1"/>
    <x v="0"/>
    <n v="834"/>
    <s v="Skokomish River"/>
    <s v="Skokomish River"/>
    <s v="Mason"/>
    <x v="4"/>
    <s v="Jefferson"/>
    <s v="12Jefferson"/>
    <s v="Strait of Juan de Fuca"/>
    <s v="03Strait of Juan de Fuca"/>
    <n v="7.1334674714956403"/>
    <n v="24.539128101945"/>
    <n v="7.4593437945791701"/>
    <n v="26.398919343255695"/>
  </r>
  <r>
    <n v="1124"/>
    <x v="1"/>
    <s v="Freshwater"/>
    <x v="1"/>
    <x v="0"/>
    <n v="834"/>
    <s v="Skokomish River"/>
    <s v="Skokomish River"/>
    <s v="Mason"/>
    <x v="4"/>
    <s v="King"/>
    <s v="06King"/>
    <s v="South Puget Sound"/>
    <s v="02South Puget Sound"/>
    <n v="1897.5023474178399"/>
    <n v="6527.4080751173697"/>
    <n v="1839.8995528950231"/>
    <n v="6511.4789228330719"/>
  </r>
  <r>
    <n v="1128"/>
    <x v="1"/>
    <s v="Freshwater"/>
    <x v="1"/>
    <x v="0"/>
    <n v="834"/>
    <s v="Skokomish River"/>
    <s v="Skokomish River"/>
    <s v="Mason"/>
    <x v="4"/>
    <s v="Kitsap"/>
    <s v="10Kitsap"/>
    <s v="South Puget Sound"/>
    <s v="02South Puget Sound"/>
    <n v="1697.7652582159601"/>
    <n v="5840.3124882628999"/>
    <n v="1690.451271892829"/>
    <n v="5982.575412710341"/>
  </r>
  <r>
    <n v="1127"/>
    <x v="1"/>
    <s v="Freshwater"/>
    <x v="1"/>
    <x v="0"/>
    <n v="834"/>
    <s v="Skokomish River"/>
    <s v="Skokomish River"/>
    <s v="Mason"/>
    <x v="4"/>
    <s v="Mason"/>
    <s v="09Mason"/>
    <s v="South Puget Sound"/>
    <s v="02South Puget Sound"/>
    <n v="1783.36686787391"/>
    <n v="6134.7820254862499"/>
    <n v="1841.4179421441622"/>
    <n v="6516.8525637891062"/>
  </r>
  <r>
    <n v="1131"/>
    <x v="1"/>
    <s v="Freshwater"/>
    <x v="1"/>
    <x v="0"/>
    <n v="834"/>
    <s v="Skokomish River"/>
    <s v="Skokomish River"/>
    <s v="Mason"/>
    <x v="4"/>
    <s v="Other"/>
    <s v="20Other"/>
    <s v="Non Puget Sound"/>
    <s v="07Non Puget Sound"/>
    <n v="920.21730382293799"/>
    <n v="3165.5475251509101"/>
    <n v="922.15027716377608"/>
    <n v="3263.5271224391663"/>
  </r>
  <r>
    <n v="1125"/>
    <x v="1"/>
    <s v="Freshwater"/>
    <x v="1"/>
    <x v="0"/>
    <n v="834"/>
    <s v="Skokomish River"/>
    <s v="Skokomish River"/>
    <s v="Mason"/>
    <x v="4"/>
    <s v="Pierce"/>
    <s v="07Pierce"/>
    <s v="South Puget Sound"/>
    <s v="02South Puget Sound"/>
    <n v="1712.0321931589499"/>
    <n v="5889.3907444667902"/>
    <n v="1682.7225340516159"/>
    <n v="5955.2230969418106"/>
  </r>
  <r>
    <n v="1122"/>
    <x v="1"/>
    <s v="Freshwater"/>
    <x v="1"/>
    <x v="0"/>
    <n v="834"/>
    <s v="Skokomish River"/>
    <s v="Skokomish River"/>
    <s v="Mason"/>
    <x v="4"/>
    <s v="Snohomish"/>
    <s v="03Snohomish"/>
    <s v="North Puget Sound"/>
    <s v="01North Puget Sound"/>
    <n v="271.07176391683402"/>
    <n v="932.48686787390898"/>
    <n v="279.2897930097966"/>
    <n v="988.41787188013029"/>
  </r>
  <r>
    <n v="1126"/>
    <x v="1"/>
    <s v="Freshwater"/>
    <x v="1"/>
    <x v="0"/>
    <n v="834"/>
    <s v="Skokomish River"/>
    <s v="Skokomish River"/>
    <s v="Mason"/>
    <x v="4"/>
    <s v="Thurston"/>
    <s v="08Thurston"/>
    <s v="South Puget Sound"/>
    <s v="02South Puget Sound"/>
    <n v="2225.6418511066399"/>
    <n v="7656.2079678068403"/>
    <n v="2251.9762772571589"/>
    <n v="7969.8351146437426"/>
  </r>
  <r>
    <n v="1121"/>
    <x v="1"/>
    <s v="Freshwater"/>
    <x v="1"/>
    <x v="0"/>
    <n v="834"/>
    <s v="Skokomish River"/>
    <s v="Skokomish River"/>
    <s v="Mason"/>
    <x v="4"/>
    <s v="Whatcom"/>
    <s v="01Whatcom"/>
    <s v="North Puget Sound"/>
    <s v="01North Puget Sound"/>
    <n v="28.5338698859826"/>
    <n v="98.156512407780099"/>
    <n v="29.661538461538498"/>
    <n v="104.97338412154623"/>
  </r>
  <r>
    <n v="1133"/>
    <x v="2"/>
    <s v="Freshwater"/>
    <x v="1"/>
    <x v="0"/>
    <n v="834"/>
    <s v="Skokomish River"/>
    <s v="Skokomish River"/>
    <s v="Mason"/>
    <x v="4"/>
    <s v="Island"/>
    <s v="04Island"/>
    <s v="North Puget Sound"/>
    <s v="01North Puget Sound"/>
    <n v="64.727626459144005"/>
    <n v="559.89396887159603"/>
    <n v="65.1851876944271"/>
    <n v="314.1635910282161"/>
  </r>
  <r>
    <n v="1148"/>
    <x v="2"/>
    <s v="Freshwater"/>
    <x v="1"/>
    <x v="0"/>
    <n v="834"/>
    <s v="Skokomish River"/>
    <s v="Skokomish River"/>
    <s v="Mason"/>
    <x v="4"/>
    <s v="Jefferson"/>
    <s v="12Jefferson"/>
    <s v="Strait of Juan de Fuca"/>
    <s v="03Strait of Juan de Fuca"/>
    <n v="7.1919584954604403"/>
    <n v="62.210440985732802"/>
    <n v="7.2455242966751898"/>
    <n v="34.920202156912318"/>
  </r>
  <r>
    <n v="1143"/>
    <x v="2"/>
    <s v="Freshwater"/>
    <x v="1"/>
    <x v="0"/>
    <n v="834"/>
    <s v="Skokomish River"/>
    <s v="Skokomish River"/>
    <s v="Mason"/>
    <x v="4"/>
    <s v="King"/>
    <s v="06King"/>
    <s v="South Puget Sound"/>
    <s v="02South Puget Sound"/>
    <n v="2502.8015564202301"/>
    <n v="21649.233463035001"/>
    <n v="2512.9291253763004"/>
    <n v="12111.199889896265"/>
  </r>
  <r>
    <n v="1147"/>
    <x v="2"/>
    <s v="Freshwater"/>
    <x v="1"/>
    <x v="0"/>
    <n v="834"/>
    <s v="Skokomish River"/>
    <s v="Skokomish River"/>
    <s v="Mason"/>
    <x v="4"/>
    <s v="Kitsap"/>
    <s v="10Kitsap"/>
    <s v="South Puget Sound"/>
    <s v="02South Puget Sound"/>
    <n v="733.57976653696505"/>
    <n v="6345.4649805447498"/>
    <n v="724.2834556380991"/>
    <n v="3490.7238805886618"/>
  </r>
  <r>
    <n v="1146"/>
    <x v="2"/>
    <s v="Freshwater"/>
    <x v="1"/>
    <x v="0"/>
    <n v="834"/>
    <s v="Skokomish River"/>
    <s v="Skokomish River"/>
    <s v="Mason"/>
    <x v="4"/>
    <s v="Mason"/>
    <s v="09Mason"/>
    <s v="South Puget Sound"/>
    <s v="02South Puget Sound"/>
    <n v="1762.02983138781"/>
    <n v="15241.558041504601"/>
    <n v="1730.902873643241"/>
    <n v="8342.1814332109279"/>
  </r>
  <r>
    <n v="1149"/>
    <x v="2"/>
    <s v="Freshwater"/>
    <x v="1"/>
    <x v="0"/>
    <n v="834"/>
    <s v="Skokomish River"/>
    <s v="Skokomish River"/>
    <s v="Mason"/>
    <x v="4"/>
    <s v="Other"/>
    <s v="20Other"/>
    <s v="Non Puget Sound"/>
    <s v="07Non Puget Sound"/>
    <n v="1035.6420233463"/>
    <n v="8958.3035019454892"/>
    <n v="1035.6246196879406"/>
    <n v="4991.2497146373908"/>
  </r>
  <r>
    <n v="1144"/>
    <x v="2"/>
    <s v="Freshwater"/>
    <x v="1"/>
    <x v="0"/>
    <n v="834"/>
    <s v="Skokomish River"/>
    <s v="Skokomish River"/>
    <s v="Mason"/>
    <x v="4"/>
    <s v="Pierce"/>
    <s v="07Pierce"/>
    <s v="South Puget Sound"/>
    <s v="02South Puget Sound"/>
    <n v="2999.0466926069998"/>
    <n v="25941.753891050601"/>
    <n v="3014.4659048107364"/>
    <n v="14528.383934812646"/>
  </r>
  <r>
    <n v="1132"/>
    <x v="2"/>
    <s v="Freshwater"/>
    <x v="1"/>
    <x v="0"/>
    <n v="834"/>
    <s v="Skokomish River"/>
    <s v="Skokomish River"/>
    <s v="Mason"/>
    <x v="4"/>
    <s v="Snohomish"/>
    <s v="03Snohomish"/>
    <s v="North Puget Sound"/>
    <s v="01North Puget Sound"/>
    <n v="273.29442282749699"/>
    <n v="2363.99675745785"/>
    <n v="275.47437977101669"/>
    <n v="1327.6638979829479"/>
  </r>
  <r>
    <n v="1145"/>
    <x v="2"/>
    <s v="Freshwater"/>
    <x v="1"/>
    <x v="0"/>
    <n v="834"/>
    <s v="Skokomish River"/>
    <s v="Skokomish River"/>
    <s v="Mason"/>
    <x v="4"/>
    <s v="Thurston"/>
    <s v="08Thurston"/>
    <s v="South Puget Sound"/>
    <s v="02South Puget Sound"/>
    <n v="1711.6861219195901"/>
    <n v="14806.084954604499"/>
    <n v="1723.8889290815669"/>
    <n v="8308.3773423015318"/>
  </r>
  <r>
    <n v="1221"/>
    <x v="3"/>
    <s v="Freshwater"/>
    <x v="1"/>
    <x v="0"/>
    <n v="834"/>
    <s v="Skokomish River"/>
    <s v="Skokomish River"/>
    <s v="Mason"/>
    <x v="4"/>
    <s v="Jefferson"/>
    <s v="12Jefferson"/>
    <s v="Strait of Juan de Fuca"/>
    <s v="03Strait of Juan de Fuca"/>
    <n v="54.193150684931503"/>
    <n v="186.42443835616399"/>
    <n v="54.908011869436201"/>
    <n v="194.32167447398757"/>
  </r>
  <r>
    <n v="1216"/>
    <x v="3"/>
    <s v="Freshwater"/>
    <x v="1"/>
    <x v="0"/>
    <n v="834"/>
    <s v="Skokomish River"/>
    <s v="Skokomish River"/>
    <s v="Mason"/>
    <x v="4"/>
    <s v="King"/>
    <s v="06King"/>
    <s v="South Puget Sound"/>
    <s v="02South Puget Sound"/>
    <n v="3359.9753424657501"/>
    <n v="11558.315178082201"/>
    <n v="3297.0459325138027"/>
    <n v="11668.378886986471"/>
  </r>
  <r>
    <n v="1220"/>
    <x v="3"/>
    <s v="Freshwater"/>
    <x v="1"/>
    <x v="0"/>
    <n v="834"/>
    <s v="Skokomish River"/>
    <s v="Skokomish River"/>
    <s v="Mason"/>
    <x v="4"/>
    <s v="Kitsap"/>
    <s v="10Kitsap"/>
    <s v="South Puget Sound"/>
    <s v="02South Puget Sound"/>
    <n v="668.38219178082204"/>
    <n v="2299.2347397260301"/>
    <n v="674.91641886606249"/>
    <n v="2388.5564998401228"/>
  </r>
  <r>
    <n v="1219"/>
    <x v="3"/>
    <s v="Freshwater"/>
    <x v="1"/>
    <x v="0"/>
    <n v="834"/>
    <s v="Skokomish River"/>
    <s v="Skokomish River"/>
    <s v="Mason"/>
    <x v="4"/>
    <s v="Mason"/>
    <s v="09Mason"/>
    <s v="South Puget Sound"/>
    <s v="02South Puget Sound"/>
    <n v="1463.2150684931501"/>
    <n v="5033.4598356164397"/>
    <n v="1452.9562841192289"/>
    <n v="5142.0710467339404"/>
  </r>
  <r>
    <n v="1222"/>
    <x v="3"/>
    <s v="Freshwater"/>
    <x v="1"/>
    <x v="0"/>
    <n v="834"/>
    <s v="Skokomish River"/>
    <s v="Skokomish River"/>
    <s v="Mason"/>
    <x v="4"/>
    <s v="Other"/>
    <s v="20Other"/>
    <s v="Non Puget Sound"/>
    <s v="07Non Puget Sound"/>
    <n v="1508.37602739726"/>
    <n v="5188.8135342465703"/>
    <n v="1526.1665866601284"/>
    <n v="5401.165268034888"/>
  </r>
  <r>
    <n v="1217"/>
    <x v="3"/>
    <s v="Freshwater"/>
    <x v="1"/>
    <x v="0"/>
    <n v="834"/>
    <s v="Skokomish River"/>
    <s v="Skokomish River"/>
    <s v="Mason"/>
    <x v="4"/>
    <s v="Pierce"/>
    <s v="07Pierce"/>
    <s v="South Puget Sound"/>
    <s v="02South Puget Sound"/>
    <n v="3116.1061643835601"/>
    <n v="10719.405205479399"/>
    <n v="3140.9043923740442"/>
    <n v="11115.787662101957"/>
  </r>
  <r>
    <n v="1215"/>
    <x v="3"/>
    <s v="Freshwater"/>
    <x v="1"/>
    <x v="0"/>
    <n v="834"/>
    <s v="Skokomish River"/>
    <s v="Skokomish River"/>
    <s v="Mason"/>
    <x v="4"/>
    <s v="Snohomish"/>
    <s v="03Snohomish"/>
    <s v="North Puget Sound"/>
    <s v="01North Puget Sound"/>
    <n v="650.317808219178"/>
    <n v="2237.0932602739699"/>
    <n v="657.40721965195951"/>
    <n v="2326.5907357532055"/>
  </r>
  <r>
    <n v="1218"/>
    <x v="3"/>
    <s v="Freshwater"/>
    <x v="1"/>
    <x v="0"/>
    <n v="834"/>
    <s v="Skokomish River"/>
    <s v="Skokomish River"/>
    <s v="Mason"/>
    <x v="4"/>
    <s v="Thurston"/>
    <s v="08Thurston"/>
    <s v="South Puget Sound"/>
    <s v="02South Puget Sound"/>
    <n v="2366.4342465753398"/>
    <n v="8140.5338082191702"/>
    <n v="2382.6951539453394"/>
    <n v="8432.4545054861428"/>
  </r>
  <r>
    <n v="1230"/>
    <x v="4"/>
    <s v="Freshwater"/>
    <x v="1"/>
    <x v="0"/>
    <n v="834"/>
    <s v="Skokomish River"/>
    <s v="Skokomish River"/>
    <s v="Mason"/>
    <x v="4"/>
    <s v="Jefferson"/>
    <s v="12Jefferson"/>
    <s v="Strait of Juan de Fuca"/>
    <s v="03Strait of Juan de Fuca"/>
    <n v="6.8271604938271597"/>
    <n v="59.054938271604897"/>
    <n v="6.8275862068965498"/>
    <n v="32.905926586703963"/>
  </r>
  <r>
    <n v="1225"/>
    <x v="4"/>
    <s v="Freshwater"/>
    <x v="1"/>
    <x v="0"/>
    <n v="834"/>
    <s v="Skokomish River"/>
    <s v="Skokomish River"/>
    <s v="Mason"/>
    <x v="4"/>
    <s v="King"/>
    <s v="06King"/>
    <s v="South Puget Sound"/>
    <s v="02South Puget Sound"/>
    <n v="935.32098765432102"/>
    <n v="8090.5265432098804"/>
    <n v="951.18454053144637"/>
    <n v="4584.2861170350016"/>
  </r>
  <r>
    <n v="1229"/>
    <x v="4"/>
    <s v="Freshwater"/>
    <x v="1"/>
    <x v="0"/>
    <n v="834"/>
    <s v="Skokomish River"/>
    <s v="Skokomish River"/>
    <s v="Mason"/>
    <x v="4"/>
    <s v="Kitsap"/>
    <s v="10Kitsap"/>
    <s v="South Puget Sound"/>
    <s v="02South Puget Sound"/>
    <n v="286.74074074074099"/>
    <n v="2480.3074074074102"/>
    <n v="285.06604592622193"/>
    <n v="1373.891459639884"/>
  </r>
  <r>
    <n v="1228"/>
    <x v="4"/>
    <s v="Freshwater"/>
    <x v="1"/>
    <x v="0"/>
    <n v="834"/>
    <s v="Skokomish River"/>
    <s v="Skokomish River"/>
    <s v="Mason"/>
    <x v="4"/>
    <s v="Mason"/>
    <s v="09Mason"/>
    <s v="South Puget Sound"/>
    <s v="02South Puget Sound"/>
    <n v="382.32098765432102"/>
    <n v="3307.0765432098801"/>
    <n v="390.74858361346833"/>
    <n v="1883.2342524295814"/>
  </r>
  <r>
    <n v="1231"/>
    <x v="4"/>
    <s v="Freshwater"/>
    <x v="1"/>
    <x v="0"/>
    <n v="834"/>
    <s v="Skokomish River"/>
    <s v="Skokomish River"/>
    <s v="Mason"/>
    <x v="4"/>
    <s v="Other"/>
    <s v="20Other"/>
    <s v="Non Puget Sound"/>
    <s v="07Non Puget Sound"/>
    <n v="273.086419753087"/>
    <n v="2362.1975308642"/>
    <n v="253.43710475610015"/>
    <n v="1221.4540411115154"/>
  </r>
  <r>
    <n v="1226"/>
    <x v="4"/>
    <s v="Freshwater"/>
    <x v="1"/>
    <x v="0"/>
    <n v="834"/>
    <s v="Skokomish River"/>
    <s v="Skokomish River"/>
    <s v="Mason"/>
    <x v="4"/>
    <s v="Pierce"/>
    <s v="07Pierce"/>
    <s v="South Puget Sound"/>
    <s v="02South Puget Sound"/>
    <n v="1310.81481481482"/>
    <n v="11338.5481481482"/>
    <n v="1305.9589841505654"/>
    <n v="6294.1410266335615"/>
  </r>
  <r>
    <n v="1224"/>
    <x v="4"/>
    <s v="Freshwater"/>
    <x v="1"/>
    <x v="0"/>
    <n v="834"/>
    <s v="Skokomish River"/>
    <s v="Skokomish River"/>
    <s v="Mason"/>
    <x v="4"/>
    <s v="Snohomish"/>
    <s v="03Snohomish"/>
    <s v="North Puget Sound"/>
    <s v="01North Puget Sound"/>
    <n v="68.271604938271594"/>
    <n v="590.54938271604897"/>
    <n v="69.886348154285159"/>
    <n v="336.82109197754812"/>
  </r>
  <r>
    <n v="1227"/>
    <x v="4"/>
    <s v="Freshwater"/>
    <x v="1"/>
    <x v="0"/>
    <n v="834"/>
    <s v="Skokomish River"/>
    <s v="Skokomish River"/>
    <s v="Mason"/>
    <x v="4"/>
    <s v="Thurston"/>
    <s v="08Thurston"/>
    <s v="South Puget Sound"/>
    <s v="02South Puget Sound"/>
    <n v="580.308641975309"/>
    <n v="5019.6697530864203"/>
    <n v="580.45551254336954"/>
    <n v="2797.5372120979428"/>
  </r>
  <r>
    <n v="1223"/>
    <x v="4"/>
    <s v="Freshwater"/>
    <x v="1"/>
    <x v="0"/>
    <n v="834"/>
    <s v="Skokomish River"/>
    <s v="Skokomish River"/>
    <s v="Mason"/>
    <x v="4"/>
    <s v="Whatcom"/>
    <s v="01Whatcom"/>
    <s v="North Puget Sound"/>
    <s v="01North Puget Sound"/>
    <n v="27.3086419753086"/>
    <n v="236.21975308641899"/>
    <n v="27.4352941176471"/>
    <n v="132.22590631049434"/>
  </r>
  <r>
    <n v="1238"/>
    <x v="5"/>
    <s v="Freshwater"/>
    <x v="1"/>
    <x v="0"/>
    <n v="834"/>
    <s v="Skokomish River"/>
    <s v="Skokomish River"/>
    <s v="Mason"/>
    <x v="4"/>
    <s v="Jefferson"/>
    <s v="12Jefferson"/>
    <s v="Strait of Juan de Fuca"/>
    <s v="03Strait of Juan de Fuca"/>
    <n v="9.0317679558011097"/>
    <n v="31.0692817679558"/>
    <n v="9.1645962732919308"/>
    <n v="32.433876825459357"/>
  </r>
  <r>
    <n v="1233"/>
    <x v="5"/>
    <s v="Freshwater"/>
    <x v="1"/>
    <x v="0"/>
    <n v="834"/>
    <s v="Skokomish River"/>
    <s v="Skokomish River"/>
    <s v="Mason"/>
    <x v="4"/>
    <s v="King"/>
    <s v="06King"/>
    <s v="South Puget Sound"/>
    <s v="02South Puget Sound"/>
    <n v="975.43093922651997"/>
    <n v="3355.4824309392302"/>
    <n v="955.70938108842006"/>
    <n v="3382.2941483513423"/>
  </r>
  <r>
    <n v="1237"/>
    <x v="5"/>
    <s v="Freshwater"/>
    <x v="1"/>
    <x v="0"/>
    <n v="834"/>
    <s v="Skokomish River"/>
    <s v="Skokomish River"/>
    <s v="Mason"/>
    <x v="4"/>
    <s v="Kitsap"/>
    <s v="10Kitsap"/>
    <s v="South Puget Sound"/>
    <s v="02South Puget Sound"/>
    <n v="650.28729281768005"/>
    <n v="2236.9882872928201"/>
    <n v="658.88906069059885"/>
    <n v="2331.8350311142794"/>
  </r>
  <r>
    <n v="1236"/>
    <x v="5"/>
    <s v="Freshwater"/>
    <x v="1"/>
    <x v="0"/>
    <n v="834"/>
    <s v="Skokomish River"/>
    <s v="Skokomish River"/>
    <s v="Mason"/>
    <x v="4"/>
    <s v="Mason"/>
    <s v="09Mason"/>
    <s v="South Puget Sound"/>
    <s v="02South Puget Sound"/>
    <n v="894.14502762431005"/>
    <n v="3075.8588950276298"/>
    <n v="903.43689512378376"/>
    <n v="3197.2997066345356"/>
  </r>
  <r>
    <n v="1250"/>
    <x v="5"/>
    <s v="Freshwater"/>
    <x v="1"/>
    <x v="0"/>
    <n v="834"/>
    <s v="Skokomish River"/>
    <s v="Skokomish River"/>
    <s v="Mason"/>
    <x v="4"/>
    <s v="Other"/>
    <s v="20Other"/>
    <s v="Non Puget Sound"/>
    <s v="07Non Puget Sound"/>
    <n v="803.82734806629901"/>
    <n v="2765.1660773480698"/>
    <n v="810.3034334363964"/>
    <n v="2867.6966194259453"/>
  </r>
  <r>
    <n v="1234"/>
    <x v="5"/>
    <s v="Freshwater"/>
    <x v="1"/>
    <x v="0"/>
    <n v="834"/>
    <s v="Skokomish River"/>
    <s v="Skokomish River"/>
    <s v="Mason"/>
    <x v="4"/>
    <s v="Pierce"/>
    <s v="07Pierce"/>
    <s v="South Puget Sound"/>
    <s v="02South Puget Sound"/>
    <n v="2086.3383977900598"/>
    <n v="7177.0040883978099"/>
    <n v="2069.6405658057724"/>
    <n v="7324.5416582007874"/>
  </r>
  <r>
    <n v="1232"/>
    <x v="5"/>
    <s v="Freshwater"/>
    <x v="1"/>
    <x v="0"/>
    <n v="834"/>
    <s v="Skokomish River"/>
    <s v="Skokomish River"/>
    <s v="Mason"/>
    <x v="4"/>
    <s v="Snohomish"/>
    <s v="03Snohomish"/>
    <s v="North Puget Sound"/>
    <s v="01North Puget Sound"/>
    <n v="45.158839779005497"/>
    <n v="155.346408839779"/>
    <n v="45.561585430045298"/>
    <n v="161.24429333753159"/>
  </r>
  <r>
    <n v="1235"/>
    <x v="5"/>
    <s v="Freshwater"/>
    <x v="1"/>
    <x v="0"/>
    <n v="834"/>
    <s v="Skokomish River"/>
    <s v="Skokomish River"/>
    <s v="Mason"/>
    <x v="4"/>
    <s v="Thurston"/>
    <s v="08Thurston"/>
    <s v="South Puget Sound"/>
    <s v="02South Puget Sound"/>
    <n v="1074.78038674033"/>
    <n v="3697.2445303867298"/>
    <n v="1086.2944821516903"/>
    <n v="3844.4401018473291"/>
  </r>
  <r>
    <n v="1251"/>
    <x v="8"/>
    <s v="Freshwater"/>
    <x v="1"/>
    <x v="0"/>
    <n v="834"/>
    <s v="Skokomish River"/>
    <s v="Skokomish River"/>
    <s v="Mason"/>
    <x v="4"/>
    <s v="King"/>
    <s v="06King"/>
    <s v="South Puget Sound"/>
    <s v="02South Puget Sound"/>
    <n v="2"/>
    <n v="17.3"/>
    <n v="2"/>
    <n v="9.6391098082264168"/>
  </r>
  <r>
    <n v="1252"/>
    <x v="11"/>
    <s v="Freshwater"/>
    <x v="1"/>
    <x v="0"/>
    <n v="834"/>
    <s v="Skokomish River"/>
    <s v="Skokomish River"/>
    <s v="Mason"/>
    <x v="4"/>
    <s v="Thurston"/>
    <s v="08Thurston"/>
    <s v="South Puget Sound"/>
    <s v="02South Puget Sound"/>
    <n v="1"/>
    <n v="3.44"/>
    <n v="1"/>
    <n v="3.5390404397824153"/>
  </r>
  <r>
    <n v="3617"/>
    <x v="1"/>
    <s v="Freshwater"/>
    <x v="1"/>
    <x v="0"/>
    <n v="840"/>
    <s v="Pilchuck River (Snohomish System)"/>
    <s v="Pilchuck River (Snohomish System)"/>
    <s v="Snohomish"/>
    <x v="2"/>
    <s v="King"/>
    <s v="06King"/>
    <s v="South Puget Sound"/>
    <s v="02South Puget Sound"/>
    <n v="4"/>
    <n v="13.76"/>
    <n v="4"/>
    <n v="14.156161759129661"/>
  </r>
  <r>
    <n v="3616"/>
    <x v="1"/>
    <s v="Freshwater"/>
    <x v="1"/>
    <x v="0"/>
    <n v="840"/>
    <s v="Pilchuck River (Snohomish System)"/>
    <s v="Pilchuck River (Snohomish System)"/>
    <s v="Snohomish"/>
    <x v="2"/>
    <s v="Snohomish"/>
    <s v="03Snohomish"/>
    <s v="North Puget Sound"/>
    <s v="01North Puget Sound"/>
    <n v="4"/>
    <n v="13.76"/>
    <n v="4"/>
    <n v="14.156161759129661"/>
  </r>
  <r>
    <n v="2681"/>
    <x v="9"/>
    <s v="Freshwater"/>
    <x v="1"/>
    <x v="0"/>
    <n v="840"/>
    <s v="Pilchuck River (Snohomish System)"/>
    <s v="Pilchuck River (Snohomish System)"/>
    <s v="Snohomish"/>
    <x v="2"/>
    <s v="Other"/>
    <s v="20Other"/>
    <s v="Non Puget Sound"/>
    <s v="07Non Puget Sound"/>
    <n v="0"/>
    <n v="0"/>
    <n v="0"/>
    <n v="0"/>
  </r>
  <r>
    <n v="3566"/>
    <x v="0"/>
    <s v="Freshwater"/>
    <x v="1"/>
    <x v="0"/>
    <n v="844"/>
    <s v="Skykomish River"/>
    <s v="Skykomish River"/>
    <s v="Snohomish"/>
    <x v="2"/>
    <s v="King"/>
    <s v="06King"/>
    <s v="South Puget Sound"/>
    <s v="02South Puget Sound"/>
    <n v="291.50364963503699"/>
    <n v="2521.5065693430702"/>
    <n v="296.61040290330004"/>
    <n v="1429.5301219235944"/>
  </r>
  <r>
    <n v="3568"/>
    <x v="0"/>
    <s v="Freshwater"/>
    <x v="1"/>
    <x v="0"/>
    <n v="844"/>
    <s v="Skykomish River"/>
    <s v="Skykomish River"/>
    <s v="Snohomish"/>
    <x v="2"/>
    <s v="Other"/>
    <s v="20Other"/>
    <s v="Non Puget Sound"/>
    <s v="07Non Puget Sound"/>
    <n v="6.0729927007299302"/>
    <n v="52.531386861313898"/>
    <n v="6.44444444444445"/>
    <n v="31.059353826507369"/>
  </r>
  <r>
    <n v="3567"/>
    <x v="0"/>
    <s v="Freshwater"/>
    <x v="1"/>
    <x v="0"/>
    <n v="844"/>
    <s v="Skykomish River"/>
    <s v="Skykomish River"/>
    <s v="Snohomish"/>
    <x v="2"/>
    <s v="Pierce"/>
    <s v="07Pierce"/>
    <s v="South Puget Sound"/>
    <s v="02South Puget Sound"/>
    <n v="54.656934306569397"/>
    <n v="472.782481751825"/>
    <n v="57.911111111111097"/>
    <n v="279.10577955820042"/>
  </r>
  <r>
    <n v="3564"/>
    <x v="0"/>
    <s v="Freshwater"/>
    <x v="1"/>
    <x v="0"/>
    <n v="844"/>
    <s v="Skykomish River"/>
    <s v="Skykomish River"/>
    <s v="Snohomish"/>
    <x v="2"/>
    <s v="Skagit"/>
    <s v="02Skagit"/>
    <s v="North Puget Sound"/>
    <s v="01North Puget Sound"/>
    <n v="12.1459854014599"/>
    <n v="105.06277372262799"/>
    <n v="12.49433962264151"/>
    <n v="60.217155801957865"/>
  </r>
  <r>
    <n v="3565"/>
    <x v="0"/>
    <s v="Freshwater"/>
    <x v="1"/>
    <x v="0"/>
    <n v="844"/>
    <s v="Skykomish River"/>
    <s v="Skykomish River"/>
    <s v="Snohomish"/>
    <x v="2"/>
    <s v="Snohomish"/>
    <s v="03Snohomish"/>
    <s v="North Puget Sound"/>
    <s v="01North Puget Sound"/>
    <n v="431.18248175182498"/>
    <n v="3729.7284671532898"/>
    <n v="422.04469636911421"/>
    <n v="2034.0675861407344"/>
  </r>
  <r>
    <n v="3563"/>
    <x v="0"/>
    <s v="Freshwater"/>
    <x v="1"/>
    <x v="0"/>
    <n v="844"/>
    <s v="Skykomish River"/>
    <s v="Skykomish River"/>
    <s v="Snohomish"/>
    <x v="2"/>
    <s v="Whatcom"/>
    <s v="01Whatcom"/>
    <s v="North Puget Sound"/>
    <s v="01North Puget Sound"/>
    <n v="36.437956204379603"/>
    <n v="315.188321167884"/>
    <n v="36.495005549389504"/>
    <n v="175.88968297119894"/>
  </r>
  <r>
    <n v="3621"/>
    <x v="1"/>
    <s v="Freshwater"/>
    <x v="1"/>
    <x v="0"/>
    <n v="844"/>
    <s v="Skykomish River"/>
    <s v="Skykomish River"/>
    <s v="Snohomish"/>
    <x v="2"/>
    <s v="King"/>
    <s v="06King"/>
    <s v="South Puget Sound"/>
    <s v="02South Puget Sound"/>
    <n v="4304.8521377672196"/>
    <n v="14808.691353919199"/>
    <n v="4303.5450642498572"/>
    <n v="15230.420016806258"/>
  </r>
  <r>
    <n v="3624"/>
    <x v="1"/>
    <s v="Freshwater"/>
    <x v="1"/>
    <x v="0"/>
    <n v="844"/>
    <s v="Skykomish River"/>
    <s v="Skykomish River"/>
    <s v="Snohomish"/>
    <x v="2"/>
    <s v="Kitsap"/>
    <s v="10Kitsap"/>
    <s v="South Puget Sound"/>
    <s v="02South Puget Sound"/>
    <n v="28.843230403800501"/>
    <n v="99.220712589073699"/>
    <n v="15.006634912823401"/>
    <n v="53.109087821532675"/>
  </r>
  <r>
    <n v="3625"/>
    <x v="1"/>
    <s v="Freshwater"/>
    <x v="1"/>
    <x v="0"/>
    <n v="844"/>
    <s v="Skykomish River"/>
    <s v="Skykomish River"/>
    <s v="Snohomish"/>
    <x v="2"/>
    <s v="Other"/>
    <s v="20Other"/>
    <s v="Non Puget Sound"/>
    <s v="07Non Puget Sound"/>
    <n v="1074.4103325415699"/>
    <n v="3695.9715439430001"/>
    <n v="1108.6010939563819"/>
    <n v="3923.3841030986605"/>
  </r>
  <r>
    <n v="3622"/>
    <x v="1"/>
    <s v="Freshwater"/>
    <x v="1"/>
    <x v="0"/>
    <n v="844"/>
    <s v="Skykomish River"/>
    <s v="Skykomish River"/>
    <s v="Snohomish"/>
    <x v="2"/>
    <s v="Pierce"/>
    <s v="07Pierce"/>
    <s v="South Puget Sound"/>
    <s v="02South Puget Sound"/>
    <n v="216.324228028504"/>
    <n v="744.15534441805403"/>
    <n v="223.74571110354628"/>
    <n v="791.84511982332367"/>
  </r>
  <r>
    <n v="3619"/>
    <x v="1"/>
    <s v="Freshwater"/>
    <x v="1"/>
    <x v="0"/>
    <n v="844"/>
    <s v="Skykomish River"/>
    <s v="Skykomish River"/>
    <s v="Snohomish"/>
    <x v="2"/>
    <s v="Skagit"/>
    <s v="02Skagit"/>
    <s v="North Puget Sound"/>
    <s v="01North Puget Sound"/>
    <n v="137.005344418052"/>
    <n v="471.29838479809899"/>
    <n v="142.16160566277898"/>
    <n v="503.11567142497563"/>
  </r>
  <r>
    <n v="3620"/>
    <x v="1"/>
    <s v="Freshwater"/>
    <x v="1"/>
    <x v="0"/>
    <n v="844"/>
    <s v="Skykomish River"/>
    <s v="Skykomish River"/>
    <s v="Snohomish"/>
    <x v="2"/>
    <s v="Snohomish"/>
    <s v="03Snohomish"/>
    <s v="North Puget Sound"/>
    <s v="01North Puget Sound"/>
    <n v="6237.34857482185"/>
    <n v="21456.4790973872"/>
    <n v="6223.6907513350943"/>
    <n v="22025.893253674702"/>
  </r>
  <r>
    <n v="3623"/>
    <x v="1"/>
    <s v="Freshwater"/>
    <x v="1"/>
    <x v="0"/>
    <n v="844"/>
    <s v="Skykomish River"/>
    <s v="Skykomish River"/>
    <s v="Snohomish"/>
    <x v="2"/>
    <s v="Thurston"/>
    <s v="08Thurston"/>
    <s v="South Puget Sound"/>
    <s v="02South Puget Sound"/>
    <n v="72.108076009501204"/>
    <n v="248.05178147268401"/>
    <n v="52.042164651293604"/>
    <n v="184.17932527474298"/>
  </r>
  <r>
    <n v="3618"/>
    <x v="1"/>
    <s v="Freshwater"/>
    <x v="1"/>
    <x v="0"/>
    <n v="844"/>
    <s v="Skykomish River"/>
    <s v="Skykomish River"/>
    <s v="Snohomish"/>
    <x v="2"/>
    <s v="Whatcom"/>
    <s v="01Whatcom"/>
    <s v="North Puget Sound"/>
    <s v="01North Puget Sound"/>
    <n v="72.108076009501204"/>
    <n v="248.05178147268401"/>
    <n v="74.206974128233995"/>
    <n v="262.62148235370756"/>
  </r>
  <r>
    <n v="3687"/>
    <x v="2"/>
    <s v="Freshwater"/>
    <x v="1"/>
    <x v="0"/>
    <n v="844"/>
    <s v="Skykomish River"/>
    <s v="Skykomish River"/>
    <s v="Snohomish"/>
    <x v="2"/>
    <s v="Island"/>
    <s v="04Island"/>
    <s v="North Puget Sound"/>
    <s v="01North Puget Sound"/>
    <n v="21.336734693877599"/>
    <n v="184.562755102041"/>
    <n v="22.051948051948099"/>
    <n v="106.28057437901617"/>
  </r>
  <r>
    <n v="3688"/>
    <x v="2"/>
    <s v="Freshwater"/>
    <x v="1"/>
    <x v="0"/>
    <n v="844"/>
    <s v="Skykomish River"/>
    <s v="Skykomish River"/>
    <s v="Snohomish"/>
    <x v="2"/>
    <s v="King"/>
    <s v="06King"/>
    <s v="South Puget Sound"/>
    <s v="02South Puget Sound"/>
    <n v="611.65306122448999"/>
    <n v="5290.7989795918402"/>
    <n v="615.04618978904739"/>
    <n v="2964.2488802539465"/>
  </r>
  <r>
    <n v="3692"/>
    <x v="2"/>
    <s v="Freshwater"/>
    <x v="1"/>
    <x v="0"/>
    <n v="844"/>
    <s v="Skykomish River"/>
    <s v="Skykomish River"/>
    <s v="Snohomish"/>
    <x v="2"/>
    <s v="Kitsap"/>
    <s v="10Kitsap"/>
    <s v="South Puget Sound"/>
    <s v="02South Puget Sound"/>
    <n v="7.1122448979591901"/>
    <n v="61.520918367347001"/>
    <n v="7.1111111111111098"/>
    <n v="34.272390429249477"/>
  </r>
  <r>
    <n v="3693"/>
    <x v="2"/>
    <s v="Freshwater"/>
    <x v="1"/>
    <x v="0"/>
    <n v="844"/>
    <s v="Skykomish River"/>
    <s v="Skykomish River"/>
    <s v="Snohomish"/>
    <x v="2"/>
    <s v="Other"/>
    <s v="20Other"/>
    <s v="Non Puget Sound"/>
    <s v="07Non Puget Sound"/>
    <n v="49.785714285714299"/>
    <n v="430.646428571429"/>
    <n v="51.376376004947481"/>
    <n v="247.61126493020879"/>
  </r>
  <r>
    <n v="3689"/>
    <x v="2"/>
    <s v="Freshwater"/>
    <x v="1"/>
    <x v="0"/>
    <n v="844"/>
    <s v="Skykomish River"/>
    <s v="Skykomish River"/>
    <s v="Snohomish"/>
    <x v="2"/>
    <s v="Pierce"/>
    <s v="07Pierce"/>
    <s v="South Puget Sound"/>
    <s v="02South Puget Sound"/>
    <n v="28.4489795918367"/>
    <n v="246.08367346938701"/>
    <n v="21.748148148148179"/>
    <n v="104.81639406278815"/>
  </r>
  <r>
    <n v="3686"/>
    <x v="2"/>
    <s v="Freshwater"/>
    <x v="1"/>
    <x v="0"/>
    <n v="844"/>
    <s v="Skykomish River"/>
    <s v="Skykomish River"/>
    <s v="Snohomish"/>
    <x v="2"/>
    <s v="Snohomish"/>
    <s v="03Snohomish"/>
    <s v="North Puget Sound"/>
    <s v="01North Puget Sound"/>
    <n v="1358.4387755102"/>
    <n v="11750.4954081632"/>
    <n v="1358.9649281934996"/>
    <n v="6549.6060841928356"/>
  </r>
  <r>
    <n v="3685"/>
    <x v="2"/>
    <s v="Freshwater"/>
    <x v="1"/>
    <x v="0"/>
    <n v="844"/>
    <s v="Skykomish River"/>
    <s v="Skykomish River"/>
    <s v="Snohomish"/>
    <x v="2"/>
    <s v="Whatcom"/>
    <s v="01Whatcom"/>
    <s v="North Puget Sound"/>
    <s v="01North Puget Sound"/>
    <n v="14.2244897959184"/>
    <n v="123.041836734694"/>
    <n v="14.7012987012987"/>
    <n v="70.853716252677287"/>
  </r>
  <r>
    <n v="1271"/>
    <x v="3"/>
    <s v="Freshwater"/>
    <x v="1"/>
    <x v="0"/>
    <n v="844"/>
    <s v="Skykomish River"/>
    <s v="Skykomish River"/>
    <s v="Snohomish"/>
    <x v="2"/>
    <s v="Island"/>
    <s v="04Island"/>
    <s v="North Puget Sound"/>
    <s v="01North Puget Sound"/>
    <n v="26.647211413748401"/>
    <n v="91.666407263294502"/>
    <n v="26.733219865584338"/>
    <n v="94.609946189897599"/>
  </r>
  <r>
    <n v="1272"/>
    <x v="3"/>
    <s v="Freshwater"/>
    <x v="1"/>
    <x v="0"/>
    <n v="844"/>
    <s v="Skykomish River"/>
    <s v="Skykomish River"/>
    <s v="Snohomish"/>
    <x v="2"/>
    <s v="King"/>
    <s v="06King"/>
    <s v="South Puget Sound"/>
    <s v="02South Puget Sound"/>
    <n v="6697.3324686554297"/>
    <n v="23038.823692174701"/>
    <n v="6717.4064020605392"/>
    <n v="23773.172907345543"/>
  </r>
  <r>
    <n v="1281"/>
    <x v="3"/>
    <s v="Freshwater"/>
    <x v="1"/>
    <x v="0"/>
    <n v="844"/>
    <s v="Skykomish River"/>
    <s v="Skykomish River"/>
    <s v="Snohomish"/>
    <x v="2"/>
    <s v="Kitsap"/>
    <s v="10Kitsap"/>
    <s v="South Puget Sound"/>
    <s v="02South Puget Sound"/>
    <n v="124.35365326415899"/>
    <n v="427.77656722870699"/>
    <n v="125.8346599219792"/>
    <n v="445.33395019015194"/>
  </r>
  <r>
    <n v="1275"/>
    <x v="3"/>
    <s v="Freshwater"/>
    <x v="1"/>
    <x v="0"/>
    <n v="844"/>
    <s v="Skykomish River"/>
    <s v="Skykomish River"/>
    <s v="Snohomish"/>
    <x v="2"/>
    <s v="Mason"/>
    <s v="09Mason"/>
    <s v="South Puget Sound"/>
    <s v="02South Puget Sound"/>
    <n v="17.764807609165601"/>
    <n v="61.110938175529697"/>
    <n v="18.015789473684201"/>
    <n v="63.758607501974744"/>
  </r>
  <r>
    <n v="1282"/>
    <x v="3"/>
    <s v="Freshwater"/>
    <x v="1"/>
    <x v="0"/>
    <n v="844"/>
    <s v="Skykomish River"/>
    <s v="Skykomish River"/>
    <s v="Snohomish"/>
    <x v="2"/>
    <s v="Other"/>
    <s v="20Other"/>
    <s v="Non Puget Sound"/>
    <s v="07Non Puget Sound"/>
    <n v="1767.59835711198"/>
    <n v="6080.5383484652102"/>
    <n v="1791.3894381039254"/>
    <n v="6339.7996648488897"/>
  </r>
  <r>
    <n v="1273"/>
    <x v="3"/>
    <s v="Freshwater"/>
    <x v="1"/>
    <x v="0"/>
    <n v="844"/>
    <s v="Skykomish River"/>
    <s v="Skykomish River"/>
    <s v="Snohomish"/>
    <x v="2"/>
    <s v="Pierce"/>
    <s v="07Pierce"/>
    <s v="South Puget Sound"/>
    <s v="02South Puget Sound"/>
    <n v="479.64980544747101"/>
    <n v="1649.9953307393"/>
    <n v="486.30603063573608"/>
    <n v="1721.0567085299363"/>
  </r>
  <r>
    <n v="3722"/>
    <x v="3"/>
    <s v="Freshwater"/>
    <x v="1"/>
    <x v="0"/>
    <n v="844"/>
    <s v="Skykomish River"/>
    <s v="Skykomish River"/>
    <s v="Snohomish"/>
    <x v="2"/>
    <s v="Skagit"/>
    <s v="02Skagit"/>
    <s v="North Puget Sound"/>
    <s v="01North Puget Sound"/>
    <n v="168.76567228707299"/>
    <n v="580.55391266753099"/>
    <n v="171.10768484096462"/>
    <n v="605.55701620971831"/>
  </r>
  <r>
    <n v="1270"/>
    <x v="3"/>
    <s v="Freshwater"/>
    <x v="1"/>
    <x v="0"/>
    <n v="844"/>
    <s v="Skykomish River"/>
    <s v="Skykomish River"/>
    <s v="Snohomish"/>
    <x v="2"/>
    <s v="Snohomish"/>
    <s v="03Snohomish"/>
    <s v="North Puget Sound"/>
    <s v="01North Puget Sound"/>
    <n v="11067.4751405102"/>
    <n v="38072.114483355101"/>
    <n v="11010.201935595243"/>
    <n v="38965.549900242193"/>
  </r>
  <r>
    <n v="1274"/>
    <x v="3"/>
    <s v="Freshwater"/>
    <x v="1"/>
    <x v="0"/>
    <n v="844"/>
    <s v="Skykomish River"/>
    <s v="Skykomish River"/>
    <s v="Snohomish"/>
    <x v="2"/>
    <s v="Thurston"/>
    <s v="08Thurston"/>
    <s v="South Puget Sound"/>
    <s v="02South Puget Sound"/>
    <n v="62.176826632079603"/>
    <n v="213.88828361435401"/>
    <n v="62.893885722799617"/>
    <n v="222.58400498804173"/>
  </r>
  <r>
    <n v="3721"/>
    <x v="3"/>
    <s v="Freshwater"/>
    <x v="1"/>
    <x v="0"/>
    <n v="844"/>
    <s v="Skykomish River"/>
    <s v="Skykomish River"/>
    <s v="Snohomish"/>
    <x v="2"/>
    <s v="Whatcom"/>
    <s v="01Whatcom"/>
    <s v="North Puget Sound"/>
    <s v="01North Puget Sound"/>
    <n v="133.23605706874201"/>
    <n v="458.33203631647302"/>
    <n v="135.11095377954351"/>
    <n v="478.16312928337726"/>
  </r>
  <r>
    <n v="1604"/>
    <x v="4"/>
    <s v="Freshwater"/>
    <x v="1"/>
    <x v="0"/>
    <n v="844"/>
    <s v="Skykomish River"/>
    <s v="Skykomish River"/>
    <s v="Snohomish"/>
    <x v="2"/>
    <s v="Clallam"/>
    <s v="11Clallam"/>
    <s v="Strait of Juan de Fuca"/>
    <s v="03Strait of Juan de Fuca"/>
    <n v="14.1415094339623"/>
    <n v="122.324056603774"/>
    <n v="14.35"/>
    <n v="69.160612874024537"/>
  </r>
  <r>
    <n v="1596"/>
    <x v="4"/>
    <s v="Freshwater"/>
    <x v="1"/>
    <x v="0"/>
    <n v="844"/>
    <s v="Skykomish River"/>
    <s v="Skykomish River"/>
    <s v="Snohomish"/>
    <x v="2"/>
    <s v="Island"/>
    <s v="04Island"/>
    <s v="North Puget Sound"/>
    <s v="01North Puget Sound"/>
    <n v="7.0707547169811296"/>
    <n v="61.162028301886799"/>
    <n v="7.7368421052631602"/>
    <n v="37.28813531077062"/>
  </r>
  <r>
    <n v="1597"/>
    <x v="4"/>
    <s v="Freshwater"/>
    <x v="1"/>
    <x v="0"/>
    <n v="844"/>
    <s v="Skykomish River"/>
    <s v="Skykomish River"/>
    <s v="Snohomish"/>
    <x v="2"/>
    <s v="King"/>
    <s v="06King"/>
    <s v="South Puget Sound"/>
    <s v="02South Puget Sound"/>
    <n v="466.669811320755"/>
    <n v="4036.69386792453"/>
    <n v="469.21562418489657"/>
    <n v="2261.4104626268586"/>
  </r>
  <r>
    <n v="1605"/>
    <x v="4"/>
    <s v="Freshwater"/>
    <x v="1"/>
    <x v="0"/>
    <n v="844"/>
    <s v="Skykomish River"/>
    <s v="Skykomish River"/>
    <s v="Snohomish"/>
    <x v="2"/>
    <s v="Other"/>
    <s v="20Other"/>
    <s v="Non Puget Sound"/>
    <s v="07Non Puget Sound"/>
    <n v="77.778301886792505"/>
    <n v="672.78231132075496"/>
    <n v="81.328881026094592"/>
    <n v="391.96900739535386"/>
  </r>
  <r>
    <n v="1602"/>
    <x v="4"/>
    <s v="Freshwater"/>
    <x v="1"/>
    <x v="0"/>
    <n v="844"/>
    <s v="Skykomish River"/>
    <s v="Skykomish River"/>
    <s v="Snohomish"/>
    <x v="2"/>
    <s v="Pierce"/>
    <s v="07Pierce"/>
    <s v="South Puget Sound"/>
    <s v="02South Puget Sound"/>
    <n v="14.1415094339623"/>
    <n v="122.324056603774"/>
    <n v="15.08978328173375"/>
    <n v="72.726039017485391"/>
  </r>
  <r>
    <n v="1594"/>
    <x v="4"/>
    <s v="Freshwater"/>
    <x v="1"/>
    <x v="0"/>
    <n v="844"/>
    <s v="Skykomish River"/>
    <s v="Skykomish River"/>
    <s v="Snohomish"/>
    <x v="2"/>
    <s v="Skagit"/>
    <s v="02Skagit"/>
    <s v="North Puget Sound"/>
    <s v="01North Puget Sound"/>
    <n v="35.353773584905703"/>
    <n v="305.810141509434"/>
    <n v="36.394534412955458"/>
    <n v="175.40545681287639"/>
  </r>
  <r>
    <n v="1595"/>
    <x v="4"/>
    <s v="Freshwater"/>
    <x v="1"/>
    <x v="0"/>
    <n v="844"/>
    <s v="Skykomish River"/>
    <s v="Skykomish River"/>
    <s v="Snohomish"/>
    <x v="2"/>
    <s v="Snohomish"/>
    <s v="03Snohomish"/>
    <s v="North Puget Sound"/>
    <s v="01North Puget Sound"/>
    <n v="820.20754716981105"/>
    <n v="7094.7952830188697"/>
    <n v="816.03635843001211"/>
    <n v="3932.9320332060488"/>
  </r>
  <r>
    <n v="1603"/>
    <x v="4"/>
    <s v="Freshwater"/>
    <x v="1"/>
    <x v="0"/>
    <n v="844"/>
    <s v="Skykomish River"/>
    <s v="Skykomish River"/>
    <s v="Snohomish"/>
    <x v="2"/>
    <s v="Thurston"/>
    <s v="08Thurston"/>
    <s v="South Puget Sound"/>
    <s v="02South Puget Sound"/>
    <n v="49.495283018867902"/>
    <n v="428.13419811320699"/>
    <n v="51.676547987616054"/>
    <n v="249.05796028135651"/>
  </r>
  <r>
    <n v="1593"/>
    <x v="4"/>
    <s v="Freshwater"/>
    <x v="1"/>
    <x v="0"/>
    <n v="844"/>
    <s v="Skykomish River"/>
    <s v="Skykomish River"/>
    <s v="Snohomish"/>
    <x v="2"/>
    <s v="Whatcom"/>
    <s v="01Whatcom"/>
    <s v="North Puget Sound"/>
    <s v="01North Puget Sound"/>
    <n v="14.1415094339623"/>
    <n v="122.324056603774"/>
    <n v="7.1714285714285699"/>
    <n v="34.563093740926142"/>
  </r>
  <r>
    <n v="1767"/>
    <x v="5"/>
    <s v="Freshwater"/>
    <x v="1"/>
    <x v="0"/>
    <n v="844"/>
    <s v="Skykomish River"/>
    <s v="Skykomish River"/>
    <s v="Snohomish"/>
    <x v="2"/>
    <s v="King"/>
    <s v="06King"/>
    <s v="South Puget Sound"/>
    <s v="02South Puget Sound"/>
    <n v="1909.93679775281"/>
    <n v="6570.1825842696699"/>
    <n v="1903.1502682182063"/>
    <n v="6735.3257622069823"/>
  </r>
  <r>
    <n v="1927"/>
    <x v="5"/>
    <s v="Freshwater"/>
    <x v="1"/>
    <x v="0"/>
    <n v="844"/>
    <s v="Skykomish River"/>
    <s v="Skykomish River"/>
    <s v="Snohomish"/>
    <x v="2"/>
    <s v="Kitsap"/>
    <s v="10Kitsap"/>
    <s v="South Puget Sound"/>
    <s v="02South Puget Sound"/>
    <n v="26.6502808988764"/>
    <n v="91.676966292134793"/>
    <n v="26.791218948584639"/>
    <n v="94.81520729010596"/>
  </r>
  <r>
    <n v="1928"/>
    <x v="5"/>
    <s v="Freshwater"/>
    <x v="1"/>
    <x v="0"/>
    <n v="844"/>
    <s v="Skykomish River"/>
    <s v="Skykomish River"/>
    <s v="Snohomish"/>
    <x v="2"/>
    <s v="Other"/>
    <s v="20Other"/>
    <s v="Non Puget Sound"/>
    <s v="07Non Puget Sound"/>
    <n v="426.40449438202302"/>
    <n v="1466.8314606741601"/>
    <n v="428.69491210695759"/>
    <n v="1517.1686302754911"/>
  </r>
  <r>
    <n v="1925"/>
    <x v="5"/>
    <s v="Freshwater"/>
    <x v="1"/>
    <x v="0"/>
    <n v="844"/>
    <s v="Skykomish River"/>
    <s v="Skykomish River"/>
    <s v="Snohomish"/>
    <x v="2"/>
    <s v="Pierce"/>
    <s v="07Pierce"/>
    <s v="South Puget Sound"/>
    <s v="02South Puget Sound"/>
    <n v="133.251404494382"/>
    <n v="458.38483146067398"/>
    <n v="125.005199306759"/>
    <n v="442.39845552968086"/>
  </r>
  <r>
    <n v="1765"/>
    <x v="5"/>
    <s v="Freshwater"/>
    <x v="1"/>
    <x v="0"/>
    <n v="844"/>
    <s v="Skykomish River"/>
    <s v="Skykomish River"/>
    <s v="Snohomish"/>
    <x v="2"/>
    <s v="Skagit"/>
    <s v="02Skagit"/>
    <s v="North Puget Sound"/>
    <s v="01North Puget Sound"/>
    <n v="8.8834269662921397"/>
    <n v="30.558988764045001"/>
    <n v="8.9289428076256492"/>
    <n v="31.599889680691511"/>
  </r>
  <r>
    <n v="1766"/>
    <x v="5"/>
    <s v="Freshwater"/>
    <x v="1"/>
    <x v="0"/>
    <n v="844"/>
    <s v="Skykomish River"/>
    <s v="Skykomish River"/>
    <s v="Snohomish"/>
    <x v="2"/>
    <s v="Snohomish"/>
    <s v="03Snohomish"/>
    <s v="North Puget Sound"/>
    <s v="01North Puget Sound"/>
    <n v="3766.5730337078699"/>
    <n v="12957.0112359551"/>
    <n v="3778.8382396632787"/>
    <n v="13373.461345564538"/>
  </r>
  <r>
    <n v="1926"/>
    <x v="5"/>
    <s v="Freshwater"/>
    <x v="1"/>
    <x v="0"/>
    <n v="844"/>
    <s v="Skykomish River"/>
    <s v="Skykomish River"/>
    <s v="Snohomish"/>
    <x v="2"/>
    <s v="Thurston"/>
    <s v="08Thurston"/>
    <s v="South Puget Sound"/>
    <s v="02South Puget Sound"/>
    <n v="35.533707865168502"/>
    <n v="122.23595505618"/>
    <n v="35.733333333333299"/>
    <n v="126.46171171489152"/>
  </r>
  <r>
    <n v="1764"/>
    <x v="5"/>
    <s v="Freshwater"/>
    <x v="1"/>
    <x v="0"/>
    <n v="844"/>
    <s v="Skykomish River"/>
    <s v="Skykomish River"/>
    <s v="Snohomish"/>
    <x v="2"/>
    <s v="Whatcom"/>
    <s v="01Whatcom"/>
    <s v="North Puget Sound"/>
    <s v="01North Puget Sound"/>
    <n v="17.766853932584301"/>
    <n v="61.117977528090002"/>
    <n v="17.857885615251298"/>
    <n v="63.199779361383023"/>
  </r>
  <r>
    <n v="2218"/>
    <x v="6"/>
    <s v="Freshwater"/>
    <x v="1"/>
    <x v="0"/>
    <n v="844"/>
    <s v="Skykomish River"/>
    <s v="Skykomish River"/>
    <s v="Snohomish"/>
    <x v="2"/>
    <s v="Jefferson"/>
    <s v="12Jefferson"/>
    <s v="Strait of Juan de Fuca"/>
    <s v="03Strait of Juan de Fuca"/>
    <n v="22.862745098039198"/>
    <n v="197.76274509803901"/>
    <n v="28.1911764705882"/>
    <n v="135.86892281154425"/>
  </r>
  <r>
    <n v="2216"/>
    <x v="6"/>
    <s v="Freshwater"/>
    <x v="1"/>
    <x v="0"/>
    <n v="844"/>
    <s v="Skykomish River"/>
    <s v="Skykomish River"/>
    <s v="Snohomish"/>
    <x v="2"/>
    <s v="King"/>
    <s v="06King"/>
    <s v="South Puget Sound"/>
    <s v="02South Puget Sound"/>
    <n v="480.11764705882399"/>
    <n v="4153.0176470588303"/>
    <n v="532.42112299465271"/>
    <n v="2566.0328343823403"/>
  </r>
  <r>
    <n v="2219"/>
    <x v="6"/>
    <s v="Freshwater"/>
    <x v="1"/>
    <x v="0"/>
    <n v="844"/>
    <s v="Skykomish River"/>
    <s v="Skykomish River"/>
    <s v="Snohomish"/>
    <x v="2"/>
    <s v="Other"/>
    <s v="20Other"/>
    <s v="Non Puget Sound"/>
    <s v="07Non Puget Sound"/>
    <n v="68.588235294117695"/>
    <n v="593.28823529411795"/>
    <n v="72.645989304812872"/>
    <n v="350.12133401816658"/>
  </r>
  <r>
    <n v="2217"/>
    <x v="6"/>
    <s v="Freshwater"/>
    <x v="1"/>
    <x v="0"/>
    <n v="844"/>
    <s v="Skykomish River"/>
    <s v="Skykomish River"/>
    <s v="Snohomish"/>
    <x v="2"/>
    <s v="Pierce"/>
    <s v="07Pierce"/>
    <s v="South Puget Sound"/>
    <s v="02South Puget Sound"/>
    <n v="30.483660130718999"/>
    <n v="263.68366013071898"/>
    <n v="31.62299465240638"/>
    <n v="152.40875895975094"/>
  </r>
  <r>
    <n v="2214"/>
    <x v="6"/>
    <s v="Freshwater"/>
    <x v="1"/>
    <x v="0"/>
    <n v="844"/>
    <s v="Skykomish River"/>
    <s v="Skykomish River"/>
    <s v="Snohomish"/>
    <x v="2"/>
    <s v="Skagit"/>
    <s v="02Skagit"/>
    <s v="North Puget Sound"/>
    <s v="01North Puget Sound"/>
    <n v="7.6209150326797399"/>
    <n v="65.920915032679801"/>
    <n v="3.4318181818181799"/>
    <n v="16.539836148206682"/>
  </r>
  <r>
    <n v="2215"/>
    <x v="6"/>
    <s v="Freshwater"/>
    <x v="1"/>
    <x v="0"/>
    <n v="844"/>
    <s v="Skykomish River"/>
    <s v="Skykomish River"/>
    <s v="Snohomish"/>
    <x v="2"/>
    <s v="Snohomish"/>
    <s v="03Snohomish"/>
    <s v="North Puget Sound"/>
    <s v="01North Puget Sound"/>
    <n v="556.32679738562103"/>
    <n v="4812.2267973856196"/>
    <n v="497.68689839572198"/>
    <n v="2398.629331875994"/>
  </r>
  <r>
    <n v="2333"/>
    <x v="7"/>
    <s v="Freshwater"/>
    <x v="1"/>
    <x v="0"/>
    <n v="844"/>
    <s v="Skykomish River"/>
    <s v="Skykomish River"/>
    <s v="Snohomish"/>
    <x v="2"/>
    <s v="Island"/>
    <s v="04Island"/>
    <s v="North Puget Sound"/>
    <s v="01North Puget Sound"/>
    <n v="39.191637630662001"/>
    <n v="134.819233449477"/>
    <n v="39.348593852190902"/>
    <n v="139.25626489147734"/>
  </r>
  <r>
    <n v="2335"/>
    <x v="7"/>
    <s v="Freshwater"/>
    <x v="1"/>
    <x v="0"/>
    <n v="844"/>
    <s v="Skykomish River"/>
    <s v="Skykomish River"/>
    <s v="Snohomish"/>
    <x v="2"/>
    <s v="King"/>
    <s v="06King"/>
    <s v="South Puget Sound"/>
    <s v="02South Puget Sound"/>
    <n v="1048.37630662021"/>
    <n v="3606.4144947735199"/>
    <n v="1056.0206212080511"/>
    <n v="3737.2996836994407"/>
  </r>
  <r>
    <n v="2435"/>
    <x v="7"/>
    <s v="Freshwater"/>
    <x v="1"/>
    <x v="0"/>
    <n v="844"/>
    <s v="Skykomish River"/>
    <s v="Skykomish River"/>
    <s v="Snohomish"/>
    <x v="2"/>
    <s v="Kitsap"/>
    <s v="10Kitsap"/>
    <s v="South Puget Sound"/>
    <s v="02South Puget Sound"/>
    <n v="9.7979094076655109"/>
    <n v="33.704808362369398"/>
    <n v="9.8181818181818201"/>
    <n v="34.7469424996819"/>
  </r>
  <r>
    <n v="2436"/>
    <x v="7"/>
    <s v="Freshwater"/>
    <x v="1"/>
    <x v="0"/>
    <n v="844"/>
    <s v="Skykomish River"/>
    <s v="Skykomish River"/>
    <s v="Snohomish"/>
    <x v="2"/>
    <s v="Other"/>
    <s v="20Other"/>
    <s v="Non Puget Sound"/>
    <s v="07Non Puget Sound"/>
    <n v="137.170731707317"/>
    <n v="471.86731707317102"/>
    <n v="137.6967684593584"/>
    <n v="487.31443200502514"/>
  </r>
  <r>
    <n v="2433"/>
    <x v="7"/>
    <s v="Freshwater"/>
    <x v="1"/>
    <x v="0"/>
    <n v="844"/>
    <s v="Skykomish River"/>
    <s v="Skykomish River"/>
    <s v="Snohomish"/>
    <x v="2"/>
    <s v="Pierce"/>
    <s v="07Pierce"/>
    <s v="South Puget Sound"/>
    <s v="02South Puget Sound"/>
    <n v="68.585365853658601"/>
    <n v="235.93365853658599"/>
    <n v="69.712609970674492"/>
    <n v="246.71574584899585"/>
  </r>
  <r>
    <n v="2334"/>
    <x v="7"/>
    <s v="Freshwater"/>
    <x v="1"/>
    <x v="0"/>
    <n v="844"/>
    <s v="Skykomish River"/>
    <s v="Skykomish River"/>
    <s v="Snohomish"/>
    <x v="2"/>
    <s v="San Juan"/>
    <s v="05San Juan"/>
    <s v="North Puget Sound"/>
    <s v="01North Puget Sound"/>
    <n v="9.7979094076655109"/>
    <n v="33.704808362369398"/>
    <n v="9.7948717948717992"/>
    <n v="34.664447384535471"/>
  </r>
  <r>
    <n v="2332"/>
    <x v="7"/>
    <s v="Freshwater"/>
    <x v="1"/>
    <x v="0"/>
    <n v="844"/>
    <s v="Skykomish River"/>
    <s v="Skykomish River"/>
    <s v="Snohomish"/>
    <x v="2"/>
    <s v="Snohomish"/>
    <s v="03Snohomish"/>
    <s v="North Puget Sound"/>
    <s v="01North Puget Sound"/>
    <n v="1469.6864111498301"/>
    <n v="5055.7212543554197"/>
    <n v="1460.0424641442594"/>
    <n v="5167.1493244061012"/>
  </r>
  <r>
    <n v="2434"/>
    <x v="7"/>
    <s v="Freshwater"/>
    <x v="1"/>
    <x v="0"/>
    <n v="844"/>
    <s v="Skykomish River"/>
    <s v="Skykomish River"/>
    <s v="Snohomish"/>
    <x v="2"/>
    <s v="Thurston"/>
    <s v="08Thurston"/>
    <s v="South Puget Sound"/>
    <s v="02South Puget Sound"/>
    <n v="19.595818815331"/>
    <n v="67.409616724738598"/>
    <n v="19.709773644499037"/>
    <n v="69.753685986839727"/>
  </r>
  <r>
    <n v="2328"/>
    <x v="7"/>
    <s v="Freshwater"/>
    <x v="1"/>
    <x v="0"/>
    <n v="844"/>
    <s v="Skykomish River"/>
    <s v="Skykomish River"/>
    <s v="Snohomish"/>
    <x v="2"/>
    <s v="Whatcom"/>
    <s v="01Whatcom"/>
    <s v="North Puget Sound"/>
    <s v="01North Puget Sound"/>
    <n v="9.7979094076655109"/>
    <n v="33.704808362369398"/>
    <n v="9.85611510791367"/>
    <n v="34.881189946056899"/>
  </r>
  <r>
    <n v="2553"/>
    <x v="8"/>
    <s v="Freshwater"/>
    <x v="1"/>
    <x v="0"/>
    <n v="844"/>
    <s v="Skykomish River"/>
    <s v="Skykomish River"/>
    <s v="Snohomish"/>
    <x v="2"/>
    <s v="Island"/>
    <s v="04Island"/>
    <s v="North Puget Sound"/>
    <s v="01North Puget Sound"/>
    <n v="59.647058823529399"/>
    <n v="515.94705882352901"/>
    <n v="59.783216783216801"/>
    <n v="288.12849563121563"/>
  </r>
  <r>
    <n v="2554"/>
    <x v="8"/>
    <s v="Freshwater"/>
    <x v="1"/>
    <x v="0"/>
    <n v="844"/>
    <s v="Skykomish River"/>
    <s v="Skykomish River"/>
    <s v="Snohomish"/>
    <x v="2"/>
    <s v="King"/>
    <s v="06King"/>
    <s v="South Puget Sound"/>
    <s v="02South Puget Sound"/>
    <n v="198.82352941176501"/>
    <n v="1719.8235294117701"/>
    <n v="202.31005758946904"/>
    <n v="975.04443020675114"/>
  </r>
  <r>
    <n v="2559"/>
    <x v="8"/>
    <s v="Freshwater"/>
    <x v="1"/>
    <x v="0"/>
    <n v="844"/>
    <s v="Skykomish River"/>
    <s v="Skykomish River"/>
    <s v="Snohomish"/>
    <x v="2"/>
    <s v="Other"/>
    <s v="20Other"/>
    <s v="Non Puget Sound"/>
    <s v="07Non Puget Sound"/>
    <n v="39.764705882352899"/>
    <n v="343.96470588235297"/>
    <n v="40.670454545454504"/>
    <n v="196.01348865705859"/>
  </r>
  <r>
    <n v="2557"/>
    <x v="8"/>
    <s v="Freshwater"/>
    <x v="1"/>
    <x v="0"/>
    <n v="844"/>
    <s v="Skykomish River"/>
    <s v="Skykomish River"/>
    <s v="Snohomish"/>
    <x v="2"/>
    <s v="Pierce"/>
    <s v="07Pierce"/>
    <s v="South Puget Sound"/>
    <s v="02South Puget Sound"/>
    <n v="129.23529411764699"/>
    <n v="1117.8852941176499"/>
    <n v="130.01456876456879"/>
    <n v="626.61235249544154"/>
  </r>
  <r>
    <n v="2551"/>
    <x v="8"/>
    <s v="Freshwater"/>
    <x v="1"/>
    <x v="0"/>
    <n v="844"/>
    <s v="Skykomish River"/>
    <s v="Skykomish River"/>
    <s v="Snohomish"/>
    <x v="2"/>
    <s v="Skagit"/>
    <s v="02Skagit"/>
    <s v="North Puget Sound"/>
    <s v="01North Puget Sound"/>
    <n v="19.882352941176499"/>
    <n v="171.982352941177"/>
    <n v="20.4166666666667"/>
    <n v="98.39924595897817"/>
  </r>
  <r>
    <n v="2552"/>
    <x v="8"/>
    <s v="Freshwater"/>
    <x v="1"/>
    <x v="0"/>
    <n v="844"/>
    <s v="Skykomish River"/>
    <s v="Skykomish River"/>
    <s v="Snohomish"/>
    <x v="2"/>
    <s v="Snohomish"/>
    <s v="03Snohomish"/>
    <s v="North Puget Sound"/>
    <s v="01North Puget Sound"/>
    <n v="377.76470588235298"/>
    <n v="3267.6647058823501"/>
    <n v="371.55124777183619"/>
    <n v="1790.711638328135"/>
  </r>
  <r>
    <n v="2558"/>
    <x v="8"/>
    <s v="Freshwater"/>
    <x v="1"/>
    <x v="0"/>
    <n v="844"/>
    <s v="Skykomish River"/>
    <s v="Skykomish River"/>
    <s v="Snohomish"/>
    <x v="2"/>
    <s v="Thurston"/>
    <s v="08Thurston"/>
    <s v="South Puget Sound"/>
    <s v="02South Puget Sound"/>
    <n v="19.882352941176499"/>
    <n v="171.982352941177"/>
    <n v="20.253787878787801"/>
    <n v="97.614242698080403"/>
  </r>
  <r>
    <n v="2689"/>
    <x v="9"/>
    <s v="Freshwater"/>
    <x v="1"/>
    <x v="0"/>
    <n v="844"/>
    <s v="Skykomish River"/>
    <s v="Skykomish River"/>
    <s v="Snohomish"/>
    <x v="2"/>
    <s v="King"/>
    <s v="06King"/>
    <s v="South Puget Sound"/>
    <s v="02South Puget Sound"/>
    <n v="210.16949152542401"/>
    <n v="722.98305084745903"/>
    <n v="214.56633986928108"/>
    <n v="759.35895381348371"/>
  </r>
  <r>
    <n v="2784"/>
    <x v="9"/>
    <s v="Freshwater"/>
    <x v="1"/>
    <x v="0"/>
    <n v="844"/>
    <s v="Skykomish River"/>
    <s v="Skykomish River"/>
    <s v="Snohomish"/>
    <x v="2"/>
    <s v="Other"/>
    <s v="20Other"/>
    <s v="Non Puget Sound"/>
    <s v="07Non Puget Sound"/>
    <n v="52.542372881355902"/>
    <n v="180.74576271186399"/>
    <n v="52.466666666666697"/>
    <n v="185.68165507391751"/>
  </r>
  <r>
    <n v="2690"/>
    <x v="9"/>
    <s v="Freshwater"/>
    <x v="1"/>
    <x v="0"/>
    <n v="844"/>
    <s v="Skykomish River"/>
    <s v="Skykomish River"/>
    <s v="Snohomish"/>
    <x v="2"/>
    <s v="Pierce"/>
    <s v="07Pierce"/>
    <s v="South Puget Sound"/>
    <s v="02South Puget Sound"/>
    <n v="42.033898305084797"/>
    <n v="144.59661016949201"/>
    <n v="42.6111111111111"/>
    <n v="150.80244540628399"/>
  </r>
  <r>
    <n v="2682"/>
    <x v="9"/>
    <s v="Freshwater"/>
    <x v="1"/>
    <x v="0"/>
    <n v="844"/>
    <s v="Skykomish River"/>
    <s v="Skykomish River"/>
    <s v="Snohomish"/>
    <x v="2"/>
    <s v="Skagit"/>
    <s v="02Skagit"/>
    <s v="North Puget Sound"/>
    <s v="01North Puget Sound"/>
    <n v="21.016949152542399"/>
    <n v="72.298305084745806"/>
    <n v="21.7777777777778"/>
    <n v="77.072436244150452"/>
  </r>
  <r>
    <n v="2688"/>
    <x v="9"/>
    <s v="Freshwater"/>
    <x v="1"/>
    <x v="0"/>
    <n v="844"/>
    <s v="Skykomish River"/>
    <s v="Skykomish River"/>
    <s v="Snohomish"/>
    <x v="2"/>
    <s v="Snohomish"/>
    <s v="03Snohomish"/>
    <s v="North Puget Sound"/>
    <s v="01North Puget Sound"/>
    <n v="294.23728813559302"/>
    <n v="1012.17627118644"/>
    <n v="288.57810457516291"/>
    <n v="1021.2895821272604"/>
  </r>
  <r>
    <n v="2970"/>
    <x v="10"/>
    <s v="Freshwater"/>
    <x v="1"/>
    <x v="0"/>
    <n v="844"/>
    <s v="Skykomish River"/>
    <s v="Skykomish River"/>
    <s v="Snohomish"/>
    <x v="2"/>
    <s v="King"/>
    <s v="06King"/>
    <s v="South Puget Sound"/>
    <s v="02South Puget Sound"/>
    <n v="557.15254237288104"/>
    <n v="4819.36949152542"/>
    <n v="480.93822393822387"/>
    <n v="2317.9081757569634"/>
  </r>
  <r>
    <n v="3046"/>
    <x v="10"/>
    <s v="Freshwater"/>
    <x v="1"/>
    <x v="0"/>
    <n v="844"/>
    <s v="Skykomish River"/>
    <s v="Skykomish River"/>
    <s v="Snohomish"/>
    <x v="2"/>
    <s v="Other"/>
    <s v="20Other"/>
    <s v="Non Puget Sound"/>
    <s v="07Non Puget Sound"/>
    <n v="19.8983050847458"/>
    <n v="172.120338983051"/>
    <n v="33.285714285714299"/>
    <n v="160.42232752262544"/>
  </r>
  <r>
    <n v="2971"/>
    <x v="10"/>
    <s v="Freshwater"/>
    <x v="1"/>
    <x v="0"/>
    <n v="844"/>
    <s v="Skykomish River"/>
    <s v="Skykomish River"/>
    <s v="Snohomish"/>
    <x v="2"/>
    <s v="Pierce"/>
    <s v="07Pierce"/>
    <s v="South Puget Sound"/>
    <s v="02South Puget Sound"/>
    <n v="79.593220338983102"/>
    <n v="688.481355932204"/>
    <n v="72.216216216216196"/>
    <n v="348.05001902136456"/>
  </r>
  <r>
    <n v="2918"/>
    <x v="10"/>
    <s v="Freshwater"/>
    <x v="1"/>
    <x v="0"/>
    <n v="844"/>
    <s v="Skykomish River"/>
    <s v="Skykomish River"/>
    <s v="Snohomish"/>
    <x v="2"/>
    <s v="Skagit"/>
    <s v="02Skagit"/>
    <s v="North Puget Sound"/>
    <s v="01North Puget Sound"/>
    <n v="19.8983050847458"/>
    <n v="172.120338983051"/>
    <n v="18.054054054054099"/>
    <n v="87.012504755341382"/>
  </r>
  <r>
    <n v="2969"/>
    <x v="10"/>
    <s v="Freshwater"/>
    <x v="1"/>
    <x v="0"/>
    <n v="844"/>
    <s v="Skykomish River"/>
    <s v="Skykomish River"/>
    <s v="Snohomish"/>
    <x v="2"/>
    <s v="Snohomish"/>
    <s v="03Snohomish"/>
    <s v="North Puget Sound"/>
    <s v="01North Puget Sound"/>
    <n v="477.55932203389801"/>
    <n v="4130.8881355932199"/>
    <n v="536.220077220078"/>
    <n v="2584.3421028499902"/>
  </r>
  <r>
    <n v="3038"/>
    <x v="10"/>
    <s v="Freshwater"/>
    <x v="1"/>
    <x v="0"/>
    <n v="844"/>
    <s v="Skykomish River"/>
    <s v="Skykomish River"/>
    <s v="Snohomish"/>
    <x v="2"/>
    <s v="Thurston"/>
    <s v="08Thurston"/>
    <s v="South Puget Sound"/>
    <s v="02South Puget Sound"/>
    <n v="19.8983050847458"/>
    <n v="172.120338983051"/>
    <n v="33.285714285714299"/>
    <n v="160.42232752262544"/>
  </r>
  <r>
    <n v="3352"/>
    <x v="11"/>
    <s v="Freshwater"/>
    <x v="1"/>
    <x v="0"/>
    <n v="844"/>
    <s v="Skykomish River"/>
    <s v="Skykomish River"/>
    <s v="Snohomish"/>
    <x v="2"/>
    <s v="Clallam"/>
    <s v="11Clallam"/>
    <s v="Strait of Juan de Fuca"/>
    <s v="03Strait of Juan de Fuca"/>
    <n v="9.5263157894736903"/>
    <n v="32.770526315789503"/>
    <n v="35.133333333333297"/>
    <n v="124.33828745102207"/>
  </r>
  <r>
    <n v="3364"/>
    <x v="11"/>
    <s v="Freshwater"/>
    <x v="1"/>
    <x v="0"/>
    <n v="844"/>
    <s v="Skykomish River"/>
    <s v="Skykomish River"/>
    <s v="Snohomish"/>
    <x v="2"/>
    <s v="Island"/>
    <s v="04Island"/>
    <s v="North Puget Sound"/>
    <s v="01North Puget Sound"/>
    <n v="104.789473684211"/>
    <n v="360.47578947368601"/>
    <n v="155.19719331441189"/>
    <n v="549.2491432804328"/>
  </r>
  <r>
    <n v="3455"/>
    <x v="11"/>
    <s v="Freshwater"/>
    <x v="1"/>
    <x v="0"/>
    <n v="844"/>
    <s v="Skykomish River"/>
    <s v="Skykomish River"/>
    <s v="Snohomish"/>
    <x v="2"/>
    <s v="King"/>
    <s v="06King"/>
    <s v="South Puget Sound"/>
    <s v="02South Puget Sound"/>
    <n v="1009.78947368421"/>
    <n v="3473.6757894736802"/>
    <n v="1073.9170404084309"/>
    <n v="3800.6358349768834"/>
  </r>
  <r>
    <n v="1285"/>
    <x v="11"/>
    <s v="Freshwater"/>
    <x v="1"/>
    <x v="0"/>
    <n v="844"/>
    <s v="Skykomish River"/>
    <s v="Skykomish River"/>
    <s v="Snohomish"/>
    <x v="2"/>
    <s v="Other"/>
    <s v="20Other"/>
    <s v="Non Puget Sound"/>
    <s v="07Non Puget Sound"/>
    <n v="600.15789473684197"/>
    <n v="2064.54315789474"/>
    <n v="498.20869876498983"/>
    <n v="1763.1807323806745"/>
  </r>
  <r>
    <n v="3515"/>
    <x v="11"/>
    <s v="Freshwater"/>
    <x v="1"/>
    <x v="0"/>
    <n v="844"/>
    <s v="Skykomish River"/>
    <s v="Skykomish River"/>
    <s v="Snohomish"/>
    <x v="2"/>
    <s v="Pierce"/>
    <s v="07Pierce"/>
    <s v="South Puget Sound"/>
    <s v="02South Puget Sound"/>
    <n v="57.157894736842103"/>
    <n v="196.62315789473701"/>
    <n v="106.19053755742507"/>
    <n v="375.81260673796072"/>
  </r>
  <r>
    <n v="3273"/>
    <x v="11"/>
    <s v="Freshwater"/>
    <x v="1"/>
    <x v="0"/>
    <n v="844"/>
    <s v="Skykomish River"/>
    <s v="Skykomish River"/>
    <s v="Snohomish"/>
    <x v="2"/>
    <s v="Skagit"/>
    <s v="02Skagit"/>
    <s v="North Puget Sound"/>
    <s v="01North Puget Sound"/>
    <n v="19.052631578947398"/>
    <n v="65.541052631579007"/>
    <n v="15.311258278145701"/>
    <n v="54.187162230310911"/>
  </r>
  <r>
    <n v="3298"/>
    <x v="11"/>
    <s v="Freshwater"/>
    <x v="1"/>
    <x v="0"/>
    <n v="844"/>
    <s v="Skykomish River"/>
    <s v="Skykomish River"/>
    <s v="Snohomish"/>
    <x v="2"/>
    <s v="Snohomish"/>
    <s v="03Snohomish"/>
    <s v="North Puget Sound"/>
    <s v="01North Puget Sound"/>
    <n v="1933.84210526316"/>
    <n v="6652.41684210527"/>
    <n v="1850.8608632284104"/>
    <n v="6550.2714433759347"/>
  </r>
  <r>
    <n v="3544"/>
    <x v="11"/>
    <s v="Freshwater"/>
    <x v="1"/>
    <x v="0"/>
    <n v="844"/>
    <s v="Skykomish River"/>
    <s v="Skykomish River"/>
    <s v="Snohomish"/>
    <x v="2"/>
    <s v="Thurston"/>
    <s v="08Thurston"/>
    <s v="South Puget Sound"/>
    <s v="02South Puget Sound"/>
    <n v="19.052631578947398"/>
    <n v="65.541052631579007"/>
    <n v="29.891891891891898"/>
    <n v="105.78861422700952"/>
  </r>
  <r>
    <n v="3272"/>
    <x v="11"/>
    <s v="Freshwater"/>
    <x v="1"/>
    <x v="0"/>
    <n v="844"/>
    <s v="Skykomish River"/>
    <s v="Skykomish River"/>
    <s v="Snohomish"/>
    <x v="2"/>
    <s v="Whatcom"/>
    <s v="01Whatcom"/>
    <s v="North Puget Sound"/>
    <s v="01North Puget Sound"/>
    <n v="47.631578947368403"/>
    <n v="163.85263157894701"/>
    <n v="36.289183222958073"/>
    <n v="128.42888695272219"/>
  </r>
  <r>
    <n v="3585"/>
    <x v="0"/>
    <s v="Freshwater"/>
    <x v="1"/>
    <x v="0"/>
    <n v="850"/>
    <s v="Snohomish River"/>
    <s v="Snohomish River"/>
    <s v="Snohomish"/>
    <x v="2"/>
    <s v="Jefferson"/>
    <s v="12Jefferson"/>
    <s v="Strait of Juan de Fuca"/>
    <s v="03Strait of Juan de Fuca"/>
    <n v="6"/>
    <n v="51.9"/>
    <n v="6.1833333333333398"/>
    <n v="29.800914490433371"/>
  </r>
  <r>
    <n v="3574"/>
    <x v="0"/>
    <s v="Freshwater"/>
    <x v="1"/>
    <x v="0"/>
    <n v="850"/>
    <s v="Snohomish River"/>
    <s v="Snohomish River"/>
    <s v="Snohomish"/>
    <x v="2"/>
    <s v="King"/>
    <s v="06King"/>
    <s v="South Puget Sound"/>
    <s v="02South Puget Sound"/>
    <n v="114"/>
    <n v="986.1"/>
    <n v="105.1452380952381"/>
    <n v="506.75324790605572"/>
  </r>
  <r>
    <n v="3586"/>
    <x v="0"/>
    <s v="Freshwater"/>
    <x v="1"/>
    <x v="0"/>
    <n v="850"/>
    <s v="Snohomish River"/>
    <s v="Snohomish River"/>
    <s v="Snohomish"/>
    <x v="2"/>
    <s v="Other"/>
    <s v="20Other"/>
    <s v="Non Puget Sound"/>
    <s v="07Non Puget Sound"/>
    <n v="18"/>
    <n v="155.69999999999999"/>
    <n v="18.55"/>
    <n v="89.402743471300013"/>
  </r>
  <r>
    <n v="3584"/>
    <x v="0"/>
    <s v="Freshwater"/>
    <x v="1"/>
    <x v="0"/>
    <n v="850"/>
    <s v="Snohomish River"/>
    <s v="Snohomish River"/>
    <s v="Snohomish"/>
    <x v="2"/>
    <s v="Pierce"/>
    <s v="07Pierce"/>
    <s v="South Puget Sound"/>
    <s v="02South Puget Sound"/>
    <n v="30"/>
    <n v="259.5"/>
    <n v="24.735714285714291"/>
    <n v="119.21513309245746"/>
  </r>
  <r>
    <n v="3569"/>
    <x v="0"/>
    <s v="Freshwater"/>
    <x v="1"/>
    <x v="0"/>
    <n v="850"/>
    <s v="Snohomish River"/>
    <s v="Snohomish River"/>
    <s v="Snohomish"/>
    <x v="2"/>
    <s v="Skagit"/>
    <s v="02Skagit"/>
    <s v="North Puget Sound"/>
    <s v="01North Puget Sound"/>
    <n v="18"/>
    <n v="155.69999999999999"/>
    <n v="18.5571428571429"/>
    <n v="89.437168863472465"/>
  </r>
  <r>
    <n v="3573"/>
    <x v="0"/>
    <s v="Freshwater"/>
    <x v="1"/>
    <x v="0"/>
    <n v="850"/>
    <s v="Snohomish River"/>
    <s v="Snohomish River"/>
    <s v="Snohomish"/>
    <x v="2"/>
    <s v="Snohomish"/>
    <s v="03Snohomish"/>
    <s v="North Puget Sound"/>
    <s v="01North Puget Sound"/>
    <n v="624"/>
    <n v="5397.6"/>
    <n v="636.82857142857199"/>
    <n v="3069.2302645079826"/>
  </r>
  <r>
    <n v="3658"/>
    <x v="1"/>
    <s v="Freshwater"/>
    <x v="1"/>
    <x v="0"/>
    <n v="850"/>
    <s v="Snohomish River"/>
    <s v="Snohomish River"/>
    <s v="Snohomish"/>
    <x v="2"/>
    <s v="Clallam"/>
    <s v="11Clallam"/>
    <s v="Strait of Juan de Fuca"/>
    <s v="03Strait of Juan de Fuca"/>
    <n v="36.0342619276337"/>
    <n v="123.95786103106001"/>
    <n v="37.528232825960778"/>
    <n v="132.81393360464511"/>
  </r>
  <r>
    <n v="3635"/>
    <x v="1"/>
    <s v="Freshwater"/>
    <x v="1"/>
    <x v="0"/>
    <n v="850"/>
    <s v="Snohomish River"/>
    <s v="Snohomish River"/>
    <s v="Snohomish"/>
    <x v="2"/>
    <s v="Island"/>
    <s v="04Island"/>
    <s v="North Puget Sound"/>
    <s v="01North Puget Sound"/>
    <n v="43.241114313160402"/>
    <n v="148.749433237272"/>
    <n v="45.121972477938797"/>
    <n v="159.68848532217456"/>
  </r>
  <r>
    <n v="3636"/>
    <x v="1"/>
    <s v="Freshwater"/>
    <x v="1"/>
    <x v="0"/>
    <n v="850"/>
    <s v="Snohomish River"/>
    <s v="Snohomish River"/>
    <s v="Snohomish"/>
    <x v="2"/>
    <s v="King"/>
    <s v="06King"/>
    <s v="South Puget Sound"/>
    <s v="02South Puget Sound"/>
    <n v="14320.0156900416"/>
    <n v="49260.853973743098"/>
    <n v="13989.619986097501"/>
    <n v="49509.830867987366"/>
  </r>
  <r>
    <n v="3657"/>
    <x v="1"/>
    <s v="Freshwater"/>
    <x v="1"/>
    <x v="0"/>
    <n v="850"/>
    <s v="Snohomish River"/>
    <s v="Snohomish River"/>
    <s v="Snohomish"/>
    <x v="2"/>
    <s v="Kitsap"/>
    <s v="10Kitsap"/>
    <s v="South Puget Sound"/>
    <s v="02South Puget Sound"/>
    <n v="50.447966698687203"/>
    <n v="173.54100544348401"/>
    <n v="52.633450817045798"/>
    <n v="186.27191092682389"/>
  </r>
  <r>
    <n v="3656"/>
    <x v="1"/>
    <s v="Freshwater"/>
    <x v="1"/>
    <x v="0"/>
    <n v="850"/>
    <s v="Snohomish River"/>
    <s v="Snohomish River"/>
    <s v="Snohomish"/>
    <x v="2"/>
    <s v="Mason"/>
    <s v="09Mason"/>
    <s v="South Puget Sound"/>
    <s v="02South Puget Sound"/>
    <n v="28.827409542106999"/>
    <n v="99.166288824848095"/>
    <n v="30.076257609740502"/>
    <n v="106.44109195818524"/>
  </r>
  <r>
    <n v="3659"/>
    <x v="1"/>
    <s v="Freshwater"/>
    <x v="1"/>
    <x v="0"/>
    <n v="850"/>
    <s v="Snohomish River"/>
    <s v="Snohomish River"/>
    <s v="Snohomish"/>
    <x v="2"/>
    <s v="Other"/>
    <s v="20Other"/>
    <s v="Non Puget Sound"/>
    <s v="07Non Puget Sound"/>
    <n v="4151.1469740634002"/>
    <n v="14279.945590778099"/>
    <n v="4216.4949840004401"/>
    <n v="14922.346262517265"/>
  </r>
  <r>
    <n v="3638"/>
    <x v="1"/>
    <s v="Freshwater"/>
    <x v="1"/>
    <x v="0"/>
    <n v="850"/>
    <s v="Snohomish River"/>
    <s v="Snohomish River"/>
    <s v="Snohomish"/>
    <x v="2"/>
    <s v="Pierce"/>
    <s v="07Pierce"/>
    <s v="South Puget Sound"/>
    <s v="02South Puget Sound"/>
    <n v="324.308357348703"/>
    <n v="1115.62074927954"/>
    <n v="323.19064830783287"/>
    <n v="1143.7847741209168"/>
  </r>
  <r>
    <n v="3633"/>
    <x v="1"/>
    <s v="Freshwater"/>
    <x v="1"/>
    <x v="0"/>
    <n v="850"/>
    <s v="Snohomish River"/>
    <s v="Snohomish River"/>
    <s v="Snohomish"/>
    <x v="2"/>
    <s v="Skagit"/>
    <s v="02Skagit"/>
    <s v="North Puget Sound"/>
    <s v="01North Puget Sound"/>
    <n v="461.23855267371101"/>
    <n v="1586.66062119757"/>
    <n v="428.60184306545784"/>
    <n v="1516.8392551739316"/>
  </r>
  <r>
    <n v="3634"/>
    <x v="1"/>
    <s v="Freshwater"/>
    <x v="1"/>
    <x v="0"/>
    <n v="850"/>
    <s v="Snohomish River"/>
    <s v="Snohomish River"/>
    <s v="Snohomish"/>
    <x v="2"/>
    <s v="Snohomish"/>
    <s v="03Snohomish"/>
    <s v="North Puget Sound"/>
    <s v="01North Puget Sound"/>
    <n v="47521.984630163301"/>
    <n v="163475.62712776201"/>
    <n v="47849.430739353375"/>
    <n v="169341.0704071394"/>
  </r>
  <r>
    <n v="3655"/>
    <x v="1"/>
    <s v="Freshwater"/>
    <x v="1"/>
    <x v="0"/>
    <n v="850"/>
    <s v="Snohomish River"/>
    <s v="Snohomish River"/>
    <s v="Snohomish"/>
    <x v="2"/>
    <s v="Thurston"/>
    <s v="08Thurston"/>
    <s v="South Puget Sound"/>
    <s v="02South Puget Sound"/>
    <n v="345.92891450528299"/>
    <n v="1189.9954658981701"/>
    <n v="360.93532081909404"/>
    <n v="1277.3646965246137"/>
  </r>
  <r>
    <n v="3628"/>
    <x v="1"/>
    <s v="Freshwater"/>
    <x v="1"/>
    <x v="0"/>
    <n v="850"/>
    <s v="Snohomish River"/>
    <s v="Snohomish River"/>
    <s v="Snohomish"/>
    <x v="2"/>
    <s v="Whatcom"/>
    <s v="01Whatcom"/>
    <s v="North Puget Sound"/>
    <s v="01North Puget Sound"/>
    <n v="237.82612872238201"/>
    <n v="818.12188280499402"/>
    <n v="187.3665646256556"/>
    <n v="663.09784927330054"/>
  </r>
  <r>
    <n v="3709"/>
    <x v="2"/>
    <s v="Freshwater"/>
    <x v="1"/>
    <x v="0"/>
    <n v="850"/>
    <s v="Snohomish River"/>
    <s v="Snohomish River"/>
    <s v="Snohomish"/>
    <x v="2"/>
    <s v="Clallam"/>
    <s v="11Clallam"/>
    <s v="Strait of Juan de Fuca"/>
    <s v="03Strait of Juan de Fuca"/>
    <n v="7.1226277372262796"/>
    <n v="61.610729927007299"/>
    <n v="7.2708333333333401"/>
    <n v="35.042180448656488"/>
  </r>
  <r>
    <n v="3697"/>
    <x v="2"/>
    <s v="Freshwater"/>
    <x v="1"/>
    <x v="0"/>
    <n v="850"/>
    <s v="Snohomish River"/>
    <s v="Snohomish River"/>
    <s v="Snohomish"/>
    <x v="2"/>
    <s v="Island"/>
    <s v="04Island"/>
    <s v="North Puget Sound"/>
    <s v="01North Puget Sound"/>
    <n v="35.6131386861314"/>
    <n v="308.053649635037"/>
    <n v="36.356669611307396"/>
    <n v="175.22296532240023"/>
  </r>
  <r>
    <n v="3706"/>
    <x v="2"/>
    <s v="Freshwater"/>
    <x v="1"/>
    <x v="0"/>
    <n v="850"/>
    <s v="Snohomish River"/>
    <s v="Snohomish River"/>
    <s v="Snohomish"/>
    <x v="2"/>
    <s v="King"/>
    <s v="06King"/>
    <s v="South Puget Sound"/>
    <s v="02South Puget Sound"/>
    <n v="1160.98832116788"/>
    <n v="10042.548978102201"/>
    <n v="1170.657979976444"/>
    <n v="5642.0504084347331"/>
  </r>
  <r>
    <n v="3710"/>
    <x v="2"/>
    <s v="Freshwater"/>
    <x v="1"/>
    <x v="0"/>
    <n v="850"/>
    <s v="Snohomish River"/>
    <s v="Snohomish River"/>
    <s v="Snohomish"/>
    <x v="2"/>
    <s v="Other"/>
    <s v="20Other"/>
    <s v="Non Puget Sound"/>
    <s v="07Non Puget Sound"/>
    <n v="142.452554744526"/>
    <n v="1232.2145985401501"/>
    <n v="145.4229240282686"/>
    <n v="700.8737666709244"/>
  </r>
  <r>
    <n v="3707"/>
    <x v="2"/>
    <s v="Freshwater"/>
    <x v="1"/>
    <x v="0"/>
    <n v="850"/>
    <s v="Snohomish River"/>
    <s v="Snohomish River"/>
    <s v="Snohomish"/>
    <x v="2"/>
    <s v="Pierce"/>
    <s v="07Pierce"/>
    <s v="South Puget Sound"/>
    <s v="02South Puget Sound"/>
    <n v="49.858394160583998"/>
    <n v="431.275109489052"/>
    <n v="50.8958333333333"/>
    <n v="245.29526314059501"/>
  </r>
  <r>
    <n v="3695"/>
    <x v="2"/>
    <s v="Freshwater"/>
    <x v="1"/>
    <x v="0"/>
    <n v="850"/>
    <s v="Snohomish River"/>
    <s v="Snohomish River"/>
    <s v="Snohomish"/>
    <x v="2"/>
    <s v="Skagit"/>
    <s v="02Skagit"/>
    <s v="North Puget Sound"/>
    <s v="01North Puget Sound"/>
    <n v="21.367883211678802"/>
    <n v="184.83218978102201"/>
    <n v="21.815002944640739"/>
    <n v="105.13860442508735"/>
  </r>
  <r>
    <n v="3696"/>
    <x v="2"/>
    <s v="Freshwater"/>
    <x v="1"/>
    <x v="0"/>
    <n v="850"/>
    <s v="Snohomish River"/>
    <s v="Snohomish River"/>
    <s v="Snohomish"/>
    <x v="2"/>
    <s v="Snohomish"/>
    <s v="03Snohomish"/>
    <s v="North Puget Sound"/>
    <s v="01North Puget Sound"/>
    <n v="3440.2291970802899"/>
    <n v="29757.9825547445"/>
    <n v="3424.76575382803"/>
    <n v="16505.846584300853"/>
  </r>
  <r>
    <n v="3708"/>
    <x v="2"/>
    <s v="Freshwater"/>
    <x v="1"/>
    <x v="0"/>
    <n v="850"/>
    <s v="Snohomish River"/>
    <s v="Snohomish River"/>
    <s v="Snohomish"/>
    <x v="2"/>
    <s v="Thurston"/>
    <s v="08Thurston"/>
    <s v="South Puget Sound"/>
    <s v="02South Puget Sound"/>
    <n v="7.1226277372262796"/>
    <n v="61.610729927007299"/>
    <n v="7.2720848056537104"/>
    <n v="35.048211988215485"/>
  </r>
  <r>
    <n v="3694"/>
    <x v="2"/>
    <s v="Freshwater"/>
    <x v="1"/>
    <x v="0"/>
    <n v="850"/>
    <s v="Snohomish River"/>
    <s v="Snohomish River"/>
    <s v="Snohomish"/>
    <x v="2"/>
    <s v="Whatcom"/>
    <s v="01Whatcom"/>
    <s v="North Puget Sound"/>
    <s v="01North Puget Sound"/>
    <n v="14.2452554744526"/>
    <n v="123.221459854015"/>
    <n v="14.542918138987051"/>
    <n v="70.09039243687198"/>
  </r>
  <r>
    <n v="1407"/>
    <x v="3"/>
    <s v="Freshwater"/>
    <x v="1"/>
    <x v="0"/>
    <n v="850"/>
    <s v="Snohomish River"/>
    <s v="Snohomish River"/>
    <s v="Snohomish"/>
    <x v="2"/>
    <s v="Island"/>
    <s v="04Island"/>
    <s v="North Puget Sound"/>
    <s v="01North Puget Sound"/>
    <n v="481.48888888888899"/>
    <n v="1656.32177777778"/>
    <n v="481.7883558920625"/>
    <n v="1705.0684749182917"/>
  </r>
  <r>
    <n v="1413"/>
    <x v="3"/>
    <s v="Freshwater"/>
    <x v="1"/>
    <x v="0"/>
    <n v="850"/>
    <s v="Snohomish River"/>
    <s v="Snohomish River"/>
    <s v="Snohomish"/>
    <x v="2"/>
    <s v="Jefferson"/>
    <s v="12Jefferson"/>
    <s v="Strait of Juan de Fuca"/>
    <s v="03Strait of Juan de Fuca"/>
    <n v="71.331687242798395"/>
    <n v="245.38100411522601"/>
    <n v="72.398285525882002"/>
    <n v="256.22046024701029"/>
  </r>
  <r>
    <n v="1408"/>
    <x v="3"/>
    <s v="Freshwater"/>
    <x v="1"/>
    <x v="0"/>
    <n v="850"/>
    <s v="Snohomish River"/>
    <s v="Snohomish River"/>
    <s v="Snohomish"/>
    <x v="2"/>
    <s v="King"/>
    <s v="06King"/>
    <s v="South Puget Sound"/>
    <s v="02South Puget Sound"/>
    <n v="16022.880246913601"/>
    <n v="55118.708049382803"/>
    <n v="15974.913620408963"/>
    <n v="56535.865324658233"/>
  </r>
  <r>
    <n v="1412"/>
    <x v="3"/>
    <s v="Freshwater"/>
    <x v="1"/>
    <x v="0"/>
    <n v="850"/>
    <s v="Snohomish River"/>
    <s v="Snohomish River"/>
    <s v="Snohomish"/>
    <x v="2"/>
    <s v="Kitsap"/>
    <s v="10Kitsap"/>
    <s v="South Puget Sound"/>
    <s v="02South Puget Sound"/>
    <n v="240.74444444444501"/>
    <n v="828.16088888889101"/>
    <n v="243.46607094699235"/>
    <n v="861.63627079634057"/>
  </r>
  <r>
    <n v="1411"/>
    <x v="3"/>
    <s v="Freshwater"/>
    <x v="1"/>
    <x v="0"/>
    <n v="850"/>
    <s v="Snohomish River"/>
    <s v="Snohomish River"/>
    <s v="Snohomish"/>
    <x v="2"/>
    <s v="Mason"/>
    <s v="09Mason"/>
    <s v="South Puget Sound"/>
    <s v="02South Puget Sound"/>
    <n v="26.7493827160494"/>
    <n v="92.017876543209894"/>
    <n v="26.954176881010799"/>
    <n v="95.391922002945464"/>
  </r>
  <r>
    <n v="1414"/>
    <x v="3"/>
    <s v="Freshwater"/>
    <x v="1"/>
    <x v="0"/>
    <n v="850"/>
    <s v="Snohomish River"/>
    <s v="Snohomish River"/>
    <s v="Snohomish"/>
    <x v="2"/>
    <s v="Other"/>
    <s v="20Other"/>
    <s v="Non Puget Sound"/>
    <s v="07Non Puget Sound"/>
    <n v="5751.1172839506198"/>
    <n v="19783.843456790099"/>
    <n v="5780.4434398760768"/>
    <n v="20457.223093596407"/>
  </r>
  <r>
    <n v="1409"/>
    <x v="3"/>
    <s v="Freshwater"/>
    <x v="1"/>
    <x v="0"/>
    <n v="850"/>
    <s v="Snohomish River"/>
    <s v="Snohomish River"/>
    <s v="Snohomish"/>
    <x v="2"/>
    <s v="Pierce"/>
    <s v="07Pierce"/>
    <s v="South Puget Sound"/>
    <s v="02South Puget Sound"/>
    <n v="481.48888888888899"/>
    <n v="1656.32177777778"/>
    <n v="476.33354207024269"/>
    <n v="1685.7636682113873"/>
  </r>
  <r>
    <n v="1284"/>
    <x v="3"/>
    <s v="Freshwater"/>
    <x v="1"/>
    <x v="0"/>
    <n v="850"/>
    <s v="Snohomish River"/>
    <s v="Snohomish River"/>
    <s v="Snohomish"/>
    <x v="2"/>
    <s v="Skagit"/>
    <s v="02Skagit"/>
    <s v="North Puget Sound"/>
    <s v="01North Puget Sound"/>
    <n v="472.572427983539"/>
    <n v="1625.6491522633701"/>
    <n v="471.96986238297359"/>
    <n v="1670.320429331885"/>
  </r>
  <r>
    <n v="1406"/>
    <x v="3"/>
    <s v="Freshwater"/>
    <x v="1"/>
    <x v="0"/>
    <n v="850"/>
    <s v="Snohomish River"/>
    <s v="Snohomish River"/>
    <s v="Snohomish"/>
    <x v="2"/>
    <s v="Snohomish"/>
    <s v="03Snohomish"/>
    <s v="North Puget Sound"/>
    <s v="01North Puget Sound"/>
    <n v="62468.7251028807"/>
    <n v="214892.41435390999"/>
    <n v="62481.803814327701"/>
    <n v="221125.63044945689"/>
  </r>
  <r>
    <n v="1410"/>
    <x v="3"/>
    <s v="Freshwater"/>
    <x v="1"/>
    <x v="0"/>
    <n v="850"/>
    <s v="Snohomish River"/>
    <s v="Snohomish River"/>
    <s v="Snohomish"/>
    <x v="2"/>
    <s v="Thurston"/>
    <s v="08Thurston"/>
    <s v="South Puget Sound"/>
    <s v="02South Puget Sound"/>
    <n v="356.65843621399199"/>
    <n v="1226.90502057613"/>
    <n v="360.25680951828667"/>
    <n v="1274.9634175922072"/>
  </r>
  <r>
    <n v="1283"/>
    <x v="3"/>
    <s v="Freshwater"/>
    <x v="1"/>
    <x v="0"/>
    <n v="850"/>
    <s v="Snohomish River"/>
    <s v="Snohomish River"/>
    <s v="Snohomish"/>
    <x v="2"/>
    <s v="Whatcom"/>
    <s v="01Whatcom"/>
    <s v="North Puget Sound"/>
    <s v="01North Puget Sound"/>
    <n v="294.24320987654301"/>
    <n v="1012.1966419753099"/>
    <n v="297.67202216989148"/>
    <n v="1053.4733242510536"/>
  </r>
  <r>
    <n v="1749"/>
    <x v="4"/>
    <s v="Freshwater"/>
    <x v="1"/>
    <x v="0"/>
    <n v="850"/>
    <s v="Snohomish River"/>
    <s v="Snohomish River"/>
    <s v="Snohomish"/>
    <x v="2"/>
    <s v="Island"/>
    <s v="04Island"/>
    <s v="North Puget Sound"/>
    <s v="01North Puget Sound"/>
    <n v="7.13333333333334"/>
    <n v="61.703333333333397"/>
    <n v="7.1780821917808204"/>
    <n v="34.59516122952494"/>
  </r>
  <r>
    <n v="1750"/>
    <x v="4"/>
    <s v="Freshwater"/>
    <x v="1"/>
    <x v="0"/>
    <n v="850"/>
    <s v="Snohomish River"/>
    <s v="Snohomish River"/>
    <s v="Snohomish"/>
    <x v="2"/>
    <s v="King"/>
    <s v="06King"/>
    <s v="South Puget Sound"/>
    <s v="02South Puget Sound"/>
    <n v="349.53333333333302"/>
    <n v="3023.46333333333"/>
    <n v="351.43282402528996"/>
    <n v="1693.7497904974405"/>
  </r>
  <r>
    <n v="1753"/>
    <x v="4"/>
    <s v="Freshwater"/>
    <x v="1"/>
    <x v="0"/>
    <n v="850"/>
    <s v="Snohomish River"/>
    <s v="Snohomish River"/>
    <s v="Snohomish"/>
    <x v="2"/>
    <s v="Kitsap"/>
    <s v="10Kitsap"/>
    <s v="South Puget Sound"/>
    <s v="02South Puget Sound"/>
    <n v="7.13333333333334"/>
    <n v="61.703333333333397"/>
    <n v="7.1730769230769296"/>
    <n v="34.571038062196699"/>
  </r>
  <r>
    <n v="1754"/>
    <x v="4"/>
    <s v="Freshwater"/>
    <x v="1"/>
    <x v="0"/>
    <n v="850"/>
    <s v="Snohomish River"/>
    <s v="Snohomish River"/>
    <s v="Snohomish"/>
    <x v="2"/>
    <s v="Other"/>
    <s v="20Other"/>
    <s v="Non Puget Sound"/>
    <s v="07Non Puget Sound"/>
    <n v="64.2"/>
    <n v="555.33000000000004"/>
    <n v="64.572708113803998"/>
    <n v="311.21171206175484"/>
  </r>
  <r>
    <n v="1751"/>
    <x v="4"/>
    <s v="Freshwater"/>
    <x v="1"/>
    <x v="0"/>
    <n v="850"/>
    <s v="Snohomish River"/>
    <s v="Snohomish River"/>
    <s v="Snohomish"/>
    <x v="2"/>
    <s v="Pierce"/>
    <s v="07Pierce"/>
    <s v="South Puget Sound"/>
    <s v="02South Puget Sound"/>
    <n v="7.13333333333334"/>
    <n v="61.703333333333397"/>
    <n v="7.1730769230769296"/>
    <n v="34.571038062196699"/>
  </r>
  <r>
    <n v="1606"/>
    <x v="4"/>
    <s v="Freshwater"/>
    <x v="1"/>
    <x v="0"/>
    <n v="850"/>
    <s v="Snohomish River"/>
    <s v="Snohomish River"/>
    <s v="Snohomish"/>
    <x v="2"/>
    <s v="Skagit"/>
    <s v="02Skagit"/>
    <s v="North Puget Sound"/>
    <s v="01North Puget Sound"/>
    <n v="21.4"/>
    <n v="185.11"/>
    <n v="21.519230769230798"/>
    <n v="103.71311418659015"/>
  </r>
  <r>
    <n v="1748"/>
    <x v="4"/>
    <s v="Freshwater"/>
    <x v="1"/>
    <x v="0"/>
    <n v="850"/>
    <s v="Snohomish River"/>
    <s v="Snohomish River"/>
    <s v="Snohomish"/>
    <x v="2"/>
    <s v="Snohomish"/>
    <s v="03Snohomish"/>
    <s v="North Puget Sound"/>
    <s v="01North Puget Sound"/>
    <n v="820.33333333333303"/>
    <n v="7095.8833333333296"/>
    <n v="817.77792413066402"/>
    <n v="3941.3256047194609"/>
  </r>
  <r>
    <n v="1752"/>
    <x v="4"/>
    <s v="Freshwater"/>
    <x v="1"/>
    <x v="0"/>
    <n v="850"/>
    <s v="Snohomish River"/>
    <s v="Snohomish River"/>
    <s v="Snohomish"/>
    <x v="2"/>
    <s v="Thurston"/>
    <s v="08Thurston"/>
    <s v="South Puget Sound"/>
    <s v="02South Puget Sound"/>
    <n v="7.13333333333334"/>
    <n v="61.703333333333397"/>
    <n v="7.1730769230769296"/>
    <n v="34.571038062196699"/>
  </r>
  <r>
    <n v="1936"/>
    <x v="5"/>
    <s v="Freshwater"/>
    <x v="1"/>
    <x v="0"/>
    <n v="850"/>
    <s v="Snohomish River"/>
    <s v="Snohomish River"/>
    <s v="Snohomish"/>
    <x v="2"/>
    <s v="Island"/>
    <s v="04Island"/>
    <s v="North Puget Sound"/>
    <s v="01North Puget Sound"/>
    <n v="230.95296306138701"/>
    <n v="794.47819293117095"/>
    <n v="232.43287710066036"/>
    <n v="822.5893515942131"/>
  </r>
  <r>
    <n v="1938"/>
    <x v="5"/>
    <s v="Freshwater"/>
    <x v="1"/>
    <x v="0"/>
    <n v="850"/>
    <s v="Snohomish River"/>
    <s v="Snohomish River"/>
    <s v="Snohomish"/>
    <x v="2"/>
    <s v="King"/>
    <s v="06King"/>
    <s v="South Puget Sound"/>
    <s v="02South Puget Sound"/>
    <n v="7656.9790061121503"/>
    <n v="26340.007781025801"/>
    <n v="7697.2391676374082"/>
    <n v="27240.840688945926"/>
  </r>
  <r>
    <n v="1941"/>
    <x v="5"/>
    <s v="Freshwater"/>
    <x v="1"/>
    <x v="0"/>
    <n v="850"/>
    <s v="Snohomish River"/>
    <s v="Snohomish River"/>
    <s v="Snohomish"/>
    <x v="2"/>
    <s v="Kitsap"/>
    <s v="10Kitsap"/>
    <s v="South Puget Sound"/>
    <s v="02South Puget Sound"/>
    <n v="53.2968376295509"/>
    <n v="183.34112144565501"/>
    <n v="53.647665751594602"/>
    <n v="189.86125859482337"/>
  </r>
  <r>
    <n v="2065"/>
    <x v="5"/>
    <s v="Freshwater"/>
    <x v="1"/>
    <x v="0"/>
    <n v="850"/>
    <s v="Snohomish River"/>
    <s v="Snohomish River"/>
    <s v="Snohomish"/>
    <x v="2"/>
    <s v="Other"/>
    <s v="20Other"/>
    <s v="Non Puget Sound"/>
    <s v="07Non Puget Sound"/>
    <n v="3233.34148285942"/>
    <n v="11122.6947010364"/>
    <n v="3254.0513459705644"/>
    <n v="11516.219306518227"/>
  </r>
  <r>
    <n v="1939"/>
    <x v="5"/>
    <s v="Freshwater"/>
    <x v="1"/>
    <x v="0"/>
    <n v="850"/>
    <s v="Snohomish River"/>
    <s v="Snohomish River"/>
    <s v="Snohomish"/>
    <x v="2"/>
    <s v="Pierce"/>
    <s v="07Pierce"/>
    <s v="South Puget Sound"/>
    <s v="02South Puget Sound"/>
    <n v="177.65612543183599"/>
    <n v="611.137071485516"/>
    <n v="178.80690116406942"/>
    <n v="632.80485413181907"/>
  </r>
  <r>
    <n v="1937"/>
    <x v="5"/>
    <s v="Freshwater"/>
    <x v="1"/>
    <x v="0"/>
    <n v="850"/>
    <s v="Snohomish River"/>
    <s v="Snohomish River"/>
    <s v="Snohomish"/>
    <x v="2"/>
    <s v="San Juan"/>
    <s v="05San Juan"/>
    <s v="North Puget Sound"/>
    <s v="01North Puget Sound"/>
    <n v="35.5312250863673"/>
    <n v="122.227414297104"/>
    <n v="35.756941649899403"/>
    <n v="126.54526250193415"/>
  </r>
  <r>
    <n v="1930"/>
    <x v="5"/>
    <s v="Freshwater"/>
    <x v="1"/>
    <x v="0"/>
    <n v="850"/>
    <s v="Snohomish River"/>
    <s v="Snohomish River"/>
    <s v="Snohomish"/>
    <x v="2"/>
    <s v="Skagit"/>
    <s v="02Skagit"/>
    <s v="North Puget Sound"/>
    <s v="01North Puget Sound"/>
    <n v="133.24209407387701"/>
    <n v="458.35280361413697"/>
    <n v="134.0915895372234"/>
    <n v="474.55555800693821"/>
  </r>
  <r>
    <n v="1931"/>
    <x v="5"/>
    <s v="Freshwater"/>
    <x v="1"/>
    <x v="0"/>
    <n v="850"/>
    <s v="Snohomish River"/>
    <s v="Snohomish River"/>
    <s v="Snohomish"/>
    <x v="2"/>
    <s v="Snohomish"/>
    <s v="03Snohomish"/>
    <s v="North Puget Sound"/>
    <s v="01North Puget Sound"/>
    <n v="21611.8676587829"/>
    <n v="74344.824746213199"/>
    <n v="21544.960372599948"/>
    <n v="76248.486032140834"/>
  </r>
  <r>
    <n v="1940"/>
    <x v="5"/>
    <s v="Freshwater"/>
    <x v="1"/>
    <x v="0"/>
    <n v="850"/>
    <s v="Snohomish River"/>
    <s v="Snohomish River"/>
    <s v="Snohomish"/>
    <x v="2"/>
    <s v="Thurston"/>
    <s v="08Thurston"/>
    <s v="South Puget Sound"/>
    <s v="02South Puget Sound"/>
    <n v="213.187350518204"/>
    <n v="733.36448578262195"/>
    <n v="214.54879267507866"/>
    <n v="759.29685358359666"/>
  </r>
  <r>
    <n v="1929"/>
    <x v="5"/>
    <s v="Freshwater"/>
    <x v="1"/>
    <x v="0"/>
    <n v="850"/>
    <s v="Snohomish River"/>
    <s v="Snohomish River"/>
    <s v="Snohomish"/>
    <x v="2"/>
    <s v="Whatcom"/>
    <s v="01Whatcom"/>
    <s v="North Puget Sound"/>
    <s v="01North Puget Sound"/>
    <n v="79.945256444326404"/>
    <n v="275.01168216848299"/>
    <n v="80.464345913537997"/>
    <n v="284.7665741486519"/>
  </r>
  <r>
    <n v="2227"/>
    <x v="6"/>
    <s v="Freshwater"/>
    <x v="1"/>
    <x v="0"/>
    <n v="850"/>
    <s v="Snohomish River"/>
    <s v="Snohomish River"/>
    <s v="Snohomish"/>
    <x v="2"/>
    <s v="Island"/>
    <s v="04Island"/>
    <s v="North Puget Sound"/>
    <s v="01North Puget Sound"/>
    <n v="17.464285714285701"/>
    <n v="151.06607142857101"/>
    <n v="19.16"/>
    <n v="92.342671962809078"/>
  </r>
  <r>
    <n v="2324"/>
    <x v="6"/>
    <s v="Freshwater"/>
    <x v="1"/>
    <x v="0"/>
    <n v="850"/>
    <s v="Snohomish River"/>
    <s v="Snohomish River"/>
    <s v="Snohomish"/>
    <x v="2"/>
    <s v="King"/>
    <s v="06King"/>
    <s v="South Puget Sound"/>
    <s v="02South Puget Sound"/>
    <n v="43.660714285714299"/>
    <n v="377.66517857142901"/>
    <n v="38.739999999999995"/>
    <n v="186.70955698534567"/>
  </r>
  <r>
    <n v="2325"/>
    <x v="6"/>
    <s v="Freshwater"/>
    <x v="1"/>
    <x v="0"/>
    <n v="850"/>
    <s v="Snohomish River"/>
    <s v="Snohomish River"/>
    <s v="Snohomish"/>
    <x v="2"/>
    <s v="Other"/>
    <s v="20Other"/>
    <s v="Non Puget Sound"/>
    <s v="07Non Puget Sound"/>
    <n v="17.464285714285701"/>
    <n v="151.06607142857101"/>
    <n v="19.16"/>
    <n v="92.342671962809078"/>
  </r>
  <r>
    <n v="2220"/>
    <x v="6"/>
    <s v="Freshwater"/>
    <x v="1"/>
    <x v="0"/>
    <n v="850"/>
    <s v="Snohomish River"/>
    <s v="Snohomish River"/>
    <s v="Snohomish"/>
    <x v="2"/>
    <s v="Skagit"/>
    <s v="02Skagit"/>
    <s v="North Puget Sound"/>
    <s v="01North Puget Sound"/>
    <n v="34.928571428571402"/>
    <n v="302.13214285714298"/>
    <n v="38.32"/>
    <n v="184.68534392561816"/>
  </r>
  <r>
    <n v="2226"/>
    <x v="6"/>
    <s v="Freshwater"/>
    <x v="1"/>
    <x v="0"/>
    <n v="850"/>
    <s v="Snohomish River"/>
    <s v="Snohomish River"/>
    <s v="Snohomish"/>
    <x v="2"/>
    <s v="Snohomish"/>
    <s v="03Snohomish"/>
    <s v="North Puget Sound"/>
    <s v="01North Puget Sound"/>
    <n v="375.482142857143"/>
    <n v="3247.9205357142901"/>
    <n v="373.62"/>
    <n v="1800.6821032747769"/>
  </r>
  <r>
    <n v="2442"/>
    <x v="7"/>
    <s v="Freshwater"/>
    <x v="1"/>
    <x v="0"/>
    <n v="850"/>
    <s v="Snohomish River"/>
    <s v="Snohomish River"/>
    <s v="Snohomish"/>
    <x v="2"/>
    <s v="Island"/>
    <s v="04Island"/>
    <s v="North Puget Sound"/>
    <s v="01North Puget Sound"/>
    <n v="127.19341894061"/>
    <n v="437.545361155698"/>
    <n v="109.3872819424799"/>
    <n v="387.12601439231713"/>
  </r>
  <r>
    <n v="2443"/>
    <x v="7"/>
    <s v="Freshwater"/>
    <x v="1"/>
    <x v="0"/>
    <n v="850"/>
    <s v="Snohomish River"/>
    <s v="Snohomish River"/>
    <s v="Snohomish"/>
    <x v="2"/>
    <s v="King"/>
    <s v="06King"/>
    <s v="South Puget Sound"/>
    <s v="02South Puget Sound"/>
    <n v="1878.5489566613201"/>
    <n v="6462.20841091494"/>
    <n v="1898.9078406412079"/>
    <n v="6720.3116394491371"/>
  </r>
  <r>
    <n v="2548"/>
    <x v="7"/>
    <s v="Freshwater"/>
    <x v="1"/>
    <x v="0"/>
    <n v="850"/>
    <s v="Snohomish River"/>
    <s v="Snohomish River"/>
    <s v="Snohomish"/>
    <x v="2"/>
    <s v="Other"/>
    <s v="20Other"/>
    <s v="Non Puget Sound"/>
    <s v="07Non Puget Sound"/>
    <n v="635.96709470304995"/>
    <n v="2187.72680577849"/>
    <n v="626.58012494106492"/>
    <n v="2217.4924009303472"/>
  </r>
  <r>
    <n v="2547"/>
    <x v="7"/>
    <s v="Freshwater"/>
    <x v="1"/>
    <x v="0"/>
    <n v="850"/>
    <s v="Snohomish River"/>
    <s v="Snohomish River"/>
    <s v="Snohomish"/>
    <x v="2"/>
    <s v="Pierce"/>
    <s v="07Pierce"/>
    <s v="South Puget Sound"/>
    <s v="02South Puget Sound"/>
    <n v="68.488764044943807"/>
    <n v="235.60134831460701"/>
    <n v="69.603547854785518"/>
    <n v="246.32977061041652"/>
  </r>
  <r>
    <n v="2440"/>
    <x v="7"/>
    <s v="Freshwater"/>
    <x v="1"/>
    <x v="0"/>
    <n v="850"/>
    <s v="Snohomish River"/>
    <s v="Snohomish River"/>
    <s v="Snohomish"/>
    <x v="2"/>
    <s v="Skagit"/>
    <s v="02Skagit"/>
    <s v="North Puget Sound"/>
    <s v="01North Puget Sound"/>
    <n v="127.19341894061"/>
    <n v="437.545361155698"/>
    <n v="89.494099481376693"/>
    <n v="316.72323718650262"/>
  </r>
  <r>
    <n v="2441"/>
    <x v="7"/>
    <s v="Freshwater"/>
    <x v="1"/>
    <x v="0"/>
    <n v="850"/>
    <s v="Snohomish River"/>
    <s v="Snohomish River"/>
    <s v="Snohomish"/>
    <x v="2"/>
    <s v="Snohomish"/>
    <s v="03Snohomish"/>
    <s v="North Puget Sound"/>
    <s v="01North Puget Sound"/>
    <n v="9285.1195826645308"/>
    <n v="31940.811364366"/>
    <n v="9327.4071051390783"/>
    <n v="33010.070943401028"/>
  </r>
  <r>
    <n v="2437"/>
    <x v="7"/>
    <s v="Freshwater"/>
    <x v="1"/>
    <x v="0"/>
    <n v="850"/>
    <s v="Snohomish River"/>
    <s v="Snohomish River"/>
    <s v="Snohomish"/>
    <x v="2"/>
    <s v="Whatcom"/>
    <s v="01Whatcom"/>
    <s v="North Puget Sound"/>
    <s v="01North Puget Sound"/>
    <n v="68.488764044943807"/>
    <n v="235.60134831460701"/>
    <n v="69.62"/>
    <n v="246.38799541765178"/>
  </r>
  <r>
    <n v="2675"/>
    <x v="8"/>
    <s v="Freshwater"/>
    <x v="1"/>
    <x v="0"/>
    <n v="850"/>
    <s v="Snohomish River"/>
    <s v="Snohomish River"/>
    <s v="Snohomish"/>
    <x v="2"/>
    <s v="Island"/>
    <s v="04Island"/>
    <s v="North Puget Sound"/>
    <s v="01North Puget Sound"/>
    <n v="19.884615384615401"/>
    <n v="172.00192307692299"/>
    <n v="19.884615384615401"/>
    <n v="95.834995593328102"/>
  </r>
  <r>
    <n v="2676"/>
    <x v="8"/>
    <s v="Freshwater"/>
    <x v="1"/>
    <x v="0"/>
    <n v="850"/>
    <s v="Snohomish River"/>
    <s v="Snohomish River"/>
    <s v="Snohomish"/>
    <x v="2"/>
    <s v="King"/>
    <s v="06King"/>
    <s v="South Puget Sound"/>
    <s v="02South Puget Sound"/>
    <n v="49.711538461538503"/>
    <n v="430.00480769230802"/>
    <n v="49.711538461538503"/>
    <n v="239.58748898332027"/>
  </r>
  <r>
    <n v="2678"/>
    <x v="8"/>
    <s v="Freshwater"/>
    <x v="1"/>
    <x v="0"/>
    <n v="850"/>
    <s v="Snohomish River"/>
    <s v="Snohomish River"/>
    <s v="Snohomish"/>
    <x v="2"/>
    <s v="Other"/>
    <s v="20Other"/>
    <s v="Non Puget Sound"/>
    <s v="07Non Puget Sound"/>
    <n v="29.826923076923102"/>
    <n v="258.00288461538503"/>
    <n v="29.826923076923102"/>
    <n v="143.75249338999217"/>
  </r>
  <r>
    <n v="2677"/>
    <x v="8"/>
    <s v="Freshwater"/>
    <x v="1"/>
    <x v="0"/>
    <n v="850"/>
    <s v="Snohomish River"/>
    <s v="Snohomish River"/>
    <s v="Snohomish"/>
    <x v="2"/>
    <s v="Pierce"/>
    <s v="07Pierce"/>
    <s v="South Puget Sound"/>
    <s v="02South Puget Sound"/>
    <n v="9.9423076923077005"/>
    <n v="86.000961538461596"/>
    <n v="9.9423076923077005"/>
    <n v="47.917497796664051"/>
  </r>
  <r>
    <n v="2560"/>
    <x v="8"/>
    <s v="Freshwater"/>
    <x v="1"/>
    <x v="0"/>
    <n v="850"/>
    <s v="Snohomish River"/>
    <s v="Snohomish River"/>
    <s v="Snohomish"/>
    <x v="2"/>
    <s v="Snohomish"/>
    <s v="03Snohomish"/>
    <s v="North Puget Sound"/>
    <s v="01North Puget Sound"/>
    <n v="407.63461538461502"/>
    <n v="3526.0394230769198"/>
    <n v="407.63461538461502"/>
    <n v="1964.6174096632228"/>
  </r>
  <r>
    <n v="2787"/>
    <x v="9"/>
    <s v="Freshwater"/>
    <x v="1"/>
    <x v="0"/>
    <n v="850"/>
    <s v="Snohomish River"/>
    <s v="Snohomish River"/>
    <s v="Snohomish"/>
    <x v="2"/>
    <s v="King"/>
    <s v="06King"/>
    <s v="South Puget Sound"/>
    <s v="02South Puget Sound"/>
    <n v="381.92982456140402"/>
    <n v="1313.83859649123"/>
    <n v="382.03014623172152"/>
    <n v="1352.0201367300522"/>
  </r>
  <r>
    <n v="2789"/>
    <x v="9"/>
    <s v="Freshwater"/>
    <x v="1"/>
    <x v="0"/>
    <n v="850"/>
    <s v="Snohomish River"/>
    <s v="Snohomish River"/>
    <s v="Snohomish"/>
    <x v="2"/>
    <s v="Other"/>
    <s v="20Other"/>
    <s v="Non Puget Sound"/>
    <s v="07Non Puget Sound"/>
    <n v="130.947368421053"/>
    <n v="450.458947368422"/>
    <n v="135.0074240719911"/>
    <n v="477.79673346163042"/>
  </r>
  <r>
    <n v="2788"/>
    <x v="9"/>
    <s v="Freshwater"/>
    <x v="1"/>
    <x v="0"/>
    <n v="850"/>
    <s v="Snohomish River"/>
    <s v="Snohomish River"/>
    <s v="Snohomish"/>
    <x v="2"/>
    <s v="Pierce"/>
    <s v="07Pierce"/>
    <s v="South Puget Sound"/>
    <s v="02South Puget Sound"/>
    <n v="21.824561403508799"/>
    <n v="75.076491228070296"/>
    <n v="22.992125984251999"/>
    <n v="81.370063654839896"/>
  </r>
  <r>
    <n v="2785"/>
    <x v="9"/>
    <s v="Freshwater"/>
    <x v="1"/>
    <x v="0"/>
    <n v="850"/>
    <s v="Snohomish River"/>
    <s v="Snohomish River"/>
    <s v="Snohomish"/>
    <x v="2"/>
    <s v="Skagit"/>
    <s v="02Skagit"/>
    <s v="North Puget Sound"/>
    <s v="01North Puget Sound"/>
    <n v="76.385964912280699"/>
    <n v="262.76771929824599"/>
    <n v="72.684251968503901"/>
    <n v="257.23250705186996"/>
  </r>
  <r>
    <n v="2786"/>
    <x v="9"/>
    <s v="Freshwater"/>
    <x v="1"/>
    <x v="0"/>
    <n v="850"/>
    <s v="Snohomish River"/>
    <s v="Snohomish River"/>
    <s v="Snohomish"/>
    <x v="2"/>
    <s v="Snohomish"/>
    <s v="03Snohomish"/>
    <s v="North Puget Sound"/>
    <s v="01North Puget Sound"/>
    <n v="1254.91228070175"/>
    <n v="4316.8982456140202"/>
    <n v="1253.2860517435322"/>
    <n v="4435.4300197355969"/>
  </r>
  <r>
    <n v="1289"/>
    <x v="11"/>
    <s v="Freshwater"/>
    <x v="1"/>
    <x v="0"/>
    <n v="850"/>
    <s v="Snohomish River"/>
    <s v="Snohomish River"/>
    <s v="Snohomish"/>
    <x v="2"/>
    <s v="Island"/>
    <s v="04Island"/>
    <s v="North Puget Sound"/>
    <s v="01North Puget Sound"/>
    <n v="219.3412512546"/>
    <n v="754.53390431582397"/>
    <n v="207.01098620236141"/>
    <n v="732.62025164939666"/>
  </r>
  <r>
    <n v="1290"/>
    <x v="11"/>
    <s v="Freshwater"/>
    <x v="1"/>
    <x v="0"/>
    <n v="850"/>
    <s v="Snohomish River"/>
    <s v="Snohomish River"/>
    <s v="Snohomish"/>
    <x v="2"/>
    <s v="King"/>
    <s v="06King"/>
    <s v="South Puget Sound"/>
    <s v="02South Puget Sound"/>
    <n v="13080.714620274301"/>
    <n v="44997.658293743603"/>
    <n v="12948.501688691702"/>
    <n v="45825.271110870832"/>
  </r>
  <r>
    <n v="1429"/>
    <x v="11"/>
    <s v="Freshwater"/>
    <x v="1"/>
    <x v="0"/>
    <n v="850"/>
    <s v="Snohomish River"/>
    <s v="Snohomish River"/>
    <s v="Snohomish"/>
    <x v="2"/>
    <s v="Kitsap"/>
    <s v="10Kitsap"/>
    <s v="South Puget Sound"/>
    <s v="02South Puget Sound"/>
    <n v="279.16159250585503"/>
    <n v="960.31587822014103"/>
    <n v="288.37758599072203"/>
    <n v="1020.5799387479962"/>
  </r>
  <r>
    <n v="1428"/>
    <x v="11"/>
    <s v="Freshwater"/>
    <x v="1"/>
    <x v="0"/>
    <n v="850"/>
    <s v="Snohomish River"/>
    <s v="Snohomish River"/>
    <s v="Snohomish"/>
    <x v="2"/>
    <s v="Mason"/>
    <s v="09Mason"/>
    <s v="South Puget Sound"/>
    <s v="02South Puget Sound"/>
    <n v="159.52091000334599"/>
    <n v="548.75193041150999"/>
    <n v="164.901408450704"/>
    <n v="583.59275308411918"/>
  </r>
  <r>
    <n v="1430"/>
    <x v="11"/>
    <s v="Freshwater"/>
    <x v="1"/>
    <x v="0"/>
    <n v="850"/>
    <s v="Snohomish River"/>
    <s v="Snohomish River"/>
    <s v="Snohomish"/>
    <x v="2"/>
    <s v="Other"/>
    <s v="20Other"/>
    <s v="Non Puget Sound"/>
    <s v="07Non Puget Sound"/>
    <n v="2951.13683506189"/>
    <n v="10151.9107126129"/>
    <n v="2981.3066738004673"/>
    <n v="10550.964881973056"/>
  </r>
  <r>
    <n v="1291"/>
    <x v="11"/>
    <s v="Freshwater"/>
    <x v="1"/>
    <x v="0"/>
    <n v="850"/>
    <s v="Snohomish River"/>
    <s v="Snohomish River"/>
    <s v="Snohomish"/>
    <x v="2"/>
    <s v="Pierce"/>
    <s v="07Pierce"/>
    <s v="South Puget Sound"/>
    <s v="02South Puget Sound"/>
    <n v="299.10170625627302"/>
    <n v="1028.90986952158"/>
    <n v="279.51751369983077"/>
    <n v="989.22378461113635"/>
  </r>
  <r>
    <n v="1287"/>
    <x v="11"/>
    <s v="Freshwater"/>
    <x v="1"/>
    <x v="0"/>
    <n v="850"/>
    <s v="Snohomish River"/>
    <s v="Snohomish River"/>
    <s v="Snohomish"/>
    <x v="2"/>
    <s v="Skagit"/>
    <s v="02Skagit"/>
    <s v="North Puget Sound"/>
    <s v="01North Puget Sound"/>
    <n v="358.92204750752802"/>
    <n v="1234.6918434259001"/>
    <n v="370.98819325448289"/>
    <n v="1312.9422186094289"/>
  </r>
  <r>
    <n v="1288"/>
    <x v="11"/>
    <s v="Freshwater"/>
    <x v="1"/>
    <x v="0"/>
    <n v="850"/>
    <s v="Snohomish River"/>
    <s v="Snohomish River"/>
    <s v="Snohomish"/>
    <x v="2"/>
    <s v="Snohomish"/>
    <s v="03Snohomish"/>
    <s v="North Puget Sound"/>
    <s v="01North Puget Sound"/>
    <n v="42153.400468384098"/>
    <n v="145007.69761124099"/>
    <n v="42267.156819077223"/>
    <n v="149585.17725733938"/>
  </r>
  <r>
    <n v="1427"/>
    <x v="11"/>
    <s v="Freshwater"/>
    <x v="1"/>
    <x v="0"/>
    <n v="850"/>
    <s v="Snohomish River"/>
    <s v="Snohomish River"/>
    <s v="Snohomish"/>
    <x v="2"/>
    <s v="Thurston"/>
    <s v="08Thurston"/>
    <s v="South Puget Sound"/>
    <s v="02South Puget Sound"/>
    <n v="59.820341251254597"/>
    <n v="205.781973904316"/>
    <n v="52.053754479539997"/>
    <n v="184.2203421455971"/>
  </r>
  <r>
    <n v="1286"/>
    <x v="11"/>
    <s v="Freshwater"/>
    <x v="1"/>
    <x v="0"/>
    <n v="850"/>
    <s v="Snohomish River"/>
    <s v="Snohomish River"/>
    <s v="Snohomish"/>
    <x v="2"/>
    <s v="Whatcom"/>
    <s v="01Whatcom"/>
    <s v="North Puget Sound"/>
    <s v="01North Puget Sound"/>
    <n v="39.880227500836398"/>
    <n v="137.18798260287701"/>
    <n v="41.185376353073899"/>
    <n v="145.75671244118695"/>
  </r>
  <r>
    <n v="1098"/>
    <x v="0"/>
    <s v="Freshwater"/>
    <x v="1"/>
    <x v="0"/>
    <n v="852"/>
    <s v="Snoqualmie River"/>
    <s v="Snoqualmie River"/>
    <s v="Snohomish/King"/>
    <x v="2"/>
    <s v="King"/>
    <s v="06King"/>
    <s v="South Puget Sound"/>
    <s v="02South Puget Sound"/>
    <n v="129.25"/>
    <n v="1118.0125"/>
    <n v="137.5652173913044"/>
    <n v="663.00311811366078"/>
  </r>
  <r>
    <n v="1099"/>
    <x v="0"/>
    <s v="Freshwater"/>
    <x v="1"/>
    <x v="0"/>
    <n v="852"/>
    <s v="Snoqualmie River"/>
    <s v="Snoqualmie River"/>
    <s v="Snohomish/King"/>
    <x v="2"/>
    <s v="Pierce"/>
    <s v="07Pierce"/>
    <s v="South Puget Sound"/>
    <s v="02South Puget Sound"/>
    <n v="11.75"/>
    <n v="101.6375"/>
    <n v="0"/>
    <n v="0"/>
  </r>
  <r>
    <n v="1097"/>
    <x v="0"/>
    <s v="Freshwater"/>
    <x v="1"/>
    <x v="0"/>
    <n v="852"/>
    <s v="Snoqualmie River"/>
    <s v="Snoqualmie River"/>
    <s v="Snohomish/King"/>
    <x v="2"/>
    <s v="Snohomish"/>
    <s v="03Snohomish"/>
    <s v="North Puget Sound"/>
    <s v="01North Puget Sound"/>
    <n v="47"/>
    <n v="406.55"/>
    <n v="50.434782608695699"/>
    <n v="243.07320385962291"/>
  </r>
  <r>
    <n v="1175"/>
    <x v="1"/>
    <s v="Freshwater"/>
    <x v="1"/>
    <x v="0"/>
    <n v="852"/>
    <s v="Snoqualmie River"/>
    <s v="Snoqualmie River"/>
    <s v="Snohomish/King"/>
    <x v="2"/>
    <s v="King"/>
    <s v="06King"/>
    <s v="South Puget Sound"/>
    <s v="02South Puget Sound"/>
    <n v="713.686567164179"/>
    <n v="2455.0817910447799"/>
    <n v="738.56614550760901"/>
    <n v="2613.8154564056517"/>
  </r>
  <r>
    <n v="1176"/>
    <x v="1"/>
    <s v="Freshwater"/>
    <x v="1"/>
    <x v="0"/>
    <n v="852"/>
    <s v="Snoqualmie River"/>
    <s v="Snoqualmie River"/>
    <s v="Snohomish/King"/>
    <x v="2"/>
    <s v="Other"/>
    <s v="20Other"/>
    <s v="Non Puget Sound"/>
    <s v="07Non Puget Sound"/>
    <n v="50.462686567164198"/>
    <n v="173.59164179104499"/>
    <n v="53.415384615384603"/>
    <n v="189.0392062603776"/>
  </r>
  <r>
    <n v="1174"/>
    <x v="1"/>
    <s v="Freshwater"/>
    <x v="1"/>
    <x v="0"/>
    <n v="852"/>
    <s v="Snoqualmie River"/>
    <s v="Snoqualmie River"/>
    <s v="Snohomish/King"/>
    <x v="2"/>
    <s v="Snohomish"/>
    <s v="03Snohomish"/>
    <s v="North Puget Sound"/>
    <s v="01North Puget Sound"/>
    <n v="201.85074626865699"/>
    <n v="694.36656716417997"/>
    <n v="174.01846987700654"/>
    <n v="615.85840216378426"/>
  </r>
  <r>
    <n v="1178"/>
    <x v="2"/>
    <s v="Freshwater"/>
    <x v="1"/>
    <x v="0"/>
    <n v="852"/>
    <s v="Snoqualmie River"/>
    <s v="Snoqualmie River"/>
    <s v="Snohomish/King"/>
    <x v="2"/>
    <s v="King"/>
    <s v="06King"/>
    <s v="South Puget Sound"/>
    <s v="02South Puget Sound"/>
    <n v="513.10344827586198"/>
    <n v="4438.3448275862102"/>
    <n v="513.36454849498398"/>
    <n v="2474.1886272968632"/>
  </r>
  <r>
    <n v="1179"/>
    <x v="2"/>
    <s v="Freshwater"/>
    <x v="1"/>
    <x v="0"/>
    <n v="852"/>
    <s v="Snoqualmie River"/>
    <s v="Snoqualmie River"/>
    <s v="Snohomish/King"/>
    <x v="2"/>
    <s v="Other"/>
    <s v="20Other"/>
    <s v="Non Puget Sound"/>
    <s v="07Non Puget Sound"/>
    <n v="49.885057471264403"/>
    <n v="431.50574712643697"/>
    <n v="49.607023411371202"/>
    <n v="239.08377296073283"/>
  </r>
  <r>
    <n v="1177"/>
    <x v="2"/>
    <s v="Freshwater"/>
    <x v="1"/>
    <x v="0"/>
    <n v="852"/>
    <s v="Snoqualmie River"/>
    <s v="Snoqualmie River"/>
    <s v="Snohomish/King"/>
    <x v="2"/>
    <s v="Snohomish"/>
    <s v="03Snohomish"/>
    <s v="North Puget Sound"/>
    <s v="01North Puget Sound"/>
    <n v="57.011494252873597"/>
    <n v="493.14942528735702"/>
    <n v="57.028428093645523"/>
    <n v="274.85164029259676"/>
  </r>
  <r>
    <n v="1181"/>
    <x v="3"/>
    <s v="Freshwater"/>
    <x v="1"/>
    <x v="0"/>
    <n v="852"/>
    <s v="Snoqualmie River"/>
    <s v="Snoqualmie River"/>
    <s v="Snohomish/King"/>
    <x v="2"/>
    <s v="Island"/>
    <s v="04Island"/>
    <s v="North Puget Sound"/>
    <s v="01North Puget Sound"/>
    <n v="54.467661691542297"/>
    <n v="187.36875621890599"/>
    <n v="62.153846153846203"/>
    <n v="219.96497502647645"/>
  </r>
  <r>
    <n v="1182"/>
    <x v="3"/>
    <s v="Freshwater"/>
    <x v="1"/>
    <x v="0"/>
    <n v="852"/>
    <s v="Snoqualmie River"/>
    <s v="Snoqualmie River"/>
    <s v="Snohomish/King"/>
    <x v="2"/>
    <s v="King"/>
    <s v="06King"/>
    <s v="South Puget Sound"/>
    <s v="02South Puget Sound"/>
    <n v="949.29353233830898"/>
    <n v="3265.56975124378"/>
    <n v="1007.6063081355862"/>
    <n v="3565.9594718717012"/>
  </r>
  <r>
    <n v="1184"/>
    <x v="3"/>
    <s v="Freshwater"/>
    <x v="1"/>
    <x v="0"/>
    <n v="852"/>
    <s v="Snoqualmie River"/>
    <s v="Snoqualmie River"/>
    <s v="Snohomish/King"/>
    <x v="2"/>
    <s v="Other"/>
    <s v="20Other"/>
    <s v="Non Puget Sound"/>
    <s v="07Non Puget Sound"/>
    <n v="287.90049751243799"/>
    <n v="990.37771144278702"/>
    <n v="328.56469002695428"/>
    <n v="1162.8037250899652"/>
  </r>
  <r>
    <n v="1183"/>
    <x v="3"/>
    <s v="Freshwater"/>
    <x v="1"/>
    <x v="0"/>
    <n v="852"/>
    <s v="Snoqualmie River"/>
    <s v="Snoqualmie River"/>
    <s v="Snohomish/King"/>
    <x v="2"/>
    <s v="Pierce"/>
    <s v="07Pierce"/>
    <s v="South Puget Sound"/>
    <s v="02South Puget Sound"/>
    <n v="46.686567164179102"/>
    <n v="160.60179104477601"/>
    <n v="7.4482758620689697"/>
    <n v="26.359749482517316"/>
  </r>
  <r>
    <n v="1180"/>
    <x v="3"/>
    <s v="Freshwater"/>
    <x v="1"/>
    <x v="0"/>
    <n v="852"/>
    <s v="Snoqualmie River"/>
    <s v="Snoqualmie River"/>
    <s v="Snohomish/King"/>
    <x v="2"/>
    <s v="Snohomish"/>
    <s v="03Snohomish"/>
    <s v="North Puget Sound"/>
    <s v="01North Puget Sound"/>
    <n v="225.65174129353201"/>
    <n v="776.24199004975003"/>
    <n v="158.2268798215444"/>
    <n v="559.97132634903789"/>
  </r>
  <r>
    <n v="38"/>
    <x v="4"/>
    <s v="Freshwater"/>
    <x v="1"/>
    <x v="0"/>
    <n v="852"/>
    <s v="Snoqualmie River"/>
    <s v="Snoqualmie River"/>
    <s v="Snohomish/King"/>
    <x v="2"/>
    <s v="King"/>
    <s v="06King"/>
    <s v="South Puget Sound"/>
    <s v="02South Puget Sound"/>
    <n v="63.75"/>
    <n v="551.4375"/>
    <n v="63.6666666666667"/>
    <n v="306.84499556187444"/>
  </r>
  <r>
    <n v="39"/>
    <x v="4"/>
    <s v="Freshwater"/>
    <x v="1"/>
    <x v="0"/>
    <n v="852"/>
    <s v="Snoqualmie River"/>
    <s v="Snoqualmie River"/>
    <s v="Snohomish/King"/>
    <x v="2"/>
    <s v="Other"/>
    <s v="20Other"/>
    <s v="Non Puget Sound"/>
    <s v="07Non Puget Sound"/>
    <n v="7.0833333333333401"/>
    <n v="61.2708333333334"/>
    <n v="7.1111111111111098"/>
    <n v="34.272390429249477"/>
  </r>
  <r>
    <n v="1185"/>
    <x v="4"/>
    <s v="Freshwater"/>
    <x v="1"/>
    <x v="0"/>
    <n v="852"/>
    <s v="Snoqualmie River"/>
    <s v="Snoqualmie River"/>
    <s v="Snohomish/King"/>
    <x v="2"/>
    <s v="Snohomish"/>
    <s v="03Snohomish"/>
    <s v="North Puget Sound"/>
    <s v="01North Puget Sound"/>
    <n v="14.1666666666667"/>
    <n v="122.541666666667"/>
    <n v="14.2222222222222"/>
    <n v="68.544780858498854"/>
  </r>
  <r>
    <n v="41"/>
    <x v="5"/>
    <s v="Freshwater"/>
    <x v="1"/>
    <x v="0"/>
    <n v="852"/>
    <s v="Snoqualmie River"/>
    <s v="Snoqualmie River"/>
    <s v="Snohomish/King"/>
    <x v="2"/>
    <s v="King"/>
    <s v="06King"/>
    <s v="South Puget Sound"/>
    <s v="02South Puget Sound"/>
    <n v="142"/>
    <n v="488.48"/>
    <n v="161.81818181818181"/>
    <n v="572.68108934660904"/>
  </r>
  <r>
    <n v="40"/>
    <x v="5"/>
    <s v="Freshwater"/>
    <x v="1"/>
    <x v="0"/>
    <n v="852"/>
    <s v="Snoqualmie River"/>
    <s v="Snoqualmie River"/>
    <s v="Snohomish/King"/>
    <x v="2"/>
    <s v="Snohomish"/>
    <s v="03Snohomish"/>
    <s v="North Puget Sound"/>
    <s v="01North Puget Sound"/>
    <n v="284"/>
    <n v="976.96"/>
    <n v="264.18181818181819"/>
    <n v="934.95013800069989"/>
  </r>
  <r>
    <n v="43"/>
    <x v="7"/>
    <s v="Freshwater"/>
    <x v="1"/>
    <x v="0"/>
    <n v="852"/>
    <s v="Snoqualmie River"/>
    <s v="Snoqualmie River"/>
    <s v="Snohomish/King"/>
    <x v="2"/>
    <s v="Clallam"/>
    <s v="11Clallam"/>
    <s v="Strait of Juan de Fuca"/>
    <s v="03Strait of Juan de Fuca"/>
    <n v="19.5"/>
    <n v="67.08"/>
    <n v="19.3333333333333"/>
    <n v="68.42144850245991"/>
  </r>
  <r>
    <n v="42"/>
    <x v="7"/>
    <s v="Freshwater"/>
    <x v="1"/>
    <x v="0"/>
    <n v="852"/>
    <s v="Snoqualmie River"/>
    <s v="Snoqualmie River"/>
    <s v="Snohomish/King"/>
    <x v="2"/>
    <s v="Snohomish"/>
    <s v="03Snohomish"/>
    <s v="North Puget Sound"/>
    <s v="01North Puget Sound"/>
    <n v="19.5"/>
    <n v="67.08"/>
    <n v="19.666666666666671"/>
    <n v="69.601128649054189"/>
  </r>
  <r>
    <n v="45"/>
    <x v="8"/>
    <s v="Freshwater"/>
    <x v="1"/>
    <x v="0"/>
    <n v="852"/>
    <s v="Snoqualmie River"/>
    <s v="Snoqualmie River"/>
    <s v="Snohomish/King"/>
    <x v="2"/>
    <s v="King"/>
    <s v="06King"/>
    <s v="South Puget Sound"/>
    <s v="02South Puget Sound"/>
    <n v="5"/>
    <n v="43.25"/>
    <n v="10"/>
    <n v="48.195549041132082"/>
  </r>
  <r>
    <n v="44"/>
    <x v="8"/>
    <s v="Freshwater"/>
    <x v="1"/>
    <x v="0"/>
    <n v="852"/>
    <s v="Snoqualmie River"/>
    <s v="Snoqualmie River"/>
    <s v="Snohomish/King"/>
    <x v="2"/>
    <s v="Whatcom"/>
    <s v="01Whatcom"/>
    <s v="North Puget Sound"/>
    <s v="01North Puget Sound"/>
    <n v="5"/>
    <n v="43.25"/>
    <n v="0"/>
    <n v="0"/>
  </r>
  <r>
    <n v="46"/>
    <x v="9"/>
    <s v="Freshwater"/>
    <x v="1"/>
    <x v="0"/>
    <n v="852"/>
    <s v="Snoqualmie River"/>
    <s v="Snoqualmie River"/>
    <s v="Snohomish/King"/>
    <x v="2"/>
    <s v="King"/>
    <s v="06King"/>
    <s v="South Puget Sound"/>
    <s v="02South Puget Sound"/>
    <n v="76.125"/>
    <n v="261.87"/>
    <n v="76.2"/>
    <n v="269.67488151142004"/>
  </r>
  <r>
    <n v="47"/>
    <x v="9"/>
    <s v="Freshwater"/>
    <x v="1"/>
    <x v="0"/>
    <n v="852"/>
    <s v="Snoqualmie River"/>
    <s v="Snoqualmie River"/>
    <s v="Snohomish/King"/>
    <x v="2"/>
    <s v="Other"/>
    <s v="20Other"/>
    <s v="Non Puget Sound"/>
    <s v="07Non Puget Sound"/>
    <n v="10.875"/>
    <n v="37.409999999999997"/>
    <n v="10.8"/>
    <n v="38.221636749650088"/>
  </r>
  <r>
    <n v="48"/>
    <x v="11"/>
    <s v="Freshwater"/>
    <x v="1"/>
    <x v="0"/>
    <n v="852"/>
    <s v="Snoqualmie River"/>
    <s v="Snoqualmie River"/>
    <s v="Snohomish/King"/>
    <x v="2"/>
    <s v="King"/>
    <s v="06King"/>
    <s v="South Puget Sound"/>
    <s v="02South Puget Sound"/>
    <n v="4"/>
    <n v="13.76"/>
    <n v="4"/>
    <n v="14.156161759129661"/>
  </r>
  <r>
    <n v="1511"/>
    <x v="1"/>
    <s v="Freshwater"/>
    <x v="1"/>
    <x v="0"/>
    <n v="858"/>
    <s v="Tolt River"/>
    <s v="Tolt River"/>
    <s v="King"/>
    <x v="2"/>
    <s v="King"/>
    <s v="06King"/>
    <s v="South Puget Sound"/>
    <s v="02South Puget Sound"/>
    <n v="4"/>
    <n v="13.76"/>
    <n v="4"/>
    <n v="14.156161759129661"/>
  </r>
  <r>
    <n v="2068"/>
    <x v="5"/>
    <s v="Freshwater"/>
    <x v="1"/>
    <x v="0"/>
    <n v="860"/>
    <s v="Wallace River"/>
    <s v="Wallace River"/>
    <s v="Snohomish"/>
    <x v="2"/>
    <s v="King"/>
    <s v="06King"/>
    <s v="South Puget Sound"/>
    <s v="02South Puget Sound"/>
    <n v="89.473684210526301"/>
    <n v="307.78947368421001"/>
    <n v="89.4166666666667"/>
    <n v="316.44919932387774"/>
  </r>
  <r>
    <n v="2069"/>
    <x v="5"/>
    <s v="Freshwater"/>
    <x v="1"/>
    <x v="0"/>
    <n v="860"/>
    <s v="Wallace River"/>
    <s v="Wallace River"/>
    <s v="Snohomish"/>
    <x v="2"/>
    <s v="Other"/>
    <s v="20Other"/>
    <s v="Non Puget Sound"/>
    <s v="07Non Puget Sound"/>
    <n v="44.7368421052632"/>
    <n v="153.894736842105"/>
    <n v="44.916666666666671"/>
    <n v="158.96189975356017"/>
  </r>
  <r>
    <n v="2067"/>
    <x v="5"/>
    <s v="Freshwater"/>
    <x v="1"/>
    <x v="0"/>
    <n v="860"/>
    <s v="Wallace River"/>
    <s v="Wallace River"/>
    <s v="Snohomish"/>
    <x v="2"/>
    <s v="Snohomish"/>
    <s v="03Snohomish"/>
    <s v="North Puget Sound"/>
    <s v="01North Puget Sound"/>
    <n v="26.842105263157901"/>
    <n v="92.336842105263202"/>
    <n v="26.75"/>
    <n v="94.669331764179617"/>
  </r>
  <r>
    <n v="2066"/>
    <x v="5"/>
    <s v="Freshwater"/>
    <x v="1"/>
    <x v="0"/>
    <n v="860"/>
    <s v="Wallace River"/>
    <s v="Wallace River"/>
    <s v="Snohomish"/>
    <x v="2"/>
    <s v="Whatcom"/>
    <s v="01Whatcom"/>
    <s v="North Puget Sound"/>
    <s v="01North Puget Sound"/>
    <n v="8.9473684210526301"/>
    <n v="30.778947368421001"/>
    <n v="8.9166666666666696"/>
    <n v="31.556443921393214"/>
  </r>
  <r>
    <n v="2327"/>
    <x v="6"/>
    <s v="Freshwater"/>
    <x v="1"/>
    <x v="0"/>
    <n v="860"/>
    <s v="Wallace River"/>
    <s v="Wallace River"/>
    <s v="Snohomish"/>
    <x v="2"/>
    <s v="King"/>
    <s v="06King"/>
    <s v="South Puget Sound"/>
    <s v="02South Puget Sound"/>
    <n v="159.07142857142901"/>
    <n v="1375.9678571428601"/>
    <n v="159.333333333333"/>
    <n v="767.91574805536959"/>
  </r>
  <r>
    <n v="2326"/>
    <x v="6"/>
    <s v="Freshwater"/>
    <x v="1"/>
    <x v="0"/>
    <n v="860"/>
    <s v="Wallace River"/>
    <s v="Wallace River"/>
    <s v="Snohomish"/>
    <x v="2"/>
    <s v="Snohomish"/>
    <s v="03Snohomish"/>
    <s v="North Puget Sound"/>
    <s v="01North Puget Sound"/>
    <n v="102.928571428571"/>
    <n v="890.33214285713905"/>
    <n v="102.6666666666667"/>
    <n v="494.80763682228957"/>
  </r>
  <r>
    <n v="2550"/>
    <x v="7"/>
    <s v="Freshwater"/>
    <x v="1"/>
    <x v="0"/>
    <n v="860"/>
    <s v="Wallace River"/>
    <s v="Wallace River"/>
    <s v="Snohomish"/>
    <x v="2"/>
    <s v="King"/>
    <s v="06King"/>
    <s v="South Puget Sound"/>
    <s v="02South Puget Sound"/>
    <n v="97.924528301886795"/>
    <n v="336.86037735849101"/>
    <n v="97.894736842105303"/>
    <n v="346.45343252606818"/>
  </r>
  <r>
    <n v="2549"/>
    <x v="7"/>
    <s v="Freshwater"/>
    <x v="1"/>
    <x v="0"/>
    <n v="860"/>
    <s v="Wallace River"/>
    <s v="Wallace River"/>
    <s v="Snohomish"/>
    <x v="2"/>
    <s v="Snohomish"/>
    <s v="03Snohomish"/>
    <s v="North Puget Sound"/>
    <s v="01North Puget Sound"/>
    <n v="421.07547169811301"/>
    <n v="1448.4996226415101"/>
    <n v="421.10526315789502"/>
    <n v="1490.3085557210065"/>
  </r>
  <r>
    <n v="2680"/>
    <x v="8"/>
    <s v="Freshwater"/>
    <x v="1"/>
    <x v="0"/>
    <n v="860"/>
    <s v="Wallace River"/>
    <s v="Wallace River"/>
    <s v="Snohomish"/>
    <x v="2"/>
    <s v="King"/>
    <s v="06King"/>
    <s v="South Puget Sound"/>
    <s v="02South Puget Sound"/>
    <n v="19.8571428571429"/>
    <n v="171.76428571428599"/>
    <n v="21.3333333333333"/>
    <n v="102.81717128774828"/>
  </r>
  <r>
    <n v="2679"/>
    <x v="8"/>
    <s v="Freshwater"/>
    <x v="1"/>
    <x v="0"/>
    <n v="860"/>
    <s v="Wallace River"/>
    <s v="Wallace River"/>
    <s v="Snohomish"/>
    <x v="2"/>
    <s v="Snohomish"/>
    <s v="03Snohomish"/>
    <s v="North Puget Sound"/>
    <s v="01North Puget Sound"/>
    <n v="119.142857142857"/>
    <n v="1030.5857142857101"/>
    <n v="117.6666666666667"/>
    <n v="567.10096038398774"/>
  </r>
  <r>
    <n v="2791"/>
    <x v="9"/>
    <s v="Freshwater"/>
    <x v="1"/>
    <x v="0"/>
    <n v="860"/>
    <s v="Wallace River"/>
    <s v="Wallace River"/>
    <s v="Snohomish"/>
    <x v="2"/>
    <s v="King"/>
    <s v="06King"/>
    <s v="South Puget Sound"/>
    <s v="02South Puget Sound"/>
    <n v="184.243243243243"/>
    <n v="633.79675675675605"/>
    <n v="184.23333333333332"/>
    <n v="652.00921702258029"/>
  </r>
  <r>
    <n v="2790"/>
    <x v="9"/>
    <s v="Freshwater"/>
    <x v="1"/>
    <x v="0"/>
    <n v="860"/>
    <s v="Wallace River"/>
    <s v="Wallace River"/>
    <s v="Snohomish"/>
    <x v="2"/>
    <s v="Snohomish"/>
    <s v="03Snohomish"/>
    <s v="North Puget Sound"/>
    <s v="01North Puget Sound"/>
    <n v="216.756756756757"/>
    <n v="745.643243243244"/>
    <n v="216.76666666666668"/>
    <n v="767.14599933016825"/>
  </r>
  <r>
    <n v="3086"/>
    <x v="10"/>
    <s v="Freshwater"/>
    <x v="1"/>
    <x v="0"/>
    <n v="860"/>
    <s v="Wallace River"/>
    <s v="Wallace River"/>
    <s v="Snohomish"/>
    <x v="2"/>
    <s v="King"/>
    <s v="06King"/>
    <s v="South Puget Sound"/>
    <s v="02South Puget Sound"/>
    <n v="173.894736842105"/>
    <n v="1504.18947368421"/>
    <n v="173.9285714285715"/>
    <n v="838.25829939397624"/>
  </r>
  <r>
    <n v="3047"/>
    <x v="10"/>
    <s v="Freshwater"/>
    <x v="1"/>
    <x v="0"/>
    <n v="860"/>
    <s v="Wallace River"/>
    <s v="Wallace River"/>
    <s v="Snohomish"/>
    <x v="2"/>
    <s v="Snohomish"/>
    <s v="03Snohomish"/>
    <s v="North Puget Sound"/>
    <s v="01North Puget Sound"/>
    <n v="298.10526315789502"/>
    <n v="2578.6105263157901"/>
    <n v="298.07142857142901"/>
    <n v="1436.5716153474607"/>
  </r>
  <r>
    <n v="1432"/>
    <x v="11"/>
    <s v="Freshwater"/>
    <x v="1"/>
    <x v="0"/>
    <n v="860"/>
    <s v="Wallace River"/>
    <s v="Wallace River"/>
    <s v="Snohomish"/>
    <x v="2"/>
    <s v="King"/>
    <s v="06King"/>
    <s v="South Puget Sound"/>
    <s v="02South Puget Sound"/>
    <n v="559.84782608695696"/>
    <n v="1925.8765217391301"/>
    <n v="577.286885245902"/>
    <n v="2043.0416322412777"/>
  </r>
  <r>
    <n v="1607"/>
    <x v="11"/>
    <s v="Freshwater"/>
    <x v="1"/>
    <x v="0"/>
    <n v="860"/>
    <s v="Wallace River"/>
    <s v="Wallace River"/>
    <s v="Snohomish"/>
    <x v="2"/>
    <s v="Other"/>
    <s v="20Other"/>
    <s v="Non Puget Sound"/>
    <s v="07Non Puget Sound"/>
    <n v="14.355072463768099"/>
    <n v="49.3814492753623"/>
    <n v="13.6147540983607"/>
    <n v="48.183165331791898"/>
  </r>
  <r>
    <n v="1433"/>
    <x v="11"/>
    <s v="Freshwater"/>
    <x v="1"/>
    <x v="0"/>
    <n v="860"/>
    <s v="Wallace River"/>
    <s v="Wallace River"/>
    <s v="Snohomish"/>
    <x v="2"/>
    <s v="Pierce"/>
    <s v="07Pierce"/>
    <s v="South Puget Sound"/>
    <s v="02South Puget Sound"/>
    <n v="43.065217391304401"/>
    <n v="148.144347826087"/>
    <n v="40.844262295081997"/>
    <n v="144.54949599537531"/>
  </r>
  <r>
    <n v="1431"/>
    <x v="11"/>
    <s v="Freshwater"/>
    <x v="1"/>
    <x v="0"/>
    <n v="860"/>
    <s v="Wallace River"/>
    <s v="Wallace River"/>
    <s v="Snohomish"/>
    <x v="2"/>
    <s v="Snohomish"/>
    <s v="03Snohomish"/>
    <s v="North Puget Sound"/>
    <s v="01North Puget Sound"/>
    <n v="1335.02173913043"/>
    <n v="4592.4747826086796"/>
    <n v="1322.02459016393"/>
    <n v="4678.6984869769221"/>
  </r>
  <r>
    <n v="1434"/>
    <x v="11"/>
    <s v="Freshwater"/>
    <x v="1"/>
    <x v="0"/>
    <n v="860"/>
    <s v="Wallace River"/>
    <s v="Wallace River"/>
    <s v="Snohomish"/>
    <x v="2"/>
    <s v="Thurston"/>
    <s v="08Thurston"/>
    <s v="South Puget Sound"/>
    <s v="02South Puget Sound"/>
    <n v="28.710144927536199"/>
    <n v="98.762898550724501"/>
    <n v="27.229508196721302"/>
    <n v="96.36633066358344"/>
  </r>
  <r>
    <n v="3589"/>
    <x v="0"/>
    <s v="Freshwater"/>
    <x v="1"/>
    <x v="0"/>
    <n v="872"/>
    <s v="Stillaguamish River"/>
    <s v="Stillaguamish River"/>
    <s v="Snohomish"/>
    <x v="2"/>
    <s v="Island"/>
    <s v="04Island"/>
    <s v="North Puget Sound"/>
    <s v="01North Puget Sound"/>
    <n v="12.1785714285714"/>
    <n v="105.344642857143"/>
    <n v="12.1904761904762"/>
    <n v="58.752669307284876"/>
  </r>
  <r>
    <n v="3587"/>
    <x v="0"/>
    <s v="Freshwater"/>
    <x v="1"/>
    <x v="0"/>
    <n v="872"/>
    <s v="Stillaguamish River"/>
    <s v="Stillaguamish River"/>
    <s v="Snohomish"/>
    <x v="2"/>
    <s v="Snohomish"/>
    <s v="03Snohomish"/>
    <s v="North Puget Sound"/>
    <s v="01North Puget Sound"/>
    <n v="328.82142857142901"/>
    <n v="2844.30535714286"/>
    <n v="328.80952380952397"/>
    <n v="1584.71555299532"/>
  </r>
  <r>
    <n v="3683"/>
    <x v="1"/>
    <s v="Freshwater"/>
    <x v="1"/>
    <x v="0"/>
    <n v="872"/>
    <s v="Stillaguamish River"/>
    <s v="Stillaguamish River"/>
    <s v="Snohomish"/>
    <x v="2"/>
    <s v="Clallam"/>
    <s v="11Clallam"/>
    <s v="Strait of Juan de Fuca"/>
    <s v="03Strait of Juan de Fuca"/>
    <n v="86.066815144766196"/>
    <n v="296.069844097996"/>
    <n v="88.247689463955695"/>
    <n v="312.3121417302998"/>
  </r>
  <r>
    <n v="3665"/>
    <x v="1"/>
    <s v="Freshwater"/>
    <x v="1"/>
    <x v="0"/>
    <n v="872"/>
    <s v="Stillaguamish River"/>
    <s v="Stillaguamish River"/>
    <s v="Snohomish"/>
    <x v="2"/>
    <s v="Island"/>
    <s v="04Island"/>
    <s v="North Puget Sound"/>
    <s v="01North Puget Sound"/>
    <n v="401.64513734224198"/>
    <n v="1381.65927245731"/>
    <n v="404.36090787946489"/>
    <n v="1431.0496052525582"/>
  </r>
  <r>
    <n v="3666"/>
    <x v="1"/>
    <s v="Freshwater"/>
    <x v="1"/>
    <x v="0"/>
    <n v="872"/>
    <s v="Stillaguamish River"/>
    <s v="Stillaguamish River"/>
    <s v="Snohomish"/>
    <x v="2"/>
    <s v="King"/>
    <s v="06King"/>
    <s v="South Puget Sound"/>
    <s v="02South Puget Sound"/>
    <n v="788.94580549369005"/>
    <n v="2713.9735708982898"/>
    <n v="774.02046167734102"/>
    <n v="2739.2897150951653"/>
  </r>
  <r>
    <n v="3684"/>
    <x v="1"/>
    <s v="Freshwater"/>
    <x v="1"/>
    <x v="0"/>
    <n v="872"/>
    <s v="Stillaguamish River"/>
    <s v="Stillaguamish River"/>
    <s v="Snohomish"/>
    <x v="2"/>
    <s v="Other"/>
    <s v="20Other"/>
    <s v="Non Puget Sound"/>
    <s v="07Non Puget Sound"/>
    <n v="272.54491462509299"/>
    <n v="937.55450631031999"/>
    <n v="250.03512014787401"/>
    <n v="884.88440156918114"/>
  </r>
  <r>
    <n v="3667"/>
    <x v="1"/>
    <s v="Freshwater"/>
    <x v="1"/>
    <x v="0"/>
    <n v="872"/>
    <s v="Stillaguamish River"/>
    <s v="Stillaguamish River"/>
    <s v="Snohomish"/>
    <x v="2"/>
    <s v="Pierce"/>
    <s v="07Pierce"/>
    <s v="South Puget Sound"/>
    <s v="02South Puget Sound"/>
    <n v="7.17223459539718"/>
    <n v="24.6724870081663"/>
    <n v="7.3441860465116298"/>
    <n v="25.991371415890395"/>
  </r>
  <r>
    <n v="3663"/>
    <x v="1"/>
    <s v="Freshwater"/>
    <x v="1"/>
    <x v="0"/>
    <n v="872"/>
    <s v="Stillaguamish River"/>
    <s v="Stillaguamish River"/>
    <s v="Snohomish"/>
    <x v="2"/>
    <s v="Skagit"/>
    <s v="02Skagit"/>
    <s v="North Puget Sound"/>
    <s v="01North Puget Sound"/>
    <n v="243.85597624350399"/>
    <n v="838.86455827765406"/>
    <n v="250.0057559214199"/>
    <n v="884.7804803842771"/>
  </r>
  <r>
    <n v="3664"/>
    <x v="1"/>
    <s v="Freshwater"/>
    <x v="1"/>
    <x v="0"/>
    <n v="872"/>
    <s v="Stillaguamish River"/>
    <s v="Stillaguamish River"/>
    <s v="Snohomish"/>
    <x v="2"/>
    <s v="Snohomish"/>
    <s v="03Snohomish"/>
    <s v="North Puget Sound"/>
    <s v="01North Puget Sound"/>
    <n v="7602.5686711210101"/>
    <n v="26152.836228656299"/>
    <n v="7622.29175084899"/>
    <n v="26975.598750074485"/>
  </r>
  <r>
    <n v="3668"/>
    <x v="1"/>
    <s v="Freshwater"/>
    <x v="1"/>
    <x v="0"/>
    <n v="872"/>
    <s v="Stillaguamish River"/>
    <s v="Stillaguamish River"/>
    <s v="Snohomish"/>
    <x v="2"/>
    <s v="Thurston"/>
    <s v="08Thurston"/>
    <s v="South Puget Sound"/>
    <s v="02South Puget Sound"/>
    <n v="7.17223459539718"/>
    <n v="24.6724870081663"/>
    <n v="7.3539741219963002"/>
    <n v="26.026011810858289"/>
  </r>
  <r>
    <n v="3660"/>
    <x v="1"/>
    <s v="Freshwater"/>
    <x v="1"/>
    <x v="0"/>
    <n v="872"/>
    <s v="Stillaguamish River"/>
    <s v="Stillaguamish River"/>
    <s v="Snohomish"/>
    <x v="2"/>
    <s v="Whatcom"/>
    <s v="01Whatcom"/>
    <s v="North Puget Sound"/>
    <s v="01North Puget Sound"/>
    <n v="251.028210838901"/>
    <n v="863.53704528581898"/>
    <n v="257.34015389244712"/>
    <n v="910.73721140520047"/>
  </r>
  <r>
    <n v="3718"/>
    <x v="2"/>
    <s v="Freshwater"/>
    <x v="1"/>
    <x v="0"/>
    <n v="872"/>
    <s v="Stillaguamish River"/>
    <s v="Stillaguamish River"/>
    <s v="Snohomish"/>
    <x v="2"/>
    <s v="Island"/>
    <s v="04Island"/>
    <s v="North Puget Sound"/>
    <s v="01North Puget Sound"/>
    <n v="164.05780346820799"/>
    <n v="1419.1"/>
    <n v="164.0301974448314"/>
    <n v="790.55254251789506"/>
  </r>
  <r>
    <n v="3719"/>
    <x v="2"/>
    <s v="Freshwater"/>
    <x v="1"/>
    <x v="0"/>
    <n v="872"/>
    <s v="Stillaguamish River"/>
    <s v="Stillaguamish River"/>
    <s v="Snohomish"/>
    <x v="2"/>
    <s v="King"/>
    <s v="06King"/>
    <s v="South Puget Sound"/>
    <s v="02South Puget Sound"/>
    <n v="78.462427745664797"/>
    <n v="678.70000000000095"/>
    <n v="78.456445993031409"/>
    <n v="378.12514904500762"/>
  </r>
  <r>
    <n v="3720"/>
    <x v="2"/>
    <s v="Freshwater"/>
    <x v="1"/>
    <x v="0"/>
    <n v="872"/>
    <s v="Stillaguamish River"/>
    <s v="Stillaguamish River"/>
    <s v="Snohomish"/>
    <x v="2"/>
    <s v="Other"/>
    <s v="20Other"/>
    <s v="Non Puget Sound"/>
    <s v="07Non Puget Sound"/>
    <n v="35.6647398843931"/>
    <n v="308.5"/>
    <n v="35.650406504065003"/>
    <n v="171.81909150029591"/>
  </r>
  <r>
    <n v="3712"/>
    <x v="2"/>
    <s v="Freshwater"/>
    <x v="1"/>
    <x v="0"/>
    <n v="872"/>
    <s v="Stillaguamish River"/>
    <s v="Stillaguamish River"/>
    <s v="Snohomish"/>
    <x v="2"/>
    <s v="Skagit"/>
    <s v="02Skagit"/>
    <s v="North Puget Sound"/>
    <s v="01North Puget Sound"/>
    <n v="14.2658959537572"/>
    <n v="123.4"/>
    <n v="14.260162601626"/>
    <n v="68.727636600118359"/>
  </r>
  <r>
    <n v="3717"/>
    <x v="2"/>
    <s v="Freshwater"/>
    <x v="1"/>
    <x v="0"/>
    <n v="872"/>
    <s v="Stillaguamish River"/>
    <s v="Stillaguamish River"/>
    <s v="Snohomish"/>
    <x v="2"/>
    <s v="Snohomish"/>
    <s v="03Snohomish"/>
    <s v="North Puget Sound"/>
    <s v="01North Puget Sound"/>
    <n v="913.01734104046295"/>
    <n v="7897.6"/>
    <n v="913.08246225319397"/>
    <n v="4400.6510588121446"/>
  </r>
  <r>
    <n v="3711"/>
    <x v="2"/>
    <s v="Freshwater"/>
    <x v="1"/>
    <x v="0"/>
    <n v="872"/>
    <s v="Stillaguamish River"/>
    <s v="Stillaguamish River"/>
    <s v="Snohomish"/>
    <x v="2"/>
    <s v="Whatcom"/>
    <s v="01Whatcom"/>
    <s v="North Puget Sound"/>
    <s v="01North Puget Sound"/>
    <n v="28.531791907514499"/>
    <n v="246.8"/>
    <n v="28.520325203252"/>
    <n v="137.45527320023672"/>
  </r>
  <r>
    <n v="1423"/>
    <x v="3"/>
    <s v="Freshwater"/>
    <x v="1"/>
    <x v="0"/>
    <n v="872"/>
    <s v="Stillaguamish River"/>
    <s v="Stillaguamish River"/>
    <s v="Snohomish"/>
    <x v="2"/>
    <s v="Island"/>
    <s v="04Island"/>
    <s v="North Puget Sound"/>
    <s v="01North Puget Sound"/>
    <n v="603.16345177665005"/>
    <n v="2074.8822741116801"/>
    <n v="616.27721167999903"/>
    <n v="2181.0299742518646"/>
  </r>
  <r>
    <n v="1424"/>
    <x v="3"/>
    <s v="Freshwater"/>
    <x v="1"/>
    <x v="0"/>
    <n v="872"/>
    <s v="Stillaguamish River"/>
    <s v="Stillaguamish River"/>
    <s v="Snohomish"/>
    <x v="2"/>
    <s v="King"/>
    <s v="06King"/>
    <s v="South Puget Sound"/>
    <s v="02South Puget Sound"/>
    <n v="381.41218274111702"/>
    <n v="1312.0579086294399"/>
    <n v="386.57784953843702"/>
    <n v="1368.1146426406506"/>
  </r>
  <r>
    <n v="1591"/>
    <x v="3"/>
    <s v="Freshwater"/>
    <x v="1"/>
    <x v="0"/>
    <n v="872"/>
    <s v="Stillaguamish River"/>
    <s v="Stillaguamish River"/>
    <s v="Snohomish"/>
    <x v="2"/>
    <s v="Kitsap"/>
    <s v="10Kitsap"/>
    <s v="South Puget Sound"/>
    <s v="02South Puget Sound"/>
    <n v="17.7401015228426"/>
    <n v="61.025949238578498"/>
    <n v="17.797665369649799"/>
    <n v="62.986657476905691"/>
  </r>
  <r>
    <n v="1426"/>
    <x v="3"/>
    <s v="Freshwater"/>
    <x v="1"/>
    <x v="0"/>
    <n v="872"/>
    <s v="Stillaguamish River"/>
    <s v="Stillaguamish River"/>
    <s v="Snohomish"/>
    <x v="2"/>
    <s v="Mason"/>
    <s v="09Mason"/>
    <s v="South Puget Sound"/>
    <s v="02South Puget Sound"/>
    <n v="44.350253807106597"/>
    <n v="152.564873096447"/>
    <n v="35.595330739299598"/>
    <n v="125.97331495381138"/>
  </r>
  <r>
    <n v="1592"/>
    <x v="3"/>
    <s v="Freshwater"/>
    <x v="1"/>
    <x v="0"/>
    <n v="872"/>
    <s v="Stillaguamish River"/>
    <s v="Stillaguamish River"/>
    <s v="Snohomish"/>
    <x v="2"/>
    <s v="Other"/>
    <s v="20Other"/>
    <s v="Non Puget Sound"/>
    <s v="07Non Puget Sound"/>
    <n v="434.632487309645"/>
    <n v="1495.13575634518"/>
    <n v="428.02493239156991"/>
    <n v="1514.7975449689002"/>
  </r>
  <r>
    <n v="1425"/>
    <x v="3"/>
    <s v="Freshwater"/>
    <x v="1"/>
    <x v="0"/>
    <n v="872"/>
    <s v="Stillaguamish River"/>
    <s v="Stillaguamish River"/>
    <s v="Snohomish"/>
    <x v="2"/>
    <s v="Pierce"/>
    <s v="07Pierce"/>
    <s v="South Puget Sound"/>
    <s v="02South Puget Sound"/>
    <n v="26.610152284264"/>
    <n v="91.538923857868198"/>
    <n v="26.909102319796428"/>
    <n v="95.232401308002366"/>
  </r>
  <r>
    <n v="1421"/>
    <x v="3"/>
    <s v="Freshwater"/>
    <x v="1"/>
    <x v="0"/>
    <n v="872"/>
    <s v="Stillaguamish River"/>
    <s v="Stillaguamish River"/>
    <s v="Snohomish"/>
    <x v="2"/>
    <s v="Skagit"/>
    <s v="02Skagit"/>
    <s v="North Puget Sound"/>
    <s v="01North Puget Sound"/>
    <n v="141.920812182741"/>
    <n v="488.20759390862901"/>
    <n v="118.20176523614461"/>
    <n v="418.32082722438304"/>
  </r>
  <r>
    <n v="1422"/>
    <x v="3"/>
    <s v="Freshwater"/>
    <x v="1"/>
    <x v="0"/>
    <n v="872"/>
    <s v="Stillaguamish River"/>
    <s v="Stillaguamish River"/>
    <s v="Snohomish"/>
    <x v="2"/>
    <s v="Snohomish"/>
    <s v="03Snohomish"/>
    <s v="North Puget Sound"/>
    <s v="01North Puget Sound"/>
    <n v="7007.3401015228401"/>
    <n v="24105.249949238601"/>
    <n v="7027.5266485616903"/>
    <n v="24870.701000908408"/>
  </r>
  <r>
    <n v="1420"/>
    <x v="3"/>
    <s v="Freshwater"/>
    <x v="1"/>
    <x v="0"/>
    <n v="872"/>
    <s v="Stillaguamish River"/>
    <s v="Stillaguamish River"/>
    <s v="Snohomish"/>
    <x v="2"/>
    <s v="Whatcom"/>
    <s v="01Whatcom"/>
    <s v="North Puget Sound"/>
    <s v="01North Puget Sound"/>
    <n v="79.830456852791897"/>
    <n v="274.61677157360401"/>
    <n v="80.089494163424106"/>
    <n v="283.43995864607564"/>
  </r>
  <r>
    <n v="1761"/>
    <x v="4"/>
    <s v="Freshwater"/>
    <x v="1"/>
    <x v="0"/>
    <n v="872"/>
    <s v="Stillaguamish River"/>
    <s v="Stillaguamish River"/>
    <s v="Snohomish"/>
    <x v="2"/>
    <s v="Island"/>
    <s v="04Island"/>
    <s v="North Puget Sound"/>
    <s v="01North Puget Sound"/>
    <n v="6.90625"/>
    <n v="59.739062500000003"/>
    <n v="7.1304347826086998"/>
    <n v="34.365521924981159"/>
  </r>
  <r>
    <n v="1762"/>
    <x v="4"/>
    <s v="Freshwater"/>
    <x v="1"/>
    <x v="0"/>
    <n v="872"/>
    <s v="Stillaguamish River"/>
    <s v="Stillaguamish River"/>
    <s v="Snohomish"/>
    <x v="2"/>
    <s v="King"/>
    <s v="06King"/>
    <s v="South Puget Sound"/>
    <s v="02South Puget Sound"/>
    <n v="13.8125"/>
    <n v="119.47812500000001"/>
    <n v="14.2608695652174"/>
    <n v="68.731043849962319"/>
  </r>
  <r>
    <n v="1755"/>
    <x v="4"/>
    <s v="Freshwater"/>
    <x v="1"/>
    <x v="0"/>
    <n v="872"/>
    <s v="Stillaguamish River"/>
    <s v="Stillaguamish River"/>
    <s v="Snohomish"/>
    <x v="2"/>
    <s v="Skagit"/>
    <s v="02Skagit"/>
    <s v="North Puget Sound"/>
    <s v="01North Puget Sound"/>
    <n v="20.71875"/>
    <n v="179.21718749999999"/>
    <n v="21.3913043478261"/>
    <n v="103.09656577494349"/>
  </r>
  <r>
    <n v="1756"/>
    <x v="4"/>
    <s v="Freshwater"/>
    <x v="1"/>
    <x v="0"/>
    <n v="872"/>
    <s v="Stillaguamish River"/>
    <s v="Stillaguamish River"/>
    <s v="Snohomish"/>
    <x v="2"/>
    <s v="Snohomish"/>
    <s v="03Snohomish"/>
    <s v="North Puget Sound"/>
    <s v="01North Puget Sound"/>
    <n v="165.75"/>
    <n v="1433.7375"/>
    <n v="171.017391304348"/>
    <n v="824.22770694951794"/>
  </r>
  <r>
    <n v="1763"/>
    <x v="4"/>
    <s v="Freshwater"/>
    <x v="1"/>
    <x v="0"/>
    <n v="872"/>
    <s v="Stillaguamish River"/>
    <s v="Stillaguamish River"/>
    <s v="Snohomish"/>
    <x v="2"/>
    <s v="Thurston"/>
    <s v="08Thurston"/>
    <s v="South Puget Sound"/>
    <s v="02South Puget Sound"/>
    <n v="13.8125"/>
    <n v="119.47812500000001"/>
    <n v="7.2"/>
    <n v="34.700795309615103"/>
  </r>
  <r>
    <n v="2075"/>
    <x v="5"/>
    <s v="Freshwater"/>
    <x v="1"/>
    <x v="0"/>
    <n v="872"/>
    <s v="Stillaguamish River"/>
    <s v="Stillaguamish River"/>
    <s v="Snohomish"/>
    <x v="2"/>
    <s v="Island"/>
    <s v="04Island"/>
    <s v="North Puget Sound"/>
    <s v="01North Puget Sound"/>
    <n v="124.33750000000001"/>
    <n v="427.721"/>
    <n v="124.9881796690308"/>
    <n v="442.33822234349032"/>
  </r>
  <r>
    <n v="2076"/>
    <x v="5"/>
    <s v="Freshwater"/>
    <x v="1"/>
    <x v="0"/>
    <n v="872"/>
    <s v="Stillaguamish River"/>
    <s v="Stillaguamish River"/>
    <s v="Snohomish"/>
    <x v="2"/>
    <s v="King"/>
    <s v="06King"/>
    <s v="South Puget Sound"/>
    <s v="02South Puget Sound"/>
    <n v="88.8125"/>
    <n v="305.51499999999999"/>
    <n v="89.106382978723403"/>
    <n v="315.35109280444158"/>
  </r>
  <r>
    <n v="2213"/>
    <x v="5"/>
    <s v="Freshwater"/>
    <x v="1"/>
    <x v="0"/>
    <n v="872"/>
    <s v="Stillaguamish River"/>
    <s v="Stillaguamish River"/>
    <s v="Snohomish"/>
    <x v="2"/>
    <s v="Other"/>
    <s v="20Other"/>
    <s v="Non Puget Sound"/>
    <s v="07Non Puget Sound"/>
    <n v="186.50624999999999"/>
    <n v="641.58150000000001"/>
    <n v="169.86761229314388"/>
    <n v="601.16834931471669"/>
  </r>
  <r>
    <n v="2070"/>
    <x v="5"/>
    <s v="Freshwater"/>
    <x v="1"/>
    <x v="0"/>
    <n v="872"/>
    <s v="Stillaguamish River"/>
    <s v="Stillaguamish River"/>
    <s v="Snohomish"/>
    <x v="2"/>
    <s v="Skagit"/>
    <s v="02Skagit"/>
    <s v="North Puget Sound"/>
    <s v="01North Puget Sound"/>
    <n v="35.524999999999999"/>
    <n v="122.206"/>
    <n v="35.773049645390103"/>
    <n v="126.60226934937957"/>
  </r>
  <r>
    <n v="2071"/>
    <x v="5"/>
    <s v="Freshwater"/>
    <x v="1"/>
    <x v="0"/>
    <n v="872"/>
    <s v="Stillaguamish River"/>
    <s v="Stillaguamish River"/>
    <s v="Snohomish"/>
    <x v="2"/>
    <s v="Snohomish"/>
    <s v="03Snohomish"/>
    <s v="North Puget Sound"/>
    <s v="01North Puget Sound"/>
    <n v="2406.8187499999999"/>
    <n v="8279.4565000000002"/>
    <n v="2422.264775413712"/>
    <n v="8572.4929960495974"/>
  </r>
  <r>
    <n v="2795"/>
    <x v="9"/>
    <s v="Freshwater"/>
    <x v="1"/>
    <x v="0"/>
    <n v="872"/>
    <s v="Stillaguamish River"/>
    <s v="Stillaguamish River"/>
    <s v="Snohomish"/>
    <x v="2"/>
    <s v="King"/>
    <s v="06King"/>
    <s v="South Puget Sound"/>
    <s v="02South Puget Sound"/>
    <n v="21.678160919540201"/>
    <n v="74.572873563218295"/>
    <n v="22.1875"/>
    <n v="78.522459757672337"/>
  </r>
  <r>
    <n v="2797"/>
    <x v="9"/>
    <s v="Freshwater"/>
    <x v="1"/>
    <x v="0"/>
    <n v="872"/>
    <s v="Stillaguamish River"/>
    <s v="Stillaguamish River"/>
    <s v="Snohomish"/>
    <x v="2"/>
    <s v="Other"/>
    <s v="20Other"/>
    <s v="Non Puget Sound"/>
    <s v="07Non Puget Sound"/>
    <n v="21.678160919540201"/>
    <n v="74.572873563218295"/>
    <n v="22.210526315789501"/>
    <n v="78.603950820430583"/>
  </r>
  <r>
    <n v="2796"/>
    <x v="9"/>
    <s v="Freshwater"/>
    <x v="1"/>
    <x v="0"/>
    <n v="872"/>
    <s v="Stillaguamish River"/>
    <s v="Stillaguamish River"/>
    <s v="Snohomish"/>
    <x v="2"/>
    <s v="Pierce"/>
    <s v="07Pierce"/>
    <s v="South Puget Sound"/>
    <s v="02South Puget Sound"/>
    <n v="10.8390804597701"/>
    <n v="37.286436781609098"/>
    <n v="11.105263157894701"/>
    <n v="39.301975410215114"/>
  </r>
  <r>
    <n v="2793"/>
    <x v="9"/>
    <s v="Freshwater"/>
    <x v="1"/>
    <x v="0"/>
    <n v="872"/>
    <s v="Stillaguamish River"/>
    <s v="Stillaguamish River"/>
    <s v="Snohomish"/>
    <x v="2"/>
    <s v="Skagit"/>
    <s v="02Skagit"/>
    <s v="North Puget Sound"/>
    <s v="01North Puget Sound"/>
    <n v="21.678160919540201"/>
    <n v="74.572873563218295"/>
    <n v="22.1875"/>
    <n v="78.522459757672337"/>
  </r>
  <r>
    <n v="2794"/>
    <x v="9"/>
    <s v="Freshwater"/>
    <x v="1"/>
    <x v="0"/>
    <n v="872"/>
    <s v="Stillaguamish River"/>
    <s v="Stillaguamish River"/>
    <s v="Snohomish"/>
    <x v="2"/>
    <s v="Snohomish"/>
    <s v="03Snohomish"/>
    <s v="North Puget Sound"/>
    <s v="01North Puget Sound"/>
    <n v="823.77011494252895"/>
    <n v="2833.7691954022998"/>
    <n v="820.93421052631606"/>
    <n v="2905.3193694534834"/>
  </r>
  <r>
    <n v="2792"/>
    <x v="9"/>
    <s v="Freshwater"/>
    <x v="1"/>
    <x v="0"/>
    <n v="872"/>
    <s v="Stillaguamish River"/>
    <s v="Stillaguamish River"/>
    <s v="Snohomish"/>
    <x v="2"/>
    <s v="Whatcom"/>
    <s v="01Whatcom"/>
    <s v="North Puget Sound"/>
    <s v="01North Puget Sound"/>
    <n v="43.356321839080501"/>
    <n v="149.14574712643699"/>
    <n v="44.375"/>
    <n v="157.04491951534467"/>
  </r>
  <r>
    <n v="3197"/>
    <x v="10"/>
    <s v="Freshwater"/>
    <x v="1"/>
    <x v="0"/>
    <n v="872"/>
    <s v="Stillaguamish River"/>
    <s v="Stillaguamish River"/>
    <s v="Snohomish"/>
    <x v="2"/>
    <s v="Island"/>
    <s v="04Island"/>
    <s v="North Puget Sound"/>
    <s v="01North Puget Sound"/>
    <n v="12.473684210526301"/>
    <n v="107.897368421053"/>
    <n v="12.461538461538501"/>
    <n v="60.059068805103244"/>
  </r>
  <r>
    <n v="3198"/>
    <x v="10"/>
    <s v="Freshwater"/>
    <x v="1"/>
    <x v="0"/>
    <n v="872"/>
    <s v="Stillaguamish River"/>
    <s v="Stillaguamish River"/>
    <s v="Snohomish"/>
    <x v="2"/>
    <s v="King"/>
    <s v="06King"/>
    <s v="South Puget Sound"/>
    <s v="02South Puget Sound"/>
    <n v="37.421052631579002"/>
    <n v="323.692105263158"/>
    <n v="37.384615384615401"/>
    <n v="180.17720641530926"/>
  </r>
  <r>
    <n v="3087"/>
    <x v="10"/>
    <s v="Freshwater"/>
    <x v="1"/>
    <x v="0"/>
    <n v="872"/>
    <s v="Stillaguamish River"/>
    <s v="Stillaguamish River"/>
    <s v="Snohomish"/>
    <x v="2"/>
    <s v="Snohomish"/>
    <s v="03Snohomish"/>
    <s v="North Puget Sound"/>
    <s v="01North Puget Sound"/>
    <n v="424.10526315789502"/>
    <n v="3668.5105263157898"/>
    <n v="424.15384615384602"/>
    <n v="2044.232749329248"/>
  </r>
  <r>
    <n v="1608"/>
    <x v="11"/>
    <s v="Freshwater"/>
    <x v="1"/>
    <x v="0"/>
    <n v="872"/>
    <s v="Stillaguamish River"/>
    <s v="Stillaguamish River"/>
    <s v="Snohomish"/>
    <x v="2"/>
    <s v="Snohomish"/>
    <s v="03Snohomish"/>
    <s v="North Puget Sound"/>
    <s v="01North Puget Sound"/>
    <n v="10"/>
    <n v="34.4"/>
    <n v="10"/>
    <n v="35.390404397824156"/>
  </r>
  <r>
    <n v="667"/>
    <x v="1"/>
    <s v="Freshwater"/>
    <x v="1"/>
    <x v="0"/>
    <n v="878"/>
    <s v="Tahuya River"/>
    <s v="Tahuya River"/>
    <s v="Mason"/>
    <x v="4"/>
    <s v="Jefferson"/>
    <s v="12Jefferson"/>
    <s v="Strait of Juan de Fuca"/>
    <s v="03Strait of Juan de Fuca"/>
    <n v="15.0714285714286"/>
    <n v="51.845714285714401"/>
    <n v="15.0714285714286"/>
    <n v="53.338395199577931"/>
  </r>
  <r>
    <n v="663"/>
    <x v="1"/>
    <s v="Freshwater"/>
    <x v="1"/>
    <x v="0"/>
    <n v="878"/>
    <s v="Tahuya River"/>
    <s v="Tahuya River"/>
    <s v="Mason"/>
    <x v="4"/>
    <s v="King"/>
    <s v="06King"/>
    <s v="South Puget Sound"/>
    <s v="02South Puget Sound"/>
    <n v="15.0714285714286"/>
    <n v="51.845714285714401"/>
    <n v="15.0714285714286"/>
    <n v="53.338395199577931"/>
  </r>
  <r>
    <n v="666"/>
    <x v="1"/>
    <s v="Freshwater"/>
    <x v="1"/>
    <x v="0"/>
    <n v="878"/>
    <s v="Tahuya River"/>
    <s v="Tahuya River"/>
    <s v="Mason"/>
    <x v="4"/>
    <s v="Kitsap"/>
    <s v="10Kitsap"/>
    <s v="South Puget Sound"/>
    <s v="02South Puget Sound"/>
    <n v="105.5"/>
    <n v="362.92"/>
    <n v="105.5"/>
    <n v="373.36876639704479"/>
  </r>
  <r>
    <n v="665"/>
    <x v="1"/>
    <s v="Freshwater"/>
    <x v="1"/>
    <x v="0"/>
    <n v="878"/>
    <s v="Tahuya River"/>
    <s v="Tahuya River"/>
    <s v="Mason"/>
    <x v="4"/>
    <s v="Mason"/>
    <s v="09Mason"/>
    <s v="South Puget Sound"/>
    <s v="02South Puget Sound"/>
    <n v="60.285714285714299"/>
    <n v="207.38285714285701"/>
    <n v="60.285714285714299"/>
    <n v="213.35358079831138"/>
  </r>
  <r>
    <n v="664"/>
    <x v="1"/>
    <s v="Freshwater"/>
    <x v="1"/>
    <x v="0"/>
    <n v="878"/>
    <s v="Tahuya River"/>
    <s v="Tahuya River"/>
    <s v="Mason"/>
    <x v="4"/>
    <s v="Pierce"/>
    <s v="07Pierce"/>
    <s v="South Puget Sound"/>
    <s v="02South Puget Sound"/>
    <n v="15.0714285714286"/>
    <n v="51.845714285714401"/>
    <n v="15.0714285714286"/>
    <n v="53.338395199577931"/>
  </r>
  <r>
    <n v="671"/>
    <x v="2"/>
    <s v="Freshwater"/>
    <x v="1"/>
    <x v="0"/>
    <n v="878"/>
    <s v="Tahuya River"/>
    <s v="Tahuya River"/>
    <s v="Mason"/>
    <x v="4"/>
    <s v="King"/>
    <s v="06King"/>
    <s v="South Puget Sound"/>
    <s v="02South Puget Sound"/>
    <n v="174.41860465116301"/>
    <n v="1508.72093023256"/>
    <n v="175.44642857142901"/>
    <n v="845.57369523057844"/>
  </r>
  <r>
    <n v="749"/>
    <x v="2"/>
    <s v="Freshwater"/>
    <x v="1"/>
    <x v="0"/>
    <n v="878"/>
    <s v="Tahuya River"/>
    <s v="Tahuya River"/>
    <s v="Mason"/>
    <x v="4"/>
    <s v="Kitsap"/>
    <s v="10Kitsap"/>
    <s v="South Puget Sound"/>
    <s v="02South Puget Sound"/>
    <n v="432.55813953488399"/>
    <n v="3741.6279069767502"/>
    <n v="428.08928571428601"/>
    <n v="2063.1998163626076"/>
  </r>
  <r>
    <n v="674"/>
    <x v="2"/>
    <s v="Freshwater"/>
    <x v="1"/>
    <x v="0"/>
    <n v="878"/>
    <s v="Tahuya River"/>
    <s v="Tahuya River"/>
    <s v="Mason"/>
    <x v="4"/>
    <s v="Mason"/>
    <s v="09Mason"/>
    <s v="South Puget Sound"/>
    <s v="02South Puget Sound"/>
    <n v="411.62790697674399"/>
    <n v="3560.58139534884"/>
    <n v="414.017857142857"/>
    <n v="1995.3817937832982"/>
  </r>
  <r>
    <n v="672"/>
    <x v="2"/>
    <s v="Freshwater"/>
    <x v="1"/>
    <x v="0"/>
    <n v="878"/>
    <s v="Tahuya River"/>
    <s v="Tahuya River"/>
    <s v="Mason"/>
    <x v="4"/>
    <s v="Pierce"/>
    <s v="07Pierce"/>
    <s v="South Puget Sound"/>
    <s v="02South Puget Sound"/>
    <n v="118.604651162791"/>
    <n v="1025.93023255814"/>
    <n v="119.28571428571399"/>
    <n v="574.90404927635984"/>
  </r>
  <r>
    <n v="670"/>
    <x v="2"/>
    <s v="Freshwater"/>
    <x v="1"/>
    <x v="0"/>
    <n v="878"/>
    <s v="Tahuya River"/>
    <s v="Tahuya River"/>
    <s v="Mason"/>
    <x v="4"/>
    <s v="Snohomish"/>
    <s v="03Snohomish"/>
    <s v="North Puget Sound"/>
    <s v="01North Puget Sound"/>
    <n v="13.953488372093"/>
    <n v="120.697674418604"/>
    <n v="14.035714285714301"/>
    <n v="67.645895618446175"/>
  </r>
  <r>
    <n v="673"/>
    <x v="2"/>
    <s v="Freshwater"/>
    <x v="1"/>
    <x v="0"/>
    <n v="878"/>
    <s v="Tahuya River"/>
    <s v="Tahuya River"/>
    <s v="Mason"/>
    <x v="4"/>
    <s v="Thurston"/>
    <s v="08Thurston"/>
    <s v="South Puget Sound"/>
    <s v="02South Puget Sound"/>
    <n v="48.837209302325597"/>
    <n v="422.44186046511601"/>
    <n v="49.125"/>
    <n v="236.76063466456137"/>
  </r>
  <r>
    <n v="752"/>
    <x v="3"/>
    <s v="Freshwater"/>
    <x v="1"/>
    <x v="0"/>
    <n v="878"/>
    <s v="Tahuya River"/>
    <s v="Tahuya River"/>
    <s v="Mason"/>
    <x v="4"/>
    <s v="King"/>
    <s v="06King"/>
    <s v="South Puget Sound"/>
    <s v="02South Puget Sound"/>
    <n v="78.157894736842096"/>
    <n v="268.86315789473701"/>
    <n v="78.157894736842096"/>
    <n v="276.60395016194138"/>
  </r>
  <r>
    <n v="755"/>
    <x v="3"/>
    <s v="Freshwater"/>
    <x v="1"/>
    <x v="0"/>
    <n v="878"/>
    <s v="Tahuya River"/>
    <s v="Tahuya River"/>
    <s v="Mason"/>
    <x v="4"/>
    <s v="Kitsap"/>
    <s v="10Kitsap"/>
    <s v="South Puget Sound"/>
    <s v="02South Puget Sound"/>
    <n v="156.31578947368399"/>
    <n v="537.72631578947301"/>
    <n v="156.31578947368399"/>
    <n v="553.20790032388209"/>
  </r>
  <r>
    <n v="754"/>
    <x v="3"/>
    <s v="Freshwater"/>
    <x v="1"/>
    <x v="0"/>
    <n v="878"/>
    <s v="Tahuya River"/>
    <s v="Tahuya River"/>
    <s v="Mason"/>
    <x v="4"/>
    <s v="Mason"/>
    <s v="09Mason"/>
    <s v="South Puget Sound"/>
    <s v="02South Puget Sound"/>
    <n v="23.447368421052602"/>
    <n v="80.658947368420996"/>
    <n v="23.447368421052602"/>
    <n v="82.981185048582319"/>
  </r>
  <r>
    <n v="753"/>
    <x v="3"/>
    <s v="Freshwater"/>
    <x v="1"/>
    <x v="0"/>
    <n v="878"/>
    <s v="Tahuya River"/>
    <s v="Tahuya River"/>
    <s v="Mason"/>
    <x v="4"/>
    <s v="Pierce"/>
    <s v="07Pierce"/>
    <s v="South Puget Sound"/>
    <s v="02South Puget Sound"/>
    <n v="39.078947368421098"/>
    <n v="134.43157894736899"/>
    <n v="39.078947368421098"/>
    <n v="138.30197508097086"/>
  </r>
  <r>
    <n v="758"/>
    <x v="4"/>
    <s v="Freshwater"/>
    <x v="1"/>
    <x v="0"/>
    <n v="878"/>
    <s v="Tahuya River"/>
    <s v="Tahuya River"/>
    <s v="Mason"/>
    <x v="4"/>
    <s v="King"/>
    <s v="06King"/>
    <s v="South Puget Sound"/>
    <s v="02South Puget Sound"/>
    <n v="9.1333333333333293"/>
    <n v="79.003333333333302"/>
    <n v="9.1333333333333293"/>
    <n v="44.018601457567286"/>
  </r>
  <r>
    <n v="761"/>
    <x v="4"/>
    <s v="Freshwater"/>
    <x v="1"/>
    <x v="0"/>
    <n v="878"/>
    <s v="Tahuya River"/>
    <s v="Tahuya River"/>
    <s v="Mason"/>
    <x v="4"/>
    <s v="Kitsap"/>
    <s v="10Kitsap"/>
    <s v="South Puget Sound"/>
    <s v="02South Puget Sound"/>
    <n v="100.466666666667"/>
    <n v="869.03666666667004"/>
    <n v="100.466666666667"/>
    <n v="484.2046160332419"/>
  </r>
  <r>
    <n v="760"/>
    <x v="4"/>
    <s v="Freshwater"/>
    <x v="1"/>
    <x v="0"/>
    <n v="878"/>
    <s v="Tahuya River"/>
    <s v="Tahuya River"/>
    <s v="Mason"/>
    <x v="4"/>
    <s v="Mason"/>
    <s v="09Mason"/>
    <s v="South Puget Sound"/>
    <s v="02South Puget Sound"/>
    <n v="18.266666666666701"/>
    <n v="158.006666666667"/>
    <n v="18.266666666666701"/>
    <n v="88.03720291513477"/>
  </r>
  <r>
    <n v="759"/>
    <x v="4"/>
    <s v="Freshwater"/>
    <x v="1"/>
    <x v="0"/>
    <n v="878"/>
    <s v="Tahuya River"/>
    <s v="Tahuya River"/>
    <s v="Mason"/>
    <x v="4"/>
    <s v="Thurston"/>
    <s v="08Thurston"/>
    <s v="South Puget Sound"/>
    <s v="02South Puget Sound"/>
    <n v="9.1333333333333293"/>
    <n v="79.003333333333302"/>
    <n v="9.1333333333333293"/>
    <n v="44.018601457567286"/>
  </r>
  <r>
    <n v="1550"/>
    <x v="0"/>
    <s v="Freshwater"/>
    <x v="1"/>
    <x v="0"/>
    <n v="884"/>
    <s v="Whatcom Creek"/>
    <s v="Whatcom Creek"/>
    <s v="Whatcom"/>
    <x v="1"/>
    <s v="Island"/>
    <s v="04Island"/>
    <s v="North Puget Sound"/>
    <s v="01North Puget Sound"/>
    <n v="24.456140350877199"/>
    <n v="211.54561403508799"/>
    <n v="24.5586592178771"/>
    <n v="118.36180647196463"/>
  </r>
  <r>
    <n v="1551"/>
    <x v="0"/>
    <s v="Freshwater"/>
    <x v="1"/>
    <x v="0"/>
    <n v="884"/>
    <s v="Whatcom Creek"/>
    <s v="Whatcom Creek"/>
    <s v="Whatcom"/>
    <x v="1"/>
    <s v="King"/>
    <s v="06King"/>
    <s v="South Puget Sound"/>
    <s v="02South Puget Sound"/>
    <n v="24.456140350877199"/>
    <n v="211.54561403508799"/>
    <n v="18.418994413407798"/>
    <n v="88.771354853973349"/>
  </r>
  <r>
    <n v="1557"/>
    <x v="0"/>
    <s v="Freshwater"/>
    <x v="1"/>
    <x v="0"/>
    <n v="884"/>
    <s v="Whatcom Creek"/>
    <s v="Whatcom Creek"/>
    <s v="Whatcom"/>
    <x v="1"/>
    <s v="Other"/>
    <s v="20Other"/>
    <s v="Non Puget Sound"/>
    <s v="07Non Puget Sound"/>
    <n v="18.342105263157901"/>
    <n v="158.659210526316"/>
    <n v="18.418994413407798"/>
    <n v="88.771354853973349"/>
  </r>
  <r>
    <n v="1552"/>
    <x v="0"/>
    <s v="Freshwater"/>
    <x v="1"/>
    <x v="0"/>
    <n v="884"/>
    <s v="Whatcom Creek"/>
    <s v="Whatcom Creek"/>
    <s v="Whatcom"/>
    <x v="1"/>
    <s v="Pierce"/>
    <s v="07Pierce"/>
    <s v="South Puget Sound"/>
    <s v="02South Puget Sound"/>
    <n v="18.342105263157901"/>
    <n v="158.659210526316"/>
    <n v="18.41886449265953"/>
    <n v="88.770728693793885"/>
  </r>
  <r>
    <n v="1548"/>
    <x v="0"/>
    <s v="Freshwater"/>
    <x v="1"/>
    <x v="0"/>
    <n v="884"/>
    <s v="Whatcom Creek"/>
    <s v="Whatcom Creek"/>
    <s v="Whatcom"/>
    <x v="1"/>
    <s v="Skagit"/>
    <s v="02Skagit"/>
    <s v="North Puget Sound"/>
    <s v="01North Puget Sound"/>
    <n v="55.026315789473699"/>
    <n v="475.97763157894798"/>
    <n v="55.256723398726805"/>
    <n v="266.31281224156083"/>
  </r>
  <r>
    <n v="1549"/>
    <x v="0"/>
    <s v="Freshwater"/>
    <x v="1"/>
    <x v="0"/>
    <n v="884"/>
    <s v="Whatcom Creek"/>
    <s v="Whatcom Creek"/>
    <s v="Whatcom"/>
    <x v="1"/>
    <s v="Snohomish"/>
    <s v="03Snohomish"/>
    <s v="North Puget Sound"/>
    <s v="01North Puget Sound"/>
    <n v="67.254385964912302"/>
    <n v="581.75043859649099"/>
    <n v="67.535923086916995"/>
    <n v="325.49308931736323"/>
  </r>
  <r>
    <n v="1547"/>
    <x v="0"/>
    <s v="Freshwater"/>
    <x v="1"/>
    <x v="0"/>
    <n v="884"/>
    <s v="Whatcom Creek"/>
    <s v="Whatcom Creek"/>
    <s v="Whatcom"/>
    <x v="1"/>
    <s v="Whatcom"/>
    <s v="01Whatcom"/>
    <s v="North Puget Sound"/>
    <s v="01North Puget Sound"/>
    <n v="1186.12280701754"/>
    <n v="10259.9622807017"/>
    <n v="1191.391840977004"/>
    <n v="5741.9783899011836"/>
  </r>
  <r>
    <n v="1707"/>
    <x v="1"/>
    <s v="Freshwater"/>
    <x v="1"/>
    <x v="0"/>
    <n v="884"/>
    <s v="Whatcom Creek"/>
    <s v="Whatcom Creek"/>
    <s v="Whatcom"/>
    <x v="1"/>
    <s v="Island"/>
    <s v="04Island"/>
    <s v="North Puget Sound"/>
    <s v="01North Puget Sound"/>
    <n v="21.696000000000002"/>
    <n v="74.634240000000005"/>
    <n v="22.837499999999999"/>
    <n v="80.822836043530899"/>
  </r>
  <r>
    <n v="1708"/>
    <x v="1"/>
    <s v="Freshwater"/>
    <x v="1"/>
    <x v="0"/>
    <n v="884"/>
    <s v="Whatcom Creek"/>
    <s v="Whatcom Creek"/>
    <s v="Whatcom"/>
    <x v="1"/>
    <s v="King"/>
    <s v="06King"/>
    <s v="South Puget Sound"/>
    <s v="02South Puget Sound"/>
    <n v="14.464"/>
    <n v="49.756160000000001"/>
    <n v="14.75"/>
    <n v="52.200846486790624"/>
  </r>
  <r>
    <n v="1705"/>
    <x v="1"/>
    <s v="Freshwater"/>
    <x v="1"/>
    <x v="0"/>
    <n v="884"/>
    <s v="Whatcom Creek"/>
    <s v="Whatcom Creek"/>
    <s v="Whatcom"/>
    <x v="1"/>
    <s v="Skagit"/>
    <s v="02Skagit"/>
    <s v="North Puget Sound"/>
    <s v="01North Puget Sound"/>
    <n v="101.248"/>
    <n v="348.29311999999999"/>
    <n v="106.5865384615385"/>
    <n v="377.21406995180854"/>
  </r>
  <r>
    <n v="1706"/>
    <x v="1"/>
    <s v="Freshwater"/>
    <x v="1"/>
    <x v="0"/>
    <n v="884"/>
    <s v="Whatcom Creek"/>
    <s v="Whatcom Creek"/>
    <s v="Whatcom"/>
    <x v="1"/>
    <s v="Snohomish"/>
    <s v="03Snohomish"/>
    <s v="North Puget Sound"/>
    <s v="01North Puget Sound"/>
    <n v="7.2320000000000002"/>
    <n v="24.878080000000001"/>
    <n v="7.6124999999999998"/>
    <n v="26.940945347843638"/>
  </r>
  <r>
    <n v="1704"/>
    <x v="1"/>
    <s v="Freshwater"/>
    <x v="1"/>
    <x v="0"/>
    <n v="884"/>
    <s v="Whatcom Creek"/>
    <s v="Whatcom Creek"/>
    <s v="Whatcom"/>
    <x v="1"/>
    <s v="Whatcom"/>
    <s v="01Whatcom"/>
    <s v="North Puget Sound"/>
    <s v="01North Puget Sound"/>
    <n v="759.36"/>
    <n v="2612.1984000000002"/>
    <n v="752.21346153846162"/>
    <n v="2662.1138597333302"/>
  </r>
  <r>
    <n v="1875"/>
    <x v="2"/>
    <s v="Freshwater"/>
    <x v="1"/>
    <x v="0"/>
    <n v="884"/>
    <s v="Whatcom Creek"/>
    <s v="Whatcom Creek"/>
    <s v="Whatcom"/>
    <x v="1"/>
    <s v="King"/>
    <s v="06King"/>
    <s v="South Puget Sound"/>
    <s v="02South Puget Sound"/>
    <n v="13.9384615384615"/>
    <n v="120.567692307692"/>
    <n v="15.2222222222222"/>
    <n v="73.364335762612072"/>
  </r>
  <r>
    <n v="1877"/>
    <x v="2"/>
    <s v="Freshwater"/>
    <x v="1"/>
    <x v="0"/>
    <n v="884"/>
    <s v="Whatcom Creek"/>
    <s v="Whatcom Creek"/>
    <s v="Whatcom"/>
    <x v="1"/>
    <s v="Other"/>
    <s v="20Other"/>
    <s v="Non Puget Sound"/>
    <s v="07Non Puget Sound"/>
    <n v="27.876923076923099"/>
    <n v="241.13538461538499"/>
    <n v="0"/>
    <n v="0"/>
  </r>
  <r>
    <n v="1876"/>
    <x v="2"/>
    <s v="Freshwater"/>
    <x v="1"/>
    <x v="0"/>
    <n v="884"/>
    <s v="Whatcom Creek"/>
    <s v="Whatcom Creek"/>
    <s v="Whatcom"/>
    <x v="1"/>
    <s v="Pierce"/>
    <s v="07Pierce"/>
    <s v="South Puget Sound"/>
    <s v="02South Puget Sound"/>
    <n v="6.9692307692307702"/>
    <n v="60.283846153846198"/>
    <n v="8.6666666666666696"/>
    <n v="41.769475835647818"/>
  </r>
  <r>
    <n v="1874"/>
    <x v="2"/>
    <s v="Freshwater"/>
    <x v="1"/>
    <x v="0"/>
    <n v="884"/>
    <s v="Whatcom Creek"/>
    <s v="Whatcom Creek"/>
    <s v="Whatcom"/>
    <x v="1"/>
    <s v="Skagit"/>
    <s v="02Skagit"/>
    <s v="North Puget Sound"/>
    <s v="01North Puget Sound"/>
    <n v="55.753846153846197"/>
    <n v="482.27076923076999"/>
    <n v="60.8888888888889"/>
    <n v="293.45734305044874"/>
  </r>
  <r>
    <n v="1873"/>
    <x v="2"/>
    <s v="Freshwater"/>
    <x v="1"/>
    <x v="0"/>
    <n v="884"/>
    <s v="Whatcom Creek"/>
    <s v="Whatcom Creek"/>
    <s v="Whatcom"/>
    <x v="1"/>
    <s v="Whatcom"/>
    <s v="01Whatcom"/>
    <s v="North Puget Sound"/>
    <s v="01North Puget Sound"/>
    <n v="348.46153846153902"/>
    <n v="3014.1923076923099"/>
    <n v="368.22222222222234"/>
    <n v="1774.6672169145754"/>
  </r>
  <r>
    <n v="2027"/>
    <x v="3"/>
    <s v="Freshwater"/>
    <x v="1"/>
    <x v="0"/>
    <n v="884"/>
    <s v="Whatcom Creek"/>
    <s v="Whatcom Creek"/>
    <s v="Whatcom"/>
    <x v="1"/>
    <s v="Island"/>
    <s v="04Island"/>
    <s v="North Puget Sound"/>
    <s v="01North Puget Sound"/>
    <n v="58.170305676855897"/>
    <n v="200.10585152838399"/>
    <n v="64.071428571428598"/>
    <n v="226.75137674891627"/>
  </r>
  <r>
    <n v="2028"/>
    <x v="3"/>
    <s v="Freshwater"/>
    <x v="1"/>
    <x v="0"/>
    <n v="884"/>
    <s v="Whatcom Creek"/>
    <s v="Whatcom Creek"/>
    <s v="Whatcom"/>
    <x v="1"/>
    <s v="King"/>
    <s v="06King"/>
    <s v="South Puget Sound"/>
    <s v="02South Puget Sound"/>
    <n v="41.550218340611401"/>
    <n v="142.93275109170301"/>
    <n v="20.234693877551031"/>
    <n v="71.611399919270752"/>
  </r>
  <r>
    <n v="2031"/>
    <x v="3"/>
    <s v="Freshwater"/>
    <x v="1"/>
    <x v="0"/>
    <n v="884"/>
    <s v="Whatcom Creek"/>
    <s v="Whatcom Creek"/>
    <s v="Whatcom"/>
    <x v="1"/>
    <s v="Mason"/>
    <s v="09Mason"/>
    <s v="South Puget Sound"/>
    <s v="02South Puget Sound"/>
    <n v="8.3100436681222707"/>
    <n v="28.586550218340602"/>
    <n v="9.1530612244898002"/>
    <n v="32.393053821273753"/>
  </r>
  <r>
    <n v="2032"/>
    <x v="3"/>
    <s v="Freshwater"/>
    <x v="1"/>
    <x v="0"/>
    <n v="884"/>
    <s v="Whatcom Creek"/>
    <s v="Whatcom Creek"/>
    <s v="Whatcom"/>
    <x v="1"/>
    <s v="Other"/>
    <s v="20Other"/>
    <s v="Non Puget Sound"/>
    <s v="07Non Puget Sound"/>
    <n v="58.170305676855897"/>
    <n v="200.10585152838399"/>
    <n v="64.071428571428598"/>
    <n v="226.75137674891627"/>
  </r>
  <r>
    <n v="2029"/>
    <x v="3"/>
    <s v="Freshwater"/>
    <x v="1"/>
    <x v="0"/>
    <n v="884"/>
    <s v="Whatcom Creek"/>
    <s v="Whatcom Creek"/>
    <s v="Whatcom"/>
    <x v="1"/>
    <s v="Pierce"/>
    <s v="07Pierce"/>
    <s v="South Puget Sound"/>
    <s v="02South Puget Sound"/>
    <n v="16.620087336244499"/>
    <n v="57.173100436681104"/>
    <n v="0.64285714285714002"/>
    <n v="2.2750974255743999"/>
  </r>
  <r>
    <n v="2025"/>
    <x v="3"/>
    <s v="Freshwater"/>
    <x v="1"/>
    <x v="0"/>
    <n v="884"/>
    <s v="Whatcom Creek"/>
    <s v="Whatcom Creek"/>
    <s v="Whatcom"/>
    <x v="1"/>
    <s v="Skagit"/>
    <s v="02Skagit"/>
    <s v="North Puget Sound"/>
    <s v="01North Puget Sound"/>
    <n v="24.9301310043668"/>
    <n v="85.759650655021801"/>
    <n v="27.459183673469401"/>
    <n v="97.179161463821274"/>
  </r>
  <r>
    <n v="2026"/>
    <x v="3"/>
    <s v="Freshwater"/>
    <x v="1"/>
    <x v="0"/>
    <n v="884"/>
    <s v="Whatcom Creek"/>
    <s v="Whatcom Creek"/>
    <s v="Whatcom"/>
    <x v="1"/>
    <s v="Snohomish"/>
    <s v="03Snohomish"/>
    <s v="North Puget Sound"/>
    <s v="01North Puget Sound"/>
    <n v="166.20087336244501"/>
    <n v="571.73100436681102"/>
    <n v="168.09183673469414"/>
    <n v="594.88380780138596"/>
  </r>
  <r>
    <n v="2030"/>
    <x v="3"/>
    <s v="Freshwater"/>
    <x v="1"/>
    <x v="0"/>
    <n v="884"/>
    <s v="Whatcom Creek"/>
    <s v="Whatcom Creek"/>
    <s v="Whatcom"/>
    <x v="1"/>
    <s v="Thurston"/>
    <s v="08Thurston"/>
    <s v="South Puget Sound"/>
    <s v="02South Puget Sound"/>
    <n v="24.9301310043668"/>
    <n v="85.759650655021801"/>
    <n v="18.1530612244898"/>
    <n v="64.244417779315498"/>
  </r>
  <r>
    <n v="2024"/>
    <x v="3"/>
    <s v="Freshwater"/>
    <x v="1"/>
    <x v="0"/>
    <n v="884"/>
    <s v="Whatcom Creek"/>
    <s v="Whatcom Creek"/>
    <s v="Whatcom"/>
    <x v="1"/>
    <s v="Whatcom"/>
    <s v="01Whatcom"/>
    <s v="North Puget Sound"/>
    <s v="01North Puget Sound"/>
    <n v="1504.1179039301301"/>
    <n v="5174.16558951965"/>
    <n v="1531.1224489795943"/>
    <n v="5418.7042651974725"/>
  </r>
  <r>
    <n v="2171"/>
    <x v="4"/>
    <s v="Freshwater"/>
    <x v="1"/>
    <x v="0"/>
    <n v="884"/>
    <s v="Whatcom Creek"/>
    <s v="Whatcom Creek"/>
    <s v="Whatcom"/>
    <x v="1"/>
    <s v="King"/>
    <s v="06King"/>
    <s v="South Puget Sound"/>
    <s v="02South Puget Sound"/>
    <n v="43.057471264367798"/>
    <n v="372.44712643678099"/>
    <n v="43.100917431192698"/>
    <n v="207.72723797728324"/>
  </r>
  <r>
    <n v="2172"/>
    <x v="4"/>
    <s v="Freshwater"/>
    <x v="1"/>
    <x v="0"/>
    <n v="884"/>
    <s v="Whatcom Creek"/>
    <s v="Whatcom Creek"/>
    <s v="Whatcom"/>
    <x v="1"/>
    <s v="Other"/>
    <s v="20Other"/>
    <s v="Non Puget Sound"/>
    <s v="07Non Puget Sound"/>
    <n v="107.64367816092"/>
    <n v="931.11781609195805"/>
    <n v="107.69783959751453"/>
    <n v="519.05565099459886"/>
  </r>
  <r>
    <n v="2169"/>
    <x v="4"/>
    <s v="Freshwater"/>
    <x v="1"/>
    <x v="0"/>
    <n v="884"/>
    <s v="Whatcom Creek"/>
    <s v="Whatcom Creek"/>
    <s v="Whatcom"/>
    <x v="1"/>
    <s v="Skagit"/>
    <s v="02Skagit"/>
    <s v="North Puget Sound"/>
    <s v="01North Puget Sound"/>
    <n v="57.409961685823802"/>
    <n v="496.59616858237598"/>
    <n v="57.434250764525999"/>
    <n v="276.80752493623908"/>
  </r>
  <r>
    <n v="2170"/>
    <x v="4"/>
    <s v="Freshwater"/>
    <x v="1"/>
    <x v="0"/>
    <n v="884"/>
    <s v="Whatcom Creek"/>
    <s v="Whatcom Creek"/>
    <s v="Whatcom"/>
    <x v="1"/>
    <s v="Snohomish"/>
    <s v="03Snohomish"/>
    <s v="North Puget Sound"/>
    <s v="01North Puget Sound"/>
    <n v="193.758620689655"/>
    <n v="1676.01206896552"/>
    <n v="193.75712735523291"/>
    <n v="933.82311335180032"/>
  </r>
  <r>
    <n v="2168"/>
    <x v="4"/>
    <s v="Freshwater"/>
    <x v="1"/>
    <x v="0"/>
    <n v="884"/>
    <s v="Whatcom Creek"/>
    <s v="Whatcom Creek"/>
    <s v="Whatcom"/>
    <x v="1"/>
    <s v="Whatcom"/>
    <s v="01Whatcom"/>
    <s v="North Puget Sound"/>
    <s v="01North Puget Sound"/>
    <n v="1471.1302681992299"/>
    <n v="12725.2768199233"/>
    <n v="1471.0098648515352"/>
    <n v="7089.6128081441248"/>
  </r>
  <r>
    <n v="2296"/>
    <x v="5"/>
    <s v="Freshwater"/>
    <x v="1"/>
    <x v="0"/>
    <n v="884"/>
    <s v="Whatcom Creek"/>
    <s v="Whatcom Creek"/>
    <s v="Whatcom"/>
    <x v="1"/>
    <s v="Island"/>
    <s v="04Island"/>
    <s v="North Puget Sound"/>
    <s v="01North Puget Sound"/>
    <n v="192.11267605633799"/>
    <n v="660.86760563380301"/>
    <n v="196.37112010796272"/>
    <n v="694.96533526744986"/>
  </r>
  <r>
    <n v="2299"/>
    <x v="5"/>
    <s v="Freshwater"/>
    <x v="1"/>
    <x v="0"/>
    <n v="884"/>
    <s v="Whatcom Creek"/>
    <s v="Whatcom Creek"/>
    <s v="Whatcom"/>
    <x v="1"/>
    <s v="Jefferson"/>
    <s v="12Jefferson"/>
    <s v="Strait of Juan de Fuca"/>
    <s v="03Strait of Juan de Fuca"/>
    <n v="17.4647887323944"/>
    <n v="60.078873239436703"/>
    <n v="17.8704453441296"/>
    <n v="63.244228749796036"/>
  </r>
  <r>
    <n v="2300"/>
    <x v="5"/>
    <s v="Freshwater"/>
    <x v="1"/>
    <x v="0"/>
    <n v="884"/>
    <s v="Whatcom Creek"/>
    <s v="Whatcom Creek"/>
    <s v="Whatcom"/>
    <x v="1"/>
    <s v="Other"/>
    <s v="20Other"/>
    <s v="Non Puget Sound"/>
    <s v="07Non Puget Sound"/>
    <n v="139.718309859155"/>
    <n v="480.630985915493"/>
    <n v="115.88933873144367"/>
    <n v="410.13705631022174"/>
  </r>
  <r>
    <n v="2297"/>
    <x v="5"/>
    <s v="Freshwater"/>
    <x v="1"/>
    <x v="0"/>
    <n v="884"/>
    <s v="Whatcom Creek"/>
    <s v="Whatcom Creek"/>
    <s v="Whatcom"/>
    <x v="1"/>
    <s v="Pierce"/>
    <s v="07Pierce"/>
    <s v="South Puget Sound"/>
    <s v="02South Puget Sound"/>
    <n v="69.8591549295775"/>
    <n v="240.31549295774701"/>
    <n v="70.67611336032391"/>
    <n v="250.12562330883256"/>
  </r>
  <r>
    <n v="2294"/>
    <x v="5"/>
    <s v="Freshwater"/>
    <x v="1"/>
    <x v="0"/>
    <n v="884"/>
    <s v="Whatcom Creek"/>
    <s v="Whatcom Creek"/>
    <s v="Whatcom"/>
    <x v="1"/>
    <s v="Skagit"/>
    <s v="02Skagit"/>
    <s v="North Puget Sound"/>
    <s v="01North Puget Sound"/>
    <n v="288.16901408450701"/>
    <n v="991.301408450704"/>
    <n v="294.86234817813801"/>
    <n v="1043.5297743716333"/>
  </r>
  <r>
    <n v="2295"/>
    <x v="5"/>
    <s v="Freshwater"/>
    <x v="1"/>
    <x v="0"/>
    <n v="884"/>
    <s v="Whatcom Creek"/>
    <s v="Whatcom Creek"/>
    <s v="Whatcom"/>
    <x v="1"/>
    <s v="Snohomish"/>
    <s v="03Snohomish"/>
    <s v="North Puget Sound"/>
    <s v="01North Puget Sound"/>
    <n v="139.718309859155"/>
    <n v="480.630985915493"/>
    <n v="142.963562753036"/>
    <n v="505.95382999836545"/>
  </r>
  <r>
    <n v="2298"/>
    <x v="5"/>
    <s v="Freshwater"/>
    <x v="1"/>
    <x v="0"/>
    <n v="884"/>
    <s v="Whatcom Creek"/>
    <s v="Whatcom Creek"/>
    <s v="Whatcom"/>
    <x v="1"/>
    <s v="Thurston"/>
    <s v="08Thurston"/>
    <s v="South Puget Sound"/>
    <s v="02South Puget Sound"/>
    <n v="122.253521126761"/>
    <n v="420.55211267605802"/>
    <n v="125.2874493927126"/>
    <n v="443.39734999800271"/>
  </r>
  <r>
    <n v="2293"/>
    <x v="5"/>
    <s v="Freshwater"/>
    <x v="1"/>
    <x v="0"/>
    <n v="884"/>
    <s v="Whatcom Creek"/>
    <s v="Whatcom Creek"/>
    <s v="Whatcom"/>
    <x v="1"/>
    <s v="Whatcom"/>
    <s v="01Whatcom"/>
    <s v="North Puget Sound"/>
    <s v="01North Puget Sound"/>
    <n v="1510.7042253521099"/>
    <n v="5196.8225352112604"/>
    <n v="1516.0796221322562"/>
    <n v="5365.4670926560984"/>
  </r>
  <r>
    <n v="2416"/>
    <x v="6"/>
    <s v="Freshwater"/>
    <x v="1"/>
    <x v="0"/>
    <n v="884"/>
    <s v="Whatcom Creek"/>
    <s v="Whatcom Creek"/>
    <s v="Whatcom"/>
    <x v="1"/>
    <s v="Island"/>
    <s v="04Island"/>
    <s v="North Puget Sound"/>
    <s v="01North Puget Sound"/>
    <n v="255.99593495935"/>
    <n v="2214.3648373983801"/>
    <n v="249.03358178392949"/>
    <n v="1200.2310203756151"/>
  </r>
  <r>
    <n v="2417"/>
    <x v="6"/>
    <s v="Freshwater"/>
    <x v="1"/>
    <x v="0"/>
    <n v="884"/>
    <s v="Whatcom Creek"/>
    <s v="Whatcom Creek"/>
    <s v="Whatcom"/>
    <x v="1"/>
    <s v="King"/>
    <s v="06King"/>
    <s v="South Puget Sound"/>
    <s v="02South Puget Sound"/>
    <n v="266.23577235772399"/>
    <n v="2302.9394308943101"/>
    <n v="278.64133016627102"/>
    <n v="1342.9271892914792"/>
  </r>
  <r>
    <n v="2420"/>
    <x v="6"/>
    <s v="Freshwater"/>
    <x v="1"/>
    <x v="0"/>
    <n v="884"/>
    <s v="Whatcom Creek"/>
    <s v="Whatcom Creek"/>
    <s v="Whatcom"/>
    <x v="1"/>
    <s v="Mason"/>
    <s v="09Mason"/>
    <s v="South Puget Sound"/>
    <s v="02South Puget Sound"/>
    <n v="20.479674796748"/>
    <n v="177.14918699187001"/>
    <n v="21.5534441805226"/>
    <n v="103.87800760076799"/>
  </r>
  <r>
    <n v="2421"/>
    <x v="6"/>
    <s v="Freshwater"/>
    <x v="1"/>
    <x v="0"/>
    <n v="884"/>
    <s v="Whatcom Creek"/>
    <s v="Whatcom Creek"/>
    <s v="Whatcom"/>
    <x v="1"/>
    <s v="Other"/>
    <s v="20Other"/>
    <s v="Non Puget Sound"/>
    <s v="07Non Puget Sound"/>
    <n v="61.439024390243901"/>
    <n v="531.44756097561003"/>
    <n v="65.829306249488099"/>
    <n v="317.26795576909063"/>
  </r>
  <r>
    <n v="2414"/>
    <x v="6"/>
    <s v="Freshwater"/>
    <x v="1"/>
    <x v="0"/>
    <n v="884"/>
    <s v="Whatcom Creek"/>
    <s v="Whatcom Creek"/>
    <s v="Whatcom"/>
    <x v="1"/>
    <s v="Skagit"/>
    <s v="02Skagit"/>
    <s v="North Puget Sound"/>
    <s v="01North Puget Sound"/>
    <n v="440.31300813008102"/>
    <n v="3808.7075203252002"/>
    <n v="460.87664837415082"/>
    <n v="2221.2203108628973"/>
  </r>
  <r>
    <n v="2415"/>
    <x v="6"/>
    <s v="Freshwater"/>
    <x v="1"/>
    <x v="0"/>
    <n v="884"/>
    <s v="Whatcom Creek"/>
    <s v="Whatcom Creek"/>
    <s v="Whatcom"/>
    <x v="1"/>
    <s v="Snohomish"/>
    <s v="03Snohomish"/>
    <s v="North Puget Sound"/>
    <s v="01North Puget Sound"/>
    <n v="1423.33739837398"/>
    <n v="12311.868495934899"/>
    <n v="1499.1333442542357"/>
    <n v="7225.1554612201362"/>
  </r>
  <r>
    <n v="2413"/>
    <x v="6"/>
    <s v="Freshwater"/>
    <x v="1"/>
    <x v="0"/>
    <n v="884"/>
    <s v="Whatcom Creek"/>
    <s v="Whatcom Creek"/>
    <s v="Whatcom"/>
    <x v="1"/>
    <s v="Whatcom"/>
    <s v="01Whatcom"/>
    <s v="North Puget Sound"/>
    <s v="01North Puget Sound"/>
    <n v="2570.1991869918702"/>
    <n v="22232.222967479702"/>
    <n v="2462.9323449914009"/>
    <n v="11870.23766180235"/>
  </r>
  <r>
    <n v="2647"/>
    <x v="7"/>
    <s v="Freshwater"/>
    <x v="1"/>
    <x v="0"/>
    <n v="884"/>
    <s v="Whatcom Creek"/>
    <s v="Whatcom Creek"/>
    <s v="Whatcom"/>
    <x v="1"/>
    <s v="King"/>
    <s v="06King"/>
    <s v="South Puget Sound"/>
    <s v="02South Puget Sound"/>
    <n v="9.6666666666666696"/>
    <n v="33.253333333333302"/>
    <n v="9.6666666666666696"/>
    <n v="34.210724251230026"/>
  </r>
  <r>
    <n v="2648"/>
    <x v="7"/>
    <s v="Freshwater"/>
    <x v="1"/>
    <x v="0"/>
    <n v="884"/>
    <s v="Whatcom Creek"/>
    <s v="Whatcom Creek"/>
    <s v="Whatcom"/>
    <x v="1"/>
    <s v="Pierce"/>
    <s v="07Pierce"/>
    <s v="South Puget Sound"/>
    <s v="02South Puget Sound"/>
    <n v="38.6666666666667"/>
    <n v="133.01333333333301"/>
    <n v="38.6666666666667"/>
    <n v="136.84289700492019"/>
  </r>
  <r>
    <n v="2645"/>
    <x v="7"/>
    <s v="Freshwater"/>
    <x v="1"/>
    <x v="0"/>
    <n v="884"/>
    <s v="Whatcom Creek"/>
    <s v="Whatcom Creek"/>
    <s v="Whatcom"/>
    <x v="1"/>
    <s v="Skagit"/>
    <s v="02Skagit"/>
    <s v="North Puget Sound"/>
    <s v="01North Puget Sound"/>
    <n v="29"/>
    <n v="99.76"/>
    <n v="29"/>
    <n v="102.63217275369004"/>
  </r>
  <r>
    <n v="2646"/>
    <x v="7"/>
    <s v="Freshwater"/>
    <x v="1"/>
    <x v="0"/>
    <n v="884"/>
    <s v="Whatcom Creek"/>
    <s v="Whatcom Creek"/>
    <s v="Whatcom"/>
    <x v="1"/>
    <s v="Snohomish"/>
    <s v="03Snohomish"/>
    <s v="North Puget Sound"/>
    <s v="01North Puget Sound"/>
    <n v="203"/>
    <n v="698.32"/>
    <n v="203.05128205128239"/>
    <n v="718.60669852915362"/>
  </r>
  <r>
    <n v="2644"/>
    <x v="7"/>
    <s v="Freshwater"/>
    <x v="1"/>
    <x v="0"/>
    <n v="884"/>
    <s v="Whatcom Creek"/>
    <s v="Whatcom Creek"/>
    <s v="Whatcom"/>
    <x v="1"/>
    <s v="Whatcom"/>
    <s v="01Whatcom"/>
    <s v="North Puget Sound"/>
    <s v="01North Puget Sound"/>
    <n v="618.66666666666697"/>
    <n v="2128.21333333333"/>
    <n v="618.61538461538498"/>
    <n v="2189.3048628254001"/>
  </r>
  <r>
    <n v="2772"/>
    <x v="8"/>
    <s v="Freshwater"/>
    <x v="1"/>
    <x v="0"/>
    <n v="884"/>
    <s v="Whatcom Creek"/>
    <s v="Whatcom Creek"/>
    <s v="Whatcom"/>
    <x v="1"/>
    <s v="Snohomish"/>
    <s v="03Snohomish"/>
    <s v="North Puget Sound"/>
    <s v="01North Puget Sound"/>
    <n v="38.727272727272698"/>
    <n v="334.99090909090899"/>
    <n v="38.75"/>
    <n v="186.75775253438684"/>
  </r>
  <r>
    <n v="2771"/>
    <x v="8"/>
    <s v="Freshwater"/>
    <x v="1"/>
    <x v="0"/>
    <n v="884"/>
    <s v="Whatcom Creek"/>
    <s v="Whatcom Creek"/>
    <s v="Whatcom"/>
    <x v="1"/>
    <s v="Whatcom"/>
    <s v="01Whatcom"/>
    <s v="North Puget Sound"/>
    <s v="01North Puget Sound"/>
    <n v="174.272727272727"/>
    <n v="1507.45909090909"/>
    <n v="174.25"/>
    <n v="839.80744204172652"/>
  </r>
  <r>
    <n v="2892"/>
    <x v="9"/>
    <s v="Freshwater"/>
    <x v="1"/>
    <x v="0"/>
    <n v="884"/>
    <s v="Whatcom Creek"/>
    <s v="Whatcom Creek"/>
    <s v="Whatcom"/>
    <x v="1"/>
    <s v="King"/>
    <s v="06King"/>
    <s v="South Puget Sound"/>
    <s v="02South Puget Sound"/>
    <n v="31.8461538461539"/>
    <n v="109.55076923076901"/>
    <n v="31.85"/>
    <n v="112.71843800706993"/>
  </r>
  <r>
    <n v="2890"/>
    <x v="9"/>
    <s v="Freshwater"/>
    <x v="1"/>
    <x v="0"/>
    <n v="884"/>
    <s v="Whatcom Creek"/>
    <s v="Whatcom Creek"/>
    <s v="Whatcom"/>
    <x v="1"/>
    <s v="Skagit"/>
    <s v="02Skagit"/>
    <s v="North Puget Sound"/>
    <s v="01North Puget Sound"/>
    <n v="74.307692307692307"/>
    <n v="255.61846153846199"/>
    <n v="75.599999999999994"/>
    <n v="267.55145724755056"/>
  </r>
  <r>
    <n v="2891"/>
    <x v="9"/>
    <s v="Freshwater"/>
    <x v="1"/>
    <x v="0"/>
    <n v="884"/>
    <s v="Whatcom Creek"/>
    <s v="Whatcom Creek"/>
    <s v="Whatcom"/>
    <x v="1"/>
    <s v="Snohomish"/>
    <s v="03Snohomish"/>
    <s v="North Puget Sound"/>
    <s v="01North Puget Sound"/>
    <n v="42.461538461538503"/>
    <n v="146.067692307692"/>
    <n v="42.171428571428606"/>
    <n v="149.24639111768141"/>
  </r>
  <r>
    <n v="2889"/>
    <x v="9"/>
    <s v="Freshwater"/>
    <x v="1"/>
    <x v="0"/>
    <n v="884"/>
    <s v="Whatcom Creek"/>
    <s v="Whatcom Creek"/>
    <s v="Whatcom"/>
    <x v="1"/>
    <s v="Whatcom"/>
    <s v="01Whatcom"/>
    <s v="North Puget Sound"/>
    <s v="01North Puget Sound"/>
    <n v="265.38461538461502"/>
    <n v="912.923076923076"/>
    <n v="264.37857142857138"/>
    <n v="935.64645569761797"/>
  </r>
  <r>
    <n v="2968"/>
    <x v="10"/>
    <s v="Freshwater"/>
    <x v="1"/>
    <x v="0"/>
    <n v="884"/>
    <s v="Whatcom Creek"/>
    <s v="Whatcom Creek"/>
    <s v="Whatcom"/>
    <x v="1"/>
    <s v="Whatcom"/>
    <s v="01Whatcom"/>
    <s v="North Puget Sound"/>
    <s v="01North Puget Sound"/>
    <n v="12"/>
    <n v="103.8"/>
    <n v="12"/>
    <n v="57.834658849358505"/>
  </r>
  <r>
    <n v="2989"/>
    <x v="11"/>
    <s v="Freshwater"/>
    <x v="1"/>
    <x v="0"/>
    <n v="884"/>
    <s v="Whatcom Creek"/>
    <s v="Whatcom Creek"/>
    <s v="Whatcom"/>
    <x v="1"/>
    <s v="Whatcom"/>
    <s v="01Whatcom"/>
    <s v="North Puget Sound"/>
    <s v="01North Puget Sound"/>
    <n v="28"/>
    <n v="96.32"/>
    <n v="28"/>
    <n v="99.093132313907631"/>
  </r>
  <r>
    <n v="2728"/>
    <x v="0"/>
    <s v="Marine"/>
    <x v="0"/>
    <x v="1"/>
    <n v="9"/>
    <s v="Area 9: Admiralty Inlet"/>
    <s v="Area 9: Admiralty Inlet"/>
    <s v="NA"/>
    <x v="2"/>
    <s v="Island"/>
    <s v="04Island"/>
    <s v="North Puget Sound"/>
    <s v="01North Puget Sound"/>
    <n v="49.256410256410298"/>
    <n v="420.64974358974399"/>
    <n v="49.256410256410298"/>
    <n v="420.64974358974399"/>
  </r>
  <r>
    <n v="2730"/>
    <x v="0"/>
    <s v="Marine"/>
    <x v="0"/>
    <x v="1"/>
    <n v="9"/>
    <s v="Area 9: Admiralty Inlet"/>
    <s v="Area 9: Admiralty Inlet"/>
    <s v="NA"/>
    <x v="2"/>
    <s v="Jefferson"/>
    <s v="12Jefferson"/>
    <s v="Strait of Juan de Fuca"/>
    <s v="03Strait of Juan de Fuca"/>
    <n v="5.7948717948718"/>
    <n v="49.488205128205202"/>
    <n v="5.7948717948718"/>
    <n v="49.488205128205202"/>
  </r>
  <r>
    <n v="2729"/>
    <x v="0"/>
    <s v="Marine"/>
    <x v="0"/>
    <x v="1"/>
    <n v="9"/>
    <s v="Area 9: Admiralty Inlet"/>
    <s v="Area 9: Admiralty Inlet"/>
    <s v="NA"/>
    <x v="2"/>
    <s v="King"/>
    <s v="06King"/>
    <s v="South Puget Sound"/>
    <s v="02South Puget Sound"/>
    <n v="11.5897435897436"/>
    <n v="98.976410256410304"/>
    <n v="11.5897435897436"/>
    <n v="98.976410256410304"/>
  </r>
  <r>
    <n v="2731"/>
    <x v="0"/>
    <s v="Marine"/>
    <x v="0"/>
    <x v="1"/>
    <n v="9"/>
    <s v="Area 9: Admiralty Inlet"/>
    <s v="Area 9: Admiralty Inlet"/>
    <s v="NA"/>
    <x v="2"/>
    <s v="Other"/>
    <s v="20Other"/>
    <s v="Non Puget Sound"/>
    <s v="07Non Puget Sound"/>
    <n v="2.8974358974359"/>
    <n v="24.744102564102601"/>
    <n v="2.8974358974359"/>
    <n v="24.744102564102601"/>
  </r>
  <r>
    <n v="2727"/>
    <x v="0"/>
    <s v="Marine"/>
    <x v="0"/>
    <x v="1"/>
    <n v="9"/>
    <s v="Area 9: Admiralty Inlet"/>
    <s v="Area 9: Admiralty Inlet"/>
    <s v="NA"/>
    <x v="2"/>
    <s v="Snohomish"/>
    <s v="03Snohomish"/>
    <s v="North Puget Sound"/>
    <s v="01North Puget Sound"/>
    <n v="43.461538461538503"/>
    <n v="371.16153846153901"/>
    <n v="43.461538461538503"/>
    <n v="371.16153846153901"/>
  </r>
  <r>
    <n v="2841"/>
    <x v="1"/>
    <s v="Marine"/>
    <x v="0"/>
    <x v="1"/>
    <n v="9"/>
    <s v="Area 9: Admiralty Inlet"/>
    <s v="Area 9: Admiralty Inlet"/>
    <s v="NA"/>
    <x v="2"/>
    <s v="Island"/>
    <s v="04Island"/>
    <s v="North Puget Sound"/>
    <s v="01North Puget Sound"/>
    <n v="127.05"/>
    <n v="2356.7775000000001"/>
    <n v="127.05"/>
    <n v="2356.7775000000001"/>
  </r>
  <r>
    <n v="2842"/>
    <x v="1"/>
    <s v="Marine"/>
    <x v="0"/>
    <x v="1"/>
    <n v="9"/>
    <s v="Area 9: Admiralty Inlet"/>
    <s v="Area 9: Admiralty Inlet"/>
    <s v="NA"/>
    <x v="2"/>
    <s v="King"/>
    <s v="06King"/>
    <s v="South Puget Sound"/>
    <s v="02South Puget Sound"/>
    <n v="3.85"/>
    <n v="71.417500000000004"/>
    <n v="3.85"/>
    <n v="71.417500000000004"/>
  </r>
  <r>
    <n v="1354"/>
    <x v="1"/>
    <s v="Marine"/>
    <x v="0"/>
    <x v="1"/>
    <n v="9"/>
    <s v="Area 9: Admiralty Inlet"/>
    <s v="Area 9: Admiralty Inlet"/>
    <s v="NA"/>
    <x v="2"/>
    <s v="Other"/>
    <s v="20Other"/>
    <s v="Non Puget Sound"/>
    <s v="07Non Puget Sound"/>
    <n v="3.85"/>
    <n v="71.417500000000004"/>
    <n v="3.85"/>
    <n v="71.417500000000004"/>
  </r>
  <r>
    <n v="2839"/>
    <x v="1"/>
    <s v="Marine"/>
    <x v="0"/>
    <x v="1"/>
    <n v="9"/>
    <s v="Area 9: Admiralty Inlet"/>
    <s v="Area 9: Admiralty Inlet"/>
    <s v="NA"/>
    <x v="2"/>
    <s v="Skagit"/>
    <s v="02Skagit"/>
    <s v="North Puget Sound"/>
    <s v="01North Puget Sound"/>
    <n v="3.85"/>
    <n v="71.417500000000004"/>
    <n v="3.85"/>
    <n v="71.417500000000004"/>
  </r>
  <r>
    <n v="2840"/>
    <x v="1"/>
    <s v="Marine"/>
    <x v="0"/>
    <x v="1"/>
    <n v="9"/>
    <s v="Area 9: Admiralty Inlet"/>
    <s v="Area 9: Admiralty Inlet"/>
    <s v="NA"/>
    <x v="2"/>
    <s v="Snohomish"/>
    <s v="03Snohomish"/>
    <s v="North Puget Sound"/>
    <s v="01North Puget Sound"/>
    <n v="15.4"/>
    <n v="285.67"/>
    <n v="15.4"/>
    <n v="285.67"/>
  </r>
  <r>
    <n v="1359"/>
    <x v="2"/>
    <s v="Marine"/>
    <x v="0"/>
    <x v="1"/>
    <n v="9"/>
    <s v="Area 9: Admiralty Inlet"/>
    <s v="Area 9: Admiralty Inlet"/>
    <s v="NA"/>
    <x v="2"/>
    <s v="Island"/>
    <s v="04Island"/>
    <s v="North Puget Sound"/>
    <s v="01North Puget Sound"/>
    <n v="36.807692307692299"/>
    <n v="314.33769230769201"/>
    <n v="36.807692307692299"/>
    <n v="314.33769230769201"/>
  </r>
  <r>
    <n v="1360"/>
    <x v="2"/>
    <s v="Marine"/>
    <x v="0"/>
    <x v="1"/>
    <n v="9"/>
    <s v="Area 9: Admiralty Inlet"/>
    <s v="Area 9: Admiralty Inlet"/>
    <s v="NA"/>
    <x v="2"/>
    <s v="King"/>
    <s v="06King"/>
    <s v="South Puget Sound"/>
    <s v="02South Puget Sound"/>
    <n v="6.6923076923076898"/>
    <n v="57.152307692307701"/>
    <n v="6.6923076923076898"/>
    <n v="57.152307692307701"/>
  </r>
  <r>
    <n v="1362"/>
    <x v="2"/>
    <s v="Marine"/>
    <x v="0"/>
    <x v="1"/>
    <n v="9"/>
    <s v="Area 9: Admiralty Inlet"/>
    <s v="Area 9: Admiralty Inlet"/>
    <s v="NA"/>
    <x v="2"/>
    <s v="Kitsap"/>
    <s v="10Kitsap"/>
    <s v="South Puget Sound"/>
    <s v="02South Puget Sound"/>
    <n v="13.384615384615399"/>
    <n v="114.304615384616"/>
    <n v="13.384615384615399"/>
    <n v="114.304615384616"/>
  </r>
  <r>
    <n v="1363"/>
    <x v="2"/>
    <s v="Marine"/>
    <x v="0"/>
    <x v="1"/>
    <n v="9"/>
    <s v="Area 9: Admiralty Inlet"/>
    <s v="Area 9: Admiralty Inlet"/>
    <s v="NA"/>
    <x v="2"/>
    <s v="Other"/>
    <s v="20Other"/>
    <s v="Non Puget Sound"/>
    <s v="07Non Puget Sound"/>
    <n v="6.6923076923076898"/>
    <n v="57.152307692307701"/>
    <n v="6.6923076923076898"/>
    <n v="57.152307692307701"/>
  </r>
  <r>
    <n v="1358"/>
    <x v="2"/>
    <s v="Marine"/>
    <x v="0"/>
    <x v="1"/>
    <n v="9"/>
    <s v="Area 9: Admiralty Inlet"/>
    <s v="Area 9: Admiralty Inlet"/>
    <s v="NA"/>
    <x v="2"/>
    <s v="Snohomish"/>
    <s v="03Snohomish"/>
    <s v="North Puget Sound"/>
    <s v="01North Puget Sound"/>
    <n v="20.076923076923102"/>
    <n v="171.456923076923"/>
    <n v="20.076923076923102"/>
    <n v="171.456923076923"/>
  </r>
  <r>
    <n v="1361"/>
    <x v="2"/>
    <s v="Marine"/>
    <x v="0"/>
    <x v="1"/>
    <n v="9"/>
    <s v="Area 9: Admiralty Inlet"/>
    <s v="Area 9: Admiralty Inlet"/>
    <s v="NA"/>
    <x v="2"/>
    <s v="Thurston"/>
    <s v="08Thurston"/>
    <s v="South Puget Sound"/>
    <s v="02South Puget Sound"/>
    <n v="3.3461538461538498"/>
    <n v="28.5761538461539"/>
    <n v="3.3461538461538498"/>
    <n v="28.5761538461539"/>
  </r>
  <r>
    <n v="1522"/>
    <x v="3"/>
    <s v="Marine"/>
    <x v="0"/>
    <x v="1"/>
    <n v="9"/>
    <s v="Area 9: Admiralty Inlet"/>
    <s v="Area 9: Admiralty Inlet"/>
    <s v="NA"/>
    <x v="2"/>
    <s v="Island"/>
    <s v="04Island"/>
    <s v="North Puget Sound"/>
    <s v="01North Puget Sound"/>
    <n v="24.588235294117698"/>
    <n v="456.11176470588299"/>
    <n v="24.588235294117698"/>
    <n v="456.11176470588299"/>
  </r>
  <r>
    <n v="1524"/>
    <x v="3"/>
    <s v="Marine"/>
    <x v="0"/>
    <x v="1"/>
    <n v="9"/>
    <s v="Area 9: Admiralty Inlet"/>
    <s v="Area 9: Admiralty Inlet"/>
    <s v="NA"/>
    <x v="2"/>
    <s v="Jefferson"/>
    <s v="12Jefferson"/>
    <s v="Strait of Juan de Fuca"/>
    <s v="03Strait of Juan de Fuca"/>
    <n v="2.2352941176470602"/>
    <n v="41.464705882353002"/>
    <n v="2.2352941176470602"/>
    <n v="41.464705882353002"/>
  </r>
  <r>
    <n v="1521"/>
    <x v="3"/>
    <s v="Marine"/>
    <x v="0"/>
    <x v="1"/>
    <n v="9"/>
    <s v="Area 9: Admiralty Inlet"/>
    <s v="Area 9: Admiralty Inlet"/>
    <s v="NA"/>
    <x v="2"/>
    <s v="Snohomish"/>
    <s v="03Snohomish"/>
    <s v="North Puget Sound"/>
    <s v="01North Puget Sound"/>
    <n v="8.9411764705882408"/>
    <n v="165.85882352941201"/>
    <n v="8.9411764705882408"/>
    <n v="165.85882352941201"/>
  </r>
  <r>
    <n v="1523"/>
    <x v="3"/>
    <s v="Marine"/>
    <x v="0"/>
    <x v="1"/>
    <n v="9"/>
    <s v="Area 9: Admiralty Inlet"/>
    <s v="Area 9: Admiralty Inlet"/>
    <s v="NA"/>
    <x v="2"/>
    <s v="Thurston"/>
    <s v="08Thurston"/>
    <s v="South Puget Sound"/>
    <s v="02South Puget Sound"/>
    <n v="2.2352941176470602"/>
    <n v="41.464705882353002"/>
    <n v="2.2352941176470602"/>
    <n v="41.464705882353002"/>
  </r>
  <r>
    <n v="1527"/>
    <x v="4"/>
    <s v="Marine"/>
    <x v="0"/>
    <x v="1"/>
    <n v="9"/>
    <s v="Area 9: Admiralty Inlet"/>
    <s v="Area 9: Admiralty Inlet"/>
    <s v="NA"/>
    <x v="2"/>
    <s v="Island"/>
    <s v="04Island"/>
    <s v="North Puget Sound"/>
    <s v="01North Puget Sound"/>
    <n v="7.3636363636363704"/>
    <n v="62.8854545454546"/>
    <n v="7.3636363636363704"/>
    <n v="62.8854545454546"/>
  </r>
  <r>
    <n v="1528"/>
    <x v="4"/>
    <s v="Marine"/>
    <x v="0"/>
    <x v="1"/>
    <n v="9"/>
    <s v="Area 9: Admiralty Inlet"/>
    <s v="Area 9: Admiralty Inlet"/>
    <s v="NA"/>
    <x v="2"/>
    <s v="King"/>
    <s v="06King"/>
    <s v="South Puget Sound"/>
    <s v="02South Puget Sound"/>
    <n v="4.0909090909090899"/>
    <n v="34.936363636363602"/>
    <n v="4.0909090909090899"/>
    <n v="34.936363636363602"/>
  </r>
  <r>
    <n v="1526"/>
    <x v="4"/>
    <s v="Marine"/>
    <x v="0"/>
    <x v="1"/>
    <n v="9"/>
    <s v="Area 9: Admiralty Inlet"/>
    <s v="Area 9: Admiralty Inlet"/>
    <s v="NA"/>
    <x v="2"/>
    <s v="Snohomish"/>
    <s v="03Snohomish"/>
    <s v="North Puget Sound"/>
    <s v="01North Puget Sound"/>
    <n v="6.5454545454545503"/>
    <n v="55.898181818181897"/>
    <n v="6.5454545454545503"/>
    <n v="55.898181818181897"/>
  </r>
  <r>
    <n v="1530"/>
    <x v="5"/>
    <s v="Marine"/>
    <x v="0"/>
    <x v="1"/>
    <n v="9"/>
    <s v="Area 9: Admiralty Inlet"/>
    <s v="Area 9: Admiralty Inlet"/>
    <s v="NA"/>
    <x v="2"/>
    <s v="Mason"/>
    <s v="09Mason"/>
    <s v="South Puget Sound"/>
    <s v="02South Puget Sound"/>
    <n v="13.3125"/>
    <n v="246.94687500000001"/>
    <n v="13.3125"/>
    <n v="246.94687500000001"/>
  </r>
  <r>
    <n v="1531"/>
    <x v="5"/>
    <s v="Marine"/>
    <x v="0"/>
    <x v="1"/>
    <n v="9"/>
    <s v="Area 9: Admiralty Inlet"/>
    <s v="Area 9: Admiralty Inlet"/>
    <s v="NA"/>
    <x v="2"/>
    <s v="Other"/>
    <s v="20Other"/>
    <s v="Non Puget Sound"/>
    <s v="07Non Puget Sound"/>
    <n v="26.625"/>
    <n v="493.89375000000001"/>
    <n v="26.625"/>
    <n v="493.89375000000001"/>
  </r>
  <r>
    <n v="1529"/>
    <x v="5"/>
    <s v="Marine"/>
    <x v="0"/>
    <x v="1"/>
    <n v="9"/>
    <s v="Area 9: Admiralty Inlet"/>
    <s v="Area 9: Admiralty Inlet"/>
    <s v="NA"/>
    <x v="2"/>
    <s v="Snohomish"/>
    <s v="03Snohomish"/>
    <s v="North Puget Sound"/>
    <s v="01North Puget Sound"/>
    <n v="173.0625"/>
    <n v="3210.3093749999998"/>
    <n v="173.0625"/>
    <n v="3210.3093749999998"/>
  </r>
  <r>
    <n v="1689"/>
    <x v="6"/>
    <s v="Marine"/>
    <x v="0"/>
    <x v="1"/>
    <n v="9"/>
    <s v="Area 9: Admiralty Inlet"/>
    <s v="Area 9: Admiralty Inlet"/>
    <s v="NA"/>
    <x v="2"/>
    <s v="Island"/>
    <s v="04Island"/>
    <s v="North Puget Sound"/>
    <s v="01North Puget Sound"/>
    <n v="5"/>
    <n v="42.7"/>
    <n v="5"/>
    <n v="42.7"/>
  </r>
  <r>
    <n v="1688"/>
    <x v="6"/>
    <s v="Marine"/>
    <x v="0"/>
    <x v="1"/>
    <n v="9"/>
    <s v="Area 9: Admiralty Inlet"/>
    <s v="Area 9: Admiralty Inlet"/>
    <s v="NA"/>
    <x v="2"/>
    <s v="Snohomish"/>
    <s v="03Snohomish"/>
    <s v="North Puget Sound"/>
    <s v="01North Puget Sound"/>
    <n v="10"/>
    <n v="85.4"/>
    <n v="10"/>
    <n v="85.4"/>
  </r>
  <r>
    <n v="1691"/>
    <x v="7"/>
    <s v="Marine"/>
    <x v="0"/>
    <x v="1"/>
    <n v="9"/>
    <s v="Area 9: Admiralty Inlet"/>
    <s v="Area 9: Admiralty Inlet"/>
    <s v="NA"/>
    <x v="2"/>
    <s v="Island"/>
    <s v="04Island"/>
    <s v="North Puget Sound"/>
    <s v="01North Puget Sound"/>
    <n v="53.571428571428598"/>
    <n v="993.75000000000102"/>
    <n v="53.571428571428598"/>
    <n v="993.75000000000102"/>
  </r>
  <r>
    <n v="1694"/>
    <x v="7"/>
    <s v="Marine"/>
    <x v="0"/>
    <x v="1"/>
    <n v="9"/>
    <s v="Area 9: Admiralty Inlet"/>
    <s v="Area 9: Admiralty Inlet"/>
    <s v="NA"/>
    <x v="2"/>
    <s v="Jefferson"/>
    <s v="12Jefferson"/>
    <s v="Strait of Juan de Fuca"/>
    <s v="03Strait of Juan de Fuca"/>
    <n v="10.714285714285699"/>
    <n v="198.75"/>
    <n v="10.714285714285699"/>
    <n v="198.75"/>
  </r>
  <r>
    <n v="1692"/>
    <x v="7"/>
    <s v="Marine"/>
    <x v="0"/>
    <x v="1"/>
    <n v="9"/>
    <s v="Area 9: Admiralty Inlet"/>
    <s v="Area 9: Admiralty Inlet"/>
    <s v="NA"/>
    <x v="2"/>
    <s v="King"/>
    <s v="06King"/>
    <s v="South Puget Sound"/>
    <s v="02South Puget Sound"/>
    <n v="10.714285714285699"/>
    <n v="198.75"/>
    <n v="10.714285714285699"/>
    <n v="198.75"/>
  </r>
  <r>
    <n v="1695"/>
    <x v="7"/>
    <s v="Marine"/>
    <x v="0"/>
    <x v="1"/>
    <n v="9"/>
    <s v="Area 9: Admiralty Inlet"/>
    <s v="Area 9: Admiralty Inlet"/>
    <s v="NA"/>
    <x v="2"/>
    <s v="Other"/>
    <s v="20Other"/>
    <s v="Non Puget Sound"/>
    <s v="07Non Puget Sound"/>
    <n v="10.714285714285699"/>
    <n v="198.75"/>
    <n v="10.714285714285699"/>
    <n v="198.75"/>
  </r>
  <r>
    <n v="1693"/>
    <x v="7"/>
    <s v="Marine"/>
    <x v="0"/>
    <x v="1"/>
    <n v="9"/>
    <s v="Area 9: Admiralty Inlet"/>
    <s v="Area 9: Admiralty Inlet"/>
    <s v="NA"/>
    <x v="2"/>
    <s v="Pierce"/>
    <s v="07Pierce"/>
    <s v="South Puget Sound"/>
    <s v="02South Puget Sound"/>
    <n v="10.714285714285699"/>
    <n v="198.75"/>
    <n v="10.714285714285699"/>
    <n v="198.75"/>
  </r>
  <r>
    <n v="1690"/>
    <x v="7"/>
    <s v="Marine"/>
    <x v="0"/>
    <x v="1"/>
    <n v="9"/>
    <s v="Area 9: Admiralty Inlet"/>
    <s v="Area 9: Admiralty Inlet"/>
    <s v="NA"/>
    <x v="2"/>
    <s v="Snohomish"/>
    <s v="03Snohomish"/>
    <s v="North Puget Sound"/>
    <s v="01North Puget Sound"/>
    <n v="53.571428571428598"/>
    <n v="993.75000000000102"/>
    <n v="53.571428571428598"/>
    <n v="993.75000000000102"/>
  </r>
  <r>
    <n v="1857"/>
    <x v="8"/>
    <s v="Marine"/>
    <x v="0"/>
    <x v="1"/>
    <n v="9"/>
    <s v="Area 9: Admiralty Inlet"/>
    <s v="Area 9: Admiralty Inlet"/>
    <s v="NA"/>
    <x v="2"/>
    <s v="Island"/>
    <s v="04Island"/>
    <s v="North Puget Sound"/>
    <s v="01North Puget Sound"/>
    <n v="58.8"/>
    <n v="502.15199999999999"/>
    <n v="58.8"/>
    <n v="502.15199999999999"/>
  </r>
  <r>
    <n v="1696"/>
    <x v="8"/>
    <s v="Marine"/>
    <x v="0"/>
    <x v="1"/>
    <n v="9"/>
    <s v="Area 9: Admiralty Inlet"/>
    <s v="Area 9: Admiralty Inlet"/>
    <s v="NA"/>
    <x v="2"/>
    <s v="Snohomish"/>
    <s v="03Snohomish"/>
    <s v="North Puget Sound"/>
    <s v="01North Puget Sound"/>
    <n v="25.2"/>
    <n v="215.208"/>
    <n v="25.2"/>
    <n v="215.208"/>
  </r>
  <r>
    <n v="1858"/>
    <x v="9"/>
    <s v="Marine"/>
    <x v="0"/>
    <x v="1"/>
    <n v="9"/>
    <s v="Area 9: Admiralty Inlet"/>
    <s v="Area 9: Admiralty Inlet"/>
    <s v="NA"/>
    <x v="2"/>
    <s v="Island"/>
    <s v="04Island"/>
    <s v="North Puget Sound"/>
    <s v="01North Puget Sound"/>
    <n v="45.714285714285701"/>
    <n v="848"/>
    <n v="45.714285714285701"/>
    <n v="848"/>
  </r>
  <r>
    <n v="1859"/>
    <x v="9"/>
    <s v="Marine"/>
    <x v="0"/>
    <x v="1"/>
    <n v="9"/>
    <s v="Area 9: Admiralty Inlet"/>
    <s v="Area 9: Admiralty Inlet"/>
    <s v="NA"/>
    <x v="2"/>
    <s v="King"/>
    <s v="06King"/>
    <s v="South Puget Sound"/>
    <s v="02South Puget Sound"/>
    <n v="18.285714285714299"/>
    <n v="339.2"/>
    <n v="18.285714285714299"/>
    <n v="339.2"/>
  </r>
  <r>
    <n v="1860"/>
    <x v="10"/>
    <s v="Marine"/>
    <x v="0"/>
    <x v="1"/>
    <n v="9"/>
    <s v="Area 9: Admiralty Inlet"/>
    <s v="Area 9: Admiralty Inlet"/>
    <s v="NA"/>
    <x v="2"/>
    <s v="Other"/>
    <s v="20Other"/>
    <s v="Non Puget Sound"/>
    <s v="07Non Puget Sound"/>
    <n v="16"/>
    <n v="136.63999999999999"/>
    <n v="16"/>
    <n v="136.63999999999999"/>
  </r>
  <r>
    <n v="1862"/>
    <x v="11"/>
    <s v="Marine"/>
    <x v="0"/>
    <x v="1"/>
    <n v="9"/>
    <s v="Area 9: Admiralty Inlet"/>
    <s v="Area 9: Admiralty Inlet"/>
    <s v="NA"/>
    <x v="2"/>
    <s v="Island"/>
    <s v="04Island"/>
    <s v="North Puget Sound"/>
    <s v="01North Puget Sound"/>
    <n v="24"/>
    <n v="445.2"/>
    <n v="24"/>
    <n v="445.2"/>
  </r>
  <r>
    <n v="1861"/>
    <x v="11"/>
    <s v="Marine"/>
    <x v="0"/>
    <x v="1"/>
    <n v="9"/>
    <s v="Area 9: Admiralty Inlet"/>
    <s v="Area 9: Admiralty Inlet"/>
    <s v="NA"/>
    <x v="2"/>
    <s v="Snohomish"/>
    <s v="03Snohomish"/>
    <s v="North Puget Sound"/>
    <s v="01North Puget Sound"/>
    <n v="12"/>
    <n v="222.6"/>
    <n v="12"/>
    <n v="222.6"/>
  </r>
  <r>
    <n v="2836"/>
    <x v="1"/>
    <s v="Marine"/>
    <x v="0"/>
    <x v="1"/>
    <s v="8-1"/>
    <s v="Area 8-1: Skagit Bay-Saratoga Psg."/>
    <s v="Area 8-1: Skagit Bay-Saratoga Psg."/>
    <s v="NA"/>
    <x v="2"/>
    <s v="Island"/>
    <s v="04Island"/>
    <s v="North Puget Sound"/>
    <s v="01North Puget Sound"/>
    <n v="4.5"/>
    <n v="83.474999999999994"/>
    <n v="4.5"/>
    <n v="83.474999999999994"/>
  </r>
  <r>
    <n v="2837"/>
    <x v="1"/>
    <s v="Marine"/>
    <x v="0"/>
    <x v="1"/>
    <s v="8-1"/>
    <s v="Area 8-1: Skagit Bay-Saratoga Psg."/>
    <s v="Area 8-1: Skagit Bay-Saratoga Psg."/>
    <s v="NA"/>
    <x v="2"/>
    <s v="Pierce"/>
    <s v="07Pierce"/>
    <s v="South Puget Sound"/>
    <s v="02South Puget Sound"/>
    <n v="9"/>
    <n v="166.95"/>
    <n v="9"/>
    <n v="166.95"/>
  </r>
  <r>
    <n v="2835"/>
    <x v="1"/>
    <s v="Marine"/>
    <x v="0"/>
    <x v="1"/>
    <s v="8-1"/>
    <s v="Area 8-1: Skagit Bay-Saratoga Psg."/>
    <s v="Area 8-1: Skagit Bay-Saratoga Psg."/>
    <s v="NA"/>
    <x v="2"/>
    <s v="Snohomish"/>
    <s v="03Snohomish"/>
    <s v="North Puget Sound"/>
    <s v="01North Puget Sound"/>
    <n v="4.5"/>
    <n v="83.474999999999994"/>
    <n v="4.5"/>
    <n v="83.474999999999994"/>
  </r>
  <r>
    <n v="1355"/>
    <x v="2"/>
    <s v="Marine"/>
    <x v="0"/>
    <x v="1"/>
    <s v="8-1"/>
    <s v="Area 8-1: Skagit Bay-Saratoga Psg."/>
    <s v="Area 8-1: Skagit Bay-Saratoga Psg."/>
    <s v="NA"/>
    <x v="2"/>
    <s v="King"/>
    <s v="06King"/>
    <s v="South Puget Sound"/>
    <s v="02South Puget Sound"/>
    <n v="3.5"/>
    <n v="29.89"/>
    <n v="3.5"/>
    <n v="29.89"/>
  </r>
  <r>
    <n v="1356"/>
    <x v="2"/>
    <s v="Marine"/>
    <x v="0"/>
    <x v="1"/>
    <s v="8-1"/>
    <s v="Area 8-1: Skagit Bay-Saratoga Psg."/>
    <s v="Area 8-1: Skagit Bay-Saratoga Psg."/>
    <s v="NA"/>
    <x v="2"/>
    <s v="Thurston"/>
    <s v="08Thurston"/>
    <s v="South Puget Sound"/>
    <s v="02South Puget Sound"/>
    <n v="3.5"/>
    <n v="29.89"/>
    <n v="3.5"/>
    <n v="29.89"/>
  </r>
  <r>
    <n v="1525"/>
    <x v="4"/>
    <s v="Marine"/>
    <x v="0"/>
    <x v="1"/>
    <s v="8-1"/>
    <s v="Area 8-1: Skagit Bay-Saratoga Psg."/>
    <s v="Area 8-1: Skagit Bay-Saratoga Psg."/>
    <s v="NA"/>
    <x v="2"/>
    <s v="Snohomish"/>
    <s v="03Snohomish"/>
    <s v="North Puget Sound"/>
    <s v="01North Puget Sound"/>
    <n v="1"/>
    <n v="8.5399999999999991"/>
    <n v="1"/>
    <n v="8.5399999999999991"/>
  </r>
  <r>
    <n v="2838"/>
    <x v="1"/>
    <s v="Marine"/>
    <x v="0"/>
    <x v="1"/>
    <s v="8-2"/>
    <s v="Area 8-2: Port Susan-Port Gardner"/>
    <s v="Area 8-2: Port Susan-Port Gardner"/>
    <s v="NA"/>
    <x v="2"/>
    <s v="Snohomish"/>
    <s v="03Snohomish"/>
    <s v="North Puget Sound"/>
    <s v="01North Puget Sound"/>
    <n v="4"/>
    <n v="74.2"/>
    <n v="4"/>
    <n v="74.2"/>
  </r>
  <r>
    <n v="1357"/>
    <x v="2"/>
    <s v="Marine"/>
    <x v="0"/>
    <x v="1"/>
    <s v="8-2"/>
    <s v="Area 8-2: Port Susan-Port Gardner"/>
    <s v="Area 8-2: Port Susan-Port Gardner"/>
    <s v="NA"/>
    <x v="2"/>
    <s v="Snohomish"/>
    <s v="03Snohomish"/>
    <s v="North Puget Sound"/>
    <s v="01North Puget Sound"/>
    <n v="8"/>
    <n v="68.319999999999993"/>
    <n v="8"/>
    <n v="68.319999999999993"/>
  </r>
  <r>
    <n v="1364"/>
    <x v="3"/>
    <s v="Marine"/>
    <x v="0"/>
    <x v="1"/>
    <s v="8-2"/>
    <s v="Area 8-2: Port Susan-Port Gardner"/>
    <s v="Area 8-2: Port Susan-Port Gardner"/>
    <s v="NA"/>
    <x v="2"/>
    <s v="Other"/>
    <s v="20Other"/>
    <s v="Non Puget Sound"/>
    <s v="07Non Puget Sound"/>
    <n v="4"/>
    <n v="74.2"/>
    <n v="4"/>
    <n v="74.2"/>
  </r>
  <r>
    <n v="688"/>
    <x v="4"/>
    <s v="Freshwater"/>
    <x v="1"/>
    <x v="1"/>
    <n v="706"/>
    <s v="Black River (Thurston Co.)"/>
    <s v="Black River (Thurston Co)"/>
    <s v="Thurston"/>
    <x v="3"/>
    <s v="Other"/>
    <s v="20Other"/>
    <s v="Non Puget Sound"/>
    <s v="07Non Puget Sound"/>
    <n v="4"/>
    <n v="34.159999999999997"/>
    <n v="4"/>
    <n v="83.708949299517172"/>
  </r>
  <r>
    <n v="234"/>
    <x v="4"/>
    <s v="Freshwater"/>
    <x v="1"/>
    <x v="1"/>
    <n v="708"/>
    <s v="Burley Creek (Kitsap Co.)"/>
    <s v="Burley Creek (Kitsap Co.)"/>
    <s v="Kitsap"/>
    <x v="3"/>
    <s v="Other"/>
    <s v="20Other"/>
    <s v="Non Puget Sound"/>
    <s v="07Non Puget Sound"/>
    <n v="12"/>
    <n v="102.48"/>
    <n v="12"/>
    <n v="251.12684789855152"/>
  </r>
  <r>
    <n v="2905"/>
    <x v="0"/>
    <s v="Freshwater"/>
    <x v="1"/>
    <x v="1"/>
    <n v="718"/>
    <s v="Clallam River"/>
    <s v="Clallam River"/>
    <s v="Clallam"/>
    <x v="0"/>
    <s v="Clallam"/>
    <s v="11Clallam"/>
    <s v="Strait of Juan de Fuca"/>
    <s v="03Strait of Juan de Fuca"/>
    <n v="16.210526315789501"/>
    <n v="138.437894736842"/>
    <n v="4.6666666666666696"/>
    <n v="97.660440849436768"/>
  </r>
  <r>
    <n v="2906"/>
    <x v="0"/>
    <s v="Freshwater"/>
    <x v="1"/>
    <x v="1"/>
    <n v="718"/>
    <s v="Clallam River"/>
    <s v="Clallam River"/>
    <s v="Clallam"/>
    <x v="0"/>
    <s v="Other"/>
    <s v="20Other"/>
    <s v="Non Puget Sound"/>
    <s v="07Non Puget Sound"/>
    <n v="2.3157894736842102"/>
    <n v="19.776842105263199"/>
    <n v="2.3333333333333299"/>
    <n v="48.830220424718277"/>
  </r>
  <r>
    <n v="2904"/>
    <x v="0"/>
    <s v="Freshwater"/>
    <x v="1"/>
    <x v="1"/>
    <n v="718"/>
    <s v="Clallam River"/>
    <s v="Clallam River"/>
    <s v="Clallam"/>
    <x v="0"/>
    <s v="Pierce"/>
    <s v="07Pierce"/>
    <s v="South Puget Sound"/>
    <s v="02South Puget Sound"/>
    <n v="18.526315789473699"/>
    <n v="158.214736842105"/>
    <n v="14"/>
    <n v="292.98132254831012"/>
  </r>
  <r>
    <n v="2903"/>
    <x v="0"/>
    <s v="Freshwater"/>
    <x v="1"/>
    <x v="1"/>
    <n v="718"/>
    <s v="Clallam River"/>
    <s v="Clallam River"/>
    <s v="Clallam"/>
    <x v="0"/>
    <s v="Whatcom"/>
    <s v="01Whatcom"/>
    <s v="North Puget Sound"/>
    <s v="01North Puget Sound"/>
    <n v="6.9473684210526301"/>
    <n v="59.330526315789498"/>
    <n v="7"/>
    <n v="146.49066127415506"/>
  </r>
  <r>
    <n v="3027"/>
    <x v="1"/>
    <s v="Freshwater"/>
    <x v="1"/>
    <x v="1"/>
    <n v="718"/>
    <s v="Clallam River"/>
    <s v="Clallam River"/>
    <s v="Clallam"/>
    <x v="0"/>
    <s v="Clallam"/>
    <s v="11Clallam"/>
    <s v="Strait of Juan de Fuca"/>
    <s v="03Strait of Juan de Fuca"/>
    <n v="9"/>
    <n v="166.95"/>
    <n v="13.4285714285714"/>
    <n v="281.02290121980707"/>
  </r>
  <r>
    <n v="3148"/>
    <x v="2"/>
    <s v="Freshwater"/>
    <x v="1"/>
    <x v="1"/>
    <n v="718"/>
    <s v="Clallam River"/>
    <s v="Clallam River"/>
    <s v="Clallam"/>
    <x v="0"/>
    <s v="Clallam"/>
    <s v="11Clallam"/>
    <s v="Strait of Juan de Fuca"/>
    <s v="03Strait of Juan de Fuca"/>
    <n v="16"/>
    <n v="136.63999999999999"/>
    <n v="10"/>
    <n v="209.27237324879292"/>
  </r>
  <r>
    <n v="3261"/>
    <x v="3"/>
    <s v="Freshwater"/>
    <x v="1"/>
    <x v="1"/>
    <n v="718"/>
    <s v="Clallam River"/>
    <s v="Clallam River"/>
    <s v="Clallam"/>
    <x v="0"/>
    <s v="Clallam"/>
    <s v="11Clallam"/>
    <s v="Strait of Juan de Fuca"/>
    <s v="03Strait of Juan de Fuca"/>
    <n v="6"/>
    <n v="111.3"/>
    <n v="16"/>
    <n v="334.83579719806869"/>
  </r>
  <r>
    <n v="3354"/>
    <x v="4"/>
    <s v="Freshwater"/>
    <x v="1"/>
    <x v="1"/>
    <n v="718"/>
    <s v="Clallam River"/>
    <s v="Clallam River"/>
    <s v="Clallam"/>
    <x v="0"/>
    <s v="Clallam"/>
    <s v="11Clallam"/>
    <s v="Strait of Juan de Fuca"/>
    <s v="03Strait of Juan de Fuca"/>
    <n v="6"/>
    <n v="51.24"/>
    <n v="9"/>
    <n v="188.34513592391363"/>
  </r>
  <r>
    <n v="3353"/>
    <x v="4"/>
    <s v="Freshwater"/>
    <x v="1"/>
    <x v="1"/>
    <n v="718"/>
    <s v="Clallam River"/>
    <s v="Clallam River"/>
    <s v="Clallam"/>
    <x v="0"/>
    <s v="Whatcom"/>
    <s v="01Whatcom"/>
    <s v="North Puget Sound"/>
    <s v="01North Puget Sound"/>
    <n v="12"/>
    <n v="102.48"/>
    <n v="6"/>
    <n v="125.56342394927576"/>
  </r>
  <r>
    <n v="3449"/>
    <x v="5"/>
    <s v="Freshwater"/>
    <x v="1"/>
    <x v="1"/>
    <n v="718"/>
    <s v="Clallam River"/>
    <s v="Clallam River"/>
    <s v="Clallam"/>
    <x v="0"/>
    <s v="King"/>
    <s v="06King"/>
    <s v="South Puget Sound"/>
    <s v="02South Puget Sound"/>
    <n v="16"/>
    <n v="296.8"/>
    <n v="0"/>
    <n v="0"/>
  </r>
  <r>
    <n v="2907"/>
    <x v="0"/>
    <s v="Freshwater"/>
    <x v="1"/>
    <x v="1"/>
    <n v="726"/>
    <s v="Deep Creek (Clallam Co.)"/>
    <s v="Deep Creek (Clallam Co.)"/>
    <s v="Clallam"/>
    <x v="0"/>
    <s v="Clallam"/>
    <s v="11Clallam"/>
    <s v="Strait of Juan de Fuca"/>
    <s v="03Strait of Juan de Fuca"/>
    <n v="2"/>
    <n v="17.079999999999998"/>
    <n v="0"/>
    <n v="0"/>
  </r>
  <r>
    <n v="3028"/>
    <x v="1"/>
    <s v="Freshwater"/>
    <x v="1"/>
    <x v="1"/>
    <n v="726"/>
    <s v="Deep Creek (Clallam Co.)"/>
    <s v="Deep Creek (Clallam Co.)"/>
    <s v="Clallam"/>
    <x v="0"/>
    <s v="Clallam"/>
    <s v="11Clallam"/>
    <s v="Strait of Juan de Fuca"/>
    <s v="03Strait of Juan de Fuca"/>
    <n v="2"/>
    <n v="37.1"/>
    <n v="4"/>
    <n v="83.708949299517172"/>
  </r>
  <r>
    <n v="3355"/>
    <x v="4"/>
    <s v="Freshwater"/>
    <x v="1"/>
    <x v="1"/>
    <n v="726"/>
    <s v="Deep Creek (Clallam Co.)"/>
    <s v="Deep Creek (Clallam Co.)"/>
    <s v="Clallam"/>
    <x v="0"/>
    <s v="Clallam"/>
    <s v="11Clallam"/>
    <s v="Strait of Juan de Fuca"/>
    <s v="03Strait of Juan de Fuca"/>
    <n v="9"/>
    <n v="76.86"/>
    <n v="0"/>
    <n v="0"/>
  </r>
  <r>
    <n v="3492"/>
    <x v="6"/>
    <s v="Freshwater"/>
    <x v="1"/>
    <x v="1"/>
    <n v="726"/>
    <s v="Deep Creek (Clallam Co.)"/>
    <s v="Deep Creek (Clallam Co.)"/>
    <s v="Clallam"/>
    <x v="0"/>
    <s v="Clallam"/>
    <s v="11Clallam"/>
    <s v="Strait of Juan de Fuca"/>
    <s v="03Strait of Juan de Fuca"/>
    <n v="5"/>
    <n v="42.7"/>
    <n v="5"/>
    <n v="104.63618662439646"/>
  </r>
  <r>
    <n v="768"/>
    <x v="10"/>
    <s v="Freshwater"/>
    <x v="1"/>
    <x v="1"/>
    <n v="732"/>
    <s v="Dewatto River"/>
    <s v="Dewatto River"/>
    <s v="Mason"/>
    <x v="4"/>
    <s v="Pierce"/>
    <s v="07Pierce"/>
    <s v="South Puget Sound"/>
    <s v="02South Puget Sound"/>
    <n v="12"/>
    <n v="102.48"/>
    <n v="0"/>
    <n v="0"/>
  </r>
  <r>
    <n v="2908"/>
    <x v="0"/>
    <s v="Freshwater"/>
    <x v="1"/>
    <x v="1"/>
    <n v="738"/>
    <s v="Dungeness River"/>
    <s v="Dungeness River"/>
    <s v="Clallam"/>
    <x v="0"/>
    <s v="Clallam"/>
    <s v="11Clallam"/>
    <s v="Strait of Juan de Fuca"/>
    <s v="03Strait of Juan de Fuca"/>
    <n v="26"/>
    <n v="222.04"/>
    <n v="19"/>
    <n v="397.61750917270655"/>
  </r>
  <r>
    <n v="3031"/>
    <x v="1"/>
    <s v="Freshwater"/>
    <x v="1"/>
    <x v="1"/>
    <n v="738"/>
    <s v="Dungeness River"/>
    <s v="Dungeness River"/>
    <s v="Clallam"/>
    <x v="0"/>
    <s v="Clallam"/>
    <s v="11Clallam"/>
    <s v="Strait of Juan de Fuca"/>
    <s v="03Strait of Juan de Fuca"/>
    <n v="56.307692307692299"/>
    <n v="1044.5076923076899"/>
    <n v="43.666666666666671"/>
    <n v="913.82269651972922"/>
  </r>
  <r>
    <n v="3029"/>
    <x v="1"/>
    <s v="Freshwater"/>
    <x v="1"/>
    <x v="1"/>
    <n v="738"/>
    <s v="Dungeness River"/>
    <s v="Dungeness River"/>
    <s v="Clallam"/>
    <x v="0"/>
    <s v="Skagit"/>
    <s v="02Skagit"/>
    <s v="North Puget Sound"/>
    <s v="01North Puget Sound"/>
    <n v="2.3461538461538498"/>
    <n v="43.521153846153901"/>
    <n v="2.3333333333333299"/>
    <n v="48.830220424718277"/>
  </r>
  <r>
    <n v="3030"/>
    <x v="1"/>
    <s v="Freshwater"/>
    <x v="1"/>
    <x v="1"/>
    <n v="738"/>
    <s v="Dungeness River"/>
    <s v="Dungeness River"/>
    <s v="Clallam"/>
    <x v="0"/>
    <s v="Snohomish"/>
    <s v="03Snohomish"/>
    <s v="North Puget Sound"/>
    <s v="01North Puget Sound"/>
    <n v="2.3461538461538498"/>
    <n v="43.521153846153901"/>
    <n v="4"/>
    <n v="83.708949299517172"/>
  </r>
  <r>
    <n v="3151"/>
    <x v="2"/>
    <s v="Freshwater"/>
    <x v="1"/>
    <x v="1"/>
    <n v="738"/>
    <s v="Dungeness River"/>
    <s v="Dungeness River"/>
    <s v="Clallam"/>
    <x v="0"/>
    <s v="Clallam"/>
    <s v="11Clallam"/>
    <s v="Strait of Juan de Fuca"/>
    <s v="03Strait of Juan de Fuca"/>
    <n v="74.400000000000006"/>
    <n v="635.37599999999998"/>
    <n v="62.95"/>
    <n v="1317.3695896011516"/>
  </r>
  <r>
    <n v="3152"/>
    <x v="2"/>
    <s v="Freshwater"/>
    <x v="1"/>
    <x v="1"/>
    <n v="738"/>
    <s v="Dungeness River"/>
    <s v="Dungeness River"/>
    <s v="Clallam"/>
    <x v="0"/>
    <s v="Jefferson"/>
    <s v="12Jefferson"/>
    <s v="Strait of Juan de Fuca"/>
    <s v="03Strait of Juan de Fuca"/>
    <n v="3.1"/>
    <n v="26.474"/>
    <n v="3.2"/>
    <n v="66.967159439613738"/>
  </r>
  <r>
    <n v="3150"/>
    <x v="2"/>
    <s v="Freshwater"/>
    <x v="1"/>
    <x v="1"/>
    <n v="738"/>
    <s v="Dungeness River"/>
    <s v="Dungeness River"/>
    <s v="Clallam"/>
    <x v="0"/>
    <s v="Kitsap"/>
    <s v="10Kitsap"/>
    <s v="South Puget Sound"/>
    <s v="02South Puget Sound"/>
    <n v="6.2"/>
    <n v="52.948"/>
    <n v="3.25"/>
    <n v="68.013521305857708"/>
  </r>
  <r>
    <n v="3149"/>
    <x v="2"/>
    <s v="Freshwater"/>
    <x v="1"/>
    <x v="1"/>
    <n v="738"/>
    <s v="Dungeness River"/>
    <s v="Dungeness River"/>
    <s v="Clallam"/>
    <x v="0"/>
    <s v="Whatcom"/>
    <s v="01Whatcom"/>
    <s v="North Puget Sound"/>
    <s v="01North Puget Sound"/>
    <n v="9.3000000000000007"/>
    <n v="79.421999999999997"/>
    <n v="9.6"/>
    <n v="200.90147831884121"/>
  </r>
  <r>
    <n v="3264"/>
    <x v="3"/>
    <s v="Freshwater"/>
    <x v="1"/>
    <x v="1"/>
    <n v="738"/>
    <s v="Dungeness River"/>
    <s v="Dungeness River"/>
    <s v="Clallam"/>
    <x v="0"/>
    <s v="Clallam"/>
    <s v="11Clallam"/>
    <s v="Strait of Juan de Fuca"/>
    <s v="03Strait of Juan de Fuca"/>
    <n v="78.966666666666697"/>
    <n v="1464.8316666666699"/>
    <n v="48.966666666666669"/>
    <n v="1024.7370543415893"/>
  </r>
  <r>
    <n v="3265"/>
    <x v="3"/>
    <s v="Freshwater"/>
    <x v="1"/>
    <x v="1"/>
    <n v="738"/>
    <s v="Dungeness River"/>
    <s v="Dungeness River"/>
    <s v="Clallam"/>
    <x v="0"/>
    <s v="Jefferson"/>
    <s v="12Jefferson"/>
    <s v="Strait of Juan de Fuca"/>
    <s v="03Strait of Juan de Fuca"/>
    <n v="3.43333333333333"/>
    <n v="63.688333333333297"/>
    <n v="0"/>
    <n v="0"/>
  </r>
  <r>
    <n v="3262"/>
    <x v="3"/>
    <s v="Freshwater"/>
    <x v="1"/>
    <x v="1"/>
    <n v="738"/>
    <s v="Dungeness River"/>
    <s v="Dungeness River"/>
    <s v="Clallam"/>
    <x v="0"/>
    <s v="King"/>
    <s v="06King"/>
    <s v="South Puget Sound"/>
    <s v="02South Puget Sound"/>
    <n v="3.43333333333333"/>
    <n v="63.688333333333297"/>
    <n v="3.5"/>
    <n v="73.245330637077529"/>
  </r>
  <r>
    <n v="3263"/>
    <x v="3"/>
    <s v="Freshwater"/>
    <x v="1"/>
    <x v="1"/>
    <n v="738"/>
    <s v="Dungeness River"/>
    <s v="Dungeness River"/>
    <s v="Clallam"/>
    <x v="0"/>
    <s v="Kitsap"/>
    <s v="10Kitsap"/>
    <s v="South Puget Sound"/>
    <s v="02South Puget Sound"/>
    <n v="6.8666666666666698"/>
    <n v="127.37666666666701"/>
    <n v="6.5333333333333297"/>
    <n v="136.7246171892113"/>
  </r>
  <r>
    <n v="3266"/>
    <x v="3"/>
    <s v="Freshwater"/>
    <x v="1"/>
    <x v="1"/>
    <n v="738"/>
    <s v="Dungeness River"/>
    <s v="Dungeness River"/>
    <s v="Clallam"/>
    <x v="0"/>
    <s v="Other"/>
    <s v="20Other"/>
    <s v="Non Puget Sound"/>
    <s v="07Non Puget Sound"/>
    <n v="10.3"/>
    <n v="191.065"/>
    <n v="0"/>
    <n v="0"/>
  </r>
  <r>
    <n v="3358"/>
    <x v="4"/>
    <s v="Freshwater"/>
    <x v="1"/>
    <x v="1"/>
    <n v="738"/>
    <s v="Dungeness River"/>
    <s v="Dungeness River"/>
    <s v="Clallam"/>
    <x v="0"/>
    <s v="Clallam"/>
    <s v="11Clallam"/>
    <s v="Strait of Juan de Fuca"/>
    <s v="03Strait of Juan de Fuca"/>
    <n v="33.733333333333299"/>
    <n v="288.082666666666"/>
    <n v="67.727272727272691"/>
    <n v="1417.3447097304604"/>
  </r>
  <r>
    <n v="3357"/>
    <x v="4"/>
    <s v="Freshwater"/>
    <x v="1"/>
    <x v="1"/>
    <n v="738"/>
    <s v="Dungeness River"/>
    <s v="Dungeness River"/>
    <s v="Clallam"/>
    <x v="0"/>
    <s v="King"/>
    <s v="06King"/>
    <s v="South Puget Sound"/>
    <s v="02South Puget Sound"/>
    <n v="3.06666666666667"/>
    <n v="26.189333333333401"/>
    <n v="0"/>
    <n v="0"/>
  </r>
  <r>
    <n v="3359"/>
    <x v="4"/>
    <s v="Freshwater"/>
    <x v="1"/>
    <x v="1"/>
    <n v="738"/>
    <s v="Dungeness River"/>
    <s v="Dungeness River"/>
    <s v="Clallam"/>
    <x v="0"/>
    <s v="Other"/>
    <s v="20Other"/>
    <s v="Non Puget Sound"/>
    <s v="07Non Puget Sound"/>
    <n v="6.1333333333333302"/>
    <n v="52.378666666666597"/>
    <n v="16.363636363636402"/>
    <n v="342.44570167984381"/>
  </r>
  <r>
    <n v="3356"/>
    <x v="4"/>
    <s v="Freshwater"/>
    <x v="1"/>
    <x v="1"/>
    <n v="738"/>
    <s v="Dungeness River"/>
    <s v="Dungeness River"/>
    <s v="Clallam"/>
    <x v="0"/>
    <s v="Snohomish"/>
    <s v="03Snohomish"/>
    <s v="North Puget Sound"/>
    <s v="01North Puget Sound"/>
    <n v="3.06666666666667"/>
    <n v="26.189333333333401"/>
    <n v="0"/>
    <n v="0"/>
  </r>
  <r>
    <n v="3450"/>
    <x v="5"/>
    <s v="Freshwater"/>
    <x v="1"/>
    <x v="1"/>
    <n v="738"/>
    <s v="Dungeness River"/>
    <s v="Dungeness River"/>
    <s v="Clallam"/>
    <x v="0"/>
    <s v="Other"/>
    <s v="20Other"/>
    <s v="Non Puget Sound"/>
    <s v="07Non Puget Sound"/>
    <n v="10"/>
    <n v="185.5"/>
    <n v="0"/>
    <n v="0"/>
  </r>
  <r>
    <n v="3493"/>
    <x v="6"/>
    <s v="Freshwater"/>
    <x v="1"/>
    <x v="1"/>
    <n v="738"/>
    <s v="Dungeness River"/>
    <s v="Dungeness River"/>
    <s v="Clallam"/>
    <x v="0"/>
    <s v="Clallam"/>
    <s v="11Clallam"/>
    <s v="Strait of Juan de Fuca"/>
    <s v="03Strait of Juan de Fuca"/>
    <n v="5"/>
    <n v="42.7"/>
    <n v="8.5"/>
    <n v="177.88151726147399"/>
  </r>
  <r>
    <n v="3540"/>
    <x v="7"/>
    <s v="Freshwater"/>
    <x v="1"/>
    <x v="1"/>
    <n v="738"/>
    <s v="Dungeness River"/>
    <s v="Dungeness River"/>
    <s v="Clallam"/>
    <x v="0"/>
    <s v="Clallam"/>
    <s v="11Clallam"/>
    <s v="Strait of Juan de Fuca"/>
    <s v="03Strait of Juan de Fuca"/>
    <n v="54"/>
    <n v="1001.7"/>
    <n v="22"/>
    <n v="460.39922114734446"/>
  </r>
  <r>
    <n v="3597"/>
    <x v="8"/>
    <s v="Freshwater"/>
    <x v="1"/>
    <x v="1"/>
    <n v="738"/>
    <s v="Dungeness River"/>
    <s v="Dungeness River"/>
    <s v="Clallam"/>
    <x v="0"/>
    <s v="Clallam"/>
    <s v="11Clallam"/>
    <s v="Strait of Juan de Fuca"/>
    <s v="03Strait of Juan de Fuca"/>
    <n v="61.6666666666667"/>
    <n v="526.63333333333401"/>
    <n v="32"/>
    <n v="669.67159439613738"/>
  </r>
  <r>
    <n v="3596"/>
    <x v="8"/>
    <s v="Freshwater"/>
    <x v="1"/>
    <x v="1"/>
    <n v="738"/>
    <s v="Dungeness River"/>
    <s v="Dungeness River"/>
    <s v="Clallam"/>
    <x v="0"/>
    <s v="Kitsap"/>
    <s v="10Kitsap"/>
    <s v="South Puget Sound"/>
    <s v="02South Puget Sound"/>
    <n v="12.3333333333333"/>
    <n v="105.326666666666"/>
    <n v="3"/>
    <n v="62.781711974637879"/>
  </r>
  <r>
    <n v="3642"/>
    <x v="9"/>
    <s v="Freshwater"/>
    <x v="1"/>
    <x v="1"/>
    <n v="738"/>
    <s v="Dungeness River"/>
    <s v="Dungeness River"/>
    <s v="Clallam"/>
    <x v="0"/>
    <s v="Clallam"/>
    <s v="11Clallam"/>
    <s v="Strait of Juan de Fuca"/>
    <s v="03Strait of Juan de Fuca"/>
    <n v="9"/>
    <n v="166.95"/>
    <n v="11"/>
    <n v="230.19961057367223"/>
  </r>
  <r>
    <n v="3643"/>
    <x v="9"/>
    <s v="Freshwater"/>
    <x v="1"/>
    <x v="1"/>
    <n v="738"/>
    <s v="Dungeness River"/>
    <s v="Dungeness River"/>
    <s v="Clallam"/>
    <x v="0"/>
    <s v="Other"/>
    <s v="20Other"/>
    <s v="Non Puget Sound"/>
    <s v="07Non Puget Sound"/>
    <n v="9"/>
    <n v="166.95"/>
    <n v="5"/>
    <n v="104.63618662439646"/>
  </r>
  <r>
    <n v="3672"/>
    <x v="10"/>
    <s v="Freshwater"/>
    <x v="1"/>
    <x v="1"/>
    <n v="738"/>
    <s v="Dungeness River"/>
    <s v="Dungeness River"/>
    <s v="Clallam"/>
    <x v="0"/>
    <s v="Kitsap"/>
    <s v="10Kitsap"/>
    <s v="South Puget Sound"/>
    <s v="02South Puget Sound"/>
    <n v="12"/>
    <n v="102.48"/>
    <n v="0"/>
    <n v="0"/>
  </r>
  <r>
    <n v="3699"/>
    <x v="11"/>
    <s v="Freshwater"/>
    <x v="1"/>
    <x v="1"/>
    <n v="738"/>
    <s v="Dungeness River"/>
    <s v="Dungeness River"/>
    <s v="Clallam"/>
    <x v="0"/>
    <s v="Clallam"/>
    <s v="11Clallam"/>
    <s v="Strait of Juan de Fuca"/>
    <s v="03Strait of Juan de Fuca"/>
    <n v="24"/>
    <n v="445.2"/>
    <n v="6"/>
    <n v="125.56342394927576"/>
  </r>
  <r>
    <n v="2911"/>
    <x v="0"/>
    <s v="Freshwater"/>
    <x v="1"/>
    <x v="1"/>
    <n v="742"/>
    <s v="Elwha River"/>
    <s v="Elwha River"/>
    <s v="Clallam"/>
    <x v="0"/>
    <s v="Clallam"/>
    <s v="11Clallam"/>
    <s v="Strait of Juan de Fuca"/>
    <s v="03Strait of Juan de Fuca"/>
    <n v="160.42253521126801"/>
    <n v="1370.00845070423"/>
    <n v="134.46163682864449"/>
    <n v="2813.9105850047731"/>
  </r>
  <r>
    <n v="2910"/>
    <x v="0"/>
    <s v="Freshwater"/>
    <x v="1"/>
    <x v="1"/>
    <n v="742"/>
    <s v="Elwha River"/>
    <s v="Elwha River"/>
    <s v="Clallam"/>
    <x v="0"/>
    <s v="King"/>
    <s v="06King"/>
    <s v="South Puget Sound"/>
    <s v="02South Puget Sound"/>
    <n v="7.1830985915493004"/>
    <n v="61.343661971830997"/>
    <n v="7.1470588235294104"/>
    <n v="149.56819617487255"/>
  </r>
  <r>
    <n v="2909"/>
    <x v="0"/>
    <s v="Freshwater"/>
    <x v="1"/>
    <x v="1"/>
    <n v="742"/>
    <s v="Elwha River"/>
    <s v="Elwha River"/>
    <s v="Clallam"/>
    <x v="0"/>
    <s v="Snohomish"/>
    <s v="03Snohomish"/>
    <s v="North Puget Sound"/>
    <s v="01North Puget Sound"/>
    <n v="2.3943661971830998"/>
    <n v="20.4478873239437"/>
    <n v="2.39130434782609"/>
    <n v="50.043393602972287"/>
  </r>
  <r>
    <n v="3032"/>
    <x v="1"/>
    <s v="Freshwater"/>
    <x v="1"/>
    <x v="1"/>
    <n v="742"/>
    <s v="Elwha River"/>
    <s v="Elwha River"/>
    <s v="Clallam"/>
    <x v="0"/>
    <s v="Clallam"/>
    <s v="11Clallam"/>
    <s v="Strait of Juan de Fuca"/>
    <s v="03Strait of Juan de Fuca"/>
    <n v="13"/>
    <n v="241.15"/>
    <n v="39"/>
    <n v="816.16225567029244"/>
  </r>
  <r>
    <n v="3267"/>
    <x v="3"/>
    <s v="Freshwater"/>
    <x v="1"/>
    <x v="1"/>
    <n v="742"/>
    <s v="Elwha River"/>
    <s v="Elwha River"/>
    <s v="Clallam"/>
    <x v="0"/>
    <s v="Clallam"/>
    <s v="11Clallam"/>
    <s v="Strait of Juan de Fuca"/>
    <s v="03Strait of Juan de Fuca"/>
    <n v="1"/>
    <n v="18.55"/>
    <n v="1"/>
    <n v="20.927237324879293"/>
  </r>
  <r>
    <n v="598"/>
    <x v="0"/>
    <s v="Freshwater"/>
    <x v="1"/>
    <x v="1"/>
    <n v="746"/>
    <s v="Green (Duwamish River) (King Co.)"/>
    <s v="Green - Duwamish River"/>
    <s v="King"/>
    <x v="3"/>
    <s v="King"/>
    <s v="06King"/>
    <s v="South Puget Sound"/>
    <s v="02South Puget Sound"/>
    <n v="396.29779411764702"/>
    <n v="3384.3831617647102"/>
    <n v="351.53938336954025"/>
    <n v="7356.7481048160935"/>
  </r>
  <r>
    <n v="600"/>
    <x v="0"/>
    <s v="Freshwater"/>
    <x v="1"/>
    <x v="1"/>
    <n v="746"/>
    <s v="Green (Duwamish River) (King Co.)"/>
    <s v="Green - Duwamish River"/>
    <s v="King"/>
    <x v="3"/>
    <s v="Kitsap"/>
    <s v="10Kitsap"/>
    <s v="South Puget Sound"/>
    <s v="02South Puget Sound"/>
    <n v="3.90441176470588"/>
    <n v="33.3436764705882"/>
    <n v="3.7195652173912999"/>
    <n v="77.840224049713967"/>
  </r>
  <r>
    <n v="601"/>
    <x v="0"/>
    <s v="Freshwater"/>
    <x v="1"/>
    <x v="1"/>
    <n v="746"/>
    <s v="Green (Duwamish River) (King Co.)"/>
    <s v="Green - Duwamish River"/>
    <s v="King"/>
    <x v="3"/>
    <s v="Other"/>
    <s v="20Other"/>
    <s v="Non Puget Sound"/>
    <s v="07Non Puget Sound"/>
    <n v="9.7610294117647101"/>
    <n v="83.359191176470603"/>
    <n v="9.0266142438984502"/>
    <n v="188.90209852219871"/>
  </r>
  <r>
    <n v="599"/>
    <x v="0"/>
    <s v="Freshwater"/>
    <x v="1"/>
    <x v="1"/>
    <n v="746"/>
    <s v="Green (Duwamish River) (King Co.)"/>
    <s v="Green - Duwamish River"/>
    <s v="King"/>
    <x v="3"/>
    <s v="Pierce"/>
    <s v="07Pierce"/>
    <s v="South Puget Sound"/>
    <s v="02South Puget Sound"/>
    <n v="111.27573529411799"/>
    <n v="950.29477941176799"/>
    <n v="96.610178074228202"/>
    <n v="2021.7841245582235"/>
  </r>
  <r>
    <n v="597"/>
    <x v="0"/>
    <s v="Freshwater"/>
    <x v="1"/>
    <x v="1"/>
    <n v="746"/>
    <s v="Green (Duwamish River) (King Co.)"/>
    <s v="Green - Duwamish River"/>
    <s v="King"/>
    <x v="3"/>
    <s v="Snohomish"/>
    <s v="03Snohomish"/>
    <s v="North Puget Sound"/>
    <s v="01North Puget Sound"/>
    <n v="5.8566176470588296"/>
    <n v="50.015514705882403"/>
    <n v="6.0430346051464001"/>
    <n v="126.46401934435694"/>
  </r>
  <r>
    <n v="596"/>
    <x v="0"/>
    <s v="Freshwater"/>
    <x v="1"/>
    <x v="1"/>
    <n v="746"/>
    <s v="Green (Duwamish River) (King Co.)"/>
    <s v="Green - Duwamish River"/>
    <s v="King"/>
    <x v="3"/>
    <s v="Whatcom"/>
    <s v="01Whatcom"/>
    <s v="North Puget Sound"/>
    <s v="01North Puget Sound"/>
    <n v="3.90441176470588"/>
    <n v="33.3436764705882"/>
    <n v="4.0612244897959204"/>
    <n v="84.990208727571044"/>
  </r>
  <r>
    <n v="603"/>
    <x v="1"/>
    <s v="Freshwater"/>
    <x v="1"/>
    <x v="1"/>
    <n v="746"/>
    <s v="Green (Duwamish River) (King Co.)"/>
    <s v="Green - Duwamish River"/>
    <s v="King"/>
    <x v="3"/>
    <s v="King"/>
    <s v="06King"/>
    <s v="South Puget Sound"/>
    <s v="02South Puget Sound"/>
    <n v="395.519230769231"/>
    <n v="7336.8817307692398"/>
    <n v="404.24765324330554"/>
    <n v="8459.7865774481652"/>
  </r>
  <r>
    <n v="606"/>
    <x v="1"/>
    <s v="Freshwater"/>
    <x v="1"/>
    <x v="1"/>
    <n v="746"/>
    <s v="Green (Duwamish River) (King Co.)"/>
    <s v="Green - Duwamish River"/>
    <s v="King"/>
    <x v="3"/>
    <s v="Other"/>
    <s v="20Other"/>
    <s v="Non Puget Sound"/>
    <s v="07Non Puget Sound"/>
    <n v="10.0769230769231"/>
    <n v="186.926923076924"/>
    <n v="12.578571428571431"/>
    <n v="263.23474949366027"/>
  </r>
  <r>
    <n v="604"/>
    <x v="1"/>
    <s v="Freshwater"/>
    <x v="1"/>
    <x v="1"/>
    <n v="746"/>
    <s v="Green (Duwamish River) (King Co.)"/>
    <s v="Green - Duwamish River"/>
    <s v="King"/>
    <x v="3"/>
    <s v="Pierce"/>
    <s v="07Pierce"/>
    <s v="South Puget Sound"/>
    <s v="02South Puget Sound"/>
    <n v="100.769230769231"/>
    <n v="1869.26923076924"/>
    <n v="107.07725023159809"/>
    <n v="2240.8310276921393"/>
  </r>
  <r>
    <n v="602"/>
    <x v="1"/>
    <s v="Freshwater"/>
    <x v="1"/>
    <x v="1"/>
    <n v="746"/>
    <s v="Green (Duwamish River) (King Co.)"/>
    <s v="Green - Duwamish River"/>
    <s v="King"/>
    <x v="3"/>
    <s v="Snohomish"/>
    <s v="03Snohomish"/>
    <s v="North Puget Sound"/>
    <s v="01North Puget Sound"/>
    <n v="10.0769230769231"/>
    <n v="186.926923076924"/>
    <n v="12.61003861003862"/>
    <n v="263.89327066816918"/>
  </r>
  <r>
    <n v="605"/>
    <x v="1"/>
    <s v="Freshwater"/>
    <x v="1"/>
    <x v="1"/>
    <n v="746"/>
    <s v="Green (Duwamish River) (King Co.)"/>
    <s v="Green - Duwamish River"/>
    <s v="King"/>
    <x v="3"/>
    <s v="Thurston"/>
    <s v="08Thurston"/>
    <s v="South Puget Sound"/>
    <s v="02South Puget Sound"/>
    <n v="7.5576923076923102"/>
    <n v="140.195192307692"/>
    <n v="9.4864864864864895"/>
    <n v="198.52595408196308"/>
  </r>
  <r>
    <n v="611"/>
    <x v="2"/>
    <s v="Freshwater"/>
    <x v="1"/>
    <x v="1"/>
    <n v="746"/>
    <s v="Green (Duwamish River) (King Co.)"/>
    <s v="Green - Duwamish River"/>
    <s v="King"/>
    <x v="3"/>
    <s v="Clallam"/>
    <s v="11Clallam"/>
    <s v="Strait of Juan de Fuca"/>
    <s v="03Strait of Juan de Fuca"/>
    <n v="3.4507042253521099"/>
    <n v="29.469014084506998"/>
    <n v="3.9767441860465098"/>
    <n v="83.222269361729246"/>
  </r>
  <r>
    <n v="608"/>
    <x v="2"/>
    <s v="Freshwater"/>
    <x v="1"/>
    <x v="1"/>
    <n v="746"/>
    <s v="Green (Duwamish River) (King Co.)"/>
    <s v="Green - Duwamish River"/>
    <s v="King"/>
    <x v="3"/>
    <s v="King"/>
    <s v="06King"/>
    <s v="South Puget Sound"/>
    <s v="02South Puget Sound"/>
    <n v="517.60563380281701"/>
    <n v="4420.3521126760597"/>
    <n v="506.51950702146627"/>
    <n v="10600.053933119088"/>
  </r>
  <r>
    <n v="609"/>
    <x v="2"/>
    <s v="Freshwater"/>
    <x v="1"/>
    <x v="1"/>
    <n v="746"/>
    <s v="Green (Duwamish River) (King Co.)"/>
    <s v="Green - Duwamish River"/>
    <s v="King"/>
    <x v="3"/>
    <s v="Pierce"/>
    <s v="07Pierce"/>
    <s v="South Puget Sound"/>
    <s v="02South Puget Sound"/>
    <n v="203.591549295775"/>
    <n v="1738.67183098592"/>
    <n v="214.5270046064409"/>
    <n v="4489.4575379944617"/>
  </r>
  <r>
    <n v="607"/>
    <x v="2"/>
    <s v="Freshwater"/>
    <x v="1"/>
    <x v="1"/>
    <n v="746"/>
    <s v="Green (Duwamish River) (King Co.)"/>
    <s v="Green - Duwamish River"/>
    <s v="King"/>
    <x v="3"/>
    <s v="Snohomish"/>
    <s v="03Snohomish"/>
    <s v="North Puget Sound"/>
    <s v="01North Puget Sound"/>
    <n v="3.4507042253521099"/>
    <n v="29.469014084506998"/>
    <n v="0"/>
    <n v="0"/>
  </r>
  <r>
    <n v="610"/>
    <x v="2"/>
    <s v="Freshwater"/>
    <x v="1"/>
    <x v="1"/>
    <n v="746"/>
    <s v="Green (Duwamish River) (King Co.)"/>
    <s v="Green - Duwamish River"/>
    <s v="King"/>
    <x v="3"/>
    <s v="Thurston"/>
    <s v="08Thurston"/>
    <s v="South Puget Sound"/>
    <s v="02South Puget Sound"/>
    <n v="6.9014084507042304"/>
    <n v="58.938028169014103"/>
    <n v="7.9767441860465098"/>
    <n v="166.93121866124642"/>
  </r>
  <r>
    <n v="613"/>
    <x v="3"/>
    <s v="Freshwater"/>
    <x v="1"/>
    <x v="1"/>
    <n v="746"/>
    <s v="Green (Duwamish River) (King Co.)"/>
    <s v="Green - Duwamish River"/>
    <s v="King"/>
    <x v="3"/>
    <s v="King"/>
    <s v="06King"/>
    <s v="South Puget Sound"/>
    <s v="02South Puget Sound"/>
    <n v="654.31279620853104"/>
    <n v="12137.5023696683"/>
    <n v="657.52102913189879"/>
    <n v="13760.098622742118"/>
  </r>
  <r>
    <n v="687"/>
    <x v="3"/>
    <s v="Freshwater"/>
    <x v="1"/>
    <x v="1"/>
    <n v="746"/>
    <s v="Green (Duwamish River) (King Co.)"/>
    <s v="Green - Duwamish River"/>
    <s v="King"/>
    <x v="3"/>
    <s v="Other"/>
    <s v="20Other"/>
    <s v="Non Puget Sound"/>
    <s v="07Non Puget Sound"/>
    <n v="11.0900473933649"/>
    <n v="205.72037914691899"/>
    <n v="13.422200263504621"/>
    <n v="280.88957033641856"/>
  </r>
  <r>
    <n v="686"/>
    <x v="3"/>
    <s v="Freshwater"/>
    <x v="1"/>
    <x v="1"/>
    <n v="746"/>
    <s v="Green (Duwamish River) (King Co.)"/>
    <s v="Green - Duwamish River"/>
    <s v="King"/>
    <x v="3"/>
    <s v="Pierce"/>
    <s v="07Pierce"/>
    <s v="South Puget Sound"/>
    <s v="02South Puget Sound"/>
    <n v="107.203791469194"/>
    <n v="1988.6303317535501"/>
    <n v="123.35306690089296"/>
    <n v="2581.4389057866997"/>
  </r>
  <r>
    <n v="612"/>
    <x v="3"/>
    <s v="Freshwater"/>
    <x v="1"/>
    <x v="1"/>
    <n v="746"/>
    <s v="Green (Duwamish River) (King Co.)"/>
    <s v="Green - Duwamish River"/>
    <s v="King"/>
    <x v="3"/>
    <s v="Snohomish"/>
    <s v="03Snohomish"/>
    <s v="North Puget Sound"/>
    <s v="01North Puget Sound"/>
    <n v="7.3933649289099597"/>
    <n v="137.14691943128"/>
    <n v="6.7037037037037006"/>
    <n v="140.28999836307963"/>
  </r>
  <r>
    <n v="690"/>
    <x v="4"/>
    <s v="Freshwater"/>
    <x v="1"/>
    <x v="1"/>
    <n v="746"/>
    <s v="Green (Duwamish River) (King Co.)"/>
    <s v="Green - Duwamish River"/>
    <s v="King"/>
    <x v="3"/>
    <s v="King"/>
    <s v="06King"/>
    <s v="South Puget Sound"/>
    <s v="02South Puget Sound"/>
    <n v="157.744186046512"/>
    <n v="1347.1353488372099"/>
    <n v="142.75974025974023"/>
    <n v="2987.5669648537087"/>
  </r>
  <r>
    <n v="692"/>
    <x v="4"/>
    <s v="Freshwater"/>
    <x v="1"/>
    <x v="1"/>
    <n v="746"/>
    <s v="Green (Duwamish River) (King Co.)"/>
    <s v="Green - Duwamish River"/>
    <s v="King"/>
    <x v="3"/>
    <s v="Other"/>
    <s v="20Other"/>
    <s v="Non Puget Sound"/>
    <s v="07Non Puget Sound"/>
    <n v="2.7674418604651199"/>
    <n v="23.6339534883721"/>
    <n v="1.9090909090909101"/>
    <n v="39.951998529315034"/>
  </r>
  <r>
    <n v="691"/>
    <x v="4"/>
    <s v="Freshwater"/>
    <x v="1"/>
    <x v="1"/>
    <n v="746"/>
    <s v="Green (Duwamish River) (King Co.)"/>
    <s v="Green - Duwamish River"/>
    <s v="King"/>
    <x v="3"/>
    <s v="Pierce"/>
    <s v="07Pierce"/>
    <s v="South Puget Sound"/>
    <s v="02South Puget Sound"/>
    <n v="69.186046511627893"/>
    <n v="590.84883720930202"/>
    <n v="55.545454545454561"/>
    <n v="1162.412909591023"/>
  </r>
  <r>
    <n v="689"/>
    <x v="4"/>
    <s v="Freshwater"/>
    <x v="1"/>
    <x v="1"/>
    <n v="746"/>
    <s v="Green (Duwamish River) (King Co.)"/>
    <s v="Green - Duwamish River"/>
    <s v="King"/>
    <x v="3"/>
    <s v="Snohomish"/>
    <s v="03Snohomish"/>
    <s v="North Puget Sound"/>
    <s v="01North Puget Sound"/>
    <n v="8.3023255813953494"/>
    <n v="70.9018604651163"/>
    <n v="5.78571428571429"/>
    <n v="121.07901595108743"/>
  </r>
  <r>
    <n v="694"/>
    <x v="5"/>
    <s v="Freshwater"/>
    <x v="1"/>
    <x v="1"/>
    <n v="746"/>
    <s v="Green (Duwamish River) (King Co.)"/>
    <s v="Green - Duwamish River"/>
    <s v="King"/>
    <x v="3"/>
    <s v="King"/>
    <s v="06King"/>
    <s v="South Puget Sound"/>
    <s v="02South Puget Sound"/>
    <n v="48.928571428571402"/>
    <n v="907.625"/>
    <n v="78.825274725274795"/>
    <n v="1649.595231374635"/>
  </r>
  <r>
    <n v="696"/>
    <x v="5"/>
    <s v="Freshwater"/>
    <x v="1"/>
    <x v="1"/>
    <n v="746"/>
    <s v="Green (Duwamish River) (King Co.)"/>
    <s v="Green - Duwamish River"/>
    <s v="King"/>
    <x v="3"/>
    <s v="Other"/>
    <s v="20Other"/>
    <s v="Non Puget Sound"/>
    <s v="07Non Puget Sound"/>
    <n v="9.78571428571429"/>
    <n v="181.52500000000001"/>
    <n v="14.27857142857143"/>
    <n v="298.81105294595511"/>
  </r>
  <r>
    <n v="695"/>
    <x v="5"/>
    <s v="Freshwater"/>
    <x v="1"/>
    <x v="1"/>
    <n v="746"/>
    <s v="Green (Duwamish River) (King Co.)"/>
    <s v="Green - Duwamish River"/>
    <s v="King"/>
    <x v="3"/>
    <s v="Pierce"/>
    <s v="07Pierce"/>
    <s v="South Puget Sound"/>
    <s v="02South Puget Sound"/>
    <n v="68.5"/>
    <n v="1270.675"/>
    <n v="33.973076923076917"/>
    <n v="710.96264342561062"/>
  </r>
  <r>
    <n v="693"/>
    <x v="5"/>
    <s v="Freshwater"/>
    <x v="1"/>
    <x v="1"/>
    <n v="746"/>
    <s v="Green (Duwamish River) (King Co.)"/>
    <s v="Green - Duwamish River"/>
    <s v="King"/>
    <x v="3"/>
    <s v="Whatcom"/>
    <s v="01Whatcom"/>
    <s v="North Puget Sound"/>
    <s v="01North Puget Sound"/>
    <n v="9.78571428571429"/>
    <n v="181.52500000000001"/>
    <n v="3"/>
    <n v="62.781711974637879"/>
  </r>
  <r>
    <n v="697"/>
    <x v="6"/>
    <s v="Freshwater"/>
    <x v="1"/>
    <x v="1"/>
    <n v="746"/>
    <s v="Green (Duwamish River) (King Co.)"/>
    <s v="Green - Duwamish River"/>
    <s v="King"/>
    <x v="3"/>
    <s v="King"/>
    <s v="06King"/>
    <s v="South Puget Sound"/>
    <s v="02South Puget Sound"/>
    <n v="96.545454545454604"/>
    <n v="824.49818181818205"/>
    <n v="128.41071428571419"/>
    <n v="2687.2814929144088"/>
  </r>
  <r>
    <n v="698"/>
    <x v="6"/>
    <s v="Freshwater"/>
    <x v="1"/>
    <x v="1"/>
    <n v="746"/>
    <s v="Green (Duwamish River) (King Co.)"/>
    <s v="Green - Duwamish River"/>
    <s v="King"/>
    <x v="3"/>
    <s v="Pierce"/>
    <s v="07Pierce"/>
    <s v="South Puget Sound"/>
    <s v="02South Puget Sound"/>
    <n v="21.454545454545499"/>
    <n v="183.221818181819"/>
    <n v="38.589285714285801"/>
    <n v="807.56714034043307"/>
  </r>
  <r>
    <n v="699"/>
    <x v="7"/>
    <s v="Freshwater"/>
    <x v="1"/>
    <x v="1"/>
    <n v="746"/>
    <s v="Green (Duwamish River) (King Co.)"/>
    <s v="Green - Duwamish River"/>
    <s v="King"/>
    <x v="3"/>
    <s v="King"/>
    <s v="06King"/>
    <s v="South Puget Sound"/>
    <s v="02South Puget Sound"/>
    <n v="423"/>
    <n v="7846.65"/>
    <n v="227.53434343434358"/>
    <n v="4761.6652046110985"/>
  </r>
  <r>
    <n v="700"/>
    <x v="7"/>
    <s v="Freshwater"/>
    <x v="1"/>
    <x v="1"/>
    <n v="746"/>
    <s v="Green (Duwamish River) (King Co.)"/>
    <s v="Green - Duwamish River"/>
    <s v="King"/>
    <x v="3"/>
    <s v="Pierce"/>
    <s v="07Pierce"/>
    <s v="South Puget Sound"/>
    <s v="02South Puget Sound"/>
    <n v="270"/>
    <n v="5008.5"/>
    <n v="124.61565656565664"/>
    <n v="2607.861419345149"/>
  </r>
  <r>
    <n v="701"/>
    <x v="7"/>
    <s v="Freshwater"/>
    <x v="1"/>
    <x v="1"/>
    <n v="746"/>
    <s v="Green (Duwamish River) (King Co.)"/>
    <s v="Green - Duwamish River"/>
    <s v="King"/>
    <x v="3"/>
    <s v="Thurston"/>
    <s v="08Thurston"/>
    <s v="South Puget Sound"/>
    <s v="02South Puget Sound"/>
    <n v="9"/>
    <n v="166.95"/>
    <n v="3.85"/>
    <n v="80.569863700785277"/>
  </r>
  <r>
    <n v="703"/>
    <x v="8"/>
    <s v="Freshwater"/>
    <x v="1"/>
    <x v="1"/>
    <n v="746"/>
    <s v="Green (Duwamish River) (King Co.)"/>
    <s v="Green - Duwamish River"/>
    <s v="King"/>
    <x v="3"/>
    <s v="Pierce"/>
    <s v="07Pierce"/>
    <s v="South Puget Sound"/>
    <s v="02South Puget Sound"/>
    <n v="22.6666666666667"/>
    <n v="193.57333333333401"/>
    <n v="4"/>
    <n v="83.708949299517172"/>
  </r>
  <r>
    <n v="702"/>
    <x v="8"/>
    <s v="Freshwater"/>
    <x v="1"/>
    <x v="1"/>
    <n v="746"/>
    <s v="Green (Duwamish River) (King Co.)"/>
    <s v="Green - Duwamish River"/>
    <s v="King"/>
    <x v="3"/>
    <s v="Snohomish"/>
    <s v="03Snohomish"/>
    <s v="North Puget Sound"/>
    <s v="01North Puget Sound"/>
    <n v="11.3333333333333"/>
    <n v="96.786666666666406"/>
    <n v="1"/>
    <n v="20.927237324879293"/>
  </r>
  <r>
    <n v="705"/>
    <x v="9"/>
    <s v="Freshwater"/>
    <x v="1"/>
    <x v="1"/>
    <n v="746"/>
    <s v="Green (Duwamish River) (King Co.)"/>
    <s v="Green - Duwamish River"/>
    <s v="King"/>
    <x v="3"/>
    <s v="King"/>
    <s v="06King"/>
    <s v="South Puget Sound"/>
    <s v="02South Puget Sound"/>
    <n v="474.920634920635"/>
    <n v="8809.7777777777792"/>
    <n v="232.5"/>
    <n v="4865.582678034436"/>
  </r>
  <r>
    <n v="706"/>
    <x v="9"/>
    <s v="Freshwater"/>
    <x v="1"/>
    <x v="1"/>
    <n v="746"/>
    <s v="Green (Duwamish River) (King Co.)"/>
    <s v="Green - Duwamish River"/>
    <s v="King"/>
    <x v="3"/>
    <s v="Pierce"/>
    <s v="07Pierce"/>
    <s v="South Puget Sound"/>
    <s v="02South Puget Sound"/>
    <n v="205.079365079365"/>
    <n v="3804.2222222222199"/>
    <n v="107.5"/>
    <n v="2249.6780124245238"/>
  </r>
  <r>
    <n v="704"/>
    <x v="9"/>
    <s v="Freshwater"/>
    <x v="1"/>
    <x v="1"/>
    <n v="746"/>
    <s v="Green (Duwamish River) (King Co.)"/>
    <s v="Green - Duwamish River"/>
    <s v="King"/>
    <x v="3"/>
    <s v="Snohomish"/>
    <s v="03Snohomish"/>
    <s v="North Puget Sound"/>
    <s v="01North Puget Sound"/>
    <n v="0"/>
    <n v="0"/>
    <n v="0"/>
    <n v="0"/>
  </r>
  <r>
    <n v="707"/>
    <x v="10"/>
    <s v="Freshwater"/>
    <x v="1"/>
    <x v="1"/>
    <n v="746"/>
    <s v="Green (Duwamish River) (King Co.)"/>
    <s v="Green - Duwamish River"/>
    <s v="King"/>
    <x v="3"/>
    <s v="King"/>
    <s v="06King"/>
    <s v="South Puget Sound"/>
    <s v="02South Puget Sound"/>
    <n v="7.6"/>
    <n v="64.903999999999996"/>
    <n v="4"/>
    <n v="83.708949299517172"/>
  </r>
  <r>
    <n v="708"/>
    <x v="10"/>
    <s v="Freshwater"/>
    <x v="1"/>
    <x v="1"/>
    <n v="746"/>
    <s v="Green (Duwamish River) (King Co.)"/>
    <s v="Green - Duwamish River"/>
    <s v="King"/>
    <x v="3"/>
    <s v="Pierce"/>
    <s v="07Pierce"/>
    <s v="South Puget Sound"/>
    <s v="02South Puget Sound"/>
    <n v="68.400000000000006"/>
    <n v="584.13599999999997"/>
    <n v="34"/>
    <n v="711.52606904589595"/>
  </r>
  <r>
    <n v="709"/>
    <x v="11"/>
    <s v="Freshwater"/>
    <x v="1"/>
    <x v="1"/>
    <n v="746"/>
    <s v="Green (Duwamish River) (King Co.)"/>
    <s v="Green - Duwamish River"/>
    <s v="King"/>
    <x v="3"/>
    <s v="King"/>
    <s v="06King"/>
    <s v="South Puget Sound"/>
    <s v="02South Puget Sound"/>
    <n v="44.307692307692299"/>
    <n v="821.90769230769195"/>
    <n v="22"/>
    <n v="460.39922114734446"/>
  </r>
  <r>
    <n v="711"/>
    <x v="11"/>
    <s v="Freshwater"/>
    <x v="1"/>
    <x v="1"/>
    <n v="746"/>
    <s v="Green (Duwamish River) (King Co.)"/>
    <s v="Green - Duwamish River"/>
    <s v="King"/>
    <x v="3"/>
    <s v="Kitsap"/>
    <s v="10Kitsap"/>
    <s v="South Puget Sound"/>
    <s v="02South Puget Sound"/>
    <n v="11.0769230769231"/>
    <n v="205.47692307692299"/>
    <n v="6"/>
    <n v="125.56342394927576"/>
  </r>
  <r>
    <n v="710"/>
    <x v="11"/>
    <s v="Freshwater"/>
    <x v="1"/>
    <x v="1"/>
    <n v="746"/>
    <s v="Green (Duwamish River) (King Co.)"/>
    <s v="Green - Duwamish River"/>
    <s v="King"/>
    <x v="3"/>
    <s v="Pierce"/>
    <s v="07Pierce"/>
    <s v="South Puget Sound"/>
    <s v="02South Puget Sound"/>
    <n v="88.615384615384599"/>
    <n v="1643.81538461538"/>
    <n v="44"/>
    <n v="920.79844229468893"/>
  </r>
  <r>
    <n v="216"/>
    <x v="0"/>
    <s v="Freshwater"/>
    <x v="1"/>
    <x v="1"/>
    <n v="748"/>
    <s v="Soos Creek"/>
    <s v="Soos Creek"/>
    <s v="King"/>
    <x v="3"/>
    <s v="King"/>
    <s v="06King"/>
    <s v="South Puget Sound"/>
    <s v="02South Puget Sound"/>
    <n v="4"/>
    <n v="34.159999999999997"/>
    <n v="4"/>
    <n v="83.708949299517172"/>
  </r>
  <r>
    <n v="220"/>
    <x v="1"/>
    <s v="Freshwater"/>
    <x v="1"/>
    <x v="1"/>
    <n v="748"/>
    <s v="Soos Creek"/>
    <s v="Soos Creek"/>
    <s v="King"/>
    <x v="3"/>
    <s v="King"/>
    <s v="06King"/>
    <s v="South Puget Sound"/>
    <s v="02South Puget Sound"/>
    <n v="3"/>
    <n v="55.65"/>
    <n v="3"/>
    <n v="62.781711974637879"/>
  </r>
  <r>
    <n v="227"/>
    <x v="3"/>
    <s v="Freshwater"/>
    <x v="1"/>
    <x v="1"/>
    <n v="748"/>
    <s v="Soos Creek"/>
    <s v="Soos Creek"/>
    <s v="King"/>
    <x v="3"/>
    <s v="King"/>
    <s v="06King"/>
    <s v="South Puget Sound"/>
    <s v="02South Puget Sound"/>
    <n v="22"/>
    <n v="408.1"/>
    <n v="21.916666666666671"/>
    <n v="458.65528470360459"/>
  </r>
  <r>
    <n v="228"/>
    <x v="3"/>
    <s v="Freshwater"/>
    <x v="1"/>
    <x v="1"/>
    <n v="748"/>
    <s v="Soos Creek"/>
    <s v="Soos Creek"/>
    <s v="King"/>
    <x v="3"/>
    <s v="Pierce"/>
    <s v="07Pierce"/>
    <s v="South Puget Sound"/>
    <s v="02South Puget Sound"/>
    <n v="44"/>
    <n v="816.2"/>
    <n v="44.083333333333329"/>
    <n v="922.54237873842874"/>
  </r>
  <r>
    <n v="230"/>
    <x v="4"/>
    <s v="Freshwater"/>
    <x v="1"/>
    <x v="1"/>
    <n v="748"/>
    <s v="Soos Creek"/>
    <s v="Soos Creek"/>
    <s v="King"/>
    <x v="3"/>
    <s v="Pierce"/>
    <s v="07Pierce"/>
    <s v="South Puget Sound"/>
    <s v="02South Puget Sound"/>
    <n v="9"/>
    <n v="76.86"/>
    <n v="9"/>
    <n v="188.34513592391363"/>
  </r>
  <r>
    <n v="231"/>
    <x v="5"/>
    <s v="Freshwater"/>
    <x v="1"/>
    <x v="1"/>
    <n v="748"/>
    <s v="Soos Creek"/>
    <s v="Soos Creek"/>
    <s v="King"/>
    <x v="3"/>
    <s v="Pierce"/>
    <s v="07Pierce"/>
    <s v="South Puget Sound"/>
    <s v="02South Puget Sound"/>
    <n v="8"/>
    <n v="148.4"/>
    <n v="8"/>
    <n v="167.41789859903434"/>
  </r>
  <r>
    <n v="233"/>
    <x v="7"/>
    <s v="Freshwater"/>
    <x v="1"/>
    <x v="1"/>
    <n v="748"/>
    <s v="Soos Creek"/>
    <s v="Soos Creek"/>
    <s v="King"/>
    <x v="3"/>
    <s v="Pierce"/>
    <s v="07Pierce"/>
    <s v="South Puget Sound"/>
    <s v="02South Puget Sound"/>
    <n v="8"/>
    <n v="148.4"/>
    <n v="4"/>
    <n v="83.708949299517172"/>
  </r>
  <r>
    <n v="2925"/>
    <x v="0"/>
    <s v="Freshwater"/>
    <x v="1"/>
    <x v="1"/>
    <n v="752"/>
    <s v="Hoko River"/>
    <s v="Hoko River"/>
    <s v="Clallam"/>
    <x v="0"/>
    <s v="Clallam"/>
    <s v="11Clallam"/>
    <s v="Strait of Juan de Fuca"/>
    <s v="03Strait of Juan de Fuca"/>
    <n v="74.857142857142904"/>
    <n v="639.28"/>
    <n v="49.330434782608698"/>
    <n v="1032.3497160351326"/>
  </r>
  <r>
    <n v="2920"/>
    <x v="0"/>
    <s v="Freshwater"/>
    <x v="1"/>
    <x v="1"/>
    <n v="752"/>
    <s v="Hoko River"/>
    <s v="Hoko River"/>
    <s v="Clallam"/>
    <x v="0"/>
    <s v="Island"/>
    <s v="04Island"/>
    <s v="North Puget Sound"/>
    <s v="01North Puget Sound"/>
    <n v="14.035714285714301"/>
    <n v="119.86499999999999"/>
    <n v="14.086956521739101"/>
    <n v="294.80108231569028"/>
  </r>
  <r>
    <n v="2926"/>
    <x v="0"/>
    <s v="Freshwater"/>
    <x v="1"/>
    <x v="1"/>
    <n v="752"/>
    <s v="Hoko River"/>
    <s v="Hoko River"/>
    <s v="Clallam"/>
    <x v="0"/>
    <s v="Jefferson"/>
    <s v="12Jefferson"/>
    <s v="Strait of Juan de Fuca"/>
    <s v="03Strait of Juan de Fuca"/>
    <n v="2.33928571428571"/>
    <n v="19.977499999999999"/>
    <n v="2.3478260869565202"/>
    <n v="49.133513719281787"/>
  </r>
  <r>
    <n v="2921"/>
    <x v="0"/>
    <s v="Freshwater"/>
    <x v="1"/>
    <x v="1"/>
    <n v="752"/>
    <s v="Hoko River"/>
    <s v="Hoko River"/>
    <s v="Clallam"/>
    <x v="0"/>
    <s v="King"/>
    <s v="06King"/>
    <s v="South Puget Sound"/>
    <s v="02South Puget Sound"/>
    <n v="14.035714285714301"/>
    <n v="119.86499999999999"/>
    <n v="14.095652173913042"/>
    <n v="294.98305829242895"/>
  </r>
  <r>
    <n v="2924"/>
    <x v="0"/>
    <s v="Freshwater"/>
    <x v="1"/>
    <x v="1"/>
    <n v="752"/>
    <s v="Hoko River"/>
    <s v="Hoko River"/>
    <s v="Clallam"/>
    <x v="0"/>
    <s v="Kitsap"/>
    <s v="10Kitsap"/>
    <s v="South Puget Sound"/>
    <s v="02South Puget Sound"/>
    <n v="2.33928571428571"/>
    <n v="19.977499999999999"/>
    <n v="2.3478260869565202"/>
    <n v="49.133513719281787"/>
  </r>
  <r>
    <n v="2927"/>
    <x v="0"/>
    <s v="Freshwater"/>
    <x v="1"/>
    <x v="1"/>
    <n v="752"/>
    <s v="Hoko River"/>
    <s v="Hoko River"/>
    <s v="Clallam"/>
    <x v="0"/>
    <s v="Other"/>
    <s v="20Other"/>
    <s v="Non Puget Sound"/>
    <s v="07Non Puget Sound"/>
    <n v="4.6785714285714297"/>
    <n v="39.954999999999998"/>
    <n v="4.7"/>
    <n v="98.358015426932681"/>
  </r>
  <r>
    <n v="2922"/>
    <x v="0"/>
    <s v="Freshwater"/>
    <x v="1"/>
    <x v="1"/>
    <n v="752"/>
    <s v="Hoko River"/>
    <s v="Hoko River"/>
    <s v="Clallam"/>
    <x v="0"/>
    <s v="Pierce"/>
    <s v="07Pierce"/>
    <s v="South Puget Sound"/>
    <s v="02South Puget Sound"/>
    <n v="7.0178571428571397"/>
    <n v="59.932499999999997"/>
    <n v="7.0456521739130409"/>
    <n v="147.44603515202994"/>
  </r>
  <r>
    <n v="2919"/>
    <x v="0"/>
    <s v="Freshwater"/>
    <x v="1"/>
    <x v="1"/>
    <n v="752"/>
    <s v="Hoko River"/>
    <s v="Hoko River"/>
    <s v="Clallam"/>
    <x v="0"/>
    <s v="Skagit"/>
    <s v="02Skagit"/>
    <s v="North Puget Sound"/>
    <s v="01North Puget Sound"/>
    <n v="9.3571428571428594"/>
    <n v="79.91"/>
    <n v="4.6956521739130404"/>
    <n v="98.267027438563574"/>
  </r>
  <r>
    <n v="2923"/>
    <x v="0"/>
    <s v="Freshwater"/>
    <x v="1"/>
    <x v="1"/>
    <n v="752"/>
    <s v="Hoko River"/>
    <s v="Hoko River"/>
    <s v="Clallam"/>
    <x v="0"/>
    <s v="Thurston"/>
    <s v="08Thurston"/>
    <s v="South Puget Sound"/>
    <s v="02South Puget Sound"/>
    <n v="2.33928571428571"/>
    <n v="19.977499999999999"/>
    <n v="2.35"/>
    <n v="49.179007713466341"/>
  </r>
  <r>
    <n v="3044"/>
    <x v="1"/>
    <s v="Freshwater"/>
    <x v="1"/>
    <x v="1"/>
    <n v="752"/>
    <s v="Hoko River"/>
    <s v="Hoko River"/>
    <s v="Clallam"/>
    <x v="0"/>
    <s v="Clallam"/>
    <s v="11Clallam"/>
    <s v="Strait of Juan de Fuca"/>
    <s v="03Strait of Juan de Fuca"/>
    <n v="41"/>
    <n v="760.55"/>
    <n v="57.619047619047635"/>
    <n v="1205.807483957331"/>
  </r>
  <r>
    <n v="3040"/>
    <x v="1"/>
    <s v="Freshwater"/>
    <x v="1"/>
    <x v="1"/>
    <n v="752"/>
    <s v="Hoko River"/>
    <s v="Hoko River"/>
    <s v="Clallam"/>
    <x v="0"/>
    <s v="King"/>
    <s v="06King"/>
    <s v="South Puget Sound"/>
    <s v="02South Puget Sound"/>
    <n v="11.3888888888889"/>
    <n v="211.263888888889"/>
    <n v="6.9523809523809597"/>
    <n v="145.49412616344668"/>
  </r>
  <r>
    <n v="3043"/>
    <x v="1"/>
    <s v="Freshwater"/>
    <x v="1"/>
    <x v="1"/>
    <n v="752"/>
    <s v="Hoko River"/>
    <s v="Hoko River"/>
    <s v="Clallam"/>
    <x v="0"/>
    <s v="Kitsap"/>
    <s v="10Kitsap"/>
    <s v="South Puget Sound"/>
    <s v="02South Puget Sound"/>
    <n v="11.3888888888889"/>
    <n v="211.263888888889"/>
    <n v="0"/>
    <n v="0"/>
  </r>
  <r>
    <n v="3045"/>
    <x v="1"/>
    <s v="Freshwater"/>
    <x v="1"/>
    <x v="1"/>
    <n v="752"/>
    <s v="Hoko River"/>
    <s v="Hoko River"/>
    <s v="Clallam"/>
    <x v="0"/>
    <s v="Other"/>
    <s v="20Other"/>
    <s v="Non Puget Sound"/>
    <s v="07Non Puget Sound"/>
    <n v="2.2777777777777799"/>
    <n v="42.252777777777801"/>
    <n v="2.28571428571429"/>
    <n v="47.833685314009905"/>
  </r>
  <r>
    <n v="3041"/>
    <x v="1"/>
    <s v="Freshwater"/>
    <x v="1"/>
    <x v="1"/>
    <n v="752"/>
    <s v="Hoko River"/>
    <s v="Hoko River"/>
    <s v="Clallam"/>
    <x v="0"/>
    <s v="Pierce"/>
    <s v="07Pierce"/>
    <s v="South Puget Sound"/>
    <s v="02South Puget Sound"/>
    <n v="9.1111111111111107"/>
    <n v="169.01111111111101"/>
    <n v="4.5714285714285703"/>
    <n v="95.667370628019597"/>
  </r>
  <r>
    <n v="3039"/>
    <x v="1"/>
    <s v="Freshwater"/>
    <x v="1"/>
    <x v="1"/>
    <n v="752"/>
    <s v="Hoko River"/>
    <s v="Hoko River"/>
    <s v="Clallam"/>
    <x v="0"/>
    <s v="Snohomish"/>
    <s v="03Snohomish"/>
    <s v="North Puget Sound"/>
    <s v="01North Puget Sound"/>
    <n v="2.2777777777777799"/>
    <n v="42.252777777777801"/>
    <n v="0"/>
    <n v="0"/>
  </r>
  <r>
    <n v="3042"/>
    <x v="1"/>
    <s v="Freshwater"/>
    <x v="1"/>
    <x v="1"/>
    <n v="752"/>
    <s v="Hoko River"/>
    <s v="Hoko River"/>
    <s v="Clallam"/>
    <x v="0"/>
    <s v="Thurston"/>
    <s v="08Thurston"/>
    <s v="South Puget Sound"/>
    <s v="02South Puget Sound"/>
    <n v="4.5555555555555598"/>
    <n v="84.505555555555603"/>
    <n v="0"/>
    <n v="0"/>
  </r>
  <r>
    <n v="3163"/>
    <x v="2"/>
    <s v="Freshwater"/>
    <x v="1"/>
    <x v="1"/>
    <n v="752"/>
    <s v="Hoko River"/>
    <s v="Hoko River"/>
    <s v="Clallam"/>
    <x v="0"/>
    <s v="Clallam"/>
    <s v="11Clallam"/>
    <s v="Strait of Juan de Fuca"/>
    <s v="03Strait of Juan de Fuca"/>
    <n v="127.329268292683"/>
    <n v="1087.39195121951"/>
    <n v="73.533333333333331"/>
    <n v="1538.8495179561239"/>
  </r>
  <r>
    <n v="3160"/>
    <x v="2"/>
    <s v="Freshwater"/>
    <x v="1"/>
    <x v="1"/>
    <n v="752"/>
    <s v="Hoko River"/>
    <s v="Hoko River"/>
    <s v="Clallam"/>
    <x v="0"/>
    <s v="Island"/>
    <s v="04Island"/>
    <s v="North Puget Sound"/>
    <s v="01North Puget Sound"/>
    <n v="4.8048780487804903"/>
    <n v="41.033658536585399"/>
    <n v="4.8"/>
    <n v="100.45073915942061"/>
  </r>
  <r>
    <n v="3161"/>
    <x v="2"/>
    <s v="Freshwater"/>
    <x v="1"/>
    <x v="1"/>
    <n v="752"/>
    <s v="Hoko River"/>
    <s v="Hoko River"/>
    <s v="Clallam"/>
    <x v="0"/>
    <s v="King"/>
    <s v="06King"/>
    <s v="South Puget Sound"/>
    <s v="02South Puget Sound"/>
    <n v="19.219512195122"/>
    <n v="164.13463414634199"/>
    <n v="11.7"/>
    <n v="244.84867670108773"/>
  </r>
  <r>
    <n v="3164"/>
    <x v="2"/>
    <s v="Freshwater"/>
    <x v="1"/>
    <x v="1"/>
    <n v="752"/>
    <s v="Hoko River"/>
    <s v="Hoko River"/>
    <s v="Clallam"/>
    <x v="0"/>
    <s v="Other"/>
    <s v="20Other"/>
    <s v="Non Puget Sound"/>
    <s v="07Non Puget Sound"/>
    <n v="2.4024390243902398"/>
    <n v="20.5168292682926"/>
    <n v="0"/>
    <n v="0"/>
  </r>
  <r>
    <n v="3162"/>
    <x v="2"/>
    <s v="Freshwater"/>
    <x v="1"/>
    <x v="1"/>
    <n v="752"/>
    <s v="Hoko River"/>
    <s v="Hoko River"/>
    <s v="Clallam"/>
    <x v="0"/>
    <s v="Pierce"/>
    <s v="07Pierce"/>
    <s v="South Puget Sound"/>
    <s v="02South Puget Sound"/>
    <n v="38.439024390243901"/>
    <n v="328.26926829268302"/>
    <n v="35.56666666666667"/>
    <n v="744.31207418820691"/>
  </r>
  <r>
    <n v="3158"/>
    <x v="2"/>
    <s v="Freshwater"/>
    <x v="1"/>
    <x v="1"/>
    <n v="752"/>
    <s v="Hoko River"/>
    <s v="Hoko River"/>
    <s v="Clallam"/>
    <x v="0"/>
    <s v="Skagit"/>
    <s v="02Skagit"/>
    <s v="North Puget Sound"/>
    <s v="01North Puget Sound"/>
    <n v="2.4024390243902398"/>
    <n v="20.5168292682926"/>
    <n v="2.4"/>
    <n v="50.225369579710303"/>
  </r>
  <r>
    <n v="3159"/>
    <x v="2"/>
    <s v="Freshwater"/>
    <x v="1"/>
    <x v="1"/>
    <n v="752"/>
    <s v="Hoko River"/>
    <s v="Hoko River"/>
    <s v="Clallam"/>
    <x v="0"/>
    <s v="Snohomish"/>
    <s v="03Snohomish"/>
    <s v="North Puget Sound"/>
    <s v="01North Puget Sound"/>
    <n v="2.4024390243902398"/>
    <n v="20.5168292682926"/>
    <n v="2.25"/>
    <n v="47.086283980978408"/>
  </r>
  <r>
    <n v="3277"/>
    <x v="3"/>
    <s v="Freshwater"/>
    <x v="1"/>
    <x v="1"/>
    <n v="752"/>
    <s v="Hoko River"/>
    <s v="Hoko River"/>
    <s v="Clallam"/>
    <x v="0"/>
    <s v="Clallam"/>
    <s v="11Clallam"/>
    <s v="Strait of Juan de Fuca"/>
    <s v="03Strait of Juan de Fuca"/>
    <n v="20.727272727272702"/>
    <n v="384.49090909090899"/>
    <n v="76.866666666666703"/>
    <n v="1608.6069757057223"/>
  </r>
  <r>
    <n v="3274"/>
    <x v="3"/>
    <s v="Freshwater"/>
    <x v="1"/>
    <x v="1"/>
    <n v="752"/>
    <s v="Hoko River"/>
    <s v="Hoko River"/>
    <s v="Clallam"/>
    <x v="0"/>
    <s v="Island"/>
    <s v="04Island"/>
    <s v="North Puget Sound"/>
    <s v="01North Puget Sound"/>
    <n v="6.9090909090909101"/>
    <n v="128.16363636363599"/>
    <n v="7"/>
    <n v="146.49066127415506"/>
  </r>
  <r>
    <n v="3275"/>
    <x v="3"/>
    <s v="Freshwater"/>
    <x v="1"/>
    <x v="1"/>
    <n v="752"/>
    <s v="Hoko River"/>
    <s v="Hoko River"/>
    <s v="Clallam"/>
    <x v="0"/>
    <s v="King"/>
    <s v="06King"/>
    <s v="South Puget Sound"/>
    <s v="02South Puget Sound"/>
    <n v="3.4545454545454599"/>
    <n v="64.081818181818306"/>
    <n v="15.56666666666667"/>
    <n v="325.76732769062107"/>
  </r>
  <r>
    <n v="3276"/>
    <x v="3"/>
    <s v="Freshwater"/>
    <x v="1"/>
    <x v="1"/>
    <n v="752"/>
    <s v="Hoko River"/>
    <s v="Hoko River"/>
    <s v="Clallam"/>
    <x v="0"/>
    <s v="Pierce"/>
    <s v="07Pierce"/>
    <s v="South Puget Sound"/>
    <s v="02South Puget Sound"/>
    <n v="6.9090909090909101"/>
    <n v="128.16363636363599"/>
    <n v="10.75"/>
    <n v="224.9678012424524"/>
  </r>
  <r>
    <n v="3370"/>
    <x v="4"/>
    <s v="Freshwater"/>
    <x v="1"/>
    <x v="1"/>
    <n v="752"/>
    <s v="Hoko River"/>
    <s v="Hoko River"/>
    <s v="Clallam"/>
    <x v="0"/>
    <s v="Clallam"/>
    <s v="11Clallam"/>
    <s v="Strait of Juan de Fuca"/>
    <s v="03Strait of Juan de Fuca"/>
    <n v="159.12605042016801"/>
    <n v="1358.9364705882299"/>
    <n v="101.5606060606061"/>
    <n v="2125.3829058888782"/>
  </r>
  <r>
    <n v="3366"/>
    <x v="4"/>
    <s v="Freshwater"/>
    <x v="1"/>
    <x v="1"/>
    <n v="752"/>
    <s v="Hoko River"/>
    <s v="Hoko River"/>
    <s v="Clallam"/>
    <x v="0"/>
    <s v="Island"/>
    <s v="04Island"/>
    <s v="North Puget Sound"/>
    <s v="01North Puget Sound"/>
    <n v="13.2605042016807"/>
    <n v="113.244705882353"/>
    <n v="13.2727272727273"/>
    <n v="277.7615135847621"/>
  </r>
  <r>
    <n v="3371"/>
    <x v="4"/>
    <s v="Freshwater"/>
    <x v="1"/>
    <x v="1"/>
    <n v="752"/>
    <s v="Hoko River"/>
    <s v="Hoko River"/>
    <s v="Clallam"/>
    <x v="0"/>
    <s v="Jefferson"/>
    <s v="12Jefferson"/>
    <s v="Strait of Juan de Fuca"/>
    <s v="03Strait of Juan de Fuca"/>
    <n v="2.21008403361345"/>
    <n v="18.874117647058899"/>
    <n v="0"/>
    <n v="0"/>
  </r>
  <r>
    <n v="3369"/>
    <x v="4"/>
    <s v="Freshwater"/>
    <x v="1"/>
    <x v="1"/>
    <n v="752"/>
    <s v="Hoko River"/>
    <s v="Hoko River"/>
    <s v="Clallam"/>
    <x v="0"/>
    <s v="Kitsap"/>
    <s v="10Kitsap"/>
    <s v="South Puget Sound"/>
    <s v="02South Puget Sound"/>
    <n v="4.4201680672268902"/>
    <n v="37.748235294117599"/>
    <n v="0"/>
    <n v="0"/>
  </r>
  <r>
    <n v="3372"/>
    <x v="4"/>
    <s v="Freshwater"/>
    <x v="1"/>
    <x v="1"/>
    <n v="752"/>
    <s v="Hoko River"/>
    <s v="Hoko River"/>
    <s v="Clallam"/>
    <x v="0"/>
    <s v="Other"/>
    <s v="20Other"/>
    <s v="Non Puget Sound"/>
    <s v="07Non Puget Sound"/>
    <n v="15.4705882352941"/>
    <n v="132.118823529412"/>
    <n v="4.4242424242424301"/>
    <n v="92.587171194920629"/>
  </r>
  <r>
    <n v="3367"/>
    <x v="4"/>
    <s v="Freshwater"/>
    <x v="1"/>
    <x v="1"/>
    <n v="752"/>
    <s v="Hoko River"/>
    <s v="Hoko River"/>
    <s v="Clallam"/>
    <x v="0"/>
    <s v="Pierce"/>
    <s v="07Pierce"/>
    <s v="South Puget Sound"/>
    <s v="02South Puget Sound"/>
    <n v="53.0420168067227"/>
    <n v="452.97882352941201"/>
    <n v="34.469696969696997"/>
    <n v="721.35552900152163"/>
  </r>
  <r>
    <n v="3365"/>
    <x v="4"/>
    <s v="Freshwater"/>
    <x v="1"/>
    <x v="1"/>
    <n v="752"/>
    <s v="Hoko River"/>
    <s v="Hoko River"/>
    <s v="Clallam"/>
    <x v="0"/>
    <s v="Snohomish"/>
    <s v="03Snohomish"/>
    <s v="North Puget Sound"/>
    <s v="01North Puget Sound"/>
    <n v="11.0504201680672"/>
    <n v="94.370588235293894"/>
    <n v="8.8484848484848495"/>
    <n v="185.17434238984103"/>
  </r>
  <r>
    <n v="3368"/>
    <x v="4"/>
    <s v="Freshwater"/>
    <x v="1"/>
    <x v="1"/>
    <n v="752"/>
    <s v="Hoko River"/>
    <s v="Hoko River"/>
    <s v="Clallam"/>
    <x v="0"/>
    <s v="Thurston"/>
    <s v="08Thurston"/>
    <s v="South Puget Sound"/>
    <s v="02South Puget Sound"/>
    <n v="4.4201680672268902"/>
    <n v="37.748235294117599"/>
    <n v="4.4242424242424301"/>
    <n v="92.587171194920629"/>
  </r>
  <r>
    <n v="3459"/>
    <x v="5"/>
    <s v="Freshwater"/>
    <x v="1"/>
    <x v="1"/>
    <n v="752"/>
    <s v="Hoko River"/>
    <s v="Hoko River"/>
    <s v="Clallam"/>
    <x v="0"/>
    <s v="Clallam"/>
    <s v="11Clallam"/>
    <s v="Strait of Juan de Fuca"/>
    <s v="03Strait of Juan de Fuca"/>
    <n v="74.285714285714306"/>
    <n v="1378"/>
    <n v="117.58547008547001"/>
    <n v="2460.7390384361256"/>
  </r>
  <r>
    <n v="3457"/>
    <x v="5"/>
    <s v="Freshwater"/>
    <x v="1"/>
    <x v="1"/>
    <n v="752"/>
    <s v="Hoko River"/>
    <s v="Hoko River"/>
    <s v="Clallam"/>
    <x v="0"/>
    <s v="King"/>
    <s v="06King"/>
    <s v="South Puget Sound"/>
    <s v="02South Puget Sound"/>
    <n v="18.571428571428601"/>
    <n v="344.50000000000102"/>
    <n v="20.2222222222222"/>
    <n v="423.19524368089191"/>
  </r>
  <r>
    <n v="3458"/>
    <x v="5"/>
    <s v="Freshwater"/>
    <x v="1"/>
    <x v="1"/>
    <n v="752"/>
    <s v="Hoko River"/>
    <s v="Hoko River"/>
    <s v="Clallam"/>
    <x v="0"/>
    <s v="Kitsap"/>
    <s v="10Kitsap"/>
    <s v="South Puget Sound"/>
    <s v="02South Puget Sound"/>
    <n v="18.571428571428601"/>
    <n v="344.50000000000102"/>
    <n v="7.780626780626779"/>
    <n v="162.82702317448815"/>
  </r>
  <r>
    <n v="3456"/>
    <x v="5"/>
    <s v="Freshwater"/>
    <x v="1"/>
    <x v="1"/>
    <n v="752"/>
    <s v="Hoko River"/>
    <s v="Hoko River"/>
    <s v="Clallam"/>
    <x v="0"/>
    <s v="Snohomish"/>
    <s v="03Snohomish"/>
    <s v="North Puget Sound"/>
    <s v="01North Puget Sound"/>
    <n v="18.571428571428601"/>
    <n v="344.50000000000102"/>
    <n v="5.5370370370370399"/>
    <n v="115.87488815072059"/>
  </r>
  <r>
    <n v="3500"/>
    <x v="6"/>
    <s v="Freshwater"/>
    <x v="1"/>
    <x v="1"/>
    <n v="752"/>
    <s v="Hoko River"/>
    <s v="Hoko River"/>
    <s v="Clallam"/>
    <x v="0"/>
    <s v="Clallam"/>
    <s v="11Clallam"/>
    <s v="Strait of Juan de Fuca"/>
    <s v="03Strait of Juan de Fuca"/>
    <n v="46.44"/>
    <n v="396.5976"/>
    <n v="53.840909090909101"/>
    <n v="1126.7414823327058"/>
  </r>
  <r>
    <n v="3499"/>
    <x v="6"/>
    <s v="Freshwater"/>
    <x v="1"/>
    <x v="1"/>
    <n v="752"/>
    <s v="Hoko River"/>
    <s v="Hoko River"/>
    <s v="Clallam"/>
    <x v="0"/>
    <s v="Kitsap"/>
    <s v="10Kitsap"/>
    <s v="South Puget Sound"/>
    <s v="02South Puget Sound"/>
    <n v="5.16"/>
    <n v="44.066400000000002"/>
    <n v="5.1818181818181799"/>
    <n v="108.44113886528356"/>
  </r>
  <r>
    <n v="3498"/>
    <x v="6"/>
    <s v="Freshwater"/>
    <x v="1"/>
    <x v="1"/>
    <n v="752"/>
    <s v="Hoko River"/>
    <s v="Hoko River"/>
    <s v="Clallam"/>
    <x v="0"/>
    <s v="Mason"/>
    <s v="09Mason"/>
    <s v="South Puget Sound"/>
    <s v="02South Puget Sound"/>
    <n v="5.16"/>
    <n v="44.066400000000002"/>
    <n v="5.1818181818181799"/>
    <n v="108.44113886528356"/>
  </r>
  <r>
    <n v="3501"/>
    <x v="6"/>
    <s v="Freshwater"/>
    <x v="1"/>
    <x v="1"/>
    <n v="752"/>
    <s v="Hoko River"/>
    <s v="Hoko River"/>
    <s v="Clallam"/>
    <x v="0"/>
    <s v="Other"/>
    <s v="20Other"/>
    <s v="Non Puget Sound"/>
    <s v="07Non Puget Sound"/>
    <n v="5.16"/>
    <n v="44.066400000000002"/>
    <n v="8.4318181818181799"/>
    <n v="176.45466017114128"/>
  </r>
  <r>
    <n v="3497"/>
    <x v="6"/>
    <s v="Freshwater"/>
    <x v="1"/>
    <x v="1"/>
    <n v="752"/>
    <s v="Hoko River"/>
    <s v="Hoko River"/>
    <s v="Clallam"/>
    <x v="0"/>
    <s v="Pierce"/>
    <s v="07Pierce"/>
    <s v="South Puget Sound"/>
    <s v="02South Puget Sound"/>
    <n v="61.92"/>
    <n v="528.79679999999996"/>
    <n v="62.181818181818201"/>
    <n v="1301.2936663834037"/>
  </r>
  <r>
    <n v="3496"/>
    <x v="6"/>
    <s v="Freshwater"/>
    <x v="1"/>
    <x v="1"/>
    <n v="752"/>
    <s v="Hoko River"/>
    <s v="Hoko River"/>
    <s v="Clallam"/>
    <x v="0"/>
    <s v="Skagit"/>
    <s v="02Skagit"/>
    <s v="North Puget Sound"/>
    <s v="01North Puget Sound"/>
    <n v="5.16"/>
    <n v="44.066400000000002"/>
    <n v="5.1818181818181799"/>
    <n v="108.44113886528356"/>
  </r>
  <r>
    <n v="3549"/>
    <x v="7"/>
    <s v="Freshwater"/>
    <x v="1"/>
    <x v="1"/>
    <n v="752"/>
    <s v="Hoko River"/>
    <s v="Hoko River"/>
    <s v="Clallam"/>
    <x v="0"/>
    <s v="Clallam"/>
    <s v="11Clallam"/>
    <s v="Strait of Juan de Fuca"/>
    <s v="03Strait of Juan de Fuca"/>
    <n v="296.18181818181802"/>
    <n v="5494.1727272727203"/>
    <n v="91.631578947368396"/>
    <n v="1917.5957990849915"/>
  </r>
  <r>
    <n v="3545"/>
    <x v="7"/>
    <s v="Freshwater"/>
    <x v="1"/>
    <x v="1"/>
    <n v="752"/>
    <s v="Hoko River"/>
    <s v="Hoko River"/>
    <s v="Clallam"/>
    <x v="0"/>
    <s v="King"/>
    <s v="06King"/>
    <s v="South Puget Sound"/>
    <s v="02South Puget Sound"/>
    <n v="21.939393939393899"/>
    <n v="406.97575757575697"/>
    <n v="10.9473684210526"/>
    <n v="229.09817703025686"/>
  </r>
  <r>
    <n v="3548"/>
    <x v="7"/>
    <s v="Freshwater"/>
    <x v="1"/>
    <x v="1"/>
    <n v="752"/>
    <s v="Hoko River"/>
    <s v="Hoko River"/>
    <s v="Clallam"/>
    <x v="0"/>
    <s v="Kitsap"/>
    <s v="10Kitsap"/>
    <s v="South Puget Sound"/>
    <s v="02South Puget Sound"/>
    <n v="10.969696969697001"/>
    <n v="203.487878787879"/>
    <n v="0"/>
    <n v="0"/>
  </r>
  <r>
    <n v="3546"/>
    <x v="7"/>
    <s v="Freshwater"/>
    <x v="1"/>
    <x v="1"/>
    <n v="752"/>
    <s v="Hoko River"/>
    <s v="Hoko River"/>
    <s v="Clallam"/>
    <x v="0"/>
    <s v="Pierce"/>
    <s v="07Pierce"/>
    <s v="South Puget Sound"/>
    <s v="02South Puget Sound"/>
    <n v="21.939393939393899"/>
    <n v="406.97575757575697"/>
    <n v="10.9473684210526"/>
    <n v="229.09817703025686"/>
  </r>
  <r>
    <n v="3547"/>
    <x v="7"/>
    <s v="Freshwater"/>
    <x v="1"/>
    <x v="1"/>
    <n v="752"/>
    <s v="Hoko River"/>
    <s v="Hoko River"/>
    <s v="Clallam"/>
    <x v="0"/>
    <s v="Thurston"/>
    <s v="08Thurston"/>
    <s v="South Puget Sound"/>
    <s v="02South Puget Sound"/>
    <n v="10.969696969697001"/>
    <n v="203.487878787879"/>
    <n v="5.4736842105263204"/>
    <n v="114.54908851512886"/>
  </r>
  <r>
    <n v="3600"/>
    <x v="8"/>
    <s v="Freshwater"/>
    <x v="1"/>
    <x v="1"/>
    <n v="752"/>
    <s v="Hoko River"/>
    <s v="Hoko River"/>
    <s v="Clallam"/>
    <x v="0"/>
    <s v="Clallam"/>
    <s v="11Clallam"/>
    <s v="Strait of Juan de Fuca"/>
    <s v="03Strait of Juan de Fuca"/>
    <n v="56"/>
    <n v="478.24"/>
    <n v="71.5"/>
    <n v="1496.2974687288695"/>
  </r>
  <r>
    <n v="3601"/>
    <x v="8"/>
    <s v="Freshwater"/>
    <x v="1"/>
    <x v="1"/>
    <n v="752"/>
    <s v="Hoko River"/>
    <s v="Hoko River"/>
    <s v="Clallam"/>
    <x v="0"/>
    <s v="Other"/>
    <s v="20Other"/>
    <s v="Non Puget Sound"/>
    <s v="07Non Puget Sound"/>
    <n v="14"/>
    <n v="119.56"/>
    <n v="7"/>
    <n v="146.49066127415506"/>
  </r>
  <r>
    <n v="3675"/>
    <x v="10"/>
    <s v="Freshwater"/>
    <x v="1"/>
    <x v="1"/>
    <n v="752"/>
    <s v="Hoko River"/>
    <s v="Hoko River"/>
    <s v="Clallam"/>
    <x v="0"/>
    <s v="Clallam"/>
    <s v="11Clallam"/>
    <s v="Strait of Juan de Fuca"/>
    <s v="03Strait of Juan de Fuca"/>
    <n v="34"/>
    <n v="290.36"/>
    <n v="17"/>
    <n v="355.76303452294798"/>
  </r>
  <r>
    <n v="221"/>
    <x v="1"/>
    <s v="Freshwater"/>
    <x v="1"/>
    <x v="1"/>
    <n v="762"/>
    <s v="Lake Washington"/>
    <s v="Lake Washington"/>
    <s v="King"/>
    <x v="2"/>
    <s v="Clallam"/>
    <s v="11Clallam"/>
    <s v="Strait of Juan de Fuca"/>
    <s v="03Strait of Juan de Fuca"/>
    <n v="7"/>
    <n v="129.85"/>
    <n v="7"/>
    <n v="146.49066127415506"/>
  </r>
  <r>
    <n v="222"/>
    <x v="1"/>
    <s v="Freshwater"/>
    <x v="1"/>
    <x v="1"/>
    <n v="763"/>
    <s v="Lake Sammamish"/>
    <s v="Lake Sammamish"/>
    <s v="King"/>
    <x v="2"/>
    <s v="Clallam"/>
    <s v="11Clallam"/>
    <s v="Strait of Juan de Fuca"/>
    <s v="03Strait of Juan de Fuca"/>
    <n v="2"/>
    <n v="37.1"/>
    <n v="2"/>
    <n v="41.854474649758586"/>
  </r>
  <r>
    <n v="2933"/>
    <x v="0"/>
    <s v="Freshwater"/>
    <x v="1"/>
    <x v="1"/>
    <n v="768"/>
    <s v="Lyre River"/>
    <s v="Lyre River"/>
    <s v="Clallam"/>
    <x v="0"/>
    <s v="Clallam"/>
    <s v="11Clallam"/>
    <s v="Strait of Juan de Fuca"/>
    <s v="03Strait of Juan de Fuca"/>
    <n v="245.12315270936"/>
    <n v="2093.35172413793"/>
    <n v="222.52526422764225"/>
    <n v="4656.8390152733418"/>
  </r>
  <r>
    <n v="2929"/>
    <x v="0"/>
    <s v="Freshwater"/>
    <x v="1"/>
    <x v="1"/>
    <n v="768"/>
    <s v="Lyre River"/>
    <s v="Lyre River"/>
    <s v="Clallam"/>
    <x v="0"/>
    <s v="Island"/>
    <s v="04Island"/>
    <s v="North Puget Sound"/>
    <s v="01North Puget Sound"/>
    <n v="9.1921182266009893"/>
    <n v="78.500689655172394"/>
    <n v="8.0625"/>
    <n v="168.72585093183929"/>
  </r>
  <r>
    <n v="2934"/>
    <x v="0"/>
    <s v="Freshwater"/>
    <x v="1"/>
    <x v="1"/>
    <n v="768"/>
    <s v="Lyre River"/>
    <s v="Lyre River"/>
    <s v="Clallam"/>
    <x v="0"/>
    <s v="Jefferson"/>
    <s v="12Jefferson"/>
    <s v="Strait of Juan de Fuca"/>
    <s v="03Strait of Juan de Fuca"/>
    <n v="16.852216748768502"/>
    <n v="143.91793103448299"/>
    <n v="11.59375"/>
    <n v="242.62515773531931"/>
  </r>
  <r>
    <n v="2930"/>
    <x v="0"/>
    <s v="Freshwater"/>
    <x v="1"/>
    <x v="1"/>
    <n v="768"/>
    <s v="Lyre River"/>
    <s v="Lyre River"/>
    <s v="Clallam"/>
    <x v="0"/>
    <s v="King"/>
    <s v="06King"/>
    <s v="South Puget Sound"/>
    <s v="02South Puget Sound"/>
    <n v="6.1280788177339902"/>
    <n v="52.333793103448301"/>
    <n v="6.625"/>
    <n v="138.64294727732531"/>
  </r>
  <r>
    <n v="2932"/>
    <x v="0"/>
    <s v="Freshwater"/>
    <x v="1"/>
    <x v="1"/>
    <n v="768"/>
    <s v="Lyre River"/>
    <s v="Lyre River"/>
    <s v="Clallam"/>
    <x v="0"/>
    <s v="Kitsap"/>
    <s v="10Kitsap"/>
    <s v="South Puget Sound"/>
    <s v="02South Puget Sound"/>
    <n v="4.5960591133004902"/>
    <n v="39.250344827586197"/>
    <n v="2.6666666666666701"/>
    <n v="55.805966199678188"/>
  </r>
  <r>
    <n v="2931"/>
    <x v="0"/>
    <s v="Freshwater"/>
    <x v="1"/>
    <x v="1"/>
    <n v="768"/>
    <s v="Lyre River"/>
    <s v="Lyre River"/>
    <s v="Clallam"/>
    <x v="0"/>
    <s v="Mason"/>
    <s v="09Mason"/>
    <s v="South Puget Sound"/>
    <s v="02South Puget Sound"/>
    <n v="4.5960591133004902"/>
    <n v="39.250344827586197"/>
    <n v="3.96"/>
    <n v="82.871859806521996"/>
  </r>
  <r>
    <n v="2935"/>
    <x v="0"/>
    <s v="Freshwater"/>
    <x v="1"/>
    <x v="1"/>
    <n v="768"/>
    <s v="Lyre River"/>
    <s v="Lyre River"/>
    <s v="Clallam"/>
    <x v="0"/>
    <s v="Other"/>
    <s v="20Other"/>
    <s v="Non Puget Sound"/>
    <s v="07Non Puget Sound"/>
    <n v="22.980295566502502"/>
    <n v="196.25172413793101"/>
    <n v="22.56681910569106"/>
    <n v="472.26117909241708"/>
  </r>
  <r>
    <n v="2928"/>
    <x v="0"/>
    <s v="Freshwater"/>
    <x v="1"/>
    <x v="1"/>
    <n v="768"/>
    <s v="Lyre River"/>
    <s v="Lyre River"/>
    <s v="Clallam"/>
    <x v="0"/>
    <s v="Whatcom"/>
    <s v="01Whatcom"/>
    <s v="North Puget Sound"/>
    <s v="01North Puget Sound"/>
    <n v="1.5320197044335"/>
    <n v="13.0834482758621"/>
    <n v="0"/>
    <n v="0"/>
  </r>
  <r>
    <n v="3052"/>
    <x v="1"/>
    <s v="Freshwater"/>
    <x v="1"/>
    <x v="1"/>
    <n v="768"/>
    <s v="Lyre River"/>
    <s v="Lyre River"/>
    <s v="Clallam"/>
    <x v="0"/>
    <s v="Clallam"/>
    <s v="11Clallam"/>
    <s v="Strait of Juan de Fuca"/>
    <s v="03Strait of Juan de Fuca"/>
    <n v="258.30769230769198"/>
    <n v="4791.6076923076898"/>
    <n v="265.3295454545455"/>
    <n v="5552.6143670296215"/>
  </r>
  <r>
    <n v="3048"/>
    <x v="1"/>
    <s v="Freshwater"/>
    <x v="1"/>
    <x v="1"/>
    <n v="768"/>
    <s v="Lyre River"/>
    <s v="Lyre River"/>
    <s v="Clallam"/>
    <x v="0"/>
    <s v="Island"/>
    <s v="04Island"/>
    <s v="North Puget Sound"/>
    <s v="01North Puget Sound"/>
    <n v="7.0769230769230802"/>
    <n v="131.276923076923"/>
    <n v="6"/>
    <n v="125.56342394927576"/>
  </r>
  <r>
    <n v="3053"/>
    <x v="1"/>
    <s v="Freshwater"/>
    <x v="1"/>
    <x v="1"/>
    <n v="768"/>
    <s v="Lyre River"/>
    <s v="Lyre River"/>
    <s v="Clallam"/>
    <x v="0"/>
    <s v="Jefferson"/>
    <s v="12Jefferson"/>
    <s v="Strait of Juan de Fuca"/>
    <s v="03Strait of Juan de Fuca"/>
    <n v="24.769230769230798"/>
    <n v="459.46923076923099"/>
    <n v="23.297979797979799"/>
    <n v="487.56235242256656"/>
  </r>
  <r>
    <n v="3049"/>
    <x v="1"/>
    <s v="Freshwater"/>
    <x v="1"/>
    <x v="1"/>
    <n v="768"/>
    <s v="Lyre River"/>
    <s v="Lyre River"/>
    <s v="Clallam"/>
    <x v="0"/>
    <s v="King"/>
    <s v="06King"/>
    <s v="South Puget Sound"/>
    <s v="02South Puget Sound"/>
    <n v="10.615384615384601"/>
    <n v="196.915384615384"/>
    <n v="9.8888888888888893"/>
    <n v="206.94712465713968"/>
  </r>
  <r>
    <n v="3051"/>
    <x v="1"/>
    <s v="Freshwater"/>
    <x v="1"/>
    <x v="1"/>
    <n v="768"/>
    <s v="Lyre River"/>
    <s v="Lyre River"/>
    <s v="Clallam"/>
    <x v="0"/>
    <s v="Kitsap"/>
    <s v="10Kitsap"/>
    <s v="South Puget Sound"/>
    <s v="02South Puget Sound"/>
    <n v="3.5384615384615401"/>
    <n v="65.638461538461598"/>
    <n v="5.5138888888888902"/>
    <n v="115.3904613607928"/>
  </r>
  <r>
    <n v="3050"/>
    <x v="1"/>
    <s v="Freshwater"/>
    <x v="1"/>
    <x v="1"/>
    <n v="768"/>
    <s v="Lyre River"/>
    <s v="Lyre River"/>
    <s v="Clallam"/>
    <x v="0"/>
    <s v="Mason"/>
    <s v="09Mason"/>
    <s v="South Puget Sound"/>
    <s v="02South Puget Sound"/>
    <n v="10.615384615384601"/>
    <n v="196.915384615384"/>
    <n v="10.81818181818182"/>
    <n v="226.39465833278513"/>
  </r>
  <r>
    <n v="3054"/>
    <x v="1"/>
    <s v="Freshwater"/>
    <x v="1"/>
    <x v="1"/>
    <n v="768"/>
    <s v="Lyre River"/>
    <s v="Lyre River"/>
    <s v="Clallam"/>
    <x v="0"/>
    <s v="Other"/>
    <s v="20Other"/>
    <s v="Non Puget Sound"/>
    <s v="07Non Puget Sound"/>
    <n v="7.0769230769230802"/>
    <n v="131.276923076923"/>
    <n v="9.4848484848484897"/>
    <n v="198.49167523294614"/>
  </r>
  <r>
    <n v="3166"/>
    <x v="2"/>
    <s v="Freshwater"/>
    <x v="1"/>
    <x v="1"/>
    <n v="768"/>
    <s v="Lyre River"/>
    <s v="Lyre River"/>
    <s v="Clallam"/>
    <x v="0"/>
    <s v="Clallam"/>
    <s v="11Clallam"/>
    <s v="Strait of Juan de Fuca"/>
    <s v="03Strait of Juan de Fuca"/>
    <n v="12.5714285714286"/>
    <n v="107.36"/>
    <n v="24.8333333333333"/>
    <n v="519.69306023450179"/>
  </r>
  <r>
    <n v="3165"/>
    <x v="2"/>
    <s v="Freshwater"/>
    <x v="1"/>
    <x v="1"/>
    <n v="768"/>
    <s v="Lyre River"/>
    <s v="Lyre River"/>
    <s v="Clallam"/>
    <x v="0"/>
    <s v="Island"/>
    <s v="04Island"/>
    <s v="North Puget Sound"/>
    <s v="01North Puget Sound"/>
    <n v="6.28571428571429"/>
    <n v="53.68"/>
    <n v="6.5"/>
    <n v="136.02704261171542"/>
  </r>
  <r>
    <n v="3167"/>
    <x v="2"/>
    <s v="Freshwater"/>
    <x v="1"/>
    <x v="1"/>
    <n v="768"/>
    <s v="Lyre River"/>
    <s v="Lyre River"/>
    <s v="Clallam"/>
    <x v="0"/>
    <s v="Other"/>
    <s v="20Other"/>
    <s v="Non Puget Sound"/>
    <s v="07Non Puget Sound"/>
    <n v="3.1428571428571401"/>
    <n v="26.84"/>
    <n v="3"/>
    <n v="62.781711974637879"/>
  </r>
  <r>
    <n v="3278"/>
    <x v="3"/>
    <s v="Freshwater"/>
    <x v="1"/>
    <x v="1"/>
    <n v="768"/>
    <s v="Lyre River"/>
    <s v="Lyre River"/>
    <s v="Clallam"/>
    <x v="0"/>
    <s v="Clallam"/>
    <s v="11Clallam"/>
    <s v="Strait of Juan de Fuca"/>
    <s v="03Strait of Juan de Fuca"/>
    <n v="10"/>
    <n v="185.5"/>
    <n v="6"/>
    <n v="125.56342394927576"/>
  </r>
  <r>
    <n v="3373"/>
    <x v="4"/>
    <s v="Freshwater"/>
    <x v="1"/>
    <x v="1"/>
    <n v="768"/>
    <s v="Lyre River"/>
    <s v="Lyre River"/>
    <s v="Clallam"/>
    <x v="0"/>
    <s v="Clallam"/>
    <s v="11Clallam"/>
    <s v="Strait of Juan de Fuca"/>
    <s v="03Strait of Juan de Fuca"/>
    <n v="6"/>
    <n v="51.24"/>
    <n v="10"/>
    <n v="209.27237324879292"/>
  </r>
  <r>
    <n v="3502"/>
    <x v="6"/>
    <s v="Freshwater"/>
    <x v="1"/>
    <x v="1"/>
    <n v="768"/>
    <s v="Lyre River"/>
    <s v="Lyre River"/>
    <s v="Clallam"/>
    <x v="0"/>
    <s v="Clallam"/>
    <s v="11Clallam"/>
    <s v="Strait of Juan de Fuca"/>
    <s v="03Strait of Juan de Fuca"/>
    <n v="5"/>
    <n v="42.7"/>
    <n v="0"/>
    <n v="0"/>
  </r>
  <r>
    <n v="3602"/>
    <x v="8"/>
    <s v="Freshwater"/>
    <x v="1"/>
    <x v="1"/>
    <n v="768"/>
    <s v="Lyre River"/>
    <s v="Lyre River"/>
    <s v="Clallam"/>
    <x v="0"/>
    <s v="Mason"/>
    <s v="09Mason"/>
    <s v="South Puget Sound"/>
    <s v="02South Puget Sound"/>
    <n v="14"/>
    <n v="119.56"/>
    <n v="7"/>
    <n v="146.49066127415506"/>
  </r>
  <r>
    <n v="2936"/>
    <x v="0"/>
    <s v="Freshwater"/>
    <x v="1"/>
    <x v="1"/>
    <n v="782"/>
    <s v="Morse Creek (Clallam Co.)"/>
    <s v="Morse Creek (Clallam Co.)"/>
    <s v="Clallam"/>
    <x v="0"/>
    <s v="Clallam"/>
    <s v="11Clallam"/>
    <s v="Strait of Juan de Fuca"/>
    <s v="03Strait of Juan de Fuca"/>
    <n v="14"/>
    <n v="119.56"/>
    <n v="9"/>
    <n v="188.34513592391363"/>
  </r>
  <r>
    <n v="3055"/>
    <x v="1"/>
    <s v="Freshwater"/>
    <x v="1"/>
    <x v="1"/>
    <n v="782"/>
    <s v="Morse Creek (Clallam Co.)"/>
    <s v="Morse Creek (Clallam Co.)"/>
    <s v="Clallam"/>
    <x v="0"/>
    <s v="Clallam"/>
    <s v="11Clallam"/>
    <s v="Strait of Juan de Fuca"/>
    <s v="03Strait of Juan de Fuca"/>
    <n v="22.727272727272702"/>
    <n v="421.59090909090901"/>
    <n v="18.714285714285701"/>
    <n v="391.63829850845508"/>
  </r>
  <r>
    <n v="3056"/>
    <x v="1"/>
    <s v="Freshwater"/>
    <x v="1"/>
    <x v="1"/>
    <n v="782"/>
    <s v="Morse Creek (Clallam Co.)"/>
    <s v="Morse Creek (Clallam Co.)"/>
    <s v="Clallam"/>
    <x v="0"/>
    <s v="Other"/>
    <s v="20Other"/>
    <s v="Non Puget Sound"/>
    <s v="07Non Puget Sound"/>
    <n v="2.2727272727272698"/>
    <n v="42.159090909090899"/>
    <n v="2.28571428571429"/>
    <n v="47.833685314009905"/>
  </r>
  <r>
    <n v="3168"/>
    <x v="2"/>
    <s v="Freshwater"/>
    <x v="1"/>
    <x v="1"/>
    <n v="782"/>
    <s v="Morse Creek (Clallam Co.)"/>
    <s v="Morse Creek (Clallam Co.)"/>
    <s v="Clallam"/>
    <x v="0"/>
    <s v="Clallam"/>
    <s v="11Clallam"/>
    <s v="Strait of Juan de Fuca"/>
    <s v="03Strait of Juan de Fuca"/>
    <n v="9"/>
    <n v="76.86"/>
    <n v="15"/>
    <n v="313.9085598731894"/>
  </r>
  <r>
    <n v="3279"/>
    <x v="3"/>
    <s v="Freshwater"/>
    <x v="1"/>
    <x v="1"/>
    <n v="782"/>
    <s v="Morse Creek (Clallam Co.)"/>
    <s v="Morse Creek (Clallam Co.)"/>
    <s v="Clallam"/>
    <x v="0"/>
    <s v="Clallam"/>
    <s v="11Clallam"/>
    <s v="Strait of Juan de Fuca"/>
    <s v="03Strait of Juan de Fuca"/>
    <n v="3"/>
    <n v="55.65"/>
    <n v="3"/>
    <n v="62.781711974637879"/>
  </r>
  <r>
    <n v="3550"/>
    <x v="7"/>
    <s v="Freshwater"/>
    <x v="1"/>
    <x v="1"/>
    <n v="782"/>
    <s v="Morse Creek (Clallam Co.)"/>
    <s v="Morse Creek (Clallam Co.)"/>
    <s v="Clallam"/>
    <x v="0"/>
    <s v="Clallam"/>
    <s v="11Clallam"/>
    <s v="Strait of Juan de Fuca"/>
    <s v="03Strait of Juan de Fuca"/>
    <n v="10"/>
    <n v="185.5"/>
    <n v="5"/>
    <n v="104.63618662439646"/>
  </r>
  <r>
    <n v="592"/>
    <x v="2"/>
    <s v="Freshwater"/>
    <x v="1"/>
    <x v="1"/>
    <n v="786"/>
    <s v="Nisqually River"/>
    <s v="Nisqually River"/>
    <s v="Thurston/Pierce"/>
    <x v="3"/>
    <s v="Other"/>
    <s v="20Other"/>
    <s v="Non Puget Sound"/>
    <s v="07Non Puget Sound"/>
    <n v="3"/>
    <n v="25.62"/>
    <n v="0"/>
    <n v="0"/>
  </r>
  <r>
    <n v="591"/>
    <x v="2"/>
    <s v="Freshwater"/>
    <x v="1"/>
    <x v="1"/>
    <n v="786"/>
    <s v="Nisqually River"/>
    <s v="Nisqually River"/>
    <s v="Thurston/Pierce"/>
    <x v="3"/>
    <s v="Thurston"/>
    <s v="08Thurston"/>
    <s v="South Puget Sound"/>
    <s v="02South Puget Sound"/>
    <n v="3"/>
    <n v="25.62"/>
    <n v="0"/>
    <n v="0"/>
  </r>
  <r>
    <n v="3135"/>
    <x v="7"/>
    <s v="Freshwater"/>
    <x v="1"/>
    <x v="1"/>
    <n v="788"/>
    <s v="Nooksack River, Mid. Fork"/>
    <s v="Nooksack River"/>
    <s v="Whatcom"/>
    <x v="1"/>
    <s v="Whatcom"/>
    <s v="01Whatcom"/>
    <s v="North Puget Sound"/>
    <s v="01North Puget Sound"/>
    <n v="44"/>
    <n v="816.2"/>
    <n v="11"/>
    <n v="230.19961057367223"/>
  </r>
  <r>
    <n v="2990"/>
    <x v="0"/>
    <s v="Freshwater"/>
    <x v="1"/>
    <x v="1"/>
    <n v="790"/>
    <s v="Nooksack River, No. Fork"/>
    <s v="Nooksack River, No. Fork"/>
    <s v="Whatcom"/>
    <x v="1"/>
    <s v="Whatcom"/>
    <s v="01Whatcom"/>
    <s v="North Puget Sound"/>
    <s v="01North Puget Sound"/>
    <n v="74"/>
    <n v="631.96"/>
    <n v="41"/>
    <n v="858.01673032005101"/>
  </r>
  <r>
    <n v="3009"/>
    <x v="1"/>
    <s v="Freshwater"/>
    <x v="1"/>
    <x v="1"/>
    <n v="790"/>
    <s v="Nooksack River, No. Fork"/>
    <s v="Nooksack River, No. Fork"/>
    <s v="Whatcom"/>
    <x v="1"/>
    <s v="Other"/>
    <s v="20Other"/>
    <s v="Non Puget Sound"/>
    <s v="07Non Puget Sound"/>
    <n v="6.7058823529411802"/>
    <n v="124.39411764705901"/>
    <n v="0"/>
    <n v="0"/>
  </r>
  <r>
    <n v="3008"/>
    <x v="1"/>
    <s v="Freshwater"/>
    <x v="1"/>
    <x v="1"/>
    <n v="790"/>
    <s v="Nooksack River, No. Fork"/>
    <s v="Nooksack River, No. Fork"/>
    <s v="Whatcom"/>
    <x v="1"/>
    <s v="Whatcom"/>
    <s v="01Whatcom"/>
    <s v="North Puget Sound"/>
    <s v="01North Puget Sound"/>
    <n v="31.294117647058801"/>
    <n v="580.50588235294094"/>
    <n v="44"/>
    <n v="920.79844229468893"/>
  </r>
  <r>
    <n v="3012"/>
    <x v="2"/>
    <s v="Freshwater"/>
    <x v="1"/>
    <x v="1"/>
    <n v="790"/>
    <s v="Nooksack River, No. Fork"/>
    <s v="Nooksack River, No. Fork"/>
    <s v="Whatcom"/>
    <x v="1"/>
    <s v="Whatcom"/>
    <s v="01Whatcom"/>
    <s v="North Puget Sound"/>
    <s v="01North Puget Sound"/>
    <n v="51"/>
    <n v="435.54"/>
    <n v="33.222222222222271"/>
    <n v="695.24932890432422"/>
  </r>
  <r>
    <n v="3015"/>
    <x v="3"/>
    <s v="Freshwater"/>
    <x v="1"/>
    <x v="1"/>
    <n v="790"/>
    <s v="Nooksack River, No. Fork"/>
    <s v="Nooksack River, No. Fork"/>
    <s v="Whatcom"/>
    <x v="1"/>
    <s v="Whatcom"/>
    <s v="01Whatcom"/>
    <s v="North Puget Sound"/>
    <s v="01North Puget Sound"/>
    <n v="83"/>
    <n v="1539.65"/>
    <n v="45"/>
    <n v="941.72567961956815"/>
  </r>
  <r>
    <n v="3020"/>
    <x v="4"/>
    <s v="Freshwater"/>
    <x v="1"/>
    <x v="1"/>
    <n v="790"/>
    <s v="Nooksack River, No. Fork"/>
    <s v="Nooksack River, No. Fork"/>
    <s v="Whatcom"/>
    <x v="1"/>
    <s v="Pierce"/>
    <s v="07Pierce"/>
    <s v="South Puget Sound"/>
    <s v="02South Puget Sound"/>
    <n v="3.0476190476190501"/>
    <n v="26.026666666666699"/>
    <n v="0"/>
    <n v="0"/>
  </r>
  <r>
    <n v="3019"/>
    <x v="4"/>
    <s v="Freshwater"/>
    <x v="1"/>
    <x v="1"/>
    <n v="790"/>
    <s v="Nooksack River, No. Fork"/>
    <s v="Nooksack River, No. Fork"/>
    <s v="Whatcom"/>
    <x v="1"/>
    <s v="Whatcom"/>
    <s v="01Whatcom"/>
    <s v="North Puget Sound"/>
    <s v="01North Puget Sound"/>
    <n v="60.952380952380999"/>
    <n v="520.53333333333399"/>
    <n v="79"/>
    <n v="1653.2517486654642"/>
  </r>
  <r>
    <n v="3092"/>
    <x v="7"/>
    <s v="Freshwater"/>
    <x v="1"/>
    <x v="1"/>
    <n v="790"/>
    <s v="Nooksack River, No. Fork"/>
    <s v="Nooksack River, No. Fork"/>
    <s v="Whatcom"/>
    <x v="1"/>
    <s v="Whatcom"/>
    <s v="01Whatcom"/>
    <s v="North Puget Sound"/>
    <s v="01North Puget Sound"/>
    <n v="228"/>
    <n v="4229.3999999999996"/>
    <n v="5"/>
    <n v="104.63618662439646"/>
  </r>
  <r>
    <n v="3096"/>
    <x v="8"/>
    <s v="Freshwater"/>
    <x v="1"/>
    <x v="1"/>
    <n v="790"/>
    <s v="Nooksack River, No. Fork"/>
    <s v="Nooksack River, No. Fork"/>
    <s v="Whatcom"/>
    <x v="1"/>
    <s v="Island"/>
    <s v="04Island"/>
    <s v="North Puget Sound"/>
    <s v="01North Puget Sound"/>
    <n v="14"/>
    <n v="119.56"/>
    <n v="7"/>
    <n v="146.49066127415506"/>
  </r>
  <r>
    <n v="3095"/>
    <x v="8"/>
    <s v="Freshwater"/>
    <x v="1"/>
    <x v="1"/>
    <n v="790"/>
    <s v="Nooksack River, No. Fork"/>
    <s v="Nooksack River, No. Fork"/>
    <s v="Whatcom"/>
    <x v="1"/>
    <s v="Whatcom"/>
    <s v="01Whatcom"/>
    <s v="North Puget Sound"/>
    <s v="01North Puget Sound"/>
    <n v="14"/>
    <n v="119.56"/>
    <n v="109"/>
    <n v="2281.0688684118431"/>
  </r>
  <r>
    <n v="3099"/>
    <x v="10"/>
    <s v="Freshwater"/>
    <x v="1"/>
    <x v="1"/>
    <n v="790"/>
    <s v="Nooksack River, No. Fork"/>
    <s v="Nooksack River, No. Fork"/>
    <s v="Whatcom"/>
    <x v="1"/>
    <s v="Whatcom"/>
    <s v="01Whatcom"/>
    <s v="North Puget Sound"/>
    <s v="01North Puget Sound"/>
    <n v="12"/>
    <n v="102.48"/>
    <n v="6"/>
    <n v="125.56342394927576"/>
  </r>
  <r>
    <n v="2999"/>
    <x v="0"/>
    <s v="Freshwater"/>
    <x v="1"/>
    <x v="1"/>
    <n v="792"/>
    <s v="Nooksack River, So. Fork"/>
    <s v="Nooksack River, So. Fork"/>
    <s v="Whatcom"/>
    <x v="1"/>
    <s v="Clallam"/>
    <s v="11Clallam"/>
    <s v="Strait of Juan de Fuca"/>
    <s v="03Strait of Juan de Fuca"/>
    <n v="2.4285714285714302"/>
    <n v="20.74"/>
    <n v="2.4"/>
    <n v="50.225369579710303"/>
  </r>
  <r>
    <n v="2991"/>
    <x v="0"/>
    <s v="Freshwater"/>
    <x v="1"/>
    <x v="1"/>
    <n v="792"/>
    <s v="Nooksack River, So. Fork"/>
    <s v="Nooksack River, So. Fork"/>
    <s v="Whatcom"/>
    <x v="1"/>
    <s v="Whatcom"/>
    <s v="01Whatcom"/>
    <s v="North Puget Sound"/>
    <s v="01North Puget Sound"/>
    <n v="14.5714285714286"/>
    <n v="124.44"/>
    <n v="9.6"/>
    <n v="200.90147831884121"/>
  </r>
  <r>
    <n v="3085"/>
    <x v="4"/>
    <s v="Freshwater"/>
    <x v="1"/>
    <x v="1"/>
    <n v="792"/>
    <s v="Nooksack River, So. Fork"/>
    <s v="Nooksack River, So. Fork"/>
    <s v="Whatcom"/>
    <x v="1"/>
    <s v="Snohomish"/>
    <s v="03Snohomish"/>
    <s v="North Puget Sound"/>
    <s v="01North Puget Sound"/>
    <n v="3"/>
    <n v="25.62"/>
    <n v="0"/>
    <n v="0"/>
  </r>
  <r>
    <n v="3000"/>
    <x v="0"/>
    <s v="Freshwater"/>
    <x v="1"/>
    <x v="1"/>
    <n v="794"/>
    <s v="Nooksack River, below North Fork"/>
    <s v="Nooksack River, below North Fork"/>
    <s v="Whatcom"/>
    <x v="1"/>
    <s v="Whatcom"/>
    <s v="01Whatcom"/>
    <s v="North Puget Sound"/>
    <s v="01North Puget Sound"/>
    <n v="19"/>
    <n v="162.26"/>
    <n v="14"/>
    <n v="292.98132254831012"/>
  </r>
  <r>
    <n v="3010"/>
    <x v="1"/>
    <s v="Freshwater"/>
    <x v="1"/>
    <x v="1"/>
    <n v="794"/>
    <s v="Nooksack River, below North Fork"/>
    <s v="Nooksack River, below North Fork"/>
    <s v="Whatcom"/>
    <x v="1"/>
    <s v="Whatcom"/>
    <s v="01Whatcom"/>
    <s v="North Puget Sound"/>
    <s v="01North Puget Sound"/>
    <n v="31"/>
    <n v="575.04999999999995"/>
    <n v="21"/>
    <n v="439.47198382246518"/>
  </r>
  <r>
    <n v="3014"/>
    <x v="2"/>
    <s v="Freshwater"/>
    <x v="1"/>
    <x v="1"/>
    <n v="794"/>
    <s v="Nooksack River, below North Fork"/>
    <s v="Nooksack River, below North Fork"/>
    <s v="Whatcom"/>
    <x v="1"/>
    <s v="Skagit"/>
    <s v="02Skagit"/>
    <s v="North Puget Sound"/>
    <s v="01North Puget Sound"/>
    <n v="3.2"/>
    <n v="27.327999999999999"/>
    <n v="0"/>
    <n v="0"/>
  </r>
  <r>
    <n v="3013"/>
    <x v="2"/>
    <s v="Freshwater"/>
    <x v="1"/>
    <x v="1"/>
    <n v="794"/>
    <s v="Nooksack River, below North Fork"/>
    <s v="Nooksack River, below North Fork"/>
    <s v="Whatcom"/>
    <x v="1"/>
    <s v="Whatcom"/>
    <s v="01Whatcom"/>
    <s v="North Puget Sound"/>
    <s v="01North Puget Sound"/>
    <n v="28.8"/>
    <n v="245.952"/>
    <n v="32"/>
    <n v="669.67159439613738"/>
  </r>
  <r>
    <n v="3016"/>
    <x v="3"/>
    <s v="Freshwater"/>
    <x v="1"/>
    <x v="1"/>
    <n v="794"/>
    <s v="Nooksack River, below North Fork"/>
    <s v="Nooksack River, below North Fork"/>
    <s v="Whatcom"/>
    <x v="1"/>
    <s v="Whatcom"/>
    <s v="01Whatcom"/>
    <s v="North Puget Sound"/>
    <s v="01North Puget Sound"/>
    <n v="21"/>
    <n v="389.55"/>
    <n v="15.8"/>
    <n v="330.65034973309287"/>
  </r>
  <r>
    <n v="3088"/>
    <x v="4"/>
    <s v="Freshwater"/>
    <x v="1"/>
    <x v="1"/>
    <n v="794"/>
    <s v="Nooksack River, below North Fork"/>
    <s v="Nooksack River, below North Fork"/>
    <s v="Whatcom"/>
    <x v="1"/>
    <s v="Whatcom"/>
    <s v="01Whatcom"/>
    <s v="North Puget Sound"/>
    <s v="01North Puget Sound"/>
    <n v="43"/>
    <n v="367.22"/>
    <n v="27"/>
    <n v="565.03540777174089"/>
  </r>
  <r>
    <n v="3091"/>
    <x v="5"/>
    <s v="Freshwater"/>
    <x v="1"/>
    <x v="1"/>
    <n v="794"/>
    <s v="Nooksack River, below North Fork"/>
    <s v="Nooksack River, below North Fork"/>
    <s v="Whatcom"/>
    <x v="1"/>
    <s v="Whatcom"/>
    <s v="01Whatcom"/>
    <s v="North Puget Sound"/>
    <s v="01North Puget Sound"/>
    <n v="10"/>
    <n v="185.5"/>
    <n v="40"/>
    <n v="837.08949299517167"/>
  </r>
  <r>
    <n v="3094"/>
    <x v="7"/>
    <s v="Freshwater"/>
    <x v="1"/>
    <x v="1"/>
    <n v="794"/>
    <s v="Nooksack River, below North Fork"/>
    <s v="Nooksack River, below North Fork"/>
    <s v="Whatcom"/>
    <x v="1"/>
    <s v="King"/>
    <s v="06King"/>
    <s v="South Puget Sound"/>
    <s v="02South Puget Sound"/>
    <n v="10.8571428571429"/>
    <n v="201.400000000001"/>
    <n v="0"/>
    <n v="0"/>
  </r>
  <r>
    <n v="3093"/>
    <x v="7"/>
    <s v="Freshwater"/>
    <x v="1"/>
    <x v="1"/>
    <n v="794"/>
    <s v="Nooksack River, below North Fork"/>
    <s v="Nooksack River, below North Fork"/>
    <s v="Whatcom"/>
    <x v="1"/>
    <s v="Whatcom"/>
    <s v="01Whatcom"/>
    <s v="North Puget Sound"/>
    <s v="01North Puget Sound"/>
    <n v="65.142857142857196"/>
    <n v="1208.4000000000001"/>
    <n v="27"/>
    <n v="565.03540777174089"/>
  </r>
  <r>
    <n v="3098"/>
    <x v="8"/>
    <s v="Freshwater"/>
    <x v="1"/>
    <x v="1"/>
    <n v="794"/>
    <s v="Nooksack River, below North Fork"/>
    <s v="Nooksack River, below North Fork"/>
    <s v="Whatcom"/>
    <x v="1"/>
    <s v="King"/>
    <s v="06King"/>
    <s v="South Puget Sound"/>
    <s v="02South Puget Sound"/>
    <n v="0"/>
    <n v="0"/>
    <n v="5.5"/>
    <n v="115.09980528683612"/>
  </r>
  <r>
    <n v="3097"/>
    <x v="8"/>
    <s v="Freshwater"/>
    <x v="1"/>
    <x v="1"/>
    <n v="794"/>
    <s v="Nooksack River, below North Fork"/>
    <s v="Nooksack River, below North Fork"/>
    <s v="Whatcom"/>
    <x v="1"/>
    <s v="Whatcom"/>
    <s v="01Whatcom"/>
    <s v="North Puget Sound"/>
    <s v="01North Puget Sound"/>
    <n v="54"/>
    <n v="461.16"/>
    <n v="12.5"/>
    <n v="261.59046656099116"/>
  </r>
  <r>
    <n v="3100"/>
    <x v="10"/>
    <s v="Freshwater"/>
    <x v="1"/>
    <x v="1"/>
    <n v="794"/>
    <s v="Nooksack River, below North Fork"/>
    <s v="Nooksack River, below North Fork"/>
    <s v="Whatcom"/>
    <x v="1"/>
    <s v="King"/>
    <s v="06King"/>
    <s v="South Puget Sound"/>
    <s v="02South Puget Sound"/>
    <n v="12"/>
    <n v="102.48"/>
    <n v="0"/>
    <n v="0"/>
  </r>
  <r>
    <n v="984"/>
    <x v="0"/>
    <s v="Freshwater"/>
    <x v="1"/>
    <x v="1"/>
    <n v="802"/>
    <s v="Carbon River"/>
    <s v="Carbon River"/>
    <s v="Pierce"/>
    <x v="3"/>
    <s v="Other"/>
    <s v="20Other"/>
    <s v="Non Puget Sound"/>
    <s v="07Non Puget Sound"/>
    <n v="2.3333333333333299"/>
    <n v="19.926666666666598"/>
    <n v="2.3333333333333299"/>
    <n v="48.830220424718277"/>
  </r>
  <r>
    <n v="983"/>
    <x v="0"/>
    <s v="Freshwater"/>
    <x v="1"/>
    <x v="1"/>
    <n v="802"/>
    <s v="Carbon River"/>
    <s v="Carbon River"/>
    <s v="Pierce"/>
    <x v="3"/>
    <s v="Pierce"/>
    <s v="07Pierce"/>
    <s v="South Puget Sound"/>
    <s v="02South Puget Sound"/>
    <n v="4.6666666666666696"/>
    <n v="39.853333333333403"/>
    <n v="4.6666666666666696"/>
    <n v="97.660440849436768"/>
  </r>
  <r>
    <n v="985"/>
    <x v="0"/>
    <s v="Freshwater"/>
    <x v="1"/>
    <x v="1"/>
    <n v="804"/>
    <s v="Puyallup River"/>
    <s v="Puyallup River"/>
    <s v="Pierce"/>
    <x v="3"/>
    <s v="Pierce"/>
    <s v="07Pierce"/>
    <s v="South Puget Sound"/>
    <s v="02South Puget Sound"/>
    <n v="16"/>
    <n v="136.63999999999999"/>
    <n v="16"/>
    <n v="334.83579719806869"/>
  </r>
  <r>
    <n v="989"/>
    <x v="1"/>
    <s v="Freshwater"/>
    <x v="1"/>
    <x v="1"/>
    <n v="804"/>
    <s v="Puyallup River"/>
    <s v="Puyallup River"/>
    <s v="Pierce"/>
    <x v="3"/>
    <s v="Other"/>
    <s v="20Other"/>
    <s v="Non Puget Sound"/>
    <s v="07Non Puget Sound"/>
    <n v="2.3636363636363602"/>
    <n v="43.845454545454501"/>
    <n v="8"/>
    <n v="167.41789859903434"/>
  </r>
  <r>
    <n v="988"/>
    <x v="1"/>
    <s v="Freshwater"/>
    <x v="1"/>
    <x v="1"/>
    <n v="804"/>
    <s v="Puyallup River"/>
    <s v="Puyallup River"/>
    <s v="Pierce"/>
    <x v="3"/>
    <s v="Pierce"/>
    <s v="07Pierce"/>
    <s v="South Puget Sound"/>
    <s v="02South Puget Sound"/>
    <n v="18.909090909090899"/>
    <n v="350.76363636363601"/>
    <n v="21"/>
    <n v="439.47198382246518"/>
  </r>
  <r>
    <n v="987"/>
    <x v="1"/>
    <s v="Freshwater"/>
    <x v="1"/>
    <x v="1"/>
    <n v="804"/>
    <s v="Puyallup River"/>
    <s v="Puyallup River"/>
    <s v="Pierce"/>
    <x v="3"/>
    <s v="Snohomish"/>
    <s v="03Snohomish"/>
    <s v="North Puget Sound"/>
    <s v="01North Puget Sound"/>
    <n v="4.7272727272727302"/>
    <n v="87.690909090909102"/>
    <n v="5"/>
    <n v="104.63618662439646"/>
  </r>
  <r>
    <n v="990"/>
    <x v="3"/>
    <s v="Freshwater"/>
    <x v="1"/>
    <x v="1"/>
    <n v="804"/>
    <s v="Puyallup River"/>
    <s v="Puyallup River"/>
    <s v="Pierce"/>
    <x v="3"/>
    <s v="King"/>
    <s v="06King"/>
    <s v="South Puget Sound"/>
    <s v="02South Puget Sound"/>
    <n v="1"/>
    <n v="18.55"/>
    <n v="0"/>
    <n v="0"/>
  </r>
  <r>
    <n v="991"/>
    <x v="3"/>
    <s v="Freshwater"/>
    <x v="1"/>
    <x v="1"/>
    <n v="804"/>
    <s v="Puyallup River"/>
    <s v="Puyallup River"/>
    <s v="Pierce"/>
    <x v="3"/>
    <s v="Pierce"/>
    <s v="07Pierce"/>
    <s v="South Puget Sound"/>
    <s v="02South Puget Sound"/>
    <n v="4"/>
    <n v="74.2"/>
    <n v="0"/>
    <n v="0"/>
  </r>
  <r>
    <n v="993"/>
    <x v="4"/>
    <s v="Freshwater"/>
    <x v="1"/>
    <x v="1"/>
    <n v="804"/>
    <s v="Puyallup River"/>
    <s v="Puyallup River"/>
    <s v="Pierce"/>
    <x v="3"/>
    <s v="Other"/>
    <s v="20Other"/>
    <s v="Non Puget Sound"/>
    <s v="07Non Puget Sound"/>
    <n v="3"/>
    <n v="25.62"/>
    <n v="3"/>
    <n v="62.781711974637879"/>
  </r>
  <r>
    <n v="992"/>
    <x v="4"/>
    <s v="Freshwater"/>
    <x v="1"/>
    <x v="1"/>
    <n v="804"/>
    <s v="Puyallup River"/>
    <s v="Puyallup River"/>
    <s v="Pierce"/>
    <x v="3"/>
    <s v="Pierce"/>
    <s v="07Pierce"/>
    <s v="South Puget Sound"/>
    <s v="02South Puget Sound"/>
    <n v="6"/>
    <n v="51.24"/>
    <n v="8.5"/>
    <n v="177.88151726147399"/>
  </r>
  <r>
    <n v="1089"/>
    <x v="5"/>
    <s v="Freshwater"/>
    <x v="1"/>
    <x v="1"/>
    <n v="804"/>
    <s v="Puyallup River"/>
    <s v="Puyallup River"/>
    <s v="Pierce"/>
    <x v="3"/>
    <s v="Pierce"/>
    <s v="07Pierce"/>
    <s v="South Puget Sound"/>
    <s v="02South Puget Sound"/>
    <n v="14"/>
    <n v="259.7"/>
    <n v="14"/>
    <n v="292.98132254831012"/>
  </r>
  <r>
    <n v="1091"/>
    <x v="8"/>
    <s v="Freshwater"/>
    <x v="1"/>
    <x v="1"/>
    <n v="804"/>
    <s v="Puyallup River"/>
    <s v="Puyallup River"/>
    <s v="Pierce"/>
    <x v="3"/>
    <s v="Pierce"/>
    <s v="07Pierce"/>
    <s v="South Puget Sound"/>
    <s v="02South Puget Sound"/>
    <n v="68"/>
    <n v="580.72"/>
    <n v="0"/>
    <n v="0"/>
  </r>
  <r>
    <n v="1093"/>
    <x v="9"/>
    <s v="Freshwater"/>
    <x v="1"/>
    <x v="1"/>
    <n v="804"/>
    <s v="Puyallup River"/>
    <s v="Puyallup River"/>
    <s v="Pierce"/>
    <x v="3"/>
    <s v="King"/>
    <s v="06King"/>
    <s v="South Puget Sound"/>
    <s v="02South Puget Sound"/>
    <n v="8"/>
    <n v="148.4"/>
    <n v="0"/>
    <n v="0"/>
  </r>
  <r>
    <n v="1094"/>
    <x v="9"/>
    <s v="Freshwater"/>
    <x v="1"/>
    <x v="1"/>
    <n v="804"/>
    <s v="Puyallup River"/>
    <s v="Puyallup River"/>
    <s v="Pierce"/>
    <x v="3"/>
    <s v="Pierce"/>
    <s v="07Pierce"/>
    <s v="South Puget Sound"/>
    <s v="02South Puget Sound"/>
    <n v="0"/>
    <n v="0"/>
    <n v="0"/>
    <n v="0"/>
  </r>
  <r>
    <n v="1092"/>
    <x v="9"/>
    <s v="Freshwater"/>
    <x v="1"/>
    <x v="1"/>
    <n v="804"/>
    <s v="Puyallup River"/>
    <s v="Puyallup River"/>
    <s v="Pierce"/>
    <x v="3"/>
    <s v="Snohomish"/>
    <s v="03Snohomish"/>
    <s v="North Puget Sound"/>
    <s v="01North Puget Sound"/>
    <n v="0"/>
    <n v="0"/>
    <n v="0"/>
    <n v="0"/>
  </r>
  <r>
    <n v="1096"/>
    <x v="11"/>
    <s v="Freshwater"/>
    <x v="1"/>
    <x v="1"/>
    <n v="804"/>
    <s v="Puyallup River"/>
    <s v="Puyallup River"/>
    <s v="Pierce"/>
    <x v="3"/>
    <s v="Pierce"/>
    <s v="07Pierce"/>
    <s v="South Puget Sound"/>
    <s v="02South Puget Sound"/>
    <n v="12"/>
    <n v="222.6"/>
    <n v="1"/>
    <n v="20.927237324879293"/>
  </r>
  <r>
    <n v="1095"/>
    <x v="11"/>
    <s v="Freshwater"/>
    <x v="1"/>
    <x v="1"/>
    <n v="804"/>
    <s v="Puyallup River"/>
    <s v="Puyallup River"/>
    <s v="Pierce"/>
    <x v="3"/>
    <s v="Snohomish"/>
    <s v="03Snohomish"/>
    <s v="North Puget Sound"/>
    <s v="01North Puget Sound"/>
    <n v="0"/>
    <n v="0"/>
    <n v="0"/>
    <n v="0"/>
  </r>
  <r>
    <n v="986"/>
    <x v="0"/>
    <s v="Freshwater"/>
    <x v="1"/>
    <x v="1"/>
    <n v="808"/>
    <s v="White (Stuck) River"/>
    <s v="White (Stuck) River"/>
    <s v="Pierce"/>
    <x v="3"/>
    <s v="Other"/>
    <s v="20Other"/>
    <s v="Non Puget Sound"/>
    <s v="07Non Puget Sound"/>
    <n v="24"/>
    <n v="204.96"/>
    <n v="24"/>
    <n v="502.25369579710303"/>
  </r>
  <r>
    <n v="1088"/>
    <x v="4"/>
    <s v="Freshwater"/>
    <x v="1"/>
    <x v="1"/>
    <n v="808"/>
    <s v="White (Stuck) River"/>
    <s v="White (Stuck) River"/>
    <s v="Pierce"/>
    <x v="3"/>
    <s v="King"/>
    <s v="06King"/>
    <s v="South Puget Sound"/>
    <s v="02South Puget Sound"/>
    <n v="3"/>
    <n v="25.62"/>
    <n v="0"/>
    <n v="0"/>
  </r>
  <r>
    <n v="1090"/>
    <x v="6"/>
    <s v="Freshwater"/>
    <x v="1"/>
    <x v="1"/>
    <n v="808"/>
    <s v="White (Stuck) River"/>
    <s v="White (Stuck) River"/>
    <s v="Pierce"/>
    <x v="3"/>
    <s v="Pierce"/>
    <s v="07Pierce"/>
    <s v="South Puget Sound"/>
    <s v="02South Puget Sound"/>
    <n v="5"/>
    <n v="42.7"/>
    <n v="0"/>
    <n v="0"/>
  </r>
  <r>
    <n v="2946"/>
    <x v="0"/>
    <s v="Freshwater"/>
    <x v="1"/>
    <x v="1"/>
    <n v="810"/>
    <s v="Pysht River"/>
    <s v="Pysht River"/>
    <s v="Clallam"/>
    <x v="0"/>
    <s v="Clallam"/>
    <s v="11Clallam"/>
    <s v="Strait of Juan de Fuca"/>
    <s v="03Strait of Juan de Fuca"/>
    <n v="16.625"/>
    <n v="141.97749999999999"/>
    <n v="9.6"/>
    <n v="200.90147831884121"/>
  </r>
  <r>
    <n v="2945"/>
    <x v="0"/>
    <s v="Freshwater"/>
    <x v="1"/>
    <x v="1"/>
    <n v="810"/>
    <s v="Pysht River"/>
    <s v="Pysht River"/>
    <s v="Clallam"/>
    <x v="0"/>
    <s v="Island"/>
    <s v="04Island"/>
    <s v="North Puget Sound"/>
    <s v="01North Puget Sound"/>
    <n v="2.375"/>
    <n v="20.282499999999999"/>
    <n v="2.4"/>
    <n v="50.225369579710303"/>
  </r>
  <r>
    <n v="3067"/>
    <x v="1"/>
    <s v="Freshwater"/>
    <x v="1"/>
    <x v="1"/>
    <n v="810"/>
    <s v="Pysht River"/>
    <s v="Pysht River"/>
    <s v="Clallam"/>
    <x v="0"/>
    <s v="Clallam"/>
    <s v="11Clallam"/>
    <s v="Strait of Juan de Fuca"/>
    <s v="03Strait of Juan de Fuca"/>
    <n v="0.66666666666666996"/>
    <n v="12.366666666666699"/>
    <n v="9.5"/>
    <n v="198.80875458635327"/>
  </r>
  <r>
    <n v="3066"/>
    <x v="1"/>
    <s v="Freshwater"/>
    <x v="1"/>
    <x v="1"/>
    <n v="810"/>
    <s v="Pysht River"/>
    <s v="Pysht River"/>
    <s v="Clallam"/>
    <x v="0"/>
    <s v="Kitsap"/>
    <s v="10Kitsap"/>
    <s v="South Puget Sound"/>
    <s v="02South Puget Sound"/>
    <n v="1.3333333333333299"/>
    <n v="24.733333333333299"/>
    <n v="2.5"/>
    <n v="52.318093312198229"/>
  </r>
  <r>
    <n v="3176"/>
    <x v="2"/>
    <s v="Freshwater"/>
    <x v="1"/>
    <x v="1"/>
    <n v="810"/>
    <s v="Pysht River"/>
    <s v="Pysht River"/>
    <s v="Clallam"/>
    <x v="0"/>
    <s v="Clallam"/>
    <s v="11Clallam"/>
    <s v="Strait of Juan de Fuca"/>
    <s v="03Strait of Juan de Fuca"/>
    <n v="22"/>
    <n v="187.88"/>
    <n v="3"/>
    <n v="62.781711974637879"/>
  </r>
  <r>
    <n v="3284"/>
    <x v="3"/>
    <s v="Freshwater"/>
    <x v="1"/>
    <x v="1"/>
    <n v="810"/>
    <s v="Pysht River"/>
    <s v="Pysht River"/>
    <s v="Clallam"/>
    <x v="0"/>
    <s v="Kitsap"/>
    <s v="10Kitsap"/>
    <s v="South Puget Sound"/>
    <s v="02South Puget Sound"/>
    <n v="3"/>
    <n v="55.65"/>
    <n v="3"/>
    <n v="62.781711974637879"/>
  </r>
  <r>
    <n v="3382"/>
    <x v="4"/>
    <s v="Freshwater"/>
    <x v="1"/>
    <x v="1"/>
    <n v="810"/>
    <s v="Pysht River"/>
    <s v="Pysht River"/>
    <s v="Clallam"/>
    <x v="0"/>
    <s v="Clallam"/>
    <s v="11Clallam"/>
    <s v="Strait of Juan de Fuca"/>
    <s v="03Strait of Juan de Fuca"/>
    <n v="18"/>
    <n v="153.72"/>
    <n v="9"/>
    <n v="188.34513592391363"/>
  </r>
  <r>
    <n v="3504"/>
    <x v="6"/>
    <s v="Freshwater"/>
    <x v="1"/>
    <x v="1"/>
    <n v="810"/>
    <s v="Pysht River"/>
    <s v="Pysht River"/>
    <s v="Clallam"/>
    <x v="0"/>
    <s v="Clallam"/>
    <s v="11Clallam"/>
    <s v="Strait of Juan de Fuca"/>
    <s v="03Strait of Juan de Fuca"/>
    <n v="21"/>
    <n v="179.34"/>
    <n v="21"/>
    <n v="439.47198382246518"/>
  </r>
  <r>
    <n v="2947"/>
    <x v="0"/>
    <s v="Freshwater"/>
    <x v="1"/>
    <x v="1"/>
    <n v="814"/>
    <s v="Salt Creek (Clallam Co.)"/>
    <s v="Salt Creek (Clallam Co.)"/>
    <s v="Clallam"/>
    <x v="0"/>
    <s v="Clallam"/>
    <s v="11Clallam"/>
    <s v="Strait of Juan de Fuca"/>
    <s v="03Strait of Juan de Fuca"/>
    <n v="2"/>
    <n v="17.079999999999998"/>
    <n v="0"/>
    <n v="0"/>
  </r>
  <r>
    <n v="3383"/>
    <x v="4"/>
    <s v="Freshwater"/>
    <x v="1"/>
    <x v="1"/>
    <n v="814"/>
    <s v="Salt Creek (Clallam Co.)"/>
    <s v="Salt Creek (Clallam Co.)"/>
    <s v="Clallam"/>
    <x v="0"/>
    <s v="Snohomish"/>
    <s v="03Snohomish"/>
    <s v="North Puget Sound"/>
    <s v="01North Puget Sound"/>
    <n v="12"/>
    <n v="102.48"/>
    <n v="12"/>
    <n v="251.12684789855152"/>
  </r>
  <r>
    <n v="1829"/>
    <x v="0"/>
    <s v="Freshwater"/>
    <x v="1"/>
    <x v="1"/>
    <n v="816"/>
    <s v="Samish River"/>
    <s v="Samish River"/>
    <s v="Skagit"/>
    <x v="1"/>
    <s v="King"/>
    <s v="06King"/>
    <s v="South Puget Sound"/>
    <s v="02South Puget Sound"/>
    <n v="2"/>
    <n v="17.079999999999998"/>
    <n v="0"/>
    <n v="0"/>
  </r>
  <r>
    <n v="1996"/>
    <x v="4"/>
    <s v="Freshwater"/>
    <x v="1"/>
    <x v="1"/>
    <n v="816"/>
    <s v="Samish River"/>
    <s v="Samish River"/>
    <s v="Skagit"/>
    <x v="1"/>
    <s v="King"/>
    <s v="06King"/>
    <s v="South Puget Sound"/>
    <s v="02South Puget Sound"/>
    <n v="3"/>
    <n v="25.62"/>
    <n v="3"/>
    <n v="62.781711974637879"/>
  </r>
  <r>
    <n v="2950"/>
    <x v="0"/>
    <s v="Freshwater"/>
    <x v="1"/>
    <x v="1"/>
    <n v="818"/>
    <s v="Sekiu River"/>
    <s v="Sekiu River"/>
    <s v="Clallam"/>
    <x v="0"/>
    <s v="Clallam"/>
    <s v="11Clallam"/>
    <s v="Strait of Juan de Fuca"/>
    <s v="03Strait of Juan de Fuca"/>
    <n v="15.75"/>
    <n v="134.505"/>
    <n v="14"/>
    <n v="292.98132254831012"/>
  </r>
  <r>
    <n v="2949"/>
    <x v="0"/>
    <s v="Freshwater"/>
    <x v="1"/>
    <x v="1"/>
    <n v="818"/>
    <s v="Sekiu River"/>
    <s v="Sekiu River"/>
    <s v="Clallam"/>
    <x v="0"/>
    <s v="King"/>
    <s v="06King"/>
    <s v="South Puget Sound"/>
    <s v="02South Puget Sound"/>
    <n v="2.25"/>
    <n v="19.215"/>
    <n v="0"/>
    <n v="0"/>
  </r>
  <r>
    <n v="3069"/>
    <x v="1"/>
    <s v="Freshwater"/>
    <x v="1"/>
    <x v="1"/>
    <n v="818"/>
    <s v="Sekiu River"/>
    <s v="Sekiu River"/>
    <s v="Clallam"/>
    <x v="0"/>
    <s v="Clallam"/>
    <s v="11Clallam"/>
    <s v="Strait of Juan de Fuca"/>
    <s v="03Strait of Juan de Fuca"/>
    <n v="22.5"/>
    <n v="417.375"/>
    <n v="9"/>
    <n v="188.34513592391363"/>
  </r>
  <r>
    <n v="3068"/>
    <x v="1"/>
    <s v="Freshwater"/>
    <x v="1"/>
    <x v="1"/>
    <n v="818"/>
    <s v="Sekiu River"/>
    <s v="Sekiu River"/>
    <s v="Clallam"/>
    <x v="0"/>
    <s v="King"/>
    <s v="06King"/>
    <s v="South Puget Sound"/>
    <s v="02South Puget Sound"/>
    <n v="4.5"/>
    <n v="83.474999999999994"/>
    <n v="2"/>
    <n v="41.854474649758586"/>
  </r>
  <r>
    <n v="3178"/>
    <x v="2"/>
    <s v="Freshwater"/>
    <x v="1"/>
    <x v="1"/>
    <n v="818"/>
    <s v="Sekiu River"/>
    <s v="Sekiu River"/>
    <s v="Clallam"/>
    <x v="0"/>
    <s v="Clallam"/>
    <s v="11Clallam"/>
    <s v="Strait of Juan de Fuca"/>
    <s v="03Strait of Juan de Fuca"/>
    <n v="3"/>
    <n v="25.62"/>
    <n v="18.5555555555556"/>
    <n v="388.31651480609446"/>
  </r>
  <r>
    <n v="3177"/>
    <x v="2"/>
    <s v="Freshwater"/>
    <x v="1"/>
    <x v="1"/>
    <n v="818"/>
    <s v="Sekiu River"/>
    <s v="Sekiu River"/>
    <s v="Clallam"/>
    <x v="0"/>
    <s v="Pierce"/>
    <s v="07Pierce"/>
    <s v="South Puget Sound"/>
    <s v="02South Puget Sound"/>
    <n v="3"/>
    <n v="25.62"/>
    <n v="3"/>
    <n v="62.781711974637879"/>
  </r>
  <r>
    <n v="3286"/>
    <x v="3"/>
    <s v="Freshwater"/>
    <x v="1"/>
    <x v="1"/>
    <n v="818"/>
    <s v="Sekiu River"/>
    <s v="Sekiu River"/>
    <s v="Clallam"/>
    <x v="0"/>
    <s v="Clallam"/>
    <s v="11Clallam"/>
    <s v="Strait of Juan de Fuca"/>
    <s v="03Strait of Juan de Fuca"/>
    <n v="3.5"/>
    <n v="64.924999999999997"/>
    <n v="0"/>
    <n v="0"/>
  </r>
  <r>
    <n v="3285"/>
    <x v="3"/>
    <s v="Freshwater"/>
    <x v="1"/>
    <x v="1"/>
    <n v="818"/>
    <s v="Sekiu River"/>
    <s v="Sekiu River"/>
    <s v="Clallam"/>
    <x v="0"/>
    <s v="Pierce"/>
    <s v="07Pierce"/>
    <s v="South Puget Sound"/>
    <s v="02South Puget Sound"/>
    <n v="3.5"/>
    <n v="64.924999999999997"/>
    <n v="0"/>
    <n v="0"/>
  </r>
  <r>
    <n v="3386"/>
    <x v="4"/>
    <s v="Freshwater"/>
    <x v="1"/>
    <x v="1"/>
    <n v="818"/>
    <s v="Sekiu River"/>
    <s v="Sekiu River"/>
    <s v="Clallam"/>
    <x v="0"/>
    <s v="Clallam"/>
    <s v="11Clallam"/>
    <s v="Strait of Juan de Fuca"/>
    <s v="03Strait of Juan de Fuca"/>
    <n v="3"/>
    <n v="25.62"/>
    <n v="3.5"/>
    <n v="73.245330637077529"/>
  </r>
  <r>
    <n v="3385"/>
    <x v="4"/>
    <s v="Freshwater"/>
    <x v="1"/>
    <x v="1"/>
    <n v="818"/>
    <s v="Sekiu River"/>
    <s v="Sekiu River"/>
    <s v="Clallam"/>
    <x v="0"/>
    <s v="Pierce"/>
    <s v="07Pierce"/>
    <s v="South Puget Sound"/>
    <s v="02South Puget Sound"/>
    <n v="12"/>
    <n v="102.48"/>
    <n v="15.5"/>
    <n v="324.37217853562902"/>
  </r>
  <r>
    <n v="3505"/>
    <x v="6"/>
    <s v="Freshwater"/>
    <x v="1"/>
    <x v="1"/>
    <n v="818"/>
    <s v="Sekiu River"/>
    <s v="Sekiu River"/>
    <s v="Clallam"/>
    <x v="0"/>
    <s v="Clallam"/>
    <s v="11Clallam"/>
    <s v="Strait of Juan de Fuca"/>
    <s v="03Strait of Juan de Fuca"/>
    <n v="5"/>
    <n v="42.7"/>
    <n v="8"/>
    <n v="167.41789859903434"/>
  </r>
  <r>
    <n v="3506"/>
    <x v="6"/>
    <s v="Freshwater"/>
    <x v="1"/>
    <x v="1"/>
    <n v="818"/>
    <s v="Sekiu River"/>
    <s v="Sekiu River"/>
    <s v="Clallam"/>
    <x v="0"/>
    <s v="Other"/>
    <s v="20Other"/>
    <s v="Non Puget Sound"/>
    <s v="07Non Puget Sound"/>
    <n v="5"/>
    <n v="42.7"/>
    <n v="5"/>
    <n v="104.63618662439646"/>
  </r>
  <r>
    <n v="3608"/>
    <x v="8"/>
    <s v="Freshwater"/>
    <x v="1"/>
    <x v="1"/>
    <n v="818"/>
    <s v="Sekiu River"/>
    <s v="Sekiu River"/>
    <s v="Clallam"/>
    <x v="0"/>
    <s v="Clallam"/>
    <s v="11Clallam"/>
    <s v="Strait of Juan de Fuca"/>
    <s v="03Strait of Juan de Fuca"/>
    <n v="14"/>
    <n v="119.56"/>
    <n v="7"/>
    <n v="146.49066127415506"/>
  </r>
  <r>
    <n v="3678"/>
    <x v="10"/>
    <s v="Freshwater"/>
    <x v="1"/>
    <x v="1"/>
    <n v="818"/>
    <s v="Sekiu River"/>
    <s v="Sekiu River"/>
    <s v="Clallam"/>
    <x v="0"/>
    <s v="Kitsap"/>
    <s v="10Kitsap"/>
    <s v="South Puget Sound"/>
    <s v="02South Puget Sound"/>
    <n v="12"/>
    <n v="102.48"/>
    <n v="0"/>
    <n v="0"/>
  </r>
  <r>
    <n v="3705"/>
    <x v="11"/>
    <s v="Freshwater"/>
    <x v="1"/>
    <x v="1"/>
    <n v="818"/>
    <s v="Sekiu River"/>
    <s v="Sekiu River"/>
    <s v="Clallam"/>
    <x v="0"/>
    <s v="Snohomish"/>
    <s v="03Snohomish"/>
    <s v="North Puget Sound"/>
    <s v="01North Puget Sound"/>
    <n v="12"/>
    <n v="222.6"/>
    <n v="0"/>
    <n v="0"/>
  </r>
  <r>
    <n v="1833"/>
    <x v="0"/>
    <s v="Freshwater"/>
    <x v="1"/>
    <x v="1"/>
    <n v="826"/>
    <s v="Cascade River"/>
    <s v="Cascade River"/>
    <s v="Skagit"/>
    <x v="1"/>
    <s v="Island"/>
    <s v="04Island"/>
    <s v="North Puget Sound"/>
    <s v="01North Puget Sound"/>
    <n v="27.725321888412001"/>
    <n v="236.774248927038"/>
    <n v="28.509039812646407"/>
    <n v="596.61544206368364"/>
  </r>
  <r>
    <n v="1835"/>
    <x v="0"/>
    <s v="Freshwater"/>
    <x v="1"/>
    <x v="1"/>
    <n v="826"/>
    <s v="Cascade River"/>
    <s v="Cascade River"/>
    <s v="Skagit"/>
    <x v="1"/>
    <s v="King"/>
    <s v="06King"/>
    <s v="South Puget Sound"/>
    <s v="02South Puget Sound"/>
    <n v="19.4077253218884"/>
    <n v="165.74197424892699"/>
    <n v="12.496799375487889"/>
    <n v="261.52348633223841"/>
  </r>
  <r>
    <n v="1837"/>
    <x v="0"/>
    <s v="Freshwater"/>
    <x v="1"/>
    <x v="1"/>
    <n v="826"/>
    <s v="Cascade River"/>
    <s v="Cascade River"/>
    <s v="Skagit"/>
    <x v="1"/>
    <s v="Other"/>
    <s v="20Other"/>
    <s v="Non Puget Sound"/>
    <s v="07Non Puget Sound"/>
    <n v="11.0901287553648"/>
    <n v="94.709699570815403"/>
    <n v="12.065573770491801"/>
    <n v="252.4991257559206"/>
  </r>
  <r>
    <n v="1836"/>
    <x v="0"/>
    <s v="Freshwater"/>
    <x v="1"/>
    <x v="1"/>
    <n v="826"/>
    <s v="Cascade River"/>
    <s v="Cascade River"/>
    <s v="Skagit"/>
    <x v="1"/>
    <s v="Pierce"/>
    <s v="07Pierce"/>
    <s v="South Puget Sound"/>
    <s v="02South Puget Sound"/>
    <n v="8.3175965665236102"/>
    <n v="71.032274678111605"/>
    <n v="6.7306791569086606"/>
    <n v="140.85452007424601"/>
  </r>
  <r>
    <n v="1834"/>
    <x v="0"/>
    <s v="Freshwater"/>
    <x v="1"/>
    <x v="1"/>
    <n v="826"/>
    <s v="Cascade River"/>
    <s v="Cascade River"/>
    <s v="Skagit"/>
    <x v="1"/>
    <s v="San Juan"/>
    <s v="05San Juan"/>
    <s v="North Puget Sound"/>
    <s v="01North Puget Sound"/>
    <n v="30.497854077253201"/>
    <n v="260.45167381974198"/>
    <n v="24.738298204527716"/>
    <n v="517.70423753978685"/>
  </r>
  <r>
    <n v="1831"/>
    <x v="0"/>
    <s v="Freshwater"/>
    <x v="1"/>
    <x v="1"/>
    <n v="826"/>
    <s v="Cascade River"/>
    <s v="Cascade River"/>
    <s v="Skagit"/>
    <x v="1"/>
    <s v="Skagit"/>
    <s v="02Skagit"/>
    <s v="North Puget Sound"/>
    <s v="01North Puget Sound"/>
    <n v="249.52789699570801"/>
    <n v="2130.9682403433499"/>
    <n v="235.19843871975002"/>
    <n v="4922.0535455292875"/>
  </r>
  <r>
    <n v="1832"/>
    <x v="0"/>
    <s v="Freshwater"/>
    <x v="1"/>
    <x v="1"/>
    <n v="826"/>
    <s v="Cascade River"/>
    <s v="Cascade River"/>
    <s v="Skagit"/>
    <x v="1"/>
    <s v="Snohomish"/>
    <s v="03Snohomish"/>
    <s v="North Puget Sound"/>
    <s v="01North Puget Sound"/>
    <n v="194.07725321888401"/>
    <n v="1657.41974248927"/>
    <n v="172.9820765027323"/>
    <n v="3620.0369679231048"/>
  </r>
  <r>
    <n v="1830"/>
    <x v="0"/>
    <s v="Freshwater"/>
    <x v="1"/>
    <x v="1"/>
    <n v="826"/>
    <s v="Cascade River"/>
    <s v="Cascade River"/>
    <s v="Skagit"/>
    <x v="1"/>
    <s v="Whatcom"/>
    <s v="01Whatcom"/>
    <s v="North Puget Sound"/>
    <s v="01North Puget Sound"/>
    <n v="105.35622317596599"/>
    <n v="899.74214592274996"/>
    <n v="81.27909445745513"/>
    <n v="1700.9468992624447"/>
  </r>
  <r>
    <n v="1907"/>
    <x v="1"/>
    <s v="Freshwater"/>
    <x v="1"/>
    <x v="1"/>
    <n v="826"/>
    <s v="Cascade River"/>
    <s v="Cascade River"/>
    <s v="Skagit"/>
    <x v="1"/>
    <s v="Island"/>
    <s v="04Island"/>
    <s v="North Puget Sound"/>
    <s v="01North Puget Sound"/>
    <n v="44.472140762463397"/>
    <n v="824.95821114369596"/>
    <n v="26.649350649350701"/>
    <n v="557.69728559288819"/>
  </r>
  <r>
    <n v="1909"/>
    <x v="1"/>
    <s v="Freshwater"/>
    <x v="1"/>
    <x v="1"/>
    <n v="826"/>
    <s v="Cascade River"/>
    <s v="Cascade River"/>
    <s v="Skagit"/>
    <x v="1"/>
    <s v="King"/>
    <s v="06King"/>
    <s v="South Puget Sound"/>
    <s v="02South Puget Sound"/>
    <n v="47.436950146627602"/>
    <n v="879.95542521994196"/>
    <n v="51.003246753246742"/>
    <n v="1067.3570491445739"/>
  </r>
  <r>
    <n v="1910"/>
    <x v="1"/>
    <s v="Freshwater"/>
    <x v="1"/>
    <x v="1"/>
    <n v="826"/>
    <s v="Cascade River"/>
    <s v="Cascade River"/>
    <s v="Skagit"/>
    <x v="1"/>
    <s v="Kitsap"/>
    <s v="10Kitsap"/>
    <s v="South Puget Sound"/>
    <s v="02South Puget Sound"/>
    <n v="8.8944281524926705"/>
    <n v="164.99164222873901"/>
    <n v="2.9610389610389598"/>
    <n v="61.966365065876325"/>
  </r>
  <r>
    <n v="1911"/>
    <x v="1"/>
    <s v="Freshwater"/>
    <x v="1"/>
    <x v="1"/>
    <n v="826"/>
    <s v="Cascade River"/>
    <s v="Cascade River"/>
    <s v="Skagit"/>
    <x v="1"/>
    <s v="Other"/>
    <s v="20Other"/>
    <s v="Non Puget Sound"/>
    <s v="07Non Puget Sound"/>
    <n v="14.8240469208211"/>
    <n v="274.986070381231"/>
    <n v="2.9610389610389598"/>
    <n v="61.966365065876325"/>
  </r>
  <r>
    <n v="1908"/>
    <x v="1"/>
    <s v="Freshwater"/>
    <x v="1"/>
    <x v="1"/>
    <n v="826"/>
    <s v="Cascade River"/>
    <s v="Cascade River"/>
    <s v="Skagit"/>
    <x v="1"/>
    <s v="San Juan"/>
    <s v="05San Juan"/>
    <s v="North Puget Sound"/>
    <s v="01North Puget Sound"/>
    <n v="11.859237536656901"/>
    <n v="219.988856304986"/>
    <n v="11.84740259740259"/>
    <n v="247.93340583923538"/>
  </r>
  <r>
    <n v="1905"/>
    <x v="1"/>
    <s v="Freshwater"/>
    <x v="1"/>
    <x v="1"/>
    <n v="826"/>
    <s v="Cascade River"/>
    <s v="Cascade River"/>
    <s v="Skagit"/>
    <x v="1"/>
    <s v="Skagit"/>
    <s v="02Skagit"/>
    <s v="North Puget Sound"/>
    <s v="01North Puget Sound"/>
    <n v="474.36950146627601"/>
    <n v="8799.5542521994194"/>
    <n v="272.90259740259785"/>
    <n v="5711.0974224201527"/>
  </r>
  <r>
    <n v="1906"/>
    <x v="1"/>
    <s v="Freshwater"/>
    <x v="1"/>
    <x v="1"/>
    <n v="826"/>
    <s v="Cascade River"/>
    <s v="Cascade River"/>
    <s v="Skagit"/>
    <x v="1"/>
    <s v="Snohomish"/>
    <s v="03Snohomish"/>
    <s v="North Puget Sound"/>
    <s v="01North Puget Sound"/>
    <n v="136.38123167155399"/>
    <n v="2529.8718475073301"/>
    <n v="110.3246753246753"/>
    <n v="2308.7906633097346"/>
  </r>
  <r>
    <n v="1904"/>
    <x v="1"/>
    <s v="Freshwater"/>
    <x v="1"/>
    <x v="1"/>
    <n v="826"/>
    <s v="Cascade River"/>
    <s v="Cascade River"/>
    <s v="Skagit"/>
    <x v="1"/>
    <s v="Whatcom"/>
    <s v="01Whatcom"/>
    <s v="North Puget Sound"/>
    <s v="01North Puget Sound"/>
    <n v="272.762463343109"/>
    <n v="5059.7436950146703"/>
    <n v="228.35064935064921"/>
    <n v="4778.7482322513297"/>
  </r>
  <r>
    <n v="1917"/>
    <x v="2"/>
    <s v="Freshwater"/>
    <x v="1"/>
    <x v="1"/>
    <n v="826"/>
    <s v="Cascade River"/>
    <s v="Cascade River"/>
    <s v="Skagit"/>
    <x v="1"/>
    <s v="Island"/>
    <s v="04Island"/>
    <s v="North Puget Sound"/>
    <s v="01North Puget Sound"/>
    <n v="9.0181818181818194"/>
    <n v="77.015272727272702"/>
    <n v="20.11577342047935"/>
    <n v="420.96756434387027"/>
  </r>
  <r>
    <n v="1959"/>
    <x v="2"/>
    <s v="Freshwater"/>
    <x v="1"/>
    <x v="1"/>
    <n v="826"/>
    <s v="Cascade River"/>
    <s v="Cascade River"/>
    <s v="Skagit"/>
    <x v="1"/>
    <s v="King"/>
    <s v="06King"/>
    <s v="South Puget Sound"/>
    <s v="02South Puget Sound"/>
    <n v="13.527272727272701"/>
    <n v="115.522909090909"/>
    <n v="11.238562091503269"/>
    <n v="235.19205607928069"/>
  </r>
  <r>
    <n v="1960"/>
    <x v="2"/>
    <s v="Freshwater"/>
    <x v="1"/>
    <x v="1"/>
    <n v="826"/>
    <s v="Cascade River"/>
    <s v="Cascade River"/>
    <s v="Skagit"/>
    <x v="1"/>
    <s v="Kitsap"/>
    <s v="10Kitsap"/>
    <s v="South Puget Sound"/>
    <s v="02South Puget Sound"/>
    <n v="13.527272727272701"/>
    <n v="115.522909090909"/>
    <n v="8.2919389978213491"/>
    <n v="173.52737529082913"/>
  </r>
  <r>
    <n v="1961"/>
    <x v="2"/>
    <s v="Freshwater"/>
    <x v="1"/>
    <x v="1"/>
    <n v="826"/>
    <s v="Cascade River"/>
    <s v="Cascade River"/>
    <s v="Skagit"/>
    <x v="1"/>
    <s v="Other"/>
    <s v="20Other"/>
    <s v="Non Puget Sound"/>
    <s v="07Non Puget Sound"/>
    <n v="11.2727272727273"/>
    <n v="96.269090909091105"/>
    <n v="21.268278867102399"/>
    <n v="445.0863193435668"/>
  </r>
  <r>
    <n v="1958"/>
    <x v="2"/>
    <s v="Freshwater"/>
    <x v="1"/>
    <x v="1"/>
    <n v="826"/>
    <s v="Cascade River"/>
    <s v="Cascade River"/>
    <s v="Skagit"/>
    <x v="1"/>
    <s v="San Juan"/>
    <s v="05San Juan"/>
    <s v="North Puget Sound"/>
    <s v="01North Puget Sound"/>
    <n v="4.5090909090909097"/>
    <n v="38.507636363636401"/>
    <n v="4.7407407407407396"/>
    <n v="99.21060657720551"/>
  </r>
  <r>
    <n v="1915"/>
    <x v="2"/>
    <s v="Freshwater"/>
    <x v="1"/>
    <x v="1"/>
    <n v="826"/>
    <s v="Cascade River"/>
    <s v="Cascade River"/>
    <s v="Skagit"/>
    <x v="1"/>
    <s v="Skagit"/>
    <s v="02Skagit"/>
    <s v="North Puget Sound"/>
    <s v="01North Puget Sound"/>
    <n v="193.89090909090899"/>
    <n v="1655.8283636363601"/>
    <n v="320.46252723311505"/>
    <n v="6706.395361137992"/>
  </r>
  <r>
    <n v="1916"/>
    <x v="2"/>
    <s v="Freshwater"/>
    <x v="1"/>
    <x v="1"/>
    <n v="826"/>
    <s v="Cascade River"/>
    <s v="Cascade River"/>
    <s v="Skagit"/>
    <x v="1"/>
    <s v="Snohomish"/>
    <s v="03Snohomish"/>
    <s v="North Puget Sound"/>
    <s v="01North Puget Sound"/>
    <n v="76.654545454545499"/>
    <n v="654.629818181818"/>
    <n v="96.506535947712479"/>
    <n v="2019.6151811797738"/>
  </r>
  <r>
    <n v="1912"/>
    <x v="2"/>
    <s v="Freshwater"/>
    <x v="1"/>
    <x v="1"/>
    <n v="826"/>
    <s v="Cascade River"/>
    <s v="Cascade River"/>
    <s v="Skagit"/>
    <x v="1"/>
    <s v="Whatcom"/>
    <s v="01Whatcom"/>
    <s v="North Puget Sound"/>
    <s v="01North Puget Sound"/>
    <n v="49.6"/>
    <n v="423.584"/>
    <n v="100.37564270152508"/>
    <n v="2100.5848964521033"/>
  </r>
  <r>
    <n v="1993"/>
    <x v="3"/>
    <s v="Freshwater"/>
    <x v="1"/>
    <x v="1"/>
    <n v="826"/>
    <s v="Cascade River"/>
    <s v="Cascade River"/>
    <s v="Skagit"/>
    <x v="1"/>
    <s v="Island"/>
    <s v="04Island"/>
    <s v="North Puget Sound"/>
    <s v="01North Puget Sound"/>
    <n v="6.0338983050847501"/>
    <n v="111.92881355932199"/>
    <n v="13.303267973856212"/>
    <n v="278.40064608535505"/>
  </r>
  <r>
    <n v="1994"/>
    <x v="3"/>
    <s v="Freshwater"/>
    <x v="1"/>
    <x v="1"/>
    <n v="826"/>
    <s v="Cascade River"/>
    <s v="Cascade River"/>
    <s v="Skagit"/>
    <x v="1"/>
    <s v="King"/>
    <s v="06King"/>
    <s v="South Puget Sound"/>
    <s v="02South Puget Sound"/>
    <n v="6.0338983050847501"/>
    <n v="111.92881355932199"/>
    <n v="7.8392156862745104"/>
    <n v="164.05312710758318"/>
  </r>
  <r>
    <n v="1995"/>
    <x v="3"/>
    <s v="Freshwater"/>
    <x v="1"/>
    <x v="1"/>
    <n v="826"/>
    <s v="Cascade River"/>
    <s v="Cascade River"/>
    <s v="Skagit"/>
    <x v="1"/>
    <s v="Pierce"/>
    <s v="07Pierce"/>
    <s v="South Puget Sound"/>
    <s v="02South Puget Sound"/>
    <n v="3.0169491525423702"/>
    <n v="55.964406779660997"/>
    <n v="3.1111111111111098"/>
    <n v="65.106960566291107"/>
  </r>
  <r>
    <n v="1963"/>
    <x v="3"/>
    <s v="Freshwater"/>
    <x v="1"/>
    <x v="1"/>
    <n v="826"/>
    <s v="Cascade River"/>
    <s v="Cascade River"/>
    <s v="Skagit"/>
    <x v="1"/>
    <s v="Skagit"/>
    <s v="02Skagit"/>
    <s v="North Puget Sound"/>
    <s v="01North Puget Sound"/>
    <n v="81.457627118644098"/>
    <n v="1511.03898305085"/>
    <n v="173.2426556587547"/>
    <n v="3625.4901697631021"/>
  </r>
  <r>
    <n v="1992"/>
    <x v="3"/>
    <s v="Freshwater"/>
    <x v="1"/>
    <x v="1"/>
    <n v="826"/>
    <s v="Cascade River"/>
    <s v="Cascade River"/>
    <s v="Skagit"/>
    <x v="1"/>
    <s v="Snohomish"/>
    <s v="03Snohomish"/>
    <s v="North Puget Sound"/>
    <s v="01North Puget Sound"/>
    <n v="27.152542372881399"/>
    <n v="503.67966101694998"/>
    <n v="32.806535947712433"/>
    <n v="686.55016358496187"/>
  </r>
  <r>
    <n v="1962"/>
    <x v="3"/>
    <s v="Freshwater"/>
    <x v="1"/>
    <x v="1"/>
    <n v="826"/>
    <s v="Cascade River"/>
    <s v="Cascade River"/>
    <s v="Skagit"/>
    <x v="1"/>
    <s v="Whatcom"/>
    <s v="01Whatcom"/>
    <s v="North Puget Sound"/>
    <s v="01North Puget Sound"/>
    <n v="54.305084745762699"/>
    <n v="1007.3593220339"/>
    <n v="51.564086687306514"/>
    <n v="1079.0938795459124"/>
  </r>
  <r>
    <n v="2053"/>
    <x v="4"/>
    <s v="Freshwater"/>
    <x v="1"/>
    <x v="1"/>
    <n v="826"/>
    <s v="Cascade River"/>
    <s v="Cascade River"/>
    <s v="Skagit"/>
    <x v="1"/>
    <s v="Island"/>
    <s v="04Island"/>
    <s v="North Puget Sound"/>
    <s v="01North Puget Sound"/>
    <n v="3.2035398230088501"/>
    <n v="27.358230088495599"/>
    <n v="3.32"/>
    <n v="69.478427918599252"/>
  </r>
  <r>
    <n v="2055"/>
    <x v="4"/>
    <s v="Freshwater"/>
    <x v="1"/>
    <x v="1"/>
    <n v="826"/>
    <s v="Cascade River"/>
    <s v="Cascade River"/>
    <s v="Skagit"/>
    <x v="1"/>
    <s v="King"/>
    <s v="06King"/>
    <s v="South Puget Sound"/>
    <s v="02South Puget Sound"/>
    <n v="12.8141592920354"/>
    <n v="109.432920353982"/>
    <n v="13.40444444444444"/>
    <n v="280.5179900970486"/>
  </r>
  <r>
    <n v="2054"/>
    <x v="4"/>
    <s v="Freshwater"/>
    <x v="1"/>
    <x v="1"/>
    <n v="826"/>
    <s v="Cascade River"/>
    <s v="Cascade River"/>
    <s v="Skagit"/>
    <x v="1"/>
    <s v="San Juan"/>
    <s v="05San Juan"/>
    <s v="North Puget Sound"/>
    <s v="01North Puget Sound"/>
    <n v="12.8141592920354"/>
    <n v="109.432920353982"/>
    <n v="13.28"/>
    <n v="277.91371167439701"/>
  </r>
  <r>
    <n v="1998"/>
    <x v="4"/>
    <s v="Freshwater"/>
    <x v="1"/>
    <x v="1"/>
    <n v="826"/>
    <s v="Cascade River"/>
    <s v="Cascade River"/>
    <s v="Skagit"/>
    <x v="1"/>
    <s v="Skagit"/>
    <s v="02Skagit"/>
    <s v="North Puget Sound"/>
    <s v="01North Puget Sound"/>
    <n v="198.61946902654901"/>
    <n v="1696.2102654867299"/>
    <n v="89.733333333333306"/>
    <n v="1877.8707626191681"/>
  </r>
  <r>
    <n v="2052"/>
    <x v="4"/>
    <s v="Freshwater"/>
    <x v="1"/>
    <x v="1"/>
    <n v="826"/>
    <s v="Cascade River"/>
    <s v="Cascade River"/>
    <s v="Skagit"/>
    <x v="1"/>
    <s v="Snohomish"/>
    <s v="03Snohomish"/>
    <s v="North Puget Sound"/>
    <s v="01North Puget Sound"/>
    <n v="38.442477876106203"/>
    <n v="328.298761061947"/>
    <n v="36.284444444444439"/>
    <n v="759.33318009028676"/>
  </r>
  <r>
    <n v="1997"/>
    <x v="4"/>
    <s v="Freshwater"/>
    <x v="1"/>
    <x v="1"/>
    <n v="826"/>
    <s v="Cascade River"/>
    <s v="Cascade River"/>
    <s v="Skagit"/>
    <x v="1"/>
    <s v="Whatcom"/>
    <s v="01Whatcom"/>
    <s v="North Puget Sound"/>
    <s v="01North Puget Sound"/>
    <n v="96.106194690265497"/>
    <n v="820.74690265486697"/>
    <n v="79.977777777777789"/>
    <n v="1673.7139362720129"/>
  </r>
  <r>
    <n v="2093"/>
    <x v="5"/>
    <s v="Freshwater"/>
    <x v="1"/>
    <x v="1"/>
    <n v="826"/>
    <s v="Cascade River"/>
    <s v="Cascade River"/>
    <s v="Skagit"/>
    <x v="1"/>
    <s v="King"/>
    <s v="06King"/>
    <s v="South Puget Sound"/>
    <s v="02South Puget Sound"/>
    <n v="9.3333333333333304"/>
    <n v="173.13333333333301"/>
    <n v="6.9858156028368796"/>
    <n v="146.19382102841209"/>
  </r>
  <r>
    <n v="2094"/>
    <x v="5"/>
    <s v="Freshwater"/>
    <x v="1"/>
    <x v="1"/>
    <n v="826"/>
    <s v="Cascade River"/>
    <s v="Cascade River"/>
    <s v="Skagit"/>
    <x v="1"/>
    <s v="Kitsap"/>
    <s v="10Kitsap"/>
    <s v="South Puget Sound"/>
    <s v="02South Puget Sound"/>
    <n v="9.3333333333333304"/>
    <n v="173.13333333333301"/>
    <n v="3.3333333333333299"/>
    <n v="69.757457749597577"/>
  </r>
  <r>
    <n v="2092"/>
    <x v="5"/>
    <s v="Freshwater"/>
    <x v="1"/>
    <x v="1"/>
    <n v="826"/>
    <s v="Cascade River"/>
    <s v="Cascade River"/>
    <s v="Skagit"/>
    <x v="1"/>
    <s v="San Juan"/>
    <s v="05San Juan"/>
    <s v="North Puget Sound"/>
    <s v="01North Puget Sound"/>
    <n v="9.3333333333333304"/>
    <n v="173.13333333333301"/>
    <n v="6.8"/>
    <n v="142.30521380917918"/>
  </r>
  <r>
    <n v="2056"/>
    <x v="5"/>
    <s v="Freshwater"/>
    <x v="1"/>
    <x v="1"/>
    <n v="826"/>
    <s v="Cascade River"/>
    <s v="Cascade River"/>
    <s v="Skagit"/>
    <x v="1"/>
    <s v="Skagit"/>
    <s v="02Skagit"/>
    <s v="North Puget Sound"/>
    <s v="01North Puget Sound"/>
    <n v="74.6666666666667"/>
    <n v="1385.06666666667"/>
    <n v="170.68936170212805"/>
    <n v="3572.0567811725964"/>
  </r>
  <r>
    <n v="2058"/>
    <x v="5"/>
    <s v="Freshwater"/>
    <x v="1"/>
    <x v="1"/>
    <n v="826"/>
    <s v="Cascade River"/>
    <s v="Cascade River"/>
    <s v="Skagit"/>
    <x v="1"/>
    <s v="Snohomish"/>
    <s v="03Snohomish"/>
    <s v="North Puget Sound"/>
    <s v="01North Puget Sound"/>
    <n v="9.3333333333333304"/>
    <n v="173.13333333333301"/>
    <n v="9.9858156028368796"/>
    <n v="208.97553300304997"/>
  </r>
  <r>
    <n v="2095"/>
    <x v="6"/>
    <s v="Freshwater"/>
    <x v="1"/>
    <x v="1"/>
    <n v="826"/>
    <s v="Cascade River"/>
    <s v="Cascade River"/>
    <s v="Skagit"/>
    <x v="1"/>
    <s v="Snohomish"/>
    <s v="03Snohomish"/>
    <s v="North Puget Sound"/>
    <s v="01North Puget Sound"/>
    <n v="5"/>
    <n v="42.7"/>
    <n v="5"/>
    <n v="104.63618662439646"/>
  </r>
  <r>
    <n v="2096"/>
    <x v="7"/>
    <s v="Freshwater"/>
    <x v="1"/>
    <x v="1"/>
    <n v="826"/>
    <s v="Cascade River"/>
    <s v="Cascade River"/>
    <s v="Skagit"/>
    <x v="1"/>
    <s v="Pierce"/>
    <s v="07Pierce"/>
    <s v="South Puget Sound"/>
    <s v="02South Puget Sound"/>
    <n v="10"/>
    <n v="185.5"/>
    <n v="0"/>
    <n v="0"/>
  </r>
  <r>
    <n v="2097"/>
    <x v="8"/>
    <s v="Freshwater"/>
    <x v="1"/>
    <x v="1"/>
    <n v="826"/>
    <s v="Cascade River"/>
    <s v="Cascade River"/>
    <s v="Skagit"/>
    <x v="1"/>
    <s v="King"/>
    <s v="06King"/>
    <s v="South Puget Sound"/>
    <s v="02South Puget Sound"/>
    <n v="14"/>
    <n v="119.56"/>
    <n v="7"/>
    <n v="146.49066127415506"/>
  </r>
  <r>
    <n v="2099"/>
    <x v="9"/>
    <s v="Freshwater"/>
    <x v="1"/>
    <x v="1"/>
    <n v="826"/>
    <s v="Cascade River"/>
    <s v="Cascade River"/>
    <s v="Skagit"/>
    <x v="1"/>
    <s v="Skagit"/>
    <s v="02Skagit"/>
    <s v="North Puget Sound"/>
    <s v="01North Puget Sound"/>
    <n v="8.6666666666666696"/>
    <n v="160.76666666666699"/>
    <n v="4"/>
    <n v="83.708949299517172"/>
  </r>
  <r>
    <n v="2098"/>
    <x v="9"/>
    <s v="Freshwater"/>
    <x v="1"/>
    <x v="1"/>
    <n v="826"/>
    <s v="Cascade River"/>
    <s v="Cascade River"/>
    <s v="Skagit"/>
    <x v="1"/>
    <s v="Whatcom"/>
    <s v="01Whatcom"/>
    <s v="North Puget Sound"/>
    <s v="01North Puget Sound"/>
    <n v="17.3333333333333"/>
    <n v="321.53333333333302"/>
    <n v="9"/>
    <n v="188.34513592391363"/>
  </r>
  <r>
    <n v="2130"/>
    <x v="10"/>
    <s v="Freshwater"/>
    <x v="1"/>
    <x v="1"/>
    <n v="826"/>
    <s v="Cascade River"/>
    <s v="Cascade River"/>
    <s v="Skagit"/>
    <x v="1"/>
    <s v="King"/>
    <s v="06King"/>
    <s v="South Puget Sound"/>
    <s v="02South Puget Sound"/>
    <n v="12"/>
    <n v="102.48"/>
    <n v="6"/>
    <n v="125.56342394927576"/>
  </r>
  <r>
    <n v="2132"/>
    <x v="0"/>
    <s v="Freshwater"/>
    <x v="1"/>
    <x v="1"/>
    <n v="828"/>
    <s v="Sauk River"/>
    <s v="Sauk River"/>
    <s v="Skagit/Snohomish"/>
    <x v="2"/>
    <s v="Other"/>
    <s v="20Other"/>
    <s v="Non Puget Sound"/>
    <s v="07Non Puget Sound"/>
    <n v="3.6666666666666701"/>
    <n v="31.3133333333334"/>
    <n v="3"/>
    <n v="62.781711974637879"/>
  </r>
  <r>
    <n v="2131"/>
    <x v="0"/>
    <s v="Freshwater"/>
    <x v="1"/>
    <x v="1"/>
    <n v="828"/>
    <s v="Sauk River"/>
    <s v="Sauk River"/>
    <s v="Skagit/Snohomish"/>
    <x v="2"/>
    <s v="Snohomish"/>
    <s v="03Snohomish"/>
    <s v="North Puget Sound"/>
    <s v="01North Puget Sound"/>
    <n v="7.3333333333333401"/>
    <n v="62.626666666666701"/>
    <n v="8"/>
    <n v="167.41789859903434"/>
  </r>
  <r>
    <n v="2134"/>
    <x v="4"/>
    <s v="Freshwater"/>
    <x v="1"/>
    <x v="1"/>
    <n v="828"/>
    <s v="Sauk River"/>
    <s v="Sauk River"/>
    <s v="Skagit/Snohomish"/>
    <x v="2"/>
    <s v="King"/>
    <s v="06King"/>
    <s v="South Puget Sound"/>
    <s v="02South Puget Sound"/>
    <n v="2"/>
    <n v="17.079999999999998"/>
    <n v="2"/>
    <n v="41.854474649758586"/>
  </r>
  <r>
    <n v="2136"/>
    <x v="6"/>
    <s v="Freshwater"/>
    <x v="1"/>
    <x v="1"/>
    <n v="828"/>
    <s v="Sauk River"/>
    <s v="Sauk River"/>
    <s v="Skagit/Snohomish"/>
    <x v="2"/>
    <s v="King"/>
    <s v="06King"/>
    <s v="South Puget Sound"/>
    <s v="02South Puget Sound"/>
    <n v="5"/>
    <n v="42.7"/>
    <n v="5"/>
    <n v="104.63618662439646"/>
  </r>
  <r>
    <n v="2135"/>
    <x v="6"/>
    <s v="Freshwater"/>
    <x v="1"/>
    <x v="1"/>
    <n v="828"/>
    <s v="Sauk River"/>
    <s v="Sauk River"/>
    <s v="Skagit/Snohomish"/>
    <x v="2"/>
    <s v="Snohomish"/>
    <s v="03Snohomish"/>
    <s v="North Puget Sound"/>
    <s v="01North Puget Sound"/>
    <n v="5"/>
    <n v="42.7"/>
    <n v="5"/>
    <n v="104.63618662439646"/>
  </r>
  <r>
    <n v="2139"/>
    <x v="8"/>
    <s v="Freshwater"/>
    <x v="1"/>
    <x v="1"/>
    <n v="828"/>
    <s v="Sauk River"/>
    <s v="Sauk River"/>
    <s v="Skagit/Snohomish"/>
    <x v="2"/>
    <s v="Skagit"/>
    <s v="02Skagit"/>
    <s v="North Puget Sound"/>
    <s v="01North Puget Sound"/>
    <n v="0"/>
    <n v="0"/>
    <n v="0"/>
    <n v="0"/>
  </r>
  <r>
    <n v="2193"/>
    <x v="8"/>
    <s v="Freshwater"/>
    <x v="1"/>
    <x v="1"/>
    <n v="828"/>
    <s v="Sauk River"/>
    <s v="Sauk River"/>
    <s v="Skagit/Snohomish"/>
    <x v="2"/>
    <s v="Snohomish"/>
    <s v="03Snohomish"/>
    <s v="North Puget Sound"/>
    <s v="01North Puget Sound"/>
    <n v="8"/>
    <n v="68.319999999999993"/>
    <n v="0"/>
    <n v="0"/>
  </r>
  <r>
    <n v="2138"/>
    <x v="8"/>
    <s v="Freshwater"/>
    <x v="1"/>
    <x v="1"/>
    <n v="828"/>
    <s v="Sauk River"/>
    <s v="Sauk River"/>
    <s v="Skagit/Snohomish"/>
    <x v="2"/>
    <s v="Whatcom"/>
    <s v="01Whatcom"/>
    <s v="North Puget Sound"/>
    <s v="01North Puget Sound"/>
    <n v="24"/>
    <n v="204.96"/>
    <n v="9"/>
    <n v="188.34513592391363"/>
  </r>
  <r>
    <n v="3021"/>
    <x v="0"/>
    <s v="Freshwater"/>
    <x v="1"/>
    <x v="1"/>
    <n v="830"/>
    <s v="Skagit River"/>
    <s v="Skagit River"/>
    <s v="Skagit/Whatcom"/>
    <x v="2"/>
    <s v="King"/>
    <s v="06King"/>
    <s v="South Puget Sound"/>
    <s v="02South Puget Sound"/>
    <n v="7.90243902439025"/>
    <n v="67.486829268292695"/>
    <n v="5.5714285714285703"/>
    <n v="116.5946079528989"/>
  </r>
  <r>
    <n v="3057"/>
    <x v="0"/>
    <s v="Freshwater"/>
    <x v="1"/>
    <x v="1"/>
    <n v="830"/>
    <s v="Skagit River"/>
    <s v="Skagit River"/>
    <s v="Skagit/Whatcom"/>
    <x v="2"/>
    <s v="Other"/>
    <s v="20Other"/>
    <s v="Non Puget Sound"/>
    <s v="07Non Puget Sound"/>
    <n v="13.170731707317101"/>
    <n v="112.478048780488"/>
    <n v="11.821428571428569"/>
    <n v="247.38984123339446"/>
  </r>
  <r>
    <n v="2939"/>
    <x v="0"/>
    <s v="Freshwater"/>
    <x v="1"/>
    <x v="1"/>
    <n v="830"/>
    <s v="Skagit River"/>
    <s v="Skagit River"/>
    <s v="Skagit/Whatcom"/>
    <x v="2"/>
    <s v="Skagit"/>
    <s v="02Skagit"/>
    <s v="North Puget Sound"/>
    <s v="01North Puget Sound"/>
    <n v="63.219512195122"/>
    <n v="539.89463414634201"/>
    <n v="61.04761904761903"/>
    <n v="1277.558011928345"/>
  </r>
  <r>
    <n v="2940"/>
    <x v="0"/>
    <s v="Freshwater"/>
    <x v="1"/>
    <x v="1"/>
    <n v="830"/>
    <s v="Skagit River"/>
    <s v="Skagit River"/>
    <s v="Skagit/Whatcom"/>
    <x v="2"/>
    <s v="Snohomish"/>
    <s v="03Snohomish"/>
    <s v="North Puget Sound"/>
    <s v="01North Puget Sound"/>
    <n v="18.439024390243901"/>
    <n v="157.46926829268301"/>
    <n v="14.559523809523769"/>
    <n v="304.69061009913457"/>
  </r>
  <r>
    <n v="2938"/>
    <x v="0"/>
    <s v="Freshwater"/>
    <x v="1"/>
    <x v="1"/>
    <n v="830"/>
    <s v="Skagit River"/>
    <s v="Skagit River"/>
    <s v="Skagit/Whatcom"/>
    <x v="2"/>
    <s v="Whatcom"/>
    <s v="01Whatcom"/>
    <s v="North Puget Sound"/>
    <s v="01North Puget Sound"/>
    <n v="5.2682926829268304"/>
    <n v="44.991219512195102"/>
    <n v="3"/>
    <n v="62.781711974637879"/>
  </r>
  <r>
    <n v="3171"/>
    <x v="1"/>
    <s v="Freshwater"/>
    <x v="1"/>
    <x v="1"/>
    <n v="830"/>
    <s v="Skagit River"/>
    <s v="Skagit River"/>
    <s v="Skagit/Whatcom"/>
    <x v="2"/>
    <s v="King"/>
    <s v="06King"/>
    <s v="South Puget Sound"/>
    <s v="02South Puget Sound"/>
    <n v="9.3934426229508201"/>
    <n v="174.248360655738"/>
    <n v="6.0769230769230802"/>
    <n v="127.173211435805"/>
  </r>
  <r>
    <n v="3173"/>
    <x v="1"/>
    <s v="Freshwater"/>
    <x v="1"/>
    <x v="1"/>
    <n v="830"/>
    <s v="Skagit River"/>
    <s v="Skagit River"/>
    <s v="Skagit/Whatcom"/>
    <x v="2"/>
    <s v="Other"/>
    <s v="20Other"/>
    <s v="Non Puget Sound"/>
    <s v="07Non Puget Sound"/>
    <n v="12.5245901639344"/>
    <n v="232.33114754098301"/>
    <n v="9.7252747252747298"/>
    <n v="203.52313222547454"/>
  </r>
  <r>
    <n v="3172"/>
    <x v="1"/>
    <s v="Freshwater"/>
    <x v="1"/>
    <x v="1"/>
    <n v="830"/>
    <s v="Skagit River"/>
    <s v="Skagit River"/>
    <s v="Skagit/Whatcom"/>
    <x v="2"/>
    <s v="Pierce"/>
    <s v="07Pierce"/>
    <s v="South Puget Sound"/>
    <s v="02South Puget Sound"/>
    <n v="6.2622950819672196"/>
    <n v="116.165573770492"/>
    <n v="3.0769230769230802"/>
    <n v="64.391499461167129"/>
  </r>
  <r>
    <n v="3059"/>
    <x v="1"/>
    <s v="Freshwater"/>
    <x v="1"/>
    <x v="1"/>
    <n v="830"/>
    <s v="Skagit River"/>
    <s v="Skagit River"/>
    <s v="Skagit/Whatcom"/>
    <x v="2"/>
    <s v="Skagit"/>
    <s v="02Skagit"/>
    <s v="North Puget Sound"/>
    <s v="01North Puget Sound"/>
    <n v="128.37704918032799"/>
    <n v="2381.3942622950799"/>
    <n v="93.582417582417605"/>
    <n v="1958.42146218321"/>
  </r>
  <r>
    <n v="3142"/>
    <x v="1"/>
    <s v="Freshwater"/>
    <x v="1"/>
    <x v="1"/>
    <n v="830"/>
    <s v="Skagit River"/>
    <s v="Skagit River"/>
    <s v="Skagit/Whatcom"/>
    <x v="2"/>
    <s v="Snohomish"/>
    <s v="03Snohomish"/>
    <s v="North Puget Sound"/>
    <s v="01North Puget Sound"/>
    <n v="21.918032786885199"/>
    <n v="406.57950819671998"/>
    <n v="15.23076923076923"/>
    <n v="318.73792233277692"/>
  </r>
  <r>
    <n v="3058"/>
    <x v="1"/>
    <s v="Freshwater"/>
    <x v="1"/>
    <x v="1"/>
    <n v="830"/>
    <s v="Skagit River"/>
    <s v="Skagit River"/>
    <s v="Skagit/Whatcom"/>
    <x v="2"/>
    <s v="Whatcom"/>
    <s v="01Whatcom"/>
    <s v="North Puget Sound"/>
    <s v="01North Puget Sound"/>
    <n v="12.5245901639344"/>
    <n v="232.33114754098301"/>
    <n v="15.307692307692299"/>
    <n v="320.34770981930592"/>
  </r>
  <r>
    <n v="3346"/>
    <x v="2"/>
    <s v="Freshwater"/>
    <x v="1"/>
    <x v="1"/>
    <n v="830"/>
    <s v="Skagit River"/>
    <s v="Skagit River"/>
    <s v="Skagit/Whatcom"/>
    <x v="2"/>
    <s v="Island"/>
    <s v="04Island"/>
    <s v="North Puget Sound"/>
    <s v="01North Puget Sound"/>
    <n v="2.0476190476190501"/>
    <n v="17.4866666666667"/>
    <n v="1.1818181818181801"/>
    <n v="24.732189565766401"/>
  </r>
  <r>
    <n v="3374"/>
    <x v="2"/>
    <s v="Freshwater"/>
    <x v="1"/>
    <x v="1"/>
    <n v="830"/>
    <s v="Skagit River"/>
    <s v="Skagit River"/>
    <s v="Skagit/Whatcom"/>
    <x v="2"/>
    <s v="King"/>
    <s v="06King"/>
    <s v="South Puget Sound"/>
    <s v="02South Puget Sound"/>
    <n v="10.2380952380952"/>
    <n v="87.433333333332996"/>
    <n v="17.918128654970758"/>
    <n v="374.97693078029323"/>
  </r>
  <r>
    <n v="3376"/>
    <x v="2"/>
    <s v="Freshwater"/>
    <x v="1"/>
    <x v="1"/>
    <n v="830"/>
    <s v="Skagit River"/>
    <s v="Skagit River"/>
    <s v="Skagit/Whatcom"/>
    <x v="2"/>
    <s v="Other"/>
    <s v="20Other"/>
    <s v="Non Puget Sound"/>
    <s v="07Non Puget Sound"/>
    <n v="2.0476190476190501"/>
    <n v="17.4866666666667"/>
    <n v="4.2373737373737397"/>
    <n v="88.676525836230994"/>
  </r>
  <r>
    <n v="3375"/>
    <x v="2"/>
    <s v="Freshwater"/>
    <x v="1"/>
    <x v="1"/>
    <n v="830"/>
    <s v="Skagit River"/>
    <s v="Skagit River"/>
    <s v="Skagit/Whatcom"/>
    <x v="2"/>
    <s v="Pierce"/>
    <s v="07Pierce"/>
    <s v="South Puget Sound"/>
    <s v="02South Puget Sound"/>
    <n v="2.0476190476190501"/>
    <n v="17.4866666666667"/>
    <n v="5.4239766081871394"/>
    <n v="113.50884572412609"/>
  </r>
  <r>
    <n v="3281"/>
    <x v="2"/>
    <s v="Freshwater"/>
    <x v="1"/>
    <x v="1"/>
    <n v="830"/>
    <s v="Skagit River"/>
    <s v="Skagit River"/>
    <s v="Skagit/Whatcom"/>
    <x v="2"/>
    <s v="Skagit"/>
    <s v="02Skagit"/>
    <s v="North Puget Sound"/>
    <s v="01North Puget Sound"/>
    <n v="100.333333333333"/>
    <n v="856.84666666666396"/>
    <n v="85.820042530568884"/>
    <n v="1795.9763972684495"/>
  </r>
  <r>
    <n v="3345"/>
    <x v="2"/>
    <s v="Freshwater"/>
    <x v="1"/>
    <x v="1"/>
    <n v="830"/>
    <s v="Skagit River"/>
    <s v="Skagit River"/>
    <s v="Skagit/Whatcom"/>
    <x v="2"/>
    <s v="Snohomish"/>
    <s v="03Snohomish"/>
    <s v="North Puget Sound"/>
    <s v="01North Puget Sound"/>
    <n v="8.1904761904761898"/>
    <n v="69.946666666666701"/>
    <n v="16.050239234449759"/>
    <n v="335.88716558041904"/>
  </r>
  <r>
    <n v="3280"/>
    <x v="2"/>
    <s v="Freshwater"/>
    <x v="1"/>
    <x v="1"/>
    <n v="830"/>
    <s v="Skagit River"/>
    <s v="Skagit River"/>
    <s v="Skagit/Whatcom"/>
    <x v="2"/>
    <s v="Whatcom"/>
    <s v="01Whatcom"/>
    <s v="North Puget Sound"/>
    <s v="01North Puget Sound"/>
    <n v="4.0952380952381002"/>
    <n v="34.9733333333334"/>
    <n v="2.3684210526315801"/>
    <n v="49.564509453661508"/>
  </r>
  <r>
    <n v="3445"/>
    <x v="3"/>
    <s v="Freshwater"/>
    <x v="1"/>
    <x v="1"/>
    <n v="830"/>
    <s v="Skagit River"/>
    <s v="Skagit River"/>
    <s v="Skagit/Whatcom"/>
    <x v="2"/>
    <s v="King"/>
    <s v="06King"/>
    <s v="South Puget Sound"/>
    <s v="02South Puget Sound"/>
    <n v="2.8275862068965498"/>
    <n v="52.451724137931002"/>
    <n v="3.06666666666667"/>
    <n v="64.176861129629899"/>
  </r>
  <r>
    <n v="3460"/>
    <x v="3"/>
    <s v="Freshwater"/>
    <x v="1"/>
    <x v="1"/>
    <n v="830"/>
    <s v="Skagit River"/>
    <s v="Skagit River"/>
    <s v="Skagit/Whatcom"/>
    <x v="2"/>
    <s v="Other"/>
    <s v="20Other"/>
    <s v="Non Puget Sound"/>
    <s v="07Non Puget Sound"/>
    <n v="5.6551724137930997"/>
    <n v="104.903448275862"/>
    <n v="6.1333333333333302"/>
    <n v="128.3537222592596"/>
  </r>
  <r>
    <n v="3377"/>
    <x v="3"/>
    <s v="Freshwater"/>
    <x v="1"/>
    <x v="1"/>
    <n v="830"/>
    <s v="Skagit River"/>
    <s v="Skagit River"/>
    <s v="Skagit/Whatcom"/>
    <x v="2"/>
    <s v="Skagit"/>
    <s v="02Skagit"/>
    <s v="North Puget Sound"/>
    <s v="01North Puget Sound"/>
    <n v="65.034482758620697"/>
    <n v="1206.3896551724099"/>
    <n v="85.3333333333334"/>
    <n v="1785.7909183897011"/>
  </r>
  <r>
    <n v="3444"/>
    <x v="3"/>
    <s v="Freshwater"/>
    <x v="1"/>
    <x v="1"/>
    <n v="830"/>
    <s v="Skagit River"/>
    <s v="Skagit River"/>
    <s v="Skagit/Whatcom"/>
    <x v="2"/>
    <s v="Snohomish"/>
    <s v="03Snohomish"/>
    <s v="North Puget Sound"/>
    <s v="01North Puget Sound"/>
    <n v="8.4827586206896601"/>
    <n v="157.35517241379301"/>
    <n v="12.133333333333329"/>
    <n v="253.91714620853534"/>
  </r>
  <r>
    <n v="3554"/>
    <x v="4"/>
    <s v="Freshwater"/>
    <x v="1"/>
    <x v="1"/>
    <n v="830"/>
    <s v="Skagit River"/>
    <s v="Skagit River"/>
    <s v="Skagit/Whatcom"/>
    <x v="2"/>
    <s v="Island"/>
    <s v="04Island"/>
    <s v="North Puget Sound"/>
    <s v="01North Puget Sound"/>
    <n v="2.4666666666666699"/>
    <n v="21.065333333333399"/>
    <n v="0"/>
    <n v="0"/>
  </r>
  <r>
    <n v="3603"/>
    <x v="4"/>
    <s v="Freshwater"/>
    <x v="1"/>
    <x v="1"/>
    <n v="830"/>
    <s v="Skagit River"/>
    <s v="Skagit River"/>
    <s v="Skagit/Whatcom"/>
    <x v="2"/>
    <s v="King"/>
    <s v="06King"/>
    <s v="South Puget Sound"/>
    <s v="02South Puget Sound"/>
    <n v="4.93333333333333"/>
    <n v="42.130666666666599"/>
    <n v="1"/>
    <n v="20.927237324879293"/>
  </r>
  <r>
    <n v="3604"/>
    <x v="4"/>
    <s v="Freshwater"/>
    <x v="1"/>
    <x v="1"/>
    <n v="830"/>
    <s v="Skagit River"/>
    <s v="Skagit River"/>
    <s v="Skagit/Whatcom"/>
    <x v="2"/>
    <s v="Mason"/>
    <s v="09Mason"/>
    <s v="South Puget Sound"/>
    <s v="02South Puget Sound"/>
    <n v="4.93333333333333"/>
    <n v="42.130666666666599"/>
    <n v="2"/>
    <n v="41.854474649758586"/>
  </r>
  <r>
    <n v="3605"/>
    <x v="4"/>
    <s v="Freshwater"/>
    <x v="1"/>
    <x v="1"/>
    <n v="830"/>
    <s v="Skagit River"/>
    <s v="Skagit River"/>
    <s v="Skagit/Whatcom"/>
    <x v="2"/>
    <s v="Other"/>
    <s v="20Other"/>
    <s v="Non Puget Sound"/>
    <s v="07Non Puget Sound"/>
    <n v="2.4666666666666699"/>
    <n v="21.065333333333399"/>
    <n v="3.25"/>
    <n v="68.013521305857708"/>
  </r>
  <r>
    <n v="3553"/>
    <x v="4"/>
    <s v="Freshwater"/>
    <x v="1"/>
    <x v="1"/>
    <n v="830"/>
    <s v="Skagit River"/>
    <s v="Skagit River"/>
    <s v="Skagit/Whatcom"/>
    <x v="2"/>
    <s v="Skagit"/>
    <s v="02Skagit"/>
    <s v="North Puget Sound"/>
    <s v="01North Puget Sound"/>
    <n v="17.266666666666701"/>
    <n v="147.45733333333399"/>
    <n v="34.75"/>
    <n v="727.2214970395554"/>
  </r>
  <r>
    <n v="3552"/>
    <x v="4"/>
    <s v="Freshwater"/>
    <x v="1"/>
    <x v="1"/>
    <n v="830"/>
    <s v="Skagit River"/>
    <s v="Skagit River"/>
    <s v="Skagit/Whatcom"/>
    <x v="2"/>
    <s v="Whatcom"/>
    <s v="01Whatcom"/>
    <s v="North Puget Sound"/>
    <s v="01North Puget Sound"/>
    <n v="4.93333333333333"/>
    <n v="42.130666666666599"/>
    <n v="4"/>
    <n v="83.708949299517172"/>
  </r>
  <r>
    <n v="3606"/>
    <x v="5"/>
    <s v="Freshwater"/>
    <x v="1"/>
    <x v="1"/>
    <n v="830"/>
    <s v="Skagit River"/>
    <s v="Skagit River"/>
    <s v="Skagit/Whatcom"/>
    <x v="2"/>
    <s v="Snohomish"/>
    <s v="03Snohomish"/>
    <s v="North Puget Sound"/>
    <s v="01North Puget Sound"/>
    <n v="20"/>
    <n v="371"/>
    <n v="7"/>
    <n v="146.49066127415506"/>
  </r>
  <r>
    <n v="1365"/>
    <x v="6"/>
    <s v="Freshwater"/>
    <x v="1"/>
    <x v="1"/>
    <n v="830"/>
    <s v="Skagit River"/>
    <s v="Skagit River"/>
    <s v="Skagit/Whatcom"/>
    <x v="2"/>
    <s v="King"/>
    <s v="06King"/>
    <s v="South Puget Sound"/>
    <s v="02South Puget Sound"/>
    <n v="5.4"/>
    <n v="46.116"/>
    <n v="0"/>
    <n v="0"/>
  </r>
  <r>
    <n v="1366"/>
    <x v="6"/>
    <s v="Freshwater"/>
    <x v="1"/>
    <x v="1"/>
    <n v="830"/>
    <s v="Skagit River"/>
    <s v="Skagit River"/>
    <s v="Skagit/Whatcom"/>
    <x v="2"/>
    <s v="Other"/>
    <s v="20Other"/>
    <s v="Non Puget Sound"/>
    <s v="07Non Puget Sound"/>
    <n v="10.8"/>
    <n v="92.231999999999999"/>
    <n v="14"/>
    <n v="292.98132254831012"/>
  </r>
  <r>
    <n v="3676"/>
    <x v="6"/>
    <s v="Freshwater"/>
    <x v="1"/>
    <x v="1"/>
    <n v="830"/>
    <s v="Skagit River"/>
    <s v="Skagit River"/>
    <s v="Skagit/Whatcom"/>
    <x v="2"/>
    <s v="Skagit"/>
    <s v="02Skagit"/>
    <s v="North Puget Sound"/>
    <s v="01North Puget Sound"/>
    <n v="5.4"/>
    <n v="46.116"/>
    <n v="6.5"/>
    <n v="136.02704261171542"/>
  </r>
  <r>
    <n v="3677"/>
    <x v="6"/>
    <s v="Freshwater"/>
    <x v="1"/>
    <x v="1"/>
    <n v="830"/>
    <s v="Skagit River"/>
    <s v="Skagit River"/>
    <s v="Skagit/Whatcom"/>
    <x v="2"/>
    <s v="Snohomish"/>
    <s v="03Snohomish"/>
    <s v="North Puget Sound"/>
    <s v="01North Puget Sound"/>
    <n v="5.4"/>
    <n v="46.116"/>
    <n v="3.25"/>
    <n v="68.013521305857708"/>
  </r>
  <r>
    <n v="1369"/>
    <x v="7"/>
    <s v="Freshwater"/>
    <x v="1"/>
    <x v="1"/>
    <n v="830"/>
    <s v="Skagit River"/>
    <s v="Skagit River"/>
    <s v="Skagit/Whatcom"/>
    <x v="2"/>
    <s v="King"/>
    <s v="06King"/>
    <s v="South Puget Sound"/>
    <s v="02South Puget Sound"/>
    <n v="10.6666666666667"/>
    <n v="197.86666666666699"/>
    <n v="12"/>
    <n v="251.12684789855152"/>
  </r>
  <r>
    <n v="1367"/>
    <x v="7"/>
    <s v="Freshwater"/>
    <x v="1"/>
    <x v="1"/>
    <n v="830"/>
    <s v="Skagit River"/>
    <s v="Skagit River"/>
    <s v="Skagit/Whatcom"/>
    <x v="2"/>
    <s v="Skagit"/>
    <s v="02Skagit"/>
    <s v="North Puget Sound"/>
    <s v="01North Puget Sound"/>
    <n v="10.6666666666667"/>
    <n v="197.86666666666699"/>
    <n v="6.5"/>
    <n v="136.02704261171542"/>
  </r>
  <r>
    <n v="1368"/>
    <x v="7"/>
    <s v="Freshwater"/>
    <x v="1"/>
    <x v="1"/>
    <n v="830"/>
    <s v="Skagit River"/>
    <s v="Skagit River"/>
    <s v="Skagit/Whatcom"/>
    <x v="2"/>
    <s v="Snohomish"/>
    <s v="03Snohomish"/>
    <s v="North Puget Sound"/>
    <s v="01North Puget Sound"/>
    <n v="10.6666666666667"/>
    <n v="197.86666666666699"/>
    <n v="5.5"/>
    <n v="115.09980528683612"/>
  </r>
  <r>
    <n v="1372"/>
    <x v="8"/>
    <s v="Freshwater"/>
    <x v="1"/>
    <x v="1"/>
    <n v="830"/>
    <s v="Skagit River"/>
    <s v="Skagit River"/>
    <s v="Skagit/Whatcom"/>
    <x v="2"/>
    <s v="King"/>
    <s v="06King"/>
    <s v="South Puget Sound"/>
    <s v="02South Puget Sound"/>
    <n v="20"/>
    <n v="170.8"/>
    <n v="3"/>
    <n v="62.781711974637879"/>
  </r>
  <r>
    <n v="1370"/>
    <x v="8"/>
    <s v="Freshwater"/>
    <x v="1"/>
    <x v="1"/>
    <n v="830"/>
    <s v="Skagit River"/>
    <s v="Skagit River"/>
    <s v="Skagit/Whatcom"/>
    <x v="2"/>
    <s v="Skagit"/>
    <s v="02Skagit"/>
    <s v="North Puget Sound"/>
    <s v="01North Puget Sound"/>
    <n v="10"/>
    <n v="85.4"/>
    <n v="8"/>
    <n v="167.41789859903434"/>
  </r>
  <r>
    <n v="1371"/>
    <x v="8"/>
    <s v="Freshwater"/>
    <x v="1"/>
    <x v="1"/>
    <n v="830"/>
    <s v="Skagit River"/>
    <s v="Skagit River"/>
    <s v="Skagit/Whatcom"/>
    <x v="2"/>
    <s v="Snohomish"/>
    <s v="03Snohomish"/>
    <s v="North Puget Sound"/>
    <s v="01North Puget Sound"/>
    <n v="10"/>
    <n v="85.4"/>
    <n v="7"/>
    <n v="146.49066127415506"/>
  </r>
  <r>
    <n v="1375"/>
    <x v="9"/>
    <s v="Freshwater"/>
    <x v="1"/>
    <x v="1"/>
    <n v="830"/>
    <s v="Skagit River"/>
    <s v="Skagit River"/>
    <s v="Skagit/Whatcom"/>
    <x v="2"/>
    <s v="Pierce"/>
    <s v="07Pierce"/>
    <s v="South Puget Sound"/>
    <s v="02South Puget Sound"/>
    <n v="8.6666666666666696"/>
    <n v="160.76666666666699"/>
    <n v="4.5"/>
    <n v="94.172567961956815"/>
  </r>
  <r>
    <n v="1374"/>
    <x v="9"/>
    <s v="Freshwater"/>
    <x v="1"/>
    <x v="1"/>
    <n v="830"/>
    <s v="Skagit River"/>
    <s v="Skagit River"/>
    <s v="Skagit/Whatcom"/>
    <x v="2"/>
    <s v="Skagit"/>
    <s v="02Skagit"/>
    <s v="North Puget Sound"/>
    <s v="01North Puget Sound"/>
    <n v="8.6666666666666696"/>
    <n v="160.76666666666699"/>
    <n v="4"/>
    <n v="83.708949299517172"/>
  </r>
  <r>
    <n v="1373"/>
    <x v="9"/>
    <s v="Freshwater"/>
    <x v="1"/>
    <x v="1"/>
    <n v="830"/>
    <s v="Skagit River"/>
    <s v="Skagit River"/>
    <s v="Skagit/Whatcom"/>
    <x v="2"/>
    <s v="Whatcom"/>
    <s v="01Whatcom"/>
    <s v="North Puget Sound"/>
    <s v="01North Puget Sound"/>
    <n v="8.6666666666666696"/>
    <n v="160.76666666666699"/>
    <n v="4.5"/>
    <n v="94.172567961956815"/>
  </r>
  <r>
    <n v="1381"/>
    <x v="10"/>
    <s v="Freshwater"/>
    <x v="1"/>
    <x v="1"/>
    <n v="830"/>
    <s v="Skagit River"/>
    <s v="Skagit River"/>
    <s v="Skagit/Whatcom"/>
    <x v="2"/>
    <s v="Other"/>
    <s v="20Other"/>
    <s v="Non Puget Sound"/>
    <s v="07Non Puget Sound"/>
    <n v="8"/>
    <n v="68.319999999999993"/>
    <n v="4"/>
    <n v="83.708949299517172"/>
  </r>
  <r>
    <n v="1380"/>
    <x v="10"/>
    <s v="Freshwater"/>
    <x v="1"/>
    <x v="1"/>
    <n v="830"/>
    <s v="Skagit River"/>
    <s v="Skagit River"/>
    <s v="Skagit/Whatcom"/>
    <x v="2"/>
    <s v="Snohomish"/>
    <s v="03Snohomish"/>
    <s v="North Puget Sound"/>
    <s v="01North Puget Sound"/>
    <n v="8"/>
    <n v="68.319999999999993"/>
    <n v="4"/>
    <n v="83.708949299517172"/>
  </r>
  <r>
    <n v="1376"/>
    <x v="10"/>
    <s v="Freshwater"/>
    <x v="1"/>
    <x v="1"/>
    <n v="830"/>
    <s v="Skagit River"/>
    <s v="Skagit River"/>
    <s v="Skagit/Whatcom"/>
    <x v="2"/>
    <s v="Whatcom"/>
    <s v="01Whatcom"/>
    <s v="North Puget Sound"/>
    <s v="01North Puget Sound"/>
    <n v="16"/>
    <n v="136.63999999999999"/>
    <n v="8"/>
    <n v="167.41789859903434"/>
  </r>
  <r>
    <n v="1610"/>
    <x v="0"/>
    <s v="Freshwater"/>
    <x v="1"/>
    <x v="1"/>
    <n v="840"/>
    <s v="Pilchuck River (Snohomish System)"/>
    <s v="Pilchuck River (Snohomish System)"/>
    <s v="Snohomish"/>
    <x v="2"/>
    <s v="King"/>
    <s v="06King"/>
    <s v="South Puget Sound"/>
    <s v="02South Puget Sound"/>
    <n v="2.19354838709677"/>
    <n v="18.7329032258064"/>
    <n v="0"/>
    <n v="0"/>
  </r>
  <r>
    <n v="1611"/>
    <x v="0"/>
    <s v="Freshwater"/>
    <x v="1"/>
    <x v="1"/>
    <n v="840"/>
    <s v="Pilchuck River (Snohomish System)"/>
    <s v="Pilchuck River (Snohomish System)"/>
    <s v="Snohomish"/>
    <x v="2"/>
    <s v="Pierce"/>
    <s v="07Pierce"/>
    <s v="South Puget Sound"/>
    <s v="02South Puget Sound"/>
    <n v="2.19354838709677"/>
    <n v="18.7329032258064"/>
    <n v="2.3333333333333299"/>
    <n v="48.830220424718277"/>
  </r>
  <r>
    <n v="1609"/>
    <x v="0"/>
    <s v="Freshwater"/>
    <x v="1"/>
    <x v="1"/>
    <n v="840"/>
    <s v="Pilchuck River (Snohomish System)"/>
    <s v="Pilchuck River (Snohomish System)"/>
    <s v="Snohomish"/>
    <x v="2"/>
    <s v="Snohomish"/>
    <s v="03Snohomish"/>
    <s v="North Puget Sound"/>
    <s v="01North Puget Sound"/>
    <n v="63.612903225806498"/>
    <n v="543.25419354838698"/>
    <n v="46.6666666666667"/>
    <n v="976.6044084943677"/>
  </r>
  <r>
    <n v="2234"/>
    <x v="1"/>
    <s v="Freshwater"/>
    <x v="1"/>
    <x v="1"/>
    <n v="840"/>
    <s v="Pilchuck River (Snohomish System)"/>
    <s v="Pilchuck River (Snohomish System)"/>
    <s v="Snohomish"/>
    <x v="2"/>
    <s v="Snohomish"/>
    <s v="03Snohomish"/>
    <s v="North Puget Sound"/>
    <s v="01North Puget Sound"/>
    <n v="15"/>
    <n v="278.25"/>
    <n v="22.1"/>
    <n v="462.49194487983243"/>
  </r>
  <r>
    <n v="1568"/>
    <x v="2"/>
    <s v="Freshwater"/>
    <x v="1"/>
    <x v="1"/>
    <n v="840"/>
    <s v="Pilchuck River (Snohomish System)"/>
    <s v="Pilchuck River (Snohomish System)"/>
    <s v="Snohomish"/>
    <x v="2"/>
    <s v="King"/>
    <s v="06King"/>
    <s v="South Puget Sound"/>
    <s v="02South Puget Sound"/>
    <n v="3"/>
    <n v="25.62"/>
    <n v="0"/>
    <n v="0"/>
  </r>
  <r>
    <n v="1567"/>
    <x v="2"/>
    <s v="Freshwater"/>
    <x v="1"/>
    <x v="1"/>
    <n v="840"/>
    <s v="Pilchuck River (Snohomish System)"/>
    <s v="Pilchuck River (Snohomish System)"/>
    <s v="Snohomish"/>
    <x v="2"/>
    <s v="Snohomish"/>
    <s v="03Snohomish"/>
    <s v="North Puget Sound"/>
    <s v="01North Puget Sound"/>
    <n v="24"/>
    <n v="204.96"/>
    <n v="28"/>
    <n v="585.96264509662024"/>
  </r>
  <r>
    <n v="1257"/>
    <x v="4"/>
    <s v="Freshwater"/>
    <x v="1"/>
    <x v="1"/>
    <n v="840"/>
    <s v="Pilchuck River (Snohomish System)"/>
    <s v="Pilchuck River (Snohomish System)"/>
    <s v="Snohomish"/>
    <x v="2"/>
    <s v="King"/>
    <s v="06King"/>
    <s v="South Puget Sound"/>
    <s v="02South Puget Sound"/>
    <n v="16.6666666666667"/>
    <n v="142.333333333334"/>
    <n v="9.75"/>
    <n v="204.04056391757311"/>
  </r>
  <r>
    <n v="1258"/>
    <x v="4"/>
    <s v="Freshwater"/>
    <x v="1"/>
    <x v="1"/>
    <n v="840"/>
    <s v="Pilchuck River (Snohomish System)"/>
    <s v="Pilchuck River (Snohomish System)"/>
    <s v="Snohomish"/>
    <x v="2"/>
    <s v="Other"/>
    <s v="20Other"/>
    <s v="Non Puget Sound"/>
    <s v="07Non Puget Sound"/>
    <n v="3.3333333333333299"/>
    <n v="28.466666666666601"/>
    <n v="3.25"/>
    <n v="68.013521305857708"/>
  </r>
  <r>
    <n v="1464"/>
    <x v="5"/>
    <s v="Freshwater"/>
    <x v="1"/>
    <x v="1"/>
    <n v="840"/>
    <s v="Pilchuck River (Snohomish System)"/>
    <s v="Pilchuck River (Snohomish System)"/>
    <s v="Snohomish"/>
    <x v="2"/>
    <s v="Snohomish"/>
    <s v="03Snohomish"/>
    <s v="North Puget Sound"/>
    <s v="01North Puget Sound"/>
    <n v="4"/>
    <n v="74.2"/>
    <n v="0"/>
    <n v="0"/>
  </r>
  <r>
    <n v="1635"/>
    <x v="6"/>
    <s v="Freshwater"/>
    <x v="1"/>
    <x v="1"/>
    <n v="840"/>
    <s v="Pilchuck River (Snohomish System)"/>
    <s v="Pilchuck River (Snohomish System)"/>
    <s v="Snohomish"/>
    <x v="2"/>
    <s v="Snohomish"/>
    <s v="03Snohomish"/>
    <s v="North Puget Sound"/>
    <s v="01North Puget Sound"/>
    <n v="3"/>
    <n v="25.62"/>
    <n v="4"/>
    <n v="83.708949299517172"/>
  </r>
  <r>
    <n v="218"/>
    <x v="0"/>
    <s v="Freshwater"/>
    <x v="1"/>
    <x v="1"/>
    <n v="842"/>
    <s v="Raging River"/>
    <s v="Raging River"/>
    <s v="King"/>
    <x v="2"/>
    <s v="King"/>
    <s v="06King"/>
    <s v="South Puget Sound"/>
    <s v="02South Puget Sound"/>
    <n v="26.428571428571399"/>
    <n v="225.7"/>
    <n v="26.6"/>
    <n v="556.66451284178925"/>
  </r>
  <r>
    <n v="219"/>
    <x v="0"/>
    <s v="Freshwater"/>
    <x v="1"/>
    <x v="1"/>
    <n v="842"/>
    <s v="Raging River"/>
    <s v="Raging River"/>
    <s v="King"/>
    <x v="2"/>
    <s v="Pierce"/>
    <s v="07Pierce"/>
    <s v="South Puget Sound"/>
    <s v="02South Puget Sound"/>
    <n v="5.28571428571429"/>
    <n v="45.14"/>
    <n v="2.4"/>
    <n v="50.225369579710303"/>
  </r>
  <r>
    <n v="217"/>
    <x v="0"/>
    <s v="Freshwater"/>
    <x v="1"/>
    <x v="1"/>
    <n v="842"/>
    <s v="Raging River"/>
    <s v="Raging River"/>
    <s v="King"/>
    <x v="2"/>
    <s v="Snohomish"/>
    <s v="03Snohomish"/>
    <s v="North Puget Sound"/>
    <s v="01North Puget Sound"/>
    <n v="5.28571428571429"/>
    <n v="45.14"/>
    <n v="6"/>
    <n v="125.56342394927576"/>
  </r>
  <r>
    <n v="224"/>
    <x v="1"/>
    <s v="Freshwater"/>
    <x v="1"/>
    <x v="1"/>
    <n v="842"/>
    <s v="Raging River"/>
    <s v="Raging River"/>
    <s v="King"/>
    <x v="2"/>
    <s v="King"/>
    <s v="06King"/>
    <s v="South Puget Sound"/>
    <s v="02South Puget Sound"/>
    <n v="21.3333333333333"/>
    <n v="395.73333333333301"/>
    <n v="14"/>
    <n v="292.98132254831012"/>
  </r>
  <r>
    <n v="223"/>
    <x v="1"/>
    <s v="Freshwater"/>
    <x v="1"/>
    <x v="1"/>
    <n v="842"/>
    <s v="Raging River"/>
    <s v="Raging River"/>
    <s v="King"/>
    <x v="2"/>
    <s v="Snohomish"/>
    <s v="03Snohomish"/>
    <s v="North Puget Sound"/>
    <s v="01North Puget Sound"/>
    <n v="2.6666666666666701"/>
    <n v="49.466666666666697"/>
    <n v="0"/>
    <n v="0"/>
  </r>
  <r>
    <n v="225"/>
    <x v="2"/>
    <s v="Freshwater"/>
    <x v="1"/>
    <x v="1"/>
    <n v="842"/>
    <s v="Raging River"/>
    <s v="Raging River"/>
    <s v="King"/>
    <x v="2"/>
    <s v="King"/>
    <s v="06King"/>
    <s v="South Puget Sound"/>
    <s v="02South Puget Sound"/>
    <n v="9"/>
    <n v="76.86"/>
    <n v="16.5"/>
    <n v="345.29941586050836"/>
  </r>
  <r>
    <n v="226"/>
    <x v="2"/>
    <s v="Freshwater"/>
    <x v="1"/>
    <x v="1"/>
    <n v="842"/>
    <s v="Raging River"/>
    <s v="Raging River"/>
    <s v="King"/>
    <x v="2"/>
    <s v="Other"/>
    <s v="20Other"/>
    <s v="Non Puget Sound"/>
    <s v="07Non Puget Sound"/>
    <n v="6"/>
    <n v="51.24"/>
    <n v="6"/>
    <n v="125.56342394927576"/>
  </r>
  <r>
    <n v="229"/>
    <x v="3"/>
    <s v="Freshwater"/>
    <x v="1"/>
    <x v="1"/>
    <n v="842"/>
    <s v="Raging River"/>
    <s v="Raging River"/>
    <s v="King"/>
    <x v="2"/>
    <s v="King"/>
    <s v="06King"/>
    <s v="South Puget Sound"/>
    <s v="02South Puget Sound"/>
    <n v="15"/>
    <n v="278.25"/>
    <n v="15"/>
    <n v="313.9085598731894"/>
  </r>
  <r>
    <n v="232"/>
    <x v="6"/>
    <s v="Freshwater"/>
    <x v="1"/>
    <x v="1"/>
    <n v="842"/>
    <s v="Raging River"/>
    <s v="Raging River"/>
    <s v="King"/>
    <x v="2"/>
    <s v="Other"/>
    <s v="20Other"/>
    <s v="Non Puget Sound"/>
    <s v="07Non Puget Sound"/>
    <n v="3"/>
    <n v="25.62"/>
    <n v="3"/>
    <n v="62.781711974637879"/>
  </r>
  <r>
    <n v="1768"/>
    <x v="0"/>
    <s v="Freshwater"/>
    <x v="1"/>
    <x v="1"/>
    <n v="844"/>
    <s v="Skykomish River"/>
    <s v="Skykomish River"/>
    <s v="Snohomish"/>
    <x v="2"/>
    <s v="Island"/>
    <s v="04Island"/>
    <s v="North Puget Sound"/>
    <s v="01North Puget Sound"/>
    <n v="12.944711538461499"/>
    <n v="110.547836538461"/>
    <n v="9.7828431690095297"/>
    <n v="204.72788070993664"/>
  </r>
  <r>
    <n v="1769"/>
    <x v="0"/>
    <s v="Freshwater"/>
    <x v="1"/>
    <x v="1"/>
    <n v="844"/>
    <s v="Skykomish River"/>
    <s v="Skykomish River"/>
    <s v="Snohomish"/>
    <x v="2"/>
    <s v="King"/>
    <s v="06King"/>
    <s v="South Puget Sound"/>
    <s v="02South Puget Sound"/>
    <n v="1177.96875"/>
    <n v="10059.853125"/>
    <n v="1066.2289563777003"/>
    <n v="22313.226412774507"/>
  </r>
  <r>
    <n v="1772"/>
    <x v="0"/>
    <s v="Freshwater"/>
    <x v="1"/>
    <x v="1"/>
    <n v="844"/>
    <s v="Skykomish River"/>
    <s v="Skykomish River"/>
    <s v="Snohomish"/>
    <x v="2"/>
    <s v="Other"/>
    <s v="20Other"/>
    <s v="Non Puget Sound"/>
    <s v="07Non Puget Sound"/>
    <n v="54.367788461538503"/>
    <n v="464.30091346153898"/>
    <n v="48.17120708425572"/>
    <n v="1008.0902828781261"/>
  </r>
  <r>
    <n v="1770"/>
    <x v="0"/>
    <s v="Freshwater"/>
    <x v="1"/>
    <x v="1"/>
    <n v="844"/>
    <s v="Skykomish River"/>
    <s v="Skykomish River"/>
    <s v="Snohomish"/>
    <x v="2"/>
    <s v="Pierce"/>
    <s v="07Pierce"/>
    <s v="South Puget Sound"/>
    <s v="02South Puget Sound"/>
    <n v="28.478365384615401"/>
    <n v="243.20524038461599"/>
    <n v="24.573490911692868"/>
    <n v="514.25527620976106"/>
  </r>
  <r>
    <n v="1613"/>
    <x v="0"/>
    <s v="Freshwater"/>
    <x v="1"/>
    <x v="1"/>
    <n v="844"/>
    <s v="Skykomish River"/>
    <s v="Skykomish River"/>
    <s v="Snohomish"/>
    <x v="2"/>
    <s v="Skagit"/>
    <s v="02Skagit"/>
    <s v="North Puget Sound"/>
    <s v="01North Puget Sound"/>
    <n v="18.122596153846199"/>
    <n v="154.76697115384701"/>
    <n v="18.381857626830559"/>
    <n v="384.68149702882556"/>
  </r>
  <r>
    <n v="1614"/>
    <x v="0"/>
    <s v="Freshwater"/>
    <x v="1"/>
    <x v="1"/>
    <n v="844"/>
    <s v="Skykomish River"/>
    <s v="Skykomish River"/>
    <s v="Snohomish"/>
    <x v="2"/>
    <s v="Snohomish"/>
    <s v="03Snohomish"/>
    <s v="North Puget Sound"/>
    <s v="01North Puget Sound"/>
    <n v="1928.76201923077"/>
    <n v="16471.627644230801"/>
    <n v="1721.2644686184731"/>
    <n v="36021.31003366103"/>
  </r>
  <r>
    <n v="1771"/>
    <x v="0"/>
    <s v="Freshwater"/>
    <x v="1"/>
    <x v="1"/>
    <n v="844"/>
    <s v="Skykomish River"/>
    <s v="Skykomish River"/>
    <s v="Snohomish"/>
    <x v="2"/>
    <s v="Thurston"/>
    <s v="08Thurston"/>
    <s v="South Puget Sound"/>
    <s v="02South Puget Sound"/>
    <n v="5.1778846153846203"/>
    <n v="44.219134615384696"/>
    <n v="5.7698735804585404"/>
    <n v="120.7475137528069"/>
  </r>
  <r>
    <n v="1612"/>
    <x v="0"/>
    <s v="Freshwater"/>
    <x v="1"/>
    <x v="1"/>
    <n v="844"/>
    <s v="Skykomish River"/>
    <s v="Skykomish River"/>
    <s v="Snohomish"/>
    <x v="2"/>
    <s v="Whatcom"/>
    <s v="01Whatcom"/>
    <s v="North Puget Sound"/>
    <s v="01North Puget Sound"/>
    <n v="5.1778846153846203"/>
    <n v="44.219134615384696"/>
    <n v="5.8273026315789505"/>
    <n v="121.94934513494634"/>
  </r>
  <r>
    <n v="2338"/>
    <x v="1"/>
    <s v="Freshwater"/>
    <x v="1"/>
    <x v="1"/>
    <n v="844"/>
    <s v="Skykomish River"/>
    <s v="Skykomish River"/>
    <s v="Snohomish"/>
    <x v="2"/>
    <s v="Island"/>
    <s v="04Island"/>
    <s v="North Puget Sound"/>
    <s v="01North Puget Sound"/>
    <n v="16.006176652254499"/>
    <n v="296.91457689932099"/>
    <n v="10.1212020537602"/>
    <n v="211.80879739209541"/>
  </r>
  <r>
    <n v="2339"/>
    <x v="1"/>
    <s v="Freshwater"/>
    <x v="1"/>
    <x v="1"/>
    <n v="844"/>
    <s v="Skykomish River"/>
    <s v="Skykomish River"/>
    <s v="Snohomish"/>
    <x v="2"/>
    <s v="King"/>
    <s v="06King"/>
    <s v="South Puget Sound"/>
    <s v="02South Puget Sound"/>
    <n v="1661.9746757257601"/>
    <n v="30829.630234712899"/>
    <n v="1392.9621219811804"/>
    <n v="29150.848911267622"/>
  </r>
  <r>
    <n v="2446"/>
    <x v="1"/>
    <s v="Freshwater"/>
    <x v="1"/>
    <x v="1"/>
    <n v="844"/>
    <s v="Skykomish River"/>
    <s v="Skykomish River"/>
    <s v="Snohomish"/>
    <x v="2"/>
    <s v="Kitsap"/>
    <s v="10Kitsap"/>
    <s v="South Puget Sound"/>
    <s v="02South Puget Sound"/>
    <n v="10.6707844348363"/>
    <n v="197.94305126621299"/>
    <n v="2.53766233766234"/>
    <n v="53.106261990667761"/>
  </r>
  <r>
    <n v="2445"/>
    <x v="1"/>
    <s v="Freshwater"/>
    <x v="1"/>
    <x v="1"/>
    <n v="844"/>
    <s v="Skykomish River"/>
    <s v="Skykomish River"/>
    <s v="Snohomish"/>
    <x v="2"/>
    <s v="Mason"/>
    <s v="09Mason"/>
    <s v="South Puget Sound"/>
    <s v="02South Puget Sound"/>
    <n v="2.6676961087090798"/>
    <n v="49.485762816553397"/>
    <n v="2.8159999999999998"/>
    <n v="58.931100306860088"/>
  </r>
  <r>
    <n v="2447"/>
    <x v="1"/>
    <s v="Freshwater"/>
    <x v="1"/>
    <x v="1"/>
    <n v="844"/>
    <s v="Skykomish River"/>
    <s v="Skykomish River"/>
    <s v="Snohomish"/>
    <x v="2"/>
    <s v="Other"/>
    <s v="20Other"/>
    <s v="Non Puget Sound"/>
    <s v="07Non Puget Sound"/>
    <n v="138.720197652872"/>
    <n v="2573.25966646078"/>
    <n v="145.33992900140495"/>
    <n v="3041.5631869935082"/>
  </r>
  <r>
    <n v="2340"/>
    <x v="1"/>
    <s v="Freshwater"/>
    <x v="1"/>
    <x v="1"/>
    <n v="844"/>
    <s v="Skykomish River"/>
    <s v="Skykomish River"/>
    <s v="Snohomish"/>
    <x v="2"/>
    <s v="Pierce"/>
    <s v="07Pierce"/>
    <s v="South Puget Sound"/>
    <s v="02South Puget Sound"/>
    <n v="18.673872760963601"/>
    <n v="346.40033971587502"/>
    <n v="21.13215186913617"/>
    <n v="442.2375573508042"/>
  </r>
  <r>
    <n v="2336"/>
    <x v="1"/>
    <s v="Freshwater"/>
    <x v="1"/>
    <x v="1"/>
    <n v="844"/>
    <s v="Skykomish River"/>
    <s v="Skykomish River"/>
    <s v="Snohomish"/>
    <x v="2"/>
    <s v="Skagit"/>
    <s v="02Skagit"/>
    <s v="North Puget Sound"/>
    <s v="01North Puget Sound"/>
    <n v="24.009264978381701"/>
    <n v="445.37186534898098"/>
    <n v="23.960615409731737"/>
    <n v="501.42948512961595"/>
  </r>
  <r>
    <n v="2337"/>
    <x v="1"/>
    <s v="Freshwater"/>
    <x v="1"/>
    <x v="1"/>
    <n v="844"/>
    <s v="Skykomish River"/>
    <s v="Skykomish River"/>
    <s v="Snohomish"/>
    <x v="2"/>
    <s v="Snohomish"/>
    <s v="03Snohomish"/>
    <s v="North Puget Sound"/>
    <s v="01North Puget Sound"/>
    <n v="2408.9295861643"/>
    <n v="44685.643823347797"/>
    <n v="2121.0683578509334"/>
    <n v="44388.100907038483"/>
  </r>
  <r>
    <n v="2341"/>
    <x v="1"/>
    <s v="Freshwater"/>
    <x v="1"/>
    <x v="1"/>
    <n v="844"/>
    <s v="Skykomish River"/>
    <s v="Skykomish River"/>
    <s v="Snohomish"/>
    <x v="2"/>
    <s v="Thurston"/>
    <s v="08Thurston"/>
    <s v="South Puget Sound"/>
    <s v="02South Puget Sound"/>
    <n v="16.006176652254499"/>
    <n v="296.91457689932099"/>
    <n v="16.344750193866478"/>
    <n v="342.05046632291061"/>
  </r>
  <r>
    <n v="2235"/>
    <x v="1"/>
    <s v="Freshwater"/>
    <x v="1"/>
    <x v="1"/>
    <n v="844"/>
    <s v="Skykomish River"/>
    <s v="Skykomish River"/>
    <s v="Snohomish"/>
    <x v="2"/>
    <s v="Whatcom"/>
    <s v="01Whatcom"/>
    <s v="North Puget Sound"/>
    <s v="01North Puget Sound"/>
    <n v="21.341568869672599"/>
    <n v="395.886102532427"/>
    <n v="19.717209302325578"/>
    <n v="412.62671845408505"/>
  </r>
  <r>
    <n v="1585"/>
    <x v="2"/>
    <s v="Freshwater"/>
    <x v="1"/>
    <x v="1"/>
    <n v="844"/>
    <s v="Skykomish River"/>
    <s v="Skykomish River"/>
    <s v="Snohomish"/>
    <x v="2"/>
    <s v="Island"/>
    <s v="04Island"/>
    <s v="North Puget Sound"/>
    <s v="01North Puget Sound"/>
    <n v="34.947251526929499"/>
    <n v="298.44952803997802"/>
    <n v="42.520343917898025"/>
    <n v="889.83332830533982"/>
  </r>
  <r>
    <n v="1722"/>
    <x v="2"/>
    <s v="Freshwater"/>
    <x v="1"/>
    <x v="1"/>
    <n v="844"/>
    <s v="Skykomish River"/>
    <s v="Skykomish River"/>
    <s v="Snohomish"/>
    <x v="2"/>
    <s v="King"/>
    <s v="06King"/>
    <s v="South Puget Sound"/>
    <s v="02South Puget Sound"/>
    <n v="2155.0805108273198"/>
    <n v="18404.387562465301"/>
    <n v="2303.0351187392216"/>
    <n v="48196.162497387253"/>
  </r>
  <r>
    <n v="1725"/>
    <x v="2"/>
    <s v="Freshwater"/>
    <x v="1"/>
    <x v="1"/>
    <n v="844"/>
    <s v="Skykomish River"/>
    <s v="Skykomish River"/>
    <s v="Snohomish"/>
    <x v="2"/>
    <s v="Kitsap"/>
    <s v="10Kitsap"/>
    <s v="South Puget Sound"/>
    <s v="02South Puget Sound"/>
    <n v="8.7368128817323694"/>
    <n v="74.612382009994406"/>
    <n v="16.402895334917659"/>
    <n v="343.26728348897728"/>
  </r>
  <r>
    <n v="1726"/>
    <x v="2"/>
    <s v="Freshwater"/>
    <x v="1"/>
    <x v="1"/>
    <n v="844"/>
    <s v="Skykomish River"/>
    <s v="Skykomish River"/>
    <s v="Snohomish"/>
    <x v="2"/>
    <s v="Other"/>
    <s v="20Other"/>
    <s v="Non Puget Sound"/>
    <s v="07Non Puget Sound"/>
    <n v="110.66629650194299"/>
    <n v="945.09017212659296"/>
    <n v="104.07293205645016"/>
    <n v="2177.9589482413703"/>
  </r>
  <r>
    <n v="1723"/>
    <x v="2"/>
    <s v="Freshwater"/>
    <x v="1"/>
    <x v="1"/>
    <n v="844"/>
    <s v="Skykomish River"/>
    <s v="Skykomish River"/>
    <s v="Snohomish"/>
    <x v="2"/>
    <s v="Pierce"/>
    <s v="07Pierce"/>
    <s v="South Puget Sound"/>
    <s v="02South Puget Sound"/>
    <n v="55.333148250971703"/>
    <n v="472.54508606329802"/>
    <n v="55.088989070139682"/>
    <n v="1152.8603482584945"/>
  </r>
  <r>
    <n v="1570"/>
    <x v="2"/>
    <s v="Freshwater"/>
    <x v="1"/>
    <x v="1"/>
    <n v="844"/>
    <s v="Skykomish River"/>
    <s v="Skykomish River"/>
    <s v="Snohomish"/>
    <x v="2"/>
    <s v="Skagit"/>
    <s v="02Skagit"/>
    <s v="North Puget Sound"/>
    <s v="01North Puget Sound"/>
    <n v="8.7368128817323694"/>
    <n v="74.612382009994406"/>
    <n v="5.8396910262137798"/>
    <n v="122.20860000954367"/>
  </r>
  <r>
    <n v="1584"/>
    <x v="2"/>
    <s v="Freshwater"/>
    <x v="1"/>
    <x v="1"/>
    <n v="844"/>
    <s v="Skykomish River"/>
    <s v="Skykomish River"/>
    <s v="Snohomish"/>
    <x v="2"/>
    <s v="Snohomish"/>
    <s v="03Snohomish"/>
    <s v="North Puget Sound"/>
    <s v="01North Puget Sound"/>
    <n v="2821.9905607995602"/>
    <n v="24099.799389228199"/>
    <n v="2979.998211425278"/>
    <n v="62363.129798212613"/>
  </r>
  <r>
    <n v="1724"/>
    <x v="2"/>
    <s v="Freshwater"/>
    <x v="1"/>
    <x v="1"/>
    <n v="844"/>
    <s v="Skykomish River"/>
    <s v="Skykomish River"/>
    <s v="Snohomish"/>
    <x v="2"/>
    <s v="Thurston"/>
    <s v="08Thurston"/>
    <s v="South Puget Sound"/>
    <s v="02South Puget Sound"/>
    <n v="5.8245419211549203"/>
    <n v="49.741588006663001"/>
    <n v="0"/>
    <n v="0"/>
  </r>
  <r>
    <n v="1569"/>
    <x v="2"/>
    <s v="Freshwater"/>
    <x v="1"/>
    <x v="1"/>
    <n v="844"/>
    <s v="Skykomish River"/>
    <s v="Skykomish River"/>
    <s v="Snohomish"/>
    <x v="2"/>
    <s v="Whatcom"/>
    <s v="01Whatcom"/>
    <s v="North Puget Sound"/>
    <s v="01North Puget Sound"/>
    <n v="43.684064408661897"/>
    <n v="373.06191004997299"/>
    <n v="46.041818429881523"/>
    <n v="963.52806115113196"/>
  </r>
  <r>
    <n v="1758"/>
    <x v="3"/>
    <s v="Freshwater"/>
    <x v="1"/>
    <x v="1"/>
    <n v="844"/>
    <s v="Skykomish River"/>
    <s v="Skykomish River"/>
    <s v="Snohomish"/>
    <x v="2"/>
    <s v="Island"/>
    <s v="04Island"/>
    <s v="North Puget Sound"/>
    <s v="01North Puget Sound"/>
    <n v="7.1442176870748302"/>
    <n v="132.525238095238"/>
    <n v="6.2065807755462901"/>
    <n v="129.88658886589059"/>
  </r>
  <r>
    <n v="1759"/>
    <x v="3"/>
    <s v="Freshwater"/>
    <x v="1"/>
    <x v="1"/>
    <n v="844"/>
    <s v="Skykomish River"/>
    <s v="Skykomish River"/>
    <s v="Snohomish"/>
    <x v="2"/>
    <s v="King"/>
    <s v="06King"/>
    <s v="South Puget Sound"/>
    <s v="02South Puget Sound"/>
    <n v="1932.51088435374"/>
    <n v="35848.076904761903"/>
    <n v="1940.9976085530734"/>
    <n v="40619.717601213328"/>
  </r>
  <r>
    <n v="1933"/>
    <x v="3"/>
    <s v="Freshwater"/>
    <x v="1"/>
    <x v="1"/>
    <n v="844"/>
    <s v="Skykomish River"/>
    <s v="Skykomish River"/>
    <s v="Snohomish"/>
    <x v="2"/>
    <s v="Kitsap"/>
    <s v="10Kitsap"/>
    <s v="South Puget Sound"/>
    <s v="02South Puget Sound"/>
    <n v="32.148979591836699"/>
    <n v="596.36357142857105"/>
    <n v="30.74792592592593"/>
    <n v="643.46914309966087"/>
  </r>
  <r>
    <n v="1934"/>
    <x v="3"/>
    <s v="Freshwater"/>
    <x v="1"/>
    <x v="1"/>
    <n v="844"/>
    <s v="Skykomish River"/>
    <s v="Skykomish River"/>
    <s v="Snohomish"/>
    <x v="2"/>
    <s v="Other"/>
    <s v="20Other"/>
    <s v="Non Puget Sound"/>
    <s v="07Non Puget Sound"/>
    <n v="128.595918367347"/>
    <n v="2385.4542857142901"/>
    <n v="143.4550448499246"/>
    <n v="3002.1177690255754"/>
  </r>
  <r>
    <n v="1760"/>
    <x v="3"/>
    <s v="Freshwater"/>
    <x v="1"/>
    <x v="1"/>
    <n v="844"/>
    <s v="Skykomish River"/>
    <s v="Skykomish River"/>
    <s v="Snohomish"/>
    <x v="2"/>
    <s v="Pierce"/>
    <s v="07Pierce"/>
    <s v="South Puget Sound"/>
    <s v="02South Puget Sound"/>
    <n v="57.153741496598599"/>
    <n v="1060.2019047619001"/>
    <n v="55.45930809930811"/>
    <n v="1160.6101024678212"/>
  </r>
  <r>
    <n v="1601"/>
    <x v="3"/>
    <s v="Freshwater"/>
    <x v="1"/>
    <x v="1"/>
    <n v="844"/>
    <s v="Skykomish River"/>
    <s v="Skykomish River"/>
    <s v="Snohomish"/>
    <x v="2"/>
    <s v="Skagit"/>
    <s v="02Skagit"/>
    <s v="North Puget Sound"/>
    <s v="01North Puget Sound"/>
    <n v="25.004761904761899"/>
    <n v="463.83833333333303"/>
    <n v="25.932488979777329"/>
    <n v="542.69535130461702"/>
  </r>
  <r>
    <n v="1757"/>
    <x v="3"/>
    <s v="Freshwater"/>
    <x v="1"/>
    <x v="1"/>
    <n v="844"/>
    <s v="Skykomish River"/>
    <s v="Skykomish River"/>
    <s v="Snohomish"/>
    <x v="2"/>
    <s v="Snohomish"/>
    <s v="03Snohomish"/>
    <s v="North Puget Sound"/>
    <s v="01North Puget Sound"/>
    <n v="2968.4224489795902"/>
    <n v="55064.236428571399"/>
    <n v="2896.2762130050387"/>
    <n v="60611.059667959096"/>
  </r>
  <r>
    <n v="1932"/>
    <x v="3"/>
    <s v="Freshwater"/>
    <x v="1"/>
    <x v="1"/>
    <n v="844"/>
    <s v="Skykomish River"/>
    <s v="Skykomish River"/>
    <s v="Snohomish"/>
    <x v="2"/>
    <s v="Thurston"/>
    <s v="08Thurston"/>
    <s v="South Puget Sound"/>
    <s v="02South Puget Sound"/>
    <n v="21.432653061224499"/>
    <n v="397.57571428571401"/>
    <n v="28.965570552147241"/>
    <n v="606.16936919532031"/>
  </r>
  <r>
    <n v="1600"/>
    <x v="3"/>
    <s v="Freshwater"/>
    <x v="1"/>
    <x v="1"/>
    <n v="844"/>
    <s v="Skykomish River"/>
    <s v="Skykomish River"/>
    <s v="Snohomish"/>
    <x v="2"/>
    <s v="Whatcom"/>
    <s v="01Whatcom"/>
    <s v="North Puget Sound"/>
    <s v="01North Puget Sound"/>
    <n v="78.586394557823098"/>
    <n v="1457.77761904762"/>
    <n v="79.959259259259198"/>
    <n v="1673.3263948400693"/>
  </r>
  <r>
    <n v="1389"/>
    <x v="4"/>
    <s v="Freshwater"/>
    <x v="1"/>
    <x v="1"/>
    <n v="844"/>
    <s v="Skykomish River"/>
    <s v="Skykomish River"/>
    <s v="Snohomish"/>
    <x v="2"/>
    <s v="Clallam"/>
    <s v="11Clallam"/>
    <s v="Strait of Juan de Fuca"/>
    <s v="03Strait of Juan de Fuca"/>
    <n v="19.379310344827601"/>
    <n v="165.49931034482799"/>
    <n v="19.332880590019808"/>
    <n v="404.58378028089692"/>
  </r>
  <r>
    <n v="1308"/>
    <x v="4"/>
    <s v="Freshwater"/>
    <x v="1"/>
    <x v="1"/>
    <n v="844"/>
    <s v="Skykomish River"/>
    <s v="Skykomish River"/>
    <s v="Snohomish"/>
    <x v="2"/>
    <s v="Island"/>
    <s v="04Island"/>
    <s v="North Puget Sound"/>
    <s v="01North Puget Sound"/>
    <n v="6.45977011494253"/>
    <n v="55.1664367816092"/>
    <n v="6.4195298372513596"/>
    <n v="134.34302441830295"/>
  </r>
  <r>
    <n v="1309"/>
    <x v="4"/>
    <s v="Freshwater"/>
    <x v="1"/>
    <x v="1"/>
    <n v="844"/>
    <s v="Skykomish River"/>
    <s v="Skykomish River"/>
    <s v="Snohomish"/>
    <x v="2"/>
    <s v="King"/>
    <s v="06King"/>
    <s v="South Puget Sound"/>
    <s v="02South Puget Sound"/>
    <n v="1715.06896551724"/>
    <n v="14646.6889655172"/>
    <n v="1709.2278155295055"/>
    <n v="35769.416137870969"/>
  </r>
  <r>
    <n v="1312"/>
    <x v="4"/>
    <s v="Freshwater"/>
    <x v="1"/>
    <x v="1"/>
    <n v="844"/>
    <s v="Skykomish River"/>
    <s v="Skykomish River"/>
    <s v="Snohomish"/>
    <x v="2"/>
    <s v="Kitsap"/>
    <s v="10Kitsap"/>
    <s v="South Puget Sound"/>
    <s v="02South Puget Sound"/>
    <n v="45.218390804597703"/>
    <n v="386.16505747126399"/>
    <n v="38.381481133551333"/>
    <n v="803.21836456220581"/>
  </r>
  <r>
    <n v="1390"/>
    <x v="4"/>
    <s v="Freshwater"/>
    <x v="1"/>
    <x v="1"/>
    <n v="844"/>
    <s v="Skykomish River"/>
    <s v="Skykomish River"/>
    <s v="Snohomish"/>
    <x v="2"/>
    <s v="Other"/>
    <s v="20Other"/>
    <s v="Non Puget Sound"/>
    <s v="07Non Puget Sound"/>
    <n v="100.126436781609"/>
    <n v="855.07977011494097"/>
    <n v="86.89295588830791"/>
    <n v="1818.4295097348872"/>
  </r>
  <r>
    <n v="1310"/>
    <x v="4"/>
    <s v="Freshwater"/>
    <x v="1"/>
    <x v="1"/>
    <n v="844"/>
    <s v="Skykomish River"/>
    <s v="Skykomish River"/>
    <s v="Snohomish"/>
    <x v="2"/>
    <s v="Pierce"/>
    <s v="07Pierce"/>
    <s v="South Puget Sound"/>
    <s v="02South Puget Sound"/>
    <n v="96.896551724138007"/>
    <n v="827.49655172413804"/>
    <n v="83.59814990958516"/>
    <n v="1749.478323078725"/>
  </r>
  <r>
    <n v="1306"/>
    <x v="4"/>
    <s v="Freshwater"/>
    <x v="1"/>
    <x v="1"/>
    <n v="844"/>
    <s v="Skykomish River"/>
    <s v="Skykomish River"/>
    <s v="Snohomish"/>
    <x v="2"/>
    <s v="Skagit"/>
    <s v="02Skagit"/>
    <s v="North Puget Sound"/>
    <s v="01North Puget Sound"/>
    <n v="12.919540229885101"/>
    <n v="110.332873563219"/>
    <n v="15.910125664350421"/>
    <n v="332.95497564651407"/>
  </r>
  <r>
    <n v="1307"/>
    <x v="4"/>
    <s v="Freshwater"/>
    <x v="1"/>
    <x v="1"/>
    <n v="844"/>
    <s v="Skykomish River"/>
    <s v="Skykomish River"/>
    <s v="Snohomish"/>
    <x v="2"/>
    <s v="Snohomish"/>
    <s v="03Snohomish"/>
    <s v="North Puget Sound"/>
    <s v="01North Puget Sound"/>
    <n v="1912.09195402299"/>
    <n v="16329.2652873563"/>
    <n v="1906.6512655949516"/>
    <n v="39900.943530887016"/>
  </r>
  <r>
    <n v="1311"/>
    <x v="4"/>
    <s v="Freshwater"/>
    <x v="1"/>
    <x v="1"/>
    <n v="844"/>
    <s v="Skykomish River"/>
    <s v="Skykomish River"/>
    <s v="Snohomish"/>
    <x v="2"/>
    <s v="Thurston"/>
    <s v="08Thurston"/>
    <s v="South Puget Sound"/>
    <s v="02South Puget Sound"/>
    <n v="9.6896551724138007"/>
    <n v="82.749655172413895"/>
    <n v="9.6292947558770408"/>
    <n v="201.51453662745445"/>
  </r>
  <r>
    <n v="1305"/>
    <x v="4"/>
    <s v="Freshwater"/>
    <x v="1"/>
    <x v="1"/>
    <n v="844"/>
    <s v="Skykomish River"/>
    <s v="Skykomish River"/>
    <s v="Snohomish"/>
    <x v="2"/>
    <s v="Whatcom"/>
    <s v="01Whatcom"/>
    <s v="North Puget Sound"/>
    <s v="01North Puget Sound"/>
    <n v="16.149425287356301"/>
    <n v="137.91609195402299"/>
    <n v="15.956501096601951"/>
    <n v="333.92548532328573"/>
  </r>
  <r>
    <n v="1466"/>
    <x v="5"/>
    <s v="Freshwater"/>
    <x v="1"/>
    <x v="1"/>
    <n v="844"/>
    <s v="Skykomish River"/>
    <s v="Skykomish River"/>
    <s v="Snohomish"/>
    <x v="2"/>
    <s v="Island"/>
    <s v="04Island"/>
    <s v="North Puget Sound"/>
    <s v="01North Puget Sound"/>
    <n v="50.227272727272698"/>
    <n v="931.71590909090901"/>
    <n v="10.43329898087714"/>
    <n v="218.34012385423719"/>
  </r>
  <r>
    <n v="1467"/>
    <x v="5"/>
    <s v="Freshwater"/>
    <x v="1"/>
    <x v="1"/>
    <n v="844"/>
    <s v="Skykomish River"/>
    <s v="Skykomish River"/>
    <s v="Snohomish"/>
    <x v="2"/>
    <s v="King"/>
    <s v="06King"/>
    <s v="South Puget Sound"/>
    <s v="02South Puget Sound"/>
    <n v="1117.5568181818201"/>
    <n v="20730.678977272801"/>
    <n v="1200.2919828039717"/>
    <n v="25118.79518328865"/>
  </r>
  <r>
    <n v="1577"/>
    <x v="5"/>
    <s v="Freshwater"/>
    <x v="1"/>
    <x v="1"/>
    <n v="844"/>
    <s v="Skykomish River"/>
    <s v="Skykomish River"/>
    <s v="Snohomish"/>
    <x v="2"/>
    <s v="Other"/>
    <s v="20Other"/>
    <s v="Non Puget Sound"/>
    <s v="07Non Puget Sound"/>
    <n v="12.556818181818199"/>
    <n v="232.92897727272799"/>
    <n v="39.008447820210208"/>
    <n v="816.33904520870931"/>
  </r>
  <r>
    <n v="1576"/>
    <x v="5"/>
    <s v="Freshwater"/>
    <x v="1"/>
    <x v="1"/>
    <n v="844"/>
    <s v="Skykomish River"/>
    <s v="Skykomish River"/>
    <s v="Snohomish"/>
    <x v="2"/>
    <s v="Pierce"/>
    <s v="07Pierce"/>
    <s v="South Puget Sound"/>
    <s v="02South Puget Sound"/>
    <n v="25.113636363636399"/>
    <n v="465.85795454545502"/>
    <n v="36.955393016368767"/>
    <n v="773.374280087736"/>
  </r>
  <r>
    <n v="1465"/>
    <x v="5"/>
    <s v="Freshwater"/>
    <x v="1"/>
    <x v="1"/>
    <n v="844"/>
    <s v="Skykomish River"/>
    <s v="Skykomish River"/>
    <s v="Snohomish"/>
    <x v="2"/>
    <s v="Snohomish"/>
    <s v="03Snohomish"/>
    <s v="North Puget Sound"/>
    <s v="01North Puget Sound"/>
    <n v="2109.54545454545"/>
    <n v="39132.068181818096"/>
    <n v="1872.3251700443798"/>
    <n v="39182.593182863711"/>
  </r>
  <r>
    <n v="1794"/>
    <x v="6"/>
    <s v="Freshwater"/>
    <x v="1"/>
    <x v="1"/>
    <n v="844"/>
    <s v="Skykomish River"/>
    <s v="Skykomish River"/>
    <s v="Snohomish"/>
    <x v="2"/>
    <s v="Clallam"/>
    <s v="11Clallam"/>
    <s v="Strait of Juan de Fuca"/>
    <s v="03Strait of Juan de Fuca"/>
    <n v="3.2022900763358799"/>
    <n v="27.347557251908398"/>
    <n v="3.1793103448275901"/>
    <n v="66.534182115650793"/>
  </r>
  <r>
    <n v="1639"/>
    <x v="6"/>
    <s v="Freshwater"/>
    <x v="1"/>
    <x v="1"/>
    <n v="844"/>
    <s v="Skykomish River"/>
    <s v="Skykomish River"/>
    <s v="Snohomish"/>
    <x v="2"/>
    <s v="Island"/>
    <s v="04Island"/>
    <s v="North Puget Sound"/>
    <s v="01North Puget Sound"/>
    <n v="6.4045801526717598"/>
    <n v="54.695114503816797"/>
    <n v="6.4074982642906804"/>
    <n v="134.09123683556322"/>
  </r>
  <r>
    <n v="1734"/>
    <x v="6"/>
    <s v="Freshwater"/>
    <x v="1"/>
    <x v="1"/>
    <n v="844"/>
    <s v="Skykomish River"/>
    <s v="Skykomish River"/>
    <s v="Snohomish"/>
    <x v="2"/>
    <s v="King"/>
    <s v="06King"/>
    <s v="South Puget Sound"/>
    <s v="02South Puget Sound"/>
    <n v="704.50381679389295"/>
    <n v="6016.46259541985"/>
    <n v="939.54403454910414"/>
    <n v="19662.060988183694"/>
  </r>
  <r>
    <n v="1793"/>
    <x v="6"/>
    <s v="Freshwater"/>
    <x v="1"/>
    <x v="1"/>
    <n v="844"/>
    <s v="Skykomish River"/>
    <s v="Skykomish River"/>
    <s v="Snohomish"/>
    <x v="2"/>
    <s v="Kitsap"/>
    <s v="10Kitsap"/>
    <s v="South Puget Sound"/>
    <s v="02South Puget Sound"/>
    <n v="19.213740458015302"/>
    <n v="164.08534351145099"/>
    <n v="19.319334749952723"/>
    <n v="404.30030327104822"/>
  </r>
  <r>
    <n v="1795"/>
    <x v="6"/>
    <s v="Freshwater"/>
    <x v="1"/>
    <x v="1"/>
    <n v="844"/>
    <s v="Skykomish River"/>
    <s v="Skykomish River"/>
    <s v="Snohomish"/>
    <x v="2"/>
    <s v="Other"/>
    <s v="20Other"/>
    <s v="Non Puget Sound"/>
    <s v="07Non Puget Sound"/>
    <n v="12.8091603053435"/>
    <n v="109.390229007633"/>
    <n v="12.863874103216849"/>
    <n v="269.2053462753878"/>
  </r>
  <r>
    <n v="1735"/>
    <x v="6"/>
    <s v="Freshwater"/>
    <x v="1"/>
    <x v="1"/>
    <n v="844"/>
    <s v="Skykomish River"/>
    <s v="Skykomish River"/>
    <s v="Snohomish"/>
    <x v="2"/>
    <s v="Pierce"/>
    <s v="07Pierce"/>
    <s v="South Puget Sound"/>
    <s v="02South Puget Sound"/>
    <n v="3.2022900763358799"/>
    <n v="27.347557251908398"/>
    <n v="10.97166007160355"/>
    <n v="229.60653416634963"/>
  </r>
  <r>
    <n v="1637"/>
    <x v="6"/>
    <s v="Freshwater"/>
    <x v="1"/>
    <x v="1"/>
    <n v="844"/>
    <s v="Skykomish River"/>
    <s v="Skykomish River"/>
    <s v="Snohomish"/>
    <x v="2"/>
    <s v="Skagit"/>
    <s v="02Skagit"/>
    <s v="North Puget Sound"/>
    <s v="01North Puget Sound"/>
    <n v="19.213740458015302"/>
    <n v="164.08534351145099"/>
    <n v="23.167547230895551"/>
    <n v="484.83275913630126"/>
  </r>
  <r>
    <n v="1638"/>
    <x v="6"/>
    <s v="Freshwater"/>
    <x v="1"/>
    <x v="1"/>
    <n v="844"/>
    <s v="Skykomish River"/>
    <s v="Skykomish River"/>
    <s v="Snohomish"/>
    <x v="2"/>
    <s v="Snohomish"/>
    <s v="03Snohomish"/>
    <s v="North Puget Sound"/>
    <s v="01North Puget Sound"/>
    <n v="880.62977099236696"/>
    <n v="7520.5782442748095"/>
    <n v="1256.5419269855774"/>
    <n v="26295.951114688327"/>
  </r>
  <r>
    <n v="1636"/>
    <x v="6"/>
    <s v="Freshwater"/>
    <x v="1"/>
    <x v="1"/>
    <n v="844"/>
    <s v="Skykomish River"/>
    <s v="Skykomish River"/>
    <s v="Snohomish"/>
    <x v="2"/>
    <s v="Whatcom"/>
    <s v="01Whatcom"/>
    <s v="North Puget Sound"/>
    <s v="01North Puget Sound"/>
    <n v="28.820610687022899"/>
    <n v="246.12801526717601"/>
    <n v="29.004813700532292"/>
    <n v="606.99061987494963"/>
  </r>
  <r>
    <n v="1810"/>
    <x v="7"/>
    <s v="Freshwater"/>
    <x v="1"/>
    <x v="1"/>
    <n v="844"/>
    <s v="Skykomish River"/>
    <s v="Skykomish River"/>
    <s v="Snohomish"/>
    <x v="2"/>
    <s v="Island"/>
    <s v="04Island"/>
    <s v="North Puget Sound"/>
    <s v="01North Puget Sound"/>
    <n v="17.331651954602801"/>
    <n v="321.50214375788198"/>
    <n v="8.6456377430061693"/>
    <n v="180.92931287282389"/>
  </r>
  <r>
    <n v="1913"/>
    <x v="7"/>
    <s v="Freshwater"/>
    <x v="1"/>
    <x v="1"/>
    <n v="844"/>
    <s v="Skykomish River"/>
    <s v="Skykomish River"/>
    <s v="Snohomish"/>
    <x v="2"/>
    <s v="King"/>
    <s v="06King"/>
    <s v="South Puget Sound"/>
    <s v="02South Puget Sound"/>
    <n v="2903.0517023959701"/>
    <n v="53851.609079445203"/>
    <n v="1181.8336610321228"/>
    <n v="24732.513502950183"/>
  </r>
  <r>
    <n v="1965"/>
    <x v="7"/>
    <s v="Freshwater"/>
    <x v="1"/>
    <x v="1"/>
    <n v="844"/>
    <s v="Skykomish River"/>
    <s v="Skykomish River"/>
    <s v="Snohomish"/>
    <x v="2"/>
    <s v="Other"/>
    <s v="20Other"/>
    <s v="Non Puget Sound"/>
    <s v="07Non Puget Sound"/>
    <n v="216.64564943253501"/>
    <n v="4018.77679697352"/>
    <n v="91.860745272991451"/>
    <n v="1922.3916171681758"/>
  </r>
  <r>
    <n v="1914"/>
    <x v="7"/>
    <s v="Freshwater"/>
    <x v="1"/>
    <x v="1"/>
    <n v="844"/>
    <s v="Skykomish River"/>
    <s v="Skykomish River"/>
    <s v="Snohomish"/>
    <x v="2"/>
    <s v="Pierce"/>
    <s v="07Pierce"/>
    <s v="South Puget Sound"/>
    <s v="02South Puget Sound"/>
    <n v="60.660781841109703"/>
    <n v="1125.2575031525901"/>
    <n v="30.104480796586103"/>
    <n v="630.00361417242857"/>
  </r>
  <r>
    <n v="1808"/>
    <x v="7"/>
    <s v="Freshwater"/>
    <x v="1"/>
    <x v="1"/>
    <n v="844"/>
    <s v="Skykomish River"/>
    <s v="Skykomish River"/>
    <s v="Snohomish"/>
    <x v="2"/>
    <s v="Skagit"/>
    <s v="02Skagit"/>
    <s v="North Puget Sound"/>
    <s v="01North Puget Sound"/>
    <n v="8.6658259773013899"/>
    <n v="160.75107187894099"/>
    <n v="4.1675675675675699"/>
    <n v="87.215675553956459"/>
  </r>
  <r>
    <n v="1809"/>
    <x v="7"/>
    <s v="Freshwater"/>
    <x v="1"/>
    <x v="1"/>
    <n v="844"/>
    <s v="Skykomish River"/>
    <s v="Skykomish River"/>
    <s v="Snohomish"/>
    <x v="2"/>
    <s v="Snohomish"/>
    <s v="03Snohomish"/>
    <s v="North Puget Sound"/>
    <s v="01North Puget Sound"/>
    <n v="3630.98108448928"/>
    <n v="67354.699117276105"/>
    <n v="1525.8738833272459"/>
    <n v="31932.324884224454"/>
  </r>
  <r>
    <n v="1964"/>
    <x v="7"/>
    <s v="Freshwater"/>
    <x v="1"/>
    <x v="1"/>
    <n v="844"/>
    <s v="Skykomish River"/>
    <s v="Skykomish River"/>
    <s v="Snohomish"/>
    <x v="2"/>
    <s v="Thurston"/>
    <s v="08Thurston"/>
    <s v="South Puget Sound"/>
    <s v="02South Puget Sound"/>
    <n v="17.331651954602801"/>
    <n v="321.50214375788198"/>
    <n v="4.1675675675675699"/>
    <n v="87.215675553956459"/>
  </r>
  <r>
    <n v="1807"/>
    <x v="7"/>
    <s v="Freshwater"/>
    <x v="1"/>
    <x v="1"/>
    <n v="844"/>
    <s v="Skykomish River"/>
    <s v="Skykomish River"/>
    <s v="Snohomish"/>
    <x v="2"/>
    <s v="Whatcom"/>
    <s v="01Whatcom"/>
    <s v="North Puget Sound"/>
    <s v="01North Puget Sound"/>
    <n v="17.331651954602801"/>
    <n v="321.50214375788198"/>
    <n v="8.3464566929133905"/>
    <n v="174.66828003442569"/>
  </r>
  <r>
    <n v="2105"/>
    <x v="8"/>
    <s v="Freshwater"/>
    <x v="1"/>
    <x v="1"/>
    <n v="844"/>
    <s v="Skykomish River"/>
    <s v="Skykomish River"/>
    <s v="Snohomish"/>
    <x v="2"/>
    <s v="Clallam"/>
    <s v="11Clallam"/>
    <s v="Strait of Juan de Fuca"/>
    <s v="03Strait of Juan de Fuca"/>
    <n v="13.922879177377901"/>
    <n v="118.901388174807"/>
    <n v="7.1172161172161204"/>
    <n v="148.94367077743766"/>
  </r>
  <r>
    <n v="2101"/>
    <x v="8"/>
    <s v="Freshwater"/>
    <x v="1"/>
    <x v="1"/>
    <n v="844"/>
    <s v="Skykomish River"/>
    <s v="Skykomish River"/>
    <s v="Snohomish"/>
    <x v="2"/>
    <s v="Island"/>
    <s v="04Island"/>
    <s v="North Puget Sound"/>
    <s v="01North Puget Sound"/>
    <n v="6.9614395886889504"/>
    <n v="59.450694087403598"/>
    <n v="3.5586080586080602"/>
    <n v="74.47183538871883"/>
  </r>
  <r>
    <n v="2102"/>
    <x v="8"/>
    <s v="Freshwater"/>
    <x v="1"/>
    <x v="1"/>
    <n v="844"/>
    <s v="Skykomish River"/>
    <s v="Skykomish River"/>
    <s v="Snohomish"/>
    <x v="2"/>
    <s v="King"/>
    <s v="06King"/>
    <s v="South Puget Sound"/>
    <s v="02South Puget Sound"/>
    <n v="2408.6580976863802"/>
    <n v="20569.9401542417"/>
    <n v="1489.5281394795691"/>
    <n v="31171.708876974848"/>
  </r>
  <r>
    <n v="2104"/>
    <x v="8"/>
    <s v="Freshwater"/>
    <x v="1"/>
    <x v="1"/>
    <n v="844"/>
    <s v="Skykomish River"/>
    <s v="Skykomish River"/>
    <s v="Snohomish"/>
    <x v="2"/>
    <s v="Kitsap"/>
    <s v="10Kitsap"/>
    <s v="South Puget Sound"/>
    <s v="02South Puget Sound"/>
    <n v="27.845758354755802"/>
    <n v="237.80277634961499"/>
    <n v="14.237048665620121"/>
    <n v="297.9420962312883"/>
  </r>
  <r>
    <n v="2106"/>
    <x v="8"/>
    <s v="Freshwater"/>
    <x v="1"/>
    <x v="1"/>
    <n v="844"/>
    <s v="Skykomish River"/>
    <s v="Skykomish River"/>
    <s v="Snohomish"/>
    <x v="2"/>
    <s v="Other"/>
    <s v="20Other"/>
    <s v="Non Puget Sound"/>
    <s v="07Non Puget Sound"/>
    <n v="48.7300771208226"/>
    <n v="416.15485861182498"/>
    <n v="42.83287284144432"/>
    <n v="896.37369525928216"/>
  </r>
  <r>
    <n v="2103"/>
    <x v="8"/>
    <s v="Freshwater"/>
    <x v="1"/>
    <x v="1"/>
    <n v="844"/>
    <s v="Skykomish River"/>
    <s v="Skykomish River"/>
    <s v="Snohomish"/>
    <x v="2"/>
    <s v="Pierce"/>
    <s v="07Pierce"/>
    <s v="South Puget Sound"/>
    <s v="02South Puget Sound"/>
    <n v="229.727506426735"/>
    <n v="1961.87290488432"/>
    <n v="117.43137814566396"/>
    <n v="2457.5143198419532"/>
  </r>
  <r>
    <n v="1976"/>
    <x v="8"/>
    <s v="Freshwater"/>
    <x v="1"/>
    <x v="1"/>
    <n v="844"/>
    <s v="Skykomish River"/>
    <s v="Skykomish River"/>
    <s v="Snohomish"/>
    <x v="2"/>
    <s v="Skagit"/>
    <s v="02Skagit"/>
    <s v="North Puget Sound"/>
    <s v="01North Puget Sound"/>
    <n v="104.421593830334"/>
    <n v="891.76041131105205"/>
    <n v="53.381737310308722"/>
    <n v="1117.1322855071942"/>
  </r>
  <r>
    <n v="2100"/>
    <x v="8"/>
    <s v="Freshwater"/>
    <x v="1"/>
    <x v="1"/>
    <n v="844"/>
    <s v="Skykomish River"/>
    <s v="Skykomish River"/>
    <s v="Snohomish"/>
    <x v="2"/>
    <s v="Snohomish"/>
    <s v="03Snohomish"/>
    <s v="North Puget Sound"/>
    <s v="01North Puget Sound"/>
    <n v="2575.7326478149098"/>
    <n v="21996.756812339299"/>
    <n v="1611.4129993815714"/>
    <n v="33722.422266453716"/>
  </r>
  <r>
    <n v="2247"/>
    <x v="9"/>
    <s v="Freshwater"/>
    <x v="1"/>
    <x v="1"/>
    <n v="844"/>
    <s v="Skykomish River"/>
    <s v="Skykomish River"/>
    <s v="Snohomish"/>
    <x v="2"/>
    <s v="King"/>
    <s v="06King"/>
    <s v="South Puget Sound"/>
    <s v="02South Puget Sound"/>
    <n v="149.010309278351"/>
    <n v="2764.1412371134102"/>
    <n v="116.71"/>
    <n v="2442.417868186662"/>
  </r>
  <r>
    <n v="2249"/>
    <x v="9"/>
    <s v="Freshwater"/>
    <x v="1"/>
    <x v="1"/>
    <n v="844"/>
    <s v="Skykomish River"/>
    <s v="Skykomish River"/>
    <s v="Snohomish"/>
    <x v="2"/>
    <s v="Other"/>
    <s v="20Other"/>
    <s v="Non Puget Sound"/>
    <s v="07Non Puget Sound"/>
    <n v="27.0927835051546"/>
    <n v="502.57113402061799"/>
    <n v="13.399999999999999"/>
    <n v="280.42498015338248"/>
  </r>
  <r>
    <n v="2248"/>
    <x v="9"/>
    <s v="Freshwater"/>
    <x v="1"/>
    <x v="1"/>
    <n v="844"/>
    <s v="Skykomish River"/>
    <s v="Skykomish River"/>
    <s v="Snohomish"/>
    <x v="2"/>
    <s v="Pierce"/>
    <s v="07Pierce"/>
    <s v="South Puget Sound"/>
    <s v="02South Puget Sound"/>
    <n v="4.5154639175257696"/>
    <n v="83.761855670103003"/>
    <n v="2.25"/>
    <n v="47.086283980978408"/>
  </r>
  <r>
    <n v="2115"/>
    <x v="9"/>
    <s v="Freshwater"/>
    <x v="1"/>
    <x v="1"/>
    <n v="844"/>
    <s v="Skykomish River"/>
    <s v="Skykomish River"/>
    <s v="Snohomish"/>
    <x v="2"/>
    <s v="Snohomish"/>
    <s v="03Snohomish"/>
    <s v="North Puget Sound"/>
    <s v="01North Puget Sound"/>
    <n v="257.38144329896897"/>
    <n v="4774.4257731958796"/>
    <n v="177.64000000000001"/>
    <n v="3717.5144383915581"/>
  </r>
  <r>
    <n v="2363"/>
    <x v="10"/>
    <s v="Freshwater"/>
    <x v="1"/>
    <x v="1"/>
    <n v="844"/>
    <s v="Skykomish River"/>
    <s v="Skykomish River"/>
    <s v="Snohomish"/>
    <x v="2"/>
    <s v="Island"/>
    <s v="04Island"/>
    <s v="North Puget Sound"/>
    <s v="01North Puget Sound"/>
    <n v="15.478260869565201"/>
    <n v="132.18434782608699"/>
    <n v="7.4545454545454604"/>
    <n v="156.00304187637303"/>
  </r>
  <r>
    <n v="2364"/>
    <x v="10"/>
    <s v="Freshwater"/>
    <x v="1"/>
    <x v="1"/>
    <n v="844"/>
    <s v="Skykomish River"/>
    <s v="Skykomish River"/>
    <s v="Snohomish"/>
    <x v="2"/>
    <s v="King"/>
    <s v="06King"/>
    <s v="South Puget Sound"/>
    <s v="02South Puget Sound"/>
    <n v="495.304347826087"/>
    <n v="4229.8991304347801"/>
    <n v="177.45337995338002"/>
    <n v="3713.6089963863615"/>
  </r>
  <r>
    <n v="2365"/>
    <x v="10"/>
    <s v="Freshwater"/>
    <x v="1"/>
    <x v="1"/>
    <n v="844"/>
    <s v="Skykomish River"/>
    <s v="Skykomish River"/>
    <s v="Snohomish"/>
    <x v="2"/>
    <s v="Other"/>
    <s v="20Other"/>
    <s v="Non Puget Sound"/>
    <s v="07Non Puget Sound"/>
    <n v="15.478260869565201"/>
    <n v="132.18434782608699"/>
    <n v="0"/>
    <n v="0"/>
  </r>
  <r>
    <n v="2362"/>
    <x v="10"/>
    <s v="Freshwater"/>
    <x v="1"/>
    <x v="1"/>
    <n v="844"/>
    <s v="Skykomish River"/>
    <s v="Skykomish River"/>
    <s v="Snohomish"/>
    <x v="2"/>
    <s v="Snohomish"/>
    <s v="03Snohomish"/>
    <s v="North Puget Sound"/>
    <s v="01North Puget Sound"/>
    <n v="541.73913043478296"/>
    <n v="4626.4521739130496"/>
    <n v="227.09207459207465"/>
    <n v="4752.4097395875369"/>
  </r>
  <r>
    <n v="2472"/>
    <x v="11"/>
    <s v="Freshwater"/>
    <x v="1"/>
    <x v="1"/>
    <n v="844"/>
    <s v="Skykomish River"/>
    <s v="Skykomish River"/>
    <s v="Snohomish"/>
    <x v="2"/>
    <s v="King"/>
    <s v="06King"/>
    <s v="South Puget Sound"/>
    <s v="02South Puget Sound"/>
    <n v="917.64705882352996"/>
    <n v="17022.352941176501"/>
    <n v="413.38444444444451"/>
    <n v="8650.994375302269"/>
  </r>
  <r>
    <n v="2474"/>
    <x v="11"/>
    <s v="Freshwater"/>
    <x v="1"/>
    <x v="1"/>
    <n v="844"/>
    <s v="Skykomish River"/>
    <s v="Skykomish River"/>
    <s v="Snohomish"/>
    <x v="2"/>
    <s v="Kitsap"/>
    <s v="10Kitsap"/>
    <s v="South Puget Sound"/>
    <s v="02South Puget Sound"/>
    <n v="14.3382352941177"/>
    <n v="265.974264705883"/>
    <n v="0"/>
    <n v="0"/>
  </r>
  <r>
    <n v="2475"/>
    <x v="11"/>
    <s v="Freshwater"/>
    <x v="1"/>
    <x v="1"/>
    <n v="844"/>
    <s v="Skykomish River"/>
    <s v="Skykomish River"/>
    <s v="Snohomish"/>
    <x v="2"/>
    <s v="Other"/>
    <s v="20Other"/>
    <s v="Non Puget Sound"/>
    <s v="07Non Puget Sound"/>
    <n v="14.3382352941177"/>
    <n v="265.974264705883"/>
    <n v="15"/>
    <n v="313.9085598731894"/>
  </r>
  <r>
    <n v="2473"/>
    <x v="11"/>
    <s v="Freshwater"/>
    <x v="1"/>
    <x v="1"/>
    <n v="844"/>
    <s v="Skykomish River"/>
    <s v="Skykomish River"/>
    <s v="Snohomish"/>
    <x v="2"/>
    <s v="Pierce"/>
    <s v="07Pierce"/>
    <s v="South Puget Sound"/>
    <s v="02South Puget Sound"/>
    <n v="57.352941176470601"/>
    <n v="1063.89705882353"/>
    <n v="21.2844444444444"/>
    <n v="445.42462021709656"/>
  </r>
  <r>
    <n v="2471"/>
    <x v="11"/>
    <s v="Freshwater"/>
    <x v="1"/>
    <x v="1"/>
    <n v="844"/>
    <s v="Skykomish River"/>
    <s v="Skykomish River"/>
    <s v="Snohomish"/>
    <x v="2"/>
    <s v="Snohomish"/>
    <s v="03Snohomish"/>
    <s v="North Puget Sound"/>
    <s v="01North Puget Sound"/>
    <n v="946.32352941176498"/>
    <n v="17554.301470588201"/>
    <n v="439.33111111111117"/>
    <n v="9193.9864264251373"/>
  </r>
  <r>
    <n v="1774"/>
    <x v="0"/>
    <s v="Freshwater"/>
    <x v="1"/>
    <x v="1"/>
    <n v="846"/>
    <s v="Skykomish River, No. Fork"/>
    <s v="Skykomish River, No. Fork"/>
    <s v="Snohomish"/>
    <x v="2"/>
    <s v="King"/>
    <s v="06King"/>
    <s v="South Puget Sound"/>
    <s v="02South Puget Sound"/>
    <n v="21.846153846153801"/>
    <n v="186.56615384615299"/>
    <n v="22.875"/>
    <n v="478.7105538066138"/>
  </r>
  <r>
    <n v="1942"/>
    <x v="0"/>
    <s v="Freshwater"/>
    <x v="1"/>
    <x v="1"/>
    <n v="846"/>
    <s v="Skykomish River, No. Fork"/>
    <s v="Skykomish River, No. Fork"/>
    <s v="Snohomish"/>
    <x v="2"/>
    <s v="Other"/>
    <s v="20Other"/>
    <s v="Non Puget Sound"/>
    <s v="07Non Puget Sound"/>
    <n v="5.4615384615384599"/>
    <n v="46.641538461538403"/>
    <n v="5.375"/>
    <n v="112.4839006212262"/>
  </r>
  <r>
    <n v="1775"/>
    <x v="0"/>
    <s v="Freshwater"/>
    <x v="1"/>
    <x v="1"/>
    <n v="846"/>
    <s v="Skykomish River, No. Fork"/>
    <s v="Skykomish River, No. Fork"/>
    <s v="Snohomish"/>
    <x v="2"/>
    <s v="Pierce"/>
    <s v="07Pierce"/>
    <s v="South Puget Sound"/>
    <s v="02South Puget Sound"/>
    <n v="2.7307692307692299"/>
    <n v="23.320769230769201"/>
    <n v="3"/>
    <n v="62.781711974637879"/>
  </r>
  <r>
    <n v="1773"/>
    <x v="0"/>
    <s v="Freshwater"/>
    <x v="1"/>
    <x v="1"/>
    <n v="846"/>
    <s v="Skykomish River, No. Fork"/>
    <s v="Skykomish River, No. Fork"/>
    <s v="Snohomish"/>
    <x v="2"/>
    <s v="Snohomish"/>
    <s v="03Snohomish"/>
    <s v="North Puget Sound"/>
    <s v="01North Puget Sound"/>
    <n v="40.961538461538503"/>
    <n v="349.81153846153899"/>
    <n v="37.75"/>
    <n v="790.00320901419332"/>
  </r>
  <r>
    <n v="2450"/>
    <x v="1"/>
    <s v="Freshwater"/>
    <x v="1"/>
    <x v="1"/>
    <n v="846"/>
    <s v="Skykomish River, No. Fork"/>
    <s v="Skykomish River, No. Fork"/>
    <s v="Snohomish"/>
    <x v="2"/>
    <s v="King"/>
    <s v="06King"/>
    <s v="South Puget Sound"/>
    <s v="02South Puget Sound"/>
    <n v="30"/>
    <n v="556.5"/>
    <n v="13.95"/>
    <n v="291.93496068206611"/>
  </r>
  <r>
    <n v="2449"/>
    <x v="1"/>
    <s v="Freshwater"/>
    <x v="1"/>
    <x v="1"/>
    <n v="846"/>
    <s v="Skykomish River, No. Fork"/>
    <s v="Skykomish River, No. Fork"/>
    <s v="Snohomish"/>
    <x v="2"/>
    <s v="Snohomish"/>
    <s v="03Snohomish"/>
    <s v="North Puget Sound"/>
    <s v="01North Puget Sound"/>
    <n v="27.272727272727298"/>
    <n v="505.90909090909099"/>
    <n v="27.05"/>
    <n v="566.08176963798485"/>
  </r>
  <r>
    <n v="2448"/>
    <x v="1"/>
    <s v="Freshwater"/>
    <x v="1"/>
    <x v="1"/>
    <n v="846"/>
    <s v="Skykomish River, No. Fork"/>
    <s v="Skykomish River, No. Fork"/>
    <s v="Snohomish"/>
    <x v="2"/>
    <s v="Whatcom"/>
    <s v="01Whatcom"/>
    <s v="North Puget Sound"/>
    <s v="01North Puget Sound"/>
    <n v="2.7272727272727302"/>
    <n v="50.590909090909101"/>
    <n v="3"/>
    <n v="62.781711974637879"/>
  </r>
  <r>
    <n v="1900"/>
    <x v="2"/>
    <s v="Freshwater"/>
    <x v="1"/>
    <x v="1"/>
    <n v="846"/>
    <s v="Skykomish River, No. Fork"/>
    <s v="Skykomish River, No. Fork"/>
    <s v="Snohomish"/>
    <x v="2"/>
    <s v="Island"/>
    <s v="04Island"/>
    <s v="North Puget Sound"/>
    <s v="01North Puget Sound"/>
    <n v="8.9210526315789505"/>
    <n v="76.185789473684196"/>
    <n v="9"/>
    <n v="188.34513592391363"/>
  </r>
  <r>
    <n v="1901"/>
    <x v="2"/>
    <s v="Freshwater"/>
    <x v="1"/>
    <x v="1"/>
    <n v="846"/>
    <s v="Skykomish River, No. Fork"/>
    <s v="Skykomish River, No. Fork"/>
    <s v="Snohomish"/>
    <x v="2"/>
    <s v="King"/>
    <s v="06King"/>
    <s v="South Puget Sound"/>
    <s v="02South Puget Sound"/>
    <n v="35.684210526315802"/>
    <n v="304.74315789473701"/>
    <n v="27.28571428571426"/>
    <n v="571.01461843599157"/>
  </r>
  <r>
    <n v="1738"/>
    <x v="2"/>
    <s v="Freshwater"/>
    <x v="1"/>
    <x v="1"/>
    <n v="846"/>
    <s v="Skykomish River, No. Fork"/>
    <s v="Skykomish River, No. Fork"/>
    <s v="Snohomish"/>
    <x v="2"/>
    <s v="Skagit"/>
    <s v="02Skagit"/>
    <s v="North Puget Sound"/>
    <s v="01North Puget Sound"/>
    <n v="2.9736842105263199"/>
    <n v="25.395263157894799"/>
    <n v="2.9285714285714302"/>
    <n v="61.286909308575105"/>
  </r>
  <r>
    <n v="1739"/>
    <x v="2"/>
    <s v="Freshwater"/>
    <x v="1"/>
    <x v="1"/>
    <n v="846"/>
    <s v="Skykomish River, No. Fork"/>
    <s v="Skykomish River, No. Fork"/>
    <s v="Snohomish"/>
    <x v="2"/>
    <s v="Snohomish"/>
    <s v="03Snohomish"/>
    <s v="North Puget Sound"/>
    <s v="01North Puget Sound"/>
    <n v="56.5"/>
    <n v="482.51"/>
    <n v="58.78571428571427"/>
    <n v="1230.2225941696895"/>
  </r>
  <r>
    <n v="1727"/>
    <x v="2"/>
    <s v="Freshwater"/>
    <x v="1"/>
    <x v="1"/>
    <n v="846"/>
    <s v="Skykomish River, No. Fork"/>
    <s v="Skykomish River, No. Fork"/>
    <s v="Snohomish"/>
    <x v="2"/>
    <s v="Whatcom"/>
    <s v="01Whatcom"/>
    <s v="North Puget Sound"/>
    <s v="01North Puget Sound"/>
    <n v="8.9210526315789505"/>
    <n v="76.185789473684196"/>
    <n v="9"/>
    <n v="188.34513592391363"/>
  </r>
  <r>
    <n v="2072"/>
    <x v="3"/>
    <s v="Freshwater"/>
    <x v="1"/>
    <x v="1"/>
    <n v="846"/>
    <s v="Skykomish River, No. Fork"/>
    <s v="Skykomish River, No. Fork"/>
    <s v="Snohomish"/>
    <x v="2"/>
    <s v="King"/>
    <s v="06King"/>
    <s v="South Puget Sound"/>
    <s v="02South Puget Sound"/>
    <n v="57.945945945946001"/>
    <n v="1074.8972972972999"/>
    <n v="81.085470085470078"/>
    <n v="1696.8948760780329"/>
  </r>
  <r>
    <n v="2073"/>
    <x v="3"/>
    <s v="Freshwater"/>
    <x v="1"/>
    <x v="1"/>
    <n v="846"/>
    <s v="Skykomish River, No. Fork"/>
    <s v="Skykomish River, No. Fork"/>
    <s v="Snohomish"/>
    <x v="2"/>
    <s v="Other"/>
    <s v="20Other"/>
    <s v="Non Puget Sound"/>
    <s v="07Non Puget Sound"/>
    <n v="7.2432432432432501"/>
    <n v="134.36216216216201"/>
    <n v="7.5384615384615401"/>
    <n v="157.75917367985932"/>
  </r>
  <r>
    <n v="1935"/>
    <x v="3"/>
    <s v="Freshwater"/>
    <x v="1"/>
    <x v="1"/>
    <n v="846"/>
    <s v="Skykomish River, No. Fork"/>
    <s v="Skykomish River, No. Fork"/>
    <s v="Snohomish"/>
    <x v="2"/>
    <s v="Snohomish"/>
    <s v="03Snohomish"/>
    <s v="North Puget Sound"/>
    <s v="01North Puget Sound"/>
    <n v="68.810810810810807"/>
    <n v="1276.44054054054"/>
    <n v="66.376068376068403"/>
    <n v="1389.0677355983987"/>
  </r>
  <r>
    <n v="1448"/>
    <x v="4"/>
    <s v="Freshwater"/>
    <x v="1"/>
    <x v="1"/>
    <n v="846"/>
    <s v="Skykomish River, No. Fork"/>
    <s v="Skykomish River, No. Fork"/>
    <s v="Snohomish"/>
    <x v="2"/>
    <s v="King"/>
    <s v="06King"/>
    <s v="South Puget Sound"/>
    <s v="02South Puget Sound"/>
    <n v="64.941176470588303"/>
    <n v="554.59764705882401"/>
    <n v="54.974945533769088"/>
    <n v="1150.4737321074986"/>
  </r>
  <r>
    <n v="1449"/>
    <x v="4"/>
    <s v="Freshwater"/>
    <x v="1"/>
    <x v="1"/>
    <n v="846"/>
    <s v="Skykomish River, No. Fork"/>
    <s v="Skykomish River, No. Fork"/>
    <s v="Snohomish"/>
    <x v="2"/>
    <s v="Other"/>
    <s v="20Other"/>
    <s v="Non Puget Sound"/>
    <s v="07Non Puget Sound"/>
    <n v="9.7411764705882398"/>
    <n v="83.189647058823596"/>
    <n v="9.6352941176470601"/>
    <n v="201.64008669501345"/>
  </r>
  <r>
    <n v="1447"/>
    <x v="4"/>
    <s v="Freshwater"/>
    <x v="1"/>
    <x v="1"/>
    <n v="846"/>
    <s v="Skykomish River, No. Fork"/>
    <s v="Skykomish River, No. Fork"/>
    <s v="Snohomish"/>
    <x v="2"/>
    <s v="Snohomish"/>
    <s v="03Snohomish"/>
    <s v="North Puget Sound"/>
    <s v="01North Puget Sound"/>
    <n v="201.31764705882401"/>
    <n v="1719.25270588236"/>
    <n v="155.38976034858399"/>
    <n v="3251.8783926709352"/>
  </r>
  <r>
    <n v="1579"/>
    <x v="5"/>
    <s v="Freshwater"/>
    <x v="1"/>
    <x v="1"/>
    <n v="846"/>
    <s v="Skykomish River, No. Fork"/>
    <s v="Skykomish River, No. Fork"/>
    <s v="Snohomish"/>
    <x v="2"/>
    <s v="Other"/>
    <s v="20Other"/>
    <s v="Non Puget Sound"/>
    <s v="07Non Puget Sound"/>
    <n v="8"/>
    <n v="148.4"/>
    <n v="4"/>
    <n v="83.708949299517172"/>
  </r>
  <r>
    <n v="1578"/>
    <x v="5"/>
    <s v="Freshwater"/>
    <x v="1"/>
    <x v="1"/>
    <n v="846"/>
    <s v="Skykomish River, No. Fork"/>
    <s v="Skykomish River, No. Fork"/>
    <s v="Snohomish"/>
    <x v="2"/>
    <s v="Snohomish"/>
    <s v="03Snohomish"/>
    <s v="North Puget Sound"/>
    <s v="01North Puget Sound"/>
    <n v="32"/>
    <n v="593.6"/>
    <n v="67.833333333333371"/>
    <n v="1419.5642652043127"/>
  </r>
  <r>
    <n v="1796"/>
    <x v="6"/>
    <s v="Freshwater"/>
    <x v="1"/>
    <x v="1"/>
    <n v="846"/>
    <s v="Skykomish River, No. Fork"/>
    <s v="Skykomish River, No. Fork"/>
    <s v="Snohomish"/>
    <x v="2"/>
    <s v="King"/>
    <s v="06King"/>
    <s v="South Puget Sound"/>
    <s v="02South Puget Sound"/>
    <n v="6"/>
    <n v="51.24"/>
    <n v="6"/>
    <n v="125.56342394927576"/>
  </r>
  <r>
    <n v="1797"/>
    <x v="6"/>
    <s v="Freshwater"/>
    <x v="1"/>
    <x v="1"/>
    <n v="846"/>
    <s v="Skykomish River, No. Fork"/>
    <s v="Skykomish River, No. Fork"/>
    <s v="Snohomish"/>
    <x v="2"/>
    <s v="Other"/>
    <s v="20Other"/>
    <s v="Non Puget Sound"/>
    <s v="07Non Puget Sound"/>
    <n v="9"/>
    <n v="76.86"/>
    <n v="9"/>
    <n v="188.34513592391363"/>
  </r>
  <r>
    <n v="1968"/>
    <x v="7"/>
    <s v="Freshwater"/>
    <x v="1"/>
    <x v="1"/>
    <n v="846"/>
    <s v="Skykomish River, No. Fork"/>
    <s v="Skykomish River, No. Fork"/>
    <s v="Snohomish"/>
    <x v="2"/>
    <s v="King"/>
    <s v="06King"/>
    <s v="South Puget Sound"/>
    <s v="02South Puget Sound"/>
    <n v="16.6666666666667"/>
    <n v="309.16666666666703"/>
    <n v="4.5"/>
    <n v="94.172567961956815"/>
  </r>
  <r>
    <n v="1966"/>
    <x v="7"/>
    <s v="Freshwater"/>
    <x v="1"/>
    <x v="1"/>
    <n v="846"/>
    <s v="Skykomish River, No. Fork"/>
    <s v="Skykomish River, No. Fork"/>
    <s v="Snohomish"/>
    <x v="2"/>
    <s v="Skagit"/>
    <s v="02Skagit"/>
    <s v="North Puget Sound"/>
    <s v="01North Puget Sound"/>
    <n v="8.3333333333333304"/>
    <n v="154.583333333333"/>
    <n v="4.5"/>
    <n v="94.172567961956815"/>
  </r>
  <r>
    <n v="1967"/>
    <x v="7"/>
    <s v="Freshwater"/>
    <x v="1"/>
    <x v="1"/>
    <n v="846"/>
    <s v="Skykomish River, No. Fork"/>
    <s v="Skykomish River, No. Fork"/>
    <s v="Snohomish"/>
    <x v="2"/>
    <s v="Snohomish"/>
    <s v="03Snohomish"/>
    <s v="North Puget Sound"/>
    <s v="01North Puget Sound"/>
    <n v="25"/>
    <n v="463.75"/>
    <n v="12"/>
    <n v="251.12684789855152"/>
  </r>
  <r>
    <n v="2108"/>
    <x v="8"/>
    <s v="Freshwater"/>
    <x v="1"/>
    <x v="1"/>
    <n v="846"/>
    <s v="Skykomish River, No. Fork"/>
    <s v="Skykomish River, No. Fork"/>
    <s v="Snohomish"/>
    <x v="2"/>
    <s v="King"/>
    <s v="06King"/>
    <s v="South Puget Sound"/>
    <s v="02South Puget Sound"/>
    <n v="154.95652173913001"/>
    <n v="1323.3286956521699"/>
    <n v="81.46153846153851"/>
    <n v="1704.7649482343988"/>
  </r>
  <r>
    <n v="2107"/>
    <x v="8"/>
    <s v="Freshwater"/>
    <x v="1"/>
    <x v="1"/>
    <n v="846"/>
    <s v="Skykomish River, No. Fork"/>
    <s v="Skykomish River, No. Fork"/>
    <s v="Snohomish"/>
    <x v="2"/>
    <s v="Snohomish"/>
    <s v="03Snohomish"/>
    <s v="North Puget Sound"/>
    <s v="01North Puget Sound"/>
    <n v="7.0434782608695699"/>
    <n v="60.151304347826098"/>
    <n v="3.5384615384615401"/>
    <n v="74.050224380342144"/>
  </r>
  <r>
    <n v="2366"/>
    <x v="10"/>
    <s v="Freshwater"/>
    <x v="1"/>
    <x v="1"/>
    <n v="846"/>
    <s v="Skykomish River, No. Fork"/>
    <s v="Skykomish River, No. Fork"/>
    <s v="Snohomish"/>
    <x v="2"/>
    <s v="Snohomish"/>
    <s v="03Snohomish"/>
    <s v="North Puget Sound"/>
    <s v="01North Puget Sound"/>
    <n v="66"/>
    <n v="563.64"/>
    <n v="33"/>
    <n v="690.59883172101672"/>
  </r>
  <r>
    <n v="50"/>
    <x v="0"/>
    <s v="Freshwater"/>
    <x v="1"/>
    <x v="1"/>
    <n v="848"/>
    <s v="Skykomish River, So. Fork"/>
    <s v="Skykomish River, So. Fork"/>
    <s v="Snohomish/King"/>
    <x v="2"/>
    <s v="King"/>
    <s v="06King"/>
    <s v="South Puget Sound"/>
    <s v="02South Puget Sound"/>
    <n v="5.3333333333333304"/>
    <n v="45.546666666666603"/>
    <n v="6"/>
    <n v="125.56342394927576"/>
  </r>
  <r>
    <n v="52"/>
    <x v="0"/>
    <s v="Freshwater"/>
    <x v="1"/>
    <x v="1"/>
    <n v="848"/>
    <s v="Skykomish River, So. Fork"/>
    <s v="Skykomish River, So. Fork"/>
    <s v="Snohomish/King"/>
    <x v="2"/>
    <s v="Other"/>
    <s v="20Other"/>
    <s v="Non Puget Sound"/>
    <s v="07Non Puget Sound"/>
    <n v="2.6666666666666701"/>
    <n v="22.773333333333401"/>
    <n v="2.3333333333333299"/>
    <n v="48.830220424718277"/>
  </r>
  <r>
    <n v="51"/>
    <x v="0"/>
    <s v="Freshwater"/>
    <x v="1"/>
    <x v="1"/>
    <n v="848"/>
    <s v="Skykomish River, So. Fork"/>
    <s v="Skykomish River, So. Fork"/>
    <s v="Snohomish/King"/>
    <x v="2"/>
    <s v="Pierce"/>
    <s v="07Pierce"/>
    <s v="South Puget Sound"/>
    <s v="02South Puget Sound"/>
    <n v="5.3333333333333304"/>
    <n v="45.546666666666603"/>
    <n v="6"/>
    <n v="125.56342394927576"/>
  </r>
  <r>
    <n v="49"/>
    <x v="0"/>
    <s v="Freshwater"/>
    <x v="1"/>
    <x v="1"/>
    <n v="848"/>
    <s v="Skykomish River, So. Fork"/>
    <s v="Skykomish River, So. Fork"/>
    <s v="Snohomish/King"/>
    <x v="2"/>
    <s v="Snohomish"/>
    <s v="03Snohomish"/>
    <s v="North Puget Sound"/>
    <s v="01North Puget Sound"/>
    <n v="10.6666666666667"/>
    <n v="91.093333333333604"/>
    <n v="7.6666666666666696"/>
    <n v="160.44215282407464"/>
  </r>
  <r>
    <n v="61"/>
    <x v="1"/>
    <s v="Freshwater"/>
    <x v="1"/>
    <x v="1"/>
    <n v="848"/>
    <s v="Skykomish River, So. Fork"/>
    <s v="Skykomish River, So. Fork"/>
    <s v="Snohomish/King"/>
    <x v="2"/>
    <s v="King"/>
    <s v="06King"/>
    <s v="South Puget Sound"/>
    <s v="02South Puget Sound"/>
    <n v="3"/>
    <n v="55.65"/>
    <n v="3"/>
    <n v="62.781711974637879"/>
  </r>
  <r>
    <n v="62"/>
    <x v="1"/>
    <s v="Freshwater"/>
    <x v="1"/>
    <x v="1"/>
    <n v="848"/>
    <s v="Skykomish River, So. Fork"/>
    <s v="Skykomish River, So. Fork"/>
    <s v="Snohomish/King"/>
    <x v="2"/>
    <s v="Pierce"/>
    <s v="07Pierce"/>
    <s v="South Puget Sound"/>
    <s v="02South Puget Sound"/>
    <n v="3"/>
    <n v="55.65"/>
    <n v="3"/>
    <n v="62.781711974637879"/>
  </r>
  <r>
    <n v="60"/>
    <x v="1"/>
    <s v="Freshwater"/>
    <x v="1"/>
    <x v="1"/>
    <n v="848"/>
    <s v="Skykomish River, So. Fork"/>
    <s v="Skykomish River, So. Fork"/>
    <s v="Snohomish/King"/>
    <x v="2"/>
    <s v="Snohomish"/>
    <s v="03Snohomish"/>
    <s v="North Puget Sound"/>
    <s v="01North Puget Sound"/>
    <n v="3"/>
    <n v="55.65"/>
    <n v="2"/>
    <n v="41.854474649758586"/>
  </r>
  <r>
    <n v="148"/>
    <x v="2"/>
    <s v="Freshwater"/>
    <x v="1"/>
    <x v="1"/>
    <n v="848"/>
    <s v="Skykomish River, So. Fork"/>
    <s v="Skykomish River, So. Fork"/>
    <s v="Snohomish/King"/>
    <x v="2"/>
    <s v="King"/>
    <s v="06King"/>
    <s v="South Puget Sound"/>
    <s v="02South Puget Sound"/>
    <n v="6"/>
    <n v="51.24"/>
    <n v="6"/>
    <n v="125.56342394927576"/>
  </r>
  <r>
    <n v="149"/>
    <x v="2"/>
    <s v="Freshwater"/>
    <x v="1"/>
    <x v="1"/>
    <n v="848"/>
    <s v="Skykomish River, So. Fork"/>
    <s v="Skykomish River, So. Fork"/>
    <s v="Snohomish/King"/>
    <x v="2"/>
    <s v="Other"/>
    <s v="20Other"/>
    <s v="Non Puget Sound"/>
    <s v="07Non Puget Sound"/>
    <n v="3"/>
    <n v="25.62"/>
    <n v="3"/>
    <n v="62.781711974637879"/>
  </r>
  <r>
    <n v="147"/>
    <x v="2"/>
    <s v="Freshwater"/>
    <x v="1"/>
    <x v="1"/>
    <n v="848"/>
    <s v="Skykomish River, So. Fork"/>
    <s v="Skykomish River, So. Fork"/>
    <s v="Snohomish/King"/>
    <x v="2"/>
    <s v="Snohomish"/>
    <s v="03Snohomish"/>
    <s v="North Puget Sound"/>
    <s v="01North Puget Sound"/>
    <n v="21"/>
    <n v="179.34"/>
    <n v="21"/>
    <n v="439.47198382246518"/>
  </r>
  <r>
    <n v="157"/>
    <x v="3"/>
    <s v="Freshwater"/>
    <x v="1"/>
    <x v="1"/>
    <n v="848"/>
    <s v="Skykomish River, So. Fork"/>
    <s v="Skykomish River, So. Fork"/>
    <s v="Snohomish/King"/>
    <x v="2"/>
    <s v="King"/>
    <s v="06King"/>
    <s v="South Puget Sound"/>
    <s v="02South Puget Sound"/>
    <n v="18.181818181818201"/>
    <n v="337.27272727272799"/>
    <n v="19"/>
    <n v="397.61750917270655"/>
  </r>
  <r>
    <n v="159"/>
    <x v="3"/>
    <s v="Freshwater"/>
    <x v="1"/>
    <x v="1"/>
    <n v="848"/>
    <s v="Skykomish River, So. Fork"/>
    <s v="Skykomish River, So. Fork"/>
    <s v="Snohomish/King"/>
    <x v="2"/>
    <s v="Other"/>
    <s v="20Other"/>
    <s v="Non Puget Sound"/>
    <s v="07Non Puget Sound"/>
    <n v="3.6363636363636398"/>
    <n v="67.454545454545496"/>
    <n v="3"/>
    <n v="62.781711974637879"/>
  </r>
  <r>
    <n v="156"/>
    <x v="3"/>
    <s v="Freshwater"/>
    <x v="1"/>
    <x v="1"/>
    <n v="848"/>
    <s v="Skykomish River, So. Fork"/>
    <s v="Skykomish River, So. Fork"/>
    <s v="Snohomish/King"/>
    <x v="2"/>
    <s v="Snohomish"/>
    <s v="03Snohomish"/>
    <s v="North Puget Sound"/>
    <s v="01North Puget Sound"/>
    <n v="14.5454545454546"/>
    <n v="269.81818181818301"/>
    <n v="17"/>
    <n v="355.76303452294798"/>
  </r>
  <r>
    <n v="158"/>
    <x v="3"/>
    <s v="Freshwater"/>
    <x v="1"/>
    <x v="1"/>
    <n v="848"/>
    <s v="Skykomish River, So. Fork"/>
    <s v="Skykomish River, So. Fork"/>
    <s v="Snohomish/King"/>
    <x v="2"/>
    <s v="Thurston"/>
    <s v="08Thurston"/>
    <s v="South Puget Sound"/>
    <s v="02South Puget Sound"/>
    <n v="3.6363636363636398"/>
    <n v="67.454545454545496"/>
    <n v="4"/>
    <n v="83.708949299517172"/>
  </r>
  <r>
    <n v="167"/>
    <x v="4"/>
    <s v="Freshwater"/>
    <x v="1"/>
    <x v="1"/>
    <n v="848"/>
    <s v="Skykomish River, So. Fork"/>
    <s v="Skykomish River, So. Fork"/>
    <s v="Snohomish/King"/>
    <x v="2"/>
    <s v="King"/>
    <s v="06King"/>
    <s v="South Puget Sound"/>
    <s v="02South Puget Sound"/>
    <n v="9.75"/>
    <n v="83.265000000000001"/>
    <n v="9.5833333333333304"/>
    <n v="200.55269103009317"/>
  </r>
  <r>
    <n v="169"/>
    <x v="4"/>
    <s v="Freshwater"/>
    <x v="1"/>
    <x v="1"/>
    <n v="848"/>
    <s v="Skykomish River, So. Fork"/>
    <s v="Skykomish River, So. Fork"/>
    <s v="Snohomish/King"/>
    <x v="2"/>
    <s v="Mason"/>
    <s v="09Mason"/>
    <s v="South Puget Sound"/>
    <s v="02South Puget Sound"/>
    <n v="3.25"/>
    <n v="27.754999999999999"/>
    <n v="3.25"/>
    <n v="68.013521305857708"/>
  </r>
  <r>
    <n v="166"/>
    <x v="4"/>
    <s v="Freshwater"/>
    <x v="1"/>
    <x v="1"/>
    <n v="848"/>
    <s v="Skykomish River, So. Fork"/>
    <s v="Skykomish River, So. Fork"/>
    <s v="Snohomish/King"/>
    <x v="2"/>
    <s v="Snohomish"/>
    <s v="03Snohomish"/>
    <s v="North Puget Sound"/>
    <s v="01North Puget Sound"/>
    <n v="22.75"/>
    <n v="194.285"/>
    <n v="19.166666666666671"/>
    <n v="401.10538206018657"/>
  </r>
  <r>
    <n v="168"/>
    <x v="4"/>
    <s v="Freshwater"/>
    <x v="1"/>
    <x v="1"/>
    <n v="848"/>
    <s v="Skykomish River, So. Fork"/>
    <s v="Skykomish River, So. Fork"/>
    <s v="Snohomish/King"/>
    <x v="2"/>
    <s v="Thurston"/>
    <s v="08Thurston"/>
    <s v="South Puget Sound"/>
    <s v="02South Puget Sound"/>
    <n v="3.25"/>
    <n v="27.754999999999999"/>
    <n v="0"/>
    <n v="0"/>
  </r>
  <r>
    <n v="174"/>
    <x v="5"/>
    <s v="Freshwater"/>
    <x v="1"/>
    <x v="1"/>
    <n v="848"/>
    <s v="Skykomish River, So. Fork"/>
    <s v="Skykomish River, So. Fork"/>
    <s v="Snohomish/King"/>
    <x v="2"/>
    <s v="King"/>
    <s v="06King"/>
    <s v="South Puget Sound"/>
    <s v="02South Puget Sound"/>
    <n v="16"/>
    <n v="296.8"/>
    <n v="17"/>
    <n v="355.76303452294798"/>
  </r>
  <r>
    <n v="175"/>
    <x v="5"/>
    <s v="Freshwater"/>
    <x v="1"/>
    <x v="1"/>
    <n v="848"/>
    <s v="Skykomish River, So. Fork"/>
    <s v="Skykomish River, So. Fork"/>
    <s v="Snohomish/King"/>
    <x v="2"/>
    <s v="Other"/>
    <s v="20Other"/>
    <s v="Non Puget Sound"/>
    <s v="07Non Puget Sound"/>
    <n v="16"/>
    <n v="296.8"/>
    <n v="0"/>
    <n v="0"/>
  </r>
  <r>
    <n v="254"/>
    <x v="7"/>
    <s v="Freshwater"/>
    <x v="1"/>
    <x v="1"/>
    <n v="848"/>
    <s v="Skykomish River, So. Fork"/>
    <s v="Skykomish River, So. Fork"/>
    <s v="Snohomish/King"/>
    <x v="2"/>
    <s v="King"/>
    <s v="06King"/>
    <s v="South Puget Sound"/>
    <s v="02South Puget Sound"/>
    <n v="26"/>
    <n v="482.3"/>
    <n v="13"/>
    <n v="272.05408522343083"/>
  </r>
  <r>
    <n v="255"/>
    <x v="7"/>
    <s v="Freshwater"/>
    <x v="1"/>
    <x v="1"/>
    <n v="848"/>
    <s v="Skykomish River, So. Fork"/>
    <s v="Skykomish River, So. Fork"/>
    <s v="Snohomish/King"/>
    <x v="2"/>
    <s v="Kitsap"/>
    <s v="10Kitsap"/>
    <s v="South Puget Sound"/>
    <s v="02South Puget Sound"/>
    <n v="8.6666666666666696"/>
    <n v="160.76666666666699"/>
    <n v="4"/>
    <n v="83.708949299517172"/>
  </r>
  <r>
    <n v="253"/>
    <x v="7"/>
    <s v="Freshwater"/>
    <x v="1"/>
    <x v="1"/>
    <n v="848"/>
    <s v="Skykomish River, So. Fork"/>
    <s v="Skykomish River, So. Fork"/>
    <s v="Snohomish/King"/>
    <x v="2"/>
    <s v="Snohomish"/>
    <s v="03Snohomish"/>
    <s v="North Puget Sound"/>
    <s v="01North Puget Sound"/>
    <n v="95.3333333333333"/>
    <n v="1768.43333333333"/>
    <n v="30"/>
    <n v="627.81711974637881"/>
  </r>
  <r>
    <n v="259"/>
    <x v="8"/>
    <s v="Freshwater"/>
    <x v="1"/>
    <x v="1"/>
    <n v="848"/>
    <s v="Skykomish River, So. Fork"/>
    <s v="Skykomish River, So. Fork"/>
    <s v="Snohomish/King"/>
    <x v="2"/>
    <s v="King"/>
    <s v="06King"/>
    <s v="South Puget Sound"/>
    <s v="02South Puget Sound"/>
    <n v="14.6666666666667"/>
    <n v="125.253333333334"/>
    <n v="7"/>
    <n v="146.49066127415506"/>
  </r>
  <r>
    <n v="260"/>
    <x v="8"/>
    <s v="Freshwater"/>
    <x v="1"/>
    <x v="1"/>
    <n v="848"/>
    <s v="Skykomish River, So. Fork"/>
    <s v="Skykomish River, So. Fork"/>
    <s v="Snohomish/King"/>
    <x v="2"/>
    <s v="Pierce"/>
    <s v="07Pierce"/>
    <s v="South Puget Sound"/>
    <s v="02South Puget Sound"/>
    <n v="7.3333333333333401"/>
    <n v="62.626666666666701"/>
    <n v="4"/>
    <n v="83.708949299517172"/>
  </r>
  <r>
    <n v="1944"/>
    <x v="0"/>
    <s v="Freshwater"/>
    <x v="1"/>
    <x v="1"/>
    <n v="850"/>
    <s v="Snohomish River"/>
    <s v="Snohomish River"/>
    <s v="Snohomish"/>
    <x v="2"/>
    <s v="Island"/>
    <s v="04Island"/>
    <s v="North Puget Sound"/>
    <s v="01North Puget Sound"/>
    <n v="2.6687898089172002"/>
    <n v="22.791464968152901"/>
    <n v="2.8571428571428599"/>
    <n v="59.792106642512323"/>
  </r>
  <r>
    <n v="1945"/>
    <x v="0"/>
    <s v="Freshwater"/>
    <x v="1"/>
    <x v="1"/>
    <n v="850"/>
    <s v="Snohomish River"/>
    <s v="Snohomish River"/>
    <s v="Snohomish"/>
    <x v="2"/>
    <s v="King"/>
    <s v="06King"/>
    <s v="South Puget Sound"/>
    <s v="02South Puget Sound"/>
    <n v="21.350318471337602"/>
    <n v="182.33171974522301"/>
    <n v="16.974320987654298"/>
    <n v="355.22564373732098"/>
  </r>
  <r>
    <n v="1946"/>
    <x v="0"/>
    <s v="Freshwater"/>
    <x v="1"/>
    <x v="1"/>
    <n v="850"/>
    <s v="Snohomish River"/>
    <s v="Snohomish River"/>
    <s v="Snohomish"/>
    <x v="2"/>
    <s v="Other"/>
    <s v="20Other"/>
    <s v="Non Puget Sound"/>
    <s v="07Non Puget Sound"/>
    <n v="8.0063694267515899"/>
    <n v="68.374394904458597"/>
    <n v="8.7407407407407405"/>
    <n v="182.91955587672271"/>
  </r>
  <r>
    <n v="1943"/>
    <x v="0"/>
    <s v="Freshwater"/>
    <x v="1"/>
    <x v="1"/>
    <n v="850"/>
    <s v="Snohomish River"/>
    <s v="Snohomish River"/>
    <s v="Snohomish"/>
    <x v="2"/>
    <s v="Snohomish"/>
    <s v="03Snohomish"/>
    <s v="North Puget Sound"/>
    <s v="01North Puget Sound"/>
    <n v="386.97452229299398"/>
    <n v="3304.7624203821701"/>
    <n v="360.42779541446208"/>
    <n v="7542.7580131214891"/>
  </r>
  <r>
    <n v="2565"/>
    <x v="1"/>
    <s v="Freshwater"/>
    <x v="1"/>
    <x v="1"/>
    <n v="850"/>
    <s v="Snohomish River"/>
    <s v="Snohomish River"/>
    <s v="Snohomish"/>
    <x v="2"/>
    <s v="Clallam"/>
    <s v="11Clallam"/>
    <s v="Strait of Juan de Fuca"/>
    <s v="03Strait of Juan de Fuca"/>
    <n v="24.136363636363601"/>
    <n v="447.72954545454502"/>
    <n v="24.129032258064498"/>
    <n v="504.95398448418388"/>
  </r>
  <r>
    <n v="2564"/>
    <x v="1"/>
    <s v="Freshwater"/>
    <x v="1"/>
    <x v="1"/>
    <n v="850"/>
    <s v="Snohomish River"/>
    <s v="Snohomish River"/>
    <s v="Snohomish"/>
    <x v="2"/>
    <s v="King"/>
    <s v="06King"/>
    <s v="South Puget Sound"/>
    <s v="02South Puget Sound"/>
    <n v="56.318181818181799"/>
    <n v="1044.7022727272699"/>
    <n v="60.176637341153508"/>
    <n v="1259.3307710515128"/>
  </r>
  <r>
    <n v="2566"/>
    <x v="1"/>
    <s v="Freshwater"/>
    <x v="1"/>
    <x v="1"/>
    <n v="850"/>
    <s v="Snohomish River"/>
    <s v="Snohomish River"/>
    <s v="Snohomish"/>
    <x v="2"/>
    <s v="Other"/>
    <s v="20Other"/>
    <s v="Non Puget Sound"/>
    <s v="07Non Puget Sound"/>
    <n v="24.136363636363601"/>
    <n v="447.72954545454502"/>
    <n v="24.277527737372012"/>
    <n v="508.0615846213239"/>
  </r>
  <r>
    <n v="2451"/>
    <x v="1"/>
    <s v="Freshwater"/>
    <x v="1"/>
    <x v="1"/>
    <n v="850"/>
    <s v="Snohomish River"/>
    <s v="Snohomish River"/>
    <s v="Snohomish"/>
    <x v="2"/>
    <s v="Snohomish"/>
    <s v="03Snohomish"/>
    <s v="North Puget Sound"/>
    <s v="01North Puget Sound"/>
    <n v="603.40909090909099"/>
    <n v="11193.2386363636"/>
    <n v="548.41680266340995"/>
    <n v="11476.848582288674"/>
  </r>
  <r>
    <n v="1918"/>
    <x v="2"/>
    <s v="Freshwater"/>
    <x v="1"/>
    <x v="1"/>
    <n v="850"/>
    <s v="Snohomish River"/>
    <s v="Snohomish River"/>
    <s v="Snohomish"/>
    <x v="2"/>
    <s v="King"/>
    <s v="06King"/>
    <s v="South Puget Sound"/>
    <s v="02South Puget Sound"/>
    <n v="49.515283842794801"/>
    <n v="422.86052401746798"/>
    <n v="49.303528821666845"/>
    <n v="1031.7866486050484"/>
  </r>
  <r>
    <n v="2048"/>
    <x v="2"/>
    <s v="Freshwater"/>
    <x v="1"/>
    <x v="1"/>
    <n v="850"/>
    <s v="Snohomish River"/>
    <s v="Snohomish River"/>
    <s v="Snohomish"/>
    <x v="2"/>
    <s v="Other"/>
    <s v="20Other"/>
    <s v="Non Puget Sound"/>
    <s v="07Non Puget Sound"/>
    <n v="2.91266375545852"/>
    <n v="24.874148471615801"/>
    <n v="2.9130434782608701"/>
    <n v="60.961952207257085"/>
  </r>
  <r>
    <n v="1903"/>
    <x v="2"/>
    <s v="Freshwater"/>
    <x v="1"/>
    <x v="1"/>
    <n v="850"/>
    <s v="Snohomish River"/>
    <s v="Snohomish River"/>
    <s v="Snohomish"/>
    <x v="2"/>
    <s v="Snohomish"/>
    <s v="03Snohomish"/>
    <s v="North Puget Sound"/>
    <s v="01North Puget Sound"/>
    <n v="605.83406113537103"/>
    <n v="5173.8228820960703"/>
    <n v="653.88812463001227"/>
    <n v="13684.071968052516"/>
  </r>
  <r>
    <n v="1919"/>
    <x v="2"/>
    <s v="Freshwater"/>
    <x v="1"/>
    <x v="1"/>
    <n v="850"/>
    <s v="Snohomish River"/>
    <s v="Snohomish River"/>
    <s v="Snohomish"/>
    <x v="2"/>
    <s v="Thurston"/>
    <s v="08Thurston"/>
    <s v="South Puget Sound"/>
    <s v="02South Puget Sound"/>
    <n v="5.8253275109170302"/>
    <n v="49.748296943231402"/>
    <n v="5.8953030700603506"/>
    <n v="123.37240644924246"/>
  </r>
  <r>
    <n v="1902"/>
    <x v="2"/>
    <s v="Freshwater"/>
    <x v="1"/>
    <x v="1"/>
    <n v="850"/>
    <s v="Snohomish River"/>
    <s v="Snohomish River"/>
    <s v="Snohomish"/>
    <x v="2"/>
    <s v="Whatcom"/>
    <s v="01Whatcom"/>
    <s v="North Puget Sound"/>
    <s v="01North Puget Sound"/>
    <n v="2.91266375545852"/>
    <n v="24.874148471615801"/>
    <n v="0"/>
    <n v="0"/>
  </r>
  <r>
    <n v="2222"/>
    <x v="3"/>
    <s v="Freshwater"/>
    <x v="1"/>
    <x v="1"/>
    <n v="850"/>
    <s v="Snohomish River"/>
    <s v="Snohomish River"/>
    <s v="Snohomish"/>
    <x v="2"/>
    <s v="King"/>
    <s v="06King"/>
    <s v="South Puget Sound"/>
    <s v="02South Puget Sound"/>
    <n v="43.076923076923102"/>
    <n v="799.076923076924"/>
    <n v="39.18547522682799"/>
    <n v="820.04373976000761"/>
  </r>
  <r>
    <n v="2221"/>
    <x v="3"/>
    <s v="Freshwater"/>
    <x v="1"/>
    <x v="1"/>
    <n v="850"/>
    <s v="Snohomish River"/>
    <s v="Snohomish River"/>
    <s v="Snohomish"/>
    <x v="2"/>
    <s v="Snohomish"/>
    <s v="03Snohomish"/>
    <s v="North Puget Sound"/>
    <s v="01North Puget Sound"/>
    <n v="653.33333333333303"/>
    <n v="12119.333333333299"/>
    <n v="644.06452477317248"/>
    <n v="13478.491162463779"/>
  </r>
  <r>
    <n v="2074"/>
    <x v="3"/>
    <s v="Freshwater"/>
    <x v="1"/>
    <x v="1"/>
    <n v="850"/>
    <s v="Snohomish River"/>
    <s v="Snohomish River"/>
    <s v="Snohomish"/>
    <x v="2"/>
    <s v="Whatcom"/>
    <s v="01Whatcom"/>
    <s v="North Puget Sound"/>
    <s v="01North Puget Sound"/>
    <n v="3.5897435897435899"/>
    <n v="66.589743589743605"/>
    <n v="6.75"/>
    <n v="141.25885194293522"/>
  </r>
  <r>
    <n v="1451"/>
    <x v="4"/>
    <s v="Freshwater"/>
    <x v="1"/>
    <x v="1"/>
    <n v="850"/>
    <s v="Snohomish River"/>
    <s v="Snohomish River"/>
    <s v="Snohomish"/>
    <x v="2"/>
    <s v="King"/>
    <s v="06King"/>
    <s v="South Puget Sound"/>
    <s v="02South Puget Sound"/>
    <n v="3.2371134020618602"/>
    <n v="27.644948453608301"/>
    <n v="9.3952380952380903"/>
    <n v="196.61637734279441"/>
  </r>
  <r>
    <n v="1452"/>
    <x v="4"/>
    <s v="Freshwater"/>
    <x v="1"/>
    <x v="1"/>
    <n v="850"/>
    <s v="Snohomish River"/>
    <s v="Snohomish River"/>
    <s v="Snohomish"/>
    <x v="2"/>
    <s v="Other"/>
    <s v="20Other"/>
    <s v="Non Puget Sound"/>
    <s v="07Non Puget Sound"/>
    <n v="3.2371134020618602"/>
    <n v="27.644948453608301"/>
    <n v="3"/>
    <n v="62.781711974637879"/>
  </r>
  <r>
    <n v="1450"/>
    <x v="4"/>
    <s v="Freshwater"/>
    <x v="1"/>
    <x v="1"/>
    <n v="850"/>
    <s v="Snohomish River"/>
    <s v="Snohomish River"/>
    <s v="Snohomish"/>
    <x v="2"/>
    <s v="Snohomish"/>
    <s v="03Snohomish"/>
    <s v="North Puget Sound"/>
    <s v="01North Puget Sound"/>
    <n v="307.52577319587601"/>
    <n v="2626.2701030927801"/>
    <n v="285.60476190476174"/>
    <n v="5976.9186334965934"/>
  </r>
  <r>
    <n v="1629"/>
    <x v="5"/>
    <s v="Freshwater"/>
    <x v="1"/>
    <x v="1"/>
    <n v="850"/>
    <s v="Snohomish River"/>
    <s v="Snohomish River"/>
    <s v="Snohomish"/>
    <x v="2"/>
    <s v="Snohomish"/>
    <s v="03Snohomish"/>
    <s v="North Puget Sound"/>
    <s v="01North Puget Sound"/>
    <n v="105"/>
    <n v="1947.75"/>
    <n v="123.35"/>
    <n v="2581.3747240238608"/>
  </r>
  <r>
    <n v="1799"/>
    <x v="6"/>
    <s v="Freshwater"/>
    <x v="1"/>
    <x v="1"/>
    <n v="850"/>
    <s v="Snohomish River"/>
    <s v="Snohomish River"/>
    <s v="Snohomish"/>
    <x v="2"/>
    <s v="King"/>
    <s v="06King"/>
    <s v="South Puget Sound"/>
    <s v="02South Puget Sound"/>
    <n v="3.1538461538461502"/>
    <n v="26.933846153846101"/>
    <n v="3.2"/>
    <n v="66.967159439613738"/>
  </r>
  <r>
    <n v="1798"/>
    <x v="6"/>
    <s v="Freshwater"/>
    <x v="1"/>
    <x v="1"/>
    <n v="850"/>
    <s v="Snohomish River"/>
    <s v="Snohomish River"/>
    <s v="Snohomish"/>
    <x v="2"/>
    <s v="Snohomish"/>
    <s v="03Snohomish"/>
    <s v="North Puget Sound"/>
    <s v="01North Puget Sound"/>
    <n v="37.846153846153904"/>
    <n v="323.206153846154"/>
    <n v="68.8"/>
    <n v="1439.7939279516952"/>
  </r>
  <r>
    <n v="1970"/>
    <x v="7"/>
    <s v="Freshwater"/>
    <x v="1"/>
    <x v="1"/>
    <n v="850"/>
    <s v="Snohomish River"/>
    <s v="Snohomish River"/>
    <s v="Snohomish"/>
    <x v="2"/>
    <s v="Other"/>
    <s v="20Other"/>
    <s v="Non Puget Sound"/>
    <s v="07Non Puget Sound"/>
    <n v="8.7619047619047592"/>
    <n v="162.53333333333299"/>
    <n v="4.3333333333333304"/>
    <n v="90.684695074476878"/>
  </r>
  <r>
    <n v="1969"/>
    <x v="7"/>
    <s v="Freshwater"/>
    <x v="1"/>
    <x v="1"/>
    <n v="850"/>
    <s v="Snohomish River"/>
    <s v="Snohomish River"/>
    <s v="Snohomish"/>
    <x v="2"/>
    <s v="Snohomish"/>
    <s v="03Snohomish"/>
    <s v="North Puget Sound"/>
    <s v="01North Puget Sound"/>
    <n v="359.23809523809501"/>
    <n v="6663.8666666666604"/>
    <n v="107.66666666666667"/>
    <n v="2253.1658853120039"/>
  </r>
  <r>
    <n v="2109"/>
    <x v="8"/>
    <s v="Freshwater"/>
    <x v="1"/>
    <x v="1"/>
    <n v="850"/>
    <s v="Snohomish River"/>
    <s v="Snohomish River"/>
    <s v="Snohomish"/>
    <x v="2"/>
    <s v="Snohomish"/>
    <s v="03Snohomish"/>
    <s v="North Puget Sound"/>
    <s v="01North Puget Sound"/>
    <n v="158"/>
    <n v="1349.32"/>
    <n v="145"/>
    <n v="3034.4494121074977"/>
  </r>
  <r>
    <n v="2251"/>
    <x v="9"/>
    <s v="Freshwater"/>
    <x v="1"/>
    <x v="1"/>
    <n v="850"/>
    <s v="Snohomish River"/>
    <s v="Snohomish River"/>
    <s v="Snohomish"/>
    <x v="2"/>
    <s v="King"/>
    <s v="06King"/>
    <s v="South Puget Sound"/>
    <s v="02South Puget Sound"/>
    <n v="5"/>
    <n v="92.75"/>
    <n v="2"/>
    <n v="41.854474649758586"/>
  </r>
  <r>
    <n v="2250"/>
    <x v="9"/>
    <s v="Freshwater"/>
    <x v="1"/>
    <x v="1"/>
    <n v="850"/>
    <s v="Snohomish River"/>
    <s v="Snohomish River"/>
    <s v="Snohomish"/>
    <x v="2"/>
    <s v="Snohomish"/>
    <s v="03Snohomish"/>
    <s v="North Puget Sound"/>
    <s v="01North Puget Sound"/>
    <n v="15"/>
    <n v="278.25"/>
    <n v="14"/>
    <n v="292.98132254831012"/>
  </r>
  <r>
    <n v="2427"/>
    <x v="10"/>
    <s v="Freshwater"/>
    <x v="1"/>
    <x v="1"/>
    <n v="850"/>
    <s v="Snohomish River"/>
    <s v="Snohomish River"/>
    <s v="Snohomish"/>
    <x v="2"/>
    <s v="Other"/>
    <s v="20Other"/>
    <s v="Non Puget Sound"/>
    <s v="07Non Puget Sound"/>
    <n v="16"/>
    <n v="136.63999999999999"/>
    <n v="7.5"/>
    <n v="156.9542799365947"/>
  </r>
  <r>
    <n v="2367"/>
    <x v="10"/>
    <s v="Freshwater"/>
    <x v="1"/>
    <x v="1"/>
    <n v="850"/>
    <s v="Snohomish River"/>
    <s v="Snohomish River"/>
    <s v="Snohomish"/>
    <x v="2"/>
    <s v="Snohomish"/>
    <s v="03Snohomish"/>
    <s v="North Puget Sound"/>
    <s v="01North Puget Sound"/>
    <n v="48"/>
    <n v="409.92"/>
    <n v="7.5"/>
    <n v="156.9542799365947"/>
  </r>
  <r>
    <n v="2582"/>
    <x v="11"/>
    <s v="Freshwater"/>
    <x v="1"/>
    <x v="1"/>
    <n v="850"/>
    <s v="Snohomish River"/>
    <s v="Snohomish River"/>
    <s v="Snohomish"/>
    <x v="2"/>
    <s v="King"/>
    <s v="06King"/>
    <s v="South Puget Sound"/>
    <s v="02South Puget Sound"/>
    <n v="14.7777777777778"/>
    <n v="274.12777777777802"/>
    <n v="7"/>
    <n v="146.49066127415506"/>
  </r>
  <r>
    <n v="2539"/>
    <x v="11"/>
    <s v="Freshwater"/>
    <x v="1"/>
    <x v="1"/>
    <n v="850"/>
    <s v="Snohomish River"/>
    <s v="Snohomish River"/>
    <s v="Snohomish"/>
    <x v="2"/>
    <s v="Snohomish"/>
    <s v="03Snohomish"/>
    <s v="North Puget Sound"/>
    <s v="01North Puget Sound"/>
    <n v="251.222222222222"/>
    <n v="4660.1722222222197"/>
    <n v="113"/>
    <n v="2364.7778177113601"/>
  </r>
  <r>
    <n v="54"/>
    <x v="0"/>
    <s v="Freshwater"/>
    <x v="1"/>
    <x v="1"/>
    <n v="852"/>
    <s v="Snoqualmie River"/>
    <s v="Snoqualmie River"/>
    <s v="Snohomish/King"/>
    <x v="2"/>
    <s v="Island"/>
    <s v="04Island"/>
    <s v="North Puget Sound"/>
    <s v="01North Puget Sound"/>
    <n v="2.4073107049608402"/>
    <n v="20.558433420365599"/>
    <n v="2.3172043010752699"/>
    <n v="48.492684338833222"/>
  </r>
  <r>
    <n v="55"/>
    <x v="0"/>
    <s v="Freshwater"/>
    <x v="1"/>
    <x v="1"/>
    <n v="852"/>
    <s v="Snoqualmie River"/>
    <s v="Snoqualmie River"/>
    <s v="Snohomish/King"/>
    <x v="2"/>
    <s v="King"/>
    <s v="06King"/>
    <s v="South Puget Sound"/>
    <s v="02South Puget Sound"/>
    <n v="844.96605744125304"/>
    <n v="7216.0101305483004"/>
    <n v="781.39789200047335"/>
    <n v="16352.499131054305"/>
  </r>
  <r>
    <n v="58"/>
    <x v="0"/>
    <s v="Freshwater"/>
    <x v="1"/>
    <x v="1"/>
    <n v="852"/>
    <s v="Snoqualmie River"/>
    <s v="Snoqualmie River"/>
    <s v="Snohomish/King"/>
    <x v="2"/>
    <s v="Kitsap"/>
    <s v="10Kitsap"/>
    <s v="South Puget Sound"/>
    <s v="02South Puget Sound"/>
    <n v="2.4073107049608402"/>
    <n v="20.558433420365599"/>
    <n v="0"/>
    <n v="0"/>
  </r>
  <r>
    <n v="59"/>
    <x v="0"/>
    <s v="Freshwater"/>
    <x v="1"/>
    <x v="1"/>
    <n v="852"/>
    <s v="Snoqualmie River"/>
    <s v="Snoqualmie River"/>
    <s v="Snohomish/King"/>
    <x v="2"/>
    <s v="Other"/>
    <s v="20Other"/>
    <s v="Non Puget Sound"/>
    <s v="07Non Puget Sound"/>
    <n v="16.851174934725901"/>
    <n v="143.90903394255901"/>
    <n v="17.154751270235138"/>
    <n v="359.00155108148527"/>
  </r>
  <r>
    <n v="56"/>
    <x v="0"/>
    <s v="Freshwater"/>
    <x v="1"/>
    <x v="1"/>
    <n v="852"/>
    <s v="Snoqualmie River"/>
    <s v="Snoqualmie River"/>
    <s v="Snohomish/King"/>
    <x v="2"/>
    <s v="Pierce"/>
    <s v="07Pierce"/>
    <s v="South Puget Sound"/>
    <s v="02South Puget Sound"/>
    <n v="19.2584856396867"/>
    <n v="164.467467362924"/>
    <n v="18.546021505376299"/>
    <n v="388.11699347532493"/>
  </r>
  <r>
    <n v="53"/>
    <x v="0"/>
    <s v="Freshwater"/>
    <x v="1"/>
    <x v="1"/>
    <n v="852"/>
    <s v="Snoqualmie River"/>
    <s v="Snoqualmie River"/>
    <s v="Snohomish/King"/>
    <x v="2"/>
    <s v="Snohomish"/>
    <s v="03Snohomish"/>
    <s v="North Puget Sound"/>
    <s v="01North Puget Sound"/>
    <n v="31.295039164490898"/>
    <n v="267.25963446475203"/>
    <n v="32.949722320690114"/>
    <n v="689.54665879395452"/>
  </r>
  <r>
    <n v="57"/>
    <x v="0"/>
    <s v="Freshwater"/>
    <x v="1"/>
    <x v="1"/>
    <n v="852"/>
    <s v="Snoqualmie River"/>
    <s v="Snoqualmie River"/>
    <s v="Snohomish/King"/>
    <x v="2"/>
    <s v="Thurston"/>
    <s v="08Thurston"/>
    <s v="South Puget Sound"/>
    <s v="02South Puget Sound"/>
    <n v="4.8146214099216698"/>
    <n v="41.116866840731099"/>
    <n v="4.6344086021505397"/>
    <n v="96.985368677666443"/>
  </r>
  <r>
    <n v="66"/>
    <x v="1"/>
    <s v="Freshwater"/>
    <x v="1"/>
    <x v="1"/>
    <n v="852"/>
    <s v="Snoqualmie River"/>
    <s v="Snoqualmie River"/>
    <s v="Snohomish/King"/>
    <x v="2"/>
    <s v="King"/>
    <s v="06King"/>
    <s v="South Puget Sound"/>
    <s v="02South Puget Sound"/>
    <n v="1302.90619136961"/>
    <n v="24168.9098499063"/>
    <n v="1014.4068146935435"/>
    <n v="21228.732155066638"/>
  </r>
  <r>
    <n v="145"/>
    <x v="1"/>
    <s v="Freshwater"/>
    <x v="1"/>
    <x v="1"/>
    <n v="852"/>
    <s v="Snoqualmie River"/>
    <s v="Snoqualmie River"/>
    <s v="Snohomish/King"/>
    <x v="2"/>
    <s v="Kitsap"/>
    <s v="10Kitsap"/>
    <s v="South Puget Sound"/>
    <s v="02South Puget Sound"/>
    <n v="2.54971857410882"/>
    <n v="47.297279549718603"/>
    <n v="4.7124731402844606"/>
    <n v="98.6190437938521"/>
  </r>
  <r>
    <n v="146"/>
    <x v="1"/>
    <s v="Freshwater"/>
    <x v="1"/>
    <x v="1"/>
    <n v="852"/>
    <s v="Snoqualmie River"/>
    <s v="Snoqualmie River"/>
    <s v="Snohomish/King"/>
    <x v="2"/>
    <s v="Other"/>
    <s v="20Other"/>
    <s v="Non Puget Sound"/>
    <s v="07Non Puget Sound"/>
    <n v="17.848030018761701"/>
    <n v="331.08095684802998"/>
    <n v="13.220178041543029"/>
    <n v="276.66180335252892"/>
  </r>
  <r>
    <n v="144"/>
    <x v="1"/>
    <s v="Freshwater"/>
    <x v="1"/>
    <x v="1"/>
    <n v="852"/>
    <s v="Snoqualmie River"/>
    <s v="Snoqualmie River"/>
    <s v="Snohomish/King"/>
    <x v="2"/>
    <s v="Pierce"/>
    <s v="07Pierce"/>
    <s v="South Puget Sound"/>
    <s v="02South Puget Sound"/>
    <n v="20.397748592870499"/>
    <n v="378.37823639774803"/>
    <n v="18.040356083086099"/>
    <n v="377.53481317607259"/>
  </r>
  <r>
    <n v="64"/>
    <x v="1"/>
    <s v="Freshwater"/>
    <x v="1"/>
    <x v="1"/>
    <n v="852"/>
    <s v="Snoqualmie River"/>
    <s v="Snoqualmie River"/>
    <s v="Snohomish/King"/>
    <x v="2"/>
    <s v="Skagit"/>
    <s v="02Skagit"/>
    <s v="North Puget Sound"/>
    <s v="01North Puget Sound"/>
    <n v="2.54971857410882"/>
    <n v="47.297279549718603"/>
    <n v="0"/>
    <n v="0"/>
  </r>
  <r>
    <n v="65"/>
    <x v="1"/>
    <s v="Freshwater"/>
    <x v="1"/>
    <x v="1"/>
    <n v="852"/>
    <s v="Snoqualmie River"/>
    <s v="Snoqualmie River"/>
    <s v="Snohomish/King"/>
    <x v="2"/>
    <s v="Snohomish"/>
    <s v="03Snohomish"/>
    <s v="North Puget Sound"/>
    <s v="01North Puget Sound"/>
    <n v="10.198874296435299"/>
    <n v="189.18911819887501"/>
    <n v="7.6201780415430296"/>
    <n v="159.46927433320488"/>
  </r>
  <r>
    <n v="63"/>
    <x v="1"/>
    <s v="Freshwater"/>
    <x v="1"/>
    <x v="1"/>
    <n v="852"/>
    <s v="Snoqualmie River"/>
    <s v="Snoqualmie River"/>
    <s v="Snohomish/King"/>
    <x v="2"/>
    <s v="Whatcom"/>
    <s v="01Whatcom"/>
    <s v="North Puget Sound"/>
    <s v="01North Puget Sound"/>
    <n v="2.54971857410882"/>
    <n v="47.297279549718603"/>
    <n v="0"/>
    <n v="0"/>
  </r>
  <r>
    <n v="151"/>
    <x v="2"/>
    <s v="Freshwater"/>
    <x v="1"/>
    <x v="1"/>
    <n v="852"/>
    <s v="Snoqualmie River"/>
    <s v="Snoqualmie River"/>
    <s v="Snohomish/King"/>
    <x v="2"/>
    <s v="King"/>
    <s v="06King"/>
    <s v="South Puget Sound"/>
    <s v="02South Puget Sound"/>
    <n v="1063.7588832487299"/>
    <n v="9084.5008629441509"/>
    <n v="1165.6452782131657"/>
    <n v="24393.735373791871"/>
  </r>
  <r>
    <n v="154"/>
    <x v="2"/>
    <s v="Freshwater"/>
    <x v="1"/>
    <x v="1"/>
    <n v="852"/>
    <s v="Snoqualmie River"/>
    <s v="Snoqualmie River"/>
    <s v="Snohomish/King"/>
    <x v="2"/>
    <s v="Kitsap"/>
    <s v="10Kitsap"/>
    <s v="South Puget Sound"/>
    <s v="02South Puget Sound"/>
    <n v="2.9467005076142101"/>
    <n v="25.164822335025399"/>
    <n v="2.9507575757575801"/>
    <n v="61.751204076064369"/>
  </r>
  <r>
    <n v="155"/>
    <x v="2"/>
    <s v="Freshwater"/>
    <x v="1"/>
    <x v="1"/>
    <n v="852"/>
    <s v="Snoqualmie River"/>
    <s v="Snoqualmie River"/>
    <s v="Snohomish/King"/>
    <x v="2"/>
    <s v="Other"/>
    <s v="20Other"/>
    <s v="Non Puget Sound"/>
    <s v="07Non Puget Sound"/>
    <n v="11.786802030456901"/>
    <n v="100.65928934010201"/>
    <n v="13.95383522727273"/>
    <n v="292.01522139339744"/>
  </r>
  <r>
    <n v="152"/>
    <x v="2"/>
    <s v="Freshwater"/>
    <x v="1"/>
    <x v="1"/>
    <n v="852"/>
    <s v="Snoqualmie River"/>
    <s v="Snoqualmie River"/>
    <s v="Snohomish/King"/>
    <x v="2"/>
    <s v="Pierce"/>
    <s v="07Pierce"/>
    <s v="South Puget Sound"/>
    <s v="02South Puget Sound"/>
    <n v="35.360406091370599"/>
    <n v="301.97786802030498"/>
    <n v="37.948153409090899"/>
    <n v="794.15001243297252"/>
  </r>
  <r>
    <n v="150"/>
    <x v="2"/>
    <s v="Freshwater"/>
    <x v="1"/>
    <x v="1"/>
    <n v="852"/>
    <s v="Snoqualmie River"/>
    <s v="Snoqualmie River"/>
    <s v="Snohomish/King"/>
    <x v="2"/>
    <s v="Snohomish"/>
    <s v="03Snohomish"/>
    <s v="North Puget Sound"/>
    <s v="01North Puget Sound"/>
    <n v="44.200507614213201"/>
    <n v="377.47233502538103"/>
    <n v="37.96291307471261"/>
    <n v="794.45889145827391"/>
  </r>
  <r>
    <n v="153"/>
    <x v="2"/>
    <s v="Freshwater"/>
    <x v="1"/>
    <x v="1"/>
    <n v="852"/>
    <s v="Snoqualmie River"/>
    <s v="Snoqualmie River"/>
    <s v="Snohomish/King"/>
    <x v="2"/>
    <s v="Thurston"/>
    <s v="08Thurston"/>
    <s v="South Puget Sound"/>
    <s v="02South Puget Sound"/>
    <n v="2.9467005076142101"/>
    <n v="25.164822335025399"/>
    <n v="0"/>
    <n v="0"/>
  </r>
  <r>
    <n v="161"/>
    <x v="3"/>
    <s v="Freshwater"/>
    <x v="1"/>
    <x v="1"/>
    <n v="852"/>
    <s v="Snoqualmie River"/>
    <s v="Snoqualmie River"/>
    <s v="Snohomish/King"/>
    <x v="2"/>
    <s v="Island"/>
    <s v="04Island"/>
    <s v="North Puget Sound"/>
    <s v="01North Puget Sound"/>
    <n v="3.09958506224066"/>
    <n v="57.497302904564201"/>
    <n v="3.0945945945946001"/>
    <n v="64.761315505369822"/>
  </r>
  <r>
    <n v="162"/>
    <x v="3"/>
    <s v="Freshwater"/>
    <x v="1"/>
    <x v="1"/>
    <n v="852"/>
    <s v="Snoqualmie River"/>
    <s v="Snoqualmie River"/>
    <s v="Snohomish/King"/>
    <x v="2"/>
    <s v="King"/>
    <s v="06King"/>
    <s v="South Puget Sound"/>
    <s v="02South Puget Sound"/>
    <n v="675.70954356846505"/>
    <n v="12534.412033195"/>
    <n v="722.10868426566162"/>
    <n v="15111.73980998383"/>
  </r>
  <r>
    <n v="165"/>
    <x v="3"/>
    <s v="Freshwater"/>
    <x v="1"/>
    <x v="1"/>
    <n v="852"/>
    <s v="Snoqualmie River"/>
    <s v="Snoqualmie River"/>
    <s v="Snohomish/King"/>
    <x v="2"/>
    <s v="Other"/>
    <s v="20Other"/>
    <s v="Non Puget Sound"/>
    <s v="07Non Puget Sound"/>
    <n v="15.4979253112033"/>
    <n v="287.48651452282098"/>
    <n v="9.1426775612822109"/>
    <n v="191.33098310980148"/>
  </r>
  <r>
    <n v="163"/>
    <x v="3"/>
    <s v="Freshwater"/>
    <x v="1"/>
    <x v="1"/>
    <n v="852"/>
    <s v="Snoqualmie River"/>
    <s v="Snoqualmie River"/>
    <s v="Snohomish/King"/>
    <x v="2"/>
    <s v="Pierce"/>
    <s v="07Pierce"/>
    <s v="South Puget Sound"/>
    <s v="02South Puget Sound"/>
    <n v="24.796680497925301"/>
    <n v="459.978423236514"/>
    <n v="15.461711711711731"/>
    <n v="323.57091043985702"/>
  </r>
  <r>
    <n v="160"/>
    <x v="3"/>
    <s v="Freshwater"/>
    <x v="1"/>
    <x v="1"/>
    <n v="852"/>
    <s v="Snoqualmie River"/>
    <s v="Snoqualmie River"/>
    <s v="Snohomish/King"/>
    <x v="2"/>
    <s v="Snohomish"/>
    <s v="03Snohomish"/>
    <s v="North Puget Sound"/>
    <s v="01North Puget Sound"/>
    <n v="21.697095435684702"/>
    <n v="402.48112033195099"/>
    <n v="29.06091556672952"/>
    <n v="608.16467694322773"/>
  </r>
  <r>
    <n v="164"/>
    <x v="3"/>
    <s v="Freshwater"/>
    <x v="1"/>
    <x v="1"/>
    <n v="852"/>
    <s v="Snoqualmie River"/>
    <s v="Snoqualmie River"/>
    <s v="Snohomish/King"/>
    <x v="2"/>
    <s v="Thurston"/>
    <s v="08Thurston"/>
    <s v="South Puget Sound"/>
    <s v="02South Puget Sound"/>
    <n v="6.1991701244813298"/>
    <n v="114.994605809129"/>
    <n v="9.1314163000209501"/>
    <n v="191.09531602280961"/>
  </r>
  <r>
    <n v="171"/>
    <x v="4"/>
    <s v="Freshwater"/>
    <x v="1"/>
    <x v="1"/>
    <n v="852"/>
    <s v="Snoqualmie River"/>
    <s v="Snoqualmie River"/>
    <s v="Snohomish/King"/>
    <x v="2"/>
    <s v="King"/>
    <s v="06King"/>
    <s v="South Puget Sound"/>
    <s v="02South Puget Sound"/>
    <n v="627.01463414634202"/>
    <n v="5354.7049756097604"/>
    <n v="665.40919490140504"/>
    <n v="13925.176139858564"/>
  </r>
  <r>
    <n v="173"/>
    <x v="4"/>
    <s v="Freshwater"/>
    <x v="1"/>
    <x v="1"/>
    <n v="852"/>
    <s v="Snoqualmie River"/>
    <s v="Snoqualmie River"/>
    <s v="Snohomish/King"/>
    <x v="2"/>
    <s v="Other"/>
    <s v="20Other"/>
    <s v="Non Puget Sound"/>
    <s v="07Non Puget Sound"/>
    <n v="16.243902439024399"/>
    <n v="138.722926829268"/>
    <n v="18.645277263318448"/>
    <n v="390.19414227764105"/>
  </r>
  <r>
    <n v="172"/>
    <x v="4"/>
    <s v="Freshwater"/>
    <x v="1"/>
    <x v="1"/>
    <n v="852"/>
    <s v="Snoqualmie River"/>
    <s v="Snoqualmie River"/>
    <s v="Snohomish/King"/>
    <x v="2"/>
    <s v="Pierce"/>
    <s v="07Pierce"/>
    <s v="South Puget Sound"/>
    <s v="02South Puget Sound"/>
    <n v="6.4975609756097601"/>
    <n v="55.489170731707297"/>
    <n v="15.64527726331845"/>
    <n v="327.41243030300325"/>
  </r>
  <r>
    <n v="170"/>
    <x v="4"/>
    <s v="Freshwater"/>
    <x v="1"/>
    <x v="1"/>
    <n v="852"/>
    <s v="Snoqualmie River"/>
    <s v="Snoqualmie River"/>
    <s v="Snohomish/King"/>
    <x v="2"/>
    <s v="Snohomish"/>
    <s v="03Snohomish"/>
    <s v="North Puget Sound"/>
    <s v="01North Puget Sound"/>
    <n v="16.243902439024399"/>
    <n v="138.722926829268"/>
    <n v="9.30025057195774"/>
    <n v="194.628550900204"/>
  </r>
  <r>
    <n v="251"/>
    <x v="5"/>
    <s v="Freshwater"/>
    <x v="1"/>
    <x v="1"/>
    <n v="852"/>
    <s v="Snoqualmie River"/>
    <s v="Snoqualmie River"/>
    <s v="Snohomish/King"/>
    <x v="2"/>
    <s v="King"/>
    <s v="06King"/>
    <s v="South Puget Sound"/>
    <s v="02South Puget Sound"/>
    <n v="109.230769230769"/>
    <n v="2026.23076923076"/>
    <n v="214.25"/>
    <n v="4483.6605968553886"/>
  </r>
  <r>
    <n v="252"/>
    <x v="5"/>
    <s v="Freshwater"/>
    <x v="1"/>
    <x v="1"/>
    <n v="852"/>
    <s v="Snoqualmie River"/>
    <s v="Snoqualmie River"/>
    <s v="Snohomish/King"/>
    <x v="2"/>
    <s v="Pierce"/>
    <s v="07Pierce"/>
    <s v="South Puget Sound"/>
    <s v="02South Puget Sound"/>
    <n v="21.846153846153801"/>
    <n v="405.24615384615299"/>
    <n v="15.714285714285699"/>
    <n v="328.85658653381716"/>
  </r>
  <r>
    <n v="176"/>
    <x v="5"/>
    <s v="Freshwater"/>
    <x v="1"/>
    <x v="1"/>
    <n v="852"/>
    <s v="Snoqualmie River"/>
    <s v="Snoqualmie River"/>
    <s v="Snohomish/King"/>
    <x v="2"/>
    <s v="Snohomish"/>
    <s v="03Snohomish"/>
    <s v="North Puget Sound"/>
    <s v="01North Puget Sound"/>
    <n v="10.9230769230769"/>
    <n v="202.62307692307601"/>
    <n v="17.607142857142861"/>
    <n v="368.46885718448192"/>
  </r>
  <r>
    <n v="257"/>
    <x v="7"/>
    <s v="Freshwater"/>
    <x v="1"/>
    <x v="1"/>
    <n v="852"/>
    <s v="Snoqualmie River"/>
    <s v="Snoqualmie River"/>
    <s v="Snohomish/King"/>
    <x v="2"/>
    <s v="King"/>
    <s v="06King"/>
    <s v="South Puget Sound"/>
    <s v="02South Puget Sound"/>
    <n v="418.56603773584902"/>
    <n v="7764.4"/>
    <n v="173.540540540541"/>
    <n v="3631.724077379738"/>
  </r>
  <r>
    <n v="258"/>
    <x v="7"/>
    <s v="Freshwater"/>
    <x v="1"/>
    <x v="1"/>
    <n v="852"/>
    <s v="Snoqualmie River"/>
    <s v="Snoqualmie River"/>
    <s v="Snohomish/King"/>
    <x v="2"/>
    <s v="Other"/>
    <s v="20Other"/>
    <s v="Non Puget Sound"/>
    <s v="07Non Puget Sound"/>
    <n v="17.811320754716998"/>
    <n v="330.4"/>
    <n v="0"/>
    <n v="0"/>
  </r>
  <r>
    <n v="256"/>
    <x v="7"/>
    <s v="Freshwater"/>
    <x v="1"/>
    <x v="1"/>
    <n v="852"/>
    <s v="Snoqualmie River"/>
    <s v="Snoqualmie River"/>
    <s v="Snohomish/King"/>
    <x v="2"/>
    <s v="Snohomish"/>
    <s v="03Snohomish"/>
    <s v="North Puget Sound"/>
    <s v="01North Puget Sound"/>
    <n v="35.622641509433997"/>
    <n v="660.80000000000098"/>
    <n v="13.459459459459501"/>
    <n v="281.66930237270054"/>
  </r>
  <r>
    <n v="261"/>
    <x v="8"/>
    <s v="Freshwater"/>
    <x v="1"/>
    <x v="1"/>
    <n v="852"/>
    <s v="Snoqualmie River"/>
    <s v="Snoqualmie River"/>
    <s v="Snohomish/King"/>
    <x v="2"/>
    <s v="King"/>
    <s v="06King"/>
    <s v="South Puget Sound"/>
    <s v="02South Puget Sound"/>
    <n v="70.153846153846203"/>
    <n v="599.11384615384702"/>
    <n v="67.727272727272691"/>
    <n v="1417.3447097304604"/>
  </r>
  <r>
    <n v="262"/>
    <x v="8"/>
    <s v="Freshwater"/>
    <x v="1"/>
    <x v="1"/>
    <n v="852"/>
    <s v="Snoqualmie River"/>
    <s v="Snoqualmie River"/>
    <s v="Snohomish/King"/>
    <x v="2"/>
    <s v="Pierce"/>
    <s v="07Pierce"/>
    <s v="South Puget Sound"/>
    <s v="02South Puget Sound"/>
    <n v="5.8461538461538503"/>
    <n v="49.926153846153902"/>
    <n v="2.9090909090909101"/>
    <n v="60.879235854194327"/>
  </r>
  <r>
    <n v="263"/>
    <x v="9"/>
    <s v="Freshwater"/>
    <x v="1"/>
    <x v="1"/>
    <n v="852"/>
    <s v="Snoqualmie River"/>
    <s v="Snoqualmie River"/>
    <s v="Snohomish/King"/>
    <x v="2"/>
    <s v="King"/>
    <s v="06King"/>
    <s v="South Puget Sound"/>
    <s v="02South Puget Sound"/>
    <n v="6"/>
    <n v="111.3"/>
    <n v="6"/>
    <n v="125.56342394927576"/>
  </r>
  <r>
    <n v="264"/>
    <x v="10"/>
    <s v="Freshwater"/>
    <x v="1"/>
    <x v="1"/>
    <n v="852"/>
    <s v="Snoqualmie River"/>
    <s v="Snoqualmie River"/>
    <s v="Snohomish/King"/>
    <x v="2"/>
    <s v="King"/>
    <s v="06King"/>
    <s v="South Puget Sound"/>
    <s v="02South Puget Sound"/>
    <n v="92"/>
    <n v="785.68"/>
    <n v="46"/>
    <n v="962.6529169444475"/>
  </r>
  <r>
    <n v="265"/>
    <x v="11"/>
    <s v="Freshwater"/>
    <x v="1"/>
    <x v="1"/>
    <n v="852"/>
    <s v="Snoqualmie River"/>
    <s v="Snoqualmie River"/>
    <s v="Snohomish/King"/>
    <x v="2"/>
    <s v="King"/>
    <s v="06King"/>
    <s v="South Puget Sound"/>
    <s v="02South Puget Sound"/>
    <n v="506.222222222222"/>
    <n v="9390.4222222222197"/>
    <n v="24.266666666666701"/>
    <n v="507.83429241707159"/>
  </r>
  <r>
    <n v="266"/>
    <x v="11"/>
    <s v="Freshwater"/>
    <x v="1"/>
    <x v="1"/>
    <n v="852"/>
    <s v="Snoqualmie River"/>
    <s v="Snoqualmie River"/>
    <s v="Snohomish/King"/>
    <x v="2"/>
    <s v="Pierce"/>
    <s v="07Pierce"/>
    <s v="South Puget Sound"/>
    <s v="02South Puget Sound"/>
    <n v="29.7777777777778"/>
    <n v="552.37777777777796"/>
    <n v="1.7333333333333301"/>
    <n v="36.273878029790708"/>
  </r>
  <r>
    <n v="1948"/>
    <x v="0"/>
    <s v="Freshwater"/>
    <x v="1"/>
    <x v="1"/>
    <n v="854"/>
    <s v="Sultan River"/>
    <s v="Sultan River"/>
    <s v="Snohomish"/>
    <x v="2"/>
    <s v="King"/>
    <s v="06King"/>
    <s v="South Puget Sound"/>
    <s v="02South Puget Sound"/>
    <n v="8.4"/>
    <n v="71.736000000000004"/>
    <n v="7"/>
    <n v="146.49066127415506"/>
  </r>
  <r>
    <n v="1949"/>
    <x v="0"/>
    <s v="Freshwater"/>
    <x v="1"/>
    <x v="1"/>
    <n v="854"/>
    <s v="Sultan River"/>
    <s v="Sultan River"/>
    <s v="Snohomish"/>
    <x v="2"/>
    <s v="Other"/>
    <s v="20Other"/>
    <s v="Non Puget Sound"/>
    <s v="07Non Puget Sound"/>
    <n v="4.2"/>
    <n v="35.868000000000002"/>
    <n v="5"/>
    <n v="104.63618662439646"/>
  </r>
  <r>
    <n v="1947"/>
    <x v="0"/>
    <s v="Freshwater"/>
    <x v="1"/>
    <x v="1"/>
    <n v="854"/>
    <s v="Sultan River"/>
    <s v="Sultan River"/>
    <s v="Snohomish"/>
    <x v="2"/>
    <s v="Snohomish"/>
    <s v="03Snohomish"/>
    <s v="North Puget Sound"/>
    <s v="01North Puget Sound"/>
    <n v="8.4"/>
    <n v="71.736000000000004"/>
    <n v="7"/>
    <n v="146.49066127415506"/>
  </r>
  <r>
    <n v="2568"/>
    <x v="1"/>
    <s v="Freshwater"/>
    <x v="1"/>
    <x v="1"/>
    <n v="854"/>
    <s v="Sultan River"/>
    <s v="Sultan River"/>
    <s v="Snohomish"/>
    <x v="2"/>
    <s v="King"/>
    <s v="06King"/>
    <s v="South Puget Sound"/>
    <s v="02South Puget Sound"/>
    <n v="11.1111111111111"/>
    <n v="206.111111111111"/>
    <n v="13.33333333333333"/>
    <n v="279.02983099839054"/>
  </r>
  <r>
    <n v="2569"/>
    <x v="1"/>
    <s v="Freshwater"/>
    <x v="1"/>
    <x v="1"/>
    <n v="854"/>
    <s v="Sultan River"/>
    <s v="Sultan River"/>
    <s v="Snohomish"/>
    <x v="2"/>
    <s v="Other"/>
    <s v="20Other"/>
    <s v="Non Puget Sound"/>
    <s v="07Non Puget Sound"/>
    <n v="5.5555555555555598"/>
    <n v="103.055555555556"/>
    <n v="5.5555555555555598"/>
    <n v="116.26242958266283"/>
  </r>
  <r>
    <n v="2567"/>
    <x v="1"/>
    <s v="Freshwater"/>
    <x v="1"/>
    <x v="1"/>
    <n v="854"/>
    <s v="Sultan River"/>
    <s v="Sultan River"/>
    <s v="Snohomish"/>
    <x v="2"/>
    <s v="Snohomish"/>
    <s v="03Snohomish"/>
    <s v="North Puget Sound"/>
    <s v="01North Puget Sound"/>
    <n v="33.3333333333333"/>
    <n v="618.33333333333303"/>
    <n v="28.1111111111111"/>
    <n v="588.28789368827324"/>
  </r>
  <r>
    <n v="2050"/>
    <x v="2"/>
    <s v="Freshwater"/>
    <x v="1"/>
    <x v="1"/>
    <n v="854"/>
    <s v="Sultan River"/>
    <s v="Sultan River"/>
    <s v="Snohomish"/>
    <x v="2"/>
    <s v="King"/>
    <s v="06King"/>
    <s v="South Puget Sound"/>
    <s v="02South Puget Sound"/>
    <n v="3"/>
    <n v="25.62"/>
    <n v="0"/>
    <n v="0"/>
  </r>
  <r>
    <n v="2051"/>
    <x v="2"/>
    <s v="Freshwater"/>
    <x v="1"/>
    <x v="1"/>
    <n v="854"/>
    <s v="Sultan River"/>
    <s v="Sultan River"/>
    <s v="Snohomish"/>
    <x v="2"/>
    <s v="Other"/>
    <s v="20Other"/>
    <s v="Non Puget Sound"/>
    <s v="07Non Puget Sound"/>
    <n v="6"/>
    <n v="51.24"/>
    <n v="3"/>
    <n v="62.781711974637879"/>
  </r>
  <r>
    <n v="2049"/>
    <x v="2"/>
    <s v="Freshwater"/>
    <x v="1"/>
    <x v="1"/>
    <n v="854"/>
    <s v="Sultan River"/>
    <s v="Sultan River"/>
    <s v="Snohomish"/>
    <x v="2"/>
    <s v="Snohomish"/>
    <s v="03Snohomish"/>
    <s v="North Puget Sound"/>
    <s v="01North Puget Sound"/>
    <n v="12"/>
    <n v="102.48"/>
    <n v="14"/>
    <n v="292.98132254831012"/>
  </r>
  <r>
    <n v="2223"/>
    <x v="3"/>
    <s v="Freshwater"/>
    <x v="1"/>
    <x v="1"/>
    <n v="854"/>
    <s v="Sultan River"/>
    <s v="Sultan River"/>
    <s v="Snohomish"/>
    <x v="2"/>
    <s v="Snohomish"/>
    <s v="03Snohomish"/>
    <s v="North Puget Sound"/>
    <s v="01North Puget Sound"/>
    <n v="4"/>
    <n v="74.2"/>
    <n v="7"/>
    <n v="146.49066127415506"/>
  </r>
  <r>
    <n v="1631"/>
    <x v="5"/>
    <s v="Freshwater"/>
    <x v="1"/>
    <x v="1"/>
    <n v="854"/>
    <s v="Sultan River"/>
    <s v="Sultan River"/>
    <s v="Snohomish"/>
    <x v="2"/>
    <s v="Other"/>
    <s v="20Other"/>
    <s v="Non Puget Sound"/>
    <s v="07Non Puget Sound"/>
    <n v="4"/>
    <n v="74.2"/>
    <n v="4"/>
    <n v="83.708949299517172"/>
  </r>
  <r>
    <n v="1630"/>
    <x v="5"/>
    <s v="Freshwater"/>
    <x v="1"/>
    <x v="1"/>
    <n v="854"/>
    <s v="Sultan River"/>
    <s v="Sultan River"/>
    <s v="Snohomish"/>
    <x v="2"/>
    <s v="Snohomish"/>
    <s v="03Snohomish"/>
    <s v="North Puget Sound"/>
    <s v="01North Puget Sound"/>
    <n v="4"/>
    <n v="74.2"/>
    <n v="4"/>
    <n v="83.708949299517172"/>
  </r>
  <r>
    <n v="1513"/>
    <x v="0"/>
    <s v="Freshwater"/>
    <x v="1"/>
    <x v="1"/>
    <n v="856"/>
    <s v="Tokul Creek"/>
    <s v="Tokul Creek"/>
    <s v="King"/>
    <x v="2"/>
    <s v="King"/>
    <s v="06King"/>
    <s v="South Puget Sound"/>
    <s v="02South Puget Sound"/>
    <n v="222.56390977443601"/>
    <n v="1900.69578947368"/>
    <n v="67.0625"/>
    <n v="1403.4328530997177"/>
  </r>
  <r>
    <n v="1516"/>
    <x v="0"/>
    <s v="Freshwater"/>
    <x v="1"/>
    <x v="1"/>
    <n v="856"/>
    <s v="Tokul Creek"/>
    <s v="Tokul Creek"/>
    <s v="King"/>
    <x v="2"/>
    <s v="Other"/>
    <s v="20Other"/>
    <s v="Non Puget Sound"/>
    <s v="07Non Puget Sound"/>
    <n v="4.4962406015037599"/>
    <n v="38.397894736842098"/>
    <n v="2.3125"/>
    <n v="48.394236313783367"/>
  </r>
  <r>
    <n v="1514"/>
    <x v="0"/>
    <s v="Freshwater"/>
    <x v="1"/>
    <x v="1"/>
    <n v="856"/>
    <s v="Tokul Creek"/>
    <s v="Tokul Creek"/>
    <s v="King"/>
    <x v="2"/>
    <s v="Pierce"/>
    <s v="07Pierce"/>
    <s v="South Puget Sound"/>
    <s v="02South Puget Sound"/>
    <n v="4.4962406015037599"/>
    <n v="38.397894736842098"/>
    <n v="0"/>
    <n v="0"/>
  </r>
  <r>
    <n v="1512"/>
    <x v="0"/>
    <s v="Freshwater"/>
    <x v="1"/>
    <x v="1"/>
    <n v="856"/>
    <s v="Tokul Creek"/>
    <s v="Tokul Creek"/>
    <s v="King"/>
    <x v="2"/>
    <s v="Snohomish"/>
    <s v="03Snohomish"/>
    <s v="North Puget Sound"/>
    <s v="01North Puget Sound"/>
    <n v="62.947368421052602"/>
    <n v="537.57052631578904"/>
    <n v="0"/>
    <n v="0"/>
  </r>
  <r>
    <n v="1515"/>
    <x v="0"/>
    <s v="Freshwater"/>
    <x v="1"/>
    <x v="1"/>
    <n v="856"/>
    <s v="Tokul Creek"/>
    <s v="Tokul Creek"/>
    <s v="King"/>
    <x v="2"/>
    <s v="Thurston"/>
    <s v="08Thurston"/>
    <s v="South Puget Sound"/>
    <s v="02South Puget Sound"/>
    <n v="4.4962406015037599"/>
    <n v="38.397894736842098"/>
    <n v="4.625"/>
    <n v="96.788472627566733"/>
  </r>
  <r>
    <n v="1519"/>
    <x v="1"/>
    <s v="Freshwater"/>
    <x v="1"/>
    <x v="1"/>
    <n v="856"/>
    <s v="Tokul Creek"/>
    <s v="Tokul Creek"/>
    <s v="King"/>
    <x v="2"/>
    <s v="King"/>
    <s v="06King"/>
    <s v="South Puget Sound"/>
    <s v="02South Puget Sound"/>
    <n v="450.81407035175903"/>
    <n v="8362.6010050251298"/>
    <n v="198.05580215599261"/>
    <n v="4144.7607752877975"/>
  </r>
  <r>
    <n v="1679"/>
    <x v="1"/>
    <s v="Freshwater"/>
    <x v="1"/>
    <x v="1"/>
    <n v="856"/>
    <s v="Tokul Creek"/>
    <s v="Tokul Creek"/>
    <s v="King"/>
    <x v="2"/>
    <s v="Kitsap"/>
    <s v="10Kitsap"/>
    <s v="South Puget Sound"/>
    <s v="02South Puget Sound"/>
    <n v="5.0653266331658298"/>
    <n v="93.961809045226104"/>
    <n v="0"/>
    <n v="0"/>
  </r>
  <r>
    <n v="1680"/>
    <x v="1"/>
    <s v="Freshwater"/>
    <x v="1"/>
    <x v="1"/>
    <n v="856"/>
    <s v="Tokul Creek"/>
    <s v="Tokul Creek"/>
    <s v="King"/>
    <x v="2"/>
    <s v="Other"/>
    <s v="20Other"/>
    <s v="Non Puget Sound"/>
    <s v="07Non Puget Sound"/>
    <n v="10.1306532663317"/>
    <n v="187.923618090453"/>
    <n v="2.2048192771084301"/>
    <n v="46.140776270516916"/>
  </r>
  <r>
    <n v="1520"/>
    <x v="1"/>
    <s v="Freshwater"/>
    <x v="1"/>
    <x v="1"/>
    <n v="856"/>
    <s v="Tokul Creek"/>
    <s v="Tokul Creek"/>
    <s v="King"/>
    <x v="2"/>
    <s v="Pierce"/>
    <s v="07Pierce"/>
    <s v="South Puget Sound"/>
    <s v="02South Puget Sound"/>
    <n v="22.793969849246199"/>
    <n v="422.82814070351702"/>
    <n v="9.4622701331642389"/>
    <n v="198.01917270884522"/>
  </r>
  <r>
    <n v="1518"/>
    <x v="1"/>
    <s v="Freshwater"/>
    <x v="1"/>
    <x v="1"/>
    <n v="856"/>
    <s v="Tokul Creek"/>
    <s v="Tokul Creek"/>
    <s v="King"/>
    <x v="2"/>
    <s v="Snohomish"/>
    <s v="03Snohomish"/>
    <s v="North Puget Sound"/>
    <s v="01North Puget Sound"/>
    <n v="15.1959798994975"/>
    <n v="281.88542713567898"/>
    <n v="63.277108433735002"/>
    <n v="1324.2150654248935"/>
  </r>
  <r>
    <n v="1683"/>
    <x v="2"/>
    <s v="Freshwater"/>
    <x v="1"/>
    <x v="1"/>
    <n v="856"/>
    <s v="Tokul Creek"/>
    <s v="Tokul Creek"/>
    <s v="King"/>
    <x v="2"/>
    <s v="King"/>
    <s v="06King"/>
    <s v="South Puget Sound"/>
    <s v="02South Puget Sound"/>
    <n v="467.75581395348797"/>
    <n v="3994.6346511627899"/>
    <n v="583.66136128364451"/>
    <n v="12214.419824944944"/>
  </r>
  <r>
    <n v="1685"/>
    <x v="2"/>
    <s v="Freshwater"/>
    <x v="1"/>
    <x v="1"/>
    <n v="856"/>
    <s v="Tokul Creek"/>
    <s v="Tokul Creek"/>
    <s v="King"/>
    <x v="2"/>
    <s v="Other"/>
    <s v="20Other"/>
    <s v="Non Puget Sound"/>
    <s v="07Non Puget Sound"/>
    <n v="5.8837209302325597"/>
    <n v="50.246976744186099"/>
    <n v="10.144927536231901"/>
    <n v="212.30530619442797"/>
  </r>
  <r>
    <n v="1684"/>
    <x v="2"/>
    <s v="Freshwater"/>
    <x v="1"/>
    <x v="1"/>
    <n v="856"/>
    <s v="Tokul Creek"/>
    <s v="Tokul Creek"/>
    <s v="King"/>
    <x v="2"/>
    <s v="Pierce"/>
    <s v="07Pierce"/>
    <s v="South Puget Sound"/>
    <s v="02South Puget Sound"/>
    <n v="8.8255813953488396"/>
    <n v="75.370465116279107"/>
    <n v="17.7536231884058"/>
    <n v="371.5342858402484"/>
  </r>
  <r>
    <n v="1682"/>
    <x v="2"/>
    <s v="Freshwater"/>
    <x v="1"/>
    <x v="1"/>
    <n v="856"/>
    <s v="Tokul Creek"/>
    <s v="Tokul Creek"/>
    <s v="King"/>
    <x v="2"/>
    <s v="Snohomish"/>
    <s v="03Snohomish"/>
    <s v="North Puget Sound"/>
    <s v="01North Puget Sound"/>
    <n v="23.5348837209302"/>
    <n v="200.987906976744"/>
    <n v="33.380046583850955"/>
    <n v="698.5521567757753"/>
  </r>
  <r>
    <n v="1846"/>
    <x v="3"/>
    <s v="Freshwater"/>
    <x v="1"/>
    <x v="1"/>
    <n v="856"/>
    <s v="Tokul Creek"/>
    <s v="Tokul Creek"/>
    <s v="King"/>
    <x v="2"/>
    <s v="Island"/>
    <s v="04Island"/>
    <s v="North Puget Sound"/>
    <s v="01North Puget Sound"/>
    <n v="3.0459770114942502"/>
    <n v="56.502873563218301"/>
    <n v="0"/>
    <n v="0"/>
  </r>
  <r>
    <n v="1847"/>
    <x v="3"/>
    <s v="Freshwater"/>
    <x v="1"/>
    <x v="1"/>
    <n v="856"/>
    <s v="Tokul Creek"/>
    <s v="Tokul Creek"/>
    <s v="King"/>
    <x v="2"/>
    <s v="King"/>
    <s v="06King"/>
    <s v="South Puget Sound"/>
    <s v="02South Puget Sound"/>
    <n v="243.67816091954001"/>
    <n v="4520.2298850574698"/>
    <n v="305.79634703196336"/>
    <n v="6399.4727274190445"/>
  </r>
  <r>
    <n v="1848"/>
    <x v="3"/>
    <s v="Freshwater"/>
    <x v="1"/>
    <x v="1"/>
    <n v="856"/>
    <s v="Tokul Creek"/>
    <s v="Tokul Creek"/>
    <s v="King"/>
    <x v="2"/>
    <s v="Pierce"/>
    <s v="07Pierce"/>
    <s v="South Puget Sound"/>
    <s v="02South Puget Sound"/>
    <n v="3.0459770114942502"/>
    <n v="56.502873563218301"/>
    <n v="9.0881278538812804"/>
    <n v="190.18940843701947"/>
  </r>
  <r>
    <n v="1845"/>
    <x v="3"/>
    <s v="Freshwater"/>
    <x v="1"/>
    <x v="1"/>
    <n v="856"/>
    <s v="Tokul Creek"/>
    <s v="Tokul Creek"/>
    <s v="King"/>
    <x v="2"/>
    <s v="Snohomish"/>
    <s v="03Snohomish"/>
    <s v="North Puget Sound"/>
    <s v="01North Puget Sound"/>
    <n v="12.183908045977001"/>
    <n v="226.01149425287301"/>
    <n v="6.0607305936072997"/>
    <n v="126.83434749457652"/>
  </r>
  <r>
    <n v="1849"/>
    <x v="3"/>
    <s v="Freshwater"/>
    <x v="1"/>
    <x v="1"/>
    <n v="856"/>
    <s v="Tokul Creek"/>
    <s v="Tokul Creek"/>
    <s v="King"/>
    <x v="2"/>
    <s v="Thurston"/>
    <s v="08Thurston"/>
    <s v="South Puget Sound"/>
    <s v="02South Puget Sound"/>
    <n v="3.0459770114942502"/>
    <n v="56.502873563218301"/>
    <n v="0"/>
    <n v="0"/>
  </r>
  <r>
    <n v="1851"/>
    <x v="4"/>
    <s v="Freshwater"/>
    <x v="1"/>
    <x v="1"/>
    <n v="856"/>
    <s v="Tokul Creek"/>
    <s v="Tokul Creek"/>
    <s v="King"/>
    <x v="2"/>
    <s v="King"/>
    <s v="06King"/>
    <s v="South Puget Sound"/>
    <s v="02South Puget Sound"/>
    <n v="1224.50363196126"/>
    <n v="10457.2610169492"/>
    <n v="681.54664341761202"/>
    <n v="14262.888354775248"/>
  </r>
  <r>
    <n v="1854"/>
    <x v="4"/>
    <s v="Freshwater"/>
    <x v="1"/>
    <x v="1"/>
    <n v="856"/>
    <s v="Tokul Creek"/>
    <s v="Tokul Creek"/>
    <s v="King"/>
    <x v="2"/>
    <s v="Other"/>
    <s v="20Other"/>
    <s v="Non Puget Sound"/>
    <s v="07Non Puget Sound"/>
    <n v="19.539951573849901"/>
    <n v="166.871186440678"/>
    <n v="0"/>
    <n v="0"/>
  </r>
  <r>
    <n v="1852"/>
    <x v="4"/>
    <s v="Freshwater"/>
    <x v="1"/>
    <x v="1"/>
    <n v="856"/>
    <s v="Tokul Creek"/>
    <s v="Tokul Creek"/>
    <s v="King"/>
    <x v="2"/>
    <s v="Pierce"/>
    <s v="07Pierce"/>
    <s v="South Puget Sound"/>
    <s v="02South Puget Sound"/>
    <n v="22.796610169491501"/>
    <n v="194.683050847457"/>
    <n v="19.344376634699259"/>
    <n v="404.82436073620124"/>
  </r>
  <r>
    <n v="1850"/>
    <x v="4"/>
    <s v="Freshwater"/>
    <x v="1"/>
    <x v="1"/>
    <n v="856"/>
    <s v="Tokul Creek"/>
    <s v="Tokul Creek"/>
    <s v="King"/>
    <x v="2"/>
    <s v="Snohomish"/>
    <s v="03Snohomish"/>
    <s v="North Puget Sound"/>
    <s v="01North Puget Sound"/>
    <n v="74.903147699757895"/>
    <n v="639.67288135593196"/>
    <n v="48.000871839581571"/>
    <n v="1004.5256367880388"/>
  </r>
  <r>
    <n v="1853"/>
    <x v="4"/>
    <s v="Freshwater"/>
    <x v="1"/>
    <x v="1"/>
    <n v="856"/>
    <s v="Tokul Creek"/>
    <s v="Tokul Creek"/>
    <s v="King"/>
    <x v="2"/>
    <s v="Thurston"/>
    <s v="08Thurston"/>
    <s v="South Puget Sound"/>
    <s v="02South Puget Sound"/>
    <n v="3.2566585956416501"/>
    <n v="27.811864406779701"/>
    <n v="3.0540540540540602"/>
    <n v="63.912913992199051"/>
  </r>
  <r>
    <n v="2005"/>
    <x v="5"/>
    <s v="Freshwater"/>
    <x v="1"/>
    <x v="1"/>
    <n v="856"/>
    <s v="Tokul Creek"/>
    <s v="Tokul Creek"/>
    <s v="King"/>
    <x v="2"/>
    <s v="King"/>
    <s v="06King"/>
    <s v="South Puget Sound"/>
    <s v="02South Puget Sound"/>
    <n v="220.8"/>
    <n v="4095.84"/>
    <n v="873.02608695652202"/>
    <n v="18270.024112549843"/>
  </r>
  <r>
    <n v="2006"/>
    <x v="5"/>
    <s v="Freshwater"/>
    <x v="1"/>
    <x v="1"/>
    <n v="856"/>
    <s v="Tokul Creek"/>
    <s v="Tokul Creek"/>
    <s v="King"/>
    <x v="2"/>
    <s v="Pierce"/>
    <s v="07Pierce"/>
    <s v="South Puget Sound"/>
    <s v="02South Puget Sound"/>
    <n v="55.2"/>
    <n v="1023.96"/>
    <n v="10.413043478260869"/>
    <n v="217.91623214385177"/>
  </r>
  <r>
    <n v="2007"/>
    <x v="6"/>
    <s v="Freshwater"/>
    <x v="1"/>
    <x v="1"/>
    <n v="856"/>
    <s v="Tokul Creek"/>
    <s v="Tokul Creek"/>
    <s v="King"/>
    <x v="2"/>
    <s v="King"/>
    <s v="06King"/>
    <s v="South Puget Sound"/>
    <s v="02South Puget Sound"/>
    <n v="3"/>
    <n v="25.62"/>
    <n v="135.75555555555599"/>
    <n v="2840.9887292819558"/>
  </r>
  <r>
    <n v="2008"/>
    <x v="6"/>
    <s v="Freshwater"/>
    <x v="1"/>
    <x v="1"/>
    <n v="856"/>
    <s v="Tokul Creek"/>
    <s v="Tokul Creek"/>
    <s v="King"/>
    <x v="2"/>
    <s v="Other"/>
    <s v="20Other"/>
    <s v="Non Puget Sound"/>
    <s v="07Non Puget Sound"/>
    <n v="3"/>
    <n v="25.62"/>
    <n v="0"/>
    <n v="0"/>
  </r>
  <r>
    <n v="2011"/>
    <x v="7"/>
    <s v="Freshwater"/>
    <x v="1"/>
    <x v="1"/>
    <n v="856"/>
    <s v="Tokul Creek"/>
    <s v="Tokul Creek"/>
    <s v="King"/>
    <x v="2"/>
    <s v="King"/>
    <s v="06King"/>
    <s v="South Puget Sound"/>
    <s v="02South Puget Sound"/>
    <n v="735.17241379310303"/>
    <n v="13637.4482758621"/>
    <n v="146.111111111111"/>
    <n v="3057.7018980240277"/>
  </r>
  <r>
    <n v="2012"/>
    <x v="7"/>
    <s v="Freshwater"/>
    <x v="1"/>
    <x v="1"/>
    <n v="856"/>
    <s v="Tokul Creek"/>
    <s v="Tokul Creek"/>
    <s v="King"/>
    <x v="2"/>
    <s v="Pierce"/>
    <s v="07Pierce"/>
    <s v="South Puget Sound"/>
    <s v="02South Puget Sound"/>
    <n v="26.8965517241379"/>
    <n v="498.93103448275798"/>
    <n v="8.94444444444445"/>
    <n v="187.18251162808713"/>
  </r>
  <r>
    <n v="2010"/>
    <x v="7"/>
    <s v="Freshwater"/>
    <x v="1"/>
    <x v="1"/>
    <n v="856"/>
    <s v="Tokul Creek"/>
    <s v="Tokul Creek"/>
    <s v="King"/>
    <x v="2"/>
    <s v="Snohomish"/>
    <s v="03Snohomish"/>
    <s v="North Puget Sound"/>
    <s v="01North Puget Sound"/>
    <n v="8.9655172413793096"/>
    <n v="166.31034482758599"/>
    <n v="4.4722222222222197"/>
    <n v="93.59125581404345"/>
  </r>
  <r>
    <n v="2009"/>
    <x v="7"/>
    <s v="Freshwater"/>
    <x v="1"/>
    <x v="1"/>
    <n v="856"/>
    <s v="Tokul Creek"/>
    <s v="Tokul Creek"/>
    <s v="King"/>
    <x v="2"/>
    <s v="Whatcom"/>
    <s v="01Whatcom"/>
    <s v="North Puget Sound"/>
    <s v="01North Puget Sound"/>
    <n v="8.9655172413793096"/>
    <n v="166.31034482758599"/>
    <n v="4.4722222222222197"/>
    <n v="93.59125581404345"/>
  </r>
  <r>
    <n v="2146"/>
    <x v="8"/>
    <s v="Freshwater"/>
    <x v="1"/>
    <x v="1"/>
    <n v="856"/>
    <s v="Tokul Creek"/>
    <s v="Tokul Creek"/>
    <s v="King"/>
    <x v="2"/>
    <s v="King"/>
    <s v="06King"/>
    <s v="South Puget Sound"/>
    <s v="02South Puget Sound"/>
    <n v="34.285714285714299"/>
    <n v="292.8"/>
    <n v="224.51020408163299"/>
    <n v="4698.3783226734176"/>
  </r>
  <r>
    <n v="2145"/>
    <x v="8"/>
    <s v="Freshwater"/>
    <x v="1"/>
    <x v="1"/>
    <n v="856"/>
    <s v="Tokul Creek"/>
    <s v="Tokul Creek"/>
    <s v="King"/>
    <x v="2"/>
    <s v="Snohomish"/>
    <s v="03Snohomish"/>
    <s v="North Puget Sound"/>
    <s v="01North Puget Sound"/>
    <n v="5.71428571428571"/>
    <n v="48.8"/>
    <n v="3"/>
    <n v="62.781711974637879"/>
  </r>
  <r>
    <n v="2147"/>
    <x v="9"/>
    <s v="Freshwater"/>
    <x v="1"/>
    <x v="1"/>
    <n v="856"/>
    <s v="Tokul Creek"/>
    <s v="Tokul Creek"/>
    <s v="King"/>
    <x v="2"/>
    <s v="Snohomish"/>
    <s v="03Snohomish"/>
    <s v="North Puget Sound"/>
    <s v="01North Puget Sound"/>
    <n v="6"/>
    <n v="111.3"/>
    <n v="0"/>
    <n v="0"/>
  </r>
  <r>
    <n v="2148"/>
    <x v="10"/>
    <s v="Freshwater"/>
    <x v="1"/>
    <x v="1"/>
    <n v="856"/>
    <s v="Tokul Creek"/>
    <s v="Tokul Creek"/>
    <s v="King"/>
    <x v="2"/>
    <s v="King"/>
    <s v="06King"/>
    <s v="South Puget Sound"/>
    <s v="02South Puget Sound"/>
    <n v="50"/>
    <n v="427"/>
    <n v="0"/>
    <n v="0"/>
  </r>
  <r>
    <n v="2150"/>
    <x v="11"/>
    <s v="Freshwater"/>
    <x v="1"/>
    <x v="1"/>
    <n v="856"/>
    <s v="Tokul Creek"/>
    <s v="Tokul Creek"/>
    <s v="King"/>
    <x v="2"/>
    <s v="King"/>
    <s v="06King"/>
    <s v="South Puget Sound"/>
    <s v="02South Puget Sound"/>
    <n v="819.677419354839"/>
    <n v="15205.016129032299"/>
    <n v="257.51851851851899"/>
    <n v="5389.1511525883698"/>
  </r>
  <r>
    <n v="2149"/>
    <x v="11"/>
    <s v="Freshwater"/>
    <x v="1"/>
    <x v="1"/>
    <n v="856"/>
    <s v="Tokul Creek"/>
    <s v="Tokul Creek"/>
    <s v="King"/>
    <x v="2"/>
    <s v="Snohomish"/>
    <s v="03Snohomish"/>
    <s v="North Puget Sound"/>
    <s v="01North Puget Sound"/>
    <n v="104.322580645161"/>
    <n v="1935.1838709677399"/>
    <n v="17.481481481481499"/>
    <n v="365.83911175344576"/>
  </r>
  <r>
    <n v="1517"/>
    <x v="0"/>
    <s v="Freshwater"/>
    <x v="1"/>
    <x v="1"/>
    <n v="858"/>
    <s v="Tolt River"/>
    <s v="Tolt River"/>
    <s v="King"/>
    <x v="2"/>
    <s v="King"/>
    <s v="06King"/>
    <s v="South Puget Sound"/>
    <s v="02South Puget Sound"/>
    <n v="16"/>
    <n v="136.63999999999999"/>
    <n v="11"/>
    <n v="230.19961057367223"/>
  </r>
  <r>
    <n v="1681"/>
    <x v="1"/>
    <s v="Freshwater"/>
    <x v="1"/>
    <x v="1"/>
    <n v="858"/>
    <s v="Tolt River"/>
    <s v="Tolt River"/>
    <s v="King"/>
    <x v="2"/>
    <s v="King"/>
    <s v="06King"/>
    <s v="South Puget Sound"/>
    <s v="02South Puget Sound"/>
    <n v="3"/>
    <n v="55.65"/>
    <n v="8"/>
    <n v="167.41789859903434"/>
  </r>
  <r>
    <n v="1687"/>
    <x v="2"/>
    <s v="Freshwater"/>
    <x v="1"/>
    <x v="1"/>
    <n v="858"/>
    <s v="Tolt River"/>
    <s v="Tolt River"/>
    <s v="King"/>
    <x v="2"/>
    <s v="King"/>
    <s v="06King"/>
    <s v="South Puget Sound"/>
    <s v="02South Puget Sound"/>
    <n v="3"/>
    <n v="25.62"/>
    <n v="3"/>
    <n v="62.781711974637879"/>
  </r>
  <r>
    <n v="1686"/>
    <x v="2"/>
    <s v="Freshwater"/>
    <x v="1"/>
    <x v="1"/>
    <n v="858"/>
    <s v="Tolt River"/>
    <s v="Tolt River"/>
    <s v="King"/>
    <x v="2"/>
    <s v="Snohomish"/>
    <s v="03Snohomish"/>
    <s v="North Puget Sound"/>
    <s v="01North Puget Sound"/>
    <n v="3"/>
    <n v="25.62"/>
    <n v="3"/>
    <n v="62.781711974637879"/>
  </r>
  <r>
    <n v="1856"/>
    <x v="4"/>
    <s v="Freshwater"/>
    <x v="1"/>
    <x v="1"/>
    <n v="858"/>
    <s v="Tolt River"/>
    <s v="Tolt River"/>
    <s v="King"/>
    <x v="2"/>
    <s v="Clallam"/>
    <s v="11Clallam"/>
    <s v="Strait of Juan de Fuca"/>
    <s v="03Strait of Juan de Fuca"/>
    <n v="9.6"/>
    <n v="81.983999999999995"/>
    <n v="9.6"/>
    <n v="200.90147831884121"/>
  </r>
  <r>
    <n v="1855"/>
    <x v="4"/>
    <s v="Freshwater"/>
    <x v="1"/>
    <x v="1"/>
    <n v="858"/>
    <s v="Tolt River"/>
    <s v="Tolt River"/>
    <s v="King"/>
    <x v="2"/>
    <s v="King"/>
    <s v="06King"/>
    <s v="South Puget Sound"/>
    <s v="02South Puget Sound"/>
    <n v="22.4"/>
    <n v="191.29599999999999"/>
    <n v="9.4"/>
    <n v="196.71603085386536"/>
  </r>
  <r>
    <n v="2013"/>
    <x v="7"/>
    <s v="Freshwater"/>
    <x v="1"/>
    <x v="1"/>
    <n v="858"/>
    <s v="Tolt River"/>
    <s v="Tolt River"/>
    <s v="King"/>
    <x v="2"/>
    <s v="King"/>
    <s v="06King"/>
    <s v="South Puget Sound"/>
    <s v="02South Puget Sound"/>
    <n v="8"/>
    <n v="148.4"/>
    <n v="0"/>
    <n v="0"/>
  </r>
  <r>
    <n v="2144"/>
    <x v="7"/>
    <s v="Freshwater"/>
    <x v="1"/>
    <x v="1"/>
    <n v="858"/>
    <s v="Tolt River"/>
    <s v="Tolt River"/>
    <s v="King"/>
    <x v="2"/>
    <s v="Pierce"/>
    <s v="07Pierce"/>
    <s v="South Puget Sound"/>
    <s v="02South Puget Sound"/>
    <n v="8"/>
    <n v="148.4"/>
    <n v="4"/>
    <n v="83.708949299517172"/>
  </r>
  <r>
    <n v="2078"/>
    <x v="0"/>
    <s v="Freshwater"/>
    <x v="1"/>
    <x v="1"/>
    <n v="860"/>
    <s v="Wallace River"/>
    <s v="Wallace River"/>
    <s v="Snohomish"/>
    <x v="2"/>
    <s v="King"/>
    <s v="06King"/>
    <s v="South Puget Sound"/>
    <s v="02South Puget Sound"/>
    <n v="62.307692307692299"/>
    <n v="532.10769230769199"/>
    <n v="44.342857142857198"/>
    <n v="927.97349509179151"/>
  </r>
  <r>
    <n v="2080"/>
    <x v="0"/>
    <s v="Freshwater"/>
    <x v="1"/>
    <x v="1"/>
    <n v="860"/>
    <s v="Wallace River"/>
    <s v="Wallace River"/>
    <s v="Snohomish"/>
    <x v="2"/>
    <s v="Other"/>
    <s v="20Other"/>
    <s v="Non Puget Sound"/>
    <s v="07Non Puget Sound"/>
    <n v="2.3076923076923102"/>
    <n v="19.707692307692302"/>
    <n v="0"/>
    <n v="0"/>
  </r>
  <r>
    <n v="2079"/>
    <x v="0"/>
    <s v="Freshwater"/>
    <x v="1"/>
    <x v="1"/>
    <n v="860"/>
    <s v="Wallace River"/>
    <s v="Wallace River"/>
    <s v="Snohomish"/>
    <x v="2"/>
    <s v="Pierce"/>
    <s v="07Pierce"/>
    <s v="South Puget Sound"/>
    <s v="02South Puget Sound"/>
    <n v="9.2307692307692299"/>
    <n v="78.830769230769207"/>
    <n v="4.5142857142857196"/>
    <n v="94.471528495169494"/>
  </r>
  <r>
    <n v="2077"/>
    <x v="0"/>
    <s v="Freshwater"/>
    <x v="1"/>
    <x v="1"/>
    <n v="860"/>
    <s v="Wallace River"/>
    <s v="Wallace River"/>
    <s v="Snohomish"/>
    <x v="2"/>
    <s v="Snohomish"/>
    <s v="03Snohomish"/>
    <s v="North Puget Sound"/>
    <s v="01North Puget Sound"/>
    <n v="76.153846153846203"/>
    <n v="650.35384615384601"/>
    <n v="59.142857142857103"/>
    <n v="1237.696607500003"/>
  </r>
  <r>
    <n v="2694"/>
    <x v="1"/>
    <s v="Freshwater"/>
    <x v="1"/>
    <x v="1"/>
    <n v="860"/>
    <s v="Wallace River"/>
    <s v="Wallace River"/>
    <s v="Snohomish"/>
    <x v="2"/>
    <s v="Island"/>
    <s v="04Island"/>
    <s v="North Puget Sound"/>
    <s v="01North Puget Sound"/>
    <n v="2.5588235294117601"/>
    <n v="47.466176470588202"/>
    <n v="2.5625"/>
    <n v="53.626045645003188"/>
  </r>
  <r>
    <n v="2695"/>
    <x v="1"/>
    <s v="Freshwater"/>
    <x v="1"/>
    <x v="1"/>
    <n v="860"/>
    <s v="Wallace River"/>
    <s v="Wallace River"/>
    <s v="Snohomish"/>
    <x v="2"/>
    <s v="King"/>
    <s v="06King"/>
    <s v="South Puget Sound"/>
    <s v="02South Puget Sound"/>
    <n v="48.617647058823501"/>
    <n v="901.85735294117603"/>
    <n v="60.588095238095271"/>
    <n v="1267.9414481100087"/>
  </r>
  <r>
    <n v="2697"/>
    <x v="1"/>
    <s v="Freshwater"/>
    <x v="1"/>
    <x v="1"/>
    <n v="860"/>
    <s v="Wallace River"/>
    <s v="Wallace River"/>
    <s v="Snohomish"/>
    <x v="2"/>
    <s v="Other"/>
    <s v="20Other"/>
    <s v="Non Puget Sound"/>
    <s v="07Non Puget Sound"/>
    <n v="7.6764705882352997"/>
    <n v="142.398529411765"/>
    <n v="5.0833333333333304"/>
    <n v="106.38012306813634"/>
  </r>
  <r>
    <n v="2696"/>
    <x v="1"/>
    <s v="Freshwater"/>
    <x v="1"/>
    <x v="1"/>
    <n v="860"/>
    <s v="Wallace River"/>
    <s v="Wallace River"/>
    <s v="Snohomish"/>
    <x v="2"/>
    <s v="Pierce"/>
    <s v="07Pierce"/>
    <s v="South Puget Sound"/>
    <s v="02South Puget Sound"/>
    <n v="10.235294117647101"/>
    <n v="189.864705882354"/>
    <n v="12.334523809523809"/>
    <n v="258.127507051279"/>
  </r>
  <r>
    <n v="2692"/>
    <x v="1"/>
    <s v="Freshwater"/>
    <x v="1"/>
    <x v="1"/>
    <n v="860"/>
    <s v="Wallace River"/>
    <s v="Wallace River"/>
    <s v="Snohomish"/>
    <x v="2"/>
    <s v="Skagit"/>
    <s v="02Skagit"/>
    <s v="North Puget Sound"/>
    <s v="01North Puget Sound"/>
    <n v="10.235294117647101"/>
    <n v="189.864705882354"/>
    <n v="7.6482142857142899"/>
    <n v="160.05599546867512"/>
  </r>
  <r>
    <n v="2693"/>
    <x v="1"/>
    <s v="Freshwater"/>
    <x v="1"/>
    <x v="1"/>
    <n v="860"/>
    <s v="Wallace River"/>
    <s v="Wallace River"/>
    <s v="Snohomish"/>
    <x v="2"/>
    <s v="Snohomish"/>
    <s v="03Snohomish"/>
    <s v="North Puget Sound"/>
    <s v="01North Puget Sound"/>
    <n v="168.882352941177"/>
    <n v="3132.7676470588299"/>
    <n v="88.069047619047637"/>
    <n v="1843.0418604999056"/>
  </r>
  <r>
    <n v="2570"/>
    <x v="1"/>
    <s v="Freshwater"/>
    <x v="1"/>
    <x v="1"/>
    <n v="860"/>
    <s v="Wallace River"/>
    <s v="Wallace River"/>
    <s v="Snohomish"/>
    <x v="2"/>
    <s v="Whatcom"/>
    <s v="01Whatcom"/>
    <s v="North Puget Sound"/>
    <s v="01North Puget Sound"/>
    <n v="12.794117647058799"/>
    <n v="237.33088235294099"/>
    <n v="12.714285714285699"/>
    <n v="266.07487455917925"/>
  </r>
  <r>
    <n v="2060"/>
    <x v="2"/>
    <s v="Freshwater"/>
    <x v="1"/>
    <x v="1"/>
    <n v="860"/>
    <s v="Wallace River"/>
    <s v="Wallace River"/>
    <s v="Snohomish"/>
    <x v="2"/>
    <s v="King"/>
    <s v="06King"/>
    <s v="South Puget Sound"/>
    <s v="02South Puget Sound"/>
    <n v="20.461538461538499"/>
    <n v="174.74153846153899"/>
    <n v="28.0370578853551"/>
    <n v="586.73816425820451"/>
  </r>
  <r>
    <n v="2204"/>
    <x v="2"/>
    <s v="Freshwater"/>
    <x v="1"/>
    <x v="1"/>
    <n v="860"/>
    <s v="Wallace River"/>
    <s v="Wallace River"/>
    <s v="Snohomish"/>
    <x v="2"/>
    <s v="Other"/>
    <s v="20Other"/>
    <s v="Non Puget Sound"/>
    <s v="07Non Puget Sound"/>
    <n v="11.692307692307701"/>
    <n v="99.852307692307704"/>
    <n v="13.736232291959851"/>
    <n v="287.46139312351443"/>
  </r>
  <r>
    <n v="2059"/>
    <x v="2"/>
    <s v="Freshwater"/>
    <x v="1"/>
    <x v="1"/>
    <n v="860"/>
    <s v="Wallace River"/>
    <s v="Wallace River"/>
    <s v="Snohomish"/>
    <x v="2"/>
    <s v="Snohomish"/>
    <s v="03Snohomish"/>
    <s v="North Puget Sound"/>
    <s v="01North Puget Sound"/>
    <n v="119.846153846154"/>
    <n v="1023.4861538461601"/>
    <n v="181.17407824373771"/>
    <n v="3791.4729325229491"/>
  </r>
  <r>
    <n v="2329"/>
    <x v="3"/>
    <s v="Freshwater"/>
    <x v="1"/>
    <x v="1"/>
    <n v="860"/>
    <s v="Wallace River"/>
    <s v="Wallace River"/>
    <s v="Snohomish"/>
    <x v="2"/>
    <s v="Island"/>
    <s v="04Island"/>
    <s v="North Puget Sound"/>
    <s v="01North Puget Sound"/>
    <n v="3.16326530612245"/>
    <n v="58.678571428571502"/>
    <n v="3.0526315789473699"/>
    <n v="63.883145518052608"/>
  </r>
  <r>
    <n v="2330"/>
    <x v="3"/>
    <s v="Freshwater"/>
    <x v="1"/>
    <x v="1"/>
    <n v="860"/>
    <s v="Wallace River"/>
    <s v="Wallace River"/>
    <s v="Snohomish"/>
    <x v="2"/>
    <s v="King"/>
    <s v="06King"/>
    <s v="South Puget Sound"/>
    <s v="02South Puget Sound"/>
    <n v="31.632653061224499"/>
    <n v="586.78571428571399"/>
    <n v="20.90789473684211"/>
    <n v="437.54447512148954"/>
  </r>
  <r>
    <n v="2331"/>
    <x v="3"/>
    <s v="Freshwater"/>
    <x v="1"/>
    <x v="1"/>
    <n v="860"/>
    <s v="Wallace River"/>
    <s v="Wallace River"/>
    <s v="Snohomish"/>
    <x v="2"/>
    <s v="Other"/>
    <s v="20Other"/>
    <s v="Non Puget Sound"/>
    <s v="07Non Puget Sound"/>
    <n v="6.3265306122449001"/>
    <n v="117.357142857143"/>
    <n v="9.0143540669856499"/>
    <n v="188.64552689029955"/>
  </r>
  <r>
    <n v="2224"/>
    <x v="3"/>
    <s v="Freshwater"/>
    <x v="1"/>
    <x v="1"/>
    <n v="860"/>
    <s v="Wallace River"/>
    <s v="Wallace River"/>
    <s v="Snohomish"/>
    <x v="2"/>
    <s v="Skagit"/>
    <s v="02Skagit"/>
    <s v="North Puget Sound"/>
    <s v="01North Puget Sound"/>
    <n v="3.16326530612245"/>
    <n v="58.678571428571502"/>
    <n v="0"/>
    <n v="0"/>
  </r>
  <r>
    <n v="2225"/>
    <x v="3"/>
    <s v="Freshwater"/>
    <x v="1"/>
    <x v="1"/>
    <n v="860"/>
    <s v="Wallace River"/>
    <s v="Wallace River"/>
    <s v="Snohomish"/>
    <x v="2"/>
    <s v="Snohomish"/>
    <s v="03Snohomish"/>
    <s v="North Puget Sound"/>
    <s v="01North Puget Sound"/>
    <n v="110.71428571428601"/>
    <n v="2053.75000000001"/>
    <n v="90.025119617224902"/>
    <n v="1883.9770434303121"/>
  </r>
  <r>
    <n v="1455"/>
    <x v="4"/>
    <s v="Freshwater"/>
    <x v="1"/>
    <x v="1"/>
    <n v="860"/>
    <s v="Wallace River"/>
    <s v="Wallace River"/>
    <s v="Snohomish"/>
    <x v="2"/>
    <s v="King"/>
    <s v="06King"/>
    <s v="South Puget Sound"/>
    <s v="02South Puget Sound"/>
    <n v="123.04761904761899"/>
    <n v="1050.82666666667"/>
    <n v="79.940476190476204"/>
    <n v="1672.933317101958"/>
  </r>
  <r>
    <n v="1454"/>
    <x v="4"/>
    <s v="Freshwater"/>
    <x v="1"/>
    <x v="1"/>
    <n v="860"/>
    <s v="Wallace River"/>
    <s v="Wallace River"/>
    <s v="Snohomish"/>
    <x v="2"/>
    <s v="Snohomish"/>
    <s v="03Snohomish"/>
    <s v="North Puget Sound"/>
    <s v="01North Puget Sound"/>
    <n v="145.71428571428601"/>
    <n v="1244.4000000000001"/>
    <n v="171.01190476190482"/>
    <n v="3578.8067163320375"/>
  </r>
  <r>
    <n v="1453"/>
    <x v="4"/>
    <s v="Freshwater"/>
    <x v="1"/>
    <x v="1"/>
    <n v="860"/>
    <s v="Wallace River"/>
    <s v="Wallace River"/>
    <s v="Snohomish"/>
    <x v="2"/>
    <s v="Whatcom"/>
    <s v="01Whatcom"/>
    <s v="North Puget Sound"/>
    <s v="01North Puget Sound"/>
    <n v="3.2380952380952399"/>
    <n v="27.6533333333333"/>
    <n v="0"/>
    <n v="0"/>
  </r>
  <r>
    <n v="1633"/>
    <x v="5"/>
    <s v="Freshwater"/>
    <x v="1"/>
    <x v="1"/>
    <n v="860"/>
    <s v="Wallace River"/>
    <s v="Wallace River"/>
    <s v="Snohomish"/>
    <x v="2"/>
    <s v="King"/>
    <s v="06King"/>
    <s v="South Puget Sound"/>
    <s v="02South Puget Sound"/>
    <n v="57.195121951219498"/>
    <n v="1060.9695121951199"/>
    <n v="133.01884416924662"/>
    <n v="2783.7169206109602"/>
  </r>
  <r>
    <n v="1634"/>
    <x v="5"/>
    <s v="Freshwater"/>
    <x v="1"/>
    <x v="1"/>
    <n v="860"/>
    <s v="Wallace River"/>
    <s v="Wallace River"/>
    <s v="Snohomish"/>
    <x v="2"/>
    <s v="Other"/>
    <s v="20Other"/>
    <s v="Non Puget Sound"/>
    <s v="07Non Puget Sound"/>
    <n v="11.439024390243899"/>
    <n v="212.19390243902399"/>
    <n v="3.9019607843137298"/>
    <n v="81.657259365705571"/>
  </r>
  <r>
    <n v="1632"/>
    <x v="5"/>
    <s v="Freshwater"/>
    <x v="1"/>
    <x v="1"/>
    <n v="860"/>
    <s v="Wallace River"/>
    <s v="Wallace River"/>
    <s v="Snohomish"/>
    <x v="2"/>
    <s v="Snohomish"/>
    <s v="03Snohomish"/>
    <s v="North Puget Sound"/>
    <s v="01North Puget Sound"/>
    <n v="400.36585365853699"/>
    <n v="7426.7865853658604"/>
    <n v="261.03527347781221"/>
    <n v="5462.7471182349454"/>
  </r>
  <r>
    <n v="1802"/>
    <x v="6"/>
    <s v="Freshwater"/>
    <x v="1"/>
    <x v="1"/>
    <n v="860"/>
    <s v="Wallace River"/>
    <s v="Wallace River"/>
    <s v="Snohomish"/>
    <x v="2"/>
    <s v="Island"/>
    <s v="04Island"/>
    <s v="North Puget Sound"/>
    <s v="01North Puget Sound"/>
    <n v="3.14851485148515"/>
    <n v="26.888316831683198"/>
    <n v="0"/>
    <n v="0"/>
  </r>
  <r>
    <n v="1803"/>
    <x v="6"/>
    <s v="Freshwater"/>
    <x v="1"/>
    <x v="1"/>
    <n v="860"/>
    <s v="Wallace River"/>
    <s v="Wallace River"/>
    <s v="Snohomish"/>
    <x v="2"/>
    <s v="King"/>
    <s v="06King"/>
    <s v="South Puget Sound"/>
    <s v="02South Puget Sound"/>
    <n v="103.90099009901"/>
    <n v="887.31445544554504"/>
    <n v="159.31777231777238"/>
    <n v="3334.0808313651073"/>
  </r>
  <r>
    <n v="1800"/>
    <x v="6"/>
    <s v="Freshwater"/>
    <x v="1"/>
    <x v="1"/>
    <n v="860"/>
    <s v="Wallace River"/>
    <s v="Wallace River"/>
    <s v="Snohomish"/>
    <x v="2"/>
    <s v="Skagit"/>
    <s v="02Skagit"/>
    <s v="North Puget Sound"/>
    <s v="01North Puget Sound"/>
    <n v="3.14851485148515"/>
    <n v="26.888316831683198"/>
    <n v="3.15151515151515"/>
    <n v="65.952505508710473"/>
  </r>
  <r>
    <n v="1801"/>
    <x v="6"/>
    <s v="Freshwater"/>
    <x v="1"/>
    <x v="1"/>
    <n v="860"/>
    <s v="Wallace River"/>
    <s v="Wallace River"/>
    <s v="Snohomish"/>
    <x v="2"/>
    <s v="Snohomish"/>
    <s v="03Snohomish"/>
    <s v="North Puget Sound"/>
    <s v="01North Puget Sound"/>
    <n v="207.80198019802"/>
    <n v="1774.6289108910901"/>
    <n v="256.53071253071261"/>
    <n v="5368.4791022506088"/>
  </r>
  <r>
    <n v="1973"/>
    <x v="7"/>
    <s v="Freshwater"/>
    <x v="1"/>
    <x v="1"/>
    <n v="860"/>
    <s v="Wallace River"/>
    <s v="Wallace River"/>
    <s v="Snohomish"/>
    <x v="2"/>
    <s v="King"/>
    <s v="06King"/>
    <s v="South Puget Sound"/>
    <s v="02South Puget Sound"/>
    <n v="478.95652173913101"/>
    <n v="8884.6434782608794"/>
    <n v="163.53820816864317"/>
    <n v="3422.4028940307089"/>
  </r>
  <r>
    <n v="1974"/>
    <x v="7"/>
    <s v="Freshwater"/>
    <x v="1"/>
    <x v="1"/>
    <n v="860"/>
    <s v="Wallace River"/>
    <s v="Wallace River"/>
    <s v="Snohomish"/>
    <x v="2"/>
    <s v="Other"/>
    <s v="20Other"/>
    <s v="Non Puget Sound"/>
    <s v="07Non Puget Sound"/>
    <n v="8.86956521739131"/>
    <n v="164.53043478260901"/>
    <n v="4.5"/>
    <n v="94.172567961956815"/>
  </r>
  <r>
    <n v="1972"/>
    <x v="7"/>
    <s v="Freshwater"/>
    <x v="1"/>
    <x v="1"/>
    <n v="860"/>
    <s v="Wallace River"/>
    <s v="Wallace River"/>
    <s v="Snohomish"/>
    <x v="2"/>
    <s v="Snohomish"/>
    <s v="03Snohomish"/>
    <s v="North Puget Sound"/>
    <s v="01North Puget Sound"/>
    <n v="319.304347826087"/>
    <n v="5923.0956521739099"/>
    <n v="154.6133069828723"/>
    <n v="3235.6293688149854"/>
  </r>
  <r>
    <n v="1971"/>
    <x v="7"/>
    <s v="Freshwater"/>
    <x v="1"/>
    <x v="1"/>
    <n v="860"/>
    <s v="Wallace River"/>
    <s v="Wallace River"/>
    <s v="Snohomish"/>
    <x v="2"/>
    <s v="Whatcom"/>
    <s v="01Whatcom"/>
    <s v="North Puget Sound"/>
    <s v="01North Puget Sound"/>
    <n v="8.86956521739131"/>
    <n v="164.53043478260901"/>
    <n v="4.1818181818181799"/>
    <n v="87.513901540404277"/>
  </r>
  <r>
    <n v="2111"/>
    <x v="8"/>
    <s v="Freshwater"/>
    <x v="1"/>
    <x v="1"/>
    <n v="860"/>
    <s v="Wallace River"/>
    <s v="Wallace River"/>
    <s v="Snohomish"/>
    <x v="2"/>
    <s v="King"/>
    <s v="06King"/>
    <s v="South Puget Sound"/>
    <s v="02South Puget Sound"/>
    <n v="51.428571428571402"/>
    <n v="439.2"/>
    <n v="100.1666666666667"/>
    <n v="2096.2116053754098"/>
  </r>
  <r>
    <n v="2110"/>
    <x v="8"/>
    <s v="Freshwater"/>
    <x v="1"/>
    <x v="1"/>
    <n v="860"/>
    <s v="Wallace River"/>
    <s v="Wallace River"/>
    <s v="Snohomish"/>
    <x v="2"/>
    <s v="Snohomish"/>
    <s v="03Snohomish"/>
    <s v="North Puget Sound"/>
    <s v="01North Puget Sound"/>
    <n v="38.571428571428598"/>
    <n v="329.4"/>
    <n v="60.8333333333333"/>
    <n v="1273.0736039301562"/>
  </r>
  <r>
    <n v="2252"/>
    <x v="9"/>
    <s v="Freshwater"/>
    <x v="1"/>
    <x v="1"/>
    <n v="860"/>
    <s v="Wallace River"/>
    <s v="Wallace River"/>
    <s v="Snohomish"/>
    <x v="2"/>
    <s v="Snohomish"/>
    <s v="03Snohomish"/>
    <s v="North Puget Sound"/>
    <s v="01North Puget Sound"/>
    <n v="14"/>
    <n v="259.7"/>
    <n v="10"/>
    <n v="209.27237324879292"/>
  </r>
  <r>
    <n v="2466"/>
    <x v="10"/>
    <s v="Freshwater"/>
    <x v="1"/>
    <x v="1"/>
    <n v="860"/>
    <s v="Wallace River"/>
    <s v="Wallace River"/>
    <s v="Snohomish"/>
    <x v="2"/>
    <s v="King"/>
    <s v="06King"/>
    <s v="South Puget Sound"/>
    <s v="02South Puget Sound"/>
    <n v="48"/>
    <n v="409.92"/>
    <n v="24"/>
    <n v="502.25369579710303"/>
  </r>
  <r>
    <n v="2465"/>
    <x v="10"/>
    <s v="Freshwater"/>
    <x v="1"/>
    <x v="1"/>
    <n v="860"/>
    <s v="Wallace River"/>
    <s v="Wallace River"/>
    <s v="Snohomish"/>
    <x v="2"/>
    <s v="Snohomish"/>
    <s v="03Snohomish"/>
    <s v="North Puget Sound"/>
    <s v="01North Puget Sound"/>
    <n v="16"/>
    <n v="136.63999999999999"/>
    <n v="0"/>
    <n v="0"/>
  </r>
  <r>
    <n v="2584"/>
    <x v="11"/>
    <s v="Freshwater"/>
    <x v="1"/>
    <x v="1"/>
    <n v="860"/>
    <s v="Wallace River"/>
    <s v="Wallace River"/>
    <s v="Snohomish"/>
    <x v="2"/>
    <s v="King"/>
    <s v="06King"/>
    <s v="South Puget Sound"/>
    <s v="02South Puget Sound"/>
    <n v="176.727272727273"/>
    <n v="3278.2909090909102"/>
    <n v="48.3913043478261"/>
    <n v="1012.69631054742"/>
  </r>
  <r>
    <n v="2583"/>
    <x v="11"/>
    <s v="Freshwater"/>
    <x v="1"/>
    <x v="1"/>
    <n v="860"/>
    <s v="Wallace River"/>
    <s v="Wallace River"/>
    <s v="Snohomish"/>
    <x v="2"/>
    <s v="Snohomish"/>
    <s v="03Snohomish"/>
    <s v="North Puget Sound"/>
    <s v="01North Puget Sound"/>
    <n v="309.27272727272702"/>
    <n v="5737.0090909090904"/>
    <n v="98.608695652173907"/>
    <n v="2063.6075762098362"/>
  </r>
  <r>
    <n v="2081"/>
    <x v="0"/>
    <s v="Freshwater"/>
    <x v="1"/>
    <x v="1"/>
    <n v="866"/>
    <s v="Canyon Creek"/>
    <s v="Canyon Creek"/>
    <s v="Snohomish"/>
    <x v="2"/>
    <s v="Snohomish"/>
    <s v="03Snohomish"/>
    <s v="North Puget Sound"/>
    <s v="01North Puget Sound"/>
    <n v="11"/>
    <n v="93.94"/>
    <n v="11"/>
    <n v="230.19961057367223"/>
  </r>
  <r>
    <n v="2315"/>
    <x v="2"/>
    <s v="Freshwater"/>
    <x v="1"/>
    <x v="1"/>
    <n v="866"/>
    <s v="Canyon Creek"/>
    <s v="Canyon Creek"/>
    <s v="Snohomish"/>
    <x v="2"/>
    <s v="King"/>
    <s v="06King"/>
    <s v="South Puget Sound"/>
    <s v="02South Puget Sound"/>
    <n v="3.5714285714285698"/>
    <n v="30.5"/>
    <n v="4.5"/>
    <n v="94.172567961956815"/>
  </r>
  <r>
    <n v="2314"/>
    <x v="2"/>
    <s v="Freshwater"/>
    <x v="1"/>
    <x v="1"/>
    <n v="866"/>
    <s v="Canyon Creek"/>
    <s v="Canyon Creek"/>
    <s v="Snohomish"/>
    <x v="2"/>
    <s v="Snohomish"/>
    <s v="03Snohomish"/>
    <s v="North Puget Sound"/>
    <s v="01North Puget Sound"/>
    <n v="21.428571428571399"/>
    <n v="183"/>
    <n v="8.5"/>
    <n v="177.88151726147399"/>
  </r>
  <r>
    <n v="1457"/>
    <x v="4"/>
    <s v="Freshwater"/>
    <x v="1"/>
    <x v="1"/>
    <n v="866"/>
    <s v="Canyon Creek"/>
    <s v="Canyon Creek"/>
    <s v="Snohomish"/>
    <x v="2"/>
    <s v="Other"/>
    <s v="20Other"/>
    <s v="Non Puget Sound"/>
    <s v="07Non Puget Sound"/>
    <n v="3.25"/>
    <n v="27.754999999999999"/>
    <n v="0"/>
    <n v="0"/>
  </r>
  <r>
    <n v="1456"/>
    <x v="4"/>
    <s v="Freshwater"/>
    <x v="1"/>
    <x v="1"/>
    <n v="866"/>
    <s v="Canyon Creek"/>
    <s v="Canyon Creek"/>
    <s v="Snohomish"/>
    <x v="2"/>
    <s v="Snohomish"/>
    <s v="03Snohomish"/>
    <s v="North Puget Sound"/>
    <s v="01North Puget Sound"/>
    <n v="9.75"/>
    <n v="83.265000000000001"/>
    <n v="4"/>
    <n v="83.708949299517172"/>
  </r>
  <r>
    <n v="2113"/>
    <x v="8"/>
    <s v="Freshwater"/>
    <x v="1"/>
    <x v="1"/>
    <n v="866"/>
    <s v="Canyon Creek"/>
    <s v="Canyon Creek"/>
    <s v="Snohomish"/>
    <x v="2"/>
    <s v="King"/>
    <s v="06King"/>
    <s v="South Puget Sound"/>
    <s v="02South Puget Sound"/>
    <n v="10"/>
    <n v="85.4"/>
    <n v="3"/>
    <n v="62.781711974637879"/>
  </r>
  <r>
    <n v="2112"/>
    <x v="8"/>
    <s v="Freshwater"/>
    <x v="1"/>
    <x v="1"/>
    <n v="866"/>
    <s v="Canyon Creek"/>
    <s v="Canyon Creek"/>
    <s v="Snohomish"/>
    <x v="2"/>
    <s v="Snohomish"/>
    <s v="03Snohomish"/>
    <s v="North Puget Sound"/>
    <s v="01North Puget Sound"/>
    <n v="10"/>
    <n v="85.4"/>
    <n v="7"/>
    <n v="146.49066127415506"/>
  </r>
  <r>
    <n v="2585"/>
    <x v="11"/>
    <s v="Freshwater"/>
    <x v="1"/>
    <x v="1"/>
    <n v="866"/>
    <s v="Canyon Creek"/>
    <s v="Canyon Creek"/>
    <s v="Snohomish"/>
    <x v="2"/>
    <s v="Snohomish"/>
    <s v="03Snohomish"/>
    <s v="North Puget Sound"/>
    <s v="01North Puget Sound"/>
    <n v="12"/>
    <n v="222.6"/>
    <n v="6"/>
    <n v="125.56342394927576"/>
  </r>
  <r>
    <n v="2133"/>
    <x v="2"/>
    <s v="Freshwater"/>
    <x v="1"/>
    <x v="1"/>
    <n v="870"/>
    <s v="Pilchuck Creek (Stillaguamish System)"/>
    <s v="Pilchuck Creek (Stillaguamish System)"/>
    <s v="Skagit/Snohomish"/>
    <x v="2"/>
    <s v="Pierce"/>
    <s v="07Pierce"/>
    <s v="South Puget Sound"/>
    <s v="02South Puget Sound"/>
    <n v="4"/>
    <n v="34.159999999999997"/>
    <n v="4"/>
    <n v="83.708949299517172"/>
  </r>
  <r>
    <n v="2137"/>
    <x v="7"/>
    <s v="Freshwater"/>
    <x v="1"/>
    <x v="1"/>
    <n v="870"/>
    <s v="Pilchuck Creek (Stillaguamish System)"/>
    <s v="Pilchuck Creek (Stillaguamish System)"/>
    <s v="Skagit/Snohomish"/>
    <x v="2"/>
    <s v="King"/>
    <s v="06King"/>
    <s v="South Puget Sound"/>
    <s v="02South Puget Sound"/>
    <n v="10"/>
    <n v="185.5"/>
    <n v="5"/>
    <n v="104.63618662439646"/>
  </r>
  <r>
    <n v="2194"/>
    <x v="8"/>
    <s v="Freshwater"/>
    <x v="1"/>
    <x v="1"/>
    <n v="870"/>
    <s v="Pilchuck Creek (Stillaguamish System)"/>
    <s v="Pilchuck Creek (Stillaguamish System)"/>
    <s v="Skagit/Snohomish"/>
    <x v="2"/>
    <s v="Snohomish"/>
    <s v="03Snohomish"/>
    <s v="North Puget Sound"/>
    <s v="01North Puget Sound"/>
    <n v="40"/>
    <n v="341.6"/>
    <n v="20"/>
    <n v="418.54474649758583"/>
  </r>
  <r>
    <n v="2229"/>
    <x v="0"/>
    <s v="Freshwater"/>
    <x v="1"/>
    <x v="1"/>
    <n v="872"/>
    <s v="Stillaguamish R, No. Fork"/>
    <s v="Stillaguamish R, No. Fork"/>
    <s v="Snohomish"/>
    <x v="2"/>
    <s v="King"/>
    <s v="06King"/>
    <s v="South Puget Sound"/>
    <s v="02South Puget Sound"/>
    <n v="15.535714285714301"/>
    <n v="132.67500000000001"/>
    <n v="16.285714285714292"/>
    <n v="340.81500786232004"/>
  </r>
  <r>
    <n v="2230"/>
    <x v="0"/>
    <s v="Freshwater"/>
    <x v="1"/>
    <x v="1"/>
    <n v="872"/>
    <s v="Stillaguamish R, No. Fork"/>
    <s v="Stillaguamish R, No. Fork"/>
    <s v="Snohomish"/>
    <x v="2"/>
    <s v="Other"/>
    <s v="20Other"/>
    <s v="Non Puget Sound"/>
    <s v="07Non Puget Sound"/>
    <n v="2.58928571428571"/>
    <n v="22.112500000000001"/>
    <n v="2.4285714285714302"/>
    <n v="50.823290646135462"/>
  </r>
  <r>
    <n v="2228"/>
    <x v="0"/>
    <s v="Freshwater"/>
    <x v="1"/>
    <x v="1"/>
    <n v="872"/>
    <s v="Stillaguamish R, No. Fork"/>
    <s v="Stillaguamish R, No. Fork"/>
    <s v="Snohomish"/>
    <x v="2"/>
    <s v="San Juan"/>
    <s v="05San Juan"/>
    <s v="North Puget Sound"/>
    <s v="01North Puget Sound"/>
    <n v="2.58928571428571"/>
    <n v="22.112500000000001"/>
    <n v="0"/>
    <n v="0"/>
  </r>
  <r>
    <n v="2082"/>
    <x v="0"/>
    <s v="Freshwater"/>
    <x v="1"/>
    <x v="1"/>
    <n v="872"/>
    <s v="Stillaguamish R, No. Fork"/>
    <s v="Stillaguamish R, No. Fork"/>
    <s v="Snohomish"/>
    <x v="2"/>
    <s v="Skagit"/>
    <s v="02Skagit"/>
    <s v="North Puget Sound"/>
    <s v="01North Puget Sound"/>
    <n v="5.1785714285714297"/>
    <n v="44.225000000000001"/>
    <n v="5.4285714285714306"/>
    <n v="113.60500262077335"/>
  </r>
  <r>
    <n v="2083"/>
    <x v="0"/>
    <s v="Freshwater"/>
    <x v="1"/>
    <x v="1"/>
    <n v="872"/>
    <s v="Stillaguamish R, No. Fork"/>
    <s v="Stillaguamish R, No. Fork"/>
    <s v="Snohomish"/>
    <x v="2"/>
    <s v="Snohomish"/>
    <s v="03Snohomish"/>
    <s v="North Puget Sound"/>
    <s v="01North Puget Sound"/>
    <n v="119.107142857143"/>
    <n v="1017.175"/>
    <n v="105.85714285714286"/>
    <n v="2215.2975511050795"/>
  </r>
  <r>
    <n v="2801"/>
    <x v="1"/>
    <s v="Freshwater"/>
    <x v="1"/>
    <x v="1"/>
    <n v="872"/>
    <s v="Stillaguamish R, No. Fork"/>
    <s v="Stillaguamish R, No. Fork"/>
    <s v="Snohomish"/>
    <x v="2"/>
    <s v="Island"/>
    <s v="04Island"/>
    <s v="North Puget Sound"/>
    <s v="01North Puget Sound"/>
    <n v="8.1162790697674403"/>
    <n v="150.55697674418599"/>
    <n v="8.6422764227642297"/>
    <n v="180.85896972639588"/>
  </r>
  <r>
    <n v="2803"/>
    <x v="1"/>
    <s v="Freshwater"/>
    <x v="1"/>
    <x v="1"/>
    <n v="872"/>
    <s v="Stillaguamish R, No. Fork"/>
    <s v="Stillaguamish R, No. Fork"/>
    <s v="Snohomish"/>
    <x v="2"/>
    <s v="King"/>
    <s v="06King"/>
    <s v="South Puget Sound"/>
    <s v="02South Puget Sound"/>
    <n v="24.3488372093023"/>
    <n v="451.67093023255802"/>
    <n v="22.05755277720845"/>
    <n v="461.6036417746916"/>
  </r>
  <r>
    <n v="2804"/>
    <x v="1"/>
    <s v="Freshwater"/>
    <x v="1"/>
    <x v="1"/>
    <n v="872"/>
    <s v="Stillaguamish R, No. Fork"/>
    <s v="Stillaguamish R, No. Fork"/>
    <s v="Snohomish"/>
    <x v="2"/>
    <s v="Other"/>
    <s v="20Other"/>
    <s v="Non Puget Sound"/>
    <s v="07Non Puget Sound"/>
    <n v="2.7054263565891499"/>
    <n v="50.185658914728698"/>
    <n v="3.71428571428571"/>
    <n v="77.729738635265861"/>
  </r>
  <r>
    <n v="2802"/>
    <x v="1"/>
    <s v="Freshwater"/>
    <x v="1"/>
    <x v="1"/>
    <n v="872"/>
    <s v="Stillaguamish R, No. Fork"/>
    <s v="Stillaguamish R, No. Fork"/>
    <s v="Snohomish"/>
    <x v="2"/>
    <s v="San Juan"/>
    <s v="05San Juan"/>
    <s v="North Puget Sound"/>
    <s v="01North Puget Sound"/>
    <n v="24.3488372093023"/>
    <n v="451.67093023255802"/>
    <n v="23.628919860627207"/>
    <n v="494.48801365389932"/>
  </r>
  <r>
    <n v="2799"/>
    <x v="1"/>
    <s v="Freshwater"/>
    <x v="1"/>
    <x v="1"/>
    <n v="872"/>
    <s v="Stillaguamish R, No. Fork"/>
    <s v="Stillaguamish R, No. Fork"/>
    <s v="Snohomish"/>
    <x v="2"/>
    <s v="Skagit"/>
    <s v="02Skagit"/>
    <s v="North Puget Sound"/>
    <s v="01North Puget Sound"/>
    <n v="16.232558139534898"/>
    <n v="301.11395348837198"/>
    <n v="19.68403361344534"/>
    <n v="411.93244293947197"/>
  </r>
  <r>
    <n v="2800"/>
    <x v="1"/>
    <s v="Freshwater"/>
    <x v="1"/>
    <x v="1"/>
    <n v="872"/>
    <s v="Stillaguamish R, No. Fork"/>
    <s v="Stillaguamish R, No. Fork"/>
    <s v="Snohomish"/>
    <x v="2"/>
    <s v="Snohomish"/>
    <s v="03Snohomish"/>
    <s v="North Puget Sound"/>
    <s v="01North Puget Sound"/>
    <n v="267.83720930232602"/>
    <n v="4968.3802325581501"/>
    <n v="179.33175514108083"/>
    <n v="3752.918199724541"/>
  </r>
  <r>
    <n v="2698"/>
    <x v="1"/>
    <s v="Freshwater"/>
    <x v="1"/>
    <x v="1"/>
    <n v="872"/>
    <s v="Stillaguamish R, No. Fork"/>
    <s v="Stillaguamish R, No. Fork"/>
    <s v="Snohomish"/>
    <x v="2"/>
    <s v="Whatcom"/>
    <s v="01Whatcom"/>
    <s v="North Puget Sound"/>
    <s v="01North Puget Sound"/>
    <n v="5.4108527131782997"/>
    <n v="100.371317829457"/>
    <n v="4.9411764705882399"/>
    <n v="103.40517266410954"/>
  </r>
  <r>
    <n v="1278"/>
    <x v="2"/>
    <s v="Freshwater"/>
    <x v="1"/>
    <x v="1"/>
    <n v="872"/>
    <s v="Stillaguamish R, No. Fork"/>
    <s v="Stillaguamish R, No. Fork"/>
    <s v="Snohomish"/>
    <x v="2"/>
    <s v="Island"/>
    <s v="04Island"/>
    <s v="North Puget Sound"/>
    <s v="01North Puget Sound"/>
    <n v="16.787564766839399"/>
    <n v="143.365803108808"/>
    <n v="21.551724137931"/>
    <n v="451.01804579481166"/>
  </r>
  <r>
    <n v="1280"/>
    <x v="2"/>
    <s v="Freshwater"/>
    <x v="1"/>
    <x v="1"/>
    <n v="872"/>
    <s v="Stillaguamish R, No. Fork"/>
    <s v="Stillaguamish R, No. Fork"/>
    <s v="Snohomish"/>
    <x v="2"/>
    <s v="King"/>
    <s v="06King"/>
    <s v="South Puget Sound"/>
    <s v="02South Puget Sound"/>
    <n v="20.145077720207301"/>
    <n v="172.03896373057"/>
    <n v="29.335717961914568"/>
    <n v="613.9155318847105"/>
  </r>
  <r>
    <n v="1416"/>
    <x v="2"/>
    <s v="Freshwater"/>
    <x v="1"/>
    <x v="1"/>
    <n v="872"/>
    <s v="Stillaguamish R, No. Fork"/>
    <s v="Stillaguamish R, No. Fork"/>
    <s v="Snohomish"/>
    <x v="2"/>
    <s v="Other"/>
    <s v="20Other"/>
    <s v="Non Puget Sound"/>
    <s v="07Non Puget Sound"/>
    <n v="3.35751295336788"/>
    <n v="28.673160621761699"/>
    <n v="4.31034482758621"/>
    <n v="90.203609158962536"/>
  </r>
  <r>
    <n v="1415"/>
    <x v="2"/>
    <s v="Freshwater"/>
    <x v="1"/>
    <x v="1"/>
    <n v="872"/>
    <s v="Stillaguamish R, No. Fork"/>
    <s v="Stillaguamish R, No. Fork"/>
    <s v="Snohomish"/>
    <x v="2"/>
    <s v="Pierce"/>
    <s v="07Pierce"/>
    <s v="South Puget Sound"/>
    <s v="02South Puget Sound"/>
    <n v="3.35751295336788"/>
    <n v="28.673160621761699"/>
    <n v="4.31034482758621"/>
    <n v="90.203609158962536"/>
  </r>
  <r>
    <n v="1279"/>
    <x v="2"/>
    <s v="Freshwater"/>
    <x v="1"/>
    <x v="1"/>
    <n v="872"/>
    <s v="Stillaguamish R, No. Fork"/>
    <s v="Stillaguamish R, No. Fork"/>
    <s v="Snohomish"/>
    <x v="2"/>
    <s v="San Juan"/>
    <s v="05San Juan"/>
    <s v="North Puget Sound"/>
    <s v="01North Puget Sound"/>
    <n v="10.072538860103601"/>
    <n v="86.019481865284703"/>
    <n v="2.5"/>
    <n v="52.318093312198229"/>
  </r>
  <r>
    <n v="3671"/>
    <x v="2"/>
    <s v="Freshwater"/>
    <x v="1"/>
    <x v="1"/>
    <n v="872"/>
    <s v="Stillaguamish R, No. Fork"/>
    <s v="Stillaguamish R, No. Fork"/>
    <s v="Snohomish"/>
    <x v="2"/>
    <s v="Skagit"/>
    <s v="02Skagit"/>
    <s v="North Puget Sound"/>
    <s v="01North Puget Sound"/>
    <n v="26.860103626943001"/>
    <n v="229.385284974093"/>
    <n v="30.505454804019831"/>
    <n v="638.39489238710212"/>
  </r>
  <r>
    <n v="1277"/>
    <x v="2"/>
    <s v="Freshwater"/>
    <x v="1"/>
    <x v="1"/>
    <n v="872"/>
    <s v="Stillaguamish R, No. Fork"/>
    <s v="Stillaguamish R, No. Fork"/>
    <s v="Snohomish"/>
    <x v="2"/>
    <s v="Snohomish"/>
    <s v="03Snohomish"/>
    <s v="North Puget Sound"/>
    <s v="01North Puget Sound"/>
    <n v="530.48704663212402"/>
    <n v="4530.3593782383396"/>
    <n v="474.51966099628913"/>
    <n v="9930.3855609906113"/>
  </r>
  <r>
    <n v="2429"/>
    <x v="2"/>
    <s v="Freshwater"/>
    <x v="1"/>
    <x v="1"/>
    <n v="872"/>
    <s v="Stillaguamish R, No. Fork"/>
    <s v="Stillaguamish R, No. Fork"/>
    <s v="Snohomish"/>
    <x v="2"/>
    <s v="Whatcom"/>
    <s v="01Whatcom"/>
    <s v="North Puget Sound"/>
    <s v="01North Puget Sound"/>
    <n v="36.9326424870466"/>
    <n v="315.404766839378"/>
    <n v="45.966752444673162"/>
    <n v="961.95713746365072"/>
  </r>
  <r>
    <n v="2556"/>
    <x v="3"/>
    <s v="Freshwater"/>
    <x v="1"/>
    <x v="1"/>
    <n v="872"/>
    <s v="Stillaguamish R, No. Fork"/>
    <s v="Stillaguamish R, No. Fork"/>
    <s v="Snohomish"/>
    <x v="2"/>
    <s v="Island"/>
    <s v="04Island"/>
    <s v="North Puget Sound"/>
    <s v="01North Puget Sound"/>
    <n v="12.8571428571429"/>
    <n v="238.50000000000099"/>
    <n v="13.55263157894737"/>
    <n v="283.61913742928516"/>
  </r>
  <r>
    <n v="2684"/>
    <x v="3"/>
    <s v="Freshwater"/>
    <x v="1"/>
    <x v="1"/>
    <n v="872"/>
    <s v="Stillaguamish R, No. Fork"/>
    <s v="Stillaguamish R, No. Fork"/>
    <s v="Snohomish"/>
    <x v="2"/>
    <s v="King"/>
    <s v="06King"/>
    <s v="South Puget Sound"/>
    <s v="02South Puget Sound"/>
    <n v="28.928571428571399"/>
    <n v="536.62499999999898"/>
    <n v="34.868421052631575"/>
    <n v="729.6997225122384"/>
  </r>
  <r>
    <n v="2685"/>
    <x v="3"/>
    <s v="Freshwater"/>
    <x v="1"/>
    <x v="1"/>
    <n v="872"/>
    <s v="Stillaguamish R, No. Fork"/>
    <s v="Stillaguamish R, No. Fork"/>
    <s v="Snohomish"/>
    <x v="2"/>
    <s v="Other"/>
    <s v="20Other"/>
    <s v="Non Puget Sound"/>
    <s v="07Non Puget Sound"/>
    <n v="6.4285714285714297"/>
    <n v="119.25"/>
    <n v="9"/>
    <n v="188.34513592391363"/>
  </r>
  <r>
    <n v="2683"/>
    <x v="3"/>
    <s v="Freshwater"/>
    <x v="1"/>
    <x v="1"/>
    <n v="872"/>
    <s v="Stillaguamish R, No. Fork"/>
    <s v="Stillaguamish R, No. Fork"/>
    <s v="Snohomish"/>
    <x v="2"/>
    <s v="San Juan"/>
    <s v="05San Juan"/>
    <s v="North Puget Sound"/>
    <s v="01North Puget Sound"/>
    <n v="6.4285714285714297"/>
    <n v="119.25"/>
    <n v="8.7692307692307701"/>
    <n v="183.51577346432612"/>
  </r>
  <r>
    <n v="2439"/>
    <x v="3"/>
    <s v="Freshwater"/>
    <x v="1"/>
    <x v="1"/>
    <n v="872"/>
    <s v="Stillaguamish R, No. Fork"/>
    <s v="Stillaguamish R, No. Fork"/>
    <s v="Snohomish"/>
    <x v="2"/>
    <s v="Skagit"/>
    <s v="02Skagit"/>
    <s v="North Puget Sound"/>
    <s v="01North Puget Sound"/>
    <n v="22.5"/>
    <n v="417.375"/>
    <n v="21.122807017543899"/>
    <n v="442.04199542376693"/>
  </r>
  <r>
    <n v="2555"/>
    <x v="3"/>
    <s v="Freshwater"/>
    <x v="1"/>
    <x v="1"/>
    <n v="872"/>
    <s v="Stillaguamish R, No. Fork"/>
    <s v="Stillaguamish R, No. Fork"/>
    <s v="Snohomish"/>
    <x v="2"/>
    <s v="Snohomish"/>
    <s v="03Snohomish"/>
    <s v="North Puget Sound"/>
    <s v="01North Puget Sound"/>
    <n v="221.78571428571399"/>
    <n v="4114.12499999999"/>
    <n v="268.95006747638297"/>
    <n v="5628.3818906205661"/>
  </r>
  <r>
    <n v="2438"/>
    <x v="3"/>
    <s v="Freshwater"/>
    <x v="1"/>
    <x v="1"/>
    <n v="872"/>
    <s v="Stillaguamish R, No. Fork"/>
    <s v="Stillaguamish R, No. Fork"/>
    <s v="Snohomish"/>
    <x v="2"/>
    <s v="Whatcom"/>
    <s v="01Whatcom"/>
    <s v="North Puget Sound"/>
    <s v="01North Puget Sound"/>
    <n v="16.071428571428601"/>
    <n v="298.12500000000102"/>
    <n v="16.736842105263172"/>
    <n v="350.2558668058748"/>
  </r>
  <r>
    <n v="1461"/>
    <x v="4"/>
    <s v="Freshwater"/>
    <x v="1"/>
    <x v="1"/>
    <n v="872"/>
    <s v="Stillaguamish R, No. Fork"/>
    <s v="Stillaguamish R, No. Fork"/>
    <s v="Snohomish"/>
    <x v="2"/>
    <s v="Island"/>
    <s v="04Island"/>
    <s v="North Puget Sound"/>
    <s v="01North Puget Sound"/>
    <n v="3.28125"/>
    <n v="28.021875000000001"/>
    <n v="0"/>
    <n v="0"/>
  </r>
  <r>
    <n v="1462"/>
    <x v="4"/>
    <s v="Freshwater"/>
    <x v="1"/>
    <x v="1"/>
    <n v="872"/>
    <s v="Stillaguamish R, No. Fork"/>
    <s v="Stillaguamish R, No. Fork"/>
    <s v="Snohomish"/>
    <x v="2"/>
    <s v="King"/>
    <s v="06King"/>
    <s v="South Puget Sound"/>
    <s v="02South Puget Sound"/>
    <n v="9.84375"/>
    <n v="84.065624999999997"/>
    <n v="10.16666666666667"/>
    <n v="212.76024613627288"/>
  </r>
  <r>
    <n v="1459"/>
    <x v="4"/>
    <s v="Freshwater"/>
    <x v="1"/>
    <x v="1"/>
    <n v="872"/>
    <s v="Stillaguamish R, No. Fork"/>
    <s v="Stillaguamish R, No. Fork"/>
    <s v="Snohomish"/>
    <x v="2"/>
    <s v="Skagit"/>
    <s v="02Skagit"/>
    <s v="North Puget Sound"/>
    <s v="01North Puget Sound"/>
    <n v="16.40625"/>
    <n v="140.109375"/>
    <n v="10.08333333333333"/>
    <n v="211.01630969253281"/>
  </r>
  <r>
    <n v="1460"/>
    <x v="4"/>
    <s v="Freshwater"/>
    <x v="1"/>
    <x v="1"/>
    <n v="872"/>
    <s v="Stillaguamish R, No. Fork"/>
    <s v="Stillaguamish R, No. Fork"/>
    <s v="Snohomish"/>
    <x v="2"/>
    <s v="Snohomish"/>
    <s v="03Snohomish"/>
    <s v="North Puget Sound"/>
    <s v="01North Puget Sound"/>
    <n v="72.1875"/>
    <n v="616.48125000000005"/>
    <n v="129.67000000000002"/>
    <n v="2713.6348639170983"/>
  </r>
  <r>
    <n v="1458"/>
    <x v="4"/>
    <s v="Freshwater"/>
    <x v="1"/>
    <x v="1"/>
    <n v="872"/>
    <s v="Stillaguamish R, No. Fork"/>
    <s v="Stillaguamish R, No. Fork"/>
    <s v="Snohomish"/>
    <x v="2"/>
    <s v="Whatcom"/>
    <s v="01Whatcom"/>
    <s v="North Puget Sound"/>
    <s v="01North Puget Sound"/>
    <n v="3.28125"/>
    <n v="28.021875000000001"/>
    <n v="0"/>
    <n v="0"/>
  </r>
  <r>
    <n v="1804"/>
    <x v="6"/>
    <s v="Freshwater"/>
    <x v="1"/>
    <x v="1"/>
    <n v="872"/>
    <s v="Stillaguamish R, No. Fork"/>
    <s v="Stillaguamish R, No. Fork"/>
    <s v="Snohomish"/>
    <x v="2"/>
    <s v="Snohomish"/>
    <s v="03Snohomish"/>
    <s v="North Puget Sound"/>
    <s v="01North Puget Sound"/>
    <n v="21"/>
    <n v="179.34"/>
    <n v="21"/>
    <n v="439.47198382246518"/>
  </r>
  <r>
    <n v="1975"/>
    <x v="7"/>
    <s v="Freshwater"/>
    <x v="1"/>
    <x v="1"/>
    <n v="872"/>
    <s v="Stillaguamish R, No. Fork"/>
    <s v="Stillaguamish R, No. Fork"/>
    <s v="Snohomish"/>
    <x v="2"/>
    <s v="Snohomish"/>
    <s v="03Snohomish"/>
    <s v="North Puget Sound"/>
    <s v="01North Puget Sound"/>
    <n v="86"/>
    <n v="1595.3"/>
    <n v="27"/>
    <n v="565.03540777174089"/>
  </r>
  <r>
    <n v="2114"/>
    <x v="8"/>
    <s v="Freshwater"/>
    <x v="1"/>
    <x v="1"/>
    <n v="872"/>
    <s v="Stillaguamish R, No. Fork"/>
    <s v="Stillaguamish R, No. Fork"/>
    <s v="Snohomish"/>
    <x v="2"/>
    <s v="Snohomish"/>
    <s v="03Snohomish"/>
    <s v="North Puget Sound"/>
    <s v="01North Puget Sound"/>
    <n v="94"/>
    <n v="802.76"/>
    <n v="56"/>
    <n v="1171.9252901932405"/>
  </r>
  <r>
    <n v="2359"/>
    <x v="9"/>
    <s v="Freshwater"/>
    <x v="1"/>
    <x v="1"/>
    <n v="872"/>
    <s v="Stillaguamish R, No. Fork"/>
    <s v="Stillaguamish R, No. Fork"/>
    <s v="Snohomish"/>
    <x v="2"/>
    <s v="Island"/>
    <s v="04Island"/>
    <s v="North Puget Sound"/>
    <s v="01North Puget Sound"/>
    <n v="9.5"/>
    <n v="176.22499999999999"/>
    <n v="4"/>
    <n v="83.708949299517172"/>
  </r>
  <r>
    <n v="2360"/>
    <x v="9"/>
    <s v="Freshwater"/>
    <x v="1"/>
    <x v="1"/>
    <n v="872"/>
    <s v="Stillaguamish R, No. Fork"/>
    <s v="Stillaguamish R, No. Fork"/>
    <s v="Snohomish"/>
    <x v="2"/>
    <s v="King"/>
    <s v="06King"/>
    <s v="South Puget Sound"/>
    <s v="02South Puget Sound"/>
    <n v="9.5"/>
    <n v="176.22499999999999"/>
    <n v="5"/>
    <n v="104.63618662439646"/>
  </r>
  <r>
    <n v="2361"/>
    <x v="9"/>
    <s v="Freshwater"/>
    <x v="1"/>
    <x v="1"/>
    <n v="872"/>
    <s v="Stillaguamish R, No. Fork"/>
    <s v="Stillaguamish R, No. Fork"/>
    <s v="Snohomish"/>
    <x v="2"/>
    <s v="Other"/>
    <s v="20Other"/>
    <s v="Non Puget Sound"/>
    <s v="07Non Puget Sound"/>
    <n v="9.5"/>
    <n v="176.22499999999999"/>
    <n v="4"/>
    <n v="83.708949299517172"/>
  </r>
  <r>
    <n v="2357"/>
    <x v="9"/>
    <s v="Freshwater"/>
    <x v="1"/>
    <x v="1"/>
    <n v="872"/>
    <s v="Stillaguamish R, No. Fork"/>
    <s v="Stillaguamish R, No. Fork"/>
    <s v="Snohomish"/>
    <x v="2"/>
    <s v="Skagit"/>
    <s v="02Skagit"/>
    <s v="North Puget Sound"/>
    <s v="01North Puget Sound"/>
    <n v="9.5"/>
    <n v="176.22499999999999"/>
    <n v="5"/>
    <n v="104.63618662439646"/>
  </r>
  <r>
    <n v="2358"/>
    <x v="9"/>
    <s v="Freshwater"/>
    <x v="1"/>
    <x v="1"/>
    <n v="872"/>
    <s v="Stillaguamish R, No. Fork"/>
    <s v="Stillaguamish R, No. Fork"/>
    <s v="Snohomish"/>
    <x v="2"/>
    <s v="Snohomish"/>
    <s v="03Snohomish"/>
    <s v="North Puget Sound"/>
    <s v="01North Puget Sound"/>
    <n v="38"/>
    <n v="704.9"/>
    <n v="27"/>
    <n v="565.03540777174089"/>
  </r>
  <r>
    <n v="2468"/>
    <x v="10"/>
    <s v="Freshwater"/>
    <x v="1"/>
    <x v="1"/>
    <n v="872"/>
    <s v="Stillaguamish R, No. Fork"/>
    <s v="Stillaguamish R, No. Fork"/>
    <s v="Snohomish"/>
    <x v="2"/>
    <s v="King"/>
    <s v="06King"/>
    <s v="South Puget Sound"/>
    <s v="02South Puget Sound"/>
    <n v="24"/>
    <n v="204.96"/>
    <n v="11.25"/>
    <n v="235.43141990489204"/>
  </r>
  <r>
    <n v="2467"/>
    <x v="10"/>
    <s v="Freshwater"/>
    <x v="1"/>
    <x v="1"/>
    <n v="872"/>
    <s v="Stillaguamish R, No. Fork"/>
    <s v="Stillaguamish R, No. Fork"/>
    <s v="Snohomish"/>
    <x v="2"/>
    <s v="Snohomish"/>
    <s v="03Snohomish"/>
    <s v="North Puget Sound"/>
    <s v="01North Puget Sound"/>
    <n v="48"/>
    <n v="409.92"/>
    <n v="24.75"/>
    <n v="517.94912379076254"/>
  </r>
  <r>
    <n v="2587"/>
    <x v="11"/>
    <s v="Freshwater"/>
    <x v="1"/>
    <x v="1"/>
    <n v="872"/>
    <s v="Stillaguamish R, No. Fork"/>
    <s v="Stillaguamish R, No. Fork"/>
    <s v="Snohomish"/>
    <x v="2"/>
    <s v="King"/>
    <s v="06King"/>
    <s v="South Puget Sound"/>
    <s v="02South Puget Sound"/>
    <n v="23.891891891891898"/>
    <n v="443.194594594595"/>
    <n v="5.6666666666666696"/>
    <n v="118.58767817431605"/>
  </r>
  <r>
    <n v="2586"/>
    <x v="11"/>
    <s v="Freshwater"/>
    <x v="1"/>
    <x v="1"/>
    <n v="872"/>
    <s v="Stillaguamish R, No. Fork"/>
    <s v="Stillaguamish R, No. Fork"/>
    <s v="Snohomish"/>
    <x v="2"/>
    <s v="Snohomish"/>
    <s v="03Snohomish"/>
    <s v="North Puget Sound"/>
    <s v="01North Puget Sound"/>
    <n v="418.10810810810801"/>
    <n v="7755.9054054054004"/>
    <n v="247.33333333333331"/>
    <n v="5176.0033650201449"/>
  </r>
  <r>
    <n v="2231"/>
    <x v="0"/>
    <s v="Freshwater"/>
    <x v="1"/>
    <x v="1"/>
    <n v="874"/>
    <s v="Stillaguamish R, So. Fork"/>
    <s v="Stillaguamish R, So. Fork"/>
    <s v="Snohomish"/>
    <x v="2"/>
    <s v="Snohomish"/>
    <s v="03Snohomish"/>
    <s v="North Puget Sound"/>
    <s v="01North Puget Sound"/>
    <n v="3"/>
    <n v="25.62"/>
    <n v="3"/>
    <n v="62.781711974637879"/>
  </r>
  <r>
    <n v="2805"/>
    <x v="1"/>
    <s v="Freshwater"/>
    <x v="1"/>
    <x v="1"/>
    <n v="874"/>
    <s v="Stillaguamish R, So. Fork"/>
    <s v="Stillaguamish R, So. Fork"/>
    <s v="Snohomish"/>
    <x v="2"/>
    <s v="Snohomish"/>
    <s v="03Snohomish"/>
    <s v="North Puget Sound"/>
    <s v="01North Puget Sound"/>
    <n v="11"/>
    <n v="204.05"/>
    <n v="11"/>
    <n v="230.19961057367223"/>
  </r>
  <r>
    <n v="1417"/>
    <x v="2"/>
    <s v="Freshwater"/>
    <x v="1"/>
    <x v="1"/>
    <n v="874"/>
    <s v="Stillaguamish R, So. Fork"/>
    <s v="Stillaguamish R, So. Fork"/>
    <s v="Snohomish"/>
    <x v="2"/>
    <s v="Snohomish"/>
    <s v="03Snohomish"/>
    <s v="North Puget Sound"/>
    <s v="01North Puget Sound"/>
    <n v="24"/>
    <n v="204.96"/>
    <n v="21"/>
    <n v="439.47198382246518"/>
  </r>
  <r>
    <n v="1463"/>
    <x v="4"/>
    <s v="Freshwater"/>
    <x v="1"/>
    <x v="1"/>
    <n v="874"/>
    <s v="Stillaguamish R, So. Fork"/>
    <s v="Stillaguamish R, So. Fork"/>
    <s v="Snohomish"/>
    <x v="2"/>
    <s v="Other"/>
    <s v="20Other"/>
    <s v="Non Puget Sound"/>
    <s v="07Non Puget Sound"/>
    <n v="3"/>
    <n v="25.62"/>
    <n v="0"/>
    <n v="0"/>
  </r>
  <r>
    <n v="1805"/>
    <x v="6"/>
    <s v="Freshwater"/>
    <x v="1"/>
    <x v="1"/>
    <n v="874"/>
    <s v="Stillaguamish R, So. Fork"/>
    <s v="Stillaguamish R, So. Fork"/>
    <s v="Snohomish"/>
    <x v="2"/>
    <s v="Snohomish"/>
    <s v="03Snohomish"/>
    <s v="North Puget Sound"/>
    <s v="01North Puget Sound"/>
    <n v="5"/>
    <n v="42.7"/>
    <n v="8"/>
    <n v="167.41789859903434"/>
  </r>
  <r>
    <n v="2233"/>
    <x v="0"/>
    <s v="Freshwater"/>
    <x v="1"/>
    <x v="1"/>
    <n v="876"/>
    <s v="Stillaguamish River"/>
    <s v="Stillaguamish River"/>
    <s v="Snohomish"/>
    <x v="2"/>
    <s v="Island"/>
    <s v="04Island"/>
    <s v="North Puget Sound"/>
    <s v="01North Puget Sound"/>
    <n v="3"/>
    <n v="25.62"/>
    <n v="3"/>
    <n v="62.781711974637879"/>
  </r>
  <r>
    <n v="2232"/>
    <x v="0"/>
    <s v="Freshwater"/>
    <x v="1"/>
    <x v="1"/>
    <n v="876"/>
    <s v="Stillaguamish River"/>
    <s v="Stillaguamish River"/>
    <s v="Snohomish"/>
    <x v="2"/>
    <s v="Snohomish"/>
    <s v="03Snohomish"/>
    <s v="North Puget Sound"/>
    <s v="01North Puget Sound"/>
    <n v="3"/>
    <n v="25.62"/>
    <n v="3"/>
    <n v="62.781711974637879"/>
  </r>
  <r>
    <n v="1393"/>
    <x v="1"/>
    <s v="Freshwater"/>
    <x v="1"/>
    <x v="1"/>
    <n v="876"/>
    <s v="Stillaguamish River"/>
    <s v="Stillaguamish River"/>
    <s v="Snohomish"/>
    <x v="2"/>
    <s v="King"/>
    <s v="06King"/>
    <s v="South Puget Sound"/>
    <s v="02South Puget Sound"/>
    <n v="9"/>
    <n v="166.95"/>
    <n v="9.7619047619047699"/>
    <n v="204.2896976952504"/>
  </r>
  <r>
    <n v="1566"/>
    <x v="1"/>
    <s v="Freshwater"/>
    <x v="1"/>
    <x v="1"/>
    <n v="876"/>
    <s v="Stillaguamish River"/>
    <s v="Stillaguamish River"/>
    <s v="Snohomish"/>
    <x v="2"/>
    <s v="Other"/>
    <s v="20Other"/>
    <s v="Non Puget Sound"/>
    <s v="07Non Puget Sound"/>
    <n v="3"/>
    <n v="55.65"/>
    <n v="3.6666666666666701"/>
    <n v="76.733203524557482"/>
  </r>
  <r>
    <n v="1392"/>
    <x v="1"/>
    <s v="Freshwater"/>
    <x v="1"/>
    <x v="1"/>
    <n v="876"/>
    <s v="Stillaguamish River"/>
    <s v="Stillaguamish River"/>
    <s v="Snohomish"/>
    <x v="2"/>
    <s v="Snohomish"/>
    <s v="03Snohomish"/>
    <s v="North Puget Sound"/>
    <s v="01North Puget Sound"/>
    <n v="72"/>
    <n v="1335.6"/>
    <n v="53.571428571428598"/>
    <n v="1121.1019995471056"/>
  </r>
  <r>
    <n v="1598"/>
    <x v="2"/>
    <s v="Freshwater"/>
    <x v="1"/>
    <x v="1"/>
    <n v="876"/>
    <s v="Stillaguamish River"/>
    <s v="Stillaguamish River"/>
    <s v="Snohomish"/>
    <x v="2"/>
    <s v="Island"/>
    <s v="04Island"/>
    <s v="North Puget Sound"/>
    <s v="01North Puget Sound"/>
    <n v="3.6315789473684199"/>
    <n v="31.0136842105263"/>
    <n v="4.3333333333333304"/>
    <n v="90.684695074476878"/>
  </r>
  <r>
    <n v="1599"/>
    <x v="2"/>
    <s v="Freshwater"/>
    <x v="1"/>
    <x v="1"/>
    <n v="876"/>
    <s v="Stillaguamish River"/>
    <s v="Stillaguamish River"/>
    <s v="Snohomish"/>
    <x v="2"/>
    <s v="Other"/>
    <s v="20Other"/>
    <s v="Non Puget Sound"/>
    <s v="07Non Puget Sound"/>
    <n v="10.894736842105299"/>
    <n v="93.041052631579205"/>
    <n v="12.83333333333333"/>
    <n v="268.56621233595087"/>
  </r>
  <r>
    <n v="1418"/>
    <x v="2"/>
    <s v="Freshwater"/>
    <x v="1"/>
    <x v="1"/>
    <n v="876"/>
    <s v="Stillaguamish River"/>
    <s v="Stillaguamish River"/>
    <s v="Snohomish"/>
    <x v="2"/>
    <s v="Skagit"/>
    <s v="02Skagit"/>
    <s v="North Puget Sound"/>
    <s v="01North Puget Sound"/>
    <n v="3.6315789473684199"/>
    <n v="31.0136842105263"/>
    <n v="3"/>
    <n v="62.781711974637879"/>
  </r>
  <r>
    <n v="1419"/>
    <x v="2"/>
    <s v="Freshwater"/>
    <x v="1"/>
    <x v="1"/>
    <n v="876"/>
    <s v="Stillaguamish River"/>
    <s v="Stillaguamish River"/>
    <s v="Snohomish"/>
    <x v="2"/>
    <s v="Snohomish"/>
    <s v="03Snohomish"/>
    <s v="North Puget Sound"/>
    <s v="01North Puget Sound"/>
    <n v="50.842105263157897"/>
    <n v="434.19157894736799"/>
    <n v="62.8333333333333"/>
    <n v="1314.9280785799149"/>
  </r>
  <r>
    <n v="1256"/>
    <x v="3"/>
    <s v="Freshwater"/>
    <x v="1"/>
    <x v="1"/>
    <n v="876"/>
    <s v="Stillaguamish River"/>
    <s v="Stillaguamish River"/>
    <s v="Snohomish"/>
    <x v="2"/>
    <s v="King"/>
    <s v="06King"/>
    <s v="South Puget Sound"/>
    <s v="02South Puget Sound"/>
    <n v="8.44444444444445"/>
    <n v="156.64444444444501"/>
    <n v="9"/>
    <n v="188.34513592391363"/>
  </r>
  <r>
    <n v="2686"/>
    <x v="3"/>
    <s v="Freshwater"/>
    <x v="1"/>
    <x v="1"/>
    <n v="876"/>
    <s v="Stillaguamish River"/>
    <s v="Stillaguamish River"/>
    <s v="Snohomish"/>
    <x v="2"/>
    <s v="Skagit"/>
    <s v="02Skagit"/>
    <s v="North Puget Sound"/>
    <s v="01North Puget Sound"/>
    <n v="4.2222222222222197"/>
    <n v="78.322222222222194"/>
    <n v="5"/>
    <n v="104.63618662439646"/>
  </r>
  <r>
    <n v="2687"/>
    <x v="3"/>
    <s v="Freshwater"/>
    <x v="1"/>
    <x v="1"/>
    <n v="876"/>
    <s v="Stillaguamish River"/>
    <s v="Stillaguamish River"/>
    <s v="Snohomish"/>
    <x v="2"/>
    <s v="Snohomish"/>
    <s v="03Snohomish"/>
    <s v="North Puget Sound"/>
    <s v="01North Puget Sound"/>
    <n v="25.3333333333333"/>
    <n v="469.933333333333"/>
    <n v="27"/>
    <n v="565.03540777174089"/>
  </r>
  <r>
    <n v="1806"/>
    <x v="6"/>
    <s v="Freshwater"/>
    <x v="1"/>
    <x v="1"/>
    <n v="876"/>
    <s v="Stillaguamish River"/>
    <s v="Stillaguamish River"/>
    <s v="Snohomish"/>
    <x v="2"/>
    <s v="Snohomish"/>
    <s v="03Snohomish"/>
    <s v="North Puget Sound"/>
    <s v="01North Puget Sound"/>
    <n v="5"/>
    <n v="42.7"/>
    <n v="11.66666666666667"/>
    <n v="244.15110212359181"/>
  </r>
  <r>
    <n v="2470"/>
    <x v="10"/>
    <s v="Freshwater"/>
    <x v="1"/>
    <x v="1"/>
    <n v="876"/>
    <s v="Stillaguamish River"/>
    <s v="Stillaguamish River"/>
    <s v="Snohomish"/>
    <x v="2"/>
    <s v="Island"/>
    <s v="04Island"/>
    <s v="North Puget Sound"/>
    <s v="01North Puget Sound"/>
    <n v="10.909090909090899"/>
    <n v="93.1636363636363"/>
    <n v="4"/>
    <n v="83.708949299517172"/>
  </r>
  <r>
    <n v="2469"/>
    <x v="10"/>
    <s v="Freshwater"/>
    <x v="1"/>
    <x v="1"/>
    <n v="876"/>
    <s v="Stillaguamish River"/>
    <s v="Stillaguamish River"/>
    <s v="Snohomish"/>
    <x v="2"/>
    <s v="Snohomish"/>
    <s v="03Snohomish"/>
    <s v="North Puget Sound"/>
    <s v="01North Puget Sound"/>
    <n v="109.09090909090899"/>
    <n v="931.63636363636294"/>
    <n v="39"/>
    <n v="816.16225567029244"/>
  </r>
  <r>
    <n v="2588"/>
    <x v="11"/>
    <s v="Freshwater"/>
    <x v="1"/>
    <x v="1"/>
    <n v="876"/>
    <s v="Stillaguamish River"/>
    <s v="Stillaguamish River"/>
    <s v="Snohomish"/>
    <x v="2"/>
    <s v="Snohomish"/>
    <s v="03Snohomish"/>
    <s v="North Puget Sound"/>
    <s v="01North Puget Sound"/>
    <n v="156"/>
    <n v="2893.8"/>
    <n v="95"/>
    <n v="1988.0875458635328"/>
  </r>
  <r>
    <n v="3001"/>
    <x v="0"/>
    <s v="Freshwater"/>
    <x v="1"/>
    <x v="1"/>
    <n v="884"/>
    <s v="Whatcom Creek"/>
    <s v="Whatcom Creek"/>
    <s v="Whatcom"/>
    <x v="1"/>
    <s v="Whatcom"/>
    <s v="01Whatcom"/>
    <s v="North Puget Sound"/>
    <s v="01North Puget Sound"/>
    <n v="23"/>
    <n v="196.42"/>
    <n v="0"/>
    <n v="0"/>
  </r>
  <r>
    <n v="3011"/>
    <x v="1"/>
    <s v="Freshwater"/>
    <x v="1"/>
    <x v="1"/>
    <n v="884"/>
    <s v="Whatcom Creek"/>
    <s v="Whatcom Creek"/>
    <s v="Whatcom"/>
    <x v="1"/>
    <s v="Whatcom"/>
    <s v="01Whatcom"/>
    <s v="North Puget Sound"/>
    <s v="01North Puget Sound"/>
    <n v="4"/>
    <n v="74.2"/>
    <n v="25"/>
    <n v="523.18093312198232"/>
  </r>
  <r>
    <n v="3018"/>
    <x v="3"/>
    <s v="Freshwater"/>
    <x v="1"/>
    <x v="1"/>
    <n v="884"/>
    <s v="Whatcom Creek"/>
    <s v="Whatcom Creek"/>
    <s v="Whatcom"/>
    <x v="1"/>
    <s v="Snohomish"/>
    <s v="03Snohomish"/>
    <s v="North Puget Sound"/>
    <s v="01North Puget Sound"/>
    <n v="6.8571428571428603"/>
    <n v="127.2"/>
    <n v="3.5"/>
    <n v="73.245330637077529"/>
  </r>
  <r>
    <n v="3017"/>
    <x v="3"/>
    <s v="Freshwater"/>
    <x v="1"/>
    <x v="1"/>
    <n v="884"/>
    <s v="Whatcom Creek"/>
    <s v="Whatcom Creek"/>
    <s v="Whatcom"/>
    <x v="1"/>
    <s v="Whatcom"/>
    <s v="01Whatcom"/>
    <s v="North Puget Sound"/>
    <s v="01North Puget Sound"/>
    <n v="41.142857142857103"/>
    <n v="763.19999999999902"/>
    <n v="3.5"/>
    <n v="73.245330637077529"/>
  </r>
  <r>
    <n v="3090"/>
    <x v="4"/>
    <s v="Freshwater"/>
    <x v="1"/>
    <x v="1"/>
    <n v="884"/>
    <s v="Whatcom Creek"/>
    <s v="Whatcom Creek"/>
    <s v="Whatcom"/>
    <x v="1"/>
    <s v="Snohomish"/>
    <s v="03Snohomish"/>
    <s v="North Puget Sound"/>
    <s v="01North Puget Sound"/>
    <n v="3"/>
    <n v="25.62"/>
    <n v="6.4"/>
    <n v="133.93431887922748"/>
  </r>
  <r>
    <n v="3089"/>
    <x v="4"/>
    <s v="Freshwater"/>
    <x v="1"/>
    <x v="1"/>
    <n v="884"/>
    <s v="Whatcom Creek"/>
    <s v="Whatcom Creek"/>
    <s v="Whatcom"/>
    <x v="1"/>
    <s v="Whatcom"/>
    <s v="01Whatcom"/>
    <s v="North Puget Sound"/>
    <s v="01North Puget Sound"/>
    <n v="12"/>
    <n v="102.48"/>
    <n v="43.6"/>
    <n v="912.42754736473717"/>
  </r>
  <r>
    <n v="1249"/>
    <x v="8"/>
    <s v="Freshwater"/>
    <x v="1"/>
    <x v="1"/>
    <n v="900"/>
    <s v="Other Lakes"/>
    <s v="Other Lakes"/>
    <s v="NA"/>
    <x v="5"/>
    <s v="Other"/>
    <s v="20Other"/>
    <s v="Non Puget Sound"/>
    <s v="07Non Puget Sound"/>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9F1A7-A340-49B6-B6BA-632527EAADBD}" name="PivotTable7" cacheId="4" applyNumberFormats="0" applyBorderFormats="0" applyFontFormats="0" applyPatternFormats="0" applyAlignmentFormats="0" applyWidthHeightFormats="1" dataCaption="Values" updatedVersion="8" minRefreshableVersion="3" useAutoFormatting="1" itemPrintTitles="1" createdVersion="6" indent="0" compact="0" compactData="0" gridDropZones="1" multipleFieldFilters="0">
  <location ref="N5:AN13" firstHeaderRow="1" firstDataRow="3" firstDataCol="1" rowPageCount="2" colPageCount="1"/>
  <pivotFields count="18">
    <pivotField compact="0" outline="0" showAll="0"/>
    <pivotField axis="axisCol" compact="0" outline="0" multipleItemSelectionAllowed="1" showAll="0" defaultSubtotal="0">
      <items count="12">
        <item x="0"/>
        <item x="1"/>
        <item x="2"/>
        <item x="3"/>
        <item x="4"/>
        <item x="5"/>
        <item x="6"/>
        <item x="7"/>
        <item x="8"/>
        <item x="9"/>
        <item x="10"/>
        <item x="11"/>
      </items>
    </pivotField>
    <pivotField compact="0" outline="0" showAll="0"/>
    <pivotField axis="axisPage" compact="0" outline="0" showAll="0">
      <items count="3">
        <item x="0"/>
        <item x="1"/>
        <item t="default"/>
      </items>
    </pivotField>
    <pivotField axis="axisPage" compact="0" outline="0" showAll="0" defaultSubtotal="0">
      <items count="2">
        <item x="0"/>
        <item x="1"/>
      </items>
    </pivotField>
    <pivotField compact="0" outline="0" showAll="0"/>
    <pivotField compact="0" outline="0" showAll="0"/>
    <pivotField compact="0" outline="0" showAll="0"/>
    <pivotField compact="0" outline="0" showAll="0" defaultSubtotal="0"/>
    <pivotField axis="axisRow" compact="0" outline="0" showAll="0" sortType="ascending">
      <items count="7">
        <item x="0"/>
        <item x="1"/>
        <item x="2"/>
        <item x="3"/>
        <item x="4"/>
        <item h="1" x="5"/>
        <item t="default"/>
      </items>
    </pivotField>
    <pivotField compact="0" outline="0" showAll="0"/>
    <pivotField compact="0" outline="0"/>
    <pivotField compact="0" outline="0" showAll="0"/>
    <pivotField compact="0" outline="0" showAll="0"/>
    <pivotField dataField="1" compact="0" numFmtId="3" outline="0" showAll="0" defaultSubtotal="0"/>
    <pivotField dataField="1" compact="0" numFmtId="3" outline="0" showAll="0" defaultSubtotal="0"/>
    <pivotField compact="0" outline="0" showAll="0"/>
    <pivotField compact="0" outline="0" showAll="0"/>
  </pivotFields>
  <rowFields count="1">
    <field x="9"/>
  </rowFields>
  <rowItems count="6">
    <i>
      <x/>
    </i>
    <i>
      <x v="1"/>
    </i>
    <i>
      <x v="2"/>
    </i>
    <i>
      <x v="3"/>
    </i>
    <i>
      <x v="4"/>
    </i>
    <i t="grand">
      <x/>
    </i>
  </rowItems>
  <colFields count="2">
    <field x="1"/>
    <field x="-2"/>
  </colFields>
  <colItems count="2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t="grand">
      <x/>
    </i>
    <i t="grand" i="1">
      <x/>
    </i>
  </colItems>
  <pageFields count="2">
    <pageField fld="4" item="0" hier="-1"/>
    <pageField fld="3" item="0" hier="-1"/>
  </pageFields>
  <dataFields count="2">
    <dataField name="Sum of Catch" fld="14" baseField="0" baseItem="0"/>
    <dataField name="Sum of Trips" fld="15" baseField="0" baseItem="0"/>
  </dataFields>
  <formats count="7">
    <format dxfId="74">
      <pivotArea collapsedLevelsAreSubtotals="1" fieldPosition="0">
        <references count="1">
          <reference field="1" count="1">
            <x v="1"/>
          </reference>
        </references>
      </pivotArea>
    </format>
    <format dxfId="73">
      <pivotArea collapsedLevelsAreSubtotals="1" fieldPosition="0">
        <references count="1">
          <reference field="1" count="1">
            <x v="2"/>
          </reference>
        </references>
      </pivotArea>
    </format>
    <format dxfId="72">
      <pivotArea collapsedLevelsAreSubtotals="1" fieldPosition="0">
        <references count="1">
          <reference field="1" count="1">
            <x v="3"/>
          </reference>
        </references>
      </pivotArea>
    </format>
    <format dxfId="71">
      <pivotArea collapsedLevelsAreSubtotals="1" fieldPosition="0">
        <references count="1">
          <reference field="1" count="1">
            <x v="4"/>
          </reference>
        </references>
      </pivotArea>
    </format>
    <format dxfId="70">
      <pivotArea collapsedLevelsAreSubtotals="1" fieldPosition="0">
        <references count="1">
          <reference field="1" count="1">
            <x v="5"/>
          </reference>
        </references>
      </pivotArea>
    </format>
    <format dxfId="69">
      <pivotArea collapsedLevelsAreSubtotals="1" fieldPosition="0">
        <references count="1">
          <reference field="1" count="1">
            <x v="6"/>
          </reference>
        </references>
      </pivotArea>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3" applyNumberFormats="0" applyBorderFormats="0" applyFontFormats="0" applyPatternFormats="0" applyAlignmentFormats="0" applyWidthHeightFormats="1" dataCaption="Values" updatedVersion="8" minRefreshableVersion="3" useAutoFormatting="1" colGrandTotals="0" itemPrintTitles="1" createdVersion="6" indent="0" showHeaders="0" compact="0" compactData="0" multipleFieldFilters="0">
  <location ref="A4:C75" firstHeaderRow="1" firstDataRow="1" firstDataCol="2" rowPageCount="2" colPageCount="1"/>
  <pivotFields count="16">
    <pivotField compact="0" outline="0" showAll="0"/>
    <pivotField axis="axisPage" compact="0" outline="0" multipleItemSelectionAllowed="1" showAll="0">
      <items count="13">
        <item x="0"/>
        <item x="1"/>
        <item x="2"/>
        <item x="3"/>
        <item x="4"/>
        <item x="5"/>
        <item x="6"/>
        <item x="7"/>
        <item x="8"/>
        <item x="9"/>
        <item h="1" x="10"/>
        <item h="1" x="11"/>
        <item t="default"/>
      </items>
    </pivotField>
    <pivotField compact="0" outline="0" showAll="0"/>
    <pivotField compact="0" outline="0" showAll="0"/>
    <pivotField axis="axisPage"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showAll="0" sortType="ascending">
      <items count="10">
        <item x="0"/>
        <item x="1"/>
        <item x="2"/>
        <item x="3"/>
        <item x="4"/>
        <item h="1" x="5"/>
        <item h="1" m="1" x="6"/>
        <item h="1" m="1" x="7"/>
        <item h="1" m="1" x="8"/>
        <item t="default"/>
      </items>
    </pivotField>
    <pivotField compact="0" outline="0" showAll="0"/>
    <pivotField axis="axisRow" compact="0" outline="0" showAll="0">
      <items count="14">
        <item x="11"/>
        <item x="8"/>
        <item x="9"/>
        <item x="1"/>
        <item x="12"/>
        <item x="3"/>
        <item x="7"/>
        <item x="10"/>
        <item x="5"/>
        <item x="4"/>
        <item x="0"/>
        <item x="2"/>
        <item x="6"/>
        <item t="default"/>
      </items>
    </pivotField>
    <pivotField compact="0" outline="0" showAll="0"/>
    <pivotField compact="0" outline="0" showAll="0"/>
    <pivotField compact="0" numFmtId="3" outline="0" showAll="0"/>
    <pivotField dataField="1" compact="0" numFmtId="3" outline="0" showAll="0"/>
  </pivotFields>
  <rowFields count="2">
    <field x="9"/>
    <field x="11"/>
  </rowFields>
  <rowItems count="71">
    <i>
      <x/>
      <x/>
    </i>
    <i r="1">
      <x v="1"/>
    </i>
    <i r="1">
      <x v="2"/>
    </i>
    <i r="1">
      <x v="3"/>
    </i>
    <i r="1">
      <x v="4"/>
    </i>
    <i r="1">
      <x v="5"/>
    </i>
    <i r="1">
      <x v="6"/>
    </i>
    <i r="1">
      <x v="7"/>
    </i>
    <i r="1">
      <x v="8"/>
    </i>
    <i r="1">
      <x v="9"/>
    </i>
    <i r="1">
      <x v="10"/>
    </i>
    <i r="1">
      <x v="11"/>
    </i>
    <i r="1">
      <x v="12"/>
    </i>
    <i t="default">
      <x/>
    </i>
    <i>
      <x v="1"/>
      <x/>
    </i>
    <i r="1">
      <x v="1"/>
    </i>
    <i r="1">
      <x v="2"/>
    </i>
    <i r="1">
      <x v="3"/>
    </i>
    <i r="1">
      <x v="4"/>
    </i>
    <i r="1">
      <x v="5"/>
    </i>
    <i r="1">
      <x v="6"/>
    </i>
    <i r="1">
      <x v="7"/>
    </i>
    <i r="1">
      <x v="8"/>
    </i>
    <i r="1">
      <x v="9"/>
    </i>
    <i r="1">
      <x v="10"/>
    </i>
    <i r="1">
      <x v="11"/>
    </i>
    <i r="1">
      <x v="12"/>
    </i>
    <i t="default">
      <x v="1"/>
    </i>
    <i>
      <x v="2"/>
      <x/>
    </i>
    <i r="1">
      <x v="1"/>
    </i>
    <i r="1">
      <x v="2"/>
    </i>
    <i r="1">
      <x v="3"/>
    </i>
    <i r="1">
      <x v="4"/>
    </i>
    <i r="1">
      <x v="5"/>
    </i>
    <i r="1">
      <x v="6"/>
    </i>
    <i r="1">
      <x v="7"/>
    </i>
    <i r="1">
      <x v="8"/>
    </i>
    <i r="1">
      <x v="9"/>
    </i>
    <i r="1">
      <x v="10"/>
    </i>
    <i r="1">
      <x v="11"/>
    </i>
    <i r="1">
      <x v="12"/>
    </i>
    <i t="default">
      <x v="2"/>
    </i>
    <i>
      <x v="3"/>
      <x/>
    </i>
    <i r="1">
      <x v="1"/>
    </i>
    <i r="1">
      <x v="2"/>
    </i>
    <i r="1">
      <x v="3"/>
    </i>
    <i r="1">
      <x v="4"/>
    </i>
    <i r="1">
      <x v="5"/>
    </i>
    <i r="1">
      <x v="6"/>
    </i>
    <i r="1">
      <x v="7"/>
    </i>
    <i r="1">
      <x v="8"/>
    </i>
    <i r="1">
      <x v="9"/>
    </i>
    <i r="1">
      <x v="10"/>
    </i>
    <i r="1">
      <x v="11"/>
    </i>
    <i r="1">
      <x v="12"/>
    </i>
    <i t="default">
      <x v="3"/>
    </i>
    <i>
      <x v="4"/>
      <x/>
    </i>
    <i r="1">
      <x v="1"/>
    </i>
    <i r="1">
      <x v="2"/>
    </i>
    <i r="1">
      <x v="3"/>
    </i>
    <i r="1">
      <x v="4"/>
    </i>
    <i r="1">
      <x v="5"/>
    </i>
    <i r="1">
      <x v="6"/>
    </i>
    <i r="1">
      <x v="7"/>
    </i>
    <i r="1">
      <x v="8"/>
    </i>
    <i r="1">
      <x v="9"/>
    </i>
    <i r="1">
      <x v="10"/>
    </i>
    <i r="1">
      <x v="11"/>
    </i>
    <i r="1">
      <x v="12"/>
    </i>
    <i t="default">
      <x v="4"/>
    </i>
    <i t="grand">
      <x/>
    </i>
  </rowItems>
  <colItems count="1">
    <i/>
  </colItems>
  <pageFields count="2">
    <pageField fld="4" item="0" hier="-1"/>
    <pageField fld="1" hier="-1"/>
  </pageFields>
  <dataFields count="1">
    <dataField name="Sum of Trips" fld="15" baseField="0" baseItem="0"/>
  </dataFields>
  <formats count="3">
    <format dxfId="77">
      <pivotArea outline="0" collapsedLevelsAreSubtotals="1" fieldPosition="0"/>
    </format>
    <format dxfId="76">
      <pivotArea outline="0" collapsedLevelsAreSubtotals="1" fieldPosition="0"/>
    </format>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9EA9C7-F975-4B7D-8B5F-B05D1639139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1:AD58" firstHeaderRow="1" firstDataRow="2" firstDataCol="1" rowPageCount="1" colPageCount="1"/>
  <pivotFields count="17">
    <pivotField showAll="0"/>
    <pivotField axis="axisPage" multipleItemSelectionAllowed="1" showAll="0">
      <items count="13">
        <item x="0"/>
        <item x="1"/>
        <item x="2"/>
        <item x="3"/>
        <item x="4"/>
        <item x="5"/>
        <item x="6"/>
        <item x="7"/>
        <item x="8"/>
        <item x="9"/>
        <item h="1" x="10"/>
        <item h="1" x="11"/>
        <item t="default"/>
      </items>
    </pivotField>
    <pivotField axis="axisCol" showAll="0">
      <items count="11">
        <item x="6"/>
        <item x="8"/>
        <item x="9"/>
        <item x="7"/>
        <item x="5"/>
        <item x="0"/>
        <item x="1"/>
        <item x="2"/>
        <item x="3"/>
        <item x="4"/>
        <item t="default"/>
      </items>
    </pivotField>
    <pivotField numFmtId="1" showAll="0"/>
    <pivotField showAll="0"/>
    <pivotField showAll="0"/>
    <pivotField showAll="0"/>
    <pivotField showAll="0"/>
    <pivotField showAll="0"/>
    <pivotField showAll="0"/>
    <pivotField showAll="0"/>
    <pivotField axis="axisRow" showAll="0">
      <items count="7">
        <item x="3"/>
        <item x="1"/>
        <item x="4"/>
        <item x="0"/>
        <item x="2"/>
        <item h="1" x="5"/>
        <item t="default"/>
      </items>
    </pivotField>
    <pivotField showAll="0"/>
    <pivotField showAll="0"/>
    <pivotField showAll="0"/>
    <pivotField numFmtId="3" showAll="0"/>
    <pivotField dataField="1" numFmtId="165" showAll="0"/>
  </pivotFields>
  <rowFields count="1">
    <field x="11"/>
  </rowFields>
  <rowItems count="6">
    <i>
      <x/>
    </i>
    <i>
      <x v="1"/>
    </i>
    <i>
      <x v="2"/>
    </i>
    <i>
      <x v="3"/>
    </i>
    <i>
      <x v="4"/>
    </i>
    <i t="grand">
      <x/>
    </i>
  </rowItems>
  <colFields count="1">
    <field x="2"/>
  </colFields>
  <colItems count="11">
    <i>
      <x/>
    </i>
    <i>
      <x v="1"/>
    </i>
    <i>
      <x v="2"/>
    </i>
    <i>
      <x v="3"/>
    </i>
    <i>
      <x v="4"/>
    </i>
    <i>
      <x v="5"/>
    </i>
    <i>
      <x v="6"/>
    </i>
    <i>
      <x v="7"/>
    </i>
    <i>
      <x v="8"/>
    </i>
    <i>
      <x v="9"/>
    </i>
    <i t="grand">
      <x/>
    </i>
  </colItems>
  <pageFields count="1">
    <pageField fld="1" hier="-1"/>
  </pageFields>
  <dataFields count="1">
    <dataField name="Sum of Calc Trips" fld="16" baseField="0" baseItem="0"/>
  </dataFields>
  <formats count="2">
    <format dxfId="57">
      <pivotArea outline="0" collapsedLevelsAreSubtotals="1" fieldPosition="0"/>
    </format>
    <format dxfId="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7F4F34-D582-4886-AD1F-71F830D7612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63:AD70" firstHeaderRow="1" firstDataRow="2" firstDataCol="1" rowPageCount="1" colPageCount="1"/>
  <pivotFields count="17">
    <pivotField showAll="0"/>
    <pivotField axis="axisPage" multipleItemSelectionAllowed="1" showAll="0">
      <items count="13">
        <item x="0"/>
        <item x="1"/>
        <item x="2"/>
        <item x="3"/>
        <item x="4"/>
        <item x="5"/>
        <item x="6"/>
        <item x="7"/>
        <item x="8"/>
        <item x="9"/>
        <item h="1" x="10"/>
        <item h="1" x="11"/>
        <item t="default"/>
      </items>
    </pivotField>
    <pivotField axis="axisCol" showAll="0">
      <items count="11">
        <item x="6"/>
        <item x="8"/>
        <item x="9"/>
        <item x="7"/>
        <item x="5"/>
        <item x="0"/>
        <item x="1"/>
        <item x="2"/>
        <item x="3"/>
        <item x="4"/>
        <item t="default"/>
      </items>
    </pivotField>
    <pivotField numFmtId="1" showAll="0"/>
    <pivotField showAll="0"/>
    <pivotField showAll="0"/>
    <pivotField showAll="0"/>
    <pivotField showAll="0"/>
    <pivotField showAll="0"/>
    <pivotField showAll="0"/>
    <pivotField showAll="0"/>
    <pivotField axis="axisRow" showAll="0">
      <items count="7">
        <item x="3"/>
        <item x="1"/>
        <item x="4"/>
        <item x="0"/>
        <item x="2"/>
        <item h="1" x="5"/>
        <item t="default"/>
      </items>
    </pivotField>
    <pivotField showAll="0"/>
    <pivotField showAll="0"/>
    <pivotField showAll="0"/>
    <pivotField numFmtId="3" showAll="0"/>
    <pivotField dataField="1" numFmtId="165" showAll="0"/>
  </pivotFields>
  <rowFields count="1">
    <field x="11"/>
  </rowFields>
  <rowItems count="6">
    <i>
      <x/>
    </i>
    <i>
      <x v="1"/>
    </i>
    <i>
      <x v="2"/>
    </i>
    <i>
      <x v="3"/>
    </i>
    <i>
      <x v="4"/>
    </i>
    <i t="grand">
      <x/>
    </i>
  </rowItems>
  <colFields count="1">
    <field x="2"/>
  </colFields>
  <colItems count="11">
    <i>
      <x/>
    </i>
    <i>
      <x v="1"/>
    </i>
    <i>
      <x v="2"/>
    </i>
    <i>
      <x v="3"/>
    </i>
    <i>
      <x v="4"/>
    </i>
    <i>
      <x v="5"/>
    </i>
    <i>
      <x v="6"/>
    </i>
    <i>
      <x v="7"/>
    </i>
    <i>
      <x v="8"/>
    </i>
    <i>
      <x v="9"/>
    </i>
    <i t="grand">
      <x/>
    </i>
  </colItems>
  <pageFields count="1">
    <pageField fld="1" hier="-1"/>
  </pageFields>
  <dataFields count="1">
    <dataField name="Sum of Calc Trips" fld="16" showDataAs="percentOfRow" baseField="10" baseItem="0" numFmtId="10"/>
  </dataFields>
  <formats count="3">
    <format dxfId="60">
      <pivotArea outline="0" collapsedLevelsAreSubtotals="1" fieldPosition="0"/>
    </format>
    <format dxfId="59">
      <pivotArea dataOnly="0" labelOnly="1" grandCol="1" outline="0" fieldPosition="0"/>
    </format>
    <format dxfId="5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99704-5586-410C-B3CC-4E85A48A9C5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8:AD45" firstHeaderRow="1" firstDataRow="2" firstDataCol="1" rowPageCount="1" colPageCount="1"/>
  <pivotFields count="17">
    <pivotField showAll="0"/>
    <pivotField axis="axisPage" multipleItemSelectionAllowed="1" showAll="0">
      <items count="13">
        <item x="0"/>
        <item x="1"/>
        <item x="2"/>
        <item x="3"/>
        <item x="4"/>
        <item x="5"/>
        <item x="6"/>
        <item x="7"/>
        <item x="8"/>
        <item x="9"/>
        <item h="1" x="10"/>
        <item h="1" x="11"/>
        <item t="default"/>
      </items>
    </pivotField>
    <pivotField axis="axisCol" showAll="0">
      <items count="11">
        <item x="6"/>
        <item x="8"/>
        <item x="9"/>
        <item x="7"/>
        <item x="5"/>
        <item x="0"/>
        <item x="1"/>
        <item x="2"/>
        <item x="3"/>
        <item x="4"/>
        <item t="default"/>
      </items>
    </pivotField>
    <pivotField numFmtId="1" showAll="0"/>
    <pivotField showAll="0"/>
    <pivotField showAll="0"/>
    <pivotField showAll="0"/>
    <pivotField showAll="0"/>
    <pivotField showAll="0"/>
    <pivotField showAll="0"/>
    <pivotField showAll="0"/>
    <pivotField axis="axisRow" showAll="0">
      <items count="7">
        <item x="3"/>
        <item x="1"/>
        <item x="4"/>
        <item x="0"/>
        <item x="2"/>
        <item h="1" x="5"/>
        <item t="default"/>
      </items>
    </pivotField>
    <pivotField showAll="0"/>
    <pivotField showAll="0"/>
    <pivotField showAll="0"/>
    <pivotField dataField="1" numFmtId="3" showAll="0"/>
    <pivotField numFmtId="165" showAll="0"/>
  </pivotFields>
  <rowFields count="1">
    <field x="11"/>
  </rowFields>
  <rowItems count="6">
    <i>
      <x/>
    </i>
    <i>
      <x v="1"/>
    </i>
    <i>
      <x v="2"/>
    </i>
    <i>
      <x v="3"/>
    </i>
    <i>
      <x v="4"/>
    </i>
    <i t="grand">
      <x/>
    </i>
  </rowItems>
  <colFields count="1">
    <field x="2"/>
  </colFields>
  <colItems count="11">
    <i>
      <x/>
    </i>
    <i>
      <x v="1"/>
    </i>
    <i>
      <x v="2"/>
    </i>
    <i>
      <x v="3"/>
    </i>
    <i>
      <x v="4"/>
    </i>
    <i>
      <x v="5"/>
    </i>
    <i>
      <x v="6"/>
    </i>
    <i>
      <x v="7"/>
    </i>
    <i>
      <x v="8"/>
    </i>
    <i>
      <x v="9"/>
    </i>
    <i t="grand">
      <x/>
    </i>
  </colItems>
  <pageFields count="1">
    <pageField fld="1" hier="-1"/>
  </pageFields>
  <dataFields count="1">
    <dataField name="Sum of Catch" fld="15" showDataAs="percentOfRow" baseField="10" baseItem="1" numFmtId="10"/>
  </dataFields>
  <formats count="3">
    <format dxfId="63">
      <pivotArea outline="0" collapsedLevelsAreSubtotals="1" fieldPosition="0"/>
    </format>
    <format dxfId="62">
      <pivotArea dataOnly="0" labelOnly="1" grandCol="1" outline="0" fieldPosition="0"/>
    </format>
    <format dxfId="6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9A71FE-10D2-4E93-8FDA-DA1321BF511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6:AD33" firstHeaderRow="1" firstDataRow="2" firstDataCol="1" rowPageCount="1" colPageCount="1"/>
  <pivotFields count="17">
    <pivotField showAll="0"/>
    <pivotField axis="axisPage" multipleItemSelectionAllowed="1" showAll="0">
      <items count="13">
        <item x="0"/>
        <item x="1"/>
        <item x="2"/>
        <item x="3"/>
        <item x="4"/>
        <item x="5"/>
        <item x="6"/>
        <item x="7"/>
        <item x="8"/>
        <item x="9"/>
        <item h="1" x="10"/>
        <item h="1" x="11"/>
        <item t="default"/>
      </items>
    </pivotField>
    <pivotField axis="axisCol" showAll="0">
      <items count="11">
        <item x="6"/>
        <item x="8"/>
        <item x="9"/>
        <item x="7"/>
        <item x="5"/>
        <item x="0"/>
        <item x="1"/>
        <item x="2"/>
        <item x="3"/>
        <item x="4"/>
        <item t="default"/>
      </items>
    </pivotField>
    <pivotField numFmtId="1" showAll="0"/>
    <pivotField showAll="0"/>
    <pivotField showAll="0"/>
    <pivotField showAll="0"/>
    <pivotField showAll="0"/>
    <pivotField showAll="0"/>
    <pivotField showAll="0"/>
    <pivotField showAll="0"/>
    <pivotField axis="axisRow" showAll="0">
      <items count="7">
        <item x="3"/>
        <item x="1"/>
        <item x="4"/>
        <item x="0"/>
        <item x="2"/>
        <item h="1" x="5"/>
        <item t="default"/>
      </items>
    </pivotField>
    <pivotField showAll="0"/>
    <pivotField showAll="0"/>
    <pivotField showAll="0"/>
    <pivotField dataField="1" numFmtId="3" showAll="0"/>
    <pivotField numFmtId="165" showAll="0"/>
  </pivotFields>
  <rowFields count="1">
    <field x="11"/>
  </rowFields>
  <rowItems count="6">
    <i>
      <x/>
    </i>
    <i>
      <x v="1"/>
    </i>
    <i>
      <x v="2"/>
    </i>
    <i>
      <x v="3"/>
    </i>
    <i>
      <x v="4"/>
    </i>
    <i t="grand">
      <x/>
    </i>
  </rowItems>
  <colFields count="1">
    <field x="2"/>
  </colFields>
  <colItems count="11">
    <i>
      <x/>
    </i>
    <i>
      <x v="1"/>
    </i>
    <i>
      <x v="2"/>
    </i>
    <i>
      <x v="3"/>
    </i>
    <i>
      <x v="4"/>
    </i>
    <i>
      <x v="5"/>
    </i>
    <i>
      <x v="6"/>
    </i>
    <i>
      <x v="7"/>
    </i>
    <i>
      <x v="8"/>
    </i>
    <i>
      <x v="9"/>
    </i>
    <i t="grand">
      <x/>
    </i>
  </colItems>
  <pageFields count="1">
    <pageField fld="1" hier="-1"/>
  </pageFields>
  <dataFields count="1">
    <dataField name="Sum of Catch" fld="15" baseField="0" baseItem="0" numFmtId="164"/>
  </dataFields>
  <formats count="2">
    <format dxfId="65">
      <pivotArea outline="0" collapsedLevelsAreSubtotals="1" fieldPosition="0"/>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66711D-83C3-49CC-8C33-B1C10FADF33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4:AD21" firstHeaderRow="1" firstDataRow="2" firstDataCol="1"/>
  <pivotFields count="17">
    <pivotField showAll="0"/>
    <pivotField multipleItemSelectionAllowed="1" showAll="0">
      <items count="13">
        <item x="0"/>
        <item x="1"/>
        <item x="2"/>
        <item x="3"/>
        <item x="4"/>
        <item x="5"/>
        <item x="6"/>
        <item x="7"/>
        <item x="8"/>
        <item x="9"/>
        <item h="1" x="10"/>
        <item h="1" x="11"/>
        <item t="default"/>
      </items>
    </pivotField>
    <pivotField showAll="0"/>
    <pivotField axis="axisCol" numFmtId="1" showAll="0">
      <items count="13">
        <item x="0"/>
        <item x="1"/>
        <item x="2"/>
        <item x="3"/>
        <item x="4"/>
        <item x="5"/>
        <item x="6"/>
        <item x="7"/>
        <item x="8"/>
        <item x="9"/>
        <item h="1" x="10"/>
        <item h="1" x="11"/>
        <item t="default"/>
      </items>
    </pivotField>
    <pivotField showAll="0"/>
    <pivotField showAll="0"/>
    <pivotField showAll="0"/>
    <pivotField showAll="0"/>
    <pivotField showAll="0"/>
    <pivotField showAll="0"/>
    <pivotField showAll="0"/>
    <pivotField axis="axisRow" showAll="0">
      <items count="7">
        <item x="3"/>
        <item x="1"/>
        <item x="4"/>
        <item x="0"/>
        <item x="2"/>
        <item h="1" x="5"/>
        <item t="default"/>
      </items>
    </pivotField>
    <pivotField showAll="0"/>
    <pivotField showAll="0"/>
    <pivotField showAll="0"/>
    <pivotField dataField="1" numFmtId="3" showAll="0"/>
    <pivotField numFmtId="165" showAll="0"/>
  </pivotFields>
  <rowFields count="1">
    <field x="11"/>
  </rowFields>
  <rowItems count="6">
    <i>
      <x/>
    </i>
    <i>
      <x v="1"/>
    </i>
    <i>
      <x v="2"/>
    </i>
    <i>
      <x v="3"/>
    </i>
    <i>
      <x v="4"/>
    </i>
    <i t="grand">
      <x/>
    </i>
  </rowItems>
  <colFields count="1">
    <field x="3"/>
  </colFields>
  <colItems count="11">
    <i>
      <x/>
    </i>
    <i>
      <x v="1"/>
    </i>
    <i>
      <x v="2"/>
    </i>
    <i>
      <x v="3"/>
    </i>
    <i>
      <x v="4"/>
    </i>
    <i>
      <x v="5"/>
    </i>
    <i>
      <x v="6"/>
    </i>
    <i>
      <x v="7"/>
    </i>
    <i>
      <x v="8"/>
    </i>
    <i>
      <x v="9"/>
    </i>
    <i t="grand">
      <x/>
    </i>
  </colItems>
  <dataFields count="1">
    <dataField name="Sum of Catch" fld="15" baseField="0" baseItem="0" numFmtId="164"/>
  </dataFields>
  <formats count="2">
    <format dxfId="67">
      <pivotArea outline="0" collapsedLevelsAreSubtotals="1" fieldPosition="0"/>
    </format>
    <format dxfId="6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F625A6-483C-44FE-9847-3020FA2104C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12" firstHeaderRow="1" firstDataRow="2" firstDataCol="1" rowPageCount="1" colPageCount="1"/>
  <pivotFields count="18">
    <pivotField showAll="0"/>
    <pivotField axis="axisCol" numFmtId="1" showAll="0">
      <items count="14">
        <item x="0"/>
        <item x="1"/>
        <item x="2"/>
        <item x="3"/>
        <item x="4"/>
        <item x="5"/>
        <item x="6"/>
        <item x="7"/>
        <item x="8"/>
        <item x="9"/>
        <item x="10"/>
        <item x="11"/>
        <item x="12"/>
        <item t="default"/>
      </items>
    </pivotField>
    <pivotField numFmtId="1" showAll="0"/>
    <pivotField numFmtId="1" showAll="0"/>
    <pivotField showAll="0"/>
    <pivotField axis="axisRow" showAll="0">
      <items count="2">
        <item x="0"/>
        <item t="default"/>
      </items>
    </pivotField>
    <pivotField axis="axisPage" showAll="0">
      <items count="2">
        <item x="0"/>
        <item t="default"/>
      </items>
    </pivotField>
    <pivotField showAll="0"/>
    <pivotField showAll="0"/>
    <pivotField showAll="0"/>
    <pivotField showAll="0"/>
    <pivotField axis="axisRow" showAll="0">
      <items count="7">
        <item x="3"/>
        <item x="1"/>
        <item x="0"/>
        <item x="2"/>
        <item x="4"/>
        <item x="5"/>
        <item t="default"/>
      </items>
    </pivotField>
    <pivotField showAll="0"/>
    <pivotField showAll="0"/>
    <pivotField showAll="0"/>
    <pivotField numFmtId="1" showAll="0"/>
    <pivotField dataField="1" numFmtId="1" showAll="0"/>
    <pivotField numFmtId="165" showAll="0"/>
  </pivotFields>
  <rowFields count="2">
    <field x="5"/>
    <field x="11"/>
  </rowFields>
  <rowItems count="8">
    <i>
      <x/>
    </i>
    <i r="1">
      <x/>
    </i>
    <i r="1">
      <x v="1"/>
    </i>
    <i r="1">
      <x v="2"/>
    </i>
    <i r="1">
      <x v="3"/>
    </i>
    <i r="1">
      <x v="4"/>
    </i>
    <i r="1">
      <x v="5"/>
    </i>
    <i t="grand">
      <x/>
    </i>
  </rowItems>
  <colFields count="1">
    <field x="1"/>
  </colFields>
  <colItems count="14">
    <i>
      <x/>
    </i>
    <i>
      <x v="1"/>
    </i>
    <i>
      <x v="2"/>
    </i>
    <i>
      <x v="3"/>
    </i>
    <i>
      <x v="4"/>
    </i>
    <i>
      <x v="5"/>
    </i>
    <i>
      <x v="6"/>
    </i>
    <i>
      <x v="7"/>
    </i>
    <i>
      <x v="8"/>
    </i>
    <i>
      <x v="9"/>
    </i>
    <i>
      <x v="10"/>
    </i>
    <i>
      <x v="11"/>
    </i>
    <i>
      <x v="12"/>
    </i>
    <i t="grand">
      <x/>
    </i>
  </colItems>
  <pageFields count="1">
    <pageField fld="6" hier="-1"/>
  </pageFields>
  <dataFields count="1">
    <dataField name="Sum of Adj_Raw_Catch"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99B119-5303-4A89-BC20-90C34664016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7:AG74" firstHeaderRow="1" firstDataRow="2" firstDataCol="1" rowPageCount="1" colPageCount="1"/>
  <pivotFields count="18">
    <pivotField showAll="0"/>
    <pivotField axis="axisPage" multipleItemSelectionAllowed="1" showAll="0">
      <items count="14">
        <item x="0"/>
        <item x="1"/>
        <item x="2"/>
        <item x="3"/>
        <item x="4"/>
        <item x="5"/>
        <item x="6"/>
        <item x="7"/>
        <item x="8"/>
        <item x="9"/>
        <item h="1" x="10"/>
        <item h="1" x="11"/>
        <item h="1" x="12"/>
        <item t="default"/>
      </items>
    </pivotField>
    <pivotField axis="axisCol" showAll="0">
      <items count="13">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numFmtId="1" showAll="0"/>
    <pivotField numFmtId="1" showAll="0"/>
    <pivotField dataField="1" numFmtId="165" showAll="0"/>
  </pivotFields>
  <rowFields count="1">
    <field x="11"/>
  </rowFields>
  <rowItems count="6">
    <i>
      <x/>
    </i>
    <i>
      <x v="1"/>
    </i>
    <i>
      <x v="2"/>
    </i>
    <i>
      <x v="3"/>
    </i>
    <i>
      <x v="4"/>
    </i>
    <i t="grand">
      <x/>
    </i>
  </rowItems>
  <colFields count="1">
    <field x="2"/>
  </colFields>
  <colItems count="13">
    <i>
      <x/>
    </i>
    <i>
      <x v="1"/>
    </i>
    <i>
      <x v="2"/>
    </i>
    <i>
      <x v="3"/>
    </i>
    <i>
      <x v="4"/>
    </i>
    <i>
      <x v="5"/>
    </i>
    <i>
      <x v="6"/>
    </i>
    <i>
      <x v="7"/>
    </i>
    <i>
      <x v="8"/>
    </i>
    <i>
      <x v="9"/>
    </i>
    <i>
      <x v="10"/>
    </i>
    <i>
      <x v="11"/>
    </i>
    <i t="grand">
      <x/>
    </i>
  </colItems>
  <pageFields count="1">
    <pageField fld="1" hier="-1"/>
  </pageFields>
  <dataFields count="1">
    <dataField name="Sum of Calc Trips" fld="17" showDataAs="percentOfRow" baseField="10" baseItem="1" numFmtId="10"/>
  </dataFields>
  <formats count="1">
    <format dxfId="49">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FCC4C-46D5-4EE6-9FE5-70D45F67526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4:AG61" firstHeaderRow="1" firstDataRow="2" firstDataCol="1" rowPageCount="1" colPageCount="1"/>
  <pivotFields count="18">
    <pivotField showAll="0"/>
    <pivotField axis="axisPage" multipleItemSelectionAllowed="1" showAll="0">
      <items count="14">
        <item x="0"/>
        <item x="1"/>
        <item x="2"/>
        <item x="3"/>
        <item x="4"/>
        <item x="5"/>
        <item x="6"/>
        <item x="7"/>
        <item x="8"/>
        <item x="9"/>
        <item h="1" x="10"/>
        <item h="1" x="11"/>
        <item h="1" x="12"/>
        <item t="default"/>
      </items>
    </pivotField>
    <pivotField axis="axisCol" showAll="0">
      <items count="13">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numFmtId="1" showAll="0"/>
    <pivotField numFmtId="1" showAll="0"/>
    <pivotField dataField="1" numFmtId="165" showAll="0"/>
  </pivotFields>
  <rowFields count="1">
    <field x="11"/>
  </rowFields>
  <rowItems count="6">
    <i>
      <x/>
    </i>
    <i>
      <x v="1"/>
    </i>
    <i>
      <x v="2"/>
    </i>
    <i>
      <x v="3"/>
    </i>
    <i>
      <x v="4"/>
    </i>
    <i t="grand">
      <x/>
    </i>
  </rowItems>
  <colFields count="1">
    <field x="2"/>
  </colFields>
  <colItems count="13">
    <i>
      <x/>
    </i>
    <i>
      <x v="1"/>
    </i>
    <i>
      <x v="2"/>
    </i>
    <i>
      <x v="3"/>
    </i>
    <i>
      <x v="4"/>
    </i>
    <i>
      <x v="5"/>
    </i>
    <i>
      <x v="6"/>
    </i>
    <i>
      <x v="7"/>
    </i>
    <i>
      <x v="8"/>
    </i>
    <i>
      <x v="9"/>
    </i>
    <i>
      <x v="10"/>
    </i>
    <i>
      <x v="11"/>
    </i>
    <i t="grand">
      <x/>
    </i>
  </colItems>
  <pageFields count="1">
    <pageField fld="1" hier="-1"/>
  </pageFields>
  <dataFields count="1">
    <dataField name="Sum of Calc Trips" fld="17" baseField="0" baseItem="0" numFmtId="164"/>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605055-32EC-4079-80A5-1333DE91A67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7:AG34" firstHeaderRow="1" firstDataRow="2" firstDataCol="1" rowPageCount="1" colPageCount="1"/>
  <pivotFields count="18">
    <pivotField showAll="0"/>
    <pivotField axis="axisPage" multipleItemSelectionAllowed="1" showAll="0">
      <items count="14">
        <item x="0"/>
        <item x="1"/>
        <item x="2"/>
        <item x="3"/>
        <item x="4"/>
        <item x="5"/>
        <item x="6"/>
        <item x="7"/>
        <item x="8"/>
        <item x="9"/>
        <item h="1" x="10"/>
        <item h="1" x="11"/>
        <item h="1" x="12"/>
        <item t="default"/>
      </items>
    </pivotField>
    <pivotField axis="axisCol" showAll="0">
      <items count="13">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numFmtId="1" showAll="0"/>
    <pivotField dataField="1" numFmtId="1" showAll="0"/>
    <pivotField numFmtId="165" showAll="0"/>
  </pivotFields>
  <rowFields count="1">
    <field x="11"/>
  </rowFields>
  <rowItems count="6">
    <i>
      <x/>
    </i>
    <i>
      <x v="1"/>
    </i>
    <i>
      <x v="2"/>
    </i>
    <i>
      <x v="3"/>
    </i>
    <i>
      <x v="4"/>
    </i>
    <i t="grand">
      <x/>
    </i>
  </rowItems>
  <colFields count="1">
    <field x="2"/>
  </colFields>
  <colItems count="13">
    <i>
      <x/>
    </i>
    <i>
      <x v="1"/>
    </i>
    <i>
      <x v="2"/>
    </i>
    <i>
      <x v="3"/>
    </i>
    <i>
      <x v="4"/>
    </i>
    <i>
      <x v="5"/>
    </i>
    <i>
      <x v="6"/>
    </i>
    <i>
      <x v="7"/>
    </i>
    <i>
      <x v="8"/>
    </i>
    <i>
      <x v="9"/>
    </i>
    <i>
      <x v="10"/>
    </i>
    <i>
      <x v="11"/>
    </i>
    <i t="grand">
      <x/>
    </i>
  </colItems>
  <pageFields count="1">
    <pageField fld="1" hier="-1"/>
  </pageFields>
  <dataFields count="1">
    <dataField name="Sum of Adj_Raw_Catch"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B6250B-9F7B-4592-86C5-EF9690328CE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0:AG47" firstHeaderRow="1" firstDataRow="2" firstDataCol="1" rowPageCount="1" colPageCount="1"/>
  <pivotFields count="18">
    <pivotField showAll="0"/>
    <pivotField axis="axisPage" multipleItemSelectionAllowed="1" showAll="0">
      <items count="14">
        <item x="0"/>
        <item x="1"/>
        <item x="2"/>
        <item x="3"/>
        <item x="4"/>
        <item x="5"/>
        <item x="6"/>
        <item x="7"/>
        <item x="8"/>
        <item x="9"/>
        <item h="1" x="10"/>
        <item h="1" x="11"/>
        <item h="1" x="12"/>
        <item t="default"/>
      </items>
    </pivotField>
    <pivotField axis="axisCol" showAll="0">
      <items count="13">
        <item x="9"/>
        <item x="10"/>
        <item x="11"/>
        <item x="0"/>
        <item x="1"/>
        <item x="2"/>
        <item x="3"/>
        <item x="4"/>
        <item x="5"/>
        <item x="6"/>
        <item x="7"/>
        <item x="8"/>
        <item t="default"/>
      </items>
    </pivotField>
    <pivotField numFmtId="1" showAll="0"/>
    <pivotField showAll="0"/>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numFmtId="1" showAll="0"/>
    <pivotField dataField="1" numFmtId="1" showAll="0"/>
    <pivotField numFmtId="165" showAll="0"/>
  </pivotFields>
  <rowFields count="1">
    <field x="11"/>
  </rowFields>
  <rowItems count="6">
    <i>
      <x/>
    </i>
    <i>
      <x v="1"/>
    </i>
    <i>
      <x v="2"/>
    </i>
    <i>
      <x v="3"/>
    </i>
    <i>
      <x v="4"/>
    </i>
    <i t="grand">
      <x/>
    </i>
  </rowItems>
  <colFields count="1">
    <field x="2"/>
  </colFields>
  <colItems count="13">
    <i>
      <x/>
    </i>
    <i>
      <x v="1"/>
    </i>
    <i>
      <x v="2"/>
    </i>
    <i>
      <x v="3"/>
    </i>
    <i>
      <x v="4"/>
    </i>
    <i>
      <x v="5"/>
    </i>
    <i>
      <x v="6"/>
    </i>
    <i>
      <x v="7"/>
    </i>
    <i>
      <x v="8"/>
    </i>
    <i>
      <x v="9"/>
    </i>
    <i>
      <x v="10"/>
    </i>
    <i>
      <x v="11"/>
    </i>
    <i t="grand">
      <x/>
    </i>
  </colItems>
  <pageFields count="1">
    <pageField fld="1" hier="-1"/>
  </pageFields>
  <dataFields count="1">
    <dataField name="Sum of Adj_Raw_Catch" fld="16" showDataAs="percentOfRow" baseField="11" baseItem="0" numFmtId="1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215DEB-0039-4866-AF13-8E2F60966A7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AE21" firstHeaderRow="1" firstDataRow="2" firstDataCol="1"/>
  <pivotFields count="18">
    <pivotField showAll="0"/>
    <pivotField multipleItemSelectionAllowed="1" showAll="0"/>
    <pivotField showAll="0"/>
    <pivotField axis="axisCol" numFmtId="1" showAll="0">
      <items count="13">
        <item x="0"/>
        <item x="1"/>
        <item x="2"/>
        <item x="3"/>
        <item x="4"/>
        <item x="5"/>
        <item x="6"/>
        <item x="7"/>
        <item x="8"/>
        <item x="9"/>
        <item h="1" x="10"/>
        <item h="1" x="11"/>
        <item t="default"/>
      </items>
    </pivotField>
    <pivotField showAll="0"/>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numFmtId="1" showAll="0"/>
    <pivotField dataField="1" numFmtId="1" showAll="0"/>
    <pivotField numFmtId="165" showAll="0"/>
  </pivotFields>
  <rowFields count="1">
    <field x="11"/>
  </rowFields>
  <rowItems count="6">
    <i>
      <x/>
    </i>
    <i>
      <x v="1"/>
    </i>
    <i>
      <x v="2"/>
    </i>
    <i>
      <x v="3"/>
    </i>
    <i>
      <x v="4"/>
    </i>
    <i t="grand">
      <x/>
    </i>
  </rowItems>
  <colFields count="1">
    <field x="3"/>
  </colFields>
  <colItems count="11">
    <i>
      <x/>
    </i>
    <i>
      <x v="1"/>
    </i>
    <i>
      <x v="2"/>
    </i>
    <i>
      <x v="3"/>
    </i>
    <i>
      <x v="4"/>
    </i>
    <i>
      <x v="5"/>
    </i>
    <i>
      <x v="6"/>
    </i>
    <i>
      <x v="7"/>
    </i>
    <i>
      <x v="8"/>
    </i>
    <i>
      <x v="9"/>
    </i>
    <i t="grand">
      <x/>
    </i>
  </colItems>
  <dataFields count="1">
    <dataField name="Sum of Adj_Raw_Catch" fld="16" baseField="0" baseItem="0"/>
  </dataFields>
  <formats count="2">
    <format dxfId="53">
      <pivotArea outline="0" collapsedLevelsAreSubtotals="1" fieldPosition="0"/>
    </format>
    <format dxfId="5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6758F5-FF62-4D41-96CC-9240942DDAF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14:AR21" firstHeaderRow="1" firstDataRow="2" firstDataCol="1"/>
  <pivotFields count="18">
    <pivotField showAll="0"/>
    <pivotField multipleItemSelectionAllowed="1" showAll="0"/>
    <pivotField showAll="0"/>
    <pivotField axis="axisCol" numFmtId="1" showAll="0">
      <items count="13">
        <item x="0"/>
        <item x="1"/>
        <item x="2"/>
        <item x="3"/>
        <item x="4"/>
        <item x="5"/>
        <item x="6"/>
        <item x="7"/>
        <item x="8"/>
        <item x="9"/>
        <item h="1" x="10"/>
        <item h="1" x="11"/>
        <item t="default"/>
      </items>
    </pivotField>
    <pivotField showAll="0"/>
    <pivotField showAll="0"/>
    <pivotField showAll="0"/>
    <pivotField showAll="0"/>
    <pivotField showAll="0"/>
    <pivotField showAll="0"/>
    <pivotField showAll="0"/>
    <pivotField axis="axisRow" showAll="0">
      <items count="7">
        <item x="3"/>
        <item x="1"/>
        <item x="0"/>
        <item x="2"/>
        <item x="4"/>
        <item h="1" x="5"/>
        <item t="default"/>
      </items>
    </pivotField>
    <pivotField showAll="0"/>
    <pivotField showAll="0"/>
    <pivotField showAll="0"/>
    <pivotField numFmtId="1" showAll="0"/>
    <pivotField numFmtId="1" showAll="0"/>
    <pivotField dataField="1" numFmtId="165" showAll="0"/>
  </pivotFields>
  <rowFields count="1">
    <field x="11"/>
  </rowFields>
  <rowItems count="6">
    <i>
      <x/>
    </i>
    <i>
      <x v="1"/>
    </i>
    <i>
      <x v="2"/>
    </i>
    <i>
      <x v="3"/>
    </i>
    <i>
      <x v="4"/>
    </i>
    <i t="grand">
      <x/>
    </i>
  </rowItems>
  <colFields count="1">
    <field x="3"/>
  </colFields>
  <colItems count="11">
    <i>
      <x/>
    </i>
    <i>
      <x v="1"/>
    </i>
    <i>
      <x v="2"/>
    </i>
    <i>
      <x v="3"/>
    </i>
    <i>
      <x v="4"/>
    </i>
    <i>
      <x v="5"/>
    </i>
    <i>
      <x v="6"/>
    </i>
    <i>
      <x v="7"/>
    </i>
    <i>
      <x v="8"/>
    </i>
    <i>
      <x v="9"/>
    </i>
    <i t="grand">
      <x/>
    </i>
  </colItems>
  <dataFields count="1">
    <dataField name="Sum of Calc Trips" fld="17" baseField="0" baseItem="0"/>
  </dataFields>
  <formats count="2">
    <format dxfId="55">
      <pivotArea outline="0" collapsedLevelsAreSubtotals="1" fieldPosition="0"/>
    </format>
    <format dxfId="5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fisheries.noaa.gov/" TargetMode="External"/><Relationship Id="rId2" Type="http://schemas.openxmlformats.org/officeDocument/2006/relationships/hyperlink" Target="mailto:james.dixon@noaa.gov" TargetMode="External"/><Relationship Id="rId1" Type="http://schemas.openxmlformats.org/officeDocument/2006/relationships/hyperlink" Target="mailto:jonathan.carey@noaa.gov"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comments" Target="../comments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vmlDrawing" Target="../drawings/vmlDrawing3.v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pivotTable" Target="../pivotTables/pivotTable11.xml"/><Relationship Id="rId7" Type="http://schemas.openxmlformats.org/officeDocument/2006/relationships/vmlDrawing" Target="../drawings/vmlDrawing4.v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C74"/>
  <sheetViews>
    <sheetView topLeftCell="A46" workbookViewId="0">
      <selection activeCell="A62" sqref="A62"/>
    </sheetView>
  </sheetViews>
  <sheetFormatPr defaultRowHeight="14.5" x14ac:dyDescent="0.35"/>
  <cols>
    <col min="1" max="1" width="39" customWidth="1"/>
    <col min="2" max="3" width="12.08984375" customWidth="1"/>
  </cols>
  <sheetData>
    <row r="2" spans="1:1" x14ac:dyDescent="0.35">
      <c r="A2" s="1" t="s">
        <v>111</v>
      </c>
    </row>
    <row r="3" spans="1:1" ht="15.5" x14ac:dyDescent="0.35">
      <c r="A3" s="2" t="s">
        <v>112</v>
      </c>
    </row>
    <row r="4" spans="1:1" ht="15.5" x14ac:dyDescent="0.35">
      <c r="A4" s="2" t="s">
        <v>113</v>
      </c>
    </row>
    <row r="5" spans="1:1" x14ac:dyDescent="0.35">
      <c r="A5" s="1" t="s">
        <v>114</v>
      </c>
    </row>
    <row r="6" spans="1:1" x14ac:dyDescent="0.35">
      <c r="A6" s="3"/>
    </row>
    <row r="7" spans="1:1" x14ac:dyDescent="0.35">
      <c r="A7" s="3"/>
    </row>
    <row r="8" spans="1:1" ht="15" x14ac:dyDescent="0.35">
      <c r="A8" s="4" t="s">
        <v>115</v>
      </c>
    </row>
    <row r="9" spans="1:1" x14ac:dyDescent="0.35">
      <c r="A9" s="5"/>
    </row>
    <row r="10" spans="1:1" ht="15" x14ac:dyDescent="0.35">
      <c r="A10" s="6" t="s">
        <v>116</v>
      </c>
    </row>
    <row r="11" spans="1:1" ht="15" x14ac:dyDescent="0.35">
      <c r="A11" s="6" t="s">
        <v>117</v>
      </c>
    </row>
    <row r="12" spans="1:1" ht="15" x14ac:dyDescent="0.35">
      <c r="A12" s="6" t="s">
        <v>118</v>
      </c>
    </row>
    <row r="13" spans="1:1" ht="15" x14ac:dyDescent="0.35">
      <c r="A13" s="6" t="s">
        <v>119</v>
      </c>
    </row>
    <row r="14" spans="1:1" x14ac:dyDescent="0.35">
      <c r="A14" s="3"/>
    </row>
    <row r="15" spans="1:1" ht="15" x14ac:dyDescent="0.35">
      <c r="A15" s="4" t="s">
        <v>120</v>
      </c>
    </row>
    <row r="16" spans="1:1" x14ac:dyDescent="0.35">
      <c r="A16" s="7"/>
    </row>
    <row r="17" spans="1:1" ht="15.5" x14ac:dyDescent="0.35">
      <c r="A17" s="8" t="s">
        <v>121</v>
      </c>
    </row>
    <row r="18" spans="1:1" ht="15.5" x14ac:dyDescent="0.35">
      <c r="A18" s="9" t="s">
        <v>122</v>
      </c>
    </row>
    <row r="19" spans="1:1" x14ac:dyDescent="0.35">
      <c r="A19" s="10" t="s">
        <v>123</v>
      </c>
    </row>
    <row r="20" spans="1:1" x14ac:dyDescent="0.35">
      <c r="A20" s="11" t="s">
        <v>124</v>
      </c>
    </row>
    <row r="21" spans="1:1" x14ac:dyDescent="0.35">
      <c r="A21" s="11" t="s">
        <v>125</v>
      </c>
    </row>
    <row r="22" spans="1:1" x14ac:dyDescent="0.35">
      <c r="A22" s="1" t="s">
        <v>126</v>
      </c>
    </row>
    <row r="23" spans="1:1" x14ac:dyDescent="0.35">
      <c r="A23" s="11"/>
    </row>
    <row r="24" spans="1:1" x14ac:dyDescent="0.35">
      <c r="A24" s="3" t="s">
        <v>193</v>
      </c>
    </row>
    <row r="25" spans="1:1" x14ac:dyDescent="0.35">
      <c r="A25" s="54" t="s">
        <v>184</v>
      </c>
    </row>
    <row r="26" spans="1:1" x14ac:dyDescent="0.35">
      <c r="A26" s="55" t="s">
        <v>185</v>
      </c>
    </row>
    <row r="27" spans="1:1" x14ac:dyDescent="0.35">
      <c r="A27" s="55" t="s">
        <v>186</v>
      </c>
    </row>
    <row r="28" spans="1:1" x14ac:dyDescent="0.35">
      <c r="A28" s="55" t="s">
        <v>187</v>
      </c>
    </row>
    <row r="30" spans="1:1" x14ac:dyDescent="0.35">
      <c r="A30" t="s">
        <v>298</v>
      </c>
    </row>
    <row r="31" spans="1:1" x14ac:dyDescent="0.35">
      <c r="A31" t="s">
        <v>188</v>
      </c>
    </row>
    <row r="32" spans="1:1" x14ac:dyDescent="0.35">
      <c r="A32" t="s">
        <v>189</v>
      </c>
    </row>
    <row r="34" spans="1:3" x14ac:dyDescent="0.35">
      <c r="A34" s="54" t="s">
        <v>190</v>
      </c>
    </row>
    <row r="35" spans="1:3" x14ac:dyDescent="0.35">
      <c r="A35" s="15" t="s">
        <v>2</v>
      </c>
      <c r="B35" s="16" t="s">
        <v>191</v>
      </c>
      <c r="C35" s="16" t="s">
        <v>192</v>
      </c>
    </row>
    <row r="36" spans="1:3" x14ac:dyDescent="0.35">
      <c r="A36" t="s">
        <v>10</v>
      </c>
      <c r="B36" s="60">
        <v>8.65</v>
      </c>
      <c r="C36" s="61">
        <v>3.44</v>
      </c>
    </row>
    <row r="37" spans="1:3" x14ac:dyDescent="0.35">
      <c r="A37" t="s">
        <v>86</v>
      </c>
      <c r="B37" s="60">
        <v>8.5399999999999991</v>
      </c>
      <c r="C37" s="61">
        <v>18.55</v>
      </c>
    </row>
    <row r="39" spans="1:3" x14ac:dyDescent="0.35">
      <c r="A39" t="s">
        <v>267</v>
      </c>
      <c r="B39" s="16" t="s">
        <v>10</v>
      </c>
      <c r="C39" s="16" t="s">
        <v>86</v>
      </c>
    </row>
    <row r="40" spans="1:3" x14ac:dyDescent="0.35">
      <c r="A40" s="59">
        <v>2010</v>
      </c>
      <c r="B40" s="60">
        <f>B36</f>
        <v>8.65</v>
      </c>
      <c r="C40" s="60">
        <f>B37</f>
        <v>8.5399999999999991</v>
      </c>
    </row>
    <row r="41" spans="1:3" x14ac:dyDescent="0.35">
      <c r="A41" s="59">
        <v>2011</v>
      </c>
      <c r="B41" s="61">
        <f>C36</f>
        <v>3.44</v>
      </c>
      <c r="C41" s="61">
        <f>C37</f>
        <v>18.55</v>
      </c>
    </row>
    <row r="42" spans="1:3" x14ac:dyDescent="0.35">
      <c r="A42" s="59">
        <v>2012</v>
      </c>
      <c r="B42" s="60">
        <f>B$40</f>
        <v>8.65</v>
      </c>
      <c r="C42" s="60">
        <f>C$40</f>
        <v>8.5399999999999991</v>
      </c>
    </row>
    <row r="43" spans="1:3" x14ac:dyDescent="0.35">
      <c r="A43" s="59">
        <v>2013</v>
      </c>
      <c r="B43" s="61">
        <f>B$41</f>
        <v>3.44</v>
      </c>
      <c r="C43" s="61">
        <f>C$41</f>
        <v>18.55</v>
      </c>
    </row>
    <row r="44" spans="1:3" x14ac:dyDescent="0.35">
      <c r="A44" s="59">
        <v>2014</v>
      </c>
      <c r="B44" s="60">
        <f>B$40</f>
        <v>8.65</v>
      </c>
      <c r="C44" s="60">
        <f>C$40</f>
        <v>8.5399999999999991</v>
      </c>
    </row>
    <row r="45" spans="1:3" x14ac:dyDescent="0.35">
      <c r="A45" s="59">
        <v>2015</v>
      </c>
      <c r="B45" s="61">
        <f>B$41</f>
        <v>3.44</v>
      </c>
      <c r="C45" s="61">
        <f>C$41</f>
        <v>18.55</v>
      </c>
    </row>
    <row r="46" spans="1:3" x14ac:dyDescent="0.35">
      <c r="A46" s="59">
        <v>2016</v>
      </c>
      <c r="B46" s="60">
        <f>B$40</f>
        <v>8.65</v>
      </c>
      <c r="C46" s="60">
        <f>C$40</f>
        <v>8.5399999999999991</v>
      </c>
    </row>
    <row r="47" spans="1:3" x14ac:dyDescent="0.35">
      <c r="A47" s="59">
        <v>2017</v>
      </c>
      <c r="B47" s="61">
        <f>B$41</f>
        <v>3.44</v>
      </c>
      <c r="C47" s="61">
        <f>C$41</f>
        <v>18.55</v>
      </c>
    </row>
    <row r="48" spans="1:3" x14ac:dyDescent="0.35">
      <c r="A48" s="59">
        <v>2018</v>
      </c>
      <c r="B48" s="60">
        <f>B$40</f>
        <v>8.65</v>
      </c>
      <c r="C48" s="60">
        <f>C$40</f>
        <v>8.5399999999999991</v>
      </c>
    </row>
    <row r="49" spans="1:3" x14ac:dyDescent="0.35">
      <c r="A49" s="59">
        <v>2019</v>
      </c>
      <c r="B49" s="61">
        <f>B$41</f>
        <v>3.44</v>
      </c>
      <c r="C49" s="61">
        <f>C$41</f>
        <v>18.55</v>
      </c>
    </row>
    <row r="50" spans="1:3" x14ac:dyDescent="0.35">
      <c r="A50" s="59">
        <v>2020</v>
      </c>
      <c r="B50" s="60">
        <f>B$40</f>
        <v>8.65</v>
      </c>
      <c r="C50" s="60">
        <f>C$40</f>
        <v>8.5399999999999991</v>
      </c>
    </row>
    <row r="51" spans="1:3" x14ac:dyDescent="0.35">
      <c r="A51" s="59">
        <v>2021</v>
      </c>
      <c r="B51" s="61">
        <f>B$41</f>
        <v>3.44</v>
      </c>
      <c r="C51" s="61">
        <f>C$41</f>
        <v>18.55</v>
      </c>
    </row>
    <row r="52" spans="1:3" x14ac:dyDescent="0.35">
      <c r="A52" s="59">
        <v>2022</v>
      </c>
      <c r="B52" s="60">
        <f>B$40</f>
        <v>8.65</v>
      </c>
      <c r="C52" s="60">
        <f>C$40</f>
        <v>8.5399999999999991</v>
      </c>
    </row>
    <row r="54" spans="1:3" ht="15.5" x14ac:dyDescent="0.35">
      <c r="A54" s="155" t="s">
        <v>321</v>
      </c>
    </row>
    <row r="55" spans="1:3" ht="15" thickBot="1" x14ac:dyDescent="0.4">
      <c r="A55" s="146" t="s">
        <v>325</v>
      </c>
    </row>
    <row r="56" spans="1:3" ht="71" customHeight="1" x14ac:dyDescent="0.35">
      <c r="A56" s="158" t="s">
        <v>322</v>
      </c>
      <c r="B56" s="159"/>
      <c r="C56" s="160"/>
    </row>
    <row r="57" spans="1:3" ht="15.5" x14ac:dyDescent="0.35">
      <c r="A57" s="142"/>
      <c r="B57" s="143" t="s">
        <v>323</v>
      </c>
      <c r="C57" s="144" t="s">
        <v>324</v>
      </c>
    </row>
    <row r="58" spans="1:3" ht="32.5" customHeight="1" x14ac:dyDescent="0.35">
      <c r="A58" s="147" t="s">
        <v>326</v>
      </c>
      <c r="B58" s="151">
        <f>'[1]Updated Puget Sound effort'!$B$30</f>
        <v>3.5390404397824153</v>
      </c>
      <c r="C58" s="152">
        <f>'[1]Updated Puget Sound effort'!$C$30</f>
        <v>4.8195549041132084</v>
      </c>
    </row>
    <row r="59" spans="1:3" ht="65" customHeight="1" thickBot="1" x14ac:dyDescent="0.4">
      <c r="A59" s="145" t="s">
        <v>327</v>
      </c>
      <c r="B59" s="161">
        <f>'[1]Updated Puget Sound effort'!$B$31:$C$31</f>
        <v>20.927237324879293</v>
      </c>
      <c r="C59" s="162"/>
    </row>
    <row r="61" spans="1:3" x14ac:dyDescent="0.35">
      <c r="A61" s="141" t="s">
        <v>347</v>
      </c>
      <c r="B61" s="16" t="s">
        <v>10</v>
      </c>
      <c r="C61" s="16" t="s">
        <v>86</v>
      </c>
    </row>
    <row r="62" spans="1:3" x14ac:dyDescent="0.35">
      <c r="A62" s="59">
        <v>2010</v>
      </c>
      <c r="B62" s="148">
        <f>C$58</f>
        <v>4.8195549041132084</v>
      </c>
      <c r="C62" s="150">
        <f>B$59</f>
        <v>20.927237324879293</v>
      </c>
    </row>
    <row r="63" spans="1:3" x14ac:dyDescent="0.35">
      <c r="A63" s="59">
        <v>2011</v>
      </c>
      <c r="B63" s="149">
        <f>B$58</f>
        <v>3.5390404397824153</v>
      </c>
      <c r="C63" s="150">
        <f t="shared" ref="C63:C74" si="0">B$59</f>
        <v>20.927237324879293</v>
      </c>
    </row>
    <row r="64" spans="1:3" x14ac:dyDescent="0.35">
      <c r="A64" s="59">
        <v>2012</v>
      </c>
      <c r="B64" s="148">
        <f>C$58</f>
        <v>4.8195549041132084</v>
      </c>
      <c r="C64" s="150">
        <f t="shared" si="0"/>
        <v>20.927237324879293</v>
      </c>
    </row>
    <row r="65" spans="1:3" x14ac:dyDescent="0.35">
      <c r="A65" s="59">
        <v>2013</v>
      </c>
      <c r="B65" s="149">
        <f>B$58</f>
        <v>3.5390404397824153</v>
      </c>
      <c r="C65" s="150">
        <f t="shared" si="0"/>
        <v>20.927237324879293</v>
      </c>
    </row>
    <row r="66" spans="1:3" x14ac:dyDescent="0.35">
      <c r="A66" s="59">
        <v>2014</v>
      </c>
      <c r="B66" s="148">
        <f>C$58</f>
        <v>4.8195549041132084</v>
      </c>
      <c r="C66" s="150">
        <f t="shared" si="0"/>
        <v>20.927237324879293</v>
      </c>
    </row>
    <row r="67" spans="1:3" x14ac:dyDescent="0.35">
      <c r="A67" s="59">
        <v>2015</v>
      </c>
      <c r="B67" s="149">
        <f>B$58</f>
        <v>3.5390404397824153</v>
      </c>
      <c r="C67" s="150">
        <f t="shared" si="0"/>
        <v>20.927237324879293</v>
      </c>
    </row>
    <row r="68" spans="1:3" x14ac:dyDescent="0.35">
      <c r="A68" s="59">
        <v>2016</v>
      </c>
      <c r="B68" s="148">
        <f>C$58</f>
        <v>4.8195549041132084</v>
      </c>
      <c r="C68" s="150">
        <f t="shared" si="0"/>
        <v>20.927237324879293</v>
      </c>
    </row>
    <row r="69" spans="1:3" x14ac:dyDescent="0.35">
      <c r="A69" s="59">
        <v>2017</v>
      </c>
      <c r="B69" s="149">
        <f>B$58</f>
        <v>3.5390404397824153</v>
      </c>
      <c r="C69" s="150">
        <f t="shared" si="0"/>
        <v>20.927237324879293</v>
      </c>
    </row>
    <row r="70" spans="1:3" x14ac:dyDescent="0.35">
      <c r="A70" s="59">
        <v>2018</v>
      </c>
      <c r="B70" s="148">
        <f>C$58</f>
        <v>4.8195549041132084</v>
      </c>
      <c r="C70" s="150">
        <f t="shared" si="0"/>
        <v>20.927237324879293</v>
      </c>
    </row>
    <row r="71" spans="1:3" x14ac:dyDescent="0.35">
      <c r="A71" s="59">
        <v>2019</v>
      </c>
      <c r="B71" s="149">
        <f>B$58</f>
        <v>3.5390404397824153</v>
      </c>
      <c r="C71" s="150">
        <f t="shared" si="0"/>
        <v>20.927237324879293</v>
      </c>
    </row>
    <row r="72" spans="1:3" x14ac:dyDescent="0.35">
      <c r="A72" s="59">
        <v>2020</v>
      </c>
      <c r="B72" s="148">
        <f>C$58</f>
        <v>4.8195549041132084</v>
      </c>
      <c r="C72" s="150">
        <f t="shared" si="0"/>
        <v>20.927237324879293</v>
      </c>
    </row>
    <row r="73" spans="1:3" x14ac:dyDescent="0.35">
      <c r="A73" s="59">
        <v>2021</v>
      </c>
      <c r="B73" s="149">
        <f>B$58</f>
        <v>3.5390404397824153</v>
      </c>
      <c r="C73" s="150">
        <f t="shared" si="0"/>
        <v>20.927237324879293</v>
      </c>
    </row>
    <row r="74" spans="1:3" x14ac:dyDescent="0.35">
      <c r="A74" s="59">
        <v>2022</v>
      </c>
      <c r="B74" s="148">
        <f>C$58</f>
        <v>4.8195549041132084</v>
      </c>
      <c r="C74" s="150">
        <f t="shared" si="0"/>
        <v>20.927237324879293</v>
      </c>
    </row>
  </sheetData>
  <mergeCells count="2">
    <mergeCell ref="A56:C56"/>
    <mergeCell ref="B59:C59"/>
  </mergeCells>
  <hyperlinks>
    <hyperlink ref="A2" r:id="rId1" display="mailto:jonathan.carey@noaa.gov" xr:uid="{00000000-0004-0000-0000-000000000000}"/>
    <hyperlink ref="A5" r:id="rId2" display="mailto:james.dixon@noaa.gov" xr:uid="{00000000-0004-0000-0000-000001000000}"/>
    <hyperlink ref="A22" r:id="rId3" display="http://www.fisheries.noaa.gov/"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3"/>
  <sheetViews>
    <sheetView topLeftCell="A37" zoomScale="85" zoomScaleNormal="85" workbookViewId="0">
      <selection activeCell="C49" sqref="C49"/>
    </sheetView>
  </sheetViews>
  <sheetFormatPr defaultRowHeight="14.5" x14ac:dyDescent="0.35"/>
  <cols>
    <col min="1" max="1" width="33.6328125" customWidth="1"/>
    <col min="2" max="2" width="16.7265625" bestFit="1" customWidth="1"/>
    <col min="3" max="3" width="21.26953125" customWidth="1"/>
    <col min="4" max="4" width="26.453125" customWidth="1"/>
    <col min="5" max="5" width="17.90625" customWidth="1"/>
    <col min="6" max="6" width="20" bestFit="1" customWidth="1"/>
    <col min="7" max="7" width="16.6328125" bestFit="1" customWidth="1"/>
    <col min="8" max="8" width="22.08984375" bestFit="1" customWidth="1"/>
  </cols>
  <sheetData>
    <row r="1" spans="1:8" ht="15" thickBot="1" x14ac:dyDescent="0.4">
      <c r="A1" s="19" t="s">
        <v>158</v>
      </c>
      <c r="B1" s="20" t="s">
        <v>159</v>
      </c>
      <c r="C1" s="57" t="s">
        <v>5</v>
      </c>
      <c r="E1" s="21" t="s">
        <v>271</v>
      </c>
      <c r="F1" s="66" t="s">
        <v>272</v>
      </c>
      <c r="G1" s="22" t="s">
        <v>131</v>
      </c>
      <c r="H1" s="65" t="s">
        <v>269</v>
      </c>
    </row>
    <row r="2" spans="1:8" x14ac:dyDescent="0.35">
      <c r="A2" s="26" t="s">
        <v>11</v>
      </c>
      <c r="B2" t="s">
        <v>74</v>
      </c>
      <c r="C2" s="27" t="s">
        <v>133</v>
      </c>
      <c r="E2" s="26" t="s">
        <v>17</v>
      </c>
      <c r="F2" s="28" t="s">
        <v>14</v>
      </c>
      <c r="G2" s="28" t="s">
        <v>140</v>
      </c>
      <c r="H2" s="27" t="str">
        <f>CONCATENATE("01",F2)</f>
        <v>01North Puget Sound</v>
      </c>
    </row>
    <row r="3" spans="1:8" x14ac:dyDescent="0.35">
      <c r="A3" s="26" t="s">
        <v>28</v>
      </c>
      <c r="B3" t="s">
        <v>74</v>
      </c>
      <c r="C3" s="27" t="s">
        <v>133</v>
      </c>
      <c r="E3" s="26" t="s">
        <v>30</v>
      </c>
      <c r="F3" s="28" t="s">
        <v>14</v>
      </c>
      <c r="G3" s="28" t="s">
        <v>142</v>
      </c>
      <c r="H3" s="27" t="str">
        <f t="shared" ref="H3:H6" si="0">CONCATENATE("01",F3)</f>
        <v>01North Puget Sound</v>
      </c>
    </row>
    <row r="4" spans="1:8" x14ac:dyDescent="0.35">
      <c r="A4" s="26" t="s">
        <v>87</v>
      </c>
      <c r="B4" t="s">
        <v>24</v>
      </c>
      <c r="C4" s="27" t="s">
        <v>133</v>
      </c>
      <c r="E4" s="26" t="s">
        <v>15</v>
      </c>
      <c r="F4" s="28" t="s">
        <v>14</v>
      </c>
      <c r="G4" s="28" t="s">
        <v>136</v>
      </c>
      <c r="H4" s="27" t="str">
        <f t="shared" si="0"/>
        <v>01North Puget Sound</v>
      </c>
    </row>
    <row r="5" spans="1:8" x14ac:dyDescent="0.35">
      <c r="A5" s="26" t="s">
        <v>88</v>
      </c>
      <c r="B5" t="s">
        <v>24</v>
      </c>
      <c r="C5" s="27" t="s">
        <v>133</v>
      </c>
      <c r="E5" s="26" t="s">
        <v>16</v>
      </c>
      <c r="F5" s="28" t="s">
        <v>14</v>
      </c>
      <c r="G5" s="28" t="s">
        <v>138</v>
      </c>
      <c r="H5" s="27" t="str">
        <f t="shared" si="0"/>
        <v>01North Puget Sound</v>
      </c>
    </row>
    <row r="6" spans="1:8" x14ac:dyDescent="0.35">
      <c r="A6" s="26" t="s">
        <v>43</v>
      </c>
      <c r="B6" t="s">
        <v>24</v>
      </c>
      <c r="C6" s="27" t="s">
        <v>133</v>
      </c>
      <c r="E6" s="26" t="s">
        <v>13</v>
      </c>
      <c r="F6" s="28" t="s">
        <v>14</v>
      </c>
      <c r="G6" s="28" t="s">
        <v>134</v>
      </c>
      <c r="H6" s="27" t="str">
        <f t="shared" si="0"/>
        <v>01North Puget Sound</v>
      </c>
    </row>
    <row r="7" spans="1:8" x14ac:dyDescent="0.35">
      <c r="A7" s="26" t="s">
        <v>44</v>
      </c>
      <c r="B7" t="s">
        <v>24</v>
      </c>
      <c r="C7" s="27" t="s">
        <v>133</v>
      </c>
      <c r="E7" s="26" t="s">
        <v>18</v>
      </c>
      <c r="F7" s="28" t="s">
        <v>19</v>
      </c>
      <c r="G7" s="28" t="s">
        <v>144</v>
      </c>
      <c r="H7" s="27" t="str">
        <f>CONCATENATE("02",F7)</f>
        <v>02South Puget Sound</v>
      </c>
    </row>
    <row r="8" spans="1:8" x14ac:dyDescent="0.35">
      <c r="A8" s="26" t="s">
        <v>46</v>
      </c>
      <c r="B8" t="s">
        <v>24</v>
      </c>
      <c r="C8" s="27" t="s">
        <v>133</v>
      </c>
      <c r="E8" s="26" t="s">
        <v>23</v>
      </c>
      <c r="F8" s="28" t="s">
        <v>19</v>
      </c>
      <c r="G8" s="28" t="s">
        <v>148</v>
      </c>
      <c r="H8" s="27" t="str">
        <f t="shared" ref="H8:H11" si="1">CONCATENATE("02",F8)</f>
        <v>02South Puget Sound</v>
      </c>
    </row>
    <row r="9" spans="1:8" x14ac:dyDescent="0.35">
      <c r="A9" s="26" t="s">
        <v>79</v>
      </c>
      <c r="B9" t="s">
        <v>24</v>
      </c>
      <c r="C9" s="27" t="s">
        <v>133</v>
      </c>
      <c r="E9" s="26" t="s">
        <v>22</v>
      </c>
      <c r="F9" s="28" t="s">
        <v>19</v>
      </c>
      <c r="G9" s="28" t="s">
        <v>147</v>
      </c>
      <c r="H9" s="27" t="str">
        <f t="shared" si="1"/>
        <v>02South Puget Sound</v>
      </c>
    </row>
    <row r="10" spans="1:8" x14ac:dyDescent="0.35">
      <c r="A10" s="26" t="s">
        <v>91</v>
      </c>
      <c r="B10" t="s">
        <v>24</v>
      </c>
      <c r="C10" s="27" t="s">
        <v>133</v>
      </c>
      <c r="E10" s="26" t="s">
        <v>20</v>
      </c>
      <c r="F10" s="28" t="s">
        <v>19</v>
      </c>
      <c r="G10" s="28" t="s">
        <v>145</v>
      </c>
      <c r="H10" s="27" t="str">
        <f t="shared" si="1"/>
        <v>02South Puget Sound</v>
      </c>
    </row>
    <row r="11" spans="1:8" x14ac:dyDescent="0.35">
      <c r="A11" s="26" t="s">
        <v>69</v>
      </c>
      <c r="B11" t="s">
        <v>24</v>
      </c>
      <c r="C11" s="27" t="s">
        <v>133</v>
      </c>
      <c r="E11" s="26" t="s">
        <v>21</v>
      </c>
      <c r="F11" s="28" t="s">
        <v>19</v>
      </c>
      <c r="G11" s="28" t="s">
        <v>146</v>
      </c>
      <c r="H11" s="27" t="str">
        <f t="shared" si="1"/>
        <v>02South Puget Sound</v>
      </c>
    </row>
    <row r="12" spans="1:8" x14ac:dyDescent="0.35">
      <c r="A12" s="26" t="s">
        <v>94</v>
      </c>
      <c r="B12" t="s">
        <v>24</v>
      </c>
      <c r="C12" s="27" t="s">
        <v>133</v>
      </c>
      <c r="E12" s="26" t="s">
        <v>24</v>
      </c>
      <c r="F12" s="28" t="s">
        <v>12</v>
      </c>
      <c r="G12" s="28" t="s">
        <v>149</v>
      </c>
      <c r="H12" s="27" t="str">
        <f>CONCATENATE("03",F12)</f>
        <v>03Strait of Juan de Fuca</v>
      </c>
    </row>
    <row r="13" spans="1:8" x14ac:dyDescent="0.35">
      <c r="A13" s="26" t="s">
        <v>95</v>
      </c>
      <c r="B13" t="s">
        <v>24</v>
      </c>
      <c r="C13" s="27" t="s">
        <v>133</v>
      </c>
      <c r="E13" s="26" t="s">
        <v>25</v>
      </c>
      <c r="F13" s="28" t="s">
        <v>12</v>
      </c>
      <c r="G13" s="28" t="s">
        <v>150</v>
      </c>
      <c r="H13" s="27" t="str">
        <f t="shared" ref="H13" si="2">CONCATENATE("03",F13)</f>
        <v>03Strait of Juan de Fuca</v>
      </c>
    </row>
    <row r="14" spans="1:8" ht="15" thickBot="1" x14ac:dyDescent="0.4">
      <c r="A14" s="26" t="s">
        <v>29</v>
      </c>
      <c r="B14" t="s">
        <v>74</v>
      </c>
      <c r="C14" s="27" t="s">
        <v>135</v>
      </c>
      <c r="E14" s="29" t="s">
        <v>26</v>
      </c>
      <c r="F14" s="31" t="s">
        <v>27</v>
      </c>
      <c r="G14" s="31" t="s">
        <v>151</v>
      </c>
      <c r="H14" s="30" t="str">
        <f>CONCATENATE("07",F14)</f>
        <v>07Non Puget Sound</v>
      </c>
    </row>
    <row r="15" spans="1:8" x14ac:dyDescent="0.35">
      <c r="A15" s="26" t="s">
        <v>58</v>
      </c>
      <c r="B15" t="s">
        <v>13</v>
      </c>
      <c r="C15" s="27" t="s">
        <v>135</v>
      </c>
    </row>
    <row r="16" spans="1:8" x14ac:dyDescent="0.35">
      <c r="A16" s="26" t="s">
        <v>57</v>
      </c>
      <c r="B16" t="s">
        <v>160</v>
      </c>
      <c r="C16" s="27" t="s">
        <v>135</v>
      </c>
    </row>
    <row r="17" spans="1:4" x14ac:dyDescent="0.35">
      <c r="A17" s="49" t="s">
        <v>78</v>
      </c>
      <c r="B17" s="47" t="s">
        <v>13</v>
      </c>
      <c r="C17" s="48" t="s">
        <v>135</v>
      </c>
    </row>
    <row r="18" spans="1:4" x14ac:dyDescent="0.35">
      <c r="A18" s="26" t="s">
        <v>59</v>
      </c>
      <c r="B18" t="s">
        <v>15</v>
      </c>
      <c r="C18" s="27" t="s">
        <v>135</v>
      </c>
    </row>
    <row r="19" spans="1:4" x14ac:dyDescent="0.35">
      <c r="A19" s="26" t="s">
        <v>40</v>
      </c>
      <c r="B19" t="s">
        <v>13</v>
      </c>
      <c r="C19" s="27" t="s">
        <v>135</v>
      </c>
    </row>
    <row r="20" spans="1:4" x14ac:dyDescent="0.35">
      <c r="A20" s="26" t="s">
        <v>52</v>
      </c>
      <c r="B20" t="s">
        <v>13</v>
      </c>
      <c r="C20" s="27" t="s">
        <v>135</v>
      </c>
    </row>
    <row r="21" spans="1:4" x14ac:dyDescent="0.35">
      <c r="A21" s="26" t="s">
        <v>83</v>
      </c>
      <c r="B21" t="s">
        <v>13</v>
      </c>
      <c r="C21" s="27" t="s">
        <v>135</v>
      </c>
    </row>
    <row r="22" spans="1:4" x14ac:dyDescent="0.35">
      <c r="A22" s="26" t="s">
        <v>92</v>
      </c>
      <c r="B22" t="s">
        <v>13</v>
      </c>
      <c r="C22" s="27" t="s">
        <v>135</v>
      </c>
    </row>
    <row r="23" spans="1:4" x14ac:dyDescent="0.35">
      <c r="A23" s="26" t="s">
        <v>93</v>
      </c>
      <c r="B23" t="s">
        <v>13</v>
      </c>
      <c r="C23" s="27" t="s">
        <v>135</v>
      </c>
    </row>
    <row r="24" spans="1:4" x14ac:dyDescent="0.35">
      <c r="A24" s="26" t="s">
        <v>56</v>
      </c>
      <c r="B24" t="s">
        <v>15</v>
      </c>
      <c r="C24" s="27" t="s">
        <v>135</v>
      </c>
    </row>
    <row r="25" spans="1:4" x14ac:dyDescent="0.35">
      <c r="A25" s="26" t="s">
        <v>66</v>
      </c>
      <c r="B25" t="s">
        <v>13</v>
      </c>
      <c r="C25" s="27" t="s">
        <v>135</v>
      </c>
    </row>
    <row r="26" spans="1:4" ht="15.5" x14ac:dyDescent="0.35">
      <c r="A26" s="23" t="s">
        <v>31</v>
      </c>
      <c r="B26" s="24" t="s">
        <v>74</v>
      </c>
      <c r="C26" s="25" t="s">
        <v>137</v>
      </c>
      <c r="D26" s="56" t="s">
        <v>194</v>
      </c>
    </row>
    <row r="27" spans="1:4" x14ac:dyDescent="0.35">
      <c r="A27" s="23" t="s">
        <v>32</v>
      </c>
      <c r="B27" s="24" t="s">
        <v>74</v>
      </c>
      <c r="C27" s="25" t="s">
        <v>137</v>
      </c>
    </row>
    <row r="28" spans="1:4" x14ac:dyDescent="0.35">
      <c r="A28" s="23" t="s">
        <v>33</v>
      </c>
      <c r="B28" s="24" t="s">
        <v>74</v>
      </c>
      <c r="C28" s="25" t="s">
        <v>137</v>
      </c>
    </row>
    <row r="29" spans="1:4" x14ac:dyDescent="0.35">
      <c r="A29" s="26" t="s">
        <v>102</v>
      </c>
      <c r="B29" t="s">
        <v>16</v>
      </c>
      <c r="C29" s="25" t="s">
        <v>137</v>
      </c>
    </row>
    <row r="30" spans="1:4" x14ac:dyDescent="0.35">
      <c r="A30" s="26" t="s">
        <v>49</v>
      </c>
      <c r="B30" t="s">
        <v>18</v>
      </c>
      <c r="C30" s="25" t="s">
        <v>137</v>
      </c>
    </row>
    <row r="31" spans="1:4" x14ac:dyDescent="0.35">
      <c r="A31" s="26" t="s">
        <v>48</v>
      </c>
      <c r="B31" t="s">
        <v>18</v>
      </c>
      <c r="C31" s="25" t="s">
        <v>137</v>
      </c>
    </row>
    <row r="32" spans="1:4" x14ac:dyDescent="0.35">
      <c r="A32" s="26" t="s">
        <v>105</v>
      </c>
      <c r="B32" t="s">
        <v>161</v>
      </c>
      <c r="C32" s="25" t="s">
        <v>137</v>
      </c>
    </row>
    <row r="33" spans="1:4" x14ac:dyDescent="0.35">
      <c r="A33" s="26" t="s">
        <v>70</v>
      </c>
      <c r="B33" t="s">
        <v>16</v>
      </c>
      <c r="C33" s="25" t="s">
        <v>137</v>
      </c>
    </row>
    <row r="34" spans="1:4" x14ac:dyDescent="0.35">
      <c r="A34" s="26" t="s">
        <v>97</v>
      </c>
      <c r="B34" t="s">
        <v>18</v>
      </c>
      <c r="C34" s="25" t="s">
        <v>137</v>
      </c>
    </row>
    <row r="35" spans="1:4" x14ac:dyDescent="0.35">
      <c r="A35" s="26" t="s">
        <v>96</v>
      </c>
      <c r="B35" t="s">
        <v>161</v>
      </c>
      <c r="C35" s="25" t="s">
        <v>137</v>
      </c>
    </row>
    <row r="36" spans="1:4" ht="15.5" x14ac:dyDescent="0.35">
      <c r="A36" s="26" t="s">
        <v>60</v>
      </c>
      <c r="B36" t="s">
        <v>160</v>
      </c>
      <c r="C36" s="25" t="s">
        <v>137</v>
      </c>
      <c r="D36" s="56" t="s">
        <v>194</v>
      </c>
    </row>
    <row r="37" spans="1:4" x14ac:dyDescent="0.35">
      <c r="A37" s="26" t="s">
        <v>62</v>
      </c>
      <c r="B37" t="s">
        <v>16</v>
      </c>
      <c r="C37" s="25" t="s">
        <v>137</v>
      </c>
    </row>
    <row r="38" spans="1:4" x14ac:dyDescent="0.35">
      <c r="A38" s="26" t="s">
        <v>98</v>
      </c>
      <c r="B38" t="s">
        <v>16</v>
      </c>
      <c r="C38" s="25" t="s">
        <v>137</v>
      </c>
    </row>
    <row r="39" spans="1:4" x14ac:dyDescent="0.35">
      <c r="A39" s="26" t="s">
        <v>99</v>
      </c>
      <c r="B39" t="s">
        <v>165</v>
      </c>
      <c r="C39" s="25" t="s">
        <v>137</v>
      </c>
    </row>
    <row r="40" spans="1:4" x14ac:dyDescent="0.35">
      <c r="A40" s="26" t="s">
        <v>63</v>
      </c>
      <c r="B40" t="s">
        <v>16</v>
      </c>
      <c r="C40" s="25" t="s">
        <v>137</v>
      </c>
    </row>
    <row r="41" spans="1:4" x14ac:dyDescent="0.35">
      <c r="A41" s="26" t="s">
        <v>64</v>
      </c>
      <c r="B41" t="s">
        <v>165</v>
      </c>
      <c r="C41" s="25" t="s">
        <v>137</v>
      </c>
    </row>
    <row r="42" spans="1:4" x14ac:dyDescent="0.35">
      <c r="A42" s="26" t="s">
        <v>103</v>
      </c>
      <c r="B42" t="s">
        <v>16</v>
      </c>
      <c r="C42" s="25" t="s">
        <v>137</v>
      </c>
    </row>
    <row r="43" spans="1:4" x14ac:dyDescent="0.35">
      <c r="A43" s="26" t="s">
        <v>104</v>
      </c>
      <c r="B43" t="s">
        <v>16</v>
      </c>
      <c r="C43" s="25" t="s">
        <v>137</v>
      </c>
    </row>
    <row r="44" spans="1:4" x14ac:dyDescent="0.35">
      <c r="A44" s="26" t="s">
        <v>65</v>
      </c>
      <c r="B44" t="s">
        <v>16</v>
      </c>
      <c r="C44" s="25" t="s">
        <v>137</v>
      </c>
    </row>
    <row r="45" spans="1:4" x14ac:dyDescent="0.35">
      <c r="A45" s="26" t="s">
        <v>100</v>
      </c>
      <c r="B45" t="s">
        <v>16</v>
      </c>
      <c r="C45" s="25" t="s">
        <v>137</v>
      </c>
    </row>
    <row r="46" spans="1:4" ht="15.5" x14ac:dyDescent="0.35">
      <c r="A46" s="26" t="s">
        <v>101</v>
      </c>
      <c r="B46" t="s">
        <v>18</v>
      </c>
      <c r="C46" s="25" t="s">
        <v>137</v>
      </c>
      <c r="D46" s="56" t="s">
        <v>195</v>
      </c>
    </row>
    <row r="47" spans="1:4" x14ac:dyDescent="0.35">
      <c r="A47" s="26" t="s">
        <v>71</v>
      </c>
      <c r="B47" t="s">
        <v>18</v>
      </c>
      <c r="C47" s="25" t="s">
        <v>137</v>
      </c>
    </row>
    <row r="48" spans="1:4" x14ac:dyDescent="0.35">
      <c r="A48" s="26" t="s">
        <v>76</v>
      </c>
      <c r="B48" t="s">
        <v>16</v>
      </c>
      <c r="C48" s="25" t="s">
        <v>137</v>
      </c>
    </row>
    <row r="49" spans="1:4" x14ac:dyDescent="0.35">
      <c r="A49" s="82" t="s">
        <v>264</v>
      </c>
      <c r="B49" s="63" t="s">
        <v>16</v>
      </c>
      <c r="C49" s="83" t="s">
        <v>137</v>
      </c>
      <c r="D49" s="63" t="s">
        <v>276</v>
      </c>
    </row>
    <row r="50" spans="1:4" x14ac:dyDescent="0.35">
      <c r="A50" s="26" t="s">
        <v>34</v>
      </c>
      <c r="B50" t="s">
        <v>74</v>
      </c>
      <c r="C50" s="27" t="s">
        <v>139</v>
      </c>
    </row>
    <row r="51" spans="1:4" x14ac:dyDescent="0.35">
      <c r="A51" s="26" t="s">
        <v>35</v>
      </c>
      <c r="B51" t="s">
        <v>74</v>
      </c>
      <c r="C51" s="27" t="s">
        <v>139</v>
      </c>
    </row>
    <row r="52" spans="1:4" x14ac:dyDescent="0.35">
      <c r="A52" t="s">
        <v>37</v>
      </c>
      <c r="B52" t="s">
        <v>74</v>
      </c>
      <c r="C52" s="27" t="s">
        <v>139</v>
      </c>
    </row>
    <row r="53" spans="1:4" x14ac:dyDescent="0.35">
      <c r="A53" t="s">
        <v>75</v>
      </c>
      <c r="B53" t="s">
        <v>21</v>
      </c>
      <c r="C53" s="27" t="s">
        <v>139</v>
      </c>
    </row>
    <row r="54" spans="1:4" x14ac:dyDescent="0.35">
      <c r="A54" s="26" t="s">
        <v>107</v>
      </c>
      <c r="B54" t="s">
        <v>23</v>
      </c>
      <c r="C54" s="27" t="s">
        <v>139</v>
      </c>
    </row>
    <row r="55" spans="1:4" x14ac:dyDescent="0.35">
      <c r="A55" s="26" t="s">
        <v>53</v>
      </c>
      <c r="B55" t="s">
        <v>20</v>
      </c>
      <c r="C55" s="27" t="s">
        <v>139</v>
      </c>
    </row>
    <row r="56" spans="1:4" x14ac:dyDescent="0.35">
      <c r="A56" s="26" t="s">
        <v>39</v>
      </c>
      <c r="B56" t="s">
        <v>20</v>
      </c>
      <c r="C56" s="27" t="s">
        <v>139</v>
      </c>
    </row>
    <row r="57" spans="1:4" x14ac:dyDescent="0.35">
      <c r="A57" s="26" t="s">
        <v>41</v>
      </c>
      <c r="B57" t="s">
        <v>21</v>
      </c>
      <c r="C57" s="27" t="s">
        <v>139</v>
      </c>
    </row>
    <row r="58" spans="1:4" x14ac:dyDescent="0.35">
      <c r="A58" s="26" t="s">
        <v>45</v>
      </c>
      <c r="B58" t="s">
        <v>18</v>
      </c>
      <c r="C58" s="27" t="s">
        <v>139</v>
      </c>
    </row>
    <row r="59" spans="1:4" x14ac:dyDescent="0.35">
      <c r="A59" s="26" t="s">
        <v>47</v>
      </c>
      <c r="B59" t="s">
        <v>162</v>
      </c>
      <c r="C59" s="27" t="s">
        <v>139</v>
      </c>
    </row>
    <row r="60" spans="1:4" x14ac:dyDescent="0.35">
      <c r="A60" s="49" t="s">
        <v>77</v>
      </c>
      <c r="B60" s="47" t="s">
        <v>21</v>
      </c>
      <c r="C60" s="48" t="s">
        <v>139</v>
      </c>
    </row>
    <row r="61" spans="1:4" x14ac:dyDescent="0.35">
      <c r="A61" s="49" t="s">
        <v>84</v>
      </c>
      <c r="B61" s="47" t="s">
        <v>21</v>
      </c>
      <c r="C61" s="48" t="s">
        <v>139</v>
      </c>
    </row>
    <row r="62" spans="1:4" x14ac:dyDescent="0.35">
      <c r="A62" s="26" t="s">
        <v>50</v>
      </c>
      <c r="B62" t="s">
        <v>163</v>
      </c>
      <c r="C62" s="27" t="s">
        <v>139</v>
      </c>
    </row>
    <row r="63" spans="1:4" x14ac:dyDescent="0.35">
      <c r="A63" s="26" t="s">
        <v>51</v>
      </c>
      <c r="B63" t="s">
        <v>164</v>
      </c>
      <c r="C63" s="27" t="s">
        <v>139</v>
      </c>
    </row>
    <row r="64" spans="1:4" x14ac:dyDescent="0.35">
      <c r="A64" s="26" t="s">
        <v>54</v>
      </c>
      <c r="B64" t="s">
        <v>20</v>
      </c>
      <c r="C64" s="27" t="s">
        <v>139</v>
      </c>
    </row>
    <row r="65" spans="1:3" x14ac:dyDescent="0.35">
      <c r="A65" s="26" t="s">
        <v>90</v>
      </c>
      <c r="B65" t="s">
        <v>18</v>
      </c>
      <c r="C65" s="27" t="s">
        <v>139</v>
      </c>
    </row>
    <row r="66" spans="1:3" x14ac:dyDescent="0.35">
      <c r="A66" s="26" t="s">
        <v>85</v>
      </c>
      <c r="B66" t="s">
        <v>20</v>
      </c>
      <c r="C66" s="27" t="s">
        <v>139</v>
      </c>
    </row>
    <row r="67" spans="1:3" x14ac:dyDescent="0.35">
      <c r="A67" s="26" t="s">
        <v>36</v>
      </c>
      <c r="B67" t="s">
        <v>74</v>
      </c>
      <c r="C67" s="27" t="s">
        <v>141</v>
      </c>
    </row>
    <row r="68" spans="1:3" x14ac:dyDescent="0.35">
      <c r="A68" s="26" t="s">
        <v>67</v>
      </c>
      <c r="B68" t="s">
        <v>22</v>
      </c>
      <c r="C68" s="32" t="s">
        <v>141</v>
      </c>
    </row>
    <row r="69" spans="1:3" x14ac:dyDescent="0.35">
      <c r="A69" s="26" t="s">
        <v>68</v>
      </c>
      <c r="B69" t="s">
        <v>25</v>
      </c>
      <c r="C69" s="32" t="s">
        <v>141</v>
      </c>
    </row>
    <row r="70" spans="1:3" x14ac:dyDescent="0.35">
      <c r="A70" s="26" t="s">
        <v>42</v>
      </c>
      <c r="B70" t="s">
        <v>25</v>
      </c>
      <c r="C70" s="32" t="s">
        <v>141</v>
      </c>
    </row>
    <row r="71" spans="1:3" x14ac:dyDescent="0.35">
      <c r="A71" s="26" t="s">
        <v>55</v>
      </c>
      <c r="B71" t="s">
        <v>25</v>
      </c>
      <c r="C71" s="32" t="s">
        <v>141</v>
      </c>
    </row>
    <row r="72" spans="1:3" x14ac:dyDescent="0.35">
      <c r="A72" s="26" t="s">
        <v>61</v>
      </c>
      <c r="B72" t="s">
        <v>22</v>
      </c>
      <c r="C72" s="32" t="s">
        <v>141</v>
      </c>
    </row>
    <row r="73" spans="1:3" ht="15" thickBot="1" x14ac:dyDescent="0.4">
      <c r="A73" s="29" t="s">
        <v>72</v>
      </c>
      <c r="B73" s="33" t="s">
        <v>22</v>
      </c>
      <c r="C73" s="34" t="s">
        <v>141</v>
      </c>
    </row>
  </sheetData>
  <sortState xmlns:xlrd2="http://schemas.microsoft.com/office/spreadsheetml/2017/richdata2" ref="A2:D73">
    <sortCondition ref="C2:C73"/>
    <sortCondition ref="A2:A73"/>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U3774"/>
  <sheetViews>
    <sheetView topLeftCell="H1" zoomScale="80" zoomScaleNormal="80" workbookViewId="0">
      <pane ySplit="1" topLeftCell="A2895" activePane="bottomLeft" state="frozen"/>
      <selection pane="bottomLeft" activeCell="R2932" sqref="R2932"/>
    </sheetView>
  </sheetViews>
  <sheetFormatPr defaultRowHeight="14.5" x14ac:dyDescent="0.35"/>
  <cols>
    <col min="1" max="1" width="6.36328125" customWidth="1"/>
    <col min="2" max="2" width="7.36328125" customWidth="1"/>
    <col min="3" max="3" width="12.08984375" bestFit="1" customWidth="1"/>
    <col min="4" max="4" width="15.54296875" customWidth="1"/>
    <col min="5" max="5" width="10.7265625" bestFit="1" customWidth="1"/>
    <col min="6" max="6" width="16.36328125" style="114" customWidth="1"/>
    <col min="7" max="7" width="33.6328125" bestFit="1" customWidth="1"/>
    <col min="8" max="8" width="33.6328125" customWidth="1"/>
    <col min="9" max="9" width="18.36328125" bestFit="1" customWidth="1"/>
    <col min="10" max="10" width="22.453125" customWidth="1"/>
    <col min="11" max="11" width="21.26953125" bestFit="1" customWidth="1"/>
    <col min="12" max="12" width="26.36328125" customWidth="1"/>
    <col min="13" max="14" width="32.1796875" bestFit="1" customWidth="1"/>
    <col min="15" max="16" width="13.1796875" bestFit="1" customWidth="1"/>
    <col min="17" max="17" width="12.36328125" bestFit="1" customWidth="1"/>
    <col min="18" max="18" width="13.1796875" bestFit="1" customWidth="1"/>
    <col min="19" max="19" width="11" bestFit="1" customWidth="1"/>
    <col min="20" max="20" width="12.36328125" bestFit="1" customWidth="1"/>
    <col min="21" max="21" width="13.7265625" bestFit="1" customWidth="1"/>
  </cols>
  <sheetData>
    <row r="1" spans="1:21" x14ac:dyDescent="0.35">
      <c r="A1" t="s">
        <v>110</v>
      </c>
      <c r="B1" t="s">
        <v>0</v>
      </c>
      <c r="C1" t="s">
        <v>1</v>
      </c>
      <c r="D1" s="47" t="s">
        <v>174</v>
      </c>
      <c r="E1" t="s">
        <v>2</v>
      </c>
      <c r="F1" s="114" t="s">
        <v>3</v>
      </c>
      <c r="G1" t="s">
        <v>4</v>
      </c>
      <c r="H1" s="47" t="s">
        <v>173</v>
      </c>
      <c r="I1" s="46" t="s">
        <v>159</v>
      </c>
      <c r="J1" s="51" t="s">
        <v>5</v>
      </c>
      <c r="K1" t="s">
        <v>171</v>
      </c>
      <c r="L1" s="46" t="s">
        <v>178</v>
      </c>
      <c r="M1" t="s">
        <v>172</v>
      </c>
      <c r="N1" s="47" t="s">
        <v>268</v>
      </c>
      <c r="O1" s="50" t="s">
        <v>7</v>
      </c>
      <c r="P1" s="50" t="s">
        <v>8</v>
      </c>
      <c r="Q1" s="112" t="s">
        <v>299</v>
      </c>
      <c r="R1" s="112" t="s">
        <v>300</v>
      </c>
      <c r="S1" t="s">
        <v>343</v>
      </c>
      <c r="T1" s="50" t="s">
        <v>319</v>
      </c>
      <c r="U1" s="50" t="s">
        <v>320</v>
      </c>
    </row>
    <row r="2" spans="1:21" x14ac:dyDescent="0.35">
      <c r="A2" s="107">
        <v>3120</v>
      </c>
      <c r="B2" s="107">
        <v>2010</v>
      </c>
      <c r="C2" s="107" t="s">
        <v>9</v>
      </c>
      <c r="D2" s="107" t="s">
        <v>132</v>
      </c>
      <c r="E2" s="107" t="s">
        <v>10</v>
      </c>
      <c r="F2" s="115">
        <v>5</v>
      </c>
      <c r="G2" s="107" t="s">
        <v>11</v>
      </c>
      <c r="H2" s="107" t="str">
        <f t="shared" ref="H2:H65" si="0">G2</f>
        <v>Area 5: W Juan de Fuca</v>
      </c>
      <c r="I2" s="107" t="str">
        <f>IFERROR(VLOOKUP(H2,LUTs!$A$1:$C$73,2,FALSE),"NA")</f>
        <v>NA</v>
      </c>
      <c r="J2" s="107" t="str">
        <f>IFERROR(VLOOKUP(H2,LUTs!$A$1:$C$73,3,FALSE),"NA")</f>
        <v>0Strait of Juan de Fuca</v>
      </c>
      <c r="K2" s="107" t="s">
        <v>24</v>
      </c>
      <c r="L2" s="107" t="str">
        <f>VLOOKUP(K2,LUTs!E$2:G$14,3,)</f>
        <v>11Clallam</v>
      </c>
      <c r="M2" s="107" t="str">
        <f>VLOOKUP($K2,LUTs!$E$2:$H$14,2,)</f>
        <v>Strait of Juan de Fuca</v>
      </c>
      <c r="N2" s="107" t="str">
        <f>VLOOKUP($K2,LUTs!$E$2:$H$14,4,)</f>
        <v>03Strait of Juan de Fuca</v>
      </c>
      <c r="O2" s="107">
        <v>2398.93354743083</v>
      </c>
      <c r="P2" s="107">
        <v>4507.4474530632397</v>
      </c>
      <c r="Q2" s="107">
        <f t="shared" ref="Q2:Q65" si="1">O2</f>
        <v>2398.93354743083</v>
      </c>
      <c r="R2" s="107">
        <f t="shared" ref="R2:R65" si="2">P2</f>
        <v>4507.4474530632397</v>
      </c>
      <c r="S2" s="140" t="str">
        <f>IF(B2&lt;=2019,"Y","N")</f>
        <v>Y</v>
      </c>
      <c r="T2" s="154">
        <f>IFERROR(P2/O2,"NA")</f>
        <v>1.8789380213931106</v>
      </c>
      <c r="U2" s="154">
        <f>IFERROR(R2/Q2,"NA")</f>
        <v>1.8789380213931106</v>
      </c>
    </row>
    <row r="3" spans="1:21" x14ac:dyDescent="0.35">
      <c r="A3" s="107">
        <v>3004</v>
      </c>
      <c r="B3" s="107">
        <v>2010</v>
      </c>
      <c r="C3" s="107" t="s">
        <v>9</v>
      </c>
      <c r="D3" s="107" t="s">
        <v>132</v>
      </c>
      <c r="E3" s="107" t="s">
        <v>10</v>
      </c>
      <c r="F3" s="115">
        <v>5</v>
      </c>
      <c r="G3" s="107" t="s">
        <v>11</v>
      </c>
      <c r="H3" s="107" t="str">
        <f t="shared" si="0"/>
        <v>Area 5: W Juan de Fuca</v>
      </c>
      <c r="I3" s="107" t="str">
        <f>IFERROR(VLOOKUP(H3,LUTs!$A$1:$C$73,2,FALSE),"NA")</f>
        <v>NA</v>
      </c>
      <c r="J3" s="107" t="str">
        <f>IFERROR(VLOOKUP(H3,LUTs!$A$1:$C$73,3,FALSE),"NA")</f>
        <v>0Strait of Juan de Fuca</v>
      </c>
      <c r="K3" s="107" t="s">
        <v>17</v>
      </c>
      <c r="L3" s="107" t="str">
        <f>VLOOKUP(K3,LUTs!E$2:G$14,3,)</f>
        <v>04Island</v>
      </c>
      <c r="M3" s="107" t="str">
        <f>VLOOKUP($K3,LUTs!$E$2:$H$14,2,)</f>
        <v>North Puget Sound</v>
      </c>
      <c r="N3" s="107" t="str">
        <f>VLOOKUP($K3,LUTs!$E$2:$H$14,4,)</f>
        <v>01North Puget Sound</v>
      </c>
      <c r="O3" s="107">
        <v>164.11215415019799</v>
      </c>
      <c r="P3" s="107">
        <v>308.35656620553402</v>
      </c>
      <c r="Q3" s="107">
        <f t="shared" si="1"/>
        <v>164.11215415019799</v>
      </c>
      <c r="R3" s="107">
        <f t="shared" si="2"/>
        <v>308.35656620553402</v>
      </c>
      <c r="S3" s="140" t="str">
        <f t="shared" ref="S3:S66" si="3">IF(B3&lt;=2019,"Y","N")</f>
        <v>Y</v>
      </c>
      <c r="T3" s="154">
        <f t="shared" ref="T3:T66" si="4">IFERROR(P3/O3,"NA")</f>
        <v>1.8789380213931095</v>
      </c>
      <c r="U3" s="154">
        <f t="shared" ref="U3:U66" si="5">IFERROR(R3/Q3,"NA")</f>
        <v>1.8789380213931095</v>
      </c>
    </row>
    <row r="4" spans="1:21" x14ac:dyDescent="0.35">
      <c r="A4" s="107">
        <v>3121</v>
      </c>
      <c r="B4" s="107">
        <v>2010</v>
      </c>
      <c r="C4" s="107" t="s">
        <v>9</v>
      </c>
      <c r="D4" s="107" t="s">
        <v>132</v>
      </c>
      <c r="E4" s="107" t="s">
        <v>10</v>
      </c>
      <c r="F4" s="115">
        <v>5</v>
      </c>
      <c r="G4" s="107" t="s">
        <v>11</v>
      </c>
      <c r="H4" s="107" t="str">
        <f t="shared" si="0"/>
        <v>Area 5: W Juan de Fuca</v>
      </c>
      <c r="I4" s="107" t="str">
        <f>IFERROR(VLOOKUP(H4,LUTs!$A$1:$C$73,2,FALSE),"NA")</f>
        <v>NA</v>
      </c>
      <c r="J4" s="107" t="str">
        <f>IFERROR(VLOOKUP(H4,LUTs!$A$1:$C$73,3,FALSE),"NA")</f>
        <v>0Strait of Juan de Fuca</v>
      </c>
      <c r="K4" s="107" t="s">
        <v>25</v>
      </c>
      <c r="L4" s="107" t="str">
        <f>VLOOKUP(K4,LUTs!E$2:G$14,3,)</f>
        <v>12Jefferson</v>
      </c>
      <c r="M4" s="107" t="str">
        <f>VLOOKUP($K4,LUTs!$E$2:$H$14,2,)</f>
        <v>Strait of Juan de Fuca</v>
      </c>
      <c r="N4" s="107" t="str">
        <f>VLOOKUP($K4,LUTs!$E$2:$H$14,4,)</f>
        <v>03Strait of Juan de Fuca</v>
      </c>
      <c r="O4" s="107">
        <v>651.62178853754995</v>
      </c>
      <c r="P4" s="107">
        <v>1224.3569540513799</v>
      </c>
      <c r="Q4" s="107">
        <f t="shared" si="1"/>
        <v>651.62178853754995</v>
      </c>
      <c r="R4" s="107">
        <f t="shared" si="2"/>
        <v>1224.3569540513799</v>
      </c>
      <c r="S4" s="140" t="str">
        <f t="shared" si="3"/>
        <v>Y</v>
      </c>
      <c r="T4" s="154">
        <f t="shared" si="4"/>
        <v>1.8789380213931044</v>
      </c>
      <c r="U4" s="154">
        <f t="shared" si="5"/>
        <v>1.8789380213931044</v>
      </c>
    </row>
    <row r="5" spans="1:21" x14ac:dyDescent="0.35">
      <c r="A5" s="107">
        <v>3005</v>
      </c>
      <c r="B5" s="107">
        <v>2010</v>
      </c>
      <c r="C5" s="107" t="s">
        <v>9</v>
      </c>
      <c r="D5" s="107" t="s">
        <v>132</v>
      </c>
      <c r="E5" s="107" t="s">
        <v>10</v>
      </c>
      <c r="F5" s="115">
        <v>5</v>
      </c>
      <c r="G5" s="107" t="s">
        <v>11</v>
      </c>
      <c r="H5" s="107" t="str">
        <f t="shared" si="0"/>
        <v>Area 5: W Juan de Fuca</v>
      </c>
      <c r="I5" s="107" t="str">
        <f>IFERROR(VLOOKUP(H5,LUTs!$A$1:$C$73,2,FALSE),"NA")</f>
        <v>NA</v>
      </c>
      <c r="J5" s="107" t="str">
        <f>IFERROR(VLOOKUP(H5,LUTs!$A$1:$C$73,3,FALSE),"NA")</f>
        <v>0Strait of Juan de Fuca</v>
      </c>
      <c r="K5" s="107" t="s">
        <v>18</v>
      </c>
      <c r="L5" s="107" t="str">
        <f>VLOOKUP(K5,LUTs!E$2:G$14,3,)</f>
        <v>06King</v>
      </c>
      <c r="M5" s="107" t="str">
        <f>VLOOKUP($K5,LUTs!$E$2:$H$14,2,)</f>
        <v>South Puget Sound</v>
      </c>
      <c r="N5" s="107" t="str">
        <f>VLOOKUP($K5,LUTs!$E$2:$H$14,4,)</f>
        <v>02South Puget Sound</v>
      </c>
      <c r="O5" s="107">
        <v>3610.4673913043498</v>
      </c>
      <c r="P5" s="107">
        <v>6783.8444565217396</v>
      </c>
      <c r="Q5" s="107">
        <f t="shared" si="1"/>
        <v>3610.4673913043498</v>
      </c>
      <c r="R5" s="107">
        <f t="shared" si="2"/>
        <v>6783.8444565217396</v>
      </c>
      <c r="S5" s="140" t="str">
        <f t="shared" si="3"/>
        <v>Y</v>
      </c>
      <c r="T5" s="154">
        <f t="shared" si="4"/>
        <v>1.8789380213931104</v>
      </c>
      <c r="U5" s="154">
        <f t="shared" si="5"/>
        <v>1.8789380213931104</v>
      </c>
    </row>
    <row r="6" spans="1:21" x14ac:dyDescent="0.35">
      <c r="A6" s="107">
        <v>3119</v>
      </c>
      <c r="B6" s="107">
        <v>2010</v>
      </c>
      <c r="C6" s="107" t="s">
        <v>9</v>
      </c>
      <c r="D6" s="107" t="s">
        <v>132</v>
      </c>
      <c r="E6" s="107" t="s">
        <v>10</v>
      </c>
      <c r="F6" s="115">
        <v>5</v>
      </c>
      <c r="G6" s="107" t="s">
        <v>11</v>
      </c>
      <c r="H6" s="107" t="str">
        <f t="shared" si="0"/>
        <v>Area 5: W Juan de Fuca</v>
      </c>
      <c r="I6" s="107" t="str">
        <f>IFERROR(VLOOKUP(H6,LUTs!$A$1:$C$73,2,FALSE),"NA")</f>
        <v>NA</v>
      </c>
      <c r="J6" s="107" t="str">
        <f>IFERROR(VLOOKUP(H6,LUTs!$A$1:$C$73,3,FALSE),"NA")</f>
        <v>0Strait of Juan de Fuca</v>
      </c>
      <c r="K6" s="107" t="s">
        <v>23</v>
      </c>
      <c r="L6" s="107" t="str">
        <f>VLOOKUP(K6,LUTs!E$2:G$14,3,)</f>
        <v>10Kitsap</v>
      </c>
      <c r="M6" s="107" t="str">
        <f>VLOOKUP($K6,LUTs!$E$2:$H$14,2,)</f>
        <v>South Puget Sound</v>
      </c>
      <c r="N6" s="107" t="str">
        <f>VLOOKUP($K6,LUTs!$E$2:$H$14,4,)</f>
        <v>02South Puget Sound</v>
      </c>
      <c r="O6" s="107">
        <v>1559.06546442688</v>
      </c>
      <c r="P6" s="107">
        <v>2929.3873789525701</v>
      </c>
      <c r="Q6" s="107">
        <f t="shared" si="1"/>
        <v>1559.06546442688</v>
      </c>
      <c r="R6" s="107">
        <f t="shared" si="2"/>
        <v>2929.3873789525701</v>
      </c>
      <c r="S6" s="140" t="str">
        <f t="shared" si="3"/>
        <v>Y</v>
      </c>
      <c r="T6" s="154">
        <f t="shared" si="4"/>
        <v>1.8789380213931088</v>
      </c>
      <c r="U6" s="154">
        <f t="shared" si="5"/>
        <v>1.8789380213931088</v>
      </c>
    </row>
    <row r="7" spans="1:21" x14ac:dyDescent="0.35">
      <c r="A7" s="107">
        <v>3118</v>
      </c>
      <c r="B7" s="107">
        <v>2010</v>
      </c>
      <c r="C7" s="107" t="s">
        <v>9</v>
      </c>
      <c r="D7" s="107" t="s">
        <v>132</v>
      </c>
      <c r="E7" s="107" t="s">
        <v>10</v>
      </c>
      <c r="F7" s="115">
        <v>5</v>
      </c>
      <c r="G7" s="107" t="s">
        <v>11</v>
      </c>
      <c r="H7" s="107" t="str">
        <f t="shared" si="0"/>
        <v>Area 5: W Juan de Fuca</v>
      </c>
      <c r="I7" s="107" t="str">
        <f>IFERROR(VLOOKUP(H7,LUTs!$A$1:$C$73,2,FALSE),"NA")</f>
        <v>NA</v>
      </c>
      <c r="J7" s="107" t="str">
        <f>IFERROR(VLOOKUP(H7,LUTs!$A$1:$C$73,3,FALSE),"NA")</f>
        <v>0Strait of Juan de Fuca</v>
      </c>
      <c r="K7" s="107" t="s">
        <v>22</v>
      </c>
      <c r="L7" s="107" t="str">
        <f>VLOOKUP(K7,LUTs!E$2:G$14,3,)</f>
        <v>09Mason</v>
      </c>
      <c r="M7" s="107" t="str">
        <f>VLOOKUP($K7,LUTs!$E$2:$H$14,2,)</f>
        <v>South Puget Sound</v>
      </c>
      <c r="N7" s="107" t="str">
        <f>VLOOKUP($K7,LUTs!$E$2:$H$14,4,)</f>
        <v>02South Puget Sound</v>
      </c>
      <c r="O7" s="107">
        <v>516.47060276679804</v>
      </c>
      <c r="P7" s="107">
        <v>970.41625247035597</v>
      </c>
      <c r="Q7" s="107">
        <f t="shared" si="1"/>
        <v>516.47060276679804</v>
      </c>
      <c r="R7" s="107">
        <f t="shared" si="2"/>
        <v>970.41625247035597</v>
      </c>
      <c r="S7" s="140" t="str">
        <f t="shared" si="3"/>
        <v>Y</v>
      </c>
      <c r="T7" s="154">
        <f t="shared" si="4"/>
        <v>1.8789380213931131</v>
      </c>
      <c r="U7" s="154">
        <f t="shared" si="5"/>
        <v>1.8789380213931131</v>
      </c>
    </row>
    <row r="8" spans="1:21" x14ac:dyDescent="0.35">
      <c r="A8" s="107">
        <v>3122</v>
      </c>
      <c r="B8" s="107">
        <v>2010</v>
      </c>
      <c r="C8" s="107" t="s">
        <v>9</v>
      </c>
      <c r="D8" s="107" t="s">
        <v>132</v>
      </c>
      <c r="E8" s="107" t="s">
        <v>10</v>
      </c>
      <c r="F8" s="115">
        <v>5</v>
      </c>
      <c r="G8" s="107" t="s">
        <v>11</v>
      </c>
      <c r="H8" s="107" t="str">
        <f t="shared" si="0"/>
        <v>Area 5: W Juan de Fuca</v>
      </c>
      <c r="I8" s="107" t="str">
        <f>IFERROR(VLOOKUP(H8,LUTs!$A$1:$C$73,2,FALSE),"NA")</f>
        <v>NA</v>
      </c>
      <c r="J8" s="107" t="str">
        <f>IFERROR(VLOOKUP(H8,LUTs!$A$1:$C$73,3,FALSE),"NA")</f>
        <v>0Strait of Juan de Fuca</v>
      </c>
      <c r="K8" s="107" t="s">
        <v>26</v>
      </c>
      <c r="L8" s="107" t="str">
        <f>VLOOKUP(K8,LUTs!E$2:G$14,3,)</f>
        <v>20Other</v>
      </c>
      <c r="M8" s="107" t="str">
        <f>VLOOKUP($K8,LUTs!$E$2:$H$14,2,)</f>
        <v>Non Puget Sound</v>
      </c>
      <c r="N8" s="107" t="str">
        <f>VLOOKUP($K8,LUTs!$E$2:$H$14,4,)</f>
        <v>07Non Puget Sound</v>
      </c>
      <c r="O8" s="107">
        <v>4682.0232213438703</v>
      </c>
      <c r="P8" s="107">
        <v>8797.2314476284591</v>
      </c>
      <c r="Q8" s="107">
        <f t="shared" si="1"/>
        <v>4682.0232213438703</v>
      </c>
      <c r="R8" s="107">
        <f t="shared" si="2"/>
        <v>8797.2314476284591</v>
      </c>
      <c r="S8" s="140" t="str">
        <f t="shared" si="3"/>
        <v>Y</v>
      </c>
      <c r="T8" s="154">
        <f t="shared" si="4"/>
        <v>1.8789380213931126</v>
      </c>
      <c r="U8" s="154">
        <f t="shared" si="5"/>
        <v>1.8789380213931126</v>
      </c>
    </row>
    <row r="9" spans="1:21" x14ac:dyDescent="0.35">
      <c r="A9" s="107">
        <v>3006</v>
      </c>
      <c r="B9" s="107">
        <v>2010</v>
      </c>
      <c r="C9" s="107" t="s">
        <v>9</v>
      </c>
      <c r="D9" s="107" t="s">
        <v>132</v>
      </c>
      <c r="E9" s="107" t="s">
        <v>10</v>
      </c>
      <c r="F9" s="115">
        <v>5</v>
      </c>
      <c r="G9" s="107" t="s">
        <v>11</v>
      </c>
      <c r="H9" s="107" t="str">
        <f t="shared" si="0"/>
        <v>Area 5: W Juan de Fuca</v>
      </c>
      <c r="I9" s="107" t="str">
        <f>IFERROR(VLOOKUP(H9,LUTs!$A$1:$C$73,2,FALSE),"NA")</f>
        <v>NA</v>
      </c>
      <c r="J9" s="107" t="str">
        <f>IFERROR(VLOOKUP(H9,LUTs!$A$1:$C$73,3,FALSE),"NA")</f>
        <v>0Strait of Juan de Fuca</v>
      </c>
      <c r="K9" s="107" t="s">
        <v>20</v>
      </c>
      <c r="L9" s="107" t="str">
        <f>VLOOKUP(K9,LUTs!E$2:G$14,3,)</f>
        <v>07Pierce</v>
      </c>
      <c r="M9" s="107" t="str">
        <f>VLOOKUP($K9,LUTs!$E$2:$H$14,2,)</f>
        <v>South Puget Sound</v>
      </c>
      <c r="N9" s="107" t="str">
        <f>VLOOKUP($K9,LUTs!$E$2:$H$14,4,)</f>
        <v>02South Puget Sound</v>
      </c>
      <c r="O9" s="107">
        <v>3393.2601284584998</v>
      </c>
      <c r="P9" s="107">
        <v>6375.7254718379399</v>
      </c>
      <c r="Q9" s="107">
        <f t="shared" si="1"/>
        <v>3393.2601284584998</v>
      </c>
      <c r="R9" s="107">
        <f t="shared" si="2"/>
        <v>6375.7254718379399</v>
      </c>
      <c r="S9" s="140" t="str">
        <f t="shared" si="3"/>
        <v>Y</v>
      </c>
      <c r="T9" s="154">
        <f t="shared" si="4"/>
        <v>1.8789380213931088</v>
      </c>
      <c r="U9" s="154">
        <f t="shared" si="5"/>
        <v>1.8789380213931088</v>
      </c>
    </row>
    <row r="10" spans="1:21" x14ac:dyDescent="0.35">
      <c r="A10" s="107">
        <v>3002</v>
      </c>
      <c r="B10" s="107">
        <v>2010</v>
      </c>
      <c r="C10" s="107" t="s">
        <v>9</v>
      </c>
      <c r="D10" s="107" t="s">
        <v>132</v>
      </c>
      <c r="E10" s="107" t="s">
        <v>10</v>
      </c>
      <c r="F10" s="115">
        <v>5</v>
      </c>
      <c r="G10" s="107" t="s">
        <v>11</v>
      </c>
      <c r="H10" s="107" t="str">
        <f t="shared" si="0"/>
        <v>Area 5: W Juan de Fuca</v>
      </c>
      <c r="I10" s="107" t="str">
        <f>IFERROR(VLOOKUP(H10,LUTs!$A$1:$C$73,2,FALSE),"NA")</f>
        <v>NA</v>
      </c>
      <c r="J10" s="107" t="str">
        <f>IFERROR(VLOOKUP(H10,LUTs!$A$1:$C$73,3,FALSE),"NA")</f>
        <v>0Strait of Juan de Fuca</v>
      </c>
      <c r="K10" s="107" t="s">
        <v>15</v>
      </c>
      <c r="L10" s="107" t="str">
        <f>VLOOKUP(K10,LUTs!E$2:G$14,3,)</f>
        <v>02Skagit</v>
      </c>
      <c r="M10" s="107" t="str">
        <f>VLOOKUP($K10,LUTs!$E$2:$H$14,2,)</f>
        <v>North Puget Sound</v>
      </c>
      <c r="N10" s="107" t="str">
        <f>VLOOKUP($K10,LUTs!$E$2:$H$14,4,)</f>
        <v>01North Puget Sound</v>
      </c>
      <c r="O10" s="107">
        <v>77.229249011857704</v>
      </c>
      <c r="P10" s="107">
        <v>145.10897233201601</v>
      </c>
      <c r="Q10" s="107">
        <f t="shared" si="1"/>
        <v>77.229249011857704</v>
      </c>
      <c r="R10" s="107">
        <f t="shared" si="2"/>
        <v>145.10897233201601</v>
      </c>
      <c r="S10" s="140" t="str">
        <f t="shared" si="3"/>
        <v>Y</v>
      </c>
      <c r="T10" s="154">
        <f t="shared" si="4"/>
        <v>1.8789380213931139</v>
      </c>
      <c r="U10" s="154">
        <f t="shared" si="5"/>
        <v>1.8789380213931139</v>
      </c>
    </row>
    <row r="11" spans="1:21" x14ac:dyDescent="0.35">
      <c r="A11" s="107">
        <v>3003</v>
      </c>
      <c r="B11" s="107">
        <v>2010</v>
      </c>
      <c r="C11" s="107" t="s">
        <v>9</v>
      </c>
      <c r="D11" s="107" t="s">
        <v>132</v>
      </c>
      <c r="E11" s="107" t="s">
        <v>10</v>
      </c>
      <c r="F11" s="115">
        <v>5</v>
      </c>
      <c r="G11" s="107" t="s">
        <v>11</v>
      </c>
      <c r="H11" s="107" t="str">
        <f t="shared" si="0"/>
        <v>Area 5: W Juan de Fuca</v>
      </c>
      <c r="I11" s="107" t="str">
        <f>IFERROR(VLOOKUP(H11,LUTs!$A$1:$C$73,2,FALSE),"NA")</f>
        <v>NA</v>
      </c>
      <c r="J11" s="107" t="str">
        <f>IFERROR(VLOOKUP(H11,LUTs!$A$1:$C$73,3,FALSE),"NA")</f>
        <v>0Strait of Juan de Fuca</v>
      </c>
      <c r="K11" s="107" t="s">
        <v>16</v>
      </c>
      <c r="L11" s="107" t="str">
        <f>VLOOKUP(K11,LUTs!E$2:G$14,3,)</f>
        <v>03Snohomish</v>
      </c>
      <c r="M11" s="107" t="str">
        <f>VLOOKUP($K11,LUTs!$E$2:$H$14,2,)</f>
        <v>North Puget Sound</v>
      </c>
      <c r="N11" s="107" t="str">
        <f>VLOOKUP($K11,LUTs!$E$2:$H$14,4,)</f>
        <v>01North Puget Sound</v>
      </c>
      <c r="O11" s="107">
        <v>1423.9142786561299</v>
      </c>
      <c r="P11" s="107">
        <v>2675.4466773715399</v>
      </c>
      <c r="Q11" s="107">
        <f t="shared" si="1"/>
        <v>1423.9142786561299</v>
      </c>
      <c r="R11" s="107">
        <f t="shared" si="2"/>
        <v>2675.4466773715399</v>
      </c>
      <c r="S11" s="140" t="str">
        <f t="shared" si="3"/>
        <v>Y</v>
      </c>
      <c r="T11" s="154">
        <f t="shared" si="4"/>
        <v>1.8789380213931055</v>
      </c>
      <c r="U11" s="154">
        <f t="shared" si="5"/>
        <v>1.8789380213931055</v>
      </c>
    </row>
    <row r="12" spans="1:21" x14ac:dyDescent="0.35">
      <c r="A12" s="107">
        <v>3007</v>
      </c>
      <c r="B12" s="107">
        <v>2010</v>
      </c>
      <c r="C12" s="107" t="s">
        <v>9</v>
      </c>
      <c r="D12" s="107" t="s">
        <v>132</v>
      </c>
      <c r="E12" s="107" t="s">
        <v>10</v>
      </c>
      <c r="F12" s="115">
        <v>5</v>
      </c>
      <c r="G12" s="107" t="s">
        <v>11</v>
      </c>
      <c r="H12" s="107" t="str">
        <f t="shared" si="0"/>
        <v>Area 5: W Juan de Fuca</v>
      </c>
      <c r="I12" s="107" t="str">
        <f>IFERROR(VLOOKUP(H12,LUTs!$A$1:$C$73,2,FALSE),"NA")</f>
        <v>NA</v>
      </c>
      <c r="J12" s="107" t="str">
        <f>IFERROR(VLOOKUP(H12,LUTs!$A$1:$C$73,3,FALSE),"NA")</f>
        <v>0Strait of Juan de Fuca</v>
      </c>
      <c r="K12" s="107" t="s">
        <v>21</v>
      </c>
      <c r="L12" s="107" t="str">
        <f>VLOOKUP(K12,LUTs!E$2:G$14,3,)</f>
        <v>08Thurston</v>
      </c>
      <c r="M12" s="107" t="str">
        <f>VLOOKUP($K12,LUTs!$E$2:$H$14,2,)</f>
        <v>South Puget Sound</v>
      </c>
      <c r="N12" s="107" t="str">
        <f>VLOOKUP($K12,LUTs!$E$2:$H$14,4,)</f>
        <v>02South Puget Sound</v>
      </c>
      <c r="O12" s="107">
        <v>675.75592885375499</v>
      </c>
      <c r="P12" s="107">
        <v>1269.70350790514</v>
      </c>
      <c r="Q12" s="107">
        <f t="shared" si="1"/>
        <v>675.75592885375499</v>
      </c>
      <c r="R12" s="107">
        <f t="shared" si="2"/>
        <v>1269.70350790514</v>
      </c>
      <c r="S12" s="140" t="str">
        <f t="shared" si="3"/>
        <v>Y</v>
      </c>
      <c r="T12" s="154">
        <f t="shared" si="4"/>
        <v>1.8789380213931135</v>
      </c>
      <c r="U12" s="154">
        <f t="shared" si="5"/>
        <v>1.8789380213931135</v>
      </c>
    </row>
    <row r="13" spans="1:21" x14ac:dyDescent="0.35">
      <c r="A13" s="107">
        <v>1556</v>
      </c>
      <c r="B13" s="107">
        <v>2010</v>
      </c>
      <c r="C13" s="107" t="s">
        <v>9</v>
      </c>
      <c r="D13" s="107" t="s">
        <v>132</v>
      </c>
      <c r="E13" s="107" t="s">
        <v>10</v>
      </c>
      <c r="F13" s="115">
        <v>5</v>
      </c>
      <c r="G13" s="107" t="s">
        <v>11</v>
      </c>
      <c r="H13" s="107" t="str">
        <f t="shared" si="0"/>
        <v>Area 5: W Juan de Fuca</v>
      </c>
      <c r="I13" s="107" t="str">
        <f>IFERROR(VLOOKUP(H13,LUTs!$A$1:$C$73,2,FALSE),"NA")</f>
        <v>NA</v>
      </c>
      <c r="J13" s="107" t="str">
        <f>IFERROR(VLOOKUP(H13,LUTs!$A$1:$C$73,3,FALSE),"NA")</f>
        <v>0Strait of Juan de Fuca</v>
      </c>
      <c r="K13" s="107" t="s">
        <v>13</v>
      </c>
      <c r="L13" s="107" t="str">
        <f>VLOOKUP(K13,LUTs!E$2:G$14,3,)</f>
        <v>01Whatcom</v>
      </c>
      <c r="M13" s="107" t="str">
        <f>VLOOKUP($K13,LUTs!$E$2:$H$14,2,)</f>
        <v>North Puget Sound</v>
      </c>
      <c r="N13" s="107" t="str">
        <f>VLOOKUP($K13,LUTs!$E$2:$H$14,4,)</f>
        <v>01North Puget Sound</v>
      </c>
      <c r="O13" s="107">
        <v>386.14624505928901</v>
      </c>
      <c r="P13" s="107">
        <v>725.54486166007905</v>
      </c>
      <c r="Q13" s="107">
        <f t="shared" si="1"/>
        <v>386.14624505928901</v>
      </c>
      <c r="R13" s="107">
        <f t="shared" si="2"/>
        <v>725.54486166007905</v>
      </c>
      <c r="S13" s="140" t="str">
        <f t="shared" si="3"/>
        <v>Y</v>
      </c>
      <c r="T13" s="154">
        <f t="shared" si="4"/>
        <v>1.8789380213931088</v>
      </c>
      <c r="U13" s="154">
        <f t="shared" si="5"/>
        <v>1.8789380213931088</v>
      </c>
    </row>
    <row r="14" spans="1:21" x14ac:dyDescent="0.35">
      <c r="A14" s="107">
        <v>3530</v>
      </c>
      <c r="B14" s="107">
        <v>2011</v>
      </c>
      <c r="C14" s="107" t="s">
        <v>9</v>
      </c>
      <c r="D14" s="107" t="s">
        <v>132</v>
      </c>
      <c r="E14" s="107" t="s">
        <v>10</v>
      </c>
      <c r="F14" s="115">
        <v>5</v>
      </c>
      <c r="G14" s="107" t="s">
        <v>11</v>
      </c>
      <c r="H14" s="107" t="str">
        <f t="shared" si="0"/>
        <v>Area 5: W Juan de Fuca</v>
      </c>
      <c r="I14" s="107" t="str">
        <f>IFERROR(VLOOKUP(H14,LUTs!$A$1:$C$73,2,FALSE),"NA")</f>
        <v>NA</v>
      </c>
      <c r="J14" s="107" t="str">
        <f>IFERROR(VLOOKUP(H14,LUTs!$A$1:$C$73,3,FALSE),"NA")</f>
        <v>0Strait of Juan de Fuca</v>
      </c>
      <c r="K14" s="107" t="s">
        <v>24</v>
      </c>
      <c r="L14" s="107" t="str">
        <f>VLOOKUP(K14,LUTs!E$2:G$14,3,)</f>
        <v>11Clallam</v>
      </c>
      <c r="M14" s="107" t="str">
        <f>VLOOKUP($K14,LUTs!$E$2:$H$14,2,)</f>
        <v>Strait of Juan de Fuca</v>
      </c>
      <c r="N14" s="107" t="str">
        <f>VLOOKUP($K14,LUTs!$E$2:$H$14,4,)</f>
        <v>03Strait of Juan de Fuca</v>
      </c>
      <c r="O14" s="107">
        <v>6191.2241902308897</v>
      </c>
      <c r="P14" s="107">
        <v>5365.1922081380499</v>
      </c>
      <c r="Q14" s="107">
        <f t="shared" si="1"/>
        <v>6191.2241902308897</v>
      </c>
      <c r="R14" s="107">
        <f t="shared" si="2"/>
        <v>5365.1922081380499</v>
      </c>
      <c r="S14" s="140" t="str">
        <f t="shared" si="3"/>
        <v>Y</v>
      </c>
      <c r="T14" s="154">
        <f t="shared" si="4"/>
        <v>0.86658018564466899</v>
      </c>
      <c r="U14" s="154">
        <f t="shared" si="5"/>
        <v>0.86658018564466899</v>
      </c>
    </row>
    <row r="15" spans="1:21" x14ac:dyDescent="0.35">
      <c r="A15" s="107">
        <v>3429</v>
      </c>
      <c r="B15" s="107">
        <v>2011</v>
      </c>
      <c r="C15" s="107" t="s">
        <v>9</v>
      </c>
      <c r="D15" s="107" t="s">
        <v>132</v>
      </c>
      <c r="E15" s="107" t="s">
        <v>10</v>
      </c>
      <c r="F15" s="115">
        <v>5</v>
      </c>
      <c r="G15" s="107" t="s">
        <v>11</v>
      </c>
      <c r="H15" s="107" t="str">
        <f t="shared" si="0"/>
        <v>Area 5: W Juan de Fuca</v>
      </c>
      <c r="I15" s="107" t="str">
        <f>IFERROR(VLOOKUP(H15,LUTs!$A$1:$C$73,2,FALSE),"NA")</f>
        <v>NA</v>
      </c>
      <c r="J15" s="107" t="str">
        <f>IFERROR(VLOOKUP(H15,LUTs!$A$1:$C$73,3,FALSE),"NA")</f>
        <v>0Strait of Juan de Fuca</v>
      </c>
      <c r="K15" s="107" t="s">
        <v>17</v>
      </c>
      <c r="L15" s="107" t="str">
        <f>VLOOKUP(K15,LUTs!E$2:G$14,3,)</f>
        <v>04Island</v>
      </c>
      <c r="M15" s="107" t="str">
        <f>VLOOKUP($K15,LUTs!$E$2:$H$14,2,)</f>
        <v>North Puget Sound</v>
      </c>
      <c r="N15" s="107" t="str">
        <f>VLOOKUP($K15,LUTs!$E$2:$H$14,4,)</f>
        <v>01North Puget Sound</v>
      </c>
      <c r="O15" s="107">
        <v>1131.20599153531</v>
      </c>
      <c r="P15" s="107">
        <v>980.28069814703201</v>
      </c>
      <c r="Q15" s="107">
        <f t="shared" si="1"/>
        <v>1131.20599153531</v>
      </c>
      <c r="R15" s="107">
        <f t="shared" si="2"/>
        <v>980.28069814703201</v>
      </c>
      <c r="S15" s="140" t="str">
        <f t="shared" si="3"/>
        <v>Y</v>
      </c>
      <c r="T15" s="154">
        <f t="shared" si="4"/>
        <v>0.8665801856446701</v>
      </c>
      <c r="U15" s="154">
        <f t="shared" si="5"/>
        <v>0.8665801856446701</v>
      </c>
    </row>
    <row r="16" spans="1:21" x14ac:dyDescent="0.35">
      <c r="A16" s="107">
        <v>3578</v>
      </c>
      <c r="B16" s="107">
        <v>2011</v>
      </c>
      <c r="C16" s="107" t="s">
        <v>9</v>
      </c>
      <c r="D16" s="107" t="s">
        <v>132</v>
      </c>
      <c r="E16" s="107" t="s">
        <v>10</v>
      </c>
      <c r="F16" s="115">
        <v>5</v>
      </c>
      <c r="G16" s="107" t="s">
        <v>11</v>
      </c>
      <c r="H16" s="107" t="str">
        <f t="shared" si="0"/>
        <v>Area 5: W Juan de Fuca</v>
      </c>
      <c r="I16" s="107" t="str">
        <f>IFERROR(VLOOKUP(H16,LUTs!$A$1:$C$73,2,FALSE),"NA")</f>
        <v>NA</v>
      </c>
      <c r="J16" s="107" t="str">
        <f>IFERROR(VLOOKUP(H16,LUTs!$A$1:$C$73,3,FALSE),"NA")</f>
        <v>0Strait of Juan de Fuca</v>
      </c>
      <c r="K16" s="107" t="s">
        <v>25</v>
      </c>
      <c r="L16" s="107" t="str">
        <f>VLOOKUP(K16,LUTs!E$2:G$14,3,)</f>
        <v>12Jefferson</v>
      </c>
      <c r="M16" s="107" t="str">
        <f>VLOOKUP($K16,LUTs!$E$2:$H$14,2,)</f>
        <v>Strait of Juan de Fuca</v>
      </c>
      <c r="N16" s="107" t="str">
        <f>VLOOKUP($K16,LUTs!$E$2:$H$14,4,)</f>
        <v>03Strait of Juan de Fuca</v>
      </c>
      <c r="O16" s="107">
        <v>1368.3943445991599</v>
      </c>
      <c r="P16" s="107">
        <v>1185.8234251778599</v>
      </c>
      <c r="Q16" s="107">
        <f t="shared" si="1"/>
        <v>1368.3943445991599</v>
      </c>
      <c r="R16" s="107">
        <f t="shared" si="2"/>
        <v>1185.8234251778599</v>
      </c>
      <c r="S16" s="140" t="str">
        <f t="shared" si="3"/>
        <v>Y</v>
      </c>
      <c r="T16" s="154">
        <f t="shared" si="4"/>
        <v>0.86658018564467243</v>
      </c>
      <c r="U16" s="154">
        <f t="shared" si="5"/>
        <v>0.86658018564467243</v>
      </c>
    </row>
    <row r="17" spans="1:21" x14ac:dyDescent="0.35">
      <c r="A17" s="107">
        <v>3431</v>
      </c>
      <c r="B17" s="107">
        <v>2011</v>
      </c>
      <c r="C17" s="107" t="s">
        <v>9</v>
      </c>
      <c r="D17" s="107" t="s">
        <v>132</v>
      </c>
      <c r="E17" s="107" t="s">
        <v>10</v>
      </c>
      <c r="F17" s="115">
        <v>5</v>
      </c>
      <c r="G17" s="107" t="s">
        <v>11</v>
      </c>
      <c r="H17" s="107" t="str">
        <f t="shared" si="0"/>
        <v>Area 5: W Juan de Fuca</v>
      </c>
      <c r="I17" s="107" t="str">
        <f>IFERROR(VLOOKUP(H17,LUTs!$A$1:$C$73,2,FALSE),"NA")</f>
        <v>NA</v>
      </c>
      <c r="J17" s="107" t="str">
        <f>IFERROR(VLOOKUP(H17,LUTs!$A$1:$C$73,3,FALSE),"NA")</f>
        <v>0Strait of Juan de Fuca</v>
      </c>
      <c r="K17" s="107" t="s">
        <v>18</v>
      </c>
      <c r="L17" s="107" t="str">
        <f>VLOOKUP(K17,LUTs!E$2:G$14,3,)</f>
        <v>06King</v>
      </c>
      <c r="M17" s="107" t="str">
        <f>VLOOKUP($K17,LUTs!$E$2:$H$14,2,)</f>
        <v>South Puget Sound</v>
      </c>
      <c r="N17" s="107" t="str">
        <f>VLOOKUP($K17,LUTs!$E$2:$H$14,4,)</f>
        <v>02South Puget Sound</v>
      </c>
      <c r="O17" s="107">
        <v>9663.9049491914302</v>
      </c>
      <c r="P17" s="107">
        <v>8374.5485449227599</v>
      </c>
      <c r="Q17" s="107">
        <f t="shared" si="1"/>
        <v>9663.9049491914302</v>
      </c>
      <c r="R17" s="107">
        <f t="shared" si="2"/>
        <v>8374.5485449227599</v>
      </c>
      <c r="S17" s="140" t="str">
        <f t="shared" si="3"/>
        <v>Y</v>
      </c>
      <c r="T17" s="154">
        <f t="shared" si="4"/>
        <v>0.86658018564467054</v>
      </c>
      <c r="U17" s="154">
        <f t="shared" si="5"/>
        <v>0.86658018564467054</v>
      </c>
    </row>
    <row r="18" spans="1:21" x14ac:dyDescent="0.35">
      <c r="A18" s="107">
        <v>3529</v>
      </c>
      <c r="B18" s="107">
        <v>2011</v>
      </c>
      <c r="C18" s="107" t="s">
        <v>9</v>
      </c>
      <c r="D18" s="107" t="s">
        <v>132</v>
      </c>
      <c r="E18" s="107" t="s">
        <v>10</v>
      </c>
      <c r="F18" s="115">
        <v>5</v>
      </c>
      <c r="G18" s="107" t="s">
        <v>11</v>
      </c>
      <c r="H18" s="107" t="str">
        <f t="shared" si="0"/>
        <v>Area 5: W Juan de Fuca</v>
      </c>
      <c r="I18" s="107" t="str">
        <f>IFERROR(VLOOKUP(H18,LUTs!$A$1:$C$73,2,FALSE),"NA")</f>
        <v>NA</v>
      </c>
      <c r="J18" s="107" t="str">
        <f>IFERROR(VLOOKUP(H18,LUTs!$A$1:$C$73,3,FALSE),"NA")</f>
        <v>0Strait of Juan de Fuca</v>
      </c>
      <c r="K18" s="107" t="s">
        <v>23</v>
      </c>
      <c r="L18" s="107" t="str">
        <f>VLOOKUP(K18,LUTs!E$2:G$14,3,)</f>
        <v>10Kitsap</v>
      </c>
      <c r="M18" s="107" t="str">
        <f>VLOOKUP($K18,LUTs!$E$2:$H$14,2,)</f>
        <v>South Puget Sound</v>
      </c>
      <c r="N18" s="107" t="str">
        <f>VLOOKUP($K18,LUTs!$E$2:$H$14,4,)</f>
        <v>02South Puget Sound</v>
      </c>
      <c r="O18" s="107">
        <v>5820.2372790284498</v>
      </c>
      <c r="P18" s="107">
        <v>5043.7023017564998</v>
      </c>
      <c r="Q18" s="107">
        <f t="shared" si="1"/>
        <v>5820.2372790284498</v>
      </c>
      <c r="R18" s="107">
        <f t="shared" si="2"/>
        <v>5043.7023017564998</v>
      </c>
      <c r="S18" s="140" t="str">
        <f t="shared" si="3"/>
        <v>Y</v>
      </c>
      <c r="T18" s="154">
        <f t="shared" si="4"/>
        <v>0.86658018564466943</v>
      </c>
      <c r="U18" s="154">
        <f t="shared" si="5"/>
        <v>0.86658018564466943</v>
      </c>
    </row>
    <row r="19" spans="1:21" x14ac:dyDescent="0.35">
      <c r="A19" s="107">
        <v>3485</v>
      </c>
      <c r="B19" s="107">
        <v>2011</v>
      </c>
      <c r="C19" s="107" t="s">
        <v>9</v>
      </c>
      <c r="D19" s="107" t="s">
        <v>132</v>
      </c>
      <c r="E19" s="107" t="s">
        <v>10</v>
      </c>
      <c r="F19" s="115">
        <v>5</v>
      </c>
      <c r="G19" s="107" t="s">
        <v>11</v>
      </c>
      <c r="H19" s="107" t="str">
        <f t="shared" si="0"/>
        <v>Area 5: W Juan de Fuca</v>
      </c>
      <c r="I19" s="107" t="str">
        <f>IFERROR(VLOOKUP(H19,LUTs!$A$1:$C$73,2,FALSE),"NA")</f>
        <v>NA</v>
      </c>
      <c r="J19" s="107" t="str">
        <f>IFERROR(VLOOKUP(H19,LUTs!$A$1:$C$73,3,FALSE),"NA")</f>
        <v>0Strait of Juan de Fuca</v>
      </c>
      <c r="K19" s="107" t="s">
        <v>22</v>
      </c>
      <c r="L19" s="107" t="str">
        <f>VLOOKUP(K19,LUTs!E$2:G$14,3,)</f>
        <v>09Mason</v>
      </c>
      <c r="M19" s="107" t="str">
        <f>VLOOKUP($K19,LUTs!$E$2:$H$14,2,)</f>
        <v>South Puget Sound</v>
      </c>
      <c r="N19" s="107" t="str">
        <f>VLOOKUP($K19,LUTs!$E$2:$H$14,4,)</f>
        <v>02South Puget Sound</v>
      </c>
      <c r="O19" s="107">
        <v>2590.8266257744199</v>
      </c>
      <c r="P19" s="107">
        <v>2245.1590183367498</v>
      </c>
      <c r="Q19" s="107">
        <f t="shared" si="1"/>
        <v>2590.8266257744199</v>
      </c>
      <c r="R19" s="107">
        <f t="shared" si="2"/>
        <v>2245.1590183367498</v>
      </c>
      <c r="S19" s="140" t="str">
        <f t="shared" si="3"/>
        <v>Y</v>
      </c>
      <c r="T19" s="154">
        <f t="shared" si="4"/>
        <v>0.86658018564466965</v>
      </c>
      <c r="U19" s="154">
        <f t="shared" si="5"/>
        <v>0.86658018564466965</v>
      </c>
    </row>
    <row r="20" spans="1:21" x14ac:dyDescent="0.35">
      <c r="A20" s="107">
        <v>3579</v>
      </c>
      <c r="B20" s="107">
        <v>2011</v>
      </c>
      <c r="C20" s="107" t="s">
        <v>9</v>
      </c>
      <c r="D20" s="107" t="s">
        <v>132</v>
      </c>
      <c r="E20" s="107" t="s">
        <v>10</v>
      </c>
      <c r="F20" s="115">
        <v>5</v>
      </c>
      <c r="G20" s="107" t="s">
        <v>11</v>
      </c>
      <c r="H20" s="107" t="str">
        <f t="shared" si="0"/>
        <v>Area 5: W Juan de Fuca</v>
      </c>
      <c r="I20" s="107" t="str">
        <f>IFERROR(VLOOKUP(H20,LUTs!$A$1:$C$73,2,FALSE),"NA")</f>
        <v>NA</v>
      </c>
      <c r="J20" s="107" t="str">
        <f>IFERROR(VLOOKUP(H20,LUTs!$A$1:$C$73,3,FALSE),"NA")</f>
        <v>0Strait of Juan de Fuca</v>
      </c>
      <c r="K20" s="107" t="s">
        <v>26</v>
      </c>
      <c r="L20" s="107" t="str">
        <f>VLOOKUP(K20,LUTs!E$2:G$14,3,)</f>
        <v>20Other</v>
      </c>
      <c r="M20" s="107" t="str">
        <f>VLOOKUP($K20,LUTs!$E$2:$H$14,2,)</f>
        <v>Non Puget Sound</v>
      </c>
      <c r="N20" s="107" t="str">
        <f>VLOOKUP($K20,LUTs!$E$2:$H$14,4,)</f>
        <v>07Non Puget Sound</v>
      </c>
      <c r="O20" s="107">
        <v>15630.1042916438</v>
      </c>
      <c r="P20" s="107">
        <v>13544.738678698201</v>
      </c>
      <c r="Q20" s="107">
        <f t="shared" si="1"/>
        <v>15630.1042916438</v>
      </c>
      <c r="R20" s="107">
        <f t="shared" si="2"/>
        <v>13544.738678698201</v>
      </c>
      <c r="S20" s="140" t="str">
        <f t="shared" si="3"/>
        <v>Y</v>
      </c>
      <c r="T20" s="154">
        <f t="shared" si="4"/>
        <v>0.86658018564466766</v>
      </c>
      <c r="U20" s="154">
        <f t="shared" si="5"/>
        <v>0.86658018564466766</v>
      </c>
    </row>
    <row r="21" spans="1:21" x14ac:dyDescent="0.35">
      <c r="A21" s="107">
        <v>3432</v>
      </c>
      <c r="B21" s="107">
        <v>2011</v>
      </c>
      <c r="C21" s="107" t="s">
        <v>9</v>
      </c>
      <c r="D21" s="107" t="s">
        <v>132</v>
      </c>
      <c r="E21" s="107" t="s">
        <v>10</v>
      </c>
      <c r="F21" s="115">
        <v>5</v>
      </c>
      <c r="G21" s="107" t="s">
        <v>11</v>
      </c>
      <c r="H21" s="107" t="str">
        <f t="shared" si="0"/>
        <v>Area 5: W Juan de Fuca</v>
      </c>
      <c r="I21" s="107" t="str">
        <f>IFERROR(VLOOKUP(H21,LUTs!$A$1:$C$73,2,FALSE),"NA")</f>
        <v>NA</v>
      </c>
      <c r="J21" s="107" t="str">
        <f>IFERROR(VLOOKUP(H21,LUTs!$A$1:$C$73,3,FALSE),"NA")</f>
        <v>0Strait of Juan de Fuca</v>
      </c>
      <c r="K21" s="107" t="s">
        <v>20</v>
      </c>
      <c r="L21" s="107" t="str">
        <f>VLOOKUP(K21,LUTs!E$2:G$14,3,)</f>
        <v>07Pierce</v>
      </c>
      <c r="M21" s="107" t="str">
        <f>VLOOKUP($K21,LUTs!$E$2:$H$14,2,)</f>
        <v>South Puget Sound</v>
      </c>
      <c r="N21" s="107" t="str">
        <f>VLOOKUP($K21,LUTs!$E$2:$H$14,4,)</f>
        <v>02South Puget Sound</v>
      </c>
      <c r="O21" s="107">
        <v>10655.230629945499</v>
      </c>
      <c r="P21" s="107">
        <v>9233.6117373849393</v>
      </c>
      <c r="Q21" s="107">
        <f t="shared" si="1"/>
        <v>10655.230629945499</v>
      </c>
      <c r="R21" s="107">
        <f t="shared" si="2"/>
        <v>9233.6117373849393</v>
      </c>
      <c r="S21" s="140" t="str">
        <f t="shared" si="3"/>
        <v>Y</v>
      </c>
      <c r="T21" s="154">
        <f t="shared" si="4"/>
        <v>0.86658018564466943</v>
      </c>
      <c r="U21" s="154">
        <f t="shared" si="5"/>
        <v>0.86658018564466943</v>
      </c>
    </row>
    <row r="22" spans="1:21" x14ac:dyDescent="0.35">
      <c r="A22" s="107">
        <v>3430</v>
      </c>
      <c r="B22" s="107">
        <v>2011</v>
      </c>
      <c r="C22" s="107" t="s">
        <v>9</v>
      </c>
      <c r="D22" s="107" t="s">
        <v>132</v>
      </c>
      <c r="E22" s="107" t="s">
        <v>10</v>
      </c>
      <c r="F22" s="115">
        <v>5</v>
      </c>
      <c r="G22" s="107" t="s">
        <v>11</v>
      </c>
      <c r="H22" s="107" t="str">
        <f t="shared" si="0"/>
        <v>Area 5: W Juan de Fuca</v>
      </c>
      <c r="I22" s="107" t="str">
        <f>IFERROR(VLOOKUP(H22,LUTs!$A$1:$C$73,2,FALSE),"NA")</f>
        <v>NA</v>
      </c>
      <c r="J22" s="107" t="str">
        <f>IFERROR(VLOOKUP(H22,LUTs!$A$1:$C$73,3,FALSE),"NA")</f>
        <v>0Strait of Juan de Fuca</v>
      </c>
      <c r="K22" s="107" t="s">
        <v>30</v>
      </c>
      <c r="L22" s="107" t="str">
        <f>VLOOKUP(K22,LUTs!E$2:G$14,3,)</f>
        <v>05San Juan</v>
      </c>
      <c r="M22" s="107" t="str">
        <f>VLOOKUP($K22,LUTs!$E$2:$H$14,2,)</f>
        <v>North Puget Sound</v>
      </c>
      <c r="N22" s="107" t="str">
        <f>VLOOKUP($K22,LUTs!$E$2:$H$14,4,)</f>
        <v>01North Puget Sound</v>
      </c>
      <c r="O22" s="107">
        <v>36.490515855977698</v>
      </c>
      <c r="P22" s="107">
        <v>31.621958004743</v>
      </c>
      <c r="Q22" s="107">
        <f t="shared" si="1"/>
        <v>36.490515855977698</v>
      </c>
      <c r="R22" s="107">
        <f t="shared" si="2"/>
        <v>31.621958004743</v>
      </c>
      <c r="S22" s="140" t="str">
        <f t="shared" si="3"/>
        <v>Y</v>
      </c>
      <c r="T22" s="154">
        <f t="shared" si="4"/>
        <v>0.86658018564467199</v>
      </c>
      <c r="U22" s="154">
        <f t="shared" si="5"/>
        <v>0.86658018564467199</v>
      </c>
    </row>
    <row r="23" spans="1:21" x14ac:dyDescent="0.35">
      <c r="A23" s="107">
        <v>3427</v>
      </c>
      <c r="B23" s="107">
        <v>2011</v>
      </c>
      <c r="C23" s="107" t="s">
        <v>9</v>
      </c>
      <c r="D23" s="107" t="s">
        <v>132</v>
      </c>
      <c r="E23" s="107" t="s">
        <v>10</v>
      </c>
      <c r="F23" s="115">
        <v>5</v>
      </c>
      <c r="G23" s="107" t="s">
        <v>11</v>
      </c>
      <c r="H23" s="107" t="str">
        <f t="shared" si="0"/>
        <v>Area 5: W Juan de Fuca</v>
      </c>
      <c r="I23" s="107" t="str">
        <f>IFERROR(VLOOKUP(H23,LUTs!$A$1:$C$73,2,FALSE),"NA")</f>
        <v>NA</v>
      </c>
      <c r="J23" s="107" t="str">
        <f>IFERROR(VLOOKUP(H23,LUTs!$A$1:$C$73,3,FALSE),"NA")</f>
        <v>0Strait of Juan de Fuca</v>
      </c>
      <c r="K23" s="107" t="s">
        <v>15</v>
      </c>
      <c r="L23" s="107" t="str">
        <f>VLOOKUP(K23,LUTs!E$2:G$14,3,)</f>
        <v>02Skagit</v>
      </c>
      <c r="M23" s="107" t="str">
        <f>VLOOKUP($K23,LUTs!$E$2:$H$14,2,)</f>
        <v>North Puget Sound</v>
      </c>
      <c r="N23" s="107" t="str">
        <f>VLOOKUP($K23,LUTs!$E$2:$H$14,4,)</f>
        <v>01North Puget Sound</v>
      </c>
      <c r="O23" s="107">
        <v>796.70959618884694</v>
      </c>
      <c r="P23" s="107">
        <v>690.41274977022101</v>
      </c>
      <c r="Q23" s="107">
        <f t="shared" si="1"/>
        <v>796.70959618884694</v>
      </c>
      <c r="R23" s="107">
        <f t="shared" si="2"/>
        <v>690.41274977022101</v>
      </c>
      <c r="S23" s="140" t="str">
        <f t="shared" si="3"/>
        <v>Y</v>
      </c>
      <c r="T23" s="154">
        <f t="shared" si="4"/>
        <v>0.86658018564466999</v>
      </c>
      <c r="U23" s="154">
        <f t="shared" si="5"/>
        <v>0.86658018564466999</v>
      </c>
    </row>
    <row r="24" spans="1:21" x14ac:dyDescent="0.35">
      <c r="A24" s="107">
        <v>3428</v>
      </c>
      <c r="B24" s="107">
        <v>2011</v>
      </c>
      <c r="C24" s="107" t="s">
        <v>9</v>
      </c>
      <c r="D24" s="107" t="s">
        <v>132</v>
      </c>
      <c r="E24" s="107" t="s">
        <v>10</v>
      </c>
      <c r="F24" s="115">
        <v>5</v>
      </c>
      <c r="G24" s="107" t="s">
        <v>11</v>
      </c>
      <c r="H24" s="107" t="str">
        <f t="shared" si="0"/>
        <v>Area 5: W Juan de Fuca</v>
      </c>
      <c r="I24" s="107" t="str">
        <f>IFERROR(VLOOKUP(H24,LUTs!$A$1:$C$73,2,FALSE),"NA")</f>
        <v>NA</v>
      </c>
      <c r="J24" s="107" t="str">
        <f>IFERROR(VLOOKUP(H24,LUTs!$A$1:$C$73,3,FALSE),"NA")</f>
        <v>0Strait of Juan de Fuca</v>
      </c>
      <c r="K24" s="107" t="s">
        <v>16</v>
      </c>
      <c r="L24" s="107" t="str">
        <f>VLOOKUP(K24,LUTs!E$2:G$14,3,)</f>
        <v>03Snohomish</v>
      </c>
      <c r="M24" s="107" t="str">
        <f>VLOOKUP($K24,LUTs!$E$2:$H$14,2,)</f>
        <v>North Puget Sound</v>
      </c>
      <c r="N24" s="107" t="str">
        <f>VLOOKUP($K24,LUTs!$E$2:$H$14,4,)</f>
        <v>01North Puget Sound</v>
      </c>
      <c r="O24" s="107">
        <v>4068.6925179415198</v>
      </c>
      <c r="P24" s="107">
        <v>3525.8483175288402</v>
      </c>
      <c r="Q24" s="107">
        <f t="shared" si="1"/>
        <v>4068.6925179415198</v>
      </c>
      <c r="R24" s="107">
        <f t="shared" si="2"/>
        <v>3525.8483175288402</v>
      </c>
      <c r="S24" s="140" t="str">
        <f t="shared" si="3"/>
        <v>Y</v>
      </c>
      <c r="T24" s="154">
        <f t="shared" si="4"/>
        <v>0.86658018564466954</v>
      </c>
      <c r="U24" s="154">
        <f t="shared" si="5"/>
        <v>0.86658018564466954</v>
      </c>
    </row>
    <row r="25" spans="1:21" x14ac:dyDescent="0.35">
      <c r="A25" s="107">
        <v>3484</v>
      </c>
      <c r="B25" s="107">
        <v>2011</v>
      </c>
      <c r="C25" s="107" t="s">
        <v>9</v>
      </c>
      <c r="D25" s="107" t="s">
        <v>132</v>
      </c>
      <c r="E25" s="107" t="s">
        <v>10</v>
      </c>
      <c r="F25" s="115">
        <v>5</v>
      </c>
      <c r="G25" s="107" t="s">
        <v>11</v>
      </c>
      <c r="H25" s="107" t="str">
        <f t="shared" si="0"/>
        <v>Area 5: W Juan de Fuca</v>
      </c>
      <c r="I25" s="107" t="str">
        <f>IFERROR(VLOOKUP(H25,LUTs!$A$1:$C$73,2,FALSE),"NA")</f>
        <v>NA</v>
      </c>
      <c r="J25" s="107" t="str">
        <f>IFERROR(VLOOKUP(H25,LUTs!$A$1:$C$73,3,FALSE),"NA")</f>
        <v>0Strait of Juan de Fuca</v>
      </c>
      <c r="K25" s="107" t="s">
        <v>21</v>
      </c>
      <c r="L25" s="107" t="str">
        <f>VLOOKUP(K25,LUTs!E$2:G$14,3,)</f>
        <v>08Thurston</v>
      </c>
      <c r="M25" s="107" t="str">
        <f>VLOOKUP($K25,LUTs!$E$2:$H$14,2,)</f>
        <v>South Puget Sound</v>
      </c>
      <c r="N25" s="107" t="str">
        <f>VLOOKUP($K25,LUTs!$E$2:$H$14,4,)</f>
        <v>02South Puget Sound</v>
      </c>
      <c r="O25" s="107">
        <v>3436.1902431045701</v>
      </c>
      <c r="P25" s="107">
        <v>2977.73437877996</v>
      </c>
      <c r="Q25" s="107">
        <f t="shared" si="1"/>
        <v>3436.1902431045701</v>
      </c>
      <c r="R25" s="107">
        <f t="shared" si="2"/>
        <v>2977.73437877996</v>
      </c>
      <c r="S25" s="140" t="str">
        <f t="shared" si="3"/>
        <v>Y</v>
      </c>
      <c r="T25" s="154">
        <f t="shared" si="4"/>
        <v>0.86658018564466943</v>
      </c>
      <c r="U25" s="154">
        <f t="shared" si="5"/>
        <v>0.86658018564466943</v>
      </c>
    </row>
    <row r="26" spans="1:21" x14ac:dyDescent="0.35">
      <c r="A26" s="107">
        <v>3426</v>
      </c>
      <c r="B26" s="107">
        <v>2011</v>
      </c>
      <c r="C26" s="107" t="s">
        <v>9</v>
      </c>
      <c r="D26" s="107" t="s">
        <v>132</v>
      </c>
      <c r="E26" s="107" t="s">
        <v>10</v>
      </c>
      <c r="F26" s="115">
        <v>5</v>
      </c>
      <c r="G26" s="107" t="s">
        <v>11</v>
      </c>
      <c r="H26" s="107" t="str">
        <f t="shared" si="0"/>
        <v>Area 5: W Juan de Fuca</v>
      </c>
      <c r="I26" s="107" t="str">
        <f>IFERROR(VLOOKUP(H26,LUTs!$A$1:$C$73,2,FALSE),"NA")</f>
        <v>NA</v>
      </c>
      <c r="J26" s="107" t="str">
        <f>IFERROR(VLOOKUP(H26,LUTs!$A$1:$C$73,3,FALSE),"NA")</f>
        <v>0Strait of Juan de Fuca</v>
      </c>
      <c r="K26" s="107" t="s">
        <v>13</v>
      </c>
      <c r="L26" s="107" t="str">
        <f>VLOOKUP(K26,LUTs!E$2:G$14,3,)</f>
        <v>01Whatcom</v>
      </c>
      <c r="M26" s="107" t="str">
        <f>VLOOKUP($K26,LUTs!$E$2:$H$14,2,)</f>
        <v>North Puget Sound</v>
      </c>
      <c r="N26" s="107" t="str">
        <f>VLOOKUP($K26,LUTs!$E$2:$H$14,4,)</f>
        <v>01North Puget Sound</v>
      </c>
      <c r="O26" s="107">
        <v>614.25701690895801</v>
      </c>
      <c r="P26" s="107">
        <v>532.30295974650596</v>
      </c>
      <c r="Q26" s="107">
        <f t="shared" si="1"/>
        <v>614.25701690895801</v>
      </c>
      <c r="R26" s="107">
        <f t="shared" si="2"/>
        <v>532.30295974650596</v>
      </c>
      <c r="S26" s="140" t="str">
        <f t="shared" si="3"/>
        <v>Y</v>
      </c>
      <c r="T26" s="154">
        <f t="shared" si="4"/>
        <v>0.86658018564466988</v>
      </c>
      <c r="U26" s="154">
        <f t="shared" si="5"/>
        <v>0.86658018564466988</v>
      </c>
    </row>
    <row r="27" spans="1:21" x14ac:dyDescent="0.35">
      <c r="A27" s="107">
        <v>1343</v>
      </c>
      <c r="B27" s="107">
        <v>2012</v>
      </c>
      <c r="C27" s="107" t="s">
        <v>9</v>
      </c>
      <c r="D27" s="107" t="s">
        <v>132</v>
      </c>
      <c r="E27" s="107" t="s">
        <v>10</v>
      </c>
      <c r="F27" s="115">
        <v>5</v>
      </c>
      <c r="G27" s="107" t="s">
        <v>11</v>
      </c>
      <c r="H27" s="107" t="str">
        <f t="shared" si="0"/>
        <v>Area 5: W Juan de Fuca</v>
      </c>
      <c r="I27" s="107" t="str">
        <f>IFERROR(VLOOKUP(H27,LUTs!$A$1:$C$73,2,FALSE),"NA")</f>
        <v>NA</v>
      </c>
      <c r="J27" s="107" t="str">
        <f>IFERROR(VLOOKUP(H27,LUTs!$A$1:$C$73,3,FALSE),"NA")</f>
        <v>0Strait of Juan de Fuca</v>
      </c>
      <c r="K27" s="107" t="s">
        <v>24</v>
      </c>
      <c r="L27" s="107" t="str">
        <f>VLOOKUP(K27,LUTs!E$2:G$14,3,)</f>
        <v>11Clallam</v>
      </c>
      <c r="M27" s="107" t="str">
        <f>VLOOKUP($K27,LUTs!$E$2:$H$14,2,)</f>
        <v>Strait of Juan de Fuca</v>
      </c>
      <c r="N27" s="107" t="str">
        <f>VLOOKUP($K27,LUTs!$E$2:$H$14,4,)</f>
        <v>03Strait of Juan de Fuca</v>
      </c>
      <c r="O27" s="107">
        <v>8862.8502994011997</v>
      </c>
      <c r="P27" s="107">
        <v>7988.7952095808396</v>
      </c>
      <c r="Q27" s="107">
        <f t="shared" si="1"/>
        <v>8862.8502994011997</v>
      </c>
      <c r="R27" s="107">
        <f t="shared" si="2"/>
        <v>7988.7952095808396</v>
      </c>
      <c r="S27" s="140" t="str">
        <f t="shared" si="3"/>
        <v>Y</v>
      </c>
      <c r="T27" s="154">
        <f t="shared" si="4"/>
        <v>0.90137991049229238</v>
      </c>
      <c r="U27" s="154">
        <f t="shared" si="5"/>
        <v>0.90137991049229238</v>
      </c>
    </row>
    <row r="28" spans="1:21" x14ac:dyDescent="0.35">
      <c r="A28" s="107">
        <v>1326</v>
      </c>
      <c r="B28" s="107">
        <v>2012</v>
      </c>
      <c r="C28" s="107" t="s">
        <v>9</v>
      </c>
      <c r="D28" s="107" t="s">
        <v>132</v>
      </c>
      <c r="E28" s="107" t="s">
        <v>10</v>
      </c>
      <c r="F28" s="115">
        <v>5</v>
      </c>
      <c r="G28" s="107" t="s">
        <v>11</v>
      </c>
      <c r="H28" s="107" t="str">
        <f t="shared" si="0"/>
        <v>Area 5: W Juan de Fuca</v>
      </c>
      <c r="I28" s="107" t="str">
        <f>IFERROR(VLOOKUP(H28,LUTs!$A$1:$C$73,2,FALSE),"NA")</f>
        <v>NA</v>
      </c>
      <c r="J28" s="107" t="str">
        <f>IFERROR(VLOOKUP(H28,LUTs!$A$1:$C$73,3,FALSE),"NA")</f>
        <v>0Strait of Juan de Fuca</v>
      </c>
      <c r="K28" s="107" t="s">
        <v>17</v>
      </c>
      <c r="L28" s="107" t="str">
        <f>VLOOKUP(K28,LUTs!E$2:G$14,3,)</f>
        <v>04Island</v>
      </c>
      <c r="M28" s="107" t="str">
        <f>VLOOKUP($K28,LUTs!$E$2:$H$14,2,)</f>
        <v>North Puget Sound</v>
      </c>
      <c r="N28" s="107" t="str">
        <f>VLOOKUP($K28,LUTs!$E$2:$H$14,4,)</f>
        <v>01North Puget Sound</v>
      </c>
      <c r="O28" s="107">
        <v>858.99001996007996</v>
      </c>
      <c r="P28" s="107">
        <v>774.27634730538898</v>
      </c>
      <c r="Q28" s="107">
        <f t="shared" si="1"/>
        <v>858.99001996007996</v>
      </c>
      <c r="R28" s="107">
        <f t="shared" si="2"/>
        <v>774.27634730538898</v>
      </c>
      <c r="S28" s="140" t="str">
        <f t="shared" si="3"/>
        <v>Y</v>
      </c>
      <c r="T28" s="154">
        <f t="shared" si="4"/>
        <v>0.90137991049229194</v>
      </c>
      <c r="U28" s="154">
        <f t="shared" si="5"/>
        <v>0.90137991049229194</v>
      </c>
    </row>
    <row r="29" spans="1:21" x14ac:dyDescent="0.35">
      <c r="A29" s="107">
        <v>1344</v>
      </c>
      <c r="B29" s="107">
        <v>2012</v>
      </c>
      <c r="C29" s="107" t="s">
        <v>9</v>
      </c>
      <c r="D29" s="107" t="s">
        <v>132</v>
      </c>
      <c r="E29" s="107" t="s">
        <v>10</v>
      </c>
      <c r="F29" s="115">
        <v>5</v>
      </c>
      <c r="G29" s="107" t="s">
        <v>11</v>
      </c>
      <c r="H29" s="107" t="str">
        <f t="shared" si="0"/>
        <v>Area 5: W Juan de Fuca</v>
      </c>
      <c r="I29" s="107" t="str">
        <f>IFERROR(VLOOKUP(H29,LUTs!$A$1:$C$73,2,FALSE),"NA")</f>
        <v>NA</v>
      </c>
      <c r="J29" s="107" t="str">
        <f>IFERROR(VLOOKUP(H29,LUTs!$A$1:$C$73,3,FALSE),"NA")</f>
        <v>0Strait of Juan de Fuca</v>
      </c>
      <c r="K29" s="107" t="s">
        <v>25</v>
      </c>
      <c r="L29" s="107" t="str">
        <f>VLOOKUP(K29,LUTs!E$2:G$14,3,)</f>
        <v>12Jefferson</v>
      </c>
      <c r="M29" s="107" t="str">
        <f>VLOOKUP($K29,LUTs!$E$2:$H$14,2,)</f>
        <v>Strait of Juan de Fuca</v>
      </c>
      <c r="N29" s="107" t="str">
        <f>VLOOKUP($K29,LUTs!$E$2:$H$14,4,)</f>
        <v>03Strait of Juan de Fuca</v>
      </c>
      <c r="O29" s="107">
        <v>875.04590818363295</v>
      </c>
      <c r="P29" s="107">
        <v>788.74880239520996</v>
      </c>
      <c r="Q29" s="107">
        <f t="shared" si="1"/>
        <v>875.04590818363295</v>
      </c>
      <c r="R29" s="107">
        <f t="shared" si="2"/>
        <v>788.74880239520996</v>
      </c>
      <c r="S29" s="140" t="str">
        <f t="shared" si="3"/>
        <v>Y</v>
      </c>
      <c r="T29" s="154">
        <f t="shared" si="4"/>
        <v>0.9013799104922926</v>
      </c>
      <c r="U29" s="154">
        <f t="shared" si="5"/>
        <v>0.9013799104922926</v>
      </c>
    </row>
    <row r="30" spans="1:21" x14ac:dyDescent="0.35">
      <c r="A30" s="107">
        <v>1327</v>
      </c>
      <c r="B30" s="107">
        <v>2012</v>
      </c>
      <c r="C30" s="107" t="s">
        <v>9</v>
      </c>
      <c r="D30" s="107" t="s">
        <v>132</v>
      </c>
      <c r="E30" s="107" t="s">
        <v>10</v>
      </c>
      <c r="F30" s="115">
        <v>5</v>
      </c>
      <c r="G30" s="107" t="s">
        <v>11</v>
      </c>
      <c r="H30" s="107" t="str">
        <f t="shared" si="0"/>
        <v>Area 5: W Juan de Fuca</v>
      </c>
      <c r="I30" s="107" t="str">
        <f>IFERROR(VLOOKUP(H30,LUTs!$A$1:$C$73,2,FALSE),"NA")</f>
        <v>NA</v>
      </c>
      <c r="J30" s="107" t="str">
        <f>IFERROR(VLOOKUP(H30,LUTs!$A$1:$C$73,3,FALSE),"NA")</f>
        <v>0Strait of Juan de Fuca</v>
      </c>
      <c r="K30" s="107" t="s">
        <v>18</v>
      </c>
      <c r="L30" s="107" t="str">
        <f>VLOOKUP(K30,LUTs!E$2:G$14,3,)</f>
        <v>06King</v>
      </c>
      <c r="M30" s="107" t="str">
        <f>VLOOKUP($K30,LUTs!$E$2:$H$14,2,)</f>
        <v>South Puget Sound</v>
      </c>
      <c r="N30" s="107" t="str">
        <f>VLOOKUP($K30,LUTs!$E$2:$H$14,4,)</f>
        <v>02South Puget Sound</v>
      </c>
      <c r="O30" s="107">
        <v>14145.2375249501</v>
      </c>
      <c r="P30" s="107">
        <v>12750.2329341317</v>
      </c>
      <c r="Q30" s="107">
        <f t="shared" si="1"/>
        <v>14145.2375249501</v>
      </c>
      <c r="R30" s="107">
        <f t="shared" si="2"/>
        <v>12750.2329341317</v>
      </c>
      <c r="S30" s="140" t="str">
        <f t="shared" si="3"/>
        <v>Y</v>
      </c>
      <c r="T30" s="154">
        <f t="shared" si="4"/>
        <v>0.90137991049228983</v>
      </c>
      <c r="U30" s="154">
        <f t="shared" si="5"/>
        <v>0.90137991049228983</v>
      </c>
    </row>
    <row r="31" spans="1:21" x14ac:dyDescent="0.35">
      <c r="A31" s="107">
        <v>1342</v>
      </c>
      <c r="B31" s="107">
        <v>2012</v>
      </c>
      <c r="C31" s="107" t="s">
        <v>9</v>
      </c>
      <c r="D31" s="107" t="s">
        <v>132</v>
      </c>
      <c r="E31" s="107" t="s">
        <v>10</v>
      </c>
      <c r="F31" s="115">
        <v>5</v>
      </c>
      <c r="G31" s="107" t="s">
        <v>11</v>
      </c>
      <c r="H31" s="107" t="str">
        <f t="shared" si="0"/>
        <v>Area 5: W Juan de Fuca</v>
      </c>
      <c r="I31" s="107" t="str">
        <f>IFERROR(VLOOKUP(H31,LUTs!$A$1:$C$73,2,FALSE),"NA")</f>
        <v>NA</v>
      </c>
      <c r="J31" s="107" t="str">
        <f>IFERROR(VLOOKUP(H31,LUTs!$A$1:$C$73,3,FALSE),"NA")</f>
        <v>0Strait of Juan de Fuca</v>
      </c>
      <c r="K31" s="107" t="s">
        <v>23</v>
      </c>
      <c r="L31" s="107" t="str">
        <f>VLOOKUP(K31,LUTs!E$2:G$14,3,)</f>
        <v>10Kitsap</v>
      </c>
      <c r="M31" s="107" t="str">
        <f>VLOOKUP($K31,LUTs!$E$2:$H$14,2,)</f>
        <v>South Puget Sound</v>
      </c>
      <c r="N31" s="107" t="str">
        <f>VLOOKUP($K31,LUTs!$E$2:$H$14,4,)</f>
        <v>02South Puget Sound</v>
      </c>
      <c r="O31" s="107">
        <v>6430.3832335329398</v>
      </c>
      <c r="P31" s="107">
        <v>5796.2182634730498</v>
      </c>
      <c r="Q31" s="107">
        <f t="shared" si="1"/>
        <v>6430.3832335329398</v>
      </c>
      <c r="R31" s="107">
        <f t="shared" si="2"/>
        <v>5796.2182634730498</v>
      </c>
      <c r="S31" s="140" t="str">
        <f t="shared" si="3"/>
        <v>Y</v>
      </c>
      <c r="T31" s="154">
        <f t="shared" si="4"/>
        <v>0.90137991049229094</v>
      </c>
      <c r="U31" s="154">
        <f t="shared" si="5"/>
        <v>0.90137991049229094</v>
      </c>
    </row>
    <row r="32" spans="1:21" x14ac:dyDescent="0.35">
      <c r="A32" s="107">
        <v>1341</v>
      </c>
      <c r="B32" s="107">
        <v>2012</v>
      </c>
      <c r="C32" s="107" t="s">
        <v>9</v>
      </c>
      <c r="D32" s="107" t="s">
        <v>132</v>
      </c>
      <c r="E32" s="107" t="s">
        <v>10</v>
      </c>
      <c r="F32" s="115">
        <v>5</v>
      </c>
      <c r="G32" s="107" t="s">
        <v>11</v>
      </c>
      <c r="H32" s="107" t="str">
        <f t="shared" si="0"/>
        <v>Area 5: W Juan de Fuca</v>
      </c>
      <c r="I32" s="107" t="str">
        <f>IFERROR(VLOOKUP(H32,LUTs!$A$1:$C$73,2,FALSE),"NA")</f>
        <v>NA</v>
      </c>
      <c r="J32" s="107" t="str">
        <f>IFERROR(VLOOKUP(H32,LUTs!$A$1:$C$73,3,FALSE),"NA")</f>
        <v>0Strait of Juan de Fuca</v>
      </c>
      <c r="K32" s="107" t="s">
        <v>22</v>
      </c>
      <c r="L32" s="107" t="str">
        <f>VLOOKUP(K32,LUTs!E$2:G$14,3,)</f>
        <v>09Mason</v>
      </c>
      <c r="M32" s="107" t="str">
        <f>VLOOKUP($K32,LUTs!$E$2:$H$14,2,)</f>
        <v>South Puget Sound</v>
      </c>
      <c r="N32" s="107" t="str">
        <f>VLOOKUP($K32,LUTs!$E$2:$H$14,4,)</f>
        <v>02South Puget Sound</v>
      </c>
      <c r="O32" s="107">
        <v>2785.69660678643</v>
      </c>
      <c r="P32" s="107">
        <v>2510.9709580838298</v>
      </c>
      <c r="Q32" s="107">
        <f t="shared" si="1"/>
        <v>2785.69660678643</v>
      </c>
      <c r="R32" s="107">
        <f t="shared" si="2"/>
        <v>2510.9709580838298</v>
      </c>
      <c r="S32" s="140" t="str">
        <f t="shared" si="3"/>
        <v>Y</v>
      </c>
      <c r="T32" s="154">
        <f t="shared" si="4"/>
        <v>0.9013799104922906</v>
      </c>
      <c r="U32" s="154">
        <f t="shared" si="5"/>
        <v>0.9013799104922906</v>
      </c>
    </row>
    <row r="33" spans="1:21" x14ac:dyDescent="0.35">
      <c r="A33" s="107">
        <v>1345</v>
      </c>
      <c r="B33" s="107">
        <v>2012</v>
      </c>
      <c r="C33" s="107" t="s">
        <v>9</v>
      </c>
      <c r="D33" s="107" t="s">
        <v>132</v>
      </c>
      <c r="E33" s="107" t="s">
        <v>10</v>
      </c>
      <c r="F33" s="115">
        <v>5</v>
      </c>
      <c r="G33" s="107" t="s">
        <v>11</v>
      </c>
      <c r="H33" s="107" t="str">
        <f t="shared" si="0"/>
        <v>Area 5: W Juan de Fuca</v>
      </c>
      <c r="I33" s="107" t="str">
        <f>IFERROR(VLOOKUP(H33,LUTs!$A$1:$C$73,2,FALSE),"NA")</f>
        <v>NA</v>
      </c>
      <c r="J33" s="107" t="str">
        <f>IFERROR(VLOOKUP(H33,LUTs!$A$1:$C$73,3,FALSE),"NA")</f>
        <v>0Strait of Juan de Fuca</v>
      </c>
      <c r="K33" s="107" t="s">
        <v>26</v>
      </c>
      <c r="L33" s="107" t="str">
        <f>VLOOKUP(K33,LUTs!E$2:G$14,3,)</f>
        <v>20Other</v>
      </c>
      <c r="M33" s="107" t="str">
        <f>VLOOKUP($K33,LUTs!$E$2:$H$14,2,)</f>
        <v>Non Puget Sound</v>
      </c>
      <c r="N33" s="107" t="str">
        <f>VLOOKUP($K33,LUTs!$E$2:$H$14,4,)</f>
        <v>07Non Puget Sound</v>
      </c>
      <c r="O33" s="107">
        <v>16071.9441117764</v>
      </c>
      <c r="P33" s="107">
        <v>14486.927544910201</v>
      </c>
      <c r="Q33" s="107">
        <f t="shared" si="1"/>
        <v>16071.9441117764</v>
      </c>
      <c r="R33" s="107">
        <f t="shared" si="2"/>
        <v>14486.927544910201</v>
      </c>
      <c r="S33" s="140" t="str">
        <f t="shared" si="3"/>
        <v>Y</v>
      </c>
      <c r="T33" s="154">
        <f t="shared" si="4"/>
        <v>0.90137991049229638</v>
      </c>
      <c r="U33" s="154">
        <f t="shared" si="5"/>
        <v>0.90137991049229638</v>
      </c>
    </row>
    <row r="34" spans="1:21" x14ac:dyDescent="0.35">
      <c r="A34" s="107">
        <v>1339</v>
      </c>
      <c r="B34" s="107">
        <v>2012</v>
      </c>
      <c r="C34" s="107" t="s">
        <v>9</v>
      </c>
      <c r="D34" s="107" t="s">
        <v>132</v>
      </c>
      <c r="E34" s="107" t="s">
        <v>10</v>
      </c>
      <c r="F34" s="115">
        <v>5</v>
      </c>
      <c r="G34" s="107" t="s">
        <v>11</v>
      </c>
      <c r="H34" s="107" t="str">
        <f t="shared" si="0"/>
        <v>Area 5: W Juan de Fuca</v>
      </c>
      <c r="I34" s="107" t="str">
        <f>IFERROR(VLOOKUP(H34,LUTs!$A$1:$C$73,2,FALSE),"NA")</f>
        <v>NA</v>
      </c>
      <c r="J34" s="107" t="str">
        <f>IFERROR(VLOOKUP(H34,LUTs!$A$1:$C$73,3,FALSE),"NA")</f>
        <v>0Strait of Juan de Fuca</v>
      </c>
      <c r="K34" s="107" t="s">
        <v>20</v>
      </c>
      <c r="L34" s="107" t="str">
        <f>VLOOKUP(K34,LUTs!E$2:G$14,3,)</f>
        <v>07Pierce</v>
      </c>
      <c r="M34" s="107" t="str">
        <f>VLOOKUP($K34,LUTs!$E$2:$H$14,2,)</f>
        <v>South Puget Sound</v>
      </c>
      <c r="N34" s="107" t="str">
        <f>VLOOKUP($K34,LUTs!$E$2:$H$14,4,)</f>
        <v>02South Puget Sound</v>
      </c>
      <c r="O34" s="107">
        <v>13302.3033932136</v>
      </c>
      <c r="P34" s="107">
        <v>11990.429041916201</v>
      </c>
      <c r="Q34" s="107">
        <f t="shared" si="1"/>
        <v>13302.3033932136</v>
      </c>
      <c r="R34" s="107">
        <f t="shared" si="2"/>
        <v>11990.429041916201</v>
      </c>
      <c r="S34" s="140" t="str">
        <f t="shared" si="3"/>
        <v>Y</v>
      </c>
      <c r="T34" s="154">
        <f t="shared" si="4"/>
        <v>0.90137991049229305</v>
      </c>
      <c r="U34" s="154">
        <f t="shared" si="5"/>
        <v>0.90137991049229305</v>
      </c>
    </row>
    <row r="35" spans="1:21" x14ac:dyDescent="0.35">
      <c r="A35" s="107">
        <v>1324</v>
      </c>
      <c r="B35" s="107">
        <v>2012</v>
      </c>
      <c r="C35" s="107" t="s">
        <v>9</v>
      </c>
      <c r="D35" s="107" t="s">
        <v>132</v>
      </c>
      <c r="E35" s="107" t="s">
        <v>10</v>
      </c>
      <c r="F35" s="115">
        <v>5</v>
      </c>
      <c r="G35" s="107" t="s">
        <v>11</v>
      </c>
      <c r="H35" s="107" t="str">
        <f t="shared" si="0"/>
        <v>Area 5: W Juan de Fuca</v>
      </c>
      <c r="I35" s="107" t="str">
        <f>IFERROR(VLOOKUP(H35,LUTs!$A$1:$C$73,2,FALSE),"NA")</f>
        <v>NA</v>
      </c>
      <c r="J35" s="107" t="str">
        <f>IFERROR(VLOOKUP(H35,LUTs!$A$1:$C$73,3,FALSE),"NA")</f>
        <v>0Strait of Juan de Fuca</v>
      </c>
      <c r="K35" s="107" t="s">
        <v>15</v>
      </c>
      <c r="L35" s="107" t="str">
        <f>VLOOKUP(K35,LUTs!E$2:G$14,3,)</f>
        <v>02Skagit</v>
      </c>
      <c r="M35" s="107" t="str">
        <f>VLOOKUP($K35,LUTs!$E$2:$H$14,2,)</f>
        <v>North Puget Sound</v>
      </c>
      <c r="N35" s="107" t="str">
        <f>VLOOKUP($K35,LUTs!$E$2:$H$14,4,)</f>
        <v>01North Puget Sound</v>
      </c>
      <c r="O35" s="107">
        <v>1212.2195608782399</v>
      </c>
      <c r="P35" s="107">
        <v>1092.6703592814399</v>
      </c>
      <c r="Q35" s="107">
        <f t="shared" si="1"/>
        <v>1212.2195608782399</v>
      </c>
      <c r="R35" s="107">
        <f t="shared" si="2"/>
        <v>1092.6703592814399</v>
      </c>
      <c r="S35" s="140" t="str">
        <f t="shared" si="3"/>
        <v>Y</v>
      </c>
      <c r="T35" s="154">
        <f t="shared" si="4"/>
        <v>0.90137991049229738</v>
      </c>
      <c r="U35" s="154">
        <f t="shared" si="5"/>
        <v>0.90137991049229738</v>
      </c>
    </row>
    <row r="36" spans="1:21" x14ac:dyDescent="0.35">
      <c r="A36" s="107">
        <v>1325</v>
      </c>
      <c r="B36" s="107">
        <v>2012</v>
      </c>
      <c r="C36" s="107" t="s">
        <v>9</v>
      </c>
      <c r="D36" s="107" t="s">
        <v>132</v>
      </c>
      <c r="E36" s="107" t="s">
        <v>10</v>
      </c>
      <c r="F36" s="115">
        <v>5</v>
      </c>
      <c r="G36" s="107" t="s">
        <v>11</v>
      </c>
      <c r="H36" s="107" t="str">
        <f t="shared" si="0"/>
        <v>Area 5: W Juan de Fuca</v>
      </c>
      <c r="I36" s="107" t="str">
        <f>IFERROR(VLOOKUP(H36,LUTs!$A$1:$C$73,2,FALSE),"NA")</f>
        <v>NA</v>
      </c>
      <c r="J36" s="107" t="str">
        <f>IFERROR(VLOOKUP(H36,LUTs!$A$1:$C$73,3,FALSE),"NA")</f>
        <v>0Strait of Juan de Fuca</v>
      </c>
      <c r="K36" s="107" t="s">
        <v>16</v>
      </c>
      <c r="L36" s="107" t="str">
        <f>VLOOKUP(K36,LUTs!E$2:G$14,3,)</f>
        <v>03Snohomish</v>
      </c>
      <c r="M36" s="107" t="str">
        <f>VLOOKUP($K36,LUTs!$E$2:$H$14,2,)</f>
        <v>North Puget Sound</v>
      </c>
      <c r="N36" s="107" t="str">
        <f>VLOOKUP($K36,LUTs!$E$2:$H$14,4,)</f>
        <v>01North Puget Sound</v>
      </c>
      <c r="O36" s="107">
        <v>4142.4191616766502</v>
      </c>
      <c r="P36" s="107">
        <v>3733.8934131736501</v>
      </c>
      <c r="Q36" s="107">
        <f t="shared" si="1"/>
        <v>4142.4191616766502</v>
      </c>
      <c r="R36" s="107">
        <f t="shared" si="2"/>
        <v>3733.8934131736501</v>
      </c>
      <c r="S36" s="140" t="str">
        <f t="shared" si="3"/>
        <v>Y</v>
      </c>
      <c r="T36" s="154">
        <f t="shared" si="4"/>
        <v>0.90137991049229094</v>
      </c>
      <c r="U36" s="154">
        <f t="shared" si="5"/>
        <v>0.90137991049229094</v>
      </c>
    </row>
    <row r="37" spans="1:21" x14ac:dyDescent="0.35">
      <c r="A37" s="107">
        <v>1340</v>
      </c>
      <c r="B37" s="107">
        <v>2012</v>
      </c>
      <c r="C37" s="107" t="s">
        <v>9</v>
      </c>
      <c r="D37" s="107" t="s">
        <v>132</v>
      </c>
      <c r="E37" s="107" t="s">
        <v>10</v>
      </c>
      <c r="F37" s="115">
        <v>5</v>
      </c>
      <c r="G37" s="107" t="s">
        <v>11</v>
      </c>
      <c r="H37" s="107" t="str">
        <f t="shared" si="0"/>
        <v>Area 5: W Juan de Fuca</v>
      </c>
      <c r="I37" s="107" t="str">
        <f>IFERROR(VLOOKUP(H37,LUTs!$A$1:$C$73,2,FALSE),"NA")</f>
        <v>NA</v>
      </c>
      <c r="J37" s="107" t="str">
        <f>IFERROR(VLOOKUP(H37,LUTs!$A$1:$C$73,3,FALSE),"NA")</f>
        <v>0Strait of Juan de Fuca</v>
      </c>
      <c r="K37" s="107" t="s">
        <v>21</v>
      </c>
      <c r="L37" s="107" t="str">
        <f>VLOOKUP(K37,LUTs!E$2:G$14,3,)</f>
        <v>08Thurston</v>
      </c>
      <c r="M37" s="107" t="str">
        <f>VLOOKUP($K37,LUTs!$E$2:$H$14,2,)</f>
        <v>South Puget Sound</v>
      </c>
      <c r="N37" s="107" t="str">
        <f>VLOOKUP($K37,LUTs!$E$2:$H$14,4,)</f>
        <v>02South Puget Sound</v>
      </c>
      <c r="O37" s="107">
        <v>3443.9880239520999</v>
      </c>
      <c r="P37" s="107">
        <v>3104.34161676647</v>
      </c>
      <c r="Q37" s="107">
        <f t="shared" si="1"/>
        <v>3443.9880239520999</v>
      </c>
      <c r="R37" s="107">
        <f t="shared" si="2"/>
        <v>3104.34161676647</v>
      </c>
      <c r="S37" s="140" t="str">
        <f t="shared" si="3"/>
        <v>Y</v>
      </c>
      <c r="T37" s="154">
        <f t="shared" si="4"/>
        <v>0.90137991049229216</v>
      </c>
      <c r="U37" s="154">
        <f t="shared" si="5"/>
        <v>0.90137991049229216</v>
      </c>
    </row>
    <row r="38" spans="1:21" x14ac:dyDescent="0.35">
      <c r="A38" s="107">
        <v>1323</v>
      </c>
      <c r="B38" s="107">
        <v>2012</v>
      </c>
      <c r="C38" s="107" t="s">
        <v>9</v>
      </c>
      <c r="D38" s="107" t="s">
        <v>132</v>
      </c>
      <c r="E38" s="107" t="s">
        <v>10</v>
      </c>
      <c r="F38" s="115">
        <v>5</v>
      </c>
      <c r="G38" s="107" t="s">
        <v>11</v>
      </c>
      <c r="H38" s="107" t="str">
        <f t="shared" si="0"/>
        <v>Area 5: W Juan de Fuca</v>
      </c>
      <c r="I38" s="107" t="str">
        <f>IFERROR(VLOOKUP(H38,LUTs!$A$1:$C$73,2,FALSE),"NA")</f>
        <v>NA</v>
      </c>
      <c r="J38" s="107" t="str">
        <f>IFERROR(VLOOKUP(H38,LUTs!$A$1:$C$73,3,FALSE),"NA")</f>
        <v>0Strait of Juan de Fuca</v>
      </c>
      <c r="K38" s="107" t="s">
        <v>13</v>
      </c>
      <c r="L38" s="107" t="str">
        <f>VLOOKUP(K38,LUTs!E$2:G$14,3,)</f>
        <v>01Whatcom</v>
      </c>
      <c r="M38" s="107" t="str">
        <f>VLOOKUP($K38,LUTs!$E$2:$H$14,2,)</f>
        <v>North Puget Sound</v>
      </c>
      <c r="N38" s="107" t="str">
        <f>VLOOKUP($K38,LUTs!$E$2:$H$14,4,)</f>
        <v>01North Puget Sound</v>
      </c>
      <c r="O38" s="107">
        <v>264.92215568862298</v>
      </c>
      <c r="P38" s="107">
        <v>238.79550898203601</v>
      </c>
      <c r="Q38" s="107">
        <f t="shared" si="1"/>
        <v>264.92215568862298</v>
      </c>
      <c r="R38" s="107">
        <f t="shared" si="2"/>
        <v>238.79550898203601</v>
      </c>
      <c r="S38" s="140" t="str">
        <f t="shared" si="3"/>
        <v>Y</v>
      </c>
      <c r="T38" s="154">
        <f t="shared" si="4"/>
        <v>0.90137991049229194</v>
      </c>
      <c r="U38" s="154">
        <f t="shared" si="5"/>
        <v>0.90137991049229194</v>
      </c>
    </row>
    <row r="39" spans="1:21" x14ac:dyDescent="0.35">
      <c r="A39" s="107">
        <v>1653</v>
      </c>
      <c r="B39" s="107">
        <v>2013</v>
      </c>
      <c r="C39" s="107" t="s">
        <v>9</v>
      </c>
      <c r="D39" s="107" t="s">
        <v>132</v>
      </c>
      <c r="E39" s="107" t="s">
        <v>10</v>
      </c>
      <c r="F39" s="115">
        <v>5</v>
      </c>
      <c r="G39" s="107" t="s">
        <v>11</v>
      </c>
      <c r="H39" s="107" t="str">
        <f t="shared" si="0"/>
        <v>Area 5: W Juan de Fuca</v>
      </c>
      <c r="I39" s="107" t="str">
        <f>IFERROR(VLOOKUP(H39,LUTs!$A$1:$C$73,2,FALSE),"NA")</f>
        <v>NA</v>
      </c>
      <c r="J39" s="107" t="str">
        <f>IFERROR(VLOOKUP(H39,LUTs!$A$1:$C$73,3,FALSE),"NA")</f>
        <v>0Strait of Juan de Fuca</v>
      </c>
      <c r="K39" s="107" t="s">
        <v>24</v>
      </c>
      <c r="L39" s="107" t="str">
        <f>VLOOKUP(K39,LUTs!E$2:G$14,3,)</f>
        <v>11Clallam</v>
      </c>
      <c r="M39" s="107" t="str">
        <f>VLOOKUP($K39,LUTs!$E$2:$H$14,2,)</f>
        <v>Strait of Juan de Fuca</v>
      </c>
      <c r="N39" s="107" t="str">
        <f>VLOOKUP($K39,LUTs!$E$2:$H$14,4,)</f>
        <v>03Strait of Juan de Fuca</v>
      </c>
      <c r="O39" s="107">
        <v>7278.99410781814</v>
      </c>
      <c r="P39" s="107">
        <v>5786.7225652976904</v>
      </c>
      <c r="Q39" s="107">
        <f t="shared" si="1"/>
        <v>7278.99410781814</v>
      </c>
      <c r="R39" s="107">
        <f t="shared" si="2"/>
        <v>5786.7225652976904</v>
      </c>
      <c r="S39" s="140" t="str">
        <f t="shared" si="3"/>
        <v>Y</v>
      </c>
      <c r="T39" s="154">
        <f t="shared" si="4"/>
        <v>0.7949893185216832</v>
      </c>
      <c r="U39" s="154">
        <f t="shared" si="5"/>
        <v>0.7949893185216832</v>
      </c>
    </row>
    <row r="40" spans="1:21" x14ac:dyDescent="0.35">
      <c r="A40" s="107">
        <v>1505</v>
      </c>
      <c r="B40" s="107">
        <v>2013</v>
      </c>
      <c r="C40" s="107" t="s">
        <v>9</v>
      </c>
      <c r="D40" s="107" t="s">
        <v>132</v>
      </c>
      <c r="E40" s="107" t="s">
        <v>10</v>
      </c>
      <c r="F40" s="115">
        <v>5</v>
      </c>
      <c r="G40" s="107" t="s">
        <v>11</v>
      </c>
      <c r="H40" s="107" t="str">
        <f t="shared" si="0"/>
        <v>Area 5: W Juan de Fuca</v>
      </c>
      <c r="I40" s="107" t="str">
        <f>IFERROR(VLOOKUP(H40,LUTs!$A$1:$C$73,2,FALSE),"NA")</f>
        <v>NA</v>
      </c>
      <c r="J40" s="107" t="str">
        <f>IFERROR(VLOOKUP(H40,LUTs!$A$1:$C$73,3,FALSE),"NA")</f>
        <v>0Strait of Juan de Fuca</v>
      </c>
      <c r="K40" s="107" t="s">
        <v>17</v>
      </c>
      <c r="L40" s="107" t="str">
        <f>VLOOKUP(K40,LUTs!E$2:G$14,3,)</f>
        <v>04Island</v>
      </c>
      <c r="M40" s="107" t="str">
        <f>VLOOKUP($K40,LUTs!$E$2:$H$14,2,)</f>
        <v>North Puget Sound</v>
      </c>
      <c r="N40" s="107" t="str">
        <f>VLOOKUP($K40,LUTs!$E$2:$H$14,4,)</f>
        <v>01North Puget Sound</v>
      </c>
      <c r="O40" s="107">
        <v>1095.0189077477801</v>
      </c>
      <c r="P40" s="107">
        <v>870.52833523876495</v>
      </c>
      <c r="Q40" s="107">
        <f t="shared" si="1"/>
        <v>1095.0189077477801</v>
      </c>
      <c r="R40" s="107">
        <f t="shared" si="2"/>
        <v>870.52833523876495</v>
      </c>
      <c r="S40" s="140" t="str">
        <f t="shared" si="3"/>
        <v>Y</v>
      </c>
      <c r="T40" s="154">
        <f t="shared" si="4"/>
        <v>0.79498931852168264</v>
      </c>
      <c r="U40" s="154">
        <f t="shared" si="5"/>
        <v>0.79498931852168264</v>
      </c>
    </row>
    <row r="41" spans="1:21" x14ac:dyDescent="0.35">
      <c r="A41" s="107">
        <v>1654</v>
      </c>
      <c r="B41" s="107">
        <v>2013</v>
      </c>
      <c r="C41" s="107" t="s">
        <v>9</v>
      </c>
      <c r="D41" s="107" t="s">
        <v>132</v>
      </c>
      <c r="E41" s="107" t="s">
        <v>10</v>
      </c>
      <c r="F41" s="115">
        <v>5</v>
      </c>
      <c r="G41" s="107" t="s">
        <v>11</v>
      </c>
      <c r="H41" s="107" t="str">
        <f t="shared" si="0"/>
        <v>Area 5: W Juan de Fuca</v>
      </c>
      <c r="I41" s="107" t="str">
        <f>IFERROR(VLOOKUP(H41,LUTs!$A$1:$C$73,2,FALSE),"NA")</f>
        <v>NA</v>
      </c>
      <c r="J41" s="107" t="str">
        <f>IFERROR(VLOOKUP(H41,LUTs!$A$1:$C$73,3,FALSE),"NA")</f>
        <v>0Strait of Juan de Fuca</v>
      </c>
      <c r="K41" s="107" t="s">
        <v>25</v>
      </c>
      <c r="L41" s="107" t="str">
        <f>VLOOKUP(K41,LUTs!E$2:G$14,3,)</f>
        <v>12Jefferson</v>
      </c>
      <c r="M41" s="107" t="str">
        <f>VLOOKUP($K41,LUTs!$E$2:$H$14,2,)</f>
        <v>Strait of Juan de Fuca</v>
      </c>
      <c r="N41" s="107" t="str">
        <f>VLOOKUP($K41,LUTs!$E$2:$H$14,4,)</f>
        <v>03Strait of Juan de Fuca</v>
      </c>
      <c r="O41" s="107">
        <v>1463.8673819365099</v>
      </c>
      <c r="P41" s="107">
        <v>1163.75893237182</v>
      </c>
      <c r="Q41" s="107">
        <f t="shared" si="1"/>
        <v>1463.8673819365099</v>
      </c>
      <c r="R41" s="107">
        <f t="shared" si="2"/>
        <v>1163.75893237182</v>
      </c>
      <c r="S41" s="140" t="str">
        <f t="shared" si="3"/>
        <v>Y</v>
      </c>
      <c r="T41" s="154">
        <f t="shared" si="4"/>
        <v>0.79498931852167876</v>
      </c>
      <c r="U41" s="154">
        <f t="shared" si="5"/>
        <v>0.79498931852167876</v>
      </c>
    </row>
    <row r="42" spans="1:21" x14ac:dyDescent="0.35">
      <c r="A42" s="107">
        <v>1506</v>
      </c>
      <c r="B42" s="107">
        <v>2013</v>
      </c>
      <c r="C42" s="107" t="s">
        <v>9</v>
      </c>
      <c r="D42" s="107" t="s">
        <v>132</v>
      </c>
      <c r="E42" s="107" t="s">
        <v>10</v>
      </c>
      <c r="F42" s="115">
        <v>5</v>
      </c>
      <c r="G42" s="107" t="s">
        <v>11</v>
      </c>
      <c r="H42" s="107" t="str">
        <f t="shared" si="0"/>
        <v>Area 5: W Juan de Fuca</v>
      </c>
      <c r="I42" s="107" t="str">
        <f>IFERROR(VLOOKUP(H42,LUTs!$A$1:$C$73,2,FALSE),"NA")</f>
        <v>NA</v>
      </c>
      <c r="J42" s="107" t="str">
        <f>IFERROR(VLOOKUP(H42,LUTs!$A$1:$C$73,3,FALSE),"NA")</f>
        <v>0Strait of Juan de Fuca</v>
      </c>
      <c r="K42" s="107" t="s">
        <v>18</v>
      </c>
      <c r="L42" s="107" t="str">
        <f>VLOOKUP(K42,LUTs!E$2:G$14,3,)</f>
        <v>06King</v>
      </c>
      <c r="M42" s="107" t="str">
        <f>VLOOKUP($K42,LUTs!$E$2:$H$14,2,)</f>
        <v>South Puget Sound</v>
      </c>
      <c r="N42" s="107" t="str">
        <f>VLOOKUP($K42,LUTs!$E$2:$H$14,4,)</f>
        <v>02South Puget Sound</v>
      </c>
      <c r="O42" s="107">
        <v>10149.096297599201</v>
      </c>
      <c r="P42" s="107">
        <v>8068.4231492393001</v>
      </c>
      <c r="Q42" s="107">
        <f t="shared" si="1"/>
        <v>10149.096297599201</v>
      </c>
      <c r="R42" s="107">
        <f t="shared" si="2"/>
        <v>8068.4231492393001</v>
      </c>
      <c r="S42" s="140" t="str">
        <f t="shared" si="3"/>
        <v>Y</v>
      </c>
      <c r="T42" s="154">
        <f t="shared" si="4"/>
        <v>0.79498931852168064</v>
      </c>
      <c r="U42" s="154">
        <f t="shared" si="5"/>
        <v>0.79498931852168064</v>
      </c>
    </row>
    <row r="43" spans="1:21" x14ac:dyDescent="0.35">
      <c r="A43" s="107">
        <v>1652</v>
      </c>
      <c r="B43" s="107">
        <v>2013</v>
      </c>
      <c r="C43" s="107" t="s">
        <v>9</v>
      </c>
      <c r="D43" s="107" t="s">
        <v>132</v>
      </c>
      <c r="E43" s="107" t="s">
        <v>10</v>
      </c>
      <c r="F43" s="115">
        <v>5</v>
      </c>
      <c r="G43" s="107" t="s">
        <v>11</v>
      </c>
      <c r="H43" s="107" t="str">
        <f t="shared" si="0"/>
        <v>Area 5: W Juan de Fuca</v>
      </c>
      <c r="I43" s="107" t="str">
        <f>IFERROR(VLOOKUP(H43,LUTs!$A$1:$C$73,2,FALSE),"NA")</f>
        <v>NA</v>
      </c>
      <c r="J43" s="107" t="str">
        <f>IFERROR(VLOOKUP(H43,LUTs!$A$1:$C$73,3,FALSE),"NA")</f>
        <v>0Strait of Juan de Fuca</v>
      </c>
      <c r="K43" s="107" t="s">
        <v>23</v>
      </c>
      <c r="L43" s="107" t="str">
        <f>VLOOKUP(K43,LUTs!E$2:G$14,3,)</f>
        <v>10Kitsap</v>
      </c>
      <c r="M43" s="107" t="str">
        <f>VLOOKUP($K43,LUTs!$E$2:$H$14,2,)</f>
        <v>South Puget Sound</v>
      </c>
      <c r="N43" s="107" t="str">
        <f>VLOOKUP($K43,LUTs!$E$2:$H$14,4,)</f>
        <v>02South Puget Sound</v>
      </c>
      <c r="O43" s="107">
        <v>5676.8085480608597</v>
      </c>
      <c r="P43" s="107">
        <v>4513.0021590009701</v>
      </c>
      <c r="Q43" s="107">
        <f t="shared" si="1"/>
        <v>5676.8085480608597</v>
      </c>
      <c r="R43" s="107">
        <f t="shared" si="2"/>
        <v>4513.0021590009701</v>
      </c>
      <c r="S43" s="140" t="str">
        <f t="shared" si="3"/>
        <v>Y</v>
      </c>
      <c r="T43" s="154">
        <f t="shared" si="4"/>
        <v>0.79498931852168342</v>
      </c>
      <c r="U43" s="154">
        <f t="shared" si="5"/>
        <v>0.79498931852168342</v>
      </c>
    </row>
    <row r="44" spans="1:21" x14ac:dyDescent="0.35">
      <c r="A44" s="107">
        <v>1651</v>
      </c>
      <c r="B44" s="107">
        <v>2013</v>
      </c>
      <c r="C44" s="107" t="s">
        <v>9</v>
      </c>
      <c r="D44" s="107" t="s">
        <v>132</v>
      </c>
      <c r="E44" s="107" t="s">
        <v>10</v>
      </c>
      <c r="F44" s="115">
        <v>5</v>
      </c>
      <c r="G44" s="107" t="s">
        <v>11</v>
      </c>
      <c r="H44" s="107" t="str">
        <f t="shared" si="0"/>
        <v>Area 5: W Juan de Fuca</v>
      </c>
      <c r="I44" s="107" t="str">
        <f>IFERROR(VLOOKUP(H44,LUTs!$A$1:$C$73,2,FALSE),"NA")</f>
        <v>NA</v>
      </c>
      <c r="J44" s="107" t="str">
        <f>IFERROR(VLOOKUP(H44,LUTs!$A$1:$C$73,3,FALSE),"NA")</f>
        <v>0Strait of Juan de Fuca</v>
      </c>
      <c r="K44" s="107" t="s">
        <v>22</v>
      </c>
      <c r="L44" s="107" t="str">
        <f>VLOOKUP(K44,LUTs!E$2:G$14,3,)</f>
        <v>09Mason</v>
      </c>
      <c r="M44" s="107" t="str">
        <f>VLOOKUP($K44,LUTs!$E$2:$H$14,2,)</f>
        <v>South Puget Sound</v>
      </c>
      <c r="N44" s="107" t="str">
        <f>VLOOKUP($K44,LUTs!$E$2:$H$14,4,)</f>
        <v>02South Puget Sound</v>
      </c>
      <c r="O44" s="107">
        <v>2443.6211415003099</v>
      </c>
      <c r="P44" s="107">
        <v>1942.65270600651</v>
      </c>
      <c r="Q44" s="107">
        <f t="shared" si="1"/>
        <v>2443.6211415003099</v>
      </c>
      <c r="R44" s="107">
        <f t="shared" si="2"/>
        <v>1942.65270600651</v>
      </c>
      <c r="S44" s="140" t="str">
        <f t="shared" si="3"/>
        <v>Y</v>
      </c>
      <c r="T44" s="154">
        <f t="shared" si="4"/>
        <v>0.79498931852168364</v>
      </c>
      <c r="U44" s="154">
        <f t="shared" si="5"/>
        <v>0.79498931852168364</v>
      </c>
    </row>
    <row r="45" spans="1:21" x14ac:dyDescent="0.35">
      <c r="A45" s="107">
        <v>1655</v>
      </c>
      <c r="B45" s="107">
        <v>2013</v>
      </c>
      <c r="C45" s="107" t="s">
        <v>9</v>
      </c>
      <c r="D45" s="107" t="s">
        <v>132</v>
      </c>
      <c r="E45" s="107" t="s">
        <v>10</v>
      </c>
      <c r="F45" s="115">
        <v>5</v>
      </c>
      <c r="G45" s="107" t="s">
        <v>11</v>
      </c>
      <c r="H45" s="107" t="str">
        <f t="shared" si="0"/>
        <v>Area 5: W Juan de Fuca</v>
      </c>
      <c r="I45" s="107" t="str">
        <f>IFERROR(VLOOKUP(H45,LUTs!$A$1:$C$73,2,FALSE),"NA")</f>
        <v>NA</v>
      </c>
      <c r="J45" s="107" t="str">
        <f>IFERROR(VLOOKUP(H45,LUTs!$A$1:$C$73,3,FALSE),"NA")</f>
        <v>0Strait of Juan de Fuca</v>
      </c>
      <c r="K45" s="107" t="s">
        <v>26</v>
      </c>
      <c r="L45" s="107" t="str">
        <f>VLOOKUP(K45,LUTs!E$2:G$14,3,)</f>
        <v>20Other</v>
      </c>
      <c r="M45" s="107" t="str">
        <f>VLOOKUP($K45,LUTs!$E$2:$H$14,2,)</f>
        <v>Non Puget Sound</v>
      </c>
      <c r="N45" s="107" t="str">
        <f>VLOOKUP($K45,LUTs!$E$2:$H$14,4,)</f>
        <v>07Non Puget Sound</v>
      </c>
      <c r="O45" s="107">
        <v>17128.401020139001</v>
      </c>
      <c r="P45" s="107">
        <v>13616.895854366399</v>
      </c>
      <c r="Q45" s="107">
        <f t="shared" si="1"/>
        <v>17128.401020139001</v>
      </c>
      <c r="R45" s="107">
        <f t="shared" si="2"/>
        <v>13616.895854366399</v>
      </c>
      <c r="S45" s="140" t="str">
        <f t="shared" si="3"/>
        <v>Y</v>
      </c>
      <c r="T45" s="154">
        <f t="shared" si="4"/>
        <v>0.79498931852168275</v>
      </c>
      <c r="U45" s="154">
        <f t="shared" si="5"/>
        <v>0.79498931852168275</v>
      </c>
    </row>
    <row r="46" spans="1:21" x14ac:dyDescent="0.35">
      <c r="A46" s="107">
        <v>1507</v>
      </c>
      <c r="B46" s="107">
        <v>2013</v>
      </c>
      <c r="C46" s="107" t="s">
        <v>9</v>
      </c>
      <c r="D46" s="107" t="s">
        <v>132</v>
      </c>
      <c r="E46" s="107" t="s">
        <v>10</v>
      </c>
      <c r="F46" s="115">
        <v>5</v>
      </c>
      <c r="G46" s="107" t="s">
        <v>11</v>
      </c>
      <c r="H46" s="107" t="str">
        <f t="shared" si="0"/>
        <v>Area 5: W Juan de Fuca</v>
      </c>
      <c r="I46" s="107" t="str">
        <f>IFERROR(VLOOKUP(H46,LUTs!$A$1:$C$73,2,FALSE),"NA")</f>
        <v>NA</v>
      </c>
      <c r="J46" s="107" t="str">
        <f>IFERROR(VLOOKUP(H46,LUTs!$A$1:$C$73,3,FALSE),"NA")</f>
        <v>0Strait of Juan de Fuca</v>
      </c>
      <c r="K46" s="107" t="s">
        <v>20</v>
      </c>
      <c r="L46" s="107" t="str">
        <f>VLOOKUP(K46,LUTs!E$2:G$14,3,)</f>
        <v>07Pierce</v>
      </c>
      <c r="M46" s="107" t="str">
        <f>VLOOKUP($K46,LUTs!$E$2:$H$14,2,)</f>
        <v>South Puget Sound</v>
      </c>
      <c r="N46" s="107" t="str">
        <f>VLOOKUP($K46,LUTs!$E$2:$H$14,4,)</f>
        <v>02South Puget Sound</v>
      </c>
      <c r="O46" s="107">
        <v>11739.755342537999</v>
      </c>
      <c r="P46" s="107">
        <v>9332.9800993756107</v>
      </c>
      <c r="Q46" s="107">
        <f t="shared" si="1"/>
        <v>11739.755342537999</v>
      </c>
      <c r="R46" s="107">
        <f t="shared" si="2"/>
        <v>9332.9800993756107</v>
      </c>
      <c r="S46" s="140" t="str">
        <f t="shared" si="3"/>
        <v>Y</v>
      </c>
      <c r="T46" s="154">
        <f t="shared" si="4"/>
        <v>0.79498931852168642</v>
      </c>
      <c r="U46" s="154">
        <f t="shared" si="5"/>
        <v>0.79498931852168642</v>
      </c>
    </row>
    <row r="47" spans="1:21" x14ac:dyDescent="0.35">
      <c r="A47" s="107">
        <v>1503</v>
      </c>
      <c r="B47" s="107">
        <v>2013</v>
      </c>
      <c r="C47" s="107" t="s">
        <v>9</v>
      </c>
      <c r="D47" s="107" t="s">
        <v>132</v>
      </c>
      <c r="E47" s="107" t="s">
        <v>10</v>
      </c>
      <c r="F47" s="115">
        <v>5</v>
      </c>
      <c r="G47" s="107" t="s">
        <v>11</v>
      </c>
      <c r="H47" s="107" t="str">
        <f t="shared" si="0"/>
        <v>Area 5: W Juan de Fuca</v>
      </c>
      <c r="I47" s="107" t="str">
        <f>IFERROR(VLOOKUP(H47,LUTs!$A$1:$C$73,2,FALSE),"NA")</f>
        <v>NA</v>
      </c>
      <c r="J47" s="107" t="str">
        <f>IFERROR(VLOOKUP(H47,LUTs!$A$1:$C$73,3,FALSE),"NA")</f>
        <v>0Strait of Juan de Fuca</v>
      </c>
      <c r="K47" s="107" t="s">
        <v>15</v>
      </c>
      <c r="L47" s="107" t="str">
        <f>VLOOKUP(K47,LUTs!E$2:G$14,3,)</f>
        <v>02Skagit</v>
      </c>
      <c r="M47" s="107" t="str">
        <f>VLOOKUP($K47,LUTs!$E$2:$H$14,2,)</f>
        <v>North Puget Sound</v>
      </c>
      <c r="N47" s="107" t="str">
        <f>VLOOKUP($K47,LUTs!$E$2:$H$14,4,)</f>
        <v>01North Puget Sound</v>
      </c>
      <c r="O47" s="107">
        <v>691.59088910386095</v>
      </c>
      <c r="P47" s="107">
        <v>549.80736962448304</v>
      </c>
      <c r="Q47" s="107">
        <f t="shared" si="1"/>
        <v>691.59088910386095</v>
      </c>
      <c r="R47" s="107">
        <f t="shared" si="2"/>
        <v>549.80736962448304</v>
      </c>
      <c r="S47" s="140" t="str">
        <f t="shared" si="3"/>
        <v>Y</v>
      </c>
      <c r="T47" s="154">
        <f t="shared" si="4"/>
        <v>0.79498931852168264</v>
      </c>
      <c r="U47" s="154">
        <f t="shared" si="5"/>
        <v>0.79498931852168264</v>
      </c>
    </row>
    <row r="48" spans="1:21" x14ac:dyDescent="0.35">
      <c r="A48" s="107">
        <v>1504</v>
      </c>
      <c r="B48" s="107">
        <v>2013</v>
      </c>
      <c r="C48" s="107" t="s">
        <v>9</v>
      </c>
      <c r="D48" s="107" t="s">
        <v>132</v>
      </c>
      <c r="E48" s="107" t="s">
        <v>10</v>
      </c>
      <c r="F48" s="115">
        <v>5</v>
      </c>
      <c r="G48" s="107" t="s">
        <v>11</v>
      </c>
      <c r="H48" s="107" t="str">
        <f t="shared" si="0"/>
        <v>Area 5: W Juan de Fuca</v>
      </c>
      <c r="I48" s="107" t="str">
        <f>IFERROR(VLOOKUP(H48,LUTs!$A$1:$C$73,2,FALSE),"NA")</f>
        <v>NA</v>
      </c>
      <c r="J48" s="107" t="str">
        <f>IFERROR(VLOOKUP(H48,LUTs!$A$1:$C$73,3,FALSE),"NA")</f>
        <v>0Strait of Juan de Fuca</v>
      </c>
      <c r="K48" s="107" t="s">
        <v>16</v>
      </c>
      <c r="L48" s="107" t="str">
        <f>VLOOKUP(K48,LUTs!E$2:G$14,3,)</f>
        <v>03Snohomish</v>
      </c>
      <c r="M48" s="107" t="str">
        <f>VLOOKUP($K48,LUTs!$E$2:$H$14,2,)</f>
        <v>North Puget Sound</v>
      </c>
      <c r="N48" s="107" t="str">
        <f>VLOOKUP($K48,LUTs!$E$2:$H$14,4,)</f>
        <v>01North Puget Sound</v>
      </c>
      <c r="O48" s="107">
        <v>4109.2025327587698</v>
      </c>
      <c r="P48" s="107">
        <v>3266.77212118547</v>
      </c>
      <c r="Q48" s="107">
        <f t="shared" si="1"/>
        <v>4109.2025327587698</v>
      </c>
      <c r="R48" s="107">
        <f t="shared" si="2"/>
        <v>3266.77212118547</v>
      </c>
      <c r="S48" s="140" t="str">
        <f t="shared" si="3"/>
        <v>Y</v>
      </c>
      <c r="T48" s="154">
        <f t="shared" si="4"/>
        <v>0.79498931852168342</v>
      </c>
      <c r="U48" s="154">
        <f t="shared" si="5"/>
        <v>0.79498931852168342</v>
      </c>
    </row>
    <row r="49" spans="1:21" x14ac:dyDescent="0.35">
      <c r="A49" s="107">
        <v>1650</v>
      </c>
      <c r="B49" s="107">
        <v>2013</v>
      </c>
      <c r="C49" s="107" t="s">
        <v>9</v>
      </c>
      <c r="D49" s="107" t="s">
        <v>132</v>
      </c>
      <c r="E49" s="107" t="s">
        <v>10</v>
      </c>
      <c r="F49" s="115">
        <v>5</v>
      </c>
      <c r="G49" s="107" t="s">
        <v>11</v>
      </c>
      <c r="H49" s="107" t="str">
        <f t="shared" si="0"/>
        <v>Area 5: W Juan de Fuca</v>
      </c>
      <c r="I49" s="107" t="str">
        <f>IFERROR(VLOOKUP(H49,LUTs!$A$1:$C$73,2,FALSE),"NA")</f>
        <v>NA</v>
      </c>
      <c r="J49" s="107" t="str">
        <f>IFERROR(VLOOKUP(H49,LUTs!$A$1:$C$73,3,FALSE),"NA")</f>
        <v>0Strait of Juan de Fuca</v>
      </c>
      <c r="K49" s="107" t="s">
        <v>21</v>
      </c>
      <c r="L49" s="107" t="str">
        <f>VLOOKUP(K49,LUTs!E$2:G$14,3,)</f>
        <v>08Thurston</v>
      </c>
      <c r="M49" s="107" t="str">
        <f>VLOOKUP($K49,LUTs!$E$2:$H$14,2,)</f>
        <v>South Puget Sound</v>
      </c>
      <c r="N49" s="107" t="str">
        <f>VLOOKUP($K49,LUTs!$E$2:$H$14,4,)</f>
        <v>02South Puget Sound</v>
      </c>
      <c r="O49" s="107">
        <v>2881.62870459942</v>
      </c>
      <c r="P49" s="107">
        <v>2290.8640401020102</v>
      </c>
      <c r="Q49" s="107">
        <f t="shared" si="1"/>
        <v>2881.62870459942</v>
      </c>
      <c r="R49" s="107">
        <f t="shared" si="2"/>
        <v>2290.8640401020102</v>
      </c>
      <c r="S49" s="140" t="str">
        <f t="shared" si="3"/>
        <v>Y</v>
      </c>
      <c r="T49" s="154">
        <f t="shared" si="4"/>
        <v>0.79498931852168198</v>
      </c>
      <c r="U49" s="154">
        <f t="shared" si="5"/>
        <v>0.79498931852168198</v>
      </c>
    </row>
    <row r="50" spans="1:21" x14ac:dyDescent="0.35">
      <c r="A50" s="107">
        <v>1502</v>
      </c>
      <c r="B50" s="107">
        <v>2013</v>
      </c>
      <c r="C50" s="107" t="s">
        <v>9</v>
      </c>
      <c r="D50" s="107" t="s">
        <v>132</v>
      </c>
      <c r="E50" s="107" t="s">
        <v>10</v>
      </c>
      <c r="F50" s="115">
        <v>5</v>
      </c>
      <c r="G50" s="107" t="s">
        <v>11</v>
      </c>
      <c r="H50" s="107" t="str">
        <f t="shared" si="0"/>
        <v>Area 5: W Juan de Fuca</v>
      </c>
      <c r="I50" s="107" t="str">
        <f>IFERROR(VLOOKUP(H50,LUTs!$A$1:$C$73,2,FALSE),"NA")</f>
        <v>NA</v>
      </c>
      <c r="J50" s="107" t="str">
        <f>IFERROR(VLOOKUP(H50,LUTs!$A$1:$C$73,3,FALSE),"NA")</f>
        <v>0Strait of Juan de Fuca</v>
      </c>
      <c r="K50" s="107" t="s">
        <v>13</v>
      </c>
      <c r="L50" s="107" t="str">
        <f>VLOOKUP(K50,LUTs!E$2:G$14,3,)</f>
        <v>01Whatcom</v>
      </c>
      <c r="M50" s="107" t="str">
        <f>VLOOKUP($K50,LUTs!$E$2:$H$14,2,)</f>
        <v>North Puget Sound</v>
      </c>
      <c r="N50" s="107" t="str">
        <f>VLOOKUP($K50,LUTs!$E$2:$H$14,4,)</f>
        <v>01North Puget Sound</v>
      </c>
      <c r="O50" s="107">
        <v>876.01512619822404</v>
      </c>
      <c r="P50" s="107">
        <v>696.42266819101201</v>
      </c>
      <c r="Q50" s="107">
        <f t="shared" si="1"/>
        <v>876.01512619822404</v>
      </c>
      <c r="R50" s="107">
        <f t="shared" si="2"/>
        <v>696.42266819101201</v>
      </c>
      <c r="S50" s="140" t="str">
        <f t="shared" si="3"/>
        <v>Y</v>
      </c>
      <c r="T50" s="154">
        <f t="shared" si="4"/>
        <v>0.79498931852168275</v>
      </c>
      <c r="U50" s="154">
        <f t="shared" si="5"/>
        <v>0.79498931852168275</v>
      </c>
    </row>
    <row r="51" spans="1:21" x14ac:dyDescent="0.35">
      <c r="A51" s="107">
        <v>1839</v>
      </c>
      <c r="B51" s="107">
        <v>2014</v>
      </c>
      <c r="C51" s="107" t="s">
        <v>9</v>
      </c>
      <c r="D51" s="107" t="s">
        <v>132</v>
      </c>
      <c r="E51" s="107" t="s">
        <v>10</v>
      </c>
      <c r="F51" s="115">
        <v>5</v>
      </c>
      <c r="G51" s="107" t="s">
        <v>11</v>
      </c>
      <c r="H51" s="107" t="str">
        <f t="shared" si="0"/>
        <v>Area 5: W Juan de Fuca</v>
      </c>
      <c r="I51" s="107" t="str">
        <f>IFERROR(VLOOKUP(H51,LUTs!$A$1:$C$73,2,FALSE),"NA")</f>
        <v>NA</v>
      </c>
      <c r="J51" s="107" t="str">
        <f>IFERROR(VLOOKUP(H51,LUTs!$A$1:$C$73,3,FALSE),"NA")</f>
        <v>0Strait of Juan de Fuca</v>
      </c>
      <c r="K51" s="107" t="s">
        <v>24</v>
      </c>
      <c r="L51" s="107" t="str">
        <f>VLOOKUP(K51,LUTs!E$2:G$14,3,)</f>
        <v>11Clallam</v>
      </c>
      <c r="M51" s="107" t="str">
        <f>VLOOKUP($K51,LUTs!$E$2:$H$14,2,)</f>
        <v>Strait of Juan de Fuca</v>
      </c>
      <c r="N51" s="107" t="str">
        <f>VLOOKUP($K51,LUTs!$E$2:$H$14,4,)</f>
        <v>03Strait of Juan de Fuca</v>
      </c>
      <c r="O51" s="107">
        <v>5520.9171290495797</v>
      </c>
      <c r="P51" s="107">
        <v>6360.8597440486901</v>
      </c>
      <c r="Q51" s="107">
        <f t="shared" si="1"/>
        <v>5520.9171290495797</v>
      </c>
      <c r="R51" s="107">
        <f t="shared" si="2"/>
        <v>6360.8597440486901</v>
      </c>
      <c r="S51" s="140" t="str">
        <f t="shared" si="3"/>
        <v>Y</v>
      </c>
      <c r="T51" s="154">
        <f t="shared" si="4"/>
        <v>1.1521382399637115</v>
      </c>
      <c r="U51" s="154">
        <f t="shared" si="5"/>
        <v>1.1521382399637115</v>
      </c>
    </row>
    <row r="52" spans="1:21" x14ac:dyDescent="0.35">
      <c r="A52" s="107">
        <v>1824</v>
      </c>
      <c r="B52" s="107">
        <v>2014</v>
      </c>
      <c r="C52" s="107" t="s">
        <v>9</v>
      </c>
      <c r="D52" s="107" t="s">
        <v>132</v>
      </c>
      <c r="E52" s="107" t="s">
        <v>10</v>
      </c>
      <c r="F52" s="115">
        <v>5</v>
      </c>
      <c r="G52" s="107" t="s">
        <v>11</v>
      </c>
      <c r="H52" s="107" t="str">
        <f t="shared" si="0"/>
        <v>Area 5: W Juan de Fuca</v>
      </c>
      <c r="I52" s="107" t="str">
        <f>IFERROR(VLOOKUP(H52,LUTs!$A$1:$C$73,2,FALSE),"NA")</f>
        <v>NA</v>
      </c>
      <c r="J52" s="107" t="str">
        <f>IFERROR(VLOOKUP(H52,LUTs!$A$1:$C$73,3,FALSE),"NA")</f>
        <v>0Strait of Juan de Fuca</v>
      </c>
      <c r="K52" s="107" t="s">
        <v>17</v>
      </c>
      <c r="L52" s="107" t="str">
        <f>VLOOKUP(K52,LUTs!E$2:G$14,3,)</f>
        <v>04Island</v>
      </c>
      <c r="M52" s="107" t="str">
        <f>VLOOKUP($K52,LUTs!$E$2:$H$14,2,)</f>
        <v>North Puget Sound</v>
      </c>
      <c r="N52" s="107" t="str">
        <f>VLOOKUP($K52,LUTs!$E$2:$H$14,4,)</f>
        <v>01North Puget Sound</v>
      </c>
      <c r="O52" s="107">
        <v>549.25076069446902</v>
      </c>
      <c r="P52" s="107">
        <v>632.81280472525498</v>
      </c>
      <c r="Q52" s="107">
        <f t="shared" si="1"/>
        <v>549.25076069446902</v>
      </c>
      <c r="R52" s="107">
        <f t="shared" si="2"/>
        <v>632.81280472525498</v>
      </c>
      <c r="S52" s="140" t="str">
        <f t="shared" si="3"/>
        <v>Y</v>
      </c>
      <c r="T52" s="154">
        <f t="shared" si="4"/>
        <v>1.152138239963711</v>
      </c>
      <c r="U52" s="154">
        <f t="shared" si="5"/>
        <v>1.152138239963711</v>
      </c>
    </row>
    <row r="53" spans="1:21" x14ac:dyDescent="0.35">
      <c r="A53" s="107">
        <v>1840</v>
      </c>
      <c r="B53" s="107">
        <v>2014</v>
      </c>
      <c r="C53" s="107" t="s">
        <v>9</v>
      </c>
      <c r="D53" s="107" t="s">
        <v>132</v>
      </c>
      <c r="E53" s="107" t="s">
        <v>10</v>
      </c>
      <c r="F53" s="115">
        <v>5</v>
      </c>
      <c r="G53" s="107" t="s">
        <v>11</v>
      </c>
      <c r="H53" s="107" t="str">
        <f t="shared" si="0"/>
        <v>Area 5: W Juan de Fuca</v>
      </c>
      <c r="I53" s="107" t="str">
        <f>IFERROR(VLOOKUP(H53,LUTs!$A$1:$C$73,2,FALSE),"NA")</f>
        <v>NA</v>
      </c>
      <c r="J53" s="107" t="str">
        <f>IFERROR(VLOOKUP(H53,LUTs!$A$1:$C$73,3,FALSE),"NA")</f>
        <v>0Strait of Juan de Fuca</v>
      </c>
      <c r="K53" s="107" t="s">
        <v>25</v>
      </c>
      <c r="L53" s="107" t="str">
        <f>VLOOKUP(K53,LUTs!E$2:G$14,3,)</f>
        <v>12Jefferson</v>
      </c>
      <c r="M53" s="107" t="str">
        <f>VLOOKUP($K53,LUTs!$E$2:$H$14,2,)</f>
        <v>Strait of Juan de Fuca</v>
      </c>
      <c r="N53" s="107" t="str">
        <f>VLOOKUP($K53,LUTs!$E$2:$H$14,4,)</f>
        <v>03Strait of Juan de Fuca</v>
      </c>
      <c r="O53" s="107">
        <v>994.33327367102197</v>
      </c>
      <c r="P53" s="107">
        <v>1145.60938786469</v>
      </c>
      <c r="Q53" s="107">
        <f t="shared" si="1"/>
        <v>994.33327367102197</v>
      </c>
      <c r="R53" s="107">
        <f t="shared" si="2"/>
        <v>1145.60938786469</v>
      </c>
      <c r="S53" s="140" t="str">
        <f t="shared" si="3"/>
        <v>Y</v>
      </c>
      <c r="T53" s="154">
        <f t="shared" si="4"/>
        <v>1.1521382399637148</v>
      </c>
      <c r="U53" s="154">
        <f t="shared" si="5"/>
        <v>1.1521382399637148</v>
      </c>
    </row>
    <row r="54" spans="1:21" x14ac:dyDescent="0.35">
      <c r="A54" s="107">
        <v>1825</v>
      </c>
      <c r="B54" s="107">
        <v>2014</v>
      </c>
      <c r="C54" s="107" t="s">
        <v>9</v>
      </c>
      <c r="D54" s="107" t="s">
        <v>132</v>
      </c>
      <c r="E54" s="107" t="s">
        <v>10</v>
      </c>
      <c r="F54" s="115">
        <v>5</v>
      </c>
      <c r="G54" s="107" t="s">
        <v>11</v>
      </c>
      <c r="H54" s="107" t="str">
        <f t="shared" si="0"/>
        <v>Area 5: W Juan de Fuca</v>
      </c>
      <c r="I54" s="107" t="str">
        <f>IFERROR(VLOOKUP(H54,LUTs!$A$1:$C$73,2,FALSE),"NA")</f>
        <v>NA</v>
      </c>
      <c r="J54" s="107" t="str">
        <f>IFERROR(VLOOKUP(H54,LUTs!$A$1:$C$73,3,FALSE),"NA")</f>
        <v>0Strait of Juan de Fuca</v>
      </c>
      <c r="K54" s="107" t="s">
        <v>18</v>
      </c>
      <c r="L54" s="107" t="str">
        <f>VLOOKUP(K54,LUTs!E$2:G$14,3,)</f>
        <v>06King</v>
      </c>
      <c r="M54" s="107" t="str">
        <f>VLOOKUP($K54,LUTs!$E$2:$H$14,2,)</f>
        <v>South Puget Sound</v>
      </c>
      <c r="N54" s="107" t="str">
        <f>VLOOKUP($K54,LUTs!$E$2:$H$14,4,)</f>
        <v>02South Puget Sound</v>
      </c>
      <c r="O54" s="107">
        <v>8835.3613746196606</v>
      </c>
      <c r="P54" s="107">
        <v>10179.5577035976</v>
      </c>
      <c r="Q54" s="107">
        <f t="shared" si="1"/>
        <v>8835.3613746196606</v>
      </c>
      <c r="R54" s="107">
        <f t="shared" si="2"/>
        <v>10179.5577035976</v>
      </c>
      <c r="S54" s="140" t="str">
        <f t="shared" si="3"/>
        <v>Y</v>
      </c>
      <c r="T54" s="154">
        <f t="shared" si="4"/>
        <v>1.1521382399637055</v>
      </c>
      <c r="U54" s="154">
        <f t="shared" si="5"/>
        <v>1.1521382399637055</v>
      </c>
    </row>
    <row r="55" spans="1:21" x14ac:dyDescent="0.35">
      <c r="A55" s="107">
        <v>1838</v>
      </c>
      <c r="B55" s="107">
        <v>2014</v>
      </c>
      <c r="C55" s="107" t="s">
        <v>9</v>
      </c>
      <c r="D55" s="107" t="s">
        <v>132</v>
      </c>
      <c r="E55" s="107" t="s">
        <v>10</v>
      </c>
      <c r="F55" s="115">
        <v>5</v>
      </c>
      <c r="G55" s="107" t="s">
        <v>11</v>
      </c>
      <c r="H55" s="107" t="str">
        <f t="shared" si="0"/>
        <v>Area 5: W Juan de Fuca</v>
      </c>
      <c r="I55" s="107" t="str">
        <f>IFERROR(VLOOKUP(H55,LUTs!$A$1:$C$73,2,FALSE),"NA")</f>
        <v>NA</v>
      </c>
      <c r="J55" s="107" t="str">
        <f>IFERROR(VLOOKUP(H55,LUTs!$A$1:$C$73,3,FALSE),"NA")</f>
        <v>0Strait of Juan de Fuca</v>
      </c>
      <c r="K55" s="107" t="s">
        <v>23</v>
      </c>
      <c r="L55" s="107" t="str">
        <f>VLOOKUP(K55,LUTs!E$2:G$14,3,)</f>
        <v>10Kitsap</v>
      </c>
      <c r="M55" s="107" t="str">
        <f>VLOOKUP($K55,LUTs!$E$2:$H$14,2,)</f>
        <v>South Puget Sound</v>
      </c>
      <c r="N55" s="107" t="str">
        <f>VLOOKUP($K55,LUTs!$E$2:$H$14,4,)</f>
        <v>02South Puget Sound</v>
      </c>
      <c r="O55" s="107">
        <v>5520.9171290495797</v>
      </c>
      <c r="P55" s="107">
        <v>6360.8597440486901</v>
      </c>
      <c r="Q55" s="107">
        <f t="shared" si="1"/>
        <v>5520.9171290495797</v>
      </c>
      <c r="R55" s="107">
        <f t="shared" si="2"/>
        <v>6360.8597440486901</v>
      </c>
      <c r="S55" s="140" t="str">
        <f t="shared" si="3"/>
        <v>Y</v>
      </c>
      <c r="T55" s="154">
        <f t="shared" si="4"/>
        <v>1.1521382399637115</v>
      </c>
      <c r="U55" s="154">
        <f t="shared" si="5"/>
        <v>1.1521382399637115</v>
      </c>
    </row>
    <row r="56" spans="1:21" x14ac:dyDescent="0.35">
      <c r="A56" s="107">
        <v>1828</v>
      </c>
      <c r="B56" s="107">
        <v>2014</v>
      </c>
      <c r="C56" s="107" t="s">
        <v>9</v>
      </c>
      <c r="D56" s="107" t="s">
        <v>132</v>
      </c>
      <c r="E56" s="107" t="s">
        <v>10</v>
      </c>
      <c r="F56" s="115">
        <v>5</v>
      </c>
      <c r="G56" s="107" t="s">
        <v>11</v>
      </c>
      <c r="H56" s="107" t="str">
        <f t="shared" si="0"/>
        <v>Area 5: W Juan de Fuca</v>
      </c>
      <c r="I56" s="107" t="str">
        <f>IFERROR(VLOOKUP(H56,LUTs!$A$1:$C$73,2,FALSE),"NA")</f>
        <v>NA</v>
      </c>
      <c r="J56" s="107" t="str">
        <f>IFERROR(VLOOKUP(H56,LUTs!$A$1:$C$73,3,FALSE),"NA")</f>
        <v>0Strait of Juan de Fuca</v>
      </c>
      <c r="K56" s="107" t="s">
        <v>22</v>
      </c>
      <c r="L56" s="107" t="str">
        <f>VLOOKUP(K56,LUTs!E$2:G$14,3,)</f>
        <v>09Mason</v>
      </c>
      <c r="M56" s="107" t="str">
        <f>VLOOKUP($K56,LUTs!$E$2:$H$14,2,)</f>
        <v>South Puget Sound</v>
      </c>
      <c r="N56" s="107" t="str">
        <f>VLOOKUP($K56,LUTs!$E$2:$H$14,4,)</f>
        <v>02South Puget Sound</v>
      </c>
      <c r="O56" s="107">
        <v>1988.6665473420401</v>
      </c>
      <c r="P56" s="107">
        <v>2291.21877572937</v>
      </c>
      <c r="Q56" s="107">
        <f t="shared" si="1"/>
        <v>1988.6665473420401</v>
      </c>
      <c r="R56" s="107">
        <f t="shared" si="2"/>
        <v>2291.21877572937</v>
      </c>
      <c r="S56" s="140" t="str">
        <f t="shared" si="3"/>
        <v>Y</v>
      </c>
      <c r="T56" s="154">
        <f t="shared" si="4"/>
        <v>1.1521382399637119</v>
      </c>
      <c r="U56" s="154">
        <f t="shared" si="5"/>
        <v>1.1521382399637119</v>
      </c>
    </row>
    <row r="57" spans="1:21" x14ac:dyDescent="0.35">
      <c r="A57" s="107">
        <v>1841</v>
      </c>
      <c r="B57" s="107">
        <v>2014</v>
      </c>
      <c r="C57" s="107" t="s">
        <v>9</v>
      </c>
      <c r="D57" s="107" t="s">
        <v>132</v>
      </c>
      <c r="E57" s="107" t="s">
        <v>10</v>
      </c>
      <c r="F57" s="115">
        <v>5</v>
      </c>
      <c r="G57" s="107" t="s">
        <v>11</v>
      </c>
      <c r="H57" s="107" t="str">
        <f t="shared" si="0"/>
        <v>Area 5: W Juan de Fuca</v>
      </c>
      <c r="I57" s="107" t="str">
        <f>IFERROR(VLOOKUP(H57,LUTs!$A$1:$C$73,2,FALSE),"NA")</f>
        <v>NA</v>
      </c>
      <c r="J57" s="107" t="str">
        <f>IFERROR(VLOOKUP(H57,LUTs!$A$1:$C$73,3,FALSE),"NA")</f>
        <v>0Strait of Juan de Fuca</v>
      </c>
      <c r="K57" s="107" t="s">
        <v>26</v>
      </c>
      <c r="L57" s="107" t="str">
        <f>VLOOKUP(K57,LUTs!E$2:G$14,3,)</f>
        <v>20Other</v>
      </c>
      <c r="M57" s="107" t="str">
        <f>VLOOKUP($K57,LUTs!$E$2:$H$14,2,)</f>
        <v>Non Puget Sound</v>
      </c>
      <c r="N57" s="107" t="str">
        <f>VLOOKUP($K57,LUTs!$E$2:$H$14,4,)</f>
        <v>07Non Puget Sound</v>
      </c>
      <c r="O57" s="107">
        <v>12074.046894576701</v>
      </c>
      <c r="P57" s="107">
        <v>13910.971138356899</v>
      </c>
      <c r="Q57" s="107">
        <f t="shared" si="1"/>
        <v>12074.046894576701</v>
      </c>
      <c r="R57" s="107">
        <f t="shared" si="2"/>
        <v>13910.971138356899</v>
      </c>
      <c r="S57" s="140" t="str">
        <f t="shared" si="3"/>
        <v>Y</v>
      </c>
      <c r="T57" s="154">
        <f t="shared" si="4"/>
        <v>1.1521382399637101</v>
      </c>
      <c r="U57" s="154">
        <f t="shared" si="5"/>
        <v>1.1521382399637101</v>
      </c>
    </row>
    <row r="58" spans="1:21" x14ac:dyDescent="0.35">
      <c r="A58" s="107">
        <v>1826</v>
      </c>
      <c r="B58" s="107">
        <v>2014</v>
      </c>
      <c r="C58" s="107" t="s">
        <v>9</v>
      </c>
      <c r="D58" s="107" t="s">
        <v>132</v>
      </c>
      <c r="E58" s="107" t="s">
        <v>10</v>
      </c>
      <c r="F58" s="115">
        <v>5</v>
      </c>
      <c r="G58" s="107" t="s">
        <v>11</v>
      </c>
      <c r="H58" s="107" t="str">
        <f t="shared" si="0"/>
        <v>Area 5: W Juan de Fuca</v>
      </c>
      <c r="I58" s="107" t="str">
        <f>IFERROR(VLOOKUP(H58,LUTs!$A$1:$C$73,2,FALSE),"NA")</f>
        <v>NA</v>
      </c>
      <c r="J58" s="107" t="str">
        <f>IFERROR(VLOOKUP(H58,LUTs!$A$1:$C$73,3,FALSE),"NA")</f>
        <v>0Strait of Juan de Fuca</v>
      </c>
      <c r="K58" s="107" t="s">
        <v>20</v>
      </c>
      <c r="L58" s="107" t="str">
        <f>VLOOKUP(K58,LUTs!E$2:G$14,3,)</f>
        <v>07Pierce</v>
      </c>
      <c r="M58" s="107" t="str">
        <f>VLOOKUP($K58,LUTs!$E$2:$H$14,2,)</f>
        <v>South Puget Sound</v>
      </c>
      <c r="N58" s="107" t="str">
        <f>VLOOKUP($K58,LUTs!$E$2:$H$14,4,)</f>
        <v>02South Puget Sound</v>
      </c>
      <c r="O58" s="107">
        <v>9394.0819760157501</v>
      </c>
      <c r="P58" s="107">
        <v>10823.2810739216</v>
      </c>
      <c r="Q58" s="107">
        <f t="shared" si="1"/>
        <v>9394.0819760157501</v>
      </c>
      <c r="R58" s="107">
        <f t="shared" si="2"/>
        <v>10823.2810739216</v>
      </c>
      <c r="S58" s="140" t="str">
        <f t="shared" si="3"/>
        <v>Y</v>
      </c>
      <c r="T58" s="154">
        <f t="shared" si="4"/>
        <v>1.1521382399637103</v>
      </c>
      <c r="U58" s="154">
        <f t="shared" si="5"/>
        <v>1.1521382399637103</v>
      </c>
    </row>
    <row r="59" spans="1:21" x14ac:dyDescent="0.35">
      <c r="A59" s="107">
        <v>1822</v>
      </c>
      <c r="B59" s="107">
        <v>2014</v>
      </c>
      <c r="C59" s="107" t="s">
        <v>9</v>
      </c>
      <c r="D59" s="107" t="s">
        <v>132</v>
      </c>
      <c r="E59" s="107" t="s">
        <v>10</v>
      </c>
      <c r="F59" s="115">
        <v>5</v>
      </c>
      <c r="G59" s="107" t="s">
        <v>11</v>
      </c>
      <c r="H59" s="107" t="str">
        <f t="shared" si="0"/>
        <v>Area 5: W Juan de Fuca</v>
      </c>
      <c r="I59" s="107" t="str">
        <f>IFERROR(VLOOKUP(H59,LUTs!$A$1:$C$73,2,FALSE),"NA")</f>
        <v>NA</v>
      </c>
      <c r="J59" s="107" t="str">
        <f>IFERROR(VLOOKUP(H59,LUTs!$A$1:$C$73,3,FALSE),"NA")</f>
        <v>0Strait of Juan de Fuca</v>
      </c>
      <c r="K59" s="107" t="s">
        <v>15</v>
      </c>
      <c r="L59" s="107" t="str">
        <f>VLOOKUP(K59,LUTs!E$2:G$14,3,)</f>
        <v>02Skagit</v>
      </c>
      <c r="M59" s="107" t="str">
        <f>VLOOKUP($K59,LUTs!$E$2:$H$14,2,)</f>
        <v>North Puget Sound</v>
      </c>
      <c r="N59" s="107" t="str">
        <f>VLOOKUP($K59,LUTs!$E$2:$H$14,4,)</f>
        <v>01North Puget Sound</v>
      </c>
      <c r="O59" s="107">
        <v>577.66028279935597</v>
      </c>
      <c r="P59" s="107">
        <v>665.54450152138895</v>
      </c>
      <c r="Q59" s="107">
        <f t="shared" si="1"/>
        <v>577.66028279935597</v>
      </c>
      <c r="R59" s="107">
        <f t="shared" si="2"/>
        <v>665.54450152138895</v>
      </c>
      <c r="S59" s="140" t="str">
        <f t="shared" si="3"/>
        <v>Y</v>
      </c>
      <c r="T59" s="154">
        <f t="shared" si="4"/>
        <v>1.1521382399637099</v>
      </c>
      <c r="U59" s="154">
        <f t="shared" si="5"/>
        <v>1.1521382399637099</v>
      </c>
    </row>
    <row r="60" spans="1:21" x14ac:dyDescent="0.35">
      <c r="A60" s="107">
        <v>1823</v>
      </c>
      <c r="B60" s="107">
        <v>2014</v>
      </c>
      <c r="C60" s="107" t="s">
        <v>9</v>
      </c>
      <c r="D60" s="107" t="s">
        <v>132</v>
      </c>
      <c r="E60" s="107" t="s">
        <v>10</v>
      </c>
      <c r="F60" s="115">
        <v>5</v>
      </c>
      <c r="G60" s="107" t="s">
        <v>11</v>
      </c>
      <c r="H60" s="107" t="str">
        <f t="shared" si="0"/>
        <v>Area 5: W Juan de Fuca</v>
      </c>
      <c r="I60" s="107" t="str">
        <f>IFERROR(VLOOKUP(H60,LUTs!$A$1:$C$73,2,FALSE),"NA")</f>
        <v>NA</v>
      </c>
      <c r="J60" s="107" t="str">
        <f>IFERROR(VLOOKUP(H60,LUTs!$A$1:$C$73,3,FALSE),"NA")</f>
        <v>0Strait of Juan de Fuca</v>
      </c>
      <c r="K60" s="107" t="s">
        <v>16</v>
      </c>
      <c r="L60" s="107" t="str">
        <f>VLOOKUP(K60,LUTs!E$2:G$14,3,)</f>
        <v>03Snohomish</v>
      </c>
      <c r="M60" s="107" t="str">
        <f>VLOOKUP($K60,LUTs!$E$2:$H$14,2,)</f>
        <v>North Puget Sound</v>
      </c>
      <c r="N60" s="107" t="str">
        <f>VLOOKUP($K60,LUTs!$E$2:$H$14,4,)</f>
        <v>01North Puget Sound</v>
      </c>
      <c r="O60" s="107">
        <v>3276.56488276356</v>
      </c>
      <c r="P60" s="107">
        <v>3775.05569715411</v>
      </c>
      <c r="Q60" s="107">
        <f t="shared" si="1"/>
        <v>3276.56488276356</v>
      </c>
      <c r="R60" s="107">
        <f t="shared" si="2"/>
        <v>3775.05569715411</v>
      </c>
      <c r="S60" s="140" t="str">
        <f t="shared" si="3"/>
        <v>Y</v>
      </c>
      <c r="T60" s="154">
        <f t="shared" si="4"/>
        <v>1.1521382399637106</v>
      </c>
      <c r="U60" s="154">
        <f t="shared" si="5"/>
        <v>1.1521382399637106</v>
      </c>
    </row>
    <row r="61" spans="1:21" x14ac:dyDescent="0.35">
      <c r="A61" s="107">
        <v>1827</v>
      </c>
      <c r="B61" s="107">
        <v>2014</v>
      </c>
      <c r="C61" s="107" t="s">
        <v>9</v>
      </c>
      <c r="D61" s="107" t="s">
        <v>132</v>
      </c>
      <c r="E61" s="107" t="s">
        <v>10</v>
      </c>
      <c r="F61" s="115">
        <v>5</v>
      </c>
      <c r="G61" s="107" t="s">
        <v>11</v>
      </c>
      <c r="H61" s="107" t="str">
        <f t="shared" si="0"/>
        <v>Area 5: W Juan de Fuca</v>
      </c>
      <c r="I61" s="107" t="str">
        <f>IFERROR(VLOOKUP(H61,LUTs!$A$1:$C$73,2,FALSE),"NA")</f>
        <v>NA</v>
      </c>
      <c r="J61" s="107" t="str">
        <f>IFERROR(VLOOKUP(H61,LUTs!$A$1:$C$73,3,FALSE),"NA")</f>
        <v>0Strait of Juan de Fuca</v>
      </c>
      <c r="K61" s="107" t="s">
        <v>21</v>
      </c>
      <c r="L61" s="107" t="str">
        <f>VLOOKUP(K61,LUTs!E$2:G$14,3,)</f>
        <v>08Thurston</v>
      </c>
      <c r="M61" s="107" t="str">
        <f>VLOOKUP($K61,LUTs!$E$2:$H$14,2,)</f>
        <v>South Puget Sound</v>
      </c>
      <c r="N61" s="107" t="str">
        <f>VLOOKUP($K61,LUTs!$E$2:$H$14,4,)</f>
        <v>02South Puget Sound</v>
      </c>
      <c r="O61" s="107">
        <v>3115.5775908358701</v>
      </c>
      <c r="P61" s="107">
        <v>3589.5760819760199</v>
      </c>
      <c r="Q61" s="107">
        <f t="shared" si="1"/>
        <v>3115.5775908358701</v>
      </c>
      <c r="R61" s="107">
        <f t="shared" si="2"/>
        <v>3589.5760819760199</v>
      </c>
      <c r="S61" s="140" t="str">
        <f t="shared" si="3"/>
        <v>Y</v>
      </c>
      <c r="T61" s="154">
        <f t="shared" si="4"/>
        <v>1.1521382399637115</v>
      </c>
      <c r="U61" s="154">
        <f t="shared" si="5"/>
        <v>1.1521382399637115</v>
      </c>
    </row>
    <row r="62" spans="1:21" x14ac:dyDescent="0.35">
      <c r="A62" s="107">
        <v>1821</v>
      </c>
      <c r="B62" s="107">
        <v>2014</v>
      </c>
      <c r="C62" s="107" t="s">
        <v>9</v>
      </c>
      <c r="D62" s="107" t="s">
        <v>132</v>
      </c>
      <c r="E62" s="107" t="s">
        <v>10</v>
      </c>
      <c r="F62" s="115">
        <v>5</v>
      </c>
      <c r="G62" s="107" t="s">
        <v>11</v>
      </c>
      <c r="H62" s="107" t="str">
        <f t="shared" si="0"/>
        <v>Area 5: W Juan de Fuca</v>
      </c>
      <c r="I62" s="107" t="str">
        <f>IFERROR(VLOOKUP(H62,LUTs!$A$1:$C$73,2,FALSE),"NA")</f>
        <v>NA</v>
      </c>
      <c r="J62" s="107" t="str">
        <f>IFERROR(VLOOKUP(H62,LUTs!$A$1:$C$73,3,FALSE),"NA")</f>
        <v>0Strait of Juan de Fuca</v>
      </c>
      <c r="K62" s="107" t="s">
        <v>13</v>
      </c>
      <c r="L62" s="107" t="str">
        <f>VLOOKUP(K62,LUTs!E$2:G$14,3,)</f>
        <v>01Whatcom</v>
      </c>
      <c r="M62" s="107" t="str">
        <f>VLOOKUP($K62,LUTs!$E$2:$H$14,2,)</f>
        <v>North Puget Sound</v>
      </c>
      <c r="N62" s="107" t="str">
        <f>VLOOKUP($K62,LUTs!$E$2:$H$14,4,)</f>
        <v>01North Puget Sound</v>
      </c>
      <c r="O62" s="107">
        <v>1060.6221585824201</v>
      </c>
      <c r="P62" s="107">
        <v>1221.98334705567</v>
      </c>
      <c r="Q62" s="107">
        <f t="shared" si="1"/>
        <v>1060.6221585824201</v>
      </c>
      <c r="R62" s="107">
        <f t="shared" si="2"/>
        <v>1221.98334705567</v>
      </c>
      <c r="S62" s="140" t="str">
        <f t="shared" si="3"/>
        <v>Y</v>
      </c>
      <c r="T62" s="154">
        <f t="shared" si="4"/>
        <v>1.152138239963719</v>
      </c>
      <c r="U62" s="154">
        <f t="shared" si="5"/>
        <v>1.152138239963719</v>
      </c>
    </row>
    <row r="63" spans="1:21" x14ac:dyDescent="0.35">
      <c r="A63" s="107">
        <v>2140</v>
      </c>
      <c r="B63" s="107">
        <v>2015</v>
      </c>
      <c r="C63" s="107" t="s">
        <v>9</v>
      </c>
      <c r="D63" s="107" t="s">
        <v>132</v>
      </c>
      <c r="E63" s="107" t="s">
        <v>10</v>
      </c>
      <c r="F63" s="115">
        <v>5</v>
      </c>
      <c r="G63" s="107" t="s">
        <v>11</v>
      </c>
      <c r="H63" s="107" t="str">
        <f t="shared" si="0"/>
        <v>Area 5: W Juan de Fuca</v>
      </c>
      <c r="I63" s="107" t="str">
        <f>IFERROR(VLOOKUP(H63,LUTs!$A$1:$C$73,2,FALSE),"NA")</f>
        <v>NA</v>
      </c>
      <c r="J63" s="107" t="str">
        <f>IFERROR(VLOOKUP(H63,LUTs!$A$1:$C$73,3,FALSE),"NA")</f>
        <v>0Strait of Juan de Fuca</v>
      </c>
      <c r="K63" s="107" t="s">
        <v>24</v>
      </c>
      <c r="L63" s="107" t="str">
        <f>VLOOKUP(K63,LUTs!E$2:G$14,3,)</f>
        <v>11Clallam</v>
      </c>
      <c r="M63" s="107" t="str">
        <f>VLOOKUP($K63,LUTs!$E$2:$H$14,2,)</f>
        <v>Strait of Juan de Fuca</v>
      </c>
      <c r="N63" s="107" t="str">
        <f>VLOOKUP($K63,LUTs!$E$2:$H$14,4,)</f>
        <v>03Strait of Juan de Fuca</v>
      </c>
      <c r="O63" s="107">
        <v>7284.3055703482796</v>
      </c>
      <c r="P63" s="107">
        <v>5243.5305304079302</v>
      </c>
      <c r="Q63" s="107">
        <f t="shared" si="1"/>
        <v>7284.3055703482796</v>
      </c>
      <c r="R63" s="107">
        <f t="shared" si="2"/>
        <v>5243.5305304079302</v>
      </c>
      <c r="S63" s="140" t="str">
        <f t="shared" si="3"/>
        <v>Y</v>
      </c>
      <c r="T63" s="154">
        <f t="shared" si="4"/>
        <v>0.71983945206148525</v>
      </c>
      <c r="U63" s="154">
        <f t="shared" si="5"/>
        <v>0.71983945206148525</v>
      </c>
    </row>
    <row r="64" spans="1:21" x14ac:dyDescent="0.35">
      <c r="A64" s="107">
        <v>2124</v>
      </c>
      <c r="B64" s="107">
        <v>2015</v>
      </c>
      <c r="C64" s="107" t="s">
        <v>9</v>
      </c>
      <c r="D64" s="107" t="s">
        <v>132</v>
      </c>
      <c r="E64" s="107" t="s">
        <v>10</v>
      </c>
      <c r="F64" s="115">
        <v>5</v>
      </c>
      <c r="G64" s="107" t="s">
        <v>11</v>
      </c>
      <c r="H64" s="107" t="str">
        <f t="shared" si="0"/>
        <v>Area 5: W Juan de Fuca</v>
      </c>
      <c r="I64" s="107" t="str">
        <f>IFERROR(VLOOKUP(H64,LUTs!$A$1:$C$73,2,FALSE),"NA")</f>
        <v>NA</v>
      </c>
      <c r="J64" s="107" t="str">
        <f>IFERROR(VLOOKUP(H64,LUTs!$A$1:$C$73,3,FALSE),"NA")</f>
        <v>0Strait of Juan de Fuca</v>
      </c>
      <c r="K64" s="107" t="s">
        <v>17</v>
      </c>
      <c r="L64" s="107" t="str">
        <f>VLOOKUP(K64,LUTs!E$2:G$14,3,)</f>
        <v>04Island</v>
      </c>
      <c r="M64" s="107" t="str">
        <f>VLOOKUP($K64,LUTs!$E$2:$H$14,2,)</f>
        <v>North Puget Sound</v>
      </c>
      <c r="N64" s="107" t="str">
        <f>VLOOKUP($K64,LUTs!$E$2:$H$14,4,)</f>
        <v>01North Puget Sound</v>
      </c>
      <c r="O64" s="107">
        <v>1116.6360634785401</v>
      </c>
      <c r="P64" s="107">
        <v>803.79869208648404</v>
      </c>
      <c r="Q64" s="107">
        <f t="shared" si="1"/>
        <v>1116.6360634785401</v>
      </c>
      <c r="R64" s="107">
        <f t="shared" si="2"/>
        <v>803.79869208648404</v>
      </c>
      <c r="S64" s="140" t="str">
        <f t="shared" si="3"/>
        <v>Y</v>
      </c>
      <c r="T64" s="154">
        <f t="shared" si="4"/>
        <v>0.71983945206148336</v>
      </c>
      <c r="U64" s="154">
        <f t="shared" si="5"/>
        <v>0.71983945206148336</v>
      </c>
    </row>
    <row r="65" spans="1:21" x14ac:dyDescent="0.35">
      <c r="A65" s="107">
        <v>2141</v>
      </c>
      <c r="B65" s="107">
        <v>2015</v>
      </c>
      <c r="C65" s="107" t="s">
        <v>9</v>
      </c>
      <c r="D65" s="107" t="s">
        <v>132</v>
      </c>
      <c r="E65" s="107" t="s">
        <v>10</v>
      </c>
      <c r="F65" s="115">
        <v>5</v>
      </c>
      <c r="G65" s="107" t="s">
        <v>11</v>
      </c>
      <c r="H65" s="107" t="str">
        <f t="shared" si="0"/>
        <v>Area 5: W Juan de Fuca</v>
      </c>
      <c r="I65" s="107" t="str">
        <f>IFERROR(VLOOKUP(H65,LUTs!$A$1:$C$73,2,FALSE),"NA")</f>
        <v>NA</v>
      </c>
      <c r="J65" s="107" t="str">
        <f>IFERROR(VLOOKUP(H65,LUTs!$A$1:$C$73,3,FALSE),"NA")</f>
        <v>0Strait of Juan de Fuca</v>
      </c>
      <c r="K65" s="107" t="s">
        <v>25</v>
      </c>
      <c r="L65" s="107" t="str">
        <f>VLOOKUP(K65,LUTs!E$2:G$14,3,)</f>
        <v>12Jefferson</v>
      </c>
      <c r="M65" s="107" t="str">
        <f>VLOOKUP($K65,LUTs!$E$2:$H$14,2,)</f>
        <v>Strait of Juan de Fuca</v>
      </c>
      <c r="N65" s="107" t="str">
        <f>VLOOKUP($K65,LUTs!$E$2:$H$14,4,)</f>
        <v>03Strait of Juan de Fuca</v>
      </c>
      <c r="O65" s="107">
        <v>1613.8880604963299</v>
      </c>
      <c r="P65" s="107">
        <v>1161.7402971562501</v>
      </c>
      <c r="Q65" s="107">
        <f t="shared" si="1"/>
        <v>1613.8880604963299</v>
      </c>
      <c r="R65" s="107">
        <f t="shared" si="2"/>
        <v>1161.7402971562501</v>
      </c>
      <c r="S65" s="140" t="str">
        <f t="shared" si="3"/>
        <v>Y</v>
      </c>
      <c r="T65" s="154">
        <f t="shared" si="4"/>
        <v>0.71983945206148447</v>
      </c>
      <c r="U65" s="154">
        <f t="shared" si="5"/>
        <v>0.71983945206148447</v>
      </c>
    </row>
    <row r="66" spans="1:21" x14ac:dyDescent="0.35">
      <c r="A66" s="107">
        <v>2125</v>
      </c>
      <c r="B66" s="107">
        <v>2015</v>
      </c>
      <c r="C66" s="107" t="s">
        <v>9</v>
      </c>
      <c r="D66" s="107" t="s">
        <v>132</v>
      </c>
      <c r="E66" s="107" t="s">
        <v>10</v>
      </c>
      <c r="F66" s="115">
        <v>5</v>
      </c>
      <c r="G66" s="107" t="s">
        <v>11</v>
      </c>
      <c r="H66" s="107" t="str">
        <f t="shared" ref="H66:H129" si="6">G66</f>
        <v>Area 5: W Juan de Fuca</v>
      </c>
      <c r="I66" s="107" t="str">
        <f>IFERROR(VLOOKUP(H66,LUTs!$A$1:$C$73,2,FALSE),"NA")</f>
        <v>NA</v>
      </c>
      <c r="J66" s="107" t="str">
        <f>IFERROR(VLOOKUP(H66,LUTs!$A$1:$C$73,3,FALSE),"NA")</f>
        <v>0Strait of Juan de Fuca</v>
      </c>
      <c r="K66" s="107" t="s">
        <v>18</v>
      </c>
      <c r="L66" s="107" t="str">
        <f>VLOOKUP(K66,LUTs!E$2:G$14,3,)</f>
        <v>06King</v>
      </c>
      <c r="M66" s="107" t="str">
        <f>VLOOKUP($K66,LUTs!$E$2:$H$14,2,)</f>
        <v>South Puget Sound</v>
      </c>
      <c r="N66" s="107" t="str">
        <f>VLOOKUP($K66,LUTs!$E$2:$H$14,4,)</f>
        <v>02South Puget Sound</v>
      </c>
      <c r="O66" s="107">
        <v>12719.1826605602</v>
      </c>
      <c r="P66" s="107">
        <v>9155.7694770476101</v>
      </c>
      <c r="Q66" s="107">
        <f t="shared" ref="Q66:Q129" si="7">O66</f>
        <v>12719.1826605602</v>
      </c>
      <c r="R66" s="107">
        <f t="shared" ref="R66:R129" si="8">P66</f>
        <v>9155.7694770476101</v>
      </c>
      <c r="S66" s="140" t="str">
        <f t="shared" si="3"/>
        <v>Y</v>
      </c>
      <c r="T66" s="154">
        <f t="shared" si="4"/>
        <v>0.71983945206148614</v>
      </c>
      <c r="U66" s="154">
        <f t="shared" si="5"/>
        <v>0.71983945206148614</v>
      </c>
    </row>
    <row r="67" spans="1:21" x14ac:dyDescent="0.35">
      <c r="A67" s="107">
        <v>2129</v>
      </c>
      <c r="B67" s="107">
        <v>2015</v>
      </c>
      <c r="C67" s="107" t="s">
        <v>9</v>
      </c>
      <c r="D67" s="107" t="s">
        <v>132</v>
      </c>
      <c r="E67" s="107" t="s">
        <v>10</v>
      </c>
      <c r="F67" s="115">
        <v>5</v>
      </c>
      <c r="G67" s="107" t="s">
        <v>11</v>
      </c>
      <c r="H67" s="107" t="str">
        <f t="shared" si="6"/>
        <v>Area 5: W Juan de Fuca</v>
      </c>
      <c r="I67" s="107" t="str">
        <f>IFERROR(VLOOKUP(H67,LUTs!$A$1:$C$73,2,FALSE),"NA")</f>
        <v>NA</v>
      </c>
      <c r="J67" s="107" t="str">
        <f>IFERROR(VLOOKUP(H67,LUTs!$A$1:$C$73,3,FALSE),"NA")</f>
        <v>0Strait of Juan de Fuca</v>
      </c>
      <c r="K67" s="107" t="s">
        <v>23</v>
      </c>
      <c r="L67" s="107" t="str">
        <f>VLOOKUP(K67,LUTs!E$2:G$14,3,)</f>
        <v>10Kitsap</v>
      </c>
      <c r="M67" s="107" t="str">
        <f>VLOOKUP($K67,LUTs!$E$2:$H$14,2,)</f>
        <v>South Puget Sound</v>
      </c>
      <c r="N67" s="107" t="str">
        <f>VLOOKUP($K67,LUTs!$E$2:$H$14,4,)</f>
        <v>02South Puget Sound</v>
      </c>
      <c r="O67" s="107">
        <v>8645.2057727127503</v>
      </c>
      <c r="P67" s="107">
        <v>6223.1601863883297</v>
      </c>
      <c r="Q67" s="107">
        <f t="shared" si="7"/>
        <v>8645.2057727127503</v>
      </c>
      <c r="R67" s="107">
        <f t="shared" si="8"/>
        <v>6223.1601863883297</v>
      </c>
      <c r="S67" s="140" t="str">
        <f t="shared" ref="S67:S130" si="9">IF(B67&lt;=2019,"Y","N")</f>
        <v>Y</v>
      </c>
      <c r="T67" s="154">
        <f t="shared" ref="T67:T130" si="10">IFERROR(P67/O67,"NA")</f>
        <v>0.71983945206148459</v>
      </c>
      <c r="U67" s="154">
        <f t="shared" ref="U67:U130" si="11">IFERROR(R67/Q67,"NA")</f>
        <v>0.71983945206148459</v>
      </c>
    </row>
    <row r="68" spans="1:21" x14ac:dyDescent="0.35">
      <c r="A68" s="107">
        <v>2128</v>
      </c>
      <c r="B68" s="107">
        <v>2015</v>
      </c>
      <c r="C68" s="107" t="s">
        <v>9</v>
      </c>
      <c r="D68" s="107" t="s">
        <v>132</v>
      </c>
      <c r="E68" s="107" t="s">
        <v>10</v>
      </c>
      <c r="F68" s="115">
        <v>5</v>
      </c>
      <c r="G68" s="107" t="s">
        <v>11</v>
      </c>
      <c r="H68" s="107" t="str">
        <f t="shared" si="6"/>
        <v>Area 5: W Juan de Fuca</v>
      </c>
      <c r="I68" s="107" t="str">
        <f>IFERROR(VLOOKUP(H68,LUTs!$A$1:$C$73,2,FALSE),"NA")</f>
        <v>NA</v>
      </c>
      <c r="J68" s="107" t="str">
        <f>IFERROR(VLOOKUP(H68,LUTs!$A$1:$C$73,3,FALSE),"NA")</f>
        <v>0Strait of Juan de Fuca</v>
      </c>
      <c r="K68" s="107" t="s">
        <v>22</v>
      </c>
      <c r="L68" s="107" t="str">
        <f>VLOOKUP(K68,LUTs!E$2:G$14,3,)</f>
        <v>09Mason</v>
      </c>
      <c r="M68" s="107" t="str">
        <f>VLOOKUP($K68,LUTs!$E$2:$H$14,2,)</f>
        <v>South Puget Sound</v>
      </c>
      <c r="N68" s="107" t="str">
        <f>VLOOKUP($K68,LUTs!$E$2:$H$14,4,)</f>
        <v>02South Puget Sound</v>
      </c>
      <c r="O68" s="107">
        <v>3541.8300138459899</v>
      </c>
      <c r="P68" s="107">
        <v>2549.5489764618201</v>
      </c>
      <c r="Q68" s="107">
        <f t="shared" si="7"/>
        <v>3541.8300138459899</v>
      </c>
      <c r="R68" s="107">
        <f t="shared" si="8"/>
        <v>2549.5489764618201</v>
      </c>
      <c r="S68" s="140" t="str">
        <f t="shared" si="9"/>
        <v>Y</v>
      </c>
      <c r="T68" s="154">
        <f t="shared" si="10"/>
        <v>0.71983945206148525</v>
      </c>
      <c r="U68" s="154">
        <f t="shared" si="11"/>
        <v>0.71983945206148525</v>
      </c>
    </row>
    <row r="69" spans="1:21" x14ac:dyDescent="0.35">
      <c r="A69" s="107">
        <v>2142</v>
      </c>
      <c r="B69" s="107">
        <v>2015</v>
      </c>
      <c r="C69" s="107" t="s">
        <v>9</v>
      </c>
      <c r="D69" s="107" t="s">
        <v>132</v>
      </c>
      <c r="E69" s="107" t="s">
        <v>10</v>
      </c>
      <c r="F69" s="115">
        <v>5</v>
      </c>
      <c r="G69" s="107" t="s">
        <v>11</v>
      </c>
      <c r="H69" s="107" t="str">
        <f t="shared" si="6"/>
        <v>Area 5: W Juan de Fuca</v>
      </c>
      <c r="I69" s="107" t="str">
        <f>IFERROR(VLOOKUP(H69,LUTs!$A$1:$C$73,2,FALSE),"NA")</f>
        <v>NA</v>
      </c>
      <c r="J69" s="107" t="str">
        <f>IFERROR(VLOOKUP(H69,LUTs!$A$1:$C$73,3,FALSE),"NA")</f>
        <v>0Strait of Juan de Fuca</v>
      </c>
      <c r="K69" s="107" t="s">
        <v>26</v>
      </c>
      <c r="L69" s="107" t="str">
        <f>VLOOKUP(K69,LUTs!E$2:G$14,3,)</f>
        <v>20Other</v>
      </c>
      <c r="M69" s="107" t="str">
        <f>VLOOKUP($K69,LUTs!$E$2:$H$14,2,)</f>
        <v>Non Puget Sound</v>
      </c>
      <c r="N69" s="107" t="str">
        <f>VLOOKUP($K69,LUTs!$E$2:$H$14,4,)</f>
        <v>07Non Puget Sound</v>
      </c>
      <c r="O69" s="107">
        <v>23065.513686228602</v>
      </c>
      <c r="P69" s="107">
        <v>16603.466733411398</v>
      </c>
      <c r="Q69" s="107">
        <f t="shared" si="7"/>
        <v>23065.513686228602</v>
      </c>
      <c r="R69" s="107">
        <f t="shared" si="8"/>
        <v>16603.466733411398</v>
      </c>
      <c r="S69" s="140" t="str">
        <f t="shared" si="9"/>
        <v>Y</v>
      </c>
      <c r="T69" s="154">
        <f t="shared" si="10"/>
        <v>0.71983945206148148</v>
      </c>
      <c r="U69" s="154">
        <f t="shared" si="11"/>
        <v>0.71983945206148148</v>
      </c>
    </row>
    <row r="70" spans="1:21" x14ac:dyDescent="0.35">
      <c r="A70" s="107">
        <v>2126</v>
      </c>
      <c r="B70" s="107">
        <v>2015</v>
      </c>
      <c r="C70" s="107" t="s">
        <v>9</v>
      </c>
      <c r="D70" s="107" t="s">
        <v>132</v>
      </c>
      <c r="E70" s="107" t="s">
        <v>10</v>
      </c>
      <c r="F70" s="115">
        <v>5</v>
      </c>
      <c r="G70" s="107" t="s">
        <v>11</v>
      </c>
      <c r="H70" s="107" t="str">
        <f t="shared" si="6"/>
        <v>Area 5: W Juan de Fuca</v>
      </c>
      <c r="I70" s="107" t="str">
        <f>IFERROR(VLOOKUP(H70,LUTs!$A$1:$C$73,2,FALSE),"NA")</f>
        <v>NA</v>
      </c>
      <c r="J70" s="107" t="str">
        <f>IFERROR(VLOOKUP(H70,LUTs!$A$1:$C$73,3,FALSE),"NA")</f>
        <v>0Strait of Juan de Fuca</v>
      </c>
      <c r="K70" s="107" t="s">
        <v>20</v>
      </c>
      <c r="L70" s="107" t="str">
        <f>VLOOKUP(K70,LUTs!E$2:G$14,3,)</f>
        <v>07Pierce</v>
      </c>
      <c r="M70" s="107" t="str">
        <f>VLOOKUP($K70,LUTs!$E$2:$H$14,2,)</f>
        <v>South Puget Sound</v>
      </c>
      <c r="N70" s="107" t="str">
        <f>VLOOKUP($K70,LUTs!$E$2:$H$14,4,)</f>
        <v>02South Puget Sound</v>
      </c>
      <c r="O70" s="107">
        <v>12631.945468100999</v>
      </c>
      <c r="P70" s="107">
        <v>9092.9727042283594</v>
      </c>
      <c r="Q70" s="107">
        <f t="shared" si="7"/>
        <v>12631.945468100999</v>
      </c>
      <c r="R70" s="107">
        <f t="shared" si="8"/>
        <v>9092.9727042283594</v>
      </c>
      <c r="S70" s="140" t="str">
        <f t="shared" si="9"/>
        <v>Y</v>
      </c>
      <c r="T70" s="154">
        <f t="shared" si="10"/>
        <v>0.71983945206148325</v>
      </c>
      <c r="U70" s="154">
        <f t="shared" si="11"/>
        <v>0.71983945206148325</v>
      </c>
    </row>
    <row r="71" spans="1:21" x14ac:dyDescent="0.35">
      <c r="A71" s="107">
        <v>2004</v>
      </c>
      <c r="B71" s="107">
        <v>2015</v>
      </c>
      <c r="C71" s="107" t="s">
        <v>9</v>
      </c>
      <c r="D71" s="107" t="s">
        <v>132</v>
      </c>
      <c r="E71" s="107" t="s">
        <v>10</v>
      </c>
      <c r="F71" s="115">
        <v>5</v>
      </c>
      <c r="G71" s="107" t="s">
        <v>11</v>
      </c>
      <c r="H71" s="107" t="str">
        <f t="shared" si="6"/>
        <v>Area 5: W Juan de Fuca</v>
      </c>
      <c r="I71" s="107" t="str">
        <f>IFERROR(VLOOKUP(H71,LUTs!$A$1:$C$73,2,FALSE),"NA")</f>
        <v>NA</v>
      </c>
      <c r="J71" s="107" t="str">
        <f>IFERROR(VLOOKUP(H71,LUTs!$A$1:$C$73,3,FALSE),"NA")</f>
        <v>0Strait of Juan de Fuca</v>
      </c>
      <c r="K71" s="107" t="s">
        <v>15</v>
      </c>
      <c r="L71" s="107" t="str">
        <f>VLOOKUP(K71,LUTs!E$2:G$14,3,)</f>
        <v>02Skagit</v>
      </c>
      <c r="M71" s="107" t="str">
        <f>VLOOKUP($K71,LUTs!$E$2:$H$14,2,)</f>
        <v>North Puget Sound</v>
      </c>
      <c r="N71" s="107" t="str">
        <f>VLOOKUP($K71,LUTs!$E$2:$H$14,4,)</f>
        <v>01North Puget Sound</v>
      </c>
      <c r="O71" s="107">
        <v>549.59431249334295</v>
      </c>
      <c r="P71" s="107">
        <v>395.61966876131697</v>
      </c>
      <c r="Q71" s="107">
        <f t="shared" si="7"/>
        <v>549.59431249334295</v>
      </c>
      <c r="R71" s="107">
        <f t="shared" si="8"/>
        <v>395.61966876131697</v>
      </c>
      <c r="S71" s="140" t="str">
        <f t="shared" si="9"/>
        <v>Y</v>
      </c>
      <c r="T71" s="154">
        <f t="shared" si="10"/>
        <v>0.71983945206148581</v>
      </c>
      <c r="U71" s="154">
        <f t="shared" si="11"/>
        <v>0.71983945206148581</v>
      </c>
    </row>
    <row r="72" spans="1:21" x14ac:dyDescent="0.35">
      <c r="A72" s="107">
        <v>2123</v>
      </c>
      <c r="B72" s="107">
        <v>2015</v>
      </c>
      <c r="C72" s="107" t="s">
        <v>9</v>
      </c>
      <c r="D72" s="107" t="s">
        <v>132</v>
      </c>
      <c r="E72" s="107" t="s">
        <v>10</v>
      </c>
      <c r="F72" s="115">
        <v>5</v>
      </c>
      <c r="G72" s="107" t="s">
        <v>11</v>
      </c>
      <c r="H72" s="107" t="str">
        <f t="shared" si="6"/>
        <v>Area 5: W Juan de Fuca</v>
      </c>
      <c r="I72" s="107" t="str">
        <f>IFERROR(VLOOKUP(H72,LUTs!$A$1:$C$73,2,FALSE),"NA")</f>
        <v>NA</v>
      </c>
      <c r="J72" s="107" t="str">
        <f>IFERROR(VLOOKUP(H72,LUTs!$A$1:$C$73,3,FALSE),"NA")</f>
        <v>0Strait of Juan de Fuca</v>
      </c>
      <c r="K72" s="107" t="s">
        <v>16</v>
      </c>
      <c r="L72" s="107" t="str">
        <f>VLOOKUP(K72,LUTs!E$2:G$14,3,)</f>
        <v>03Snohomish</v>
      </c>
      <c r="M72" s="107" t="str">
        <f>VLOOKUP($K72,LUTs!$E$2:$H$14,2,)</f>
        <v>North Puget Sound</v>
      </c>
      <c r="N72" s="107" t="str">
        <f>VLOOKUP($K72,LUTs!$E$2:$H$14,4,)</f>
        <v>01North Puget Sound</v>
      </c>
      <c r="O72" s="107">
        <v>5094.6520396208298</v>
      </c>
      <c r="P72" s="107">
        <v>3667.33153264459</v>
      </c>
      <c r="Q72" s="107">
        <f t="shared" si="7"/>
        <v>5094.6520396208298</v>
      </c>
      <c r="R72" s="107">
        <f t="shared" si="8"/>
        <v>3667.33153264459</v>
      </c>
      <c r="S72" s="140" t="str">
        <f t="shared" si="9"/>
        <v>Y</v>
      </c>
      <c r="T72" s="154">
        <f t="shared" si="10"/>
        <v>0.71983945206148592</v>
      </c>
      <c r="U72" s="154">
        <f t="shared" si="11"/>
        <v>0.71983945206148592</v>
      </c>
    </row>
    <row r="73" spans="1:21" x14ac:dyDescent="0.35">
      <c r="A73" s="107">
        <v>2127</v>
      </c>
      <c r="B73" s="107">
        <v>2015</v>
      </c>
      <c r="C73" s="107" t="s">
        <v>9</v>
      </c>
      <c r="D73" s="107" t="s">
        <v>132</v>
      </c>
      <c r="E73" s="107" t="s">
        <v>10</v>
      </c>
      <c r="F73" s="115">
        <v>5</v>
      </c>
      <c r="G73" s="107" t="s">
        <v>11</v>
      </c>
      <c r="H73" s="107" t="str">
        <f t="shared" si="6"/>
        <v>Area 5: W Juan de Fuca</v>
      </c>
      <c r="I73" s="107" t="str">
        <f>IFERROR(VLOOKUP(H73,LUTs!$A$1:$C$73,2,FALSE),"NA")</f>
        <v>NA</v>
      </c>
      <c r="J73" s="107" t="str">
        <f>IFERROR(VLOOKUP(H73,LUTs!$A$1:$C$73,3,FALSE),"NA")</f>
        <v>0Strait of Juan de Fuca</v>
      </c>
      <c r="K73" s="107" t="s">
        <v>21</v>
      </c>
      <c r="L73" s="107" t="str">
        <f>VLOOKUP(K73,LUTs!E$2:G$14,3,)</f>
        <v>08Thurston</v>
      </c>
      <c r="M73" s="107" t="str">
        <f>VLOOKUP($K73,LUTs!$E$2:$H$14,2,)</f>
        <v>South Puget Sound</v>
      </c>
      <c r="N73" s="107" t="str">
        <f>VLOOKUP($K73,LUTs!$E$2:$H$14,4,)</f>
        <v>02South Puget Sound</v>
      </c>
      <c r="O73" s="107">
        <v>4998.6911279156502</v>
      </c>
      <c r="P73" s="107">
        <v>3598.2550825434</v>
      </c>
      <c r="Q73" s="107">
        <f t="shared" si="7"/>
        <v>4998.6911279156502</v>
      </c>
      <c r="R73" s="107">
        <f t="shared" si="8"/>
        <v>3598.2550825434</v>
      </c>
      <c r="S73" s="140" t="str">
        <f t="shared" si="9"/>
        <v>Y</v>
      </c>
      <c r="T73" s="154">
        <f t="shared" si="10"/>
        <v>0.71983945206148336</v>
      </c>
      <c r="U73" s="154">
        <f t="shared" si="11"/>
        <v>0.71983945206148336</v>
      </c>
    </row>
    <row r="74" spans="1:21" x14ac:dyDescent="0.35">
      <c r="A74" s="107">
        <v>2003</v>
      </c>
      <c r="B74" s="107">
        <v>2015</v>
      </c>
      <c r="C74" s="107" t="s">
        <v>9</v>
      </c>
      <c r="D74" s="107" t="s">
        <v>132</v>
      </c>
      <c r="E74" s="107" t="s">
        <v>10</v>
      </c>
      <c r="F74" s="115">
        <v>5</v>
      </c>
      <c r="G74" s="107" t="s">
        <v>11</v>
      </c>
      <c r="H74" s="107" t="str">
        <f t="shared" si="6"/>
        <v>Area 5: W Juan de Fuca</v>
      </c>
      <c r="I74" s="107" t="str">
        <f>IFERROR(VLOOKUP(H74,LUTs!$A$1:$C$73,2,FALSE),"NA")</f>
        <v>NA</v>
      </c>
      <c r="J74" s="107" t="str">
        <f>IFERROR(VLOOKUP(H74,LUTs!$A$1:$C$73,3,FALSE),"NA")</f>
        <v>0Strait of Juan de Fuca</v>
      </c>
      <c r="K74" s="107" t="s">
        <v>13</v>
      </c>
      <c r="L74" s="107" t="str">
        <f>VLOOKUP(K74,LUTs!E$2:G$14,3,)</f>
        <v>01Whatcom</v>
      </c>
      <c r="M74" s="107" t="str">
        <f>VLOOKUP($K74,LUTs!$E$2:$H$14,2,)</f>
        <v>North Puget Sound</v>
      </c>
      <c r="N74" s="107" t="str">
        <f>VLOOKUP($K74,LUTs!$E$2:$H$14,4,)</f>
        <v>01North Puget Sound</v>
      </c>
      <c r="O74" s="107">
        <v>645.55522419853003</v>
      </c>
      <c r="P74" s="107">
        <v>464.69611886249902</v>
      </c>
      <c r="Q74" s="107">
        <f t="shared" si="7"/>
        <v>645.55522419853003</v>
      </c>
      <c r="R74" s="107">
        <f t="shared" si="8"/>
        <v>464.69611886249902</v>
      </c>
      <c r="S74" s="140" t="str">
        <f t="shared" si="9"/>
        <v>Y</v>
      </c>
      <c r="T74" s="154">
        <f t="shared" si="10"/>
        <v>0.71983945206148514</v>
      </c>
      <c r="U74" s="154">
        <f t="shared" si="11"/>
        <v>0.71983945206148514</v>
      </c>
    </row>
    <row r="75" spans="1:21" x14ac:dyDescent="0.35">
      <c r="A75" s="107">
        <v>2393</v>
      </c>
      <c r="B75" s="107">
        <v>2016</v>
      </c>
      <c r="C75" s="107" t="s">
        <v>9</v>
      </c>
      <c r="D75" s="107" t="s">
        <v>132</v>
      </c>
      <c r="E75" s="107" t="s">
        <v>10</v>
      </c>
      <c r="F75" s="115">
        <v>5</v>
      </c>
      <c r="G75" s="107" t="s">
        <v>11</v>
      </c>
      <c r="H75" s="107" t="str">
        <f t="shared" si="6"/>
        <v>Area 5: W Juan de Fuca</v>
      </c>
      <c r="I75" s="107" t="str">
        <f>IFERROR(VLOOKUP(H75,LUTs!$A$1:$C$73,2,FALSE),"NA")</f>
        <v>NA</v>
      </c>
      <c r="J75" s="107" t="str">
        <f>IFERROR(VLOOKUP(H75,LUTs!$A$1:$C$73,3,FALSE),"NA")</f>
        <v>0Strait of Juan de Fuca</v>
      </c>
      <c r="K75" s="107" t="s">
        <v>24</v>
      </c>
      <c r="L75" s="107" t="str">
        <f>VLOOKUP(K75,LUTs!E$2:G$14,3,)</f>
        <v>11Clallam</v>
      </c>
      <c r="M75" s="107" t="str">
        <f>VLOOKUP($K75,LUTs!$E$2:$H$14,2,)</f>
        <v>Strait of Juan de Fuca</v>
      </c>
      <c r="N75" s="107" t="str">
        <f>VLOOKUP($K75,LUTs!$E$2:$H$14,4,)</f>
        <v>03Strait of Juan de Fuca</v>
      </c>
      <c r="O75" s="107">
        <v>536.48874598070802</v>
      </c>
      <c r="P75" s="107">
        <v>2081.93450160772</v>
      </c>
      <c r="Q75" s="107">
        <f t="shared" si="7"/>
        <v>536.48874598070802</v>
      </c>
      <c r="R75" s="107">
        <f t="shared" si="8"/>
        <v>2081.93450160772</v>
      </c>
      <c r="S75" s="140" t="str">
        <f t="shared" si="9"/>
        <v>Y</v>
      </c>
      <c r="T75" s="154">
        <f t="shared" si="10"/>
        <v>3.8806676136363647</v>
      </c>
      <c r="U75" s="154">
        <f t="shared" si="11"/>
        <v>3.8806676136363647</v>
      </c>
    </row>
    <row r="76" spans="1:21" x14ac:dyDescent="0.35">
      <c r="A76" s="107">
        <v>2377</v>
      </c>
      <c r="B76" s="107">
        <v>2016</v>
      </c>
      <c r="C76" s="107" t="s">
        <v>9</v>
      </c>
      <c r="D76" s="107" t="s">
        <v>132</v>
      </c>
      <c r="E76" s="107" t="s">
        <v>10</v>
      </c>
      <c r="F76" s="115">
        <v>5</v>
      </c>
      <c r="G76" s="107" t="s">
        <v>11</v>
      </c>
      <c r="H76" s="107" t="str">
        <f t="shared" si="6"/>
        <v>Area 5: W Juan de Fuca</v>
      </c>
      <c r="I76" s="107" t="str">
        <f>IFERROR(VLOOKUP(H76,LUTs!$A$1:$C$73,2,FALSE),"NA")</f>
        <v>NA</v>
      </c>
      <c r="J76" s="107" t="str">
        <f>IFERROR(VLOOKUP(H76,LUTs!$A$1:$C$73,3,FALSE),"NA")</f>
        <v>0Strait of Juan de Fuca</v>
      </c>
      <c r="K76" s="107" t="s">
        <v>17</v>
      </c>
      <c r="L76" s="107" t="str">
        <f>VLOOKUP(K76,LUTs!E$2:G$14,3,)</f>
        <v>04Island</v>
      </c>
      <c r="M76" s="107" t="str">
        <f>VLOOKUP($K76,LUTs!$E$2:$H$14,2,)</f>
        <v>North Puget Sound</v>
      </c>
      <c r="N76" s="107" t="str">
        <f>VLOOKUP($K76,LUTs!$E$2:$H$14,4,)</f>
        <v>01North Puget Sound</v>
      </c>
      <c r="O76" s="107">
        <v>20.372990353697801</v>
      </c>
      <c r="P76" s="107">
        <v>79.060803858520899</v>
      </c>
      <c r="Q76" s="107">
        <f t="shared" si="7"/>
        <v>20.372990353697801</v>
      </c>
      <c r="R76" s="107">
        <f t="shared" si="8"/>
        <v>79.060803858520899</v>
      </c>
      <c r="S76" s="140" t="str">
        <f t="shared" si="9"/>
        <v>Y</v>
      </c>
      <c r="T76" s="154">
        <f t="shared" si="10"/>
        <v>3.8806676136363536</v>
      </c>
      <c r="U76" s="154">
        <f t="shared" si="11"/>
        <v>3.8806676136363536</v>
      </c>
    </row>
    <row r="77" spans="1:21" x14ac:dyDescent="0.35">
      <c r="A77" s="107">
        <v>2394</v>
      </c>
      <c r="B77" s="107">
        <v>2016</v>
      </c>
      <c r="C77" s="107" t="s">
        <v>9</v>
      </c>
      <c r="D77" s="107" t="s">
        <v>132</v>
      </c>
      <c r="E77" s="107" t="s">
        <v>10</v>
      </c>
      <c r="F77" s="115">
        <v>5</v>
      </c>
      <c r="G77" s="107" t="s">
        <v>11</v>
      </c>
      <c r="H77" s="107" t="str">
        <f t="shared" si="6"/>
        <v>Area 5: W Juan de Fuca</v>
      </c>
      <c r="I77" s="107" t="str">
        <f>IFERROR(VLOOKUP(H77,LUTs!$A$1:$C$73,2,FALSE),"NA")</f>
        <v>NA</v>
      </c>
      <c r="J77" s="107" t="str">
        <f>IFERROR(VLOOKUP(H77,LUTs!$A$1:$C$73,3,FALSE),"NA")</f>
        <v>0Strait of Juan de Fuca</v>
      </c>
      <c r="K77" s="107" t="s">
        <v>25</v>
      </c>
      <c r="L77" s="107" t="str">
        <f>VLOOKUP(K77,LUTs!E$2:G$14,3,)</f>
        <v>12Jefferson</v>
      </c>
      <c r="M77" s="107" t="str">
        <f>VLOOKUP($K77,LUTs!$E$2:$H$14,2,)</f>
        <v>Strait of Juan de Fuca</v>
      </c>
      <c r="N77" s="107" t="str">
        <f>VLOOKUP($K77,LUTs!$E$2:$H$14,4,)</f>
        <v>03Strait of Juan de Fuca</v>
      </c>
      <c r="O77" s="107">
        <v>203.72990353697799</v>
      </c>
      <c r="P77" s="107">
        <v>790.60803858520899</v>
      </c>
      <c r="Q77" s="107">
        <f t="shared" si="7"/>
        <v>203.72990353697799</v>
      </c>
      <c r="R77" s="107">
        <f t="shared" si="8"/>
        <v>790.60803858520899</v>
      </c>
      <c r="S77" s="140" t="str">
        <f t="shared" si="9"/>
        <v>Y</v>
      </c>
      <c r="T77" s="154">
        <f t="shared" si="10"/>
        <v>3.880667613636354</v>
      </c>
      <c r="U77" s="154">
        <f t="shared" si="11"/>
        <v>3.880667613636354</v>
      </c>
    </row>
    <row r="78" spans="1:21" x14ac:dyDescent="0.35">
      <c r="A78" s="107">
        <v>2378</v>
      </c>
      <c r="B78" s="107">
        <v>2016</v>
      </c>
      <c r="C78" s="107" t="s">
        <v>9</v>
      </c>
      <c r="D78" s="107" t="s">
        <v>132</v>
      </c>
      <c r="E78" s="107" t="s">
        <v>10</v>
      </c>
      <c r="F78" s="115">
        <v>5</v>
      </c>
      <c r="G78" s="107" t="s">
        <v>11</v>
      </c>
      <c r="H78" s="107" t="str">
        <f t="shared" si="6"/>
        <v>Area 5: W Juan de Fuca</v>
      </c>
      <c r="I78" s="107" t="str">
        <f>IFERROR(VLOOKUP(H78,LUTs!$A$1:$C$73,2,FALSE),"NA")</f>
        <v>NA</v>
      </c>
      <c r="J78" s="107" t="str">
        <f>IFERROR(VLOOKUP(H78,LUTs!$A$1:$C$73,3,FALSE),"NA")</f>
        <v>0Strait of Juan de Fuca</v>
      </c>
      <c r="K78" s="107" t="s">
        <v>18</v>
      </c>
      <c r="L78" s="107" t="str">
        <f>VLOOKUP(K78,LUTs!E$2:G$14,3,)</f>
        <v>06King</v>
      </c>
      <c r="M78" s="107" t="str">
        <f>VLOOKUP($K78,LUTs!$E$2:$H$14,2,)</f>
        <v>South Puget Sound</v>
      </c>
      <c r="N78" s="107" t="str">
        <f>VLOOKUP($K78,LUTs!$E$2:$H$14,4,)</f>
        <v>02South Puget Sound</v>
      </c>
      <c r="O78" s="107">
        <v>427.83279742765302</v>
      </c>
      <c r="P78" s="107">
        <v>1660.2768810289399</v>
      </c>
      <c r="Q78" s="107">
        <f t="shared" si="7"/>
        <v>427.83279742765302</v>
      </c>
      <c r="R78" s="107">
        <f t="shared" si="8"/>
        <v>1660.2768810289399</v>
      </c>
      <c r="S78" s="140" t="str">
        <f t="shared" si="9"/>
        <v>Y</v>
      </c>
      <c r="T78" s="154">
        <f t="shared" si="10"/>
        <v>3.8806676136363634</v>
      </c>
      <c r="U78" s="154">
        <f t="shared" si="11"/>
        <v>3.8806676136363634</v>
      </c>
    </row>
    <row r="79" spans="1:21" x14ac:dyDescent="0.35">
      <c r="A79" s="107">
        <v>2382</v>
      </c>
      <c r="B79" s="107">
        <v>2016</v>
      </c>
      <c r="C79" s="107" t="s">
        <v>9</v>
      </c>
      <c r="D79" s="107" t="s">
        <v>132</v>
      </c>
      <c r="E79" s="107" t="s">
        <v>10</v>
      </c>
      <c r="F79" s="115">
        <v>5</v>
      </c>
      <c r="G79" s="107" t="s">
        <v>11</v>
      </c>
      <c r="H79" s="107" t="str">
        <f t="shared" si="6"/>
        <v>Area 5: W Juan de Fuca</v>
      </c>
      <c r="I79" s="107" t="str">
        <f>IFERROR(VLOOKUP(H79,LUTs!$A$1:$C$73,2,FALSE),"NA")</f>
        <v>NA</v>
      </c>
      <c r="J79" s="107" t="str">
        <f>IFERROR(VLOOKUP(H79,LUTs!$A$1:$C$73,3,FALSE),"NA")</f>
        <v>0Strait of Juan de Fuca</v>
      </c>
      <c r="K79" s="107" t="s">
        <v>23</v>
      </c>
      <c r="L79" s="107" t="str">
        <f>VLOOKUP(K79,LUTs!E$2:G$14,3,)</f>
        <v>10Kitsap</v>
      </c>
      <c r="M79" s="107" t="str">
        <f>VLOOKUP($K79,LUTs!$E$2:$H$14,2,)</f>
        <v>South Puget Sound</v>
      </c>
      <c r="N79" s="107" t="str">
        <f>VLOOKUP($K79,LUTs!$E$2:$H$14,4,)</f>
        <v>02South Puget Sound</v>
      </c>
      <c r="O79" s="107">
        <v>224.10289389067501</v>
      </c>
      <c r="P79" s="107">
        <v>869.66884244373</v>
      </c>
      <c r="Q79" s="107">
        <f t="shared" si="7"/>
        <v>224.10289389067501</v>
      </c>
      <c r="R79" s="107">
        <f t="shared" si="8"/>
        <v>869.66884244373</v>
      </c>
      <c r="S79" s="140" t="str">
        <f t="shared" si="9"/>
        <v>Y</v>
      </c>
      <c r="T79" s="154">
        <f t="shared" si="10"/>
        <v>3.8806676136363683</v>
      </c>
      <c r="U79" s="154">
        <f t="shared" si="11"/>
        <v>3.8806676136363683</v>
      </c>
    </row>
    <row r="80" spans="1:21" x14ac:dyDescent="0.35">
      <c r="A80" s="107">
        <v>2381</v>
      </c>
      <c r="B80" s="107">
        <v>2016</v>
      </c>
      <c r="C80" s="107" t="s">
        <v>9</v>
      </c>
      <c r="D80" s="107" t="s">
        <v>132</v>
      </c>
      <c r="E80" s="107" t="s">
        <v>10</v>
      </c>
      <c r="F80" s="115">
        <v>5</v>
      </c>
      <c r="G80" s="107" t="s">
        <v>11</v>
      </c>
      <c r="H80" s="107" t="str">
        <f t="shared" si="6"/>
        <v>Area 5: W Juan de Fuca</v>
      </c>
      <c r="I80" s="107" t="str">
        <f>IFERROR(VLOOKUP(H80,LUTs!$A$1:$C$73,2,FALSE),"NA")</f>
        <v>NA</v>
      </c>
      <c r="J80" s="107" t="str">
        <f>IFERROR(VLOOKUP(H80,LUTs!$A$1:$C$73,3,FALSE),"NA")</f>
        <v>0Strait of Juan de Fuca</v>
      </c>
      <c r="K80" s="107" t="s">
        <v>22</v>
      </c>
      <c r="L80" s="107" t="str">
        <f>VLOOKUP(K80,LUTs!E$2:G$14,3,)</f>
        <v>09Mason</v>
      </c>
      <c r="M80" s="107" t="str">
        <f>VLOOKUP($K80,LUTs!$E$2:$H$14,2,)</f>
        <v>South Puget Sound</v>
      </c>
      <c r="N80" s="107" t="str">
        <f>VLOOKUP($K80,LUTs!$E$2:$H$14,4,)</f>
        <v>02South Puget Sound</v>
      </c>
      <c r="O80" s="107">
        <v>54.3279742765273</v>
      </c>
      <c r="P80" s="107">
        <v>210.828810289389</v>
      </c>
      <c r="Q80" s="107">
        <f t="shared" si="7"/>
        <v>54.3279742765273</v>
      </c>
      <c r="R80" s="107">
        <f t="shared" si="8"/>
        <v>210.828810289389</v>
      </c>
      <c r="S80" s="140" t="str">
        <f t="shared" si="9"/>
        <v>Y</v>
      </c>
      <c r="T80" s="154">
        <f t="shared" si="10"/>
        <v>3.8806676136363647</v>
      </c>
      <c r="U80" s="154">
        <f t="shared" si="11"/>
        <v>3.8806676136363647</v>
      </c>
    </row>
    <row r="81" spans="1:21" x14ac:dyDescent="0.35">
      <c r="A81" s="107">
        <v>2395</v>
      </c>
      <c r="B81" s="107">
        <v>2016</v>
      </c>
      <c r="C81" s="107" t="s">
        <v>9</v>
      </c>
      <c r="D81" s="107" t="s">
        <v>132</v>
      </c>
      <c r="E81" s="107" t="s">
        <v>10</v>
      </c>
      <c r="F81" s="115">
        <v>5</v>
      </c>
      <c r="G81" s="107" t="s">
        <v>11</v>
      </c>
      <c r="H81" s="107" t="str">
        <f t="shared" si="6"/>
        <v>Area 5: W Juan de Fuca</v>
      </c>
      <c r="I81" s="107" t="str">
        <f>IFERROR(VLOOKUP(H81,LUTs!$A$1:$C$73,2,FALSE),"NA")</f>
        <v>NA</v>
      </c>
      <c r="J81" s="107" t="str">
        <f>IFERROR(VLOOKUP(H81,LUTs!$A$1:$C$73,3,FALSE),"NA")</f>
        <v>0Strait of Juan de Fuca</v>
      </c>
      <c r="K81" s="107" t="s">
        <v>26</v>
      </c>
      <c r="L81" s="107" t="str">
        <f>VLOOKUP(K81,LUTs!E$2:G$14,3,)</f>
        <v>20Other</v>
      </c>
      <c r="M81" s="107" t="str">
        <f>VLOOKUP($K81,LUTs!$E$2:$H$14,2,)</f>
        <v>Non Puget Sound</v>
      </c>
      <c r="N81" s="107" t="str">
        <f>VLOOKUP($K81,LUTs!$E$2:$H$14,4,)</f>
        <v>07Non Puget Sound</v>
      </c>
      <c r="O81" s="107">
        <v>1439.6913183279701</v>
      </c>
      <c r="P81" s="107">
        <v>5586.96347266881</v>
      </c>
      <c r="Q81" s="107">
        <f t="shared" si="7"/>
        <v>1439.6913183279701</v>
      </c>
      <c r="R81" s="107">
        <f t="shared" si="8"/>
        <v>5586.96347266881</v>
      </c>
      <c r="S81" s="140" t="str">
        <f t="shared" si="9"/>
        <v>Y</v>
      </c>
      <c r="T81" s="154">
        <f t="shared" si="10"/>
        <v>3.8806676136363749</v>
      </c>
      <c r="U81" s="154">
        <f t="shared" si="11"/>
        <v>3.8806676136363749</v>
      </c>
    </row>
    <row r="82" spans="1:21" x14ac:dyDescent="0.35">
      <c r="A82" s="107">
        <v>2379</v>
      </c>
      <c r="B82" s="107">
        <v>2016</v>
      </c>
      <c r="C82" s="107" t="s">
        <v>9</v>
      </c>
      <c r="D82" s="107" t="s">
        <v>132</v>
      </c>
      <c r="E82" s="107" t="s">
        <v>10</v>
      </c>
      <c r="F82" s="115">
        <v>5</v>
      </c>
      <c r="G82" s="107" t="s">
        <v>11</v>
      </c>
      <c r="H82" s="107" t="str">
        <f t="shared" si="6"/>
        <v>Area 5: W Juan de Fuca</v>
      </c>
      <c r="I82" s="107" t="str">
        <f>IFERROR(VLOOKUP(H82,LUTs!$A$1:$C$73,2,FALSE),"NA")</f>
        <v>NA</v>
      </c>
      <c r="J82" s="107" t="str">
        <f>IFERROR(VLOOKUP(H82,LUTs!$A$1:$C$73,3,FALSE),"NA")</f>
        <v>0Strait of Juan de Fuca</v>
      </c>
      <c r="K82" s="107" t="s">
        <v>20</v>
      </c>
      <c r="L82" s="107" t="str">
        <f>VLOOKUP(K82,LUTs!E$2:G$14,3,)</f>
        <v>07Pierce</v>
      </c>
      <c r="M82" s="107" t="str">
        <f>VLOOKUP($K82,LUTs!$E$2:$H$14,2,)</f>
        <v>South Puget Sound</v>
      </c>
      <c r="N82" s="107" t="str">
        <f>VLOOKUP($K82,LUTs!$E$2:$H$14,4,)</f>
        <v>02South Puget Sound</v>
      </c>
      <c r="O82" s="107">
        <v>882.82958199356904</v>
      </c>
      <c r="P82" s="107">
        <v>3425.9681672025699</v>
      </c>
      <c r="Q82" s="107">
        <f t="shared" si="7"/>
        <v>882.82958199356904</v>
      </c>
      <c r="R82" s="107">
        <f t="shared" si="8"/>
        <v>3425.9681672025699</v>
      </c>
      <c r="S82" s="140" t="str">
        <f t="shared" si="9"/>
        <v>Y</v>
      </c>
      <c r="T82" s="154">
        <f t="shared" si="10"/>
        <v>3.8806676136363611</v>
      </c>
      <c r="U82" s="154">
        <f t="shared" si="11"/>
        <v>3.8806676136363611</v>
      </c>
    </row>
    <row r="83" spans="1:21" x14ac:dyDescent="0.35">
      <c r="A83" s="107">
        <v>2285</v>
      </c>
      <c r="B83" s="107">
        <v>2016</v>
      </c>
      <c r="C83" s="107" t="s">
        <v>9</v>
      </c>
      <c r="D83" s="107" t="s">
        <v>132</v>
      </c>
      <c r="E83" s="107" t="s">
        <v>10</v>
      </c>
      <c r="F83" s="115">
        <v>5</v>
      </c>
      <c r="G83" s="107" t="s">
        <v>11</v>
      </c>
      <c r="H83" s="107" t="str">
        <f t="shared" si="6"/>
        <v>Area 5: W Juan de Fuca</v>
      </c>
      <c r="I83" s="107" t="str">
        <f>IFERROR(VLOOKUP(H83,LUTs!$A$1:$C$73,2,FALSE),"NA")</f>
        <v>NA</v>
      </c>
      <c r="J83" s="107" t="str">
        <f>IFERROR(VLOOKUP(H83,LUTs!$A$1:$C$73,3,FALSE),"NA")</f>
        <v>0Strait of Juan de Fuca</v>
      </c>
      <c r="K83" s="107" t="s">
        <v>15</v>
      </c>
      <c r="L83" s="107" t="str">
        <f>VLOOKUP(K83,LUTs!E$2:G$14,3,)</f>
        <v>02Skagit</v>
      </c>
      <c r="M83" s="107" t="str">
        <f>VLOOKUP($K83,LUTs!$E$2:$H$14,2,)</f>
        <v>North Puget Sound</v>
      </c>
      <c r="N83" s="107" t="str">
        <f>VLOOKUP($K83,LUTs!$E$2:$H$14,4,)</f>
        <v>01North Puget Sound</v>
      </c>
      <c r="O83" s="107">
        <v>81.491961414791007</v>
      </c>
      <c r="P83" s="107">
        <v>316.24321543408399</v>
      </c>
      <c r="Q83" s="107">
        <f t="shared" si="7"/>
        <v>81.491961414791007</v>
      </c>
      <c r="R83" s="107">
        <f t="shared" si="8"/>
        <v>316.24321543408399</v>
      </c>
      <c r="S83" s="140" t="str">
        <f t="shared" si="9"/>
        <v>Y</v>
      </c>
      <c r="T83" s="154">
        <f t="shared" si="10"/>
        <v>3.8806676136363678</v>
      </c>
      <c r="U83" s="154">
        <f t="shared" si="11"/>
        <v>3.8806676136363678</v>
      </c>
    </row>
    <row r="84" spans="1:21" x14ac:dyDescent="0.35">
      <c r="A84" s="107">
        <v>2376</v>
      </c>
      <c r="B84" s="107">
        <v>2016</v>
      </c>
      <c r="C84" s="107" t="s">
        <v>9</v>
      </c>
      <c r="D84" s="107" t="s">
        <v>132</v>
      </c>
      <c r="E84" s="107" t="s">
        <v>10</v>
      </c>
      <c r="F84" s="115">
        <v>5</v>
      </c>
      <c r="G84" s="107" t="s">
        <v>11</v>
      </c>
      <c r="H84" s="107" t="str">
        <f t="shared" si="6"/>
        <v>Area 5: W Juan de Fuca</v>
      </c>
      <c r="I84" s="107" t="str">
        <f>IFERROR(VLOOKUP(H84,LUTs!$A$1:$C$73,2,FALSE),"NA")</f>
        <v>NA</v>
      </c>
      <c r="J84" s="107" t="str">
        <f>IFERROR(VLOOKUP(H84,LUTs!$A$1:$C$73,3,FALSE),"NA")</f>
        <v>0Strait of Juan de Fuca</v>
      </c>
      <c r="K84" s="107" t="s">
        <v>16</v>
      </c>
      <c r="L84" s="107" t="str">
        <f>VLOOKUP(K84,LUTs!E$2:G$14,3,)</f>
        <v>03Snohomish</v>
      </c>
      <c r="M84" s="107" t="str">
        <f>VLOOKUP($K84,LUTs!$E$2:$H$14,2,)</f>
        <v>North Puget Sound</v>
      </c>
      <c r="N84" s="107" t="str">
        <f>VLOOKUP($K84,LUTs!$E$2:$H$14,4,)</f>
        <v>01North Puget Sound</v>
      </c>
      <c r="O84" s="107">
        <v>156.19292604501601</v>
      </c>
      <c r="P84" s="107">
        <v>606.13282958199397</v>
      </c>
      <c r="Q84" s="107">
        <f t="shared" si="7"/>
        <v>156.19292604501601</v>
      </c>
      <c r="R84" s="107">
        <f t="shared" si="8"/>
        <v>606.13282958199397</v>
      </c>
      <c r="S84" s="140" t="str">
        <f t="shared" si="9"/>
        <v>Y</v>
      </c>
      <c r="T84" s="154">
        <f t="shared" si="10"/>
        <v>3.8806676136363678</v>
      </c>
      <c r="U84" s="154">
        <f t="shared" si="11"/>
        <v>3.8806676136363678</v>
      </c>
    </row>
    <row r="85" spans="1:21" x14ac:dyDescent="0.35">
      <c r="A85" s="107">
        <v>2380</v>
      </c>
      <c r="B85" s="107">
        <v>2016</v>
      </c>
      <c r="C85" s="107" t="s">
        <v>9</v>
      </c>
      <c r="D85" s="107" t="s">
        <v>132</v>
      </c>
      <c r="E85" s="107" t="s">
        <v>10</v>
      </c>
      <c r="F85" s="115">
        <v>5</v>
      </c>
      <c r="G85" s="107" t="s">
        <v>11</v>
      </c>
      <c r="H85" s="107" t="str">
        <f t="shared" si="6"/>
        <v>Area 5: W Juan de Fuca</v>
      </c>
      <c r="I85" s="107" t="str">
        <f>IFERROR(VLOOKUP(H85,LUTs!$A$1:$C$73,2,FALSE),"NA")</f>
        <v>NA</v>
      </c>
      <c r="J85" s="107" t="str">
        <f>IFERROR(VLOOKUP(H85,LUTs!$A$1:$C$73,3,FALSE),"NA")</f>
        <v>0Strait of Juan de Fuca</v>
      </c>
      <c r="K85" s="107" t="s">
        <v>21</v>
      </c>
      <c r="L85" s="107" t="str">
        <f>VLOOKUP(K85,LUTs!E$2:G$14,3,)</f>
        <v>08Thurston</v>
      </c>
      <c r="M85" s="107" t="str">
        <f>VLOOKUP($K85,LUTs!$E$2:$H$14,2,)</f>
        <v>South Puget Sound</v>
      </c>
      <c r="N85" s="107" t="str">
        <f>VLOOKUP($K85,LUTs!$E$2:$H$14,4,)</f>
        <v>02South Puget Sound</v>
      </c>
      <c r="O85" s="107">
        <v>190.147909967846</v>
      </c>
      <c r="P85" s="107">
        <v>737.90083601286199</v>
      </c>
      <c r="Q85" s="107">
        <f t="shared" si="7"/>
        <v>190.147909967846</v>
      </c>
      <c r="R85" s="107">
        <f t="shared" si="8"/>
        <v>737.90083601286199</v>
      </c>
      <c r="S85" s="140" t="str">
        <f t="shared" si="9"/>
        <v>Y</v>
      </c>
      <c r="T85" s="154">
        <f t="shared" si="10"/>
        <v>3.880667613636358</v>
      </c>
      <c r="U85" s="154">
        <f t="shared" si="11"/>
        <v>3.880667613636358</v>
      </c>
    </row>
    <row r="86" spans="1:21" x14ac:dyDescent="0.35">
      <c r="A86" s="107">
        <v>2284</v>
      </c>
      <c r="B86" s="107">
        <v>2016</v>
      </c>
      <c r="C86" s="107" t="s">
        <v>9</v>
      </c>
      <c r="D86" s="107" t="s">
        <v>132</v>
      </c>
      <c r="E86" s="107" t="s">
        <v>10</v>
      </c>
      <c r="F86" s="115">
        <v>5</v>
      </c>
      <c r="G86" s="107" t="s">
        <v>11</v>
      </c>
      <c r="H86" s="107" t="str">
        <f t="shared" si="6"/>
        <v>Area 5: W Juan de Fuca</v>
      </c>
      <c r="I86" s="107" t="str">
        <f>IFERROR(VLOOKUP(H86,LUTs!$A$1:$C$73,2,FALSE),"NA")</f>
        <v>NA</v>
      </c>
      <c r="J86" s="107" t="str">
        <f>IFERROR(VLOOKUP(H86,LUTs!$A$1:$C$73,3,FALSE),"NA")</f>
        <v>0Strait of Juan de Fuca</v>
      </c>
      <c r="K86" s="107" t="s">
        <v>13</v>
      </c>
      <c r="L86" s="107" t="str">
        <f>VLOOKUP(K86,LUTs!E$2:G$14,3,)</f>
        <v>01Whatcom</v>
      </c>
      <c r="M86" s="107" t="str">
        <f>VLOOKUP($K86,LUTs!$E$2:$H$14,2,)</f>
        <v>North Puget Sound</v>
      </c>
      <c r="N86" s="107" t="str">
        <f>VLOOKUP($K86,LUTs!$E$2:$H$14,4,)</f>
        <v>01North Puget Sound</v>
      </c>
      <c r="O86" s="107">
        <v>6.7909967845659196</v>
      </c>
      <c r="P86" s="107">
        <v>26.3536012861736</v>
      </c>
      <c r="Q86" s="107">
        <f t="shared" si="7"/>
        <v>6.7909967845659196</v>
      </c>
      <c r="R86" s="107">
        <f t="shared" si="8"/>
        <v>26.3536012861736</v>
      </c>
      <c r="S86" s="140" t="str">
        <f t="shared" si="9"/>
        <v>Y</v>
      </c>
      <c r="T86" s="154">
        <f t="shared" si="10"/>
        <v>3.8806676136363567</v>
      </c>
      <c r="U86" s="154">
        <f t="shared" si="11"/>
        <v>3.8806676136363567</v>
      </c>
    </row>
    <row r="87" spans="1:21" x14ac:dyDescent="0.35">
      <c r="A87" s="107">
        <v>2615</v>
      </c>
      <c r="B87" s="107">
        <v>2017</v>
      </c>
      <c r="C87" s="107" t="s">
        <v>9</v>
      </c>
      <c r="D87" s="107" t="s">
        <v>132</v>
      </c>
      <c r="E87" s="107" t="s">
        <v>10</v>
      </c>
      <c r="F87" s="115">
        <v>5</v>
      </c>
      <c r="G87" s="107" t="s">
        <v>11</v>
      </c>
      <c r="H87" s="107" t="str">
        <f t="shared" si="6"/>
        <v>Area 5: W Juan de Fuca</v>
      </c>
      <c r="I87" s="107" t="str">
        <f>IFERROR(VLOOKUP(H87,LUTs!$A$1:$C$73,2,FALSE),"NA")</f>
        <v>NA</v>
      </c>
      <c r="J87" s="107" t="str">
        <f>IFERROR(VLOOKUP(H87,LUTs!$A$1:$C$73,3,FALSE),"NA")</f>
        <v>0Strait of Juan de Fuca</v>
      </c>
      <c r="K87" s="107" t="s">
        <v>24</v>
      </c>
      <c r="L87" s="107" t="str">
        <f>VLOOKUP(K87,LUTs!E$2:G$14,3,)</f>
        <v>11Clallam</v>
      </c>
      <c r="M87" s="107" t="str">
        <f>VLOOKUP($K87,LUTs!$E$2:$H$14,2,)</f>
        <v>Strait of Juan de Fuca</v>
      </c>
      <c r="N87" s="107" t="str">
        <f>VLOOKUP($K87,LUTs!$E$2:$H$14,4,)</f>
        <v>03Strait of Juan de Fuca</v>
      </c>
      <c r="O87" s="107">
        <v>2180.9127031908502</v>
      </c>
      <c r="P87" s="107">
        <v>3971.4699721538</v>
      </c>
      <c r="Q87" s="107">
        <f t="shared" si="7"/>
        <v>2180.9127031908502</v>
      </c>
      <c r="R87" s="107">
        <f t="shared" si="8"/>
        <v>3971.4699721538</v>
      </c>
      <c r="S87" s="140" t="str">
        <f t="shared" si="9"/>
        <v>Y</v>
      </c>
      <c r="T87" s="154">
        <f t="shared" si="10"/>
        <v>1.8210128109865291</v>
      </c>
      <c r="U87" s="154">
        <f t="shared" si="11"/>
        <v>1.8210128109865291</v>
      </c>
    </row>
    <row r="88" spans="1:21" x14ac:dyDescent="0.35">
      <c r="A88" s="107">
        <v>2509</v>
      </c>
      <c r="B88" s="107">
        <v>2017</v>
      </c>
      <c r="C88" s="107" t="s">
        <v>9</v>
      </c>
      <c r="D88" s="107" t="s">
        <v>132</v>
      </c>
      <c r="E88" s="107" t="s">
        <v>10</v>
      </c>
      <c r="F88" s="115">
        <v>5</v>
      </c>
      <c r="G88" s="107" t="s">
        <v>11</v>
      </c>
      <c r="H88" s="107" t="str">
        <f t="shared" si="6"/>
        <v>Area 5: W Juan de Fuca</v>
      </c>
      <c r="I88" s="107" t="str">
        <f>IFERROR(VLOOKUP(H88,LUTs!$A$1:$C$73,2,FALSE),"NA")</f>
        <v>NA</v>
      </c>
      <c r="J88" s="107" t="str">
        <f>IFERROR(VLOOKUP(H88,LUTs!$A$1:$C$73,3,FALSE),"NA")</f>
        <v>0Strait of Juan de Fuca</v>
      </c>
      <c r="K88" s="107" t="s">
        <v>17</v>
      </c>
      <c r="L88" s="107" t="str">
        <f>VLOOKUP(K88,LUTs!E$2:G$14,3,)</f>
        <v>04Island</v>
      </c>
      <c r="M88" s="107" t="str">
        <f>VLOOKUP($K88,LUTs!$E$2:$H$14,2,)</f>
        <v>North Puget Sound</v>
      </c>
      <c r="N88" s="107" t="str">
        <f>VLOOKUP($K88,LUTs!$E$2:$H$14,4,)</f>
        <v>01North Puget Sound</v>
      </c>
      <c r="O88" s="107">
        <v>352.794701986755</v>
      </c>
      <c r="P88" s="107">
        <v>642.44367196605504</v>
      </c>
      <c r="Q88" s="107">
        <f t="shared" si="7"/>
        <v>352.794701986755</v>
      </c>
      <c r="R88" s="107">
        <f t="shared" si="8"/>
        <v>642.44367196605504</v>
      </c>
      <c r="S88" s="140" t="str">
        <f t="shared" si="9"/>
        <v>Y</v>
      </c>
      <c r="T88" s="154">
        <f t="shared" si="10"/>
        <v>1.8210128109865276</v>
      </c>
      <c r="U88" s="154">
        <f t="shared" si="11"/>
        <v>1.8210128109865276</v>
      </c>
    </row>
    <row r="89" spans="1:21" x14ac:dyDescent="0.35">
      <c r="A89" s="107">
        <v>2616</v>
      </c>
      <c r="B89" s="107">
        <v>2017</v>
      </c>
      <c r="C89" s="107" t="s">
        <v>9</v>
      </c>
      <c r="D89" s="107" t="s">
        <v>132</v>
      </c>
      <c r="E89" s="107" t="s">
        <v>10</v>
      </c>
      <c r="F89" s="115">
        <v>5</v>
      </c>
      <c r="G89" s="107" t="s">
        <v>11</v>
      </c>
      <c r="H89" s="107" t="str">
        <f t="shared" si="6"/>
        <v>Area 5: W Juan de Fuca</v>
      </c>
      <c r="I89" s="107" t="str">
        <f>IFERROR(VLOOKUP(H89,LUTs!$A$1:$C$73,2,FALSE),"NA")</f>
        <v>NA</v>
      </c>
      <c r="J89" s="107" t="str">
        <f>IFERROR(VLOOKUP(H89,LUTs!$A$1:$C$73,3,FALSE),"NA")</f>
        <v>0Strait of Juan de Fuca</v>
      </c>
      <c r="K89" s="107" t="s">
        <v>25</v>
      </c>
      <c r="L89" s="107" t="str">
        <f>VLOOKUP(K89,LUTs!E$2:G$14,3,)</f>
        <v>12Jefferson</v>
      </c>
      <c r="M89" s="107" t="str">
        <f>VLOOKUP($K89,LUTs!$E$2:$H$14,2,)</f>
        <v>Strait of Juan de Fuca</v>
      </c>
      <c r="N89" s="107" t="str">
        <f>VLOOKUP($K89,LUTs!$E$2:$H$14,4,)</f>
        <v>03Strait of Juan de Fuca</v>
      </c>
      <c r="O89" s="107">
        <v>705.58940397351</v>
      </c>
      <c r="P89" s="107">
        <v>1284.8873439321101</v>
      </c>
      <c r="Q89" s="107">
        <f t="shared" si="7"/>
        <v>705.58940397351</v>
      </c>
      <c r="R89" s="107">
        <f t="shared" si="8"/>
        <v>1284.8873439321101</v>
      </c>
      <c r="S89" s="140" t="str">
        <f t="shared" si="9"/>
        <v>Y</v>
      </c>
      <c r="T89" s="154">
        <f t="shared" si="10"/>
        <v>1.8210128109865276</v>
      </c>
      <c r="U89" s="154">
        <f t="shared" si="11"/>
        <v>1.8210128109865276</v>
      </c>
    </row>
    <row r="90" spans="1:21" x14ac:dyDescent="0.35">
      <c r="A90" s="107">
        <v>2610</v>
      </c>
      <c r="B90" s="107">
        <v>2017</v>
      </c>
      <c r="C90" s="107" t="s">
        <v>9</v>
      </c>
      <c r="D90" s="107" t="s">
        <v>132</v>
      </c>
      <c r="E90" s="107" t="s">
        <v>10</v>
      </c>
      <c r="F90" s="115">
        <v>5</v>
      </c>
      <c r="G90" s="107" t="s">
        <v>11</v>
      </c>
      <c r="H90" s="107" t="str">
        <f t="shared" si="6"/>
        <v>Area 5: W Juan de Fuca</v>
      </c>
      <c r="I90" s="107" t="str">
        <f>IFERROR(VLOOKUP(H90,LUTs!$A$1:$C$73,2,FALSE),"NA")</f>
        <v>NA</v>
      </c>
      <c r="J90" s="107" t="str">
        <f>IFERROR(VLOOKUP(H90,LUTs!$A$1:$C$73,3,FALSE),"NA")</f>
        <v>0Strait of Juan de Fuca</v>
      </c>
      <c r="K90" s="107" t="s">
        <v>18</v>
      </c>
      <c r="L90" s="107" t="str">
        <f>VLOOKUP(K90,LUTs!E$2:G$14,3,)</f>
        <v>06King</v>
      </c>
      <c r="M90" s="107" t="str">
        <f>VLOOKUP($K90,LUTs!$E$2:$H$14,2,)</f>
        <v>South Puget Sound</v>
      </c>
      <c r="N90" s="107" t="str">
        <f>VLOOKUP($K90,LUTs!$E$2:$H$14,4,)</f>
        <v>02South Puget Sound</v>
      </c>
      <c r="O90" s="107">
        <v>1771.9915713425701</v>
      </c>
      <c r="P90" s="107">
        <v>3226.8193523749601</v>
      </c>
      <c r="Q90" s="107">
        <f t="shared" si="7"/>
        <v>1771.9915713425701</v>
      </c>
      <c r="R90" s="107">
        <f t="shared" si="8"/>
        <v>3226.8193523749601</v>
      </c>
      <c r="S90" s="140" t="str">
        <f t="shared" si="9"/>
        <v>Y</v>
      </c>
      <c r="T90" s="154">
        <f t="shared" si="10"/>
        <v>1.8210128109865233</v>
      </c>
      <c r="U90" s="154">
        <f t="shared" si="11"/>
        <v>1.8210128109865233</v>
      </c>
    </row>
    <row r="91" spans="1:21" x14ac:dyDescent="0.35">
      <c r="A91" s="107">
        <v>2614</v>
      </c>
      <c r="B91" s="107">
        <v>2017</v>
      </c>
      <c r="C91" s="107" t="s">
        <v>9</v>
      </c>
      <c r="D91" s="107" t="s">
        <v>132</v>
      </c>
      <c r="E91" s="107" t="s">
        <v>10</v>
      </c>
      <c r="F91" s="115">
        <v>5</v>
      </c>
      <c r="G91" s="107" t="s">
        <v>11</v>
      </c>
      <c r="H91" s="107" t="str">
        <f t="shared" si="6"/>
        <v>Area 5: W Juan de Fuca</v>
      </c>
      <c r="I91" s="107" t="str">
        <f>IFERROR(VLOOKUP(H91,LUTs!$A$1:$C$73,2,FALSE),"NA")</f>
        <v>NA</v>
      </c>
      <c r="J91" s="107" t="str">
        <f>IFERROR(VLOOKUP(H91,LUTs!$A$1:$C$73,3,FALSE),"NA")</f>
        <v>0Strait of Juan de Fuca</v>
      </c>
      <c r="K91" s="107" t="s">
        <v>23</v>
      </c>
      <c r="L91" s="107" t="str">
        <f>VLOOKUP(K91,LUTs!E$2:G$14,3,)</f>
        <v>10Kitsap</v>
      </c>
      <c r="M91" s="107" t="str">
        <f>VLOOKUP($K91,LUTs!$E$2:$H$14,2,)</f>
        <v>South Puget Sound</v>
      </c>
      <c r="N91" s="107" t="str">
        <f>VLOOKUP($K91,LUTs!$E$2:$H$14,4,)</f>
        <v>02South Puget Sound</v>
      </c>
      <c r="O91" s="107">
        <v>906.04093919325703</v>
      </c>
      <c r="P91" s="107">
        <v>1649.9121575491899</v>
      </c>
      <c r="Q91" s="107">
        <f t="shared" si="7"/>
        <v>906.04093919325703</v>
      </c>
      <c r="R91" s="107">
        <f t="shared" si="8"/>
        <v>1649.9121575491899</v>
      </c>
      <c r="S91" s="140" t="str">
        <f t="shared" si="9"/>
        <v>Y</v>
      </c>
      <c r="T91" s="154">
        <f t="shared" si="10"/>
        <v>1.8210128109865313</v>
      </c>
      <c r="U91" s="154">
        <f t="shared" si="11"/>
        <v>1.8210128109865313</v>
      </c>
    </row>
    <row r="92" spans="1:21" x14ac:dyDescent="0.35">
      <c r="A92" s="107">
        <v>2613</v>
      </c>
      <c r="B92" s="107">
        <v>2017</v>
      </c>
      <c r="C92" s="107" t="s">
        <v>9</v>
      </c>
      <c r="D92" s="107" t="s">
        <v>132</v>
      </c>
      <c r="E92" s="107" t="s">
        <v>10</v>
      </c>
      <c r="F92" s="115">
        <v>5</v>
      </c>
      <c r="G92" s="107" t="s">
        <v>11</v>
      </c>
      <c r="H92" s="107" t="str">
        <f t="shared" si="6"/>
        <v>Area 5: W Juan de Fuca</v>
      </c>
      <c r="I92" s="107" t="str">
        <f>IFERROR(VLOOKUP(H92,LUTs!$A$1:$C$73,2,FALSE),"NA")</f>
        <v>NA</v>
      </c>
      <c r="J92" s="107" t="str">
        <f>IFERROR(VLOOKUP(H92,LUTs!$A$1:$C$73,3,FALSE),"NA")</f>
        <v>0Strait of Juan de Fuca</v>
      </c>
      <c r="K92" s="107" t="s">
        <v>22</v>
      </c>
      <c r="L92" s="107" t="str">
        <f>VLOOKUP(K92,LUTs!E$2:G$14,3,)</f>
        <v>09Mason</v>
      </c>
      <c r="M92" s="107" t="str">
        <f>VLOOKUP($K92,LUTs!$E$2:$H$14,2,)</f>
        <v>South Puget Sound</v>
      </c>
      <c r="N92" s="107" t="str">
        <f>VLOOKUP($K92,LUTs!$E$2:$H$14,4,)</f>
        <v>02South Puget Sound</v>
      </c>
      <c r="O92" s="107">
        <v>272.61408789885598</v>
      </c>
      <c r="P92" s="107">
        <v>496.433746519225</v>
      </c>
      <c r="Q92" s="107">
        <f t="shared" si="7"/>
        <v>272.61408789885598</v>
      </c>
      <c r="R92" s="107">
        <f t="shared" si="8"/>
        <v>496.433746519225</v>
      </c>
      <c r="S92" s="140" t="str">
        <f t="shared" si="9"/>
        <v>Y</v>
      </c>
      <c r="T92" s="154">
        <f t="shared" si="10"/>
        <v>1.8210128109865311</v>
      </c>
      <c r="U92" s="154">
        <f t="shared" si="11"/>
        <v>1.8210128109865311</v>
      </c>
    </row>
    <row r="93" spans="1:21" x14ac:dyDescent="0.35">
      <c r="A93" s="107">
        <v>2624</v>
      </c>
      <c r="B93" s="107">
        <v>2017</v>
      </c>
      <c r="C93" s="107" t="s">
        <v>9</v>
      </c>
      <c r="D93" s="107" t="s">
        <v>132</v>
      </c>
      <c r="E93" s="107" t="s">
        <v>10</v>
      </c>
      <c r="F93" s="115">
        <v>5</v>
      </c>
      <c r="G93" s="107" t="s">
        <v>11</v>
      </c>
      <c r="H93" s="107" t="str">
        <f t="shared" si="6"/>
        <v>Area 5: W Juan de Fuca</v>
      </c>
      <c r="I93" s="107" t="str">
        <f>IFERROR(VLOOKUP(H93,LUTs!$A$1:$C$73,2,FALSE),"NA")</f>
        <v>NA</v>
      </c>
      <c r="J93" s="107" t="str">
        <f>IFERROR(VLOOKUP(H93,LUTs!$A$1:$C$73,3,FALSE),"NA")</f>
        <v>0Strait of Juan de Fuca</v>
      </c>
      <c r="K93" s="107" t="s">
        <v>26</v>
      </c>
      <c r="L93" s="107" t="str">
        <f>VLOOKUP(K93,LUTs!E$2:G$14,3,)</f>
        <v>20Other</v>
      </c>
      <c r="M93" s="107" t="str">
        <f>VLOOKUP($K93,LUTs!$E$2:$H$14,2,)</f>
        <v>Non Puget Sound</v>
      </c>
      <c r="N93" s="107" t="str">
        <f>VLOOKUP($K93,LUTs!$E$2:$H$14,4,)</f>
        <v>07Non Puget Sound</v>
      </c>
      <c r="O93" s="107">
        <v>3576.0553883202901</v>
      </c>
      <c r="P93" s="107">
        <v>6512.0426749286498</v>
      </c>
      <c r="Q93" s="107">
        <f t="shared" si="7"/>
        <v>3576.0553883202901</v>
      </c>
      <c r="R93" s="107">
        <f t="shared" si="8"/>
        <v>6512.0426749286498</v>
      </c>
      <c r="S93" s="140" t="str">
        <f t="shared" si="9"/>
        <v>Y</v>
      </c>
      <c r="T93" s="154">
        <f t="shared" si="10"/>
        <v>1.8210128109865276</v>
      </c>
      <c r="U93" s="154">
        <f t="shared" si="11"/>
        <v>1.8210128109865276</v>
      </c>
    </row>
    <row r="94" spans="1:21" x14ac:dyDescent="0.35">
      <c r="A94" s="107">
        <v>2611</v>
      </c>
      <c r="B94" s="107">
        <v>2017</v>
      </c>
      <c r="C94" s="107" t="s">
        <v>9</v>
      </c>
      <c r="D94" s="107" t="s">
        <v>132</v>
      </c>
      <c r="E94" s="107" t="s">
        <v>10</v>
      </c>
      <c r="F94" s="115">
        <v>5</v>
      </c>
      <c r="G94" s="107" t="s">
        <v>11</v>
      </c>
      <c r="H94" s="107" t="str">
        <f t="shared" si="6"/>
        <v>Area 5: W Juan de Fuca</v>
      </c>
      <c r="I94" s="107" t="str">
        <f>IFERROR(VLOOKUP(H94,LUTs!$A$1:$C$73,2,FALSE),"NA")</f>
        <v>NA</v>
      </c>
      <c r="J94" s="107" t="str">
        <f>IFERROR(VLOOKUP(H94,LUTs!$A$1:$C$73,3,FALSE),"NA")</f>
        <v>0Strait of Juan de Fuca</v>
      </c>
      <c r="K94" s="107" t="s">
        <v>20</v>
      </c>
      <c r="L94" s="107" t="str">
        <f>VLOOKUP(K94,LUTs!E$2:G$14,3,)</f>
        <v>07Pierce</v>
      </c>
      <c r="M94" s="107" t="str">
        <f>VLOOKUP($K94,LUTs!$E$2:$H$14,2,)</f>
        <v>South Puget Sound</v>
      </c>
      <c r="N94" s="107" t="str">
        <f>VLOOKUP($K94,LUTs!$E$2:$H$14,4,)</f>
        <v>02South Puget Sound</v>
      </c>
      <c r="O94" s="107">
        <v>1715.8651414810399</v>
      </c>
      <c r="P94" s="107">
        <v>3124.61240456218</v>
      </c>
      <c r="Q94" s="107">
        <f t="shared" si="7"/>
        <v>1715.8651414810399</v>
      </c>
      <c r="R94" s="107">
        <f t="shared" si="8"/>
        <v>3124.61240456218</v>
      </c>
      <c r="S94" s="140" t="str">
        <f t="shared" si="9"/>
        <v>Y</v>
      </c>
      <c r="T94" s="154">
        <f t="shared" si="10"/>
        <v>1.8210128109865251</v>
      </c>
      <c r="U94" s="154">
        <f t="shared" si="11"/>
        <v>1.8210128109865251</v>
      </c>
    </row>
    <row r="95" spans="1:21" x14ac:dyDescent="0.35">
      <c r="A95" s="107">
        <v>2507</v>
      </c>
      <c r="B95" s="107">
        <v>2017</v>
      </c>
      <c r="C95" s="107" t="s">
        <v>9</v>
      </c>
      <c r="D95" s="107" t="s">
        <v>132</v>
      </c>
      <c r="E95" s="107" t="s">
        <v>10</v>
      </c>
      <c r="F95" s="115">
        <v>5</v>
      </c>
      <c r="G95" s="107" t="s">
        <v>11</v>
      </c>
      <c r="H95" s="107" t="str">
        <f t="shared" si="6"/>
        <v>Area 5: W Juan de Fuca</v>
      </c>
      <c r="I95" s="107" t="str">
        <f>IFERROR(VLOOKUP(H95,LUTs!$A$1:$C$73,2,FALSE),"NA")</f>
        <v>NA</v>
      </c>
      <c r="J95" s="107" t="str">
        <f>IFERROR(VLOOKUP(H95,LUTs!$A$1:$C$73,3,FALSE),"NA")</f>
        <v>0Strait of Juan de Fuca</v>
      </c>
      <c r="K95" s="107" t="s">
        <v>15</v>
      </c>
      <c r="L95" s="107" t="str">
        <f>VLOOKUP(K95,LUTs!E$2:G$14,3,)</f>
        <v>02Skagit</v>
      </c>
      <c r="M95" s="107" t="str">
        <f>VLOOKUP($K95,LUTs!$E$2:$H$14,2,)</f>
        <v>North Puget Sound</v>
      </c>
      <c r="N95" s="107" t="str">
        <f>VLOOKUP($K95,LUTs!$E$2:$H$14,4,)</f>
        <v>01North Puget Sound</v>
      </c>
      <c r="O95" s="107">
        <v>32.072245635159497</v>
      </c>
      <c r="P95" s="107">
        <v>58.403970178732301</v>
      </c>
      <c r="Q95" s="107">
        <f t="shared" si="7"/>
        <v>32.072245635159497</v>
      </c>
      <c r="R95" s="107">
        <f t="shared" si="8"/>
        <v>58.403970178732301</v>
      </c>
      <c r="S95" s="140" t="str">
        <f t="shared" si="9"/>
        <v>Y</v>
      </c>
      <c r="T95" s="154">
        <f t="shared" si="10"/>
        <v>1.8210128109865311</v>
      </c>
      <c r="U95" s="154">
        <f t="shared" si="11"/>
        <v>1.8210128109865311</v>
      </c>
    </row>
    <row r="96" spans="1:21" x14ac:dyDescent="0.35">
      <c r="A96" s="107">
        <v>2508</v>
      </c>
      <c r="B96" s="107">
        <v>2017</v>
      </c>
      <c r="C96" s="107" t="s">
        <v>9</v>
      </c>
      <c r="D96" s="107" t="s">
        <v>132</v>
      </c>
      <c r="E96" s="107" t="s">
        <v>10</v>
      </c>
      <c r="F96" s="115">
        <v>5</v>
      </c>
      <c r="G96" s="107" t="s">
        <v>11</v>
      </c>
      <c r="H96" s="107" t="str">
        <f t="shared" si="6"/>
        <v>Area 5: W Juan de Fuca</v>
      </c>
      <c r="I96" s="107" t="str">
        <f>IFERROR(VLOOKUP(H96,LUTs!$A$1:$C$73,2,FALSE),"NA")</f>
        <v>NA</v>
      </c>
      <c r="J96" s="107" t="str">
        <f>IFERROR(VLOOKUP(H96,LUTs!$A$1:$C$73,3,FALSE),"NA")</f>
        <v>0Strait of Juan de Fuca</v>
      </c>
      <c r="K96" s="107" t="s">
        <v>16</v>
      </c>
      <c r="L96" s="107" t="str">
        <f>VLOOKUP(K96,LUTs!E$2:G$14,3,)</f>
        <v>03Snohomish</v>
      </c>
      <c r="M96" s="107" t="str">
        <f>VLOOKUP($K96,LUTs!$E$2:$H$14,2,)</f>
        <v>North Puget Sound</v>
      </c>
      <c r="N96" s="107" t="str">
        <f>VLOOKUP($K96,LUTs!$E$2:$H$14,4,)</f>
        <v>01North Puget Sound</v>
      </c>
      <c r="O96" s="107">
        <v>1074.4202287778401</v>
      </c>
      <c r="P96" s="107">
        <v>1956.5330009875299</v>
      </c>
      <c r="Q96" s="107">
        <f t="shared" si="7"/>
        <v>1074.4202287778401</v>
      </c>
      <c r="R96" s="107">
        <f t="shared" si="8"/>
        <v>1956.5330009875299</v>
      </c>
      <c r="S96" s="140" t="str">
        <f t="shared" si="9"/>
        <v>Y</v>
      </c>
      <c r="T96" s="154">
        <f t="shared" si="10"/>
        <v>1.8210128109865344</v>
      </c>
      <c r="U96" s="154">
        <f t="shared" si="11"/>
        <v>1.8210128109865344</v>
      </c>
    </row>
    <row r="97" spans="1:21" x14ac:dyDescent="0.35">
      <c r="A97" s="107">
        <v>2612</v>
      </c>
      <c r="B97" s="107">
        <v>2017</v>
      </c>
      <c r="C97" s="107" t="s">
        <v>9</v>
      </c>
      <c r="D97" s="107" t="s">
        <v>132</v>
      </c>
      <c r="E97" s="107" t="s">
        <v>10</v>
      </c>
      <c r="F97" s="115">
        <v>5</v>
      </c>
      <c r="G97" s="107" t="s">
        <v>11</v>
      </c>
      <c r="H97" s="107" t="str">
        <f t="shared" si="6"/>
        <v>Area 5: W Juan de Fuca</v>
      </c>
      <c r="I97" s="107" t="str">
        <f>IFERROR(VLOOKUP(H97,LUTs!$A$1:$C$73,2,FALSE),"NA")</f>
        <v>NA</v>
      </c>
      <c r="J97" s="107" t="str">
        <f>IFERROR(VLOOKUP(H97,LUTs!$A$1:$C$73,3,FALSE),"NA")</f>
        <v>0Strait of Juan de Fuca</v>
      </c>
      <c r="K97" s="107" t="s">
        <v>21</v>
      </c>
      <c r="L97" s="107" t="str">
        <f>VLOOKUP(K97,LUTs!E$2:G$14,3,)</f>
        <v>08Thurston</v>
      </c>
      <c r="M97" s="107" t="str">
        <f>VLOOKUP($K97,LUTs!$E$2:$H$14,2,)</f>
        <v>South Puget Sound</v>
      </c>
      <c r="N97" s="107" t="str">
        <f>VLOOKUP($K97,LUTs!$E$2:$H$14,4,)</f>
        <v>02South Puget Sound</v>
      </c>
      <c r="O97" s="107">
        <v>721.62552679109001</v>
      </c>
      <c r="P97" s="107">
        <v>1314.0893290214799</v>
      </c>
      <c r="Q97" s="107">
        <f t="shared" si="7"/>
        <v>721.62552679109001</v>
      </c>
      <c r="R97" s="107">
        <f t="shared" si="8"/>
        <v>1314.0893290214799</v>
      </c>
      <c r="S97" s="140" t="str">
        <f t="shared" si="9"/>
        <v>Y</v>
      </c>
      <c r="T97" s="154">
        <f t="shared" si="10"/>
        <v>1.8210128109865322</v>
      </c>
      <c r="U97" s="154">
        <f t="shared" si="11"/>
        <v>1.8210128109865322</v>
      </c>
    </row>
    <row r="98" spans="1:21" x14ac:dyDescent="0.35">
      <c r="A98" s="107">
        <v>2506</v>
      </c>
      <c r="B98" s="107">
        <v>2017</v>
      </c>
      <c r="C98" s="107" t="s">
        <v>9</v>
      </c>
      <c r="D98" s="107" t="s">
        <v>132</v>
      </c>
      <c r="E98" s="107" t="s">
        <v>10</v>
      </c>
      <c r="F98" s="115">
        <v>5</v>
      </c>
      <c r="G98" s="107" t="s">
        <v>11</v>
      </c>
      <c r="H98" s="107" t="str">
        <f t="shared" si="6"/>
        <v>Area 5: W Juan de Fuca</v>
      </c>
      <c r="I98" s="107" t="str">
        <f>IFERROR(VLOOKUP(H98,LUTs!$A$1:$C$73,2,FALSE),"NA")</f>
        <v>NA</v>
      </c>
      <c r="J98" s="107" t="str">
        <f>IFERROR(VLOOKUP(H98,LUTs!$A$1:$C$73,3,FALSE),"NA")</f>
        <v>0Strait of Juan de Fuca</v>
      </c>
      <c r="K98" s="107" t="s">
        <v>13</v>
      </c>
      <c r="L98" s="107" t="str">
        <f>VLOOKUP(K98,LUTs!E$2:G$14,3,)</f>
        <v>01Whatcom</v>
      </c>
      <c r="M98" s="107" t="str">
        <f>VLOOKUP($K98,LUTs!$E$2:$H$14,2,)</f>
        <v>North Puget Sound</v>
      </c>
      <c r="N98" s="107" t="str">
        <f>VLOOKUP($K98,LUTs!$E$2:$H$14,4,)</f>
        <v>01North Puget Sound</v>
      </c>
      <c r="O98" s="107">
        <v>8.0180614087898903</v>
      </c>
      <c r="P98" s="107">
        <v>14.6009925446831</v>
      </c>
      <c r="Q98" s="107">
        <f t="shared" si="7"/>
        <v>8.0180614087898903</v>
      </c>
      <c r="R98" s="107">
        <f t="shared" si="8"/>
        <v>14.6009925446831</v>
      </c>
      <c r="S98" s="140" t="str">
        <f t="shared" si="9"/>
        <v>Y</v>
      </c>
      <c r="T98" s="154">
        <f t="shared" si="10"/>
        <v>1.8210128109865307</v>
      </c>
      <c r="U98" s="154">
        <f t="shared" si="11"/>
        <v>1.8210128109865307</v>
      </c>
    </row>
    <row r="99" spans="1:21" x14ac:dyDescent="0.35">
      <c r="A99" s="107">
        <v>2845</v>
      </c>
      <c r="B99" s="107">
        <v>2018</v>
      </c>
      <c r="C99" s="107" t="s">
        <v>9</v>
      </c>
      <c r="D99" s="107" t="s">
        <v>132</v>
      </c>
      <c r="E99" s="107" t="s">
        <v>10</v>
      </c>
      <c r="F99" s="115">
        <v>5</v>
      </c>
      <c r="G99" s="107" t="s">
        <v>11</v>
      </c>
      <c r="H99" s="107" t="str">
        <f t="shared" si="6"/>
        <v>Area 5: W Juan de Fuca</v>
      </c>
      <c r="I99" s="107" t="str">
        <f>IFERROR(VLOOKUP(H99,LUTs!$A$1:$C$73,2,FALSE),"NA")</f>
        <v>NA</v>
      </c>
      <c r="J99" s="107" t="str">
        <f>IFERROR(VLOOKUP(H99,LUTs!$A$1:$C$73,3,FALSE),"NA")</f>
        <v>0Strait of Juan de Fuca</v>
      </c>
      <c r="K99" s="107" t="s">
        <v>24</v>
      </c>
      <c r="L99" s="107" t="str">
        <f>VLOOKUP(K99,LUTs!E$2:G$14,3,)</f>
        <v>11Clallam</v>
      </c>
      <c r="M99" s="107" t="str">
        <f>VLOOKUP($K99,LUTs!$E$2:$H$14,2,)</f>
        <v>Strait of Juan de Fuca</v>
      </c>
      <c r="N99" s="107" t="str">
        <f>VLOOKUP($K99,LUTs!$E$2:$H$14,4,)</f>
        <v>03Strait of Juan de Fuca</v>
      </c>
      <c r="O99" s="107">
        <v>5236.9695945945996</v>
      </c>
      <c r="P99" s="107">
        <v>5996.2271749019201</v>
      </c>
      <c r="Q99" s="107">
        <f t="shared" si="7"/>
        <v>5236.9695945945996</v>
      </c>
      <c r="R99" s="107">
        <f t="shared" si="8"/>
        <v>5996.2271749019201</v>
      </c>
      <c r="S99" s="140" t="str">
        <f t="shared" si="9"/>
        <v>Y</v>
      </c>
      <c r="T99" s="154">
        <f t="shared" si="10"/>
        <v>1.1449803300540444</v>
      </c>
      <c r="U99" s="154">
        <f t="shared" si="11"/>
        <v>1.1449803300540444</v>
      </c>
    </row>
    <row r="100" spans="1:21" x14ac:dyDescent="0.35">
      <c r="A100" s="107">
        <v>2749</v>
      </c>
      <c r="B100" s="107">
        <v>2018</v>
      </c>
      <c r="C100" s="107" t="s">
        <v>9</v>
      </c>
      <c r="D100" s="107" t="s">
        <v>132</v>
      </c>
      <c r="E100" s="107" t="s">
        <v>10</v>
      </c>
      <c r="F100" s="115">
        <v>5</v>
      </c>
      <c r="G100" s="107" t="s">
        <v>11</v>
      </c>
      <c r="H100" s="107" t="str">
        <f t="shared" si="6"/>
        <v>Area 5: W Juan de Fuca</v>
      </c>
      <c r="I100" s="107" t="str">
        <f>IFERROR(VLOOKUP(H100,LUTs!$A$1:$C$73,2,FALSE),"NA")</f>
        <v>NA</v>
      </c>
      <c r="J100" s="107" t="str">
        <f>IFERROR(VLOOKUP(H100,LUTs!$A$1:$C$73,3,FALSE),"NA")</f>
        <v>0Strait of Juan de Fuca</v>
      </c>
      <c r="K100" s="107" t="s">
        <v>17</v>
      </c>
      <c r="L100" s="107" t="str">
        <f>VLOOKUP(K100,LUTs!E$2:G$14,3,)</f>
        <v>04Island</v>
      </c>
      <c r="M100" s="107" t="str">
        <f>VLOOKUP($K100,LUTs!$E$2:$H$14,2,)</f>
        <v>North Puget Sound</v>
      </c>
      <c r="N100" s="107" t="str">
        <f>VLOOKUP($K100,LUTs!$E$2:$H$14,4,)</f>
        <v>01North Puget Sound</v>
      </c>
      <c r="O100" s="107">
        <v>221.28040540540499</v>
      </c>
      <c r="P100" s="107">
        <v>253.361711615574</v>
      </c>
      <c r="Q100" s="107">
        <f t="shared" si="7"/>
        <v>221.28040540540499</v>
      </c>
      <c r="R100" s="107">
        <f t="shared" si="8"/>
        <v>253.361711615574</v>
      </c>
      <c r="S100" s="140" t="str">
        <f t="shared" si="9"/>
        <v>Y</v>
      </c>
      <c r="T100" s="154">
        <f t="shared" si="10"/>
        <v>1.1449803300540473</v>
      </c>
      <c r="U100" s="154">
        <f t="shared" si="11"/>
        <v>1.1449803300540473</v>
      </c>
    </row>
    <row r="101" spans="1:21" x14ac:dyDescent="0.35">
      <c r="A101" s="107">
        <v>2846</v>
      </c>
      <c r="B101" s="107">
        <v>2018</v>
      </c>
      <c r="C101" s="107" t="s">
        <v>9</v>
      </c>
      <c r="D101" s="107" t="s">
        <v>132</v>
      </c>
      <c r="E101" s="107" t="s">
        <v>10</v>
      </c>
      <c r="F101" s="115">
        <v>5</v>
      </c>
      <c r="G101" s="107" t="s">
        <v>11</v>
      </c>
      <c r="H101" s="107" t="str">
        <f t="shared" si="6"/>
        <v>Area 5: W Juan de Fuca</v>
      </c>
      <c r="I101" s="107" t="str">
        <f>IFERROR(VLOOKUP(H101,LUTs!$A$1:$C$73,2,FALSE),"NA")</f>
        <v>NA</v>
      </c>
      <c r="J101" s="107" t="str">
        <f>IFERROR(VLOOKUP(H101,LUTs!$A$1:$C$73,3,FALSE),"NA")</f>
        <v>0Strait of Juan de Fuca</v>
      </c>
      <c r="K101" s="107" t="s">
        <v>25</v>
      </c>
      <c r="L101" s="107" t="str">
        <f>VLOOKUP(K101,LUTs!E$2:G$14,3,)</f>
        <v>12Jefferson</v>
      </c>
      <c r="M101" s="107" t="str">
        <f>VLOOKUP($K101,LUTs!$E$2:$H$14,2,)</f>
        <v>Strait of Juan de Fuca</v>
      </c>
      <c r="N101" s="107" t="str">
        <f>VLOOKUP($K101,LUTs!$E$2:$H$14,4,)</f>
        <v>03Strait of Juan de Fuca</v>
      </c>
      <c r="O101" s="107">
        <v>389.875</v>
      </c>
      <c r="P101" s="107">
        <v>446.39920617982102</v>
      </c>
      <c r="Q101" s="107">
        <f t="shared" si="7"/>
        <v>389.875</v>
      </c>
      <c r="R101" s="107">
        <f t="shared" si="8"/>
        <v>446.39920617982102</v>
      </c>
      <c r="S101" s="140" t="str">
        <f t="shared" si="9"/>
        <v>Y</v>
      </c>
      <c r="T101" s="154">
        <f t="shared" si="10"/>
        <v>1.1449803300540455</v>
      </c>
      <c r="U101" s="154">
        <f t="shared" si="11"/>
        <v>1.1449803300540455</v>
      </c>
    </row>
    <row r="102" spans="1:21" x14ac:dyDescent="0.35">
      <c r="A102" s="107">
        <v>2751</v>
      </c>
      <c r="B102" s="107">
        <v>2018</v>
      </c>
      <c r="C102" s="107" t="s">
        <v>9</v>
      </c>
      <c r="D102" s="107" t="s">
        <v>132</v>
      </c>
      <c r="E102" s="107" t="s">
        <v>10</v>
      </c>
      <c r="F102" s="115">
        <v>5</v>
      </c>
      <c r="G102" s="107" t="s">
        <v>11</v>
      </c>
      <c r="H102" s="107" t="str">
        <f t="shared" si="6"/>
        <v>Area 5: W Juan de Fuca</v>
      </c>
      <c r="I102" s="107" t="str">
        <f>IFERROR(VLOOKUP(H102,LUTs!$A$1:$C$73,2,FALSE),"NA")</f>
        <v>NA</v>
      </c>
      <c r="J102" s="107" t="str">
        <f>IFERROR(VLOOKUP(H102,LUTs!$A$1:$C$73,3,FALSE),"NA")</f>
        <v>0Strait of Juan de Fuca</v>
      </c>
      <c r="K102" s="107" t="s">
        <v>18</v>
      </c>
      <c r="L102" s="107" t="str">
        <f>VLOOKUP(K102,LUTs!E$2:G$14,3,)</f>
        <v>06King</v>
      </c>
      <c r="M102" s="107" t="str">
        <f>VLOOKUP($K102,LUTs!$E$2:$H$14,2,)</f>
        <v>South Puget Sound</v>
      </c>
      <c r="N102" s="107" t="str">
        <f>VLOOKUP($K102,LUTs!$E$2:$H$14,4,)</f>
        <v>02South Puget Sound</v>
      </c>
      <c r="O102" s="107">
        <v>3846.0641891891901</v>
      </c>
      <c r="P102" s="107">
        <v>4403.6678447468803</v>
      </c>
      <c r="Q102" s="107">
        <f t="shared" si="7"/>
        <v>3846.0641891891901</v>
      </c>
      <c r="R102" s="107">
        <f t="shared" si="8"/>
        <v>4403.6678447468803</v>
      </c>
      <c r="S102" s="140" t="str">
        <f t="shared" si="9"/>
        <v>Y</v>
      </c>
      <c r="T102" s="154">
        <f t="shared" si="10"/>
        <v>1.1449803300540446</v>
      </c>
      <c r="U102" s="154">
        <f t="shared" si="11"/>
        <v>1.1449803300540446</v>
      </c>
    </row>
    <row r="103" spans="1:21" x14ac:dyDescent="0.35">
      <c r="A103" s="107">
        <v>2844</v>
      </c>
      <c r="B103" s="107">
        <v>2018</v>
      </c>
      <c r="C103" s="107" t="s">
        <v>9</v>
      </c>
      <c r="D103" s="107" t="s">
        <v>132</v>
      </c>
      <c r="E103" s="107" t="s">
        <v>10</v>
      </c>
      <c r="F103" s="115">
        <v>5</v>
      </c>
      <c r="G103" s="107" t="s">
        <v>11</v>
      </c>
      <c r="H103" s="107" t="str">
        <f t="shared" si="6"/>
        <v>Area 5: W Juan de Fuca</v>
      </c>
      <c r="I103" s="107" t="str">
        <f>IFERROR(VLOOKUP(H103,LUTs!$A$1:$C$73,2,FALSE),"NA")</f>
        <v>NA</v>
      </c>
      <c r="J103" s="107" t="str">
        <f>IFERROR(VLOOKUP(H103,LUTs!$A$1:$C$73,3,FALSE),"NA")</f>
        <v>0Strait of Juan de Fuca</v>
      </c>
      <c r="K103" s="107" t="s">
        <v>23</v>
      </c>
      <c r="L103" s="107" t="str">
        <f>VLOOKUP(K103,LUTs!E$2:G$14,3,)</f>
        <v>10Kitsap</v>
      </c>
      <c r="M103" s="107" t="str">
        <f>VLOOKUP($K103,LUTs!$E$2:$H$14,2,)</f>
        <v>South Puget Sound</v>
      </c>
      <c r="N103" s="107" t="str">
        <f>VLOOKUP($K103,LUTs!$E$2:$H$14,4,)</f>
        <v>02South Puget Sound</v>
      </c>
      <c r="O103" s="107">
        <v>3277.0574324324298</v>
      </c>
      <c r="P103" s="107">
        <v>3752.1663005925502</v>
      </c>
      <c r="Q103" s="107">
        <f t="shared" si="7"/>
        <v>3277.0574324324298</v>
      </c>
      <c r="R103" s="107">
        <f t="shared" si="8"/>
        <v>3752.1663005925502</v>
      </c>
      <c r="S103" s="140" t="str">
        <f t="shared" si="9"/>
        <v>Y</v>
      </c>
      <c r="T103" s="154">
        <f t="shared" si="10"/>
        <v>1.1449803300540466</v>
      </c>
      <c r="U103" s="154">
        <f t="shared" si="11"/>
        <v>1.1449803300540466</v>
      </c>
    </row>
    <row r="104" spans="1:21" x14ac:dyDescent="0.35">
      <c r="A104" s="107">
        <v>2843</v>
      </c>
      <c r="B104" s="107">
        <v>2018</v>
      </c>
      <c r="C104" s="107" t="s">
        <v>9</v>
      </c>
      <c r="D104" s="107" t="s">
        <v>132</v>
      </c>
      <c r="E104" s="107" t="s">
        <v>10</v>
      </c>
      <c r="F104" s="115">
        <v>5</v>
      </c>
      <c r="G104" s="107" t="s">
        <v>11</v>
      </c>
      <c r="H104" s="107" t="str">
        <f t="shared" si="6"/>
        <v>Area 5: W Juan de Fuca</v>
      </c>
      <c r="I104" s="107" t="str">
        <f>IFERROR(VLOOKUP(H104,LUTs!$A$1:$C$73,2,FALSE),"NA")</f>
        <v>NA</v>
      </c>
      <c r="J104" s="107" t="str">
        <f>IFERROR(VLOOKUP(H104,LUTs!$A$1:$C$73,3,FALSE),"NA")</f>
        <v>0Strait of Juan de Fuca</v>
      </c>
      <c r="K104" s="107" t="s">
        <v>22</v>
      </c>
      <c r="L104" s="107" t="str">
        <f>VLOOKUP(K104,LUTs!E$2:G$14,3,)</f>
        <v>09Mason</v>
      </c>
      <c r="M104" s="107" t="str">
        <f>VLOOKUP($K104,LUTs!$E$2:$H$14,2,)</f>
        <v>South Puget Sound</v>
      </c>
      <c r="N104" s="107" t="str">
        <f>VLOOKUP($K104,LUTs!$E$2:$H$14,4,)</f>
        <v>02South Puget Sound</v>
      </c>
      <c r="O104" s="107">
        <v>853.51013513513499</v>
      </c>
      <c r="P104" s="107">
        <v>977.25231623149898</v>
      </c>
      <c r="Q104" s="107">
        <f t="shared" si="7"/>
        <v>853.51013513513499</v>
      </c>
      <c r="R104" s="107">
        <f t="shared" si="8"/>
        <v>977.25231623149898</v>
      </c>
      <c r="S104" s="140" t="str">
        <f t="shared" si="9"/>
        <v>Y</v>
      </c>
      <c r="T104" s="154">
        <f t="shared" si="10"/>
        <v>1.1449803300540444</v>
      </c>
      <c r="U104" s="154">
        <f t="shared" si="11"/>
        <v>1.1449803300540444</v>
      </c>
    </row>
    <row r="105" spans="1:21" x14ac:dyDescent="0.35">
      <c r="A105" s="107">
        <v>2847</v>
      </c>
      <c r="B105" s="107">
        <v>2018</v>
      </c>
      <c r="C105" s="107" t="s">
        <v>9</v>
      </c>
      <c r="D105" s="107" t="s">
        <v>132</v>
      </c>
      <c r="E105" s="107" t="s">
        <v>10</v>
      </c>
      <c r="F105" s="115">
        <v>5</v>
      </c>
      <c r="G105" s="107" t="s">
        <v>11</v>
      </c>
      <c r="H105" s="107" t="str">
        <f t="shared" si="6"/>
        <v>Area 5: W Juan de Fuca</v>
      </c>
      <c r="I105" s="107" t="str">
        <f>IFERROR(VLOOKUP(H105,LUTs!$A$1:$C$73,2,FALSE),"NA")</f>
        <v>NA</v>
      </c>
      <c r="J105" s="107" t="str">
        <f>IFERROR(VLOOKUP(H105,LUTs!$A$1:$C$73,3,FALSE),"NA")</f>
        <v>0Strait of Juan de Fuca</v>
      </c>
      <c r="K105" s="107" t="s">
        <v>26</v>
      </c>
      <c r="L105" s="107" t="str">
        <f>VLOOKUP(K105,LUTs!E$2:G$14,3,)</f>
        <v>20Other</v>
      </c>
      <c r="M105" s="107" t="str">
        <f>VLOOKUP($K105,LUTs!$E$2:$H$14,2,)</f>
        <v>Non Puget Sound</v>
      </c>
      <c r="N105" s="107" t="str">
        <f>VLOOKUP($K105,LUTs!$E$2:$H$14,4,)</f>
        <v>07Non Puget Sound</v>
      </c>
      <c r="O105" s="107">
        <v>6385.52027027027</v>
      </c>
      <c r="P105" s="107">
        <v>7311.2951066208498</v>
      </c>
      <c r="Q105" s="107">
        <f t="shared" si="7"/>
        <v>6385.52027027027</v>
      </c>
      <c r="R105" s="107">
        <f t="shared" si="8"/>
        <v>7311.2951066208498</v>
      </c>
      <c r="S105" s="140" t="str">
        <f t="shared" si="9"/>
        <v>Y</v>
      </c>
      <c r="T105" s="154">
        <f t="shared" si="10"/>
        <v>1.1449803300540453</v>
      </c>
      <c r="U105" s="154">
        <f t="shared" si="11"/>
        <v>1.1449803300540453</v>
      </c>
    </row>
    <row r="106" spans="1:21" x14ac:dyDescent="0.35">
      <c r="A106" s="107">
        <v>2752</v>
      </c>
      <c r="B106" s="107">
        <v>2018</v>
      </c>
      <c r="C106" s="107" t="s">
        <v>9</v>
      </c>
      <c r="D106" s="107" t="s">
        <v>132</v>
      </c>
      <c r="E106" s="107" t="s">
        <v>10</v>
      </c>
      <c r="F106" s="115">
        <v>5</v>
      </c>
      <c r="G106" s="107" t="s">
        <v>11</v>
      </c>
      <c r="H106" s="107" t="str">
        <f t="shared" si="6"/>
        <v>Area 5: W Juan de Fuca</v>
      </c>
      <c r="I106" s="107" t="str">
        <f>IFERROR(VLOOKUP(H106,LUTs!$A$1:$C$73,2,FALSE),"NA")</f>
        <v>NA</v>
      </c>
      <c r="J106" s="107" t="str">
        <f>IFERROR(VLOOKUP(H106,LUTs!$A$1:$C$73,3,FALSE),"NA")</f>
        <v>0Strait of Juan de Fuca</v>
      </c>
      <c r="K106" s="107" t="s">
        <v>20</v>
      </c>
      <c r="L106" s="107" t="str">
        <f>VLOOKUP(K106,LUTs!E$2:G$14,3,)</f>
        <v>07Pierce</v>
      </c>
      <c r="M106" s="107" t="str">
        <f>VLOOKUP($K106,LUTs!$E$2:$H$14,2,)</f>
        <v>South Puget Sound</v>
      </c>
      <c r="N106" s="107" t="str">
        <f>VLOOKUP($K106,LUTs!$E$2:$H$14,4,)</f>
        <v>02South Puget Sound</v>
      </c>
      <c r="O106" s="107">
        <v>4615.2770270270303</v>
      </c>
      <c r="P106" s="107">
        <v>5284.4014136962596</v>
      </c>
      <c r="Q106" s="107">
        <f t="shared" si="7"/>
        <v>4615.2770270270303</v>
      </c>
      <c r="R106" s="107">
        <f t="shared" si="8"/>
        <v>5284.4014136962596</v>
      </c>
      <c r="S106" s="140" t="str">
        <f t="shared" si="9"/>
        <v>Y</v>
      </c>
      <c r="T106" s="154">
        <f t="shared" si="10"/>
        <v>1.1449803300540449</v>
      </c>
      <c r="U106" s="154">
        <f t="shared" si="11"/>
        <v>1.1449803300540449</v>
      </c>
    </row>
    <row r="107" spans="1:21" x14ac:dyDescent="0.35">
      <c r="A107" s="107">
        <v>2750</v>
      </c>
      <c r="B107" s="107">
        <v>2018</v>
      </c>
      <c r="C107" s="107" t="s">
        <v>9</v>
      </c>
      <c r="D107" s="107" t="s">
        <v>132</v>
      </c>
      <c r="E107" s="107" t="s">
        <v>10</v>
      </c>
      <c r="F107" s="115">
        <v>5</v>
      </c>
      <c r="G107" s="107" t="s">
        <v>11</v>
      </c>
      <c r="H107" s="107" t="str">
        <f t="shared" si="6"/>
        <v>Area 5: W Juan de Fuca</v>
      </c>
      <c r="I107" s="107" t="str">
        <f>IFERROR(VLOOKUP(H107,LUTs!$A$1:$C$73,2,FALSE),"NA")</f>
        <v>NA</v>
      </c>
      <c r="J107" s="107" t="str">
        <f>IFERROR(VLOOKUP(H107,LUTs!$A$1:$C$73,3,FALSE),"NA")</f>
        <v>0Strait of Juan de Fuca</v>
      </c>
      <c r="K107" s="107" t="s">
        <v>30</v>
      </c>
      <c r="L107" s="107" t="str">
        <f>VLOOKUP(K107,LUTs!E$2:G$14,3,)</f>
        <v>05San Juan</v>
      </c>
      <c r="M107" s="107" t="str">
        <f>VLOOKUP($K107,LUTs!$E$2:$H$14,2,)</f>
        <v>North Puget Sound</v>
      </c>
      <c r="N107" s="107" t="str">
        <f>VLOOKUP($K107,LUTs!$E$2:$H$14,4,)</f>
        <v>01North Puget Sound</v>
      </c>
      <c r="O107" s="107">
        <v>94.834459459459495</v>
      </c>
      <c r="P107" s="107">
        <v>108.583590692389</v>
      </c>
      <c r="Q107" s="107">
        <f t="shared" si="7"/>
        <v>94.834459459459495</v>
      </c>
      <c r="R107" s="107">
        <f t="shared" si="8"/>
        <v>108.583590692389</v>
      </c>
      <c r="S107" s="140" t="str">
        <f t="shared" si="9"/>
        <v>Y</v>
      </c>
      <c r="T107" s="154">
        <f t="shared" si="10"/>
        <v>1.1449803300540462</v>
      </c>
      <c r="U107" s="154">
        <f t="shared" si="11"/>
        <v>1.1449803300540462</v>
      </c>
    </row>
    <row r="108" spans="1:21" x14ac:dyDescent="0.35">
      <c r="A108" s="107">
        <v>2747</v>
      </c>
      <c r="B108" s="107">
        <v>2018</v>
      </c>
      <c r="C108" s="107" t="s">
        <v>9</v>
      </c>
      <c r="D108" s="107" t="s">
        <v>132</v>
      </c>
      <c r="E108" s="107" t="s">
        <v>10</v>
      </c>
      <c r="F108" s="115">
        <v>5</v>
      </c>
      <c r="G108" s="107" t="s">
        <v>11</v>
      </c>
      <c r="H108" s="107" t="str">
        <f t="shared" si="6"/>
        <v>Area 5: W Juan de Fuca</v>
      </c>
      <c r="I108" s="107" t="str">
        <f>IFERROR(VLOOKUP(H108,LUTs!$A$1:$C$73,2,FALSE),"NA")</f>
        <v>NA</v>
      </c>
      <c r="J108" s="107" t="str">
        <f>IFERROR(VLOOKUP(H108,LUTs!$A$1:$C$73,3,FALSE),"NA")</f>
        <v>0Strait of Juan de Fuca</v>
      </c>
      <c r="K108" s="107" t="s">
        <v>15</v>
      </c>
      <c r="L108" s="107" t="str">
        <f>VLOOKUP(K108,LUTs!E$2:G$14,3,)</f>
        <v>02Skagit</v>
      </c>
      <c r="M108" s="107" t="str">
        <f>VLOOKUP($K108,LUTs!$E$2:$H$14,2,)</f>
        <v>North Puget Sound</v>
      </c>
      <c r="N108" s="107" t="str">
        <f>VLOOKUP($K108,LUTs!$E$2:$H$14,4,)</f>
        <v>01North Puget Sound</v>
      </c>
      <c r="O108" s="107">
        <v>210.743243243243</v>
      </c>
      <c r="P108" s="107">
        <v>241.29686820530799</v>
      </c>
      <c r="Q108" s="107">
        <f t="shared" si="7"/>
        <v>210.743243243243</v>
      </c>
      <c r="R108" s="107">
        <f t="shared" si="8"/>
        <v>241.29686820530799</v>
      </c>
      <c r="S108" s="140" t="str">
        <f t="shared" si="9"/>
        <v>Y</v>
      </c>
      <c r="T108" s="154">
        <f t="shared" si="10"/>
        <v>1.1449803300540438</v>
      </c>
      <c r="U108" s="154">
        <f t="shared" si="11"/>
        <v>1.1449803300540438</v>
      </c>
    </row>
    <row r="109" spans="1:21" x14ac:dyDescent="0.35">
      <c r="A109" s="107">
        <v>2748</v>
      </c>
      <c r="B109" s="107">
        <v>2018</v>
      </c>
      <c r="C109" s="107" t="s">
        <v>9</v>
      </c>
      <c r="D109" s="107" t="s">
        <v>132</v>
      </c>
      <c r="E109" s="107" t="s">
        <v>10</v>
      </c>
      <c r="F109" s="115">
        <v>5</v>
      </c>
      <c r="G109" s="107" t="s">
        <v>11</v>
      </c>
      <c r="H109" s="107" t="str">
        <f t="shared" si="6"/>
        <v>Area 5: W Juan de Fuca</v>
      </c>
      <c r="I109" s="107" t="str">
        <f>IFERROR(VLOOKUP(H109,LUTs!$A$1:$C$73,2,FALSE),"NA")</f>
        <v>NA</v>
      </c>
      <c r="J109" s="107" t="str">
        <f>IFERROR(VLOOKUP(H109,LUTs!$A$1:$C$73,3,FALSE),"NA")</f>
        <v>0Strait of Juan de Fuca</v>
      </c>
      <c r="K109" s="107" t="s">
        <v>16</v>
      </c>
      <c r="L109" s="107" t="str">
        <f>VLOOKUP(K109,LUTs!E$2:G$14,3,)</f>
        <v>03Snohomish</v>
      </c>
      <c r="M109" s="107" t="str">
        <f>VLOOKUP($K109,LUTs!$E$2:$H$14,2,)</f>
        <v>North Puget Sound</v>
      </c>
      <c r="N109" s="107" t="str">
        <f>VLOOKUP($K109,LUTs!$E$2:$H$14,4,)</f>
        <v>01North Puget Sound</v>
      </c>
      <c r="O109" s="107">
        <v>1264.45945945946</v>
      </c>
      <c r="P109" s="107">
        <v>1447.78120923185</v>
      </c>
      <c r="Q109" s="107">
        <f t="shared" si="7"/>
        <v>1264.45945945946</v>
      </c>
      <c r="R109" s="107">
        <f t="shared" si="8"/>
        <v>1447.78120923185</v>
      </c>
      <c r="S109" s="140" t="str">
        <f t="shared" si="9"/>
        <v>Y</v>
      </c>
      <c r="T109" s="154">
        <f t="shared" si="10"/>
        <v>1.1449803300540435</v>
      </c>
      <c r="U109" s="154">
        <f t="shared" si="11"/>
        <v>1.1449803300540435</v>
      </c>
    </row>
    <row r="110" spans="1:21" x14ac:dyDescent="0.35">
      <c r="A110" s="107">
        <v>2753</v>
      </c>
      <c r="B110" s="107">
        <v>2018</v>
      </c>
      <c r="C110" s="107" t="s">
        <v>9</v>
      </c>
      <c r="D110" s="107" t="s">
        <v>132</v>
      </c>
      <c r="E110" s="107" t="s">
        <v>10</v>
      </c>
      <c r="F110" s="115">
        <v>5</v>
      </c>
      <c r="G110" s="107" t="s">
        <v>11</v>
      </c>
      <c r="H110" s="107" t="str">
        <f t="shared" si="6"/>
        <v>Area 5: W Juan de Fuca</v>
      </c>
      <c r="I110" s="107" t="str">
        <f>IFERROR(VLOOKUP(H110,LUTs!$A$1:$C$73,2,FALSE),"NA")</f>
        <v>NA</v>
      </c>
      <c r="J110" s="107" t="str">
        <f>IFERROR(VLOOKUP(H110,LUTs!$A$1:$C$73,3,FALSE),"NA")</f>
        <v>0Strait of Juan de Fuca</v>
      </c>
      <c r="K110" s="107" t="s">
        <v>21</v>
      </c>
      <c r="L110" s="107" t="str">
        <f>VLOOKUP(K110,LUTs!E$2:G$14,3,)</f>
        <v>08Thurston</v>
      </c>
      <c r="M110" s="107" t="str">
        <f>VLOOKUP($K110,LUTs!$E$2:$H$14,2,)</f>
        <v>South Puget Sound</v>
      </c>
      <c r="N110" s="107" t="str">
        <f>VLOOKUP($K110,LUTs!$E$2:$H$14,4,)</f>
        <v>02South Puget Sound</v>
      </c>
      <c r="O110" s="107">
        <v>1433.0540540540501</v>
      </c>
      <c r="P110" s="107">
        <v>1640.8187037961</v>
      </c>
      <c r="Q110" s="107">
        <f t="shared" si="7"/>
        <v>1433.0540540540501</v>
      </c>
      <c r="R110" s="107">
        <f t="shared" si="8"/>
        <v>1640.8187037961</v>
      </c>
      <c r="S110" s="140" t="str">
        <f t="shared" si="9"/>
        <v>Y</v>
      </c>
      <c r="T110" s="154">
        <f t="shared" si="10"/>
        <v>1.1449803300540495</v>
      </c>
      <c r="U110" s="154">
        <f t="shared" si="11"/>
        <v>1.1449803300540495</v>
      </c>
    </row>
    <row r="111" spans="1:21" x14ac:dyDescent="0.35">
      <c r="A111" s="107">
        <v>2738</v>
      </c>
      <c r="B111" s="107">
        <v>2018</v>
      </c>
      <c r="C111" s="107" t="s">
        <v>9</v>
      </c>
      <c r="D111" s="107" t="s">
        <v>132</v>
      </c>
      <c r="E111" s="107" t="s">
        <v>10</v>
      </c>
      <c r="F111" s="115">
        <v>5</v>
      </c>
      <c r="G111" s="107" t="s">
        <v>11</v>
      </c>
      <c r="H111" s="107" t="str">
        <f t="shared" si="6"/>
        <v>Area 5: W Juan de Fuca</v>
      </c>
      <c r="I111" s="107" t="str">
        <f>IFERROR(VLOOKUP(H111,LUTs!$A$1:$C$73,2,FALSE),"NA")</f>
        <v>NA</v>
      </c>
      <c r="J111" s="107" t="str">
        <f>IFERROR(VLOOKUP(H111,LUTs!$A$1:$C$73,3,FALSE),"NA")</f>
        <v>0Strait of Juan de Fuca</v>
      </c>
      <c r="K111" s="107" t="s">
        <v>13</v>
      </c>
      <c r="L111" s="107" t="str">
        <f>VLOOKUP(K111,LUTs!E$2:G$14,3,)</f>
        <v>01Whatcom</v>
      </c>
      <c r="M111" s="107" t="str">
        <f>VLOOKUP($K111,LUTs!$E$2:$H$14,2,)</f>
        <v>North Puget Sound</v>
      </c>
      <c r="N111" s="107" t="str">
        <f>VLOOKUP($K111,LUTs!$E$2:$H$14,4,)</f>
        <v>01North Puget Sound</v>
      </c>
      <c r="O111" s="107">
        <v>242.35472972973</v>
      </c>
      <c r="P111" s="107">
        <v>277.49139843610499</v>
      </c>
      <c r="Q111" s="107">
        <f t="shared" si="7"/>
        <v>242.35472972973</v>
      </c>
      <c r="R111" s="107">
        <f t="shared" si="8"/>
        <v>277.49139843610499</v>
      </c>
      <c r="S111" s="140" t="str">
        <f t="shared" si="9"/>
        <v>Y</v>
      </c>
      <c r="T111" s="154">
        <f t="shared" si="10"/>
        <v>1.1449803300540444</v>
      </c>
      <c r="U111" s="154">
        <f t="shared" si="11"/>
        <v>1.1449803300540444</v>
      </c>
    </row>
    <row r="112" spans="1:21" x14ac:dyDescent="0.35">
      <c r="A112" s="107">
        <v>3077</v>
      </c>
      <c r="B112" s="107">
        <v>2019</v>
      </c>
      <c r="C112" s="107" t="s">
        <v>9</v>
      </c>
      <c r="D112" s="107" t="s">
        <v>132</v>
      </c>
      <c r="E112" s="107" t="s">
        <v>10</v>
      </c>
      <c r="F112" s="115">
        <v>5</v>
      </c>
      <c r="G112" s="107" t="s">
        <v>11</v>
      </c>
      <c r="H112" s="107" t="str">
        <f t="shared" si="6"/>
        <v>Area 5: W Juan de Fuca</v>
      </c>
      <c r="I112" s="107" t="str">
        <f>IFERROR(VLOOKUP(H112,LUTs!$A$1:$C$73,2,FALSE),"NA")</f>
        <v>NA</v>
      </c>
      <c r="J112" s="107" t="str">
        <f>IFERROR(VLOOKUP(H112,LUTs!$A$1:$C$73,3,FALSE),"NA")</f>
        <v>0Strait of Juan de Fuca</v>
      </c>
      <c r="K112" s="107" t="s">
        <v>24</v>
      </c>
      <c r="L112" s="107" t="str">
        <f>VLOOKUP(K112,LUTs!E$2:G$14,3,)</f>
        <v>11Clallam</v>
      </c>
      <c r="M112" s="107" t="str">
        <f>VLOOKUP($K112,LUTs!$E$2:$H$14,2,)</f>
        <v>Strait of Juan de Fuca</v>
      </c>
      <c r="N112" s="107" t="str">
        <f>VLOOKUP($K112,LUTs!$E$2:$H$14,4,)</f>
        <v>03Strait of Juan de Fuca</v>
      </c>
      <c r="O112" s="107">
        <v>3885.92</v>
      </c>
      <c r="P112" s="107">
        <v>5166.0830664669002</v>
      </c>
      <c r="Q112" s="107">
        <f t="shared" si="7"/>
        <v>3885.92</v>
      </c>
      <c r="R112" s="107">
        <f t="shared" si="8"/>
        <v>5166.0830664669002</v>
      </c>
      <c r="S112" s="140" t="str">
        <f t="shared" si="9"/>
        <v>Y</v>
      </c>
      <c r="T112" s="154">
        <f t="shared" si="10"/>
        <v>1.329436289596003</v>
      </c>
      <c r="U112" s="154">
        <f t="shared" si="11"/>
        <v>1.329436289596003</v>
      </c>
    </row>
    <row r="113" spans="1:21" x14ac:dyDescent="0.35">
      <c r="A113" s="107">
        <v>2958</v>
      </c>
      <c r="B113" s="107">
        <v>2019</v>
      </c>
      <c r="C113" s="107" t="s">
        <v>9</v>
      </c>
      <c r="D113" s="107" t="s">
        <v>132</v>
      </c>
      <c r="E113" s="107" t="s">
        <v>10</v>
      </c>
      <c r="F113" s="115">
        <v>5</v>
      </c>
      <c r="G113" s="107" t="s">
        <v>11</v>
      </c>
      <c r="H113" s="107" t="str">
        <f t="shared" si="6"/>
        <v>Area 5: W Juan de Fuca</v>
      </c>
      <c r="I113" s="107" t="str">
        <f>IFERROR(VLOOKUP(H113,LUTs!$A$1:$C$73,2,FALSE),"NA")</f>
        <v>NA</v>
      </c>
      <c r="J113" s="107" t="str">
        <f>IFERROR(VLOOKUP(H113,LUTs!$A$1:$C$73,3,FALSE),"NA")</f>
        <v>0Strait of Juan de Fuca</v>
      </c>
      <c r="K113" s="107" t="s">
        <v>17</v>
      </c>
      <c r="L113" s="107" t="str">
        <f>VLOOKUP(K113,LUTs!E$2:G$14,3,)</f>
        <v>04Island</v>
      </c>
      <c r="M113" s="107" t="str">
        <f>VLOOKUP($K113,LUTs!$E$2:$H$14,2,)</f>
        <v>North Puget Sound</v>
      </c>
      <c r="N113" s="107" t="str">
        <f>VLOOKUP($K113,LUTs!$E$2:$H$14,4,)</f>
        <v>01North Puget Sound</v>
      </c>
      <c r="O113" s="107">
        <v>401.99172413793099</v>
      </c>
      <c r="P113" s="107">
        <v>534.42238618623105</v>
      </c>
      <c r="Q113" s="107">
        <f t="shared" si="7"/>
        <v>401.99172413793099</v>
      </c>
      <c r="R113" s="107">
        <f t="shared" si="8"/>
        <v>534.42238618623105</v>
      </c>
      <c r="S113" s="140" t="str">
        <f t="shared" si="9"/>
        <v>Y</v>
      </c>
      <c r="T113" s="154">
        <f t="shared" si="10"/>
        <v>1.3294362895960032</v>
      </c>
      <c r="U113" s="154">
        <f t="shared" si="11"/>
        <v>1.3294362895960032</v>
      </c>
    </row>
    <row r="114" spans="1:21" x14ac:dyDescent="0.35">
      <c r="A114" s="107">
        <v>3078</v>
      </c>
      <c r="B114" s="107">
        <v>2019</v>
      </c>
      <c r="C114" s="107" t="s">
        <v>9</v>
      </c>
      <c r="D114" s="107" t="s">
        <v>132</v>
      </c>
      <c r="E114" s="107" t="s">
        <v>10</v>
      </c>
      <c r="F114" s="115">
        <v>5</v>
      </c>
      <c r="G114" s="107" t="s">
        <v>11</v>
      </c>
      <c r="H114" s="107" t="str">
        <f t="shared" si="6"/>
        <v>Area 5: W Juan de Fuca</v>
      </c>
      <c r="I114" s="107" t="str">
        <f>IFERROR(VLOOKUP(H114,LUTs!$A$1:$C$73,2,FALSE),"NA")</f>
        <v>NA</v>
      </c>
      <c r="J114" s="107" t="str">
        <f>IFERROR(VLOOKUP(H114,LUTs!$A$1:$C$73,3,FALSE),"NA")</f>
        <v>0Strait of Juan de Fuca</v>
      </c>
      <c r="K114" s="107" t="s">
        <v>25</v>
      </c>
      <c r="L114" s="107" t="str">
        <f>VLOOKUP(K114,LUTs!E$2:G$14,3,)</f>
        <v>12Jefferson</v>
      </c>
      <c r="M114" s="107" t="str">
        <f>VLOOKUP($K114,LUTs!$E$2:$H$14,2,)</f>
        <v>Strait of Juan de Fuca</v>
      </c>
      <c r="N114" s="107" t="str">
        <f>VLOOKUP($K114,LUTs!$E$2:$H$14,4,)</f>
        <v>03Strait of Juan de Fuca</v>
      </c>
      <c r="O114" s="107">
        <v>703.48551724137894</v>
      </c>
      <c r="P114" s="107">
        <v>935.23917582590502</v>
      </c>
      <c r="Q114" s="107">
        <f t="shared" si="7"/>
        <v>703.48551724137894</v>
      </c>
      <c r="R114" s="107">
        <f t="shared" si="8"/>
        <v>935.23917582590502</v>
      </c>
      <c r="S114" s="140" t="str">
        <f t="shared" si="9"/>
        <v>Y</v>
      </c>
      <c r="T114" s="154">
        <f t="shared" si="10"/>
        <v>1.3294362895960048</v>
      </c>
      <c r="U114" s="154">
        <f t="shared" si="11"/>
        <v>1.3294362895960048</v>
      </c>
    </row>
    <row r="115" spans="1:21" x14ac:dyDescent="0.35">
      <c r="A115" s="107">
        <v>3072</v>
      </c>
      <c r="B115" s="107">
        <v>2019</v>
      </c>
      <c r="C115" s="107" t="s">
        <v>9</v>
      </c>
      <c r="D115" s="107" t="s">
        <v>132</v>
      </c>
      <c r="E115" s="107" t="s">
        <v>10</v>
      </c>
      <c r="F115" s="115">
        <v>5</v>
      </c>
      <c r="G115" s="107" t="s">
        <v>11</v>
      </c>
      <c r="H115" s="107" t="str">
        <f t="shared" si="6"/>
        <v>Area 5: W Juan de Fuca</v>
      </c>
      <c r="I115" s="107" t="str">
        <f>IFERROR(VLOOKUP(H115,LUTs!$A$1:$C$73,2,FALSE),"NA")</f>
        <v>NA</v>
      </c>
      <c r="J115" s="107" t="str">
        <f>IFERROR(VLOOKUP(H115,LUTs!$A$1:$C$73,3,FALSE),"NA")</f>
        <v>0Strait of Juan de Fuca</v>
      </c>
      <c r="K115" s="107" t="s">
        <v>18</v>
      </c>
      <c r="L115" s="107" t="str">
        <f>VLOOKUP(K115,LUTs!E$2:G$14,3,)</f>
        <v>06King</v>
      </c>
      <c r="M115" s="107" t="str">
        <f>VLOOKUP($K115,LUTs!$E$2:$H$14,2,)</f>
        <v>South Puget Sound</v>
      </c>
      <c r="N115" s="107" t="str">
        <f>VLOOKUP($K115,LUTs!$E$2:$H$14,4,)</f>
        <v>02South Puget Sound</v>
      </c>
      <c r="O115" s="107">
        <v>2767.04303448276</v>
      </c>
      <c r="P115" s="107">
        <v>3678.6074249152298</v>
      </c>
      <c r="Q115" s="107">
        <f t="shared" si="7"/>
        <v>2767.04303448276</v>
      </c>
      <c r="R115" s="107">
        <f t="shared" si="8"/>
        <v>3678.6074249152298</v>
      </c>
      <c r="S115" s="140" t="str">
        <f t="shared" si="9"/>
        <v>Y</v>
      </c>
      <c r="T115" s="154">
        <f t="shared" si="10"/>
        <v>1.3294362895960046</v>
      </c>
      <c r="U115" s="154">
        <f t="shared" si="11"/>
        <v>1.3294362895960046</v>
      </c>
    </row>
    <row r="116" spans="1:21" x14ac:dyDescent="0.35">
      <c r="A116" s="107">
        <v>3076</v>
      </c>
      <c r="B116" s="107">
        <v>2019</v>
      </c>
      <c r="C116" s="107" t="s">
        <v>9</v>
      </c>
      <c r="D116" s="107" t="s">
        <v>132</v>
      </c>
      <c r="E116" s="107" t="s">
        <v>10</v>
      </c>
      <c r="F116" s="115">
        <v>5</v>
      </c>
      <c r="G116" s="107" t="s">
        <v>11</v>
      </c>
      <c r="H116" s="107" t="str">
        <f t="shared" si="6"/>
        <v>Area 5: W Juan de Fuca</v>
      </c>
      <c r="I116" s="107" t="str">
        <f>IFERROR(VLOOKUP(H116,LUTs!$A$1:$C$73,2,FALSE),"NA")</f>
        <v>NA</v>
      </c>
      <c r="J116" s="107" t="str">
        <f>IFERROR(VLOOKUP(H116,LUTs!$A$1:$C$73,3,FALSE),"NA")</f>
        <v>0Strait of Juan de Fuca</v>
      </c>
      <c r="K116" s="107" t="s">
        <v>23</v>
      </c>
      <c r="L116" s="107" t="str">
        <f>VLOOKUP(K116,LUTs!E$2:G$14,3,)</f>
        <v>10Kitsap</v>
      </c>
      <c r="M116" s="107" t="str">
        <f>VLOOKUP($K116,LUTs!$E$2:$H$14,2,)</f>
        <v>South Puget Sound</v>
      </c>
      <c r="N116" s="107" t="str">
        <f>VLOOKUP($K116,LUTs!$E$2:$H$14,4,)</f>
        <v>02South Puget Sound</v>
      </c>
      <c r="O116" s="107">
        <v>2666.5451034482799</v>
      </c>
      <c r="P116" s="107">
        <v>3545.00182836867</v>
      </c>
      <c r="Q116" s="107">
        <f t="shared" si="7"/>
        <v>2666.5451034482799</v>
      </c>
      <c r="R116" s="107">
        <f t="shared" si="8"/>
        <v>3545.00182836867</v>
      </c>
      <c r="S116" s="140" t="str">
        <f t="shared" si="9"/>
        <v>Y</v>
      </c>
      <c r="T116" s="154">
        <f t="shared" si="10"/>
        <v>1.3294362895960026</v>
      </c>
      <c r="U116" s="154">
        <f t="shared" si="11"/>
        <v>1.3294362895960026</v>
      </c>
    </row>
    <row r="117" spans="1:21" x14ac:dyDescent="0.35">
      <c r="A117" s="107">
        <v>3075</v>
      </c>
      <c r="B117" s="107">
        <v>2019</v>
      </c>
      <c r="C117" s="107" t="s">
        <v>9</v>
      </c>
      <c r="D117" s="107" t="s">
        <v>132</v>
      </c>
      <c r="E117" s="107" t="s">
        <v>10</v>
      </c>
      <c r="F117" s="115">
        <v>5</v>
      </c>
      <c r="G117" s="107" t="s">
        <v>11</v>
      </c>
      <c r="H117" s="107" t="str">
        <f t="shared" si="6"/>
        <v>Area 5: W Juan de Fuca</v>
      </c>
      <c r="I117" s="107" t="str">
        <f>IFERROR(VLOOKUP(H117,LUTs!$A$1:$C$73,2,FALSE),"NA")</f>
        <v>NA</v>
      </c>
      <c r="J117" s="107" t="str">
        <f>IFERROR(VLOOKUP(H117,LUTs!$A$1:$C$73,3,FALSE),"NA")</f>
        <v>0Strait of Juan de Fuca</v>
      </c>
      <c r="K117" s="107" t="s">
        <v>22</v>
      </c>
      <c r="L117" s="107" t="str">
        <f>VLOOKUP(K117,LUTs!E$2:G$14,3,)</f>
        <v>09Mason</v>
      </c>
      <c r="M117" s="107" t="str">
        <f>VLOOKUP($K117,LUTs!$E$2:$H$14,2,)</f>
        <v>South Puget Sound</v>
      </c>
      <c r="N117" s="107" t="str">
        <f>VLOOKUP($K117,LUTs!$E$2:$H$14,4,)</f>
        <v>02South Puget Sound</v>
      </c>
      <c r="O117" s="107">
        <v>529.28910344827602</v>
      </c>
      <c r="P117" s="107">
        <v>703.65614181187095</v>
      </c>
      <c r="Q117" s="107">
        <f t="shared" si="7"/>
        <v>529.28910344827602</v>
      </c>
      <c r="R117" s="107">
        <f t="shared" si="8"/>
        <v>703.65614181187095</v>
      </c>
      <c r="S117" s="140" t="str">
        <f t="shared" si="9"/>
        <v>Y</v>
      </c>
      <c r="T117" s="154">
        <f t="shared" si="10"/>
        <v>1.3294362895960028</v>
      </c>
      <c r="U117" s="154">
        <f t="shared" si="11"/>
        <v>1.3294362895960028</v>
      </c>
    </row>
    <row r="118" spans="1:21" x14ac:dyDescent="0.35">
      <c r="A118" s="107">
        <v>3180</v>
      </c>
      <c r="B118" s="107">
        <v>2019</v>
      </c>
      <c r="C118" s="107" t="s">
        <v>9</v>
      </c>
      <c r="D118" s="107" t="s">
        <v>132</v>
      </c>
      <c r="E118" s="107" t="s">
        <v>10</v>
      </c>
      <c r="F118" s="115">
        <v>5</v>
      </c>
      <c r="G118" s="107" t="s">
        <v>11</v>
      </c>
      <c r="H118" s="107" t="str">
        <f t="shared" si="6"/>
        <v>Area 5: W Juan de Fuca</v>
      </c>
      <c r="I118" s="107" t="str">
        <f>IFERROR(VLOOKUP(H118,LUTs!$A$1:$C$73,2,FALSE),"NA")</f>
        <v>NA</v>
      </c>
      <c r="J118" s="107" t="str">
        <f>IFERROR(VLOOKUP(H118,LUTs!$A$1:$C$73,3,FALSE),"NA")</f>
        <v>0Strait of Juan de Fuca</v>
      </c>
      <c r="K118" s="107" t="s">
        <v>26</v>
      </c>
      <c r="L118" s="107" t="str">
        <f>VLOOKUP(K118,LUTs!E$2:G$14,3,)</f>
        <v>20Other</v>
      </c>
      <c r="M118" s="107" t="str">
        <f>VLOOKUP($K118,LUTs!$E$2:$H$14,2,)</f>
        <v>Non Puget Sound</v>
      </c>
      <c r="N118" s="107" t="str">
        <f>VLOOKUP($K118,LUTs!$E$2:$H$14,4,)</f>
        <v>07Non Puget Sound</v>
      </c>
      <c r="O118" s="107">
        <v>6512.2659310344798</v>
      </c>
      <c r="P118" s="107">
        <v>8657.6426562169509</v>
      </c>
      <c r="Q118" s="107">
        <f t="shared" si="7"/>
        <v>6512.2659310344798</v>
      </c>
      <c r="R118" s="107">
        <f t="shared" si="8"/>
        <v>8657.6426562169509</v>
      </c>
      <c r="S118" s="140" t="str">
        <f t="shared" si="9"/>
        <v>Y</v>
      </c>
      <c r="T118" s="154">
        <f t="shared" si="10"/>
        <v>1.3294362895960048</v>
      </c>
      <c r="U118" s="154">
        <f t="shared" si="11"/>
        <v>1.3294362895960048</v>
      </c>
    </row>
    <row r="119" spans="1:21" x14ac:dyDescent="0.35">
      <c r="A119" s="107">
        <v>3073</v>
      </c>
      <c r="B119" s="107">
        <v>2019</v>
      </c>
      <c r="C119" s="107" t="s">
        <v>9</v>
      </c>
      <c r="D119" s="107" t="s">
        <v>132</v>
      </c>
      <c r="E119" s="107" t="s">
        <v>10</v>
      </c>
      <c r="F119" s="115">
        <v>5</v>
      </c>
      <c r="G119" s="107" t="s">
        <v>11</v>
      </c>
      <c r="H119" s="107" t="str">
        <f t="shared" si="6"/>
        <v>Area 5: W Juan de Fuca</v>
      </c>
      <c r="I119" s="107" t="str">
        <f>IFERROR(VLOOKUP(H119,LUTs!$A$1:$C$73,2,FALSE),"NA")</f>
        <v>NA</v>
      </c>
      <c r="J119" s="107" t="str">
        <f>IFERROR(VLOOKUP(H119,LUTs!$A$1:$C$73,3,FALSE),"NA")</f>
        <v>0Strait of Juan de Fuca</v>
      </c>
      <c r="K119" s="107" t="s">
        <v>20</v>
      </c>
      <c r="L119" s="107" t="str">
        <f>VLOOKUP(K119,LUTs!E$2:G$14,3,)</f>
        <v>07Pierce</v>
      </c>
      <c r="M119" s="107" t="str">
        <f>VLOOKUP($K119,LUTs!$E$2:$H$14,2,)</f>
        <v>South Puget Sound</v>
      </c>
      <c r="N119" s="107" t="str">
        <f>VLOOKUP($K119,LUTs!$E$2:$H$14,4,)</f>
        <v>02South Puget Sound</v>
      </c>
      <c r="O119" s="107">
        <v>3504.0278620689701</v>
      </c>
      <c r="P119" s="107">
        <v>4658.3817995899799</v>
      </c>
      <c r="Q119" s="107">
        <f t="shared" si="7"/>
        <v>3504.0278620689701</v>
      </c>
      <c r="R119" s="107">
        <f t="shared" si="8"/>
        <v>4658.3817995899799</v>
      </c>
      <c r="S119" s="140" t="str">
        <f t="shared" si="9"/>
        <v>Y</v>
      </c>
      <c r="T119" s="154">
        <f t="shared" si="10"/>
        <v>1.329436289596001</v>
      </c>
      <c r="U119" s="154">
        <f t="shared" si="11"/>
        <v>1.329436289596001</v>
      </c>
    </row>
    <row r="120" spans="1:21" x14ac:dyDescent="0.35">
      <c r="A120" s="107">
        <v>3071</v>
      </c>
      <c r="B120" s="107">
        <v>2019</v>
      </c>
      <c r="C120" s="107" t="s">
        <v>9</v>
      </c>
      <c r="D120" s="107" t="s">
        <v>132</v>
      </c>
      <c r="E120" s="107" t="s">
        <v>10</v>
      </c>
      <c r="F120" s="115">
        <v>5</v>
      </c>
      <c r="G120" s="107" t="s">
        <v>11</v>
      </c>
      <c r="H120" s="107" t="str">
        <f t="shared" si="6"/>
        <v>Area 5: W Juan de Fuca</v>
      </c>
      <c r="I120" s="107" t="str">
        <f>IFERROR(VLOOKUP(H120,LUTs!$A$1:$C$73,2,FALSE),"NA")</f>
        <v>NA</v>
      </c>
      <c r="J120" s="107" t="str">
        <f>IFERROR(VLOOKUP(H120,LUTs!$A$1:$C$73,3,FALSE),"NA")</f>
        <v>0Strait of Juan de Fuca</v>
      </c>
      <c r="K120" s="107" t="s">
        <v>30</v>
      </c>
      <c r="L120" s="107" t="str">
        <f>VLOOKUP(K120,LUTs!E$2:G$14,3,)</f>
        <v>05San Juan</v>
      </c>
      <c r="M120" s="107" t="str">
        <f>VLOOKUP($K120,LUTs!$E$2:$H$14,2,)</f>
        <v>North Puget Sound</v>
      </c>
      <c r="N120" s="107" t="str">
        <f>VLOOKUP($K120,LUTs!$E$2:$H$14,4,)</f>
        <v>01North Puget Sound</v>
      </c>
      <c r="O120" s="107">
        <v>53.598896551724202</v>
      </c>
      <c r="P120" s="107">
        <v>71.256318158164206</v>
      </c>
      <c r="Q120" s="107">
        <f t="shared" si="7"/>
        <v>53.598896551724202</v>
      </c>
      <c r="R120" s="107">
        <f t="shared" si="8"/>
        <v>71.256318158164206</v>
      </c>
      <c r="S120" s="140" t="str">
        <f t="shared" si="9"/>
        <v>Y</v>
      </c>
      <c r="T120" s="154">
        <f t="shared" si="10"/>
        <v>1.3294362895960026</v>
      </c>
      <c r="U120" s="154">
        <f t="shared" si="11"/>
        <v>1.3294362895960026</v>
      </c>
    </row>
    <row r="121" spans="1:21" x14ac:dyDescent="0.35">
      <c r="A121" s="107">
        <v>2956</v>
      </c>
      <c r="B121" s="107">
        <v>2019</v>
      </c>
      <c r="C121" s="107" t="s">
        <v>9</v>
      </c>
      <c r="D121" s="107" t="s">
        <v>132</v>
      </c>
      <c r="E121" s="107" t="s">
        <v>10</v>
      </c>
      <c r="F121" s="115">
        <v>5</v>
      </c>
      <c r="G121" s="107" t="s">
        <v>11</v>
      </c>
      <c r="H121" s="107" t="str">
        <f t="shared" si="6"/>
        <v>Area 5: W Juan de Fuca</v>
      </c>
      <c r="I121" s="107" t="str">
        <f>IFERROR(VLOOKUP(H121,LUTs!$A$1:$C$73,2,FALSE),"NA")</f>
        <v>NA</v>
      </c>
      <c r="J121" s="107" t="str">
        <f>IFERROR(VLOOKUP(H121,LUTs!$A$1:$C$73,3,FALSE),"NA")</f>
        <v>0Strait of Juan de Fuca</v>
      </c>
      <c r="K121" s="107" t="s">
        <v>15</v>
      </c>
      <c r="L121" s="107" t="str">
        <f>VLOOKUP(K121,LUTs!E$2:G$14,3,)</f>
        <v>02Skagit</v>
      </c>
      <c r="M121" s="107" t="str">
        <f>VLOOKUP($K121,LUTs!$E$2:$H$14,2,)</f>
        <v>North Puget Sound</v>
      </c>
      <c r="N121" s="107" t="str">
        <f>VLOOKUP($K121,LUTs!$E$2:$H$14,4,)</f>
        <v>01North Puget Sound</v>
      </c>
      <c r="O121" s="107">
        <v>214.39558620689701</v>
      </c>
      <c r="P121" s="107">
        <v>285.02527263265699</v>
      </c>
      <c r="Q121" s="107">
        <f t="shared" si="7"/>
        <v>214.39558620689701</v>
      </c>
      <c r="R121" s="107">
        <f t="shared" si="8"/>
        <v>285.02527263265699</v>
      </c>
      <c r="S121" s="140" t="str">
        <f t="shared" si="9"/>
        <v>Y</v>
      </c>
      <c r="T121" s="154">
        <f t="shared" si="10"/>
        <v>1.3294362895960021</v>
      </c>
      <c r="U121" s="154">
        <f t="shared" si="11"/>
        <v>1.3294362895960021</v>
      </c>
    </row>
    <row r="122" spans="1:21" x14ac:dyDescent="0.35">
      <c r="A122" s="107">
        <v>2957</v>
      </c>
      <c r="B122" s="107">
        <v>2019</v>
      </c>
      <c r="C122" s="107" t="s">
        <v>9</v>
      </c>
      <c r="D122" s="107" t="s">
        <v>132</v>
      </c>
      <c r="E122" s="107" t="s">
        <v>10</v>
      </c>
      <c r="F122" s="115">
        <v>5</v>
      </c>
      <c r="G122" s="107" t="s">
        <v>11</v>
      </c>
      <c r="H122" s="107" t="str">
        <f t="shared" si="6"/>
        <v>Area 5: W Juan de Fuca</v>
      </c>
      <c r="I122" s="107" t="str">
        <f>IFERROR(VLOOKUP(H122,LUTs!$A$1:$C$73,2,FALSE),"NA")</f>
        <v>NA</v>
      </c>
      <c r="J122" s="107" t="str">
        <f>IFERROR(VLOOKUP(H122,LUTs!$A$1:$C$73,3,FALSE),"NA")</f>
        <v>0Strait of Juan de Fuca</v>
      </c>
      <c r="K122" s="107" t="s">
        <v>16</v>
      </c>
      <c r="L122" s="107" t="str">
        <f>VLOOKUP(K122,LUTs!E$2:G$14,3,)</f>
        <v>03Snohomish</v>
      </c>
      <c r="M122" s="107" t="str">
        <f>VLOOKUP($K122,LUTs!$E$2:$H$14,2,)</f>
        <v>North Puget Sound</v>
      </c>
      <c r="N122" s="107" t="str">
        <f>VLOOKUP($K122,LUTs!$E$2:$H$14,4,)</f>
        <v>01North Puget Sound</v>
      </c>
      <c r="O122" s="107">
        <v>1333.2725517241399</v>
      </c>
      <c r="P122" s="107">
        <v>1772.50091418433</v>
      </c>
      <c r="Q122" s="107">
        <f t="shared" si="7"/>
        <v>1333.2725517241399</v>
      </c>
      <c r="R122" s="107">
        <f t="shared" si="8"/>
        <v>1772.50091418433</v>
      </c>
      <c r="S122" s="140" t="str">
        <f t="shared" si="9"/>
        <v>Y</v>
      </c>
      <c r="T122" s="154">
        <f t="shared" si="10"/>
        <v>1.3294362895959988</v>
      </c>
      <c r="U122" s="154">
        <f t="shared" si="11"/>
        <v>1.3294362895959988</v>
      </c>
    </row>
    <row r="123" spans="1:21" x14ac:dyDescent="0.35">
      <c r="A123" s="107">
        <v>3074</v>
      </c>
      <c r="B123" s="107">
        <v>2019</v>
      </c>
      <c r="C123" s="107" t="s">
        <v>9</v>
      </c>
      <c r="D123" s="107" t="s">
        <v>132</v>
      </c>
      <c r="E123" s="107" t="s">
        <v>10</v>
      </c>
      <c r="F123" s="115">
        <v>5</v>
      </c>
      <c r="G123" s="107" t="s">
        <v>11</v>
      </c>
      <c r="H123" s="107" t="str">
        <f t="shared" si="6"/>
        <v>Area 5: W Juan de Fuca</v>
      </c>
      <c r="I123" s="107" t="str">
        <f>IFERROR(VLOOKUP(H123,LUTs!$A$1:$C$73,2,FALSE),"NA")</f>
        <v>NA</v>
      </c>
      <c r="J123" s="107" t="str">
        <f>IFERROR(VLOOKUP(H123,LUTs!$A$1:$C$73,3,FALSE),"NA")</f>
        <v>0Strait of Juan de Fuca</v>
      </c>
      <c r="K123" s="107" t="s">
        <v>21</v>
      </c>
      <c r="L123" s="107" t="str">
        <f>VLOOKUP(K123,LUTs!E$2:G$14,3,)</f>
        <v>08Thurston</v>
      </c>
      <c r="M123" s="107" t="str">
        <f>VLOOKUP($K123,LUTs!$E$2:$H$14,2,)</f>
        <v>South Puget Sound</v>
      </c>
      <c r="N123" s="107" t="str">
        <f>VLOOKUP($K123,LUTs!$E$2:$H$14,4,)</f>
        <v>02South Puget Sound</v>
      </c>
      <c r="O123" s="107">
        <v>1360.0719999999999</v>
      </c>
      <c r="P123" s="107">
        <v>1808.12907326342</v>
      </c>
      <c r="Q123" s="107">
        <f t="shared" si="7"/>
        <v>1360.0719999999999</v>
      </c>
      <c r="R123" s="107">
        <f t="shared" si="8"/>
        <v>1808.12907326342</v>
      </c>
      <c r="S123" s="140" t="str">
        <f t="shared" si="9"/>
        <v>Y</v>
      </c>
      <c r="T123" s="154">
        <f t="shared" si="10"/>
        <v>1.3294362895960068</v>
      </c>
      <c r="U123" s="154">
        <f t="shared" si="11"/>
        <v>1.3294362895960068</v>
      </c>
    </row>
    <row r="124" spans="1:21" x14ac:dyDescent="0.35">
      <c r="A124" s="107">
        <v>2955</v>
      </c>
      <c r="B124" s="107">
        <v>2019</v>
      </c>
      <c r="C124" s="107" t="s">
        <v>9</v>
      </c>
      <c r="D124" s="107" t="s">
        <v>132</v>
      </c>
      <c r="E124" s="107" t="s">
        <v>10</v>
      </c>
      <c r="F124" s="115">
        <v>5</v>
      </c>
      <c r="G124" s="107" t="s">
        <v>11</v>
      </c>
      <c r="H124" s="107" t="str">
        <f t="shared" si="6"/>
        <v>Area 5: W Juan de Fuca</v>
      </c>
      <c r="I124" s="107" t="str">
        <f>IFERROR(VLOOKUP(H124,LUTs!$A$1:$C$73,2,FALSE),"NA")</f>
        <v>NA</v>
      </c>
      <c r="J124" s="107" t="str">
        <f>IFERROR(VLOOKUP(H124,LUTs!$A$1:$C$73,3,FALSE),"NA")</f>
        <v>0Strait of Juan de Fuca</v>
      </c>
      <c r="K124" s="107" t="s">
        <v>13</v>
      </c>
      <c r="L124" s="107" t="str">
        <f>VLOOKUP(K124,LUTs!E$2:G$14,3,)</f>
        <v>01Whatcom</v>
      </c>
      <c r="M124" s="107" t="str">
        <f>VLOOKUP($K124,LUTs!$E$2:$H$14,2,)</f>
        <v>North Puget Sound</v>
      </c>
      <c r="N124" s="107" t="str">
        <f>VLOOKUP($K124,LUTs!$E$2:$H$14,4,)</f>
        <v>01North Puget Sound</v>
      </c>
      <c r="O124" s="107">
        <v>355.09268965517202</v>
      </c>
      <c r="P124" s="107">
        <v>472.07310779783802</v>
      </c>
      <c r="Q124" s="107">
        <f t="shared" si="7"/>
        <v>355.09268965517202</v>
      </c>
      <c r="R124" s="107">
        <f t="shared" si="8"/>
        <v>472.07310779783802</v>
      </c>
      <c r="S124" s="140" t="str">
        <f t="shared" si="9"/>
        <v>Y</v>
      </c>
      <c r="T124" s="154">
        <f t="shared" si="10"/>
        <v>1.3294362895960061</v>
      </c>
      <c r="U124" s="154">
        <f t="shared" si="11"/>
        <v>1.3294362895960061</v>
      </c>
    </row>
    <row r="125" spans="1:21" x14ac:dyDescent="0.35">
      <c r="A125" s="107">
        <v>3463</v>
      </c>
      <c r="B125" s="107">
        <v>2020</v>
      </c>
      <c r="C125" s="107" t="s">
        <v>9</v>
      </c>
      <c r="D125" s="107" t="s">
        <v>132</v>
      </c>
      <c r="E125" s="107" t="s">
        <v>10</v>
      </c>
      <c r="F125" s="115">
        <v>5</v>
      </c>
      <c r="G125" s="107" t="s">
        <v>11</v>
      </c>
      <c r="H125" s="107" t="str">
        <f t="shared" si="6"/>
        <v>Area 5: W Juan de Fuca</v>
      </c>
      <c r="I125" s="107" t="str">
        <f>IFERROR(VLOOKUP(H125,LUTs!$A$1:$C$73,2,FALSE),"NA")</f>
        <v>NA</v>
      </c>
      <c r="J125" s="107" t="str">
        <f>IFERROR(VLOOKUP(H125,LUTs!$A$1:$C$73,3,FALSE),"NA")</f>
        <v>0Strait of Juan de Fuca</v>
      </c>
      <c r="K125" s="107" t="s">
        <v>24</v>
      </c>
      <c r="L125" s="107" t="str">
        <f>VLOOKUP(K125,LUTs!E$2:G$14,3,)</f>
        <v>11Clallam</v>
      </c>
      <c r="M125" s="107" t="str">
        <f>VLOOKUP($K125,LUTs!$E$2:$H$14,2,)</f>
        <v>Strait of Juan de Fuca</v>
      </c>
      <c r="N125" s="107" t="str">
        <f>VLOOKUP($K125,LUTs!$E$2:$H$14,4,)</f>
        <v>03Strait of Juan de Fuca</v>
      </c>
      <c r="O125" s="107">
        <v>5627.8814303638701</v>
      </c>
      <c r="P125" s="107">
        <v>6139.4180018127399</v>
      </c>
      <c r="Q125" s="107">
        <f t="shared" si="7"/>
        <v>5627.8814303638701</v>
      </c>
      <c r="R125" s="107">
        <f t="shared" si="8"/>
        <v>6139.4180018127399</v>
      </c>
      <c r="S125" s="140" t="str">
        <f t="shared" si="9"/>
        <v>N</v>
      </c>
      <c r="T125" s="154">
        <f t="shared" si="10"/>
        <v>1.0908932744547528</v>
      </c>
      <c r="U125" s="154">
        <f t="shared" si="11"/>
        <v>1.0908932744547528</v>
      </c>
    </row>
    <row r="126" spans="1:21" x14ac:dyDescent="0.35">
      <c r="A126" s="107">
        <v>3388</v>
      </c>
      <c r="B126" s="107">
        <v>2020</v>
      </c>
      <c r="C126" s="107" t="s">
        <v>9</v>
      </c>
      <c r="D126" s="107" t="s">
        <v>132</v>
      </c>
      <c r="E126" s="107" t="s">
        <v>10</v>
      </c>
      <c r="F126" s="115">
        <v>5</v>
      </c>
      <c r="G126" s="107" t="s">
        <v>11</v>
      </c>
      <c r="H126" s="107" t="str">
        <f t="shared" si="6"/>
        <v>Area 5: W Juan de Fuca</v>
      </c>
      <c r="I126" s="107" t="str">
        <f>IFERROR(VLOOKUP(H126,LUTs!$A$1:$C$73,2,FALSE),"NA")</f>
        <v>NA</v>
      </c>
      <c r="J126" s="107" t="str">
        <f>IFERROR(VLOOKUP(H126,LUTs!$A$1:$C$73,3,FALSE),"NA")</f>
        <v>0Strait of Juan de Fuca</v>
      </c>
      <c r="K126" s="107" t="s">
        <v>17</v>
      </c>
      <c r="L126" s="107" t="str">
        <f>VLOOKUP(K126,LUTs!E$2:G$14,3,)</f>
        <v>04Island</v>
      </c>
      <c r="M126" s="107" t="str">
        <f>VLOOKUP($K126,LUTs!$E$2:$H$14,2,)</f>
        <v>North Puget Sound</v>
      </c>
      <c r="N126" s="107" t="str">
        <f>VLOOKUP($K126,LUTs!$E$2:$H$14,4,)</f>
        <v>01North Puget Sound</v>
      </c>
      <c r="O126" s="107">
        <v>988.503764115433</v>
      </c>
      <c r="P126" s="107">
        <v>1078.3521080467301</v>
      </c>
      <c r="Q126" s="107">
        <f t="shared" si="7"/>
        <v>988.503764115433</v>
      </c>
      <c r="R126" s="107">
        <f t="shared" si="8"/>
        <v>1078.3521080467301</v>
      </c>
      <c r="S126" s="140" t="str">
        <f t="shared" si="9"/>
        <v>N</v>
      </c>
      <c r="T126" s="154">
        <f t="shared" si="10"/>
        <v>1.0908932744547497</v>
      </c>
      <c r="U126" s="154">
        <f t="shared" si="11"/>
        <v>1.0908932744547497</v>
      </c>
    </row>
    <row r="127" spans="1:21" x14ac:dyDescent="0.35">
      <c r="A127" s="107">
        <v>3464</v>
      </c>
      <c r="B127" s="107">
        <v>2020</v>
      </c>
      <c r="C127" s="107" t="s">
        <v>9</v>
      </c>
      <c r="D127" s="107" t="s">
        <v>132</v>
      </c>
      <c r="E127" s="107" t="s">
        <v>10</v>
      </c>
      <c r="F127" s="115">
        <v>5</v>
      </c>
      <c r="G127" s="107" t="s">
        <v>11</v>
      </c>
      <c r="H127" s="107" t="str">
        <f t="shared" si="6"/>
        <v>Area 5: W Juan de Fuca</v>
      </c>
      <c r="I127" s="107" t="str">
        <f>IFERROR(VLOOKUP(H127,LUTs!$A$1:$C$73,2,FALSE),"NA")</f>
        <v>NA</v>
      </c>
      <c r="J127" s="107" t="str">
        <f>IFERROR(VLOOKUP(H127,LUTs!$A$1:$C$73,3,FALSE),"NA")</f>
        <v>0Strait of Juan de Fuca</v>
      </c>
      <c r="K127" s="107" t="s">
        <v>25</v>
      </c>
      <c r="L127" s="107" t="str">
        <f>VLOOKUP(K127,LUTs!E$2:G$14,3,)</f>
        <v>12Jefferson</v>
      </c>
      <c r="M127" s="107" t="str">
        <f>VLOOKUP($K127,LUTs!$E$2:$H$14,2,)</f>
        <v>Strait of Juan de Fuca</v>
      </c>
      <c r="N127" s="107" t="str">
        <f>VLOOKUP($K127,LUTs!$E$2:$H$14,4,)</f>
        <v>03Strait of Juan de Fuca</v>
      </c>
      <c r="O127" s="107">
        <v>566.74215809284794</v>
      </c>
      <c r="P127" s="107">
        <v>618.25520861346104</v>
      </c>
      <c r="Q127" s="107">
        <f t="shared" si="7"/>
        <v>566.74215809284794</v>
      </c>
      <c r="R127" s="107">
        <f t="shared" si="8"/>
        <v>618.25520861346104</v>
      </c>
      <c r="S127" s="140" t="str">
        <f t="shared" si="9"/>
        <v>N</v>
      </c>
      <c r="T127" s="154">
        <f t="shared" si="10"/>
        <v>1.0908932744547546</v>
      </c>
      <c r="U127" s="154">
        <f t="shared" si="11"/>
        <v>1.0908932744547546</v>
      </c>
    </row>
    <row r="128" spans="1:21" x14ac:dyDescent="0.35">
      <c r="A128" s="107">
        <v>3389</v>
      </c>
      <c r="B128" s="107">
        <v>2020</v>
      </c>
      <c r="C128" s="107" t="s">
        <v>9</v>
      </c>
      <c r="D128" s="107" t="s">
        <v>132</v>
      </c>
      <c r="E128" s="107" t="s">
        <v>10</v>
      </c>
      <c r="F128" s="115">
        <v>5</v>
      </c>
      <c r="G128" s="107" t="s">
        <v>11</v>
      </c>
      <c r="H128" s="107" t="str">
        <f t="shared" si="6"/>
        <v>Area 5: W Juan de Fuca</v>
      </c>
      <c r="I128" s="107" t="str">
        <f>IFERROR(VLOOKUP(H128,LUTs!$A$1:$C$73,2,FALSE),"NA")</f>
        <v>NA</v>
      </c>
      <c r="J128" s="107" t="str">
        <f>IFERROR(VLOOKUP(H128,LUTs!$A$1:$C$73,3,FALSE),"NA")</f>
        <v>0Strait of Juan de Fuca</v>
      </c>
      <c r="K128" s="107" t="s">
        <v>18</v>
      </c>
      <c r="L128" s="107" t="str">
        <f>VLOOKUP(K128,LUTs!E$2:G$14,3,)</f>
        <v>06King</v>
      </c>
      <c r="M128" s="107" t="str">
        <f>VLOOKUP($K128,LUTs!$E$2:$H$14,2,)</f>
        <v>South Puget Sound</v>
      </c>
      <c r="N128" s="107" t="str">
        <f>VLOOKUP($K128,LUTs!$E$2:$H$14,4,)</f>
        <v>02South Puget Sound</v>
      </c>
      <c r="O128" s="107">
        <v>6247.3437892095399</v>
      </c>
      <c r="P128" s="107">
        <v>6815.18532285536</v>
      </c>
      <c r="Q128" s="107">
        <f t="shared" si="7"/>
        <v>6247.3437892095399</v>
      </c>
      <c r="R128" s="107">
        <f t="shared" si="8"/>
        <v>6815.18532285536</v>
      </c>
      <c r="S128" s="140" t="str">
        <f t="shared" si="9"/>
        <v>N</v>
      </c>
      <c r="T128" s="154">
        <f t="shared" si="10"/>
        <v>1.090893274454753</v>
      </c>
      <c r="U128" s="154">
        <f t="shared" si="11"/>
        <v>1.090893274454753</v>
      </c>
    </row>
    <row r="129" spans="1:21" x14ac:dyDescent="0.35">
      <c r="A129" s="107">
        <v>3462</v>
      </c>
      <c r="B129" s="107">
        <v>2020</v>
      </c>
      <c r="C129" s="107" t="s">
        <v>9</v>
      </c>
      <c r="D129" s="107" t="s">
        <v>132</v>
      </c>
      <c r="E129" s="107" t="s">
        <v>10</v>
      </c>
      <c r="F129" s="115">
        <v>5</v>
      </c>
      <c r="G129" s="107" t="s">
        <v>11</v>
      </c>
      <c r="H129" s="107" t="str">
        <f t="shared" si="6"/>
        <v>Area 5: W Juan de Fuca</v>
      </c>
      <c r="I129" s="107" t="str">
        <f>IFERROR(VLOOKUP(H129,LUTs!$A$1:$C$73,2,FALSE),"NA")</f>
        <v>NA</v>
      </c>
      <c r="J129" s="107" t="str">
        <f>IFERROR(VLOOKUP(H129,LUTs!$A$1:$C$73,3,FALSE),"NA")</f>
        <v>0Strait of Juan de Fuca</v>
      </c>
      <c r="K129" s="107" t="s">
        <v>23</v>
      </c>
      <c r="L129" s="107" t="str">
        <f>VLOOKUP(K129,LUTs!E$2:G$14,3,)</f>
        <v>10Kitsap</v>
      </c>
      <c r="M129" s="107" t="str">
        <f>VLOOKUP($K129,LUTs!$E$2:$H$14,2,)</f>
        <v>South Puget Sound</v>
      </c>
      <c r="N129" s="107" t="str">
        <f>VLOOKUP($K129,LUTs!$E$2:$H$14,4,)</f>
        <v>02South Puget Sound</v>
      </c>
      <c r="O129" s="107">
        <v>4968.8789209535798</v>
      </c>
      <c r="P129" s="107">
        <v>5420.5165964482503</v>
      </c>
      <c r="Q129" s="107">
        <f t="shared" si="7"/>
        <v>4968.8789209535798</v>
      </c>
      <c r="R129" s="107">
        <f t="shared" si="8"/>
        <v>5420.5165964482503</v>
      </c>
      <c r="S129" s="140" t="str">
        <f t="shared" si="9"/>
        <v>N</v>
      </c>
      <c r="T129" s="154">
        <f t="shared" si="10"/>
        <v>1.090893274454753</v>
      </c>
      <c r="U129" s="154">
        <f t="shared" si="11"/>
        <v>1.090893274454753</v>
      </c>
    </row>
    <row r="130" spans="1:21" x14ac:dyDescent="0.35">
      <c r="A130" s="107">
        <v>3392</v>
      </c>
      <c r="B130" s="107">
        <v>2020</v>
      </c>
      <c r="C130" s="107" t="s">
        <v>9</v>
      </c>
      <c r="D130" s="107" t="s">
        <v>132</v>
      </c>
      <c r="E130" s="107" t="s">
        <v>10</v>
      </c>
      <c r="F130" s="115">
        <v>5</v>
      </c>
      <c r="G130" s="107" t="s">
        <v>11</v>
      </c>
      <c r="H130" s="107" t="str">
        <f t="shared" ref="H130:H193" si="12">G130</f>
        <v>Area 5: W Juan de Fuca</v>
      </c>
      <c r="I130" s="107" t="str">
        <f>IFERROR(VLOOKUP(H130,LUTs!$A$1:$C$73,2,FALSE),"NA")</f>
        <v>NA</v>
      </c>
      <c r="J130" s="107" t="str">
        <f>IFERROR(VLOOKUP(H130,LUTs!$A$1:$C$73,3,FALSE),"NA")</f>
        <v>0Strait of Juan de Fuca</v>
      </c>
      <c r="K130" s="107" t="s">
        <v>22</v>
      </c>
      <c r="L130" s="107" t="str">
        <f>VLOOKUP(K130,LUTs!E$2:G$14,3,)</f>
        <v>09Mason</v>
      </c>
      <c r="M130" s="107" t="str">
        <f>VLOOKUP($K130,LUTs!$E$2:$H$14,2,)</f>
        <v>South Puget Sound</v>
      </c>
      <c r="N130" s="107" t="str">
        <f>VLOOKUP($K130,LUTs!$E$2:$H$14,4,)</f>
        <v>02South Puget Sound</v>
      </c>
      <c r="O130" s="107">
        <v>1911.1072772898401</v>
      </c>
      <c r="P130" s="107">
        <v>2084.8140755570198</v>
      </c>
      <c r="Q130" s="107">
        <f t="shared" ref="Q130:Q193" si="13">O130</f>
        <v>1911.1072772898401</v>
      </c>
      <c r="R130" s="107">
        <f t="shared" ref="R130:R193" si="14">P130</f>
        <v>2084.8140755570198</v>
      </c>
      <c r="S130" s="140" t="str">
        <f t="shared" si="9"/>
        <v>N</v>
      </c>
      <c r="T130" s="154">
        <f t="shared" si="10"/>
        <v>1.0908932744547521</v>
      </c>
      <c r="U130" s="154">
        <f t="shared" si="11"/>
        <v>1.0908932744547521</v>
      </c>
    </row>
    <row r="131" spans="1:21" x14ac:dyDescent="0.35">
      <c r="A131" s="107">
        <v>3465</v>
      </c>
      <c r="B131" s="107">
        <v>2020</v>
      </c>
      <c r="C131" s="107" t="s">
        <v>9</v>
      </c>
      <c r="D131" s="107" t="s">
        <v>132</v>
      </c>
      <c r="E131" s="107" t="s">
        <v>10</v>
      </c>
      <c r="F131" s="115">
        <v>5</v>
      </c>
      <c r="G131" s="107" t="s">
        <v>11</v>
      </c>
      <c r="H131" s="107" t="str">
        <f t="shared" si="12"/>
        <v>Area 5: W Juan de Fuca</v>
      </c>
      <c r="I131" s="107" t="str">
        <f>IFERROR(VLOOKUP(H131,LUTs!$A$1:$C$73,2,FALSE),"NA")</f>
        <v>NA</v>
      </c>
      <c r="J131" s="107" t="str">
        <f>IFERROR(VLOOKUP(H131,LUTs!$A$1:$C$73,3,FALSE),"NA")</f>
        <v>0Strait of Juan de Fuca</v>
      </c>
      <c r="K131" s="107" t="s">
        <v>26</v>
      </c>
      <c r="L131" s="107" t="str">
        <f>VLOOKUP(K131,LUTs!E$2:G$14,3,)</f>
        <v>20Other</v>
      </c>
      <c r="M131" s="107" t="str">
        <f>VLOOKUP($K131,LUTs!$E$2:$H$14,2,)</f>
        <v>Non Puget Sound</v>
      </c>
      <c r="N131" s="107" t="str">
        <f>VLOOKUP($K131,LUTs!$E$2:$H$14,4,)</f>
        <v>07Non Puget Sound</v>
      </c>
      <c r="O131" s="107">
        <v>7934.3902132998801</v>
      </c>
      <c r="P131" s="107">
        <v>8655.5729205884509</v>
      </c>
      <c r="Q131" s="107">
        <f t="shared" si="13"/>
        <v>7934.3902132998801</v>
      </c>
      <c r="R131" s="107">
        <f t="shared" si="14"/>
        <v>8655.5729205884509</v>
      </c>
      <c r="S131" s="140" t="str">
        <f t="shared" ref="S131:S194" si="15">IF(B131&lt;=2019,"Y","N")</f>
        <v>N</v>
      </c>
      <c r="T131" s="154">
        <f t="shared" ref="T131:T194" si="16">IFERROR(P131/O131,"NA")</f>
        <v>1.0908932744547528</v>
      </c>
      <c r="U131" s="154">
        <f t="shared" ref="U131:U194" si="17">IFERROR(R131/Q131,"NA")</f>
        <v>1.0908932744547528</v>
      </c>
    </row>
    <row r="132" spans="1:21" x14ac:dyDescent="0.35">
      <c r="A132" s="107">
        <v>3390</v>
      </c>
      <c r="B132" s="107">
        <v>2020</v>
      </c>
      <c r="C132" s="107" t="s">
        <v>9</v>
      </c>
      <c r="D132" s="107" t="s">
        <v>132</v>
      </c>
      <c r="E132" s="107" t="s">
        <v>10</v>
      </c>
      <c r="F132" s="115">
        <v>5</v>
      </c>
      <c r="G132" s="107" t="s">
        <v>11</v>
      </c>
      <c r="H132" s="107" t="str">
        <f t="shared" si="12"/>
        <v>Area 5: W Juan de Fuca</v>
      </c>
      <c r="I132" s="107" t="str">
        <f>IFERROR(VLOOKUP(H132,LUTs!$A$1:$C$73,2,FALSE),"NA")</f>
        <v>NA</v>
      </c>
      <c r="J132" s="107" t="str">
        <f>IFERROR(VLOOKUP(H132,LUTs!$A$1:$C$73,3,FALSE),"NA")</f>
        <v>0Strait of Juan de Fuca</v>
      </c>
      <c r="K132" s="107" t="s">
        <v>20</v>
      </c>
      <c r="L132" s="107" t="str">
        <f>VLOOKUP(K132,LUTs!E$2:G$14,3,)</f>
        <v>07Pierce</v>
      </c>
      <c r="M132" s="107" t="str">
        <f>VLOOKUP($K132,LUTs!$E$2:$H$14,2,)</f>
        <v>South Puget Sound</v>
      </c>
      <c r="N132" s="107" t="str">
        <f>VLOOKUP($K132,LUTs!$E$2:$H$14,4,)</f>
        <v>02South Puget Sound</v>
      </c>
      <c r="O132" s="107">
        <v>7499.4485570890902</v>
      </c>
      <c r="P132" s="107">
        <v>8181.0979930478898</v>
      </c>
      <c r="Q132" s="107">
        <f t="shared" si="13"/>
        <v>7499.4485570890902</v>
      </c>
      <c r="R132" s="107">
        <f t="shared" si="14"/>
        <v>8181.0979930478898</v>
      </c>
      <c r="S132" s="140" t="str">
        <f t="shared" si="15"/>
        <v>N</v>
      </c>
      <c r="T132" s="154">
        <f t="shared" si="16"/>
        <v>1.090893274454753</v>
      </c>
      <c r="U132" s="154">
        <f t="shared" si="17"/>
        <v>1.090893274454753</v>
      </c>
    </row>
    <row r="133" spans="1:21" x14ac:dyDescent="0.35">
      <c r="A133" s="107">
        <v>3384</v>
      </c>
      <c r="B133" s="107">
        <v>2020</v>
      </c>
      <c r="C133" s="107" t="s">
        <v>9</v>
      </c>
      <c r="D133" s="107" t="s">
        <v>132</v>
      </c>
      <c r="E133" s="107" t="s">
        <v>10</v>
      </c>
      <c r="F133" s="115">
        <v>5</v>
      </c>
      <c r="G133" s="107" t="s">
        <v>11</v>
      </c>
      <c r="H133" s="107" t="str">
        <f t="shared" si="12"/>
        <v>Area 5: W Juan de Fuca</v>
      </c>
      <c r="I133" s="107" t="str">
        <f>IFERROR(VLOOKUP(H133,LUTs!$A$1:$C$73,2,FALSE),"NA")</f>
        <v>NA</v>
      </c>
      <c r="J133" s="107" t="str">
        <f>IFERROR(VLOOKUP(H133,LUTs!$A$1:$C$73,3,FALSE),"NA")</f>
        <v>0Strait of Juan de Fuca</v>
      </c>
      <c r="K133" s="107" t="s">
        <v>15</v>
      </c>
      <c r="L133" s="107" t="str">
        <f>VLOOKUP(K133,LUTs!E$2:G$14,3,)</f>
        <v>02Skagit</v>
      </c>
      <c r="M133" s="107" t="str">
        <f>VLOOKUP($K133,LUTs!$E$2:$H$14,2,)</f>
        <v>North Puget Sound</v>
      </c>
      <c r="N133" s="107" t="str">
        <f>VLOOKUP($K133,LUTs!$E$2:$H$14,4,)</f>
        <v>01North Puget Sound</v>
      </c>
      <c r="O133" s="107">
        <v>224.06085319949801</v>
      </c>
      <c r="P133" s="107">
        <v>244.42647782392601</v>
      </c>
      <c r="Q133" s="107">
        <f t="shared" si="13"/>
        <v>224.06085319949801</v>
      </c>
      <c r="R133" s="107">
        <f t="shared" si="14"/>
        <v>244.42647782392601</v>
      </c>
      <c r="S133" s="140" t="str">
        <f t="shared" si="15"/>
        <v>N</v>
      </c>
      <c r="T133" s="154">
        <f t="shared" si="16"/>
        <v>1.0908932744547526</v>
      </c>
      <c r="U133" s="154">
        <f t="shared" si="17"/>
        <v>1.0908932744547526</v>
      </c>
    </row>
    <row r="134" spans="1:21" x14ac:dyDescent="0.35">
      <c r="A134" s="107">
        <v>3387</v>
      </c>
      <c r="B134" s="107">
        <v>2020</v>
      </c>
      <c r="C134" s="107" t="s">
        <v>9</v>
      </c>
      <c r="D134" s="107" t="s">
        <v>132</v>
      </c>
      <c r="E134" s="107" t="s">
        <v>10</v>
      </c>
      <c r="F134" s="115">
        <v>5</v>
      </c>
      <c r="G134" s="107" t="s">
        <v>11</v>
      </c>
      <c r="H134" s="107" t="str">
        <f t="shared" si="12"/>
        <v>Area 5: W Juan de Fuca</v>
      </c>
      <c r="I134" s="107" t="str">
        <f>IFERROR(VLOOKUP(H134,LUTs!$A$1:$C$73,2,FALSE),"NA")</f>
        <v>NA</v>
      </c>
      <c r="J134" s="107" t="str">
        <f>IFERROR(VLOOKUP(H134,LUTs!$A$1:$C$73,3,FALSE),"NA")</f>
        <v>0Strait of Juan de Fuca</v>
      </c>
      <c r="K134" s="107" t="s">
        <v>16</v>
      </c>
      <c r="L134" s="107" t="str">
        <f>VLOOKUP(K134,LUTs!E$2:G$14,3,)</f>
        <v>03Snohomish</v>
      </c>
      <c r="M134" s="107" t="str">
        <f>VLOOKUP($K134,LUTs!$E$2:$H$14,2,)</f>
        <v>North Puget Sound</v>
      </c>
      <c r="N134" s="107" t="str">
        <f>VLOOKUP($K134,LUTs!$E$2:$H$14,4,)</f>
        <v>01North Puget Sound</v>
      </c>
      <c r="O134" s="107">
        <v>2715.0903387703902</v>
      </c>
      <c r="P134" s="107">
        <v>2961.8737901016998</v>
      </c>
      <c r="Q134" s="107">
        <f t="shared" si="13"/>
        <v>2715.0903387703902</v>
      </c>
      <c r="R134" s="107">
        <f t="shared" si="14"/>
        <v>2961.8737901016998</v>
      </c>
      <c r="S134" s="140" t="str">
        <f t="shared" si="15"/>
        <v>N</v>
      </c>
      <c r="T134" s="154">
        <f t="shared" si="16"/>
        <v>1.0908932744547546</v>
      </c>
      <c r="U134" s="154">
        <f t="shared" si="17"/>
        <v>1.0908932744547546</v>
      </c>
    </row>
    <row r="135" spans="1:21" x14ac:dyDescent="0.35">
      <c r="A135" s="107">
        <v>3391</v>
      </c>
      <c r="B135" s="107">
        <v>2020</v>
      </c>
      <c r="C135" s="107" t="s">
        <v>9</v>
      </c>
      <c r="D135" s="107" t="s">
        <v>132</v>
      </c>
      <c r="E135" s="107" t="s">
        <v>10</v>
      </c>
      <c r="F135" s="115">
        <v>5</v>
      </c>
      <c r="G135" s="107" t="s">
        <v>11</v>
      </c>
      <c r="H135" s="107" t="str">
        <f t="shared" si="12"/>
        <v>Area 5: W Juan de Fuca</v>
      </c>
      <c r="I135" s="107" t="str">
        <f>IFERROR(VLOOKUP(H135,LUTs!$A$1:$C$73,2,FALSE),"NA")</f>
        <v>NA</v>
      </c>
      <c r="J135" s="107" t="str">
        <f>IFERROR(VLOOKUP(H135,LUTs!$A$1:$C$73,3,FALSE),"NA")</f>
        <v>0Strait of Juan de Fuca</v>
      </c>
      <c r="K135" s="107" t="s">
        <v>21</v>
      </c>
      <c r="L135" s="107" t="str">
        <f>VLOOKUP(K135,LUTs!E$2:G$14,3,)</f>
        <v>08Thurston</v>
      </c>
      <c r="M135" s="107" t="str">
        <f>VLOOKUP($K135,LUTs!$E$2:$H$14,2,)</f>
        <v>South Puget Sound</v>
      </c>
      <c r="N135" s="107" t="str">
        <f>VLOOKUP($K135,LUTs!$E$2:$H$14,4,)</f>
        <v>02South Puget Sound</v>
      </c>
      <c r="O135" s="107">
        <v>2860.07089084065</v>
      </c>
      <c r="P135" s="107">
        <v>3120.0320992818802</v>
      </c>
      <c r="Q135" s="107">
        <f t="shared" si="13"/>
        <v>2860.07089084065</v>
      </c>
      <c r="R135" s="107">
        <f t="shared" si="14"/>
        <v>3120.0320992818802</v>
      </c>
      <c r="S135" s="140" t="str">
        <f t="shared" si="15"/>
        <v>N</v>
      </c>
      <c r="T135" s="154">
        <f t="shared" si="16"/>
        <v>1.0908932744547533</v>
      </c>
      <c r="U135" s="154">
        <f t="shared" si="17"/>
        <v>1.0908932744547533</v>
      </c>
    </row>
    <row r="136" spans="1:21" x14ac:dyDescent="0.35">
      <c r="A136" s="107">
        <v>3293</v>
      </c>
      <c r="B136" s="107">
        <v>2020</v>
      </c>
      <c r="C136" s="107" t="s">
        <v>9</v>
      </c>
      <c r="D136" s="107" t="s">
        <v>132</v>
      </c>
      <c r="E136" s="107" t="s">
        <v>10</v>
      </c>
      <c r="F136" s="115">
        <v>5</v>
      </c>
      <c r="G136" s="107" t="s">
        <v>11</v>
      </c>
      <c r="H136" s="107" t="str">
        <f t="shared" si="12"/>
        <v>Area 5: W Juan de Fuca</v>
      </c>
      <c r="I136" s="107" t="str">
        <f>IFERROR(VLOOKUP(H136,LUTs!$A$1:$C$73,2,FALSE),"NA")</f>
        <v>NA</v>
      </c>
      <c r="J136" s="107" t="str">
        <f>IFERROR(VLOOKUP(H136,LUTs!$A$1:$C$73,3,FALSE),"NA")</f>
        <v>0Strait of Juan de Fuca</v>
      </c>
      <c r="K136" s="107" t="s">
        <v>13</v>
      </c>
      <c r="L136" s="107" t="str">
        <f>VLOOKUP(K136,LUTs!E$2:G$14,3,)</f>
        <v>01Whatcom</v>
      </c>
      <c r="M136" s="107" t="str">
        <f>VLOOKUP($K136,LUTs!$E$2:$H$14,2,)</f>
        <v>North Puget Sound</v>
      </c>
      <c r="N136" s="107" t="str">
        <f>VLOOKUP($K136,LUTs!$E$2:$H$14,4,)</f>
        <v>01North Puget Sound</v>
      </c>
      <c r="O136" s="107">
        <v>474.48180677540802</v>
      </c>
      <c r="P136" s="107">
        <v>517.609011862432</v>
      </c>
      <c r="Q136" s="107">
        <f t="shared" si="13"/>
        <v>474.48180677540802</v>
      </c>
      <c r="R136" s="107">
        <f t="shared" si="14"/>
        <v>517.609011862432</v>
      </c>
      <c r="S136" s="140" t="str">
        <f t="shared" si="15"/>
        <v>N</v>
      </c>
      <c r="T136" s="154">
        <f t="shared" si="16"/>
        <v>1.0908932744547524</v>
      </c>
      <c r="U136" s="154">
        <f t="shared" si="17"/>
        <v>1.0908932744547524</v>
      </c>
    </row>
    <row r="137" spans="1:21" x14ac:dyDescent="0.35">
      <c r="A137" s="107">
        <v>1329</v>
      </c>
      <c r="B137" s="107">
        <v>2021</v>
      </c>
      <c r="C137" s="107" t="s">
        <v>9</v>
      </c>
      <c r="D137" s="107" t="s">
        <v>132</v>
      </c>
      <c r="E137" s="107" t="s">
        <v>10</v>
      </c>
      <c r="F137" s="115">
        <v>5</v>
      </c>
      <c r="G137" s="107" t="s">
        <v>11</v>
      </c>
      <c r="H137" s="107" t="str">
        <f t="shared" si="12"/>
        <v>Area 5: W Juan de Fuca</v>
      </c>
      <c r="I137" s="107" t="str">
        <f>IFERROR(VLOOKUP(H137,LUTs!$A$1:$C$73,2,FALSE),"NA")</f>
        <v>NA</v>
      </c>
      <c r="J137" s="107" t="str">
        <f>IFERROR(VLOOKUP(H137,LUTs!$A$1:$C$73,3,FALSE),"NA")</f>
        <v>0Strait of Juan de Fuca</v>
      </c>
      <c r="K137" s="107" t="s">
        <v>24</v>
      </c>
      <c r="L137" s="107" t="str">
        <f>VLOOKUP(K137,LUTs!E$2:G$14,3,)</f>
        <v>11Clallam</v>
      </c>
      <c r="M137" s="107" t="str">
        <f>VLOOKUP($K137,LUTs!$E$2:$H$14,2,)</f>
        <v>Strait of Juan de Fuca</v>
      </c>
      <c r="N137" s="107" t="str">
        <f>VLOOKUP($K137,LUTs!$E$2:$H$14,4,)</f>
        <v>03Strait of Juan de Fuca</v>
      </c>
      <c r="O137" s="107">
        <v>6088.3767535070101</v>
      </c>
      <c r="P137" s="107">
        <v>6361.8094006908204</v>
      </c>
      <c r="Q137" s="107">
        <f t="shared" si="13"/>
        <v>6088.3767535070101</v>
      </c>
      <c r="R137" s="107">
        <f t="shared" si="14"/>
        <v>6361.8094006908204</v>
      </c>
      <c r="S137" s="140" t="str">
        <f t="shared" si="15"/>
        <v>N</v>
      </c>
      <c r="T137" s="154">
        <f t="shared" si="16"/>
        <v>1.044910599040427</v>
      </c>
      <c r="U137" s="154">
        <f t="shared" si="17"/>
        <v>1.044910599040427</v>
      </c>
    </row>
    <row r="138" spans="1:21" x14ac:dyDescent="0.35">
      <c r="A138" s="107">
        <v>3588</v>
      </c>
      <c r="B138" s="107">
        <v>2021</v>
      </c>
      <c r="C138" s="107" t="s">
        <v>9</v>
      </c>
      <c r="D138" s="107" t="s">
        <v>132</v>
      </c>
      <c r="E138" s="107" t="s">
        <v>10</v>
      </c>
      <c r="F138" s="115">
        <v>5</v>
      </c>
      <c r="G138" s="107" t="s">
        <v>11</v>
      </c>
      <c r="H138" s="107" t="str">
        <f t="shared" si="12"/>
        <v>Area 5: W Juan de Fuca</v>
      </c>
      <c r="I138" s="107" t="str">
        <f>IFERROR(VLOOKUP(H138,LUTs!$A$1:$C$73,2,FALSE),"NA")</f>
        <v>NA</v>
      </c>
      <c r="J138" s="107" t="str">
        <f>IFERROR(VLOOKUP(H138,LUTs!$A$1:$C$73,3,FALSE),"NA")</f>
        <v>0Strait of Juan de Fuca</v>
      </c>
      <c r="K138" s="107" t="s">
        <v>17</v>
      </c>
      <c r="L138" s="107" t="str">
        <f>VLOOKUP(K138,LUTs!E$2:G$14,3,)</f>
        <v>04Island</v>
      </c>
      <c r="M138" s="107" t="str">
        <f>VLOOKUP($K138,LUTs!$E$2:$H$14,2,)</f>
        <v>North Puget Sound</v>
      </c>
      <c r="N138" s="107" t="str">
        <f>VLOOKUP($K138,LUTs!$E$2:$H$14,4,)</f>
        <v>01North Puget Sound</v>
      </c>
      <c r="O138" s="107">
        <v>582.56513026052096</v>
      </c>
      <c r="P138" s="107">
        <v>608.72847924058499</v>
      </c>
      <c r="Q138" s="107">
        <f t="shared" si="13"/>
        <v>582.56513026052096</v>
      </c>
      <c r="R138" s="107">
        <f t="shared" si="14"/>
        <v>608.72847924058499</v>
      </c>
      <c r="S138" s="140" t="str">
        <f t="shared" si="15"/>
        <v>N</v>
      </c>
      <c r="T138" s="154">
        <f t="shared" si="16"/>
        <v>1.0449105990404264</v>
      </c>
      <c r="U138" s="154">
        <f t="shared" si="17"/>
        <v>1.0449105990404264</v>
      </c>
    </row>
    <row r="139" spans="1:21" x14ac:dyDescent="0.35">
      <c r="A139" s="107">
        <v>1330</v>
      </c>
      <c r="B139" s="107">
        <v>2021</v>
      </c>
      <c r="C139" s="107" t="s">
        <v>9</v>
      </c>
      <c r="D139" s="107" t="s">
        <v>132</v>
      </c>
      <c r="E139" s="107" t="s">
        <v>10</v>
      </c>
      <c r="F139" s="115">
        <v>5</v>
      </c>
      <c r="G139" s="107" t="s">
        <v>11</v>
      </c>
      <c r="H139" s="107" t="str">
        <f t="shared" si="12"/>
        <v>Area 5: W Juan de Fuca</v>
      </c>
      <c r="I139" s="107" t="str">
        <f>IFERROR(VLOOKUP(H139,LUTs!$A$1:$C$73,2,FALSE),"NA")</f>
        <v>NA</v>
      </c>
      <c r="J139" s="107" t="str">
        <f>IFERROR(VLOOKUP(H139,LUTs!$A$1:$C$73,3,FALSE),"NA")</f>
        <v>0Strait of Juan de Fuca</v>
      </c>
      <c r="K139" s="107" t="s">
        <v>25</v>
      </c>
      <c r="L139" s="107" t="str">
        <f>VLOOKUP(K139,LUTs!E$2:G$14,3,)</f>
        <v>12Jefferson</v>
      </c>
      <c r="M139" s="107" t="str">
        <f>VLOOKUP($K139,LUTs!$E$2:$H$14,2,)</f>
        <v>Strait of Juan de Fuca</v>
      </c>
      <c r="N139" s="107" t="str">
        <f>VLOOKUP($K139,LUTs!$E$2:$H$14,4,)</f>
        <v>03Strait of Juan de Fuca</v>
      </c>
      <c r="O139" s="107">
        <v>502.60521042084201</v>
      </c>
      <c r="P139" s="107">
        <v>525.17751150168101</v>
      </c>
      <c r="Q139" s="107">
        <f t="shared" si="13"/>
        <v>502.60521042084201</v>
      </c>
      <c r="R139" s="107">
        <f t="shared" si="14"/>
        <v>525.17751150168101</v>
      </c>
      <c r="S139" s="140" t="str">
        <f t="shared" si="15"/>
        <v>N</v>
      </c>
      <c r="T139" s="154">
        <f t="shared" si="16"/>
        <v>1.0449105990404253</v>
      </c>
      <c r="U139" s="154">
        <f t="shared" si="17"/>
        <v>1.0449105990404253</v>
      </c>
    </row>
    <row r="140" spans="1:21" x14ac:dyDescent="0.35">
      <c r="A140" s="107">
        <v>3610</v>
      </c>
      <c r="B140" s="107">
        <v>2021</v>
      </c>
      <c r="C140" s="107" t="s">
        <v>9</v>
      </c>
      <c r="D140" s="107" t="s">
        <v>132</v>
      </c>
      <c r="E140" s="107" t="s">
        <v>10</v>
      </c>
      <c r="F140" s="115">
        <v>5</v>
      </c>
      <c r="G140" s="107" t="s">
        <v>11</v>
      </c>
      <c r="H140" s="107" t="str">
        <f t="shared" si="12"/>
        <v>Area 5: W Juan de Fuca</v>
      </c>
      <c r="I140" s="107" t="str">
        <f>IFERROR(VLOOKUP(H140,LUTs!$A$1:$C$73,2,FALSE),"NA")</f>
        <v>NA</v>
      </c>
      <c r="J140" s="107" t="str">
        <f>IFERROR(VLOOKUP(H140,LUTs!$A$1:$C$73,3,FALSE),"NA")</f>
        <v>0Strait of Juan de Fuca</v>
      </c>
      <c r="K140" s="107" t="s">
        <v>18</v>
      </c>
      <c r="L140" s="107" t="str">
        <f>VLOOKUP(K140,LUTs!E$2:G$14,3,)</f>
        <v>06King</v>
      </c>
      <c r="M140" s="107" t="str">
        <f>VLOOKUP($K140,LUTs!$E$2:$H$14,2,)</f>
        <v>South Puget Sound</v>
      </c>
      <c r="N140" s="107" t="str">
        <f>VLOOKUP($K140,LUTs!$E$2:$H$14,4,)</f>
        <v>02South Puget Sound</v>
      </c>
      <c r="O140" s="107">
        <v>6431.0621242485004</v>
      </c>
      <c r="P140" s="107">
        <v>6719.8849767146903</v>
      </c>
      <c r="Q140" s="107">
        <f t="shared" si="13"/>
        <v>6431.0621242485004</v>
      </c>
      <c r="R140" s="107">
        <f t="shared" si="14"/>
        <v>6719.8849767146903</v>
      </c>
      <c r="S140" s="140" t="str">
        <f t="shared" si="15"/>
        <v>N</v>
      </c>
      <c r="T140" s="154">
        <f t="shared" si="16"/>
        <v>1.0449105990404253</v>
      </c>
      <c r="U140" s="154">
        <f t="shared" si="17"/>
        <v>1.0449105990404253</v>
      </c>
    </row>
    <row r="141" spans="1:21" x14ac:dyDescent="0.35">
      <c r="A141" s="107">
        <v>1328</v>
      </c>
      <c r="B141" s="107">
        <v>2021</v>
      </c>
      <c r="C141" s="107" t="s">
        <v>9</v>
      </c>
      <c r="D141" s="107" t="s">
        <v>132</v>
      </c>
      <c r="E141" s="107" t="s">
        <v>10</v>
      </c>
      <c r="F141" s="115">
        <v>5</v>
      </c>
      <c r="G141" s="107" t="s">
        <v>11</v>
      </c>
      <c r="H141" s="107" t="str">
        <f t="shared" si="12"/>
        <v>Area 5: W Juan de Fuca</v>
      </c>
      <c r="I141" s="107" t="str">
        <f>IFERROR(VLOOKUP(H141,LUTs!$A$1:$C$73,2,FALSE),"NA")</f>
        <v>NA</v>
      </c>
      <c r="J141" s="107" t="str">
        <f>IFERROR(VLOOKUP(H141,LUTs!$A$1:$C$73,3,FALSE),"NA")</f>
        <v>0Strait of Juan de Fuca</v>
      </c>
      <c r="K141" s="107" t="s">
        <v>23</v>
      </c>
      <c r="L141" s="107" t="str">
        <f>VLOOKUP(K141,LUTs!E$2:G$14,3,)</f>
        <v>10Kitsap</v>
      </c>
      <c r="M141" s="107" t="str">
        <f>VLOOKUP($K141,LUTs!$E$2:$H$14,2,)</f>
        <v>South Puget Sound</v>
      </c>
      <c r="N141" s="107" t="str">
        <f>VLOOKUP($K141,LUTs!$E$2:$H$14,4,)</f>
        <v>02South Puget Sound</v>
      </c>
      <c r="O141" s="107">
        <v>4169.3386773547099</v>
      </c>
      <c r="P141" s="107">
        <v>4356.5861749571304</v>
      </c>
      <c r="Q141" s="107">
        <f t="shared" si="13"/>
        <v>4169.3386773547099</v>
      </c>
      <c r="R141" s="107">
        <f t="shared" si="14"/>
        <v>4356.5861749571304</v>
      </c>
      <c r="S141" s="140" t="str">
        <f t="shared" si="15"/>
        <v>N</v>
      </c>
      <c r="T141" s="154">
        <f t="shared" si="16"/>
        <v>1.0449105990404268</v>
      </c>
      <c r="U141" s="154">
        <f t="shared" si="17"/>
        <v>1.0449105990404268</v>
      </c>
    </row>
    <row r="142" spans="1:21" x14ac:dyDescent="0.35">
      <c r="A142" s="107">
        <v>3637</v>
      </c>
      <c r="B142" s="107">
        <v>2021</v>
      </c>
      <c r="C142" s="107" t="s">
        <v>9</v>
      </c>
      <c r="D142" s="107" t="s">
        <v>132</v>
      </c>
      <c r="E142" s="107" t="s">
        <v>10</v>
      </c>
      <c r="F142" s="115">
        <v>5</v>
      </c>
      <c r="G142" s="107" t="s">
        <v>11</v>
      </c>
      <c r="H142" s="107" t="str">
        <f t="shared" si="12"/>
        <v>Area 5: W Juan de Fuca</v>
      </c>
      <c r="I142" s="107" t="str">
        <f>IFERROR(VLOOKUP(H142,LUTs!$A$1:$C$73,2,FALSE),"NA")</f>
        <v>NA</v>
      </c>
      <c r="J142" s="107" t="str">
        <f>IFERROR(VLOOKUP(H142,LUTs!$A$1:$C$73,3,FALSE),"NA")</f>
        <v>0Strait of Juan de Fuca</v>
      </c>
      <c r="K142" s="107" t="s">
        <v>22</v>
      </c>
      <c r="L142" s="107" t="str">
        <f>VLOOKUP(K142,LUTs!E$2:G$14,3,)</f>
        <v>09Mason</v>
      </c>
      <c r="M142" s="107" t="str">
        <f>VLOOKUP($K142,LUTs!$E$2:$H$14,2,)</f>
        <v>South Puget Sound</v>
      </c>
      <c r="N142" s="107" t="str">
        <f>VLOOKUP($K142,LUTs!$E$2:$H$14,4,)</f>
        <v>02South Puget Sound</v>
      </c>
      <c r="O142" s="107">
        <v>1245.0901803607201</v>
      </c>
      <c r="P142" s="107">
        <v>1301.00792622007</v>
      </c>
      <c r="Q142" s="107">
        <f t="shared" si="13"/>
        <v>1245.0901803607201</v>
      </c>
      <c r="R142" s="107">
        <f t="shared" si="14"/>
        <v>1301.00792622007</v>
      </c>
      <c r="S142" s="140" t="str">
        <f t="shared" si="15"/>
        <v>N</v>
      </c>
      <c r="T142" s="154">
        <f t="shared" si="16"/>
        <v>1.0449105990404244</v>
      </c>
      <c r="U142" s="154">
        <f t="shared" si="17"/>
        <v>1.0449105990404244</v>
      </c>
    </row>
    <row r="143" spans="1:21" x14ac:dyDescent="0.35">
      <c r="A143" s="107">
        <v>1331</v>
      </c>
      <c r="B143" s="107">
        <v>2021</v>
      </c>
      <c r="C143" s="107" t="s">
        <v>9</v>
      </c>
      <c r="D143" s="107" t="s">
        <v>132</v>
      </c>
      <c r="E143" s="107" t="s">
        <v>10</v>
      </c>
      <c r="F143" s="115">
        <v>5</v>
      </c>
      <c r="G143" s="107" t="s">
        <v>11</v>
      </c>
      <c r="H143" s="107" t="str">
        <f t="shared" si="12"/>
        <v>Area 5: W Juan de Fuca</v>
      </c>
      <c r="I143" s="107" t="str">
        <f>IFERROR(VLOOKUP(H143,LUTs!$A$1:$C$73,2,FALSE),"NA")</f>
        <v>NA</v>
      </c>
      <c r="J143" s="107" t="str">
        <f>IFERROR(VLOOKUP(H143,LUTs!$A$1:$C$73,3,FALSE),"NA")</f>
        <v>0Strait of Juan de Fuca</v>
      </c>
      <c r="K143" s="107" t="s">
        <v>26</v>
      </c>
      <c r="L143" s="107" t="str">
        <f>VLOOKUP(K143,LUTs!E$2:G$14,3,)</f>
        <v>20Other</v>
      </c>
      <c r="M143" s="107" t="str">
        <f>VLOOKUP($K143,LUTs!$E$2:$H$14,2,)</f>
        <v>Non Puget Sound</v>
      </c>
      <c r="N143" s="107" t="str">
        <f>VLOOKUP($K143,LUTs!$E$2:$H$14,4,)</f>
        <v>07Non Puget Sound</v>
      </c>
      <c r="O143" s="107">
        <v>8635.6713426853694</v>
      </c>
      <c r="P143" s="107">
        <v>9023.5045158016092</v>
      </c>
      <c r="Q143" s="107">
        <f t="shared" si="13"/>
        <v>8635.6713426853694</v>
      </c>
      <c r="R143" s="107">
        <f t="shared" si="14"/>
        <v>9023.5045158016092</v>
      </c>
      <c r="S143" s="140" t="str">
        <f t="shared" si="15"/>
        <v>N</v>
      </c>
      <c r="T143" s="154">
        <f t="shared" si="16"/>
        <v>1.0449105990404259</v>
      </c>
      <c r="U143" s="154">
        <f t="shared" si="17"/>
        <v>1.0449105990404259</v>
      </c>
    </row>
    <row r="144" spans="1:21" x14ac:dyDescent="0.35">
      <c r="A144" s="107">
        <v>3611</v>
      </c>
      <c r="B144" s="107">
        <v>2021</v>
      </c>
      <c r="C144" s="107" t="s">
        <v>9</v>
      </c>
      <c r="D144" s="107" t="s">
        <v>132</v>
      </c>
      <c r="E144" s="107" t="s">
        <v>10</v>
      </c>
      <c r="F144" s="115">
        <v>5</v>
      </c>
      <c r="G144" s="107" t="s">
        <v>11</v>
      </c>
      <c r="H144" s="107" t="str">
        <f t="shared" si="12"/>
        <v>Area 5: W Juan de Fuca</v>
      </c>
      <c r="I144" s="107" t="str">
        <f>IFERROR(VLOOKUP(H144,LUTs!$A$1:$C$73,2,FALSE),"NA")</f>
        <v>NA</v>
      </c>
      <c r="J144" s="107" t="str">
        <f>IFERROR(VLOOKUP(H144,LUTs!$A$1:$C$73,3,FALSE),"NA")</f>
        <v>0Strait of Juan de Fuca</v>
      </c>
      <c r="K144" s="107" t="s">
        <v>20</v>
      </c>
      <c r="L144" s="107" t="str">
        <f>VLOOKUP(K144,LUTs!E$2:G$14,3,)</f>
        <v>07Pierce</v>
      </c>
      <c r="M144" s="107" t="str">
        <f>VLOOKUP($K144,LUTs!$E$2:$H$14,2,)</f>
        <v>South Puget Sound</v>
      </c>
      <c r="N144" s="107" t="str">
        <f>VLOOKUP($K144,LUTs!$E$2:$H$14,4,)</f>
        <v>02South Puget Sound</v>
      </c>
      <c r="O144" s="107">
        <v>5540.0801603206401</v>
      </c>
      <c r="P144" s="107">
        <v>5788.8884790526199</v>
      </c>
      <c r="Q144" s="107">
        <f t="shared" si="13"/>
        <v>5540.0801603206401</v>
      </c>
      <c r="R144" s="107">
        <f t="shared" si="14"/>
        <v>5788.8884790526199</v>
      </c>
      <c r="S144" s="140" t="str">
        <f t="shared" si="15"/>
        <v>N</v>
      </c>
      <c r="T144" s="154">
        <f t="shared" si="16"/>
        <v>1.0449105990404262</v>
      </c>
      <c r="U144" s="154">
        <f t="shared" si="17"/>
        <v>1.0449105990404262</v>
      </c>
    </row>
    <row r="145" spans="1:21" x14ac:dyDescent="0.35">
      <c r="A145" s="107">
        <v>3508</v>
      </c>
      <c r="B145" s="107">
        <v>2021</v>
      </c>
      <c r="C145" s="107" t="s">
        <v>9</v>
      </c>
      <c r="D145" s="107" t="s">
        <v>132</v>
      </c>
      <c r="E145" s="107" t="s">
        <v>10</v>
      </c>
      <c r="F145" s="115">
        <v>5</v>
      </c>
      <c r="G145" s="107" t="s">
        <v>11</v>
      </c>
      <c r="H145" s="107" t="str">
        <f t="shared" si="12"/>
        <v>Area 5: W Juan de Fuca</v>
      </c>
      <c r="I145" s="107" t="str">
        <f>IFERROR(VLOOKUP(H145,LUTs!$A$1:$C$73,2,FALSE),"NA")</f>
        <v>NA</v>
      </c>
      <c r="J145" s="107" t="str">
        <f>IFERROR(VLOOKUP(H145,LUTs!$A$1:$C$73,3,FALSE),"NA")</f>
        <v>0Strait of Juan de Fuca</v>
      </c>
      <c r="K145" s="107" t="s">
        <v>15</v>
      </c>
      <c r="L145" s="107" t="str">
        <f>VLOOKUP(K145,LUTs!E$2:G$14,3,)</f>
        <v>02Skagit</v>
      </c>
      <c r="M145" s="107" t="str">
        <f>VLOOKUP($K145,LUTs!$E$2:$H$14,2,)</f>
        <v>North Puget Sound</v>
      </c>
      <c r="N145" s="107" t="str">
        <f>VLOOKUP($K145,LUTs!$E$2:$H$14,4,)</f>
        <v>01North Puget Sound</v>
      </c>
      <c r="O145" s="107">
        <v>673.94789579158305</v>
      </c>
      <c r="P145" s="107">
        <v>704.21529951361799</v>
      </c>
      <c r="Q145" s="107">
        <f t="shared" si="13"/>
        <v>673.94789579158305</v>
      </c>
      <c r="R145" s="107">
        <f t="shared" si="14"/>
        <v>704.21529951361799</v>
      </c>
      <c r="S145" s="140" t="str">
        <f t="shared" si="15"/>
        <v>N</v>
      </c>
      <c r="T145" s="154">
        <f t="shared" si="16"/>
        <v>1.0449105990404266</v>
      </c>
      <c r="U145" s="154">
        <f t="shared" si="17"/>
        <v>1.0449105990404266</v>
      </c>
    </row>
    <row r="146" spans="1:21" x14ac:dyDescent="0.35">
      <c r="A146" s="107">
        <v>3509</v>
      </c>
      <c r="B146" s="107">
        <v>2021</v>
      </c>
      <c r="C146" s="107" t="s">
        <v>9</v>
      </c>
      <c r="D146" s="107" t="s">
        <v>132</v>
      </c>
      <c r="E146" s="107" t="s">
        <v>10</v>
      </c>
      <c r="F146" s="115">
        <v>5</v>
      </c>
      <c r="G146" s="107" t="s">
        <v>11</v>
      </c>
      <c r="H146" s="107" t="str">
        <f t="shared" si="12"/>
        <v>Area 5: W Juan de Fuca</v>
      </c>
      <c r="I146" s="107" t="str">
        <f>IFERROR(VLOOKUP(H146,LUTs!$A$1:$C$73,2,FALSE),"NA")</f>
        <v>NA</v>
      </c>
      <c r="J146" s="107" t="str">
        <f>IFERROR(VLOOKUP(H146,LUTs!$A$1:$C$73,3,FALSE),"NA")</f>
        <v>0Strait of Juan de Fuca</v>
      </c>
      <c r="K146" s="107" t="s">
        <v>16</v>
      </c>
      <c r="L146" s="107" t="str">
        <f>VLOOKUP(K146,LUTs!E$2:G$14,3,)</f>
        <v>03Snohomish</v>
      </c>
      <c r="M146" s="107" t="str">
        <f>VLOOKUP($K146,LUTs!$E$2:$H$14,2,)</f>
        <v>North Puget Sound</v>
      </c>
      <c r="N146" s="107" t="str">
        <f>VLOOKUP($K146,LUTs!$E$2:$H$14,4,)</f>
        <v>01North Puget Sound</v>
      </c>
      <c r="O146" s="107">
        <v>2787.1743486974001</v>
      </c>
      <c r="P146" s="107">
        <v>2912.3480183275101</v>
      </c>
      <c r="Q146" s="107">
        <f t="shared" si="13"/>
        <v>2787.1743486974001</v>
      </c>
      <c r="R146" s="107">
        <f t="shared" si="14"/>
        <v>2912.3480183275101</v>
      </c>
      <c r="S146" s="140" t="str">
        <f t="shared" si="15"/>
        <v>N</v>
      </c>
      <c r="T146" s="154">
        <f t="shared" si="16"/>
        <v>1.0449105990404262</v>
      </c>
      <c r="U146" s="154">
        <f t="shared" si="17"/>
        <v>1.0449105990404262</v>
      </c>
    </row>
    <row r="147" spans="1:21" x14ac:dyDescent="0.35">
      <c r="A147" s="107">
        <v>3612</v>
      </c>
      <c r="B147" s="107">
        <v>2021</v>
      </c>
      <c r="C147" s="107" t="s">
        <v>9</v>
      </c>
      <c r="D147" s="107" t="s">
        <v>132</v>
      </c>
      <c r="E147" s="107" t="s">
        <v>10</v>
      </c>
      <c r="F147" s="115">
        <v>5</v>
      </c>
      <c r="G147" s="107" t="s">
        <v>11</v>
      </c>
      <c r="H147" s="107" t="str">
        <f t="shared" si="12"/>
        <v>Area 5: W Juan de Fuca</v>
      </c>
      <c r="I147" s="107" t="str">
        <f>IFERROR(VLOOKUP(H147,LUTs!$A$1:$C$73,2,FALSE),"NA")</f>
        <v>NA</v>
      </c>
      <c r="J147" s="107" t="str">
        <f>IFERROR(VLOOKUP(H147,LUTs!$A$1:$C$73,3,FALSE),"NA")</f>
        <v>0Strait of Juan de Fuca</v>
      </c>
      <c r="K147" s="107" t="s">
        <v>21</v>
      </c>
      <c r="L147" s="107" t="str">
        <f>VLOOKUP(K147,LUTs!E$2:G$14,3,)</f>
        <v>08Thurston</v>
      </c>
      <c r="M147" s="107" t="str">
        <f>VLOOKUP($K147,LUTs!$E$2:$H$14,2,)</f>
        <v>South Puget Sound</v>
      </c>
      <c r="N147" s="107" t="str">
        <f>VLOOKUP($K147,LUTs!$E$2:$H$14,4,)</f>
        <v>02South Puget Sound</v>
      </c>
      <c r="O147" s="107">
        <v>2433.0661322645301</v>
      </c>
      <c r="P147" s="107">
        <v>2542.3365897694998</v>
      </c>
      <c r="Q147" s="107">
        <f t="shared" si="13"/>
        <v>2433.0661322645301</v>
      </c>
      <c r="R147" s="107">
        <f t="shared" si="14"/>
        <v>2542.3365897694998</v>
      </c>
      <c r="S147" s="140" t="str">
        <f t="shared" si="15"/>
        <v>N</v>
      </c>
      <c r="T147" s="154">
        <f t="shared" si="16"/>
        <v>1.0449105990404248</v>
      </c>
      <c r="U147" s="154">
        <f t="shared" si="17"/>
        <v>1.0449105990404248</v>
      </c>
    </row>
    <row r="148" spans="1:21" x14ac:dyDescent="0.35">
      <c r="A148" s="107">
        <v>3393</v>
      </c>
      <c r="B148" s="107">
        <v>2021</v>
      </c>
      <c r="C148" s="107" t="s">
        <v>9</v>
      </c>
      <c r="D148" s="107" t="s">
        <v>132</v>
      </c>
      <c r="E148" s="107" t="s">
        <v>10</v>
      </c>
      <c r="F148" s="115">
        <v>5</v>
      </c>
      <c r="G148" s="107" t="s">
        <v>11</v>
      </c>
      <c r="H148" s="107" t="str">
        <f t="shared" si="12"/>
        <v>Area 5: W Juan de Fuca</v>
      </c>
      <c r="I148" s="107" t="str">
        <f>IFERROR(VLOOKUP(H148,LUTs!$A$1:$C$73,2,FALSE),"NA")</f>
        <v>NA</v>
      </c>
      <c r="J148" s="107" t="str">
        <f>IFERROR(VLOOKUP(H148,LUTs!$A$1:$C$73,3,FALSE),"NA")</f>
        <v>0Strait of Juan de Fuca</v>
      </c>
      <c r="K148" s="107" t="s">
        <v>13</v>
      </c>
      <c r="L148" s="107" t="str">
        <f>VLOOKUP(K148,LUTs!E$2:G$14,3,)</f>
        <v>01Whatcom</v>
      </c>
      <c r="M148" s="107" t="str">
        <f>VLOOKUP($K148,LUTs!$E$2:$H$14,2,)</f>
        <v>North Puget Sound</v>
      </c>
      <c r="N148" s="107" t="str">
        <f>VLOOKUP($K148,LUTs!$E$2:$H$14,4,)</f>
        <v>01North Puget Sound</v>
      </c>
      <c r="O148" s="107">
        <v>811.02204408817704</v>
      </c>
      <c r="P148" s="107">
        <v>847.44552992316699</v>
      </c>
      <c r="Q148" s="107">
        <f t="shared" si="13"/>
        <v>811.02204408817704</v>
      </c>
      <c r="R148" s="107">
        <f t="shared" si="14"/>
        <v>847.44552992316699</v>
      </c>
      <c r="S148" s="140" t="str">
        <f t="shared" si="15"/>
        <v>N</v>
      </c>
      <c r="T148" s="154">
        <f t="shared" si="16"/>
        <v>1.0449105990404248</v>
      </c>
      <c r="U148" s="154">
        <f t="shared" si="17"/>
        <v>1.0449105990404248</v>
      </c>
    </row>
    <row r="149" spans="1:21" x14ac:dyDescent="0.35">
      <c r="A149" s="107">
        <v>3327</v>
      </c>
      <c r="B149" s="107">
        <v>2010</v>
      </c>
      <c r="C149" s="107" t="s">
        <v>9</v>
      </c>
      <c r="D149" s="107" t="s">
        <v>132</v>
      </c>
      <c r="E149" s="107" t="s">
        <v>10</v>
      </c>
      <c r="F149" s="115">
        <v>6</v>
      </c>
      <c r="G149" s="107" t="s">
        <v>28</v>
      </c>
      <c r="H149" s="107" t="str">
        <f t="shared" si="12"/>
        <v>Area 6: E Juan de Fuca</v>
      </c>
      <c r="I149" s="107" t="str">
        <f>IFERROR(VLOOKUP(H149,LUTs!$A$1:$C$73,2,FALSE),"NA")</f>
        <v>NA</v>
      </c>
      <c r="J149" s="107" t="str">
        <f>IFERROR(VLOOKUP(H149,LUTs!$A$1:$C$73,3,FALSE),"NA")</f>
        <v>0Strait of Juan de Fuca</v>
      </c>
      <c r="K149" s="107" t="s">
        <v>24</v>
      </c>
      <c r="L149" s="107" t="str">
        <f>VLOOKUP(K149,LUTs!E$2:G$14,3,)</f>
        <v>11Clallam</v>
      </c>
      <c r="M149" s="107" t="str">
        <f>VLOOKUP($K149,LUTs!$E$2:$H$14,2,)</f>
        <v>Strait of Juan de Fuca</v>
      </c>
      <c r="N149" s="107" t="str">
        <f>VLOOKUP($K149,LUTs!$E$2:$H$14,4,)</f>
        <v>03Strait of Juan de Fuca</v>
      </c>
      <c r="O149" s="107">
        <v>2287.1511254019301</v>
      </c>
      <c r="P149" s="107">
        <v>10838.455562701</v>
      </c>
      <c r="Q149" s="107">
        <f t="shared" si="13"/>
        <v>2287.1511254019301</v>
      </c>
      <c r="R149" s="107">
        <f t="shared" si="14"/>
        <v>10838.455562701</v>
      </c>
      <c r="S149" s="140" t="str">
        <f t="shared" si="15"/>
        <v>Y</v>
      </c>
      <c r="T149" s="154">
        <f t="shared" si="16"/>
        <v>4.7388453881884676</v>
      </c>
      <c r="U149" s="154">
        <f t="shared" si="17"/>
        <v>4.7388453881884676</v>
      </c>
    </row>
    <row r="150" spans="1:21" x14ac:dyDescent="0.35">
      <c r="A150" s="107">
        <v>3232</v>
      </c>
      <c r="B150" s="107">
        <v>2010</v>
      </c>
      <c r="C150" s="107" t="s">
        <v>9</v>
      </c>
      <c r="D150" s="107" t="s">
        <v>132</v>
      </c>
      <c r="E150" s="107" t="s">
        <v>10</v>
      </c>
      <c r="F150" s="115">
        <v>6</v>
      </c>
      <c r="G150" s="107" t="s">
        <v>28</v>
      </c>
      <c r="H150" s="107" t="str">
        <f t="shared" si="12"/>
        <v>Area 6: E Juan de Fuca</v>
      </c>
      <c r="I150" s="107" t="str">
        <f>IFERROR(VLOOKUP(H150,LUTs!$A$1:$C$73,2,FALSE),"NA")</f>
        <v>NA</v>
      </c>
      <c r="J150" s="107" t="str">
        <f>IFERROR(VLOOKUP(H150,LUTs!$A$1:$C$73,3,FALSE),"NA")</f>
        <v>0Strait of Juan de Fuca</v>
      </c>
      <c r="K150" s="107" t="s">
        <v>17</v>
      </c>
      <c r="L150" s="107" t="str">
        <f>VLOOKUP(K150,LUTs!E$2:G$14,3,)</f>
        <v>04Island</v>
      </c>
      <c r="M150" s="107" t="str">
        <f>VLOOKUP($K150,LUTs!$E$2:$H$14,2,)</f>
        <v>North Puget Sound</v>
      </c>
      <c r="N150" s="107" t="str">
        <f>VLOOKUP($K150,LUTs!$E$2:$H$14,4,)</f>
        <v>01North Puget Sound</v>
      </c>
      <c r="O150" s="107">
        <v>29.0739549839228</v>
      </c>
      <c r="P150" s="107">
        <v>137.77697749196099</v>
      </c>
      <c r="Q150" s="107">
        <f t="shared" si="13"/>
        <v>29.0739549839228</v>
      </c>
      <c r="R150" s="107">
        <f t="shared" si="14"/>
        <v>137.77697749196099</v>
      </c>
      <c r="S150" s="140" t="str">
        <f t="shared" si="15"/>
        <v>Y</v>
      </c>
      <c r="T150" s="154">
        <f t="shared" si="16"/>
        <v>4.7388453881884445</v>
      </c>
      <c r="U150" s="154">
        <f t="shared" si="17"/>
        <v>4.7388453881884445</v>
      </c>
    </row>
    <row r="151" spans="1:21" x14ac:dyDescent="0.35">
      <c r="A151" s="107">
        <v>3328</v>
      </c>
      <c r="B151" s="107">
        <v>2010</v>
      </c>
      <c r="C151" s="107" t="s">
        <v>9</v>
      </c>
      <c r="D151" s="107" t="s">
        <v>132</v>
      </c>
      <c r="E151" s="107" t="s">
        <v>10</v>
      </c>
      <c r="F151" s="115">
        <v>6</v>
      </c>
      <c r="G151" s="107" t="s">
        <v>28</v>
      </c>
      <c r="H151" s="107" t="str">
        <f t="shared" si="12"/>
        <v>Area 6: E Juan de Fuca</v>
      </c>
      <c r="I151" s="107" t="str">
        <f>IFERROR(VLOOKUP(H151,LUTs!$A$1:$C$73,2,FALSE),"NA")</f>
        <v>NA</v>
      </c>
      <c r="J151" s="107" t="str">
        <f>IFERROR(VLOOKUP(H151,LUTs!$A$1:$C$73,3,FALSE),"NA")</f>
        <v>0Strait of Juan de Fuca</v>
      </c>
      <c r="K151" s="107" t="s">
        <v>25</v>
      </c>
      <c r="L151" s="107" t="str">
        <f>VLOOKUP(K151,LUTs!E$2:G$14,3,)</f>
        <v>12Jefferson</v>
      </c>
      <c r="M151" s="107" t="str">
        <f>VLOOKUP($K151,LUTs!$E$2:$H$14,2,)</f>
        <v>Strait of Juan de Fuca</v>
      </c>
      <c r="N151" s="107" t="str">
        <f>VLOOKUP($K151,LUTs!$E$2:$H$14,4,)</f>
        <v>03Strait of Juan de Fuca</v>
      </c>
      <c r="O151" s="107">
        <v>92.067524115755702</v>
      </c>
      <c r="P151" s="107">
        <v>436.29376205787798</v>
      </c>
      <c r="Q151" s="107">
        <f t="shared" si="13"/>
        <v>92.067524115755702</v>
      </c>
      <c r="R151" s="107">
        <f t="shared" si="14"/>
        <v>436.29376205787798</v>
      </c>
      <c r="S151" s="140" t="str">
        <f t="shared" si="15"/>
        <v>Y</v>
      </c>
      <c r="T151" s="154">
        <f t="shared" si="16"/>
        <v>4.7388453881884516</v>
      </c>
      <c r="U151" s="154">
        <f t="shared" si="17"/>
        <v>4.7388453881884516</v>
      </c>
    </row>
    <row r="152" spans="1:21" x14ac:dyDescent="0.35">
      <c r="A152" s="107">
        <v>3233</v>
      </c>
      <c r="B152" s="107">
        <v>2010</v>
      </c>
      <c r="C152" s="107" t="s">
        <v>9</v>
      </c>
      <c r="D152" s="107" t="s">
        <v>132</v>
      </c>
      <c r="E152" s="107" t="s">
        <v>10</v>
      </c>
      <c r="F152" s="115">
        <v>6</v>
      </c>
      <c r="G152" s="107" t="s">
        <v>28</v>
      </c>
      <c r="H152" s="107" t="str">
        <f t="shared" si="12"/>
        <v>Area 6: E Juan de Fuca</v>
      </c>
      <c r="I152" s="107" t="str">
        <f>IFERROR(VLOOKUP(H152,LUTs!$A$1:$C$73,2,FALSE),"NA")</f>
        <v>NA</v>
      </c>
      <c r="J152" s="107" t="str">
        <f>IFERROR(VLOOKUP(H152,LUTs!$A$1:$C$73,3,FALSE),"NA")</f>
        <v>0Strait of Juan de Fuca</v>
      </c>
      <c r="K152" s="107" t="s">
        <v>18</v>
      </c>
      <c r="L152" s="107" t="str">
        <f>VLOOKUP(K152,LUTs!E$2:G$14,3,)</f>
        <v>06King</v>
      </c>
      <c r="M152" s="107" t="str">
        <f>VLOOKUP($K152,LUTs!$E$2:$H$14,2,)</f>
        <v>South Puget Sound</v>
      </c>
      <c r="N152" s="107" t="str">
        <f>VLOOKUP($K152,LUTs!$E$2:$H$14,4,)</f>
        <v>02South Puget Sound</v>
      </c>
      <c r="O152" s="107">
        <v>92.067524115755702</v>
      </c>
      <c r="P152" s="107">
        <v>436.29376205787798</v>
      </c>
      <c r="Q152" s="107">
        <f t="shared" si="13"/>
        <v>92.067524115755702</v>
      </c>
      <c r="R152" s="107">
        <f t="shared" si="14"/>
        <v>436.29376205787798</v>
      </c>
      <c r="S152" s="140" t="str">
        <f t="shared" si="15"/>
        <v>Y</v>
      </c>
      <c r="T152" s="154">
        <f t="shared" si="16"/>
        <v>4.7388453881884516</v>
      </c>
      <c r="U152" s="154">
        <f t="shared" si="17"/>
        <v>4.7388453881884516</v>
      </c>
    </row>
    <row r="153" spans="1:21" x14ac:dyDescent="0.35">
      <c r="A153" s="107">
        <v>3326</v>
      </c>
      <c r="B153" s="107">
        <v>2010</v>
      </c>
      <c r="C153" s="107" t="s">
        <v>9</v>
      </c>
      <c r="D153" s="107" t="s">
        <v>132</v>
      </c>
      <c r="E153" s="107" t="s">
        <v>10</v>
      </c>
      <c r="F153" s="115">
        <v>6</v>
      </c>
      <c r="G153" s="107" t="s">
        <v>28</v>
      </c>
      <c r="H153" s="107" t="str">
        <f t="shared" si="12"/>
        <v>Area 6: E Juan de Fuca</v>
      </c>
      <c r="I153" s="107" t="str">
        <f>IFERROR(VLOOKUP(H153,LUTs!$A$1:$C$73,2,FALSE),"NA")</f>
        <v>NA</v>
      </c>
      <c r="J153" s="107" t="str">
        <f>IFERROR(VLOOKUP(H153,LUTs!$A$1:$C$73,3,FALSE),"NA")</f>
        <v>0Strait of Juan de Fuca</v>
      </c>
      <c r="K153" s="107" t="s">
        <v>23</v>
      </c>
      <c r="L153" s="107" t="str">
        <f>VLOOKUP(K153,LUTs!E$2:G$14,3,)</f>
        <v>10Kitsap</v>
      </c>
      <c r="M153" s="107" t="str">
        <f>VLOOKUP($K153,LUTs!$E$2:$H$14,2,)</f>
        <v>South Puget Sound</v>
      </c>
      <c r="N153" s="107" t="str">
        <f>VLOOKUP($K153,LUTs!$E$2:$H$14,4,)</f>
        <v>02South Puget Sound</v>
      </c>
      <c r="O153" s="107">
        <v>150.215434083601</v>
      </c>
      <c r="P153" s="107">
        <v>711.84771704180105</v>
      </c>
      <c r="Q153" s="107">
        <f t="shared" si="13"/>
        <v>150.215434083601</v>
      </c>
      <c r="R153" s="107">
        <f t="shared" si="14"/>
        <v>711.84771704180105</v>
      </c>
      <c r="S153" s="140" t="str">
        <f t="shared" si="15"/>
        <v>Y</v>
      </c>
      <c r="T153" s="154">
        <f t="shared" si="16"/>
        <v>4.7388453881884658</v>
      </c>
      <c r="U153" s="154">
        <f t="shared" si="17"/>
        <v>4.7388453881884658</v>
      </c>
    </row>
    <row r="154" spans="1:21" x14ac:dyDescent="0.35">
      <c r="A154" s="107">
        <v>3325</v>
      </c>
      <c r="B154" s="107">
        <v>2010</v>
      </c>
      <c r="C154" s="107" t="s">
        <v>9</v>
      </c>
      <c r="D154" s="107" t="s">
        <v>132</v>
      </c>
      <c r="E154" s="107" t="s">
        <v>10</v>
      </c>
      <c r="F154" s="115">
        <v>6</v>
      </c>
      <c r="G154" s="107" t="s">
        <v>28</v>
      </c>
      <c r="H154" s="107" t="str">
        <f t="shared" si="12"/>
        <v>Area 6: E Juan de Fuca</v>
      </c>
      <c r="I154" s="107" t="str">
        <f>IFERROR(VLOOKUP(H154,LUTs!$A$1:$C$73,2,FALSE),"NA")</f>
        <v>NA</v>
      </c>
      <c r="J154" s="107" t="str">
        <f>IFERROR(VLOOKUP(H154,LUTs!$A$1:$C$73,3,FALSE),"NA")</f>
        <v>0Strait of Juan de Fuca</v>
      </c>
      <c r="K154" s="107" t="s">
        <v>22</v>
      </c>
      <c r="L154" s="107" t="str">
        <f>VLOOKUP(K154,LUTs!E$2:G$14,3,)</f>
        <v>09Mason</v>
      </c>
      <c r="M154" s="107" t="str">
        <f>VLOOKUP($K154,LUTs!$E$2:$H$14,2,)</f>
        <v>South Puget Sound</v>
      </c>
      <c r="N154" s="107" t="str">
        <f>VLOOKUP($K154,LUTs!$E$2:$H$14,4,)</f>
        <v>02South Puget Sound</v>
      </c>
      <c r="O154" s="107">
        <v>29.0739549839228</v>
      </c>
      <c r="P154" s="107">
        <v>137.77697749196099</v>
      </c>
      <c r="Q154" s="107">
        <f t="shared" si="13"/>
        <v>29.0739549839228</v>
      </c>
      <c r="R154" s="107">
        <f t="shared" si="14"/>
        <v>137.77697749196099</v>
      </c>
      <c r="S154" s="140" t="str">
        <f t="shared" si="15"/>
        <v>Y</v>
      </c>
      <c r="T154" s="154">
        <f t="shared" si="16"/>
        <v>4.7388453881884445</v>
      </c>
      <c r="U154" s="154">
        <f t="shared" si="17"/>
        <v>4.7388453881884445</v>
      </c>
    </row>
    <row r="155" spans="1:21" x14ac:dyDescent="0.35">
      <c r="A155" s="107">
        <v>3329</v>
      </c>
      <c r="B155" s="107">
        <v>2010</v>
      </c>
      <c r="C155" s="107" t="s">
        <v>9</v>
      </c>
      <c r="D155" s="107" t="s">
        <v>132</v>
      </c>
      <c r="E155" s="107" t="s">
        <v>10</v>
      </c>
      <c r="F155" s="115">
        <v>6</v>
      </c>
      <c r="G155" s="107" t="s">
        <v>28</v>
      </c>
      <c r="H155" s="107" t="str">
        <f t="shared" si="12"/>
        <v>Area 6: E Juan de Fuca</v>
      </c>
      <c r="I155" s="107" t="str">
        <f>IFERROR(VLOOKUP(H155,LUTs!$A$1:$C$73,2,FALSE),"NA")</f>
        <v>NA</v>
      </c>
      <c r="J155" s="107" t="str">
        <f>IFERROR(VLOOKUP(H155,LUTs!$A$1:$C$73,3,FALSE),"NA")</f>
        <v>0Strait of Juan de Fuca</v>
      </c>
      <c r="K155" s="107" t="s">
        <v>26</v>
      </c>
      <c r="L155" s="107" t="str">
        <f>VLOOKUP(K155,LUTs!E$2:G$14,3,)</f>
        <v>20Other</v>
      </c>
      <c r="M155" s="107" t="str">
        <f>VLOOKUP($K155,LUTs!$E$2:$H$14,2,)</f>
        <v>Non Puget Sound</v>
      </c>
      <c r="N155" s="107" t="str">
        <f>VLOOKUP($K155,LUTs!$E$2:$H$14,4,)</f>
        <v>07Non Puget Sound</v>
      </c>
      <c r="O155" s="107">
        <v>174.44372990353699</v>
      </c>
      <c r="P155" s="107">
        <v>826.66186495176896</v>
      </c>
      <c r="Q155" s="107">
        <f t="shared" si="13"/>
        <v>174.44372990353699</v>
      </c>
      <c r="R155" s="107">
        <f t="shared" si="14"/>
        <v>826.66186495176896</v>
      </c>
      <c r="S155" s="140" t="str">
        <f t="shared" si="15"/>
        <v>Y</v>
      </c>
      <c r="T155" s="154">
        <f t="shared" si="16"/>
        <v>4.738845388188456</v>
      </c>
      <c r="U155" s="154">
        <f t="shared" si="17"/>
        <v>4.738845388188456</v>
      </c>
    </row>
    <row r="156" spans="1:21" x14ac:dyDescent="0.35">
      <c r="A156" s="107">
        <v>3234</v>
      </c>
      <c r="B156" s="107">
        <v>2010</v>
      </c>
      <c r="C156" s="107" t="s">
        <v>9</v>
      </c>
      <c r="D156" s="107" t="s">
        <v>132</v>
      </c>
      <c r="E156" s="107" t="s">
        <v>10</v>
      </c>
      <c r="F156" s="115">
        <v>6</v>
      </c>
      <c r="G156" s="107" t="s">
        <v>28</v>
      </c>
      <c r="H156" s="107" t="str">
        <f t="shared" si="12"/>
        <v>Area 6: E Juan de Fuca</v>
      </c>
      <c r="I156" s="107" t="str">
        <f>IFERROR(VLOOKUP(H156,LUTs!$A$1:$C$73,2,FALSE),"NA")</f>
        <v>NA</v>
      </c>
      <c r="J156" s="107" t="str">
        <f>IFERROR(VLOOKUP(H156,LUTs!$A$1:$C$73,3,FALSE),"NA")</f>
        <v>0Strait of Juan de Fuca</v>
      </c>
      <c r="K156" s="107" t="s">
        <v>20</v>
      </c>
      <c r="L156" s="107" t="str">
        <f>VLOOKUP(K156,LUTs!E$2:G$14,3,)</f>
        <v>07Pierce</v>
      </c>
      <c r="M156" s="107" t="str">
        <f>VLOOKUP($K156,LUTs!$E$2:$H$14,2,)</f>
        <v>South Puget Sound</v>
      </c>
      <c r="N156" s="107" t="str">
        <f>VLOOKUP($K156,LUTs!$E$2:$H$14,4,)</f>
        <v>02South Puget Sound</v>
      </c>
      <c r="O156" s="107">
        <v>58.147909967845699</v>
      </c>
      <c r="P156" s="107">
        <v>275.55395498392301</v>
      </c>
      <c r="Q156" s="107">
        <f t="shared" si="13"/>
        <v>58.147909967845699</v>
      </c>
      <c r="R156" s="107">
        <f t="shared" si="14"/>
        <v>275.55395498392301</v>
      </c>
      <c r="S156" s="140" t="str">
        <f t="shared" si="15"/>
        <v>Y</v>
      </c>
      <c r="T156" s="154">
        <f t="shared" si="16"/>
        <v>4.7388453881884534</v>
      </c>
      <c r="U156" s="154">
        <f t="shared" si="17"/>
        <v>4.7388453881884534</v>
      </c>
    </row>
    <row r="157" spans="1:21" x14ac:dyDescent="0.35">
      <c r="A157" s="107">
        <v>3230</v>
      </c>
      <c r="B157" s="107">
        <v>2010</v>
      </c>
      <c r="C157" s="107" t="s">
        <v>9</v>
      </c>
      <c r="D157" s="107" t="s">
        <v>132</v>
      </c>
      <c r="E157" s="107" t="s">
        <v>10</v>
      </c>
      <c r="F157" s="115">
        <v>6</v>
      </c>
      <c r="G157" s="107" t="s">
        <v>28</v>
      </c>
      <c r="H157" s="107" t="str">
        <f t="shared" si="12"/>
        <v>Area 6: E Juan de Fuca</v>
      </c>
      <c r="I157" s="107" t="str">
        <f>IFERROR(VLOOKUP(H157,LUTs!$A$1:$C$73,2,FALSE),"NA")</f>
        <v>NA</v>
      </c>
      <c r="J157" s="107" t="str">
        <f>IFERROR(VLOOKUP(H157,LUTs!$A$1:$C$73,3,FALSE),"NA")</f>
        <v>0Strait of Juan de Fuca</v>
      </c>
      <c r="K157" s="107" t="s">
        <v>15</v>
      </c>
      <c r="L157" s="107" t="str">
        <f>VLOOKUP(K157,LUTs!E$2:G$14,3,)</f>
        <v>02Skagit</v>
      </c>
      <c r="M157" s="107" t="str">
        <f>VLOOKUP($K157,LUTs!$E$2:$H$14,2,)</f>
        <v>North Puget Sound</v>
      </c>
      <c r="N157" s="107" t="str">
        <f>VLOOKUP($K157,LUTs!$E$2:$H$14,4,)</f>
        <v>01North Puget Sound</v>
      </c>
      <c r="O157" s="107">
        <v>24.228295819935699</v>
      </c>
      <c r="P157" s="107">
        <v>114.814147909968</v>
      </c>
      <c r="Q157" s="107">
        <f t="shared" si="13"/>
        <v>24.228295819935699</v>
      </c>
      <c r="R157" s="107">
        <f t="shared" si="14"/>
        <v>114.814147909968</v>
      </c>
      <c r="S157" s="140" t="str">
        <f t="shared" si="15"/>
        <v>Y</v>
      </c>
      <c r="T157" s="154">
        <f t="shared" si="16"/>
        <v>4.7388453881884587</v>
      </c>
      <c r="U157" s="154">
        <f t="shared" si="17"/>
        <v>4.7388453881884587</v>
      </c>
    </row>
    <row r="158" spans="1:21" x14ac:dyDescent="0.35">
      <c r="A158" s="107">
        <v>3231</v>
      </c>
      <c r="B158" s="107">
        <v>2010</v>
      </c>
      <c r="C158" s="107" t="s">
        <v>9</v>
      </c>
      <c r="D158" s="107" t="s">
        <v>132</v>
      </c>
      <c r="E158" s="107" t="s">
        <v>10</v>
      </c>
      <c r="F158" s="115">
        <v>6</v>
      </c>
      <c r="G158" s="107" t="s">
        <v>28</v>
      </c>
      <c r="H158" s="107" t="str">
        <f t="shared" si="12"/>
        <v>Area 6: E Juan de Fuca</v>
      </c>
      <c r="I158" s="107" t="str">
        <f>IFERROR(VLOOKUP(H158,LUTs!$A$1:$C$73,2,FALSE),"NA")</f>
        <v>NA</v>
      </c>
      <c r="J158" s="107" t="str">
        <f>IFERROR(VLOOKUP(H158,LUTs!$A$1:$C$73,3,FALSE),"NA")</f>
        <v>0Strait of Juan de Fuca</v>
      </c>
      <c r="K158" s="107" t="s">
        <v>16</v>
      </c>
      <c r="L158" s="107" t="str">
        <f>VLOOKUP(K158,LUTs!E$2:G$14,3,)</f>
        <v>03Snohomish</v>
      </c>
      <c r="M158" s="107" t="str">
        <f>VLOOKUP($K158,LUTs!$E$2:$H$14,2,)</f>
        <v>North Puget Sound</v>
      </c>
      <c r="N158" s="107" t="str">
        <f>VLOOKUP($K158,LUTs!$E$2:$H$14,4,)</f>
        <v>01North Puget Sound</v>
      </c>
      <c r="O158" s="107">
        <v>38.765273311897097</v>
      </c>
      <c r="P158" s="107">
        <v>183.70263665594899</v>
      </c>
      <c r="Q158" s="107">
        <f t="shared" si="13"/>
        <v>38.765273311897097</v>
      </c>
      <c r="R158" s="107">
        <f t="shared" si="14"/>
        <v>183.70263665594899</v>
      </c>
      <c r="S158" s="140" t="str">
        <f t="shared" si="15"/>
        <v>Y</v>
      </c>
      <c r="T158" s="154">
        <f t="shared" si="16"/>
        <v>4.7388453881884667</v>
      </c>
      <c r="U158" s="154">
        <f t="shared" si="17"/>
        <v>4.7388453881884667</v>
      </c>
    </row>
    <row r="159" spans="1:21" x14ac:dyDescent="0.35">
      <c r="A159" s="107">
        <v>3235</v>
      </c>
      <c r="B159" s="107">
        <v>2010</v>
      </c>
      <c r="C159" s="107" t="s">
        <v>9</v>
      </c>
      <c r="D159" s="107" t="s">
        <v>132</v>
      </c>
      <c r="E159" s="107" t="s">
        <v>10</v>
      </c>
      <c r="F159" s="115">
        <v>6</v>
      </c>
      <c r="G159" s="107" t="s">
        <v>28</v>
      </c>
      <c r="H159" s="107" t="str">
        <f t="shared" si="12"/>
        <v>Area 6: E Juan de Fuca</v>
      </c>
      <c r="I159" s="107" t="str">
        <f>IFERROR(VLOOKUP(H159,LUTs!$A$1:$C$73,2,FALSE),"NA")</f>
        <v>NA</v>
      </c>
      <c r="J159" s="107" t="str">
        <f>IFERROR(VLOOKUP(H159,LUTs!$A$1:$C$73,3,FALSE),"NA")</f>
        <v>0Strait of Juan de Fuca</v>
      </c>
      <c r="K159" s="107" t="s">
        <v>21</v>
      </c>
      <c r="L159" s="107" t="str">
        <f>VLOOKUP(K159,LUTs!E$2:G$14,3,)</f>
        <v>08Thurston</v>
      </c>
      <c r="M159" s="107" t="str">
        <f>VLOOKUP($K159,LUTs!$E$2:$H$14,2,)</f>
        <v>South Puget Sound</v>
      </c>
      <c r="N159" s="107" t="str">
        <f>VLOOKUP($K159,LUTs!$E$2:$H$14,4,)</f>
        <v>02South Puget Sound</v>
      </c>
      <c r="O159" s="107">
        <v>14.5369774919614</v>
      </c>
      <c r="P159" s="107">
        <v>68.888488745980695</v>
      </c>
      <c r="Q159" s="107">
        <f t="shared" si="13"/>
        <v>14.5369774919614</v>
      </c>
      <c r="R159" s="107">
        <f t="shared" si="14"/>
        <v>68.888488745980695</v>
      </c>
      <c r="S159" s="140" t="str">
        <f t="shared" si="15"/>
        <v>Y</v>
      </c>
      <c r="T159" s="154">
        <f t="shared" si="16"/>
        <v>4.7388453881884578</v>
      </c>
      <c r="U159" s="154">
        <f t="shared" si="17"/>
        <v>4.7388453881884578</v>
      </c>
    </row>
    <row r="160" spans="1:21" x14ac:dyDescent="0.35">
      <c r="A160" s="107">
        <v>3123</v>
      </c>
      <c r="B160" s="107">
        <v>2010</v>
      </c>
      <c r="C160" s="107" t="s">
        <v>9</v>
      </c>
      <c r="D160" s="107" t="s">
        <v>132</v>
      </c>
      <c r="E160" s="107" t="s">
        <v>10</v>
      </c>
      <c r="F160" s="115">
        <v>6</v>
      </c>
      <c r="G160" s="107" t="s">
        <v>28</v>
      </c>
      <c r="H160" s="107" t="str">
        <f t="shared" si="12"/>
        <v>Area 6: E Juan de Fuca</v>
      </c>
      <c r="I160" s="107" t="str">
        <f>IFERROR(VLOOKUP(H160,LUTs!$A$1:$C$73,2,FALSE),"NA")</f>
        <v>NA</v>
      </c>
      <c r="J160" s="107" t="str">
        <f>IFERROR(VLOOKUP(H160,LUTs!$A$1:$C$73,3,FALSE),"NA")</f>
        <v>0Strait of Juan de Fuca</v>
      </c>
      <c r="K160" s="107" t="s">
        <v>13</v>
      </c>
      <c r="L160" s="107" t="str">
        <f>VLOOKUP(K160,LUTs!E$2:G$14,3,)</f>
        <v>01Whatcom</v>
      </c>
      <c r="M160" s="107" t="str">
        <f>VLOOKUP($K160,LUTs!$E$2:$H$14,2,)</f>
        <v>North Puget Sound</v>
      </c>
      <c r="N160" s="107" t="str">
        <f>VLOOKUP($K160,LUTs!$E$2:$H$14,4,)</f>
        <v>01North Puget Sound</v>
      </c>
      <c r="O160" s="107">
        <v>24.228295819935699</v>
      </c>
      <c r="P160" s="107">
        <v>114.814147909968</v>
      </c>
      <c r="Q160" s="107">
        <f t="shared" si="13"/>
        <v>24.228295819935699</v>
      </c>
      <c r="R160" s="107">
        <f t="shared" si="14"/>
        <v>114.814147909968</v>
      </c>
      <c r="S160" s="140" t="str">
        <f t="shared" si="15"/>
        <v>Y</v>
      </c>
      <c r="T160" s="154">
        <f t="shared" si="16"/>
        <v>4.7388453881884587</v>
      </c>
      <c r="U160" s="154">
        <f t="shared" si="17"/>
        <v>4.7388453881884587</v>
      </c>
    </row>
    <row r="161" spans="1:21" x14ac:dyDescent="0.35">
      <c r="A161" s="107">
        <v>1320</v>
      </c>
      <c r="B161" s="107">
        <v>2011</v>
      </c>
      <c r="C161" s="107" t="s">
        <v>9</v>
      </c>
      <c r="D161" s="107" t="s">
        <v>132</v>
      </c>
      <c r="E161" s="107" t="s">
        <v>10</v>
      </c>
      <c r="F161" s="115">
        <v>6</v>
      </c>
      <c r="G161" s="107" t="s">
        <v>28</v>
      </c>
      <c r="H161" s="107" t="str">
        <f t="shared" si="12"/>
        <v>Area 6: E Juan de Fuca</v>
      </c>
      <c r="I161" s="107" t="str">
        <f>IFERROR(VLOOKUP(H161,LUTs!$A$1:$C$73,2,FALSE),"NA")</f>
        <v>NA</v>
      </c>
      <c r="J161" s="107" t="str">
        <f>IFERROR(VLOOKUP(H161,LUTs!$A$1:$C$73,3,FALSE),"NA")</f>
        <v>0Strait of Juan de Fuca</v>
      </c>
      <c r="K161" s="107" t="s">
        <v>24</v>
      </c>
      <c r="L161" s="107" t="str">
        <f>VLOOKUP(K161,LUTs!E$2:G$14,3,)</f>
        <v>11Clallam</v>
      </c>
      <c r="M161" s="107" t="str">
        <f>VLOOKUP($K161,LUTs!$E$2:$H$14,2,)</f>
        <v>Strait of Juan de Fuca</v>
      </c>
      <c r="N161" s="107" t="str">
        <f>VLOOKUP($K161,LUTs!$E$2:$H$14,4,)</f>
        <v>03Strait of Juan de Fuca</v>
      </c>
      <c r="O161" s="107">
        <v>13391.017411491601</v>
      </c>
      <c r="P161" s="107">
        <v>16812.109349971</v>
      </c>
      <c r="Q161" s="107">
        <f t="shared" si="13"/>
        <v>13391.017411491601</v>
      </c>
      <c r="R161" s="107">
        <f t="shared" si="14"/>
        <v>16812.109349971</v>
      </c>
      <c r="S161" s="140" t="str">
        <f t="shared" si="15"/>
        <v>Y</v>
      </c>
      <c r="T161" s="154">
        <f t="shared" si="16"/>
        <v>1.2554766253640717</v>
      </c>
      <c r="U161" s="154">
        <f t="shared" si="17"/>
        <v>1.2554766253640717</v>
      </c>
    </row>
    <row r="162" spans="1:21" x14ac:dyDescent="0.35">
      <c r="A162" s="107">
        <v>3583</v>
      </c>
      <c r="B162" s="107">
        <v>2011</v>
      </c>
      <c r="C162" s="107" t="s">
        <v>9</v>
      </c>
      <c r="D162" s="107" t="s">
        <v>132</v>
      </c>
      <c r="E162" s="107" t="s">
        <v>10</v>
      </c>
      <c r="F162" s="115">
        <v>6</v>
      </c>
      <c r="G162" s="107" t="s">
        <v>28</v>
      </c>
      <c r="H162" s="107" t="str">
        <f t="shared" si="12"/>
        <v>Area 6: E Juan de Fuca</v>
      </c>
      <c r="I162" s="107" t="str">
        <f>IFERROR(VLOOKUP(H162,LUTs!$A$1:$C$73,2,FALSE),"NA")</f>
        <v>NA</v>
      </c>
      <c r="J162" s="107" t="str">
        <f>IFERROR(VLOOKUP(H162,LUTs!$A$1:$C$73,3,FALSE),"NA")</f>
        <v>0Strait of Juan de Fuca</v>
      </c>
      <c r="K162" s="107" t="s">
        <v>17</v>
      </c>
      <c r="L162" s="107" t="str">
        <f>VLOOKUP(K162,LUTs!E$2:G$14,3,)</f>
        <v>04Island</v>
      </c>
      <c r="M162" s="107" t="str">
        <f>VLOOKUP($K162,LUTs!$E$2:$H$14,2,)</f>
        <v>North Puget Sound</v>
      </c>
      <c r="N162" s="107" t="str">
        <f>VLOOKUP($K162,LUTs!$E$2:$H$14,4,)</f>
        <v>01North Puget Sound</v>
      </c>
      <c r="O162" s="107">
        <v>1922.2399883923399</v>
      </c>
      <c r="P162" s="107">
        <v>2413.32737376669</v>
      </c>
      <c r="Q162" s="107">
        <f t="shared" si="13"/>
        <v>1922.2399883923399</v>
      </c>
      <c r="R162" s="107">
        <f t="shared" si="14"/>
        <v>2413.32737376669</v>
      </c>
      <c r="S162" s="140" t="str">
        <f t="shared" si="15"/>
        <v>Y</v>
      </c>
      <c r="T162" s="154">
        <f t="shared" si="16"/>
        <v>1.2554766253640732</v>
      </c>
      <c r="U162" s="154">
        <f t="shared" si="17"/>
        <v>1.2554766253640732</v>
      </c>
    </row>
    <row r="163" spans="1:21" x14ac:dyDescent="0.35">
      <c r="A163" s="107">
        <v>1321</v>
      </c>
      <c r="B163" s="107">
        <v>2011</v>
      </c>
      <c r="C163" s="107" t="s">
        <v>9</v>
      </c>
      <c r="D163" s="107" t="s">
        <v>132</v>
      </c>
      <c r="E163" s="107" t="s">
        <v>10</v>
      </c>
      <c r="F163" s="115">
        <v>6</v>
      </c>
      <c r="G163" s="107" t="s">
        <v>28</v>
      </c>
      <c r="H163" s="107" t="str">
        <f t="shared" si="12"/>
        <v>Area 6: E Juan de Fuca</v>
      </c>
      <c r="I163" s="107" t="str">
        <f>IFERROR(VLOOKUP(H163,LUTs!$A$1:$C$73,2,FALSE),"NA")</f>
        <v>NA</v>
      </c>
      <c r="J163" s="107" t="str">
        <f>IFERROR(VLOOKUP(H163,LUTs!$A$1:$C$73,3,FALSE),"NA")</f>
        <v>0Strait of Juan de Fuca</v>
      </c>
      <c r="K163" s="107" t="s">
        <v>25</v>
      </c>
      <c r="L163" s="107" t="str">
        <f>VLOOKUP(K163,LUTs!E$2:G$14,3,)</f>
        <v>12Jefferson</v>
      </c>
      <c r="M163" s="107" t="str">
        <f>VLOOKUP($K163,LUTs!$E$2:$H$14,2,)</f>
        <v>Strait of Juan de Fuca</v>
      </c>
      <c r="N163" s="107" t="str">
        <f>VLOOKUP($K163,LUTs!$E$2:$H$14,4,)</f>
        <v>03Strait of Juan de Fuca</v>
      </c>
      <c r="O163" s="107">
        <v>352.704585026117</v>
      </c>
      <c r="P163" s="107">
        <v>442.81236215902499</v>
      </c>
      <c r="Q163" s="107">
        <f t="shared" si="13"/>
        <v>352.704585026117</v>
      </c>
      <c r="R163" s="107">
        <f t="shared" si="14"/>
        <v>442.81236215902499</v>
      </c>
      <c r="S163" s="140" t="str">
        <f t="shared" si="15"/>
        <v>Y</v>
      </c>
      <c r="T163" s="154">
        <f t="shared" si="16"/>
        <v>1.2554766253640726</v>
      </c>
      <c r="U163" s="154">
        <f t="shared" si="17"/>
        <v>1.2554766253640726</v>
      </c>
    </row>
    <row r="164" spans="1:21" x14ac:dyDescent="0.35">
      <c r="A164" s="107">
        <v>3632</v>
      </c>
      <c r="B164" s="107">
        <v>2011</v>
      </c>
      <c r="C164" s="107" t="s">
        <v>9</v>
      </c>
      <c r="D164" s="107" t="s">
        <v>132</v>
      </c>
      <c r="E164" s="107" t="s">
        <v>10</v>
      </c>
      <c r="F164" s="115">
        <v>6</v>
      </c>
      <c r="G164" s="107" t="s">
        <v>28</v>
      </c>
      <c r="H164" s="107" t="str">
        <f t="shared" si="12"/>
        <v>Area 6: E Juan de Fuca</v>
      </c>
      <c r="I164" s="107" t="str">
        <f>IFERROR(VLOOKUP(H164,LUTs!$A$1:$C$73,2,FALSE),"NA")</f>
        <v>NA</v>
      </c>
      <c r="J164" s="107" t="str">
        <f>IFERROR(VLOOKUP(H164,LUTs!$A$1:$C$73,3,FALSE),"NA")</f>
        <v>0Strait of Juan de Fuca</v>
      </c>
      <c r="K164" s="107" t="s">
        <v>18</v>
      </c>
      <c r="L164" s="107" t="str">
        <f>VLOOKUP(K164,LUTs!E$2:G$14,3,)</f>
        <v>06King</v>
      </c>
      <c r="M164" s="107" t="str">
        <f>VLOOKUP($K164,LUTs!$E$2:$H$14,2,)</f>
        <v>South Puget Sound</v>
      </c>
      <c r="N164" s="107" t="str">
        <f>VLOOKUP($K164,LUTs!$E$2:$H$14,4,)</f>
        <v>02South Puget Sound</v>
      </c>
      <c r="O164" s="107">
        <v>634.86825304701097</v>
      </c>
      <c r="P164" s="107">
        <v>797.06225188624501</v>
      </c>
      <c r="Q164" s="107">
        <f t="shared" si="13"/>
        <v>634.86825304701097</v>
      </c>
      <c r="R164" s="107">
        <f t="shared" si="14"/>
        <v>797.06225188624501</v>
      </c>
      <c r="S164" s="140" t="str">
        <f t="shared" si="15"/>
        <v>Y</v>
      </c>
      <c r="T164" s="154">
        <f t="shared" si="16"/>
        <v>1.2554766253640719</v>
      </c>
      <c r="U164" s="154">
        <f t="shared" si="17"/>
        <v>1.2554766253640719</v>
      </c>
    </row>
    <row r="165" spans="1:21" x14ac:dyDescent="0.35">
      <c r="A165" s="107">
        <v>3716</v>
      </c>
      <c r="B165" s="107">
        <v>2011</v>
      </c>
      <c r="C165" s="107" t="s">
        <v>9</v>
      </c>
      <c r="D165" s="107" t="s">
        <v>132</v>
      </c>
      <c r="E165" s="107" t="s">
        <v>10</v>
      </c>
      <c r="F165" s="115">
        <v>6</v>
      </c>
      <c r="G165" s="107" t="s">
        <v>28</v>
      </c>
      <c r="H165" s="107" t="str">
        <f t="shared" si="12"/>
        <v>Area 6: E Juan de Fuca</v>
      </c>
      <c r="I165" s="107" t="str">
        <f>IFERROR(VLOOKUP(H165,LUTs!$A$1:$C$73,2,FALSE),"NA")</f>
        <v>NA</v>
      </c>
      <c r="J165" s="107" t="str">
        <f>IFERROR(VLOOKUP(H165,LUTs!$A$1:$C$73,3,FALSE),"NA")</f>
        <v>0Strait of Juan de Fuca</v>
      </c>
      <c r="K165" s="107" t="s">
        <v>23</v>
      </c>
      <c r="L165" s="107" t="str">
        <f>VLOOKUP(K165,LUTs!E$2:G$14,3,)</f>
        <v>10Kitsap</v>
      </c>
      <c r="M165" s="107" t="str">
        <f>VLOOKUP($K165,LUTs!$E$2:$H$14,2,)</f>
        <v>South Puget Sound</v>
      </c>
      <c r="N165" s="107" t="str">
        <f>VLOOKUP($K165,LUTs!$E$2:$H$14,4,)</f>
        <v>02South Puget Sound</v>
      </c>
      <c r="O165" s="107">
        <v>611.35461404526995</v>
      </c>
      <c r="P165" s="107">
        <v>767.54142774231002</v>
      </c>
      <c r="Q165" s="107">
        <f t="shared" si="13"/>
        <v>611.35461404526995</v>
      </c>
      <c r="R165" s="107">
        <f t="shared" si="14"/>
        <v>767.54142774231002</v>
      </c>
      <c r="S165" s="140" t="str">
        <f t="shared" si="15"/>
        <v>Y</v>
      </c>
      <c r="T165" s="154">
        <f t="shared" si="16"/>
        <v>1.2554766253640717</v>
      </c>
      <c r="U165" s="154">
        <f t="shared" si="17"/>
        <v>1.2554766253640717</v>
      </c>
    </row>
    <row r="166" spans="1:21" x14ac:dyDescent="0.35">
      <c r="A166" s="107">
        <v>3715</v>
      </c>
      <c r="B166" s="107">
        <v>2011</v>
      </c>
      <c r="C166" s="107" t="s">
        <v>9</v>
      </c>
      <c r="D166" s="107" t="s">
        <v>132</v>
      </c>
      <c r="E166" s="107" t="s">
        <v>10</v>
      </c>
      <c r="F166" s="115">
        <v>6</v>
      </c>
      <c r="G166" s="107" t="s">
        <v>28</v>
      </c>
      <c r="H166" s="107" t="str">
        <f t="shared" si="12"/>
        <v>Area 6: E Juan de Fuca</v>
      </c>
      <c r="I166" s="107" t="str">
        <f>IFERROR(VLOOKUP(H166,LUTs!$A$1:$C$73,2,FALSE),"NA")</f>
        <v>NA</v>
      </c>
      <c r="J166" s="107" t="str">
        <f>IFERROR(VLOOKUP(H166,LUTs!$A$1:$C$73,3,FALSE),"NA")</f>
        <v>0Strait of Juan de Fuca</v>
      </c>
      <c r="K166" s="107" t="s">
        <v>22</v>
      </c>
      <c r="L166" s="107" t="str">
        <f>VLOOKUP(K166,LUTs!E$2:G$14,3,)</f>
        <v>09Mason</v>
      </c>
      <c r="M166" s="107" t="str">
        <f>VLOOKUP($K166,LUTs!$E$2:$H$14,2,)</f>
        <v>South Puget Sound</v>
      </c>
      <c r="N166" s="107" t="str">
        <f>VLOOKUP($K166,LUTs!$E$2:$H$14,4,)</f>
        <v>02South Puget Sound</v>
      </c>
      <c r="O166" s="107">
        <v>35.270458502611703</v>
      </c>
      <c r="P166" s="107">
        <v>44.281236215902503</v>
      </c>
      <c r="Q166" s="107">
        <f t="shared" si="13"/>
        <v>35.270458502611703</v>
      </c>
      <c r="R166" s="107">
        <f t="shared" si="14"/>
        <v>44.281236215902503</v>
      </c>
      <c r="S166" s="140" t="str">
        <f t="shared" si="15"/>
        <v>Y</v>
      </c>
      <c r="T166" s="154">
        <f t="shared" si="16"/>
        <v>1.2554766253640726</v>
      </c>
      <c r="U166" s="154">
        <f t="shared" si="17"/>
        <v>1.2554766253640726</v>
      </c>
    </row>
    <row r="167" spans="1:21" x14ac:dyDescent="0.35">
      <c r="A167" s="107">
        <v>1322</v>
      </c>
      <c r="B167" s="107">
        <v>2011</v>
      </c>
      <c r="C167" s="107" t="s">
        <v>9</v>
      </c>
      <c r="D167" s="107" t="s">
        <v>132</v>
      </c>
      <c r="E167" s="107" t="s">
        <v>10</v>
      </c>
      <c r="F167" s="115">
        <v>6</v>
      </c>
      <c r="G167" s="107" t="s">
        <v>28</v>
      </c>
      <c r="H167" s="107" t="str">
        <f t="shared" si="12"/>
        <v>Area 6: E Juan de Fuca</v>
      </c>
      <c r="I167" s="107" t="str">
        <f>IFERROR(VLOOKUP(H167,LUTs!$A$1:$C$73,2,FALSE),"NA")</f>
        <v>NA</v>
      </c>
      <c r="J167" s="107" t="str">
        <f>IFERROR(VLOOKUP(H167,LUTs!$A$1:$C$73,3,FALSE),"NA")</f>
        <v>0Strait of Juan de Fuca</v>
      </c>
      <c r="K167" s="107" t="s">
        <v>26</v>
      </c>
      <c r="L167" s="107" t="str">
        <f>VLOOKUP(K167,LUTs!E$2:G$14,3,)</f>
        <v>20Other</v>
      </c>
      <c r="M167" s="107" t="str">
        <f>VLOOKUP($K167,LUTs!$E$2:$H$14,2,)</f>
        <v>Non Puget Sound</v>
      </c>
      <c r="N167" s="107" t="str">
        <f>VLOOKUP($K167,LUTs!$E$2:$H$14,4,)</f>
        <v>07Non Puget Sound</v>
      </c>
      <c r="O167" s="107">
        <v>1587.1706326175299</v>
      </c>
      <c r="P167" s="107">
        <v>1992.6556297156101</v>
      </c>
      <c r="Q167" s="107">
        <f t="shared" si="13"/>
        <v>1587.1706326175299</v>
      </c>
      <c r="R167" s="107">
        <f t="shared" si="14"/>
        <v>1992.6556297156101</v>
      </c>
      <c r="S167" s="140" t="str">
        <f t="shared" si="15"/>
        <v>Y</v>
      </c>
      <c r="T167" s="154">
        <f t="shared" si="16"/>
        <v>1.2554766253640683</v>
      </c>
      <c r="U167" s="154">
        <f t="shared" si="17"/>
        <v>1.2554766253640683</v>
      </c>
    </row>
    <row r="168" spans="1:21" x14ac:dyDescent="0.35">
      <c r="A168" s="107">
        <v>3662</v>
      </c>
      <c r="B168" s="107">
        <v>2011</v>
      </c>
      <c r="C168" s="107" t="s">
        <v>9</v>
      </c>
      <c r="D168" s="107" t="s">
        <v>132</v>
      </c>
      <c r="E168" s="107" t="s">
        <v>10</v>
      </c>
      <c r="F168" s="115">
        <v>6</v>
      </c>
      <c r="G168" s="107" t="s">
        <v>28</v>
      </c>
      <c r="H168" s="107" t="str">
        <f t="shared" si="12"/>
        <v>Area 6: E Juan de Fuca</v>
      </c>
      <c r="I168" s="107" t="str">
        <f>IFERROR(VLOOKUP(H168,LUTs!$A$1:$C$73,2,FALSE),"NA")</f>
        <v>NA</v>
      </c>
      <c r="J168" s="107" t="str">
        <f>IFERROR(VLOOKUP(H168,LUTs!$A$1:$C$73,3,FALSE),"NA")</f>
        <v>0Strait of Juan de Fuca</v>
      </c>
      <c r="K168" s="107" t="s">
        <v>20</v>
      </c>
      <c r="L168" s="107" t="str">
        <f>VLOOKUP(K168,LUTs!E$2:G$14,3,)</f>
        <v>07Pierce</v>
      </c>
      <c r="M168" s="107" t="str">
        <f>VLOOKUP($K168,LUTs!$E$2:$H$14,2,)</f>
        <v>South Puget Sound</v>
      </c>
      <c r="N168" s="107" t="str">
        <f>VLOOKUP($K168,LUTs!$E$2:$H$14,4,)</f>
        <v>02South Puget Sound</v>
      </c>
      <c r="O168" s="107">
        <v>734.80121880441095</v>
      </c>
      <c r="P168" s="107">
        <v>922.52575449796905</v>
      </c>
      <c r="Q168" s="107">
        <f t="shared" si="13"/>
        <v>734.80121880441095</v>
      </c>
      <c r="R168" s="107">
        <f t="shared" si="14"/>
        <v>922.52575449796905</v>
      </c>
      <c r="S168" s="140" t="str">
        <f t="shared" si="15"/>
        <v>Y</v>
      </c>
      <c r="T168" s="154">
        <f t="shared" si="16"/>
        <v>1.2554766253640721</v>
      </c>
      <c r="U168" s="154">
        <f t="shared" si="17"/>
        <v>1.2554766253640721</v>
      </c>
    </row>
    <row r="169" spans="1:21" x14ac:dyDescent="0.35">
      <c r="A169" s="107">
        <v>3631</v>
      </c>
      <c r="B169" s="107">
        <v>2011</v>
      </c>
      <c r="C169" s="107" t="s">
        <v>9</v>
      </c>
      <c r="D169" s="107" t="s">
        <v>132</v>
      </c>
      <c r="E169" s="107" t="s">
        <v>10</v>
      </c>
      <c r="F169" s="115">
        <v>6</v>
      </c>
      <c r="G169" s="107" t="s">
        <v>28</v>
      </c>
      <c r="H169" s="107" t="str">
        <f t="shared" si="12"/>
        <v>Area 6: E Juan de Fuca</v>
      </c>
      <c r="I169" s="107" t="str">
        <f>IFERROR(VLOOKUP(H169,LUTs!$A$1:$C$73,2,FALSE),"NA")</f>
        <v>NA</v>
      </c>
      <c r="J169" s="107" t="str">
        <f>IFERROR(VLOOKUP(H169,LUTs!$A$1:$C$73,3,FALSE),"NA")</f>
        <v>0Strait of Juan de Fuca</v>
      </c>
      <c r="K169" s="107" t="s">
        <v>30</v>
      </c>
      <c r="L169" s="107" t="str">
        <f>VLOOKUP(K169,LUTs!E$2:G$14,3,)</f>
        <v>05San Juan</v>
      </c>
      <c r="M169" s="107" t="str">
        <f>VLOOKUP($K169,LUTs!$E$2:$H$14,2,)</f>
        <v>North Puget Sound</v>
      </c>
      <c r="N169" s="107" t="str">
        <f>VLOOKUP($K169,LUTs!$E$2:$H$14,4,)</f>
        <v>01North Puget Sound</v>
      </c>
      <c r="O169" s="107">
        <v>29.3920487521764</v>
      </c>
      <c r="P169" s="107">
        <v>36.901030179918799</v>
      </c>
      <c r="Q169" s="107">
        <f t="shared" si="13"/>
        <v>29.3920487521764</v>
      </c>
      <c r="R169" s="107">
        <f t="shared" si="14"/>
        <v>36.901030179918799</v>
      </c>
      <c r="S169" s="140" t="str">
        <f t="shared" si="15"/>
        <v>Y</v>
      </c>
      <c r="T169" s="154">
        <f t="shared" si="16"/>
        <v>1.255476625364075</v>
      </c>
      <c r="U169" s="154">
        <f t="shared" si="17"/>
        <v>1.255476625364075</v>
      </c>
    </row>
    <row r="170" spans="1:21" x14ac:dyDescent="0.35">
      <c r="A170" s="107">
        <v>3581</v>
      </c>
      <c r="B170" s="107">
        <v>2011</v>
      </c>
      <c r="C170" s="107" t="s">
        <v>9</v>
      </c>
      <c r="D170" s="107" t="s">
        <v>132</v>
      </c>
      <c r="E170" s="107" t="s">
        <v>10</v>
      </c>
      <c r="F170" s="115">
        <v>6</v>
      </c>
      <c r="G170" s="107" t="s">
        <v>28</v>
      </c>
      <c r="H170" s="107" t="str">
        <f t="shared" si="12"/>
        <v>Area 6: E Juan de Fuca</v>
      </c>
      <c r="I170" s="107" t="str">
        <f>IFERROR(VLOOKUP(H170,LUTs!$A$1:$C$73,2,FALSE),"NA")</f>
        <v>NA</v>
      </c>
      <c r="J170" s="107" t="str">
        <f>IFERROR(VLOOKUP(H170,LUTs!$A$1:$C$73,3,FALSE),"NA")</f>
        <v>0Strait of Juan de Fuca</v>
      </c>
      <c r="K170" s="107" t="s">
        <v>15</v>
      </c>
      <c r="L170" s="107" t="str">
        <f>VLOOKUP(K170,LUTs!E$2:G$14,3,)</f>
        <v>02Skagit</v>
      </c>
      <c r="M170" s="107" t="str">
        <f>VLOOKUP($K170,LUTs!$E$2:$H$14,2,)</f>
        <v>North Puget Sound</v>
      </c>
      <c r="N170" s="107" t="str">
        <f>VLOOKUP($K170,LUTs!$E$2:$H$14,4,)</f>
        <v>01North Puget Sound</v>
      </c>
      <c r="O170" s="107">
        <v>676.01712130005797</v>
      </c>
      <c r="P170" s="107">
        <v>848.72369413813101</v>
      </c>
      <c r="Q170" s="107">
        <f t="shared" si="13"/>
        <v>676.01712130005797</v>
      </c>
      <c r="R170" s="107">
        <f t="shared" si="14"/>
        <v>848.72369413813101</v>
      </c>
      <c r="S170" s="140" t="str">
        <f t="shared" si="15"/>
        <v>Y</v>
      </c>
      <c r="T170" s="154">
        <f t="shared" si="16"/>
        <v>1.2554766253640717</v>
      </c>
      <c r="U170" s="154">
        <f t="shared" si="17"/>
        <v>1.2554766253640717</v>
      </c>
    </row>
    <row r="171" spans="1:21" x14ac:dyDescent="0.35">
      <c r="A171" s="107">
        <v>3582</v>
      </c>
      <c r="B171" s="107">
        <v>2011</v>
      </c>
      <c r="C171" s="107" t="s">
        <v>9</v>
      </c>
      <c r="D171" s="107" t="s">
        <v>132</v>
      </c>
      <c r="E171" s="107" t="s">
        <v>10</v>
      </c>
      <c r="F171" s="115">
        <v>6</v>
      </c>
      <c r="G171" s="107" t="s">
        <v>28</v>
      </c>
      <c r="H171" s="107" t="str">
        <f t="shared" si="12"/>
        <v>Area 6: E Juan de Fuca</v>
      </c>
      <c r="I171" s="107" t="str">
        <f>IFERROR(VLOOKUP(H171,LUTs!$A$1:$C$73,2,FALSE),"NA")</f>
        <v>NA</v>
      </c>
      <c r="J171" s="107" t="str">
        <f>IFERROR(VLOOKUP(H171,LUTs!$A$1:$C$73,3,FALSE),"NA")</f>
        <v>0Strait of Juan de Fuca</v>
      </c>
      <c r="K171" s="107" t="s">
        <v>16</v>
      </c>
      <c r="L171" s="107" t="str">
        <f>VLOOKUP(K171,LUTs!E$2:G$14,3,)</f>
        <v>03Snohomish</v>
      </c>
      <c r="M171" s="107" t="str">
        <f>VLOOKUP($K171,LUTs!$E$2:$H$14,2,)</f>
        <v>North Puget Sound</v>
      </c>
      <c r="N171" s="107" t="str">
        <f>VLOOKUP($K171,LUTs!$E$2:$H$14,4,)</f>
        <v>01North Puget Sound</v>
      </c>
      <c r="O171" s="107">
        <v>141.08183401044701</v>
      </c>
      <c r="P171" s="107">
        <v>177.12494486361001</v>
      </c>
      <c r="Q171" s="107">
        <f t="shared" si="13"/>
        <v>141.08183401044701</v>
      </c>
      <c r="R171" s="107">
        <f t="shared" si="14"/>
        <v>177.12494486361001</v>
      </c>
      <c r="S171" s="140" t="str">
        <f t="shared" si="15"/>
        <v>Y</v>
      </c>
      <c r="T171" s="154">
        <f t="shared" si="16"/>
        <v>1.2554766253640708</v>
      </c>
      <c r="U171" s="154">
        <f t="shared" si="17"/>
        <v>1.2554766253640708</v>
      </c>
    </row>
    <row r="172" spans="1:21" x14ac:dyDescent="0.35">
      <c r="A172" s="107">
        <v>3691</v>
      </c>
      <c r="B172" s="107">
        <v>2011</v>
      </c>
      <c r="C172" s="107" t="s">
        <v>9</v>
      </c>
      <c r="D172" s="107" t="s">
        <v>132</v>
      </c>
      <c r="E172" s="107" t="s">
        <v>10</v>
      </c>
      <c r="F172" s="115">
        <v>6</v>
      </c>
      <c r="G172" s="107" t="s">
        <v>28</v>
      </c>
      <c r="H172" s="107" t="str">
        <f t="shared" si="12"/>
        <v>Area 6: E Juan de Fuca</v>
      </c>
      <c r="I172" s="107" t="str">
        <f>IFERROR(VLOOKUP(H172,LUTs!$A$1:$C$73,2,FALSE),"NA")</f>
        <v>NA</v>
      </c>
      <c r="J172" s="107" t="str">
        <f>IFERROR(VLOOKUP(H172,LUTs!$A$1:$C$73,3,FALSE),"NA")</f>
        <v>0Strait of Juan de Fuca</v>
      </c>
      <c r="K172" s="107" t="s">
        <v>21</v>
      </c>
      <c r="L172" s="107" t="str">
        <f>VLOOKUP(K172,LUTs!E$2:G$14,3,)</f>
        <v>08Thurston</v>
      </c>
      <c r="M172" s="107" t="str">
        <f>VLOOKUP($K172,LUTs!$E$2:$H$14,2,)</f>
        <v>South Puget Sound</v>
      </c>
      <c r="N172" s="107" t="str">
        <f>VLOOKUP($K172,LUTs!$E$2:$H$14,4,)</f>
        <v>02South Puget Sound</v>
      </c>
      <c r="O172" s="107">
        <v>23.5136390017412</v>
      </c>
      <c r="P172" s="107">
        <v>29.520824143934998</v>
      </c>
      <c r="Q172" s="107">
        <f t="shared" si="13"/>
        <v>23.5136390017412</v>
      </c>
      <c r="R172" s="107">
        <f t="shared" si="14"/>
        <v>29.520824143934998</v>
      </c>
      <c r="S172" s="140" t="str">
        <f t="shared" si="15"/>
        <v>Y</v>
      </c>
      <c r="T172" s="154">
        <f t="shared" si="16"/>
        <v>1.255476625364069</v>
      </c>
      <c r="U172" s="154">
        <f t="shared" si="17"/>
        <v>1.255476625364069</v>
      </c>
    </row>
    <row r="173" spans="1:21" x14ac:dyDescent="0.35">
      <c r="A173" s="107">
        <v>3580</v>
      </c>
      <c r="B173" s="107">
        <v>2011</v>
      </c>
      <c r="C173" s="107" t="s">
        <v>9</v>
      </c>
      <c r="D173" s="107" t="s">
        <v>132</v>
      </c>
      <c r="E173" s="107" t="s">
        <v>10</v>
      </c>
      <c r="F173" s="115">
        <v>6</v>
      </c>
      <c r="G173" s="107" t="s">
        <v>28</v>
      </c>
      <c r="H173" s="107" t="str">
        <f t="shared" si="12"/>
        <v>Area 6: E Juan de Fuca</v>
      </c>
      <c r="I173" s="107" t="str">
        <f>IFERROR(VLOOKUP(H173,LUTs!$A$1:$C$73,2,FALSE),"NA")</f>
        <v>NA</v>
      </c>
      <c r="J173" s="107" t="str">
        <f>IFERROR(VLOOKUP(H173,LUTs!$A$1:$C$73,3,FALSE),"NA")</f>
        <v>0Strait of Juan de Fuca</v>
      </c>
      <c r="K173" s="107" t="s">
        <v>13</v>
      </c>
      <c r="L173" s="107" t="str">
        <f>VLOOKUP(K173,LUTs!E$2:G$14,3,)</f>
        <v>01Whatcom</v>
      </c>
      <c r="M173" s="107" t="str">
        <f>VLOOKUP($K173,LUTs!$E$2:$H$14,2,)</f>
        <v>North Puget Sound</v>
      </c>
      <c r="N173" s="107" t="str">
        <f>VLOOKUP($K173,LUTs!$E$2:$H$14,4,)</f>
        <v>01North Puget Sound</v>
      </c>
      <c r="O173" s="107">
        <v>117.568195008706</v>
      </c>
      <c r="P173" s="107">
        <v>147.604120719675</v>
      </c>
      <c r="Q173" s="107">
        <f t="shared" si="13"/>
        <v>117.568195008706</v>
      </c>
      <c r="R173" s="107">
        <f t="shared" si="14"/>
        <v>147.604120719675</v>
      </c>
      <c r="S173" s="140" t="str">
        <f t="shared" si="15"/>
        <v>Y</v>
      </c>
      <c r="T173" s="154">
        <f t="shared" si="16"/>
        <v>1.255476625364069</v>
      </c>
      <c r="U173" s="154">
        <f t="shared" si="17"/>
        <v>1.255476625364069</v>
      </c>
    </row>
    <row r="174" spans="1:21" x14ac:dyDescent="0.35">
      <c r="A174" s="107">
        <v>1499</v>
      </c>
      <c r="B174" s="107">
        <v>2012</v>
      </c>
      <c r="C174" s="107" t="s">
        <v>9</v>
      </c>
      <c r="D174" s="107" t="s">
        <v>132</v>
      </c>
      <c r="E174" s="107" t="s">
        <v>10</v>
      </c>
      <c r="F174" s="115">
        <v>6</v>
      </c>
      <c r="G174" s="107" t="s">
        <v>28</v>
      </c>
      <c r="H174" s="107" t="str">
        <f t="shared" si="12"/>
        <v>Area 6: E Juan de Fuca</v>
      </c>
      <c r="I174" s="107" t="str">
        <f>IFERROR(VLOOKUP(H174,LUTs!$A$1:$C$73,2,FALSE),"NA")</f>
        <v>NA</v>
      </c>
      <c r="J174" s="107" t="str">
        <f>IFERROR(VLOOKUP(H174,LUTs!$A$1:$C$73,3,FALSE),"NA")</f>
        <v>0Strait of Juan de Fuca</v>
      </c>
      <c r="K174" s="107" t="s">
        <v>24</v>
      </c>
      <c r="L174" s="107" t="str">
        <f>VLOOKUP(K174,LUTs!E$2:G$14,3,)</f>
        <v>11Clallam</v>
      </c>
      <c r="M174" s="107" t="str">
        <f>VLOOKUP($K174,LUTs!$E$2:$H$14,2,)</f>
        <v>Strait of Juan de Fuca</v>
      </c>
      <c r="N174" s="107" t="str">
        <f>VLOOKUP($K174,LUTs!$E$2:$H$14,4,)</f>
        <v>03Strait of Juan de Fuca</v>
      </c>
      <c r="O174" s="107">
        <v>13429.9118130964</v>
      </c>
      <c r="P174" s="107">
        <v>19056.955811122101</v>
      </c>
      <c r="Q174" s="107">
        <f t="shared" si="13"/>
        <v>13429.9118130964</v>
      </c>
      <c r="R174" s="107">
        <f t="shared" si="14"/>
        <v>19056.955811122101</v>
      </c>
      <c r="S174" s="140" t="str">
        <f t="shared" si="15"/>
        <v>Y</v>
      </c>
      <c r="T174" s="154">
        <f t="shared" si="16"/>
        <v>1.418993369155142</v>
      </c>
      <c r="U174" s="154">
        <f t="shared" si="17"/>
        <v>1.418993369155142</v>
      </c>
    </row>
    <row r="175" spans="1:21" x14ac:dyDescent="0.35">
      <c r="A175" s="107">
        <v>1482</v>
      </c>
      <c r="B175" s="107">
        <v>2012</v>
      </c>
      <c r="C175" s="107" t="s">
        <v>9</v>
      </c>
      <c r="D175" s="107" t="s">
        <v>132</v>
      </c>
      <c r="E175" s="107" t="s">
        <v>10</v>
      </c>
      <c r="F175" s="115">
        <v>6</v>
      </c>
      <c r="G175" s="107" t="s">
        <v>28</v>
      </c>
      <c r="H175" s="107" t="str">
        <f t="shared" si="12"/>
        <v>Area 6: E Juan de Fuca</v>
      </c>
      <c r="I175" s="107" t="str">
        <f>IFERROR(VLOOKUP(H175,LUTs!$A$1:$C$73,2,FALSE),"NA")</f>
        <v>NA</v>
      </c>
      <c r="J175" s="107" t="str">
        <f>IFERROR(VLOOKUP(H175,LUTs!$A$1:$C$73,3,FALSE),"NA")</f>
        <v>0Strait of Juan de Fuca</v>
      </c>
      <c r="K175" s="107" t="s">
        <v>17</v>
      </c>
      <c r="L175" s="107" t="str">
        <f>VLOOKUP(K175,LUTs!E$2:G$14,3,)</f>
        <v>04Island</v>
      </c>
      <c r="M175" s="107" t="str">
        <f>VLOOKUP($K175,LUTs!$E$2:$H$14,2,)</f>
        <v>North Puget Sound</v>
      </c>
      <c r="N175" s="107" t="str">
        <f>VLOOKUP($K175,LUTs!$E$2:$H$14,4,)</f>
        <v>01North Puget Sound</v>
      </c>
      <c r="O175" s="107">
        <v>253.28594932543601</v>
      </c>
      <c r="P175" s="107">
        <v>359.411082592958</v>
      </c>
      <c r="Q175" s="107">
        <f t="shared" si="13"/>
        <v>253.28594932543601</v>
      </c>
      <c r="R175" s="107">
        <f t="shared" si="14"/>
        <v>359.411082592958</v>
      </c>
      <c r="S175" s="140" t="str">
        <f t="shared" si="15"/>
        <v>Y</v>
      </c>
      <c r="T175" s="154">
        <f t="shared" si="16"/>
        <v>1.418993369155138</v>
      </c>
      <c r="U175" s="154">
        <f t="shared" si="17"/>
        <v>1.418993369155138</v>
      </c>
    </row>
    <row r="176" spans="1:21" x14ac:dyDescent="0.35">
      <c r="A176" s="107">
        <v>1500</v>
      </c>
      <c r="B176" s="107">
        <v>2012</v>
      </c>
      <c r="C176" s="107" t="s">
        <v>9</v>
      </c>
      <c r="D176" s="107" t="s">
        <v>132</v>
      </c>
      <c r="E176" s="107" t="s">
        <v>10</v>
      </c>
      <c r="F176" s="115">
        <v>6</v>
      </c>
      <c r="G176" s="107" t="s">
        <v>28</v>
      </c>
      <c r="H176" s="107" t="str">
        <f t="shared" si="12"/>
        <v>Area 6: E Juan de Fuca</v>
      </c>
      <c r="I176" s="107" t="str">
        <f>IFERROR(VLOOKUP(H176,LUTs!$A$1:$C$73,2,FALSE),"NA")</f>
        <v>NA</v>
      </c>
      <c r="J176" s="107" t="str">
        <f>IFERROR(VLOOKUP(H176,LUTs!$A$1:$C$73,3,FALSE),"NA")</f>
        <v>0Strait of Juan de Fuca</v>
      </c>
      <c r="K176" s="107" t="s">
        <v>25</v>
      </c>
      <c r="L176" s="107" t="str">
        <f>VLOOKUP(K176,LUTs!E$2:G$14,3,)</f>
        <v>12Jefferson</v>
      </c>
      <c r="M176" s="107" t="str">
        <f>VLOOKUP($K176,LUTs!$E$2:$H$14,2,)</f>
        <v>Strait of Juan de Fuca</v>
      </c>
      <c r="N176" s="107" t="str">
        <f>VLOOKUP($K176,LUTs!$E$2:$H$14,4,)</f>
        <v>03Strait of Juan de Fuca</v>
      </c>
      <c r="O176" s="107">
        <v>287.82494241526803</v>
      </c>
      <c r="P176" s="107">
        <v>408.421684764725</v>
      </c>
      <c r="Q176" s="107">
        <f t="shared" si="13"/>
        <v>287.82494241526803</v>
      </c>
      <c r="R176" s="107">
        <f t="shared" si="14"/>
        <v>408.421684764725</v>
      </c>
      <c r="S176" s="140" t="str">
        <f t="shared" si="15"/>
        <v>Y</v>
      </c>
      <c r="T176" s="154">
        <f t="shared" si="16"/>
        <v>1.4189933691551389</v>
      </c>
      <c r="U176" s="154">
        <f t="shared" si="17"/>
        <v>1.4189933691551389</v>
      </c>
    </row>
    <row r="177" spans="1:21" x14ac:dyDescent="0.35">
      <c r="A177" s="107">
        <v>1483</v>
      </c>
      <c r="B177" s="107">
        <v>2012</v>
      </c>
      <c r="C177" s="107" t="s">
        <v>9</v>
      </c>
      <c r="D177" s="107" t="s">
        <v>132</v>
      </c>
      <c r="E177" s="107" t="s">
        <v>10</v>
      </c>
      <c r="F177" s="115">
        <v>6</v>
      </c>
      <c r="G177" s="107" t="s">
        <v>28</v>
      </c>
      <c r="H177" s="107" t="str">
        <f t="shared" si="12"/>
        <v>Area 6: E Juan de Fuca</v>
      </c>
      <c r="I177" s="107" t="str">
        <f>IFERROR(VLOOKUP(H177,LUTs!$A$1:$C$73,2,FALSE),"NA")</f>
        <v>NA</v>
      </c>
      <c r="J177" s="107" t="str">
        <f>IFERROR(VLOOKUP(H177,LUTs!$A$1:$C$73,3,FALSE),"NA")</f>
        <v>0Strait of Juan de Fuca</v>
      </c>
      <c r="K177" s="107" t="s">
        <v>18</v>
      </c>
      <c r="L177" s="107" t="str">
        <f>VLOOKUP(K177,LUTs!E$2:G$14,3,)</f>
        <v>06King</v>
      </c>
      <c r="M177" s="107" t="str">
        <f>VLOOKUP($K177,LUTs!$E$2:$H$14,2,)</f>
        <v>South Puget Sound</v>
      </c>
      <c r="N177" s="107" t="str">
        <f>VLOOKUP($K177,LUTs!$E$2:$H$14,4,)</f>
        <v>02South Puget Sound</v>
      </c>
      <c r="O177" s="107">
        <v>817.42283645936197</v>
      </c>
      <c r="P177" s="107">
        <v>1159.9175847318199</v>
      </c>
      <c r="Q177" s="107">
        <f t="shared" si="13"/>
        <v>817.42283645936197</v>
      </c>
      <c r="R177" s="107">
        <f t="shared" si="14"/>
        <v>1159.9175847318199</v>
      </c>
      <c r="S177" s="140" t="str">
        <f t="shared" si="15"/>
        <v>Y</v>
      </c>
      <c r="T177" s="154">
        <f t="shared" si="16"/>
        <v>1.4189933691551386</v>
      </c>
      <c r="U177" s="154">
        <f t="shared" si="17"/>
        <v>1.4189933691551386</v>
      </c>
    </row>
    <row r="178" spans="1:21" x14ac:dyDescent="0.35">
      <c r="A178" s="107">
        <v>1487</v>
      </c>
      <c r="B178" s="107">
        <v>2012</v>
      </c>
      <c r="C178" s="107" t="s">
        <v>9</v>
      </c>
      <c r="D178" s="107" t="s">
        <v>132</v>
      </c>
      <c r="E178" s="107" t="s">
        <v>10</v>
      </c>
      <c r="F178" s="115">
        <v>6</v>
      </c>
      <c r="G178" s="107" t="s">
        <v>28</v>
      </c>
      <c r="H178" s="107" t="str">
        <f t="shared" si="12"/>
        <v>Area 6: E Juan de Fuca</v>
      </c>
      <c r="I178" s="107" t="str">
        <f>IFERROR(VLOOKUP(H178,LUTs!$A$1:$C$73,2,FALSE),"NA")</f>
        <v>NA</v>
      </c>
      <c r="J178" s="107" t="str">
        <f>IFERROR(VLOOKUP(H178,LUTs!$A$1:$C$73,3,FALSE),"NA")</f>
        <v>0Strait of Juan de Fuca</v>
      </c>
      <c r="K178" s="107" t="s">
        <v>23</v>
      </c>
      <c r="L178" s="107" t="str">
        <f>VLOOKUP(K178,LUTs!E$2:G$14,3,)</f>
        <v>10Kitsap</v>
      </c>
      <c r="M178" s="107" t="str">
        <f>VLOOKUP($K178,LUTs!$E$2:$H$14,2,)</f>
        <v>South Puget Sound</v>
      </c>
      <c r="N178" s="107" t="str">
        <f>VLOOKUP($K178,LUTs!$E$2:$H$14,4,)</f>
        <v>02South Puget Sound</v>
      </c>
      <c r="O178" s="107">
        <v>754.10134912800299</v>
      </c>
      <c r="P178" s="107">
        <v>1070.0648140835799</v>
      </c>
      <c r="Q178" s="107">
        <f t="shared" si="13"/>
        <v>754.10134912800299</v>
      </c>
      <c r="R178" s="107">
        <f t="shared" si="14"/>
        <v>1070.0648140835799</v>
      </c>
      <c r="S178" s="140" t="str">
        <f t="shared" si="15"/>
        <v>Y</v>
      </c>
      <c r="T178" s="154">
        <f t="shared" si="16"/>
        <v>1.418993369155138</v>
      </c>
      <c r="U178" s="154">
        <f t="shared" si="17"/>
        <v>1.418993369155138</v>
      </c>
    </row>
    <row r="179" spans="1:21" x14ac:dyDescent="0.35">
      <c r="A179" s="107">
        <v>1486</v>
      </c>
      <c r="B179" s="107">
        <v>2012</v>
      </c>
      <c r="C179" s="107" t="s">
        <v>9</v>
      </c>
      <c r="D179" s="107" t="s">
        <v>132</v>
      </c>
      <c r="E179" s="107" t="s">
        <v>10</v>
      </c>
      <c r="F179" s="115">
        <v>6</v>
      </c>
      <c r="G179" s="107" t="s">
        <v>28</v>
      </c>
      <c r="H179" s="107" t="str">
        <f t="shared" si="12"/>
        <v>Area 6: E Juan de Fuca</v>
      </c>
      <c r="I179" s="107" t="str">
        <f>IFERROR(VLOOKUP(H179,LUTs!$A$1:$C$73,2,FALSE),"NA")</f>
        <v>NA</v>
      </c>
      <c r="J179" s="107" t="str">
        <f>IFERROR(VLOOKUP(H179,LUTs!$A$1:$C$73,3,FALSE),"NA")</f>
        <v>0Strait of Juan de Fuca</v>
      </c>
      <c r="K179" s="107" t="s">
        <v>22</v>
      </c>
      <c r="L179" s="107" t="str">
        <f>VLOOKUP(K179,LUTs!E$2:G$14,3,)</f>
        <v>09Mason</v>
      </c>
      <c r="M179" s="107" t="str">
        <f>VLOOKUP($K179,LUTs!$E$2:$H$14,2,)</f>
        <v>South Puget Sound</v>
      </c>
      <c r="N179" s="107" t="str">
        <f>VLOOKUP($K179,LUTs!$E$2:$H$14,4,)</f>
        <v>02South Puget Sound</v>
      </c>
      <c r="O179" s="107">
        <v>40.295491938137602</v>
      </c>
      <c r="P179" s="107">
        <v>57.179035867061501</v>
      </c>
      <c r="Q179" s="107">
        <f t="shared" si="13"/>
        <v>40.295491938137602</v>
      </c>
      <c r="R179" s="107">
        <f t="shared" si="14"/>
        <v>57.179035867061501</v>
      </c>
      <c r="S179" s="140" t="str">
        <f t="shared" si="15"/>
        <v>Y</v>
      </c>
      <c r="T179" s="154">
        <f t="shared" si="16"/>
        <v>1.4189933691551362</v>
      </c>
      <c r="U179" s="154">
        <f t="shared" si="17"/>
        <v>1.4189933691551362</v>
      </c>
    </row>
    <row r="180" spans="1:21" x14ac:dyDescent="0.35">
      <c r="A180" s="107">
        <v>1501</v>
      </c>
      <c r="B180" s="107">
        <v>2012</v>
      </c>
      <c r="C180" s="107" t="s">
        <v>9</v>
      </c>
      <c r="D180" s="107" t="s">
        <v>132</v>
      </c>
      <c r="E180" s="107" t="s">
        <v>10</v>
      </c>
      <c r="F180" s="115">
        <v>6</v>
      </c>
      <c r="G180" s="107" t="s">
        <v>28</v>
      </c>
      <c r="H180" s="107" t="str">
        <f t="shared" si="12"/>
        <v>Area 6: E Juan de Fuca</v>
      </c>
      <c r="I180" s="107" t="str">
        <f>IFERROR(VLOOKUP(H180,LUTs!$A$1:$C$73,2,FALSE),"NA")</f>
        <v>NA</v>
      </c>
      <c r="J180" s="107" t="str">
        <f>IFERROR(VLOOKUP(H180,LUTs!$A$1:$C$73,3,FALSE),"NA")</f>
        <v>0Strait of Juan de Fuca</v>
      </c>
      <c r="K180" s="107" t="s">
        <v>26</v>
      </c>
      <c r="L180" s="107" t="str">
        <f>VLOOKUP(K180,LUTs!E$2:G$14,3,)</f>
        <v>20Other</v>
      </c>
      <c r="M180" s="107" t="str">
        <f>VLOOKUP($K180,LUTs!$E$2:$H$14,2,)</f>
        <v>Non Puget Sound</v>
      </c>
      <c r="N180" s="107" t="str">
        <f>VLOOKUP($K180,LUTs!$E$2:$H$14,4,)</f>
        <v>07Non Puget Sound</v>
      </c>
      <c r="O180" s="107">
        <v>880.74432379072096</v>
      </c>
      <c r="P180" s="107">
        <v>1249.77035538006</v>
      </c>
      <c r="Q180" s="107">
        <f t="shared" si="13"/>
        <v>880.74432379072096</v>
      </c>
      <c r="R180" s="107">
        <f t="shared" si="14"/>
        <v>1249.77035538006</v>
      </c>
      <c r="S180" s="140" t="str">
        <f t="shared" si="15"/>
        <v>Y</v>
      </c>
      <c r="T180" s="154">
        <f t="shared" si="16"/>
        <v>1.4189933691551393</v>
      </c>
      <c r="U180" s="154">
        <f t="shared" si="17"/>
        <v>1.4189933691551393</v>
      </c>
    </row>
    <row r="181" spans="1:21" x14ac:dyDescent="0.35">
      <c r="A181" s="107">
        <v>1484</v>
      </c>
      <c r="B181" s="107">
        <v>2012</v>
      </c>
      <c r="C181" s="107" t="s">
        <v>9</v>
      </c>
      <c r="D181" s="107" t="s">
        <v>132</v>
      </c>
      <c r="E181" s="107" t="s">
        <v>10</v>
      </c>
      <c r="F181" s="115">
        <v>6</v>
      </c>
      <c r="G181" s="107" t="s">
        <v>28</v>
      </c>
      <c r="H181" s="107" t="str">
        <f t="shared" si="12"/>
        <v>Area 6: E Juan de Fuca</v>
      </c>
      <c r="I181" s="107" t="str">
        <f>IFERROR(VLOOKUP(H181,LUTs!$A$1:$C$73,2,FALSE),"NA")</f>
        <v>NA</v>
      </c>
      <c r="J181" s="107" t="str">
        <f>IFERROR(VLOOKUP(H181,LUTs!$A$1:$C$73,3,FALSE),"NA")</f>
        <v>0Strait of Juan de Fuca</v>
      </c>
      <c r="K181" s="107" t="s">
        <v>20</v>
      </c>
      <c r="L181" s="107" t="str">
        <f>VLOOKUP(K181,LUTs!E$2:G$14,3,)</f>
        <v>07Pierce</v>
      </c>
      <c r="M181" s="107" t="str">
        <f>VLOOKUP($K181,LUTs!$E$2:$H$14,2,)</f>
        <v>South Puget Sound</v>
      </c>
      <c r="N181" s="107" t="str">
        <f>VLOOKUP($K181,LUTs!$E$2:$H$14,4,)</f>
        <v>02South Puget Sound</v>
      </c>
      <c r="O181" s="107">
        <v>402.95491938137599</v>
      </c>
      <c r="P181" s="107">
        <v>571.79035867061498</v>
      </c>
      <c r="Q181" s="107">
        <f t="shared" si="13"/>
        <v>402.95491938137599</v>
      </c>
      <c r="R181" s="107">
        <f t="shared" si="14"/>
        <v>571.79035867061498</v>
      </c>
      <c r="S181" s="140" t="str">
        <f t="shared" si="15"/>
        <v>Y</v>
      </c>
      <c r="T181" s="154">
        <f t="shared" si="16"/>
        <v>1.4189933691551362</v>
      </c>
      <c r="U181" s="154">
        <f t="shared" si="17"/>
        <v>1.4189933691551362</v>
      </c>
    </row>
    <row r="182" spans="1:21" x14ac:dyDescent="0.35">
      <c r="A182" s="107">
        <v>1480</v>
      </c>
      <c r="B182" s="107">
        <v>2012</v>
      </c>
      <c r="C182" s="107" t="s">
        <v>9</v>
      </c>
      <c r="D182" s="107" t="s">
        <v>132</v>
      </c>
      <c r="E182" s="107" t="s">
        <v>10</v>
      </c>
      <c r="F182" s="115">
        <v>6</v>
      </c>
      <c r="G182" s="107" t="s">
        <v>28</v>
      </c>
      <c r="H182" s="107" t="str">
        <f t="shared" si="12"/>
        <v>Area 6: E Juan de Fuca</v>
      </c>
      <c r="I182" s="107" t="str">
        <f>IFERROR(VLOOKUP(H182,LUTs!$A$1:$C$73,2,FALSE),"NA")</f>
        <v>NA</v>
      </c>
      <c r="J182" s="107" t="str">
        <f>IFERROR(VLOOKUP(H182,LUTs!$A$1:$C$73,3,FALSE),"NA")</f>
        <v>0Strait of Juan de Fuca</v>
      </c>
      <c r="K182" s="107" t="s">
        <v>15</v>
      </c>
      <c r="L182" s="107" t="str">
        <f>VLOOKUP(K182,LUTs!E$2:G$14,3,)</f>
        <v>02Skagit</v>
      </c>
      <c r="M182" s="107" t="str">
        <f>VLOOKUP($K182,LUTs!$E$2:$H$14,2,)</f>
        <v>North Puget Sound</v>
      </c>
      <c r="N182" s="107" t="str">
        <f>VLOOKUP($K182,LUTs!$E$2:$H$14,4,)</f>
        <v>01North Puget Sound</v>
      </c>
      <c r="O182" s="107">
        <v>212.99045738729899</v>
      </c>
      <c r="P182" s="107">
        <v>302.23204672589702</v>
      </c>
      <c r="Q182" s="107">
        <f t="shared" si="13"/>
        <v>212.99045738729899</v>
      </c>
      <c r="R182" s="107">
        <f t="shared" si="14"/>
        <v>302.23204672589702</v>
      </c>
      <c r="S182" s="140" t="str">
        <f t="shared" si="15"/>
        <v>Y</v>
      </c>
      <c r="T182" s="154">
        <f t="shared" si="16"/>
        <v>1.4189933691551369</v>
      </c>
      <c r="U182" s="154">
        <f t="shared" si="17"/>
        <v>1.4189933691551369</v>
      </c>
    </row>
    <row r="183" spans="1:21" x14ac:dyDescent="0.35">
      <c r="A183" s="107">
        <v>1481</v>
      </c>
      <c r="B183" s="107">
        <v>2012</v>
      </c>
      <c r="C183" s="107" t="s">
        <v>9</v>
      </c>
      <c r="D183" s="107" t="s">
        <v>132</v>
      </c>
      <c r="E183" s="107" t="s">
        <v>10</v>
      </c>
      <c r="F183" s="115">
        <v>6</v>
      </c>
      <c r="G183" s="107" t="s">
        <v>28</v>
      </c>
      <c r="H183" s="107" t="str">
        <f t="shared" si="12"/>
        <v>Area 6: E Juan de Fuca</v>
      </c>
      <c r="I183" s="107" t="str">
        <f>IFERROR(VLOOKUP(H183,LUTs!$A$1:$C$73,2,FALSE),"NA")</f>
        <v>NA</v>
      </c>
      <c r="J183" s="107" t="str">
        <f>IFERROR(VLOOKUP(H183,LUTs!$A$1:$C$73,3,FALSE),"NA")</f>
        <v>0Strait of Juan de Fuca</v>
      </c>
      <c r="K183" s="107" t="s">
        <v>16</v>
      </c>
      <c r="L183" s="107" t="str">
        <f>VLOOKUP(K183,LUTs!E$2:G$14,3,)</f>
        <v>03Snohomish</v>
      </c>
      <c r="M183" s="107" t="str">
        <f>VLOOKUP($K183,LUTs!$E$2:$H$14,2,)</f>
        <v>North Puget Sound</v>
      </c>
      <c r="N183" s="107" t="str">
        <f>VLOOKUP($K183,LUTs!$E$2:$H$14,4,)</f>
        <v>01North Puget Sound</v>
      </c>
      <c r="O183" s="107">
        <v>247.52945047713101</v>
      </c>
      <c r="P183" s="107">
        <v>351.24264889766403</v>
      </c>
      <c r="Q183" s="107">
        <f t="shared" si="13"/>
        <v>247.52945047713101</v>
      </c>
      <c r="R183" s="107">
        <f t="shared" si="14"/>
        <v>351.24264889766403</v>
      </c>
      <c r="S183" s="140" t="str">
        <f t="shared" si="15"/>
        <v>Y</v>
      </c>
      <c r="T183" s="154">
        <f t="shared" si="16"/>
        <v>1.418993369155138</v>
      </c>
      <c r="U183" s="154">
        <f t="shared" si="17"/>
        <v>1.418993369155138</v>
      </c>
    </row>
    <row r="184" spans="1:21" x14ac:dyDescent="0.35">
      <c r="A184" s="107">
        <v>1485</v>
      </c>
      <c r="B184" s="107">
        <v>2012</v>
      </c>
      <c r="C184" s="107" t="s">
        <v>9</v>
      </c>
      <c r="D184" s="107" t="s">
        <v>132</v>
      </c>
      <c r="E184" s="107" t="s">
        <v>10</v>
      </c>
      <c r="F184" s="115">
        <v>6</v>
      </c>
      <c r="G184" s="107" t="s">
        <v>28</v>
      </c>
      <c r="H184" s="107" t="str">
        <f t="shared" si="12"/>
        <v>Area 6: E Juan de Fuca</v>
      </c>
      <c r="I184" s="107" t="str">
        <f>IFERROR(VLOOKUP(H184,LUTs!$A$1:$C$73,2,FALSE),"NA")</f>
        <v>NA</v>
      </c>
      <c r="J184" s="107" t="str">
        <f>IFERROR(VLOOKUP(H184,LUTs!$A$1:$C$73,3,FALSE),"NA")</f>
        <v>0Strait of Juan de Fuca</v>
      </c>
      <c r="K184" s="107" t="s">
        <v>21</v>
      </c>
      <c r="L184" s="107" t="str">
        <f>VLOOKUP(K184,LUTs!E$2:G$14,3,)</f>
        <v>08Thurston</v>
      </c>
      <c r="M184" s="107" t="str">
        <f>VLOOKUP($K184,LUTs!$E$2:$H$14,2,)</f>
        <v>South Puget Sound</v>
      </c>
      <c r="N184" s="107" t="str">
        <f>VLOOKUP($K184,LUTs!$E$2:$H$14,4,)</f>
        <v>02South Puget Sound</v>
      </c>
      <c r="O184" s="107">
        <v>97.860480421191198</v>
      </c>
      <c r="P184" s="107">
        <v>138.86337282000699</v>
      </c>
      <c r="Q184" s="107">
        <f t="shared" si="13"/>
        <v>97.860480421191198</v>
      </c>
      <c r="R184" s="107">
        <f t="shared" si="14"/>
        <v>138.86337282000699</v>
      </c>
      <c r="S184" s="140" t="str">
        <f t="shared" si="15"/>
        <v>Y</v>
      </c>
      <c r="T184" s="154">
        <f t="shared" si="16"/>
        <v>1.4189933691551428</v>
      </c>
      <c r="U184" s="154">
        <f t="shared" si="17"/>
        <v>1.4189933691551428</v>
      </c>
    </row>
    <row r="185" spans="1:21" x14ac:dyDescent="0.35">
      <c r="A185" s="107">
        <v>1479</v>
      </c>
      <c r="B185" s="107">
        <v>2012</v>
      </c>
      <c r="C185" s="107" t="s">
        <v>9</v>
      </c>
      <c r="D185" s="107" t="s">
        <v>132</v>
      </c>
      <c r="E185" s="107" t="s">
        <v>10</v>
      </c>
      <c r="F185" s="115">
        <v>6</v>
      </c>
      <c r="G185" s="107" t="s">
        <v>28</v>
      </c>
      <c r="H185" s="107" t="str">
        <f t="shared" si="12"/>
        <v>Area 6: E Juan de Fuca</v>
      </c>
      <c r="I185" s="107" t="str">
        <f>IFERROR(VLOOKUP(H185,LUTs!$A$1:$C$73,2,FALSE),"NA")</f>
        <v>NA</v>
      </c>
      <c r="J185" s="107" t="str">
        <f>IFERROR(VLOOKUP(H185,LUTs!$A$1:$C$73,3,FALSE),"NA")</f>
        <v>0Strait of Juan de Fuca</v>
      </c>
      <c r="K185" s="107" t="s">
        <v>13</v>
      </c>
      <c r="L185" s="107" t="str">
        <f>VLOOKUP(K185,LUTs!E$2:G$14,3,)</f>
        <v>01Whatcom</v>
      </c>
      <c r="M185" s="107" t="str">
        <f>VLOOKUP($K185,LUTs!$E$2:$H$14,2,)</f>
        <v>North Puget Sound</v>
      </c>
      <c r="N185" s="107" t="str">
        <f>VLOOKUP($K185,LUTs!$E$2:$H$14,4,)</f>
        <v>01North Puget Sound</v>
      </c>
      <c r="O185" s="107">
        <v>69.077986179664407</v>
      </c>
      <c r="P185" s="107">
        <v>98.021204343534095</v>
      </c>
      <c r="Q185" s="107">
        <f t="shared" si="13"/>
        <v>69.077986179664407</v>
      </c>
      <c r="R185" s="107">
        <f t="shared" si="14"/>
        <v>98.021204343534095</v>
      </c>
      <c r="S185" s="140" t="str">
        <f t="shared" si="15"/>
        <v>Y</v>
      </c>
      <c r="T185" s="154">
        <f t="shared" si="16"/>
        <v>1.4189933691551386</v>
      </c>
      <c r="U185" s="154">
        <f t="shared" si="17"/>
        <v>1.4189933691551386</v>
      </c>
    </row>
    <row r="186" spans="1:21" x14ac:dyDescent="0.35">
      <c r="A186" s="107">
        <v>1676</v>
      </c>
      <c r="B186" s="107">
        <v>2013</v>
      </c>
      <c r="C186" s="107" t="s">
        <v>9</v>
      </c>
      <c r="D186" s="107" t="s">
        <v>132</v>
      </c>
      <c r="E186" s="107" t="s">
        <v>10</v>
      </c>
      <c r="F186" s="115">
        <v>6</v>
      </c>
      <c r="G186" s="107" t="s">
        <v>28</v>
      </c>
      <c r="H186" s="107" t="str">
        <f t="shared" si="12"/>
        <v>Area 6: E Juan de Fuca</v>
      </c>
      <c r="I186" s="107" t="str">
        <f>IFERROR(VLOOKUP(H186,LUTs!$A$1:$C$73,2,FALSE),"NA")</f>
        <v>NA</v>
      </c>
      <c r="J186" s="107" t="str">
        <f>IFERROR(VLOOKUP(H186,LUTs!$A$1:$C$73,3,FALSE),"NA")</f>
        <v>0Strait of Juan de Fuca</v>
      </c>
      <c r="K186" s="107" t="s">
        <v>24</v>
      </c>
      <c r="L186" s="107" t="str">
        <f>VLOOKUP(K186,LUTs!E$2:G$14,3,)</f>
        <v>11Clallam</v>
      </c>
      <c r="M186" s="107" t="str">
        <f>VLOOKUP($K186,LUTs!$E$2:$H$14,2,)</f>
        <v>Strait of Juan de Fuca</v>
      </c>
      <c r="N186" s="107" t="str">
        <f>VLOOKUP($K186,LUTs!$E$2:$H$14,4,)</f>
        <v>03Strait of Juan de Fuca</v>
      </c>
      <c r="O186" s="107">
        <v>15445.454450042</v>
      </c>
      <c r="P186" s="107">
        <v>14801.135335852199</v>
      </c>
      <c r="Q186" s="107">
        <f t="shared" si="13"/>
        <v>15445.454450042</v>
      </c>
      <c r="R186" s="107">
        <f t="shared" si="14"/>
        <v>14801.135335852199</v>
      </c>
      <c r="S186" s="140" t="str">
        <f t="shared" si="15"/>
        <v>Y</v>
      </c>
      <c r="T186" s="154">
        <f t="shared" si="16"/>
        <v>0.95828422425032311</v>
      </c>
      <c r="U186" s="154">
        <f t="shared" si="17"/>
        <v>0.95828422425032311</v>
      </c>
    </row>
    <row r="187" spans="1:21" x14ac:dyDescent="0.35">
      <c r="A187" s="107">
        <v>1670</v>
      </c>
      <c r="B187" s="107">
        <v>2013</v>
      </c>
      <c r="C187" s="107" t="s">
        <v>9</v>
      </c>
      <c r="D187" s="107" t="s">
        <v>132</v>
      </c>
      <c r="E187" s="107" t="s">
        <v>10</v>
      </c>
      <c r="F187" s="115">
        <v>6</v>
      </c>
      <c r="G187" s="107" t="s">
        <v>28</v>
      </c>
      <c r="H187" s="107" t="str">
        <f t="shared" si="12"/>
        <v>Area 6: E Juan de Fuca</v>
      </c>
      <c r="I187" s="107" t="str">
        <f>IFERROR(VLOOKUP(H187,LUTs!$A$1:$C$73,2,FALSE),"NA")</f>
        <v>NA</v>
      </c>
      <c r="J187" s="107" t="str">
        <f>IFERROR(VLOOKUP(H187,LUTs!$A$1:$C$73,3,FALSE),"NA")</f>
        <v>0Strait of Juan de Fuca</v>
      </c>
      <c r="K187" s="107" t="s">
        <v>17</v>
      </c>
      <c r="L187" s="107" t="str">
        <f>VLOOKUP(K187,LUTs!E$2:G$14,3,)</f>
        <v>04Island</v>
      </c>
      <c r="M187" s="107" t="str">
        <f>VLOOKUP($K187,LUTs!$E$2:$H$14,2,)</f>
        <v>North Puget Sound</v>
      </c>
      <c r="N187" s="107" t="str">
        <f>VLOOKUP($K187,LUTs!$E$2:$H$14,4,)</f>
        <v>01North Puget Sound</v>
      </c>
      <c r="O187" s="107">
        <v>3690.90575146935</v>
      </c>
      <c r="P187" s="107">
        <v>3536.9367548278801</v>
      </c>
      <c r="Q187" s="107">
        <f t="shared" si="13"/>
        <v>3690.90575146935</v>
      </c>
      <c r="R187" s="107">
        <f t="shared" si="14"/>
        <v>3536.9367548278801</v>
      </c>
      <c r="S187" s="140" t="str">
        <f t="shared" si="15"/>
        <v>Y</v>
      </c>
      <c r="T187" s="154">
        <f t="shared" si="16"/>
        <v>0.958284224250328</v>
      </c>
      <c r="U187" s="154">
        <f t="shared" si="17"/>
        <v>0.958284224250328</v>
      </c>
    </row>
    <row r="188" spans="1:21" x14ac:dyDescent="0.35">
      <c r="A188" s="107">
        <v>1677</v>
      </c>
      <c r="B188" s="107">
        <v>2013</v>
      </c>
      <c r="C188" s="107" t="s">
        <v>9</v>
      </c>
      <c r="D188" s="107" t="s">
        <v>132</v>
      </c>
      <c r="E188" s="107" t="s">
        <v>10</v>
      </c>
      <c r="F188" s="115">
        <v>6</v>
      </c>
      <c r="G188" s="107" t="s">
        <v>28</v>
      </c>
      <c r="H188" s="107" t="str">
        <f t="shared" si="12"/>
        <v>Area 6: E Juan de Fuca</v>
      </c>
      <c r="I188" s="107" t="str">
        <f>IFERROR(VLOOKUP(H188,LUTs!$A$1:$C$73,2,FALSE),"NA")</f>
        <v>NA</v>
      </c>
      <c r="J188" s="107" t="str">
        <f>IFERROR(VLOOKUP(H188,LUTs!$A$1:$C$73,3,FALSE),"NA")</f>
        <v>0Strait of Juan de Fuca</v>
      </c>
      <c r="K188" s="107" t="s">
        <v>25</v>
      </c>
      <c r="L188" s="107" t="str">
        <f>VLOOKUP(K188,LUTs!E$2:G$14,3,)</f>
        <v>12Jefferson</v>
      </c>
      <c r="M188" s="107" t="str">
        <f>VLOOKUP($K188,LUTs!$E$2:$H$14,2,)</f>
        <v>Strait of Juan de Fuca</v>
      </c>
      <c r="N188" s="107" t="str">
        <f>VLOOKUP($K188,LUTs!$E$2:$H$14,4,)</f>
        <v>03Strait of Juan de Fuca</v>
      </c>
      <c r="O188" s="107">
        <v>450.79764903442498</v>
      </c>
      <c r="P188" s="107">
        <v>431.99227539882497</v>
      </c>
      <c r="Q188" s="107">
        <f t="shared" si="13"/>
        <v>450.79764903442498</v>
      </c>
      <c r="R188" s="107">
        <f t="shared" si="14"/>
        <v>431.99227539882497</v>
      </c>
      <c r="S188" s="140" t="str">
        <f t="shared" si="15"/>
        <v>Y</v>
      </c>
      <c r="T188" s="154">
        <f t="shared" si="16"/>
        <v>0.95828422425032667</v>
      </c>
      <c r="U188" s="154">
        <f t="shared" si="17"/>
        <v>0.95828422425032667</v>
      </c>
    </row>
    <row r="189" spans="1:21" x14ac:dyDescent="0.35">
      <c r="A189" s="107">
        <v>1671</v>
      </c>
      <c r="B189" s="107">
        <v>2013</v>
      </c>
      <c r="C189" s="107" t="s">
        <v>9</v>
      </c>
      <c r="D189" s="107" t="s">
        <v>132</v>
      </c>
      <c r="E189" s="107" t="s">
        <v>10</v>
      </c>
      <c r="F189" s="115">
        <v>6</v>
      </c>
      <c r="G189" s="107" t="s">
        <v>28</v>
      </c>
      <c r="H189" s="107" t="str">
        <f t="shared" si="12"/>
        <v>Area 6: E Juan de Fuca</v>
      </c>
      <c r="I189" s="107" t="str">
        <f>IFERROR(VLOOKUP(H189,LUTs!$A$1:$C$73,2,FALSE),"NA")</f>
        <v>NA</v>
      </c>
      <c r="J189" s="107" t="str">
        <f>IFERROR(VLOOKUP(H189,LUTs!$A$1:$C$73,3,FALSE),"NA")</f>
        <v>0Strait of Juan de Fuca</v>
      </c>
      <c r="K189" s="107" t="s">
        <v>18</v>
      </c>
      <c r="L189" s="107" t="str">
        <f>VLOOKUP(K189,LUTs!E$2:G$14,3,)</f>
        <v>06King</v>
      </c>
      <c r="M189" s="107" t="str">
        <f>VLOOKUP($K189,LUTs!$E$2:$H$14,2,)</f>
        <v>South Puget Sound</v>
      </c>
      <c r="N189" s="107" t="str">
        <f>VLOOKUP($K189,LUTs!$E$2:$H$14,4,)</f>
        <v>02South Puget Sound</v>
      </c>
      <c r="O189" s="107">
        <v>1138.2640638119201</v>
      </c>
      <c r="P189" s="107">
        <v>1090.78049538203</v>
      </c>
      <c r="Q189" s="107">
        <f t="shared" si="13"/>
        <v>1138.2640638119201</v>
      </c>
      <c r="R189" s="107">
        <f t="shared" si="14"/>
        <v>1090.78049538203</v>
      </c>
      <c r="S189" s="140" t="str">
        <f t="shared" si="15"/>
        <v>Y</v>
      </c>
      <c r="T189" s="154">
        <f t="shared" si="16"/>
        <v>0.95828422425032656</v>
      </c>
      <c r="U189" s="154">
        <f t="shared" si="17"/>
        <v>0.95828422425032656</v>
      </c>
    </row>
    <row r="190" spans="1:21" x14ac:dyDescent="0.35">
      <c r="A190" s="107">
        <v>1675</v>
      </c>
      <c r="B190" s="107">
        <v>2013</v>
      </c>
      <c r="C190" s="107" t="s">
        <v>9</v>
      </c>
      <c r="D190" s="107" t="s">
        <v>132</v>
      </c>
      <c r="E190" s="107" t="s">
        <v>10</v>
      </c>
      <c r="F190" s="115">
        <v>6</v>
      </c>
      <c r="G190" s="107" t="s">
        <v>28</v>
      </c>
      <c r="H190" s="107" t="str">
        <f t="shared" si="12"/>
        <v>Area 6: E Juan de Fuca</v>
      </c>
      <c r="I190" s="107" t="str">
        <f>IFERROR(VLOOKUP(H190,LUTs!$A$1:$C$73,2,FALSE),"NA")</f>
        <v>NA</v>
      </c>
      <c r="J190" s="107" t="str">
        <f>IFERROR(VLOOKUP(H190,LUTs!$A$1:$C$73,3,FALSE),"NA")</f>
        <v>0Strait of Juan de Fuca</v>
      </c>
      <c r="K190" s="107" t="s">
        <v>23</v>
      </c>
      <c r="L190" s="107" t="str">
        <f>VLOOKUP(K190,LUTs!E$2:G$14,3,)</f>
        <v>10Kitsap</v>
      </c>
      <c r="M190" s="107" t="str">
        <f>VLOOKUP($K190,LUTs!$E$2:$H$14,2,)</f>
        <v>South Puget Sound</v>
      </c>
      <c r="N190" s="107" t="str">
        <f>VLOOKUP($K190,LUTs!$E$2:$H$14,4,)</f>
        <v>02South Puget Sound</v>
      </c>
      <c r="O190" s="107">
        <v>935.40512174643197</v>
      </c>
      <c r="P190" s="107">
        <v>896.38397145256101</v>
      </c>
      <c r="Q190" s="107">
        <f t="shared" si="13"/>
        <v>935.40512174643197</v>
      </c>
      <c r="R190" s="107">
        <f t="shared" si="14"/>
        <v>896.38397145256101</v>
      </c>
      <c r="S190" s="140" t="str">
        <f t="shared" si="15"/>
        <v>Y</v>
      </c>
      <c r="T190" s="154">
        <f t="shared" si="16"/>
        <v>0.95828422425032567</v>
      </c>
      <c r="U190" s="154">
        <f t="shared" si="17"/>
        <v>0.95828422425032567</v>
      </c>
    </row>
    <row r="191" spans="1:21" x14ac:dyDescent="0.35">
      <c r="A191" s="107">
        <v>1674</v>
      </c>
      <c r="B191" s="107">
        <v>2013</v>
      </c>
      <c r="C191" s="107" t="s">
        <v>9</v>
      </c>
      <c r="D191" s="107" t="s">
        <v>132</v>
      </c>
      <c r="E191" s="107" t="s">
        <v>10</v>
      </c>
      <c r="F191" s="115">
        <v>6</v>
      </c>
      <c r="G191" s="107" t="s">
        <v>28</v>
      </c>
      <c r="H191" s="107" t="str">
        <f t="shared" si="12"/>
        <v>Area 6: E Juan de Fuca</v>
      </c>
      <c r="I191" s="107" t="str">
        <f>IFERROR(VLOOKUP(H191,LUTs!$A$1:$C$73,2,FALSE),"NA")</f>
        <v>NA</v>
      </c>
      <c r="J191" s="107" t="str">
        <f>IFERROR(VLOOKUP(H191,LUTs!$A$1:$C$73,3,FALSE),"NA")</f>
        <v>0Strait of Juan de Fuca</v>
      </c>
      <c r="K191" s="107" t="s">
        <v>22</v>
      </c>
      <c r="L191" s="107" t="str">
        <f>VLOOKUP(K191,LUTs!E$2:G$14,3,)</f>
        <v>09Mason</v>
      </c>
      <c r="M191" s="107" t="str">
        <f>VLOOKUP($K191,LUTs!$E$2:$H$14,2,)</f>
        <v>South Puget Sound</v>
      </c>
      <c r="N191" s="107" t="str">
        <f>VLOOKUP($K191,LUTs!$E$2:$H$14,4,)</f>
        <v>02South Puget Sound</v>
      </c>
      <c r="O191" s="107">
        <v>219.763853904282</v>
      </c>
      <c r="P191" s="107">
        <v>210.596234256927</v>
      </c>
      <c r="Q191" s="107">
        <f t="shared" si="13"/>
        <v>219.763853904282</v>
      </c>
      <c r="R191" s="107">
        <f t="shared" si="14"/>
        <v>210.596234256927</v>
      </c>
      <c r="S191" s="140" t="str">
        <f t="shared" si="15"/>
        <v>Y</v>
      </c>
      <c r="T191" s="154">
        <f t="shared" si="16"/>
        <v>0.95828422425032667</v>
      </c>
      <c r="U191" s="154">
        <f t="shared" si="17"/>
        <v>0.95828422425032667</v>
      </c>
    </row>
    <row r="192" spans="1:21" x14ac:dyDescent="0.35">
      <c r="A192" s="107">
        <v>1678</v>
      </c>
      <c r="B192" s="107">
        <v>2013</v>
      </c>
      <c r="C192" s="107" t="s">
        <v>9</v>
      </c>
      <c r="D192" s="107" t="s">
        <v>132</v>
      </c>
      <c r="E192" s="107" t="s">
        <v>10</v>
      </c>
      <c r="F192" s="115">
        <v>6</v>
      </c>
      <c r="G192" s="107" t="s">
        <v>28</v>
      </c>
      <c r="H192" s="107" t="str">
        <f t="shared" si="12"/>
        <v>Area 6: E Juan de Fuca</v>
      </c>
      <c r="I192" s="107" t="str">
        <f>IFERROR(VLOOKUP(H192,LUTs!$A$1:$C$73,2,FALSE),"NA")</f>
        <v>NA</v>
      </c>
      <c r="J192" s="107" t="str">
        <f>IFERROR(VLOOKUP(H192,LUTs!$A$1:$C$73,3,FALSE),"NA")</f>
        <v>0Strait of Juan de Fuca</v>
      </c>
      <c r="K192" s="107" t="s">
        <v>26</v>
      </c>
      <c r="L192" s="107" t="str">
        <f>VLOOKUP(K192,LUTs!E$2:G$14,3,)</f>
        <v>20Other</v>
      </c>
      <c r="M192" s="107" t="str">
        <f>VLOOKUP($K192,LUTs!$E$2:$H$14,2,)</f>
        <v>Non Puget Sound</v>
      </c>
      <c r="N192" s="107" t="str">
        <f>VLOOKUP($K192,LUTs!$E$2:$H$14,4,)</f>
        <v>07Non Puget Sound</v>
      </c>
      <c r="O192" s="107">
        <v>2699.1509235936201</v>
      </c>
      <c r="P192" s="107">
        <v>2586.55374895046</v>
      </c>
      <c r="Q192" s="107">
        <f t="shared" si="13"/>
        <v>2699.1509235936201</v>
      </c>
      <c r="R192" s="107">
        <f t="shared" si="14"/>
        <v>2586.55374895046</v>
      </c>
      <c r="S192" s="140" t="str">
        <f t="shared" si="15"/>
        <v>Y</v>
      </c>
      <c r="T192" s="154">
        <f t="shared" si="16"/>
        <v>0.95828422425032478</v>
      </c>
      <c r="U192" s="154">
        <f t="shared" si="17"/>
        <v>0.95828422425032478</v>
      </c>
    </row>
    <row r="193" spans="1:21" x14ac:dyDescent="0.35">
      <c r="A193" s="107">
        <v>1672</v>
      </c>
      <c r="B193" s="107">
        <v>2013</v>
      </c>
      <c r="C193" s="107" t="s">
        <v>9</v>
      </c>
      <c r="D193" s="107" t="s">
        <v>132</v>
      </c>
      <c r="E193" s="107" t="s">
        <v>10</v>
      </c>
      <c r="F193" s="115">
        <v>6</v>
      </c>
      <c r="G193" s="107" t="s">
        <v>28</v>
      </c>
      <c r="H193" s="107" t="str">
        <f t="shared" si="12"/>
        <v>Area 6: E Juan de Fuca</v>
      </c>
      <c r="I193" s="107" t="str">
        <f>IFERROR(VLOOKUP(H193,LUTs!$A$1:$C$73,2,FALSE),"NA")</f>
        <v>NA</v>
      </c>
      <c r="J193" s="107" t="str">
        <f>IFERROR(VLOOKUP(H193,LUTs!$A$1:$C$73,3,FALSE),"NA")</f>
        <v>0Strait of Juan de Fuca</v>
      </c>
      <c r="K193" s="107" t="s">
        <v>20</v>
      </c>
      <c r="L193" s="107" t="str">
        <f>VLOOKUP(K193,LUTs!E$2:G$14,3,)</f>
        <v>07Pierce</v>
      </c>
      <c r="M193" s="107" t="str">
        <f>VLOOKUP($K193,LUTs!$E$2:$H$14,2,)</f>
        <v>South Puget Sound</v>
      </c>
      <c r="N193" s="107" t="str">
        <f>VLOOKUP($K193,LUTs!$E$2:$H$14,4,)</f>
        <v>02South Puget Sound</v>
      </c>
      <c r="O193" s="107">
        <v>670.56150293870701</v>
      </c>
      <c r="P193" s="107">
        <v>642.58850965575095</v>
      </c>
      <c r="Q193" s="107">
        <f t="shared" si="13"/>
        <v>670.56150293870701</v>
      </c>
      <c r="R193" s="107">
        <f t="shared" si="14"/>
        <v>642.58850965575095</v>
      </c>
      <c r="S193" s="140" t="str">
        <f t="shared" si="15"/>
        <v>Y</v>
      </c>
      <c r="T193" s="154">
        <f t="shared" si="16"/>
        <v>0.95828422425032511</v>
      </c>
      <c r="U193" s="154">
        <f t="shared" si="17"/>
        <v>0.95828422425032511</v>
      </c>
    </row>
    <row r="194" spans="1:21" x14ac:dyDescent="0.35">
      <c r="A194" s="107">
        <v>1657</v>
      </c>
      <c r="B194" s="107">
        <v>2013</v>
      </c>
      <c r="C194" s="107" t="s">
        <v>9</v>
      </c>
      <c r="D194" s="107" t="s">
        <v>132</v>
      </c>
      <c r="E194" s="107" t="s">
        <v>10</v>
      </c>
      <c r="F194" s="115">
        <v>6</v>
      </c>
      <c r="G194" s="107" t="s">
        <v>28</v>
      </c>
      <c r="H194" s="107" t="str">
        <f t="shared" ref="H194:H257" si="18">G194</f>
        <v>Area 6: E Juan de Fuca</v>
      </c>
      <c r="I194" s="107" t="str">
        <f>IFERROR(VLOOKUP(H194,LUTs!$A$1:$C$73,2,FALSE),"NA")</f>
        <v>NA</v>
      </c>
      <c r="J194" s="107" t="str">
        <f>IFERROR(VLOOKUP(H194,LUTs!$A$1:$C$73,3,FALSE),"NA")</f>
        <v>0Strait of Juan de Fuca</v>
      </c>
      <c r="K194" s="107" t="s">
        <v>15</v>
      </c>
      <c r="L194" s="107" t="str">
        <f>VLOOKUP(K194,LUTs!E$2:G$14,3,)</f>
        <v>02Skagit</v>
      </c>
      <c r="M194" s="107" t="str">
        <f>VLOOKUP($K194,LUTs!$E$2:$H$14,2,)</f>
        <v>North Puget Sound</v>
      </c>
      <c r="N194" s="107" t="str">
        <f>VLOOKUP($K194,LUTs!$E$2:$H$14,4,)</f>
        <v>01North Puget Sound</v>
      </c>
      <c r="O194" s="107">
        <v>963.57997481108305</v>
      </c>
      <c r="P194" s="107">
        <v>923.38348866498802</v>
      </c>
      <c r="Q194" s="107">
        <f t="shared" ref="Q194:Q257" si="19">O194</f>
        <v>963.57997481108305</v>
      </c>
      <c r="R194" s="107">
        <f t="shared" ref="R194:R257" si="20">P194</f>
        <v>923.38348866498802</v>
      </c>
      <c r="S194" s="140" t="str">
        <f t="shared" si="15"/>
        <v>Y</v>
      </c>
      <c r="T194" s="154">
        <f t="shared" si="16"/>
        <v>0.95828422425032667</v>
      </c>
      <c r="U194" s="154">
        <f t="shared" si="17"/>
        <v>0.95828422425032667</v>
      </c>
    </row>
    <row r="195" spans="1:21" x14ac:dyDescent="0.35">
      <c r="A195" s="107">
        <v>1658</v>
      </c>
      <c r="B195" s="107">
        <v>2013</v>
      </c>
      <c r="C195" s="107" t="s">
        <v>9</v>
      </c>
      <c r="D195" s="107" t="s">
        <v>132</v>
      </c>
      <c r="E195" s="107" t="s">
        <v>10</v>
      </c>
      <c r="F195" s="115">
        <v>6</v>
      </c>
      <c r="G195" s="107" t="s">
        <v>28</v>
      </c>
      <c r="H195" s="107" t="str">
        <f t="shared" si="18"/>
        <v>Area 6: E Juan de Fuca</v>
      </c>
      <c r="I195" s="107" t="str">
        <f>IFERROR(VLOOKUP(H195,LUTs!$A$1:$C$73,2,FALSE),"NA")</f>
        <v>NA</v>
      </c>
      <c r="J195" s="107" t="str">
        <f>IFERROR(VLOOKUP(H195,LUTs!$A$1:$C$73,3,FALSE),"NA")</f>
        <v>0Strait of Juan de Fuca</v>
      </c>
      <c r="K195" s="107" t="s">
        <v>16</v>
      </c>
      <c r="L195" s="107" t="str">
        <f>VLOOKUP(K195,LUTs!E$2:G$14,3,)</f>
        <v>03Snohomish</v>
      </c>
      <c r="M195" s="107" t="str">
        <f>VLOOKUP($K195,LUTs!$E$2:$H$14,2,)</f>
        <v>North Puget Sound</v>
      </c>
      <c r="N195" s="107" t="str">
        <f>VLOOKUP($K195,LUTs!$E$2:$H$14,4,)</f>
        <v>01North Puget Sound</v>
      </c>
      <c r="O195" s="107">
        <v>400.08291351805201</v>
      </c>
      <c r="P195" s="107">
        <v>383.39314441645701</v>
      </c>
      <c r="Q195" s="107">
        <f t="shared" si="19"/>
        <v>400.08291351805201</v>
      </c>
      <c r="R195" s="107">
        <f t="shared" si="20"/>
        <v>383.39314441645701</v>
      </c>
      <c r="S195" s="140" t="str">
        <f t="shared" ref="S195:S258" si="21">IF(B195&lt;=2019,"Y","N")</f>
        <v>Y</v>
      </c>
      <c r="T195" s="154">
        <f t="shared" ref="T195:T258" si="22">IFERROR(P195/O195,"NA")</f>
        <v>0.95828422425032667</v>
      </c>
      <c r="U195" s="154">
        <f t="shared" ref="U195:U258" si="23">IFERROR(R195/Q195,"NA")</f>
        <v>0.95828422425032667</v>
      </c>
    </row>
    <row r="196" spans="1:21" x14ac:dyDescent="0.35">
      <c r="A196" s="107">
        <v>1673</v>
      </c>
      <c r="B196" s="107">
        <v>2013</v>
      </c>
      <c r="C196" s="107" t="s">
        <v>9</v>
      </c>
      <c r="D196" s="107" t="s">
        <v>132</v>
      </c>
      <c r="E196" s="107" t="s">
        <v>10</v>
      </c>
      <c r="F196" s="115">
        <v>6</v>
      </c>
      <c r="G196" s="107" t="s">
        <v>28</v>
      </c>
      <c r="H196" s="107" t="str">
        <f t="shared" si="18"/>
        <v>Area 6: E Juan de Fuca</v>
      </c>
      <c r="I196" s="107" t="str">
        <f>IFERROR(VLOOKUP(H196,LUTs!$A$1:$C$73,2,FALSE),"NA")</f>
        <v>NA</v>
      </c>
      <c r="J196" s="107" t="str">
        <f>IFERROR(VLOOKUP(H196,LUTs!$A$1:$C$73,3,FALSE),"NA")</f>
        <v>0Strait of Juan de Fuca</v>
      </c>
      <c r="K196" s="107" t="s">
        <v>21</v>
      </c>
      <c r="L196" s="107" t="str">
        <f>VLOOKUP(K196,LUTs!E$2:G$14,3,)</f>
        <v>08Thurston</v>
      </c>
      <c r="M196" s="107" t="str">
        <f>VLOOKUP($K196,LUTs!$E$2:$H$14,2,)</f>
        <v>South Puget Sound</v>
      </c>
      <c r="N196" s="107" t="str">
        <f>VLOOKUP($K196,LUTs!$E$2:$H$14,4,)</f>
        <v>02South Puget Sound</v>
      </c>
      <c r="O196" s="107">
        <v>112.699412258606</v>
      </c>
      <c r="P196" s="107">
        <v>107.998068849706</v>
      </c>
      <c r="Q196" s="107">
        <f t="shared" si="19"/>
        <v>112.699412258606</v>
      </c>
      <c r="R196" s="107">
        <f t="shared" si="20"/>
        <v>107.998068849706</v>
      </c>
      <c r="S196" s="140" t="str">
        <f t="shared" si="21"/>
        <v>Y</v>
      </c>
      <c r="T196" s="154">
        <f t="shared" si="22"/>
        <v>0.95828422425032656</v>
      </c>
      <c r="U196" s="154">
        <f t="shared" si="23"/>
        <v>0.95828422425032656</v>
      </c>
    </row>
    <row r="197" spans="1:21" x14ac:dyDescent="0.35">
      <c r="A197" s="107">
        <v>1656</v>
      </c>
      <c r="B197" s="107">
        <v>2013</v>
      </c>
      <c r="C197" s="107" t="s">
        <v>9</v>
      </c>
      <c r="D197" s="107" t="s">
        <v>132</v>
      </c>
      <c r="E197" s="107" t="s">
        <v>10</v>
      </c>
      <c r="F197" s="115">
        <v>6</v>
      </c>
      <c r="G197" s="107" t="s">
        <v>28</v>
      </c>
      <c r="H197" s="107" t="str">
        <f t="shared" si="18"/>
        <v>Area 6: E Juan de Fuca</v>
      </c>
      <c r="I197" s="107" t="str">
        <f>IFERROR(VLOOKUP(H197,LUTs!$A$1:$C$73,2,FALSE),"NA")</f>
        <v>NA</v>
      </c>
      <c r="J197" s="107" t="str">
        <f>IFERROR(VLOOKUP(H197,LUTs!$A$1:$C$73,3,FALSE),"NA")</f>
        <v>0Strait of Juan de Fuca</v>
      </c>
      <c r="K197" s="107" t="s">
        <v>13</v>
      </c>
      <c r="L197" s="107" t="str">
        <f>VLOOKUP(K197,LUTs!E$2:G$14,3,)</f>
        <v>01Whatcom</v>
      </c>
      <c r="M197" s="107" t="str">
        <f>VLOOKUP($K197,LUTs!$E$2:$H$14,2,)</f>
        <v>North Puget Sound</v>
      </c>
      <c r="N197" s="107" t="str">
        <f>VLOOKUP($K197,LUTs!$E$2:$H$14,4,)</f>
        <v>01North Puget Sound</v>
      </c>
      <c r="O197" s="107">
        <v>118.334382871537</v>
      </c>
      <c r="P197" s="107">
        <v>113.397972292191</v>
      </c>
      <c r="Q197" s="107">
        <f t="shared" si="19"/>
        <v>118.334382871537</v>
      </c>
      <c r="R197" s="107">
        <f t="shared" si="20"/>
        <v>113.397972292191</v>
      </c>
      <c r="S197" s="140" t="str">
        <f t="shared" si="21"/>
        <v>Y</v>
      </c>
      <c r="T197" s="154">
        <f t="shared" si="22"/>
        <v>0.95828422425031834</v>
      </c>
      <c r="U197" s="154">
        <f t="shared" si="23"/>
        <v>0.95828422425031834</v>
      </c>
    </row>
    <row r="198" spans="1:21" x14ac:dyDescent="0.35">
      <c r="A198" s="107">
        <v>2000</v>
      </c>
      <c r="B198" s="107">
        <v>2014</v>
      </c>
      <c r="C198" s="107" t="s">
        <v>9</v>
      </c>
      <c r="D198" s="107" t="s">
        <v>132</v>
      </c>
      <c r="E198" s="107" t="s">
        <v>10</v>
      </c>
      <c r="F198" s="115">
        <v>6</v>
      </c>
      <c r="G198" s="107" t="s">
        <v>28</v>
      </c>
      <c r="H198" s="107" t="str">
        <f t="shared" si="18"/>
        <v>Area 6: E Juan de Fuca</v>
      </c>
      <c r="I198" s="107" t="str">
        <f>IFERROR(VLOOKUP(H198,LUTs!$A$1:$C$73,2,FALSE),"NA")</f>
        <v>NA</v>
      </c>
      <c r="J198" s="107" t="str">
        <f>IFERROR(VLOOKUP(H198,LUTs!$A$1:$C$73,3,FALSE),"NA")</f>
        <v>0Strait of Juan de Fuca</v>
      </c>
      <c r="K198" s="107" t="s">
        <v>24</v>
      </c>
      <c r="L198" s="107" t="str">
        <f>VLOOKUP(K198,LUTs!E$2:G$14,3,)</f>
        <v>11Clallam</v>
      </c>
      <c r="M198" s="107" t="str">
        <f>VLOOKUP($K198,LUTs!$E$2:$H$14,2,)</f>
        <v>Strait of Juan de Fuca</v>
      </c>
      <c r="N198" s="107" t="str">
        <f>VLOOKUP($K198,LUTs!$E$2:$H$14,4,)</f>
        <v>03Strait of Juan de Fuca</v>
      </c>
      <c r="O198" s="107">
        <v>15400.381260096899</v>
      </c>
      <c r="P198" s="107">
        <v>24163.159172859501</v>
      </c>
      <c r="Q198" s="107">
        <f t="shared" si="19"/>
        <v>15400.381260096899</v>
      </c>
      <c r="R198" s="107">
        <f t="shared" si="20"/>
        <v>24163.159172859501</v>
      </c>
      <c r="S198" s="140" t="str">
        <f t="shared" si="21"/>
        <v>Y</v>
      </c>
      <c r="T198" s="154">
        <f t="shared" si="22"/>
        <v>1.5689974660216603</v>
      </c>
      <c r="U198" s="154">
        <f t="shared" si="23"/>
        <v>1.5689974660216603</v>
      </c>
    </row>
    <row r="199" spans="1:21" x14ac:dyDescent="0.35">
      <c r="A199" s="107">
        <v>1986</v>
      </c>
      <c r="B199" s="107">
        <v>2014</v>
      </c>
      <c r="C199" s="107" t="s">
        <v>9</v>
      </c>
      <c r="D199" s="107" t="s">
        <v>132</v>
      </c>
      <c r="E199" s="107" t="s">
        <v>10</v>
      </c>
      <c r="F199" s="115">
        <v>6</v>
      </c>
      <c r="G199" s="107" t="s">
        <v>28</v>
      </c>
      <c r="H199" s="107" t="str">
        <f t="shared" si="18"/>
        <v>Area 6: E Juan de Fuca</v>
      </c>
      <c r="I199" s="107" t="str">
        <f>IFERROR(VLOOKUP(H199,LUTs!$A$1:$C$73,2,FALSE),"NA")</f>
        <v>NA</v>
      </c>
      <c r="J199" s="107" t="str">
        <f>IFERROR(VLOOKUP(H199,LUTs!$A$1:$C$73,3,FALSE),"NA")</f>
        <v>0Strait of Juan de Fuca</v>
      </c>
      <c r="K199" s="107" t="s">
        <v>17</v>
      </c>
      <c r="L199" s="107" t="str">
        <f>VLOOKUP(K199,LUTs!E$2:G$14,3,)</f>
        <v>04Island</v>
      </c>
      <c r="M199" s="107" t="str">
        <f>VLOOKUP($K199,LUTs!$E$2:$H$14,2,)</f>
        <v>North Puget Sound</v>
      </c>
      <c r="N199" s="107" t="str">
        <f>VLOOKUP($K199,LUTs!$E$2:$H$14,4,)</f>
        <v>01North Puget Sound</v>
      </c>
      <c r="O199" s="107">
        <v>462.85298869143799</v>
      </c>
      <c r="P199" s="107">
        <v>726.21516639741503</v>
      </c>
      <c r="Q199" s="107">
        <f t="shared" si="19"/>
        <v>462.85298869143799</v>
      </c>
      <c r="R199" s="107">
        <f t="shared" si="20"/>
        <v>726.21516639741503</v>
      </c>
      <c r="S199" s="140" t="str">
        <f t="shared" si="21"/>
        <v>Y</v>
      </c>
      <c r="T199" s="154">
        <f t="shared" si="22"/>
        <v>1.568997466021653</v>
      </c>
      <c r="U199" s="154">
        <f t="shared" si="23"/>
        <v>1.568997466021653</v>
      </c>
    </row>
    <row r="200" spans="1:21" x14ac:dyDescent="0.35">
      <c r="A200" s="107">
        <v>2001</v>
      </c>
      <c r="B200" s="107">
        <v>2014</v>
      </c>
      <c r="C200" s="107" t="s">
        <v>9</v>
      </c>
      <c r="D200" s="107" t="s">
        <v>132</v>
      </c>
      <c r="E200" s="107" t="s">
        <v>10</v>
      </c>
      <c r="F200" s="115">
        <v>6</v>
      </c>
      <c r="G200" s="107" t="s">
        <v>28</v>
      </c>
      <c r="H200" s="107" t="str">
        <f t="shared" si="18"/>
        <v>Area 6: E Juan de Fuca</v>
      </c>
      <c r="I200" s="107" t="str">
        <f>IFERROR(VLOOKUP(H200,LUTs!$A$1:$C$73,2,FALSE),"NA")</f>
        <v>NA</v>
      </c>
      <c r="J200" s="107" t="str">
        <f>IFERROR(VLOOKUP(H200,LUTs!$A$1:$C$73,3,FALSE),"NA")</f>
        <v>0Strait of Juan de Fuca</v>
      </c>
      <c r="K200" s="107" t="s">
        <v>25</v>
      </c>
      <c r="L200" s="107" t="str">
        <f>VLOOKUP(K200,LUTs!E$2:G$14,3,)</f>
        <v>12Jefferson</v>
      </c>
      <c r="M200" s="107" t="str">
        <f>VLOOKUP($K200,LUTs!$E$2:$H$14,2,)</f>
        <v>Strait of Juan de Fuca</v>
      </c>
      <c r="N200" s="107" t="str">
        <f>VLOOKUP($K200,LUTs!$E$2:$H$14,4,)</f>
        <v>03Strait of Juan de Fuca</v>
      </c>
      <c r="O200" s="107">
        <v>511.94345718901502</v>
      </c>
      <c r="P200" s="107">
        <v>803.23798707592903</v>
      </c>
      <c r="Q200" s="107">
        <f t="shared" si="19"/>
        <v>511.94345718901502</v>
      </c>
      <c r="R200" s="107">
        <f t="shared" si="20"/>
        <v>803.23798707592903</v>
      </c>
      <c r="S200" s="140" t="str">
        <f t="shared" si="21"/>
        <v>Y</v>
      </c>
      <c r="T200" s="154">
        <f t="shared" si="22"/>
        <v>1.5689974660216528</v>
      </c>
      <c r="U200" s="154">
        <f t="shared" si="23"/>
        <v>1.5689974660216528</v>
      </c>
    </row>
    <row r="201" spans="1:21" x14ac:dyDescent="0.35">
      <c r="A201" s="107">
        <v>1988</v>
      </c>
      <c r="B201" s="107">
        <v>2014</v>
      </c>
      <c r="C201" s="107" t="s">
        <v>9</v>
      </c>
      <c r="D201" s="107" t="s">
        <v>132</v>
      </c>
      <c r="E201" s="107" t="s">
        <v>10</v>
      </c>
      <c r="F201" s="115">
        <v>6</v>
      </c>
      <c r="G201" s="107" t="s">
        <v>28</v>
      </c>
      <c r="H201" s="107" t="str">
        <f t="shared" si="18"/>
        <v>Area 6: E Juan de Fuca</v>
      </c>
      <c r="I201" s="107" t="str">
        <f>IFERROR(VLOOKUP(H201,LUTs!$A$1:$C$73,2,FALSE),"NA")</f>
        <v>NA</v>
      </c>
      <c r="J201" s="107" t="str">
        <f>IFERROR(VLOOKUP(H201,LUTs!$A$1:$C$73,3,FALSE),"NA")</f>
        <v>0Strait of Juan de Fuca</v>
      </c>
      <c r="K201" s="107" t="s">
        <v>18</v>
      </c>
      <c r="L201" s="107" t="str">
        <f>VLOOKUP(K201,LUTs!E$2:G$14,3,)</f>
        <v>06King</v>
      </c>
      <c r="M201" s="107" t="str">
        <f>VLOOKUP($K201,LUTs!$E$2:$H$14,2,)</f>
        <v>South Puget Sound</v>
      </c>
      <c r="N201" s="107" t="str">
        <f>VLOOKUP($K201,LUTs!$E$2:$H$14,4,)</f>
        <v>02South Puget Sound</v>
      </c>
      <c r="O201" s="107">
        <v>981.80936995153502</v>
      </c>
      <c r="P201" s="107">
        <v>1540.4564135702699</v>
      </c>
      <c r="Q201" s="107">
        <f t="shared" si="19"/>
        <v>981.80936995153502</v>
      </c>
      <c r="R201" s="107">
        <f t="shared" si="20"/>
        <v>1540.4564135702699</v>
      </c>
      <c r="S201" s="140" t="str">
        <f t="shared" si="21"/>
        <v>Y</v>
      </c>
      <c r="T201" s="154">
        <f t="shared" si="22"/>
        <v>1.5689974660216488</v>
      </c>
      <c r="U201" s="154">
        <f t="shared" si="23"/>
        <v>1.5689974660216488</v>
      </c>
    </row>
    <row r="202" spans="1:21" x14ac:dyDescent="0.35">
      <c r="A202" s="107">
        <v>1999</v>
      </c>
      <c r="B202" s="107">
        <v>2014</v>
      </c>
      <c r="C202" s="107" t="s">
        <v>9</v>
      </c>
      <c r="D202" s="107" t="s">
        <v>132</v>
      </c>
      <c r="E202" s="107" t="s">
        <v>10</v>
      </c>
      <c r="F202" s="115">
        <v>6</v>
      </c>
      <c r="G202" s="107" t="s">
        <v>28</v>
      </c>
      <c r="H202" s="107" t="str">
        <f t="shared" si="18"/>
        <v>Area 6: E Juan de Fuca</v>
      </c>
      <c r="I202" s="107" t="str">
        <f>IFERROR(VLOOKUP(H202,LUTs!$A$1:$C$73,2,FALSE),"NA")</f>
        <v>NA</v>
      </c>
      <c r="J202" s="107" t="str">
        <f>IFERROR(VLOOKUP(H202,LUTs!$A$1:$C$73,3,FALSE),"NA")</f>
        <v>0Strait of Juan de Fuca</v>
      </c>
      <c r="K202" s="107" t="s">
        <v>23</v>
      </c>
      <c r="L202" s="107" t="str">
        <f>VLOOKUP(K202,LUTs!E$2:G$14,3,)</f>
        <v>10Kitsap</v>
      </c>
      <c r="M202" s="107" t="str">
        <f>VLOOKUP($K202,LUTs!$E$2:$H$14,2,)</f>
        <v>South Puget Sound</v>
      </c>
      <c r="N202" s="107" t="str">
        <f>VLOOKUP($K202,LUTs!$E$2:$H$14,4,)</f>
        <v>02South Puget Sound</v>
      </c>
      <c r="O202" s="107">
        <v>1058.95153473344</v>
      </c>
      <c r="P202" s="107">
        <v>1661.49227463651</v>
      </c>
      <c r="Q202" s="107">
        <f t="shared" si="19"/>
        <v>1058.95153473344</v>
      </c>
      <c r="R202" s="107">
        <f t="shared" si="20"/>
        <v>1661.49227463651</v>
      </c>
      <c r="S202" s="140" t="str">
        <f t="shared" si="21"/>
        <v>Y</v>
      </c>
      <c r="T202" s="154">
        <f t="shared" si="22"/>
        <v>1.568997466021655</v>
      </c>
      <c r="U202" s="154">
        <f t="shared" si="23"/>
        <v>1.568997466021655</v>
      </c>
    </row>
    <row r="203" spans="1:21" x14ac:dyDescent="0.35">
      <c r="A203" s="107">
        <v>1991</v>
      </c>
      <c r="B203" s="107">
        <v>2014</v>
      </c>
      <c r="C203" s="107" t="s">
        <v>9</v>
      </c>
      <c r="D203" s="107" t="s">
        <v>132</v>
      </c>
      <c r="E203" s="107" t="s">
        <v>10</v>
      </c>
      <c r="F203" s="115">
        <v>6</v>
      </c>
      <c r="G203" s="107" t="s">
        <v>28</v>
      </c>
      <c r="H203" s="107" t="str">
        <f t="shared" si="18"/>
        <v>Area 6: E Juan de Fuca</v>
      </c>
      <c r="I203" s="107" t="str">
        <f>IFERROR(VLOOKUP(H203,LUTs!$A$1:$C$73,2,FALSE),"NA")</f>
        <v>NA</v>
      </c>
      <c r="J203" s="107" t="str">
        <f>IFERROR(VLOOKUP(H203,LUTs!$A$1:$C$73,3,FALSE),"NA")</f>
        <v>0Strait of Juan de Fuca</v>
      </c>
      <c r="K203" s="107" t="s">
        <v>22</v>
      </c>
      <c r="L203" s="107" t="str">
        <f>VLOOKUP(K203,LUTs!E$2:G$14,3,)</f>
        <v>09Mason</v>
      </c>
      <c r="M203" s="107" t="str">
        <f>VLOOKUP($K203,LUTs!$E$2:$H$14,2,)</f>
        <v>South Puget Sound</v>
      </c>
      <c r="N203" s="107" t="str">
        <f>VLOOKUP($K203,LUTs!$E$2:$H$14,4,)</f>
        <v>02South Puget Sound</v>
      </c>
      <c r="O203" s="107">
        <v>56.103392568659103</v>
      </c>
      <c r="P203" s="107">
        <v>88.026080775444299</v>
      </c>
      <c r="Q203" s="107">
        <f t="shared" si="19"/>
        <v>56.103392568659103</v>
      </c>
      <c r="R203" s="107">
        <f t="shared" si="20"/>
        <v>88.026080775444299</v>
      </c>
      <c r="S203" s="140" t="str">
        <f t="shared" si="21"/>
        <v>Y</v>
      </c>
      <c r="T203" s="154">
        <f t="shared" si="22"/>
        <v>1.5689974660216552</v>
      </c>
      <c r="U203" s="154">
        <f t="shared" si="23"/>
        <v>1.5689974660216552</v>
      </c>
    </row>
    <row r="204" spans="1:21" x14ac:dyDescent="0.35">
      <c r="A204" s="107">
        <v>2002</v>
      </c>
      <c r="B204" s="107">
        <v>2014</v>
      </c>
      <c r="C204" s="107" t="s">
        <v>9</v>
      </c>
      <c r="D204" s="107" t="s">
        <v>132</v>
      </c>
      <c r="E204" s="107" t="s">
        <v>10</v>
      </c>
      <c r="F204" s="115">
        <v>6</v>
      </c>
      <c r="G204" s="107" t="s">
        <v>28</v>
      </c>
      <c r="H204" s="107" t="str">
        <f t="shared" si="18"/>
        <v>Area 6: E Juan de Fuca</v>
      </c>
      <c r="I204" s="107" t="str">
        <f>IFERROR(VLOOKUP(H204,LUTs!$A$1:$C$73,2,FALSE),"NA")</f>
        <v>NA</v>
      </c>
      <c r="J204" s="107" t="str">
        <f>IFERROR(VLOOKUP(H204,LUTs!$A$1:$C$73,3,FALSE),"NA")</f>
        <v>0Strait of Juan de Fuca</v>
      </c>
      <c r="K204" s="107" t="s">
        <v>26</v>
      </c>
      <c r="L204" s="107" t="str">
        <f>VLOOKUP(K204,LUTs!E$2:G$14,3,)</f>
        <v>20Other</v>
      </c>
      <c r="M204" s="107" t="str">
        <f>VLOOKUP($K204,LUTs!$E$2:$H$14,2,)</f>
        <v>Non Puget Sound</v>
      </c>
      <c r="N204" s="107" t="str">
        <f>VLOOKUP($K204,LUTs!$E$2:$H$14,4,)</f>
        <v>07Non Puget Sound</v>
      </c>
      <c r="O204" s="107">
        <v>1458.68820678514</v>
      </c>
      <c r="P204" s="107">
        <v>2288.67810016155</v>
      </c>
      <c r="Q204" s="107">
        <f t="shared" si="19"/>
        <v>1458.68820678514</v>
      </c>
      <c r="R204" s="107">
        <f t="shared" si="20"/>
        <v>2288.67810016155</v>
      </c>
      <c r="S204" s="140" t="str">
        <f t="shared" si="21"/>
        <v>Y</v>
      </c>
      <c r="T204" s="154">
        <f t="shared" si="22"/>
        <v>1.5689974660216506</v>
      </c>
      <c r="U204" s="154">
        <f t="shared" si="23"/>
        <v>1.5689974660216506</v>
      </c>
    </row>
    <row r="205" spans="1:21" x14ac:dyDescent="0.35">
      <c r="A205" s="107">
        <v>1989</v>
      </c>
      <c r="B205" s="107">
        <v>2014</v>
      </c>
      <c r="C205" s="107" t="s">
        <v>9</v>
      </c>
      <c r="D205" s="107" t="s">
        <v>132</v>
      </c>
      <c r="E205" s="107" t="s">
        <v>10</v>
      </c>
      <c r="F205" s="115">
        <v>6</v>
      </c>
      <c r="G205" s="107" t="s">
        <v>28</v>
      </c>
      <c r="H205" s="107" t="str">
        <f t="shared" si="18"/>
        <v>Area 6: E Juan de Fuca</v>
      </c>
      <c r="I205" s="107" t="str">
        <f>IFERROR(VLOOKUP(H205,LUTs!$A$1:$C$73,2,FALSE),"NA")</f>
        <v>NA</v>
      </c>
      <c r="J205" s="107" t="str">
        <f>IFERROR(VLOOKUP(H205,LUTs!$A$1:$C$73,3,FALSE),"NA")</f>
        <v>0Strait of Juan de Fuca</v>
      </c>
      <c r="K205" s="107" t="s">
        <v>20</v>
      </c>
      <c r="L205" s="107" t="str">
        <f>VLOOKUP(K205,LUTs!E$2:G$14,3,)</f>
        <v>07Pierce</v>
      </c>
      <c r="M205" s="107" t="str">
        <f>VLOOKUP($K205,LUTs!$E$2:$H$14,2,)</f>
        <v>South Puget Sound</v>
      </c>
      <c r="N205" s="107" t="str">
        <f>VLOOKUP($K205,LUTs!$E$2:$H$14,4,)</f>
        <v>02South Puget Sound</v>
      </c>
      <c r="O205" s="107">
        <v>652.20193861066195</v>
      </c>
      <c r="P205" s="107">
        <v>1023.30318901454</v>
      </c>
      <c r="Q205" s="107">
        <f t="shared" si="19"/>
        <v>652.20193861066195</v>
      </c>
      <c r="R205" s="107">
        <f t="shared" si="20"/>
        <v>1023.30318901454</v>
      </c>
      <c r="S205" s="140" t="str">
        <f t="shared" si="21"/>
        <v>Y</v>
      </c>
      <c r="T205" s="154">
        <f t="shared" si="22"/>
        <v>1.5689974660216555</v>
      </c>
      <c r="U205" s="154">
        <f t="shared" si="23"/>
        <v>1.5689974660216555</v>
      </c>
    </row>
    <row r="206" spans="1:21" x14ac:dyDescent="0.35">
      <c r="A206" s="107">
        <v>1987</v>
      </c>
      <c r="B206" s="107">
        <v>2014</v>
      </c>
      <c r="C206" s="107" t="s">
        <v>9</v>
      </c>
      <c r="D206" s="107" t="s">
        <v>132</v>
      </c>
      <c r="E206" s="107" t="s">
        <v>10</v>
      </c>
      <c r="F206" s="115">
        <v>6</v>
      </c>
      <c r="G206" s="107" t="s">
        <v>28</v>
      </c>
      <c r="H206" s="107" t="str">
        <f t="shared" si="18"/>
        <v>Area 6: E Juan de Fuca</v>
      </c>
      <c r="I206" s="107" t="str">
        <f>IFERROR(VLOOKUP(H206,LUTs!$A$1:$C$73,2,FALSE),"NA")</f>
        <v>NA</v>
      </c>
      <c r="J206" s="107" t="str">
        <f>IFERROR(VLOOKUP(H206,LUTs!$A$1:$C$73,3,FALSE),"NA")</f>
        <v>0Strait of Juan de Fuca</v>
      </c>
      <c r="K206" s="107" t="s">
        <v>30</v>
      </c>
      <c r="L206" s="107" t="str">
        <f>VLOOKUP(K206,LUTs!E$2:G$14,3,)</f>
        <v>05San Juan</v>
      </c>
      <c r="M206" s="107" t="str">
        <f>VLOOKUP($K206,LUTs!$E$2:$H$14,2,)</f>
        <v>North Puget Sound</v>
      </c>
      <c r="N206" s="107" t="str">
        <f>VLOOKUP($K206,LUTs!$E$2:$H$14,4,)</f>
        <v>01North Puget Sound</v>
      </c>
      <c r="O206" s="107">
        <v>21.038772213247199</v>
      </c>
      <c r="P206" s="107">
        <v>33.009780290791603</v>
      </c>
      <c r="Q206" s="107">
        <f t="shared" si="19"/>
        <v>21.038772213247199</v>
      </c>
      <c r="R206" s="107">
        <f t="shared" si="20"/>
        <v>33.009780290791603</v>
      </c>
      <c r="S206" s="140" t="str">
        <f t="shared" si="21"/>
        <v>Y</v>
      </c>
      <c r="T206" s="154">
        <f t="shared" si="22"/>
        <v>1.5689974660216521</v>
      </c>
      <c r="U206" s="154">
        <f t="shared" si="23"/>
        <v>1.5689974660216521</v>
      </c>
    </row>
    <row r="207" spans="1:21" x14ac:dyDescent="0.35">
      <c r="A207" s="107">
        <v>1843</v>
      </c>
      <c r="B207" s="107">
        <v>2014</v>
      </c>
      <c r="C207" s="107" t="s">
        <v>9</v>
      </c>
      <c r="D207" s="107" t="s">
        <v>132</v>
      </c>
      <c r="E207" s="107" t="s">
        <v>10</v>
      </c>
      <c r="F207" s="115">
        <v>6</v>
      </c>
      <c r="G207" s="107" t="s">
        <v>28</v>
      </c>
      <c r="H207" s="107" t="str">
        <f t="shared" si="18"/>
        <v>Area 6: E Juan de Fuca</v>
      </c>
      <c r="I207" s="107" t="str">
        <f>IFERROR(VLOOKUP(H207,LUTs!$A$1:$C$73,2,FALSE),"NA")</f>
        <v>NA</v>
      </c>
      <c r="J207" s="107" t="str">
        <f>IFERROR(VLOOKUP(H207,LUTs!$A$1:$C$73,3,FALSE),"NA")</f>
        <v>0Strait of Juan de Fuca</v>
      </c>
      <c r="K207" s="107" t="s">
        <v>15</v>
      </c>
      <c r="L207" s="107" t="str">
        <f>VLOOKUP(K207,LUTs!E$2:G$14,3,)</f>
        <v>02Skagit</v>
      </c>
      <c r="M207" s="107" t="str">
        <f>VLOOKUP($K207,LUTs!$E$2:$H$14,2,)</f>
        <v>North Puget Sound</v>
      </c>
      <c r="N207" s="107" t="str">
        <f>VLOOKUP($K207,LUTs!$E$2:$H$14,4,)</f>
        <v>01North Puget Sound</v>
      </c>
      <c r="O207" s="107">
        <v>392.72374798061401</v>
      </c>
      <c r="P207" s="107">
        <v>616.18256542811002</v>
      </c>
      <c r="Q207" s="107">
        <f t="shared" si="19"/>
        <v>392.72374798061401</v>
      </c>
      <c r="R207" s="107">
        <f t="shared" si="20"/>
        <v>616.18256542811002</v>
      </c>
      <c r="S207" s="140" t="str">
        <f t="shared" si="21"/>
        <v>Y</v>
      </c>
      <c r="T207" s="154">
        <f t="shared" si="22"/>
        <v>1.5689974660216539</v>
      </c>
      <c r="U207" s="154">
        <f t="shared" si="23"/>
        <v>1.5689974660216539</v>
      </c>
    </row>
    <row r="208" spans="1:21" x14ac:dyDescent="0.35">
      <c r="A208" s="107">
        <v>1844</v>
      </c>
      <c r="B208" s="107">
        <v>2014</v>
      </c>
      <c r="C208" s="107" t="s">
        <v>9</v>
      </c>
      <c r="D208" s="107" t="s">
        <v>132</v>
      </c>
      <c r="E208" s="107" t="s">
        <v>10</v>
      </c>
      <c r="F208" s="115">
        <v>6</v>
      </c>
      <c r="G208" s="107" t="s">
        <v>28</v>
      </c>
      <c r="H208" s="107" t="str">
        <f t="shared" si="18"/>
        <v>Area 6: E Juan de Fuca</v>
      </c>
      <c r="I208" s="107" t="str">
        <f>IFERROR(VLOOKUP(H208,LUTs!$A$1:$C$73,2,FALSE),"NA")</f>
        <v>NA</v>
      </c>
      <c r="J208" s="107" t="str">
        <f>IFERROR(VLOOKUP(H208,LUTs!$A$1:$C$73,3,FALSE),"NA")</f>
        <v>0Strait of Juan de Fuca</v>
      </c>
      <c r="K208" s="107" t="s">
        <v>16</v>
      </c>
      <c r="L208" s="107" t="str">
        <f>VLOOKUP(K208,LUTs!E$2:G$14,3,)</f>
        <v>03Snohomish</v>
      </c>
      <c r="M208" s="107" t="str">
        <f>VLOOKUP($K208,LUTs!$E$2:$H$14,2,)</f>
        <v>North Puget Sound</v>
      </c>
      <c r="N208" s="107" t="str">
        <f>VLOOKUP($K208,LUTs!$E$2:$H$14,4,)</f>
        <v>01North Puget Sound</v>
      </c>
      <c r="O208" s="107">
        <v>462.85298869143799</v>
      </c>
      <c r="P208" s="107">
        <v>726.21516639741503</v>
      </c>
      <c r="Q208" s="107">
        <f t="shared" si="19"/>
        <v>462.85298869143799</v>
      </c>
      <c r="R208" s="107">
        <f t="shared" si="20"/>
        <v>726.21516639741503</v>
      </c>
      <c r="S208" s="140" t="str">
        <f t="shared" si="21"/>
        <v>Y</v>
      </c>
      <c r="T208" s="154">
        <f t="shared" si="22"/>
        <v>1.568997466021653</v>
      </c>
      <c r="U208" s="154">
        <f t="shared" si="23"/>
        <v>1.568997466021653</v>
      </c>
    </row>
    <row r="209" spans="1:21" x14ac:dyDescent="0.35">
      <c r="A209" s="107">
        <v>1990</v>
      </c>
      <c r="B209" s="107">
        <v>2014</v>
      </c>
      <c r="C209" s="107" t="s">
        <v>9</v>
      </c>
      <c r="D209" s="107" t="s">
        <v>132</v>
      </c>
      <c r="E209" s="107" t="s">
        <v>10</v>
      </c>
      <c r="F209" s="115">
        <v>6</v>
      </c>
      <c r="G209" s="107" t="s">
        <v>28</v>
      </c>
      <c r="H209" s="107" t="str">
        <f t="shared" si="18"/>
        <v>Area 6: E Juan de Fuca</v>
      </c>
      <c r="I209" s="107" t="str">
        <f>IFERROR(VLOOKUP(H209,LUTs!$A$1:$C$73,2,FALSE),"NA")</f>
        <v>NA</v>
      </c>
      <c r="J209" s="107" t="str">
        <f>IFERROR(VLOOKUP(H209,LUTs!$A$1:$C$73,3,FALSE),"NA")</f>
        <v>0Strait of Juan de Fuca</v>
      </c>
      <c r="K209" s="107" t="s">
        <v>21</v>
      </c>
      <c r="L209" s="107" t="str">
        <f>VLOOKUP(K209,LUTs!E$2:G$14,3,)</f>
        <v>08Thurston</v>
      </c>
      <c r="M209" s="107" t="str">
        <f>VLOOKUP($K209,LUTs!$E$2:$H$14,2,)</f>
        <v>South Puget Sound</v>
      </c>
      <c r="N209" s="107" t="str">
        <f>VLOOKUP($K209,LUTs!$E$2:$H$14,4,)</f>
        <v>02South Puget Sound</v>
      </c>
      <c r="O209" s="107">
        <v>182.33602584814199</v>
      </c>
      <c r="P209" s="107">
        <v>286.08476252019398</v>
      </c>
      <c r="Q209" s="107">
        <f t="shared" si="19"/>
        <v>182.33602584814199</v>
      </c>
      <c r="R209" s="107">
        <f t="shared" si="20"/>
        <v>286.08476252019398</v>
      </c>
      <c r="S209" s="140" t="str">
        <f t="shared" si="21"/>
        <v>Y</v>
      </c>
      <c r="T209" s="154">
        <f t="shared" si="22"/>
        <v>1.5689974660216561</v>
      </c>
      <c r="U209" s="154">
        <f t="shared" si="23"/>
        <v>1.5689974660216561</v>
      </c>
    </row>
    <row r="210" spans="1:21" x14ac:dyDescent="0.35">
      <c r="A210" s="107">
        <v>1842</v>
      </c>
      <c r="B210" s="107">
        <v>2014</v>
      </c>
      <c r="C210" s="107" t="s">
        <v>9</v>
      </c>
      <c r="D210" s="107" t="s">
        <v>132</v>
      </c>
      <c r="E210" s="107" t="s">
        <v>10</v>
      </c>
      <c r="F210" s="115">
        <v>6</v>
      </c>
      <c r="G210" s="107" t="s">
        <v>28</v>
      </c>
      <c r="H210" s="107" t="str">
        <f t="shared" si="18"/>
        <v>Area 6: E Juan de Fuca</v>
      </c>
      <c r="I210" s="107" t="str">
        <f>IFERROR(VLOOKUP(H210,LUTs!$A$1:$C$73,2,FALSE),"NA")</f>
        <v>NA</v>
      </c>
      <c r="J210" s="107" t="str">
        <f>IFERROR(VLOOKUP(H210,LUTs!$A$1:$C$73,3,FALSE),"NA")</f>
        <v>0Strait of Juan de Fuca</v>
      </c>
      <c r="K210" s="107" t="s">
        <v>13</v>
      </c>
      <c r="L210" s="107" t="str">
        <f>VLOOKUP(K210,LUTs!E$2:G$14,3,)</f>
        <v>01Whatcom</v>
      </c>
      <c r="M210" s="107" t="str">
        <f>VLOOKUP($K210,LUTs!$E$2:$H$14,2,)</f>
        <v>North Puget Sound</v>
      </c>
      <c r="N210" s="107" t="str">
        <f>VLOOKUP($K210,LUTs!$E$2:$H$14,4,)</f>
        <v>01North Puget Sound</v>
      </c>
      <c r="O210" s="107">
        <v>63.116316639741498</v>
      </c>
      <c r="P210" s="107">
        <v>99.029340872374803</v>
      </c>
      <c r="Q210" s="107">
        <f t="shared" si="19"/>
        <v>63.116316639741498</v>
      </c>
      <c r="R210" s="107">
        <f t="shared" si="20"/>
        <v>99.029340872374803</v>
      </c>
      <c r="S210" s="140" t="str">
        <f t="shared" si="21"/>
        <v>Y</v>
      </c>
      <c r="T210" s="154">
        <f t="shared" si="22"/>
        <v>1.5689974660216546</v>
      </c>
      <c r="U210" s="154">
        <f t="shared" si="23"/>
        <v>1.5689974660216546</v>
      </c>
    </row>
    <row r="211" spans="1:21" x14ac:dyDescent="0.35">
      <c r="A211" s="107">
        <v>2281</v>
      </c>
      <c r="B211" s="107">
        <v>2015</v>
      </c>
      <c r="C211" s="107" t="s">
        <v>9</v>
      </c>
      <c r="D211" s="107" t="s">
        <v>132</v>
      </c>
      <c r="E211" s="107" t="s">
        <v>10</v>
      </c>
      <c r="F211" s="115">
        <v>6</v>
      </c>
      <c r="G211" s="107" t="s">
        <v>28</v>
      </c>
      <c r="H211" s="107" t="str">
        <f t="shared" si="18"/>
        <v>Area 6: E Juan de Fuca</v>
      </c>
      <c r="I211" s="107" t="str">
        <f>IFERROR(VLOOKUP(H211,LUTs!$A$1:$C$73,2,FALSE),"NA")</f>
        <v>NA</v>
      </c>
      <c r="J211" s="107" t="str">
        <f>IFERROR(VLOOKUP(H211,LUTs!$A$1:$C$73,3,FALSE),"NA")</f>
        <v>0Strait of Juan de Fuca</v>
      </c>
      <c r="K211" s="107" t="s">
        <v>24</v>
      </c>
      <c r="L211" s="107" t="str">
        <f>VLOOKUP(K211,LUTs!E$2:G$14,3,)</f>
        <v>11Clallam</v>
      </c>
      <c r="M211" s="107" t="str">
        <f>VLOOKUP($K211,LUTs!$E$2:$H$14,2,)</f>
        <v>Strait of Juan de Fuca</v>
      </c>
      <c r="N211" s="107" t="str">
        <f>VLOOKUP($K211,LUTs!$E$2:$H$14,4,)</f>
        <v>03Strait of Juan de Fuca</v>
      </c>
      <c r="O211" s="107">
        <v>21490.199560088</v>
      </c>
      <c r="P211" s="107">
        <v>20448.6982123575</v>
      </c>
      <c r="Q211" s="107">
        <f t="shared" si="19"/>
        <v>21490.199560088</v>
      </c>
      <c r="R211" s="107">
        <f t="shared" si="20"/>
        <v>20448.6982123575</v>
      </c>
      <c r="S211" s="140" t="str">
        <f t="shared" si="21"/>
        <v>Y</v>
      </c>
      <c r="T211" s="154">
        <f t="shared" si="22"/>
        <v>0.95153598528397121</v>
      </c>
      <c r="U211" s="154">
        <f t="shared" si="23"/>
        <v>0.95153598528397121</v>
      </c>
    </row>
    <row r="212" spans="1:21" x14ac:dyDescent="0.35">
      <c r="A212" s="107">
        <v>2265</v>
      </c>
      <c r="B212" s="107">
        <v>2015</v>
      </c>
      <c r="C212" s="107" t="s">
        <v>9</v>
      </c>
      <c r="D212" s="107" t="s">
        <v>132</v>
      </c>
      <c r="E212" s="107" t="s">
        <v>10</v>
      </c>
      <c r="F212" s="115">
        <v>6</v>
      </c>
      <c r="G212" s="107" t="s">
        <v>28</v>
      </c>
      <c r="H212" s="107" t="str">
        <f t="shared" si="18"/>
        <v>Area 6: E Juan de Fuca</v>
      </c>
      <c r="I212" s="107" t="str">
        <f>IFERROR(VLOOKUP(H212,LUTs!$A$1:$C$73,2,FALSE),"NA")</f>
        <v>NA</v>
      </c>
      <c r="J212" s="107" t="str">
        <f>IFERROR(VLOOKUP(H212,LUTs!$A$1:$C$73,3,FALSE),"NA")</f>
        <v>0Strait of Juan de Fuca</v>
      </c>
      <c r="K212" s="107" t="s">
        <v>17</v>
      </c>
      <c r="L212" s="107" t="str">
        <f>VLOOKUP(K212,LUTs!E$2:G$14,3,)</f>
        <v>04Island</v>
      </c>
      <c r="M212" s="107" t="str">
        <f>VLOOKUP($K212,LUTs!$E$2:$H$14,2,)</f>
        <v>North Puget Sound</v>
      </c>
      <c r="N212" s="107" t="str">
        <f>VLOOKUP($K212,LUTs!$E$2:$H$14,4,)</f>
        <v>01North Puget Sound</v>
      </c>
      <c r="O212" s="107">
        <v>2567.1361727654498</v>
      </c>
      <c r="P212" s="107">
        <v>2442.7224475104999</v>
      </c>
      <c r="Q212" s="107">
        <f t="shared" si="19"/>
        <v>2567.1361727654498</v>
      </c>
      <c r="R212" s="107">
        <f t="shared" si="20"/>
        <v>2442.7224475104999</v>
      </c>
      <c r="S212" s="140" t="str">
        <f t="shared" si="21"/>
        <v>Y</v>
      </c>
      <c r="T212" s="154">
        <f t="shared" si="22"/>
        <v>0.95153598528397298</v>
      </c>
      <c r="U212" s="154">
        <f t="shared" si="23"/>
        <v>0.95153598528397298</v>
      </c>
    </row>
    <row r="213" spans="1:21" x14ac:dyDescent="0.35">
      <c r="A213" s="107">
        <v>2282</v>
      </c>
      <c r="B213" s="107">
        <v>2015</v>
      </c>
      <c r="C213" s="107" t="s">
        <v>9</v>
      </c>
      <c r="D213" s="107" t="s">
        <v>132</v>
      </c>
      <c r="E213" s="107" t="s">
        <v>10</v>
      </c>
      <c r="F213" s="115">
        <v>6</v>
      </c>
      <c r="G213" s="107" t="s">
        <v>28</v>
      </c>
      <c r="H213" s="107" t="str">
        <f t="shared" si="18"/>
        <v>Area 6: E Juan de Fuca</v>
      </c>
      <c r="I213" s="107" t="str">
        <f>IFERROR(VLOOKUP(H213,LUTs!$A$1:$C$73,2,FALSE),"NA")</f>
        <v>NA</v>
      </c>
      <c r="J213" s="107" t="str">
        <f>IFERROR(VLOOKUP(H213,LUTs!$A$1:$C$73,3,FALSE),"NA")</f>
        <v>0Strait of Juan de Fuca</v>
      </c>
      <c r="K213" s="107" t="s">
        <v>25</v>
      </c>
      <c r="L213" s="107" t="str">
        <f>VLOOKUP(K213,LUTs!E$2:G$14,3,)</f>
        <v>12Jefferson</v>
      </c>
      <c r="M213" s="107" t="str">
        <f>VLOOKUP($K213,LUTs!$E$2:$H$14,2,)</f>
        <v>Strait of Juan de Fuca</v>
      </c>
      <c r="N213" s="107" t="str">
        <f>VLOOKUP($K213,LUTs!$E$2:$H$14,4,)</f>
        <v>03Strait of Juan de Fuca</v>
      </c>
      <c r="O213" s="107">
        <v>1391.4017196560701</v>
      </c>
      <c r="P213" s="107">
        <v>1323.9688062387499</v>
      </c>
      <c r="Q213" s="107">
        <f t="shared" si="19"/>
        <v>1391.4017196560701</v>
      </c>
      <c r="R213" s="107">
        <f t="shared" si="20"/>
        <v>1323.9688062387499</v>
      </c>
      <c r="S213" s="140" t="str">
        <f t="shared" si="21"/>
        <v>Y</v>
      </c>
      <c r="T213" s="154">
        <f t="shared" si="22"/>
        <v>0.95153598528397076</v>
      </c>
      <c r="U213" s="154">
        <f t="shared" si="23"/>
        <v>0.95153598528397076</v>
      </c>
    </row>
    <row r="214" spans="1:21" x14ac:dyDescent="0.35">
      <c r="A214" s="107">
        <v>2267</v>
      </c>
      <c r="B214" s="107">
        <v>2015</v>
      </c>
      <c r="C214" s="107" t="s">
        <v>9</v>
      </c>
      <c r="D214" s="107" t="s">
        <v>132</v>
      </c>
      <c r="E214" s="107" t="s">
        <v>10</v>
      </c>
      <c r="F214" s="115">
        <v>6</v>
      </c>
      <c r="G214" s="107" t="s">
        <v>28</v>
      </c>
      <c r="H214" s="107" t="str">
        <f t="shared" si="18"/>
        <v>Area 6: E Juan de Fuca</v>
      </c>
      <c r="I214" s="107" t="str">
        <f>IFERROR(VLOOKUP(H214,LUTs!$A$1:$C$73,2,FALSE),"NA")</f>
        <v>NA</v>
      </c>
      <c r="J214" s="107" t="str">
        <f>IFERROR(VLOOKUP(H214,LUTs!$A$1:$C$73,3,FALSE),"NA")</f>
        <v>0Strait of Juan de Fuca</v>
      </c>
      <c r="K214" s="107" t="s">
        <v>18</v>
      </c>
      <c r="L214" s="107" t="str">
        <f>VLOOKUP(K214,LUTs!E$2:G$14,3,)</f>
        <v>06King</v>
      </c>
      <c r="M214" s="107" t="str">
        <f>VLOOKUP($K214,LUTs!$E$2:$H$14,2,)</f>
        <v>South Puget Sound</v>
      </c>
      <c r="N214" s="107" t="str">
        <f>VLOOKUP($K214,LUTs!$E$2:$H$14,4,)</f>
        <v>02South Puget Sound</v>
      </c>
      <c r="O214" s="107">
        <v>1614.02599480104</v>
      </c>
      <c r="P214" s="107">
        <v>1535.80381523695</v>
      </c>
      <c r="Q214" s="107">
        <f t="shared" si="19"/>
        <v>1614.02599480104</v>
      </c>
      <c r="R214" s="107">
        <f t="shared" si="20"/>
        <v>1535.80381523695</v>
      </c>
      <c r="S214" s="140" t="str">
        <f t="shared" si="21"/>
        <v>Y</v>
      </c>
      <c r="T214" s="154">
        <f t="shared" si="22"/>
        <v>0.95153598528397154</v>
      </c>
      <c r="U214" s="154">
        <f t="shared" si="23"/>
        <v>0.95153598528397154</v>
      </c>
    </row>
    <row r="215" spans="1:21" x14ac:dyDescent="0.35">
      <c r="A215" s="107">
        <v>2280</v>
      </c>
      <c r="B215" s="107">
        <v>2015</v>
      </c>
      <c r="C215" s="107" t="s">
        <v>9</v>
      </c>
      <c r="D215" s="107" t="s">
        <v>132</v>
      </c>
      <c r="E215" s="107" t="s">
        <v>10</v>
      </c>
      <c r="F215" s="115">
        <v>6</v>
      </c>
      <c r="G215" s="107" t="s">
        <v>28</v>
      </c>
      <c r="H215" s="107" t="str">
        <f t="shared" si="18"/>
        <v>Area 6: E Juan de Fuca</v>
      </c>
      <c r="I215" s="107" t="str">
        <f>IFERROR(VLOOKUP(H215,LUTs!$A$1:$C$73,2,FALSE),"NA")</f>
        <v>NA</v>
      </c>
      <c r="J215" s="107" t="str">
        <f>IFERROR(VLOOKUP(H215,LUTs!$A$1:$C$73,3,FALSE),"NA")</f>
        <v>0Strait of Juan de Fuca</v>
      </c>
      <c r="K215" s="107" t="s">
        <v>23</v>
      </c>
      <c r="L215" s="107" t="str">
        <f>VLOOKUP(K215,LUTs!E$2:G$14,3,)</f>
        <v>10Kitsap</v>
      </c>
      <c r="M215" s="107" t="str">
        <f>VLOOKUP($K215,LUTs!$E$2:$H$14,2,)</f>
        <v>South Puget Sound</v>
      </c>
      <c r="N215" s="107" t="str">
        <f>VLOOKUP($K215,LUTs!$E$2:$H$14,4,)</f>
        <v>02South Puget Sound</v>
      </c>
      <c r="O215" s="107">
        <v>1711.42411517696</v>
      </c>
      <c r="P215" s="107">
        <v>1628.4816316736701</v>
      </c>
      <c r="Q215" s="107">
        <f t="shared" si="19"/>
        <v>1711.42411517696</v>
      </c>
      <c r="R215" s="107">
        <f t="shared" si="20"/>
        <v>1628.4816316736701</v>
      </c>
      <c r="S215" s="140" t="str">
        <f t="shared" si="21"/>
        <v>Y</v>
      </c>
      <c r="T215" s="154">
        <f t="shared" si="22"/>
        <v>0.95153598528397876</v>
      </c>
      <c r="U215" s="154">
        <f t="shared" si="23"/>
        <v>0.95153598528397876</v>
      </c>
    </row>
    <row r="216" spans="1:21" x14ac:dyDescent="0.35">
      <c r="A216" s="107">
        <v>2279</v>
      </c>
      <c r="B216" s="107">
        <v>2015</v>
      </c>
      <c r="C216" s="107" t="s">
        <v>9</v>
      </c>
      <c r="D216" s="107" t="s">
        <v>132</v>
      </c>
      <c r="E216" s="107" t="s">
        <v>10</v>
      </c>
      <c r="F216" s="115">
        <v>6</v>
      </c>
      <c r="G216" s="107" t="s">
        <v>28</v>
      </c>
      <c r="H216" s="107" t="str">
        <f t="shared" si="18"/>
        <v>Area 6: E Juan de Fuca</v>
      </c>
      <c r="I216" s="107" t="str">
        <f>IFERROR(VLOOKUP(H216,LUTs!$A$1:$C$73,2,FALSE),"NA")</f>
        <v>NA</v>
      </c>
      <c r="J216" s="107" t="str">
        <f>IFERROR(VLOOKUP(H216,LUTs!$A$1:$C$73,3,FALSE),"NA")</f>
        <v>0Strait of Juan de Fuca</v>
      </c>
      <c r="K216" s="107" t="s">
        <v>22</v>
      </c>
      <c r="L216" s="107" t="str">
        <f>VLOOKUP(K216,LUTs!E$2:G$14,3,)</f>
        <v>09Mason</v>
      </c>
      <c r="M216" s="107" t="str">
        <f>VLOOKUP($K216,LUTs!$E$2:$H$14,2,)</f>
        <v>South Puget Sound</v>
      </c>
      <c r="N216" s="107" t="str">
        <f>VLOOKUP($K216,LUTs!$E$2:$H$14,4,)</f>
        <v>02South Puget Sound</v>
      </c>
      <c r="O216" s="107">
        <v>153.054189162168</v>
      </c>
      <c r="P216" s="107">
        <v>145.63656868626299</v>
      </c>
      <c r="Q216" s="107">
        <f t="shared" si="19"/>
        <v>153.054189162168</v>
      </c>
      <c r="R216" s="107">
        <f t="shared" si="20"/>
        <v>145.63656868626299</v>
      </c>
      <c r="S216" s="140" t="str">
        <f t="shared" si="21"/>
        <v>Y</v>
      </c>
      <c r="T216" s="154">
        <f t="shared" si="22"/>
        <v>0.95153598528397221</v>
      </c>
      <c r="U216" s="154">
        <f t="shared" si="23"/>
        <v>0.95153598528397221</v>
      </c>
    </row>
    <row r="217" spans="1:21" x14ac:dyDescent="0.35">
      <c r="A217" s="107">
        <v>2283</v>
      </c>
      <c r="B217" s="107">
        <v>2015</v>
      </c>
      <c r="C217" s="107" t="s">
        <v>9</v>
      </c>
      <c r="D217" s="107" t="s">
        <v>132</v>
      </c>
      <c r="E217" s="107" t="s">
        <v>10</v>
      </c>
      <c r="F217" s="115">
        <v>6</v>
      </c>
      <c r="G217" s="107" t="s">
        <v>28</v>
      </c>
      <c r="H217" s="107" t="str">
        <f t="shared" si="18"/>
        <v>Area 6: E Juan de Fuca</v>
      </c>
      <c r="I217" s="107" t="str">
        <f>IFERROR(VLOOKUP(H217,LUTs!$A$1:$C$73,2,FALSE),"NA")</f>
        <v>NA</v>
      </c>
      <c r="J217" s="107" t="str">
        <f>IFERROR(VLOOKUP(H217,LUTs!$A$1:$C$73,3,FALSE),"NA")</f>
        <v>0Strait of Juan de Fuca</v>
      </c>
      <c r="K217" s="107" t="s">
        <v>26</v>
      </c>
      <c r="L217" s="107" t="str">
        <f>VLOOKUP(K217,LUTs!E$2:G$14,3,)</f>
        <v>20Other</v>
      </c>
      <c r="M217" s="107" t="str">
        <f>VLOOKUP($K217,LUTs!$E$2:$H$14,2,)</f>
        <v>Non Puget Sound</v>
      </c>
      <c r="N217" s="107" t="str">
        <f>VLOOKUP($K217,LUTs!$E$2:$H$14,4,)</f>
        <v>07Non Puget Sound</v>
      </c>
      <c r="O217" s="107">
        <v>2921.9436112777398</v>
      </c>
      <c r="P217" s="107">
        <v>2780.3344931013798</v>
      </c>
      <c r="Q217" s="107">
        <f t="shared" si="19"/>
        <v>2921.9436112777398</v>
      </c>
      <c r="R217" s="107">
        <f t="shared" si="20"/>
        <v>2780.3344931013798</v>
      </c>
      <c r="S217" s="140" t="str">
        <f t="shared" si="21"/>
        <v>Y</v>
      </c>
      <c r="T217" s="154">
        <f t="shared" si="22"/>
        <v>0.95153598528397487</v>
      </c>
      <c r="U217" s="154">
        <f t="shared" si="23"/>
        <v>0.95153598528397487</v>
      </c>
    </row>
    <row r="218" spans="1:21" x14ac:dyDescent="0.35">
      <c r="A218" s="107">
        <v>2268</v>
      </c>
      <c r="B218" s="107">
        <v>2015</v>
      </c>
      <c r="C218" s="107" t="s">
        <v>9</v>
      </c>
      <c r="D218" s="107" t="s">
        <v>132</v>
      </c>
      <c r="E218" s="107" t="s">
        <v>10</v>
      </c>
      <c r="F218" s="115">
        <v>6</v>
      </c>
      <c r="G218" s="107" t="s">
        <v>28</v>
      </c>
      <c r="H218" s="107" t="str">
        <f t="shared" si="18"/>
        <v>Area 6: E Juan de Fuca</v>
      </c>
      <c r="I218" s="107" t="str">
        <f>IFERROR(VLOOKUP(H218,LUTs!$A$1:$C$73,2,FALSE),"NA")</f>
        <v>NA</v>
      </c>
      <c r="J218" s="107" t="str">
        <f>IFERROR(VLOOKUP(H218,LUTs!$A$1:$C$73,3,FALSE),"NA")</f>
        <v>0Strait of Juan de Fuca</v>
      </c>
      <c r="K218" s="107" t="s">
        <v>20</v>
      </c>
      <c r="L218" s="107" t="str">
        <f>VLOOKUP(K218,LUTs!E$2:G$14,3,)</f>
        <v>07Pierce</v>
      </c>
      <c r="M218" s="107" t="str">
        <f>VLOOKUP($K218,LUTs!$E$2:$H$14,2,)</f>
        <v>South Puget Sound</v>
      </c>
      <c r="N218" s="107" t="str">
        <f>VLOOKUP($K218,LUTs!$E$2:$H$14,4,)</f>
        <v>02South Puget Sound</v>
      </c>
      <c r="O218" s="107">
        <v>1113.1213757248599</v>
      </c>
      <c r="P218" s="107">
        <v>1059.175044991</v>
      </c>
      <c r="Q218" s="107">
        <f t="shared" si="19"/>
        <v>1113.1213757248599</v>
      </c>
      <c r="R218" s="107">
        <f t="shared" si="20"/>
        <v>1059.175044991</v>
      </c>
      <c r="S218" s="140" t="str">
        <f t="shared" si="21"/>
        <v>Y</v>
      </c>
      <c r="T218" s="154">
        <f t="shared" si="22"/>
        <v>0.95153598528396754</v>
      </c>
      <c r="U218" s="154">
        <f t="shared" si="23"/>
        <v>0.95153598528396754</v>
      </c>
    </row>
    <row r="219" spans="1:21" x14ac:dyDescent="0.35">
      <c r="A219" s="107">
        <v>2266</v>
      </c>
      <c r="B219" s="107">
        <v>2015</v>
      </c>
      <c r="C219" s="107" t="s">
        <v>9</v>
      </c>
      <c r="D219" s="107" t="s">
        <v>132</v>
      </c>
      <c r="E219" s="107" t="s">
        <v>10</v>
      </c>
      <c r="F219" s="115">
        <v>6</v>
      </c>
      <c r="G219" s="107" t="s">
        <v>28</v>
      </c>
      <c r="H219" s="107" t="str">
        <f t="shared" si="18"/>
        <v>Area 6: E Juan de Fuca</v>
      </c>
      <c r="I219" s="107" t="str">
        <f>IFERROR(VLOOKUP(H219,LUTs!$A$1:$C$73,2,FALSE),"NA")</f>
        <v>NA</v>
      </c>
      <c r="J219" s="107" t="str">
        <f>IFERROR(VLOOKUP(H219,LUTs!$A$1:$C$73,3,FALSE),"NA")</f>
        <v>0Strait of Juan de Fuca</v>
      </c>
      <c r="K219" s="107" t="s">
        <v>30</v>
      </c>
      <c r="L219" s="107" t="str">
        <f>VLOOKUP(K219,LUTs!E$2:G$14,3,)</f>
        <v>05San Juan</v>
      </c>
      <c r="M219" s="107" t="str">
        <f>VLOOKUP($K219,LUTs!$E$2:$H$14,2,)</f>
        <v>North Puget Sound</v>
      </c>
      <c r="N219" s="107" t="str">
        <f>VLOOKUP($K219,LUTs!$E$2:$H$14,4,)</f>
        <v>01North Puget Sound</v>
      </c>
      <c r="O219" s="107">
        <v>13.9140171965607</v>
      </c>
      <c r="P219" s="107">
        <v>13.239688062387501</v>
      </c>
      <c r="Q219" s="107">
        <f t="shared" si="19"/>
        <v>13.9140171965607</v>
      </c>
      <c r="R219" s="107">
        <f t="shared" si="20"/>
        <v>13.239688062387501</v>
      </c>
      <c r="S219" s="140" t="str">
        <f t="shared" si="21"/>
        <v>Y</v>
      </c>
      <c r="T219" s="154">
        <f t="shared" si="22"/>
        <v>0.95153598528397099</v>
      </c>
      <c r="U219" s="154">
        <f t="shared" si="23"/>
        <v>0.95153598528397099</v>
      </c>
    </row>
    <row r="220" spans="1:21" x14ac:dyDescent="0.35">
      <c r="A220" s="107">
        <v>2263</v>
      </c>
      <c r="B220" s="107">
        <v>2015</v>
      </c>
      <c r="C220" s="107" t="s">
        <v>9</v>
      </c>
      <c r="D220" s="107" t="s">
        <v>132</v>
      </c>
      <c r="E220" s="107" t="s">
        <v>10</v>
      </c>
      <c r="F220" s="115">
        <v>6</v>
      </c>
      <c r="G220" s="107" t="s">
        <v>28</v>
      </c>
      <c r="H220" s="107" t="str">
        <f t="shared" si="18"/>
        <v>Area 6: E Juan de Fuca</v>
      </c>
      <c r="I220" s="107" t="str">
        <f>IFERROR(VLOOKUP(H220,LUTs!$A$1:$C$73,2,FALSE),"NA")</f>
        <v>NA</v>
      </c>
      <c r="J220" s="107" t="str">
        <f>IFERROR(VLOOKUP(H220,LUTs!$A$1:$C$73,3,FALSE),"NA")</f>
        <v>0Strait of Juan de Fuca</v>
      </c>
      <c r="K220" s="107" t="s">
        <v>15</v>
      </c>
      <c r="L220" s="107" t="str">
        <f>VLOOKUP(K220,LUTs!E$2:G$14,3,)</f>
        <v>02Skagit</v>
      </c>
      <c r="M220" s="107" t="str">
        <f>VLOOKUP($K220,LUTs!$E$2:$H$14,2,)</f>
        <v>North Puget Sound</v>
      </c>
      <c r="N220" s="107" t="str">
        <f>VLOOKUP($K220,LUTs!$E$2:$H$14,4,)</f>
        <v>01North Puget Sound</v>
      </c>
      <c r="O220" s="107">
        <v>1036.5942811437701</v>
      </c>
      <c r="P220" s="107">
        <v>986.35676064787106</v>
      </c>
      <c r="Q220" s="107">
        <f t="shared" si="19"/>
        <v>1036.5942811437701</v>
      </c>
      <c r="R220" s="107">
        <f t="shared" si="20"/>
        <v>986.35676064787106</v>
      </c>
      <c r="S220" s="140" t="str">
        <f t="shared" si="21"/>
        <v>Y</v>
      </c>
      <c r="T220" s="154">
        <f t="shared" si="22"/>
        <v>0.95153598528397498</v>
      </c>
      <c r="U220" s="154">
        <f t="shared" si="23"/>
        <v>0.95153598528397498</v>
      </c>
    </row>
    <row r="221" spans="1:21" x14ac:dyDescent="0.35">
      <c r="A221" s="107">
        <v>2264</v>
      </c>
      <c r="B221" s="107">
        <v>2015</v>
      </c>
      <c r="C221" s="107" t="s">
        <v>9</v>
      </c>
      <c r="D221" s="107" t="s">
        <v>132</v>
      </c>
      <c r="E221" s="107" t="s">
        <v>10</v>
      </c>
      <c r="F221" s="115">
        <v>6</v>
      </c>
      <c r="G221" s="107" t="s">
        <v>28</v>
      </c>
      <c r="H221" s="107" t="str">
        <f t="shared" si="18"/>
        <v>Area 6: E Juan de Fuca</v>
      </c>
      <c r="I221" s="107" t="str">
        <f>IFERROR(VLOOKUP(H221,LUTs!$A$1:$C$73,2,FALSE),"NA")</f>
        <v>NA</v>
      </c>
      <c r="J221" s="107" t="str">
        <f>IFERROR(VLOOKUP(H221,LUTs!$A$1:$C$73,3,FALSE),"NA")</f>
        <v>0Strait of Juan de Fuca</v>
      </c>
      <c r="K221" s="107" t="s">
        <v>16</v>
      </c>
      <c r="L221" s="107" t="str">
        <f>VLOOKUP(K221,LUTs!E$2:G$14,3,)</f>
        <v>03Snohomish</v>
      </c>
      <c r="M221" s="107" t="str">
        <f>VLOOKUP($K221,LUTs!$E$2:$H$14,2,)</f>
        <v>North Puget Sound</v>
      </c>
      <c r="N221" s="107" t="str">
        <f>VLOOKUP($K221,LUTs!$E$2:$H$14,4,)</f>
        <v>01North Puget Sound</v>
      </c>
      <c r="O221" s="107">
        <v>549.60367926414699</v>
      </c>
      <c r="P221" s="107">
        <v>522.96767846430703</v>
      </c>
      <c r="Q221" s="107">
        <f t="shared" si="19"/>
        <v>549.60367926414699</v>
      </c>
      <c r="R221" s="107">
        <f t="shared" si="20"/>
        <v>522.96767846430703</v>
      </c>
      <c r="S221" s="140" t="str">
        <f t="shared" si="21"/>
        <v>Y</v>
      </c>
      <c r="T221" s="154">
        <f t="shared" si="22"/>
        <v>0.95153598528397343</v>
      </c>
      <c r="U221" s="154">
        <f t="shared" si="23"/>
        <v>0.95153598528397343</v>
      </c>
    </row>
    <row r="222" spans="1:21" x14ac:dyDescent="0.35">
      <c r="A222" s="107">
        <v>2269</v>
      </c>
      <c r="B222" s="107">
        <v>2015</v>
      </c>
      <c r="C222" s="107" t="s">
        <v>9</v>
      </c>
      <c r="D222" s="107" t="s">
        <v>132</v>
      </c>
      <c r="E222" s="107" t="s">
        <v>10</v>
      </c>
      <c r="F222" s="115">
        <v>6</v>
      </c>
      <c r="G222" s="107" t="s">
        <v>28</v>
      </c>
      <c r="H222" s="107" t="str">
        <f t="shared" si="18"/>
        <v>Area 6: E Juan de Fuca</v>
      </c>
      <c r="I222" s="107" t="str">
        <f>IFERROR(VLOOKUP(H222,LUTs!$A$1:$C$73,2,FALSE),"NA")</f>
        <v>NA</v>
      </c>
      <c r="J222" s="107" t="str">
        <f>IFERROR(VLOOKUP(H222,LUTs!$A$1:$C$73,3,FALSE),"NA")</f>
        <v>0Strait of Juan de Fuca</v>
      </c>
      <c r="K222" s="107" t="s">
        <v>21</v>
      </c>
      <c r="L222" s="107" t="str">
        <f>VLOOKUP(K222,LUTs!E$2:G$14,3,)</f>
        <v>08Thurston</v>
      </c>
      <c r="M222" s="107" t="str">
        <f>VLOOKUP($K222,LUTs!$E$2:$H$14,2,)</f>
        <v>South Puget Sound</v>
      </c>
      <c r="N222" s="107" t="str">
        <f>VLOOKUP($K222,LUTs!$E$2:$H$14,4,)</f>
        <v>02South Puget Sound</v>
      </c>
      <c r="O222" s="107">
        <v>194.79624075185001</v>
      </c>
      <c r="P222" s="107">
        <v>185.35563287342501</v>
      </c>
      <c r="Q222" s="107">
        <f t="shared" si="19"/>
        <v>194.79624075185001</v>
      </c>
      <c r="R222" s="107">
        <f t="shared" si="20"/>
        <v>185.35563287342501</v>
      </c>
      <c r="S222" s="140" t="str">
        <f t="shared" si="21"/>
        <v>Y</v>
      </c>
      <c r="T222" s="154">
        <f t="shared" si="22"/>
        <v>0.95153598528396988</v>
      </c>
      <c r="U222" s="154">
        <f t="shared" si="23"/>
        <v>0.95153598528396988</v>
      </c>
    </row>
    <row r="223" spans="1:21" x14ac:dyDescent="0.35">
      <c r="A223" s="107">
        <v>2143</v>
      </c>
      <c r="B223" s="107">
        <v>2015</v>
      </c>
      <c r="C223" s="107" t="s">
        <v>9</v>
      </c>
      <c r="D223" s="107" t="s">
        <v>132</v>
      </c>
      <c r="E223" s="107" t="s">
        <v>10</v>
      </c>
      <c r="F223" s="115">
        <v>6</v>
      </c>
      <c r="G223" s="107" t="s">
        <v>28</v>
      </c>
      <c r="H223" s="107" t="str">
        <f t="shared" si="18"/>
        <v>Area 6: E Juan de Fuca</v>
      </c>
      <c r="I223" s="107" t="str">
        <f>IFERROR(VLOOKUP(H223,LUTs!$A$1:$C$73,2,FALSE),"NA")</f>
        <v>NA</v>
      </c>
      <c r="J223" s="107" t="str">
        <f>IFERROR(VLOOKUP(H223,LUTs!$A$1:$C$73,3,FALSE),"NA")</f>
        <v>0Strait of Juan de Fuca</v>
      </c>
      <c r="K223" s="107" t="s">
        <v>13</v>
      </c>
      <c r="L223" s="107" t="str">
        <f>VLOOKUP(K223,LUTs!E$2:G$14,3,)</f>
        <v>01Whatcom</v>
      </c>
      <c r="M223" s="107" t="str">
        <f>VLOOKUP($K223,LUTs!$E$2:$H$14,2,)</f>
        <v>North Puget Sound</v>
      </c>
      <c r="N223" s="107" t="str">
        <f>VLOOKUP($K223,LUTs!$E$2:$H$14,4,)</f>
        <v>01North Puget Sound</v>
      </c>
      <c r="O223" s="107">
        <v>34.785042991401703</v>
      </c>
      <c r="P223" s="107">
        <v>33.099220155968801</v>
      </c>
      <c r="Q223" s="107">
        <f t="shared" si="19"/>
        <v>34.785042991401703</v>
      </c>
      <c r="R223" s="107">
        <f t="shared" si="20"/>
        <v>33.099220155968801</v>
      </c>
      <c r="S223" s="140" t="str">
        <f t="shared" si="21"/>
        <v>Y</v>
      </c>
      <c r="T223" s="154">
        <f t="shared" si="22"/>
        <v>0.95153598528397365</v>
      </c>
      <c r="U223" s="154">
        <f t="shared" si="23"/>
        <v>0.95153598528397365</v>
      </c>
    </row>
    <row r="224" spans="1:21" x14ac:dyDescent="0.35">
      <c r="A224" s="107">
        <v>2503</v>
      </c>
      <c r="B224" s="107">
        <v>2016</v>
      </c>
      <c r="C224" s="107" t="s">
        <v>9</v>
      </c>
      <c r="D224" s="107" t="s">
        <v>132</v>
      </c>
      <c r="E224" s="107" t="s">
        <v>10</v>
      </c>
      <c r="F224" s="115">
        <v>6</v>
      </c>
      <c r="G224" s="107" t="s">
        <v>28</v>
      </c>
      <c r="H224" s="107" t="str">
        <f t="shared" si="18"/>
        <v>Area 6: E Juan de Fuca</v>
      </c>
      <c r="I224" s="107" t="str">
        <f>IFERROR(VLOOKUP(H224,LUTs!$A$1:$C$73,2,FALSE),"NA")</f>
        <v>NA</v>
      </c>
      <c r="J224" s="107" t="str">
        <f>IFERROR(VLOOKUP(H224,LUTs!$A$1:$C$73,3,FALSE),"NA")</f>
        <v>0Strait of Juan de Fuca</v>
      </c>
      <c r="K224" s="107" t="s">
        <v>24</v>
      </c>
      <c r="L224" s="107" t="str">
        <f>VLOOKUP(K224,LUTs!E$2:G$14,3,)</f>
        <v>11Clallam</v>
      </c>
      <c r="M224" s="107" t="str">
        <f>VLOOKUP($K224,LUTs!$E$2:$H$14,2,)</f>
        <v>Strait of Juan de Fuca</v>
      </c>
      <c r="N224" s="107" t="str">
        <f>VLOOKUP($K224,LUTs!$E$2:$H$14,4,)</f>
        <v>03Strait of Juan de Fuca</v>
      </c>
      <c r="O224" s="107">
        <v>4756.05</v>
      </c>
      <c r="P224" s="107">
        <v>12392.731</v>
      </c>
      <c r="Q224" s="107">
        <f t="shared" si="19"/>
        <v>4756.05</v>
      </c>
      <c r="R224" s="107">
        <f t="shared" si="20"/>
        <v>12392.731</v>
      </c>
      <c r="S224" s="140" t="str">
        <f t="shared" si="21"/>
        <v>Y</v>
      </c>
      <c r="T224" s="154">
        <f t="shared" si="22"/>
        <v>2.6056771901052342</v>
      </c>
      <c r="U224" s="154">
        <f t="shared" si="23"/>
        <v>2.6056771901052342</v>
      </c>
    </row>
    <row r="225" spans="1:21" x14ac:dyDescent="0.35">
      <c r="A225" s="107">
        <v>2487</v>
      </c>
      <c r="B225" s="107">
        <v>2016</v>
      </c>
      <c r="C225" s="107" t="s">
        <v>9</v>
      </c>
      <c r="D225" s="107" t="s">
        <v>132</v>
      </c>
      <c r="E225" s="107" t="s">
        <v>10</v>
      </c>
      <c r="F225" s="115">
        <v>6</v>
      </c>
      <c r="G225" s="107" t="s">
        <v>28</v>
      </c>
      <c r="H225" s="107" t="str">
        <f t="shared" si="18"/>
        <v>Area 6: E Juan de Fuca</v>
      </c>
      <c r="I225" s="107" t="str">
        <f>IFERROR(VLOOKUP(H225,LUTs!$A$1:$C$73,2,FALSE),"NA")</f>
        <v>NA</v>
      </c>
      <c r="J225" s="107" t="str">
        <f>IFERROR(VLOOKUP(H225,LUTs!$A$1:$C$73,3,FALSE),"NA")</f>
        <v>0Strait of Juan de Fuca</v>
      </c>
      <c r="K225" s="107" t="s">
        <v>17</v>
      </c>
      <c r="L225" s="107" t="str">
        <f>VLOOKUP(K225,LUTs!E$2:G$14,3,)</f>
        <v>04Island</v>
      </c>
      <c r="M225" s="107" t="str">
        <f>VLOOKUP($K225,LUTs!$E$2:$H$14,2,)</f>
        <v>North Puget Sound</v>
      </c>
      <c r="N225" s="107" t="str">
        <f>VLOOKUP($K225,LUTs!$E$2:$H$14,4,)</f>
        <v>01North Puget Sound</v>
      </c>
      <c r="O225" s="107">
        <v>182.92500000000001</v>
      </c>
      <c r="P225" s="107">
        <v>476.64350000000002</v>
      </c>
      <c r="Q225" s="107">
        <f t="shared" si="19"/>
        <v>182.92500000000001</v>
      </c>
      <c r="R225" s="107">
        <f t="shared" si="20"/>
        <v>476.64350000000002</v>
      </c>
      <c r="S225" s="140" t="str">
        <f t="shared" si="21"/>
        <v>Y</v>
      </c>
      <c r="T225" s="154">
        <f t="shared" si="22"/>
        <v>2.6056771901052342</v>
      </c>
      <c r="U225" s="154">
        <f t="shared" si="23"/>
        <v>2.6056771901052342</v>
      </c>
    </row>
    <row r="226" spans="1:21" x14ac:dyDescent="0.35">
      <c r="A226" s="107">
        <v>2504</v>
      </c>
      <c r="B226" s="107">
        <v>2016</v>
      </c>
      <c r="C226" s="107" t="s">
        <v>9</v>
      </c>
      <c r="D226" s="107" t="s">
        <v>132</v>
      </c>
      <c r="E226" s="107" t="s">
        <v>10</v>
      </c>
      <c r="F226" s="115">
        <v>6</v>
      </c>
      <c r="G226" s="107" t="s">
        <v>28</v>
      </c>
      <c r="H226" s="107" t="str">
        <f t="shared" si="18"/>
        <v>Area 6: E Juan de Fuca</v>
      </c>
      <c r="I226" s="107" t="str">
        <f>IFERROR(VLOOKUP(H226,LUTs!$A$1:$C$73,2,FALSE),"NA")</f>
        <v>NA</v>
      </c>
      <c r="J226" s="107" t="str">
        <f>IFERROR(VLOOKUP(H226,LUTs!$A$1:$C$73,3,FALSE),"NA")</f>
        <v>0Strait of Juan de Fuca</v>
      </c>
      <c r="K226" s="107" t="s">
        <v>25</v>
      </c>
      <c r="L226" s="107" t="str">
        <f>VLOOKUP(K226,LUTs!E$2:G$14,3,)</f>
        <v>12Jefferson</v>
      </c>
      <c r="M226" s="107" t="str">
        <f>VLOOKUP($K226,LUTs!$E$2:$H$14,2,)</f>
        <v>Strait of Juan de Fuca</v>
      </c>
      <c r="N226" s="107" t="str">
        <f>VLOOKUP($K226,LUTs!$E$2:$H$14,4,)</f>
        <v>03Strait of Juan de Fuca</v>
      </c>
      <c r="O226" s="107">
        <v>323.63653846153898</v>
      </c>
      <c r="P226" s="107">
        <v>843.29234615384598</v>
      </c>
      <c r="Q226" s="107">
        <f t="shared" si="19"/>
        <v>323.63653846153898</v>
      </c>
      <c r="R226" s="107">
        <f t="shared" si="20"/>
        <v>843.29234615384598</v>
      </c>
      <c r="S226" s="140" t="str">
        <f t="shared" si="21"/>
        <v>Y</v>
      </c>
      <c r="T226" s="154">
        <f t="shared" si="22"/>
        <v>2.6056771901052298</v>
      </c>
      <c r="U226" s="154">
        <f t="shared" si="23"/>
        <v>2.6056771901052298</v>
      </c>
    </row>
    <row r="227" spans="1:21" x14ac:dyDescent="0.35">
      <c r="A227" s="107">
        <v>2488</v>
      </c>
      <c r="B227" s="107">
        <v>2016</v>
      </c>
      <c r="C227" s="107" t="s">
        <v>9</v>
      </c>
      <c r="D227" s="107" t="s">
        <v>132</v>
      </c>
      <c r="E227" s="107" t="s">
        <v>10</v>
      </c>
      <c r="F227" s="115">
        <v>6</v>
      </c>
      <c r="G227" s="107" t="s">
        <v>28</v>
      </c>
      <c r="H227" s="107" t="str">
        <f t="shared" si="18"/>
        <v>Area 6: E Juan de Fuca</v>
      </c>
      <c r="I227" s="107" t="str">
        <f>IFERROR(VLOOKUP(H227,LUTs!$A$1:$C$73,2,FALSE),"NA")</f>
        <v>NA</v>
      </c>
      <c r="J227" s="107" t="str">
        <f>IFERROR(VLOOKUP(H227,LUTs!$A$1:$C$73,3,FALSE),"NA")</f>
        <v>0Strait of Juan de Fuca</v>
      </c>
      <c r="K227" s="107" t="s">
        <v>18</v>
      </c>
      <c r="L227" s="107" t="str">
        <f>VLOOKUP(K227,LUTs!E$2:G$14,3,)</f>
        <v>06King</v>
      </c>
      <c r="M227" s="107" t="str">
        <f>VLOOKUP($K227,LUTs!$E$2:$H$14,2,)</f>
        <v>South Puget Sound</v>
      </c>
      <c r="N227" s="107" t="str">
        <f>VLOOKUP($K227,LUTs!$E$2:$H$14,4,)</f>
        <v>02South Puget Sound</v>
      </c>
      <c r="O227" s="107">
        <v>182.92500000000001</v>
      </c>
      <c r="P227" s="107">
        <v>476.64350000000002</v>
      </c>
      <c r="Q227" s="107">
        <f t="shared" si="19"/>
        <v>182.92500000000001</v>
      </c>
      <c r="R227" s="107">
        <f t="shared" si="20"/>
        <v>476.64350000000002</v>
      </c>
      <c r="S227" s="140" t="str">
        <f t="shared" si="21"/>
        <v>Y</v>
      </c>
      <c r="T227" s="154">
        <f t="shared" si="22"/>
        <v>2.6056771901052342</v>
      </c>
      <c r="U227" s="154">
        <f t="shared" si="23"/>
        <v>2.6056771901052342</v>
      </c>
    </row>
    <row r="228" spans="1:21" x14ac:dyDescent="0.35">
      <c r="A228" s="107">
        <v>2492</v>
      </c>
      <c r="B228" s="107">
        <v>2016</v>
      </c>
      <c r="C228" s="107" t="s">
        <v>9</v>
      </c>
      <c r="D228" s="107" t="s">
        <v>132</v>
      </c>
      <c r="E228" s="107" t="s">
        <v>10</v>
      </c>
      <c r="F228" s="115">
        <v>6</v>
      </c>
      <c r="G228" s="107" t="s">
        <v>28</v>
      </c>
      <c r="H228" s="107" t="str">
        <f t="shared" si="18"/>
        <v>Area 6: E Juan de Fuca</v>
      </c>
      <c r="I228" s="107" t="str">
        <f>IFERROR(VLOOKUP(H228,LUTs!$A$1:$C$73,2,FALSE),"NA")</f>
        <v>NA</v>
      </c>
      <c r="J228" s="107" t="str">
        <f>IFERROR(VLOOKUP(H228,LUTs!$A$1:$C$73,3,FALSE),"NA")</f>
        <v>0Strait of Juan de Fuca</v>
      </c>
      <c r="K228" s="107" t="s">
        <v>23</v>
      </c>
      <c r="L228" s="107" t="str">
        <f>VLOOKUP(K228,LUTs!E$2:G$14,3,)</f>
        <v>10Kitsap</v>
      </c>
      <c r="M228" s="107" t="str">
        <f>VLOOKUP($K228,LUTs!$E$2:$H$14,2,)</f>
        <v>South Puget Sound</v>
      </c>
      <c r="N228" s="107" t="str">
        <f>VLOOKUP($K228,LUTs!$E$2:$H$14,4,)</f>
        <v>02South Puget Sound</v>
      </c>
      <c r="O228" s="107">
        <v>168.85384615384601</v>
      </c>
      <c r="P228" s="107">
        <v>439.97861538461501</v>
      </c>
      <c r="Q228" s="107">
        <f t="shared" si="19"/>
        <v>168.85384615384601</v>
      </c>
      <c r="R228" s="107">
        <f t="shared" si="20"/>
        <v>439.97861538461501</v>
      </c>
      <c r="S228" s="140" t="str">
        <f t="shared" si="21"/>
        <v>Y</v>
      </c>
      <c r="T228" s="154">
        <f t="shared" si="22"/>
        <v>2.6056771901052342</v>
      </c>
      <c r="U228" s="154">
        <f t="shared" si="23"/>
        <v>2.6056771901052342</v>
      </c>
    </row>
    <row r="229" spans="1:21" x14ac:dyDescent="0.35">
      <c r="A229" s="107">
        <v>2491</v>
      </c>
      <c r="B229" s="107">
        <v>2016</v>
      </c>
      <c r="C229" s="107" t="s">
        <v>9</v>
      </c>
      <c r="D229" s="107" t="s">
        <v>132</v>
      </c>
      <c r="E229" s="107" t="s">
        <v>10</v>
      </c>
      <c r="F229" s="115">
        <v>6</v>
      </c>
      <c r="G229" s="107" t="s">
        <v>28</v>
      </c>
      <c r="H229" s="107" t="str">
        <f t="shared" si="18"/>
        <v>Area 6: E Juan de Fuca</v>
      </c>
      <c r="I229" s="107" t="str">
        <f>IFERROR(VLOOKUP(H229,LUTs!$A$1:$C$73,2,FALSE),"NA")</f>
        <v>NA</v>
      </c>
      <c r="J229" s="107" t="str">
        <f>IFERROR(VLOOKUP(H229,LUTs!$A$1:$C$73,3,FALSE),"NA")</f>
        <v>0Strait of Juan de Fuca</v>
      </c>
      <c r="K229" s="107" t="s">
        <v>22</v>
      </c>
      <c r="L229" s="107" t="str">
        <f>VLOOKUP(K229,LUTs!E$2:G$14,3,)</f>
        <v>09Mason</v>
      </c>
      <c r="M229" s="107" t="str">
        <f>VLOOKUP($K229,LUTs!$E$2:$H$14,2,)</f>
        <v>South Puget Sound</v>
      </c>
      <c r="N229" s="107" t="str">
        <f>VLOOKUP($K229,LUTs!$E$2:$H$14,4,)</f>
        <v>02South Puget Sound</v>
      </c>
      <c r="O229" s="107">
        <v>7.0355769230769303</v>
      </c>
      <c r="P229" s="107">
        <v>18.3324423076923</v>
      </c>
      <c r="Q229" s="107">
        <f t="shared" si="19"/>
        <v>7.0355769230769303</v>
      </c>
      <c r="R229" s="107">
        <f t="shared" si="20"/>
        <v>18.3324423076923</v>
      </c>
      <c r="S229" s="140" t="str">
        <f t="shared" si="21"/>
        <v>Y</v>
      </c>
      <c r="T229" s="154">
        <f t="shared" si="22"/>
        <v>2.6056771901052307</v>
      </c>
      <c r="U229" s="154">
        <f t="shared" si="23"/>
        <v>2.6056771901052307</v>
      </c>
    </row>
    <row r="230" spans="1:21" x14ac:dyDescent="0.35">
      <c r="A230" s="107">
        <v>2505</v>
      </c>
      <c r="B230" s="107">
        <v>2016</v>
      </c>
      <c r="C230" s="107" t="s">
        <v>9</v>
      </c>
      <c r="D230" s="107" t="s">
        <v>132</v>
      </c>
      <c r="E230" s="107" t="s">
        <v>10</v>
      </c>
      <c r="F230" s="115">
        <v>6</v>
      </c>
      <c r="G230" s="107" t="s">
        <v>28</v>
      </c>
      <c r="H230" s="107" t="str">
        <f t="shared" si="18"/>
        <v>Area 6: E Juan de Fuca</v>
      </c>
      <c r="I230" s="107" t="str">
        <f>IFERROR(VLOOKUP(H230,LUTs!$A$1:$C$73,2,FALSE),"NA")</f>
        <v>NA</v>
      </c>
      <c r="J230" s="107" t="str">
        <f>IFERROR(VLOOKUP(H230,LUTs!$A$1:$C$73,3,FALSE),"NA")</f>
        <v>0Strait of Juan de Fuca</v>
      </c>
      <c r="K230" s="107" t="s">
        <v>26</v>
      </c>
      <c r="L230" s="107" t="str">
        <f>VLOOKUP(K230,LUTs!E$2:G$14,3,)</f>
        <v>20Other</v>
      </c>
      <c r="M230" s="107" t="str">
        <f>VLOOKUP($K230,LUTs!$E$2:$H$14,2,)</f>
        <v>Non Puget Sound</v>
      </c>
      <c r="N230" s="107" t="str">
        <f>VLOOKUP($K230,LUTs!$E$2:$H$14,4,)</f>
        <v>07Non Puget Sound</v>
      </c>
      <c r="O230" s="107">
        <v>457.3125</v>
      </c>
      <c r="P230" s="107">
        <v>1191.6087500000001</v>
      </c>
      <c r="Q230" s="107">
        <f t="shared" si="19"/>
        <v>457.3125</v>
      </c>
      <c r="R230" s="107">
        <f t="shared" si="20"/>
        <v>1191.6087500000001</v>
      </c>
      <c r="S230" s="140" t="str">
        <f t="shared" si="21"/>
        <v>Y</v>
      </c>
      <c r="T230" s="154">
        <f t="shared" si="22"/>
        <v>2.6056771901052347</v>
      </c>
      <c r="U230" s="154">
        <f t="shared" si="23"/>
        <v>2.6056771901052347</v>
      </c>
    </row>
    <row r="231" spans="1:21" x14ac:dyDescent="0.35">
      <c r="A231" s="107">
        <v>2489</v>
      </c>
      <c r="B231" s="107">
        <v>2016</v>
      </c>
      <c r="C231" s="107" t="s">
        <v>9</v>
      </c>
      <c r="D231" s="107" t="s">
        <v>132</v>
      </c>
      <c r="E231" s="107" t="s">
        <v>10</v>
      </c>
      <c r="F231" s="115">
        <v>6</v>
      </c>
      <c r="G231" s="107" t="s">
        <v>28</v>
      </c>
      <c r="H231" s="107" t="str">
        <f t="shared" si="18"/>
        <v>Area 6: E Juan de Fuca</v>
      </c>
      <c r="I231" s="107" t="str">
        <f>IFERROR(VLOOKUP(H231,LUTs!$A$1:$C$73,2,FALSE),"NA")</f>
        <v>NA</v>
      </c>
      <c r="J231" s="107" t="str">
        <f>IFERROR(VLOOKUP(H231,LUTs!$A$1:$C$73,3,FALSE),"NA")</f>
        <v>0Strait of Juan de Fuca</v>
      </c>
      <c r="K231" s="107" t="s">
        <v>20</v>
      </c>
      <c r="L231" s="107" t="str">
        <f>VLOOKUP(K231,LUTs!E$2:G$14,3,)</f>
        <v>07Pierce</v>
      </c>
      <c r="M231" s="107" t="str">
        <f>VLOOKUP($K231,LUTs!$E$2:$H$14,2,)</f>
        <v>South Puget Sound</v>
      </c>
      <c r="N231" s="107" t="str">
        <f>VLOOKUP($K231,LUTs!$E$2:$H$14,4,)</f>
        <v>02South Puget Sound</v>
      </c>
      <c r="O231" s="107">
        <v>436.20576923076902</v>
      </c>
      <c r="P231" s="107">
        <v>1136.6114230769199</v>
      </c>
      <c r="Q231" s="107">
        <f t="shared" si="19"/>
        <v>436.20576923076902</v>
      </c>
      <c r="R231" s="107">
        <f t="shared" si="20"/>
        <v>1136.6114230769199</v>
      </c>
      <c r="S231" s="140" t="str">
        <f t="shared" si="21"/>
        <v>Y</v>
      </c>
      <c r="T231" s="154">
        <f t="shared" si="22"/>
        <v>2.6056771901052285</v>
      </c>
      <c r="U231" s="154">
        <f t="shared" si="23"/>
        <v>2.6056771901052285</v>
      </c>
    </row>
    <row r="232" spans="1:21" x14ac:dyDescent="0.35">
      <c r="A232" s="107">
        <v>2485</v>
      </c>
      <c r="B232" s="107">
        <v>2016</v>
      </c>
      <c r="C232" s="107" t="s">
        <v>9</v>
      </c>
      <c r="D232" s="107" t="s">
        <v>132</v>
      </c>
      <c r="E232" s="107" t="s">
        <v>10</v>
      </c>
      <c r="F232" s="115">
        <v>6</v>
      </c>
      <c r="G232" s="107" t="s">
        <v>28</v>
      </c>
      <c r="H232" s="107" t="str">
        <f t="shared" si="18"/>
        <v>Area 6: E Juan de Fuca</v>
      </c>
      <c r="I232" s="107" t="str">
        <f>IFERROR(VLOOKUP(H232,LUTs!$A$1:$C$73,2,FALSE),"NA")</f>
        <v>NA</v>
      </c>
      <c r="J232" s="107" t="str">
        <f>IFERROR(VLOOKUP(H232,LUTs!$A$1:$C$73,3,FALSE),"NA")</f>
        <v>0Strait of Juan de Fuca</v>
      </c>
      <c r="K232" s="107" t="s">
        <v>15</v>
      </c>
      <c r="L232" s="107" t="str">
        <f>VLOOKUP(K232,LUTs!E$2:G$14,3,)</f>
        <v>02Skagit</v>
      </c>
      <c r="M232" s="107" t="str">
        <f>VLOOKUP($K232,LUTs!$E$2:$H$14,2,)</f>
        <v>North Puget Sound</v>
      </c>
      <c r="N232" s="107" t="str">
        <f>VLOOKUP($K232,LUTs!$E$2:$H$14,4,)</f>
        <v>01North Puget Sound</v>
      </c>
      <c r="O232" s="107">
        <v>260.31634615384598</v>
      </c>
      <c r="P232" s="107">
        <v>678.30036538461502</v>
      </c>
      <c r="Q232" s="107">
        <f t="shared" si="19"/>
        <v>260.31634615384598</v>
      </c>
      <c r="R232" s="107">
        <f t="shared" si="20"/>
        <v>678.30036538461502</v>
      </c>
      <c r="S232" s="140" t="str">
        <f t="shared" si="21"/>
        <v>Y</v>
      </c>
      <c r="T232" s="154">
        <f t="shared" si="22"/>
        <v>2.6056771901052347</v>
      </c>
      <c r="U232" s="154">
        <f t="shared" si="23"/>
        <v>2.6056771901052347</v>
      </c>
    </row>
    <row r="233" spans="1:21" x14ac:dyDescent="0.35">
      <c r="A233" s="107">
        <v>2486</v>
      </c>
      <c r="B233" s="107">
        <v>2016</v>
      </c>
      <c r="C233" s="107" t="s">
        <v>9</v>
      </c>
      <c r="D233" s="107" t="s">
        <v>132</v>
      </c>
      <c r="E233" s="107" t="s">
        <v>10</v>
      </c>
      <c r="F233" s="115">
        <v>6</v>
      </c>
      <c r="G233" s="107" t="s">
        <v>28</v>
      </c>
      <c r="H233" s="107" t="str">
        <f t="shared" si="18"/>
        <v>Area 6: E Juan de Fuca</v>
      </c>
      <c r="I233" s="107" t="str">
        <f>IFERROR(VLOOKUP(H233,LUTs!$A$1:$C$73,2,FALSE),"NA")</f>
        <v>NA</v>
      </c>
      <c r="J233" s="107" t="str">
        <f>IFERROR(VLOOKUP(H233,LUTs!$A$1:$C$73,3,FALSE),"NA")</f>
        <v>0Strait of Juan de Fuca</v>
      </c>
      <c r="K233" s="107" t="s">
        <v>16</v>
      </c>
      <c r="L233" s="107" t="str">
        <f>VLOOKUP(K233,LUTs!E$2:G$14,3,)</f>
        <v>03Snohomish</v>
      </c>
      <c r="M233" s="107" t="str">
        <f>VLOOKUP($K233,LUTs!$E$2:$H$14,2,)</f>
        <v>North Puget Sound</v>
      </c>
      <c r="N233" s="107" t="str">
        <f>VLOOKUP($K233,LUTs!$E$2:$H$14,4,)</f>
        <v>01North Puget Sound</v>
      </c>
      <c r="O233" s="107">
        <v>401.02788461538501</v>
      </c>
      <c r="P233" s="107">
        <v>1044.9492115384601</v>
      </c>
      <c r="Q233" s="107">
        <f t="shared" si="19"/>
        <v>401.02788461538501</v>
      </c>
      <c r="R233" s="107">
        <f t="shared" si="20"/>
        <v>1044.9492115384601</v>
      </c>
      <c r="S233" s="140" t="str">
        <f t="shared" si="21"/>
        <v>Y</v>
      </c>
      <c r="T233" s="154">
        <f t="shared" si="22"/>
        <v>2.605677190105228</v>
      </c>
      <c r="U233" s="154">
        <f t="shared" si="23"/>
        <v>2.605677190105228</v>
      </c>
    </row>
    <row r="234" spans="1:21" x14ac:dyDescent="0.35">
      <c r="A234" s="107">
        <v>2490</v>
      </c>
      <c r="B234" s="107">
        <v>2016</v>
      </c>
      <c r="C234" s="107" t="s">
        <v>9</v>
      </c>
      <c r="D234" s="107" t="s">
        <v>132</v>
      </c>
      <c r="E234" s="107" t="s">
        <v>10</v>
      </c>
      <c r="F234" s="115">
        <v>6</v>
      </c>
      <c r="G234" s="107" t="s">
        <v>28</v>
      </c>
      <c r="H234" s="107" t="str">
        <f t="shared" si="18"/>
        <v>Area 6: E Juan de Fuca</v>
      </c>
      <c r="I234" s="107" t="str">
        <f>IFERROR(VLOOKUP(H234,LUTs!$A$1:$C$73,2,FALSE),"NA")</f>
        <v>NA</v>
      </c>
      <c r="J234" s="107" t="str">
        <f>IFERROR(VLOOKUP(H234,LUTs!$A$1:$C$73,3,FALSE),"NA")</f>
        <v>0Strait of Juan de Fuca</v>
      </c>
      <c r="K234" s="107" t="s">
        <v>21</v>
      </c>
      <c r="L234" s="107" t="str">
        <f>VLOOKUP(K234,LUTs!E$2:G$14,3,)</f>
        <v>08Thurston</v>
      </c>
      <c r="M234" s="107" t="str">
        <f>VLOOKUP($K234,LUTs!$E$2:$H$14,2,)</f>
        <v>South Puget Sound</v>
      </c>
      <c r="N234" s="107" t="str">
        <f>VLOOKUP($K234,LUTs!$E$2:$H$14,4,)</f>
        <v>02South Puget Sound</v>
      </c>
      <c r="O234" s="107">
        <v>126.640384615385</v>
      </c>
      <c r="P234" s="107">
        <v>329.98396153846198</v>
      </c>
      <c r="Q234" s="107">
        <f t="shared" si="19"/>
        <v>126.640384615385</v>
      </c>
      <c r="R234" s="107">
        <f t="shared" si="20"/>
        <v>329.98396153846198</v>
      </c>
      <c r="S234" s="140" t="str">
        <f t="shared" si="21"/>
        <v>Y</v>
      </c>
      <c r="T234" s="154">
        <f t="shared" si="22"/>
        <v>2.6056771901052298</v>
      </c>
      <c r="U234" s="154">
        <f t="shared" si="23"/>
        <v>2.6056771901052298</v>
      </c>
    </row>
    <row r="235" spans="1:21" x14ac:dyDescent="0.35">
      <c r="A235" s="107">
        <v>2396</v>
      </c>
      <c r="B235" s="107">
        <v>2016</v>
      </c>
      <c r="C235" s="107" t="s">
        <v>9</v>
      </c>
      <c r="D235" s="107" t="s">
        <v>132</v>
      </c>
      <c r="E235" s="107" t="s">
        <v>10</v>
      </c>
      <c r="F235" s="115">
        <v>6</v>
      </c>
      <c r="G235" s="107" t="s">
        <v>28</v>
      </c>
      <c r="H235" s="107" t="str">
        <f t="shared" si="18"/>
        <v>Area 6: E Juan de Fuca</v>
      </c>
      <c r="I235" s="107" t="str">
        <f>IFERROR(VLOOKUP(H235,LUTs!$A$1:$C$73,2,FALSE),"NA")</f>
        <v>NA</v>
      </c>
      <c r="J235" s="107" t="str">
        <f>IFERROR(VLOOKUP(H235,LUTs!$A$1:$C$73,3,FALSE),"NA")</f>
        <v>0Strait of Juan de Fuca</v>
      </c>
      <c r="K235" s="107" t="s">
        <v>13</v>
      </c>
      <c r="L235" s="107" t="str">
        <f>VLOOKUP(K235,LUTs!E$2:G$14,3,)</f>
        <v>01Whatcom</v>
      </c>
      <c r="M235" s="107" t="str">
        <f>VLOOKUP($K235,LUTs!$E$2:$H$14,2,)</f>
        <v>North Puget Sound</v>
      </c>
      <c r="N235" s="107" t="str">
        <f>VLOOKUP($K235,LUTs!$E$2:$H$14,4,)</f>
        <v>01North Puget Sound</v>
      </c>
      <c r="O235" s="107">
        <v>14.0711538461538</v>
      </c>
      <c r="P235" s="107">
        <v>36.664884615384601</v>
      </c>
      <c r="Q235" s="107">
        <f t="shared" si="19"/>
        <v>14.0711538461538</v>
      </c>
      <c r="R235" s="107">
        <f t="shared" si="20"/>
        <v>36.664884615384601</v>
      </c>
      <c r="S235" s="140" t="str">
        <f t="shared" si="21"/>
        <v>Y</v>
      </c>
      <c r="T235" s="154">
        <f t="shared" si="22"/>
        <v>2.6056771901052418</v>
      </c>
      <c r="U235" s="154">
        <f t="shared" si="23"/>
        <v>2.6056771901052418</v>
      </c>
    </row>
    <row r="236" spans="1:21" x14ac:dyDescent="0.35">
      <c r="A236" s="107">
        <v>2735</v>
      </c>
      <c r="B236" s="107">
        <v>2017</v>
      </c>
      <c r="C236" s="107" t="s">
        <v>9</v>
      </c>
      <c r="D236" s="107" t="s">
        <v>132</v>
      </c>
      <c r="E236" s="107" t="s">
        <v>10</v>
      </c>
      <c r="F236" s="115">
        <v>6</v>
      </c>
      <c r="G236" s="107" t="s">
        <v>28</v>
      </c>
      <c r="H236" s="107" t="str">
        <f t="shared" si="18"/>
        <v>Area 6: E Juan de Fuca</v>
      </c>
      <c r="I236" s="107" t="str">
        <f>IFERROR(VLOOKUP(H236,LUTs!$A$1:$C$73,2,FALSE),"NA")</f>
        <v>NA</v>
      </c>
      <c r="J236" s="107" t="str">
        <f>IFERROR(VLOOKUP(H236,LUTs!$A$1:$C$73,3,FALSE),"NA")</f>
        <v>0Strait of Juan de Fuca</v>
      </c>
      <c r="K236" s="107" t="s">
        <v>24</v>
      </c>
      <c r="L236" s="107" t="str">
        <f>VLOOKUP(K236,LUTs!E$2:G$14,3,)</f>
        <v>11Clallam</v>
      </c>
      <c r="M236" s="107" t="str">
        <f>VLOOKUP($K236,LUTs!$E$2:$H$14,2,)</f>
        <v>Strait of Juan de Fuca</v>
      </c>
      <c r="N236" s="107" t="str">
        <f>VLOOKUP($K236,LUTs!$E$2:$H$14,4,)</f>
        <v>03Strait of Juan de Fuca</v>
      </c>
      <c r="O236" s="107">
        <v>4025.4453781512598</v>
      </c>
      <c r="P236" s="107">
        <v>5133.8563452651097</v>
      </c>
      <c r="Q236" s="107">
        <f t="shared" si="19"/>
        <v>4025.4453781512598</v>
      </c>
      <c r="R236" s="107">
        <f t="shared" si="20"/>
        <v>5133.8563452651097</v>
      </c>
      <c r="S236" s="140" t="str">
        <f t="shared" si="21"/>
        <v>Y</v>
      </c>
      <c r="T236" s="154">
        <f t="shared" si="22"/>
        <v>1.2753511383187375</v>
      </c>
      <c r="U236" s="154">
        <f t="shared" si="23"/>
        <v>1.2753511383187375</v>
      </c>
    </row>
    <row r="237" spans="1:21" x14ac:dyDescent="0.35">
      <c r="A237" s="107">
        <v>2628</v>
      </c>
      <c r="B237" s="107">
        <v>2017</v>
      </c>
      <c r="C237" s="107" t="s">
        <v>9</v>
      </c>
      <c r="D237" s="107" t="s">
        <v>132</v>
      </c>
      <c r="E237" s="107" t="s">
        <v>10</v>
      </c>
      <c r="F237" s="115">
        <v>6</v>
      </c>
      <c r="G237" s="107" t="s">
        <v>28</v>
      </c>
      <c r="H237" s="107" t="str">
        <f t="shared" si="18"/>
        <v>Area 6: E Juan de Fuca</v>
      </c>
      <c r="I237" s="107" t="str">
        <f>IFERROR(VLOOKUP(H237,LUTs!$A$1:$C$73,2,FALSE),"NA")</f>
        <v>NA</v>
      </c>
      <c r="J237" s="107" t="str">
        <f>IFERROR(VLOOKUP(H237,LUTs!$A$1:$C$73,3,FALSE),"NA")</f>
        <v>0Strait of Juan de Fuca</v>
      </c>
      <c r="K237" s="107" t="s">
        <v>17</v>
      </c>
      <c r="L237" s="107" t="str">
        <f>VLOOKUP(K237,LUTs!E$2:G$14,3,)</f>
        <v>04Island</v>
      </c>
      <c r="M237" s="107" t="str">
        <f>VLOOKUP($K237,LUTs!$E$2:$H$14,2,)</f>
        <v>North Puget Sound</v>
      </c>
      <c r="N237" s="107" t="str">
        <f>VLOOKUP($K237,LUTs!$E$2:$H$14,4,)</f>
        <v>01North Puget Sound</v>
      </c>
      <c r="O237" s="107">
        <v>119.428571428571</v>
      </c>
      <c r="P237" s="107">
        <v>152.31336451920899</v>
      </c>
      <c r="Q237" s="107">
        <f t="shared" si="19"/>
        <v>119.428571428571</v>
      </c>
      <c r="R237" s="107">
        <f t="shared" si="20"/>
        <v>152.31336451920899</v>
      </c>
      <c r="S237" s="140" t="str">
        <f t="shared" si="21"/>
        <v>Y</v>
      </c>
      <c r="T237" s="154">
        <f t="shared" si="22"/>
        <v>1.2753511383187401</v>
      </c>
      <c r="U237" s="154">
        <f t="shared" si="23"/>
        <v>1.2753511383187401</v>
      </c>
    </row>
    <row r="238" spans="1:21" x14ac:dyDescent="0.35">
      <c r="A238" s="107">
        <v>2736</v>
      </c>
      <c r="B238" s="107">
        <v>2017</v>
      </c>
      <c r="C238" s="107" t="s">
        <v>9</v>
      </c>
      <c r="D238" s="107" t="s">
        <v>132</v>
      </c>
      <c r="E238" s="107" t="s">
        <v>10</v>
      </c>
      <c r="F238" s="115">
        <v>6</v>
      </c>
      <c r="G238" s="107" t="s">
        <v>28</v>
      </c>
      <c r="H238" s="107" t="str">
        <f t="shared" si="18"/>
        <v>Area 6: E Juan de Fuca</v>
      </c>
      <c r="I238" s="107" t="str">
        <f>IFERROR(VLOOKUP(H238,LUTs!$A$1:$C$73,2,FALSE),"NA")</f>
        <v>NA</v>
      </c>
      <c r="J238" s="107" t="str">
        <f>IFERROR(VLOOKUP(H238,LUTs!$A$1:$C$73,3,FALSE),"NA")</f>
        <v>0Strait of Juan de Fuca</v>
      </c>
      <c r="K238" s="107" t="s">
        <v>25</v>
      </c>
      <c r="L238" s="107" t="str">
        <f>VLOOKUP(K238,LUTs!E$2:G$14,3,)</f>
        <v>12Jefferson</v>
      </c>
      <c r="M238" s="107" t="str">
        <f>VLOOKUP($K238,LUTs!$E$2:$H$14,2,)</f>
        <v>Strait of Juan de Fuca</v>
      </c>
      <c r="N238" s="107" t="str">
        <f>VLOOKUP($K238,LUTs!$E$2:$H$14,4,)</f>
        <v>03Strait of Juan de Fuca</v>
      </c>
      <c r="O238" s="107">
        <v>470.68907563025198</v>
      </c>
      <c r="P238" s="107">
        <v>600.29384839923603</v>
      </c>
      <c r="Q238" s="107">
        <f t="shared" si="19"/>
        <v>470.68907563025198</v>
      </c>
      <c r="R238" s="107">
        <f t="shared" si="20"/>
        <v>600.29384839923603</v>
      </c>
      <c r="S238" s="140" t="str">
        <f t="shared" si="21"/>
        <v>Y</v>
      </c>
      <c r="T238" s="154">
        <f t="shared" si="22"/>
        <v>1.2753511383187373</v>
      </c>
      <c r="U238" s="154">
        <f t="shared" si="23"/>
        <v>1.2753511383187373</v>
      </c>
    </row>
    <row r="239" spans="1:21" x14ac:dyDescent="0.35">
      <c r="A239" s="107">
        <v>2630</v>
      </c>
      <c r="B239" s="107">
        <v>2017</v>
      </c>
      <c r="C239" s="107" t="s">
        <v>9</v>
      </c>
      <c r="D239" s="107" t="s">
        <v>132</v>
      </c>
      <c r="E239" s="107" t="s">
        <v>10</v>
      </c>
      <c r="F239" s="115">
        <v>6</v>
      </c>
      <c r="G239" s="107" t="s">
        <v>28</v>
      </c>
      <c r="H239" s="107" t="str">
        <f t="shared" si="18"/>
        <v>Area 6: E Juan de Fuca</v>
      </c>
      <c r="I239" s="107" t="str">
        <f>IFERROR(VLOOKUP(H239,LUTs!$A$1:$C$73,2,FALSE),"NA")</f>
        <v>NA</v>
      </c>
      <c r="J239" s="107" t="str">
        <f>IFERROR(VLOOKUP(H239,LUTs!$A$1:$C$73,3,FALSE),"NA")</f>
        <v>0Strait of Juan de Fuca</v>
      </c>
      <c r="K239" s="107" t="s">
        <v>18</v>
      </c>
      <c r="L239" s="107" t="str">
        <f>VLOOKUP(K239,LUTs!E$2:G$14,3,)</f>
        <v>06King</v>
      </c>
      <c r="M239" s="107" t="str">
        <f>VLOOKUP($K239,LUTs!$E$2:$H$14,2,)</f>
        <v>South Puget Sound</v>
      </c>
      <c r="N239" s="107" t="str">
        <f>VLOOKUP($K239,LUTs!$E$2:$H$14,4,)</f>
        <v>02South Puget Sound</v>
      </c>
      <c r="O239" s="107">
        <v>210.756302521008</v>
      </c>
      <c r="P239" s="107">
        <v>268.78829032801599</v>
      </c>
      <c r="Q239" s="107">
        <f t="shared" si="19"/>
        <v>210.756302521008</v>
      </c>
      <c r="R239" s="107">
        <f t="shared" si="20"/>
        <v>268.78829032801599</v>
      </c>
      <c r="S239" s="140" t="str">
        <f t="shared" si="21"/>
        <v>Y</v>
      </c>
      <c r="T239" s="154">
        <f t="shared" si="22"/>
        <v>1.2753511383187386</v>
      </c>
      <c r="U239" s="154">
        <f t="shared" si="23"/>
        <v>1.2753511383187386</v>
      </c>
    </row>
    <row r="240" spans="1:21" x14ac:dyDescent="0.35">
      <c r="A240" s="107">
        <v>2734</v>
      </c>
      <c r="B240" s="107">
        <v>2017</v>
      </c>
      <c r="C240" s="107" t="s">
        <v>9</v>
      </c>
      <c r="D240" s="107" t="s">
        <v>132</v>
      </c>
      <c r="E240" s="107" t="s">
        <v>10</v>
      </c>
      <c r="F240" s="115">
        <v>6</v>
      </c>
      <c r="G240" s="107" t="s">
        <v>28</v>
      </c>
      <c r="H240" s="107" t="str">
        <f t="shared" si="18"/>
        <v>Area 6: E Juan de Fuca</v>
      </c>
      <c r="I240" s="107" t="str">
        <f>IFERROR(VLOOKUP(H240,LUTs!$A$1:$C$73,2,FALSE),"NA")</f>
        <v>NA</v>
      </c>
      <c r="J240" s="107" t="str">
        <f>IFERROR(VLOOKUP(H240,LUTs!$A$1:$C$73,3,FALSE),"NA")</f>
        <v>0Strait of Juan de Fuca</v>
      </c>
      <c r="K240" s="107" t="s">
        <v>23</v>
      </c>
      <c r="L240" s="107" t="str">
        <f>VLOOKUP(K240,LUTs!E$2:G$14,3,)</f>
        <v>10Kitsap</v>
      </c>
      <c r="M240" s="107" t="str">
        <f>VLOOKUP($K240,LUTs!$E$2:$H$14,2,)</f>
        <v>South Puget Sound</v>
      </c>
      <c r="N240" s="107" t="str">
        <f>VLOOKUP($K240,LUTs!$E$2:$H$14,4,)</f>
        <v>02South Puget Sound</v>
      </c>
      <c r="O240" s="107">
        <v>189.68067226890801</v>
      </c>
      <c r="P240" s="107">
        <v>241.90946129521501</v>
      </c>
      <c r="Q240" s="107">
        <f t="shared" si="19"/>
        <v>189.68067226890801</v>
      </c>
      <c r="R240" s="107">
        <f t="shared" si="20"/>
        <v>241.90946129521501</v>
      </c>
      <c r="S240" s="140" t="str">
        <f t="shared" si="21"/>
        <v>Y</v>
      </c>
      <c r="T240" s="154">
        <f t="shared" si="22"/>
        <v>1.2753511383187364</v>
      </c>
      <c r="U240" s="154">
        <f t="shared" si="23"/>
        <v>1.2753511383187364</v>
      </c>
    </row>
    <row r="241" spans="1:21" x14ac:dyDescent="0.35">
      <c r="A241" s="107">
        <v>2733</v>
      </c>
      <c r="B241" s="107">
        <v>2017</v>
      </c>
      <c r="C241" s="107" t="s">
        <v>9</v>
      </c>
      <c r="D241" s="107" t="s">
        <v>132</v>
      </c>
      <c r="E241" s="107" t="s">
        <v>10</v>
      </c>
      <c r="F241" s="115">
        <v>6</v>
      </c>
      <c r="G241" s="107" t="s">
        <v>28</v>
      </c>
      <c r="H241" s="107" t="str">
        <f t="shared" si="18"/>
        <v>Area 6: E Juan de Fuca</v>
      </c>
      <c r="I241" s="107" t="str">
        <f>IFERROR(VLOOKUP(H241,LUTs!$A$1:$C$73,2,FALSE),"NA")</f>
        <v>NA</v>
      </c>
      <c r="J241" s="107" t="str">
        <f>IFERROR(VLOOKUP(H241,LUTs!$A$1:$C$73,3,FALSE),"NA")</f>
        <v>0Strait of Juan de Fuca</v>
      </c>
      <c r="K241" s="107" t="s">
        <v>22</v>
      </c>
      <c r="L241" s="107" t="str">
        <f>VLOOKUP(K241,LUTs!E$2:G$14,3,)</f>
        <v>09Mason</v>
      </c>
      <c r="M241" s="107" t="str">
        <f>VLOOKUP($K241,LUTs!$E$2:$H$14,2,)</f>
        <v>South Puget Sound</v>
      </c>
      <c r="N241" s="107" t="str">
        <f>VLOOKUP($K241,LUTs!$E$2:$H$14,4,)</f>
        <v>02South Puget Sound</v>
      </c>
      <c r="O241" s="107">
        <v>28.1008403361345</v>
      </c>
      <c r="P241" s="107">
        <v>35.838438710402201</v>
      </c>
      <c r="Q241" s="107">
        <f t="shared" si="19"/>
        <v>28.1008403361345</v>
      </c>
      <c r="R241" s="107">
        <f t="shared" si="20"/>
        <v>35.838438710402201</v>
      </c>
      <c r="S241" s="140" t="str">
        <f t="shared" si="21"/>
        <v>Y</v>
      </c>
      <c r="T241" s="154">
        <f t="shared" si="22"/>
        <v>1.2753511383187366</v>
      </c>
      <c r="U241" s="154">
        <f t="shared" si="23"/>
        <v>1.2753511383187366</v>
      </c>
    </row>
    <row r="242" spans="1:21" x14ac:dyDescent="0.35">
      <c r="A242" s="107">
        <v>2737</v>
      </c>
      <c r="B242" s="107">
        <v>2017</v>
      </c>
      <c r="C242" s="107" t="s">
        <v>9</v>
      </c>
      <c r="D242" s="107" t="s">
        <v>132</v>
      </c>
      <c r="E242" s="107" t="s">
        <v>10</v>
      </c>
      <c r="F242" s="115">
        <v>6</v>
      </c>
      <c r="G242" s="107" t="s">
        <v>28</v>
      </c>
      <c r="H242" s="107" t="str">
        <f t="shared" si="18"/>
        <v>Area 6: E Juan de Fuca</v>
      </c>
      <c r="I242" s="107" t="str">
        <f>IFERROR(VLOOKUP(H242,LUTs!$A$1:$C$73,2,FALSE),"NA")</f>
        <v>NA</v>
      </c>
      <c r="J242" s="107" t="str">
        <f>IFERROR(VLOOKUP(H242,LUTs!$A$1:$C$73,3,FALSE),"NA")</f>
        <v>0Strait of Juan de Fuca</v>
      </c>
      <c r="K242" s="107" t="s">
        <v>26</v>
      </c>
      <c r="L242" s="107" t="str">
        <f>VLOOKUP(K242,LUTs!E$2:G$14,3,)</f>
        <v>20Other</v>
      </c>
      <c r="M242" s="107" t="str">
        <f>VLOOKUP($K242,LUTs!$E$2:$H$14,2,)</f>
        <v>Non Puget Sound</v>
      </c>
      <c r="N242" s="107" t="str">
        <f>VLOOKUP($K242,LUTs!$E$2:$H$14,4,)</f>
        <v>07Non Puget Sound</v>
      </c>
      <c r="O242" s="107">
        <v>281.00840336134502</v>
      </c>
      <c r="P242" s="107">
        <v>358.38438710402198</v>
      </c>
      <c r="Q242" s="107">
        <f t="shared" si="19"/>
        <v>281.00840336134502</v>
      </c>
      <c r="R242" s="107">
        <f t="shared" si="20"/>
        <v>358.38438710402198</v>
      </c>
      <c r="S242" s="140" t="str">
        <f t="shared" si="21"/>
        <v>Y</v>
      </c>
      <c r="T242" s="154">
        <f t="shared" si="22"/>
        <v>1.2753511383187364</v>
      </c>
      <c r="U242" s="154">
        <f t="shared" si="23"/>
        <v>1.2753511383187364</v>
      </c>
    </row>
    <row r="243" spans="1:21" x14ac:dyDescent="0.35">
      <c r="A243" s="107">
        <v>2631</v>
      </c>
      <c r="B243" s="107">
        <v>2017</v>
      </c>
      <c r="C243" s="107" t="s">
        <v>9</v>
      </c>
      <c r="D243" s="107" t="s">
        <v>132</v>
      </c>
      <c r="E243" s="107" t="s">
        <v>10</v>
      </c>
      <c r="F243" s="115">
        <v>6</v>
      </c>
      <c r="G243" s="107" t="s">
        <v>28</v>
      </c>
      <c r="H243" s="107" t="str">
        <f t="shared" si="18"/>
        <v>Area 6: E Juan de Fuca</v>
      </c>
      <c r="I243" s="107" t="str">
        <f>IFERROR(VLOOKUP(H243,LUTs!$A$1:$C$73,2,FALSE),"NA")</f>
        <v>NA</v>
      </c>
      <c r="J243" s="107" t="str">
        <f>IFERROR(VLOOKUP(H243,LUTs!$A$1:$C$73,3,FALSE),"NA")</f>
        <v>0Strait of Juan de Fuca</v>
      </c>
      <c r="K243" s="107" t="s">
        <v>20</v>
      </c>
      <c r="L243" s="107" t="str">
        <f>VLOOKUP(K243,LUTs!E$2:G$14,3,)</f>
        <v>07Pierce</v>
      </c>
      <c r="M243" s="107" t="str">
        <f>VLOOKUP($K243,LUTs!$E$2:$H$14,2,)</f>
        <v>South Puget Sound</v>
      </c>
      <c r="N243" s="107" t="str">
        <f>VLOOKUP($K243,LUTs!$E$2:$H$14,4,)</f>
        <v>02South Puget Sound</v>
      </c>
      <c r="O243" s="107">
        <v>63.226890756302502</v>
      </c>
      <c r="P243" s="107">
        <v>80.636487098404899</v>
      </c>
      <c r="Q243" s="107">
        <f t="shared" si="19"/>
        <v>63.226890756302502</v>
      </c>
      <c r="R243" s="107">
        <f t="shared" si="20"/>
        <v>80.636487098404899</v>
      </c>
      <c r="S243" s="140" t="str">
        <f t="shared" si="21"/>
        <v>Y</v>
      </c>
      <c r="T243" s="154">
        <f t="shared" si="22"/>
        <v>1.2753511383187381</v>
      </c>
      <c r="U243" s="154">
        <f t="shared" si="23"/>
        <v>1.2753511383187381</v>
      </c>
    </row>
    <row r="244" spans="1:21" x14ac:dyDescent="0.35">
      <c r="A244" s="107">
        <v>2629</v>
      </c>
      <c r="B244" s="107">
        <v>2017</v>
      </c>
      <c r="C244" s="107" t="s">
        <v>9</v>
      </c>
      <c r="D244" s="107" t="s">
        <v>132</v>
      </c>
      <c r="E244" s="107" t="s">
        <v>10</v>
      </c>
      <c r="F244" s="115">
        <v>6</v>
      </c>
      <c r="G244" s="107" t="s">
        <v>28</v>
      </c>
      <c r="H244" s="107" t="str">
        <f t="shared" si="18"/>
        <v>Area 6: E Juan de Fuca</v>
      </c>
      <c r="I244" s="107" t="str">
        <f>IFERROR(VLOOKUP(H244,LUTs!$A$1:$C$73,2,FALSE),"NA")</f>
        <v>NA</v>
      </c>
      <c r="J244" s="107" t="str">
        <f>IFERROR(VLOOKUP(H244,LUTs!$A$1:$C$73,3,FALSE),"NA")</f>
        <v>0Strait of Juan de Fuca</v>
      </c>
      <c r="K244" s="107" t="s">
        <v>30</v>
      </c>
      <c r="L244" s="107" t="str">
        <f>VLOOKUP(K244,LUTs!E$2:G$14,3,)</f>
        <v>05San Juan</v>
      </c>
      <c r="M244" s="107" t="str">
        <f>VLOOKUP($K244,LUTs!$E$2:$H$14,2,)</f>
        <v>North Puget Sound</v>
      </c>
      <c r="N244" s="107" t="str">
        <f>VLOOKUP($K244,LUTs!$E$2:$H$14,4,)</f>
        <v>01North Puget Sound</v>
      </c>
      <c r="O244" s="107">
        <v>7.0252100840336196</v>
      </c>
      <c r="P244" s="107">
        <v>8.9596096776005396</v>
      </c>
      <c r="Q244" s="107">
        <f t="shared" si="19"/>
        <v>7.0252100840336196</v>
      </c>
      <c r="R244" s="107">
        <f t="shared" si="20"/>
        <v>8.9596096776005396</v>
      </c>
      <c r="S244" s="140" t="str">
        <f t="shared" si="21"/>
        <v>Y</v>
      </c>
      <c r="T244" s="154">
        <f t="shared" si="22"/>
        <v>1.2753511383187359</v>
      </c>
      <c r="U244" s="154">
        <f t="shared" si="23"/>
        <v>1.2753511383187359</v>
      </c>
    </row>
    <row r="245" spans="1:21" x14ac:dyDescent="0.35">
      <c r="A245" s="107">
        <v>2626</v>
      </c>
      <c r="B245" s="107">
        <v>2017</v>
      </c>
      <c r="C245" s="107" t="s">
        <v>9</v>
      </c>
      <c r="D245" s="107" t="s">
        <v>132</v>
      </c>
      <c r="E245" s="107" t="s">
        <v>10</v>
      </c>
      <c r="F245" s="115">
        <v>6</v>
      </c>
      <c r="G245" s="107" t="s">
        <v>28</v>
      </c>
      <c r="H245" s="107" t="str">
        <f t="shared" si="18"/>
        <v>Area 6: E Juan de Fuca</v>
      </c>
      <c r="I245" s="107" t="str">
        <f>IFERROR(VLOOKUP(H245,LUTs!$A$1:$C$73,2,FALSE),"NA")</f>
        <v>NA</v>
      </c>
      <c r="J245" s="107" t="str">
        <f>IFERROR(VLOOKUP(H245,LUTs!$A$1:$C$73,3,FALSE),"NA")</f>
        <v>0Strait of Juan de Fuca</v>
      </c>
      <c r="K245" s="107" t="s">
        <v>15</v>
      </c>
      <c r="L245" s="107" t="str">
        <f>VLOOKUP(K245,LUTs!E$2:G$14,3,)</f>
        <v>02Skagit</v>
      </c>
      <c r="M245" s="107" t="str">
        <f>VLOOKUP($K245,LUTs!$E$2:$H$14,2,)</f>
        <v>North Puget Sound</v>
      </c>
      <c r="N245" s="107" t="str">
        <f>VLOOKUP($K245,LUTs!$E$2:$H$14,4,)</f>
        <v>01North Puget Sound</v>
      </c>
      <c r="O245" s="107">
        <v>189.68067226890801</v>
      </c>
      <c r="P245" s="107">
        <v>241.90946129521501</v>
      </c>
      <c r="Q245" s="107">
        <f t="shared" si="19"/>
        <v>189.68067226890801</v>
      </c>
      <c r="R245" s="107">
        <f t="shared" si="20"/>
        <v>241.90946129521501</v>
      </c>
      <c r="S245" s="140" t="str">
        <f t="shared" si="21"/>
        <v>Y</v>
      </c>
      <c r="T245" s="154">
        <f t="shared" si="22"/>
        <v>1.2753511383187364</v>
      </c>
      <c r="U245" s="154">
        <f t="shared" si="23"/>
        <v>1.2753511383187364</v>
      </c>
    </row>
    <row r="246" spans="1:21" x14ac:dyDescent="0.35">
      <c r="A246" s="107">
        <v>2627</v>
      </c>
      <c r="B246" s="107">
        <v>2017</v>
      </c>
      <c r="C246" s="107" t="s">
        <v>9</v>
      </c>
      <c r="D246" s="107" t="s">
        <v>132</v>
      </c>
      <c r="E246" s="107" t="s">
        <v>10</v>
      </c>
      <c r="F246" s="115">
        <v>6</v>
      </c>
      <c r="G246" s="107" t="s">
        <v>28</v>
      </c>
      <c r="H246" s="107" t="str">
        <f t="shared" si="18"/>
        <v>Area 6: E Juan de Fuca</v>
      </c>
      <c r="I246" s="107" t="str">
        <f>IFERROR(VLOOKUP(H246,LUTs!$A$1:$C$73,2,FALSE),"NA")</f>
        <v>NA</v>
      </c>
      <c r="J246" s="107" t="str">
        <f>IFERROR(VLOOKUP(H246,LUTs!$A$1:$C$73,3,FALSE),"NA")</f>
        <v>0Strait of Juan de Fuca</v>
      </c>
      <c r="K246" s="107" t="s">
        <v>16</v>
      </c>
      <c r="L246" s="107" t="str">
        <f>VLOOKUP(K246,LUTs!E$2:G$14,3,)</f>
        <v>03Snohomish</v>
      </c>
      <c r="M246" s="107" t="str">
        <f>VLOOKUP($K246,LUTs!$E$2:$H$14,2,)</f>
        <v>North Puget Sound</v>
      </c>
      <c r="N246" s="107" t="str">
        <f>VLOOKUP($K246,LUTs!$E$2:$H$14,4,)</f>
        <v>01North Puget Sound</v>
      </c>
      <c r="O246" s="107">
        <v>196.70588235294099</v>
      </c>
      <c r="P246" s="107">
        <v>250.869070972815</v>
      </c>
      <c r="Q246" s="107">
        <f t="shared" si="19"/>
        <v>196.70588235294099</v>
      </c>
      <c r="R246" s="107">
        <f t="shared" si="20"/>
        <v>250.869070972815</v>
      </c>
      <c r="S246" s="140" t="str">
        <f t="shared" si="21"/>
        <v>Y</v>
      </c>
      <c r="T246" s="154">
        <f t="shared" si="22"/>
        <v>1.2753511383187377</v>
      </c>
      <c r="U246" s="154">
        <f t="shared" si="23"/>
        <v>1.2753511383187377</v>
      </c>
    </row>
    <row r="247" spans="1:21" x14ac:dyDescent="0.35">
      <c r="A247" s="107">
        <v>2732</v>
      </c>
      <c r="B247" s="107">
        <v>2017</v>
      </c>
      <c r="C247" s="107" t="s">
        <v>9</v>
      </c>
      <c r="D247" s="107" t="s">
        <v>132</v>
      </c>
      <c r="E247" s="107" t="s">
        <v>10</v>
      </c>
      <c r="F247" s="115">
        <v>6</v>
      </c>
      <c r="G247" s="107" t="s">
        <v>28</v>
      </c>
      <c r="H247" s="107" t="str">
        <f t="shared" si="18"/>
        <v>Area 6: E Juan de Fuca</v>
      </c>
      <c r="I247" s="107" t="str">
        <f>IFERROR(VLOOKUP(H247,LUTs!$A$1:$C$73,2,FALSE),"NA")</f>
        <v>NA</v>
      </c>
      <c r="J247" s="107" t="str">
        <f>IFERROR(VLOOKUP(H247,LUTs!$A$1:$C$73,3,FALSE),"NA")</f>
        <v>0Strait of Juan de Fuca</v>
      </c>
      <c r="K247" s="107" t="s">
        <v>21</v>
      </c>
      <c r="L247" s="107" t="str">
        <f>VLOOKUP(K247,LUTs!E$2:G$14,3,)</f>
        <v>08Thurston</v>
      </c>
      <c r="M247" s="107" t="str">
        <f>VLOOKUP($K247,LUTs!$E$2:$H$14,2,)</f>
        <v>South Puget Sound</v>
      </c>
      <c r="N247" s="107" t="str">
        <f>VLOOKUP($K247,LUTs!$E$2:$H$14,4,)</f>
        <v>02South Puget Sound</v>
      </c>
      <c r="O247" s="107">
        <v>56.2016806722689</v>
      </c>
      <c r="P247" s="107">
        <v>71.676877420804303</v>
      </c>
      <c r="Q247" s="107">
        <f t="shared" si="19"/>
        <v>56.2016806722689</v>
      </c>
      <c r="R247" s="107">
        <f t="shared" si="20"/>
        <v>71.676877420804303</v>
      </c>
      <c r="S247" s="140" t="str">
        <f t="shared" si="21"/>
        <v>Y</v>
      </c>
      <c r="T247" s="154">
        <f t="shared" si="22"/>
        <v>1.275351138318737</v>
      </c>
      <c r="U247" s="154">
        <f t="shared" si="23"/>
        <v>1.275351138318737</v>
      </c>
    </row>
    <row r="248" spans="1:21" x14ac:dyDescent="0.35">
      <c r="A248" s="107">
        <v>2625</v>
      </c>
      <c r="B248" s="107">
        <v>2017</v>
      </c>
      <c r="C248" s="107" t="s">
        <v>9</v>
      </c>
      <c r="D248" s="107" t="s">
        <v>132</v>
      </c>
      <c r="E248" s="107" t="s">
        <v>10</v>
      </c>
      <c r="F248" s="115">
        <v>6</v>
      </c>
      <c r="G248" s="107" t="s">
        <v>28</v>
      </c>
      <c r="H248" s="107" t="str">
        <f t="shared" si="18"/>
        <v>Area 6: E Juan de Fuca</v>
      </c>
      <c r="I248" s="107" t="str">
        <f>IFERROR(VLOOKUP(H248,LUTs!$A$1:$C$73,2,FALSE),"NA")</f>
        <v>NA</v>
      </c>
      <c r="J248" s="107" t="str">
        <f>IFERROR(VLOOKUP(H248,LUTs!$A$1:$C$73,3,FALSE),"NA")</f>
        <v>0Strait of Juan de Fuca</v>
      </c>
      <c r="K248" s="107" t="s">
        <v>13</v>
      </c>
      <c r="L248" s="107" t="str">
        <f>VLOOKUP(K248,LUTs!E$2:G$14,3,)</f>
        <v>01Whatcom</v>
      </c>
      <c r="M248" s="107" t="str">
        <f>VLOOKUP($K248,LUTs!$E$2:$H$14,2,)</f>
        <v>North Puget Sound</v>
      </c>
      <c r="N248" s="107" t="str">
        <f>VLOOKUP($K248,LUTs!$E$2:$H$14,4,)</f>
        <v>01North Puget Sound</v>
      </c>
      <c r="O248" s="107">
        <v>14.0504201680672</v>
      </c>
      <c r="P248" s="107">
        <v>17.919219355201101</v>
      </c>
      <c r="Q248" s="107">
        <f t="shared" si="19"/>
        <v>14.0504201680672</v>
      </c>
      <c r="R248" s="107">
        <f t="shared" si="20"/>
        <v>17.919219355201101</v>
      </c>
      <c r="S248" s="140" t="str">
        <f t="shared" si="21"/>
        <v>Y</v>
      </c>
      <c r="T248" s="154">
        <f t="shared" si="22"/>
        <v>1.275351138318741</v>
      </c>
      <c r="U248" s="154">
        <f t="shared" si="23"/>
        <v>1.275351138318741</v>
      </c>
    </row>
    <row r="249" spans="1:21" x14ac:dyDescent="0.35">
      <c r="A249" s="107">
        <v>2952</v>
      </c>
      <c r="B249" s="107">
        <v>2018</v>
      </c>
      <c r="C249" s="107" t="s">
        <v>9</v>
      </c>
      <c r="D249" s="107" t="s">
        <v>132</v>
      </c>
      <c r="E249" s="107" t="s">
        <v>10</v>
      </c>
      <c r="F249" s="115">
        <v>6</v>
      </c>
      <c r="G249" s="107" t="s">
        <v>28</v>
      </c>
      <c r="H249" s="107" t="str">
        <f t="shared" si="18"/>
        <v>Area 6: E Juan de Fuca</v>
      </c>
      <c r="I249" s="107" t="str">
        <f>IFERROR(VLOOKUP(H249,LUTs!$A$1:$C$73,2,FALSE),"NA")</f>
        <v>NA</v>
      </c>
      <c r="J249" s="107" t="str">
        <f>IFERROR(VLOOKUP(H249,LUTs!$A$1:$C$73,3,FALSE),"NA")</f>
        <v>0Strait of Juan de Fuca</v>
      </c>
      <c r="K249" s="107" t="s">
        <v>24</v>
      </c>
      <c r="L249" s="107" t="str">
        <f>VLOOKUP(K249,LUTs!E$2:G$14,3,)</f>
        <v>11Clallam</v>
      </c>
      <c r="M249" s="107" t="str">
        <f>VLOOKUP($K249,LUTs!$E$2:$H$14,2,)</f>
        <v>Strait of Juan de Fuca</v>
      </c>
      <c r="N249" s="107" t="str">
        <f>VLOOKUP($K249,LUTs!$E$2:$H$14,4,)</f>
        <v>03Strait of Juan de Fuca</v>
      </c>
      <c r="O249" s="107">
        <v>12042.012591815301</v>
      </c>
      <c r="P249" s="107">
        <v>13172.1045862064</v>
      </c>
      <c r="Q249" s="107">
        <f t="shared" si="19"/>
        <v>12042.012591815301</v>
      </c>
      <c r="R249" s="107">
        <f t="shared" si="20"/>
        <v>13172.1045862064</v>
      </c>
      <c r="S249" s="140" t="str">
        <f t="shared" si="21"/>
        <v>Y</v>
      </c>
      <c r="T249" s="154">
        <f t="shared" si="22"/>
        <v>1.0938457741822325</v>
      </c>
      <c r="U249" s="154">
        <f t="shared" si="23"/>
        <v>1.0938457741822325</v>
      </c>
    </row>
    <row r="250" spans="1:21" x14ac:dyDescent="0.35">
      <c r="A250" s="107">
        <v>2860</v>
      </c>
      <c r="B250" s="107">
        <v>2018</v>
      </c>
      <c r="C250" s="107" t="s">
        <v>9</v>
      </c>
      <c r="D250" s="107" t="s">
        <v>132</v>
      </c>
      <c r="E250" s="107" t="s">
        <v>10</v>
      </c>
      <c r="F250" s="115">
        <v>6</v>
      </c>
      <c r="G250" s="107" t="s">
        <v>28</v>
      </c>
      <c r="H250" s="107" t="str">
        <f t="shared" si="18"/>
        <v>Area 6: E Juan de Fuca</v>
      </c>
      <c r="I250" s="107" t="str">
        <f>IFERROR(VLOOKUP(H250,LUTs!$A$1:$C$73,2,FALSE),"NA")</f>
        <v>NA</v>
      </c>
      <c r="J250" s="107" t="str">
        <f>IFERROR(VLOOKUP(H250,LUTs!$A$1:$C$73,3,FALSE),"NA")</f>
        <v>0Strait of Juan de Fuca</v>
      </c>
      <c r="K250" s="107" t="s">
        <v>17</v>
      </c>
      <c r="L250" s="107" t="str">
        <f>VLOOKUP(K250,LUTs!E$2:G$14,3,)</f>
        <v>04Island</v>
      </c>
      <c r="M250" s="107" t="str">
        <f>VLOOKUP($K250,LUTs!$E$2:$H$14,2,)</f>
        <v>North Puget Sound</v>
      </c>
      <c r="N250" s="107" t="str">
        <f>VLOOKUP($K250,LUTs!$E$2:$H$14,4,)</f>
        <v>01North Puget Sound</v>
      </c>
      <c r="O250" s="107">
        <v>39.275970619097599</v>
      </c>
      <c r="P250" s="107">
        <v>42.961854488605397</v>
      </c>
      <c r="Q250" s="107">
        <f t="shared" si="19"/>
        <v>39.275970619097599</v>
      </c>
      <c r="R250" s="107">
        <f t="shared" si="20"/>
        <v>42.961854488605397</v>
      </c>
      <c r="S250" s="140" t="str">
        <f t="shared" si="21"/>
        <v>Y</v>
      </c>
      <c r="T250" s="154">
        <f t="shared" si="22"/>
        <v>1.0938457741822316</v>
      </c>
      <c r="U250" s="154">
        <f t="shared" si="23"/>
        <v>1.0938457741822316</v>
      </c>
    </row>
    <row r="251" spans="1:21" x14ac:dyDescent="0.35">
      <c r="A251" s="107">
        <v>2953</v>
      </c>
      <c r="B251" s="107">
        <v>2018</v>
      </c>
      <c r="C251" s="107" t="s">
        <v>9</v>
      </c>
      <c r="D251" s="107" t="s">
        <v>132</v>
      </c>
      <c r="E251" s="107" t="s">
        <v>10</v>
      </c>
      <c r="F251" s="115">
        <v>6</v>
      </c>
      <c r="G251" s="107" t="s">
        <v>28</v>
      </c>
      <c r="H251" s="107" t="str">
        <f t="shared" si="18"/>
        <v>Area 6: E Juan de Fuca</v>
      </c>
      <c r="I251" s="107" t="str">
        <f>IFERROR(VLOOKUP(H251,LUTs!$A$1:$C$73,2,FALSE),"NA")</f>
        <v>NA</v>
      </c>
      <c r="J251" s="107" t="str">
        <f>IFERROR(VLOOKUP(H251,LUTs!$A$1:$C$73,3,FALSE),"NA")</f>
        <v>0Strait of Juan de Fuca</v>
      </c>
      <c r="K251" s="107" t="s">
        <v>25</v>
      </c>
      <c r="L251" s="107" t="str">
        <f>VLOOKUP(K251,LUTs!E$2:G$14,3,)</f>
        <v>12Jefferson</v>
      </c>
      <c r="M251" s="107" t="str">
        <f>VLOOKUP($K251,LUTs!$E$2:$H$14,2,)</f>
        <v>Strait of Juan de Fuca</v>
      </c>
      <c r="N251" s="107" t="str">
        <f>VLOOKUP($K251,LUTs!$E$2:$H$14,4,)</f>
        <v>03Strait of Juan de Fuca</v>
      </c>
      <c r="O251" s="107">
        <v>424.18048268625398</v>
      </c>
      <c r="P251" s="107">
        <v>463.98802847693901</v>
      </c>
      <c r="Q251" s="107">
        <f t="shared" si="19"/>
        <v>424.18048268625398</v>
      </c>
      <c r="R251" s="107">
        <f t="shared" si="20"/>
        <v>463.98802847693901</v>
      </c>
      <c r="S251" s="140" t="str">
        <f t="shared" si="21"/>
        <v>Y</v>
      </c>
      <c r="T251" s="154">
        <f t="shared" si="22"/>
        <v>1.0938457741822336</v>
      </c>
      <c r="U251" s="154">
        <f t="shared" si="23"/>
        <v>1.0938457741822336</v>
      </c>
    </row>
    <row r="252" spans="1:21" x14ac:dyDescent="0.35">
      <c r="A252" s="107">
        <v>2862</v>
      </c>
      <c r="B252" s="107">
        <v>2018</v>
      </c>
      <c r="C252" s="107" t="s">
        <v>9</v>
      </c>
      <c r="D252" s="107" t="s">
        <v>132</v>
      </c>
      <c r="E252" s="107" t="s">
        <v>10</v>
      </c>
      <c r="F252" s="115">
        <v>6</v>
      </c>
      <c r="G252" s="107" t="s">
        <v>28</v>
      </c>
      <c r="H252" s="107" t="str">
        <f t="shared" si="18"/>
        <v>Area 6: E Juan de Fuca</v>
      </c>
      <c r="I252" s="107" t="str">
        <f>IFERROR(VLOOKUP(H252,LUTs!$A$1:$C$73,2,FALSE),"NA")</f>
        <v>NA</v>
      </c>
      <c r="J252" s="107" t="str">
        <f>IFERROR(VLOOKUP(H252,LUTs!$A$1:$C$73,3,FALSE),"NA")</f>
        <v>0Strait of Juan de Fuca</v>
      </c>
      <c r="K252" s="107" t="s">
        <v>18</v>
      </c>
      <c r="L252" s="107" t="str">
        <f>VLOOKUP(K252,LUTs!E$2:G$14,3,)</f>
        <v>06King</v>
      </c>
      <c r="M252" s="107" t="str">
        <f>VLOOKUP($K252,LUTs!$E$2:$H$14,2,)</f>
        <v>South Puget Sound</v>
      </c>
      <c r="N252" s="107" t="str">
        <f>VLOOKUP($K252,LUTs!$E$2:$H$14,4,)</f>
        <v>02South Puget Sound</v>
      </c>
      <c r="O252" s="107">
        <v>424.18048268625398</v>
      </c>
      <c r="P252" s="107">
        <v>463.98802847693901</v>
      </c>
      <c r="Q252" s="107">
        <f t="shared" si="19"/>
        <v>424.18048268625398</v>
      </c>
      <c r="R252" s="107">
        <f t="shared" si="20"/>
        <v>463.98802847693901</v>
      </c>
      <c r="S252" s="140" t="str">
        <f t="shared" si="21"/>
        <v>Y</v>
      </c>
      <c r="T252" s="154">
        <f t="shared" si="22"/>
        <v>1.0938457741822336</v>
      </c>
      <c r="U252" s="154">
        <f t="shared" si="23"/>
        <v>1.0938457741822336</v>
      </c>
    </row>
    <row r="253" spans="1:21" x14ac:dyDescent="0.35">
      <c r="A253" s="107">
        <v>2951</v>
      </c>
      <c r="B253" s="107">
        <v>2018</v>
      </c>
      <c r="C253" s="107" t="s">
        <v>9</v>
      </c>
      <c r="D253" s="107" t="s">
        <v>132</v>
      </c>
      <c r="E253" s="107" t="s">
        <v>10</v>
      </c>
      <c r="F253" s="115">
        <v>6</v>
      </c>
      <c r="G253" s="107" t="s">
        <v>28</v>
      </c>
      <c r="H253" s="107" t="str">
        <f t="shared" si="18"/>
        <v>Area 6: E Juan de Fuca</v>
      </c>
      <c r="I253" s="107" t="str">
        <f>IFERROR(VLOOKUP(H253,LUTs!$A$1:$C$73,2,FALSE),"NA")</f>
        <v>NA</v>
      </c>
      <c r="J253" s="107" t="str">
        <f>IFERROR(VLOOKUP(H253,LUTs!$A$1:$C$73,3,FALSE),"NA")</f>
        <v>0Strait of Juan de Fuca</v>
      </c>
      <c r="K253" s="107" t="s">
        <v>23</v>
      </c>
      <c r="L253" s="107" t="str">
        <f>VLOOKUP(K253,LUTs!E$2:G$14,3,)</f>
        <v>10Kitsap</v>
      </c>
      <c r="M253" s="107" t="str">
        <f>VLOOKUP($K253,LUTs!$E$2:$H$14,2,)</f>
        <v>South Puget Sound</v>
      </c>
      <c r="N253" s="107" t="str">
        <f>VLOOKUP($K253,LUTs!$E$2:$H$14,4,)</f>
        <v>02South Puget Sound</v>
      </c>
      <c r="O253" s="107">
        <v>471.31164742917099</v>
      </c>
      <c r="P253" s="107">
        <v>515.54225386326505</v>
      </c>
      <c r="Q253" s="107">
        <f t="shared" si="19"/>
        <v>471.31164742917099</v>
      </c>
      <c r="R253" s="107">
        <f t="shared" si="20"/>
        <v>515.54225386326505</v>
      </c>
      <c r="S253" s="140" t="str">
        <f t="shared" si="21"/>
        <v>Y</v>
      </c>
      <c r="T253" s="154">
        <f t="shared" si="22"/>
        <v>1.0938457741822327</v>
      </c>
      <c r="U253" s="154">
        <f t="shared" si="23"/>
        <v>1.0938457741822327</v>
      </c>
    </row>
    <row r="254" spans="1:21" x14ac:dyDescent="0.35">
      <c r="A254" s="107">
        <v>2948</v>
      </c>
      <c r="B254" s="107">
        <v>2018</v>
      </c>
      <c r="C254" s="107" t="s">
        <v>9</v>
      </c>
      <c r="D254" s="107" t="s">
        <v>132</v>
      </c>
      <c r="E254" s="107" t="s">
        <v>10</v>
      </c>
      <c r="F254" s="115">
        <v>6</v>
      </c>
      <c r="G254" s="107" t="s">
        <v>28</v>
      </c>
      <c r="H254" s="107" t="str">
        <f t="shared" si="18"/>
        <v>Area 6: E Juan de Fuca</v>
      </c>
      <c r="I254" s="107" t="str">
        <f>IFERROR(VLOOKUP(H254,LUTs!$A$1:$C$73,2,FALSE),"NA")</f>
        <v>NA</v>
      </c>
      <c r="J254" s="107" t="str">
        <f>IFERROR(VLOOKUP(H254,LUTs!$A$1:$C$73,3,FALSE),"NA")</f>
        <v>0Strait of Juan de Fuca</v>
      </c>
      <c r="K254" s="107" t="s">
        <v>22</v>
      </c>
      <c r="L254" s="107" t="str">
        <f>VLOOKUP(K254,LUTs!E$2:G$14,3,)</f>
        <v>09Mason</v>
      </c>
      <c r="M254" s="107" t="str">
        <f>VLOOKUP($K254,LUTs!$E$2:$H$14,2,)</f>
        <v>South Puget Sound</v>
      </c>
      <c r="N254" s="107" t="str">
        <f>VLOOKUP($K254,LUTs!$E$2:$H$14,4,)</f>
        <v>02South Puget Sound</v>
      </c>
      <c r="O254" s="107">
        <v>109.972717733473</v>
      </c>
      <c r="P254" s="107">
        <v>120.29319256809499</v>
      </c>
      <c r="Q254" s="107">
        <f t="shared" si="19"/>
        <v>109.972717733473</v>
      </c>
      <c r="R254" s="107">
        <f t="shared" si="20"/>
        <v>120.29319256809499</v>
      </c>
      <c r="S254" s="140" t="str">
        <f t="shared" si="21"/>
        <v>Y</v>
      </c>
      <c r="T254" s="154">
        <f t="shared" si="22"/>
        <v>1.0938457741822334</v>
      </c>
      <c r="U254" s="154">
        <f t="shared" si="23"/>
        <v>1.0938457741822334</v>
      </c>
    </row>
    <row r="255" spans="1:21" x14ac:dyDescent="0.35">
      <c r="A255" s="107">
        <v>2954</v>
      </c>
      <c r="B255" s="107">
        <v>2018</v>
      </c>
      <c r="C255" s="107" t="s">
        <v>9</v>
      </c>
      <c r="D255" s="107" t="s">
        <v>132</v>
      </c>
      <c r="E255" s="107" t="s">
        <v>10</v>
      </c>
      <c r="F255" s="115">
        <v>6</v>
      </c>
      <c r="G255" s="107" t="s">
        <v>28</v>
      </c>
      <c r="H255" s="107" t="str">
        <f t="shared" si="18"/>
        <v>Area 6: E Juan de Fuca</v>
      </c>
      <c r="I255" s="107" t="str">
        <f>IFERROR(VLOOKUP(H255,LUTs!$A$1:$C$73,2,FALSE),"NA")</f>
        <v>NA</v>
      </c>
      <c r="J255" s="107" t="str">
        <f>IFERROR(VLOOKUP(H255,LUTs!$A$1:$C$73,3,FALSE),"NA")</f>
        <v>0Strait of Juan de Fuca</v>
      </c>
      <c r="K255" s="107" t="s">
        <v>26</v>
      </c>
      <c r="L255" s="107" t="str">
        <f>VLOOKUP(K255,LUTs!E$2:G$14,3,)</f>
        <v>20Other</v>
      </c>
      <c r="M255" s="107" t="str">
        <f>VLOOKUP($K255,LUTs!$E$2:$H$14,2,)</f>
        <v>Non Puget Sound</v>
      </c>
      <c r="N255" s="107" t="str">
        <f>VLOOKUP($K255,LUTs!$E$2:$H$14,4,)</f>
        <v>07Non Puget Sound</v>
      </c>
      <c r="O255" s="107">
        <v>432.03567681007399</v>
      </c>
      <c r="P255" s="107">
        <v>472.58039937465998</v>
      </c>
      <c r="Q255" s="107">
        <f t="shared" si="19"/>
        <v>432.03567681007399</v>
      </c>
      <c r="R255" s="107">
        <f t="shared" si="20"/>
        <v>472.58039937465998</v>
      </c>
      <c r="S255" s="140" t="str">
        <f t="shared" si="21"/>
        <v>Y</v>
      </c>
      <c r="T255" s="154">
        <f t="shared" si="22"/>
        <v>1.0938457741822321</v>
      </c>
      <c r="U255" s="154">
        <f t="shared" si="23"/>
        <v>1.0938457741822321</v>
      </c>
    </row>
    <row r="256" spans="1:21" x14ac:dyDescent="0.35">
      <c r="A256" s="107">
        <v>2863</v>
      </c>
      <c r="B256" s="107">
        <v>2018</v>
      </c>
      <c r="C256" s="107" t="s">
        <v>9</v>
      </c>
      <c r="D256" s="107" t="s">
        <v>132</v>
      </c>
      <c r="E256" s="107" t="s">
        <v>10</v>
      </c>
      <c r="F256" s="115">
        <v>6</v>
      </c>
      <c r="G256" s="107" t="s">
        <v>28</v>
      </c>
      <c r="H256" s="107" t="str">
        <f t="shared" si="18"/>
        <v>Area 6: E Juan de Fuca</v>
      </c>
      <c r="I256" s="107" t="str">
        <f>IFERROR(VLOOKUP(H256,LUTs!$A$1:$C$73,2,FALSE),"NA")</f>
        <v>NA</v>
      </c>
      <c r="J256" s="107" t="str">
        <f>IFERROR(VLOOKUP(H256,LUTs!$A$1:$C$73,3,FALSE),"NA")</f>
        <v>0Strait of Juan de Fuca</v>
      </c>
      <c r="K256" s="107" t="s">
        <v>20</v>
      </c>
      <c r="L256" s="107" t="str">
        <f>VLOOKUP(K256,LUTs!E$2:G$14,3,)</f>
        <v>07Pierce</v>
      </c>
      <c r="M256" s="107" t="str">
        <f>VLOOKUP($K256,LUTs!$E$2:$H$14,2,)</f>
        <v>South Puget Sound</v>
      </c>
      <c r="N256" s="107" t="str">
        <f>VLOOKUP($K256,LUTs!$E$2:$H$14,4,)</f>
        <v>02South Puget Sound</v>
      </c>
      <c r="O256" s="107">
        <v>463.456453305352</v>
      </c>
      <c r="P256" s="107">
        <v>506.94988296554402</v>
      </c>
      <c r="Q256" s="107">
        <f t="shared" si="19"/>
        <v>463.456453305352</v>
      </c>
      <c r="R256" s="107">
        <f t="shared" si="20"/>
        <v>506.94988296554402</v>
      </c>
      <c r="S256" s="140" t="str">
        <f t="shared" si="21"/>
        <v>Y</v>
      </c>
      <c r="T256" s="154">
        <f t="shared" si="22"/>
        <v>1.0938457741822316</v>
      </c>
      <c r="U256" s="154">
        <f t="shared" si="23"/>
        <v>1.0938457741822316</v>
      </c>
    </row>
    <row r="257" spans="1:21" x14ac:dyDescent="0.35">
      <c r="A257" s="107">
        <v>2861</v>
      </c>
      <c r="B257" s="107">
        <v>2018</v>
      </c>
      <c r="C257" s="107" t="s">
        <v>9</v>
      </c>
      <c r="D257" s="107" t="s">
        <v>132</v>
      </c>
      <c r="E257" s="107" t="s">
        <v>10</v>
      </c>
      <c r="F257" s="115">
        <v>6</v>
      </c>
      <c r="G257" s="107" t="s">
        <v>28</v>
      </c>
      <c r="H257" s="107" t="str">
        <f t="shared" si="18"/>
        <v>Area 6: E Juan de Fuca</v>
      </c>
      <c r="I257" s="107" t="str">
        <f>IFERROR(VLOOKUP(H257,LUTs!$A$1:$C$73,2,FALSE),"NA")</f>
        <v>NA</v>
      </c>
      <c r="J257" s="107" t="str">
        <f>IFERROR(VLOOKUP(H257,LUTs!$A$1:$C$73,3,FALSE),"NA")</f>
        <v>0Strait of Juan de Fuca</v>
      </c>
      <c r="K257" s="107" t="s">
        <v>30</v>
      </c>
      <c r="L257" s="107" t="str">
        <f>VLOOKUP(K257,LUTs!E$2:G$14,3,)</f>
        <v>05San Juan</v>
      </c>
      <c r="M257" s="107" t="str">
        <f>VLOOKUP($K257,LUTs!$E$2:$H$14,2,)</f>
        <v>North Puget Sound</v>
      </c>
      <c r="N257" s="107" t="str">
        <f>VLOOKUP($K257,LUTs!$E$2:$H$14,4,)</f>
        <v>01North Puget Sound</v>
      </c>
      <c r="O257" s="107">
        <v>117.827911857293</v>
      </c>
      <c r="P257" s="107">
        <v>128.88556346581601</v>
      </c>
      <c r="Q257" s="107">
        <f t="shared" si="19"/>
        <v>117.827911857293</v>
      </c>
      <c r="R257" s="107">
        <f t="shared" si="20"/>
        <v>128.88556346581601</v>
      </c>
      <c r="S257" s="140" t="str">
        <f t="shared" si="21"/>
        <v>Y</v>
      </c>
      <c r="T257" s="154">
        <f t="shared" si="22"/>
        <v>1.0938457741822281</v>
      </c>
      <c r="U257" s="154">
        <f t="shared" si="23"/>
        <v>1.0938457741822281</v>
      </c>
    </row>
    <row r="258" spans="1:21" x14ac:dyDescent="0.35">
      <c r="A258" s="107">
        <v>2849</v>
      </c>
      <c r="B258" s="107">
        <v>2018</v>
      </c>
      <c r="C258" s="107" t="s">
        <v>9</v>
      </c>
      <c r="D258" s="107" t="s">
        <v>132</v>
      </c>
      <c r="E258" s="107" t="s">
        <v>10</v>
      </c>
      <c r="F258" s="115">
        <v>6</v>
      </c>
      <c r="G258" s="107" t="s">
        <v>28</v>
      </c>
      <c r="H258" s="107" t="str">
        <f t="shared" ref="H258:H321" si="24">G258</f>
        <v>Area 6: E Juan de Fuca</v>
      </c>
      <c r="I258" s="107" t="str">
        <f>IFERROR(VLOOKUP(H258,LUTs!$A$1:$C$73,2,FALSE),"NA")</f>
        <v>NA</v>
      </c>
      <c r="J258" s="107" t="str">
        <f>IFERROR(VLOOKUP(H258,LUTs!$A$1:$C$73,3,FALSE),"NA")</f>
        <v>0Strait of Juan de Fuca</v>
      </c>
      <c r="K258" s="107" t="s">
        <v>15</v>
      </c>
      <c r="L258" s="107" t="str">
        <f>VLOOKUP(K258,LUTs!E$2:G$14,3,)</f>
        <v>02Skagit</v>
      </c>
      <c r="M258" s="107" t="str">
        <f>VLOOKUP($K258,LUTs!$E$2:$H$14,2,)</f>
        <v>North Puget Sound</v>
      </c>
      <c r="N258" s="107" t="str">
        <f>VLOOKUP($K258,LUTs!$E$2:$H$14,4,)</f>
        <v>01North Puget Sound</v>
      </c>
      <c r="O258" s="107">
        <v>70.696747114375697</v>
      </c>
      <c r="P258" s="107">
        <v>77.331338079489797</v>
      </c>
      <c r="Q258" s="107">
        <f t="shared" ref="Q258:Q321" si="25">O258</f>
        <v>70.696747114375697</v>
      </c>
      <c r="R258" s="107">
        <f t="shared" ref="R258:R321" si="26">P258</f>
        <v>77.331338079489797</v>
      </c>
      <c r="S258" s="140" t="str">
        <f t="shared" si="21"/>
        <v>Y</v>
      </c>
      <c r="T258" s="154">
        <f t="shared" si="22"/>
        <v>1.0938457741822325</v>
      </c>
      <c r="U258" s="154">
        <f t="shared" si="23"/>
        <v>1.0938457741822325</v>
      </c>
    </row>
    <row r="259" spans="1:21" x14ac:dyDescent="0.35">
      <c r="A259" s="107">
        <v>2859</v>
      </c>
      <c r="B259" s="107">
        <v>2018</v>
      </c>
      <c r="C259" s="107" t="s">
        <v>9</v>
      </c>
      <c r="D259" s="107" t="s">
        <v>132</v>
      </c>
      <c r="E259" s="107" t="s">
        <v>10</v>
      </c>
      <c r="F259" s="115">
        <v>6</v>
      </c>
      <c r="G259" s="107" t="s">
        <v>28</v>
      </c>
      <c r="H259" s="107" t="str">
        <f t="shared" si="24"/>
        <v>Area 6: E Juan de Fuca</v>
      </c>
      <c r="I259" s="107" t="str">
        <f>IFERROR(VLOOKUP(H259,LUTs!$A$1:$C$73,2,FALSE),"NA")</f>
        <v>NA</v>
      </c>
      <c r="J259" s="107" t="str">
        <f>IFERROR(VLOOKUP(H259,LUTs!$A$1:$C$73,3,FALSE),"NA")</f>
        <v>0Strait of Juan de Fuca</v>
      </c>
      <c r="K259" s="107" t="s">
        <v>16</v>
      </c>
      <c r="L259" s="107" t="str">
        <f>VLOOKUP(K259,LUTs!E$2:G$14,3,)</f>
        <v>03Snohomish</v>
      </c>
      <c r="M259" s="107" t="str">
        <f>VLOOKUP($K259,LUTs!$E$2:$H$14,2,)</f>
        <v>North Puget Sound</v>
      </c>
      <c r="N259" s="107" t="str">
        <f>VLOOKUP($K259,LUTs!$E$2:$H$14,4,)</f>
        <v>01North Puget Sound</v>
      </c>
      <c r="O259" s="107">
        <v>274.931794333683</v>
      </c>
      <c r="P259" s="107">
        <v>300.73298142023799</v>
      </c>
      <c r="Q259" s="107">
        <f t="shared" si="25"/>
        <v>274.931794333683</v>
      </c>
      <c r="R259" s="107">
        <f t="shared" si="26"/>
        <v>300.73298142023799</v>
      </c>
      <c r="S259" s="140" t="str">
        <f t="shared" ref="S259:S322" si="27">IF(B259&lt;=2019,"Y","N")</f>
        <v>Y</v>
      </c>
      <c r="T259" s="154">
        <f t="shared" ref="T259:T322" si="28">IFERROR(P259/O259,"NA")</f>
        <v>1.0938457741822332</v>
      </c>
      <c r="U259" s="154">
        <f t="shared" ref="U259:U322" si="29">IFERROR(R259/Q259,"NA")</f>
        <v>1.0938457741822332</v>
      </c>
    </row>
    <row r="260" spans="1:21" x14ac:dyDescent="0.35">
      <c r="A260" s="107">
        <v>2864</v>
      </c>
      <c r="B260" s="107">
        <v>2018</v>
      </c>
      <c r="C260" s="107" t="s">
        <v>9</v>
      </c>
      <c r="D260" s="107" t="s">
        <v>132</v>
      </c>
      <c r="E260" s="107" t="s">
        <v>10</v>
      </c>
      <c r="F260" s="115">
        <v>6</v>
      </c>
      <c r="G260" s="107" t="s">
        <v>28</v>
      </c>
      <c r="H260" s="107" t="str">
        <f t="shared" si="24"/>
        <v>Area 6: E Juan de Fuca</v>
      </c>
      <c r="I260" s="107" t="str">
        <f>IFERROR(VLOOKUP(H260,LUTs!$A$1:$C$73,2,FALSE),"NA")</f>
        <v>NA</v>
      </c>
      <c r="J260" s="107" t="str">
        <f>IFERROR(VLOOKUP(H260,LUTs!$A$1:$C$73,3,FALSE),"NA")</f>
        <v>0Strait of Juan de Fuca</v>
      </c>
      <c r="K260" s="107" t="s">
        <v>21</v>
      </c>
      <c r="L260" s="107" t="str">
        <f>VLOOKUP(K260,LUTs!E$2:G$14,3,)</f>
        <v>08Thurston</v>
      </c>
      <c r="M260" s="107" t="str">
        <f>VLOOKUP($K260,LUTs!$E$2:$H$14,2,)</f>
        <v>South Puget Sound</v>
      </c>
      <c r="N260" s="107" t="str">
        <f>VLOOKUP($K260,LUTs!$E$2:$H$14,4,)</f>
        <v>02South Puget Sound</v>
      </c>
      <c r="O260" s="107">
        <v>31.420776495278101</v>
      </c>
      <c r="P260" s="107">
        <v>34.3694835908844</v>
      </c>
      <c r="Q260" s="107">
        <f t="shared" si="25"/>
        <v>31.420776495278101</v>
      </c>
      <c r="R260" s="107">
        <f t="shared" si="26"/>
        <v>34.3694835908844</v>
      </c>
      <c r="S260" s="140" t="str">
        <f t="shared" si="27"/>
        <v>Y</v>
      </c>
      <c r="T260" s="154">
        <f t="shared" si="28"/>
        <v>1.0938457741822334</v>
      </c>
      <c r="U260" s="154">
        <f t="shared" si="29"/>
        <v>1.0938457741822334</v>
      </c>
    </row>
    <row r="261" spans="1:21" x14ac:dyDescent="0.35">
      <c r="A261" s="107">
        <v>2848</v>
      </c>
      <c r="B261" s="107">
        <v>2018</v>
      </c>
      <c r="C261" s="107" t="s">
        <v>9</v>
      </c>
      <c r="D261" s="107" t="s">
        <v>132</v>
      </c>
      <c r="E261" s="107" t="s">
        <v>10</v>
      </c>
      <c r="F261" s="115">
        <v>6</v>
      </c>
      <c r="G261" s="107" t="s">
        <v>28</v>
      </c>
      <c r="H261" s="107" t="str">
        <f t="shared" si="24"/>
        <v>Area 6: E Juan de Fuca</v>
      </c>
      <c r="I261" s="107" t="str">
        <f>IFERROR(VLOOKUP(H261,LUTs!$A$1:$C$73,2,FALSE),"NA")</f>
        <v>NA</v>
      </c>
      <c r="J261" s="107" t="str">
        <f>IFERROR(VLOOKUP(H261,LUTs!$A$1:$C$73,3,FALSE),"NA")</f>
        <v>0Strait of Juan de Fuca</v>
      </c>
      <c r="K261" s="107" t="s">
        <v>13</v>
      </c>
      <c r="L261" s="107" t="str">
        <f>VLOOKUP(K261,LUTs!E$2:G$14,3,)</f>
        <v>01Whatcom</v>
      </c>
      <c r="M261" s="107" t="str">
        <f>VLOOKUP($K261,LUTs!$E$2:$H$14,2,)</f>
        <v>North Puget Sound</v>
      </c>
      <c r="N261" s="107" t="str">
        <f>VLOOKUP($K261,LUTs!$E$2:$H$14,4,)</f>
        <v>01North Puget Sound</v>
      </c>
      <c r="O261" s="107">
        <v>70.696747114375697</v>
      </c>
      <c r="P261" s="107">
        <v>77.331338079489797</v>
      </c>
      <c r="Q261" s="107">
        <f t="shared" si="25"/>
        <v>70.696747114375697</v>
      </c>
      <c r="R261" s="107">
        <f t="shared" si="26"/>
        <v>77.331338079489797</v>
      </c>
      <c r="S261" s="140" t="str">
        <f t="shared" si="27"/>
        <v>Y</v>
      </c>
      <c r="T261" s="154">
        <f t="shared" si="28"/>
        <v>1.0938457741822325</v>
      </c>
      <c r="U261" s="154">
        <f t="shared" si="29"/>
        <v>1.0938457741822325</v>
      </c>
    </row>
    <row r="262" spans="1:21" x14ac:dyDescent="0.35">
      <c r="A262" s="107">
        <v>3290</v>
      </c>
      <c r="B262" s="107">
        <v>2019</v>
      </c>
      <c r="C262" s="107" t="s">
        <v>9</v>
      </c>
      <c r="D262" s="107" t="s">
        <v>132</v>
      </c>
      <c r="E262" s="107" t="s">
        <v>10</v>
      </c>
      <c r="F262" s="115">
        <v>6</v>
      </c>
      <c r="G262" s="107" t="s">
        <v>28</v>
      </c>
      <c r="H262" s="107" t="str">
        <f t="shared" si="24"/>
        <v>Area 6: E Juan de Fuca</v>
      </c>
      <c r="I262" s="107" t="str">
        <f>IFERROR(VLOOKUP(H262,LUTs!$A$1:$C$73,2,FALSE),"NA")</f>
        <v>NA</v>
      </c>
      <c r="J262" s="107" t="str">
        <f>IFERROR(VLOOKUP(H262,LUTs!$A$1:$C$73,3,FALSE),"NA")</f>
        <v>0Strait of Juan de Fuca</v>
      </c>
      <c r="K262" s="107" t="s">
        <v>24</v>
      </c>
      <c r="L262" s="107" t="str">
        <f>VLOOKUP(K262,LUTs!E$2:G$14,3,)</f>
        <v>11Clallam</v>
      </c>
      <c r="M262" s="107" t="str">
        <f>VLOOKUP($K262,LUTs!$E$2:$H$14,2,)</f>
        <v>Strait of Juan de Fuca</v>
      </c>
      <c r="N262" s="107" t="str">
        <f>VLOOKUP($K262,LUTs!$E$2:$H$14,4,)</f>
        <v>03Strait of Juan de Fuca</v>
      </c>
      <c r="O262" s="107">
        <v>8587.6116504854399</v>
      </c>
      <c r="P262" s="107">
        <v>9126.6460985593094</v>
      </c>
      <c r="Q262" s="107">
        <f t="shared" si="25"/>
        <v>8587.6116504854399</v>
      </c>
      <c r="R262" s="107">
        <f t="shared" si="26"/>
        <v>9126.6460985593094</v>
      </c>
      <c r="S262" s="140" t="str">
        <f t="shared" si="27"/>
        <v>Y</v>
      </c>
      <c r="T262" s="154">
        <f t="shared" si="28"/>
        <v>1.0627688430744768</v>
      </c>
      <c r="U262" s="154">
        <f t="shared" si="29"/>
        <v>1.0627688430744768</v>
      </c>
    </row>
    <row r="263" spans="1:21" x14ac:dyDescent="0.35">
      <c r="A263" s="107">
        <v>3184</v>
      </c>
      <c r="B263" s="107">
        <v>2019</v>
      </c>
      <c r="C263" s="107" t="s">
        <v>9</v>
      </c>
      <c r="D263" s="107" t="s">
        <v>132</v>
      </c>
      <c r="E263" s="107" t="s">
        <v>10</v>
      </c>
      <c r="F263" s="115">
        <v>6</v>
      </c>
      <c r="G263" s="107" t="s">
        <v>28</v>
      </c>
      <c r="H263" s="107" t="str">
        <f t="shared" si="24"/>
        <v>Area 6: E Juan de Fuca</v>
      </c>
      <c r="I263" s="107" t="str">
        <f>IFERROR(VLOOKUP(H263,LUTs!$A$1:$C$73,2,FALSE),"NA")</f>
        <v>NA</v>
      </c>
      <c r="J263" s="107" t="str">
        <f>IFERROR(VLOOKUP(H263,LUTs!$A$1:$C$73,3,FALSE),"NA")</f>
        <v>0Strait of Juan de Fuca</v>
      </c>
      <c r="K263" s="107" t="s">
        <v>17</v>
      </c>
      <c r="L263" s="107" t="str">
        <f>VLOOKUP(K263,LUTs!E$2:G$14,3,)</f>
        <v>04Island</v>
      </c>
      <c r="M263" s="107" t="str">
        <f>VLOOKUP($K263,LUTs!$E$2:$H$14,2,)</f>
        <v>North Puget Sound</v>
      </c>
      <c r="N263" s="107" t="str">
        <f>VLOOKUP($K263,LUTs!$E$2:$H$14,4,)</f>
        <v>01North Puget Sound</v>
      </c>
      <c r="O263" s="107">
        <v>290.81553398058298</v>
      </c>
      <c r="P263" s="107">
        <v>309.06968859662999</v>
      </c>
      <c r="Q263" s="107">
        <f t="shared" si="25"/>
        <v>290.81553398058298</v>
      </c>
      <c r="R263" s="107">
        <f t="shared" si="26"/>
        <v>309.06968859662999</v>
      </c>
      <c r="S263" s="140" t="str">
        <f t="shared" si="27"/>
        <v>Y</v>
      </c>
      <c r="T263" s="154">
        <f t="shared" si="28"/>
        <v>1.0627688430744755</v>
      </c>
      <c r="U263" s="154">
        <f t="shared" si="29"/>
        <v>1.0627688430744755</v>
      </c>
    </row>
    <row r="264" spans="1:21" x14ac:dyDescent="0.35">
      <c r="A264" s="107">
        <v>3291</v>
      </c>
      <c r="B264" s="107">
        <v>2019</v>
      </c>
      <c r="C264" s="107" t="s">
        <v>9</v>
      </c>
      <c r="D264" s="107" t="s">
        <v>132</v>
      </c>
      <c r="E264" s="107" t="s">
        <v>10</v>
      </c>
      <c r="F264" s="115">
        <v>6</v>
      </c>
      <c r="G264" s="107" t="s">
        <v>28</v>
      </c>
      <c r="H264" s="107" t="str">
        <f t="shared" si="24"/>
        <v>Area 6: E Juan de Fuca</v>
      </c>
      <c r="I264" s="107" t="str">
        <f>IFERROR(VLOOKUP(H264,LUTs!$A$1:$C$73,2,FALSE),"NA")</f>
        <v>NA</v>
      </c>
      <c r="J264" s="107" t="str">
        <f>IFERROR(VLOOKUP(H264,LUTs!$A$1:$C$73,3,FALSE),"NA")</f>
        <v>0Strait of Juan de Fuca</v>
      </c>
      <c r="K264" s="107" t="s">
        <v>25</v>
      </c>
      <c r="L264" s="107" t="str">
        <f>VLOOKUP(K264,LUTs!E$2:G$14,3,)</f>
        <v>12Jefferson</v>
      </c>
      <c r="M264" s="107" t="str">
        <f>VLOOKUP($K264,LUTs!$E$2:$H$14,2,)</f>
        <v>Strait of Juan de Fuca</v>
      </c>
      <c r="N264" s="107" t="str">
        <f>VLOOKUP($K264,LUTs!$E$2:$H$14,4,)</f>
        <v>03Strait of Juan de Fuca</v>
      </c>
      <c r="O264" s="107">
        <v>367.79611650485401</v>
      </c>
      <c r="P264" s="107">
        <v>390.88225322515001</v>
      </c>
      <c r="Q264" s="107">
        <f t="shared" si="25"/>
        <v>367.79611650485401</v>
      </c>
      <c r="R264" s="107">
        <f t="shared" si="26"/>
        <v>390.88225322515001</v>
      </c>
      <c r="S264" s="140" t="str">
        <f t="shared" si="27"/>
        <v>Y</v>
      </c>
      <c r="T264" s="154">
        <f t="shared" si="28"/>
        <v>1.0627688430744791</v>
      </c>
      <c r="U264" s="154">
        <f t="shared" si="29"/>
        <v>1.0627688430744791</v>
      </c>
    </row>
    <row r="265" spans="1:21" x14ac:dyDescent="0.35">
      <c r="A265" s="107">
        <v>3185</v>
      </c>
      <c r="B265" s="107">
        <v>2019</v>
      </c>
      <c r="C265" s="107" t="s">
        <v>9</v>
      </c>
      <c r="D265" s="107" t="s">
        <v>132</v>
      </c>
      <c r="E265" s="107" t="s">
        <v>10</v>
      </c>
      <c r="F265" s="115">
        <v>6</v>
      </c>
      <c r="G265" s="107" t="s">
        <v>28</v>
      </c>
      <c r="H265" s="107" t="str">
        <f t="shared" si="24"/>
        <v>Area 6: E Juan de Fuca</v>
      </c>
      <c r="I265" s="107" t="str">
        <f>IFERROR(VLOOKUP(H265,LUTs!$A$1:$C$73,2,FALSE),"NA")</f>
        <v>NA</v>
      </c>
      <c r="J265" s="107" t="str">
        <f>IFERROR(VLOOKUP(H265,LUTs!$A$1:$C$73,3,FALSE),"NA")</f>
        <v>0Strait of Juan de Fuca</v>
      </c>
      <c r="K265" s="107" t="s">
        <v>18</v>
      </c>
      <c r="L265" s="107" t="str">
        <f>VLOOKUP(K265,LUTs!E$2:G$14,3,)</f>
        <v>06King</v>
      </c>
      <c r="M265" s="107" t="str">
        <f>VLOOKUP($K265,LUTs!$E$2:$H$14,2,)</f>
        <v>South Puget Sound</v>
      </c>
      <c r="N265" s="107" t="str">
        <f>VLOOKUP($K265,LUTs!$E$2:$H$14,4,)</f>
        <v>02South Puget Sound</v>
      </c>
      <c r="O265" s="107">
        <v>624.39805825242695</v>
      </c>
      <c r="P265" s="107">
        <v>663.59080198688196</v>
      </c>
      <c r="Q265" s="107">
        <f t="shared" si="25"/>
        <v>624.39805825242695</v>
      </c>
      <c r="R265" s="107">
        <f t="shared" si="26"/>
        <v>663.59080198688196</v>
      </c>
      <c r="S265" s="140" t="str">
        <f t="shared" si="27"/>
        <v>Y</v>
      </c>
      <c r="T265" s="154">
        <f t="shared" si="28"/>
        <v>1.0627688430744775</v>
      </c>
      <c r="U265" s="154">
        <f t="shared" si="29"/>
        <v>1.0627688430744775</v>
      </c>
    </row>
    <row r="266" spans="1:21" x14ac:dyDescent="0.35">
      <c r="A266" s="107">
        <v>3289</v>
      </c>
      <c r="B266" s="107">
        <v>2019</v>
      </c>
      <c r="C266" s="107" t="s">
        <v>9</v>
      </c>
      <c r="D266" s="107" t="s">
        <v>132</v>
      </c>
      <c r="E266" s="107" t="s">
        <v>10</v>
      </c>
      <c r="F266" s="115">
        <v>6</v>
      </c>
      <c r="G266" s="107" t="s">
        <v>28</v>
      </c>
      <c r="H266" s="107" t="str">
        <f t="shared" si="24"/>
        <v>Area 6: E Juan de Fuca</v>
      </c>
      <c r="I266" s="107" t="str">
        <f>IFERROR(VLOOKUP(H266,LUTs!$A$1:$C$73,2,FALSE),"NA")</f>
        <v>NA</v>
      </c>
      <c r="J266" s="107" t="str">
        <f>IFERROR(VLOOKUP(H266,LUTs!$A$1:$C$73,3,FALSE),"NA")</f>
        <v>0Strait of Juan de Fuca</v>
      </c>
      <c r="K266" s="107" t="s">
        <v>23</v>
      </c>
      <c r="L266" s="107" t="str">
        <f>VLOOKUP(K266,LUTs!E$2:G$14,3,)</f>
        <v>10Kitsap</v>
      </c>
      <c r="M266" s="107" t="str">
        <f>VLOOKUP($K266,LUTs!$E$2:$H$14,2,)</f>
        <v>South Puget Sound</v>
      </c>
      <c r="N266" s="107" t="str">
        <f>VLOOKUP($K266,LUTs!$E$2:$H$14,4,)</f>
        <v>02South Puget Sound</v>
      </c>
      <c r="O266" s="107">
        <v>419.116504854369</v>
      </c>
      <c r="P266" s="107">
        <v>445.42396297749599</v>
      </c>
      <c r="Q266" s="107">
        <f t="shared" si="25"/>
        <v>419.116504854369</v>
      </c>
      <c r="R266" s="107">
        <f t="shared" si="26"/>
        <v>445.42396297749599</v>
      </c>
      <c r="S266" s="140" t="str">
        <f t="shared" si="27"/>
        <v>Y</v>
      </c>
      <c r="T266" s="154">
        <f t="shared" si="28"/>
        <v>1.0627688430744766</v>
      </c>
      <c r="U266" s="154">
        <f t="shared" si="29"/>
        <v>1.0627688430744766</v>
      </c>
    </row>
    <row r="267" spans="1:21" x14ac:dyDescent="0.35">
      <c r="A267" s="107">
        <v>3288</v>
      </c>
      <c r="B267" s="107">
        <v>2019</v>
      </c>
      <c r="C267" s="107" t="s">
        <v>9</v>
      </c>
      <c r="D267" s="107" t="s">
        <v>132</v>
      </c>
      <c r="E267" s="107" t="s">
        <v>10</v>
      </c>
      <c r="F267" s="115">
        <v>6</v>
      </c>
      <c r="G267" s="107" t="s">
        <v>28</v>
      </c>
      <c r="H267" s="107" t="str">
        <f t="shared" si="24"/>
        <v>Area 6: E Juan de Fuca</v>
      </c>
      <c r="I267" s="107" t="str">
        <f>IFERROR(VLOOKUP(H267,LUTs!$A$1:$C$73,2,FALSE),"NA")</f>
        <v>NA</v>
      </c>
      <c r="J267" s="107" t="str">
        <f>IFERROR(VLOOKUP(H267,LUTs!$A$1:$C$73,3,FALSE),"NA")</f>
        <v>0Strait of Juan de Fuca</v>
      </c>
      <c r="K267" s="107" t="s">
        <v>22</v>
      </c>
      <c r="L267" s="107" t="str">
        <f>VLOOKUP(K267,LUTs!E$2:G$14,3,)</f>
        <v>09Mason</v>
      </c>
      <c r="M267" s="107" t="str">
        <f>VLOOKUP($K267,LUTs!$E$2:$H$14,2,)</f>
        <v>South Puget Sound</v>
      </c>
      <c r="N267" s="107" t="str">
        <f>VLOOKUP($K267,LUTs!$E$2:$H$14,4,)</f>
        <v>02South Puget Sound</v>
      </c>
      <c r="O267" s="107">
        <v>76.980582524271895</v>
      </c>
      <c r="P267" s="107">
        <v>81.812564628519695</v>
      </c>
      <c r="Q267" s="107">
        <f t="shared" si="25"/>
        <v>76.980582524271895</v>
      </c>
      <c r="R267" s="107">
        <f t="shared" si="26"/>
        <v>81.812564628519695</v>
      </c>
      <c r="S267" s="140" t="str">
        <f t="shared" si="27"/>
        <v>Y</v>
      </c>
      <c r="T267" s="154">
        <f t="shared" si="28"/>
        <v>1.0627688430744764</v>
      </c>
      <c r="U267" s="154">
        <f t="shared" si="29"/>
        <v>1.0627688430744764</v>
      </c>
    </row>
    <row r="268" spans="1:21" x14ac:dyDescent="0.35">
      <c r="A268" s="107">
        <v>3292</v>
      </c>
      <c r="B268" s="107">
        <v>2019</v>
      </c>
      <c r="C268" s="107" t="s">
        <v>9</v>
      </c>
      <c r="D268" s="107" t="s">
        <v>132</v>
      </c>
      <c r="E268" s="107" t="s">
        <v>10</v>
      </c>
      <c r="F268" s="115">
        <v>6</v>
      </c>
      <c r="G268" s="107" t="s">
        <v>28</v>
      </c>
      <c r="H268" s="107" t="str">
        <f t="shared" si="24"/>
        <v>Area 6: E Juan de Fuca</v>
      </c>
      <c r="I268" s="107" t="str">
        <f>IFERROR(VLOOKUP(H268,LUTs!$A$1:$C$73,2,FALSE),"NA")</f>
        <v>NA</v>
      </c>
      <c r="J268" s="107" t="str">
        <f>IFERROR(VLOOKUP(H268,LUTs!$A$1:$C$73,3,FALSE),"NA")</f>
        <v>0Strait of Juan de Fuca</v>
      </c>
      <c r="K268" s="107" t="s">
        <v>26</v>
      </c>
      <c r="L268" s="107" t="str">
        <f>VLOOKUP(K268,LUTs!E$2:G$14,3,)</f>
        <v>20Other</v>
      </c>
      <c r="M268" s="107" t="str">
        <f>VLOOKUP($K268,LUTs!$E$2:$H$14,2,)</f>
        <v>Non Puget Sound</v>
      </c>
      <c r="N268" s="107" t="str">
        <f>VLOOKUP($K268,LUTs!$E$2:$H$14,4,)</f>
        <v>07Non Puget Sound</v>
      </c>
      <c r="O268" s="107">
        <v>838.233009708738</v>
      </c>
      <c r="P268" s="107">
        <v>890.84792595499198</v>
      </c>
      <c r="Q268" s="107">
        <f t="shared" si="25"/>
        <v>838.233009708738</v>
      </c>
      <c r="R268" s="107">
        <f t="shared" si="26"/>
        <v>890.84792595499198</v>
      </c>
      <c r="S268" s="140" t="str">
        <f t="shared" si="27"/>
        <v>Y</v>
      </c>
      <c r="T268" s="154">
        <f t="shared" si="28"/>
        <v>1.0627688430744766</v>
      </c>
      <c r="U268" s="154">
        <f t="shared" si="29"/>
        <v>1.0627688430744766</v>
      </c>
    </row>
    <row r="269" spans="1:21" x14ac:dyDescent="0.35">
      <c r="A269" s="107">
        <v>3186</v>
      </c>
      <c r="B269" s="107">
        <v>2019</v>
      </c>
      <c r="C269" s="107" t="s">
        <v>9</v>
      </c>
      <c r="D269" s="107" t="s">
        <v>132</v>
      </c>
      <c r="E269" s="107" t="s">
        <v>10</v>
      </c>
      <c r="F269" s="115">
        <v>6</v>
      </c>
      <c r="G269" s="107" t="s">
        <v>28</v>
      </c>
      <c r="H269" s="107" t="str">
        <f t="shared" si="24"/>
        <v>Area 6: E Juan de Fuca</v>
      </c>
      <c r="I269" s="107" t="str">
        <f>IFERROR(VLOOKUP(H269,LUTs!$A$1:$C$73,2,FALSE),"NA")</f>
        <v>NA</v>
      </c>
      <c r="J269" s="107" t="str">
        <f>IFERROR(VLOOKUP(H269,LUTs!$A$1:$C$73,3,FALSE),"NA")</f>
        <v>0Strait of Juan de Fuca</v>
      </c>
      <c r="K269" s="107" t="s">
        <v>20</v>
      </c>
      <c r="L269" s="107" t="str">
        <f>VLOOKUP(K269,LUTs!E$2:G$14,3,)</f>
        <v>07Pierce</v>
      </c>
      <c r="M269" s="107" t="str">
        <f>VLOOKUP($K269,LUTs!$E$2:$H$14,2,)</f>
        <v>South Puget Sound</v>
      </c>
      <c r="N269" s="107" t="str">
        <f>VLOOKUP($K269,LUTs!$E$2:$H$14,4,)</f>
        <v>02South Puget Sound</v>
      </c>
      <c r="O269" s="107">
        <v>419.116504854369</v>
      </c>
      <c r="P269" s="107">
        <v>445.42396297749599</v>
      </c>
      <c r="Q269" s="107">
        <f t="shared" si="25"/>
        <v>419.116504854369</v>
      </c>
      <c r="R269" s="107">
        <f t="shared" si="26"/>
        <v>445.42396297749599</v>
      </c>
      <c r="S269" s="140" t="str">
        <f t="shared" si="27"/>
        <v>Y</v>
      </c>
      <c r="T269" s="154">
        <f t="shared" si="28"/>
        <v>1.0627688430744766</v>
      </c>
      <c r="U269" s="154">
        <f t="shared" si="29"/>
        <v>1.0627688430744766</v>
      </c>
    </row>
    <row r="270" spans="1:21" x14ac:dyDescent="0.35">
      <c r="A270" s="107">
        <v>3182</v>
      </c>
      <c r="B270" s="107">
        <v>2019</v>
      </c>
      <c r="C270" s="107" t="s">
        <v>9</v>
      </c>
      <c r="D270" s="107" t="s">
        <v>132</v>
      </c>
      <c r="E270" s="107" t="s">
        <v>10</v>
      </c>
      <c r="F270" s="115">
        <v>6</v>
      </c>
      <c r="G270" s="107" t="s">
        <v>28</v>
      </c>
      <c r="H270" s="107" t="str">
        <f t="shared" si="24"/>
        <v>Area 6: E Juan de Fuca</v>
      </c>
      <c r="I270" s="107" t="str">
        <f>IFERROR(VLOOKUP(H270,LUTs!$A$1:$C$73,2,FALSE),"NA")</f>
        <v>NA</v>
      </c>
      <c r="J270" s="107" t="str">
        <f>IFERROR(VLOOKUP(H270,LUTs!$A$1:$C$73,3,FALSE),"NA")</f>
        <v>0Strait of Juan de Fuca</v>
      </c>
      <c r="K270" s="107" t="s">
        <v>15</v>
      </c>
      <c r="L270" s="107" t="str">
        <f>VLOOKUP(K270,LUTs!E$2:G$14,3,)</f>
        <v>02Skagit</v>
      </c>
      <c r="M270" s="107" t="str">
        <f>VLOOKUP($K270,LUTs!$E$2:$H$14,2,)</f>
        <v>North Puget Sound</v>
      </c>
      <c r="N270" s="107" t="str">
        <f>VLOOKUP($K270,LUTs!$E$2:$H$14,4,)</f>
        <v>01North Puget Sound</v>
      </c>
      <c r="O270" s="107">
        <v>359.242718446602</v>
      </c>
      <c r="P270" s="107">
        <v>381.79196826642499</v>
      </c>
      <c r="Q270" s="107">
        <f t="shared" si="25"/>
        <v>359.242718446602</v>
      </c>
      <c r="R270" s="107">
        <f t="shared" si="26"/>
        <v>381.79196826642499</v>
      </c>
      <c r="S270" s="140" t="str">
        <f t="shared" si="27"/>
        <v>Y</v>
      </c>
      <c r="T270" s="154">
        <f t="shared" si="28"/>
        <v>1.0627688430744762</v>
      </c>
      <c r="U270" s="154">
        <f t="shared" si="29"/>
        <v>1.0627688430744762</v>
      </c>
    </row>
    <row r="271" spans="1:21" x14ac:dyDescent="0.35">
      <c r="A271" s="107">
        <v>3183</v>
      </c>
      <c r="B271" s="107">
        <v>2019</v>
      </c>
      <c r="C271" s="107" t="s">
        <v>9</v>
      </c>
      <c r="D271" s="107" t="s">
        <v>132</v>
      </c>
      <c r="E271" s="107" t="s">
        <v>10</v>
      </c>
      <c r="F271" s="115">
        <v>6</v>
      </c>
      <c r="G271" s="107" t="s">
        <v>28</v>
      </c>
      <c r="H271" s="107" t="str">
        <f t="shared" si="24"/>
        <v>Area 6: E Juan de Fuca</v>
      </c>
      <c r="I271" s="107" t="str">
        <f>IFERROR(VLOOKUP(H271,LUTs!$A$1:$C$73,2,FALSE),"NA")</f>
        <v>NA</v>
      </c>
      <c r="J271" s="107" t="str">
        <f>IFERROR(VLOOKUP(H271,LUTs!$A$1:$C$73,3,FALSE),"NA")</f>
        <v>0Strait of Juan de Fuca</v>
      </c>
      <c r="K271" s="107" t="s">
        <v>16</v>
      </c>
      <c r="L271" s="107" t="str">
        <f>VLOOKUP(K271,LUTs!E$2:G$14,3,)</f>
        <v>03Snohomish</v>
      </c>
      <c r="M271" s="107" t="str">
        <f>VLOOKUP($K271,LUTs!$E$2:$H$14,2,)</f>
        <v>North Puget Sound</v>
      </c>
      <c r="N271" s="107" t="str">
        <f>VLOOKUP($K271,LUTs!$E$2:$H$14,4,)</f>
        <v>01North Puget Sound</v>
      </c>
      <c r="O271" s="107">
        <v>145.40776699029101</v>
      </c>
      <c r="P271" s="107">
        <v>154.53484429831499</v>
      </c>
      <c r="Q271" s="107">
        <f t="shared" si="25"/>
        <v>145.40776699029101</v>
      </c>
      <c r="R271" s="107">
        <f t="shared" si="26"/>
        <v>154.53484429831499</v>
      </c>
      <c r="S271" s="140" t="str">
        <f t="shared" si="27"/>
        <v>Y</v>
      </c>
      <c r="T271" s="154">
        <f t="shared" si="28"/>
        <v>1.0627688430744791</v>
      </c>
      <c r="U271" s="154">
        <f t="shared" si="29"/>
        <v>1.0627688430744791</v>
      </c>
    </row>
    <row r="272" spans="1:21" x14ac:dyDescent="0.35">
      <c r="A272" s="107">
        <v>3187</v>
      </c>
      <c r="B272" s="107">
        <v>2019</v>
      </c>
      <c r="C272" s="107" t="s">
        <v>9</v>
      </c>
      <c r="D272" s="107" t="s">
        <v>132</v>
      </c>
      <c r="E272" s="107" t="s">
        <v>10</v>
      </c>
      <c r="F272" s="115">
        <v>6</v>
      </c>
      <c r="G272" s="107" t="s">
        <v>28</v>
      </c>
      <c r="H272" s="107" t="str">
        <f t="shared" si="24"/>
        <v>Area 6: E Juan de Fuca</v>
      </c>
      <c r="I272" s="107" t="str">
        <f>IFERROR(VLOOKUP(H272,LUTs!$A$1:$C$73,2,FALSE),"NA")</f>
        <v>NA</v>
      </c>
      <c r="J272" s="107" t="str">
        <f>IFERROR(VLOOKUP(H272,LUTs!$A$1:$C$73,3,FALSE),"NA")</f>
        <v>0Strait of Juan de Fuca</v>
      </c>
      <c r="K272" s="107" t="s">
        <v>21</v>
      </c>
      <c r="L272" s="107" t="str">
        <f>VLOOKUP(K272,LUTs!E$2:G$14,3,)</f>
        <v>08Thurston</v>
      </c>
      <c r="M272" s="107" t="str">
        <f>VLOOKUP($K272,LUTs!$E$2:$H$14,2,)</f>
        <v>South Puget Sound</v>
      </c>
      <c r="N272" s="107" t="str">
        <f>VLOOKUP($K272,LUTs!$E$2:$H$14,4,)</f>
        <v>02South Puget Sound</v>
      </c>
      <c r="O272" s="107">
        <v>162.514563106796</v>
      </c>
      <c r="P272" s="107">
        <v>172.71541421576401</v>
      </c>
      <c r="Q272" s="107">
        <f t="shared" si="25"/>
        <v>162.514563106796</v>
      </c>
      <c r="R272" s="107">
        <f t="shared" si="26"/>
        <v>172.71541421576401</v>
      </c>
      <c r="S272" s="140" t="str">
        <f t="shared" si="27"/>
        <v>Y</v>
      </c>
      <c r="T272" s="154">
        <f t="shared" si="28"/>
        <v>1.0627688430744791</v>
      </c>
      <c r="U272" s="154">
        <f t="shared" si="29"/>
        <v>1.0627688430744791</v>
      </c>
    </row>
    <row r="273" spans="1:21" x14ac:dyDescent="0.35">
      <c r="A273" s="107">
        <v>3181</v>
      </c>
      <c r="B273" s="107">
        <v>2019</v>
      </c>
      <c r="C273" s="107" t="s">
        <v>9</v>
      </c>
      <c r="D273" s="107" t="s">
        <v>132</v>
      </c>
      <c r="E273" s="107" t="s">
        <v>10</v>
      </c>
      <c r="F273" s="115">
        <v>6</v>
      </c>
      <c r="G273" s="107" t="s">
        <v>28</v>
      </c>
      <c r="H273" s="107" t="str">
        <f t="shared" si="24"/>
        <v>Area 6: E Juan de Fuca</v>
      </c>
      <c r="I273" s="107" t="str">
        <f>IFERROR(VLOOKUP(H273,LUTs!$A$1:$C$73,2,FALSE),"NA")</f>
        <v>NA</v>
      </c>
      <c r="J273" s="107" t="str">
        <f>IFERROR(VLOOKUP(H273,LUTs!$A$1:$C$73,3,FALSE),"NA")</f>
        <v>0Strait of Juan de Fuca</v>
      </c>
      <c r="K273" s="107" t="s">
        <v>13</v>
      </c>
      <c r="L273" s="107" t="str">
        <f>VLOOKUP(K273,LUTs!E$2:G$14,3,)</f>
        <v>01Whatcom</v>
      </c>
      <c r="M273" s="107" t="str">
        <f>VLOOKUP($K273,LUTs!$E$2:$H$14,2,)</f>
        <v>North Puget Sound</v>
      </c>
      <c r="N273" s="107" t="str">
        <f>VLOOKUP($K273,LUTs!$E$2:$H$14,4,)</f>
        <v>01North Puget Sound</v>
      </c>
      <c r="O273" s="107">
        <v>42.766990291262097</v>
      </c>
      <c r="P273" s="107">
        <v>45.451424793622003</v>
      </c>
      <c r="Q273" s="107">
        <f t="shared" si="25"/>
        <v>42.766990291262097</v>
      </c>
      <c r="R273" s="107">
        <f t="shared" si="26"/>
        <v>45.451424793622003</v>
      </c>
      <c r="S273" s="140" t="str">
        <f t="shared" si="27"/>
        <v>Y</v>
      </c>
      <c r="T273" s="154">
        <f t="shared" si="28"/>
        <v>1.0627688430744768</v>
      </c>
      <c r="U273" s="154">
        <f t="shared" si="29"/>
        <v>1.0627688430744768</v>
      </c>
    </row>
    <row r="274" spans="1:21" x14ac:dyDescent="0.35">
      <c r="A274" s="107">
        <v>2959</v>
      </c>
      <c r="B274" s="107">
        <v>2020</v>
      </c>
      <c r="C274" s="107" t="s">
        <v>9</v>
      </c>
      <c r="D274" s="107" t="s">
        <v>132</v>
      </c>
      <c r="E274" s="107" t="s">
        <v>10</v>
      </c>
      <c r="F274" s="115">
        <v>6</v>
      </c>
      <c r="G274" s="107" t="s">
        <v>28</v>
      </c>
      <c r="H274" s="107" t="str">
        <f t="shared" si="24"/>
        <v>Area 6: E Juan de Fuca</v>
      </c>
      <c r="I274" s="107" t="str">
        <f>IFERROR(VLOOKUP(H274,LUTs!$A$1:$C$73,2,FALSE),"NA")</f>
        <v>NA</v>
      </c>
      <c r="J274" s="107" t="str">
        <f>IFERROR(VLOOKUP(H274,LUTs!$A$1:$C$73,3,FALSE),"NA")</f>
        <v>0Strait of Juan de Fuca</v>
      </c>
      <c r="K274" s="107" t="s">
        <v>24</v>
      </c>
      <c r="L274" s="107" t="str">
        <f>VLOOKUP(K274,LUTs!E$2:G$14,3,)</f>
        <v>11Clallam</v>
      </c>
      <c r="M274" s="107" t="str">
        <f>VLOOKUP($K274,LUTs!$E$2:$H$14,2,)</f>
        <v>Strait of Juan de Fuca</v>
      </c>
      <c r="N274" s="107" t="str">
        <f>VLOOKUP($K274,LUTs!$E$2:$H$14,4,)</f>
        <v>03Strait of Juan de Fuca</v>
      </c>
      <c r="O274" s="107">
        <v>5812.1787564766901</v>
      </c>
      <c r="P274" s="107">
        <v>6421.6520532004697</v>
      </c>
      <c r="Q274" s="107">
        <f t="shared" si="25"/>
        <v>5812.1787564766901</v>
      </c>
      <c r="R274" s="107">
        <f t="shared" si="26"/>
        <v>6421.6520532004697</v>
      </c>
      <c r="S274" s="140" t="str">
        <f t="shared" si="27"/>
        <v>N</v>
      </c>
      <c r="T274" s="154">
        <f t="shared" si="28"/>
        <v>1.1048614163913359</v>
      </c>
      <c r="U274" s="154">
        <f t="shared" si="29"/>
        <v>1.1048614163913359</v>
      </c>
    </row>
    <row r="275" spans="1:21" x14ac:dyDescent="0.35">
      <c r="A275" s="107">
        <v>3555</v>
      </c>
      <c r="B275" s="107">
        <v>2020</v>
      </c>
      <c r="C275" s="107" t="s">
        <v>9</v>
      </c>
      <c r="D275" s="107" t="s">
        <v>132</v>
      </c>
      <c r="E275" s="107" t="s">
        <v>10</v>
      </c>
      <c r="F275" s="115">
        <v>6</v>
      </c>
      <c r="G275" s="107" t="s">
        <v>28</v>
      </c>
      <c r="H275" s="107" t="str">
        <f t="shared" si="24"/>
        <v>Area 6: E Juan de Fuca</v>
      </c>
      <c r="I275" s="107" t="str">
        <f>IFERROR(VLOOKUP(H275,LUTs!$A$1:$C$73,2,FALSE),"NA")</f>
        <v>NA</v>
      </c>
      <c r="J275" s="107" t="str">
        <f>IFERROR(VLOOKUP(H275,LUTs!$A$1:$C$73,3,FALSE),"NA")</f>
        <v>0Strait of Juan de Fuca</v>
      </c>
      <c r="K275" s="107" t="s">
        <v>17</v>
      </c>
      <c r="L275" s="107" t="str">
        <f>VLOOKUP(K275,LUTs!E$2:G$14,3,)</f>
        <v>04Island</v>
      </c>
      <c r="M275" s="107" t="str">
        <f>VLOOKUP($K275,LUTs!$E$2:$H$14,2,)</f>
        <v>North Puget Sound</v>
      </c>
      <c r="N275" s="107" t="str">
        <f>VLOOKUP($K275,LUTs!$E$2:$H$14,4,)</f>
        <v>01North Puget Sound</v>
      </c>
      <c r="O275" s="107">
        <v>19.836787564766801</v>
      </c>
      <c r="P275" s="107">
        <v>21.916901205462299</v>
      </c>
      <c r="Q275" s="107">
        <f t="shared" si="25"/>
        <v>19.836787564766801</v>
      </c>
      <c r="R275" s="107">
        <f t="shared" si="26"/>
        <v>21.916901205462299</v>
      </c>
      <c r="S275" s="140" t="str">
        <f t="shared" si="27"/>
        <v>N</v>
      </c>
      <c r="T275" s="154">
        <f t="shared" si="28"/>
        <v>1.1048614163913364</v>
      </c>
      <c r="U275" s="154">
        <f t="shared" si="29"/>
        <v>1.1048614163913364</v>
      </c>
    </row>
    <row r="276" spans="1:21" x14ac:dyDescent="0.35">
      <c r="A276" s="107">
        <v>2960</v>
      </c>
      <c r="B276" s="107">
        <v>2020</v>
      </c>
      <c r="C276" s="107" t="s">
        <v>9</v>
      </c>
      <c r="D276" s="107" t="s">
        <v>132</v>
      </c>
      <c r="E276" s="107" t="s">
        <v>10</v>
      </c>
      <c r="F276" s="115">
        <v>6</v>
      </c>
      <c r="G276" s="107" t="s">
        <v>28</v>
      </c>
      <c r="H276" s="107" t="str">
        <f t="shared" si="24"/>
        <v>Area 6: E Juan de Fuca</v>
      </c>
      <c r="I276" s="107" t="str">
        <f>IFERROR(VLOOKUP(H276,LUTs!$A$1:$C$73,2,FALSE),"NA")</f>
        <v>NA</v>
      </c>
      <c r="J276" s="107" t="str">
        <f>IFERROR(VLOOKUP(H276,LUTs!$A$1:$C$73,3,FALSE),"NA")</f>
        <v>0Strait of Juan de Fuca</v>
      </c>
      <c r="K276" s="107" t="s">
        <v>25</v>
      </c>
      <c r="L276" s="107" t="str">
        <f>VLOOKUP(K276,LUTs!E$2:G$14,3,)</f>
        <v>12Jefferson</v>
      </c>
      <c r="M276" s="107" t="str">
        <f>VLOOKUP($K276,LUTs!$E$2:$H$14,2,)</f>
        <v>Strait of Juan de Fuca</v>
      </c>
      <c r="N276" s="107" t="str">
        <f>VLOOKUP($K276,LUTs!$E$2:$H$14,4,)</f>
        <v>03Strait of Juan de Fuca</v>
      </c>
      <c r="O276" s="107">
        <v>148.77590673575099</v>
      </c>
      <c r="P276" s="107">
        <v>164.37675904096801</v>
      </c>
      <c r="Q276" s="107">
        <f t="shared" si="25"/>
        <v>148.77590673575099</v>
      </c>
      <c r="R276" s="107">
        <f t="shared" si="26"/>
        <v>164.37675904096801</v>
      </c>
      <c r="S276" s="140" t="str">
        <f t="shared" si="27"/>
        <v>N</v>
      </c>
      <c r="T276" s="154">
        <f t="shared" si="28"/>
        <v>1.1048614163913417</v>
      </c>
      <c r="U276" s="154">
        <f t="shared" si="29"/>
        <v>1.1048614163913417</v>
      </c>
    </row>
    <row r="277" spans="1:21" x14ac:dyDescent="0.35">
      <c r="A277" s="107">
        <v>3609</v>
      </c>
      <c r="B277" s="107">
        <v>2020</v>
      </c>
      <c r="C277" s="107" t="s">
        <v>9</v>
      </c>
      <c r="D277" s="107" t="s">
        <v>132</v>
      </c>
      <c r="E277" s="107" t="s">
        <v>10</v>
      </c>
      <c r="F277" s="115">
        <v>6</v>
      </c>
      <c r="G277" s="107" t="s">
        <v>28</v>
      </c>
      <c r="H277" s="107" t="str">
        <f t="shared" si="24"/>
        <v>Area 6: E Juan de Fuca</v>
      </c>
      <c r="I277" s="107" t="str">
        <f>IFERROR(VLOOKUP(H277,LUTs!$A$1:$C$73,2,FALSE),"NA")</f>
        <v>NA</v>
      </c>
      <c r="J277" s="107" t="str">
        <f>IFERROR(VLOOKUP(H277,LUTs!$A$1:$C$73,3,FALSE),"NA")</f>
        <v>0Strait of Juan de Fuca</v>
      </c>
      <c r="K277" s="107" t="s">
        <v>18</v>
      </c>
      <c r="L277" s="107" t="str">
        <f>VLOOKUP(K277,LUTs!E$2:G$14,3,)</f>
        <v>06King</v>
      </c>
      <c r="M277" s="107" t="str">
        <f>VLOOKUP($K277,LUTs!$E$2:$H$14,2,)</f>
        <v>South Puget Sound</v>
      </c>
      <c r="N277" s="107" t="str">
        <f>VLOOKUP($K277,LUTs!$E$2:$H$14,4,)</f>
        <v>02South Puget Sound</v>
      </c>
      <c r="O277" s="107">
        <v>416.57253886010398</v>
      </c>
      <c r="P277" s="107">
        <v>460.254925314709</v>
      </c>
      <c r="Q277" s="107">
        <f t="shared" si="25"/>
        <v>416.57253886010398</v>
      </c>
      <c r="R277" s="107">
        <f t="shared" si="26"/>
        <v>460.254925314709</v>
      </c>
      <c r="S277" s="140" t="str">
        <f t="shared" si="27"/>
        <v>N</v>
      </c>
      <c r="T277" s="154">
        <f t="shared" si="28"/>
        <v>1.1048614163913353</v>
      </c>
      <c r="U277" s="154">
        <f t="shared" si="29"/>
        <v>1.1048614163913353</v>
      </c>
    </row>
    <row r="278" spans="1:21" x14ac:dyDescent="0.35">
      <c r="A278" s="107">
        <v>3679</v>
      </c>
      <c r="B278" s="107">
        <v>2020</v>
      </c>
      <c r="C278" s="107" t="s">
        <v>9</v>
      </c>
      <c r="D278" s="107" t="s">
        <v>132</v>
      </c>
      <c r="E278" s="107" t="s">
        <v>10</v>
      </c>
      <c r="F278" s="115">
        <v>6</v>
      </c>
      <c r="G278" s="107" t="s">
        <v>28</v>
      </c>
      <c r="H278" s="107" t="str">
        <f t="shared" si="24"/>
        <v>Area 6: E Juan de Fuca</v>
      </c>
      <c r="I278" s="107" t="str">
        <f>IFERROR(VLOOKUP(H278,LUTs!$A$1:$C$73,2,FALSE),"NA")</f>
        <v>NA</v>
      </c>
      <c r="J278" s="107" t="str">
        <f>IFERROR(VLOOKUP(H278,LUTs!$A$1:$C$73,3,FALSE),"NA")</f>
        <v>0Strait of Juan de Fuca</v>
      </c>
      <c r="K278" s="107" t="s">
        <v>23</v>
      </c>
      <c r="L278" s="107" t="str">
        <f>VLOOKUP(K278,LUTs!E$2:G$14,3,)</f>
        <v>10Kitsap</v>
      </c>
      <c r="M278" s="107" t="str">
        <f>VLOOKUP($K278,LUTs!$E$2:$H$14,2,)</f>
        <v>South Puget Sound</v>
      </c>
      <c r="N278" s="107" t="str">
        <f>VLOOKUP($K278,LUTs!$E$2:$H$14,4,)</f>
        <v>02South Puget Sound</v>
      </c>
      <c r="O278" s="107">
        <v>366.980569948187</v>
      </c>
      <c r="P278" s="107">
        <v>405.46267230105298</v>
      </c>
      <c r="Q278" s="107">
        <f t="shared" si="25"/>
        <v>366.980569948187</v>
      </c>
      <c r="R278" s="107">
        <f t="shared" si="26"/>
        <v>405.46267230105298</v>
      </c>
      <c r="S278" s="140" t="str">
        <f t="shared" si="27"/>
        <v>N</v>
      </c>
      <c r="T278" s="154">
        <f t="shared" si="28"/>
        <v>1.1048614163913342</v>
      </c>
      <c r="U278" s="154">
        <f t="shared" si="29"/>
        <v>1.1048614163913342</v>
      </c>
    </row>
    <row r="279" spans="1:21" x14ac:dyDescent="0.35">
      <c r="A279" s="107">
        <v>3241</v>
      </c>
      <c r="B279" s="107">
        <v>2020</v>
      </c>
      <c r="C279" s="107" t="s">
        <v>9</v>
      </c>
      <c r="D279" s="107" t="s">
        <v>132</v>
      </c>
      <c r="E279" s="107" t="s">
        <v>10</v>
      </c>
      <c r="F279" s="115">
        <v>6</v>
      </c>
      <c r="G279" s="107" t="s">
        <v>28</v>
      </c>
      <c r="H279" s="107" t="str">
        <f t="shared" si="24"/>
        <v>Area 6: E Juan de Fuca</v>
      </c>
      <c r="I279" s="107" t="str">
        <f>IFERROR(VLOOKUP(H279,LUTs!$A$1:$C$73,2,FALSE),"NA")</f>
        <v>NA</v>
      </c>
      <c r="J279" s="107" t="str">
        <f>IFERROR(VLOOKUP(H279,LUTs!$A$1:$C$73,3,FALSE),"NA")</f>
        <v>0Strait of Juan de Fuca</v>
      </c>
      <c r="K279" s="107" t="s">
        <v>26</v>
      </c>
      <c r="L279" s="107" t="str">
        <f>VLOOKUP(K279,LUTs!E$2:G$14,3,)</f>
        <v>20Other</v>
      </c>
      <c r="M279" s="107" t="str">
        <f>VLOOKUP($K279,LUTs!$E$2:$H$14,2,)</f>
        <v>Non Puget Sound</v>
      </c>
      <c r="N279" s="107" t="str">
        <f>VLOOKUP($K279,LUTs!$E$2:$H$14,4,)</f>
        <v>07Non Puget Sound</v>
      </c>
      <c r="O279" s="107">
        <v>476.08290155440397</v>
      </c>
      <c r="P279" s="107">
        <v>526.005628931096</v>
      </c>
      <c r="Q279" s="107">
        <f t="shared" si="25"/>
        <v>476.08290155440397</v>
      </c>
      <c r="R279" s="107">
        <f t="shared" si="26"/>
        <v>526.005628931096</v>
      </c>
      <c r="S279" s="140" t="str">
        <f t="shared" si="27"/>
        <v>N</v>
      </c>
      <c r="T279" s="154">
        <f t="shared" si="28"/>
        <v>1.1048614163913366</v>
      </c>
      <c r="U279" s="154">
        <f t="shared" si="29"/>
        <v>1.1048614163913366</v>
      </c>
    </row>
    <row r="280" spans="1:21" x14ac:dyDescent="0.35">
      <c r="A280" s="107">
        <v>3650</v>
      </c>
      <c r="B280" s="107">
        <v>2020</v>
      </c>
      <c r="C280" s="107" t="s">
        <v>9</v>
      </c>
      <c r="D280" s="107" t="s">
        <v>132</v>
      </c>
      <c r="E280" s="107" t="s">
        <v>10</v>
      </c>
      <c r="F280" s="115">
        <v>6</v>
      </c>
      <c r="G280" s="107" t="s">
        <v>28</v>
      </c>
      <c r="H280" s="107" t="str">
        <f t="shared" si="24"/>
        <v>Area 6: E Juan de Fuca</v>
      </c>
      <c r="I280" s="107" t="str">
        <f>IFERROR(VLOOKUP(H280,LUTs!$A$1:$C$73,2,FALSE),"NA")</f>
        <v>NA</v>
      </c>
      <c r="J280" s="107" t="str">
        <f>IFERROR(VLOOKUP(H280,LUTs!$A$1:$C$73,3,FALSE),"NA")</f>
        <v>0Strait of Juan de Fuca</v>
      </c>
      <c r="K280" s="107" t="s">
        <v>20</v>
      </c>
      <c r="L280" s="107" t="str">
        <f>VLOOKUP(K280,LUTs!E$2:G$14,3,)</f>
        <v>07Pierce</v>
      </c>
      <c r="M280" s="107" t="str">
        <f>VLOOKUP($K280,LUTs!$E$2:$H$14,2,)</f>
        <v>South Puget Sound</v>
      </c>
      <c r="N280" s="107" t="str">
        <f>VLOOKUP($K280,LUTs!$E$2:$H$14,4,)</f>
        <v>02South Puget Sound</v>
      </c>
      <c r="O280" s="107">
        <v>138.857512953368</v>
      </c>
      <c r="P280" s="107">
        <v>153.41830843823601</v>
      </c>
      <c r="Q280" s="107">
        <f t="shared" si="25"/>
        <v>138.857512953368</v>
      </c>
      <c r="R280" s="107">
        <f t="shared" si="26"/>
        <v>153.41830843823601</v>
      </c>
      <c r="S280" s="140" t="str">
        <f t="shared" si="27"/>
        <v>N</v>
      </c>
      <c r="T280" s="154">
        <f t="shared" si="28"/>
        <v>1.1048614163913328</v>
      </c>
      <c r="U280" s="154">
        <f t="shared" si="29"/>
        <v>1.1048614163913328</v>
      </c>
    </row>
    <row r="281" spans="1:21" x14ac:dyDescent="0.35">
      <c r="A281" s="107">
        <v>3466</v>
      </c>
      <c r="B281" s="107">
        <v>2020</v>
      </c>
      <c r="C281" s="107" t="s">
        <v>9</v>
      </c>
      <c r="D281" s="107" t="s">
        <v>132</v>
      </c>
      <c r="E281" s="107" t="s">
        <v>10</v>
      </c>
      <c r="F281" s="115">
        <v>6</v>
      </c>
      <c r="G281" s="107" t="s">
        <v>28</v>
      </c>
      <c r="H281" s="107" t="str">
        <f t="shared" si="24"/>
        <v>Area 6: E Juan de Fuca</v>
      </c>
      <c r="I281" s="107" t="str">
        <f>IFERROR(VLOOKUP(H281,LUTs!$A$1:$C$73,2,FALSE),"NA")</f>
        <v>NA</v>
      </c>
      <c r="J281" s="107" t="str">
        <f>IFERROR(VLOOKUP(H281,LUTs!$A$1:$C$73,3,FALSE),"NA")</f>
        <v>0Strait of Juan de Fuca</v>
      </c>
      <c r="K281" s="107" t="s">
        <v>15</v>
      </c>
      <c r="L281" s="107" t="str">
        <f>VLOOKUP(K281,LUTs!E$2:G$14,3,)</f>
        <v>02Skagit</v>
      </c>
      <c r="M281" s="107" t="str">
        <f>VLOOKUP($K281,LUTs!$E$2:$H$14,2,)</f>
        <v>North Puget Sound</v>
      </c>
      <c r="N281" s="107" t="str">
        <f>VLOOKUP($K281,LUTs!$E$2:$H$14,4,)</f>
        <v>01North Puget Sound</v>
      </c>
      <c r="O281" s="107">
        <v>19.836787564766801</v>
      </c>
      <c r="P281" s="107">
        <v>21.916901205462299</v>
      </c>
      <c r="Q281" s="107">
        <f t="shared" si="25"/>
        <v>19.836787564766801</v>
      </c>
      <c r="R281" s="107">
        <f t="shared" si="26"/>
        <v>21.916901205462299</v>
      </c>
      <c r="S281" s="140" t="str">
        <f t="shared" si="27"/>
        <v>N</v>
      </c>
      <c r="T281" s="154">
        <f t="shared" si="28"/>
        <v>1.1048614163913364</v>
      </c>
      <c r="U281" s="154">
        <f t="shared" si="29"/>
        <v>1.1048614163913364</v>
      </c>
    </row>
    <row r="282" spans="1:21" x14ac:dyDescent="0.35">
      <c r="A282" s="107">
        <v>3507</v>
      </c>
      <c r="B282" s="107">
        <v>2020</v>
      </c>
      <c r="C282" s="107" t="s">
        <v>9</v>
      </c>
      <c r="D282" s="107" t="s">
        <v>132</v>
      </c>
      <c r="E282" s="107" t="s">
        <v>10</v>
      </c>
      <c r="F282" s="115">
        <v>6</v>
      </c>
      <c r="G282" s="107" t="s">
        <v>28</v>
      </c>
      <c r="H282" s="107" t="str">
        <f t="shared" si="24"/>
        <v>Area 6: E Juan de Fuca</v>
      </c>
      <c r="I282" s="107" t="str">
        <f>IFERROR(VLOOKUP(H282,LUTs!$A$1:$C$73,2,FALSE),"NA")</f>
        <v>NA</v>
      </c>
      <c r="J282" s="107" t="str">
        <f>IFERROR(VLOOKUP(H282,LUTs!$A$1:$C$73,3,FALSE),"NA")</f>
        <v>0Strait of Juan de Fuca</v>
      </c>
      <c r="K282" s="107" t="s">
        <v>16</v>
      </c>
      <c r="L282" s="107" t="str">
        <f>VLOOKUP(K282,LUTs!E$2:G$14,3,)</f>
        <v>03Snohomish</v>
      </c>
      <c r="M282" s="107" t="str">
        <f>VLOOKUP($K282,LUTs!$E$2:$H$14,2,)</f>
        <v>North Puget Sound</v>
      </c>
      <c r="N282" s="107" t="str">
        <f>VLOOKUP($K282,LUTs!$E$2:$H$14,4,)</f>
        <v>01North Puget Sound</v>
      </c>
      <c r="O282" s="107">
        <v>49.5919689119171</v>
      </c>
      <c r="P282" s="107">
        <v>54.792253013655902</v>
      </c>
      <c r="Q282" s="107">
        <f t="shared" si="25"/>
        <v>49.5919689119171</v>
      </c>
      <c r="R282" s="107">
        <f t="shared" si="26"/>
        <v>54.792253013655902</v>
      </c>
      <c r="S282" s="140" t="str">
        <f t="shared" si="27"/>
        <v>N</v>
      </c>
      <c r="T282" s="154">
        <f t="shared" si="28"/>
        <v>1.1048614163913375</v>
      </c>
      <c r="U282" s="154">
        <f t="shared" si="29"/>
        <v>1.1048614163913375</v>
      </c>
    </row>
    <row r="283" spans="1:21" x14ac:dyDescent="0.35">
      <c r="A283" s="107">
        <v>3651</v>
      </c>
      <c r="B283" s="107">
        <v>2020</v>
      </c>
      <c r="C283" s="107" t="s">
        <v>9</v>
      </c>
      <c r="D283" s="107" t="s">
        <v>132</v>
      </c>
      <c r="E283" s="107" t="s">
        <v>10</v>
      </c>
      <c r="F283" s="115">
        <v>6</v>
      </c>
      <c r="G283" s="107" t="s">
        <v>28</v>
      </c>
      <c r="H283" s="107" t="str">
        <f t="shared" si="24"/>
        <v>Area 6: E Juan de Fuca</v>
      </c>
      <c r="I283" s="107" t="str">
        <f>IFERROR(VLOOKUP(H283,LUTs!$A$1:$C$73,2,FALSE),"NA")</f>
        <v>NA</v>
      </c>
      <c r="J283" s="107" t="str">
        <f>IFERROR(VLOOKUP(H283,LUTs!$A$1:$C$73,3,FALSE),"NA")</f>
        <v>0Strait of Juan de Fuca</v>
      </c>
      <c r="K283" s="107" t="s">
        <v>21</v>
      </c>
      <c r="L283" s="107" t="str">
        <f>VLOOKUP(K283,LUTs!E$2:G$14,3,)</f>
        <v>08Thurston</v>
      </c>
      <c r="M283" s="107" t="str">
        <f>VLOOKUP($K283,LUTs!$E$2:$H$14,2,)</f>
        <v>South Puget Sound</v>
      </c>
      <c r="N283" s="107" t="str">
        <f>VLOOKUP($K283,LUTs!$E$2:$H$14,4,)</f>
        <v>02South Puget Sound</v>
      </c>
      <c r="O283" s="107">
        <v>208.28626943005199</v>
      </c>
      <c r="P283" s="107">
        <v>230.12746265735501</v>
      </c>
      <c r="Q283" s="107">
        <f t="shared" si="25"/>
        <v>208.28626943005199</v>
      </c>
      <c r="R283" s="107">
        <f t="shared" si="26"/>
        <v>230.12746265735501</v>
      </c>
      <c r="S283" s="140" t="str">
        <f t="shared" si="27"/>
        <v>N</v>
      </c>
      <c r="T283" s="154">
        <f t="shared" si="28"/>
        <v>1.1048614163913377</v>
      </c>
      <c r="U283" s="154">
        <f t="shared" si="29"/>
        <v>1.1048614163913377</v>
      </c>
    </row>
    <row r="284" spans="1:21" x14ac:dyDescent="0.35">
      <c r="A284" s="107">
        <v>1508</v>
      </c>
      <c r="B284" s="107">
        <v>2021</v>
      </c>
      <c r="C284" s="107" t="s">
        <v>9</v>
      </c>
      <c r="D284" s="107" t="s">
        <v>132</v>
      </c>
      <c r="E284" s="107" t="s">
        <v>10</v>
      </c>
      <c r="F284" s="115">
        <v>6</v>
      </c>
      <c r="G284" s="107" t="s">
        <v>28</v>
      </c>
      <c r="H284" s="107" t="str">
        <f t="shared" si="24"/>
        <v>Area 6: E Juan de Fuca</v>
      </c>
      <c r="I284" s="107" t="str">
        <f>IFERROR(VLOOKUP(H284,LUTs!$A$1:$C$73,2,FALSE),"NA")</f>
        <v>NA</v>
      </c>
      <c r="J284" s="107" t="str">
        <f>IFERROR(VLOOKUP(H284,LUTs!$A$1:$C$73,3,FALSE),"NA")</f>
        <v>0Strait of Juan de Fuca</v>
      </c>
      <c r="K284" s="107" t="s">
        <v>24</v>
      </c>
      <c r="L284" s="107" t="str">
        <f>VLOOKUP(K284,LUTs!E$2:G$14,3,)</f>
        <v>11Clallam</v>
      </c>
      <c r="M284" s="107" t="str">
        <f>VLOOKUP($K284,LUTs!$E$2:$H$14,2,)</f>
        <v>Strait of Juan de Fuca</v>
      </c>
      <c r="N284" s="107" t="str">
        <f>VLOOKUP($K284,LUTs!$E$2:$H$14,4,)</f>
        <v>03Strait of Juan de Fuca</v>
      </c>
      <c r="O284" s="107">
        <v>8762.4835742444193</v>
      </c>
      <c r="P284" s="107">
        <v>13190.7164768895</v>
      </c>
      <c r="Q284" s="107">
        <f t="shared" si="25"/>
        <v>8762.4835742444193</v>
      </c>
      <c r="R284" s="107">
        <f t="shared" si="26"/>
        <v>13190.7164768895</v>
      </c>
      <c r="S284" s="140" t="str">
        <f t="shared" si="27"/>
        <v>N</v>
      </c>
      <c r="T284" s="154">
        <f t="shared" si="28"/>
        <v>1.5053627621809178</v>
      </c>
      <c r="U284" s="154">
        <f t="shared" si="29"/>
        <v>1.5053627621809178</v>
      </c>
    </row>
    <row r="285" spans="1:21" x14ac:dyDescent="0.35">
      <c r="A285" s="107">
        <v>1349</v>
      </c>
      <c r="B285" s="107">
        <v>2021</v>
      </c>
      <c r="C285" s="107" t="s">
        <v>9</v>
      </c>
      <c r="D285" s="107" t="s">
        <v>132</v>
      </c>
      <c r="E285" s="107" t="s">
        <v>10</v>
      </c>
      <c r="F285" s="115">
        <v>6</v>
      </c>
      <c r="G285" s="107" t="s">
        <v>28</v>
      </c>
      <c r="H285" s="107" t="str">
        <f t="shared" si="24"/>
        <v>Area 6: E Juan de Fuca</v>
      </c>
      <c r="I285" s="107" t="str">
        <f>IFERROR(VLOOKUP(H285,LUTs!$A$1:$C$73,2,FALSE),"NA")</f>
        <v>NA</v>
      </c>
      <c r="J285" s="107" t="str">
        <f>IFERROR(VLOOKUP(H285,LUTs!$A$1:$C$73,3,FALSE),"NA")</f>
        <v>0Strait of Juan de Fuca</v>
      </c>
      <c r="K285" s="107" t="s">
        <v>17</v>
      </c>
      <c r="L285" s="107" t="str">
        <f>VLOOKUP(K285,LUTs!E$2:G$14,3,)</f>
        <v>04Island</v>
      </c>
      <c r="M285" s="107" t="str">
        <f>VLOOKUP($K285,LUTs!$E$2:$H$14,2,)</f>
        <v>North Puget Sound</v>
      </c>
      <c r="N285" s="107" t="str">
        <f>VLOOKUP($K285,LUTs!$E$2:$H$14,4,)</f>
        <v>01North Puget Sound</v>
      </c>
      <c r="O285" s="107">
        <v>410.47963206307497</v>
      </c>
      <c r="P285" s="107">
        <v>617.92075274147703</v>
      </c>
      <c r="Q285" s="107">
        <f t="shared" si="25"/>
        <v>410.47963206307497</v>
      </c>
      <c r="R285" s="107">
        <f t="shared" si="26"/>
        <v>617.92075274147703</v>
      </c>
      <c r="S285" s="140" t="str">
        <f t="shared" si="27"/>
        <v>N</v>
      </c>
      <c r="T285" s="154">
        <f t="shared" si="28"/>
        <v>1.5053627621809169</v>
      </c>
      <c r="U285" s="154">
        <f t="shared" si="29"/>
        <v>1.5053627621809169</v>
      </c>
    </row>
    <row r="286" spans="1:21" x14ac:dyDescent="0.35">
      <c r="A286" s="107">
        <v>1509</v>
      </c>
      <c r="B286" s="107">
        <v>2021</v>
      </c>
      <c r="C286" s="107" t="s">
        <v>9</v>
      </c>
      <c r="D286" s="107" t="s">
        <v>132</v>
      </c>
      <c r="E286" s="107" t="s">
        <v>10</v>
      </c>
      <c r="F286" s="115">
        <v>6</v>
      </c>
      <c r="G286" s="107" t="s">
        <v>28</v>
      </c>
      <c r="H286" s="107" t="str">
        <f t="shared" si="24"/>
        <v>Area 6: E Juan de Fuca</v>
      </c>
      <c r="I286" s="107" t="str">
        <f>IFERROR(VLOOKUP(H286,LUTs!$A$1:$C$73,2,FALSE),"NA")</f>
        <v>NA</v>
      </c>
      <c r="J286" s="107" t="str">
        <f>IFERROR(VLOOKUP(H286,LUTs!$A$1:$C$73,3,FALSE),"NA")</f>
        <v>0Strait of Juan de Fuca</v>
      </c>
      <c r="K286" s="107" t="s">
        <v>25</v>
      </c>
      <c r="L286" s="107" t="str">
        <f>VLOOKUP(K286,LUTs!E$2:G$14,3,)</f>
        <v>12Jefferson</v>
      </c>
      <c r="M286" s="107" t="str">
        <f>VLOOKUP($K286,LUTs!$E$2:$H$14,2,)</f>
        <v>Strait of Juan de Fuca</v>
      </c>
      <c r="N286" s="107" t="str">
        <f>VLOOKUP($K286,LUTs!$E$2:$H$14,4,)</f>
        <v>03Strait of Juan de Fuca</v>
      </c>
      <c r="O286" s="107">
        <v>167.54270696451999</v>
      </c>
      <c r="P286" s="107">
        <v>252.212552139378</v>
      </c>
      <c r="Q286" s="107">
        <f t="shared" si="25"/>
        <v>167.54270696451999</v>
      </c>
      <c r="R286" s="107">
        <f t="shared" si="26"/>
        <v>252.212552139378</v>
      </c>
      <c r="S286" s="140" t="str">
        <f t="shared" si="27"/>
        <v>N</v>
      </c>
      <c r="T286" s="154">
        <f t="shared" si="28"/>
        <v>1.5053627621809185</v>
      </c>
      <c r="U286" s="154">
        <f t="shared" si="29"/>
        <v>1.5053627621809185</v>
      </c>
    </row>
    <row r="287" spans="1:21" x14ac:dyDescent="0.35">
      <c r="A287" s="107">
        <v>1351</v>
      </c>
      <c r="B287" s="107">
        <v>2021</v>
      </c>
      <c r="C287" s="107" t="s">
        <v>9</v>
      </c>
      <c r="D287" s="107" t="s">
        <v>132</v>
      </c>
      <c r="E287" s="107" t="s">
        <v>10</v>
      </c>
      <c r="F287" s="115">
        <v>6</v>
      </c>
      <c r="G287" s="107" t="s">
        <v>28</v>
      </c>
      <c r="H287" s="107" t="str">
        <f t="shared" si="24"/>
        <v>Area 6: E Juan de Fuca</v>
      </c>
      <c r="I287" s="107" t="str">
        <f>IFERROR(VLOOKUP(H287,LUTs!$A$1:$C$73,2,FALSE),"NA")</f>
        <v>NA</v>
      </c>
      <c r="J287" s="107" t="str">
        <f>IFERROR(VLOOKUP(H287,LUTs!$A$1:$C$73,3,FALSE),"NA")</f>
        <v>0Strait of Juan de Fuca</v>
      </c>
      <c r="K287" s="107" t="s">
        <v>18</v>
      </c>
      <c r="L287" s="107" t="str">
        <f>VLOOKUP(K287,LUTs!E$2:G$14,3,)</f>
        <v>06King</v>
      </c>
      <c r="M287" s="107" t="str">
        <f>VLOOKUP($K287,LUTs!$E$2:$H$14,2,)</f>
        <v>South Puget Sound</v>
      </c>
      <c r="N287" s="107" t="str">
        <f>VLOOKUP($K287,LUTs!$E$2:$H$14,4,)</f>
        <v>02South Puget Sound</v>
      </c>
      <c r="O287" s="107">
        <v>435.61103810775302</v>
      </c>
      <c r="P287" s="107">
        <v>655.75263556238394</v>
      </c>
      <c r="Q287" s="107">
        <f t="shared" si="25"/>
        <v>435.61103810775302</v>
      </c>
      <c r="R287" s="107">
        <f t="shared" si="26"/>
        <v>655.75263556238394</v>
      </c>
      <c r="S287" s="140" t="str">
        <f t="shared" si="27"/>
        <v>N</v>
      </c>
      <c r="T287" s="154">
        <f t="shared" si="28"/>
        <v>1.5053627621809174</v>
      </c>
      <c r="U287" s="154">
        <f t="shared" si="29"/>
        <v>1.5053627621809174</v>
      </c>
    </row>
    <row r="288" spans="1:21" x14ac:dyDescent="0.35">
      <c r="A288" s="107">
        <v>1488</v>
      </c>
      <c r="B288" s="107">
        <v>2021</v>
      </c>
      <c r="C288" s="107" t="s">
        <v>9</v>
      </c>
      <c r="D288" s="107" t="s">
        <v>132</v>
      </c>
      <c r="E288" s="107" t="s">
        <v>10</v>
      </c>
      <c r="F288" s="115">
        <v>6</v>
      </c>
      <c r="G288" s="107" t="s">
        <v>28</v>
      </c>
      <c r="H288" s="107" t="str">
        <f t="shared" si="24"/>
        <v>Area 6: E Juan de Fuca</v>
      </c>
      <c r="I288" s="107" t="str">
        <f>IFERROR(VLOOKUP(H288,LUTs!$A$1:$C$73,2,FALSE),"NA")</f>
        <v>NA</v>
      </c>
      <c r="J288" s="107" t="str">
        <f>IFERROR(VLOOKUP(H288,LUTs!$A$1:$C$73,3,FALSE),"NA")</f>
        <v>0Strait of Juan de Fuca</v>
      </c>
      <c r="K288" s="107" t="s">
        <v>23</v>
      </c>
      <c r="L288" s="107" t="str">
        <f>VLOOKUP(K288,LUTs!E$2:G$14,3,)</f>
        <v>10Kitsap</v>
      </c>
      <c r="M288" s="107" t="str">
        <f>VLOOKUP($K288,LUTs!$E$2:$H$14,2,)</f>
        <v>South Puget Sound</v>
      </c>
      <c r="N288" s="107" t="str">
        <f>VLOOKUP($K288,LUTs!$E$2:$H$14,4,)</f>
        <v>02South Puget Sound</v>
      </c>
      <c r="O288" s="107">
        <v>293.19973718791101</v>
      </c>
      <c r="P288" s="107">
        <v>441.37196624391203</v>
      </c>
      <c r="Q288" s="107">
        <f t="shared" si="25"/>
        <v>293.19973718791101</v>
      </c>
      <c r="R288" s="107">
        <f t="shared" si="26"/>
        <v>441.37196624391203</v>
      </c>
      <c r="S288" s="140" t="str">
        <f t="shared" si="27"/>
        <v>N</v>
      </c>
      <c r="T288" s="154">
        <f t="shared" si="28"/>
        <v>1.5053627621809149</v>
      </c>
      <c r="U288" s="154">
        <f t="shared" si="29"/>
        <v>1.5053627621809149</v>
      </c>
    </row>
    <row r="289" spans="1:21" x14ac:dyDescent="0.35">
      <c r="A289" s="107">
        <v>1353</v>
      </c>
      <c r="B289" s="107">
        <v>2021</v>
      </c>
      <c r="C289" s="107" t="s">
        <v>9</v>
      </c>
      <c r="D289" s="107" t="s">
        <v>132</v>
      </c>
      <c r="E289" s="107" t="s">
        <v>10</v>
      </c>
      <c r="F289" s="115">
        <v>6</v>
      </c>
      <c r="G289" s="107" t="s">
        <v>28</v>
      </c>
      <c r="H289" s="107" t="str">
        <f t="shared" si="24"/>
        <v>Area 6: E Juan de Fuca</v>
      </c>
      <c r="I289" s="107" t="str">
        <f>IFERROR(VLOOKUP(H289,LUTs!$A$1:$C$73,2,FALSE),"NA")</f>
        <v>NA</v>
      </c>
      <c r="J289" s="107" t="str">
        <f>IFERROR(VLOOKUP(H289,LUTs!$A$1:$C$73,3,FALSE),"NA")</f>
        <v>0Strait of Juan de Fuca</v>
      </c>
      <c r="K289" s="107" t="s">
        <v>22</v>
      </c>
      <c r="L289" s="107" t="str">
        <f>VLOOKUP(K289,LUTs!E$2:G$14,3,)</f>
        <v>09Mason</v>
      </c>
      <c r="M289" s="107" t="str">
        <f>VLOOKUP($K289,LUTs!$E$2:$H$14,2,)</f>
        <v>South Puget Sound</v>
      </c>
      <c r="N289" s="107" t="str">
        <f>VLOOKUP($K289,LUTs!$E$2:$H$14,4,)</f>
        <v>02South Puget Sound</v>
      </c>
      <c r="O289" s="107">
        <v>50.262812089356103</v>
      </c>
      <c r="P289" s="107">
        <v>75.663765641813498</v>
      </c>
      <c r="Q289" s="107">
        <f t="shared" si="25"/>
        <v>50.262812089356103</v>
      </c>
      <c r="R289" s="107">
        <f t="shared" si="26"/>
        <v>75.663765641813498</v>
      </c>
      <c r="S289" s="140" t="str">
        <f t="shared" si="27"/>
        <v>N</v>
      </c>
      <c r="T289" s="154">
        <f t="shared" si="28"/>
        <v>1.5053627621809171</v>
      </c>
      <c r="U289" s="154">
        <f t="shared" si="29"/>
        <v>1.5053627621809171</v>
      </c>
    </row>
    <row r="290" spans="1:21" x14ac:dyDescent="0.35">
      <c r="A290" s="107">
        <v>1510</v>
      </c>
      <c r="B290" s="107">
        <v>2021</v>
      </c>
      <c r="C290" s="107" t="s">
        <v>9</v>
      </c>
      <c r="D290" s="107" t="s">
        <v>132</v>
      </c>
      <c r="E290" s="107" t="s">
        <v>10</v>
      </c>
      <c r="F290" s="115">
        <v>6</v>
      </c>
      <c r="G290" s="107" t="s">
        <v>28</v>
      </c>
      <c r="H290" s="107" t="str">
        <f t="shared" si="24"/>
        <v>Area 6: E Juan de Fuca</v>
      </c>
      <c r="I290" s="107" t="str">
        <f>IFERROR(VLOOKUP(H290,LUTs!$A$1:$C$73,2,FALSE),"NA")</f>
        <v>NA</v>
      </c>
      <c r="J290" s="107" t="str">
        <f>IFERROR(VLOOKUP(H290,LUTs!$A$1:$C$73,3,FALSE),"NA")</f>
        <v>0Strait of Juan de Fuca</v>
      </c>
      <c r="K290" s="107" t="s">
        <v>26</v>
      </c>
      <c r="L290" s="107" t="str">
        <f>VLOOKUP(K290,LUTs!E$2:G$14,3,)</f>
        <v>20Other</v>
      </c>
      <c r="M290" s="107" t="str">
        <f>VLOOKUP($K290,LUTs!$E$2:$H$14,2,)</f>
        <v>Non Puget Sound</v>
      </c>
      <c r="N290" s="107" t="str">
        <f>VLOOKUP($K290,LUTs!$E$2:$H$14,4,)</f>
        <v>07Non Puget Sound</v>
      </c>
      <c r="O290" s="107">
        <v>1038.76478318003</v>
      </c>
      <c r="P290" s="107">
        <v>1563.71782326415</v>
      </c>
      <c r="Q290" s="107">
        <f t="shared" si="25"/>
        <v>1038.76478318003</v>
      </c>
      <c r="R290" s="107">
        <f t="shared" si="26"/>
        <v>1563.71782326415</v>
      </c>
      <c r="S290" s="140" t="str">
        <f t="shared" si="27"/>
        <v>N</v>
      </c>
      <c r="T290" s="154">
        <f t="shared" si="28"/>
        <v>1.5053627621809156</v>
      </c>
      <c r="U290" s="154">
        <f t="shared" si="29"/>
        <v>1.5053627621809156</v>
      </c>
    </row>
    <row r="291" spans="1:21" x14ac:dyDescent="0.35">
      <c r="A291" s="107">
        <v>1352</v>
      </c>
      <c r="B291" s="107">
        <v>2021</v>
      </c>
      <c r="C291" s="107" t="s">
        <v>9</v>
      </c>
      <c r="D291" s="107" t="s">
        <v>132</v>
      </c>
      <c r="E291" s="107" t="s">
        <v>10</v>
      </c>
      <c r="F291" s="115">
        <v>6</v>
      </c>
      <c r="G291" s="107" t="s">
        <v>28</v>
      </c>
      <c r="H291" s="107" t="str">
        <f t="shared" si="24"/>
        <v>Area 6: E Juan de Fuca</v>
      </c>
      <c r="I291" s="107" t="str">
        <f>IFERROR(VLOOKUP(H291,LUTs!$A$1:$C$73,2,FALSE),"NA")</f>
        <v>NA</v>
      </c>
      <c r="J291" s="107" t="str">
        <f>IFERROR(VLOOKUP(H291,LUTs!$A$1:$C$73,3,FALSE),"NA")</f>
        <v>0Strait of Juan de Fuca</v>
      </c>
      <c r="K291" s="107" t="s">
        <v>20</v>
      </c>
      <c r="L291" s="107" t="str">
        <f>VLOOKUP(K291,LUTs!E$2:G$14,3,)</f>
        <v>07Pierce</v>
      </c>
      <c r="M291" s="107" t="str">
        <f>VLOOKUP($K291,LUTs!$E$2:$H$14,2,)</f>
        <v>South Puget Sound</v>
      </c>
      <c r="N291" s="107" t="str">
        <f>VLOOKUP($K291,LUTs!$E$2:$H$14,4,)</f>
        <v>02South Puget Sound</v>
      </c>
      <c r="O291" s="107">
        <v>368.59395532194497</v>
      </c>
      <c r="P291" s="107">
        <v>554.86761470663203</v>
      </c>
      <c r="Q291" s="107">
        <f t="shared" si="25"/>
        <v>368.59395532194497</v>
      </c>
      <c r="R291" s="107">
        <f t="shared" si="26"/>
        <v>554.86761470663203</v>
      </c>
      <c r="S291" s="140" t="str">
        <f t="shared" si="27"/>
        <v>N</v>
      </c>
      <c r="T291" s="154">
        <f t="shared" si="28"/>
        <v>1.5053627621809154</v>
      </c>
      <c r="U291" s="154">
        <f t="shared" si="29"/>
        <v>1.5053627621809154</v>
      </c>
    </row>
    <row r="292" spans="1:21" x14ac:dyDescent="0.35">
      <c r="A292" s="107">
        <v>1350</v>
      </c>
      <c r="B292" s="107">
        <v>2021</v>
      </c>
      <c r="C292" s="107" t="s">
        <v>9</v>
      </c>
      <c r="D292" s="107" t="s">
        <v>132</v>
      </c>
      <c r="E292" s="107" t="s">
        <v>10</v>
      </c>
      <c r="F292" s="115">
        <v>6</v>
      </c>
      <c r="G292" s="107" t="s">
        <v>28</v>
      </c>
      <c r="H292" s="107" t="str">
        <f t="shared" si="24"/>
        <v>Area 6: E Juan de Fuca</v>
      </c>
      <c r="I292" s="107" t="str">
        <f>IFERROR(VLOOKUP(H292,LUTs!$A$1:$C$73,2,FALSE),"NA")</f>
        <v>NA</v>
      </c>
      <c r="J292" s="107" t="str">
        <f>IFERROR(VLOOKUP(H292,LUTs!$A$1:$C$73,3,FALSE),"NA")</f>
        <v>0Strait of Juan de Fuca</v>
      </c>
      <c r="K292" s="107" t="s">
        <v>30</v>
      </c>
      <c r="L292" s="107" t="str">
        <f>VLOOKUP(K292,LUTs!E$2:G$14,3,)</f>
        <v>05San Juan</v>
      </c>
      <c r="M292" s="107" t="str">
        <f>VLOOKUP($K292,LUTs!$E$2:$H$14,2,)</f>
        <v>North Puget Sound</v>
      </c>
      <c r="N292" s="107" t="str">
        <f>VLOOKUP($K292,LUTs!$E$2:$H$14,4,)</f>
        <v>01North Puget Sound</v>
      </c>
      <c r="O292" s="107">
        <v>33.5085413929041</v>
      </c>
      <c r="P292" s="107">
        <v>50.442510427875703</v>
      </c>
      <c r="Q292" s="107">
        <f t="shared" si="25"/>
        <v>33.5085413929041</v>
      </c>
      <c r="R292" s="107">
        <f t="shared" si="26"/>
        <v>50.442510427875703</v>
      </c>
      <c r="S292" s="140" t="str">
        <f t="shared" si="27"/>
        <v>N</v>
      </c>
      <c r="T292" s="154">
        <f t="shared" si="28"/>
        <v>1.5053627621809169</v>
      </c>
      <c r="U292" s="154">
        <f t="shared" si="29"/>
        <v>1.5053627621809169</v>
      </c>
    </row>
    <row r="293" spans="1:21" x14ac:dyDescent="0.35">
      <c r="A293" s="107">
        <v>1347</v>
      </c>
      <c r="B293" s="107">
        <v>2021</v>
      </c>
      <c r="C293" s="107" t="s">
        <v>9</v>
      </c>
      <c r="D293" s="107" t="s">
        <v>132</v>
      </c>
      <c r="E293" s="107" t="s">
        <v>10</v>
      </c>
      <c r="F293" s="115">
        <v>6</v>
      </c>
      <c r="G293" s="107" t="s">
        <v>28</v>
      </c>
      <c r="H293" s="107" t="str">
        <f t="shared" si="24"/>
        <v>Area 6: E Juan de Fuca</v>
      </c>
      <c r="I293" s="107" t="str">
        <f>IFERROR(VLOOKUP(H293,LUTs!$A$1:$C$73,2,FALSE),"NA")</f>
        <v>NA</v>
      </c>
      <c r="J293" s="107" t="str">
        <f>IFERROR(VLOOKUP(H293,LUTs!$A$1:$C$73,3,FALSE),"NA")</f>
        <v>0Strait of Juan de Fuca</v>
      </c>
      <c r="K293" s="107" t="s">
        <v>15</v>
      </c>
      <c r="L293" s="107" t="str">
        <f>VLOOKUP(K293,LUTs!E$2:G$14,3,)</f>
        <v>02Skagit</v>
      </c>
      <c r="M293" s="107" t="str">
        <f>VLOOKUP($K293,LUTs!$E$2:$H$14,2,)</f>
        <v>North Puget Sound</v>
      </c>
      <c r="N293" s="107" t="str">
        <f>VLOOKUP($K293,LUTs!$E$2:$H$14,4,)</f>
        <v>01North Puget Sound</v>
      </c>
      <c r="O293" s="107">
        <v>737.18791064388995</v>
      </c>
      <c r="P293" s="107">
        <v>1109.73522941326</v>
      </c>
      <c r="Q293" s="107">
        <f t="shared" si="25"/>
        <v>737.18791064388995</v>
      </c>
      <c r="R293" s="107">
        <f t="shared" si="26"/>
        <v>1109.73522941326</v>
      </c>
      <c r="S293" s="140" t="str">
        <f t="shared" si="27"/>
        <v>N</v>
      </c>
      <c r="T293" s="154">
        <f t="shared" si="28"/>
        <v>1.5053627621809098</v>
      </c>
      <c r="U293" s="154">
        <f t="shared" si="29"/>
        <v>1.5053627621809098</v>
      </c>
    </row>
    <row r="294" spans="1:21" x14ac:dyDescent="0.35">
      <c r="A294" s="107">
        <v>1348</v>
      </c>
      <c r="B294" s="107">
        <v>2021</v>
      </c>
      <c r="C294" s="107" t="s">
        <v>9</v>
      </c>
      <c r="D294" s="107" t="s">
        <v>132</v>
      </c>
      <c r="E294" s="107" t="s">
        <v>10</v>
      </c>
      <c r="F294" s="115">
        <v>6</v>
      </c>
      <c r="G294" s="107" t="s">
        <v>28</v>
      </c>
      <c r="H294" s="107" t="str">
        <f t="shared" si="24"/>
        <v>Area 6: E Juan de Fuca</v>
      </c>
      <c r="I294" s="107" t="str">
        <f>IFERROR(VLOOKUP(H294,LUTs!$A$1:$C$73,2,FALSE),"NA")</f>
        <v>NA</v>
      </c>
      <c r="J294" s="107" t="str">
        <f>IFERROR(VLOOKUP(H294,LUTs!$A$1:$C$73,3,FALSE),"NA")</f>
        <v>0Strait of Juan de Fuca</v>
      </c>
      <c r="K294" s="107" t="s">
        <v>16</v>
      </c>
      <c r="L294" s="107" t="str">
        <f>VLOOKUP(K294,LUTs!E$2:G$14,3,)</f>
        <v>03Snohomish</v>
      </c>
      <c r="M294" s="107" t="str">
        <f>VLOOKUP($K294,LUTs!$E$2:$H$14,2,)</f>
        <v>North Puget Sound</v>
      </c>
      <c r="N294" s="107" t="str">
        <f>VLOOKUP($K294,LUTs!$E$2:$H$14,4,)</f>
        <v>01North Puget Sound</v>
      </c>
      <c r="O294" s="107">
        <v>427.23390275952698</v>
      </c>
      <c r="P294" s="107">
        <v>643.14200795541501</v>
      </c>
      <c r="Q294" s="107">
        <f t="shared" si="25"/>
        <v>427.23390275952698</v>
      </c>
      <c r="R294" s="107">
        <f t="shared" si="26"/>
        <v>643.14200795541501</v>
      </c>
      <c r="S294" s="140" t="str">
        <f t="shared" si="27"/>
        <v>N</v>
      </c>
      <c r="T294" s="154">
        <f t="shared" si="28"/>
        <v>1.5053627621809174</v>
      </c>
      <c r="U294" s="154">
        <f t="shared" si="29"/>
        <v>1.5053627621809174</v>
      </c>
    </row>
    <row r="295" spans="1:21" x14ac:dyDescent="0.35">
      <c r="A295" s="107">
        <v>1346</v>
      </c>
      <c r="B295" s="107">
        <v>2021</v>
      </c>
      <c r="C295" s="107" t="s">
        <v>9</v>
      </c>
      <c r="D295" s="107" t="s">
        <v>132</v>
      </c>
      <c r="E295" s="107" t="s">
        <v>10</v>
      </c>
      <c r="F295" s="115">
        <v>6</v>
      </c>
      <c r="G295" s="107" t="s">
        <v>28</v>
      </c>
      <c r="H295" s="107" t="str">
        <f t="shared" si="24"/>
        <v>Area 6: E Juan de Fuca</v>
      </c>
      <c r="I295" s="107" t="str">
        <f>IFERROR(VLOOKUP(H295,LUTs!$A$1:$C$73,2,FALSE),"NA")</f>
        <v>NA</v>
      </c>
      <c r="J295" s="107" t="str">
        <f>IFERROR(VLOOKUP(H295,LUTs!$A$1:$C$73,3,FALSE),"NA")</f>
        <v>0Strait of Juan de Fuca</v>
      </c>
      <c r="K295" s="107" t="s">
        <v>13</v>
      </c>
      <c r="L295" s="107" t="str">
        <f>VLOOKUP(K295,LUTs!E$2:G$14,3,)</f>
        <v>01Whatcom</v>
      </c>
      <c r="M295" s="107" t="str">
        <f>VLOOKUP($K295,LUTs!$E$2:$H$14,2,)</f>
        <v>North Puget Sound</v>
      </c>
      <c r="N295" s="107" t="str">
        <f>VLOOKUP($K295,LUTs!$E$2:$H$14,4,)</f>
        <v>01North Puget Sound</v>
      </c>
      <c r="O295" s="107">
        <v>25.131406044678101</v>
      </c>
      <c r="P295" s="107">
        <v>37.831882820906799</v>
      </c>
      <c r="Q295" s="107">
        <f t="shared" si="25"/>
        <v>25.131406044678101</v>
      </c>
      <c r="R295" s="107">
        <f t="shared" si="26"/>
        <v>37.831882820906799</v>
      </c>
      <c r="S295" s="140" t="str">
        <f t="shared" si="27"/>
        <v>N</v>
      </c>
      <c r="T295" s="154">
        <f t="shared" si="28"/>
        <v>1.505362762180916</v>
      </c>
      <c r="U295" s="154">
        <f t="shared" si="29"/>
        <v>1.505362762180916</v>
      </c>
    </row>
    <row r="296" spans="1:21" x14ac:dyDescent="0.35">
      <c r="A296" s="107">
        <v>3201</v>
      </c>
      <c r="B296" s="107">
        <v>2010</v>
      </c>
      <c r="C296" s="107" t="s">
        <v>9</v>
      </c>
      <c r="D296" s="107" t="s">
        <v>132</v>
      </c>
      <c r="E296" s="107" t="s">
        <v>10</v>
      </c>
      <c r="F296" s="115">
        <v>7</v>
      </c>
      <c r="G296" s="107" t="s">
        <v>29</v>
      </c>
      <c r="H296" s="107" t="str">
        <f t="shared" si="24"/>
        <v>Area 7: San Juan Islands</v>
      </c>
      <c r="I296" s="107" t="str">
        <f>IFERROR(VLOOKUP(H296,LUTs!$A$1:$C$73,2,FALSE),"NA")</f>
        <v>NA</v>
      </c>
      <c r="J296" s="107" t="str">
        <f>IFERROR(VLOOKUP(H296,LUTs!$A$1:$C$73,3,FALSE),"NA")</f>
        <v>1North Puget Sound</v>
      </c>
      <c r="K296" s="107" t="s">
        <v>24</v>
      </c>
      <c r="L296" s="107" t="str">
        <f>VLOOKUP(K296,LUTs!E$2:G$14,3,)</f>
        <v>11Clallam</v>
      </c>
      <c r="M296" s="107" t="str">
        <f>VLOOKUP($K296,LUTs!$E$2:$H$14,2,)</f>
        <v>Strait of Juan de Fuca</v>
      </c>
      <c r="N296" s="107" t="str">
        <f>VLOOKUP($K296,LUTs!$E$2:$H$14,4,)</f>
        <v>03Strait of Juan de Fuca</v>
      </c>
      <c r="O296" s="107">
        <v>57.946428571428598</v>
      </c>
      <c r="P296" s="107">
        <v>433.17168367347</v>
      </c>
      <c r="Q296" s="107">
        <f t="shared" si="25"/>
        <v>57.946428571428598</v>
      </c>
      <c r="R296" s="107">
        <f t="shared" si="26"/>
        <v>433.17168367347</v>
      </c>
      <c r="S296" s="140" t="str">
        <f t="shared" si="27"/>
        <v>Y</v>
      </c>
      <c r="T296" s="154">
        <f t="shared" si="28"/>
        <v>7.4753819062293712</v>
      </c>
      <c r="U296" s="154">
        <f t="shared" si="29"/>
        <v>7.4753819062293712</v>
      </c>
    </row>
    <row r="297" spans="1:21" x14ac:dyDescent="0.35">
      <c r="A297" s="107">
        <v>3139</v>
      </c>
      <c r="B297" s="107">
        <v>2010</v>
      </c>
      <c r="C297" s="107" t="s">
        <v>9</v>
      </c>
      <c r="D297" s="107" t="s">
        <v>132</v>
      </c>
      <c r="E297" s="107" t="s">
        <v>10</v>
      </c>
      <c r="F297" s="115">
        <v>7</v>
      </c>
      <c r="G297" s="107" t="s">
        <v>29</v>
      </c>
      <c r="H297" s="107" t="str">
        <f t="shared" si="24"/>
        <v>Area 7: San Juan Islands</v>
      </c>
      <c r="I297" s="107" t="str">
        <f>IFERROR(VLOOKUP(H297,LUTs!$A$1:$C$73,2,FALSE),"NA")</f>
        <v>NA</v>
      </c>
      <c r="J297" s="107" t="str">
        <f>IFERROR(VLOOKUP(H297,LUTs!$A$1:$C$73,3,FALSE),"NA")</f>
        <v>1North Puget Sound</v>
      </c>
      <c r="K297" s="107" t="s">
        <v>17</v>
      </c>
      <c r="L297" s="107" t="str">
        <f>VLOOKUP(K297,LUTs!E$2:G$14,3,)</f>
        <v>04Island</v>
      </c>
      <c r="M297" s="107" t="str">
        <f>VLOOKUP($K297,LUTs!$E$2:$H$14,2,)</f>
        <v>North Puget Sound</v>
      </c>
      <c r="N297" s="107" t="str">
        <f>VLOOKUP($K297,LUTs!$E$2:$H$14,4,)</f>
        <v>01North Puget Sound</v>
      </c>
      <c r="O297" s="107">
        <v>156.455357142857</v>
      </c>
      <c r="P297" s="107">
        <v>1169.56354591837</v>
      </c>
      <c r="Q297" s="107">
        <f t="shared" si="25"/>
        <v>156.455357142857</v>
      </c>
      <c r="R297" s="107">
        <f t="shared" si="26"/>
        <v>1169.56354591837</v>
      </c>
      <c r="S297" s="140" t="str">
        <f t="shared" si="27"/>
        <v>Y</v>
      </c>
      <c r="T297" s="154">
        <f t="shared" si="28"/>
        <v>7.475381906229388</v>
      </c>
      <c r="U297" s="154">
        <f t="shared" si="29"/>
        <v>7.475381906229388</v>
      </c>
    </row>
    <row r="298" spans="1:21" x14ac:dyDescent="0.35">
      <c r="A298" s="107">
        <v>3202</v>
      </c>
      <c r="B298" s="107">
        <v>2010</v>
      </c>
      <c r="C298" s="107" t="s">
        <v>9</v>
      </c>
      <c r="D298" s="107" t="s">
        <v>132</v>
      </c>
      <c r="E298" s="107" t="s">
        <v>10</v>
      </c>
      <c r="F298" s="115">
        <v>7</v>
      </c>
      <c r="G298" s="107" t="s">
        <v>29</v>
      </c>
      <c r="H298" s="107" t="str">
        <f t="shared" si="24"/>
        <v>Area 7: San Juan Islands</v>
      </c>
      <c r="I298" s="107" t="str">
        <f>IFERROR(VLOOKUP(H298,LUTs!$A$1:$C$73,2,FALSE),"NA")</f>
        <v>NA</v>
      </c>
      <c r="J298" s="107" t="str">
        <f>IFERROR(VLOOKUP(H298,LUTs!$A$1:$C$73,3,FALSE),"NA")</f>
        <v>1North Puget Sound</v>
      </c>
      <c r="K298" s="107" t="s">
        <v>25</v>
      </c>
      <c r="L298" s="107" t="str">
        <f>VLOOKUP(K298,LUTs!E$2:G$14,3,)</f>
        <v>12Jefferson</v>
      </c>
      <c r="M298" s="107" t="str">
        <f>VLOOKUP($K298,LUTs!$E$2:$H$14,2,)</f>
        <v>Strait of Juan de Fuca</v>
      </c>
      <c r="N298" s="107" t="str">
        <f>VLOOKUP($K298,LUTs!$E$2:$H$14,4,)</f>
        <v>03Strait of Juan de Fuca</v>
      </c>
      <c r="O298" s="107">
        <v>17.383928571428601</v>
      </c>
      <c r="P298" s="107">
        <v>129.95150510204101</v>
      </c>
      <c r="Q298" s="107">
        <f t="shared" si="25"/>
        <v>17.383928571428601</v>
      </c>
      <c r="R298" s="107">
        <f t="shared" si="26"/>
        <v>129.95150510204101</v>
      </c>
      <c r="S298" s="140" t="str">
        <f t="shared" si="27"/>
        <v>Y</v>
      </c>
      <c r="T298" s="154">
        <f t="shared" si="28"/>
        <v>7.4753819062293623</v>
      </c>
      <c r="U298" s="154">
        <f t="shared" si="29"/>
        <v>7.4753819062293623</v>
      </c>
    </row>
    <row r="299" spans="1:21" x14ac:dyDescent="0.35">
      <c r="A299" s="107">
        <v>3141</v>
      </c>
      <c r="B299" s="107">
        <v>2010</v>
      </c>
      <c r="C299" s="107" t="s">
        <v>9</v>
      </c>
      <c r="D299" s="107" t="s">
        <v>132</v>
      </c>
      <c r="E299" s="107" t="s">
        <v>10</v>
      </c>
      <c r="F299" s="115">
        <v>7</v>
      </c>
      <c r="G299" s="107" t="s">
        <v>29</v>
      </c>
      <c r="H299" s="107" t="str">
        <f t="shared" si="24"/>
        <v>Area 7: San Juan Islands</v>
      </c>
      <c r="I299" s="107" t="str">
        <f>IFERROR(VLOOKUP(H299,LUTs!$A$1:$C$73,2,FALSE),"NA")</f>
        <v>NA</v>
      </c>
      <c r="J299" s="107" t="str">
        <f>IFERROR(VLOOKUP(H299,LUTs!$A$1:$C$73,3,FALSE),"NA")</f>
        <v>1North Puget Sound</v>
      </c>
      <c r="K299" s="107" t="s">
        <v>18</v>
      </c>
      <c r="L299" s="107" t="str">
        <f>VLOOKUP(K299,LUTs!E$2:G$14,3,)</f>
        <v>06King</v>
      </c>
      <c r="M299" s="107" t="str">
        <f>VLOOKUP($K299,LUTs!$E$2:$H$14,2,)</f>
        <v>South Puget Sound</v>
      </c>
      <c r="N299" s="107" t="str">
        <f>VLOOKUP($K299,LUTs!$E$2:$H$14,4,)</f>
        <v>02South Puget Sound</v>
      </c>
      <c r="O299" s="107">
        <v>347.67857142857201</v>
      </c>
      <c r="P299" s="107">
        <v>2599.0301020408201</v>
      </c>
      <c r="Q299" s="107">
        <f t="shared" si="25"/>
        <v>347.67857142857201</v>
      </c>
      <c r="R299" s="107">
        <f t="shared" si="26"/>
        <v>2599.0301020408201</v>
      </c>
      <c r="S299" s="140" t="str">
        <f t="shared" si="27"/>
        <v>Y</v>
      </c>
      <c r="T299" s="154">
        <f t="shared" si="28"/>
        <v>7.4753819062293623</v>
      </c>
      <c r="U299" s="154">
        <f t="shared" si="29"/>
        <v>7.4753819062293623</v>
      </c>
    </row>
    <row r="300" spans="1:21" x14ac:dyDescent="0.35">
      <c r="A300" s="107">
        <v>3200</v>
      </c>
      <c r="B300" s="107">
        <v>2010</v>
      </c>
      <c r="C300" s="107" t="s">
        <v>9</v>
      </c>
      <c r="D300" s="107" t="s">
        <v>132</v>
      </c>
      <c r="E300" s="107" t="s">
        <v>10</v>
      </c>
      <c r="F300" s="115">
        <v>7</v>
      </c>
      <c r="G300" s="107" t="s">
        <v>29</v>
      </c>
      <c r="H300" s="107" t="str">
        <f t="shared" si="24"/>
        <v>Area 7: San Juan Islands</v>
      </c>
      <c r="I300" s="107" t="str">
        <f>IFERROR(VLOOKUP(H300,LUTs!$A$1:$C$73,2,FALSE),"NA")</f>
        <v>NA</v>
      </c>
      <c r="J300" s="107" t="str">
        <f>IFERROR(VLOOKUP(H300,LUTs!$A$1:$C$73,3,FALSE),"NA")</f>
        <v>1North Puget Sound</v>
      </c>
      <c r="K300" s="107" t="s">
        <v>23</v>
      </c>
      <c r="L300" s="107" t="str">
        <f>VLOOKUP(K300,LUTs!E$2:G$14,3,)</f>
        <v>10Kitsap</v>
      </c>
      <c r="M300" s="107" t="str">
        <f>VLOOKUP($K300,LUTs!$E$2:$H$14,2,)</f>
        <v>South Puget Sound</v>
      </c>
      <c r="N300" s="107" t="str">
        <f>VLOOKUP($K300,LUTs!$E$2:$H$14,4,)</f>
        <v>02South Puget Sound</v>
      </c>
      <c r="O300" s="107">
        <v>11.589285714285699</v>
      </c>
      <c r="P300" s="107">
        <v>86.634336734693903</v>
      </c>
      <c r="Q300" s="107">
        <f t="shared" si="25"/>
        <v>11.589285714285699</v>
      </c>
      <c r="R300" s="107">
        <f t="shared" si="26"/>
        <v>86.634336734693903</v>
      </c>
      <c r="S300" s="140" t="str">
        <f t="shared" si="27"/>
        <v>Y</v>
      </c>
      <c r="T300" s="154">
        <f t="shared" si="28"/>
        <v>7.4753819062293756</v>
      </c>
      <c r="U300" s="154">
        <f t="shared" si="29"/>
        <v>7.4753819062293756</v>
      </c>
    </row>
    <row r="301" spans="1:21" x14ac:dyDescent="0.35">
      <c r="A301" s="107">
        <v>3199</v>
      </c>
      <c r="B301" s="107">
        <v>2010</v>
      </c>
      <c r="C301" s="107" t="s">
        <v>9</v>
      </c>
      <c r="D301" s="107" t="s">
        <v>132</v>
      </c>
      <c r="E301" s="107" t="s">
        <v>10</v>
      </c>
      <c r="F301" s="115">
        <v>7</v>
      </c>
      <c r="G301" s="107" t="s">
        <v>29</v>
      </c>
      <c r="H301" s="107" t="str">
        <f t="shared" si="24"/>
        <v>Area 7: San Juan Islands</v>
      </c>
      <c r="I301" s="107" t="str">
        <f>IFERROR(VLOOKUP(H301,LUTs!$A$1:$C$73,2,FALSE),"NA")</f>
        <v>NA</v>
      </c>
      <c r="J301" s="107" t="str">
        <f>IFERROR(VLOOKUP(H301,LUTs!$A$1:$C$73,3,FALSE),"NA")</f>
        <v>1North Puget Sound</v>
      </c>
      <c r="K301" s="107" t="s">
        <v>22</v>
      </c>
      <c r="L301" s="107" t="str">
        <f>VLOOKUP(K301,LUTs!E$2:G$14,3,)</f>
        <v>09Mason</v>
      </c>
      <c r="M301" s="107" t="str">
        <f>VLOOKUP($K301,LUTs!$E$2:$H$14,2,)</f>
        <v>South Puget Sound</v>
      </c>
      <c r="N301" s="107" t="str">
        <f>VLOOKUP($K301,LUTs!$E$2:$H$14,4,)</f>
        <v>02South Puget Sound</v>
      </c>
      <c r="O301" s="107">
        <v>5.7946428571428603</v>
      </c>
      <c r="P301" s="107">
        <v>43.317168367346902</v>
      </c>
      <c r="Q301" s="107">
        <f t="shared" si="25"/>
        <v>5.7946428571428603</v>
      </c>
      <c r="R301" s="107">
        <f t="shared" si="26"/>
        <v>43.317168367346902</v>
      </c>
      <c r="S301" s="140" t="str">
        <f t="shared" si="27"/>
        <v>Y</v>
      </c>
      <c r="T301" s="154">
        <f t="shared" si="28"/>
        <v>7.4753819062293534</v>
      </c>
      <c r="U301" s="154">
        <f t="shared" si="29"/>
        <v>7.4753819062293534</v>
      </c>
    </row>
    <row r="302" spans="1:21" x14ac:dyDescent="0.35">
      <c r="A302" s="107">
        <v>3203</v>
      </c>
      <c r="B302" s="107">
        <v>2010</v>
      </c>
      <c r="C302" s="107" t="s">
        <v>9</v>
      </c>
      <c r="D302" s="107" t="s">
        <v>132</v>
      </c>
      <c r="E302" s="107" t="s">
        <v>10</v>
      </c>
      <c r="F302" s="115">
        <v>7</v>
      </c>
      <c r="G302" s="107" t="s">
        <v>29</v>
      </c>
      <c r="H302" s="107" t="str">
        <f t="shared" si="24"/>
        <v>Area 7: San Juan Islands</v>
      </c>
      <c r="I302" s="107" t="str">
        <f>IFERROR(VLOOKUP(H302,LUTs!$A$1:$C$73,2,FALSE),"NA")</f>
        <v>NA</v>
      </c>
      <c r="J302" s="107" t="str">
        <f>IFERROR(VLOOKUP(H302,LUTs!$A$1:$C$73,3,FALSE),"NA")</f>
        <v>1North Puget Sound</v>
      </c>
      <c r="K302" s="107" t="s">
        <v>26</v>
      </c>
      <c r="L302" s="107" t="str">
        <f>VLOOKUP(K302,LUTs!E$2:G$14,3,)</f>
        <v>20Other</v>
      </c>
      <c r="M302" s="107" t="str">
        <f>VLOOKUP($K302,LUTs!$E$2:$H$14,2,)</f>
        <v>Non Puget Sound</v>
      </c>
      <c r="N302" s="107" t="str">
        <f>VLOOKUP($K302,LUTs!$E$2:$H$14,4,)</f>
        <v>07Non Puget Sound</v>
      </c>
      <c r="O302" s="107">
        <v>336.08928571428601</v>
      </c>
      <c r="P302" s="107">
        <v>2512.3957653061202</v>
      </c>
      <c r="Q302" s="107">
        <f t="shared" si="25"/>
        <v>336.08928571428601</v>
      </c>
      <c r="R302" s="107">
        <f t="shared" si="26"/>
        <v>2512.3957653061202</v>
      </c>
      <c r="S302" s="140" t="str">
        <f t="shared" si="27"/>
        <v>Y</v>
      </c>
      <c r="T302" s="154">
        <f t="shared" si="28"/>
        <v>7.4753819062293507</v>
      </c>
      <c r="U302" s="154">
        <f t="shared" si="29"/>
        <v>7.4753819062293507</v>
      </c>
    </row>
    <row r="303" spans="1:21" x14ac:dyDescent="0.35">
      <c r="A303" s="107">
        <v>3195</v>
      </c>
      <c r="B303" s="107">
        <v>2010</v>
      </c>
      <c r="C303" s="107" t="s">
        <v>9</v>
      </c>
      <c r="D303" s="107" t="s">
        <v>132</v>
      </c>
      <c r="E303" s="107" t="s">
        <v>10</v>
      </c>
      <c r="F303" s="115">
        <v>7</v>
      </c>
      <c r="G303" s="107" t="s">
        <v>29</v>
      </c>
      <c r="H303" s="107" t="str">
        <f t="shared" si="24"/>
        <v>Area 7: San Juan Islands</v>
      </c>
      <c r="I303" s="107" t="str">
        <f>IFERROR(VLOOKUP(H303,LUTs!$A$1:$C$73,2,FALSE),"NA")</f>
        <v>NA</v>
      </c>
      <c r="J303" s="107" t="str">
        <f>IFERROR(VLOOKUP(H303,LUTs!$A$1:$C$73,3,FALSE),"NA")</f>
        <v>1North Puget Sound</v>
      </c>
      <c r="K303" s="107" t="s">
        <v>20</v>
      </c>
      <c r="L303" s="107" t="str">
        <f>VLOOKUP(K303,LUTs!E$2:G$14,3,)</f>
        <v>07Pierce</v>
      </c>
      <c r="M303" s="107" t="str">
        <f>VLOOKUP($K303,LUTs!$E$2:$H$14,2,)</f>
        <v>South Puget Sound</v>
      </c>
      <c r="N303" s="107" t="str">
        <f>VLOOKUP($K303,LUTs!$E$2:$H$14,4,)</f>
        <v>02South Puget Sound</v>
      </c>
      <c r="O303" s="107">
        <v>23.178571428571399</v>
      </c>
      <c r="P303" s="107">
        <v>173.26867346938801</v>
      </c>
      <c r="Q303" s="107">
        <f t="shared" si="25"/>
        <v>23.178571428571399</v>
      </c>
      <c r="R303" s="107">
        <f t="shared" si="26"/>
        <v>173.26867346938801</v>
      </c>
      <c r="S303" s="140" t="str">
        <f t="shared" si="27"/>
        <v>Y</v>
      </c>
      <c r="T303" s="154">
        <f t="shared" si="28"/>
        <v>7.4753819062293845</v>
      </c>
      <c r="U303" s="154">
        <f t="shared" si="29"/>
        <v>7.4753819062293845</v>
      </c>
    </row>
    <row r="304" spans="1:21" x14ac:dyDescent="0.35">
      <c r="A304" s="107">
        <v>3140</v>
      </c>
      <c r="B304" s="107">
        <v>2010</v>
      </c>
      <c r="C304" s="107" t="s">
        <v>9</v>
      </c>
      <c r="D304" s="107" t="s">
        <v>132</v>
      </c>
      <c r="E304" s="107" t="s">
        <v>10</v>
      </c>
      <c r="F304" s="115">
        <v>7</v>
      </c>
      <c r="G304" s="107" t="s">
        <v>29</v>
      </c>
      <c r="H304" s="107" t="str">
        <f t="shared" si="24"/>
        <v>Area 7: San Juan Islands</v>
      </c>
      <c r="I304" s="107" t="str">
        <f>IFERROR(VLOOKUP(H304,LUTs!$A$1:$C$73,2,FALSE),"NA")</f>
        <v>NA</v>
      </c>
      <c r="J304" s="107" t="str">
        <f>IFERROR(VLOOKUP(H304,LUTs!$A$1:$C$73,3,FALSE),"NA")</f>
        <v>1North Puget Sound</v>
      </c>
      <c r="K304" s="107" t="s">
        <v>30</v>
      </c>
      <c r="L304" s="107" t="str">
        <f>VLOOKUP(K304,LUTs!E$2:G$14,3,)</f>
        <v>05San Juan</v>
      </c>
      <c r="M304" s="107" t="str">
        <f>VLOOKUP($K304,LUTs!$E$2:$H$14,2,)</f>
        <v>North Puget Sound</v>
      </c>
      <c r="N304" s="107" t="str">
        <f>VLOOKUP($K304,LUTs!$E$2:$H$14,4,)</f>
        <v>01North Puget Sound</v>
      </c>
      <c r="O304" s="107">
        <v>573.669642857143</v>
      </c>
      <c r="P304" s="107">
        <v>4288.3996683673504</v>
      </c>
      <c r="Q304" s="107">
        <f t="shared" si="25"/>
        <v>573.669642857143</v>
      </c>
      <c r="R304" s="107">
        <f t="shared" si="26"/>
        <v>4288.3996683673504</v>
      </c>
      <c r="S304" s="140" t="str">
        <f t="shared" si="27"/>
        <v>Y</v>
      </c>
      <c r="T304" s="154">
        <f t="shared" si="28"/>
        <v>7.4753819062293676</v>
      </c>
      <c r="U304" s="154">
        <f t="shared" si="29"/>
        <v>7.4753819062293676</v>
      </c>
    </row>
    <row r="305" spans="1:21" x14ac:dyDescent="0.35">
      <c r="A305" s="107">
        <v>3137</v>
      </c>
      <c r="B305" s="107">
        <v>2010</v>
      </c>
      <c r="C305" s="107" t="s">
        <v>9</v>
      </c>
      <c r="D305" s="107" t="s">
        <v>132</v>
      </c>
      <c r="E305" s="107" t="s">
        <v>10</v>
      </c>
      <c r="F305" s="115">
        <v>7</v>
      </c>
      <c r="G305" s="107" t="s">
        <v>29</v>
      </c>
      <c r="H305" s="107" t="str">
        <f t="shared" si="24"/>
        <v>Area 7: San Juan Islands</v>
      </c>
      <c r="I305" s="107" t="str">
        <f>IFERROR(VLOOKUP(H305,LUTs!$A$1:$C$73,2,FALSE),"NA")</f>
        <v>NA</v>
      </c>
      <c r="J305" s="107" t="str">
        <f>IFERROR(VLOOKUP(H305,LUTs!$A$1:$C$73,3,FALSE),"NA")</f>
        <v>1North Puget Sound</v>
      </c>
      <c r="K305" s="107" t="s">
        <v>15</v>
      </c>
      <c r="L305" s="107" t="str">
        <f>VLOOKUP(K305,LUTs!E$2:G$14,3,)</f>
        <v>02Skagit</v>
      </c>
      <c r="M305" s="107" t="str">
        <f>VLOOKUP($K305,LUTs!$E$2:$H$14,2,)</f>
        <v>North Puget Sound</v>
      </c>
      <c r="N305" s="107" t="str">
        <f>VLOOKUP($K305,LUTs!$E$2:$H$14,4,)</f>
        <v>01North Puget Sound</v>
      </c>
      <c r="O305" s="107">
        <v>1002.47321428571</v>
      </c>
      <c r="P305" s="107">
        <v>7493.8701275510202</v>
      </c>
      <c r="Q305" s="107">
        <f t="shared" si="25"/>
        <v>1002.47321428571</v>
      </c>
      <c r="R305" s="107">
        <f t="shared" si="26"/>
        <v>7493.8701275510202</v>
      </c>
      <c r="S305" s="140" t="str">
        <f t="shared" si="27"/>
        <v>Y</v>
      </c>
      <c r="T305" s="154">
        <f t="shared" si="28"/>
        <v>7.4753819062293951</v>
      </c>
      <c r="U305" s="154">
        <f t="shared" si="29"/>
        <v>7.4753819062293951</v>
      </c>
    </row>
    <row r="306" spans="1:21" x14ac:dyDescent="0.35">
      <c r="A306" s="107">
        <v>3138</v>
      </c>
      <c r="B306" s="107">
        <v>2010</v>
      </c>
      <c r="C306" s="107" t="s">
        <v>9</v>
      </c>
      <c r="D306" s="107" t="s">
        <v>132</v>
      </c>
      <c r="E306" s="107" t="s">
        <v>10</v>
      </c>
      <c r="F306" s="115">
        <v>7</v>
      </c>
      <c r="G306" s="107" t="s">
        <v>29</v>
      </c>
      <c r="H306" s="107" t="str">
        <f t="shared" si="24"/>
        <v>Area 7: San Juan Islands</v>
      </c>
      <c r="I306" s="107" t="str">
        <f>IFERROR(VLOOKUP(H306,LUTs!$A$1:$C$73,2,FALSE),"NA")</f>
        <v>NA</v>
      </c>
      <c r="J306" s="107" t="str">
        <f>IFERROR(VLOOKUP(H306,LUTs!$A$1:$C$73,3,FALSE),"NA")</f>
        <v>1North Puget Sound</v>
      </c>
      <c r="K306" s="107" t="s">
        <v>16</v>
      </c>
      <c r="L306" s="107" t="str">
        <f>VLOOKUP(K306,LUTs!E$2:G$14,3,)</f>
        <v>03Snohomish</v>
      </c>
      <c r="M306" s="107" t="str">
        <f>VLOOKUP($K306,LUTs!$E$2:$H$14,2,)</f>
        <v>North Puget Sound</v>
      </c>
      <c r="N306" s="107" t="str">
        <f>VLOOKUP($K306,LUTs!$E$2:$H$14,4,)</f>
        <v>01North Puget Sound</v>
      </c>
      <c r="O306" s="107">
        <v>538.90178571428601</v>
      </c>
      <c r="P306" s="107">
        <v>4028.4966581632698</v>
      </c>
      <c r="Q306" s="107">
        <f t="shared" si="25"/>
        <v>538.90178571428601</v>
      </c>
      <c r="R306" s="107">
        <f t="shared" si="26"/>
        <v>4028.4966581632698</v>
      </c>
      <c r="S306" s="140" t="str">
        <f t="shared" si="27"/>
        <v>Y</v>
      </c>
      <c r="T306" s="154">
        <f t="shared" si="28"/>
        <v>7.4753819062293685</v>
      </c>
      <c r="U306" s="154">
        <f t="shared" si="29"/>
        <v>7.4753819062293685</v>
      </c>
    </row>
    <row r="307" spans="1:21" x14ac:dyDescent="0.35">
      <c r="A307" s="107">
        <v>3196</v>
      </c>
      <c r="B307" s="107">
        <v>2010</v>
      </c>
      <c r="C307" s="107" t="s">
        <v>9</v>
      </c>
      <c r="D307" s="107" t="s">
        <v>132</v>
      </c>
      <c r="E307" s="107" t="s">
        <v>10</v>
      </c>
      <c r="F307" s="115">
        <v>7</v>
      </c>
      <c r="G307" s="107" t="s">
        <v>29</v>
      </c>
      <c r="H307" s="107" t="str">
        <f t="shared" si="24"/>
        <v>Area 7: San Juan Islands</v>
      </c>
      <c r="I307" s="107" t="str">
        <f>IFERROR(VLOOKUP(H307,LUTs!$A$1:$C$73,2,FALSE),"NA")</f>
        <v>NA</v>
      </c>
      <c r="J307" s="107" t="str">
        <f>IFERROR(VLOOKUP(H307,LUTs!$A$1:$C$73,3,FALSE),"NA")</f>
        <v>1North Puget Sound</v>
      </c>
      <c r="K307" s="107" t="s">
        <v>21</v>
      </c>
      <c r="L307" s="107" t="str">
        <f>VLOOKUP(K307,LUTs!E$2:G$14,3,)</f>
        <v>08Thurston</v>
      </c>
      <c r="M307" s="107" t="str">
        <f>VLOOKUP($K307,LUTs!$E$2:$H$14,2,)</f>
        <v>South Puget Sound</v>
      </c>
      <c r="N307" s="107" t="str">
        <f>VLOOKUP($K307,LUTs!$E$2:$H$14,4,)</f>
        <v>02South Puget Sound</v>
      </c>
      <c r="O307" s="107">
        <v>28.973214285714299</v>
      </c>
      <c r="P307" s="107">
        <v>216.585841836735</v>
      </c>
      <c r="Q307" s="107">
        <f t="shared" si="25"/>
        <v>28.973214285714299</v>
      </c>
      <c r="R307" s="107">
        <f t="shared" si="26"/>
        <v>216.585841836735</v>
      </c>
      <c r="S307" s="140" t="str">
        <f t="shared" si="27"/>
        <v>Y</v>
      </c>
      <c r="T307" s="154">
        <f t="shared" si="28"/>
        <v>7.4753819062293712</v>
      </c>
      <c r="U307" s="154">
        <f t="shared" si="29"/>
        <v>7.4753819062293712</v>
      </c>
    </row>
    <row r="308" spans="1:21" x14ac:dyDescent="0.35">
      <c r="A308" s="107">
        <v>3136</v>
      </c>
      <c r="B308" s="107">
        <v>2010</v>
      </c>
      <c r="C308" s="107" t="s">
        <v>9</v>
      </c>
      <c r="D308" s="107" t="s">
        <v>132</v>
      </c>
      <c r="E308" s="107" t="s">
        <v>10</v>
      </c>
      <c r="F308" s="115">
        <v>7</v>
      </c>
      <c r="G308" s="107" t="s">
        <v>29</v>
      </c>
      <c r="H308" s="107" t="str">
        <f t="shared" si="24"/>
        <v>Area 7: San Juan Islands</v>
      </c>
      <c r="I308" s="107" t="str">
        <f>IFERROR(VLOOKUP(H308,LUTs!$A$1:$C$73,2,FALSE),"NA")</f>
        <v>NA</v>
      </c>
      <c r="J308" s="107" t="str">
        <f>IFERROR(VLOOKUP(H308,LUTs!$A$1:$C$73,3,FALSE),"NA")</f>
        <v>1North Puget Sound</v>
      </c>
      <c r="K308" s="107" t="s">
        <v>13</v>
      </c>
      <c r="L308" s="107" t="str">
        <f>VLOOKUP(K308,LUTs!E$2:G$14,3,)</f>
        <v>01Whatcom</v>
      </c>
      <c r="M308" s="107" t="str">
        <f>VLOOKUP($K308,LUTs!$E$2:$H$14,2,)</f>
        <v>North Puget Sound</v>
      </c>
      <c r="N308" s="107" t="str">
        <f>VLOOKUP($K308,LUTs!$E$2:$H$14,4,)</f>
        <v>01North Puget Sound</v>
      </c>
      <c r="O308" s="107">
        <v>1442.86607142857</v>
      </c>
      <c r="P308" s="107">
        <v>10785.974923469401</v>
      </c>
      <c r="Q308" s="107">
        <f t="shared" si="25"/>
        <v>1442.86607142857</v>
      </c>
      <c r="R308" s="107">
        <f t="shared" si="26"/>
        <v>10785.974923469401</v>
      </c>
      <c r="S308" s="140" t="str">
        <f t="shared" si="27"/>
        <v>Y</v>
      </c>
      <c r="T308" s="154">
        <f t="shared" si="28"/>
        <v>7.4753819062293809</v>
      </c>
      <c r="U308" s="154">
        <f t="shared" si="29"/>
        <v>7.4753819062293809</v>
      </c>
    </row>
    <row r="309" spans="1:21" x14ac:dyDescent="0.35">
      <c r="A309" s="107">
        <v>3217</v>
      </c>
      <c r="B309" s="107">
        <v>2011</v>
      </c>
      <c r="C309" s="107" t="s">
        <v>9</v>
      </c>
      <c r="D309" s="107" t="s">
        <v>132</v>
      </c>
      <c r="E309" s="107" t="s">
        <v>10</v>
      </c>
      <c r="F309" s="115">
        <v>7</v>
      </c>
      <c r="G309" s="107" t="s">
        <v>29</v>
      </c>
      <c r="H309" s="107" t="str">
        <f t="shared" si="24"/>
        <v>Area 7: San Juan Islands</v>
      </c>
      <c r="I309" s="107" t="str">
        <f>IFERROR(VLOOKUP(H309,LUTs!$A$1:$C$73,2,FALSE),"NA")</f>
        <v>NA</v>
      </c>
      <c r="J309" s="107" t="str">
        <f>IFERROR(VLOOKUP(H309,LUTs!$A$1:$C$73,3,FALSE),"NA")</f>
        <v>1North Puget Sound</v>
      </c>
      <c r="K309" s="107" t="s">
        <v>24</v>
      </c>
      <c r="L309" s="107" t="str">
        <f>VLOOKUP(K309,LUTs!E$2:G$14,3,)</f>
        <v>11Clallam</v>
      </c>
      <c r="M309" s="107" t="str">
        <f>VLOOKUP($K309,LUTs!$E$2:$H$14,2,)</f>
        <v>Strait of Juan de Fuca</v>
      </c>
      <c r="N309" s="107" t="str">
        <f>VLOOKUP($K309,LUTs!$E$2:$H$14,4,)</f>
        <v>03Strait of Juan de Fuca</v>
      </c>
      <c r="O309" s="107">
        <v>218.927638678112</v>
      </c>
      <c r="P309" s="107">
        <v>470.02727818836303</v>
      </c>
      <c r="Q309" s="107">
        <f t="shared" si="25"/>
        <v>218.927638678112</v>
      </c>
      <c r="R309" s="107">
        <f t="shared" si="26"/>
        <v>470.02727818836303</v>
      </c>
      <c r="S309" s="140" t="str">
        <f t="shared" si="27"/>
        <v>Y</v>
      </c>
      <c r="T309" s="154">
        <f t="shared" si="28"/>
        <v>2.1469526690480651</v>
      </c>
      <c r="U309" s="154">
        <f t="shared" si="29"/>
        <v>2.1469526690480651</v>
      </c>
    </row>
    <row r="310" spans="1:21" x14ac:dyDescent="0.35">
      <c r="A310" s="107">
        <v>3207</v>
      </c>
      <c r="B310" s="107">
        <v>2011</v>
      </c>
      <c r="C310" s="107" t="s">
        <v>9</v>
      </c>
      <c r="D310" s="107" t="s">
        <v>132</v>
      </c>
      <c r="E310" s="107" t="s">
        <v>10</v>
      </c>
      <c r="F310" s="115">
        <v>7</v>
      </c>
      <c r="G310" s="107" t="s">
        <v>29</v>
      </c>
      <c r="H310" s="107" t="str">
        <f t="shared" si="24"/>
        <v>Area 7: San Juan Islands</v>
      </c>
      <c r="I310" s="107" t="str">
        <f>IFERROR(VLOOKUP(H310,LUTs!$A$1:$C$73,2,FALSE),"NA")</f>
        <v>NA</v>
      </c>
      <c r="J310" s="107" t="str">
        <f>IFERROR(VLOOKUP(H310,LUTs!$A$1:$C$73,3,FALSE),"NA")</f>
        <v>1North Puget Sound</v>
      </c>
      <c r="K310" s="107" t="s">
        <v>17</v>
      </c>
      <c r="L310" s="107" t="str">
        <f>VLOOKUP(K310,LUTs!E$2:G$14,3,)</f>
        <v>04Island</v>
      </c>
      <c r="M310" s="107" t="str">
        <f>VLOOKUP($K310,LUTs!$E$2:$H$14,2,)</f>
        <v>North Puget Sound</v>
      </c>
      <c r="N310" s="107" t="str">
        <f>VLOOKUP($K310,LUTs!$E$2:$H$14,4,)</f>
        <v>01North Puget Sound</v>
      </c>
      <c r="O310" s="107">
        <v>993.59466784681695</v>
      </c>
      <c r="P310" s="107">
        <v>2133.2007240856501</v>
      </c>
      <c r="Q310" s="107">
        <f t="shared" si="25"/>
        <v>993.59466784681695</v>
      </c>
      <c r="R310" s="107">
        <f t="shared" si="26"/>
        <v>2133.2007240856501</v>
      </c>
      <c r="S310" s="140" t="str">
        <f t="shared" si="27"/>
        <v>Y</v>
      </c>
      <c r="T310" s="154">
        <f t="shared" si="28"/>
        <v>2.146952669048066</v>
      </c>
      <c r="U310" s="154">
        <f t="shared" si="29"/>
        <v>2.146952669048066</v>
      </c>
    </row>
    <row r="311" spans="1:21" x14ac:dyDescent="0.35">
      <c r="A311" s="107">
        <v>3218</v>
      </c>
      <c r="B311" s="107">
        <v>2011</v>
      </c>
      <c r="C311" s="107" t="s">
        <v>9</v>
      </c>
      <c r="D311" s="107" t="s">
        <v>132</v>
      </c>
      <c r="E311" s="107" t="s">
        <v>10</v>
      </c>
      <c r="F311" s="115">
        <v>7</v>
      </c>
      <c r="G311" s="107" t="s">
        <v>29</v>
      </c>
      <c r="H311" s="107" t="str">
        <f t="shared" si="24"/>
        <v>Area 7: San Juan Islands</v>
      </c>
      <c r="I311" s="107" t="str">
        <f>IFERROR(VLOOKUP(H311,LUTs!$A$1:$C$73,2,FALSE),"NA")</f>
        <v>NA</v>
      </c>
      <c r="J311" s="107" t="str">
        <f>IFERROR(VLOOKUP(H311,LUTs!$A$1:$C$73,3,FALSE),"NA")</f>
        <v>1North Puget Sound</v>
      </c>
      <c r="K311" s="107" t="s">
        <v>25</v>
      </c>
      <c r="L311" s="107" t="str">
        <f>VLOOKUP(K311,LUTs!E$2:G$14,3,)</f>
        <v>12Jefferson</v>
      </c>
      <c r="M311" s="107" t="str">
        <f>VLOOKUP($K311,LUTs!$E$2:$H$14,2,)</f>
        <v>Strait of Juan de Fuca</v>
      </c>
      <c r="N311" s="107" t="str">
        <f>VLOOKUP($K311,LUTs!$E$2:$H$14,4,)</f>
        <v>03Strait of Juan de Fuca</v>
      </c>
      <c r="O311" s="107">
        <v>16.840587590624001</v>
      </c>
      <c r="P311" s="107">
        <v>36.155944476027898</v>
      </c>
      <c r="Q311" s="107">
        <f t="shared" si="25"/>
        <v>16.840587590624001</v>
      </c>
      <c r="R311" s="107">
        <f t="shared" si="26"/>
        <v>36.155944476027898</v>
      </c>
      <c r="S311" s="140" t="str">
        <f t="shared" si="27"/>
        <v>Y</v>
      </c>
      <c r="T311" s="154">
        <f t="shared" si="28"/>
        <v>2.1469526690480638</v>
      </c>
      <c r="U311" s="154">
        <f t="shared" si="29"/>
        <v>2.1469526690480638</v>
      </c>
    </row>
    <row r="312" spans="1:21" x14ac:dyDescent="0.35">
      <c r="A312" s="107">
        <v>3209</v>
      </c>
      <c r="B312" s="107">
        <v>2011</v>
      </c>
      <c r="C312" s="107" t="s">
        <v>9</v>
      </c>
      <c r="D312" s="107" t="s">
        <v>132</v>
      </c>
      <c r="E312" s="107" t="s">
        <v>10</v>
      </c>
      <c r="F312" s="115">
        <v>7</v>
      </c>
      <c r="G312" s="107" t="s">
        <v>29</v>
      </c>
      <c r="H312" s="107" t="str">
        <f t="shared" si="24"/>
        <v>Area 7: San Juan Islands</v>
      </c>
      <c r="I312" s="107" t="str">
        <f>IFERROR(VLOOKUP(H312,LUTs!$A$1:$C$73,2,FALSE),"NA")</f>
        <v>NA</v>
      </c>
      <c r="J312" s="107" t="str">
        <f>IFERROR(VLOOKUP(H312,LUTs!$A$1:$C$73,3,FALSE),"NA")</f>
        <v>1North Puget Sound</v>
      </c>
      <c r="K312" s="107" t="s">
        <v>18</v>
      </c>
      <c r="L312" s="107" t="str">
        <f>VLOOKUP(K312,LUTs!E$2:G$14,3,)</f>
        <v>06King</v>
      </c>
      <c r="M312" s="107" t="str">
        <f>VLOOKUP($K312,LUTs!$E$2:$H$14,2,)</f>
        <v>South Puget Sound</v>
      </c>
      <c r="N312" s="107" t="str">
        <f>VLOOKUP($K312,LUTs!$E$2:$H$14,4,)</f>
        <v>02South Puget Sound</v>
      </c>
      <c r="O312" s="107">
        <v>3042.5328247060702</v>
      </c>
      <c r="P312" s="107">
        <v>6532.1739686690498</v>
      </c>
      <c r="Q312" s="107">
        <f t="shared" si="25"/>
        <v>3042.5328247060702</v>
      </c>
      <c r="R312" s="107">
        <f t="shared" si="26"/>
        <v>6532.1739686690498</v>
      </c>
      <c r="S312" s="140" t="str">
        <f t="shared" si="27"/>
        <v>Y</v>
      </c>
      <c r="T312" s="154">
        <f t="shared" si="28"/>
        <v>2.1469526690480665</v>
      </c>
      <c r="U312" s="154">
        <f t="shared" si="29"/>
        <v>2.1469526690480665</v>
      </c>
    </row>
    <row r="313" spans="1:21" x14ac:dyDescent="0.35">
      <c r="A313" s="107">
        <v>3216</v>
      </c>
      <c r="B313" s="107">
        <v>2011</v>
      </c>
      <c r="C313" s="107" t="s">
        <v>9</v>
      </c>
      <c r="D313" s="107" t="s">
        <v>132</v>
      </c>
      <c r="E313" s="107" t="s">
        <v>10</v>
      </c>
      <c r="F313" s="115">
        <v>7</v>
      </c>
      <c r="G313" s="107" t="s">
        <v>29</v>
      </c>
      <c r="H313" s="107" t="str">
        <f t="shared" si="24"/>
        <v>Area 7: San Juan Islands</v>
      </c>
      <c r="I313" s="107" t="str">
        <f>IFERROR(VLOOKUP(H313,LUTs!$A$1:$C$73,2,FALSE),"NA")</f>
        <v>NA</v>
      </c>
      <c r="J313" s="107" t="str">
        <f>IFERROR(VLOOKUP(H313,LUTs!$A$1:$C$73,3,FALSE),"NA")</f>
        <v>1North Puget Sound</v>
      </c>
      <c r="K313" s="107" t="s">
        <v>23</v>
      </c>
      <c r="L313" s="107" t="str">
        <f>VLOOKUP(K313,LUTs!E$2:G$14,3,)</f>
        <v>10Kitsap</v>
      </c>
      <c r="M313" s="107" t="str">
        <f>VLOOKUP($K313,LUTs!$E$2:$H$14,2,)</f>
        <v>South Puget Sound</v>
      </c>
      <c r="N313" s="107" t="str">
        <f>VLOOKUP($K313,LUTs!$E$2:$H$14,4,)</f>
        <v>02South Puget Sound</v>
      </c>
      <c r="O313" s="107">
        <v>39.294704378122702</v>
      </c>
      <c r="P313" s="107">
        <v>84.363870444065199</v>
      </c>
      <c r="Q313" s="107">
        <f t="shared" si="25"/>
        <v>39.294704378122702</v>
      </c>
      <c r="R313" s="107">
        <f t="shared" si="26"/>
        <v>84.363870444065199</v>
      </c>
      <c r="S313" s="140" t="str">
        <f t="shared" si="27"/>
        <v>Y</v>
      </c>
      <c r="T313" s="154">
        <f t="shared" si="28"/>
        <v>2.1469526690480643</v>
      </c>
      <c r="U313" s="154">
        <f t="shared" si="29"/>
        <v>2.1469526690480643</v>
      </c>
    </row>
    <row r="314" spans="1:21" x14ac:dyDescent="0.35">
      <c r="A314" s="107">
        <v>3212</v>
      </c>
      <c r="B314" s="107">
        <v>2011</v>
      </c>
      <c r="C314" s="107" t="s">
        <v>9</v>
      </c>
      <c r="D314" s="107" t="s">
        <v>132</v>
      </c>
      <c r="E314" s="107" t="s">
        <v>10</v>
      </c>
      <c r="F314" s="115">
        <v>7</v>
      </c>
      <c r="G314" s="107" t="s">
        <v>29</v>
      </c>
      <c r="H314" s="107" t="str">
        <f t="shared" si="24"/>
        <v>Area 7: San Juan Islands</v>
      </c>
      <c r="I314" s="107" t="str">
        <f>IFERROR(VLOOKUP(H314,LUTs!$A$1:$C$73,2,FALSE),"NA")</f>
        <v>NA</v>
      </c>
      <c r="J314" s="107" t="str">
        <f>IFERROR(VLOOKUP(H314,LUTs!$A$1:$C$73,3,FALSE),"NA")</f>
        <v>1North Puget Sound</v>
      </c>
      <c r="K314" s="107" t="s">
        <v>22</v>
      </c>
      <c r="L314" s="107" t="str">
        <f>VLOOKUP(K314,LUTs!E$2:G$14,3,)</f>
        <v>09Mason</v>
      </c>
      <c r="M314" s="107" t="str">
        <f>VLOOKUP($K314,LUTs!$E$2:$H$14,2,)</f>
        <v>South Puget Sound</v>
      </c>
      <c r="N314" s="107" t="str">
        <f>VLOOKUP($K314,LUTs!$E$2:$H$14,4,)</f>
        <v>02South Puget Sound</v>
      </c>
      <c r="O314" s="107">
        <v>22.454116787498702</v>
      </c>
      <c r="P314" s="107">
        <v>48.207925968037301</v>
      </c>
      <c r="Q314" s="107">
        <f t="shared" si="25"/>
        <v>22.454116787498702</v>
      </c>
      <c r="R314" s="107">
        <f t="shared" si="26"/>
        <v>48.207925968037301</v>
      </c>
      <c r="S314" s="140" t="str">
        <f t="shared" si="27"/>
        <v>Y</v>
      </c>
      <c r="T314" s="154">
        <f t="shared" si="28"/>
        <v>2.1469526690480651</v>
      </c>
      <c r="U314" s="154">
        <f t="shared" si="29"/>
        <v>2.1469526690480651</v>
      </c>
    </row>
    <row r="315" spans="1:21" x14ac:dyDescent="0.35">
      <c r="A315" s="107">
        <v>3219</v>
      </c>
      <c r="B315" s="107">
        <v>2011</v>
      </c>
      <c r="C315" s="107" t="s">
        <v>9</v>
      </c>
      <c r="D315" s="107" t="s">
        <v>132</v>
      </c>
      <c r="E315" s="107" t="s">
        <v>10</v>
      </c>
      <c r="F315" s="115">
        <v>7</v>
      </c>
      <c r="G315" s="107" t="s">
        <v>29</v>
      </c>
      <c r="H315" s="107" t="str">
        <f t="shared" si="24"/>
        <v>Area 7: San Juan Islands</v>
      </c>
      <c r="I315" s="107" t="str">
        <f>IFERROR(VLOOKUP(H315,LUTs!$A$1:$C$73,2,FALSE),"NA")</f>
        <v>NA</v>
      </c>
      <c r="J315" s="107" t="str">
        <f>IFERROR(VLOOKUP(H315,LUTs!$A$1:$C$73,3,FALSE),"NA")</f>
        <v>1North Puget Sound</v>
      </c>
      <c r="K315" s="107" t="s">
        <v>26</v>
      </c>
      <c r="L315" s="107" t="str">
        <f>VLOOKUP(K315,LUTs!E$2:G$14,3,)</f>
        <v>20Other</v>
      </c>
      <c r="M315" s="107" t="str">
        <f>VLOOKUP($K315,LUTs!$E$2:$H$14,2,)</f>
        <v>Non Puget Sound</v>
      </c>
      <c r="N315" s="107" t="str">
        <f>VLOOKUP($K315,LUTs!$E$2:$H$14,4,)</f>
        <v>07Non Puget Sound</v>
      </c>
      <c r="O315" s="107">
        <v>3637.5669195747901</v>
      </c>
      <c r="P315" s="107">
        <v>7809.6840068220299</v>
      </c>
      <c r="Q315" s="107">
        <f t="shared" si="25"/>
        <v>3637.5669195747901</v>
      </c>
      <c r="R315" s="107">
        <f t="shared" si="26"/>
        <v>7809.6840068220299</v>
      </c>
      <c r="S315" s="140" t="str">
        <f t="shared" si="27"/>
        <v>Y</v>
      </c>
      <c r="T315" s="154">
        <f t="shared" si="28"/>
        <v>2.1469526690480611</v>
      </c>
      <c r="U315" s="154">
        <f t="shared" si="29"/>
        <v>2.1469526690480611</v>
      </c>
    </row>
    <row r="316" spans="1:21" x14ac:dyDescent="0.35">
      <c r="A316" s="107">
        <v>3210</v>
      </c>
      <c r="B316" s="107">
        <v>2011</v>
      </c>
      <c r="C316" s="107" t="s">
        <v>9</v>
      </c>
      <c r="D316" s="107" t="s">
        <v>132</v>
      </c>
      <c r="E316" s="107" t="s">
        <v>10</v>
      </c>
      <c r="F316" s="115">
        <v>7</v>
      </c>
      <c r="G316" s="107" t="s">
        <v>29</v>
      </c>
      <c r="H316" s="107" t="str">
        <f t="shared" si="24"/>
        <v>Area 7: San Juan Islands</v>
      </c>
      <c r="I316" s="107" t="str">
        <f>IFERROR(VLOOKUP(H316,LUTs!$A$1:$C$73,2,FALSE),"NA")</f>
        <v>NA</v>
      </c>
      <c r="J316" s="107" t="str">
        <f>IFERROR(VLOOKUP(H316,LUTs!$A$1:$C$73,3,FALSE),"NA")</f>
        <v>1North Puget Sound</v>
      </c>
      <c r="K316" s="107" t="s">
        <v>20</v>
      </c>
      <c r="L316" s="107" t="str">
        <f>VLOOKUP(K316,LUTs!E$2:G$14,3,)</f>
        <v>07Pierce</v>
      </c>
      <c r="M316" s="107" t="str">
        <f>VLOOKUP($K316,LUTs!$E$2:$H$14,2,)</f>
        <v>South Puget Sound</v>
      </c>
      <c r="N316" s="107" t="str">
        <f>VLOOKUP($K316,LUTs!$E$2:$H$14,4,)</f>
        <v>02South Puget Sound</v>
      </c>
      <c r="O316" s="107">
        <v>241.38175546561101</v>
      </c>
      <c r="P316" s="107">
        <v>518.23520415639996</v>
      </c>
      <c r="Q316" s="107">
        <f t="shared" si="25"/>
        <v>241.38175546561101</v>
      </c>
      <c r="R316" s="107">
        <f t="shared" si="26"/>
        <v>518.23520415639996</v>
      </c>
      <c r="S316" s="140" t="str">
        <f t="shared" si="27"/>
        <v>Y</v>
      </c>
      <c r="T316" s="154">
        <f t="shared" si="28"/>
        <v>2.1469526690480611</v>
      </c>
      <c r="U316" s="154">
        <f t="shared" si="29"/>
        <v>2.1469526690480611</v>
      </c>
    </row>
    <row r="317" spans="1:21" x14ac:dyDescent="0.35">
      <c r="A317" s="107">
        <v>3208</v>
      </c>
      <c r="B317" s="107">
        <v>2011</v>
      </c>
      <c r="C317" s="107" t="s">
        <v>9</v>
      </c>
      <c r="D317" s="107" t="s">
        <v>132</v>
      </c>
      <c r="E317" s="107" t="s">
        <v>10</v>
      </c>
      <c r="F317" s="115">
        <v>7</v>
      </c>
      <c r="G317" s="107" t="s">
        <v>29</v>
      </c>
      <c r="H317" s="107" t="str">
        <f t="shared" si="24"/>
        <v>Area 7: San Juan Islands</v>
      </c>
      <c r="I317" s="107" t="str">
        <f>IFERROR(VLOOKUP(H317,LUTs!$A$1:$C$73,2,FALSE),"NA")</f>
        <v>NA</v>
      </c>
      <c r="J317" s="107" t="str">
        <f>IFERROR(VLOOKUP(H317,LUTs!$A$1:$C$73,3,FALSE),"NA")</f>
        <v>1North Puget Sound</v>
      </c>
      <c r="K317" s="107" t="s">
        <v>30</v>
      </c>
      <c r="L317" s="107" t="str">
        <f>VLOOKUP(K317,LUTs!E$2:G$14,3,)</f>
        <v>05San Juan</v>
      </c>
      <c r="M317" s="107" t="str">
        <f>VLOOKUP($K317,LUTs!$E$2:$H$14,2,)</f>
        <v>North Puget Sound</v>
      </c>
      <c r="N317" s="107" t="str">
        <f>VLOOKUP($K317,LUTs!$E$2:$H$14,4,)</f>
        <v>01North Puget Sound</v>
      </c>
      <c r="O317" s="107">
        <v>2144.36815320613</v>
      </c>
      <c r="P317" s="107">
        <v>4603.8569299475603</v>
      </c>
      <c r="Q317" s="107">
        <f t="shared" si="25"/>
        <v>2144.36815320613</v>
      </c>
      <c r="R317" s="107">
        <f t="shared" si="26"/>
        <v>4603.8569299475603</v>
      </c>
      <c r="S317" s="140" t="str">
        <f t="shared" si="27"/>
        <v>Y</v>
      </c>
      <c r="T317" s="154">
        <f t="shared" si="28"/>
        <v>2.1469526690480603</v>
      </c>
      <c r="U317" s="154">
        <f t="shared" si="29"/>
        <v>2.1469526690480603</v>
      </c>
    </row>
    <row r="318" spans="1:21" x14ac:dyDescent="0.35">
      <c r="A318" s="107">
        <v>3205</v>
      </c>
      <c r="B318" s="107">
        <v>2011</v>
      </c>
      <c r="C318" s="107" t="s">
        <v>9</v>
      </c>
      <c r="D318" s="107" t="s">
        <v>132</v>
      </c>
      <c r="E318" s="107" t="s">
        <v>10</v>
      </c>
      <c r="F318" s="115">
        <v>7</v>
      </c>
      <c r="G318" s="107" t="s">
        <v>29</v>
      </c>
      <c r="H318" s="107" t="str">
        <f t="shared" si="24"/>
        <v>Area 7: San Juan Islands</v>
      </c>
      <c r="I318" s="107" t="str">
        <f>IFERROR(VLOOKUP(H318,LUTs!$A$1:$C$73,2,FALSE),"NA")</f>
        <v>NA</v>
      </c>
      <c r="J318" s="107" t="str">
        <f>IFERROR(VLOOKUP(H318,LUTs!$A$1:$C$73,3,FALSE),"NA")</f>
        <v>1North Puget Sound</v>
      </c>
      <c r="K318" s="107" t="s">
        <v>15</v>
      </c>
      <c r="L318" s="107" t="str">
        <f>VLOOKUP(K318,LUTs!E$2:G$14,3,)</f>
        <v>02Skagit</v>
      </c>
      <c r="M318" s="107" t="str">
        <f>VLOOKUP($K318,LUTs!$E$2:$H$14,2,)</f>
        <v>North Puget Sound</v>
      </c>
      <c r="N318" s="107" t="str">
        <f>VLOOKUP($K318,LUTs!$E$2:$H$14,4,)</f>
        <v>01North Puget Sound</v>
      </c>
      <c r="O318" s="107">
        <v>3727.3833867247799</v>
      </c>
      <c r="P318" s="107">
        <v>8002.5157106941797</v>
      </c>
      <c r="Q318" s="107">
        <f t="shared" si="25"/>
        <v>3727.3833867247799</v>
      </c>
      <c r="R318" s="107">
        <f t="shared" si="26"/>
        <v>8002.5157106941797</v>
      </c>
      <c r="S318" s="140" t="str">
        <f t="shared" si="27"/>
        <v>Y</v>
      </c>
      <c r="T318" s="154">
        <f t="shared" si="28"/>
        <v>2.1469526690480643</v>
      </c>
      <c r="U318" s="154">
        <f t="shared" si="29"/>
        <v>2.1469526690480643</v>
      </c>
    </row>
    <row r="319" spans="1:21" x14ac:dyDescent="0.35">
      <c r="A319" s="107">
        <v>3206</v>
      </c>
      <c r="B319" s="107">
        <v>2011</v>
      </c>
      <c r="C319" s="107" t="s">
        <v>9</v>
      </c>
      <c r="D319" s="107" t="s">
        <v>132</v>
      </c>
      <c r="E319" s="107" t="s">
        <v>10</v>
      </c>
      <c r="F319" s="115">
        <v>7</v>
      </c>
      <c r="G319" s="107" t="s">
        <v>29</v>
      </c>
      <c r="H319" s="107" t="str">
        <f t="shared" si="24"/>
        <v>Area 7: San Juan Islands</v>
      </c>
      <c r="I319" s="107" t="str">
        <f>IFERROR(VLOOKUP(H319,LUTs!$A$1:$C$73,2,FALSE),"NA")</f>
        <v>NA</v>
      </c>
      <c r="J319" s="107" t="str">
        <f>IFERROR(VLOOKUP(H319,LUTs!$A$1:$C$73,3,FALSE),"NA")</f>
        <v>1North Puget Sound</v>
      </c>
      <c r="K319" s="107" t="s">
        <v>16</v>
      </c>
      <c r="L319" s="107" t="str">
        <f>VLOOKUP(K319,LUTs!E$2:G$14,3,)</f>
        <v>03Snohomish</v>
      </c>
      <c r="M319" s="107" t="str">
        <f>VLOOKUP($K319,LUTs!$E$2:$H$14,2,)</f>
        <v>North Puget Sound</v>
      </c>
      <c r="N319" s="107" t="str">
        <f>VLOOKUP($K319,LUTs!$E$2:$H$14,4,)</f>
        <v>01North Puget Sound</v>
      </c>
      <c r="O319" s="107">
        <v>1425.8364160061701</v>
      </c>
      <c r="P319" s="107">
        <v>3061.2032989703598</v>
      </c>
      <c r="Q319" s="107">
        <f t="shared" si="25"/>
        <v>1425.8364160061701</v>
      </c>
      <c r="R319" s="107">
        <f t="shared" si="26"/>
        <v>3061.2032989703598</v>
      </c>
      <c r="S319" s="140" t="str">
        <f t="shared" si="27"/>
        <v>Y</v>
      </c>
      <c r="T319" s="154">
        <f t="shared" si="28"/>
        <v>2.1469526690480549</v>
      </c>
      <c r="U319" s="154">
        <f t="shared" si="29"/>
        <v>2.1469526690480549</v>
      </c>
    </row>
    <row r="320" spans="1:21" x14ac:dyDescent="0.35">
      <c r="A320" s="107">
        <v>3211</v>
      </c>
      <c r="B320" s="107">
        <v>2011</v>
      </c>
      <c r="C320" s="107" t="s">
        <v>9</v>
      </c>
      <c r="D320" s="107" t="s">
        <v>132</v>
      </c>
      <c r="E320" s="107" t="s">
        <v>10</v>
      </c>
      <c r="F320" s="115">
        <v>7</v>
      </c>
      <c r="G320" s="107" t="s">
        <v>29</v>
      </c>
      <c r="H320" s="107" t="str">
        <f t="shared" si="24"/>
        <v>Area 7: San Juan Islands</v>
      </c>
      <c r="I320" s="107" t="str">
        <f>IFERROR(VLOOKUP(H320,LUTs!$A$1:$C$73,2,FALSE),"NA")</f>
        <v>NA</v>
      </c>
      <c r="J320" s="107" t="str">
        <f>IFERROR(VLOOKUP(H320,LUTs!$A$1:$C$73,3,FALSE),"NA")</f>
        <v>1North Puget Sound</v>
      </c>
      <c r="K320" s="107" t="s">
        <v>21</v>
      </c>
      <c r="L320" s="107" t="str">
        <f>VLOOKUP(K320,LUTs!E$2:G$14,3,)</f>
        <v>08Thurston</v>
      </c>
      <c r="M320" s="107" t="str">
        <f>VLOOKUP($K320,LUTs!$E$2:$H$14,2,)</f>
        <v>South Puget Sound</v>
      </c>
      <c r="N320" s="107" t="str">
        <f>VLOOKUP($K320,LUTs!$E$2:$H$14,4,)</f>
        <v>02South Puget Sound</v>
      </c>
      <c r="O320" s="107">
        <v>72.975879559370796</v>
      </c>
      <c r="P320" s="107">
        <v>156.67575939612101</v>
      </c>
      <c r="Q320" s="107">
        <f t="shared" si="25"/>
        <v>72.975879559370796</v>
      </c>
      <c r="R320" s="107">
        <f t="shared" si="26"/>
        <v>156.67575939612101</v>
      </c>
      <c r="S320" s="140" t="str">
        <f t="shared" si="27"/>
        <v>Y</v>
      </c>
      <c r="T320" s="154">
        <f t="shared" si="28"/>
        <v>2.1469526690480616</v>
      </c>
      <c r="U320" s="154">
        <f t="shared" si="29"/>
        <v>2.1469526690480616</v>
      </c>
    </row>
    <row r="321" spans="1:21" x14ac:dyDescent="0.35">
      <c r="A321" s="107">
        <v>3204</v>
      </c>
      <c r="B321" s="107">
        <v>2011</v>
      </c>
      <c r="C321" s="107" t="s">
        <v>9</v>
      </c>
      <c r="D321" s="107" t="s">
        <v>132</v>
      </c>
      <c r="E321" s="107" t="s">
        <v>10</v>
      </c>
      <c r="F321" s="115">
        <v>7</v>
      </c>
      <c r="G321" s="107" t="s">
        <v>29</v>
      </c>
      <c r="H321" s="107" t="str">
        <f t="shared" si="24"/>
        <v>Area 7: San Juan Islands</v>
      </c>
      <c r="I321" s="107" t="str">
        <f>IFERROR(VLOOKUP(H321,LUTs!$A$1:$C$73,2,FALSE),"NA")</f>
        <v>NA</v>
      </c>
      <c r="J321" s="107" t="str">
        <f>IFERROR(VLOOKUP(H321,LUTs!$A$1:$C$73,3,FALSE),"NA")</f>
        <v>1North Puget Sound</v>
      </c>
      <c r="K321" s="107" t="s">
        <v>13</v>
      </c>
      <c r="L321" s="107" t="str">
        <f>VLOOKUP(K321,LUTs!E$2:G$14,3,)</f>
        <v>01Whatcom</v>
      </c>
      <c r="M321" s="107" t="str">
        <f>VLOOKUP($K321,LUTs!$E$2:$H$14,2,)</f>
        <v>North Puget Sound</v>
      </c>
      <c r="N321" s="107" t="str">
        <f>VLOOKUP($K321,LUTs!$E$2:$H$14,4,)</f>
        <v>01North Puget Sound</v>
      </c>
      <c r="O321" s="107">
        <v>3721.7698575279101</v>
      </c>
      <c r="P321" s="107">
        <v>7990.4637292021698</v>
      </c>
      <c r="Q321" s="107">
        <f t="shared" si="25"/>
        <v>3721.7698575279101</v>
      </c>
      <c r="R321" s="107">
        <f t="shared" si="26"/>
        <v>7990.4637292021698</v>
      </c>
      <c r="S321" s="140" t="str">
        <f t="shared" si="27"/>
        <v>Y</v>
      </c>
      <c r="T321" s="154">
        <f t="shared" si="28"/>
        <v>2.1469526690480616</v>
      </c>
      <c r="U321" s="154">
        <f t="shared" si="29"/>
        <v>2.1469526690480616</v>
      </c>
    </row>
    <row r="322" spans="1:21" x14ac:dyDescent="0.35">
      <c r="A322" s="107">
        <v>3242</v>
      </c>
      <c r="B322" s="107">
        <v>2012</v>
      </c>
      <c r="C322" s="107" t="s">
        <v>9</v>
      </c>
      <c r="D322" s="107" t="s">
        <v>132</v>
      </c>
      <c r="E322" s="107" t="s">
        <v>10</v>
      </c>
      <c r="F322" s="115">
        <v>7</v>
      </c>
      <c r="G322" s="107" t="s">
        <v>29</v>
      </c>
      <c r="H322" s="107" t="str">
        <f t="shared" ref="H322:H385" si="30">G322</f>
        <v>Area 7: San Juan Islands</v>
      </c>
      <c r="I322" s="107" t="str">
        <f>IFERROR(VLOOKUP(H322,LUTs!$A$1:$C$73,2,FALSE),"NA")</f>
        <v>NA</v>
      </c>
      <c r="J322" s="107" t="str">
        <f>IFERROR(VLOOKUP(H322,LUTs!$A$1:$C$73,3,FALSE),"NA")</f>
        <v>1North Puget Sound</v>
      </c>
      <c r="K322" s="107" t="s">
        <v>24</v>
      </c>
      <c r="L322" s="107" t="str">
        <f>VLOOKUP(K322,LUTs!E$2:G$14,3,)</f>
        <v>11Clallam</v>
      </c>
      <c r="M322" s="107" t="str">
        <f>VLOOKUP($K322,LUTs!$E$2:$H$14,2,)</f>
        <v>Strait of Juan de Fuca</v>
      </c>
      <c r="N322" s="107" t="str">
        <f>VLOOKUP($K322,LUTs!$E$2:$H$14,4,)</f>
        <v>03Strait of Juan de Fuca</v>
      </c>
      <c r="O322" s="107">
        <v>101.18421052631599</v>
      </c>
      <c r="P322" s="107">
        <v>443.145285087719</v>
      </c>
      <c r="Q322" s="107">
        <f t="shared" ref="Q322:Q385" si="31">O322</f>
        <v>101.18421052631599</v>
      </c>
      <c r="R322" s="107">
        <f t="shared" ref="R322:R385" si="32">P322</f>
        <v>443.145285087719</v>
      </c>
      <c r="S322" s="140" t="str">
        <f t="shared" si="27"/>
        <v>Y</v>
      </c>
      <c r="T322" s="154">
        <f t="shared" si="28"/>
        <v>4.3795892934546909</v>
      </c>
      <c r="U322" s="154">
        <f t="shared" si="29"/>
        <v>4.3795892934546909</v>
      </c>
    </row>
    <row r="323" spans="1:21" x14ac:dyDescent="0.35">
      <c r="A323" s="107">
        <v>3229</v>
      </c>
      <c r="B323" s="107">
        <v>2012</v>
      </c>
      <c r="C323" s="107" t="s">
        <v>9</v>
      </c>
      <c r="D323" s="107" t="s">
        <v>132</v>
      </c>
      <c r="E323" s="107" t="s">
        <v>10</v>
      </c>
      <c r="F323" s="115">
        <v>7</v>
      </c>
      <c r="G323" s="107" t="s">
        <v>29</v>
      </c>
      <c r="H323" s="107" t="str">
        <f t="shared" si="30"/>
        <v>Area 7: San Juan Islands</v>
      </c>
      <c r="I323" s="107" t="str">
        <f>IFERROR(VLOOKUP(H323,LUTs!$A$1:$C$73,2,FALSE),"NA")</f>
        <v>NA</v>
      </c>
      <c r="J323" s="107" t="str">
        <f>IFERROR(VLOOKUP(H323,LUTs!$A$1:$C$73,3,FALSE),"NA")</f>
        <v>1North Puget Sound</v>
      </c>
      <c r="K323" s="107" t="s">
        <v>17</v>
      </c>
      <c r="L323" s="107" t="str">
        <f>VLOOKUP(K323,LUTs!E$2:G$14,3,)</f>
        <v>04Island</v>
      </c>
      <c r="M323" s="107" t="str">
        <f>VLOOKUP($K323,LUTs!$E$2:$H$14,2,)</f>
        <v>North Puget Sound</v>
      </c>
      <c r="N323" s="107" t="str">
        <f>VLOOKUP($K323,LUTs!$E$2:$H$14,4,)</f>
        <v>01North Puget Sound</v>
      </c>
      <c r="O323" s="107">
        <v>258.01973684210498</v>
      </c>
      <c r="P323" s="107">
        <v>1130.0204769736799</v>
      </c>
      <c r="Q323" s="107">
        <f t="shared" si="31"/>
        <v>258.01973684210498</v>
      </c>
      <c r="R323" s="107">
        <f t="shared" si="32"/>
        <v>1130.0204769736799</v>
      </c>
      <c r="S323" s="140" t="str">
        <f t="shared" ref="S323:S386" si="33">IF(B323&lt;=2019,"Y","N")</f>
        <v>Y</v>
      </c>
      <c r="T323" s="154">
        <f t="shared" ref="T323:T386" si="34">IFERROR(P323/O323,"NA")</f>
        <v>4.3795892934546909</v>
      </c>
      <c r="U323" s="154">
        <f t="shared" ref="U323:U386" si="35">IFERROR(R323/Q323,"NA")</f>
        <v>4.3795892934546909</v>
      </c>
    </row>
    <row r="324" spans="1:21" x14ac:dyDescent="0.35">
      <c r="A324" s="107">
        <v>3243</v>
      </c>
      <c r="B324" s="107">
        <v>2012</v>
      </c>
      <c r="C324" s="107" t="s">
        <v>9</v>
      </c>
      <c r="D324" s="107" t="s">
        <v>132</v>
      </c>
      <c r="E324" s="107" t="s">
        <v>10</v>
      </c>
      <c r="F324" s="115">
        <v>7</v>
      </c>
      <c r="G324" s="107" t="s">
        <v>29</v>
      </c>
      <c r="H324" s="107" t="str">
        <f t="shared" si="30"/>
        <v>Area 7: San Juan Islands</v>
      </c>
      <c r="I324" s="107" t="str">
        <f>IFERROR(VLOOKUP(H324,LUTs!$A$1:$C$73,2,FALSE),"NA")</f>
        <v>NA</v>
      </c>
      <c r="J324" s="107" t="str">
        <f>IFERROR(VLOOKUP(H324,LUTs!$A$1:$C$73,3,FALSE),"NA")</f>
        <v>1North Puget Sound</v>
      </c>
      <c r="K324" s="107" t="s">
        <v>25</v>
      </c>
      <c r="L324" s="107" t="str">
        <f>VLOOKUP(K324,LUTs!E$2:G$14,3,)</f>
        <v>12Jefferson</v>
      </c>
      <c r="M324" s="107" t="str">
        <f>VLOOKUP($K324,LUTs!$E$2:$H$14,2,)</f>
        <v>Strait of Juan de Fuca</v>
      </c>
      <c r="N324" s="107" t="str">
        <f>VLOOKUP($K324,LUTs!$E$2:$H$14,4,)</f>
        <v>03Strait of Juan de Fuca</v>
      </c>
      <c r="O324" s="107">
        <v>10.1184210526316</v>
      </c>
      <c r="P324" s="107">
        <v>44.3145285087719</v>
      </c>
      <c r="Q324" s="107">
        <f t="shared" si="31"/>
        <v>10.1184210526316</v>
      </c>
      <c r="R324" s="107">
        <f t="shared" si="32"/>
        <v>44.3145285087719</v>
      </c>
      <c r="S324" s="140" t="str">
        <f t="shared" si="33"/>
        <v>Y</v>
      </c>
      <c r="T324" s="154">
        <f t="shared" si="34"/>
        <v>4.3795892934546909</v>
      </c>
      <c r="U324" s="154">
        <f t="shared" si="35"/>
        <v>4.3795892934546909</v>
      </c>
    </row>
    <row r="325" spans="1:21" x14ac:dyDescent="0.35">
      <c r="A325" s="107">
        <v>3237</v>
      </c>
      <c r="B325" s="107">
        <v>2012</v>
      </c>
      <c r="C325" s="107" t="s">
        <v>9</v>
      </c>
      <c r="D325" s="107" t="s">
        <v>132</v>
      </c>
      <c r="E325" s="107" t="s">
        <v>10</v>
      </c>
      <c r="F325" s="115">
        <v>7</v>
      </c>
      <c r="G325" s="107" t="s">
        <v>29</v>
      </c>
      <c r="H325" s="107" t="str">
        <f t="shared" si="30"/>
        <v>Area 7: San Juan Islands</v>
      </c>
      <c r="I325" s="107" t="str">
        <f>IFERROR(VLOOKUP(H325,LUTs!$A$1:$C$73,2,FALSE),"NA")</f>
        <v>NA</v>
      </c>
      <c r="J325" s="107" t="str">
        <f>IFERROR(VLOOKUP(H325,LUTs!$A$1:$C$73,3,FALSE),"NA")</f>
        <v>1North Puget Sound</v>
      </c>
      <c r="K325" s="107" t="s">
        <v>18</v>
      </c>
      <c r="L325" s="107" t="str">
        <f>VLOOKUP(K325,LUTs!E$2:G$14,3,)</f>
        <v>06King</v>
      </c>
      <c r="M325" s="107" t="str">
        <f>VLOOKUP($K325,LUTs!$E$2:$H$14,2,)</f>
        <v>South Puget Sound</v>
      </c>
      <c r="N325" s="107" t="str">
        <f>VLOOKUP($K325,LUTs!$E$2:$H$14,4,)</f>
        <v>02South Puget Sound</v>
      </c>
      <c r="O325" s="107">
        <v>748.76315789473699</v>
      </c>
      <c r="P325" s="107">
        <v>3279.2751096491202</v>
      </c>
      <c r="Q325" s="107">
        <f t="shared" si="31"/>
        <v>748.76315789473699</v>
      </c>
      <c r="R325" s="107">
        <f t="shared" si="32"/>
        <v>3279.2751096491202</v>
      </c>
      <c r="S325" s="140" t="str">
        <f t="shared" si="33"/>
        <v>Y</v>
      </c>
      <c r="T325" s="154">
        <f t="shared" si="34"/>
        <v>4.3795892934546989</v>
      </c>
      <c r="U325" s="154">
        <f t="shared" si="35"/>
        <v>4.3795892934546989</v>
      </c>
    </row>
    <row r="326" spans="1:21" x14ac:dyDescent="0.35">
      <c r="A326" s="107">
        <v>3240</v>
      </c>
      <c r="B326" s="107">
        <v>2012</v>
      </c>
      <c r="C326" s="107" t="s">
        <v>9</v>
      </c>
      <c r="D326" s="107" t="s">
        <v>132</v>
      </c>
      <c r="E326" s="107" t="s">
        <v>10</v>
      </c>
      <c r="F326" s="115">
        <v>7</v>
      </c>
      <c r="G326" s="107" t="s">
        <v>29</v>
      </c>
      <c r="H326" s="107" t="str">
        <f t="shared" si="30"/>
        <v>Area 7: San Juan Islands</v>
      </c>
      <c r="I326" s="107" t="str">
        <f>IFERROR(VLOOKUP(H326,LUTs!$A$1:$C$73,2,FALSE),"NA")</f>
        <v>NA</v>
      </c>
      <c r="J326" s="107" t="str">
        <f>IFERROR(VLOOKUP(H326,LUTs!$A$1:$C$73,3,FALSE),"NA")</f>
        <v>1North Puget Sound</v>
      </c>
      <c r="K326" s="107" t="s">
        <v>23</v>
      </c>
      <c r="L326" s="107" t="str">
        <f>VLOOKUP(K326,LUTs!E$2:G$14,3,)</f>
        <v>10Kitsap</v>
      </c>
      <c r="M326" s="107" t="str">
        <f>VLOOKUP($K326,LUTs!$E$2:$H$14,2,)</f>
        <v>South Puget Sound</v>
      </c>
      <c r="N326" s="107" t="str">
        <f>VLOOKUP($K326,LUTs!$E$2:$H$14,4,)</f>
        <v>02South Puget Sound</v>
      </c>
      <c r="O326" s="107">
        <v>10.1184210526316</v>
      </c>
      <c r="P326" s="107">
        <v>44.3145285087719</v>
      </c>
      <c r="Q326" s="107">
        <f t="shared" si="31"/>
        <v>10.1184210526316</v>
      </c>
      <c r="R326" s="107">
        <f t="shared" si="32"/>
        <v>44.3145285087719</v>
      </c>
      <c r="S326" s="140" t="str">
        <f t="shared" si="33"/>
        <v>Y</v>
      </c>
      <c r="T326" s="154">
        <f t="shared" si="34"/>
        <v>4.3795892934546909</v>
      </c>
      <c r="U326" s="154">
        <f t="shared" si="35"/>
        <v>4.3795892934546909</v>
      </c>
    </row>
    <row r="327" spans="1:21" x14ac:dyDescent="0.35">
      <c r="A327" s="107">
        <v>3239</v>
      </c>
      <c r="B327" s="107">
        <v>2012</v>
      </c>
      <c r="C327" s="107" t="s">
        <v>9</v>
      </c>
      <c r="D327" s="107" t="s">
        <v>132</v>
      </c>
      <c r="E327" s="107" t="s">
        <v>10</v>
      </c>
      <c r="F327" s="115">
        <v>7</v>
      </c>
      <c r="G327" s="107" t="s">
        <v>29</v>
      </c>
      <c r="H327" s="107" t="str">
        <f t="shared" si="30"/>
        <v>Area 7: San Juan Islands</v>
      </c>
      <c r="I327" s="107" t="str">
        <f>IFERROR(VLOOKUP(H327,LUTs!$A$1:$C$73,2,FALSE),"NA")</f>
        <v>NA</v>
      </c>
      <c r="J327" s="107" t="str">
        <f>IFERROR(VLOOKUP(H327,LUTs!$A$1:$C$73,3,FALSE),"NA")</f>
        <v>1North Puget Sound</v>
      </c>
      <c r="K327" s="107" t="s">
        <v>22</v>
      </c>
      <c r="L327" s="107" t="str">
        <f>VLOOKUP(K327,LUTs!E$2:G$14,3,)</f>
        <v>09Mason</v>
      </c>
      <c r="M327" s="107" t="str">
        <f>VLOOKUP($K327,LUTs!$E$2:$H$14,2,)</f>
        <v>South Puget Sound</v>
      </c>
      <c r="N327" s="107" t="str">
        <f>VLOOKUP($K327,LUTs!$E$2:$H$14,4,)</f>
        <v>02South Puget Sound</v>
      </c>
      <c r="O327" s="107">
        <v>35.414473684210499</v>
      </c>
      <c r="P327" s="107">
        <v>155.10084978070199</v>
      </c>
      <c r="Q327" s="107">
        <f t="shared" si="31"/>
        <v>35.414473684210499</v>
      </c>
      <c r="R327" s="107">
        <f t="shared" si="32"/>
        <v>155.10084978070199</v>
      </c>
      <c r="S327" s="140" t="str">
        <f t="shared" si="33"/>
        <v>Y</v>
      </c>
      <c r="T327" s="154">
        <f t="shared" si="34"/>
        <v>4.3795892934547132</v>
      </c>
      <c r="U327" s="154">
        <f t="shared" si="35"/>
        <v>4.3795892934547132</v>
      </c>
    </row>
    <row r="328" spans="1:21" x14ac:dyDescent="0.35">
      <c r="A328" s="107">
        <v>3244</v>
      </c>
      <c r="B328" s="107">
        <v>2012</v>
      </c>
      <c r="C328" s="107" t="s">
        <v>9</v>
      </c>
      <c r="D328" s="107" t="s">
        <v>132</v>
      </c>
      <c r="E328" s="107" t="s">
        <v>10</v>
      </c>
      <c r="F328" s="115">
        <v>7</v>
      </c>
      <c r="G328" s="107" t="s">
        <v>29</v>
      </c>
      <c r="H328" s="107" t="str">
        <f t="shared" si="30"/>
        <v>Area 7: San Juan Islands</v>
      </c>
      <c r="I328" s="107" t="str">
        <f>IFERROR(VLOOKUP(H328,LUTs!$A$1:$C$73,2,FALSE),"NA")</f>
        <v>NA</v>
      </c>
      <c r="J328" s="107" t="str">
        <f>IFERROR(VLOOKUP(H328,LUTs!$A$1:$C$73,3,FALSE),"NA")</f>
        <v>1North Puget Sound</v>
      </c>
      <c r="K328" s="107" t="s">
        <v>26</v>
      </c>
      <c r="L328" s="107" t="str">
        <f>VLOOKUP(K328,LUTs!E$2:G$14,3,)</f>
        <v>20Other</v>
      </c>
      <c r="M328" s="107" t="str">
        <f>VLOOKUP($K328,LUTs!$E$2:$H$14,2,)</f>
        <v>Non Puget Sound</v>
      </c>
      <c r="N328" s="107" t="str">
        <f>VLOOKUP($K328,LUTs!$E$2:$H$14,4,)</f>
        <v>07Non Puget Sound</v>
      </c>
      <c r="O328" s="107">
        <v>642.51973684210498</v>
      </c>
      <c r="P328" s="107">
        <v>2813.9725603070201</v>
      </c>
      <c r="Q328" s="107">
        <f t="shared" si="31"/>
        <v>642.51973684210498</v>
      </c>
      <c r="R328" s="107">
        <f t="shared" si="32"/>
        <v>2813.9725603070201</v>
      </c>
      <c r="S328" s="140" t="str">
        <f t="shared" si="33"/>
        <v>Y</v>
      </c>
      <c r="T328" s="154">
        <f t="shared" si="34"/>
        <v>4.3795892934547087</v>
      </c>
      <c r="U328" s="154">
        <f t="shared" si="35"/>
        <v>4.3795892934547087</v>
      </c>
    </row>
    <row r="329" spans="1:21" x14ac:dyDescent="0.35">
      <c r="A329" s="107">
        <v>3238</v>
      </c>
      <c r="B329" s="107">
        <v>2012</v>
      </c>
      <c r="C329" s="107" t="s">
        <v>9</v>
      </c>
      <c r="D329" s="107" t="s">
        <v>132</v>
      </c>
      <c r="E329" s="107" t="s">
        <v>10</v>
      </c>
      <c r="F329" s="115">
        <v>7</v>
      </c>
      <c r="G329" s="107" t="s">
        <v>29</v>
      </c>
      <c r="H329" s="107" t="str">
        <f t="shared" si="30"/>
        <v>Area 7: San Juan Islands</v>
      </c>
      <c r="I329" s="107" t="str">
        <f>IFERROR(VLOOKUP(H329,LUTs!$A$1:$C$73,2,FALSE),"NA")</f>
        <v>NA</v>
      </c>
      <c r="J329" s="107" t="str">
        <f>IFERROR(VLOOKUP(H329,LUTs!$A$1:$C$73,3,FALSE),"NA")</f>
        <v>1North Puget Sound</v>
      </c>
      <c r="K329" s="107" t="s">
        <v>20</v>
      </c>
      <c r="L329" s="107" t="str">
        <f>VLOOKUP(K329,LUTs!E$2:G$14,3,)</f>
        <v>07Pierce</v>
      </c>
      <c r="M329" s="107" t="str">
        <f>VLOOKUP($K329,LUTs!$E$2:$H$14,2,)</f>
        <v>South Puget Sound</v>
      </c>
      <c r="N329" s="107" t="str">
        <f>VLOOKUP($K329,LUTs!$E$2:$H$14,4,)</f>
        <v>02South Puget Sound</v>
      </c>
      <c r="O329" s="107">
        <v>172.01315789473699</v>
      </c>
      <c r="P329" s="107">
        <v>753.34698464912299</v>
      </c>
      <c r="Q329" s="107">
        <f t="shared" si="31"/>
        <v>172.01315789473699</v>
      </c>
      <c r="R329" s="107">
        <f t="shared" si="32"/>
        <v>753.34698464912299</v>
      </c>
      <c r="S329" s="140" t="str">
        <f t="shared" si="33"/>
        <v>Y</v>
      </c>
      <c r="T329" s="154">
        <f t="shared" si="34"/>
        <v>4.3795892934547007</v>
      </c>
      <c r="U329" s="154">
        <f t="shared" si="35"/>
        <v>4.3795892934547007</v>
      </c>
    </row>
    <row r="330" spans="1:21" x14ac:dyDescent="0.35">
      <c r="A330" s="107">
        <v>3236</v>
      </c>
      <c r="B330" s="107">
        <v>2012</v>
      </c>
      <c r="C330" s="107" t="s">
        <v>9</v>
      </c>
      <c r="D330" s="107" t="s">
        <v>132</v>
      </c>
      <c r="E330" s="107" t="s">
        <v>10</v>
      </c>
      <c r="F330" s="115">
        <v>7</v>
      </c>
      <c r="G330" s="107" t="s">
        <v>29</v>
      </c>
      <c r="H330" s="107" t="str">
        <f t="shared" si="30"/>
        <v>Area 7: San Juan Islands</v>
      </c>
      <c r="I330" s="107" t="str">
        <f>IFERROR(VLOOKUP(H330,LUTs!$A$1:$C$73,2,FALSE),"NA")</f>
        <v>NA</v>
      </c>
      <c r="J330" s="107" t="str">
        <f>IFERROR(VLOOKUP(H330,LUTs!$A$1:$C$73,3,FALSE),"NA")</f>
        <v>1North Puget Sound</v>
      </c>
      <c r="K330" s="107" t="s">
        <v>30</v>
      </c>
      <c r="L330" s="107" t="str">
        <f>VLOOKUP(K330,LUTs!E$2:G$14,3,)</f>
        <v>05San Juan</v>
      </c>
      <c r="M330" s="107" t="str">
        <f>VLOOKUP($K330,LUTs!$E$2:$H$14,2,)</f>
        <v>North Puget Sound</v>
      </c>
      <c r="N330" s="107" t="str">
        <f>VLOOKUP($K330,LUTs!$E$2:$H$14,4,)</f>
        <v>01North Puget Sound</v>
      </c>
      <c r="O330" s="107">
        <v>1290.0986842105301</v>
      </c>
      <c r="P330" s="107">
        <v>5650.1023848684199</v>
      </c>
      <c r="Q330" s="107">
        <f t="shared" si="31"/>
        <v>1290.0986842105301</v>
      </c>
      <c r="R330" s="107">
        <f t="shared" si="32"/>
        <v>5650.1023848684199</v>
      </c>
      <c r="S330" s="140" t="str">
        <f t="shared" si="33"/>
        <v>Y</v>
      </c>
      <c r="T330" s="154">
        <f t="shared" si="34"/>
        <v>4.3795892934546892</v>
      </c>
      <c r="U330" s="154">
        <f t="shared" si="35"/>
        <v>4.3795892934546892</v>
      </c>
    </row>
    <row r="331" spans="1:21" x14ac:dyDescent="0.35">
      <c r="A331" s="107">
        <v>3227</v>
      </c>
      <c r="B331" s="107">
        <v>2012</v>
      </c>
      <c r="C331" s="107" t="s">
        <v>9</v>
      </c>
      <c r="D331" s="107" t="s">
        <v>132</v>
      </c>
      <c r="E331" s="107" t="s">
        <v>10</v>
      </c>
      <c r="F331" s="115">
        <v>7</v>
      </c>
      <c r="G331" s="107" t="s">
        <v>29</v>
      </c>
      <c r="H331" s="107" t="str">
        <f t="shared" si="30"/>
        <v>Area 7: San Juan Islands</v>
      </c>
      <c r="I331" s="107" t="str">
        <f>IFERROR(VLOOKUP(H331,LUTs!$A$1:$C$73,2,FALSE),"NA")</f>
        <v>NA</v>
      </c>
      <c r="J331" s="107" t="str">
        <f>IFERROR(VLOOKUP(H331,LUTs!$A$1:$C$73,3,FALSE),"NA")</f>
        <v>1North Puget Sound</v>
      </c>
      <c r="K331" s="107" t="s">
        <v>15</v>
      </c>
      <c r="L331" s="107" t="str">
        <f>VLOOKUP(K331,LUTs!E$2:G$14,3,)</f>
        <v>02Skagit</v>
      </c>
      <c r="M331" s="107" t="str">
        <f>VLOOKUP($K331,LUTs!$E$2:$H$14,2,)</f>
        <v>North Puget Sound</v>
      </c>
      <c r="N331" s="107" t="str">
        <f>VLOOKUP($K331,LUTs!$E$2:$H$14,4,)</f>
        <v>01North Puget Sound</v>
      </c>
      <c r="O331" s="107">
        <v>2504.3092105263199</v>
      </c>
      <c r="P331" s="107">
        <v>10967.845805921101</v>
      </c>
      <c r="Q331" s="107">
        <f t="shared" si="31"/>
        <v>2504.3092105263199</v>
      </c>
      <c r="R331" s="107">
        <f t="shared" si="32"/>
        <v>10967.845805921101</v>
      </c>
      <c r="S331" s="140" t="str">
        <f t="shared" si="33"/>
        <v>Y</v>
      </c>
      <c r="T331" s="154">
        <f t="shared" si="34"/>
        <v>4.3795892934547149</v>
      </c>
      <c r="U331" s="154">
        <f t="shared" si="35"/>
        <v>4.3795892934547149</v>
      </c>
    </row>
    <row r="332" spans="1:21" x14ac:dyDescent="0.35">
      <c r="A332" s="107">
        <v>3228</v>
      </c>
      <c r="B332" s="107">
        <v>2012</v>
      </c>
      <c r="C332" s="107" t="s">
        <v>9</v>
      </c>
      <c r="D332" s="107" t="s">
        <v>132</v>
      </c>
      <c r="E332" s="107" t="s">
        <v>10</v>
      </c>
      <c r="F332" s="115">
        <v>7</v>
      </c>
      <c r="G332" s="107" t="s">
        <v>29</v>
      </c>
      <c r="H332" s="107" t="str">
        <f t="shared" si="30"/>
        <v>Area 7: San Juan Islands</v>
      </c>
      <c r="I332" s="107" t="str">
        <f>IFERROR(VLOOKUP(H332,LUTs!$A$1:$C$73,2,FALSE),"NA")</f>
        <v>NA</v>
      </c>
      <c r="J332" s="107" t="str">
        <f>IFERROR(VLOOKUP(H332,LUTs!$A$1:$C$73,3,FALSE),"NA")</f>
        <v>1North Puget Sound</v>
      </c>
      <c r="K332" s="107" t="s">
        <v>16</v>
      </c>
      <c r="L332" s="107" t="str">
        <f>VLOOKUP(K332,LUTs!E$2:G$14,3,)</f>
        <v>03Snohomish</v>
      </c>
      <c r="M332" s="107" t="str">
        <f>VLOOKUP($K332,LUTs!$E$2:$H$14,2,)</f>
        <v>North Puget Sound</v>
      </c>
      <c r="N332" s="107" t="str">
        <f>VLOOKUP($K332,LUTs!$E$2:$H$14,4,)</f>
        <v>01North Puget Sound</v>
      </c>
      <c r="O332" s="107">
        <v>824.65131578947398</v>
      </c>
      <c r="P332" s="107">
        <v>3611.6340734649102</v>
      </c>
      <c r="Q332" s="107">
        <f t="shared" si="31"/>
        <v>824.65131578947398</v>
      </c>
      <c r="R332" s="107">
        <f t="shared" si="32"/>
        <v>3611.6340734649102</v>
      </c>
      <c r="S332" s="140" t="str">
        <f t="shared" si="33"/>
        <v>Y</v>
      </c>
      <c r="T332" s="154">
        <f t="shared" si="34"/>
        <v>4.3795892934546989</v>
      </c>
      <c r="U332" s="154">
        <f t="shared" si="35"/>
        <v>4.3795892934546989</v>
      </c>
    </row>
    <row r="333" spans="1:21" x14ac:dyDescent="0.35">
      <c r="A333" s="107">
        <v>3220</v>
      </c>
      <c r="B333" s="107">
        <v>2012</v>
      </c>
      <c r="C333" s="107" t="s">
        <v>9</v>
      </c>
      <c r="D333" s="107" t="s">
        <v>132</v>
      </c>
      <c r="E333" s="107" t="s">
        <v>10</v>
      </c>
      <c r="F333" s="115">
        <v>7</v>
      </c>
      <c r="G333" s="107" t="s">
        <v>29</v>
      </c>
      <c r="H333" s="107" t="str">
        <f t="shared" si="30"/>
        <v>Area 7: San Juan Islands</v>
      </c>
      <c r="I333" s="107" t="str">
        <f>IFERROR(VLOOKUP(H333,LUTs!$A$1:$C$73,2,FALSE),"NA")</f>
        <v>NA</v>
      </c>
      <c r="J333" s="107" t="str">
        <f>IFERROR(VLOOKUP(H333,LUTs!$A$1:$C$73,3,FALSE),"NA")</f>
        <v>1North Puget Sound</v>
      </c>
      <c r="K333" s="107" t="s">
        <v>13</v>
      </c>
      <c r="L333" s="107" t="str">
        <f>VLOOKUP(K333,LUTs!E$2:G$14,3,)</f>
        <v>01Whatcom</v>
      </c>
      <c r="M333" s="107" t="str">
        <f>VLOOKUP($K333,LUTs!$E$2:$H$14,2,)</f>
        <v>North Puget Sound</v>
      </c>
      <c r="N333" s="107" t="str">
        <f>VLOOKUP($K333,LUTs!$E$2:$H$14,4,)</f>
        <v>01North Puget Sound</v>
      </c>
      <c r="O333" s="107">
        <v>2630.78947368421</v>
      </c>
      <c r="P333" s="107">
        <v>11521.7774122807</v>
      </c>
      <c r="Q333" s="107">
        <f t="shared" si="31"/>
        <v>2630.78947368421</v>
      </c>
      <c r="R333" s="107">
        <f t="shared" si="32"/>
        <v>11521.7774122807</v>
      </c>
      <c r="S333" s="140" t="str">
        <f t="shared" si="33"/>
        <v>Y</v>
      </c>
      <c r="T333" s="154">
        <f t="shared" si="34"/>
        <v>4.3795892934547034</v>
      </c>
      <c r="U333" s="154">
        <f t="shared" si="35"/>
        <v>4.3795892934547034</v>
      </c>
    </row>
    <row r="334" spans="1:21" x14ac:dyDescent="0.35">
      <c r="A334" s="107">
        <v>3299</v>
      </c>
      <c r="B334" s="107">
        <v>2013</v>
      </c>
      <c r="C334" s="107" t="s">
        <v>9</v>
      </c>
      <c r="D334" s="107" t="s">
        <v>132</v>
      </c>
      <c r="E334" s="107" t="s">
        <v>10</v>
      </c>
      <c r="F334" s="115">
        <v>7</v>
      </c>
      <c r="G334" s="107" t="s">
        <v>29</v>
      </c>
      <c r="H334" s="107" t="str">
        <f t="shared" si="30"/>
        <v>Area 7: San Juan Islands</v>
      </c>
      <c r="I334" s="107" t="str">
        <f>IFERROR(VLOOKUP(H334,LUTs!$A$1:$C$73,2,FALSE),"NA")</f>
        <v>NA</v>
      </c>
      <c r="J334" s="107" t="str">
        <f>IFERROR(VLOOKUP(H334,LUTs!$A$1:$C$73,3,FALSE),"NA")</f>
        <v>1North Puget Sound</v>
      </c>
      <c r="K334" s="107" t="s">
        <v>24</v>
      </c>
      <c r="L334" s="107" t="str">
        <f>VLOOKUP(K334,LUTs!E$2:G$14,3,)</f>
        <v>11Clallam</v>
      </c>
      <c r="M334" s="107" t="str">
        <f>VLOOKUP($K334,LUTs!$E$2:$H$14,2,)</f>
        <v>Strait of Juan de Fuca</v>
      </c>
      <c r="N334" s="107" t="str">
        <f>VLOOKUP($K334,LUTs!$E$2:$H$14,4,)</f>
        <v>03Strait of Juan de Fuca</v>
      </c>
      <c r="O334" s="107">
        <v>296.50021105951902</v>
      </c>
      <c r="P334" s="107">
        <v>516.23789784719304</v>
      </c>
      <c r="Q334" s="107">
        <f t="shared" si="31"/>
        <v>296.50021105951902</v>
      </c>
      <c r="R334" s="107">
        <f t="shared" si="32"/>
        <v>516.23789784719304</v>
      </c>
      <c r="S334" s="140" t="str">
        <f t="shared" si="33"/>
        <v>Y</v>
      </c>
      <c r="T334" s="154">
        <f t="shared" si="34"/>
        <v>1.7411046555496859</v>
      </c>
      <c r="U334" s="154">
        <f t="shared" si="35"/>
        <v>1.7411046555496859</v>
      </c>
    </row>
    <row r="335" spans="1:21" x14ac:dyDescent="0.35">
      <c r="A335" s="107">
        <v>3248</v>
      </c>
      <c r="B335" s="107">
        <v>2013</v>
      </c>
      <c r="C335" s="107" t="s">
        <v>9</v>
      </c>
      <c r="D335" s="107" t="s">
        <v>132</v>
      </c>
      <c r="E335" s="107" t="s">
        <v>10</v>
      </c>
      <c r="F335" s="115">
        <v>7</v>
      </c>
      <c r="G335" s="107" t="s">
        <v>29</v>
      </c>
      <c r="H335" s="107" t="str">
        <f t="shared" si="30"/>
        <v>Area 7: San Juan Islands</v>
      </c>
      <c r="I335" s="107" t="str">
        <f>IFERROR(VLOOKUP(H335,LUTs!$A$1:$C$73,2,FALSE),"NA")</f>
        <v>NA</v>
      </c>
      <c r="J335" s="107" t="str">
        <f>IFERROR(VLOOKUP(H335,LUTs!$A$1:$C$73,3,FALSE),"NA")</f>
        <v>1North Puget Sound</v>
      </c>
      <c r="K335" s="107" t="s">
        <v>17</v>
      </c>
      <c r="L335" s="107" t="str">
        <f>VLOOKUP(K335,LUTs!E$2:G$14,3,)</f>
        <v>04Island</v>
      </c>
      <c r="M335" s="107" t="str">
        <f>VLOOKUP($K335,LUTs!$E$2:$H$14,2,)</f>
        <v>North Puget Sound</v>
      </c>
      <c r="N335" s="107" t="str">
        <f>VLOOKUP($K335,LUTs!$E$2:$H$14,4,)</f>
        <v>01North Puget Sound</v>
      </c>
      <c r="O335" s="107">
        <v>2092.2845082313202</v>
      </c>
      <c r="P335" s="107">
        <v>3642.8862980160402</v>
      </c>
      <c r="Q335" s="107">
        <f t="shared" si="31"/>
        <v>2092.2845082313202</v>
      </c>
      <c r="R335" s="107">
        <f t="shared" si="32"/>
        <v>3642.8862980160402</v>
      </c>
      <c r="S335" s="140" t="str">
        <f t="shared" si="33"/>
        <v>Y</v>
      </c>
      <c r="T335" s="154">
        <f t="shared" si="34"/>
        <v>1.7411046555496876</v>
      </c>
      <c r="U335" s="154">
        <f t="shared" si="35"/>
        <v>1.7411046555496876</v>
      </c>
    </row>
    <row r="336" spans="1:21" x14ac:dyDescent="0.35">
      <c r="A336" s="107">
        <v>3300</v>
      </c>
      <c r="B336" s="107">
        <v>2013</v>
      </c>
      <c r="C336" s="107" t="s">
        <v>9</v>
      </c>
      <c r="D336" s="107" t="s">
        <v>132</v>
      </c>
      <c r="E336" s="107" t="s">
        <v>10</v>
      </c>
      <c r="F336" s="115">
        <v>7</v>
      </c>
      <c r="G336" s="107" t="s">
        <v>29</v>
      </c>
      <c r="H336" s="107" t="str">
        <f t="shared" si="30"/>
        <v>Area 7: San Juan Islands</v>
      </c>
      <c r="I336" s="107" t="str">
        <f>IFERROR(VLOOKUP(H336,LUTs!$A$1:$C$73,2,FALSE),"NA")</f>
        <v>NA</v>
      </c>
      <c r="J336" s="107" t="str">
        <f>IFERROR(VLOOKUP(H336,LUTs!$A$1:$C$73,3,FALSE),"NA")</f>
        <v>1North Puget Sound</v>
      </c>
      <c r="K336" s="107" t="s">
        <v>25</v>
      </c>
      <c r="L336" s="107" t="str">
        <f>VLOOKUP(K336,LUTs!E$2:G$14,3,)</f>
        <v>12Jefferson</v>
      </c>
      <c r="M336" s="107" t="str">
        <f>VLOOKUP($K336,LUTs!$E$2:$H$14,2,)</f>
        <v>Strait of Juan de Fuca</v>
      </c>
      <c r="N336" s="107" t="str">
        <f>VLOOKUP($K336,LUTs!$E$2:$H$14,4,)</f>
        <v>03Strait of Juan de Fuca</v>
      </c>
      <c r="O336" s="107">
        <v>16.783030814689699</v>
      </c>
      <c r="P336" s="107">
        <v>29.221013085690199</v>
      </c>
      <c r="Q336" s="107">
        <f t="shared" si="31"/>
        <v>16.783030814689699</v>
      </c>
      <c r="R336" s="107">
        <f t="shared" si="32"/>
        <v>29.221013085690199</v>
      </c>
      <c r="S336" s="140" t="str">
        <f t="shared" si="33"/>
        <v>Y</v>
      </c>
      <c r="T336" s="154">
        <f t="shared" si="34"/>
        <v>1.7411046555496934</v>
      </c>
      <c r="U336" s="154">
        <f t="shared" si="35"/>
        <v>1.7411046555496934</v>
      </c>
    </row>
    <row r="337" spans="1:21" x14ac:dyDescent="0.35">
      <c r="A337" s="107">
        <v>3250</v>
      </c>
      <c r="B337" s="107">
        <v>2013</v>
      </c>
      <c r="C337" s="107" t="s">
        <v>9</v>
      </c>
      <c r="D337" s="107" t="s">
        <v>132</v>
      </c>
      <c r="E337" s="107" t="s">
        <v>10</v>
      </c>
      <c r="F337" s="115">
        <v>7</v>
      </c>
      <c r="G337" s="107" t="s">
        <v>29</v>
      </c>
      <c r="H337" s="107" t="str">
        <f t="shared" si="30"/>
        <v>Area 7: San Juan Islands</v>
      </c>
      <c r="I337" s="107" t="str">
        <f>IFERROR(VLOOKUP(H337,LUTs!$A$1:$C$73,2,FALSE),"NA")</f>
        <v>NA</v>
      </c>
      <c r="J337" s="107" t="str">
        <f>IFERROR(VLOOKUP(H337,LUTs!$A$1:$C$73,3,FALSE),"NA")</f>
        <v>1North Puget Sound</v>
      </c>
      <c r="K337" s="107" t="s">
        <v>18</v>
      </c>
      <c r="L337" s="107" t="str">
        <f>VLOOKUP(K337,LUTs!E$2:G$14,3,)</f>
        <v>06King</v>
      </c>
      <c r="M337" s="107" t="str">
        <f>VLOOKUP($K337,LUTs!$E$2:$H$14,2,)</f>
        <v>South Puget Sound</v>
      </c>
      <c r="N337" s="107" t="str">
        <f>VLOOKUP($K337,LUTs!$E$2:$H$14,4,)</f>
        <v>02South Puget Sound</v>
      </c>
      <c r="O337" s="107">
        <v>3703.45546644154</v>
      </c>
      <c r="P337" s="107">
        <v>6448.1035542422997</v>
      </c>
      <c r="Q337" s="107">
        <f t="shared" si="31"/>
        <v>3703.45546644154</v>
      </c>
      <c r="R337" s="107">
        <f t="shared" si="32"/>
        <v>6448.1035542422997</v>
      </c>
      <c r="S337" s="140" t="str">
        <f t="shared" si="33"/>
        <v>Y</v>
      </c>
      <c r="T337" s="154">
        <f t="shared" si="34"/>
        <v>1.7411046555496861</v>
      </c>
      <c r="U337" s="154">
        <f t="shared" si="35"/>
        <v>1.7411046555496861</v>
      </c>
    </row>
    <row r="338" spans="1:21" x14ac:dyDescent="0.35">
      <c r="A338" s="107">
        <v>3254</v>
      </c>
      <c r="B338" s="107">
        <v>2013</v>
      </c>
      <c r="C338" s="107" t="s">
        <v>9</v>
      </c>
      <c r="D338" s="107" t="s">
        <v>132</v>
      </c>
      <c r="E338" s="107" t="s">
        <v>10</v>
      </c>
      <c r="F338" s="115">
        <v>7</v>
      </c>
      <c r="G338" s="107" t="s">
        <v>29</v>
      </c>
      <c r="H338" s="107" t="str">
        <f t="shared" si="30"/>
        <v>Area 7: San Juan Islands</v>
      </c>
      <c r="I338" s="107" t="str">
        <f>IFERROR(VLOOKUP(H338,LUTs!$A$1:$C$73,2,FALSE),"NA")</f>
        <v>NA</v>
      </c>
      <c r="J338" s="107" t="str">
        <f>IFERROR(VLOOKUP(H338,LUTs!$A$1:$C$73,3,FALSE),"NA")</f>
        <v>1North Puget Sound</v>
      </c>
      <c r="K338" s="107" t="s">
        <v>23</v>
      </c>
      <c r="L338" s="107" t="str">
        <f>VLOOKUP(K338,LUTs!E$2:G$14,3,)</f>
        <v>10Kitsap</v>
      </c>
      <c r="M338" s="107" t="str">
        <f>VLOOKUP($K338,LUTs!$E$2:$H$14,2,)</f>
        <v>South Puget Sound</v>
      </c>
      <c r="N338" s="107" t="str">
        <f>VLOOKUP($K338,LUTs!$E$2:$H$14,4,)</f>
        <v>02South Puget Sound</v>
      </c>
      <c r="O338" s="107">
        <v>179.01899535669099</v>
      </c>
      <c r="P338" s="107">
        <v>311.69080624736199</v>
      </c>
      <c r="Q338" s="107">
        <f t="shared" si="31"/>
        <v>179.01899535669099</v>
      </c>
      <c r="R338" s="107">
        <f t="shared" si="32"/>
        <v>311.69080624736199</v>
      </c>
      <c r="S338" s="140" t="str">
        <f t="shared" si="33"/>
        <v>Y</v>
      </c>
      <c r="T338" s="154">
        <f t="shared" si="34"/>
        <v>1.7411046555496843</v>
      </c>
      <c r="U338" s="154">
        <f t="shared" si="35"/>
        <v>1.7411046555496843</v>
      </c>
    </row>
    <row r="339" spans="1:21" x14ac:dyDescent="0.35">
      <c r="A339" s="107">
        <v>3253</v>
      </c>
      <c r="B339" s="107">
        <v>2013</v>
      </c>
      <c r="C339" s="107" t="s">
        <v>9</v>
      </c>
      <c r="D339" s="107" t="s">
        <v>132</v>
      </c>
      <c r="E339" s="107" t="s">
        <v>10</v>
      </c>
      <c r="F339" s="115">
        <v>7</v>
      </c>
      <c r="G339" s="107" t="s">
        <v>29</v>
      </c>
      <c r="H339" s="107" t="str">
        <f t="shared" si="30"/>
        <v>Area 7: San Juan Islands</v>
      </c>
      <c r="I339" s="107" t="str">
        <f>IFERROR(VLOOKUP(H339,LUTs!$A$1:$C$73,2,FALSE),"NA")</f>
        <v>NA</v>
      </c>
      <c r="J339" s="107" t="str">
        <f>IFERROR(VLOOKUP(H339,LUTs!$A$1:$C$73,3,FALSE),"NA")</f>
        <v>1North Puget Sound</v>
      </c>
      <c r="K339" s="107" t="s">
        <v>22</v>
      </c>
      <c r="L339" s="107" t="str">
        <f>VLOOKUP(K339,LUTs!E$2:G$14,3,)</f>
        <v>09Mason</v>
      </c>
      <c r="M339" s="107" t="str">
        <f>VLOOKUP($K339,LUTs!$E$2:$H$14,2,)</f>
        <v>South Puget Sound</v>
      </c>
      <c r="N339" s="107" t="str">
        <f>VLOOKUP($K339,LUTs!$E$2:$H$14,4,)</f>
        <v>02South Puget Sound</v>
      </c>
      <c r="O339" s="107">
        <v>156.64162093710399</v>
      </c>
      <c r="P339" s="107">
        <v>272.729455466442</v>
      </c>
      <c r="Q339" s="107">
        <f t="shared" si="31"/>
        <v>156.64162093710399</v>
      </c>
      <c r="R339" s="107">
        <f t="shared" si="32"/>
        <v>272.729455466442</v>
      </c>
      <c r="S339" s="140" t="str">
        <f t="shared" si="33"/>
        <v>Y</v>
      </c>
      <c r="T339" s="154">
        <f t="shared" si="34"/>
        <v>1.7411046555496927</v>
      </c>
      <c r="U339" s="154">
        <f t="shared" si="35"/>
        <v>1.7411046555496927</v>
      </c>
    </row>
    <row r="340" spans="1:21" x14ac:dyDescent="0.35">
      <c r="A340" s="107">
        <v>3301</v>
      </c>
      <c r="B340" s="107">
        <v>2013</v>
      </c>
      <c r="C340" s="107" t="s">
        <v>9</v>
      </c>
      <c r="D340" s="107" t="s">
        <v>132</v>
      </c>
      <c r="E340" s="107" t="s">
        <v>10</v>
      </c>
      <c r="F340" s="115">
        <v>7</v>
      </c>
      <c r="G340" s="107" t="s">
        <v>29</v>
      </c>
      <c r="H340" s="107" t="str">
        <f t="shared" si="30"/>
        <v>Area 7: San Juan Islands</v>
      </c>
      <c r="I340" s="107" t="str">
        <f>IFERROR(VLOOKUP(H340,LUTs!$A$1:$C$73,2,FALSE),"NA")</f>
        <v>NA</v>
      </c>
      <c r="J340" s="107" t="str">
        <f>IFERROR(VLOOKUP(H340,LUTs!$A$1:$C$73,3,FALSE),"NA")</f>
        <v>1North Puget Sound</v>
      </c>
      <c r="K340" s="107" t="s">
        <v>26</v>
      </c>
      <c r="L340" s="107" t="str">
        <f>VLOOKUP(K340,LUTs!E$2:G$14,3,)</f>
        <v>20Other</v>
      </c>
      <c r="M340" s="107" t="str">
        <f>VLOOKUP($K340,LUTs!$E$2:$H$14,2,)</f>
        <v>Non Puget Sound</v>
      </c>
      <c r="N340" s="107" t="str">
        <f>VLOOKUP($K340,LUTs!$E$2:$H$14,4,)</f>
        <v>07Non Puget Sound</v>
      </c>
      <c r="O340" s="107">
        <v>4928.6167159138904</v>
      </c>
      <c r="P340" s="107">
        <v>8581.2375094976796</v>
      </c>
      <c r="Q340" s="107">
        <f t="shared" si="31"/>
        <v>4928.6167159138904</v>
      </c>
      <c r="R340" s="107">
        <f t="shared" si="32"/>
        <v>8581.2375094976796</v>
      </c>
      <c r="S340" s="140" t="str">
        <f t="shared" si="33"/>
        <v>Y</v>
      </c>
      <c r="T340" s="154">
        <f t="shared" si="34"/>
        <v>1.7411046555496861</v>
      </c>
      <c r="U340" s="154">
        <f t="shared" si="35"/>
        <v>1.7411046555496861</v>
      </c>
    </row>
    <row r="341" spans="1:21" x14ac:dyDescent="0.35">
      <c r="A341" s="107">
        <v>3251</v>
      </c>
      <c r="B341" s="107">
        <v>2013</v>
      </c>
      <c r="C341" s="107" t="s">
        <v>9</v>
      </c>
      <c r="D341" s="107" t="s">
        <v>132</v>
      </c>
      <c r="E341" s="107" t="s">
        <v>10</v>
      </c>
      <c r="F341" s="115">
        <v>7</v>
      </c>
      <c r="G341" s="107" t="s">
        <v>29</v>
      </c>
      <c r="H341" s="107" t="str">
        <f t="shared" si="30"/>
        <v>Area 7: San Juan Islands</v>
      </c>
      <c r="I341" s="107" t="str">
        <f>IFERROR(VLOOKUP(H341,LUTs!$A$1:$C$73,2,FALSE),"NA")</f>
        <v>NA</v>
      </c>
      <c r="J341" s="107" t="str">
        <f>IFERROR(VLOOKUP(H341,LUTs!$A$1:$C$73,3,FALSE),"NA")</f>
        <v>1North Puget Sound</v>
      </c>
      <c r="K341" s="107" t="s">
        <v>20</v>
      </c>
      <c r="L341" s="107" t="str">
        <f>VLOOKUP(K341,LUTs!E$2:G$14,3,)</f>
        <v>07Pierce</v>
      </c>
      <c r="M341" s="107" t="str">
        <f>VLOOKUP($K341,LUTs!$E$2:$H$14,2,)</f>
        <v>South Puget Sound</v>
      </c>
      <c r="N341" s="107" t="str">
        <f>VLOOKUP($K341,LUTs!$E$2:$H$14,4,)</f>
        <v>02South Puget Sound</v>
      </c>
      <c r="O341" s="107">
        <v>279.71718024482902</v>
      </c>
      <c r="P341" s="107">
        <v>487.01688476150298</v>
      </c>
      <c r="Q341" s="107">
        <f t="shared" si="31"/>
        <v>279.71718024482902</v>
      </c>
      <c r="R341" s="107">
        <f t="shared" si="32"/>
        <v>487.01688476150298</v>
      </c>
      <c r="S341" s="140" t="str">
        <f t="shared" si="33"/>
        <v>Y</v>
      </c>
      <c r="T341" s="154">
        <f t="shared" si="34"/>
        <v>1.7411046555496879</v>
      </c>
      <c r="U341" s="154">
        <f t="shared" si="35"/>
        <v>1.7411046555496879</v>
      </c>
    </row>
    <row r="342" spans="1:21" x14ac:dyDescent="0.35">
      <c r="A342" s="107">
        <v>3249</v>
      </c>
      <c r="B342" s="107">
        <v>2013</v>
      </c>
      <c r="C342" s="107" t="s">
        <v>9</v>
      </c>
      <c r="D342" s="107" t="s">
        <v>132</v>
      </c>
      <c r="E342" s="107" t="s">
        <v>10</v>
      </c>
      <c r="F342" s="115">
        <v>7</v>
      </c>
      <c r="G342" s="107" t="s">
        <v>29</v>
      </c>
      <c r="H342" s="107" t="str">
        <f t="shared" si="30"/>
        <v>Area 7: San Juan Islands</v>
      </c>
      <c r="I342" s="107" t="str">
        <f>IFERROR(VLOOKUP(H342,LUTs!$A$1:$C$73,2,FALSE),"NA")</f>
        <v>NA</v>
      </c>
      <c r="J342" s="107" t="str">
        <f>IFERROR(VLOOKUP(H342,LUTs!$A$1:$C$73,3,FALSE),"NA")</f>
        <v>1North Puget Sound</v>
      </c>
      <c r="K342" s="107" t="s">
        <v>30</v>
      </c>
      <c r="L342" s="107" t="str">
        <f>VLOOKUP(K342,LUTs!E$2:G$14,3,)</f>
        <v>05San Juan</v>
      </c>
      <c r="M342" s="107" t="str">
        <f>VLOOKUP($K342,LUTs!$E$2:$H$14,2,)</f>
        <v>North Puget Sound</v>
      </c>
      <c r="N342" s="107" t="str">
        <f>VLOOKUP($K342,LUTs!$E$2:$H$14,4,)</f>
        <v>01North Puget Sound</v>
      </c>
      <c r="O342" s="107">
        <v>3121.6437315322901</v>
      </c>
      <c r="P342" s="107">
        <v>5435.1084339383697</v>
      </c>
      <c r="Q342" s="107">
        <f t="shared" si="31"/>
        <v>3121.6437315322901</v>
      </c>
      <c r="R342" s="107">
        <f t="shared" si="32"/>
        <v>5435.1084339383697</v>
      </c>
      <c r="S342" s="140" t="str">
        <f t="shared" si="33"/>
        <v>Y</v>
      </c>
      <c r="T342" s="154">
        <f t="shared" si="34"/>
        <v>1.7411046555496876</v>
      </c>
      <c r="U342" s="154">
        <f t="shared" si="35"/>
        <v>1.7411046555496876</v>
      </c>
    </row>
    <row r="343" spans="1:21" x14ac:dyDescent="0.35">
      <c r="A343" s="107">
        <v>3246</v>
      </c>
      <c r="B343" s="107">
        <v>2013</v>
      </c>
      <c r="C343" s="107" t="s">
        <v>9</v>
      </c>
      <c r="D343" s="107" t="s">
        <v>132</v>
      </c>
      <c r="E343" s="107" t="s">
        <v>10</v>
      </c>
      <c r="F343" s="115">
        <v>7</v>
      </c>
      <c r="G343" s="107" t="s">
        <v>29</v>
      </c>
      <c r="H343" s="107" t="str">
        <f t="shared" si="30"/>
        <v>Area 7: San Juan Islands</v>
      </c>
      <c r="I343" s="107" t="str">
        <f>IFERROR(VLOOKUP(H343,LUTs!$A$1:$C$73,2,FALSE),"NA")</f>
        <v>NA</v>
      </c>
      <c r="J343" s="107" t="str">
        <f>IFERROR(VLOOKUP(H343,LUTs!$A$1:$C$73,3,FALSE),"NA")</f>
        <v>1North Puget Sound</v>
      </c>
      <c r="K343" s="107" t="s">
        <v>15</v>
      </c>
      <c r="L343" s="107" t="str">
        <f>VLOOKUP(K343,LUTs!E$2:G$14,3,)</f>
        <v>02Skagit</v>
      </c>
      <c r="M343" s="107" t="str">
        <f>VLOOKUP($K343,LUTs!$E$2:$H$14,2,)</f>
        <v>North Puget Sound</v>
      </c>
      <c r="N343" s="107" t="str">
        <f>VLOOKUP($K343,LUTs!$E$2:$H$14,4,)</f>
        <v>01North Puget Sound</v>
      </c>
      <c r="O343" s="107">
        <v>5264.27733220768</v>
      </c>
      <c r="P343" s="107">
        <v>9165.6577712114795</v>
      </c>
      <c r="Q343" s="107">
        <f t="shared" si="31"/>
        <v>5264.27733220768</v>
      </c>
      <c r="R343" s="107">
        <f t="shared" si="32"/>
        <v>9165.6577712114795</v>
      </c>
      <c r="S343" s="140" t="str">
        <f t="shared" si="33"/>
        <v>Y</v>
      </c>
      <c r="T343" s="154">
        <f t="shared" si="34"/>
        <v>1.7411046555496872</v>
      </c>
      <c r="U343" s="154">
        <f t="shared" si="35"/>
        <v>1.7411046555496872</v>
      </c>
    </row>
    <row r="344" spans="1:21" x14ac:dyDescent="0.35">
      <c r="A344" s="107">
        <v>3247</v>
      </c>
      <c r="B344" s="107">
        <v>2013</v>
      </c>
      <c r="C344" s="107" t="s">
        <v>9</v>
      </c>
      <c r="D344" s="107" t="s">
        <v>132</v>
      </c>
      <c r="E344" s="107" t="s">
        <v>10</v>
      </c>
      <c r="F344" s="115">
        <v>7</v>
      </c>
      <c r="G344" s="107" t="s">
        <v>29</v>
      </c>
      <c r="H344" s="107" t="str">
        <f t="shared" si="30"/>
        <v>Area 7: San Juan Islands</v>
      </c>
      <c r="I344" s="107" t="str">
        <f>IFERROR(VLOOKUP(H344,LUTs!$A$1:$C$73,2,FALSE),"NA")</f>
        <v>NA</v>
      </c>
      <c r="J344" s="107" t="str">
        <f>IFERROR(VLOOKUP(H344,LUTs!$A$1:$C$73,3,FALSE),"NA")</f>
        <v>1North Puget Sound</v>
      </c>
      <c r="K344" s="107" t="s">
        <v>16</v>
      </c>
      <c r="L344" s="107" t="str">
        <f>VLOOKUP(K344,LUTs!E$2:G$14,3,)</f>
        <v>03Snohomish</v>
      </c>
      <c r="M344" s="107" t="str">
        <f>VLOOKUP($K344,LUTs!$E$2:$H$14,2,)</f>
        <v>North Puget Sound</v>
      </c>
      <c r="N344" s="107" t="str">
        <f>VLOOKUP($K344,LUTs!$E$2:$H$14,4,)</f>
        <v>01North Puget Sound</v>
      </c>
      <c r="O344" s="107">
        <v>2551.0206838328399</v>
      </c>
      <c r="P344" s="107">
        <v>4441.5939890249101</v>
      </c>
      <c r="Q344" s="107">
        <f t="shared" si="31"/>
        <v>2551.0206838328399</v>
      </c>
      <c r="R344" s="107">
        <f t="shared" si="32"/>
        <v>4441.5939890249101</v>
      </c>
      <c r="S344" s="140" t="str">
        <f t="shared" si="33"/>
        <v>Y</v>
      </c>
      <c r="T344" s="154">
        <f t="shared" si="34"/>
        <v>1.7411046555496894</v>
      </c>
      <c r="U344" s="154">
        <f t="shared" si="35"/>
        <v>1.7411046555496894</v>
      </c>
    </row>
    <row r="345" spans="1:21" x14ac:dyDescent="0.35">
      <c r="A345" s="107">
        <v>3252</v>
      </c>
      <c r="B345" s="107">
        <v>2013</v>
      </c>
      <c r="C345" s="107" t="s">
        <v>9</v>
      </c>
      <c r="D345" s="107" t="s">
        <v>132</v>
      </c>
      <c r="E345" s="107" t="s">
        <v>10</v>
      </c>
      <c r="F345" s="115">
        <v>7</v>
      </c>
      <c r="G345" s="107" t="s">
        <v>29</v>
      </c>
      <c r="H345" s="107" t="str">
        <f t="shared" si="30"/>
        <v>Area 7: San Juan Islands</v>
      </c>
      <c r="I345" s="107" t="str">
        <f>IFERROR(VLOOKUP(H345,LUTs!$A$1:$C$73,2,FALSE),"NA")</f>
        <v>NA</v>
      </c>
      <c r="J345" s="107" t="str">
        <f>IFERROR(VLOOKUP(H345,LUTs!$A$1:$C$73,3,FALSE),"NA")</f>
        <v>1North Puget Sound</v>
      </c>
      <c r="K345" s="107" t="s">
        <v>21</v>
      </c>
      <c r="L345" s="107" t="str">
        <f>VLOOKUP(K345,LUTs!E$2:G$14,3,)</f>
        <v>08Thurston</v>
      </c>
      <c r="M345" s="107" t="str">
        <f>VLOOKUP($K345,LUTs!$E$2:$H$14,2,)</f>
        <v>South Puget Sound</v>
      </c>
      <c r="N345" s="107" t="str">
        <f>VLOOKUP($K345,LUTs!$E$2:$H$14,4,)</f>
        <v>02South Puget Sound</v>
      </c>
      <c r="O345" s="107">
        <v>123.075559307725</v>
      </c>
      <c r="P345" s="107">
        <v>214.287429295061</v>
      </c>
      <c r="Q345" s="107">
        <f t="shared" si="31"/>
        <v>123.075559307725</v>
      </c>
      <c r="R345" s="107">
        <f t="shared" si="32"/>
        <v>214.287429295061</v>
      </c>
      <c r="S345" s="140" t="str">
        <f t="shared" si="33"/>
        <v>Y</v>
      </c>
      <c r="T345" s="154">
        <f t="shared" si="34"/>
        <v>1.7411046555496821</v>
      </c>
      <c r="U345" s="154">
        <f t="shared" si="35"/>
        <v>1.7411046555496821</v>
      </c>
    </row>
    <row r="346" spans="1:21" x14ac:dyDescent="0.35">
      <c r="A346" s="107">
        <v>3245</v>
      </c>
      <c r="B346" s="107">
        <v>2013</v>
      </c>
      <c r="C346" s="107" t="s">
        <v>9</v>
      </c>
      <c r="D346" s="107" t="s">
        <v>132</v>
      </c>
      <c r="E346" s="107" t="s">
        <v>10</v>
      </c>
      <c r="F346" s="115">
        <v>7</v>
      </c>
      <c r="G346" s="107" t="s">
        <v>29</v>
      </c>
      <c r="H346" s="107" t="str">
        <f t="shared" si="30"/>
        <v>Area 7: San Juan Islands</v>
      </c>
      <c r="I346" s="107" t="str">
        <f>IFERROR(VLOOKUP(H346,LUTs!$A$1:$C$73,2,FALSE),"NA")</f>
        <v>NA</v>
      </c>
      <c r="J346" s="107" t="str">
        <f>IFERROR(VLOOKUP(H346,LUTs!$A$1:$C$73,3,FALSE),"NA")</f>
        <v>1North Puget Sound</v>
      </c>
      <c r="K346" s="107" t="s">
        <v>13</v>
      </c>
      <c r="L346" s="107" t="str">
        <f>VLOOKUP(K346,LUTs!E$2:G$14,3,)</f>
        <v>01Whatcom</v>
      </c>
      <c r="M346" s="107" t="str">
        <f>VLOOKUP($K346,LUTs!$E$2:$H$14,2,)</f>
        <v>North Puget Sound</v>
      </c>
      <c r="N346" s="107" t="str">
        <f>VLOOKUP($K346,LUTs!$E$2:$H$14,4,)</f>
        <v>01North Puget Sound</v>
      </c>
      <c r="O346" s="107">
        <v>3792.9649641198798</v>
      </c>
      <c r="P346" s="107">
        <v>6603.9489573659803</v>
      </c>
      <c r="Q346" s="107">
        <f t="shared" si="31"/>
        <v>3792.9649641198798</v>
      </c>
      <c r="R346" s="107">
        <f t="shared" si="32"/>
        <v>6603.9489573659803</v>
      </c>
      <c r="S346" s="140" t="str">
        <f t="shared" si="33"/>
        <v>Y</v>
      </c>
      <c r="T346" s="154">
        <f t="shared" si="34"/>
        <v>1.7411046555496885</v>
      </c>
      <c r="U346" s="154">
        <f t="shared" si="35"/>
        <v>1.7411046555496885</v>
      </c>
    </row>
    <row r="347" spans="1:21" x14ac:dyDescent="0.35">
      <c r="A347" s="107">
        <v>3315</v>
      </c>
      <c r="B347" s="107">
        <v>2014</v>
      </c>
      <c r="C347" s="107" t="s">
        <v>9</v>
      </c>
      <c r="D347" s="107" t="s">
        <v>132</v>
      </c>
      <c r="E347" s="107" t="s">
        <v>10</v>
      </c>
      <c r="F347" s="115">
        <v>7</v>
      </c>
      <c r="G347" s="107" t="s">
        <v>29</v>
      </c>
      <c r="H347" s="107" t="str">
        <f t="shared" si="30"/>
        <v>Area 7: San Juan Islands</v>
      </c>
      <c r="I347" s="107" t="str">
        <f>IFERROR(VLOOKUP(H347,LUTs!$A$1:$C$73,2,FALSE),"NA")</f>
        <v>NA</v>
      </c>
      <c r="J347" s="107" t="str">
        <f>IFERROR(VLOOKUP(H347,LUTs!$A$1:$C$73,3,FALSE),"NA")</f>
        <v>1North Puget Sound</v>
      </c>
      <c r="K347" s="107" t="s">
        <v>24</v>
      </c>
      <c r="L347" s="107" t="str">
        <f>VLOOKUP(K347,LUTs!E$2:G$14,3,)</f>
        <v>11Clallam</v>
      </c>
      <c r="M347" s="107" t="str">
        <f>VLOOKUP($K347,LUTs!$E$2:$H$14,2,)</f>
        <v>Strait of Juan de Fuca</v>
      </c>
      <c r="N347" s="107" t="str">
        <f>VLOOKUP($K347,LUTs!$E$2:$H$14,4,)</f>
        <v>03Strait of Juan de Fuca</v>
      </c>
      <c r="O347" s="107">
        <v>155.356828193833</v>
      </c>
      <c r="P347" s="107">
        <v>772.95456261799904</v>
      </c>
      <c r="Q347" s="107">
        <f t="shared" si="31"/>
        <v>155.356828193833</v>
      </c>
      <c r="R347" s="107">
        <f t="shared" si="32"/>
        <v>772.95456261799904</v>
      </c>
      <c r="S347" s="140" t="str">
        <f t="shared" si="33"/>
        <v>Y</v>
      </c>
      <c r="T347" s="154">
        <f t="shared" si="34"/>
        <v>4.9753497905712392</v>
      </c>
      <c r="U347" s="154">
        <f t="shared" si="35"/>
        <v>4.9753497905712392</v>
      </c>
    </row>
    <row r="348" spans="1:21" x14ac:dyDescent="0.35">
      <c r="A348" s="107">
        <v>3305</v>
      </c>
      <c r="B348" s="107">
        <v>2014</v>
      </c>
      <c r="C348" s="107" t="s">
        <v>9</v>
      </c>
      <c r="D348" s="107" t="s">
        <v>132</v>
      </c>
      <c r="E348" s="107" t="s">
        <v>10</v>
      </c>
      <c r="F348" s="115">
        <v>7</v>
      </c>
      <c r="G348" s="107" t="s">
        <v>29</v>
      </c>
      <c r="H348" s="107" t="str">
        <f t="shared" si="30"/>
        <v>Area 7: San Juan Islands</v>
      </c>
      <c r="I348" s="107" t="str">
        <f>IFERROR(VLOOKUP(H348,LUTs!$A$1:$C$73,2,FALSE),"NA")</f>
        <v>NA</v>
      </c>
      <c r="J348" s="107" t="str">
        <f>IFERROR(VLOOKUP(H348,LUTs!$A$1:$C$73,3,FALSE),"NA")</f>
        <v>1North Puget Sound</v>
      </c>
      <c r="K348" s="107" t="s">
        <v>17</v>
      </c>
      <c r="L348" s="107" t="str">
        <f>VLOOKUP(K348,LUTs!E$2:G$14,3,)</f>
        <v>04Island</v>
      </c>
      <c r="M348" s="107" t="str">
        <f>VLOOKUP($K348,LUTs!$E$2:$H$14,2,)</f>
        <v>North Puget Sound</v>
      </c>
      <c r="N348" s="107" t="str">
        <f>VLOOKUP($K348,LUTs!$E$2:$H$14,4,)</f>
        <v>01North Puget Sound</v>
      </c>
      <c r="O348" s="107">
        <v>833.27753303964801</v>
      </c>
      <c r="P348" s="107">
        <v>4145.8471994965403</v>
      </c>
      <c r="Q348" s="107">
        <f t="shared" si="31"/>
        <v>833.27753303964801</v>
      </c>
      <c r="R348" s="107">
        <f t="shared" si="32"/>
        <v>4145.8471994965403</v>
      </c>
      <c r="S348" s="140" t="str">
        <f t="shared" si="33"/>
        <v>Y</v>
      </c>
      <c r="T348" s="154">
        <f t="shared" si="34"/>
        <v>4.9753497905712498</v>
      </c>
      <c r="U348" s="154">
        <f t="shared" si="35"/>
        <v>4.9753497905712498</v>
      </c>
    </row>
    <row r="349" spans="1:21" x14ac:dyDescent="0.35">
      <c r="A349" s="107">
        <v>3316</v>
      </c>
      <c r="B349" s="107">
        <v>2014</v>
      </c>
      <c r="C349" s="107" t="s">
        <v>9</v>
      </c>
      <c r="D349" s="107" t="s">
        <v>132</v>
      </c>
      <c r="E349" s="107" t="s">
        <v>10</v>
      </c>
      <c r="F349" s="115">
        <v>7</v>
      </c>
      <c r="G349" s="107" t="s">
        <v>29</v>
      </c>
      <c r="H349" s="107" t="str">
        <f t="shared" si="30"/>
        <v>Area 7: San Juan Islands</v>
      </c>
      <c r="I349" s="107" t="str">
        <f>IFERROR(VLOOKUP(H349,LUTs!$A$1:$C$73,2,FALSE),"NA")</f>
        <v>NA</v>
      </c>
      <c r="J349" s="107" t="str">
        <f>IFERROR(VLOOKUP(H349,LUTs!$A$1:$C$73,3,FALSE),"NA")</f>
        <v>1North Puget Sound</v>
      </c>
      <c r="K349" s="107" t="s">
        <v>25</v>
      </c>
      <c r="L349" s="107" t="str">
        <f>VLOOKUP(K349,LUTs!E$2:G$14,3,)</f>
        <v>12Jefferson</v>
      </c>
      <c r="M349" s="107" t="str">
        <f>VLOOKUP($K349,LUTs!$E$2:$H$14,2,)</f>
        <v>Strait of Juan de Fuca</v>
      </c>
      <c r="N349" s="107" t="str">
        <f>VLOOKUP($K349,LUTs!$E$2:$H$14,4,)</f>
        <v>03Strait of Juan de Fuca</v>
      </c>
      <c r="O349" s="107">
        <v>28.246696035242302</v>
      </c>
      <c r="P349" s="107">
        <v>140.53719320327301</v>
      </c>
      <c r="Q349" s="107">
        <f t="shared" si="31"/>
        <v>28.246696035242302</v>
      </c>
      <c r="R349" s="107">
        <f t="shared" si="32"/>
        <v>140.53719320327301</v>
      </c>
      <c r="S349" s="140" t="str">
        <f t="shared" si="33"/>
        <v>Y</v>
      </c>
      <c r="T349" s="154">
        <f t="shared" si="34"/>
        <v>4.9753497905712667</v>
      </c>
      <c r="U349" s="154">
        <f t="shared" si="35"/>
        <v>4.9753497905712667</v>
      </c>
    </row>
    <row r="350" spans="1:21" x14ac:dyDescent="0.35">
      <c r="A350" s="107">
        <v>3307</v>
      </c>
      <c r="B350" s="107">
        <v>2014</v>
      </c>
      <c r="C350" s="107" t="s">
        <v>9</v>
      </c>
      <c r="D350" s="107" t="s">
        <v>132</v>
      </c>
      <c r="E350" s="107" t="s">
        <v>10</v>
      </c>
      <c r="F350" s="115">
        <v>7</v>
      </c>
      <c r="G350" s="107" t="s">
        <v>29</v>
      </c>
      <c r="H350" s="107" t="str">
        <f t="shared" si="30"/>
        <v>Area 7: San Juan Islands</v>
      </c>
      <c r="I350" s="107" t="str">
        <f>IFERROR(VLOOKUP(H350,LUTs!$A$1:$C$73,2,FALSE),"NA")</f>
        <v>NA</v>
      </c>
      <c r="J350" s="107" t="str">
        <f>IFERROR(VLOOKUP(H350,LUTs!$A$1:$C$73,3,FALSE),"NA")</f>
        <v>1North Puget Sound</v>
      </c>
      <c r="K350" s="107" t="s">
        <v>18</v>
      </c>
      <c r="L350" s="107" t="str">
        <f>VLOOKUP(K350,LUTs!E$2:G$14,3,)</f>
        <v>06King</v>
      </c>
      <c r="M350" s="107" t="str">
        <f>VLOOKUP($K350,LUTs!$E$2:$H$14,2,)</f>
        <v>South Puget Sound</v>
      </c>
      <c r="N350" s="107" t="str">
        <f>VLOOKUP($K350,LUTs!$E$2:$H$14,4,)</f>
        <v>02South Puget Sound</v>
      </c>
      <c r="O350" s="107">
        <v>1228.7312775330399</v>
      </c>
      <c r="P350" s="107">
        <v>6113.3679043423499</v>
      </c>
      <c r="Q350" s="107">
        <f t="shared" si="31"/>
        <v>1228.7312775330399</v>
      </c>
      <c r="R350" s="107">
        <f t="shared" si="32"/>
        <v>6113.3679043423499</v>
      </c>
      <c r="S350" s="140" t="str">
        <f t="shared" si="33"/>
        <v>Y</v>
      </c>
      <c r="T350" s="154">
        <f t="shared" si="34"/>
        <v>4.9753497905712463</v>
      </c>
      <c r="U350" s="154">
        <f t="shared" si="35"/>
        <v>4.9753497905712463</v>
      </c>
    </row>
    <row r="351" spans="1:21" x14ac:dyDescent="0.35">
      <c r="A351" s="107">
        <v>3310</v>
      </c>
      <c r="B351" s="107">
        <v>2014</v>
      </c>
      <c r="C351" s="107" t="s">
        <v>9</v>
      </c>
      <c r="D351" s="107" t="s">
        <v>132</v>
      </c>
      <c r="E351" s="107" t="s">
        <v>10</v>
      </c>
      <c r="F351" s="115">
        <v>7</v>
      </c>
      <c r="G351" s="107" t="s">
        <v>29</v>
      </c>
      <c r="H351" s="107" t="str">
        <f t="shared" si="30"/>
        <v>Area 7: San Juan Islands</v>
      </c>
      <c r="I351" s="107" t="str">
        <f>IFERROR(VLOOKUP(H351,LUTs!$A$1:$C$73,2,FALSE),"NA")</f>
        <v>NA</v>
      </c>
      <c r="J351" s="107" t="str">
        <f>IFERROR(VLOOKUP(H351,LUTs!$A$1:$C$73,3,FALSE),"NA")</f>
        <v>1North Puget Sound</v>
      </c>
      <c r="K351" s="107" t="s">
        <v>23</v>
      </c>
      <c r="L351" s="107" t="str">
        <f>VLOOKUP(K351,LUTs!E$2:G$14,3,)</f>
        <v>10Kitsap</v>
      </c>
      <c r="M351" s="107" t="str">
        <f>VLOOKUP($K351,LUTs!$E$2:$H$14,2,)</f>
        <v>South Puget Sound</v>
      </c>
      <c r="N351" s="107" t="str">
        <f>VLOOKUP($K351,LUTs!$E$2:$H$14,4,)</f>
        <v>02South Puget Sound</v>
      </c>
      <c r="O351" s="107">
        <v>56.493392070484603</v>
      </c>
      <c r="P351" s="107">
        <v>281.07438640654499</v>
      </c>
      <c r="Q351" s="107">
        <f t="shared" si="31"/>
        <v>56.493392070484603</v>
      </c>
      <c r="R351" s="107">
        <f t="shared" si="32"/>
        <v>281.07438640654499</v>
      </c>
      <c r="S351" s="140" t="str">
        <f t="shared" si="33"/>
        <v>Y</v>
      </c>
      <c r="T351" s="154">
        <f t="shared" si="34"/>
        <v>4.975349790571248</v>
      </c>
      <c r="U351" s="154">
        <f t="shared" si="35"/>
        <v>4.975349790571248</v>
      </c>
    </row>
    <row r="352" spans="1:21" x14ac:dyDescent="0.35">
      <c r="A352" s="107">
        <v>3317</v>
      </c>
      <c r="B352" s="107">
        <v>2014</v>
      </c>
      <c r="C352" s="107" t="s">
        <v>9</v>
      </c>
      <c r="D352" s="107" t="s">
        <v>132</v>
      </c>
      <c r="E352" s="107" t="s">
        <v>10</v>
      </c>
      <c r="F352" s="115">
        <v>7</v>
      </c>
      <c r="G352" s="107" t="s">
        <v>29</v>
      </c>
      <c r="H352" s="107" t="str">
        <f t="shared" si="30"/>
        <v>Area 7: San Juan Islands</v>
      </c>
      <c r="I352" s="107" t="str">
        <f>IFERROR(VLOOKUP(H352,LUTs!$A$1:$C$73,2,FALSE),"NA")</f>
        <v>NA</v>
      </c>
      <c r="J352" s="107" t="str">
        <f>IFERROR(VLOOKUP(H352,LUTs!$A$1:$C$73,3,FALSE),"NA")</f>
        <v>1North Puget Sound</v>
      </c>
      <c r="K352" s="107" t="s">
        <v>26</v>
      </c>
      <c r="L352" s="107" t="str">
        <f>VLOOKUP(K352,LUTs!E$2:G$14,3,)</f>
        <v>20Other</v>
      </c>
      <c r="M352" s="107" t="str">
        <f>VLOOKUP($K352,LUTs!$E$2:$H$14,2,)</f>
        <v>Non Puget Sound</v>
      </c>
      <c r="N352" s="107" t="str">
        <f>VLOOKUP($K352,LUTs!$E$2:$H$14,4,)</f>
        <v>07Non Puget Sound</v>
      </c>
      <c r="O352" s="107">
        <v>939.20264317180602</v>
      </c>
      <c r="P352" s="107">
        <v>4672.86167400881</v>
      </c>
      <c r="Q352" s="107">
        <f t="shared" si="31"/>
        <v>939.20264317180602</v>
      </c>
      <c r="R352" s="107">
        <f t="shared" si="32"/>
        <v>4672.86167400881</v>
      </c>
      <c r="S352" s="140" t="str">
        <f t="shared" si="33"/>
        <v>Y</v>
      </c>
      <c r="T352" s="154">
        <f t="shared" si="34"/>
        <v>4.9753497905712507</v>
      </c>
      <c r="U352" s="154">
        <f t="shared" si="35"/>
        <v>4.9753497905712507</v>
      </c>
    </row>
    <row r="353" spans="1:21" x14ac:dyDescent="0.35">
      <c r="A353" s="107">
        <v>3308</v>
      </c>
      <c r="B353" s="107">
        <v>2014</v>
      </c>
      <c r="C353" s="107" t="s">
        <v>9</v>
      </c>
      <c r="D353" s="107" t="s">
        <v>132</v>
      </c>
      <c r="E353" s="107" t="s">
        <v>10</v>
      </c>
      <c r="F353" s="115">
        <v>7</v>
      </c>
      <c r="G353" s="107" t="s">
        <v>29</v>
      </c>
      <c r="H353" s="107" t="str">
        <f t="shared" si="30"/>
        <v>Area 7: San Juan Islands</v>
      </c>
      <c r="I353" s="107" t="str">
        <f>IFERROR(VLOOKUP(H353,LUTs!$A$1:$C$73,2,FALSE),"NA")</f>
        <v>NA</v>
      </c>
      <c r="J353" s="107" t="str">
        <f>IFERROR(VLOOKUP(H353,LUTs!$A$1:$C$73,3,FALSE),"NA")</f>
        <v>1North Puget Sound</v>
      </c>
      <c r="K353" s="107" t="s">
        <v>20</v>
      </c>
      <c r="L353" s="107" t="str">
        <f>VLOOKUP(K353,LUTs!E$2:G$14,3,)</f>
        <v>07Pierce</v>
      </c>
      <c r="M353" s="107" t="str">
        <f>VLOOKUP($K353,LUTs!$E$2:$H$14,2,)</f>
        <v>South Puget Sound</v>
      </c>
      <c r="N353" s="107" t="str">
        <f>VLOOKUP($K353,LUTs!$E$2:$H$14,4,)</f>
        <v>02South Puget Sound</v>
      </c>
      <c r="O353" s="107">
        <v>134.171806167401</v>
      </c>
      <c r="P353" s="107">
        <v>667.55166771554502</v>
      </c>
      <c r="Q353" s="107">
        <f t="shared" si="31"/>
        <v>134.171806167401</v>
      </c>
      <c r="R353" s="107">
        <f t="shared" si="32"/>
        <v>667.55166771554502</v>
      </c>
      <c r="S353" s="140" t="str">
        <f t="shared" si="33"/>
        <v>Y</v>
      </c>
      <c r="T353" s="154">
        <f t="shared" si="34"/>
        <v>4.9753497905712507</v>
      </c>
      <c r="U353" s="154">
        <f t="shared" si="35"/>
        <v>4.9753497905712507</v>
      </c>
    </row>
    <row r="354" spans="1:21" x14ac:dyDescent="0.35">
      <c r="A354" s="107">
        <v>3306</v>
      </c>
      <c r="B354" s="107">
        <v>2014</v>
      </c>
      <c r="C354" s="107" t="s">
        <v>9</v>
      </c>
      <c r="D354" s="107" t="s">
        <v>132</v>
      </c>
      <c r="E354" s="107" t="s">
        <v>10</v>
      </c>
      <c r="F354" s="115">
        <v>7</v>
      </c>
      <c r="G354" s="107" t="s">
        <v>29</v>
      </c>
      <c r="H354" s="107" t="str">
        <f t="shared" si="30"/>
        <v>Area 7: San Juan Islands</v>
      </c>
      <c r="I354" s="107" t="str">
        <f>IFERROR(VLOOKUP(H354,LUTs!$A$1:$C$73,2,FALSE),"NA")</f>
        <v>NA</v>
      </c>
      <c r="J354" s="107" t="str">
        <f>IFERROR(VLOOKUP(H354,LUTs!$A$1:$C$73,3,FALSE),"NA")</f>
        <v>1North Puget Sound</v>
      </c>
      <c r="K354" s="107" t="s">
        <v>30</v>
      </c>
      <c r="L354" s="107" t="str">
        <f>VLOOKUP(K354,LUTs!E$2:G$14,3,)</f>
        <v>05San Juan</v>
      </c>
      <c r="M354" s="107" t="str">
        <f>VLOOKUP($K354,LUTs!$E$2:$H$14,2,)</f>
        <v>North Puget Sound</v>
      </c>
      <c r="N354" s="107" t="str">
        <f>VLOOKUP($K354,LUTs!$E$2:$H$14,4,)</f>
        <v>01North Puget Sound</v>
      </c>
      <c r="O354" s="107">
        <v>1023.94273127753</v>
      </c>
      <c r="P354" s="107">
        <v>5094.4732536186302</v>
      </c>
      <c r="Q354" s="107">
        <f t="shared" si="31"/>
        <v>1023.94273127753</v>
      </c>
      <c r="R354" s="107">
        <f t="shared" si="32"/>
        <v>5094.4732536186302</v>
      </c>
      <c r="S354" s="140" t="str">
        <f t="shared" si="33"/>
        <v>Y</v>
      </c>
      <c r="T354" s="154">
        <f t="shared" si="34"/>
        <v>4.9753497905712667</v>
      </c>
      <c r="U354" s="154">
        <f t="shared" si="35"/>
        <v>4.9753497905712667</v>
      </c>
    </row>
    <row r="355" spans="1:21" x14ac:dyDescent="0.35">
      <c r="A355" s="107">
        <v>3303</v>
      </c>
      <c r="B355" s="107">
        <v>2014</v>
      </c>
      <c r="C355" s="107" t="s">
        <v>9</v>
      </c>
      <c r="D355" s="107" t="s">
        <v>132</v>
      </c>
      <c r="E355" s="107" t="s">
        <v>10</v>
      </c>
      <c r="F355" s="115">
        <v>7</v>
      </c>
      <c r="G355" s="107" t="s">
        <v>29</v>
      </c>
      <c r="H355" s="107" t="str">
        <f t="shared" si="30"/>
        <v>Area 7: San Juan Islands</v>
      </c>
      <c r="I355" s="107" t="str">
        <f>IFERROR(VLOOKUP(H355,LUTs!$A$1:$C$73,2,FALSE),"NA")</f>
        <v>NA</v>
      </c>
      <c r="J355" s="107" t="str">
        <f>IFERROR(VLOOKUP(H355,LUTs!$A$1:$C$73,3,FALSE),"NA")</f>
        <v>1North Puget Sound</v>
      </c>
      <c r="K355" s="107" t="s">
        <v>15</v>
      </c>
      <c r="L355" s="107" t="str">
        <f>VLOOKUP(K355,LUTs!E$2:G$14,3,)</f>
        <v>02Skagit</v>
      </c>
      <c r="M355" s="107" t="str">
        <f>VLOOKUP($K355,LUTs!$E$2:$H$14,2,)</f>
        <v>North Puget Sound</v>
      </c>
      <c r="N355" s="107" t="str">
        <f>VLOOKUP($K355,LUTs!$E$2:$H$14,4,)</f>
        <v>01North Puget Sound</v>
      </c>
      <c r="O355" s="107">
        <v>2464.5242290748902</v>
      </c>
      <c r="P355" s="107">
        <v>12261.8701069855</v>
      </c>
      <c r="Q355" s="107">
        <f t="shared" si="31"/>
        <v>2464.5242290748902</v>
      </c>
      <c r="R355" s="107">
        <f t="shared" si="32"/>
        <v>12261.8701069855</v>
      </c>
      <c r="S355" s="140" t="str">
        <f t="shared" si="33"/>
        <v>Y</v>
      </c>
      <c r="T355" s="154">
        <f t="shared" si="34"/>
        <v>4.9753497905712392</v>
      </c>
      <c r="U355" s="154">
        <f t="shared" si="35"/>
        <v>4.9753497905712392</v>
      </c>
    </row>
    <row r="356" spans="1:21" x14ac:dyDescent="0.35">
      <c r="A356" s="107">
        <v>3304</v>
      </c>
      <c r="B356" s="107">
        <v>2014</v>
      </c>
      <c r="C356" s="107" t="s">
        <v>9</v>
      </c>
      <c r="D356" s="107" t="s">
        <v>132</v>
      </c>
      <c r="E356" s="107" t="s">
        <v>10</v>
      </c>
      <c r="F356" s="115">
        <v>7</v>
      </c>
      <c r="G356" s="107" t="s">
        <v>29</v>
      </c>
      <c r="H356" s="107" t="str">
        <f t="shared" si="30"/>
        <v>Area 7: San Juan Islands</v>
      </c>
      <c r="I356" s="107" t="str">
        <f>IFERROR(VLOOKUP(H356,LUTs!$A$1:$C$73,2,FALSE),"NA")</f>
        <v>NA</v>
      </c>
      <c r="J356" s="107" t="str">
        <f>IFERROR(VLOOKUP(H356,LUTs!$A$1:$C$73,3,FALSE),"NA")</f>
        <v>1North Puget Sound</v>
      </c>
      <c r="K356" s="107" t="s">
        <v>16</v>
      </c>
      <c r="L356" s="107" t="str">
        <f>VLOOKUP(K356,LUTs!E$2:G$14,3,)</f>
        <v>03Snohomish</v>
      </c>
      <c r="M356" s="107" t="str">
        <f>VLOOKUP($K356,LUTs!$E$2:$H$14,2,)</f>
        <v>North Puget Sound</v>
      </c>
      <c r="N356" s="107" t="str">
        <f>VLOOKUP($K356,LUTs!$E$2:$H$14,4,)</f>
        <v>01North Puget Sound</v>
      </c>
      <c r="O356" s="107">
        <v>1419.39647577093</v>
      </c>
      <c r="P356" s="107">
        <v>7061.9939584644499</v>
      </c>
      <c r="Q356" s="107">
        <f t="shared" si="31"/>
        <v>1419.39647577093</v>
      </c>
      <c r="R356" s="107">
        <f t="shared" si="32"/>
        <v>7061.9939584644499</v>
      </c>
      <c r="S356" s="140" t="str">
        <f t="shared" si="33"/>
        <v>Y</v>
      </c>
      <c r="T356" s="154">
        <f t="shared" si="34"/>
        <v>4.9753497905712383</v>
      </c>
      <c r="U356" s="154">
        <f t="shared" si="35"/>
        <v>4.9753497905712383</v>
      </c>
    </row>
    <row r="357" spans="1:21" x14ac:dyDescent="0.35">
      <c r="A357" s="107">
        <v>3309</v>
      </c>
      <c r="B357" s="107">
        <v>2014</v>
      </c>
      <c r="C357" s="107" t="s">
        <v>9</v>
      </c>
      <c r="D357" s="107" t="s">
        <v>132</v>
      </c>
      <c r="E357" s="107" t="s">
        <v>10</v>
      </c>
      <c r="F357" s="115">
        <v>7</v>
      </c>
      <c r="G357" s="107" t="s">
        <v>29</v>
      </c>
      <c r="H357" s="107" t="str">
        <f t="shared" si="30"/>
        <v>Area 7: San Juan Islands</v>
      </c>
      <c r="I357" s="107" t="str">
        <f>IFERROR(VLOOKUP(H357,LUTs!$A$1:$C$73,2,FALSE),"NA")</f>
        <v>NA</v>
      </c>
      <c r="J357" s="107" t="str">
        <f>IFERROR(VLOOKUP(H357,LUTs!$A$1:$C$73,3,FALSE),"NA")</f>
        <v>1North Puget Sound</v>
      </c>
      <c r="K357" s="107" t="s">
        <v>21</v>
      </c>
      <c r="L357" s="107" t="str">
        <f>VLOOKUP(K357,LUTs!E$2:G$14,3,)</f>
        <v>08Thurston</v>
      </c>
      <c r="M357" s="107" t="str">
        <f>VLOOKUP($K357,LUTs!$E$2:$H$14,2,)</f>
        <v>South Puget Sound</v>
      </c>
      <c r="N357" s="107" t="str">
        <f>VLOOKUP($K357,LUTs!$E$2:$H$14,4,)</f>
        <v>02South Puget Sound</v>
      </c>
      <c r="O357" s="107">
        <v>141.233480176211</v>
      </c>
      <c r="P357" s="107">
        <v>702.68596601636295</v>
      </c>
      <c r="Q357" s="107">
        <f t="shared" si="31"/>
        <v>141.233480176211</v>
      </c>
      <c r="R357" s="107">
        <f t="shared" si="32"/>
        <v>702.68596601636295</v>
      </c>
      <c r="S357" s="140" t="str">
        <f t="shared" si="33"/>
        <v>Y</v>
      </c>
      <c r="T357" s="154">
        <f t="shared" si="34"/>
        <v>4.9753497905712694</v>
      </c>
      <c r="U357" s="154">
        <f t="shared" si="35"/>
        <v>4.9753497905712694</v>
      </c>
    </row>
    <row r="358" spans="1:21" x14ac:dyDescent="0.35">
      <c r="A358" s="107">
        <v>3302</v>
      </c>
      <c r="B358" s="107">
        <v>2014</v>
      </c>
      <c r="C358" s="107" t="s">
        <v>9</v>
      </c>
      <c r="D358" s="107" t="s">
        <v>132</v>
      </c>
      <c r="E358" s="107" t="s">
        <v>10</v>
      </c>
      <c r="F358" s="115">
        <v>7</v>
      </c>
      <c r="G358" s="107" t="s">
        <v>29</v>
      </c>
      <c r="H358" s="107" t="str">
        <f t="shared" si="30"/>
        <v>Area 7: San Juan Islands</v>
      </c>
      <c r="I358" s="107" t="str">
        <f>IFERROR(VLOOKUP(H358,LUTs!$A$1:$C$73,2,FALSE),"NA")</f>
        <v>NA</v>
      </c>
      <c r="J358" s="107" t="str">
        <f>IFERROR(VLOOKUP(H358,LUTs!$A$1:$C$73,3,FALSE),"NA")</f>
        <v>1North Puget Sound</v>
      </c>
      <c r="K358" s="107" t="s">
        <v>13</v>
      </c>
      <c r="L358" s="107" t="str">
        <f>VLOOKUP(K358,LUTs!E$2:G$14,3,)</f>
        <v>01Whatcom</v>
      </c>
      <c r="M358" s="107" t="str">
        <f>VLOOKUP($K358,LUTs!$E$2:$H$14,2,)</f>
        <v>North Puget Sound</v>
      </c>
      <c r="N358" s="107" t="str">
        <f>VLOOKUP($K358,LUTs!$E$2:$H$14,4,)</f>
        <v>01North Puget Sound</v>
      </c>
      <c r="O358" s="107">
        <v>2796.4229074889899</v>
      </c>
      <c r="P358" s="107">
        <v>13913.182127124001</v>
      </c>
      <c r="Q358" s="107">
        <f t="shared" si="31"/>
        <v>2796.4229074889899</v>
      </c>
      <c r="R358" s="107">
        <f t="shared" si="32"/>
        <v>13913.182127124001</v>
      </c>
      <c r="S358" s="140" t="str">
        <f t="shared" si="33"/>
        <v>Y</v>
      </c>
      <c r="T358" s="154">
        <f t="shared" si="34"/>
        <v>4.9753497905712534</v>
      </c>
      <c r="U358" s="154">
        <f t="shared" si="35"/>
        <v>4.9753497905712534</v>
      </c>
    </row>
    <row r="359" spans="1:21" x14ac:dyDescent="0.35">
      <c r="A359" s="107">
        <v>3339</v>
      </c>
      <c r="B359" s="107">
        <v>2015</v>
      </c>
      <c r="C359" s="107" t="s">
        <v>9</v>
      </c>
      <c r="D359" s="107" t="s">
        <v>132</v>
      </c>
      <c r="E359" s="107" t="s">
        <v>10</v>
      </c>
      <c r="F359" s="115">
        <v>7</v>
      </c>
      <c r="G359" s="107" t="s">
        <v>29</v>
      </c>
      <c r="H359" s="107" t="str">
        <f t="shared" si="30"/>
        <v>Area 7: San Juan Islands</v>
      </c>
      <c r="I359" s="107" t="str">
        <f>IFERROR(VLOOKUP(H359,LUTs!$A$1:$C$73,2,FALSE),"NA")</f>
        <v>NA</v>
      </c>
      <c r="J359" s="107" t="str">
        <f>IFERROR(VLOOKUP(H359,LUTs!$A$1:$C$73,3,FALSE),"NA")</f>
        <v>1North Puget Sound</v>
      </c>
      <c r="K359" s="107" t="s">
        <v>24</v>
      </c>
      <c r="L359" s="107" t="str">
        <f>VLOOKUP(K359,LUTs!E$2:G$14,3,)</f>
        <v>11Clallam</v>
      </c>
      <c r="M359" s="107" t="str">
        <f>VLOOKUP($K359,LUTs!$E$2:$H$14,2,)</f>
        <v>Strait of Juan de Fuca</v>
      </c>
      <c r="N359" s="107" t="str">
        <f>VLOOKUP($K359,LUTs!$E$2:$H$14,4,)</f>
        <v>03Strait of Juan de Fuca</v>
      </c>
      <c r="O359" s="107">
        <v>352.912190650779</v>
      </c>
      <c r="P359" s="107">
        <v>415.66530522456497</v>
      </c>
      <c r="Q359" s="107">
        <f t="shared" si="31"/>
        <v>352.912190650779</v>
      </c>
      <c r="R359" s="107">
        <f t="shared" si="32"/>
        <v>415.66530522456497</v>
      </c>
      <c r="S359" s="140" t="str">
        <f t="shared" si="33"/>
        <v>Y</v>
      </c>
      <c r="T359" s="154">
        <f t="shared" si="34"/>
        <v>1.1778150946218877</v>
      </c>
      <c r="U359" s="154">
        <f t="shared" si="35"/>
        <v>1.1778150946218877</v>
      </c>
    </row>
    <row r="360" spans="1:21" x14ac:dyDescent="0.35">
      <c r="A360" s="107">
        <v>3332</v>
      </c>
      <c r="B360" s="107">
        <v>2015</v>
      </c>
      <c r="C360" s="107" t="s">
        <v>9</v>
      </c>
      <c r="D360" s="107" t="s">
        <v>132</v>
      </c>
      <c r="E360" s="107" t="s">
        <v>10</v>
      </c>
      <c r="F360" s="115">
        <v>7</v>
      </c>
      <c r="G360" s="107" t="s">
        <v>29</v>
      </c>
      <c r="H360" s="107" t="str">
        <f t="shared" si="30"/>
        <v>Area 7: San Juan Islands</v>
      </c>
      <c r="I360" s="107" t="str">
        <f>IFERROR(VLOOKUP(H360,LUTs!$A$1:$C$73,2,FALSE),"NA")</f>
        <v>NA</v>
      </c>
      <c r="J360" s="107" t="str">
        <f>IFERROR(VLOOKUP(H360,LUTs!$A$1:$C$73,3,FALSE),"NA")</f>
        <v>1North Puget Sound</v>
      </c>
      <c r="K360" s="107" t="s">
        <v>17</v>
      </c>
      <c r="L360" s="107" t="str">
        <f>VLOOKUP(K360,LUTs!E$2:G$14,3,)</f>
        <v>04Island</v>
      </c>
      <c r="M360" s="107" t="str">
        <f>VLOOKUP($K360,LUTs!$E$2:$H$14,2,)</f>
        <v>North Puget Sound</v>
      </c>
      <c r="N360" s="107" t="str">
        <f>VLOOKUP($K360,LUTs!$E$2:$H$14,4,)</f>
        <v>01North Puget Sound</v>
      </c>
      <c r="O360" s="107">
        <v>2249.8152153987198</v>
      </c>
      <c r="P360" s="107">
        <v>2649.8663208066</v>
      </c>
      <c r="Q360" s="107">
        <f t="shared" si="31"/>
        <v>2249.8152153987198</v>
      </c>
      <c r="R360" s="107">
        <f t="shared" si="32"/>
        <v>2649.8663208066</v>
      </c>
      <c r="S360" s="140" t="str">
        <f t="shared" si="33"/>
        <v>Y</v>
      </c>
      <c r="T360" s="154">
        <f t="shared" si="34"/>
        <v>1.1778150946218851</v>
      </c>
      <c r="U360" s="154">
        <f t="shared" si="35"/>
        <v>1.1778150946218851</v>
      </c>
    </row>
    <row r="361" spans="1:21" x14ac:dyDescent="0.35">
      <c r="A361" s="107">
        <v>3340</v>
      </c>
      <c r="B361" s="107">
        <v>2015</v>
      </c>
      <c r="C361" s="107" t="s">
        <v>9</v>
      </c>
      <c r="D361" s="107" t="s">
        <v>132</v>
      </c>
      <c r="E361" s="107" t="s">
        <v>10</v>
      </c>
      <c r="F361" s="115">
        <v>7</v>
      </c>
      <c r="G361" s="107" t="s">
        <v>29</v>
      </c>
      <c r="H361" s="107" t="str">
        <f t="shared" si="30"/>
        <v>Area 7: San Juan Islands</v>
      </c>
      <c r="I361" s="107" t="str">
        <f>IFERROR(VLOOKUP(H361,LUTs!$A$1:$C$73,2,FALSE),"NA")</f>
        <v>NA</v>
      </c>
      <c r="J361" s="107" t="str">
        <f>IFERROR(VLOOKUP(H361,LUTs!$A$1:$C$73,3,FALSE),"NA")</f>
        <v>1North Puget Sound</v>
      </c>
      <c r="K361" s="107" t="s">
        <v>25</v>
      </c>
      <c r="L361" s="107" t="str">
        <f>VLOOKUP(K361,LUTs!E$2:G$14,3,)</f>
        <v>12Jefferson</v>
      </c>
      <c r="M361" s="107" t="str">
        <f>VLOOKUP($K361,LUTs!$E$2:$H$14,2,)</f>
        <v>Strait of Juan de Fuca</v>
      </c>
      <c r="N361" s="107" t="str">
        <f>VLOOKUP($K361,LUTs!$E$2:$H$14,4,)</f>
        <v>03Strait of Juan de Fuca</v>
      </c>
      <c r="O361" s="107">
        <v>44.114023831347403</v>
      </c>
      <c r="P361" s="107">
        <v>51.958163153070601</v>
      </c>
      <c r="Q361" s="107">
        <f t="shared" si="31"/>
        <v>44.114023831347403</v>
      </c>
      <c r="R361" s="107">
        <f t="shared" si="32"/>
        <v>51.958163153070601</v>
      </c>
      <c r="S361" s="140" t="str">
        <f t="shared" si="33"/>
        <v>Y</v>
      </c>
      <c r="T361" s="154">
        <f t="shared" si="34"/>
        <v>1.1778150946218866</v>
      </c>
      <c r="U361" s="154">
        <f t="shared" si="35"/>
        <v>1.1778150946218866</v>
      </c>
    </row>
    <row r="362" spans="1:21" x14ac:dyDescent="0.35">
      <c r="A362" s="107">
        <v>3334</v>
      </c>
      <c r="B362" s="107">
        <v>2015</v>
      </c>
      <c r="C362" s="107" t="s">
        <v>9</v>
      </c>
      <c r="D362" s="107" t="s">
        <v>132</v>
      </c>
      <c r="E362" s="107" t="s">
        <v>10</v>
      </c>
      <c r="F362" s="115">
        <v>7</v>
      </c>
      <c r="G362" s="107" t="s">
        <v>29</v>
      </c>
      <c r="H362" s="107" t="str">
        <f t="shared" si="30"/>
        <v>Area 7: San Juan Islands</v>
      </c>
      <c r="I362" s="107" t="str">
        <f>IFERROR(VLOOKUP(H362,LUTs!$A$1:$C$73,2,FALSE),"NA")</f>
        <v>NA</v>
      </c>
      <c r="J362" s="107" t="str">
        <f>IFERROR(VLOOKUP(H362,LUTs!$A$1:$C$73,3,FALSE),"NA")</f>
        <v>1North Puget Sound</v>
      </c>
      <c r="K362" s="107" t="s">
        <v>18</v>
      </c>
      <c r="L362" s="107" t="str">
        <f>VLOOKUP(K362,LUTs!E$2:G$14,3,)</f>
        <v>06King</v>
      </c>
      <c r="M362" s="107" t="str">
        <f>VLOOKUP($K362,LUTs!$E$2:$H$14,2,)</f>
        <v>South Puget Sound</v>
      </c>
      <c r="N362" s="107" t="str">
        <f>VLOOKUP($K362,LUTs!$E$2:$H$14,4,)</f>
        <v>02South Puget Sound</v>
      </c>
      <c r="O362" s="107">
        <v>5286.3305224564601</v>
      </c>
      <c r="P362" s="107">
        <v>6226.3198845096204</v>
      </c>
      <c r="Q362" s="107">
        <f t="shared" si="31"/>
        <v>5286.3305224564601</v>
      </c>
      <c r="R362" s="107">
        <f t="shared" si="32"/>
        <v>6226.3198845096204</v>
      </c>
      <c r="S362" s="140" t="str">
        <f t="shared" si="33"/>
        <v>Y</v>
      </c>
      <c r="T362" s="154">
        <f t="shared" si="34"/>
        <v>1.1778150946218862</v>
      </c>
      <c r="U362" s="154">
        <f t="shared" si="35"/>
        <v>1.1778150946218862</v>
      </c>
    </row>
    <row r="363" spans="1:21" x14ac:dyDescent="0.35">
      <c r="A363" s="107">
        <v>3338</v>
      </c>
      <c r="B363" s="107">
        <v>2015</v>
      </c>
      <c r="C363" s="107" t="s">
        <v>9</v>
      </c>
      <c r="D363" s="107" t="s">
        <v>132</v>
      </c>
      <c r="E363" s="107" t="s">
        <v>10</v>
      </c>
      <c r="F363" s="115">
        <v>7</v>
      </c>
      <c r="G363" s="107" t="s">
        <v>29</v>
      </c>
      <c r="H363" s="107" t="str">
        <f t="shared" si="30"/>
        <v>Area 7: San Juan Islands</v>
      </c>
      <c r="I363" s="107" t="str">
        <f>IFERROR(VLOOKUP(H363,LUTs!$A$1:$C$73,2,FALSE),"NA")</f>
        <v>NA</v>
      </c>
      <c r="J363" s="107" t="str">
        <f>IFERROR(VLOOKUP(H363,LUTs!$A$1:$C$73,3,FALSE),"NA")</f>
        <v>1North Puget Sound</v>
      </c>
      <c r="K363" s="107" t="s">
        <v>23</v>
      </c>
      <c r="L363" s="107" t="str">
        <f>VLOOKUP(K363,LUTs!E$2:G$14,3,)</f>
        <v>10Kitsap</v>
      </c>
      <c r="M363" s="107" t="str">
        <f>VLOOKUP($K363,LUTs!$E$2:$H$14,2,)</f>
        <v>South Puget Sound</v>
      </c>
      <c r="N363" s="107" t="str">
        <f>VLOOKUP($K363,LUTs!$E$2:$H$14,4,)</f>
        <v>02South Puget Sound</v>
      </c>
      <c r="O363" s="107">
        <v>404.378551787351</v>
      </c>
      <c r="P363" s="107">
        <v>476.28316223648</v>
      </c>
      <c r="Q363" s="107">
        <f t="shared" si="31"/>
        <v>404.378551787351</v>
      </c>
      <c r="R363" s="107">
        <f t="shared" si="32"/>
        <v>476.28316223648</v>
      </c>
      <c r="S363" s="140" t="str">
        <f t="shared" si="33"/>
        <v>Y</v>
      </c>
      <c r="T363" s="154">
        <f t="shared" si="34"/>
        <v>1.1778150946218859</v>
      </c>
      <c r="U363" s="154">
        <f t="shared" si="35"/>
        <v>1.1778150946218859</v>
      </c>
    </row>
    <row r="364" spans="1:21" x14ac:dyDescent="0.35">
      <c r="A364" s="107">
        <v>3337</v>
      </c>
      <c r="B364" s="107">
        <v>2015</v>
      </c>
      <c r="C364" s="107" t="s">
        <v>9</v>
      </c>
      <c r="D364" s="107" t="s">
        <v>132</v>
      </c>
      <c r="E364" s="107" t="s">
        <v>10</v>
      </c>
      <c r="F364" s="115">
        <v>7</v>
      </c>
      <c r="G364" s="107" t="s">
        <v>29</v>
      </c>
      <c r="H364" s="107" t="str">
        <f t="shared" si="30"/>
        <v>Area 7: San Juan Islands</v>
      </c>
      <c r="I364" s="107" t="str">
        <f>IFERROR(VLOOKUP(H364,LUTs!$A$1:$C$73,2,FALSE),"NA")</f>
        <v>NA</v>
      </c>
      <c r="J364" s="107" t="str">
        <f>IFERROR(VLOOKUP(H364,LUTs!$A$1:$C$73,3,FALSE),"NA")</f>
        <v>1North Puget Sound</v>
      </c>
      <c r="K364" s="107" t="s">
        <v>22</v>
      </c>
      <c r="L364" s="107" t="str">
        <f>VLOOKUP(K364,LUTs!E$2:G$14,3,)</f>
        <v>09Mason</v>
      </c>
      <c r="M364" s="107" t="str">
        <f>VLOOKUP($K364,LUTs!$E$2:$H$14,2,)</f>
        <v>South Puget Sound</v>
      </c>
      <c r="N364" s="107" t="str">
        <f>VLOOKUP($K364,LUTs!$E$2:$H$14,4,)</f>
        <v>02South Puget Sound</v>
      </c>
      <c r="O364" s="107">
        <v>242.627131072411</v>
      </c>
      <c r="P364" s="107">
        <v>285.769897341888</v>
      </c>
      <c r="Q364" s="107">
        <f t="shared" si="31"/>
        <v>242.627131072411</v>
      </c>
      <c r="R364" s="107">
        <f t="shared" si="32"/>
        <v>285.769897341888</v>
      </c>
      <c r="S364" s="140" t="str">
        <f t="shared" si="33"/>
        <v>Y</v>
      </c>
      <c r="T364" s="154">
        <f t="shared" si="34"/>
        <v>1.1778150946218839</v>
      </c>
      <c r="U364" s="154">
        <f t="shared" si="35"/>
        <v>1.1778150946218839</v>
      </c>
    </row>
    <row r="365" spans="1:21" x14ac:dyDescent="0.35">
      <c r="A365" s="107">
        <v>3341</v>
      </c>
      <c r="B365" s="107">
        <v>2015</v>
      </c>
      <c r="C365" s="107" t="s">
        <v>9</v>
      </c>
      <c r="D365" s="107" t="s">
        <v>132</v>
      </c>
      <c r="E365" s="107" t="s">
        <v>10</v>
      </c>
      <c r="F365" s="115">
        <v>7</v>
      </c>
      <c r="G365" s="107" t="s">
        <v>29</v>
      </c>
      <c r="H365" s="107" t="str">
        <f t="shared" si="30"/>
        <v>Area 7: San Juan Islands</v>
      </c>
      <c r="I365" s="107" t="str">
        <f>IFERROR(VLOOKUP(H365,LUTs!$A$1:$C$73,2,FALSE),"NA")</f>
        <v>NA</v>
      </c>
      <c r="J365" s="107" t="str">
        <f>IFERROR(VLOOKUP(H365,LUTs!$A$1:$C$73,3,FALSE),"NA")</f>
        <v>1North Puget Sound</v>
      </c>
      <c r="K365" s="107" t="s">
        <v>26</v>
      </c>
      <c r="L365" s="107" t="str">
        <f>VLOOKUP(K365,LUTs!E$2:G$14,3,)</f>
        <v>20Other</v>
      </c>
      <c r="M365" s="107" t="str">
        <f>VLOOKUP($K365,LUTs!$E$2:$H$14,2,)</f>
        <v>Non Puget Sound</v>
      </c>
      <c r="N365" s="107" t="str">
        <f>VLOOKUP($K365,LUTs!$E$2:$H$14,4,)</f>
        <v>07Non Puget Sound</v>
      </c>
      <c r="O365" s="107">
        <v>7727.3065077910196</v>
      </c>
      <c r="P365" s="107">
        <v>9101.3382456462004</v>
      </c>
      <c r="Q365" s="107">
        <f t="shared" si="31"/>
        <v>7727.3065077910196</v>
      </c>
      <c r="R365" s="107">
        <f t="shared" si="32"/>
        <v>9101.3382456462004</v>
      </c>
      <c r="S365" s="140" t="str">
        <f t="shared" si="33"/>
        <v>Y</v>
      </c>
      <c r="T365" s="154">
        <f t="shared" si="34"/>
        <v>1.1778150946218866</v>
      </c>
      <c r="U365" s="154">
        <f t="shared" si="35"/>
        <v>1.1778150946218866</v>
      </c>
    </row>
    <row r="366" spans="1:21" x14ac:dyDescent="0.35">
      <c r="A366" s="107">
        <v>3335</v>
      </c>
      <c r="B366" s="107">
        <v>2015</v>
      </c>
      <c r="C366" s="107" t="s">
        <v>9</v>
      </c>
      <c r="D366" s="107" t="s">
        <v>132</v>
      </c>
      <c r="E366" s="107" t="s">
        <v>10</v>
      </c>
      <c r="F366" s="115">
        <v>7</v>
      </c>
      <c r="G366" s="107" t="s">
        <v>29</v>
      </c>
      <c r="H366" s="107" t="str">
        <f t="shared" si="30"/>
        <v>Area 7: San Juan Islands</v>
      </c>
      <c r="I366" s="107" t="str">
        <f>IFERROR(VLOOKUP(H366,LUTs!$A$1:$C$73,2,FALSE),"NA")</f>
        <v>NA</v>
      </c>
      <c r="J366" s="107" t="str">
        <f>IFERROR(VLOOKUP(H366,LUTs!$A$1:$C$73,3,FALSE),"NA")</f>
        <v>1North Puget Sound</v>
      </c>
      <c r="K366" s="107" t="s">
        <v>20</v>
      </c>
      <c r="L366" s="107" t="str">
        <f>VLOOKUP(K366,LUTs!E$2:G$14,3,)</f>
        <v>07Pierce</v>
      </c>
      <c r="M366" s="107" t="str">
        <f>VLOOKUP($K366,LUTs!$E$2:$H$14,2,)</f>
        <v>South Puget Sound</v>
      </c>
      <c r="N366" s="107" t="str">
        <f>VLOOKUP($K366,LUTs!$E$2:$H$14,4,)</f>
        <v>02South Puget Sound</v>
      </c>
      <c r="O366" s="107">
        <v>573.482309807516</v>
      </c>
      <c r="P366" s="107">
        <v>675.45612098991705</v>
      </c>
      <c r="Q366" s="107">
        <f t="shared" si="31"/>
        <v>573.482309807516</v>
      </c>
      <c r="R366" s="107">
        <f t="shared" si="32"/>
        <v>675.45612098991705</v>
      </c>
      <c r="S366" s="140" t="str">
        <f t="shared" si="33"/>
        <v>Y</v>
      </c>
      <c r="T366" s="154">
        <f t="shared" si="34"/>
        <v>1.1778150946218857</v>
      </c>
      <c r="U366" s="154">
        <f t="shared" si="35"/>
        <v>1.1778150946218857</v>
      </c>
    </row>
    <row r="367" spans="1:21" x14ac:dyDescent="0.35">
      <c r="A367" s="107">
        <v>3333</v>
      </c>
      <c r="B367" s="107">
        <v>2015</v>
      </c>
      <c r="C367" s="107" t="s">
        <v>9</v>
      </c>
      <c r="D367" s="107" t="s">
        <v>132</v>
      </c>
      <c r="E367" s="107" t="s">
        <v>10</v>
      </c>
      <c r="F367" s="115">
        <v>7</v>
      </c>
      <c r="G367" s="107" t="s">
        <v>29</v>
      </c>
      <c r="H367" s="107" t="str">
        <f t="shared" si="30"/>
        <v>Area 7: San Juan Islands</v>
      </c>
      <c r="I367" s="107" t="str">
        <f>IFERROR(VLOOKUP(H367,LUTs!$A$1:$C$73,2,FALSE),"NA")</f>
        <v>NA</v>
      </c>
      <c r="J367" s="107" t="str">
        <f>IFERROR(VLOOKUP(H367,LUTs!$A$1:$C$73,3,FALSE),"NA")</f>
        <v>1North Puget Sound</v>
      </c>
      <c r="K367" s="107" t="s">
        <v>30</v>
      </c>
      <c r="L367" s="107" t="str">
        <f>VLOOKUP(K367,LUTs!E$2:G$14,3,)</f>
        <v>05San Juan</v>
      </c>
      <c r="M367" s="107" t="str">
        <f>VLOOKUP($K367,LUTs!$E$2:$H$14,2,)</f>
        <v>North Puget Sound</v>
      </c>
      <c r="N367" s="107" t="str">
        <f>VLOOKUP($K367,LUTs!$E$2:$H$14,4,)</f>
        <v>01North Puget Sound</v>
      </c>
      <c r="O367" s="107">
        <v>5433.3772685609501</v>
      </c>
      <c r="P367" s="107">
        <v>6399.5137616865304</v>
      </c>
      <c r="Q367" s="107">
        <f t="shared" si="31"/>
        <v>5433.3772685609501</v>
      </c>
      <c r="R367" s="107">
        <f t="shared" si="32"/>
        <v>6399.5137616865304</v>
      </c>
      <c r="S367" s="140" t="str">
        <f t="shared" si="33"/>
        <v>Y</v>
      </c>
      <c r="T367" s="154">
        <f t="shared" si="34"/>
        <v>1.1778150946218879</v>
      </c>
      <c r="U367" s="154">
        <f t="shared" si="35"/>
        <v>1.1778150946218879</v>
      </c>
    </row>
    <row r="368" spans="1:21" x14ac:dyDescent="0.35">
      <c r="A368" s="107">
        <v>3330</v>
      </c>
      <c r="B368" s="107">
        <v>2015</v>
      </c>
      <c r="C368" s="107" t="s">
        <v>9</v>
      </c>
      <c r="D368" s="107" t="s">
        <v>132</v>
      </c>
      <c r="E368" s="107" t="s">
        <v>10</v>
      </c>
      <c r="F368" s="115">
        <v>7</v>
      </c>
      <c r="G368" s="107" t="s">
        <v>29</v>
      </c>
      <c r="H368" s="107" t="str">
        <f t="shared" si="30"/>
        <v>Area 7: San Juan Islands</v>
      </c>
      <c r="I368" s="107" t="str">
        <f>IFERROR(VLOOKUP(H368,LUTs!$A$1:$C$73,2,FALSE),"NA")</f>
        <v>NA</v>
      </c>
      <c r="J368" s="107" t="str">
        <f>IFERROR(VLOOKUP(H368,LUTs!$A$1:$C$73,3,FALSE),"NA")</f>
        <v>1North Puget Sound</v>
      </c>
      <c r="K368" s="107" t="s">
        <v>15</v>
      </c>
      <c r="L368" s="107" t="str">
        <f>VLOOKUP(K368,LUTs!E$2:G$14,3,)</f>
        <v>02Skagit</v>
      </c>
      <c r="M368" s="107" t="str">
        <f>VLOOKUP($K368,LUTs!$E$2:$H$14,2,)</f>
        <v>North Puget Sound</v>
      </c>
      <c r="N368" s="107" t="str">
        <f>VLOOKUP($K368,LUTs!$E$2:$H$14,4,)</f>
        <v>01North Puget Sound</v>
      </c>
      <c r="O368" s="107">
        <v>8477.2449129239303</v>
      </c>
      <c r="P368" s="107">
        <v>9984.6270192484008</v>
      </c>
      <c r="Q368" s="107">
        <f t="shared" si="31"/>
        <v>8477.2449129239303</v>
      </c>
      <c r="R368" s="107">
        <f t="shared" si="32"/>
        <v>9984.6270192484008</v>
      </c>
      <c r="S368" s="140" t="str">
        <f t="shared" si="33"/>
        <v>Y</v>
      </c>
      <c r="T368" s="154">
        <f t="shared" si="34"/>
        <v>1.1778150946218859</v>
      </c>
      <c r="U368" s="154">
        <f t="shared" si="35"/>
        <v>1.1778150946218859</v>
      </c>
    </row>
    <row r="369" spans="1:21" x14ac:dyDescent="0.35">
      <c r="A369" s="107">
        <v>3331</v>
      </c>
      <c r="B369" s="107">
        <v>2015</v>
      </c>
      <c r="C369" s="107" t="s">
        <v>9</v>
      </c>
      <c r="D369" s="107" t="s">
        <v>132</v>
      </c>
      <c r="E369" s="107" t="s">
        <v>10</v>
      </c>
      <c r="F369" s="115">
        <v>7</v>
      </c>
      <c r="G369" s="107" t="s">
        <v>29</v>
      </c>
      <c r="H369" s="107" t="str">
        <f t="shared" si="30"/>
        <v>Area 7: San Juan Islands</v>
      </c>
      <c r="I369" s="107" t="str">
        <f>IFERROR(VLOOKUP(H369,LUTs!$A$1:$C$73,2,FALSE),"NA")</f>
        <v>NA</v>
      </c>
      <c r="J369" s="107" t="str">
        <f>IFERROR(VLOOKUP(H369,LUTs!$A$1:$C$73,3,FALSE),"NA")</f>
        <v>1North Puget Sound</v>
      </c>
      <c r="K369" s="107" t="s">
        <v>16</v>
      </c>
      <c r="L369" s="107" t="str">
        <f>VLOOKUP(K369,LUTs!E$2:G$14,3,)</f>
        <v>03Snohomish</v>
      </c>
      <c r="M369" s="107" t="str">
        <f>VLOOKUP($K369,LUTs!$E$2:$H$14,2,)</f>
        <v>North Puget Sound</v>
      </c>
      <c r="N369" s="107" t="str">
        <f>VLOOKUP($K369,LUTs!$E$2:$H$14,4,)</f>
        <v>01North Puget Sound</v>
      </c>
      <c r="O369" s="107">
        <v>3837.9200733272201</v>
      </c>
      <c r="P369" s="107">
        <v>4520.3601943171398</v>
      </c>
      <c r="Q369" s="107">
        <f t="shared" si="31"/>
        <v>3837.9200733272201</v>
      </c>
      <c r="R369" s="107">
        <f t="shared" si="32"/>
        <v>4520.3601943171398</v>
      </c>
      <c r="S369" s="140" t="str">
        <f t="shared" si="33"/>
        <v>Y</v>
      </c>
      <c r="T369" s="154">
        <f t="shared" si="34"/>
        <v>1.177815094621887</v>
      </c>
      <c r="U369" s="154">
        <f t="shared" si="35"/>
        <v>1.177815094621887</v>
      </c>
    </row>
    <row r="370" spans="1:21" x14ac:dyDescent="0.35">
      <c r="A370" s="107">
        <v>3336</v>
      </c>
      <c r="B370" s="107">
        <v>2015</v>
      </c>
      <c r="C370" s="107" t="s">
        <v>9</v>
      </c>
      <c r="D370" s="107" t="s">
        <v>132</v>
      </c>
      <c r="E370" s="107" t="s">
        <v>10</v>
      </c>
      <c r="F370" s="115">
        <v>7</v>
      </c>
      <c r="G370" s="107" t="s">
        <v>29</v>
      </c>
      <c r="H370" s="107" t="str">
        <f t="shared" si="30"/>
        <v>Area 7: San Juan Islands</v>
      </c>
      <c r="I370" s="107" t="str">
        <f>IFERROR(VLOOKUP(H370,LUTs!$A$1:$C$73,2,FALSE),"NA")</f>
        <v>NA</v>
      </c>
      <c r="J370" s="107" t="str">
        <f>IFERROR(VLOOKUP(H370,LUTs!$A$1:$C$73,3,FALSE),"NA")</f>
        <v>1North Puget Sound</v>
      </c>
      <c r="K370" s="107" t="s">
        <v>21</v>
      </c>
      <c r="L370" s="107" t="str">
        <f>VLOOKUP(K370,LUTs!E$2:G$14,3,)</f>
        <v>08Thurston</v>
      </c>
      <c r="M370" s="107" t="str">
        <f>VLOOKUP($K370,LUTs!$E$2:$H$14,2,)</f>
        <v>South Puget Sound</v>
      </c>
      <c r="N370" s="107" t="str">
        <f>VLOOKUP($K370,LUTs!$E$2:$H$14,4,)</f>
        <v>02South Puget Sound</v>
      </c>
      <c r="O370" s="107">
        <v>205.86544454628799</v>
      </c>
      <c r="P370" s="107">
        <v>242.47142804766301</v>
      </c>
      <c r="Q370" s="107">
        <f t="shared" si="31"/>
        <v>205.86544454628799</v>
      </c>
      <c r="R370" s="107">
        <f t="shared" si="32"/>
        <v>242.47142804766301</v>
      </c>
      <c r="S370" s="140" t="str">
        <f t="shared" si="33"/>
        <v>Y</v>
      </c>
      <c r="T370" s="154">
        <f t="shared" si="34"/>
        <v>1.177815094621887</v>
      </c>
      <c r="U370" s="154">
        <f t="shared" si="35"/>
        <v>1.177815094621887</v>
      </c>
    </row>
    <row r="371" spans="1:21" x14ac:dyDescent="0.35">
      <c r="A371" s="107">
        <v>3324</v>
      </c>
      <c r="B371" s="107">
        <v>2015</v>
      </c>
      <c r="C371" s="107" t="s">
        <v>9</v>
      </c>
      <c r="D371" s="107" t="s">
        <v>132</v>
      </c>
      <c r="E371" s="107" t="s">
        <v>10</v>
      </c>
      <c r="F371" s="115">
        <v>7</v>
      </c>
      <c r="G371" s="107" t="s">
        <v>29</v>
      </c>
      <c r="H371" s="107" t="str">
        <f t="shared" si="30"/>
        <v>Area 7: San Juan Islands</v>
      </c>
      <c r="I371" s="107" t="str">
        <f>IFERROR(VLOOKUP(H371,LUTs!$A$1:$C$73,2,FALSE),"NA")</f>
        <v>NA</v>
      </c>
      <c r="J371" s="107" t="str">
        <f>IFERROR(VLOOKUP(H371,LUTs!$A$1:$C$73,3,FALSE),"NA")</f>
        <v>1North Puget Sound</v>
      </c>
      <c r="K371" s="107" t="s">
        <v>13</v>
      </c>
      <c r="L371" s="107" t="str">
        <f>VLOOKUP(K371,LUTs!E$2:G$14,3,)</f>
        <v>01Whatcom</v>
      </c>
      <c r="M371" s="107" t="str">
        <f>VLOOKUP($K371,LUTs!$E$2:$H$14,2,)</f>
        <v>North Puget Sound</v>
      </c>
      <c r="N371" s="107" t="str">
        <f>VLOOKUP($K371,LUTs!$E$2:$H$14,4,)</f>
        <v>01North Puget Sound</v>
      </c>
      <c r="O371" s="107">
        <v>5271.6258478460104</v>
      </c>
      <c r="P371" s="107">
        <v>6209.0004967919303</v>
      </c>
      <c r="Q371" s="107">
        <f t="shared" si="31"/>
        <v>5271.6258478460104</v>
      </c>
      <c r="R371" s="107">
        <f t="shared" si="32"/>
        <v>6209.0004967919303</v>
      </c>
      <c r="S371" s="140" t="str">
        <f t="shared" si="33"/>
        <v>Y</v>
      </c>
      <c r="T371" s="154">
        <f t="shared" si="34"/>
        <v>1.1778150946218864</v>
      </c>
      <c r="U371" s="154">
        <f t="shared" si="35"/>
        <v>1.1778150946218864</v>
      </c>
    </row>
    <row r="372" spans="1:21" x14ac:dyDescent="0.35">
      <c r="A372" s="107">
        <v>3406</v>
      </c>
      <c r="B372" s="107">
        <v>2016</v>
      </c>
      <c r="C372" s="107" t="s">
        <v>9</v>
      </c>
      <c r="D372" s="107" t="s">
        <v>132</v>
      </c>
      <c r="E372" s="107" t="s">
        <v>10</v>
      </c>
      <c r="F372" s="115">
        <v>7</v>
      </c>
      <c r="G372" s="107" t="s">
        <v>29</v>
      </c>
      <c r="H372" s="107" t="str">
        <f t="shared" si="30"/>
        <v>Area 7: San Juan Islands</v>
      </c>
      <c r="I372" s="107" t="str">
        <f>IFERROR(VLOOKUP(H372,LUTs!$A$1:$C$73,2,FALSE),"NA")</f>
        <v>NA</v>
      </c>
      <c r="J372" s="107" t="str">
        <f>IFERROR(VLOOKUP(H372,LUTs!$A$1:$C$73,3,FALSE),"NA")</f>
        <v>1North Puget Sound</v>
      </c>
      <c r="K372" s="107" t="s">
        <v>24</v>
      </c>
      <c r="L372" s="107" t="str">
        <f>VLOOKUP(K372,LUTs!E$2:G$14,3,)</f>
        <v>11Clallam</v>
      </c>
      <c r="M372" s="107" t="str">
        <f>VLOOKUP($K372,LUTs!$E$2:$H$14,2,)</f>
        <v>Strait of Juan de Fuca</v>
      </c>
      <c r="N372" s="107" t="str">
        <f>VLOOKUP($K372,LUTs!$E$2:$H$14,4,)</f>
        <v>03Strait of Juan de Fuca</v>
      </c>
      <c r="O372" s="107">
        <v>57.453703703703702</v>
      </c>
      <c r="P372" s="107">
        <v>283.91685185185202</v>
      </c>
      <c r="Q372" s="107">
        <f t="shared" si="31"/>
        <v>57.453703703703702</v>
      </c>
      <c r="R372" s="107">
        <f t="shared" si="32"/>
        <v>283.91685185185202</v>
      </c>
      <c r="S372" s="140" t="str">
        <f t="shared" si="33"/>
        <v>Y</v>
      </c>
      <c r="T372" s="154">
        <f t="shared" si="34"/>
        <v>4.9416631748589879</v>
      </c>
      <c r="U372" s="154">
        <f t="shared" si="35"/>
        <v>4.9416631748589879</v>
      </c>
    </row>
    <row r="373" spans="1:21" x14ac:dyDescent="0.35">
      <c r="A373" s="107">
        <v>3400</v>
      </c>
      <c r="B373" s="107">
        <v>2016</v>
      </c>
      <c r="C373" s="107" t="s">
        <v>9</v>
      </c>
      <c r="D373" s="107" t="s">
        <v>132</v>
      </c>
      <c r="E373" s="107" t="s">
        <v>10</v>
      </c>
      <c r="F373" s="115">
        <v>7</v>
      </c>
      <c r="G373" s="107" t="s">
        <v>29</v>
      </c>
      <c r="H373" s="107" t="str">
        <f t="shared" si="30"/>
        <v>Area 7: San Juan Islands</v>
      </c>
      <c r="I373" s="107" t="str">
        <f>IFERROR(VLOOKUP(H373,LUTs!$A$1:$C$73,2,FALSE),"NA")</f>
        <v>NA</v>
      </c>
      <c r="J373" s="107" t="str">
        <f>IFERROR(VLOOKUP(H373,LUTs!$A$1:$C$73,3,FALSE),"NA")</f>
        <v>1North Puget Sound</v>
      </c>
      <c r="K373" s="107" t="s">
        <v>17</v>
      </c>
      <c r="L373" s="107" t="str">
        <f>VLOOKUP(K373,LUTs!E$2:G$14,3,)</f>
        <v>04Island</v>
      </c>
      <c r="M373" s="107" t="str">
        <f>VLOOKUP($K373,LUTs!$E$2:$H$14,2,)</f>
        <v>North Puget Sound</v>
      </c>
      <c r="N373" s="107" t="str">
        <f>VLOOKUP($K373,LUTs!$E$2:$H$14,4,)</f>
        <v>01North Puget Sound</v>
      </c>
      <c r="O373" s="107">
        <v>492.46031746031798</v>
      </c>
      <c r="P373" s="107">
        <v>2433.5730158730198</v>
      </c>
      <c r="Q373" s="107">
        <f t="shared" si="31"/>
        <v>492.46031746031798</v>
      </c>
      <c r="R373" s="107">
        <f t="shared" si="32"/>
        <v>2433.5730158730198</v>
      </c>
      <c r="S373" s="140" t="str">
        <f t="shared" si="33"/>
        <v>Y</v>
      </c>
      <c r="T373" s="154">
        <f t="shared" si="34"/>
        <v>4.9416631748589879</v>
      </c>
      <c r="U373" s="154">
        <f t="shared" si="35"/>
        <v>4.9416631748589879</v>
      </c>
    </row>
    <row r="374" spans="1:21" x14ac:dyDescent="0.35">
      <c r="A374" s="107">
        <v>3402</v>
      </c>
      <c r="B374" s="107">
        <v>2016</v>
      </c>
      <c r="C374" s="107" t="s">
        <v>9</v>
      </c>
      <c r="D374" s="107" t="s">
        <v>132</v>
      </c>
      <c r="E374" s="107" t="s">
        <v>10</v>
      </c>
      <c r="F374" s="115">
        <v>7</v>
      </c>
      <c r="G374" s="107" t="s">
        <v>29</v>
      </c>
      <c r="H374" s="107" t="str">
        <f t="shared" si="30"/>
        <v>Area 7: San Juan Islands</v>
      </c>
      <c r="I374" s="107" t="str">
        <f>IFERROR(VLOOKUP(H374,LUTs!$A$1:$C$73,2,FALSE),"NA")</f>
        <v>NA</v>
      </c>
      <c r="J374" s="107" t="str">
        <f>IFERROR(VLOOKUP(H374,LUTs!$A$1:$C$73,3,FALSE),"NA")</f>
        <v>1North Puget Sound</v>
      </c>
      <c r="K374" s="107" t="s">
        <v>18</v>
      </c>
      <c r="L374" s="107" t="str">
        <f>VLOOKUP(K374,LUTs!E$2:G$14,3,)</f>
        <v>06King</v>
      </c>
      <c r="M374" s="107" t="str">
        <f>VLOOKUP($K374,LUTs!$E$2:$H$14,2,)</f>
        <v>South Puget Sound</v>
      </c>
      <c r="N374" s="107" t="str">
        <f>VLOOKUP($K374,LUTs!$E$2:$H$14,4,)</f>
        <v>02South Puget Sound</v>
      </c>
      <c r="O374" s="107">
        <v>705.85978835978801</v>
      </c>
      <c r="P374" s="107">
        <v>3488.1213227513199</v>
      </c>
      <c r="Q374" s="107">
        <f t="shared" si="31"/>
        <v>705.85978835978801</v>
      </c>
      <c r="R374" s="107">
        <f t="shared" si="32"/>
        <v>3488.1213227513199</v>
      </c>
      <c r="S374" s="140" t="str">
        <f t="shared" si="33"/>
        <v>Y</v>
      </c>
      <c r="T374" s="154">
        <f t="shared" si="34"/>
        <v>4.9416631748589834</v>
      </c>
      <c r="U374" s="154">
        <f t="shared" si="35"/>
        <v>4.9416631748589834</v>
      </c>
    </row>
    <row r="375" spans="1:21" x14ac:dyDescent="0.35">
      <c r="A375" s="107">
        <v>3405</v>
      </c>
      <c r="B375" s="107">
        <v>2016</v>
      </c>
      <c r="C375" s="107" t="s">
        <v>9</v>
      </c>
      <c r="D375" s="107" t="s">
        <v>132</v>
      </c>
      <c r="E375" s="107" t="s">
        <v>10</v>
      </c>
      <c r="F375" s="115">
        <v>7</v>
      </c>
      <c r="G375" s="107" t="s">
        <v>29</v>
      </c>
      <c r="H375" s="107" t="str">
        <f t="shared" si="30"/>
        <v>Area 7: San Juan Islands</v>
      </c>
      <c r="I375" s="107" t="str">
        <f>IFERROR(VLOOKUP(H375,LUTs!$A$1:$C$73,2,FALSE),"NA")</f>
        <v>NA</v>
      </c>
      <c r="J375" s="107" t="str">
        <f>IFERROR(VLOOKUP(H375,LUTs!$A$1:$C$73,3,FALSE),"NA")</f>
        <v>1North Puget Sound</v>
      </c>
      <c r="K375" s="107" t="s">
        <v>23</v>
      </c>
      <c r="L375" s="107" t="str">
        <f>VLOOKUP(K375,LUTs!E$2:G$14,3,)</f>
        <v>10Kitsap</v>
      </c>
      <c r="M375" s="107" t="str">
        <f>VLOOKUP($K375,LUTs!$E$2:$H$14,2,)</f>
        <v>South Puget Sound</v>
      </c>
      <c r="N375" s="107" t="str">
        <f>VLOOKUP($K375,LUTs!$E$2:$H$14,4,)</f>
        <v>02South Puget Sound</v>
      </c>
      <c r="O375" s="107">
        <v>8.2076719576719608</v>
      </c>
      <c r="P375" s="107">
        <v>40.559550264550303</v>
      </c>
      <c r="Q375" s="107">
        <f t="shared" si="31"/>
        <v>8.2076719576719608</v>
      </c>
      <c r="R375" s="107">
        <f t="shared" si="32"/>
        <v>40.559550264550303</v>
      </c>
      <c r="S375" s="140" t="str">
        <f t="shared" si="33"/>
        <v>Y</v>
      </c>
      <c r="T375" s="154">
        <f t="shared" si="34"/>
        <v>4.9416631748589879</v>
      </c>
      <c r="U375" s="154">
        <f t="shared" si="35"/>
        <v>4.9416631748589879</v>
      </c>
    </row>
    <row r="376" spans="1:21" x14ac:dyDescent="0.35">
      <c r="A376" s="107">
        <v>3407</v>
      </c>
      <c r="B376" s="107">
        <v>2016</v>
      </c>
      <c r="C376" s="107" t="s">
        <v>9</v>
      </c>
      <c r="D376" s="107" t="s">
        <v>132</v>
      </c>
      <c r="E376" s="107" t="s">
        <v>10</v>
      </c>
      <c r="F376" s="115">
        <v>7</v>
      </c>
      <c r="G376" s="107" t="s">
        <v>29</v>
      </c>
      <c r="H376" s="107" t="str">
        <f t="shared" si="30"/>
        <v>Area 7: San Juan Islands</v>
      </c>
      <c r="I376" s="107" t="str">
        <f>IFERROR(VLOOKUP(H376,LUTs!$A$1:$C$73,2,FALSE),"NA")</f>
        <v>NA</v>
      </c>
      <c r="J376" s="107" t="str">
        <f>IFERROR(VLOOKUP(H376,LUTs!$A$1:$C$73,3,FALSE),"NA")</f>
        <v>1North Puget Sound</v>
      </c>
      <c r="K376" s="107" t="s">
        <v>26</v>
      </c>
      <c r="L376" s="107" t="str">
        <f>VLOOKUP(K376,LUTs!E$2:G$14,3,)</f>
        <v>20Other</v>
      </c>
      <c r="M376" s="107" t="str">
        <f>VLOOKUP($K376,LUTs!$E$2:$H$14,2,)</f>
        <v>Non Puget Sound</v>
      </c>
      <c r="N376" s="107" t="str">
        <f>VLOOKUP($K376,LUTs!$E$2:$H$14,4,)</f>
        <v>07Non Puget Sound</v>
      </c>
      <c r="O376" s="107">
        <v>443.21428571428601</v>
      </c>
      <c r="P376" s="107">
        <v>2190.21571428571</v>
      </c>
      <c r="Q376" s="107">
        <f t="shared" si="31"/>
        <v>443.21428571428601</v>
      </c>
      <c r="R376" s="107">
        <f t="shared" si="32"/>
        <v>2190.21571428571</v>
      </c>
      <c r="S376" s="140" t="str">
        <f t="shared" si="33"/>
        <v>Y</v>
      </c>
      <c r="T376" s="154">
        <f t="shared" si="34"/>
        <v>4.9416631748589719</v>
      </c>
      <c r="U376" s="154">
        <f t="shared" si="35"/>
        <v>4.9416631748589719</v>
      </c>
    </row>
    <row r="377" spans="1:21" x14ac:dyDescent="0.35">
      <c r="A377" s="107">
        <v>3403</v>
      </c>
      <c r="B377" s="107">
        <v>2016</v>
      </c>
      <c r="C377" s="107" t="s">
        <v>9</v>
      </c>
      <c r="D377" s="107" t="s">
        <v>132</v>
      </c>
      <c r="E377" s="107" t="s">
        <v>10</v>
      </c>
      <c r="F377" s="115">
        <v>7</v>
      </c>
      <c r="G377" s="107" t="s">
        <v>29</v>
      </c>
      <c r="H377" s="107" t="str">
        <f t="shared" si="30"/>
        <v>Area 7: San Juan Islands</v>
      </c>
      <c r="I377" s="107" t="str">
        <f>IFERROR(VLOOKUP(H377,LUTs!$A$1:$C$73,2,FALSE),"NA")</f>
        <v>NA</v>
      </c>
      <c r="J377" s="107" t="str">
        <f>IFERROR(VLOOKUP(H377,LUTs!$A$1:$C$73,3,FALSE),"NA")</f>
        <v>1North Puget Sound</v>
      </c>
      <c r="K377" s="107" t="s">
        <v>20</v>
      </c>
      <c r="L377" s="107" t="str">
        <f>VLOOKUP(K377,LUTs!E$2:G$14,3,)</f>
        <v>07Pierce</v>
      </c>
      <c r="M377" s="107" t="str">
        <f>VLOOKUP($K377,LUTs!$E$2:$H$14,2,)</f>
        <v>South Puget Sound</v>
      </c>
      <c r="N377" s="107" t="str">
        <f>VLOOKUP($K377,LUTs!$E$2:$H$14,4,)</f>
        <v>02South Puget Sound</v>
      </c>
      <c r="O377" s="107">
        <v>98.492063492063494</v>
      </c>
      <c r="P377" s="107">
        <v>486.71460317460298</v>
      </c>
      <c r="Q377" s="107">
        <f t="shared" si="31"/>
        <v>98.492063492063494</v>
      </c>
      <c r="R377" s="107">
        <f t="shared" si="32"/>
        <v>486.71460317460298</v>
      </c>
      <c r="S377" s="140" t="str">
        <f t="shared" si="33"/>
        <v>Y</v>
      </c>
      <c r="T377" s="154">
        <f t="shared" si="34"/>
        <v>4.9416631748589825</v>
      </c>
      <c r="U377" s="154">
        <f t="shared" si="35"/>
        <v>4.9416631748589825</v>
      </c>
    </row>
    <row r="378" spans="1:21" x14ac:dyDescent="0.35">
      <c r="A378" s="107">
        <v>3401</v>
      </c>
      <c r="B378" s="107">
        <v>2016</v>
      </c>
      <c r="C378" s="107" t="s">
        <v>9</v>
      </c>
      <c r="D378" s="107" t="s">
        <v>132</v>
      </c>
      <c r="E378" s="107" t="s">
        <v>10</v>
      </c>
      <c r="F378" s="115">
        <v>7</v>
      </c>
      <c r="G378" s="107" t="s">
        <v>29</v>
      </c>
      <c r="H378" s="107" t="str">
        <f t="shared" si="30"/>
        <v>Area 7: San Juan Islands</v>
      </c>
      <c r="I378" s="107" t="str">
        <f>IFERROR(VLOOKUP(H378,LUTs!$A$1:$C$73,2,FALSE),"NA")</f>
        <v>NA</v>
      </c>
      <c r="J378" s="107" t="str">
        <f>IFERROR(VLOOKUP(H378,LUTs!$A$1:$C$73,3,FALSE),"NA")</f>
        <v>1North Puget Sound</v>
      </c>
      <c r="K378" s="107" t="s">
        <v>30</v>
      </c>
      <c r="L378" s="107" t="str">
        <f>VLOOKUP(K378,LUTs!E$2:G$14,3,)</f>
        <v>05San Juan</v>
      </c>
      <c r="M378" s="107" t="str">
        <f>VLOOKUP($K378,LUTs!$E$2:$H$14,2,)</f>
        <v>North Puget Sound</v>
      </c>
      <c r="N378" s="107" t="str">
        <f>VLOOKUP($K378,LUTs!$E$2:$H$14,4,)</f>
        <v>01North Puget Sound</v>
      </c>
      <c r="O378" s="107">
        <v>697.65211640211601</v>
      </c>
      <c r="P378" s="107">
        <v>3447.5617724867702</v>
      </c>
      <c r="Q378" s="107">
        <f t="shared" si="31"/>
        <v>697.65211640211601</v>
      </c>
      <c r="R378" s="107">
        <f t="shared" si="32"/>
        <v>3447.5617724867702</v>
      </c>
      <c r="S378" s="140" t="str">
        <f t="shared" si="33"/>
        <v>Y</v>
      </c>
      <c r="T378" s="154">
        <f t="shared" si="34"/>
        <v>4.9416631748589843</v>
      </c>
      <c r="U378" s="154">
        <f t="shared" si="35"/>
        <v>4.9416631748589843</v>
      </c>
    </row>
    <row r="379" spans="1:21" x14ac:dyDescent="0.35">
      <c r="A379" s="107">
        <v>3343</v>
      </c>
      <c r="B379" s="107">
        <v>2016</v>
      </c>
      <c r="C379" s="107" t="s">
        <v>9</v>
      </c>
      <c r="D379" s="107" t="s">
        <v>132</v>
      </c>
      <c r="E379" s="107" t="s">
        <v>10</v>
      </c>
      <c r="F379" s="115">
        <v>7</v>
      </c>
      <c r="G379" s="107" t="s">
        <v>29</v>
      </c>
      <c r="H379" s="107" t="str">
        <f t="shared" si="30"/>
        <v>Area 7: San Juan Islands</v>
      </c>
      <c r="I379" s="107" t="str">
        <f>IFERROR(VLOOKUP(H379,LUTs!$A$1:$C$73,2,FALSE),"NA")</f>
        <v>NA</v>
      </c>
      <c r="J379" s="107" t="str">
        <f>IFERROR(VLOOKUP(H379,LUTs!$A$1:$C$73,3,FALSE),"NA")</f>
        <v>1North Puget Sound</v>
      </c>
      <c r="K379" s="107" t="s">
        <v>15</v>
      </c>
      <c r="L379" s="107" t="str">
        <f>VLOOKUP(K379,LUTs!E$2:G$14,3,)</f>
        <v>02Skagit</v>
      </c>
      <c r="M379" s="107" t="str">
        <f>VLOOKUP($K379,LUTs!$E$2:$H$14,2,)</f>
        <v>North Puget Sound</v>
      </c>
      <c r="N379" s="107" t="str">
        <f>VLOOKUP($K379,LUTs!$E$2:$H$14,4,)</f>
        <v>01North Puget Sound</v>
      </c>
      <c r="O379" s="107">
        <v>1698.9880952381</v>
      </c>
      <c r="P379" s="107">
        <v>8395.8269047619106</v>
      </c>
      <c r="Q379" s="107">
        <f t="shared" si="31"/>
        <v>1698.9880952381</v>
      </c>
      <c r="R379" s="107">
        <f t="shared" si="32"/>
        <v>8395.8269047619106</v>
      </c>
      <c r="S379" s="140" t="str">
        <f t="shared" si="33"/>
        <v>Y</v>
      </c>
      <c r="T379" s="154">
        <f t="shared" si="34"/>
        <v>4.9416631748589745</v>
      </c>
      <c r="U379" s="154">
        <f t="shared" si="35"/>
        <v>4.9416631748589745</v>
      </c>
    </row>
    <row r="380" spans="1:21" x14ac:dyDescent="0.35">
      <c r="A380" s="107">
        <v>3344</v>
      </c>
      <c r="B380" s="107">
        <v>2016</v>
      </c>
      <c r="C380" s="107" t="s">
        <v>9</v>
      </c>
      <c r="D380" s="107" t="s">
        <v>132</v>
      </c>
      <c r="E380" s="107" t="s">
        <v>10</v>
      </c>
      <c r="F380" s="115">
        <v>7</v>
      </c>
      <c r="G380" s="107" t="s">
        <v>29</v>
      </c>
      <c r="H380" s="107" t="str">
        <f t="shared" si="30"/>
        <v>Area 7: San Juan Islands</v>
      </c>
      <c r="I380" s="107" t="str">
        <f>IFERROR(VLOOKUP(H380,LUTs!$A$1:$C$73,2,FALSE),"NA")</f>
        <v>NA</v>
      </c>
      <c r="J380" s="107" t="str">
        <f>IFERROR(VLOOKUP(H380,LUTs!$A$1:$C$73,3,FALSE),"NA")</f>
        <v>1North Puget Sound</v>
      </c>
      <c r="K380" s="107" t="s">
        <v>16</v>
      </c>
      <c r="L380" s="107" t="str">
        <f>VLOOKUP(K380,LUTs!E$2:G$14,3,)</f>
        <v>03Snohomish</v>
      </c>
      <c r="M380" s="107" t="str">
        <f>VLOOKUP($K380,LUTs!$E$2:$H$14,2,)</f>
        <v>North Puget Sound</v>
      </c>
      <c r="N380" s="107" t="str">
        <f>VLOOKUP($K380,LUTs!$E$2:$H$14,4,)</f>
        <v>01North Puget Sound</v>
      </c>
      <c r="O380" s="107">
        <v>746.89814814814804</v>
      </c>
      <c r="P380" s="107">
        <v>3690.9190740740801</v>
      </c>
      <c r="Q380" s="107">
        <f t="shared" si="31"/>
        <v>746.89814814814804</v>
      </c>
      <c r="R380" s="107">
        <f t="shared" si="32"/>
        <v>3690.9190740740801</v>
      </c>
      <c r="S380" s="140" t="str">
        <f t="shared" si="33"/>
        <v>Y</v>
      </c>
      <c r="T380" s="154">
        <f t="shared" si="34"/>
        <v>4.9416631748589932</v>
      </c>
      <c r="U380" s="154">
        <f t="shared" si="35"/>
        <v>4.9416631748589932</v>
      </c>
    </row>
    <row r="381" spans="1:21" x14ac:dyDescent="0.35">
      <c r="A381" s="107">
        <v>3404</v>
      </c>
      <c r="B381" s="107">
        <v>2016</v>
      </c>
      <c r="C381" s="107" t="s">
        <v>9</v>
      </c>
      <c r="D381" s="107" t="s">
        <v>132</v>
      </c>
      <c r="E381" s="107" t="s">
        <v>10</v>
      </c>
      <c r="F381" s="115">
        <v>7</v>
      </c>
      <c r="G381" s="107" t="s">
        <v>29</v>
      </c>
      <c r="H381" s="107" t="str">
        <f t="shared" si="30"/>
        <v>Area 7: San Juan Islands</v>
      </c>
      <c r="I381" s="107" t="str">
        <f>IFERROR(VLOOKUP(H381,LUTs!$A$1:$C$73,2,FALSE),"NA")</f>
        <v>NA</v>
      </c>
      <c r="J381" s="107" t="str">
        <f>IFERROR(VLOOKUP(H381,LUTs!$A$1:$C$73,3,FALSE),"NA")</f>
        <v>1North Puget Sound</v>
      </c>
      <c r="K381" s="107" t="s">
        <v>21</v>
      </c>
      <c r="L381" s="107" t="str">
        <f>VLOOKUP(K381,LUTs!E$2:G$14,3,)</f>
        <v>08Thurston</v>
      </c>
      <c r="M381" s="107" t="str">
        <f>VLOOKUP($K381,LUTs!$E$2:$H$14,2,)</f>
        <v>South Puget Sound</v>
      </c>
      <c r="N381" s="107" t="str">
        <f>VLOOKUP($K381,LUTs!$E$2:$H$14,4,)</f>
        <v>02South Puget Sound</v>
      </c>
      <c r="O381" s="107">
        <v>41.038359788359799</v>
      </c>
      <c r="P381" s="107">
        <v>202.797751322751</v>
      </c>
      <c r="Q381" s="107">
        <f t="shared" si="31"/>
        <v>41.038359788359799</v>
      </c>
      <c r="R381" s="107">
        <f t="shared" si="32"/>
        <v>202.797751322751</v>
      </c>
      <c r="S381" s="140" t="str">
        <f t="shared" si="33"/>
        <v>Y</v>
      </c>
      <c r="T381" s="154">
        <f t="shared" si="34"/>
        <v>4.9416631748589754</v>
      </c>
      <c r="U381" s="154">
        <f t="shared" si="35"/>
        <v>4.9416631748589754</v>
      </c>
    </row>
    <row r="382" spans="1:21" x14ac:dyDescent="0.35">
      <c r="A382" s="107">
        <v>3342</v>
      </c>
      <c r="B382" s="107">
        <v>2016</v>
      </c>
      <c r="C382" s="107" t="s">
        <v>9</v>
      </c>
      <c r="D382" s="107" t="s">
        <v>132</v>
      </c>
      <c r="E382" s="107" t="s">
        <v>10</v>
      </c>
      <c r="F382" s="115">
        <v>7</v>
      </c>
      <c r="G382" s="107" t="s">
        <v>29</v>
      </c>
      <c r="H382" s="107" t="str">
        <f t="shared" si="30"/>
        <v>Area 7: San Juan Islands</v>
      </c>
      <c r="I382" s="107" t="str">
        <f>IFERROR(VLOOKUP(H382,LUTs!$A$1:$C$73,2,FALSE),"NA")</f>
        <v>NA</v>
      </c>
      <c r="J382" s="107" t="str">
        <f>IFERROR(VLOOKUP(H382,LUTs!$A$1:$C$73,3,FALSE),"NA")</f>
        <v>1North Puget Sound</v>
      </c>
      <c r="K382" s="107" t="s">
        <v>13</v>
      </c>
      <c r="L382" s="107" t="str">
        <f>VLOOKUP(K382,LUTs!E$2:G$14,3,)</f>
        <v>01Whatcom</v>
      </c>
      <c r="M382" s="107" t="str">
        <f>VLOOKUP($K382,LUTs!$E$2:$H$14,2,)</f>
        <v>North Puget Sound</v>
      </c>
      <c r="N382" s="107" t="str">
        <f>VLOOKUP($K382,LUTs!$E$2:$H$14,4,)</f>
        <v>01North Puget Sound</v>
      </c>
      <c r="O382" s="107">
        <v>1214.7354497354499</v>
      </c>
      <c r="P382" s="107">
        <v>6002.8134391534404</v>
      </c>
      <c r="Q382" s="107">
        <f t="shared" si="31"/>
        <v>1214.7354497354499</v>
      </c>
      <c r="R382" s="107">
        <f t="shared" si="32"/>
        <v>6002.8134391534404</v>
      </c>
      <c r="S382" s="140" t="str">
        <f t="shared" si="33"/>
        <v>Y</v>
      </c>
      <c r="T382" s="154">
        <f t="shared" si="34"/>
        <v>4.9416631748589852</v>
      </c>
      <c r="U382" s="154">
        <f t="shared" si="35"/>
        <v>4.9416631748589852</v>
      </c>
    </row>
    <row r="383" spans="1:21" x14ac:dyDescent="0.35">
      <c r="A383" s="107">
        <v>3433</v>
      </c>
      <c r="B383" s="107">
        <v>2017</v>
      </c>
      <c r="C383" s="107" t="s">
        <v>9</v>
      </c>
      <c r="D383" s="107" t="s">
        <v>132</v>
      </c>
      <c r="E383" s="107" t="s">
        <v>10</v>
      </c>
      <c r="F383" s="115">
        <v>7</v>
      </c>
      <c r="G383" s="107" t="s">
        <v>29</v>
      </c>
      <c r="H383" s="107" t="str">
        <f t="shared" si="30"/>
        <v>Area 7: San Juan Islands</v>
      </c>
      <c r="I383" s="107" t="str">
        <f>IFERROR(VLOOKUP(H383,LUTs!$A$1:$C$73,2,FALSE),"NA")</f>
        <v>NA</v>
      </c>
      <c r="J383" s="107" t="str">
        <f>IFERROR(VLOOKUP(H383,LUTs!$A$1:$C$73,3,FALSE),"NA")</f>
        <v>1North Puget Sound</v>
      </c>
      <c r="K383" s="107" t="s">
        <v>24</v>
      </c>
      <c r="L383" s="107" t="str">
        <f>VLOOKUP(K383,LUTs!E$2:G$14,3,)</f>
        <v>11Clallam</v>
      </c>
      <c r="M383" s="107" t="str">
        <f>VLOOKUP($K383,LUTs!$E$2:$H$14,2,)</f>
        <v>Strait of Juan de Fuca</v>
      </c>
      <c r="N383" s="107" t="str">
        <f>VLOOKUP($K383,LUTs!$E$2:$H$14,4,)</f>
        <v>03Strait of Juan de Fuca</v>
      </c>
      <c r="O383" s="107">
        <v>86.936736958934503</v>
      </c>
      <c r="P383" s="107">
        <v>241.032811709284</v>
      </c>
      <c r="Q383" s="107">
        <f t="shared" si="31"/>
        <v>86.936736958934503</v>
      </c>
      <c r="R383" s="107">
        <f t="shared" si="32"/>
        <v>241.032811709284</v>
      </c>
      <c r="S383" s="140" t="str">
        <f t="shared" si="33"/>
        <v>Y</v>
      </c>
      <c r="T383" s="154">
        <f t="shared" si="34"/>
        <v>2.7725081494965522</v>
      </c>
      <c r="U383" s="154">
        <f t="shared" si="35"/>
        <v>2.7725081494965522</v>
      </c>
    </row>
    <row r="384" spans="1:21" x14ac:dyDescent="0.35">
      <c r="A384" s="107">
        <v>3411</v>
      </c>
      <c r="B384" s="107">
        <v>2017</v>
      </c>
      <c r="C384" s="107" t="s">
        <v>9</v>
      </c>
      <c r="D384" s="107" t="s">
        <v>132</v>
      </c>
      <c r="E384" s="107" t="s">
        <v>10</v>
      </c>
      <c r="F384" s="115">
        <v>7</v>
      </c>
      <c r="G384" s="107" t="s">
        <v>29</v>
      </c>
      <c r="H384" s="107" t="str">
        <f t="shared" si="30"/>
        <v>Area 7: San Juan Islands</v>
      </c>
      <c r="I384" s="107" t="str">
        <f>IFERROR(VLOOKUP(H384,LUTs!$A$1:$C$73,2,FALSE),"NA")</f>
        <v>NA</v>
      </c>
      <c r="J384" s="107" t="str">
        <f>IFERROR(VLOOKUP(H384,LUTs!$A$1:$C$73,3,FALSE),"NA")</f>
        <v>1North Puget Sound</v>
      </c>
      <c r="K384" s="107" t="s">
        <v>17</v>
      </c>
      <c r="L384" s="107" t="str">
        <f>VLOOKUP(K384,LUTs!E$2:G$14,3,)</f>
        <v>04Island</v>
      </c>
      <c r="M384" s="107" t="str">
        <f>VLOOKUP($K384,LUTs!$E$2:$H$14,2,)</f>
        <v>North Puget Sound</v>
      </c>
      <c r="N384" s="107" t="str">
        <f>VLOOKUP($K384,LUTs!$E$2:$H$14,4,)</f>
        <v>01North Puget Sound</v>
      </c>
      <c r="O384" s="107">
        <v>724.47280799112104</v>
      </c>
      <c r="P384" s="107">
        <v>2008.60676424403</v>
      </c>
      <c r="Q384" s="107">
        <f t="shared" si="31"/>
        <v>724.47280799112104</v>
      </c>
      <c r="R384" s="107">
        <f t="shared" si="32"/>
        <v>2008.60676424403</v>
      </c>
      <c r="S384" s="140" t="str">
        <f t="shared" si="33"/>
        <v>Y</v>
      </c>
      <c r="T384" s="154">
        <f t="shared" si="34"/>
        <v>2.7725081494965469</v>
      </c>
      <c r="U384" s="154">
        <f t="shared" si="35"/>
        <v>2.7725081494965469</v>
      </c>
    </row>
    <row r="385" spans="1:21" x14ac:dyDescent="0.35">
      <c r="A385" s="107">
        <v>3434</v>
      </c>
      <c r="B385" s="107">
        <v>2017</v>
      </c>
      <c r="C385" s="107" t="s">
        <v>9</v>
      </c>
      <c r="D385" s="107" t="s">
        <v>132</v>
      </c>
      <c r="E385" s="107" t="s">
        <v>10</v>
      </c>
      <c r="F385" s="115">
        <v>7</v>
      </c>
      <c r="G385" s="107" t="s">
        <v>29</v>
      </c>
      <c r="H385" s="107" t="str">
        <f t="shared" si="30"/>
        <v>Area 7: San Juan Islands</v>
      </c>
      <c r="I385" s="107" t="str">
        <f>IFERROR(VLOOKUP(H385,LUTs!$A$1:$C$73,2,FALSE),"NA")</f>
        <v>NA</v>
      </c>
      <c r="J385" s="107" t="str">
        <f>IFERROR(VLOOKUP(H385,LUTs!$A$1:$C$73,3,FALSE),"NA")</f>
        <v>1North Puget Sound</v>
      </c>
      <c r="K385" s="107" t="s">
        <v>25</v>
      </c>
      <c r="L385" s="107" t="str">
        <f>VLOOKUP(K385,LUTs!E$2:G$14,3,)</f>
        <v>12Jefferson</v>
      </c>
      <c r="M385" s="107" t="str">
        <f>VLOOKUP($K385,LUTs!$E$2:$H$14,2,)</f>
        <v>Strait of Juan de Fuca</v>
      </c>
      <c r="N385" s="107" t="str">
        <f>VLOOKUP($K385,LUTs!$E$2:$H$14,4,)</f>
        <v>03Strait of Juan de Fuca</v>
      </c>
      <c r="O385" s="107">
        <v>28.978912319644799</v>
      </c>
      <c r="P385" s="107">
        <v>80.344270569761207</v>
      </c>
      <c r="Q385" s="107">
        <f t="shared" si="31"/>
        <v>28.978912319644799</v>
      </c>
      <c r="R385" s="107">
        <f t="shared" si="32"/>
        <v>80.344270569761207</v>
      </c>
      <c r="S385" s="140" t="str">
        <f t="shared" si="33"/>
        <v>Y</v>
      </c>
      <c r="T385" s="154">
        <f t="shared" si="34"/>
        <v>2.7725081494965509</v>
      </c>
      <c r="U385" s="154">
        <f t="shared" si="35"/>
        <v>2.7725081494965509</v>
      </c>
    </row>
    <row r="386" spans="1:21" x14ac:dyDescent="0.35">
      <c r="A386" s="107">
        <v>3413</v>
      </c>
      <c r="B386" s="107">
        <v>2017</v>
      </c>
      <c r="C386" s="107" t="s">
        <v>9</v>
      </c>
      <c r="D386" s="107" t="s">
        <v>132</v>
      </c>
      <c r="E386" s="107" t="s">
        <v>10</v>
      </c>
      <c r="F386" s="115">
        <v>7</v>
      </c>
      <c r="G386" s="107" t="s">
        <v>29</v>
      </c>
      <c r="H386" s="107" t="str">
        <f t="shared" ref="H386:H449" si="36">G386</f>
        <v>Area 7: San Juan Islands</v>
      </c>
      <c r="I386" s="107" t="str">
        <f>IFERROR(VLOOKUP(H386,LUTs!$A$1:$C$73,2,FALSE),"NA")</f>
        <v>NA</v>
      </c>
      <c r="J386" s="107" t="str">
        <f>IFERROR(VLOOKUP(H386,LUTs!$A$1:$C$73,3,FALSE),"NA")</f>
        <v>1North Puget Sound</v>
      </c>
      <c r="K386" s="107" t="s">
        <v>18</v>
      </c>
      <c r="L386" s="107" t="str">
        <f>VLOOKUP(K386,LUTs!E$2:G$14,3,)</f>
        <v>06King</v>
      </c>
      <c r="M386" s="107" t="str">
        <f>VLOOKUP($K386,LUTs!$E$2:$H$14,2,)</f>
        <v>South Puget Sound</v>
      </c>
      <c r="N386" s="107" t="str">
        <f>VLOOKUP($K386,LUTs!$E$2:$H$14,4,)</f>
        <v>02South Puget Sound</v>
      </c>
      <c r="O386" s="107">
        <v>1354.7641509434</v>
      </c>
      <c r="P386" s="107">
        <v>3756.0946491363402</v>
      </c>
      <c r="Q386" s="107">
        <f t="shared" ref="Q386:Q449" si="37">O386</f>
        <v>1354.7641509434</v>
      </c>
      <c r="R386" s="107">
        <f t="shared" ref="R386:R449" si="38">P386</f>
        <v>3756.0946491363402</v>
      </c>
      <c r="S386" s="140" t="str">
        <f t="shared" si="33"/>
        <v>Y</v>
      </c>
      <c r="T386" s="154">
        <f t="shared" si="34"/>
        <v>2.7725081494965425</v>
      </c>
      <c r="U386" s="154">
        <f t="shared" si="35"/>
        <v>2.7725081494965425</v>
      </c>
    </row>
    <row r="387" spans="1:21" x14ac:dyDescent="0.35">
      <c r="A387" s="107">
        <v>3421</v>
      </c>
      <c r="B387" s="107">
        <v>2017</v>
      </c>
      <c r="C387" s="107" t="s">
        <v>9</v>
      </c>
      <c r="D387" s="107" t="s">
        <v>132</v>
      </c>
      <c r="E387" s="107" t="s">
        <v>10</v>
      </c>
      <c r="F387" s="115">
        <v>7</v>
      </c>
      <c r="G387" s="107" t="s">
        <v>29</v>
      </c>
      <c r="H387" s="107" t="str">
        <f t="shared" si="36"/>
        <v>Area 7: San Juan Islands</v>
      </c>
      <c r="I387" s="107" t="str">
        <f>IFERROR(VLOOKUP(H387,LUTs!$A$1:$C$73,2,FALSE),"NA")</f>
        <v>NA</v>
      </c>
      <c r="J387" s="107" t="str">
        <f>IFERROR(VLOOKUP(H387,LUTs!$A$1:$C$73,3,FALSE),"NA")</f>
        <v>1North Puget Sound</v>
      </c>
      <c r="K387" s="107" t="s">
        <v>23</v>
      </c>
      <c r="L387" s="107" t="str">
        <f>VLOOKUP(K387,LUTs!E$2:G$14,3,)</f>
        <v>10Kitsap</v>
      </c>
      <c r="M387" s="107" t="str">
        <f>VLOOKUP($K387,LUTs!$E$2:$H$14,2,)</f>
        <v>South Puget Sound</v>
      </c>
      <c r="N387" s="107" t="str">
        <f>VLOOKUP($K387,LUTs!$E$2:$H$14,4,)</f>
        <v>02South Puget Sound</v>
      </c>
      <c r="O387" s="107">
        <v>43.468368479467301</v>
      </c>
      <c r="P387" s="107">
        <v>120.516405854642</v>
      </c>
      <c r="Q387" s="107">
        <f t="shared" si="37"/>
        <v>43.468368479467301</v>
      </c>
      <c r="R387" s="107">
        <f t="shared" si="38"/>
        <v>120.516405854642</v>
      </c>
      <c r="S387" s="140" t="str">
        <f t="shared" ref="S387:S450" si="39">IF(B387&lt;=2019,"Y","N")</f>
        <v>Y</v>
      </c>
      <c r="T387" s="154">
        <f t="shared" ref="T387:T450" si="40">IFERROR(P387/O387,"NA")</f>
        <v>2.7725081494965491</v>
      </c>
      <c r="U387" s="154">
        <f t="shared" ref="U387:U450" si="41">IFERROR(R387/Q387,"NA")</f>
        <v>2.7725081494965491</v>
      </c>
    </row>
    <row r="388" spans="1:21" x14ac:dyDescent="0.35">
      <c r="A388" s="107">
        <v>3420</v>
      </c>
      <c r="B388" s="107">
        <v>2017</v>
      </c>
      <c r="C388" s="107" t="s">
        <v>9</v>
      </c>
      <c r="D388" s="107" t="s">
        <v>132</v>
      </c>
      <c r="E388" s="107" t="s">
        <v>10</v>
      </c>
      <c r="F388" s="115">
        <v>7</v>
      </c>
      <c r="G388" s="107" t="s">
        <v>29</v>
      </c>
      <c r="H388" s="107" t="str">
        <f t="shared" si="36"/>
        <v>Area 7: San Juan Islands</v>
      </c>
      <c r="I388" s="107" t="str">
        <f>IFERROR(VLOOKUP(H388,LUTs!$A$1:$C$73,2,FALSE),"NA")</f>
        <v>NA</v>
      </c>
      <c r="J388" s="107" t="str">
        <f>IFERROR(VLOOKUP(H388,LUTs!$A$1:$C$73,3,FALSE),"NA")</f>
        <v>1North Puget Sound</v>
      </c>
      <c r="K388" s="107" t="s">
        <v>22</v>
      </c>
      <c r="L388" s="107" t="str">
        <f>VLOOKUP(K388,LUTs!E$2:G$14,3,)</f>
        <v>09Mason</v>
      </c>
      <c r="M388" s="107" t="str">
        <f>VLOOKUP($K388,LUTs!$E$2:$H$14,2,)</f>
        <v>South Puget Sound</v>
      </c>
      <c r="N388" s="107" t="str">
        <f>VLOOKUP($K388,LUTs!$E$2:$H$14,4,)</f>
        <v>02South Puget Sound</v>
      </c>
      <c r="O388" s="107">
        <v>7.2447280799112104</v>
      </c>
      <c r="P388" s="107">
        <v>20.086067642440302</v>
      </c>
      <c r="Q388" s="107">
        <f t="shared" si="37"/>
        <v>7.2447280799112104</v>
      </c>
      <c r="R388" s="107">
        <f t="shared" si="38"/>
        <v>20.086067642440302</v>
      </c>
      <c r="S388" s="140" t="str">
        <f t="shared" si="39"/>
        <v>Y</v>
      </c>
      <c r="T388" s="154">
        <f t="shared" si="40"/>
        <v>2.7725081494965469</v>
      </c>
      <c r="U388" s="154">
        <f t="shared" si="41"/>
        <v>2.7725081494965469</v>
      </c>
    </row>
    <row r="389" spans="1:21" x14ac:dyDescent="0.35">
      <c r="A389" s="107">
        <v>3435</v>
      </c>
      <c r="B389" s="107">
        <v>2017</v>
      </c>
      <c r="C389" s="107" t="s">
        <v>9</v>
      </c>
      <c r="D389" s="107" t="s">
        <v>132</v>
      </c>
      <c r="E389" s="107" t="s">
        <v>10</v>
      </c>
      <c r="F389" s="115">
        <v>7</v>
      </c>
      <c r="G389" s="107" t="s">
        <v>29</v>
      </c>
      <c r="H389" s="107" t="str">
        <f t="shared" si="36"/>
        <v>Area 7: San Juan Islands</v>
      </c>
      <c r="I389" s="107" t="str">
        <f>IFERROR(VLOOKUP(H389,LUTs!$A$1:$C$73,2,FALSE),"NA")</f>
        <v>NA</v>
      </c>
      <c r="J389" s="107" t="str">
        <f>IFERROR(VLOOKUP(H389,LUTs!$A$1:$C$73,3,FALSE),"NA")</f>
        <v>1North Puget Sound</v>
      </c>
      <c r="K389" s="107" t="s">
        <v>26</v>
      </c>
      <c r="L389" s="107" t="str">
        <f>VLOOKUP(K389,LUTs!E$2:G$14,3,)</f>
        <v>20Other</v>
      </c>
      <c r="M389" s="107" t="str">
        <f>VLOOKUP($K389,LUTs!$E$2:$H$14,2,)</f>
        <v>Non Puget Sound</v>
      </c>
      <c r="N389" s="107" t="str">
        <f>VLOOKUP($K389,LUTs!$E$2:$H$14,4,)</f>
        <v>07Non Puget Sound</v>
      </c>
      <c r="O389" s="107">
        <v>1195.3801331853499</v>
      </c>
      <c r="P389" s="107">
        <v>3314.2011610026502</v>
      </c>
      <c r="Q389" s="107">
        <f t="shared" si="37"/>
        <v>1195.3801331853499</v>
      </c>
      <c r="R389" s="107">
        <f t="shared" si="38"/>
        <v>3314.2011610026502</v>
      </c>
      <c r="S389" s="140" t="str">
        <f t="shared" si="39"/>
        <v>Y</v>
      </c>
      <c r="T389" s="154">
        <f t="shared" si="40"/>
        <v>2.7725081494965469</v>
      </c>
      <c r="U389" s="154">
        <f t="shared" si="41"/>
        <v>2.7725081494965469</v>
      </c>
    </row>
    <row r="390" spans="1:21" x14ac:dyDescent="0.35">
      <c r="A390" s="107">
        <v>3414</v>
      </c>
      <c r="B390" s="107">
        <v>2017</v>
      </c>
      <c r="C390" s="107" t="s">
        <v>9</v>
      </c>
      <c r="D390" s="107" t="s">
        <v>132</v>
      </c>
      <c r="E390" s="107" t="s">
        <v>10</v>
      </c>
      <c r="F390" s="115">
        <v>7</v>
      </c>
      <c r="G390" s="107" t="s">
        <v>29</v>
      </c>
      <c r="H390" s="107" t="str">
        <f t="shared" si="36"/>
        <v>Area 7: San Juan Islands</v>
      </c>
      <c r="I390" s="107" t="str">
        <f>IFERROR(VLOOKUP(H390,LUTs!$A$1:$C$73,2,FALSE),"NA")</f>
        <v>NA</v>
      </c>
      <c r="J390" s="107" t="str">
        <f>IFERROR(VLOOKUP(H390,LUTs!$A$1:$C$73,3,FALSE),"NA")</f>
        <v>1North Puget Sound</v>
      </c>
      <c r="K390" s="107" t="s">
        <v>20</v>
      </c>
      <c r="L390" s="107" t="str">
        <f>VLOOKUP(K390,LUTs!E$2:G$14,3,)</f>
        <v>07Pierce</v>
      </c>
      <c r="M390" s="107" t="str">
        <f>VLOOKUP($K390,LUTs!$E$2:$H$14,2,)</f>
        <v>South Puget Sound</v>
      </c>
      <c r="N390" s="107" t="str">
        <f>VLOOKUP($K390,LUTs!$E$2:$H$14,4,)</f>
        <v>02South Puget Sound</v>
      </c>
      <c r="O390" s="107">
        <v>181.11820199778001</v>
      </c>
      <c r="P390" s="107">
        <v>502.15169106100802</v>
      </c>
      <c r="Q390" s="107">
        <f t="shared" si="37"/>
        <v>181.11820199778001</v>
      </c>
      <c r="R390" s="107">
        <f t="shared" si="38"/>
        <v>502.15169106100802</v>
      </c>
      <c r="S390" s="140" t="str">
        <f t="shared" si="39"/>
        <v>Y</v>
      </c>
      <c r="T390" s="154">
        <f t="shared" si="40"/>
        <v>2.7725081494965536</v>
      </c>
      <c r="U390" s="154">
        <f t="shared" si="41"/>
        <v>2.7725081494965536</v>
      </c>
    </row>
    <row r="391" spans="1:21" x14ac:dyDescent="0.35">
      <c r="A391" s="107">
        <v>3412</v>
      </c>
      <c r="B391" s="107">
        <v>2017</v>
      </c>
      <c r="C391" s="107" t="s">
        <v>9</v>
      </c>
      <c r="D391" s="107" t="s">
        <v>132</v>
      </c>
      <c r="E391" s="107" t="s">
        <v>10</v>
      </c>
      <c r="F391" s="115">
        <v>7</v>
      </c>
      <c r="G391" s="107" t="s">
        <v>29</v>
      </c>
      <c r="H391" s="107" t="str">
        <f t="shared" si="36"/>
        <v>Area 7: San Juan Islands</v>
      </c>
      <c r="I391" s="107" t="str">
        <f>IFERROR(VLOOKUP(H391,LUTs!$A$1:$C$73,2,FALSE),"NA")</f>
        <v>NA</v>
      </c>
      <c r="J391" s="107" t="str">
        <f>IFERROR(VLOOKUP(H391,LUTs!$A$1:$C$73,3,FALSE),"NA")</f>
        <v>1North Puget Sound</v>
      </c>
      <c r="K391" s="107" t="s">
        <v>30</v>
      </c>
      <c r="L391" s="107" t="str">
        <f>VLOOKUP(K391,LUTs!E$2:G$14,3,)</f>
        <v>05San Juan</v>
      </c>
      <c r="M391" s="107" t="str">
        <f>VLOOKUP($K391,LUTs!$E$2:$H$14,2,)</f>
        <v>North Puget Sound</v>
      </c>
      <c r="N391" s="107" t="str">
        <f>VLOOKUP($K391,LUTs!$E$2:$H$14,4,)</f>
        <v>01North Puget Sound</v>
      </c>
      <c r="O391" s="107">
        <v>1818.42674805771</v>
      </c>
      <c r="P391" s="107">
        <v>5041.6029782525202</v>
      </c>
      <c r="Q391" s="107">
        <f t="shared" si="37"/>
        <v>1818.42674805771</v>
      </c>
      <c r="R391" s="107">
        <f t="shared" si="38"/>
        <v>5041.6029782525202</v>
      </c>
      <c r="S391" s="140" t="str">
        <f t="shared" si="39"/>
        <v>Y</v>
      </c>
      <c r="T391" s="154">
        <f t="shared" si="40"/>
        <v>2.7725081494965553</v>
      </c>
      <c r="U391" s="154">
        <f t="shared" si="41"/>
        <v>2.7725081494965553</v>
      </c>
    </row>
    <row r="392" spans="1:21" x14ac:dyDescent="0.35">
      <c r="A392" s="107">
        <v>3409</v>
      </c>
      <c r="B392" s="107">
        <v>2017</v>
      </c>
      <c r="C392" s="107" t="s">
        <v>9</v>
      </c>
      <c r="D392" s="107" t="s">
        <v>132</v>
      </c>
      <c r="E392" s="107" t="s">
        <v>10</v>
      </c>
      <c r="F392" s="115">
        <v>7</v>
      </c>
      <c r="G392" s="107" t="s">
        <v>29</v>
      </c>
      <c r="H392" s="107" t="str">
        <f t="shared" si="36"/>
        <v>Area 7: San Juan Islands</v>
      </c>
      <c r="I392" s="107" t="str">
        <f>IFERROR(VLOOKUP(H392,LUTs!$A$1:$C$73,2,FALSE),"NA")</f>
        <v>NA</v>
      </c>
      <c r="J392" s="107" t="str">
        <f>IFERROR(VLOOKUP(H392,LUTs!$A$1:$C$73,3,FALSE),"NA")</f>
        <v>1North Puget Sound</v>
      </c>
      <c r="K392" s="107" t="s">
        <v>15</v>
      </c>
      <c r="L392" s="107" t="str">
        <f>VLOOKUP(K392,LUTs!E$2:G$14,3,)</f>
        <v>02Skagit</v>
      </c>
      <c r="M392" s="107" t="str">
        <f>VLOOKUP($K392,LUTs!$E$2:$H$14,2,)</f>
        <v>North Puget Sound</v>
      </c>
      <c r="N392" s="107" t="str">
        <f>VLOOKUP($K392,LUTs!$E$2:$H$14,4,)</f>
        <v>01North Puget Sound</v>
      </c>
      <c r="O392" s="107">
        <v>3136.9672586015499</v>
      </c>
      <c r="P392" s="107">
        <v>8697.2672891766506</v>
      </c>
      <c r="Q392" s="107">
        <f t="shared" si="37"/>
        <v>3136.9672586015499</v>
      </c>
      <c r="R392" s="107">
        <f t="shared" si="38"/>
        <v>8697.2672891766506</v>
      </c>
      <c r="S392" s="140" t="str">
        <f t="shared" si="39"/>
        <v>Y</v>
      </c>
      <c r="T392" s="154">
        <f t="shared" si="40"/>
        <v>2.7725081494965504</v>
      </c>
      <c r="U392" s="154">
        <f t="shared" si="41"/>
        <v>2.7725081494965504</v>
      </c>
    </row>
    <row r="393" spans="1:21" x14ac:dyDescent="0.35">
      <c r="A393" s="107">
        <v>3410</v>
      </c>
      <c r="B393" s="107">
        <v>2017</v>
      </c>
      <c r="C393" s="107" t="s">
        <v>9</v>
      </c>
      <c r="D393" s="107" t="s">
        <v>132</v>
      </c>
      <c r="E393" s="107" t="s">
        <v>10</v>
      </c>
      <c r="F393" s="115">
        <v>7</v>
      </c>
      <c r="G393" s="107" t="s">
        <v>29</v>
      </c>
      <c r="H393" s="107" t="str">
        <f t="shared" si="36"/>
        <v>Area 7: San Juan Islands</v>
      </c>
      <c r="I393" s="107" t="str">
        <f>IFERROR(VLOOKUP(H393,LUTs!$A$1:$C$73,2,FALSE),"NA")</f>
        <v>NA</v>
      </c>
      <c r="J393" s="107" t="str">
        <f>IFERROR(VLOOKUP(H393,LUTs!$A$1:$C$73,3,FALSE),"NA")</f>
        <v>1North Puget Sound</v>
      </c>
      <c r="K393" s="107" t="s">
        <v>16</v>
      </c>
      <c r="L393" s="107" t="str">
        <f>VLOOKUP(K393,LUTs!E$2:G$14,3,)</f>
        <v>03Snohomish</v>
      </c>
      <c r="M393" s="107" t="str">
        <f>VLOOKUP($K393,LUTs!$E$2:$H$14,2,)</f>
        <v>North Puget Sound</v>
      </c>
      <c r="N393" s="107" t="str">
        <f>VLOOKUP($K393,LUTs!$E$2:$H$14,4,)</f>
        <v>01North Puget Sound</v>
      </c>
      <c r="O393" s="107">
        <v>1956.0765815760301</v>
      </c>
      <c r="P393" s="107">
        <v>5423.2382634588803</v>
      </c>
      <c r="Q393" s="107">
        <f t="shared" si="37"/>
        <v>1956.0765815760301</v>
      </c>
      <c r="R393" s="107">
        <f t="shared" si="38"/>
        <v>5423.2382634588803</v>
      </c>
      <c r="S393" s="140" t="str">
        <f t="shared" si="39"/>
        <v>Y</v>
      </c>
      <c r="T393" s="154">
        <f t="shared" si="40"/>
        <v>2.7725081494965416</v>
      </c>
      <c r="U393" s="154">
        <f t="shared" si="41"/>
        <v>2.7725081494965416</v>
      </c>
    </row>
    <row r="394" spans="1:21" x14ac:dyDescent="0.35">
      <c r="A394" s="107">
        <v>3419</v>
      </c>
      <c r="B394" s="107">
        <v>2017</v>
      </c>
      <c r="C394" s="107" t="s">
        <v>9</v>
      </c>
      <c r="D394" s="107" t="s">
        <v>132</v>
      </c>
      <c r="E394" s="107" t="s">
        <v>10</v>
      </c>
      <c r="F394" s="115">
        <v>7</v>
      </c>
      <c r="G394" s="107" t="s">
        <v>29</v>
      </c>
      <c r="H394" s="107" t="str">
        <f t="shared" si="36"/>
        <v>Area 7: San Juan Islands</v>
      </c>
      <c r="I394" s="107" t="str">
        <f>IFERROR(VLOOKUP(H394,LUTs!$A$1:$C$73,2,FALSE),"NA")</f>
        <v>NA</v>
      </c>
      <c r="J394" s="107" t="str">
        <f>IFERROR(VLOOKUP(H394,LUTs!$A$1:$C$73,3,FALSE),"NA")</f>
        <v>1North Puget Sound</v>
      </c>
      <c r="K394" s="107" t="s">
        <v>21</v>
      </c>
      <c r="L394" s="107" t="str">
        <f>VLOOKUP(K394,LUTs!E$2:G$14,3,)</f>
        <v>08Thurston</v>
      </c>
      <c r="M394" s="107" t="str">
        <f>VLOOKUP($K394,LUTs!$E$2:$H$14,2,)</f>
        <v>South Puget Sound</v>
      </c>
      <c r="N394" s="107" t="str">
        <f>VLOOKUP($K394,LUTs!$E$2:$H$14,4,)</f>
        <v>02South Puget Sound</v>
      </c>
      <c r="O394" s="107">
        <v>268.05493895671498</v>
      </c>
      <c r="P394" s="107">
        <v>743.18450277029103</v>
      </c>
      <c r="Q394" s="107">
        <f t="shared" si="37"/>
        <v>268.05493895671498</v>
      </c>
      <c r="R394" s="107">
        <f t="shared" si="38"/>
        <v>743.18450277029103</v>
      </c>
      <c r="S394" s="140" t="str">
        <f t="shared" si="39"/>
        <v>Y</v>
      </c>
      <c r="T394" s="154">
        <f t="shared" si="40"/>
        <v>2.7725081494965447</v>
      </c>
      <c r="U394" s="154">
        <f t="shared" si="41"/>
        <v>2.7725081494965447</v>
      </c>
    </row>
    <row r="395" spans="1:21" x14ac:dyDescent="0.35">
      <c r="A395" s="107">
        <v>3408</v>
      </c>
      <c r="B395" s="107">
        <v>2017</v>
      </c>
      <c r="C395" s="107" t="s">
        <v>9</v>
      </c>
      <c r="D395" s="107" t="s">
        <v>132</v>
      </c>
      <c r="E395" s="107" t="s">
        <v>10</v>
      </c>
      <c r="F395" s="115">
        <v>7</v>
      </c>
      <c r="G395" s="107" t="s">
        <v>29</v>
      </c>
      <c r="H395" s="107" t="str">
        <f t="shared" si="36"/>
        <v>Area 7: San Juan Islands</v>
      </c>
      <c r="I395" s="107" t="str">
        <f>IFERROR(VLOOKUP(H395,LUTs!$A$1:$C$73,2,FALSE),"NA")</f>
        <v>NA</v>
      </c>
      <c r="J395" s="107" t="str">
        <f>IFERROR(VLOOKUP(H395,LUTs!$A$1:$C$73,3,FALSE),"NA")</f>
        <v>1North Puget Sound</v>
      </c>
      <c r="K395" s="107" t="s">
        <v>13</v>
      </c>
      <c r="L395" s="107" t="str">
        <f>VLOOKUP(K395,LUTs!E$2:G$14,3,)</f>
        <v>01Whatcom</v>
      </c>
      <c r="M395" s="107" t="str">
        <f>VLOOKUP($K395,LUTs!$E$2:$H$14,2,)</f>
        <v>North Puget Sound</v>
      </c>
      <c r="N395" s="107" t="str">
        <f>VLOOKUP($K395,LUTs!$E$2:$H$14,4,)</f>
        <v>01North Puget Sound</v>
      </c>
      <c r="O395" s="107">
        <v>2253.1104328523902</v>
      </c>
      <c r="P395" s="107">
        <v>6246.7670367989303</v>
      </c>
      <c r="Q395" s="107">
        <f t="shared" si="37"/>
        <v>2253.1104328523902</v>
      </c>
      <c r="R395" s="107">
        <f t="shared" si="38"/>
        <v>6246.7670367989303</v>
      </c>
      <c r="S395" s="140" t="str">
        <f t="shared" si="39"/>
        <v>Y</v>
      </c>
      <c r="T395" s="154">
        <f t="shared" si="40"/>
        <v>2.7725081494965407</v>
      </c>
      <c r="U395" s="154">
        <f t="shared" si="41"/>
        <v>2.7725081494965407</v>
      </c>
    </row>
    <row r="396" spans="1:21" x14ac:dyDescent="0.35">
      <c r="A396" s="107">
        <v>3469</v>
      </c>
      <c r="B396" s="107">
        <v>2018</v>
      </c>
      <c r="C396" s="107" t="s">
        <v>9</v>
      </c>
      <c r="D396" s="107" t="s">
        <v>132</v>
      </c>
      <c r="E396" s="107" t="s">
        <v>10</v>
      </c>
      <c r="F396" s="115">
        <v>7</v>
      </c>
      <c r="G396" s="107" t="s">
        <v>29</v>
      </c>
      <c r="H396" s="107" t="str">
        <f t="shared" si="36"/>
        <v>Area 7: San Juan Islands</v>
      </c>
      <c r="I396" s="107" t="str">
        <f>IFERROR(VLOOKUP(H396,LUTs!$A$1:$C$73,2,FALSE),"NA")</f>
        <v>NA</v>
      </c>
      <c r="J396" s="107" t="str">
        <f>IFERROR(VLOOKUP(H396,LUTs!$A$1:$C$73,3,FALSE),"NA")</f>
        <v>1North Puget Sound</v>
      </c>
      <c r="K396" s="107" t="s">
        <v>24</v>
      </c>
      <c r="L396" s="107" t="str">
        <f>VLOOKUP(K396,LUTs!E$2:G$14,3,)</f>
        <v>11Clallam</v>
      </c>
      <c r="M396" s="107" t="str">
        <f>VLOOKUP($K396,LUTs!$E$2:$H$14,2,)</f>
        <v>Strait of Juan de Fuca</v>
      </c>
      <c r="N396" s="107" t="str">
        <f>VLOOKUP($K396,LUTs!$E$2:$H$14,4,)</f>
        <v>03Strait of Juan de Fuca</v>
      </c>
      <c r="O396" s="107">
        <v>198.536343612335</v>
      </c>
      <c r="P396" s="107">
        <v>462.04394327604803</v>
      </c>
      <c r="Q396" s="107">
        <f t="shared" si="37"/>
        <v>198.536343612335</v>
      </c>
      <c r="R396" s="107">
        <f t="shared" si="38"/>
        <v>462.04394327604803</v>
      </c>
      <c r="S396" s="140" t="str">
        <f t="shared" si="39"/>
        <v>Y</v>
      </c>
      <c r="T396" s="154">
        <f t="shared" si="40"/>
        <v>2.3272511967795775</v>
      </c>
      <c r="U396" s="154">
        <f t="shared" si="41"/>
        <v>2.3272511967795775</v>
      </c>
    </row>
    <row r="397" spans="1:21" x14ac:dyDescent="0.35">
      <c r="A397" s="107">
        <v>3439</v>
      </c>
      <c r="B397" s="107">
        <v>2018</v>
      </c>
      <c r="C397" s="107" t="s">
        <v>9</v>
      </c>
      <c r="D397" s="107" t="s">
        <v>132</v>
      </c>
      <c r="E397" s="107" t="s">
        <v>10</v>
      </c>
      <c r="F397" s="115">
        <v>7</v>
      </c>
      <c r="G397" s="107" t="s">
        <v>29</v>
      </c>
      <c r="H397" s="107" t="str">
        <f t="shared" si="36"/>
        <v>Area 7: San Juan Islands</v>
      </c>
      <c r="I397" s="107" t="str">
        <f>IFERROR(VLOOKUP(H397,LUTs!$A$1:$C$73,2,FALSE),"NA")</f>
        <v>NA</v>
      </c>
      <c r="J397" s="107" t="str">
        <f>IFERROR(VLOOKUP(H397,LUTs!$A$1:$C$73,3,FALSE),"NA")</f>
        <v>1North Puget Sound</v>
      </c>
      <c r="K397" s="107" t="s">
        <v>17</v>
      </c>
      <c r="L397" s="107" t="str">
        <f>VLOOKUP(K397,LUTs!E$2:G$14,3,)</f>
        <v>04Island</v>
      </c>
      <c r="M397" s="107" t="str">
        <f>VLOOKUP($K397,LUTs!$E$2:$H$14,2,)</f>
        <v>North Puget Sound</v>
      </c>
      <c r="N397" s="107" t="str">
        <f>VLOOKUP($K397,LUTs!$E$2:$H$14,4,)</f>
        <v>01North Puget Sound</v>
      </c>
      <c r="O397" s="107">
        <v>801.78138766519805</v>
      </c>
      <c r="P397" s="107">
        <v>1865.9466939994199</v>
      </c>
      <c r="Q397" s="107">
        <f t="shared" si="37"/>
        <v>801.78138766519805</v>
      </c>
      <c r="R397" s="107">
        <f t="shared" si="38"/>
        <v>1865.9466939994199</v>
      </c>
      <c r="S397" s="140" t="str">
        <f t="shared" si="39"/>
        <v>Y</v>
      </c>
      <c r="T397" s="154">
        <f t="shared" si="40"/>
        <v>2.3272511967795744</v>
      </c>
      <c r="U397" s="154">
        <f t="shared" si="41"/>
        <v>2.3272511967795744</v>
      </c>
    </row>
    <row r="398" spans="1:21" x14ac:dyDescent="0.35">
      <c r="A398" s="107">
        <v>3441</v>
      </c>
      <c r="B398" s="107">
        <v>2018</v>
      </c>
      <c r="C398" s="107" t="s">
        <v>9</v>
      </c>
      <c r="D398" s="107" t="s">
        <v>132</v>
      </c>
      <c r="E398" s="107" t="s">
        <v>10</v>
      </c>
      <c r="F398" s="115">
        <v>7</v>
      </c>
      <c r="G398" s="107" t="s">
        <v>29</v>
      </c>
      <c r="H398" s="107" t="str">
        <f t="shared" si="36"/>
        <v>Area 7: San Juan Islands</v>
      </c>
      <c r="I398" s="107" t="str">
        <f>IFERROR(VLOOKUP(H398,LUTs!$A$1:$C$73,2,FALSE),"NA")</f>
        <v>NA</v>
      </c>
      <c r="J398" s="107" t="str">
        <f>IFERROR(VLOOKUP(H398,LUTs!$A$1:$C$73,3,FALSE),"NA")</f>
        <v>1North Puget Sound</v>
      </c>
      <c r="K398" s="107" t="s">
        <v>18</v>
      </c>
      <c r="L398" s="107" t="str">
        <f>VLOOKUP(K398,LUTs!E$2:G$14,3,)</f>
        <v>06King</v>
      </c>
      <c r="M398" s="107" t="str">
        <f>VLOOKUP($K398,LUTs!$E$2:$H$14,2,)</f>
        <v>South Puget Sound</v>
      </c>
      <c r="N398" s="107" t="str">
        <f>VLOOKUP($K398,LUTs!$E$2:$H$14,4,)</f>
        <v>02South Puget Sound</v>
      </c>
      <c r="O398" s="107">
        <v>1420.2984581497799</v>
      </c>
      <c r="P398" s="107">
        <v>3305.3912865132602</v>
      </c>
      <c r="Q398" s="107">
        <f t="shared" si="37"/>
        <v>1420.2984581497799</v>
      </c>
      <c r="R398" s="107">
        <f t="shared" si="38"/>
        <v>3305.3912865132602</v>
      </c>
      <c r="S398" s="140" t="str">
        <f t="shared" si="39"/>
        <v>Y</v>
      </c>
      <c r="T398" s="154">
        <f t="shared" si="40"/>
        <v>2.3272511967795748</v>
      </c>
      <c r="U398" s="154">
        <f t="shared" si="41"/>
        <v>2.3272511967795748</v>
      </c>
    </row>
    <row r="399" spans="1:21" x14ac:dyDescent="0.35">
      <c r="A399" s="107">
        <v>3468</v>
      </c>
      <c r="B399" s="107">
        <v>2018</v>
      </c>
      <c r="C399" s="107" t="s">
        <v>9</v>
      </c>
      <c r="D399" s="107" t="s">
        <v>132</v>
      </c>
      <c r="E399" s="107" t="s">
        <v>10</v>
      </c>
      <c r="F399" s="115">
        <v>7</v>
      </c>
      <c r="G399" s="107" t="s">
        <v>29</v>
      </c>
      <c r="H399" s="107" t="str">
        <f t="shared" si="36"/>
        <v>Area 7: San Juan Islands</v>
      </c>
      <c r="I399" s="107" t="str">
        <f>IFERROR(VLOOKUP(H399,LUTs!$A$1:$C$73,2,FALSE),"NA")</f>
        <v>NA</v>
      </c>
      <c r="J399" s="107" t="str">
        <f>IFERROR(VLOOKUP(H399,LUTs!$A$1:$C$73,3,FALSE),"NA")</f>
        <v>1North Puget Sound</v>
      </c>
      <c r="K399" s="107" t="s">
        <v>23</v>
      </c>
      <c r="L399" s="107" t="str">
        <f>VLOOKUP(K399,LUTs!E$2:G$14,3,)</f>
        <v>10Kitsap</v>
      </c>
      <c r="M399" s="107" t="str">
        <f>VLOOKUP($K399,LUTs!$E$2:$H$14,2,)</f>
        <v>South Puget Sound</v>
      </c>
      <c r="N399" s="107" t="str">
        <f>VLOOKUP($K399,LUTs!$E$2:$H$14,4,)</f>
        <v>02South Puget Sound</v>
      </c>
      <c r="O399" s="107">
        <v>30.5440528634361</v>
      </c>
      <c r="P399" s="107">
        <v>71.083683580930398</v>
      </c>
      <c r="Q399" s="107">
        <f t="shared" si="37"/>
        <v>30.5440528634361</v>
      </c>
      <c r="R399" s="107">
        <f t="shared" si="38"/>
        <v>71.083683580930398</v>
      </c>
      <c r="S399" s="140" t="str">
        <f t="shared" si="39"/>
        <v>Y</v>
      </c>
      <c r="T399" s="154">
        <f t="shared" si="40"/>
        <v>2.3272511967795793</v>
      </c>
      <c r="U399" s="154">
        <f t="shared" si="41"/>
        <v>2.3272511967795793</v>
      </c>
    </row>
    <row r="400" spans="1:21" x14ac:dyDescent="0.35">
      <c r="A400" s="107">
        <v>3470</v>
      </c>
      <c r="B400" s="107">
        <v>2018</v>
      </c>
      <c r="C400" s="107" t="s">
        <v>9</v>
      </c>
      <c r="D400" s="107" t="s">
        <v>132</v>
      </c>
      <c r="E400" s="107" t="s">
        <v>10</v>
      </c>
      <c r="F400" s="115">
        <v>7</v>
      </c>
      <c r="G400" s="107" t="s">
        <v>29</v>
      </c>
      <c r="H400" s="107" t="str">
        <f t="shared" si="36"/>
        <v>Area 7: San Juan Islands</v>
      </c>
      <c r="I400" s="107" t="str">
        <f>IFERROR(VLOOKUP(H400,LUTs!$A$1:$C$73,2,FALSE),"NA")</f>
        <v>NA</v>
      </c>
      <c r="J400" s="107" t="str">
        <f>IFERROR(VLOOKUP(H400,LUTs!$A$1:$C$73,3,FALSE),"NA")</f>
        <v>1North Puget Sound</v>
      </c>
      <c r="K400" s="107" t="s">
        <v>26</v>
      </c>
      <c r="L400" s="107" t="str">
        <f>VLOOKUP(K400,LUTs!E$2:G$14,3,)</f>
        <v>20Other</v>
      </c>
      <c r="M400" s="107" t="str">
        <f>VLOOKUP($K400,LUTs!$E$2:$H$14,2,)</f>
        <v>Non Puget Sound</v>
      </c>
      <c r="N400" s="107" t="str">
        <f>VLOOKUP($K400,LUTs!$E$2:$H$14,4,)</f>
        <v>07Non Puget Sound</v>
      </c>
      <c r="O400" s="107">
        <v>1313.39427312775</v>
      </c>
      <c r="P400" s="107">
        <v>3056.5983939800099</v>
      </c>
      <c r="Q400" s="107">
        <f t="shared" si="37"/>
        <v>1313.39427312775</v>
      </c>
      <c r="R400" s="107">
        <f t="shared" si="38"/>
        <v>3056.5983939800099</v>
      </c>
      <c r="S400" s="140" t="str">
        <f t="shared" si="39"/>
        <v>Y</v>
      </c>
      <c r="T400" s="154">
        <f t="shared" si="40"/>
        <v>2.3272511967795855</v>
      </c>
      <c r="U400" s="154">
        <f t="shared" si="41"/>
        <v>2.3272511967795855</v>
      </c>
    </row>
    <row r="401" spans="1:21" x14ac:dyDescent="0.35">
      <c r="A401" s="107">
        <v>3442</v>
      </c>
      <c r="B401" s="107">
        <v>2018</v>
      </c>
      <c r="C401" s="107" t="s">
        <v>9</v>
      </c>
      <c r="D401" s="107" t="s">
        <v>132</v>
      </c>
      <c r="E401" s="107" t="s">
        <v>10</v>
      </c>
      <c r="F401" s="115">
        <v>7</v>
      </c>
      <c r="G401" s="107" t="s">
        <v>29</v>
      </c>
      <c r="H401" s="107" t="str">
        <f t="shared" si="36"/>
        <v>Area 7: San Juan Islands</v>
      </c>
      <c r="I401" s="107" t="str">
        <f>IFERROR(VLOOKUP(H401,LUTs!$A$1:$C$73,2,FALSE),"NA")</f>
        <v>NA</v>
      </c>
      <c r="J401" s="107" t="str">
        <f>IFERROR(VLOOKUP(H401,LUTs!$A$1:$C$73,3,FALSE),"NA")</f>
        <v>1North Puget Sound</v>
      </c>
      <c r="K401" s="107" t="s">
        <v>20</v>
      </c>
      <c r="L401" s="107" t="str">
        <f>VLOOKUP(K401,LUTs!E$2:G$14,3,)</f>
        <v>07Pierce</v>
      </c>
      <c r="M401" s="107" t="str">
        <f>VLOOKUP($K401,LUTs!$E$2:$H$14,2,)</f>
        <v>South Puget Sound</v>
      </c>
      <c r="N401" s="107" t="str">
        <f>VLOOKUP($K401,LUTs!$E$2:$H$14,4,)</f>
        <v>02South Puget Sound</v>
      </c>
      <c r="O401" s="107">
        <v>145.084251101322</v>
      </c>
      <c r="P401" s="107">
        <v>337.647497009419</v>
      </c>
      <c r="Q401" s="107">
        <f t="shared" si="37"/>
        <v>145.084251101322</v>
      </c>
      <c r="R401" s="107">
        <f t="shared" si="38"/>
        <v>337.647497009419</v>
      </c>
      <c r="S401" s="140" t="str">
        <f t="shared" si="39"/>
        <v>Y</v>
      </c>
      <c r="T401" s="154">
        <f t="shared" si="40"/>
        <v>2.3272511967795682</v>
      </c>
      <c r="U401" s="154">
        <f t="shared" si="41"/>
        <v>2.3272511967795682</v>
      </c>
    </row>
    <row r="402" spans="1:21" x14ac:dyDescent="0.35">
      <c r="A402" s="107">
        <v>3440</v>
      </c>
      <c r="B402" s="107">
        <v>2018</v>
      </c>
      <c r="C402" s="107" t="s">
        <v>9</v>
      </c>
      <c r="D402" s="107" t="s">
        <v>132</v>
      </c>
      <c r="E402" s="107" t="s">
        <v>10</v>
      </c>
      <c r="F402" s="115">
        <v>7</v>
      </c>
      <c r="G402" s="107" t="s">
        <v>29</v>
      </c>
      <c r="H402" s="107" t="str">
        <f t="shared" si="36"/>
        <v>Area 7: San Juan Islands</v>
      </c>
      <c r="I402" s="107" t="str">
        <f>IFERROR(VLOOKUP(H402,LUTs!$A$1:$C$73,2,FALSE),"NA")</f>
        <v>NA</v>
      </c>
      <c r="J402" s="107" t="str">
        <f>IFERROR(VLOOKUP(H402,LUTs!$A$1:$C$73,3,FALSE),"NA")</f>
        <v>1North Puget Sound</v>
      </c>
      <c r="K402" s="107" t="s">
        <v>30</v>
      </c>
      <c r="L402" s="107" t="str">
        <f>VLOOKUP(K402,LUTs!E$2:G$14,3,)</f>
        <v>05San Juan</v>
      </c>
      <c r="M402" s="107" t="str">
        <f>VLOOKUP($K402,LUTs!$E$2:$H$14,2,)</f>
        <v>North Puget Sound</v>
      </c>
      <c r="N402" s="107" t="str">
        <f>VLOOKUP($K402,LUTs!$E$2:$H$14,4,)</f>
        <v>01North Puget Sound</v>
      </c>
      <c r="O402" s="107">
        <v>1756.2830396475799</v>
      </c>
      <c r="P402" s="107">
        <v>4087.3118059035</v>
      </c>
      <c r="Q402" s="107">
        <f t="shared" si="37"/>
        <v>1756.2830396475799</v>
      </c>
      <c r="R402" s="107">
        <f t="shared" si="38"/>
        <v>4087.3118059035</v>
      </c>
      <c r="S402" s="140" t="str">
        <f t="shared" si="39"/>
        <v>Y</v>
      </c>
      <c r="T402" s="154">
        <f t="shared" si="40"/>
        <v>2.3272511967795748</v>
      </c>
      <c r="U402" s="154">
        <f t="shared" si="41"/>
        <v>2.3272511967795748</v>
      </c>
    </row>
    <row r="403" spans="1:21" x14ac:dyDescent="0.35">
      <c r="A403" s="107">
        <v>3437</v>
      </c>
      <c r="B403" s="107">
        <v>2018</v>
      </c>
      <c r="C403" s="107" t="s">
        <v>9</v>
      </c>
      <c r="D403" s="107" t="s">
        <v>132</v>
      </c>
      <c r="E403" s="107" t="s">
        <v>10</v>
      </c>
      <c r="F403" s="115">
        <v>7</v>
      </c>
      <c r="G403" s="107" t="s">
        <v>29</v>
      </c>
      <c r="H403" s="107" t="str">
        <f t="shared" si="36"/>
        <v>Area 7: San Juan Islands</v>
      </c>
      <c r="I403" s="107" t="str">
        <f>IFERROR(VLOOKUP(H403,LUTs!$A$1:$C$73,2,FALSE),"NA")</f>
        <v>NA</v>
      </c>
      <c r="J403" s="107" t="str">
        <f>IFERROR(VLOOKUP(H403,LUTs!$A$1:$C$73,3,FALSE),"NA")</f>
        <v>1North Puget Sound</v>
      </c>
      <c r="K403" s="107" t="s">
        <v>15</v>
      </c>
      <c r="L403" s="107" t="str">
        <f>VLOOKUP(K403,LUTs!E$2:G$14,3,)</f>
        <v>02Skagit</v>
      </c>
      <c r="M403" s="107" t="str">
        <f>VLOOKUP($K403,LUTs!$E$2:$H$14,2,)</f>
        <v>North Puget Sound</v>
      </c>
      <c r="N403" s="107" t="str">
        <f>VLOOKUP($K403,LUTs!$E$2:$H$14,4,)</f>
        <v>01North Puget Sound</v>
      </c>
      <c r="O403" s="107">
        <v>2916.95704845815</v>
      </c>
      <c r="P403" s="107">
        <v>6788.4917819788498</v>
      </c>
      <c r="Q403" s="107">
        <f t="shared" si="37"/>
        <v>2916.95704845815</v>
      </c>
      <c r="R403" s="107">
        <f t="shared" si="38"/>
        <v>6788.4917819788498</v>
      </c>
      <c r="S403" s="140" t="str">
        <f t="shared" si="39"/>
        <v>Y</v>
      </c>
      <c r="T403" s="154">
        <f t="shared" si="40"/>
        <v>2.3272511967795761</v>
      </c>
      <c r="U403" s="154">
        <f t="shared" si="41"/>
        <v>2.3272511967795761</v>
      </c>
    </row>
    <row r="404" spans="1:21" x14ac:dyDescent="0.35">
      <c r="A404" s="107">
        <v>3438</v>
      </c>
      <c r="B404" s="107">
        <v>2018</v>
      </c>
      <c r="C404" s="107" t="s">
        <v>9</v>
      </c>
      <c r="D404" s="107" t="s">
        <v>132</v>
      </c>
      <c r="E404" s="107" t="s">
        <v>10</v>
      </c>
      <c r="F404" s="115">
        <v>7</v>
      </c>
      <c r="G404" s="107" t="s">
        <v>29</v>
      </c>
      <c r="H404" s="107" t="str">
        <f t="shared" si="36"/>
        <v>Area 7: San Juan Islands</v>
      </c>
      <c r="I404" s="107" t="str">
        <f>IFERROR(VLOOKUP(H404,LUTs!$A$1:$C$73,2,FALSE),"NA")</f>
        <v>NA</v>
      </c>
      <c r="J404" s="107" t="str">
        <f>IFERROR(VLOOKUP(H404,LUTs!$A$1:$C$73,3,FALSE),"NA")</f>
        <v>1North Puget Sound</v>
      </c>
      <c r="K404" s="107" t="s">
        <v>16</v>
      </c>
      <c r="L404" s="107" t="str">
        <f>VLOOKUP(K404,LUTs!E$2:G$14,3,)</f>
        <v>03Snohomish</v>
      </c>
      <c r="M404" s="107" t="str">
        <f>VLOOKUP($K404,LUTs!$E$2:$H$14,2,)</f>
        <v>North Puget Sound</v>
      </c>
      <c r="N404" s="107" t="str">
        <f>VLOOKUP($K404,LUTs!$E$2:$H$14,4,)</f>
        <v>01North Puget Sound</v>
      </c>
      <c r="O404" s="107">
        <v>2619.1525330396498</v>
      </c>
      <c r="P404" s="107">
        <v>6095.4258670647796</v>
      </c>
      <c r="Q404" s="107">
        <f t="shared" si="37"/>
        <v>2619.1525330396498</v>
      </c>
      <c r="R404" s="107">
        <f t="shared" si="38"/>
        <v>6095.4258670647796</v>
      </c>
      <c r="S404" s="140" t="str">
        <f t="shared" si="39"/>
        <v>Y</v>
      </c>
      <c r="T404" s="154">
        <f t="shared" si="40"/>
        <v>2.3272511967795748</v>
      </c>
      <c r="U404" s="154">
        <f t="shared" si="41"/>
        <v>2.3272511967795748</v>
      </c>
    </row>
    <row r="405" spans="1:21" x14ac:dyDescent="0.35">
      <c r="A405" s="107">
        <v>3443</v>
      </c>
      <c r="B405" s="107">
        <v>2018</v>
      </c>
      <c r="C405" s="107" t="s">
        <v>9</v>
      </c>
      <c r="D405" s="107" t="s">
        <v>132</v>
      </c>
      <c r="E405" s="107" t="s">
        <v>10</v>
      </c>
      <c r="F405" s="115">
        <v>7</v>
      </c>
      <c r="G405" s="107" t="s">
        <v>29</v>
      </c>
      <c r="H405" s="107" t="str">
        <f t="shared" si="36"/>
        <v>Area 7: San Juan Islands</v>
      </c>
      <c r="I405" s="107" t="str">
        <f>IFERROR(VLOOKUP(H405,LUTs!$A$1:$C$73,2,FALSE),"NA")</f>
        <v>NA</v>
      </c>
      <c r="J405" s="107" t="str">
        <f>IFERROR(VLOOKUP(H405,LUTs!$A$1:$C$73,3,FALSE),"NA")</f>
        <v>1North Puget Sound</v>
      </c>
      <c r="K405" s="107" t="s">
        <v>21</v>
      </c>
      <c r="L405" s="107" t="str">
        <f>VLOOKUP(K405,LUTs!E$2:G$14,3,)</f>
        <v>08Thurston</v>
      </c>
      <c r="M405" s="107" t="str">
        <f>VLOOKUP($K405,LUTs!$E$2:$H$14,2,)</f>
        <v>South Puget Sound</v>
      </c>
      <c r="N405" s="107" t="str">
        <f>VLOOKUP($K405,LUTs!$E$2:$H$14,4,)</f>
        <v>02South Puget Sound</v>
      </c>
      <c r="O405" s="107">
        <v>53.452092511013198</v>
      </c>
      <c r="P405" s="107">
        <v>124.396446266628</v>
      </c>
      <c r="Q405" s="107">
        <f t="shared" si="37"/>
        <v>53.452092511013198</v>
      </c>
      <c r="R405" s="107">
        <f t="shared" si="38"/>
        <v>124.396446266628</v>
      </c>
      <c r="S405" s="140" t="str">
        <f t="shared" si="39"/>
        <v>Y</v>
      </c>
      <c r="T405" s="154">
        <f t="shared" si="40"/>
        <v>2.3272511967795748</v>
      </c>
      <c r="U405" s="154">
        <f t="shared" si="41"/>
        <v>2.3272511967795748</v>
      </c>
    </row>
    <row r="406" spans="1:21" x14ac:dyDescent="0.35">
      <c r="A406" s="107">
        <v>3436</v>
      </c>
      <c r="B406" s="107">
        <v>2018</v>
      </c>
      <c r="C406" s="107" t="s">
        <v>9</v>
      </c>
      <c r="D406" s="107" t="s">
        <v>132</v>
      </c>
      <c r="E406" s="107" t="s">
        <v>10</v>
      </c>
      <c r="F406" s="115">
        <v>7</v>
      </c>
      <c r="G406" s="107" t="s">
        <v>29</v>
      </c>
      <c r="H406" s="107" t="str">
        <f t="shared" si="36"/>
        <v>Area 7: San Juan Islands</v>
      </c>
      <c r="I406" s="107" t="str">
        <f>IFERROR(VLOOKUP(H406,LUTs!$A$1:$C$73,2,FALSE),"NA")</f>
        <v>NA</v>
      </c>
      <c r="J406" s="107" t="str">
        <f>IFERROR(VLOOKUP(H406,LUTs!$A$1:$C$73,3,FALSE),"NA")</f>
        <v>1North Puget Sound</v>
      </c>
      <c r="K406" s="107" t="s">
        <v>13</v>
      </c>
      <c r="L406" s="107" t="str">
        <f>VLOOKUP(K406,LUTs!E$2:G$14,3,)</f>
        <v>01Whatcom</v>
      </c>
      <c r="M406" s="107" t="str">
        <f>VLOOKUP($K406,LUTs!$E$2:$H$14,2,)</f>
        <v>North Puget Sound</v>
      </c>
      <c r="N406" s="107" t="str">
        <f>VLOOKUP($K406,LUTs!$E$2:$H$14,4,)</f>
        <v>01North Puget Sound</v>
      </c>
      <c r="O406" s="107">
        <v>2611.5165198237901</v>
      </c>
      <c r="P406" s="107">
        <v>6077.6549461695504</v>
      </c>
      <c r="Q406" s="107">
        <f t="shared" si="37"/>
        <v>2611.5165198237901</v>
      </c>
      <c r="R406" s="107">
        <f t="shared" si="38"/>
        <v>6077.6549461695504</v>
      </c>
      <c r="S406" s="140" t="str">
        <f t="shared" si="39"/>
        <v>Y</v>
      </c>
      <c r="T406" s="154">
        <f t="shared" si="40"/>
        <v>2.3272511967795766</v>
      </c>
      <c r="U406" s="154">
        <f t="shared" si="41"/>
        <v>2.3272511967795766</v>
      </c>
    </row>
    <row r="407" spans="1:21" x14ac:dyDescent="0.35">
      <c r="A407" s="107">
        <v>3487</v>
      </c>
      <c r="B407" s="107">
        <v>2019</v>
      </c>
      <c r="C407" s="107" t="s">
        <v>9</v>
      </c>
      <c r="D407" s="107" t="s">
        <v>132</v>
      </c>
      <c r="E407" s="107" t="s">
        <v>10</v>
      </c>
      <c r="F407" s="115">
        <v>7</v>
      </c>
      <c r="G407" s="107" t="s">
        <v>29</v>
      </c>
      <c r="H407" s="107" t="str">
        <f t="shared" si="36"/>
        <v>Area 7: San Juan Islands</v>
      </c>
      <c r="I407" s="107" t="str">
        <f>IFERROR(VLOOKUP(H407,LUTs!$A$1:$C$73,2,FALSE),"NA")</f>
        <v>NA</v>
      </c>
      <c r="J407" s="107" t="str">
        <f>IFERROR(VLOOKUP(H407,LUTs!$A$1:$C$73,3,FALSE),"NA")</f>
        <v>1North Puget Sound</v>
      </c>
      <c r="K407" s="107" t="s">
        <v>24</v>
      </c>
      <c r="L407" s="107" t="str">
        <f>VLOOKUP(K407,LUTs!E$2:G$14,3,)</f>
        <v>11Clallam</v>
      </c>
      <c r="M407" s="107" t="str">
        <f>VLOOKUP($K407,LUTs!$E$2:$H$14,2,)</f>
        <v>Strait of Juan de Fuca</v>
      </c>
      <c r="N407" s="107" t="str">
        <f>VLOOKUP($K407,LUTs!$E$2:$H$14,4,)</f>
        <v>03Strait of Juan de Fuca</v>
      </c>
      <c r="O407" s="107">
        <v>138.290135396518</v>
      </c>
      <c r="P407" s="107">
        <v>308.02483486000301</v>
      </c>
      <c r="Q407" s="107">
        <f t="shared" si="37"/>
        <v>138.290135396518</v>
      </c>
      <c r="R407" s="107">
        <f t="shared" si="38"/>
        <v>308.02483486000301</v>
      </c>
      <c r="S407" s="140" t="str">
        <f t="shared" si="39"/>
        <v>Y</v>
      </c>
      <c r="T407" s="154">
        <f t="shared" si="40"/>
        <v>2.2273811069517455</v>
      </c>
      <c r="U407" s="154">
        <f t="shared" si="41"/>
        <v>2.2273811069517455</v>
      </c>
    </row>
    <row r="408" spans="1:21" x14ac:dyDescent="0.35">
      <c r="A408" s="107">
        <v>3474</v>
      </c>
      <c r="B408" s="107">
        <v>2019</v>
      </c>
      <c r="C408" s="107" t="s">
        <v>9</v>
      </c>
      <c r="D408" s="107" t="s">
        <v>132</v>
      </c>
      <c r="E408" s="107" t="s">
        <v>10</v>
      </c>
      <c r="F408" s="115">
        <v>7</v>
      </c>
      <c r="G408" s="107" t="s">
        <v>29</v>
      </c>
      <c r="H408" s="107" t="str">
        <f t="shared" si="36"/>
        <v>Area 7: San Juan Islands</v>
      </c>
      <c r="I408" s="107" t="str">
        <f>IFERROR(VLOOKUP(H408,LUTs!$A$1:$C$73,2,FALSE),"NA")</f>
        <v>NA</v>
      </c>
      <c r="J408" s="107" t="str">
        <f>IFERROR(VLOOKUP(H408,LUTs!$A$1:$C$73,3,FALSE),"NA")</f>
        <v>1North Puget Sound</v>
      </c>
      <c r="K408" s="107" t="s">
        <v>17</v>
      </c>
      <c r="L408" s="107" t="str">
        <f>VLOOKUP(K408,LUTs!E$2:G$14,3,)</f>
        <v>04Island</v>
      </c>
      <c r="M408" s="107" t="str">
        <f>VLOOKUP($K408,LUTs!$E$2:$H$14,2,)</f>
        <v>North Puget Sound</v>
      </c>
      <c r="N408" s="107" t="str">
        <f>VLOOKUP($K408,LUTs!$E$2:$H$14,4,)</f>
        <v>01North Puget Sound</v>
      </c>
      <c r="O408" s="107">
        <v>929.61702127659601</v>
      </c>
      <c r="P408" s="107">
        <v>2070.6113898922399</v>
      </c>
      <c r="Q408" s="107">
        <f t="shared" si="37"/>
        <v>929.61702127659601</v>
      </c>
      <c r="R408" s="107">
        <f t="shared" si="38"/>
        <v>2070.6113898922399</v>
      </c>
      <c r="S408" s="140" t="str">
        <f t="shared" si="39"/>
        <v>Y</v>
      </c>
      <c r="T408" s="154">
        <f t="shared" si="40"/>
        <v>2.2273811069517362</v>
      </c>
      <c r="U408" s="154">
        <f t="shared" si="41"/>
        <v>2.2273811069517362</v>
      </c>
    </row>
    <row r="409" spans="1:21" x14ac:dyDescent="0.35">
      <c r="A409" s="107">
        <v>3488</v>
      </c>
      <c r="B409" s="107">
        <v>2019</v>
      </c>
      <c r="C409" s="107" t="s">
        <v>9</v>
      </c>
      <c r="D409" s="107" t="s">
        <v>132</v>
      </c>
      <c r="E409" s="107" t="s">
        <v>10</v>
      </c>
      <c r="F409" s="115">
        <v>7</v>
      </c>
      <c r="G409" s="107" t="s">
        <v>29</v>
      </c>
      <c r="H409" s="107" t="str">
        <f t="shared" si="36"/>
        <v>Area 7: San Juan Islands</v>
      </c>
      <c r="I409" s="107" t="str">
        <f>IFERROR(VLOOKUP(H409,LUTs!$A$1:$C$73,2,FALSE),"NA")</f>
        <v>NA</v>
      </c>
      <c r="J409" s="107" t="str">
        <f>IFERROR(VLOOKUP(H409,LUTs!$A$1:$C$73,3,FALSE),"NA")</f>
        <v>1North Puget Sound</v>
      </c>
      <c r="K409" s="107" t="s">
        <v>25</v>
      </c>
      <c r="L409" s="107" t="str">
        <f>VLOOKUP(K409,LUTs!E$2:G$14,3,)</f>
        <v>12Jefferson</v>
      </c>
      <c r="M409" s="107" t="str">
        <f>VLOOKUP($K409,LUTs!$E$2:$H$14,2,)</f>
        <v>Strait of Juan de Fuca</v>
      </c>
      <c r="N409" s="107" t="str">
        <f>VLOOKUP($K409,LUTs!$E$2:$H$14,4,)</f>
        <v>03Strait of Juan de Fuca</v>
      </c>
      <c r="O409" s="107">
        <v>61.462282398452601</v>
      </c>
      <c r="P409" s="107">
        <v>136.89992660444599</v>
      </c>
      <c r="Q409" s="107">
        <f t="shared" si="37"/>
        <v>61.462282398452601</v>
      </c>
      <c r="R409" s="107">
        <f t="shared" si="38"/>
        <v>136.89992660444599</v>
      </c>
      <c r="S409" s="140" t="str">
        <f t="shared" si="39"/>
        <v>Y</v>
      </c>
      <c r="T409" s="154">
        <f t="shared" si="40"/>
        <v>2.2273811069517433</v>
      </c>
      <c r="U409" s="154">
        <f t="shared" si="41"/>
        <v>2.2273811069517433</v>
      </c>
    </row>
    <row r="410" spans="1:21" x14ac:dyDescent="0.35">
      <c r="A410" s="107">
        <v>3478</v>
      </c>
      <c r="B410" s="107">
        <v>2019</v>
      </c>
      <c r="C410" s="107" t="s">
        <v>9</v>
      </c>
      <c r="D410" s="107" t="s">
        <v>132</v>
      </c>
      <c r="E410" s="107" t="s">
        <v>10</v>
      </c>
      <c r="F410" s="115">
        <v>7</v>
      </c>
      <c r="G410" s="107" t="s">
        <v>29</v>
      </c>
      <c r="H410" s="107" t="str">
        <f t="shared" si="36"/>
        <v>Area 7: San Juan Islands</v>
      </c>
      <c r="I410" s="107" t="str">
        <f>IFERROR(VLOOKUP(H410,LUTs!$A$1:$C$73,2,FALSE),"NA")</f>
        <v>NA</v>
      </c>
      <c r="J410" s="107" t="str">
        <f>IFERROR(VLOOKUP(H410,LUTs!$A$1:$C$73,3,FALSE),"NA")</f>
        <v>1North Puget Sound</v>
      </c>
      <c r="K410" s="107" t="s">
        <v>18</v>
      </c>
      <c r="L410" s="107" t="str">
        <f>VLOOKUP(K410,LUTs!E$2:G$14,3,)</f>
        <v>06King</v>
      </c>
      <c r="M410" s="107" t="str">
        <f>VLOOKUP($K410,LUTs!$E$2:$H$14,2,)</f>
        <v>South Puget Sound</v>
      </c>
      <c r="N410" s="107" t="str">
        <f>VLOOKUP($K410,LUTs!$E$2:$H$14,4,)</f>
        <v>02South Puget Sound</v>
      </c>
      <c r="O410" s="107">
        <v>1421.31528046422</v>
      </c>
      <c r="P410" s="107">
        <v>3165.8108027278099</v>
      </c>
      <c r="Q410" s="107">
        <f t="shared" si="37"/>
        <v>1421.31528046422</v>
      </c>
      <c r="R410" s="107">
        <f t="shared" si="38"/>
        <v>3165.8108027278099</v>
      </c>
      <c r="S410" s="140" t="str">
        <f t="shared" si="39"/>
        <v>Y</v>
      </c>
      <c r="T410" s="154">
        <f t="shared" si="40"/>
        <v>2.2273811069517349</v>
      </c>
      <c r="U410" s="154">
        <f t="shared" si="41"/>
        <v>2.2273811069517349</v>
      </c>
    </row>
    <row r="411" spans="1:21" x14ac:dyDescent="0.35">
      <c r="A411" s="107">
        <v>3486</v>
      </c>
      <c r="B411" s="107">
        <v>2019</v>
      </c>
      <c r="C411" s="107" t="s">
        <v>9</v>
      </c>
      <c r="D411" s="107" t="s">
        <v>132</v>
      </c>
      <c r="E411" s="107" t="s">
        <v>10</v>
      </c>
      <c r="F411" s="115">
        <v>7</v>
      </c>
      <c r="G411" s="107" t="s">
        <v>29</v>
      </c>
      <c r="H411" s="107" t="str">
        <f t="shared" si="36"/>
        <v>Area 7: San Juan Islands</v>
      </c>
      <c r="I411" s="107" t="str">
        <f>IFERROR(VLOOKUP(H411,LUTs!$A$1:$C$73,2,FALSE),"NA")</f>
        <v>NA</v>
      </c>
      <c r="J411" s="107" t="str">
        <f>IFERROR(VLOOKUP(H411,LUTs!$A$1:$C$73,3,FALSE),"NA")</f>
        <v>1North Puget Sound</v>
      </c>
      <c r="K411" s="107" t="s">
        <v>23</v>
      </c>
      <c r="L411" s="107" t="str">
        <f>VLOOKUP(K411,LUTs!E$2:G$14,3,)</f>
        <v>10Kitsap</v>
      </c>
      <c r="M411" s="107" t="str">
        <f>VLOOKUP($K411,LUTs!$E$2:$H$14,2,)</f>
        <v>South Puget Sound</v>
      </c>
      <c r="N411" s="107" t="str">
        <f>VLOOKUP($K411,LUTs!$E$2:$H$14,4,)</f>
        <v>02South Puget Sound</v>
      </c>
      <c r="O411" s="107">
        <v>38.413926499032897</v>
      </c>
      <c r="P411" s="107">
        <v>85.562454127778594</v>
      </c>
      <c r="Q411" s="107">
        <f t="shared" si="37"/>
        <v>38.413926499032897</v>
      </c>
      <c r="R411" s="107">
        <f t="shared" si="38"/>
        <v>85.562454127778594</v>
      </c>
      <c r="S411" s="140" t="str">
        <f t="shared" si="39"/>
        <v>Y</v>
      </c>
      <c r="T411" s="154">
        <f t="shared" si="40"/>
        <v>2.227381106951738</v>
      </c>
      <c r="U411" s="154">
        <f t="shared" si="41"/>
        <v>2.227381106951738</v>
      </c>
    </row>
    <row r="412" spans="1:21" x14ac:dyDescent="0.35">
      <c r="A412" s="107">
        <v>3514</v>
      </c>
      <c r="B412" s="107">
        <v>2019</v>
      </c>
      <c r="C412" s="107" t="s">
        <v>9</v>
      </c>
      <c r="D412" s="107" t="s">
        <v>132</v>
      </c>
      <c r="E412" s="107" t="s">
        <v>10</v>
      </c>
      <c r="F412" s="115">
        <v>7</v>
      </c>
      <c r="G412" s="107" t="s">
        <v>29</v>
      </c>
      <c r="H412" s="107" t="str">
        <f t="shared" si="36"/>
        <v>Area 7: San Juan Islands</v>
      </c>
      <c r="I412" s="107" t="str">
        <f>IFERROR(VLOOKUP(H412,LUTs!$A$1:$C$73,2,FALSE),"NA")</f>
        <v>NA</v>
      </c>
      <c r="J412" s="107" t="str">
        <f>IFERROR(VLOOKUP(H412,LUTs!$A$1:$C$73,3,FALSE),"NA")</f>
        <v>1North Puget Sound</v>
      </c>
      <c r="K412" s="107" t="s">
        <v>26</v>
      </c>
      <c r="L412" s="107" t="str">
        <f>VLOOKUP(K412,LUTs!E$2:G$14,3,)</f>
        <v>20Other</v>
      </c>
      <c r="M412" s="107" t="str">
        <f>VLOOKUP($K412,LUTs!$E$2:$H$14,2,)</f>
        <v>Non Puget Sound</v>
      </c>
      <c r="N412" s="107" t="str">
        <f>VLOOKUP($K412,LUTs!$E$2:$H$14,4,)</f>
        <v>07Non Puget Sound</v>
      </c>
      <c r="O412" s="107">
        <v>1413.6324951644101</v>
      </c>
      <c r="P412" s="107">
        <v>3148.6983119022502</v>
      </c>
      <c r="Q412" s="107">
        <f t="shared" si="37"/>
        <v>1413.6324951644101</v>
      </c>
      <c r="R412" s="107">
        <f t="shared" si="38"/>
        <v>3148.6983119022502</v>
      </c>
      <c r="S412" s="140" t="str">
        <f t="shared" si="39"/>
        <v>Y</v>
      </c>
      <c r="T412" s="154">
        <f t="shared" si="40"/>
        <v>2.2273811069517375</v>
      </c>
      <c r="U412" s="154">
        <f t="shared" si="41"/>
        <v>2.2273811069517375</v>
      </c>
    </row>
    <row r="413" spans="1:21" x14ac:dyDescent="0.35">
      <c r="A413" s="107">
        <v>3482</v>
      </c>
      <c r="B413" s="107">
        <v>2019</v>
      </c>
      <c r="C413" s="107" t="s">
        <v>9</v>
      </c>
      <c r="D413" s="107" t="s">
        <v>132</v>
      </c>
      <c r="E413" s="107" t="s">
        <v>10</v>
      </c>
      <c r="F413" s="115">
        <v>7</v>
      </c>
      <c r="G413" s="107" t="s">
        <v>29</v>
      </c>
      <c r="H413" s="107" t="str">
        <f t="shared" si="36"/>
        <v>Area 7: San Juan Islands</v>
      </c>
      <c r="I413" s="107" t="str">
        <f>IFERROR(VLOOKUP(H413,LUTs!$A$1:$C$73,2,FALSE),"NA")</f>
        <v>NA</v>
      </c>
      <c r="J413" s="107" t="str">
        <f>IFERROR(VLOOKUP(H413,LUTs!$A$1:$C$73,3,FALSE),"NA")</f>
        <v>1North Puget Sound</v>
      </c>
      <c r="K413" s="107" t="s">
        <v>20</v>
      </c>
      <c r="L413" s="107" t="str">
        <f>VLOOKUP(K413,LUTs!E$2:G$14,3,)</f>
        <v>07Pierce</v>
      </c>
      <c r="M413" s="107" t="str">
        <f>VLOOKUP($K413,LUTs!$E$2:$H$14,2,)</f>
        <v>South Puget Sound</v>
      </c>
      <c r="N413" s="107" t="str">
        <f>VLOOKUP($K413,LUTs!$E$2:$H$14,4,)</f>
        <v>02South Puget Sound</v>
      </c>
      <c r="O413" s="107">
        <v>76.827852998065794</v>
      </c>
      <c r="P413" s="107">
        <v>171.12490825555699</v>
      </c>
      <c r="Q413" s="107">
        <f t="shared" si="37"/>
        <v>76.827852998065794</v>
      </c>
      <c r="R413" s="107">
        <f t="shared" si="38"/>
        <v>171.12490825555699</v>
      </c>
      <c r="S413" s="140" t="str">
        <f t="shared" si="39"/>
        <v>Y</v>
      </c>
      <c r="T413" s="154">
        <f t="shared" si="40"/>
        <v>2.2273811069517353</v>
      </c>
      <c r="U413" s="154">
        <f t="shared" si="41"/>
        <v>2.2273811069517353</v>
      </c>
    </row>
    <row r="414" spans="1:21" x14ac:dyDescent="0.35">
      <c r="A414" s="107">
        <v>3475</v>
      </c>
      <c r="B414" s="107">
        <v>2019</v>
      </c>
      <c r="C414" s="107" t="s">
        <v>9</v>
      </c>
      <c r="D414" s="107" t="s">
        <v>132</v>
      </c>
      <c r="E414" s="107" t="s">
        <v>10</v>
      </c>
      <c r="F414" s="115">
        <v>7</v>
      </c>
      <c r="G414" s="107" t="s">
        <v>29</v>
      </c>
      <c r="H414" s="107" t="str">
        <f t="shared" si="36"/>
        <v>Area 7: San Juan Islands</v>
      </c>
      <c r="I414" s="107" t="str">
        <f>IFERROR(VLOOKUP(H414,LUTs!$A$1:$C$73,2,FALSE),"NA")</f>
        <v>NA</v>
      </c>
      <c r="J414" s="107" t="str">
        <f>IFERROR(VLOOKUP(H414,LUTs!$A$1:$C$73,3,FALSE),"NA")</f>
        <v>1North Puget Sound</v>
      </c>
      <c r="K414" s="107" t="s">
        <v>30</v>
      </c>
      <c r="L414" s="107" t="str">
        <f>VLOOKUP(K414,LUTs!E$2:G$14,3,)</f>
        <v>05San Juan</v>
      </c>
      <c r="M414" s="107" t="str">
        <f>VLOOKUP($K414,LUTs!$E$2:$H$14,2,)</f>
        <v>North Puget Sound</v>
      </c>
      <c r="N414" s="107" t="str">
        <f>VLOOKUP($K414,LUTs!$E$2:$H$14,4,)</f>
        <v>01North Puget Sound</v>
      </c>
      <c r="O414" s="107">
        <v>1782.4061895551299</v>
      </c>
      <c r="P414" s="107">
        <v>3970.0978715289302</v>
      </c>
      <c r="Q414" s="107">
        <f t="shared" si="37"/>
        <v>1782.4061895551299</v>
      </c>
      <c r="R414" s="107">
        <f t="shared" si="38"/>
        <v>3970.0978715289302</v>
      </c>
      <c r="S414" s="140" t="str">
        <f t="shared" si="39"/>
        <v>Y</v>
      </c>
      <c r="T414" s="154">
        <f t="shared" si="40"/>
        <v>2.2273811069517357</v>
      </c>
      <c r="U414" s="154">
        <f t="shared" si="41"/>
        <v>2.2273811069517357</v>
      </c>
    </row>
    <row r="415" spans="1:21" x14ac:dyDescent="0.35">
      <c r="A415" s="107">
        <v>3472</v>
      </c>
      <c r="B415" s="107">
        <v>2019</v>
      </c>
      <c r="C415" s="107" t="s">
        <v>9</v>
      </c>
      <c r="D415" s="107" t="s">
        <v>132</v>
      </c>
      <c r="E415" s="107" t="s">
        <v>10</v>
      </c>
      <c r="F415" s="115">
        <v>7</v>
      </c>
      <c r="G415" s="107" t="s">
        <v>29</v>
      </c>
      <c r="H415" s="107" t="str">
        <f t="shared" si="36"/>
        <v>Area 7: San Juan Islands</v>
      </c>
      <c r="I415" s="107" t="str">
        <f>IFERROR(VLOOKUP(H415,LUTs!$A$1:$C$73,2,FALSE),"NA")</f>
        <v>NA</v>
      </c>
      <c r="J415" s="107" t="str">
        <f>IFERROR(VLOOKUP(H415,LUTs!$A$1:$C$73,3,FALSE),"NA")</f>
        <v>1North Puget Sound</v>
      </c>
      <c r="K415" s="107" t="s">
        <v>15</v>
      </c>
      <c r="L415" s="107" t="str">
        <f>VLOOKUP(K415,LUTs!E$2:G$14,3,)</f>
        <v>02Skagit</v>
      </c>
      <c r="M415" s="107" t="str">
        <f>VLOOKUP($K415,LUTs!$E$2:$H$14,2,)</f>
        <v>North Puget Sound</v>
      </c>
      <c r="N415" s="107" t="str">
        <f>VLOOKUP($K415,LUTs!$E$2:$H$14,4,)</f>
        <v>01North Puget Sound</v>
      </c>
      <c r="O415" s="107">
        <v>2735.0715667311401</v>
      </c>
      <c r="P415" s="107">
        <v>6092.0467338978397</v>
      </c>
      <c r="Q415" s="107">
        <f t="shared" si="37"/>
        <v>2735.0715667311401</v>
      </c>
      <c r="R415" s="107">
        <f t="shared" si="38"/>
        <v>6092.0467338978397</v>
      </c>
      <c r="S415" s="140" t="str">
        <f t="shared" si="39"/>
        <v>Y</v>
      </c>
      <c r="T415" s="154">
        <f t="shared" si="40"/>
        <v>2.2273811069517411</v>
      </c>
      <c r="U415" s="154">
        <f t="shared" si="41"/>
        <v>2.2273811069517411</v>
      </c>
    </row>
    <row r="416" spans="1:21" x14ac:dyDescent="0.35">
      <c r="A416" s="107">
        <v>3473</v>
      </c>
      <c r="B416" s="107">
        <v>2019</v>
      </c>
      <c r="C416" s="107" t="s">
        <v>9</v>
      </c>
      <c r="D416" s="107" t="s">
        <v>132</v>
      </c>
      <c r="E416" s="107" t="s">
        <v>10</v>
      </c>
      <c r="F416" s="115">
        <v>7</v>
      </c>
      <c r="G416" s="107" t="s">
        <v>29</v>
      </c>
      <c r="H416" s="107" t="str">
        <f t="shared" si="36"/>
        <v>Area 7: San Juan Islands</v>
      </c>
      <c r="I416" s="107" t="str">
        <f>IFERROR(VLOOKUP(H416,LUTs!$A$1:$C$73,2,FALSE),"NA")</f>
        <v>NA</v>
      </c>
      <c r="J416" s="107" t="str">
        <f>IFERROR(VLOOKUP(H416,LUTs!$A$1:$C$73,3,FALSE),"NA")</f>
        <v>1North Puget Sound</v>
      </c>
      <c r="K416" s="107" t="s">
        <v>16</v>
      </c>
      <c r="L416" s="107" t="str">
        <f>VLOOKUP(K416,LUTs!E$2:G$14,3,)</f>
        <v>03Snohomish</v>
      </c>
      <c r="M416" s="107" t="str">
        <f>VLOOKUP($K416,LUTs!$E$2:$H$14,2,)</f>
        <v>North Puget Sound</v>
      </c>
      <c r="N416" s="107" t="str">
        <f>VLOOKUP($K416,LUTs!$E$2:$H$14,4,)</f>
        <v>01North Puget Sound</v>
      </c>
      <c r="O416" s="107">
        <v>1244.61121856867</v>
      </c>
      <c r="P416" s="107">
        <v>2772.2235137400298</v>
      </c>
      <c r="Q416" s="107">
        <f t="shared" si="37"/>
        <v>1244.61121856867</v>
      </c>
      <c r="R416" s="107">
        <f t="shared" si="38"/>
        <v>2772.2235137400298</v>
      </c>
      <c r="S416" s="140" t="str">
        <f t="shared" si="39"/>
        <v>Y</v>
      </c>
      <c r="T416" s="154">
        <f t="shared" si="40"/>
        <v>2.2273811069517335</v>
      </c>
      <c r="U416" s="154">
        <f t="shared" si="41"/>
        <v>2.2273811069517335</v>
      </c>
    </row>
    <row r="417" spans="1:21" x14ac:dyDescent="0.35">
      <c r="A417" s="107">
        <v>3483</v>
      </c>
      <c r="B417" s="107">
        <v>2019</v>
      </c>
      <c r="C417" s="107" t="s">
        <v>9</v>
      </c>
      <c r="D417" s="107" t="s">
        <v>132</v>
      </c>
      <c r="E417" s="107" t="s">
        <v>10</v>
      </c>
      <c r="F417" s="115">
        <v>7</v>
      </c>
      <c r="G417" s="107" t="s">
        <v>29</v>
      </c>
      <c r="H417" s="107" t="str">
        <f t="shared" si="36"/>
        <v>Area 7: San Juan Islands</v>
      </c>
      <c r="I417" s="107" t="str">
        <f>IFERROR(VLOOKUP(H417,LUTs!$A$1:$C$73,2,FALSE),"NA")</f>
        <v>NA</v>
      </c>
      <c r="J417" s="107" t="str">
        <f>IFERROR(VLOOKUP(H417,LUTs!$A$1:$C$73,3,FALSE),"NA")</f>
        <v>1North Puget Sound</v>
      </c>
      <c r="K417" s="107" t="s">
        <v>21</v>
      </c>
      <c r="L417" s="107" t="str">
        <f>VLOOKUP(K417,LUTs!E$2:G$14,3,)</f>
        <v>08Thurston</v>
      </c>
      <c r="M417" s="107" t="str">
        <f>VLOOKUP($K417,LUTs!$E$2:$H$14,2,)</f>
        <v>South Puget Sound</v>
      </c>
      <c r="N417" s="107" t="str">
        <f>VLOOKUP($K417,LUTs!$E$2:$H$14,4,)</f>
        <v>02South Puget Sound</v>
      </c>
      <c r="O417" s="107">
        <v>176.70406189555101</v>
      </c>
      <c r="P417" s="107">
        <v>393.58728898778202</v>
      </c>
      <c r="Q417" s="107">
        <f t="shared" si="37"/>
        <v>176.70406189555101</v>
      </c>
      <c r="R417" s="107">
        <f t="shared" si="38"/>
        <v>393.58728898778202</v>
      </c>
      <c r="S417" s="140" t="str">
        <f t="shared" si="39"/>
        <v>Y</v>
      </c>
      <c r="T417" s="154">
        <f t="shared" si="40"/>
        <v>2.2273811069517446</v>
      </c>
      <c r="U417" s="154">
        <f t="shared" si="41"/>
        <v>2.2273811069517446</v>
      </c>
    </row>
    <row r="418" spans="1:21" x14ac:dyDescent="0.35">
      <c r="A418" s="107">
        <v>3471</v>
      </c>
      <c r="B418" s="107">
        <v>2019</v>
      </c>
      <c r="C418" s="107" t="s">
        <v>9</v>
      </c>
      <c r="D418" s="107" t="s">
        <v>132</v>
      </c>
      <c r="E418" s="107" t="s">
        <v>10</v>
      </c>
      <c r="F418" s="115">
        <v>7</v>
      </c>
      <c r="G418" s="107" t="s">
        <v>29</v>
      </c>
      <c r="H418" s="107" t="str">
        <f t="shared" si="36"/>
        <v>Area 7: San Juan Islands</v>
      </c>
      <c r="I418" s="107" t="str">
        <f>IFERROR(VLOOKUP(H418,LUTs!$A$1:$C$73,2,FALSE),"NA")</f>
        <v>NA</v>
      </c>
      <c r="J418" s="107" t="str">
        <f>IFERROR(VLOOKUP(H418,LUTs!$A$1:$C$73,3,FALSE),"NA")</f>
        <v>1North Puget Sound</v>
      </c>
      <c r="K418" s="107" t="s">
        <v>13</v>
      </c>
      <c r="L418" s="107" t="str">
        <f>VLOOKUP(K418,LUTs!E$2:G$14,3,)</f>
        <v>01Whatcom</v>
      </c>
      <c r="M418" s="107" t="str">
        <f>VLOOKUP($K418,LUTs!$E$2:$H$14,2,)</f>
        <v>North Puget Sound</v>
      </c>
      <c r="N418" s="107" t="str">
        <f>VLOOKUP($K418,LUTs!$E$2:$H$14,4,)</f>
        <v>01North Puget Sound</v>
      </c>
      <c r="O418" s="107">
        <v>1897.6479690522201</v>
      </c>
      <c r="P418" s="107">
        <v>4226.7852339122601</v>
      </c>
      <c r="Q418" s="107">
        <f t="shared" si="37"/>
        <v>1897.6479690522201</v>
      </c>
      <c r="R418" s="107">
        <f t="shared" si="38"/>
        <v>4226.7852339122601</v>
      </c>
      <c r="S418" s="140" t="str">
        <f t="shared" si="39"/>
        <v>Y</v>
      </c>
      <c r="T418" s="154">
        <f t="shared" si="40"/>
        <v>2.2273811069517424</v>
      </c>
      <c r="U418" s="154">
        <f t="shared" si="41"/>
        <v>2.2273811069517424</v>
      </c>
    </row>
    <row r="419" spans="1:21" x14ac:dyDescent="0.35">
      <c r="A419" s="107">
        <v>3526</v>
      </c>
      <c r="B419" s="107">
        <v>2020</v>
      </c>
      <c r="C419" s="107" t="s">
        <v>9</v>
      </c>
      <c r="D419" s="107" t="s">
        <v>132</v>
      </c>
      <c r="E419" s="107" t="s">
        <v>10</v>
      </c>
      <c r="F419" s="115">
        <v>7</v>
      </c>
      <c r="G419" s="107" t="s">
        <v>29</v>
      </c>
      <c r="H419" s="107" t="str">
        <f t="shared" si="36"/>
        <v>Area 7: San Juan Islands</v>
      </c>
      <c r="I419" s="107" t="str">
        <f>IFERROR(VLOOKUP(H419,LUTs!$A$1:$C$73,2,FALSE),"NA")</f>
        <v>NA</v>
      </c>
      <c r="J419" s="107" t="str">
        <f>IFERROR(VLOOKUP(H419,LUTs!$A$1:$C$73,3,FALSE),"NA")</f>
        <v>1North Puget Sound</v>
      </c>
      <c r="K419" s="107" t="s">
        <v>24</v>
      </c>
      <c r="L419" s="107" t="str">
        <f>VLOOKUP(K419,LUTs!E$2:G$14,3,)</f>
        <v>11Clallam</v>
      </c>
      <c r="M419" s="107" t="str">
        <f>VLOOKUP($K419,LUTs!$E$2:$H$14,2,)</f>
        <v>Strait of Juan de Fuca</v>
      </c>
      <c r="N419" s="107" t="str">
        <f>VLOOKUP($K419,LUTs!$E$2:$H$14,4,)</f>
        <v>03Strait of Juan de Fuca</v>
      </c>
      <c r="O419" s="107">
        <v>18.156521739130401</v>
      </c>
      <c r="P419" s="107">
        <v>37.041918239563103</v>
      </c>
      <c r="Q419" s="107">
        <f t="shared" si="37"/>
        <v>18.156521739130401</v>
      </c>
      <c r="R419" s="107">
        <f t="shared" si="38"/>
        <v>37.041918239563103</v>
      </c>
      <c r="S419" s="140" t="str">
        <f t="shared" si="39"/>
        <v>N</v>
      </c>
      <c r="T419" s="154">
        <f t="shared" si="40"/>
        <v>2.0401439643437569</v>
      </c>
      <c r="U419" s="154">
        <f t="shared" si="41"/>
        <v>2.0401439643437569</v>
      </c>
    </row>
    <row r="420" spans="1:21" x14ac:dyDescent="0.35">
      <c r="A420" s="107">
        <v>3519</v>
      </c>
      <c r="B420" s="107">
        <v>2020</v>
      </c>
      <c r="C420" s="107" t="s">
        <v>9</v>
      </c>
      <c r="D420" s="107" t="s">
        <v>132</v>
      </c>
      <c r="E420" s="107" t="s">
        <v>10</v>
      </c>
      <c r="F420" s="115">
        <v>7</v>
      </c>
      <c r="G420" s="107" t="s">
        <v>29</v>
      </c>
      <c r="H420" s="107" t="str">
        <f t="shared" si="36"/>
        <v>Area 7: San Juan Islands</v>
      </c>
      <c r="I420" s="107" t="str">
        <f>IFERROR(VLOOKUP(H420,LUTs!$A$1:$C$73,2,FALSE),"NA")</f>
        <v>NA</v>
      </c>
      <c r="J420" s="107" t="str">
        <f>IFERROR(VLOOKUP(H420,LUTs!$A$1:$C$73,3,FALSE),"NA")</f>
        <v>1North Puget Sound</v>
      </c>
      <c r="K420" s="107" t="s">
        <v>17</v>
      </c>
      <c r="L420" s="107" t="str">
        <f>VLOOKUP(K420,LUTs!E$2:G$14,3,)</f>
        <v>04Island</v>
      </c>
      <c r="M420" s="107" t="str">
        <f>VLOOKUP($K420,LUTs!$E$2:$H$14,2,)</f>
        <v>North Puget Sound</v>
      </c>
      <c r="N420" s="107" t="str">
        <f>VLOOKUP($K420,LUTs!$E$2:$H$14,4,)</f>
        <v>01North Puget Sound</v>
      </c>
      <c r="O420" s="107">
        <v>1461.6</v>
      </c>
      <c r="P420" s="107">
        <v>2981.87441828483</v>
      </c>
      <c r="Q420" s="107">
        <f t="shared" si="37"/>
        <v>1461.6</v>
      </c>
      <c r="R420" s="107">
        <f t="shared" si="38"/>
        <v>2981.87441828483</v>
      </c>
      <c r="S420" s="140" t="str">
        <f t="shared" si="39"/>
        <v>N</v>
      </c>
      <c r="T420" s="154">
        <f t="shared" si="40"/>
        <v>2.0401439643437533</v>
      </c>
      <c r="U420" s="154">
        <f t="shared" si="41"/>
        <v>2.0401439643437533</v>
      </c>
    </row>
    <row r="421" spans="1:21" x14ac:dyDescent="0.35">
      <c r="A421" s="107">
        <v>3521</v>
      </c>
      <c r="B421" s="107">
        <v>2020</v>
      </c>
      <c r="C421" s="107" t="s">
        <v>9</v>
      </c>
      <c r="D421" s="107" t="s">
        <v>132</v>
      </c>
      <c r="E421" s="107" t="s">
        <v>10</v>
      </c>
      <c r="F421" s="115">
        <v>7</v>
      </c>
      <c r="G421" s="107" t="s">
        <v>29</v>
      </c>
      <c r="H421" s="107" t="str">
        <f t="shared" si="36"/>
        <v>Area 7: San Juan Islands</v>
      </c>
      <c r="I421" s="107" t="str">
        <f>IFERROR(VLOOKUP(H421,LUTs!$A$1:$C$73,2,FALSE),"NA")</f>
        <v>NA</v>
      </c>
      <c r="J421" s="107" t="str">
        <f>IFERROR(VLOOKUP(H421,LUTs!$A$1:$C$73,3,FALSE),"NA")</f>
        <v>1North Puget Sound</v>
      </c>
      <c r="K421" s="107" t="s">
        <v>18</v>
      </c>
      <c r="L421" s="107" t="str">
        <f>VLOOKUP(K421,LUTs!E$2:G$14,3,)</f>
        <v>06King</v>
      </c>
      <c r="M421" s="107" t="str">
        <f>VLOOKUP($K421,LUTs!$E$2:$H$14,2,)</f>
        <v>South Puget Sound</v>
      </c>
      <c r="N421" s="107" t="str">
        <f>VLOOKUP($K421,LUTs!$E$2:$H$14,4,)</f>
        <v>02South Puget Sound</v>
      </c>
      <c r="O421" s="107">
        <v>1652.24347826087</v>
      </c>
      <c r="P421" s="107">
        <v>3370.8145598002502</v>
      </c>
      <c r="Q421" s="107">
        <f t="shared" si="37"/>
        <v>1652.24347826087</v>
      </c>
      <c r="R421" s="107">
        <f t="shared" si="38"/>
        <v>3370.8145598002502</v>
      </c>
      <c r="S421" s="140" t="str">
        <f t="shared" si="39"/>
        <v>N</v>
      </c>
      <c r="T421" s="154">
        <f t="shared" si="40"/>
        <v>2.0401439643437573</v>
      </c>
      <c r="U421" s="154">
        <f t="shared" si="41"/>
        <v>2.0401439643437573</v>
      </c>
    </row>
    <row r="422" spans="1:21" x14ac:dyDescent="0.35">
      <c r="A422" s="107">
        <v>3525</v>
      </c>
      <c r="B422" s="107">
        <v>2020</v>
      </c>
      <c r="C422" s="107" t="s">
        <v>9</v>
      </c>
      <c r="D422" s="107" t="s">
        <v>132</v>
      </c>
      <c r="E422" s="107" t="s">
        <v>10</v>
      </c>
      <c r="F422" s="115">
        <v>7</v>
      </c>
      <c r="G422" s="107" t="s">
        <v>29</v>
      </c>
      <c r="H422" s="107" t="str">
        <f t="shared" si="36"/>
        <v>Area 7: San Juan Islands</v>
      </c>
      <c r="I422" s="107" t="str">
        <f>IFERROR(VLOOKUP(H422,LUTs!$A$1:$C$73,2,FALSE),"NA")</f>
        <v>NA</v>
      </c>
      <c r="J422" s="107" t="str">
        <f>IFERROR(VLOOKUP(H422,LUTs!$A$1:$C$73,3,FALSE),"NA")</f>
        <v>1North Puget Sound</v>
      </c>
      <c r="K422" s="107" t="s">
        <v>23</v>
      </c>
      <c r="L422" s="107" t="str">
        <f>VLOOKUP(K422,LUTs!E$2:G$14,3,)</f>
        <v>10Kitsap</v>
      </c>
      <c r="M422" s="107" t="str">
        <f>VLOOKUP($K422,LUTs!$E$2:$H$14,2,)</f>
        <v>South Puget Sound</v>
      </c>
      <c r="N422" s="107" t="str">
        <f>VLOOKUP($K422,LUTs!$E$2:$H$14,4,)</f>
        <v>02South Puget Sound</v>
      </c>
      <c r="O422" s="107">
        <v>36.313043478260902</v>
      </c>
      <c r="P422" s="107">
        <v>74.083836479126305</v>
      </c>
      <c r="Q422" s="107">
        <f t="shared" si="37"/>
        <v>36.313043478260902</v>
      </c>
      <c r="R422" s="107">
        <f t="shared" si="38"/>
        <v>74.083836479126305</v>
      </c>
      <c r="S422" s="140" t="str">
        <f t="shared" si="39"/>
        <v>N</v>
      </c>
      <c r="T422" s="154">
        <f t="shared" si="40"/>
        <v>2.0401439643437542</v>
      </c>
      <c r="U422" s="154">
        <f t="shared" si="41"/>
        <v>2.0401439643437542</v>
      </c>
    </row>
    <row r="423" spans="1:21" x14ac:dyDescent="0.35">
      <c r="A423" s="107">
        <v>3524</v>
      </c>
      <c r="B423" s="107">
        <v>2020</v>
      </c>
      <c r="C423" s="107" t="s">
        <v>9</v>
      </c>
      <c r="D423" s="107" t="s">
        <v>132</v>
      </c>
      <c r="E423" s="107" t="s">
        <v>10</v>
      </c>
      <c r="F423" s="115">
        <v>7</v>
      </c>
      <c r="G423" s="107" t="s">
        <v>29</v>
      </c>
      <c r="H423" s="107" t="str">
        <f t="shared" si="36"/>
        <v>Area 7: San Juan Islands</v>
      </c>
      <c r="I423" s="107" t="str">
        <f>IFERROR(VLOOKUP(H423,LUTs!$A$1:$C$73,2,FALSE),"NA")</f>
        <v>NA</v>
      </c>
      <c r="J423" s="107" t="str">
        <f>IFERROR(VLOOKUP(H423,LUTs!$A$1:$C$73,3,FALSE),"NA")</f>
        <v>1North Puget Sound</v>
      </c>
      <c r="K423" s="107" t="s">
        <v>22</v>
      </c>
      <c r="L423" s="107" t="str">
        <f>VLOOKUP(K423,LUTs!E$2:G$14,3,)</f>
        <v>09Mason</v>
      </c>
      <c r="M423" s="107" t="str">
        <f>VLOOKUP($K423,LUTs!$E$2:$H$14,2,)</f>
        <v>South Puget Sound</v>
      </c>
      <c r="N423" s="107" t="str">
        <f>VLOOKUP($K423,LUTs!$E$2:$H$14,4,)</f>
        <v>02South Puget Sound</v>
      </c>
      <c r="O423" s="107">
        <v>9.07826086956522</v>
      </c>
      <c r="P423" s="107">
        <v>18.520959119781601</v>
      </c>
      <c r="Q423" s="107">
        <f t="shared" si="37"/>
        <v>9.07826086956522</v>
      </c>
      <c r="R423" s="107">
        <f t="shared" si="38"/>
        <v>18.520959119781601</v>
      </c>
      <c r="S423" s="140" t="str">
        <f t="shared" si="39"/>
        <v>N</v>
      </c>
      <c r="T423" s="154">
        <f t="shared" si="40"/>
        <v>2.0401439643437582</v>
      </c>
      <c r="U423" s="154">
        <f t="shared" si="41"/>
        <v>2.0401439643437582</v>
      </c>
    </row>
    <row r="424" spans="1:21" x14ac:dyDescent="0.35">
      <c r="A424" s="107">
        <v>3527</v>
      </c>
      <c r="B424" s="107">
        <v>2020</v>
      </c>
      <c r="C424" s="107" t="s">
        <v>9</v>
      </c>
      <c r="D424" s="107" t="s">
        <v>132</v>
      </c>
      <c r="E424" s="107" t="s">
        <v>10</v>
      </c>
      <c r="F424" s="115">
        <v>7</v>
      </c>
      <c r="G424" s="107" t="s">
        <v>29</v>
      </c>
      <c r="H424" s="107" t="str">
        <f t="shared" si="36"/>
        <v>Area 7: San Juan Islands</v>
      </c>
      <c r="I424" s="107" t="str">
        <f>IFERROR(VLOOKUP(H424,LUTs!$A$1:$C$73,2,FALSE),"NA")</f>
        <v>NA</v>
      </c>
      <c r="J424" s="107" t="str">
        <f>IFERROR(VLOOKUP(H424,LUTs!$A$1:$C$73,3,FALSE),"NA")</f>
        <v>1North Puget Sound</v>
      </c>
      <c r="K424" s="107" t="s">
        <v>26</v>
      </c>
      <c r="L424" s="107" t="str">
        <f>VLOOKUP(K424,LUTs!E$2:G$14,3,)</f>
        <v>20Other</v>
      </c>
      <c r="M424" s="107" t="str">
        <f>VLOOKUP($K424,LUTs!$E$2:$H$14,2,)</f>
        <v>Non Puget Sound</v>
      </c>
      <c r="N424" s="107" t="str">
        <f>VLOOKUP($K424,LUTs!$E$2:$H$14,4,)</f>
        <v>07Non Puget Sound</v>
      </c>
      <c r="O424" s="107">
        <v>1098.46956521739</v>
      </c>
      <c r="P424" s="107">
        <v>2241.0360534935699</v>
      </c>
      <c r="Q424" s="107">
        <f t="shared" si="37"/>
        <v>1098.46956521739</v>
      </c>
      <c r="R424" s="107">
        <f t="shared" si="38"/>
        <v>2241.0360534935699</v>
      </c>
      <c r="S424" s="140" t="str">
        <f t="shared" si="39"/>
        <v>N</v>
      </c>
      <c r="T424" s="154">
        <f t="shared" si="40"/>
        <v>2.0401439643437578</v>
      </c>
      <c r="U424" s="154">
        <f t="shared" si="41"/>
        <v>2.0401439643437578</v>
      </c>
    </row>
    <row r="425" spans="1:21" x14ac:dyDescent="0.35">
      <c r="A425" s="107">
        <v>3522</v>
      </c>
      <c r="B425" s="107">
        <v>2020</v>
      </c>
      <c r="C425" s="107" t="s">
        <v>9</v>
      </c>
      <c r="D425" s="107" t="s">
        <v>132</v>
      </c>
      <c r="E425" s="107" t="s">
        <v>10</v>
      </c>
      <c r="F425" s="115">
        <v>7</v>
      </c>
      <c r="G425" s="107" t="s">
        <v>29</v>
      </c>
      <c r="H425" s="107" t="str">
        <f t="shared" si="36"/>
        <v>Area 7: San Juan Islands</v>
      </c>
      <c r="I425" s="107" t="str">
        <f>IFERROR(VLOOKUP(H425,LUTs!$A$1:$C$73,2,FALSE),"NA")</f>
        <v>NA</v>
      </c>
      <c r="J425" s="107" t="str">
        <f>IFERROR(VLOOKUP(H425,LUTs!$A$1:$C$73,3,FALSE),"NA")</f>
        <v>1North Puget Sound</v>
      </c>
      <c r="K425" s="107" t="s">
        <v>20</v>
      </c>
      <c r="L425" s="107" t="str">
        <f>VLOOKUP(K425,LUTs!E$2:G$14,3,)</f>
        <v>07Pierce</v>
      </c>
      <c r="M425" s="107" t="str">
        <f>VLOOKUP($K425,LUTs!$E$2:$H$14,2,)</f>
        <v>South Puget Sound</v>
      </c>
      <c r="N425" s="107" t="str">
        <f>VLOOKUP($K425,LUTs!$E$2:$H$14,4,)</f>
        <v>02South Puget Sound</v>
      </c>
      <c r="O425" s="107">
        <v>190.64347826087001</v>
      </c>
      <c r="P425" s="107">
        <v>388.94014151541302</v>
      </c>
      <c r="Q425" s="107">
        <f t="shared" si="37"/>
        <v>190.64347826087001</v>
      </c>
      <c r="R425" s="107">
        <f t="shared" si="38"/>
        <v>388.94014151541302</v>
      </c>
      <c r="S425" s="140" t="str">
        <f t="shared" si="39"/>
        <v>N</v>
      </c>
      <c r="T425" s="154">
        <f t="shared" si="40"/>
        <v>2.0401439643437507</v>
      </c>
      <c r="U425" s="154">
        <f t="shared" si="41"/>
        <v>2.0401439643437507</v>
      </c>
    </row>
    <row r="426" spans="1:21" x14ac:dyDescent="0.35">
      <c r="A426" s="107">
        <v>3520</v>
      </c>
      <c r="B426" s="107">
        <v>2020</v>
      </c>
      <c r="C426" s="107" t="s">
        <v>9</v>
      </c>
      <c r="D426" s="107" t="s">
        <v>132</v>
      </c>
      <c r="E426" s="107" t="s">
        <v>10</v>
      </c>
      <c r="F426" s="115">
        <v>7</v>
      </c>
      <c r="G426" s="107" t="s">
        <v>29</v>
      </c>
      <c r="H426" s="107" t="str">
        <f t="shared" si="36"/>
        <v>Area 7: San Juan Islands</v>
      </c>
      <c r="I426" s="107" t="str">
        <f>IFERROR(VLOOKUP(H426,LUTs!$A$1:$C$73,2,FALSE),"NA")</f>
        <v>NA</v>
      </c>
      <c r="J426" s="107" t="str">
        <f>IFERROR(VLOOKUP(H426,LUTs!$A$1:$C$73,3,FALSE),"NA")</f>
        <v>1North Puget Sound</v>
      </c>
      <c r="K426" s="107" t="s">
        <v>30</v>
      </c>
      <c r="L426" s="107" t="str">
        <f>VLOOKUP(K426,LUTs!E$2:G$14,3,)</f>
        <v>05San Juan</v>
      </c>
      <c r="M426" s="107" t="str">
        <f>VLOOKUP($K426,LUTs!$E$2:$H$14,2,)</f>
        <v>North Puget Sound</v>
      </c>
      <c r="N426" s="107" t="str">
        <f>VLOOKUP($K426,LUTs!$E$2:$H$14,4,)</f>
        <v>01North Puget Sound</v>
      </c>
      <c r="O426" s="107">
        <v>553.77391304347805</v>
      </c>
      <c r="P426" s="107">
        <v>1129.7785063066799</v>
      </c>
      <c r="Q426" s="107">
        <f t="shared" si="37"/>
        <v>553.77391304347805</v>
      </c>
      <c r="R426" s="107">
        <f t="shared" si="38"/>
        <v>1129.7785063066799</v>
      </c>
      <c r="S426" s="140" t="str">
        <f t="shared" si="39"/>
        <v>N</v>
      </c>
      <c r="T426" s="154">
        <f t="shared" si="40"/>
        <v>2.0401439643437635</v>
      </c>
      <c r="U426" s="154">
        <f t="shared" si="41"/>
        <v>2.0401439643437635</v>
      </c>
    </row>
    <row r="427" spans="1:21" x14ac:dyDescent="0.35">
      <c r="A427" s="107">
        <v>3517</v>
      </c>
      <c r="B427" s="107">
        <v>2020</v>
      </c>
      <c r="C427" s="107" t="s">
        <v>9</v>
      </c>
      <c r="D427" s="107" t="s">
        <v>132</v>
      </c>
      <c r="E427" s="107" t="s">
        <v>10</v>
      </c>
      <c r="F427" s="115">
        <v>7</v>
      </c>
      <c r="G427" s="107" t="s">
        <v>29</v>
      </c>
      <c r="H427" s="107" t="str">
        <f t="shared" si="36"/>
        <v>Area 7: San Juan Islands</v>
      </c>
      <c r="I427" s="107" t="str">
        <f>IFERROR(VLOOKUP(H427,LUTs!$A$1:$C$73,2,FALSE),"NA")</f>
        <v>NA</v>
      </c>
      <c r="J427" s="107" t="str">
        <f>IFERROR(VLOOKUP(H427,LUTs!$A$1:$C$73,3,FALSE),"NA")</f>
        <v>1North Puget Sound</v>
      </c>
      <c r="K427" s="107" t="s">
        <v>15</v>
      </c>
      <c r="L427" s="107" t="str">
        <f>VLOOKUP(K427,LUTs!E$2:G$14,3,)</f>
        <v>02Skagit</v>
      </c>
      <c r="M427" s="107" t="str">
        <f>VLOOKUP($K427,LUTs!$E$2:$H$14,2,)</f>
        <v>North Puget Sound</v>
      </c>
      <c r="N427" s="107" t="str">
        <f>VLOOKUP($K427,LUTs!$E$2:$H$14,4,)</f>
        <v>01North Puget Sound</v>
      </c>
      <c r="O427" s="107">
        <v>3177.3913043478301</v>
      </c>
      <c r="P427" s="107">
        <v>6482.3356919235503</v>
      </c>
      <c r="Q427" s="107">
        <f t="shared" si="37"/>
        <v>3177.3913043478301</v>
      </c>
      <c r="R427" s="107">
        <f t="shared" si="38"/>
        <v>6482.3356919235503</v>
      </c>
      <c r="S427" s="140" t="str">
        <f t="shared" si="39"/>
        <v>N</v>
      </c>
      <c r="T427" s="154">
        <f t="shared" si="40"/>
        <v>2.0401439643437529</v>
      </c>
      <c r="U427" s="154">
        <f t="shared" si="41"/>
        <v>2.0401439643437529</v>
      </c>
    </row>
    <row r="428" spans="1:21" x14ac:dyDescent="0.35">
      <c r="A428" s="107">
        <v>3518</v>
      </c>
      <c r="B428" s="107">
        <v>2020</v>
      </c>
      <c r="C428" s="107" t="s">
        <v>9</v>
      </c>
      <c r="D428" s="107" t="s">
        <v>132</v>
      </c>
      <c r="E428" s="107" t="s">
        <v>10</v>
      </c>
      <c r="F428" s="115">
        <v>7</v>
      </c>
      <c r="G428" s="107" t="s">
        <v>29</v>
      </c>
      <c r="H428" s="107" t="str">
        <f t="shared" si="36"/>
        <v>Area 7: San Juan Islands</v>
      </c>
      <c r="I428" s="107" t="str">
        <f>IFERROR(VLOOKUP(H428,LUTs!$A$1:$C$73,2,FALSE),"NA")</f>
        <v>NA</v>
      </c>
      <c r="J428" s="107" t="str">
        <f>IFERROR(VLOOKUP(H428,LUTs!$A$1:$C$73,3,FALSE),"NA")</f>
        <v>1North Puget Sound</v>
      </c>
      <c r="K428" s="107" t="s">
        <v>16</v>
      </c>
      <c r="L428" s="107" t="str">
        <f>VLOOKUP(K428,LUTs!E$2:G$14,3,)</f>
        <v>03Snohomish</v>
      </c>
      <c r="M428" s="107" t="str">
        <f>VLOOKUP($K428,LUTs!$E$2:$H$14,2,)</f>
        <v>North Puget Sound</v>
      </c>
      <c r="N428" s="107" t="str">
        <f>VLOOKUP($K428,LUTs!$E$2:$H$14,4,)</f>
        <v>01North Puget Sound</v>
      </c>
      <c r="O428" s="107">
        <v>1715.79130434783</v>
      </c>
      <c r="P428" s="107">
        <v>3500.4612736387198</v>
      </c>
      <c r="Q428" s="107">
        <f t="shared" si="37"/>
        <v>1715.79130434783</v>
      </c>
      <c r="R428" s="107">
        <f t="shared" si="38"/>
        <v>3500.4612736387198</v>
      </c>
      <c r="S428" s="140" t="str">
        <f t="shared" si="39"/>
        <v>N</v>
      </c>
      <c r="T428" s="154">
        <f t="shared" si="40"/>
        <v>2.0401439643437524</v>
      </c>
      <c r="U428" s="154">
        <f t="shared" si="41"/>
        <v>2.0401439643437524</v>
      </c>
    </row>
    <row r="429" spans="1:21" x14ac:dyDescent="0.35">
      <c r="A429" s="107">
        <v>3523</v>
      </c>
      <c r="B429" s="107">
        <v>2020</v>
      </c>
      <c r="C429" s="107" t="s">
        <v>9</v>
      </c>
      <c r="D429" s="107" t="s">
        <v>132</v>
      </c>
      <c r="E429" s="107" t="s">
        <v>10</v>
      </c>
      <c r="F429" s="115">
        <v>7</v>
      </c>
      <c r="G429" s="107" t="s">
        <v>29</v>
      </c>
      <c r="H429" s="107" t="str">
        <f t="shared" si="36"/>
        <v>Area 7: San Juan Islands</v>
      </c>
      <c r="I429" s="107" t="str">
        <f>IFERROR(VLOOKUP(H429,LUTs!$A$1:$C$73,2,FALSE),"NA")</f>
        <v>NA</v>
      </c>
      <c r="J429" s="107" t="str">
        <f>IFERROR(VLOOKUP(H429,LUTs!$A$1:$C$73,3,FALSE),"NA")</f>
        <v>1North Puget Sound</v>
      </c>
      <c r="K429" s="107" t="s">
        <v>21</v>
      </c>
      <c r="L429" s="107" t="str">
        <f>VLOOKUP(K429,LUTs!E$2:G$14,3,)</f>
        <v>08Thurston</v>
      </c>
      <c r="M429" s="107" t="str">
        <f>VLOOKUP($K429,LUTs!$E$2:$H$14,2,)</f>
        <v>South Puget Sound</v>
      </c>
      <c r="N429" s="107" t="str">
        <f>VLOOKUP($K429,LUTs!$E$2:$H$14,4,)</f>
        <v>02South Puget Sound</v>
      </c>
      <c r="O429" s="107">
        <v>127.095652173913</v>
      </c>
      <c r="P429" s="107">
        <v>259.29342767694197</v>
      </c>
      <c r="Q429" s="107">
        <f t="shared" si="37"/>
        <v>127.095652173913</v>
      </c>
      <c r="R429" s="107">
        <f t="shared" si="38"/>
        <v>259.29342767694197</v>
      </c>
      <c r="S429" s="140" t="str">
        <f t="shared" si="39"/>
        <v>N</v>
      </c>
      <c r="T429" s="154">
        <f t="shared" si="40"/>
        <v>2.040143964343756</v>
      </c>
      <c r="U429" s="154">
        <f t="shared" si="41"/>
        <v>2.040143964343756</v>
      </c>
    </row>
    <row r="430" spans="1:21" x14ac:dyDescent="0.35">
      <c r="A430" s="107">
        <v>3516</v>
      </c>
      <c r="B430" s="107">
        <v>2020</v>
      </c>
      <c r="C430" s="107" t="s">
        <v>9</v>
      </c>
      <c r="D430" s="107" t="s">
        <v>132</v>
      </c>
      <c r="E430" s="107" t="s">
        <v>10</v>
      </c>
      <c r="F430" s="115">
        <v>7</v>
      </c>
      <c r="G430" s="107" t="s">
        <v>29</v>
      </c>
      <c r="H430" s="107" t="str">
        <f t="shared" si="36"/>
        <v>Area 7: San Juan Islands</v>
      </c>
      <c r="I430" s="107" t="str">
        <f>IFERROR(VLOOKUP(H430,LUTs!$A$1:$C$73,2,FALSE),"NA")</f>
        <v>NA</v>
      </c>
      <c r="J430" s="107" t="str">
        <f>IFERROR(VLOOKUP(H430,LUTs!$A$1:$C$73,3,FALSE),"NA")</f>
        <v>1North Puget Sound</v>
      </c>
      <c r="K430" s="107" t="s">
        <v>13</v>
      </c>
      <c r="L430" s="107" t="str">
        <f>VLOOKUP(K430,LUTs!E$2:G$14,3,)</f>
        <v>01Whatcom</v>
      </c>
      <c r="M430" s="107" t="str">
        <f>VLOOKUP($K430,LUTs!$E$2:$H$14,2,)</f>
        <v>North Puget Sound</v>
      </c>
      <c r="N430" s="107" t="str">
        <f>VLOOKUP($K430,LUTs!$E$2:$H$14,4,)</f>
        <v>01North Puget Sound</v>
      </c>
      <c r="O430" s="107">
        <v>2487.4434782608701</v>
      </c>
      <c r="P430" s="107">
        <v>5074.7427988201498</v>
      </c>
      <c r="Q430" s="107">
        <f t="shared" si="37"/>
        <v>2487.4434782608701</v>
      </c>
      <c r="R430" s="107">
        <f t="shared" si="38"/>
        <v>5074.7427988201498</v>
      </c>
      <c r="S430" s="140" t="str">
        <f t="shared" si="39"/>
        <v>N</v>
      </c>
      <c r="T430" s="154">
        <f t="shared" si="40"/>
        <v>2.0401439643437547</v>
      </c>
      <c r="U430" s="154">
        <f t="shared" si="41"/>
        <v>2.0401439643437547</v>
      </c>
    </row>
    <row r="431" spans="1:21" x14ac:dyDescent="0.35">
      <c r="A431" s="107">
        <v>3533</v>
      </c>
      <c r="B431" s="107">
        <v>2021</v>
      </c>
      <c r="C431" s="107" t="s">
        <v>9</v>
      </c>
      <c r="D431" s="107" t="s">
        <v>132</v>
      </c>
      <c r="E431" s="107" t="s">
        <v>10</v>
      </c>
      <c r="F431" s="115">
        <v>7</v>
      </c>
      <c r="G431" s="107" t="s">
        <v>29</v>
      </c>
      <c r="H431" s="107" t="str">
        <f t="shared" si="36"/>
        <v>Area 7: San Juan Islands</v>
      </c>
      <c r="I431" s="107" t="str">
        <f>IFERROR(VLOOKUP(H431,LUTs!$A$1:$C$73,2,FALSE),"NA")</f>
        <v>NA</v>
      </c>
      <c r="J431" s="107" t="str">
        <f>IFERROR(VLOOKUP(H431,LUTs!$A$1:$C$73,3,FALSE),"NA")</f>
        <v>1North Puget Sound</v>
      </c>
      <c r="K431" s="107" t="s">
        <v>17</v>
      </c>
      <c r="L431" s="107" t="str">
        <f>VLOOKUP(K431,LUTs!E$2:G$14,3,)</f>
        <v>04Island</v>
      </c>
      <c r="M431" s="107" t="str">
        <f>VLOOKUP($K431,LUTs!$E$2:$H$14,2,)</f>
        <v>North Puget Sound</v>
      </c>
      <c r="N431" s="107" t="str">
        <f>VLOOKUP($K431,LUTs!$E$2:$H$14,4,)</f>
        <v>01North Puget Sound</v>
      </c>
      <c r="O431" s="107">
        <v>147.14350797266499</v>
      </c>
      <c r="P431" s="107">
        <v>297.77809338145602</v>
      </c>
      <c r="Q431" s="107">
        <f t="shared" si="37"/>
        <v>147.14350797266499</v>
      </c>
      <c r="R431" s="107">
        <f t="shared" si="38"/>
        <v>297.77809338145602</v>
      </c>
      <c r="S431" s="140" t="str">
        <f t="shared" si="39"/>
        <v>N</v>
      </c>
      <c r="T431" s="154">
        <f t="shared" si="40"/>
        <v>2.0237256640420358</v>
      </c>
      <c r="U431" s="154">
        <f t="shared" si="41"/>
        <v>2.0237256640420358</v>
      </c>
    </row>
    <row r="432" spans="1:21" x14ac:dyDescent="0.35">
      <c r="A432" s="107">
        <v>3561</v>
      </c>
      <c r="B432" s="107">
        <v>2021</v>
      </c>
      <c r="C432" s="107" t="s">
        <v>9</v>
      </c>
      <c r="D432" s="107" t="s">
        <v>132</v>
      </c>
      <c r="E432" s="107" t="s">
        <v>10</v>
      </c>
      <c r="F432" s="115">
        <v>7</v>
      </c>
      <c r="G432" s="107" t="s">
        <v>29</v>
      </c>
      <c r="H432" s="107" t="str">
        <f t="shared" si="36"/>
        <v>Area 7: San Juan Islands</v>
      </c>
      <c r="I432" s="107" t="str">
        <f>IFERROR(VLOOKUP(H432,LUTs!$A$1:$C$73,2,FALSE),"NA")</f>
        <v>NA</v>
      </c>
      <c r="J432" s="107" t="str">
        <f>IFERROR(VLOOKUP(H432,LUTs!$A$1:$C$73,3,FALSE),"NA")</f>
        <v>1North Puget Sound</v>
      </c>
      <c r="K432" s="107" t="s">
        <v>25</v>
      </c>
      <c r="L432" s="107" t="str">
        <f>VLOOKUP(K432,LUTs!E$2:G$14,3,)</f>
        <v>12Jefferson</v>
      </c>
      <c r="M432" s="107" t="str">
        <f>VLOOKUP($K432,LUTs!$E$2:$H$14,2,)</f>
        <v>Strait of Juan de Fuca</v>
      </c>
      <c r="N432" s="107" t="str">
        <f>VLOOKUP($K432,LUTs!$E$2:$H$14,4,)</f>
        <v>03Strait of Juan de Fuca</v>
      </c>
      <c r="O432" s="107">
        <v>42.041002277904298</v>
      </c>
      <c r="P432" s="107">
        <v>85.079455251844706</v>
      </c>
      <c r="Q432" s="107">
        <f t="shared" si="37"/>
        <v>42.041002277904298</v>
      </c>
      <c r="R432" s="107">
        <f t="shared" si="38"/>
        <v>85.079455251844706</v>
      </c>
      <c r="S432" s="140" t="str">
        <f t="shared" si="39"/>
        <v>N</v>
      </c>
      <c r="T432" s="154">
        <f t="shared" si="40"/>
        <v>2.023725664042038</v>
      </c>
      <c r="U432" s="154">
        <f t="shared" si="41"/>
        <v>2.023725664042038</v>
      </c>
    </row>
    <row r="433" spans="1:21" x14ac:dyDescent="0.35">
      <c r="A433" s="107">
        <v>3535</v>
      </c>
      <c r="B433" s="107">
        <v>2021</v>
      </c>
      <c r="C433" s="107" t="s">
        <v>9</v>
      </c>
      <c r="D433" s="107" t="s">
        <v>132</v>
      </c>
      <c r="E433" s="107" t="s">
        <v>10</v>
      </c>
      <c r="F433" s="115">
        <v>7</v>
      </c>
      <c r="G433" s="107" t="s">
        <v>29</v>
      </c>
      <c r="H433" s="107" t="str">
        <f t="shared" si="36"/>
        <v>Area 7: San Juan Islands</v>
      </c>
      <c r="I433" s="107" t="str">
        <f>IFERROR(VLOOKUP(H433,LUTs!$A$1:$C$73,2,FALSE),"NA")</f>
        <v>NA</v>
      </c>
      <c r="J433" s="107" t="str">
        <f>IFERROR(VLOOKUP(H433,LUTs!$A$1:$C$73,3,FALSE),"NA")</f>
        <v>1North Puget Sound</v>
      </c>
      <c r="K433" s="107" t="s">
        <v>18</v>
      </c>
      <c r="L433" s="107" t="str">
        <f>VLOOKUP(K433,LUTs!E$2:G$14,3,)</f>
        <v>06King</v>
      </c>
      <c r="M433" s="107" t="str">
        <f>VLOOKUP($K433,LUTs!$E$2:$H$14,2,)</f>
        <v>South Puget Sound</v>
      </c>
      <c r="N433" s="107" t="str">
        <f>VLOOKUP($K433,LUTs!$E$2:$H$14,4,)</f>
        <v>02South Puget Sound</v>
      </c>
      <c r="O433" s="107">
        <v>367.85876993166301</v>
      </c>
      <c r="P433" s="107">
        <v>744.44523345364098</v>
      </c>
      <c r="Q433" s="107">
        <f t="shared" si="37"/>
        <v>367.85876993166301</v>
      </c>
      <c r="R433" s="107">
        <f t="shared" si="38"/>
        <v>744.44523345364098</v>
      </c>
      <c r="S433" s="140" t="str">
        <f t="shared" si="39"/>
        <v>N</v>
      </c>
      <c r="T433" s="154">
        <f t="shared" si="40"/>
        <v>2.0237256640420354</v>
      </c>
      <c r="U433" s="154">
        <f t="shared" si="41"/>
        <v>2.0237256640420354</v>
      </c>
    </row>
    <row r="434" spans="1:21" x14ac:dyDescent="0.35">
      <c r="A434" s="107">
        <v>3560</v>
      </c>
      <c r="B434" s="107">
        <v>2021</v>
      </c>
      <c r="C434" s="107" t="s">
        <v>9</v>
      </c>
      <c r="D434" s="107" t="s">
        <v>132</v>
      </c>
      <c r="E434" s="107" t="s">
        <v>10</v>
      </c>
      <c r="F434" s="115">
        <v>7</v>
      </c>
      <c r="G434" s="107" t="s">
        <v>29</v>
      </c>
      <c r="H434" s="107" t="str">
        <f t="shared" si="36"/>
        <v>Area 7: San Juan Islands</v>
      </c>
      <c r="I434" s="107" t="str">
        <f>IFERROR(VLOOKUP(H434,LUTs!$A$1:$C$73,2,FALSE),"NA")</f>
        <v>NA</v>
      </c>
      <c r="J434" s="107" t="str">
        <f>IFERROR(VLOOKUP(H434,LUTs!$A$1:$C$73,3,FALSE),"NA")</f>
        <v>1North Puget Sound</v>
      </c>
      <c r="K434" s="107" t="s">
        <v>23</v>
      </c>
      <c r="L434" s="107" t="str">
        <f>VLOOKUP(K434,LUTs!E$2:G$14,3,)</f>
        <v>10Kitsap</v>
      </c>
      <c r="M434" s="107" t="str">
        <f>VLOOKUP($K434,LUTs!$E$2:$H$14,2,)</f>
        <v>South Puget Sound</v>
      </c>
      <c r="N434" s="107" t="str">
        <f>VLOOKUP($K434,LUTs!$E$2:$H$14,4,)</f>
        <v>02South Puget Sound</v>
      </c>
      <c r="O434" s="107">
        <v>63.061503416856503</v>
      </c>
      <c r="P434" s="107">
        <v>127.619182877767</v>
      </c>
      <c r="Q434" s="107">
        <f t="shared" si="37"/>
        <v>63.061503416856503</v>
      </c>
      <c r="R434" s="107">
        <f t="shared" si="38"/>
        <v>127.619182877767</v>
      </c>
      <c r="S434" s="140" t="str">
        <f t="shared" si="39"/>
        <v>N</v>
      </c>
      <c r="T434" s="154">
        <f t="shared" si="40"/>
        <v>2.0237256640420354</v>
      </c>
      <c r="U434" s="154">
        <f t="shared" si="41"/>
        <v>2.0237256640420354</v>
      </c>
    </row>
    <row r="435" spans="1:21" x14ac:dyDescent="0.35">
      <c r="A435" s="107">
        <v>3559</v>
      </c>
      <c r="B435" s="107">
        <v>2021</v>
      </c>
      <c r="C435" s="107" t="s">
        <v>9</v>
      </c>
      <c r="D435" s="107" t="s">
        <v>132</v>
      </c>
      <c r="E435" s="107" t="s">
        <v>10</v>
      </c>
      <c r="F435" s="115">
        <v>7</v>
      </c>
      <c r="G435" s="107" t="s">
        <v>29</v>
      </c>
      <c r="H435" s="107" t="str">
        <f t="shared" si="36"/>
        <v>Area 7: San Juan Islands</v>
      </c>
      <c r="I435" s="107" t="str">
        <f>IFERROR(VLOOKUP(H435,LUTs!$A$1:$C$73,2,FALSE),"NA")</f>
        <v>NA</v>
      </c>
      <c r="J435" s="107" t="str">
        <f>IFERROR(VLOOKUP(H435,LUTs!$A$1:$C$73,3,FALSE),"NA")</f>
        <v>1North Puget Sound</v>
      </c>
      <c r="K435" s="107" t="s">
        <v>22</v>
      </c>
      <c r="L435" s="107" t="str">
        <f>VLOOKUP(K435,LUTs!E$2:G$14,3,)</f>
        <v>09Mason</v>
      </c>
      <c r="M435" s="107" t="str">
        <f>VLOOKUP($K435,LUTs!$E$2:$H$14,2,)</f>
        <v>South Puget Sound</v>
      </c>
      <c r="N435" s="107" t="str">
        <f>VLOOKUP($K435,LUTs!$E$2:$H$14,4,)</f>
        <v>02South Puget Sound</v>
      </c>
      <c r="O435" s="107">
        <v>10.510250569476099</v>
      </c>
      <c r="P435" s="107">
        <v>21.269863812961201</v>
      </c>
      <c r="Q435" s="107">
        <f t="shared" si="37"/>
        <v>10.510250569476099</v>
      </c>
      <c r="R435" s="107">
        <f t="shared" si="38"/>
        <v>21.269863812961201</v>
      </c>
      <c r="S435" s="140" t="str">
        <f t="shared" si="39"/>
        <v>N</v>
      </c>
      <c r="T435" s="154">
        <f t="shared" si="40"/>
        <v>2.0237256640420354</v>
      </c>
      <c r="U435" s="154">
        <f t="shared" si="41"/>
        <v>2.0237256640420354</v>
      </c>
    </row>
    <row r="436" spans="1:21" x14ac:dyDescent="0.35">
      <c r="A436" s="107">
        <v>3562</v>
      </c>
      <c r="B436" s="107">
        <v>2021</v>
      </c>
      <c r="C436" s="107" t="s">
        <v>9</v>
      </c>
      <c r="D436" s="107" t="s">
        <v>132</v>
      </c>
      <c r="E436" s="107" t="s">
        <v>10</v>
      </c>
      <c r="F436" s="115">
        <v>7</v>
      </c>
      <c r="G436" s="107" t="s">
        <v>29</v>
      </c>
      <c r="H436" s="107" t="str">
        <f t="shared" si="36"/>
        <v>Area 7: San Juan Islands</v>
      </c>
      <c r="I436" s="107" t="str">
        <f>IFERROR(VLOOKUP(H436,LUTs!$A$1:$C$73,2,FALSE),"NA")</f>
        <v>NA</v>
      </c>
      <c r="J436" s="107" t="str">
        <f>IFERROR(VLOOKUP(H436,LUTs!$A$1:$C$73,3,FALSE),"NA")</f>
        <v>1North Puget Sound</v>
      </c>
      <c r="K436" s="107" t="s">
        <v>26</v>
      </c>
      <c r="L436" s="107" t="str">
        <f>VLOOKUP(K436,LUTs!E$2:G$14,3,)</f>
        <v>20Other</v>
      </c>
      <c r="M436" s="107" t="str">
        <f>VLOOKUP($K436,LUTs!$E$2:$H$14,2,)</f>
        <v>Non Puget Sound</v>
      </c>
      <c r="N436" s="107" t="str">
        <f>VLOOKUP($K436,LUTs!$E$2:$H$14,4,)</f>
        <v>07Non Puget Sound</v>
      </c>
      <c r="O436" s="107">
        <v>472.96127562642403</v>
      </c>
      <c r="P436" s="107">
        <v>957.14387158325303</v>
      </c>
      <c r="Q436" s="107">
        <f t="shared" si="37"/>
        <v>472.96127562642403</v>
      </c>
      <c r="R436" s="107">
        <f t="shared" si="38"/>
        <v>957.14387158325303</v>
      </c>
      <c r="S436" s="140" t="str">
        <f t="shared" si="39"/>
        <v>N</v>
      </c>
      <c r="T436" s="154">
        <f t="shared" si="40"/>
        <v>2.0237256640420354</v>
      </c>
      <c r="U436" s="154">
        <f t="shared" si="41"/>
        <v>2.0237256640420354</v>
      </c>
    </row>
    <row r="437" spans="1:21" x14ac:dyDescent="0.35">
      <c r="A437" s="107">
        <v>3536</v>
      </c>
      <c r="B437" s="107">
        <v>2021</v>
      </c>
      <c r="C437" s="107" t="s">
        <v>9</v>
      </c>
      <c r="D437" s="107" t="s">
        <v>132</v>
      </c>
      <c r="E437" s="107" t="s">
        <v>10</v>
      </c>
      <c r="F437" s="115">
        <v>7</v>
      </c>
      <c r="G437" s="107" t="s">
        <v>29</v>
      </c>
      <c r="H437" s="107" t="str">
        <f t="shared" si="36"/>
        <v>Area 7: San Juan Islands</v>
      </c>
      <c r="I437" s="107" t="str">
        <f>IFERROR(VLOOKUP(H437,LUTs!$A$1:$C$73,2,FALSE),"NA")</f>
        <v>NA</v>
      </c>
      <c r="J437" s="107" t="str">
        <f>IFERROR(VLOOKUP(H437,LUTs!$A$1:$C$73,3,FALSE),"NA")</f>
        <v>1North Puget Sound</v>
      </c>
      <c r="K437" s="107" t="s">
        <v>20</v>
      </c>
      <c r="L437" s="107" t="str">
        <f>VLOOKUP(K437,LUTs!E$2:G$14,3,)</f>
        <v>07Pierce</v>
      </c>
      <c r="M437" s="107" t="str">
        <f>VLOOKUP($K437,LUTs!$E$2:$H$14,2,)</f>
        <v>South Puget Sound</v>
      </c>
      <c r="N437" s="107" t="str">
        <f>VLOOKUP($K437,LUTs!$E$2:$H$14,4,)</f>
        <v>02South Puget Sound</v>
      </c>
      <c r="O437" s="107">
        <v>52.551252847380397</v>
      </c>
      <c r="P437" s="107">
        <v>106.349319064806</v>
      </c>
      <c r="Q437" s="107">
        <f t="shared" si="37"/>
        <v>52.551252847380397</v>
      </c>
      <c r="R437" s="107">
        <f t="shared" si="38"/>
        <v>106.349319064806</v>
      </c>
      <c r="S437" s="140" t="str">
        <f t="shared" si="39"/>
        <v>N</v>
      </c>
      <c r="T437" s="154">
        <f t="shared" si="40"/>
        <v>2.0237256640420394</v>
      </c>
      <c r="U437" s="154">
        <f t="shared" si="41"/>
        <v>2.0237256640420394</v>
      </c>
    </row>
    <row r="438" spans="1:21" x14ac:dyDescent="0.35">
      <c r="A438" s="107">
        <v>3534</v>
      </c>
      <c r="B438" s="107">
        <v>2021</v>
      </c>
      <c r="C438" s="107" t="s">
        <v>9</v>
      </c>
      <c r="D438" s="107" t="s">
        <v>132</v>
      </c>
      <c r="E438" s="107" t="s">
        <v>10</v>
      </c>
      <c r="F438" s="115">
        <v>7</v>
      </c>
      <c r="G438" s="107" t="s">
        <v>29</v>
      </c>
      <c r="H438" s="107" t="str">
        <f t="shared" si="36"/>
        <v>Area 7: San Juan Islands</v>
      </c>
      <c r="I438" s="107" t="str">
        <f>IFERROR(VLOOKUP(H438,LUTs!$A$1:$C$73,2,FALSE),"NA")</f>
        <v>NA</v>
      </c>
      <c r="J438" s="107" t="str">
        <f>IFERROR(VLOOKUP(H438,LUTs!$A$1:$C$73,3,FALSE),"NA")</f>
        <v>1North Puget Sound</v>
      </c>
      <c r="K438" s="107" t="s">
        <v>30</v>
      </c>
      <c r="L438" s="107" t="str">
        <f>VLOOKUP(K438,LUTs!E$2:G$14,3,)</f>
        <v>05San Juan</v>
      </c>
      <c r="M438" s="107" t="str">
        <f>VLOOKUP($K438,LUTs!$E$2:$H$14,2,)</f>
        <v>North Puget Sound</v>
      </c>
      <c r="N438" s="107" t="str">
        <f>VLOOKUP($K438,LUTs!$E$2:$H$14,4,)</f>
        <v>01North Puget Sound</v>
      </c>
      <c r="O438" s="107">
        <v>262.75626423690198</v>
      </c>
      <c r="P438" s="107">
        <v>531.74659532402904</v>
      </c>
      <c r="Q438" s="107">
        <f t="shared" si="37"/>
        <v>262.75626423690198</v>
      </c>
      <c r="R438" s="107">
        <f t="shared" si="38"/>
        <v>531.74659532402904</v>
      </c>
      <c r="S438" s="140" t="str">
        <f t="shared" si="39"/>
        <v>N</v>
      </c>
      <c r="T438" s="154">
        <f t="shared" si="40"/>
        <v>2.0237256640420358</v>
      </c>
      <c r="U438" s="154">
        <f t="shared" si="41"/>
        <v>2.0237256640420358</v>
      </c>
    </row>
    <row r="439" spans="1:21" x14ac:dyDescent="0.35">
      <c r="A439" s="107">
        <v>3531</v>
      </c>
      <c r="B439" s="107">
        <v>2021</v>
      </c>
      <c r="C439" s="107" t="s">
        <v>9</v>
      </c>
      <c r="D439" s="107" t="s">
        <v>132</v>
      </c>
      <c r="E439" s="107" t="s">
        <v>10</v>
      </c>
      <c r="F439" s="115">
        <v>7</v>
      </c>
      <c r="G439" s="107" t="s">
        <v>29</v>
      </c>
      <c r="H439" s="107" t="str">
        <f t="shared" si="36"/>
        <v>Area 7: San Juan Islands</v>
      </c>
      <c r="I439" s="107" t="str">
        <f>IFERROR(VLOOKUP(H439,LUTs!$A$1:$C$73,2,FALSE),"NA")</f>
        <v>NA</v>
      </c>
      <c r="J439" s="107" t="str">
        <f>IFERROR(VLOOKUP(H439,LUTs!$A$1:$C$73,3,FALSE),"NA")</f>
        <v>1North Puget Sound</v>
      </c>
      <c r="K439" s="107" t="s">
        <v>15</v>
      </c>
      <c r="L439" s="107" t="str">
        <f>VLOOKUP(K439,LUTs!E$2:G$14,3,)</f>
        <v>02Skagit</v>
      </c>
      <c r="M439" s="107" t="str">
        <f>VLOOKUP($K439,LUTs!$E$2:$H$14,2,)</f>
        <v>North Puget Sound</v>
      </c>
      <c r="N439" s="107" t="str">
        <f>VLOOKUP($K439,LUTs!$E$2:$H$14,4,)</f>
        <v>01North Puget Sound</v>
      </c>
      <c r="O439" s="107">
        <v>1208.6788154897499</v>
      </c>
      <c r="P439" s="107">
        <v>2446.03433849053</v>
      </c>
      <c r="Q439" s="107">
        <f t="shared" si="37"/>
        <v>1208.6788154897499</v>
      </c>
      <c r="R439" s="107">
        <f t="shared" si="38"/>
        <v>2446.03433849053</v>
      </c>
      <c r="S439" s="140" t="str">
        <f t="shared" si="39"/>
        <v>N</v>
      </c>
      <c r="T439" s="154">
        <f t="shared" si="40"/>
        <v>2.0237256640420314</v>
      </c>
      <c r="U439" s="154">
        <f t="shared" si="41"/>
        <v>2.0237256640420314</v>
      </c>
    </row>
    <row r="440" spans="1:21" x14ac:dyDescent="0.35">
      <c r="A440" s="107">
        <v>3532</v>
      </c>
      <c r="B440" s="107">
        <v>2021</v>
      </c>
      <c r="C440" s="107" t="s">
        <v>9</v>
      </c>
      <c r="D440" s="107" t="s">
        <v>132</v>
      </c>
      <c r="E440" s="107" t="s">
        <v>10</v>
      </c>
      <c r="F440" s="115">
        <v>7</v>
      </c>
      <c r="G440" s="107" t="s">
        <v>29</v>
      </c>
      <c r="H440" s="107" t="str">
        <f t="shared" si="36"/>
        <v>Area 7: San Juan Islands</v>
      </c>
      <c r="I440" s="107" t="str">
        <f>IFERROR(VLOOKUP(H440,LUTs!$A$1:$C$73,2,FALSE),"NA")</f>
        <v>NA</v>
      </c>
      <c r="J440" s="107" t="str">
        <f>IFERROR(VLOOKUP(H440,LUTs!$A$1:$C$73,3,FALSE),"NA")</f>
        <v>1North Puget Sound</v>
      </c>
      <c r="K440" s="107" t="s">
        <v>16</v>
      </c>
      <c r="L440" s="107" t="str">
        <f>VLOOKUP(K440,LUTs!E$2:G$14,3,)</f>
        <v>03Snohomish</v>
      </c>
      <c r="M440" s="107" t="str">
        <f>VLOOKUP($K440,LUTs!$E$2:$H$14,2,)</f>
        <v>North Puget Sound</v>
      </c>
      <c r="N440" s="107" t="str">
        <f>VLOOKUP($K440,LUTs!$E$2:$H$14,4,)</f>
        <v>01North Puget Sound</v>
      </c>
      <c r="O440" s="107">
        <v>557.04328018223202</v>
      </c>
      <c r="P440" s="107">
        <v>1127.3027820869399</v>
      </c>
      <c r="Q440" s="107">
        <f t="shared" si="37"/>
        <v>557.04328018223202</v>
      </c>
      <c r="R440" s="107">
        <f t="shared" si="38"/>
        <v>1127.3027820869399</v>
      </c>
      <c r="S440" s="140" t="str">
        <f t="shared" si="39"/>
        <v>N</v>
      </c>
      <c r="T440" s="154">
        <f t="shared" si="40"/>
        <v>2.0237256640420331</v>
      </c>
      <c r="U440" s="154">
        <f t="shared" si="41"/>
        <v>2.0237256640420331</v>
      </c>
    </row>
    <row r="441" spans="1:21" x14ac:dyDescent="0.35">
      <c r="A441" s="107">
        <v>3537</v>
      </c>
      <c r="B441" s="107">
        <v>2021</v>
      </c>
      <c r="C441" s="107" t="s">
        <v>9</v>
      </c>
      <c r="D441" s="107" t="s">
        <v>132</v>
      </c>
      <c r="E441" s="107" t="s">
        <v>10</v>
      </c>
      <c r="F441" s="115">
        <v>7</v>
      </c>
      <c r="G441" s="107" t="s">
        <v>29</v>
      </c>
      <c r="H441" s="107" t="str">
        <f t="shared" si="36"/>
        <v>Area 7: San Juan Islands</v>
      </c>
      <c r="I441" s="107" t="str">
        <f>IFERROR(VLOOKUP(H441,LUTs!$A$1:$C$73,2,FALSE),"NA")</f>
        <v>NA</v>
      </c>
      <c r="J441" s="107" t="str">
        <f>IFERROR(VLOOKUP(H441,LUTs!$A$1:$C$73,3,FALSE),"NA")</f>
        <v>1North Puget Sound</v>
      </c>
      <c r="K441" s="107" t="s">
        <v>21</v>
      </c>
      <c r="L441" s="107" t="str">
        <f>VLOOKUP(K441,LUTs!E$2:G$14,3,)</f>
        <v>08Thurston</v>
      </c>
      <c r="M441" s="107" t="str">
        <f>VLOOKUP($K441,LUTs!$E$2:$H$14,2,)</f>
        <v>South Puget Sound</v>
      </c>
      <c r="N441" s="107" t="str">
        <f>VLOOKUP($K441,LUTs!$E$2:$H$14,4,)</f>
        <v>02South Puget Sound</v>
      </c>
      <c r="O441" s="107">
        <v>63.061503416856503</v>
      </c>
      <c r="P441" s="107">
        <v>127.619182877767</v>
      </c>
      <c r="Q441" s="107">
        <f t="shared" si="37"/>
        <v>63.061503416856503</v>
      </c>
      <c r="R441" s="107">
        <f t="shared" si="38"/>
        <v>127.619182877767</v>
      </c>
      <c r="S441" s="140" t="str">
        <f t="shared" si="39"/>
        <v>N</v>
      </c>
      <c r="T441" s="154">
        <f t="shared" si="40"/>
        <v>2.0237256640420354</v>
      </c>
      <c r="U441" s="154">
        <f t="shared" si="41"/>
        <v>2.0237256640420354</v>
      </c>
    </row>
    <row r="442" spans="1:21" x14ac:dyDescent="0.35">
      <c r="A442" s="107">
        <v>3528</v>
      </c>
      <c r="B442" s="107">
        <v>2021</v>
      </c>
      <c r="C442" s="107" t="s">
        <v>9</v>
      </c>
      <c r="D442" s="107" t="s">
        <v>132</v>
      </c>
      <c r="E442" s="107" t="s">
        <v>10</v>
      </c>
      <c r="F442" s="115">
        <v>7</v>
      </c>
      <c r="G442" s="107" t="s">
        <v>29</v>
      </c>
      <c r="H442" s="107" t="str">
        <f t="shared" si="36"/>
        <v>Area 7: San Juan Islands</v>
      </c>
      <c r="I442" s="107" t="str">
        <f>IFERROR(VLOOKUP(H442,LUTs!$A$1:$C$73,2,FALSE),"NA")</f>
        <v>NA</v>
      </c>
      <c r="J442" s="107" t="str">
        <f>IFERROR(VLOOKUP(H442,LUTs!$A$1:$C$73,3,FALSE),"NA")</f>
        <v>1North Puget Sound</v>
      </c>
      <c r="K442" s="107" t="s">
        <v>13</v>
      </c>
      <c r="L442" s="107" t="str">
        <f>VLOOKUP(K442,LUTs!E$2:G$14,3,)</f>
        <v>01Whatcom</v>
      </c>
      <c r="M442" s="107" t="str">
        <f>VLOOKUP($K442,LUTs!$E$2:$H$14,2,)</f>
        <v>North Puget Sound</v>
      </c>
      <c r="N442" s="107" t="str">
        <f>VLOOKUP($K442,LUTs!$E$2:$H$14,4,)</f>
        <v>01North Puget Sound</v>
      </c>
      <c r="O442" s="107">
        <v>1366.3325740318901</v>
      </c>
      <c r="P442" s="107">
        <v>2765.0822956849502</v>
      </c>
      <c r="Q442" s="107">
        <f t="shared" si="37"/>
        <v>1366.3325740318901</v>
      </c>
      <c r="R442" s="107">
        <f t="shared" si="38"/>
        <v>2765.0822956849502</v>
      </c>
      <c r="S442" s="140" t="str">
        <f t="shared" si="39"/>
        <v>N</v>
      </c>
      <c r="T442" s="154">
        <f t="shared" si="40"/>
        <v>2.0237256640420354</v>
      </c>
      <c r="U442" s="154">
        <f t="shared" si="41"/>
        <v>2.0237256640420354</v>
      </c>
    </row>
    <row r="443" spans="1:21" x14ac:dyDescent="0.35">
      <c r="A443" s="107">
        <v>2825</v>
      </c>
      <c r="B443" s="107">
        <v>2010</v>
      </c>
      <c r="C443" s="107" t="s">
        <v>9</v>
      </c>
      <c r="D443" s="107" t="s">
        <v>132</v>
      </c>
      <c r="E443" s="107" t="s">
        <v>10</v>
      </c>
      <c r="F443" s="115">
        <v>9</v>
      </c>
      <c r="G443" s="107" t="s">
        <v>33</v>
      </c>
      <c r="H443" s="107" t="str">
        <f t="shared" si="36"/>
        <v>Area 9: Admiralty Inlet</v>
      </c>
      <c r="I443" s="107" t="str">
        <f>IFERROR(VLOOKUP(H443,LUTs!$A$1:$C$73,2,FALSE),"NA")</f>
        <v>NA</v>
      </c>
      <c r="J443" s="107" t="str">
        <f>IFERROR(VLOOKUP(H443,LUTs!$A$1:$C$73,3,FALSE),"NA")</f>
        <v>2Central Puget Sound</v>
      </c>
      <c r="K443" s="107" t="s">
        <v>24</v>
      </c>
      <c r="L443" s="107" t="str">
        <f>VLOOKUP(K443,LUTs!E$2:G$14,3,)</f>
        <v>11Clallam</v>
      </c>
      <c r="M443" s="107" t="str">
        <f>VLOOKUP($K443,LUTs!$E$2:$H$14,2,)</f>
        <v>Strait of Juan de Fuca</v>
      </c>
      <c r="N443" s="107" t="str">
        <f>VLOOKUP($K443,LUTs!$E$2:$H$14,4,)</f>
        <v>03Strait of Juan de Fuca</v>
      </c>
      <c r="O443" s="107">
        <v>67.730296827021505</v>
      </c>
      <c r="P443" s="107">
        <v>549.92398669396096</v>
      </c>
      <c r="Q443" s="107">
        <f t="shared" si="37"/>
        <v>67.730296827021505</v>
      </c>
      <c r="R443" s="107">
        <f t="shared" si="38"/>
        <v>549.92398669396096</v>
      </c>
      <c r="S443" s="140" t="str">
        <f t="shared" si="39"/>
        <v>Y</v>
      </c>
      <c r="T443" s="154">
        <f t="shared" si="40"/>
        <v>8.1193204881181718</v>
      </c>
      <c r="U443" s="154">
        <f t="shared" si="41"/>
        <v>8.1193204881181718</v>
      </c>
    </row>
    <row r="444" spans="1:21" x14ac:dyDescent="0.35">
      <c r="A444" s="107">
        <v>2719</v>
      </c>
      <c r="B444" s="107">
        <v>2010</v>
      </c>
      <c r="C444" s="107" t="s">
        <v>9</v>
      </c>
      <c r="D444" s="107" t="s">
        <v>132</v>
      </c>
      <c r="E444" s="107" t="s">
        <v>10</v>
      </c>
      <c r="F444" s="115">
        <v>9</v>
      </c>
      <c r="G444" s="107" t="s">
        <v>33</v>
      </c>
      <c r="H444" s="107" t="str">
        <f t="shared" si="36"/>
        <v>Area 9: Admiralty Inlet</v>
      </c>
      <c r="I444" s="107" t="str">
        <f>IFERROR(VLOOKUP(H444,LUTs!$A$1:$C$73,2,FALSE),"NA")</f>
        <v>NA</v>
      </c>
      <c r="J444" s="107" t="str">
        <f>IFERROR(VLOOKUP(H444,LUTs!$A$1:$C$73,3,FALSE),"NA")</f>
        <v>2Central Puget Sound</v>
      </c>
      <c r="K444" s="107" t="s">
        <v>17</v>
      </c>
      <c r="L444" s="107" t="str">
        <f>VLOOKUP(K444,LUTs!E$2:G$14,3,)</f>
        <v>04Island</v>
      </c>
      <c r="M444" s="107" t="str">
        <f>VLOOKUP($K444,LUTs!$E$2:$H$14,2,)</f>
        <v>North Puget Sound</v>
      </c>
      <c r="N444" s="107" t="str">
        <f>VLOOKUP($K444,LUTs!$E$2:$H$14,4,)</f>
        <v>01North Puget Sound</v>
      </c>
      <c r="O444" s="107">
        <v>749.017400204708</v>
      </c>
      <c r="P444" s="107">
        <v>6081.5123234391003</v>
      </c>
      <c r="Q444" s="107">
        <f t="shared" si="37"/>
        <v>749.017400204708</v>
      </c>
      <c r="R444" s="107">
        <f t="shared" si="38"/>
        <v>6081.5123234391003</v>
      </c>
      <c r="S444" s="140" t="str">
        <f t="shared" si="39"/>
        <v>Y</v>
      </c>
      <c r="T444" s="154">
        <f t="shared" si="40"/>
        <v>8.1193204881181806</v>
      </c>
      <c r="U444" s="154">
        <f t="shared" si="41"/>
        <v>8.1193204881181806</v>
      </c>
    </row>
    <row r="445" spans="1:21" x14ac:dyDescent="0.35">
      <c r="A445" s="107">
        <v>2826</v>
      </c>
      <c r="B445" s="107">
        <v>2010</v>
      </c>
      <c r="C445" s="107" t="s">
        <v>9</v>
      </c>
      <c r="D445" s="107" t="s">
        <v>132</v>
      </c>
      <c r="E445" s="107" t="s">
        <v>10</v>
      </c>
      <c r="F445" s="115">
        <v>9</v>
      </c>
      <c r="G445" s="107" t="s">
        <v>33</v>
      </c>
      <c r="H445" s="107" t="str">
        <f t="shared" si="36"/>
        <v>Area 9: Admiralty Inlet</v>
      </c>
      <c r="I445" s="107" t="str">
        <f>IFERROR(VLOOKUP(H445,LUTs!$A$1:$C$73,2,FALSE),"NA")</f>
        <v>NA</v>
      </c>
      <c r="J445" s="107" t="str">
        <f>IFERROR(VLOOKUP(H445,LUTs!$A$1:$C$73,3,FALSE),"NA")</f>
        <v>2Central Puget Sound</v>
      </c>
      <c r="K445" s="107" t="s">
        <v>25</v>
      </c>
      <c r="L445" s="107" t="str">
        <f>VLOOKUP(K445,LUTs!E$2:G$14,3,)</f>
        <v>12Jefferson</v>
      </c>
      <c r="M445" s="107" t="str">
        <f>VLOOKUP($K445,LUTs!$E$2:$H$14,2,)</f>
        <v>Strait of Juan de Fuca</v>
      </c>
      <c r="N445" s="107" t="str">
        <f>VLOOKUP($K445,LUTs!$E$2:$H$14,4,)</f>
        <v>03Strait of Juan de Fuca</v>
      </c>
      <c r="O445" s="107">
        <v>729.09672466734901</v>
      </c>
      <c r="P445" s="107">
        <v>5919.7699744114598</v>
      </c>
      <c r="Q445" s="107">
        <f t="shared" si="37"/>
        <v>729.09672466734901</v>
      </c>
      <c r="R445" s="107">
        <f t="shared" si="38"/>
        <v>5919.7699744114598</v>
      </c>
      <c r="S445" s="140" t="str">
        <f t="shared" si="39"/>
        <v>Y</v>
      </c>
      <c r="T445" s="154">
        <f t="shared" si="40"/>
        <v>8.11932048811817</v>
      </c>
      <c r="U445" s="154">
        <f t="shared" si="41"/>
        <v>8.11932048811817</v>
      </c>
    </row>
    <row r="446" spans="1:21" x14ac:dyDescent="0.35">
      <c r="A446" s="107">
        <v>2721</v>
      </c>
      <c r="B446" s="107">
        <v>2010</v>
      </c>
      <c r="C446" s="107" t="s">
        <v>9</v>
      </c>
      <c r="D446" s="107" t="s">
        <v>132</v>
      </c>
      <c r="E446" s="107" t="s">
        <v>10</v>
      </c>
      <c r="F446" s="115">
        <v>9</v>
      </c>
      <c r="G446" s="107" t="s">
        <v>33</v>
      </c>
      <c r="H446" s="107" t="str">
        <f t="shared" si="36"/>
        <v>Area 9: Admiralty Inlet</v>
      </c>
      <c r="I446" s="107" t="str">
        <f>IFERROR(VLOOKUP(H446,LUTs!$A$1:$C$73,2,FALSE),"NA")</f>
        <v>NA</v>
      </c>
      <c r="J446" s="107" t="str">
        <f>IFERROR(VLOOKUP(H446,LUTs!$A$1:$C$73,3,FALSE),"NA")</f>
        <v>2Central Puget Sound</v>
      </c>
      <c r="K446" s="107" t="s">
        <v>18</v>
      </c>
      <c r="L446" s="107" t="str">
        <f>VLOOKUP(K446,LUTs!E$2:G$14,3,)</f>
        <v>06King</v>
      </c>
      <c r="M446" s="107" t="str">
        <f>VLOOKUP($K446,LUTs!$E$2:$H$14,2,)</f>
        <v>South Puget Sound</v>
      </c>
      <c r="N446" s="107" t="str">
        <f>VLOOKUP($K446,LUTs!$E$2:$H$14,4,)</f>
        <v>02South Puget Sound</v>
      </c>
      <c r="O446" s="107">
        <v>1577.7175025588499</v>
      </c>
      <c r="P446" s="107">
        <v>12809.994042988699</v>
      </c>
      <c r="Q446" s="107">
        <f t="shared" si="37"/>
        <v>1577.7175025588499</v>
      </c>
      <c r="R446" s="107">
        <f t="shared" si="38"/>
        <v>12809.994042988699</v>
      </c>
      <c r="S446" s="140" t="str">
        <f t="shared" si="39"/>
        <v>Y</v>
      </c>
      <c r="T446" s="154">
        <f t="shared" si="40"/>
        <v>8.1193204881181682</v>
      </c>
      <c r="U446" s="154">
        <f t="shared" si="41"/>
        <v>8.1193204881181682</v>
      </c>
    </row>
    <row r="447" spans="1:21" x14ac:dyDescent="0.35">
      <c r="A447" s="107">
        <v>2824</v>
      </c>
      <c r="B447" s="107">
        <v>2010</v>
      </c>
      <c r="C447" s="107" t="s">
        <v>9</v>
      </c>
      <c r="D447" s="107" t="s">
        <v>132</v>
      </c>
      <c r="E447" s="107" t="s">
        <v>10</v>
      </c>
      <c r="F447" s="115">
        <v>9</v>
      </c>
      <c r="G447" s="107" t="s">
        <v>33</v>
      </c>
      <c r="H447" s="107" t="str">
        <f t="shared" si="36"/>
        <v>Area 9: Admiralty Inlet</v>
      </c>
      <c r="I447" s="107" t="str">
        <f>IFERROR(VLOOKUP(H447,LUTs!$A$1:$C$73,2,FALSE),"NA")</f>
        <v>NA</v>
      </c>
      <c r="J447" s="107" t="str">
        <f>IFERROR(VLOOKUP(H447,LUTs!$A$1:$C$73,3,FALSE),"NA")</f>
        <v>2Central Puget Sound</v>
      </c>
      <c r="K447" s="107" t="s">
        <v>23</v>
      </c>
      <c r="L447" s="107" t="str">
        <f>VLOOKUP(K447,LUTs!E$2:G$14,3,)</f>
        <v>10Kitsap</v>
      </c>
      <c r="M447" s="107" t="str">
        <f>VLOOKUP($K447,LUTs!$E$2:$H$14,2,)</f>
        <v>South Puget Sound</v>
      </c>
      <c r="N447" s="107" t="str">
        <f>VLOOKUP($K447,LUTs!$E$2:$H$14,4,)</f>
        <v>02South Puget Sound</v>
      </c>
      <c r="O447" s="107">
        <v>1063.76407369498</v>
      </c>
      <c r="P447" s="107">
        <v>8637.0414380757393</v>
      </c>
      <c r="Q447" s="107">
        <f t="shared" si="37"/>
        <v>1063.76407369498</v>
      </c>
      <c r="R447" s="107">
        <f t="shared" si="38"/>
        <v>8637.0414380757393</v>
      </c>
      <c r="S447" s="140" t="str">
        <f t="shared" si="39"/>
        <v>Y</v>
      </c>
      <c r="T447" s="154">
        <f t="shared" si="40"/>
        <v>8.1193204881182091</v>
      </c>
      <c r="U447" s="154">
        <f t="shared" si="41"/>
        <v>8.1193204881182091</v>
      </c>
    </row>
    <row r="448" spans="1:21" x14ac:dyDescent="0.35">
      <c r="A448" s="107">
        <v>2823</v>
      </c>
      <c r="B448" s="107">
        <v>2010</v>
      </c>
      <c r="C448" s="107" t="s">
        <v>9</v>
      </c>
      <c r="D448" s="107" t="s">
        <v>132</v>
      </c>
      <c r="E448" s="107" t="s">
        <v>10</v>
      </c>
      <c r="F448" s="115">
        <v>9</v>
      </c>
      <c r="G448" s="107" t="s">
        <v>33</v>
      </c>
      <c r="H448" s="107" t="str">
        <f t="shared" si="36"/>
        <v>Area 9: Admiralty Inlet</v>
      </c>
      <c r="I448" s="107" t="str">
        <f>IFERROR(VLOOKUP(H448,LUTs!$A$1:$C$73,2,FALSE),"NA")</f>
        <v>NA</v>
      </c>
      <c r="J448" s="107" t="str">
        <f>IFERROR(VLOOKUP(H448,LUTs!$A$1:$C$73,3,FALSE),"NA")</f>
        <v>2Central Puget Sound</v>
      </c>
      <c r="K448" s="107" t="s">
        <v>22</v>
      </c>
      <c r="L448" s="107" t="str">
        <f>VLOOKUP(K448,LUTs!E$2:G$14,3,)</f>
        <v>09Mason</v>
      </c>
      <c r="M448" s="107" t="str">
        <f>VLOOKUP($K448,LUTs!$E$2:$H$14,2,)</f>
        <v>South Puget Sound</v>
      </c>
      <c r="N448" s="107" t="str">
        <f>VLOOKUP($K448,LUTs!$E$2:$H$14,4,)</f>
        <v>02South Puget Sound</v>
      </c>
      <c r="O448" s="107">
        <v>15.936540429887399</v>
      </c>
      <c r="P448" s="107">
        <v>129.39387922210901</v>
      </c>
      <c r="Q448" s="107">
        <f t="shared" si="37"/>
        <v>15.936540429887399</v>
      </c>
      <c r="R448" s="107">
        <f t="shared" si="38"/>
        <v>129.39387922210901</v>
      </c>
      <c r="S448" s="140" t="str">
        <f t="shared" si="39"/>
        <v>Y</v>
      </c>
      <c r="T448" s="154">
        <f t="shared" si="40"/>
        <v>8.1193204881182144</v>
      </c>
      <c r="U448" s="154">
        <f t="shared" si="41"/>
        <v>8.1193204881182144</v>
      </c>
    </row>
    <row r="449" spans="1:21" x14ac:dyDescent="0.35">
      <c r="A449" s="107">
        <v>2827</v>
      </c>
      <c r="B449" s="107">
        <v>2010</v>
      </c>
      <c r="C449" s="107" t="s">
        <v>9</v>
      </c>
      <c r="D449" s="107" t="s">
        <v>132</v>
      </c>
      <c r="E449" s="107" t="s">
        <v>10</v>
      </c>
      <c r="F449" s="115">
        <v>9</v>
      </c>
      <c r="G449" s="107" t="s">
        <v>33</v>
      </c>
      <c r="H449" s="107" t="str">
        <f t="shared" si="36"/>
        <v>Area 9: Admiralty Inlet</v>
      </c>
      <c r="I449" s="107" t="str">
        <f>IFERROR(VLOOKUP(H449,LUTs!$A$1:$C$73,2,FALSE),"NA")</f>
        <v>NA</v>
      </c>
      <c r="J449" s="107" t="str">
        <f>IFERROR(VLOOKUP(H449,LUTs!$A$1:$C$73,3,FALSE),"NA")</f>
        <v>2Central Puget Sound</v>
      </c>
      <c r="K449" s="107" t="s">
        <v>26</v>
      </c>
      <c r="L449" s="107" t="str">
        <f>VLOOKUP(K449,LUTs!E$2:G$14,3,)</f>
        <v>20Other</v>
      </c>
      <c r="M449" s="107" t="str">
        <f>VLOOKUP($K449,LUTs!$E$2:$H$14,2,)</f>
        <v>Non Puget Sound</v>
      </c>
      <c r="N449" s="107" t="str">
        <f>VLOOKUP($K449,LUTs!$E$2:$H$14,4,)</f>
        <v>07Non Puget Sound</v>
      </c>
      <c r="O449" s="107">
        <v>649.41402251791203</v>
      </c>
      <c r="P449" s="107">
        <v>5272.8005783009203</v>
      </c>
      <c r="Q449" s="107">
        <f t="shared" si="37"/>
        <v>649.41402251791203</v>
      </c>
      <c r="R449" s="107">
        <f t="shared" si="38"/>
        <v>5272.8005783009203</v>
      </c>
      <c r="S449" s="140" t="str">
        <f t="shared" si="39"/>
        <v>Y</v>
      </c>
      <c r="T449" s="154">
        <f t="shared" si="40"/>
        <v>8.1193204881181735</v>
      </c>
      <c r="U449" s="154">
        <f t="shared" si="41"/>
        <v>8.1193204881181735</v>
      </c>
    </row>
    <row r="450" spans="1:21" x14ac:dyDescent="0.35">
      <c r="A450" s="107">
        <v>2722</v>
      </c>
      <c r="B450" s="107">
        <v>2010</v>
      </c>
      <c r="C450" s="107" t="s">
        <v>9</v>
      </c>
      <c r="D450" s="107" t="s">
        <v>132</v>
      </c>
      <c r="E450" s="107" t="s">
        <v>10</v>
      </c>
      <c r="F450" s="115">
        <v>9</v>
      </c>
      <c r="G450" s="107" t="s">
        <v>33</v>
      </c>
      <c r="H450" s="107" t="str">
        <f t="shared" ref="H450:H513" si="42">G450</f>
        <v>Area 9: Admiralty Inlet</v>
      </c>
      <c r="I450" s="107" t="str">
        <f>IFERROR(VLOOKUP(H450,LUTs!$A$1:$C$73,2,FALSE),"NA")</f>
        <v>NA</v>
      </c>
      <c r="J450" s="107" t="str">
        <f>IFERROR(VLOOKUP(H450,LUTs!$A$1:$C$73,3,FALSE),"NA")</f>
        <v>2Central Puget Sound</v>
      </c>
      <c r="K450" s="107" t="s">
        <v>20</v>
      </c>
      <c r="L450" s="107" t="str">
        <f>VLOOKUP(K450,LUTs!E$2:G$14,3,)</f>
        <v>07Pierce</v>
      </c>
      <c r="M450" s="107" t="str">
        <f>VLOOKUP($K450,LUTs!$E$2:$H$14,2,)</f>
        <v>South Puget Sound</v>
      </c>
      <c r="N450" s="107" t="str">
        <f>VLOOKUP($K450,LUTs!$E$2:$H$14,4,)</f>
        <v>02South Puget Sound</v>
      </c>
      <c r="O450" s="107">
        <v>191.23848515864901</v>
      </c>
      <c r="P450" s="107">
        <v>1552.7265506653</v>
      </c>
      <c r="Q450" s="107">
        <f t="shared" ref="Q450:Q513" si="43">O450</f>
        <v>191.23848515864901</v>
      </c>
      <c r="R450" s="107">
        <f t="shared" ref="R450:R513" si="44">P450</f>
        <v>1552.7265506653</v>
      </c>
      <c r="S450" s="140" t="str">
        <f t="shared" si="39"/>
        <v>Y</v>
      </c>
      <c r="T450" s="154">
        <f t="shared" si="40"/>
        <v>8.1193204881181629</v>
      </c>
      <c r="U450" s="154">
        <f t="shared" si="41"/>
        <v>8.1193204881181629</v>
      </c>
    </row>
    <row r="451" spans="1:21" x14ac:dyDescent="0.35">
      <c r="A451" s="107">
        <v>2720</v>
      </c>
      <c r="B451" s="107">
        <v>2010</v>
      </c>
      <c r="C451" s="107" t="s">
        <v>9</v>
      </c>
      <c r="D451" s="107" t="s">
        <v>132</v>
      </c>
      <c r="E451" s="107" t="s">
        <v>10</v>
      </c>
      <c r="F451" s="115">
        <v>9</v>
      </c>
      <c r="G451" s="107" t="s">
        <v>33</v>
      </c>
      <c r="H451" s="107" t="str">
        <f t="shared" si="42"/>
        <v>Area 9: Admiralty Inlet</v>
      </c>
      <c r="I451" s="107" t="str">
        <f>IFERROR(VLOOKUP(H451,LUTs!$A$1:$C$73,2,FALSE),"NA")</f>
        <v>NA</v>
      </c>
      <c r="J451" s="107" t="str">
        <f>IFERROR(VLOOKUP(H451,LUTs!$A$1:$C$73,3,FALSE),"NA")</f>
        <v>2Central Puget Sound</v>
      </c>
      <c r="K451" s="107" t="s">
        <v>30</v>
      </c>
      <c r="L451" s="107" t="str">
        <f>VLOOKUP(K451,LUTs!E$2:G$14,3,)</f>
        <v>05San Juan</v>
      </c>
      <c r="M451" s="107" t="str">
        <f>VLOOKUP($K451,LUTs!$E$2:$H$14,2,)</f>
        <v>North Puget Sound</v>
      </c>
      <c r="N451" s="107" t="str">
        <f>VLOOKUP($K451,LUTs!$E$2:$H$14,4,)</f>
        <v>01North Puget Sound</v>
      </c>
      <c r="O451" s="107">
        <v>3.9841351074718498</v>
      </c>
      <c r="P451" s="107">
        <v>32.348469805527102</v>
      </c>
      <c r="Q451" s="107">
        <f t="shared" si="43"/>
        <v>3.9841351074718498</v>
      </c>
      <c r="R451" s="107">
        <f t="shared" si="44"/>
        <v>32.348469805527102</v>
      </c>
      <c r="S451" s="140" t="str">
        <f t="shared" ref="S451:S514" si="45">IF(B451&lt;=2019,"Y","N")</f>
        <v>Y</v>
      </c>
      <c r="T451" s="154">
        <f t="shared" ref="T451:T514" si="46">IFERROR(P451/O451,"NA")</f>
        <v>8.1193204881181771</v>
      </c>
      <c r="U451" s="154">
        <f t="shared" ref="U451:U514" si="47">IFERROR(R451/Q451,"NA")</f>
        <v>8.1193204881181771</v>
      </c>
    </row>
    <row r="452" spans="1:21" x14ac:dyDescent="0.35">
      <c r="A452" s="107">
        <v>2717</v>
      </c>
      <c r="B452" s="107">
        <v>2010</v>
      </c>
      <c r="C452" s="107" t="s">
        <v>9</v>
      </c>
      <c r="D452" s="107" t="s">
        <v>132</v>
      </c>
      <c r="E452" s="107" t="s">
        <v>10</v>
      </c>
      <c r="F452" s="115">
        <v>9</v>
      </c>
      <c r="G452" s="107" t="s">
        <v>33</v>
      </c>
      <c r="H452" s="107" t="str">
        <f t="shared" si="42"/>
        <v>Area 9: Admiralty Inlet</v>
      </c>
      <c r="I452" s="107" t="str">
        <f>IFERROR(VLOOKUP(H452,LUTs!$A$1:$C$73,2,FALSE),"NA")</f>
        <v>NA</v>
      </c>
      <c r="J452" s="107" t="str">
        <f>IFERROR(VLOOKUP(H452,LUTs!$A$1:$C$73,3,FALSE),"NA")</f>
        <v>2Central Puget Sound</v>
      </c>
      <c r="K452" s="107" t="s">
        <v>15</v>
      </c>
      <c r="L452" s="107" t="str">
        <f>VLOOKUP(K452,LUTs!E$2:G$14,3,)</f>
        <v>02Skagit</v>
      </c>
      <c r="M452" s="107" t="str">
        <f>VLOOKUP($K452,LUTs!$E$2:$H$14,2,)</f>
        <v>North Puget Sound</v>
      </c>
      <c r="N452" s="107" t="str">
        <f>VLOOKUP($K452,LUTs!$E$2:$H$14,4,)</f>
        <v>01North Puget Sound</v>
      </c>
      <c r="O452" s="107">
        <v>167.33367451381801</v>
      </c>
      <c r="P452" s="107">
        <v>1358.63573183214</v>
      </c>
      <c r="Q452" s="107">
        <f t="shared" si="43"/>
        <v>167.33367451381801</v>
      </c>
      <c r="R452" s="107">
        <f t="shared" si="44"/>
        <v>1358.63573183214</v>
      </c>
      <c r="S452" s="140" t="str">
        <f t="shared" si="45"/>
        <v>Y</v>
      </c>
      <c r="T452" s="154">
        <f t="shared" si="46"/>
        <v>8.1193204881181718</v>
      </c>
      <c r="U452" s="154">
        <f t="shared" si="47"/>
        <v>8.1193204881181718</v>
      </c>
    </row>
    <row r="453" spans="1:21" x14ac:dyDescent="0.35">
      <c r="A453" s="107">
        <v>2718</v>
      </c>
      <c r="B453" s="107">
        <v>2010</v>
      </c>
      <c r="C453" s="107" t="s">
        <v>9</v>
      </c>
      <c r="D453" s="107" t="s">
        <v>132</v>
      </c>
      <c r="E453" s="107" t="s">
        <v>10</v>
      </c>
      <c r="F453" s="115">
        <v>9</v>
      </c>
      <c r="G453" s="107" t="s">
        <v>33</v>
      </c>
      <c r="H453" s="107" t="str">
        <f t="shared" si="42"/>
        <v>Area 9: Admiralty Inlet</v>
      </c>
      <c r="I453" s="107" t="str">
        <f>IFERROR(VLOOKUP(H453,LUTs!$A$1:$C$73,2,FALSE),"NA")</f>
        <v>NA</v>
      </c>
      <c r="J453" s="107" t="str">
        <f>IFERROR(VLOOKUP(H453,LUTs!$A$1:$C$73,3,FALSE),"NA")</f>
        <v>2Central Puget Sound</v>
      </c>
      <c r="K453" s="107" t="s">
        <v>16</v>
      </c>
      <c r="L453" s="107" t="str">
        <f>VLOOKUP(K453,LUTs!E$2:G$14,3,)</f>
        <v>03Snohomish</v>
      </c>
      <c r="M453" s="107" t="str">
        <f>VLOOKUP($K453,LUTs!$E$2:$H$14,2,)</f>
        <v>North Puget Sound</v>
      </c>
      <c r="N453" s="107" t="str">
        <f>VLOOKUP($K453,LUTs!$E$2:$H$14,4,)</f>
        <v>01North Puget Sound</v>
      </c>
      <c r="O453" s="107">
        <v>2533.9099283521</v>
      </c>
      <c r="P453" s="107">
        <v>20573.6267963153</v>
      </c>
      <c r="Q453" s="107">
        <f t="shared" si="43"/>
        <v>2533.9099283521</v>
      </c>
      <c r="R453" s="107">
        <f t="shared" si="44"/>
        <v>20573.6267963153</v>
      </c>
      <c r="S453" s="140" t="str">
        <f t="shared" si="45"/>
        <v>Y</v>
      </c>
      <c r="T453" s="154">
        <f t="shared" si="46"/>
        <v>8.1193204881181895</v>
      </c>
      <c r="U453" s="154">
        <f t="shared" si="47"/>
        <v>8.1193204881181895</v>
      </c>
    </row>
    <row r="454" spans="1:21" x14ac:dyDescent="0.35">
      <c r="A454" s="107">
        <v>2822</v>
      </c>
      <c r="B454" s="107">
        <v>2010</v>
      </c>
      <c r="C454" s="107" t="s">
        <v>9</v>
      </c>
      <c r="D454" s="107" t="s">
        <v>132</v>
      </c>
      <c r="E454" s="107" t="s">
        <v>10</v>
      </c>
      <c r="F454" s="115">
        <v>9</v>
      </c>
      <c r="G454" s="107" t="s">
        <v>33</v>
      </c>
      <c r="H454" s="107" t="str">
        <f t="shared" si="42"/>
        <v>Area 9: Admiralty Inlet</v>
      </c>
      <c r="I454" s="107" t="str">
        <f>IFERROR(VLOOKUP(H454,LUTs!$A$1:$C$73,2,FALSE),"NA")</f>
        <v>NA</v>
      </c>
      <c r="J454" s="107" t="str">
        <f>IFERROR(VLOOKUP(H454,LUTs!$A$1:$C$73,3,FALSE),"NA")</f>
        <v>2Central Puget Sound</v>
      </c>
      <c r="K454" s="107" t="s">
        <v>21</v>
      </c>
      <c r="L454" s="107" t="str">
        <f>VLOOKUP(K454,LUTs!E$2:G$14,3,)</f>
        <v>08Thurston</v>
      </c>
      <c r="M454" s="107" t="str">
        <f>VLOOKUP($K454,LUTs!$E$2:$H$14,2,)</f>
        <v>South Puget Sound</v>
      </c>
      <c r="N454" s="107" t="str">
        <f>VLOOKUP($K454,LUTs!$E$2:$H$14,4,)</f>
        <v>02South Puget Sound</v>
      </c>
      <c r="O454" s="107">
        <v>27.888945752303002</v>
      </c>
      <c r="P454" s="107">
        <v>226.43928863868999</v>
      </c>
      <c r="Q454" s="107">
        <f t="shared" si="43"/>
        <v>27.888945752303002</v>
      </c>
      <c r="R454" s="107">
        <f t="shared" si="44"/>
        <v>226.43928863868999</v>
      </c>
      <c r="S454" s="140" t="str">
        <f t="shared" si="45"/>
        <v>Y</v>
      </c>
      <c r="T454" s="154">
        <f t="shared" si="46"/>
        <v>8.11932048811817</v>
      </c>
      <c r="U454" s="154">
        <f t="shared" si="47"/>
        <v>8.11932048811817</v>
      </c>
    </row>
    <row r="455" spans="1:21" x14ac:dyDescent="0.35">
      <c r="A455" s="107">
        <v>2716</v>
      </c>
      <c r="B455" s="107">
        <v>2010</v>
      </c>
      <c r="C455" s="107" t="s">
        <v>9</v>
      </c>
      <c r="D455" s="107" t="s">
        <v>132</v>
      </c>
      <c r="E455" s="107" t="s">
        <v>10</v>
      </c>
      <c r="F455" s="115">
        <v>9</v>
      </c>
      <c r="G455" s="107" t="s">
        <v>33</v>
      </c>
      <c r="H455" s="107" t="str">
        <f t="shared" si="42"/>
        <v>Area 9: Admiralty Inlet</v>
      </c>
      <c r="I455" s="107" t="str">
        <f>IFERROR(VLOOKUP(H455,LUTs!$A$1:$C$73,2,FALSE),"NA")</f>
        <v>NA</v>
      </c>
      <c r="J455" s="107" t="str">
        <f>IFERROR(VLOOKUP(H455,LUTs!$A$1:$C$73,3,FALSE),"NA")</f>
        <v>2Central Puget Sound</v>
      </c>
      <c r="K455" s="107" t="s">
        <v>13</v>
      </c>
      <c r="L455" s="107" t="str">
        <f>VLOOKUP(K455,LUTs!E$2:G$14,3,)</f>
        <v>01Whatcom</v>
      </c>
      <c r="M455" s="107" t="str">
        <f>VLOOKUP($K455,LUTs!$E$2:$H$14,2,)</f>
        <v>North Puget Sound</v>
      </c>
      <c r="N455" s="107" t="str">
        <f>VLOOKUP($K455,LUTs!$E$2:$H$14,4,)</f>
        <v>01North Puget Sound</v>
      </c>
      <c r="O455" s="107">
        <v>7.9682702149437104</v>
      </c>
      <c r="P455" s="107">
        <v>64.696939611054304</v>
      </c>
      <c r="Q455" s="107">
        <f t="shared" si="43"/>
        <v>7.9682702149437104</v>
      </c>
      <c r="R455" s="107">
        <f t="shared" si="44"/>
        <v>64.696939611054304</v>
      </c>
      <c r="S455" s="140" t="str">
        <f t="shared" si="45"/>
        <v>Y</v>
      </c>
      <c r="T455" s="154">
        <f t="shared" si="46"/>
        <v>8.1193204881181771</v>
      </c>
      <c r="U455" s="154">
        <f t="shared" si="47"/>
        <v>8.1193204881181771</v>
      </c>
    </row>
    <row r="456" spans="1:21" x14ac:dyDescent="0.35">
      <c r="A456" s="107">
        <v>1553</v>
      </c>
      <c r="B456" s="107">
        <v>2011</v>
      </c>
      <c r="C456" s="107" t="s">
        <v>9</v>
      </c>
      <c r="D456" s="107" t="s">
        <v>132</v>
      </c>
      <c r="E456" s="107" t="s">
        <v>10</v>
      </c>
      <c r="F456" s="115">
        <v>9</v>
      </c>
      <c r="G456" s="107" t="s">
        <v>33</v>
      </c>
      <c r="H456" s="107" t="str">
        <f t="shared" si="42"/>
        <v>Area 9: Admiralty Inlet</v>
      </c>
      <c r="I456" s="107" t="str">
        <f>IFERROR(VLOOKUP(H456,LUTs!$A$1:$C$73,2,FALSE),"NA")</f>
        <v>NA</v>
      </c>
      <c r="J456" s="107" t="str">
        <f>IFERROR(VLOOKUP(H456,LUTs!$A$1:$C$73,3,FALSE),"NA")</f>
        <v>2Central Puget Sound</v>
      </c>
      <c r="K456" s="107" t="s">
        <v>24</v>
      </c>
      <c r="L456" s="107" t="str">
        <f>VLOOKUP(K456,LUTs!E$2:G$14,3,)</f>
        <v>11Clallam</v>
      </c>
      <c r="M456" s="107" t="str">
        <f>VLOOKUP($K456,LUTs!$E$2:$H$14,2,)</f>
        <v>Strait of Juan de Fuca</v>
      </c>
      <c r="N456" s="107" t="str">
        <f>VLOOKUP($K456,LUTs!$E$2:$H$14,4,)</f>
        <v>03Strait of Juan de Fuca</v>
      </c>
      <c r="O456" s="107">
        <v>47.660561994797099</v>
      </c>
      <c r="P456" s="107">
        <v>95.651814930450101</v>
      </c>
      <c r="Q456" s="107">
        <f t="shared" si="43"/>
        <v>47.660561994797099</v>
      </c>
      <c r="R456" s="107">
        <f t="shared" si="44"/>
        <v>95.651814930450101</v>
      </c>
      <c r="S456" s="140" t="str">
        <f t="shared" si="45"/>
        <v>Y</v>
      </c>
      <c r="T456" s="154">
        <f t="shared" si="46"/>
        <v>2.0069384607947343</v>
      </c>
      <c r="U456" s="154">
        <f t="shared" si="47"/>
        <v>2.0069384607947343</v>
      </c>
    </row>
    <row r="457" spans="1:21" x14ac:dyDescent="0.35">
      <c r="A457" s="107">
        <v>3649</v>
      </c>
      <c r="B457" s="107">
        <v>2011</v>
      </c>
      <c r="C457" s="107" t="s">
        <v>9</v>
      </c>
      <c r="D457" s="107" t="s">
        <v>132</v>
      </c>
      <c r="E457" s="107" t="s">
        <v>10</v>
      </c>
      <c r="F457" s="115">
        <v>9</v>
      </c>
      <c r="G457" s="107" t="s">
        <v>33</v>
      </c>
      <c r="H457" s="107" t="str">
        <f t="shared" si="42"/>
        <v>Area 9: Admiralty Inlet</v>
      </c>
      <c r="I457" s="107" t="str">
        <f>IFERROR(VLOOKUP(H457,LUTs!$A$1:$C$73,2,FALSE),"NA")</f>
        <v>NA</v>
      </c>
      <c r="J457" s="107" t="str">
        <f>IFERROR(VLOOKUP(H457,LUTs!$A$1:$C$73,3,FALSE),"NA")</f>
        <v>2Central Puget Sound</v>
      </c>
      <c r="K457" s="107" t="s">
        <v>17</v>
      </c>
      <c r="L457" s="107" t="str">
        <f>VLOOKUP(K457,LUTs!E$2:G$14,3,)</f>
        <v>04Island</v>
      </c>
      <c r="M457" s="107" t="str">
        <f>VLOOKUP($K457,LUTs!$E$2:$H$14,2,)</f>
        <v>North Puget Sound</v>
      </c>
      <c r="N457" s="107" t="str">
        <f>VLOOKUP($K457,LUTs!$E$2:$H$14,4,)</f>
        <v>01North Puget Sound</v>
      </c>
      <c r="O457" s="107">
        <v>9804.4584675011192</v>
      </c>
      <c r="P457" s="107">
        <v>19676.944785692602</v>
      </c>
      <c r="Q457" s="107">
        <f t="shared" si="43"/>
        <v>9804.4584675011192</v>
      </c>
      <c r="R457" s="107">
        <f t="shared" si="44"/>
        <v>19676.944785692602</v>
      </c>
      <c r="S457" s="140" t="str">
        <f t="shared" si="45"/>
        <v>Y</v>
      </c>
      <c r="T457" s="154">
        <f t="shared" si="46"/>
        <v>2.0069384607947347</v>
      </c>
      <c r="U457" s="154">
        <f t="shared" si="47"/>
        <v>2.0069384607947347</v>
      </c>
    </row>
    <row r="458" spans="1:21" x14ac:dyDescent="0.35">
      <c r="A458" s="107">
        <v>1554</v>
      </c>
      <c r="B458" s="107">
        <v>2011</v>
      </c>
      <c r="C458" s="107" t="s">
        <v>9</v>
      </c>
      <c r="D458" s="107" t="s">
        <v>132</v>
      </c>
      <c r="E458" s="107" t="s">
        <v>10</v>
      </c>
      <c r="F458" s="115">
        <v>9</v>
      </c>
      <c r="G458" s="107" t="s">
        <v>33</v>
      </c>
      <c r="H458" s="107" t="str">
        <f t="shared" si="42"/>
        <v>Area 9: Admiralty Inlet</v>
      </c>
      <c r="I458" s="107" t="str">
        <f>IFERROR(VLOOKUP(H458,LUTs!$A$1:$C$73,2,FALSE),"NA")</f>
        <v>NA</v>
      </c>
      <c r="J458" s="107" t="str">
        <f>IFERROR(VLOOKUP(H458,LUTs!$A$1:$C$73,3,FALSE),"NA")</f>
        <v>2Central Puget Sound</v>
      </c>
      <c r="K458" s="107" t="s">
        <v>25</v>
      </c>
      <c r="L458" s="107" t="str">
        <f>VLOOKUP(K458,LUTs!E$2:G$14,3,)</f>
        <v>12Jefferson</v>
      </c>
      <c r="M458" s="107" t="str">
        <f>VLOOKUP($K458,LUTs!$E$2:$H$14,2,)</f>
        <v>Strait of Juan de Fuca</v>
      </c>
      <c r="N458" s="107" t="str">
        <f>VLOOKUP($K458,LUTs!$E$2:$H$14,4,)</f>
        <v>03Strait of Juan de Fuca</v>
      </c>
      <c r="O458" s="107">
        <v>1664.71534396113</v>
      </c>
      <c r="P458" s="107">
        <v>3340.9812500707199</v>
      </c>
      <c r="Q458" s="107">
        <f t="shared" si="43"/>
        <v>1664.71534396113</v>
      </c>
      <c r="R458" s="107">
        <f t="shared" si="44"/>
        <v>3340.9812500707199</v>
      </c>
      <c r="S458" s="140" t="str">
        <f t="shared" si="45"/>
        <v>Y</v>
      </c>
      <c r="T458" s="154">
        <f t="shared" si="46"/>
        <v>2.0069384607947303</v>
      </c>
      <c r="U458" s="154">
        <f t="shared" si="47"/>
        <v>2.0069384607947303</v>
      </c>
    </row>
    <row r="459" spans="1:21" x14ac:dyDescent="0.35">
      <c r="A459" s="107">
        <v>3703</v>
      </c>
      <c r="B459" s="107">
        <v>2011</v>
      </c>
      <c r="C459" s="107" t="s">
        <v>9</v>
      </c>
      <c r="D459" s="107" t="s">
        <v>132</v>
      </c>
      <c r="E459" s="107" t="s">
        <v>10</v>
      </c>
      <c r="F459" s="115">
        <v>9</v>
      </c>
      <c r="G459" s="107" t="s">
        <v>33</v>
      </c>
      <c r="H459" s="107" t="str">
        <f t="shared" si="42"/>
        <v>Area 9: Admiralty Inlet</v>
      </c>
      <c r="I459" s="107" t="str">
        <f>IFERROR(VLOOKUP(H459,LUTs!$A$1:$C$73,2,FALSE),"NA")</f>
        <v>NA</v>
      </c>
      <c r="J459" s="107" t="str">
        <f>IFERROR(VLOOKUP(H459,LUTs!$A$1:$C$73,3,FALSE),"NA")</f>
        <v>2Central Puget Sound</v>
      </c>
      <c r="K459" s="107" t="s">
        <v>18</v>
      </c>
      <c r="L459" s="107" t="str">
        <f>VLOOKUP(K459,LUTs!E$2:G$14,3,)</f>
        <v>06King</v>
      </c>
      <c r="M459" s="107" t="str">
        <f>VLOOKUP($K459,LUTs!$E$2:$H$14,2,)</f>
        <v>South Puget Sound</v>
      </c>
      <c r="N459" s="107" t="str">
        <f>VLOOKUP($K459,LUTs!$E$2:$H$14,4,)</f>
        <v>02South Puget Sound</v>
      </c>
      <c r="O459" s="107">
        <v>6270.7682281725902</v>
      </c>
      <c r="P459" s="107">
        <v>12585.045935849201</v>
      </c>
      <c r="Q459" s="107">
        <f t="shared" si="43"/>
        <v>6270.7682281725902</v>
      </c>
      <c r="R459" s="107">
        <f t="shared" si="44"/>
        <v>12585.045935849201</v>
      </c>
      <c r="S459" s="140" t="str">
        <f t="shared" si="45"/>
        <v>Y</v>
      </c>
      <c r="T459" s="154">
        <f t="shared" si="46"/>
        <v>2.0069384607947311</v>
      </c>
      <c r="U459" s="154">
        <f t="shared" si="47"/>
        <v>2.0069384607947311</v>
      </c>
    </row>
    <row r="460" spans="1:21" x14ac:dyDescent="0.35">
      <c r="A460" s="107">
        <v>1379</v>
      </c>
      <c r="B460" s="107">
        <v>2011</v>
      </c>
      <c r="C460" s="107" t="s">
        <v>9</v>
      </c>
      <c r="D460" s="107" t="s">
        <v>132</v>
      </c>
      <c r="E460" s="107" t="s">
        <v>10</v>
      </c>
      <c r="F460" s="115">
        <v>9</v>
      </c>
      <c r="G460" s="107" t="s">
        <v>33</v>
      </c>
      <c r="H460" s="107" t="str">
        <f t="shared" si="42"/>
        <v>Area 9: Admiralty Inlet</v>
      </c>
      <c r="I460" s="107" t="str">
        <f>IFERROR(VLOOKUP(H460,LUTs!$A$1:$C$73,2,FALSE),"NA")</f>
        <v>NA</v>
      </c>
      <c r="J460" s="107" t="str">
        <f>IFERROR(VLOOKUP(H460,LUTs!$A$1:$C$73,3,FALSE),"NA")</f>
        <v>2Central Puget Sound</v>
      </c>
      <c r="K460" s="107" t="s">
        <v>23</v>
      </c>
      <c r="L460" s="107" t="str">
        <f>VLOOKUP(K460,LUTs!E$2:G$14,3,)</f>
        <v>10Kitsap</v>
      </c>
      <c r="M460" s="107" t="str">
        <f>VLOOKUP($K460,LUTs!$E$2:$H$14,2,)</f>
        <v>South Puget Sound</v>
      </c>
      <c r="N460" s="107" t="str">
        <f>VLOOKUP($K460,LUTs!$E$2:$H$14,4,)</f>
        <v>02South Puget Sound</v>
      </c>
      <c r="O460" s="107">
        <v>2393.2410773101701</v>
      </c>
      <c r="P460" s="107">
        <v>4803.0875640076001</v>
      </c>
      <c r="Q460" s="107">
        <f t="shared" si="43"/>
        <v>2393.2410773101701</v>
      </c>
      <c r="R460" s="107">
        <f t="shared" si="44"/>
        <v>4803.0875640076001</v>
      </c>
      <c r="S460" s="140" t="str">
        <f t="shared" si="45"/>
        <v>Y</v>
      </c>
      <c r="T460" s="154">
        <f t="shared" si="46"/>
        <v>2.0069384607947325</v>
      </c>
      <c r="U460" s="154">
        <f t="shared" si="47"/>
        <v>2.0069384607947325</v>
      </c>
    </row>
    <row r="461" spans="1:21" x14ac:dyDescent="0.35">
      <c r="A461" s="107">
        <v>1378</v>
      </c>
      <c r="B461" s="107">
        <v>2011</v>
      </c>
      <c r="C461" s="107" t="s">
        <v>9</v>
      </c>
      <c r="D461" s="107" t="s">
        <v>132</v>
      </c>
      <c r="E461" s="107" t="s">
        <v>10</v>
      </c>
      <c r="F461" s="115">
        <v>9</v>
      </c>
      <c r="G461" s="107" t="s">
        <v>33</v>
      </c>
      <c r="H461" s="107" t="str">
        <f t="shared" si="42"/>
        <v>Area 9: Admiralty Inlet</v>
      </c>
      <c r="I461" s="107" t="str">
        <f>IFERROR(VLOOKUP(H461,LUTs!$A$1:$C$73,2,FALSE),"NA")</f>
        <v>NA</v>
      </c>
      <c r="J461" s="107" t="str">
        <f>IFERROR(VLOOKUP(H461,LUTs!$A$1:$C$73,3,FALSE),"NA")</f>
        <v>2Central Puget Sound</v>
      </c>
      <c r="K461" s="107" t="s">
        <v>22</v>
      </c>
      <c r="L461" s="107" t="str">
        <f>VLOOKUP(K461,LUTs!E$2:G$14,3,)</f>
        <v>09Mason</v>
      </c>
      <c r="M461" s="107" t="str">
        <f>VLOOKUP($K461,LUTs!$E$2:$H$14,2,)</f>
        <v>South Puget Sound</v>
      </c>
      <c r="N461" s="107" t="str">
        <f>VLOOKUP($K461,LUTs!$E$2:$H$14,4,)</f>
        <v>02South Puget Sound</v>
      </c>
      <c r="O461" s="107">
        <v>139.57736012762001</v>
      </c>
      <c r="P461" s="107">
        <v>280.12317229631799</v>
      </c>
      <c r="Q461" s="107">
        <f t="shared" si="43"/>
        <v>139.57736012762001</v>
      </c>
      <c r="R461" s="107">
        <f t="shared" si="44"/>
        <v>280.12317229631799</v>
      </c>
      <c r="S461" s="140" t="str">
        <f t="shared" si="45"/>
        <v>Y</v>
      </c>
      <c r="T461" s="154">
        <f t="shared" si="46"/>
        <v>2.0069384607947343</v>
      </c>
      <c r="U461" s="154">
        <f t="shared" si="47"/>
        <v>2.0069384607947343</v>
      </c>
    </row>
    <row r="462" spans="1:21" x14ac:dyDescent="0.35">
      <c r="A462" s="107">
        <v>1555</v>
      </c>
      <c r="B462" s="107">
        <v>2011</v>
      </c>
      <c r="C462" s="107" t="s">
        <v>9</v>
      </c>
      <c r="D462" s="107" t="s">
        <v>132</v>
      </c>
      <c r="E462" s="107" t="s">
        <v>10</v>
      </c>
      <c r="F462" s="115">
        <v>9</v>
      </c>
      <c r="G462" s="107" t="s">
        <v>33</v>
      </c>
      <c r="H462" s="107" t="str">
        <f t="shared" si="42"/>
        <v>Area 9: Admiralty Inlet</v>
      </c>
      <c r="I462" s="107" t="str">
        <f>IFERROR(VLOOKUP(H462,LUTs!$A$1:$C$73,2,FALSE),"NA")</f>
        <v>NA</v>
      </c>
      <c r="J462" s="107" t="str">
        <f>IFERROR(VLOOKUP(H462,LUTs!$A$1:$C$73,3,FALSE),"NA")</f>
        <v>2Central Puget Sound</v>
      </c>
      <c r="K462" s="107" t="s">
        <v>26</v>
      </c>
      <c r="L462" s="107" t="str">
        <f>VLOOKUP(K462,LUTs!E$2:G$14,3,)</f>
        <v>20Other</v>
      </c>
      <c r="M462" s="107" t="str">
        <f>VLOOKUP($K462,LUTs!$E$2:$H$14,2,)</f>
        <v>Non Puget Sound</v>
      </c>
      <c r="N462" s="107" t="str">
        <f>VLOOKUP($K462,LUTs!$E$2:$H$14,4,)</f>
        <v>07Non Puget Sound</v>
      </c>
      <c r="O462" s="107">
        <v>3642.62866674521</v>
      </c>
      <c r="P462" s="107">
        <v>7310.5315696844</v>
      </c>
      <c r="Q462" s="107">
        <f t="shared" si="43"/>
        <v>3642.62866674521</v>
      </c>
      <c r="R462" s="107">
        <f t="shared" si="44"/>
        <v>7310.5315696844</v>
      </c>
      <c r="S462" s="140" t="str">
        <f t="shared" si="45"/>
        <v>Y</v>
      </c>
      <c r="T462" s="154">
        <f t="shared" si="46"/>
        <v>2.0069384607947325</v>
      </c>
      <c r="U462" s="154">
        <f t="shared" si="47"/>
        <v>2.0069384607947325</v>
      </c>
    </row>
    <row r="463" spans="1:21" x14ac:dyDescent="0.35">
      <c r="A463" s="107">
        <v>3704</v>
      </c>
      <c r="B463" s="107">
        <v>2011</v>
      </c>
      <c r="C463" s="107" t="s">
        <v>9</v>
      </c>
      <c r="D463" s="107" t="s">
        <v>132</v>
      </c>
      <c r="E463" s="107" t="s">
        <v>10</v>
      </c>
      <c r="F463" s="115">
        <v>9</v>
      </c>
      <c r="G463" s="107" t="s">
        <v>33</v>
      </c>
      <c r="H463" s="107" t="str">
        <f t="shared" si="42"/>
        <v>Area 9: Admiralty Inlet</v>
      </c>
      <c r="I463" s="107" t="str">
        <f>IFERROR(VLOOKUP(H463,LUTs!$A$1:$C$73,2,FALSE),"NA")</f>
        <v>NA</v>
      </c>
      <c r="J463" s="107" t="str">
        <f>IFERROR(VLOOKUP(H463,LUTs!$A$1:$C$73,3,FALSE),"NA")</f>
        <v>2Central Puget Sound</v>
      </c>
      <c r="K463" s="107" t="s">
        <v>20</v>
      </c>
      <c r="L463" s="107" t="str">
        <f>VLOOKUP(K463,LUTs!E$2:G$14,3,)</f>
        <v>07Pierce</v>
      </c>
      <c r="M463" s="107" t="str">
        <f>VLOOKUP($K463,LUTs!$E$2:$H$14,2,)</f>
        <v>South Puget Sound</v>
      </c>
      <c r="N463" s="107" t="str">
        <f>VLOOKUP($K463,LUTs!$E$2:$H$14,4,)</f>
        <v>02South Puget Sound</v>
      </c>
      <c r="O463" s="107">
        <v>439.15803552348802</v>
      </c>
      <c r="P463" s="107">
        <v>881.36315185914805</v>
      </c>
      <c r="Q463" s="107">
        <f t="shared" si="43"/>
        <v>439.15803552348802</v>
      </c>
      <c r="R463" s="107">
        <f t="shared" si="44"/>
        <v>881.36315185914805</v>
      </c>
      <c r="S463" s="140" t="str">
        <f t="shared" si="45"/>
        <v>Y</v>
      </c>
      <c r="T463" s="154">
        <f t="shared" si="46"/>
        <v>2.0069384607947338</v>
      </c>
      <c r="U463" s="154">
        <f t="shared" si="47"/>
        <v>2.0069384607947338</v>
      </c>
    </row>
    <row r="464" spans="1:21" x14ac:dyDescent="0.35">
      <c r="A464" s="107">
        <v>3647</v>
      </c>
      <c r="B464" s="107">
        <v>2011</v>
      </c>
      <c r="C464" s="107" t="s">
        <v>9</v>
      </c>
      <c r="D464" s="107" t="s">
        <v>132</v>
      </c>
      <c r="E464" s="107" t="s">
        <v>10</v>
      </c>
      <c r="F464" s="115">
        <v>9</v>
      </c>
      <c r="G464" s="107" t="s">
        <v>33</v>
      </c>
      <c r="H464" s="107" t="str">
        <f t="shared" si="42"/>
        <v>Area 9: Admiralty Inlet</v>
      </c>
      <c r="I464" s="107" t="str">
        <f>IFERROR(VLOOKUP(H464,LUTs!$A$1:$C$73,2,FALSE),"NA")</f>
        <v>NA</v>
      </c>
      <c r="J464" s="107" t="str">
        <f>IFERROR(VLOOKUP(H464,LUTs!$A$1:$C$73,3,FALSE),"NA")</f>
        <v>2Central Puget Sound</v>
      </c>
      <c r="K464" s="107" t="s">
        <v>15</v>
      </c>
      <c r="L464" s="107" t="str">
        <f>VLOOKUP(K464,LUTs!E$2:G$14,3,)</f>
        <v>02Skagit</v>
      </c>
      <c r="M464" s="107" t="str">
        <f>VLOOKUP($K464,LUTs!$E$2:$H$14,2,)</f>
        <v>North Puget Sound</v>
      </c>
      <c r="N464" s="107" t="str">
        <f>VLOOKUP($K464,LUTs!$E$2:$H$14,4,)</f>
        <v>01North Puget Sound</v>
      </c>
      <c r="O464" s="107">
        <v>422.13640623963198</v>
      </c>
      <c r="P464" s="107">
        <v>847.20178938398703</v>
      </c>
      <c r="Q464" s="107">
        <f t="shared" si="43"/>
        <v>422.13640623963198</v>
      </c>
      <c r="R464" s="107">
        <f t="shared" si="44"/>
        <v>847.20178938398703</v>
      </c>
      <c r="S464" s="140" t="str">
        <f t="shared" si="45"/>
        <v>Y</v>
      </c>
      <c r="T464" s="154">
        <f t="shared" si="46"/>
        <v>2.0069384607947329</v>
      </c>
      <c r="U464" s="154">
        <f t="shared" si="47"/>
        <v>2.0069384607947329</v>
      </c>
    </row>
    <row r="465" spans="1:21" x14ac:dyDescent="0.35">
      <c r="A465" s="107">
        <v>3648</v>
      </c>
      <c r="B465" s="107">
        <v>2011</v>
      </c>
      <c r="C465" s="107" t="s">
        <v>9</v>
      </c>
      <c r="D465" s="107" t="s">
        <v>132</v>
      </c>
      <c r="E465" s="107" t="s">
        <v>10</v>
      </c>
      <c r="F465" s="115">
        <v>9</v>
      </c>
      <c r="G465" s="107" t="s">
        <v>33</v>
      </c>
      <c r="H465" s="107" t="str">
        <f t="shared" si="42"/>
        <v>Area 9: Admiralty Inlet</v>
      </c>
      <c r="I465" s="107" t="str">
        <f>IFERROR(VLOOKUP(H465,LUTs!$A$1:$C$73,2,FALSE),"NA")</f>
        <v>NA</v>
      </c>
      <c r="J465" s="107" t="str">
        <f>IFERROR(VLOOKUP(H465,LUTs!$A$1:$C$73,3,FALSE),"NA")</f>
        <v>2Central Puget Sound</v>
      </c>
      <c r="K465" s="107" t="s">
        <v>16</v>
      </c>
      <c r="L465" s="107" t="str">
        <f>VLOOKUP(K465,LUTs!E$2:G$14,3,)</f>
        <v>03Snohomish</v>
      </c>
      <c r="M465" s="107" t="str">
        <f>VLOOKUP($K465,LUTs!$E$2:$H$14,2,)</f>
        <v>North Puget Sound</v>
      </c>
      <c r="N465" s="107" t="str">
        <f>VLOOKUP($K465,LUTs!$E$2:$H$14,4,)</f>
        <v>01North Puget Sound</v>
      </c>
      <c r="O465" s="107">
        <v>10264.042458165201</v>
      </c>
      <c r="P465" s="107">
        <v>20599.301572521901</v>
      </c>
      <c r="Q465" s="107">
        <f t="shared" si="43"/>
        <v>10264.042458165201</v>
      </c>
      <c r="R465" s="107">
        <f t="shared" si="44"/>
        <v>20599.301572521901</v>
      </c>
      <c r="S465" s="140" t="str">
        <f t="shared" si="45"/>
        <v>Y</v>
      </c>
      <c r="T465" s="154">
        <f t="shared" si="46"/>
        <v>2.0069384607947374</v>
      </c>
      <c r="U465" s="154">
        <f t="shared" si="47"/>
        <v>2.0069384607947374</v>
      </c>
    </row>
    <row r="466" spans="1:21" x14ac:dyDescent="0.35">
      <c r="A466" s="107">
        <v>1377</v>
      </c>
      <c r="B466" s="107">
        <v>2011</v>
      </c>
      <c r="C466" s="107" t="s">
        <v>9</v>
      </c>
      <c r="D466" s="107" t="s">
        <v>132</v>
      </c>
      <c r="E466" s="107" t="s">
        <v>10</v>
      </c>
      <c r="F466" s="115">
        <v>9</v>
      </c>
      <c r="G466" s="107" t="s">
        <v>33</v>
      </c>
      <c r="H466" s="107" t="str">
        <f t="shared" si="42"/>
        <v>Area 9: Admiralty Inlet</v>
      </c>
      <c r="I466" s="107" t="str">
        <f>IFERROR(VLOOKUP(H466,LUTs!$A$1:$C$73,2,FALSE),"NA")</f>
        <v>NA</v>
      </c>
      <c r="J466" s="107" t="str">
        <f>IFERROR(VLOOKUP(H466,LUTs!$A$1:$C$73,3,FALSE),"NA")</f>
        <v>2Central Puget Sound</v>
      </c>
      <c r="K466" s="107" t="s">
        <v>21</v>
      </c>
      <c r="L466" s="107" t="str">
        <f>VLOOKUP(K466,LUTs!E$2:G$14,3,)</f>
        <v>08Thurston</v>
      </c>
      <c r="M466" s="107" t="str">
        <f>VLOOKUP($K466,LUTs!$E$2:$H$14,2,)</f>
        <v>South Puget Sound</v>
      </c>
      <c r="N466" s="107" t="str">
        <f>VLOOKUP($K466,LUTs!$E$2:$H$14,4,)</f>
        <v>02South Puget Sound</v>
      </c>
      <c r="O466" s="107">
        <v>136.173034270849</v>
      </c>
      <c r="P466" s="107">
        <v>273.290899801286</v>
      </c>
      <c r="Q466" s="107">
        <f t="shared" si="43"/>
        <v>136.173034270849</v>
      </c>
      <c r="R466" s="107">
        <f t="shared" si="44"/>
        <v>273.290899801286</v>
      </c>
      <c r="S466" s="140" t="str">
        <f t="shared" si="45"/>
        <v>Y</v>
      </c>
      <c r="T466" s="154">
        <f t="shared" si="46"/>
        <v>2.006938460794732</v>
      </c>
      <c r="U466" s="154">
        <f t="shared" si="47"/>
        <v>2.006938460794732</v>
      </c>
    </row>
    <row r="467" spans="1:21" x14ac:dyDescent="0.35">
      <c r="A467" s="107">
        <v>3607</v>
      </c>
      <c r="B467" s="107">
        <v>2011</v>
      </c>
      <c r="C467" s="107" t="s">
        <v>9</v>
      </c>
      <c r="D467" s="107" t="s">
        <v>132</v>
      </c>
      <c r="E467" s="107" t="s">
        <v>10</v>
      </c>
      <c r="F467" s="115">
        <v>9</v>
      </c>
      <c r="G467" s="107" t="s">
        <v>33</v>
      </c>
      <c r="H467" s="107" t="str">
        <f t="shared" si="42"/>
        <v>Area 9: Admiralty Inlet</v>
      </c>
      <c r="I467" s="107" t="str">
        <f>IFERROR(VLOOKUP(H467,LUTs!$A$1:$C$73,2,FALSE),"NA")</f>
        <v>NA</v>
      </c>
      <c r="J467" s="107" t="str">
        <f>IFERROR(VLOOKUP(H467,LUTs!$A$1:$C$73,3,FALSE),"NA")</f>
        <v>2Central Puget Sound</v>
      </c>
      <c r="K467" s="107" t="s">
        <v>13</v>
      </c>
      <c r="L467" s="107" t="str">
        <f>VLOOKUP(K467,LUTs!E$2:G$14,3,)</f>
        <v>01Whatcom</v>
      </c>
      <c r="M467" s="107" t="str">
        <f>VLOOKUP($K467,LUTs!$E$2:$H$14,2,)</f>
        <v>North Puget Sound</v>
      </c>
      <c r="N467" s="107" t="str">
        <f>VLOOKUP($K467,LUTs!$E$2:$H$14,4,)</f>
        <v>01North Puget Sound</v>
      </c>
      <c r="O467" s="107">
        <v>408.51910281254698</v>
      </c>
      <c r="P467" s="107">
        <v>819.87269940385795</v>
      </c>
      <c r="Q467" s="107">
        <f t="shared" si="43"/>
        <v>408.51910281254698</v>
      </c>
      <c r="R467" s="107">
        <f t="shared" si="44"/>
        <v>819.87269940385795</v>
      </c>
      <c r="S467" s="140" t="str">
        <f t="shared" si="45"/>
        <v>Y</v>
      </c>
      <c r="T467" s="154">
        <f t="shared" si="46"/>
        <v>2.006938460794732</v>
      </c>
      <c r="U467" s="154">
        <f t="shared" si="47"/>
        <v>2.006938460794732</v>
      </c>
    </row>
    <row r="468" spans="1:21" x14ac:dyDescent="0.35">
      <c r="A468" s="107">
        <v>3101</v>
      </c>
      <c r="B468" s="107">
        <v>2012</v>
      </c>
      <c r="C468" s="107" t="s">
        <v>9</v>
      </c>
      <c r="D468" s="107" t="s">
        <v>132</v>
      </c>
      <c r="E468" s="107" t="s">
        <v>10</v>
      </c>
      <c r="F468" s="115">
        <v>9</v>
      </c>
      <c r="G468" s="107" t="s">
        <v>33</v>
      </c>
      <c r="H468" s="107" t="str">
        <f t="shared" si="42"/>
        <v>Area 9: Admiralty Inlet</v>
      </c>
      <c r="I468" s="107" t="str">
        <f>IFERROR(VLOOKUP(H468,LUTs!$A$1:$C$73,2,FALSE),"NA")</f>
        <v>NA</v>
      </c>
      <c r="J468" s="107" t="str">
        <f>IFERROR(VLOOKUP(H468,LUTs!$A$1:$C$73,3,FALSE),"NA")</f>
        <v>2Central Puget Sound</v>
      </c>
      <c r="K468" s="107" t="s">
        <v>24</v>
      </c>
      <c r="L468" s="107" t="str">
        <f>VLOOKUP(K468,LUTs!E$2:G$14,3,)</f>
        <v>11Clallam</v>
      </c>
      <c r="M468" s="107" t="str">
        <f>VLOOKUP($K468,LUTs!$E$2:$H$14,2,)</f>
        <v>Strait of Juan de Fuca</v>
      </c>
      <c r="N468" s="107" t="str">
        <f>VLOOKUP($K468,LUTs!$E$2:$H$14,4,)</f>
        <v>03Strait of Juan de Fuca</v>
      </c>
      <c r="O468" s="107">
        <v>356.518264595608</v>
      </c>
      <c r="P468" s="107">
        <v>673.83672201392596</v>
      </c>
      <c r="Q468" s="107">
        <f t="shared" si="43"/>
        <v>356.518264595608</v>
      </c>
      <c r="R468" s="107">
        <f t="shared" si="44"/>
        <v>673.83672201392596</v>
      </c>
      <c r="S468" s="140" t="str">
        <f t="shared" si="45"/>
        <v>Y</v>
      </c>
      <c r="T468" s="154">
        <f t="shared" si="46"/>
        <v>1.8900482497811055</v>
      </c>
      <c r="U468" s="154">
        <f t="shared" si="47"/>
        <v>1.8900482497811055</v>
      </c>
    </row>
    <row r="469" spans="1:21" x14ac:dyDescent="0.35">
      <c r="A469" s="107">
        <v>2993</v>
      </c>
      <c r="B469" s="107">
        <v>2012</v>
      </c>
      <c r="C469" s="107" t="s">
        <v>9</v>
      </c>
      <c r="D469" s="107" t="s">
        <v>132</v>
      </c>
      <c r="E469" s="107" t="s">
        <v>10</v>
      </c>
      <c r="F469" s="115">
        <v>9</v>
      </c>
      <c r="G469" s="107" t="s">
        <v>33</v>
      </c>
      <c r="H469" s="107" t="str">
        <f t="shared" si="42"/>
        <v>Area 9: Admiralty Inlet</v>
      </c>
      <c r="I469" s="107" t="str">
        <f>IFERROR(VLOOKUP(H469,LUTs!$A$1:$C$73,2,FALSE),"NA")</f>
        <v>NA</v>
      </c>
      <c r="J469" s="107" t="str">
        <f>IFERROR(VLOOKUP(H469,LUTs!$A$1:$C$73,3,FALSE),"NA")</f>
        <v>2Central Puget Sound</v>
      </c>
      <c r="K469" s="107" t="s">
        <v>17</v>
      </c>
      <c r="L469" s="107" t="str">
        <f>VLOOKUP(K469,LUTs!E$2:G$14,3,)</f>
        <v>04Island</v>
      </c>
      <c r="M469" s="107" t="str">
        <f>VLOOKUP($K469,LUTs!$E$2:$H$14,2,)</f>
        <v>North Puget Sound</v>
      </c>
      <c r="N469" s="107" t="str">
        <f>VLOOKUP($K469,LUTs!$E$2:$H$14,4,)</f>
        <v>01North Puget Sound</v>
      </c>
      <c r="O469" s="107">
        <v>9154.4689876807697</v>
      </c>
      <c r="P469" s="107">
        <v>17302.3880878415</v>
      </c>
      <c r="Q469" s="107">
        <f t="shared" si="43"/>
        <v>9154.4689876807697</v>
      </c>
      <c r="R469" s="107">
        <f t="shared" si="44"/>
        <v>17302.3880878415</v>
      </c>
      <c r="S469" s="140" t="str">
        <f t="shared" si="45"/>
        <v>Y</v>
      </c>
      <c r="T469" s="154">
        <f t="shared" si="46"/>
        <v>1.8900482497811113</v>
      </c>
      <c r="U469" s="154">
        <f t="shared" si="47"/>
        <v>1.8900482497811113</v>
      </c>
    </row>
    <row r="470" spans="1:21" x14ac:dyDescent="0.35">
      <c r="A470" s="107">
        <v>3102</v>
      </c>
      <c r="B470" s="107">
        <v>2012</v>
      </c>
      <c r="C470" s="107" t="s">
        <v>9</v>
      </c>
      <c r="D470" s="107" t="s">
        <v>132</v>
      </c>
      <c r="E470" s="107" t="s">
        <v>10</v>
      </c>
      <c r="F470" s="115">
        <v>9</v>
      </c>
      <c r="G470" s="107" t="s">
        <v>33</v>
      </c>
      <c r="H470" s="107" t="str">
        <f t="shared" si="42"/>
        <v>Area 9: Admiralty Inlet</v>
      </c>
      <c r="I470" s="107" t="str">
        <f>IFERROR(VLOOKUP(H470,LUTs!$A$1:$C$73,2,FALSE),"NA")</f>
        <v>NA</v>
      </c>
      <c r="J470" s="107" t="str">
        <f>IFERROR(VLOOKUP(H470,LUTs!$A$1:$C$73,3,FALSE),"NA")</f>
        <v>2Central Puget Sound</v>
      </c>
      <c r="K470" s="107" t="s">
        <v>25</v>
      </c>
      <c r="L470" s="107" t="str">
        <f>VLOOKUP(K470,LUTs!E$2:G$14,3,)</f>
        <v>12Jefferson</v>
      </c>
      <c r="M470" s="107" t="str">
        <f>VLOOKUP($K470,LUTs!$E$2:$H$14,2,)</f>
        <v>Strait of Juan de Fuca</v>
      </c>
      <c r="N470" s="107" t="str">
        <f>VLOOKUP($K470,LUTs!$E$2:$H$14,4,)</f>
        <v>03Strait of Juan de Fuca</v>
      </c>
      <c r="O470" s="107">
        <v>3524.9305838243199</v>
      </c>
      <c r="P470" s="107">
        <v>6662.2888805570501</v>
      </c>
      <c r="Q470" s="107">
        <f t="shared" si="43"/>
        <v>3524.9305838243199</v>
      </c>
      <c r="R470" s="107">
        <f t="shared" si="44"/>
        <v>6662.2888805570501</v>
      </c>
      <c r="S470" s="140" t="str">
        <f t="shared" si="45"/>
        <v>Y</v>
      </c>
      <c r="T470" s="154">
        <f t="shared" si="46"/>
        <v>1.8900482497811066</v>
      </c>
      <c r="U470" s="154">
        <f t="shared" si="47"/>
        <v>1.8900482497811066</v>
      </c>
    </row>
    <row r="471" spans="1:21" x14ac:dyDescent="0.35">
      <c r="A471" s="107">
        <v>2994</v>
      </c>
      <c r="B471" s="107">
        <v>2012</v>
      </c>
      <c r="C471" s="107" t="s">
        <v>9</v>
      </c>
      <c r="D471" s="107" t="s">
        <v>132</v>
      </c>
      <c r="E471" s="107" t="s">
        <v>10</v>
      </c>
      <c r="F471" s="115">
        <v>9</v>
      </c>
      <c r="G471" s="107" t="s">
        <v>33</v>
      </c>
      <c r="H471" s="107" t="str">
        <f t="shared" si="42"/>
        <v>Area 9: Admiralty Inlet</v>
      </c>
      <c r="I471" s="107" t="str">
        <f>IFERROR(VLOOKUP(H471,LUTs!$A$1:$C$73,2,FALSE),"NA")</f>
        <v>NA</v>
      </c>
      <c r="J471" s="107" t="str">
        <f>IFERROR(VLOOKUP(H471,LUTs!$A$1:$C$73,3,FALSE),"NA")</f>
        <v>2Central Puget Sound</v>
      </c>
      <c r="K471" s="107" t="s">
        <v>18</v>
      </c>
      <c r="L471" s="107" t="str">
        <f>VLOOKUP(K471,LUTs!E$2:G$14,3,)</f>
        <v>06King</v>
      </c>
      <c r="M471" s="107" t="str">
        <f>VLOOKUP($K471,LUTs!$E$2:$H$14,2,)</f>
        <v>South Puget Sound</v>
      </c>
      <c r="N471" s="107" t="str">
        <f>VLOOKUP($K471,LUTs!$E$2:$H$14,4,)</f>
        <v>02South Puget Sound</v>
      </c>
      <c r="O471" s="107">
        <v>8918.7069094804501</v>
      </c>
      <c r="P471" s="107">
        <v>16856.786384574199</v>
      </c>
      <c r="Q471" s="107">
        <f t="shared" si="43"/>
        <v>8918.7069094804501</v>
      </c>
      <c r="R471" s="107">
        <f t="shared" si="44"/>
        <v>16856.786384574199</v>
      </c>
      <c r="S471" s="140" t="str">
        <f t="shared" si="45"/>
        <v>Y</v>
      </c>
      <c r="T471" s="154">
        <f t="shared" si="46"/>
        <v>1.890048249781108</v>
      </c>
      <c r="U471" s="154">
        <f t="shared" si="47"/>
        <v>1.890048249781108</v>
      </c>
    </row>
    <row r="472" spans="1:21" x14ac:dyDescent="0.35">
      <c r="A472" s="107">
        <v>2998</v>
      </c>
      <c r="B472" s="107">
        <v>2012</v>
      </c>
      <c r="C472" s="107" t="s">
        <v>9</v>
      </c>
      <c r="D472" s="107" t="s">
        <v>132</v>
      </c>
      <c r="E472" s="107" t="s">
        <v>10</v>
      </c>
      <c r="F472" s="115">
        <v>9</v>
      </c>
      <c r="G472" s="107" t="s">
        <v>33</v>
      </c>
      <c r="H472" s="107" t="str">
        <f t="shared" si="42"/>
        <v>Area 9: Admiralty Inlet</v>
      </c>
      <c r="I472" s="107" t="str">
        <f>IFERROR(VLOOKUP(H472,LUTs!$A$1:$C$73,2,FALSE),"NA")</f>
        <v>NA</v>
      </c>
      <c r="J472" s="107" t="str">
        <f>IFERROR(VLOOKUP(H472,LUTs!$A$1:$C$73,3,FALSE),"NA")</f>
        <v>2Central Puget Sound</v>
      </c>
      <c r="K472" s="107" t="s">
        <v>23</v>
      </c>
      <c r="L472" s="107" t="str">
        <f>VLOOKUP(K472,LUTs!E$2:G$14,3,)</f>
        <v>10Kitsap</v>
      </c>
      <c r="M472" s="107" t="str">
        <f>VLOOKUP($K472,LUTs!$E$2:$H$14,2,)</f>
        <v>South Puget Sound</v>
      </c>
      <c r="N472" s="107" t="str">
        <f>VLOOKUP($K472,LUTs!$E$2:$H$14,4,)</f>
        <v>02South Puget Sound</v>
      </c>
      <c r="O472" s="107">
        <v>5123.5124799142995</v>
      </c>
      <c r="P472" s="107">
        <v>9683.6857953936797</v>
      </c>
      <c r="Q472" s="107">
        <f t="shared" si="43"/>
        <v>5123.5124799142995</v>
      </c>
      <c r="R472" s="107">
        <f t="shared" si="44"/>
        <v>9683.6857953936797</v>
      </c>
      <c r="S472" s="140" t="str">
        <f t="shared" si="45"/>
        <v>Y</v>
      </c>
      <c r="T472" s="154">
        <f t="shared" si="46"/>
        <v>1.8900482497811066</v>
      </c>
      <c r="U472" s="154">
        <f t="shared" si="47"/>
        <v>1.8900482497811066</v>
      </c>
    </row>
    <row r="473" spans="1:21" x14ac:dyDescent="0.35">
      <c r="A473" s="107">
        <v>2997</v>
      </c>
      <c r="B473" s="107">
        <v>2012</v>
      </c>
      <c r="C473" s="107" t="s">
        <v>9</v>
      </c>
      <c r="D473" s="107" t="s">
        <v>132</v>
      </c>
      <c r="E473" s="107" t="s">
        <v>10</v>
      </c>
      <c r="F473" s="115">
        <v>9</v>
      </c>
      <c r="G473" s="107" t="s">
        <v>33</v>
      </c>
      <c r="H473" s="107" t="str">
        <f t="shared" si="42"/>
        <v>Area 9: Admiralty Inlet</v>
      </c>
      <c r="I473" s="107" t="str">
        <f>IFERROR(VLOOKUP(H473,LUTs!$A$1:$C$73,2,FALSE),"NA")</f>
        <v>NA</v>
      </c>
      <c r="J473" s="107" t="str">
        <f>IFERROR(VLOOKUP(H473,LUTs!$A$1:$C$73,3,FALSE),"NA")</f>
        <v>2Central Puget Sound</v>
      </c>
      <c r="K473" s="107" t="s">
        <v>22</v>
      </c>
      <c r="L473" s="107" t="str">
        <f>VLOOKUP(K473,LUTs!E$2:G$14,3,)</f>
        <v>09Mason</v>
      </c>
      <c r="M473" s="107" t="str">
        <f>VLOOKUP($K473,LUTs!$E$2:$H$14,2,)</f>
        <v>South Puget Sound</v>
      </c>
      <c r="N473" s="107" t="str">
        <f>VLOOKUP($K473,LUTs!$E$2:$H$14,4,)</f>
        <v>02South Puget Sound</v>
      </c>
      <c r="O473" s="107">
        <v>299.01531869309099</v>
      </c>
      <c r="P473" s="107">
        <v>565.15337975361604</v>
      </c>
      <c r="Q473" s="107">
        <f t="shared" si="43"/>
        <v>299.01531869309099</v>
      </c>
      <c r="R473" s="107">
        <f t="shared" si="44"/>
        <v>565.15337975361604</v>
      </c>
      <c r="S473" s="140" t="str">
        <f t="shared" si="45"/>
        <v>Y</v>
      </c>
      <c r="T473" s="154">
        <f t="shared" si="46"/>
        <v>1.8900482497811053</v>
      </c>
      <c r="U473" s="154">
        <f t="shared" si="47"/>
        <v>1.8900482497811053</v>
      </c>
    </row>
    <row r="474" spans="1:21" x14ac:dyDescent="0.35">
      <c r="A474" s="107">
        <v>3103</v>
      </c>
      <c r="B474" s="107">
        <v>2012</v>
      </c>
      <c r="C474" s="107" t="s">
        <v>9</v>
      </c>
      <c r="D474" s="107" t="s">
        <v>132</v>
      </c>
      <c r="E474" s="107" t="s">
        <v>10</v>
      </c>
      <c r="F474" s="115">
        <v>9</v>
      </c>
      <c r="G474" s="107" t="s">
        <v>33</v>
      </c>
      <c r="H474" s="107" t="str">
        <f t="shared" si="42"/>
        <v>Area 9: Admiralty Inlet</v>
      </c>
      <c r="I474" s="107" t="str">
        <f>IFERROR(VLOOKUP(H474,LUTs!$A$1:$C$73,2,FALSE),"NA")</f>
        <v>NA</v>
      </c>
      <c r="J474" s="107" t="str">
        <f>IFERROR(VLOOKUP(H474,LUTs!$A$1:$C$73,3,FALSE),"NA")</f>
        <v>2Central Puget Sound</v>
      </c>
      <c r="K474" s="107" t="s">
        <v>26</v>
      </c>
      <c r="L474" s="107" t="str">
        <f>VLOOKUP(K474,LUTs!E$2:G$14,3,)</f>
        <v>20Other</v>
      </c>
      <c r="M474" s="107" t="str">
        <f>VLOOKUP($K474,LUTs!$E$2:$H$14,2,)</f>
        <v>Non Puget Sound</v>
      </c>
      <c r="N474" s="107" t="str">
        <f>VLOOKUP($K474,LUTs!$E$2:$H$14,4,)</f>
        <v>07Non Puget Sound</v>
      </c>
      <c r="O474" s="107">
        <v>2668.1366898768101</v>
      </c>
      <c r="P474" s="107">
        <v>5042.9070808784199</v>
      </c>
      <c r="Q474" s="107">
        <f t="shared" si="43"/>
        <v>2668.1366898768101</v>
      </c>
      <c r="R474" s="107">
        <f t="shared" si="44"/>
        <v>5042.9070808784199</v>
      </c>
      <c r="S474" s="140" t="str">
        <f t="shared" si="45"/>
        <v>Y</v>
      </c>
      <c r="T474" s="154">
        <f t="shared" si="46"/>
        <v>1.8900482497811064</v>
      </c>
      <c r="U474" s="154">
        <f t="shared" si="47"/>
        <v>1.8900482497811064</v>
      </c>
    </row>
    <row r="475" spans="1:21" x14ac:dyDescent="0.35">
      <c r="A475" s="107">
        <v>2995</v>
      </c>
      <c r="B475" s="107">
        <v>2012</v>
      </c>
      <c r="C475" s="107" t="s">
        <v>9</v>
      </c>
      <c r="D475" s="107" t="s">
        <v>132</v>
      </c>
      <c r="E475" s="107" t="s">
        <v>10</v>
      </c>
      <c r="F475" s="115">
        <v>9</v>
      </c>
      <c r="G475" s="107" t="s">
        <v>33</v>
      </c>
      <c r="H475" s="107" t="str">
        <f t="shared" si="42"/>
        <v>Area 9: Admiralty Inlet</v>
      </c>
      <c r="I475" s="107" t="str">
        <f>IFERROR(VLOOKUP(H475,LUTs!$A$1:$C$73,2,FALSE),"NA")</f>
        <v>NA</v>
      </c>
      <c r="J475" s="107" t="str">
        <f>IFERROR(VLOOKUP(H475,LUTs!$A$1:$C$73,3,FALSE),"NA")</f>
        <v>2Central Puget Sound</v>
      </c>
      <c r="K475" s="107" t="s">
        <v>20</v>
      </c>
      <c r="L475" s="107" t="str">
        <f>VLOOKUP(K475,LUTs!E$2:G$14,3,)</f>
        <v>07Pierce</v>
      </c>
      <c r="M475" s="107" t="str">
        <f>VLOOKUP($K475,LUTs!$E$2:$H$14,2,)</f>
        <v>South Puget Sound</v>
      </c>
      <c r="N475" s="107" t="str">
        <f>VLOOKUP($K475,LUTs!$E$2:$H$14,4,)</f>
        <v>02South Puget Sound</v>
      </c>
      <c r="O475" s="107">
        <v>1017.80214247456</v>
      </c>
      <c r="P475" s="107">
        <v>1923.6951580074999</v>
      </c>
      <c r="Q475" s="107">
        <f t="shared" si="43"/>
        <v>1017.80214247456</v>
      </c>
      <c r="R475" s="107">
        <f t="shared" si="44"/>
        <v>1923.6951580074999</v>
      </c>
      <c r="S475" s="140" t="str">
        <f t="shared" si="45"/>
        <v>Y</v>
      </c>
      <c r="T475" s="154">
        <f t="shared" si="46"/>
        <v>1.890048249781104</v>
      </c>
      <c r="U475" s="154">
        <f t="shared" si="47"/>
        <v>1.890048249781104</v>
      </c>
    </row>
    <row r="476" spans="1:21" x14ac:dyDescent="0.35">
      <c r="A476" s="107">
        <v>2987</v>
      </c>
      <c r="B476" s="107">
        <v>2012</v>
      </c>
      <c r="C476" s="107" t="s">
        <v>9</v>
      </c>
      <c r="D476" s="107" t="s">
        <v>132</v>
      </c>
      <c r="E476" s="107" t="s">
        <v>10</v>
      </c>
      <c r="F476" s="115">
        <v>9</v>
      </c>
      <c r="G476" s="107" t="s">
        <v>33</v>
      </c>
      <c r="H476" s="107" t="str">
        <f t="shared" si="42"/>
        <v>Area 9: Admiralty Inlet</v>
      </c>
      <c r="I476" s="107" t="str">
        <f>IFERROR(VLOOKUP(H476,LUTs!$A$1:$C$73,2,FALSE),"NA")</f>
        <v>NA</v>
      </c>
      <c r="J476" s="107" t="str">
        <f>IFERROR(VLOOKUP(H476,LUTs!$A$1:$C$73,3,FALSE),"NA")</f>
        <v>2Central Puget Sound</v>
      </c>
      <c r="K476" s="107" t="s">
        <v>15</v>
      </c>
      <c r="L476" s="107" t="str">
        <f>VLOOKUP(K476,LUTs!E$2:G$14,3,)</f>
        <v>02Skagit</v>
      </c>
      <c r="M476" s="107" t="str">
        <f>VLOOKUP($K476,LUTs!$E$2:$H$14,2,)</f>
        <v>North Puget Sound</v>
      </c>
      <c r="N476" s="107" t="str">
        <f>VLOOKUP($K476,LUTs!$E$2:$H$14,4,)</f>
        <v>01North Puget Sound</v>
      </c>
      <c r="O476" s="107">
        <v>793.54065345473998</v>
      </c>
      <c r="P476" s="107">
        <v>1499.8301231922901</v>
      </c>
      <c r="Q476" s="107">
        <f t="shared" si="43"/>
        <v>793.54065345473998</v>
      </c>
      <c r="R476" s="107">
        <f t="shared" si="44"/>
        <v>1499.8301231922901</v>
      </c>
      <c r="S476" s="140" t="str">
        <f t="shared" si="45"/>
        <v>Y</v>
      </c>
      <c r="T476" s="154">
        <f t="shared" si="46"/>
        <v>1.8900482497811106</v>
      </c>
      <c r="U476" s="154">
        <f t="shared" si="47"/>
        <v>1.8900482497811106</v>
      </c>
    </row>
    <row r="477" spans="1:21" x14ac:dyDescent="0.35">
      <c r="A477" s="107">
        <v>2992</v>
      </c>
      <c r="B477" s="107">
        <v>2012</v>
      </c>
      <c r="C477" s="107" t="s">
        <v>9</v>
      </c>
      <c r="D477" s="107" t="s">
        <v>132</v>
      </c>
      <c r="E477" s="107" t="s">
        <v>10</v>
      </c>
      <c r="F477" s="115">
        <v>9</v>
      </c>
      <c r="G477" s="107" t="s">
        <v>33</v>
      </c>
      <c r="H477" s="107" t="str">
        <f t="shared" si="42"/>
        <v>Area 9: Admiralty Inlet</v>
      </c>
      <c r="I477" s="107" t="str">
        <f>IFERROR(VLOOKUP(H477,LUTs!$A$1:$C$73,2,FALSE),"NA")</f>
        <v>NA</v>
      </c>
      <c r="J477" s="107" t="str">
        <f>IFERROR(VLOOKUP(H477,LUTs!$A$1:$C$73,3,FALSE),"NA")</f>
        <v>2Central Puget Sound</v>
      </c>
      <c r="K477" s="107" t="s">
        <v>16</v>
      </c>
      <c r="L477" s="107" t="str">
        <f>VLOOKUP(K477,LUTs!E$2:G$14,3,)</f>
        <v>03Snohomish</v>
      </c>
      <c r="M477" s="107" t="str">
        <f>VLOOKUP($K477,LUTs!$E$2:$H$14,2,)</f>
        <v>North Puget Sound</v>
      </c>
      <c r="N477" s="107" t="str">
        <f>VLOOKUP($K477,LUTs!$E$2:$H$14,4,)</f>
        <v>01North Puget Sound</v>
      </c>
      <c r="O477" s="107">
        <v>21379.595286555999</v>
      </c>
      <c r="P477" s="107">
        <v>40408.466652383497</v>
      </c>
      <c r="Q477" s="107">
        <f t="shared" si="43"/>
        <v>21379.595286555999</v>
      </c>
      <c r="R477" s="107">
        <f t="shared" si="44"/>
        <v>40408.466652383497</v>
      </c>
      <c r="S477" s="140" t="str">
        <f t="shared" si="45"/>
        <v>Y</v>
      </c>
      <c r="T477" s="154">
        <f t="shared" si="46"/>
        <v>1.8900482497811035</v>
      </c>
      <c r="U477" s="154">
        <f t="shared" si="47"/>
        <v>1.8900482497811035</v>
      </c>
    </row>
    <row r="478" spans="1:21" x14ac:dyDescent="0.35">
      <c r="A478" s="107">
        <v>2996</v>
      </c>
      <c r="B478" s="107">
        <v>2012</v>
      </c>
      <c r="C478" s="107" t="s">
        <v>9</v>
      </c>
      <c r="D478" s="107" t="s">
        <v>132</v>
      </c>
      <c r="E478" s="107" t="s">
        <v>10</v>
      </c>
      <c r="F478" s="115">
        <v>9</v>
      </c>
      <c r="G478" s="107" t="s">
        <v>33</v>
      </c>
      <c r="H478" s="107" t="str">
        <f t="shared" si="42"/>
        <v>Area 9: Admiralty Inlet</v>
      </c>
      <c r="I478" s="107" t="str">
        <f>IFERROR(VLOOKUP(H478,LUTs!$A$1:$C$73,2,FALSE),"NA")</f>
        <v>NA</v>
      </c>
      <c r="J478" s="107" t="str">
        <f>IFERROR(VLOOKUP(H478,LUTs!$A$1:$C$73,3,FALSE),"NA")</f>
        <v>2Central Puget Sound</v>
      </c>
      <c r="K478" s="107" t="s">
        <v>21</v>
      </c>
      <c r="L478" s="107" t="str">
        <f>VLOOKUP(K478,LUTs!E$2:G$14,3,)</f>
        <v>08Thurston</v>
      </c>
      <c r="M478" s="107" t="str">
        <f>VLOOKUP($K478,LUTs!$E$2:$H$14,2,)</f>
        <v>South Puget Sound</v>
      </c>
      <c r="N478" s="107" t="str">
        <f>VLOOKUP($K478,LUTs!$E$2:$H$14,4,)</f>
        <v>02South Puget Sound</v>
      </c>
      <c r="O478" s="107">
        <v>247.26266738082501</v>
      </c>
      <c r="P478" s="107">
        <v>467.33837171933601</v>
      </c>
      <c r="Q478" s="107">
        <f t="shared" si="43"/>
        <v>247.26266738082501</v>
      </c>
      <c r="R478" s="107">
        <f t="shared" si="44"/>
        <v>467.33837171933601</v>
      </c>
      <c r="S478" s="140" t="str">
        <f t="shared" si="45"/>
        <v>Y</v>
      </c>
      <c r="T478" s="154">
        <f t="shared" si="46"/>
        <v>1.8900482497811057</v>
      </c>
      <c r="U478" s="154">
        <f t="shared" si="47"/>
        <v>1.8900482497811057</v>
      </c>
    </row>
    <row r="479" spans="1:21" x14ac:dyDescent="0.35">
      <c r="A479" s="107">
        <v>2986</v>
      </c>
      <c r="B479" s="107">
        <v>2012</v>
      </c>
      <c r="C479" s="107" t="s">
        <v>9</v>
      </c>
      <c r="D479" s="107" t="s">
        <v>132</v>
      </c>
      <c r="E479" s="107" t="s">
        <v>10</v>
      </c>
      <c r="F479" s="115">
        <v>9</v>
      </c>
      <c r="G479" s="107" t="s">
        <v>33</v>
      </c>
      <c r="H479" s="107" t="str">
        <f t="shared" si="42"/>
        <v>Area 9: Admiralty Inlet</v>
      </c>
      <c r="I479" s="107" t="str">
        <f>IFERROR(VLOOKUP(H479,LUTs!$A$1:$C$73,2,FALSE),"NA")</f>
        <v>NA</v>
      </c>
      <c r="J479" s="107" t="str">
        <f>IFERROR(VLOOKUP(H479,LUTs!$A$1:$C$73,3,FALSE),"NA")</f>
        <v>2Central Puget Sound</v>
      </c>
      <c r="K479" s="107" t="s">
        <v>13</v>
      </c>
      <c r="L479" s="107" t="str">
        <f>VLOOKUP(K479,LUTs!E$2:G$14,3,)</f>
        <v>01Whatcom</v>
      </c>
      <c r="M479" s="107" t="str">
        <f>VLOOKUP($K479,LUTs!$E$2:$H$14,2,)</f>
        <v>North Puget Sound</v>
      </c>
      <c r="N479" s="107" t="str">
        <f>VLOOKUP($K479,LUTs!$E$2:$H$14,4,)</f>
        <v>01North Puget Sound</v>
      </c>
      <c r="O479" s="107">
        <v>195.510016068559</v>
      </c>
      <c r="P479" s="107">
        <v>369.52336368505598</v>
      </c>
      <c r="Q479" s="107">
        <f t="shared" si="43"/>
        <v>195.510016068559</v>
      </c>
      <c r="R479" s="107">
        <f t="shared" si="44"/>
        <v>369.52336368505598</v>
      </c>
      <c r="S479" s="140" t="str">
        <f t="shared" si="45"/>
        <v>Y</v>
      </c>
      <c r="T479" s="154">
        <f t="shared" si="46"/>
        <v>1.8900482497811066</v>
      </c>
      <c r="U479" s="154">
        <f t="shared" si="47"/>
        <v>1.8900482497811066</v>
      </c>
    </row>
    <row r="480" spans="1:21" x14ac:dyDescent="0.35">
      <c r="A480" s="107">
        <v>3424</v>
      </c>
      <c r="B480" s="107">
        <v>2013</v>
      </c>
      <c r="C480" s="107" t="s">
        <v>9</v>
      </c>
      <c r="D480" s="107" t="s">
        <v>132</v>
      </c>
      <c r="E480" s="107" t="s">
        <v>10</v>
      </c>
      <c r="F480" s="115">
        <v>9</v>
      </c>
      <c r="G480" s="107" t="s">
        <v>33</v>
      </c>
      <c r="H480" s="107" t="str">
        <f t="shared" si="42"/>
        <v>Area 9: Admiralty Inlet</v>
      </c>
      <c r="I480" s="107" t="str">
        <f>IFERROR(VLOOKUP(H480,LUTs!$A$1:$C$73,2,FALSE),"NA")</f>
        <v>NA</v>
      </c>
      <c r="J480" s="107" t="str">
        <f>IFERROR(VLOOKUP(H480,LUTs!$A$1:$C$73,3,FALSE),"NA")</f>
        <v>2Central Puget Sound</v>
      </c>
      <c r="K480" s="107" t="s">
        <v>24</v>
      </c>
      <c r="L480" s="107" t="str">
        <f>VLOOKUP(K480,LUTs!E$2:G$14,3,)</f>
        <v>11Clallam</v>
      </c>
      <c r="M480" s="107" t="str">
        <f>VLOOKUP($K480,LUTs!$E$2:$H$14,2,)</f>
        <v>Strait of Juan de Fuca</v>
      </c>
      <c r="N480" s="107" t="str">
        <f>VLOOKUP($K480,LUTs!$E$2:$H$14,4,)</f>
        <v>03Strait of Juan de Fuca</v>
      </c>
      <c r="O480" s="107">
        <v>631.19587881761299</v>
      </c>
      <c r="P480" s="107">
        <v>884.81940390040495</v>
      </c>
      <c r="Q480" s="107">
        <f t="shared" si="43"/>
        <v>631.19587881761299</v>
      </c>
      <c r="R480" s="107">
        <f t="shared" si="44"/>
        <v>884.81940390040495</v>
      </c>
      <c r="S480" s="140" t="str">
        <f t="shared" si="45"/>
        <v>Y</v>
      </c>
      <c r="T480" s="154">
        <f t="shared" si="46"/>
        <v>1.4018142918770191</v>
      </c>
      <c r="U480" s="154">
        <f t="shared" si="47"/>
        <v>1.4018142918770191</v>
      </c>
    </row>
    <row r="481" spans="1:21" x14ac:dyDescent="0.35">
      <c r="A481" s="107">
        <v>3415</v>
      </c>
      <c r="B481" s="107">
        <v>2013</v>
      </c>
      <c r="C481" s="107" t="s">
        <v>9</v>
      </c>
      <c r="D481" s="107" t="s">
        <v>132</v>
      </c>
      <c r="E481" s="107" t="s">
        <v>10</v>
      </c>
      <c r="F481" s="115">
        <v>9</v>
      </c>
      <c r="G481" s="107" t="s">
        <v>33</v>
      </c>
      <c r="H481" s="107" t="str">
        <f t="shared" si="42"/>
        <v>Area 9: Admiralty Inlet</v>
      </c>
      <c r="I481" s="107" t="str">
        <f>IFERROR(VLOOKUP(H481,LUTs!$A$1:$C$73,2,FALSE),"NA")</f>
        <v>NA</v>
      </c>
      <c r="J481" s="107" t="str">
        <f>IFERROR(VLOOKUP(H481,LUTs!$A$1:$C$73,3,FALSE),"NA")</f>
        <v>2Central Puget Sound</v>
      </c>
      <c r="K481" s="107" t="s">
        <v>17</v>
      </c>
      <c r="L481" s="107" t="str">
        <f>VLOOKUP(K481,LUTs!E$2:G$14,3,)</f>
        <v>04Island</v>
      </c>
      <c r="M481" s="107" t="str">
        <f>VLOOKUP($K481,LUTs!$E$2:$H$14,2,)</f>
        <v>North Puget Sound</v>
      </c>
      <c r="N481" s="107" t="str">
        <f>VLOOKUP($K481,LUTs!$E$2:$H$14,4,)</f>
        <v>01North Puget Sound</v>
      </c>
      <c r="O481" s="107">
        <v>22696.751809149999</v>
      </c>
      <c r="P481" s="107">
        <v>31816.631065252099</v>
      </c>
      <c r="Q481" s="107">
        <f t="shared" si="43"/>
        <v>22696.751809149999</v>
      </c>
      <c r="R481" s="107">
        <f t="shared" si="44"/>
        <v>31816.631065252099</v>
      </c>
      <c r="S481" s="140" t="str">
        <f t="shared" si="45"/>
        <v>Y</v>
      </c>
      <c r="T481" s="154">
        <f t="shared" si="46"/>
        <v>1.4018142918770209</v>
      </c>
      <c r="U481" s="154">
        <f t="shared" si="47"/>
        <v>1.4018142918770209</v>
      </c>
    </row>
    <row r="482" spans="1:21" x14ac:dyDescent="0.35">
      <c r="A482" s="107">
        <v>3425</v>
      </c>
      <c r="B482" s="107">
        <v>2013</v>
      </c>
      <c r="C482" s="107" t="s">
        <v>9</v>
      </c>
      <c r="D482" s="107" t="s">
        <v>132</v>
      </c>
      <c r="E482" s="107" t="s">
        <v>10</v>
      </c>
      <c r="F482" s="115">
        <v>9</v>
      </c>
      <c r="G482" s="107" t="s">
        <v>33</v>
      </c>
      <c r="H482" s="107" t="str">
        <f t="shared" si="42"/>
        <v>Area 9: Admiralty Inlet</v>
      </c>
      <c r="I482" s="107" t="str">
        <f>IFERROR(VLOOKUP(H482,LUTs!$A$1:$C$73,2,FALSE),"NA")</f>
        <v>NA</v>
      </c>
      <c r="J482" s="107" t="str">
        <f>IFERROR(VLOOKUP(H482,LUTs!$A$1:$C$73,3,FALSE),"NA")</f>
        <v>2Central Puget Sound</v>
      </c>
      <c r="K482" s="107" t="s">
        <v>25</v>
      </c>
      <c r="L482" s="107" t="str">
        <f>VLOOKUP(K482,LUTs!E$2:G$14,3,)</f>
        <v>12Jefferson</v>
      </c>
      <c r="M482" s="107" t="str">
        <f>VLOOKUP($K482,LUTs!$E$2:$H$14,2,)</f>
        <v>Strait of Juan de Fuca</v>
      </c>
      <c r="N482" s="107" t="str">
        <f>VLOOKUP($K482,LUTs!$E$2:$H$14,4,)</f>
        <v>03Strait of Juan de Fuca</v>
      </c>
      <c r="O482" s="107">
        <v>4634.0297436526398</v>
      </c>
      <c r="P482" s="107">
        <v>6496.0491236354701</v>
      </c>
      <c r="Q482" s="107">
        <f t="shared" si="43"/>
        <v>4634.0297436526398</v>
      </c>
      <c r="R482" s="107">
        <f t="shared" si="44"/>
        <v>6496.0491236354701</v>
      </c>
      <c r="S482" s="140" t="str">
        <f t="shared" si="45"/>
        <v>Y</v>
      </c>
      <c r="T482" s="154">
        <f t="shared" si="46"/>
        <v>1.4018142918770191</v>
      </c>
      <c r="U482" s="154">
        <f t="shared" si="47"/>
        <v>1.4018142918770191</v>
      </c>
    </row>
    <row r="483" spans="1:21" x14ac:dyDescent="0.35">
      <c r="A483" s="107">
        <v>3416</v>
      </c>
      <c r="B483" s="107">
        <v>2013</v>
      </c>
      <c r="C483" s="107" t="s">
        <v>9</v>
      </c>
      <c r="D483" s="107" t="s">
        <v>132</v>
      </c>
      <c r="E483" s="107" t="s">
        <v>10</v>
      </c>
      <c r="F483" s="115">
        <v>9</v>
      </c>
      <c r="G483" s="107" t="s">
        <v>33</v>
      </c>
      <c r="H483" s="107" t="str">
        <f t="shared" si="42"/>
        <v>Area 9: Admiralty Inlet</v>
      </c>
      <c r="I483" s="107" t="str">
        <f>IFERROR(VLOOKUP(H483,LUTs!$A$1:$C$73,2,FALSE),"NA")</f>
        <v>NA</v>
      </c>
      <c r="J483" s="107" t="str">
        <f>IFERROR(VLOOKUP(H483,LUTs!$A$1:$C$73,3,FALSE),"NA")</f>
        <v>2Central Puget Sound</v>
      </c>
      <c r="K483" s="107" t="s">
        <v>18</v>
      </c>
      <c r="L483" s="107" t="str">
        <f>VLOOKUP(K483,LUTs!E$2:G$14,3,)</f>
        <v>06King</v>
      </c>
      <c r="M483" s="107" t="str">
        <f>VLOOKUP($K483,LUTs!$E$2:$H$14,2,)</f>
        <v>South Puget Sound</v>
      </c>
      <c r="N483" s="107" t="str">
        <f>VLOOKUP($K483,LUTs!$E$2:$H$14,4,)</f>
        <v>02South Puget Sound</v>
      </c>
      <c r="O483" s="107">
        <v>13223.553661229</v>
      </c>
      <c r="P483" s="107">
        <v>18536.966511713501</v>
      </c>
      <c r="Q483" s="107">
        <f t="shared" si="43"/>
        <v>13223.553661229</v>
      </c>
      <c r="R483" s="107">
        <f t="shared" si="44"/>
        <v>18536.966511713501</v>
      </c>
      <c r="S483" s="140" t="str">
        <f t="shared" si="45"/>
        <v>Y</v>
      </c>
      <c r="T483" s="154">
        <f t="shared" si="46"/>
        <v>1.4018142918770196</v>
      </c>
      <c r="U483" s="154">
        <f t="shared" si="47"/>
        <v>1.4018142918770196</v>
      </c>
    </row>
    <row r="484" spans="1:21" x14ac:dyDescent="0.35">
      <c r="A484" s="107">
        <v>3423</v>
      </c>
      <c r="B484" s="107">
        <v>2013</v>
      </c>
      <c r="C484" s="107" t="s">
        <v>9</v>
      </c>
      <c r="D484" s="107" t="s">
        <v>132</v>
      </c>
      <c r="E484" s="107" t="s">
        <v>10</v>
      </c>
      <c r="F484" s="115">
        <v>9</v>
      </c>
      <c r="G484" s="107" t="s">
        <v>33</v>
      </c>
      <c r="H484" s="107" t="str">
        <f t="shared" si="42"/>
        <v>Area 9: Admiralty Inlet</v>
      </c>
      <c r="I484" s="107" t="str">
        <f>IFERROR(VLOOKUP(H484,LUTs!$A$1:$C$73,2,FALSE),"NA")</f>
        <v>NA</v>
      </c>
      <c r="J484" s="107" t="str">
        <f>IFERROR(VLOOKUP(H484,LUTs!$A$1:$C$73,3,FALSE),"NA")</f>
        <v>2Central Puget Sound</v>
      </c>
      <c r="K484" s="107" t="s">
        <v>23</v>
      </c>
      <c r="L484" s="107" t="str">
        <f>VLOOKUP(K484,LUTs!E$2:G$14,3,)</f>
        <v>10Kitsap</v>
      </c>
      <c r="M484" s="107" t="str">
        <f>VLOOKUP($K484,LUTs!$E$2:$H$14,2,)</f>
        <v>South Puget Sound</v>
      </c>
      <c r="N484" s="107" t="str">
        <f>VLOOKUP($K484,LUTs!$E$2:$H$14,4,)</f>
        <v>02South Puget Sound</v>
      </c>
      <c r="O484" s="107">
        <v>6890.5550104256099</v>
      </c>
      <c r="P484" s="107">
        <v>9659.2784925794203</v>
      </c>
      <c r="Q484" s="107">
        <f t="shared" si="43"/>
        <v>6890.5550104256099</v>
      </c>
      <c r="R484" s="107">
        <f t="shared" si="44"/>
        <v>9659.2784925794203</v>
      </c>
      <c r="S484" s="140" t="str">
        <f t="shared" si="45"/>
        <v>Y</v>
      </c>
      <c r="T484" s="154">
        <f t="shared" si="46"/>
        <v>1.4018142918770189</v>
      </c>
      <c r="U484" s="154">
        <f t="shared" si="47"/>
        <v>1.4018142918770189</v>
      </c>
    </row>
    <row r="485" spans="1:21" x14ac:dyDescent="0.35">
      <c r="A485" s="107">
        <v>3422</v>
      </c>
      <c r="B485" s="107">
        <v>2013</v>
      </c>
      <c r="C485" s="107" t="s">
        <v>9</v>
      </c>
      <c r="D485" s="107" t="s">
        <v>132</v>
      </c>
      <c r="E485" s="107" t="s">
        <v>10</v>
      </c>
      <c r="F485" s="115">
        <v>9</v>
      </c>
      <c r="G485" s="107" t="s">
        <v>33</v>
      </c>
      <c r="H485" s="107" t="str">
        <f t="shared" si="42"/>
        <v>Area 9: Admiralty Inlet</v>
      </c>
      <c r="I485" s="107" t="str">
        <f>IFERROR(VLOOKUP(H485,LUTs!$A$1:$C$73,2,FALSE),"NA")</f>
        <v>NA</v>
      </c>
      <c r="J485" s="107" t="str">
        <f>IFERROR(VLOOKUP(H485,LUTs!$A$1:$C$73,3,FALSE),"NA")</f>
        <v>2Central Puget Sound</v>
      </c>
      <c r="K485" s="107" t="s">
        <v>22</v>
      </c>
      <c r="L485" s="107" t="str">
        <f>VLOOKUP(K485,LUTs!E$2:G$14,3,)</f>
        <v>09Mason</v>
      </c>
      <c r="M485" s="107" t="str">
        <f>VLOOKUP($K485,LUTs!$E$2:$H$14,2,)</f>
        <v>South Puget Sound</v>
      </c>
      <c r="N485" s="107" t="str">
        <f>VLOOKUP($K485,LUTs!$E$2:$H$14,4,)</f>
        <v>02South Puget Sound</v>
      </c>
      <c r="O485" s="107">
        <v>289.29811112473902</v>
      </c>
      <c r="P485" s="107">
        <v>405.54222678768599</v>
      </c>
      <c r="Q485" s="107">
        <f t="shared" si="43"/>
        <v>289.29811112473902</v>
      </c>
      <c r="R485" s="107">
        <f t="shared" si="44"/>
        <v>405.54222678768599</v>
      </c>
      <c r="S485" s="140" t="str">
        <f t="shared" si="45"/>
        <v>Y</v>
      </c>
      <c r="T485" s="154">
        <f t="shared" si="46"/>
        <v>1.4018142918770218</v>
      </c>
      <c r="U485" s="154">
        <f t="shared" si="47"/>
        <v>1.4018142918770218</v>
      </c>
    </row>
    <row r="486" spans="1:21" x14ac:dyDescent="0.35">
      <c r="A486" s="107">
        <v>3476</v>
      </c>
      <c r="B486" s="107">
        <v>2013</v>
      </c>
      <c r="C486" s="107" t="s">
        <v>9</v>
      </c>
      <c r="D486" s="107" t="s">
        <v>132</v>
      </c>
      <c r="E486" s="107" t="s">
        <v>10</v>
      </c>
      <c r="F486" s="115">
        <v>9</v>
      </c>
      <c r="G486" s="107" t="s">
        <v>33</v>
      </c>
      <c r="H486" s="107" t="str">
        <f t="shared" si="42"/>
        <v>Area 9: Admiralty Inlet</v>
      </c>
      <c r="I486" s="107" t="str">
        <f>IFERROR(VLOOKUP(H486,LUTs!$A$1:$C$73,2,FALSE),"NA")</f>
        <v>NA</v>
      </c>
      <c r="J486" s="107" t="str">
        <f>IFERROR(VLOOKUP(H486,LUTs!$A$1:$C$73,3,FALSE),"NA")</f>
        <v>2Central Puget Sound</v>
      </c>
      <c r="K486" s="107" t="s">
        <v>26</v>
      </c>
      <c r="L486" s="107" t="str">
        <f>VLOOKUP(K486,LUTs!E$2:G$14,3,)</f>
        <v>20Other</v>
      </c>
      <c r="M486" s="107" t="str">
        <f>VLOOKUP($K486,LUTs!$E$2:$H$14,2,)</f>
        <v>Non Puget Sound</v>
      </c>
      <c r="N486" s="107" t="str">
        <f>VLOOKUP($K486,LUTs!$E$2:$H$14,4,)</f>
        <v>07Non Puget Sound</v>
      </c>
      <c r="O486" s="107">
        <v>8447.5048448423895</v>
      </c>
      <c r="P486" s="107">
        <v>11841.833022200401</v>
      </c>
      <c r="Q486" s="107">
        <f t="shared" si="43"/>
        <v>8447.5048448423895</v>
      </c>
      <c r="R486" s="107">
        <f t="shared" si="44"/>
        <v>11841.833022200401</v>
      </c>
      <c r="S486" s="140" t="str">
        <f t="shared" si="45"/>
        <v>Y</v>
      </c>
      <c r="T486" s="154">
        <f t="shared" si="46"/>
        <v>1.4018142918770164</v>
      </c>
      <c r="U486" s="154">
        <f t="shared" si="47"/>
        <v>1.4018142918770164</v>
      </c>
    </row>
    <row r="487" spans="1:21" x14ac:dyDescent="0.35">
      <c r="A487" s="107">
        <v>3417</v>
      </c>
      <c r="B487" s="107">
        <v>2013</v>
      </c>
      <c r="C487" s="107" t="s">
        <v>9</v>
      </c>
      <c r="D487" s="107" t="s">
        <v>132</v>
      </c>
      <c r="E487" s="107" t="s">
        <v>10</v>
      </c>
      <c r="F487" s="115">
        <v>9</v>
      </c>
      <c r="G487" s="107" t="s">
        <v>33</v>
      </c>
      <c r="H487" s="107" t="str">
        <f t="shared" si="42"/>
        <v>Area 9: Admiralty Inlet</v>
      </c>
      <c r="I487" s="107" t="str">
        <f>IFERROR(VLOOKUP(H487,LUTs!$A$1:$C$73,2,FALSE),"NA")</f>
        <v>NA</v>
      </c>
      <c r="J487" s="107" t="str">
        <f>IFERROR(VLOOKUP(H487,LUTs!$A$1:$C$73,3,FALSE),"NA")</f>
        <v>2Central Puget Sound</v>
      </c>
      <c r="K487" s="107" t="s">
        <v>20</v>
      </c>
      <c r="L487" s="107" t="str">
        <f>VLOOKUP(K487,LUTs!E$2:G$14,3,)</f>
        <v>07Pierce</v>
      </c>
      <c r="M487" s="107" t="str">
        <f>VLOOKUP($K487,LUTs!$E$2:$H$14,2,)</f>
        <v>South Puget Sound</v>
      </c>
      <c r="N487" s="107" t="str">
        <f>VLOOKUP($K487,LUTs!$E$2:$H$14,4,)</f>
        <v>02South Puget Sound</v>
      </c>
      <c r="O487" s="107">
        <v>1288.69158591929</v>
      </c>
      <c r="P487" s="107">
        <v>1806.50628296333</v>
      </c>
      <c r="Q487" s="107">
        <f t="shared" si="43"/>
        <v>1288.69158591929</v>
      </c>
      <c r="R487" s="107">
        <f t="shared" si="44"/>
        <v>1806.50628296333</v>
      </c>
      <c r="S487" s="140" t="str">
        <f t="shared" si="45"/>
        <v>Y</v>
      </c>
      <c r="T487" s="154">
        <f t="shared" si="46"/>
        <v>1.4018142918770251</v>
      </c>
      <c r="U487" s="154">
        <f t="shared" si="47"/>
        <v>1.4018142918770251</v>
      </c>
    </row>
    <row r="488" spans="1:21" x14ac:dyDescent="0.35">
      <c r="A488" s="107">
        <v>3322</v>
      </c>
      <c r="B488" s="107">
        <v>2013</v>
      </c>
      <c r="C488" s="107" t="s">
        <v>9</v>
      </c>
      <c r="D488" s="107" t="s">
        <v>132</v>
      </c>
      <c r="E488" s="107" t="s">
        <v>10</v>
      </c>
      <c r="F488" s="115">
        <v>9</v>
      </c>
      <c r="G488" s="107" t="s">
        <v>33</v>
      </c>
      <c r="H488" s="107" t="str">
        <f t="shared" si="42"/>
        <v>Area 9: Admiralty Inlet</v>
      </c>
      <c r="I488" s="107" t="str">
        <f>IFERROR(VLOOKUP(H488,LUTs!$A$1:$C$73,2,FALSE),"NA")</f>
        <v>NA</v>
      </c>
      <c r="J488" s="107" t="str">
        <f>IFERROR(VLOOKUP(H488,LUTs!$A$1:$C$73,3,FALSE),"NA")</f>
        <v>2Central Puget Sound</v>
      </c>
      <c r="K488" s="107" t="s">
        <v>15</v>
      </c>
      <c r="L488" s="107" t="str">
        <f>VLOOKUP(K488,LUTs!E$2:G$14,3,)</f>
        <v>02Skagit</v>
      </c>
      <c r="M488" s="107" t="str">
        <f>VLOOKUP($K488,LUTs!$E$2:$H$14,2,)</f>
        <v>North Puget Sound</v>
      </c>
      <c r="N488" s="107" t="str">
        <f>VLOOKUP($K488,LUTs!$E$2:$H$14,4,)</f>
        <v>01North Puget Sound</v>
      </c>
      <c r="O488" s="107">
        <v>1209.79210106709</v>
      </c>
      <c r="P488" s="107">
        <v>1695.9038574757799</v>
      </c>
      <c r="Q488" s="107">
        <f t="shared" si="43"/>
        <v>1209.79210106709</v>
      </c>
      <c r="R488" s="107">
        <f t="shared" si="44"/>
        <v>1695.9038574757799</v>
      </c>
      <c r="S488" s="140" t="str">
        <f t="shared" si="45"/>
        <v>Y</v>
      </c>
      <c r="T488" s="154">
        <f t="shared" si="46"/>
        <v>1.401814291877024</v>
      </c>
      <c r="U488" s="154">
        <f t="shared" si="47"/>
        <v>1.401814291877024</v>
      </c>
    </row>
    <row r="489" spans="1:21" x14ac:dyDescent="0.35">
      <c r="A489" s="107">
        <v>3323</v>
      </c>
      <c r="B489" s="107">
        <v>2013</v>
      </c>
      <c r="C489" s="107" t="s">
        <v>9</v>
      </c>
      <c r="D489" s="107" t="s">
        <v>132</v>
      </c>
      <c r="E489" s="107" t="s">
        <v>10</v>
      </c>
      <c r="F489" s="115">
        <v>9</v>
      </c>
      <c r="G489" s="107" t="s">
        <v>33</v>
      </c>
      <c r="H489" s="107" t="str">
        <f t="shared" si="42"/>
        <v>Area 9: Admiralty Inlet</v>
      </c>
      <c r="I489" s="107" t="str">
        <f>IFERROR(VLOOKUP(H489,LUTs!$A$1:$C$73,2,FALSE),"NA")</f>
        <v>NA</v>
      </c>
      <c r="J489" s="107" t="str">
        <f>IFERROR(VLOOKUP(H489,LUTs!$A$1:$C$73,3,FALSE),"NA")</f>
        <v>2Central Puget Sound</v>
      </c>
      <c r="K489" s="107" t="s">
        <v>16</v>
      </c>
      <c r="L489" s="107" t="str">
        <f>VLOOKUP(K489,LUTs!E$2:G$14,3,)</f>
        <v>03Snohomish</v>
      </c>
      <c r="M489" s="107" t="str">
        <f>VLOOKUP($K489,LUTs!$E$2:$H$14,2,)</f>
        <v>North Puget Sound</v>
      </c>
      <c r="N489" s="107" t="str">
        <f>VLOOKUP($K489,LUTs!$E$2:$H$14,4,)</f>
        <v>01North Puget Sound</v>
      </c>
      <c r="O489" s="107">
        <v>25205.75542745</v>
      </c>
      <c r="P489" s="107">
        <v>35333.788195756199</v>
      </c>
      <c r="Q489" s="107">
        <f t="shared" si="43"/>
        <v>25205.75542745</v>
      </c>
      <c r="R489" s="107">
        <f t="shared" si="44"/>
        <v>35333.788195756199</v>
      </c>
      <c r="S489" s="140" t="str">
        <f t="shared" si="45"/>
        <v>Y</v>
      </c>
      <c r="T489" s="154">
        <f t="shared" si="46"/>
        <v>1.4018142918770209</v>
      </c>
      <c r="U489" s="154">
        <f t="shared" si="47"/>
        <v>1.4018142918770209</v>
      </c>
    </row>
    <row r="490" spans="1:21" x14ac:dyDescent="0.35">
      <c r="A490" s="107">
        <v>3418</v>
      </c>
      <c r="B490" s="107">
        <v>2013</v>
      </c>
      <c r="C490" s="107" t="s">
        <v>9</v>
      </c>
      <c r="D490" s="107" t="s">
        <v>132</v>
      </c>
      <c r="E490" s="107" t="s">
        <v>10</v>
      </c>
      <c r="F490" s="115">
        <v>9</v>
      </c>
      <c r="G490" s="107" t="s">
        <v>33</v>
      </c>
      <c r="H490" s="107" t="str">
        <f t="shared" si="42"/>
        <v>Area 9: Admiralty Inlet</v>
      </c>
      <c r="I490" s="107" t="str">
        <f>IFERROR(VLOOKUP(H490,LUTs!$A$1:$C$73,2,FALSE),"NA")</f>
        <v>NA</v>
      </c>
      <c r="J490" s="107" t="str">
        <f>IFERROR(VLOOKUP(H490,LUTs!$A$1:$C$73,3,FALSE),"NA")</f>
        <v>2Central Puget Sound</v>
      </c>
      <c r="K490" s="107" t="s">
        <v>21</v>
      </c>
      <c r="L490" s="107" t="str">
        <f>VLOOKUP(K490,LUTs!E$2:G$14,3,)</f>
        <v>08Thurston</v>
      </c>
      <c r="M490" s="107" t="str">
        <f>VLOOKUP($K490,LUTs!$E$2:$H$14,2,)</f>
        <v>South Puget Sound</v>
      </c>
      <c r="N490" s="107" t="str">
        <f>VLOOKUP($K490,LUTs!$E$2:$H$14,4,)</f>
        <v>02South Puget Sound</v>
      </c>
      <c r="O490" s="107">
        <v>568.07629093585194</v>
      </c>
      <c r="P490" s="107">
        <v>796.33746351036405</v>
      </c>
      <c r="Q490" s="107">
        <f t="shared" si="43"/>
        <v>568.07629093585194</v>
      </c>
      <c r="R490" s="107">
        <f t="shared" si="44"/>
        <v>796.33746351036405</v>
      </c>
      <c r="S490" s="140" t="str">
        <f t="shared" si="45"/>
        <v>Y</v>
      </c>
      <c r="T490" s="154">
        <f t="shared" si="46"/>
        <v>1.4018142918770178</v>
      </c>
      <c r="U490" s="154">
        <f t="shared" si="47"/>
        <v>1.4018142918770178</v>
      </c>
    </row>
    <row r="491" spans="1:21" x14ac:dyDescent="0.35">
      <c r="A491" s="107">
        <v>3321</v>
      </c>
      <c r="B491" s="107">
        <v>2013</v>
      </c>
      <c r="C491" s="107" t="s">
        <v>9</v>
      </c>
      <c r="D491" s="107" t="s">
        <v>132</v>
      </c>
      <c r="E491" s="107" t="s">
        <v>10</v>
      </c>
      <c r="F491" s="115">
        <v>9</v>
      </c>
      <c r="G491" s="107" t="s">
        <v>33</v>
      </c>
      <c r="H491" s="107" t="str">
        <f t="shared" si="42"/>
        <v>Area 9: Admiralty Inlet</v>
      </c>
      <c r="I491" s="107" t="str">
        <f>IFERROR(VLOOKUP(H491,LUTs!$A$1:$C$73,2,FALSE),"NA")</f>
        <v>NA</v>
      </c>
      <c r="J491" s="107" t="str">
        <f>IFERROR(VLOOKUP(H491,LUTs!$A$1:$C$73,3,FALSE),"NA")</f>
        <v>2Central Puget Sound</v>
      </c>
      <c r="K491" s="107" t="s">
        <v>13</v>
      </c>
      <c r="L491" s="107" t="str">
        <f>VLOOKUP(K491,LUTs!E$2:G$14,3,)</f>
        <v>01Whatcom</v>
      </c>
      <c r="M491" s="107" t="str">
        <f>VLOOKUP($K491,LUTs!$E$2:$H$14,2,)</f>
        <v>North Puget Sound</v>
      </c>
      <c r="N491" s="107" t="str">
        <f>VLOOKUP($K491,LUTs!$E$2:$H$14,4,)</f>
        <v>01North Puget Sound</v>
      </c>
      <c r="O491" s="107">
        <v>683.79553538574805</v>
      </c>
      <c r="P491" s="107">
        <v>958.55435422543906</v>
      </c>
      <c r="Q491" s="107">
        <f t="shared" si="43"/>
        <v>683.79553538574805</v>
      </c>
      <c r="R491" s="107">
        <f t="shared" si="44"/>
        <v>958.55435422543906</v>
      </c>
      <c r="S491" s="140" t="str">
        <f t="shared" si="45"/>
        <v>Y</v>
      </c>
      <c r="T491" s="154">
        <f t="shared" si="46"/>
        <v>1.4018142918770184</v>
      </c>
      <c r="U491" s="154">
        <f t="shared" si="47"/>
        <v>1.4018142918770184</v>
      </c>
    </row>
    <row r="492" spans="1:21" x14ac:dyDescent="0.35">
      <c r="A492" s="107">
        <v>2537</v>
      </c>
      <c r="B492" s="107">
        <v>2014</v>
      </c>
      <c r="C492" s="107" t="s">
        <v>9</v>
      </c>
      <c r="D492" s="107" t="s">
        <v>132</v>
      </c>
      <c r="E492" s="107" t="s">
        <v>10</v>
      </c>
      <c r="F492" s="115">
        <v>9</v>
      </c>
      <c r="G492" s="107" t="s">
        <v>33</v>
      </c>
      <c r="H492" s="107" t="str">
        <f t="shared" si="42"/>
        <v>Area 9: Admiralty Inlet</v>
      </c>
      <c r="I492" s="107" t="str">
        <f>IFERROR(VLOOKUP(H492,LUTs!$A$1:$C$73,2,FALSE),"NA")</f>
        <v>NA</v>
      </c>
      <c r="J492" s="107" t="str">
        <f>IFERROR(VLOOKUP(H492,LUTs!$A$1:$C$73,3,FALSE),"NA")</f>
        <v>2Central Puget Sound</v>
      </c>
      <c r="K492" s="107" t="s">
        <v>24</v>
      </c>
      <c r="L492" s="107" t="str">
        <f>VLOOKUP(K492,LUTs!E$2:G$14,3,)</f>
        <v>11Clallam</v>
      </c>
      <c r="M492" s="107" t="str">
        <f>VLOOKUP($K492,LUTs!$E$2:$H$14,2,)</f>
        <v>Strait of Juan de Fuca</v>
      </c>
      <c r="N492" s="107" t="str">
        <f>VLOOKUP($K492,LUTs!$E$2:$H$14,4,)</f>
        <v>03Strait of Juan de Fuca</v>
      </c>
      <c r="O492" s="107">
        <v>216.024977043159</v>
      </c>
      <c r="P492" s="107">
        <v>659.43343250688702</v>
      </c>
      <c r="Q492" s="107">
        <f t="shared" si="43"/>
        <v>216.024977043159</v>
      </c>
      <c r="R492" s="107">
        <f t="shared" si="44"/>
        <v>659.43343250688702</v>
      </c>
      <c r="S492" s="140" t="str">
        <f t="shared" si="45"/>
        <v>Y</v>
      </c>
      <c r="T492" s="154">
        <f t="shared" si="46"/>
        <v>3.0525795745143891</v>
      </c>
      <c r="U492" s="154">
        <f t="shared" si="47"/>
        <v>3.0525795745143891</v>
      </c>
    </row>
    <row r="493" spans="1:21" x14ac:dyDescent="0.35">
      <c r="A493" s="107">
        <v>1582</v>
      </c>
      <c r="B493" s="107">
        <v>2014</v>
      </c>
      <c r="C493" s="107" t="s">
        <v>9</v>
      </c>
      <c r="D493" s="107" t="s">
        <v>132</v>
      </c>
      <c r="E493" s="107" t="s">
        <v>10</v>
      </c>
      <c r="F493" s="115">
        <v>9</v>
      </c>
      <c r="G493" s="107" t="s">
        <v>33</v>
      </c>
      <c r="H493" s="107" t="str">
        <f t="shared" si="42"/>
        <v>Area 9: Admiralty Inlet</v>
      </c>
      <c r="I493" s="107" t="str">
        <f>IFERROR(VLOOKUP(H493,LUTs!$A$1:$C$73,2,FALSE),"NA")</f>
        <v>NA</v>
      </c>
      <c r="J493" s="107" t="str">
        <f>IFERROR(VLOOKUP(H493,LUTs!$A$1:$C$73,3,FALSE),"NA")</f>
        <v>2Central Puget Sound</v>
      </c>
      <c r="K493" s="107" t="s">
        <v>17</v>
      </c>
      <c r="L493" s="107" t="str">
        <f>VLOOKUP(K493,LUTs!E$2:G$14,3,)</f>
        <v>04Island</v>
      </c>
      <c r="M493" s="107" t="str">
        <f>VLOOKUP($K493,LUTs!$E$2:$H$14,2,)</f>
        <v>North Puget Sound</v>
      </c>
      <c r="N493" s="107" t="str">
        <f>VLOOKUP($K493,LUTs!$E$2:$H$14,4,)</f>
        <v>01North Puget Sound</v>
      </c>
      <c r="O493" s="107">
        <v>6318.7305785123999</v>
      </c>
      <c r="P493" s="107">
        <v>19288.4279008265</v>
      </c>
      <c r="Q493" s="107">
        <f t="shared" si="43"/>
        <v>6318.7305785123999</v>
      </c>
      <c r="R493" s="107">
        <f t="shared" si="44"/>
        <v>19288.4279008265</v>
      </c>
      <c r="S493" s="140" t="str">
        <f t="shared" si="45"/>
        <v>Y</v>
      </c>
      <c r="T493" s="154">
        <f t="shared" si="46"/>
        <v>3.0525795745143984</v>
      </c>
      <c r="U493" s="154">
        <f t="shared" si="47"/>
        <v>3.0525795745143984</v>
      </c>
    </row>
    <row r="494" spans="1:21" x14ac:dyDescent="0.35">
      <c r="A494" s="107">
        <v>2668</v>
      </c>
      <c r="B494" s="107">
        <v>2014</v>
      </c>
      <c r="C494" s="107" t="s">
        <v>9</v>
      </c>
      <c r="D494" s="107" t="s">
        <v>132</v>
      </c>
      <c r="E494" s="107" t="s">
        <v>10</v>
      </c>
      <c r="F494" s="115">
        <v>9</v>
      </c>
      <c r="G494" s="107" t="s">
        <v>33</v>
      </c>
      <c r="H494" s="107" t="str">
        <f t="shared" si="42"/>
        <v>Area 9: Admiralty Inlet</v>
      </c>
      <c r="I494" s="107" t="str">
        <f>IFERROR(VLOOKUP(H494,LUTs!$A$1:$C$73,2,FALSE),"NA")</f>
        <v>NA</v>
      </c>
      <c r="J494" s="107" t="str">
        <f>IFERROR(VLOOKUP(H494,LUTs!$A$1:$C$73,3,FALSE),"NA")</f>
        <v>2Central Puget Sound</v>
      </c>
      <c r="K494" s="107" t="s">
        <v>25</v>
      </c>
      <c r="L494" s="107" t="str">
        <f>VLOOKUP(K494,LUTs!E$2:G$14,3,)</f>
        <v>12Jefferson</v>
      </c>
      <c r="M494" s="107" t="str">
        <f>VLOOKUP($K494,LUTs!$E$2:$H$14,2,)</f>
        <v>Strait of Juan de Fuca</v>
      </c>
      <c r="N494" s="107" t="str">
        <f>VLOOKUP($K494,LUTs!$E$2:$H$14,4,)</f>
        <v>03Strait of Juan de Fuca</v>
      </c>
      <c r="O494" s="107">
        <v>1525.67640036731</v>
      </c>
      <c r="P494" s="107">
        <v>4657.2486170798902</v>
      </c>
      <c r="Q494" s="107">
        <f t="shared" si="43"/>
        <v>1525.67640036731</v>
      </c>
      <c r="R494" s="107">
        <f t="shared" si="44"/>
        <v>4657.2486170798902</v>
      </c>
      <c r="S494" s="140" t="str">
        <f t="shared" si="45"/>
        <v>Y</v>
      </c>
      <c r="T494" s="154">
        <f t="shared" si="46"/>
        <v>3.0525795745143909</v>
      </c>
      <c r="U494" s="154">
        <f t="shared" si="47"/>
        <v>3.0525795745143909</v>
      </c>
    </row>
    <row r="495" spans="1:21" x14ac:dyDescent="0.35">
      <c r="A495" s="107">
        <v>1733</v>
      </c>
      <c r="B495" s="107">
        <v>2014</v>
      </c>
      <c r="C495" s="107" t="s">
        <v>9</v>
      </c>
      <c r="D495" s="107" t="s">
        <v>132</v>
      </c>
      <c r="E495" s="107" t="s">
        <v>10</v>
      </c>
      <c r="F495" s="115">
        <v>9</v>
      </c>
      <c r="G495" s="107" t="s">
        <v>33</v>
      </c>
      <c r="H495" s="107" t="str">
        <f t="shared" si="42"/>
        <v>Area 9: Admiralty Inlet</v>
      </c>
      <c r="I495" s="107" t="str">
        <f>IFERROR(VLOOKUP(H495,LUTs!$A$1:$C$73,2,FALSE),"NA")</f>
        <v>NA</v>
      </c>
      <c r="J495" s="107" t="str">
        <f>IFERROR(VLOOKUP(H495,LUTs!$A$1:$C$73,3,FALSE),"NA")</f>
        <v>2Central Puget Sound</v>
      </c>
      <c r="K495" s="107" t="s">
        <v>18</v>
      </c>
      <c r="L495" s="107" t="str">
        <f>VLOOKUP(K495,LUTs!E$2:G$14,3,)</f>
        <v>06King</v>
      </c>
      <c r="M495" s="107" t="str">
        <f>VLOOKUP($K495,LUTs!$E$2:$H$14,2,)</f>
        <v>South Puget Sound</v>
      </c>
      <c r="N495" s="107" t="str">
        <f>VLOOKUP($K495,LUTs!$E$2:$H$14,4,)</f>
        <v>02South Puget Sound</v>
      </c>
      <c r="O495" s="107">
        <v>7088.3195592286502</v>
      </c>
      <c r="P495" s="107">
        <v>21637.6595041322</v>
      </c>
      <c r="Q495" s="107">
        <f t="shared" si="43"/>
        <v>7088.3195592286502</v>
      </c>
      <c r="R495" s="107">
        <f t="shared" si="44"/>
        <v>21637.6595041322</v>
      </c>
      <c r="S495" s="140" t="str">
        <f t="shared" si="45"/>
        <v>Y</v>
      </c>
      <c r="T495" s="154">
        <f t="shared" si="46"/>
        <v>3.0525795745143869</v>
      </c>
      <c r="U495" s="154">
        <f t="shared" si="47"/>
        <v>3.0525795745143869</v>
      </c>
    </row>
    <row r="496" spans="1:21" x14ac:dyDescent="0.35">
      <c r="A496" s="107">
        <v>2313</v>
      </c>
      <c r="B496" s="107">
        <v>2014</v>
      </c>
      <c r="C496" s="107" t="s">
        <v>9</v>
      </c>
      <c r="D496" s="107" t="s">
        <v>132</v>
      </c>
      <c r="E496" s="107" t="s">
        <v>10</v>
      </c>
      <c r="F496" s="115">
        <v>9</v>
      </c>
      <c r="G496" s="107" t="s">
        <v>33</v>
      </c>
      <c r="H496" s="107" t="str">
        <f t="shared" si="42"/>
        <v>Area 9: Admiralty Inlet</v>
      </c>
      <c r="I496" s="107" t="str">
        <f>IFERROR(VLOOKUP(H496,LUTs!$A$1:$C$73,2,FALSE),"NA")</f>
        <v>NA</v>
      </c>
      <c r="J496" s="107" t="str">
        <f>IFERROR(VLOOKUP(H496,LUTs!$A$1:$C$73,3,FALSE),"NA")</f>
        <v>2Central Puget Sound</v>
      </c>
      <c r="K496" s="107" t="s">
        <v>23</v>
      </c>
      <c r="L496" s="107" t="str">
        <f>VLOOKUP(K496,LUTs!E$2:G$14,3,)</f>
        <v>10Kitsap</v>
      </c>
      <c r="M496" s="107" t="str">
        <f>VLOOKUP($K496,LUTs!$E$2:$H$14,2,)</f>
        <v>South Puget Sound</v>
      </c>
      <c r="N496" s="107" t="str">
        <f>VLOOKUP($K496,LUTs!$E$2:$H$14,4,)</f>
        <v>02South Puget Sound</v>
      </c>
      <c r="O496" s="107">
        <v>2923.08797061524</v>
      </c>
      <c r="P496" s="107">
        <v>8922.9586336088196</v>
      </c>
      <c r="Q496" s="107">
        <f t="shared" si="43"/>
        <v>2923.08797061524</v>
      </c>
      <c r="R496" s="107">
        <f t="shared" si="44"/>
        <v>8922.9586336088196</v>
      </c>
      <c r="S496" s="140" t="str">
        <f t="shared" si="45"/>
        <v>Y</v>
      </c>
      <c r="T496" s="154">
        <f t="shared" si="46"/>
        <v>3.0525795745143962</v>
      </c>
      <c r="U496" s="154">
        <f t="shared" si="47"/>
        <v>3.0525795745143962</v>
      </c>
    </row>
    <row r="497" spans="1:21" x14ac:dyDescent="0.35">
      <c r="A497" s="107">
        <v>2203</v>
      </c>
      <c r="B497" s="107">
        <v>2014</v>
      </c>
      <c r="C497" s="107" t="s">
        <v>9</v>
      </c>
      <c r="D497" s="107" t="s">
        <v>132</v>
      </c>
      <c r="E497" s="107" t="s">
        <v>10</v>
      </c>
      <c r="F497" s="115">
        <v>9</v>
      </c>
      <c r="G497" s="107" t="s">
        <v>33</v>
      </c>
      <c r="H497" s="107" t="str">
        <f t="shared" si="42"/>
        <v>Area 9: Admiralty Inlet</v>
      </c>
      <c r="I497" s="107" t="str">
        <f>IFERROR(VLOOKUP(H497,LUTs!$A$1:$C$73,2,FALSE),"NA")</f>
        <v>NA</v>
      </c>
      <c r="J497" s="107" t="str">
        <f>IFERROR(VLOOKUP(H497,LUTs!$A$1:$C$73,3,FALSE),"NA")</f>
        <v>2Central Puget Sound</v>
      </c>
      <c r="K497" s="107" t="s">
        <v>22</v>
      </c>
      <c r="L497" s="107" t="str">
        <f>VLOOKUP(K497,LUTs!E$2:G$14,3,)</f>
        <v>09Mason</v>
      </c>
      <c r="M497" s="107" t="str">
        <f>VLOOKUP($K497,LUTs!$E$2:$H$14,2,)</f>
        <v>South Puget Sound</v>
      </c>
      <c r="N497" s="107" t="str">
        <f>VLOOKUP($K497,LUTs!$E$2:$H$14,4,)</f>
        <v>02South Puget Sound</v>
      </c>
      <c r="O497" s="107">
        <v>74.258585858585903</v>
      </c>
      <c r="P497" s="107">
        <v>226.680242424243</v>
      </c>
      <c r="Q497" s="107">
        <f t="shared" si="43"/>
        <v>74.258585858585903</v>
      </c>
      <c r="R497" s="107">
        <f t="shared" si="44"/>
        <v>226.680242424243</v>
      </c>
      <c r="S497" s="140" t="str">
        <f t="shared" si="45"/>
        <v>Y</v>
      </c>
      <c r="T497" s="154">
        <f t="shared" si="46"/>
        <v>3.0525795745143975</v>
      </c>
      <c r="U497" s="154">
        <f t="shared" si="47"/>
        <v>3.0525795745143975</v>
      </c>
    </row>
    <row r="498" spans="1:21" x14ac:dyDescent="0.35">
      <c r="A498" s="107">
        <v>2776</v>
      </c>
      <c r="B498" s="107">
        <v>2014</v>
      </c>
      <c r="C498" s="107" t="s">
        <v>9</v>
      </c>
      <c r="D498" s="107" t="s">
        <v>132</v>
      </c>
      <c r="E498" s="107" t="s">
        <v>10</v>
      </c>
      <c r="F498" s="115">
        <v>9</v>
      </c>
      <c r="G498" s="107" t="s">
        <v>33</v>
      </c>
      <c r="H498" s="107" t="str">
        <f t="shared" si="42"/>
        <v>Area 9: Admiralty Inlet</v>
      </c>
      <c r="I498" s="107" t="str">
        <f>IFERROR(VLOOKUP(H498,LUTs!$A$1:$C$73,2,FALSE),"NA")</f>
        <v>NA</v>
      </c>
      <c r="J498" s="107" t="str">
        <f>IFERROR(VLOOKUP(H498,LUTs!$A$1:$C$73,3,FALSE),"NA")</f>
        <v>2Central Puget Sound</v>
      </c>
      <c r="K498" s="107" t="s">
        <v>26</v>
      </c>
      <c r="L498" s="107" t="str">
        <f>VLOOKUP(K498,LUTs!E$2:G$14,3,)</f>
        <v>20Other</v>
      </c>
      <c r="M498" s="107" t="str">
        <f>VLOOKUP($K498,LUTs!$E$2:$H$14,2,)</f>
        <v>Non Puget Sound</v>
      </c>
      <c r="N498" s="107" t="str">
        <f>VLOOKUP($K498,LUTs!$E$2:$H$14,4,)</f>
        <v>07Non Puget Sound</v>
      </c>
      <c r="O498" s="107">
        <v>2275.0130394857702</v>
      </c>
      <c r="P498" s="107">
        <v>6944.6583360881596</v>
      </c>
      <c r="Q498" s="107">
        <f t="shared" si="43"/>
        <v>2275.0130394857702</v>
      </c>
      <c r="R498" s="107">
        <f t="shared" si="44"/>
        <v>6944.6583360881596</v>
      </c>
      <c r="S498" s="140" t="str">
        <f t="shared" si="45"/>
        <v>Y</v>
      </c>
      <c r="T498" s="154">
        <f t="shared" si="46"/>
        <v>3.0525795745143891</v>
      </c>
      <c r="U498" s="154">
        <f t="shared" si="47"/>
        <v>3.0525795745143891</v>
      </c>
    </row>
    <row r="499" spans="1:21" x14ac:dyDescent="0.35">
      <c r="A499" s="107">
        <v>2057</v>
      </c>
      <c r="B499" s="107">
        <v>2014</v>
      </c>
      <c r="C499" s="107" t="s">
        <v>9</v>
      </c>
      <c r="D499" s="107" t="s">
        <v>132</v>
      </c>
      <c r="E499" s="107" t="s">
        <v>10</v>
      </c>
      <c r="F499" s="115">
        <v>9</v>
      </c>
      <c r="G499" s="107" t="s">
        <v>33</v>
      </c>
      <c r="H499" s="107" t="str">
        <f t="shared" si="42"/>
        <v>Area 9: Admiralty Inlet</v>
      </c>
      <c r="I499" s="107" t="str">
        <f>IFERROR(VLOOKUP(H499,LUTs!$A$1:$C$73,2,FALSE),"NA")</f>
        <v>NA</v>
      </c>
      <c r="J499" s="107" t="str">
        <f>IFERROR(VLOOKUP(H499,LUTs!$A$1:$C$73,3,FALSE),"NA")</f>
        <v>2Central Puget Sound</v>
      </c>
      <c r="K499" s="107" t="s">
        <v>20</v>
      </c>
      <c r="L499" s="107" t="str">
        <f>VLOOKUP(K499,LUTs!E$2:G$14,3,)</f>
        <v>07Pierce</v>
      </c>
      <c r="M499" s="107" t="str">
        <f>VLOOKUP($K499,LUTs!$E$2:$H$14,2,)</f>
        <v>South Puget Sound</v>
      </c>
      <c r="N499" s="107" t="str">
        <f>VLOOKUP($K499,LUTs!$E$2:$H$14,4,)</f>
        <v>02South Puget Sound</v>
      </c>
      <c r="O499" s="107">
        <v>688.57961432506897</v>
      </c>
      <c r="P499" s="107">
        <v>2101.9440661157</v>
      </c>
      <c r="Q499" s="107">
        <f t="shared" si="43"/>
        <v>688.57961432506897</v>
      </c>
      <c r="R499" s="107">
        <f t="shared" si="44"/>
        <v>2101.9440661157</v>
      </c>
      <c r="S499" s="140" t="str">
        <f t="shared" si="45"/>
        <v>Y</v>
      </c>
      <c r="T499" s="154">
        <f t="shared" si="46"/>
        <v>3.0525795745143873</v>
      </c>
      <c r="U499" s="154">
        <f t="shared" si="47"/>
        <v>3.0525795745143873</v>
      </c>
    </row>
    <row r="500" spans="1:21" x14ac:dyDescent="0.35">
      <c r="A500" s="107">
        <v>1583</v>
      </c>
      <c r="B500" s="107">
        <v>2014</v>
      </c>
      <c r="C500" s="107" t="s">
        <v>9</v>
      </c>
      <c r="D500" s="107" t="s">
        <v>132</v>
      </c>
      <c r="E500" s="107" t="s">
        <v>10</v>
      </c>
      <c r="F500" s="115">
        <v>9</v>
      </c>
      <c r="G500" s="107" t="s">
        <v>33</v>
      </c>
      <c r="H500" s="107" t="str">
        <f t="shared" si="42"/>
        <v>Area 9: Admiralty Inlet</v>
      </c>
      <c r="I500" s="107" t="str">
        <f>IFERROR(VLOOKUP(H500,LUTs!$A$1:$C$73,2,FALSE),"NA")</f>
        <v>NA</v>
      </c>
      <c r="J500" s="107" t="str">
        <f>IFERROR(VLOOKUP(H500,LUTs!$A$1:$C$73,3,FALSE),"NA")</f>
        <v>2Central Puget Sound</v>
      </c>
      <c r="K500" s="107" t="s">
        <v>30</v>
      </c>
      <c r="L500" s="107" t="str">
        <f>VLOOKUP(K500,LUTs!E$2:G$14,3,)</f>
        <v>05San Juan</v>
      </c>
      <c r="M500" s="107" t="str">
        <f>VLOOKUP($K500,LUTs!$E$2:$H$14,2,)</f>
        <v>North Puget Sound</v>
      </c>
      <c r="N500" s="107" t="str">
        <f>VLOOKUP($K500,LUTs!$E$2:$H$14,4,)</f>
        <v>01North Puget Sound</v>
      </c>
      <c r="O500" s="107">
        <v>27.0031221303949</v>
      </c>
      <c r="P500" s="107">
        <v>82.429179063360905</v>
      </c>
      <c r="Q500" s="107">
        <f t="shared" si="43"/>
        <v>27.0031221303949</v>
      </c>
      <c r="R500" s="107">
        <f t="shared" si="44"/>
        <v>82.429179063360905</v>
      </c>
      <c r="S500" s="140" t="str">
        <f t="shared" si="45"/>
        <v>Y</v>
      </c>
      <c r="T500" s="154">
        <f t="shared" si="46"/>
        <v>3.0525795745143878</v>
      </c>
      <c r="U500" s="154">
        <f t="shared" si="47"/>
        <v>3.0525795745143878</v>
      </c>
    </row>
    <row r="501" spans="1:21" x14ac:dyDescent="0.35">
      <c r="A501" s="107">
        <v>1261</v>
      </c>
      <c r="B501" s="107">
        <v>2014</v>
      </c>
      <c r="C501" s="107" t="s">
        <v>9</v>
      </c>
      <c r="D501" s="107" t="s">
        <v>132</v>
      </c>
      <c r="E501" s="107" t="s">
        <v>10</v>
      </c>
      <c r="F501" s="115">
        <v>9</v>
      </c>
      <c r="G501" s="107" t="s">
        <v>33</v>
      </c>
      <c r="H501" s="107" t="str">
        <f t="shared" si="42"/>
        <v>Area 9: Admiralty Inlet</v>
      </c>
      <c r="I501" s="107" t="str">
        <f>IFERROR(VLOOKUP(H501,LUTs!$A$1:$C$73,2,FALSE),"NA")</f>
        <v>NA</v>
      </c>
      <c r="J501" s="107" t="str">
        <f>IFERROR(VLOOKUP(H501,LUTs!$A$1:$C$73,3,FALSE),"NA")</f>
        <v>2Central Puget Sound</v>
      </c>
      <c r="K501" s="107" t="s">
        <v>15</v>
      </c>
      <c r="L501" s="107" t="str">
        <f>VLOOKUP(K501,LUTs!E$2:G$14,3,)</f>
        <v>02Skagit</v>
      </c>
      <c r="M501" s="107" t="str">
        <f>VLOOKUP($K501,LUTs!$E$2:$H$14,2,)</f>
        <v>North Puget Sound</v>
      </c>
      <c r="N501" s="107" t="str">
        <f>VLOOKUP($K501,LUTs!$E$2:$H$14,4,)</f>
        <v>01North Puget Sound</v>
      </c>
      <c r="O501" s="107">
        <v>729.08429752066104</v>
      </c>
      <c r="P501" s="107">
        <v>2225.58783471074</v>
      </c>
      <c r="Q501" s="107">
        <f t="shared" si="43"/>
        <v>729.08429752066104</v>
      </c>
      <c r="R501" s="107">
        <f t="shared" si="44"/>
        <v>2225.58783471074</v>
      </c>
      <c r="S501" s="140" t="str">
        <f t="shared" si="45"/>
        <v>Y</v>
      </c>
      <c r="T501" s="154">
        <f t="shared" si="46"/>
        <v>3.0525795745143869</v>
      </c>
      <c r="U501" s="154">
        <f t="shared" si="47"/>
        <v>3.0525795745143869</v>
      </c>
    </row>
    <row r="502" spans="1:21" x14ac:dyDescent="0.35">
      <c r="A502" s="107">
        <v>1262</v>
      </c>
      <c r="B502" s="107">
        <v>2014</v>
      </c>
      <c r="C502" s="107" t="s">
        <v>9</v>
      </c>
      <c r="D502" s="107" t="s">
        <v>132</v>
      </c>
      <c r="E502" s="107" t="s">
        <v>10</v>
      </c>
      <c r="F502" s="115">
        <v>9</v>
      </c>
      <c r="G502" s="107" t="s">
        <v>33</v>
      </c>
      <c r="H502" s="107" t="str">
        <f t="shared" si="42"/>
        <v>Area 9: Admiralty Inlet</v>
      </c>
      <c r="I502" s="107" t="str">
        <f>IFERROR(VLOOKUP(H502,LUTs!$A$1:$C$73,2,FALSE),"NA")</f>
        <v>NA</v>
      </c>
      <c r="J502" s="107" t="str">
        <f>IFERROR(VLOOKUP(H502,LUTs!$A$1:$C$73,3,FALSE),"NA")</f>
        <v>2Central Puget Sound</v>
      </c>
      <c r="K502" s="107" t="s">
        <v>16</v>
      </c>
      <c r="L502" s="107" t="str">
        <f>VLOOKUP(K502,LUTs!E$2:G$14,3,)</f>
        <v>03Snohomish</v>
      </c>
      <c r="M502" s="107" t="str">
        <f>VLOOKUP($K502,LUTs!$E$2:$H$14,2,)</f>
        <v>North Puget Sound</v>
      </c>
      <c r="N502" s="107" t="str">
        <f>VLOOKUP($K502,LUTs!$E$2:$H$14,4,)</f>
        <v>01North Puget Sound</v>
      </c>
      <c r="O502" s="107">
        <v>14338.657851239701</v>
      </c>
      <c r="P502" s="107">
        <v>43769.894082644598</v>
      </c>
      <c r="Q502" s="107">
        <f t="shared" si="43"/>
        <v>14338.657851239701</v>
      </c>
      <c r="R502" s="107">
        <f t="shared" si="44"/>
        <v>43769.894082644598</v>
      </c>
      <c r="S502" s="140" t="str">
        <f t="shared" si="45"/>
        <v>Y</v>
      </c>
      <c r="T502" s="154">
        <f t="shared" si="46"/>
        <v>3.0525795745143824</v>
      </c>
      <c r="U502" s="154">
        <f t="shared" si="47"/>
        <v>3.0525795745143824</v>
      </c>
    </row>
    <row r="503" spans="1:21" x14ac:dyDescent="0.35">
      <c r="A503" s="107">
        <v>2202</v>
      </c>
      <c r="B503" s="107">
        <v>2014</v>
      </c>
      <c r="C503" s="107" t="s">
        <v>9</v>
      </c>
      <c r="D503" s="107" t="s">
        <v>132</v>
      </c>
      <c r="E503" s="107" t="s">
        <v>10</v>
      </c>
      <c r="F503" s="115">
        <v>9</v>
      </c>
      <c r="G503" s="107" t="s">
        <v>33</v>
      </c>
      <c r="H503" s="107" t="str">
        <f t="shared" si="42"/>
        <v>Area 9: Admiralty Inlet</v>
      </c>
      <c r="I503" s="107" t="str">
        <f>IFERROR(VLOOKUP(H503,LUTs!$A$1:$C$73,2,FALSE),"NA")</f>
        <v>NA</v>
      </c>
      <c r="J503" s="107" t="str">
        <f>IFERROR(VLOOKUP(H503,LUTs!$A$1:$C$73,3,FALSE),"NA")</f>
        <v>2Central Puget Sound</v>
      </c>
      <c r="K503" s="107" t="s">
        <v>21</v>
      </c>
      <c r="L503" s="107" t="str">
        <f>VLOOKUP(K503,LUTs!E$2:G$14,3,)</f>
        <v>08Thurston</v>
      </c>
      <c r="M503" s="107" t="str">
        <f>VLOOKUP($K503,LUTs!$E$2:$H$14,2,)</f>
        <v>South Puget Sound</v>
      </c>
      <c r="N503" s="107" t="str">
        <f>VLOOKUP($K503,LUTs!$E$2:$H$14,4,)</f>
        <v>02South Puget Sound</v>
      </c>
      <c r="O503" s="107">
        <v>182.271074380165</v>
      </c>
      <c r="P503" s="107">
        <v>556.39695867768603</v>
      </c>
      <c r="Q503" s="107">
        <f t="shared" si="43"/>
        <v>182.271074380165</v>
      </c>
      <c r="R503" s="107">
        <f t="shared" si="44"/>
        <v>556.39695867768603</v>
      </c>
      <c r="S503" s="140" t="str">
        <f t="shared" si="45"/>
        <v>Y</v>
      </c>
      <c r="T503" s="154">
        <f t="shared" si="46"/>
        <v>3.0525795745143967</v>
      </c>
      <c r="U503" s="154">
        <f t="shared" si="47"/>
        <v>3.0525795745143967</v>
      </c>
    </row>
    <row r="504" spans="1:21" x14ac:dyDescent="0.35">
      <c r="A504" s="107">
        <v>3714</v>
      </c>
      <c r="B504" s="107">
        <v>2014</v>
      </c>
      <c r="C504" s="107" t="s">
        <v>9</v>
      </c>
      <c r="D504" s="107" t="s">
        <v>132</v>
      </c>
      <c r="E504" s="107" t="s">
        <v>10</v>
      </c>
      <c r="F504" s="115">
        <v>9</v>
      </c>
      <c r="G504" s="107" t="s">
        <v>33</v>
      </c>
      <c r="H504" s="107" t="str">
        <f t="shared" si="42"/>
        <v>Area 9: Admiralty Inlet</v>
      </c>
      <c r="I504" s="107" t="str">
        <f>IFERROR(VLOOKUP(H504,LUTs!$A$1:$C$73,2,FALSE),"NA")</f>
        <v>NA</v>
      </c>
      <c r="J504" s="107" t="str">
        <f>IFERROR(VLOOKUP(H504,LUTs!$A$1:$C$73,3,FALSE),"NA")</f>
        <v>2Central Puget Sound</v>
      </c>
      <c r="K504" s="107" t="s">
        <v>13</v>
      </c>
      <c r="L504" s="107" t="str">
        <f>VLOOKUP(K504,LUTs!E$2:G$14,3,)</f>
        <v>01Whatcom</v>
      </c>
      <c r="M504" s="107" t="str">
        <f>VLOOKUP($K504,LUTs!$E$2:$H$14,2,)</f>
        <v>North Puget Sound</v>
      </c>
      <c r="N504" s="107" t="str">
        <f>VLOOKUP($K504,LUTs!$E$2:$H$14,4,)</f>
        <v>01North Puget Sound</v>
      </c>
      <c r="O504" s="107">
        <v>371.29292929292899</v>
      </c>
      <c r="P504" s="107">
        <v>1133.4012121212099</v>
      </c>
      <c r="Q504" s="107">
        <f t="shared" si="43"/>
        <v>371.29292929292899</v>
      </c>
      <c r="R504" s="107">
        <f t="shared" si="44"/>
        <v>1133.4012121212099</v>
      </c>
      <c r="S504" s="140" t="str">
        <f t="shared" si="45"/>
        <v>Y</v>
      </c>
      <c r="T504" s="154">
        <f t="shared" si="46"/>
        <v>3.0525795745143882</v>
      </c>
      <c r="U504" s="154">
        <f t="shared" si="47"/>
        <v>3.0525795745143882</v>
      </c>
    </row>
    <row r="505" spans="1:21" x14ac:dyDescent="0.35">
      <c r="A505" s="107">
        <v>1784</v>
      </c>
      <c r="B505" s="107">
        <v>2015</v>
      </c>
      <c r="C505" s="107" t="s">
        <v>9</v>
      </c>
      <c r="D505" s="107" t="s">
        <v>132</v>
      </c>
      <c r="E505" s="107" t="s">
        <v>10</v>
      </c>
      <c r="F505" s="115">
        <v>9</v>
      </c>
      <c r="G505" s="107" t="s">
        <v>33</v>
      </c>
      <c r="H505" s="107" t="str">
        <f t="shared" si="42"/>
        <v>Area 9: Admiralty Inlet</v>
      </c>
      <c r="I505" s="107" t="str">
        <f>IFERROR(VLOOKUP(H505,LUTs!$A$1:$C$73,2,FALSE),"NA")</f>
        <v>NA</v>
      </c>
      <c r="J505" s="107" t="str">
        <f>IFERROR(VLOOKUP(H505,LUTs!$A$1:$C$73,3,FALSE),"NA")</f>
        <v>2Central Puget Sound</v>
      </c>
      <c r="K505" s="107" t="s">
        <v>24</v>
      </c>
      <c r="L505" s="107" t="str">
        <f>VLOOKUP(K505,LUTs!E$2:G$14,3,)</f>
        <v>11Clallam</v>
      </c>
      <c r="M505" s="107" t="str">
        <f>VLOOKUP($K505,LUTs!$E$2:$H$14,2,)</f>
        <v>Strait of Juan de Fuca</v>
      </c>
      <c r="N505" s="107" t="str">
        <f>VLOOKUP($K505,LUTs!$E$2:$H$14,4,)</f>
        <v>03Strait of Juan de Fuca</v>
      </c>
      <c r="O505" s="107">
        <v>354.25185453229602</v>
      </c>
      <c r="P505" s="107">
        <v>569.40941438996504</v>
      </c>
      <c r="Q505" s="107">
        <f t="shared" si="43"/>
        <v>354.25185453229602</v>
      </c>
      <c r="R505" s="107">
        <f t="shared" si="44"/>
        <v>569.40941438996504</v>
      </c>
      <c r="S505" s="140" t="str">
        <f t="shared" si="45"/>
        <v>Y</v>
      </c>
      <c r="T505" s="154">
        <f t="shared" si="46"/>
        <v>1.6073576104258722</v>
      </c>
      <c r="U505" s="154">
        <f t="shared" si="47"/>
        <v>1.6073576104258722</v>
      </c>
    </row>
    <row r="506" spans="1:21" x14ac:dyDescent="0.35">
      <c r="A506" s="107">
        <v>1777</v>
      </c>
      <c r="B506" s="107">
        <v>2015</v>
      </c>
      <c r="C506" s="107" t="s">
        <v>9</v>
      </c>
      <c r="D506" s="107" t="s">
        <v>132</v>
      </c>
      <c r="E506" s="107" t="s">
        <v>10</v>
      </c>
      <c r="F506" s="115">
        <v>9</v>
      </c>
      <c r="G506" s="107" t="s">
        <v>33</v>
      </c>
      <c r="H506" s="107" t="str">
        <f t="shared" si="42"/>
        <v>Area 9: Admiralty Inlet</v>
      </c>
      <c r="I506" s="107" t="str">
        <f>IFERROR(VLOOKUP(H506,LUTs!$A$1:$C$73,2,FALSE),"NA")</f>
        <v>NA</v>
      </c>
      <c r="J506" s="107" t="str">
        <f>IFERROR(VLOOKUP(H506,LUTs!$A$1:$C$73,3,FALSE),"NA")</f>
        <v>2Central Puget Sound</v>
      </c>
      <c r="K506" s="107" t="s">
        <v>17</v>
      </c>
      <c r="L506" s="107" t="str">
        <f>VLOOKUP(K506,LUTs!E$2:G$14,3,)</f>
        <v>04Island</v>
      </c>
      <c r="M506" s="107" t="str">
        <f>VLOOKUP($K506,LUTs!$E$2:$H$14,2,)</f>
        <v>North Puget Sound</v>
      </c>
      <c r="N506" s="107" t="str">
        <f>VLOOKUP($K506,LUTs!$E$2:$H$14,4,)</f>
        <v>01North Puget Sound</v>
      </c>
      <c r="O506" s="107">
        <v>30770.3160846752</v>
      </c>
      <c r="P506" s="107">
        <v>49458.901733912302</v>
      </c>
      <c r="Q506" s="107">
        <f t="shared" si="43"/>
        <v>30770.3160846752</v>
      </c>
      <c r="R506" s="107">
        <f t="shared" si="44"/>
        <v>49458.901733912302</v>
      </c>
      <c r="S506" s="140" t="str">
        <f t="shared" si="45"/>
        <v>Y</v>
      </c>
      <c r="T506" s="154">
        <f t="shared" si="46"/>
        <v>1.607357610425872</v>
      </c>
      <c r="U506" s="154">
        <f t="shared" si="47"/>
        <v>1.607357610425872</v>
      </c>
    </row>
    <row r="507" spans="1:21" x14ac:dyDescent="0.35">
      <c r="A507" s="107">
        <v>1950</v>
      </c>
      <c r="B507" s="107">
        <v>2015</v>
      </c>
      <c r="C507" s="107" t="s">
        <v>9</v>
      </c>
      <c r="D507" s="107" t="s">
        <v>132</v>
      </c>
      <c r="E507" s="107" t="s">
        <v>10</v>
      </c>
      <c r="F507" s="115">
        <v>9</v>
      </c>
      <c r="G507" s="107" t="s">
        <v>33</v>
      </c>
      <c r="H507" s="107" t="str">
        <f t="shared" si="42"/>
        <v>Area 9: Admiralty Inlet</v>
      </c>
      <c r="I507" s="107" t="str">
        <f>IFERROR(VLOOKUP(H507,LUTs!$A$1:$C$73,2,FALSE),"NA")</f>
        <v>NA</v>
      </c>
      <c r="J507" s="107" t="str">
        <f>IFERROR(VLOOKUP(H507,LUTs!$A$1:$C$73,3,FALSE),"NA")</f>
        <v>2Central Puget Sound</v>
      </c>
      <c r="K507" s="107" t="s">
        <v>25</v>
      </c>
      <c r="L507" s="107" t="str">
        <f>VLOOKUP(K507,LUTs!E$2:G$14,3,)</f>
        <v>12Jefferson</v>
      </c>
      <c r="M507" s="107" t="str">
        <f>VLOOKUP($K507,LUTs!$E$2:$H$14,2,)</f>
        <v>Strait of Juan de Fuca</v>
      </c>
      <c r="N507" s="107" t="str">
        <f>VLOOKUP($K507,LUTs!$E$2:$H$14,4,)</f>
        <v>03Strait of Juan de Fuca</v>
      </c>
      <c r="O507" s="107">
        <v>4754.0598878234096</v>
      </c>
      <c r="P507" s="107">
        <v>7641.4743411133204</v>
      </c>
      <c r="Q507" s="107">
        <f t="shared" si="43"/>
        <v>4754.0598878234096</v>
      </c>
      <c r="R507" s="107">
        <f t="shared" si="44"/>
        <v>7641.4743411133204</v>
      </c>
      <c r="S507" s="140" t="str">
        <f t="shared" si="45"/>
        <v>Y</v>
      </c>
      <c r="T507" s="154">
        <f t="shared" si="46"/>
        <v>1.6073576104258711</v>
      </c>
      <c r="U507" s="154">
        <f t="shared" si="47"/>
        <v>1.6073576104258711</v>
      </c>
    </row>
    <row r="508" spans="1:21" x14ac:dyDescent="0.35">
      <c r="A508" s="107">
        <v>1779</v>
      </c>
      <c r="B508" s="107">
        <v>2015</v>
      </c>
      <c r="C508" s="107" t="s">
        <v>9</v>
      </c>
      <c r="D508" s="107" t="s">
        <v>132</v>
      </c>
      <c r="E508" s="107" t="s">
        <v>10</v>
      </c>
      <c r="F508" s="115">
        <v>9</v>
      </c>
      <c r="G508" s="107" t="s">
        <v>33</v>
      </c>
      <c r="H508" s="107" t="str">
        <f t="shared" si="42"/>
        <v>Area 9: Admiralty Inlet</v>
      </c>
      <c r="I508" s="107" t="str">
        <f>IFERROR(VLOOKUP(H508,LUTs!$A$1:$C$73,2,FALSE),"NA")</f>
        <v>NA</v>
      </c>
      <c r="J508" s="107" t="str">
        <f>IFERROR(VLOOKUP(H508,LUTs!$A$1:$C$73,3,FALSE),"NA")</f>
        <v>2Central Puget Sound</v>
      </c>
      <c r="K508" s="107" t="s">
        <v>18</v>
      </c>
      <c r="L508" s="107" t="str">
        <f>VLOOKUP(K508,LUTs!E$2:G$14,3,)</f>
        <v>06King</v>
      </c>
      <c r="M508" s="107" t="str">
        <f>VLOOKUP($K508,LUTs!$E$2:$H$14,2,)</f>
        <v>South Puget Sound</v>
      </c>
      <c r="N508" s="107" t="str">
        <f>VLOOKUP($K508,LUTs!$E$2:$H$14,4,)</f>
        <v>02South Puget Sound</v>
      </c>
      <c r="O508" s="107">
        <v>19356.3213316447</v>
      </c>
      <c r="P508" s="107">
        <v>31112.530402267701</v>
      </c>
      <c r="Q508" s="107">
        <f t="shared" si="43"/>
        <v>19356.3213316447</v>
      </c>
      <c r="R508" s="107">
        <f t="shared" si="44"/>
        <v>31112.530402267701</v>
      </c>
      <c r="S508" s="140" t="str">
        <f t="shared" si="45"/>
        <v>Y</v>
      </c>
      <c r="T508" s="154">
        <f t="shared" si="46"/>
        <v>1.6073576104258691</v>
      </c>
      <c r="U508" s="154">
        <f t="shared" si="47"/>
        <v>1.6073576104258691</v>
      </c>
    </row>
    <row r="509" spans="1:21" x14ac:dyDescent="0.35">
      <c r="A509" s="107">
        <v>1783</v>
      </c>
      <c r="B509" s="107">
        <v>2015</v>
      </c>
      <c r="C509" s="107" t="s">
        <v>9</v>
      </c>
      <c r="D509" s="107" t="s">
        <v>132</v>
      </c>
      <c r="E509" s="107" t="s">
        <v>10</v>
      </c>
      <c r="F509" s="115">
        <v>9</v>
      </c>
      <c r="G509" s="107" t="s">
        <v>33</v>
      </c>
      <c r="H509" s="107" t="str">
        <f t="shared" si="42"/>
        <v>Area 9: Admiralty Inlet</v>
      </c>
      <c r="I509" s="107" t="str">
        <f>IFERROR(VLOOKUP(H509,LUTs!$A$1:$C$73,2,FALSE),"NA")</f>
        <v>NA</v>
      </c>
      <c r="J509" s="107" t="str">
        <f>IFERROR(VLOOKUP(H509,LUTs!$A$1:$C$73,3,FALSE),"NA")</f>
        <v>2Central Puget Sound</v>
      </c>
      <c r="K509" s="107" t="s">
        <v>23</v>
      </c>
      <c r="L509" s="107" t="str">
        <f>VLOOKUP(K509,LUTs!E$2:G$14,3,)</f>
        <v>10Kitsap</v>
      </c>
      <c r="M509" s="107" t="str">
        <f>VLOOKUP($K509,LUTs!$E$2:$H$14,2,)</f>
        <v>South Puget Sound</v>
      </c>
      <c r="N509" s="107" t="str">
        <f>VLOOKUP($K509,LUTs!$E$2:$H$14,4,)</f>
        <v>02South Puget Sound</v>
      </c>
      <c r="O509" s="107">
        <v>11449.419938483799</v>
      </c>
      <c r="P509" s="107">
        <v>18403.312273083699</v>
      </c>
      <c r="Q509" s="107">
        <f t="shared" si="43"/>
        <v>11449.419938483799</v>
      </c>
      <c r="R509" s="107">
        <f t="shared" si="44"/>
        <v>18403.312273083699</v>
      </c>
      <c r="S509" s="140" t="str">
        <f t="shared" si="45"/>
        <v>Y</v>
      </c>
      <c r="T509" s="154">
        <f t="shared" si="46"/>
        <v>1.6073576104258758</v>
      </c>
      <c r="U509" s="154">
        <f t="shared" si="47"/>
        <v>1.6073576104258758</v>
      </c>
    </row>
    <row r="510" spans="1:21" x14ac:dyDescent="0.35">
      <c r="A510" s="107">
        <v>1782</v>
      </c>
      <c r="B510" s="107">
        <v>2015</v>
      </c>
      <c r="C510" s="107" t="s">
        <v>9</v>
      </c>
      <c r="D510" s="107" t="s">
        <v>132</v>
      </c>
      <c r="E510" s="107" t="s">
        <v>10</v>
      </c>
      <c r="F510" s="115">
        <v>9</v>
      </c>
      <c r="G510" s="107" t="s">
        <v>33</v>
      </c>
      <c r="H510" s="107" t="str">
        <f t="shared" si="42"/>
        <v>Area 9: Admiralty Inlet</v>
      </c>
      <c r="I510" s="107" t="str">
        <f>IFERROR(VLOOKUP(H510,LUTs!$A$1:$C$73,2,FALSE),"NA")</f>
        <v>NA</v>
      </c>
      <c r="J510" s="107" t="str">
        <f>IFERROR(VLOOKUP(H510,LUTs!$A$1:$C$73,3,FALSE),"NA")</f>
        <v>2Central Puget Sound</v>
      </c>
      <c r="K510" s="107" t="s">
        <v>22</v>
      </c>
      <c r="L510" s="107" t="str">
        <f>VLOOKUP(K510,LUTs!E$2:G$14,3,)</f>
        <v>09Mason</v>
      </c>
      <c r="M510" s="107" t="str">
        <f>VLOOKUP($K510,LUTs!$E$2:$H$14,2,)</f>
        <v>South Puget Sound</v>
      </c>
      <c r="N510" s="107" t="str">
        <f>VLOOKUP($K510,LUTs!$E$2:$H$14,4,)</f>
        <v>02South Puget Sound</v>
      </c>
      <c r="O510" s="107">
        <v>297.57155780712901</v>
      </c>
      <c r="P510" s="107">
        <v>478.30390808756999</v>
      </c>
      <c r="Q510" s="107">
        <f t="shared" si="43"/>
        <v>297.57155780712901</v>
      </c>
      <c r="R510" s="107">
        <f t="shared" si="44"/>
        <v>478.30390808756999</v>
      </c>
      <c r="S510" s="140" t="str">
        <f t="shared" si="45"/>
        <v>Y</v>
      </c>
      <c r="T510" s="154">
        <f t="shared" si="46"/>
        <v>1.6073576104258682</v>
      </c>
      <c r="U510" s="154">
        <f t="shared" si="47"/>
        <v>1.6073576104258682</v>
      </c>
    </row>
    <row r="511" spans="1:21" x14ac:dyDescent="0.35">
      <c r="A511" s="107">
        <v>1951</v>
      </c>
      <c r="B511" s="107">
        <v>2015</v>
      </c>
      <c r="C511" s="107" t="s">
        <v>9</v>
      </c>
      <c r="D511" s="107" t="s">
        <v>132</v>
      </c>
      <c r="E511" s="107" t="s">
        <v>10</v>
      </c>
      <c r="F511" s="115">
        <v>9</v>
      </c>
      <c r="G511" s="107" t="s">
        <v>33</v>
      </c>
      <c r="H511" s="107" t="str">
        <f t="shared" si="42"/>
        <v>Area 9: Admiralty Inlet</v>
      </c>
      <c r="I511" s="107" t="str">
        <f>IFERROR(VLOOKUP(H511,LUTs!$A$1:$C$73,2,FALSE),"NA")</f>
        <v>NA</v>
      </c>
      <c r="J511" s="107" t="str">
        <f>IFERROR(VLOOKUP(H511,LUTs!$A$1:$C$73,3,FALSE),"NA")</f>
        <v>2Central Puget Sound</v>
      </c>
      <c r="K511" s="107" t="s">
        <v>26</v>
      </c>
      <c r="L511" s="107" t="str">
        <f>VLOOKUP(K511,LUTs!E$2:G$14,3,)</f>
        <v>20Other</v>
      </c>
      <c r="M511" s="107" t="str">
        <f>VLOOKUP($K511,LUTs!$E$2:$H$14,2,)</f>
        <v>Non Puget Sound</v>
      </c>
      <c r="N511" s="107" t="str">
        <f>VLOOKUP($K511,LUTs!$E$2:$H$14,4,)</f>
        <v>07Non Puget Sound</v>
      </c>
      <c r="O511" s="107">
        <v>11669.056088293801</v>
      </c>
      <c r="P511" s="107">
        <v>18756.346110005401</v>
      </c>
      <c r="Q511" s="107">
        <f t="shared" si="43"/>
        <v>11669.056088293801</v>
      </c>
      <c r="R511" s="107">
        <f t="shared" si="44"/>
        <v>18756.346110005401</v>
      </c>
      <c r="S511" s="140" t="str">
        <f t="shared" si="45"/>
        <v>Y</v>
      </c>
      <c r="T511" s="154">
        <f t="shared" si="46"/>
        <v>1.6073576104258724</v>
      </c>
      <c r="U511" s="154">
        <f t="shared" si="47"/>
        <v>1.6073576104258724</v>
      </c>
    </row>
    <row r="512" spans="1:21" x14ac:dyDescent="0.35">
      <c r="A512" s="107">
        <v>1780</v>
      </c>
      <c r="B512" s="107">
        <v>2015</v>
      </c>
      <c r="C512" s="107" t="s">
        <v>9</v>
      </c>
      <c r="D512" s="107" t="s">
        <v>132</v>
      </c>
      <c r="E512" s="107" t="s">
        <v>10</v>
      </c>
      <c r="F512" s="115">
        <v>9</v>
      </c>
      <c r="G512" s="107" t="s">
        <v>33</v>
      </c>
      <c r="H512" s="107" t="str">
        <f t="shared" si="42"/>
        <v>Area 9: Admiralty Inlet</v>
      </c>
      <c r="I512" s="107" t="str">
        <f>IFERROR(VLOOKUP(H512,LUTs!$A$1:$C$73,2,FALSE),"NA")</f>
        <v>NA</v>
      </c>
      <c r="J512" s="107" t="str">
        <f>IFERROR(VLOOKUP(H512,LUTs!$A$1:$C$73,3,FALSE),"NA")</f>
        <v>2Central Puget Sound</v>
      </c>
      <c r="K512" s="107" t="s">
        <v>20</v>
      </c>
      <c r="L512" s="107" t="str">
        <f>VLOOKUP(K512,LUTs!E$2:G$14,3,)</f>
        <v>07Pierce</v>
      </c>
      <c r="M512" s="107" t="str">
        <f>VLOOKUP($K512,LUTs!$E$2:$H$14,2,)</f>
        <v>South Puget Sound</v>
      </c>
      <c r="N512" s="107" t="str">
        <f>VLOOKUP($K512,LUTs!$E$2:$H$14,4,)</f>
        <v>02South Puget Sound</v>
      </c>
      <c r="O512" s="107">
        <v>2125.5111271937799</v>
      </c>
      <c r="P512" s="107">
        <v>3416.45648633979</v>
      </c>
      <c r="Q512" s="107">
        <f t="shared" si="43"/>
        <v>2125.5111271937799</v>
      </c>
      <c r="R512" s="107">
        <f t="shared" si="44"/>
        <v>3416.45648633979</v>
      </c>
      <c r="S512" s="140" t="str">
        <f t="shared" si="45"/>
        <v>Y</v>
      </c>
      <c r="T512" s="154">
        <f t="shared" si="46"/>
        <v>1.6073576104258693</v>
      </c>
      <c r="U512" s="154">
        <f t="shared" si="47"/>
        <v>1.6073576104258693</v>
      </c>
    </row>
    <row r="513" spans="1:21" x14ac:dyDescent="0.35">
      <c r="A513" s="107">
        <v>1778</v>
      </c>
      <c r="B513" s="107">
        <v>2015</v>
      </c>
      <c r="C513" s="107" t="s">
        <v>9</v>
      </c>
      <c r="D513" s="107" t="s">
        <v>132</v>
      </c>
      <c r="E513" s="107" t="s">
        <v>10</v>
      </c>
      <c r="F513" s="115">
        <v>9</v>
      </c>
      <c r="G513" s="107" t="s">
        <v>33</v>
      </c>
      <c r="H513" s="107" t="str">
        <f t="shared" si="42"/>
        <v>Area 9: Admiralty Inlet</v>
      </c>
      <c r="I513" s="107" t="str">
        <f>IFERROR(VLOOKUP(H513,LUTs!$A$1:$C$73,2,FALSE),"NA")</f>
        <v>NA</v>
      </c>
      <c r="J513" s="107" t="str">
        <f>IFERROR(VLOOKUP(H513,LUTs!$A$1:$C$73,3,FALSE),"NA")</f>
        <v>2Central Puget Sound</v>
      </c>
      <c r="K513" s="107" t="s">
        <v>30</v>
      </c>
      <c r="L513" s="107" t="str">
        <f>VLOOKUP(K513,LUTs!E$2:G$14,3,)</f>
        <v>05San Juan</v>
      </c>
      <c r="M513" s="107" t="str">
        <f>VLOOKUP($K513,LUTs!$E$2:$H$14,2,)</f>
        <v>North Puget Sound</v>
      </c>
      <c r="N513" s="107" t="str">
        <f>VLOOKUP($K513,LUTs!$E$2:$H$14,4,)</f>
        <v>01North Puget Sound</v>
      </c>
      <c r="O513" s="107">
        <v>56.680296725167402</v>
      </c>
      <c r="P513" s="107">
        <v>91.105506302394303</v>
      </c>
      <c r="Q513" s="107">
        <f t="shared" si="43"/>
        <v>56.680296725167402</v>
      </c>
      <c r="R513" s="107">
        <f t="shared" si="44"/>
        <v>91.105506302394303</v>
      </c>
      <c r="S513" s="140" t="str">
        <f t="shared" si="45"/>
        <v>Y</v>
      </c>
      <c r="T513" s="154">
        <f t="shared" si="46"/>
        <v>1.6073576104258693</v>
      </c>
      <c r="U513" s="154">
        <f t="shared" si="47"/>
        <v>1.6073576104258693</v>
      </c>
    </row>
    <row r="514" spans="1:21" x14ac:dyDescent="0.35">
      <c r="A514" s="107">
        <v>1622</v>
      </c>
      <c r="B514" s="107">
        <v>2015</v>
      </c>
      <c r="C514" s="107" t="s">
        <v>9</v>
      </c>
      <c r="D514" s="107" t="s">
        <v>132</v>
      </c>
      <c r="E514" s="107" t="s">
        <v>10</v>
      </c>
      <c r="F514" s="115">
        <v>9</v>
      </c>
      <c r="G514" s="107" t="s">
        <v>33</v>
      </c>
      <c r="H514" s="107" t="str">
        <f t="shared" ref="H514:H577" si="48">G514</f>
        <v>Area 9: Admiralty Inlet</v>
      </c>
      <c r="I514" s="107" t="str">
        <f>IFERROR(VLOOKUP(H514,LUTs!$A$1:$C$73,2,FALSE),"NA")</f>
        <v>NA</v>
      </c>
      <c r="J514" s="107" t="str">
        <f>IFERROR(VLOOKUP(H514,LUTs!$A$1:$C$73,3,FALSE),"NA")</f>
        <v>2Central Puget Sound</v>
      </c>
      <c r="K514" s="107" t="s">
        <v>15</v>
      </c>
      <c r="L514" s="107" t="str">
        <f>VLOOKUP(K514,LUTs!E$2:G$14,3,)</f>
        <v>02Skagit</v>
      </c>
      <c r="M514" s="107" t="str">
        <f>VLOOKUP($K514,LUTs!$E$2:$H$14,2,)</f>
        <v>North Puget Sound</v>
      </c>
      <c r="N514" s="107" t="str">
        <f>VLOOKUP($K514,LUTs!$E$2:$H$14,4,)</f>
        <v>01North Puget Sound</v>
      </c>
      <c r="O514" s="107">
        <v>1742.9191242989</v>
      </c>
      <c r="P514" s="107">
        <v>2801.49431879863</v>
      </c>
      <c r="Q514" s="107">
        <f t="shared" ref="Q514:Q577" si="49">O514</f>
        <v>1742.9191242989</v>
      </c>
      <c r="R514" s="107">
        <f t="shared" ref="R514:R577" si="50">P514</f>
        <v>2801.49431879863</v>
      </c>
      <c r="S514" s="140" t="str">
        <f t="shared" si="45"/>
        <v>Y</v>
      </c>
      <c r="T514" s="154">
        <f t="shared" si="46"/>
        <v>1.6073576104258702</v>
      </c>
      <c r="U514" s="154">
        <f t="shared" si="47"/>
        <v>1.6073576104258702</v>
      </c>
    </row>
    <row r="515" spans="1:21" x14ac:dyDescent="0.35">
      <c r="A515" s="107">
        <v>1776</v>
      </c>
      <c r="B515" s="107">
        <v>2015</v>
      </c>
      <c r="C515" s="107" t="s">
        <v>9</v>
      </c>
      <c r="D515" s="107" t="s">
        <v>132</v>
      </c>
      <c r="E515" s="107" t="s">
        <v>10</v>
      </c>
      <c r="F515" s="115">
        <v>9</v>
      </c>
      <c r="G515" s="107" t="s">
        <v>33</v>
      </c>
      <c r="H515" s="107" t="str">
        <f t="shared" si="48"/>
        <v>Area 9: Admiralty Inlet</v>
      </c>
      <c r="I515" s="107" t="str">
        <f>IFERROR(VLOOKUP(H515,LUTs!$A$1:$C$73,2,FALSE),"NA")</f>
        <v>NA</v>
      </c>
      <c r="J515" s="107" t="str">
        <f>IFERROR(VLOOKUP(H515,LUTs!$A$1:$C$73,3,FALSE),"NA")</f>
        <v>2Central Puget Sound</v>
      </c>
      <c r="K515" s="107" t="s">
        <v>16</v>
      </c>
      <c r="L515" s="107" t="str">
        <f>VLOOKUP(K515,LUTs!E$2:G$14,3,)</f>
        <v>03Snohomish</v>
      </c>
      <c r="M515" s="107" t="str">
        <f>VLOOKUP($K515,LUTs!$E$2:$H$14,2,)</f>
        <v>North Puget Sound</v>
      </c>
      <c r="N515" s="107" t="str">
        <f>VLOOKUP($K515,LUTs!$E$2:$H$14,4,)</f>
        <v>01North Puget Sound</v>
      </c>
      <c r="O515" s="107">
        <v>33441.375067848698</v>
      </c>
      <c r="P515" s="107">
        <v>53752.248718412702</v>
      </c>
      <c r="Q515" s="107">
        <f t="shared" si="49"/>
        <v>33441.375067848698</v>
      </c>
      <c r="R515" s="107">
        <f t="shared" si="50"/>
        <v>53752.248718412702</v>
      </c>
      <c r="S515" s="140" t="str">
        <f t="shared" ref="S515:S578" si="51">IF(B515&lt;=2019,"Y","N")</f>
        <v>Y</v>
      </c>
      <c r="T515" s="154">
        <f t="shared" ref="T515:T578" si="52">IFERROR(P515/O515,"NA")</f>
        <v>1.6073576104258747</v>
      </c>
      <c r="U515" s="154">
        <f t="shared" ref="U515:U578" si="53">IFERROR(R515/Q515,"NA")</f>
        <v>1.6073576104258747</v>
      </c>
    </row>
    <row r="516" spans="1:21" x14ac:dyDescent="0.35">
      <c r="A516" s="107">
        <v>1781</v>
      </c>
      <c r="B516" s="107">
        <v>2015</v>
      </c>
      <c r="C516" s="107" t="s">
        <v>9</v>
      </c>
      <c r="D516" s="107" t="s">
        <v>132</v>
      </c>
      <c r="E516" s="107" t="s">
        <v>10</v>
      </c>
      <c r="F516" s="115">
        <v>9</v>
      </c>
      <c r="G516" s="107" t="s">
        <v>33</v>
      </c>
      <c r="H516" s="107" t="str">
        <f t="shared" si="48"/>
        <v>Area 9: Admiralty Inlet</v>
      </c>
      <c r="I516" s="107" t="str">
        <f>IFERROR(VLOOKUP(H516,LUTs!$A$1:$C$73,2,FALSE),"NA")</f>
        <v>NA</v>
      </c>
      <c r="J516" s="107" t="str">
        <f>IFERROR(VLOOKUP(H516,LUTs!$A$1:$C$73,3,FALSE),"NA")</f>
        <v>2Central Puget Sound</v>
      </c>
      <c r="K516" s="107" t="s">
        <v>21</v>
      </c>
      <c r="L516" s="107" t="str">
        <f>VLOOKUP(K516,LUTs!E$2:G$14,3,)</f>
        <v>08Thurston</v>
      </c>
      <c r="M516" s="107" t="str">
        <f>VLOOKUP($K516,LUTs!$E$2:$H$14,2,)</f>
        <v>South Puget Sound</v>
      </c>
      <c r="N516" s="107" t="str">
        <f>VLOOKUP($K516,LUTs!$E$2:$H$14,4,)</f>
        <v>02South Puget Sound</v>
      </c>
      <c r="O516" s="107">
        <v>814.77926542428099</v>
      </c>
      <c r="P516" s="107">
        <v>1309.64165309692</v>
      </c>
      <c r="Q516" s="107">
        <f t="shared" si="49"/>
        <v>814.77926542428099</v>
      </c>
      <c r="R516" s="107">
        <f t="shared" si="50"/>
        <v>1309.64165309692</v>
      </c>
      <c r="S516" s="140" t="str">
        <f t="shared" si="51"/>
        <v>Y</v>
      </c>
      <c r="T516" s="154">
        <f t="shared" si="52"/>
        <v>1.6073576104258724</v>
      </c>
      <c r="U516" s="154">
        <f t="shared" si="53"/>
        <v>1.6073576104258724</v>
      </c>
    </row>
    <row r="517" spans="1:21" x14ac:dyDescent="0.35">
      <c r="A517" s="107">
        <v>1621</v>
      </c>
      <c r="B517" s="107">
        <v>2015</v>
      </c>
      <c r="C517" s="107" t="s">
        <v>9</v>
      </c>
      <c r="D517" s="107" t="s">
        <v>132</v>
      </c>
      <c r="E517" s="107" t="s">
        <v>10</v>
      </c>
      <c r="F517" s="115">
        <v>9</v>
      </c>
      <c r="G517" s="107" t="s">
        <v>33</v>
      </c>
      <c r="H517" s="107" t="str">
        <f t="shared" si="48"/>
        <v>Area 9: Admiralty Inlet</v>
      </c>
      <c r="I517" s="107" t="str">
        <f>IFERROR(VLOOKUP(H517,LUTs!$A$1:$C$73,2,FALSE),"NA")</f>
        <v>NA</v>
      </c>
      <c r="J517" s="107" t="str">
        <f>IFERROR(VLOOKUP(H517,LUTs!$A$1:$C$73,3,FALSE),"NA")</f>
        <v>2Central Puget Sound</v>
      </c>
      <c r="K517" s="107" t="s">
        <v>13</v>
      </c>
      <c r="L517" s="107" t="str">
        <f>VLOOKUP(K517,LUTs!E$2:G$14,3,)</f>
        <v>01Whatcom</v>
      </c>
      <c r="M517" s="107" t="str">
        <f>VLOOKUP($K517,LUTs!$E$2:$H$14,2,)</f>
        <v>North Puget Sound</v>
      </c>
      <c r="N517" s="107" t="str">
        <f>VLOOKUP($K517,LUTs!$E$2:$H$14,4,)</f>
        <v>01North Puget Sound</v>
      </c>
      <c r="O517" s="107">
        <v>644.73837524877899</v>
      </c>
      <c r="P517" s="107">
        <v>1036.3251341897401</v>
      </c>
      <c r="Q517" s="107">
        <f t="shared" si="49"/>
        <v>644.73837524877899</v>
      </c>
      <c r="R517" s="107">
        <f t="shared" si="50"/>
        <v>1036.3251341897401</v>
      </c>
      <c r="S517" s="140" t="str">
        <f t="shared" si="51"/>
        <v>Y</v>
      </c>
      <c r="T517" s="154">
        <f t="shared" si="52"/>
        <v>1.6073576104258773</v>
      </c>
      <c r="U517" s="154">
        <f t="shared" si="53"/>
        <v>1.6073576104258773</v>
      </c>
    </row>
    <row r="518" spans="1:21" x14ac:dyDescent="0.35">
      <c r="A518" s="107">
        <v>2346</v>
      </c>
      <c r="B518" s="107">
        <v>2016</v>
      </c>
      <c r="C518" s="107" t="s">
        <v>9</v>
      </c>
      <c r="D518" s="107" t="s">
        <v>132</v>
      </c>
      <c r="E518" s="107" t="s">
        <v>10</v>
      </c>
      <c r="F518" s="115">
        <v>9</v>
      </c>
      <c r="G518" s="107" t="s">
        <v>33</v>
      </c>
      <c r="H518" s="107" t="str">
        <f t="shared" si="48"/>
        <v>Area 9: Admiralty Inlet</v>
      </c>
      <c r="I518" s="107" t="str">
        <f>IFERROR(VLOOKUP(H518,LUTs!$A$1:$C$73,2,FALSE),"NA")</f>
        <v>NA</v>
      </c>
      <c r="J518" s="107" t="str">
        <f>IFERROR(VLOOKUP(H518,LUTs!$A$1:$C$73,3,FALSE),"NA")</f>
        <v>2Central Puget Sound</v>
      </c>
      <c r="K518" s="107" t="s">
        <v>24</v>
      </c>
      <c r="L518" s="107" t="str">
        <f>VLOOKUP(K518,LUTs!E$2:G$14,3,)</f>
        <v>11Clallam</v>
      </c>
      <c r="M518" s="107" t="str">
        <f>VLOOKUP($K518,LUTs!$E$2:$H$14,2,)</f>
        <v>Strait of Juan de Fuca</v>
      </c>
      <c r="N518" s="107" t="str">
        <f>VLOOKUP($K518,LUTs!$E$2:$H$14,4,)</f>
        <v>03Strait of Juan de Fuca</v>
      </c>
      <c r="O518" s="107">
        <v>46.970330782312899</v>
      </c>
      <c r="P518" s="107">
        <v>194.50187755101999</v>
      </c>
      <c r="Q518" s="107">
        <f t="shared" si="49"/>
        <v>46.970330782312899</v>
      </c>
      <c r="R518" s="107">
        <f t="shared" si="50"/>
        <v>194.50187755101999</v>
      </c>
      <c r="S518" s="140" t="str">
        <f t="shared" si="51"/>
        <v>Y</v>
      </c>
      <c r="T518" s="154">
        <f t="shared" si="52"/>
        <v>4.1409518372874947</v>
      </c>
      <c r="U518" s="154">
        <f t="shared" si="53"/>
        <v>4.1409518372874947</v>
      </c>
    </row>
    <row r="519" spans="1:21" x14ac:dyDescent="0.35">
      <c r="A519" s="107">
        <v>2239</v>
      </c>
      <c r="B519" s="107">
        <v>2016</v>
      </c>
      <c r="C519" s="107" t="s">
        <v>9</v>
      </c>
      <c r="D519" s="107" t="s">
        <v>132</v>
      </c>
      <c r="E519" s="107" t="s">
        <v>10</v>
      </c>
      <c r="F519" s="115">
        <v>9</v>
      </c>
      <c r="G519" s="107" t="s">
        <v>33</v>
      </c>
      <c r="H519" s="107" t="str">
        <f t="shared" si="48"/>
        <v>Area 9: Admiralty Inlet</v>
      </c>
      <c r="I519" s="107" t="str">
        <f>IFERROR(VLOOKUP(H519,LUTs!$A$1:$C$73,2,FALSE),"NA")</f>
        <v>NA</v>
      </c>
      <c r="J519" s="107" t="str">
        <f>IFERROR(VLOOKUP(H519,LUTs!$A$1:$C$73,3,FALSE),"NA")</f>
        <v>2Central Puget Sound</v>
      </c>
      <c r="K519" s="107" t="s">
        <v>17</v>
      </c>
      <c r="L519" s="107" t="str">
        <f>VLOOKUP(K519,LUTs!E$2:G$14,3,)</f>
        <v>04Island</v>
      </c>
      <c r="M519" s="107" t="str">
        <f>VLOOKUP($K519,LUTs!$E$2:$H$14,2,)</f>
        <v>North Puget Sound</v>
      </c>
      <c r="N519" s="107" t="str">
        <f>VLOOKUP($K519,LUTs!$E$2:$H$14,4,)</f>
        <v>01North Puget Sound</v>
      </c>
      <c r="O519" s="107">
        <v>663.45592230016996</v>
      </c>
      <c r="P519" s="107">
        <v>2747.3390204081602</v>
      </c>
      <c r="Q519" s="107">
        <f t="shared" si="49"/>
        <v>663.45592230016996</v>
      </c>
      <c r="R519" s="107">
        <f t="shared" si="50"/>
        <v>2747.3390204081602</v>
      </c>
      <c r="S519" s="140" t="str">
        <f t="shared" si="51"/>
        <v>Y</v>
      </c>
      <c r="T519" s="154">
        <f t="shared" si="52"/>
        <v>4.1409518372874983</v>
      </c>
      <c r="U519" s="154">
        <f t="shared" si="53"/>
        <v>4.1409518372874983</v>
      </c>
    </row>
    <row r="520" spans="1:21" x14ac:dyDescent="0.35">
      <c r="A520" s="107">
        <v>2347</v>
      </c>
      <c r="B520" s="107">
        <v>2016</v>
      </c>
      <c r="C520" s="107" t="s">
        <v>9</v>
      </c>
      <c r="D520" s="107" t="s">
        <v>132</v>
      </c>
      <c r="E520" s="107" t="s">
        <v>10</v>
      </c>
      <c r="F520" s="115">
        <v>9</v>
      </c>
      <c r="G520" s="107" t="s">
        <v>33</v>
      </c>
      <c r="H520" s="107" t="str">
        <f t="shared" si="48"/>
        <v>Area 9: Admiralty Inlet</v>
      </c>
      <c r="I520" s="107" t="str">
        <f>IFERROR(VLOOKUP(H520,LUTs!$A$1:$C$73,2,FALSE),"NA")</f>
        <v>NA</v>
      </c>
      <c r="J520" s="107" t="str">
        <f>IFERROR(VLOOKUP(H520,LUTs!$A$1:$C$73,3,FALSE),"NA")</f>
        <v>2Central Puget Sound</v>
      </c>
      <c r="K520" s="107" t="s">
        <v>25</v>
      </c>
      <c r="L520" s="107" t="str">
        <f>VLOOKUP(K520,LUTs!E$2:G$14,3,)</f>
        <v>12Jefferson</v>
      </c>
      <c r="M520" s="107" t="str">
        <f>VLOOKUP($K520,LUTs!$E$2:$H$14,2,)</f>
        <v>Strait of Juan de Fuca</v>
      </c>
      <c r="N520" s="107" t="str">
        <f>VLOOKUP($K520,LUTs!$E$2:$H$14,4,)</f>
        <v>03Strait of Juan de Fuca</v>
      </c>
      <c r="O520" s="107">
        <v>868.95111947278895</v>
      </c>
      <c r="P520" s="107">
        <v>3598.2847346938802</v>
      </c>
      <c r="Q520" s="107">
        <f t="shared" si="49"/>
        <v>868.95111947278895</v>
      </c>
      <c r="R520" s="107">
        <f t="shared" si="50"/>
        <v>3598.2847346938802</v>
      </c>
      <c r="S520" s="140" t="str">
        <f t="shared" si="51"/>
        <v>Y</v>
      </c>
      <c r="T520" s="154">
        <f t="shared" si="52"/>
        <v>4.1409518372875054</v>
      </c>
      <c r="U520" s="154">
        <f t="shared" si="53"/>
        <v>4.1409518372875054</v>
      </c>
    </row>
    <row r="521" spans="1:21" x14ac:dyDescent="0.35">
      <c r="A521" s="107">
        <v>2241</v>
      </c>
      <c r="B521" s="107">
        <v>2016</v>
      </c>
      <c r="C521" s="107" t="s">
        <v>9</v>
      </c>
      <c r="D521" s="107" t="s">
        <v>132</v>
      </c>
      <c r="E521" s="107" t="s">
        <v>10</v>
      </c>
      <c r="F521" s="115">
        <v>9</v>
      </c>
      <c r="G521" s="107" t="s">
        <v>33</v>
      </c>
      <c r="H521" s="107" t="str">
        <f t="shared" si="48"/>
        <v>Area 9: Admiralty Inlet</v>
      </c>
      <c r="I521" s="107" t="str">
        <f>IFERROR(VLOOKUP(H521,LUTs!$A$1:$C$73,2,FALSE),"NA")</f>
        <v>NA</v>
      </c>
      <c r="J521" s="107" t="str">
        <f>IFERROR(VLOOKUP(H521,LUTs!$A$1:$C$73,3,FALSE),"NA")</f>
        <v>2Central Puget Sound</v>
      </c>
      <c r="K521" s="107" t="s">
        <v>18</v>
      </c>
      <c r="L521" s="107" t="str">
        <f>VLOOKUP(K521,LUTs!E$2:G$14,3,)</f>
        <v>06King</v>
      </c>
      <c r="M521" s="107" t="str">
        <f>VLOOKUP($K521,LUTs!$E$2:$H$14,2,)</f>
        <v>South Puget Sound</v>
      </c>
      <c r="N521" s="107" t="str">
        <f>VLOOKUP($K521,LUTs!$E$2:$H$14,4,)</f>
        <v>02South Puget Sound</v>
      </c>
      <c r="O521" s="107">
        <v>1332.7831359481299</v>
      </c>
      <c r="P521" s="107">
        <v>5518.9907755102004</v>
      </c>
      <c r="Q521" s="107">
        <f t="shared" si="49"/>
        <v>1332.7831359481299</v>
      </c>
      <c r="R521" s="107">
        <f t="shared" si="50"/>
        <v>5518.9907755102004</v>
      </c>
      <c r="S521" s="140" t="str">
        <f t="shared" si="51"/>
        <v>Y</v>
      </c>
      <c r="T521" s="154">
        <f t="shared" si="52"/>
        <v>4.1409518372874965</v>
      </c>
      <c r="U521" s="154">
        <f t="shared" si="53"/>
        <v>4.1409518372874965</v>
      </c>
    </row>
    <row r="522" spans="1:21" x14ac:dyDescent="0.35">
      <c r="A522" s="107">
        <v>2345</v>
      </c>
      <c r="B522" s="107">
        <v>2016</v>
      </c>
      <c r="C522" s="107" t="s">
        <v>9</v>
      </c>
      <c r="D522" s="107" t="s">
        <v>132</v>
      </c>
      <c r="E522" s="107" t="s">
        <v>10</v>
      </c>
      <c r="F522" s="115">
        <v>9</v>
      </c>
      <c r="G522" s="107" t="s">
        <v>33</v>
      </c>
      <c r="H522" s="107" t="str">
        <f t="shared" si="48"/>
        <v>Area 9: Admiralty Inlet</v>
      </c>
      <c r="I522" s="107" t="str">
        <f>IFERROR(VLOOKUP(H522,LUTs!$A$1:$C$73,2,FALSE),"NA")</f>
        <v>NA</v>
      </c>
      <c r="J522" s="107" t="str">
        <f>IFERROR(VLOOKUP(H522,LUTs!$A$1:$C$73,3,FALSE),"NA")</f>
        <v>2Central Puget Sound</v>
      </c>
      <c r="K522" s="107" t="s">
        <v>23</v>
      </c>
      <c r="L522" s="107" t="str">
        <f>VLOOKUP(K522,LUTs!E$2:G$14,3,)</f>
        <v>10Kitsap</v>
      </c>
      <c r="M522" s="107" t="str">
        <f>VLOOKUP($K522,LUTs!$E$2:$H$14,2,)</f>
        <v>South Puget Sound</v>
      </c>
      <c r="N522" s="107" t="str">
        <f>VLOOKUP($K522,LUTs!$E$2:$H$14,4,)</f>
        <v>02South Puget Sound</v>
      </c>
      <c r="O522" s="107">
        <v>487.31718186649698</v>
      </c>
      <c r="P522" s="107">
        <v>2017.9569795918401</v>
      </c>
      <c r="Q522" s="107">
        <f t="shared" si="49"/>
        <v>487.31718186649698</v>
      </c>
      <c r="R522" s="107">
        <f t="shared" si="50"/>
        <v>2017.9569795918401</v>
      </c>
      <c r="S522" s="140" t="str">
        <f t="shared" si="51"/>
        <v>Y</v>
      </c>
      <c r="T522" s="154">
        <f t="shared" si="52"/>
        <v>4.1409518372875054</v>
      </c>
      <c r="U522" s="154">
        <f t="shared" si="53"/>
        <v>4.1409518372875054</v>
      </c>
    </row>
    <row r="523" spans="1:21" x14ac:dyDescent="0.35">
      <c r="A523" s="107">
        <v>2344</v>
      </c>
      <c r="B523" s="107">
        <v>2016</v>
      </c>
      <c r="C523" s="107" t="s">
        <v>9</v>
      </c>
      <c r="D523" s="107" t="s">
        <v>132</v>
      </c>
      <c r="E523" s="107" t="s">
        <v>10</v>
      </c>
      <c r="F523" s="115">
        <v>9</v>
      </c>
      <c r="G523" s="107" t="s">
        <v>33</v>
      </c>
      <c r="H523" s="107" t="str">
        <f t="shared" si="48"/>
        <v>Area 9: Admiralty Inlet</v>
      </c>
      <c r="I523" s="107" t="str">
        <f>IFERROR(VLOOKUP(H523,LUTs!$A$1:$C$73,2,FALSE),"NA")</f>
        <v>NA</v>
      </c>
      <c r="J523" s="107" t="str">
        <f>IFERROR(VLOOKUP(H523,LUTs!$A$1:$C$73,3,FALSE),"NA")</f>
        <v>2Central Puget Sound</v>
      </c>
      <c r="K523" s="107" t="s">
        <v>22</v>
      </c>
      <c r="L523" s="107" t="str">
        <f>VLOOKUP(K523,LUTs!E$2:G$14,3,)</f>
        <v>09Mason</v>
      </c>
      <c r="M523" s="107" t="str">
        <f>VLOOKUP($K523,LUTs!$E$2:$H$14,2,)</f>
        <v>South Puget Sound</v>
      </c>
      <c r="N523" s="107" t="str">
        <f>VLOOKUP($K523,LUTs!$E$2:$H$14,4,)</f>
        <v>02South Puget Sound</v>
      </c>
      <c r="O523" s="107">
        <v>5.8712913477891204</v>
      </c>
      <c r="P523" s="107">
        <v>24.312734693877601</v>
      </c>
      <c r="Q523" s="107">
        <f t="shared" si="49"/>
        <v>5.8712913477891204</v>
      </c>
      <c r="R523" s="107">
        <f t="shared" si="50"/>
        <v>24.312734693877601</v>
      </c>
      <c r="S523" s="140" t="str">
        <f t="shared" si="51"/>
        <v>Y</v>
      </c>
      <c r="T523" s="154">
        <f t="shared" si="52"/>
        <v>4.1409518372875072</v>
      </c>
      <c r="U523" s="154">
        <f t="shared" si="53"/>
        <v>4.1409518372875072</v>
      </c>
    </row>
    <row r="524" spans="1:21" x14ac:dyDescent="0.35">
      <c r="A524" s="107">
        <v>2348</v>
      </c>
      <c r="B524" s="107">
        <v>2016</v>
      </c>
      <c r="C524" s="107" t="s">
        <v>9</v>
      </c>
      <c r="D524" s="107" t="s">
        <v>132</v>
      </c>
      <c r="E524" s="107" t="s">
        <v>10</v>
      </c>
      <c r="F524" s="115">
        <v>9</v>
      </c>
      <c r="G524" s="107" t="s">
        <v>33</v>
      </c>
      <c r="H524" s="107" t="str">
        <f t="shared" si="48"/>
        <v>Area 9: Admiralty Inlet</v>
      </c>
      <c r="I524" s="107" t="str">
        <f>IFERROR(VLOOKUP(H524,LUTs!$A$1:$C$73,2,FALSE),"NA")</f>
        <v>NA</v>
      </c>
      <c r="J524" s="107" t="str">
        <f>IFERROR(VLOOKUP(H524,LUTs!$A$1:$C$73,3,FALSE),"NA")</f>
        <v>2Central Puget Sound</v>
      </c>
      <c r="K524" s="107" t="s">
        <v>26</v>
      </c>
      <c r="L524" s="107" t="str">
        <f>VLOOKUP(K524,LUTs!E$2:G$14,3,)</f>
        <v>20Other</v>
      </c>
      <c r="M524" s="107" t="str">
        <f>VLOOKUP($K524,LUTs!$E$2:$H$14,2,)</f>
        <v>Non Puget Sound</v>
      </c>
      <c r="N524" s="107" t="str">
        <f>VLOOKUP($K524,LUTs!$E$2:$H$14,4,)</f>
        <v>07Non Puget Sound</v>
      </c>
      <c r="O524" s="107">
        <v>446.21814243197298</v>
      </c>
      <c r="P524" s="107">
        <v>1847.76783673469</v>
      </c>
      <c r="Q524" s="107">
        <f t="shared" si="49"/>
        <v>446.21814243197298</v>
      </c>
      <c r="R524" s="107">
        <f t="shared" si="50"/>
        <v>1847.76783673469</v>
      </c>
      <c r="S524" s="140" t="str">
        <f t="shared" si="51"/>
        <v>Y</v>
      </c>
      <c r="T524" s="154">
        <f t="shared" si="52"/>
        <v>4.1409518372874912</v>
      </c>
      <c r="U524" s="154">
        <f t="shared" si="53"/>
        <v>4.1409518372874912</v>
      </c>
    </row>
    <row r="525" spans="1:21" x14ac:dyDescent="0.35">
      <c r="A525" s="107">
        <v>2342</v>
      </c>
      <c r="B525" s="107">
        <v>2016</v>
      </c>
      <c r="C525" s="107" t="s">
        <v>9</v>
      </c>
      <c r="D525" s="107" t="s">
        <v>132</v>
      </c>
      <c r="E525" s="107" t="s">
        <v>10</v>
      </c>
      <c r="F525" s="115">
        <v>9</v>
      </c>
      <c r="G525" s="107" t="s">
        <v>33</v>
      </c>
      <c r="H525" s="107" t="str">
        <f t="shared" si="48"/>
        <v>Area 9: Admiralty Inlet</v>
      </c>
      <c r="I525" s="107" t="str">
        <f>IFERROR(VLOOKUP(H525,LUTs!$A$1:$C$73,2,FALSE),"NA")</f>
        <v>NA</v>
      </c>
      <c r="J525" s="107" t="str">
        <f>IFERROR(VLOOKUP(H525,LUTs!$A$1:$C$73,3,FALSE),"NA")</f>
        <v>2Central Puget Sound</v>
      </c>
      <c r="K525" s="107" t="s">
        <v>20</v>
      </c>
      <c r="L525" s="107" t="str">
        <f>VLOOKUP(K525,LUTs!E$2:G$14,3,)</f>
        <v>07Pierce</v>
      </c>
      <c r="M525" s="107" t="str">
        <f>VLOOKUP($K525,LUTs!$E$2:$H$14,2,)</f>
        <v>South Puget Sound</v>
      </c>
      <c r="N525" s="107" t="str">
        <f>VLOOKUP($K525,LUTs!$E$2:$H$14,4,)</f>
        <v>02South Puget Sound</v>
      </c>
      <c r="O525" s="107">
        <v>334.66360682397999</v>
      </c>
      <c r="P525" s="107">
        <v>1385.8258775510201</v>
      </c>
      <c r="Q525" s="107">
        <f t="shared" si="49"/>
        <v>334.66360682397999</v>
      </c>
      <c r="R525" s="107">
        <f t="shared" si="50"/>
        <v>1385.8258775510201</v>
      </c>
      <c r="S525" s="140" t="str">
        <f t="shared" si="51"/>
        <v>Y</v>
      </c>
      <c r="T525" s="154">
        <f t="shared" si="52"/>
        <v>4.1409518372874956</v>
      </c>
      <c r="U525" s="154">
        <f t="shared" si="53"/>
        <v>4.1409518372874956</v>
      </c>
    </row>
    <row r="526" spans="1:21" x14ac:dyDescent="0.35">
      <c r="A526" s="107">
        <v>2240</v>
      </c>
      <c r="B526" s="107">
        <v>2016</v>
      </c>
      <c r="C526" s="107" t="s">
        <v>9</v>
      </c>
      <c r="D526" s="107" t="s">
        <v>132</v>
      </c>
      <c r="E526" s="107" t="s">
        <v>10</v>
      </c>
      <c r="F526" s="115">
        <v>9</v>
      </c>
      <c r="G526" s="107" t="s">
        <v>33</v>
      </c>
      <c r="H526" s="107" t="str">
        <f t="shared" si="48"/>
        <v>Area 9: Admiralty Inlet</v>
      </c>
      <c r="I526" s="107" t="str">
        <f>IFERROR(VLOOKUP(H526,LUTs!$A$1:$C$73,2,FALSE),"NA")</f>
        <v>NA</v>
      </c>
      <c r="J526" s="107" t="str">
        <f>IFERROR(VLOOKUP(H526,LUTs!$A$1:$C$73,3,FALSE),"NA")</f>
        <v>2Central Puget Sound</v>
      </c>
      <c r="K526" s="107" t="s">
        <v>30</v>
      </c>
      <c r="L526" s="107" t="str">
        <f>VLOOKUP(K526,LUTs!E$2:G$14,3,)</f>
        <v>05San Juan</v>
      </c>
      <c r="M526" s="107" t="str">
        <f>VLOOKUP($K526,LUTs!$E$2:$H$14,2,)</f>
        <v>North Puget Sound</v>
      </c>
      <c r="N526" s="107" t="str">
        <f>VLOOKUP($K526,LUTs!$E$2:$H$14,4,)</f>
        <v>01North Puget Sound</v>
      </c>
      <c r="O526" s="107">
        <v>5.8712913477891204</v>
      </c>
      <c r="P526" s="107">
        <v>24.312734693877601</v>
      </c>
      <c r="Q526" s="107">
        <f t="shared" si="49"/>
        <v>5.8712913477891204</v>
      </c>
      <c r="R526" s="107">
        <f t="shared" si="50"/>
        <v>24.312734693877601</v>
      </c>
      <c r="S526" s="140" t="str">
        <f t="shared" si="51"/>
        <v>Y</v>
      </c>
      <c r="T526" s="154">
        <f t="shared" si="52"/>
        <v>4.1409518372875072</v>
      </c>
      <c r="U526" s="154">
        <f t="shared" si="53"/>
        <v>4.1409518372875072</v>
      </c>
    </row>
    <row r="527" spans="1:21" x14ac:dyDescent="0.35">
      <c r="A527" s="107">
        <v>2237</v>
      </c>
      <c r="B527" s="107">
        <v>2016</v>
      </c>
      <c r="C527" s="107" t="s">
        <v>9</v>
      </c>
      <c r="D527" s="107" t="s">
        <v>132</v>
      </c>
      <c r="E527" s="107" t="s">
        <v>10</v>
      </c>
      <c r="F527" s="115">
        <v>9</v>
      </c>
      <c r="G527" s="107" t="s">
        <v>33</v>
      </c>
      <c r="H527" s="107" t="str">
        <f t="shared" si="48"/>
        <v>Area 9: Admiralty Inlet</v>
      </c>
      <c r="I527" s="107" t="str">
        <f>IFERROR(VLOOKUP(H527,LUTs!$A$1:$C$73,2,FALSE),"NA")</f>
        <v>NA</v>
      </c>
      <c r="J527" s="107" t="str">
        <f>IFERROR(VLOOKUP(H527,LUTs!$A$1:$C$73,3,FALSE),"NA")</f>
        <v>2Central Puget Sound</v>
      </c>
      <c r="K527" s="107" t="s">
        <v>15</v>
      </c>
      <c r="L527" s="107" t="str">
        <f>VLOOKUP(K527,LUTs!E$2:G$14,3,)</f>
        <v>02Skagit</v>
      </c>
      <c r="M527" s="107" t="str">
        <f>VLOOKUP($K527,LUTs!$E$2:$H$14,2,)</f>
        <v>North Puget Sound</v>
      </c>
      <c r="N527" s="107" t="str">
        <f>VLOOKUP($K527,LUTs!$E$2:$H$14,4,)</f>
        <v>01North Puget Sound</v>
      </c>
      <c r="O527" s="107">
        <v>105.68324426020401</v>
      </c>
      <c r="P527" s="107">
        <v>437.629224489796</v>
      </c>
      <c r="Q527" s="107">
        <f t="shared" si="49"/>
        <v>105.68324426020401</v>
      </c>
      <c r="R527" s="107">
        <f t="shared" si="50"/>
        <v>437.629224489796</v>
      </c>
      <c r="S527" s="140" t="str">
        <f t="shared" si="51"/>
        <v>Y</v>
      </c>
      <c r="T527" s="154">
        <f t="shared" si="52"/>
        <v>4.1409518372875054</v>
      </c>
      <c r="U527" s="154">
        <f t="shared" si="53"/>
        <v>4.1409518372875054</v>
      </c>
    </row>
    <row r="528" spans="1:21" x14ac:dyDescent="0.35">
      <c r="A528" s="107">
        <v>2238</v>
      </c>
      <c r="B528" s="107">
        <v>2016</v>
      </c>
      <c r="C528" s="107" t="s">
        <v>9</v>
      </c>
      <c r="D528" s="107" t="s">
        <v>132</v>
      </c>
      <c r="E528" s="107" t="s">
        <v>10</v>
      </c>
      <c r="F528" s="115">
        <v>9</v>
      </c>
      <c r="G528" s="107" t="s">
        <v>33</v>
      </c>
      <c r="H528" s="107" t="str">
        <f t="shared" si="48"/>
        <v>Area 9: Admiralty Inlet</v>
      </c>
      <c r="I528" s="107" t="str">
        <f>IFERROR(VLOOKUP(H528,LUTs!$A$1:$C$73,2,FALSE),"NA")</f>
        <v>NA</v>
      </c>
      <c r="J528" s="107" t="str">
        <f>IFERROR(VLOOKUP(H528,LUTs!$A$1:$C$73,3,FALSE),"NA")</f>
        <v>2Central Puget Sound</v>
      </c>
      <c r="K528" s="107" t="s">
        <v>16</v>
      </c>
      <c r="L528" s="107" t="str">
        <f>VLOOKUP(K528,LUTs!E$2:G$14,3,)</f>
        <v>03Snohomish</v>
      </c>
      <c r="M528" s="107" t="str">
        <f>VLOOKUP($K528,LUTs!$E$2:$H$14,2,)</f>
        <v>North Puget Sound</v>
      </c>
      <c r="N528" s="107" t="str">
        <f>VLOOKUP($K528,LUTs!$E$2:$H$14,4,)</f>
        <v>01North Puget Sound</v>
      </c>
      <c r="O528" s="107">
        <v>1373.8821753826501</v>
      </c>
      <c r="P528" s="107">
        <v>5689.1799183673502</v>
      </c>
      <c r="Q528" s="107">
        <f t="shared" si="49"/>
        <v>1373.8821753826501</v>
      </c>
      <c r="R528" s="107">
        <f t="shared" si="50"/>
        <v>5689.1799183673502</v>
      </c>
      <c r="S528" s="140" t="str">
        <f t="shared" si="51"/>
        <v>Y</v>
      </c>
      <c r="T528" s="154">
        <f t="shared" si="52"/>
        <v>4.1409518372875134</v>
      </c>
      <c r="U528" s="154">
        <f t="shared" si="53"/>
        <v>4.1409518372875134</v>
      </c>
    </row>
    <row r="529" spans="1:21" x14ac:dyDescent="0.35">
      <c r="A529" s="107">
        <v>2343</v>
      </c>
      <c r="B529" s="107">
        <v>2016</v>
      </c>
      <c r="C529" s="107" t="s">
        <v>9</v>
      </c>
      <c r="D529" s="107" t="s">
        <v>132</v>
      </c>
      <c r="E529" s="107" t="s">
        <v>10</v>
      </c>
      <c r="F529" s="115">
        <v>9</v>
      </c>
      <c r="G529" s="107" t="s">
        <v>33</v>
      </c>
      <c r="H529" s="107" t="str">
        <f t="shared" si="48"/>
        <v>Area 9: Admiralty Inlet</v>
      </c>
      <c r="I529" s="107" t="str">
        <f>IFERROR(VLOOKUP(H529,LUTs!$A$1:$C$73,2,FALSE),"NA")</f>
        <v>NA</v>
      </c>
      <c r="J529" s="107" t="str">
        <f>IFERROR(VLOOKUP(H529,LUTs!$A$1:$C$73,3,FALSE),"NA")</f>
        <v>2Central Puget Sound</v>
      </c>
      <c r="K529" s="107" t="s">
        <v>21</v>
      </c>
      <c r="L529" s="107" t="str">
        <f>VLOOKUP(K529,LUTs!E$2:G$14,3,)</f>
        <v>08Thurston</v>
      </c>
      <c r="M529" s="107" t="str">
        <f>VLOOKUP($K529,LUTs!$E$2:$H$14,2,)</f>
        <v>South Puget Sound</v>
      </c>
      <c r="N529" s="107" t="str">
        <f>VLOOKUP($K529,LUTs!$E$2:$H$14,4,)</f>
        <v>02South Puget Sound</v>
      </c>
      <c r="O529" s="107">
        <v>11.7425826955782</v>
      </c>
      <c r="P529" s="107">
        <v>48.625469387755103</v>
      </c>
      <c r="Q529" s="107">
        <f t="shared" si="49"/>
        <v>11.7425826955782</v>
      </c>
      <c r="R529" s="107">
        <f t="shared" si="50"/>
        <v>48.625469387755103</v>
      </c>
      <c r="S529" s="140" t="str">
        <f t="shared" si="51"/>
        <v>Y</v>
      </c>
      <c r="T529" s="154">
        <f t="shared" si="52"/>
        <v>4.1409518372875134</v>
      </c>
      <c r="U529" s="154">
        <f t="shared" si="53"/>
        <v>4.1409518372875134</v>
      </c>
    </row>
    <row r="530" spans="1:21" x14ac:dyDescent="0.35">
      <c r="A530" s="107">
        <v>2236</v>
      </c>
      <c r="B530" s="107">
        <v>2016</v>
      </c>
      <c r="C530" s="107" t="s">
        <v>9</v>
      </c>
      <c r="D530" s="107" t="s">
        <v>132</v>
      </c>
      <c r="E530" s="107" t="s">
        <v>10</v>
      </c>
      <c r="F530" s="115">
        <v>9</v>
      </c>
      <c r="G530" s="107" t="s">
        <v>33</v>
      </c>
      <c r="H530" s="107" t="str">
        <f t="shared" si="48"/>
        <v>Area 9: Admiralty Inlet</v>
      </c>
      <c r="I530" s="107" t="str">
        <f>IFERROR(VLOOKUP(H530,LUTs!$A$1:$C$73,2,FALSE),"NA")</f>
        <v>NA</v>
      </c>
      <c r="J530" s="107" t="str">
        <f>IFERROR(VLOOKUP(H530,LUTs!$A$1:$C$73,3,FALSE),"NA")</f>
        <v>2Central Puget Sound</v>
      </c>
      <c r="K530" s="107" t="s">
        <v>13</v>
      </c>
      <c r="L530" s="107" t="str">
        <f>VLOOKUP(K530,LUTs!E$2:G$14,3,)</f>
        <v>01Whatcom</v>
      </c>
      <c r="M530" s="107" t="str">
        <f>VLOOKUP($K530,LUTs!$E$2:$H$14,2,)</f>
        <v>North Puget Sound</v>
      </c>
      <c r="N530" s="107" t="str">
        <f>VLOOKUP($K530,LUTs!$E$2:$H$14,4,)</f>
        <v>01North Puget Sound</v>
      </c>
      <c r="O530" s="107">
        <v>70.455496173469399</v>
      </c>
      <c r="P530" s="107">
        <v>291.75281632653099</v>
      </c>
      <c r="Q530" s="107">
        <f t="shared" si="49"/>
        <v>70.455496173469399</v>
      </c>
      <c r="R530" s="107">
        <f t="shared" si="50"/>
        <v>291.75281632653099</v>
      </c>
      <c r="S530" s="140" t="str">
        <f t="shared" si="51"/>
        <v>Y</v>
      </c>
      <c r="T530" s="154">
        <f t="shared" si="52"/>
        <v>4.1409518372875063</v>
      </c>
      <c r="U530" s="154">
        <f t="shared" si="53"/>
        <v>4.1409518372875063</v>
      </c>
    </row>
    <row r="531" spans="1:21" x14ac:dyDescent="0.35">
      <c r="A531" s="107">
        <v>3169</v>
      </c>
      <c r="B531" s="107">
        <v>2017</v>
      </c>
      <c r="C531" s="107" t="s">
        <v>9</v>
      </c>
      <c r="D531" s="107" t="s">
        <v>132</v>
      </c>
      <c r="E531" s="107" t="s">
        <v>10</v>
      </c>
      <c r="F531" s="115">
        <v>9</v>
      </c>
      <c r="G531" s="107" t="s">
        <v>33</v>
      </c>
      <c r="H531" s="107" t="str">
        <f t="shared" si="48"/>
        <v>Area 9: Admiralty Inlet</v>
      </c>
      <c r="I531" s="107" t="str">
        <f>IFERROR(VLOOKUP(H531,LUTs!$A$1:$C$73,2,FALSE),"NA")</f>
        <v>NA</v>
      </c>
      <c r="J531" s="107" t="str">
        <f>IFERROR(VLOOKUP(H531,LUTs!$A$1:$C$73,3,FALSE),"NA")</f>
        <v>2Central Puget Sound</v>
      </c>
      <c r="K531" s="107" t="s">
        <v>24</v>
      </c>
      <c r="L531" s="107" t="str">
        <f>VLOOKUP(K531,LUTs!E$2:G$14,3,)</f>
        <v>11Clallam</v>
      </c>
      <c r="M531" s="107" t="str">
        <f>VLOOKUP($K531,LUTs!$E$2:$H$14,2,)</f>
        <v>Strait of Juan de Fuca</v>
      </c>
      <c r="N531" s="107" t="str">
        <f>VLOOKUP($K531,LUTs!$E$2:$H$14,4,)</f>
        <v>03Strait of Juan de Fuca</v>
      </c>
      <c r="O531" s="107">
        <v>169.105113636364</v>
      </c>
      <c r="P531" s="107">
        <v>388.42725354670398</v>
      </c>
      <c r="Q531" s="107">
        <f t="shared" si="49"/>
        <v>169.105113636364</v>
      </c>
      <c r="R531" s="107">
        <f t="shared" si="50"/>
        <v>388.42725354670398</v>
      </c>
      <c r="S531" s="140" t="str">
        <f t="shared" si="51"/>
        <v>Y</v>
      </c>
      <c r="T531" s="154">
        <f t="shared" si="52"/>
        <v>2.2969574674244351</v>
      </c>
      <c r="U531" s="154">
        <f t="shared" si="53"/>
        <v>2.2969574674244351</v>
      </c>
    </row>
    <row r="532" spans="1:21" x14ac:dyDescent="0.35">
      <c r="A532" s="107">
        <v>2701</v>
      </c>
      <c r="B532" s="107">
        <v>2017</v>
      </c>
      <c r="C532" s="107" t="s">
        <v>9</v>
      </c>
      <c r="D532" s="107" t="s">
        <v>132</v>
      </c>
      <c r="E532" s="107" t="s">
        <v>10</v>
      </c>
      <c r="F532" s="115">
        <v>9</v>
      </c>
      <c r="G532" s="107" t="s">
        <v>33</v>
      </c>
      <c r="H532" s="107" t="str">
        <f t="shared" si="48"/>
        <v>Area 9: Admiralty Inlet</v>
      </c>
      <c r="I532" s="107" t="str">
        <f>IFERROR(VLOOKUP(H532,LUTs!$A$1:$C$73,2,FALSE),"NA")</f>
        <v>NA</v>
      </c>
      <c r="J532" s="107" t="str">
        <f>IFERROR(VLOOKUP(H532,LUTs!$A$1:$C$73,3,FALSE),"NA")</f>
        <v>2Central Puget Sound</v>
      </c>
      <c r="K532" s="107" t="s">
        <v>17</v>
      </c>
      <c r="L532" s="107" t="str">
        <f>VLOOKUP(K532,LUTs!E$2:G$14,3,)</f>
        <v>04Island</v>
      </c>
      <c r="M532" s="107" t="str">
        <f>VLOOKUP($K532,LUTs!$E$2:$H$14,2,)</f>
        <v>North Puget Sound</v>
      </c>
      <c r="N532" s="107" t="str">
        <f>VLOOKUP($K532,LUTs!$E$2:$H$14,4,)</f>
        <v>01North Puget Sound</v>
      </c>
      <c r="O532" s="107">
        <v>1663.9943181818201</v>
      </c>
      <c r="P532" s="107">
        <v>3822.1241748995699</v>
      </c>
      <c r="Q532" s="107">
        <f t="shared" si="49"/>
        <v>1663.9943181818201</v>
      </c>
      <c r="R532" s="107">
        <f t="shared" si="50"/>
        <v>3822.1241748995699</v>
      </c>
      <c r="S532" s="140" t="str">
        <f t="shared" si="51"/>
        <v>Y</v>
      </c>
      <c r="T532" s="154">
        <f t="shared" si="52"/>
        <v>2.2969574674244391</v>
      </c>
      <c r="U532" s="154">
        <f t="shared" si="53"/>
        <v>2.2969574674244391</v>
      </c>
    </row>
    <row r="533" spans="1:21" x14ac:dyDescent="0.35">
      <c r="A533" s="107">
        <v>3170</v>
      </c>
      <c r="B533" s="107">
        <v>2017</v>
      </c>
      <c r="C533" s="107" t="s">
        <v>9</v>
      </c>
      <c r="D533" s="107" t="s">
        <v>132</v>
      </c>
      <c r="E533" s="107" t="s">
        <v>10</v>
      </c>
      <c r="F533" s="115">
        <v>9</v>
      </c>
      <c r="G533" s="107" t="s">
        <v>33</v>
      </c>
      <c r="H533" s="107" t="str">
        <f t="shared" si="48"/>
        <v>Area 9: Admiralty Inlet</v>
      </c>
      <c r="I533" s="107" t="str">
        <f>IFERROR(VLOOKUP(H533,LUTs!$A$1:$C$73,2,FALSE),"NA")</f>
        <v>NA</v>
      </c>
      <c r="J533" s="107" t="str">
        <f>IFERROR(VLOOKUP(H533,LUTs!$A$1:$C$73,3,FALSE),"NA")</f>
        <v>2Central Puget Sound</v>
      </c>
      <c r="K533" s="107" t="s">
        <v>25</v>
      </c>
      <c r="L533" s="107" t="str">
        <f>VLOOKUP(K533,LUTs!E$2:G$14,3,)</f>
        <v>12Jefferson</v>
      </c>
      <c r="M533" s="107" t="str">
        <f>VLOOKUP($K533,LUTs!$E$2:$H$14,2,)</f>
        <v>Strait of Juan de Fuca</v>
      </c>
      <c r="N533" s="107" t="str">
        <f>VLOOKUP($K533,LUTs!$E$2:$H$14,4,)</f>
        <v>03Strait of Juan de Fuca</v>
      </c>
      <c r="O533" s="107">
        <v>1258.14204545455</v>
      </c>
      <c r="P533" s="107">
        <v>2889.89876638748</v>
      </c>
      <c r="Q533" s="107">
        <f t="shared" si="49"/>
        <v>1258.14204545455</v>
      </c>
      <c r="R533" s="107">
        <f t="shared" si="50"/>
        <v>2889.89876638748</v>
      </c>
      <c r="S533" s="140" t="str">
        <f t="shared" si="51"/>
        <v>Y</v>
      </c>
      <c r="T533" s="154">
        <f t="shared" si="52"/>
        <v>2.2969574674244337</v>
      </c>
      <c r="U533" s="154">
        <f t="shared" si="53"/>
        <v>2.2969574674244337</v>
      </c>
    </row>
    <row r="534" spans="1:21" x14ac:dyDescent="0.35">
      <c r="A534" s="107">
        <v>2702</v>
      </c>
      <c r="B534" s="107">
        <v>2017</v>
      </c>
      <c r="C534" s="107" t="s">
        <v>9</v>
      </c>
      <c r="D534" s="107" t="s">
        <v>132</v>
      </c>
      <c r="E534" s="107" t="s">
        <v>10</v>
      </c>
      <c r="F534" s="115">
        <v>9</v>
      </c>
      <c r="G534" s="107" t="s">
        <v>33</v>
      </c>
      <c r="H534" s="107" t="str">
        <f t="shared" si="48"/>
        <v>Area 9: Admiralty Inlet</v>
      </c>
      <c r="I534" s="107" t="str">
        <f>IFERROR(VLOOKUP(H534,LUTs!$A$1:$C$73,2,FALSE),"NA")</f>
        <v>NA</v>
      </c>
      <c r="J534" s="107" t="str">
        <f>IFERROR(VLOOKUP(H534,LUTs!$A$1:$C$73,3,FALSE),"NA")</f>
        <v>2Central Puget Sound</v>
      </c>
      <c r="K534" s="107" t="s">
        <v>18</v>
      </c>
      <c r="L534" s="107" t="str">
        <f>VLOOKUP(K534,LUTs!E$2:G$14,3,)</f>
        <v>06King</v>
      </c>
      <c r="M534" s="107" t="str">
        <f>VLOOKUP($K534,LUTs!$E$2:$H$14,2,)</f>
        <v>South Puget Sound</v>
      </c>
      <c r="N534" s="107" t="str">
        <f>VLOOKUP($K534,LUTs!$E$2:$H$14,4,)</f>
        <v>02South Puget Sound</v>
      </c>
      <c r="O534" s="107">
        <v>2698.9176136363599</v>
      </c>
      <c r="P534" s="107">
        <v>6199.2989666054</v>
      </c>
      <c r="Q534" s="107">
        <f t="shared" si="49"/>
        <v>2698.9176136363599</v>
      </c>
      <c r="R534" s="107">
        <f t="shared" si="50"/>
        <v>6199.2989666054</v>
      </c>
      <c r="S534" s="140" t="str">
        <f t="shared" si="51"/>
        <v>Y</v>
      </c>
      <c r="T534" s="154">
        <f t="shared" si="52"/>
        <v>2.2969574674244448</v>
      </c>
      <c r="U534" s="154">
        <f t="shared" si="53"/>
        <v>2.2969574674244448</v>
      </c>
    </row>
    <row r="535" spans="1:21" x14ac:dyDescent="0.35">
      <c r="A535" s="107">
        <v>2809</v>
      </c>
      <c r="B535" s="107">
        <v>2017</v>
      </c>
      <c r="C535" s="107" t="s">
        <v>9</v>
      </c>
      <c r="D535" s="107" t="s">
        <v>132</v>
      </c>
      <c r="E535" s="107" t="s">
        <v>10</v>
      </c>
      <c r="F535" s="115">
        <v>9</v>
      </c>
      <c r="G535" s="107" t="s">
        <v>33</v>
      </c>
      <c r="H535" s="107" t="str">
        <f t="shared" si="48"/>
        <v>Area 9: Admiralty Inlet</v>
      </c>
      <c r="I535" s="107" t="str">
        <f>IFERROR(VLOOKUP(H535,LUTs!$A$1:$C$73,2,FALSE),"NA")</f>
        <v>NA</v>
      </c>
      <c r="J535" s="107" t="str">
        <f>IFERROR(VLOOKUP(H535,LUTs!$A$1:$C$73,3,FALSE),"NA")</f>
        <v>2Central Puget Sound</v>
      </c>
      <c r="K535" s="107" t="s">
        <v>23</v>
      </c>
      <c r="L535" s="107" t="str">
        <f>VLOOKUP(K535,LUTs!E$2:G$14,3,)</f>
        <v>10Kitsap</v>
      </c>
      <c r="M535" s="107" t="str">
        <f>VLOOKUP($K535,LUTs!$E$2:$H$14,2,)</f>
        <v>South Puget Sound</v>
      </c>
      <c r="N535" s="107" t="str">
        <f>VLOOKUP($K535,LUTs!$E$2:$H$14,4,)</f>
        <v>02South Puget Sound</v>
      </c>
      <c r="O535" s="107">
        <v>2448.64204545455</v>
      </c>
      <c r="P535" s="107">
        <v>5624.4266313562803</v>
      </c>
      <c r="Q535" s="107">
        <f t="shared" si="49"/>
        <v>2448.64204545455</v>
      </c>
      <c r="R535" s="107">
        <f t="shared" si="50"/>
        <v>5624.4266313562803</v>
      </c>
      <c r="S535" s="140" t="str">
        <f t="shared" si="51"/>
        <v>Y</v>
      </c>
      <c r="T535" s="154">
        <f t="shared" si="52"/>
        <v>2.2969574674244386</v>
      </c>
      <c r="U535" s="154">
        <f t="shared" si="53"/>
        <v>2.2969574674244386</v>
      </c>
    </row>
    <row r="536" spans="1:21" x14ac:dyDescent="0.35">
      <c r="A536" s="107">
        <v>2808</v>
      </c>
      <c r="B536" s="107">
        <v>2017</v>
      </c>
      <c r="C536" s="107" t="s">
        <v>9</v>
      </c>
      <c r="D536" s="107" t="s">
        <v>132</v>
      </c>
      <c r="E536" s="107" t="s">
        <v>10</v>
      </c>
      <c r="F536" s="115">
        <v>9</v>
      </c>
      <c r="G536" s="107" t="s">
        <v>33</v>
      </c>
      <c r="H536" s="107" t="str">
        <f t="shared" si="48"/>
        <v>Area 9: Admiralty Inlet</v>
      </c>
      <c r="I536" s="107" t="str">
        <f>IFERROR(VLOOKUP(H536,LUTs!$A$1:$C$73,2,FALSE),"NA")</f>
        <v>NA</v>
      </c>
      <c r="J536" s="107" t="str">
        <f>IFERROR(VLOOKUP(H536,LUTs!$A$1:$C$73,3,FALSE),"NA")</f>
        <v>2Central Puget Sound</v>
      </c>
      <c r="K536" s="107" t="s">
        <v>22</v>
      </c>
      <c r="L536" s="107" t="str">
        <f>VLOOKUP(K536,LUTs!E$2:G$14,3,)</f>
        <v>09Mason</v>
      </c>
      <c r="M536" s="107" t="str">
        <f>VLOOKUP($K536,LUTs!$E$2:$H$14,2,)</f>
        <v>South Puget Sound</v>
      </c>
      <c r="N536" s="107" t="str">
        <f>VLOOKUP($K536,LUTs!$E$2:$H$14,4,)</f>
        <v>02South Puget Sound</v>
      </c>
      <c r="O536" s="107">
        <v>40.585227272727302</v>
      </c>
      <c r="P536" s="107">
        <v>93.222540851209104</v>
      </c>
      <c r="Q536" s="107">
        <f t="shared" si="49"/>
        <v>40.585227272727302</v>
      </c>
      <c r="R536" s="107">
        <f t="shared" si="50"/>
        <v>93.222540851209104</v>
      </c>
      <c r="S536" s="140" t="str">
        <f t="shared" si="51"/>
        <v>Y</v>
      </c>
      <c r="T536" s="154">
        <f t="shared" si="52"/>
        <v>2.2969574674244422</v>
      </c>
      <c r="U536" s="154">
        <f t="shared" si="53"/>
        <v>2.2969574674244422</v>
      </c>
    </row>
    <row r="537" spans="1:21" x14ac:dyDescent="0.35">
      <c r="A537" s="107">
        <v>1263</v>
      </c>
      <c r="B537" s="107">
        <v>2017</v>
      </c>
      <c r="C537" s="107" t="s">
        <v>9</v>
      </c>
      <c r="D537" s="107" t="s">
        <v>132</v>
      </c>
      <c r="E537" s="107" t="s">
        <v>10</v>
      </c>
      <c r="F537" s="115">
        <v>9</v>
      </c>
      <c r="G537" s="107" t="s">
        <v>33</v>
      </c>
      <c r="H537" s="107" t="str">
        <f t="shared" si="48"/>
        <v>Area 9: Admiralty Inlet</v>
      </c>
      <c r="I537" s="107" t="str">
        <f>IFERROR(VLOOKUP(H537,LUTs!$A$1:$C$73,2,FALSE),"NA")</f>
        <v>NA</v>
      </c>
      <c r="J537" s="107" t="str">
        <f>IFERROR(VLOOKUP(H537,LUTs!$A$1:$C$73,3,FALSE),"NA")</f>
        <v>2Central Puget Sound</v>
      </c>
      <c r="K537" s="107" t="s">
        <v>26</v>
      </c>
      <c r="L537" s="107" t="str">
        <f>VLOOKUP(K537,LUTs!E$2:G$14,3,)</f>
        <v>20Other</v>
      </c>
      <c r="M537" s="107" t="str">
        <f>VLOOKUP($K537,LUTs!$E$2:$H$14,2,)</f>
        <v>Non Puget Sound</v>
      </c>
      <c r="N537" s="107" t="str">
        <f>VLOOKUP($K537,LUTs!$E$2:$H$14,4,)</f>
        <v>07Non Puget Sound</v>
      </c>
      <c r="O537" s="107">
        <v>1237.8494318181799</v>
      </c>
      <c r="P537" s="107">
        <v>2843.2874959618798</v>
      </c>
      <c r="Q537" s="107">
        <f t="shared" si="49"/>
        <v>1237.8494318181799</v>
      </c>
      <c r="R537" s="107">
        <f t="shared" si="50"/>
        <v>2843.2874959618798</v>
      </c>
      <c r="S537" s="140" t="str">
        <f t="shared" si="51"/>
        <v>Y</v>
      </c>
      <c r="T537" s="154">
        <f t="shared" si="52"/>
        <v>2.2969574674244488</v>
      </c>
      <c r="U537" s="154">
        <f t="shared" si="53"/>
        <v>2.2969574674244488</v>
      </c>
    </row>
    <row r="538" spans="1:21" x14ac:dyDescent="0.35">
      <c r="A538" s="107">
        <v>2806</v>
      </c>
      <c r="B538" s="107">
        <v>2017</v>
      </c>
      <c r="C538" s="107" t="s">
        <v>9</v>
      </c>
      <c r="D538" s="107" t="s">
        <v>132</v>
      </c>
      <c r="E538" s="107" t="s">
        <v>10</v>
      </c>
      <c r="F538" s="115">
        <v>9</v>
      </c>
      <c r="G538" s="107" t="s">
        <v>33</v>
      </c>
      <c r="H538" s="107" t="str">
        <f t="shared" si="48"/>
        <v>Area 9: Admiralty Inlet</v>
      </c>
      <c r="I538" s="107" t="str">
        <f>IFERROR(VLOOKUP(H538,LUTs!$A$1:$C$73,2,FALSE),"NA")</f>
        <v>NA</v>
      </c>
      <c r="J538" s="107" t="str">
        <f>IFERROR(VLOOKUP(H538,LUTs!$A$1:$C$73,3,FALSE),"NA")</f>
        <v>2Central Puget Sound</v>
      </c>
      <c r="K538" s="107" t="s">
        <v>20</v>
      </c>
      <c r="L538" s="107" t="str">
        <f>VLOOKUP(K538,LUTs!E$2:G$14,3,)</f>
        <v>07Pierce</v>
      </c>
      <c r="M538" s="107" t="str">
        <f>VLOOKUP($K538,LUTs!$E$2:$H$14,2,)</f>
        <v>South Puget Sound</v>
      </c>
      <c r="N538" s="107" t="str">
        <f>VLOOKUP($K538,LUTs!$E$2:$H$14,4,)</f>
        <v>02South Puget Sound</v>
      </c>
      <c r="O538" s="107">
        <v>412.61647727272702</v>
      </c>
      <c r="P538" s="107">
        <v>947.76249865395903</v>
      </c>
      <c r="Q538" s="107">
        <f t="shared" si="49"/>
        <v>412.61647727272702</v>
      </c>
      <c r="R538" s="107">
        <f t="shared" si="50"/>
        <v>947.76249865395903</v>
      </c>
      <c r="S538" s="140" t="str">
        <f t="shared" si="51"/>
        <v>Y</v>
      </c>
      <c r="T538" s="154">
        <f t="shared" si="52"/>
        <v>2.2969574674244448</v>
      </c>
      <c r="U538" s="154">
        <f t="shared" si="53"/>
        <v>2.2969574674244448</v>
      </c>
    </row>
    <row r="539" spans="1:21" x14ac:dyDescent="0.35">
      <c r="A539" s="107">
        <v>2699</v>
      </c>
      <c r="B539" s="107">
        <v>2017</v>
      </c>
      <c r="C539" s="107" t="s">
        <v>9</v>
      </c>
      <c r="D539" s="107" t="s">
        <v>132</v>
      </c>
      <c r="E539" s="107" t="s">
        <v>10</v>
      </c>
      <c r="F539" s="115">
        <v>9</v>
      </c>
      <c r="G539" s="107" t="s">
        <v>33</v>
      </c>
      <c r="H539" s="107" t="str">
        <f t="shared" si="48"/>
        <v>Area 9: Admiralty Inlet</v>
      </c>
      <c r="I539" s="107" t="str">
        <f>IFERROR(VLOOKUP(H539,LUTs!$A$1:$C$73,2,FALSE),"NA")</f>
        <v>NA</v>
      </c>
      <c r="J539" s="107" t="str">
        <f>IFERROR(VLOOKUP(H539,LUTs!$A$1:$C$73,3,FALSE),"NA")</f>
        <v>2Central Puget Sound</v>
      </c>
      <c r="K539" s="107" t="s">
        <v>15</v>
      </c>
      <c r="L539" s="107" t="str">
        <f>VLOOKUP(K539,LUTs!E$2:G$14,3,)</f>
        <v>02Skagit</v>
      </c>
      <c r="M539" s="107" t="str">
        <f>VLOOKUP($K539,LUTs!$E$2:$H$14,2,)</f>
        <v>North Puget Sound</v>
      </c>
      <c r="N539" s="107" t="str">
        <f>VLOOKUP($K539,LUTs!$E$2:$H$14,4,)</f>
        <v>01North Puget Sound</v>
      </c>
      <c r="O539" s="107">
        <v>365.26704545454601</v>
      </c>
      <c r="P539" s="107">
        <v>839.00286766088095</v>
      </c>
      <c r="Q539" s="107">
        <f t="shared" si="49"/>
        <v>365.26704545454601</v>
      </c>
      <c r="R539" s="107">
        <f t="shared" si="50"/>
        <v>839.00286766088095</v>
      </c>
      <c r="S539" s="140" t="str">
        <f t="shared" si="51"/>
        <v>Y</v>
      </c>
      <c r="T539" s="154">
        <f t="shared" si="52"/>
        <v>2.2969574674244377</v>
      </c>
      <c r="U539" s="154">
        <f t="shared" si="53"/>
        <v>2.2969574674244377</v>
      </c>
    </row>
    <row r="540" spans="1:21" x14ac:dyDescent="0.35">
      <c r="A540" s="107">
        <v>2700</v>
      </c>
      <c r="B540" s="107">
        <v>2017</v>
      </c>
      <c r="C540" s="107" t="s">
        <v>9</v>
      </c>
      <c r="D540" s="107" t="s">
        <v>132</v>
      </c>
      <c r="E540" s="107" t="s">
        <v>10</v>
      </c>
      <c r="F540" s="115">
        <v>9</v>
      </c>
      <c r="G540" s="107" t="s">
        <v>33</v>
      </c>
      <c r="H540" s="107" t="str">
        <f t="shared" si="48"/>
        <v>Area 9: Admiralty Inlet</v>
      </c>
      <c r="I540" s="107" t="str">
        <f>IFERROR(VLOOKUP(H540,LUTs!$A$1:$C$73,2,FALSE),"NA")</f>
        <v>NA</v>
      </c>
      <c r="J540" s="107" t="str">
        <f>IFERROR(VLOOKUP(H540,LUTs!$A$1:$C$73,3,FALSE),"NA")</f>
        <v>2Central Puget Sound</v>
      </c>
      <c r="K540" s="107" t="s">
        <v>16</v>
      </c>
      <c r="L540" s="107" t="str">
        <f>VLOOKUP(K540,LUTs!E$2:G$14,3,)</f>
        <v>03Snohomish</v>
      </c>
      <c r="M540" s="107" t="str">
        <f>VLOOKUP($K540,LUTs!$E$2:$H$14,2,)</f>
        <v>North Puget Sound</v>
      </c>
      <c r="N540" s="107" t="str">
        <f>VLOOKUP($K540,LUTs!$E$2:$H$14,4,)</f>
        <v>01North Puget Sound</v>
      </c>
      <c r="O540" s="107">
        <v>3821.7755681818198</v>
      </c>
      <c r="P540" s="107">
        <v>8778.45593015552</v>
      </c>
      <c r="Q540" s="107">
        <f t="shared" si="49"/>
        <v>3821.7755681818198</v>
      </c>
      <c r="R540" s="107">
        <f t="shared" si="50"/>
        <v>8778.45593015552</v>
      </c>
      <c r="S540" s="140" t="str">
        <f t="shared" si="51"/>
        <v>Y</v>
      </c>
      <c r="T540" s="154">
        <f t="shared" si="52"/>
        <v>2.2969574674244417</v>
      </c>
      <c r="U540" s="154">
        <f t="shared" si="53"/>
        <v>2.2969574674244417</v>
      </c>
    </row>
    <row r="541" spans="1:21" x14ac:dyDescent="0.35">
      <c r="A541" s="107">
        <v>2807</v>
      </c>
      <c r="B541" s="107">
        <v>2017</v>
      </c>
      <c r="C541" s="107" t="s">
        <v>9</v>
      </c>
      <c r="D541" s="107" t="s">
        <v>132</v>
      </c>
      <c r="E541" s="107" t="s">
        <v>10</v>
      </c>
      <c r="F541" s="115">
        <v>9</v>
      </c>
      <c r="G541" s="107" t="s">
        <v>33</v>
      </c>
      <c r="H541" s="107" t="str">
        <f t="shared" si="48"/>
        <v>Area 9: Admiralty Inlet</v>
      </c>
      <c r="I541" s="107" t="str">
        <f>IFERROR(VLOOKUP(H541,LUTs!$A$1:$C$73,2,FALSE),"NA")</f>
        <v>NA</v>
      </c>
      <c r="J541" s="107" t="str">
        <f>IFERROR(VLOOKUP(H541,LUTs!$A$1:$C$73,3,FALSE),"NA")</f>
        <v>2Central Puget Sound</v>
      </c>
      <c r="K541" s="107" t="s">
        <v>21</v>
      </c>
      <c r="L541" s="107" t="str">
        <f>VLOOKUP(K541,LUTs!E$2:G$14,3,)</f>
        <v>08Thurston</v>
      </c>
      <c r="M541" s="107" t="str">
        <f>VLOOKUP($K541,LUTs!$E$2:$H$14,2,)</f>
        <v>South Puget Sound</v>
      </c>
      <c r="N541" s="107" t="str">
        <f>VLOOKUP($K541,LUTs!$E$2:$H$14,4,)</f>
        <v>02South Puget Sound</v>
      </c>
      <c r="O541" s="107">
        <v>60.877840909090899</v>
      </c>
      <c r="P541" s="107">
        <v>139.833811276814</v>
      </c>
      <c r="Q541" s="107">
        <f t="shared" si="49"/>
        <v>60.877840909090899</v>
      </c>
      <c r="R541" s="107">
        <f t="shared" si="50"/>
        <v>139.833811276814</v>
      </c>
      <c r="S541" s="140" t="str">
        <f t="shared" si="51"/>
        <v>Y</v>
      </c>
      <c r="T541" s="154">
        <f t="shared" si="52"/>
        <v>2.2969574674244497</v>
      </c>
      <c r="U541" s="154">
        <f t="shared" si="53"/>
        <v>2.2969574674244497</v>
      </c>
    </row>
    <row r="542" spans="1:21" x14ac:dyDescent="0.35">
      <c r="A542" s="107">
        <v>2575</v>
      </c>
      <c r="B542" s="107">
        <v>2017</v>
      </c>
      <c r="C542" s="107" t="s">
        <v>9</v>
      </c>
      <c r="D542" s="107" t="s">
        <v>132</v>
      </c>
      <c r="E542" s="107" t="s">
        <v>10</v>
      </c>
      <c r="F542" s="115">
        <v>9</v>
      </c>
      <c r="G542" s="107" t="s">
        <v>33</v>
      </c>
      <c r="H542" s="107" t="str">
        <f t="shared" si="48"/>
        <v>Area 9: Admiralty Inlet</v>
      </c>
      <c r="I542" s="107" t="str">
        <f>IFERROR(VLOOKUP(H542,LUTs!$A$1:$C$73,2,FALSE),"NA")</f>
        <v>NA</v>
      </c>
      <c r="J542" s="107" t="str">
        <f>IFERROR(VLOOKUP(H542,LUTs!$A$1:$C$73,3,FALSE),"NA")</f>
        <v>2Central Puget Sound</v>
      </c>
      <c r="K542" s="107" t="s">
        <v>13</v>
      </c>
      <c r="L542" s="107" t="str">
        <f>VLOOKUP(K542,LUTs!E$2:G$14,3,)</f>
        <v>01Whatcom</v>
      </c>
      <c r="M542" s="107" t="str">
        <f>VLOOKUP($K542,LUTs!$E$2:$H$14,2,)</f>
        <v>North Puget Sound</v>
      </c>
      <c r="N542" s="107" t="str">
        <f>VLOOKUP($K542,LUTs!$E$2:$H$14,4,)</f>
        <v>01North Puget Sound</v>
      </c>
      <c r="O542" s="107">
        <v>108.227272727273</v>
      </c>
      <c r="P542" s="107">
        <v>248.593442269891</v>
      </c>
      <c r="Q542" s="107">
        <f t="shared" si="49"/>
        <v>108.227272727273</v>
      </c>
      <c r="R542" s="107">
        <f t="shared" si="50"/>
        <v>248.593442269891</v>
      </c>
      <c r="S542" s="140" t="str">
        <f t="shared" si="51"/>
        <v>Y</v>
      </c>
      <c r="T542" s="154">
        <f t="shared" si="52"/>
        <v>2.2969574674244386</v>
      </c>
      <c r="U542" s="154">
        <f t="shared" si="53"/>
        <v>2.2969574674244386</v>
      </c>
    </row>
    <row r="543" spans="1:21" x14ac:dyDescent="0.35">
      <c r="A543" s="107">
        <v>1645</v>
      </c>
      <c r="B543" s="107">
        <v>2018</v>
      </c>
      <c r="C543" s="107" t="s">
        <v>9</v>
      </c>
      <c r="D543" s="107" t="s">
        <v>132</v>
      </c>
      <c r="E543" s="107" t="s">
        <v>10</v>
      </c>
      <c r="F543" s="115">
        <v>9</v>
      </c>
      <c r="G543" s="107" t="s">
        <v>33</v>
      </c>
      <c r="H543" s="107" t="str">
        <f t="shared" si="48"/>
        <v>Area 9: Admiralty Inlet</v>
      </c>
      <c r="I543" s="107" t="str">
        <f>IFERROR(VLOOKUP(H543,LUTs!$A$1:$C$73,2,FALSE),"NA")</f>
        <v>NA</v>
      </c>
      <c r="J543" s="107" t="str">
        <f>IFERROR(VLOOKUP(H543,LUTs!$A$1:$C$73,3,FALSE),"NA")</f>
        <v>2Central Puget Sound</v>
      </c>
      <c r="K543" s="107" t="s">
        <v>24</v>
      </c>
      <c r="L543" s="107" t="str">
        <f>VLOOKUP(K543,LUTs!E$2:G$14,3,)</f>
        <v>11Clallam</v>
      </c>
      <c r="M543" s="107" t="str">
        <f>VLOOKUP($K543,LUTs!$E$2:$H$14,2,)</f>
        <v>Strait of Juan de Fuca</v>
      </c>
      <c r="N543" s="107" t="str">
        <f>VLOOKUP($K543,LUTs!$E$2:$H$14,4,)</f>
        <v>03Strait of Juan de Fuca</v>
      </c>
      <c r="O543" s="107">
        <v>134.11170212766001</v>
      </c>
      <c r="P543" s="107">
        <v>314.59138513581701</v>
      </c>
      <c r="Q543" s="107">
        <f t="shared" si="49"/>
        <v>134.11170212766001</v>
      </c>
      <c r="R543" s="107">
        <f t="shared" si="50"/>
        <v>314.59138513581701</v>
      </c>
      <c r="S543" s="140" t="str">
        <f t="shared" si="51"/>
        <v>Y</v>
      </c>
      <c r="T543" s="154">
        <f t="shared" si="52"/>
        <v>2.3457414986528144</v>
      </c>
      <c r="U543" s="154">
        <f t="shared" si="53"/>
        <v>2.3457414986528144</v>
      </c>
    </row>
    <row r="544" spans="1:21" x14ac:dyDescent="0.35">
      <c r="A544" s="107">
        <v>1477</v>
      </c>
      <c r="B544" s="107">
        <v>2018</v>
      </c>
      <c r="C544" s="107" t="s">
        <v>9</v>
      </c>
      <c r="D544" s="107" t="s">
        <v>132</v>
      </c>
      <c r="E544" s="107" t="s">
        <v>10</v>
      </c>
      <c r="F544" s="115">
        <v>9</v>
      </c>
      <c r="G544" s="107" t="s">
        <v>33</v>
      </c>
      <c r="H544" s="107" t="str">
        <f t="shared" si="48"/>
        <v>Area 9: Admiralty Inlet</v>
      </c>
      <c r="I544" s="107" t="str">
        <f>IFERROR(VLOOKUP(H544,LUTs!$A$1:$C$73,2,FALSE),"NA")</f>
        <v>NA</v>
      </c>
      <c r="J544" s="107" t="str">
        <f>IFERROR(VLOOKUP(H544,LUTs!$A$1:$C$73,3,FALSE),"NA")</f>
        <v>2Central Puget Sound</v>
      </c>
      <c r="K544" s="107" t="s">
        <v>17</v>
      </c>
      <c r="L544" s="107" t="str">
        <f>VLOOKUP(K544,LUTs!E$2:G$14,3,)</f>
        <v>04Island</v>
      </c>
      <c r="M544" s="107" t="str">
        <f>VLOOKUP($K544,LUTs!$E$2:$H$14,2,)</f>
        <v>North Puget Sound</v>
      </c>
      <c r="N544" s="107" t="str">
        <f>VLOOKUP($K544,LUTs!$E$2:$H$14,4,)</f>
        <v>01North Puget Sound</v>
      </c>
      <c r="O544" s="107">
        <v>1672.8670212766001</v>
      </c>
      <c r="P544" s="107">
        <v>3924.1135935362399</v>
      </c>
      <c r="Q544" s="107">
        <f t="shared" si="49"/>
        <v>1672.8670212766001</v>
      </c>
      <c r="R544" s="107">
        <f t="shared" si="50"/>
        <v>3924.1135935362399</v>
      </c>
      <c r="S544" s="140" t="str">
        <f t="shared" si="51"/>
        <v>Y</v>
      </c>
      <c r="T544" s="154">
        <f t="shared" si="52"/>
        <v>2.3457414986528136</v>
      </c>
      <c r="U544" s="154">
        <f t="shared" si="53"/>
        <v>2.3457414986528136</v>
      </c>
    </row>
    <row r="545" spans="1:21" x14ac:dyDescent="0.35">
      <c r="A545" s="107">
        <v>1646</v>
      </c>
      <c r="B545" s="107">
        <v>2018</v>
      </c>
      <c r="C545" s="107" t="s">
        <v>9</v>
      </c>
      <c r="D545" s="107" t="s">
        <v>132</v>
      </c>
      <c r="E545" s="107" t="s">
        <v>10</v>
      </c>
      <c r="F545" s="115">
        <v>9</v>
      </c>
      <c r="G545" s="107" t="s">
        <v>33</v>
      </c>
      <c r="H545" s="107" t="str">
        <f t="shared" si="48"/>
        <v>Area 9: Admiralty Inlet</v>
      </c>
      <c r="I545" s="107" t="str">
        <f>IFERROR(VLOOKUP(H545,LUTs!$A$1:$C$73,2,FALSE),"NA")</f>
        <v>NA</v>
      </c>
      <c r="J545" s="107" t="str">
        <f>IFERROR(VLOOKUP(H545,LUTs!$A$1:$C$73,3,FALSE),"NA")</f>
        <v>2Central Puget Sound</v>
      </c>
      <c r="K545" s="107" t="s">
        <v>25</v>
      </c>
      <c r="L545" s="107" t="str">
        <f>VLOOKUP(K545,LUTs!E$2:G$14,3,)</f>
        <v>12Jefferson</v>
      </c>
      <c r="M545" s="107" t="str">
        <f>VLOOKUP($K545,LUTs!$E$2:$H$14,2,)</f>
        <v>Strait of Juan de Fuca</v>
      </c>
      <c r="N545" s="107" t="str">
        <f>VLOOKUP($K545,LUTs!$E$2:$H$14,4,)</f>
        <v>03Strait of Juan de Fuca</v>
      </c>
      <c r="O545" s="107">
        <v>1277.5904255319199</v>
      </c>
      <c r="P545" s="107">
        <v>2996.89687945173</v>
      </c>
      <c r="Q545" s="107">
        <f t="shared" si="49"/>
        <v>1277.5904255319199</v>
      </c>
      <c r="R545" s="107">
        <f t="shared" si="50"/>
        <v>2996.89687945173</v>
      </c>
      <c r="S545" s="140" t="str">
        <f t="shared" si="51"/>
        <v>Y</v>
      </c>
      <c r="T545" s="154">
        <f t="shared" si="52"/>
        <v>2.3457414986528122</v>
      </c>
      <c r="U545" s="154">
        <f t="shared" si="53"/>
        <v>2.3457414986528122</v>
      </c>
    </row>
    <row r="546" spans="1:21" x14ac:dyDescent="0.35">
      <c r="A546" s="107">
        <v>1640</v>
      </c>
      <c r="B546" s="107">
        <v>2018</v>
      </c>
      <c r="C546" s="107" t="s">
        <v>9</v>
      </c>
      <c r="D546" s="107" t="s">
        <v>132</v>
      </c>
      <c r="E546" s="107" t="s">
        <v>10</v>
      </c>
      <c r="F546" s="115">
        <v>9</v>
      </c>
      <c r="G546" s="107" t="s">
        <v>33</v>
      </c>
      <c r="H546" s="107" t="str">
        <f t="shared" si="48"/>
        <v>Area 9: Admiralty Inlet</v>
      </c>
      <c r="I546" s="107" t="str">
        <f>IFERROR(VLOOKUP(H546,LUTs!$A$1:$C$73,2,FALSE),"NA")</f>
        <v>NA</v>
      </c>
      <c r="J546" s="107" t="str">
        <f>IFERROR(VLOOKUP(H546,LUTs!$A$1:$C$73,3,FALSE),"NA")</f>
        <v>2Central Puget Sound</v>
      </c>
      <c r="K546" s="107" t="s">
        <v>18</v>
      </c>
      <c r="L546" s="107" t="str">
        <f>VLOOKUP(K546,LUTs!E$2:G$14,3,)</f>
        <v>06King</v>
      </c>
      <c r="M546" s="107" t="str">
        <f>VLOOKUP($K546,LUTs!$E$2:$H$14,2,)</f>
        <v>South Puget Sound</v>
      </c>
      <c r="N546" s="107" t="str">
        <f>VLOOKUP($K546,LUTs!$E$2:$H$14,4,)</f>
        <v>02South Puget Sound</v>
      </c>
      <c r="O546" s="107">
        <v>3522.19680851064</v>
      </c>
      <c r="P546" s="107">
        <v>8262.1632201459306</v>
      </c>
      <c r="Q546" s="107">
        <f t="shared" si="49"/>
        <v>3522.19680851064</v>
      </c>
      <c r="R546" s="107">
        <f t="shared" si="50"/>
        <v>8262.1632201459306</v>
      </c>
      <c r="S546" s="140" t="str">
        <f t="shared" si="51"/>
        <v>Y</v>
      </c>
      <c r="T546" s="154">
        <f t="shared" si="52"/>
        <v>2.3457414986528207</v>
      </c>
      <c r="U546" s="154">
        <f t="shared" si="53"/>
        <v>2.3457414986528207</v>
      </c>
    </row>
    <row r="547" spans="1:21" x14ac:dyDescent="0.35">
      <c r="A547" s="107">
        <v>1644</v>
      </c>
      <c r="B547" s="107">
        <v>2018</v>
      </c>
      <c r="C547" s="107" t="s">
        <v>9</v>
      </c>
      <c r="D547" s="107" t="s">
        <v>132</v>
      </c>
      <c r="E547" s="107" t="s">
        <v>10</v>
      </c>
      <c r="F547" s="115">
        <v>9</v>
      </c>
      <c r="G547" s="107" t="s">
        <v>33</v>
      </c>
      <c r="H547" s="107" t="str">
        <f t="shared" si="48"/>
        <v>Area 9: Admiralty Inlet</v>
      </c>
      <c r="I547" s="107" t="str">
        <f>IFERROR(VLOOKUP(H547,LUTs!$A$1:$C$73,2,FALSE),"NA")</f>
        <v>NA</v>
      </c>
      <c r="J547" s="107" t="str">
        <f>IFERROR(VLOOKUP(H547,LUTs!$A$1:$C$73,3,FALSE),"NA")</f>
        <v>2Central Puget Sound</v>
      </c>
      <c r="K547" s="107" t="s">
        <v>23</v>
      </c>
      <c r="L547" s="107" t="str">
        <f>VLOOKUP(K547,LUTs!E$2:G$14,3,)</f>
        <v>10Kitsap</v>
      </c>
      <c r="M547" s="107" t="str">
        <f>VLOOKUP($K547,LUTs!$E$2:$H$14,2,)</f>
        <v>South Puget Sound</v>
      </c>
      <c r="N547" s="107" t="str">
        <f>VLOOKUP($K547,LUTs!$E$2:$H$14,4,)</f>
        <v>02South Puget Sound</v>
      </c>
      <c r="O547" s="107">
        <v>2308.1329787233999</v>
      </c>
      <c r="P547" s="107">
        <v>5414.2833126006399</v>
      </c>
      <c r="Q547" s="107">
        <f t="shared" si="49"/>
        <v>2308.1329787233999</v>
      </c>
      <c r="R547" s="107">
        <f t="shared" si="50"/>
        <v>5414.2833126006399</v>
      </c>
      <c r="S547" s="140" t="str">
        <f t="shared" si="51"/>
        <v>Y</v>
      </c>
      <c r="T547" s="154">
        <f t="shared" si="52"/>
        <v>2.345741498652826</v>
      </c>
      <c r="U547" s="154">
        <f t="shared" si="53"/>
        <v>2.345741498652826</v>
      </c>
    </row>
    <row r="548" spans="1:21" x14ac:dyDescent="0.35">
      <c r="A548" s="107">
        <v>1643</v>
      </c>
      <c r="B548" s="107">
        <v>2018</v>
      </c>
      <c r="C548" s="107" t="s">
        <v>9</v>
      </c>
      <c r="D548" s="107" t="s">
        <v>132</v>
      </c>
      <c r="E548" s="107" t="s">
        <v>10</v>
      </c>
      <c r="F548" s="115">
        <v>9</v>
      </c>
      <c r="G548" s="107" t="s">
        <v>33</v>
      </c>
      <c r="H548" s="107" t="str">
        <f t="shared" si="48"/>
        <v>Area 9: Admiralty Inlet</v>
      </c>
      <c r="I548" s="107" t="str">
        <f>IFERROR(VLOOKUP(H548,LUTs!$A$1:$C$73,2,FALSE),"NA")</f>
        <v>NA</v>
      </c>
      <c r="J548" s="107" t="str">
        <f>IFERROR(VLOOKUP(H548,LUTs!$A$1:$C$73,3,FALSE),"NA")</f>
        <v>2Central Puget Sound</v>
      </c>
      <c r="K548" s="107" t="s">
        <v>22</v>
      </c>
      <c r="L548" s="107" t="str">
        <f>VLOOKUP(K548,LUTs!E$2:G$14,3,)</f>
        <v>09Mason</v>
      </c>
      <c r="M548" s="107" t="str">
        <f>VLOOKUP($K548,LUTs!$E$2:$H$14,2,)</f>
        <v>South Puget Sound</v>
      </c>
      <c r="N548" s="107" t="str">
        <f>VLOOKUP($K548,LUTs!$E$2:$H$14,4,)</f>
        <v>02South Puget Sound</v>
      </c>
      <c r="O548" s="107">
        <v>77.643617021276597</v>
      </c>
      <c r="P548" s="107">
        <v>182.13185455231499</v>
      </c>
      <c r="Q548" s="107">
        <f t="shared" si="49"/>
        <v>77.643617021276597</v>
      </c>
      <c r="R548" s="107">
        <f t="shared" si="50"/>
        <v>182.13185455231499</v>
      </c>
      <c r="S548" s="140" t="str">
        <f t="shared" si="51"/>
        <v>Y</v>
      </c>
      <c r="T548" s="154">
        <f t="shared" si="52"/>
        <v>2.3457414986528202</v>
      </c>
      <c r="U548" s="154">
        <f t="shared" si="53"/>
        <v>2.3457414986528202</v>
      </c>
    </row>
    <row r="549" spans="1:21" x14ac:dyDescent="0.35">
      <c r="A549" s="107">
        <v>1647</v>
      </c>
      <c r="B549" s="107">
        <v>2018</v>
      </c>
      <c r="C549" s="107" t="s">
        <v>9</v>
      </c>
      <c r="D549" s="107" t="s">
        <v>132</v>
      </c>
      <c r="E549" s="107" t="s">
        <v>10</v>
      </c>
      <c r="F549" s="115">
        <v>9</v>
      </c>
      <c r="G549" s="107" t="s">
        <v>33</v>
      </c>
      <c r="H549" s="107" t="str">
        <f t="shared" si="48"/>
        <v>Area 9: Admiralty Inlet</v>
      </c>
      <c r="I549" s="107" t="str">
        <f>IFERROR(VLOOKUP(H549,LUTs!$A$1:$C$73,2,FALSE),"NA")</f>
        <v>NA</v>
      </c>
      <c r="J549" s="107" t="str">
        <f>IFERROR(VLOOKUP(H549,LUTs!$A$1:$C$73,3,FALSE),"NA")</f>
        <v>2Central Puget Sound</v>
      </c>
      <c r="K549" s="107" t="s">
        <v>26</v>
      </c>
      <c r="L549" s="107" t="str">
        <f>VLOOKUP(K549,LUTs!E$2:G$14,3,)</f>
        <v>20Other</v>
      </c>
      <c r="M549" s="107" t="str">
        <f>VLOOKUP($K549,LUTs!$E$2:$H$14,2,)</f>
        <v>Non Puget Sound</v>
      </c>
      <c r="N549" s="107" t="str">
        <f>VLOOKUP($K549,LUTs!$E$2:$H$14,4,)</f>
        <v>07Non Puget Sound</v>
      </c>
      <c r="O549" s="107">
        <v>1446.9946808510599</v>
      </c>
      <c r="P549" s="107">
        <v>3394.2754712022402</v>
      </c>
      <c r="Q549" s="107">
        <f t="shared" si="49"/>
        <v>1446.9946808510599</v>
      </c>
      <c r="R549" s="107">
        <f t="shared" si="50"/>
        <v>3394.2754712022402</v>
      </c>
      <c r="S549" s="140" t="str">
        <f t="shared" si="51"/>
        <v>Y</v>
      </c>
      <c r="T549" s="154">
        <f t="shared" si="52"/>
        <v>2.3457414986528309</v>
      </c>
      <c r="U549" s="154">
        <f t="shared" si="53"/>
        <v>2.3457414986528309</v>
      </c>
    </row>
    <row r="550" spans="1:21" x14ac:dyDescent="0.35">
      <c r="A550" s="107">
        <v>1641</v>
      </c>
      <c r="B550" s="107">
        <v>2018</v>
      </c>
      <c r="C550" s="107" t="s">
        <v>9</v>
      </c>
      <c r="D550" s="107" t="s">
        <v>132</v>
      </c>
      <c r="E550" s="107" t="s">
        <v>10</v>
      </c>
      <c r="F550" s="115">
        <v>9</v>
      </c>
      <c r="G550" s="107" t="s">
        <v>33</v>
      </c>
      <c r="H550" s="107" t="str">
        <f t="shared" si="48"/>
        <v>Area 9: Admiralty Inlet</v>
      </c>
      <c r="I550" s="107" t="str">
        <f>IFERROR(VLOOKUP(H550,LUTs!$A$1:$C$73,2,FALSE),"NA")</f>
        <v>NA</v>
      </c>
      <c r="J550" s="107" t="str">
        <f>IFERROR(VLOOKUP(H550,LUTs!$A$1:$C$73,3,FALSE),"NA")</f>
        <v>2Central Puget Sound</v>
      </c>
      <c r="K550" s="107" t="s">
        <v>20</v>
      </c>
      <c r="L550" s="107" t="str">
        <f>VLOOKUP(K550,LUTs!E$2:G$14,3,)</f>
        <v>07Pierce</v>
      </c>
      <c r="M550" s="107" t="str">
        <f>VLOOKUP($K550,LUTs!$E$2:$H$14,2,)</f>
        <v>South Puget Sound</v>
      </c>
      <c r="N550" s="107" t="str">
        <f>VLOOKUP($K550,LUTs!$E$2:$H$14,4,)</f>
        <v>02South Puget Sound</v>
      </c>
      <c r="O550" s="107">
        <v>359.98404255319201</v>
      </c>
      <c r="P550" s="107">
        <v>844.42950746982501</v>
      </c>
      <c r="Q550" s="107">
        <f t="shared" si="49"/>
        <v>359.98404255319201</v>
      </c>
      <c r="R550" s="107">
        <f t="shared" si="50"/>
        <v>844.42950746982501</v>
      </c>
      <c r="S550" s="140" t="str">
        <f t="shared" si="51"/>
        <v>Y</v>
      </c>
      <c r="T550" s="154">
        <f t="shared" si="52"/>
        <v>2.3457414986528198</v>
      </c>
      <c r="U550" s="154">
        <f t="shared" si="53"/>
        <v>2.3457414986528198</v>
      </c>
    </row>
    <row r="551" spans="1:21" x14ac:dyDescent="0.35">
      <c r="A551" s="107">
        <v>1478</v>
      </c>
      <c r="B551" s="107">
        <v>2018</v>
      </c>
      <c r="C551" s="107" t="s">
        <v>9</v>
      </c>
      <c r="D551" s="107" t="s">
        <v>132</v>
      </c>
      <c r="E551" s="107" t="s">
        <v>10</v>
      </c>
      <c r="F551" s="115">
        <v>9</v>
      </c>
      <c r="G551" s="107" t="s">
        <v>33</v>
      </c>
      <c r="H551" s="107" t="str">
        <f t="shared" si="48"/>
        <v>Area 9: Admiralty Inlet</v>
      </c>
      <c r="I551" s="107" t="str">
        <f>IFERROR(VLOOKUP(H551,LUTs!$A$1:$C$73,2,FALSE),"NA")</f>
        <v>NA</v>
      </c>
      <c r="J551" s="107" t="str">
        <f>IFERROR(VLOOKUP(H551,LUTs!$A$1:$C$73,3,FALSE),"NA")</f>
        <v>2Central Puget Sound</v>
      </c>
      <c r="K551" s="107" t="s">
        <v>30</v>
      </c>
      <c r="L551" s="107" t="str">
        <f>VLOOKUP(K551,LUTs!E$2:G$14,3,)</f>
        <v>05San Juan</v>
      </c>
      <c r="M551" s="107" t="str">
        <f>VLOOKUP($K551,LUTs!$E$2:$H$14,2,)</f>
        <v>North Puget Sound</v>
      </c>
      <c r="N551" s="107" t="str">
        <f>VLOOKUP($K551,LUTs!$E$2:$H$14,4,)</f>
        <v>01North Puget Sound</v>
      </c>
      <c r="O551" s="107">
        <v>14.1170212765957</v>
      </c>
      <c r="P551" s="107">
        <v>33.114882645875497</v>
      </c>
      <c r="Q551" s="107">
        <f t="shared" si="49"/>
        <v>14.1170212765957</v>
      </c>
      <c r="R551" s="107">
        <f t="shared" si="50"/>
        <v>33.114882645875497</v>
      </c>
      <c r="S551" s="140" t="str">
        <f t="shared" si="51"/>
        <v>Y</v>
      </c>
      <c r="T551" s="154">
        <f t="shared" si="52"/>
        <v>2.3457414986528309</v>
      </c>
      <c r="U551" s="154">
        <f t="shared" si="53"/>
        <v>2.3457414986528309</v>
      </c>
    </row>
    <row r="552" spans="1:21" x14ac:dyDescent="0.35">
      <c r="A552" s="107">
        <v>1475</v>
      </c>
      <c r="B552" s="107">
        <v>2018</v>
      </c>
      <c r="C552" s="107" t="s">
        <v>9</v>
      </c>
      <c r="D552" s="107" t="s">
        <v>132</v>
      </c>
      <c r="E552" s="107" t="s">
        <v>10</v>
      </c>
      <c r="F552" s="115">
        <v>9</v>
      </c>
      <c r="G552" s="107" t="s">
        <v>33</v>
      </c>
      <c r="H552" s="107" t="str">
        <f t="shared" si="48"/>
        <v>Area 9: Admiralty Inlet</v>
      </c>
      <c r="I552" s="107" t="str">
        <f>IFERROR(VLOOKUP(H552,LUTs!$A$1:$C$73,2,FALSE),"NA")</f>
        <v>NA</v>
      </c>
      <c r="J552" s="107" t="str">
        <f>IFERROR(VLOOKUP(H552,LUTs!$A$1:$C$73,3,FALSE),"NA")</f>
        <v>2Central Puget Sound</v>
      </c>
      <c r="K552" s="107" t="s">
        <v>15</v>
      </c>
      <c r="L552" s="107" t="str">
        <f>VLOOKUP(K552,LUTs!E$2:G$14,3,)</f>
        <v>02Skagit</v>
      </c>
      <c r="M552" s="107" t="str">
        <f>VLOOKUP($K552,LUTs!$E$2:$H$14,2,)</f>
        <v>North Puget Sound</v>
      </c>
      <c r="N552" s="107" t="str">
        <f>VLOOKUP($K552,LUTs!$E$2:$H$14,4,)</f>
        <v>01North Puget Sound</v>
      </c>
      <c r="O552" s="107">
        <v>310.57446808510599</v>
      </c>
      <c r="P552" s="107">
        <v>728.52741820925996</v>
      </c>
      <c r="Q552" s="107">
        <f t="shared" si="49"/>
        <v>310.57446808510599</v>
      </c>
      <c r="R552" s="107">
        <f t="shared" si="50"/>
        <v>728.52741820925996</v>
      </c>
      <c r="S552" s="140" t="str">
        <f t="shared" si="51"/>
        <v>Y</v>
      </c>
      <c r="T552" s="154">
        <f t="shared" si="52"/>
        <v>2.3457414986528233</v>
      </c>
      <c r="U552" s="154">
        <f t="shared" si="53"/>
        <v>2.3457414986528233</v>
      </c>
    </row>
    <row r="553" spans="1:21" x14ac:dyDescent="0.35">
      <c r="A553" s="107">
        <v>1476</v>
      </c>
      <c r="B553" s="107">
        <v>2018</v>
      </c>
      <c r="C553" s="107" t="s">
        <v>9</v>
      </c>
      <c r="D553" s="107" t="s">
        <v>132</v>
      </c>
      <c r="E553" s="107" t="s">
        <v>10</v>
      </c>
      <c r="F553" s="115">
        <v>9</v>
      </c>
      <c r="G553" s="107" t="s">
        <v>33</v>
      </c>
      <c r="H553" s="107" t="str">
        <f t="shared" si="48"/>
        <v>Area 9: Admiralty Inlet</v>
      </c>
      <c r="I553" s="107" t="str">
        <f>IFERROR(VLOOKUP(H553,LUTs!$A$1:$C$73,2,FALSE),"NA")</f>
        <v>NA</v>
      </c>
      <c r="J553" s="107" t="str">
        <f>IFERROR(VLOOKUP(H553,LUTs!$A$1:$C$73,3,FALSE),"NA")</f>
        <v>2Central Puget Sound</v>
      </c>
      <c r="K553" s="107" t="s">
        <v>16</v>
      </c>
      <c r="L553" s="107" t="str">
        <f>VLOOKUP(K553,LUTs!E$2:G$14,3,)</f>
        <v>03Snohomish</v>
      </c>
      <c r="M553" s="107" t="str">
        <f>VLOOKUP($K553,LUTs!$E$2:$H$14,2,)</f>
        <v>North Puget Sound</v>
      </c>
      <c r="N553" s="107" t="str">
        <f>VLOOKUP($K553,LUTs!$E$2:$H$14,4,)</f>
        <v>01North Puget Sound</v>
      </c>
      <c r="O553" s="107">
        <v>4602.1489361702097</v>
      </c>
      <c r="P553" s="107">
        <v>10795.4517425554</v>
      </c>
      <c r="Q553" s="107">
        <f t="shared" si="49"/>
        <v>4602.1489361702097</v>
      </c>
      <c r="R553" s="107">
        <f t="shared" si="50"/>
        <v>10795.4517425554</v>
      </c>
      <c r="S553" s="140" t="str">
        <f t="shared" si="51"/>
        <v>Y</v>
      </c>
      <c r="T553" s="154">
        <f t="shared" si="52"/>
        <v>2.3457414986528224</v>
      </c>
      <c r="U553" s="154">
        <f t="shared" si="53"/>
        <v>2.3457414986528224</v>
      </c>
    </row>
    <row r="554" spans="1:21" x14ac:dyDescent="0.35">
      <c r="A554" s="107">
        <v>1642</v>
      </c>
      <c r="B554" s="107">
        <v>2018</v>
      </c>
      <c r="C554" s="107" t="s">
        <v>9</v>
      </c>
      <c r="D554" s="107" t="s">
        <v>132</v>
      </c>
      <c r="E554" s="107" t="s">
        <v>10</v>
      </c>
      <c r="F554" s="115">
        <v>9</v>
      </c>
      <c r="G554" s="107" t="s">
        <v>33</v>
      </c>
      <c r="H554" s="107" t="str">
        <f t="shared" si="48"/>
        <v>Area 9: Admiralty Inlet</v>
      </c>
      <c r="I554" s="107" t="str">
        <f>IFERROR(VLOOKUP(H554,LUTs!$A$1:$C$73,2,FALSE),"NA")</f>
        <v>NA</v>
      </c>
      <c r="J554" s="107" t="str">
        <f>IFERROR(VLOOKUP(H554,LUTs!$A$1:$C$73,3,FALSE),"NA")</f>
        <v>2Central Puget Sound</v>
      </c>
      <c r="K554" s="107" t="s">
        <v>21</v>
      </c>
      <c r="L554" s="107" t="str">
        <f>VLOOKUP(K554,LUTs!E$2:G$14,3,)</f>
        <v>08Thurston</v>
      </c>
      <c r="M554" s="107" t="str">
        <f>VLOOKUP($K554,LUTs!$E$2:$H$14,2,)</f>
        <v>South Puget Sound</v>
      </c>
      <c r="N554" s="107" t="str">
        <f>VLOOKUP($K554,LUTs!$E$2:$H$14,4,)</f>
        <v>02South Puget Sound</v>
      </c>
      <c r="O554" s="107">
        <v>56.468085106383</v>
      </c>
      <c r="P554" s="107">
        <v>132.45953058350199</v>
      </c>
      <c r="Q554" s="107">
        <f t="shared" si="49"/>
        <v>56.468085106383</v>
      </c>
      <c r="R554" s="107">
        <f t="shared" si="50"/>
        <v>132.45953058350199</v>
      </c>
      <c r="S554" s="140" t="str">
        <f t="shared" si="51"/>
        <v>Y</v>
      </c>
      <c r="T554" s="154">
        <f t="shared" si="52"/>
        <v>2.3457414986528224</v>
      </c>
      <c r="U554" s="154">
        <f t="shared" si="53"/>
        <v>2.3457414986528224</v>
      </c>
    </row>
    <row r="555" spans="1:21" x14ac:dyDescent="0.35">
      <c r="A555" s="107">
        <v>1474</v>
      </c>
      <c r="B555" s="107">
        <v>2018</v>
      </c>
      <c r="C555" s="107" t="s">
        <v>9</v>
      </c>
      <c r="D555" s="107" t="s">
        <v>132</v>
      </c>
      <c r="E555" s="107" t="s">
        <v>10</v>
      </c>
      <c r="F555" s="115">
        <v>9</v>
      </c>
      <c r="G555" s="107" t="s">
        <v>33</v>
      </c>
      <c r="H555" s="107" t="str">
        <f t="shared" si="48"/>
        <v>Area 9: Admiralty Inlet</v>
      </c>
      <c r="I555" s="107" t="str">
        <f>IFERROR(VLOOKUP(H555,LUTs!$A$1:$C$73,2,FALSE),"NA")</f>
        <v>NA</v>
      </c>
      <c r="J555" s="107" t="str">
        <f>IFERROR(VLOOKUP(H555,LUTs!$A$1:$C$73,3,FALSE),"NA")</f>
        <v>2Central Puget Sound</v>
      </c>
      <c r="K555" s="107" t="s">
        <v>13</v>
      </c>
      <c r="L555" s="107" t="str">
        <f>VLOOKUP(K555,LUTs!E$2:G$14,3,)</f>
        <v>01Whatcom</v>
      </c>
      <c r="M555" s="107" t="str">
        <f>VLOOKUP($K555,LUTs!$E$2:$H$14,2,)</f>
        <v>North Puget Sound</v>
      </c>
      <c r="N555" s="107" t="str">
        <f>VLOOKUP($K555,LUTs!$E$2:$H$14,4,)</f>
        <v>01North Puget Sound</v>
      </c>
      <c r="O555" s="107">
        <v>141.17021276595699</v>
      </c>
      <c r="P555" s="107">
        <v>331.14882645875502</v>
      </c>
      <c r="Q555" s="107">
        <f t="shared" si="49"/>
        <v>141.17021276595699</v>
      </c>
      <c r="R555" s="107">
        <f t="shared" si="50"/>
        <v>331.14882645875502</v>
      </c>
      <c r="S555" s="140" t="str">
        <f t="shared" si="51"/>
        <v>Y</v>
      </c>
      <c r="T555" s="154">
        <f t="shared" si="52"/>
        <v>2.3457414986528313</v>
      </c>
      <c r="U555" s="154">
        <f t="shared" si="53"/>
        <v>2.3457414986528313</v>
      </c>
    </row>
    <row r="556" spans="1:21" x14ac:dyDescent="0.35">
      <c r="A556" s="107">
        <v>2119</v>
      </c>
      <c r="B556" s="107">
        <v>2019</v>
      </c>
      <c r="C556" s="107" t="s">
        <v>9</v>
      </c>
      <c r="D556" s="107" t="s">
        <v>132</v>
      </c>
      <c r="E556" s="107" t="s">
        <v>10</v>
      </c>
      <c r="F556" s="115">
        <v>9</v>
      </c>
      <c r="G556" s="107" t="s">
        <v>33</v>
      </c>
      <c r="H556" s="107" t="str">
        <f t="shared" si="48"/>
        <v>Area 9: Admiralty Inlet</v>
      </c>
      <c r="I556" s="107" t="str">
        <f>IFERROR(VLOOKUP(H556,LUTs!$A$1:$C$73,2,FALSE),"NA")</f>
        <v>NA</v>
      </c>
      <c r="J556" s="107" t="str">
        <f>IFERROR(VLOOKUP(H556,LUTs!$A$1:$C$73,3,FALSE),"NA")</f>
        <v>2Central Puget Sound</v>
      </c>
      <c r="K556" s="107" t="s">
        <v>24</v>
      </c>
      <c r="L556" s="107" t="str">
        <f>VLOOKUP(K556,LUTs!E$2:G$14,3,)</f>
        <v>11Clallam</v>
      </c>
      <c r="M556" s="107" t="str">
        <f>VLOOKUP($K556,LUTs!$E$2:$H$14,2,)</f>
        <v>Strait of Juan de Fuca</v>
      </c>
      <c r="N556" s="107" t="str">
        <f>VLOOKUP($K556,LUTs!$E$2:$H$14,4,)</f>
        <v>03Strait of Juan de Fuca</v>
      </c>
      <c r="O556" s="107">
        <v>103.544251041922</v>
      </c>
      <c r="P556" s="107">
        <v>151.095141434076</v>
      </c>
      <c r="Q556" s="107">
        <f t="shared" si="49"/>
        <v>103.544251041922</v>
      </c>
      <c r="R556" s="107">
        <f t="shared" si="50"/>
        <v>151.095141434076</v>
      </c>
      <c r="S556" s="140" t="str">
        <f t="shared" si="51"/>
        <v>Y</v>
      </c>
      <c r="T556" s="154">
        <f t="shared" si="52"/>
        <v>1.4592325495010057</v>
      </c>
      <c r="U556" s="154">
        <f t="shared" si="53"/>
        <v>1.4592325495010057</v>
      </c>
    </row>
    <row r="557" spans="1:21" x14ac:dyDescent="0.35">
      <c r="A557" s="107">
        <v>1984</v>
      </c>
      <c r="B557" s="107">
        <v>2019</v>
      </c>
      <c r="C557" s="107" t="s">
        <v>9</v>
      </c>
      <c r="D557" s="107" t="s">
        <v>132</v>
      </c>
      <c r="E557" s="107" t="s">
        <v>10</v>
      </c>
      <c r="F557" s="115">
        <v>9</v>
      </c>
      <c r="G557" s="107" t="s">
        <v>33</v>
      </c>
      <c r="H557" s="107" t="str">
        <f t="shared" si="48"/>
        <v>Area 9: Admiralty Inlet</v>
      </c>
      <c r="I557" s="107" t="str">
        <f>IFERROR(VLOOKUP(H557,LUTs!$A$1:$C$73,2,FALSE),"NA")</f>
        <v>NA</v>
      </c>
      <c r="J557" s="107" t="str">
        <f>IFERROR(VLOOKUP(H557,LUTs!$A$1:$C$73,3,FALSE),"NA")</f>
        <v>2Central Puget Sound</v>
      </c>
      <c r="K557" s="107" t="s">
        <v>17</v>
      </c>
      <c r="L557" s="107" t="str">
        <f>VLOOKUP(K557,LUTs!E$2:G$14,3,)</f>
        <v>04Island</v>
      </c>
      <c r="M557" s="107" t="str">
        <f>VLOOKUP($K557,LUTs!$E$2:$H$14,2,)</f>
        <v>North Puget Sound</v>
      </c>
      <c r="N557" s="107" t="str">
        <f>VLOOKUP($K557,LUTs!$E$2:$H$14,4,)</f>
        <v>01North Puget Sound</v>
      </c>
      <c r="O557" s="107">
        <v>9812.8090218190791</v>
      </c>
      <c r="P557" s="107">
        <v>14319.170326675499</v>
      </c>
      <c r="Q557" s="107">
        <f t="shared" si="49"/>
        <v>9812.8090218190791</v>
      </c>
      <c r="R557" s="107">
        <f t="shared" si="50"/>
        <v>14319.170326675499</v>
      </c>
      <c r="S557" s="140" t="str">
        <f t="shared" si="51"/>
        <v>Y</v>
      </c>
      <c r="T557" s="154">
        <f t="shared" si="52"/>
        <v>1.4592325495010032</v>
      </c>
      <c r="U557" s="154">
        <f t="shared" si="53"/>
        <v>1.4592325495010032</v>
      </c>
    </row>
    <row r="558" spans="1:21" x14ac:dyDescent="0.35">
      <c r="A558" s="107">
        <v>2120</v>
      </c>
      <c r="B558" s="107">
        <v>2019</v>
      </c>
      <c r="C558" s="107" t="s">
        <v>9</v>
      </c>
      <c r="D558" s="107" t="s">
        <v>132</v>
      </c>
      <c r="E558" s="107" t="s">
        <v>10</v>
      </c>
      <c r="F558" s="115">
        <v>9</v>
      </c>
      <c r="G558" s="107" t="s">
        <v>33</v>
      </c>
      <c r="H558" s="107" t="str">
        <f t="shared" si="48"/>
        <v>Area 9: Admiralty Inlet</v>
      </c>
      <c r="I558" s="107" t="str">
        <f>IFERROR(VLOOKUP(H558,LUTs!$A$1:$C$73,2,FALSE),"NA")</f>
        <v>NA</v>
      </c>
      <c r="J558" s="107" t="str">
        <f>IFERROR(VLOOKUP(H558,LUTs!$A$1:$C$73,3,FALSE),"NA")</f>
        <v>2Central Puget Sound</v>
      </c>
      <c r="K558" s="107" t="s">
        <v>25</v>
      </c>
      <c r="L558" s="107" t="str">
        <f>VLOOKUP(K558,LUTs!E$2:G$14,3,)</f>
        <v>12Jefferson</v>
      </c>
      <c r="M558" s="107" t="str">
        <f>VLOOKUP($K558,LUTs!$E$2:$H$14,2,)</f>
        <v>Strait of Juan de Fuca</v>
      </c>
      <c r="N558" s="107" t="str">
        <f>VLOOKUP($K558,LUTs!$E$2:$H$14,4,)</f>
        <v>03Strait of Juan de Fuca</v>
      </c>
      <c r="O558" s="107">
        <v>1306.25055160579</v>
      </c>
      <c r="P558" s="107">
        <v>1906.1233227068101</v>
      </c>
      <c r="Q558" s="107">
        <f t="shared" si="49"/>
        <v>1306.25055160579</v>
      </c>
      <c r="R558" s="107">
        <f t="shared" si="50"/>
        <v>1906.1233227068101</v>
      </c>
      <c r="S558" s="140" t="str">
        <f t="shared" si="51"/>
        <v>Y</v>
      </c>
      <c r="T558" s="154">
        <f t="shared" si="52"/>
        <v>1.4592325495010043</v>
      </c>
      <c r="U558" s="154">
        <f t="shared" si="53"/>
        <v>1.4592325495010043</v>
      </c>
    </row>
    <row r="559" spans="1:21" x14ac:dyDescent="0.35">
      <c r="A559" s="107">
        <v>2061</v>
      </c>
      <c r="B559" s="107">
        <v>2019</v>
      </c>
      <c r="C559" s="107" t="s">
        <v>9</v>
      </c>
      <c r="D559" s="107" t="s">
        <v>132</v>
      </c>
      <c r="E559" s="107" t="s">
        <v>10</v>
      </c>
      <c r="F559" s="115">
        <v>9</v>
      </c>
      <c r="G559" s="107" t="s">
        <v>33</v>
      </c>
      <c r="H559" s="107" t="str">
        <f t="shared" si="48"/>
        <v>Area 9: Admiralty Inlet</v>
      </c>
      <c r="I559" s="107" t="str">
        <f>IFERROR(VLOOKUP(H559,LUTs!$A$1:$C$73,2,FALSE),"NA")</f>
        <v>NA</v>
      </c>
      <c r="J559" s="107" t="str">
        <f>IFERROR(VLOOKUP(H559,LUTs!$A$1:$C$73,3,FALSE),"NA")</f>
        <v>2Central Puget Sound</v>
      </c>
      <c r="K559" s="107" t="s">
        <v>18</v>
      </c>
      <c r="L559" s="107" t="str">
        <f>VLOOKUP(K559,LUTs!E$2:G$14,3,)</f>
        <v>06King</v>
      </c>
      <c r="M559" s="107" t="str">
        <f>VLOOKUP($K559,LUTs!$E$2:$H$14,2,)</f>
        <v>South Puget Sound</v>
      </c>
      <c r="N559" s="107" t="str">
        <f>VLOOKUP($K559,LUTs!$E$2:$H$14,4,)</f>
        <v>02South Puget Sound</v>
      </c>
      <c r="O559" s="107">
        <v>5153.3177249325799</v>
      </c>
      <c r="P559" s="107">
        <v>7519.8889621421004</v>
      </c>
      <c r="Q559" s="107">
        <f t="shared" si="49"/>
        <v>5153.3177249325799</v>
      </c>
      <c r="R559" s="107">
        <f t="shared" si="50"/>
        <v>7519.8889621421004</v>
      </c>
      <c r="S559" s="140" t="str">
        <f t="shared" si="51"/>
        <v>Y</v>
      </c>
      <c r="T559" s="154">
        <f t="shared" si="52"/>
        <v>1.4592325495010074</v>
      </c>
      <c r="U559" s="154">
        <f t="shared" si="53"/>
        <v>1.4592325495010074</v>
      </c>
    </row>
    <row r="560" spans="1:21" x14ac:dyDescent="0.35">
      <c r="A560" s="107">
        <v>2118</v>
      </c>
      <c r="B560" s="107">
        <v>2019</v>
      </c>
      <c r="C560" s="107" t="s">
        <v>9</v>
      </c>
      <c r="D560" s="107" t="s">
        <v>132</v>
      </c>
      <c r="E560" s="107" t="s">
        <v>10</v>
      </c>
      <c r="F560" s="115">
        <v>9</v>
      </c>
      <c r="G560" s="107" t="s">
        <v>33</v>
      </c>
      <c r="H560" s="107" t="str">
        <f t="shared" si="48"/>
        <v>Area 9: Admiralty Inlet</v>
      </c>
      <c r="I560" s="107" t="str">
        <f>IFERROR(VLOOKUP(H560,LUTs!$A$1:$C$73,2,FALSE),"NA")</f>
        <v>NA</v>
      </c>
      <c r="J560" s="107" t="str">
        <f>IFERROR(VLOOKUP(H560,LUTs!$A$1:$C$73,3,FALSE),"NA")</f>
        <v>2Central Puget Sound</v>
      </c>
      <c r="K560" s="107" t="s">
        <v>23</v>
      </c>
      <c r="L560" s="107" t="str">
        <f>VLOOKUP(K560,LUTs!E$2:G$14,3,)</f>
        <v>10Kitsap</v>
      </c>
      <c r="M560" s="107" t="str">
        <f>VLOOKUP($K560,LUTs!$E$2:$H$14,2,)</f>
        <v>South Puget Sound</v>
      </c>
      <c r="N560" s="107" t="str">
        <f>VLOOKUP($K560,LUTs!$E$2:$H$14,4,)</f>
        <v>02South Puget Sound</v>
      </c>
      <c r="O560" s="107">
        <v>2548.78156410885</v>
      </c>
      <c r="P560" s="107">
        <v>3719.2650199157201</v>
      </c>
      <c r="Q560" s="107">
        <f t="shared" si="49"/>
        <v>2548.78156410885</v>
      </c>
      <c r="R560" s="107">
        <f t="shared" si="50"/>
        <v>3719.2650199157201</v>
      </c>
      <c r="S560" s="140" t="str">
        <f t="shared" si="51"/>
        <v>Y</v>
      </c>
      <c r="T560" s="154">
        <f t="shared" si="52"/>
        <v>1.4592325495010063</v>
      </c>
      <c r="U560" s="154">
        <f t="shared" si="53"/>
        <v>1.4592325495010063</v>
      </c>
    </row>
    <row r="561" spans="1:21" x14ac:dyDescent="0.35">
      <c r="A561" s="107">
        <v>2121</v>
      </c>
      <c r="B561" s="107">
        <v>2019</v>
      </c>
      <c r="C561" s="107" t="s">
        <v>9</v>
      </c>
      <c r="D561" s="107" t="s">
        <v>132</v>
      </c>
      <c r="E561" s="107" t="s">
        <v>10</v>
      </c>
      <c r="F561" s="115">
        <v>9</v>
      </c>
      <c r="G561" s="107" t="s">
        <v>33</v>
      </c>
      <c r="H561" s="107" t="str">
        <f t="shared" si="48"/>
        <v>Area 9: Admiralty Inlet</v>
      </c>
      <c r="I561" s="107" t="str">
        <f>IFERROR(VLOOKUP(H561,LUTs!$A$1:$C$73,2,FALSE),"NA")</f>
        <v>NA</v>
      </c>
      <c r="J561" s="107" t="str">
        <f>IFERROR(VLOOKUP(H561,LUTs!$A$1:$C$73,3,FALSE),"NA")</f>
        <v>2Central Puget Sound</v>
      </c>
      <c r="K561" s="107" t="s">
        <v>26</v>
      </c>
      <c r="L561" s="107" t="str">
        <f>VLOOKUP(K561,LUTs!E$2:G$14,3,)</f>
        <v>20Other</v>
      </c>
      <c r="M561" s="107" t="str">
        <f>VLOOKUP($K561,LUTs!$E$2:$H$14,2,)</f>
        <v>Non Puget Sound</v>
      </c>
      <c r="N561" s="107" t="str">
        <f>VLOOKUP($K561,LUTs!$E$2:$H$14,4,)</f>
        <v>07Non Puget Sound</v>
      </c>
      <c r="O561" s="107">
        <v>3034.6430497670999</v>
      </c>
      <c r="P561" s="107">
        <v>4428.2499143371597</v>
      </c>
      <c r="Q561" s="107">
        <f t="shared" si="49"/>
        <v>3034.6430497670999</v>
      </c>
      <c r="R561" s="107">
        <f t="shared" si="50"/>
        <v>4428.2499143371597</v>
      </c>
      <c r="S561" s="140" t="str">
        <f t="shared" si="51"/>
        <v>Y</v>
      </c>
      <c r="T561" s="154">
        <f t="shared" si="52"/>
        <v>1.4592325495010081</v>
      </c>
      <c r="U561" s="154">
        <f t="shared" si="53"/>
        <v>1.4592325495010081</v>
      </c>
    </row>
    <row r="562" spans="1:21" x14ac:dyDescent="0.35">
      <c r="A562" s="107">
        <v>2116</v>
      </c>
      <c r="B562" s="107">
        <v>2019</v>
      </c>
      <c r="C562" s="107" t="s">
        <v>9</v>
      </c>
      <c r="D562" s="107" t="s">
        <v>132</v>
      </c>
      <c r="E562" s="107" t="s">
        <v>10</v>
      </c>
      <c r="F562" s="115">
        <v>9</v>
      </c>
      <c r="G562" s="107" t="s">
        <v>33</v>
      </c>
      <c r="H562" s="107" t="str">
        <f t="shared" si="48"/>
        <v>Area 9: Admiralty Inlet</v>
      </c>
      <c r="I562" s="107" t="str">
        <f>IFERROR(VLOOKUP(H562,LUTs!$A$1:$C$73,2,FALSE),"NA")</f>
        <v>NA</v>
      </c>
      <c r="J562" s="107" t="str">
        <f>IFERROR(VLOOKUP(H562,LUTs!$A$1:$C$73,3,FALSE),"NA")</f>
        <v>2Central Puget Sound</v>
      </c>
      <c r="K562" s="107" t="s">
        <v>20</v>
      </c>
      <c r="L562" s="107" t="str">
        <f>VLOOKUP(K562,LUTs!E$2:G$14,3,)</f>
        <v>07Pierce</v>
      </c>
      <c r="M562" s="107" t="str">
        <f>VLOOKUP($K562,LUTs!$E$2:$H$14,2,)</f>
        <v>South Puget Sound</v>
      </c>
      <c r="N562" s="107" t="str">
        <f>VLOOKUP($K562,LUTs!$E$2:$H$14,4,)</f>
        <v>02South Puget Sound</v>
      </c>
      <c r="O562" s="107">
        <v>509.75631282177</v>
      </c>
      <c r="P562" s="107">
        <v>743.85300398314496</v>
      </c>
      <c r="Q562" s="107">
        <f t="shared" si="49"/>
        <v>509.75631282177</v>
      </c>
      <c r="R562" s="107">
        <f t="shared" si="50"/>
        <v>743.85300398314496</v>
      </c>
      <c r="S562" s="140" t="str">
        <f t="shared" si="51"/>
        <v>Y</v>
      </c>
      <c r="T562" s="154">
        <f t="shared" si="52"/>
        <v>1.4592325495010083</v>
      </c>
      <c r="U562" s="154">
        <f t="shared" si="53"/>
        <v>1.4592325495010083</v>
      </c>
    </row>
    <row r="563" spans="1:21" x14ac:dyDescent="0.35">
      <c r="A563" s="107">
        <v>1985</v>
      </c>
      <c r="B563" s="107">
        <v>2019</v>
      </c>
      <c r="C563" s="107" t="s">
        <v>9</v>
      </c>
      <c r="D563" s="107" t="s">
        <v>132</v>
      </c>
      <c r="E563" s="107" t="s">
        <v>10</v>
      </c>
      <c r="F563" s="115">
        <v>9</v>
      </c>
      <c r="G563" s="107" t="s">
        <v>33</v>
      </c>
      <c r="H563" s="107" t="str">
        <f t="shared" si="48"/>
        <v>Area 9: Admiralty Inlet</v>
      </c>
      <c r="I563" s="107" t="str">
        <f>IFERROR(VLOOKUP(H563,LUTs!$A$1:$C$73,2,FALSE),"NA")</f>
        <v>NA</v>
      </c>
      <c r="J563" s="107" t="str">
        <f>IFERROR(VLOOKUP(H563,LUTs!$A$1:$C$73,3,FALSE),"NA")</f>
        <v>2Central Puget Sound</v>
      </c>
      <c r="K563" s="107" t="s">
        <v>30</v>
      </c>
      <c r="L563" s="107" t="str">
        <f>VLOOKUP(K563,LUTs!E$2:G$14,3,)</f>
        <v>05San Juan</v>
      </c>
      <c r="M563" s="107" t="str">
        <f>VLOOKUP($K563,LUTs!$E$2:$H$14,2,)</f>
        <v>North Puget Sound</v>
      </c>
      <c r="N563" s="107" t="str">
        <f>VLOOKUP($K563,LUTs!$E$2:$H$14,4,)</f>
        <v>01North Puget Sound</v>
      </c>
      <c r="O563" s="107">
        <v>7.9649423878401597</v>
      </c>
      <c r="P563" s="107">
        <v>11.622703187236599</v>
      </c>
      <c r="Q563" s="107">
        <f t="shared" si="49"/>
        <v>7.9649423878401597</v>
      </c>
      <c r="R563" s="107">
        <f t="shared" si="50"/>
        <v>11.622703187236599</v>
      </c>
      <c r="S563" s="140" t="str">
        <f t="shared" si="51"/>
        <v>Y</v>
      </c>
      <c r="T563" s="154">
        <f t="shared" si="52"/>
        <v>1.4592325495010026</v>
      </c>
      <c r="U563" s="154">
        <f t="shared" si="53"/>
        <v>1.4592325495010026</v>
      </c>
    </row>
    <row r="564" spans="1:21" x14ac:dyDescent="0.35">
      <c r="A564" s="107">
        <v>1982</v>
      </c>
      <c r="B564" s="107">
        <v>2019</v>
      </c>
      <c r="C564" s="107" t="s">
        <v>9</v>
      </c>
      <c r="D564" s="107" t="s">
        <v>132</v>
      </c>
      <c r="E564" s="107" t="s">
        <v>10</v>
      </c>
      <c r="F564" s="115">
        <v>9</v>
      </c>
      <c r="G564" s="107" t="s">
        <v>33</v>
      </c>
      <c r="H564" s="107" t="str">
        <f t="shared" si="48"/>
        <v>Area 9: Admiralty Inlet</v>
      </c>
      <c r="I564" s="107" t="str">
        <f>IFERROR(VLOOKUP(H564,LUTs!$A$1:$C$73,2,FALSE),"NA")</f>
        <v>NA</v>
      </c>
      <c r="J564" s="107" t="str">
        <f>IFERROR(VLOOKUP(H564,LUTs!$A$1:$C$73,3,FALSE),"NA")</f>
        <v>2Central Puget Sound</v>
      </c>
      <c r="K564" s="107" t="s">
        <v>15</v>
      </c>
      <c r="L564" s="107" t="str">
        <f>VLOOKUP(K564,LUTs!E$2:G$14,3,)</f>
        <v>02Skagit</v>
      </c>
      <c r="M564" s="107" t="str">
        <f>VLOOKUP($K564,LUTs!$E$2:$H$14,2,)</f>
        <v>North Puget Sound</v>
      </c>
      <c r="N564" s="107" t="str">
        <f>VLOOKUP($K564,LUTs!$E$2:$H$14,4,)</f>
        <v>01North Puget Sound</v>
      </c>
      <c r="O564" s="107">
        <v>780.56435400833595</v>
      </c>
      <c r="P564" s="107">
        <v>1139.0249123491899</v>
      </c>
      <c r="Q564" s="107">
        <f t="shared" si="49"/>
        <v>780.56435400833595</v>
      </c>
      <c r="R564" s="107">
        <f t="shared" si="50"/>
        <v>1139.0249123491899</v>
      </c>
      <c r="S564" s="140" t="str">
        <f t="shared" si="51"/>
        <v>Y</v>
      </c>
      <c r="T564" s="154">
        <f t="shared" si="52"/>
        <v>1.4592325495010061</v>
      </c>
      <c r="U564" s="154">
        <f t="shared" si="53"/>
        <v>1.4592325495010061</v>
      </c>
    </row>
    <row r="565" spans="1:21" x14ac:dyDescent="0.35">
      <c r="A565" s="107">
        <v>1983</v>
      </c>
      <c r="B565" s="107">
        <v>2019</v>
      </c>
      <c r="C565" s="107" t="s">
        <v>9</v>
      </c>
      <c r="D565" s="107" t="s">
        <v>132</v>
      </c>
      <c r="E565" s="107" t="s">
        <v>10</v>
      </c>
      <c r="F565" s="115">
        <v>9</v>
      </c>
      <c r="G565" s="107" t="s">
        <v>33</v>
      </c>
      <c r="H565" s="107" t="str">
        <f t="shared" si="48"/>
        <v>Area 9: Admiralty Inlet</v>
      </c>
      <c r="I565" s="107" t="str">
        <f>IFERROR(VLOOKUP(H565,LUTs!$A$1:$C$73,2,FALSE),"NA")</f>
        <v>NA</v>
      </c>
      <c r="J565" s="107" t="str">
        <f>IFERROR(VLOOKUP(H565,LUTs!$A$1:$C$73,3,FALSE),"NA")</f>
        <v>2Central Puget Sound</v>
      </c>
      <c r="K565" s="107" t="s">
        <v>16</v>
      </c>
      <c r="L565" s="107" t="str">
        <f>VLOOKUP(K565,LUTs!E$2:G$14,3,)</f>
        <v>03Snohomish</v>
      </c>
      <c r="M565" s="107" t="str">
        <f>VLOOKUP($K565,LUTs!$E$2:$H$14,2,)</f>
        <v>North Puget Sound</v>
      </c>
      <c r="N565" s="107" t="str">
        <f>VLOOKUP($K565,LUTs!$E$2:$H$14,4,)</f>
        <v>01North Puget Sound</v>
      </c>
      <c r="O565" s="107">
        <v>8960.5601863201791</v>
      </c>
      <c r="P565" s="107">
        <v>13075.5410856412</v>
      </c>
      <c r="Q565" s="107">
        <f t="shared" si="49"/>
        <v>8960.5601863201791</v>
      </c>
      <c r="R565" s="107">
        <f t="shared" si="50"/>
        <v>13075.5410856412</v>
      </c>
      <c r="S565" s="140" t="str">
        <f t="shared" si="51"/>
        <v>Y</v>
      </c>
      <c r="T565" s="154">
        <f t="shared" si="52"/>
        <v>1.4592325495010054</v>
      </c>
      <c r="U565" s="154">
        <f t="shared" si="53"/>
        <v>1.4592325495010054</v>
      </c>
    </row>
    <row r="566" spans="1:21" x14ac:dyDescent="0.35">
      <c r="A566" s="107">
        <v>2117</v>
      </c>
      <c r="B566" s="107">
        <v>2019</v>
      </c>
      <c r="C566" s="107" t="s">
        <v>9</v>
      </c>
      <c r="D566" s="107" t="s">
        <v>132</v>
      </c>
      <c r="E566" s="107" t="s">
        <v>10</v>
      </c>
      <c r="F566" s="115">
        <v>9</v>
      </c>
      <c r="G566" s="107" t="s">
        <v>33</v>
      </c>
      <c r="H566" s="107" t="str">
        <f t="shared" si="48"/>
        <v>Area 9: Admiralty Inlet</v>
      </c>
      <c r="I566" s="107" t="str">
        <f>IFERROR(VLOOKUP(H566,LUTs!$A$1:$C$73,2,FALSE),"NA")</f>
        <v>NA</v>
      </c>
      <c r="J566" s="107" t="str">
        <f>IFERROR(VLOOKUP(H566,LUTs!$A$1:$C$73,3,FALSE),"NA")</f>
        <v>2Central Puget Sound</v>
      </c>
      <c r="K566" s="107" t="s">
        <v>21</v>
      </c>
      <c r="L566" s="107" t="str">
        <f>VLOOKUP(K566,LUTs!E$2:G$14,3,)</f>
        <v>08Thurston</v>
      </c>
      <c r="M566" s="107" t="str">
        <f>VLOOKUP($K566,LUTs!$E$2:$H$14,2,)</f>
        <v>South Puget Sound</v>
      </c>
      <c r="N566" s="107" t="str">
        <f>VLOOKUP($K566,LUTs!$E$2:$H$14,4,)</f>
        <v>02South Puget Sound</v>
      </c>
      <c r="O566" s="107">
        <v>31.8597695513606</v>
      </c>
      <c r="P566" s="107">
        <v>46.490812748946503</v>
      </c>
      <c r="Q566" s="107">
        <f t="shared" si="49"/>
        <v>31.8597695513606</v>
      </c>
      <c r="R566" s="107">
        <f t="shared" si="50"/>
        <v>46.490812748946503</v>
      </c>
      <c r="S566" s="140" t="str">
        <f t="shared" si="51"/>
        <v>Y</v>
      </c>
      <c r="T566" s="154">
        <f t="shared" si="52"/>
        <v>1.4592325495010077</v>
      </c>
      <c r="U566" s="154">
        <f t="shared" si="53"/>
        <v>1.4592325495010077</v>
      </c>
    </row>
    <row r="567" spans="1:21" x14ac:dyDescent="0.35">
      <c r="A567" s="107">
        <v>1981</v>
      </c>
      <c r="B567" s="107">
        <v>2019</v>
      </c>
      <c r="C567" s="107" t="s">
        <v>9</v>
      </c>
      <c r="D567" s="107" t="s">
        <v>132</v>
      </c>
      <c r="E567" s="107" t="s">
        <v>10</v>
      </c>
      <c r="F567" s="115">
        <v>9</v>
      </c>
      <c r="G567" s="107" t="s">
        <v>33</v>
      </c>
      <c r="H567" s="107" t="str">
        <f t="shared" si="48"/>
        <v>Area 9: Admiralty Inlet</v>
      </c>
      <c r="I567" s="107" t="str">
        <f>IFERROR(VLOOKUP(H567,LUTs!$A$1:$C$73,2,FALSE),"NA")</f>
        <v>NA</v>
      </c>
      <c r="J567" s="107" t="str">
        <f>IFERROR(VLOOKUP(H567,LUTs!$A$1:$C$73,3,FALSE),"NA")</f>
        <v>2Central Puget Sound</v>
      </c>
      <c r="K567" s="107" t="s">
        <v>13</v>
      </c>
      <c r="L567" s="107" t="str">
        <f>VLOOKUP(K567,LUTs!E$2:G$14,3,)</f>
        <v>01Whatcom</v>
      </c>
      <c r="M567" s="107" t="str">
        <f>VLOOKUP($K567,LUTs!$E$2:$H$14,2,)</f>
        <v>North Puget Sound</v>
      </c>
      <c r="N567" s="107" t="str">
        <f>VLOOKUP($K567,LUTs!$E$2:$H$14,4,)</f>
        <v>01North Puget Sound</v>
      </c>
      <c r="O567" s="107">
        <v>238.948271635205</v>
      </c>
      <c r="P567" s="107">
        <v>348.681095617099</v>
      </c>
      <c r="Q567" s="107">
        <f t="shared" si="49"/>
        <v>238.948271635205</v>
      </c>
      <c r="R567" s="107">
        <f t="shared" si="50"/>
        <v>348.681095617099</v>
      </c>
      <c r="S567" s="140" t="str">
        <f t="shared" si="51"/>
        <v>Y</v>
      </c>
      <c r="T567" s="154">
        <f t="shared" si="52"/>
        <v>1.4592325495010054</v>
      </c>
      <c r="U567" s="154">
        <f t="shared" si="53"/>
        <v>1.4592325495010054</v>
      </c>
    </row>
    <row r="568" spans="1:21" x14ac:dyDescent="0.35">
      <c r="A568" s="107">
        <v>2369</v>
      </c>
      <c r="B568" s="107">
        <v>2020</v>
      </c>
      <c r="C568" s="107" t="s">
        <v>9</v>
      </c>
      <c r="D568" s="107" t="s">
        <v>132</v>
      </c>
      <c r="E568" s="107" t="s">
        <v>10</v>
      </c>
      <c r="F568" s="115">
        <v>9</v>
      </c>
      <c r="G568" s="107" t="s">
        <v>33</v>
      </c>
      <c r="H568" s="107" t="str">
        <f t="shared" si="48"/>
        <v>Area 9: Admiralty Inlet</v>
      </c>
      <c r="I568" s="107" t="str">
        <f>IFERROR(VLOOKUP(H568,LUTs!$A$1:$C$73,2,FALSE),"NA")</f>
        <v>NA</v>
      </c>
      <c r="J568" s="107" t="str">
        <f>IFERROR(VLOOKUP(H568,LUTs!$A$1:$C$73,3,FALSE),"NA")</f>
        <v>2Central Puget Sound</v>
      </c>
      <c r="K568" s="107" t="s">
        <v>24</v>
      </c>
      <c r="L568" s="107" t="str">
        <f>VLOOKUP(K568,LUTs!E$2:G$14,3,)</f>
        <v>11Clallam</v>
      </c>
      <c r="M568" s="107" t="str">
        <f>VLOOKUP($K568,LUTs!$E$2:$H$14,2,)</f>
        <v>Strait of Juan de Fuca</v>
      </c>
      <c r="N568" s="107" t="str">
        <f>VLOOKUP($K568,LUTs!$E$2:$H$14,4,)</f>
        <v>03Strait of Juan de Fuca</v>
      </c>
      <c r="O568" s="107">
        <v>27.860869565217399</v>
      </c>
      <c r="P568" s="107">
        <v>134.644547963371</v>
      </c>
      <c r="Q568" s="107">
        <f t="shared" si="49"/>
        <v>27.860869565217399</v>
      </c>
      <c r="R568" s="107">
        <f t="shared" si="50"/>
        <v>134.644547963371</v>
      </c>
      <c r="S568" s="140" t="str">
        <f t="shared" si="51"/>
        <v>N</v>
      </c>
      <c r="T568" s="154">
        <f t="shared" si="52"/>
        <v>4.8327475080485831</v>
      </c>
      <c r="U568" s="154">
        <f t="shared" si="53"/>
        <v>4.8327475080485831</v>
      </c>
    </row>
    <row r="569" spans="1:21" x14ac:dyDescent="0.35">
      <c r="A569" s="107">
        <v>2259</v>
      </c>
      <c r="B569" s="107">
        <v>2020</v>
      </c>
      <c r="C569" s="107" t="s">
        <v>9</v>
      </c>
      <c r="D569" s="107" t="s">
        <v>132</v>
      </c>
      <c r="E569" s="107" t="s">
        <v>10</v>
      </c>
      <c r="F569" s="115">
        <v>9</v>
      </c>
      <c r="G569" s="107" t="s">
        <v>33</v>
      </c>
      <c r="H569" s="107" t="str">
        <f t="shared" si="48"/>
        <v>Area 9: Admiralty Inlet</v>
      </c>
      <c r="I569" s="107" t="str">
        <f>IFERROR(VLOOKUP(H569,LUTs!$A$1:$C$73,2,FALSE),"NA")</f>
        <v>NA</v>
      </c>
      <c r="J569" s="107" t="str">
        <f>IFERROR(VLOOKUP(H569,LUTs!$A$1:$C$73,3,FALSE),"NA")</f>
        <v>2Central Puget Sound</v>
      </c>
      <c r="K569" s="107" t="s">
        <v>17</v>
      </c>
      <c r="L569" s="107" t="str">
        <f>VLOOKUP(K569,LUTs!E$2:G$14,3,)</f>
        <v>04Island</v>
      </c>
      <c r="M569" s="107" t="str">
        <f>VLOOKUP($K569,LUTs!$E$2:$H$14,2,)</f>
        <v>North Puget Sound</v>
      </c>
      <c r="N569" s="107" t="str">
        <f>VLOOKUP($K569,LUTs!$E$2:$H$14,4,)</f>
        <v>01North Puget Sound</v>
      </c>
      <c r="O569" s="107">
        <v>1857.3913043478301</v>
      </c>
      <c r="P569" s="107">
        <v>8976.3031975580907</v>
      </c>
      <c r="Q569" s="107">
        <f t="shared" si="49"/>
        <v>1857.3913043478301</v>
      </c>
      <c r="R569" s="107">
        <f t="shared" si="50"/>
        <v>8976.3031975580907</v>
      </c>
      <c r="S569" s="140" t="str">
        <f t="shared" si="51"/>
        <v>N</v>
      </c>
      <c r="T569" s="154">
        <f t="shared" si="52"/>
        <v>4.8327475080485867</v>
      </c>
      <c r="U569" s="154">
        <f t="shared" si="53"/>
        <v>4.8327475080485867</v>
      </c>
    </row>
    <row r="570" spans="1:21" x14ac:dyDescent="0.35">
      <c r="A570" s="107">
        <v>2370</v>
      </c>
      <c r="B570" s="107">
        <v>2020</v>
      </c>
      <c r="C570" s="107" t="s">
        <v>9</v>
      </c>
      <c r="D570" s="107" t="s">
        <v>132</v>
      </c>
      <c r="E570" s="107" t="s">
        <v>10</v>
      </c>
      <c r="F570" s="115">
        <v>9</v>
      </c>
      <c r="G570" s="107" t="s">
        <v>33</v>
      </c>
      <c r="H570" s="107" t="str">
        <f t="shared" si="48"/>
        <v>Area 9: Admiralty Inlet</v>
      </c>
      <c r="I570" s="107" t="str">
        <f>IFERROR(VLOOKUP(H570,LUTs!$A$1:$C$73,2,FALSE),"NA")</f>
        <v>NA</v>
      </c>
      <c r="J570" s="107" t="str">
        <f>IFERROR(VLOOKUP(H570,LUTs!$A$1:$C$73,3,FALSE),"NA")</f>
        <v>2Central Puget Sound</v>
      </c>
      <c r="K570" s="107" t="s">
        <v>25</v>
      </c>
      <c r="L570" s="107" t="str">
        <f>VLOOKUP(K570,LUTs!E$2:G$14,3,)</f>
        <v>12Jefferson</v>
      </c>
      <c r="M570" s="107" t="str">
        <f>VLOOKUP($K570,LUTs!$E$2:$H$14,2,)</f>
        <v>Strait of Juan de Fuca</v>
      </c>
      <c r="N570" s="107" t="str">
        <f>VLOOKUP($K570,LUTs!$E$2:$H$14,4,)</f>
        <v>03Strait of Juan de Fuca</v>
      </c>
      <c r="O570" s="107">
        <v>1290.8869565217401</v>
      </c>
      <c r="P570" s="107">
        <v>6238.5307223028703</v>
      </c>
      <c r="Q570" s="107">
        <f t="shared" si="49"/>
        <v>1290.8869565217401</v>
      </c>
      <c r="R570" s="107">
        <f t="shared" si="50"/>
        <v>6238.5307223028703</v>
      </c>
      <c r="S570" s="140" t="str">
        <f t="shared" si="51"/>
        <v>N</v>
      </c>
      <c r="T570" s="154">
        <f t="shared" si="52"/>
        <v>4.832747508048592</v>
      </c>
      <c r="U570" s="154">
        <f t="shared" si="53"/>
        <v>4.832747508048592</v>
      </c>
    </row>
    <row r="571" spans="1:21" x14ac:dyDescent="0.35">
      <c r="A571" s="107">
        <v>2261</v>
      </c>
      <c r="B571" s="107">
        <v>2020</v>
      </c>
      <c r="C571" s="107" t="s">
        <v>9</v>
      </c>
      <c r="D571" s="107" t="s">
        <v>132</v>
      </c>
      <c r="E571" s="107" t="s">
        <v>10</v>
      </c>
      <c r="F571" s="115">
        <v>9</v>
      </c>
      <c r="G571" s="107" t="s">
        <v>33</v>
      </c>
      <c r="H571" s="107" t="str">
        <f t="shared" si="48"/>
        <v>Area 9: Admiralty Inlet</v>
      </c>
      <c r="I571" s="107" t="str">
        <f>IFERROR(VLOOKUP(H571,LUTs!$A$1:$C$73,2,FALSE),"NA")</f>
        <v>NA</v>
      </c>
      <c r="J571" s="107" t="str">
        <f>IFERROR(VLOOKUP(H571,LUTs!$A$1:$C$73,3,FALSE),"NA")</f>
        <v>2Central Puget Sound</v>
      </c>
      <c r="K571" s="107" t="s">
        <v>18</v>
      </c>
      <c r="L571" s="107" t="str">
        <f>VLOOKUP(K571,LUTs!E$2:G$14,3,)</f>
        <v>06King</v>
      </c>
      <c r="M571" s="107" t="str">
        <f>VLOOKUP($K571,LUTs!$E$2:$H$14,2,)</f>
        <v>South Puget Sound</v>
      </c>
      <c r="N571" s="107" t="str">
        <f>VLOOKUP($K571,LUTs!$E$2:$H$14,4,)</f>
        <v>02South Puget Sound</v>
      </c>
      <c r="O571" s="107">
        <v>1671.6521739130401</v>
      </c>
      <c r="P571" s="107">
        <v>8078.6728778022798</v>
      </c>
      <c r="Q571" s="107">
        <f t="shared" si="49"/>
        <v>1671.6521739130401</v>
      </c>
      <c r="R571" s="107">
        <f t="shared" si="50"/>
        <v>8078.6728778022798</v>
      </c>
      <c r="S571" s="140" t="str">
        <f t="shared" si="51"/>
        <v>N</v>
      </c>
      <c r="T571" s="154">
        <f t="shared" si="52"/>
        <v>4.8327475080486062</v>
      </c>
      <c r="U571" s="154">
        <f t="shared" si="53"/>
        <v>4.8327475080486062</v>
      </c>
    </row>
    <row r="572" spans="1:21" x14ac:dyDescent="0.35">
      <c r="A572" s="107">
        <v>2368</v>
      </c>
      <c r="B572" s="107">
        <v>2020</v>
      </c>
      <c r="C572" s="107" t="s">
        <v>9</v>
      </c>
      <c r="D572" s="107" t="s">
        <v>132</v>
      </c>
      <c r="E572" s="107" t="s">
        <v>10</v>
      </c>
      <c r="F572" s="115">
        <v>9</v>
      </c>
      <c r="G572" s="107" t="s">
        <v>33</v>
      </c>
      <c r="H572" s="107" t="str">
        <f t="shared" si="48"/>
        <v>Area 9: Admiralty Inlet</v>
      </c>
      <c r="I572" s="107" t="str">
        <f>IFERROR(VLOOKUP(H572,LUTs!$A$1:$C$73,2,FALSE),"NA")</f>
        <v>NA</v>
      </c>
      <c r="J572" s="107" t="str">
        <f>IFERROR(VLOOKUP(H572,LUTs!$A$1:$C$73,3,FALSE),"NA")</f>
        <v>2Central Puget Sound</v>
      </c>
      <c r="K572" s="107" t="s">
        <v>23</v>
      </c>
      <c r="L572" s="107" t="str">
        <f>VLOOKUP(K572,LUTs!E$2:G$14,3,)</f>
        <v>10Kitsap</v>
      </c>
      <c r="M572" s="107" t="str">
        <f>VLOOKUP($K572,LUTs!$E$2:$H$14,2,)</f>
        <v>South Puget Sound</v>
      </c>
      <c r="N572" s="107" t="str">
        <f>VLOOKUP($K572,LUTs!$E$2:$H$14,4,)</f>
        <v>02South Puget Sound</v>
      </c>
      <c r="O572" s="107">
        <v>1309.46086956522</v>
      </c>
      <c r="P572" s="107">
        <v>6328.2937542784603</v>
      </c>
      <c r="Q572" s="107">
        <f t="shared" si="49"/>
        <v>1309.46086956522</v>
      </c>
      <c r="R572" s="107">
        <f t="shared" si="50"/>
        <v>6328.2937542784603</v>
      </c>
      <c r="S572" s="140" t="str">
        <f t="shared" si="51"/>
        <v>N</v>
      </c>
      <c r="T572" s="154">
        <f t="shared" si="52"/>
        <v>4.8327475080485929</v>
      </c>
      <c r="U572" s="154">
        <f t="shared" si="53"/>
        <v>4.8327475080485929</v>
      </c>
    </row>
    <row r="573" spans="1:21" x14ac:dyDescent="0.35">
      <c r="A573" s="107">
        <v>2316</v>
      </c>
      <c r="B573" s="107">
        <v>2020</v>
      </c>
      <c r="C573" s="107" t="s">
        <v>9</v>
      </c>
      <c r="D573" s="107" t="s">
        <v>132</v>
      </c>
      <c r="E573" s="107" t="s">
        <v>10</v>
      </c>
      <c r="F573" s="115">
        <v>9</v>
      </c>
      <c r="G573" s="107" t="s">
        <v>33</v>
      </c>
      <c r="H573" s="107" t="str">
        <f t="shared" si="48"/>
        <v>Area 9: Admiralty Inlet</v>
      </c>
      <c r="I573" s="107" t="str">
        <f>IFERROR(VLOOKUP(H573,LUTs!$A$1:$C$73,2,FALSE),"NA")</f>
        <v>NA</v>
      </c>
      <c r="J573" s="107" t="str">
        <f>IFERROR(VLOOKUP(H573,LUTs!$A$1:$C$73,3,FALSE),"NA")</f>
        <v>2Central Puget Sound</v>
      </c>
      <c r="K573" s="107" t="s">
        <v>22</v>
      </c>
      <c r="L573" s="107" t="str">
        <f>VLOOKUP(K573,LUTs!E$2:G$14,3,)</f>
        <v>09Mason</v>
      </c>
      <c r="M573" s="107" t="str">
        <f>VLOOKUP($K573,LUTs!$E$2:$H$14,2,)</f>
        <v>South Puget Sound</v>
      </c>
      <c r="N573" s="107" t="str">
        <f>VLOOKUP($K573,LUTs!$E$2:$H$14,4,)</f>
        <v>02South Puget Sound</v>
      </c>
      <c r="O573" s="107">
        <v>27.860869565217399</v>
      </c>
      <c r="P573" s="107">
        <v>134.644547963371</v>
      </c>
      <c r="Q573" s="107">
        <f t="shared" si="49"/>
        <v>27.860869565217399</v>
      </c>
      <c r="R573" s="107">
        <f t="shared" si="50"/>
        <v>134.644547963371</v>
      </c>
      <c r="S573" s="140" t="str">
        <f t="shared" si="51"/>
        <v>N</v>
      </c>
      <c r="T573" s="154">
        <f t="shared" si="52"/>
        <v>4.8327475080485831</v>
      </c>
      <c r="U573" s="154">
        <f t="shared" si="53"/>
        <v>4.8327475080485831</v>
      </c>
    </row>
    <row r="574" spans="1:21" x14ac:dyDescent="0.35">
      <c r="A574" s="107">
        <v>2371</v>
      </c>
      <c r="B574" s="107">
        <v>2020</v>
      </c>
      <c r="C574" s="107" t="s">
        <v>9</v>
      </c>
      <c r="D574" s="107" t="s">
        <v>132</v>
      </c>
      <c r="E574" s="107" t="s">
        <v>10</v>
      </c>
      <c r="F574" s="115">
        <v>9</v>
      </c>
      <c r="G574" s="107" t="s">
        <v>33</v>
      </c>
      <c r="H574" s="107" t="str">
        <f t="shared" si="48"/>
        <v>Area 9: Admiralty Inlet</v>
      </c>
      <c r="I574" s="107" t="str">
        <f>IFERROR(VLOOKUP(H574,LUTs!$A$1:$C$73,2,FALSE),"NA")</f>
        <v>NA</v>
      </c>
      <c r="J574" s="107" t="str">
        <f>IFERROR(VLOOKUP(H574,LUTs!$A$1:$C$73,3,FALSE),"NA")</f>
        <v>2Central Puget Sound</v>
      </c>
      <c r="K574" s="107" t="s">
        <v>26</v>
      </c>
      <c r="L574" s="107" t="str">
        <f>VLOOKUP(K574,LUTs!E$2:G$14,3,)</f>
        <v>20Other</v>
      </c>
      <c r="M574" s="107" t="str">
        <f>VLOOKUP($K574,LUTs!$E$2:$H$14,2,)</f>
        <v>Non Puget Sound</v>
      </c>
      <c r="N574" s="107" t="str">
        <f>VLOOKUP($K574,LUTs!$E$2:$H$14,4,)</f>
        <v>07Non Puget Sound</v>
      </c>
      <c r="O574" s="107">
        <v>705.80869565217404</v>
      </c>
      <c r="P574" s="107">
        <v>3410.9952150720701</v>
      </c>
      <c r="Q574" s="107">
        <f t="shared" si="49"/>
        <v>705.80869565217404</v>
      </c>
      <c r="R574" s="107">
        <f t="shared" si="50"/>
        <v>3410.9952150720701</v>
      </c>
      <c r="S574" s="140" t="str">
        <f t="shared" si="51"/>
        <v>N</v>
      </c>
      <c r="T574" s="154">
        <f t="shared" si="52"/>
        <v>4.8327475080485902</v>
      </c>
      <c r="U574" s="154">
        <f t="shared" si="53"/>
        <v>4.8327475080485902</v>
      </c>
    </row>
    <row r="575" spans="1:21" x14ac:dyDescent="0.35">
      <c r="A575" s="107">
        <v>2262</v>
      </c>
      <c r="B575" s="107">
        <v>2020</v>
      </c>
      <c r="C575" s="107" t="s">
        <v>9</v>
      </c>
      <c r="D575" s="107" t="s">
        <v>132</v>
      </c>
      <c r="E575" s="107" t="s">
        <v>10</v>
      </c>
      <c r="F575" s="115">
        <v>9</v>
      </c>
      <c r="G575" s="107" t="s">
        <v>33</v>
      </c>
      <c r="H575" s="107" t="str">
        <f t="shared" si="48"/>
        <v>Area 9: Admiralty Inlet</v>
      </c>
      <c r="I575" s="107" t="str">
        <f>IFERROR(VLOOKUP(H575,LUTs!$A$1:$C$73,2,FALSE),"NA")</f>
        <v>NA</v>
      </c>
      <c r="J575" s="107" t="str">
        <f>IFERROR(VLOOKUP(H575,LUTs!$A$1:$C$73,3,FALSE),"NA")</f>
        <v>2Central Puget Sound</v>
      </c>
      <c r="K575" s="107" t="s">
        <v>20</v>
      </c>
      <c r="L575" s="107" t="str">
        <f>VLOOKUP(K575,LUTs!E$2:G$14,3,)</f>
        <v>07Pierce</v>
      </c>
      <c r="M575" s="107" t="str">
        <f>VLOOKUP($K575,LUTs!$E$2:$H$14,2,)</f>
        <v>South Puget Sound</v>
      </c>
      <c r="N575" s="107" t="str">
        <f>VLOOKUP($K575,LUTs!$E$2:$H$14,4,)</f>
        <v>02South Puget Sound</v>
      </c>
      <c r="O575" s="107">
        <v>167.165217391304</v>
      </c>
      <c r="P575" s="107">
        <v>807.86728778022803</v>
      </c>
      <c r="Q575" s="107">
        <f t="shared" si="49"/>
        <v>167.165217391304</v>
      </c>
      <c r="R575" s="107">
        <f t="shared" si="50"/>
        <v>807.86728778022803</v>
      </c>
      <c r="S575" s="140" t="str">
        <f t="shared" si="51"/>
        <v>N</v>
      </c>
      <c r="T575" s="154">
        <f t="shared" si="52"/>
        <v>4.8327475080486071</v>
      </c>
      <c r="U575" s="154">
        <f t="shared" si="53"/>
        <v>4.8327475080486071</v>
      </c>
    </row>
    <row r="576" spans="1:21" x14ac:dyDescent="0.35">
      <c r="A576" s="107">
        <v>2260</v>
      </c>
      <c r="B576" s="107">
        <v>2020</v>
      </c>
      <c r="C576" s="107" t="s">
        <v>9</v>
      </c>
      <c r="D576" s="107" t="s">
        <v>132</v>
      </c>
      <c r="E576" s="107" t="s">
        <v>10</v>
      </c>
      <c r="F576" s="115">
        <v>9</v>
      </c>
      <c r="G576" s="107" t="s">
        <v>33</v>
      </c>
      <c r="H576" s="107" t="str">
        <f t="shared" si="48"/>
        <v>Area 9: Admiralty Inlet</v>
      </c>
      <c r="I576" s="107" t="str">
        <f>IFERROR(VLOOKUP(H576,LUTs!$A$1:$C$73,2,FALSE),"NA")</f>
        <v>NA</v>
      </c>
      <c r="J576" s="107" t="str">
        <f>IFERROR(VLOOKUP(H576,LUTs!$A$1:$C$73,3,FALSE),"NA")</f>
        <v>2Central Puget Sound</v>
      </c>
      <c r="K576" s="107" t="s">
        <v>30</v>
      </c>
      <c r="L576" s="107" t="str">
        <f>VLOOKUP(K576,LUTs!E$2:G$14,3,)</f>
        <v>05San Juan</v>
      </c>
      <c r="M576" s="107" t="str">
        <f>VLOOKUP($K576,LUTs!$E$2:$H$14,2,)</f>
        <v>North Puget Sound</v>
      </c>
      <c r="N576" s="107" t="str">
        <f>VLOOKUP($K576,LUTs!$E$2:$H$14,4,)</f>
        <v>01North Puget Sound</v>
      </c>
      <c r="O576" s="107">
        <v>9.2869565217391301</v>
      </c>
      <c r="P576" s="107">
        <v>44.8815159877905</v>
      </c>
      <c r="Q576" s="107">
        <f t="shared" si="49"/>
        <v>9.2869565217391301</v>
      </c>
      <c r="R576" s="107">
        <f t="shared" si="50"/>
        <v>44.8815159877905</v>
      </c>
      <c r="S576" s="140" t="str">
        <f t="shared" si="51"/>
        <v>N</v>
      </c>
      <c r="T576" s="154">
        <f t="shared" si="52"/>
        <v>4.8327475080486026</v>
      </c>
      <c r="U576" s="154">
        <f t="shared" si="53"/>
        <v>4.8327475080486026</v>
      </c>
    </row>
    <row r="577" spans="1:21" x14ac:dyDescent="0.35">
      <c r="A577" s="107">
        <v>2257</v>
      </c>
      <c r="B577" s="107">
        <v>2020</v>
      </c>
      <c r="C577" s="107" t="s">
        <v>9</v>
      </c>
      <c r="D577" s="107" t="s">
        <v>132</v>
      </c>
      <c r="E577" s="107" t="s">
        <v>10</v>
      </c>
      <c r="F577" s="115">
        <v>9</v>
      </c>
      <c r="G577" s="107" t="s">
        <v>33</v>
      </c>
      <c r="H577" s="107" t="str">
        <f t="shared" si="48"/>
        <v>Area 9: Admiralty Inlet</v>
      </c>
      <c r="I577" s="107" t="str">
        <f>IFERROR(VLOOKUP(H577,LUTs!$A$1:$C$73,2,FALSE),"NA")</f>
        <v>NA</v>
      </c>
      <c r="J577" s="107" t="str">
        <f>IFERROR(VLOOKUP(H577,LUTs!$A$1:$C$73,3,FALSE),"NA")</f>
        <v>2Central Puget Sound</v>
      </c>
      <c r="K577" s="107" t="s">
        <v>15</v>
      </c>
      <c r="L577" s="107" t="str">
        <f>VLOOKUP(K577,LUTs!E$2:G$14,3,)</f>
        <v>02Skagit</v>
      </c>
      <c r="M577" s="107" t="str">
        <f>VLOOKUP($K577,LUTs!$E$2:$H$14,2,)</f>
        <v>North Puget Sound</v>
      </c>
      <c r="N577" s="107" t="str">
        <f>VLOOKUP($K577,LUTs!$E$2:$H$14,4,)</f>
        <v>01North Puget Sound</v>
      </c>
      <c r="O577" s="107">
        <v>139.304347826087</v>
      </c>
      <c r="P577" s="107">
        <v>673.22273981685703</v>
      </c>
      <c r="Q577" s="107">
        <f t="shared" si="49"/>
        <v>139.304347826087</v>
      </c>
      <c r="R577" s="107">
        <f t="shared" si="50"/>
        <v>673.22273981685703</v>
      </c>
      <c r="S577" s="140" t="str">
        <f t="shared" si="51"/>
        <v>N</v>
      </c>
      <c r="T577" s="154">
        <f t="shared" si="52"/>
        <v>4.8327475080485982</v>
      </c>
      <c r="U577" s="154">
        <f t="shared" si="53"/>
        <v>4.8327475080485982</v>
      </c>
    </row>
    <row r="578" spans="1:21" x14ac:dyDescent="0.35">
      <c r="A578" s="107">
        <v>2258</v>
      </c>
      <c r="B578" s="107">
        <v>2020</v>
      </c>
      <c r="C578" s="107" t="s">
        <v>9</v>
      </c>
      <c r="D578" s="107" t="s">
        <v>132</v>
      </c>
      <c r="E578" s="107" t="s">
        <v>10</v>
      </c>
      <c r="F578" s="115">
        <v>9</v>
      </c>
      <c r="G578" s="107" t="s">
        <v>33</v>
      </c>
      <c r="H578" s="107" t="str">
        <f t="shared" ref="H578:H641" si="54">G578</f>
        <v>Area 9: Admiralty Inlet</v>
      </c>
      <c r="I578" s="107" t="str">
        <f>IFERROR(VLOOKUP(H578,LUTs!$A$1:$C$73,2,FALSE),"NA")</f>
        <v>NA</v>
      </c>
      <c r="J578" s="107" t="str">
        <f>IFERROR(VLOOKUP(H578,LUTs!$A$1:$C$73,3,FALSE),"NA")</f>
        <v>2Central Puget Sound</v>
      </c>
      <c r="K578" s="107" t="s">
        <v>16</v>
      </c>
      <c r="L578" s="107" t="str">
        <f>VLOOKUP(K578,LUTs!E$2:G$14,3,)</f>
        <v>03Snohomish</v>
      </c>
      <c r="M578" s="107" t="str">
        <f>VLOOKUP($K578,LUTs!$E$2:$H$14,2,)</f>
        <v>North Puget Sound</v>
      </c>
      <c r="N578" s="107" t="str">
        <f>VLOOKUP($K578,LUTs!$E$2:$H$14,4,)</f>
        <v>01North Puget Sound</v>
      </c>
      <c r="O578" s="107">
        <v>3380.45217391304</v>
      </c>
      <c r="P578" s="107">
        <v>16336.871819555699</v>
      </c>
      <c r="Q578" s="107">
        <f t="shared" ref="Q578:Q641" si="55">O578</f>
        <v>3380.45217391304</v>
      </c>
      <c r="R578" s="107">
        <f t="shared" ref="R578:R641" si="56">P578</f>
        <v>16336.871819555699</v>
      </c>
      <c r="S578" s="140" t="str">
        <f t="shared" si="51"/>
        <v>N</v>
      </c>
      <c r="T578" s="154">
        <f t="shared" si="52"/>
        <v>4.8327475080485947</v>
      </c>
      <c r="U578" s="154">
        <f t="shared" si="53"/>
        <v>4.8327475080485947</v>
      </c>
    </row>
    <row r="579" spans="1:21" x14ac:dyDescent="0.35">
      <c r="A579" s="107">
        <v>2256</v>
      </c>
      <c r="B579" s="107">
        <v>2020</v>
      </c>
      <c r="C579" s="107" t="s">
        <v>9</v>
      </c>
      <c r="D579" s="107" t="s">
        <v>132</v>
      </c>
      <c r="E579" s="107" t="s">
        <v>10</v>
      </c>
      <c r="F579" s="115">
        <v>9</v>
      </c>
      <c r="G579" s="107" t="s">
        <v>33</v>
      </c>
      <c r="H579" s="107" t="str">
        <f t="shared" si="54"/>
        <v>Area 9: Admiralty Inlet</v>
      </c>
      <c r="I579" s="107" t="str">
        <f>IFERROR(VLOOKUP(H579,LUTs!$A$1:$C$73,2,FALSE),"NA")</f>
        <v>NA</v>
      </c>
      <c r="J579" s="107" t="str">
        <f>IFERROR(VLOOKUP(H579,LUTs!$A$1:$C$73,3,FALSE),"NA")</f>
        <v>2Central Puget Sound</v>
      </c>
      <c r="K579" s="107" t="s">
        <v>13</v>
      </c>
      <c r="L579" s="107" t="str">
        <f>VLOOKUP(K579,LUTs!E$2:G$14,3,)</f>
        <v>01Whatcom</v>
      </c>
      <c r="M579" s="107" t="str">
        <f>VLOOKUP($K579,LUTs!$E$2:$H$14,2,)</f>
        <v>North Puget Sound</v>
      </c>
      <c r="N579" s="107" t="str">
        <f>VLOOKUP($K579,LUTs!$E$2:$H$14,4,)</f>
        <v>01North Puget Sound</v>
      </c>
      <c r="O579" s="107">
        <v>92.869565217391298</v>
      </c>
      <c r="P579" s="107">
        <v>448.81515987790499</v>
      </c>
      <c r="Q579" s="107">
        <f t="shared" si="55"/>
        <v>92.869565217391298</v>
      </c>
      <c r="R579" s="107">
        <f t="shared" si="56"/>
        <v>448.81515987790499</v>
      </c>
      <c r="S579" s="140" t="str">
        <f t="shared" ref="S579:S642" si="57">IF(B579&lt;=2019,"Y","N")</f>
        <v>N</v>
      </c>
      <c r="T579" s="154">
        <f t="shared" ref="T579:T642" si="58">IFERROR(P579/O579,"NA")</f>
        <v>4.8327475080486026</v>
      </c>
      <c r="U579" s="154">
        <f t="shared" ref="U579:U642" si="59">IFERROR(R579/Q579,"NA")</f>
        <v>4.8327475080486026</v>
      </c>
    </row>
    <row r="580" spans="1:21" x14ac:dyDescent="0.35">
      <c r="A580" s="107">
        <v>2724</v>
      </c>
      <c r="B580" s="107">
        <v>2021</v>
      </c>
      <c r="C580" s="107" t="s">
        <v>9</v>
      </c>
      <c r="D580" s="107" t="s">
        <v>132</v>
      </c>
      <c r="E580" s="107" t="s">
        <v>10</v>
      </c>
      <c r="F580" s="115">
        <v>9</v>
      </c>
      <c r="G580" s="107" t="s">
        <v>33</v>
      </c>
      <c r="H580" s="107" t="str">
        <f t="shared" si="54"/>
        <v>Area 9: Admiralty Inlet</v>
      </c>
      <c r="I580" s="107" t="str">
        <f>IFERROR(VLOOKUP(H580,LUTs!$A$1:$C$73,2,FALSE),"NA")</f>
        <v>NA</v>
      </c>
      <c r="J580" s="107" t="str">
        <f>IFERROR(VLOOKUP(H580,LUTs!$A$1:$C$73,3,FALSE),"NA")</f>
        <v>2Central Puget Sound</v>
      </c>
      <c r="K580" s="107" t="s">
        <v>24</v>
      </c>
      <c r="L580" s="107" t="str">
        <f>VLOOKUP(K580,LUTs!E$2:G$14,3,)</f>
        <v>11Clallam</v>
      </c>
      <c r="M580" s="107" t="str">
        <f>VLOOKUP($K580,LUTs!$E$2:$H$14,2,)</f>
        <v>Strait of Juan de Fuca</v>
      </c>
      <c r="N580" s="107" t="str">
        <f>VLOOKUP($K580,LUTs!$E$2:$H$14,4,)</f>
        <v>03Strait of Juan de Fuca</v>
      </c>
      <c r="O580" s="107">
        <v>311.85448807854101</v>
      </c>
      <c r="P580" s="107">
        <v>348.96528810945699</v>
      </c>
      <c r="Q580" s="107">
        <f t="shared" si="55"/>
        <v>311.85448807854101</v>
      </c>
      <c r="R580" s="107">
        <f t="shared" si="56"/>
        <v>348.96528810945699</v>
      </c>
      <c r="S580" s="140" t="str">
        <f t="shared" si="57"/>
        <v>N</v>
      </c>
      <c r="T580" s="154">
        <f t="shared" si="58"/>
        <v>1.1190003718066408</v>
      </c>
      <c r="U580" s="154">
        <f t="shared" si="59"/>
        <v>1.1190003718066408</v>
      </c>
    </row>
    <row r="581" spans="1:21" x14ac:dyDescent="0.35">
      <c r="A581" s="107">
        <v>2606</v>
      </c>
      <c r="B581" s="107">
        <v>2021</v>
      </c>
      <c r="C581" s="107" t="s">
        <v>9</v>
      </c>
      <c r="D581" s="107" t="s">
        <v>132</v>
      </c>
      <c r="E581" s="107" t="s">
        <v>10</v>
      </c>
      <c r="F581" s="115">
        <v>9</v>
      </c>
      <c r="G581" s="107" t="s">
        <v>33</v>
      </c>
      <c r="H581" s="107" t="str">
        <f t="shared" si="54"/>
        <v>Area 9: Admiralty Inlet</v>
      </c>
      <c r="I581" s="107" t="str">
        <f>IFERROR(VLOOKUP(H581,LUTs!$A$1:$C$73,2,FALSE),"NA")</f>
        <v>NA</v>
      </c>
      <c r="J581" s="107" t="str">
        <f>IFERROR(VLOOKUP(H581,LUTs!$A$1:$C$73,3,FALSE),"NA")</f>
        <v>2Central Puget Sound</v>
      </c>
      <c r="K581" s="107" t="s">
        <v>17</v>
      </c>
      <c r="L581" s="107" t="str">
        <f>VLOOKUP(K581,LUTs!E$2:G$14,3,)</f>
        <v>04Island</v>
      </c>
      <c r="M581" s="107" t="str">
        <f>VLOOKUP($K581,LUTs!$E$2:$H$14,2,)</f>
        <v>North Puget Sound</v>
      </c>
      <c r="N581" s="107" t="str">
        <f>VLOOKUP($K581,LUTs!$E$2:$H$14,4,)</f>
        <v>01North Puget Sound</v>
      </c>
      <c r="O581" s="107">
        <v>14731.0212131837</v>
      </c>
      <c r="P581" s="107">
        <v>16484.0182146441</v>
      </c>
      <c r="Q581" s="107">
        <f t="shared" si="55"/>
        <v>14731.0212131837</v>
      </c>
      <c r="R581" s="107">
        <f t="shared" si="56"/>
        <v>16484.0182146441</v>
      </c>
      <c r="S581" s="140" t="str">
        <f t="shared" si="57"/>
        <v>N</v>
      </c>
      <c r="T581" s="154">
        <f t="shared" si="58"/>
        <v>1.1190003718066426</v>
      </c>
      <c r="U581" s="154">
        <f t="shared" si="59"/>
        <v>1.1190003718066426</v>
      </c>
    </row>
    <row r="582" spans="1:21" x14ac:dyDescent="0.35">
      <c r="A582" s="107">
        <v>2725</v>
      </c>
      <c r="B582" s="107">
        <v>2021</v>
      </c>
      <c r="C582" s="107" t="s">
        <v>9</v>
      </c>
      <c r="D582" s="107" t="s">
        <v>132</v>
      </c>
      <c r="E582" s="107" t="s">
        <v>10</v>
      </c>
      <c r="F582" s="115">
        <v>9</v>
      </c>
      <c r="G582" s="107" t="s">
        <v>33</v>
      </c>
      <c r="H582" s="107" t="str">
        <f t="shared" si="54"/>
        <v>Area 9: Admiralty Inlet</v>
      </c>
      <c r="I582" s="107" t="str">
        <f>IFERROR(VLOOKUP(H582,LUTs!$A$1:$C$73,2,FALSE),"NA")</f>
        <v>NA</v>
      </c>
      <c r="J582" s="107" t="str">
        <f>IFERROR(VLOOKUP(H582,LUTs!$A$1:$C$73,3,FALSE),"NA")</f>
        <v>2Central Puget Sound</v>
      </c>
      <c r="K582" s="107" t="s">
        <v>25</v>
      </c>
      <c r="L582" s="107" t="str">
        <f>VLOOKUP(K582,LUTs!E$2:G$14,3,)</f>
        <v>12Jefferson</v>
      </c>
      <c r="M582" s="107" t="str">
        <f>VLOOKUP($K582,LUTs!$E$2:$H$14,2,)</f>
        <v>Strait of Juan de Fuca</v>
      </c>
      <c r="N582" s="107" t="str">
        <f>VLOOKUP($K582,LUTs!$E$2:$H$14,4,)</f>
        <v>03Strait of Juan de Fuca</v>
      </c>
      <c r="O582" s="107">
        <v>1518.23895511922</v>
      </c>
      <c r="P582" s="107">
        <v>1698.9099552697301</v>
      </c>
      <c r="Q582" s="107">
        <f t="shared" si="55"/>
        <v>1518.23895511922</v>
      </c>
      <c r="R582" s="107">
        <f t="shared" si="56"/>
        <v>1698.9099552697301</v>
      </c>
      <c r="S582" s="140" t="str">
        <f t="shared" si="57"/>
        <v>N</v>
      </c>
      <c r="T582" s="154">
        <f t="shared" si="58"/>
        <v>1.1190003718066388</v>
      </c>
      <c r="U582" s="154">
        <f t="shared" si="59"/>
        <v>1.1190003718066388</v>
      </c>
    </row>
    <row r="583" spans="1:21" x14ac:dyDescent="0.35">
      <c r="A583" s="107">
        <v>2607</v>
      </c>
      <c r="B583" s="107">
        <v>2021</v>
      </c>
      <c r="C583" s="107" t="s">
        <v>9</v>
      </c>
      <c r="D583" s="107" t="s">
        <v>132</v>
      </c>
      <c r="E583" s="107" t="s">
        <v>10</v>
      </c>
      <c r="F583" s="115">
        <v>9</v>
      </c>
      <c r="G583" s="107" t="s">
        <v>33</v>
      </c>
      <c r="H583" s="107" t="str">
        <f t="shared" si="54"/>
        <v>Area 9: Admiralty Inlet</v>
      </c>
      <c r="I583" s="107" t="str">
        <f>IFERROR(VLOOKUP(H583,LUTs!$A$1:$C$73,2,FALSE),"NA")</f>
        <v>NA</v>
      </c>
      <c r="J583" s="107" t="str">
        <f>IFERROR(VLOOKUP(H583,LUTs!$A$1:$C$73,3,FALSE),"NA")</f>
        <v>2Central Puget Sound</v>
      </c>
      <c r="K583" s="107" t="s">
        <v>18</v>
      </c>
      <c r="L583" s="107" t="str">
        <f>VLOOKUP(K583,LUTs!E$2:G$14,3,)</f>
        <v>06King</v>
      </c>
      <c r="M583" s="107" t="str">
        <f>VLOOKUP($K583,LUTs!$E$2:$H$14,2,)</f>
        <v>South Puget Sound</v>
      </c>
      <c r="N583" s="107" t="str">
        <f>VLOOKUP($K583,LUTs!$E$2:$H$14,4,)</f>
        <v>02South Puget Sound</v>
      </c>
      <c r="O583" s="107">
        <v>8075.3899018232796</v>
      </c>
      <c r="P583" s="107">
        <v>9036.3643026238497</v>
      </c>
      <c r="Q583" s="107">
        <f t="shared" si="55"/>
        <v>8075.3899018232796</v>
      </c>
      <c r="R583" s="107">
        <f t="shared" si="56"/>
        <v>9036.3643026238497</v>
      </c>
      <c r="S583" s="140" t="str">
        <f t="shared" si="57"/>
        <v>N</v>
      </c>
      <c r="T583" s="154">
        <f t="shared" si="58"/>
        <v>1.1190003718066417</v>
      </c>
      <c r="U583" s="154">
        <f t="shared" si="59"/>
        <v>1.1190003718066417</v>
      </c>
    </row>
    <row r="584" spans="1:21" x14ac:dyDescent="0.35">
      <c r="A584" s="107">
        <v>2723</v>
      </c>
      <c r="B584" s="107">
        <v>2021</v>
      </c>
      <c r="C584" s="107" t="s">
        <v>9</v>
      </c>
      <c r="D584" s="107" t="s">
        <v>132</v>
      </c>
      <c r="E584" s="107" t="s">
        <v>10</v>
      </c>
      <c r="F584" s="115">
        <v>9</v>
      </c>
      <c r="G584" s="107" t="s">
        <v>33</v>
      </c>
      <c r="H584" s="107" t="str">
        <f t="shared" si="54"/>
        <v>Area 9: Admiralty Inlet</v>
      </c>
      <c r="I584" s="107" t="str">
        <f>IFERROR(VLOOKUP(H584,LUTs!$A$1:$C$73,2,FALSE),"NA")</f>
        <v>NA</v>
      </c>
      <c r="J584" s="107" t="str">
        <f>IFERROR(VLOOKUP(H584,LUTs!$A$1:$C$73,3,FALSE),"NA")</f>
        <v>2Central Puget Sound</v>
      </c>
      <c r="K584" s="107" t="s">
        <v>23</v>
      </c>
      <c r="L584" s="107" t="str">
        <f>VLOOKUP(K584,LUTs!E$2:G$14,3,)</f>
        <v>10Kitsap</v>
      </c>
      <c r="M584" s="107" t="str">
        <f>VLOOKUP($K584,LUTs!$E$2:$H$14,2,)</f>
        <v>South Puget Sound</v>
      </c>
      <c r="N584" s="107" t="str">
        <f>VLOOKUP($K584,LUTs!$E$2:$H$14,4,)</f>
        <v>02South Puget Sound</v>
      </c>
      <c r="O584" s="107">
        <v>2199.3948106591902</v>
      </c>
      <c r="P584" s="107">
        <v>2461.12361087723</v>
      </c>
      <c r="Q584" s="107">
        <f t="shared" si="55"/>
        <v>2199.3948106591902</v>
      </c>
      <c r="R584" s="107">
        <f t="shared" si="56"/>
        <v>2461.12361087723</v>
      </c>
      <c r="S584" s="140" t="str">
        <f t="shared" si="57"/>
        <v>N</v>
      </c>
      <c r="T584" s="154">
        <f t="shared" si="58"/>
        <v>1.1190003718066408</v>
      </c>
      <c r="U584" s="154">
        <f t="shared" si="59"/>
        <v>1.1190003718066408</v>
      </c>
    </row>
    <row r="585" spans="1:21" x14ac:dyDescent="0.35">
      <c r="A585" s="107">
        <v>2669</v>
      </c>
      <c r="B585" s="107">
        <v>2021</v>
      </c>
      <c r="C585" s="107" t="s">
        <v>9</v>
      </c>
      <c r="D585" s="107" t="s">
        <v>132</v>
      </c>
      <c r="E585" s="107" t="s">
        <v>10</v>
      </c>
      <c r="F585" s="115">
        <v>9</v>
      </c>
      <c r="G585" s="107" t="s">
        <v>33</v>
      </c>
      <c r="H585" s="107" t="str">
        <f t="shared" si="54"/>
        <v>Area 9: Admiralty Inlet</v>
      </c>
      <c r="I585" s="107" t="str">
        <f>IFERROR(VLOOKUP(H585,LUTs!$A$1:$C$73,2,FALSE),"NA")</f>
        <v>NA</v>
      </c>
      <c r="J585" s="107" t="str">
        <f>IFERROR(VLOOKUP(H585,LUTs!$A$1:$C$73,3,FALSE),"NA")</f>
        <v>2Central Puget Sound</v>
      </c>
      <c r="K585" s="107" t="s">
        <v>22</v>
      </c>
      <c r="L585" s="107" t="str">
        <f>VLOOKUP(K585,LUTs!E$2:G$14,3,)</f>
        <v>09Mason</v>
      </c>
      <c r="M585" s="107" t="str">
        <f>VLOOKUP($K585,LUTs!$E$2:$H$14,2,)</f>
        <v>South Puget Sound</v>
      </c>
      <c r="N585" s="107" t="str">
        <f>VLOOKUP($K585,LUTs!$E$2:$H$14,4,)</f>
        <v>02South Puget Sound</v>
      </c>
      <c r="O585" s="107">
        <v>57.4468793828892</v>
      </c>
      <c r="P585" s="107">
        <v>64.283079388584298</v>
      </c>
      <c r="Q585" s="107">
        <f t="shared" si="55"/>
        <v>57.4468793828892</v>
      </c>
      <c r="R585" s="107">
        <f t="shared" si="56"/>
        <v>64.283079388584298</v>
      </c>
      <c r="S585" s="140" t="str">
        <f t="shared" si="57"/>
        <v>N</v>
      </c>
      <c r="T585" s="154">
        <f t="shared" si="58"/>
        <v>1.1190003718066415</v>
      </c>
      <c r="U585" s="154">
        <f t="shared" si="59"/>
        <v>1.1190003718066415</v>
      </c>
    </row>
    <row r="586" spans="1:21" x14ac:dyDescent="0.35">
      <c r="A586" s="107">
        <v>2726</v>
      </c>
      <c r="B586" s="107">
        <v>2021</v>
      </c>
      <c r="C586" s="107" t="s">
        <v>9</v>
      </c>
      <c r="D586" s="107" t="s">
        <v>132</v>
      </c>
      <c r="E586" s="107" t="s">
        <v>10</v>
      </c>
      <c r="F586" s="115">
        <v>9</v>
      </c>
      <c r="G586" s="107" t="s">
        <v>33</v>
      </c>
      <c r="H586" s="107" t="str">
        <f t="shared" si="54"/>
        <v>Area 9: Admiralty Inlet</v>
      </c>
      <c r="I586" s="107" t="str">
        <f>IFERROR(VLOOKUP(H586,LUTs!$A$1:$C$73,2,FALSE),"NA")</f>
        <v>NA</v>
      </c>
      <c r="J586" s="107" t="str">
        <f>IFERROR(VLOOKUP(H586,LUTs!$A$1:$C$73,3,FALSE),"NA")</f>
        <v>2Central Puget Sound</v>
      </c>
      <c r="K586" s="107" t="s">
        <v>26</v>
      </c>
      <c r="L586" s="107" t="str">
        <f>VLOOKUP(K586,LUTs!E$2:G$14,3,)</f>
        <v>20Other</v>
      </c>
      <c r="M586" s="107" t="str">
        <f>VLOOKUP($K586,LUTs!$E$2:$H$14,2,)</f>
        <v>Non Puget Sound</v>
      </c>
      <c r="N586" s="107" t="str">
        <f>VLOOKUP($K586,LUTs!$E$2:$H$14,4,)</f>
        <v>07Non Puget Sound</v>
      </c>
      <c r="O586" s="107">
        <v>4390.5829242636801</v>
      </c>
      <c r="P586" s="107">
        <v>4913.0639246989404</v>
      </c>
      <c r="Q586" s="107">
        <f t="shared" si="55"/>
        <v>4390.5829242636801</v>
      </c>
      <c r="R586" s="107">
        <f t="shared" si="56"/>
        <v>4913.0639246989404</v>
      </c>
      <c r="S586" s="140" t="str">
        <f t="shared" si="57"/>
        <v>N</v>
      </c>
      <c r="T586" s="154">
        <f t="shared" si="58"/>
        <v>1.1190003718066395</v>
      </c>
      <c r="U586" s="154">
        <f t="shared" si="59"/>
        <v>1.1190003718066395</v>
      </c>
    </row>
    <row r="587" spans="1:21" x14ac:dyDescent="0.35">
      <c r="A587" s="107">
        <v>2608</v>
      </c>
      <c r="B587" s="107">
        <v>2021</v>
      </c>
      <c r="C587" s="107" t="s">
        <v>9</v>
      </c>
      <c r="D587" s="107" t="s">
        <v>132</v>
      </c>
      <c r="E587" s="107" t="s">
        <v>10</v>
      </c>
      <c r="F587" s="115">
        <v>9</v>
      </c>
      <c r="G587" s="107" t="s">
        <v>33</v>
      </c>
      <c r="H587" s="107" t="str">
        <f t="shared" si="54"/>
        <v>Area 9: Admiralty Inlet</v>
      </c>
      <c r="I587" s="107" t="str">
        <f>IFERROR(VLOOKUP(H587,LUTs!$A$1:$C$73,2,FALSE),"NA")</f>
        <v>NA</v>
      </c>
      <c r="J587" s="107" t="str">
        <f>IFERROR(VLOOKUP(H587,LUTs!$A$1:$C$73,3,FALSE),"NA")</f>
        <v>2Central Puget Sound</v>
      </c>
      <c r="K587" s="107" t="s">
        <v>20</v>
      </c>
      <c r="L587" s="107" t="str">
        <f>VLOOKUP(K587,LUTs!E$2:G$14,3,)</f>
        <v>07Pierce</v>
      </c>
      <c r="M587" s="107" t="str">
        <f>VLOOKUP($K587,LUTs!$E$2:$H$14,2,)</f>
        <v>South Puget Sound</v>
      </c>
      <c r="N587" s="107" t="str">
        <f>VLOOKUP($K587,LUTs!$E$2:$H$14,4,)</f>
        <v>02South Puget Sound</v>
      </c>
      <c r="O587" s="107">
        <v>672.94915848527398</v>
      </c>
      <c r="P587" s="107">
        <v>753.03035855198698</v>
      </c>
      <c r="Q587" s="107">
        <f t="shared" si="55"/>
        <v>672.94915848527398</v>
      </c>
      <c r="R587" s="107">
        <f t="shared" si="56"/>
        <v>753.03035855198698</v>
      </c>
      <c r="S587" s="140" t="str">
        <f t="shared" si="57"/>
        <v>N</v>
      </c>
      <c r="T587" s="154">
        <f t="shared" si="58"/>
        <v>1.1190003718066399</v>
      </c>
      <c r="U587" s="154">
        <f t="shared" si="59"/>
        <v>1.1190003718066399</v>
      </c>
    </row>
    <row r="588" spans="1:21" x14ac:dyDescent="0.35">
      <c r="A588" s="107">
        <v>2604</v>
      </c>
      <c r="B588" s="107">
        <v>2021</v>
      </c>
      <c r="C588" s="107" t="s">
        <v>9</v>
      </c>
      <c r="D588" s="107" t="s">
        <v>132</v>
      </c>
      <c r="E588" s="107" t="s">
        <v>10</v>
      </c>
      <c r="F588" s="115">
        <v>9</v>
      </c>
      <c r="G588" s="107" t="s">
        <v>33</v>
      </c>
      <c r="H588" s="107" t="str">
        <f t="shared" si="54"/>
        <v>Area 9: Admiralty Inlet</v>
      </c>
      <c r="I588" s="107" t="str">
        <f>IFERROR(VLOOKUP(H588,LUTs!$A$1:$C$73,2,FALSE),"NA")</f>
        <v>NA</v>
      </c>
      <c r="J588" s="107" t="str">
        <f>IFERROR(VLOOKUP(H588,LUTs!$A$1:$C$73,3,FALSE),"NA")</f>
        <v>2Central Puget Sound</v>
      </c>
      <c r="K588" s="107" t="s">
        <v>15</v>
      </c>
      <c r="L588" s="107" t="str">
        <f>VLOOKUP(K588,LUTs!E$2:G$14,3,)</f>
        <v>02Skagit</v>
      </c>
      <c r="M588" s="107" t="str">
        <f>VLOOKUP($K588,LUTs!$E$2:$H$14,2,)</f>
        <v>North Puget Sound</v>
      </c>
      <c r="N588" s="107" t="str">
        <f>VLOOKUP($K588,LUTs!$E$2:$H$14,4,)</f>
        <v>01North Puget Sound</v>
      </c>
      <c r="O588" s="107">
        <v>919.15007012622698</v>
      </c>
      <c r="P588" s="107">
        <v>1028.5292702173499</v>
      </c>
      <c r="Q588" s="107">
        <f t="shared" si="55"/>
        <v>919.15007012622698</v>
      </c>
      <c r="R588" s="107">
        <f t="shared" si="56"/>
        <v>1028.5292702173499</v>
      </c>
      <c r="S588" s="140" t="str">
        <f t="shared" si="57"/>
        <v>N</v>
      </c>
      <c r="T588" s="154">
        <f t="shared" si="58"/>
        <v>1.119000371806643</v>
      </c>
      <c r="U588" s="154">
        <f t="shared" si="59"/>
        <v>1.119000371806643</v>
      </c>
    </row>
    <row r="589" spans="1:21" x14ac:dyDescent="0.35">
      <c r="A589" s="107">
        <v>2605</v>
      </c>
      <c r="B589" s="107">
        <v>2021</v>
      </c>
      <c r="C589" s="107" t="s">
        <v>9</v>
      </c>
      <c r="D589" s="107" t="s">
        <v>132</v>
      </c>
      <c r="E589" s="107" t="s">
        <v>10</v>
      </c>
      <c r="F589" s="115">
        <v>9</v>
      </c>
      <c r="G589" s="107" t="s">
        <v>33</v>
      </c>
      <c r="H589" s="107" t="str">
        <f t="shared" si="54"/>
        <v>Area 9: Admiralty Inlet</v>
      </c>
      <c r="I589" s="107" t="str">
        <f>IFERROR(VLOOKUP(H589,LUTs!$A$1:$C$73,2,FALSE),"NA")</f>
        <v>NA</v>
      </c>
      <c r="J589" s="107" t="str">
        <f>IFERROR(VLOOKUP(H589,LUTs!$A$1:$C$73,3,FALSE),"NA")</f>
        <v>2Central Puget Sound</v>
      </c>
      <c r="K589" s="107" t="s">
        <v>16</v>
      </c>
      <c r="L589" s="107" t="str">
        <f>VLOOKUP(K589,LUTs!E$2:G$14,3,)</f>
        <v>03Snohomish</v>
      </c>
      <c r="M589" s="107" t="str">
        <f>VLOOKUP($K589,LUTs!$E$2:$H$14,2,)</f>
        <v>North Puget Sound</v>
      </c>
      <c r="N589" s="107" t="str">
        <f>VLOOKUP($K589,LUTs!$E$2:$H$14,4,)</f>
        <v>01North Puget Sound</v>
      </c>
      <c r="O589" s="107">
        <v>13253.815743338</v>
      </c>
      <c r="P589" s="107">
        <v>14831.024744651901</v>
      </c>
      <c r="Q589" s="107">
        <f t="shared" si="55"/>
        <v>13253.815743338</v>
      </c>
      <c r="R589" s="107">
        <f t="shared" si="56"/>
        <v>14831.024744651901</v>
      </c>
      <c r="S589" s="140" t="str">
        <f t="shared" si="57"/>
        <v>N</v>
      </c>
      <c r="T589" s="154">
        <f t="shared" si="58"/>
        <v>1.1190003718066384</v>
      </c>
      <c r="U589" s="154">
        <f t="shared" si="59"/>
        <v>1.1190003718066384</v>
      </c>
    </row>
    <row r="590" spans="1:21" x14ac:dyDescent="0.35">
      <c r="A590" s="107">
        <v>2609</v>
      </c>
      <c r="B590" s="107">
        <v>2021</v>
      </c>
      <c r="C590" s="107" t="s">
        <v>9</v>
      </c>
      <c r="D590" s="107" t="s">
        <v>132</v>
      </c>
      <c r="E590" s="107" t="s">
        <v>10</v>
      </c>
      <c r="F590" s="115">
        <v>9</v>
      </c>
      <c r="G590" s="107" t="s">
        <v>33</v>
      </c>
      <c r="H590" s="107" t="str">
        <f t="shared" si="54"/>
        <v>Area 9: Admiralty Inlet</v>
      </c>
      <c r="I590" s="107" t="str">
        <f>IFERROR(VLOOKUP(H590,LUTs!$A$1:$C$73,2,FALSE),"NA")</f>
        <v>NA</v>
      </c>
      <c r="J590" s="107" t="str">
        <f>IFERROR(VLOOKUP(H590,LUTs!$A$1:$C$73,3,FALSE),"NA")</f>
        <v>2Central Puget Sound</v>
      </c>
      <c r="K590" s="107" t="s">
        <v>21</v>
      </c>
      <c r="L590" s="107" t="str">
        <f>VLOOKUP(K590,LUTs!E$2:G$14,3,)</f>
        <v>08Thurston</v>
      </c>
      <c r="M590" s="107" t="str">
        <f>VLOOKUP($K590,LUTs!$E$2:$H$14,2,)</f>
        <v>South Puget Sound</v>
      </c>
      <c r="N590" s="107" t="str">
        <f>VLOOKUP($K590,LUTs!$E$2:$H$14,4,)</f>
        <v>02South Puget Sound</v>
      </c>
      <c r="O590" s="107">
        <v>237.994214586255</v>
      </c>
      <c r="P590" s="107">
        <v>266.31561460984898</v>
      </c>
      <c r="Q590" s="107">
        <f t="shared" si="55"/>
        <v>237.994214586255</v>
      </c>
      <c r="R590" s="107">
        <f t="shared" si="56"/>
        <v>266.31561460984898</v>
      </c>
      <c r="S590" s="140" t="str">
        <f t="shared" si="57"/>
        <v>N</v>
      </c>
      <c r="T590" s="154">
        <f t="shared" si="58"/>
        <v>1.1190003718066415</v>
      </c>
      <c r="U590" s="154">
        <f t="shared" si="59"/>
        <v>1.1190003718066415</v>
      </c>
    </row>
    <row r="591" spans="1:21" x14ac:dyDescent="0.35">
      <c r="A591" s="107">
        <v>2603</v>
      </c>
      <c r="B591" s="107">
        <v>2021</v>
      </c>
      <c r="C591" s="107" t="s">
        <v>9</v>
      </c>
      <c r="D591" s="107" t="s">
        <v>132</v>
      </c>
      <c r="E591" s="107" t="s">
        <v>10</v>
      </c>
      <c r="F591" s="115">
        <v>9</v>
      </c>
      <c r="G591" s="107" t="s">
        <v>33</v>
      </c>
      <c r="H591" s="107" t="str">
        <f t="shared" si="54"/>
        <v>Area 9: Admiralty Inlet</v>
      </c>
      <c r="I591" s="107" t="str">
        <f>IFERROR(VLOOKUP(H591,LUTs!$A$1:$C$73,2,FALSE),"NA")</f>
        <v>NA</v>
      </c>
      <c r="J591" s="107" t="str">
        <f>IFERROR(VLOOKUP(H591,LUTs!$A$1:$C$73,3,FALSE),"NA")</f>
        <v>2Central Puget Sound</v>
      </c>
      <c r="K591" s="107" t="s">
        <v>13</v>
      </c>
      <c r="L591" s="107" t="str">
        <f>VLOOKUP(K591,LUTs!E$2:G$14,3,)</f>
        <v>01Whatcom</v>
      </c>
      <c r="M591" s="107" t="str">
        <f>VLOOKUP($K591,LUTs!$E$2:$H$14,2,)</f>
        <v>North Puget Sound</v>
      </c>
      <c r="N591" s="107" t="str">
        <f>VLOOKUP($K591,LUTs!$E$2:$H$14,4,)</f>
        <v>01North Puget Sound</v>
      </c>
      <c r="O591" s="107">
        <v>443.16164095371698</v>
      </c>
      <c r="P591" s="107">
        <v>495.89804099765001</v>
      </c>
      <c r="Q591" s="107">
        <f t="shared" si="55"/>
        <v>443.16164095371698</v>
      </c>
      <c r="R591" s="107">
        <f t="shared" si="56"/>
        <v>495.89804099765001</v>
      </c>
      <c r="S591" s="140" t="str">
        <f t="shared" si="57"/>
        <v>N</v>
      </c>
      <c r="T591" s="154">
        <f t="shared" si="58"/>
        <v>1.1190003718066399</v>
      </c>
      <c r="U591" s="154">
        <f t="shared" si="59"/>
        <v>1.1190003718066399</v>
      </c>
    </row>
    <row r="592" spans="1:21" x14ac:dyDescent="0.35">
      <c r="A592" s="107">
        <v>795</v>
      </c>
      <c r="B592" s="107">
        <v>2010</v>
      </c>
      <c r="C592" s="107" t="s">
        <v>9</v>
      </c>
      <c r="D592" s="107" t="s">
        <v>132</v>
      </c>
      <c r="E592" s="107" t="s">
        <v>10</v>
      </c>
      <c r="F592" s="115">
        <v>10</v>
      </c>
      <c r="G592" s="107" t="s">
        <v>34</v>
      </c>
      <c r="H592" s="107" t="str">
        <f t="shared" si="54"/>
        <v>Area 10: N Puget Sound</v>
      </c>
      <c r="I592" s="107" t="str">
        <f>IFERROR(VLOOKUP(H592,LUTs!$A$1:$C$73,2,FALSE),"NA")</f>
        <v>NA</v>
      </c>
      <c r="J592" s="107" t="str">
        <f>IFERROR(VLOOKUP(H592,LUTs!$A$1:$C$73,3,FALSE),"NA")</f>
        <v>3South Puget Sound</v>
      </c>
      <c r="K592" s="107" t="s">
        <v>24</v>
      </c>
      <c r="L592" s="107" t="str">
        <f>VLOOKUP(K592,LUTs!E$2:G$14,3,)</f>
        <v>11Clallam</v>
      </c>
      <c r="M592" s="107" t="str">
        <f>VLOOKUP($K592,LUTs!$E$2:$H$14,2,)</f>
        <v>Strait of Juan de Fuca</v>
      </c>
      <c r="N592" s="107" t="str">
        <f>VLOOKUP($K592,LUTs!$E$2:$H$14,4,)</f>
        <v>03Strait of Juan de Fuca</v>
      </c>
      <c r="O592" s="107">
        <v>5.4935289042277802</v>
      </c>
      <c r="P592" s="107">
        <v>34.521863675582402</v>
      </c>
      <c r="Q592" s="107">
        <f t="shared" si="55"/>
        <v>5.4935289042277802</v>
      </c>
      <c r="R592" s="107">
        <f t="shared" si="56"/>
        <v>34.521863675582402</v>
      </c>
      <c r="S592" s="140" t="str">
        <f t="shared" si="57"/>
        <v>Y</v>
      </c>
      <c r="T592" s="154">
        <f t="shared" si="58"/>
        <v>6.2840961206219603</v>
      </c>
      <c r="U592" s="154">
        <f t="shared" si="59"/>
        <v>6.2840961206219603</v>
      </c>
    </row>
    <row r="593" spans="1:21" x14ac:dyDescent="0.35">
      <c r="A593" s="107">
        <v>788</v>
      </c>
      <c r="B593" s="107">
        <v>2010</v>
      </c>
      <c r="C593" s="107" t="s">
        <v>9</v>
      </c>
      <c r="D593" s="107" t="s">
        <v>132</v>
      </c>
      <c r="E593" s="107" t="s">
        <v>10</v>
      </c>
      <c r="F593" s="115">
        <v>10</v>
      </c>
      <c r="G593" s="107" t="s">
        <v>34</v>
      </c>
      <c r="H593" s="107" t="str">
        <f t="shared" si="54"/>
        <v>Area 10: N Puget Sound</v>
      </c>
      <c r="I593" s="107" t="str">
        <f>IFERROR(VLOOKUP(H593,LUTs!$A$1:$C$73,2,FALSE),"NA")</f>
        <v>NA</v>
      </c>
      <c r="J593" s="107" t="str">
        <f>IFERROR(VLOOKUP(H593,LUTs!$A$1:$C$73,3,FALSE),"NA")</f>
        <v>3South Puget Sound</v>
      </c>
      <c r="K593" s="107" t="s">
        <v>17</v>
      </c>
      <c r="L593" s="107" t="str">
        <f>VLOOKUP(K593,LUTs!E$2:G$14,3,)</f>
        <v>04Island</v>
      </c>
      <c r="M593" s="107" t="str">
        <f>VLOOKUP($K593,LUTs!$E$2:$H$14,2,)</f>
        <v>North Puget Sound</v>
      </c>
      <c r="N593" s="107" t="str">
        <f>VLOOKUP($K593,LUTs!$E$2:$H$14,4,)</f>
        <v>01North Puget Sound</v>
      </c>
      <c r="O593" s="107">
        <v>5.4935289042277802</v>
      </c>
      <c r="P593" s="107">
        <v>34.521863675582402</v>
      </c>
      <c r="Q593" s="107">
        <f t="shared" si="55"/>
        <v>5.4935289042277802</v>
      </c>
      <c r="R593" s="107">
        <f t="shared" si="56"/>
        <v>34.521863675582402</v>
      </c>
      <c r="S593" s="140" t="str">
        <f t="shared" si="57"/>
        <v>Y</v>
      </c>
      <c r="T593" s="154">
        <f t="shared" si="58"/>
        <v>6.2840961206219603</v>
      </c>
      <c r="U593" s="154">
        <f t="shared" si="59"/>
        <v>6.2840961206219603</v>
      </c>
    </row>
    <row r="594" spans="1:21" x14ac:dyDescent="0.35">
      <c r="A594" s="107">
        <v>790</v>
      </c>
      <c r="B594" s="107">
        <v>2010</v>
      </c>
      <c r="C594" s="107" t="s">
        <v>9</v>
      </c>
      <c r="D594" s="107" t="s">
        <v>132</v>
      </c>
      <c r="E594" s="107" t="s">
        <v>10</v>
      </c>
      <c r="F594" s="115">
        <v>10</v>
      </c>
      <c r="G594" s="107" t="s">
        <v>34</v>
      </c>
      <c r="H594" s="107" t="str">
        <f t="shared" si="54"/>
        <v>Area 10: N Puget Sound</v>
      </c>
      <c r="I594" s="107" t="str">
        <f>IFERROR(VLOOKUP(H594,LUTs!$A$1:$C$73,2,FALSE),"NA")</f>
        <v>NA</v>
      </c>
      <c r="J594" s="107" t="str">
        <f>IFERROR(VLOOKUP(H594,LUTs!$A$1:$C$73,3,FALSE),"NA")</f>
        <v>3South Puget Sound</v>
      </c>
      <c r="K594" s="107" t="s">
        <v>18</v>
      </c>
      <c r="L594" s="107" t="str">
        <f>VLOOKUP(K594,LUTs!E$2:G$14,3,)</f>
        <v>06King</v>
      </c>
      <c r="M594" s="107" t="str">
        <f>VLOOKUP($K594,LUTs!$E$2:$H$14,2,)</f>
        <v>South Puget Sound</v>
      </c>
      <c r="N594" s="107" t="str">
        <f>VLOOKUP($K594,LUTs!$E$2:$H$14,4,)</f>
        <v>02South Puget Sound</v>
      </c>
      <c r="O594" s="107">
        <v>3120.32441760138</v>
      </c>
      <c r="P594" s="107">
        <v>19608.418567730801</v>
      </c>
      <c r="Q594" s="107">
        <f t="shared" si="55"/>
        <v>3120.32441760138</v>
      </c>
      <c r="R594" s="107">
        <f t="shared" si="56"/>
        <v>19608.418567730801</v>
      </c>
      <c r="S594" s="140" t="str">
        <f t="shared" si="57"/>
        <v>Y</v>
      </c>
      <c r="T594" s="154">
        <f t="shared" si="58"/>
        <v>6.2840961206219577</v>
      </c>
      <c r="U594" s="154">
        <f t="shared" si="59"/>
        <v>6.2840961206219577</v>
      </c>
    </row>
    <row r="595" spans="1:21" x14ac:dyDescent="0.35">
      <c r="A595" s="107">
        <v>794</v>
      </c>
      <c r="B595" s="107">
        <v>2010</v>
      </c>
      <c r="C595" s="107" t="s">
        <v>9</v>
      </c>
      <c r="D595" s="107" t="s">
        <v>132</v>
      </c>
      <c r="E595" s="107" t="s">
        <v>10</v>
      </c>
      <c r="F595" s="115">
        <v>10</v>
      </c>
      <c r="G595" s="107" t="s">
        <v>34</v>
      </c>
      <c r="H595" s="107" t="str">
        <f t="shared" si="54"/>
        <v>Area 10: N Puget Sound</v>
      </c>
      <c r="I595" s="107" t="str">
        <f>IFERROR(VLOOKUP(H595,LUTs!$A$1:$C$73,2,FALSE),"NA")</f>
        <v>NA</v>
      </c>
      <c r="J595" s="107" t="str">
        <f>IFERROR(VLOOKUP(H595,LUTs!$A$1:$C$73,3,FALSE),"NA")</f>
        <v>3South Puget Sound</v>
      </c>
      <c r="K595" s="107" t="s">
        <v>23</v>
      </c>
      <c r="L595" s="107" t="str">
        <f>VLOOKUP(K595,LUTs!E$2:G$14,3,)</f>
        <v>10Kitsap</v>
      </c>
      <c r="M595" s="107" t="str">
        <f>VLOOKUP($K595,LUTs!$E$2:$H$14,2,)</f>
        <v>South Puget Sound</v>
      </c>
      <c r="N595" s="107" t="str">
        <f>VLOOKUP($K595,LUTs!$E$2:$H$14,4,)</f>
        <v>02South Puget Sound</v>
      </c>
      <c r="O595" s="107">
        <v>1516.21397756687</v>
      </c>
      <c r="P595" s="107">
        <v>9528.0343744607399</v>
      </c>
      <c r="Q595" s="107">
        <f t="shared" si="55"/>
        <v>1516.21397756687</v>
      </c>
      <c r="R595" s="107">
        <f t="shared" si="56"/>
        <v>9528.0343744607399</v>
      </c>
      <c r="S595" s="140" t="str">
        <f t="shared" si="57"/>
        <v>Y</v>
      </c>
      <c r="T595" s="154">
        <f t="shared" si="58"/>
        <v>6.284096120621947</v>
      </c>
      <c r="U595" s="154">
        <f t="shared" si="59"/>
        <v>6.284096120621947</v>
      </c>
    </row>
    <row r="596" spans="1:21" x14ac:dyDescent="0.35">
      <c r="A596" s="107">
        <v>793</v>
      </c>
      <c r="B596" s="107">
        <v>2010</v>
      </c>
      <c r="C596" s="107" t="s">
        <v>9</v>
      </c>
      <c r="D596" s="107" t="s">
        <v>132</v>
      </c>
      <c r="E596" s="107" t="s">
        <v>10</v>
      </c>
      <c r="F596" s="115">
        <v>10</v>
      </c>
      <c r="G596" s="107" t="s">
        <v>34</v>
      </c>
      <c r="H596" s="107" t="str">
        <f t="shared" si="54"/>
        <v>Area 10: N Puget Sound</v>
      </c>
      <c r="I596" s="107" t="str">
        <f>IFERROR(VLOOKUP(H596,LUTs!$A$1:$C$73,2,FALSE),"NA")</f>
        <v>NA</v>
      </c>
      <c r="J596" s="107" t="str">
        <f>IFERROR(VLOOKUP(H596,LUTs!$A$1:$C$73,3,FALSE),"NA")</f>
        <v>3South Puget Sound</v>
      </c>
      <c r="K596" s="107" t="s">
        <v>22</v>
      </c>
      <c r="L596" s="107" t="str">
        <f>VLOOKUP(K596,LUTs!E$2:G$14,3,)</f>
        <v>09Mason</v>
      </c>
      <c r="M596" s="107" t="str">
        <f>VLOOKUP($K596,LUTs!$E$2:$H$14,2,)</f>
        <v>South Puget Sound</v>
      </c>
      <c r="N596" s="107" t="str">
        <f>VLOOKUP($K596,LUTs!$E$2:$H$14,4,)</f>
        <v>02South Puget Sound</v>
      </c>
      <c r="O596" s="107">
        <v>49.4417601380501</v>
      </c>
      <c r="P596" s="107">
        <v>310.696773080242</v>
      </c>
      <c r="Q596" s="107">
        <f t="shared" si="55"/>
        <v>49.4417601380501</v>
      </c>
      <c r="R596" s="107">
        <f t="shared" si="56"/>
        <v>310.696773080242</v>
      </c>
      <c r="S596" s="140" t="str">
        <f t="shared" si="57"/>
        <v>Y</v>
      </c>
      <c r="T596" s="154">
        <f t="shared" si="58"/>
        <v>6.2840961206219577</v>
      </c>
      <c r="U596" s="154">
        <f t="shared" si="59"/>
        <v>6.2840961206219577</v>
      </c>
    </row>
    <row r="597" spans="1:21" x14ac:dyDescent="0.35">
      <c r="A597" s="107">
        <v>796</v>
      </c>
      <c r="B597" s="107">
        <v>2010</v>
      </c>
      <c r="C597" s="107" t="s">
        <v>9</v>
      </c>
      <c r="D597" s="107" t="s">
        <v>132</v>
      </c>
      <c r="E597" s="107" t="s">
        <v>10</v>
      </c>
      <c r="F597" s="115">
        <v>10</v>
      </c>
      <c r="G597" s="107" t="s">
        <v>34</v>
      </c>
      <c r="H597" s="107" t="str">
        <f t="shared" si="54"/>
        <v>Area 10: N Puget Sound</v>
      </c>
      <c r="I597" s="107" t="str">
        <f>IFERROR(VLOOKUP(H597,LUTs!$A$1:$C$73,2,FALSE),"NA")</f>
        <v>NA</v>
      </c>
      <c r="J597" s="107" t="str">
        <f>IFERROR(VLOOKUP(H597,LUTs!$A$1:$C$73,3,FALSE),"NA")</f>
        <v>3South Puget Sound</v>
      </c>
      <c r="K597" s="107" t="s">
        <v>26</v>
      </c>
      <c r="L597" s="107" t="str">
        <f>VLOOKUP(K597,LUTs!E$2:G$14,3,)</f>
        <v>20Other</v>
      </c>
      <c r="M597" s="107" t="str">
        <f>VLOOKUP($K597,LUTs!$E$2:$H$14,2,)</f>
        <v>Non Puget Sound</v>
      </c>
      <c r="N597" s="107" t="str">
        <f>VLOOKUP($K597,LUTs!$E$2:$H$14,4,)</f>
        <v>07Non Puget Sound</v>
      </c>
      <c r="O597" s="107">
        <v>510.89818809318399</v>
      </c>
      <c r="P597" s="107">
        <v>3210.5333218291598</v>
      </c>
      <c r="Q597" s="107">
        <f t="shared" si="55"/>
        <v>510.89818809318399</v>
      </c>
      <c r="R597" s="107">
        <f t="shared" si="56"/>
        <v>3210.5333218291598</v>
      </c>
      <c r="S597" s="140" t="str">
        <f t="shared" si="57"/>
        <v>Y</v>
      </c>
      <c r="T597" s="154">
        <f t="shared" si="58"/>
        <v>6.2840961206219479</v>
      </c>
      <c r="U597" s="154">
        <f t="shared" si="59"/>
        <v>6.2840961206219479</v>
      </c>
    </row>
    <row r="598" spans="1:21" x14ac:dyDescent="0.35">
      <c r="A598" s="107">
        <v>791</v>
      </c>
      <c r="B598" s="107">
        <v>2010</v>
      </c>
      <c r="C598" s="107" t="s">
        <v>9</v>
      </c>
      <c r="D598" s="107" t="s">
        <v>132</v>
      </c>
      <c r="E598" s="107" t="s">
        <v>10</v>
      </c>
      <c r="F598" s="115">
        <v>10</v>
      </c>
      <c r="G598" s="107" t="s">
        <v>34</v>
      </c>
      <c r="H598" s="107" t="str">
        <f t="shared" si="54"/>
        <v>Area 10: N Puget Sound</v>
      </c>
      <c r="I598" s="107" t="str">
        <f>IFERROR(VLOOKUP(H598,LUTs!$A$1:$C$73,2,FALSE),"NA")</f>
        <v>NA</v>
      </c>
      <c r="J598" s="107" t="str">
        <f>IFERROR(VLOOKUP(H598,LUTs!$A$1:$C$73,3,FALSE),"NA")</f>
        <v>3South Puget Sound</v>
      </c>
      <c r="K598" s="107" t="s">
        <v>20</v>
      </c>
      <c r="L598" s="107" t="str">
        <f>VLOOKUP(K598,LUTs!E$2:G$14,3,)</f>
        <v>07Pierce</v>
      </c>
      <c r="M598" s="107" t="str">
        <f>VLOOKUP($K598,LUTs!$E$2:$H$14,2,)</f>
        <v>South Puget Sound</v>
      </c>
      <c r="N598" s="107" t="str">
        <f>VLOOKUP($K598,LUTs!$E$2:$H$14,4,)</f>
        <v>02South Puget Sound</v>
      </c>
      <c r="O598" s="107">
        <v>164.80586712683399</v>
      </c>
      <c r="P598" s="107">
        <v>1035.6559102674701</v>
      </c>
      <c r="Q598" s="107">
        <f t="shared" si="55"/>
        <v>164.80586712683399</v>
      </c>
      <c r="R598" s="107">
        <f t="shared" si="56"/>
        <v>1035.6559102674701</v>
      </c>
      <c r="S598" s="140" t="str">
        <f t="shared" si="57"/>
        <v>Y</v>
      </c>
      <c r="T598" s="154">
        <f t="shared" si="58"/>
        <v>6.2840961206219257</v>
      </c>
      <c r="U598" s="154">
        <f t="shared" si="59"/>
        <v>6.2840961206219257</v>
      </c>
    </row>
    <row r="599" spans="1:21" x14ac:dyDescent="0.35">
      <c r="A599" s="107">
        <v>789</v>
      </c>
      <c r="B599" s="107">
        <v>2010</v>
      </c>
      <c r="C599" s="107" t="s">
        <v>9</v>
      </c>
      <c r="D599" s="107" t="s">
        <v>132</v>
      </c>
      <c r="E599" s="107" t="s">
        <v>10</v>
      </c>
      <c r="F599" s="115">
        <v>10</v>
      </c>
      <c r="G599" s="107" t="s">
        <v>34</v>
      </c>
      <c r="H599" s="107" t="str">
        <f t="shared" si="54"/>
        <v>Area 10: N Puget Sound</v>
      </c>
      <c r="I599" s="107" t="str">
        <f>IFERROR(VLOOKUP(H599,LUTs!$A$1:$C$73,2,FALSE),"NA")</f>
        <v>NA</v>
      </c>
      <c r="J599" s="107" t="str">
        <f>IFERROR(VLOOKUP(H599,LUTs!$A$1:$C$73,3,FALSE),"NA")</f>
        <v>3South Puget Sound</v>
      </c>
      <c r="K599" s="107" t="s">
        <v>30</v>
      </c>
      <c r="L599" s="107" t="str">
        <f>VLOOKUP(K599,LUTs!E$2:G$14,3,)</f>
        <v>05San Juan</v>
      </c>
      <c r="M599" s="107" t="str">
        <f>VLOOKUP($K599,LUTs!$E$2:$H$14,2,)</f>
        <v>North Puget Sound</v>
      </c>
      <c r="N599" s="107" t="str">
        <f>VLOOKUP($K599,LUTs!$E$2:$H$14,4,)</f>
        <v>01North Puget Sound</v>
      </c>
      <c r="O599" s="107">
        <v>10.987057808455599</v>
      </c>
      <c r="P599" s="107">
        <v>69.043727351164804</v>
      </c>
      <c r="Q599" s="107">
        <f t="shared" si="55"/>
        <v>10.987057808455599</v>
      </c>
      <c r="R599" s="107">
        <f t="shared" si="56"/>
        <v>69.043727351164804</v>
      </c>
      <c r="S599" s="140" t="str">
        <f t="shared" si="57"/>
        <v>Y</v>
      </c>
      <c r="T599" s="154">
        <f t="shared" si="58"/>
        <v>6.2840961206219381</v>
      </c>
      <c r="U599" s="154">
        <f t="shared" si="59"/>
        <v>6.2840961206219381</v>
      </c>
    </row>
    <row r="600" spans="1:21" x14ac:dyDescent="0.35">
      <c r="A600" s="107">
        <v>787</v>
      </c>
      <c r="B600" s="107">
        <v>2010</v>
      </c>
      <c r="C600" s="107" t="s">
        <v>9</v>
      </c>
      <c r="D600" s="107" t="s">
        <v>132</v>
      </c>
      <c r="E600" s="107" t="s">
        <v>10</v>
      </c>
      <c r="F600" s="115">
        <v>10</v>
      </c>
      <c r="G600" s="107" t="s">
        <v>34</v>
      </c>
      <c r="H600" s="107" t="str">
        <f t="shared" si="54"/>
        <v>Area 10: N Puget Sound</v>
      </c>
      <c r="I600" s="107" t="str">
        <f>IFERROR(VLOOKUP(H600,LUTs!$A$1:$C$73,2,FALSE),"NA")</f>
        <v>NA</v>
      </c>
      <c r="J600" s="107" t="str">
        <f>IFERROR(VLOOKUP(H600,LUTs!$A$1:$C$73,3,FALSE),"NA")</f>
        <v>3South Puget Sound</v>
      </c>
      <c r="K600" s="107" t="s">
        <v>16</v>
      </c>
      <c r="L600" s="107" t="str">
        <f>VLOOKUP(K600,LUTs!E$2:G$14,3,)</f>
        <v>03Snohomish</v>
      </c>
      <c r="M600" s="107" t="str">
        <f>VLOOKUP($K600,LUTs!$E$2:$H$14,2,)</f>
        <v>North Puget Sound</v>
      </c>
      <c r="N600" s="107" t="str">
        <f>VLOOKUP($K600,LUTs!$E$2:$H$14,4,)</f>
        <v>01North Puget Sound</v>
      </c>
      <c r="O600" s="107">
        <v>917.41932700604002</v>
      </c>
      <c r="P600" s="107">
        <v>5765.1512338222601</v>
      </c>
      <c r="Q600" s="107">
        <f t="shared" si="55"/>
        <v>917.41932700604002</v>
      </c>
      <c r="R600" s="107">
        <f t="shared" si="56"/>
        <v>5765.1512338222601</v>
      </c>
      <c r="S600" s="140" t="str">
        <f t="shared" si="57"/>
        <v>Y</v>
      </c>
      <c r="T600" s="154">
        <f t="shared" si="58"/>
        <v>6.2840961206219541</v>
      </c>
      <c r="U600" s="154">
        <f t="shared" si="59"/>
        <v>6.2840961206219541</v>
      </c>
    </row>
    <row r="601" spans="1:21" x14ac:dyDescent="0.35">
      <c r="A601" s="107">
        <v>792</v>
      </c>
      <c r="B601" s="107">
        <v>2010</v>
      </c>
      <c r="C601" s="107" t="s">
        <v>9</v>
      </c>
      <c r="D601" s="107" t="s">
        <v>132</v>
      </c>
      <c r="E601" s="107" t="s">
        <v>10</v>
      </c>
      <c r="F601" s="115">
        <v>10</v>
      </c>
      <c r="G601" s="107" t="s">
        <v>34</v>
      </c>
      <c r="H601" s="107" t="str">
        <f t="shared" si="54"/>
        <v>Area 10: N Puget Sound</v>
      </c>
      <c r="I601" s="107" t="str">
        <f>IFERROR(VLOOKUP(H601,LUTs!$A$1:$C$73,2,FALSE),"NA")</f>
        <v>NA</v>
      </c>
      <c r="J601" s="107" t="str">
        <f>IFERROR(VLOOKUP(H601,LUTs!$A$1:$C$73,3,FALSE),"NA")</f>
        <v>3South Puget Sound</v>
      </c>
      <c r="K601" s="107" t="s">
        <v>21</v>
      </c>
      <c r="L601" s="107" t="str">
        <f>VLOOKUP(K601,LUTs!E$2:G$14,3,)</f>
        <v>08Thurston</v>
      </c>
      <c r="M601" s="107" t="str">
        <f>VLOOKUP($K601,LUTs!$E$2:$H$14,2,)</f>
        <v>South Puget Sound</v>
      </c>
      <c r="N601" s="107" t="str">
        <f>VLOOKUP($K601,LUTs!$E$2:$H$14,4,)</f>
        <v>02South Puget Sound</v>
      </c>
      <c r="O601" s="107">
        <v>43.948231233822298</v>
      </c>
      <c r="P601" s="107">
        <v>276.17490940465899</v>
      </c>
      <c r="Q601" s="107">
        <f t="shared" si="55"/>
        <v>43.948231233822298</v>
      </c>
      <c r="R601" s="107">
        <f t="shared" si="56"/>
        <v>276.17490940465899</v>
      </c>
      <c r="S601" s="140" t="str">
        <f t="shared" si="57"/>
        <v>Y</v>
      </c>
      <c r="T601" s="154">
        <f t="shared" si="58"/>
        <v>6.284096120621947</v>
      </c>
      <c r="U601" s="154">
        <f t="shared" si="59"/>
        <v>6.284096120621947</v>
      </c>
    </row>
    <row r="602" spans="1:21" x14ac:dyDescent="0.35">
      <c r="A602" s="107">
        <v>712</v>
      </c>
      <c r="B602" s="107">
        <v>2010</v>
      </c>
      <c r="C602" s="107" t="s">
        <v>9</v>
      </c>
      <c r="D602" s="107" t="s">
        <v>132</v>
      </c>
      <c r="E602" s="107" t="s">
        <v>10</v>
      </c>
      <c r="F602" s="115">
        <v>10</v>
      </c>
      <c r="G602" s="107" t="s">
        <v>34</v>
      </c>
      <c r="H602" s="107" t="str">
        <f t="shared" si="54"/>
        <v>Area 10: N Puget Sound</v>
      </c>
      <c r="I602" s="107" t="str">
        <f>IFERROR(VLOOKUP(H602,LUTs!$A$1:$C$73,2,FALSE),"NA")</f>
        <v>NA</v>
      </c>
      <c r="J602" s="107" t="str">
        <f>IFERROR(VLOOKUP(H602,LUTs!$A$1:$C$73,3,FALSE),"NA")</f>
        <v>3South Puget Sound</v>
      </c>
      <c r="K602" s="107" t="s">
        <v>13</v>
      </c>
      <c r="L602" s="107" t="str">
        <f>VLOOKUP(K602,LUTs!E$2:G$14,3,)</f>
        <v>01Whatcom</v>
      </c>
      <c r="M602" s="107" t="str">
        <f>VLOOKUP($K602,LUTs!$E$2:$H$14,2,)</f>
        <v>North Puget Sound</v>
      </c>
      <c r="N602" s="107" t="str">
        <f>VLOOKUP($K602,LUTs!$E$2:$H$14,4,)</f>
        <v>01North Puget Sound</v>
      </c>
      <c r="O602" s="107">
        <v>21.974115616911099</v>
      </c>
      <c r="P602" s="107">
        <v>138.08745470233001</v>
      </c>
      <c r="Q602" s="107">
        <f t="shared" si="55"/>
        <v>21.974115616911099</v>
      </c>
      <c r="R602" s="107">
        <f t="shared" si="56"/>
        <v>138.08745470233001</v>
      </c>
      <c r="S602" s="140" t="str">
        <f t="shared" si="57"/>
        <v>Y</v>
      </c>
      <c r="T602" s="154">
        <f t="shared" si="58"/>
        <v>6.2840961206219843</v>
      </c>
      <c r="U602" s="154">
        <f t="shared" si="59"/>
        <v>6.2840961206219843</v>
      </c>
    </row>
    <row r="603" spans="1:21" x14ac:dyDescent="0.35">
      <c r="A603" s="107">
        <v>900</v>
      </c>
      <c r="B603" s="107">
        <v>2011</v>
      </c>
      <c r="C603" s="107" t="s">
        <v>9</v>
      </c>
      <c r="D603" s="107" t="s">
        <v>132</v>
      </c>
      <c r="E603" s="107" t="s">
        <v>10</v>
      </c>
      <c r="F603" s="115">
        <v>10</v>
      </c>
      <c r="G603" s="107" t="s">
        <v>34</v>
      </c>
      <c r="H603" s="107" t="str">
        <f t="shared" si="54"/>
        <v>Area 10: N Puget Sound</v>
      </c>
      <c r="I603" s="107" t="str">
        <f>IFERROR(VLOOKUP(H603,LUTs!$A$1:$C$73,2,FALSE),"NA")</f>
        <v>NA</v>
      </c>
      <c r="J603" s="107" t="str">
        <f>IFERROR(VLOOKUP(H603,LUTs!$A$1:$C$73,3,FALSE),"NA")</f>
        <v>3South Puget Sound</v>
      </c>
      <c r="K603" s="107" t="s">
        <v>24</v>
      </c>
      <c r="L603" s="107" t="str">
        <f>VLOOKUP(K603,LUTs!E$2:G$14,3,)</f>
        <v>11Clallam</v>
      </c>
      <c r="M603" s="107" t="str">
        <f>VLOOKUP($K603,LUTs!$E$2:$H$14,2,)</f>
        <v>Strait of Juan de Fuca</v>
      </c>
      <c r="N603" s="107" t="str">
        <f>VLOOKUP($K603,LUTs!$E$2:$H$14,4,)</f>
        <v>03Strait of Juan de Fuca</v>
      </c>
      <c r="O603" s="107">
        <v>16.292665055811199</v>
      </c>
      <c r="P603" s="107">
        <v>31.975589232989499</v>
      </c>
      <c r="Q603" s="107">
        <f t="shared" si="55"/>
        <v>16.292665055811199</v>
      </c>
      <c r="R603" s="107">
        <f t="shared" si="56"/>
        <v>31.975589232989499</v>
      </c>
      <c r="S603" s="140" t="str">
        <f t="shared" si="57"/>
        <v>Y</v>
      </c>
      <c r="T603" s="154">
        <f t="shared" si="58"/>
        <v>1.9625757433455973</v>
      </c>
      <c r="U603" s="154">
        <f t="shared" si="59"/>
        <v>1.9625757433455973</v>
      </c>
    </row>
    <row r="604" spans="1:21" x14ac:dyDescent="0.35">
      <c r="A604" s="107">
        <v>893</v>
      </c>
      <c r="B604" s="107">
        <v>2011</v>
      </c>
      <c r="C604" s="107" t="s">
        <v>9</v>
      </c>
      <c r="D604" s="107" t="s">
        <v>132</v>
      </c>
      <c r="E604" s="107" t="s">
        <v>10</v>
      </c>
      <c r="F604" s="115">
        <v>10</v>
      </c>
      <c r="G604" s="107" t="s">
        <v>34</v>
      </c>
      <c r="H604" s="107" t="str">
        <f t="shared" si="54"/>
        <v>Area 10: N Puget Sound</v>
      </c>
      <c r="I604" s="107" t="str">
        <f>IFERROR(VLOOKUP(H604,LUTs!$A$1:$C$73,2,FALSE),"NA")</f>
        <v>NA</v>
      </c>
      <c r="J604" s="107" t="str">
        <f>IFERROR(VLOOKUP(H604,LUTs!$A$1:$C$73,3,FALSE),"NA")</f>
        <v>3South Puget Sound</v>
      </c>
      <c r="K604" s="107" t="s">
        <v>17</v>
      </c>
      <c r="L604" s="107" t="str">
        <f>VLOOKUP(K604,LUTs!E$2:G$14,3,)</f>
        <v>04Island</v>
      </c>
      <c r="M604" s="107" t="str">
        <f>VLOOKUP($K604,LUTs!$E$2:$H$14,2,)</f>
        <v>North Puget Sound</v>
      </c>
      <c r="N604" s="107" t="str">
        <f>VLOOKUP($K604,LUTs!$E$2:$H$14,4,)</f>
        <v>01North Puget Sound</v>
      </c>
      <c r="O604" s="107">
        <v>12.219498791858401</v>
      </c>
      <c r="P604" s="107">
        <v>23.981691924742101</v>
      </c>
      <c r="Q604" s="107">
        <f t="shared" si="55"/>
        <v>12.219498791858401</v>
      </c>
      <c r="R604" s="107">
        <f t="shared" si="56"/>
        <v>23.981691924742101</v>
      </c>
      <c r="S604" s="140" t="str">
        <f t="shared" si="57"/>
        <v>Y</v>
      </c>
      <c r="T604" s="154">
        <f t="shared" si="58"/>
        <v>1.962575743345595</v>
      </c>
      <c r="U604" s="154">
        <f t="shared" si="59"/>
        <v>1.962575743345595</v>
      </c>
    </row>
    <row r="605" spans="1:21" x14ac:dyDescent="0.35">
      <c r="A605" s="107">
        <v>901</v>
      </c>
      <c r="B605" s="107">
        <v>2011</v>
      </c>
      <c r="C605" s="107" t="s">
        <v>9</v>
      </c>
      <c r="D605" s="107" t="s">
        <v>132</v>
      </c>
      <c r="E605" s="107" t="s">
        <v>10</v>
      </c>
      <c r="F605" s="115">
        <v>10</v>
      </c>
      <c r="G605" s="107" t="s">
        <v>34</v>
      </c>
      <c r="H605" s="107" t="str">
        <f t="shared" si="54"/>
        <v>Area 10: N Puget Sound</v>
      </c>
      <c r="I605" s="107" t="str">
        <f>IFERROR(VLOOKUP(H605,LUTs!$A$1:$C$73,2,FALSE),"NA")</f>
        <v>NA</v>
      </c>
      <c r="J605" s="107" t="str">
        <f>IFERROR(VLOOKUP(H605,LUTs!$A$1:$C$73,3,FALSE),"NA")</f>
        <v>3South Puget Sound</v>
      </c>
      <c r="K605" s="107" t="s">
        <v>25</v>
      </c>
      <c r="L605" s="107" t="str">
        <f>VLOOKUP(K605,LUTs!E$2:G$14,3,)</f>
        <v>12Jefferson</v>
      </c>
      <c r="M605" s="107" t="str">
        <f>VLOOKUP($K605,LUTs!$E$2:$H$14,2,)</f>
        <v>Strait of Juan de Fuca</v>
      </c>
      <c r="N605" s="107" t="str">
        <f>VLOOKUP($K605,LUTs!$E$2:$H$14,4,)</f>
        <v>03Strait of Juan de Fuca</v>
      </c>
      <c r="O605" s="107">
        <v>36.658496375575297</v>
      </c>
      <c r="P605" s="107">
        <v>71.945075774226297</v>
      </c>
      <c r="Q605" s="107">
        <f t="shared" si="55"/>
        <v>36.658496375575297</v>
      </c>
      <c r="R605" s="107">
        <f t="shared" si="56"/>
        <v>71.945075774226297</v>
      </c>
      <c r="S605" s="140" t="str">
        <f t="shared" si="57"/>
        <v>Y</v>
      </c>
      <c r="T605" s="154">
        <f t="shared" si="58"/>
        <v>1.9625757433455897</v>
      </c>
      <c r="U605" s="154">
        <f t="shared" si="59"/>
        <v>1.9625757433455897</v>
      </c>
    </row>
    <row r="606" spans="1:21" x14ac:dyDescent="0.35">
      <c r="A606" s="107">
        <v>895</v>
      </c>
      <c r="B606" s="107">
        <v>2011</v>
      </c>
      <c r="C606" s="107" t="s">
        <v>9</v>
      </c>
      <c r="D606" s="107" t="s">
        <v>132</v>
      </c>
      <c r="E606" s="107" t="s">
        <v>10</v>
      </c>
      <c r="F606" s="115">
        <v>10</v>
      </c>
      <c r="G606" s="107" t="s">
        <v>34</v>
      </c>
      <c r="H606" s="107" t="str">
        <f t="shared" si="54"/>
        <v>Area 10: N Puget Sound</v>
      </c>
      <c r="I606" s="107" t="str">
        <f>IFERROR(VLOOKUP(H606,LUTs!$A$1:$C$73,2,FALSE),"NA")</f>
        <v>NA</v>
      </c>
      <c r="J606" s="107" t="str">
        <f>IFERROR(VLOOKUP(H606,LUTs!$A$1:$C$73,3,FALSE),"NA")</f>
        <v>3South Puget Sound</v>
      </c>
      <c r="K606" s="107" t="s">
        <v>18</v>
      </c>
      <c r="L606" s="107" t="str">
        <f>VLOOKUP(K606,LUTs!E$2:G$14,3,)</f>
        <v>06King</v>
      </c>
      <c r="M606" s="107" t="str">
        <f>VLOOKUP($K606,LUTs!$E$2:$H$14,2,)</f>
        <v>South Puget Sound</v>
      </c>
      <c r="N606" s="107" t="str">
        <f>VLOOKUP($K606,LUTs!$E$2:$H$14,4,)</f>
        <v>02South Puget Sound</v>
      </c>
      <c r="O606" s="107">
        <v>15327.324651254399</v>
      </c>
      <c r="P606" s="107">
        <v>30081.0355709348</v>
      </c>
      <c r="Q606" s="107">
        <f t="shared" si="55"/>
        <v>15327.324651254399</v>
      </c>
      <c r="R606" s="107">
        <f t="shared" si="56"/>
        <v>30081.0355709348</v>
      </c>
      <c r="S606" s="140" t="str">
        <f t="shared" si="57"/>
        <v>Y</v>
      </c>
      <c r="T606" s="154">
        <f t="shared" si="58"/>
        <v>1.9625757433455908</v>
      </c>
      <c r="U606" s="154">
        <f t="shared" si="59"/>
        <v>1.9625757433455908</v>
      </c>
    </row>
    <row r="607" spans="1:21" x14ac:dyDescent="0.35">
      <c r="A607" s="107">
        <v>899</v>
      </c>
      <c r="B607" s="107">
        <v>2011</v>
      </c>
      <c r="C607" s="107" t="s">
        <v>9</v>
      </c>
      <c r="D607" s="107" t="s">
        <v>132</v>
      </c>
      <c r="E607" s="107" t="s">
        <v>10</v>
      </c>
      <c r="F607" s="115">
        <v>10</v>
      </c>
      <c r="G607" s="107" t="s">
        <v>34</v>
      </c>
      <c r="H607" s="107" t="str">
        <f t="shared" si="54"/>
        <v>Area 10: N Puget Sound</v>
      </c>
      <c r="I607" s="107" t="str">
        <f>IFERROR(VLOOKUP(H607,LUTs!$A$1:$C$73,2,FALSE),"NA")</f>
        <v>NA</v>
      </c>
      <c r="J607" s="107" t="str">
        <f>IFERROR(VLOOKUP(H607,LUTs!$A$1:$C$73,3,FALSE),"NA")</f>
        <v>3South Puget Sound</v>
      </c>
      <c r="K607" s="107" t="s">
        <v>23</v>
      </c>
      <c r="L607" s="107" t="str">
        <f>VLOOKUP(K607,LUTs!E$2:G$14,3,)</f>
        <v>10Kitsap</v>
      </c>
      <c r="M607" s="107" t="str">
        <f>VLOOKUP($K607,LUTs!$E$2:$H$14,2,)</f>
        <v>South Puget Sound</v>
      </c>
      <c r="N607" s="107" t="str">
        <f>VLOOKUP($K607,LUTs!$E$2:$H$14,4,)</f>
        <v>02South Puget Sound</v>
      </c>
      <c r="O607" s="107">
        <v>2370.5827656205302</v>
      </c>
      <c r="P607" s="107">
        <v>4652.4482333999704</v>
      </c>
      <c r="Q607" s="107">
        <f t="shared" si="55"/>
        <v>2370.5827656205302</v>
      </c>
      <c r="R607" s="107">
        <f t="shared" si="56"/>
        <v>4652.4482333999704</v>
      </c>
      <c r="S607" s="140" t="str">
        <f t="shared" si="57"/>
        <v>Y</v>
      </c>
      <c r="T607" s="154">
        <f t="shared" si="58"/>
        <v>1.9625757433455959</v>
      </c>
      <c r="U607" s="154">
        <f t="shared" si="59"/>
        <v>1.9625757433455959</v>
      </c>
    </row>
    <row r="608" spans="1:21" x14ac:dyDescent="0.35">
      <c r="A608" s="107">
        <v>898</v>
      </c>
      <c r="B608" s="107">
        <v>2011</v>
      </c>
      <c r="C608" s="107" t="s">
        <v>9</v>
      </c>
      <c r="D608" s="107" t="s">
        <v>132</v>
      </c>
      <c r="E608" s="107" t="s">
        <v>10</v>
      </c>
      <c r="F608" s="115">
        <v>10</v>
      </c>
      <c r="G608" s="107" t="s">
        <v>34</v>
      </c>
      <c r="H608" s="107" t="str">
        <f t="shared" si="54"/>
        <v>Area 10: N Puget Sound</v>
      </c>
      <c r="I608" s="107" t="str">
        <f>IFERROR(VLOOKUP(H608,LUTs!$A$1:$C$73,2,FALSE),"NA")</f>
        <v>NA</v>
      </c>
      <c r="J608" s="107" t="str">
        <f>IFERROR(VLOOKUP(H608,LUTs!$A$1:$C$73,3,FALSE),"NA")</f>
        <v>3South Puget Sound</v>
      </c>
      <c r="K608" s="107" t="s">
        <v>22</v>
      </c>
      <c r="L608" s="107" t="str">
        <f>VLOOKUP(K608,LUTs!E$2:G$14,3,)</f>
        <v>09Mason</v>
      </c>
      <c r="M608" s="107" t="str">
        <f>VLOOKUP($K608,LUTs!$E$2:$H$14,2,)</f>
        <v>South Puget Sound</v>
      </c>
      <c r="N608" s="107" t="str">
        <f>VLOOKUP($K608,LUTs!$E$2:$H$14,4,)</f>
        <v>02South Puget Sound</v>
      </c>
      <c r="O608" s="107">
        <v>114.048655390679</v>
      </c>
      <c r="P608" s="107">
        <v>223.829124630926</v>
      </c>
      <c r="Q608" s="107">
        <f t="shared" si="55"/>
        <v>114.048655390679</v>
      </c>
      <c r="R608" s="107">
        <f t="shared" si="56"/>
        <v>223.829124630926</v>
      </c>
      <c r="S608" s="140" t="str">
        <f t="shared" si="57"/>
        <v>Y</v>
      </c>
      <c r="T608" s="154">
        <f t="shared" si="58"/>
        <v>1.9625757433455824</v>
      </c>
      <c r="U608" s="154">
        <f t="shared" si="59"/>
        <v>1.9625757433455824</v>
      </c>
    </row>
    <row r="609" spans="1:21" x14ac:dyDescent="0.35">
      <c r="A609" s="107">
        <v>902</v>
      </c>
      <c r="B609" s="107">
        <v>2011</v>
      </c>
      <c r="C609" s="107" t="s">
        <v>9</v>
      </c>
      <c r="D609" s="107" t="s">
        <v>132</v>
      </c>
      <c r="E609" s="107" t="s">
        <v>10</v>
      </c>
      <c r="F609" s="115">
        <v>10</v>
      </c>
      <c r="G609" s="107" t="s">
        <v>34</v>
      </c>
      <c r="H609" s="107" t="str">
        <f t="shared" si="54"/>
        <v>Area 10: N Puget Sound</v>
      </c>
      <c r="I609" s="107" t="str">
        <f>IFERROR(VLOOKUP(H609,LUTs!$A$1:$C$73,2,FALSE),"NA")</f>
        <v>NA</v>
      </c>
      <c r="J609" s="107" t="str">
        <f>IFERROR(VLOOKUP(H609,LUTs!$A$1:$C$73,3,FALSE),"NA")</f>
        <v>3South Puget Sound</v>
      </c>
      <c r="K609" s="107" t="s">
        <v>26</v>
      </c>
      <c r="L609" s="107" t="str">
        <f>VLOOKUP(K609,LUTs!E$2:G$14,3,)</f>
        <v>20Other</v>
      </c>
      <c r="M609" s="107" t="str">
        <f>VLOOKUP($K609,LUTs!$E$2:$H$14,2,)</f>
        <v>Non Puget Sound</v>
      </c>
      <c r="N609" s="107" t="str">
        <f>VLOOKUP($K609,LUTs!$E$2:$H$14,4,)</f>
        <v>07Non Puget Sound</v>
      </c>
      <c r="O609" s="107">
        <v>2142.48545483918</v>
      </c>
      <c r="P609" s="107">
        <v>4204.7899841381204</v>
      </c>
      <c r="Q609" s="107">
        <f t="shared" si="55"/>
        <v>2142.48545483918</v>
      </c>
      <c r="R609" s="107">
        <f t="shared" si="56"/>
        <v>4204.7899841381204</v>
      </c>
      <c r="S609" s="140" t="str">
        <f t="shared" si="57"/>
        <v>Y</v>
      </c>
      <c r="T609" s="154">
        <f t="shared" si="58"/>
        <v>1.962575743345591</v>
      </c>
      <c r="U609" s="154">
        <f t="shared" si="59"/>
        <v>1.962575743345591</v>
      </c>
    </row>
    <row r="610" spans="1:21" x14ac:dyDescent="0.35">
      <c r="A610" s="107">
        <v>896</v>
      </c>
      <c r="B610" s="107">
        <v>2011</v>
      </c>
      <c r="C610" s="107" t="s">
        <v>9</v>
      </c>
      <c r="D610" s="107" t="s">
        <v>132</v>
      </c>
      <c r="E610" s="107" t="s">
        <v>10</v>
      </c>
      <c r="F610" s="115">
        <v>10</v>
      </c>
      <c r="G610" s="107" t="s">
        <v>34</v>
      </c>
      <c r="H610" s="107" t="str">
        <f t="shared" si="54"/>
        <v>Area 10: N Puget Sound</v>
      </c>
      <c r="I610" s="107" t="str">
        <f>IFERROR(VLOOKUP(H610,LUTs!$A$1:$C$73,2,FALSE),"NA")</f>
        <v>NA</v>
      </c>
      <c r="J610" s="107" t="str">
        <f>IFERROR(VLOOKUP(H610,LUTs!$A$1:$C$73,3,FALSE),"NA")</f>
        <v>3South Puget Sound</v>
      </c>
      <c r="K610" s="107" t="s">
        <v>20</v>
      </c>
      <c r="L610" s="107" t="str">
        <f>VLOOKUP(K610,LUTs!E$2:G$14,3,)</f>
        <v>07Pierce</v>
      </c>
      <c r="M610" s="107" t="str">
        <f>VLOOKUP($K610,LUTs!$E$2:$H$14,2,)</f>
        <v>South Puget Sound</v>
      </c>
      <c r="N610" s="107" t="str">
        <f>VLOOKUP($K610,LUTs!$E$2:$H$14,4,)</f>
        <v>02South Puget Sound</v>
      </c>
      <c r="O610" s="107">
        <v>513.21894925805395</v>
      </c>
      <c r="P610" s="107">
        <v>1007.23106083917</v>
      </c>
      <c r="Q610" s="107">
        <f t="shared" si="55"/>
        <v>513.21894925805395</v>
      </c>
      <c r="R610" s="107">
        <f t="shared" si="56"/>
        <v>1007.23106083917</v>
      </c>
      <c r="S610" s="140" t="str">
        <f t="shared" si="57"/>
        <v>Y</v>
      </c>
      <c r="T610" s="154">
        <f t="shared" si="58"/>
        <v>1.9625757433455941</v>
      </c>
      <c r="U610" s="154">
        <f t="shared" si="59"/>
        <v>1.9625757433455941</v>
      </c>
    </row>
    <row r="611" spans="1:21" x14ac:dyDescent="0.35">
      <c r="A611" s="107">
        <v>894</v>
      </c>
      <c r="B611" s="107">
        <v>2011</v>
      </c>
      <c r="C611" s="107" t="s">
        <v>9</v>
      </c>
      <c r="D611" s="107" t="s">
        <v>132</v>
      </c>
      <c r="E611" s="107" t="s">
        <v>10</v>
      </c>
      <c r="F611" s="115">
        <v>10</v>
      </c>
      <c r="G611" s="107" t="s">
        <v>34</v>
      </c>
      <c r="H611" s="107" t="str">
        <f t="shared" si="54"/>
        <v>Area 10: N Puget Sound</v>
      </c>
      <c r="I611" s="107" t="str">
        <f>IFERROR(VLOOKUP(H611,LUTs!$A$1:$C$73,2,FALSE),"NA")</f>
        <v>NA</v>
      </c>
      <c r="J611" s="107" t="str">
        <f>IFERROR(VLOOKUP(H611,LUTs!$A$1:$C$73,3,FALSE),"NA")</f>
        <v>3South Puget Sound</v>
      </c>
      <c r="K611" s="107" t="s">
        <v>30</v>
      </c>
      <c r="L611" s="107" t="str">
        <f>VLOOKUP(K611,LUTs!E$2:G$14,3,)</f>
        <v>05San Juan</v>
      </c>
      <c r="M611" s="107" t="str">
        <f>VLOOKUP($K611,LUTs!$E$2:$H$14,2,)</f>
        <v>North Puget Sound</v>
      </c>
      <c r="N611" s="107" t="str">
        <f>VLOOKUP($K611,LUTs!$E$2:$H$14,4,)</f>
        <v>01North Puget Sound</v>
      </c>
      <c r="O611" s="107">
        <v>93.682824070914606</v>
      </c>
      <c r="P611" s="107">
        <v>183.85963808968901</v>
      </c>
      <c r="Q611" s="107">
        <f t="shared" si="55"/>
        <v>93.682824070914606</v>
      </c>
      <c r="R611" s="107">
        <f t="shared" si="56"/>
        <v>183.85963808968901</v>
      </c>
      <c r="S611" s="140" t="str">
        <f t="shared" si="57"/>
        <v>Y</v>
      </c>
      <c r="T611" s="154">
        <f t="shared" si="58"/>
        <v>1.9625757433455862</v>
      </c>
      <c r="U611" s="154">
        <f t="shared" si="59"/>
        <v>1.9625757433455862</v>
      </c>
    </row>
    <row r="612" spans="1:21" x14ac:dyDescent="0.35">
      <c r="A612" s="107">
        <v>891</v>
      </c>
      <c r="B612" s="107">
        <v>2011</v>
      </c>
      <c r="C612" s="107" t="s">
        <v>9</v>
      </c>
      <c r="D612" s="107" t="s">
        <v>132</v>
      </c>
      <c r="E612" s="107" t="s">
        <v>10</v>
      </c>
      <c r="F612" s="115">
        <v>10</v>
      </c>
      <c r="G612" s="107" t="s">
        <v>34</v>
      </c>
      <c r="H612" s="107" t="str">
        <f t="shared" si="54"/>
        <v>Area 10: N Puget Sound</v>
      </c>
      <c r="I612" s="107" t="str">
        <f>IFERROR(VLOOKUP(H612,LUTs!$A$1:$C$73,2,FALSE),"NA")</f>
        <v>NA</v>
      </c>
      <c r="J612" s="107" t="str">
        <f>IFERROR(VLOOKUP(H612,LUTs!$A$1:$C$73,3,FALSE),"NA")</f>
        <v>3South Puget Sound</v>
      </c>
      <c r="K612" s="107" t="s">
        <v>15</v>
      </c>
      <c r="L612" s="107" t="str">
        <f>VLOOKUP(K612,LUTs!E$2:G$14,3,)</f>
        <v>02Skagit</v>
      </c>
      <c r="M612" s="107" t="str">
        <f>VLOOKUP($K612,LUTs!$E$2:$H$14,2,)</f>
        <v>North Puget Sound</v>
      </c>
      <c r="N612" s="107" t="str">
        <f>VLOOKUP($K612,LUTs!$E$2:$H$14,4,)</f>
        <v>01North Puget Sound</v>
      </c>
      <c r="O612" s="107">
        <v>12.219498791858401</v>
      </c>
      <c r="P612" s="107">
        <v>23.981691924742101</v>
      </c>
      <c r="Q612" s="107">
        <f t="shared" si="55"/>
        <v>12.219498791858401</v>
      </c>
      <c r="R612" s="107">
        <f t="shared" si="56"/>
        <v>23.981691924742101</v>
      </c>
      <c r="S612" s="140" t="str">
        <f t="shared" si="57"/>
        <v>Y</v>
      </c>
      <c r="T612" s="154">
        <f t="shared" si="58"/>
        <v>1.962575743345595</v>
      </c>
      <c r="U612" s="154">
        <f t="shared" si="59"/>
        <v>1.962575743345595</v>
      </c>
    </row>
    <row r="613" spans="1:21" x14ac:dyDescent="0.35">
      <c r="A613" s="107">
        <v>892</v>
      </c>
      <c r="B613" s="107">
        <v>2011</v>
      </c>
      <c r="C613" s="107" t="s">
        <v>9</v>
      </c>
      <c r="D613" s="107" t="s">
        <v>132</v>
      </c>
      <c r="E613" s="107" t="s">
        <v>10</v>
      </c>
      <c r="F613" s="115">
        <v>10</v>
      </c>
      <c r="G613" s="107" t="s">
        <v>34</v>
      </c>
      <c r="H613" s="107" t="str">
        <f t="shared" si="54"/>
        <v>Area 10: N Puget Sound</v>
      </c>
      <c r="I613" s="107" t="str">
        <f>IFERROR(VLOOKUP(H613,LUTs!$A$1:$C$73,2,FALSE),"NA")</f>
        <v>NA</v>
      </c>
      <c r="J613" s="107" t="str">
        <f>IFERROR(VLOOKUP(H613,LUTs!$A$1:$C$73,3,FALSE),"NA")</f>
        <v>3South Puget Sound</v>
      </c>
      <c r="K613" s="107" t="s">
        <v>16</v>
      </c>
      <c r="L613" s="107" t="str">
        <f>VLOOKUP(K613,LUTs!E$2:G$14,3,)</f>
        <v>03Snohomish</v>
      </c>
      <c r="M613" s="107" t="str">
        <f>VLOOKUP($K613,LUTs!$E$2:$H$14,2,)</f>
        <v>North Puget Sound</v>
      </c>
      <c r="N613" s="107" t="str">
        <f>VLOOKUP($K613,LUTs!$E$2:$H$14,4,)</f>
        <v>01North Puget Sound</v>
      </c>
      <c r="O613" s="107">
        <v>3115.9721919239</v>
      </c>
      <c r="P613" s="107">
        <v>6115.3314408092401</v>
      </c>
      <c r="Q613" s="107">
        <f t="shared" si="55"/>
        <v>3115.9721919239</v>
      </c>
      <c r="R613" s="107">
        <f t="shared" si="56"/>
        <v>6115.3314408092401</v>
      </c>
      <c r="S613" s="140" t="str">
        <f t="shared" si="57"/>
        <v>Y</v>
      </c>
      <c r="T613" s="154">
        <f t="shared" si="58"/>
        <v>1.9625757433455915</v>
      </c>
      <c r="U613" s="154">
        <f t="shared" si="59"/>
        <v>1.9625757433455915</v>
      </c>
    </row>
    <row r="614" spans="1:21" x14ac:dyDescent="0.35">
      <c r="A614" s="107">
        <v>897</v>
      </c>
      <c r="B614" s="107">
        <v>2011</v>
      </c>
      <c r="C614" s="107" t="s">
        <v>9</v>
      </c>
      <c r="D614" s="107" t="s">
        <v>132</v>
      </c>
      <c r="E614" s="107" t="s">
        <v>10</v>
      </c>
      <c r="F614" s="115">
        <v>10</v>
      </c>
      <c r="G614" s="107" t="s">
        <v>34</v>
      </c>
      <c r="H614" s="107" t="str">
        <f t="shared" si="54"/>
        <v>Area 10: N Puget Sound</v>
      </c>
      <c r="I614" s="107" t="str">
        <f>IFERROR(VLOOKUP(H614,LUTs!$A$1:$C$73,2,FALSE),"NA")</f>
        <v>NA</v>
      </c>
      <c r="J614" s="107" t="str">
        <f>IFERROR(VLOOKUP(H614,LUTs!$A$1:$C$73,3,FALSE),"NA")</f>
        <v>3South Puget Sound</v>
      </c>
      <c r="K614" s="107" t="s">
        <v>21</v>
      </c>
      <c r="L614" s="107" t="str">
        <f>VLOOKUP(K614,LUTs!E$2:G$14,3,)</f>
        <v>08Thurston</v>
      </c>
      <c r="M614" s="107" t="str">
        <f>VLOOKUP($K614,LUTs!$E$2:$H$14,2,)</f>
        <v>South Puget Sound</v>
      </c>
      <c r="N614" s="107" t="str">
        <f>VLOOKUP($K614,LUTs!$E$2:$H$14,4,)</f>
        <v>02South Puget Sound</v>
      </c>
      <c r="O614" s="107">
        <v>44.804828903480903</v>
      </c>
      <c r="P614" s="107">
        <v>87.932870390721106</v>
      </c>
      <c r="Q614" s="107">
        <f t="shared" si="55"/>
        <v>44.804828903480903</v>
      </c>
      <c r="R614" s="107">
        <f t="shared" si="56"/>
        <v>87.932870390721106</v>
      </c>
      <c r="S614" s="140" t="str">
        <f t="shared" si="57"/>
        <v>Y</v>
      </c>
      <c r="T614" s="154">
        <f t="shared" si="58"/>
        <v>1.9625757433455921</v>
      </c>
      <c r="U614" s="154">
        <f t="shared" si="59"/>
        <v>1.9625757433455921</v>
      </c>
    </row>
    <row r="615" spans="1:21" x14ac:dyDescent="0.35">
      <c r="A615" s="107">
        <v>890</v>
      </c>
      <c r="B615" s="107">
        <v>2011</v>
      </c>
      <c r="C615" s="107" t="s">
        <v>9</v>
      </c>
      <c r="D615" s="107" t="s">
        <v>132</v>
      </c>
      <c r="E615" s="107" t="s">
        <v>10</v>
      </c>
      <c r="F615" s="115">
        <v>10</v>
      </c>
      <c r="G615" s="107" t="s">
        <v>34</v>
      </c>
      <c r="H615" s="107" t="str">
        <f t="shared" si="54"/>
        <v>Area 10: N Puget Sound</v>
      </c>
      <c r="I615" s="107" t="str">
        <f>IFERROR(VLOOKUP(H615,LUTs!$A$1:$C$73,2,FALSE),"NA")</f>
        <v>NA</v>
      </c>
      <c r="J615" s="107" t="str">
        <f>IFERROR(VLOOKUP(H615,LUTs!$A$1:$C$73,3,FALSE),"NA")</f>
        <v>3South Puget Sound</v>
      </c>
      <c r="K615" s="107" t="s">
        <v>13</v>
      </c>
      <c r="L615" s="107" t="str">
        <f>VLOOKUP(K615,LUTs!E$2:G$14,3,)</f>
        <v>01Whatcom</v>
      </c>
      <c r="M615" s="107" t="str">
        <f>VLOOKUP($K615,LUTs!$E$2:$H$14,2,)</f>
        <v>North Puget Sound</v>
      </c>
      <c r="N615" s="107" t="str">
        <f>VLOOKUP($K615,LUTs!$E$2:$H$14,4,)</f>
        <v>01North Puget Sound</v>
      </c>
      <c r="O615" s="107">
        <v>8.1463325279056207</v>
      </c>
      <c r="P615" s="107">
        <v>15.9877946164947</v>
      </c>
      <c r="Q615" s="107">
        <f t="shared" si="55"/>
        <v>8.1463325279056207</v>
      </c>
      <c r="R615" s="107">
        <f t="shared" si="56"/>
        <v>15.9877946164947</v>
      </c>
      <c r="S615" s="140" t="str">
        <f t="shared" si="57"/>
        <v>Y</v>
      </c>
      <c r="T615" s="154">
        <f t="shared" si="58"/>
        <v>1.9625757433455859</v>
      </c>
      <c r="U615" s="154">
        <f t="shared" si="59"/>
        <v>1.9625757433455859</v>
      </c>
    </row>
    <row r="616" spans="1:21" x14ac:dyDescent="0.35">
      <c r="A616" s="107">
        <v>1004</v>
      </c>
      <c r="B616" s="107">
        <v>2012</v>
      </c>
      <c r="C616" s="107" t="s">
        <v>9</v>
      </c>
      <c r="D616" s="107" t="s">
        <v>132</v>
      </c>
      <c r="E616" s="107" t="s">
        <v>10</v>
      </c>
      <c r="F616" s="115">
        <v>10</v>
      </c>
      <c r="G616" s="107" t="s">
        <v>34</v>
      </c>
      <c r="H616" s="107" t="str">
        <f t="shared" si="54"/>
        <v>Area 10: N Puget Sound</v>
      </c>
      <c r="I616" s="107" t="str">
        <f>IFERROR(VLOOKUP(H616,LUTs!$A$1:$C$73,2,FALSE),"NA")</f>
        <v>NA</v>
      </c>
      <c r="J616" s="107" t="str">
        <f>IFERROR(VLOOKUP(H616,LUTs!$A$1:$C$73,3,FALSE),"NA")</f>
        <v>3South Puget Sound</v>
      </c>
      <c r="K616" s="107" t="s">
        <v>24</v>
      </c>
      <c r="L616" s="107" t="str">
        <f>VLOOKUP(K616,LUTs!E$2:G$14,3,)</f>
        <v>11Clallam</v>
      </c>
      <c r="M616" s="107" t="str">
        <f>VLOOKUP($K616,LUTs!$E$2:$H$14,2,)</f>
        <v>Strait of Juan de Fuca</v>
      </c>
      <c r="N616" s="107" t="str">
        <f>VLOOKUP($K616,LUTs!$E$2:$H$14,4,)</f>
        <v>03Strait of Juan de Fuca</v>
      </c>
      <c r="O616" s="107">
        <v>44.225425950196602</v>
      </c>
      <c r="P616" s="107">
        <v>84.916679772826598</v>
      </c>
      <c r="Q616" s="107">
        <f t="shared" si="55"/>
        <v>44.225425950196602</v>
      </c>
      <c r="R616" s="107">
        <f t="shared" si="56"/>
        <v>84.916679772826598</v>
      </c>
      <c r="S616" s="140" t="str">
        <f t="shared" si="57"/>
        <v>Y</v>
      </c>
      <c r="T616" s="154">
        <f t="shared" si="58"/>
        <v>1.9200873241662719</v>
      </c>
      <c r="U616" s="154">
        <f t="shared" si="59"/>
        <v>1.9200873241662719</v>
      </c>
    </row>
    <row r="617" spans="1:21" x14ac:dyDescent="0.35">
      <c r="A617" s="107">
        <v>997</v>
      </c>
      <c r="B617" s="107">
        <v>2012</v>
      </c>
      <c r="C617" s="107" t="s">
        <v>9</v>
      </c>
      <c r="D617" s="107" t="s">
        <v>132</v>
      </c>
      <c r="E617" s="107" t="s">
        <v>10</v>
      </c>
      <c r="F617" s="115">
        <v>10</v>
      </c>
      <c r="G617" s="107" t="s">
        <v>34</v>
      </c>
      <c r="H617" s="107" t="str">
        <f t="shared" si="54"/>
        <v>Area 10: N Puget Sound</v>
      </c>
      <c r="I617" s="107" t="str">
        <f>IFERROR(VLOOKUP(H617,LUTs!$A$1:$C$73,2,FALSE),"NA")</f>
        <v>NA</v>
      </c>
      <c r="J617" s="107" t="str">
        <f>IFERROR(VLOOKUP(H617,LUTs!$A$1:$C$73,3,FALSE),"NA")</f>
        <v>3South Puget Sound</v>
      </c>
      <c r="K617" s="107" t="s">
        <v>17</v>
      </c>
      <c r="L617" s="107" t="str">
        <f>VLOOKUP(K617,LUTs!E$2:G$14,3,)</f>
        <v>04Island</v>
      </c>
      <c r="M617" s="107" t="str">
        <f>VLOOKUP($K617,LUTs!$E$2:$H$14,2,)</f>
        <v>North Puget Sound</v>
      </c>
      <c r="N617" s="107" t="str">
        <f>VLOOKUP($K617,LUTs!$E$2:$H$14,4,)</f>
        <v>01North Puget Sound</v>
      </c>
      <c r="O617" s="107">
        <v>71.866317169069504</v>
      </c>
      <c r="P617" s="107">
        <v>137.98960463084299</v>
      </c>
      <c r="Q617" s="107">
        <f t="shared" si="55"/>
        <v>71.866317169069504</v>
      </c>
      <c r="R617" s="107">
        <f t="shared" si="56"/>
        <v>137.98960463084299</v>
      </c>
      <c r="S617" s="140" t="str">
        <f t="shared" si="57"/>
        <v>Y</v>
      </c>
      <c r="T617" s="154">
        <f t="shared" si="58"/>
        <v>1.9200873241662679</v>
      </c>
      <c r="U617" s="154">
        <f t="shared" si="59"/>
        <v>1.9200873241662679</v>
      </c>
    </row>
    <row r="618" spans="1:21" x14ac:dyDescent="0.35">
      <c r="A618" s="107">
        <v>1005</v>
      </c>
      <c r="B618" s="107">
        <v>2012</v>
      </c>
      <c r="C618" s="107" t="s">
        <v>9</v>
      </c>
      <c r="D618" s="107" t="s">
        <v>132</v>
      </c>
      <c r="E618" s="107" t="s">
        <v>10</v>
      </c>
      <c r="F618" s="115">
        <v>10</v>
      </c>
      <c r="G618" s="107" t="s">
        <v>34</v>
      </c>
      <c r="H618" s="107" t="str">
        <f t="shared" si="54"/>
        <v>Area 10: N Puget Sound</v>
      </c>
      <c r="I618" s="107" t="str">
        <f>IFERROR(VLOOKUP(H618,LUTs!$A$1:$C$73,2,FALSE),"NA")</f>
        <v>NA</v>
      </c>
      <c r="J618" s="107" t="str">
        <f>IFERROR(VLOOKUP(H618,LUTs!$A$1:$C$73,3,FALSE),"NA")</f>
        <v>3South Puget Sound</v>
      </c>
      <c r="K618" s="107" t="s">
        <v>25</v>
      </c>
      <c r="L618" s="107" t="str">
        <f>VLOOKUP(K618,LUTs!E$2:G$14,3,)</f>
        <v>12Jefferson</v>
      </c>
      <c r="M618" s="107" t="str">
        <f>VLOOKUP($K618,LUTs!$E$2:$H$14,2,)</f>
        <v>Strait of Juan de Fuca</v>
      </c>
      <c r="N618" s="107" t="str">
        <f>VLOOKUP($K618,LUTs!$E$2:$H$14,4,)</f>
        <v>03Strait of Juan de Fuca</v>
      </c>
      <c r="O618" s="107">
        <v>93.979030144167794</v>
      </c>
      <c r="P618" s="107">
        <v>180.44794451725599</v>
      </c>
      <c r="Q618" s="107">
        <f t="shared" si="55"/>
        <v>93.979030144167794</v>
      </c>
      <c r="R618" s="107">
        <f t="shared" si="56"/>
        <v>180.44794451725599</v>
      </c>
      <c r="S618" s="140" t="str">
        <f t="shared" si="57"/>
        <v>Y</v>
      </c>
      <c r="T618" s="154">
        <f t="shared" si="58"/>
        <v>1.9200873241662659</v>
      </c>
      <c r="U618" s="154">
        <f t="shared" si="59"/>
        <v>1.9200873241662659</v>
      </c>
    </row>
    <row r="619" spans="1:21" x14ac:dyDescent="0.35">
      <c r="A619" s="107">
        <v>999</v>
      </c>
      <c r="B619" s="107">
        <v>2012</v>
      </c>
      <c r="C619" s="107" t="s">
        <v>9</v>
      </c>
      <c r="D619" s="107" t="s">
        <v>132</v>
      </c>
      <c r="E619" s="107" t="s">
        <v>10</v>
      </c>
      <c r="F619" s="115">
        <v>10</v>
      </c>
      <c r="G619" s="107" t="s">
        <v>34</v>
      </c>
      <c r="H619" s="107" t="str">
        <f t="shared" si="54"/>
        <v>Area 10: N Puget Sound</v>
      </c>
      <c r="I619" s="107" t="str">
        <f>IFERROR(VLOOKUP(H619,LUTs!$A$1:$C$73,2,FALSE),"NA")</f>
        <v>NA</v>
      </c>
      <c r="J619" s="107" t="str">
        <f>IFERROR(VLOOKUP(H619,LUTs!$A$1:$C$73,3,FALSE),"NA")</f>
        <v>3South Puget Sound</v>
      </c>
      <c r="K619" s="107" t="s">
        <v>18</v>
      </c>
      <c r="L619" s="107" t="str">
        <f>VLOOKUP(K619,LUTs!E$2:G$14,3,)</f>
        <v>06King</v>
      </c>
      <c r="M619" s="107" t="str">
        <f>VLOOKUP($K619,LUTs!$E$2:$H$14,2,)</f>
        <v>South Puget Sound</v>
      </c>
      <c r="N619" s="107" t="str">
        <f>VLOOKUP($K619,LUTs!$E$2:$H$14,4,)</f>
        <v>02South Puget Sound</v>
      </c>
      <c r="O619" s="107">
        <v>14909.496723460001</v>
      </c>
      <c r="P619" s="107">
        <v>28627.535668414199</v>
      </c>
      <c r="Q619" s="107">
        <f t="shared" si="55"/>
        <v>14909.496723460001</v>
      </c>
      <c r="R619" s="107">
        <f t="shared" si="56"/>
        <v>28627.535668414199</v>
      </c>
      <c r="S619" s="140" t="str">
        <f t="shared" si="57"/>
        <v>Y</v>
      </c>
      <c r="T619" s="154">
        <f t="shared" si="58"/>
        <v>1.9200873241662777</v>
      </c>
      <c r="U619" s="154">
        <f t="shared" si="59"/>
        <v>1.9200873241662777</v>
      </c>
    </row>
    <row r="620" spans="1:21" x14ac:dyDescent="0.35">
      <c r="A620" s="107">
        <v>1003</v>
      </c>
      <c r="B620" s="107">
        <v>2012</v>
      </c>
      <c r="C620" s="107" t="s">
        <v>9</v>
      </c>
      <c r="D620" s="107" t="s">
        <v>132</v>
      </c>
      <c r="E620" s="107" t="s">
        <v>10</v>
      </c>
      <c r="F620" s="115">
        <v>10</v>
      </c>
      <c r="G620" s="107" t="s">
        <v>34</v>
      </c>
      <c r="H620" s="107" t="str">
        <f t="shared" si="54"/>
        <v>Area 10: N Puget Sound</v>
      </c>
      <c r="I620" s="107" t="str">
        <f>IFERROR(VLOOKUP(H620,LUTs!$A$1:$C$73,2,FALSE),"NA")</f>
        <v>NA</v>
      </c>
      <c r="J620" s="107" t="str">
        <f>IFERROR(VLOOKUP(H620,LUTs!$A$1:$C$73,3,FALSE),"NA")</f>
        <v>3South Puget Sound</v>
      </c>
      <c r="K620" s="107" t="s">
        <v>23</v>
      </c>
      <c r="L620" s="107" t="str">
        <f>VLOOKUP(K620,LUTs!E$2:G$14,3,)</f>
        <v>10Kitsap</v>
      </c>
      <c r="M620" s="107" t="str">
        <f>VLOOKUP($K620,LUTs!$E$2:$H$14,2,)</f>
        <v>South Puget Sound</v>
      </c>
      <c r="N620" s="107" t="str">
        <f>VLOOKUP($K620,LUTs!$E$2:$H$14,4,)</f>
        <v>02South Puget Sound</v>
      </c>
      <c r="O620" s="107">
        <v>3709.4076015727401</v>
      </c>
      <c r="P620" s="107">
        <v>7122.3865159458301</v>
      </c>
      <c r="Q620" s="107">
        <f t="shared" si="55"/>
        <v>3709.4076015727401</v>
      </c>
      <c r="R620" s="107">
        <f t="shared" si="56"/>
        <v>7122.3865159458301</v>
      </c>
      <c r="S620" s="140" t="str">
        <f t="shared" si="57"/>
        <v>Y</v>
      </c>
      <c r="T620" s="154">
        <f t="shared" si="58"/>
        <v>1.9200873241662717</v>
      </c>
      <c r="U620" s="154">
        <f t="shared" si="59"/>
        <v>1.9200873241662717</v>
      </c>
    </row>
    <row r="621" spans="1:21" x14ac:dyDescent="0.35">
      <c r="A621" s="107">
        <v>1002</v>
      </c>
      <c r="B621" s="107">
        <v>2012</v>
      </c>
      <c r="C621" s="107" t="s">
        <v>9</v>
      </c>
      <c r="D621" s="107" t="s">
        <v>132</v>
      </c>
      <c r="E621" s="107" t="s">
        <v>10</v>
      </c>
      <c r="F621" s="115">
        <v>10</v>
      </c>
      <c r="G621" s="107" t="s">
        <v>34</v>
      </c>
      <c r="H621" s="107" t="str">
        <f t="shared" si="54"/>
        <v>Area 10: N Puget Sound</v>
      </c>
      <c r="I621" s="107" t="str">
        <f>IFERROR(VLOOKUP(H621,LUTs!$A$1:$C$73,2,FALSE),"NA")</f>
        <v>NA</v>
      </c>
      <c r="J621" s="107" t="str">
        <f>IFERROR(VLOOKUP(H621,LUTs!$A$1:$C$73,3,FALSE),"NA")</f>
        <v>3South Puget Sound</v>
      </c>
      <c r="K621" s="107" t="s">
        <v>22</v>
      </c>
      <c r="L621" s="107" t="str">
        <f>VLOOKUP(K621,LUTs!E$2:G$14,3,)</f>
        <v>09Mason</v>
      </c>
      <c r="M621" s="107" t="str">
        <f>VLOOKUP($K621,LUTs!$E$2:$H$14,2,)</f>
        <v>South Puget Sound</v>
      </c>
      <c r="N621" s="107" t="str">
        <f>VLOOKUP($K621,LUTs!$E$2:$H$14,4,)</f>
        <v>02South Puget Sound</v>
      </c>
      <c r="O621" s="107">
        <v>38.697247706421997</v>
      </c>
      <c r="P621" s="107">
        <v>74.302094801223305</v>
      </c>
      <c r="Q621" s="107">
        <f t="shared" si="55"/>
        <v>38.697247706421997</v>
      </c>
      <c r="R621" s="107">
        <f t="shared" si="56"/>
        <v>74.302094801223305</v>
      </c>
      <c r="S621" s="140" t="str">
        <f t="shared" si="57"/>
        <v>Y</v>
      </c>
      <c r="T621" s="154">
        <f t="shared" si="58"/>
        <v>1.9200873241662741</v>
      </c>
      <c r="U621" s="154">
        <f t="shared" si="59"/>
        <v>1.9200873241662741</v>
      </c>
    </row>
    <row r="622" spans="1:21" x14ac:dyDescent="0.35">
      <c r="A622" s="107">
        <v>1006</v>
      </c>
      <c r="B622" s="107">
        <v>2012</v>
      </c>
      <c r="C622" s="107" t="s">
        <v>9</v>
      </c>
      <c r="D622" s="107" t="s">
        <v>132</v>
      </c>
      <c r="E622" s="107" t="s">
        <v>10</v>
      </c>
      <c r="F622" s="115">
        <v>10</v>
      </c>
      <c r="G622" s="107" t="s">
        <v>34</v>
      </c>
      <c r="H622" s="107" t="str">
        <f t="shared" si="54"/>
        <v>Area 10: N Puget Sound</v>
      </c>
      <c r="I622" s="107" t="str">
        <f>IFERROR(VLOOKUP(H622,LUTs!$A$1:$C$73,2,FALSE),"NA")</f>
        <v>NA</v>
      </c>
      <c r="J622" s="107" t="str">
        <f>IFERROR(VLOOKUP(H622,LUTs!$A$1:$C$73,3,FALSE),"NA")</f>
        <v>3South Puget Sound</v>
      </c>
      <c r="K622" s="107" t="s">
        <v>26</v>
      </c>
      <c r="L622" s="107" t="str">
        <f>VLOOKUP(K622,LUTs!E$2:G$14,3,)</f>
        <v>20Other</v>
      </c>
      <c r="M622" s="107" t="str">
        <f>VLOOKUP($K622,LUTs!$E$2:$H$14,2,)</f>
        <v>Non Puget Sound</v>
      </c>
      <c r="N622" s="107" t="str">
        <f>VLOOKUP($K622,LUTs!$E$2:$H$14,4,)</f>
        <v>07Non Puget Sound</v>
      </c>
      <c r="O622" s="107">
        <v>1984.6159895150699</v>
      </c>
      <c r="P622" s="107">
        <v>3810.6360048055899</v>
      </c>
      <c r="Q622" s="107">
        <f t="shared" si="55"/>
        <v>1984.6159895150699</v>
      </c>
      <c r="R622" s="107">
        <f t="shared" si="56"/>
        <v>3810.6360048055899</v>
      </c>
      <c r="S622" s="140" t="str">
        <f t="shared" si="57"/>
        <v>Y</v>
      </c>
      <c r="T622" s="154">
        <f t="shared" si="58"/>
        <v>1.9200873241662726</v>
      </c>
      <c r="U622" s="154">
        <f t="shared" si="59"/>
        <v>1.9200873241662726</v>
      </c>
    </row>
    <row r="623" spans="1:21" x14ac:dyDescent="0.35">
      <c r="A623" s="107">
        <v>1000</v>
      </c>
      <c r="B623" s="107">
        <v>2012</v>
      </c>
      <c r="C623" s="107" t="s">
        <v>9</v>
      </c>
      <c r="D623" s="107" t="s">
        <v>132</v>
      </c>
      <c r="E623" s="107" t="s">
        <v>10</v>
      </c>
      <c r="F623" s="115">
        <v>10</v>
      </c>
      <c r="G623" s="107" t="s">
        <v>34</v>
      </c>
      <c r="H623" s="107" t="str">
        <f t="shared" si="54"/>
        <v>Area 10: N Puget Sound</v>
      </c>
      <c r="I623" s="107" t="str">
        <f>IFERROR(VLOOKUP(H623,LUTs!$A$1:$C$73,2,FALSE),"NA")</f>
        <v>NA</v>
      </c>
      <c r="J623" s="107" t="str">
        <f>IFERROR(VLOOKUP(H623,LUTs!$A$1:$C$73,3,FALSE),"NA")</f>
        <v>3South Puget Sound</v>
      </c>
      <c r="K623" s="107" t="s">
        <v>20</v>
      </c>
      <c r="L623" s="107" t="str">
        <f>VLOOKUP(K623,LUTs!E$2:G$14,3,)</f>
        <v>07Pierce</v>
      </c>
      <c r="M623" s="107" t="str">
        <f>VLOOKUP($K623,LUTs!$E$2:$H$14,2,)</f>
        <v>South Puget Sound</v>
      </c>
      <c r="N623" s="107" t="str">
        <f>VLOOKUP($K623,LUTs!$E$2:$H$14,4,)</f>
        <v>02South Puget Sound</v>
      </c>
      <c r="O623" s="107">
        <v>657.85321100917395</v>
      </c>
      <c r="P623" s="107">
        <v>1263.1356116208001</v>
      </c>
      <c r="Q623" s="107">
        <f t="shared" si="55"/>
        <v>657.85321100917395</v>
      </c>
      <c r="R623" s="107">
        <f t="shared" si="56"/>
        <v>1263.1356116208001</v>
      </c>
      <c r="S623" s="140" t="str">
        <f t="shared" si="57"/>
        <v>Y</v>
      </c>
      <c r="T623" s="154">
        <f t="shared" si="58"/>
        <v>1.9200873241662801</v>
      </c>
      <c r="U623" s="154">
        <f t="shared" si="59"/>
        <v>1.9200873241662801</v>
      </c>
    </row>
    <row r="624" spans="1:21" x14ac:dyDescent="0.35">
      <c r="A624" s="107">
        <v>998</v>
      </c>
      <c r="B624" s="107">
        <v>2012</v>
      </c>
      <c r="C624" s="107" t="s">
        <v>9</v>
      </c>
      <c r="D624" s="107" t="s">
        <v>132</v>
      </c>
      <c r="E624" s="107" t="s">
        <v>10</v>
      </c>
      <c r="F624" s="115">
        <v>10</v>
      </c>
      <c r="G624" s="107" t="s">
        <v>34</v>
      </c>
      <c r="H624" s="107" t="str">
        <f t="shared" si="54"/>
        <v>Area 10: N Puget Sound</v>
      </c>
      <c r="I624" s="107" t="str">
        <f>IFERROR(VLOOKUP(H624,LUTs!$A$1:$C$73,2,FALSE),"NA")</f>
        <v>NA</v>
      </c>
      <c r="J624" s="107" t="str">
        <f>IFERROR(VLOOKUP(H624,LUTs!$A$1:$C$73,3,FALSE),"NA")</f>
        <v>3South Puget Sound</v>
      </c>
      <c r="K624" s="107" t="s">
        <v>30</v>
      </c>
      <c r="L624" s="107" t="str">
        <f>VLOOKUP(K624,LUTs!E$2:G$14,3,)</f>
        <v>05San Juan</v>
      </c>
      <c r="M624" s="107" t="str">
        <f>VLOOKUP($K624,LUTs!$E$2:$H$14,2,)</f>
        <v>North Puget Sound</v>
      </c>
      <c r="N624" s="107" t="str">
        <f>VLOOKUP($K624,LUTs!$E$2:$H$14,4,)</f>
        <v>01North Puget Sound</v>
      </c>
      <c r="O624" s="107">
        <v>116.091743119266</v>
      </c>
      <c r="P624" s="107">
        <v>222.90628440367001</v>
      </c>
      <c r="Q624" s="107">
        <f t="shared" si="55"/>
        <v>116.091743119266</v>
      </c>
      <c r="R624" s="107">
        <f t="shared" si="56"/>
        <v>222.90628440367001</v>
      </c>
      <c r="S624" s="140" t="str">
        <f t="shared" si="57"/>
        <v>Y</v>
      </c>
      <c r="T624" s="154">
        <f t="shared" si="58"/>
        <v>1.920087324166275</v>
      </c>
      <c r="U624" s="154">
        <f t="shared" si="59"/>
        <v>1.920087324166275</v>
      </c>
    </row>
    <row r="625" spans="1:21" x14ac:dyDescent="0.35">
      <c r="A625" s="107">
        <v>995</v>
      </c>
      <c r="B625" s="107">
        <v>2012</v>
      </c>
      <c r="C625" s="107" t="s">
        <v>9</v>
      </c>
      <c r="D625" s="107" t="s">
        <v>132</v>
      </c>
      <c r="E625" s="107" t="s">
        <v>10</v>
      </c>
      <c r="F625" s="115">
        <v>10</v>
      </c>
      <c r="G625" s="107" t="s">
        <v>34</v>
      </c>
      <c r="H625" s="107" t="str">
        <f t="shared" si="54"/>
        <v>Area 10: N Puget Sound</v>
      </c>
      <c r="I625" s="107" t="str">
        <f>IFERROR(VLOOKUP(H625,LUTs!$A$1:$C$73,2,FALSE),"NA")</f>
        <v>NA</v>
      </c>
      <c r="J625" s="107" t="str">
        <f>IFERROR(VLOOKUP(H625,LUTs!$A$1:$C$73,3,FALSE),"NA")</f>
        <v>3South Puget Sound</v>
      </c>
      <c r="K625" s="107" t="s">
        <v>15</v>
      </c>
      <c r="L625" s="107" t="str">
        <f>VLOOKUP(K625,LUTs!E$2:G$14,3,)</f>
        <v>02Skagit</v>
      </c>
      <c r="M625" s="107" t="str">
        <f>VLOOKUP($K625,LUTs!$E$2:$H$14,2,)</f>
        <v>North Puget Sound</v>
      </c>
      <c r="N625" s="107" t="str">
        <f>VLOOKUP($K625,LUTs!$E$2:$H$14,4,)</f>
        <v>01North Puget Sound</v>
      </c>
      <c r="O625" s="107">
        <v>116.091743119266</v>
      </c>
      <c r="P625" s="107">
        <v>222.90628440367001</v>
      </c>
      <c r="Q625" s="107">
        <f t="shared" si="55"/>
        <v>116.091743119266</v>
      </c>
      <c r="R625" s="107">
        <f t="shared" si="56"/>
        <v>222.90628440367001</v>
      </c>
      <c r="S625" s="140" t="str">
        <f t="shared" si="57"/>
        <v>Y</v>
      </c>
      <c r="T625" s="154">
        <f t="shared" si="58"/>
        <v>1.920087324166275</v>
      </c>
      <c r="U625" s="154">
        <f t="shared" si="59"/>
        <v>1.920087324166275</v>
      </c>
    </row>
    <row r="626" spans="1:21" x14ac:dyDescent="0.35">
      <c r="A626" s="107">
        <v>996</v>
      </c>
      <c r="B626" s="107">
        <v>2012</v>
      </c>
      <c r="C626" s="107" t="s">
        <v>9</v>
      </c>
      <c r="D626" s="107" t="s">
        <v>132</v>
      </c>
      <c r="E626" s="107" t="s">
        <v>10</v>
      </c>
      <c r="F626" s="115">
        <v>10</v>
      </c>
      <c r="G626" s="107" t="s">
        <v>34</v>
      </c>
      <c r="H626" s="107" t="str">
        <f t="shared" si="54"/>
        <v>Area 10: N Puget Sound</v>
      </c>
      <c r="I626" s="107" t="str">
        <f>IFERROR(VLOOKUP(H626,LUTs!$A$1:$C$73,2,FALSE),"NA")</f>
        <v>NA</v>
      </c>
      <c r="J626" s="107" t="str">
        <f>IFERROR(VLOOKUP(H626,LUTs!$A$1:$C$73,3,FALSE),"NA")</f>
        <v>3South Puget Sound</v>
      </c>
      <c r="K626" s="107" t="s">
        <v>16</v>
      </c>
      <c r="L626" s="107" t="str">
        <f>VLOOKUP(K626,LUTs!E$2:G$14,3,)</f>
        <v>03Snohomish</v>
      </c>
      <c r="M626" s="107" t="str">
        <f>VLOOKUP($K626,LUTs!$E$2:$H$14,2,)</f>
        <v>North Puget Sound</v>
      </c>
      <c r="N626" s="107" t="str">
        <f>VLOOKUP($K626,LUTs!$E$2:$H$14,4,)</f>
        <v>01North Puget Sound</v>
      </c>
      <c r="O626" s="107">
        <v>3372.1887287024902</v>
      </c>
      <c r="P626" s="107">
        <v>6474.8968326780296</v>
      </c>
      <c r="Q626" s="107">
        <f t="shared" si="55"/>
        <v>3372.1887287024902</v>
      </c>
      <c r="R626" s="107">
        <f t="shared" si="56"/>
        <v>6474.8968326780296</v>
      </c>
      <c r="S626" s="140" t="str">
        <f t="shared" si="57"/>
        <v>Y</v>
      </c>
      <c r="T626" s="154">
        <f t="shared" si="58"/>
        <v>1.9200873241662728</v>
      </c>
      <c r="U626" s="154">
        <f t="shared" si="59"/>
        <v>1.9200873241662728</v>
      </c>
    </row>
    <row r="627" spans="1:21" x14ac:dyDescent="0.35">
      <c r="A627" s="107">
        <v>1001</v>
      </c>
      <c r="B627" s="107">
        <v>2012</v>
      </c>
      <c r="C627" s="107" t="s">
        <v>9</v>
      </c>
      <c r="D627" s="107" t="s">
        <v>132</v>
      </c>
      <c r="E627" s="107" t="s">
        <v>10</v>
      </c>
      <c r="F627" s="115">
        <v>10</v>
      </c>
      <c r="G627" s="107" t="s">
        <v>34</v>
      </c>
      <c r="H627" s="107" t="str">
        <f t="shared" si="54"/>
        <v>Area 10: N Puget Sound</v>
      </c>
      <c r="I627" s="107" t="str">
        <f>IFERROR(VLOOKUP(H627,LUTs!$A$1:$C$73,2,FALSE),"NA")</f>
        <v>NA</v>
      </c>
      <c r="J627" s="107" t="str">
        <f>IFERROR(VLOOKUP(H627,LUTs!$A$1:$C$73,3,FALSE),"NA")</f>
        <v>3South Puget Sound</v>
      </c>
      <c r="K627" s="107" t="s">
        <v>21</v>
      </c>
      <c r="L627" s="107" t="str">
        <f>VLOOKUP(K627,LUTs!E$2:G$14,3,)</f>
        <v>08Thurston</v>
      </c>
      <c r="M627" s="107" t="str">
        <f>VLOOKUP($K627,LUTs!$E$2:$H$14,2,)</f>
        <v>South Puget Sound</v>
      </c>
      <c r="N627" s="107" t="str">
        <f>VLOOKUP($K627,LUTs!$E$2:$H$14,4,)</f>
        <v>02South Puget Sound</v>
      </c>
      <c r="O627" s="107">
        <v>71.866317169069504</v>
      </c>
      <c r="P627" s="107">
        <v>137.98960463084299</v>
      </c>
      <c r="Q627" s="107">
        <f t="shared" si="55"/>
        <v>71.866317169069504</v>
      </c>
      <c r="R627" s="107">
        <f t="shared" si="56"/>
        <v>137.98960463084299</v>
      </c>
      <c r="S627" s="140" t="str">
        <f t="shared" si="57"/>
        <v>Y</v>
      </c>
      <c r="T627" s="154">
        <f t="shared" si="58"/>
        <v>1.9200873241662679</v>
      </c>
      <c r="U627" s="154">
        <f t="shared" si="59"/>
        <v>1.9200873241662679</v>
      </c>
    </row>
    <row r="628" spans="1:21" x14ac:dyDescent="0.35">
      <c r="A628" s="107">
        <v>994</v>
      </c>
      <c r="B628" s="107">
        <v>2012</v>
      </c>
      <c r="C628" s="107" t="s">
        <v>9</v>
      </c>
      <c r="D628" s="107" t="s">
        <v>132</v>
      </c>
      <c r="E628" s="107" t="s">
        <v>10</v>
      </c>
      <c r="F628" s="115">
        <v>10</v>
      </c>
      <c r="G628" s="107" t="s">
        <v>34</v>
      </c>
      <c r="H628" s="107" t="str">
        <f t="shared" si="54"/>
        <v>Area 10: N Puget Sound</v>
      </c>
      <c r="I628" s="107" t="str">
        <f>IFERROR(VLOOKUP(H628,LUTs!$A$1:$C$73,2,FALSE),"NA")</f>
        <v>NA</v>
      </c>
      <c r="J628" s="107" t="str">
        <f>IFERROR(VLOOKUP(H628,LUTs!$A$1:$C$73,3,FALSE),"NA")</f>
        <v>3South Puget Sound</v>
      </c>
      <c r="K628" s="107" t="s">
        <v>13</v>
      </c>
      <c r="L628" s="107" t="str">
        <f>VLOOKUP(K628,LUTs!E$2:G$14,3,)</f>
        <v>01Whatcom</v>
      </c>
      <c r="M628" s="107" t="str">
        <f>VLOOKUP($K628,LUTs!$E$2:$H$14,2,)</f>
        <v>North Puget Sound</v>
      </c>
      <c r="N628" s="107" t="str">
        <f>VLOOKUP($K628,LUTs!$E$2:$H$14,4,)</f>
        <v>01North Puget Sound</v>
      </c>
      <c r="O628" s="107">
        <v>121.619921363041</v>
      </c>
      <c r="P628" s="107">
        <v>233.52086937527301</v>
      </c>
      <c r="Q628" s="107">
        <f t="shared" si="55"/>
        <v>121.619921363041</v>
      </c>
      <c r="R628" s="107">
        <f t="shared" si="56"/>
        <v>233.52086937527301</v>
      </c>
      <c r="S628" s="140" t="str">
        <f t="shared" si="57"/>
        <v>Y</v>
      </c>
      <c r="T628" s="154">
        <f t="shared" si="58"/>
        <v>1.9200873241662653</v>
      </c>
      <c r="U628" s="154">
        <f t="shared" si="59"/>
        <v>1.9200873241662653</v>
      </c>
    </row>
    <row r="629" spans="1:21" x14ac:dyDescent="0.35">
      <c r="A629" s="107">
        <v>1108</v>
      </c>
      <c r="B629" s="107">
        <v>2013</v>
      </c>
      <c r="C629" s="107" t="s">
        <v>9</v>
      </c>
      <c r="D629" s="107" t="s">
        <v>132</v>
      </c>
      <c r="E629" s="107" t="s">
        <v>10</v>
      </c>
      <c r="F629" s="115">
        <v>10</v>
      </c>
      <c r="G629" s="107" t="s">
        <v>34</v>
      </c>
      <c r="H629" s="107" t="str">
        <f t="shared" si="54"/>
        <v>Area 10: N Puget Sound</v>
      </c>
      <c r="I629" s="107" t="str">
        <f>IFERROR(VLOOKUP(H629,LUTs!$A$1:$C$73,2,FALSE),"NA")</f>
        <v>NA</v>
      </c>
      <c r="J629" s="107" t="str">
        <f>IFERROR(VLOOKUP(H629,LUTs!$A$1:$C$73,3,FALSE),"NA")</f>
        <v>3South Puget Sound</v>
      </c>
      <c r="K629" s="107" t="s">
        <v>24</v>
      </c>
      <c r="L629" s="107" t="str">
        <f>VLOOKUP(K629,LUTs!E$2:G$14,3,)</f>
        <v>11Clallam</v>
      </c>
      <c r="M629" s="107" t="str">
        <f>VLOOKUP($K629,LUTs!$E$2:$H$14,2,)</f>
        <v>Strait of Juan de Fuca</v>
      </c>
      <c r="N629" s="107" t="str">
        <f>VLOOKUP($K629,LUTs!$E$2:$H$14,4,)</f>
        <v>03Strait of Juan de Fuca</v>
      </c>
      <c r="O629" s="107">
        <v>59.340866290018802</v>
      </c>
      <c r="P629" s="107">
        <v>111.369774011299</v>
      </c>
      <c r="Q629" s="107">
        <f t="shared" si="55"/>
        <v>59.340866290018802</v>
      </c>
      <c r="R629" s="107">
        <f t="shared" si="56"/>
        <v>111.369774011299</v>
      </c>
      <c r="S629" s="140" t="str">
        <f t="shared" si="57"/>
        <v>Y</v>
      </c>
      <c r="T629" s="154">
        <f t="shared" si="58"/>
        <v>1.876780387178667</v>
      </c>
      <c r="U629" s="154">
        <f t="shared" si="59"/>
        <v>1.876780387178667</v>
      </c>
    </row>
    <row r="630" spans="1:21" x14ac:dyDescent="0.35">
      <c r="A630" s="107">
        <v>1101</v>
      </c>
      <c r="B630" s="107">
        <v>2013</v>
      </c>
      <c r="C630" s="107" t="s">
        <v>9</v>
      </c>
      <c r="D630" s="107" t="s">
        <v>132</v>
      </c>
      <c r="E630" s="107" t="s">
        <v>10</v>
      </c>
      <c r="F630" s="115">
        <v>10</v>
      </c>
      <c r="G630" s="107" t="s">
        <v>34</v>
      </c>
      <c r="H630" s="107" t="str">
        <f t="shared" si="54"/>
        <v>Area 10: N Puget Sound</v>
      </c>
      <c r="I630" s="107" t="str">
        <f>IFERROR(VLOOKUP(H630,LUTs!$A$1:$C$73,2,FALSE),"NA")</f>
        <v>NA</v>
      </c>
      <c r="J630" s="107" t="str">
        <f>IFERROR(VLOOKUP(H630,LUTs!$A$1:$C$73,3,FALSE),"NA")</f>
        <v>3South Puget Sound</v>
      </c>
      <c r="K630" s="107" t="s">
        <v>17</v>
      </c>
      <c r="L630" s="107" t="str">
        <f>VLOOKUP(K630,LUTs!E$2:G$14,3,)</f>
        <v>04Island</v>
      </c>
      <c r="M630" s="107" t="str">
        <f>VLOOKUP($K630,LUTs!$E$2:$H$14,2,)</f>
        <v>North Puget Sound</v>
      </c>
      <c r="N630" s="107" t="str">
        <f>VLOOKUP($K630,LUTs!$E$2:$H$14,4,)</f>
        <v>01North Puget Sound</v>
      </c>
      <c r="O630" s="107">
        <v>108.791588198368</v>
      </c>
      <c r="P630" s="107">
        <v>204.17791902071599</v>
      </c>
      <c r="Q630" s="107">
        <f t="shared" si="55"/>
        <v>108.791588198368</v>
      </c>
      <c r="R630" s="107">
        <f t="shared" si="56"/>
        <v>204.17791902071599</v>
      </c>
      <c r="S630" s="140" t="str">
        <f t="shared" si="57"/>
        <v>Y</v>
      </c>
      <c r="T630" s="154">
        <f t="shared" si="58"/>
        <v>1.8767803871786743</v>
      </c>
      <c r="U630" s="154">
        <f t="shared" si="59"/>
        <v>1.8767803871786743</v>
      </c>
    </row>
    <row r="631" spans="1:21" x14ac:dyDescent="0.35">
      <c r="A631" s="107">
        <v>1109</v>
      </c>
      <c r="B631" s="107">
        <v>2013</v>
      </c>
      <c r="C631" s="107" t="s">
        <v>9</v>
      </c>
      <c r="D631" s="107" t="s">
        <v>132</v>
      </c>
      <c r="E631" s="107" t="s">
        <v>10</v>
      </c>
      <c r="F631" s="115">
        <v>10</v>
      </c>
      <c r="G631" s="107" t="s">
        <v>34</v>
      </c>
      <c r="H631" s="107" t="str">
        <f t="shared" si="54"/>
        <v>Area 10: N Puget Sound</v>
      </c>
      <c r="I631" s="107" t="str">
        <f>IFERROR(VLOOKUP(H631,LUTs!$A$1:$C$73,2,FALSE),"NA")</f>
        <v>NA</v>
      </c>
      <c r="J631" s="107" t="str">
        <f>IFERROR(VLOOKUP(H631,LUTs!$A$1:$C$73,3,FALSE),"NA")</f>
        <v>3South Puget Sound</v>
      </c>
      <c r="K631" s="107" t="s">
        <v>25</v>
      </c>
      <c r="L631" s="107" t="str">
        <f>VLOOKUP(K631,LUTs!E$2:G$14,3,)</f>
        <v>12Jefferson</v>
      </c>
      <c r="M631" s="107" t="str">
        <f>VLOOKUP($K631,LUTs!$E$2:$H$14,2,)</f>
        <v>Strait of Juan de Fuca</v>
      </c>
      <c r="N631" s="107" t="str">
        <f>VLOOKUP($K631,LUTs!$E$2:$H$14,4,)</f>
        <v>03Strait of Juan de Fuca</v>
      </c>
      <c r="O631" s="107">
        <v>44.505649717514103</v>
      </c>
      <c r="P631" s="107">
        <v>83.527330508474606</v>
      </c>
      <c r="Q631" s="107">
        <f t="shared" si="55"/>
        <v>44.505649717514103</v>
      </c>
      <c r="R631" s="107">
        <f t="shared" si="56"/>
        <v>83.527330508474606</v>
      </c>
      <c r="S631" s="140" t="str">
        <f t="shared" si="57"/>
        <v>Y</v>
      </c>
      <c r="T631" s="154">
        <f t="shared" si="58"/>
        <v>1.876780387178675</v>
      </c>
      <c r="U631" s="154">
        <f t="shared" si="59"/>
        <v>1.876780387178675</v>
      </c>
    </row>
    <row r="632" spans="1:21" x14ac:dyDescent="0.35">
      <c r="A632" s="107">
        <v>1103</v>
      </c>
      <c r="B632" s="107">
        <v>2013</v>
      </c>
      <c r="C632" s="107" t="s">
        <v>9</v>
      </c>
      <c r="D632" s="107" t="s">
        <v>132</v>
      </c>
      <c r="E632" s="107" t="s">
        <v>10</v>
      </c>
      <c r="F632" s="115">
        <v>10</v>
      </c>
      <c r="G632" s="107" t="s">
        <v>34</v>
      </c>
      <c r="H632" s="107" t="str">
        <f t="shared" si="54"/>
        <v>Area 10: N Puget Sound</v>
      </c>
      <c r="I632" s="107" t="str">
        <f>IFERROR(VLOOKUP(H632,LUTs!$A$1:$C$73,2,FALSE),"NA")</f>
        <v>NA</v>
      </c>
      <c r="J632" s="107" t="str">
        <f>IFERROR(VLOOKUP(H632,LUTs!$A$1:$C$73,3,FALSE),"NA")</f>
        <v>3South Puget Sound</v>
      </c>
      <c r="K632" s="107" t="s">
        <v>18</v>
      </c>
      <c r="L632" s="107" t="str">
        <f>VLOOKUP(K632,LUTs!E$2:G$14,3,)</f>
        <v>06King</v>
      </c>
      <c r="M632" s="107" t="str">
        <f>VLOOKUP($K632,LUTs!$E$2:$H$14,2,)</f>
        <v>South Puget Sound</v>
      </c>
      <c r="N632" s="107" t="str">
        <f>VLOOKUP($K632,LUTs!$E$2:$H$14,4,)</f>
        <v>02South Puget Sound</v>
      </c>
      <c r="O632" s="107">
        <v>18435.2291274325</v>
      </c>
      <c r="P632" s="107">
        <v>34598.8764595104</v>
      </c>
      <c r="Q632" s="107">
        <f t="shared" si="55"/>
        <v>18435.2291274325</v>
      </c>
      <c r="R632" s="107">
        <f t="shared" si="56"/>
        <v>34598.8764595104</v>
      </c>
      <c r="S632" s="140" t="str">
        <f t="shared" si="57"/>
        <v>Y</v>
      </c>
      <c r="T632" s="154">
        <f t="shared" si="58"/>
        <v>1.8767803871786775</v>
      </c>
      <c r="U632" s="154">
        <f t="shared" si="59"/>
        <v>1.8767803871786775</v>
      </c>
    </row>
    <row r="633" spans="1:21" x14ac:dyDescent="0.35">
      <c r="A633" s="107">
        <v>1107</v>
      </c>
      <c r="B633" s="107">
        <v>2013</v>
      </c>
      <c r="C633" s="107" t="s">
        <v>9</v>
      </c>
      <c r="D633" s="107" t="s">
        <v>132</v>
      </c>
      <c r="E633" s="107" t="s">
        <v>10</v>
      </c>
      <c r="F633" s="115">
        <v>10</v>
      </c>
      <c r="G633" s="107" t="s">
        <v>34</v>
      </c>
      <c r="H633" s="107" t="str">
        <f t="shared" si="54"/>
        <v>Area 10: N Puget Sound</v>
      </c>
      <c r="I633" s="107" t="str">
        <f>IFERROR(VLOOKUP(H633,LUTs!$A$1:$C$73,2,FALSE),"NA")</f>
        <v>NA</v>
      </c>
      <c r="J633" s="107" t="str">
        <f>IFERROR(VLOOKUP(H633,LUTs!$A$1:$C$73,3,FALSE),"NA")</f>
        <v>3South Puget Sound</v>
      </c>
      <c r="K633" s="107" t="s">
        <v>23</v>
      </c>
      <c r="L633" s="107" t="str">
        <f>VLOOKUP(K633,LUTs!E$2:G$14,3,)</f>
        <v>10Kitsap</v>
      </c>
      <c r="M633" s="107" t="str">
        <f>VLOOKUP($K633,LUTs!$E$2:$H$14,2,)</f>
        <v>South Puget Sound</v>
      </c>
      <c r="N633" s="107" t="str">
        <f>VLOOKUP($K633,LUTs!$E$2:$H$14,4,)</f>
        <v>02South Puget Sound</v>
      </c>
      <c r="O633" s="107">
        <v>5034.0834902699298</v>
      </c>
      <c r="P633" s="107">
        <v>9447.8691619585697</v>
      </c>
      <c r="Q633" s="107">
        <f t="shared" si="55"/>
        <v>5034.0834902699298</v>
      </c>
      <c r="R633" s="107">
        <f t="shared" si="56"/>
        <v>9447.8691619585697</v>
      </c>
      <c r="S633" s="140" t="str">
        <f t="shared" si="57"/>
        <v>Y</v>
      </c>
      <c r="T633" s="154">
        <f t="shared" si="58"/>
        <v>1.8767803871786741</v>
      </c>
      <c r="U633" s="154">
        <f t="shared" si="59"/>
        <v>1.8767803871786741</v>
      </c>
    </row>
    <row r="634" spans="1:21" x14ac:dyDescent="0.35">
      <c r="A634" s="107">
        <v>1106</v>
      </c>
      <c r="B634" s="107">
        <v>2013</v>
      </c>
      <c r="C634" s="107" t="s">
        <v>9</v>
      </c>
      <c r="D634" s="107" t="s">
        <v>132</v>
      </c>
      <c r="E634" s="107" t="s">
        <v>10</v>
      </c>
      <c r="F634" s="115">
        <v>10</v>
      </c>
      <c r="G634" s="107" t="s">
        <v>34</v>
      </c>
      <c r="H634" s="107" t="str">
        <f t="shared" si="54"/>
        <v>Area 10: N Puget Sound</v>
      </c>
      <c r="I634" s="107" t="str">
        <f>IFERROR(VLOOKUP(H634,LUTs!$A$1:$C$73,2,FALSE),"NA")</f>
        <v>NA</v>
      </c>
      <c r="J634" s="107" t="str">
        <f>IFERROR(VLOOKUP(H634,LUTs!$A$1:$C$73,3,FALSE),"NA")</f>
        <v>3South Puget Sound</v>
      </c>
      <c r="K634" s="107" t="s">
        <v>22</v>
      </c>
      <c r="L634" s="107" t="str">
        <f>VLOOKUP(K634,LUTs!E$2:G$14,3,)</f>
        <v>09Mason</v>
      </c>
      <c r="M634" s="107" t="str">
        <f>VLOOKUP($K634,LUTs!$E$2:$H$14,2,)</f>
        <v>South Puget Sound</v>
      </c>
      <c r="N634" s="107" t="str">
        <f>VLOOKUP($K634,LUTs!$E$2:$H$14,4,)</f>
        <v>02South Puget Sound</v>
      </c>
      <c r="O634" s="107">
        <v>108.791588198368</v>
      </c>
      <c r="P634" s="107">
        <v>204.17791902071599</v>
      </c>
      <c r="Q634" s="107">
        <f t="shared" si="55"/>
        <v>108.791588198368</v>
      </c>
      <c r="R634" s="107">
        <f t="shared" si="56"/>
        <v>204.17791902071599</v>
      </c>
      <c r="S634" s="140" t="str">
        <f t="shared" si="57"/>
        <v>Y</v>
      </c>
      <c r="T634" s="154">
        <f t="shared" si="58"/>
        <v>1.8767803871786743</v>
      </c>
      <c r="U634" s="154">
        <f t="shared" si="59"/>
        <v>1.8767803871786743</v>
      </c>
    </row>
    <row r="635" spans="1:21" x14ac:dyDescent="0.35">
      <c r="A635" s="107">
        <v>1110</v>
      </c>
      <c r="B635" s="107">
        <v>2013</v>
      </c>
      <c r="C635" s="107" t="s">
        <v>9</v>
      </c>
      <c r="D635" s="107" t="s">
        <v>132</v>
      </c>
      <c r="E635" s="107" t="s">
        <v>10</v>
      </c>
      <c r="F635" s="115">
        <v>10</v>
      </c>
      <c r="G635" s="107" t="s">
        <v>34</v>
      </c>
      <c r="H635" s="107" t="str">
        <f t="shared" si="54"/>
        <v>Area 10: N Puget Sound</v>
      </c>
      <c r="I635" s="107" t="str">
        <f>IFERROR(VLOOKUP(H635,LUTs!$A$1:$C$73,2,FALSE),"NA")</f>
        <v>NA</v>
      </c>
      <c r="J635" s="107" t="str">
        <f>IFERROR(VLOOKUP(H635,LUTs!$A$1:$C$73,3,FALSE),"NA")</f>
        <v>3South Puget Sound</v>
      </c>
      <c r="K635" s="107" t="s">
        <v>26</v>
      </c>
      <c r="L635" s="107" t="str">
        <f>VLOOKUP(K635,LUTs!E$2:G$14,3,)</f>
        <v>20Other</v>
      </c>
      <c r="M635" s="107" t="str">
        <f>VLOOKUP($K635,LUTs!$E$2:$H$14,2,)</f>
        <v>Non Puget Sound</v>
      </c>
      <c r="N635" s="107" t="str">
        <f>VLOOKUP($K635,LUTs!$E$2:$H$14,4,)</f>
        <v>07Non Puget Sound</v>
      </c>
      <c r="O635" s="107">
        <v>3253.85750156937</v>
      </c>
      <c r="P635" s="107">
        <v>6106.7759416195904</v>
      </c>
      <c r="Q635" s="107">
        <f t="shared" si="55"/>
        <v>3253.85750156937</v>
      </c>
      <c r="R635" s="107">
        <f t="shared" si="56"/>
        <v>6106.7759416195904</v>
      </c>
      <c r="S635" s="140" t="str">
        <f t="shared" si="57"/>
        <v>Y</v>
      </c>
      <c r="T635" s="154">
        <f t="shared" si="58"/>
        <v>1.8767803871786726</v>
      </c>
      <c r="U635" s="154">
        <f t="shared" si="59"/>
        <v>1.8767803871786726</v>
      </c>
    </row>
    <row r="636" spans="1:21" x14ac:dyDescent="0.35">
      <c r="A636" s="107">
        <v>1104</v>
      </c>
      <c r="B636" s="107">
        <v>2013</v>
      </c>
      <c r="C636" s="107" t="s">
        <v>9</v>
      </c>
      <c r="D636" s="107" t="s">
        <v>132</v>
      </c>
      <c r="E636" s="107" t="s">
        <v>10</v>
      </c>
      <c r="F636" s="115">
        <v>10</v>
      </c>
      <c r="G636" s="107" t="s">
        <v>34</v>
      </c>
      <c r="H636" s="107" t="str">
        <f t="shared" si="54"/>
        <v>Area 10: N Puget Sound</v>
      </c>
      <c r="I636" s="107" t="str">
        <f>IFERROR(VLOOKUP(H636,LUTs!$A$1:$C$73,2,FALSE),"NA")</f>
        <v>NA</v>
      </c>
      <c r="J636" s="107" t="str">
        <f>IFERROR(VLOOKUP(H636,LUTs!$A$1:$C$73,3,FALSE),"NA")</f>
        <v>3South Puget Sound</v>
      </c>
      <c r="K636" s="107" t="s">
        <v>20</v>
      </c>
      <c r="L636" s="107" t="str">
        <f>VLOOKUP(K636,LUTs!E$2:G$14,3,)</f>
        <v>07Pierce</v>
      </c>
      <c r="M636" s="107" t="str">
        <f>VLOOKUP($K636,LUTs!$E$2:$H$14,2,)</f>
        <v>South Puget Sound</v>
      </c>
      <c r="N636" s="107" t="str">
        <f>VLOOKUP($K636,LUTs!$E$2:$H$14,4,)</f>
        <v>02South Puget Sound</v>
      </c>
      <c r="O636" s="107">
        <v>771.43126177024499</v>
      </c>
      <c r="P636" s="107">
        <v>1447.8070621468901</v>
      </c>
      <c r="Q636" s="107">
        <f t="shared" si="55"/>
        <v>771.43126177024499</v>
      </c>
      <c r="R636" s="107">
        <f t="shared" si="56"/>
        <v>1447.8070621468901</v>
      </c>
      <c r="S636" s="140" t="str">
        <f t="shared" si="57"/>
        <v>Y</v>
      </c>
      <c r="T636" s="154">
        <f t="shared" si="58"/>
        <v>1.8767803871786697</v>
      </c>
      <c r="U636" s="154">
        <f t="shared" si="59"/>
        <v>1.8767803871786697</v>
      </c>
    </row>
    <row r="637" spans="1:21" x14ac:dyDescent="0.35">
      <c r="A637" s="107">
        <v>1102</v>
      </c>
      <c r="B637" s="107">
        <v>2013</v>
      </c>
      <c r="C637" s="107" t="s">
        <v>9</v>
      </c>
      <c r="D637" s="107" t="s">
        <v>132</v>
      </c>
      <c r="E637" s="107" t="s">
        <v>10</v>
      </c>
      <c r="F637" s="115">
        <v>10</v>
      </c>
      <c r="G637" s="107" t="s">
        <v>34</v>
      </c>
      <c r="H637" s="107" t="str">
        <f t="shared" si="54"/>
        <v>Area 10: N Puget Sound</v>
      </c>
      <c r="I637" s="107" t="str">
        <f>IFERROR(VLOOKUP(H637,LUTs!$A$1:$C$73,2,FALSE),"NA")</f>
        <v>NA</v>
      </c>
      <c r="J637" s="107" t="str">
        <f>IFERROR(VLOOKUP(H637,LUTs!$A$1:$C$73,3,FALSE),"NA")</f>
        <v>3South Puget Sound</v>
      </c>
      <c r="K637" s="107" t="s">
        <v>30</v>
      </c>
      <c r="L637" s="107" t="str">
        <f>VLOOKUP(K637,LUTs!E$2:G$14,3,)</f>
        <v>05San Juan</v>
      </c>
      <c r="M637" s="107" t="str">
        <f>VLOOKUP($K637,LUTs!$E$2:$H$14,2,)</f>
        <v>North Puget Sound</v>
      </c>
      <c r="N637" s="107" t="str">
        <f>VLOOKUP($K637,LUTs!$E$2:$H$14,4,)</f>
        <v>01North Puget Sound</v>
      </c>
      <c r="O637" s="107">
        <v>19.780288763339598</v>
      </c>
      <c r="P637" s="107">
        <v>37.123258003766502</v>
      </c>
      <c r="Q637" s="107">
        <f t="shared" si="55"/>
        <v>19.780288763339598</v>
      </c>
      <c r="R637" s="107">
        <f t="shared" si="56"/>
        <v>37.123258003766502</v>
      </c>
      <c r="S637" s="140" t="str">
        <f t="shared" si="57"/>
        <v>Y</v>
      </c>
      <c r="T637" s="154">
        <f t="shared" si="58"/>
        <v>1.8767803871786759</v>
      </c>
      <c r="U637" s="154">
        <f t="shared" si="59"/>
        <v>1.8767803871786759</v>
      </c>
    </row>
    <row r="638" spans="1:21" x14ac:dyDescent="0.35">
      <c r="A638" s="107">
        <v>1025</v>
      </c>
      <c r="B638" s="107">
        <v>2013</v>
      </c>
      <c r="C638" s="107" t="s">
        <v>9</v>
      </c>
      <c r="D638" s="107" t="s">
        <v>132</v>
      </c>
      <c r="E638" s="107" t="s">
        <v>10</v>
      </c>
      <c r="F638" s="115">
        <v>10</v>
      </c>
      <c r="G638" s="107" t="s">
        <v>34</v>
      </c>
      <c r="H638" s="107" t="str">
        <f t="shared" si="54"/>
        <v>Area 10: N Puget Sound</v>
      </c>
      <c r="I638" s="107" t="str">
        <f>IFERROR(VLOOKUP(H638,LUTs!$A$1:$C$73,2,FALSE),"NA")</f>
        <v>NA</v>
      </c>
      <c r="J638" s="107" t="str">
        <f>IFERROR(VLOOKUP(H638,LUTs!$A$1:$C$73,3,FALSE),"NA")</f>
        <v>3South Puget Sound</v>
      </c>
      <c r="K638" s="107" t="s">
        <v>15</v>
      </c>
      <c r="L638" s="107" t="str">
        <f>VLOOKUP(K638,LUTs!E$2:G$14,3,)</f>
        <v>02Skagit</v>
      </c>
      <c r="M638" s="107" t="str">
        <f>VLOOKUP($K638,LUTs!$E$2:$H$14,2,)</f>
        <v>North Puget Sound</v>
      </c>
      <c r="N638" s="107" t="str">
        <f>VLOOKUP($K638,LUTs!$E$2:$H$14,4,)</f>
        <v>01North Puget Sound</v>
      </c>
      <c r="O638" s="107">
        <v>24.725360954174501</v>
      </c>
      <c r="P638" s="107">
        <v>46.404072504708097</v>
      </c>
      <c r="Q638" s="107">
        <f t="shared" si="55"/>
        <v>24.725360954174501</v>
      </c>
      <c r="R638" s="107">
        <f t="shared" si="56"/>
        <v>46.404072504708097</v>
      </c>
      <c r="S638" s="140" t="str">
        <f t="shared" si="57"/>
        <v>Y</v>
      </c>
      <c r="T638" s="154">
        <f t="shared" si="58"/>
        <v>1.8767803871786743</v>
      </c>
      <c r="U638" s="154">
        <f t="shared" si="59"/>
        <v>1.8767803871786743</v>
      </c>
    </row>
    <row r="639" spans="1:21" x14ac:dyDescent="0.35">
      <c r="A639" s="107">
        <v>1100</v>
      </c>
      <c r="B639" s="107">
        <v>2013</v>
      </c>
      <c r="C639" s="107" t="s">
        <v>9</v>
      </c>
      <c r="D639" s="107" t="s">
        <v>132</v>
      </c>
      <c r="E639" s="107" t="s">
        <v>10</v>
      </c>
      <c r="F639" s="115">
        <v>10</v>
      </c>
      <c r="G639" s="107" t="s">
        <v>34</v>
      </c>
      <c r="H639" s="107" t="str">
        <f t="shared" si="54"/>
        <v>Area 10: N Puget Sound</v>
      </c>
      <c r="I639" s="107" t="str">
        <f>IFERROR(VLOOKUP(H639,LUTs!$A$1:$C$73,2,FALSE),"NA")</f>
        <v>NA</v>
      </c>
      <c r="J639" s="107" t="str">
        <f>IFERROR(VLOOKUP(H639,LUTs!$A$1:$C$73,3,FALSE),"NA")</f>
        <v>3South Puget Sound</v>
      </c>
      <c r="K639" s="107" t="s">
        <v>16</v>
      </c>
      <c r="L639" s="107" t="str">
        <f>VLOOKUP(K639,LUTs!E$2:G$14,3,)</f>
        <v>03Snohomish</v>
      </c>
      <c r="M639" s="107" t="str">
        <f>VLOOKUP($K639,LUTs!$E$2:$H$14,2,)</f>
        <v>North Puget Sound</v>
      </c>
      <c r="N639" s="107" t="str">
        <f>VLOOKUP($K639,LUTs!$E$2:$H$14,4,)</f>
        <v>01North Puget Sound</v>
      </c>
      <c r="O639" s="107">
        <v>3580.2322661644698</v>
      </c>
      <c r="P639" s="107">
        <v>6719.30969868174</v>
      </c>
      <c r="Q639" s="107">
        <f t="shared" si="55"/>
        <v>3580.2322661644698</v>
      </c>
      <c r="R639" s="107">
        <f t="shared" si="56"/>
        <v>6719.30969868174</v>
      </c>
      <c r="S639" s="140" t="str">
        <f t="shared" si="57"/>
        <v>Y</v>
      </c>
      <c r="T639" s="154">
        <f t="shared" si="58"/>
        <v>1.8767803871786755</v>
      </c>
      <c r="U639" s="154">
        <f t="shared" si="59"/>
        <v>1.8767803871786755</v>
      </c>
    </row>
    <row r="640" spans="1:21" x14ac:dyDescent="0.35">
      <c r="A640" s="107">
        <v>1105</v>
      </c>
      <c r="B640" s="107">
        <v>2013</v>
      </c>
      <c r="C640" s="107" t="s">
        <v>9</v>
      </c>
      <c r="D640" s="107" t="s">
        <v>132</v>
      </c>
      <c r="E640" s="107" t="s">
        <v>10</v>
      </c>
      <c r="F640" s="115">
        <v>10</v>
      </c>
      <c r="G640" s="107" t="s">
        <v>34</v>
      </c>
      <c r="H640" s="107" t="str">
        <f t="shared" si="54"/>
        <v>Area 10: N Puget Sound</v>
      </c>
      <c r="I640" s="107" t="str">
        <f>IFERROR(VLOOKUP(H640,LUTs!$A$1:$C$73,2,FALSE),"NA")</f>
        <v>NA</v>
      </c>
      <c r="J640" s="107" t="str">
        <f>IFERROR(VLOOKUP(H640,LUTs!$A$1:$C$73,3,FALSE),"NA")</f>
        <v>3South Puget Sound</v>
      </c>
      <c r="K640" s="107" t="s">
        <v>21</v>
      </c>
      <c r="L640" s="107" t="str">
        <f>VLOOKUP(K640,LUTs!E$2:G$14,3,)</f>
        <v>08Thurston</v>
      </c>
      <c r="M640" s="107" t="str">
        <f>VLOOKUP($K640,LUTs!$E$2:$H$14,2,)</f>
        <v>South Puget Sound</v>
      </c>
      <c r="N640" s="107" t="str">
        <f>VLOOKUP($K640,LUTs!$E$2:$H$14,4,)</f>
        <v>02South Puget Sound</v>
      </c>
      <c r="O640" s="107">
        <v>44.505649717514103</v>
      </c>
      <c r="P640" s="107">
        <v>83.527330508474606</v>
      </c>
      <c r="Q640" s="107">
        <f t="shared" si="55"/>
        <v>44.505649717514103</v>
      </c>
      <c r="R640" s="107">
        <f t="shared" si="56"/>
        <v>83.527330508474606</v>
      </c>
      <c r="S640" s="140" t="str">
        <f t="shared" si="57"/>
        <v>Y</v>
      </c>
      <c r="T640" s="154">
        <f t="shared" si="58"/>
        <v>1.876780387178675</v>
      </c>
      <c r="U640" s="154">
        <f t="shared" si="59"/>
        <v>1.876780387178675</v>
      </c>
    </row>
    <row r="641" spans="1:21" x14ac:dyDescent="0.35">
      <c r="A641" s="107">
        <v>1024</v>
      </c>
      <c r="B641" s="107">
        <v>2013</v>
      </c>
      <c r="C641" s="107" t="s">
        <v>9</v>
      </c>
      <c r="D641" s="107" t="s">
        <v>132</v>
      </c>
      <c r="E641" s="107" t="s">
        <v>10</v>
      </c>
      <c r="F641" s="115">
        <v>10</v>
      </c>
      <c r="G641" s="107" t="s">
        <v>34</v>
      </c>
      <c r="H641" s="107" t="str">
        <f t="shared" si="54"/>
        <v>Area 10: N Puget Sound</v>
      </c>
      <c r="I641" s="107" t="str">
        <f>IFERROR(VLOOKUP(H641,LUTs!$A$1:$C$73,2,FALSE),"NA")</f>
        <v>NA</v>
      </c>
      <c r="J641" s="107" t="str">
        <f>IFERROR(VLOOKUP(H641,LUTs!$A$1:$C$73,3,FALSE),"NA")</f>
        <v>3South Puget Sound</v>
      </c>
      <c r="K641" s="107" t="s">
        <v>13</v>
      </c>
      <c r="L641" s="107" t="str">
        <f>VLOOKUP(K641,LUTs!E$2:G$14,3,)</f>
        <v>01Whatcom</v>
      </c>
      <c r="M641" s="107" t="str">
        <f>VLOOKUP($K641,LUTs!$E$2:$H$14,2,)</f>
        <v>North Puget Sound</v>
      </c>
      <c r="N641" s="107" t="str">
        <f>VLOOKUP($K641,LUTs!$E$2:$H$14,4,)</f>
        <v>01North Puget Sound</v>
      </c>
      <c r="O641" s="107">
        <v>24.725360954174501</v>
      </c>
      <c r="P641" s="107">
        <v>46.404072504708097</v>
      </c>
      <c r="Q641" s="107">
        <f t="shared" si="55"/>
        <v>24.725360954174501</v>
      </c>
      <c r="R641" s="107">
        <f t="shared" si="56"/>
        <v>46.404072504708097</v>
      </c>
      <c r="S641" s="140" t="str">
        <f t="shared" si="57"/>
        <v>Y</v>
      </c>
      <c r="T641" s="154">
        <f t="shared" si="58"/>
        <v>1.8767803871786743</v>
      </c>
      <c r="U641" s="154">
        <f t="shared" si="59"/>
        <v>1.8767803871786743</v>
      </c>
    </row>
    <row r="642" spans="1:21" x14ac:dyDescent="0.35">
      <c r="A642" s="107">
        <v>1208</v>
      </c>
      <c r="B642" s="107">
        <v>2014</v>
      </c>
      <c r="C642" s="107" t="s">
        <v>9</v>
      </c>
      <c r="D642" s="107" t="s">
        <v>132</v>
      </c>
      <c r="E642" s="107" t="s">
        <v>10</v>
      </c>
      <c r="F642" s="115">
        <v>10</v>
      </c>
      <c r="G642" s="107" t="s">
        <v>34</v>
      </c>
      <c r="H642" s="107" t="str">
        <f t="shared" ref="H642:H705" si="60">G642</f>
        <v>Area 10: N Puget Sound</v>
      </c>
      <c r="I642" s="107" t="str">
        <f>IFERROR(VLOOKUP(H642,LUTs!$A$1:$C$73,2,FALSE),"NA")</f>
        <v>NA</v>
      </c>
      <c r="J642" s="107" t="str">
        <f>IFERROR(VLOOKUP(H642,LUTs!$A$1:$C$73,3,FALSE),"NA")</f>
        <v>3South Puget Sound</v>
      </c>
      <c r="K642" s="107" t="s">
        <v>24</v>
      </c>
      <c r="L642" s="107" t="str">
        <f>VLOOKUP(K642,LUTs!E$2:G$14,3,)</f>
        <v>11Clallam</v>
      </c>
      <c r="M642" s="107" t="str">
        <f>VLOOKUP($K642,LUTs!$E$2:$H$14,2,)</f>
        <v>Strait of Juan de Fuca</v>
      </c>
      <c r="N642" s="107" t="str">
        <f>VLOOKUP($K642,LUTs!$E$2:$H$14,4,)</f>
        <v>03Strait of Juan de Fuca</v>
      </c>
      <c r="O642" s="107">
        <v>6.8149587178241902</v>
      </c>
      <c r="P642" s="107">
        <v>23.973428848955798</v>
      </c>
      <c r="Q642" s="107">
        <f t="shared" ref="Q642:Q705" si="61">O642</f>
        <v>6.8149587178241902</v>
      </c>
      <c r="R642" s="107">
        <f t="shared" ref="R642:R705" si="62">P642</f>
        <v>23.973428848955798</v>
      </c>
      <c r="S642" s="140" t="str">
        <f t="shared" si="57"/>
        <v>Y</v>
      </c>
      <c r="T642" s="154">
        <f t="shared" si="58"/>
        <v>3.5177658209806131</v>
      </c>
      <c r="U642" s="154">
        <f t="shared" si="59"/>
        <v>3.5177658209806131</v>
      </c>
    </row>
    <row r="643" spans="1:21" x14ac:dyDescent="0.35">
      <c r="A643" s="107">
        <v>1202</v>
      </c>
      <c r="B643" s="107">
        <v>2014</v>
      </c>
      <c r="C643" s="107" t="s">
        <v>9</v>
      </c>
      <c r="D643" s="107" t="s">
        <v>132</v>
      </c>
      <c r="E643" s="107" t="s">
        <v>10</v>
      </c>
      <c r="F643" s="115">
        <v>10</v>
      </c>
      <c r="G643" s="107" t="s">
        <v>34</v>
      </c>
      <c r="H643" s="107" t="str">
        <f t="shared" si="60"/>
        <v>Area 10: N Puget Sound</v>
      </c>
      <c r="I643" s="107" t="str">
        <f>IFERROR(VLOOKUP(H643,LUTs!$A$1:$C$73,2,FALSE),"NA")</f>
        <v>NA</v>
      </c>
      <c r="J643" s="107" t="str">
        <f>IFERROR(VLOOKUP(H643,LUTs!$A$1:$C$73,3,FALSE),"NA")</f>
        <v>3South Puget Sound</v>
      </c>
      <c r="K643" s="107" t="s">
        <v>17</v>
      </c>
      <c r="L643" s="107" t="str">
        <f>VLOOKUP(K643,LUTs!E$2:G$14,3,)</f>
        <v>04Island</v>
      </c>
      <c r="M643" s="107" t="str">
        <f>VLOOKUP($K643,LUTs!$E$2:$H$14,2,)</f>
        <v>North Puget Sound</v>
      </c>
      <c r="N643" s="107" t="str">
        <f>VLOOKUP($K643,LUTs!$E$2:$H$14,4,)</f>
        <v>01North Puget Sound</v>
      </c>
      <c r="O643" s="107">
        <v>6.8149587178241902</v>
      </c>
      <c r="P643" s="107">
        <v>23.973428848955798</v>
      </c>
      <c r="Q643" s="107">
        <f t="shared" si="61"/>
        <v>6.8149587178241902</v>
      </c>
      <c r="R643" s="107">
        <f t="shared" si="62"/>
        <v>23.973428848955798</v>
      </c>
      <c r="S643" s="140" t="str">
        <f t="shared" ref="S643:S706" si="63">IF(B643&lt;=2019,"Y","N")</f>
        <v>Y</v>
      </c>
      <c r="T643" s="154">
        <f t="shared" ref="T643:T706" si="64">IFERROR(P643/O643,"NA")</f>
        <v>3.5177658209806131</v>
      </c>
      <c r="U643" s="154">
        <f t="shared" ref="U643:U706" si="65">IFERROR(R643/Q643,"NA")</f>
        <v>3.5177658209806131</v>
      </c>
    </row>
    <row r="644" spans="1:21" x14ac:dyDescent="0.35">
      <c r="A644" s="107">
        <v>1209</v>
      </c>
      <c r="B644" s="107">
        <v>2014</v>
      </c>
      <c r="C644" s="107" t="s">
        <v>9</v>
      </c>
      <c r="D644" s="107" t="s">
        <v>132</v>
      </c>
      <c r="E644" s="107" t="s">
        <v>10</v>
      </c>
      <c r="F644" s="115">
        <v>10</v>
      </c>
      <c r="G644" s="107" t="s">
        <v>34</v>
      </c>
      <c r="H644" s="107" t="str">
        <f t="shared" si="60"/>
        <v>Area 10: N Puget Sound</v>
      </c>
      <c r="I644" s="107" t="str">
        <f>IFERROR(VLOOKUP(H644,LUTs!$A$1:$C$73,2,FALSE),"NA")</f>
        <v>NA</v>
      </c>
      <c r="J644" s="107" t="str">
        <f>IFERROR(VLOOKUP(H644,LUTs!$A$1:$C$73,3,FALSE),"NA")</f>
        <v>3South Puget Sound</v>
      </c>
      <c r="K644" s="107" t="s">
        <v>25</v>
      </c>
      <c r="L644" s="107" t="str">
        <f>VLOOKUP(K644,LUTs!E$2:G$14,3,)</f>
        <v>12Jefferson</v>
      </c>
      <c r="M644" s="107" t="str">
        <f>VLOOKUP($K644,LUTs!$E$2:$H$14,2,)</f>
        <v>Strait of Juan de Fuca</v>
      </c>
      <c r="N644" s="107" t="str">
        <f>VLOOKUP($K644,LUTs!$E$2:$H$14,4,)</f>
        <v>03Strait of Juan de Fuca</v>
      </c>
      <c r="O644" s="107">
        <v>54.5196697425935</v>
      </c>
      <c r="P644" s="107">
        <v>191.78743079164599</v>
      </c>
      <c r="Q644" s="107">
        <f t="shared" si="61"/>
        <v>54.5196697425935</v>
      </c>
      <c r="R644" s="107">
        <f t="shared" si="62"/>
        <v>191.78743079164599</v>
      </c>
      <c r="S644" s="140" t="str">
        <f t="shared" si="63"/>
        <v>Y</v>
      </c>
      <c r="T644" s="154">
        <f t="shared" si="64"/>
        <v>3.5177658209806073</v>
      </c>
      <c r="U644" s="154">
        <f t="shared" si="65"/>
        <v>3.5177658209806073</v>
      </c>
    </row>
    <row r="645" spans="1:21" x14ac:dyDescent="0.35">
      <c r="A645" s="107">
        <v>1203</v>
      </c>
      <c r="B645" s="107">
        <v>2014</v>
      </c>
      <c r="C645" s="107" t="s">
        <v>9</v>
      </c>
      <c r="D645" s="107" t="s">
        <v>132</v>
      </c>
      <c r="E645" s="107" t="s">
        <v>10</v>
      </c>
      <c r="F645" s="115">
        <v>10</v>
      </c>
      <c r="G645" s="107" t="s">
        <v>34</v>
      </c>
      <c r="H645" s="107" t="str">
        <f t="shared" si="60"/>
        <v>Area 10: N Puget Sound</v>
      </c>
      <c r="I645" s="107" t="str">
        <f>IFERROR(VLOOKUP(H645,LUTs!$A$1:$C$73,2,FALSE),"NA")</f>
        <v>NA</v>
      </c>
      <c r="J645" s="107" t="str">
        <f>IFERROR(VLOOKUP(H645,LUTs!$A$1:$C$73,3,FALSE),"NA")</f>
        <v>3South Puget Sound</v>
      </c>
      <c r="K645" s="107" t="s">
        <v>18</v>
      </c>
      <c r="L645" s="107" t="str">
        <f>VLOOKUP(K645,LUTs!E$2:G$14,3,)</f>
        <v>06King</v>
      </c>
      <c r="M645" s="107" t="str">
        <f>VLOOKUP($K645,LUTs!$E$2:$H$14,2,)</f>
        <v>South Puget Sound</v>
      </c>
      <c r="N645" s="107" t="str">
        <f>VLOOKUP($K645,LUTs!$E$2:$H$14,4,)</f>
        <v>02South Puget Sound</v>
      </c>
      <c r="O645" s="107">
        <v>7441.9349198640102</v>
      </c>
      <c r="P645" s="107">
        <v>26178.9843030597</v>
      </c>
      <c r="Q645" s="107">
        <f t="shared" si="61"/>
        <v>7441.9349198640102</v>
      </c>
      <c r="R645" s="107">
        <f t="shared" si="62"/>
        <v>26178.9843030597</v>
      </c>
      <c r="S645" s="140" t="str">
        <f t="shared" si="63"/>
        <v>Y</v>
      </c>
      <c r="T645" s="154">
        <f t="shared" si="64"/>
        <v>3.5177658209806113</v>
      </c>
      <c r="U645" s="154">
        <f t="shared" si="65"/>
        <v>3.5177658209806113</v>
      </c>
    </row>
    <row r="646" spans="1:21" x14ac:dyDescent="0.35">
      <c r="A646" s="107">
        <v>1207</v>
      </c>
      <c r="B646" s="107">
        <v>2014</v>
      </c>
      <c r="C646" s="107" t="s">
        <v>9</v>
      </c>
      <c r="D646" s="107" t="s">
        <v>132</v>
      </c>
      <c r="E646" s="107" t="s">
        <v>10</v>
      </c>
      <c r="F646" s="115">
        <v>10</v>
      </c>
      <c r="G646" s="107" t="s">
        <v>34</v>
      </c>
      <c r="H646" s="107" t="str">
        <f t="shared" si="60"/>
        <v>Area 10: N Puget Sound</v>
      </c>
      <c r="I646" s="107" t="str">
        <f>IFERROR(VLOOKUP(H646,LUTs!$A$1:$C$73,2,FALSE),"NA")</f>
        <v>NA</v>
      </c>
      <c r="J646" s="107" t="str">
        <f>IFERROR(VLOOKUP(H646,LUTs!$A$1:$C$73,3,FALSE),"NA")</f>
        <v>3South Puget Sound</v>
      </c>
      <c r="K646" s="107" t="s">
        <v>23</v>
      </c>
      <c r="L646" s="107" t="str">
        <f>VLOOKUP(K646,LUTs!E$2:G$14,3,)</f>
        <v>10Kitsap</v>
      </c>
      <c r="M646" s="107" t="str">
        <f>VLOOKUP($K646,LUTs!$E$2:$H$14,2,)</f>
        <v>South Puget Sound</v>
      </c>
      <c r="N646" s="107" t="str">
        <f>VLOOKUP($K646,LUTs!$E$2:$H$14,4,)</f>
        <v>02South Puget Sound</v>
      </c>
      <c r="O646" s="107">
        <v>2562.42447790189</v>
      </c>
      <c r="P646" s="107">
        <v>9014.0092472073902</v>
      </c>
      <c r="Q646" s="107">
        <f t="shared" si="61"/>
        <v>2562.42447790189</v>
      </c>
      <c r="R646" s="107">
        <f t="shared" si="62"/>
        <v>9014.0092472073902</v>
      </c>
      <c r="S646" s="140" t="str">
        <f t="shared" si="63"/>
        <v>Y</v>
      </c>
      <c r="T646" s="154">
        <f t="shared" si="64"/>
        <v>3.5177658209806246</v>
      </c>
      <c r="U646" s="154">
        <f t="shared" si="65"/>
        <v>3.5177658209806246</v>
      </c>
    </row>
    <row r="647" spans="1:21" x14ac:dyDescent="0.35">
      <c r="A647" s="107">
        <v>1206</v>
      </c>
      <c r="B647" s="107">
        <v>2014</v>
      </c>
      <c r="C647" s="107" t="s">
        <v>9</v>
      </c>
      <c r="D647" s="107" t="s">
        <v>132</v>
      </c>
      <c r="E647" s="107" t="s">
        <v>10</v>
      </c>
      <c r="F647" s="115">
        <v>10</v>
      </c>
      <c r="G647" s="107" t="s">
        <v>34</v>
      </c>
      <c r="H647" s="107" t="str">
        <f t="shared" si="60"/>
        <v>Area 10: N Puget Sound</v>
      </c>
      <c r="I647" s="107" t="str">
        <f>IFERROR(VLOOKUP(H647,LUTs!$A$1:$C$73,2,FALSE),"NA")</f>
        <v>NA</v>
      </c>
      <c r="J647" s="107" t="str">
        <f>IFERROR(VLOOKUP(H647,LUTs!$A$1:$C$73,3,FALSE),"NA")</f>
        <v>3South Puget Sound</v>
      </c>
      <c r="K647" s="107" t="s">
        <v>22</v>
      </c>
      <c r="L647" s="107" t="str">
        <f>VLOOKUP(K647,LUTs!E$2:G$14,3,)</f>
        <v>09Mason</v>
      </c>
      <c r="M647" s="107" t="str">
        <f>VLOOKUP($K647,LUTs!$E$2:$H$14,2,)</f>
        <v>South Puget Sound</v>
      </c>
      <c r="N647" s="107" t="str">
        <f>VLOOKUP($K647,LUTs!$E$2:$H$14,4,)</f>
        <v>02South Puget Sound</v>
      </c>
      <c r="O647" s="107">
        <v>88.594463331714394</v>
      </c>
      <c r="P647" s="107">
        <v>311.65457503642602</v>
      </c>
      <c r="Q647" s="107">
        <f t="shared" si="61"/>
        <v>88.594463331714394</v>
      </c>
      <c r="R647" s="107">
        <f t="shared" si="62"/>
        <v>311.65457503642602</v>
      </c>
      <c r="S647" s="140" t="str">
        <f t="shared" si="63"/>
        <v>Y</v>
      </c>
      <c r="T647" s="154">
        <f t="shared" si="64"/>
        <v>3.5177658209806233</v>
      </c>
      <c r="U647" s="154">
        <f t="shared" si="65"/>
        <v>3.5177658209806233</v>
      </c>
    </row>
    <row r="648" spans="1:21" x14ac:dyDescent="0.35">
      <c r="A648" s="107">
        <v>1210</v>
      </c>
      <c r="B648" s="107">
        <v>2014</v>
      </c>
      <c r="C648" s="107" t="s">
        <v>9</v>
      </c>
      <c r="D648" s="107" t="s">
        <v>132</v>
      </c>
      <c r="E648" s="107" t="s">
        <v>10</v>
      </c>
      <c r="F648" s="115">
        <v>10</v>
      </c>
      <c r="G648" s="107" t="s">
        <v>34</v>
      </c>
      <c r="H648" s="107" t="str">
        <f t="shared" si="60"/>
        <v>Area 10: N Puget Sound</v>
      </c>
      <c r="I648" s="107" t="str">
        <f>IFERROR(VLOOKUP(H648,LUTs!$A$1:$C$73,2,FALSE),"NA")</f>
        <v>NA</v>
      </c>
      <c r="J648" s="107" t="str">
        <f>IFERROR(VLOOKUP(H648,LUTs!$A$1:$C$73,3,FALSE),"NA")</f>
        <v>3South Puget Sound</v>
      </c>
      <c r="K648" s="107" t="s">
        <v>26</v>
      </c>
      <c r="L648" s="107" t="str">
        <f>VLOOKUP(K648,LUTs!E$2:G$14,3,)</f>
        <v>20Other</v>
      </c>
      <c r="M648" s="107" t="str">
        <f>VLOOKUP($K648,LUTs!$E$2:$H$14,2,)</f>
        <v>Non Puget Sound</v>
      </c>
      <c r="N648" s="107" t="str">
        <f>VLOOKUP($K648,LUTs!$E$2:$H$14,4,)</f>
        <v>07Non Puget Sound</v>
      </c>
      <c r="O648" s="107">
        <v>1499.29091792132</v>
      </c>
      <c r="P648" s="107">
        <v>5274.1543467702804</v>
      </c>
      <c r="Q648" s="107">
        <f t="shared" si="61"/>
        <v>1499.29091792132</v>
      </c>
      <c r="R648" s="107">
        <f t="shared" si="62"/>
        <v>5274.1543467702804</v>
      </c>
      <c r="S648" s="140" t="str">
        <f t="shared" si="63"/>
        <v>Y</v>
      </c>
      <c r="T648" s="154">
        <f t="shared" si="64"/>
        <v>3.5177658209806206</v>
      </c>
      <c r="U648" s="154">
        <f t="shared" si="65"/>
        <v>3.5177658209806206</v>
      </c>
    </row>
    <row r="649" spans="1:21" x14ac:dyDescent="0.35">
      <c r="A649" s="107">
        <v>1204</v>
      </c>
      <c r="B649" s="107">
        <v>2014</v>
      </c>
      <c r="C649" s="107" t="s">
        <v>9</v>
      </c>
      <c r="D649" s="107" t="s">
        <v>132</v>
      </c>
      <c r="E649" s="107" t="s">
        <v>10</v>
      </c>
      <c r="F649" s="115">
        <v>10</v>
      </c>
      <c r="G649" s="107" t="s">
        <v>34</v>
      </c>
      <c r="H649" s="107" t="str">
        <f t="shared" si="60"/>
        <v>Area 10: N Puget Sound</v>
      </c>
      <c r="I649" s="107" t="str">
        <f>IFERROR(VLOOKUP(H649,LUTs!$A$1:$C$73,2,FALSE),"NA")</f>
        <v>NA</v>
      </c>
      <c r="J649" s="107" t="str">
        <f>IFERROR(VLOOKUP(H649,LUTs!$A$1:$C$73,3,FALSE),"NA")</f>
        <v>3South Puget Sound</v>
      </c>
      <c r="K649" s="107" t="s">
        <v>20</v>
      </c>
      <c r="L649" s="107" t="str">
        <f>VLOOKUP(K649,LUTs!E$2:G$14,3,)</f>
        <v>07Pierce</v>
      </c>
      <c r="M649" s="107" t="str">
        <f>VLOOKUP($K649,LUTs!$E$2:$H$14,2,)</f>
        <v>South Puget Sound</v>
      </c>
      <c r="N649" s="107" t="str">
        <f>VLOOKUP($K649,LUTs!$E$2:$H$14,4,)</f>
        <v>02South Puget Sound</v>
      </c>
      <c r="O649" s="107">
        <v>531.56677999028705</v>
      </c>
      <c r="P649" s="107">
        <v>1869.9274502185499</v>
      </c>
      <c r="Q649" s="107">
        <f t="shared" si="61"/>
        <v>531.56677999028705</v>
      </c>
      <c r="R649" s="107">
        <f t="shared" si="62"/>
        <v>1869.9274502185499</v>
      </c>
      <c r="S649" s="140" t="str">
        <f t="shared" si="63"/>
        <v>Y</v>
      </c>
      <c r="T649" s="154">
        <f t="shared" si="64"/>
        <v>3.5177658209806073</v>
      </c>
      <c r="U649" s="154">
        <f t="shared" si="65"/>
        <v>3.5177658209806073</v>
      </c>
    </row>
    <row r="650" spans="1:21" x14ac:dyDescent="0.35">
      <c r="A650" s="107">
        <v>1200</v>
      </c>
      <c r="B650" s="107">
        <v>2014</v>
      </c>
      <c r="C650" s="107" t="s">
        <v>9</v>
      </c>
      <c r="D650" s="107" t="s">
        <v>132</v>
      </c>
      <c r="E650" s="107" t="s">
        <v>10</v>
      </c>
      <c r="F650" s="115">
        <v>10</v>
      </c>
      <c r="G650" s="107" t="s">
        <v>34</v>
      </c>
      <c r="H650" s="107" t="str">
        <f t="shared" si="60"/>
        <v>Area 10: N Puget Sound</v>
      </c>
      <c r="I650" s="107" t="str">
        <f>IFERROR(VLOOKUP(H650,LUTs!$A$1:$C$73,2,FALSE),"NA")</f>
        <v>NA</v>
      </c>
      <c r="J650" s="107" t="str">
        <f>IFERROR(VLOOKUP(H650,LUTs!$A$1:$C$73,3,FALSE),"NA")</f>
        <v>3South Puget Sound</v>
      </c>
      <c r="K650" s="107" t="s">
        <v>15</v>
      </c>
      <c r="L650" s="107" t="str">
        <f>VLOOKUP(K650,LUTs!E$2:G$14,3,)</f>
        <v>02Skagit</v>
      </c>
      <c r="M650" s="107" t="str">
        <f>VLOOKUP($K650,LUTs!$E$2:$H$14,2,)</f>
        <v>North Puget Sound</v>
      </c>
      <c r="N650" s="107" t="str">
        <f>VLOOKUP($K650,LUTs!$E$2:$H$14,4,)</f>
        <v>01North Puget Sound</v>
      </c>
      <c r="O650" s="107">
        <v>13.6299174356484</v>
      </c>
      <c r="P650" s="107">
        <v>47.946857697911597</v>
      </c>
      <c r="Q650" s="107">
        <f t="shared" si="61"/>
        <v>13.6299174356484</v>
      </c>
      <c r="R650" s="107">
        <f t="shared" si="62"/>
        <v>47.946857697911597</v>
      </c>
      <c r="S650" s="140" t="str">
        <f t="shared" si="63"/>
        <v>Y</v>
      </c>
      <c r="T650" s="154">
        <f t="shared" si="64"/>
        <v>3.5177658209806082</v>
      </c>
      <c r="U650" s="154">
        <f t="shared" si="65"/>
        <v>3.5177658209806082</v>
      </c>
    </row>
    <row r="651" spans="1:21" x14ac:dyDescent="0.35">
      <c r="A651" s="107">
        <v>1201</v>
      </c>
      <c r="B651" s="107">
        <v>2014</v>
      </c>
      <c r="C651" s="107" t="s">
        <v>9</v>
      </c>
      <c r="D651" s="107" t="s">
        <v>132</v>
      </c>
      <c r="E651" s="107" t="s">
        <v>10</v>
      </c>
      <c r="F651" s="115">
        <v>10</v>
      </c>
      <c r="G651" s="107" t="s">
        <v>34</v>
      </c>
      <c r="H651" s="107" t="str">
        <f t="shared" si="60"/>
        <v>Area 10: N Puget Sound</v>
      </c>
      <c r="I651" s="107" t="str">
        <f>IFERROR(VLOOKUP(H651,LUTs!$A$1:$C$73,2,FALSE),"NA")</f>
        <v>NA</v>
      </c>
      <c r="J651" s="107" t="str">
        <f>IFERROR(VLOOKUP(H651,LUTs!$A$1:$C$73,3,FALSE),"NA")</f>
        <v>3South Puget Sound</v>
      </c>
      <c r="K651" s="107" t="s">
        <v>16</v>
      </c>
      <c r="L651" s="107" t="str">
        <f>VLOOKUP(K651,LUTs!E$2:G$14,3,)</f>
        <v>03Snohomish</v>
      </c>
      <c r="M651" s="107" t="str">
        <f>VLOOKUP($K651,LUTs!$E$2:$H$14,2,)</f>
        <v>North Puget Sound</v>
      </c>
      <c r="N651" s="107" t="str">
        <f>VLOOKUP($K651,LUTs!$E$2:$H$14,4,)</f>
        <v>01North Puget Sound</v>
      </c>
      <c r="O651" s="107">
        <v>1778.7042253521099</v>
      </c>
      <c r="P651" s="107">
        <v>6257.0649295774701</v>
      </c>
      <c r="Q651" s="107">
        <f t="shared" si="61"/>
        <v>1778.7042253521099</v>
      </c>
      <c r="R651" s="107">
        <f t="shared" si="62"/>
        <v>6257.0649295774701</v>
      </c>
      <c r="S651" s="140" t="str">
        <f t="shared" si="63"/>
        <v>Y</v>
      </c>
      <c r="T651" s="154">
        <f t="shared" si="64"/>
        <v>3.5177658209806242</v>
      </c>
      <c r="U651" s="154">
        <f t="shared" si="65"/>
        <v>3.5177658209806242</v>
      </c>
    </row>
    <row r="652" spans="1:21" x14ac:dyDescent="0.35">
      <c r="A652" s="107">
        <v>1205</v>
      </c>
      <c r="B652" s="107">
        <v>2014</v>
      </c>
      <c r="C652" s="107" t="s">
        <v>9</v>
      </c>
      <c r="D652" s="107" t="s">
        <v>132</v>
      </c>
      <c r="E652" s="107" t="s">
        <v>10</v>
      </c>
      <c r="F652" s="115">
        <v>10</v>
      </c>
      <c r="G652" s="107" t="s">
        <v>34</v>
      </c>
      <c r="H652" s="107" t="str">
        <f t="shared" si="60"/>
        <v>Area 10: N Puget Sound</v>
      </c>
      <c r="I652" s="107" t="str">
        <f>IFERROR(VLOOKUP(H652,LUTs!$A$1:$C$73,2,FALSE),"NA")</f>
        <v>NA</v>
      </c>
      <c r="J652" s="107" t="str">
        <f>IFERROR(VLOOKUP(H652,LUTs!$A$1:$C$73,3,FALSE),"NA")</f>
        <v>3South Puget Sound</v>
      </c>
      <c r="K652" s="107" t="s">
        <v>21</v>
      </c>
      <c r="L652" s="107" t="str">
        <f>VLOOKUP(K652,LUTs!E$2:G$14,3,)</f>
        <v>08Thurston</v>
      </c>
      <c r="M652" s="107" t="str">
        <f>VLOOKUP($K652,LUTs!$E$2:$H$14,2,)</f>
        <v>South Puget Sound</v>
      </c>
      <c r="N652" s="107" t="str">
        <f>VLOOKUP($K652,LUTs!$E$2:$H$14,4,)</f>
        <v>02South Puget Sound</v>
      </c>
      <c r="O652" s="107">
        <v>47.704711024769303</v>
      </c>
      <c r="P652" s="107">
        <v>167.81400194269099</v>
      </c>
      <c r="Q652" s="107">
        <f t="shared" si="61"/>
        <v>47.704711024769303</v>
      </c>
      <c r="R652" s="107">
        <f t="shared" si="62"/>
        <v>167.81400194269099</v>
      </c>
      <c r="S652" s="140" t="str">
        <f t="shared" si="63"/>
        <v>Y</v>
      </c>
      <c r="T652" s="154">
        <f t="shared" si="64"/>
        <v>3.5177658209806237</v>
      </c>
      <c r="U652" s="154">
        <f t="shared" si="65"/>
        <v>3.5177658209806237</v>
      </c>
    </row>
    <row r="653" spans="1:21" x14ac:dyDescent="0.35">
      <c r="A653" s="107">
        <v>3260</v>
      </c>
      <c r="B653" s="107">
        <v>2015</v>
      </c>
      <c r="C653" s="107" t="s">
        <v>9</v>
      </c>
      <c r="D653" s="107" t="s">
        <v>132</v>
      </c>
      <c r="E653" s="107" t="s">
        <v>10</v>
      </c>
      <c r="F653" s="115">
        <v>10</v>
      </c>
      <c r="G653" s="107" t="s">
        <v>34</v>
      </c>
      <c r="H653" s="107" t="str">
        <f t="shared" si="60"/>
        <v>Area 10: N Puget Sound</v>
      </c>
      <c r="I653" s="107" t="str">
        <f>IFERROR(VLOOKUP(H653,LUTs!$A$1:$C$73,2,FALSE),"NA")</f>
        <v>NA</v>
      </c>
      <c r="J653" s="107" t="str">
        <f>IFERROR(VLOOKUP(H653,LUTs!$A$1:$C$73,3,FALSE),"NA")</f>
        <v>3South Puget Sound</v>
      </c>
      <c r="K653" s="107" t="s">
        <v>24</v>
      </c>
      <c r="L653" s="107" t="str">
        <f>VLOOKUP(K653,LUTs!E$2:G$14,3,)</f>
        <v>11Clallam</v>
      </c>
      <c r="M653" s="107" t="str">
        <f>VLOOKUP($K653,LUTs!$E$2:$H$14,2,)</f>
        <v>Strait of Juan de Fuca</v>
      </c>
      <c r="N653" s="107" t="str">
        <f>VLOOKUP($K653,LUTs!$E$2:$H$14,4,)</f>
        <v>03Strait of Juan de Fuca</v>
      </c>
      <c r="O653" s="107">
        <v>36.135215794306703</v>
      </c>
      <c r="P653" s="107">
        <v>44.5324839302112</v>
      </c>
      <c r="Q653" s="107">
        <f t="shared" si="61"/>
        <v>36.135215794306703</v>
      </c>
      <c r="R653" s="107">
        <f t="shared" si="62"/>
        <v>44.5324839302112</v>
      </c>
      <c r="S653" s="140" t="str">
        <f t="shared" si="63"/>
        <v>Y</v>
      </c>
      <c r="T653" s="154">
        <f t="shared" si="64"/>
        <v>1.2323846129411391</v>
      </c>
      <c r="U653" s="154">
        <f t="shared" si="65"/>
        <v>1.2323846129411391</v>
      </c>
    </row>
    <row r="654" spans="1:21" x14ac:dyDescent="0.35">
      <c r="A654" s="107">
        <v>3179</v>
      </c>
      <c r="B654" s="107">
        <v>2015</v>
      </c>
      <c r="C654" s="107" t="s">
        <v>9</v>
      </c>
      <c r="D654" s="107" t="s">
        <v>132</v>
      </c>
      <c r="E654" s="107" t="s">
        <v>10</v>
      </c>
      <c r="F654" s="115">
        <v>10</v>
      </c>
      <c r="G654" s="107" t="s">
        <v>34</v>
      </c>
      <c r="H654" s="107" t="str">
        <f t="shared" si="60"/>
        <v>Area 10: N Puget Sound</v>
      </c>
      <c r="I654" s="107" t="str">
        <f>IFERROR(VLOOKUP(H654,LUTs!$A$1:$C$73,2,FALSE),"NA")</f>
        <v>NA</v>
      </c>
      <c r="J654" s="107" t="str">
        <f>IFERROR(VLOOKUP(H654,LUTs!$A$1:$C$73,3,FALSE),"NA")</f>
        <v>3South Puget Sound</v>
      </c>
      <c r="K654" s="107" t="s">
        <v>17</v>
      </c>
      <c r="L654" s="107" t="str">
        <f>VLOOKUP(K654,LUTs!E$2:G$14,3,)</f>
        <v>04Island</v>
      </c>
      <c r="M654" s="107" t="str">
        <f>VLOOKUP($K654,LUTs!$E$2:$H$14,2,)</f>
        <v>North Puget Sound</v>
      </c>
      <c r="N654" s="107" t="str">
        <f>VLOOKUP($K654,LUTs!$E$2:$H$14,4,)</f>
        <v>01North Puget Sound</v>
      </c>
      <c r="O654" s="107">
        <v>65.043388429752099</v>
      </c>
      <c r="P654" s="107">
        <v>80.158471074380202</v>
      </c>
      <c r="Q654" s="107">
        <f t="shared" si="61"/>
        <v>65.043388429752099</v>
      </c>
      <c r="R654" s="107">
        <f t="shared" si="62"/>
        <v>80.158471074380202</v>
      </c>
      <c r="S654" s="140" t="str">
        <f t="shared" si="63"/>
        <v>Y</v>
      </c>
      <c r="T654" s="154">
        <f t="shared" si="64"/>
        <v>1.2323846129411391</v>
      </c>
      <c r="U654" s="154">
        <f t="shared" si="65"/>
        <v>1.2323846129411391</v>
      </c>
    </row>
    <row r="655" spans="1:21" x14ac:dyDescent="0.35">
      <c r="A655" s="107">
        <v>3287</v>
      </c>
      <c r="B655" s="107">
        <v>2015</v>
      </c>
      <c r="C655" s="107" t="s">
        <v>9</v>
      </c>
      <c r="D655" s="107" t="s">
        <v>132</v>
      </c>
      <c r="E655" s="107" t="s">
        <v>10</v>
      </c>
      <c r="F655" s="115">
        <v>10</v>
      </c>
      <c r="G655" s="107" t="s">
        <v>34</v>
      </c>
      <c r="H655" s="107" t="str">
        <f t="shared" si="60"/>
        <v>Area 10: N Puget Sound</v>
      </c>
      <c r="I655" s="107" t="str">
        <f>IFERROR(VLOOKUP(H655,LUTs!$A$1:$C$73,2,FALSE),"NA")</f>
        <v>NA</v>
      </c>
      <c r="J655" s="107" t="str">
        <f>IFERROR(VLOOKUP(H655,LUTs!$A$1:$C$73,3,FALSE),"NA")</f>
        <v>3South Puget Sound</v>
      </c>
      <c r="K655" s="107" t="s">
        <v>25</v>
      </c>
      <c r="L655" s="107" t="str">
        <f>VLOOKUP(K655,LUTs!E$2:G$14,3,)</f>
        <v>12Jefferson</v>
      </c>
      <c r="M655" s="107" t="str">
        <f>VLOOKUP($K655,LUTs!$E$2:$H$14,2,)</f>
        <v>Strait of Juan de Fuca</v>
      </c>
      <c r="N655" s="107" t="str">
        <f>VLOOKUP($K655,LUTs!$E$2:$H$14,4,)</f>
        <v>03Strait of Juan de Fuca</v>
      </c>
      <c r="O655" s="107">
        <v>57.8163452708907</v>
      </c>
      <c r="P655" s="107">
        <v>71.251974288337905</v>
      </c>
      <c r="Q655" s="107">
        <f t="shared" si="61"/>
        <v>57.8163452708907</v>
      </c>
      <c r="R655" s="107">
        <f t="shared" si="62"/>
        <v>71.251974288337905</v>
      </c>
      <c r="S655" s="140" t="str">
        <f t="shared" si="63"/>
        <v>Y</v>
      </c>
      <c r="T655" s="154">
        <f t="shared" si="64"/>
        <v>1.2323846129411393</v>
      </c>
      <c r="U655" s="154">
        <f t="shared" si="65"/>
        <v>1.2323846129411393</v>
      </c>
    </row>
    <row r="656" spans="1:21" x14ac:dyDescent="0.35">
      <c r="A656" s="107">
        <v>3255</v>
      </c>
      <c r="B656" s="107">
        <v>2015</v>
      </c>
      <c r="C656" s="107" t="s">
        <v>9</v>
      </c>
      <c r="D656" s="107" t="s">
        <v>132</v>
      </c>
      <c r="E656" s="107" t="s">
        <v>10</v>
      </c>
      <c r="F656" s="115">
        <v>10</v>
      </c>
      <c r="G656" s="107" t="s">
        <v>34</v>
      </c>
      <c r="H656" s="107" t="str">
        <f t="shared" si="60"/>
        <v>Area 10: N Puget Sound</v>
      </c>
      <c r="I656" s="107" t="str">
        <f>IFERROR(VLOOKUP(H656,LUTs!$A$1:$C$73,2,FALSE),"NA")</f>
        <v>NA</v>
      </c>
      <c r="J656" s="107" t="str">
        <f>IFERROR(VLOOKUP(H656,LUTs!$A$1:$C$73,3,FALSE),"NA")</f>
        <v>3South Puget Sound</v>
      </c>
      <c r="K656" s="107" t="s">
        <v>18</v>
      </c>
      <c r="L656" s="107" t="str">
        <f>VLOOKUP(K656,LUTs!E$2:G$14,3,)</f>
        <v>06King</v>
      </c>
      <c r="M656" s="107" t="str">
        <f>VLOOKUP($K656,LUTs!$E$2:$H$14,2,)</f>
        <v>South Puget Sound</v>
      </c>
      <c r="N656" s="107" t="str">
        <f>VLOOKUP($K656,LUTs!$E$2:$H$14,4,)</f>
        <v>02South Puget Sound</v>
      </c>
      <c r="O656" s="107">
        <v>19484.108356290199</v>
      </c>
      <c r="P656" s="107">
        <v>24011.915335169899</v>
      </c>
      <c r="Q656" s="107">
        <f t="shared" si="61"/>
        <v>19484.108356290199</v>
      </c>
      <c r="R656" s="107">
        <f t="shared" si="62"/>
        <v>24011.915335169899</v>
      </c>
      <c r="S656" s="140" t="str">
        <f t="shared" si="63"/>
        <v>Y</v>
      </c>
      <c r="T656" s="154">
        <f t="shared" si="64"/>
        <v>1.2323846129411384</v>
      </c>
      <c r="U656" s="154">
        <f t="shared" si="65"/>
        <v>1.2323846129411384</v>
      </c>
    </row>
    <row r="657" spans="1:21" x14ac:dyDescent="0.35">
      <c r="A657" s="107">
        <v>3259</v>
      </c>
      <c r="B657" s="107">
        <v>2015</v>
      </c>
      <c r="C657" s="107" t="s">
        <v>9</v>
      </c>
      <c r="D657" s="107" t="s">
        <v>132</v>
      </c>
      <c r="E657" s="107" t="s">
        <v>10</v>
      </c>
      <c r="F657" s="115">
        <v>10</v>
      </c>
      <c r="G657" s="107" t="s">
        <v>34</v>
      </c>
      <c r="H657" s="107" t="str">
        <f t="shared" si="60"/>
        <v>Area 10: N Puget Sound</v>
      </c>
      <c r="I657" s="107" t="str">
        <f>IFERROR(VLOOKUP(H657,LUTs!$A$1:$C$73,2,FALSE),"NA")</f>
        <v>NA</v>
      </c>
      <c r="J657" s="107" t="str">
        <f>IFERROR(VLOOKUP(H657,LUTs!$A$1:$C$73,3,FALSE),"NA")</f>
        <v>3South Puget Sound</v>
      </c>
      <c r="K657" s="107" t="s">
        <v>23</v>
      </c>
      <c r="L657" s="107" t="str">
        <f>VLOOKUP(K657,LUTs!E$2:G$14,3,)</f>
        <v>10Kitsap</v>
      </c>
      <c r="M657" s="107" t="str">
        <f>VLOOKUP($K657,LUTs!$E$2:$H$14,2,)</f>
        <v>South Puget Sound</v>
      </c>
      <c r="N657" s="107" t="str">
        <f>VLOOKUP($K657,LUTs!$E$2:$H$14,4,)</f>
        <v>02South Puget Sound</v>
      </c>
      <c r="O657" s="107">
        <v>2558.3732782369202</v>
      </c>
      <c r="P657" s="107">
        <v>3152.8998622589502</v>
      </c>
      <c r="Q657" s="107">
        <f t="shared" si="61"/>
        <v>2558.3732782369202</v>
      </c>
      <c r="R657" s="107">
        <f t="shared" si="62"/>
        <v>3152.8998622589502</v>
      </c>
      <c r="S657" s="140" t="str">
        <f t="shared" si="63"/>
        <v>Y</v>
      </c>
      <c r="T657" s="154">
        <f t="shared" si="64"/>
        <v>1.2323846129411353</v>
      </c>
      <c r="U657" s="154">
        <f t="shared" si="65"/>
        <v>1.2323846129411353</v>
      </c>
    </row>
    <row r="658" spans="1:21" x14ac:dyDescent="0.35">
      <c r="A658" s="107">
        <v>3258</v>
      </c>
      <c r="B658" s="107">
        <v>2015</v>
      </c>
      <c r="C658" s="107" t="s">
        <v>9</v>
      </c>
      <c r="D658" s="107" t="s">
        <v>132</v>
      </c>
      <c r="E658" s="107" t="s">
        <v>10</v>
      </c>
      <c r="F658" s="115">
        <v>10</v>
      </c>
      <c r="G658" s="107" t="s">
        <v>34</v>
      </c>
      <c r="H658" s="107" t="str">
        <f t="shared" si="60"/>
        <v>Area 10: N Puget Sound</v>
      </c>
      <c r="I658" s="107" t="str">
        <f>IFERROR(VLOOKUP(H658,LUTs!$A$1:$C$73,2,FALSE),"NA")</f>
        <v>NA</v>
      </c>
      <c r="J658" s="107" t="str">
        <f>IFERROR(VLOOKUP(H658,LUTs!$A$1:$C$73,3,FALSE),"NA")</f>
        <v>3South Puget Sound</v>
      </c>
      <c r="K658" s="107" t="s">
        <v>22</v>
      </c>
      <c r="L658" s="107" t="str">
        <f>VLOOKUP(K658,LUTs!E$2:G$14,3,)</f>
        <v>09Mason</v>
      </c>
      <c r="M658" s="107" t="str">
        <f>VLOOKUP($K658,LUTs!$E$2:$H$14,2,)</f>
        <v>South Puget Sound</v>
      </c>
      <c r="N658" s="107" t="str">
        <f>VLOOKUP($K658,LUTs!$E$2:$H$14,4,)</f>
        <v>02South Puget Sound</v>
      </c>
      <c r="O658" s="107">
        <v>108.40564738291999</v>
      </c>
      <c r="P658" s="107">
        <v>133.59745179063401</v>
      </c>
      <c r="Q658" s="107">
        <f t="shared" si="61"/>
        <v>108.40564738291999</v>
      </c>
      <c r="R658" s="107">
        <f t="shared" si="62"/>
        <v>133.59745179063401</v>
      </c>
      <c r="S658" s="140" t="str">
        <f t="shared" si="63"/>
        <v>Y</v>
      </c>
      <c r="T658" s="154">
        <f t="shared" si="64"/>
        <v>1.2323846129411442</v>
      </c>
      <c r="U658" s="154">
        <f t="shared" si="65"/>
        <v>1.2323846129411442</v>
      </c>
    </row>
    <row r="659" spans="1:21" x14ac:dyDescent="0.35">
      <c r="A659" s="107">
        <v>3347</v>
      </c>
      <c r="B659" s="107">
        <v>2015</v>
      </c>
      <c r="C659" s="107" t="s">
        <v>9</v>
      </c>
      <c r="D659" s="107" t="s">
        <v>132</v>
      </c>
      <c r="E659" s="107" t="s">
        <v>10</v>
      </c>
      <c r="F659" s="115">
        <v>10</v>
      </c>
      <c r="G659" s="107" t="s">
        <v>34</v>
      </c>
      <c r="H659" s="107" t="str">
        <f t="shared" si="60"/>
        <v>Area 10: N Puget Sound</v>
      </c>
      <c r="I659" s="107" t="str">
        <f>IFERROR(VLOOKUP(H659,LUTs!$A$1:$C$73,2,FALSE),"NA")</f>
        <v>NA</v>
      </c>
      <c r="J659" s="107" t="str">
        <f>IFERROR(VLOOKUP(H659,LUTs!$A$1:$C$73,3,FALSE),"NA")</f>
        <v>3South Puget Sound</v>
      </c>
      <c r="K659" s="107" t="s">
        <v>26</v>
      </c>
      <c r="L659" s="107" t="str">
        <f>VLOOKUP(K659,LUTs!E$2:G$14,3,)</f>
        <v>20Other</v>
      </c>
      <c r="M659" s="107" t="str">
        <f>VLOOKUP($K659,LUTs!$E$2:$H$14,2,)</f>
        <v>Non Puget Sound</v>
      </c>
      <c r="N659" s="107" t="str">
        <f>VLOOKUP($K659,LUTs!$E$2:$H$14,4,)</f>
        <v>07Non Puget Sound</v>
      </c>
      <c r="O659" s="107">
        <v>5304.6496786042198</v>
      </c>
      <c r="P659" s="107">
        <v>6537.3686409550101</v>
      </c>
      <c r="Q659" s="107">
        <f t="shared" si="61"/>
        <v>5304.6496786042198</v>
      </c>
      <c r="R659" s="107">
        <f t="shared" si="62"/>
        <v>6537.3686409550101</v>
      </c>
      <c r="S659" s="140" t="str">
        <f t="shared" si="63"/>
        <v>Y</v>
      </c>
      <c r="T659" s="154">
        <f t="shared" si="64"/>
        <v>1.2323846129411411</v>
      </c>
      <c r="U659" s="154">
        <f t="shared" si="65"/>
        <v>1.2323846129411411</v>
      </c>
    </row>
    <row r="660" spans="1:21" x14ac:dyDescent="0.35">
      <c r="A660" s="107">
        <v>3256</v>
      </c>
      <c r="B660" s="107">
        <v>2015</v>
      </c>
      <c r="C660" s="107" t="s">
        <v>9</v>
      </c>
      <c r="D660" s="107" t="s">
        <v>132</v>
      </c>
      <c r="E660" s="107" t="s">
        <v>10</v>
      </c>
      <c r="F660" s="115">
        <v>10</v>
      </c>
      <c r="G660" s="107" t="s">
        <v>34</v>
      </c>
      <c r="H660" s="107" t="str">
        <f t="shared" si="60"/>
        <v>Area 10: N Puget Sound</v>
      </c>
      <c r="I660" s="107" t="str">
        <f>IFERROR(VLOOKUP(H660,LUTs!$A$1:$C$73,2,FALSE),"NA")</f>
        <v>NA</v>
      </c>
      <c r="J660" s="107" t="str">
        <f>IFERROR(VLOOKUP(H660,LUTs!$A$1:$C$73,3,FALSE),"NA")</f>
        <v>3South Puget Sound</v>
      </c>
      <c r="K660" s="107" t="s">
        <v>20</v>
      </c>
      <c r="L660" s="107" t="str">
        <f>VLOOKUP(K660,LUTs!E$2:G$14,3,)</f>
        <v>07Pierce</v>
      </c>
      <c r="M660" s="107" t="str">
        <f>VLOOKUP($K660,LUTs!$E$2:$H$14,2,)</f>
        <v>South Puget Sound</v>
      </c>
      <c r="N660" s="107" t="str">
        <f>VLOOKUP($K660,LUTs!$E$2:$H$14,4,)</f>
        <v>02South Puget Sound</v>
      </c>
      <c r="O660" s="107">
        <v>860.01813590450001</v>
      </c>
      <c r="P660" s="107">
        <v>1059.8731175390301</v>
      </c>
      <c r="Q660" s="107">
        <f t="shared" si="61"/>
        <v>860.01813590450001</v>
      </c>
      <c r="R660" s="107">
        <f t="shared" si="62"/>
        <v>1059.8731175390301</v>
      </c>
      <c r="S660" s="140" t="str">
        <f t="shared" si="63"/>
        <v>Y</v>
      </c>
      <c r="T660" s="154">
        <f t="shared" si="64"/>
        <v>1.2323846129411424</v>
      </c>
      <c r="U660" s="154">
        <f t="shared" si="65"/>
        <v>1.2323846129411424</v>
      </c>
    </row>
    <row r="661" spans="1:21" x14ac:dyDescent="0.35">
      <c r="A661" s="107">
        <v>3174</v>
      </c>
      <c r="B661" s="107">
        <v>2015</v>
      </c>
      <c r="C661" s="107" t="s">
        <v>9</v>
      </c>
      <c r="D661" s="107" t="s">
        <v>132</v>
      </c>
      <c r="E661" s="107" t="s">
        <v>10</v>
      </c>
      <c r="F661" s="115">
        <v>10</v>
      </c>
      <c r="G661" s="107" t="s">
        <v>34</v>
      </c>
      <c r="H661" s="107" t="str">
        <f t="shared" si="60"/>
        <v>Area 10: N Puget Sound</v>
      </c>
      <c r="I661" s="107" t="str">
        <f>IFERROR(VLOOKUP(H661,LUTs!$A$1:$C$73,2,FALSE),"NA")</f>
        <v>NA</v>
      </c>
      <c r="J661" s="107" t="str">
        <f>IFERROR(VLOOKUP(H661,LUTs!$A$1:$C$73,3,FALSE),"NA")</f>
        <v>3South Puget Sound</v>
      </c>
      <c r="K661" s="107" t="s">
        <v>15</v>
      </c>
      <c r="L661" s="107" t="str">
        <f>VLOOKUP(K661,LUTs!E$2:G$14,3,)</f>
        <v>02Skagit</v>
      </c>
      <c r="M661" s="107" t="str">
        <f>VLOOKUP($K661,LUTs!$E$2:$H$14,2,)</f>
        <v>North Puget Sound</v>
      </c>
      <c r="N661" s="107" t="str">
        <f>VLOOKUP($K661,LUTs!$E$2:$H$14,4,)</f>
        <v>01North Puget Sound</v>
      </c>
      <c r="O661" s="107">
        <v>28.9081726354454</v>
      </c>
      <c r="P661" s="107">
        <v>35.625987144169002</v>
      </c>
      <c r="Q661" s="107">
        <f t="shared" si="61"/>
        <v>28.9081726354454</v>
      </c>
      <c r="R661" s="107">
        <f t="shared" si="62"/>
        <v>35.625987144169002</v>
      </c>
      <c r="S661" s="140" t="str">
        <f t="shared" si="63"/>
        <v>Y</v>
      </c>
      <c r="T661" s="154">
        <f t="shared" si="64"/>
        <v>1.2323846129411389</v>
      </c>
      <c r="U661" s="154">
        <f t="shared" si="65"/>
        <v>1.2323846129411389</v>
      </c>
    </row>
    <row r="662" spans="1:21" x14ac:dyDescent="0.35">
      <c r="A662" s="107">
        <v>3175</v>
      </c>
      <c r="B662" s="107">
        <v>2015</v>
      </c>
      <c r="C662" s="107" t="s">
        <v>9</v>
      </c>
      <c r="D662" s="107" t="s">
        <v>132</v>
      </c>
      <c r="E662" s="107" t="s">
        <v>10</v>
      </c>
      <c r="F662" s="115">
        <v>10</v>
      </c>
      <c r="G662" s="107" t="s">
        <v>34</v>
      </c>
      <c r="H662" s="107" t="str">
        <f t="shared" si="60"/>
        <v>Area 10: N Puget Sound</v>
      </c>
      <c r="I662" s="107" t="str">
        <f>IFERROR(VLOOKUP(H662,LUTs!$A$1:$C$73,2,FALSE),"NA")</f>
        <v>NA</v>
      </c>
      <c r="J662" s="107" t="str">
        <f>IFERROR(VLOOKUP(H662,LUTs!$A$1:$C$73,3,FALSE),"NA")</f>
        <v>3South Puget Sound</v>
      </c>
      <c r="K662" s="107" t="s">
        <v>16</v>
      </c>
      <c r="L662" s="107" t="str">
        <f>VLOOKUP(K662,LUTs!E$2:G$14,3,)</f>
        <v>03Snohomish</v>
      </c>
      <c r="M662" s="107" t="str">
        <f>VLOOKUP($K662,LUTs!$E$2:$H$14,2,)</f>
        <v>North Puget Sound</v>
      </c>
      <c r="N662" s="107" t="str">
        <f>VLOOKUP($K662,LUTs!$E$2:$H$14,4,)</f>
        <v>01North Puget Sound</v>
      </c>
      <c r="O662" s="107">
        <v>2847.4550045913702</v>
      </c>
      <c r="P662" s="107">
        <v>3509.1597337006401</v>
      </c>
      <c r="Q662" s="107">
        <f t="shared" si="61"/>
        <v>2847.4550045913702</v>
      </c>
      <c r="R662" s="107">
        <f t="shared" si="62"/>
        <v>3509.1597337006401</v>
      </c>
      <c r="S662" s="140" t="str">
        <f t="shared" si="63"/>
        <v>Y</v>
      </c>
      <c r="T662" s="154">
        <f t="shared" si="64"/>
        <v>1.2323846129411373</v>
      </c>
      <c r="U662" s="154">
        <f t="shared" si="65"/>
        <v>1.2323846129411373</v>
      </c>
    </row>
    <row r="663" spans="1:21" x14ac:dyDescent="0.35">
      <c r="A663" s="107">
        <v>3257</v>
      </c>
      <c r="B663" s="107">
        <v>2015</v>
      </c>
      <c r="C663" s="107" t="s">
        <v>9</v>
      </c>
      <c r="D663" s="107" t="s">
        <v>132</v>
      </c>
      <c r="E663" s="107" t="s">
        <v>10</v>
      </c>
      <c r="F663" s="115">
        <v>10</v>
      </c>
      <c r="G663" s="107" t="s">
        <v>34</v>
      </c>
      <c r="H663" s="107" t="str">
        <f t="shared" si="60"/>
        <v>Area 10: N Puget Sound</v>
      </c>
      <c r="I663" s="107" t="str">
        <f>IFERROR(VLOOKUP(H663,LUTs!$A$1:$C$73,2,FALSE),"NA")</f>
        <v>NA</v>
      </c>
      <c r="J663" s="107" t="str">
        <f>IFERROR(VLOOKUP(H663,LUTs!$A$1:$C$73,3,FALSE),"NA")</f>
        <v>3South Puget Sound</v>
      </c>
      <c r="K663" s="107" t="s">
        <v>21</v>
      </c>
      <c r="L663" s="107" t="str">
        <f>VLOOKUP(K663,LUTs!E$2:G$14,3,)</f>
        <v>08Thurston</v>
      </c>
      <c r="M663" s="107" t="str">
        <f>VLOOKUP($K663,LUTs!$E$2:$H$14,2,)</f>
        <v>South Puget Sound</v>
      </c>
      <c r="N663" s="107" t="str">
        <f>VLOOKUP($K663,LUTs!$E$2:$H$14,4,)</f>
        <v>02South Puget Sound</v>
      </c>
      <c r="O663" s="107">
        <v>115.632690541781</v>
      </c>
      <c r="P663" s="107">
        <v>142.50394857667601</v>
      </c>
      <c r="Q663" s="107">
        <f t="shared" si="61"/>
        <v>115.632690541781</v>
      </c>
      <c r="R663" s="107">
        <f t="shared" si="62"/>
        <v>142.50394857667601</v>
      </c>
      <c r="S663" s="140" t="str">
        <f t="shared" si="63"/>
        <v>Y</v>
      </c>
      <c r="T663" s="154">
        <f t="shared" si="64"/>
        <v>1.2323846129411453</v>
      </c>
      <c r="U663" s="154">
        <f t="shared" si="65"/>
        <v>1.2323846129411453</v>
      </c>
    </row>
    <row r="664" spans="1:21" x14ac:dyDescent="0.35">
      <c r="A664" s="107">
        <v>3147</v>
      </c>
      <c r="B664" s="107">
        <v>2015</v>
      </c>
      <c r="C664" s="107" t="s">
        <v>9</v>
      </c>
      <c r="D664" s="107" t="s">
        <v>132</v>
      </c>
      <c r="E664" s="107" t="s">
        <v>10</v>
      </c>
      <c r="F664" s="115">
        <v>10</v>
      </c>
      <c r="G664" s="107" t="s">
        <v>34</v>
      </c>
      <c r="H664" s="107" t="str">
        <f t="shared" si="60"/>
        <v>Area 10: N Puget Sound</v>
      </c>
      <c r="I664" s="107" t="str">
        <f>IFERROR(VLOOKUP(H664,LUTs!$A$1:$C$73,2,FALSE),"NA")</f>
        <v>NA</v>
      </c>
      <c r="J664" s="107" t="str">
        <f>IFERROR(VLOOKUP(H664,LUTs!$A$1:$C$73,3,FALSE),"NA")</f>
        <v>3South Puget Sound</v>
      </c>
      <c r="K664" s="107" t="s">
        <v>13</v>
      </c>
      <c r="L664" s="107" t="str">
        <f>VLOOKUP(K664,LUTs!E$2:G$14,3,)</f>
        <v>01Whatcom</v>
      </c>
      <c r="M664" s="107" t="str">
        <f>VLOOKUP($K664,LUTs!$E$2:$H$14,2,)</f>
        <v>North Puget Sound</v>
      </c>
      <c r="N664" s="107" t="str">
        <f>VLOOKUP($K664,LUTs!$E$2:$H$14,4,)</f>
        <v>01North Puget Sound</v>
      </c>
      <c r="O664" s="107">
        <v>14.4540863177227</v>
      </c>
      <c r="P664" s="107">
        <v>17.812993572084501</v>
      </c>
      <c r="Q664" s="107">
        <f t="shared" si="61"/>
        <v>14.4540863177227</v>
      </c>
      <c r="R664" s="107">
        <f t="shared" si="62"/>
        <v>17.812993572084501</v>
      </c>
      <c r="S664" s="140" t="str">
        <f t="shared" si="63"/>
        <v>Y</v>
      </c>
      <c r="T664" s="154">
        <f t="shared" si="64"/>
        <v>1.2323846129411389</v>
      </c>
      <c r="U664" s="154">
        <f t="shared" si="65"/>
        <v>1.2323846129411389</v>
      </c>
    </row>
    <row r="665" spans="1:21" x14ac:dyDescent="0.35">
      <c r="A665" s="107">
        <v>3594</v>
      </c>
      <c r="B665" s="107">
        <v>2016</v>
      </c>
      <c r="C665" s="107" t="s">
        <v>9</v>
      </c>
      <c r="D665" s="107" t="s">
        <v>132</v>
      </c>
      <c r="E665" s="107" t="s">
        <v>10</v>
      </c>
      <c r="F665" s="115">
        <v>10</v>
      </c>
      <c r="G665" s="107" t="s">
        <v>34</v>
      </c>
      <c r="H665" s="107" t="str">
        <f t="shared" si="60"/>
        <v>Area 10: N Puget Sound</v>
      </c>
      <c r="I665" s="107" t="str">
        <f>IFERROR(VLOOKUP(H665,LUTs!$A$1:$C$73,2,FALSE),"NA")</f>
        <v>NA</v>
      </c>
      <c r="J665" s="107" t="str">
        <f>IFERROR(VLOOKUP(H665,LUTs!$A$1:$C$73,3,FALSE),"NA")</f>
        <v>3South Puget Sound</v>
      </c>
      <c r="K665" s="107" t="s">
        <v>17</v>
      </c>
      <c r="L665" s="107" t="str">
        <f>VLOOKUP(K665,LUTs!E$2:G$14,3,)</f>
        <v>04Island</v>
      </c>
      <c r="M665" s="107" t="str">
        <f>VLOOKUP($K665,LUTs!$E$2:$H$14,2,)</f>
        <v>North Puget Sound</v>
      </c>
      <c r="N665" s="107" t="str">
        <f>VLOOKUP($K665,LUTs!$E$2:$H$14,4,)</f>
        <v>01North Puget Sound</v>
      </c>
      <c r="O665" s="107">
        <v>8.5406001303117502</v>
      </c>
      <c r="P665" s="107">
        <v>73.007206266318605</v>
      </c>
      <c r="Q665" s="107">
        <f t="shared" si="61"/>
        <v>8.5406001303117502</v>
      </c>
      <c r="R665" s="107">
        <f t="shared" si="62"/>
        <v>73.007206266318605</v>
      </c>
      <c r="S665" s="140" t="str">
        <f t="shared" si="63"/>
        <v>Y</v>
      </c>
      <c r="T665" s="154">
        <f t="shared" si="64"/>
        <v>8.5482524825399686</v>
      </c>
      <c r="U665" s="154">
        <f t="shared" si="65"/>
        <v>8.5482524825399686</v>
      </c>
    </row>
    <row r="666" spans="1:21" x14ac:dyDescent="0.35">
      <c r="A666" s="107">
        <v>3698</v>
      </c>
      <c r="B666" s="107">
        <v>2016</v>
      </c>
      <c r="C666" s="107" t="s">
        <v>9</v>
      </c>
      <c r="D666" s="107" t="s">
        <v>132</v>
      </c>
      <c r="E666" s="107" t="s">
        <v>10</v>
      </c>
      <c r="F666" s="115">
        <v>10</v>
      </c>
      <c r="G666" s="107" t="s">
        <v>34</v>
      </c>
      <c r="H666" s="107" t="str">
        <f t="shared" si="60"/>
        <v>Area 10: N Puget Sound</v>
      </c>
      <c r="I666" s="107" t="str">
        <f>IFERROR(VLOOKUP(H666,LUTs!$A$1:$C$73,2,FALSE),"NA")</f>
        <v>NA</v>
      </c>
      <c r="J666" s="107" t="str">
        <f>IFERROR(VLOOKUP(H666,LUTs!$A$1:$C$73,3,FALSE),"NA")</f>
        <v>3South Puget Sound</v>
      </c>
      <c r="K666" s="107" t="s">
        <v>25</v>
      </c>
      <c r="L666" s="107" t="str">
        <f>VLOOKUP(K666,LUTs!E$2:G$14,3,)</f>
        <v>12Jefferson</v>
      </c>
      <c r="M666" s="107" t="str">
        <f>VLOOKUP($K666,LUTs!$E$2:$H$14,2,)</f>
        <v>Strait of Juan de Fuca</v>
      </c>
      <c r="N666" s="107" t="str">
        <f>VLOOKUP($K666,LUTs!$E$2:$H$14,4,)</f>
        <v>03Strait of Juan de Fuca</v>
      </c>
      <c r="O666" s="107">
        <v>4.2703000651558698</v>
      </c>
      <c r="P666" s="107">
        <v>36.503603133159302</v>
      </c>
      <c r="Q666" s="107">
        <f t="shared" si="61"/>
        <v>4.2703000651558698</v>
      </c>
      <c r="R666" s="107">
        <f t="shared" si="62"/>
        <v>36.503603133159302</v>
      </c>
      <c r="S666" s="140" t="str">
        <f t="shared" si="63"/>
        <v>Y</v>
      </c>
      <c r="T666" s="154">
        <f t="shared" si="64"/>
        <v>8.5482524825399793</v>
      </c>
      <c r="U666" s="154">
        <f t="shared" si="65"/>
        <v>8.5482524825399793</v>
      </c>
    </row>
    <row r="667" spans="1:21" x14ac:dyDescent="0.35">
      <c r="A667" s="107">
        <v>3595</v>
      </c>
      <c r="B667" s="107">
        <v>2016</v>
      </c>
      <c r="C667" s="107" t="s">
        <v>9</v>
      </c>
      <c r="D667" s="107" t="s">
        <v>132</v>
      </c>
      <c r="E667" s="107" t="s">
        <v>10</v>
      </c>
      <c r="F667" s="115">
        <v>10</v>
      </c>
      <c r="G667" s="107" t="s">
        <v>34</v>
      </c>
      <c r="H667" s="107" t="str">
        <f t="shared" si="60"/>
        <v>Area 10: N Puget Sound</v>
      </c>
      <c r="I667" s="107" t="str">
        <f>IFERROR(VLOOKUP(H667,LUTs!$A$1:$C$73,2,FALSE),"NA")</f>
        <v>NA</v>
      </c>
      <c r="J667" s="107" t="str">
        <f>IFERROR(VLOOKUP(H667,LUTs!$A$1:$C$73,3,FALSE),"NA")</f>
        <v>3South Puget Sound</v>
      </c>
      <c r="K667" s="107" t="s">
        <v>18</v>
      </c>
      <c r="L667" s="107" t="str">
        <f>VLOOKUP(K667,LUTs!E$2:G$14,3,)</f>
        <v>06King</v>
      </c>
      <c r="M667" s="107" t="str">
        <f>VLOOKUP($K667,LUTs!$E$2:$H$14,2,)</f>
        <v>South Puget Sound</v>
      </c>
      <c r="N667" s="107" t="str">
        <f>VLOOKUP($K667,LUTs!$E$2:$H$14,4,)</f>
        <v>02South Puget Sound</v>
      </c>
      <c r="O667" s="107">
        <v>751.57281146743298</v>
      </c>
      <c r="P667" s="107">
        <v>6424.6341514360302</v>
      </c>
      <c r="Q667" s="107">
        <f t="shared" si="61"/>
        <v>751.57281146743298</v>
      </c>
      <c r="R667" s="107">
        <f t="shared" si="62"/>
        <v>6424.6341514360302</v>
      </c>
      <c r="S667" s="140" t="str">
        <f t="shared" si="63"/>
        <v>Y</v>
      </c>
      <c r="T667" s="154">
        <f t="shared" si="64"/>
        <v>8.5482524825399722</v>
      </c>
      <c r="U667" s="154">
        <f t="shared" si="65"/>
        <v>8.5482524825399722</v>
      </c>
    </row>
    <row r="668" spans="1:21" x14ac:dyDescent="0.35">
      <c r="A668" s="107">
        <v>3670</v>
      </c>
      <c r="B668" s="107">
        <v>2016</v>
      </c>
      <c r="C668" s="107" t="s">
        <v>9</v>
      </c>
      <c r="D668" s="107" t="s">
        <v>132</v>
      </c>
      <c r="E668" s="107" t="s">
        <v>10</v>
      </c>
      <c r="F668" s="115">
        <v>10</v>
      </c>
      <c r="G668" s="107" t="s">
        <v>34</v>
      </c>
      <c r="H668" s="107" t="str">
        <f t="shared" si="60"/>
        <v>Area 10: N Puget Sound</v>
      </c>
      <c r="I668" s="107" t="str">
        <f>IFERROR(VLOOKUP(H668,LUTs!$A$1:$C$73,2,FALSE),"NA")</f>
        <v>NA</v>
      </c>
      <c r="J668" s="107" t="str">
        <f>IFERROR(VLOOKUP(H668,LUTs!$A$1:$C$73,3,FALSE),"NA")</f>
        <v>3South Puget Sound</v>
      </c>
      <c r="K668" s="107" t="s">
        <v>23</v>
      </c>
      <c r="L668" s="107" t="str">
        <f>VLOOKUP(K668,LUTs!E$2:G$14,3,)</f>
        <v>10Kitsap</v>
      </c>
      <c r="M668" s="107" t="str">
        <f>VLOOKUP($K668,LUTs!$E$2:$H$14,2,)</f>
        <v>South Puget Sound</v>
      </c>
      <c r="N668" s="107" t="str">
        <f>VLOOKUP($K668,LUTs!$E$2:$H$14,4,)</f>
        <v>02South Puget Sound</v>
      </c>
      <c r="O668" s="107">
        <v>277.569504235132</v>
      </c>
      <c r="P668" s="107">
        <v>2372.73420365535</v>
      </c>
      <c r="Q668" s="107">
        <f t="shared" si="61"/>
        <v>277.569504235132</v>
      </c>
      <c r="R668" s="107">
        <f t="shared" si="62"/>
        <v>2372.73420365535</v>
      </c>
      <c r="S668" s="140" t="str">
        <f t="shared" si="63"/>
        <v>Y</v>
      </c>
      <c r="T668" s="154">
        <f t="shared" si="64"/>
        <v>8.5482524825399491</v>
      </c>
      <c r="U668" s="154">
        <f t="shared" si="65"/>
        <v>8.5482524825399491</v>
      </c>
    </row>
    <row r="669" spans="1:21" x14ac:dyDescent="0.35">
      <c r="A669" s="107">
        <v>3669</v>
      </c>
      <c r="B669" s="107">
        <v>2016</v>
      </c>
      <c r="C669" s="107" t="s">
        <v>9</v>
      </c>
      <c r="D669" s="107" t="s">
        <v>132</v>
      </c>
      <c r="E669" s="107" t="s">
        <v>10</v>
      </c>
      <c r="F669" s="115">
        <v>10</v>
      </c>
      <c r="G669" s="107" t="s">
        <v>34</v>
      </c>
      <c r="H669" s="107" t="str">
        <f t="shared" si="60"/>
        <v>Area 10: N Puget Sound</v>
      </c>
      <c r="I669" s="107" t="str">
        <f>IFERROR(VLOOKUP(H669,LUTs!$A$1:$C$73,2,FALSE),"NA")</f>
        <v>NA</v>
      </c>
      <c r="J669" s="107" t="str">
        <f>IFERROR(VLOOKUP(H669,LUTs!$A$1:$C$73,3,FALSE),"NA")</f>
        <v>3South Puget Sound</v>
      </c>
      <c r="K669" s="107" t="s">
        <v>22</v>
      </c>
      <c r="L669" s="107" t="str">
        <f>VLOOKUP(K669,LUTs!E$2:G$14,3,)</f>
        <v>09Mason</v>
      </c>
      <c r="M669" s="107" t="str">
        <f>VLOOKUP($K669,LUTs!$E$2:$H$14,2,)</f>
        <v>South Puget Sound</v>
      </c>
      <c r="N669" s="107" t="str">
        <f>VLOOKUP($K669,LUTs!$E$2:$H$14,4,)</f>
        <v>02South Puget Sound</v>
      </c>
      <c r="O669" s="107">
        <v>4.2703000651558698</v>
      </c>
      <c r="P669" s="107">
        <v>36.503603133159302</v>
      </c>
      <c r="Q669" s="107">
        <f t="shared" si="61"/>
        <v>4.2703000651558698</v>
      </c>
      <c r="R669" s="107">
        <f t="shared" si="62"/>
        <v>36.503603133159302</v>
      </c>
      <c r="S669" s="140" t="str">
        <f t="shared" si="63"/>
        <v>Y</v>
      </c>
      <c r="T669" s="154">
        <f t="shared" si="64"/>
        <v>8.5482524825399793</v>
      </c>
      <c r="U669" s="154">
        <f t="shared" si="65"/>
        <v>8.5482524825399793</v>
      </c>
    </row>
    <row r="670" spans="1:21" x14ac:dyDescent="0.35">
      <c r="A670" s="107">
        <v>3723</v>
      </c>
      <c r="B670" s="107">
        <v>2016</v>
      </c>
      <c r="C670" s="107" t="s">
        <v>9</v>
      </c>
      <c r="D670" s="107" t="s">
        <v>132</v>
      </c>
      <c r="E670" s="107" t="s">
        <v>10</v>
      </c>
      <c r="F670" s="115">
        <v>10</v>
      </c>
      <c r="G670" s="107" t="s">
        <v>34</v>
      </c>
      <c r="H670" s="107" t="str">
        <f t="shared" si="60"/>
        <v>Area 10: N Puget Sound</v>
      </c>
      <c r="I670" s="107" t="str">
        <f>IFERROR(VLOOKUP(H670,LUTs!$A$1:$C$73,2,FALSE),"NA")</f>
        <v>NA</v>
      </c>
      <c r="J670" s="107" t="str">
        <f>IFERROR(VLOOKUP(H670,LUTs!$A$1:$C$73,3,FALSE),"NA")</f>
        <v>3South Puget Sound</v>
      </c>
      <c r="K670" s="107" t="s">
        <v>26</v>
      </c>
      <c r="L670" s="107" t="str">
        <f>VLOOKUP(K670,LUTs!E$2:G$14,3,)</f>
        <v>20Other</v>
      </c>
      <c r="M670" s="107" t="str">
        <f>VLOOKUP($K670,LUTs!$E$2:$H$14,2,)</f>
        <v>Non Puget Sound</v>
      </c>
      <c r="N670" s="107" t="str">
        <f>VLOOKUP($K670,LUTs!$E$2:$H$14,4,)</f>
        <v>07Non Puget Sound</v>
      </c>
      <c r="O670" s="107">
        <v>204.97440312748199</v>
      </c>
      <c r="P670" s="107">
        <v>1752.1729503916499</v>
      </c>
      <c r="Q670" s="107">
        <f t="shared" si="61"/>
        <v>204.97440312748199</v>
      </c>
      <c r="R670" s="107">
        <f t="shared" si="62"/>
        <v>1752.1729503916499</v>
      </c>
      <c r="S670" s="140" t="str">
        <f t="shared" si="63"/>
        <v>Y</v>
      </c>
      <c r="T670" s="154">
        <f t="shared" si="64"/>
        <v>8.5482524825399864</v>
      </c>
      <c r="U670" s="154">
        <f t="shared" si="65"/>
        <v>8.5482524825399864</v>
      </c>
    </row>
    <row r="671" spans="1:21" x14ac:dyDescent="0.35">
      <c r="A671" s="107">
        <v>3639</v>
      </c>
      <c r="B671" s="107">
        <v>2016</v>
      </c>
      <c r="C671" s="107" t="s">
        <v>9</v>
      </c>
      <c r="D671" s="107" t="s">
        <v>132</v>
      </c>
      <c r="E671" s="107" t="s">
        <v>10</v>
      </c>
      <c r="F671" s="115">
        <v>10</v>
      </c>
      <c r="G671" s="107" t="s">
        <v>34</v>
      </c>
      <c r="H671" s="107" t="str">
        <f t="shared" si="60"/>
        <v>Area 10: N Puget Sound</v>
      </c>
      <c r="I671" s="107" t="str">
        <f>IFERROR(VLOOKUP(H671,LUTs!$A$1:$C$73,2,FALSE),"NA")</f>
        <v>NA</v>
      </c>
      <c r="J671" s="107" t="str">
        <f>IFERROR(VLOOKUP(H671,LUTs!$A$1:$C$73,3,FALSE),"NA")</f>
        <v>3South Puget Sound</v>
      </c>
      <c r="K671" s="107" t="s">
        <v>20</v>
      </c>
      <c r="L671" s="107" t="str">
        <f>VLOOKUP(K671,LUTs!E$2:G$14,3,)</f>
        <v>07Pierce</v>
      </c>
      <c r="M671" s="107" t="str">
        <f>VLOOKUP($K671,LUTs!$E$2:$H$14,2,)</f>
        <v>South Puget Sound</v>
      </c>
      <c r="N671" s="107" t="str">
        <f>VLOOKUP($K671,LUTs!$E$2:$H$14,4,)</f>
        <v>02South Puget Sound</v>
      </c>
      <c r="O671" s="107">
        <v>140.919902150144</v>
      </c>
      <c r="P671" s="107">
        <v>1204.6189033942601</v>
      </c>
      <c r="Q671" s="107">
        <f t="shared" si="61"/>
        <v>140.919902150144</v>
      </c>
      <c r="R671" s="107">
        <f t="shared" si="62"/>
        <v>1204.6189033942601</v>
      </c>
      <c r="S671" s="140" t="str">
        <f t="shared" si="63"/>
        <v>Y</v>
      </c>
      <c r="T671" s="154">
        <f t="shared" si="64"/>
        <v>8.5482524825399846</v>
      </c>
      <c r="U671" s="154">
        <f t="shared" si="65"/>
        <v>8.5482524825399846</v>
      </c>
    </row>
    <row r="672" spans="1:21" x14ac:dyDescent="0.35">
      <c r="A672" s="107">
        <v>3593</v>
      </c>
      <c r="B672" s="107">
        <v>2016</v>
      </c>
      <c r="C672" s="107" t="s">
        <v>9</v>
      </c>
      <c r="D672" s="107" t="s">
        <v>132</v>
      </c>
      <c r="E672" s="107" t="s">
        <v>10</v>
      </c>
      <c r="F672" s="115">
        <v>10</v>
      </c>
      <c r="G672" s="107" t="s">
        <v>34</v>
      </c>
      <c r="H672" s="107" t="str">
        <f t="shared" si="60"/>
        <v>Area 10: N Puget Sound</v>
      </c>
      <c r="I672" s="107" t="str">
        <f>IFERROR(VLOOKUP(H672,LUTs!$A$1:$C$73,2,FALSE),"NA")</f>
        <v>NA</v>
      </c>
      <c r="J672" s="107" t="str">
        <f>IFERROR(VLOOKUP(H672,LUTs!$A$1:$C$73,3,FALSE),"NA")</f>
        <v>3South Puget Sound</v>
      </c>
      <c r="K672" s="107" t="s">
        <v>16</v>
      </c>
      <c r="L672" s="107" t="str">
        <f>VLOOKUP(K672,LUTs!E$2:G$14,3,)</f>
        <v>03Snohomish</v>
      </c>
      <c r="M672" s="107" t="str">
        <f>VLOOKUP($K672,LUTs!$E$2:$H$14,2,)</f>
        <v>North Puget Sound</v>
      </c>
      <c r="N672" s="107" t="str">
        <f>VLOOKUP($K672,LUTs!$E$2:$H$14,4,)</f>
        <v>01North Puget Sound</v>
      </c>
      <c r="O672" s="107">
        <v>239.136803648729</v>
      </c>
      <c r="P672" s="107">
        <v>2044.2017754569199</v>
      </c>
      <c r="Q672" s="107">
        <f t="shared" si="61"/>
        <v>239.136803648729</v>
      </c>
      <c r="R672" s="107">
        <f t="shared" si="62"/>
        <v>2044.2017754569199</v>
      </c>
      <c r="S672" s="140" t="str">
        <f t="shared" si="63"/>
        <v>Y</v>
      </c>
      <c r="T672" s="154">
        <f t="shared" si="64"/>
        <v>8.5482524825399651</v>
      </c>
      <c r="U672" s="154">
        <f t="shared" si="65"/>
        <v>8.5482524825399651</v>
      </c>
    </row>
    <row r="673" spans="1:21" x14ac:dyDescent="0.35">
      <c r="A673" s="107">
        <v>3640</v>
      </c>
      <c r="B673" s="107">
        <v>2016</v>
      </c>
      <c r="C673" s="107" t="s">
        <v>9</v>
      </c>
      <c r="D673" s="107" t="s">
        <v>132</v>
      </c>
      <c r="E673" s="107" t="s">
        <v>10</v>
      </c>
      <c r="F673" s="115">
        <v>10</v>
      </c>
      <c r="G673" s="107" t="s">
        <v>34</v>
      </c>
      <c r="H673" s="107" t="str">
        <f t="shared" si="60"/>
        <v>Area 10: N Puget Sound</v>
      </c>
      <c r="I673" s="107" t="str">
        <f>IFERROR(VLOOKUP(H673,LUTs!$A$1:$C$73,2,FALSE),"NA")</f>
        <v>NA</v>
      </c>
      <c r="J673" s="107" t="str">
        <f>IFERROR(VLOOKUP(H673,LUTs!$A$1:$C$73,3,FALSE),"NA")</f>
        <v>3South Puget Sound</v>
      </c>
      <c r="K673" s="107" t="s">
        <v>21</v>
      </c>
      <c r="L673" s="107" t="str">
        <f>VLOOKUP(K673,LUTs!E$2:G$14,3,)</f>
        <v>08Thurston</v>
      </c>
      <c r="M673" s="107" t="str">
        <f>VLOOKUP($K673,LUTs!$E$2:$H$14,2,)</f>
        <v>South Puget Sound</v>
      </c>
      <c r="N673" s="107" t="str">
        <f>VLOOKUP($K673,LUTs!$E$2:$H$14,4,)</f>
        <v>02South Puget Sound</v>
      </c>
      <c r="O673" s="107">
        <v>4.2703000651558698</v>
      </c>
      <c r="P673" s="107">
        <v>36.503603133159302</v>
      </c>
      <c r="Q673" s="107">
        <f t="shared" si="61"/>
        <v>4.2703000651558698</v>
      </c>
      <c r="R673" s="107">
        <f t="shared" si="62"/>
        <v>36.503603133159302</v>
      </c>
      <c r="S673" s="140" t="str">
        <f t="shared" si="63"/>
        <v>Y</v>
      </c>
      <c r="T673" s="154">
        <f t="shared" si="64"/>
        <v>8.5482524825399793</v>
      </c>
      <c r="U673" s="154">
        <f t="shared" si="65"/>
        <v>8.5482524825399793</v>
      </c>
    </row>
    <row r="674" spans="1:21" x14ac:dyDescent="0.35">
      <c r="A674" s="107">
        <v>103</v>
      </c>
      <c r="B674" s="107">
        <v>2017</v>
      </c>
      <c r="C674" s="107" t="s">
        <v>9</v>
      </c>
      <c r="D674" s="107" t="s">
        <v>132</v>
      </c>
      <c r="E674" s="107" t="s">
        <v>10</v>
      </c>
      <c r="F674" s="115">
        <v>10</v>
      </c>
      <c r="G674" s="107" t="s">
        <v>34</v>
      </c>
      <c r="H674" s="107" t="str">
        <f t="shared" si="60"/>
        <v>Area 10: N Puget Sound</v>
      </c>
      <c r="I674" s="107" t="str">
        <f>IFERROR(VLOOKUP(H674,LUTs!$A$1:$C$73,2,FALSE),"NA")</f>
        <v>NA</v>
      </c>
      <c r="J674" s="107" t="str">
        <f>IFERROR(VLOOKUP(H674,LUTs!$A$1:$C$73,3,FALSE),"NA")</f>
        <v>3South Puget Sound</v>
      </c>
      <c r="K674" s="107" t="s">
        <v>24</v>
      </c>
      <c r="L674" s="107" t="str">
        <f>VLOOKUP(K674,LUTs!E$2:G$14,3,)</f>
        <v>11Clallam</v>
      </c>
      <c r="M674" s="107" t="str">
        <f>VLOOKUP($K674,LUTs!$E$2:$H$14,2,)</f>
        <v>Strait of Juan de Fuca</v>
      </c>
      <c r="N674" s="107" t="str">
        <f>VLOOKUP($K674,LUTs!$E$2:$H$14,4,)</f>
        <v>03Strait of Juan de Fuca</v>
      </c>
      <c r="O674" s="107">
        <v>34.8963165075034</v>
      </c>
      <c r="P674" s="107">
        <v>50.885080151693998</v>
      </c>
      <c r="Q674" s="107">
        <f t="shared" si="61"/>
        <v>34.8963165075034</v>
      </c>
      <c r="R674" s="107">
        <f t="shared" si="62"/>
        <v>50.885080151693998</v>
      </c>
      <c r="S674" s="140" t="str">
        <f t="shared" si="63"/>
        <v>Y</v>
      </c>
      <c r="T674" s="154">
        <f t="shared" si="64"/>
        <v>1.4581791215916069</v>
      </c>
      <c r="U674" s="154">
        <f t="shared" si="65"/>
        <v>1.4581791215916069</v>
      </c>
    </row>
    <row r="675" spans="1:21" x14ac:dyDescent="0.35">
      <c r="A675" s="107">
        <v>97</v>
      </c>
      <c r="B675" s="107">
        <v>2017</v>
      </c>
      <c r="C675" s="107" t="s">
        <v>9</v>
      </c>
      <c r="D675" s="107" t="s">
        <v>132</v>
      </c>
      <c r="E675" s="107" t="s">
        <v>10</v>
      </c>
      <c r="F675" s="115">
        <v>10</v>
      </c>
      <c r="G675" s="107" t="s">
        <v>34</v>
      </c>
      <c r="H675" s="107" t="str">
        <f t="shared" si="60"/>
        <v>Area 10: N Puget Sound</v>
      </c>
      <c r="I675" s="107" t="str">
        <f>IFERROR(VLOOKUP(H675,LUTs!$A$1:$C$73,2,FALSE),"NA")</f>
        <v>NA</v>
      </c>
      <c r="J675" s="107" t="str">
        <f>IFERROR(VLOOKUP(H675,LUTs!$A$1:$C$73,3,FALSE),"NA")</f>
        <v>3South Puget Sound</v>
      </c>
      <c r="K675" s="107" t="s">
        <v>17</v>
      </c>
      <c r="L675" s="107" t="str">
        <f>VLOOKUP(K675,LUTs!E$2:G$14,3,)</f>
        <v>04Island</v>
      </c>
      <c r="M675" s="107" t="str">
        <f>VLOOKUP($K675,LUTs!$E$2:$H$14,2,)</f>
        <v>North Puget Sound</v>
      </c>
      <c r="N675" s="107" t="str">
        <f>VLOOKUP($K675,LUTs!$E$2:$H$14,4,)</f>
        <v>01North Puget Sound</v>
      </c>
      <c r="O675" s="107">
        <v>307.08758526602998</v>
      </c>
      <c r="P675" s="107">
        <v>447.788705334908</v>
      </c>
      <c r="Q675" s="107">
        <f t="shared" si="61"/>
        <v>307.08758526602998</v>
      </c>
      <c r="R675" s="107">
        <f t="shared" si="62"/>
        <v>447.788705334908</v>
      </c>
      <c r="S675" s="140" t="str">
        <f t="shared" si="63"/>
        <v>Y</v>
      </c>
      <c r="T675" s="154">
        <f t="shared" si="64"/>
        <v>1.4581791215916093</v>
      </c>
      <c r="U675" s="154">
        <f t="shared" si="65"/>
        <v>1.4581791215916093</v>
      </c>
    </row>
    <row r="676" spans="1:21" x14ac:dyDescent="0.35">
      <c r="A676" s="107">
        <v>104</v>
      </c>
      <c r="B676" s="107">
        <v>2017</v>
      </c>
      <c r="C676" s="107" t="s">
        <v>9</v>
      </c>
      <c r="D676" s="107" t="s">
        <v>132</v>
      </c>
      <c r="E676" s="107" t="s">
        <v>10</v>
      </c>
      <c r="F676" s="115">
        <v>10</v>
      </c>
      <c r="G676" s="107" t="s">
        <v>34</v>
      </c>
      <c r="H676" s="107" t="str">
        <f t="shared" si="60"/>
        <v>Area 10: N Puget Sound</v>
      </c>
      <c r="I676" s="107" t="str">
        <f>IFERROR(VLOOKUP(H676,LUTs!$A$1:$C$73,2,FALSE),"NA")</f>
        <v>NA</v>
      </c>
      <c r="J676" s="107" t="str">
        <f>IFERROR(VLOOKUP(H676,LUTs!$A$1:$C$73,3,FALSE),"NA")</f>
        <v>3South Puget Sound</v>
      </c>
      <c r="K676" s="107" t="s">
        <v>25</v>
      </c>
      <c r="L676" s="107" t="str">
        <f>VLOOKUP(K676,LUTs!E$2:G$14,3,)</f>
        <v>12Jefferson</v>
      </c>
      <c r="M676" s="107" t="str">
        <f>VLOOKUP($K676,LUTs!$E$2:$H$14,2,)</f>
        <v>Strait of Juan de Fuca</v>
      </c>
      <c r="N676" s="107" t="str">
        <f>VLOOKUP($K676,LUTs!$E$2:$H$14,4,)</f>
        <v>03Strait of Juan de Fuca</v>
      </c>
      <c r="O676" s="107">
        <v>76.771896316507494</v>
      </c>
      <c r="P676" s="107">
        <v>111.947176333727</v>
      </c>
      <c r="Q676" s="107">
        <f t="shared" si="61"/>
        <v>76.771896316507494</v>
      </c>
      <c r="R676" s="107">
        <f t="shared" si="62"/>
        <v>111.947176333727</v>
      </c>
      <c r="S676" s="140" t="str">
        <f t="shared" si="63"/>
        <v>Y</v>
      </c>
      <c r="T676" s="154">
        <f t="shared" si="64"/>
        <v>1.4581791215916093</v>
      </c>
      <c r="U676" s="154">
        <f t="shared" si="65"/>
        <v>1.4581791215916093</v>
      </c>
    </row>
    <row r="677" spans="1:21" x14ac:dyDescent="0.35">
      <c r="A677" s="107">
        <v>98</v>
      </c>
      <c r="B677" s="107">
        <v>2017</v>
      </c>
      <c r="C677" s="107" t="s">
        <v>9</v>
      </c>
      <c r="D677" s="107" t="s">
        <v>132</v>
      </c>
      <c r="E677" s="107" t="s">
        <v>10</v>
      </c>
      <c r="F677" s="115">
        <v>10</v>
      </c>
      <c r="G677" s="107" t="s">
        <v>34</v>
      </c>
      <c r="H677" s="107" t="str">
        <f t="shared" si="60"/>
        <v>Area 10: N Puget Sound</v>
      </c>
      <c r="I677" s="107" t="str">
        <f>IFERROR(VLOOKUP(H677,LUTs!$A$1:$C$73,2,FALSE),"NA")</f>
        <v>NA</v>
      </c>
      <c r="J677" s="107" t="str">
        <f>IFERROR(VLOOKUP(H677,LUTs!$A$1:$C$73,3,FALSE),"NA")</f>
        <v>3South Puget Sound</v>
      </c>
      <c r="K677" s="107" t="s">
        <v>18</v>
      </c>
      <c r="L677" s="107" t="str">
        <f>VLOOKUP(K677,LUTs!E$2:G$14,3,)</f>
        <v>06King</v>
      </c>
      <c r="M677" s="107" t="str">
        <f>VLOOKUP($K677,LUTs!$E$2:$H$14,2,)</f>
        <v>South Puget Sound</v>
      </c>
      <c r="N677" s="107" t="str">
        <f>VLOOKUP($K677,LUTs!$E$2:$H$14,4,)</f>
        <v>02South Puget Sound</v>
      </c>
      <c r="O677" s="107">
        <v>11334.323601637099</v>
      </c>
      <c r="P677" s="107">
        <v>16527.474033270199</v>
      </c>
      <c r="Q677" s="107">
        <f t="shared" si="61"/>
        <v>11334.323601637099</v>
      </c>
      <c r="R677" s="107">
        <f t="shared" si="62"/>
        <v>16527.474033270199</v>
      </c>
      <c r="S677" s="140" t="str">
        <f t="shared" si="63"/>
        <v>Y</v>
      </c>
      <c r="T677" s="154">
        <f t="shared" si="64"/>
        <v>1.4581791215916065</v>
      </c>
      <c r="U677" s="154">
        <f t="shared" si="65"/>
        <v>1.4581791215916065</v>
      </c>
    </row>
    <row r="678" spans="1:21" x14ac:dyDescent="0.35">
      <c r="A678" s="107">
        <v>102</v>
      </c>
      <c r="B678" s="107">
        <v>2017</v>
      </c>
      <c r="C678" s="107" t="s">
        <v>9</v>
      </c>
      <c r="D678" s="107" t="s">
        <v>132</v>
      </c>
      <c r="E678" s="107" t="s">
        <v>10</v>
      </c>
      <c r="F678" s="115">
        <v>10</v>
      </c>
      <c r="G678" s="107" t="s">
        <v>34</v>
      </c>
      <c r="H678" s="107" t="str">
        <f t="shared" si="60"/>
        <v>Area 10: N Puget Sound</v>
      </c>
      <c r="I678" s="107" t="str">
        <f>IFERROR(VLOOKUP(H678,LUTs!$A$1:$C$73,2,FALSE),"NA")</f>
        <v>NA</v>
      </c>
      <c r="J678" s="107" t="str">
        <f>IFERROR(VLOOKUP(H678,LUTs!$A$1:$C$73,3,FALSE),"NA")</f>
        <v>3South Puget Sound</v>
      </c>
      <c r="K678" s="107" t="s">
        <v>23</v>
      </c>
      <c r="L678" s="107" t="str">
        <f>VLOOKUP(K678,LUTs!E$2:G$14,3,)</f>
        <v>10Kitsap</v>
      </c>
      <c r="M678" s="107" t="str">
        <f>VLOOKUP($K678,LUTs!$E$2:$H$14,2,)</f>
        <v>South Puget Sound</v>
      </c>
      <c r="N678" s="107" t="str">
        <f>VLOOKUP($K678,LUTs!$E$2:$H$14,4,)</f>
        <v>02South Puget Sound</v>
      </c>
      <c r="O678" s="107">
        <v>3196.5025920873099</v>
      </c>
      <c r="P678" s="107">
        <v>4661.0733418951704</v>
      </c>
      <c r="Q678" s="107">
        <f t="shared" si="61"/>
        <v>3196.5025920873099</v>
      </c>
      <c r="R678" s="107">
        <f t="shared" si="62"/>
        <v>4661.0733418951704</v>
      </c>
      <c r="S678" s="140" t="str">
        <f t="shared" si="63"/>
        <v>Y</v>
      </c>
      <c r="T678" s="154">
        <f t="shared" si="64"/>
        <v>1.4581791215916076</v>
      </c>
      <c r="U678" s="154">
        <f t="shared" si="65"/>
        <v>1.4581791215916076</v>
      </c>
    </row>
    <row r="679" spans="1:21" x14ac:dyDescent="0.35">
      <c r="A679" s="107">
        <v>101</v>
      </c>
      <c r="B679" s="107">
        <v>2017</v>
      </c>
      <c r="C679" s="107" t="s">
        <v>9</v>
      </c>
      <c r="D679" s="107" t="s">
        <v>132</v>
      </c>
      <c r="E679" s="107" t="s">
        <v>10</v>
      </c>
      <c r="F679" s="115">
        <v>10</v>
      </c>
      <c r="G679" s="107" t="s">
        <v>34</v>
      </c>
      <c r="H679" s="107" t="str">
        <f t="shared" si="60"/>
        <v>Area 10: N Puget Sound</v>
      </c>
      <c r="I679" s="107" t="str">
        <f>IFERROR(VLOOKUP(H679,LUTs!$A$1:$C$73,2,FALSE),"NA")</f>
        <v>NA</v>
      </c>
      <c r="J679" s="107" t="str">
        <f>IFERROR(VLOOKUP(H679,LUTs!$A$1:$C$73,3,FALSE),"NA")</f>
        <v>3South Puget Sound</v>
      </c>
      <c r="K679" s="107" t="s">
        <v>22</v>
      </c>
      <c r="L679" s="107" t="str">
        <f>VLOOKUP(K679,LUTs!E$2:G$14,3,)</f>
        <v>09Mason</v>
      </c>
      <c r="M679" s="107" t="str">
        <f>VLOOKUP($K679,LUTs!$E$2:$H$14,2,)</f>
        <v>South Puget Sound</v>
      </c>
      <c r="N679" s="107" t="str">
        <f>VLOOKUP($K679,LUTs!$E$2:$H$14,4,)</f>
        <v>02South Puget Sound</v>
      </c>
      <c r="O679" s="107">
        <v>62.813369713506098</v>
      </c>
      <c r="P679" s="107">
        <v>91.593144273049305</v>
      </c>
      <c r="Q679" s="107">
        <f t="shared" si="61"/>
        <v>62.813369713506098</v>
      </c>
      <c r="R679" s="107">
        <f t="shared" si="62"/>
        <v>91.593144273049305</v>
      </c>
      <c r="S679" s="140" t="str">
        <f t="shared" si="63"/>
        <v>Y</v>
      </c>
      <c r="T679" s="154">
        <f t="shared" si="64"/>
        <v>1.4581791215916091</v>
      </c>
      <c r="U679" s="154">
        <f t="shared" si="65"/>
        <v>1.4581791215916091</v>
      </c>
    </row>
    <row r="680" spans="1:21" x14ac:dyDescent="0.35">
      <c r="A680" s="107">
        <v>177</v>
      </c>
      <c r="B680" s="107">
        <v>2017</v>
      </c>
      <c r="C680" s="107" t="s">
        <v>9</v>
      </c>
      <c r="D680" s="107" t="s">
        <v>132</v>
      </c>
      <c r="E680" s="107" t="s">
        <v>10</v>
      </c>
      <c r="F680" s="115">
        <v>10</v>
      </c>
      <c r="G680" s="107" t="s">
        <v>34</v>
      </c>
      <c r="H680" s="107" t="str">
        <f t="shared" si="60"/>
        <v>Area 10: N Puget Sound</v>
      </c>
      <c r="I680" s="107" t="str">
        <f>IFERROR(VLOOKUP(H680,LUTs!$A$1:$C$73,2,FALSE),"NA")</f>
        <v>NA</v>
      </c>
      <c r="J680" s="107" t="str">
        <f>IFERROR(VLOOKUP(H680,LUTs!$A$1:$C$73,3,FALSE),"NA")</f>
        <v>3South Puget Sound</v>
      </c>
      <c r="K680" s="107" t="s">
        <v>26</v>
      </c>
      <c r="L680" s="107" t="str">
        <f>VLOOKUP(K680,LUTs!E$2:G$14,3,)</f>
        <v>20Other</v>
      </c>
      <c r="M680" s="107" t="str">
        <f>VLOOKUP($K680,LUTs!$E$2:$H$14,2,)</f>
        <v>Non Puget Sound</v>
      </c>
      <c r="N680" s="107" t="str">
        <f>VLOOKUP($K680,LUTs!$E$2:$H$14,4,)</f>
        <v>07Non Puget Sound</v>
      </c>
      <c r="O680" s="107">
        <v>2519.5140518417502</v>
      </c>
      <c r="P680" s="107">
        <v>3673.9027869523102</v>
      </c>
      <c r="Q680" s="107">
        <f t="shared" si="61"/>
        <v>2519.5140518417502</v>
      </c>
      <c r="R680" s="107">
        <f t="shared" si="62"/>
        <v>3673.9027869523102</v>
      </c>
      <c r="S680" s="140" t="str">
        <f t="shared" si="63"/>
        <v>Y</v>
      </c>
      <c r="T680" s="154">
        <f t="shared" si="64"/>
        <v>1.4581791215916056</v>
      </c>
      <c r="U680" s="154">
        <f t="shared" si="65"/>
        <v>1.4581791215916056</v>
      </c>
    </row>
    <row r="681" spans="1:21" x14ac:dyDescent="0.35">
      <c r="A681" s="107">
        <v>99</v>
      </c>
      <c r="B681" s="107">
        <v>2017</v>
      </c>
      <c r="C681" s="107" t="s">
        <v>9</v>
      </c>
      <c r="D681" s="107" t="s">
        <v>132</v>
      </c>
      <c r="E681" s="107" t="s">
        <v>10</v>
      </c>
      <c r="F681" s="115">
        <v>10</v>
      </c>
      <c r="G681" s="107" t="s">
        <v>34</v>
      </c>
      <c r="H681" s="107" t="str">
        <f t="shared" si="60"/>
        <v>Area 10: N Puget Sound</v>
      </c>
      <c r="I681" s="107" t="str">
        <f>IFERROR(VLOOKUP(H681,LUTs!$A$1:$C$73,2,FALSE),"NA")</f>
        <v>NA</v>
      </c>
      <c r="J681" s="107" t="str">
        <f>IFERROR(VLOOKUP(H681,LUTs!$A$1:$C$73,3,FALSE),"NA")</f>
        <v>3South Puget Sound</v>
      </c>
      <c r="K681" s="107" t="s">
        <v>20</v>
      </c>
      <c r="L681" s="107" t="str">
        <f>VLOOKUP(K681,LUTs!E$2:G$14,3,)</f>
        <v>07Pierce</v>
      </c>
      <c r="M681" s="107" t="str">
        <f>VLOOKUP($K681,LUTs!$E$2:$H$14,2,)</f>
        <v>South Puget Sound</v>
      </c>
      <c r="N681" s="107" t="str">
        <f>VLOOKUP($K681,LUTs!$E$2:$H$14,4,)</f>
        <v>02South Puget Sound</v>
      </c>
      <c r="O681" s="107">
        <v>746.78117326057304</v>
      </c>
      <c r="P681" s="107">
        <v>1088.94071524625</v>
      </c>
      <c r="Q681" s="107">
        <f t="shared" si="61"/>
        <v>746.78117326057304</v>
      </c>
      <c r="R681" s="107">
        <f t="shared" si="62"/>
        <v>1088.94071524625</v>
      </c>
      <c r="S681" s="140" t="str">
        <f t="shared" si="63"/>
        <v>Y</v>
      </c>
      <c r="T681" s="154">
        <f t="shared" si="64"/>
        <v>1.4581791215916042</v>
      </c>
      <c r="U681" s="154">
        <f t="shared" si="65"/>
        <v>1.4581791215916042</v>
      </c>
    </row>
    <row r="682" spans="1:21" x14ac:dyDescent="0.35">
      <c r="A682" s="107">
        <v>84</v>
      </c>
      <c r="B682" s="107">
        <v>2017</v>
      </c>
      <c r="C682" s="107" t="s">
        <v>9</v>
      </c>
      <c r="D682" s="107" t="s">
        <v>132</v>
      </c>
      <c r="E682" s="107" t="s">
        <v>10</v>
      </c>
      <c r="F682" s="115">
        <v>10</v>
      </c>
      <c r="G682" s="107" t="s">
        <v>34</v>
      </c>
      <c r="H682" s="107" t="str">
        <f t="shared" si="60"/>
        <v>Area 10: N Puget Sound</v>
      </c>
      <c r="I682" s="107" t="str">
        <f>IFERROR(VLOOKUP(H682,LUTs!$A$1:$C$73,2,FALSE),"NA")</f>
        <v>NA</v>
      </c>
      <c r="J682" s="107" t="str">
        <f>IFERROR(VLOOKUP(H682,LUTs!$A$1:$C$73,3,FALSE),"NA")</f>
        <v>3South Puget Sound</v>
      </c>
      <c r="K682" s="107" t="s">
        <v>15</v>
      </c>
      <c r="L682" s="107" t="str">
        <f>VLOOKUP(K682,LUTs!E$2:G$14,3,)</f>
        <v>02Skagit</v>
      </c>
      <c r="M682" s="107" t="str">
        <f>VLOOKUP($K682,LUTs!$E$2:$H$14,2,)</f>
        <v>North Puget Sound</v>
      </c>
      <c r="N682" s="107" t="str">
        <f>VLOOKUP($K682,LUTs!$E$2:$H$14,4,)</f>
        <v>01North Puget Sound</v>
      </c>
      <c r="O682" s="107">
        <v>69.7926330150068</v>
      </c>
      <c r="P682" s="107">
        <v>101.770160303388</v>
      </c>
      <c r="Q682" s="107">
        <f t="shared" si="61"/>
        <v>69.7926330150068</v>
      </c>
      <c r="R682" s="107">
        <f t="shared" si="62"/>
        <v>101.770160303388</v>
      </c>
      <c r="S682" s="140" t="str">
        <f t="shared" si="63"/>
        <v>Y</v>
      </c>
      <c r="T682" s="154">
        <f t="shared" si="64"/>
        <v>1.4581791215916069</v>
      </c>
      <c r="U682" s="154">
        <f t="shared" si="65"/>
        <v>1.4581791215916069</v>
      </c>
    </row>
    <row r="683" spans="1:21" x14ac:dyDescent="0.35">
      <c r="A683" s="107">
        <v>85</v>
      </c>
      <c r="B683" s="107">
        <v>2017</v>
      </c>
      <c r="C683" s="107" t="s">
        <v>9</v>
      </c>
      <c r="D683" s="107" t="s">
        <v>132</v>
      </c>
      <c r="E683" s="107" t="s">
        <v>10</v>
      </c>
      <c r="F683" s="115">
        <v>10</v>
      </c>
      <c r="G683" s="107" t="s">
        <v>34</v>
      </c>
      <c r="H683" s="107" t="str">
        <f t="shared" si="60"/>
        <v>Area 10: N Puget Sound</v>
      </c>
      <c r="I683" s="107" t="str">
        <f>IFERROR(VLOOKUP(H683,LUTs!$A$1:$C$73,2,FALSE),"NA")</f>
        <v>NA</v>
      </c>
      <c r="J683" s="107" t="str">
        <f>IFERROR(VLOOKUP(H683,LUTs!$A$1:$C$73,3,FALSE),"NA")</f>
        <v>3South Puget Sound</v>
      </c>
      <c r="K683" s="107" t="s">
        <v>16</v>
      </c>
      <c r="L683" s="107" t="str">
        <f>VLOOKUP(K683,LUTs!E$2:G$14,3,)</f>
        <v>03Snohomish</v>
      </c>
      <c r="M683" s="107" t="str">
        <f>VLOOKUP($K683,LUTs!$E$2:$H$14,2,)</f>
        <v>North Puget Sound</v>
      </c>
      <c r="N683" s="107" t="str">
        <f>VLOOKUP($K683,LUTs!$E$2:$H$14,4,)</f>
        <v>01North Puget Sound</v>
      </c>
      <c r="O683" s="107">
        <v>7049.0559345156898</v>
      </c>
      <c r="P683" s="107">
        <v>10278.7861906422</v>
      </c>
      <c r="Q683" s="107">
        <f t="shared" si="61"/>
        <v>7049.0559345156898</v>
      </c>
      <c r="R683" s="107">
        <f t="shared" si="62"/>
        <v>10278.7861906422</v>
      </c>
      <c r="S683" s="140" t="str">
        <f t="shared" si="63"/>
        <v>Y</v>
      </c>
      <c r="T683" s="154">
        <f t="shared" si="64"/>
        <v>1.458179121591608</v>
      </c>
      <c r="U683" s="154">
        <f t="shared" si="65"/>
        <v>1.458179121591608</v>
      </c>
    </row>
    <row r="684" spans="1:21" x14ac:dyDescent="0.35">
      <c r="A684" s="107">
        <v>100</v>
      </c>
      <c r="B684" s="107">
        <v>2017</v>
      </c>
      <c r="C684" s="107" t="s">
        <v>9</v>
      </c>
      <c r="D684" s="107" t="s">
        <v>132</v>
      </c>
      <c r="E684" s="107" t="s">
        <v>10</v>
      </c>
      <c r="F684" s="115">
        <v>10</v>
      </c>
      <c r="G684" s="107" t="s">
        <v>34</v>
      </c>
      <c r="H684" s="107" t="str">
        <f t="shared" si="60"/>
        <v>Area 10: N Puget Sound</v>
      </c>
      <c r="I684" s="107" t="str">
        <f>IFERROR(VLOOKUP(H684,LUTs!$A$1:$C$73,2,FALSE),"NA")</f>
        <v>NA</v>
      </c>
      <c r="J684" s="107" t="str">
        <f>IFERROR(VLOOKUP(H684,LUTs!$A$1:$C$73,3,FALSE),"NA")</f>
        <v>3South Puget Sound</v>
      </c>
      <c r="K684" s="107" t="s">
        <v>21</v>
      </c>
      <c r="L684" s="107" t="str">
        <f>VLOOKUP(K684,LUTs!E$2:G$14,3,)</f>
        <v>08Thurston</v>
      </c>
      <c r="M684" s="107" t="str">
        <f>VLOOKUP($K684,LUTs!$E$2:$H$14,2,)</f>
        <v>South Puget Sound</v>
      </c>
      <c r="N684" s="107" t="str">
        <f>VLOOKUP($K684,LUTs!$E$2:$H$14,4,)</f>
        <v>02South Puget Sound</v>
      </c>
      <c r="O684" s="107">
        <v>90.730422919508896</v>
      </c>
      <c r="P684" s="107">
        <v>132.301208394404</v>
      </c>
      <c r="Q684" s="107">
        <f t="shared" si="61"/>
        <v>90.730422919508896</v>
      </c>
      <c r="R684" s="107">
        <f t="shared" si="62"/>
        <v>132.301208394404</v>
      </c>
      <c r="S684" s="140" t="str">
        <f t="shared" si="63"/>
        <v>Y</v>
      </c>
      <c r="T684" s="154">
        <f t="shared" si="64"/>
        <v>1.4581791215916016</v>
      </c>
      <c r="U684" s="154">
        <f t="shared" si="65"/>
        <v>1.4581791215916016</v>
      </c>
    </row>
    <row r="685" spans="1:21" x14ac:dyDescent="0.35">
      <c r="A685" s="107">
        <v>83</v>
      </c>
      <c r="B685" s="107">
        <v>2017</v>
      </c>
      <c r="C685" s="107" t="s">
        <v>9</v>
      </c>
      <c r="D685" s="107" t="s">
        <v>132</v>
      </c>
      <c r="E685" s="107" t="s">
        <v>10</v>
      </c>
      <c r="F685" s="115">
        <v>10</v>
      </c>
      <c r="G685" s="107" t="s">
        <v>34</v>
      </c>
      <c r="H685" s="107" t="str">
        <f t="shared" si="60"/>
        <v>Area 10: N Puget Sound</v>
      </c>
      <c r="I685" s="107" t="str">
        <f>IFERROR(VLOOKUP(H685,LUTs!$A$1:$C$73,2,FALSE),"NA")</f>
        <v>NA</v>
      </c>
      <c r="J685" s="107" t="str">
        <f>IFERROR(VLOOKUP(H685,LUTs!$A$1:$C$73,3,FALSE),"NA")</f>
        <v>3South Puget Sound</v>
      </c>
      <c r="K685" s="107" t="s">
        <v>13</v>
      </c>
      <c r="L685" s="107" t="str">
        <f>VLOOKUP(K685,LUTs!E$2:G$14,3,)</f>
        <v>01Whatcom</v>
      </c>
      <c r="M685" s="107" t="str">
        <f>VLOOKUP($K685,LUTs!$E$2:$H$14,2,)</f>
        <v>North Puget Sound</v>
      </c>
      <c r="N685" s="107" t="str">
        <f>VLOOKUP($K685,LUTs!$E$2:$H$14,4,)</f>
        <v>01North Puget Sound</v>
      </c>
      <c r="O685" s="107">
        <v>90.730422919508896</v>
      </c>
      <c r="P685" s="107">
        <v>132.301208394404</v>
      </c>
      <c r="Q685" s="107">
        <f t="shared" si="61"/>
        <v>90.730422919508896</v>
      </c>
      <c r="R685" s="107">
        <f t="shared" si="62"/>
        <v>132.301208394404</v>
      </c>
      <c r="S685" s="140" t="str">
        <f t="shared" si="63"/>
        <v>Y</v>
      </c>
      <c r="T685" s="154">
        <f t="shared" si="64"/>
        <v>1.4581791215916016</v>
      </c>
      <c r="U685" s="154">
        <f t="shared" si="65"/>
        <v>1.4581791215916016</v>
      </c>
    </row>
    <row r="686" spans="1:21" x14ac:dyDescent="0.35">
      <c r="A686" s="107">
        <v>285</v>
      </c>
      <c r="B686" s="107">
        <v>2018</v>
      </c>
      <c r="C686" s="107" t="s">
        <v>9</v>
      </c>
      <c r="D686" s="107" t="s">
        <v>132</v>
      </c>
      <c r="E686" s="107" t="s">
        <v>10</v>
      </c>
      <c r="F686" s="115">
        <v>10</v>
      </c>
      <c r="G686" s="107" t="s">
        <v>34</v>
      </c>
      <c r="H686" s="107" t="str">
        <f t="shared" si="60"/>
        <v>Area 10: N Puget Sound</v>
      </c>
      <c r="I686" s="107" t="str">
        <f>IFERROR(VLOOKUP(H686,LUTs!$A$1:$C$73,2,FALSE),"NA")</f>
        <v>NA</v>
      </c>
      <c r="J686" s="107" t="str">
        <f>IFERROR(VLOOKUP(H686,LUTs!$A$1:$C$73,3,FALSE),"NA")</f>
        <v>3South Puget Sound</v>
      </c>
      <c r="K686" s="107" t="s">
        <v>24</v>
      </c>
      <c r="L686" s="107" t="str">
        <f>VLOOKUP(K686,LUTs!E$2:G$14,3,)</f>
        <v>11Clallam</v>
      </c>
      <c r="M686" s="107" t="str">
        <f>VLOOKUP($K686,LUTs!$E$2:$H$14,2,)</f>
        <v>Strait of Juan de Fuca</v>
      </c>
      <c r="N686" s="107" t="str">
        <f>VLOOKUP($K686,LUTs!$E$2:$H$14,4,)</f>
        <v>03Strait of Juan de Fuca</v>
      </c>
      <c r="O686" s="107">
        <v>21.367801047120398</v>
      </c>
      <c r="P686" s="107">
        <v>28.238866468591301</v>
      </c>
      <c r="Q686" s="107">
        <f t="shared" si="61"/>
        <v>21.367801047120398</v>
      </c>
      <c r="R686" s="107">
        <f t="shared" si="62"/>
        <v>28.238866468591301</v>
      </c>
      <c r="S686" s="140" t="str">
        <f t="shared" si="63"/>
        <v>Y</v>
      </c>
      <c r="T686" s="154">
        <f t="shared" si="64"/>
        <v>1.3215616528026815</v>
      </c>
      <c r="U686" s="154">
        <f t="shared" si="65"/>
        <v>1.3215616528026815</v>
      </c>
    </row>
    <row r="687" spans="1:21" x14ac:dyDescent="0.35">
      <c r="A687" s="107">
        <v>209</v>
      </c>
      <c r="B687" s="107">
        <v>2018</v>
      </c>
      <c r="C687" s="107" t="s">
        <v>9</v>
      </c>
      <c r="D687" s="107" t="s">
        <v>132</v>
      </c>
      <c r="E687" s="107" t="s">
        <v>10</v>
      </c>
      <c r="F687" s="115">
        <v>10</v>
      </c>
      <c r="G687" s="107" t="s">
        <v>34</v>
      </c>
      <c r="H687" s="107" t="str">
        <f t="shared" si="60"/>
        <v>Area 10: N Puget Sound</v>
      </c>
      <c r="I687" s="107" t="str">
        <f>IFERROR(VLOOKUP(H687,LUTs!$A$1:$C$73,2,FALSE),"NA")</f>
        <v>NA</v>
      </c>
      <c r="J687" s="107" t="str">
        <f>IFERROR(VLOOKUP(H687,LUTs!$A$1:$C$73,3,FALSE),"NA")</f>
        <v>3South Puget Sound</v>
      </c>
      <c r="K687" s="107" t="s">
        <v>17</v>
      </c>
      <c r="L687" s="107" t="str">
        <f>VLOOKUP(K687,LUTs!E$2:G$14,3,)</f>
        <v>04Island</v>
      </c>
      <c r="M687" s="107" t="str">
        <f>VLOOKUP($K687,LUTs!$E$2:$H$14,2,)</f>
        <v>North Puget Sound</v>
      </c>
      <c r="N687" s="107" t="str">
        <f>VLOOKUP($K687,LUTs!$E$2:$H$14,4,)</f>
        <v>01North Puget Sound</v>
      </c>
      <c r="O687" s="107">
        <v>270.65881326352502</v>
      </c>
      <c r="P687" s="107">
        <v>357.69230860215703</v>
      </c>
      <c r="Q687" s="107">
        <f t="shared" si="61"/>
        <v>270.65881326352502</v>
      </c>
      <c r="R687" s="107">
        <f t="shared" si="62"/>
        <v>357.69230860215703</v>
      </c>
      <c r="S687" s="140" t="str">
        <f t="shared" si="63"/>
        <v>Y</v>
      </c>
      <c r="T687" s="154">
        <f t="shared" si="64"/>
        <v>1.3215616528026837</v>
      </c>
      <c r="U687" s="154">
        <f t="shared" si="65"/>
        <v>1.3215616528026837</v>
      </c>
    </row>
    <row r="688" spans="1:21" x14ac:dyDescent="0.35">
      <c r="A688" s="107">
        <v>286</v>
      </c>
      <c r="B688" s="107">
        <v>2018</v>
      </c>
      <c r="C688" s="107" t="s">
        <v>9</v>
      </c>
      <c r="D688" s="107" t="s">
        <v>132</v>
      </c>
      <c r="E688" s="107" t="s">
        <v>10</v>
      </c>
      <c r="F688" s="115">
        <v>10</v>
      </c>
      <c r="G688" s="107" t="s">
        <v>34</v>
      </c>
      <c r="H688" s="107" t="str">
        <f t="shared" si="60"/>
        <v>Area 10: N Puget Sound</v>
      </c>
      <c r="I688" s="107" t="str">
        <f>IFERROR(VLOOKUP(H688,LUTs!$A$1:$C$73,2,FALSE),"NA")</f>
        <v>NA</v>
      </c>
      <c r="J688" s="107" t="str">
        <f>IFERROR(VLOOKUP(H688,LUTs!$A$1:$C$73,3,FALSE),"NA")</f>
        <v>3South Puget Sound</v>
      </c>
      <c r="K688" s="107" t="s">
        <v>25</v>
      </c>
      <c r="L688" s="107" t="str">
        <f>VLOOKUP(K688,LUTs!E$2:G$14,3,)</f>
        <v>12Jefferson</v>
      </c>
      <c r="M688" s="107" t="str">
        <f>VLOOKUP($K688,LUTs!$E$2:$H$14,2,)</f>
        <v>Strait of Juan de Fuca</v>
      </c>
      <c r="N688" s="107" t="str">
        <f>VLOOKUP($K688,LUTs!$E$2:$H$14,4,)</f>
        <v>03Strait of Juan de Fuca</v>
      </c>
      <c r="O688" s="107">
        <v>85.471204188481707</v>
      </c>
      <c r="P688" s="107">
        <v>112.955465874365</v>
      </c>
      <c r="Q688" s="107">
        <f t="shared" si="61"/>
        <v>85.471204188481707</v>
      </c>
      <c r="R688" s="107">
        <f t="shared" si="62"/>
        <v>112.955465874365</v>
      </c>
      <c r="S688" s="140" t="str">
        <f t="shared" si="63"/>
        <v>Y</v>
      </c>
      <c r="T688" s="154">
        <f t="shared" si="64"/>
        <v>1.3215616528026775</v>
      </c>
      <c r="U688" s="154">
        <f t="shared" si="65"/>
        <v>1.3215616528026775</v>
      </c>
    </row>
    <row r="689" spans="1:21" x14ac:dyDescent="0.35">
      <c r="A689" s="107">
        <v>210</v>
      </c>
      <c r="B689" s="107">
        <v>2018</v>
      </c>
      <c r="C689" s="107" t="s">
        <v>9</v>
      </c>
      <c r="D689" s="107" t="s">
        <v>132</v>
      </c>
      <c r="E689" s="107" t="s">
        <v>10</v>
      </c>
      <c r="F689" s="115">
        <v>10</v>
      </c>
      <c r="G689" s="107" t="s">
        <v>34</v>
      </c>
      <c r="H689" s="107" t="str">
        <f t="shared" si="60"/>
        <v>Area 10: N Puget Sound</v>
      </c>
      <c r="I689" s="107" t="str">
        <f>IFERROR(VLOOKUP(H689,LUTs!$A$1:$C$73,2,FALSE),"NA")</f>
        <v>NA</v>
      </c>
      <c r="J689" s="107" t="str">
        <f>IFERROR(VLOOKUP(H689,LUTs!$A$1:$C$73,3,FALSE),"NA")</f>
        <v>3South Puget Sound</v>
      </c>
      <c r="K689" s="107" t="s">
        <v>18</v>
      </c>
      <c r="L689" s="107" t="str">
        <f>VLOOKUP(K689,LUTs!E$2:G$14,3,)</f>
        <v>06King</v>
      </c>
      <c r="M689" s="107" t="str">
        <f>VLOOKUP($K689,LUTs!$E$2:$H$14,2,)</f>
        <v>South Puget Sound</v>
      </c>
      <c r="N689" s="107" t="str">
        <f>VLOOKUP($K689,LUTs!$E$2:$H$14,4,)</f>
        <v>02South Puget Sound</v>
      </c>
      <c r="O689" s="107">
        <v>15057.1771378709</v>
      </c>
      <c r="P689" s="107">
        <v>19898.987904867299</v>
      </c>
      <c r="Q689" s="107">
        <f t="shared" si="61"/>
        <v>15057.1771378709</v>
      </c>
      <c r="R689" s="107">
        <f t="shared" si="62"/>
        <v>19898.987904867299</v>
      </c>
      <c r="S689" s="140" t="str">
        <f t="shared" si="63"/>
        <v>Y</v>
      </c>
      <c r="T689" s="154">
        <f t="shared" si="64"/>
        <v>1.3215616528026737</v>
      </c>
      <c r="U689" s="154">
        <f t="shared" si="65"/>
        <v>1.3215616528026737</v>
      </c>
    </row>
    <row r="690" spans="1:21" x14ac:dyDescent="0.35">
      <c r="A690" s="107">
        <v>214</v>
      </c>
      <c r="B690" s="107">
        <v>2018</v>
      </c>
      <c r="C690" s="107" t="s">
        <v>9</v>
      </c>
      <c r="D690" s="107" t="s">
        <v>132</v>
      </c>
      <c r="E690" s="107" t="s">
        <v>10</v>
      </c>
      <c r="F690" s="115">
        <v>10</v>
      </c>
      <c r="G690" s="107" t="s">
        <v>34</v>
      </c>
      <c r="H690" s="107" t="str">
        <f t="shared" si="60"/>
        <v>Area 10: N Puget Sound</v>
      </c>
      <c r="I690" s="107" t="str">
        <f>IFERROR(VLOOKUP(H690,LUTs!$A$1:$C$73,2,FALSE),"NA")</f>
        <v>NA</v>
      </c>
      <c r="J690" s="107" t="str">
        <f>IFERROR(VLOOKUP(H690,LUTs!$A$1:$C$73,3,FALSE),"NA")</f>
        <v>3South Puget Sound</v>
      </c>
      <c r="K690" s="107" t="s">
        <v>23</v>
      </c>
      <c r="L690" s="107" t="str">
        <f>VLOOKUP(K690,LUTs!E$2:G$14,3,)</f>
        <v>10Kitsap</v>
      </c>
      <c r="M690" s="107" t="str">
        <f>VLOOKUP($K690,LUTs!$E$2:$H$14,2,)</f>
        <v>South Puget Sound</v>
      </c>
      <c r="N690" s="107" t="str">
        <f>VLOOKUP($K690,LUTs!$E$2:$H$14,4,)</f>
        <v>02South Puget Sound</v>
      </c>
      <c r="O690" s="107">
        <v>4031.3917975567201</v>
      </c>
      <c r="P690" s="107">
        <v>5327.7328070742296</v>
      </c>
      <c r="Q690" s="107">
        <f t="shared" si="61"/>
        <v>4031.3917975567201</v>
      </c>
      <c r="R690" s="107">
        <f t="shared" si="62"/>
        <v>5327.7328070742296</v>
      </c>
      <c r="S690" s="140" t="str">
        <f t="shared" si="63"/>
        <v>Y</v>
      </c>
      <c r="T690" s="154">
        <f t="shared" si="64"/>
        <v>1.3215616528026808</v>
      </c>
      <c r="U690" s="154">
        <f t="shared" si="65"/>
        <v>1.3215616528026808</v>
      </c>
    </row>
    <row r="691" spans="1:21" x14ac:dyDescent="0.35">
      <c r="A691" s="107">
        <v>213</v>
      </c>
      <c r="B691" s="107">
        <v>2018</v>
      </c>
      <c r="C691" s="107" t="s">
        <v>9</v>
      </c>
      <c r="D691" s="107" t="s">
        <v>132</v>
      </c>
      <c r="E691" s="107" t="s">
        <v>10</v>
      </c>
      <c r="F691" s="115">
        <v>10</v>
      </c>
      <c r="G691" s="107" t="s">
        <v>34</v>
      </c>
      <c r="H691" s="107" t="str">
        <f t="shared" si="60"/>
        <v>Area 10: N Puget Sound</v>
      </c>
      <c r="I691" s="107" t="str">
        <f>IFERROR(VLOOKUP(H691,LUTs!$A$1:$C$73,2,FALSE),"NA")</f>
        <v>NA</v>
      </c>
      <c r="J691" s="107" t="str">
        <f>IFERROR(VLOOKUP(H691,LUTs!$A$1:$C$73,3,FALSE),"NA")</f>
        <v>3South Puget Sound</v>
      </c>
      <c r="K691" s="107" t="s">
        <v>22</v>
      </c>
      <c r="L691" s="107" t="str">
        <f>VLOOKUP(K691,LUTs!E$2:G$14,3,)</f>
        <v>09Mason</v>
      </c>
      <c r="M691" s="107" t="str">
        <f>VLOOKUP($K691,LUTs!$E$2:$H$14,2,)</f>
        <v>South Puget Sound</v>
      </c>
      <c r="N691" s="107" t="str">
        <f>VLOOKUP($K691,LUTs!$E$2:$H$14,4,)</f>
        <v>02South Puget Sound</v>
      </c>
      <c r="O691" s="107">
        <v>78.348603839441594</v>
      </c>
      <c r="P691" s="107">
        <v>103.542510384835</v>
      </c>
      <c r="Q691" s="107">
        <f t="shared" si="61"/>
        <v>78.348603839441594</v>
      </c>
      <c r="R691" s="107">
        <f t="shared" si="62"/>
        <v>103.542510384835</v>
      </c>
      <c r="S691" s="140" t="str">
        <f t="shared" si="63"/>
        <v>Y</v>
      </c>
      <c r="T691" s="154">
        <f t="shared" si="64"/>
        <v>1.3215616528026821</v>
      </c>
      <c r="U691" s="154">
        <f t="shared" si="65"/>
        <v>1.3215616528026821</v>
      </c>
    </row>
    <row r="692" spans="1:21" x14ac:dyDescent="0.35">
      <c r="A692" s="107">
        <v>287</v>
      </c>
      <c r="B692" s="107">
        <v>2018</v>
      </c>
      <c r="C692" s="107" t="s">
        <v>9</v>
      </c>
      <c r="D692" s="107" t="s">
        <v>132</v>
      </c>
      <c r="E692" s="107" t="s">
        <v>10</v>
      </c>
      <c r="F692" s="115">
        <v>10</v>
      </c>
      <c r="G692" s="107" t="s">
        <v>34</v>
      </c>
      <c r="H692" s="107" t="str">
        <f t="shared" si="60"/>
        <v>Area 10: N Puget Sound</v>
      </c>
      <c r="I692" s="107" t="str">
        <f>IFERROR(VLOOKUP(H692,LUTs!$A$1:$C$73,2,FALSE),"NA")</f>
        <v>NA</v>
      </c>
      <c r="J692" s="107" t="str">
        <f>IFERROR(VLOOKUP(H692,LUTs!$A$1:$C$73,3,FALSE),"NA")</f>
        <v>3South Puget Sound</v>
      </c>
      <c r="K692" s="107" t="s">
        <v>26</v>
      </c>
      <c r="L692" s="107" t="str">
        <f>VLOOKUP(K692,LUTs!E$2:G$14,3,)</f>
        <v>20Other</v>
      </c>
      <c r="M692" s="107" t="str">
        <f>VLOOKUP($K692,LUTs!$E$2:$H$14,2,)</f>
        <v>Non Puget Sound</v>
      </c>
      <c r="N692" s="107" t="str">
        <f>VLOOKUP($K692,LUTs!$E$2:$H$14,4,)</f>
        <v>07Non Puget Sound</v>
      </c>
      <c r="O692" s="107">
        <v>4359.0314136125698</v>
      </c>
      <c r="P692" s="107">
        <v>5760.72875959263</v>
      </c>
      <c r="Q692" s="107">
        <f t="shared" si="61"/>
        <v>4359.0314136125698</v>
      </c>
      <c r="R692" s="107">
        <f t="shared" si="62"/>
        <v>5760.72875959263</v>
      </c>
      <c r="S692" s="140" t="str">
        <f t="shared" si="63"/>
        <v>Y</v>
      </c>
      <c r="T692" s="154">
        <f t="shared" si="64"/>
        <v>1.3215616528026799</v>
      </c>
      <c r="U692" s="154">
        <f t="shared" si="65"/>
        <v>1.3215616528026799</v>
      </c>
    </row>
    <row r="693" spans="1:21" x14ac:dyDescent="0.35">
      <c r="A693" s="107">
        <v>211</v>
      </c>
      <c r="B693" s="107">
        <v>2018</v>
      </c>
      <c r="C693" s="107" t="s">
        <v>9</v>
      </c>
      <c r="D693" s="107" t="s">
        <v>132</v>
      </c>
      <c r="E693" s="107" t="s">
        <v>10</v>
      </c>
      <c r="F693" s="115">
        <v>10</v>
      </c>
      <c r="G693" s="107" t="s">
        <v>34</v>
      </c>
      <c r="H693" s="107" t="str">
        <f t="shared" si="60"/>
        <v>Area 10: N Puget Sound</v>
      </c>
      <c r="I693" s="107" t="str">
        <f>IFERROR(VLOOKUP(H693,LUTs!$A$1:$C$73,2,FALSE),"NA")</f>
        <v>NA</v>
      </c>
      <c r="J693" s="107" t="str">
        <f>IFERROR(VLOOKUP(H693,LUTs!$A$1:$C$73,3,FALSE),"NA")</f>
        <v>3South Puget Sound</v>
      </c>
      <c r="K693" s="107" t="s">
        <v>20</v>
      </c>
      <c r="L693" s="107" t="str">
        <f>VLOOKUP(K693,LUTs!E$2:G$14,3,)</f>
        <v>07Pierce</v>
      </c>
      <c r="M693" s="107" t="str">
        <f>VLOOKUP($K693,LUTs!$E$2:$H$14,2,)</f>
        <v>South Puget Sound</v>
      </c>
      <c r="N693" s="107" t="str">
        <f>VLOOKUP($K693,LUTs!$E$2:$H$14,4,)</f>
        <v>02South Puget Sound</v>
      </c>
      <c r="O693" s="107">
        <v>690.89223385689399</v>
      </c>
      <c r="P693" s="107">
        <v>913.05668248445204</v>
      </c>
      <c r="Q693" s="107">
        <f t="shared" si="61"/>
        <v>690.89223385689399</v>
      </c>
      <c r="R693" s="107">
        <f t="shared" si="62"/>
        <v>913.05668248445204</v>
      </c>
      <c r="S693" s="140" t="str">
        <f t="shared" si="63"/>
        <v>Y</v>
      </c>
      <c r="T693" s="154">
        <f t="shared" si="64"/>
        <v>1.3215616528026792</v>
      </c>
      <c r="U693" s="154">
        <f t="shared" si="65"/>
        <v>1.3215616528026792</v>
      </c>
    </row>
    <row r="694" spans="1:21" x14ac:dyDescent="0.35">
      <c r="A694" s="107">
        <v>198</v>
      </c>
      <c r="B694" s="107">
        <v>2018</v>
      </c>
      <c r="C694" s="107" t="s">
        <v>9</v>
      </c>
      <c r="D694" s="107" t="s">
        <v>132</v>
      </c>
      <c r="E694" s="107" t="s">
        <v>10</v>
      </c>
      <c r="F694" s="115">
        <v>10</v>
      </c>
      <c r="G694" s="107" t="s">
        <v>34</v>
      </c>
      <c r="H694" s="107" t="str">
        <f t="shared" si="60"/>
        <v>Area 10: N Puget Sound</v>
      </c>
      <c r="I694" s="107" t="str">
        <f>IFERROR(VLOOKUP(H694,LUTs!$A$1:$C$73,2,FALSE),"NA")</f>
        <v>NA</v>
      </c>
      <c r="J694" s="107" t="str">
        <f>IFERROR(VLOOKUP(H694,LUTs!$A$1:$C$73,3,FALSE),"NA")</f>
        <v>3South Puget Sound</v>
      </c>
      <c r="K694" s="107" t="s">
        <v>15</v>
      </c>
      <c r="L694" s="107" t="str">
        <f>VLOOKUP(K694,LUTs!E$2:G$14,3,)</f>
        <v>02Skagit</v>
      </c>
      <c r="M694" s="107" t="str">
        <f>VLOOKUP($K694,LUTs!$E$2:$H$14,2,)</f>
        <v>North Puget Sound</v>
      </c>
      <c r="N694" s="107" t="str">
        <f>VLOOKUP($K694,LUTs!$E$2:$H$14,4,)</f>
        <v>01North Puget Sound</v>
      </c>
      <c r="O694" s="107">
        <v>121.084205933682</v>
      </c>
      <c r="P694" s="107">
        <v>160.020243322017</v>
      </c>
      <c r="Q694" s="107">
        <f t="shared" si="61"/>
        <v>121.084205933682</v>
      </c>
      <c r="R694" s="107">
        <f t="shared" si="62"/>
        <v>160.020243322017</v>
      </c>
      <c r="S694" s="140" t="str">
        <f t="shared" si="63"/>
        <v>Y</v>
      </c>
      <c r="T694" s="154">
        <f t="shared" si="64"/>
        <v>1.3215616528026812</v>
      </c>
      <c r="U694" s="154">
        <f t="shared" si="65"/>
        <v>1.3215616528026812</v>
      </c>
    </row>
    <row r="695" spans="1:21" x14ac:dyDescent="0.35">
      <c r="A695" s="107">
        <v>199</v>
      </c>
      <c r="B695" s="107">
        <v>2018</v>
      </c>
      <c r="C695" s="107" t="s">
        <v>9</v>
      </c>
      <c r="D695" s="107" t="s">
        <v>132</v>
      </c>
      <c r="E695" s="107" t="s">
        <v>10</v>
      </c>
      <c r="F695" s="115">
        <v>10</v>
      </c>
      <c r="G695" s="107" t="s">
        <v>34</v>
      </c>
      <c r="H695" s="107" t="str">
        <f t="shared" si="60"/>
        <v>Area 10: N Puget Sound</v>
      </c>
      <c r="I695" s="107" t="str">
        <f>IFERROR(VLOOKUP(H695,LUTs!$A$1:$C$73,2,FALSE),"NA")</f>
        <v>NA</v>
      </c>
      <c r="J695" s="107" t="str">
        <f>IFERROR(VLOOKUP(H695,LUTs!$A$1:$C$73,3,FALSE),"NA")</f>
        <v>3South Puget Sound</v>
      </c>
      <c r="K695" s="107" t="s">
        <v>16</v>
      </c>
      <c r="L695" s="107" t="str">
        <f>VLOOKUP(K695,LUTs!E$2:G$14,3,)</f>
        <v>03Snohomish</v>
      </c>
      <c r="M695" s="107" t="str">
        <f>VLOOKUP($K695,LUTs!$E$2:$H$14,2,)</f>
        <v>North Puget Sound</v>
      </c>
      <c r="N695" s="107" t="str">
        <f>VLOOKUP($K695,LUTs!$E$2:$H$14,4,)</f>
        <v>01North Puget Sound</v>
      </c>
      <c r="O695" s="107">
        <v>7649.6727748691101</v>
      </c>
      <c r="P695" s="107">
        <v>10109.514195755701</v>
      </c>
      <c r="Q695" s="107">
        <f t="shared" si="61"/>
        <v>7649.6727748691101</v>
      </c>
      <c r="R695" s="107">
        <f t="shared" si="62"/>
        <v>10109.514195755701</v>
      </c>
      <c r="S695" s="140" t="str">
        <f t="shared" si="63"/>
        <v>Y</v>
      </c>
      <c r="T695" s="154">
        <f t="shared" si="64"/>
        <v>1.3215616528026821</v>
      </c>
      <c r="U695" s="154">
        <f t="shared" si="65"/>
        <v>1.3215616528026821</v>
      </c>
    </row>
    <row r="696" spans="1:21" x14ac:dyDescent="0.35">
      <c r="A696" s="107">
        <v>212</v>
      </c>
      <c r="B696" s="107">
        <v>2018</v>
      </c>
      <c r="C696" s="107" t="s">
        <v>9</v>
      </c>
      <c r="D696" s="107" t="s">
        <v>132</v>
      </c>
      <c r="E696" s="107" t="s">
        <v>10</v>
      </c>
      <c r="F696" s="115">
        <v>10</v>
      </c>
      <c r="G696" s="107" t="s">
        <v>34</v>
      </c>
      <c r="H696" s="107" t="str">
        <f t="shared" si="60"/>
        <v>Area 10: N Puget Sound</v>
      </c>
      <c r="I696" s="107" t="str">
        <f>IFERROR(VLOOKUP(H696,LUTs!$A$1:$C$73,2,FALSE),"NA")</f>
        <v>NA</v>
      </c>
      <c r="J696" s="107" t="str">
        <f>IFERROR(VLOOKUP(H696,LUTs!$A$1:$C$73,3,FALSE),"NA")</f>
        <v>3South Puget Sound</v>
      </c>
      <c r="K696" s="107" t="s">
        <v>21</v>
      </c>
      <c r="L696" s="107" t="str">
        <f>VLOOKUP(K696,LUTs!E$2:G$14,3,)</f>
        <v>08Thurston</v>
      </c>
      <c r="M696" s="107" t="str">
        <f>VLOOKUP($K696,LUTs!$E$2:$H$14,2,)</f>
        <v>South Puget Sound</v>
      </c>
      <c r="N696" s="107" t="str">
        <f>VLOOKUP($K696,LUTs!$E$2:$H$14,4,)</f>
        <v>02South Puget Sound</v>
      </c>
      <c r="O696" s="107">
        <v>256.41361256544502</v>
      </c>
      <c r="P696" s="107">
        <v>338.86639762309602</v>
      </c>
      <c r="Q696" s="107">
        <f t="shared" si="61"/>
        <v>256.41361256544502</v>
      </c>
      <c r="R696" s="107">
        <f t="shared" si="62"/>
        <v>338.86639762309602</v>
      </c>
      <c r="S696" s="140" t="str">
        <f t="shared" si="63"/>
        <v>Y</v>
      </c>
      <c r="T696" s="154">
        <f t="shared" si="64"/>
        <v>1.3215616528026819</v>
      </c>
      <c r="U696" s="154">
        <f t="shared" si="65"/>
        <v>1.3215616528026819</v>
      </c>
    </row>
    <row r="697" spans="1:21" x14ac:dyDescent="0.35">
      <c r="A697" s="107">
        <v>197</v>
      </c>
      <c r="B697" s="107">
        <v>2018</v>
      </c>
      <c r="C697" s="107" t="s">
        <v>9</v>
      </c>
      <c r="D697" s="107" t="s">
        <v>132</v>
      </c>
      <c r="E697" s="107" t="s">
        <v>10</v>
      </c>
      <c r="F697" s="115">
        <v>10</v>
      </c>
      <c r="G697" s="107" t="s">
        <v>34</v>
      </c>
      <c r="H697" s="107" t="str">
        <f t="shared" si="60"/>
        <v>Area 10: N Puget Sound</v>
      </c>
      <c r="I697" s="107" t="str">
        <f>IFERROR(VLOOKUP(H697,LUTs!$A$1:$C$73,2,FALSE),"NA")</f>
        <v>NA</v>
      </c>
      <c r="J697" s="107" t="str">
        <f>IFERROR(VLOOKUP(H697,LUTs!$A$1:$C$73,3,FALSE),"NA")</f>
        <v>3South Puget Sound</v>
      </c>
      <c r="K697" s="107" t="s">
        <v>13</v>
      </c>
      <c r="L697" s="107" t="str">
        <f>VLOOKUP(K697,LUTs!E$2:G$14,3,)</f>
        <v>01Whatcom</v>
      </c>
      <c r="M697" s="107" t="str">
        <f>VLOOKUP($K697,LUTs!$E$2:$H$14,2,)</f>
        <v>North Puget Sound</v>
      </c>
      <c r="N697" s="107" t="str">
        <f>VLOOKUP($K697,LUTs!$E$2:$H$14,4,)</f>
        <v>01North Puget Sound</v>
      </c>
      <c r="O697" s="107">
        <v>28.4904013961606</v>
      </c>
      <c r="P697" s="107">
        <v>37.651821958121701</v>
      </c>
      <c r="Q697" s="107">
        <f t="shared" si="61"/>
        <v>28.4904013961606</v>
      </c>
      <c r="R697" s="107">
        <f t="shared" si="62"/>
        <v>37.651821958121701</v>
      </c>
      <c r="S697" s="140" t="str">
        <f t="shared" si="63"/>
        <v>Y</v>
      </c>
      <c r="T697" s="154">
        <f t="shared" si="64"/>
        <v>1.321561652802677</v>
      </c>
      <c r="U697" s="154">
        <f t="shared" si="65"/>
        <v>1.321561652802677</v>
      </c>
    </row>
    <row r="698" spans="1:21" x14ac:dyDescent="0.35">
      <c r="A698" s="107">
        <v>396</v>
      </c>
      <c r="B698" s="107">
        <v>2019</v>
      </c>
      <c r="C698" s="107" t="s">
        <v>9</v>
      </c>
      <c r="D698" s="107" t="s">
        <v>132</v>
      </c>
      <c r="E698" s="107" t="s">
        <v>10</v>
      </c>
      <c r="F698" s="115">
        <v>10</v>
      </c>
      <c r="G698" s="107" t="s">
        <v>34</v>
      </c>
      <c r="H698" s="107" t="str">
        <f t="shared" si="60"/>
        <v>Area 10: N Puget Sound</v>
      </c>
      <c r="I698" s="107" t="str">
        <f>IFERROR(VLOOKUP(H698,LUTs!$A$1:$C$73,2,FALSE),"NA")</f>
        <v>NA</v>
      </c>
      <c r="J698" s="107" t="str">
        <f>IFERROR(VLOOKUP(H698,LUTs!$A$1:$C$73,3,FALSE),"NA")</f>
        <v>3South Puget Sound</v>
      </c>
      <c r="K698" s="107" t="s">
        <v>24</v>
      </c>
      <c r="L698" s="107" t="str">
        <f>VLOOKUP(K698,LUTs!E$2:G$14,3,)</f>
        <v>11Clallam</v>
      </c>
      <c r="M698" s="107" t="str">
        <f>VLOOKUP($K698,LUTs!$E$2:$H$14,2,)</f>
        <v>Strait of Juan de Fuca</v>
      </c>
      <c r="N698" s="107" t="str">
        <f>VLOOKUP($K698,LUTs!$E$2:$H$14,4,)</f>
        <v>03Strait of Juan de Fuca</v>
      </c>
      <c r="O698" s="107">
        <v>132.46248534583799</v>
      </c>
      <c r="P698" s="107">
        <v>157.69991541279501</v>
      </c>
      <c r="Q698" s="107">
        <f t="shared" si="61"/>
        <v>132.46248534583799</v>
      </c>
      <c r="R698" s="107">
        <f t="shared" si="62"/>
        <v>157.69991541279501</v>
      </c>
      <c r="S698" s="140" t="str">
        <f t="shared" si="63"/>
        <v>Y</v>
      </c>
      <c r="T698" s="154">
        <f t="shared" si="64"/>
        <v>1.1905251135902077</v>
      </c>
      <c r="U698" s="154">
        <f t="shared" si="65"/>
        <v>1.1905251135902077</v>
      </c>
    </row>
    <row r="699" spans="1:21" x14ac:dyDescent="0.35">
      <c r="A699" s="107">
        <v>317</v>
      </c>
      <c r="B699" s="107">
        <v>2019</v>
      </c>
      <c r="C699" s="107" t="s">
        <v>9</v>
      </c>
      <c r="D699" s="107" t="s">
        <v>132</v>
      </c>
      <c r="E699" s="107" t="s">
        <v>10</v>
      </c>
      <c r="F699" s="115">
        <v>10</v>
      </c>
      <c r="G699" s="107" t="s">
        <v>34</v>
      </c>
      <c r="H699" s="107" t="str">
        <f t="shared" si="60"/>
        <v>Area 10: N Puget Sound</v>
      </c>
      <c r="I699" s="107" t="str">
        <f>IFERROR(VLOOKUP(H699,LUTs!$A$1:$C$73,2,FALSE),"NA")</f>
        <v>NA</v>
      </c>
      <c r="J699" s="107" t="str">
        <f>IFERROR(VLOOKUP(H699,LUTs!$A$1:$C$73,3,FALSE),"NA")</f>
        <v>3South Puget Sound</v>
      </c>
      <c r="K699" s="107" t="s">
        <v>17</v>
      </c>
      <c r="L699" s="107" t="str">
        <f>VLOOKUP(K699,LUTs!E$2:G$14,3,)</f>
        <v>04Island</v>
      </c>
      <c r="M699" s="107" t="str">
        <f>VLOOKUP($K699,LUTs!$E$2:$H$14,2,)</f>
        <v>North Puget Sound</v>
      </c>
      <c r="N699" s="107" t="str">
        <f>VLOOKUP($K699,LUTs!$E$2:$H$14,4,)</f>
        <v>01North Puget Sound</v>
      </c>
      <c r="O699" s="107">
        <v>428.55509964829997</v>
      </c>
      <c r="P699" s="107">
        <v>510.20560868845303</v>
      </c>
      <c r="Q699" s="107">
        <f t="shared" si="61"/>
        <v>428.55509964829997</v>
      </c>
      <c r="R699" s="107">
        <f t="shared" si="62"/>
        <v>510.20560868845303</v>
      </c>
      <c r="S699" s="140" t="str">
        <f t="shared" si="63"/>
        <v>Y</v>
      </c>
      <c r="T699" s="154">
        <f t="shared" si="64"/>
        <v>1.1905251135902029</v>
      </c>
      <c r="U699" s="154">
        <f t="shared" si="65"/>
        <v>1.1905251135902029</v>
      </c>
    </row>
    <row r="700" spans="1:21" x14ac:dyDescent="0.35">
      <c r="A700" s="107">
        <v>397</v>
      </c>
      <c r="B700" s="107">
        <v>2019</v>
      </c>
      <c r="C700" s="107" t="s">
        <v>9</v>
      </c>
      <c r="D700" s="107" t="s">
        <v>132</v>
      </c>
      <c r="E700" s="107" t="s">
        <v>10</v>
      </c>
      <c r="F700" s="115">
        <v>10</v>
      </c>
      <c r="G700" s="107" t="s">
        <v>34</v>
      </c>
      <c r="H700" s="107" t="str">
        <f t="shared" si="60"/>
        <v>Area 10: N Puget Sound</v>
      </c>
      <c r="I700" s="107" t="str">
        <f>IFERROR(VLOOKUP(H700,LUTs!$A$1:$C$73,2,FALSE),"NA")</f>
        <v>NA</v>
      </c>
      <c r="J700" s="107" t="str">
        <f>IFERROR(VLOOKUP(H700,LUTs!$A$1:$C$73,3,FALSE),"NA")</f>
        <v>3South Puget Sound</v>
      </c>
      <c r="K700" s="107" t="s">
        <v>25</v>
      </c>
      <c r="L700" s="107" t="str">
        <f>VLOOKUP(K700,LUTs!E$2:G$14,3,)</f>
        <v>12Jefferson</v>
      </c>
      <c r="M700" s="107" t="str">
        <f>VLOOKUP($K700,LUTs!$E$2:$H$14,2,)</f>
        <v>Strait of Juan de Fuca</v>
      </c>
      <c r="N700" s="107" t="str">
        <f>VLOOKUP($K700,LUTs!$E$2:$H$14,4,)</f>
        <v>03Strait of Juan de Fuca</v>
      </c>
      <c r="O700" s="107">
        <v>171.42203985931999</v>
      </c>
      <c r="P700" s="107">
        <v>204.08224347538101</v>
      </c>
      <c r="Q700" s="107">
        <f t="shared" si="61"/>
        <v>171.42203985931999</v>
      </c>
      <c r="R700" s="107">
        <f t="shared" si="62"/>
        <v>204.08224347538101</v>
      </c>
      <c r="S700" s="140" t="str">
        <f t="shared" si="63"/>
        <v>Y</v>
      </c>
      <c r="T700" s="154">
        <f t="shared" si="64"/>
        <v>1.1905251135902015</v>
      </c>
      <c r="U700" s="154">
        <f t="shared" si="65"/>
        <v>1.1905251135902015</v>
      </c>
    </row>
    <row r="701" spans="1:21" x14ac:dyDescent="0.35">
      <c r="A701" s="107">
        <v>319</v>
      </c>
      <c r="B701" s="107">
        <v>2019</v>
      </c>
      <c r="C701" s="107" t="s">
        <v>9</v>
      </c>
      <c r="D701" s="107" t="s">
        <v>132</v>
      </c>
      <c r="E701" s="107" t="s">
        <v>10</v>
      </c>
      <c r="F701" s="115">
        <v>10</v>
      </c>
      <c r="G701" s="107" t="s">
        <v>34</v>
      </c>
      <c r="H701" s="107" t="str">
        <f t="shared" si="60"/>
        <v>Area 10: N Puget Sound</v>
      </c>
      <c r="I701" s="107" t="str">
        <f>IFERROR(VLOOKUP(H701,LUTs!$A$1:$C$73,2,FALSE),"NA")</f>
        <v>NA</v>
      </c>
      <c r="J701" s="107" t="str">
        <f>IFERROR(VLOOKUP(H701,LUTs!$A$1:$C$73,3,FALSE),"NA")</f>
        <v>3South Puget Sound</v>
      </c>
      <c r="K701" s="107" t="s">
        <v>18</v>
      </c>
      <c r="L701" s="107" t="str">
        <f>VLOOKUP(K701,LUTs!E$2:G$14,3,)</f>
        <v>06King</v>
      </c>
      <c r="M701" s="107" t="str">
        <f>VLOOKUP($K701,LUTs!$E$2:$H$14,2,)</f>
        <v>South Puget Sound</v>
      </c>
      <c r="N701" s="107" t="str">
        <f>VLOOKUP($K701,LUTs!$E$2:$H$14,4,)</f>
        <v>02South Puget Sound</v>
      </c>
      <c r="O701" s="107">
        <v>17188.9554513482</v>
      </c>
      <c r="P701" s="107">
        <v>20463.883141213199</v>
      </c>
      <c r="Q701" s="107">
        <f t="shared" si="61"/>
        <v>17188.9554513482</v>
      </c>
      <c r="R701" s="107">
        <f t="shared" si="62"/>
        <v>20463.883141213199</v>
      </c>
      <c r="S701" s="140" t="str">
        <f t="shared" si="63"/>
        <v>Y</v>
      </c>
      <c r="T701" s="154">
        <f t="shared" si="64"/>
        <v>1.1905251135901997</v>
      </c>
      <c r="U701" s="154">
        <f t="shared" si="65"/>
        <v>1.1905251135901997</v>
      </c>
    </row>
    <row r="702" spans="1:21" x14ac:dyDescent="0.35">
      <c r="A702" s="107">
        <v>323</v>
      </c>
      <c r="B702" s="107">
        <v>2019</v>
      </c>
      <c r="C702" s="107" t="s">
        <v>9</v>
      </c>
      <c r="D702" s="107" t="s">
        <v>132</v>
      </c>
      <c r="E702" s="107" t="s">
        <v>10</v>
      </c>
      <c r="F702" s="115">
        <v>10</v>
      </c>
      <c r="G702" s="107" t="s">
        <v>34</v>
      </c>
      <c r="H702" s="107" t="str">
        <f t="shared" si="60"/>
        <v>Area 10: N Puget Sound</v>
      </c>
      <c r="I702" s="107" t="str">
        <f>IFERROR(VLOOKUP(H702,LUTs!$A$1:$C$73,2,FALSE),"NA")</f>
        <v>NA</v>
      </c>
      <c r="J702" s="107" t="str">
        <f>IFERROR(VLOOKUP(H702,LUTs!$A$1:$C$73,3,FALSE),"NA")</f>
        <v>3South Puget Sound</v>
      </c>
      <c r="K702" s="107" t="s">
        <v>23</v>
      </c>
      <c r="L702" s="107" t="str">
        <f>VLOOKUP(K702,LUTs!E$2:G$14,3,)</f>
        <v>10Kitsap</v>
      </c>
      <c r="M702" s="107" t="str">
        <f>VLOOKUP($K702,LUTs!$E$2:$H$14,2,)</f>
        <v>South Puget Sound</v>
      </c>
      <c r="N702" s="107" t="str">
        <f>VLOOKUP($K702,LUTs!$E$2:$H$14,4,)</f>
        <v>02South Puget Sound</v>
      </c>
      <c r="O702" s="107">
        <v>4394.6377491207504</v>
      </c>
      <c r="P702" s="107">
        <v>5231.9266054597801</v>
      </c>
      <c r="Q702" s="107">
        <f t="shared" si="61"/>
        <v>4394.6377491207504</v>
      </c>
      <c r="R702" s="107">
        <f t="shared" si="62"/>
        <v>5231.9266054597801</v>
      </c>
      <c r="S702" s="140" t="str">
        <f t="shared" si="63"/>
        <v>Y</v>
      </c>
      <c r="T702" s="154">
        <f t="shared" si="64"/>
        <v>1.190525113590204</v>
      </c>
      <c r="U702" s="154">
        <f t="shared" si="65"/>
        <v>1.190525113590204</v>
      </c>
    </row>
    <row r="703" spans="1:21" x14ac:dyDescent="0.35">
      <c r="A703" s="107">
        <v>322</v>
      </c>
      <c r="B703" s="107">
        <v>2019</v>
      </c>
      <c r="C703" s="107" t="s">
        <v>9</v>
      </c>
      <c r="D703" s="107" t="s">
        <v>132</v>
      </c>
      <c r="E703" s="107" t="s">
        <v>10</v>
      </c>
      <c r="F703" s="115">
        <v>10</v>
      </c>
      <c r="G703" s="107" t="s">
        <v>34</v>
      </c>
      <c r="H703" s="107" t="str">
        <f t="shared" si="60"/>
        <v>Area 10: N Puget Sound</v>
      </c>
      <c r="I703" s="107" t="str">
        <f>IFERROR(VLOOKUP(H703,LUTs!$A$1:$C$73,2,FALSE),"NA")</f>
        <v>NA</v>
      </c>
      <c r="J703" s="107" t="str">
        <f>IFERROR(VLOOKUP(H703,LUTs!$A$1:$C$73,3,FALSE),"NA")</f>
        <v>3South Puget Sound</v>
      </c>
      <c r="K703" s="107" t="s">
        <v>22</v>
      </c>
      <c r="L703" s="107" t="str">
        <f>VLOOKUP(K703,LUTs!E$2:G$14,3,)</f>
        <v>09Mason</v>
      </c>
      <c r="M703" s="107" t="str">
        <f>VLOOKUP($K703,LUTs!$E$2:$H$14,2,)</f>
        <v>South Puget Sound</v>
      </c>
      <c r="N703" s="107" t="str">
        <f>VLOOKUP($K703,LUTs!$E$2:$H$14,4,)</f>
        <v>02South Puget Sound</v>
      </c>
      <c r="O703" s="107">
        <v>249.341148886284</v>
      </c>
      <c r="P703" s="107">
        <v>296.84689960055499</v>
      </c>
      <c r="Q703" s="107">
        <f t="shared" si="61"/>
        <v>249.341148886284</v>
      </c>
      <c r="R703" s="107">
        <f t="shared" si="62"/>
        <v>296.84689960055499</v>
      </c>
      <c r="S703" s="140" t="str">
        <f t="shared" si="63"/>
        <v>Y</v>
      </c>
      <c r="T703" s="154">
        <f t="shared" si="64"/>
        <v>1.1905251135902031</v>
      </c>
      <c r="U703" s="154">
        <f t="shared" si="65"/>
        <v>1.1905251135902031</v>
      </c>
    </row>
    <row r="704" spans="1:21" x14ac:dyDescent="0.35">
      <c r="A704" s="107">
        <v>398</v>
      </c>
      <c r="B704" s="107">
        <v>2019</v>
      </c>
      <c r="C704" s="107" t="s">
        <v>9</v>
      </c>
      <c r="D704" s="107" t="s">
        <v>132</v>
      </c>
      <c r="E704" s="107" t="s">
        <v>10</v>
      </c>
      <c r="F704" s="115">
        <v>10</v>
      </c>
      <c r="G704" s="107" t="s">
        <v>34</v>
      </c>
      <c r="H704" s="107" t="str">
        <f t="shared" si="60"/>
        <v>Area 10: N Puget Sound</v>
      </c>
      <c r="I704" s="107" t="str">
        <f>IFERROR(VLOOKUP(H704,LUTs!$A$1:$C$73,2,FALSE),"NA")</f>
        <v>NA</v>
      </c>
      <c r="J704" s="107" t="str">
        <f>IFERROR(VLOOKUP(H704,LUTs!$A$1:$C$73,3,FALSE),"NA")</f>
        <v>3South Puget Sound</v>
      </c>
      <c r="K704" s="107" t="s">
        <v>26</v>
      </c>
      <c r="L704" s="107" t="str">
        <f>VLOOKUP(K704,LUTs!E$2:G$14,3,)</f>
        <v>20Other</v>
      </c>
      <c r="M704" s="107" t="str">
        <f>VLOOKUP($K704,LUTs!$E$2:$H$14,2,)</f>
        <v>Non Puget Sound</v>
      </c>
      <c r="N704" s="107" t="str">
        <f>VLOOKUP($K704,LUTs!$E$2:$H$14,4,)</f>
        <v>07Non Puget Sound</v>
      </c>
      <c r="O704" s="107">
        <v>5290.7075029308298</v>
      </c>
      <c r="P704" s="107">
        <v>6298.7201508992703</v>
      </c>
      <c r="Q704" s="107">
        <f t="shared" si="61"/>
        <v>5290.7075029308298</v>
      </c>
      <c r="R704" s="107">
        <f t="shared" si="62"/>
        <v>6298.7201508992703</v>
      </c>
      <c r="S704" s="140" t="str">
        <f t="shared" si="63"/>
        <v>Y</v>
      </c>
      <c r="T704" s="154">
        <f t="shared" si="64"/>
        <v>1.190525113590204</v>
      </c>
      <c r="U704" s="154">
        <f t="shared" si="65"/>
        <v>1.190525113590204</v>
      </c>
    </row>
    <row r="705" spans="1:21" x14ac:dyDescent="0.35">
      <c r="A705" s="107">
        <v>320</v>
      </c>
      <c r="B705" s="107">
        <v>2019</v>
      </c>
      <c r="C705" s="107" t="s">
        <v>9</v>
      </c>
      <c r="D705" s="107" t="s">
        <v>132</v>
      </c>
      <c r="E705" s="107" t="s">
        <v>10</v>
      </c>
      <c r="F705" s="115">
        <v>10</v>
      </c>
      <c r="G705" s="107" t="s">
        <v>34</v>
      </c>
      <c r="H705" s="107" t="str">
        <f t="shared" si="60"/>
        <v>Area 10: N Puget Sound</v>
      </c>
      <c r="I705" s="107" t="str">
        <f>IFERROR(VLOOKUP(H705,LUTs!$A$1:$C$73,2,FALSE),"NA")</f>
        <v>NA</v>
      </c>
      <c r="J705" s="107" t="str">
        <f>IFERROR(VLOOKUP(H705,LUTs!$A$1:$C$73,3,FALSE),"NA")</f>
        <v>3South Puget Sound</v>
      </c>
      <c r="K705" s="107" t="s">
        <v>20</v>
      </c>
      <c r="L705" s="107" t="str">
        <f>VLOOKUP(K705,LUTs!E$2:G$14,3,)</f>
        <v>07Pierce</v>
      </c>
      <c r="M705" s="107" t="str">
        <f>VLOOKUP($K705,LUTs!$E$2:$H$14,2,)</f>
        <v>South Puget Sound</v>
      </c>
      <c r="N705" s="107" t="str">
        <f>VLOOKUP($K705,LUTs!$E$2:$H$14,4,)</f>
        <v>02South Puget Sound</v>
      </c>
      <c r="O705" s="107">
        <v>1511.6307151230999</v>
      </c>
      <c r="P705" s="107">
        <v>1799.6343288283599</v>
      </c>
      <c r="Q705" s="107">
        <f t="shared" si="61"/>
        <v>1511.6307151230999</v>
      </c>
      <c r="R705" s="107">
        <f t="shared" si="62"/>
        <v>1799.6343288283599</v>
      </c>
      <c r="S705" s="140" t="str">
        <f t="shared" si="63"/>
        <v>Y</v>
      </c>
      <c r="T705" s="154">
        <f t="shared" si="64"/>
        <v>1.1905251135901975</v>
      </c>
      <c r="U705" s="154">
        <f t="shared" si="65"/>
        <v>1.1905251135901975</v>
      </c>
    </row>
    <row r="706" spans="1:21" x14ac:dyDescent="0.35">
      <c r="A706" s="107">
        <v>318</v>
      </c>
      <c r="B706" s="107">
        <v>2019</v>
      </c>
      <c r="C706" s="107" t="s">
        <v>9</v>
      </c>
      <c r="D706" s="107" t="s">
        <v>132</v>
      </c>
      <c r="E706" s="107" t="s">
        <v>10</v>
      </c>
      <c r="F706" s="115">
        <v>10</v>
      </c>
      <c r="G706" s="107" t="s">
        <v>34</v>
      </c>
      <c r="H706" s="107" t="str">
        <f t="shared" ref="H706:H769" si="66">G706</f>
        <v>Area 10: N Puget Sound</v>
      </c>
      <c r="I706" s="107" t="str">
        <f>IFERROR(VLOOKUP(H706,LUTs!$A$1:$C$73,2,FALSE),"NA")</f>
        <v>NA</v>
      </c>
      <c r="J706" s="107" t="str">
        <f>IFERROR(VLOOKUP(H706,LUTs!$A$1:$C$73,3,FALSE),"NA")</f>
        <v>3South Puget Sound</v>
      </c>
      <c r="K706" s="107" t="s">
        <v>30</v>
      </c>
      <c r="L706" s="107" t="str">
        <f>VLOOKUP(K706,LUTs!E$2:G$14,3,)</f>
        <v>05San Juan</v>
      </c>
      <c r="M706" s="107" t="str">
        <f>VLOOKUP($K706,LUTs!$E$2:$H$14,2,)</f>
        <v>North Puget Sound</v>
      </c>
      <c r="N706" s="107" t="str">
        <f>VLOOKUP($K706,LUTs!$E$2:$H$14,4,)</f>
        <v>01North Puget Sound</v>
      </c>
      <c r="O706" s="107">
        <v>7.7919109026963698</v>
      </c>
      <c r="P706" s="107">
        <v>9.2764656125173399</v>
      </c>
      <c r="Q706" s="107">
        <f t="shared" ref="Q706:Q769" si="67">O706</f>
        <v>7.7919109026963698</v>
      </c>
      <c r="R706" s="107">
        <f t="shared" ref="R706:R769" si="68">P706</f>
        <v>9.2764656125173399</v>
      </c>
      <c r="S706" s="140" t="str">
        <f t="shared" si="63"/>
        <v>Y</v>
      </c>
      <c r="T706" s="154">
        <f t="shared" si="64"/>
        <v>1.1905251135902033</v>
      </c>
      <c r="U706" s="154">
        <f t="shared" si="65"/>
        <v>1.1905251135902033</v>
      </c>
    </row>
    <row r="707" spans="1:21" x14ac:dyDescent="0.35">
      <c r="A707" s="107">
        <v>306</v>
      </c>
      <c r="B707" s="107">
        <v>2019</v>
      </c>
      <c r="C707" s="107" t="s">
        <v>9</v>
      </c>
      <c r="D707" s="107" t="s">
        <v>132</v>
      </c>
      <c r="E707" s="107" t="s">
        <v>10</v>
      </c>
      <c r="F707" s="115">
        <v>10</v>
      </c>
      <c r="G707" s="107" t="s">
        <v>34</v>
      </c>
      <c r="H707" s="107" t="str">
        <f t="shared" si="66"/>
        <v>Area 10: N Puget Sound</v>
      </c>
      <c r="I707" s="107" t="str">
        <f>IFERROR(VLOOKUP(H707,LUTs!$A$1:$C$73,2,FALSE),"NA")</f>
        <v>NA</v>
      </c>
      <c r="J707" s="107" t="str">
        <f>IFERROR(VLOOKUP(H707,LUTs!$A$1:$C$73,3,FALSE),"NA")</f>
        <v>3South Puget Sound</v>
      </c>
      <c r="K707" s="107" t="s">
        <v>15</v>
      </c>
      <c r="L707" s="107" t="str">
        <f>VLOOKUP(K707,LUTs!E$2:G$14,3,)</f>
        <v>02Skagit</v>
      </c>
      <c r="M707" s="107" t="str">
        <f>VLOOKUP($K707,LUTs!$E$2:$H$14,2,)</f>
        <v>North Puget Sound</v>
      </c>
      <c r="N707" s="107" t="str">
        <f>VLOOKUP($K707,LUTs!$E$2:$H$14,4,)</f>
        <v>01North Puget Sound</v>
      </c>
      <c r="O707" s="107">
        <v>366.21981242672899</v>
      </c>
      <c r="P707" s="107">
        <v>435.99388378831497</v>
      </c>
      <c r="Q707" s="107">
        <f t="shared" si="67"/>
        <v>366.21981242672899</v>
      </c>
      <c r="R707" s="107">
        <f t="shared" si="68"/>
        <v>435.99388378831497</v>
      </c>
      <c r="S707" s="140" t="str">
        <f t="shared" ref="S707:S770" si="69">IF(B707&lt;=2019,"Y","N")</f>
        <v>Y</v>
      </c>
      <c r="T707" s="154">
        <f t="shared" ref="T707:T770" si="70">IFERROR(P707/O707,"NA")</f>
        <v>1.1905251135902046</v>
      </c>
      <c r="U707" s="154">
        <f t="shared" ref="U707:U770" si="71">IFERROR(R707/Q707,"NA")</f>
        <v>1.1905251135902046</v>
      </c>
    </row>
    <row r="708" spans="1:21" x14ac:dyDescent="0.35">
      <c r="A708" s="107">
        <v>307</v>
      </c>
      <c r="B708" s="107">
        <v>2019</v>
      </c>
      <c r="C708" s="107" t="s">
        <v>9</v>
      </c>
      <c r="D708" s="107" t="s">
        <v>132</v>
      </c>
      <c r="E708" s="107" t="s">
        <v>10</v>
      </c>
      <c r="F708" s="115">
        <v>10</v>
      </c>
      <c r="G708" s="107" t="s">
        <v>34</v>
      </c>
      <c r="H708" s="107" t="str">
        <f t="shared" si="66"/>
        <v>Area 10: N Puget Sound</v>
      </c>
      <c r="I708" s="107" t="str">
        <f>IFERROR(VLOOKUP(H708,LUTs!$A$1:$C$73,2,FALSE),"NA")</f>
        <v>NA</v>
      </c>
      <c r="J708" s="107" t="str">
        <f>IFERROR(VLOOKUP(H708,LUTs!$A$1:$C$73,3,FALSE),"NA")</f>
        <v>3South Puget Sound</v>
      </c>
      <c r="K708" s="107" t="s">
        <v>16</v>
      </c>
      <c r="L708" s="107" t="str">
        <f>VLOOKUP(K708,LUTs!E$2:G$14,3,)</f>
        <v>03Snohomish</v>
      </c>
      <c r="M708" s="107" t="str">
        <f>VLOOKUP($K708,LUTs!$E$2:$H$14,2,)</f>
        <v>North Puget Sound</v>
      </c>
      <c r="N708" s="107" t="str">
        <f>VLOOKUP($K708,LUTs!$E$2:$H$14,4,)</f>
        <v>01North Puget Sound</v>
      </c>
      <c r="O708" s="107">
        <v>9856.7672919109009</v>
      </c>
      <c r="P708" s="107">
        <v>11734.7289998344</v>
      </c>
      <c r="Q708" s="107">
        <f t="shared" si="67"/>
        <v>9856.7672919109009</v>
      </c>
      <c r="R708" s="107">
        <f t="shared" si="68"/>
        <v>11734.7289998344</v>
      </c>
      <c r="S708" s="140" t="str">
        <f t="shared" si="69"/>
        <v>Y</v>
      </c>
      <c r="T708" s="154">
        <f t="shared" si="70"/>
        <v>1.1905251135902006</v>
      </c>
      <c r="U708" s="154">
        <f t="shared" si="71"/>
        <v>1.1905251135902006</v>
      </c>
    </row>
    <row r="709" spans="1:21" x14ac:dyDescent="0.35">
      <c r="A709" s="107">
        <v>321</v>
      </c>
      <c r="B709" s="107">
        <v>2019</v>
      </c>
      <c r="C709" s="107" t="s">
        <v>9</v>
      </c>
      <c r="D709" s="107" t="s">
        <v>132</v>
      </c>
      <c r="E709" s="107" t="s">
        <v>10</v>
      </c>
      <c r="F709" s="115">
        <v>10</v>
      </c>
      <c r="G709" s="107" t="s">
        <v>34</v>
      </c>
      <c r="H709" s="107" t="str">
        <f t="shared" si="66"/>
        <v>Area 10: N Puget Sound</v>
      </c>
      <c r="I709" s="107" t="str">
        <f>IFERROR(VLOOKUP(H709,LUTs!$A$1:$C$73,2,FALSE),"NA")</f>
        <v>NA</v>
      </c>
      <c r="J709" s="107" t="str">
        <f>IFERROR(VLOOKUP(H709,LUTs!$A$1:$C$73,3,FALSE),"NA")</f>
        <v>3South Puget Sound</v>
      </c>
      <c r="K709" s="107" t="s">
        <v>21</v>
      </c>
      <c r="L709" s="107" t="str">
        <f>VLOOKUP(K709,LUTs!E$2:G$14,3,)</f>
        <v>08Thurston</v>
      </c>
      <c r="M709" s="107" t="str">
        <f>VLOOKUP($K709,LUTs!$E$2:$H$14,2,)</f>
        <v>South Puget Sound</v>
      </c>
      <c r="N709" s="107" t="str">
        <f>VLOOKUP($K709,LUTs!$E$2:$H$14,4,)</f>
        <v>02South Puget Sound</v>
      </c>
      <c r="O709" s="107">
        <v>163.63012895662399</v>
      </c>
      <c r="P709" s="107">
        <v>194.80577786286401</v>
      </c>
      <c r="Q709" s="107">
        <f t="shared" si="67"/>
        <v>163.63012895662399</v>
      </c>
      <c r="R709" s="107">
        <f t="shared" si="68"/>
        <v>194.80577786286401</v>
      </c>
      <c r="S709" s="140" t="str">
        <f t="shared" si="69"/>
        <v>Y</v>
      </c>
      <c r="T709" s="154">
        <f t="shared" si="70"/>
        <v>1.1905251135902009</v>
      </c>
      <c r="U709" s="154">
        <f t="shared" si="71"/>
        <v>1.1905251135902009</v>
      </c>
    </row>
    <row r="710" spans="1:21" x14ac:dyDescent="0.35">
      <c r="A710" s="107">
        <v>305</v>
      </c>
      <c r="B710" s="107">
        <v>2019</v>
      </c>
      <c r="C710" s="107" t="s">
        <v>9</v>
      </c>
      <c r="D710" s="107" t="s">
        <v>132</v>
      </c>
      <c r="E710" s="107" t="s">
        <v>10</v>
      </c>
      <c r="F710" s="115">
        <v>10</v>
      </c>
      <c r="G710" s="107" t="s">
        <v>34</v>
      </c>
      <c r="H710" s="107" t="str">
        <f t="shared" si="66"/>
        <v>Area 10: N Puget Sound</v>
      </c>
      <c r="I710" s="107" t="str">
        <f>IFERROR(VLOOKUP(H710,LUTs!$A$1:$C$73,2,FALSE),"NA")</f>
        <v>NA</v>
      </c>
      <c r="J710" s="107" t="str">
        <f>IFERROR(VLOOKUP(H710,LUTs!$A$1:$C$73,3,FALSE),"NA")</f>
        <v>3South Puget Sound</v>
      </c>
      <c r="K710" s="107" t="s">
        <v>13</v>
      </c>
      <c r="L710" s="107" t="str">
        <f>VLOOKUP(K710,LUTs!E$2:G$14,3,)</f>
        <v>01Whatcom</v>
      </c>
      <c r="M710" s="107" t="str">
        <f>VLOOKUP($K710,LUTs!$E$2:$H$14,2,)</f>
        <v>North Puget Sound</v>
      </c>
      <c r="N710" s="107" t="str">
        <f>VLOOKUP($K710,LUTs!$E$2:$H$14,4,)</f>
        <v>01North Puget Sound</v>
      </c>
      <c r="O710" s="107">
        <v>116.878663540446</v>
      </c>
      <c r="P710" s="107">
        <v>139.14698418776001</v>
      </c>
      <c r="Q710" s="107">
        <f t="shared" si="67"/>
        <v>116.878663540446</v>
      </c>
      <c r="R710" s="107">
        <f t="shared" si="68"/>
        <v>139.14698418776001</v>
      </c>
      <c r="S710" s="140" t="str">
        <f t="shared" si="69"/>
        <v>Y</v>
      </c>
      <c r="T710" s="154">
        <f t="shared" si="70"/>
        <v>1.190525113590198</v>
      </c>
      <c r="U710" s="154">
        <f t="shared" si="71"/>
        <v>1.190525113590198</v>
      </c>
    </row>
    <row r="711" spans="1:21" x14ac:dyDescent="0.35">
      <c r="A711" s="107">
        <v>429</v>
      </c>
      <c r="B711" s="107">
        <v>2020</v>
      </c>
      <c r="C711" s="107" t="s">
        <v>9</v>
      </c>
      <c r="D711" s="107" t="s">
        <v>132</v>
      </c>
      <c r="E711" s="107" t="s">
        <v>10</v>
      </c>
      <c r="F711" s="115">
        <v>10</v>
      </c>
      <c r="G711" s="107" t="s">
        <v>34</v>
      </c>
      <c r="H711" s="107" t="str">
        <f t="shared" si="66"/>
        <v>Area 10: N Puget Sound</v>
      </c>
      <c r="I711" s="107" t="str">
        <f>IFERROR(VLOOKUP(H711,LUTs!$A$1:$C$73,2,FALSE),"NA")</f>
        <v>NA</v>
      </c>
      <c r="J711" s="107" t="str">
        <f>IFERROR(VLOOKUP(H711,LUTs!$A$1:$C$73,3,FALSE),"NA")</f>
        <v>3South Puget Sound</v>
      </c>
      <c r="K711" s="107" t="s">
        <v>17</v>
      </c>
      <c r="L711" s="107" t="str">
        <f>VLOOKUP(K711,LUTs!E$2:G$14,3,)</f>
        <v>04Island</v>
      </c>
      <c r="M711" s="107" t="str">
        <f>VLOOKUP($K711,LUTs!$E$2:$H$14,2,)</f>
        <v>North Puget Sound</v>
      </c>
      <c r="N711" s="107" t="str">
        <f>VLOOKUP($K711,LUTs!$E$2:$H$14,4,)</f>
        <v>01North Puget Sound</v>
      </c>
      <c r="O711" s="107">
        <v>297.25312409183402</v>
      </c>
      <c r="P711" s="107">
        <v>507.586226384577</v>
      </c>
      <c r="Q711" s="107">
        <f t="shared" si="67"/>
        <v>297.25312409183402</v>
      </c>
      <c r="R711" s="107">
        <f t="shared" si="68"/>
        <v>507.586226384577</v>
      </c>
      <c r="S711" s="140" t="str">
        <f t="shared" si="69"/>
        <v>N</v>
      </c>
      <c r="T711" s="154">
        <f t="shared" si="70"/>
        <v>1.7075892067925322</v>
      </c>
      <c r="U711" s="154">
        <f t="shared" si="71"/>
        <v>1.7075892067925322</v>
      </c>
    </row>
    <row r="712" spans="1:21" x14ac:dyDescent="0.35">
      <c r="A712" s="107">
        <v>435</v>
      </c>
      <c r="B712" s="107">
        <v>2020</v>
      </c>
      <c r="C712" s="107" t="s">
        <v>9</v>
      </c>
      <c r="D712" s="107" t="s">
        <v>132</v>
      </c>
      <c r="E712" s="107" t="s">
        <v>10</v>
      </c>
      <c r="F712" s="115">
        <v>10</v>
      </c>
      <c r="G712" s="107" t="s">
        <v>34</v>
      </c>
      <c r="H712" s="107" t="str">
        <f t="shared" si="66"/>
        <v>Area 10: N Puget Sound</v>
      </c>
      <c r="I712" s="107" t="str">
        <f>IFERROR(VLOOKUP(H712,LUTs!$A$1:$C$73,2,FALSE),"NA")</f>
        <v>NA</v>
      </c>
      <c r="J712" s="107" t="str">
        <f>IFERROR(VLOOKUP(H712,LUTs!$A$1:$C$73,3,FALSE),"NA")</f>
        <v>3South Puget Sound</v>
      </c>
      <c r="K712" s="107" t="s">
        <v>25</v>
      </c>
      <c r="L712" s="107" t="str">
        <f>VLOOKUP(K712,LUTs!E$2:G$14,3,)</f>
        <v>12Jefferson</v>
      </c>
      <c r="M712" s="107" t="str">
        <f>VLOOKUP($K712,LUTs!$E$2:$H$14,2,)</f>
        <v>Strait of Juan de Fuca</v>
      </c>
      <c r="N712" s="107" t="str">
        <f>VLOOKUP($K712,LUTs!$E$2:$H$14,4,)</f>
        <v>03Strait of Juan de Fuca</v>
      </c>
      <c r="O712" s="107">
        <v>27.867480383609401</v>
      </c>
      <c r="P712" s="107">
        <v>47.586208723554101</v>
      </c>
      <c r="Q712" s="107">
        <f t="shared" si="67"/>
        <v>27.867480383609401</v>
      </c>
      <c r="R712" s="107">
        <f t="shared" si="68"/>
        <v>47.586208723554101</v>
      </c>
      <c r="S712" s="140" t="str">
        <f t="shared" si="69"/>
        <v>N</v>
      </c>
      <c r="T712" s="154">
        <f t="shared" si="70"/>
        <v>1.7075892067925349</v>
      </c>
      <c r="U712" s="154">
        <f t="shared" si="71"/>
        <v>1.7075892067925349</v>
      </c>
    </row>
    <row r="713" spans="1:21" x14ac:dyDescent="0.35">
      <c r="A713" s="107">
        <v>430</v>
      </c>
      <c r="B713" s="107">
        <v>2020</v>
      </c>
      <c r="C713" s="107" t="s">
        <v>9</v>
      </c>
      <c r="D713" s="107" t="s">
        <v>132</v>
      </c>
      <c r="E713" s="107" t="s">
        <v>10</v>
      </c>
      <c r="F713" s="115">
        <v>10</v>
      </c>
      <c r="G713" s="107" t="s">
        <v>34</v>
      </c>
      <c r="H713" s="107" t="str">
        <f t="shared" si="66"/>
        <v>Area 10: N Puget Sound</v>
      </c>
      <c r="I713" s="107" t="str">
        <f>IFERROR(VLOOKUP(H713,LUTs!$A$1:$C$73,2,FALSE),"NA")</f>
        <v>NA</v>
      </c>
      <c r="J713" s="107" t="str">
        <f>IFERROR(VLOOKUP(H713,LUTs!$A$1:$C$73,3,FALSE),"NA")</f>
        <v>3South Puget Sound</v>
      </c>
      <c r="K713" s="107" t="s">
        <v>18</v>
      </c>
      <c r="L713" s="107" t="str">
        <f>VLOOKUP(K713,LUTs!E$2:G$14,3,)</f>
        <v>06King</v>
      </c>
      <c r="M713" s="107" t="str">
        <f>VLOOKUP($K713,LUTs!$E$2:$H$14,2,)</f>
        <v>South Puget Sound</v>
      </c>
      <c r="N713" s="107" t="str">
        <f>VLOOKUP($K713,LUTs!$E$2:$H$14,4,)</f>
        <v>02South Puget Sound</v>
      </c>
      <c r="O713" s="107">
        <v>12930.5108979948</v>
      </c>
      <c r="P713" s="107">
        <v>22080.000847729101</v>
      </c>
      <c r="Q713" s="107">
        <f t="shared" si="67"/>
        <v>12930.5108979948</v>
      </c>
      <c r="R713" s="107">
        <f t="shared" si="68"/>
        <v>22080.000847729101</v>
      </c>
      <c r="S713" s="140" t="str">
        <f t="shared" si="69"/>
        <v>N</v>
      </c>
      <c r="T713" s="154">
        <f t="shared" si="70"/>
        <v>1.7075892067925298</v>
      </c>
      <c r="U713" s="154">
        <f t="shared" si="71"/>
        <v>1.7075892067925298</v>
      </c>
    </row>
    <row r="714" spans="1:21" x14ac:dyDescent="0.35">
      <c r="A714" s="107">
        <v>434</v>
      </c>
      <c r="B714" s="107">
        <v>2020</v>
      </c>
      <c r="C714" s="107" t="s">
        <v>9</v>
      </c>
      <c r="D714" s="107" t="s">
        <v>132</v>
      </c>
      <c r="E714" s="107" t="s">
        <v>10</v>
      </c>
      <c r="F714" s="115">
        <v>10</v>
      </c>
      <c r="G714" s="107" t="s">
        <v>34</v>
      </c>
      <c r="H714" s="107" t="str">
        <f t="shared" si="66"/>
        <v>Area 10: N Puget Sound</v>
      </c>
      <c r="I714" s="107" t="str">
        <f>IFERROR(VLOOKUP(H714,LUTs!$A$1:$C$73,2,FALSE),"NA")</f>
        <v>NA</v>
      </c>
      <c r="J714" s="107" t="str">
        <f>IFERROR(VLOOKUP(H714,LUTs!$A$1:$C$73,3,FALSE),"NA")</f>
        <v>3South Puget Sound</v>
      </c>
      <c r="K714" s="107" t="s">
        <v>23</v>
      </c>
      <c r="L714" s="107" t="str">
        <f>VLOOKUP(K714,LUTs!E$2:G$14,3,)</f>
        <v>10Kitsap</v>
      </c>
      <c r="M714" s="107" t="str">
        <f>VLOOKUP($K714,LUTs!$E$2:$H$14,2,)</f>
        <v>South Puget Sound</v>
      </c>
      <c r="N714" s="107" t="str">
        <f>VLOOKUP($K714,LUTs!$E$2:$H$14,4,)</f>
        <v>02South Puget Sound</v>
      </c>
      <c r="O714" s="107">
        <v>3845.7122929380998</v>
      </c>
      <c r="P714" s="107">
        <v>6566.89680385047</v>
      </c>
      <c r="Q714" s="107">
        <f t="shared" si="67"/>
        <v>3845.7122929380998</v>
      </c>
      <c r="R714" s="107">
        <f t="shared" si="68"/>
        <v>6566.89680385047</v>
      </c>
      <c r="S714" s="140" t="str">
        <f t="shared" si="69"/>
        <v>N</v>
      </c>
      <c r="T714" s="154">
        <f t="shared" si="70"/>
        <v>1.7075892067925347</v>
      </c>
      <c r="U714" s="154">
        <f t="shared" si="71"/>
        <v>1.7075892067925347</v>
      </c>
    </row>
    <row r="715" spans="1:21" x14ac:dyDescent="0.35">
      <c r="A715" s="107">
        <v>433</v>
      </c>
      <c r="B715" s="107">
        <v>2020</v>
      </c>
      <c r="C715" s="107" t="s">
        <v>9</v>
      </c>
      <c r="D715" s="107" t="s">
        <v>132</v>
      </c>
      <c r="E715" s="107" t="s">
        <v>10</v>
      </c>
      <c r="F715" s="115">
        <v>10</v>
      </c>
      <c r="G715" s="107" t="s">
        <v>34</v>
      </c>
      <c r="H715" s="107" t="str">
        <f t="shared" si="66"/>
        <v>Area 10: N Puget Sound</v>
      </c>
      <c r="I715" s="107" t="str">
        <f>IFERROR(VLOOKUP(H715,LUTs!$A$1:$C$73,2,FALSE),"NA")</f>
        <v>NA</v>
      </c>
      <c r="J715" s="107" t="str">
        <f>IFERROR(VLOOKUP(H715,LUTs!$A$1:$C$73,3,FALSE),"NA")</f>
        <v>3South Puget Sound</v>
      </c>
      <c r="K715" s="107" t="s">
        <v>22</v>
      </c>
      <c r="L715" s="107" t="str">
        <f>VLOOKUP(K715,LUTs!E$2:G$14,3,)</f>
        <v>09Mason</v>
      </c>
      <c r="M715" s="107" t="str">
        <f>VLOOKUP($K715,LUTs!$E$2:$H$14,2,)</f>
        <v>South Puget Sound</v>
      </c>
      <c r="N715" s="107" t="str">
        <f>VLOOKUP($K715,LUTs!$E$2:$H$14,4,)</f>
        <v>02South Puget Sound</v>
      </c>
      <c r="O715" s="107">
        <v>83.602441150828298</v>
      </c>
      <c r="P715" s="107">
        <v>142.75862617066201</v>
      </c>
      <c r="Q715" s="107">
        <f t="shared" si="67"/>
        <v>83.602441150828298</v>
      </c>
      <c r="R715" s="107">
        <f t="shared" si="68"/>
        <v>142.75862617066201</v>
      </c>
      <c r="S715" s="140" t="str">
        <f t="shared" si="69"/>
        <v>N</v>
      </c>
      <c r="T715" s="154">
        <f t="shared" si="70"/>
        <v>1.7075892067925293</v>
      </c>
      <c r="U715" s="154">
        <f t="shared" si="71"/>
        <v>1.7075892067925293</v>
      </c>
    </row>
    <row r="716" spans="1:21" x14ac:dyDescent="0.35">
      <c r="A716" s="107">
        <v>436</v>
      </c>
      <c r="B716" s="107">
        <v>2020</v>
      </c>
      <c r="C716" s="107" t="s">
        <v>9</v>
      </c>
      <c r="D716" s="107" t="s">
        <v>132</v>
      </c>
      <c r="E716" s="107" t="s">
        <v>10</v>
      </c>
      <c r="F716" s="115">
        <v>10</v>
      </c>
      <c r="G716" s="107" t="s">
        <v>34</v>
      </c>
      <c r="H716" s="107" t="str">
        <f t="shared" si="66"/>
        <v>Area 10: N Puget Sound</v>
      </c>
      <c r="I716" s="107" t="str">
        <f>IFERROR(VLOOKUP(H716,LUTs!$A$1:$C$73,2,FALSE),"NA")</f>
        <v>NA</v>
      </c>
      <c r="J716" s="107" t="str">
        <f>IFERROR(VLOOKUP(H716,LUTs!$A$1:$C$73,3,FALSE),"NA")</f>
        <v>3South Puget Sound</v>
      </c>
      <c r="K716" s="107" t="s">
        <v>26</v>
      </c>
      <c r="L716" s="107" t="str">
        <f>VLOOKUP(K716,LUTs!E$2:G$14,3,)</f>
        <v>20Other</v>
      </c>
      <c r="M716" s="107" t="str">
        <f>VLOOKUP($K716,LUTs!$E$2:$H$14,2,)</f>
        <v>Non Puget Sound</v>
      </c>
      <c r="N716" s="107" t="str">
        <f>VLOOKUP($K716,LUTs!$E$2:$H$14,4,)</f>
        <v>07Non Puget Sound</v>
      </c>
      <c r="O716" s="107">
        <v>3446.2784074397</v>
      </c>
      <c r="P716" s="107">
        <v>5884.8278121461899</v>
      </c>
      <c r="Q716" s="107">
        <f t="shared" si="67"/>
        <v>3446.2784074397</v>
      </c>
      <c r="R716" s="107">
        <f t="shared" si="68"/>
        <v>5884.8278121461899</v>
      </c>
      <c r="S716" s="140" t="str">
        <f t="shared" si="69"/>
        <v>N</v>
      </c>
      <c r="T716" s="154">
        <f t="shared" si="70"/>
        <v>1.7075892067925327</v>
      </c>
      <c r="U716" s="154">
        <f t="shared" si="71"/>
        <v>1.7075892067925327</v>
      </c>
    </row>
    <row r="717" spans="1:21" x14ac:dyDescent="0.35">
      <c r="A717" s="107">
        <v>431</v>
      </c>
      <c r="B717" s="107">
        <v>2020</v>
      </c>
      <c r="C717" s="107" t="s">
        <v>9</v>
      </c>
      <c r="D717" s="107" t="s">
        <v>132</v>
      </c>
      <c r="E717" s="107" t="s">
        <v>10</v>
      </c>
      <c r="F717" s="115">
        <v>10</v>
      </c>
      <c r="G717" s="107" t="s">
        <v>34</v>
      </c>
      <c r="H717" s="107" t="str">
        <f t="shared" si="66"/>
        <v>Area 10: N Puget Sound</v>
      </c>
      <c r="I717" s="107" t="str">
        <f>IFERROR(VLOOKUP(H717,LUTs!$A$1:$C$73,2,FALSE),"NA")</f>
        <v>NA</v>
      </c>
      <c r="J717" s="107" t="str">
        <f>IFERROR(VLOOKUP(H717,LUTs!$A$1:$C$73,3,FALSE),"NA")</f>
        <v>3South Puget Sound</v>
      </c>
      <c r="K717" s="107" t="s">
        <v>20</v>
      </c>
      <c r="L717" s="107" t="str">
        <f>VLOOKUP(K717,LUTs!E$2:G$14,3,)</f>
        <v>07Pierce</v>
      </c>
      <c r="M717" s="107" t="str">
        <f>VLOOKUP($K717,LUTs!$E$2:$H$14,2,)</f>
        <v>South Puget Sound</v>
      </c>
      <c r="N717" s="107" t="str">
        <f>VLOOKUP($K717,LUTs!$E$2:$H$14,4,)</f>
        <v>02South Puget Sound</v>
      </c>
      <c r="O717" s="107">
        <v>1662.7596628886999</v>
      </c>
      <c r="P717" s="107">
        <v>2839.3104538387302</v>
      </c>
      <c r="Q717" s="107">
        <f t="shared" si="67"/>
        <v>1662.7596628886999</v>
      </c>
      <c r="R717" s="107">
        <f t="shared" si="68"/>
        <v>2839.3104538387302</v>
      </c>
      <c r="S717" s="140" t="str">
        <f t="shared" si="69"/>
        <v>N</v>
      </c>
      <c r="T717" s="154">
        <f t="shared" si="70"/>
        <v>1.7075892067925302</v>
      </c>
      <c r="U717" s="154">
        <f t="shared" si="71"/>
        <v>1.7075892067925302</v>
      </c>
    </row>
    <row r="718" spans="1:21" x14ac:dyDescent="0.35">
      <c r="A718" s="107">
        <v>418</v>
      </c>
      <c r="B718" s="107">
        <v>2020</v>
      </c>
      <c r="C718" s="107" t="s">
        <v>9</v>
      </c>
      <c r="D718" s="107" t="s">
        <v>132</v>
      </c>
      <c r="E718" s="107" t="s">
        <v>10</v>
      </c>
      <c r="F718" s="115">
        <v>10</v>
      </c>
      <c r="G718" s="107" t="s">
        <v>34</v>
      </c>
      <c r="H718" s="107" t="str">
        <f t="shared" si="66"/>
        <v>Area 10: N Puget Sound</v>
      </c>
      <c r="I718" s="107" t="str">
        <f>IFERROR(VLOOKUP(H718,LUTs!$A$1:$C$73,2,FALSE),"NA")</f>
        <v>NA</v>
      </c>
      <c r="J718" s="107" t="str">
        <f>IFERROR(VLOOKUP(H718,LUTs!$A$1:$C$73,3,FALSE),"NA")</f>
        <v>3South Puget Sound</v>
      </c>
      <c r="K718" s="107" t="s">
        <v>15</v>
      </c>
      <c r="L718" s="107" t="str">
        <f>VLOOKUP(K718,LUTs!E$2:G$14,3,)</f>
        <v>02Skagit</v>
      </c>
      <c r="M718" s="107" t="str">
        <f>VLOOKUP($K718,LUTs!$E$2:$H$14,2,)</f>
        <v>North Puget Sound</v>
      </c>
      <c r="N718" s="107" t="str">
        <f>VLOOKUP($K718,LUTs!$E$2:$H$14,4,)</f>
        <v>01North Puget Sound</v>
      </c>
      <c r="O718" s="107">
        <v>102.180761406568</v>
      </c>
      <c r="P718" s="107">
        <v>174.48276531969799</v>
      </c>
      <c r="Q718" s="107">
        <f t="shared" si="67"/>
        <v>102.180761406568</v>
      </c>
      <c r="R718" s="107">
        <f t="shared" si="68"/>
        <v>174.48276531969799</v>
      </c>
      <c r="S718" s="140" t="str">
        <f t="shared" si="69"/>
        <v>N</v>
      </c>
      <c r="T718" s="154">
        <f t="shared" si="70"/>
        <v>1.7075892067925278</v>
      </c>
      <c r="U718" s="154">
        <f t="shared" si="71"/>
        <v>1.7075892067925278</v>
      </c>
    </row>
    <row r="719" spans="1:21" x14ac:dyDescent="0.35">
      <c r="A719" s="107">
        <v>428</v>
      </c>
      <c r="B719" s="107">
        <v>2020</v>
      </c>
      <c r="C719" s="107" t="s">
        <v>9</v>
      </c>
      <c r="D719" s="107" t="s">
        <v>132</v>
      </c>
      <c r="E719" s="107" t="s">
        <v>10</v>
      </c>
      <c r="F719" s="115">
        <v>10</v>
      </c>
      <c r="G719" s="107" t="s">
        <v>34</v>
      </c>
      <c r="H719" s="107" t="str">
        <f t="shared" si="66"/>
        <v>Area 10: N Puget Sound</v>
      </c>
      <c r="I719" s="107" t="str">
        <f>IFERROR(VLOOKUP(H719,LUTs!$A$1:$C$73,2,FALSE),"NA")</f>
        <v>NA</v>
      </c>
      <c r="J719" s="107" t="str">
        <f>IFERROR(VLOOKUP(H719,LUTs!$A$1:$C$73,3,FALSE),"NA")</f>
        <v>3South Puget Sound</v>
      </c>
      <c r="K719" s="107" t="s">
        <v>16</v>
      </c>
      <c r="L719" s="107" t="str">
        <f>VLOOKUP(K719,LUTs!E$2:G$14,3,)</f>
        <v>03Snohomish</v>
      </c>
      <c r="M719" s="107" t="str">
        <f>VLOOKUP($K719,LUTs!$E$2:$H$14,2,)</f>
        <v>North Puget Sound</v>
      </c>
      <c r="N719" s="107" t="str">
        <f>VLOOKUP($K719,LUTs!$E$2:$H$14,4,)</f>
        <v>01North Puget Sound</v>
      </c>
      <c r="O719" s="107">
        <v>9270.5818076140695</v>
      </c>
      <c r="P719" s="107">
        <v>15830.345435368999</v>
      </c>
      <c r="Q719" s="107">
        <f t="shared" si="67"/>
        <v>9270.5818076140695</v>
      </c>
      <c r="R719" s="107">
        <f t="shared" si="68"/>
        <v>15830.345435368999</v>
      </c>
      <c r="S719" s="140" t="str">
        <f t="shared" si="69"/>
        <v>N</v>
      </c>
      <c r="T719" s="154">
        <f t="shared" si="70"/>
        <v>1.7075892067925333</v>
      </c>
      <c r="U719" s="154">
        <f t="shared" si="71"/>
        <v>1.7075892067925333</v>
      </c>
    </row>
    <row r="720" spans="1:21" x14ac:dyDescent="0.35">
      <c r="A720" s="107">
        <v>432</v>
      </c>
      <c r="B720" s="107">
        <v>2020</v>
      </c>
      <c r="C720" s="107" t="s">
        <v>9</v>
      </c>
      <c r="D720" s="107" t="s">
        <v>132</v>
      </c>
      <c r="E720" s="107" t="s">
        <v>10</v>
      </c>
      <c r="F720" s="115">
        <v>10</v>
      </c>
      <c r="G720" s="107" t="s">
        <v>34</v>
      </c>
      <c r="H720" s="107" t="str">
        <f t="shared" si="66"/>
        <v>Area 10: N Puget Sound</v>
      </c>
      <c r="I720" s="107" t="str">
        <f>IFERROR(VLOOKUP(H720,LUTs!$A$1:$C$73,2,FALSE),"NA")</f>
        <v>NA</v>
      </c>
      <c r="J720" s="107" t="str">
        <f>IFERROR(VLOOKUP(H720,LUTs!$A$1:$C$73,3,FALSE),"NA")</f>
        <v>3South Puget Sound</v>
      </c>
      <c r="K720" s="107" t="s">
        <v>21</v>
      </c>
      <c r="L720" s="107" t="str">
        <f>VLOOKUP(K720,LUTs!E$2:G$14,3,)</f>
        <v>08Thurston</v>
      </c>
      <c r="M720" s="107" t="str">
        <f>VLOOKUP($K720,LUTs!$E$2:$H$14,2,)</f>
        <v>South Puget Sound</v>
      </c>
      <c r="N720" s="107" t="str">
        <f>VLOOKUP($K720,LUTs!$E$2:$H$14,4,)</f>
        <v>02South Puget Sound</v>
      </c>
      <c r="O720" s="107">
        <v>157.915722173787</v>
      </c>
      <c r="P720" s="107">
        <v>269.655182766807</v>
      </c>
      <c r="Q720" s="107">
        <f t="shared" si="67"/>
        <v>157.915722173787</v>
      </c>
      <c r="R720" s="107">
        <f t="shared" si="68"/>
        <v>269.655182766807</v>
      </c>
      <c r="S720" s="140" t="str">
        <f t="shared" si="69"/>
        <v>N</v>
      </c>
      <c r="T720" s="154">
        <f t="shared" si="70"/>
        <v>1.7075892067925333</v>
      </c>
      <c r="U720" s="154">
        <f t="shared" si="71"/>
        <v>1.7075892067925333</v>
      </c>
    </row>
    <row r="721" spans="1:21" x14ac:dyDescent="0.35">
      <c r="A721" s="107">
        <v>417</v>
      </c>
      <c r="B721" s="107">
        <v>2020</v>
      </c>
      <c r="C721" s="107" t="s">
        <v>9</v>
      </c>
      <c r="D721" s="107" t="s">
        <v>132</v>
      </c>
      <c r="E721" s="107" t="s">
        <v>10</v>
      </c>
      <c r="F721" s="115">
        <v>10</v>
      </c>
      <c r="G721" s="107" t="s">
        <v>34</v>
      </c>
      <c r="H721" s="107" t="str">
        <f t="shared" si="66"/>
        <v>Area 10: N Puget Sound</v>
      </c>
      <c r="I721" s="107" t="str">
        <f>IFERROR(VLOOKUP(H721,LUTs!$A$1:$C$73,2,FALSE),"NA")</f>
        <v>NA</v>
      </c>
      <c r="J721" s="107" t="str">
        <f>IFERROR(VLOOKUP(H721,LUTs!$A$1:$C$73,3,FALSE),"NA")</f>
        <v>3South Puget Sound</v>
      </c>
      <c r="K721" s="107" t="s">
        <v>13</v>
      </c>
      <c r="L721" s="107" t="str">
        <f>VLOOKUP(K721,LUTs!E$2:G$14,3,)</f>
        <v>01Whatcom</v>
      </c>
      <c r="M721" s="107" t="str">
        <f>VLOOKUP($K721,LUTs!$E$2:$H$14,2,)</f>
        <v>North Puget Sound</v>
      </c>
      <c r="N721" s="107" t="str">
        <f>VLOOKUP($K721,LUTs!$E$2:$H$14,4,)</f>
        <v>01North Puget Sound</v>
      </c>
      <c r="O721" s="107">
        <v>139.33740191804699</v>
      </c>
      <c r="P721" s="107">
        <v>237.93104361777</v>
      </c>
      <c r="Q721" s="107">
        <f t="shared" si="67"/>
        <v>139.33740191804699</v>
      </c>
      <c r="R721" s="107">
        <f t="shared" si="68"/>
        <v>237.93104361777</v>
      </c>
      <c r="S721" s="140" t="str">
        <f t="shared" si="69"/>
        <v>N</v>
      </c>
      <c r="T721" s="154">
        <f t="shared" si="70"/>
        <v>1.7075892067925313</v>
      </c>
      <c r="U721" s="154">
        <f t="shared" si="71"/>
        <v>1.7075892067925313</v>
      </c>
    </row>
    <row r="722" spans="1:21" x14ac:dyDescent="0.35">
      <c r="A722" s="107">
        <v>538</v>
      </c>
      <c r="B722" s="107">
        <v>2021</v>
      </c>
      <c r="C722" s="107" t="s">
        <v>9</v>
      </c>
      <c r="D722" s="107" t="s">
        <v>132</v>
      </c>
      <c r="E722" s="107" t="s">
        <v>10</v>
      </c>
      <c r="F722" s="115">
        <v>10</v>
      </c>
      <c r="G722" s="107" t="s">
        <v>34</v>
      </c>
      <c r="H722" s="107" t="str">
        <f t="shared" si="66"/>
        <v>Area 10: N Puget Sound</v>
      </c>
      <c r="I722" s="107" t="str">
        <f>IFERROR(VLOOKUP(H722,LUTs!$A$1:$C$73,2,FALSE),"NA")</f>
        <v>NA</v>
      </c>
      <c r="J722" s="107" t="str">
        <f>IFERROR(VLOOKUP(H722,LUTs!$A$1:$C$73,3,FALSE),"NA")</f>
        <v>3South Puget Sound</v>
      </c>
      <c r="K722" s="107" t="s">
        <v>24</v>
      </c>
      <c r="L722" s="107" t="str">
        <f>VLOOKUP(K722,LUTs!E$2:G$14,3,)</f>
        <v>11Clallam</v>
      </c>
      <c r="M722" s="107" t="str">
        <f>VLOOKUP($K722,LUTs!$E$2:$H$14,2,)</f>
        <v>Strait of Juan de Fuca</v>
      </c>
      <c r="N722" s="107" t="str">
        <f>VLOOKUP($K722,LUTs!$E$2:$H$14,4,)</f>
        <v>03Strait of Juan de Fuca</v>
      </c>
      <c r="O722" s="107">
        <v>28.6883468834688</v>
      </c>
      <c r="P722" s="107">
        <v>44.614984189468501</v>
      </c>
      <c r="Q722" s="107">
        <f t="shared" si="67"/>
        <v>28.6883468834688</v>
      </c>
      <c r="R722" s="107">
        <f t="shared" si="68"/>
        <v>44.614984189468501</v>
      </c>
      <c r="S722" s="140" t="str">
        <f t="shared" si="69"/>
        <v>N</v>
      </c>
      <c r="T722" s="154">
        <f t="shared" si="70"/>
        <v>1.555160510666342</v>
      </c>
      <c r="U722" s="154">
        <f t="shared" si="71"/>
        <v>1.555160510666342</v>
      </c>
    </row>
    <row r="723" spans="1:21" x14ac:dyDescent="0.35">
      <c r="A723" s="107">
        <v>521</v>
      </c>
      <c r="B723" s="107">
        <v>2021</v>
      </c>
      <c r="C723" s="107" t="s">
        <v>9</v>
      </c>
      <c r="D723" s="107" t="s">
        <v>132</v>
      </c>
      <c r="E723" s="107" t="s">
        <v>10</v>
      </c>
      <c r="F723" s="115">
        <v>10</v>
      </c>
      <c r="G723" s="107" t="s">
        <v>34</v>
      </c>
      <c r="H723" s="107" t="str">
        <f t="shared" si="66"/>
        <v>Area 10: N Puget Sound</v>
      </c>
      <c r="I723" s="107" t="str">
        <f>IFERROR(VLOOKUP(H723,LUTs!$A$1:$C$73,2,FALSE),"NA")</f>
        <v>NA</v>
      </c>
      <c r="J723" s="107" t="str">
        <f>IFERROR(VLOOKUP(H723,LUTs!$A$1:$C$73,3,FALSE),"NA")</f>
        <v>3South Puget Sound</v>
      </c>
      <c r="K723" s="107" t="s">
        <v>17</v>
      </c>
      <c r="L723" s="107" t="str">
        <f>VLOOKUP(K723,LUTs!E$2:G$14,3,)</f>
        <v>04Island</v>
      </c>
      <c r="M723" s="107" t="str">
        <f>VLOOKUP($K723,LUTs!$E$2:$H$14,2,)</f>
        <v>North Puget Sound</v>
      </c>
      <c r="N723" s="107" t="str">
        <f>VLOOKUP($K723,LUTs!$E$2:$H$14,4,)</f>
        <v>01North Puget Sound</v>
      </c>
      <c r="O723" s="107">
        <v>164.95799457994599</v>
      </c>
      <c r="P723" s="107">
        <v>256.53615908944403</v>
      </c>
      <c r="Q723" s="107">
        <f t="shared" si="67"/>
        <v>164.95799457994599</v>
      </c>
      <c r="R723" s="107">
        <f t="shared" si="68"/>
        <v>256.53615908944403</v>
      </c>
      <c r="S723" s="140" t="str">
        <f t="shared" si="69"/>
        <v>N</v>
      </c>
      <c r="T723" s="154">
        <f t="shared" si="70"/>
        <v>1.5551605106663393</v>
      </c>
      <c r="U723" s="154">
        <f t="shared" si="71"/>
        <v>1.5551605106663393</v>
      </c>
    </row>
    <row r="724" spans="1:21" x14ac:dyDescent="0.35">
      <c r="A724" s="107">
        <v>539</v>
      </c>
      <c r="B724" s="107">
        <v>2021</v>
      </c>
      <c r="C724" s="107" t="s">
        <v>9</v>
      </c>
      <c r="D724" s="107" t="s">
        <v>132</v>
      </c>
      <c r="E724" s="107" t="s">
        <v>10</v>
      </c>
      <c r="F724" s="115">
        <v>10</v>
      </c>
      <c r="G724" s="107" t="s">
        <v>34</v>
      </c>
      <c r="H724" s="107" t="str">
        <f t="shared" si="66"/>
        <v>Area 10: N Puget Sound</v>
      </c>
      <c r="I724" s="107" t="str">
        <f>IFERROR(VLOOKUP(H724,LUTs!$A$1:$C$73,2,FALSE),"NA")</f>
        <v>NA</v>
      </c>
      <c r="J724" s="107" t="str">
        <f>IFERROR(VLOOKUP(H724,LUTs!$A$1:$C$73,3,FALSE),"NA")</f>
        <v>3South Puget Sound</v>
      </c>
      <c r="K724" s="107" t="s">
        <v>25</v>
      </c>
      <c r="L724" s="107" t="str">
        <f>VLOOKUP(K724,LUTs!E$2:G$14,3,)</f>
        <v>12Jefferson</v>
      </c>
      <c r="M724" s="107" t="str">
        <f>VLOOKUP($K724,LUTs!$E$2:$H$14,2,)</f>
        <v>Strait of Juan de Fuca</v>
      </c>
      <c r="N724" s="107" t="str">
        <f>VLOOKUP($K724,LUTs!$E$2:$H$14,4,)</f>
        <v>03Strait of Juan de Fuca</v>
      </c>
      <c r="O724" s="107">
        <v>114.753387533875</v>
      </c>
      <c r="P724" s="107">
        <v>178.459936757874</v>
      </c>
      <c r="Q724" s="107">
        <f t="shared" si="67"/>
        <v>114.753387533875</v>
      </c>
      <c r="R724" s="107">
        <f t="shared" si="68"/>
        <v>178.459936757874</v>
      </c>
      <c r="S724" s="140" t="str">
        <f t="shared" si="69"/>
        <v>N</v>
      </c>
      <c r="T724" s="154">
        <f t="shared" si="70"/>
        <v>1.5551605106663449</v>
      </c>
      <c r="U724" s="154">
        <f t="shared" si="71"/>
        <v>1.5551605106663449</v>
      </c>
    </row>
    <row r="725" spans="1:21" x14ac:dyDescent="0.35">
      <c r="A725" s="107">
        <v>523</v>
      </c>
      <c r="B725" s="107">
        <v>2021</v>
      </c>
      <c r="C725" s="107" t="s">
        <v>9</v>
      </c>
      <c r="D725" s="107" t="s">
        <v>132</v>
      </c>
      <c r="E725" s="107" t="s">
        <v>10</v>
      </c>
      <c r="F725" s="115">
        <v>10</v>
      </c>
      <c r="G725" s="107" t="s">
        <v>34</v>
      </c>
      <c r="H725" s="107" t="str">
        <f t="shared" si="66"/>
        <v>Area 10: N Puget Sound</v>
      </c>
      <c r="I725" s="107" t="str">
        <f>IFERROR(VLOOKUP(H725,LUTs!$A$1:$C$73,2,FALSE),"NA")</f>
        <v>NA</v>
      </c>
      <c r="J725" s="107" t="str">
        <f>IFERROR(VLOOKUP(H725,LUTs!$A$1:$C$73,3,FALSE),"NA")</f>
        <v>3South Puget Sound</v>
      </c>
      <c r="K725" s="107" t="s">
        <v>18</v>
      </c>
      <c r="L725" s="107" t="str">
        <f>VLOOKUP(K725,LUTs!E$2:G$14,3,)</f>
        <v>06King</v>
      </c>
      <c r="M725" s="107" t="str">
        <f>VLOOKUP($K725,LUTs!$E$2:$H$14,2,)</f>
        <v>South Puget Sound</v>
      </c>
      <c r="N725" s="107" t="str">
        <f>VLOOKUP($K725,LUTs!$E$2:$H$14,4,)</f>
        <v>02South Puget Sound</v>
      </c>
      <c r="O725" s="107">
        <v>18790.867208672102</v>
      </c>
      <c r="P725" s="107">
        <v>29222.814644101902</v>
      </c>
      <c r="Q725" s="107">
        <f t="shared" si="67"/>
        <v>18790.867208672102</v>
      </c>
      <c r="R725" s="107">
        <f t="shared" si="68"/>
        <v>29222.814644101902</v>
      </c>
      <c r="S725" s="140" t="str">
        <f t="shared" si="69"/>
        <v>N</v>
      </c>
      <c r="T725" s="154">
        <f t="shared" si="70"/>
        <v>1.5551605106663406</v>
      </c>
      <c r="U725" s="154">
        <f t="shared" si="71"/>
        <v>1.5551605106663406</v>
      </c>
    </row>
    <row r="726" spans="1:21" x14ac:dyDescent="0.35">
      <c r="A726" s="107">
        <v>537</v>
      </c>
      <c r="B726" s="107">
        <v>2021</v>
      </c>
      <c r="C726" s="107" t="s">
        <v>9</v>
      </c>
      <c r="D726" s="107" t="s">
        <v>132</v>
      </c>
      <c r="E726" s="107" t="s">
        <v>10</v>
      </c>
      <c r="F726" s="115">
        <v>10</v>
      </c>
      <c r="G726" s="107" t="s">
        <v>34</v>
      </c>
      <c r="H726" s="107" t="str">
        <f t="shared" si="66"/>
        <v>Area 10: N Puget Sound</v>
      </c>
      <c r="I726" s="107" t="str">
        <f>IFERROR(VLOOKUP(H726,LUTs!$A$1:$C$73,2,FALSE),"NA")</f>
        <v>NA</v>
      </c>
      <c r="J726" s="107" t="str">
        <f>IFERROR(VLOOKUP(H726,LUTs!$A$1:$C$73,3,FALSE),"NA")</f>
        <v>3South Puget Sound</v>
      </c>
      <c r="K726" s="107" t="s">
        <v>23</v>
      </c>
      <c r="L726" s="107" t="str">
        <f>VLOOKUP(K726,LUTs!E$2:G$14,3,)</f>
        <v>10Kitsap</v>
      </c>
      <c r="M726" s="107" t="str">
        <f>VLOOKUP($K726,LUTs!$E$2:$H$14,2,)</f>
        <v>South Puget Sound</v>
      </c>
      <c r="N726" s="107" t="str">
        <f>VLOOKUP($K726,LUTs!$E$2:$H$14,4,)</f>
        <v>02South Puget Sound</v>
      </c>
      <c r="O726" s="107">
        <v>4475.3821138211397</v>
      </c>
      <c r="P726" s="107">
        <v>6959.9375335570903</v>
      </c>
      <c r="Q726" s="107">
        <f t="shared" si="67"/>
        <v>4475.3821138211397</v>
      </c>
      <c r="R726" s="107">
        <f t="shared" si="68"/>
        <v>6959.9375335570903</v>
      </c>
      <c r="S726" s="140" t="str">
        <f t="shared" si="69"/>
        <v>N</v>
      </c>
      <c r="T726" s="154">
        <f t="shared" si="70"/>
        <v>1.5551605106663406</v>
      </c>
      <c r="U726" s="154">
        <f t="shared" si="71"/>
        <v>1.5551605106663406</v>
      </c>
    </row>
    <row r="727" spans="1:21" x14ac:dyDescent="0.35">
      <c r="A727" s="107">
        <v>536</v>
      </c>
      <c r="B727" s="107">
        <v>2021</v>
      </c>
      <c r="C727" s="107" t="s">
        <v>9</v>
      </c>
      <c r="D727" s="107" t="s">
        <v>132</v>
      </c>
      <c r="E727" s="107" t="s">
        <v>10</v>
      </c>
      <c r="F727" s="115">
        <v>10</v>
      </c>
      <c r="G727" s="107" t="s">
        <v>34</v>
      </c>
      <c r="H727" s="107" t="str">
        <f t="shared" si="66"/>
        <v>Area 10: N Puget Sound</v>
      </c>
      <c r="I727" s="107" t="str">
        <f>IFERROR(VLOOKUP(H727,LUTs!$A$1:$C$73,2,FALSE),"NA")</f>
        <v>NA</v>
      </c>
      <c r="J727" s="107" t="str">
        <f>IFERROR(VLOOKUP(H727,LUTs!$A$1:$C$73,3,FALSE),"NA")</f>
        <v>3South Puget Sound</v>
      </c>
      <c r="K727" s="107" t="s">
        <v>22</v>
      </c>
      <c r="L727" s="107" t="str">
        <f>VLOOKUP(K727,LUTs!E$2:G$14,3,)</f>
        <v>09Mason</v>
      </c>
      <c r="M727" s="107" t="str">
        <f>VLOOKUP($K727,LUTs!$E$2:$H$14,2,)</f>
        <v>South Puget Sound</v>
      </c>
      <c r="N727" s="107" t="str">
        <f>VLOOKUP($K727,LUTs!$E$2:$H$14,4,)</f>
        <v>02South Puget Sound</v>
      </c>
      <c r="O727" s="107">
        <v>157.785907859079</v>
      </c>
      <c r="P727" s="107">
        <v>245.38241304207699</v>
      </c>
      <c r="Q727" s="107">
        <f t="shared" si="67"/>
        <v>157.785907859079</v>
      </c>
      <c r="R727" s="107">
        <f t="shared" si="68"/>
        <v>245.38241304207699</v>
      </c>
      <c r="S727" s="140" t="str">
        <f t="shared" si="69"/>
        <v>N</v>
      </c>
      <c r="T727" s="154">
        <f t="shared" si="70"/>
        <v>1.5551605106663375</v>
      </c>
      <c r="U727" s="154">
        <f t="shared" si="71"/>
        <v>1.5551605106663375</v>
      </c>
    </row>
    <row r="728" spans="1:21" x14ac:dyDescent="0.35">
      <c r="A728" s="107">
        <v>540</v>
      </c>
      <c r="B728" s="107">
        <v>2021</v>
      </c>
      <c r="C728" s="107" t="s">
        <v>9</v>
      </c>
      <c r="D728" s="107" t="s">
        <v>132</v>
      </c>
      <c r="E728" s="107" t="s">
        <v>10</v>
      </c>
      <c r="F728" s="115">
        <v>10</v>
      </c>
      <c r="G728" s="107" t="s">
        <v>34</v>
      </c>
      <c r="H728" s="107" t="str">
        <f t="shared" si="66"/>
        <v>Area 10: N Puget Sound</v>
      </c>
      <c r="I728" s="107" t="str">
        <f>IFERROR(VLOOKUP(H728,LUTs!$A$1:$C$73,2,FALSE),"NA")</f>
        <v>NA</v>
      </c>
      <c r="J728" s="107" t="str">
        <f>IFERROR(VLOOKUP(H728,LUTs!$A$1:$C$73,3,FALSE),"NA")</f>
        <v>3South Puget Sound</v>
      </c>
      <c r="K728" s="107" t="s">
        <v>26</v>
      </c>
      <c r="L728" s="107" t="str">
        <f>VLOOKUP(K728,LUTs!E$2:G$14,3,)</f>
        <v>20Other</v>
      </c>
      <c r="M728" s="107" t="str">
        <f>VLOOKUP($K728,LUTs!$E$2:$H$14,2,)</f>
        <v>Non Puget Sound</v>
      </c>
      <c r="N728" s="107" t="str">
        <f>VLOOKUP($K728,LUTs!$E$2:$H$14,4,)</f>
        <v>07Non Puget Sound</v>
      </c>
      <c r="O728" s="107">
        <v>4253.0474254742603</v>
      </c>
      <c r="P728" s="107">
        <v>6614.1714060886998</v>
      </c>
      <c r="Q728" s="107">
        <f t="shared" si="67"/>
        <v>4253.0474254742603</v>
      </c>
      <c r="R728" s="107">
        <f t="shared" si="68"/>
        <v>6614.1714060886998</v>
      </c>
      <c r="S728" s="140" t="str">
        <f t="shared" si="69"/>
        <v>N</v>
      </c>
      <c r="T728" s="154">
        <f t="shared" si="70"/>
        <v>1.5551605106663369</v>
      </c>
      <c r="U728" s="154">
        <f t="shared" si="71"/>
        <v>1.5551605106663369</v>
      </c>
    </row>
    <row r="729" spans="1:21" x14ac:dyDescent="0.35">
      <c r="A729" s="107">
        <v>524</v>
      </c>
      <c r="B729" s="107">
        <v>2021</v>
      </c>
      <c r="C729" s="107" t="s">
        <v>9</v>
      </c>
      <c r="D729" s="107" t="s">
        <v>132</v>
      </c>
      <c r="E729" s="107" t="s">
        <v>10</v>
      </c>
      <c r="F729" s="115">
        <v>10</v>
      </c>
      <c r="G729" s="107" t="s">
        <v>34</v>
      </c>
      <c r="H729" s="107" t="str">
        <f t="shared" si="66"/>
        <v>Area 10: N Puget Sound</v>
      </c>
      <c r="I729" s="107" t="str">
        <f>IFERROR(VLOOKUP(H729,LUTs!$A$1:$C$73,2,FALSE),"NA")</f>
        <v>NA</v>
      </c>
      <c r="J729" s="107" t="str">
        <f>IFERROR(VLOOKUP(H729,LUTs!$A$1:$C$73,3,FALSE),"NA")</f>
        <v>3South Puget Sound</v>
      </c>
      <c r="K729" s="107" t="s">
        <v>20</v>
      </c>
      <c r="L729" s="107" t="str">
        <f>VLOOKUP(K729,LUTs!E$2:G$14,3,)</f>
        <v>07Pierce</v>
      </c>
      <c r="M729" s="107" t="str">
        <f>VLOOKUP($K729,LUTs!$E$2:$H$14,2,)</f>
        <v>South Puget Sound</v>
      </c>
      <c r="N729" s="107" t="str">
        <f>VLOOKUP($K729,LUTs!$E$2:$H$14,4,)</f>
        <v>02South Puget Sound</v>
      </c>
      <c r="O729" s="107">
        <v>1140.3617886178899</v>
      </c>
      <c r="P729" s="107">
        <v>1773.4456215313701</v>
      </c>
      <c r="Q729" s="107">
        <f t="shared" si="67"/>
        <v>1140.3617886178899</v>
      </c>
      <c r="R729" s="107">
        <f t="shared" si="68"/>
        <v>1773.4456215313701</v>
      </c>
      <c r="S729" s="140" t="str">
        <f t="shared" si="69"/>
        <v>N</v>
      </c>
      <c r="T729" s="154">
        <f t="shared" si="70"/>
        <v>1.5551605106663324</v>
      </c>
      <c r="U729" s="154">
        <f t="shared" si="71"/>
        <v>1.5551605106663324</v>
      </c>
    </row>
    <row r="730" spans="1:21" x14ac:dyDescent="0.35">
      <c r="A730" s="107">
        <v>522</v>
      </c>
      <c r="B730" s="107">
        <v>2021</v>
      </c>
      <c r="C730" s="107" t="s">
        <v>9</v>
      </c>
      <c r="D730" s="107" t="s">
        <v>132</v>
      </c>
      <c r="E730" s="107" t="s">
        <v>10</v>
      </c>
      <c r="F730" s="115">
        <v>10</v>
      </c>
      <c r="G730" s="107" t="s">
        <v>34</v>
      </c>
      <c r="H730" s="107" t="str">
        <f t="shared" si="66"/>
        <v>Area 10: N Puget Sound</v>
      </c>
      <c r="I730" s="107" t="str">
        <f>IFERROR(VLOOKUP(H730,LUTs!$A$1:$C$73,2,FALSE),"NA")</f>
        <v>NA</v>
      </c>
      <c r="J730" s="107" t="str">
        <f>IFERROR(VLOOKUP(H730,LUTs!$A$1:$C$73,3,FALSE),"NA")</f>
        <v>3South Puget Sound</v>
      </c>
      <c r="K730" s="107" t="s">
        <v>30</v>
      </c>
      <c r="L730" s="107" t="str">
        <f>VLOOKUP(K730,LUTs!E$2:G$14,3,)</f>
        <v>05San Juan</v>
      </c>
      <c r="M730" s="107" t="str">
        <f>VLOOKUP($K730,LUTs!$E$2:$H$14,2,)</f>
        <v>North Puget Sound</v>
      </c>
      <c r="N730" s="107" t="str">
        <f>VLOOKUP($K730,LUTs!$E$2:$H$14,4,)</f>
        <v>01North Puget Sound</v>
      </c>
      <c r="O730" s="107">
        <v>50.2046070460705</v>
      </c>
      <c r="P730" s="107">
        <v>78.076222331569895</v>
      </c>
      <c r="Q730" s="107">
        <f t="shared" si="67"/>
        <v>50.2046070460705</v>
      </c>
      <c r="R730" s="107">
        <f t="shared" si="68"/>
        <v>78.076222331569895</v>
      </c>
      <c r="S730" s="140" t="str">
        <f t="shared" si="69"/>
        <v>N</v>
      </c>
      <c r="T730" s="154">
        <f t="shared" si="70"/>
        <v>1.5551605106663393</v>
      </c>
      <c r="U730" s="154">
        <f t="shared" si="71"/>
        <v>1.5551605106663393</v>
      </c>
    </row>
    <row r="731" spans="1:21" x14ac:dyDescent="0.35">
      <c r="A731" s="107">
        <v>519</v>
      </c>
      <c r="B731" s="107">
        <v>2021</v>
      </c>
      <c r="C731" s="107" t="s">
        <v>9</v>
      </c>
      <c r="D731" s="107" t="s">
        <v>132</v>
      </c>
      <c r="E731" s="107" t="s">
        <v>10</v>
      </c>
      <c r="F731" s="115">
        <v>10</v>
      </c>
      <c r="G731" s="107" t="s">
        <v>34</v>
      </c>
      <c r="H731" s="107" t="str">
        <f t="shared" si="66"/>
        <v>Area 10: N Puget Sound</v>
      </c>
      <c r="I731" s="107" t="str">
        <f>IFERROR(VLOOKUP(H731,LUTs!$A$1:$C$73,2,FALSE),"NA")</f>
        <v>NA</v>
      </c>
      <c r="J731" s="107" t="str">
        <f>IFERROR(VLOOKUP(H731,LUTs!$A$1:$C$73,3,FALSE),"NA")</f>
        <v>3South Puget Sound</v>
      </c>
      <c r="K731" s="107" t="s">
        <v>15</v>
      </c>
      <c r="L731" s="107" t="str">
        <f>VLOOKUP(K731,LUTs!E$2:G$14,3,)</f>
        <v>02Skagit</v>
      </c>
      <c r="M731" s="107" t="str">
        <f>VLOOKUP($K731,LUTs!$E$2:$H$14,2,)</f>
        <v>North Puget Sound</v>
      </c>
      <c r="N731" s="107" t="str">
        <f>VLOOKUP($K731,LUTs!$E$2:$H$14,4,)</f>
        <v>01North Puget Sound</v>
      </c>
      <c r="O731" s="107">
        <v>100.409214092141</v>
      </c>
      <c r="P731" s="107">
        <v>156.15244466313999</v>
      </c>
      <c r="Q731" s="107">
        <f t="shared" si="67"/>
        <v>100.409214092141</v>
      </c>
      <c r="R731" s="107">
        <f t="shared" si="68"/>
        <v>156.15244466313999</v>
      </c>
      <c r="S731" s="140" t="str">
        <f t="shared" si="69"/>
        <v>N</v>
      </c>
      <c r="T731" s="154">
        <f t="shared" si="70"/>
        <v>1.5551605106663413</v>
      </c>
      <c r="U731" s="154">
        <f t="shared" si="71"/>
        <v>1.5551605106663413</v>
      </c>
    </row>
    <row r="732" spans="1:21" x14ac:dyDescent="0.35">
      <c r="A732" s="107">
        <v>520</v>
      </c>
      <c r="B732" s="107">
        <v>2021</v>
      </c>
      <c r="C732" s="107" t="s">
        <v>9</v>
      </c>
      <c r="D732" s="107" t="s">
        <v>132</v>
      </c>
      <c r="E732" s="107" t="s">
        <v>10</v>
      </c>
      <c r="F732" s="115">
        <v>10</v>
      </c>
      <c r="G732" s="107" t="s">
        <v>34</v>
      </c>
      <c r="H732" s="107" t="str">
        <f t="shared" si="66"/>
        <v>Area 10: N Puget Sound</v>
      </c>
      <c r="I732" s="107" t="str">
        <f>IFERROR(VLOOKUP(H732,LUTs!$A$1:$C$73,2,FALSE),"NA")</f>
        <v>NA</v>
      </c>
      <c r="J732" s="107" t="str">
        <f>IFERROR(VLOOKUP(H732,LUTs!$A$1:$C$73,3,FALSE),"NA")</f>
        <v>3South Puget Sound</v>
      </c>
      <c r="K732" s="107" t="s">
        <v>16</v>
      </c>
      <c r="L732" s="107" t="str">
        <f>VLOOKUP(K732,LUTs!E$2:G$14,3,)</f>
        <v>03Snohomish</v>
      </c>
      <c r="M732" s="107" t="str">
        <f>VLOOKUP($K732,LUTs!$E$2:$H$14,2,)</f>
        <v>North Puget Sound</v>
      </c>
      <c r="N732" s="107" t="str">
        <f>VLOOKUP($K732,LUTs!$E$2:$H$14,4,)</f>
        <v>01North Puget Sound</v>
      </c>
      <c r="O732" s="107">
        <v>7530.6910569105703</v>
      </c>
      <c r="P732" s="107">
        <v>11711.4333497355</v>
      </c>
      <c r="Q732" s="107">
        <f t="shared" si="67"/>
        <v>7530.6910569105703</v>
      </c>
      <c r="R732" s="107">
        <f t="shared" si="68"/>
        <v>11711.4333497355</v>
      </c>
      <c r="S732" s="140" t="str">
        <f t="shared" si="69"/>
        <v>N</v>
      </c>
      <c r="T732" s="154">
        <f t="shared" si="70"/>
        <v>1.5551605106663424</v>
      </c>
      <c r="U732" s="154">
        <f t="shared" si="71"/>
        <v>1.5551605106663424</v>
      </c>
    </row>
    <row r="733" spans="1:21" x14ac:dyDescent="0.35">
      <c r="A733" s="107">
        <v>525</v>
      </c>
      <c r="B733" s="107">
        <v>2021</v>
      </c>
      <c r="C733" s="107" t="s">
        <v>9</v>
      </c>
      <c r="D733" s="107" t="s">
        <v>132</v>
      </c>
      <c r="E733" s="107" t="s">
        <v>10</v>
      </c>
      <c r="F733" s="115">
        <v>10</v>
      </c>
      <c r="G733" s="107" t="s">
        <v>34</v>
      </c>
      <c r="H733" s="107" t="str">
        <f t="shared" si="66"/>
        <v>Area 10: N Puget Sound</v>
      </c>
      <c r="I733" s="107" t="str">
        <f>IFERROR(VLOOKUP(H733,LUTs!$A$1:$C$73,2,FALSE),"NA")</f>
        <v>NA</v>
      </c>
      <c r="J733" s="107" t="str">
        <f>IFERROR(VLOOKUP(H733,LUTs!$A$1:$C$73,3,FALSE),"NA")</f>
        <v>3South Puget Sound</v>
      </c>
      <c r="K733" s="107" t="s">
        <v>21</v>
      </c>
      <c r="L733" s="107" t="str">
        <f>VLOOKUP(K733,LUTs!E$2:G$14,3,)</f>
        <v>08Thurston</v>
      </c>
      <c r="M733" s="107" t="str">
        <f>VLOOKUP($K733,LUTs!$E$2:$H$14,2,)</f>
        <v>South Puget Sound</v>
      </c>
      <c r="N733" s="107" t="str">
        <f>VLOOKUP($K733,LUTs!$E$2:$H$14,4,)</f>
        <v>02South Puget Sound</v>
      </c>
      <c r="O733" s="107">
        <v>136.26964769647699</v>
      </c>
      <c r="P733" s="107">
        <v>211.921174899975</v>
      </c>
      <c r="Q733" s="107">
        <f t="shared" si="67"/>
        <v>136.26964769647699</v>
      </c>
      <c r="R733" s="107">
        <f t="shared" si="68"/>
        <v>211.921174899975</v>
      </c>
      <c r="S733" s="140" t="str">
        <f t="shared" si="69"/>
        <v>N</v>
      </c>
      <c r="T733" s="154">
        <f t="shared" si="70"/>
        <v>1.5551605106663371</v>
      </c>
      <c r="U733" s="154">
        <f t="shared" si="71"/>
        <v>1.5551605106663371</v>
      </c>
    </row>
    <row r="734" spans="1:21" x14ac:dyDescent="0.35">
      <c r="A734" s="107">
        <v>518</v>
      </c>
      <c r="B734" s="107">
        <v>2021</v>
      </c>
      <c r="C734" s="107" t="s">
        <v>9</v>
      </c>
      <c r="D734" s="107" t="s">
        <v>132</v>
      </c>
      <c r="E734" s="107" t="s">
        <v>10</v>
      </c>
      <c r="F734" s="115">
        <v>10</v>
      </c>
      <c r="G734" s="107" t="s">
        <v>34</v>
      </c>
      <c r="H734" s="107" t="str">
        <f t="shared" si="66"/>
        <v>Area 10: N Puget Sound</v>
      </c>
      <c r="I734" s="107" t="str">
        <f>IFERROR(VLOOKUP(H734,LUTs!$A$1:$C$73,2,FALSE),"NA")</f>
        <v>NA</v>
      </c>
      <c r="J734" s="107" t="str">
        <f>IFERROR(VLOOKUP(H734,LUTs!$A$1:$C$73,3,FALSE),"NA")</f>
        <v>3South Puget Sound</v>
      </c>
      <c r="K734" s="107" t="s">
        <v>13</v>
      </c>
      <c r="L734" s="107" t="str">
        <f>VLOOKUP(K734,LUTs!E$2:G$14,3,)</f>
        <v>01Whatcom</v>
      </c>
      <c r="M734" s="107" t="str">
        <f>VLOOKUP($K734,LUTs!$E$2:$H$14,2,)</f>
        <v>North Puget Sound</v>
      </c>
      <c r="N734" s="107" t="str">
        <f>VLOOKUP($K734,LUTs!$E$2:$H$14,4,)</f>
        <v>01North Puget Sound</v>
      </c>
      <c r="O734" s="107">
        <v>107.581300813008</v>
      </c>
      <c r="P734" s="107">
        <v>167.306190710507</v>
      </c>
      <c r="Q734" s="107">
        <f t="shared" si="67"/>
        <v>107.581300813008</v>
      </c>
      <c r="R734" s="107">
        <f t="shared" si="68"/>
        <v>167.306190710507</v>
      </c>
      <c r="S734" s="140" t="str">
        <f t="shared" si="69"/>
        <v>N</v>
      </c>
      <c r="T734" s="154">
        <f t="shared" si="70"/>
        <v>1.5551605106663431</v>
      </c>
      <c r="U734" s="154">
        <f t="shared" si="71"/>
        <v>1.5551605106663431</v>
      </c>
    </row>
    <row r="735" spans="1:21" x14ac:dyDescent="0.35">
      <c r="A735" s="107">
        <v>803</v>
      </c>
      <c r="B735" s="107">
        <v>2010</v>
      </c>
      <c r="C735" s="107" t="s">
        <v>9</v>
      </c>
      <c r="D735" s="107" t="s">
        <v>132</v>
      </c>
      <c r="E735" s="107" t="s">
        <v>10</v>
      </c>
      <c r="F735" s="115">
        <v>11</v>
      </c>
      <c r="G735" s="107" t="s">
        <v>35</v>
      </c>
      <c r="H735" s="107" t="str">
        <f t="shared" si="66"/>
        <v>Area 11: Mid-Puget Sound</v>
      </c>
      <c r="I735" s="107" t="str">
        <f>IFERROR(VLOOKUP(H735,LUTs!$A$1:$C$73,2,FALSE),"NA")</f>
        <v>NA</v>
      </c>
      <c r="J735" s="107" t="str">
        <f>IFERROR(VLOOKUP(H735,LUTs!$A$1:$C$73,3,FALSE),"NA")</f>
        <v>3South Puget Sound</v>
      </c>
      <c r="K735" s="107" t="s">
        <v>24</v>
      </c>
      <c r="L735" s="107" t="str">
        <f>VLOOKUP(K735,LUTs!E$2:G$14,3,)</f>
        <v>11Clallam</v>
      </c>
      <c r="M735" s="107" t="str">
        <f>VLOOKUP($K735,LUTs!$E$2:$H$14,2,)</f>
        <v>Strait of Juan de Fuca</v>
      </c>
      <c r="N735" s="107" t="str">
        <f>VLOOKUP($K735,LUTs!$E$2:$H$14,4,)</f>
        <v>03Strait of Juan de Fuca</v>
      </c>
      <c r="O735" s="107">
        <v>12.699082568807301</v>
      </c>
      <c r="P735" s="107">
        <v>159.033055045872</v>
      </c>
      <c r="Q735" s="107">
        <f t="shared" si="67"/>
        <v>12.699082568807301</v>
      </c>
      <c r="R735" s="107">
        <f t="shared" si="68"/>
        <v>159.033055045872</v>
      </c>
      <c r="S735" s="140" t="str">
        <f t="shared" si="69"/>
        <v>Y</v>
      </c>
      <c r="T735" s="154">
        <f t="shared" si="70"/>
        <v>12.523192457737395</v>
      </c>
      <c r="U735" s="154">
        <f t="shared" si="71"/>
        <v>12.523192457737395</v>
      </c>
    </row>
    <row r="736" spans="1:21" x14ac:dyDescent="0.35">
      <c r="A736" s="107">
        <v>798</v>
      </c>
      <c r="B736" s="107">
        <v>2010</v>
      </c>
      <c r="C736" s="107" t="s">
        <v>9</v>
      </c>
      <c r="D736" s="107" t="s">
        <v>132</v>
      </c>
      <c r="E736" s="107" t="s">
        <v>10</v>
      </c>
      <c r="F736" s="115">
        <v>11</v>
      </c>
      <c r="G736" s="107" t="s">
        <v>35</v>
      </c>
      <c r="H736" s="107" t="str">
        <f t="shared" si="66"/>
        <v>Area 11: Mid-Puget Sound</v>
      </c>
      <c r="I736" s="107" t="str">
        <f>IFERROR(VLOOKUP(H736,LUTs!$A$1:$C$73,2,FALSE),"NA")</f>
        <v>NA</v>
      </c>
      <c r="J736" s="107" t="str">
        <f>IFERROR(VLOOKUP(H736,LUTs!$A$1:$C$73,3,FALSE),"NA")</f>
        <v>3South Puget Sound</v>
      </c>
      <c r="K736" s="107" t="s">
        <v>18</v>
      </c>
      <c r="L736" s="107" t="str">
        <f>VLOOKUP(K736,LUTs!E$2:G$14,3,)</f>
        <v>06King</v>
      </c>
      <c r="M736" s="107" t="str">
        <f>VLOOKUP($K736,LUTs!$E$2:$H$14,2,)</f>
        <v>South Puget Sound</v>
      </c>
      <c r="N736" s="107" t="str">
        <f>VLOOKUP($K736,LUTs!$E$2:$H$14,4,)</f>
        <v>02South Puget Sound</v>
      </c>
      <c r="O736" s="107">
        <v>1460.3944954128399</v>
      </c>
      <c r="P736" s="107">
        <v>18288.801330275201</v>
      </c>
      <c r="Q736" s="107">
        <f t="shared" si="67"/>
        <v>1460.3944954128399</v>
      </c>
      <c r="R736" s="107">
        <f t="shared" si="68"/>
        <v>18288.801330275201</v>
      </c>
      <c r="S736" s="140" t="str">
        <f t="shared" si="69"/>
        <v>Y</v>
      </c>
      <c r="T736" s="154">
        <f t="shared" si="70"/>
        <v>12.523192457737338</v>
      </c>
      <c r="U736" s="154">
        <f t="shared" si="71"/>
        <v>12.523192457737338</v>
      </c>
    </row>
    <row r="737" spans="1:21" x14ac:dyDescent="0.35">
      <c r="A737" s="107">
        <v>802</v>
      </c>
      <c r="B737" s="107">
        <v>2010</v>
      </c>
      <c r="C737" s="107" t="s">
        <v>9</v>
      </c>
      <c r="D737" s="107" t="s">
        <v>132</v>
      </c>
      <c r="E737" s="107" t="s">
        <v>10</v>
      </c>
      <c r="F737" s="115">
        <v>11</v>
      </c>
      <c r="G737" s="107" t="s">
        <v>35</v>
      </c>
      <c r="H737" s="107" t="str">
        <f t="shared" si="66"/>
        <v>Area 11: Mid-Puget Sound</v>
      </c>
      <c r="I737" s="107" t="str">
        <f>IFERROR(VLOOKUP(H737,LUTs!$A$1:$C$73,2,FALSE),"NA")</f>
        <v>NA</v>
      </c>
      <c r="J737" s="107" t="str">
        <f>IFERROR(VLOOKUP(H737,LUTs!$A$1:$C$73,3,FALSE),"NA")</f>
        <v>3South Puget Sound</v>
      </c>
      <c r="K737" s="107" t="s">
        <v>23</v>
      </c>
      <c r="L737" s="107" t="str">
        <f>VLOOKUP(K737,LUTs!E$2:G$14,3,)</f>
        <v>10Kitsap</v>
      </c>
      <c r="M737" s="107" t="str">
        <f>VLOOKUP($K737,LUTs!$E$2:$H$14,2,)</f>
        <v>South Puget Sound</v>
      </c>
      <c r="N737" s="107" t="str">
        <f>VLOOKUP($K737,LUTs!$E$2:$H$14,4,)</f>
        <v>02South Puget Sound</v>
      </c>
      <c r="O737" s="107">
        <v>190.48623853211001</v>
      </c>
      <c r="P737" s="107">
        <v>2385.49582568807</v>
      </c>
      <c r="Q737" s="107">
        <f t="shared" si="67"/>
        <v>190.48623853211001</v>
      </c>
      <c r="R737" s="107">
        <f t="shared" si="68"/>
        <v>2385.49582568807</v>
      </c>
      <c r="S737" s="140" t="str">
        <f t="shared" si="69"/>
        <v>Y</v>
      </c>
      <c r="T737" s="154">
        <f t="shared" si="70"/>
        <v>12.523192457737309</v>
      </c>
      <c r="U737" s="154">
        <f t="shared" si="71"/>
        <v>12.523192457737309</v>
      </c>
    </row>
    <row r="738" spans="1:21" x14ac:dyDescent="0.35">
      <c r="A738" s="107">
        <v>801</v>
      </c>
      <c r="B738" s="107">
        <v>2010</v>
      </c>
      <c r="C738" s="107" t="s">
        <v>9</v>
      </c>
      <c r="D738" s="107" t="s">
        <v>132</v>
      </c>
      <c r="E738" s="107" t="s">
        <v>10</v>
      </c>
      <c r="F738" s="115">
        <v>11</v>
      </c>
      <c r="G738" s="107" t="s">
        <v>35</v>
      </c>
      <c r="H738" s="107" t="str">
        <f t="shared" si="66"/>
        <v>Area 11: Mid-Puget Sound</v>
      </c>
      <c r="I738" s="107" t="str">
        <f>IFERROR(VLOOKUP(H738,LUTs!$A$1:$C$73,2,FALSE),"NA")</f>
        <v>NA</v>
      </c>
      <c r="J738" s="107" t="str">
        <f>IFERROR(VLOOKUP(H738,LUTs!$A$1:$C$73,3,FALSE),"NA")</f>
        <v>3South Puget Sound</v>
      </c>
      <c r="K738" s="107" t="s">
        <v>22</v>
      </c>
      <c r="L738" s="107" t="str">
        <f>VLOOKUP(K738,LUTs!E$2:G$14,3,)</f>
        <v>09Mason</v>
      </c>
      <c r="M738" s="107" t="str">
        <f>VLOOKUP($K738,LUTs!$E$2:$H$14,2,)</f>
        <v>South Puget Sound</v>
      </c>
      <c r="N738" s="107" t="str">
        <f>VLOOKUP($K738,LUTs!$E$2:$H$14,4,)</f>
        <v>02South Puget Sound</v>
      </c>
      <c r="O738" s="107">
        <v>21.165137614678901</v>
      </c>
      <c r="P738" s="107">
        <v>265.05509174311902</v>
      </c>
      <c r="Q738" s="107">
        <f t="shared" si="67"/>
        <v>21.165137614678901</v>
      </c>
      <c r="R738" s="107">
        <f t="shared" si="68"/>
        <v>265.05509174311902</v>
      </c>
      <c r="S738" s="140" t="str">
        <f t="shared" si="69"/>
        <v>Y</v>
      </c>
      <c r="T738" s="154">
        <f t="shared" si="70"/>
        <v>12.523192457737309</v>
      </c>
      <c r="U738" s="154">
        <f t="shared" si="71"/>
        <v>12.523192457737309</v>
      </c>
    </row>
    <row r="739" spans="1:21" x14ac:dyDescent="0.35">
      <c r="A739" s="107">
        <v>804</v>
      </c>
      <c r="B739" s="107">
        <v>2010</v>
      </c>
      <c r="C739" s="107" t="s">
        <v>9</v>
      </c>
      <c r="D739" s="107" t="s">
        <v>132</v>
      </c>
      <c r="E739" s="107" t="s">
        <v>10</v>
      </c>
      <c r="F739" s="115">
        <v>11</v>
      </c>
      <c r="G739" s="107" t="s">
        <v>35</v>
      </c>
      <c r="H739" s="107" t="str">
        <f t="shared" si="66"/>
        <v>Area 11: Mid-Puget Sound</v>
      </c>
      <c r="I739" s="107" t="str">
        <f>IFERROR(VLOOKUP(H739,LUTs!$A$1:$C$73,2,FALSE),"NA")</f>
        <v>NA</v>
      </c>
      <c r="J739" s="107" t="str">
        <f>IFERROR(VLOOKUP(H739,LUTs!$A$1:$C$73,3,FALSE),"NA")</f>
        <v>3South Puget Sound</v>
      </c>
      <c r="K739" s="107" t="s">
        <v>26</v>
      </c>
      <c r="L739" s="107" t="str">
        <f>VLOOKUP(K739,LUTs!E$2:G$14,3,)</f>
        <v>20Other</v>
      </c>
      <c r="M739" s="107" t="str">
        <f>VLOOKUP($K739,LUTs!$E$2:$H$14,2,)</f>
        <v>Non Puget Sound</v>
      </c>
      <c r="N739" s="107" t="str">
        <f>VLOOKUP($K739,LUTs!$E$2:$H$14,4,)</f>
        <v>07Non Puget Sound</v>
      </c>
      <c r="O739" s="107">
        <v>177.78715596330301</v>
      </c>
      <c r="P739" s="107">
        <v>2226.4627706422002</v>
      </c>
      <c r="Q739" s="107">
        <f t="shared" si="67"/>
        <v>177.78715596330301</v>
      </c>
      <c r="R739" s="107">
        <f t="shared" si="68"/>
        <v>2226.4627706422002</v>
      </c>
      <c r="S739" s="140" t="str">
        <f t="shared" si="69"/>
        <v>Y</v>
      </c>
      <c r="T739" s="154">
        <f t="shared" si="70"/>
        <v>12.523192457737293</v>
      </c>
      <c r="U739" s="154">
        <f t="shared" si="71"/>
        <v>12.523192457737293</v>
      </c>
    </row>
    <row r="740" spans="1:21" x14ac:dyDescent="0.35">
      <c r="A740" s="107">
        <v>799</v>
      </c>
      <c r="B740" s="107">
        <v>2010</v>
      </c>
      <c r="C740" s="107" t="s">
        <v>9</v>
      </c>
      <c r="D740" s="107" t="s">
        <v>132</v>
      </c>
      <c r="E740" s="107" t="s">
        <v>10</v>
      </c>
      <c r="F740" s="115">
        <v>11</v>
      </c>
      <c r="G740" s="107" t="s">
        <v>35</v>
      </c>
      <c r="H740" s="107" t="str">
        <f t="shared" si="66"/>
        <v>Area 11: Mid-Puget Sound</v>
      </c>
      <c r="I740" s="107" t="str">
        <f>IFERROR(VLOOKUP(H740,LUTs!$A$1:$C$73,2,FALSE),"NA")</f>
        <v>NA</v>
      </c>
      <c r="J740" s="107" t="str">
        <f>IFERROR(VLOOKUP(H740,LUTs!$A$1:$C$73,3,FALSE),"NA")</f>
        <v>3South Puget Sound</v>
      </c>
      <c r="K740" s="107" t="s">
        <v>20</v>
      </c>
      <c r="L740" s="107" t="str">
        <f>VLOOKUP(K740,LUTs!E$2:G$14,3,)</f>
        <v>07Pierce</v>
      </c>
      <c r="M740" s="107" t="str">
        <f>VLOOKUP($K740,LUTs!$E$2:$H$14,2,)</f>
        <v>South Puget Sound</v>
      </c>
      <c r="N740" s="107" t="str">
        <f>VLOOKUP($K740,LUTs!$E$2:$H$14,4,)</f>
        <v>02South Puget Sound</v>
      </c>
      <c r="O740" s="107">
        <v>2658.3412844036702</v>
      </c>
      <c r="P740" s="107">
        <v>33290.919522935801</v>
      </c>
      <c r="Q740" s="107">
        <f t="shared" si="67"/>
        <v>2658.3412844036702</v>
      </c>
      <c r="R740" s="107">
        <f t="shared" si="68"/>
        <v>33290.919522935801</v>
      </c>
      <c r="S740" s="140" t="str">
        <f t="shared" si="69"/>
        <v>Y</v>
      </c>
      <c r="T740" s="154">
        <f t="shared" si="70"/>
        <v>12.523192457737327</v>
      </c>
      <c r="U740" s="154">
        <f t="shared" si="71"/>
        <v>12.523192457737327</v>
      </c>
    </row>
    <row r="741" spans="1:21" x14ac:dyDescent="0.35">
      <c r="A741" s="107">
        <v>797</v>
      </c>
      <c r="B741" s="107">
        <v>2010</v>
      </c>
      <c r="C741" s="107" t="s">
        <v>9</v>
      </c>
      <c r="D741" s="107" t="s">
        <v>132</v>
      </c>
      <c r="E741" s="107" t="s">
        <v>10</v>
      </c>
      <c r="F741" s="115">
        <v>11</v>
      </c>
      <c r="G741" s="107" t="s">
        <v>35</v>
      </c>
      <c r="H741" s="107" t="str">
        <f t="shared" si="66"/>
        <v>Area 11: Mid-Puget Sound</v>
      </c>
      <c r="I741" s="107" t="str">
        <f>IFERROR(VLOOKUP(H741,LUTs!$A$1:$C$73,2,FALSE),"NA")</f>
        <v>NA</v>
      </c>
      <c r="J741" s="107" t="str">
        <f>IFERROR(VLOOKUP(H741,LUTs!$A$1:$C$73,3,FALSE),"NA")</f>
        <v>3South Puget Sound</v>
      </c>
      <c r="K741" s="107" t="s">
        <v>16</v>
      </c>
      <c r="L741" s="107" t="str">
        <f>VLOOKUP(K741,LUTs!E$2:G$14,3,)</f>
        <v>03Snohomish</v>
      </c>
      <c r="M741" s="107" t="str">
        <f>VLOOKUP($K741,LUTs!$E$2:$H$14,2,)</f>
        <v>North Puget Sound</v>
      </c>
      <c r="N741" s="107" t="str">
        <f>VLOOKUP($K741,LUTs!$E$2:$H$14,4,)</f>
        <v>01North Puget Sound</v>
      </c>
      <c r="O741" s="107">
        <v>29.6311926605505</v>
      </c>
      <c r="P741" s="107">
        <v>371.07712844036701</v>
      </c>
      <c r="Q741" s="107">
        <f t="shared" si="67"/>
        <v>29.6311926605505</v>
      </c>
      <c r="R741" s="107">
        <f t="shared" si="68"/>
        <v>371.07712844036701</v>
      </c>
      <c r="S741" s="140" t="str">
        <f t="shared" si="69"/>
        <v>Y</v>
      </c>
      <c r="T741" s="154">
        <f t="shared" si="70"/>
        <v>12.523192457737306</v>
      </c>
      <c r="U741" s="154">
        <f t="shared" si="71"/>
        <v>12.523192457737306</v>
      </c>
    </row>
    <row r="742" spans="1:21" x14ac:dyDescent="0.35">
      <c r="A742" s="107">
        <v>800</v>
      </c>
      <c r="B742" s="107">
        <v>2010</v>
      </c>
      <c r="C742" s="107" t="s">
        <v>9</v>
      </c>
      <c r="D742" s="107" t="s">
        <v>132</v>
      </c>
      <c r="E742" s="107" t="s">
        <v>10</v>
      </c>
      <c r="F742" s="115">
        <v>11</v>
      </c>
      <c r="G742" s="107" t="s">
        <v>35</v>
      </c>
      <c r="H742" s="107" t="str">
        <f t="shared" si="66"/>
        <v>Area 11: Mid-Puget Sound</v>
      </c>
      <c r="I742" s="107" t="str">
        <f>IFERROR(VLOOKUP(H742,LUTs!$A$1:$C$73,2,FALSE),"NA")</f>
        <v>NA</v>
      </c>
      <c r="J742" s="107" t="str">
        <f>IFERROR(VLOOKUP(H742,LUTs!$A$1:$C$73,3,FALSE),"NA")</f>
        <v>3South Puget Sound</v>
      </c>
      <c r="K742" s="107" t="s">
        <v>21</v>
      </c>
      <c r="L742" s="107" t="str">
        <f>VLOOKUP(K742,LUTs!E$2:G$14,3,)</f>
        <v>08Thurston</v>
      </c>
      <c r="M742" s="107" t="str">
        <f>VLOOKUP($K742,LUTs!$E$2:$H$14,2,)</f>
        <v>South Puget Sound</v>
      </c>
      <c r="N742" s="107" t="str">
        <f>VLOOKUP($K742,LUTs!$E$2:$H$14,4,)</f>
        <v>02South Puget Sound</v>
      </c>
      <c r="O742" s="107">
        <v>63.4954128440367</v>
      </c>
      <c r="P742" s="107">
        <v>795.16527522935803</v>
      </c>
      <c r="Q742" s="107">
        <f t="shared" si="67"/>
        <v>63.4954128440367</v>
      </c>
      <c r="R742" s="107">
        <f t="shared" si="68"/>
        <v>795.16527522935803</v>
      </c>
      <c r="S742" s="140" t="str">
        <f t="shared" si="69"/>
        <v>Y</v>
      </c>
      <c r="T742" s="154">
        <f t="shared" si="70"/>
        <v>12.523192457737323</v>
      </c>
      <c r="U742" s="154">
        <f t="shared" si="71"/>
        <v>12.523192457737323</v>
      </c>
    </row>
    <row r="743" spans="1:21" x14ac:dyDescent="0.35">
      <c r="A743" s="107">
        <v>911</v>
      </c>
      <c r="B743" s="107">
        <v>2011</v>
      </c>
      <c r="C743" s="107" t="s">
        <v>9</v>
      </c>
      <c r="D743" s="107" t="s">
        <v>132</v>
      </c>
      <c r="E743" s="107" t="s">
        <v>10</v>
      </c>
      <c r="F743" s="115">
        <v>11</v>
      </c>
      <c r="G743" s="107" t="s">
        <v>35</v>
      </c>
      <c r="H743" s="107" t="str">
        <f t="shared" si="66"/>
        <v>Area 11: Mid-Puget Sound</v>
      </c>
      <c r="I743" s="107" t="str">
        <f>IFERROR(VLOOKUP(H743,LUTs!$A$1:$C$73,2,FALSE),"NA")</f>
        <v>NA</v>
      </c>
      <c r="J743" s="107" t="str">
        <f>IFERROR(VLOOKUP(H743,LUTs!$A$1:$C$73,3,FALSE),"NA")</f>
        <v>3South Puget Sound</v>
      </c>
      <c r="K743" s="107" t="s">
        <v>24</v>
      </c>
      <c r="L743" s="107" t="str">
        <f>VLOOKUP(K743,LUTs!E$2:G$14,3,)</f>
        <v>11Clallam</v>
      </c>
      <c r="M743" s="107" t="str">
        <f>VLOOKUP($K743,LUTs!$E$2:$H$14,2,)</f>
        <v>Strait of Juan de Fuca</v>
      </c>
      <c r="N743" s="107" t="str">
        <f>VLOOKUP($K743,LUTs!$E$2:$H$14,4,)</f>
        <v>03Strait of Juan de Fuca</v>
      </c>
      <c r="O743" s="107">
        <v>5.22894623620647</v>
      </c>
      <c r="P743" s="107">
        <v>17.283196279024398</v>
      </c>
      <c r="Q743" s="107">
        <f t="shared" si="67"/>
        <v>5.22894623620647</v>
      </c>
      <c r="R743" s="107">
        <f t="shared" si="68"/>
        <v>17.283196279024398</v>
      </c>
      <c r="S743" s="140" t="str">
        <f t="shared" si="69"/>
        <v>Y</v>
      </c>
      <c r="T743" s="154">
        <f t="shared" si="70"/>
        <v>3.305292404682119</v>
      </c>
      <c r="U743" s="154">
        <f t="shared" si="71"/>
        <v>3.305292404682119</v>
      </c>
    </row>
    <row r="744" spans="1:21" x14ac:dyDescent="0.35">
      <c r="A744" s="107">
        <v>906</v>
      </c>
      <c r="B744" s="107">
        <v>2011</v>
      </c>
      <c r="C744" s="107" t="s">
        <v>9</v>
      </c>
      <c r="D744" s="107" t="s">
        <v>132</v>
      </c>
      <c r="E744" s="107" t="s">
        <v>10</v>
      </c>
      <c r="F744" s="115">
        <v>11</v>
      </c>
      <c r="G744" s="107" t="s">
        <v>35</v>
      </c>
      <c r="H744" s="107" t="str">
        <f t="shared" si="66"/>
        <v>Area 11: Mid-Puget Sound</v>
      </c>
      <c r="I744" s="107" t="str">
        <f>IFERROR(VLOOKUP(H744,LUTs!$A$1:$C$73,2,FALSE),"NA")</f>
        <v>NA</v>
      </c>
      <c r="J744" s="107" t="str">
        <f>IFERROR(VLOOKUP(H744,LUTs!$A$1:$C$73,3,FALSE),"NA")</f>
        <v>3South Puget Sound</v>
      </c>
      <c r="K744" s="107" t="s">
        <v>18</v>
      </c>
      <c r="L744" s="107" t="str">
        <f>VLOOKUP(K744,LUTs!E$2:G$14,3,)</f>
        <v>06King</v>
      </c>
      <c r="M744" s="107" t="str">
        <f>VLOOKUP($K744,LUTs!$E$2:$H$14,2,)</f>
        <v>South Puget Sound</v>
      </c>
      <c r="N744" s="107" t="str">
        <f>VLOOKUP($K744,LUTs!$E$2:$H$14,4,)</f>
        <v>02South Puget Sound</v>
      </c>
      <c r="O744" s="107">
        <v>11681.4658916852</v>
      </c>
      <c r="P744" s="107">
        <v>38610.660487340603</v>
      </c>
      <c r="Q744" s="107">
        <f t="shared" si="67"/>
        <v>11681.4658916852</v>
      </c>
      <c r="R744" s="107">
        <f t="shared" si="68"/>
        <v>38610.660487340603</v>
      </c>
      <c r="S744" s="140" t="str">
        <f t="shared" si="69"/>
        <v>Y</v>
      </c>
      <c r="T744" s="154">
        <f t="shared" si="70"/>
        <v>3.3052924046821426</v>
      </c>
      <c r="U744" s="154">
        <f t="shared" si="71"/>
        <v>3.3052924046821426</v>
      </c>
    </row>
    <row r="745" spans="1:21" x14ac:dyDescent="0.35">
      <c r="A745" s="107">
        <v>910</v>
      </c>
      <c r="B745" s="107">
        <v>2011</v>
      </c>
      <c r="C745" s="107" t="s">
        <v>9</v>
      </c>
      <c r="D745" s="107" t="s">
        <v>132</v>
      </c>
      <c r="E745" s="107" t="s">
        <v>10</v>
      </c>
      <c r="F745" s="115">
        <v>11</v>
      </c>
      <c r="G745" s="107" t="s">
        <v>35</v>
      </c>
      <c r="H745" s="107" t="str">
        <f t="shared" si="66"/>
        <v>Area 11: Mid-Puget Sound</v>
      </c>
      <c r="I745" s="107" t="str">
        <f>IFERROR(VLOOKUP(H745,LUTs!$A$1:$C$73,2,FALSE),"NA")</f>
        <v>NA</v>
      </c>
      <c r="J745" s="107" t="str">
        <f>IFERROR(VLOOKUP(H745,LUTs!$A$1:$C$73,3,FALSE),"NA")</f>
        <v>3South Puget Sound</v>
      </c>
      <c r="K745" s="107" t="s">
        <v>23</v>
      </c>
      <c r="L745" s="107" t="str">
        <f>VLOOKUP(K745,LUTs!E$2:G$14,3,)</f>
        <v>10Kitsap</v>
      </c>
      <c r="M745" s="107" t="str">
        <f>VLOOKUP($K745,LUTs!$E$2:$H$14,2,)</f>
        <v>South Puget Sound</v>
      </c>
      <c r="N745" s="107" t="str">
        <f>VLOOKUP($K745,LUTs!$E$2:$H$14,4,)</f>
        <v>02South Puget Sound</v>
      </c>
      <c r="O745" s="107">
        <v>460.14726878616898</v>
      </c>
      <c r="P745" s="107">
        <v>1520.9212725541499</v>
      </c>
      <c r="Q745" s="107">
        <f t="shared" si="67"/>
        <v>460.14726878616898</v>
      </c>
      <c r="R745" s="107">
        <f t="shared" si="68"/>
        <v>1520.9212725541499</v>
      </c>
      <c r="S745" s="140" t="str">
        <f t="shared" si="69"/>
        <v>Y</v>
      </c>
      <c r="T745" s="154">
        <f t="shared" si="70"/>
        <v>3.3052924046821279</v>
      </c>
      <c r="U745" s="154">
        <f t="shared" si="71"/>
        <v>3.3052924046821279</v>
      </c>
    </row>
    <row r="746" spans="1:21" x14ac:dyDescent="0.35">
      <c r="A746" s="107">
        <v>909</v>
      </c>
      <c r="B746" s="107">
        <v>2011</v>
      </c>
      <c r="C746" s="107" t="s">
        <v>9</v>
      </c>
      <c r="D746" s="107" t="s">
        <v>132</v>
      </c>
      <c r="E746" s="107" t="s">
        <v>10</v>
      </c>
      <c r="F746" s="115">
        <v>11</v>
      </c>
      <c r="G746" s="107" t="s">
        <v>35</v>
      </c>
      <c r="H746" s="107" t="str">
        <f t="shared" si="66"/>
        <v>Area 11: Mid-Puget Sound</v>
      </c>
      <c r="I746" s="107" t="str">
        <f>IFERROR(VLOOKUP(H746,LUTs!$A$1:$C$73,2,FALSE),"NA")</f>
        <v>NA</v>
      </c>
      <c r="J746" s="107" t="str">
        <f>IFERROR(VLOOKUP(H746,LUTs!$A$1:$C$73,3,FALSE),"NA")</f>
        <v>3South Puget Sound</v>
      </c>
      <c r="K746" s="107" t="s">
        <v>22</v>
      </c>
      <c r="L746" s="107" t="str">
        <f>VLOOKUP(K746,LUTs!E$2:G$14,3,)</f>
        <v>09Mason</v>
      </c>
      <c r="M746" s="107" t="str">
        <f>VLOOKUP($K746,LUTs!$E$2:$H$14,2,)</f>
        <v>South Puget Sound</v>
      </c>
      <c r="N746" s="107" t="str">
        <f>VLOOKUP($K746,LUTs!$E$2:$H$14,4,)</f>
        <v>02South Puget Sound</v>
      </c>
      <c r="O746" s="107">
        <v>31.373677417238799</v>
      </c>
      <c r="P746" s="107">
        <v>103.69917767414699</v>
      </c>
      <c r="Q746" s="107">
        <f t="shared" si="67"/>
        <v>31.373677417238799</v>
      </c>
      <c r="R746" s="107">
        <f t="shared" si="68"/>
        <v>103.69917767414699</v>
      </c>
      <c r="S746" s="140" t="str">
        <f t="shared" si="69"/>
        <v>Y</v>
      </c>
      <c r="T746" s="154">
        <f t="shared" si="70"/>
        <v>3.3052924046821404</v>
      </c>
      <c r="U746" s="154">
        <f t="shared" si="71"/>
        <v>3.3052924046821404</v>
      </c>
    </row>
    <row r="747" spans="1:21" x14ac:dyDescent="0.35">
      <c r="A747" s="107">
        <v>912</v>
      </c>
      <c r="B747" s="107">
        <v>2011</v>
      </c>
      <c r="C747" s="107" t="s">
        <v>9</v>
      </c>
      <c r="D747" s="107" t="s">
        <v>132</v>
      </c>
      <c r="E747" s="107" t="s">
        <v>10</v>
      </c>
      <c r="F747" s="115">
        <v>11</v>
      </c>
      <c r="G747" s="107" t="s">
        <v>35</v>
      </c>
      <c r="H747" s="107" t="str">
        <f t="shared" si="66"/>
        <v>Area 11: Mid-Puget Sound</v>
      </c>
      <c r="I747" s="107" t="str">
        <f>IFERROR(VLOOKUP(H747,LUTs!$A$1:$C$73,2,FALSE),"NA")</f>
        <v>NA</v>
      </c>
      <c r="J747" s="107" t="str">
        <f>IFERROR(VLOOKUP(H747,LUTs!$A$1:$C$73,3,FALSE),"NA")</f>
        <v>3South Puget Sound</v>
      </c>
      <c r="K747" s="107" t="s">
        <v>26</v>
      </c>
      <c r="L747" s="107" t="str">
        <f>VLOOKUP(K747,LUTs!E$2:G$14,3,)</f>
        <v>20Other</v>
      </c>
      <c r="M747" s="107" t="str">
        <f>VLOOKUP($K747,LUTs!$E$2:$H$14,2,)</f>
        <v>Non Puget Sound</v>
      </c>
      <c r="N747" s="107" t="str">
        <f>VLOOKUP($K747,LUTs!$E$2:$H$14,4,)</f>
        <v>07Non Puget Sound</v>
      </c>
      <c r="O747" s="107">
        <v>873.23402144648003</v>
      </c>
      <c r="P747" s="107">
        <v>2886.2937785970798</v>
      </c>
      <c r="Q747" s="107">
        <f t="shared" si="67"/>
        <v>873.23402144648003</v>
      </c>
      <c r="R747" s="107">
        <f t="shared" si="68"/>
        <v>2886.2937785970798</v>
      </c>
      <c r="S747" s="140" t="str">
        <f t="shared" si="69"/>
        <v>Y</v>
      </c>
      <c r="T747" s="154">
        <f t="shared" si="70"/>
        <v>3.3052924046821266</v>
      </c>
      <c r="U747" s="154">
        <f t="shared" si="71"/>
        <v>3.3052924046821266</v>
      </c>
    </row>
    <row r="748" spans="1:21" x14ac:dyDescent="0.35">
      <c r="A748" s="107">
        <v>907</v>
      </c>
      <c r="B748" s="107">
        <v>2011</v>
      </c>
      <c r="C748" s="107" t="s">
        <v>9</v>
      </c>
      <c r="D748" s="107" t="s">
        <v>132</v>
      </c>
      <c r="E748" s="107" t="s">
        <v>10</v>
      </c>
      <c r="F748" s="115">
        <v>11</v>
      </c>
      <c r="G748" s="107" t="s">
        <v>35</v>
      </c>
      <c r="H748" s="107" t="str">
        <f t="shared" si="66"/>
        <v>Area 11: Mid-Puget Sound</v>
      </c>
      <c r="I748" s="107" t="str">
        <f>IFERROR(VLOOKUP(H748,LUTs!$A$1:$C$73,2,FALSE),"NA")</f>
        <v>NA</v>
      </c>
      <c r="J748" s="107" t="str">
        <f>IFERROR(VLOOKUP(H748,LUTs!$A$1:$C$73,3,FALSE),"NA")</f>
        <v>3South Puget Sound</v>
      </c>
      <c r="K748" s="107" t="s">
        <v>20</v>
      </c>
      <c r="L748" s="107" t="str">
        <f>VLOOKUP(K748,LUTs!E$2:G$14,3,)</f>
        <v>07Pierce</v>
      </c>
      <c r="M748" s="107" t="str">
        <f>VLOOKUP($K748,LUTs!$E$2:$H$14,2,)</f>
        <v>South Puget Sound</v>
      </c>
      <c r="N748" s="107" t="str">
        <f>VLOOKUP($K748,LUTs!$E$2:$H$14,4,)</f>
        <v>02South Puget Sound</v>
      </c>
      <c r="O748" s="107">
        <v>8580.7007736148098</v>
      </c>
      <c r="P748" s="107">
        <v>28361.7250938791</v>
      </c>
      <c r="Q748" s="107">
        <f t="shared" si="67"/>
        <v>8580.7007736148098</v>
      </c>
      <c r="R748" s="107">
        <f t="shared" si="68"/>
        <v>28361.7250938791</v>
      </c>
      <c r="S748" s="140" t="str">
        <f t="shared" si="69"/>
        <v>Y</v>
      </c>
      <c r="T748" s="154">
        <f t="shared" si="70"/>
        <v>3.3052924046821293</v>
      </c>
      <c r="U748" s="154">
        <f t="shared" si="71"/>
        <v>3.3052924046821293</v>
      </c>
    </row>
    <row r="749" spans="1:21" x14ac:dyDescent="0.35">
      <c r="A749" s="107">
        <v>905</v>
      </c>
      <c r="B749" s="107">
        <v>2011</v>
      </c>
      <c r="C749" s="107" t="s">
        <v>9</v>
      </c>
      <c r="D749" s="107" t="s">
        <v>132</v>
      </c>
      <c r="E749" s="107" t="s">
        <v>10</v>
      </c>
      <c r="F749" s="115">
        <v>11</v>
      </c>
      <c r="G749" s="107" t="s">
        <v>35</v>
      </c>
      <c r="H749" s="107" t="str">
        <f t="shared" si="66"/>
        <v>Area 11: Mid-Puget Sound</v>
      </c>
      <c r="I749" s="107" t="str">
        <f>IFERROR(VLOOKUP(H749,LUTs!$A$1:$C$73,2,FALSE),"NA")</f>
        <v>NA</v>
      </c>
      <c r="J749" s="107" t="str">
        <f>IFERROR(VLOOKUP(H749,LUTs!$A$1:$C$73,3,FALSE),"NA")</f>
        <v>3South Puget Sound</v>
      </c>
      <c r="K749" s="107" t="s">
        <v>30</v>
      </c>
      <c r="L749" s="107" t="str">
        <f>VLOOKUP(K749,LUTs!E$2:G$14,3,)</f>
        <v>05San Juan</v>
      </c>
      <c r="M749" s="107" t="str">
        <f>VLOOKUP($K749,LUTs!$E$2:$H$14,2,)</f>
        <v>North Puget Sound</v>
      </c>
      <c r="N749" s="107" t="str">
        <f>VLOOKUP($K749,LUTs!$E$2:$H$14,4,)</f>
        <v>01North Puget Sound</v>
      </c>
      <c r="O749" s="107">
        <v>5.22894623620647</v>
      </c>
      <c r="P749" s="107">
        <v>17.283196279024398</v>
      </c>
      <c r="Q749" s="107">
        <f t="shared" si="67"/>
        <v>5.22894623620647</v>
      </c>
      <c r="R749" s="107">
        <f t="shared" si="68"/>
        <v>17.283196279024398</v>
      </c>
      <c r="S749" s="140" t="str">
        <f t="shared" si="69"/>
        <v>Y</v>
      </c>
      <c r="T749" s="154">
        <f t="shared" si="70"/>
        <v>3.305292404682119</v>
      </c>
      <c r="U749" s="154">
        <f t="shared" si="71"/>
        <v>3.305292404682119</v>
      </c>
    </row>
    <row r="750" spans="1:21" x14ac:dyDescent="0.35">
      <c r="A750" s="107">
        <v>903</v>
      </c>
      <c r="B750" s="107">
        <v>2011</v>
      </c>
      <c r="C750" s="107" t="s">
        <v>9</v>
      </c>
      <c r="D750" s="107" t="s">
        <v>132</v>
      </c>
      <c r="E750" s="107" t="s">
        <v>10</v>
      </c>
      <c r="F750" s="115">
        <v>11</v>
      </c>
      <c r="G750" s="107" t="s">
        <v>35</v>
      </c>
      <c r="H750" s="107" t="str">
        <f t="shared" si="66"/>
        <v>Area 11: Mid-Puget Sound</v>
      </c>
      <c r="I750" s="107" t="str">
        <f>IFERROR(VLOOKUP(H750,LUTs!$A$1:$C$73,2,FALSE),"NA")</f>
        <v>NA</v>
      </c>
      <c r="J750" s="107" t="str">
        <f>IFERROR(VLOOKUP(H750,LUTs!$A$1:$C$73,3,FALSE),"NA")</f>
        <v>3South Puget Sound</v>
      </c>
      <c r="K750" s="107" t="s">
        <v>15</v>
      </c>
      <c r="L750" s="107" t="str">
        <f>VLOOKUP(K750,LUTs!E$2:G$14,3,)</f>
        <v>02Skagit</v>
      </c>
      <c r="M750" s="107" t="str">
        <f>VLOOKUP($K750,LUTs!$E$2:$H$14,2,)</f>
        <v>North Puget Sound</v>
      </c>
      <c r="N750" s="107" t="str">
        <f>VLOOKUP($K750,LUTs!$E$2:$H$14,4,)</f>
        <v>01North Puget Sound</v>
      </c>
      <c r="O750" s="107">
        <v>130.72365590516199</v>
      </c>
      <c r="P750" s="107">
        <v>432.07990697561002</v>
      </c>
      <c r="Q750" s="107">
        <f t="shared" si="67"/>
        <v>130.72365590516199</v>
      </c>
      <c r="R750" s="107">
        <f t="shared" si="68"/>
        <v>432.07990697561002</v>
      </c>
      <c r="S750" s="140" t="str">
        <f t="shared" si="69"/>
        <v>Y</v>
      </c>
      <c r="T750" s="154">
        <f t="shared" si="70"/>
        <v>3.3052924046821133</v>
      </c>
      <c r="U750" s="154">
        <f t="shared" si="71"/>
        <v>3.3052924046821133</v>
      </c>
    </row>
    <row r="751" spans="1:21" x14ac:dyDescent="0.35">
      <c r="A751" s="107">
        <v>904</v>
      </c>
      <c r="B751" s="107">
        <v>2011</v>
      </c>
      <c r="C751" s="107" t="s">
        <v>9</v>
      </c>
      <c r="D751" s="107" t="s">
        <v>132</v>
      </c>
      <c r="E751" s="107" t="s">
        <v>10</v>
      </c>
      <c r="F751" s="115">
        <v>11</v>
      </c>
      <c r="G751" s="107" t="s">
        <v>35</v>
      </c>
      <c r="H751" s="107" t="str">
        <f t="shared" si="66"/>
        <v>Area 11: Mid-Puget Sound</v>
      </c>
      <c r="I751" s="107" t="str">
        <f>IFERROR(VLOOKUP(H751,LUTs!$A$1:$C$73,2,FALSE),"NA")</f>
        <v>NA</v>
      </c>
      <c r="J751" s="107" t="str">
        <f>IFERROR(VLOOKUP(H751,LUTs!$A$1:$C$73,3,FALSE),"NA")</f>
        <v>3South Puget Sound</v>
      </c>
      <c r="K751" s="107" t="s">
        <v>16</v>
      </c>
      <c r="L751" s="107" t="str">
        <f>VLOOKUP(K751,LUTs!E$2:G$14,3,)</f>
        <v>03Snohomish</v>
      </c>
      <c r="M751" s="107" t="str">
        <f>VLOOKUP($K751,LUTs!$E$2:$H$14,2,)</f>
        <v>North Puget Sound</v>
      </c>
      <c r="N751" s="107" t="str">
        <f>VLOOKUP($K751,LUTs!$E$2:$H$14,4,)</f>
        <v>01North Puget Sound</v>
      </c>
      <c r="O751" s="107">
        <v>198.69995697584599</v>
      </c>
      <c r="P751" s="107">
        <v>656.76145860292797</v>
      </c>
      <c r="Q751" s="107">
        <f t="shared" si="67"/>
        <v>198.69995697584599</v>
      </c>
      <c r="R751" s="107">
        <f t="shared" si="68"/>
        <v>656.76145860292797</v>
      </c>
      <c r="S751" s="140" t="str">
        <f t="shared" si="69"/>
        <v>Y</v>
      </c>
      <c r="T751" s="154">
        <f t="shared" si="70"/>
        <v>3.3052924046821208</v>
      </c>
      <c r="U751" s="154">
        <f t="shared" si="71"/>
        <v>3.3052924046821208</v>
      </c>
    </row>
    <row r="752" spans="1:21" x14ac:dyDescent="0.35">
      <c r="A752" s="107">
        <v>908</v>
      </c>
      <c r="B752" s="107">
        <v>2011</v>
      </c>
      <c r="C752" s="107" t="s">
        <v>9</v>
      </c>
      <c r="D752" s="107" t="s">
        <v>132</v>
      </c>
      <c r="E752" s="107" t="s">
        <v>10</v>
      </c>
      <c r="F752" s="115">
        <v>11</v>
      </c>
      <c r="G752" s="107" t="s">
        <v>35</v>
      </c>
      <c r="H752" s="107" t="str">
        <f t="shared" si="66"/>
        <v>Area 11: Mid-Puget Sound</v>
      </c>
      <c r="I752" s="107" t="str">
        <f>IFERROR(VLOOKUP(H752,LUTs!$A$1:$C$73,2,FALSE),"NA")</f>
        <v>NA</v>
      </c>
      <c r="J752" s="107" t="str">
        <f>IFERROR(VLOOKUP(H752,LUTs!$A$1:$C$73,3,FALSE),"NA")</f>
        <v>3South Puget Sound</v>
      </c>
      <c r="K752" s="107" t="s">
        <v>21</v>
      </c>
      <c r="L752" s="107" t="str">
        <f>VLOOKUP(K752,LUTs!E$2:G$14,3,)</f>
        <v>08Thurston</v>
      </c>
      <c r="M752" s="107" t="str">
        <f>VLOOKUP($K752,LUTs!$E$2:$H$14,2,)</f>
        <v>South Puget Sound</v>
      </c>
      <c r="N752" s="107" t="str">
        <f>VLOOKUP($K752,LUTs!$E$2:$H$14,4,)</f>
        <v>02South Puget Sound</v>
      </c>
      <c r="O752" s="107">
        <v>575.18408598271105</v>
      </c>
      <c r="P752" s="107">
        <v>1901.15159069269</v>
      </c>
      <c r="Q752" s="107">
        <f t="shared" si="67"/>
        <v>575.18408598271105</v>
      </c>
      <c r="R752" s="107">
        <f t="shared" si="68"/>
        <v>1901.15159069269</v>
      </c>
      <c r="S752" s="140" t="str">
        <f t="shared" si="69"/>
        <v>Y</v>
      </c>
      <c r="T752" s="154">
        <f t="shared" si="70"/>
        <v>3.3052924046821333</v>
      </c>
      <c r="U752" s="154">
        <f t="shared" si="71"/>
        <v>3.3052924046821333</v>
      </c>
    </row>
    <row r="753" spans="1:21" x14ac:dyDescent="0.35">
      <c r="A753" s="107">
        <v>1015</v>
      </c>
      <c r="B753" s="107">
        <v>2012</v>
      </c>
      <c r="C753" s="107" t="s">
        <v>9</v>
      </c>
      <c r="D753" s="107" t="s">
        <v>132</v>
      </c>
      <c r="E753" s="107" t="s">
        <v>10</v>
      </c>
      <c r="F753" s="115">
        <v>11</v>
      </c>
      <c r="G753" s="107" t="s">
        <v>35</v>
      </c>
      <c r="H753" s="107" t="str">
        <f t="shared" si="66"/>
        <v>Area 11: Mid-Puget Sound</v>
      </c>
      <c r="I753" s="107" t="str">
        <f>IFERROR(VLOOKUP(H753,LUTs!$A$1:$C$73,2,FALSE),"NA")</f>
        <v>NA</v>
      </c>
      <c r="J753" s="107" t="str">
        <f>IFERROR(VLOOKUP(H753,LUTs!$A$1:$C$73,3,FALSE),"NA")</f>
        <v>3South Puget Sound</v>
      </c>
      <c r="K753" s="107" t="s">
        <v>24</v>
      </c>
      <c r="L753" s="107" t="str">
        <f>VLOOKUP(K753,LUTs!E$2:G$14,3,)</f>
        <v>11Clallam</v>
      </c>
      <c r="M753" s="107" t="str">
        <f>VLOOKUP($K753,LUTs!$E$2:$H$14,2,)</f>
        <v>Strait of Juan de Fuca</v>
      </c>
      <c r="N753" s="107" t="str">
        <f>VLOOKUP($K753,LUTs!$E$2:$H$14,4,)</f>
        <v>03Strait of Juan de Fuca</v>
      </c>
      <c r="O753" s="107">
        <v>10.1723446893788</v>
      </c>
      <c r="P753" s="107">
        <v>49.066997995991997</v>
      </c>
      <c r="Q753" s="107">
        <f t="shared" si="67"/>
        <v>10.1723446893788</v>
      </c>
      <c r="R753" s="107">
        <f t="shared" si="68"/>
        <v>49.066997995991997</v>
      </c>
      <c r="S753" s="140" t="str">
        <f t="shared" si="69"/>
        <v>Y</v>
      </c>
      <c r="T753" s="154">
        <f t="shared" si="70"/>
        <v>4.8235681639085701</v>
      </c>
      <c r="U753" s="154">
        <f t="shared" si="71"/>
        <v>4.8235681639085701</v>
      </c>
    </row>
    <row r="754" spans="1:21" x14ac:dyDescent="0.35">
      <c r="A754" s="107">
        <v>1009</v>
      </c>
      <c r="B754" s="107">
        <v>2012</v>
      </c>
      <c r="C754" s="107" t="s">
        <v>9</v>
      </c>
      <c r="D754" s="107" t="s">
        <v>132</v>
      </c>
      <c r="E754" s="107" t="s">
        <v>10</v>
      </c>
      <c r="F754" s="115">
        <v>11</v>
      </c>
      <c r="G754" s="107" t="s">
        <v>35</v>
      </c>
      <c r="H754" s="107" t="str">
        <f t="shared" si="66"/>
        <v>Area 11: Mid-Puget Sound</v>
      </c>
      <c r="I754" s="107" t="str">
        <f>IFERROR(VLOOKUP(H754,LUTs!$A$1:$C$73,2,FALSE),"NA")</f>
        <v>NA</v>
      </c>
      <c r="J754" s="107" t="str">
        <f>IFERROR(VLOOKUP(H754,LUTs!$A$1:$C$73,3,FALSE),"NA")</f>
        <v>3South Puget Sound</v>
      </c>
      <c r="K754" s="107" t="s">
        <v>17</v>
      </c>
      <c r="L754" s="107" t="str">
        <f>VLOOKUP(K754,LUTs!E$2:G$14,3,)</f>
        <v>04Island</v>
      </c>
      <c r="M754" s="107" t="str">
        <f>VLOOKUP($K754,LUTs!$E$2:$H$14,2,)</f>
        <v>North Puget Sound</v>
      </c>
      <c r="N754" s="107" t="str">
        <f>VLOOKUP($K754,LUTs!$E$2:$H$14,4,)</f>
        <v>01North Puget Sound</v>
      </c>
      <c r="O754" s="107">
        <v>15.258517034068101</v>
      </c>
      <c r="P754" s="107">
        <v>73.600496993988003</v>
      </c>
      <c r="Q754" s="107">
        <f t="shared" si="67"/>
        <v>15.258517034068101</v>
      </c>
      <c r="R754" s="107">
        <f t="shared" si="68"/>
        <v>73.600496993988003</v>
      </c>
      <c r="S754" s="140" t="str">
        <f t="shared" si="69"/>
        <v>Y</v>
      </c>
      <c r="T754" s="154">
        <f t="shared" si="70"/>
        <v>4.8235681639086021</v>
      </c>
      <c r="U754" s="154">
        <f t="shared" si="71"/>
        <v>4.8235681639086021</v>
      </c>
    </row>
    <row r="755" spans="1:21" x14ac:dyDescent="0.35">
      <c r="A755" s="107">
        <v>1010</v>
      </c>
      <c r="B755" s="107">
        <v>2012</v>
      </c>
      <c r="C755" s="107" t="s">
        <v>9</v>
      </c>
      <c r="D755" s="107" t="s">
        <v>132</v>
      </c>
      <c r="E755" s="107" t="s">
        <v>10</v>
      </c>
      <c r="F755" s="115">
        <v>11</v>
      </c>
      <c r="G755" s="107" t="s">
        <v>35</v>
      </c>
      <c r="H755" s="107" t="str">
        <f t="shared" si="66"/>
        <v>Area 11: Mid-Puget Sound</v>
      </c>
      <c r="I755" s="107" t="str">
        <f>IFERROR(VLOOKUP(H755,LUTs!$A$1:$C$73,2,FALSE),"NA")</f>
        <v>NA</v>
      </c>
      <c r="J755" s="107" t="str">
        <f>IFERROR(VLOOKUP(H755,LUTs!$A$1:$C$73,3,FALSE),"NA")</f>
        <v>3South Puget Sound</v>
      </c>
      <c r="K755" s="107" t="s">
        <v>18</v>
      </c>
      <c r="L755" s="107" t="str">
        <f>VLOOKUP(K755,LUTs!E$2:G$14,3,)</f>
        <v>06King</v>
      </c>
      <c r="M755" s="107" t="str">
        <f>VLOOKUP($K755,LUTs!$E$2:$H$14,2,)</f>
        <v>South Puget Sound</v>
      </c>
      <c r="N755" s="107" t="str">
        <f>VLOOKUP($K755,LUTs!$E$2:$H$14,4,)</f>
        <v>02South Puget Sound</v>
      </c>
      <c r="O755" s="107">
        <v>6047.45891783567</v>
      </c>
      <c r="P755" s="107">
        <v>29170.330308617202</v>
      </c>
      <c r="Q755" s="107">
        <f t="shared" si="67"/>
        <v>6047.45891783567</v>
      </c>
      <c r="R755" s="107">
        <f t="shared" si="68"/>
        <v>29170.330308617202</v>
      </c>
      <c r="S755" s="140" t="str">
        <f t="shared" si="69"/>
        <v>Y</v>
      </c>
      <c r="T755" s="154">
        <f t="shared" si="70"/>
        <v>4.8235681639085852</v>
      </c>
      <c r="U755" s="154">
        <f t="shared" si="71"/>
        <v>4.8235681639085852</v>
      </c>
    </row>
    <row r="756" spans="1:21" x14ac:dyDescent="0.35">
      <c r="A756" s="107">
        <v>1014</v>
      </c>
      <c r="B756" s="107">
        <v>2012</v>
      </c>
      <c r="C756" s="107" t="s">
        <v>9</v>
      </c>
      <c r="D756" s="107" t="s">
        <v>132</v>
      </c>
      <c r="E756" s="107" t="s">
        <v>10</v>
      </c>
      <c r="F756" s="115">
        <v>11</v>
      </c>
      <c r="G756" s="107" t="s">
        <v>35</v>
      </c>
      <c r="H756" s="107" t="str">
        <f t="shared" si="66"/>
        <v>Area 11: Mid-Puget Sound</v>
      </c>
      <c r="I756" s="107" t="str">
        <f>IFERROR(VLOOKUP(H756,LUTs!$A$1:$C$73,2,FALSE),"NA")</f>
        <v>NA</v>
      </c>
      <c r="J756" s="107" t="str">
        <f>IFERROR(VLOOKUP(H756,LUTs!$A$1:$C$73,3,FALSE),"NA")</f>
        <v>3South Puget Sound</v>
      </c>
      <c r="K756" s="107" t="s">
        <v>23</v>
      </c>
      <c r="L756" s="107" t="str">
        <f>VLOOKUP(K756,LUTs!E$2:G$14,3,)</f>
        <v>10Kitsap</v>
      </c>
      <c r="M756" s="107" t="str">
        <f>VLOOKUP($K756,LUTs!$E$2:$H$14,2,)</f>
        <v>South Puget Sound</v>
      </c>
      <c r="N756" s="107" t="str">
        <f>VLOOKUP($K756,LUTs!$E$2:$H$14,4,)</f>
        <v>02South Puget Sound</v>
      </c>
      <c r="O756" s="107">
        <v>422.15230460921902</v>
      </c>
      <c r="P756" s="107">
        <v>2036.28041683367</v>
      </c>
      <c r="Q756" s="107">
        <f t="shared" si="67"/>
        <v>422.15230460921902</v>
      </c>
      <c r="R756" s="107">
        <f t="shared" si="68"/>
        <v>2036.28041683367</v>
      </c>
      <c r="S756" s="140" t="str">
        <f t="shared" si="69"/>
        <v>Y</v>
      </c>
      <c r="T756" s="154">
        <f t="shared" si="70"/>
        <v>4.8235681639085888</v>
      </c>
      <c r="U756" s="154">
        <f t="shared" si="71"/>
        <v>4.8235681639085888</v>
      </c>
    </row>
    <row r="757" spans="1:21" x14ac:dyDescent="0.35">
      <c r="A757" s="107">
        <v>1013</v>
      </c>
      <c r="B757" s="107">
        <v>2012</v>
      </c>
      <c r="C757" s="107" t="s">
        <v>9</v>
      </c>
      <c r="D757" s="107" t="s">
        <v>132</v>
      </c>
      <c r="E757" s="107" t="s">
        <v>10</v>
      </c>
      <c r="F757" s="115">
        <v>11</v>
      </c>
      <c r="G757" s="107" t="s">
        <v>35</v>
      </c>
      <c r="H757" s="107" t="str">
        <f t="shared" si="66"/>
        <v>Area 11: Mid-Puget Sound</v>
      </c>
      <c r="I757" s="107" t="str">
        <f>IFERROR(VLOOKUP(H757,LUTs!$A$1:$C$73,2,FALSE),"NA")</f>
        <v>NA</v>
      </c>
      <c r="J757" s="107" t="str">
        <f>IFERROR(VLOOKUP(H757,LUTs!$A$1:$C$73,3,FALSE),"NA")</f>
        <v>3South Puget Sound</v>
      </c>
      <c r="K757" s="107" t="s">
        <v>22</v>
      </c>
      <c r="L757" s="107" t="str">
        <f>VLOOKUP(K757,LUTs!E$2:G$14,3,)</f>
        <v>09Mason</v>
      </c>
      <c r="M757" s="107" t="str">
        <f>VLOOKUP($K757,LUTs!$E$2:$H$14,2,)</f>
        <v>South Puget Sound</v>
      </c>
      <c r="N757" s="107" t="str">
        <f>VLOOKUP($K757,LUTs!$E$2:$H$14,4,)</f>
        <v>02South Puget Sound</v>
      </c>
      <c r="O757" s="107">
        <v>76.292585170340701</v>
      </c>
      <c r="P757" s="107">
        <v>368.00248496993999</v>
      </c>
      <c r="Q757" s="107">
        <f t="shared" si="67"/>
        <v>76.292585170340701</v>
      </c>
      <c r="R757" s="107">
        <f t="shared" si="68"/>
        <v>368.00248496993999</v>
      </c>
      <c r="S757" s="140" t="str">
        <f t="shared" si="69"/>
        <v>Y</v>
      </c>
      <c r="T757" s="154">
        <f t="shared" si="70"/>
        <v>4.8235681639085897</v>
      </c>
      <c r="U757" s="154">
        <f t="shared" si="71"/>
        <v>4.8235681639085897</v>
      </c>
    </row>
    <row r="758" spans="1:21" x14ac:dyDescent="0.35">
      <c r="A758" s="107">
        <v>1016</v>
      </c>
      <c r="B758" s="107">
        <v>2012</v>
      </c>
      <c r="C758" s="107" t="s">
        <v>9</v>
      </c>
      <c r="D758" s="107" t="s">
        <v>132</v>
      </c>
      <c r="E758" s="107" t="s">
        <v>10</v>
      </c>
      <c r="F758" s="115">
        <v>11</v>
      </c>
      <c r="G758" s="107" t="s">
        <v>35</v>
      </c>
      <c r="H758" s="107" t="str">
        <f t="shared" si="66"/>
        <v>Area 11: Mid-Puget Sound</v>
      </c>
      <c r="I758" s="107" t="str">
        <f>IFERROR(VLOOKUP(H758,LUTs!$A$1:$C$73,2,FALSE),"NA")</f>
        <v>NA</v>
      </c>
      <c r="J758" s="107" t="str">
        <f>IFERROR(VLOOKUP(H758,LUTs!$A$1:$C$73,3,FALSE),"NA")</f>
        <v>3South Puget Sound</v>
      </c>
      <c r="K758" s="107" t="s">
        <v>26</v>
      </c>
      <c r="L758" s="107" t="str">
        <f>VLOOKUP(K758,LUTs!E$2:G$14,3,)</f>
        <v>20Other</v>
      </c>
      <c r="M758" s="107" t="str">
        <f>VLOOKUP($K758,LUTs!$E$2:$H$14,2,)</f>
        <v>Non Puget Sound</v>
      </c>
      <c r="N758" s="107" t="str">
        <f>VLOOKUP($K758,LUTs!$E$2:$H$14,4,)</f>
        <v>07Non Puget Sound</v>
      </c>
      <c r="O758" s="107">
        <v>432.32464929859702</v>
      </c>
      <c r="P758" s="107">
        <v>2085.34741482966</v>
      </c>
      <c r="Q758" s="107">
        <f t="shared" si="67"/>
        <v>432.32464929859702</v>
      </c>
      <c r="R758" s="107">
        <f t="shared" si="68"/>
        <v>2085.34741482966</v>
      </c>
      <c r="S758" s="140" t="str">
        <f t="shared" si="69"/>
        <v>Y</v>
      </c>
      <c r="T758" s="154">
        <f t="shared" si="70"/>
        <v>4.8235681639085932</v>
      </c>
      <c r="U758" s="154">
        <f t="shared" si="71"/>
        <v>4.8235681639085932</v>
      </c>
    </row>
    <row r="759" spans="1:21" x14ac:dyDescent="0.35">
      <c r="A759" s="107">
        <v>1011</v>
      </c>
      <c r="B759" s="107">
        <v>2012</v>
      </c>
      <c r="C759" s="107" t="s">
        <v>9</v>
      </c>
      <c r="D759" s="107" t="s">
        <v>132</v>
      </c>
      <c r="E759" s="107" t="s">
        <v>10</v>
      </c>
      <c r="F759" s="115">
        <v>11</v>
      </c>
      <c r="G759" s="107" t="s">
        <v>35</v>
      </c>
      <c r="H759" s="107" t="str">
        <f t="shared" si="66"/>
        <v>Area 11: Mid-Puget Sound</v>
      </c>
      <c r="I759" s="107" t="str">
        <f>IFERROR(VLOOKUP(H759,LUTs!$A$1:$C$73,2,FALSE),"NA")</f>
        <v>NA</v>
      </c>
      <c r="J759" s="107" t="str">
        <f>IFERROR(VLOOKUP(H759,LUTs!$A$1:$C$73,3,FALSE),"NA")</f>
        <v>3South Puget Sound</v>
      </c>
      <c r="K759" s="107" t="s">
        <v>20</v>
      </c>
      <c r="L759" s="107" t="str">
        <f>VLOOKUP(K759,LUTs!E$2:G$14,3,)</f>
        <v>07Pierce</v>
      </c>
      <c r="M759" s="107" t="str">
        <f>VLOOKUP($K759,LUTs!$E$2:$H$14,2,)</f>
        <v>South Puget Sound</v>
      </c>
      <c r="N759" s="107" t="str">
        <f>VLOOKUP($K759,LUTs!$E$2:$H$14,4,)</f>
        <v>02South Puget Sound</v>
      </c>
      <c r="O759" s="107">
        <v>5264.1883767535101</v>
      </c>
      <c r="P759" s="107">
        <v>25392.1714629259</v>
      </c>
      <c r="Q759" s="107">
        <f t="shared" si="67"/>
        <v>5264.1883767535101</v>
      </c>
      <c r="R759" s="107">
        <f t="shared" si="68"/>
        <v>25392.1714629259</v>
      </c>
      <c r="S759" s="140" t="str">
        <f t="shared" si="69"/>
        <v>Y</v>
      </c>
      <c r="T759" s="154">
        <f t="shared" si="70"/>
        <v>4.8235681639085959</v>
      </c>
      <c r="U759" s="154">
        <f t="shared" si="71"/>
        <v>4.8235681639085959</v>
      </c>
    </row>
    <row r="760" spans="1:21" x14ac:dyDescent="0.35">
      <c r="A760" s="107">
        <v>1008</v>
      </c>
      <c r="B760" s="107">
        <v>2012</v>
      </c>
      <c r="C760" s="107" t="s">
        <v>9</v>
      </c>
      <c r="D760" s="107" t="s">
        <v>132</v>
      </c>
      <c r="E760" s="107" t="s">
        <v>10</v>
      </c>
      <c r="F760" s="115">
        <v>11</v>
      </c>
      <c r="G760" s="107" t="s">
        <v>35</v>
      </c>
      <c r="H760" s="107" t="str">
        <f t="shared" si="66"/>
        <v>Area 11: Mid-Puget Sound</v>
      </c>
      <c r="I760" s="107" t="str">
        <f>IFERROR(VLOOKUP(H760,LUTs!$A$1:$C$73,2,FALSE),"NA")</f>
        <v>NA</v>
      </c>
      <c r="J760" s="107" t="str">
        <f>IFERROR(VLOOKUP(H760,LUTs!$A$1:$C$73,3,FALSE),"NA")</f>
        <v>3South Puget Sound</v>
      </c>
      <c r="K760" s="107" t="s">
        <v>16</v>
      </c>
      <c r="L760" s="107" t="str">
        <f>VLOOKUP(K760,LUTs!E$2:G$14,3,)</f>
        <v>03Snohomish</v>
      </c>
      <c r="M760" s="107" t="str">
        <f>VLOOKUP($K760,LUTs!$E$2:$H$14,2,)</f>
        <v>North Puget Sound</v>
      </c>
      <c r="N760" s="107" t="str">
        <f>VLOOKUP($K760,LUTs!$E$2:$H$14,4,)</f>
        <v>01North Puget Sound</v>
      </c>
      <c r="O760" s="107">
        <v>61.034068136272602</v>
      </c>
      <c r="P760" s="107">
        <v>294.40198797595201</v>
      </c>
      <c r="Q760" s="107">
        <f t="shared" si="67"/>
        <v>61.034068136272602</v>
      </c>
      <c r="R760" s="107">
        <f t="shared" si="68"/>
        <v>294.40198797595201</v>
      </c>
      <c r="S760" s="140" t="str">
        <f t="shared" si="69"/>
        <v>Y</v>
      </c>
      <c r="T760" s="154">
        <f t="shared" si="70"/>
        <v>4.823568163908587</v>
      </c>
      <c r="U760" s="154">
        <f t="shared" si="71"/>
        <v>4.823568163908587</v>
      </c>
    </row>
    <row r="761" spans="1:21" x14ac:dyDescent="0.35">
      <c r="A761" s="107">
        <v>1012</v>
      </c>
      <c r="B761" s="107">
        <v>2012</v>
      </c>
      <c r="C761" s="107" t="s">
        <v>9</v>
      </c>
      <c r="D761" s="107" t="s">
        <v>132</v>
      </c>
      <c r="E761" s="107" t="s">
        <v>10</v>
      </c>
      <c r="F761" s="115">
        <v>11</v>
      </c>
      <c r="G761" s="107" t="s">
        <v>35</v>
      </c>
      <c r="H761" s="107" t="str">
        <f t="shared" si="66"/>
        <v>Area 11: Mid-Puget Sound</v>
      </c>
      <c r="I761" s="107" t="str">
        <f>IFERROR(VLOOKUP(H761,LUTs!$A$1:$C$73,2,FALSE),"NA")</f>
        <v>NA</v>
      </c>
      <c r="J761" s="107" t="str">
        <f>IFERROR(VLOOKUP(H761,LUTs!$A$1:$C$73,3,FALSE),"NA")</f>
        <v>3South Puget Sound</v>
      </c>
      <c r="K761" s="107" t="s">
        <v>21</v>
      </c>
      <c r="L761" s="107" t="str">
        <f>VLOOKUP(K761,LUTs!E$2:G$14,3,)</f>
        <v>08Thurston</v>
      </c>
      <c r="M761" s="107" t="str">
        <f>VLOOKUP($K761,LUTs!$E$2:$H$14,2,)</f>
        <v>South Puget Sound</v>
      </c>
      <c r="N761" s="107" t="str">
        <f>VLOOKUP($K761,LUTs!$E$2:$H$14,4,)</f>
        <v>02South Puget Sound</v>
      </c>
      <c r="O761" s="107">
        <v>350.94589178356699</v>
      </c>
      <c r="P761" s="107">
        <v>1692.8114308617201</v>
      </c>
      <c r="Q761" s="107">
        <f t="shared" si="67"/>
        <v>350.94589178356699</v>
      </c>
      <c r="R761" s="107">
        <f t="shared" si="68"/>
        <v>1692.8114308617201</v>
      </c>
      <c r="S761" s="140" t="str">
        <f t="shared" si="69"/>
        <v>Y</v>
      </c>
      <c r="T761" s="154">
        <f t="shared" si="70"/>
        <v>4.8235681639085817</v>
      </c>
      <c r="U761" s="154">
        <f t="shared" si="71"/>
        <v>4.8235681639085817</v>
      </c>
    </row>
    <row r="762" spans="1:21" x14ac:dyDescent="0.35">
      <c r="A762" s="107">
        <v>1007</v>
      </c>
      <c r="B762" s="107">
        <v>2012</v>
      </c>
      <c r="C762" s="107" t="s">
        <v>9</v>
      </c>
      <c r="D762" s="107" t="s">
        <v>132</v>
      </c>
      <c r="E762" s="107" t="s">
        <v>10</v>
      </c>
      <c r="F762" s="115">
        <v>11</v>
      </c>
      <c r="G762" s="107" t="s">
        <v>35</v>
      </c>
      <c r="H762" s="107" t="str">
        <f t="shared" si="66"/>
        <v>Area 11: Mid-Puget Sound</v>
      </c>
      <c r="I762" s="107" t="str">
        <f>IFERROR(VLOOKUP(H762,LUTs!$A$1:$C$73,2,FALSE),"NA")</f>
        <v>NA</v>
      </c>
      <c r="J762" s="107" t="str">
        <f>IFERROR(VLOOKUP(H762,LUTs!$A$1:$C$73,3,FALSE),"NA")</f>
        <v>3South Puget Sound</v>
      </c>
      <c r="K762" s="107" t="s">
        <v>13</v>
      </c>
      <c r="L762" s="107" t="str">
        <f>VLOOKUP(K762,LUTs!E$2:G$14,3,)</f>
        <v>01Whatcom</v>
      </c>
      <c r="M762" s="107" t="str">
        <f>VLOOKUP($K762,LUTs!$E$2:$H$14,2,)</f>
        <v>North Puget Sound</v>
      </c>
      <c r="N762" s="107" t="str">
        <f>VLOOKUP($K762,LUTs!$E$2:$H$14,4,)</f>
        <v>01North Puget Sound</v>
      </c>
      <c r="O762" s="107">
        <v>10.1723446893788</v>
      </c>
      <c r="P762" s="107">
        <v>49.066997995991997</v>
      </c>
      <c r="Q762" s="107">
        <f t="shared" si="67"/>
        <v>10.1723446893788</v>
      </c>
      <c r="R762" s="107">
        <f t="shared" si="68"/>
        <v>49.066997995991997</v>
      </c>
      <c r="S762" s="140" t="str">
        <f t="shared" si="69"/>
        <v>Y</v>
      </c>
      <c r="T762" s="154">
        <f t="shared" si="70"/>
        <v>4.8235681639085701</v>
      </c>
      <c r="U762" s="154">
        <f t="shared" si="71"/>
        <v>4.8235681639085701</v>
      </c>
    </row>
    <row r="763" spans="1:21" x14ac:dyDescent="0.35">
      <c r="A763" s="107">
        <v>1189</v>
      </c>
      <c r="B763" s="107">
        <v>2013</v>
      </c>
      <c r="C763" s="107" t="s">
        <v>9</v>
      </c>
      <c r="D763" s="107" t="s">
        <v>132</v>
      </c>
      <c r="E763" s="107" t="s">
        <v>10</v>
      </c>
      <c r="F763" s="115">
        <v>11</v>
      </c>
      <c r="G763" s="107" t="s">
        <v>35</v>
      </c>
      <c r="H763" s="107" t="str">
        <f t="shared" si="66"/>
        <v>Area 11: Mid-Puget Sound</v>
      </c>
      <c r="I763" s="107" t="str">
        <f>IFERROR(VLOOKUP(H763,LUTs!$A$1:$C$73,2,FALSE),"NA")</f>
        <v>NA</v>
      </c>
      <c r="J763" s="107" t="str">
        <f>IFERROR(VLOOKUP(H763,LUTs!$A$1:$C$73,3,FALSE),"NA")</f>
        <v>3South Puget Sound</v>
      </c>
      <c r="K763" s="107" t="s">
        <v>24</v>
      </c>
      <c r="L763" s="107" t="str">
        <f>VLOOKUP(K763,LUTs!E$2:G$14,3,)</f>
        <v>11Clallam</v>
      </c>
      <c r="M763" s="107" t="str">
        <f>VLOOKUP($K763,LUTs!$E$2:$H$14,2,)</f>
        <v>Strait of Juan de Fuca</v>
      </c>
      <c r="N763" s="107" t="str">
        <f>VLOOKUP($K763,LUTs!$E$2:$H$14,4,)</f>
        <v>03Strait of Juan de Fuca</v>
      </c>
      <c r="O763" s="107">
        <v>11.9892224788299</v>
      </c>
      <c r="P763" s="107">
        <v>53.643926096997703</v>
      </c>
      <c r="Q763" s="107">
        <f t="shared" si="67"/>
        <v>11.9892224788299</v>
      </c>
      <c r="R763" s="107">
        <f t="shared" si="68"/>
        <v>53.643926096997703</v>
      </c>
      <c r="S763" s="140" t="str">
        <f t="shared" si="69"/>
        <v>Y</v>
      </c>
      <c r="T763" s="154">
        <f t="shared" si="70"/>
        <v>4.4743457043790826</v>
      </c>
      <c r="U763" s="154">
        <f t="shared" si="71"/>
        <v>4.4743457043790826</v>
      </c>
    </row>
    <row r="764" spans="1:21" x14ac:dyDescent="0.35">
      <c r="A764" s="107">
        <v>1113</v>
      </c>
      <c r="B764" s="107">
        <v>2013</v>
      </c>
      <c r="C764" s="107" t="s">
        <v>9</v>
      </c>
      <c r="D764" s="107" t="s">
        <v>132</v>
      </c>
      <c r="E764" s="107" t="s">
        <v>10</v>
      </c>
      <c r="F764" s="115">
        <v>11</v>
      </c>
      <c r="G764" s="107" t="s">
        <v>35</v>
      </c>
      <c r="H764" s="107" t="str">
        <f t="shared" si="66"/>
        <v>Area 11: Mid-Puget Sound</v>
      </c>
      <c r="I764" s="107" t="str">
        <f>IFERROR(VLOOKUP(H764,LUTs!$A$1:$C$73,2,FALSE),"NA")</f>
        <v>NA</v>
      </c>
      <c r="J764" s="107" t="str">
        <f>IFERROR(VLOOKUP(H764,LUTs!$A$1:$C$73,3,FALSE),"NA")</f>
        <v>3South Puget Sound</v>
      </c>
      <c r="K764" s="107" t="s">
        <v>17</v>
      </c>
      <c r="L764" s="107" t="str">
        <f>VLOOKUP(K764,LUTs!E$2:G$14,3,)</f>
        <v>04Island</v>
      </c>
      <c r="M764" s="107" t="str">
        <f>VLOOKUP($K764,LUTs!$E$2:$H$14,2,)</f>
        <v>North Puget Sound</v>
      </c>
      <c r="N764" s="107" t="str">
        <f>VLOOKUP($K764,LUTs!$E$2:$H$14,4,)</f>
        <v>01North Puget Sound</v>
      </c>
      <c r="O764" s="107">
        <v>3.9964074929432898</v>
      </c>
      <c r="P764" s="107">
        <v>17.881308698999199</v>
      </c>
      <c r="Q764" s="107">
        <f t="shared" si="67"/>
        <v>3.9964074929432898</v>
      </c>
      <c r="R764" s="107">
        <f t="shared" si="68"/>
        <v>17.881308698999199</v>
      </c>
      <c r="S764" s="140" t="str">
        <f t="shared" si="69"/>
        <v>Y</v>
      </c>
      <c r="T764" s="154">
        <f t="shared" si="70"/>
        <v>4.4743457043790853</v>
      </c>
      <c r="U764" s="154">
        <f t="shared" si="71"/>
        <v>4.4743457043790853</v>
      </c>
    </row>
    <row r="765" spans="1:21" x14ac:dyDescent="0.35">
      <c r="A765" s="107">
        <v>1114</v>
      </c>
      <c r="B765" s="107">
        <v>2013</v>
      </c>
      <c r="C765" s="107" t="s">
        <v>9</v>
      </c>
      <c r="D765" s="107" t="s">
        <v>132</v>
      </c>
      <c r="E765" s="107" t="s">
        <v>10</v>
      </c>
      <c r="F765" s="115">
        <v>11</v>
      </c>
      <c r="G765" s="107" t="s">
        <v>35</v>
      </c>
      <c r="H765" s="107" t="str">
        <f t="shared" si="66"/>
        <v>Area 11: Mid-Puget Sound</v>
      </c>
      <c r="I765" s="107" t="str">
        <f>IFERROR(VLOOKUP(H765,LUTs!$A$1:$C$73,2,FALSE),"NA")</f>
        <v>NA</v>
      </c>
      <c r="J765" s="107" t="str">
        <f>IFERROR(VLOOKUP(H765,LUTs!$A$1:$C$73,3,FALSE),"NA")</f>
        <v>3South Puget Sound</v>
      </c>
      <c r="K765" s="107" t="s">
        <v>18</v>
      </c>
      <c r="L765" s="107" t="str">
        <f>VLOOKUP(K765,LUTs!E$2:G$14,3,)</f>
        <v>06King</v>
      </c>
      <c r="M765" s="107" t="str">
        <f>VLOOKUP($K765,LUTs!$E$2:$H$14,2,)</f>
        <v>South Puget Sound</v>
      </c>
      <c r="N765" s="107" t="str">
        <f>VLOOKUP($K765,LUTs!$E$2:$H$14,4,)</f>
        <v>02South Puget Sound</v>
      </c>
      <c r="O765" s="107">
        <v>7521.23890171927</v>
      </c>
      <c r="P765" s="107">
        <v>33652.622971516597</v>
      </c>
      <c r="Q765" s="107">
        <f t="shared" si="67"/>
        <v>7521.23890171927</v>
      </c>
      <c r="R765" s="107">
        <f t="shared" si="68"/>
        <v>33652.622971516597</v>
      </c>
      <c r="S765" s="140" t="str">
        <f t="shared" si="69"/>
        <v>Y</v>
      </c>
      <c r="T765" s="154">
        <f t="shared" si="70"/>
        <v>4.4743457043791004</v>
      </c>
      <c r="U765" s="154">
        <f t="shared" si="71"/>
        <v>4.4743457043791004</v>
      </c>
    </row>
    <row r="766" spans="1:21" x14ac:dyDescent="0.35">
      <c r="A766" s="107">
        <v>1188</v>
      </c>
      <c r="B766" s="107">
        <v>2013</v>
      </c>
      <c r="C766" s="107" t="s">
        <v>9</v>
      </c>
      <c r="D766" s="107" t="s">
        <v>132</v>
      </c>
      <c r="E766" s="107" t="s">
        <v>10</v>
      </c>
      <c r="F766" s="115">
        <v>11</v>
      </c>
      <c r="G766" s="107" t="s">
        <v>35</v>
      </c>
      <c r="H766" s="107" t="str">
        <f t="shared" si="66"/>
        <v>Area 11: Mid-Puget Sound</v>
      </c>
      <c r="I766" s="107" t="str">
        <f>IFERROR(VLOOKUP(H766,LUTs!$A$1:$C$73,2,FALSE),"NA")</f>
        <v>NA</v>
      </c>
      <c r="J766" s="107" t="str">
        <f>IFERROR(VLOOKUP(H766,LUTs!$A$1:$C$73,3,FALSE),"NA")</f>
        <v>3South Puget Sound</v>
      </c>
      <c r="K766" s="107" t="s">
        <v>23</v>
      </c>
      <c r="L766" s="107" t="str">
        <f>VLOOKUP(K766,LUTs!E$2:G$14,3,)</f>
        <v>10Kitsap</v>
      </c>
      <c r="M766" s="107" t="str">
        <f>VLOOKUP($K766,LUTs!$E$2:$H$14,2,)</f>
        <v>South Puget Sound</v>
      </c>
      <c r="N766" s="107" t="str">
        <f>VLOOKUP($K766,LUTs!$E$2:$H$14,4,)</f>
        <v>02South Puget Sound</v>
      </c>
      <c r="O766" s="107">
        <v>455.59045419553502</v>
      </c>
      <c r="P766" s="107">
        <v>2038.4691916859099</v>
      </c>
      <c r="Q766" s="107">
        <f t="shared" si="67"/>
        <v>455.59045419553502</v>
      </c>
      <c r="R766" s="107">
        <f t="shared" si="68"/>
        <v>2038.4691916859099</v>
      </c>
      <c r="S766" s="140" t="str">
        <f t="shared" si="69"/>
        <v>Y</v>
      </c>
      <c r="T766" s="154">
        <f t="shared" si="70"/>
        <v>4.474345704379088</v>
      </c>
      <c r="U766" s="154">
        <f t="shared" si="71"/>
        <v>4.474345704379088</v>
      </c>
    </row>
    <row r="767" spans="1:21" x14ac:dyDescent="0.35">
      <c r="A767" s="107">
        <v>1187</v>
      </c>
      <c r="B767" s="107">
        <v>2013</v>
      </c>
      <c r="C767" s="107" t="s">
        <v>9</v>
      </c>
      <c r="D767" s="107" t="s">
        <v>132</v>
      </c>
      <c r="E767" s="107" t="s">
        <v>10</v>
      </c>
      <c r="F767" s="115">
        <v>11</v>
      </c>
      <c r="G767" s="107" t="s">
        <v>35</v>
      </c>
      <c r="H767" s="107" t="str">
        <f t="shared" si="66"/>
        <v>Area 11: Mid-Puget Sound</v>
      </c>
      <c r="I767" s="107" t="str">
        <f>IFERROR(VLOOKUP(H767,LUTs!$A$1:$C$73,2,FALSE),"NA")</f>
        <v>NA</v>
      </c>
      <c r="J767" s="107" t="str">
        <f>IFERROR(VLOOKUP(H767,LUTs!$A$1:$C$73,3,FALSE),"NA")</f>
        <v>3South Puget Sound</v>
      </c>
      <c r="K767" s="107" t="s">
        <v>22</v>
      </c>
      <c r="L767" s="107" t="str">
        <f>VLOOKUP(K767,LUTs!E$2:G$14,3,)</f>
        <v>09Mason</v>
      </c>
      <c r="M767" s="107" t="str">
        <f>VLOOKUP($K767,LUTs!$E$2:$H$14,2,)</f>
        <v>South Puget Sound</v>
      </c>
      <c r="N767" s="107" t="str">
        <f>VLOOKUP($K767,LUTs!$E$2:$H$14,4,)</f>
        <v>02South Puget Sound</v>
      </c>
      <c r="O767" s="107">
        <v>51.953297408262799</v>
      </c>
      <c r="P767" s="107">
        <v>232.45701308699</v>
      </c>
      <c r="Q767" s="107">
        <f t="shared" si="67"/>
        <v>51.953297408262799</v>
      </c>
      <c r="R767" s="107">
        <f t="shared" si="68"/>
        <v>232.45701308699</v>
      </c>
      <c r="S767" s="140" t="str">
        <f t="shared" si="69"/>
        <v>Y</v>
      </c>
      <c r="T767" s="154">
        <f t="shared" si="70"/>
        <v>4.4743457043790906</v>
      </c>
      <c r="U767" s="154">
        <f t="shared" si="71"/>
        <v>4.4743457043790906</v>
      </c>
    </row>
    <row r="768" spans="1:21" x14ac:dyDescent="0.35">
      <c r="A768" s="107">
        <v>1190</v>
      </c>
      <c r="B768" s="107">
        <v>2013</v>
      </c>
      <c r="C768" s="107" t="s">
        <v>9</v>
      </c>
      <c r="D768" s="107" t="s">
        <v>132</v>
      </c>
      <c r="E768" s="107" t="s">
        <v>10</v>
      </c>
      <c r="F768" s="115">
        <v>11</v>
      </c>
      <c r="G768" s="107" t="s">
        <v>35</v>
      </c>
      <c r="H768" s="107" t="str">
        <f t="shared" si="66"/>
        <v>Area 11: Mid-Puget Sound</v>
      </c>
      <c r="I768" s="107" t="str">
        <f>IFERROR(VLOOKUP(H768,LUTs!$A$1:$C$73,2,FALSE),"NA")</f>
        <v>NA</v>
      </c>
      <c r="J768" s="107" t="str">
        <f>IFERROR(VLOOKUP(H768,LUTs!$A$1:$C$73,3,FALSE),"NA")</f>
        <v>3South Puget Sound</v>
      </c>
      <c r="K768" s="107" t="s">
        <v>26</v>
      </c>
      <c r="L768" s="107" t="str">
        <f>VLOOKUP(K768,LUTs!E$2:G$14,3,)</f>
        <v>20Other</v>
      </c>
      <c r="M768" s="107" t="str">
        <f>VLOOKUP($K768,LUTs!$E$2:$H$14,2,)</f>
        <v>Non Puget Sound</v>
      </c>
      <c r="N768" s="107" t="str">
        <f>VLOOKUP($K768,LUTs!$E$2:$H$14,4,)</f>
        <v>07Non Puget Sound</v>
      </c>
      <c r="O768" s="107">
        <v>679.38927380035898</v>
      </c>
      <c r="P768" s="107">
        <v>3039.8224788298699</v>
      </c>
      <c r="Q768" s="107">
        <f t="shared" si="67"/>
        <v>679.38927380035898</v>
      </c>
      <c r="R768" s="107">
        <f t="shared" si="68"/>
        <v>3039.8224788298699</v>
      </c>
      <c r="S768" s="140" t="str">
        <f t="shared" si="69"/>
        <v>Y</v>
      </c>
      <c r="T768" s="154">
        <f t="shared" si="70"/>
        <v>4.474345704379096</v>
      </c>
      <c r="U768" s="154">
        <f t="shared" si="71"/>
        <v>4.474345704379096</v>
      </c>
    </row>
    <row r="769" spans="1:21" x14ac:dyDescent="0.35">
      <c r="A769" s="107">
        <v>1115</v>
      </c>
      <c r="B769" s="107">
        <v>2013</v>
      </c>
      <c r="C769" s="107" t="s">
        <v>9</v>
      </c>
      <c r="D769" s="107" t="s">
        <v>132</v>
      </c>
      <c r="E769" s="107" t="s">
        <v>10</v>
      </c>
      <c r="F769" s="115">
        <v>11</v>
      </c>
      <c r="G769" s="107" t="s">
        <v>35</v>
      </c>
      <c r="H769" s="107" t="str">
        <f t="shared" si="66"/>
        <v>Area 11: Mid-Puget Sound</v>
      </c>
      <c r="I769" s="107" t="str">
        <f>IFERROR(VLOOKUP(H769,LUTs!$A$1:$C$73,2,FALSE),"NA")</f>
        <v>NA</v>
      </c>
      <c r="J769" s="107" t="str">
        <f>IFERROR(VLOOKUP(H769,LUTs!$A$1:$C$73,3,FALSE),"NA")</f>
        <v>3South Puget Sound</v>
      </c>
      <c r="K769" s="107" t="s">
        <v>20</v>
      </c>
      <c r="L769" s="107" t="str">
        <f>VLOOKUP(K769,LUTs!E$2:G$14,3,)</f>
        <v>07Pierce</v>
      </c>
      <c r="M769" s="107" t="str">
        <f>VLOOKUP($K769,LUTs!$E$2:$H$14,2,)</f>
        <v>South Puget Sound</v>
      </c>
      <c r="N769" s="107" t="str">
        <f>VLOOKUP($K769,LUTs!$E$2:$H$14,4,)</f>
        <v>02South Puget Sound</v>
      </c>
      <c r="O769" s="107">
        <v>6182.4423915832704</v>
      </c>
      <c r="P769" s="107">
        <v>27662.384557351801</v>
      </c>
      <c r="Q769" s="107">
        <f t="shared" si="67"/>
        <v>6182.4423915832704</v>
      </c>
      <c r="R769" s="107">
        <f t="shared" si="68"/>
        <v>27662.384557351801</v>
      </c>
      <c r="S769" s="140" t="str">
        <f t="shared" si="69"/>
        <v>Y</v>
      </c>
      <c r="T769" s="154">
        <f t="shared" si="70"/>
        <v>4.4743457043790915</v>
      </c>
      <c r="U769" s="154">
        <f t="shared" si="71"/>
        <v>4.4743457043790915</v>
      </c>
    </row>
    <row r="770" spans="1:21" x14ac:dyDescent="0.35">
      <c r="A770" s="107">
        <v>1111</v>
      </c>
      <c r="B770" s="107">
        <v>2013</v>
      </c>
      <c r="C770" s="107" t="s">
        <v>9</v>
      </c>
      <c r="D770" s="107" t="s">
        <v>132</v>
      </c>
      <c r="E770" s="107" t="s">
        <v>10</v>
      </c>
      <c r="F770" s="115">
        <v>11</v>
      </c>
      <c r="G770" s="107" t="s">
        <v>35</v>
      </c>
      <c r="H770" s="107" t="str">
        <f t="shared" ref="H770:H833" si="72">G770</f>
        <v>Area 11: Mid-Puget Sound</v>
      </c>
      <c r="I770" s="107" t="str">
        <f>IFERROR(VLOOKUP(H770,LUTs!$A$1:$C$73,2,FALSE),"NA")</f>
        <v>NA</v>
      </c>
      <c r="J770" s="107" t="str">
        <f>IFERROR(VLOOKUP(H770,LUTs!$A$1:$C$73,3,FALSE),"NA")</f>
        <v>3South Puget Sound</v>
      </c>
      <c r="K770" s="107" t="s">
        <v>15</v>
      </c>
      <c r="L770" s="107" t="str">
        <f>VLOOKUP(K770,LUTs!E$2:G$14,3,)</f>
        <v>02Skagit</v>
      </c>
      <c r="M770" s="107" t="str">
        <f>VLOOKUP($K770,LUTs!$E$2:$H$14,2,)</f>
        <v>North Puget Sound</v>
      </c>
      <c r="N770" s="107" t="str">
        <f>VLOOKUP($K770,LUTs!$E$2:$H$14,4,)</f>
        <v>01North Puget Sound</v>
      </c>
      <c r="O770" s="107">
        <v>55.949704901206097</v>
      </c>
      <c r="P770" s="107">
        <v>250.338321785989</v>
      </c>
      <c r="Q770" s="107">
        <f t="shared" ref="Q770:Q833" si="73">O770</f>
        <v>55.949704901206097</v>
      </c>
      <c r="R770" s="107">
        <f t="shared" ref="R770:R833" si="74">P770</f>
        <v>250.338321785989</v>
      </c>
      <c r="S770" s="140" t="str">
        <f t="shared" si="69"/>
        <v>Y</v>
      </c>
      <c r="T770" s="154">
        <f t="shared" si="70"/>
        <v>4.4743457043790862</v>
      </c>
      <c r="U770" s="154">
        <f t="shared" si="71"/>
        <v>4.4743457043790862</v>
      </c>
    </row>
    <row r="771" spans="1:21" x14ac:dyDescent="0.35">
      <c r="A771" s="107">
        <v>1112</v>
      </c>
      <c r="B771" s="107">
        <v>2013</v>
      </c>
      <c r="C771" s="107" t="s">
        <v>9</v>
      </c>
      <c r="D771" s="107" t="s">
        <v>132</v>
      </c>
      <c r="E771" s="107" t="s">
        <v>10</v>
      </c>
      <c r="F771" s="115">
        <v>11</v>
      </c>
      <c r="G771" s="107" t="s">
        <v>35</v>
      </c>
      <c r="H771" s="107" t="str">
        <f t="shared" si="72"/>
        <v>Area 11: Mid-Puget Sound</v>
      </c>
      <c r="I771" s="107" t="str">
        <f>IFERROR(VLOOKUP(H771,LUTs!$A$1:$C$73,2,FALSE),"NA")</f>
        <v>NA</v>
      </c>
      <c r="J771" s="107" t="str">
        <f>IFERROR(VLOOKUP(H771,LUTs!$A$1:$C$73,3,FALSE),"NA")</f>
        <v>3South Puget Sound</v>
      </c>
      <c r="K771" s="107" t="s">
        <v>16</v>
      </c>
      <c r="L771" s="107" t="str">
        <f>VLOOKUP(K771,LUTs!E$2:G$14,3,)</f>
        <v>03Snohomish</v>
      </c>
      <c r="M771" s="107" t="str">
        <f>VLOOKUP($K771,LUTs!$E$2:$H$14,2,)</f>
        <v>North Puget Sound</v>
      </c>
      <c r="N771" s="107" t="str">
        <f>VLOOKUP($K771,LUTs!$E$2:$H$14,4,)</f>
        <v>01North Puget Sound</v>
      </c>
      <c r="O771" s="107">
        <v>139.87426225301499</v>
      </c>
      <c r="P771" s="107">
        <v>625.84580446497296</v>
      </c>
      <c r="Q771" s="107">
        <f t="shared" si="73"/>
        <v>139.87426225301499</v>
      </c>
      <c r="R771" s="107">
        <f t="shared" si="74"/>
        <v>625.84580446497296</v>
      </c>
      <c r="S771" s="140" t="str">
        <f t="shared" ref="S771:S834" si="75">IF(B771&lt;=2019,"Y","N")</f>
        <v>Y</v>
      </c>
      <c r="T771" s="154">
        <f t="shared" ref="T771:T834" si="76">IFERROR(P771/O771,"NA")</f>
        <v>4.4743457043790977</v>
      </c>
      <c r="U771" s="154">
        <f t="shared" ref="U771:U834" si="77">IFERROR(R771/Q771,"NA")</f>
        <v>4.4743457043790977</v>
      </c>
    </row>
    <row r="772" spans="1:21" x14ac:dyDescent="0.35">
      <c r="A772" s="107">
        <v>1186</v>
      </c>
      <c r="B772" s="107">
        <v>2013</v>
      </c>
      <c r="C772" s="107" t="s">
        <v>9</v>
      </c>
      <c r="D772" s="107" t="s">
        <v>132</v>
      </c>
      <c r="E772" s="107" t="s">
        <v>10</v>
      </c>
      <c r="F772" s="115">
        <v>11</v>
      </c>
      <c r="G772" s="107" t="s">
        <v>35</v>
      </c>
      <c r="H772" s="107" t="str">
        <f t="shared" si="72"/>
        <v>Area 11: Mid-Puget Sound</v>
      </c>
      <c r="I772" s="107" t="str">
        <f>IFERROR(VLOOKUP(H772,LUTs!$A$1:$C$73,2,FALSE),"NA")</f>
        <v>NA</v>
      </c>
      <c r="J772" s="107" t="str">
        <f>IFERROR(VLOOKUP(H772,LUTs!$A$1:$C$73,3,FALSE),"NA")</f>
        <v>3South Puget Sound</v>
      </c>
      <c r="K772" s="107" t="s">
        <v>21</v>
      </c>
      <c r="L772" s="107" t="str">
        <f>VLOOKUP(K772,LUTs!E$2:G$14,3,)</f>
        <v>08Thurston</v>
      </c>
      <c r="M772" s="107" t="str">
        <f>VLOOKUP($K772,LUTs!$E$2:$H$14,2,)</f>
        <v>South Puget Sound</v>
      </c>
      <c r="N772" s="107" t="str">
        <f>VLOOKUP($K772,LUTs!$E$2:$H$14,4,)</f>
        <v>02South Puget Sound</v>
      </c>
      <c r="O772" s="107">
        <v>471.57608416730801</v>
      </c>
      <c r="P772" s="107">
        <v>2109.9944264819101</v>
      </c>
      <c r="Q772" s="107">
        <f t="shared" si="73"/>
        <v>471.57608416730801</v>
      </c>
      <c r="R772" s="107">
        <f t="shared" si="74"/>
        <v>2109.9944264819101</v>
      </c>
      <c r="S772" s="140" t="str">
        <f t="shared" si="75"/>
        <v>Y</v>
      </c>
      <c r="T772" s="154">
        <f t="shared" si="76"/>
        <v>4.4743457043790968</v>
      </c>
      <c r="U772" s="154">
        <f t="shared" si="77"/>
        <v>4.4743457043790968</v>
      </c>
    </row>
    <row r="773" spans="1:21" x14ac:dyDescent="0.35">
      <c r="A773" s="107">
        <v>3063</v>
      </c>
      <c r="B773" s="107">
        <v>2014</v>
      </c>
      <c r="C773" s="107" t="s">
        <v>9</v>
      </c>
      <c r="D773" s="107" t="s">
        <v>132</v>
      </c>
      <c r="E773" s="107" t="s">
        <v>10</v>
      </c>
      <c r="F773" s="115">
        <v>11</v>
      </c>
      <c r="G773" s="107" t="s">
        <v>35</v>
      </c>
      <c r="H773" s="107" t="str">
        <f t="shared" si="72"/>
        <v>Area 11: Mid-Puget Sound</v>
      </c>
      <c r="I773" s="107" t="str">
        <f>IFERROR(VLOOKUP(H773,LUTs!$A$1:$C$73,2,FALSE),"NA")</f>
        <v>NA</v>
      </c>
      <c r="J773" s="107" t="str">
        <f>IFERROR(VLOOKUP(H773,LUTs!$A$1:$C$73,3,FALSE),"NA")</f>
        <v>3South Puget Sound</v>
      </c>
      <c r="K773" s="107" t="s">
        <v>24</v>
      </c>
      <c r="L773" s="107" t="str">
        <f>VLOOKUP(K773,LUTs!E$2:G$14,3,)</f>
        <v>11Clallam</v>
      </c>
      <c r="M773" s="107" t="str">
        <f>VLOOKUP($K773,LUTs!$E$2:$H$14,2,)</f>
        <v>Strait of Juan de Fuca</v>
      </c>
      <c r="N773" s="107" t="str">
        <f>VLOOKUP($K773,LUTs!$E$2:$H$14,4,)</f>
        <v>03Strait of Juan de Fuca</v>
      </c>
      <c r="O773" s="107">
        <v>10.4988814317673</v>
      </c>
      <c r="P773" s="107">
        <v>110.832505592841</v>
      </c>
      <c r="Q773" s="107">
        <f t="shared" si="73"/>
        <v>10.4988814317673</v>
      </c>
      <c r="R773" s="107">
        <f t="shared" si="74"/>
        <v>110.832505592841</v>
      </c>
      <c r="S773" s="140" t="str">
        <f t="shared" si="75"/>
        <v>Y</v>
      </c>
      <c r="T773" s="154">
        <f t="shared" si="76"/>
        <v>10.556601321116579</v>
      </c>
      <c r="U773" s="154">
        <f t="shared" si="77"/>
        <v>10.556601321116579</v>
      </c>
    </row>
    <row r="774" spans="1:21" x14ac:dyDescent="0.35">
      <c r="A774" s="107">
        <v>1214</v>
      </c>
      <c r="B774" s="107">
        <v>2014</v>
      </c>
      <c r="C774" s="107" t="s">
        <v>9</v>
      </c>
      <c r="D774" s="107" t="s">
        <v>132</v>
      </c>
      <c r="E774" s="107" t="s">
        <v>10</v>
      </c>
      <c r="F774" s="115">
        <v>11</v>
      </c>
      <c r="G774" s="107" t="s">
        <v>35</v>
      </c>
      <c r="H774" s="107" t="str">
        <f t="shared" si="72"/>
        <v>Area 11: Mid-Puget Sound</v>
      </c>
      <c r="I774" s="107" t="str">
        <f>IFERROR(VLOOKUP(H774,LUTs!$A$1:$C$73,2,FALSE),"NA")</f>
        <v>NA</v>
      </c>
      <c r="J774" s="107" t="str">
        <f>IFERROR(VLOOKUP(H774,LUTs!$A$1:$C$73,3,FALSE),"NA")</f>
        <v>3South Puget Sound</v>
      </c>
      <c r="K774" s="107" t="s">
        <v>17</v>
      </c>
      <c r="L774" s="107" t="str">
        <f>VLOOKUP(K774,LUTs!E$2:G$14,3,)</f>
        <v>04Island</v>
      </c>
      <c r="M774" s="107" t="str">
        <f>VLOOKUP($K774,LUTs!$E$2:$H$14,2,)</f>
        <v>North Puget Sound</v>
      </c>
      <c r="N774" s="107" t="str">
        <f>VLOOKUP($K774,LUTs!$E$2:$H$14,4,)</f>
        <v>01North Puget Sound</v>
      </c>
      <c r="O774" s="107">
        <v>31.496644295302001</v>
      </c>
      <c r="P774" s="107">
        <v>332.49751677852402</v>
      </c>
      <c r="Q774" s="107">
        <f t="shared" si="73"/>
        <v>31.496644295302001</v>
      </c>
      <c r="R774" s="107">
        <f t="shared" si="74"/>
        <v>332.49751677852402</v>
      </c>
      <c r="S774" s="140" t="str">
        <f t="shared" si="75"/>
        <v>Y</v>
      </c>
      <c r="T774" s="154">
        <f t="shared" si="76"/>
        <v>10.556601321116577</v>
      </c>
      <c r="U774" s="154">
        <f t="shared" si="77"/>
        <v>10.556601321116577</v>
      </c>
    </row>
    <row r="775" spans="1:21" x14ac:dyDescent="0.35">
      <c r="A775" s="107">
        <v>3022</v>
      </c>
      <c r="B775" s="107">
        <v>2014</v>
      </c>
      <c r="C775" s="107" t="s">
        <v>9</v>
      </c>
      <c r="D775" s="107" t="s">
        <v>132</v>
      </c>
      <c r="E775" s="107" t="s">
        <v>10</v>
      </c>
      <c r="F775" s="115">
        <v>11</v>
      </c>
      <c r="G775" s="107" t="s">
        <v>35</v>
      </c>
      <c r="H775" s="107" t="str">
        <f t="shared" si="72"/>
        <v>Area 11: Mid-Puget Sound</v>
      </c>
      <c r="I775" s="107" t="str">
        <f>IFERROR(VLOOKUP(H775,LUTs!$A$1:$C$73,2,FALSE),"NA")</f>
        <v>NA</v>
      </c>
      <c r="J775" s="107" t="str">
        <f>IFERROR(VLOOKUP(H775,LUTs!$A$1:$C$73,3,FALSE),"NA")</f>
        <v>3South Puget Sound</v>
      </c>
      <c r="K775" s="107" t="s">
        <v>18</v>
      </c>
      <c r="L775" s="107" t="str">
        <f>VLOOKUP(K775,LUTs!E$2:G$14,3,)</f>
        <v>06King</v>
      </c>
      <c r="M775" s="107" t="str">
        <f>VLOOKUP($K775,LUTs!$E$2:$H$14,2,)</f>
        <v>South Puget Sound</v>
      </c>
      <c r="N775" s="107" t="str">
        <f>VLOOKUP($K775,LUTs!$E$2:$H$14,4,)</f>
        <v>02South Puget Sound</v>
      </c>
      <c r="O775" s="107">
        <v>1784.8098434004501</v>
      </c>
      <c r="P775" s="107">
        <v>18841.525950783001</v>
      </c>
      <c r="Q775" s="107">
        <f t="shared" si="73"/>
        <v>1784.8098434004501</v>
      </c>
      <c r="R775" s="107">
        <f t="shared" si="74"/>
        <v>18841.525950783001</v>
      </c>
      <c r="S775" s="140" t="str">
        <f t="shared" si="75"/>
        <v>Y</v>
      </c>
      <c r="T775" s="154">
        <f t="shared" si="76"/>
        <v>10.556601321116544</v>
      </c>
      <c r="U775" s="154">
        <f t="shared" si="77"/>
        <v>10.556601321116544</v>
      </c>
    </row>
    <row r="776" spans="1:21" x14ac:dyDescent="0.35">
      <c r="A776" s="107">
        <v>3026</v>
      </c>
      <c r="B776" s="107">
        <v>2014</v>
      </c>
      <c r="C776" s="107" t="s">
        <v>9</v>
      </c>
      <c r="D776" s="107" t="s">
        <v>132</v>
      </c>
      <c r="E776" s="107" t="s">
        <v>10</v>
      </c>
      <c r="F776" s="115">
        <v>11</v>
      </c>
      <c r="G776" s="107" t="s">
        <v>35</v>
      </c>
      <c r="H776" s="107" t="str">
        <f t="shared" si="72"/>
        <v>Area 11: Mid-Puget Sound</v>
      </c>
      <c r="I776" s="107" t="str">
        <f>IFERROR(VLOOKUP(H776,LUTs!$A$1:$C$73,2,FALSE),"NA")</f>
        <v>NA</v>
      </c>
      <c r="J776" s="107" t="str">
        <f>IFERROR(VLOOKUP(H776,LUTs!$A$1:$C$73,3,FALSE),"NA")</f>
        <v>3South Puget Sound</v>
      </c>
      <c r="K776" s="107" t="s">
        <v>23</v>
      </c>
      <c r="L776" s="107" t="str">
        <f>VLOOKUP(K776,LUTs!E$2:G$14,3,)</f>
        <v>10Kitsap</v>
      </c>
      <c r="M776" s="107" t="str">
        <f>VLOOKUP($K776,LUTs!$E$2:$H$14,2,)</f>
        <v>South Puget Sound</v>
      </c>
      <c r="N776" s="107" t="str">
        <f>VLOOKUP($K776,LUTs!$E$2:$H$14,4,)</f>
        <v>02South Puget Sound</v>
      </c>
      <c r="O776" s="107">
        <v>278.220357941835</v>
      </c>
      <c r="P776" s="107">
        <v>2937.06139821029</v>
      </c>
      <c r="Q776" s="107">
        <f t="shared" si="73"/>
        <v>278.220357941835</v>
      </c>
      <c r="R776" s="107">
        <f t="shared" si="74"/>
        <v>2937.06139821029</v>
      </c>
      <c r="S776" s="140" t="str">
        <f t="shared" si="75"/>
        <v>Y</v>
      </c>
      <c r="T776" s="154">
        <f t="shared" si="76"/>
        <v>10.556601321116533</v>
      </c>
      <c r="U776" s="154">
        <f t="shared" si="77"/>
        <v>10.556601321116533</v>
      </c>
    </row>
    <row r="777" spans="1:21" x14ac:dyDescent="0.35">
      <c r="A777" s="107">
        <v>3025</v>
      </c>
      <c r="B777" s="107">
        <v>2014</v>
      </c>
      <c r="C777" s="107" t="s">
        <v>9</v>
      </c>
      <c r="D777" s="107" t="s">
        <v>132</v>
      </c>
      <c r="E777" s="107" t="s">
        <v>10</v>
      </c>
      <c r="F777" s="115">
        <v>11</v>
      </c>
      <c r="G777" s="107" t="s">
        <v>35</v>
      </c>
      <c r="H777" s="107" t="str">
        <f t="shared" si="72"/>
        <v>Area 11: Mid-Puget Sound</v>
      </c>
      <c r="I777" s="107" t="str">
        <f>IFERROR(VLOOKUP(H777,LUTs!$A$1:$C$73,2,FALSE),"NA")</f>
        <v>NA</v>
      </c>
      <c r="J777" s="107" t="str">
        <f>IFERROR(VLOOKUP(H777,LUTs!$A$1:$C$73,3,FALSE),"NA")</f>
        <v>3South Puget Sound</v>
      </c>
      <c r="K777" s="107" t="s">
        <v>22</v>
      </c>
      <c r="L777" s="107" t="str">
        <f>VLOOKUP(K777,LUTs!E$2:G$14,3,)</f>
        <v>09Mason</v>
      </c>
      <c r="M777" s="107" t="str">
        <f>VLOOKUP($K777,LUTs!$E$2:$H$14,2,)</f>
        <v>South Puget Sound</v>
      </c>
      <c r="N777" s="107" t="str">
        <f>VLOOKUP($K777,LUTs!$E$2:$H$14,4,)</f>
        <v>02South Puget Sound</v>
      </c>
      <c r="O777" s="107">
        <v>20.9977628635347</v>
      </c>
      <c r="P777" s="107">
        <v>221.665011185682</v>
      </c>
      <c r="Q777" s="107">
        <f t="shared" si="73"/>
        <v>20.9977628635347</v>
      </c>
      <c r="R777" s="107">
        <f t="shared" si="74"/>
        <v>221.665011185682</v>
      </c>
      <c r="S777" s="140" t="str">
        <f t="shared" si="75"/>
        <v>Y</v>
      </c>
      <c r="T777" s="154">
        <f t="shared" si="76"/>
        <v>10.556601321116529</v>
      </c>
      <c r="U777" s="154">
        <f t="shared" si="77"/>
        <v>10.556601321116529</v>
      </c>
    </row>
    <row r="778" spans="1:21" x14ac:dyDescent="0.35">
      <c r="A778" s="107">
        <v>3064</v>
      </c>
      <c r="B778" s="107">
        <v>2014</v>
      </c>
      <c r="C778" s="107" t="s">
        <v>9</v>
      </c>
      <c r="D778" s="107" t="s">
        <v>132</v>
      </c>
      <c r="E778" s="107" t="s">
        <v>10</v>
      </c>
      <c r="F778" s="115">
        <v>11</v>
      </c>
      <c r="G778" s="107" t="s">
        <v>35</v>
      </c>
      <c r="H778" s="107" t="str">
        <f t="shared" si="72"/>
        <v>Area 11: Mid-Puget Sound</v>
      </c>
      <c r="I778" s="107" t="str">
        <f>IFERROR(VLOOKUP(H778,LUTs!$A$1:$C$73,2,FALSE),"NA")</f>
        <v>NA</v>
      </c>
      <c r="J778" s="107" t="str">
        <f>IFERROR(VLOOKUP(H778,LUTs!$A$1:$C$73,3,FALSE),"NA")</f>
        <v>3South Puget Sound</v>
      </c>
      <c r="K778" s="107" t="s">
        <v>26</v>
      </c>
      <c r="L778" s="107" t="str">
        <f>VLOOKUP(K778,LUTs!E$2:G$14,3,)</f>
        <v>20Other</v>
      </c>
      <c r="M778" s="107" t="str">
        <f>VLOOKUP($K778,LUTs!$E$2:$H$14,2,)</f>
        <v>Non Puget Sound</v>
      </c>
      <c r="N778" s="107" t="str">
        <f>VLOOKUP($K778,LUTs!$E$2:$H$14,4,)</f>
        <v>07Non Puget Sound</v>
      </c>
      <c r="O778" s="107">
        <v>241.47427293064899</v>
      </c>
      <c r="P778" s="107">
        <v>2549.14762863535</v>
      </c>
      <c r="Q778" s="107">
        <f t="shared" si="73"/>
        <v>241.47427293064899</v>
      </c>
      <c r="R778" s="107">
        <f t="shared" si="74"/>
        <v>2549.14762863535</v>
      </c>
      <c r="S778" s="140" t="str">
        <f t="shared" si="75"/>
        <v>Y</v>
      </c>
      <c r="T778" s="154">
        <f t="shared" si="76"/>
        <v>10.55660132111656</v>
      </c>
      <c r="U778" s="154">
        <f t="shared" si="77"/>
        <v>10.55660132111656</v>
      </c>
    </row>
    <row r="779" spans="1:21" x14ac:dyDescent="0.35">
      <c r="A779" s="107">
        <v>3023</v>
      </c>
      <c r="B779" s="107">
        <v>2014</v>
      </c>
      <c r="C779" s="107" t="s">
        <v>9</v>
      </c>
      <c r="D779" s="107" t="s">
        <v>132</v>
      </c>
      <c r="E779" s="107" t="s">
        <v>10</v>
      </c>
      <c r="F779" s="115">
        <v>11</v>
      </c>
      <c r="G779" s="107" t="s">
        <v>35</v>
      </c>
      <c r="H779" s="107" t="str">
        <f t="shared" si="72"/>
        <v>Area 11: Mid-Puget Sound</v>
      </c>
      <c r="I779" s="107" t="str">
        <f>IFERROR(VLOOKUP(H779,LUTs!$A$1:$C$73,2,FALSE),"NA")</f>
        <v>NA</v>
      </c>
      <c r="J779" s="107" t="str">
        <f>IFERROR(VLOOKUP(H779,LUTs!$A$1:$C$73,3,FALSE),"NA")</f>
        <v>3South Puget Sound</v>
      </c>
      <c r="K779" s="107" t="s">
        <v>20</v>
      </c>
      <c r="L779" s="107" t="str">
        <f>VLOOKUP(K779,LUTs!E$2:G$14,3,)</f>
        <v>07Pierce</v>
      </c>
      <c r="M779" s="107" t="str">
        <f>VLOOKUP($K779,LUTs!$E$2:$H$14,2,)</f>
        <v>South Puget Sound</v>
      </c>
      <c r="N779" s="107" t="str">
        <f>VLOOKUP($K779,LUTs!$E$2:$H$14,4,)</f>
        <v>02South Puget Sound</v>
      </c>
      <c r="O779" s="107">
        <v>2178.51789709172</v>
      </c>
      <c r="P779" s="107">
        <v>22997.744910514601</v>
      </c>
      <c r="Q779" s="107">
        <f t="shared" si="73"/>
        <v>2178.51789709172</v>
      </c>
      <c r="R779" s="107">
        <f t="shared" si="74"/>
        <v>22997.744910514601</v>
      </c>
      <c r="S779" s="140" t="str">
        <f t="shared" si="75"/>
        <v>Y</v>
      </c>
      <c r="T779" s="154">
        <f t="shared" si="76"/>
        <v>10.556601321116597</v>
      </c>
      <c r="U779" s="154">
        <f t="shared" si="77"/>
        <v>10.556601321116597</v>
      </c>
    </row>
    <row r="780" spans="1:21" x14ac:dyDescent="0.35">
      <c r="A780" s="107">
        <v>1212</v>
      </c>
      <c r="B780" s="107">
        <v>2014</v>
      </c>
      <c r="C780" s="107" t="s">
        <v>9</v>
      </c>
      <c r="D780" s="107" t="s">
        <v>132</v>
      </c>
      <c r="E780" s="107" t="s">
        <v>10</v>
      </c>
      <c r="F780" s="115">
        <v>11</v>
      </c>
      <c r="G780" s="107" t="s">
        <v>35</v>
      </c>
      <c r="H780" s="107" t="str">
        <f t="shared" si="72"/>
        <v>Area 11: Mid-Puget Sound</v>
      </c>
      <c r="I780" s="107" t="str">
        <f>IFERROR(VLOOKUP(H780,LUTs!$A$1:$C$73,2,FALSE),"NA")</f>
        <v>NA</v>
      </c>
      <c r="J780" s="107" t="str">
        <f>IFERROR(VLOOKUP(H780,LUTs!$A$1:$C$73,3,FALSE),"NA")</f>
        <v>3South Puget Sound</v>
      </c>
      <c r="K780" s="107" t="s">
        <v>15</v>
      </c>
      <c r="L780" s="107" t="str">
        <f>VLOOKUP(K780,LUTs!E$2:G$14,3,)</f>
        <v>02Skagit</v>
      </c>
      <c r="M780" s="107" t="str">
        <f>VLOOKUP($K780,LUTs!$E$2:$H$14,2,)</f>
        <v>North Puget Sound</v>
      </c>
      <c r="N780" s="107" t="str">
        <f>VLOOKUP($K780,LUTs!$E$2:$H$14,4,)</f>
        <v>01North Puget Sound</v>
      </c>
      <c r="O780" s="107">
        <v>68.242729306487703</v>
      </c>
      <c r="P780" s="107">
        <v>720.41128635346797</v>
      </c>
      <c r="Q780" s="107">
        <f t="shared" si="73"/>
        <v>68.242729306487703</v>
      </c>
      <c r="R780" s="107">
        <f t="shared" si="74"/>
        <v>720.41128635346797</v>
      </c>
      <c r="S780" s="140" t="str">
        <f t="shared" si="75"/>
        <v>Y</v>
      </c>
      <c r="T780" s="154">
        <f t="shared" si="76"/>
        <v>10.556601321116561</v>
      </c>
      <c r="U780" s="154">
        <f t="shared" si="77"/>
        <v>10.556601321116561</v>
      </c>
    </row>
    <row r="781" spans="1:21" x14ac:dyDescent="0.35">
      <c r="A781" s="107">
        <v>1213</v>
      </c>
      <c r="B781" s="107">
        <v>2014</v>
      </c>
      <c r="C781" s="107" t="s">
        <v>9</v>
      </c>
      <c r="D781" s="107" t="s">
        <v>132</v>
      </c>
      <c r="E781" s="107" t="s">
        <v>10</v>
      </c>
      <c r="F781" s="115">
        <v>11</v>
      </c>
      <c r="G781" s="107" t="s">
        <v>35</v>
      </c>
      <c r="H781" s="107" t="str">
        <f t="shared" si="72"/>
        <v>Area 11: Mid-Puget Sound</v>
      </c>
      <c r="I781" s="107" t="str">
        <f>IFERROR(VLOOKUP(H781,LUTs!$A$1:$C$73,2,FALSE),"NA")</f>
        <v>NA</v>
      </c>
      <c r="J781" s="107" t="str">
        <f>IFERROR(VLOOKUP(H781,LUTs!$A$1:$C$73,3,FALSE),"NA")</f>
        <v>3South Puget Sound</v>
      </c>
      <c r="K781" s="107" t="s">
        <v>16</v>
      </c>
      <c r="L781" s="107" t="str">
        <f>VLOOKUP(K781,LUTs!E$2:G$14,3,)</f>
        <v>03Snohomish</v>
      </c>
      <c r="M781" s="107" t="str">
        <f>VLOOKUP($K781,LUTs!$E$2:$H$14,2,)</f>
        <v>North Puget Sound</v>
      </c>
      <c r="N781" s="107" t="str">
        <f>VLOOKUP($K781,LUTs!$E$2:$H$14,4,)</f>
        <v>01North Puget Sound</v>
      </c>
      <c r="O781" s="107">
        <v>62.993288590604003</v>
      </c>
      <c r="P781" s="107">
        <v>664.99503355704701</v>
      </c>
      <c r="Q781" s="107">
        <f t="shared" si="73"/>
        <v>62.993288590604003</v>
      </c>
      <c r="R781" s="107">
        <f t="shared" si="74"/>
        <v>664.99503355704701</v>
      </c>
      <c r="S781" s="140" t="str">
        <f t="shared" si="75"/>
        <v>Y</v>
      </c>
      <c r="T781" s="154">
        <f t="shared" si="76"/>
        <v>10.556601321116561</v>
      </c>
      <c r="U781" s="154">
        <f t="shared" si="77"/>
        <v>10.556601321116561</v>
      </c>
    </row>
    <row r="782" spans="1:21" x14ac:dyDescent="0.35">
      <c r="A782" s="107">
        <v>3024</v>
      </c>
      <c r="B782" s="107">
        <v>2014</v>
      </c>
      <c r="C782" s="107" t="s">
        <v>9</v>
      </c>
      <c r="D782" s="107" t="s">
        <v>132</v>
      </c>
      <c r="E782" s="107" t="s">
        <v>10</v>
      </c>
      <c r="F782" s="115">
        <v>11</v>
      </c>
      <c r="G782" s="107" t="s">
        <v>35</v>
      </c>
      <c r="H782" s="107" t="str">
        <f t="shared" si="72"/>
        <v>Area 11: Mid-Puget Sound</v>
      </c>
      <c r="I782" s="107" t="str">
        <f>IFERROR(VLOOKUP(H782,LUTs!$A$1:$C$73,2,FALSE),"NA")</f>
        <v>NA</v>
      </c>
      <c r="J782" s="107" t="str">
        <f>IFERROR(VLOOKUP(H782,LUTs!$A$1:$C$73,3,FALSE),"NA")</f>
        <v>3South Puget Sound</v>
      </c>
      <c r="K782" s="107" t="s">
        <v>21</v>
      </c>
      <c r="L782" s="107" t="str">
        <f>VLOOKUP(K782,LUTs!E$2:G$14,3,)</f>
        <v>08Thurston</v>
      </c>
      <c r="M782" s="107" t="str">
        <f>VLOOKUP($K782,LUTs!$E$2:$H$14,2,)</f>
        <v>South Puget Sound</v>
      </c>
      <c r="N782" s="107" t="str">
        <f>VLOOKUP($K782,LUTs!$E$2:$H$14,4,)</f>
        <v>02South Puget Sound</v>
      </c>
      <c r="O782" s="107">
        <v>10.4988814317673</v>
      </c>
      <c r="P782" s="107">
        <v>110.832505592841</v>
      </c>
      <c r="Q782" s="107">
        <f t="shared" si="73"/>
        <v>10.4988814317673</v>
      </c>
      <c r="R782" s="107">
        <f t="shared" si="74"/>
        <v>110.832505592841</v>
      </c>
      <c r="S782" s="140" t="str">
        <f t="shared" si="75"/>
        <v>Y</v>
      </c>
      <c r="T782" s="154">
        <f t="shared" si="76"/>
        <v>10.556601321116579</v>
      </c>
      <c r="U782" s="154">
        <f t="shared" si="77"/>
        <v>10.556601321116579</v>
      </c>
    </row>
    <row r="783" spans="1:21" x14ac:dyDescent="0.35">
      <c r="A783" s="107">
        <v>1211</v>
      </c>
      <c r="B783" s="107">
        <v>2014</v>
      </c>
      <c r="C783" s="107" t="s">
        <v>9</v>
      </c>
      <c r="D783" s="107" t="s">
        <v>132</v>
      </c>
      <c r="E783" s="107" t="s">
        <v>10</v>
      </c>
      <c r="F783" s="115">
        <v>11</v>
      </c>
      <c r="G783" s="107" t="s">
        <v>35</v>
      </c>
      <c r="H783" s="107" t="str">
        <f t="shared" si="72"/>
        <v>Area 11: Mid-Puget Sound</v>
      </c>
      <c r="I783" s="107" t="str">
        <f>IFERROR(VLOOKUP(H783,LUTs!$A$1:$C$73,2,FALSE),"NA")</f>
        <v>NA</v>
      </c>
      <c r="J783" s="107" t="str">
        <f>IFERROR(VLOOKUP(H783,LUTs!$A$1:$C$73,3,FALSE),"NA")</f>
        <v>3South Puget Sound</v>
      </c>
      <c r="K783" s="107" t="s">
        <v>13</v>
      </c>
      <c r="L783" s="107" t="str">
        <f>VLOOKUP(K783,LUTs!E$2:G$14,3,)</f>
        <v>01Whatcom</v>
      </c>
      <c r="M783" s="107" t="str">
        <f>VLOOKUP($K783,LUTs!$E$2:$H$14,2,)</f>
        <v>North Puget Sound</v>
      </c>
      <c r="N783" s="107" t="str">
        <f>VLOOKUP($K783,LUTs!$E$2:$H$14,4,)</f>
        <v>01North Puget Sound</v>
      </c>
      <c r="O783" s="107">
        <v>5.2494407158836696</v>
      </c>
      <c r="P783" s="107">
        <v>55.416252796420601</v>
      </c>
      <c r="Q783" s="107">
        <f t="shared" si="73"/>
        <v>5.2494407158836696</v>
      </c>
      <c r="R783" s="107">
        <f t="shared" si="74"/>
        <v>55.416252796420601</v>
      </c>
      <c r="S783" s="140" t="str">
        <f t="shared" si="75"/>
        <v>Y</v>
      </c>
      <c r="T783" s="154">
        <f t="shared" si="76"/>
        <v>10.55660132111656</v>
      </c>
      <c r="U783" s="154">
        <f t="shared" si="77"/>
        <v>10.55660132111656</v>
      </c>
    </row>
    <row r="784" spans="1:21" x14ac:dyDescent="0.35">
      <c r="A784" s="107">
        <v>3350</v>
      </c>
      <c r="B784" s="107">
        <v>2015</v>
      </c>
      <c r="C784" s="107" t="s">
        <v>9</v>
      </c>
      <c r="D784" s="107" t="s">
        <v>132</v>
      </c>
      <c r="E784" s="107" t="s">
        <v>10</v>
      </c>
      <c r="F784" s="115">
        <v>11</v>
      </c>
      <c r="G784" s="107" t="s">
        <v>35</v>
      </c>
      <c r="H784" s="107" t="str">
        <f t="shared" si="72"/>
        <v>Area 11: Mid-Puget Sound</v>
      </c>
      <c r="I784" s="107" t="str">
        <f>IFERROR(VLOOKUP(H784,LUTs!$A$1:$C$73,2,FALSE),"NA")</f>
        <v>NA</v>
      </c>
      <c r="J784" s="107" t="str">
        <f>IFERROR(VLOOKUP(H784,LUTs!$A$1:$C$73,3,FALSE),"NA")</f>
        <v>3South Puget Sound</v>
      </c>
      <c r="K784" s="107" t="s">
        <v>17</v>
      </c>
      <c r="L784" s="107" t="str">
        <f>VLOOKUP(K784,LUTs!E$2:G$14,3,)</f>
        <v>04Island</v>
      </c>
      <c r="M784" s="107" t="str">
        <f>VLOOKUP($K784,LUTs!$E$2:$H$14,2,)</f>
        <v>North Puget Sound</v>
      </c>
      <c r="N784" s="107" t="str">
        <f>VLOOKUP($K784,LUTs!$E$2:$H$14,4,)</f>
        <v>01North Puget Sound</v>
      </c>
      <c r="O784" s="107">
        <v>4.6032403918613403</v>
      </c>
      <c r="P784" s="107">
        <v>19.3646948003014</v>
      </c>
      <c r="Q784" s="107">
        <f t="shared" si="73"/>
        <v>4.6032403918613403</v>
      </c>
      <c r="R784" s="107">
        <f t="shared" si="74"/>
        <v>19.3646948003014</v>
      </c>
      <c r="S784" s="140" t="str">
        <f t="shared" si="75"/>
        <v>Y</v>
      </c>
      <c r="T784" s="154">
        <f t="shared" si="76"/>
        <v>4.2067528853237235</v>
      </c>
      <c r="U784" s="154">
        <f t="shared" si="77"/>
        <v>4.2067528853237235</v>
      </c>
    </row>
    <row r="785" spans="1:21" x14ac:dyDescent="0.35">
      <c r="A785" s="107">
        <v>3381</v>
      </c>
      <c r="B785" s="107">
        <v>2015</v>
      </c>
      <c r="C785" s="107" t="s">
        <v>9</v>
      </c>
      <c r="D785" s="107" t="s">
        <v>132</v>
      </c>
      <c r="E785" s="107" t="s">
        <v>10</v>
      </c>
      <c r="F785" s="115">
        <v>11</v>
      </c>
      <c r="G785" s="107" t="s">
        <v>35</v>
      </c>
      <c r="H785" s="107" t="str">
        <f t="shared" si="72"/>
        <v>Area 11: Mid-Puget Sound</v>
      </c>
      <c r="I785" s="107" t="str">
        <f>IFERROR(VLOOKUP(H785,LUTs!$A$1:$C$73,2,FALSE),"NA")</f>
        <v>NA</v>
      </c>
      <c r="J785" s="107" t="str">
        <f>IFERROR(VLOOKUP(H785,LUTs!$A$1:$C$73,3,FALSE),"NA")</f>
        <v>3South Puget Sound</v>
      </c>
      <c r="K785" s="107" t="s">
        <v>18</v>
      </c>
      <c r="L785" s="107" t="str">
        <f>VLOOKUP(K785,LUTs!E$2:G$14,3,)</f>
        <v>06King</v>
      </c>
      <c r="M785" s="107" t="str">
        <f>VLOOKUP($K785,LUTs!$E$2:$H$14,2,)</f>
        <v>South Puget Sound</v>
      </c>
      <c r="N785" s="107" t="str">
        <f>VLOOKUP($K785,LUTs!$E$2:$H$14,4,)</f>
        <v>02South Puget Sound</v>
      </c>
      <c r="O785" s="107">
        <v>5832.3055764883202</v>
      </c>
      <c r="P785" s="107">
        <v>24535.0683119819</v>
      </c>
      <c r="Q785" s="107">
        <f t="shared" si="73"/>
        <v>5832.3055764883202</v>
      </c>
      <c r="R785" s="107">
        <f t="shared" si="74"/>
        <v>24535.0683119819</v>
      </c>
      <c r="S785" s="140" t="str">
        <f t="shared" si="75"/>
        <v>Y</v>
      </c>
      <c r="T785" s="154">
        <f t="shared" si="76"/>
        <v>4.2067528853237262</v>
      </c>
      <c r="U785" s="154">
        <f t="shared" si="77"/>
        <v>4.2067528853237262</v>
      </c>
    </row>
    <row r="786" spans="1:21" x14ac:dyDescent="0.35">
      <c r="A786" s="107">
        <v>3489</v>
      </c>
      <c r="B786" s="107">
        <v>2015</v>
      </c>
      <c r="C786" s="107" t="s">
        <v>9</v>
      </c>
      <c r="D786" s="107" t="s">
        <v>132</v>
      </c>
      <c r="E786" s="107" t="s">
        <v>10</v>
      </c>
      <c r="F786" s="115">
        <v>11</v>
      </c>
      <c r="G786" s="107" t="s">
        <v>35</v>
      </c>
      <c r="H786" s="107" t="str">
        <f t="shared" si="72"/>
        <v>Area 11: Mid-Puget Sound</v>
      </c>
      <c r="I786" s="107" t="str">
        <f>IFERROR(VLOOKUP(H786,LUTs!$A$1:$C$73,2,FALSE),"NA")</f>
        <v>NA</v>
      </c>
      <c r="J786" s="107" t="str">
        <f>IFERROR(VLOOKUP(H786,LUTs!$A$1:$C$73,3,FALSE),"NA")</f>
        <v>3South Puget Sound</v>
      </c>
      <c r="K786" s="107" t="s">
        <v>23</v>
      </c>
      <c r="L786" s="107" t="str">
        <f>VLOOKUP(K786,LUTs!E$2:G$14,3,)</f>
        <v>10Kitsap</v>
      </c>
      <c r="M786" s="107" t="str">
        <f>VLOOKUP($K786,LUTs!$E$2:$H$14,2,)</f>
        <v>South Puget Sound</v>
      </c>
      <c r="N786" s="107" t="str">
        <f>VLOOKUP($K786,LUTs!$E$2:$H$14,4,)</f>
        <v>02South Puget Sound</v>
      </c>
      <c r="O786" s="107">
        <v>363.65599095704601</v>
      </c>
      <c r="P786" s="107">
        <v>1529.8108892238099</v>
      </c>
      <c r="Q786" s="107">
        <f t="shared" si="73"/>
        <v>363.65599095704601</v>
      </c>
      <c r="R786" s="107">
        <f t="shared" si="74"/>
        <v>1529.8108892238099</v>
      </c>
      <c r="S786" s="140" t="str">
        <f t="shared" si="75"/>
        <v>Y</v>
      </c>
      <c r="T786" s="154">
        <f t="shared" si="76"/>
        <v>4.2067528853237199</v>
      </c>
      <c r="U786" s="154">
        <f t="shared" si="77"/>
        <v>4.2067528853237199</v>
      </c>
    </row>
    <row r="787" spans="1:21" x14ac:dyDescent="0.35">
      <c r="A787" s="107">
        <v>3448</v>
      </c>
      <c r="B787" s="107">
        <v>2015</v>
      </c>
      <c r="C787" s="107" t="s">
        <v>9</v>
      </c>
      <c r="D787" s="107" t="s">
        <v>132</v>
      </c>
      <c r="E787" s="107" t="s">
        <v>10</v>
      </c>
      <c r="F787" s="115">
        <v>11</v>
      </c>
      <c r="G787" s="107" t="s">
        <v>35</v>
      </c>
      <c r="H787" s="107" t="str">
        <f t="shared" si="72"/>
        <v>Area 11: Mid-Puget Sound</v>
      </c>
      <c r="I787" s="107" t="str">
        <f>IFERROR(VLOOKUP(H787,LUTs!$A$1:$C$73,2,FALSE),"NA")</f>
        <v>NA</v>
      </c>
      <c r="J787" s="107" t="str">
        <f>IFERROR(VLOOKUP(H787,LUTs!$A$1:$C$73,3,FALSE),"NA")</f>
        <v>3South Puget Sound</v>
      </c>
      <c r="K787" s="107" t="s">
        <v>22</v>
      </c>
      <c r="L787" s="107" t="str">
        <f>VLOOKUP(K787,LUTs!E$2:G$14,3,)</f>
        <v>09Mason</v>
      </c>
      <c r="M787" s="107" t="str">
        <f>VLOOKUP($K787,LUTs!$E$2:$H$14,2,)</f>
        <v>South Puget Sound</v>
      </c>
      <c r="N787" s="107" t="str">
        <f>VLOOKUP($K787,LUTs!$E$2:$H$14,4,)</f>
        <v>02South Puget Sound</v>
      </c>
      <c r="O787" s="107">
        <v>32.222682743029402</v>
      </c>
      <c r="P787" s="107">
        <v>135.55286360210999</v>
      </c>
      <c r="Q787" s="107">
        <f t="shared" si="73"/>
        <v>32.222682743029402</v>
      </c>
      <c r="R787" s="107">
        <f t="shared" si="74"/>
        <v>135.55286360210999</v>
      </c>
      <c r="S787" s="140" t="str">
        <f t="shared" si="75"/>
        <v>Y</v>
      </c>
      <c r="T787" s="154">
        <f t="shared" si="76"/>
        <v>4.206752885323727</v>
      </c>
      <c r="U787" s="154">
        <f t="shared" si="77"/>
        <v>4.206752885323727</v>
      </c>
    </row>
    <row r="788" spans="1:21" x14ac:dyDescent="0.35">
      <c r="A788" s="107">
        <v>3490</v>
      </c>
      <c r="B788" s="107">
        <v>2015</v>
      </c>
      <c r="C788" s="107" t="s">
        <v>9</v>
      </c>
      <c r="D788" s="107" t="s">
        <v>132</v>
      </c>
      <c r="E788" s="107" t="s">
        <v>10</v>
      </c>
      <c r="F788" s="115">
        <v>11</v>
      </c>
      <c r="G788" s="107" t="s">
        <v>35</v>
      </c>
      <c r="H788" s="107" t="str">
        <f t="shared" si="72"/>
        <v>Area 11: Mid-Puget Sound</v>
      </c>
      <c r="I788" s="107" t="str">
        <f>IFERROR(VLOOKUP(H788,LUTs!$A$1:$C$73,2,FALSE),"NA")</f>
        <v>NA</v>
      </c>
      <c r="J788" s="107" t="str">
        <f>IFERROR(VLOOKUP(H788,LUTs!$A$1:$C$73,3,FALSE),"NA")</f>
        <v>3South Puget Sound</v>
      </c>
      <c r="K788" s="107" t="s">
        <v>26</v>
      </c>
      <c r="L788" s="107" t="str">
        <f>VLOOKUP(K788,LUTs!E$2:G$14,3,)</f>
        <v>20Other</v>
      </c>
      <c r="M788" s="107" t="str">
        <f>VLOOKUP($K788,LUTs!$E$2:$H$14,2,)</f>
        <v>Non Puget Sound</v>
      </c>
      <c r="N788" s="107" t="str">
        <f>VLOOKUP($K788,LUTs!$E$2:$H$14,4,)</f>
        <v>07Non Puget Sound</v>
      </c>
      <c r="O788" s="107">
        <v>612.23097211755805</v>
      </c>
      <c r="P788" s="107">
        <v>2575.5044084400902</v>
      </c>
      <c r="Q788" s="107">
        <f t="shared" si="73"/>
        <v>612.23097211755805</v>
      </c>
      <c r="R788" s="107">
        <f t="shared" si="74"/>
        <v>2575.5044084400902</v>
      </c>
      <c r="S788" s="140" t="str">
        <f t="shared" si="75"/>
        <v>Y</v>
      </c>
      <c r="T788" s="154">
        <f t="shared" si="76"/>
        <v>4.2067528853237315</v>
      </c>
      <c r="U788" s="154">
        <f t="shared" si="77"/>
        <v>4.2067528853237315</v>
      </c>
    </row>
    <row r="789" spans="1:21" x14ac:dyDescent="0.35">
      <c r="A789" s="107">
        <v>3446</v>
      </c>
      <c r="B789" s="107">
        <v>2015</v>
      </c>
      <c r="C789" s="107" t="s">
        <v>9</v>
      </c>
      <c r="D789" s="107" t="s">
        <v>132</v>
      </c>
      <c r="E789" s="107" t="s">
        <v>10</v>
      </c>
      <c r="F789" s="115">
        <v>11</v>
      </c>
      <c r="G789" s="107" t="s">
        <v>35</v>
      </c>
      <c r="H789" s="107" t="str">
        <f t="shared" si="72"/>
        <v>Area 11: Mid-Puget Sound</v>
      </c>
      <c r="I789" s="107" t="str">
        <f>IFERROR(VLOOKUP(H789,LUTs!$A$1:$C$73,2,FALSE),"NA")</f>
        <v>NA</v>
      </c>
      <c r="J789" s="107" t="str">
        <f>IFERROR(VLOOKUP(H789,LUTs!$A$1:$C$73,3,FALSE),"NA")</f>
        <v>3South Puget Sound</v>
      </c>
      <c r="K789" s="107" t="s">
        <v>20</v>
      </c>
      <c r="L789" s="107" t="str">
        <f>VLOOKUP(K789,LUTs!E$2:G$14,3,)</f>
        <v>07Pierce</v>
      </c>
      <c r="M789" s="107" t="str">
        <f>VLOOKUP($K789,LUTs!$E$2:$H$14,2,)</f>
        <v>South Puget Sound</v>
      </c>
      <c r="N789" s="107" t="str">
        <f>VLOOKUP($K789,LUTs!$E$2:$H$14,4,)</f>
        <v>02South Puget Sound</v>
      </c>
      <c r="O789" s="107">
        <v>4902.4510173323297</v>
      </c>
      <c r="P789" s="107">
        <v>20623.399962321</v>
      </c>
      <c r="Q789" s="107">
        <f t="shared" si="73"/>
        <v>4902.4510173323297</v>
      </c>
      <c r="R789" s="107">
        <f t="shared" si="74"/>
        <v>20623.399962321</v>
      </c>
      <c r="S789" s="140" t="str">
        <f t="shared" si="75"/>
        <v>Y</v>
      </c>
      <c r="T789" s="154">
        <f t="shared" si="76"/>
        <v>4.2067528853237235</v>
      </c>
      <c r="U789" s="154">
        <f t="shared" si="77"/>
        <v>4.2067528853237235</v>
      </c>
    </row>
    <row r="790" spans="1:21" x14ac:dyDescent="0.35">
      <c r="A790" s="107">
        <v>3348</v>
      </c>
      <c r="B790" s="107">
        <v>2015</v>
      </c>
      <c r="C790" s="107" t="s">
        <v>9</v>
      </c>
      <c r="D790" s="107" t="s">
        <v>132</v>
      </c>
      <c r="E790" s="107" t="s">
        <v>10</v>
      </c>
      <c r="F790" s="115">
        <v>11</v>
      </c>
      <c r="G790" s="107" t="s">
        <v>35</v>
      </c>
      <c r="H790" s="107" t="str">
        <f t="shared" si="72"/>
        <v>Area 11: Mid-Puget Sound</v>
      </c>
      <c r="I790" s="107" t="str">
        <f>IFERROR(VLOOKUP(H790,LUTs!$A$1:$C$73,2,FALSE),"NA")</f>
        <v>NA</v>
      </c>
      <c r="J790" s="107" t="str">
        <f>IFERROR(VLOOKUP(H790,LUTs!$A$1:$C$73,3,FALSE),"NA")</f>
        <v>3South Puget Sound</v>
      </c>
      <c r="K790" s="107" t="s">
        <v>15</v>
      </c>
      <c r="L790" s="107" t="str">
        <f>VLOOKUP(K790,LUTs!E$2:G$14,3,)</f>
        <v>02Skagit</v>
      </c>
      <c r="M790" s="107" t="str">
        <f>VLOOKUP($K790,LUTs!$E$2:$H$14,2,)</f>
        <v>North Puget Sound</v>
      </c>
      <c r="N790" s="107" t="str">
        <f>VLOOKUP($K790,LUTs!$E$2:$H$14,4,)</f>
        <v>01North Puget Sound</v>
      </c>
      <c r="O790" s="107">
        <v>36.825923134890701</v>
      </c>
      <c r="P790" s="107">
        <v>154.917558402411</v>
      </c>
      <c r="Q790" s="107">
        <f t="shared" si="73"/>
        <v>36.825923134890701</v>
      </c>
      <c r="R790" s="107">
        <f t="shared" si="74"/>
        <v>154.917558402411</v>
      </c>
      <c r="S790" s="140" t="str">
        <f t="shared" si="75"/>
        <v>Y</v>
      </c>
      <c r="T790" s="154">
        <f t="shared" si="76"/>
        <v>4.2067528853237208</v>
      </c>
      <c r="U790" s="154">
        <f t="shared" si="77"/>
        <v>4.2067528853237208</v>
      </c>
    </row>
    <row r="791" spans="1:21" x14ac:dyDescent="0.35">
      <c r="A791" s="107">
        <v>3349</v>
      </c>
      <c r="B791" s="107">
        <v>2015</v>
      </c>
      <c r="C791" s="107" t="s">
        <v>9</v>
      </c>
      <c r="D791" s="107" t="s">
        <v>132</v>
      </c>
      <c r="E791" s="107" t="s">
        <v>10</v>
      </c>
      <c r="F791" s="115">
        <v>11</v>
      </c>
      <c r="G791" s="107" t="s">
        <v>35</v>
      </c>
      <c r="H791" s="107" t="str">
        <f t="shared" si="72"/>
        <v>Area 11: Mid-Puget Sound</v>
      </c>
      <c r="I791" s="107" t="str">
        <f>IFERROR(VLOOKUP(H791,LUTs!$A$1:$C$73,2,FALSE),"NA")</f>
        <v>NA</v>
      </c>
      <c r="J791" s="107" t="str">
        <f>IFERROR(VLOOKUP(H791,LUTs!$A$1:$C$73,3,FALSE),"NA")</f>
        <v>3South Puget Sound</v>
      </c>
      <c r="K791" s="107" t="s">
        <v>16</v>
      </c>
      <c r="L791" s="107" t="str">
        <f>VLOOKUP(K791,LUTs!E$2:G$14,3,)</f>
        <v>03Snohomish</v>
      </c>
      <c r="M791" s="107" t="str">
        <f>VLOOKUP($K791,LUTs!$E$2:$H$14,2,)</f>
        <v>North Puget Sound</v>
      </c>
      <c r="N791" s="107" t="str">
        <f>VLOOKUP($K791,LUTs!$E$2:$H$14,4,)</f>
        <v>01North Puget Sound</v>
      </c>
      <c r="O791" s="107">
        <v>87.461567445365503</v>
      </c>
      <c r="P791" s="107">
        <v>367.929201205727</v>
      </c>
      <c r="Q791" s="107">
        <f t="shared" si="73"/>
        <v>87.461567445365503</v>
      </c>
      <c r="R791" s="107">
        <f t="shared" si="74"/>
        <v>367.929201205727</v>
      </c>
      <c r="S791" s="140" t="str">
        <f t="shared" si="75"/>
        <v>Y</v>
      </c>
      <c r="T791" s="154">
        <f t="shared" si="76"/>
        <v>4.2067528853237262</v>
      </c>
      <c r="U791" s="154">
        <f t="shared" si="77"/>
        <v>4.2067528853237262</v>
      </c>
    </row>
    <row r="792" spans="1:21" x14ac:dyDescent="0.35">
      <c r="A792" s="107">
        <v>3447</v>
      </c>
      <c r="B792" s="107">
        <v>2015</v>
      </c>
      <c r="C792" s="107" t="s">
        <v>9</v>
      </c>
      <c r="D792" s="107" t="s">
        <v>132</v>
      </c>
      <c r="E792" s="107" t="s">
        <v>10</v>
      </c>
      <c r="F792" s="115">
        <v>11</v>
      </c>
      <c r="G792" s="107" t="s">
        <v>35</v>
      </c>
      <c r="H792" s="107" t="str">
        <f t="shared" si="72"/>
        <v>Area 11: Mid-Puget Sound</v>
      </c>
      <c r="I792" s="107" t="str">
        <f>IFERROR(VLOOKUP(H792,LUTs!$A$1:$C$73,2,FALSE),"NA")</f>
        <v>NA</v>
      </c>
      <c r="J792" s="107" t="str">
        <f>IFERROR(VLOOKUP(H792,LUTs!$A$1:$C$73,3,FALSE),"NA")</f>
        <v>3South Puget Sound</v>
      </c>
      <c r="K792" s="107" t="s">
        <v>21</v>
      </c>
      <c r="L792" s="107" t="str">
        <f>VLOOKUP(K792,LUTs!E$2:G$14,3,)</f>
        <v>08Thurston</v>
      </c>
      <c r="M792" s="107" t="str">
        <f>VLOOKUP($K792,LUTs!$E$2:$H$14,2,)</f>
        <v>South Puget Sound</v>
      </c>
      <c r="N792" s="107" t="str">
        <f>VLOOKUP($K792,LUTs!$E$2:$H$14,4,)</f>
        <v>02South Puget Sound</v>
      </c>
      <c r="O792" s="107">
        <v>345.24302938960102</v>
      </c>
      <c r="P792" s="107">
        <v>1452.3521100226101</v>
      </c>
      <c r="Q792" s="107">
        <f t="shared" si="73"/>
        <v>345.24302938960102</v>
      </c>
      <c r="R792" s="107">
        <f t="shared" si="74"/>
        <v>1452.3521100226101</v>
      </c>
      <c r="S792" s="140" t="str">
        <f t="shared" si="75"/>
        <v>Y</v>
      </c>
      <c r="T792" s="154">
        <f t="shared" si="76"/>
        <v>4.2067528853237324</v>
      </c>
      <c r="U792" s="154">
        <f t="shared" si="77"/>
        <v>4.2067528853237324</v>
      </c>
    </row>
    <row r="793" spans="1:21" x14ac:dyDescent="0.35">
      <c r="A793" s="107">
        <v>74</v>
      </c>
      <c r="B793" s="107">
        <v>2016</v>
      </c>
      <c r="C793" s="107" t="s">
        <v>9</v>
      </c>
      <c r="D793" s="107" t="s">
        <v>132</v>
      </c>
      <c r="E793" s="107" t="s">
        <v>10</v>
      </c>
      <c r="F793" s="115">
        <v>11</v>
      </c>
      <c r="G793" s="107" t="s">
        <v>35</v>
      </c>
      <c r="H793" s="107" t="str">
        <f t="shared" si="72"/>
        <v>Area 11: Mid-Puget Sound</v>
      </c>
      <c r="I793" s="107" t="str">
        <f>IFERROR(VLOOKUP(H793,LUTs!$A$1:$C$73,2,FALSE),"NA")</f>
        <v>NA</v>
      </c>
      <c r="J793" s="107" t="str">
        <f>IFERROR(VLOOKUP(H793,LUTs!$A$1:$C$73,3,FALSE),"NA")</f>
        <v>3South Puget Sound</v>
      </c>
      <c r="K793" s="107" t="s">
        <v>24</v>
      </c>
      <c r="L793" s="107" t="str">
        <f>VLOOKUP(K793,LUTs!E$2:G$14,3,)</f>
        <v>11Clallam</v>
      </c>
      <c r="M793" s="107" t="str">
        <f>VLOOKUP($K793,LUTs!$E$2:$H$14,2,)</f>
        <v>Strait of Juan de Fuca</v>
      </c>
      <c r="N793" s="107" t="str">
        <f>VLOOKUP($K793,LUTs!$E$2:$H$14,4,)</f>
        <v>03Strait of Juan de Fuca</v>
      </c>
      <c r="O793" s="107">
        <v>34.772993372221897</v>
      </c>
      <c r="P793" s="107">
        <v>307.97881619937698</v>
      </c>
      <c r="Q793" s="107">
        <f t="shared" si="73"/>
        <v>34.772993372221897</v>
      </c>
      <c r="R793" s="107">
        <f t="shared" si="74"/>
        <v>307.97881619937698</v>
      </c>
      <c r="S793" s="140" t="str">
        <f t="shared" si="75"/>
        <v>Y</v>
      </c>
      <c r="T793" s="154">
        <f t="shared" si="76"/>
        <v>8.8568393552624993</v>
      </c>
      <c r="U793" s="154">
        <f t="shared" si="77"/>
        <v>8.8568393552624993</v>
      </c>
    </row>
    <row r="794" spans="1:21" x14ac:dyDescent="0.35">
      <c r="A794" s="107">
        <v>69</v>
      </c>
      <c r="B794" s="107">
        <v>2016</v>
      </c>
      <c r="C794" s="107" t="s">
        <v>9</v>
      </c>
      <c r="D794" s="107" t="s">
        <v>132</v>
      </c>
      <c r="E794" s="107" t="s">
        <v>10</v>
      </c>
      <c r="F794" s="115">
        <v>11</v>
      </c>
      <c r="G794" s="107" t="s">
        <v>35</v>
      </c>
      <c r="H794" s="107" t="str">
        <f t="shared" si="72"/>
        <v>Area 11: Mid-Puget Sound</v>
      </c>
      <c r="I794" s="107" t="str">
        <f>IFERROR(VLOOKUP(H794,LUTs!$A$1:$C$73,2,FALSE),"NA")</f>
        <v>NA</v>
      </c>
      <c r="J794" s="107" t="str">
        <f>IFERROR(VLOOKUP(H794,LUTs!$A$1:$C$73,3,FALSE),"NA")</f>
        <v>3South Puget Sound</v>
      </c>
      <c r="K794" s="107" t="s">
        <v>17</v>
      </c>
      <c r="L794" s="107" t="str">
        <f>VLOOKUP(K794,LUTs!E$2:G$14,3,)</f>
        <v>04Island</v>
      </c>
      <c r="M794" s="107" t="str">
        <f>VLOOKUP($K794,LUTs!$E$2:$H$14,2,)</f>
        <v>North Puget Sound</v>
      </c>
      <c r="N794" s="107" t="str">
        <f>VLOOKUP($K794,LUTs!$E$2:$H$14,4,)</f>
        <v>01North Puget Sound</v>
      </c>
      <c r="O794" s="107">
        <v>6.9545986744443802</v>
      </c>
      <c r="P794" s="107">
        <v>61.595763239875403</v>
      </c>
      <c r="Q794" s="107">
        <f t="shared" si="73"/>
        <v>6.9545986744443802</v>
      </c>
      <c r="R794" s="107">
        <f t="shared" si="74"/>
        <v>61.595763239875403</v>
      </c>
      <c r="S794" s="140" t="str">
        <f t="shared" si="75"/>
        <v>Y</v>
      </c>
      <c r="T794" s="154">
        <f t="shared" si="76"/>
        <v>8.8568393552625011</v>
      </c>
      <c r="U794" s="154">
        <f t="shared" si="77"/>
        <v>8.8568393552625011</v>
      </c>
    </row>
    <row r="795" spans="1:21" x14ac:dyDescent="0.35">
      <c r="A795" s="107">
        <v>70</v>
      </c>
      <c r="B795" s="107">
        <v>2016</v>
      </c>
      <c r="C795" s="107" t="s">
        <v>9</v>
      </c>
      <c r="D795" s="107" t="s">
        <v>132</v>
      </c>
      <c r="E795" s="107" t="s">
        <v>10</v>
      </c>
      <c r="F795" s="115">
        <v>11</v>
      </c>
      <c r="G795" s="107" t="s">
        <v>35</v>
      </c>
      <c r="H795" s="107" t="str">
        <f t="shared" si="72"/>
        <v>Area 11: Mid-Puget Sound</v>
      </c>
      <c r="I795" s="107" t="str">
        <f>IFERROR(VLOOKUP(H795,LUTs!$A$1:$C$73,2,FALSE),"NA")</f>
        <v>NA</v>
      </c>
      <c r="J795" s="107" t="str">
        <f>IFERROR(VLOOKUP(H795,LUTs!$A$1:$C$73,3,FALSE),"NA")</f>
        <v>3South Puget Sound</v>
      </c>
      <c r="K795" s="107" t="s">
        <v>18</v>
      </c>
      <c r="L795" s="107" t="str">
        <f>VLOOKUP(K795,LUTs!E$2:G$14,3,)</f>
        <v>06King</v>
      </c>
      <c r="M795" s="107" t="str">
        <f>VLOOKUP($K795,LUTs!$E$2:$H$14,2,)</f>
        <v>South Puget Sound</v>
      </c>
      <c r="N795" s="107" t="str">
        <f>VLOOKUP($K795,LUTs!$E$2:$H$14,4,)</f>
        <v>02South Puget Sound</v>
      </c>
      <c r="O795" s="107">
        <v>549.413295281106</v>
      </c>
      <c r="P795" s="107">
        <v>4866.0652959501604</v>
      </c>
      <c r="Q795" s="107">
        <f t="shared" si="73"/>
        <v>549.413295281106</v>
      </c>
      <c r="R795" s="107">
        <f t="shared" si="74"/>
        <v>4866.0652959501604</v>
      </c>
      <c r="S795" s="140" t="str">
        <f t="shared" si="75"/>
        <v>Y</v>
      </c>
      <c r="T795" s="154">
        <f t="shared" si="76"/>
        <v>8.8568393552625064</v>
      </c>
      <c r="U795" s="154">
        <f t="shared" si="77"/>
        <v>8.8568393552625064</v>
      </c>
    </row>
    <row r="796" spans="1:21" x14ac:dyDescent="0.35">
      <c r="A796" s="107">
        <v>73</v>
      </c>
      <c r="B796" s="107">
        <v>2016</v>
      </c>
      <c r="C796" s="107" t="s">
        <v>9</v>
      </c>
      <c r="D796" s="107" t="s">
        <v>132</v>
      </c>
      <c r="E796" s="107" t="s">
        <v>10</v>
      </c>
      <c r="F796" s="115">
        <v>11</v>
      </c>
      <c r="G796" s="107" t="s">
        <v>35</v>
      </c>
      <c r="H796" s="107" t="str">
        <f t="shared" si="72"/>
        <v>Area 11: Mid-Puget Sound</v>
      </c>
      <c r="I796" s="107" t="str">
        <f>IFERROR(VLOOKUP(H796,LUTs!$A$1:$C$73,2,FALSE),"NA")</f>
        <v>NA</v>
      </c>
      <c r="J796" s="107" t="str">
        <f>IFERROR(VLOOKUP(H796,LUTs!$A$1:$C$73,3,FALSE),"NA")</f>
        <v>3South Puget Sound</v>
      </c>
      <c r="K796" s="107" t="s">
        <v>23</v>
      </c>
      <c r="L796" s="107" t="str">
        <f>VLOOKUP(K796,LUTs!E$2:G$14,3,)</f>
        <v>10Kitsap</v>
      </c>
      <c r="M796" s="107" t="str">
        <f>VLOOKUP($K796,LUTs!$E$2:$H$14,2,)</f>
        <v>South Puget Sound</v>
      </c>
      <c r="N796" s="107" t="str">
        <f>VLOOKUP($K796,LUTs!$E$2:$H$14,4,)</f>
        <v>02South Puget Sound</v>
      </c>
      <c r="O796" s="107">
        <v>153.00117083777599</v>
      </c>
      <c r="P796" s="107">
        <v>1355.1067912772601</v>
      </c>
      <c r="Q796" s="107">
        <f t="shared" si="73"/>
        <v>153.00117083777599</v>
      </c>
      <c r="R796" s="107">
        <f t="shared" si="74"/>
        <v>1355.1067912772601</v>
      </c>
      <c r="S796" s="140" t="str">
        <f t="shared" si="75"/>
        <v>Y</v>
      </c>
      <c r="T796" s="154">
        <f t="shared" si="76"/>
        <v>8.8568393552625295</v>
      </c>
      <c r="U796" s="154">
        <f t="shared" si="77"/>
        <v>8.8568393552625295</v>
      </c>
    </row>
    <row r="797" spans="1:21" x14ac:dyDescent="0.35">
      <c r="A797" s="107">
        <v>75</v>
      </c>
      <c r="B797" s="107">
        <v>2016</v>
      </c>
      <c r="C797" s="107" t="s">
        <v>9</v>
      </c>
      <c r="D797" s="107" t="s">
        <v>132</v>
      </c>
      <c r="E797" s="107" t="s">
        <v>10</v>
      </c>
      <c r="F797" s="115">
        <v>11</v>
      </c>
      <c r="G797" s="107" t="s">
        <v>35</v>
      </c>
      <c r="H797" s="107" t="str">
        <f t="shared" si="72"/>
        <v>Area 11: Mid-Puget Sound</v>
      </c>
      <c r="I797" s="107" t="str">
        <f>IFERROR(VLOOKUP(H797,LUTs!$A$1:$C$73,2,FALSE),"NA")</f>
        <v>NA</v>
      </c>
      <c r="J797" s="107" t="str">
        <f>IFERROR(VLOOKUP(H797,LUTs!$A$1:$C$73,3,FALSE),"NA")</f>
        <v>3South Puget Sound</v>
      </c>
      <c r="K797" s="107" t="s">
        <v>26</v>
      </c>
      <c r="L797" s="107" t="str">
        <f>VLOOKUP(K797,LUTs!E$2:G$14,3,)</f>
        <v>20Other</v>
      </c>
      <c r="M797" s="107" t="str">
        <f>VLOOKUP($K797,LUTs!$E$2:$H$14,2,)</f>
        <v>Non Puget Sound</v>
      </c>
      <c r="N797" s="107" t="str">
        <f>VLOOKUP($K797,LUTs!$E$2:$H$14,4,)</f>
        <v>07Non Puget Sound</v>
      </c>
      <c r="O797" s="107">
        <v>90.409782767776903</v>
      </c>
      <c r="P797" s="107">
        <v>800.74492211838003</v>
      </c>
      <c r="Q797" s="107">
        <f t="shared" si="73"/>
        <v>90.409782767776903</v>
      </c>
      <c r="R797" s="107">
        <f t="shared" si="74"/>
        <v>800.74492211838003</v>
      </c>
      <c r="S797" s="140" t="str">
        <f t="shared" si="75"/>
        <v>Y</v>
      </c>
      <c r="T797" s="154">
        <f t="shared" si="76"/>
        <v>8.8568393552625011</v>
      </c>
      <c r="U797" s="154">
        <f t="shared" si="77"/>
        <v>8.8568393552625011</v>
      </c>
    </row>
    <row r="798" spans="1:21" x14ac:dyDescent="0.35">
      <c r="A798" s="107">
        <v>71</v>
      </c>
      <c r="B798" s="107">
        <v>2016</v>
      </c>
      <c r="C798" s="107" t="s">
        <v>9</v>
      </c>
      <c r="D798" s="107" t="s">
        <v>132</v>
      </c>
      <c r="E798" s="107" t="s">
        <v>10</v>
      </c>
      <c r="F798" s="115">
        <v>11</v>
      </c>
      <c r="G798" s="107" t="s">
        <v>35</v>
      </c>
      <c r="H798" s="107" t="str">
        <f t="shared" si="72"/>
        <v>Area 11: Mid-Puget Sound</v>
      </c>
      <c r="I798" s="107" t="str">
        <f>IFERROR(VLOOKUP(H798,LUTs!$A$1:$C$73,2,FALSE),"NA")</f>
        <v>NA</v>
      </c>
      <c r="J798" s="107" t="str">
        <f>IFERROR(VLOOKUP(H798,LUTs!$A$1:$C$73,3,FALSE),"NA")</f>
        <v>3South Puget Sound</v>
      </c>
      <c r="K798" s="107" t="s">
        <v>20</v>
      </c>
      <c r="L798" s="107" t="str">
        <f>VLOOKUP(K798,LUTs!E$2:G$14,3,)</f>
        <v>07Pierce</v>
      </c>
      <c r="M798" s="107" t="str">
        <f>VLOOKUP($K798,LUTs!$E$2:$H$14,2,)</f>
        <v>South Puget Sound</v>
      </c>
      <c r="N798" s="107" t="str">
        <f>VLOOKUP($K798,LUTs!$E$2:$H$14,4,)</f>
        <v>02South Puget Sound</v>
      </c>
      <c r="O798" s="107">
        <v>1328.3283468188799</v>
      </c>
      <c r="P798" s="107">
        <v>11764.790778816199</v>
      </c>
      <c r="Q798" s="107">
        <f t="shared" si="73"/>
        <v>1328.3283468188799</v>
      </c>
      <c r="R798" s="107">
        <f t="shared" si="74"/>
        <v>11764.790778816199</v>
      </c>
      <c r="S798" s="140" t="str">
        <f t="shared" si="75"/>
        <v>Y</v>
      </c>
      <c r="T798" s="154">
        <f t="shared" si="76"/>
        <v>8.8568393552624762</v>
      </c>
      <c r="U798" s="154">
        <f t="shared" si="77"/>
        <v>8.8568393552624762</v>
      </c>
    </row>
    <row r="799" spans="1:21" x14ac:dyDescent="0.35">
      <c r="A799" s="107">
        <v>67</v>
      </c>
      <c r="B799" s="107">
        <v>2016</v>
      </c>
      <c r="C799" s="107" t="s">
        <v>9</v>
      </c>
      <c r="D799" s="107" t="s">
        <v>132</v>
      </c>
      <c r="E799" s="107" t="s">
        <v>10</v>
      </c>
      <c r="F799" s="115">
        <v>11</v>
      </c>
      <c r="G799" s="107" t="s">
        <v>35</v>
      </c>
      <c r="H799" s="107" t="str">
        <f t="shared" si="72"/>
        <v>Area 11: Mid-Puget Sound</v>
      </c>
      <c r="I799" s="107" t="str">
        <f>IFERROR(VLOOKUP(H799,LUTs!$A$1:$C$73,2,FALSE),"NA")</f>
        <v>NA</v>
      </c>
      <c r="J799" s="107" t="str">
        <f>IFERROR(VLOOKUP(H799,LUTs!$A$1:$C$73,3,FALSE),"NA")</f>
        <v>3South Puget Sound</v>
      </c>
      <c r="K799" s="107" t="s">
        <v>15</v>
      </c>
      <c r="L799" s="107" t="str">
        <f>VLOOKUP(K799,LUTs!E$2:G$14,3,)</f>
        <v>02Skagit</v>
      </c>
      <c r="M799" s="107" t="str">
        <f>VLOOKUP($K799,LUTs!$E$2:$H$14,2,)</f>
        <v>North Puget Sound</v>
      </c>
      <c r="N799" s="107" t="str">
        <f>VLOOKUP($K799,LUTs!$E$2:$H$14,4,)</f>
        <v>01North Puget Sound</v>
      </c>
      <c r="O799" s="107">
        <v>13.909197348888799</v>
      </c>
      <c r="P799" s="107">
        <v>123.191526479751</v>
      </c>
      <c r="Q799" s="107">
        <f t="shared" si="73"/>
        <v>13.909197348888799</v>
      </c>
      <c r="R799" s="107">
        <f t="shared" si="74"/>
        <v>123.191526479751</v>
      </c>
      <c r="S799" s="140" t="str">
        <f t="shared" si="75"/>
        <v>Y</v>
      </c>
      <c r="T799" s="154">
        <f t="shared" si="76"/>
        <v>8.8568393552624904</v>
      </c>
      <c r="U799" s="154">
        <f t="shared" si="77"/>
        <v>8.8568393552624904</v>
      </c>
    </row>
    <row r="800" spans="1:21" x14ac:dyDescent="0.35">
      <c r="A800" s="107">
        <v>68</v>
      </c>
      <c r="B800" s="107">
        <v>2016</v>
      </c>
      <c r="C800" s="107" t="s">
        <v>9</v>
      </c>
      <c r="D800" s="107" t="s">
        <v>132</v>
      </c>
      <c r="E800" s="107" t="s">
        <v>10</v>
      </c>
      <c r="F800" s="115">
        <v>11</v>
      </c>
      <c r="G800" s="107" t="s">
        <v>35</v>
      </c>
      <c r="H800" s="107" t="str">
        <f t="shared" si="72"/>
        <v>Area 11: Mid-Puget Sound</v>
      </c>
      <c r="I800" s="107" t="str">
        <f>IFERROR(VLOOKUP(H800,LUTs!$A$1:$C$73,2,FALSE),"NA")</f>
        <v>NA</v>
      </c>
      <c r="J800" s="107" t="str">
        <f>IFERROR(VLOOKUP(H800,LUTs!$A$1:$C$73,3,FALSE),"NA")</f>
        <v>3South Puget Sound</v>
      </c>
      <c r="K800" s="107" t="s">
        <v>16</v>
      </c>
      <c r="L800" s="107" t="str">
        <f>VLOOKUP(K800,LUTs!E$2:G$14,3,)</f>
        <v>03Snohomish</v>
      </c>
      <c r="M800" s="107" t="str">
        <f>VLOOKUP($K800,LUTs!$E$2:$H$14,2,)</f>
        <v>North Puget Sound</v>
      </c>
      <c r="N800" s="107" t="str">
        <f>VLOOKUP($K800,LUTs!$E$2:$H$14,4,)</f>
        <v>01North Puget Sound</v>
      </c>
      <c r="O800" s="107">
        <v>13.909197348888799</v>
      </c>
      <c r="P800" s="107">
        <v>123.191526479751</v>
      </c>
      <c r="Q800" s="107">
        <f t="shared" si="73"/>
        <v>13.909197348888799</v>
      </c>
      <c r="R800" s="107">
        <f t="shared" si="74"/>
        <v>123.191526479751</v>
      </c>
      <c r="S800" s="140" t="str">
        <f t="shared" si="75"/>
        <v>Y</v>
      </c>
      <c r="T800" s="154">
        <f t="shared" si="76"/>
        <v>8.8568393552624904</v>
      </c>
      <c r="U800" s="154">
        <f t="shared" si="77"/>
        <v>8.8568393552624904</v>
      </c>
    </row>
    <row r="801" spans="1:21" x14ac:dyDescent="0.35">
      <c r="A801" s="107">
        <v>72</v>
      </c>
      <c r="B801" s="107">
        <v>2016</v>
      </c>
      <c r="C801" s="107" t="s">
        <v>9</v>
      </c>
      <c r="D801" s="107" t="s">
        <v>132</v>
      </c>
      <c r="E801" s="107" t="s">
        <v>10</v>
      </c>
      <c r="F801" s="115">
        <v>11</v>
      </c>
      <c r="G801" s="107" t="s">
        <v>35</v>
      </c>
      <c r="H801" s="107" t="str">
        <f t="shared" si="72"/>
        <v>Area 11: Mid-Puget Sound</v>
      </c>
      <c r="I801" s="107" t="str">
        <f>IFERROR(VLOOKUP(H801,LUTs!$A$1:$C$73,2,FALSE),"NA")</f>
        <v>NA</v>
      </c>
      <c r="J801" s="107" t="str">
        <f>IFERROR(VLOOKUP(H801,LUTs!$A$1:$C$73,3,FALSE),"NA")</f>
        <v>3South Puget Sound</v>
      </c>
      <c r="K801" s="107" t="s">
        <v>21</v>
      </c>
      <c r="L801" s="107" t="str">
        <f>VLOOKUP(K801,LUTs!E$2:G$14,3,)</f>
        <v>08Thurston</v>
      </c>
      <c r="M801" s="107" t="str">
        <f>VLOOKUP($K801,LUTs!$E$2:$H$14,2,)</f>
        <v>South Puget Sound</v>
      </c>
      <c r="N801" s="107" t="str">
        <f>VLOOKUP($K801,LUTs!$E$2:$H$14,4,)</f>
        <v>02South Puget Sound</v>
      </c>
      <c r="O801" s="107">
        <v>13.909197348888799</v>
      </c>
      <c r="P801" s="107">
        <v>123.191526479751</v>
      </c>
      <c r="Q801" s="107">
        <f t="shared" si="73"/>
        <v>13.909197348888799</v>
      </c>
      <c r="R801" s="107">
        <f t="shared" si="74"/>
        <v>123.191526479751</v>
      </c>
      <c r="S801" s="140" t="str">
        <f t="shared" si="75"/>
        <v>Y</v>
      </c>
      <c r="T801" s="154">
        <f t="shared" si="76"/>
        <v>8.8568393552624904</v>
      </c>
      <c r="U801" s="154">
        <f t="shared" si="77"/>
        <v>8.8568393552624904</v>
      </c>
    </row>
    <row r="802" spans="1:21" x14ac:dyDescent="0.35">
      <c r="A802" s="107">
        <v>3724</v>
      </c>
      <c r="B802" s="107">
        <v>2016</v>
      </c>
      <c r="C802" s="107" t="s">
        <v>9</v>
      </c>
      <c r="D802" s="107" t="s">
        <v>132</v>
      </c>
      <c r="E802" s="107" t="s">
        <v>10</v>
      </c>
      <c r="F802" s="115">
        <v>11</v>
      </c>
      <c r="G802" s="107" t="s">
        <v>35</v>
      </c>
      <c r="H802" s="107" t="str">
        <f t="shared" si="72"/>
        <v>Area 11: Mid-Puget Sound</v>
      </c>
      <c r="I802" s="107" t="str">
        <f>IFERROR(VLOOKUP(H802,LUTs!$A$1:$C$73,2,FALSE),"NA")</f>
        <v>NA</v>
      </c>
      <c r="J802" s="107" t="str">
        <f>IFERROR(VLOOKUP(H802,LUTs!$A$1:$C$73,3,FALSE),"NA")</f>
        <v>3South Puget Sound</v>
      </c>
      <c r="K802" s="107" t="s">
        <v>13</v>
      </c>
      <c r="L802" s="107" t="str">
        <f>VLOOKUP(K802,LUTs!E$2:G$14,3,)</f>
        <v>01Whatcom</v>
      </c>
      <c r="M802" s="107" t="str">
        <f>VLOOKUP($K802,LUTs!$E$2:$H$14,2,)</f>
        <v>North Puget Sound</v>
      </c>
      <c r="N802" s="107" t="str">
        <f>VLOOKUP($K802,LUTs!$E$2:$H$14,4,)</f>
        <v>01North Puget Sound</v>
      </c>
      <c r="O802" s="107">
        <v>27.818394697777499</v>
      </c>
      <c r="P802" s="107">
        <v>246.38305295950201</v>
      </c>
      <c r="Q802" s="107">
        <f t="shared" si="73"/>
        <v>27.818394697777499</v>
      </c>
      <c r="R802" s="107">
        <f t="shared" si="74"/>
        <v>246.38305295950201</v>
      </c>
      <c r="S802" s="140" t="str">
        <f t="shared" si="75"/>
        <v>Y</v>
      </c>
      <c r="T802" s="154">
        <f t="shared" si="76"/>
        <v>8.8568393552625206</v>
      </c>
      <c r="U802" s="154">
        <f t="shared" si="77"/>
        <v>8.8568393552625206</v>
      </c>
    </row>
    <row r="803" spans="1:21" x14ac:dyDescent="0.35">
      <c r="A803" s="107">
        <v>186</v>
      </c>
      <c r="B803" s="107">
        <v>2017</v>
      </c>
      <c r="C803" s="107" t="s">
        <v>9</v>
      </c>
      <c r="D803" s="107" t="s">
        <v>132</v>
      </c>
      <c r="E803" s="107" t="s">
        <v>10</v>
      </c>
      <c r="F803" s="115">
        <v>11</v>
      </c>
      <c r="G803" s="107" t="s">
        <v>35</v>
      </c>
      <c r="H803" s="107" t="str">
        <f t="shared" si="72"/>
        <v>Area 11: Mid-Puget Sound</v>
      </c>
      <c r="I803" s="107" t="str">
        <f>IFERROR(VLOOKUP(H803,LUTs!$A$1:$C$73,2,FALSE),"NA")</f>
        <v>NA</v>
      </c>
      <c r="J803" s="107" t="str">
        <f>IFERROR(VLOOKUP(H803,LUTs!$A$1:$C$73,3,FALSE),"NA")</f>
        <v>3South Puget Sound</v>
      </c>
      <c r="K803" s="107" t="s">
        <v>25</v>
      </c>
      <c r="L803" s="107" t="str">
        <f>VLOOKUP(K803,LUTs!E$2:G$14,3,)</f>
        <v>12Jefferson</v>
      </c>
      <c r="M803" s="107" t="str">
        <f>VLOOKUP($K803,LUTs!$E$2:$H$14,2,)</f>
        <v>Strait of Juan de Fuca</v>
      </c>
      <c r="N803" s="107" t="str">
        <f>VLOOKUP($K803,LUTs!$E$2:$H$14,4,)</f>
        <v>03Strait of Juan de Fuca</v>
      </c>
      <c r="O803" s="107">
        <v>5.10889929742389</v>
      </c>
      <c r="P803" s="107">
        <v>21.911801350404701</v>
      </c>
      <c r="Q803" s="107">
        <f t="shared" si="73"/>
        <v>5.10889929742389</v>
      </c>
      <c r="R803" s="107">
        <f t="shared" si="74"/>
        <v>21.911801350404701</v>
      </c>
      <c r="S803" s="140" t="str">
        <f t="shared" si="75"/>
        <v>Y</v>
      </c>
      <c r="T803" s="154">
        <f t="shared" si="76"/>
        <v>4.2889475941429307</v>
      </c>
      <c r="U803" s="154">
        <f t="shared" si="77"/>
        <v>4.2889475941429307</v>
      </c>
    </row>
    <row r="804" spans="1:21" x14ac:dyDescent="0.35">
      <c r="A804" s="107">
        <v>181</v>
      </c>
      <c r="B804" s="107">
        <v>2017</v>
      </c>
      <c r="C804" s="107" t="s">
        <v>9</v>
      </c>
      <c r="D804" s="107" t="s">
        <v>132</v>
      </c>
      <c r="E804" s="107" t="s">
        <v>10</v>
      </c>
      <c r="F804" s="115">
        <v>11</v>
      </c>
      <c r="G804" s="107" t="s">
        <v>35</v>
      </c>
      <c r="H804" s="107" t="str">
        <f t="shared" si="72"/>
        <v>Area 11: Mid-Puget Sound</v>
      </c>
      <c r="I804" s="107" t="str">
        <f>IFERROR(VLOOKUP(H804,LUTs!$A$1:$C$73,2,FALSE),"NA")</f>
        <v>NA</v>
      </c>
      <c r="J804" s="107" t="str">
        <f>IFERROR(VLOOKUP(H804,LUTs!$A$1:$C$73,3,FALSE),"NA")</f>
        <v>3South Puget Sound</v>
      </c>
      <c r="K804" s="107" t="s">
        <v>18</v>
      </c>
      <c r="L804" s="107" t="str">
        <f>VLOOKUP(K804,LUTs!E$2:G$14,3,)</f>
        <v>06King</v>
      </c>
      <c r="M804" s="107" t="str">
        <f>VLOOKUP($K804,LUTs!$E$2:$H$14,2,)</f>
        <v>South Puget Sound</v>
      </c>
      <c r="N804" s="107" t="str">
        <f>VLOOKUP($K804,LUTs!$E$2:$H$14,4,)</f>
        <v>02South Puget Sound</v>
      </c>
      <c r="O804" s="107">
        <v>3366.7646370023399</v>
      </c>
      <c r="P804" s="107">
        <v>14439.877089916699</v>
      </c>
      <c r="Q804" s="107">
        <f t="shared" si="73"/>
        <v>3366.7646370023399</v>
      </c>
      <c r="R804" s="107">
        <f t="shared" si="74"/>
        <v>14439.877089916699</v>
      </c>
      <c r="S804" s="140" t="str">
        <f t="shared" si="75"/>
        <v>Y</v>
      </c>
      <c r="T804" s="154">
        <f t="shared" si="76"/>
        <v>4.2889475941429351</v>
      </c>
      <c r="U804" s="154">
        <f t="shared" si="77"/>
        <v>4.2889475941429351</v>
      </c>
    </row>
    <row r="805" spans="1:21" x14ac:dyDescent="0.35">
      <c r="A805" s="107">
        <v>185</v>
      </c>
      <c r="B805" s="107">
        <v>2017</v>
      </c>
      <c r="C805" s="107" t="s">
        <v>9</v>
      </c>
      <c r="D805" s="107" t="s">
        <v>132</v>
      </c>
      <c r="E805" s="107" t="s">
        <v>10</v>
      </c>
      <c r="F805" s="115">
        <v>11</v>
      </c>
      <c r="G805" s="107" t="s">
        <v>35</v>
      </c>
      <c r="H805" s="107" t="str">
        <f t="shared" si="72"/>
        <v>Area 11: Mid-Puget Sound</v>
      </c>
      <c r="I805" s="107" t="str">
        <f>IFERROR(VLOOKUP(H805,LUTs!$A$1:$C$73,2,FALSE),"NA")</f>
        <v>NA</v>
      </c>
      <c r="J805" s="107" t="str">
        <f>IFERROR(VLOOKUP(H805,LUTs!$A$1:$C$73,3,FALSE),"NA")</f>
        <v>3South Puget Sound</v>
      </c>
      <c r="K805" s="107" t="s">
        <v>23</v>
      </c>
      <c r="L805" s="107" t="str">
        <f>VLOOKUP(K805,LUTs!E$2:G$14,3,)</f>
        <v>10Kitsap</v>
      </c>
      <c r="M805" s="107" t="str">
        <f>VLOOKUP($K805,LUTs!$E$2:$H$14,2,)</f>
        <v>South Puget Sound</v>
      </c>
      <c r="N805" s="107" t="str">
        <f>VLOOKUP($K805,LUTs!$E$2:$H$14,4,)</f>
        <v>02South Puget Sound</v>
      </c>
      <c r="O805" s="107">
        <v>592.63231850117097</v>
      </c>
      <c r="P805" s="107">
        <v>2541.7689566469398</v>
      </c>
      <c r="Q805" s="107">
        <f t="shared" si="73"/>
        <v>592.63231850117097</v>
      </c>
      <c r="R805" s="107">
        <f t="shared" si="74"/>
        <v>2541.7689566469398</v>
      </c>
      <c r="S805" s="140" t="str">
        <f t="shared" si="75"/>
        <v>Y</v>
      </c>
      <c r="T805" s="154">
        <f t="shared" si="76"/>
        <v>4.2889475941429236</v>
      </c>
      <c r="U805" s="154">
        <f t="shared" si="77"/>
        <v>4.2889475941429236</v>
      </c>
    </row>
    <row r="806" spans="1:21" x14ac:dyDescent="0.35">
      <c r="A806" s="107">
        <v>184</v>
      </c>
      <c r="B806" s="107">
        <v>2017</v>
      </c>
      <c r="C806" s="107" t="s">
        <v>9</v>
      </c>
      <c r="D806" s="107" t="s">
        <v>132</v>
      </c>
      <c r="E806" s="107" t="s">
        <v>10</v>
      </c>
      <c r="F806" s="115">
        <v>11</v>
      </c>
      <c r="G806" s="107" t="s">
        <v>35</v>
      </c>
      <c r="H806" s="107" t="str">
        <f t="shared" si="72"/>
        <v>Area 11: Mid-Puget Sound</v>
      </c>
      <c r="I806" s="107" t="str">
        <f>IFERROR(VLOOKUP(H806,LUTs!$A$1:$C$73,2,FALSE),"NA")</f>
        <v>NA</v>
      </c>
      <c r="J806" s="107" t="str">
        <f>IFERROR(VLOOKUP(H806,LUTs!$A$1:$C$73,3,FALSE),"NA")</f>
        <v>3South Puget Sound</v>
      </c>
      <c r="K806" s="107" t="s">
        <v>22</v>
      </c>
      <c r="L806" s="107" t="str">
        <f>VLOOKUP(K806,LUTs!E$2:G$14,3,)</f>
        <v>09Mason</v>
      </c>
      <c r="M806" s="107" t="str">
        <f>VLOOKUP($K806,LUTs!$E$2:$H$14,2,)</f>
        <v>South Puget Sound</v>
      </c>
      <c r="N806" s="107" t="str">
        <f>VLOOKUP($K806,LUTs!$E$2:$H$14,4,)</f>
        <v>02South Puget Sound</v>
      </c>
      <c r="O806" s="107">
        <v>189.029274004684</v>
      </c>
      <c r="P806" s="107">
        <v>810.73664996497405</v>
      </c>
      <c r="Q806" s="107">
        <f t="shared" si="73"/>
        <v>189.029274004684</v>
      </c>
      <c r="R806" s="107">
        <f t="shared" si="74"/>
        <v>810.73664996497405</v>
      </c>
      <c r="S806" s="140" t="str">
        <f t="shared" si="75"/>
        <v>Y</v>
      </c>
      <c r="T806" s="154">
        <f t="shared" si="76"/>
        <v>4.2889475941429298</v>
      </c>
      <c r="U806" s="154">
        <f t="shared" si="77"/>
        <v>4.2889475941429298</v>
      </c>
    </row>
    <row r="807" spans="1:21" x14ac:dyDescent="0.35">
      <c r="A807" s="107">
        <v>187</v>
      </c>
      <c r="B807" s="107">
        <v>2017</v>
      </c>
      <c r="C807" s="107" t="s">
        <v>9</v>
      </c>
      <c r="D807" s="107" t="s">
        <v>132</v>
      </c>
      <c r="E807" s="107" t="s">
        <v>10</v>
      </c>
      <c r="F807" s="115">
        <v>11</v>
      </c>
      <c r="G807" s="107" t="s">
        <v>35</v>
      </c>
      <c r="H807" s="107" t="str">
        <f t="shared" si="72"/>
        <v>Area 11: Mid-Puget Sound</v>
      </c>
      <c r="I807" s="107" t="str">
        <f>IFERROR(VLOOKUP(H807,LUTs!$A$1:$C$73,2,FALSE),"NA")</f>
        <v>NA</v>
      </c>
      <c r="J807" s="107" t="str">
        <f>IFERROR(VLOOKUP(H807,LUTs!$A$1:$C$73,3,FALSE),"NA")</f>
        <v>3South Puget Sound</v>
      </c>
      <c r="K807" s="107" t="s">
        <v>26</v>
      </c>
      <c r="L807" s="107" t="str">
        <f>VLOOKUP(K807,LUTs!E$2:G$14,3,)</f>
        <v>20Other</v>
      </c>
      <c r="M807" s="107" t="str">
        <f>VLOOKUP($K807,LUTs!$E$2:$H$14,2,)</f>
        <v>Non Puget Sound</v>
      </c>
      <c r="N807" s="107" t="str">
        <f>VLOOKUP($K807,LUTs!$E$2:$H$14,4,)</f>
        <v>07Non Puget Sound</v>
      </c>
      <c r="O807" s="107">
        <v>352.514051522248</v>
      </c>
      <c r="P807" s="107">
        <v>1511.9142931779199</v>
      </c>
      <c r="Q807" s="107">
        <f t="shared" si="73"/>
        <v>352.514051522248</v>
      </c>
      <c r="R807" s="107">
        <f t="shared" si="74"/>
        <v>1511.9142931779199</v>
      </c>
      <c r="S807" s="140" t="str">
        <f t="shared" si="75"/>
        <v>Y</v>
      </c>
      <c r="T807" s="154">
        <f t="shared" si="76"/>
        <v>4.2889475941429227</v>
      </c>
      <c r="U807" s="154">
        <f t="shared" si="77"/>
        <v>4.2889475941429227</v>
      </c>
    </row>
    <row r="808" spans="1:21" x14ac:dyDescent="0.35">
      <c r="A808" s="107">
        <v>182</v>
      </c>
      <c r="B808" s="107">
        <v>2017</v>
      </c>
      <c r="C808" s="107" t="s">
        <v>9</v>
      </c>
      <c r="D808" s="107" t="s">
        <v>132</v>
      </c>
      <c r="E808" s="107" t="s">
        <v>10</v>
      </c>
      <c r="F808" s="115">
        <v>11</v>
      </c>
      <c r="G808" s="107" t="s">
        <v>35</v>
      </c>
      <c r="H808" s="107" t="str">
        <f t="shared" si="72"/>
        <v>Area 11: Mid-Puget Sound</v>
      </c>
      <c r="I808" s="107" t="str">
        <f>IFERROR(VLOOKUP(H808,LUTs!$A$1:$C$73,2,FALSE),"NA")</f>
        <v>NA</v>
      </c>
      <c r="J808" s="107" t="str">
        <f>IFERROR(VLOOKUP(H808,LUTs!$A$1:$C$73,3,FALSE),"NA")</f>
        <v>3South Puget Sound</v>
      </c>
      <c r="K808" s="107" t="s">
        <v>20</v>
      </c>
      <c r="L808" s="107" t="str">
        <f>VLOOKUP(K808,LUTs!E$2:G$14,3,)</f>
        <v>07Pierce</v>
      </c>
      <c r="M808" s="107" t="str">
        <f>VLOOKUP($K808,LUTs!$E$2:$H$14,2,)</f>
        <v>South Puget Sound</v>
      </c>
      <c r="N808" s="107" t="str">
        <f>VLOOKUP($K808,LUTs!$E$2:$H$14,4,)</f>
        <v>02South Puget Sound</v>
      </c>
      <c r="O808" s="107">
        <v>3908.3079625292698</v>
      </c>
      <c r="P808" s="107">
        <v>16762.5280330596</v>
      </c>
      <c r="Q808" s="107">
        <f t="shared" si="73"/>
        <v>3908.3079625292698</v>
      </c>
      <c r="R808" s="107">
        <f t="shared" si="74"/>
        <v>16762.5280330596</v>
      </c>
      <c r="S808" s="140" t="str">
        <f t="shared" si="75"/>
        <v>Y</v>
      </c>
      <c r="T808" s="154">
        <f t="shared" si="76"/>
        <v>4.2889475941429378</v>
      </c>
      <c r="U808" s="154">
        <f t="shared" si="77"/>
        <v>4.2889475941429378</v>
      </c>
    </row>
    <row r="809" spans="1:21" x14ac:dyDescent="0.35">
      <c r="A809" s="107">
        <v>179</v>
      </c>
      <c r="B809" s="107">
        <v>2017</v>
      </c>
      <c r="C809" s="107" t="s">
        <v>9</v>
      </c>
      <c r="D809" s="107" t="s">
        <v>132</v>
      </c>
      <c r="E809" s="107" t="s">
        <v>10</v>
      </c>
      <c r="F809" s="115">
        <v>11</v>
      </c>
      <c r="G809" s="107" t="s">
        <v>35</v>
      </c>
      <c r="H809" s="107" t="str">
        <f t="shared" si="72"/>
        <v>Area 11: Mid-Puget Sound</v>
      </c>
      <c r="I809" s="107" t="str">
        <f>IFERROR(VLOOKUP(H809,LUTs!$A$1:$C$73,2,FALSE),"NA")</f>
        <v>NA</v>
      </c>
      <c r="J809" s="107" t="str">
        <f>IFERROR(VLOOKUP(H809,LUTs!$A$1:$C$73,3,FALSE),"NA")</f>
        <v>3South Puget Sound</v>
      </c>
      <c r="K809" s="107" t="s">
        <v>15</v>
      </c>
      <c r="L809" s="107" t="str">
        <f>VLOOKUP(K809,LUTs!E$2:G$14,3,)</f>
        <v>02Skagit</v>
      </c>
      <c r="M809" s="107" t="str">
        <f>VLOOKUP($K809,LUTs!$E$2:$H$14,2,)</f>
        <v>North Puget Sound</v>
      </c>
      <c r="N809" s="107" t="str">
        <f>VLOOKUP($K809,LUTs!$E$2:$H$14,4,)</f>
        <v>01North Puget Sound</v>
      </c>
      <c r="O809" s="107">
        <v>25.5444964871194</v>
      </c>
      <c r="P809" s="107">
        <v>109.559006752023</v>
      </c>
      <c r="Q809" s="107">
        <f t="shared" si="73"/>
        <v>25.5444964871194</v>
      </c>
      <c r="R809" s="107">
        <f t="shared" si="74"/>
        <v>109.559006752023</v>
      </c>
      <c r="S809" s="140" t="str">
        <f t="shared" si="75"/>
        <v>Y</v>
      </c>
      <c r="T809" s="154">
        <f t="shared" si="76"/>
        <v>4.2889475941429192</v>
      </c>
      <c r="U809" s="154">
        <f t="shared" si="77"/>
        <v>4.2889475941429192</v>
      </c>
    </row>
    <row r="810" spans="1:21" x14ac:dyDescent="0.35">
      <c r="A810" s="107">
        <v>180</v>
      </c>
      <c r="B810" s="107">
        <v>2017</v>
      </c>
      <c r="C810" s="107" t="s">
        <v>9</v>
      </c>
      <c r="D810" s="107" t="s">
        <v>132</v>
      </c>
      <c r="E810" s="107" t="s">
        <v>10</v>
      </c>
      <c r="F810" s="115">
        <v>11</v>
      </c>
      <c r="G810" s="107" t="s">
        <v>35</v>
      </c>
      <c r="H810" s="107" t="str">
        <f t="shared" si="72"/>
        <v>Area 11: Mid-Puget Sound</v>
      </c>
      <c r="I810" s="107" t="str">
        <f>IFERROR(VLOOKUP(H810,LUTs!$A$1:$C$73,2,FALSE),"NA")</f>
        <v>NA</v>
      </c>
      <c r="J810" s="107" t="str">
        <f>IFERROR(VLOOKUP(H810,LUTs!$A$1:$C$73,3,FALSE),"NA")</f>
        <v>3South Puget Sound</v>
      </c>
      <c r="K810" s="107" t="s">
        <v>16</v>
      </c>
      <c r="L810" s="107" t="str">
        <f>VLOOKUP(K810,LUTs!E$2:G$14,3,)</f>
        <v>03Snohomish</v>
      </c>
      <c r="M810" s="107" t="str">
        <f>VLOOKUP($K810,LUTs!$E$2:$H$14,2,)</f>
        <v>North Puget Sound</v>
      </c>
      <c r="N810" s="107" t="str">
        <f>VLOOKUP($K810,LUTs!$E$2:$H$14,4,)</f>
        <v>01North Puget Sound</v>
      </c>
      <c r="O810" s="107">
        <v>178.81147540983599</v>
      </c>
      <c r="P810" s="107">
        <v>766.91304726416399</v>
      </c>
      <c r="Q810" s="107">
        <f t="shared" si="73"/>
        <v>178.81147540983599</v>
      </c>
      <c r="R810" s="107">
        <f t="shared" si="74"/>
        <v>766.91304726416399</v>
      </c>
      <c r="S810" s="140" t="str">
        <f t="shared" si="75"/>
        <v>Y</v>
      </c>
      <c r="T810" s="154">
        <f t="shared" si="76"/>
        <v>4.2889475941429316</v>
      </c>
      <c r="U810" s="154">
        <f t="shared" si="77"/>
        <v>4.2889475941429316</v>
      </c>
    </row>
    <row r="811" spans="1:21" x14ac:dyDescent="0.35">
      <c r="A811" s="107">
        <v>183</v>
      </c>
      <c r="B811" s="107">
        <v>2017</v>
      </c>
      <c r="C811" s="107" t="s">
        <v>9</v>
      </c>
      <c r="D811" s="107" t="s">
        <v>132</v>
      </c>
      <c r="E811" s="107" t="s">
        <v>10</v>
      </c>
      <c r="F811" s="115">
        <v>11</v>
      </c>
      <c r="G811" s="107" t="s">
        <v>35</v>
      </c>
      <c r="H811" s="107" t="str">
        <f t="shared" si="72"/>
        <v>Area 11: Mid-Puget Sound</v>
      </c>
      <c r="I811" s="107" t="str">
        <f>IFERROR(VLOOKUP(H811,LUTs!$A$1:$C$73,2,FALSE),"NA")</f>
        <v>NA</v>
      </c>
      <c r="J811" s="107" t="str">
        <f>IFERROR(VLOOKUP(H811,LUTs!$A$1:$C$73,3,FALSE),"NA")</f>
        <v>3South Puget Sound</v>
      </c>
      <c r="K811" s="107" t="s">
        <v>21</v>
      </c>
      <c r="L811" s="107" t="str">
        <f>VLOOKUP(K811,LUTs!E$2:G$14,3,)</f>
        <v>08Thurston</v>
      </c>
      <c r="M811" s="107" t="str">
        <f>VLOOKUP($K811,LUTs!$E$2:$H$14,2,)</f>
        <v>South Puget Sound</v>
      </c>
      <c r="N811" s="107" t="str">
        <f>VLOOKUP($K811,LUTs!$E$2:$H$14,4,)</f>
        <v>02South Puget Sound</v>
      </c>
      <c r="O811" s="107">
        <v>86.851288056206101</v>
      </c>
      <c r="P811" s="107">
        <v>372.50062295688002</v>
      </c>
      <c r="Q811" s="107">
        <f t="shared" si="73"/>
        <v>86.851288056206101</v>
      </c>
      <c r="R811" s="107">
        <f t="shared" si="74"/>
        <v>372.50062295688002</v>
      </c>
      <c r="S811" s="140" t="str">
        <f t="shared" si="75"/>
        <v>Y</v>
      </c>
      <c r="T811" s="154">
        <f t="shared" si="76"/>
        <v>4.2889475941429334</v>
      </c>
      <c r="U811" s="154">
        <f t="shared" si="77"/>
        <v>4.2889475941429334</v>
      </c>
    </row>
    <row r="812" spans="1:21" x14ac:dyDescent="0.35">
      <c r="A812" s="107">
        <v>178</v>
      </c>
      <c r="B812" s="107">
        <v>2017</v>
      </c>
      <c r="C812" s="107" t="s">
        <v>9</v>
      </c>
      <c r="D812" s="107" t="s">
        <v>132</v>
      </c>
      <c r="E812" s="107" t="s">
        <v>10</v>
      </c>
      <c r="F812" s="115">
        <v>11</v>
      </c>
      <c r="G812" s="107" t="s">
        <v>35</v>
      </c>
      <c r="H812" s="107" t="str">
        <f t="shared" si="72"/>
        <v>Area 11: Mid-Puget Sound</v>
      </c>
      <c r="I812" s="107" t="str">
        <f>IFERROR(VLOOKUP(H812,LUTs!$A$1:$C$73,2,FALSE),"NA")</f>
        <v>NA</v>
      </c>
      <c r="J812" s="107" t="str">
        <f>IFERROR(VLOOKUP(H812,LUTs!$A$1:$C$73,3,FALSE),"NA")</f>
        <v>3South Puget Sound</v>
      </c>
      <c r="K812" s="107" t="s">
        <v>13</v>
      </c>
      <c r="L812" s="107" t="str">
        <f>VLOOKUP(K812,LUTs!E$2:G$14,3,)</f>
        <v>01Whatcom</v>
      </c>
      <c r="M812" s="107" t="str">
        <f>VLOOKUP($K812,LUTs!$E$2:$H$14,2,)</f>
        <v>North Puget Sound</v>
      </c>
      <c r="N812" s="107" t="str">
        <f>VLOOKUP($K812,LUTs!$E$2:$H$14,4,)</f>
        <v>01North Puget Sound</v>
      </c>
      <c r="O812" s="107">
        <v>20.435597189695599</v>
      </c>
      <c r="P812" s="107">
        <v>87.647205401618805</v>
      </c>
      <c r="Q812" s="107">
        <f t="shared" si="73"/>
        <v>20.435597189695599</v>
      </c>
      <c r="R812" s="107">
        <f t="shared" si="74"/>
        <v>87.647205401618805</v>
      </c>
      <c r="S812" s="140" t="str">
        <f t="shared" si="75"/>
        <v>Y</v>
      </c>
      <c r="T812" s="154">
        <f t="shared" si="76"/>
        <v>4.2889475941429227</v>
      </c>
      <c r="U812" s="154">
        <f t="shared" si="77"/>
        <v>4.2889475941429227</v>
      </c>
    </row>
    <row r="813" spans="1:21" x14ac:dyDescent="0.35">
      <c r="A813" s="107">
        <v>291</v>
      </c>
      <c r="B813" s="107">
        <v>2018</v>
      </c>
      <c r="C813" s="107" t="s">
        <v>9</v>
      </c>
      <c r="D813" s="107" t="s">
        <v>132</v>
      </c>
      <c r="E813" s="107" t="s">
        <v>10</v>
      </c>
      <c r="F813" s="115">
        <v>11</v>
      </c>
      <c r="G813" s="107" t="s">
        <v>35</v>
      </c>
      <c r="H813" s="107" t="str">
        <f t="shared" si="72"/>
        <v>Area 11: Mid-Puget Sound</v>
      </c>
      <c r="I813" s="107" t="str">
        <f>IFERROR(VLOOKUP(H813,LUTs!$A$1:$C$73,2,FALSE),"NA")</f>
        <v>NA</v>
      </c>
      <c r="J813" s="107" t="str">
        <f>IFERROR(VLOOKUP(H813,LUTs!$A$1:$C$73,3,FALSE),"NA")</f>
        <v>3South Puget Sound</v>
      </c>
      <c r="K813" s="107" t="s">
        <v>17</v>
      </c>
      <c r="L813" s="107" t="str">
        <f>VLOOKUP(K813,LUTs!E$2:G$14,3,)</f>
        <v>04Island</v>
      </c>
      <c r="M813" s="107" t="str">
        <f>VLOOKUP($K813,LUTs!$E$2:$H$14,2,)</f>
        <v>North Puget Sound</v>
      </c>
      <c r="N813" s="107" t="str">
        <f>VLOOKUP($K813,LUTs!$E$2:$H$14,4,)</f>
        <v>01North Puget Sound</v>
      </c>
      <c r="O813" s="107">
        <v>6.8807947019867601</v>
      </c>
      <c r="P813" s="107">
        <v>20.637457922790901</v>
      </c>
      <c r="Q813" s="107">
        <f t="shared" si="73"/>
        <v>6.8807947019867601</v>
      </c>
      <c r="R813" s="107">
        <f t="shared" si="74"/>
        <v>20.637457922790901</v>
      </c>
      <c r="S813" s="140" t="str">
        <f t="shared" si="75"/>
        <v>Y</v>
      </c>
      <c r="T813" s="154">
        <f t="shared" si="76"/>
        <v>2.9992840677010815</v>
      </c>
      <c r="U813" s="154">
        <f t="shared" si="77"/>
        <v>2.9992840677010815</v>
      </c>
    </row>
    <row r="814" spans="1:21" x14ac:dyDescent="0.35">
      <c r="A814" s="107">
        <v>292</v>
      </c>
      <c r="B814" s="107">
        <v>2018</v>
      </c>
      <c r="C814" s="107" t="s">
        <v>9</v>
      </c>
      <c r="D814" s="107" t="s">
        <v>132</v>
      </c>
      <c r="E814" s="107" t="s">
        <v>10</v>
      </c>
      <c r="F814" s="115">
        <v>11</v>
      </c>
      <c r="G814" s="107" t="s">
        <v>35</v>
      </c>
      <c r="H814" s="107" t="str">
        <f t="shared" si="72"/>
        <v>Area 11: Mid-Puget Sound</v>
      </c>
      <c r="I814" s="107" t="str">
        <f>IFERROR(VLOOKUP(H814,LUTs!$A$1:$C$73,2,FALSE),"NA")</f>
        <v>NA</v>
      </c>
      <c r="J814" s="107" t="str">
        <f>IFERROR(VLOOKUP(H814,LUTs!$A$1:$C$73,3,FALSE),"NA")</f>
        <v>3South Puget Sound</v>
      </c>
      <c r="K814" s="107" t="s">
        <v>18</v>
      </c>
      <c r="L814" s="107" t="str">
        <f>VLOOKUP(K814,LUTs!E$2:G$14,3,)</f>
        <v>06King</v>
      </c>
      <c r="M814" s="107" t="str">
        <f>VLOOKUP($K814,LUTs!$E$2:$H$14,2,)</f>
        <v>South Puget Sound</v>
      </c>
      <c r="N814" s="107" t="str">
        <f>VLOOKUP($K814,LUTs!$E$2:$H$14,4,)</f>
        <v>02South Puget Sound</v>
      </c>
      <c r="O814" s="107">
        <v>5153.71523178808</v>
      </c>
      <c r="P814" s="107">
        <v>15457.455984170399</v>
      </c>
      <c r="Q814" s="107">
        <f t="shared" si="73"/>
        <v>5153.71523178808</v>
      </c>
      <c r="R814" s="107">
        <f t="shared" si="74"/>
        <v>15457.455984170399</v>
      </c>
      <c r="S814" s="140" t="str">
        <f t="shared" si="75"/>
        <v>Y</v>
      </c>
      <c r="T814" s="154">
        <f t="shared" si="76"/>
        <v>2.9992840677010864</v>
      </c>
      <c r="U814" s="154">
        <f t="shared" si="77"/>
        <v>2.9992840677010864</v>
      </c>
    </row>
    <row r="815" spans="1:21" x14ac:dyDescent="0.35">
      <c r="A815" s="107">
        <v>296</v>
      </c>
      <c r="B815" s="107">
        <v>2018</v>
      </c>
      <c r="C815" s="107" t="s">
        <v>9</v>
      </c>
      <c r="D815" s="107" t="s">
        <v>132</v>
      </c>
      <c r="E815" s="107" t="s">
        <v>10</v>
      </c>
      <c r="F815" s="115">
        <v>11</v>
      </c>
      <c r="G815" s="107" t="s">
        <v>35</v>
      </c>
      <c r="H815" s="107" t="str">
        <f t="shared" si="72"/>
        <v>Area 11: Mid-Puget Sound</v>
      </c>
      <c r="I815" s="107" t="str">
        <f>IFERROR(VLOOKUP(H815,LUTs!$A$1:$C$73,2,FALSE),"NA")</f>
        <v>NA</v>
      </c>
      <c r="J815" s="107" t="str">
        <f>IFERROR(VLOOKUP(H815,LUTs!$A$1:$C$73,3,FALSE),"NA")</f>
        <v>3South Puget Sound</v>
      </c>
      <c r="K815" s="107" t="s">
        <v>23</v>
      </c>
      <c r="L815" s="107" t="str">
        <f>VLOOKUP(K815,LUTs!E$2:G$14,3,)</f>
        <v>10Kitsap</v>
      </c>
      <c r="M815" s="107" t="str">
        <f>VLOOKUP($K815,LUTs!$E$2:$H$14,2,)</f>
        <v>South Puget Sound</v>
      </c>
      <c r="N815" s="107" t="str">
        <f>VLOOKUP($K815,LUTs!$E$2:$H$14,4,)</f>
        <v>02South Puget Sound</v>
      </c>
      <c r="O815" s="107">
        <v>288.99337748344402</v>
      </c>
      <c r="P815" s="107">
        <v>866.77323275721699</v>
      </c>
      <c r="Q815" s="107">
        <f t="shared" si="73"/>
        <v>288.99337748344402</v>
      </c>
      <c r="R815" s="107">
        <f t="shared" si="74"/>
        <v>866.77323275721699</v>
      </c>
      <c r="S815" s="140" t="str">
        <f t="shared" si="75"/>
        <v>Y</v>
      </c>
      <c r="T815" s="154">
        <f t="shared" si="76"/>
        <v>2.9992840677010775</v>
      </c>
      <c r="U815" s="154">
        <f t="shared" si="77"/>
        <v>2.9992840677010775</v>
      </c>
    </row>
    <row r="816" spans="1:21" x14ac:dyDescent="0.35">
      <c r="A816" s="107">
        <v>295</v>
      </c>
      <c r="B816" s="107">
        <v>2018</v>
      </c>
      <c r="C816" s="107" t="s">
        <v>9</v>
      </c>
      <c r="D816" s="107" t="s">
        <v>132</v>
      </c>
      <c r="E816" s="107" t="s">
        <v>10</v>
      </c>
      <c r="F816" s="115">
        <v>11</v>
      </c>
      <c r="G816" s="107" t="s">
        <v>35</v>
      </c>
      <c r="H816" s="107" t="str">
        <f t="shared" si="72"/>
        <v>Area 11: Mid-Puget Sound</v>
      </c>
      <c r="I816" s="107" t="str">
        <f>IFERROR(VLOOKUP(H816,LUTs!$A$1:$C$73,2,FALSE),"NA")</f>
        <v>NA</v>
      </c>
      <c r="J816" s="107" t="str">
        <f>IFERROR(VLOOKUP(H816,LUTs!$A$1:$C$73,3,FALSE),"NA")</f>
        <v>3South Puget Sound</v>
      </c>
      <c r="K816" s="107" t="s">
        <v>22</v>
      </c>
      <c r="L816" s="107" t="str">
        <f>VLOOKUP(K816,LUTs!E$2:G$14,3,)</f>
        <v>09Mason</v>
      </c>
      <c r="M816" s="107" t="str">
        <f>VLOOKUP($K816,LUTs!$E$2:$H$14,2,)</f>
        <v>South Puget Sound</v>
      </c>
      <c r="N816" s="107" t="str">
        <f>VLOOKUP($K816,LUTs!$E$2:$H$14,4,)</f>
        <v>02South Puget Sound</v>
      </c>
      <c r="O816" s="107">
        <v>89.450331125827802</v>
      </c>
      <c r="P816" s="107">
        <v>268.28695299628203</v>
      </c>
      <c r="Q816" s="107">
        <f t="shared" si="73"/>
        <v>89.450331125827802</v>
      </c>
      <c r="R816" s="107">
        <f t="shared" si="74"/>
        <v>268.28695299628203</v>
      </c>
      <c r="S816" s="140" t="str">
        <f t="shared" si="75"/>
        <v>Y</v>
      </c>
      <c r="T816" s="154">
        <f t="shared" si="76"/>
        <v>2.9992840677010877</v>
      </c>
      <c r="U816" s="154">
        <f t="shared" si="77"/>
        <v>2.9992840677010877</v>
      </c>
    </row>
    <row r="817" spans="1:21" x14ac:dyDescent="0.35">
      <c r="A817" s="107">
        <v>297</v>
      </c>
      <c r="B817" s="107">
        <v>2018</v>
      </c>
      <c r="C817" s="107" t="s">
        <v>9</v>
      </c>
      <c r="D817" s="107" t="s">
        <v>132</v>
      </c>
      <c r="E817" s="107" t="s">
        <v>10</v>
      </c>
      <c r="F817" s="115">
        <v>11</v>
      </c>
      <c r="G817" s="107" t="s">
        <v>35</v>
      </c>
      <c r="H817" s="107" t="str">
        <f t="shared" si="72"/>
        <v>Area 11: Mid-Puget Sound</v>
      </c>
      <c r="I817" s="107" t="str">
        <f>IFERROR(VLOOKUP(H817,LUTs!$A$1:$C$73,2,FALSE),"NA")</f>
        <v>NA</v>
      </c>
      <c r="J817" s="107" t="str">
        <f>IFERROR(VLOOKUP(H817,LUTs!$A$1:$C$73,3,FALSE),"NA")</f>
        <v>3South Puget Sound</v>
      </c>
      <c r="K817" s="107" t="s">
        <v>26</v>
      </c>
      <c r="L817" s="107" t="str">
        <f>VLOOKUP(K817,LUTs!E$2:G$14,3,)</f>
        <v>20Other</v>
      </c>
      <c r="M817" s="107" t="str">
        <f>VLOOKUP($K817,LUTs!$E$2:$H$14,2,)</f>
        <v>Non Puget Sound</v>
      </c>
      <c r="N817" s="107" t="str">
        <f>VLOOKUP($K817,LUTs!$E$2:$H$14,4,)</f>
        <v>07Non Puget Sound</v>
      </c>
      <c r="O817" s="107">
        <v>288.99337748344402</v>
      </c>
      <c r="P817" s="107">
        <v>866.77323275721699</v>
      </c>
      <c r="Q817" s="107">
        <f t="shared" si="73"/>
        <v>288.99337748344402</v>
      </c>
      <c r="R817" s="107">
        <f t="shared" si="74"/>
        <v>866.77323275721699</v>
      </c>
      <c r="S817" s="140" t="str">
        <f t="shared" si="75"/>
        <v>Y</v>
      </c>
      <c r="T817" s="154">
        <f t="shared" si="76"/>
        <v>2.9992840677010775</v>
      </c>
      <c r="U817" s="154">
        <f t="shared" si="77"/>
        <v>2.9992840677010775</v>
      </c>
    </row>
    <row r="818" spans="1:21" x14ac:dyDescent="0.35">
      <c r="A818" s="107">
        <v>293</v>
      </c>
      <c r="B818" s="107">
        <v>2018</v>
      </c>
      <c r="C818" s="107" t="s">
        <v>9</v>
      </c>
      <c r="D818" s="107" t="s">
        <v>132</v>
      </c>
      <c r="E818" s="107" t="s">
        <v>10</v>
      </c>
      <c r="F818" s="115">
        <v>11</v>
      </c>
      <c r="G818" s="107" t="s">
        <v>35</v>
      </c>
      <c r="H818" s="107" t="str">
        <f t="shared" si="72"/>
        <v>Area 11: Mid-Puget Sound</v>
      </c>
      <c r="I818" s="107" t="str">
        <f>IFERROR(VLOOKUP(H818,LUTs!$A$1:$C$73,2,FALSE),"NA")</f>
        <v>NA</v>
      </c>
      <c r="J818" s="107" t="str">
        <f>IFERROR(VLOOKUP(H818,LUTs!$A$1:$C$73,3,FALSE),"NA")</f>
        <v>3South Puget Sound</v>
      </c>
      <c r="K818" s="107" t="s">
        <v>20</v>
      </c>
      <c r="L818" s="107" t="str">
        <f>VLOOKUP(K818,LUTs!E$2:G$14,3,)</f>
        <v>07Pierce</v>
      </c>
      <c r="M818" s="107" t="str">
        <f>VLOOKUP($K818,LUTs!$E$2:$H$14,2,)</f>
        <v>South Puget Sound</v>
      </c>
      <c r="N818" s="107" t="str">
        <f>VLOOKUP($K818,LUTs!$E$2:$H$14,4,)</f>
        <v>02South Puget Sound</v>
      </c>
      <c r="O818" s="107">
        <v>6316.56953642384</v>
      </c>
      <c r="P818" s="107">
        <v>18945.186373122</v>
      </c>
      <c r="Q818" s="107">
        <f t="shared" si="73"/>
        <v>6316.56953642384</v>
      </c>
      <c r="R818" s="107">
        <f t="shared" si="74"/>
        <v>18945.186373122</v>
      </c>
      <c r="S818" s="140" t="str">
        <f t="shared" si="75"/>
        <v>Y</v>
      </c>
      <c r="T818" s="154">
        <f t="shared" si="76"/>
        <v>2.999284067701077</v>
      </c>
      <c r="U818" s="154">
        <f t="shared" si="77"/>
        <v>2.999284067701077</v>
      </c>
    </row>
    <row r="819" spans="1:21" x14ac:dyDescent="0.35">
      <c r="A819" s="107">
        <v>289</v>
      </c>
      <c r="B819" s="107">
        <v>2018</v>
      </c>
      <c r="C819" s="107" t="s">
        <v>9</v>
      </c>
      <c r="D819" s="107" t="s">
        <v>132</v>
      </c>
      <c r="E819" s="107" t="s">
        <v>10</v>
      </c>
      <c r="F819" s="115">
        <v>11</v>
      </c>
      <c r="G819" s="107" t="s">
        <v>35</v>
      </c>
      <c r="H819" s="107" t="str">
        <f t="shared" si="72"/>
        <v>Area 11: Mid-Puget Sound</v>
      </c>
      <c r="I819" s="107" t="str">
        <f>IFERROR(VLOOKUP(H819,LUTs!$A$1:$C$73,2,FALSE),"NA")</f>
        <v>NA</v>
      </c>
      <c r="J819" s="107" t="str">
        <f>IFERROR(VLOOKUP(H819,LUTs!$A$1:$C$73,3,FALSE),"NA")</f>
        <v>3South Puget Sound</v>
      </c>
      <c r="K819" s="107" t="s">
        <v>15</v>
      </c>
      <c r="L819" s="107" t="str">
        <f>VLOOKUP(K819,LUTs!E$2:G$14,3,)</f>
        <v>02Skagit</v>
      </c>
      <c r="M819" s="107" t="str">
        <f>VLOOKUP($K819,LUTs!$E$2:$H$14,2,)</f>
        <v>North Puget Sound</v>
      </c>
      <c r="N819" s="107" t="str">
        <f>VLOOKUP($K819,LUTs!$E$2:$H$14,4,)</f>
        <v>01North Puget Sound</v>
      </c>
      <c r="O819" s="107">
        <v>34.403973509933799</v>
      </c>
      <c r="P819" s="107">
        <v>103.18728961395399</v>
      </c>
      <c r="Q819" s="107">
        <f t="shared" si="73"/>
        <v>34.403973509933799</v>
      </c>
      <c r="R819" s="107">
        <f t="shared" si="74"/>
        <v>103.18728961395399</v>
      </c>
      <c r="S819" s="140" t="str">
        <f t="shared" si="75"/>
        <v>Y</v>
      </c>
      <c r="T819" s="154">
        <f t="shared" si="76"/>
        <v>2.9992840677010668</v>
      </c>
      <c r="U819" s="154">
        <f t="shared" si="77"/>
        <v>2.9992840677010668</v>
      </c>
    </row>
    <row r="820" spans="1:21" x14ac:dyDescent="0.35">
      <c r="A820" s="107">
        <v>290</v>
      </c>
      <c r="B820" s="107">
        <v>2018</v>
      </c>
      <c r="C820" s="107" t="s">
        <v>9</v>
      </c>
      <c r="D820" s="107" t="s">
        <v>132</v>
      </c>
      <c r="E820" s="107" t="s">
        <v>10</v>
      </c>
      <c r="F820" s="115">
        <v>11</v>
      </c>
      <c r="G820" s="107" t="s">
        <v>35</v>
      </c>
      <c r="H820" s="107" t="str">
        <f t="shared" si="72"/>
        <v>Area 11: Mid-Puget Sound</v>
      </c>
      <c r="I820" s="107" t="str">
        <f>IFERROR(VLOOKUP(H820,LUTs!$A$1:$C$73,2,FALSE),"NA")</f>
        <v>NA</v>
      </c>
      <c r="J820" s="107" t="str">
        <f>IFERROR(VLOOKUP(H820,LUTs!$A$1:$C$73,3,FALSE),"NA")</f>
        <v>3South Puget Sound</v>
      </c>
      <c r="K820" s="107" t="s">
        <v>16</v>
      </c>
      <c r="L820" s="107" t="str">
        <f>VLOOKUP(K820,LUTs!E$2:G$14,3,)</f>
        <v>03Snohomish</v>
      </c>
      <c r="M820" s="107" t="str">
        <f>VLOOKUP($K820,LUTs!$E$2:$H$14,2,)</f>
        <v>North Puget Sound</v>
      </c>
      <c r="N820" s="107" t="str">
        <f>VLOOKUP($K820,LUTs!$E$2:$H$14,4,)</f>
        <v>01North Puget Sound</v>
      </c>
      <c r="O820" s="107">
        <v>110.09271523178801</v>
      </c>
      <c r="P820" s="107">
        <v>330.19932676465402</v>
      </c>
      <c r="Q820" s="107">
        <f t="shared" si="73"/>
        <v>110.09271523178801</v>
      </c>
      <c r="R820" s="107">
        <f t="shared" si="74"/>
        <v>330.19932676465402</v>
      </c>
      <c r="S820" s="140" t="str">
        <f t="shared" si="75"/>
        <v>Y</v>
      </c>
      <c r="T820" s="154">
        <f t="shared" si="76"/>
        <v>2.9992840677010824</v>
      </c>
      <c r="U820" s="154">
        <f t="shared" si="77"/>
        <v>2.9992840677010824</v>
      </c>
    </row>
    <row r="821" spans="1:21" x14ac:dyDescent="0.35">
      <c r="A821" s="107">
        <v>294</v>
      </c>
      <c r="B821" s="107">
        <v>2018</v>
      </c>
      <c r="C821" s="107" t="s">
        <v>9</v>
      </c>
      <c r="D821" s="107" t="s">
        <v>132</v>
      </c>
      <c r="E821" s="107" t="s">
        <v>10</v>
      </c>
      <c r="F821" s="115">
        <v>11</v>
      </c>
      <c r="G821" s="107" t="s">
        <v>35</v>
      </c>
      <c r="H821" s="107" t="str">
        <f t="shared" si="72"/>
        <v>Area 11: Mid-Puget Sound</v>
      </c>
      <c r="I821" s="107" t="str">
        <f>IFERROR(VLOOKUP(H821,LUTs!$A$1:$C$73,2,FALSE),"NA")</f>
        <v>NA</v>
      </c>
      <c r="J821" s="107" t="str">
        <f>IFERROR(VLOOKUP(H821,LUTs!$A$1:$C$73,3,FALSE),"NA")</f>
        <v>3South Puget Sound</v>
      </c>
      <c r="K821" s="107" t="s">
        <v>21</v>
      </c>
      <c r="L821" s="107" t="str">
        <f>VLOOKUP(K821,LUTs!E$2:G$14,3,)</f>
        <v>08Thurston</v>
      </c>
      <c r="M821" s="107" t="str">
        <f>VLOOKUP($K821,LUTs!$E$2:$H$14,2,)</f>
        <v>South Puget Sound</v>
      </c>
      <c r="N821" s="107" t="str">
        <f>VLOOKUP($K821,LUTs!$E$2:$H$14,4,)</f>
        <v>02South Puget Sound</v>
      </c>
      <c r="O821" s="107">
        <v>165.139072847682</v>
      </c>
      <c r="P821" s="107">
        <v>495.298990146981</v>
      </c>
      <c r="Q821" s="107">
        <f t="shared" si="73"/>
        <v>165.139072847682</v>
      </c>
      <c r="R821" s="107">
        <f t="shared" si="74"/>
        <v>495.298990146981</v>
      </c>
      <c r="S821" s="140" t="str">
        <f t="shared" si="75"/>
        <v>Y</v>
      </c>
      <c r="T821" s="154">
        <f t="shared" si="76"/>
        <v>2.9992840677010819</v>
      </c>
      <c r="U821" s="154">
        <f t="shared" si="77"/>
        <v>2.9992840677010819</v>
      </c>
    </row>
    <row r="822" spans="1:21" x14ac:dyDescent="0.35">
      <c r="A822" s="107">
        <v>288</v>
      </c>
      <c r="B822" s="107">
        <v>2018</v>
      </c>
      <c r="C822" s="107" t="s">
        <v>9</v>
      </c>
      <c r="D822" s="107" t="s">
        <v>132</v>
      </c>
      <c r="E822" s="107" t="s">
        <v>10</v>
      </c>
      <c r="F822" s="115">
        <v>11</v>
      </c>
      <c r="G822" s="107" t="s">
        <v>35</v>
      </c>
      <c r="H822" s="107" t="str">
        <f t="shared" si="72"/>
        <v>Area 11: Mid-Puget Sound</v>
      </c>
      <c r="I822" s="107" t="str">
        <f>IFERROR(VLOOKUP(H822,LUTs!$A$1:$C$73,2,FALSE),"NA")</f>
        <v>NA</v>
      </c>
      <c r="J822" s="107" t="str">
        <f>IFERROR(VLOOKUP(H822,LUTs!$A$1:$C$73,3,FALSE),"NA")</f>
        <v>3South Puget Sound</v>
      </c>
      <c r="K822" s="107" t="s">
        <v>13</v>
      </c>
      <c r="L822" s="107" t="str">
        <f>VLOOKUP(K822,LUTs!E$2:G$14,3,)</f>
        <v>01Whatcom</v>
      </c>
      <c r="M822" s="107" t="str">
        <f>VLOOKUP($K822,LUTs!$E$2:$H$14,2,)</f>
        <v>North Puget Sound</v>
      </c>
      <c r="N822" s="107" t="str">
        <f>VLOOKUP($K822,LUTs!$E$2:$H$14,4,)</f>
        <v>01North Puget Sound</v>
      </c>
      <c r="O822" s="107">
        <v>13.761589403973501</v>
      </c>
      <c r="P822" s="107">
        <v>41.274915845581802</v>
      </c>
      <c r="Q822" s="107">
        <f t="shared" si="73"/>
        <v>13.761589403973501</v>
      </c>
      <c r="R822" s="107">
        <f t="shared" si="74"/>
        <v>41.274915845581802</v>
      </c>
      <c r="S822" s="140" t="str">
        <f t="shared" si="75"/>
        <v>Y</v>
      </c>
      <c r="T822" s="154">
        <f t="shared" si="76"/>
        <v>2.9992840677010859</v>
      </c>
      <c r="U822" s="154">
        <f t="shared" si="77"/>
        <v>2.9992840677010859</v>
      </c>
    </row>
    <row r="823" spans="1:21" x14ac:dyDescent="0.35">
      <c r="A823" s="107">
        <v>407</v>
      </c>
      <c r="B823" s="107">
        <v>2019</v>
      </c>
      <c r="C823" s="107" t="s">
        <v>9</v>
      </c>
      <c r="D823" s="107" t="s">
        <v>132</v>
      </c>
      <c r="E823" s="107" t="s">
        <v>10</v>
      </c>
      <c r="F823" s="115">
        <v>11</v>
      </c>
      <c r="G823" s="107" t="s">
        <v>35</v>
      </c>
      <c r="H823" s="107" t="str">
        <f t="shared" si="72"/>
        <v>Area 11: Mid-Puget Sound</v>
      </c>
      <c r="I823" s="107" t="str">
        <f>IFERROR(VLOOKUP(H823,LUTs!$A$1:$C$73,2,FALSE),"NA")</f>
        <v>NA</v>
      </c>
      <c r="J823" s="107" t="str">
        <f>IFERROR(VLOOKUP(H823,LUTs!$A$1:$C$73,3,FALSE),"NA")</f>
        <v>3South Puget Sound</v>
      </c>
      <c r="K823" s="107" t="s">
        <v>24</v>
      </c>
      <c r="L823" s="107" t="str">
        <f>VLOOKUP(K823,LUTs!E$2:G$14,3,)</f>
        <v>11Clallam</v>
      </c>
      <c r="M823" s="107" t="str">
        <f>VLOOKUP($K823,LUTs!$E$2:$H$14,2,)</f>
        <v>Strait of Juan de Fuca</v>
      </c>
      <c r="N823" s="107" t="str">
        <f>VLOOKUP($K823,LUTs!$E$2:$H$14,4,)</f>
        <v>03Strait of Juan de Fuca</v>
      </c>
      <c r="O823" s="107">
        <v>6.0301163586584501</v>
      </c>
      <c r="P823" s="107">
        <v>18.190389110962901</v>
      </c>
      <c r="Q823" s="107">
        <f t="shared" si="73"/>
        <v>6.0301163586584501</v>
      </c>
      <c r="R823" s="107">
        <f t="shared" si="74"/>
        <v>18.190389110962901</v>
      </c>
      <c r="S823" s="140" t="str">
        <f t="shared" si="75"/>
        <v>Y</v>
      </c>
      <c r="T823" s="154">
        <f t="shared" si="76"/>
        <v>3.0165900670961192</v>
      </c>
      <c r="U823" s="154">
        <f t="shared" si="77"/>
        <v>3.0165900670961192</v>
      </c>
    </row>
    <row r="824" spans="1:21" x14ac:dyDescent="0.35">
      <c r="A824" s="107">
        <v>401</v>
      </c>
      <c r="B824" s="107">
        <v>2019</v>
      </c>
      <c r="C824" s="107" t="s">
        <v>9</v>
      </c>
      <c r="D824" s="107" t="s">
        <v>132</v>
      </c>
      <c r="E824" s="107" t="s">
        <v>10</v>
      </c>
      <c r="F824" s="115">
        <v>11</v>
      </c>
      <c r="G824" s="107" t="s">
        <v>35</v>
      </c>
      <c r="H824" s="107" t="str">
        <f t="shared" si="72"/>
        <v>Area 11: Mid-Puget Sound</v>
      </c>
      <c r="I824" s="107" t="str">
        <f>IFERROR(VLOOKUP(H824,LUTs!$A$1:$C$73,2,FALSE),"NA")</f>
        <v>NA</v>
      </c>
      <c r="J824" s="107" t="str">
        <f>IFERROR(VLOOKUP(H824,LUTs!$A$1:$C$73,3,FALSE),"NA")</f>
        <v>3South Puget Sound</v>
      </c>
      <c r="K824" s="107" t="s">
        <v>17</v>
      </c>
      <c r="L824" s="107" t="str">
        <f>VLOOKUP(K824,LUTs!E$2:G$14,3,)</f>
        <v>04Island</v>
      </c>
      <c r="M824" s="107" t="str">
        <f>VLOOKUP($K824,LUTs!$E$2:$H$14,2,)</f>
        <v>North Puget Sound</v>
      </c>
      <c r="N824" s="107" t="str">
        <f>VLOOKUP($K824,LUTs!$E$2:$H$14,4,)</f>
        <v>01North Puget Sound</v>
      </c>
      <c r="O824" s="107">
        <v>6.0301163586584501</v>
      </c>
      <c r="P824" s="107">
        <v>18.190389110962901</v>
      </c>
      <c r="Q824" s="107">
        <f t="shared" si="73"/>
        <v>6.0301163586584501</v>
      </c>
      <c r="R824" s="107">
        <f t="shared" si="74"/>
        <v>18.190389110962901</v>
      </c>
      <c r="S824" s="140" t="str">
        <f t="shared" si="75"/>
        <v>Y</v>
      </c>
      <c r="T824" s="154">
        <f t="shared" si="76"/>
        <v>3.0165900670961192</v>
      </c>
      <c r="U824" s="154">
        <f t="shared" si="77"/>
        <v>3.0165900670961192</v>
      </c>
    </row>
    <row r="825" spans="1:21" x14ac:dyDescent="0.35">
      <c r="A825" s="107">
        <v>402</v>
      </c>
      <c r="B825" s="107">
        <v>2019</v>
      </c>
      <c r="C825" s="107" t="s">
        <v>9</v>
      </c>
      <c r="D825" s="107" t="s">
        <v>132</v>
      </c>
      <c r="E825" s="107" t="s">
        <v>10</v>
      </c>
      <c r="F825" s="115">
        <v>11</v>
      </c>
      <c r="G825" s="107" t="s">
        <v>35</v>
      </c>
      <c r="H825" s="107" t="str">
        <f t="shared" si="72"/>
        <v>Area 11: Mid-Puget Sound</v>
      </c>
      <c r="I825" s="107" t="str">
        <f>IFERROR(VLOOKUP(H825,LUTs!$A$1:$C$73,2,FALSE),"NA")</f>
        <v>NA</v>
      </c>
      <c r="J825" s="107" t="str">
        <f>IFERROR(VLOOKUP(H825,LUTs!$A$1:$C$73,3,FALSE),"NA")</f>
        <v>3South Puget Sound</v>
      </c>
      <c r="K825" s="107" t="s">
        <v>18</v>
      </c>
      <c r="L825" s="107" t="str">
        <f>VLOOKUP(K825,LUTs!E$2:G$14,3,)</f>
        <v>06King</v>
      </c>
      <c r="M825" s="107" t="str">
        <f>VLOOKUP($K825,LUTs!$E$2:$H$14,2,)</f>
        <v>South Puget Sound</v>
      </c>
      <c r="N825" s="107" t="str">
        <f>VLOOKUP($K825,LUTs!$E$2:$H$14,4,)</f>
        <v>02South Puget Sound</v>
      </c>
      <c r="O825" s="107">
        <v>4124.5995893223799</v>
      </c>
      <c r="P825" s="107">
        <v>12442.2261518986</v>
      </c>
      <c r="Q825" s="107">
        <f t="shared" si="73"/>
        <v>4124.5995893223799</v>
      </c>
      <c r="R825" s="107">
        <f t="shared" si="74"/>
        <v>12442.2261518986</v>
      </c>
      <c r="S825" s="140" t="str">
        <f t="shared" si="75"/>
        <v>Y</v>
      </c>
      <c r="T825" s="154">
        <f t="shared" si="76"/>
        <v>3.0165900670961134</v>
      </c>
      <c r="U825" s="154">
        <f t="shared" si="77"/>
        <v>3.0165900670961134</v>
      </c>
    </row>
    <row r="826" spans="1:21" x14ac:dyDescent="0.35">
      <c r="A826" s="107">
        <v>406</v>
      </c>
      <c r="B826" s="107">
        <v>2019</v>
      </c>
      <c r="C826" s="107" t="s">
        <v>9</v>
      </c>
      <c r="D826" s="107" t="s">
        <v>132</v>
      </c>
      <c r="E826" s="107" t="s">
        <v>10</v>
      </c>
      <c r="F826" s="115">
        <v>11</v>
      </c>
      <c r="G826" s="107" t="s">
        <v>35</v>
      </c>
      <c r="H826" s="107" t="str">
        <f t="shared" si="72"/>
        <v>Area 11: Mid-Puget Sound</v>
      </c>
      <c r="I826" s="107" t="str">
        <f>IFERROR(VLOOKUP(H826,LUTs!$A$1:$C$73,2,FALSE),"NA")</f>
        <v>NA</v>
      </c>
      <c r="J826" s="107" t="str">
        <f>IFERROR(VLOOKUP(H826,LUTs!$A$1:$C$73,3,FALSE),"NA")</f>
        <v>3South Puget Sound</v>
      </c>
      <c r="K826" s="107" t="s">
        <v>23</v>
      </c>
      <c r="L826" s="107" t="str">
        <f>VLOOKUP(K826,LUTs!E$2:G$14,3,)</f>
        <v>10Kitsap</v>
      </c>
      <c r="M826" s="107" t="str">
        <f>VLOOKUP($K826,LUTs!$E$2:$H$14,2,)</f>
        <v>South Puget Sound</v>
      </c>
      <c r="N826" s="107" t="str">
        <f>VLOOKUP($K826,LUTs!$E$2:$H$14,4,)</f>
        <v>02South Puget Sound</v>
      </c>
      <c r="O826" s="107">
        <v>416.078028747433</v>
      </c>
      <c r="P826" s="107">
        <v>1255.13684865644</v>
      </c>
      <c r="Q826" s="107">
        <f t="shared" si="73"/>
        <v>416.078028747433</v>
      </c>
      <c r="R826" s="107">
        <f t="shared" si="74"/>
        <v>1255.13684865644</v>
      </c>
      <c r="S826" s="140" t="str">
        <f t="shared" si="75"/>
        <v>Y</v>
      </c>
      <c r="T826" s="154">
        <f t="shared" si="76"/>
        <v>3.0165900670961192</v>
      </c>
      <c r="U826" s="154">
        <f t="shared" si="77"/>
        <v>3.0165900670961192</v>
      </c>
    </row>
    <row r="827" spans="1:21" x14ac:dyDescent="0.35">
      <c r="A827" s="107">
        <v>405</v>
      </c>
      <c r="B827" s="107">
        <v>2019</v>
      </c>
      <c r="C827" s="107" t="s">
        <v>9</v>
      </c>
      <c r="D827" s="107" t="s">
        <v>132</v>
      </c>
      <c r="E827" s="107" t="s">
        <v>10</v>
      </c>
      <c r="F827" s="115">
        <v>11</v>
      </c>
      <c r="G827" s="107" t="s">
        <v>35</v>
      </c>
      <c r="H827" s="107" t="str">
        <f t="shared" si="72"/>
        <v>Area 11: Mid-Puget Sound</v>
      </c>
      <c r="I827" s="107" t="str">
        <f>IFERROR(VLOOKUP(H827,LUTs!$A$1:$C$73,2,FALSE),"NA")</f>
        <v>NA</v>
      </c>
      <c r="J827" s="107" t="str">
        <f>IFERROR(VLOOKUP(H827,LUTs!$A$1:$C$73,3,FALSE),"NA")</f>
        <v>3South Puget Sound</v>
      </c>
      <c r="K827" s="107" t="s">
        <v>22</v>
      </c>
      <c r="L827" s="107" t="str">
        <f>VLOOKUP(K827,LUTs!E$2:G$14,3,)</f>
        <v>09Mason</v>
      </c>
      <c r="M827" s="107" t="str">
        <f>VLOOKUP($K827,LUTs!$E$2:$H$14,2,)</f>
        <v>South Puget Sound</v>
      </c>
      <c r="N827" s="107" t="str">
        <f>VLOOKUP($K827,LUTs!$E$2:$H$14,4,)</f>
        <v>02South Puget Sound</v>
      </c>
      <c r="O827" s="107">
        <v>42.210814510609197</v>
      </c>
      <c r="P827" s="107">
        <v>127.33272377674101</v>
      </c>
      <c r="Q827" s="107">
        <f t="shared" si="73"/>
        <v>42.210814510609197</v>
      </c>
      <c r="R827" s="107">
        <f t="shared" si="74"/>
        <v>127.33272377674101</v>
      </c>
      <c r="S827" s="140" t="str">
        <f t="shared" si="75"/>
        <v>Y</v>
      </c>
      <c r="T827" s="154">
        <f t="shared" si="76"/>
        <v>3.0165900670961325</v>
      </c>
      <c r="U827" s="154">
        <f t="shared" si="77"/>
        <v>3.0165900670961325</v>
      </c>
    </row>
    <row r="828" spans="1:21" x14ac:dyDescent="0.35">
      <c r="A828" s="107">
        <v>408</v>
      </c>
      <c r="B828" s="107">
        <v>2019</v>
      </c>
      <c r="C828" s="107" t="s">
        <v>9</v>
      </c>
      <c r="D828" s="107" t="s">
        <v>132</v>
      </c>
      <c r="E828" s="107" t="s">
        <v>10</v>
      </c>
      <c r="F828" s="115">
        <v>11</v>
      </c>
      <c r="G828" s="107" t="s">
        <v>35</v>
      </c>
      <c r="H828" s="107" t="str">
        <f t="shared" si="72"/>
        <v>Area 11: Mid-Puget Sound</v>
      </c>
      <c r="I828" s="107" t="str">
        <f>IFERROR(VLOOKUP(H828,LUTs!$A$1:$C$73,2,FALSE),"NA")</f>
        <v>NA</v>
      </c>
      <c r="J828" s="107" t="str">
        <f>IFERROR(VLOOKUP(H828,LUTs!$A$1:$C$73,3,FALSE),"NA")</f>
        <v>3South Puget Sound</v>
      </c>
      <c r="K828" s="107" t="s">
        <v>26</v>
      </c>
      <c r="L828" s="107" t="str">
        <f>VLOOKUP(K828,LUTs!E$2:G$14,3,)</f>
        <v>20Other</v>
      </c>
      <c r="M828" s="107" t="str">
        <f>VLOOKUP($K828,LUTs!$E$2:$H$14,2,)</f>
        <v>Non Puget Sound</v>
      </c>
      <c r="N828" s="107" t="str">
        <f>VLOOKUP($K828,LUTs!$E$2:$H$14,4,)</f>
        <v>07Non Puget Sound</v>
      </c>
      <c r="O828" s="107">
        <v>349.74674880218998</v>
      </c>
      <c r="P828" s="107">
        <v>1055.0425684358499</v>
      </c>
      <c r="Q828" s="107">
        <f t="shared" si="73"/>
        <v>349.74674880218998</v>
      </c>
      <c r="R828" s="107">
        <f t="shared" si="74"/>
        <v>1055.0425684358499</v>
      </c>
      <c r="S828" s="140" t="str">
        <f t="shared" si="75"/>
        <v>Y</v>
      </c>
      <c r="T828" s="154">
        <f t="shared" si="76"/>
        <v>3.0165900670961254</v>
      </c>
      <c r="U828" s="154">
        <f t="shared" si="77"/>
        <v>3.0165900670961254</v>
      </c>
    </row>
    <row r="829" spans="1:21" x14ac:dyDescent="0.35">
      <c r="A829" s="107">
        <v>403</v>
      </c>
      <c r="B829" s="107">
        <v>2019</v>
      </c>
      <c r="C829" s="107" t="s">
        <v>9</v>
      </c>
      <c r="D829" s="107" t="s">
        <v>132</v>
      </c>
      <c r="E829" s="107" t="s">
        <v>10</v>
      </c>
      <c r="F829" s="115">
        <v>11</v>
      </c>
      <c r="G829" s="107" t="s">
        <v>35</v>
      </c>
      <c r="H829" s="107" t="str">
        <f t="shared" si="72"/>
        <v>Area 11: Mid-Puget Sound</v>
      </c>
      <c r="I829" s="107" t="str">
        <f>IFERROR(VLOOKUP(H829,LUTs!$A$1:$C$73,2,FALSE),"NA")</f>
        <v>NA</v>
      </c>
      <c r="J829" s="107" t="str">
        <f>IFERROR(VLOOKUP(H829,LUTs!$A$1:$C$73,3,FALSE),"NA")</f>
        <v>3South Puget Sound</v>
      </c>
      <c r="K829" s="107" t="s">
        <v>20</v>
      </c>
      <c r="L829" s="107" t="str">
        <f>VLOOKUP(K829,LUTs!E$2:G$14,3,)</f>
        <v>07Pierce</v>
      </c>
      <c r="M829" s="107" t="str">
        <f>VLOOKUP($K829,LUTs!$E$2:$H$14,2,)</f>
        <v>South Puget Sound</v>
      </c>
      <c r="N829" s="107" t="str">
        <f>VLOOKUP($K829,LUTs!$E$2:$H$14,4,)</f>
        <v>02South Puget Sound</v>
      </c>
      <c r="O829" s="107">
        <v>3678.3709787816601</v>
      </c>
      <c r="P829" s="107">
        <v>11096.137357687399</v>
      </c>
      <c r="Q829" s="107">
        <f t="shared" si="73"/>
        <v>3678.3709787816601</v>
      </c>
      <c r="R829" s="107">
        <f t="shared" si="74"/>
        <v>11096.137357687399</v>
      </c>
      <c r="S829" s="140" t="str">
        <f t="shared" si="75"/>
        <v>Y</v>
      </c>
      <c r="T829" s="154">
        <f t="shared" si="76"/>
        <v>3.0165900670961228</v>
      </c>
      <c r="U829" s="154">
        <f t="shared" si="77"/>
        <v>3.0165900670961228</v>
      </c>
    </row>
    <row r="830" spans="1:21" x14ac:dyDescent="0.35">
      <c r="A830" s="107">
        <v>400</v>
      </c>
      <c r="B830" s="107">
        <v>2019</v>
      </c>
      <c r="C830" s="107" t="s">
        <v>9</v>
      </c>
      <c r="D830" s="107" t="s">
        <v>132</v>
      </c>
      <c r="E830" s="107" t="s">
        <v>10</v>
      </c>
      <c r="F830" s="115">
        <v>11</v>
      </c>
      <c r="G830" s="107" t="s">
        <v>35</v>
      </c>
      <c r="H830" s="107" t="str">
        <f t="shared" si="72"/>
        <v>Area 11: Mid-Puget Sound</v>
      </c>
      <c r="I830" s="107" t="str">
        <f>IFERROR(VLOOKUP(H830,LUTs!$A$1:$C$73,2,FALSE),"NA")</f>
        <v>NA</v>
      </c>
      <c r="J830" s="107" t="str">
        <f>IFERROR(VLOOKUP(H830,LUTs!$A$1:$C$73,3,FALSE),"NA")</f>
        <v>3South Puget Sound</v>
      </c>
      <c r="K830" s="107" t="s">
        <v>16</v>
      </c>
      <c r="L830" s="107" t="str">
        <f>VLOOKUP(K830,LUTs!E$2:G$14,3,)</f>
        <v>03Snohomish</v>
      </c>
      <c r="M830" s="107" t="str">
        <f>VLOOKUP($K830,LUTs!$E$2:$H$14,2,)</f>
        <v>North Puget Sound</v>
      </c>
      <c r="N830" s="107" t="str">
        <f>VLOOKUP($K830,LUTs!$E$2:$H$14,4,)</f>
        <v>01North Puget Sound</v>
      </c>
      <c r="O830" s="107">
        <v>66.331279945242997</v>
      </c>
      <c r="P830" s="107">
        <v>200.094280220592</v>
      </c>
      <c r="Q830" s="107">
        <f t="shared" si="73"/>
        <v>66.331279945242997</v>
      </c>
      <c r="R830" s="107">
        <f t="shared" si="74"/>
        <v>200.094280220592</v>
      </c>
      <c r="S830" s="140" t="str">
        <f t="shared" si="75"/>
        <v>Y</v>
      </c>
      <c r="T830" s="154">
        <f t="shared" si="76"/>
        <v>3.0165900670961188</v>
      </c>
      <c r="U830" s="154">
        <f t="shared" si="77"/>
        <v>3.0165900670961188</v>
      </c>
    </row>
    <row r="831" spans="1:21" x14ac:dyDescent="0.35">
      <c r="A831" s="107">
        <v>404</v>
      </c>
      <c r="B831" s="107">
        <v>2019</v>
      </c>
      <c r="C831" s="107" t="s">
        <v>9</v>
      </c>
      <c r="D831" s="107" t="s">
        <v>132</v>
      </c>
      <c r="E831" s="107" t="s">
        <v>10</v>
      </c>
      <c r="F831" s="115">
        <v>11</v>
      </c>
      <c r="G831" s="107" t="s">
        <v>35</v>
      </c>
      <c r="H831" s="107" t="str">
        <f t="shared" si="72"/>
        <v>Area 11: Mid-Puget Sound</v>
      </c>
      <c r="I831" s="107" t="str">
        <f>IFERROR(VLOOKUP(H831,LUTs!$A$1:$C$73,2,FALSE),"NA")</f>
        <v>NA</v>
      </c>
      <c r="J831" s="107" t="str">
        <f>IFERROR(VLOOKUP(H831,LUTs!$A$1:$C$73,3,FALSE),"NA")</f>
        <v>3South Puget Sound</v>
      </c>
      <c r="K831" s="107" t="s">
        <v>21</v>
      </c>
      <c r="L831" s="107" t="str">
        <f>VLOOKUP(K831,LUTs!E$2:G$14,3,)</f>
        <v>08Thurston</v>
      </c>
      <c r="M831" s="107" t="str">
        <f>VLOOKUP($K831,LUTs!$E$2:$H$14,2,)</f>
        <v>South Puget Sound</v>
      </c>
      <c r="N831" s="107" t="str">
        <f>VLOOKUP($K831,LUTs!$E$2:$H$14,4,)</f>
        <v>02South Puget Sound</v>
      </c>
      <c r="O831" s="107">
        <v>72.3613963039015</v>
      </c>
      <c r="P831" s="107">
        <v>218.28466933155499</v>
      </c>
      <c r="Q831" s="107">
        <f t="shared" si="73"/>
        <v>72.3613963039015</v>
      </c>
      <c r="R831" s="107">
        <f t="shared" si="74"/>
        <v>218.28466933155499</v>
      </c>
      <c r="S831" s="140" t="str">
        <f t="shared" si="75"/>
        <v>Y</v>
      </c>
      <c r="T831" s="154">
        <f t="shared" si="76"/>
        <v>3.0165900670961179</v>
      </c>
      <c r="U831" s="154">
        <f t="shared" si="77"/>
        <v>3.0165900670961179</v>
      </c>
    </row>
    <row r="832" spans="1:21" x14ac:dyDescent="0.35">
      <c r="A832" s="107">
        <v>399</v>
      </c>
      <c r="B832" s="107">
        <v>2019</v>
      </c>
      <c r="C832" s="107" t="s">
        <v>9</v>
      </c>
      <c r="D832" s="107" t="s">
        <v>132</v>
      </c>
      <c r="E832" s="107" t="s">
        <v>10</v>
      </c>
      <c r="F832" s="115">
        <v>11</v>
      </c>
      <c r="G832" s="107" t="s">
        <v>35</v>
      </c>
      <c r="H832" s="107" t="str">
        <f t="shared" si="72"/>
        <v>Area 11: Mid-Puget Sound</v>
      </c>
      <c r="I832" s="107" t="str">
        <f>IFERROR(VLOOKUP(H832,LUTs!$A$1:$C$73,2,FALSE),"NA")</f>
        <v>NA</v>
      </c>
      <c r="J832" s="107" t="str">
        <f>IFERROR(VLOOKUP(H832,LUTs!$A$1:$C$73,3,FALSE),"NA")</f>
        <v>3South Puget Sound</v>
      </c>
      <c r="K832" s="107" t="s">
        <v>13</v>
      </c>
      <c r="L832" s="107" t="str">
        <f>VLOOKUP(K832,LUTs!E$2:G$14,3,)</f>
        <v>01Whatcom</v>
      </c>
      <c r="M832" s="107" t="str">
        <f>VLOOKUP($K832,LUTs!$E$2:$H$14,2,)</f>
        <v>North Puget Sound</v>
      </c>
      <c r="N832" s="107" t="str">
        <f>VLOOKUP($K832,LUTs!$E$2:$H$14,4,)</f>
        <v>01North Puget Sound</v>
      </c>
      <c r="O832" s="107">
        <v>48.240930869267601</v>
      </c>
      <c r="P832" s="107">
        <v>145.523112887704</v>
      </c>
      <c r="Q832" s="107">
        <f t="shared" si="73"/>
        <v>48.240930869267601</v>
      </c>
      <c r="R832" s="107">
        <f t="shared" si="74"/>
        <v>145.523112887704</v>
      </c>
      <c r="S832" s="140" t="str">
        <f t="shared" si="75"/>
        <v>Y</v>
      </c>
      <c r="T832" s="154">
        <f t="shared" si="76"/>
        <v>3.0165900670961356</v>
      </c>
      <c r="U832" s="154">
        <f t="shared" si="77"/>
        <v>3.0165900670961356</v>
      </c>
    </row>
    <row r="833" spans="1:21" x14ac:dyDescent="0.35">
      <c r="A833" s="107">
        <v>506</v>
      </c>
      <c r="B833" s="107">
        <v>2020</v>
      </c>
      <c r="C833" s="107" t="s">
        <v>9</v>
      </c>
      <c r="D833" s="107" t="s">
        <v>132</v>
      </c>
      <c r="E833" s="107" t="s">
        <v>10</v>
      </c>
      <c r="F833" s="115">
        <v>11</v>
      </c>
      <c r="G833" s="107" t="s">
        <v>35</v>
      </c>
      <c r="H833" s="107" t="str">
        <f t="shared" si="72"/>
        <v>Area 11: Mid-Puget Sound</v>
      </c>
      <c r="I833" s="107" t="str">
        <f>IFERROR(VLOOKUP(H833,LUTs!$A$1:$C$73,2,FALSE),"NA")</f>
        <v>NA</v>
      </c>
      <c r="J833" s="107" t="str">
        <f>IFERROR(VLOOKUP(H833,LUTs!$A$1:$C$73,3,FALSE),"NA")</f>
        <v>3South Puget Sound</v>
      </c>
      <c r="K833" s="107" t="s">
        <v>18</v>
      </c>
      <c r="L833" s="107" t="str">
        <f>VLOOKUP(K833,LUTs!E$2:G$14,3,)</f>
        <v>06King</v>
      </c>
      <c r="M833" s="107" t="str">
        <f>VLOOKUP($K833,LUTs!$E$2:$H$14,2,)</f>
        <v>South Puget Sound</v>
      </c>
      <c r="N833" s="107" t="str">
        <f>VLOOKUP($K833,LUTs!$E$2:$H$14,4,)</f>
        <v>02South Puget Sound</v>
      </c>
      <c r="O833" s="107">
        <v>2812.73342354533</v>
      </c>
      <c r="P833" s="107">
        <v>16903.315185649401</v>
      </c>
      <c r="Q833" s="107">
        <f t="shared" si="73"/>
        <v>2812.73342354533</v>
      </c>
      <c r="R833" s="107">
        <f t="shared" si="74"/>
        <v>16903.315185649401</v>
      </c>
      <c r="S833" s="140" t="str">
        <f t="shared" si="75"/>
        <v>N</v>
      </c>
      <c r="T833" s="154">
        <f t="shared" si="76"/>
        <v>6.0095688571665269</v>
      </c>
      <c r="U833" s="154">
        <f t="shared" si="77"/>
        <v>6.0095688571665269</v>
      </c>
    </row>
    <row r="834" spans="1:21" x14ac:dyDescent="0.35">
      <c r="A834" s="107">
        <v>509</v>
      </c>
      <c r="B834" s="107">
        <v>2020</v>
      </c>
      <c r="C834" s="107" t="s">
        <v>9</v>
      </c>
      <c r="D834" s="107" t="s">
        <v>132</v>
      </c>
      <c r="E834" s="107" t="s">
        <v>10</v>
      </c>
      <c r="F834" s="115">
        <v>11</v>
      </c>
      <c r="G834" s="107" t="s">
        <v>35</v>
      </c>
      <c r="H834" s="107" t="str">
        <f t="shared" ref="H834:H897" si="78">G834</f>
        <v>Area 11: Mid-Puget Sound</v>
      </c>
      <c r="I834" s="107" t="str">
        <f>IFERROR(VLOOKUP(H834,LUTs!$A$1:$C$73,2,FALSE),"NA")</f>
        <v>NA</v>
      </c>
      <c r="J834" s="107" t="str">
        <f>IFERROR(VLOOKUP(H834,LUTs!$A$1:$C$73,3,FALSE),"NA")</f>
        <v>3South Puget Sound</v>
      </c>
      <c r="K834" s="107" t="s">
        <v>23</v>
      </c>
      <c r="L834" s="107" t="str">
        <f>VLOOKUP(K834,LUTs!E$2:G$14,3,)</f>
        <v>10Kitsap</v>
      </c>
      <c r="M834" s="107" t="str">
        <f>VLOOKUP($K834,LUTs!$E$2:$H$14,2,)</f>
        <v>South Puget Sound</v>
      </c>
      <c r="N834" s="107" t="str">
        <f>VLOOKUP($K834,LUTs!$E$2:$H$14,4,)</f>
        <v>02South Puget Sound</v>
      </c>
      <c r="O834" s="107">
        <v>274.22192151556197</v>
      </c>
      <c r="P834" s="107">
        <v>1647.95551949228</v>
      </c>
      <c r="Q834" s="107">
        <f t="shared" ref="Q834:Q897" si="79">O834</f>
        <v>274.22192151556197</v>
      </c>
      <c r="R834" s="107">
        <f t="shared" ref="R834:R897" si="80">P834</f>
        <v>1647.95551949228</v>
      </c>
      <c r="S834" s="140" t="str">
        <f t="shared" si="75"/>
        <v>N</v>
      </c>
      <c r="T834" s="154">
        <f t="shared" si="76"/>
        <v>6.0095688571665091</v>
      </c>
      <c r="U834" s="154">
        <f t="shared" si="77"/>
        <v>6.0095688571665091</v>
      </c>
    </row>
    <row r="835" spans="1:21" x14ac:dyDescent="0.35">
      <c r="A835" s="107">
        <v>510</v>
      </c>
      <c r="B835" s="107">
        <v>2020</v>
      </c>
      <c r="C835" s="107" t="s">
        <v>9</v>
      </c>
      <c r="D835" s="107" t="s">
        <v>132</v>
      </c>
      <c r="E835" s="107" t="s">
        <v>10</v>
      </c>
      <c r="F835" s="115">
        <v>11</v>
      </c>
      <c r="G835" s="107" t="s">
        <v>35</v>
      </c>
      <c r="H835" s="107" t="str">
        <f t="shared" si="78"/>
        <v>Area 11: Mid-Puget Sound</v>
      </c>
      <c r="I835" s="107" t="str">
        <f>IFERROR(VLOOKUP(H835,LUTs!$A$1:$C$73,2,FALSE),"NA")</f>
        <v>NA</v>
      </c>
      <c r="J835" s="107" t="str">
        <f>IFERROR(VLOOKUP(H835,LUTs!$A$1:$C$73,3,FALSE),"NA")</f>
        <v>3South Puget Sound</v>
      </c>
      <c r="K835" s="107" t="s">
        <v>26</v>
      </c>
      <c r="L835" s="107" t="str">
        <f>VLOOKUP(K835,LUTs!E$2:G$14,3,)</f>
        <v>20Other</v>
      </c>
      <c r="M835" s="107" t="str">
        <f>VLOOKUP($K835,LUTs!$E$2:$H$14,2,)</f>
        <v>Non Puget Sound</v>
      </c>
      <c r="N835" s="107" t="str">
        <f>VLOOKUP($K835,LUTs!$E$2:$H$14,4,)</f>
        <v>07Non Puget Sound</v>
      </c>
      <c r="O835" s="107">
        <v>156.69824086603501</v>
      </c>
      <c r="P835" s="107">
        <v>941.68886828130496</v>
      </c>
      <c r="Q835" s="107">
        <f t="shared" si="79"/>
        <v>156.69824086603501</v>
      </c>
      <c r="R835" s="107">
        <f t="shared" si="80"/>
        <v>941.68886828130496</v>
      </c>
      <c r="S835" s="140" t="str">
        <f t="shared" ref="S835:S898" si="81">IF(B835&lt;=2019,"Y","N")</f>
        <v>N</v>
      </c>
      <c r="T835" s="154">
        <f t="shared" ref="T835:T898" si="82">IFERROR(P835/O835,"NA")</f>
        <v>6.0095688571665384</v>
      </c>
      <c r="U835" s="154">
        <f t="shared" ref="U835:U898" si="83">IFERROR(R835/Q835,"NA")</f>
        <v>6.0095688571665384</v>
      </c>
    </row>
    <row r="836" spans="1:21" x14ac:dyDescent="0.35">
      <c r="A836" s="107">
        <v>507</v>
      </c>
      <c r="B836" s="107">
        <v>2020</v>
      </c>
      <c r="C836" s="107" t="s">
        <v>9</v>
      </c>
      <c r="D836" s="107" t="s">
        <v>132</v>
      </c>
      <c r="E836" s="107" t="s">
        <v>10</v>
      </c>
      <c r="F836" s="115">
        <v>11</v>
      </c>
      <c r="G836" s="107" t="s">
        <v>35</v>
      </c>
      <c r="H836" s="107" t="str">
        <f t="shared" si="78"/>
        <v>Area 11: Mid-Puget Sound</v>
      </c>
      <c r="I836" s="107" t="str">
        <f>IFERROR(VLOOKUP(H836,LUTs!$A$1:$C$73,2,FALSE),"NA")</f>
        <v>NA</v>
      </c>
      <c r="J836" s="107" t="str">
        <f>IFERROR(VLOOKUP(H836,LUTs!$A$1:$C$73,3,FALSE),"NA")</f>
        <v>3South Puget Sound</v>
      </c>
      <c r="K836" s="107" t="s">
        <v>20</v>
      </c>
      <c r="L836" s="107" t="str">
        <f>VLOOKUP(K836,LUTs!E$2:G$14,3,)</f>
        <v>07Pierce</v>
      </c>
      <c r="M836" s="107" t="str">
        <f>VLOOKUP($K836,LUTs!$E$2:$H$14,2,)</f>
        <v>South Puget Sound</v>
      </c>
      <c r="N836" s="107" t="str">
        <f>VLOOKUP($K836,LUTs!$E$2:$H$14,4,)</f>
        <v>02South Puget Sound</v>
      </c>
      <c r="O836" s="107">
        <v>2444.4925575101502</v>
      </c>
      <c r="P836" s="107">
        <v>14690.3463451884</v>
      </c>
      <c r="Q836" s="107">
        <f t="shared" si="79"/>
        <v>2444.4925575101502</v>
      </c>
      <c r="R836" s="107">
        <f t="shared" si="80"/>
        <v>14690.3463451884</v>
      </c>
      <c r="S836" s="140" t="str">
        <f t="shared" si="81"/>
        <v>N</v>
      </c>
      <c r="T836" s="154">
        <f t="shared" si="82"/>
        <v>6.0095688571665455</v>
      </c>
      <c r="U836" s="154">
        <f t="shared" si="83"/>
        <v>6.0095688571665455</v>
      </c>
    </row>
    <row r="837" spans="1:21" x14ac:dyDescent="0.35">
      <c r="A837" s="107">
        <v>504</v>
      </c>
      <c r="B837" s="107">
        <v>2020</v>
      </c>
      <c r="C837" s="107" t="s">
        <v>9</v>
      </c>
      <c r="D837" s="107" t="s">
        <v>132</v>
      </c>
      <c r="E837" s="107" t="s">
        <v>10</v>
      </c>
      <c r="F837" s="115">
        <v>11</v>
      </c>
      <c r="G837" s="107" t="s">
        <v>35</v>
      </c>
      <c r="H837" s="107" t="str">
        <f t="shared" si="78"/>
        <v>Area 11: Mid-Puget Sound</v>
      </c>
      <c r="I837" s="107" t="str">
        <f>IFERROR(VLOOKUP(H837,LUTs!$A$1:$C$73,2,FALSE),"NA")</f>
        <v>NA</v>
      </c>
      <c r="J837" s="107" t="str">
        <f>IFERROR(VLOOKUP(H837,LUTs!$A$1:$C$73,3,FALSE),"NA")</f>
        <v>3South Puget Sound</v>
      </c>
      <c r="K837" s="107" t="s">
        <v>15</v>
      </c>
      <c r="L837" s="107" t="str">
        <f>VLOOKUP(K837,LUTs!E$2:G$14,3,)</f>
        <v>02Skagit</v>
      </c>
      <c r="M837" s="107" t="str">
        <f>VLOOKUP($K837,LUTs!$E$2:$H$14,2,)</f>
        <v>North Puget Sound</v>
      </c>
      <c r="N837" s="107" t="str">
        <f>VLOOKUP($K837,LUTs!$E$2:$H$14,4,)</f>
        <v>01North Puget Sound</v>
      </c>
      <c r="O837" s="107">
        <v>7.8349120433017596</v>
      </c>
      <c r="P837" s="107">
        <v>47.084443414065198</v>
      </c>
      <c r="Q837" s="107">
        <f t="shared" si="79"/>
        <v>7.8349120433017596</v>
      </c>
      <c r="R837" s="107">
        <f t="shared" si="80"/>
        <v>47.084443414065198</v>
      </c>
      <c r="S837" s="140" t="str">
        <f t="shared" si="81"/>
        <v>N</v>
      </c>
      <c r="T837" s="154">
        <f t="shared" si="82"/>
        <v>6.0095688571665251</v>
      </c>
      <c r="U837" s="154">
        <f t="shared" si="83"/>
        <v>6.0095688571665251</v>
      </c>
    </row>
    <row r="838" spans="1:21" x14ac:dyDescent="0.35">
      <c r="A838" s="107">
        <v>505</v>
      </c>
      <c r="B838" s="107">
        <v>2020</v>
      </c>
      <c r="C838" s="107" t="s">
        <v>9</v>
      </c>
      <c r="D838" s="107" t="s">
        <v>132</v>
      </c>
      <c r="E838" s="107" t="s">
        <v>10</v>
      </c>
      <c r="F838" s="115">
        <v>11</v>
      </c>
      <c r="G838" s="107" t="s">
        <v>35</v>
      </c>
      <c r="H838" s="107" t="str">
        <f t="shared" si="78"/>
        <v>Area 11: Mid-Puget Sound</v>
      </c>
      <c r="I838" s="107" t="str">
        <f>IFERROR(VLOOKUP(H838,LUTs!$A$1:$C$73,2,FALSE),"NA")</f>
        <v>NA</v>
      </c>
      <c r="J838" s="107" t="str">
        <f>IFERROR(VLOOKUP(H838,LUTs!$A$1:$C$73,3,FALSE),"NA")</f>
        <v>3South Puget Sound</v>
      </c>
      <c r="K838" s="107" t="s">
        <v>16</v>
      </c>
      <c r="L838" s="107" t="str">
        <f>VLOOKUP(K838,LUTs!E$2:G$14,3,)</f>
        <v>03Snohomish</v>
      </c>
      <c r="M838" s="107" t="str">
        <f>VLOOKUP($K838,LUTs!$E$2:$H$14,2,)</f>
        <v>North Puget Sound</v>
      </c>
      <c r="N838" s="107" t="str">
        <f>VLOOKUP($K838,LUTs!$E$2:$H$14,4,)</f>
        <v>01North Puget Sound</v>
      </c>
      <c r="O838" s="107">
        <v>47.0094722598106</v>
      </c>
      <c r="P838" s="107">
        <v>282.506660484392</v>
      </c>
      <c r="Q838" s="107">
        <f t="shared" si="79"/>
        <v>47.0094722598106</v>
      </c>
      <c r="R838" s="107">
        <f t="shared" si="80"/>
        <v>282.506660484392</v>
      </c>
      <c r="S838" s="140" t="str">
        <f t="shared" si="81"/>
        <v>N</v>
      </c>
      <c r="T838" s="154">
        <f t="shared" si="82"/>
        <v>6.0095688571665367</v>
      </c>
      <c r="U838" s="154">
        <f t="shared" si="83"/>
        <v>6.0095688571665367</v>
      </c>
    </row>
    <row r="839" spans="1:21" x14ac:dyDescent="0.35">
      <c r="A839" s="107">
        <v>508</v>
      </c>
      <c r="B839" s="107">
        <v>2020</v>
      </c>
      <c r="C839" s="107" t="s">
        <v>9</v>
      </c>
      <c r="D839" s="107" t="s">
        <v>132</v>
      </c>
      <c r="E839" s="107" t="s">
        <v>10</v>
      </c>
      <c r="F839" s="115">
        <v>11</v>
      </c>
      <c r="G839" s="107" t="s">
        <v>35</v>
      </c>
      <c r="H839" s="107" t="str">
        <f t="shared" si="78"/>
        <v>Area 11: Mid-Puget Sound</v>
      </c>
      <c r="I839" s="107" t="str">
        <f>IFERROR(VLOOKUP(H839,LUTs!$A$1:$C$73,2,FALSE),"NA")</f>
        <v>NA</v>
      </c>
      <c r="J839" s="107" t="str">
        <f>IFERROR(VLOOKUP(H839,LUTs!$A$1:$C$73,3,FALSE),"NA")</f>
        <v>3South Puget Sound</v>
      </c>
      <c r="K839" s="107" t="s">
        <v>21</v>
      </c>
      <c r="L839" s="107" t="str">
        <f>VLOOKUP(K839,LUTs!E$2:G$14,3,)</f>
        <v>08Thurston</v>
      </c>
      <c r="M839" s="107" t="str">
        <f>VLOOKUP($K839,LUTs!$E$2:$H$14,2,)</f>
        <v>South Puget Sound</v>
      </c>
      <c r="N839" s="107" t="str">
        <f>VLOOKUP($K839,LUTs!$E$2:$H$14,4,)</f>
        <v>02South Puget Sound</v>
      </c>
      <c r="O839" s="107">
        <v>47.0094722598106</v>
      </c>
      <c r="P839" s="107">
        <v>282.506660484392</v>
      </c>
      <c r="Q839" s="107">
        <f t="shared" si="79"/>
        <v>47.0094722598106</v>
      </c>
      <c r="R839" s="107">
        <f t="shared" si="80"/>
        <v>282.506660484392</v>
      </c>
      <c r="S839" s="140" t="str">
        <f t="shared" si="81"/>
        <v>N</v>
      </c>
      <c r="T839" s="154">
        <f t="shared" si="82"/>
        <v>6.0095688571665367</v>
      </c>
      <c r="U839" s="154">
        <f t="shared" si="83"/>
        <v>6.0095688571665367</v>
      </c>
    </row>
    <row r="840" spans="1:21" x14ac:dyDescent="0.35">
      <c r="A840" s="107">
        <v>621</v>
      </c>
      <c r="B840" s="107">
        <v>2021</v>
      </c>
      <c r="C840" s="107" t="s">
        <v>9</v>
      </c>
      <c r="D840" s="107" t="s">
        <v>132</v>
      </c>
      <c r="E840" s="107" t="s">
        <v>10</v>
      </c>
      <c r="F840" s="115">
        <v>11</v>
      </c>
      <c r="G840" s="107" t="s">
        <v>35</v>
      </c>
      <c r="H840" s="107" t="str">
        <f t="shared" si="78"/>
        <v>Area 11: Mid-Puget Sound</v>
      </c>
      <c r="I840" s="107" t="str">
        <f>IFERROR(VLOOKUP(H840,LUTs!$A$1:$C$73,2,FALSE),"NA")</f>
        <v>NA</v>
      </c>
      <c r="J840" s="107" t="str">
        <f>IFERROR(VLOOKUP(H840,LUTs!$A$1:$C$73,3,FALSE),"NA")</f>
        <v>3South Puget Sound</v>
      </c>
      <c r="K840" s="107" t="s">
        <v>24</v>
      </c>
      <c r="L840" s="107" t="str">
        <f>VLOOKUP(K840,LUTs!E$2:G$14,3,)</f>
        <v>11Clallam</v>
      </c>
      <c r="M840" s="107" t="str">
        <f>VLOOKUP($K840,LUTs!$E$2:$H$14,2,)</f>
        <v>Strait of Juan de Fuca</v>
      </c>
      <c r="N840" s="107" t="str">
        <f>VLOOKUP($K840,LUTs!$E$2:$H$14,4,)</f>
        <v>03Strait of Juan de Fuca</v>
      </c>
      <c r="O840" s="107">
        <v>6.13256658595642</v>
      </c>
      <c r="P840" s="107">
        <v>25.331182475675799</v>
      </c>
      <c r="Q840" s="107">
        <f t="shared" si="79"/>
        <v>6.13256658595642</v>
      </c>
      <c r="R840" s="107">
        <f t="shared" si="80"/>
        <v>25.331182475675799</v>
      </c>
      <c r="S840" s="140" t="str">
        <f t="shared" si="81"/>
        <v>N</v>
      </c>
      <c r="T840" s="154">
        <f t="shared" si="82"/>
        <v>4.1306004787105319</v>
      </c>
      <c r="U840" s="154">
        <f t="shared" si="83"/>
        <v>4.1306004787105319</v>
      </c>
    </row>
    <row r="841" spans="1:21" x14ac:dyDescent="0.35">
      <c r="A841" s="107">
        <v>622</v>
      </c>
      <c r="B841" s="107">
        <v>2021</v>
      </c>
      <c r="C841" s="107" t="s">
        <v>9</v>
      </c>
      <c r="D841" s="107" t="s">
        <v>132</v>
      </c>
      <c r="E841" s="107" t="s">
        <v>10</v>
      </c>
      <c r="F841" s="115">
        <v>11</v>
      </c>
      <c r="G841" s="107" t="s">
        <v>35</v>
      </c>
      <c r="H841" s="107" t="str">
        <f t="shared" si="78"/>
        <v>Area 11: Mid-Puget Sound</v>
      </c>
      <c r="I841" s="107" t="str">
        <f>IFERROR(VLOOKUP(H841,LUTs!$A$1:$C$73,2,FALSE),"NA")</f>
        <v>NA</v>
      </c>
      <c r="J841" s="107" t="str">
        <f>IFERROR(VLOOKUP(H841,LUTs!$A$1:$C$73,3,FALSE),"NA")</f>
        <v>3South Puget Sound</v>
      </c>
      <c r="K841" s="107" t="s">
        <v>25</v>
      </c>
      <c r="L841" s="107" t="str">
        <f>VLOOKUP(K841,LUTs!E$2:G$14,3,)</f>
        <v>12Jefferson</v>
      </c>
      <c r="M841" s="107" t="str">
        <f>VLOOKUP($K841,LUTs!$E$2:$H$14,2,)</f>
        <v>Strait of Juan de Fuca</v>
      </c>
      <c r="N841" s="107" t="str">
        <f>VLOOKUP($K841,LUTs!$E$2:$H$14,4,)</f>
        <v>03Strait of Juan de Fuca</v>
      </c>
      <c r="O841" s="107">
        <v>12.265133171912799</v>
      </c>
      <c r="P841" s="107">
        <v>50.662364951351599</v>
      </c>
      <c r="Q841" s="107">
        <f t="shared" si="79"/>
        <v>12.265133171912799</v>
      </c>
      <c r="R841" s="107">
        <f t="shared" si="80"/>
        <v>50.662364951351599</v>
      </c>
      <c r="S841" s="140" t="str">
        <f t="shared" si="81"/>
        <v>N</v>
      </c>
      <c r="T841" s="154">
        <f t="shared" si="82"/>
        <v>4.1306004787105453</v>
      </c>
      <c r="U841" s="154">
        <f t="shared" si="83"/>
        <v>4.1306004787105453</v>
      </c>
    </row>
    <row r="842" spans="1:21" x14ac:dyDescent="0.35">
      <c r="A842" s="107">
        <v>616</v>
      </c>
      <c r="B842" s="107">
        <v>2021</v>
      </c>
      <c r="C842" s="107" t="s">
        <v>9</v>
      </c>
      <c r="D842" s="107" t="s">
        <v>132</v>
      </c>
      <c r="E842" s="107" t="s">
        <v>10</v>
      </c>
      <c r="F842" s="115">
        <v>11</v>
      </c>
      <c r="G842" s="107" t="s">
        <v>35</v>
      </c>
      <c r="H842" s="107" t="str">
        <f t="shared" si="78"/>
        <v>Area 11: Mid-Puget Sound</v>
      </c>
      <c r="I842" s="107" t="str">
        <f>IFERROR(VLOOKUP(H842,LUTs!$A$1:$C$73,2,FALSE),"NA")</f>
        <v>NA</v>
      </c>
      <c r="J842" s="107" t="str">
        <f>IFERROR(VLOOKUP(H842,LUTs!$A$1:$C$73,3,FALSE),"NA")</f>
        <v>3South Puget Sound</v>
      </c>
      <c r="K842" s="107" t="s">
        <v>18</v>
      </c>
      <c r="L842" s="107" t="str">
        <f>VLOOKUP(K842,LUTs!E$2:G$14,3,)</f>
        <v>06King</v>
      </c>
      <c r="M842" s="107" t="str">
        <f>VLOOKUP($K842,LUTs!$E$2:$H$14,2,)</f>
        <v>South Puget Sound</v>
      </c>
      <c r="N842" s="107" t="str">
        <f>VLOOKUP($K842,LUTs!$E$2:$H$14,4,)</f>
        <v>02South Puget Sound</v>
      </c>
      <c r="O842" s="107">
        <v>4519.7015738498803</v>
      </c>
      <c r="P842" s="107">
        <v>18669.0814845731</v>
      </c>
      <c r="Q842" s="107">
        <f t="shared" si="79"/>
        <v>4519.7015738498803</v>
      </c>
      <c r="R842" s="107">
        <f t="shared" si="80"/>
        <v>18669.0814845731</v>
      </c>
      <c r="S842" s="140" t="str">
        <f t="shared" si="81"/>
        <v>N</v>
      </c>
      <c r="T842" s="154">
        <f t="shared" si="82"/>
        <v>4.1306004787105408</v>
      </c>
      <c r="U842" s="154">
        <f t="shared" si="83"/>
        <v>4.1306004787105408</v>
      </c>
    </row>
    <row r="843" spans="1:21" x14ac:dyDescent="0.35">
      <c r="A843" s="107">
        <v>620</v>
      </c>
      <c r="B843" s="107">
        <v>2021</v>
      </c>
      <c r="C843" s="107" t="s">
        <v>9</v>
      </c>
      <c r="D843" s="107" t="s">
        <v>132</v>
      </c>
      <c r="E843" s="107" t="s">
        <v>10</v>
      </c>
      <c r="F843" s="115">
        <v>11</v>
      </c>
      <c r="G843" s="107" t="s">
        <v>35</v>
      </c>
      <c r="H843" s="107" t="str">
        <f t="shared" si="78"/>
        <v>Area 11: Mid-Puget Sound</v>
      </c>
      <c r="I843" s="107" t="str">
        <f>IFERROR(VLOOKUP(H843,LUTs!$A$1:$C$73,2,FALSE),"NA")</f>
        <v>NA</v>
      </c>
      <c r="J843" s="107" t="str">
        <f>IFERROR(VLOOKUP(H843,LUTs!$A$1:$C$73,3,FALSE),"NA")</f>
        <v>3South Puget Sound</v>
      </c>
      <c r="K843" s="107" t="s">
        <v>23</v>
      </c>
      <c r="L843" s="107" t="str">
        <f>VLOOKUP(K843,LUTs!E$2:G$14,3,)</f>
        <v>10Kitsap</v>
      </c>
      <c r="M843" s="107" t="str">
        <f>VLOOKUP($K843,LUTs!$E$2:$H$14,2,)</f>
        <v>South Puget Sound</v>
      </c>
      <c r="N843" s="107" t="str">
        <f>VLOOKUP($K843,LUTs!$E$2:$H$14,4,)</f>
        <v>02South Puget Sound</v>
      </c>
      <c r="O843" s="107">
        <v>343.42372881355902</v>
      </c>
      <c r="P843" s="107">
        <v>1418.54621863784</v>
      </c>
      <c r="Q843" s="107">
        <f t="shared" si="79"/>
        <v>343.42372881355902</v>
      </c>
      <c r="R843" s="107">
        <f t="shared" si="80"/>
        <v>1418.54621863784</v>
      </c>
      <c r="S843" s="140" t="str">
        <f t="shared" si="81"/>
        <v>N</v>
      </c>
      <c r="T843" s="154">
        <f t="shared" si="82"/>
        <v>4.1306004787105239</v>
      </c>
      <c r="U843" s="154">
        <f t="shared" si="83"/>
        <v>4.1306004787105239</v>
      </c>
    </row>
    <row r="844" spans="1:21" x14ac:dyDescent="0.35">
      <c r="A844" s="107">
        <v>619</v>
      </c>
      <c r="B844" s="107">
        <v>2021</v>
      </c>
      <c r="C844" s="107" t="s">
        <v>9</v>
      </c>
      <c r="D844" s="107" t="s">
        <v>132</v>
      </c>
      <c r="E844" s="107" t="s">
        <v>10</v>
      </c>
      <c r="F844" s="115">
        <v>11</v>
      </c>
      <c r="G844" s="107" t="s">
        <v>35</v>
      </c>
      <c r="H844" s="107" t="str">
        <f t="shared" si="78"/>
        <v>Area 11: Mid-Puget Sound</v>
      </c>
      <c r="I844" s="107" t="str">
        <f>IFERROR(VLOOKUP(H844,LUTs!$A$1:$C$73,2,FALSE),"NA")</f>
        <v>NA</v>
      </c>
      <c r="J844" s="107" t="str">
        <f>IFERROR(VLOOKUP(H844,LUTs!$A$1:$C$73,3,FALSE),"NA")</f>
        <v>3South Puget Sound</v>
      </c>
      <c r="K844" s="107" t="s">
        <v>22</v>
      </c>
      <c r="L844" s="107" t="str">
        <f>VLOOKUP(K844,LUTs!E$2:G$14,3,)</f>
        <v>09Mason</v>
      </c>
      <c r="M844" s="107" t="str">
        <f>VLOOKUP($K844,LUTs!$E$2:$H$14,2,)</f>
        <v>South Puget Sound</v>
      </c>
      <c r="N844" s="107" t="str">
        <f>VLOOKUP($K844,LUTs!$E$2:$H$14,4,)</f>
        <v>02South Puget Sound</v>
      </c>
      <c r="O844" s="107">
        <v>24.530266343825701</v>
      </c>
      <c r="P844" s="107">
        <v>101.324729902703</v>
      </c>
      <c r="Q844" s="107">
        <f t="shared" si="79"/>
        <v>24.530266343825701</v>
      </c>
      <c r="R844" s="107">
        <f t="shared" si="80"/>
        <v>101.324729902703</v>
      </c>
      <c r="S844" s="140" t="str">
        <f t="shared" si="81"/>
        <v>N</v>
      </c>
      <c r="T844" s="154">
        <f t="shared" si="82"/>
        <v>4.1306004787105204</v>
      </c>
      <c r="U844" s="154">
        <f t="shared" si="83"/>
        <v>4.1306004787105204</v>
      </c>
    </row>
    <row r="845" spans="1:21" x14ac:dyDescent="0.35">
      <c r="A845" s="107">
        <v>623</v>
      </c>
      <c r="B845" s="107">
        <v>2021</v>
      </c>
      <c r="C845" s="107" t="s">
        <v>9</v>
      </c>
      <c r="D845" s="107" t="s">
        <v>132</v>
      </c>
      <c r="E845" s="107" t="s">
        <v>10</v>
      </c>
      <c r="F845" s="115">
        <v>11</v>
      </c>
      <c r="G845" s="107" t="s">
        <v>35</v>
      </c>
      <c r="H845" s="107" t="str">
        <f t="shared" si="78"/>
        <v>Area 11: Mid-Puget Sound</v>
      </c>
      <c r="I845" s="107" t="str">
        <f>IFERROR(VLOOKUP(H845,LUTs!$A$1:$C$73,2,FALSE),"NA")</f>
        <v>NA</v>
      </c>
      <c r="J845" s="107" t="str">
        <f>IFERROR(VLOOKUP(H845,LUTs!$A$1:$C$73,3,FALSE),"NA")</f>
        <v>3South Puget Sound</v>
      </c>
      <c r="K845" s="107" t="s">
        <v>26</v>
      </c>
      <c r="L845" s="107" t="str">
        <f>VLOOKUP(K845,LUTs!E$2:G$14,3,)</f>
        <v>20Other</v>
      </c>
      <c r="M845" s="107" t="str">
        <f>VLOOKUP($K845,LUTs!$E$2:$H$14,2,)</f>
        <v>Non Puget Sound</v>
      </c>
      <c r="N845" s="107" t="str">
        <f>VLOOKUP($K845,LUTs!$E$2:$H$14,4,)</f>
        <v>07Non Puget Sound</v>
      </c>
      <c r="O845" s="107">
        <v>361.82142857142901</v>
      </c>
      <c r="P845" s="107">
        <v>1494.53976606487</v>
      </c>
      <c r="Q845" s="107">
        <f t="shared" si="79"/>
        <v>361.82142857142901</v>
      </c>
      <c r="R845" s="107">
        <f t="shared" si="80"/>
        <v>1494.53976606487</v>
      </c>
      <c r="S845" s="140" t="str">
        <f t="shared" si="81"/>
        <v>N</v>
      </c>
      <c r="T845" s="154">
        <f t="shared" si="82"/>
        <v>4.130600478710523</v>
      </c>
      <c r="U845" s="154">
        <f t="shared" si="83"/>
        <v>4.130600478710523</v>
      </c>
    </row>
    <row r="846" spans="1:21" x14ac:dyDescent="0.35">
      <c r="A846" s="107">
        <v>617</v>
      </c>
      <c r="B846" s="107">
        <v>2021</v>
      </c>
      <c r="C846" s="107" t="s">
        <v>9</v>
      </c>
      <c r="D846" s="107" t="s">
        <v>132</v>
      </c>
      <c r="E846" s="107" t="s">
        <v>10</v>
      </c>
      <c r="F846" s="115">
        <v>11</v>
      </c>
      <c r="G846" s="107" t="s">
        <v>35</v>
      </c>
      <c r="H846" s="107" t="str">
        <f t="shared" si="78"/>
        <v>Area 11: Mid-Puget Sound</v>
      </c>
      <c r="I846" s="107" t="str">
        <f>IFERROR(VLOOKUP(H846,LUTs!$A$1:$C$73,2,FALSE),"NA")</f>
        <v>NA</v>
      </c>
      <c r="J846" s="107" t="str">
        <f>IFERROR(VLOOKUP(H846,LUTs!$A$1:$C$73,3,FALSE),"NA")</f>
        <v>3South Puget Sound</v>
      </c>
      <c r="K846" s="107" t="s">
        <v>20</v>
      </c>
      <c r="L846" s="107" t="str">
        <f>VLOOKUP(K846,LUTs!E$2:G$14,3,)</f>
        <v>07Pierce</v>
      </c>
      <c r="M846" s="107" t="str">
        <f>VLOOKUP($K846,LUTs!$E$2:$H$14,2,)</f>
        <v>South Puget Sound</v>
      </c>
      <c r="N846" s="107" t="str">
        <f>VLOOKUP($K846,LUTs!$E$2:$H$14,4,)</f>
        <v>02South Puget Sound</v>
      </c>
      <c r="O846" s="107">
        <v>4587.1598062953999</v>
      </c>
      <c r="P846" s="107">
        <v>18947.7244918055</v>
      </c>
      <c r="Q846" s="107">
        <f t="shared" si="79"/>
        <v>4587.1598062953999</v>
      </c>
      <c r="R846" s="107">
        <f t="shared" si="80"/>
        <v>18947.7244918055</v>
      </c>
      <c r="S846" s="140" t="str">
        <f t="shared" si="81"/>
        <v>N</v>
      </c>
      <c r="T846" s="154">
        <f t="shared" si="82"/>
        <v>4.1306004787105346</v>
      </c>
      <c r="U846" s="154">
        <f t="shared" si="83"/>
        <v>4.1306004787105346</v>
      </c>
    </row>
    <row r="847" spans="1:21" x14ac:dyDescent="0.35">
      <c r="A847" s="107">
        <v>614</v>
      </c>
      <c r="B847" s="107">
        <v>2021</v>
      </c>
      <c r="C847" s="107" t="s">
        <v>9</v>
      </c>
      <c r="D847" s="107" t="s">
        <v>132</v>
      </c>
      <c r="E847" s="107" t="s">
        <v>10</v>
      </c>
      <c r="F847" s="115">
        <v>11</v>
      </c>
      <c r="G847" s="107" t="s">
        <v>35</v>
      </c>
      <c r="H847" s="107" t="str">
        <f t="shared" si="78"/>
        <v>Area 11: Mid-Puget Sound</v>
      </c>
      <c r="I847" s="107" t="str">
        <f>IFERROR(VLOOKUP(H847,LUTs!$A$1:$C$73,2,FALSE),"NA")</f>
        <v>NA</v>
      </c>
      <c r="J847" s="107" t="str">
        <f>IFERROR(VLOOKUP(H847,LUTs!$A$1:$C$73,3,FALSE),"NA")</f>
        <v>3South Puget Sound</v>
      </c>
      <c r="K847" s="107" t="s">
        <v>15</v>
      </c>
      <c r="L847" s="107" t="str">
        <f>VLOOKUP(K847,LUTs!E$2:G$14,3,)</f>
        <v>02Skagit</v>
      </c>
      <c r="M847" s="107" t="str">
        <f>VLOOKUP($K847,LUTs!$E$2:$H$14,2,)</f>
        <v>North Puget Sound</v>
      </c>
      <c r="N847" s="107" t="str">
        <f>VLOOKUP($K847,LUTs!$E$2:$H$14,4,)</f>
        <v>01North Puget Sound</v>
      </c>
      <c r="O847" s="107">
        <v>24.530266343825701</v>
      </c>
      <c r="P847" s="107">
        <v>101.324729902703</v>
      </c>
      <c r="Q847" s="107">
        <f t="shared" si="79"/>
        <v>24.530266343825701</v>
      </c>
      <c r="R847" s="107">
        <f t="shared" si="80"/>
        <v>101.324729902703</v>
      </c>
      <c r="S847" s="140" t="str">
        <f t="shared" si="81"/>
        <v>N</v>
      </c>
      <c r="T847" s="154">
        <f t="shared" si="82"/>
        <v>4.1306004787105204</v>
      </c>
      <c r="U847" s="154">
        <f t="shared" si="83"/>
        <v>4.1306004787105204</v>
      </c>
    </row>
    <row r="848" spans="1:21" x14ac:dyDescent="0.35">
      <c r="A848" s="107">
        <v>615</v>
      </c>
      <c r="B848" s="107">
        <v>2021</v>
      </c>
      <c r="C848" s="107" t="s">
        <v>9</v>
      </c>
      <c r="D848" s="107" t="s">
        <v>132</v>
      </c>
      <c r="E848" s="107" t="s">
        <v>10</v>
      </c>
      <c r="F848" s="115">
        <v>11</v>
      </c>
      <c r="G848" s="107" t="s">
        <v>35</v>
      </c>
      <c r="H848" s="107" t="str">
        <f t="shared" si="78"/>
        <v>Area 11: Mid-Puget Sound</v>
      </c>
      <c r="I848" s="107" t="str">
        <f>IFERROR(VLOOKUP(H848,LUTs!$A$1:$C$73,2,FALSE),"NA")</f>
        <v>NA</v>
      </c>
      <c r="J848" s="107" t="str">
        <f>IFERROR(VLOOKUP(H848,LUTs!$A$1:$C$73,3,FALSE),"NA")</f>
        <v>3South Puget Sound</v>
      </c>
      <c r="K848" s="107" t="s">
        <v>16</v>
      </c>
      <c r="L848" s="107" t="str">
        <f>VLOOKUP(K848,LUTs!E$2:G$14,3,)</f>
        <v>03Snohomish</v>
      </c>
      <c r="M848" s="107" t="str">
        <f>VLOOKUP($K848,LUTs!$E$2:$H$14,2,)</f>
        <v>North Puget Sound</v>
      </c>
      <c r="N848" s="107" t="str">
        <f>VLOOKUP($K848,LUTs!$E$2:$H$14,4,)</f>
        <v>01North Puget Sound</v>
      </c>
      <c r="O848" s="107">
        <v>98.121065375302706</v>
      </c>
      <c r="P848" s="107">
        <v>405.29891961081302</v>
      </c>
      <c r="Q848" s="107">
        <f t="shared" si="79"/>
        <v>98.121065375302706</v>
      </c>
      <c r="R848" s="107">
        <f t="shared" si="80"/>
        <v>405.29891961081302</v>
      </c>
      <c r="S848" s="140" t="str">
        <f t="shared" si="81"/>
        <v>N</v>
      </c>
      <c r="T848" s="154">
        <f t="shared" si="82"/>
        <v>4.1306004787105346</v>
      </c>
      <c r="U848" s="154">
        <f t="shared" si="83"/>
        <v>4.1306004787105346</v>
      </c>
    </row>
    <row r="849" spans="1:21" x14ac:dyDescent="0.35">
      <c r="A849" s="107">
        <v>618</v>
      </c>
      <c r="B849" s="107">
        <v>2021</v>
      </c>
      <c r="C849" s="107" t="s">
        <v>9</v>
      </c>
      <c r="D849" s="107" t="s">
        <v>132</v>
      </c>
      <c r="E849" s="107" t="s">
        <v>10</v>
      </c>
      <c r="F849" s="115">
        <v>11</v>
      </c>
      <c r="G849" s="107" t="s">
        <v>35</v>
      </c>
      <c r="H849" s="107" t="str">
        <f t="shared" si="78"/>
        <v>Area 11: Mid-Puget Sound</v>
      </c>
      <c r="I849" s="107" t="str">
        <f>IFERROR(VLOOKUP(H849,LUTs!$A$1:$C$73,2,FALSE),"NA")</f>
        <v>NA</v>
      </c>
      <c r="J849" s="107" t="str">
        <f>IFERROR(VLOOKUP(H849,LUTs!$A$1:$C$73,3,FALSE),"NA")</f>
        <v>3South Puget Sound</v>
      </c>
      <c r="K849" s="107" t="s">
        <v>21</v>
      </c>
      <c r="L849" s="107" t="str">
        <f>VLOOKUP(K849,LUTs!E$2:G$14,3,)</f>
        <v>08Thurston</v>
      </c>
      <c r="M849" s="107" t="str">
        <f>VLOOKUP($K849,LUTs!$E$2:$H$14,2,)</f>
        <v>South Puget Sound</v>
      </c>
      <c r="N849" s="107" t="str">
        <f>VLOOKUP($K849,LUTs!$E$2:$H$14,4,)</f>
        <v>02South Puget Sound</v>
      </c>
      <c r="O849" s="107">
        <v>141.04903147699801</v>
      </c>
      <c r="P849" s="107">
        <v>582.61719694054295</v>
      </c>
      <c r="Q849" s="107">
        <f t="shared" si="79"/>
        <v>141.04903147699801</v>
      </c>
      <c r="R849" s="107">
        <f t="shared" si="80"/>
        <v>582.61719694054295</v>
      </c>
      <c r="S849" s="140" t="str">
        <f t="shared" si="81"/>
        <v>N</v>
      </c>
      <c r="T849" s="154">
        <f t="shared" si="82"/>
        <v>4.1306004787105186</v>
      </c>
      <c r="U849" s="154">
        <f t="shared" si="83"/>
        <v>4.1306004787105186</v>
      </c>
    </row>
    <row r="850" spans="1:21" x14ac:dyDescent="0.35">
      <c r="A850" s="107">
        <v>541</v>
      </c>
      <c r="B850" s="107">
        <v>2021</v>
      </c>
      <c r="C850" s="107" t="s">
        <v>9</v>
      </c>
      <c r="D850" s="107" t="s">
        <v>132</v>
      </c>
      <c r="E850" s="107" t="s">
        <v>10</v>
      </c>
      <c r="F850" s="115">
        <v>11</v>
      </c>
      <c r="G850" s="107" t="s">
        <v>35</v>
      </c>
      <c r="H850" s="107" t="str">
        <f t="shared" si="78"/>
        <v>Area 11: Mid-Puget Sound</v>
      </c>
      <c r="I850" s="107" t="str">
        <f>IFERROR(VLOOKUP(H850,LUTs!$A$1:$C$73,2,FALSE),"NA")</f>
        <v>NA</v>
      </c>
      <c r="J850" s="107" t="str">
        <f>IFERROR(VLOOKUP(H850,LUTs!$A$1:$C$73,3,FALSE),"NA")</f>
        <v>3South Puget Sound</v>
      </c>
      <c r="K850" s="107" t="s">
        <v>13</v>
      </c>
      <c r="L850" s="107" t="str">
        <f>VLOOKUP(K850,LUTs!E$2:G$14,3,)</f>
        <v>01Whatcom</v>
      </c>
      <c r="M850" s="107" t="str">
        <f>VLOOKUP($K850,LUTs!$E$2:$H$14,2,)</f>
        <v>North Puget Sound</v>
      </c>
      <c r="N850" s="107" t="str">
        <f>VLOOKUP($K850,LUTs!$E$2:$H$14,4,)</f>
        <v>01North Puget Sound</v>
      </c>
      <c r="O850" s="107">
        <v>12.265133171912799</v>
      </c>
      <c r="P850" s="107">
        <v>50.662364951351599</v>
      </c>
      <c r="Q850" s="107">
        <f t="shared" si="79"/>
        <v>12.265133171912799</v>
      </c>
      <c r="R850" s="107">
        <f t="shared" si="80"/>
        <v>50.662364951351599</v>
      </c>
      <c r="S850" s="140" t="str">
        <f t="shared" si="81"/>
        <v>N</v>
      </c>
      <c r="T850" s="154">
        <f t="shared" si="82"/>
        <v>4.1306004787105453</v>
      </c>
      <c r="U850" s="154">
        <f t="shared" si="83"/>
        <v>4.1306004787105453</v>
      </c>
    </row>
    <row r="851" spans="1:21" x14ac:dyDescent="0.35">
      <c r="A851" s="107">
        <v>91</v>
      </c>
      <c r="B851" s="107">
        <v>2010</v>
      </c>
      <c r="C851" s="107" t="s">
        <v>9</v>
      </c>
      <c r="D851" s="107" t="s">
        <v>132</v>
      </c>
      <c r="E851" s="107" t="s">
        <v>10</v>
      </c>
      <c r="F851" s="115">
        <v>12</v>
      </c>
      <c r="G851" s="107" t="s">
        <v>36</v>
      </c>
      <c r="H851" s="107" t="str">
        <f t="shared" si="78"/>
        <v>Area 12: Hood Canal</v>
      </c>
      <c r="I851" s="107" t="str">
        <f>IFERROR(VLOOKUP(H851,LUTs!$A$1:$C$73,2,FALSE),"NA")</f>
        <v>NA</v>
      </c>
      <c r="J851" s="107" t="str">
        <f>IFERROR(VLOOKUP(H851,LUTs!$A$1:$C$73,3,FALSE),"NA")</f>
        <v>4 Hood Canal</v>
      </c>
      <c r="K851" s="107" t="s">
        <v>24</v>
      </c>
      <c r="L851" s="107" t="str">
        <f>VLOOKUP(K851,LUTs!E$2:G$14,3,)</f>
        <v>11Clallam</v>
      </c>
      <c r="M851" s="107" t="str">
        <f>VLOOKUP($K851,LUTs!$E$2:$H$14,2,)</f>
        <v>Strait of Juan de Fuca</v>
      </c>
      <c r="N851" s="107" t="str">
        <f>VLOOKUP($K851,LUTs!$E$2:$H$14,4,)</f>
        <v>03Strait of Juan de Fuca</v>
      </c>
      <c r="O851" s="107">
        <v>115.96033402922799</v>
      </c>
      <c r="P851" s="107">
        <v>542.51189979123205</v>
      </c>
      <c r="Q851" s="107">
        <f t="shared" si="79"/>
        <v>115.96033402922799</v>
      </c>
      <c r="R851" s="107">
        <f t="shared" si="80"/>
        <v>542.51189979123205</v>
      </c>
      <c r="S851" s="140" t="str">
        <f t="shared" si="81"/>
        <v>Y</v>
      </c>
      <c r="T851" s="154">
        <f t="shared" si="82"/>
        <v>4.6784265010351822</v>
      </c>
      <c r="U851" s="154">
        <f t="shared" si="83"/>
        <v>4.6784265010351822</v>
      </c>
    </row>
    <row r="852" spans="1:21" x14ac:dyDescent="0.35">
      <c r="A852" s="107">
        <v>1255</v>
      </c>
      <c r="B852" s="107">
        <v>2010</v>
      </c>
      <c r="C852" s="107" t="s">
        <v>9</v>
      </c>
      <c r="D852" s="107" t="s">
        <v>132</v>
      </c>
      <c r="E852" s="107" t="s">
        <v>10</v>
      </c>
      <c r="F852" s="115">
        <v>12</v>
      </c>
      <c r="G852" s="107" t="s">
        <v>36</v>
      </c>
      <c r="H852" s="107" t="str">
        <f t="shared" si="78"/>
        <v>Area 12: Hood Canal</v>
      </c>
      <c r="I852" s="107" t="str">
        <f>IFERROR(VLOOKUP(H852,LUTs!$A$1:$C$73,2,FALSE),"NA")</f>
        <v>NA</v>
      </c>
      <c r="J852" s="107" t="str">
        <f>IFERROR(VLOOKUP(H852,LUTs!$A$1:$C$73,3,FALSE),"NA")</f>
        <v>4 Hood Canal</v>
      </c>
      <c r="K852" s="107" t="s">
        <v>17</v>
      </c>
      <c r="L852" s="107" t="str">
        <f>VLOOKUP(K852,LUTs!E$2:G$14,3,)</f>
        <v>04Island</v>
      </c>
      <c r="M852" s="107" t="str">
        <f>VLOOKUP($K852,LUTs!$E$2:$H$14,2,)</f>
        <v>North Puget Sound</v>
      </c>
      <c r="N852" s="107" t="str">
        <f>VLOOKUP($K852,LUTs!$E$2:$H$14,4,)</f>
        <v>01North Puget Sound</v>
      </c>
      <c r="O852" s="107">
        <v>10.0835073068894</v>
      </c>
      <c r="P852" s="107">
        <v>47.174947807933201</v>
      </c>
      <c r="Q852" s="107">
        <f t="shared" si="79"/>
        <v>10.0835073068894</v>
      </c>
      <c r="R852" s="107">
        <f t="shared" si="80"/>
        <v>47.174947807933201</v>
      </c>
      <c r="S852" s="140" t="str">
        <f t="shared" si="81"/>
        <v>Y</v>
      </c>
      <c r="T852" s="154">
        <f t="shared" si="82"/>
        <v>4.6784265010351751</v>
      </c>
      <c r="U852" s="154">
        <f t="shared" si="83"/>
        <v>4.6784265010351751</v>
      </c>
    </row>
    <row r="853" spans="1:21" x14ac:dyDescent="0.35">
      <c r="A853" s="107">
        <v>92</v>
      </c>
      <c r="B853" s="107">
        <v>2010</v>
      </c>
      <c r="C853" s="107" t="s">
        <v>9</v>
      </c>
      <c r="D853" s="107" t="s">
        <v>132</v>
      </c>
      <c r="E853" s="107" t="s">
        <v>10</v>
      </c>
      <c r="F853" s="115">
        <v>12</v>
      </c>
      <c r="G853" s="107" t="s">
        <v>36</v>
      </c>
      <c r="H853" s="107" t="str">
        <f t="shared" si="78"/>
        <v>Area 12: Hood Canal</v>
      </c>
      <c r="I853" s="107" t="str">
        <f>IFERROR(VLOOKUP(H853,LUTs!$A$1:$C$73,2,FALSE),"NA")</f>
        <v>NA</v>
      </c>
      <c r="J853" s="107" t="str">
        <f>IFERROR(VLOOKUP(H853,LUTs!$A$1:$C$73,3,FALSE),"NA")</f>
        <v>4 Hood Canal</v>
      </c>
      <c r="K853" s="107" t="s">
        <v>25</v>
      </c>
      <c r="L853" s="107" t="str">
        <f>VLOOKUP(K853,LUTs!E$2:G$14,3,)</f>
        <v>12Jefferson</v>
      </c>
      <c r="M853" s="107" t="str">
        <f>VLOOKUP($K853,LUTs!$E$2:$H$14,2,)</f>
        <v>Strait of Juan de Fuca</v>
      </c>
      <c r="N853" s="107" t="str">
        <f>VLOOKUP($K853,LUTs!$E$2:$H$14,4,)</f>
        <v>03Strait of Juan de Fuca</v>
      </c>
      <c r="O853" s="107">
        <v>272.25469728601303</v>
      </c>
      <c r="P853" s="107">
        <v>1273.7235908142</v>
      </c>
      <c r="Q853" s="107">
        <f t="shared" si="79"/>
        <v>272.25469728601303</v>
      </c>
      <c r="R853" s="107">
        <f t="shared" si="80"/>
        <v>1273.7235908142</v>
      </c>
      <c r="S853" s="140" t="str">
        <f t="shared" si="81"/>
        <v>Y</v>
      </c>
      <c r="T853" s="154">
        <f t="shared" si="82"/>
        <v>4.6784265010352017</v>
      </c>
      <c r="U853" s="154">
        <f t="shared" si="83"/>
        <v>4.6784265010352017</v>
      </c>
    </row>
    <row r="854" spans="1:21" x14ac:dyDescent="0.35">
      <c r="A854" s="107">
        <v>86</v>
      </c>
      <c r="B854" s="107">
        <v>2010</v>
      </c>
      <c r="C854" s="107" t="s">
        <v>9</v>
      </c>
      <c r="D854" s="107" t="s">
        <v>132</v>
      </c>
      <c r="E854" s="107" t="s">
        <v>10</v>
      </c>
      <c r="F854" s="115">
        <v>12</v>
      </c>
      <c r="G854" s="107" t="s">
        <v>36</v>
      </c>
      <c r="H854" s="107" t="str">
        <f t="shared" si="78"/>
        <v>Area 12: Hood Canal</v>
      </c>
      <c r="I854" s="107" t="str">
        <f>IFERROR(VLOOKUP(H854,LUTs!$A$1:$C$73,2,FALSE),"NA")</f>
        <v>NA</v>
      </c>
      <c r="J854" s="107" t="str">
        <f>IFERROR(VLOOKUP(H854,LUTs!$A$1:$C$73,3,FALSE),"NA")</f>
        <v>4 Hood Canal</v>
      </c>
      <c r="K854" s="107" t="s">
        <v>18</v>
      </c>
      <c r="L854" s="107" t="str">
        <f>VLOOKUP(K854,LUTs!E$2:G$14,3,)</f>
        <v>06King</v>
      </c>
      <c r="M854" s="107" t="str">
        <f>VLOOKUP($K854,LUTs!$E$2:$H$14,2,)</f>
        <v>South Puget Sound</v>
      </c>
      <c r="N854" s="107" t="str">
        <f>VLOOKUP($K854,LUTs!$E$2:$H$14,4,)</f>
        <v>02South Puget Sound</v>
      </c>
      <c r="O854" s="107">
        <v>453.75782881002101</v>
      </c>
      <c r="P854" s="107">
        <v>2122.87265135699</v>
      </c>
      <c r="Q854" s="107">
        <f t="shared" si="79"/>
        <v>453.75782881002101</v>
      </c>
      <c r="R854" s="107">
        <f t="shared" si="80"/>
        <v>2122.87265135699</v>
      </c>
      <c r="S854" s="140" t="str">
        <f t="shared" si="81"/>
        <v>Y</v>
      </c>
      <c r="T854" s="154">
        <f t="shared" si="82"/>
        <v>4.6784265010351866</v>
      </c>
      <c r="U854" s="154">
        <f t="shared" si="83"/>
        <v>4.6784265010351866</v>
      </c>
    </row>
    <row r="855" spans="1:21" x14ac:dyDescent="0.35">
      <c r="A855" s="107">
        <v>90</v>
      </c>
      <c r="B855" s="107">
        <v>2010</v>
      </c>
      <c r="C855" s="107" t="s">
        <v>9</v>
      </c>
      <c r="D855" s="107" t="s">
        <v>132</v>
      </c>
      <c r="E855" s="107" t="s">
        <v>10</v>
      </c>
      <c r="F855" s="115">
        <v>12</v>
      </c>
      <c r="G855" s="107" t="s">
        <v>36</v>
      </c>
      <c r="H855" s="107" t="str">
        <f t="shared" si="78"/>
        <v>Area 12: Hood Canal</v>
      </c>
      <c r="I855" s="107" t="str">
        <f>IFERROR(VLOOKUP(H855,LUTs!$A$1:$C$73,2,FALSE),"NA")</f>
        <v>NA</v>
      </c>
      <c r="J855" s="107" t="str">
        <f>IFERROR(VLOOKUP(H855,LUTs!$A$1:$C$73,3,FALSE),"NA")</f>
        <v>4 Hood Canal</v>
      </c>
      <c r="K855" s="107" t="s">
        <v>23</v>
      </c>
      <c r="L855" s="107" t="str">
        <f>VLOOKUP(K855,LUTs!E$2:G$14,3,)</f>
        <v>10Kitsap</v>
      </c>
      <c r="M855" s="107" t="str">
        <f>VLOOKUP($K855,LUTs!$E$2:$H$14,2,)</f>
        <v>South Puget Sound</v>
      </c>
      <c r="N855" s="107" t="str">
        <f>VLOOKUP($K855,LUTs!$E$2:$H$14,4,)</f>
        <v>02South Puget Sound</v>
      </c>
      <c r="O855" s="107">
        <v>282.338204592902</v>
      </c>
      <c r="P855" s="107">
        <v>1320.89853862213</v>
      </c>
      <c r="Q855" s="107">
        <f t="shared" si="79"/>
        <v>282.338204592902</v>
      </c>
      <c r="R855" s="107">
        <f t="shared" si="80"/>
        <v>1320.89853862213</v>
      </c>
      <c r="S855" s="140" t="str">
        <f t="shared" si="81"/>
        <v>Y</v>
      </c>
      <c r="T855" s="154">
        <f t="shared" si="82"/>
        <v>4.6784265010351964</v>
      </c>
      <c r="U855" s="154">
        <f t="shared" si="83"/>
        <v>4.6784265010351964</v>
      </c>
    </row>
    <row r="856" spans="1:21" x14ac:dyDescent="0.35">
      <c r="A856" s="107">
        <v>89</v>
      </c>
      <c r="B856" s="107">
        <v>2010</v>
      </c>
      <c r="C856" s="107" t="s">
        <v>9</v>
      </c>
      <c r="D856" s="107" t="s">
        <v>132</v>
      </c>
      <c r="E856" s="107" t="s">
        <v>10</v>
      </c>
      <c r="F856" s="115">
        <v>12</v>
      </c>
      <c r="G856" s="107" t="s">
        <v>36</v>
      </c>
      <c r="H856" s="107" t="str">
        <f t="shared" si="78"/>
        <v>Area 12: Hood Canal</v>
      </c>
      <c r="I856" s="107" t="str">
        <f>IFERROR(VLOOKUP(H856,LUTs!$A$1:$C$73,2,FALSE),"NA")</f>
        <v>NA</v>
      </c>
      <c r="J856" s="107" t="str">
        <f>IFERROR(VLOOKUP(H856,LUTs!$A$1:$C$73,3,FALSE),"NA")</f>
        <v>4 Hood Canal</v>
      </c>
      <c r="K856" s="107" t="s">
        <v>22</v>
      </c>
      <c r="L856" s="107" t="str">
        <f>VLOOKUP(K856,LUTs!E$2:G$14,3,)</f>
        <v>09Mason</v>
      </c>
      <c r="M856" s="107" t="str">
        <f>VLOOKUP($K856,LUTs!$E$2:$H$14,2,)</f>
        <v>South Puget Sound</v>
      </c>
      <c r="N856" s="107" t="str">
        <f>VLOOKUP($K856,LUTs!$E$2:$H$14,4,)</f>
        <v>02South Puget Sound</v>
      </c>
      <c r="O856" s="107">
        <v>448.71607515657598</v>
      </c>
      <c r="P856" s="107">
        <v>2099.28517745303</v>
      </c>
      <c r="Q856" s="107">
        <f t="shared" si="79"/>
        <v>448.71607515657598</v>
      </c>
      <c r="R856" s="107">
        <f t="shared" si="80"/>
        <v>2099.28517745303</v>
      </c>
      <c r="S856" s="140" t="str">
        <f t="shared" si="81"/>
        <v>Y</v>
      </c>
      <c r="T856" s="154">
        <f t="shared" si="82"/>
        <v>4.6784265010352053</v>
      </c>
      <c r="U856" s="154">
        <f t="shared" si="83"/>
        <v>4.6784265010352053</v>
      </c>
    </row>
    <row r="857" spans="1:21" x14ac:dyDescent="0.35">
      <c r="A857" s="107">
        <v>93</v>
      </c>
      <c r="B857" s="107">
        <v>2010</v>
      </c>
      <c r="C857" s="107" t="s">
        <v>9</v>
      </c>
      <c r="D857" s="107" t="s">
        <v>132</v>
      </c>
      <c r="E857" s="107" t="s">
        <v>10</v>
      </c>
      <c r="F857" s="115">
        <v>12</v>
      </c>
      <c r="G857" s="107" t="s">
        <v>36</v>
      </c>
      <c r="H857" s="107" t="str">
        <f t="shared" si="78"/>
        <v>Area 12: Hood Canal</v>
      </c>
      <c r="I857" s="107" t="str">
        <f>IFERROR(VLOOKUP(H857,LUTs!$A$1:$C$73,2,FALSE),"NA")</f>
        <v>NA</v>
      </c>
      <c r="J857" s="107" t="str">
        <f>IFERROR(VLOOKUP(H857,LUTs!$A$1:$C$73,3,FALSE),"NA")</f>
        <v>4 Hood Canal</v>
      </c>
      <c r="K857" s="107" t="s">
        <v>26</v>
      </c>
      <c r="L857" s="107" t="str">
        <f>VLOOKUP(K857,LUTs!E$2:G$14,3,)</f>
        <v>20Other</v>
      </c>
      <c r="M857" s="107" t="str">
        <f>VLOOKUP($K857,LUTs!$E$2:$H$14,2,)</f>
        <v>Non Puget Sound</v>
      </c>
      <c r="N857" s="107" t="str">
        <f>VLOOKUP($K857,LUTs!$E$2:$H$14,4,)</f>
        <v>07Non Puget Sound</v>
      </c>
      <c r="O857" s="107">
        <v>252.087682672234</v>
      </c>
      <c r="P857" s="107">
        <v>1179.3736951983301</v>
      </c>
      <c r="Q857" s="107">
        <f t="shared" si="79"/>
        <v>252.087682672234</v>
      </c>
      <c r="R857" s="107">
        <f t="shared" si="80"/>
        <v>1179.3736951983301</v>
      </c>
      <c r="S857" s="140" t="str">
        <f t="shared" si="81"/>
        <v>Y</v>
      </c>
      <c r="T857" s="154">
        <f t="shared" si="82"/>
        <v>4.6784265010351946</v>
      </c>
      <c r="U857" s="154">
        <f t="shared" si="83"/>
        <v>4.6784265010351946</v>
      </c>
    </row>
    <row r="858" spans="1:21" x14ac:dyDescent="0.35">
      <c r="A858" s="107">
        <v>87</v>
      </c>
      <c r="B858" s="107">
        <v>2010</v>
      </c>
      <c r="C858" s="107" t="s">
        <v>9</v>
      </c>
      <c r="D858" s="107" t="s">
        <v>132</v>
      </c>
      <c r="E858" s="107" t="s">
        <v>10</v>
      </c>
      <c r="F858" s="115">
        <v>12</v>
      </c>
      <c r="G858" s="107" t="s">
        <v>36</v>
      </c>
      <c r="H858" s="107" t="str">
        <f t="shared" si="78"/>
        <v>Area 12: Hood Canal</v>
      </c>
      <c r="I858" s="107" t="str">
        <f>IFERROR(VLOOKUP(H858,LUTs!$A$1:$C$73,2,FALSE),"NA")</f>
        <v>NA</v>
      </c>
      <c r="J858" s="107" t="str">
        <f>IFERROR(VLOOKUP(H858,LUTs!$A$1:$C$73,3,FALSE),"NA")</f>
        <v>4 Hood Canal</v>
      </c>
      <c r="K858" s="107" t="s">
        <v>20</v>
      </c>
      <c r="L858" s="107" t="str">
        <f>VLOOKUP(K858,LUTs!E$2:G$14,3,)</f>
        <v>07Pierce</v>
      </c>
      <c r="M858" s="107" t="str">
        <f>VLOOKUP($K858,LUTs!$E$2:$H$14,2,)</f>
        <v>South Puget Sound</v>
      </c>
      <c r="N858" s="107" t="str">
        <f>VLOOKUP($K858,LUTs!$E$2:$H$14,4,)</f>
        <v>02South Puget Sound</v>
      </c>
      <c r="O858" s="107">
        <v>267.212943632568</v>
      </c>
      <c r="P858" s="107">
        <v>1250.1361169102299</v>
      </c>
      <c r="Q858" s="107">
        <f t="shared" si="79"/>
        <v>267.212943632568</v>
      </c>
      <c r="R858" s="107">
        <f t="shared" si="80"/>
        <v>1250.1361169102299</v>
      </c>
      <c r="S858" s="140" t="str">
        <f t="shared" si="81"/>
        <v>Y</v>
      </c>
      <c r="T858" s="154">
        <f t="shared" si="82"/>
        <v>4.6784265010351955</v>
      </c>
      <c r="U858" s="154">
        <f t="shared" si="83"/>
        <v>4.6784265010351955</v>
      </c>
    </row>
    <row r="859" spans="1:21" x14ac:dyDescent="0.35">
      <c r="A859" s="107">
        <v>1254</v>
      </c>
      <c r="B859" s="107">
        <v>2010</v>
      </c>
      <c r="C859" s="107" t="s">
        <v>9</v>
      </c>
      <c r="D859" s="107" t="s">
        <v>132</v>
      </c>
      <c r="E859" s="107" t="s">
        <v>10</v>
      </c>
      <c r="F859" s="115">
        <v>12</v>
      </c>
      <c r="G859" s="107" t="s">
        <v>36</v>
      </c>
      <c r="H859" s="107" t="str">
        <f t="shared" si="78"/>
        <v>Area 12: Hood Canal</v>
      </c>
      <c r="I859" s="107" t="str">
        <f>IFERROR(VLOOKUP(H859,LUTs!$A$1:$C$73,2,FALSE),"NA")</f>
        <v>NA</v>
      </c>
      <c r="J859" s="107" t="str">
        <f>IFERROR(VLOOKUP(H859,LUTs!$A$1:$C$73,3,FALSE),"NA")</f>
        <v>4 Hood Canal</v>
      </c>
      <c r="K859" s="107" t="s">
        <v>16</v>
      </c>
      <c r="L859" s="107" t="str">
        <f>VLOOKUP(K859,LUTs!E$2:G$14,3,)</f>
        <v>03Snohomish</v>
      </c>
      <c r="M859" s="107" t="str">
        <f>VLOOKUP($K859,LUTs!$E$2:$H$14,2,)</f>
        <v>North Puget Sound</v>
      </c>
      <c r="N859" s="107" t="str">
        <f>VLOOKUP($K859,LUTs!$E$2:$H$14,4,)</f>
        <v>01North Puget Sound</v>
      </c>
      <c r="O859" s="107">
        <v>50.417536534446803</v>
      </c>
      <c r="P859" s="107">
        <v>235.874739039666</v>
      </c>
      <c r="Q859" s="107">
        <f t="shared" si="79"/>
        <v>50.417536534446803</v>
      </c>
      <c r="R859" s="107">
        <f t="shared" si="80"/>
        <v>235.874739039666</v>
      </c>
      <c r="S859" s="140" t="str">
        <f t="shared" si="81"/>
        <v>Y</v>
      </c>
      <c r="T859" s="154">
        <f t="shared" si="82"/>
        <v>4.6784265010351938</v>
      </c>
      <c r="U859" s="154">
        <f t="shared" si="83"/>
        <v>4.6784265010351938</v>
      </c>
    </row>
    <row r="860" spans="1:21" x14ac:dyDescent="0.35">
      <c r="A860" s="107">
        <v>88</v>
      </c>
      <c r="B860" s="107">
        <v>2010</v>
      </c>
      <c r="C860" s="107" t="s">
        <v>9</v>
      </c>
      <c r="D860" s="107" t="s">
        <v>132</v>
      </c>
      <c r="E860" s="107" t="s">
        <v>10</v>
      </c>
      <c r="F860" s="115">
        <v>12</v>
      </c>
      <c r="G860" s="107" t="s">
        <v>36</v>
      </c>
      <c r="H860" s="107" t="str">
        <f t="shared" si="78"/>
        <v>Area 12: Hood Canal</v>
      </c>
      <c r="I860" s="107" t="str">
        <f>IFERROR(VLOOKUP(H860,LUTs!$A$1:$C$73,2,FALSE),"NA")</f>
        <v>NA</v>
      </c>
      <c r="J860" s="107" t="str">
        <f>IFERROR(VLOOKUP(H860,LUTs!$A$1:$C$73,3,FALSE),"NA")</f>
        <v>4 Hood Canal</v>
      </c>
      <c r="K860" s="107" t="s">
        <v>21</v>
      </c>
      <c r="L860" s="107" t="str">
        <f>VLOOKUP(K860,LUTs!E$2:G$14,3,)</f>
        <v>08Thurston</v>
      </c>
      <c r="M860" s="107" t="str">
        <f>VLOOKUP($K860,LUTs!$E$2:$H$14,2,)</f>
        <v>South Puget Sound</v>
      </c>
      <c r="N860" s="107" t="str">
        <f>VLOOKUP($K860,LUTs!$E$2:$H$14,4,)</f>
        <v>02South Puget Sound</v>
      </c>
      <c r="O860" s="107">
        <v>257.12943632567902</v>
      </c>
      <c r="P860" s="107">
        <v>1202.9611691022999</v>
      </c>
      <c r="Q860" s="107">
        <f t="shared" si="79"/>
        <v>257.12943632567902</v>
      </c>
      <c r="R860" s="107">
        <f t="shared" si="80"/>
        <v>1202.9611691022999</v>
      </c>
      <c r="S860" s="140" t="str">
        <f t="shared" si="81"/>
        <v>Y</v>
      </c>
      <c r="T860" s="154">
        <f t="shared" si="82"/>
        <v>4.6784265010352009</v>
      </c>
      <c r="U860" s="154">
        <f t="shared" si="83"/>
        <v>4.6784265010352009</v>
      </c>
    </row>
    <row r="861" spans="1:21" x14ac:dyDescent="0.35">
      <c r="A861" s="107">
        <v>1253</v>
      </c>
      <c r="B861" s="107">
        <v>2010</v>
      </c>
      <c r="C861" s="107" t="s">
        <v>9</v>
      </c>
      <c r="D861" s="107" t="s">
        <v>132</v>
      </c>
      <c r="E861" s="107" t="s">
        <v>10</v>
      </c>
      <c r="F861" s="115">
        <v>12</v>
      </c>
      <c r="G861" s="107" t="s">
        <v>36</v>
      </c>
      <c r="H861" s="107" t="str">
        <f t="shared" si="78"/>
        <v>Area 12: Hood Canal</v>
      </c>
      <c r="I861" s="107" t="str">
        <f>IFERROR(VLOOKUP(H861,LUTs!$A$1:$C$73,2,FALSE),"NA")</f>
        <v>NA</v>
      </c>
      <c r="J861" s="107" t="str">
        <f>IFERROR(VLOOKUP(H861,LUTs!$A$1:$C$73,3,FALSE),"NA")</f>
        <v>4 Hood Canal</v>
      </c>
      <c r="K861" s="107" t="s">
        <v>13</v>
      </c>
      <c r="L861" s="107" t="str">
        <f>VLOOKUP(K861,LUTs!E$2:G$14,3,)</f>
        <v>01Whatcom</v>
      </c>
      <c r="M861" s="107" t="str">
        <f>VLOOKUP($K861,LUTs!$E$2:$H$14,2,)</f>
        <v>North Puget Sound</v>
      </c>
      <c r="N861" s="107" t="str">
        <f>VLOOKUP($K861,LUTs!$E$2:$H$14,4,)</f>
        <v>01North Puget Sound</v>
      </c>
      <c r="O861" s="107">
        <v>5.0417536534446796</v>
      </c>
      <c r="P861" s="107">
        <v>23.5874739039666</v>
      </c>
      <c r="Q861" s="107">
        <f t="shared" si="79"/>
        <v>5.0417536534446796</v>
      </c>
      <c r="R861" s="107">
        <f t="shared" si="80"/>
        <v>23.5874739039666</v>
      </c>
      <c r="S861" s="140" t="str">
        <f t="shared" si="81"/>
        <v>Y</v>
      </c>
      <c r="T861" s="154">
        <f t="shared" si="82"/>
        <v>4.6784265010351946</v>
      </c>
      <c r="U861" s="154">
        <f t="shared" si="83"/>
        <v>4.6784265010351946</v>
      </c>
    </row>
    <row r="862" spans="1:21" x14ac:dyDescent="0.35">
      <c r="A862" s="107">
        <v>203</v>
      </c>
      <c r="B862" s="107">
        <v>2011</v>
      </c>
      <c r="C862" s="107" t="s">
        <v>9</v>
      </c>
      <c r="D862" s="107" t="s">
        <v>132</v>
      </c>
      <c r="E862" s="107" t="s">
        <v>10</v>
      </c>
      <c r="F862" s="115">
        <v>12</v>
      </c>
      <c r="G862" s="107" t="s">
        <v>36</v>
      </c>
      <c r="H862" s="107" t="str">
        <f t="shared" si="78"/>
        <v>Area 12: Hood Canal</v>
      </c>
      <c r="I862" s="107" t="str">
        <f>IFERROR(VLOOKUP(H862,LUTs!$A$1:$C$73,2,FALSE),"NA")</f>
        <v>NA</v>
      </c>
      <c r="J862" s="107" t="str">
        <f>IFERROR(VLOOKUP(H862,LUTs!$A$1:$C$73,3,FALSE),"NA")</f>
        <v>4 Hood Canal</v>
      </c>
      <c r="K862" s="107" t="s">
        <v>24</v>
      </c>
      <c r="L862" s="107" t="str">
        <f>VLOOKUP(K862,LUTs!E$2:G$14,3,)</f>
        <v>11Clallam</v>
      </c>
      <c r="M862" s="107" t="str">
        <f>VLOOKUP($K862,LUTs!$E$2:$H$14,2,)</f>
        <v>Strait of Juan de Fuca</v>
      </c>
      <c r="N862" s="107" t="str">
        <f>VLOOKUP($K862,LUTs!$E$2:$H$14,4,)</f>
        <v>03Strait of Juan de Fuca</v>
      </c>
      <c r="O862" s="107">
        <v>354.269230769231</v>
      </c>
      <c r="P862" s="107">
        <v>2017.5947570850201</v>
      </c>
      <c r="Q862" s="107">
        <f t="shared" si="79"/>
        <v>354.269230769231</v>
      </c>
      <c r="R862" s="107">
        <f t="shared" si="80"/>
        <v>2017.5947570850201</v>
      </c>
      <c r="S862" s="140" t="str">
        <f t="shared" si="81"/>
        <v>Y</v>
      </c>
      <c r="T862" s="154">
        <f t="shared" si="82"/>
        <v>5.695088881143251</v>
      </c>
      <c r="U862" s="154">
        <f t="shared" si="83"/>
        <v>5.695088881143251</v>
      </c>
    </row>
    <row r="863" spans="1:21" x14ac:dyDescent="0.35">
      <c r="A863" s="107">
        <v>204</v>
      </c>
      <c r="B863" s="107">
        <v>2011</v>
      </c>
      <c r="C863" s="107" t="s">
        <v>9</v>
      </c>
      <c r="D863" s="107" t="s">
        <v>132</v>
      </c>
      <c r="E863" s="107" t="s">
        <v>10</v>
      </c>
      <c r="F863" s="115">
        <v>12</v>
      </c>
      <c r="G863" s="107" t="s">
        <v>36</v>
      </c>
      <c r="H863" s="107" t="str">
        <f t="shared" si="78"/>
        <v>Area 12: Hood Canal</v>
      </c>
      <c r="I863" s="107" t="str">
        <f>IFERROR(VLOOKUP(H863,LUTs!$A$1:$C$73,2,FALSE),"NA")</f>
        <v>NA</v>
      </c>
      <c r="J863" s="107" t="str">
        <f>IFERROR(VLOOKUP(H863,LUTs!$A$1:$C$73,3,FALSE),"NA")</f>
        <v>4 Hood Canal</v>
      </c>
      <c r="K863" s="107" t="s">
        <v>25</v>
      </c>
      <c r="L863" s="107" t="str">
        <f>VLOOKUP(K863,LUTs!E$2:G$14,3,)</f>
        <v>12Jefferson</v>
      </c>
      <c r="M863" s="107" t="str">
        <f>VLOOKUP($K863,LUTs!$E$2:$H$14,2,)</f>
        <v>Strait of Juan de Fuca</v>
      </c>
      <c r="N863" s="107" t="str">
        <f>VLOOKUP($K863,LUTs!$E$2:$H$14,4,)</f>
        <v>03Strait of Juan de Fuca</v>
      </c>
      <c r="O863" s="107">
        <v>929.23076923076906</v>
      </c>
      <c r="P863" s="107">
        <v>5292.0518218623502</v>
      </c>
      <c r="Q863" s="107">
        <f t="shared" si="79"/>
        <v>929.23076923076906</v>
      </c>
      <c r="R863" s="107">
        <f t="shared" si="80"/>
        <v>5292.0518218623502</v>
      </c>
      <c r="S863" s="140" t="str">
        <f t="shared" si="81"/>
        <v>Y</v>
      </c>
      <c r="T863" s="154">
        <f t="shared" si="82"/>
        <v>5.695088881143259</v>
      </c>
      <c r="U863" s="154">
        <f t="shared" si="83"/>
        <v>5.695088881143259</v>
      </c>
    </row>
    <row r="864" spans="1:21" x14ac:dyDescent="0.35">
      <c r="A864" s="107">
        <v>95</v>
      </c>
      <c r="B864" s="107">
        <v>2011</v>
      </c>
      <c r="C864" s="107" t="s">
        <v>9</v>
      </c>
      <c r="D864" s="107" t="s">
        <v>132</v>
      </c>
      <c r="E864" s="107" t="s">
        <v>10</v>
      </c>
      <c r="F864" s="115">
        <v>12</v>
      </c>
      <c r="G864" s="107" t="s">
        <v>36</v>
      </c>
      <c r="H864" s="107" t="str">
        <f t="shared" si="78"/>
        <v>Area 12: Hood Canal</v>
      </c>
      <c r="I864" s="107" t="str">
        <f>IFERROR(VLOOKUP(H864,LUTs!$A$1:$C$73,2,FALSE),"NA")</f>
        <v>NA</v>
      </c>
      <c r="J864" s="107" t="str">
        <f>IFERROR(VLOOKUP(H864,LUTs!$A$1:$C$73,3,FALSE),"NA")</f>
        <v>4 Hood Canal</v>
      </c>
      <c r="K864" s="107" t="s">
        <v>18</v>
      </c>
      <c r="L864" s="107" t="str">
        <f>VLOOKUP(K864,LUTs!E$2:G$14,3,)</f>
        <v>06King</v>
      </c>
      <c r="M864" s="107" t="str">
        <f>VLOOKUP($K864,LUTs!$E$2:$H$14,2,)</f>
        <v>South Puget Sound</v>
      </c>
      <c r="N864" s="107" t="str">
        <f>VLOOKUP($K864,LUTs!$E$2:$H$14,4,)</f>
        <v>02South Puget Sound</v>
      </c>
      <c r="O864" s="107">
        <v>574.96153846153902</v>
      </c>
      <c r="P864" s="107">
        <v>3274.4570647773298</v>
      </c>
      <c r="Q864" s="107">
        <f t="shared" si="79"/>
        <v>574.96153846153902</v>
      </c>
      <c r="R864" s="107">
        <f t="shared" si="80"/>
        <v>3274.4570647773298</v>
      </c>
      <c r="S864" s="140" t="str">
        <f t="shared" si="81"/>
        <v>Y</v>
      </c>
      <c r="T864" s="154">
        <f t="shared" si="82"/>
        <v>5.6950888811432536</v>
      </c>
      <c r="U864" s="154">
        <f t="shared" si="83"/>
        <v>5.6950888811432536</v>
      </c>
    </row>
    <row r="865" spans="1:21" x14ac:dyDescent="0.35">
      <c r="A865" s="107">
        <v>202</v>
      </c>
      <c r="B865" s="107">
        <v>2011</v>
      </c>
      <c r="C865" s="107" t="s">
        <v>9</v>
      </c>
      <c r="D865" s="107" t="s">
        <v>132</v>
      </c>
      <c r="E865" s="107" t="s">
        <v>10</v>
      </c>
      <c r="F865" s="115">
        <v>12</v>
      </c>
      <c r="G865" s="107" t="s">
        <v>36</v>
      </c>
      <c r="H865" s="107" t="str">
        <f t="shared" si="78"/>
        <v>Area 12: Hood Canal</v>
      </c>
      <c r="I865" s="107" t="str">
        <f>IFERROR(VLOOKUP(H865,LUTs!$A$1:$C$73,2,FALSE),"NA")</f>
        <v>NA</v>
      </c>
      <c r="J865" s="107" t="str">
        <f>IFERROR(VLOOKUP(H865,LUTs!$A$1:$C$73,3,FALSE),"NA")</f>
        <v>4 Hood Canal</v>
      </c>
      <c r="K865" s="107" t="s">
        <v>23</v>
      </c>
      <c r="L865" s="107" t="str">
        <f>VLOOKUP(K865,LUTs!E$2:G$14,3,)</f>
        <v>10Kitsap</v>
      </c>
      <c r="M865" s="107" t="str">
        <f>VLOOKUP($K865,LUTs!$E$2:$H$14,2,)</f>
        <v>South Puget Sound</v>
      </c>
      <c r="N865" s="107" t="str">
        <f>VLOOKUP($K865,LUTs!$E$2:$H$14,4,)</f>
        <v>02South Puget Sound</v>
      </c>
      <c r="O865" s="107">
        <v>993.11538461538498</v>
      </c>
      <c r="P865" s="107">
        <v>5655.8803846153896</v>
      </c>
      <c r="Q865" s="107">
        <f t="shared" si="79"/>
        <v>993.11538461538498</v>
      </c>
      <c r="R865" s="107">
        <f t="shared" si="80"/>
        <v>5655.8803846153896</v>
      </c>
      <c r="S865" s="140" t="str">
        <f t="shared" si="81"/>
        <v>Y</v>
      </c>
      <c r="T865" s="154">
        <f t="shared" si="82"/>
        <v>5.6950888811432581</v>
      </c>
      <c r="U865" s="154">
        <f t="shared" si="83"/>
        <v>5.6950888811432581</v>
      </c>
    </row>
    <row r="866" spans="1:21" x14ac:dyDescent="0.35">
      <c r="A866" s="107">
        <v>201</v>
      </c>
      <c r="B866" s="107">
        <v>2011</v>
      </c>
      <c r="C866" s="107" t="s">
        <v>9</v>
      </c>
      <c r="D866" s="107" t="s">
        <v>132</v>
      </c>
      <c r="E866" s="107" t="s">
        <v>10</v>
      </c>
      <c r="F866" s="115">
        <v>12</v>
      </c>
      <c r="G866" s="107" t="s">
        <v>36</v>
      </c>
      <c r="H866" s="107" t="str">
        <f t="shared" si="78"/>
        <v>Area 12: Hood Canal</v>
      </c>
      <c r="I866" s="107" t="str">
        <f>IFERROR(VLOOKUP(H866,LUTs!$A$1:$C$73,2,FALSE),"NA")</f>
        <v>NA</v>
      </c>
      <c r="J866" s="107" t="str">
        <f>IFERROR(VLOOKUP(H866,LUTs!$A$1:$C$73,3,FALSE),"NA")</f>
        <v>4 Hood Canal</v>
      </c>
      <c r="K866" s="107" t="s">
        <v>22</v>
      </c>
      <c r="L866" s="107" t="str">
        <f>VLOOKUP(K866,LUTs!E$2:G$14,3,)</f>
        <v>09Mason</v>
      </c>
      <c r="M866" s="107" t="str">
        <f>VLOOKUP($K866,LUTs!$E$2:$H$14,2,)</f>
        <v>South Puget Sound</v>
      </c>
      <c r="N866" s="107" t="str">
        <f>VLOOKUP($K866,LUTs!$E$2:$H$14,4,)</f>
        <v>02South Puget Sound</v>
      </c>
      <c r="O866" s="107">
        <v>696.92307692307702</v>
      </c>
      <c r="P866" s="107">
        <v>3969.0388663967601</v>
      </c>
      <c r="Q866" s="107">
        <f t="shared" si="79"/>
        <v>696.92307692307702</v>
      </c>
      <c r="R866" s="107">
        <f t="shared" si="80"/>
        <v>3969.0388663967601</v>
      </c>
      <c r="S866" s="140" t="str">
        <f t="shared" si="81"/>
        <v>Y</v>
      </c>
      <c r="T866" s="154">
        <f t="shared" si="82"/>
        <v>5.6950888811432536</v>
      </c>
      <c r="U866" s="154">
        <f t="shared" si="83"/>
        <v>5.6950888811432536</v>
      </c>
    </row>
    <row r="867" spans="1:21" x14ac:dyDescent="0.35">
      <c r="A867" s="107">
        <v>205</v>
      </c>
      <c r="B867" s="107">
        <v>2011</v>
      </c>
      <c r="C867" s="107" t="s">
        <v>9</v>
      </c>
      <c r="D867" s="107" t="s">
        <v>132</v>
      </c>
      <c r="E867" s="107" t="s">
        <v>10</v>
      </c>
      <c r="F867" s="115">
        <v>12</v>
      </c>
      <c r="G867" s="107" t="s">
        <v>36</v>
      </c>
      <c r="H867" s="107" t="str">
        <f t="shared" si="78"/>
        <v>Area 12: Hood Canal</v>
      </c>
      <c r="I867" s="107" t="str">
        <f>IFERROR(VLOOKUP(H867,LUTs!$A$1:$C$73,2,FALSE),"NA")</f>
        <v>NA</v>
      </c>
      <c r="J867" s="107" t="str">
        <f>IFERROR(VLOOKUP(H867,LUTs!$A$1:$C$73,3,FALSE),"NA")</f>
        <v>4 Hood Canal</v>
      </c>
      <c r="K867" s="107" t="s">
        <v>26</v>
      </c>
      <c r="L867" s="107" t="str">
        <f>VLOOKUP(K867,LUTs!E$2:G$14,3,)</f>
        <v>20Other</v>
      </c>
      <c r="M867" s="107" t="str">
        <f>VLOOKUP($K867,LUTs!$E$2:$H$14,2,)</f>
        <v>Non Puget Sound</v>
      </c>
      <c r="N867" s="107" t="str">
        <f>VLOOKUP($K867,LUTs!$E$2:$H$14,4,)</f>
        <v>07Non Puget Sound</v>
      </c>
      <c r="O867" s="107">
        <v>696.92307692307702</v>
      </c>
      <c r="P867" s="107">
        <v>3969.0388663967601</v>
      </c>
      <c r="Q867" s="107">
        <f t="shared" si="79"/>
        <v>696.92307692307702</v>
      </c>
      <c r="R867" s="107">
        <f t="shared" si="80"/>
        <v>3969.0388663967601</v>
      </c>
      <c r="S867" s="140" t="str">
        <f t="shared" si="81"/>
        <v>Y</v>
      </c>
      <c r="T867" s="154">
        <f t="shared" si="82"/>
        <v>5.6950888811432536</v>
      </c>
      <c r="U867" s="154">
        <f t="shared" si="83"/>
        <v>5.6950888811432536</v>
      </c>
    </row>
    <row r="868" spans="1:21" x14ac:dyDescent="0.35">
      <c r="A868" s="107">
        <v>96</v>
      </c>
      <c r="B868" s="107">
        <v>2011</v>
      </c>
      <c r="C868" s="107" t="s">
        <v>9</v>
      </c>
      <c r="D868" s="107" t="s">
        <v>132</v>
      </c>
      <c r="E868" s="107" t="s">
        <v>10</v>
      </c>
      <c r="F868" s="115">
        <v>12</v>
      </c>
      <c r="G868" s="107" t="s">
        <v>36</v>
      </c>
      <c r="H868" s="107" t="str">
        <f t="shared" si="78"/>
        <v>Area 12: Hood Canal</v>
      </c>
      <c r="I868" s="107" t="str">
        <f>IFERROR(VLOOKUP(H868,LUTs!$A$1:$C$73,2,FALSE),"NA")</f>
        <v>NA</v>
      </c>
      <c r="J868" s="107" t="str">
        <f>IFERROR(VLOOKUP(H868,LUTs!$A$1:$C$73,3,FALSE),"NA")</f>
        <v>4 Hood Canal</v>
      </c>
      <c r="K868" s="107" t="s">
        <v>20</v>
      </c>
      <c r="L868" s="107" t="str">
        <f>VLOOKUP(K868,LUTs!E$2:G$14,3,)</f>
        <v>07Pierce</v>
      </c>
      <c r="M868" s="107" t="str">
        <f>VLOOKUP($K868,LUTs!$E$2:$H$14,2,)</f>
        <v>South Puget Sound</v>
      </c>
      <c r="N868" s="107" t="str">
        <f>VLOOKUP($K868,LUTs!$E$2:$H$14,4,)</f>
        <v>02South Puget Sound</v>
      </c>
      <c r="O868" s="107">
        <v>708.538461538462</v>
      </c>
      <c r="P868" s="107">
        <v>4035.1895141700402</v>
      </c>
      <c r="Q868" s="107">
        <f t="shared" si="79"/>
        <v>708.538461538462</v>
      </c>
      <c r="R868" s="107">
        <f t="shared" si="80"/>
        <v>4035.1895141700402</v>
      </c>
      <c r="S868" s="140" t="str">
        <f t="shared" si="81"/>
        <v>Y</v>
      </c>
      <c r="T868" s="154">
        <f t="shared" si="82"/>
        <v>5.695088881143251</v>
      </c>
      <c r="U868" s="154">
        <f t="shared" si="83"/>
        <v>5.695088881143251</v>
      </c>
    </row>
    <row r="869" spans="1:21" x14ac:dyDescent="0.35">
      <c r="A869" s="107">
        <v>94</v>
      </c>
      <c r="B869" s="107">
        <v>2011</v>
      </c>
      <c r="C869" s="107" t="s">
        <v>9</v>
      </c>
      <c r="D869" s="107" t="s">
        <v>132</v>
      </c>
      <c r="E869" s="107" t="s">
        <v>10</v>
      </c>
      <c r="F869" s="115">
        <v>12</v>
      </c>
      <c r="G869" s="107" t="s">
        <v>36</v>
      </c>
      <c r="H869" s="107" t="str">
        <f t="shared" si="78"/>
        <v>Area 12: Hood Canal</v>
      </c>
      <c r="I869" s="107" t="str">
        <f>IFERROR(VLOOKUP(H869,LUTs!$A$1:$C$73,2,FALSE),"NA")</f>
        <v>NA</v>
      </c>
      <c r="J869" s="107" t="str">
        <f>IFERROR(VLOOKUP(H869,LUTs!$A$1:$C$73,3,FALSE),"NA")</f>
        <v>4 Hood Canal</v>
      </c>
      <c r="K869" s="107" t="s">
        <v>16</v>
      </c>
      <c r="L869" s="107" t="str">
        <f>VLOOKUP(K869,LUTs!E$2:G$14,3,)</f>
        <v>03Snohomish</v>
      </c>
      <c r="M869" s="107" t="str">
        <f>VLOOKUP($K869,LUTs!$E$2:$H$14,2,)</f>
        <v>North Puget Sound</v>
      </c>
      <c r="N869" s="107" t="str">
        <f>VLOOKUP($K869,LUTs!$E$2:$H$14,4,)</f>
        <v>01North Puget Sound</v>
      </c>
      <c r="O869" s="107">
        <v>110.346153846154</v>
      </c>
      <c r="P869" s="107">
        <v>628.43115384615396</v>
      </c>
      <c r="Q869" s="107">
        <f t="shared" si="79"/>
        <v>110.346153846154</v>
      </c>
      <c r="R869" s="107">
        <f t="shared" si="80"/>
        <v>628.43115384615396</v>
      </c>
      <c r="S869" s="140" t="str">
        <f t="shared" si="81"/>
        <v>Y</v>
      </c>
      <c r="T869" s="154">
        <f t="shared" si="82"/>
        <v>5.6950888811432492</v>
      </c>
      <c r="U869" s="154">
        <f t="shared" si="83"/>
        <v>5.6950888811432492</v>
      </c>
    </row>
    <row r="870" spans="1:21" x14ac:dyDescent="0.35">
      <c r="A870" s="107">
        <v>200</v>
      </c>
      <c r="B870" s="107">
        <v>2011</v>
      </c>
      <c r="C870" s="107" t="s">
        <v>9</v>
      </c>
      <c r="D870" s="107" t="s">
        <v>132</v>
      </c>
      <c r="E870" s="107" t="s">
        <v>10</v>
      </c>
      <c r="F870" s="115">
        <v>12</v>
      </c>
      <c r="G870" s="107" t="s">
        <v>36</v>
      </c>
      <c r="H870" s="107" t="str">
        <f t="shared" si="78"/>
        <v>Area 12: Hood Canal</v>
      </c>
      <c r="I870" s="107" t="str">
        <f>IFERROR(VLOOKUP(H870,LUTs!$A$1:$C$73,2,FALSE),"NA")</f>
        <v>NA</v>
      </c>
      <c r="J870" s="107" t="str">
        <f>IFERROR(VLOOKUP(H870,LUTs!$A$1:$C$73,3,FALSE),"NA")</f>
        <v>4 Hood Canal</v>
      </c>
      <c r="K870" s="107" t="s">
        <v>21</v>
      </c>
      <c r="L870" s="107" t="str">
        <f>VLOOKUP(K870,LUTs!E$2:G$14,3,)</f>
        <v>08Thurston</v>
      </c>
      <c r="M870" s="107" t="str">
        <f>VLOOKUP($K870,LUTs!$E$2:$H$14,2,)</f>
        <v>South Puget Sound</v>
      </c>
      <c r="N870" s="107" t="str">
        <f>VLOOKUP($K870,LUTs!$E$2:$H$14,4,)</f>
        <v>02South Puget Sound</v>
      </c>
      <c r="O870" s="107">
        <v>673.69230769230796</v>
      </c>
      <c r="P870" s="107">
        <v>3836.7375708502</v>
      </c>
      <c r="Q870" s="107">
        <f t="shared" si="79"/>
        <v>673.69230769230796</v>
      </c>
      <c r="R870" s="107">
        <f t="shared" si="80"/>
        <v>3836.7375708502</v>
      </c>
      <c r="S870" s="140" t="str">
        <f t="shared" si="81"/>
        <v>Y</v>
      </c>
      <c r="T870" s="154">
        <f t="shared" si="82"/>
        <v>5.6950888811432492</v>
      </c>
      <c r="U870" s="154">
        <f t="shared" si="83"/>
        <v>5.6950888811432492</v>
      </c>
    </row>
    <row r="871" spans="1:21" x14ac:dyDescent="0.35">
      <c r="A871" s="107">
        <v>311</v>
      </c>
      <c r="B871" s="107">
        <v>2012</v>
      </c>
      <c r="C871" s="107" t="s">
        <v>9</v>
      </c>
      <c r="D871" s="107" t="s">
        <v>132</v>
      </c>
      <c r="E871" s="107" t="s">
        <v>10</v>
      </c>
      <c r="F871" s="115">
        <v>12</v>
      </c>
      <c r="G871" s="107" t="s">
        <v>36</v>
      </c>
      <c r="H871" s="107" t="str">
        <f t="shared" si="78"/>
        <v>Area 12: Hood Canal</v>
      </c>
      <c r="I871" s="107" t="str">
        <f>IFERROR(VLOOKUP(H871,LUTs!$A$1:$C$73,2,FALSE),"NA")</f>
        <v>NA</v>
      </c>
      <c r="J871" s="107" t="str">
        <f>IFERROR(VLOOKUP(H871,LUTs!$A$1:$C$73,3,FALSE),"NA")</f>
        <v>4 Hood Canal</v>
      </c>
      <c r="K871" s="107" t="s">
        <v>24</v>
      </c>
      <c r="L871" s="107" t="str">
        <f>VLOOKUP(K871,LUTs!E$2:G$14,3,)</f>
        <v>11Clallam</v>
      </c>
      <c r="M871" s="107" t="str">
        <f>VLOOKUP($K871,LUTs!$E$2:$H$14,2,)</f>
        <v>Strait of Juan de Fuca</v>
      </c>
      <c r="N871" s="107" t="str">
        <f>VLOOKUP($K871,LUTs!$E$2:$H$14,4,)</f>
        <v>03Strait of Juan de Fuca</v>
      </c>
      <c r="O871" s="107">
        <v>301.18629173989501</v>
      </c>
      <c r="P871" s="107">
        <v>1199.5821616871699</v>
      </c>
      <c r="Q871" s="107">
        <f t="shared" si="79"/>
        <v>301.18629173989501</v>
      </c>
      <c r="R871" s="107">
        <f t="shared" si="80"/>
        <v>1199.5821616871699</v>
      </c>
      <c r="S871" s="140" t="str">
        <f t="shared" si="81"/>
        <v>Y</v>
      </c>
      <c r="T871" s="154">
        <f t="shared" si="82"/>
        <v>3.9828577680525084</v>
      </c>
      <c r="U871" s="154">
        <f t="shared" si="83"/>
        <v>3.9828577680525084</v>
      </c>
    </row>
    <row r="872" spans="1:21" x14ac:dyDescent="0.35">
      <c r="A872" s="107">
        <v>312</v>
      </c>
      <c r="B872" s="107">
        <v>2012</v>
      </c>
      <c r="C872" s="107" t="s">
        <v>9</v>
      </c>
      <c r="D872" s="107" t="s">
        <v>132</v>
      </c>
      <c r="E872" s="107" t="s">
        <v>10</v>
      </c>
      <c r="F872" s="115">
        <v>12</v>
      </c>
      <c r="G872" s="107" t="s">
        <v>36</v>
      </c>
      <c r="H872" s="107" t="str">
        <f t="shared" si="78"/>
        <v>Area 12: Hood Canal</v>
      </c>
      <c r="I872" s="107" t="str">
        <f>IFERROR(VLOOKUP(H872,LUTs!$A$1:$C$73,2,FALSE),"NA")</f>
        <v>NA</v>
      </c>
      <c r="J872" s="107" t="str">
        <f>IFERROR(VLOOKUP(H872,LUTs!$A$1:$C$73,3,FALSE),"NA")</f>
        <v>4 Hood Canal</v>
      </c>
      <c r="K872" s="107" t="s">
        <v>25</v>
      </c>
      <c r="L872" s="107" t="str">
        <f>VLOOKUP(K872,LUTs!E$2:G$14,3,)</f>
        <v>12Jefferson</v>
      </c>
      <c r="M872" s="107" t="str">
        <f>VLOOKUP($K872,LUTs!$E$2:$H$14,2,)</f>
        <v>Strait of Juan de Fuca</v>
      </c>
      <c r="N872" s="107" t="str">
        <f>VLOOKUP($K872,LUTs!$E$2:$H$14,4,)</f>
        <v>03Strait of Juan de Fuca</v>
      </c>
      <c r="O872" s="107">
        <v>722.84710017574696</v>
      </c>
      <c r="P872" s="107">
        <v>2878.9971880492099</v>
      </c>
      <c r="Q872" s="107">
        <f t="shared" si="79"/>
        <v>722.84710017574696</v>
      </c>
      <c r="R872" s="107">
        <f t="shared" si="80"/>
        <v>2878.9971880492099</v>
      </c>
      <c r="S872" s="140" t="str">
        <f t="shared" si="81"/>
        <v>Y</v>
      </c>
      <c r="T872" s="154">
        <f t="shared" si="82"/>
        <v>3.9828577680525172</v>
      </c>
      <c r="U872" s="154">
        <f t="shared" si="83"/>
        <v>3.9828577680525172</v>
      </c>
    </row>
    <row r="873" spans="1:21" x14ac:dyDescent="0.35">
      <c r="A873" s="107">
        <v>207</v>
      </c>
      <c r="B873" s="107">
        <v>2012</v>
      </c>
      <c r="C873" s="107" t="s">
        <v>9</v>
      </c>
      <c r="D873" s="107" t="s">
        <v>132</v>
      </c>
      <c r="E873" s="107" t="s">
        <v>10</v>
      </c>
      <c r="F873" s="115">
        <v>12</v>
      </c>
      <c r="G873" s="107" t="s">
        <v>36</v>
      </c>
      <c r="H873" s="107" t="str">
        <f t="shared" si="78"/>
        <v>Area 12: Hood Canal</v>
      </c>
      <c r="I873" s="107" t="str">
        <f>IFERROR(VLOOKUP(H873,LUTs!$A$1:$C$73,2,FALSE),"NA")</f>
        <v>NA</v>
      </c>
      <c r="J873" s="107" t="str">
        <f>IFERROR(VLOOKUP(H873,LUTs!$A$1:$C$73,3,FALSE),"NA")</f>
        <v>4 Hood Canal</v>
      </c>
      <c r="K873" s="107" t="s">
        <v>18</v>
      </c>
      <c r="L873" s="107" t="str">
        <f>VLOOKUP(K873,LUTs!E$2:G$14,3,)</f>
        <v>06King</v>
      </c>
      <c r="M873" s="107" t="str">
        <f>VLOOKUP($K873,LUTs!$E$2:$H$14,2,)</f>
        <v>South Puget Sound</v>
      </c>
      <c r="N873" s="107" t="str">
        <f>VLOOKUP($K873,LUTs!$E$2:$H$14,4,)</f>
        <v>02South Puget Sound</v>
      </c>
      <c r="O873" s="107">
        <v>1048.1282952548299</v>
      </c>
      <c r="P873" s="107">
        <v>4174.5459226713501</v>
      </c>
      <c r="Q873" s="107">
        <f t="shared" si="79"/>
        <v>1048.1282952548299</v>
      </c>
      <c r="R873" s="107">
        <f t="shared" si="80"/>
        <v>4174.5459226713501</v>
      </c>
      <c r="S873" s="140" t="str">
        <f t="shared" si="81"/>
        <v>Y</v>
      </c>
      <c r="T873" s="154">
        <f t="shared" si="82"/>
        <v>3.9828577680525252</v>
      </c>
      <c r="U873" s="154">
        <f t="shared" si="83"/>
        <v>3.9828577680525252</v>
      </c>
    </row>
    <row r="874" spans="1:21" x14ac:dyDescent="0.35">
      <c r="A874" s="107">
        <v>310</v>
      </c>
      <c r="B874" s="107">
        <v>2012</v>
      </c>
      <c r="C874" s="107" t="s">
        <v>9</v>
      </c>
      <c r="D874" s="107" t="s">
        <v>132</v>
      </c>
      <c r="E874" s="107" t="s">
        <v>10</v>
      </c>
      <c r="F874" s="115">
        <v>12</v>
      </c>
      <c r="G874" s="107" t="s">
        <v>36</v>
      </c>
      <c r="H874" s="107" t="str">
        <f t="shared" si="78"/>
        <v>Area 12: Hood Canal</v>
      </c>
      <c r="I874" s="107" t="str">
        <f>IFERROR(VLOOKUP(H874,LUTs!$A$1:$C$73,2,FALSE),"NA")</f>
        <v>NA</v>
      </c>
      <c r="J874" s="107" t="str">
        <f>IFERROR(VLOOKUP(H874,LUTs!$A$1:$C$73,3,FALSE),"NA")</f>
        <v>4 Hood Canal</v>
      </c>
      <c r="K874" s="107" t="s">
        <v>23</v>
      </c>
      <c r="L874" s="107" t="str">
        <f>VLOOKUP(K874,LUTs!E$2:G$14,3,)</f>
        <v>10Kitsap</v>
      </c>
      <c r="M874" s="107" t="str">
        <f>VLOOKUP($K874,LUTs!$E$2:$H$14,2,)</f>
        <v>South Puget Sound</v>
      </c>
      <c r="N874" s="107" t="str">
        <f>VLOOKUP($K874,LUTs!$E$2:$H$14,4,)</f>
        <v>02South Puget Sound</v>
      </c>
      <c r="O874" s="107">
        <v>1186.6739894551799</v>
      </c>
      <c r="P874" s="107">
        <v>4726.3537170474501</v>
      </c>
      <c r="Q874" s="107">
        <f t="shared" si="79"/>
        <v>1186.6739894551799</v>
      </c>
      <c r="R874" s="107">
        <f t="shared" si="80"/>
        <v>4726.3537170474501</v>
      </c>
      <c r="S874" s="140" t="str">
        <f t="shared" si="81"/>
        <v>Y</v>
      </c>
      <c r="T874" s="154">
        <f t="shared" si="82"/>
        <v>3.9828577680525306</v>
      </c>
      <c r="U874" s="154">
        <f t="shared" si="83"/>
        <v>3.9828577680525306</v>
      </c>
    </row>
    <row r="875" spans="1:21" x14ac:dyDescent="0.35">
      <c r="A875" s="107">
        <v>309</v>
      </c>
      <c r="B875" s="107">
        <v>2012</v>
      </c>
      <c r="C875" s="107" t="s">
        <v>9</v>
      </c>
      <c r="D875" s="107" t="s">
        <v>132</v>
      </c>
      <c r="E875" s="107" t="s">
        <v>10</v>
      </c>
      <c r="F875" s="115">
        <v>12</v>
      </c>
      <c r="G875" s="107" t="s">
        <v>36</v>
      </c>
      <c r="H875" s="107" t="str">
        <f t="shared" si="78"/>
        <v>Area 12: Hood Canal</v>
      </c>
      <c r="I875" s="107" t="str">
        <f>IFERROR(VLOOKUP(H875,LUTs!$A$1:$C$73,2,FALSE),"NA")</f>
        <v>NA</v>
      </c>
      <c r="J875" s="107" t="str">
        <f>IFERROR(VLOOKUP(H875,LUTs!$A$1:$C$73,3,FALSE),"NA")</f>
        <v>4 Hood Canal</v>
      </c>
      <c r="K875" s="107" t="s">
        <v>22</v>
      </c>
      <c r="L875" s="107" t="str">
        <f>VLOOKUP(K875,LUTs!E$2:G$14,3,)</f>
        <v>09Mason</v>
      </c>
      <c r="M875" s="107" t="str">
        <f>VLOOKUP($K875,LUTs!$E$2:$H$14,2,)</f>
        <v>South Puget Sound</v>
      </c>
      <c r="N875" s="107" t="str">
        <f>VLOOKUP($K875,LUTs!$E$2:$H$14,4,)</f>
        <v>02South Puget Sound</v>
      </c>
      <c r="O875" s="107">
        <v>1277.02987697715</v>
      </c>
      <c r="P875" s="107">
        <v>5086.2283655536003</v>
      </c>
      <c r="Q875" s="107">
        <f t="shared" si="79"/>
        <v>1277.02987697715</v>
      </c>
      <c r="R875" s="107">
        <f t="shared" si="80"/>
        <v>5086.2283655536003</v>
      </c>
      <c r="S875" s="140" t="str">
        <f t="shared" si="81"/>
        <v>Y</v>
      </c>
      <c r="T875" s="154">
        <f t="shared" si="82"/>
        <v>3.9828577680525235</v>
      </c>
      <c r="U875" s="154">
        <f t="shared" si="83"/>
        <v>3.9828577680525235</v>
      </c>
    </row>
    <row r="876" spans="1:21" x14ac:dyDescent="0.35">
      <c r="A876" s="107">
        <v>313</v>
      </c>
      <c r="B876" s="107">
        <v>2012</v>
      </c>
      <c r="C876" s="107" t="s">
        <v>9</v>
      </c>
      <c r="D876" s="107" t="s">
        <v>132</v>
      </c>
      <c r="E876" s="107" t="s">
        <v>10</v>
      </c>
      <c r="F876" s="115">
        <v>12</v>
      </c>
      <c r="G876" s="107" t="s">
        <v>36</v>
      </c>
      <c r="H876" s="107" t="str">
        <f t="shared" si="78"/>
        <v>Area 12: Hood Canal</v>
      </c>
      <c r="I876" s="107" t="str">
        <f>IFERROR(VLOOKUP(H876,LUTs!$A$1:$C$73,2,FALSE),"NA")</f>
        <v>NA</v>
      </c>
      <c r="J876" s="107" t="str">
        <f>IFERROR(VLOOKUP(H876,LUTs!$A$1:$C$73,3,FALSE),"NA")</f>
        <v>4 Hood Canal</v>
      </c>
      <c r="K876" s="107" t="s">
        <v>26</v>
      </c>
      <c r="L876" s="107" t="str">
        <f>VLOOKUP(K876,LUTs!E$2:G$14,3,)</f>
        <v>20Other</v>
      </c>
      <c r="M876" s="107" t="str">
        <f>VLOOKUP($K876,LUTs!$E$2:$H$14,2,)</f>
        <v>Non Puget Sound</v>
      </c>
      <c r="N876" s="107" t="str">
        <f>VLOOKUP($K876,LUTs!$E$2:$H$14,4,)</f>
        <v>07Non Puget Sound</v>
      </c>
      <c r="O876" s="107">
        <v>505.99297012302299</v>
      </c>
      <c r="P876" s="107">
        <v>2015.2980316344499</v>
      </c>
      <c r="Q876" s="107">
        <f t="shared" si="79"/>
        <v>505.99297012302299</v>
      </c>
      <c r="R876" s="107">
        <f t="shared" si="80"/>
        <v>2015.2980316344499</v>
      </c>
      <c r="S876" s="140" t="str">
        <f t="shared" si="81"/>
        <v>Y</v>
      </c>
      <c r="T876" s="154">
        <f t="shared" si="82"/>
        <v>3.9828577680525221</v>
      </c>
      <c r="U876" s="154">
        <f t="shared" si="83"/>
        <v>3.9828577680525221</v>
      </c>
    </row>
    <row r="877" spans="1:21" x14ac:dyDescent="0.35">
      <c r="A877" s="107">
        <v>208</v>
      </c>
      <c r="B877" s="107">
        <v>2012</v>
      </c>
      <c r="C877" s="107" t="s">
        <v>9</v>
      </c>
      <c r="D877" s="107" t="s">
        <v>132</v>
      </c>
      <c r="E877" s="107" t="s">
        <v>10</v>
      </c>
      <c r="F877" s="115">
        <v>12</v>
      </c>
      <c r="G877" s="107" t="s">
        <v>36</v>
      </c>
      <c r="H877" s="107" t="str">
        <f t="shared" si="78"/>
        <v>Area 12: Hood Canal</v>
      </c>
      <c r="I877" s="107" t="str">
        <f>IFERROR(VLOOKUP(H877,LUTs!$A$1:$C$73,2,FALSE),"NA")</f>
        <v>NA</v>
      </c>
      <c r="J877" s="107" t="str">
        <f>IFERROR(VLOOKUP(H877,LUTs!$A$1:$C$73,3,FALSE),"NA")</f>
        <v>4 Hood Canal</v>
      </c>
      <c r="K877" s="107" t="s">
        <v>20</v>
      </c>
      <c r="L877" s="107" t="str">
        <f>VLOOKUP(K877,LUTs!E$2:G$14,3,)</f>
        <v>07Pierce</v>
      </c>
      <c r="M877" s="107" t="str">
        <f>VLOOKUP($K877,LUTs!$E$2:$H$14,2,)</f>
        <v>South Puget Sound</v>
      </c>
      <c r="N877" s="107" t="str">
        <f>VLOOKUP($K877,LUTs!$E$2:$H$14,4,)</f>
        <v>02South Puget Sound</v>
      </c>
      <c r="O877" s="107">
        <v>987.89103690685397</v>
      </c>
      <c r="P877" s="107">
        <v>3934.6294903339199</v>
      </c>
      <c r="Q877" s="107">
        <f t="shared" si="79"/>
        <v>987.89103690685397</v>
      </c>
      <c r="R877" s="107">
        <f t="shared" si="80"/>
        <v>3934.6294903339199</v>
      </c>
      <c r="S877" s="140" t="str">
        <f t="shared" si="81"/>
        <v>Y</v>
      </c>
      <c r="T877" s="154">
        <f t="shared" si="82"/>
        <v>3.9828577680525177</v>
      </c>
      <c r="U877" s="154">
        <f t="shared" si="83"/>
        <v>3.9828577680525177</v>
      </c>
    </row>
    <row r="878" spans="1:21" x14ac:dyDescent="0.35">
      <c r="A878" s="107">
        <v>206</v>
      </c>
      <c r="B878" s="107">
        <v>2012</v>
      </c>
      <c r="C878" s="107" t="s">
        <v>9</v>
      </c>
      <c r="D878" s="107" t="s">
        <v>132</v>
      </c>
      <c r="E878" s="107" t="s">
        <v>10</v>
      </c>
      <c r="F878" s="115">
        <v>12</v>
      </c>
      <c r="G878" s="107" t="s">
        <v>36</v>
      </c>
      <c r="H878" s="107" t="str">
        <f t="shared" si="78"/>
        <v>Area 12: Hood Canal</v>
      </c>
      <c r="I878" s="107" t="str">
        <f>IFERROR(VLOOKUP(H878,LUTs!$A$1:$C$73,2,FALSE),"NA")</f>
        <v>NA</v>
      </c>
      <c r="J878" s="107" t="str">
        <f>IFERROR(VLOOKUP(H878,LUTs!$A$1:$C$73,3,FALSE),"NA")</f>
        <v>4 Hood Canal</v>
      </c>
      <c r="K878" s="107" t="s">
        <v>16</v>
      </c>
      <c r="L878" s="107" t="str">
        <f>VLOOKUP(K878,LUTs!E$2:G$14,3,)</f>
        <v>03Snohomish</v>
      </c>
      <c r="M878" s="107" t="str">
        <f>VLOOKUP($K878,LUTs!$E$2:$H$14,2,)</f>
        <v>North Puget Sound</v>
      </c>
      <c r="N878" s="107" t="str">
        <f>VLOOKUP($K878,LUTs!$E$2:$H$14,4,)</f>
        <v>01North Puget Sound</v>
      </c>
      <c r="O878" s="107">
        <v>114.45079086116</v>
      </c>
      <c r="P878" s="107">
        <v>455.84122144112501</v>
      </c>
      <c r="Q878" s="107">
        <f t="shared" si="79"/>
        <v>114.45079086116</v>
      </c>
      <c r="R878" s="107">
        <f t="shared" si="80"/>
        <v>455.84122144112501</v>
      </c>
      <c r="S878" s="140" t="str">
        <f t="shared" si="81"/>
        <v>Y</v>
      </c>
      <c r="T878" s="154">
        <f t="shared" si="82"/>
        <v>3.9828577680525159</v>
      </c>
      <c r="U878" s="154">
        <f t="shared" si="83"/>
        <v>3.9828577680525159</v>
      </c>
    </row>
    <row r="879" spans="1:21" x14ac:dyDescent="0.35">
      <c r="A879" s="107">
        <v>308</v>
      </c>
      <c r="B879" s="107">
        <v>2012</v>
      </c>
      <c r="C879" s="107" t="s">
        <v>9</v>
      </c>
      <c r="D879" s="107" t="s">
        <v>132</v>
      </c>
      <c r="E879" s="107" t="s">
        <v>10</v>
      </c>
      <c r="F879" s="115">
        <v>12</v>
      </c>
      <c r="G879" s="107" t="s">
        <v>36</v>
      </c>
      <c r="H879" s="107" t="str">
        <f t="shared" si="78"/>
        <v>Area 12: Hood Canal</v>
      </c>
      <c r="I879" s="107" t="str">
        <f>IFERROR(VLOOKUP(H879,LUTs!$A$1:$C$73,2,FALSE),"NA")</f>
        <v>NA</v>
      </c>
      <c r="J879" s="107" t="str">
        <f>IFERROR(VLOOKUP(H879,LUTs!$A$1:$C$73,3,FALSE),"NA")</f>
        <v>4 Hood Canal</v>
      </c>
      <c r="K879" s="107" t="s">
        <v>21</v>
      </c>
      <c r="L879" s="107" t="str">
        <f>VLOOKUP(K879,LUTs!E$2:G$14,3,)</f>
        <v>08Thurston</v>
      </c>
      <c r="M879" s="107" t="str">
        <f>VLOOKUP($K879,LUTs!$E$2:$H$14,2,)</f>
        <v>South Puget Sound</v>
      </c>
      <c r="N879" s="107" t="str">
        <f>VLOOKUP($K879,LUTs!$E$2:$H$14,4,)</f>
        <v>02South Puget Sound</v>
      </c>
      <c r="O879" s="107">
        <v>710.79964850615102</v>
      </c>
      <c r="P879" s="107">
        <v>2831.0139015817199</v>
      </c>
      <c r="Q879" s="107">
        <f t="shared" si="79"/>
        <v>710.79964850615102</v>
      </c>
      <c r="R879" s="107">
        <f t="shared" si="80"/>
        <v>2831.0139015817199</v>
      </c>
      <c r="S879" s="140" t="str">
        <f t="shared" si="81"/>
        <v>Y</v>
      </c>
      <c r="T879" s="154">
        <f t="shared" si="82"/>
        <v>3.9828577680525137</v>
      </c>
      <c r="U879" s="154">
        <f t="shared" si="83"/>
        <v>3.9828577680525137</v>
      </c>
    </row>
    <row r="880" spans="1:21" x14ac:dyDescent="0.35">
      <c r="A880" s="107">
        <v>422</v>
      </c>
      <c r="B880" s="107">
        <v>2013</v>
      </c>
      <c r="C880" s="107" t="s">
        <v>9</v>
      </c>
      <c r="D880" s="107" t="s">
        <v>132</v>
      </c>
      <c r="E880" s="107" t="s">
        <v>10</v>
      </c>
      <c r="F880" s="115">
        <v>12</v>
      </c>
      <c r="G880" s="107" t="s">
        <v>36</v>
      </c>
      <c r="H880" s="107" t="str">
        <f t="shared" si="78"/>
        <v>Area 12: Hood Canal</v>
      </c>
      <c r="I880" s="107" t="str">
        <f>IFERROR(VLOOKUP(H880,LUTs!$A$1:$C$73,2,FALSE),"NA")</f>
        <v>NA</v>
      </c>
      <c r="J880" s="107" t="str">
        <f>IFERROR(VLOOKUP(H880,LUTs!$A$1:$C$73,3,FALSE),"NA")</f>
        <v>4 Hood Canal</v>
      </c>
      <c r="K880" s="107" t="s">
        <v>24</v>
      </c>
      <c r="L880" s="107" t="str">
        <f>VLOOKUP(K880,LUTs!E$2:G$14,3,)</f>
        <v>11Clallam</v>
      </c>
      <c r="M880" s="107" t="str">
        <f>VLOOKUP($K880,LUTs!$E$2:$H$14,2,)</f>
        <v>Strait of Juan de Fuca</v>
      </c>
      <c r="N880" s="107" t="str">
        <f>VLOOKUP($K880,LUTs!$E$2:$H$14,4,)</f>
        <v>03Strait of Juan de Fuca</v>
      </c>
      <c r="O880" s="107">
        <v>357.08651911468797</v>
      </c>
      <c r="P880" s="107">
        <v>1489.2252716297801</v>
      </c>
      <c r="Q880" s="107">
        <f t="shared" si="79"/>
        <v>357.08651911468797</v>
      </c>
      <c r="R880" s="107">
        <f t="shared" si="80"/>
        <v>1489.2252716297801</v>
      </c>
      <c r="S880" s="140" t="str">
        <f t="shared" si="81"/>
        <v>Y</v>
      </c>
      <c r="T880" s="154">
        <f t="shared" si="82"/>
        <v>4.1704886404615999</v>
      </c>
      <c r="U880" s="154">
        <f t="shared" si="83"/>
        <v>4.1704886404615999</v>
      </c>
    </row>
    <row r="881" spans="1:21" x14ac:dyDescent="0.35">
      <c r="A881" s="107">
        <v>423</v>
      </c>
      <c r="B881" s="107">
        <v>2013</v>
      </c>
      <c r="C881" s="107" t="s">
        <v>9</v>
      </c>
      <c r="D881" s="107" t="s">
        <v>132</v>
      </c>
      <c r="E881" s="107" t="s">
        <v>10</v>
      </c>
      <c r="F881" s="115">
        <v>12</v>
      </c>
      <c r="G881" s="107" t="s">
        <v>36</v>
      </c>
      <c r="H881" s="107" t="str">
        <f t="shared" si="78"/>
        <v>Area 12: Hood Canal</v>
      </c>
      <c r="I881" s="107" t="str">
        <f>IFERROR(VLOOKUP(H881,LUTs!$A$1:$C$73,2,FALSE),"NA")</f>
        <v>NA</v>
      </c>
      <c r="J881" s="107" t="str">
        <f>IFERROR(VLOOKUP(H881,LUTs!$A$1:$C$73,3,FALSE),"NA")</f>
        <v>4 Hood Canal</v>
      </c>
      <c r="K881" s="107" t="s">
        <v>25</v>
      </c>
      <c r="L881" s="107" t="str">
        <f>VLOOKUP(K881,LUTs!E$2:G$14,3,)</f>
        <v>12Jefferson</v>
      </c>
      <c r="M881" s="107" t="str">
        <f>VLOOKUP($K881,LUTs!$E$2:$H$14,2,)</f>
        <v>Strait of Juan de Fuca</v>
      </c>
      <c r="N881" s="107" t="str">
        <f>VLOOKUP($K881,LUTs!$E$2:$H$14,4,)</f>
        <v>03Strait of Juan de Fuca</v>
      </c>
      <c r="O881" s="107">
        <v>747.64989939637803</v>
      </c>
      <c r="P881" s="107">
        <v>3118.0654124748498</v>
      </c>
      <c r="Q881" s="107">
        <f t="shared" si="79"/>
        <v>747.64989939637803</v>
      </c>
      <c r="R881" s="107">
        <f t="shared" si="80"/>
        <v>3118.0654124748498</v>
      </c>
      <c r="S881" s="140" t="str">
        <f t="shared" si="81"/>
        <v>Y</v>
      </c>
      <c r="T881" s="154">
        <f t="shared" si="82"/>
        <v>4.1704886404615964</v>
      </c>
      <c r="U881" s="154">
        <f t="shared" si="83"/>
        <v>4.1704886404615964</v>
      </c>
    </row>
    <row r="882" spans="1:21" x14ac:dyDescent="0.35">
      <c r="A882" s="107">
        <v>315</v>
      </c>
      <c r="B882" s="107">
        <v>2013</v>
      </c>
      <c r="C882" s="107" t="s">
        <v>9</v>
      </c>
      <c r="D882" s="107" t="s">
        <v>132</v>
      </c>
      <c r="E882" s="107" t="s">
        <v>10</v>
      </c>
      <c r="F882" s="115">
        <v>12</v>
      </c>
      <c r="G882" s="107" t="s">
        <v>36</v>
      </c>
      <c r="H882" s="107" t="str">
        <f t="shared" si="78"/>
        <v>Area 12: Hood Canal</v>
      </c>
      <c r="I882" s="107" t="str">
        <f>IFERROR(VLOOKUP(H882,LUTs!$A$1:$C$73,2,FALSE),"NA")</f>
        <v>NA</v>
      </c>
      <c r="J882" s="107" t="str">
        <f>IFERROR(VLOOKUP(H882,LUTs!$A$1:$C$73,3,FALSE),"NA")</f>
        <v>4 Hood Canal</v>
      </c>
      <c r="K882" s="107" t="s">
        <v>18</v>
      </c>
      <c r="L882" s="107" t="str">
        <f>VLOOKUP(K882,LUTs!E$2:G$14,3,)</f>
        <v>06King</v>
      </c>
      <c r="M882" s="107" t="str">
        <f>VLOOKUP($K882,LUTs!$E$2:$H$14,2,)</f>
        <v>South Puget Sound</v>
      </c>
      <c r="N882" s="107" t="str">
        <f>VLOOKUP($K882,LUTs!$E$2:$H$14,4,)</f>
        <v>02South Puget Sound</v>
      </c>
      <c r="O882" s="107">
        <v>875.97786720321994</v>
      </c>
      <c r="P882" s="107">
        <v>3653.2557444668</v>
      </c>
      <c r="Q882" s="107">
        <f t="shared" si="79"/>
        <v>875.97786720321994</v>
      </c>
      <c r="R882" s="107">
        <f t="shared" si="80"/>
        <v>3653.2557444668</v>
      </c>
      <c r="S882" s="140" t="str">
        <f t="shared" si="81"/>
        <v>Y</v>
      </c>
      <c r="T882" s="154">
        <f t="shared" si="82"/>
        <v>4.1704886404615902</v>
      </c>
      <c r="U882" s="154">
        <f t="shared" si="83"/>
        <v>4.1704886404615902</v>
      </c>
    </row>
    <row r="883" spans="1:21" x14ac:dyDescent="0.35">
      <c r="A883" s="107">
        <v>421</v>
      </c>
      <c r="B883" s="107">
        <v>2013</v>
      </c>
      <c r="C883" s="107" t="s">
        <v>9</v>
      </c>
      <c r="D883" s="107" t="s">
        <v>132</v>
      </c>
      <c r="E883" s="107" t="s">
        <v>10</v>
      </c>
      <c r="F883" s="115">
        <v>12</v>
      </c>
      <c r="G883" s="107" t="s">
        <v>36</v>
      </c>
      <c r="H883" s="107" t="str">
        <f t="shared" si="78"/>
        <v>Area 12: Hood Canal</v>
      </c>
      <c r="I883" s="107" t="str">
        <f>IFERROR(VLOOKUP(H883,LUTs!$A$1:$C$73,2,FALSE),"NA")</f>
        <v>NA</v>
      </c>
      <c r="J883" s="107" t="str">
        <f>IFERROR(VLOOKUP(H883,LUTs!$A$1:$C$73,3,FALSE),"NA")</f>
        <v>4 Hood Canal</v>
      </c>
      <c r="K883" s="107" t="s">
        <v>23</v>
      </c>
      <c r="L883" s="107" t="str">
        <f>VLOOKUP(K883,LUTs!E$2:G$14,3,)</f>
        <v>10Kitsap</v>
      </c>
      <c r="M883" s="107" t="str">
        <f>VLOOKUP($K883,LUTs!$E$2:$H$14,2,)</f>
        <v>South Puget Sound</v>
      </c>
      <c r="N883" s="107" t="str">
        <f>VLOOKUP($K883,LUTs!$E$2:$H$14,4,)</f>
        <v>02South Puget Sound</v>
      </c>
      <c r="O883" s="107">
        <v>686.27565392354097</v>
      </c>
      <c r="P883" s="107">
        <v>2862.1048189134799</v>
      </c>
      <c r="Q883" s="107">
        <f t="shared" si="79"/>
        <v>686.27565392354097</v>
      </c>
      <c r="R883" s="107">
        <f t="shared" si="80"/>
        <v>2862.1048189134799</v>
      </c>
      <c r="S883" s="140" t="str">
        <f t="shared" si="81"/>
        <v>Y</v>
      </c>
      <c r="T883" s="154">
        <f t="shared" si="82"/>
        <v>4.1704886404615946</v>
      </c>
      <c r="U883" s="154">
        <f t="shared" si="83"/>
        <v>4.1704886404615946</v>
      </c>
    </row>
    <row r="884" spans="1:21" x14ac:dyDescent="0.35">
      <c r="A884" s="107">
        <v>420</v>
      </c>
      <c r="B884" s="107">
        <v>2013</v>
      </c>
      <c r="C884" s="107" t="s">
        <v>9</v>
      </c>
      <c r="D884" s="107" t="s">
        <v>132</v>
      </c>
      <c r="E884" s="107" t="s">
        <v>10</v>
      </c>
      <c r="F884" s="115">
        <v>12</v>
      </c>
      <c r="G884" s="107" t="s">
        <v>36</v>
      </c>
      <c r="H884" s="107" t="str">
        <f t="shared" si="78"/>
        <v>Area 12: Hood Canal</v>
      </c>
      <c r="I884" s="107" t="str">
        <f>IFERROR(VLOOKUP(H884,LUTs!$A$1:$C$73,2,FALSE),"NA")</f>
        <v>NA</v>
      </c>
      <c r="J884" s="107" t="str">
        <f>IFERROR(VLOOKUP(H884,LUTs!$A$1:$C$73,3,FALSE),"NA")</f>
        <v>4 Hood Canal</v>
      </c>
      <c r="K884" s="107" t="s">
        <v>22</v>
      </c>
      <c r="L884" s="107" t="str">
        <f>VLOOKUP(K884,LUTs!E$2:G$14,3,)</f>
        <v>09Mason</v>
      </c>
      <c r="M884" s="107" t="str">
        <f>VLOOKUP($K884,LUTs!$E$2:$H$14,2,)</f>
        <v>South Puget Sound</v>
      </c>
      <c r="N884" s="107" t="str">
        <f>VLOOKUP($K884,LUTs!$E$2:$H$14,4,)</f>
        <v>02South Puget Sound</v>
      </c>
      <c r="O884" s="107">
        <v>892.71629778672104</v>
      </c>
      <c r="P884" s="107">
        <v>3723.0631790744501</v>
      </c>
      <c r="Q884" s="107">
        <f t="shared" si="79"/>
        <v>892.71629778672104</v>
      </c>
      <c r="R884" s="107">
        <f t="shared" si="80"/>
        <v>3723.0631790744501</v>
      </c>
      <c r="S884" s="140" t="str">
        <f t="shared" si="81"/>
        <v>Y</v>
      </c>
      <c r="T884" s="154">
        <f t="shared" si="82"/>
        <v>4.1704886404615946</v>
      </c>
      <c r="U884" s="154">
        <f t="shared" si="83"/>
        <v>4.1704886404615946</v>
      </c>
    </row>
    <row r="885" spans="1:21" x14ac:dyDescent="0.35">
      <c r="A885" s="107">
        <v>424</v>
      </c>
      <c r="B885" s="107">
        <v>2013</v>
      </c>
      <c r="C885" s="107" t="s">
        <v>9</v>
      </c>
      <c r="D885" s="107" t="s">
        <v>132</v>
      </c>
      <c r="E885" s="107" t="s">
        <v>10</v>
      </c>
      <c r="F885" s="115">
        <v>12</v>
      </c>
      <c r="G885" s="107" t="s">
        <v>36</v>
      </c>
      <c r="H885" s="107" t="str">
        <f t="shared" si="78"/>
        <v>Area 12: Hood Canal</v>
      </c>
      <c r="I885" s="107" t="str">
        <f>IFERROR(VLOOKUP(H885,LUTs!$A$1:$C$73,2,FALSE),"NA")</f>
        <v>NA</v>
      </c>
      <c r="J885" s="107" t="str">
        <f>IFERROR(VLOOKUP(H885,LUTs!$A$1:$C$73,3,FALSE),"NA")</f>
        <v>4 Hood Canal</v>
      </c>
      <c r="K885" s="107" t="s">
        <v>26</v>
      </c>
      <c r="L885" s="107" t="str">
        <f>VLOOKUP(K885,LUTs!E$2:G$14,3,)</f>
        <v>20Other</v>
      </c>
      <c r="M885" s="107" t="str">
        <f>VLOOKUP($K885,LUTs!$E$2:$H$14,2,)</f>
        <v>Non Puget Sound</v>
      </c>
      <c r="N885" s="107" t="str">
        <f>VLOOKUP($K885,LUTs!$E$2:$H$14,4,)</f>
        <v>07Non Puget Sound</v>
      </c>
      <c r="O885" s="107">
        <v>485.41448692152898</v>
      </c>
      <c r="P885" s="107">
        <v>2024.41560362173</v>
      </c>
      <c r="Q885" s="107">
        <f t="shared" si="79"/>
        <v>485.41448692152898</v>
      </c>
      <c r="R885" s="107">
        <f t="shared" si="80"/>
        <v>2024.41560362173</v>
      </c>
      <c r="S885" s="140" t="str">
        <f t="shared" si="81"/>
        <v>Y</v>
      </c>
      <c r="T885" s="154">
        <f t="shared" si="82"/>
        <v>4.1704886404615946</v>
      </c>
      <c r="U885" s="154">
        <f t="shared" si="83"/>
        <v>4.1704886404615946</v>
      </c>
    </row>
    <row r="886" spans="1:21" x14ac:dyDescent="0.35">
      <c r="A886" s="107">
        <v>316</v>
      </c>
      <c r="B886" s="107">
        <v>2013</v>
      </c>
      <c r="C886" s="107" t="s">
        <v>9</v>
      </c>
      <c r="D886" s="107" t="s">
        <v>132</v>
      </c>
      <c r="E886" s="107" t="s">
        <v>10</v>
      </c>
      <c r="F886" s="115">
        <v>12</v>
      </c>
      <c r="G886" s="107" t="s">
        <v>36</v>
      </c>
      <c r="H886" s="107" t="str">
        <f t="shared" si="78"/>
        <v>Area 12: Hood Canal</v>
      </c>
      <c r="I886" s="107" t="str">
        <f>IFERROR(VLOOKUP(H886,LUTs!$A$1:$C$73,2,FALSE),"NA")</f>
        <v>NA</v>
      </c>
      <c r="J886" s="107" t="str">
        <f>IFERROR(VLOOKUP(H886,LUTs!$A$1:$C$73,3,FALSE),"NA")</f>
        <v>4 Hood Canal</v>
      </c>
      <c r="K886" s="107" t="s">
        <v>20</v>
      </c>
      <c r="L886" s="107" t="str">
        <f>VLOOKUP(K886,LUTs!E$2:G$14,3,)</f>
        <v>07Pierce</v>
      </c>
      <c r="M886" s="107" t="str">
        <f>VLOOKUP($K886,LUTs!$E$2:$H$14,2,)</f>
        <v>South Puget Sound</v>
      </c>
      <c r="N886" s="107" t="str">
        <f>VLOOKUP($K886,LUTs!$E$2:$H$14,4,)</f>
        <v>02South Puget Sound</v>
      </c>
      <c r="O886" s="107">
        <v>675.11670020120698</v>
      </c>
      <c r="P886" s="107">
        <v>2815.5665291750502</v>
      </c>
      <c r="Q886" s="107">
        <f t="shared" si="79"/>
        <v>675.11670020120698</v>
      </c>
      <c r="R886" s="107">
        <f t="shared" si="80"/>
        <v>2815.5665291750502</v>
      </c>
      <c r="S886" s="140" t="str">
        <f t="shared" si="81"/>
        <v>Y</v>
      </c>
      <c r="T886" s="154">
        <f t="shared" si="82"/>
        <v>4.1704886404615955</v>
      </c>
      <c r="U886" s="154">
        <f t="shared" si="83"/>
        <v>4.1704886404615955</v>
      </c>
    </row>
    <row r="887" spans="1:21" x14ac:dyDescent="0.35">
      <c r="A887" s="107">
        <v>314</v>
      </c>
      <c r="B887" s="107">
        <v>2013</v>
      </c>
      <c r="C887" s="107" t="s">
        <v>9</v>
      </c>
      <c r="D887" s="107" t="s">
        <v>132</v>
      </c>
      <c r="E887" s="107" t="s">
        <v>10</v>
      </c>
      <c r="F887" s="115">
        <v>12</v>
      </c>
      <c r="G887" s="107" t="s">
        <v>36</v>
      </c>
      <c r="H887" s="107" t="str">
        <f t="shared" si="78"/>
        <v>Area 12: Hood Canal</v>
      </c>
      <c r="I887" s="107" t="str">
        <f>IFERROR(VLOOKUP(H887,LUTs!$A$1:$C$73,2,FALSE),"NA")</f>
        <v>NA</v>
      </c>
      <c r="J887" s="107" t="str">
        <f>IFERROR(VLOOKUP(H887,LUTs!$A$1:$C$73,3,FALSE),"NA")</f>
        <v>4 Hood Canal</v>
      </c>
      <c r="K887" s="107" t="s">
        <v>16</v>
      </c>
      <c r="L887" s="107" t="str">
        <f>VLOOKUP(K887,LUTs!E$2:G$14,3,)</f>
        <v>03Snohomish</v>
      </c>
      <c r="M887" s="107" t="str">
        <f>VLOOKUP($K887,LUTs!$E$2:$H$14,2,)</f>
        <v>North Puget Sound</v>
      </c>
      <c r="N887" s="107" t="str">
        <f>VLOOKUP($K887,LUTs!$E$2:$H$14,4,)</f>
        <v>01North Puget Sound</v>
      </c>
      <c r="O887" s="107">
        <v>27.897384305835001</v>
      </c>
      <c r="P887" s="107">
        <v>116.345724346076</v>
      </c>
      <c r="Q887" s="107">
        <f t="shared" si="79"/>
        <v>27.897384305835001</v>
      </c>
      <c r="R887" s="107">
        <f t="shared" si="80"/>
        <v>116.345724346076</v>
      </c>
      <c r="S887" s="140" t="str">
        <f t="shared" si="81"/>
        <v>Y</v>
      </c>
      <c r="T887" s="154">
        <f t="shared" si="82"/>
        <v>4.1704886404615786</v>
      </c>
      <c r="U887" s="154">
        <f t="shared" si="83"/>
        <v>4.1704886404615786</v>
      </c>
    </row>
    <row r="888" spans="1:21" x14ac:dyDescent="0.35">
      <c r="A888" s="107">
        <v>419</v>
      </c>
      <c r="B888" s="107">
        <v>2013</v>
      </c>
      <c r="C888" s="107" t="s">
        <v>9</v>
      </c>
      <c r="D888" s="107" t="s">
        <v>132</v>
      </c>
      <c r="E888" s="107" t="s">
        <v>10</v>
      </c>
      <c r="F888" s="115">
        <v>12</v>
      </c>
      <c r="G888" s="107" t="s">
        <v>36</v>
      </c>
      <c r="H888" s="107" t="str">
        <f t="shared" si="78"/>
        <v>Area 12: Hood Canal</v>
      </c>
      <c r="I888" s="107" t="str">
        <f>IFERROR(VLOOKUP(H888,LUTs!$A$1:$C$73,2,FALSE),"NA")</f>
        <v>NA</v>
      </c>
      <c r="J888" s="107" t="str">
        <f>IFERROR(VLOOKUP(H888,LUTs!$A$1:$C$73,3,FALSE),"NA")</f>
        <v>4 Hood Canal</v>
      </c>
      <c r="K888" s="107" t="s">
        <v>21</v>
      </c>
      <c r="L888" s="107" t="str">
        <f>VLOOKUP(K888,LUTs!E$2:G$14,3,)</f>
        <v>08Thurston</v>
      </c>
      <c r="M888" s="107" t="str">
        <f>VLOOKUP($K888,LUTs!$E$2:$H$14,2,)</f>
        <v>South Puget Sound</v>
      </c>
      <c r="N888" s="107" t="str">
        <f>VLOOKUP($K888,LUTs!$E$2:$H$14,4,)</f>
        <v>02South Puget Sound</v>
      </c>
      <c r="O888" s="107">
        <v>797.86519114688201</v>
      </c>
      <c r="P888" s="107">
        <v>3327.48771629779</v>
      </c>
      <c r="Q888" s="107">
        <f t="shared" si="79"/>
        <v>797.86519114688201</v>
      </c>
      <c r="R888" s="107">
        <f t="shared" si="80"/>
        <v>3327.48771629779</v>
      </c>
      <c r="S888" s="140" t="str">
        <f t="shared" si="81"/>
        <v>Y</v>
      </c>
      <c r="T888" s="154">
        <f t="shared" si="82"/>
        <v>4.1704886404615946</v>
      </c>
      <c r="U888" s="154">
        <f t="shared" si="83"/>
        <v>4.1704886404615946</v>
      </c>
    </row>
    <row r="889" spans="1:21" x14ac:dyDescent="0.35">
      <c r="A889" s="107">
        <v>530</v>
      </c>
      <c r="B889" s="107">
        <v>2014</v>
      </c>
      <c r="C889" s="107" t="s">
        <v>9</v>
      </c>
      <c r="D889" s="107" t="s">
        <v>132</v>
      </c>
      <c r="E889" s="107" t="s">
        <v>10</v>
      </c>
      <c r="F889" s="115">
        <v>12</v>
      </c>
      <c r="G889" s="107" t="s">
        <v>36</v>
      </c>
      <c r="H889" s="107" t="str">
        <f t="shared" si="78"/>
        <v>Area 12: Hood Canal</v>
      </c>
      <c r="I889" s="107" t="str">
        <f>IFERROR(VLOOKUP(H889,LUTs!$A$1:$C$73,2,FALSE),"NA")</f>
        <v>NA</v>
      </c>
      <c r="J889" s="107" t="str">
        <f>IFERROR(VLOOKUP(H889,LUTs!$A$1:$C$73,3,FALSE),"NA")</f>
        <v>4 Hood Canal</v>
      </c>
      <c r="K889" s="107" t="s">
        <v>24</v>
      </c>
      <c r="L889" s="107" t="str">
        <f>VLOOKUP(K889,LUTs!E$2:G$14,3,)</f>
        <v>11Clallam</v>
      </c>
      <c r="M889" s="107" t="str">
        <f>VLOOKUP($K889,LUTs!$E$2:$H$14,2,)</f>
        <v>Strait of Juan de Fuca</v>
      </c>
      <c r="N889" s="107" t="str">
        <f>VLOOKUP($K889,LUTs!$E$2:$H$14,4,)</f>
        <v>03Strait of Juan de Fuca</v>
      </c>
      <c r="O889" s="107">
        <v>125.574803149606</v>
      </c>
      <c r="P889" s="107">
        <v>585.09141732283501</v>
      </c>
      <c r="Q889" s="107">
        <f t="shared" si="79"/>
        <v>125.574803149606</v>
      </c>
      <c r="R889" s="107">
        <f t="shared" si="80"/>
        <v>585.09141732283501</v>
      </c>
      <c r="S889" s="140" t="str">
        <f t="shared" si="81"/>
        <v>Y</v>
      </c>
      <c r="T889" s="154">
        <f t="shared" si="82"/>
        <v>4.6593058690745064</v>
      </c>
      <c r="U889" s="154">
        <f t="shared" si="83"/>
        <v>4.6593058690745064</v>
      </c>
    </row>
    <row r="890" spans="1:21" x14ac:dyDescent="0.35">
      <c r="A890" s="107">
        <v>531</v>
      </c>
      <c r="B890" s="107">
        <v>2014</v>
      </c>
      <c r="C890" s="107" t="s">
        <v>9</v>
      </c>
      <c r="D890" s="107" t="s">
        <v>132</v>
      </c>
      <c r="E890" s="107" t="s">
        <v>10</v>
      </c>
      <c r="F890" s="115">
        <v>12</v>
      </c>
      <c r="G890" s="107" t="s">
        <v>36</v>
      </c>
      <c r="H890" s="107" t="str">
        <f t="shared" si="78"/>
        <v>Area 12: Hood Canal</v>
      </c>
      <c r="I890" s="107" t="str">
        <f>IFERROR(VLOOKUP(H890,LUTs!$A$1:$C$73,2,FALSE),"NA")</f>
        <v>NA</v>
      </c>
      <c r="J890" s="107" t="str">
        <f>IFERROR(VLOOKUP(H890,LUTs!$A$1:$C$73,3,FALSE),"NA")</f>
        <v>4 Hood Canal</v>
      </c>
      <c r="K890" s="107" t="s">
        <v>25</v>
      </c>
      <c r="L890" s="107" t="str">
        <f>VLOOKUP(K890,LUTs!E$2:G$14,3,)</f>
        <v>12Jefferson</v>
      </c>
      <c r="M890" s="107" t="str">
        <f>VLOOKUP($K890,LUTs!$E$2:$H$14,2,)</f>
        <v>Strait of Juan de Fuca</v>
      </c>
      <c r="N890" s="107" t="str">
        <f>VLOOKUP($K890,LUTs!$E$2:$H$14,4,)</f>
        <v>03Strait of Juan de Fuca</v>
      </c>
      <c r="O890" s="107">
        <v>90.692913385826799</v>
      </c>
      <c r="P890" s="107">
        <v>422.566023622047</v>
      </c>
      <c r="Q890" s="107">
        <f t="shared" si="79"/>
        <v>90.692913385826799</v>
      </c>
      <c r="R890" s="107">
        <f t="shared" si="80"/>
        <v>422.566023622047</v>
      </c>
      <c r="S890" s="140" t="str">
        <f t="shared" si="81"/>
        <v>Y</v>
      </c>
      <c r="T890" s="154">
        <f t="shared" si="82"/>
        <v>4.6593058690744877</v>
      </c>
      <c r="U890" s="154">
        <f t="shared" si="83"/>
        <v>4.6593058690744877</v>
      </c>
    </row>
    <row r="891" spans="1:21" x14ac:dyDescent="0.35">
      <c r="A891" s="107">
        <v>427</v>
      </c>
      <c r="B891" s="107">
        <v>2014</v>
      </c>
      <c r="C891" s="107" t="s">
        <v>9</v>
      </c>
      <c r="D891" s="107" t="s">
        <v>132</v>
      </c>
      <c r="E891" s="107" t="s">
        <v>10</v>
      </c>
      <c r="F891" s="115">
        <v>12</v>
      </c>
      <c r="G891" s="107" t="s">
        <v>36</v>
      </c>
      <c r="H891" s="107" t="str">
        <f t="shared" si="78"/>
        <v>Area 12: Hood Canal</v>
      </c>
      <c r="I891" s="107" t="str">
        <f>IFERROR(VLOOKUP(H891,LUTs!$A$1:$C$73,2,FALSE),"NA")</f>
        <v>NA</v>
      </c>
      <c r="J891" s="107" t="str">
        <f>IFERROR(VLOOKUP(H891,LUTs!$A$1:$C$73,3,FALSE),"NA")</f>
        <v>4 Hood Canal</v>
      </c>
      <c r="K891" s="107" t="s">
        <v>18</v>
      </c>
      <c r="L891" s="107" t="str">
        <f>VLOOKUP(K891,LUTs!E$2:G$14,3,)</f>
        <v>06King</v>
      </c>
      <c r="M891" s="107" t="str">
        <f>VLOOKUP($K891,LUTs!$E$2:$H$14,2,)</f>
        <v>South Puget Sound</v>
      </c>
      <c r="N891" s="107" t="str">
        <f>VLOOKUP($K891,LUTs!$E$2:$H$14,4,)</f>
        <v>02South Puget Sound</v>
      </c>
      <c r="O891" s="107">
        <v>969.71653543307104</v>
      </c>
      <c r="P891" s="107">
        <v>4518.20594488189</v>
      </c>
      <c r="Q891" s="107">
        <f t="shared" si="79"/>
        <v>969.71653543307104</v>
      </c>
      <c r="R891" s="107">
        <f t="shared" si="80"/>
        <v>4518.20594488189</v>
      </c>
      <c r="S891" s="140" t="str">
        <f t="shared" si="81"/>
        <v>Y</v>
      </c>
      <c r="T891" s="154">
        <f t="shared" si="82"/>
        <v>4.6593058690744913</v>
      </c>
      <c r="U891" s="154">
        <f t="shared" si="83"/>
        <v>4.6593058690744913</v>
      </c>
    </row>
    <row r="892" spans="1:21" x14ac:dyDescent="0.35">
      <c r="A892" s="107">
        <v>529</v>
      </c>
      <c r="B892" s="107">
        <v>2014</v>
      </c>
      <c r="C892" s="107" t="s">
        <v>9</v>
      </c>
      <c r="D892" s="107" t="s">
        <v>132</v>
      </c>
      <c r="E892" s="107" t="s">
        <v>10</v>
      </c>
      <c r="F892" s="115">
        <v>12</v>
      </c>
      <c r="G892" s="107" t="s">
        <v>36</v>
      </c>
      <c r="H892" s="107" t="str">
        <f t="shared" si="78"/>
        <v>Area 12: Hood Canal</v>
      </c>
      <c r="I892" s="107" t="str">
        <f>IFERROR(VLOOKUP(H892,LUTs!$A$1:$C$73,2,FALSE),"NA")</f>
        <v>NA</v>
      </c>
      <c r="J892" s="107" t="str">
        <f>IFERROR(VLOOKUP(H892,LUTs!$A$1:$C$73,3,FALSE),"NA")</f>
        <v>4 Hood Canal</v>
      </c>
      <c r="K892" s="107" t="s">
        <v>23</v>
      </c>
      <c r="L892" s="107" t="str">
        <f>VLOOKUP(K892,LUTs!E$2:G$14,3,)</f>
        <v>10Kitsap</v>
      </c>
      <c r="M892" s="107" t="str">
        <f>VLOOKUP($K892,LUTs!$E$2:$H$14,2,)</f>
        <v>South Puget Sound</v>
      </c>
      <c r="N892" s="107" t="str">
        <f>VLOOKUP($K892,LUTs!$E$2:$H$14,4,)</f>
        <v>02South Puget Sound</v>
      </c>
      <c r="O892" s="107">
        <v>341.84251968503901</v>
      </c>
      <c r="P892" s="107">
        <v>1592.7488582677199</v>
      </c>
      <c r="Q892" s="107">
        <f t="shared" si="79"/>
        <v>341.84251968503901</v>
      </c>
      <c r="R892" s="107">
        <f t="shared" si="80"/>
        <v>1592.7488582677199</v>
      </c>
      <c r="S892" s="140" t="str">
        <f t="shared" si="81"/>
        <v>Y</v>
      </c>
      <c r="T892" s="154">
        <f t="shared" si="82"/>
        <v>4.6593058690745073</v>
      </c>
      <c r="U892" s="154">
        <f t="shared" si="83"/>
        <v>4.6593058690745073</v>
      </c>
    </row>
    <row r="893" spans="1:21" x14ac:dyDescent="0.35">
      <c r="A893" s="107">
        <v>528</v>
      </c>
      <c r="B893" s="107">
        <v>2014</v>
      </c>
      <c r="C893" s="107" t="s">
        <v>9</v>
      </c>
      <c r="D893" s="107" t="s">
        <v>132</v>
      </c>
      <c r="E893" s="107" t="s">
        <v>10</v>
      </c>
      <c r="F893" s="115">
        <v>12</v>
      </c>
      <c r="G893" s="107" t="s">
        <v>36</v>
      </c>
      <c r="H893" s="107" t="str">
        <f t="shared" si="78"/>
        <v>Area 12: Hood Canal</v>
      </c>
      <c r="I893" s="107" t="str">
        <f>IFERROR(VLOOKUP(H893,LUTs!$A$1:$C$73,2,FALSE),"NA")</f>
        <v>NA</v>
      </c>
      <c r="J893" s="107" t="str">
        <f>IFERROR(VLOOKUP(H893,LUTs!$A$1:$C$73,3,FALSE),"NA")</f>
        <v>4 Hood Canal</v>
      </c>
      <c r="K893" s="107" t="s">
        <v>22</v>
      </c>
      <c r="L893" s="107" t="str">
        <f>VLOOKUP(K893,LUTs!E$2:G$14,3,)</f>
        <v>09Mason</v>
      </c>
      <c r="M893" s="107" t="str">
        <f>VLOOKUP($K893,LUTs!$E$2:$H$14,2,)</f>
        <v>South Puget Sound</v>
      </c>
      <c r="N893" s="107" t="str">
        <f>VLOOKUP($K893,LUTs!$E$2:$H$14,4,)</f>
        <v>02South Puget Sound</v>
      </c>
      <c r="O893" s="107">
        <v>558.11023622047196</v>
      </c>
      <c r="P893" s="107">
        <v>2600.4062992126001</v>
      </c>
      <c r="Q893" s="107">
        <f t="shared" si="79"/>
        <v>558.11023622047196</v>
      </c>
      <c r="R893" s="107">
        <f t="shared" si="80"/>
        <v>2600.4062992126001</v>
      </c>
      <c r="S893" s="140" t="str">
        <f t="shared" si="81"/>
        <v>Y</v>
      </c>
      <c r="T893" s="154">
        <f t="shared" si="82"/>
        <v>4.6593058690744993</v>
      </c>
      <c r="U893" s="154">
        <f t="shared" si="83"/>
        <v>4.6593058690744993</v>
      </c>
    </row>
    <row r="894" spans="1:21" x14ac:dyDescent="0.35">
      <c r="A894" s="107">
        <v>532</v>
      </c>
      <c r="B894" s="107">
        <v>2014</v>
      </c>
      <c r="C894" s="107" t="s">
        <v>9</v>
      </c>
      <c r="D894" s="107" t="s">
        <v>132</v>
      </c>
      <c r="E894" s="107" t="s">
        <v>10</v>
      </c>
      <c r="F894" s="115">
        <v>12</v>
      </c>
      <c r="G894" s="107" t="s">
        <v>36</v>
      </c>
      <c r="H894" s="107" t="str">
        <f t="shared" si="78"/>
        <v>Area 12: Hood Canal</v>
      </c>
      <c r="I894" s="107" t="str">
        <f>IFERROR(VLOOKUP(H894,LUTs!$A$1:$C$73,2,FALSE),"NA")</f>
        <v>NA</v>
      </c>
      <c r="J894" s="107" t="str">
        <f>IFERROR(VLOOKUP(H894,LUTs!$A$1:$C$73,3,FALSE),"NA")</f>
        <v>4 Hood Canal</v>
      </c>
      <c r="K894" s="107" t="s">
        <v>26</v>
      </c>
      <c r="L894" s="107" t="str">
        <f>VLOOKUP(K894,LUTs!E$2:G$14,3,)</f>
        <v>20Other</v>
      </c>
      <c r="M894" s="107" t="str">
        <f>VLOOKUP($K894,LUTs!$E$2:$H$14,2,)</f>
        <v>Non Puget Sound</v>
      </c>
      <c r="N894" s="107" t="str">
        <f>VLOOKUP($K894,LUTs!$E$2:$H$14,4,)</f>
        <v>07Non Puget Sound</v>
      </c>
      <c r="O894" s="107">
        <v>139.52755905511799</v>
      </c>
      <c r="P894" s="107">
        <v>650.10157480315002</v>
      </c>
      <c r="Q894" s="107">
        <f t="shared" si="79"/>
        <v>139.52755905511799</v>
      </c>
      <c r="R894" s="107">
        <f t="shared" si="80"/>
        <v>650.10157480315002</v>
      </c>
      <c r="S894" s="140" t="str">
        <f t="shared" si="81"/>
        <v>Y</v>
      </c>
      <c r="T894" s="154">
        <f t="shared" si="82"/>
        <v>4.6593058690744993</v>
      </c>
      <c r="U894" s="154">
        <f t="shared" si="83"/>
        <v>4.6593058690744993</v>
      </c>
    </row>
    <row r="895" spans="1:21" x14ac:dyDescent="0.35">
      <c r="A895" s="107">
        <v>526</v>
      </c>
      <c r="B895" s="107">
        <v>2014</v>
      </c>
      <c r="C895" s="107" t="s">
        <v>9</v>
      </c>
      <c r="D895" s="107" t="s">
        <v>132</v>
      </c>
      <c r="E895" s="107" t="s">
        <v>10</v>
      </c>
      <c r="F895" s="115">
        <v>12</v>
      </c>
      <c r="G895" s="107" t="s">
        <v>36</v>
      </c>
      <c r="H895" s="107" t="str">
        <f t="shared" si="78"/>
        <v>Area 12: Hood Canal</v>
      </c>
      <c r="I895" s="107" t="str">
        <f>IFERROR(VLOOKUP(H895,LUTs!$A$1:$C$73,2,FALSE),"NA")</f>
        <v>NA</v>
      </c>
      <c r="J895" s="107" t="str">
        <f>IFERROR(VLOOKUP(H895,LUTs!$A$1:$C$73,3,FALSE),"NA")</f>
        <v>4 Hood Canal</v>
      </c>
      <c r="K895" s="107" t="s">
        <v>20</v>
      </c>
      <c r="L895" s="107" t="str">
        <f>VLOOKUP(K895,LUTs!E$2:G$14,3,)</f>
        <v>07Pierce</v>
      </c>
      <c r="M895" s="107" t="str">
        <f>VLOOKUP($K895,LUTs!$E$2:$H$14,2,)</f>
        <v>South Puget Sound</v>
      </c>
      <c r="N895" s="107" t="str">
        <f>VLOOKUP($K895,LUTs!$E$2:$H$14,4,)</f>
        <v>02South Puget Sound</v>
      </c>
      <c r="O895" s="107">
        <v>606.94488188976402</v>
      </c>
      <c r="P895" s="107">
        <v>2827.9418503937</v>
      </c>
      <c r="Q895" s="107">
        <f t="shared" si="79"/>
        <v>606.94488188976402</v>
      </c>
      <c r="R895" s="107">
        <f t="shared" si="80"/>
        <v>2827.9418503937</v>
      </c>
      <c r="S895" s="140" t="str">
        <f t="shared" si="81"/>
        <v>Y</v>
      </c>
      <c r="T895" s="154">
        <f t="shared" si="82"/>
        <v>4.6593058690744886</v>
      </c>
      <c r="U895" s="154">
        <f t="shared" si="83"/>
        <v>4.6593058690744886</v>
      </c>
    </row>
    <row r="896" spans="1:21" x14ac:dyDescent="0.35">
      <c r="A896" s="107">
        <v>426</v>
      </c>
      <c r="B896" s="107">
        <v>2014</v>
      </c>
      <c r="C896" s="107" t="s">
        <v>9</v>
      </c>
      <c r="D896" s="107" t="s">
        <v>132</v>
      </c>
      <c r="E896" s="107" t="s">
        <v>10</v>
      </c>
      <c r="F896" s="115">
        <v>12</v>
      </c>
      <c r="G896" s="107" t="s">
        <v>36</v>
      </c>
      <c r="H896" s="107" t="str">
        <f t="shared" si="78"/>
        <v>Area 12: Hood Canal</v>
      </c>
      <c r="I896" s="107" t="str">
        <f>IFERROR(VLOOKUP(H896,LUTs!$A$1:$C$73,2,FALSE),"NA")</f>
        <v>NA</v>
      </c>
      <c r="J896" s="107" t="str">
        <f>IFERROR(VLOOKUP(H896,LUTs!$A$1:$C$73,3,FALSE),"NA")</f>
        <v>4 Hood Canal</v>
      </c>
      <c r="K896" s="107" t="s">
        <v>30</v>
      </c>
      <c r="L896" s="107" t="str">
        <f>VLOOKUP(K896,LUTs!E$2:G$14,3,)</f>
        <v>05San Juan</v>
      </c>
      <c r="M896" s="107" t="str">
        <f>VLOOKUP($K896,LUTs!$E$2:$H$14,2,)</f>
        <v>North Puget Sound</v>
      </c>
      <c r="N896" s="107" t="str">
        <f>VLOOKUP($K896,LUTs!$E$2:$H$14,4,)</f>
        <v>01North Puget Sound</v>
      </c>
      <c r="O896" s="107">
        <v>13.9527559055118</v>
      </c>
      <c r="P896" s="107">
        <v>65.010157480315002</v>
      </c>
      <c r="Q896" s="107">
        <f t="shared" si="79"/>
        <v>13.9527559055118</v>
      </c>
      <c r="R896" s="107">
        <f t="shared" si="80"/>
        <v>65.010157480315002</v>
      </c>
      <c r="S896" s="140" t="str">
        <f t="shared" si="81"/>
        <v>Y</v>
      </c>
      <c r="T896" s="154">
        <f t="shared" si="82"/>
        <v>4.6593058690744984</v>
      </c>
      <c r="U896" s="154">
        <f t="shared" si="83"/>
        <v>4.6593058690744984</v>
      </c>
    </row>
    <row r="897" spans="1:21" x14ac:dyDescent="0.35">
      <c r="A897" s="107">
        <v>425</v>
      </c>
      <c r="B897" s="107">
        <v>2014</v>
      </c>
      <c r="C897" s="107" t="s">
        <v>9</v>
      </c>
      <c r="D897" s="107" t="s">
        <v>132</v>
      </c>
      <c r="E897" s="107" t="s">
        <v>10</v>
      </c>
      <c r="F897" s="115">
        <v>12</v>
      </c>
      <c r="G897" s="107" t="s">
        <v>36</v>
      </c>
      <c r="H897" s="107" t="str">
        <f t="shared" si="78"/>
        <v>Area 12: Hood Canal</v>
      </c>
      <c r="I897" s="107" t="str">
        <f>IFERROR(VLOOKUP(H897,LUTs!$A$1:$C$73,2,FALSE),"NA")</f>
        <v>NA</v>
      </c>
      <c r="J897" s="107" t="str">
        <f>IFERROR(VLOOKUP(H897,LUTs!$A$1:$C$73,3,FALSE),"NA")</f>
        <v>4 Hood Canal</v>
      </c>
      <c r="K897" s="107" t="s">
        <v>16</v>
      </c>
      <c r="L897" s="107" t="str">
        <f>VLOOKUP(K897,LUTs!E$2:G$14,3,)</f>
        <v>03Snohomish</v>
      </c>
      <c r="M897" s="107" t="str">
        <f>VLOOKUP($K897,LUTs!$E$2:$H$14,2,)</f>
        <v>North Puget Sound</v>
      </c>
      <c r="N897" s="107" t="str">
        <f>VLOOKUP($K897,LUTs!$E$2:$H$14,4,)</f>
        <v>01North Puget Sound</v>
      </c>
      <c r="O897" s="107">
        <v>76.740157480315006</v>
      </c>
      <c r="P897" s="107">
        <v>357.555866141732</v>
      </c>
      <c r="Q897" s="107">
        <f t="shared" si="79"/>
        <v>76.740157480315006</v>
      </c>
      <c r="R897" s="107">
        <f t="shared" si="80"/>
        <v>357.555866141732</v>
      </c>
      <c r="S897" s="140" t="str">
        <f t="shared" si="81"/>
        <v>Y</v>
      </c>
      <c r="T897" s="154">
        <f t="shared" si="82"/>
        <v>4.659305869074486</v>
      </c>
      <c r="U897" s="154">
        <f t="shared" si="83"/>
        <v>4.659305869074486</v>
      </c>
    </row>
    <row r="898" spans="1:21" x14ac:dyDescent="0.35">
      <c r="A898" s="107">
        <v>527</v>
      </c>
      <c r="B898" s="107">
        <v>2014</v>
      </c>
      <c r="C898" s="107" t="s">
        <v>9</v>
      </c>
      <c r="D898" s="107" t="s">
        <v>132</v>
      </c>
      <c r="E898" s="107" t="s">
        <v>10</v>
      </c>
      <c r="F898" s="115">
        <v>12</v>
      </c>
      <c r="G898" s="107" t="s">
        <v>36</v>
      </c>
      <c r="H898" s="107" t="str">
        <f t="shared" ref="H898:H961" si="84">G898</f>
        <v>Area 12: Hood Canal</v>
      </c>
      <c r="I898" s="107" t="str">
        <f>IFERROR(VLOOKUP(H898,LUTs!$A$1:$C$73,2,FALSE),"NA")</f>
        <v>NA</v>
      </c>
      <c r="J898" s="107" t="str">
        <f>IFERROR(VLOOKUP(H898,LUTs!$A$1:$C$73,3,FALSE),"NA")</f>
        <v>4 Hood Canal</v>
      </c>
      <c r="K898" s="107" t="s">
        <v>21</v>
      </c>
      <c r="L898" s="107" t="str">
        <f>VLOOKUP(K898,LUTs!E$2:G$14,3,)</f>
        <v>08Thurston</v>
      </c>
      <c r="M898" s="107" t="str">
        <f>VLOOKUP($K898,LUTs!$E$2:$H$14,2,)</f>
        <v>South Puget Sound</v>
      </c>
      <c r="N898" s="107" t="str">
        <f>VLOOKUP($K898,LUTs!$E$2:$H$14,4,)</f>
        <v>02South Puget Sound</v>
      </c>
      <c r="O898" s="107">
        <v>620.89763779527595</v>
      </c>
      <c r="P898" s="107">
        <v>2892.9520078740202</v>
      </c>
      <c r="Q898" s="107">
        <f t="shared" ref="Q898:Q961" si="85">O898</f>
        <v>620.89763779527595</v>
      </c>
      <c r="R898" s="107">
        <f t="shared" ref="R898:R961" si="86">P898</f>
        <v>2892.9520078740202</v>
      </c>
      <c r="S898" s="140" t="str">
        <f t="shared" si="81"/>
        <v>Y</v>
      </c>
      <c r="T898" s="154">
        <f t="shared" si="82"/>
        <v>4.6593058690744966</v>
      </c>
      <c r="U898" s="154">
        <f t="shared" si="83"/>
        <v>4.6593058690744966</v>
      </c>
    </row>
    <row r="899" spans="1:21" x14ac:dyDescent="0.35">
      <c r="A899" s="107">
        <v>535</v>
      </c>
      <c r="B899" s="107">
        <v>2015</v>
      </c>
      <c r="C899" s="107" t="s">
        <v>9</v>
      </c>
      <c r="D899" s="107" t="s">
        <v>132</v>
      </c>
      <c r="E899" s="107" t="s">
        <v>10</v>
      </c>
      <c r="F899" s="115">
        <v>12</v>
      </c>
      <c r="G899" s="107" t="s">
        <v>36</v>
      </c>
      <c r="H899" s="107" t="str">
        <f t="shared" si="84"/>
        <v>Area 12: Hood Canal</v>
      </c>
      <c r="I899" s="107" t="str">
        <f>IFERROR(VLOOKUP(H899,LUTs!$A$1:$C$73,2,FALSE),"NA")</f>
        <v>NA</v>
      </c>
      <c r="J899" s="107" t="str">
        <f>IFERROR(VLOOKUP(H899,LUTs!$A$1:$C$73,3,FALSE),"NA")</f>
        <v>4 Hood Canal</v>
      </c>
      <c r="K899" s="107" t="s">
        <v>17</v>
      </c>
      <c r="L899" s="107" t="str">
        <f>VLOOKUP(K899,LUTs!E$2:G$14,3,)</f>
        <v>04Island</v>
      </c>
      <c r="M899" s="107" t="str">
        <f>VLOOKUP($K899,LUTs!$E$2:$H$14,2,)</f>
        <v>North Puget Sound</v>
      </c>
      <c r="N899" s="107" t="str">
        <f>VLOOKUP($K899,LUTs!$E$2:$H$14,4,)</f>
        <v>01North Puget Sound</v>
      </c>
      <c r="O899" s="107">
        <v>6.1172316384180796</v>
      </c>
      <c r="P899" s="107">
        <v>40.422217514124299</v>
      </c>
      <c r="Q899" s="107">
        <f t="shared" si="85"/>
        <v>6.1172316384180796</v>
      </c>
      <c r="R899" s="107">
        <f t="shared" si="86"/>
        <v>40.422217514124299</v>
      </c>
      <c r="S899" s="140" t="str">
        <f t="shared" ref="S899:S962" si="87">IF(B899&lt;=2019,"Y","N")</f>
        <v>Y</v>
      </c>
      <c r="T899" s="154">
        <f t="shared" ref="T899:T962" si="88">IFERROR(P899/O899,"NA")</f>
        <v>6.6079265758485342</v>
      </c>
      <c r="U899" s="154">
        <f t="shared" ref="U899:U962" si="89">IFERROR(R899/Q899,"NA")</f>
        <v>6.6079265758485342</v>
      </c>
    </row>
    <row r="900" spans="1:21" x14ac:dyDescent="0.35">
      <c r="A900" s="107">
        <v>640</v>
      </c>
      <c r="B900" s="107">
        <v>2015</v>
      </c>
      <c r="C900" s="107" t="s">
        <v>9</v>
      </c>
      <c r="D900" s="107" t="s">
        <v>132</v>
      </c>
      <c r="E900" s="107" t="s">
        <v>10</v>
      </c>
      <c r="F900" s="115">
        <v>12</v>
      </c>
      <c r="G900" s="107" t="s">
        <v>36</v>
      </c>
      <c r="H900" s="107" t="str">
        <f t="shared" si="84"/>
        <v>Area 12: Hood Canal</v>
      </c>
      <c r="I900" s="107" t="str">
        <f>IFERROR(VLOOKUP(H900,LUTs!$A$1:$C$73,2,FALSE),"NA")</f>
        <v>NA</v>
      </c>
      <c r="J900" s="107" t="str">
        <f>IFERROR(VLOOKUP(H900,LUTs!$A$1:$C$73,3,FALSE),"NA")</f>
        <v>4 Hood Canal</v>
      </c>
      <c r="K900" s="107" t="s">
        <v>25</v>
      </c>
      <c r="L900" s="107" t="str">
        <f>VLOOKUP(K900,LUTs!E$2:G$14,3,)</f>
        <v>12Jefferson</v>
      </c>
      <c r="M900" s="107" t="str">
        <f>VLOOKUP($K900,LUTs!$E$2:$H$14,2,)</f>
        <v>Strait of Juan de Fuca</v>
      </c>
      <c r="N900" s="107" t="str">
        <f>VLOOKUP($K900,LUTs!$E$2:$H$14,4,)</f>
        <v>03Strait of Juan de Fuca</v>
      </c>
      <c r="O900" s="107">
        <v>544.43361581920897</v>
      </c>
      <c r="P900" s="107">
        <v>3597.5773587570602</v>
      </c>
      <c r="Q900" s="107">
        <f t="shared" si="85"/>
        <v>544.43361581920897</v>
      </c>
      <c r="R900" s="107">
        <f t="shared" si="86"/>
        <v>3597.5773587570602</v>
      </c>
      <c r="S900" s="140" t="str">
        <f t="shared" si="87"/>
        <v>Y</v>
      </c>
      <c r="T900" s="154">
        <f t="shared" si="88"/>
        <v>6.6079265758485315</v>
      </c>
      <c r="U900" s="154">
        <f t="shared" si="89"/>
        <v>6.6079265758485315</v>
      </c>
    </row>
    <row r="901" spans="1:21" x14ac:dyDescent="0.35">
      <c r="A901" s="107">
        <v>635</v>
      </c>
      <c r="B901" s="107">
        <v>2015</v>
      </c>
      <c r="C901" s="107" t="s">
        <v>9</v>
      </c>
      <c r="D901" s="107" t="s">
        <v>132</v>
      </c>
      <c r="E901" s="107" t="s">
        <v>10</v>
      </c>
      <c r="F901" s="115">
        <v>12</v>
      </c>
      <c r="G901" s="107" t="s">
        <v>36</v>
      </c>
      <c r="H901" s="107" t="str">
        <f t="shared" si="84"/>
        <v>Area 12: Hood Canal</v>
      </c>
      <c r="I901" s="107" t="str">
        <f>IFERROR(VLOOKUP(H901,LUTs!$A$1:$C$73,2,FALSE),"NA")</f>
        <v>NA</v>
      </c>
      <c r="J901" s="107" t="str">
        <f>IFERROR(VLOOKUP(H901,LUTs!$A$1:$C$73,3,FALSE),"NA")</f>
        <v>4 Hood Canal</v>
      </c>
      <c r="K901" s="107" t="s">
        <v>18</v>
      </c>
      <c r="L901" s="107" t="str">
        <f>VLOOKUP(K901,LUTs!E$2:G$14,3,)</f>
        <v>06King</v>
      </c>
      <c r="M901" s="107" t="str">
        <f>VLOOKUP($K901,LUTs!$E$2:$H$14,2,)</f>
        <v>South Puget Sound</v>
      </c>
      <c r="N901" s="107" t="str">
        <f>VLOOKUP($K901,LUTs!$E$2:$H$14,4,)</f>
        <v>02South Puget Sound</v>
      </c>
      <c r="O901" s="107">
        <v>990.99152542372894</v>
      </c>
      <c r="P901" s="107">
        <v>6548.3992372881403</v>
      </c>
      <c r="Q901" s="107">
        <f t="shared" si="85"/>
        <v>990.99152542372894</v>
      </c>
      <c r="R901" s="107">
        <f t="shared" si="86"/>
        <v>6548.3992372881403</v>
      </c>
      <c r="S901" s="140" t="str">
        <f t="shared" si="87"/>
        <v>Y</v>
      </c>
      <c r="T901" s="154">
        <f t="shared" si="88"/>
        <v>6.6079265758485377</v>
      </c>
      <c r="U901" s="154">
        <f t="shared" si="89"/>
        <v>6.6079265758485377</v>
      </c>
    </row>
    <row r="902" spans="1:21" x14ac:dyDescent="0.35">
      <c r="A902" s="107">
        <v>639</v>
      </c>
      <c r="B902" s="107">
        <v>2015</v>
      </c>
      <c r="C902" s="107" t="s">
        <v>9</v>
      </c>
      <c r="D902" s="107" t="s">
        <v>132</v>
      </c>
      <c r="E902" s="107" t="s">
        <v>10</v>
      </c>
      <c r="F902" s="115">
        <v>12</v>
      </c>
      <c r="G902" s="107" t="s">
        <v>36</v>
      </c>
      <c r="H902" s="107" t="str">
        <f t="shared" si="84"/>
        <v>Area 12: Hood Canal</v>
      </c>
      <c r="I902" s="107" t="str">
        <f>IFERROR(VLOOKUP(H902,LUTs!$A$1:$C$73,2,FALSE),"NA")</f>
        <v>NA</v>
      </c>
      <c r="J902" s="107" t="str">
        <f>IFERROR(VLOOKUP(H902,LUTs!$A$1:$C$73,3,FALSE),"NA")</f>
        <v>4 Hood Canal</v>
      </c>
      <c r="K902" s="107" t="s">
        <v>23</v>
      </c>
      <c r="L902" s="107" t="str">
        <f>VLOOKUP(K902,LUTs!E$2:G$14,3,)</f>
        <v>10Kitsap</v>
      </c>
      <c r="M902" s="107" t="str">
        <f>VLOOKUP($K902,LUTs!$E$2:$H$14,2,)</f>
        <v>South Puget Sound</v>
      </c>
      <c r="N902" s="107" t="str">
        <f>VLOOKUP($K902,LUTs!$E$2:$H$14,4,)</f>
        <v>02South Puget Sound</v>
      </c>
      <c r="O902" s="107">
        <v>464.90960451977401</v>
      </c>
      <c r="P902" s="107">
        <v>3072.0885310734502</v>
      </c>
      <c r="Q902" s="107">
        <f t="shared" si="85"/>
        <v>464.90960451977401</v>
      </c>
      <c r="R902" s="107">
        <f t="shared" si="86"/>
        <v>3072.0885310734502</v>
      </c>
      <c r="S902" s="140" t="str">
        <f t="shared" si="87"/>
        <v>Y</v>
      </c>
      <c r="T902" s="154">
        <f t="shared" si="88"/>
        <v>6.6079265758485422</v>
      </c>
      <c r="U902" s="154">
        <f t="shared" si="89"/>
        <v>6.6079265758485422</v>
      </c>
    </row>
    <row r="903" spans="1:21" x14ac:dyDescent="0.35">
      <c r="A903" s="107">
        <v>638</v>
      </c>
      <c r="B903" s="107">
        <v>2015</v>
      </c>
      <c r="C903" s="107" t="s">
        <v>9</v>
      </c>
      <c r="D903" s="107" t="s">
        <v>132</v>
      </c>
      <c r="E903" s="107" t="s">
        <v>10</v>
      </c>
      <c r="F903" s="115">
        <v>12</v>
      </c>
      <c r="G903" s="107" t="s">
        <v>36</v>
      </c>
      <c r="H903" s="107" t="str">
        <f t="shared" si="84"/>
        <v>Area 12: Hood Canal</v>
      </c>
      <c r="I903" s="107" t="str">
        <f>IFERROR(VLOOKUP(H903,LUTs!$A$1:$C$73,2,FALSE),"NA")</f>
        <v>NA</v>
      </c>
      <c r="J903" s="107" t="str">
        <f>IFERROR(VLOOKUP(H903,LUTs!$A$1:$C$73,3,FALSE),"NA")</f>
        <v>4 Hood Canal</v>
      </c>
      <c r="K903" s="107" t="s">
        <v>22</v>
      </c>
      <c r="L903" s="107" t="str">
        <f>VLOOKUP(K903,LUTs!E$2:G$14,3,)</f>
        <v>09Mason</v>
      </c>
      <c r="M903" s="107" t="str">
        <f>VLOOKUP($K903,LUTs!$E$2:$H$14,2,)</f>
        <v>South Puget Sound</v>
      </c>
      <c r="N903" s="107" t="str">
        <f>VLOOKUP($K903,LUTs!$E$2:$H$14,4,)</f>
        <v>02South Puget Sound</v>
      </c>
      <c r="O903" s="107">
        <v>483.26129943502798</v>
      </c>
      <c r="P903" s="107">
        <v>3193.3551836158199</v>
      </c>
      <c r="Q903" s="107">
        <f t="shared" si="85"/>
        <v>483.26129943502798</v>
      </c>
      <c r="R903" s="107">
        <f t="shared" si="86"/>
        <v>3193.3551836158199</v>
      </c>
      <c r="S903" s="140" t="str">
        <f t="shared" si="87"/>
        <v>Y</v>
      </c>
      <c r="T903" s="154">
        <f t="shared" si="88"/>
        <v>6.6079265758485386</v>
      </c>
      <c r="U903" s="154">
        <f t="shared" si="89"/>
        <v>6.6079265758485386</v>
      </c>
    </row>
    <row r="904" spans="1:21" x14ac:dyDescent="0.35">
      <c r="A904" s="107">
        <v>641</v>
      </c>
      <c r="B904" s="107">
        <v>2015</v>
      </c>
      <c r="C904" s="107" t="s">
        <v>9</v>
      </c>
      <c r="D904" s="107" t="s">
        <v>132</v>
      </c>
      <c r="E904" s="107" t="s">
        <v>10</v>
      </c>
      <c r="F904" s="115">
        <v>12</v>
      </c>
      <c r="G904" s="107" t="s">
        <v>36</v>
      </c>
      <c r="H904" s="107" t="str">
        <f t="shared" si="84"/>
        <v>Area 12: Hood Canal</v>
      </c>
      <c r="I904" s="107" t="str">
        <f>IFERROR(VLOOKUP(H904,LUTs!$A$1:$C$73,2,FALSE),"NA")</f>
        <v>NA</v>
      </c>
      <c r="J904" s="107" t="str">
        <f>IFERROR(VLOOKUP(H904,LUTs!$A$1:$C$73,3,FALSE),"NA")</f>
        <v>4 Hood Canal</v>
      </c>
      <c r="K904" s="107" t="s">
        <v>26</v>
      </c>
      <c r="L904" s="107" t="str">
        <f>VLOOKUP(K904,LUTs!E$2:G$14,3,)</f>
        <v>20Other</v>
      </c>
      <c r="M904" s="107" t="str">
        <f>VLOOKUP($K904,LUTs!$E$2:$H$14,2,)</f>
        <v>Non Puget Sound</v>
      </c>
      <c r="N904" s="107" t="str">
        <f>VLOOKUP($K904,LUTs!$E$2:$H$14,4,)</f>
        <v>07Non Puget Sound</v>
      </c>
      <c r="O904" s="107">
        <v>415.97175141243002</v>
      </c>
      <c r="P904" s="107">
        <v>2748.7107909604501</v>
      </c>
      <c r="Q904" s="107">
        <f t="shared" si="85"/>
        <v>415.97175141243002</v>
      </c>
      <c r="R904" s="107">
        <f t="shared" si="86"/>
        <v>2748.7107909604501</v>
      </c>
      <c r="S904" s="140" t="str">
        <f t="shared" si="87"/>
        <v>Y</v>
      </c>
      <c r="T904" s="154">
        <f t="shared" si="88"/>
        <v>6.6079265758485191</v>
      </c>
      <c r="U904" s="154">
        <f t="shared" si="89"/>
        <v>6.6079265758485191</v>
      </c>
    </row>
    <row r="905" spans="1:21" x14ac:dyDescent="0.35">
      <c r="A905" s="107">
        <v>636</v>
      </c>
      <c r="B905" s="107">
        <v>2015</v>
      </c>
      <c r="C905" s="107" t="s">
        <v>9</v>
      </c>
      <c r="D905" s="107" t="s">
        <v>132</v>
      </c>
      <c r="E905" s="107" t="s">
        <v>10</v>
      </c>
      <c r="F905" s="115">
        <v>12</v>
      </c>
      <c r="G905" s="107" t="s">
        <v>36</v>
      </c>
      <c r="H905" s="107" t="str">
        <f t="shared" si="84"/>
        <v>Area 12: Hood Canal</v>
      </c>
      <c r="I905" s="107" t="str">
        <f>IFERROR(VLOOKUP(H905,LUTs!$A$1:$C$73,2,FALSE),"NA")</f>
        <v>NA</v>
      </c>
      <c r="J905" s="107" t="str">
        <f>IFERROR(VLOOKUP(H905,LUTs!$A$1:$C$73,3,FALSE),"NA")</f>
        <v>4 Hood Canal</v>
      </c>
      <c r="K905" s="107" t="s">
        <v>20</v>
      </c>
      <c r="L905" s="107" t="str">
        <f>VLOOKUP(K905,LUTs!E$2:G$14,3,)</f>
        <v>07Pierce</v>
      </c>
      <c r="M905" s="107" t="str">
        <f>VLOOKUP($K905,LUTs!$E$2:$H$14,2,)</f>
        <v>South Puget Sound</v>
      </c>
      <c r="N905" s="107" t="str">
        <f>VLOOKUP($K905,LUTs!$E$2:$H$14,4,)</f>
        <v>02South Puget Sound</v>
      </c>
      <c r="O905" s="107">
        <v>648.42655367231703</v>
      </c>
      <c r="P905" s="107">
        <v>4284.7550564971798</v>
      </c>
      <c r="Q905" s="107">
        <f t="shared" si="85"/>
        <v>648.42655367231703</v>
      </c>
      <c r="R905" s="107">
        <f t="shared" si="86"/>
        <v>4284.7550564971798</v>
      </c>
      <c r="S905" s="140" t="str">
        <f t="shared" si="87"/>
        <v>Y</v>
      </c>
      <c r="T905" s="154">
        <f t="shared" si="88"/>
        <v>6.6079265758485342</v>
      </c>
      <c r="U905" s="154">
        <f t="shared" si="89"/>
        <v>6.6079265758485342</v>
      </c>
    </row>
    <row r="906" spans="1:21" x14ac:dyDescent="0.35">
      <c r="A906" s="107">
        <v>533</v>
      </c>
      <c r="B906" s="107">
        <v>2015</v>
      </c>
      <c r="C906" s="107" t="s">
        <v>9</v>
      </c>
      <c r="D906" s="107" t="s">
        <v>132</v>
      </c>
      <c r="E906" s="107" t="s">
        <v>10</v>
      </c>
      <c r="F906" s="115">
        <v>12</v>
      </c>
      <c r="G906" s="107" t="s">
        <v>36</v>
      </c>
      <c r="H906" s="107" t="str">
        <f t="shared" si="84"/>
        <v>Area 12: Hood Canal</v>
      </c>
      <c r="I906" s="107" t="str">
        <f>IFERROR(VLOOKUP(H906,LUTs!$A$1:$C$73,2,FALSE),"NA")</f>
        <v>NA</v>
      </c>
      <c r="J906" s="107" t="str">
        <f>IFERROR(VLOOKUP(H906,LUTs!$A$1:$C$73,3,FALSE),"NA")</f>
        <v>4 Hood Canal</v>
      </c>
      <c r="K906" s="107" t="s">
        <v>15</v>
      </c>
      <c r="L906" s="107" t="str">
        <f>VLOOKUP(K906,LUTs!E$2:G$14,3,)</f>
        <v>02Skagit</v>
      </c>
      <c r="M906" s="107" t="str">
        <f>VLOOKUP($K906,LUTs!$E$2:$H$14,2,)</f>
        <v>North Puget Sound</v>
      </c>
      <c r="N906" s="107" t="str">
        <f>VLOOKUP($K906,LUTs!$E$2:$H$14,4,)</f>
        <v>01North Puget Sound</v>
      </c>
      <c r="O906" s="107">
        <v>6.1172316384180796</v>
      </c>
      <c r="P906" s="107">
        <v>40.422217514124299</v>
      </c>
      <c r="Q906" s="107">
        <f t="shared" si="85"/>
        <v>6.1172316384180796</v>
      </c>
      <c r="R906" s="107">
        <f t="shared" si="86"/>
        <v>40.422217514124299</v>
      </c>
      <c r="S906" s="140" t="str">
        <f t="shared" si="87"/>
        <v>Y</v>
      </c>
      <c r="T906" s="154">
        <f t="shared" si="88"/>
        <v>6.6079265758485342</v>
      </c>
      <c r="U906" s="154">
        <f t="shared" si="89"/>
        <v>6.6079265758485342</v>
      </c>
    </row>
    <row r="907" spans="1:21" x14ac:dyDescent="0.35">
      <c r="A907" s="107">
        <v>534</v>
      </c>
      <c r="B907" s="107">
        <v>2015</v>
      </c>
      <c r="C907" s="107" t="s">
        <v>9</v>
      </c>
      <c r="D907" s="107" t="s">
        <v>132</v>
      </c>
      <c r="E907" s="107" t="s">
        <v>10</v>
      </c>
      <c r="F907" s="115">
        <v>12</v>
      </c>
      <c r="G907" s="107" t="s">
        <v>36</v>
      </c>
      <c r="H907" s="107" t="str">
        <f t="shared" si="84"/>
        <v>Area 12: Hood Canal</v>
      </c>
      <c r="I907" s="107" t="str">
        <f>IFERROR(VLOOKUP(H907,LUTs!$A$1:$C$73,2,FALSE),"NA")</f>
        <v>NA</v>
      </c>
      <c r="J907" s="107" t="str">
        <f>IFERROR(VLOOKUP(H907,LUTs!$A$1:$C$73,3,FALSE),"NA")</f>
        <v>4 Hood Canal</v>
      </c>
      <c r="K907" s="107" t="s">
        <v>16</v>
      </c>
      <c r="L907" s="107" t="str">
        <f>VLOOKUP(K907,LUTs!E$2:G$14,3,)</f>
        <v>03Snohomish</v>
      </c>
      <c r="M907" s="107" t="str">
        <f>VLOOKUP($K907,LUTs!$E$2:$H$14,2,)</f>
        <v>North Puget Sound</v>
      </c>
      <c r="N907" s="107" t="str">
        <f>VLOOKUP($K907,LUTs!$E$2:$H$14,4,)</f>
        <v>01North Puget Sound</v>
      </c>
      <c r="O907" s="107">
        <v>244.68926553672301</v>
      </c>
      <c r="P907" s="107">
        <v>1616.8887005649699</v>
      </c>
      <c r="Q907" s="107">
        <f t="shared" si="85"/>
        <v>244.68926553672301</v>
      </c>
      <c r="R907" s="107">
        <f t="shared" si="86"/>
        <v>1616.8887005649699</v>
      </c>
      <c r="S907" s="140" t="str">
        <f t="shared" si="87"/>
        <v>Y</v>
      </c>
      <c r="T907" s="154">
        <f t="shared" si="88"/>
        <v>6.6079265758485306</v>
      </c>
      <c r="U907" s="154">
        <f t="shared" si="89"/>
        <v>6.6079265758485306</v>
      </c>
    </row>
    <row r="908" spans="1:21" x14ac:dyDescent="0.35">
      <c r="A908" s="107">
        <v>637</v>
      </c>
      <c r="B908" s="107">
        <v>2015</v>
      </c>
      <c r="C908" s="107" t="s">
        <v>9</v>
      </c>
      <c r="D908" s="107" t="s">
        <v>132</v>
      </c>
      <c r="E908" s="107" t="s">
        <v>10</v>
      </c>
      <c r="F908" s="115">
        <v>12</v>
      </c>
      <c r="G908" s="107" t="s">
        <v>36</v>
      </c>
      <c r="H908" s="107" t="str">
        <f t="shared" si="84"/>
        <v>Area 12: Hood Canal</v>
      </c>
      <c r="I908" s="107" t="str">
        <f>IFERROR(VLOOKUP(H908,LUTs!$A$1:$C$73,2,FALSE),"NA")</f>
        <v>NA</v>
      </c>
      <c r="J908" s="107" t="str">
        <f>IFERROR(VLOOKUP(H908,LUTs!$A$1:$C$73,3,FALSE),"NA")</f>
        <v>4 Hood Canal</v>
      </c>
      <c r="K908" s="107" t="s">
        <v>21</v>
      </c>
      <c r="L908" s="107" t="str">
        <f>VLOOKUP(K908,LUTs!E$2:G$14,3,)</f>
        <v>08Thurston</v>
      </c>
      <c r="M908" s="107" t="str">
        <f>VLOOKUP($K908,LUTs!$E$2:$H$14,2,)</f>
        <v>South Puget Sound</v>
      </c>
      <c r="N908" s="107" t="str">
        <f>VLOOKUP($K908,LUTs!$E$2:$H$14,4,)</f>
        <v>02South Puget Sound</v>
      </c>
      <c r="O908" s="107">
        <v>526.08192090395505</v>
      </c>
      <c r="P908" s="107">
        <v>3476.3107062146901</v>
      </c>
      <c r="Q908" s="107">
        <f t="shared" si="85"/>
        <v>526.08192090395505</v>
      </c>
      <c r="R908" s="107">
        <f t="shared" si="86"/>
        <v>3476.3107062146901</v>
      </c>
      <c r="S908" s="140" t="str">
        <f t="shared" si="87"/>
        <v>Y</v>
      </c>
      <c r="T908" s="154">
        <f t="shared" si="88"/>
        <v>6.6079265758485324</v>
      </c>
      <c r="U908" s="154">
        <f t="shared" si="89"/>
        <v>6.6079265758485324</v>
      </c>
    </row>
    <row r="909" spans="1:21" x14ac:dyDescent="0.35">
      <c r="A909" s="107">
        <v>736</v>
      </c>
      <c r="B909" s="107">
        <v>2016</v>
      </c>
      <c r="C909" s="107" t="s">
        <v>9</v>
      </c>
      <c r="D909" s="107" t="s">
        <v>132</v>
      </c>
      <c r="E909" s="107" t="s">
        <v>10</v>
      </c>
      <c r="F909" s="115">
        <v>12</v>
      </c>
      <c r="G909" s="107" t="s">
        <v>36</v>
      </c>
      <c r="H909" s="107" t="str">
        <f t="shared" si="84"/>
        <v>Area 12: Hood Canal</v>
      </c>
      <c r="I909" s="107" t="str">
        <f>IFERROR(VLOOKUP(H909,LUTs!$A$1:$C$73,2,FALSE),"NA")</f>
        <v>NA</v>
      </c>
      <c r="J909" s="107" t="str">
        <f>IFERROR(VLOOKUP(H909,LUTs!$A$1:$C$73,3,FALSE),"NA")</f>
        <v>4 Hood Canal</v>
      </c>
      <c r="K909" s="107" t="s">
        <v>24</v>
      </c>
      <c r="L909" s="107" t="str">
        <f>VLOOKUP(K909,LUTs!E$2:G$14,3,)</f>
        <v>11Clallam</v>
      </c>
      <c r="M909" s="107" t="str">
        <f>VLOOKUP($K909,LUTs!$E$2:$H$14,2,)</f>
        <v>Strait of Juan de Fuca</v>
      </c>
      <c r="N909" s="107" t="str">
        <f>VLOOKUP($K909,LUTs!$E$2:$H$14,4,)</f>
        <v>03Strait of Juan de Fuca</v>
      </c>
      <c r="O909" s="107">
        <v>229.41537203597699</v>
      </c>
      <c r="P909" s="107">
        <v>617.86005723630399</v>
      </c>
      <c r="Q909" s="107">
        <f t="shared" si="85"/>
        <v>229.41537203597699</v>
      </c>
      <c r="R909" s="107">
        <f t="shared" si="86"/>
        <v>617.86005723630399</v>
      </c>
      <c r="S909" s="140" t="str">
        <f t="shared" si="87"/>
        <v>Y</v>
      </c>
      <c r="T909" s="154">
        <f t="shared" si="88"/>
        <v>2.693193798449613</v>
      </c>
      <c r="U909" s="154">
        <f t="shared" si="89"/>
        <v>2.693193798449613</v>
      </c>
    </row>
    <row r="910" spans="1:21" x14ac:dyDescent="0.35">
      <c r="A910" s="107">
        <v>737</v>
      </c>
      <c r="B910" s="107">
        <v>2016</v>
      </c>
      <c r="C910" s="107" t="s">
        <v>9</v>
      </c>
      <c r="D910" s="107" t="s">
        <v>132</v>
      </c>
      <c r="E910" s="107" t="s">
        <v>10</v>
      </c>
      <c r="F910" s="115">
        <v>12</v>
      </c>
      <c r="G910" s="107" t="s">
        <v>36</v>
      </c>
      <c r="H910" s="107" t="str">
        <f t="shared" si="84"/>
        <v>Area 12: Hood Canal</v>
      </c>
      <c r="I910" s="107" t="str">
        <f>IFERROR(VLOOKUP(H910,LUTs!$A$1:$C$73,2,FALSE),"NA")</f>
        <v>NA</v>
      </c>
      <c r="J910" s="107" t="str">
        <f>IFERROR(VLOOKUP(H910,LUTs!$A$1:$C$73,3,FALSE),"NA")</f>
        <v>4 Hood Canal</v>
      </c>
      <c r="K910" s="107" t="s">
        <v>25</v>
      </c>
      <c r="L910" s="107" t="str">
        <f>VLOOKUP(K910,LUTs!E$2:G$14,3,)</f>
        <v>12Jefferson</v>
      </c>
      <c r="M910" s="107" t="str">
        <f>VLOOKUP($K910,LUTs!$E$2:$H$14,2,)</f>
        <v>Strait of Juan de Fuca</v>
      </c>
      <c r="N910" s="107" t="str">
        <f>VLOOKUP($K910,LUTs!$E$2:$H$14,4,)</f>
        <v>03Strait of Juan de Fuca</v>
      </c>
      <c r="O910" s="107">
        <v>1368.5813573180701</v>
      </c>
      <c r="P910" s="107">
        <v>3685.85482420278</v>
      </c>
      <c r="Q910" s="107">
        <f t="shared" si="85"/>
        <v>1368.5813573180701</v>
      </c>
      <c r="R910" s="107">
        <f t="shared" si="86"/>
        <v>3685.85482420278</v>
      </c>
      <c r="S910" s="140" t="str">
        <f t="shared" si="87"/>
        <v>Y</v>
      </c>
      <c r="T910" s="154">
        <f t="shared" si="88"/>
        <v>2.6931937984496126</v>
      </c>
      <c r="U910" s="154">
        <f t="shared" si="89"/>
        <v>2.6931937984496126</v>
      </c>
    </row>
    <row r="911" spans="1:21" x14ac:dyDescent="0.35">
      <c r="A911" s="107">
        <v>644</v>
      </c>
      <c r="B911" s="107">
        <v>2016</v>
      </c>
      <c r="C911" s="107" t="s">
        <v>9</v>
      </c>
      <c r="D911" s="107" t="s">
        <v>132</v>
      </c>
      <c r="E911" s="107" t="s">
        <v>10</v>
      </c>
      <c r="F911" s="115">
        <v>12</v>
      </c>
      <c r="G911" s="107" t="s">
        <v>36</v>
      </c>
      <c r="H911" s="107" t="str">
        <f t="shared" si="84"/>
        <v>Area 12: Hood Canal</v>
      </c>
      <c r="I911" s="107" t="str">
        <f>IFERROR(VLOOKUP(H911,LUTs!$A$1:$C$73,2,FALSE),"NA")</f>
        <v>NA</v>
      </c>
      <c r="J911" s="107" t="str">
        <f>IFERROR(VLOOKUP(H911,LUTs!$A$1:$C$73,3,FALSE),"NA")</f>
        <v>4 Hood Canal</v>
      </c>
      <c r="K911" s="107" t="s">
        <v>18</v>
      </c>
      <c r="L911" s="107" t="str">
        <f>VLOOKUP(K911,LUTs!E$2:G$14,3,)</f>
        <v>06King</v>
      </c>
      <c r="M911" s="107" t="str">
        <f>VLOOKUP($K911,LUTs!$E$2:$H$14,2,)</f>
        <v>South Puget Sound</v>
      </c>
      <c r="N911" s="107" t="str">
        <f>VLOOKUP($K911,LUTs!$E$2:$H$14,4,)</f>
        <v>02South Puget Sound</v>
      </c>
      <c r="O911" s="107">
        <v>2309.9754701553602</v>
      </c>
      <c r="P911" s="107">
        <v>6221.2116107931297</v>
      </c>
      <c r="Q911" s="107">
        <f t="shared" si="85"/>
        <v>2309.9754701553602</v>
      </c>
      <c r="R911" s="107">
        <f t="shared" si="86"/>
        <v>6221.2116107931297</v>
      </c>
      <c r="S911" s="140" t="str">
        <f t="shared" si="87"/>
        <v>Y</v>
      </c>
      <c r="T911" s="154">
        <f t="shared" si="88"/>
        <v>2.6931937984496064</v>
      </c>
      <c r="U911" s="154">
        <f t="shared" si="89"/>
        <v>2.6931937984496064</v>
      </c>
    </row>
    <row r="912" spans="1:21" x14ac:dyDescent="0.35">
      <c r="A912" s="107">
        <v>735</v>
      </c>
      <c r="B912" s="107">
        <v>2016</v>
      </c>
      <c r="C912" s="107" t="s">
        <v>9</v>
      </c>
      <c r="D912" s="107" t="s">
        <v>132</v>
      </c>
      <c r="E912" s="107" t="s">
        <v>10</v>
      </c>
      <c r="F912" s="115">
        <v>12</v>
      </c>
      <c r="G912" s="107" t="s">
        <v>36</v>
      </c>
      <c r="H912" s="107" t="str">
        <f t="shared" si="84"/>
        <v>Area 12: Hood Canal</v>
      </c>
      <c r="I912" s="107" t="str">
        <f>IFERROR(VLOOKUP(H912,LUTs!$A$1:$C$73,2,FALSE),"NA")</f>
        <v>NA</v>
      </c>
      <c r="J912" s="107" t="str">
        <f>IFERROR(VLOOKUP(H912,LUTs!$A$1:$C$73,3,FALSE),"NA")</f>
        <v>4 Hood Canal</v>
      </c>
      <c r="K912" s="107" t="s">
        <v>23</v>
      </c>
      <c r="L912" s="107" t="str">
        <f>VLOOKUP(K912,LUTs!E$2:G$14,3,)</f>
        <v>10Kitsap</v>
      </c>
      <c r="M912" s="107" t="str">
        <f>VLOOKUP($K912,LUTs!$E$2:$H$14,2,)</f>
        <v>South Puget Sound</v>
      </c>
      <c r="N912" s="107" t="str">
        <f>VLOOKUP($K912,LUTs!$E$2:$H$14,4,)</f>
        <v>02South Puget Sound</v>
      </c>
      <c r="O912" s="107">
        <v>1099.61161079313</v>
      </c>
      <c r="P912" s="107">
        <v>2961.4671708912501</v>
      </c>
      <c r="Q912" s="107">
        <f t="shared" si="85"/>
        <v>1099.61161079313</v>
      </c>
      <c r="R912" s="107">
        <f t="shared" si="86"/>
        <v>2961.4671708912501</v>
      </c>
      <c r="S912" s="140" t="str">
        <f t="shared" si="87"/>
        <v>Y</v>
      </c>
      <c r="T912" s="154">
        <f t="shared" si="88"/>
        <v>2.6931937984496157</v>
      </c>
      <c r="U912" s="154">
        <f t="shared" si="89"/>
        <v>2.6931937984496157</v>
      </c>
    </row>
    <row r="913" spans="1:21" x14ac:dyDescent="0.35">
      <c r="A913" s="107">
        <v>734</v>
      </c>
      <c r="B913" s="107">
        <v>2016</v>
      </c>
      <c r="C913" s="107" t="s">
        <v>9</v>
      </c>
      <c r="D913" s="107" t="s">
        <v>132</v>
      </c>
      <c r="E913" s="107" t="s">
        <v>10</v>
      </c>
      <c r="F913" s="115">
        <v>12</v>
      </c>
      <c r="G913" s="107" t="s">
        <v>36</v>
      </c>
      <c r="H913" s="107" t="str">
        <f t="shared" si="84"/>
        <v>Area 12: Hood Canal</v>
      </c>
      <c r="I913" s="107" t="str">
        <f>IFERROR(VLOOKUP(H913,LUTs!$A$1:$C$73,2,FALSE),"NA")</f>
        <v>NA</v>
      </c>
      <c r="J913" s="107" t="str">
        <f>IFERROR(VLOOKUP(H913,LUTs!$A$1:$C$73,3,FALSE),"NA")</f>
        <v>4 Hood Canal</v>
      </c>
      <c r="K913" s="107" t="s">
        <v>22</v>
      </c>
      <c r="L913" s="107" t="str">
        <f>VLOOKUP(K913,LUTs!E$2:G$14,3,)</f>
        <v>09Mason</v>
      </c>
      <c r="M913" s="107" t="str">
        <f>VLOOKUP($K913,LUTs!$E$2:$H$14,2,)</f>
        <v>South Puget Sound</v>
      </c>
      <c r="N913" s="107" t="str">
        <f>VLOOKUP($K913,LUTs!$E$2:$H$14,4,)</f>
        <v>02South Puget Sound</v>
      </c>
      <c r="O913" s="107">
        <v>1067.96811120196</v>
      </c>
      <c r="P913" s="107">
        <v>2876.24509403107</v>
      </c>
      <c r="Q913" s="107">
        <f t="shared" si="85"/>
        <v>1067.96811120196</v>
      </c>
      <c r="R913" s="107">
        <f t="shared" si="86"/>
        <v>2876.24509403107</v>
      </c>
      <c r="S913" s="140" t="str">
        <f t="shared" si="87"/>
        <v>Y</v>
      </c>
      <c r="T913" s="154">
        <f t="shared" si="88"/>
        <v>2.6931937984496175</v>
      </c>
      <c r="U913" s="154">
        <f t="shared" si="89"/>
        <v>2.6931937984496175</v>
      </c>
    </row>
    <row r="914" spans="1:21" x14ac:dyDescent="0.35">
      <c r="A914" s="107">
        <v>738</v>
      </c>
      <c r="B914" s="107">
        <v>2016</v>
      </c>
      <c r="C914" s="107" t="s">
        <v>9</v>
      </c>
      <c r="D914" s="107" t="s">
        <v>132</v>
      </c>
      <c r="E914" s="107" t="s">
        <v>10</v>
      </c>
      <c r="F914" s="115">
        <v>12</v>
      </c>
      <c r="G914" s="107" t="s">
        <v>36</v>
      </c>
      <c r="H914" s="107" t="str">
        <f t="shared" si="84"/>
        <v>Area 12: Hood Canal</v>
      </c>
      <c r="I914" s="107" t="str">
        <f>IFERROR(VLOOKUP(H914,LUTs!$A$1:$C$73,2,FALSE),"NA")</f>
        <v>NA</v>
      </c>
      <c r="J914" s="107" t="str">
        <f>IFERROR(VLOOKUP(H914,LUTs!$A$1:$C$73,3,FALSE),"NA")</f>
        <v>4 Hood Canal</v>
      </c>
      <c r="K914" s="107" t="s">
        <v>26</v>
      </c>
      <c r="L914" s="107" t="str">
        <f>VLOOKUP(K914,LUTs!E$2:G$14,3,)</f>
        <v>20Other</v>
      </c>
      <c r="M914" s="107" t="str">
        <f>VLOOKUP($K914,LUTs!$E$2:$H$14,2,)</f>
        <v>Non Puget Sound</v>
      </c>
      <c r="N914" s="107" t="str">
        <f>VLOOKUP($K914,LUTs!$E$2:$H$14,4,)</f>
        <v>07Non Puget Sound</v>
      </c>
      <c r="O914" s="107">
        <v>798.99836467702403</v>
      </c>
      <c r="P914" s="107">
        <v>2151.8574407195401</v>
      </c>
      <c r="Q914" s="107">
        <f t="shared" si="85"/>
        <v>798.99836467702403</v>
      </c>
      <c r="R914" s="107">
        <f t="shared" si="86"/>
        <v>2151.8574407195401</v>
      </c>
      <c r="S914" s="140" t="str">
        <f t="shared" si="87"/>
        <v>Y</v>
      </c>
      <c r="T914" s="154">
        <f t="shared" si="88"/>
        <v>2.693193798449609</v>
      </c>
      <c r="U914" s="154">
        <f t="shared" si="89"/>
        <v>2.693193798449609</v>
      </c>
    </row>
    <row r="915" spans="1:21" x14ac:dyDescent="0.35">
      <c r="A915" s="107">
        <v>732</v>
      </c>
      <c r="B915" s="107">
        <v>2016</v>
      </c>
      <c r="C915" s="107" t="s">
        <v>9</v>
      </c>
      <c r="D915" s="107" t="s">
        <v>132</v>
      </c>
      <c r="E915" s="107" t="s">
        <v>10</v>
      </c>
      <c r="F915" s="115">
        <v>12</v>
      </c>
      <c r="G915" s="107" t="s">
        <v>36</v>
      </c>
      <c r="H915" s="107" t="str">
        <f t="shared" si="84"/>
        <v>Area 12: Hood Canal</v>
      </c>
      <c r="I915" s="107" t="str">
        <f>IFERROR(VLOOKUP(H915,LUTs!$A$1:$C$73,2,FALSE),"NA")</f>
        <v>NA</v>
      </c>
      <c r="J915" s="107" t="str">
        <f>IFERROR(VLOOKUP(H915,LUTs!$A$1:$C$73,3,FALSE),"NA")</f>
        <v>4 Hood Canal</v>
      </c>
      <c r="K915" s="107" t="s">
        <v>20</v>
      </c>
      <c r="L915" s="107" t="str">
        <f>VLOOKUP(K915,LUTs!E$2:G$14,3,)</f>
        <v>07Pierce</v>
      </c>
      <c r="M915" s="107" t="str">
        <f>VLOOKUP($K915,LUTs!$E$2:$H$14,2,)</f>
        <v>South Puget Sound</v>
      </c>
      <c r="N915" s="107" t="str">
        <f>VLOOKUP($K915,LUTs!$E$2:$H$14,4,)</f>
        <v>02South Puget Sound</v>
      </c>
      <c r="O915" s="107">
        <v>1685.0163532297599</v>
      </c>
      <c r="P915" s="107">
        <v>4538.0755928045801</v>
      </c>
      <c r="Q915" s="107">
        <f t="shared" si="85"/>
        <v>1685.0163532297599</v>
      </c>
      <c r="R915" s="107">
        <f t="shared" si="86"/>
        <v>4538.0755928045801</v>
      </c>
      <c r="S915" s="140" t="str">
        <f t="shared" si="87"/>
        <v>Y</v>
      </c>
      <c r="T915" s="154">
        <f t="shared" si="88"/>
        <v>2.6931937984496179</v>
      </c>
      <c r="U915" s="154">
        <f t="shared" si="89"/>
        <v>2.6931937984496179</v>
      </c>
    </row>
    <row r="916" spans="1:21" x14ac:dyDescent="0.35">
      <c r="A916" s="107">
        <v>643</v>
      </c>
      <c r="B916" s="107">
        <v>2016</v>
      </c>
      <c r="C916" s="107" t="s">
        <v>9</v>
      </c>
      <c r="D916" s="107" t="s">
        <v>132</v>
      </c>
      <c r="E916" s="107" t="s">
        <v>10</v>
      </c>
      <c r="F916" s="115">
        <v>12</v>
      </c>
      <c r="G916" s="107" t="s">
        <v>36</v>
      </c>
      <c r="H916" s="107" t="str">
        <f t="shared" si="84"/>
        <v>Area 12: Hood Canal</v>
      </c>
      <c r="I916" s="107" t="str">
        <f>IFERROR(VLOOKUP(H916,LUTs!$A$1:$C$73,2,FALSE),"NA")</f>
        <v>NA</v>
      </c>
      <c r="J916" s="107" t="str">
        <f>IFERROR(VLOOKUP(H916,LUTs!$A$1:$C$73,3,FALSE),"NA")</f>
        <v>4 Hood Canal</v>
      </c>
      <c r="K916" s="107" t="s">
        <v>16</v>
      </c>
      <c r="L916" s="107" t="str">
        <f>VLOOKUP(K916,LUTs!E$2:G$14,3,)</f>
        <v>03Snohomish</v>
      </c>
      <c r="M916" s="107" t="str">
        <f>VLOOKUP($K916,LUTs!$E$2:$H$14,2,)</f>
        <v>North Puget Sound</v>
      </c>
      <c r="N916" s="107" t="str">
        <f>VLOOKUP($K916,LUTs!$E$2:$H$14,4,)</f>
        <v>01North Puget Sound</v>
      </c>
      <c r="O916" s="107">
        <v>189.86099754701601</v>
      </c>
      <c r="P916" s="107">
        <v>511.33246116108</v>
      </c>
      <c r="Q916" s="107">
        <f t="shared" si="85"/>
        <v>189.86099754701601</v>
      </c>
      <c r="R916" s="107">
        <f t="shared" si="86"/>
        <v>511.33246116108</v>
      </c>
      <c r="S916" s="140" t="str">
        <f t="shared" si="87"/>
        <v>Y</v>
      </c>
      <c r="T916" s="154">
        <f t="shared" si="88"/>
        <v>2.6931937984496095</v>
      </c>
      <c r="U916" s="154">
        <f t="shared" si="89"/>
        <v>2.6931937984496095</v>
      </c>
    </row>
    <row r="917" spans="1:21" x14ac:dyDescent="0.35">
      <c r="A917" s="107">
        <v>733</v>
      </c>
      <c r="B917" s="107">
        <v>2016</v>
      </c>
      <c r="C917" s="107" t="s">
        <v>9</v>
      </c>
      <c r="D917" s="107" t="s">
        <v>132</v>
      </c>
      <c r="E917" s="107" t="s">
        <v>10</v>
      </c>
      <c r="F917" s="115">
        <v>12</v>
      </c>
      <c r="G917" s="107" t="s">
        <v>36</v>
      </c>
      <c r="H917" s="107" t="str">
        <f t="shared" si="84"/>
        <v>Area 12: Hood Canal</v>
      </c>
      <c r="I917" s="107" t="str">
        <f>IFERROR(VLOOKUP(H917,LUTs!$A$1:$C$73,2,FALSE),"NA")</f>
        <v>NA</v>
      </c>
      <c r="J917" s="107" t="str">
        <f>IFERROR(VLOOKUP(H917,LUTs!$A$1:$C$73,3,FALSE),"NA")</f>
        <v>4 Hood Canal</v>
      </c>
      <c r="K917" s="107" t="s">
        <v>21</v>
      </c>
      <c r="L917" s="107" t="str">
        <f>VLOOKUP(K917,LUTs!E$2:G$14,3,)</f>
        <v>08Thurston</v>
      </c>
      <c r="M917" s="107" t="str">
        <f>VLOOKUP($K917,LUTs!$E$2:$H$14,2,)</f>
        <v>South Puget Sound</v>
      </c>
      <c r="N917" s="107" t="str">
        <f>VLOOKUP($K917,LUTs!$E$2:$H$14,4,)</f>
        <v>02South Puget Sound</v>
      </c>
      <c r="O917" s="107">
        <v>909.75061324611602</v>
      </c>
      <c r="P917" s="107">
        <v>2450.13470973017</v>
      </c>
      <c r="Q917" s="107">
        <f t="shared" si="85"/>
        <v>909.75061324611602</v>
      </c>
      <c r="R917" s="107">
        <f t="shared" si="86"/>
        <v>2450.13470973017</v>
      </c>
      <c r="S917" s="140" t="str">
        <f t="shared" si="87"/>
        <v>Y</v>
      </c>
      <c r="T917" s="154">
        <f t="shared" si="88"/>
        <v>2.6931937984496108</v>
      </c>
      <c r="U917" s="154">
        <f t="shared" si="89"/>
        <v>2.6931937984496108</v>
      </c>
    </row>
    <row r="918" spans="1:21" x14ac:dyDescent="0.35">
      <c r="A918" s="107">
        <v>642</v>
      </c>
      <c r="B918" s="107">
        <v>2016</v>
      </c>
      <c r="C918" s="107" t="s">
        <v>9</v>
      </c>
      <c r="D918" s="107" t="s">
        <v>132</v>
      </c>
      <c r="E918" s="107" t="s">
        <v>10</v>
      </c>
      <c r="F918" s="115">
        <v>12</v>
      </c>
      <c r="G918" s="107" t="s">
        <v>36</v>
      </c>
      <c r="H918" s="107" t="str">
        <f t="shared" si="84"/>
        <v>Area 12: Hood Canal</v>
      </c>
      <c r="I918" s="107" t="str">
        <f>IFERROR(VLOOKUP(H918,LUTs!$A$1:$C$73,2,FALSE),"NA")</f>
        <v>NA</v>
      </c>
      <c r="J918" s="107" t="str">
        <f>IFERROR(VLOOKUP(H918,LUTs!$A$1:$C$73,3,FALSE),"NA")</f>
        <v>4 Hood Canal</v>
      </c>
      <c r="K918" s="107" t="s">
        <v>13</v>
      </c>
      <c r="L918" s="107" t="str">
        <f>VLOOKUP(K918,LUTs!E$2:G$14,3,)</f>
        <v>01Whatcom</v>
      </c>
      <c r="M918" s="107" t="str">
        <f>VLOOKUP($K918,LUTs!$E$2:$H$14,2,)</f>
        <v>North Puget Sound</v>
      </c>
      <c r="N918" s="107" t="str">
        <f>VLOOKUP($K918,LUTs!$E$2:$H$14,4,)</f>
        <v>01North Puget Sound</v>
      </c>
      <c r="O918" s="107">
        <v>15.8217497955846</v>
      </c>
      <c r="P918" s="107">
        <v>42.611038430089998</v>
      </c>
      <c r="Q918" s="107">
        <f t="shared" si="85"/>
        <v>15.8217497955846</v>
      </c>
      <c r="R918" s="107">
        <f t="shared" si="86"/>
        <v>42.611038430089998</v>
      </c>
      <c r="S918" s="140" t="str">
        <f t="shared" si="87"/>
        <v>Y</v>
      </c>
      <c r="T918" s="154">
        <f t="shared" si="88"/>
        <v>2.6931937984496206</v>
      </c>
      <c r="U918" s="154">
        <f t="shared" si="89"/>
        <v>2.6931937984496206</v>
      </c>
    </row>
    <row r="919" spans="1:21" x14ac:dyDescent="0.35">
      <c r="A919" s="107">
        <v>836</v>
      </c>
      <c r="B919" s="107">
        <v>2017</v>
      </c>
      <c r="C919" s="107" t="s">
        <v>9</v>
      </c>
      <c r="D919" s="107" t="s">
        <v>132</v>
      </c>
      <c r="E919" s="107" t="s">
        <v>10</v>
      </c>
      <c r="F919" s="115">
        <v>12</v>
      </c>
      <c r="G919" s="107" t="s">
        <v>36</v>
      </c>
      <c r="H919" s="107" t="str">
        <f t="shared" si="84"/>
        <v>Area 12: Hood Canal</v>
      </c>
      <c r="I919" s="107" t="str">
        <f>IFERROR(VLOOKUP(H919,LUTs!$A$1:$C$73,2,FALSE),"NA")</f>
        <v>NA</v>
      </c>
      <c r="J919" s="107" t="str">
        <f>IFERROR(VLOOKUP(H919,LUTs!$A$1:$C$73,3,FALSE),"NA")</f>
        <v>4 Hood Canal</v>
      </c>
      <c r="K919" s="107" t="s">
        <v>24</v>
      </c>
      <c r="L919" s="107" t="str">
        <f>VLOOKUP(K919,LUTs!E$2:G$14,3,)</f>
        <v>11Clallam</v>
      </c>
      <c r="M919" s="107" t="str">
        <f>VLOOKUP($K919,LUTs!$E$2:$H$14,2,)</f>
        <v>Strait of Juan de Fuca</v>
      </c>
      <c r="N919" s="107" t="str">
        <f>VLOOKUP($K919,LUTs!$E$2:$H$14,4,)</f>
        <v>03Strait of Juan de Fuca</v>
      </c>
      <c r="O919" s="107">
        <v>198.83112351709701</v>
      </c>
      <c r="P919" s="107">
        <v>120.300370298856</v>
      </c>
      <c r="Q919" s="107">
        <f t="shared" si="85"/>
        <v>198.83112351709701</v>
      </c>
      <c r="R919" s="107">
        <f t="shared" si="86"/>
        <v>120.300370298856</v>
      </c>
      <c r="S919" s="140" t="str">
        <f t="shared" si="87"/>
        <v>Y</v>
      </c>
      <c r="T919" s="154">
        <f t="shared" si="88"/>
        <v>0.60503792450034444</v>
      </c>
      <c r="U919" s="154">
        <f t="shared" si="89"/>
        <v>0.60503792450034444</v>
      </c>
    </row>
    <row r="920" spans="1:21" x14ac:dyDescent="0.35">
      <c r="A920" s="107">
        <v>837</v>
      </c>
      <c r="B920" s="107">
        <v>2017</v>
      </c>
      <c r="C920" s="107" t="s">
        <v>9</v>
      </c>
      <c r="D920" s="107" t="s">
        <v>132</v>
      </c>
      <c r="E920" s="107" t="s">
        <v>10</v>
      </c>
      <c r="F920" s="115">
        <v>12</v>
      </c>
      <c r="G920" s="107" t="s">
        <v>36</v>
      </c>
      <c r="H920" s="107" t="str">
        <f t="shared" si="84"/>
        <v>Area 12: Hood Canal</v>
      </c>
      <c r="I920" s="107" t="str">
        <f>IFERROR(VLOOKUP(H920,LUTs!$A$1:$C$73,2,FALSE),"NA")</f>
        <v>NA</v>
      </c>
      <c r="J920" s="107" t="str">
        <f>IFERROR(VLOOKUP(H920,LUTs!$A$1:$C$73,3,FALSE),"NA")</f>
        <v>4 Hood Canal</v>
      </c>
      <c r="K920" s="107" t="s">
        <v>25</v>
      </c>
      <c r="L920" s="107" t="str">
        <f>VLOOKUP(K920,LUTs!E$2:G$14,3,)</f>
        <v>12Jefferson</v>
      </c>
      <c r="M920" s="107" t="str">
        <f>VLOOKUP($K920,LUTs!$E$2:$H$14,2,)</f>
        <v>Strait of Juan de Fuca</v>
      </c>
      <c r="N920" s="107" t="str">
        <f>VLOOKUP($K920,LUTs!$E$2:$H$14,4,)</f>
        <v>03Strait of Juan de Fuca</v>
      </c>
      <c r="O920" s="107">
        <v>1177.0802512212099</v>
      </c>
      <c r="P920" s="107">
        <v>712.17819216922601</v>
      </c>
      <c r="Q920" s="107">
        <f t="shared" si="85"/>
        <v>1177.0802512212099</v>
      </c>
      <c r="R920" s="107">
        <f t="shared" si="86"/>
        <v>712.17819216922601</v>
      </c>
      <c r="S920" s="140" t="str">
        <f t="shared" si="87"/>
        <v>Y</v>
      </c>
      <c r="T920" s="154">
        <f t="shared" si="88"/>
        <v>0.60503792450034544</v>
      </c>
      <c r="U920" s="154">
        <f t="shared" si="89"/>
        <v>0.60503792450034544</v>
      </c>
    </row>
    <row r="921" spans="1:21" x14ac:dyDescent="0.35">
      <c r="A921" s="107">
        <v>740</v>
      </c>
      <c r="B921" s="107">
        <v>2017</v>
      </c>
      <c r="C921" s="107" t="s">
        <v>9</v>
      </c>
      <c r="D921" s="107" t="s">
        <v>132</v>
      </c>
      <c r="E921" s="107" t="s">
        <v>10</v>
      </c>
      <c r="F921" s="115">
        <v>12</v>
      </c>
      <c r="G921" s="107" t="s">
        <v>36</v>
      </c>
      <c r="H921" s="107" t="str">
        <f t="shared" si="84"/>
        <v>Area 12: Hood Canal</v>
      </c>
      <c r="I921" s="107" t="str">
        <f>IFERROR(VLOOKUP(H921,LUTs!$A$1:$C$73,2,FALSE),"NA")</f>
        <v>NA</v>
      </c>
      <c r="J921" s="107" t="str">
        <f>IFERROR(VLOOKUP(H921,LUTs!$A$1:$C$73,3,FALSE),"NA")</f>
        <v>4 Hood Canal</v>
      </c>
      <c r="K921" s="107" t="s">
        <v>18</v>
      </c>
      <c r="L921" s="107" t="str">
        <f>VLOOKUP(K921,LUTs!E$2:G$14,3,)</f>
        <v>06King</v>
      </c>
      <c r="M921" s="107" t="str">
        <f>VLOOKUP($K921,LUTs!$E$2:$H$14,2,)</f>
        <v>South Puget Sound</v>
      </c>
      <c r="N921" s="107" t="str">
        <f>VLOOKUP($K921,LUTs!$E$2:$H$14,4,)</f>
        <v>02South Puget Sound</v>
      </c>
      <c r="O921" s="107">
        <v>2799.5422191207299</v>
      </c>
      <c r="P921" s="107">
        <v>1693.82921380789</v>
      </c>
      <c r="Q921" s="107">
        <f t="shared" si="85"/>
        <v>2799.5422191207299</v>
      </c>
      <c r="R921" s="107">
        <f t="shared" si="86"/>
        <v>1693.82921380789</v>
      </c>
      <c r="S921" s="140" t="str">
        <f t="shared" si="87"/>
        <v>Y</v>
      </c>
      <c r="T921" s="154">
        <f t="shared" si="88"/>
        <v>0.60503792450034266</v>
      </c>
      <c r="U921" s="154">
        <f t="shared" si="89"/>
        <v>0.60503792450034266</v>
      </c>
    </row>
    <row r="922" spans="1:21" x14ac:dyDescent="0.35">
      <c r="A922" s="107">
        <v>835</v>
      </c>
      <c r="B922" s="107">
        <v>2017</v>
      </c>
      <c r="C922" s="107" t="s">
        <v>9</v>
      </c>
      <c r="D922" s="107" t="s">
        <v>132</v>
      </c>
      <c r="E922" s="107" t="s">
        <v>10</v>
      </c>
      <c r="F922" s="115">
        <v>12</v>
      </c>
      <c r="G922" s="107" t="s">
        <v>36</v>
      </c>
      <c r="H922" s="107" t="str">
        <f t="shared" si="84"/>
        <v>Area 12: Hood Canal</v>
      </c>
      <c r="I922" s="107" t="str">
        <f>IFERROR(VLOOKUP(H922,LUTs!$A$1:$C$73,2,FALSE),"NA")</f>
        <v>NA</v>
      </c>
      <c r="J922" s="107" t="str">
        <f>IFERROR(VLOOKUP(H922,LUTs!$A$1:$C$73,3,FALSE),"NA")</f>
        <v>4 Hood Canal</v>
      </c>
      <c r="K922" s="107" t="s">
        <v>23</v>
      </c>
      <c r="L922" s="107" t="str">
        <f>VLOOKUP(K922,LUTs!E$2:G$14,3,)</f>
        <v>10Kitsap</v>
      </c>
      <c r="M922" s="107" t="str">
        <f>VLOOKUP($K922,LUTs!$E$2:$H$14,2,)</f>
        <v>South Puget Sound</v>
      </c>
      <c r="N922" s="107" t="str">
        <f>VLOOKUP($K922,LUTs!$E$2:$H$14,4,)</f>
        <v>02South Puget Sound</v>
      </c>
      <c r="O922" s="107">
        <v>1733.80739706909</v>
      </c>
      <c r="P922" s="107">
        <v>1049.0192290060199</v>
      </c>
      <c r="Q922" s="107">
        <f t="shared" si="85"/>
        <v>1733.80739706909</v>
      </c>
      <c r="R922" s="107">
        <f t="shared" si="86"/>
        <v>1049.0192290060199</v>
      </c>
      <c r="S922" s="140" t="str">
        <f t="shared" si="87"/>
        <v>Y</v>
      </c>
      <c r="T922" s="154">
        <f t="shared" si="88"/>
        <v>0.60503792450034044</v>
      </c>
      <c r="U922" s="154">
        <f t="shared" si="89"/>
        <v>0.60503792450034044</v>
      </c>
    </row>
    <row r="923" spans="1:21" x14ac:dyDescent="0.35">
      <c r="A923" s="107">
        <v>834</v>
      </c>
      <c r="B923" s="107">
        <v>2017</v>
      </c>
      <c r="C923" s="107" t="s">
        <v>9</v>
      </c>
      <c r="D923" s="107" t="s">
        <v>132</v>
      </c>
      <c r="E923" s="107" t="s">
        <v>10</v>
      </c>
      <c r="F923" s="115">
        <v>12</v>
      </c>
      <c r="G923" s="107" t="s">
        <v>36</v>
      </c>
      <c r="H923" s="107" t="str">
        <f t="shared" si="84"/>
        <v>Area 12: Hood Canal</v>
      </c>
      <c r="I923" s="107" t="str">
        <f>IFERROR(VLOOKUP(H923,LUTs!$A$1:$C$73,2,FALSE),"NA")</f>
        <v>NA</v>
      </c>
      <c r="J923" s="107" t="str">
        <f>IFERROR(VLOOKUP(H923,LUTs!$A$1:$C$73,3,FALSE),"NA")</f>
        <v>4 Hood Canal</v>
      </c>
      <c r="K923" s="107" t="s">
        <v>22</v>
      </c>
      <c r="L923" s="107" t="str">
        <f>VLOOKUP(K923,LUTs!E$2:G$14,3,)</f>
        <v>09Mason</v>
      </c>
      <c r="M923" s="107" t="str">
        <f>VLOOKUP($K923,LUTs!$E$2:$H$14,2,)</f>
        <v>South Puget Sound</v>
      </c>
      <c r="N923" s="107" t="str">
        <f>VLOOKUP($K923,LUTs!$E$2:$H$14,4,)</f>
        <v>02South Puget Sound</v>
      </c>
      <c r="O923" s="107">
        <v>1161.17376133985</v>
      </c>
      <c r="P923" s="107">
        <v>702.55416254531804</v>
      </c>
      <c r="Q923" s="107">
        <f t="shared" si="85"/>
        <v>1161.17376133985</v>
      </c>
      <c r="R923" s="107">
        <f t="shared" si="86"/>
        <v>702.55416254531804</v>
      </c>
      <c r="S923" s="140" t="str">
        <f t="shared" si="87"/>
        <v>Y</v>
      </c>
      <c r="T923" s="154">
        <f t="shared" si="88"/>
        <v>0.60503792450034177</v>
      </c>
      <c r="U923" s="154">
        <f t="shared" si="89"/>
        <v>0.60503792450034177</v>
      </c>
    </row>
    <row r="924" spans="1:21" x14ac:dyDescent="0.35">
      <c r="A924" s="107">
        <v>838</v>
      </c>
      <c r="B924" s="107">
        <v>2017</v>
      </c>
      <c r="C924" s="107" t="s">
        <v>9</v>
      </c>
      <c r="D924" s="107" t="s">
        <v>132</v>
      </c>
      <c r="E924" s="107" t="s">
        <v>10</v>
      </c>
      <c r="F924" s="115">
        <v>12</v>
      </c>
      <c r="G924" s="107" t="s">
        <v>36</v>
      </c>
      <c r="H924" s="107" t="str">
        <f t="shared" si="84"/>
        <v>Area 12: Hood Canal</v>
      </c>
      <c r="I924" s="107" t="str">
        <f>IFERROR(VLOOKUP(H924,LUTs!$A$1:$C$73,2,FALSE),"NA")</f>
        <v>NA</v>
      </c>
      <c r="J924" s="107" t="str">
        <f>IFERROR(VLOOKUP(H924,LUTs!$A$1:$C$73,3,FALSE),"NA")</f>
        <v>4 Hood Canal</v>
      </c>
      <c r="K924" s="107" t="s">
        <v>26</v>
      </c>
      <c r="L924" s="107" t="str">
        <f>VLOOKUP(K924,LUTs!E$2:G$14,3,)</f>
        <v>20Other</v>
      </c>
      <c r="M924" s="107" t="str">
        <f>VLOOKUP($K924,LUTs!$E$2:$H$14,2,)</f>
        <v>Non Puget Sound</v>
      </c>
      <c r="N924" s="107" t="str">
        <f>VLOOKUP($K924,LUTs!$E$2:$H$14,4,)</f>
        <v>07Non Puget Sound</v>
      </c>
      <c r="O924" s="107">
        <v>1423.63084438241</v>
      </c>
      <c r="P924" s="107">
        <v>861.35065133980697</v>
      </c>
      <c r="Q924" s="107">
        <f t="shared" si="85"/>
        <v>1423.63084438241</v>
      </c>
      <c r="R924" s="107">
        <f t="shared" si="86"/>
        <v>861.35065133980697</v>
      </c>
      <c r="S924" s="140" t="str">
        <f t="shared" si="87"/>
        <v>Y</v>
      </c>
      <c r="T924" s="154">
        <f t="shared" si="88"/>
        <v>0.60503792450034499</v>
      </c>
      <c r="U924" s="154">
        <f t="shared" si="89"/>
        <v>0.60503792450034499</v>
      </c>
    </row>
    <row r="925" spans="1:21" x14ac:dyDescent="0.35">
      <c r="A925" s="107">
        <v>741</v>
      </c>
      <c r="B925" s="107">
        <v>2017</v>
      </c>
      <c r="C925" s="107" t="s">
        <v>9</v>
      </c>
      <c r="D925" s="107" t="s">
        <v>132</v>
      </c>
      <c r="E925" s="107" t="s">
        <v>10</v>
      </c>
      <c r="F925" s="115">
        <v>12</v>
      </c>
      <c r="G925" s="107" t="s">
        <v>36</v>
      </c>
      <c r="H925" s="107" t="str">
        <f t="shared" si="84"/>
        <v>Area 12: Hood Canal</v>
      </c>
      <c r="I925" s="107" t="str">
        <f>IFERROR(VLOOKUP(H925,LUTs!$A$1:$C$73,2,FALSE),"NA")</f>
        <v>NA</v>
      </c>
      <c r="J925" s="107" t="str">
        <f>IFERROR(VLOOKUP(H925,LUTs!$A$1:$C$73,3,FALSE),"NA")</f>
        <v>4 Hood Canal</v>
      </c>
      <c r="K925" s="107" t="s">
        <v>20</v>
      </c>
      <c r="L925" s="107" t="str">
        <f>VLOOKUP(K925,LUTs!E$2:G$14,3,)</f>
        <v>07Pierce</v>
      </c>
      <c r="M925" s="107" t="str">
        <f>VLOOKUP($K925,LUTs!$E$2:$H$14,2,)</f>
        <v>South Puget Sound</v>
      </c>
      <c r="N925" s="107" t="str">
        <f>VLOOKUP($K925,LUTs!$E$2:$H$14,4,)</f>
        <v>02South Puget Sound</v>
      </c>
      <c r="O925" s="107">
        <v>1558.8360083740399</v>
      </c>
      <c r="P925" s="107">
        <v>943.15490314302895</v>
      </c>
      <c r="Q925" s="107">
        <f t="shared" si="85"/>
        <v>1558.8360083740399</v>
      </c>
      <c r="R925" s="107">
        <f t="shared" si="86"/>
        <v>943.15490314302895</v>
      </c>
      <c r="S925" s="140" t="str">
        <f t="shared" si="87"/>
        <v>Y</v>
      </c>
      <c r="T925" s="154">
        <f t="shared" si="88"/>
        <v>0.60503792450034333</v>
      </c>
      <c r="U925" s="154">
        <f t="shared" si="89"/>
        <v>0.60503792450034333</v>
      </c>
    </row>
    <row r="926" spans="1:21" x14ac:dyDescent="0.35">
      <c r="A926" s="107">
        <v>739</v>
      </c>
      <c r="B926" s="107">
        <v>2017</v>
      </c>
      <c r="C926" s="107" t="s">
        <v>9</v>
      </c>
      <c r="D926" s="107" t="s">
        <v>132</v>
      </c>
      <c r="E926" s="107" t="s">
        <v>10</v>
      </c>
      <c r="F926" s="115">
        <v>12</v>
      </c>
      <c r="G926" s="107" t="s">
        <v>36</v>
      </c>
      <c r="H926" s="107" t="str">
        <f t="shared" si="84"/>
        <v>Area 12: Hood Canal</v>
      </c>
      <c r="I926" s="107" t="str">
        <f>IFERROR(VLOOKUP(H926,LUTs!$A$1:$C$73,2,FALSE),"NA")</f>
        <v>NA</v>
      </c>
      <c r="J926" s="107" t="str">
        <f>IFERROR(VLOOKUP(H926,LUTs!$A$1:$C$73,3,FALSE),"NA")</f>
        <v>4 Hood Canal</v>
      </c>
      <c r="K926" s="107" t="s">
        <v>16</v>
      </c>
      <c r="L926" s="107" t="str">
        <f>VLOOKUP(K926,LUTs!E$2:G$14,3,)</f>
        <v>03Snohomish</v>
      </c>
      <c r="M926" s="107" t="str">
        <f>VLOOKUP($K926,LUTs!$E$2:$H$14,2,)</f>
        <v>North Puget Sound</v>
      </c>
      <c r="N926" s="107" t="str">
        <f>VLOOKUP($K926,LUTs!$E$2:$H$14,4,)</f>
        <v>01North Puget Sound</v>
      </c>
      <c r="O926" s="107">
        <v>278.36357292393598</v>
      </c>
      <c r="P926" s="107">
        <v>168.42051841839799</v>
      </c>
      <c r="Q926" s="107">
        <f t="shared" si="85"/>
        <v>278.36357292393598</v>
      </c>
      <c r="R926" s="107">
        <f t="shared" si="86"/>
        <v>168.42051841839799</v>
      </c>
      <c r="S926" s="140" t="str">
        <f t="shared" si="87"/>
        <v>Y</v>
      </c>
      <c r="T926" s="154">
        <f t="shared" si="88"/>
        <v>0.60503792450034266</v>
      </c>
      <c r="U926" s="154">
        <f t="shared" si="89"/>
        <v>0.60503792450034266</v>
      </c>
    </row>
    <row r="927" spans="1:21" x14ac:dyDescent="0.35">
      <c r="A927" s="107">
        <v>833</v>
      </c>
      <c r="B927" s="107">
        <v>2017</v>
      </c>
      <c r="C927" s="107" t="s">
        <v>9</v>
      </c>
      <c r="D927" s="107" t="s">
        <v>132</v>
      </c>
      <c r="E927" s="107" t="s">
        <v>10</v>
      </c>
      <c r="F927" s="115">
        <v>12</v>
      </c>
      <c r="G927" s="107" t="s">
        <v>36</v>
      </c>
      <c r="H927" s="107" t="str">
        <f t="shared" si="84"/>
        <v>Area 12: Hood Canal</v>
      </c>
      <c r="I927" s="107" t="str">
        <f>IFERROR(VLOOKUP(H927,LUTs!$A$1:$C$73,2,FALSE),"NA")</f>
        <v>NA</v>
      </c>
      <c r="J927" s="107" t="str">
        <f>IFERROR(VLOOKUP(H927,LUTs!$A$1:$C$73,3,FALSE),"NA")</f>
        <v>4 Hood Canal</v>
      </c>
      <c r="K927" s="107" t="s">
        <v>21</v>
      </c>
      <c r="L927" s="107" t="str">
        <f>VLOOKUP(K927,LUTs!E$2:G$14,3,)</f>
        <v>08Thurston</v>
      </c>
      <c r="M927" s="107" t="str">
        <f>VLOOKUP($K927,LUTs!$E$2:$H$14,2,)</f>
        <v>South Puget Sound</v>
      </c>
      <c r="N927" s="107" t="str">
        <f>VLOOKUP($K927,LUTs!$E$2:$H$14,4,)</f>
        <v>02South Puget Sound</v>
      </c>
      <c r="O927" s="107">
        <v>1065.7348220516401</v>
      </c>
      <c r="P927" s="107">
        <v>644.80998480186702</v>
      </c>
      <c r="Q927" s="107">
        <f t="shared" si="85"/>
        <v>1065.7348220516401</v>
      </c>
      <c r="R927" s="107">
        <f t="shared" si="86"/>
        <v>644.80998480186702</v>
      </c>
      <c r="S927" s="140" t="str">
        <f t="shared" si="87"/>
        <v>Y</v>
      </c>
      <c r="T927" s="154">
        <f t="shared" si="88"/>
        <v>0.60503792450034333</v>
      </c>
      <c r="U927" s="154">
        <f t="shared" si="89"/>
        <v>0.60503792450034333</v>
      </c>
    </row>
    <row r="928" spans="1:21" x14ac:dyDescent="0.35">
      <c r="A928" s="107">
        <v>944</v>
      </c>
      <c r="B928" s="107">
        <v>2018</v>
      </c>
      <c r="C928" s="107" t="s">
        <v>9</v>
      </c>
      <c r="D928" s="107" t="s">
        <v>132</v>
      </c>
      <c r="E928" s="107" t="s">
        <v>10</v>
      </c>
      <c r="F928" s="115">
        <v>12</v>
      </c>
      <c r="G928" s="107" t="s">
        <v>36</v>
      </c>
      <c r="H928" s="107" t="str">
        <f t="shared" si="84"/>
        <v>Area 12: Hood Canal</v>
      </c>
      <c r="I928" s="107" t="str">
        <f>IFERROR(VLOOKUP(H928,LUTs!$A$1:$C$73,2,FALSE),"NA")</f>
        <v>NA</v>
      </c>
      <c r="J928" s="107" t="str">
        <f>IFERROR(VLOOKUP(H928,LUTs!$A$1:$C$73,3,FALSE),"NA")</f>
        <v>4 Hood Canal</v>
      </c>
      <c r="K928" s="107" t="s">
        <v>24</v>
      </c>
      <c r="L928" s="107" t="str">
        <f>VLOOKUP(K928,LUTs!E$2:G$14,3,)</f>
        <v>11Clallam</v>
      </c>
      <c r="M928" s="107" t="str">
        <f>VLOOKUP($K928,LUTs!$E$2:$H$14,2,)</f>
        <v>Strait of Juan de Fuca</v>
      </c>
      <c r="N928" s="107" t="str">
        <f>VLOOKUP($K928,LUTs!$E$2:$H$14,4,)</f>
        <v>03Strait of Juan de Fuca</v>
      </c>
      <c r="O928" s="107">
        <v>93.147169811320794</v>
      </c>
      <c r="P928" s="107">
        <v>78.783958166614198</v>
      </c>
      <c r="Q928" s="107">
        <f t="shared" si="85"/>
        <v>93.147169811320794</v>
      </c>
      <c r="R928" s="107">
        <f t="shared" si="86"/>
        <v>78.783958166614198</v>
      </c>
      <c r="S928" s="140" t="str">
        <f t="shared" si="87"/>
        <v>Y</v>
      </c>
      <c r="T928" s="154">
        <f t="shared" si="88"/>
        <v>0.8458008796853328</v>
      </c>
      <c r="U928" s="154">
        <f t="shared" si="89"/>
        <v>0.8458008796853328</v>
      </c>
    </row>
    <row r="929" spans="1:21" x14ac:dyDescent="0.35">
      <c r="A929" s="107">
        <v>945</v>
      </c>
      <c r="B929" s="107">
        <v>2018</v>
      </c>
      <c r="C929" s="107" t="s">
        <v>9</v>
      </c>
      <c r="D929" s="107" t="s">
        <v>132</v>
      </c>
      <c r="E929" s="107" t="s">
        <v>10</v>
      </c>
      <c r="F929" s="115">
        <v>12</v>
      </c>
      <c r="G929" s="107" t="s">
        <v>36</v>
      </c>
      <c r="H929" s="107" t="str">
        <f t="shared" si="84"/>
        <v>Area 12: Hood Canal</v>
      </c>
      <c r="I929" s="107" t="str">
        <f>IFERROR(VLOOKUP(H929,LUTs!$A$1:$C$73,2,FALSE),"NA")</f>
        <v>NA</v>
      </c>
      <c r="J929" s="107" t="str">
        <f>IFERROR(VLOOKUP(H929,LUTs!$A$1:$C$73,3,FALSE),"NA")</f>
        <v>4 Hood Canal</v>
      </c>
      <c r="K929" s="107" t="s">
        <v>25</v>
      </c>
      <c r="L929" s="107" t="str">
        <f>VLOOKUP(K929,LUTs!E$2:G$14,3,)</f>
        <v>12Jefferson</v>
      </c>
      <c r="M929" s="107" t="str">
        <f>VLOOKUP($K929,LUTs!$E$2:$H$14,2,)</f>
        <v>Strait of Juan de Fuca</v>
      </c>
      <c r="N929" s="107" t="str">
        <f>VLOOKUP($K929,LUTs!$E$2:$H$14,4,)</f>
        <v>03Strait of Juan de Fuca</v>
      </c>
      <c r="O929" s="107">
        <v>939.23396226415105</v>
      </c>
      <c r="P929" s="107">
        <v>794.40491151336005</v>
      </c>
      <c r="Q929" s="107">
        <f t="shared" si="85"/>
        <v>939.23396226415105</v>
      </c>
      <c r="R929" s="107">
        <f t="shared" si="86"/>
        <v>794.40491151336005</v>
      </c>
      <c r="S929" s="140" t="str">
        <f t="shared" si="87"/>
        <v>Y</v>
      </c>
      <c r="T929" s="154">
        <f t="shared" si="88"/>
        <v>0.84580087968533324</v>
      </c>
      <c r="U929" s="154">
        <f t="shared" si="89"/>
        <v>0.84580087968533324</v>
      </c>
    </row>
    <row r="930" spans="1:21" x14ac:dyDescent="0.35">
      <c r="A930" s="107">
        <v>840</v>
      </c>
      <c r="B930" s="107">
        <v>2018</v>
      </c>
      <c r="C930" s="107" t="s">
        <v>9</v>
      </c>
      <c r="D930" s="107" t="s">
        <v>132</v>
      </c>
      <c r="E930" s="107" t="s">
        <v>10</v>
      </c>
      <c r="F930" s="115">
        <v>12</v>
      </c>
      <c r="G930" s="107" t="s">
        <v>36</v>
      </c>
      <c r="H930" s="107" t="str">
        <f t="shared" si="84"/>
        <v>Area 12: Hood Canal</v>
      </c>
      <c r="I930" s="107" t="str">
        <f>IFERROR(VLOOKUP(H930,LUTs!$A$1:$C$73,2,FALSE),"NA")</f>
        <v>NA</v>
      </c>
      <c r="J930" s="107" t="str">
        <f>IFERROR(VLOOKUP(H930,LUTs!$A$1:$C$73,3,FALSE),"NA")</f>
        <v>4 Hood Canal</v>
      </c>
      <c r="K930" s="107" t="s">
        <v>18</v>
      </c>
      <c r="L930" s="107" t="str">
        <f>VLOOKUP(K930,LUTs!E$2:G$14,3,)</f>
        <v>06King</v>
      </c>
      <c r="M930" s="107" t="str">
        <f>VLOOKUP($K930,LUTs!$E$2:$H$14,2,)</f>
        <v>South Puget Sound</v>
      </c>
      <c r="N930" s="107" t="str">
        <f>VLOOKUP($K930,LUTs!$E$2:$H$14,4,)</f>
        <v>02South Puget Sound</v>
      </c>
      <c r="O930" s="107">
        <v>2134.6226415094302</v>
      </c>
      <c r="P930" s="107">
        <v>1805.4657079849101</v>
      </c>
      <c r="Q930" s="107">
        <f t="shared" si="85"/>
        <v>2134.6226415094302</v>
      </c>
      <c r="R930" s="107">
        <f t="shared" si="86"/>
        <v>1805.4657079849101</v>
      </c>
      <c r="S930" s="140" t="str">
        <f t="shared" si="87"/>
        <v>Y</v>
      </c>
      <c r="T930" s="154">
        <f t="shared" si="88"/>
        <v>0.84580087968533524</v>
      </c>
      <c r="U930" s="154">
        <f t="shared" si="89"/>
        <v>0.84580087968533524</v>
      </c>
    </row>
    <row r="931" spans="1:21" x14ac:dyDescent="0.35">
      <c r="A931" s="107">
        <v>943</v>
      </c>
      <c r="B931" s="107">
        <v>2018</v>
      </c>
      <c r="C931" s="107" t="s">
        <v>9</v>
      </c>
      <c r="D931" s="107" t="s">
        <v>132</v>
      </c>
      <c r="E931" s="107" t="s">
        <v>10</v>
      </c>
      <c r="F931" s="115">
        <v>12</v>
      </c>
      <c r="G931" s="107" t="s">
        <v>36</v>
      </c>
      <c r="H931" s="107" t="str">
        <f t="shared" si="84"/>
        <v>Area 12: Hood Canal</v>
      </c>
      <c r="I931" s="107" t="str">
        <f>IFERROR(VLOOKUP(H931,LUTs!$A$1:$C$73,2,FALSE),"NA")</f>
        <v>NA</v>
      </c>
      <c r="J931" s="107" t="str">
        <f>IFERROR(VLOOKUP(H931,LUTs!$A$1:$C$73,3,FALSE),"NA")</f>
        <v>4 Hood Canal</v>
      </c>
      <c r="K931" s="107" t="s">
        <v>23</v>
      </c>
      <c r="L931" s="107" t="str">
        <f>VLOOKUP(K931,LUTs!E$2:G$14,3,)</f>
        <v>10Kitsap</v>
      </c>
      <c r="M931" s="107" t="str">
        <f>VLOOKUP($K931,LUTs!$E$2:$H$14,2,)</f>
        <v>South Puget Sound</v>
      </c>
      <c r="N931" s="107" t="str">
        <f>VLOOKUP($K931,LUTs!$E$2:$H$14,4,)</f>
        <v>02South Puget Sound</v>
      </c>
      <c r="O931" s="107">
        <v>690.84150943396196</v>
      </c>
      <c r="P931" s="107">
        <v>584.31435640238794</v>
      </c>
      <c r="Q931" s="107">
        <f t="shared" si="85"/>
        <v>690.84150943396196</v>
      </c>
      <c r="R931" s="107">
        <f t="shared" si="86"/>
        <v>584.31435640238794</v>
      </c>
      <c r="S931" s="140" t="str">
        <f t="shared" si="87"/>
        <v>Y</v>
      </c>
      <c r="T931" s="154">
        <f t="shared" si="88"/>
        <v>0.84580087968533246</v>
      </c>
      <c r="U931" s="154">
        <f t="shared" si="89"/>
        <v>0.84580087968533246</v>
      </c>
    </row>
    <row r="932" spans="1:21" x14ac:dyDescent="0.35">
      <c r="A932" s="107">
        <v>942</v>
      </c>
      <c r="B932" s="107">
        <v>2018</v>
      </c>
      <c r="C932" s="107" t="s">
        <v>9</v>
      </c>
      <c r="D932" s="107" t="s">
        <v>132</v>
      </c>
      <c r="E932" s="107" t="s">
        <v>10</v>
      </c>
      <c r="F932" s="115">
        <v>12</v>
      </c>
      <c r="G932" s="107" t="s">
        <v>36</v>
      </c>
      <c r="H932" s="107" t="str">
        <f t="shared" si="84"/>
        <v>Area 12: Hood Canal</v>
      </c>
      <c r="I932" s="107" t="str">
        <f>IFERROR(VLOOKUP(H932,LUTs!$A$1:$C$73,2,FALSE),"NA")</f>
        <v>NA</v>
      </c>
      <c r="J932" s="107" t="str">
        <f>IFERROR(VLOOKUP(H932,LUTs!$A$1:$C$73,3,FALSE),"NA")</f>
        <v>4 Hood Canal</v>
      </c>
      <c r="K932" s="107" t="s">
        <v>22</v>
      </c>
      <c r="L932" s="107" t="str">
        <f>VLOOKUP(K932,LUTs!E$2:G$14,3,)</f>
        <v>09Mason</v>
      </c>
      <c r="M932" s="107" t="str">
        <f>VLOOKUP($K932,LUTs!$E$2:$H$14,2,)</f>
        <v>South Puget Sound</v>
      </c>
      <c r="N932" s="107" t="str">
        <f>VLOOKUP($K932,LUTs!$E$2:$H$14,4,)</f>
        <v>02South Puget Sound</v>
      </c>
      <c r="O932" s="107">
        <v>520.07169811320796</v>
      </c>
      <c r="P932" s="107">
        <v>439.87709976359599</v>
      </c>
      <c r="Q932" s="107">
        <f t="shared" si="85"/>
        <v>520.07169811320796</v>
      </c>
      <c r="R932" s="107">
        <f t="shared" si="86"/>
        <v>439.87709976359599</v>
      </c>
      <c r="S932" s="140" t="str">
        <f t="shared" si="87"/>
        <v>Y</v>
      </c>
      <c r="T932" s="154">
        <f t="shared" si="88"/>
        <v>0.84580087968533257</v>
      </c>
      <c r="U932" s="154">
        <f t="shared" si="89"/>
        <v>0.84580087968533257</v>
      </c>
    </row>
    <row r="933" spans="1:21" x14ac:dyDescent="0.35">
      <c r="A933" s="107">
        <v>946</v>
      </c>
      <c r="B933" s="107">
        <v>2018</v>
      </c>
      <c r="C933" s="107" t="s">
        <v>9</v>
      </c>
      <c r="D933" s="107" t="s">
        <v>132</v>
      </c>
      <c r="E933" s="107" t="s">
        <v>10</v>
      </c>
      <c r="F933" s="115">
        <v>12</v>
      </c>
      <c r="G933" s="107" t="s">
        <v>36</v>
      </c>
      <c r="H933" s="107" t="str">
        <f t="shared" si="84"/>
        <v>Area 12: Hood Canal</v>
      </c>
      <c r="I933" s="107" t="str">
        <f>IFERROR(VLOOKUP(H933,LUTs!$A$1:$C$73,2,FALSE),"NA")</f>
        <v>NA</v>
      </c>
      <c r="J933" s="107" t="str">
        <f>IFERROR(VLOOKUP(H933,LUTs!$A$1:$C$73,3,FALSE),"NA")</f>
        <v>4 Hood Canal</v>
      </c>
      <c r="K933" s="107" t="s">
        <v>26</v>
      </c>
      <c r="L933" s="107" t="str">
        <f>VLOOKUP(K933,LUTs!E$2:G$14,3,)</f>
        <v>20Other</v>
      </c>
      <c r="M933" s="107" t="str">
        <f>VLOOKUP($K933,LUTs!$E$2:$H$14,2,)</f>
        <v>Non Puget Sound</v>
      </c>
      <c r="N933" s="107" t="str">
        <f>VLOOKUP($K933,LUTs!$E$2:$H$14,4,)</f>
        <v>07Non Puget Sound</v>
      </c>
      <c r="O933" s="107">
        <v>1482.59245283019</v>
      </c>
      <c r="P933" s="107">
        <v>1253.9780008186101</v>
      </c>
      <c r="Q933" s="107">
        <f t="shared" si="85"/>
        <v>1482.59245283019</v>
      </c>
      <c r="R933" s="107">
        <f t="shared" si="86"/>
        <v>1253.9780008186101</v>
      </c>
      <c r="S933" s="140" t="str">
        <f t="shared" si="87"/>
        <v>Y</v>
      </c>
      <c r="T933" s="154">
        <f t="shared" si="88"/>
        <v>0.84580087968533291</v>
      </c>
      <c r="U933" s="154">
        <f t="shared" si="89"/>
        <v>0.84580087968533291</v>
      </c>
    </row>
    <row r="934" spans="1:21" x14ac:dyDescent="0.35">
      <c r="A934" s="107">
        <v>841</v>
      </c>
      <c r="B934" s="107">
        <v>2018</v>
      </c>
      <c r="C934" s="107" t="s">
        <v>9</v>
      </c>
      <c r="D934" s="107" t="s">
        <v>132</v>
      </c>
      <c r="E934" s="107" t="s">
        <v>10</v>
      </c>
      <c r="F934" s="115">
        <v>12</v>
      </c>
      <c r="G934" s="107" t="s">
        <v>36</v>
      </c>
      <c r="H934" s="107" t="str">
        <f t="shared" si="84"/>
        <v>Area 12: Hood Canal</v>
      </c>
      <c r="I934" s="107" t="str">
        <f>IFERROR(VLOOKUP(H934,LUTs!$A$1:$C$73,2,FALSE),"NA")</f>
        <v>NA</v>
      </c>
      <c r="J934" s="107" t="str">
        <f>IFERROR(VLOOKUP(H934,LUTs!$A$1:$C$73,3,FALSE),"NA")</f>
        <v>4 Hood Canal</v>
      </c>
      <c r="K934" s="107" t="s">
        <v>20</v>
      </c>
      <c r="L934" s="107" t="str">
        <f>VLOOKUP(K934,LUTs!E$2:G$14,3,)</f>
        <v>07Pierce</v>
      </c>
      <c r="M934" s="107" t="str">
        <f>VLOOKUP($K934,LUTs!$E$2:$H$14,2,)</f>
        <v>South Puget Sound</v>
      </c>
      <c r="N934" s="107" t="str">
        <f>VLOOKUP($K934,LUTs!$E$2:$H$14,4,)</f>
        <v>02South Puget Sound</v>
      </c>
      <c r="O934" s="107">
        <v>1234.2</v>
      </c>
      <c r="P934" s="107">
        <v>1043.8874457076399</v>
      </c>
      <c r="Q934" s="107">
        <f t="shared" si="85"/>
        <v>1234.2</v>
      </c>
      <c r="R934" s="107">
        <f t="shared" si="86"/>
        <v>1043.8874457076399</v>
      </c>
      <c r="S934" s="140" t="str">
        <f t="shared" si="87"/>
        <v>Y</v>
      </c>
      <c r="T934" s="154">
        <f t="shared" si="88"/>
        <v>0.84580087968533457</v>
      </c>
      <c r="U934" s="154">
        <f t="shared" si="89"/>
        <v>0.84580087968533457</v>
      </c>
    </row>
    <row r="935" spans="1:21" x14ac:dyDescent="0.35">
      <c r="A935" s="107">
        <v>839</v>
      </c>
      <c r="B935" s="107">
        <v>2018</v>
      </c>
      <c r="C935" s="107" t="s">
        <v>9</v>
      </c>
      <c r="D935" s="107" t="s">
        <v>132</v>
      </c>
      <c r="E935" s="107" t="s">
        <v>10</v>
      </c>
      <c r="F935" s="115">
        <v>12</v>
      </c>
      <c r="G935" s="107" t="s">
        <v>36</v>
      </c>
      <c r="H935" s="107" t="str">
        <f t="shared" si="84"/>
        <v>Area 12: Hood Canal</v>
      </c>
      <c r="I935" s="107" t="str">
        <f>IFERROR(VLOOKUP(H935,LUTs!$A$1:$C$73,2,FALSE),"NA")</f>
        <v>NA</v>
      </c>
      <c r="J935" s="107" t="str">
        <f>IFERROR(VLOOKUP(H935,LUTs!$A$1:$C$73,3,FALSE),"NA")</f>
        <v>4 Hood Canal</v>
      </c>
      <c r="K935" s="107" t="s">
        <v>16</v>
      </c>
      <c r="L935" s="107" t="str">
        <f>VLOOKUP(K935,LUTs!E$2:G$14,3,)</f>
        <v>03Snohomish</v>
      </c>
      <c r="M935" s="107" t="str">
        <f>VLOOKUP($K935,LUTs!$E$2:$H$14,2,)</f>
        <v>North Puget Sound</v>
      </c>
      <c r="N935" s="107" t="str">
        <f>VLOOKUP($K935,LUTs!$E$2:$H$14,4,)</f>
        <v>01North Puget Sound</v>
      </c>
      <c r="O935" s="107">
        <v>349.30188679245299</v>
      </c>
      <c r="P935" s="107">
        <v>295.43984312480302</v>
      </c>
      <c r="Q935" s="107">
        <f t="shared" si="85"/>
        <v>349.30188679245299</v>
      </c>
      <c r="R935" s="107">
        <f t="shared" si="86"/>
        <v>295.43984312480302</v>
      </c>
      <c r="S935" s="140" t="str">
        <f t="shared" si="87"/>
        <v>Y</v>
      </c>
      <c r="T935" s="154">
        <f t="shared" si="88"/>
        <v>0.84580087968533213</v>
      </c>
      <c r="U935" s="154">
        <f t="shared" si="89"/>
        <v>0.84580087968533213</v>
      </c>
    </row>
    <row r="936" spans="1:21" x14ac:dyDescent="0.35">
      <c r="A936" s="107">
        <v>941</v>
      </c>
      <c r="B936" s="107">
        <v>2018</v>
      </c>
      <c r="C936" s="107" t="s">
        <v>9</v>
      </c>
      <c r="D936" s="107" t="s">
        <v>132</v>
      </c>
      <c r="E936" s="107" t="s">
        <v>10</v>
      </c>
      <c r="F936" s="115">
        <v>12</v>
      </c>
      <c r="G936" s="107" t="s">
        <v>36</v>
      </c>
      <c r="H936" s="107" t="str">
        <f t="shared" si="84"/>
        <v>Area 12: Hood Canal</v>
      </c>
      <c r="I936" s="107" t="str">
        <f>IFERROR(VLOOKUP(H936,LUTs!$A$1:$C$73,2,FALSE),"NA")</f>
        <v>NA</v>
      </c>
      <c r="J936" s="107" t="str">
        <f>IFERROR(VLOOKUP(H936,LUTs!$A$1:$C$73,3,FALSE),"NA")</f>
        <v>4 Hood Canal</v>
      </c>
      <c r="K936" s="107" t="s">
        <v>21</v>
      </c>
      <c r="L936" s="107" t="str">
        <f>VLOOKUP(K936,LUTs!E$2:G$14,3,)</f>
        <v>08Thurston</v>
      </c>
      <c r="M936" s="107" t="str">
        <f>VLOOKUP($K936,LUTs!$E$2:$H$14,2,)</f>
        <v>South Puget Sound</v>
      </c>
      <c r="N936" s="107" t="str">
        <f>VLOOKUP($K936,LUTs!$E$2:$H$14,4,)</f>
        <v>02South Puget Sound</v>
      </c>
      <c r="O936" s="107">
        <v>783.98867924528304</v>
      </c>
      <c r="P936" s="107">
        <v>663.09831456900304</v>
      </c>
      <c r="Q936" s="107">
        <f t="shared" si="85"/>
        <v>783.98867924528304</v>
      </c>
      <c r="R936" s="107">
        <f t="shared" si="86"/>
        <v>663.09831456900304</v>
      </c>
      <c r="S936" s="140" t="str">
        <f t="shared" si="87"/>
        <v>Y</v>
      </c>
      <c r="T936" s="154">
        <f t="shared" si="88"/>
        <v>0.84580087968533335</v>
      </c>
      <c r="U936" s="154">
        <f t="shared" si="89"/>
        <v>0.84580087968533335</v>
      </c>
    </row>
    <row r="937" spans="1:21" x14ac:dyDescent="0.35">
      <c r="A937" s="107">
        <v>1052</v>
      </c>
      <c r="B937" s="107">
        <v>2019</v>
      </c>
      <c r="C937" s="107" t="s">
        <v>9</v>
      </c>
      <c r="D937" s="107" t="s">
        <v>132</v>
      </c>
      <c r="E937" s="107" t="s">
        <v>10</v>
      </c>
      <c r="F937" s="115">
        <v>12</v>
      </c>
      <c r="G937" s="107" t="s">
        <v>36</v>
      </c>
      <c r="H937" s="107" t="str">
        <f t="shared" si="84"/>
        <v>Area 12: Hood Canal</v>
      </c>
      <c r="I937" s="107" t="str">
        <f>IFERROR(VLOOKUP(H937,LUTs!$A$1:$C$73,2,FALSE),"NA")</f>
        <v>NA</v>
      </c>
      <c r="J937" s="107" t="str">
        <f>IFERROR(VLOOKUP(H937,LUTs!$A$1:$C$73,3,FALSE),"NA")</f>
        <v>4 Hood Canal</v>
      </c>
      <c r="K937" s="107" t="s">
        <v>24</v>
      </c>
      <c r="L937" s="107" t="str">
        <f>VLOOKUP(K937,LUTs!E$2:G$14,3,)</f>
        <v>11Clallam</v>
      </c>
      <c r="M937" s="107" t="str">
        <f>VLOOKUP($K937,LUTs!$E$2:$H$14,2,)</f>
        <v>Strait of Juan de Fuca</v>
      </c>
      <c r="N937" s="107" t="str">
        <f>VLOOKUP($K937,LUTs!$E$2:$H$14,4,)</f>
        <v>03Strait of Juan de Fuca</v>
      </c>
      <c r="O937" s="107">
        <v>111.96674584323</v>
      </c>
      <c r="P937" s="107">
        <v>103.08862968782501</v>
      </c>
      <c r="Q937" s="107">
        <f t="shared" si="85"/>
        <v>111.96674584323</v>
      </c>
      <c r="R937" s="107">
        <f t="shared" si="86"/>
        <v>103.08862968782501</v>
      </c>
      <c r="S937" s="140" t="str">
        <f t="shared" si="87"/>
        <v>Y</v>
      </c>
      <c r="T937" s="154">
        <f t="shared" si="88"/>
        <v>0.92070756287017874</v>
      </c>
      <c r="U937" s="154">
        <f t="shared" si="89"/>
        <v>0.92070756287017874</v>
      </c>
    </row>
    <row r="938" spans="1:21" x14ac:dyDescent="0.35">
      <c r="A938" s="107">
        <v>1053</v>
      </c>
      <c r="B938" s="107">
        <v>2019</v>
      </c>
      <c r="C938" s="107" t="s">
        <v>9</v>
      </c>
      <c r="D938" s="107" t="s">
        <v>132</v>
      </c>
      <c r="E938" s="107" t="s">
        <v>10</v>
      </c>
      <c r="F938" s="115">
        <v>12</v>
      </c>
      <c r="G938" s="107" t="s">
        <v>36</v>
      </c>
      <c r="H938" s="107" t="str">
        <f t="shared" si="84"/>
        <v>Area 12: Hood Canal</v>
      </c>
      <c r="I938" s="107" t="str">
        <f>IFERROR(VLOOKUP(H938,LUTs!$A$1:$C$73,2,FALSE),"NA")</f>
        <v>NA</v>
      </c>
      <c r="J938" s="107" t="str">
        <f>IFERROR(VLOOKUP(H938,LUTs!$A$1:$C$73,3,FALSE),"NA")</f>
        <v>4 Hood Canal</v>
      </c>
      <c r="K938" s="107" t="s">
        <v>25</v>
      </c>
      <c r="L938" s="107" t="str">
        <f>VLOOKUP(K938,LUTs!E$2:G$14,3,)</f>
        <v>12Jefferson</v>
      </c>
      <c r="M938" s="107" t="str">
        <f>VLOOKUP($K938,LUTs!$E$2:$H$14,2,)</f>
        <v>Strait of Juan de Fuca</v>
      </c>
      <c r="N938" s="107" t="str">
        <f>VLOOKUP($K938,LUTs!$E$2:$H$14,4,)</f>
        <v>03Strait of Juan de Fuca</v>
      </c>
      <c r="O938" s="107">
        <v>413.41567695961999</v>
      </c>
      <c r="P938" s="107">
        <v>380.63494038581598</v>
      </c>
      <c r="Q938" s="107">
        <f t="shared" si="85"/>
        <v>413.41567695961999</v>
      </c>
      <c r="R938" s="107">
        <f t="shared" si="86"/>
        <v>380.63494038581598</v>
      </c>
      <c r="S938" s="140" t="str">
        <f t="shared" si="87"/>
        <v>Y</v>
      </c>
      <c r="T938" s="154">
        <f t="shared" si="88"/>
        <v>0.92070756287017674</v>
      </c>
      <c r="U938" s="154">
        <f t="shared" si="89"/>
        <v>0.92070756287017674</v>
      </c>
    </row>
    <row r="939" spans="1:21" x14ac:dyDescent="0.35">
      <c r="A939" s="107">
        <v>948</v>
      </c>
      <c r="B939" s="107">
        <v>2019</v>
      </c>
      <c r="C939" s="107" t="s">
        <v>9</v>
      </c>
      <c r="D939" s="107" t="s">
        <v>132</v>
      </c>
      <c r="E939" s="107" t="s">
        <v>10</v>
      </c>
      <c r="F939" s="115">
        <v>12</v>
      </c>
      <c r="G939" s="107" t="s">
        <v>36</v>
      </c>
      <c r="H939" s="107" t="str">
        <f t="shared" si="84"/>
        <v>Area 12: Hood Canal</v>
      </c>
      <c r="I939" s="107" t="str">
        <f>IFERROR(VLOOKUP(H939,LUTs!$A$1:$C$73,2,FALSE),"NA")</f>
        <v>NA</v>
      </c>
      <c r="J939" s="107" t="str">
        <f>IFERROR(VLOOKUP(H939,LUTs!$A$1:$C$73,3,FALSE),"NA")</f>
        <v>4 Hood Canal</v>
      </c>
      <c r="K939" s="107" t="s">
        <v>18</v>
      </c>
      <c r="L939" s="107" t="str">
        <f>VLOOKUP(K939,LUTs!E$2:G$14,3,)</f>
        <v>06King</v>
      </c>
      <c r="M939" s="107" t="str">
        <f>VLOOKUP($K939,LUTs!$E$2:$H$14,2,)</f>
        <v>South Puget Sound</v>
      </c>
      <c r="N939" s="107" t="str">
        <f>VLOOKUP($K939,LUTs!$E$2:$H$14,4,)</f>
        <v>02South Puget Sound</v>
      </c>
      <c r="O939" s="107">
        <v>482.31828978622298</v>
      </c>
      <c r="P939" s="107">
        <v>444.07409711678503</v>
      </c>
      <c r="Q939" s="107">
        <f t="shared" si="85"/>
        <v>482.31828978622298</v>
      </c>
      <c r="R939" s="107">
        <f t="shared" si="86"/>
        <v>444.07409711678503</v>
      </c>
      <c r="S939" s="140" t="str">
        <f t="shared" si="87"/>
        <v>Y</v>
      </c>
      <c r="T939" s="154">
        <f t="shared" si="88"/>
        <v>0.92070756287017674</v>
      </c>
      <c r="U939" s="154">
        <f t="shared" si="89"/>
        <v>0.92070756287017674</v>
      </c>
    </row>
    <row r="940" spans="1:21" x14ac:dyDescent="0.35">
      <c r="A940" s="107">
        <v>1051</v>
      </c>
      <c r="B940" s="107">
        <v>2019</v>
      </c>
      <c r="C940" s="107" t="s">
        <v>9</v>
      </c>
      <c r="D940" s="107" t="s">
        <v>132</v>
      </c>
      <c r="E940" s="107" t="s">
        <v>10</v>
      </c>
      <c r="F940" s="115">
        <v>12</v>
      </c>
      <c r="G940" s="107" t="s">
        <v>36</v>
      </c>
      <c r="H940" s="107" t="str">
        <f t="shared" si="84"/>
        <v>Area 12: Hood Canal</v>
      </c>
      <c r="I940" s="107" t="str">
        <f>IFERROR(VLOOKUP(H940,LUTs!$A$1:$C$73,2,FALSE),"NA")</f>
        <v>NA</v>
      </c>
      <c r="J940" s="107" t="str">
        <f>IFERROR(VLOOKUP(H940,LUTs!$A$1:$C$73,3,FALSE),"NA")</f>
        <v>4 Hood Canal</v>
      </c>
      <c r="K940" s="107" t="s">
        <v>23</v>
      </c>
      <c r="L940" s="107" t="str">
        <f>VLOOKUP(K940,LUTs!E$2:G$14,3,)</f>
        <v>10Kitsap</v>
      </c>
      <c r="M940" s="107" t="str">
        <f>VLOOKUP($K940,LUTs!$E$2:$H$14,2,)</f>
        <v>South Puget Sound</v>
      </c>
      <c r="N940" s="107" t="str">
        <f>VLOOKUP($K940,LUTs!$E$2:$H$14,4,)</f>
        <v>02South Puget Sound</v>
      </c>
      <c r="O940" s="107">
        <v>757.92874109263698</v>
      </c>
      <c r="P940" s="107">
        <v>697.83072404066297</v>
      </c>
      <c r="Q940" s="107">
        <f t="shared" si="85"/>
        <v>757.92874109263698</v>
      </c>
      <c r="R940" s="107">
        <f t="shared" si="86"/>
        <v>697.83072404066297</v>
      </c>
      <c r="S940" s="140" t="str">
        <f t="shared" si="87"/>
        <v>Y</v>
      </c>
      <c r="T940" s="154">
        <f t="shared" si="88"/>
        <v>0.92070756287017674</v>
      </c>
      <c r="U940" s="154">
        <f t="shared" si="89"/>
        <v>0.92070756287017674</v>
      </c>
    </row>
    <row r="941" spans="1:21" x14ac:dyDescent="0.35">
      <c r="A941" s="107">
        <v>1050</v>
      </c>
      <c r="B941" s="107">
        <v>2019</v>
      </c>
      <c r="C941" s="107" t="s">
        <v>9</v>
      </c>
      <c r="D941" s="107" t="s">
        <v>132</v>
      </c>
      <c r="E941" s="107" t="s">
        <v>10</v>
      </c>
      <c r="F941" s="115">
        <v>12</v>
      </c>
      <c r="G941" s="107" t="s">
        <v>36</v>
      </c>
      <c r="H941" s="107" t="str">
        <f t="shared" si="84"/>
        <v>Area 12: Hood Canal</v>
      </c>
      <c r="I941" s="107" t="str">
        <f>IFERROR(VLOOKUP(H941,LUTs!$A$1:$C$73,2,FALSE),"NA")</f>
        <v>NA</v>
      </c>
      <c r="J941" s="107" t="str">
        <f>IFERROR(VLOOKUP(H941,LUTs!$A$1:$C$73,3,FALSE),"NA")</f>
        <v>4 Hood Canal</v>
      </c>
      <c r="K941" s="107" t="s">
        <v>22</v>
      </c>
      <c r="L941" s="107" t="str">
        <f>VLOOKUP(K941,LUTs!E$2:G$14,3,)</f>
        <v>09Mason</v>
      </c>
      <c r="M941" s="107" t="str">
        <f>VLOOKUP($K941,LUTs!$E$2:$H$14,2,)</f>
        <v>South Puget Sound</v>
      </c>
      <c r="N941" s="107" t="str">
        <f>VLOOKUP($K941,LUTs!$E$2:$H$14,4,)</f>
        <v>02South Puget Sound</v>
      </c>
      <c r="O941" s="107">
        <v>1085.216152019</v>
      </c>
      <c r="P941" s="107">
        <v>999.16671851276703</v>
      </c>
      <c r="Q941" s="107">
        <f t="shared" si="85"/>
        <v>1085.216152019</v>
      </c>
      <c r="R941" s="107">
        <f t="shared" si="86"/>
        <v>999.16671851276703</v>
      </c>
      <c r="S941" s="140" t="str">
        <f t="shared" si="87"/>
        <v>Y</v>
      </c>
      <c r="T941" s="154">
        <f t="shared" si="88"/>
        <v>0.92070756287017885</v>
      </c>
      <c r="U941" s="154">
        <f t="shared" si="89"/>
        <v>0.92070756287017885</v>
      </c>
    </row>
    <row r="942" spans="1:21" x14ac:dyDescent="0.35">
      <c r="A942" s="107">
        <v>1054</v>
      </c>
      <c r="B942" s="107">
        <v>2019</v>
      </c>
      <c r="C942" s="107" t="s">
        <v>9</v>
      </c>
      <c r="D942" s="107" t="s">
        <v>132</v>
      </c>
      <c r="E942" s="107" t="s">
        <v>10</v>
      </c>
      <c r="F942" s="115">
        <v>12</v>
      </c>
      <c r="G942" s="107" t="s">
        <v>36</v>
      </c>
      <c r="H942" s="107" t="str">
        <f t="shared" si="84"/>
        <v>Area 12: Hood Canal</v>
      </c>
      <c r="I942" s="107" t="str">
        <f>IFERROR(VLOOKUP(H942,LUTs!$A$1:$C$73,2,FALSE),"NA")</f>
        <v>NA</v>
      </c>
      <c r="J942" s="107" t="str">
        <f>IFERROR(VLOOKUP(H942,LUTs!$A$1:$C$73,3,FALSE),"NA")</f>
        <v>4 Hood Canal</v>
      </c>
      <c r="K942" s="107" t="s">
        <v>26</v>
      </c>
      <c r="L942" s="107" t="str">
        <f>VLOOKUP(K942,LUTs!E$2:G$14,3,)</f>
        <v>20Other</v>
      </c>
      <c r="M942" s="107" t="str">
        <f>VLOOKUP($K942,LUTs!$E$2:$H$14,2,)</f>
        <v>Non Puget Sound</v>
      </c>
      <c r="N942" s="107" t="str">
        <f>VLOOKUP($K942,LUTs!$E$2:$H$14,4,)</f>
        <v>07Non Puget Sound</v>
      </c>
      <c r="O942" s="107">
        <v>198.09501187648499</v>
      </c>
      <c r="P942" s="107">
        <v>182.38757560153701</v>
      </c>
      <c r="Q942" s="107">
        <f t="shared" si="85"/>
        <v>198.09501187648499</v>
      </c>
      <c r="R942" s="107">
        <f t="shared" si="86"/>
        <v>182.38757560153701</v>
      </c>
      <c r="S942" s="140" t="str">
        <f t="shared" si="87"/>
        <v>Y</v>
      </c>
      <c r="T942" s="154">
        <f t="shared" si="88"/>
        <v>0.92070756287017574</v>
      </c>
      <c r="U942" s="154">
        <f t="shared" si="89"/>
        <v>0.92070756287017574</v>
      </c>
    </row>
    <row r="943" spans="1:21" x14ac:dyDescent="0.35">
      <c r="A943" s="107">
        <v>949</v>
      </c>
      <c r="B943" s="107">
        <v>2019</v>
      </c>
      <c r="C943" s="107" t="s">
        <v>9</v>
      </c>
      <c r="D943" s="107" t="s">
        <v>132</v>
      </c>
      <c r="E943" s="107" t="s">
        <v>10</v>
      </c>
      <c r="F943" s="115">
        <v>12</v>
      </c>
      <c r="G943" s="107" t="s">
        <v>36</v>
      </c>
      <c r="H943" s="107" t="str">
        <f t="shared" si="84"/>
        <v>Area 12: Hood Canal</v>
      </c>
      <c r="I943" s="107" t="str">
        <f>IFERROR(VLOOKUP(H943,LUTs!$A$1:$C$73,2,FALSE),"NA")</f>
        <v>NA</v>
      </c>
      <c r="J943" s="107" t="str">
        <f>IFERROR(VLOOKUP(H943,LUTs!$A$1:$C$73,3,FALSE),"NA")</f>
        <v>4 Hood Canal</v>
      </c>
      <c r="K943" s="107" t="s">
        <v>20</v>
      </c>
      <c r="L943" s="107" t="str">
        <f>VLOOKUP(K943,LUTs!E$2:G$14,3,)</f>
        <v>07Pierce</v>
      </c>
      <c r="M943" s="107" t="str">
        <f>VLOOKUP($K943,LUTs!$E$2:$H$14,2,)</f>
        <v>South Puget Sound</v>
      </c>
      <c r="N943" s="107" t="str">
        <f>VLOOKUP($K943,LUTs!$E$2:$H$14,4,)</f>
        <v>02South Puget Sound</v>
      </c>
      <c r="O943" s="107">
        <v>370.35154394299298</v>
      </c>
      <c r="P943" s="107">
        <v>340.98546742896002</v>
      </c>
      <c r="Q943" s="107">
        <f t="shared" si="85"/>
        <v>370.35154394299298</v>
      </c>
      <c r="R943" s="107">
        <f t="shared" si="86"/>
        <v>340.98546742896002</v>
      </c>
      <c r="S943" s="140" t="str">
        <f t="shared" si="87"/>
        <v>Y</v>
      </c>
      <c r="T943" s="154">
        <f t="shared" si="88"/>
        <v>0.92070756287017619</v>
      </c>
      <c r="U943" s="154">
        <f t="shared" si="89"/>
        <v>0.92070756287017619</v>
      </c>
    </row>
    <row r="944" spans="1:21" x14ac:dyDescent="0.35">
      <c r="A944" s="107">
        <v>947</v>
      </c>
      <c r="B944" s="107">
        <v>2019</v>
      </c>
      <c r="C944" s="107" t="s">
        <v>9</v>
      </c>
      <c r="D944" s="107" t="s">
        <v>132</v>
      </c>
      <c r="E944" s="107" t="s">
        <v>10</v>
      </c>
      <c r="F944" s="115">
        <v>12</v>
      </c>
      <c r="G944" s="107" t="s">
        <v>36</v>
      </c>
      <c r="H944" s="107" t="str">
        <f t="shared" si="84"/>
        <v>Area 12: Hood Canal</v>
      </c>
      <c r="I944" s="107" t="str">
        <f>IFERROR(VLOOKUP(H944,LUTs!$A$1:$C$73,2,FALSE),"NA")</f>
        <v>NA</v>
      </c>
      <c r="J944" s="107" t="str">
        <f>IFERROR(VLOOKUP(H944,LUTs!$A$1:$C$73,3,FALSE),"NA")</f>
        <v>4 Hood Canal</v>
      </c>
      <c r="K944" s="107" t="s">
        <v>16</v>
      </c>
      <c r="L944" s="107" t="str">
        <f>VLOOKUP(K944,LUTs!E$2:G$14,3,)</f>
        <v>03Snohomish</v>
      </c>
      <c r="M944" s="107" t="str">
        <f>VLOOKUP($K944,LUTs!$E$2:$H$14,2,)</f>
        <v>North Puget Sound</v>
      </c>
      <c r="N944" s="107" t="str">
        <f>VLOOKUP($K944,LUTs!$E$2:$H$14,4,)</f>
        <v>01North Puget Sound</v>
      </c>
      <c r="O944" s="107">
        <v>8.6128266033254199</v>
      </c>
      <c r="P944" s="107">
        <v>7.9298945913711698</v>
      </c>
      <c r="Q944" s="107">
        <f t="shared" si="85"/>
        <v>8.6128266033254199</v>
      </c>
      <c r="R944" s="107">
        <f t="shared" si="86"/>
        <v>7.9298945913711698</v>
      </c>
      <c r="S944" s="140" t="str">
        <f t="shared" si="87"/>
        <v>Y</v>
      </c>
      <c r="T944" s="154">
        <f t="shared" si="88"/>
        <v>0.92070756287017674</v>
      </c>
      <c r="U944" s="154">
        <f t="shared" si="89"/>
        <v>0.92070756287017674</v>
      </c>
    </row>
    <row r="945" spans="1:21" x14ac:dyDescent="0.35">
      <c r="A945" s="107">
        <v>1049</v>
      </c>
      <c r="B945" s="107">
        <v>2019</v>
      </c>
      <c r="C945" s="107" t="s">
        <v>9</v>
      </c>
      <c r="D945" s="107" t="s">
        <v>132</v>
      </c>
      <c r="E945" s="107" t="s">
        <v>10</v>
      </c>
      <c r="F945" s="115">
        <v>12</v>
      </c>
      <c r="G945" s="107" t="s">
        <v>36</v>
      </c>
      <c r="H945" s="107" t="str">
        <f t="shared" si="84"/>
        <v>Area 12: Hood Canal</v>
      </c>
      <c r="I945" s="107" t="str">
        <f>IFERROR(VLOOKUP(H945,LUTs!$A$1:$C$73,2,FALSE),"NA")</f>
        <v>NA</v>
      </c>
      <c r="J945" s="107" t="str">
        <f>IFERROR(VLOOKUP(H945,LUTs!$A$1:$C$73,3,FALSE),"NA")</f>
        <v>4 Hood Canal</v>
      </c>
      <c r="K945" s="107" t="s">
        <v>21</v>
      </c>
      <c r="L945" s="107" t="str">
        <f>VLOOKUP(K945,LUTs!E$2:G$14,3,)</f>
        <v>08Thurston</v>
      </c>
      <c r="M945" s="107" t="str">
        <f>VLOOKUP($K945,LUTs!$E$2:$H$14,2,)</f>
        <v>South Puget Sound</v>
      </c>
      <c r="N945" s="107" t="str">
        <f>VLOOKUP($K945,LUTs!$E$2:$H$14,4,)</f>
        <v>02South Puget Sound</v>
      </c>
      <c r="O945" s="107">
        <v>198.09501187648499</v>
      </c>
      <c r="P945" s="107">
        <v>182.38757560153701</v>
      </c>
      <c r="Q945" s="107">
        <f t="shared" si="85"/>
        <v>198.09501187648499</v>
      </c>
      <c r="R945" s="107">
        <f t="shared" si="86"/>
        <v>182.38757560153701</v>
      </c>
      <c r="S945" s="140" t="str">
        <f t="shared" si="87"/>
        <v>Y</v>
      </c>
      <c r="T945" s="154">
        <f t="shared" si="88"/>
        <v>0.92070756287017574</v>
      </c>
      <c r="U945" s="154">
        <f t="shared" si="89"/>
        <v>0.92070756287017574</v>
      </c>
    </row>
    <row r="946" spans="1:21" x14ac:dyDescent="0.35">
      <c r="A946" s="107">
        <v>1137</v>
      </c>
      <c r="B946" s="107">
        <v>2020</v>
      </c>
      <c r="C946" s="107" t="s">
        <v>9</v>
      </c>
      <c r="D946" s="107" t="s">
        <v>132</v>
      </c>
      <c r="E946" s="107" t="s">
        <v>10</v>
      </c>
      <c r="F946" s="115">
        <v>12</v>
      </c>
      <c r="G946" s="107" t="s">
        <v>36</v>
      </c>
      <c r="H946" s="107" t="str">
        <f t="shared" si="84"/>
        <v>Area 12: Hood Canal</v>
      </c>
      <c r="I946" s="107" t="str">
        <f>IFERROR(VLOOKUP(H946,LUTs!$A$1:$C$73,2,FALSE),"NA")</f>
        <v>NA</v>
      </c>
      <c r="J946" s="107" t="str">
        <f>IFERROR(VLOOKUP(H946,LUTs!$A$1:$C$73,3,FALSE),"NA")</f>
        <v>4 Hood Canal</v>
      </c>
      <c r="K946" s="107" t="s">
        <v>24</v>
      </c>
      <c r="L946" s="107" t="str">
        <f>VLOOKUP(K946,LUTs!E$2:G$14,3,)</f>
        <v>11Clallam</v>
      </c>
      <c r="M946" s="107" t="str">
        <f>VLOOKUP($K946,LUTs!$E$2:$H$14,2,)</f>
        <v>Strait of Juan de Fuca</v>
      </c>
      <c r="N946" s="107" t="str">
        <f>VLOOKUP($K946,LUTs!$E$2:$H$14,4,)</f>
        <v>03Strait of Juan de Fuca</v>
      </c>
      <c r="O946" s="107">
        <v>281.80846325166999</v>
      </c>
      <c r="P946" s="107">
        <v>249.64215326586901</v>
      </c>
      <c r="Q946" s="107">
        <f t="shared" si="85"/>
        <v>281.80846325166999</v>
      </c>
      <c r="R946" s="107">
        <f t="shared" si="86"/>
        <v>249.64215326586901</v>
      </c>
      <c r="S946" s="140" t="str">
        <f t="shared" si="87"/>
        <v>N</v>
      </c>
      <c r="T946" s="154">
        <f t="shared" si="88"/>
        <v>0.88585754446602705</v>
      </c>
      <c r="U946" s="154">
        <f t="shared" si="89"/>
        <v>0.88585754446602705</v>
      </c>
    </row>
    <row r="947" spans="1:21" x14ac:dyDescent="0.35">
      <c r="A947" s="107">
        <v>1138</v>
      </c>
      <c r="B947" s="107">
        <v>2020</v>
      </c>
      <c r="C947" s="107" t="s">
        <v>9</v>
      </c>
      <c r="D947" s="107" t="s">
        <v>132</v>
      </c>
      <c r="E947" s="107" t="s">
        <v>10</v>
      </c>
      <c r="F947" s="115">
        <v>12</v>
      </c>
      <c r="G947" s="107" t="s">
        <v>36</v>
      </c>
      <c r="H947" s="107" t="str">
        <f t="shared" si="84"/>
        <v>Area 12: Hood Canal</v>
      </c>
      <c r="I947" s="107" t="str">
        <f>IFERROR(VLOOKUP(H947,LUTs!$A$1:$C$73,2,FALSE),"NA")</f>
        <v>NA</v>
      </c>
      <c r="J947" s="107" t="str">
        <f>IFERROR(VLOOKUP(H947,LUTs!$A$1:$C$73,3,FALSE),"NA")</f>
        <v>4 Hood Canal</v>
      </c>
      <c r="K947" s="107" t="s">
        <v>25</v>
      </c>
      <c r="L947" s="107" t="str">
        <f>VLOOKUP(K947,LUTs!E$2:G$14,3,)</f>
        <v>12Jefferson</v>
      </c>
      <c r="M947" s="107" t="str">
        <f>VLOOKUP($K947,LUTs!$E$2:$H$14,2,)</f>
        <v>Strait of Juan de Fuca</v>
      </c>
      <c r="N947" s="107" t="str">
        <f>VLOOKUP($K947,LUTs!$E$2:$H$14,4,)</f>
        <v>03Strait of Juan de Fuca</v>
      </c>
      <c r="O947" s="107">
        <v>1489.5590200445399</v>
      </c>
      <c r="P947" s="107">
        <v>1319.5370958338799</v>
      </c>
      <c r="Q947" s="107">
        <f t="shared" si="85"/>
        <v>1489.5590200445399</v>
      </c>
      <c r="R947" s="107">
        <f t="shared" si="86"/>
        <v>1319.5370958338799</v>
      </c>
      <c r="S947" s="140" t="str">
        <f t="shared" si="87"/>
        <v>N</v>
      </c>
      <c r="T947" s="154">
        <f t="shared" si="88"/>
        <v>0.88585754446602849</v>
      </c>
      <c r="U947" s="154">
        <f t="shared" si="89"/>
        <v>0.88585754446602849</v>
      </c>
    </row>
    <row r="948" spans="1:21" x14ac:dyDescent="0.35">
      <c r="A948" s="107">
        <v>1056</v>
      </c>
      <c r="B948" s="107">
        <v>2020</v>
      </c>
      <c r="C948" s="107" t="s">
        <v>9</v>
      </c>
      <c r="D948" s="107" t="s">
        <v>132</v>
      </c>
      <c r="E948" s="107" t="s">
        <v>10</v>
      </c>
      <c r="F948" s="115">
        <v>12</v>
      </c>
      <c r="G948" s="107" t="s">
        <v>36</v>
      </c>
      <c r="H948" s="107" t="str">
        <f t="shared" si="84"/>
        <v>Area 12: Hood Canal</v>
      </c>
      <c r="I948" s="107" t="str">
        <f>IFERROR(VLOOKUP(H948,LUTs!$A$1:$C$73,2,FALSE),"NA")</f>
        <v>NA</v>
      </c>
      <c r="J948" s="107" t="str">
        <f>IFERROR(VLOOKUP(H948,LUTs!$A$1:$C$73,3,FALSE),"NA")</f>
        <v>4 Hood Canal</v>
      </c>
      <c r="K948" s="107" t="s">
        <v>18</v>
      </c>
      <c r="L948" s="107" t="str">
        <f>VLOOKUP(K948,LUTs!E$2:G$14,3,)</f>
        <v>06King</v>
      </c>
      <c r="M948" s="107" t="str">
        <f>VLOOKUP($K948,LUTs!$E$2:$H$14,2,)</f>
        <v>South Puget Sound</v>
      </c>
      <c r="N948" s="107" t="str">
        <f>VLOOKUP($K948,LUTs!$E$2:$H$14,4,)</f>
        <v>02South Puget Sound</v>
      </c>
      <c r="O948" s="107">
        <v>885.683741648107</v>
      </c>
      <c r="P948" s="107">
        <v>784.589624549875</v>
      </c>
      <c r="Q948" s="107">
        <f t="shared" si="85"/>
        <v>885.683741648107</v>
      </c>
      <c r="R948" s="107">
        <f t="shared" si="86"/>
        <v>784.589624549875</v>
      </c>
      <c r="S948" s="140" t="str">
        <f t="shared" si="87"/>
        <v>N</v>
      </c>
      <c r="T948" s="154">
        <f t="shared" si="88"/>
        <v>0.88585754446602682</v>
      </c>
      <c r="U948" s="154">
        <f t="shared" si="89"/>
        <v>0.88585754446602682</v>
      </c>
    </row>
    <row r="949" spans="1:21" x14ac:dyDescent="0.35">
      <c r="A949" s="107">
        <v>1136</v>
      </c>
      <c r="B949" s="107">
        <v>2020</v>
      </c>
      <c r="C949" s="107" t="s">
        <v>9</v>
      </c>
      <c r="D949" s="107" t="s">
        <v>132</v>
      </c>
      <c r="E949" s="107" t="s">
        <v>10</v>
      </c>
      <c r="F949" s="115">
        <v>12</v>
      </c>
      <c r="G949" s="107" t="s">
        <v>36</v>
      </c>
      <c r="H949" s="107" t="str">
        <f t="shared" si="84"/>
        <v>Area 12: Hood Canal</v>
      </c>
      <c r="I949" s="107" t="str">
        <f>IFERROR(VLOOKUP(H949,LUTs!$A$1:$C$73,2,FALSE),"NA")</f>
        <v>NA</v>
      </c>
      <c r="J949" s="107" t="str">
        <f>IFERROR(VLOOKUP(H949,LUTs!$A$1:$C$73,3,FALSE),"NA")</f>
        <v>4 Hood Canal</v>
      </c>
      <c r="K949" s="107" t="s">
        <v>23</v>
      </c>
      <c r="L949" s="107" t="str">
        <f>VLOOKUP(K949,LUTs!E$2:G$14,3,)</f>
        <v>10Kitsap</v>
      </c>
      <c r="M949" s="107" t="str">
        <f>VLOOKUP($K949,LUTs!$E$2:$H$14,2,)</f>
        <v>South Puget Sound</v>
      </c>
      <c r="N949" s="107" t="str">
        <f>VLOOKUP($K949,LUTs!$E$2:$H$14,4,)</f>
        <v>02South Puget Sound</v>
      </c>
      <c r="O949" s="107">
        <v>362.325167037862</v>
      </c>
      <c r="P949" s="107">
        <v>320.968482770403</v>
      </c>
      <c r="Q949" s="107">
        <f t="shared" si="85"/>
        <v>362.325167037862</v>
      </c>
      <c r="R949" s="107">
        <f t="shared" si="86"/>
        <v>320.968482770403</v>
      </c>
      <c r="S949" s="140" t="str">
        <f t="shared" si="87"/>
        <v>N</v>
      </c>
      <c r="T949" s="154">
        <f t="shared" si="88"/>
        <v>0.8858575444660256</v>
      </c>
      <c r="U949" s="154">
        <f t="shared" si="89"/>
        <v>0.8858575444660256</v>
      </c>
    </row>
    <row r="950" spans="1:21" x14ac:dyDescent="0.35">
      <c r="A950" s="107">
        <v>1135</v>
      </c>
      <c r="B950" s="107">
        <v>2020</v>
      </c>
      <c r="C950" s="107" t="s">
        <v>9</v>
      </c>
      <c r="D950" s="107" t="s">
        <v>132</v>
      </c>
      <c r="E950" s="107" t="s">
        <v>10</v>
      </c>
      <c r="F950" s="115">
        <v>12</v>
      </c>
      <c r="G950" s="107" t="s">
        <v>36</v>
      </c>
      <c r="H950" s="107" t="str">
        <f t="shared" si="84"/>
        <v>Area 12: Hood Canal</v>
      </c>
      <c r="I950" s="107" t="str">
        <f>IFERROR(VLOOKUP(H950,LUTs!$A$1:$C$73,2,FALSE),"NA")</f>
        <v>NA</v>
      </c>
      <c r="J950" s="107" t="str">
        <f>IFERROR(VLOOKUP(H950,LUTs!$A$1:$C$73,3,FALSE),"NA")</f>
        <v>4 Hood Canal</v>
      </c>
      <c r="K950" s="107" t="s">
        <v>22</v>
      </c>
      <c r="L950" s="107" t="str">
        <f>VLOOKUP(K950,LUTs!E$2:G$14,3,)</f>
        <v>09Mason</v>
      </c>
      <c r="M950" s="107" t="str">
        <f>VLOOKUP($K950,LUTs!$E$2:$H$14,2,)</f>
        <v>South Puget Sound</v>
      </c>
      <c r="N950" s="107" t="str">
        <f>VLOOKUP($K950,LUTs!$E$2:$H$14,4,)</f>
        <v>02South Puget Sound</v>
      </c>
      <c r="O950" s="107">
        <v>161.033407572383</v>
      </c>
      <c r="P950" s="107">
        <v>142.652659009068</v>
      </c>
      <c r="Q950" s="107">
        <f t="shared" si="85"/>
        <v>161.033407572383</v>
      </c>
      <c r="R950" s="107">
        <f t="shared" si="86"/>
        <v>142.652659009068</v>
      </c>
      <c r="S950" s="140" t="str">
        <f t="shared" si="87"/>
        <v>N</v>
      </c>
      <c r="T950" s="154">
        <f t="shared" si="88"/>
        <v>0.88585754446602627</v>
      </c>
      <c r="U950" s="154">
        <f t="shared" si="89"/>
        <v>0.88585754446602627</v>
      </c>
    </row>
    <row r="951" spans="1:21" x14ac:dyDescent="0.35">
      <c r="A951" s="107">
        <v>1139</v>
      </c>
      <c r="B951" s="107">
        <v>2020</v>
      </c>
      <c r="C951" s="107" t="s">
        <v>9</v>
      </c>
      <c r="D951" s="107" t="s">
        <v>132</v>
      </c>
      <c r="E951" s="107" t="s">
        <v>10</v>
      </c>
      <c r="F951" s="115">
        <v>12</v>
      </c>
      <c r="G951" s="107" t="s">
        <v>36</v>
      </c>
      <c r="H951" s="107" t="str">
        <f t="shared" si="84"/>
        <v>Area 12: Hood Canal</v>
      </c>
      <c r="I951" s="107" t="str">
        <f>IFERROR(VLOOKUP(H951,LUTs!$A$1:$C$73,2,FALSE),"NA")</f>
        <v>NA</v>
      </c>
      <c r="J951" s="107" t="str">
        <f>IFERROR(VLOOKUP(H951,LUTs!$A$1:$C$73,3,FALSE),"NA")</f>
        <v>4 Hood Canal</v>
      </c>
      <c r="K951" s="107" t="s">
        <v>26</v>
      </c>
      <c r="L951" s="107" t="str">
        <f>VLOOKUP(K951,LUTs!E$2:G$14,3,)</f>
        <v>20Other</v>
      </c>
      <c r="M951" s="107" t="str">
        <f>VLOOKUP($K951,LUTs!$E$2:$H$14,2,)</f>
        <v>Non Puget Sound</v>
      </c>
      <c r="N951" s="107" t="str">
        <f>VLOOKUP($K951,LUTs!$E$2:$H$14,4,)</f>
        <v>07Non Puget Sound</v>
      </c>
      <c r="O951" s="107">
        <v>412.64810690423201</v>
      </c>
      <c r="P951" s="107">
        <v>365.54743871073703</v>
      </c>
      <c r="Q951" s="107">
        <f t="shared" si="85"/>
        <v>412.64810690423201</v>
      </c>
      <c r="R951" s="107">
        <f t="shared" si="86"/>
        <v>365.54743871073703</v>
      </c>
      <c r="S951" s="140" t="str">
        <f t="shared" si="87"/>
        <v>N</v>
      </c>
      <c r="T951" s="154">
        <f t="shared" si="88"/>
        <v>0.88585754446602571</v>
      </c>
      <c r="U951" s="154">
        <f t="shared" si="89"/>
        <v>0.88585754446602571</v>
      </c>
    </row>
    <row r="952" spans="1:21" x14ac:dyDescent="0.35">
      <c r="A952" s="107">
        <v>1057</v>
      </c>
      <c r="B952" s="107">
        <v>2020</v>
      </c>
      <c r="C952" s="107" t="s">
        <v>9</v>
      </c>
      <c r="D952" s="107" t="s">
        <v>132</v>
      </c>
      <c r="E952" s="107" t="s">
        <v>10</v>
      </c>
      <c r="F952" s="115">
        <v>12</v>
      </c>
      <c r="G952" s="107" t="s">
        <v>36</v>
      </c>
      <c r="H952" s="107" t="str">
        <f t="shared" si="84"/>
        <v>Area 12: Hood Canal</v>
      </c>
      <c r="I952" s="107" t="str">
        <f>IFERROR(VLOOKUP(H952,LUTs!$A$1:$C$73,2,FALSE),"NA")</f>
        <v>NA</v>
      </c>
      <c r="J952" s="107" t="str">
        <f>IFERROR(VLOOKUP(H952,LUTs!$A$1:$C$73,3,FALSE),"NA")</f>
        <v>4 Hood Canal</v>
      </c>
      <c r="K952" s="107" t="s">
        <v>20</v>
      </c>
      <c r="L952" s="107" t="str">
        <f>VLOOKUP(K952,LUTs!E$2:G$14,3,)</f>
        <v>07Pierce</v>
      </c>
      <c r="M952" s="107" t="str">
        <f>VLOOKUP($K952,LUTs!$E$2:$H$14,2,)</f>
        <v>South Puget Sound</v>
      </c>
      <c r="N952" s="107" t="str">
        <f>VLOOKUP($K952,LUTs!$E$2:$H$14,4,)</f>
        <v>02South Puget Sound</v>
      </c>
      <c r="O952" s="107">
        <v>211.35634743875301</v>
      </c>
      <c r="P952" s="107">
        <v>187.231614949402</v>
      </c>
      <c r="Q952" s="107">
        <f t="shared" si="85"/>
        <v>211.35634743875301</v>
      </c>
      <c r="R952" s="107">
        <f t="shared" si="86"/>
        <v>187.231614949402</v>
      </c>
      <c r="S952" s="140" t="str">
        <f t="shared" si="87"/>
        <v>N</v>
      </c>
      <c r="T952" s="154">
        <f t="shared" si="88"/>
        <v>0.88585754446602605</v>
      </c>
      <c r="U952" s="154">
        <f t="shared" si="89"/>
        <v>0.88585754446602605</v>
      </c>
    </row>
    <row r="953" spans="1:21" x14ac:dyDescent="0.35">
      <c r="A953" s="107">
        <v>1055</v>
      </c>
      <c r="B953" s="107">
        <v>2020</v>
      </c>
      <c r="C953" s="107" t="s">
        <v>9</v>
      </c>
      <c r="D953" s="107" t="s">
        <v>132</v>
      </c>
      <c r="E953" s="107" t="s">
        <v>10</v>
      </c>
      <c r="F953" s="115">
        <v>12</v>
      </c>
      <c r="G953" s="107" t="s">
        <v>36</v>
      </c>
      <c r="H953" s="107" t="str">
        <f t="shared" si="84"/>
        <v>Area 12: Hood Canal</v>
      </c>
      <c r="I953" s="107" t="str">
        <f>IFERROR(VLOOKUP(H953,LUTs!$A$1:$C$73,2,FALSE),"NA")</f>
        <v>NA</v>
      </c>
      <c r="J953" s="107" t="str">
        <f>IFERROR(VLOOKUP(H953,LUTs!$A$1:$C$73,3,FALSE),"NA")</f>
        <v>4 Hood Canal</v>
      </c>
      <c r="K953" s="107" t="s">
        <v>16</v>
      </c>
      <c r="L953" s="107" t="str">
        <f>VLOOKUP(K953,LUTs!E$2:G$14,3,)</f>
        <v>03Snohomish</v>
      </c>
      <c r="M953" s="107" t="str">
        <f>VLOOKUP($K953,LUTs!$E$2:$H$14,2,)</f>
        <v>North Puget Sound</v>
      </c>
      <c r="N953" s="107" t="str">
        <f>VLOOKUP($K953,LUTs!$E$2:$H$14,4,)</f>
        <v>01North Puget Sound</v>
      </c>
      <c r="O953" s="107">
        <v>30.193763919821802</v>
      </c>
      <c r="P953" s="107">
        <v>26.747373564200299</v>
      </c>
      <c r="Q953" s="107">
        <f t="shared" si="85"/>
        <v>30.193763919821802</v>
      </c>
      <c r="R953" s="107">
        <f t="shared" si="86"/>
        <v>26.747373564200299</v>
      </c>
      <c r="S953" s="140" t="str">
        <f t="shared" si="87"/>
        <v>N</v>
      </c>
      <c r="T953" s="154">
        <f t="shared" si="88"/>
        <v>0.88585754446602816</v>
      </c>
      <c r="U953" s="154">
        <f t="shared" si="89"/>
        <v>0.88585754446602816</v>
      </c>
    </row>
    <row r="954" spans="1:21" x14ac:dyDescent="0.35">
      <c r="A954" s="107">
        <v>1134</v>
      </c>
      <c r="B954" s="107">
        <v>2020</v>
      </c>
      <c r="C954" s="107" t="s">
        <v>9</v>
      </c>
      <c r="D954" s="107" t="s">
        <v>132</v>
      </c>
      <c r="E954" s="107" t="s">
        <v>10</v>
      </c>
      <c r="F954" s="115">
        <v>12</v>
      </c>
      <c r="G954" s="107" t="s">
        <v>36</v>
      </c>
      <c r="H954" s="107" t="str">
        <f t="shared" si="84"/>
        <v>Area 12: Hood Canal</v>
      </c>
      <c r="I954" s="107" t="str">
        <f>IFERROR(VLOOKUP(H954,LUTs!$A$1:$C$73,2,FALSE),"NA")</f>
        <v>NA</v>
      </c>
      <c r="J954" s="107" t="str">
        <f>IFERROR(VLOOKUP(H954,LUTs!$A$1:$C$73,3,FALSE),"NA")</f>
        <v>4 Hood Canal</v>
      </c>
      <c r="K954" s="107" t="s">
        <v>21</v>
      </c>
      <c r="L954" s="107" t="str">
        <f>VLOOKUP(K954,LUTs!E$2:G$14,3,)</f>
        <v>08Thurston</v>
      </c>
      <c r="M954" s="107" t="str">
        <f>VLOOKUP($K954,LUTs!$E$2:$H$14,2,)</f>
        <v>South Puget Sound</v>
      </c>
      <c r="N954" s="107" t="str">
        <f>VLOOKUP($K954,LUTs!$E$2:$H$14,4,)</f>
        <v>02South Puget Sound</v>
      </c>
      <c r="O954" s="107">
        <v>684.391982182628</v>
      </c>
      <c r="P954" s="107">
        <v>606.27380078854003</v>
      </c>
      <c r="Q954" s="107">
        <f t="shared" si="85"/>
        <v>684.391982182628</v>
      </c>
      <c r="R954" s="107">
        <f t="shared" si="86"/>
        <v>606.27380078854003</v>
      </c>
      <c r="S954" s="140" t="str">
        <f t="shared" si="87"/>
        <v>N</v>
      </c>
      <c r="T954" s="154">
        <f t="shared" si="88"/>
        <v>0.88585754446602738</v>
      </c>
      <c r="U954" s="154">
        <f t="shared" si="89"/>
        <v>0.88585754446602738</v>
      </c>
    </row>
    <row r="955" spans="1:21" x14ac:dyDescent="0.35">
      <c r="A955" s="107">
        <v>1244</v>
      </c>
      <c r="B955" s="107">
        <v>2021</v>
      </c>
      <c r="C955" s="107" t="s">
        <v>9</v>
      </c>
      <c r="D955" s="107" t="s">
        <v>132</v>
      </c>
      <c r="E955" s="107" t="s">
        <v>10</v>
      </c>
      <c r="F955" s="115">
        <v>12</v>
      </c>
      <c r="G955" s="107" t="s">
        <v>36</v>
      </c>
      <c r="H955" s="107" t="str">
        <f t="shared" si="84"/>
        <v>Area 12: Hood Canal</v>
      </c>
      <c r="I955" s="107" t="str">
        <f>IFERROR(VLOOKUP(H955,LUTs!$A$1:$C$73,2,FALSE),"NA")</f>
        <v>NA</v>
      </c>
      <c r="J955" s="107" t="str">
        <f>IFERROR(VLOOKUP(H955,LUTs!$A$1:$C$73,3,FALSE),"NA")</f>
        <v>4 Hood Canal</v>
      </c>
      <c r="K955" s="107" t="s">
        <v>24</v>
      </c>
      <c r="L955" s="107" t="str">
        <f>VLOOKUP(K955,LUTs!E$2:G$14,3,)</f>
        <v>11Clallam</v>
      </c>
      <c r="M955" s="107" t="str">
        <f>VLOOKUP($K955,LUTs!$E$2:$H$14,2,)</f>
        <v>Strait of Juan de Fuca</v>
      </c>
      <c r="N955" s="107" t="str">
        <f>VLOOKUP($K955,LUTs!$E$2:$H$14,4,)</f>
        <v>03Strait of Juan de Fuca</v>
      </c>
      <c r="O955" s="107">
        <v>164.06374501991999</v>
      </c>
      <c r="P955" s="107">
        <v>80.134857259176698</v>
      </c>
      <c r="Q955" s="107">
        <f t="shared" si="85"/>
        <v>164.06374501991999</v>
      </c>
      <c r="R955" s="107">
        <f t="shared" si="86"/>
        <v>80.134857259176698</v>
      </c>
      <c r="S955" s="140" t="str">
        <f t="shared" si="87"/>
        <v>N</v>
      </c>
      <c r="T955" s="154">
        <f t="shared" si="88"/>
        <v>0.48843732812174334</v>
      </c>
      <c r="U955" s="154">
        <f t="shared" si="89"/>
        <v>0.48843732812174334</v>
      </c>
    </row>
    <row r="956" spans="1:21" x14ac:dyDescent="0.35">
      <c r="A956" s="107">
        <v>1142</v>
      </c>
      <c r="B956" s="107">
        <v>2021</v>
      </c>
      <c r="C956" s="107" t="s">
        <v>9</v>
      </c>
      <c r="D956" s="107" t="s">
        <v>132</v>
      </c>
      <c r="E956" s="107" t="s">
        <v>10</v>
      </c>
      <c r="F956" s="115">
        <v>12</v>
      </c>
      <c r="G956" s="107" t="s">
        <v>36</v>
      </c>
      <c r="H956" s="107" t="str">
        <f t="shared" si="84"/>
        <v>Area 12: Hood Canal</v>
      </c>
      <c r="I956" s="107" t="str">
        <f>IFERROR(VLOOKUP(H956,LUTs!$A$1:$C$73,2,FALSE),"NA")</f>
        <v>NA</v>
      </c>
      <c r="J956" s="107" t="str">
        <f>IFERROR(VLOOKUP(H956,LUTs!$A$1:$C$73,3,FALSE),"NA")</f>
        <v>4 Hood Canal</v>
      </c>
      <c r="K956" s="107" t="s">
        <v>17</v>
      </c>
      <c r="L956" s="107" t="str">
        <f>VLOOKUP(K956,LUTs!E$2:G$14,3,)</f>
        <v>04Island</v>
      </c>
      <c r="M956" s="107" t="str">
        <f>VLOOKUP($K956,LUTs!$E$2:$H$14,2,)</f>
        <v>North Puget Sound</v>
      </c>
      <c r="N956" s="107" t="str">
        <f>VLOOKUP($K956,LUTs!$E$2:$H$14,4,)</f>
        <v>01North Puget Sound</v>
      </c>
      <c r="O956" s="107">
        <v>32.812749003984102</v>
      </c>
      <c r="P956" s="107">
        <v>16.026971451835301</v>
      </c>
      <c r="Q956" s="107">
        <f t="shared" si="85"/>
        <v>32.812749003984102</v>
      </c>
      <c r="R956" s="107">
        <f t="shared" si="86"/>
        <v>16.026971451835301</v>
      </c>
      <c r="S956" s="140" t="str">
        <f t="shared" si="87"/>
        <v>N</v>
      </c>
      <c r="T956" s="154">
        <f t="shared" si="88"/>
        <v>0.48843732812174062</v>
      </c>
      <c r="U956" s="154">
        <f t="shared" si="89"/>
        <v>0.48843732812174062</v>
      </c>
    </row>
    <row r="957" spans="1:21" x14ac:dyDescent="0.35">
      <c r="A957" s="107">
        <v>1245</v>
      </c>
      <c r="B957" s="107">
        <v>2021</v>
      </c>
      <c r="C957" s="107" t="s">
        <v>9</v>
      </c>
      <c r="D957" s="107" t="s">
        <v>132</v>
      </c>
      <c r="E957" s="107" t="s">
        <v>10</v>
      </c>
      <c r="F957" s="115">
        <v>12</v>
      </c>
      <c r="G957" s="107" t="s">
        <v>36</v>
      </c>
      <c r="H957" s="107" t="str">
        <f t="shared" si="84"/>
        <v>Area 12: Hood Canal</v>
      </c>
      <c r="I957" s="107" t="str">
        <f>IFERROR(VLOOKUP(H957,LUTs!$A$1:$C$73,2,FALSE),"NA")</f>
        <v>NA</v>
      </c>
      <c r="J957" s="107" t="str">
        <f>IFERROR(VLOOKUP(H957,LUTs!$A$1:$C$73,3,FALSE),"NA")</f>
        <v>4 Hood Canal</v>
      </c>
      <c r="K957" s="107" t="s">
        <v>25</v>
      </c>
      <c r="L957" s="107" t="str">
        <f>VLOOKUP(K957,LUTs!E$2:G$14,3,)</f>
        <v>12Jefferson</v>
      </c>
      <c r="M957" s="107" t="str">
        <f>VLOOKUP($K957,LUTs!$E$2:$H$14,2,)</f>
        <v>Strait of Juan de Fuca</v>
      </c>
      <c r="N957" s="107" t="str">
        <f>VLOOKUP($K957,LUTs!$E$2:$H$14,4,)</f>
        <v>03Strait of Juan de Fuca</v>
      </c>
      <c r="O957" s="107">
        <v>1181.2589641434299</v>
      </c>
      <c r="P957" s="107">
        <v>576.97097226607195</v>
      </c>
      <c r="Q957" s="107">
        <f t="shared" si="85"/>
        <v>1181.2589641434299</v>
      </c>
      <c r="R957" s="107">
        <f t="shared" si="86"/>
        <v>576.97097226607195</v>
      </c>
      <c r="S957" s="140" t="str">
        <f t="shared" si="87"/>
        <v>N</v>
      </c>
      <c r="T957" s="154">
        <f t="shared" si="88"/>
        <v>0.48843732812174068</v>
      </c>
      <c r="U957" s="154">
        <f t="shared" si="89"/>
        <v>0.48843732812174068</v>
      </c>
    </row>
    <row r="958" spans="1:21" x14ac:dyDescent="0.35">
      <c r="A958" s="107">
        <v>1239</v>
      </c>
      <c r="B958" s="107">
        <v>2021</v>
      </c>
      <c r="C958" s="107" t="s">
        <v>9</v>
      </c>
      <c r="D958" s="107" t="s">
        <v>132</v>
      </c>
      <c r="E958" s="107" t="s">
        <v>10</v>
      </c>
      <c r="F958" s="115">
        <v>12</v>
      </c>
      <c r="G958" s="107" t="s">
        <v>36</v>
      </c>
      <c r="H958" s="107" t="str">
        <f t="shared" si="84"/>
        <v>Area 12: Hood Canal</v>
      </c>
      <c r="I958" s="107" t="str">
        <f>IFERROR(VLOOKUP(H958,LUTs!$A$1:$C$73,2,FALSE),"NA")</f>
        <v>NA</v>
      </c>
      <c r="J958" s="107" t="str">
        <f>IFERROR(VLOOKUP(H958,LUTs!$A$1:$C$73,3,FALSE),"NA")</f>
        <v>4 Hood Canal</v>
      </c>
      <c r="K958" s="107" t="s">
        <v>18</v>
      </c>
      <c r="L958" s="107" t="str">
        <f>VLOOKUP(K958,LUTs!E$2:G$14,3,)</f>
        <v>06King</v>
      </c>
      <c r="M958" s="107" t="str">
        <f>VLOOKUP($K958,LUTs!$E$2:$H$14,2,)</f>
        <v>South Puget Sound</v>
      </c>
      <c r="N958" s="107" t="str">
        <f>VLOOKUP($K958,LUTs!$E$2:$H$14,4,)</f>
        <v>02South Puget Sound</v>
      </c>
      <c r="O958" s="107">
        <v>1476.5737051792801</v>
      </c>
      <c r="P958" s="107">
        <v>721.21371533259003</v>
      </c>
      <c r="Q958" s="107">
        <f t="shared" si="85"/>
        <v>1476.5737051792801</v>
      </c>
      <c r="R958" s="107">
        <f t="shared" si="86"/>
        <v>721.21371533259003</v>
      </c>
      <c r="S958" s="140" t="str">
        <f t="shared" si="87"/>
        <v>N</v>
      </c>
      <c r="T958" s="154">
        <f t="shared" si="88"/>
        <v>0.48843732812174312</v>
      </c>
      <c r="U958" s="154">
        <f t="shared" si="89"/>
        <v>0.48843732812174312</v>
      </c>
    </row>
    <row r="959" spans="1:21" x14ac:dyDescent="0.35">
      <c r="A959" s="107">
        <v>1243</v>
      </c>
      <c r="B959" s="107">
        <v>2021</v>
      </c>
      <c r="C959" s="107" t="s">
        <v>9</v>
      </c>
      <c r="D959" s="107" t="s">
        <v>132</v>
      </c>
      <c r="E959" s="107" t="s">
        <v>10</v>
      </c>
      <c r="F959" s="115">
        <v>12</v>
      </c>
      <c r="G959" s="107" t="s">
        <v>36</v>
      </c>
      <c r="H959" s="107" t="str">
        <f t="shared" si="84"/>
        <v>Area 12: Hood Canal</v>
      </c>
      <c r="I959" s="107" t="str">
        <f>IFERROR(VLOOKUP(H959,LUTs!$A$1:$C$73,2,FALSE),"NA")</f>
        <v>NA</v>
      </c>
      <c r="J959" s="107" t="str">
        <f>IFERROR(VLOOKUP(H959,LUTs!$A$1:$C$73,3,FALSE),"NA")</f>
        <v>4 Hood Canal</v>
      </c>
      <c r="K959" s="107" t="s">
        <v>23</v>
      </c>
      <c r="L959" s="107" t="str">
        <f>VLOOKUP(K959,LUTs!E$2:G$14,3,)</f>
        <v>10Kitsap</v>
      </c>
      <c r="M959" s="107" t="str">
        <f>VLOOKUP($K959,LUTs!$E$2:$H$14,2,)</f>
        <v>South Puget Sound</v>
      </c>
      <c r="N959" s="107" t="str">
        <f>VLOOKUP($K959,LUTs!$E$2:$H$14,4,)</f>
        <v>02South Puget Sound</v>
      </c>
      <c r="O959" s="107">
        <v>1203.13413014608</v>
      </c>
      <c r="P959" s="107">
        <v>587.65561990062895</v>
      </c>
      <c r="Q959" s="107">
        <f t="shared" si="85"/>
        <v>1203.13413014608</v>
      </c>
      <c r="R959" s="107">
        <f t="shared" si="86"/>
        <v>587.65561990062895</v>
      </c>
      <c r="S959" s="140" t="str">
        <f t="shared" si="87"/>
        <v>N</v>
      </c>
      <c r="T959" s="154">
        <f t="shared" si="88"/>
        <v>0.48843732812174318</v>
      </c>
      <c r="U959" s="154">
        <f t="shared" si="89"/>
        <v>0.48843732812174318</v>
      </c>
    </row>
    <row r="960" spans="1:21" x14ac:dyDescent="0.35">
      <c r="A960" s="107">
        <v>1242</v>
      </c>
      <c r="B960" s="107">
        <v>2021</v>
      </c>
      <c r="C960" s="107" t="s">
        <v>9</v>
      </c>
      <c r="D960" s="107" t="s">
        <v>132</v>
      </c>
      <c r="E960" s="107" t="s">
        <v>10</v>
      </c>
      <c r="F960" s="115">
        <v>12</v>
      </c>
      <c r="G960" s="107" t="s">
        <v>36</v>
      </c>
      <c r="H960" s="107" t="str">
        <f t="shared" si="84"/>
        <v>Area 12: Hood Canal</v>
      </c>
      <c r="I960" s="107" t="str">
        <f>IFERROR(VLOOKUP(H960,LUTs!$A$1:$C$73,2,FALSE),"NA")</f>
        <v>NA</v>
      </c>
      <c r="J960" s="107" t="str">
        <f>IFERROR(VLOOKUP(H960,LUTs!$A$1:$C$73,3,FALSE),"NA")</f>
        <v>4 Hood Canal</v>
      </c>
      <c r="K960" s="107" t="s">
        <v>22</v>
      </c>
      <c r="L960" s="107" t="str">
        <f>VLOOKUP(K960,LUTs!E$2:G$14,3,)</f>
        <v>09Mason</v>
      </c>
      <c r="M960" s="107" t="str">
        <f>VLOOKUP($K960,LUTs!$E$2:$H$14,2,)</f>
        <v>South Puget Sound</v>
      </c>
      <c r="N960" s="107" t="str">
        <f>VLOOKUP($K960,LUTs!$E$2:$H$14,4,)</f>
        <v>02South Puget Sound</v>
      </c>
      <c r="O960" s="107">
        <v>1443.7609561753</v>
      </c>
      <c r="P960" s="107">
        <v>705.18674388075499</v>
      </c>
      <c r="Q960" s="107">
        <f t="shared" si="85"/>
        <v>1443.7609561753</v>
      </c>
      <c r="R960" s="107">
        <f t="shared" si="86"/>
        <v>705.18674388075499</v>
      </c>
      <c r="S960" s="140" t="str">
        <f t="shared" si="87"/>
        <v>N</v>
      </c>
      <c r="T960" s="154">
        <f t="shared" si="88"/>
        <v>0.48843732812174201</v>
      </c>
      <c r="U960" s="154">
        <f t="shared" si="89"/>
        <v>0.48843732812174201</v>
      </c>
    </row>
    <row r="961" spans="1:21" x14ac:dyDescent="0.35">
      <c r="A961" s="107">
        <v>1246</v>
      </c>
      <c r="B961" s="107">
        <v>2021</v>
      </c>
      <c r="C961" s="107" t="s">
        <v>9</v>
      </c>
      <c r="D961" s="107" t="s">
        <v>132</v>
      </c>
      <c r="E961" s="107" t="s">
        <v>10</v>
      </c>
      <c r="F961" s="115">
        <v>12</v>
      </c>
      <c r="G961" s="107" t="s">
        <v>36</v>
      </c>
      <c r="H961" s="107" t="str">
        <f t="shared" si="84"/>
        <v>Area 12: Hood Canal</v>
      </c>
      <c r="I961" s="107" t="str">
        <f>IFERROR(VLOOKUP(H961,LUTs!$A$1:$C$73,2,FALSE),"NA")</f>
        <v>NA</v>
      </c>
      <c r="J961" s="107" t="str">
        <f>IFERROR(VLOOKUP(H961,LUTs!$A$1:$C$73,3,FALSE),"NA")</f>
        <v>4 Hood Canal</v>
      </c>
      <c r="K961" s="107" t="s">
        <v>26</v>
      </c>
      <c r="L961" s="107" t="str">
        <f>VLOOKUP(K961,LUTs!E$2:G$14,3,)</f>
        <v>20Other</v>
      </c>
      <c r="M961" s="107" t="str">
        <f>VLOOKUP($K961,LUTs!$E$2:$H$14,2,)</f>
        <v>Non Puget Sound</v>
      </c>
      <c r="N961" s="107" t="str">
        <f>VLOOKUP($K961,LUTs!$E$2:$H$14,4,)</f>
        <v>07Non Puget Sound</v>
      </c>
      <c r="O961" s="107">
        <v>623.44223107569701</v>
      </c>
      <c r="P961" s="107">
        <v>304.51245758487102</v>
      </c>
      <c r="Q961" s="107">
        <f t="shared" si="85"/>
        <v>623.44223107569701</v>
      </c>
      <c r="R961" s="107">
        <f t="shared" si="86"/>
        <v>304.51245758487102</v>
      </c>
      <c r="S961" s="140" t="str">
        <f t="shared" si="87"/>
        <v>N</v>
      </c>
      <c r="T961" s="154">
        <f t="shared" si="88"/>
        <v>0.48843732812174184</v>
      </c>
      <c r="U961" s="154">
        <f t="shared" si="89"/>
        <v>0.48843732812174184</v>
      </c>
    </row>
    <row r="962" spans="1:21" x14ac:dyDescent="0.35">
      <c r="A962" s="107">
        <v>1240</v>
      </c>
      <c r="B962" s="107">
        <v>2021</v>
      </c>
      <c r="C962" s="107" t="s">
        <v>9</v>
      </c>
      <c r="D962" s="107" t="s">
        <v>132</v>
      </c>
      <c r="E962" s="107" t="s">
        <v>10</v>
      </c>
      <c r="F962" s="115">
        <v>12</v>
      </c>
      <c r="G962" s="107" t="s">
        <v>36</v>
      </c>
      <c r="H962" s="107" t="str">
        <f t="shared" ref="H962:H1025" si="90">G962</f>
        <v>Area 12: Hood Canal</v>
      </c>
      <c r="I962" s="107" t="str">
        <f>IFERROR(VLOOKUP(H962,LUTs!$A$1:$C$73,2,FALSE),"NA")</f>
        <v>NA</v>
      </c>
      <c r="J962" s="107" t="str">
        <f>IFERROR(VLOOKUP(H962,LUTs!$A$1:$C$73,3,FALSE),"NA")</f>
        <v>4 Hood Canal</v>
      </c>
      <c r="K962" s="107" t="s">
        <v>20</v>
      </c>
      <c r="L962" s="107" t="str">
        <f>VLOOKUP(K962,LUTs!E$2:G$14,3,)</f>
        <v>07Pierce</v>
      </c>
      <c r="M962" s="107" t="str">
        <f>VLOOKUP($K962,LUTs!$E$2:$H$14,2,)</f>
        <v>South Puget Sound</v>
      </c>
      <c r="N962" s="107" t="str">
        <f>VLOOKUP($K962,LUTs!$E$2:$H$14,4,)</f>
        <v>02South Puget Sound</v>
      </c>
      <c r="O962" s="107">
        <v>907.81938911022598</v>
      </c>
      <c r="P962" s="107">
        <v>443.41287683411099</v>
      </c>
      <c r="Q962" s="107">
        <f t="shared" ref="Q962:Q1025" si="91">O962</f>
        <v>907.81938911022598</v>
      </c>
      <c r="R962" s="107">
        <f t="shared" ref="R962:R1025" si="92">P962</f>
        <v>443.41287683411099</v>
      </c>
      <c r="S962" s="140" t="str">
        <f t="shared" si="87"/>
        <v>N</v>
      </c>
      <c r="T962" s="154">
        <f t="shared" si="88"/>
        <v>0.48843732812174218</v>
      </c>
      <c r="U962" s="154">
        <f t="shared" si="89"/>
        <v>0.48843732812174218</v>
      </c>
    </row>
    <row r="963" spans="1:21" x14ac:dyDescent="0.35">
      <c r="A963" s="107">
        <v>1141</v>
      </c>
      <c r="B963" s="107">
        <v>2021</v>
      </c>
      <c r="C963" s="107" t="s">
        <v>9</v>
      </c>
      <c r="D963" s="107" t="s">
        <v>132</v>
      </c>
      <c r="E963" s="107" t="s">
        <v>10</v>
      </c>
      <c r="F963" s="115">
        <v>12</v>
      </c>
      <c r="G963" s="107" t="s">
        <v>36</v>
      </c>
      <c r="H963" s="107" t="str">
        <f t="shared" si="90"/>
        <v>Area 12: Hood Canal</v>
      </c>
      <c r="I963" s="107" t="str">
        <f>IFERROR(VLOOKUP(H963,LUTs!$A$1:$C$73,2,FALSE),"NA")</f>
        <v>NA</v>
      </c>
      <c r="J963" s="107" t="str">
        <f>IFERROR(VLOOKUP(H963,LUTs!$A$1:$C$73,3,FALSE),"NA")</f>
        <v>4 Hood Canal</v>
      </c>
      <c r="K963" s="107" t="s">
        <v>16</v>
      </c>
      <c r="L963" s="107" t="str">
        <f>VLOOKUP(K963,LUTs!E$2:G$14,3,)</f>
        <v>03Snohomish</v>
      </c>
      <c r="M963" s="107" t="str">
        <f>VLOOKUP($K963,LUTs!$E$2:$H$14,2,)</f>
        <v>North Puget Sound</v>
      </c>
      <c r="N963" s="107" t="str">
        <f>VLOOKUP($K963,LUTs!$E$2:$H$14,4,)</f>
        <v>01North Puget Sound</v>
      </c>
      <c r="O963" s="107">
        <v>514.06640106241696</v>
      </c>
      <c r="P963" s="107">
        <v>251.089219412087</v>
      </c>
      <c r="Q963" s="107">
        <f t="shared" si="91"/>
        <v>514.06640106241696</v>
      </c>
      <c r="R963" s="107">
        <f t="shared" si="92"/>
        <v>251.089219412087</v>
      </c>
      <c r="S963" s="140" t="str">
        <f t="shared" ref="S963:S1026" si="93">IF(B963&lt;=2019,"Y","N")</f>
        <v>N</v>
      </c>
      <c r="T963" s="154">
        <f t="shared" ref="T963:T1026" si="94">IFERROR(P963/O963,"NA")</f>
        <v>0.48843732812174245</v>
      </c>
      <c r="U963" s="154">
        <f t="shared" ref="U963:U1026" si="95">IFERROR(R963/Q963,"NA")</f>
        <v>0.48843732812174245</v>
      </c>
    </row>
    <row r="964" spans="1:21" x14ac:dyDescent="0.35">
      <c r="A964" s="107">
        <v>1241</v>
      </c>
      <c r="B964" s="107">
        <v>2021</v>
      </c>
      <c r="C964" s="107" t="s">
        <v>9</v>
      </c>
      <c r="D964" s="107" t="s">
        <v>132</v>
      </c>
      <c r="E964" s="107" t="s">
        <v>10</v>
      </c>
      <c r="F964" s="115">
        <v>12</v>
      </c>
      <c r="G964" s="107" t="s">
        <v>36</v>
      </c>
      <c r="H964" s="107" t="str">
        <f t="shared" si="90"/>
        <v>Area 12: Hood Canal</v>
      </c>
      <c r="I964" s="107" t="str">
        <f>IFERROR(VLOOKUP(H964,LUTs!$A$1:$C$73,2,FALSE),"NA")</f>
        <v>NA</v>
      </c>
      <c r="J964" s="107" t="str">
        <f>IFERROR(VLOOKUP(H964,LUTs!$A$1:$C$73,3,FALSE),"NA")</f>
        <v>4 Hood Canal</v>
      </c>
      <c r="K964" s="107" t="s">
        <v>21</v>
      </c>
      <c r="L964" s="107" t="str">
        <f>VLOOKUP(K964,LUTs!E$2:G$14,3,)</f>
        <v>08Thurston</v>
      </c>
      <c r="M964" s="107" t="str">
        <f>VLOOKUP($K964,LUTs!$E$2:$H$14,2,)</f>
        <v>South Puget Sound</v>
      </c>
      <c r="N964" s="107" t="str">
        <f>VLOOKUP($K964,LUTs!$E$2:$H$14,4,)</f>
        <v>02South Puget Sound</v>
      </c>
      <c r="O964" s="107">
        <v>678.13014608233698</v>
      </c>
      <c r="P964" s="107">
        <v>331.22407667126402</v>
      </c>
      <c r="Q964" s="107">
        <f t="shared" si="91"/>
        <v>678.13014608233698</v>
      </c>
      <c r="R964" s="107">
        <f t="shared" si="92"/>
        <v>331.22407667126402</v>
      </c>
      <c r="S964" s="140" t="str">
        <f t="shared" si="93"/>
        <v>N</v>
      </c>
      <c r="T964" s="154">
        <f t="shared" si="94"/>
        <v>0.48843732812174312</v>
      </c>
      <c r="U964" s="154">
        <f t="shared" si="95"/>
        <v>0.48843732812174312</v>
      </c>
    </row>
    <row r="965" spans="1:21" x14ac:dyDescent="0.35">
      <c r="A965" s="107">
        <v>1140</v>
      </c>
      <c r="B965" s="107">
        <v>2021</v>
      </c>
      <c r="C965" s="107" t="s">
        <v>9</v>
      </c>
      <c r="D965" s="107" t="s">
        <v>132</v>
      </c>
      <c r="E965" s="107" t="s">
        <v>10</v>
      </c>
      <c r="F965" s="115">
        <v>12</v>
      </c>
      <c r="G965" s="107" t="s">
        <v>36</v>
      </c>
      <c r="H965" s="107" t="str">
        <f t="shared" si="90"/>
        <v>Area 12: Hood Canal</v>
      </c>
      <c r="I965" s="107" t="str">
        <f>IFERROR(VLOOKUP(H965,LUTs!$A$1:$C$73,2,FALSE),"NA")</f>
        <v>NA</v>
      </c>
      <c r="J965" s="107" t="str">
        <f>IFERROR(VLOOKUP(H965,LUTs!$A$1:$C$73,3,FALSE),"NA")</f>
        <v>4 Hood Canal</v>
      </c>
      <c r="K965" s="107" t="s">
        <v>13</v>
      </c>
      <c r="L965" s="107" t="str">
        <f>VLOOKUP(K965,LUTs!E$2:G$14,3,)</f>
        <v>01Whatcom</v>
      </c>
      <c r="M965" s="107" t="str">
        <f>VLOOKUP($K965,LUTs!$E$2:$H$14,2,)</f>
        <v>North Puget Sound</v>
      </c>
      <c r="N965" s="107" t="str">
        <f>VLOOKUP($K965,LUTs!$E$2:$H$14,4,)</f>
        <v>01North Puget Sound</v>
      </c>
      <c r="O965" s="107">
        <v>10.937583001328001</v>
      </c>
      <c r="P965" s="107">
        <v>5.34232381727844</v>
      </c>
      <c r="Q965" s="107">
        <f t="shared" si="91"/>
        <v>10.937583001328001</v>
      </c>
      <c r="R965" s="107">
        <f t="shared" si="92"/>
        <v>5.34232381727844</v>
      </c>
      <c r="S965" s="140" t="str">
        <f t="shared" si="93"/>
        <v>N</v>
      </c>
      <c r="T965" s="154">
        <f t="shared" si="94"/>
        <v>0.48843732812174268</v>
      </c>
      <c r="U965" s="154">
        <f t="shared" si="95"/>
        <v>0.48843732812174268</v>
      </c>
    </row>
    <row r="966" spans="1:21" x14ac:dyDescent="0.35">
      <c r="A966" s="107">
        <v>888</v>
      </c>
      <c r="B966" s="107">
        <v>2010</v>
      </c>
      <c r="C966" s="107" t="s">
        <v>9</v>
      </c>
      <c r="D966" s="107" t="s">
        <v>132</v>
      </c>
      <c r="E966" s="107" t="s">
        <v>10</v>
      </c>
      <c r="F966" s="115">
        <v>13</v>
      </c>
      <c r="G966" s="107" t="s">
        <v>37</v>
      </c>
      <c r="H966" s="107" t="str">
        <f t="shared" si="90"/>
        <v>Area 13: S Puget Sound</v>
      </c>
      <c r="I966" s="107" t="str">
        <f>IFERROR(VLOOKUP(H966,LUTs!$A$1:$C$73,2,FALSE),"NA")</f>
        <v>NA</v>
      </c>
      <c r="J966" s="107" t="str">
        <f>IFERROR(VLOOKUP(H966,LUTs!$A$1:$C$73,3,FALSE),"NA")</f>
        <v>3South Puget Sound</v>
      </c>
      <c r="K966" s="107" t="s">
        <v>24</v>
      </c>
      <c r="L966" s="107" t="str">
        <f>VLOOKUP(K966,LUTs!E$2:G$14,3,)</f>
        <v>11Clallam</v>
      </c>
      <c r="M966" s="107" t="str">
        <f>VLOOKUP($K966,LUTs!$E$2:$H$14,2,)</f>
        <v>Strait of Juan de Fuca</v>
      </c>
      <c r="N966" s="107" t="str">
        <f>VLOOKUP($K966,LUTs!$E$2:$H$14,4,)</f>
        <v>03Strait of Juan de Fuca</v>
      </c>
      <c r="O966" s="107">
        <v>9.91020408163266</v>
      </c>
      <c r="P966" s="107">
        <v>233.38979591836701</v>
      </c>
      <c r="Q966" s="107">
        <f t="shared" si="91"/>
        <v>9.91020408163266</v>
      </c>
      <c r="R966" s="107">
        <f t="shared" si="92"/>
        <v>233.38979591836701</v>
      </c>
      <c r="S966" s="140" t="str">
        <f t="shared" si="93"/>
        <v>Y</v>
      </c>
      <c r="T966" s="154">
        <f t="shared" si="94"/>
        <v>23.550453047775896</v>
      </c>
      <c r="U966" s="154">
        <f t="shared" si="95"/>
        <v>23.550453047775896</v>
      </c>
    </row>
    <row r="967" spans="1:21" x14ac:dyDescent="0.35">
      <c r="A967" s="107">
        <v>806</v>
      </c>
      <c r="B967" s="107">
        <v>2010</v>
      </c>
      <c r="C967" s="107" t="s">
        <v>9</v>
      </c>
      <c r="D967" s="107" t="s">
        <v>132</v>
      </c>
      <c r="E967" s="107" t="s">
        <v>10</v>
      </c>
      <c r="F967" s="115">
        <v>13</v>
      </c>
      <c r="G967" s="107" t="s">
        <v>37</v>
      </c>
      <c r="H967" s="107" t="str">
        <f t="shared" si="90"/>
        <v>Area 13: S Puget Sound</v>
      </c>
      <c r="I967" s="107" t="str">
        <f>IFERROR(VLOOKUP(H967,LUTs!$A$1:$C$73,2,FALSE),"NA")</f>
        <v>NA</v>
      </c>
      <c r="J967" s="107" t="str">
        <f>IFERROR(VLOOKUP(H967,LUTs!$A$1:$C$73,3,FALSE),"NA")</f>
        <v>3South Puget Sound</v>
      </c>
      <c r="K967" s="107" t="s">
        <v>18</v>
      </c>
      <c r="L967" s="107" t="str">
        <f>VLOOKUP(K967,LUTs!E$2:G$14,3,)</f>
        <v>06King</v>
      </c>
      <c r="M967" s="107" t="str">
        <f>VLOOKUP($K967,LUTs!$E$2:$H$14,2,)</f>
        <v>South Puget Sound</v>
      </c>
      <c r="N967" s="107" t="str">
        <f>VLOOKUP($K967,LUTs!$E$2:$H$14,4,)</f>
        <v>02South Puget Sound</v>
      </c>
      <c r="O967" s="107">
        <v>74.326530612244895</v>
      </c>
      <c r="P967" s="107">
        <v>1750.42346938776</v>
      </c>
      <c r="Q967" s="107">
        <f t="shared" si="91"/>
        <v>74.326530612244895</v>
      </c>
      <c r="R967" s="107">
        <f t="shared" si="92"/>
        <v>1750.42346938776</v>
      </c>
      <c r="S967" s="140" t="str">
        <f t="shared" si="93"/>
        <v>Y</v>
      </c>
      <c r="T967" s="154">
        <f t="shared" si="94"/>
        <v>23.550453047776013</v>
      </c>
      <c r="U967" s="154">
        <f t="shared" si="95"/>
        <v>23.550453047776013</v>
      </c>
    </row>
    <row r="968" spans="1:21" x14ac:dyDescent="0.35">
      <c r="A968" s="107">
        <v>810</v>
      </c>
      <c r="B968" s="107">
        <v>2010</v>
      </c>
      <c r="C968" s="107" t="s">
        <v>9</v>
      </c>
      <c r="D968" s="107" t="s">
        <v>132</v>
      </c>
      <c r="E968" s="107" t="s">
        <v>10</v>
      </c>
      <c r="F968" s="115">
        <v>13</v>
      </c>
      <c r="G968" s="107" t="s">
        <v>37</v>
      </c>
      <c r="H968" s="107" t="str">
        <f t="shared" si="90"/>
        <v>Area 13: S Puget Sound</v>
      </c>
      <c r="I968" s="107" t="str">
        <f>IFERROR(VLOOKUP(H968,LUTs!$A$1:$C$73,2,FALSE),"NA")</f>
        <v>NA</v>
      </c>
      <c r="J968" s="107" t="str">
        <f>IFERROR(VLOOKUP(H968,LUTs!$A$1:$C$73,3,FALSE),"NA")</f>
        <v>3South Puget Sound</v>
      </c>
      <c r="K968" s="107" t="s">
        <v>23</v>
      </c>
      <c r="L968" s="107" t="str">
        <f>VLOOKUP(K968,LUTs!E$2:G$14,3,)</f>
        <v>10Kitsap</v>
      </c>
      <c r="M968" s="107" t="str">
        <f>VLOOKUP($K968,LUTs!$E$2:$H$14,2,)</f>
        <v>South Puget Sound</v>
      </c>
      <c r="N968" s="107" t="str">
        <f>VLOOKUP($K968,LUTs!$E$2:$H$14,4,)</f>
        <v>02South Puget Sound</v>
      </c>
      <c r="O968" s="107">
        <v>49.551020408163303</v>
      </c>
      <c r="P968" s="107">
        <v>1166.94897959184</v>
      </c>
      <c r="Q968" s="107">
        <f t="shared" si="91"/>
        <v>49.551020408163303</v>
      </c>
      <c r="R968" s="107">
        <f t="shared" si="92"/>
        <v>1166.94897959184</v>
      </c>
      <c r="S968" s="140" t="str">
        <f t="shared" si="93"/>
        <v>Y</v>
      </c>
      <c r="T968" s="154">
        <f t="shared" si="94"/>
        <v>23.550453047775996</v>
      </c>
      <c r="U968" s="154">
        <f t="shared" si="95"/>
        <v>23.550453047775996</v>
      </c>
    </row>
    <row r="969" spans="1:21" x14ac:dyDescent="0.35">
      <c r="A969" s="107">
        <v>809</v>
      </c>
      <c r="B969" s="107">
        <v>2010</v>
      </c>
      <c r="C969" s="107" t="s">
        <v>9</v>
      </c>
      <c r="D969" s="107" t="s">
        <v>132</v>
      </c>
      <c r="E969" s="107" t="s">
        <v>10</v>
      </c>
      <c r="F969" s="115">
        <v>13</v>
      </c>
      <c r="G969" s="107" t="s">
        <v>37</v>
      </c>
      <c r="H969" s="107" t="str">
        <f t="shared" si="90"/>
        <v>Area 13: S Puget Sound</v>
      </c>
      <c r="I969" s="107" t="str">
        <f>IFERROR(VLOOKUP(H969,LUTs!$A$1:$C$73,2,FALSE),"NA")</f>
        <v>NA</v>
      </c>
      <c r="J969" s="107" t="str">
        <f>IFERROR(VLOOKUP(H969,LUTs!$A$1:$C$73,3,FALSE),"NA")</f>
        <v>3South Puget Sound</v>
      </c>
      <c r="K969" s="107" t="s">
        <v>22</v>
      </c>
      <c r="L969" s="107" t="str">
        <f>VLOOKUP(K969,LUTs!E$2:G$14,3,)</f>
        <v>09Mason</v>
      </c>
      <c r="M969" s="107" t="str">
        <f>VLOOKUP($K969,LUTs!$E$2:$H$14,2,)</f>
        <v>South Puget Sound</v>
      </c>
      <c r="N969" s="107" t="str">
        <f>VLOOKUP($K969,LUTs!$E$2:$H$14,4,)</f>
        <v>02South Puget Sound</v>
      </c>
      <c r="O969" s="107">
        <v>158.56326530612299</v>
      </c>
      <c r="P969" s="107">
        <v>3734.23673469388</v>
      </c>
      <c r="Q969" s="107">
        <f t="shared" si="91"/>
        <v>158.56326530612299</v>
      </c>
      <c r="R969" s="107">
        <f t="shared" si="92"/>
        <v>3734.23673469388</v>
      </c>
      <c r="S969" s="140" t="str">
        <f t="shared" si="93"/>
        <v>Y</v>
      </c>
      <c r="T969" s="154">
        <f t="shared" si="94"/>
        <v>23.550453047775882</v>
      </c>
      <c r="U969" s="154">
        <f t="shared" si="95"/>
        <v>23.550453047775882</v>
      </c>
    </row>
    <row r="970" spans="1:21" x14ac:dyDescent="0.35">
      <c r="A970" s="107">
        <v>889</v>
      </c>
      <c r="B970" s="107">
        <v>2010</v>
      </c>
      <c r="C970" s="107" t="s">
        <v>9</v>
      </c>
      <c r="D970" s="107" t="s">
        <v>132</v>
      </c>
      <c r="E970" s="107" t="s">
        <v>10</v>
      </c>
      <c r="F970" s="115">
        <v>13</v>
      </c>
      <c r="G970" s="107" t="s">
        <v>37</v>
      </c>
      <c r="H970" s="107" t="str">
        <f t="shared" si="90"/>
        <v>Area 13: S Puget Sound</v>
      </c>
      <c r="I970" s="107" t="str">
        <f>IFERROR(VLOOKUP(H970,LUTs!$A$1:$C$73,2,FALSE),"NA")</f>
        <v>NA</v>
      </c>
      <c r="J970" s="107" t="str">
        <f>IFERROR(VLOOKUP(H970,LUTs!$A$1:$C$73,3,FALSE),"NA")</f>
        <v>3South Puget Sound</v>
      </c>
      <c r="K970" s="107" t="s">
        <v>26</v>
      </c>
      <c r="L970" s="107" t="str">
        <f>VLOOKUP(K970,LUTs!E$2:G$14,3,)</f>
        <v>20Other</v>
      </c>
      <c r="M970" s="107" t="str">
        <f>VLOOKUP($K970,LUTs!$E$2:$H$14,2,)</f>
        <v>Non Puget Sound</v>
      </c>
      <c r="N970" s="107" t="str">
        <f>VLOOKUP($K970,LUTs!$E$2:$H$14,4,)</f>
        <v>07Non Puget Sound</v>
      </c>
      <c r="O970" s="107">
        <v>158.56326530612299</v>
      </c>
      <c r="P970" s="107">
        <v>3734.23673469388</v>
      </c>
      <c r="Q970" s="107">
        <f t="shared" si="91"/>
        <v>158.56326530612299</v>
      </c>
      <c r="R970" s="107">
        <f t="shared" si="92"/>
        <v>3734.23673469388</v>
      </c>
      <c r="S970" s="140" t="str">
        <f t="shared" si="93"/>
        <v>Y</v>
      </c>
      <c r="T970" s="154">
        <f t="shared" si="94"/>
        <v>23.550453047775882</v>
      </c>
      <c r="U970" s="154">
        <f t="shared" si="95"/>
        <v>23.550453047775882</v>
      </c>
    </row>
    <row r="971" spans="1:21" x14ac:dyDescent="0.35">
      <c r="A971" s="107">
        <v>807</v>
      </c>
      <c r="B971" s="107">
        <v>2010</v>
      </c>
      <c r="C971" s="107" t="s">
        <v>9</v>
      </c>
      <c r="D971" s="107" t="s">
        <v>132</v>
      </c>
      <c r="E971" s="107" t="s">
        <v>10</v>
      </c>
      <c r="F971" s="115">
        <v>13</v>
      </c>
      <c r="G971" s="107" t="s">
        <v>37</v>
      </c>
      <c r="H971" s="107" t="str">
        <f t="shared" si="90"/>
        <v>Area 13: S Puget Sound</v>
      </c>
      <c r="I971" s="107" t="str">
        <f>IFERROR(VLOOKUP(H971,LUTs!$A$1:$C$73,2,FALSE),"NA")</f>
        <v>NA</v>
      </c>
      <c r="J971" s="107" t="str">
        <f>IFERROR(VLOOKUP(H971,LUTs!$A$1:$C$73,3,FALSE),"NA")</f>
        <v>3South Puget Sound</v>
      </c>
      <c r="K971" s="107" t="s">
        <v>20</v>
      </c>
      <c r="L971" s="107" t="str">
        <f>VLOOKUP(K971,LUTs!E$2:G$14,3,)</f>
        <v>07Pierce</v>
      </c>
      <c r="M971" s="107" t="str">
        <f>VLOOKUP($K971,LUTs!$E$2:$H$14,2,)</f>
        <v>South Puget Sound</v>
      </c>
      <c r="N971" s="107" t="str">
        <f>VLOOKUP($K971,LUTs!$E$2:$H$14,4,)</f>
        <v>02South Puget Sound</v>
      </c>
      <c r="O971" s="107">
        <v>401.36326530612303</v>
      </c>
      <c r="P971" s="107">
        <v>9452.2867346938801</v>
      </c>
      <c r="Q971" s="107">
        <f t="shared" si="91"/>
        <v>401.36326530612303</v>
      </c>
      <c r="R971" s="107">
        <f t="shared" si="92"/>
        <v>9452.2867346938801</v>
      </c>
      <c r="S971" s="140" t="str">
        <f t="shared" si="93"/>
        <v>Y</v>
      </c>
      <c r="T971" s="154">
        <f t="shared" si="94"/>
        <v>23.550453047775921</v>
      </c>
      <c r="U971" s="154">
        <f t="shared" si="95"/>
        <v>23.550453047775921</v>
      </c>
    </row>
    <row r="972" spans="1:21" x14ac:dyDescent="0.35">
      <c r="A972" s="107">
        <v>805</v>
      </c>
      <c r="B972" s="107">
        <v>2010</v>
      </c>
      <c r="C972" s="107" t="s">
        <v>9</v>
      </c>
      <c r="D972" s="107" t="s">
        <v>132</v>
      </c>
      <c r="E972" s="107" t="s">
        <v>10</v>
      </c>
      <c r="F972" s="115">
        <v>13</v>
      </c>
      <c r="G972" s="107" t="s">
        <v>37</v>
      </c>
      <c r="H972" s="107" t="str">
        <f t="shared" si="90"/>
        <v>Area 13: S Puget Sound</v>
      </c>
      <c r="I972" s="107" t="str">
        <f>IFERROR(VLOOKUP(H972,LUTs!$A$1:$C$73,2,FALSE),"NA")</f>
        <v>NA</v>
      </c>
      <c r="J972" s="107" t="str">
        <f>IFERROR(VLOOKUP(H972,LUTs!$A$1:$C$73,3,FALSE),"NA")</f>
        <v>3South Puget Sound</v>
      </c>
      <c r="K972" s="107" t="s">
        <v>16</v>
      </c>
      <c r="L972" s="107" t="str">
        <f>VLOOKUP(K972,LUTs!E$2:G$14,3,)</f>
        <v>03Snohomish</v>
      </c>
      <c r="M972" s="107" t="str">
        <f>VLOOKUP($K972,LUTs!$E$2:$H$14,2,)</f>
        <v>North Puget Sound</v>
      </c>
      <c r="N972" s="107" t="str">
        <f>VLOOKUP($K972,LUTs!$E$2:$H$14,4,)</f>
        <v>01North Puget Sound</v>
      </c>
      <c r="O972" s="107">
        <v>14.865306122449001</v>
      </c>
      <c r="P972" s="107">
        <v>350.08469387755099</v>
      </c>
      <c r="Q972" s="107">
        <f t="shared" si="91"/>
        <v>14.865306122449001</v>
      </c>
      <c r="R972" s="107">
        <f t="shared" si="92"/>
        <v>350.08469387755099</v>
      </c>
      <c r="S972" s="140" t="str">
        <f t="shared" si="93"/>
        <v>Y</v>
      </c>
      <c r="T972" s="154">
        <f t="shared" si="94"/>
        <v>23.55045304777591</v>
      </c>
      <c r="U972" s="154">
        <f t="shared" si="95"/>
        <v>23.55045304777591</v>
      </c>
    </row>
    <row r="973" spans="1:21" x14ac:dyDescent="0.35">
      <c r="A973" s="107">
        <v>808</v>
      </c>
      <c r="B973" s="107">
        <v>2010</v>
      </c>
      <c r="C973" s="107" t="s">
        <v>9</v>
      </c>
      <c r="D973" s="107" t="s">
        <v>132</v>
      </c>
      <c r="E973" s="107" t="s">
        <v>10</v>
      </c>
      <c r="F973" s="115">
        <v>13</v>
      </c>
      <c r="G973" s="107" t="s">
        <v>37</v>
      </c>
      <c r="H973" s="107" t="str">
        <f t="shared" si="90"/>
        <v>Area 13: S Puget Sound</v>
      </c>
      <c r="I973" s="107" t="str">
        <f>IFERROR(VLOOKUP(H973,LUTs!$A$1:$C$73,2,FALSE),"NA")</f>
        <v>NA</v>
      </c>
      <c r="J973" s="107" t="str">
        <f>IFERROR(VLOOKUP(H973,LUTs!$A$1:$C$73,3,FALSE),"NA")</f>
        <v>3South Puget Sound</v>
      </c>
      <c r="K973" s="107" t="s">
        <v>21</v>
      </c>
      <c r="L973" s="107" t="str">
        <f>VLOOKUP(K973,LUTs!E$2:G$14,3,)</f>
        <v>08Thurston</v>
      </c>
      <c r="M973" s="107" t="str">
        <f>VLOOKUP($K973,LUTs!$E$2:$H$14,2,)</f>
        <v>South Puget Sound</v>
      </c>
      <c r="N973" s="107" t="str">
        <f>VLOOKUP($K973,LUTs!$E$2:$H$14,4,)</f>
        <v>02South Puget Sound</v>
      </c>
      <c r="O973" s="107">
        <v>346.857142857143</v>
      </c>
      <c r="P973" s="107">
        <v>8168.6428571428596</v>
      </c>
      <c r="Q973" s="107">
        <f t="shared" si="91"/>
        <v>346.857142857143</v>
      </c>
      <c r="R973" s="107">
        <f t="shared" si="92"/>
        <v>8168.6428571428596</v>
      </c>
      <c r="S973" s="140" t="str">
        <f t="shared" si="93"/>
        <v>Y</v>
      </c>
      <c r="T973" s="154">
        <f t="shared" si="94"/>
        <v>23.550453047775946</v>
      </c>
      <c r="U973" s="154">
        <f t="shared" si="95"/>
        <v>23.550453047775946</v>
      </c>
    </row>
    <row r="974" spans="1:21" x14ac:dyDescent="0.35">
      <c r="A974" s="107">
        <v>914</v>
      </c>
      <c r="B974" s="107">
        <v>2011</v>
      </c>
      <c r="C974" s="107" t="s">
        <v>9</v>
      </c>
      <c r="D974" s="107" t="s">
        <v>132</v>
      </c>
      <c r="E974" s="107" t="s">
        <v>10</v>
      </c>
      <c r="F974" s="115">
        <v>13</v>
      </c>
      <c r="G974" s="107" t="s">
        <v>37</v>
      </c>
      <c r="H974" s="107" t="str">
        <f t="shared" si="90"/>
        <v>Area 13: S Puget Sound</v>
      </c>
      <c r="I974" s="107" t="str">
        <f>IFERROR(VLOOKUP(H974,LUTs!$A$1:$C$73,2,FALSE),"NA")</f>
        <v>NA</v>
      </c>
      <c r="J974" s="107" t="str">
        <f>IFERROR(VLOOKUP(H974,LUTs!$A$1:$C$73,3,FALSE),"NA")</f>
        <v>3South Puget Sound</v>
      </c>
      <c r="K974" s="107" t="s">
        <v>18</v>
      </c>
      <c r="L974" s="107" t="str">
        <f>VLOOKUP(K974,LUTs!E$2:G$14,3,)</f>
        <v>06King</v>
      </c>
      <c r="M974" s="107" t="str">
        <f>VLOOKUP($K974,LUTs!$E$2:$H$14,2,)</f>
        <v>South Puget Sound</v>
      </c>
      <c r="N974" s="107" t="str">
        <f>VLOOKUP($K974,LUTs!$E$2:$H$14,4,)</f>
        <v>02South Puget Sound</v>
      </c>
      <c r="O974" s="107">
        <v>358.53061224489801</v>
      </c>
      <c r="P974" s="107">
        <v>1703.9717176870799</v>
      </c>
      <c r="Q974" s="107">
        <f t="shared" si="91"/>
        <v>358.53061224489801</v>
      </c>
      <c r="R974" s="107">
        <f t="shared" si="92"/>
        <v>1703.9717176870799</v>
      </c>
      <c r="S974" s="140" t="str">
        <f t="shared" si="93"/>
        <v>Y</v>
      </c>
      <c r="T974" s="154">
        <f t="shared" si="94"/>
        <v>4.7526533564814955</v>
      </c>
      <c r="U974" s="154">
        <f t="shared" si="95"/>
        <v>4.7526533564814955</v>
      </c>
    </row>
    <row r="975" spans="1:21" x14ac:dyDescent="0.35">
      <c r="A975" s="107">
        <v>917</v>
      </c>
      <c r="B975" s="107">
        <v>2011</v>
      </c>
      <c r="C975" s="107" t="s">
        <v>9</v>
      </c>
      <c r="D975" s="107" t="s">
        <v>132</v>
      </c>
      <c r="E975" s="107" t="s">
        <v>10</v>
      </c>
      <c r="F975" s="115">
        <v>13</v>
      </c>
      <c r="G975" s="107" t="s">
        <v>37</v>
      </c>
      <c r="H975" s="107" t="str">
        <f t="shared" si="90"/>
        <v>Area 13: S Puget Sound</v>
      </c>
      <c r="I975" s="107" t="str">
        <f>IFERROR(VLOOKUP(H975,LUTs!$A$1:$C$73,2,FALSE),"NA")</f>
        <v>NA</v>
      </c>
      <c r="J975" s="107" t="str">
        <f>IFERROR(VLOOKUP(H975,LUTs!$A$1:$C$73,3,FALSE),"NA")</f>
        <v>3South Puget Sound</v>
      </c>
      <c r="K975" s="107" t="s">
        <v>22</v>
      </c>
      <c r="L975" s="107" t="str">
        <f>VLOOKUP(K975,LUTs!E$2:G$14,3,)</f>
        <v>09Mason</v>
      </c>
      <c r="M975" s="107" t="str">
        <f>VLOOKUP($K975,LUTs!$E$2:$H$14,2,)</f>
        <v>South Puget Sound</v>
      </c>
      <c r="N975" s="107" t="str">
        <f>VLOOKUP($K975,LUTs!$E$2:$H$14,4,)</f>
        <v>02South Puget Sound</v>
      </c>
      <c r="O975" s="107">
        <v>335.02040816326502</v>
      </c>
      <c r="P975" s="107">
        <v>1592.23586734694</v>
      </c>
      <c r="Q975" s="107">
        <f t="shared" si="91"/>
        <v>335.02040816326502</v>
      </c>
      <c r="R975" s="107">
        <f t="shared" si="92"/>
        <v>1592.23586734694</v>
      </c>
      <c r="S975" s="140" t="str">
        <f t="shared" si="93"/>
        <v>Y</v>
      </c>
      <c r="T975" s="154">
        <f t="shared" si="94"/>
        <v>4.7526533564814892</v>
      </c>
      <c r="U975" s="154">
        <f t="shared" si="95"/>
        <v>4.7526533564814892</v>
      </c>
    </row>
    <row r="976" spans="1:21" x14ac:dyDescent="0.35">
      <c r="A976" s="107">
        <v>918</v>
      </c>
      <c r="B976" s="107">
        <v>2011</v>
      </c>
      <c r="C976" s="107" t="s">
        <v>9</v>
      </c>
      <c r="D976" s="107" t="s">
        <v>132</v>
      </c>
      <c r="E976" s="107" t="s">
        <v>10</v>
      </c>
      <c r="F976" s="115">
        <v>13</v>
      </c>
      <c r="G976" s="107" t="s">
        <v>37</v>
      </c>
      <c r="H976" s="107" t="str">
        <f t="shared" si="90"/>
        <v>Area 13: S Puget Sound</v>
      </c>
      <c r="I976" s="107" t="str">
        <f>IFERROR(VLOOKUP(H976,LUTs!$A$1:$C$73,2,FALSE),"NA")</f>
        <v>NA</v>
      </c>
      <c r="J976" s="107" t="str">
        <f>IFERROR(VLOOKUP(H976,LUTs!$A$1:$C$73,3,FALSE),"NA")</f>
        <v>3South Puget Sound</v>
      </c>
      <c r="K976" s="107" t="s">
        <v>26</v>
      </c>
      <c r="L976" s="107" t="str">
        <f>VLOOKUP(K976,LUTs!E$2:G$14,3,)</f>
        <v>20Other</v>
      </c>
      <c r="M976" s="107" t="str">
        <f>VLOOKUP($K976,LUTs!$E$2:$H$14,2,)</f>
        <v>Non Puget Sound</v>
      </c>
      <c r="N976" s="107" t="str">
        <f>VLOOKUP($K976,LUTs!$E$2:$H$14,4,)</f>
        <v>07Non Puget Sound</v>
      </c>
      <c r="O976" s="107">
        <v>352.65306122448999</v>
      </c>
      <c r="P976" s="107">
        <v>1676.0377551020399</v>
      </c>
      <c r="Q976" s="107">
        <f t="shared" si="91"/>
        <v>352.65306122448999</v>
      </c>
      <c r="R976" s="107">
        <f t="shared" si="92"/>
        <v>1676.0377551020399</v>
      </c>
      <c r="S976" s="140" t="str">
        <f t="shared" si="93"/>
        <v>Y</v>
      </c>
      <c r="T976" s="154">
        <f t="shared" si="94"/>
        <v>4.7526533564814759</v>
      </c>
      <c r="U976" s="154">
        <f t="shared" si="95"/>
        <v>4.7526533564814759</v>
      </c>
    </row>
    <row r="977" spans="1:21" x14ac:dyDescent="0.35">
      <c r="A977" s="107">
        <v>915</v>
      </c>
      <c r="B977" s="107">
        <v>2011</v>
      </c>
      <c r="C977" s="107" t="s">
        <v>9</v>
      </c>
      <c r="D977" s="107" t="s">
        <v>132</v>
      </c>
      <c r="E977" s="107" t="s">
        <v>10</v>
      </c>
      <c r="F977" s="115">
        <v>13</v>
      </c>
      <c r="G977" s="107" t="s">
        <v>37</v>
      </c>
      <c r="H977" s="107" t="str">
        <f t="shared" si="90"/>
        <v>Area 13: S Puget Sound</v>
      </c>
      <c r="I977" s="107" t="str">
        <f>IFERROR(VLOOKUP(H977,LUTs!$A$1:$C$73,2,FALSE),"NA")</f>
        <v>NA</v>
      </c>
      <c r="J977" s="107" t="str">
        <f>IFERROR(VLOOKUP(H977,LUTs!$A$1:$C$73,3,FALSE),"NA")</f>
        <v>3South Puget Sound</v>
      </c>
      <c r="K977" s="107" t="s">
        <v>20</v>
      </c>
      <c r="L977" s="107" t="str">
        <f>VLOOKUP(K977,LUTs!E$2:G$14,3,)</f>
        <v>07Pierce</v>
      </c>
      <c r="M977" s="107" t="str">
        <f>VLOOKUP($K977,LUTs!$E$2:$H$14,2,)</f>
        <v>South Puget Sound</v>
      </c>
      <c r="N977" s="107" t="str">
        <f>VLOOKUP($K977,LUTs!$E$2:$H$14,4,)</f>
        <v>02South Puget Sound</v>
      </c>
      <c r="O977" s="107">
        <v>1157.87755102041</v>
      </c>
      <c r="P977" s="107">
        <v>5502.9906292516998</v>
      </c>
      <c r="Q977" s="107">
        <f t="shared" si="91"/>
        <v>1157.87755102041</v>
      </c>
      <c r="R977" s="107">
        <f t="shared" si="92"/>
        <v>5502.9906292516998</v>
      </c>
      <c r="S977" s="140" t="str">
        <f t="shared" si="93"/>
        <v>Y</v>
      </c>
      <c r="T977" s="154">
        <f t="shared" si="94"/>
        <v>4.7526533564814732</v>
      </c>
      <c r="U977" s="154">
        <f t="shared" si="95"/>
        <v>4.7526533564814732</v>
      </c>
    </row>
    <row r="978" spans="1:21" x14ac:dyDescent="0.35">
      <c r="A978" s="107">
        <v>913</v>
      </c>
      <c r="B978" s="107">
        <v>2011</v>
      </c>
      <c r="C978" s="107" t="s">
        <v>9</v>
      </c>
      <c r="D978" s="107" t="s">
        <v>132</v>
      </c>
      <c r="E978" s="107" t="s">
        <v>10</v>
      </c>
      <c r="F978" s="115">
        <v>13</v>
      </c>
      <c r="G978" s="107" t="s">
        <v>37</v>
      </c>
      <c r="H978" s="107" t="str">
        <f t="shared" si="90"/>
        <v>Area 13: S Puget Sound</v>
      </c>
      <c r="I978" s="107" t="str">
        <f>IFERROR(VLOOKUP(H978,LUTs!$A$1:$C$73,2,FALSE),"NA")</f>
        <v>NA</v>
      </c>
      <c r="J978" s="107" t="str">
        <f>IFERROR(VLOOKUP(H978,LUTs!$A$1:$C$73,3,FALSE),"NA")</f>
        <v>3South Puget Sound</v>
      </c>
      <c r="K978" s="107" t="s">
        <v>16</v>
      </c>
      <c r="L978" s="107" t="str">
        <f>VLOOKUP(K978,LUTs!E$2:G$14,3,)</f>
        <v>03Snohomish</v>
      </c>
      <c r="M978" s="107" t="str">
        <f>VLOOKUP($K978,LUTs!$E$2:$H$14,2,)</f>
        <v>North Puget Sound</v>
      </c>
      <c r="N978" s="107" t="str">
        <f>VLOOKUP($K978,LUTs!$E$2:$H$14,4,)</f>
        <v>01North Puget Sound</v>
      </c>
      <c r="O978" s="107">
        <v>76.4081632653062</v>
      </c>
      <c r="P978" s="107">
        <v>363.14151360544201</v>
      </c>
      <c r="Q978" s="107">
        <f t="shared" si="91"/>
        <v>76.4081632653062</v>
      </c>
      <c r="R978" s="107">
        <f t="shared" si="92"/>
        <v>363.14151360544201</v>
      </c>
      <c r="S978" s="140" t="str">
        <f t="shared" si="93"/>
        <v>Y</v>
      </c>
      <c r="T978" s="154">
        <f t="shared" si="94"/>
        <v>4.7526533564814741</v>
      </c>
      <c r="U978" s="154">
        <f t="shared" si="95"/>
        <v>4.7526533564814741</v>
      </c>
    </row>
    <row r="979" spans="1:21" x14ac:dyDescent="0.35">
      <c r="A979" s="107">
        <v>916</v>
      </c>
      <c r="B979" s="107">
        <v>2011</v>
      </c>
      <c r="C979" s="107" t="s">
        <v>9</v>
      </c>
      <c r="D979" s="107" t="s">
        <v>132</v>
      </c>
      <c r="E979" s="107" t="s">
        <v>10</v>
      </c>
      <c r="F979" s="115">
        <v>13</v>
      </c>
      <c r="G979" s="107" t="s">
        <v>37</v>
      </c>
      <c r="H979" s="107" t="str">
        <f t="shared" si="90"/>
        <v>Area 13: S Puget Sound</v>
      </c>
      <c r="I979" s="107" t="str">
        <f>IFERROR(VLOOKUP(H979,LUTs!$A$1:$C$73,2,FALSE),"NA")</f>
        <v>NA</v>
      </c>
      <c r="J979" s="107" t="str">
        <f>IFERROR(VLOOKUP(H979,LUTs!$A$1:$C$73,3,FALSE),"NA")</f>
        <v>3South Puget Sound</v>
      </c>
      <c r="K979" s="107" t="s">
        <v>21</v>
      </c>
      <c r="L979" s="107" t="str">
        <f>VLOOKUP(K979,LUTs!E$2:G$14,3,)</f>
        <v>08Thurston</v>
      </c>
      <c r="M979" s="107" t="str">
        <f>VLOOKUP($K979,LUTs!$E$2:$H$14,2,)</f>
        <v>South Puget Sound</v>
      </c>
      <c r="N979" s="107" t="str">
        <f>VLOOKUP($K979,LUTs!$E$2:$H$14,4,)</f>
        <v>02South Puget Sound</v>
      </c>
      <c r="O979" s="107">
        <v>1175.51020408163</v>
      </c>
      <c r="P979" s="107">
        <v>5586.7925170068002</v>
      </c>
      <c r="Q979" s="107">
        <f t="shared" si="91"/>
        <v>1175.51020408163</v>
      </c>
      <c r="R979" s="107">
        <f t="shared" si="92"/>
        <v>5586.7925170068002</v>
      </c>
      <c r="S979" s="140" t="str">
        <f t="shared" si="93"/>
        <v>Y</v>
      </c>
      <c r="T979" s="154">
        <f t="shared" si="94"/>
        <v>4.7526533564814901</v>
      </c>
      <c r="U979" s="154">
        <f t="shared" si="95"/>
        <v>4.7526533564814901</v>
      </c>
    </row>
    <row r="980" spans="1:21" x14ac:dyDescent="0.35">
      <c r="A980" s="107">
        <v>1018</v>
      </c>
      <c r="B980" s="107">
        <v>2012</v>
      </c>
      <c r="C980" s="107" t="s">
        <v>9</v>
      </c>
      <c r="D980" s="107" t="s">
        <v>132</v>
      </c>
      <c r="E980" s="107" t="s">
        <v>10</v>
      </c>
      <c r="F980" s="115">
        <v>13</v>
      </c>
      <c r="G980" s="107" t="s">
        <v>37</v>
      </c>
      <c r="H980" s="107" t="str">
        <f t="shared" si="90"/>
        <v>Area 13: S Puget Sound</v>
      </c>
      <c r="I980" s="107" t="str">
        <f>IFERROR(VLOOKUP(H980,LUTs!$A$1:$C$73,2,FALSE),"NA")</f>
        <v>NA</v>
      </c>
      <c r="J980" s="107" t="str">
        <f>IFERROR(VLOOKUP(H980,LUTs!$A$1:$C$73,3,FALSE),"NA")</f>
        <v>3South Puget Sound</v>
      </c>
      <c r="K980" s="107" t="s">
        <v>18</v>
      </c>
      <c r="L980" s="107" t="str">
        <f>VLOOKUP(K980,LUTs!E$2:G$14,3,)</f>
        <v>06King</v>
      </c>
      <c r="M980" s="107" t="str">
        <f>VLOOKUP($K980,LUTs!$E$2:$H$14,2,)</f>
        <v>South Puget Sound</v>
      </c>
      <c r="N980" s="107" t="str">
        <f>VLOOKUP($K980,LUTs!$E$2:$H$14,4,)</f>
        <v>02South Puget Sound</v>
      </c>
      <c r="O980" s="107">
        <v>139.625</v>
      </c>
      <c r="P980" s="107">
        <v>1804.1556250000001</v>
      </c>
      <c r="Q980" s="107">
        <f t="shared" si="91"/>
        <v>139.625</v>
      </c>
      <c r="R980" s="107">
        <f t="shared" si="92"/>
        <v>1804.1556250000001</v>
      </c>
      <c r="S980" s="140" t="str">
        <f t="shared" si="93"/>
        <v>Y</v>
      </c>
      <c r="T980" s="154">
        <f t="shared" si="94"/>
        <v>12.921436884512087</v>
      </c>
      <c r="U980" s="154">
        <f t="shared" si="95"/>
        <v>12.921436884512087</v>
      </c>
    </row>
    <row r="981" spans="1:21" x14ac:dyDescent="0.35">
      <c r="A981" s="107">
        <v>1022</v>
      </c>
      <c r="B981" s="107">
        <v>2012</v>
      </c>
      <c r="C981" s="107" t="s">
        <v>9</v>
      </c>
      <c r="D981" s="107" t="s">
        <v>132</v>
      </c>
      <c r="E981" s="107" t="s">
        <v>10</v>
      </c>
      <c r="F981" s="115">
        <v>13</v>
      </c>
      <c r="G981" s="107" t="s">
        <v>37</v>
      </c>
      <c r="H981" s="107" t="str">
        <f t="shared" si="90"/>
        <v>Area 13: S Puget Sound</v>
      </c>
      <c r="I981" s="107" t="str">
        <f>IFERROR(VLOOKUP(H981,LUTs!$A$1:$C$73,2,FALSE),"NA")</f>
        <v>NA</v>
      </c>
      <c r="J981" s="107" t="str">
        <f>IFERROR(VLOOKUP(H981,LUTs!$A$1:$C$73,3,FALSE),"NA")</f>
        <v>3South Puget Sound</v>
      </c>
      <c r="K981" s="107" t="s">
        <v>23</v>
      </c>
      <c r="L981" s="107" t="str">
        <f>VLOOKUP(K981,LUTs!E$2:G$14,3,)</f>
        <v>10Kitsap</v>
      </c>
      <c r="M981" s="107" t="str">
        <f>VLOOKUP($K981,LUTs!$E$2:$H$14,2,)</f>
        <v>South Puget Sound</v>
      </c>
      <c r="N981" s="107" t="str">
        <f>VLOOKUP($K981,LUTs!$E$2:$H$14,4,)</f>
        <v>02South Puget Sound</v>
      </c>
      <c r="O981" s="107">
        <v>30.353260869565201</v>
      </c>
      <c r="P981" s="107">
        <v>392.20774456521701</v>
      </c>
      <c r="Q981" s="107">
        <f t="shared" si="91"/>
        <v>30.353260869565201</v>
      </c>
      <c r="R981" s="107">
        <f t="shared" si="92"/>
        <v>392.20774456521701</v>
      </c>
      <c r="S981" s="140" t="str">
        <f t="shared" si="93"/>
        <v>Y</v>
      </c>
      <c r="T981" s="154">
        <f t="shared" si="94"/>
        <v>12.921436884512081</v>
      </c>
      <c r="U981" s="154">
        <f t="shared" si="95"/>
        <v>12.921436884512081</v>
      </c>
    </row>
    <row r="982" spans="1:21" x14ac:dyDescent="0.35">
      <c r="A982" s="107">
        <v>1021</v>
      </c>
      <c r="B982" s="107">
        <v>2012</v>
      </c>
      <c r="C982" s="107" t="s">
        <v>9</v>
      </c>
      <c r="D982" s="107" t="s">
        <v>132</v>
      </c>
      <c r="E982" s="107" t="s">
        <v>10</v>
      </c>
      <c r="F982" s="115">
        <v>13</v>
      </c>
      <c r="G982" s="107" t="s">
        <v>37</v>
      </c>
      <c r="H982" s="107" t="str">
        <f t="shared" si="90"/>
        <v>Area 13: S Puget Sound</v>
      </c>
      <c r="I982" s="107" t="str">
        <f>IFERROR(VLOOKUP(H982,LUTs!$A$1:$C$73,2,FALSE),"NA")</f>
        <v>NA</v>
      </c>
      <c r="J982" s="107" t="str">
        <f>IFERROR(VLOOKUP(H982,LUTs!$A$1:$C$73,3,FALSE),"NA")</f>
        <v>3South Puget Sound</v>
      </c>
      <c r="K982" s="107" t="s">
        <v>22</v>
      </c>
      <c r="L982" s="107" t="str">
        <f>VLOOKUP(K982,LUTs!E$2:G$14,3,)</f>
        <v>09Mason</v>
      </c>
      <c r="M982" s="107" t="str">
        <f>VLOOKUP($K982,LUTs!$E$2:$H$14,2,)</f>
        <v>South Puget Sound</v>
      </c>
      <c r="N982" s="107" t="str">
        <f>VLOOKUP($K982,LUTs!$E$2:$H$14,4,)</f>
        <v>02South Puget Sound</v>
      </c>
      <c r="O982" s="107">
        <v>212.47282608695701</v>
      </c>
      <c r="P982" s="107">
        <v>2745.4542119565199</v>
      </c>
      <c r="Q982" s="107">
        <f t="shared" si="91"/>
        <v>212.47282608695701</v>
      </c>
      <c r="R982" s="107">
        <f t="shared" si="92"/>
        <v>2745.4542119565199</v>
      </c>
      <c r="S982" s="140" t="str">
        <f t="shared" si="93"/>
        <v>Y</v>
      </c>
      <c r="T982" s="154">
        <f t="shared" si="94"/>
        <v>12.921436884512048</v>
      </c>
      <c r="U982" s="154">
        <f t="shared" si="95"/>
        <v>12.921436884512048</v>
      </c>
    </row>
    <row r="983" spans="1:21" x14ac:dyDescent="0.35">
      <c r="A983" s="107">
        <v>1023</v>
      </c>
      <c r="B983" s="107">
        <v>2012</v>
      </c>
      <c r="C983" s="107" t="s">
        <v>9</v>
      </c>
      <c r="D983" s="107" t="s">
        <v>132</v>
      </c>
      <c r="E983" s="107" t="s">
        <v>10</v>
      </c>
      <c r="F983" s="115">
        <v>13</v>
      </c>
      <c r="G983" s="107" t="s">
        <v>37</v>
      </c>
      <c r="H983" s="107" t="str">
        <f t="shared" si="90"/>
        <v>Area 13: S Puget Sound</v>
      </c>
      <c r="I983" s="107" t="str">
        <f>IFERROR(VLOOKUP(H983,LUTs!$A$1:$C$73,2,FALSE),"NA")</f>
        <v>NA</v>
      </c>
      <c r="J983" s="107" t="str">
        <f>IFERROR(VLOOKUP(H983,LUTs!$A$1:$C$73,3,FALSE),"NA")</f>
        <v>3South Puget Sound</v>
      </c>
      <c r="K983" s="107" t="s">
        <v>26</v>
      </c>
      <c r="L983" s="107" t="str">
        <f>VLOOKUP(K983,LUTs!E$2:G$14,3,)</f>
        <v>20Other</v>
      </c>
      <c r="M983" s="107" t="str">
        <f>VLOOKUP($K983,LUTs!$E$2:$H$14,2,)</f>
        <v>Non Puget Sound</v>
      </c>
      <c r="N983" s="107" t="str">
        <f>VLOOKUP($K983,LUTs!$E$2:$H$14,4,)</f>
        <v>07Non Puget Sound</v>
      </c>
      <c r="O983" s="107">
        <v>133.554347826087</v>
      </c>
      <c r="P983" s="107">
        <v>1725.7140760869599</v>
      </c>
      <c r="Q983" s="107">
        <f t="shared" si="91"/>
        <v>133.554347826087</v>
      </c>
      <c r="R983" s="107">
        <f t="shared" si="92"/>
        <v>1725.7140760869599</v>
      </c>
      <c r="S983" s="140" t="str">
        <f t="shared" si="93"/>
        <v>Y</v>
      </c>
      <c r="T983" s="154">
        <f t="shared" si="94"/>
        <v>12.921436884512108</v>
      </c>
      <c r="U983" s="154">
        <f t="shared" si="95"/>
        <v>12.921436884512108</v>
      </c>
    </row>
    <row r="984" spans="1:21" x14ac:dyDescent="0.35">
      <c r="A984" s="107">
        <v>1019</v>
      </c>
      <c r="B984" s="107">
        <v>2012</v>
      </c>
      <c r="C984" s="107" t="s">
        <v>9</v>
      </c>
      <c r="D984" s="107" t="s">
        <v>132</v>
      </c>
      <c r="E984" s="107" t="s">
        <v>10</v>
      </c>
      <c r="F984" s="115">
        <v>13</v>
      </c>
      <c r="G984" s="107" t="s">
        <v>37</v>
      </c>
      <c r="H984" s="107" t="str">
        <f t="shared" si="90"/>
        <v>Area 13: S Puget Sound</v>
      </c>
      <c r="I984" s="107" t="str">
        <f>IFERROR(VLOOKUP(H984,LUTs!$A$1:$C$73,2,FALSE),"NA")</f>
        <v>NA</v>
      </c>
      <c r="J984" s="107" t="str">
        <f>IFERROR(VLOOKUP(H984,LUTs!$A$1:$C$73,3,FALSE),"NA")</f>
        <v>3South Puget Sound</v>
      </c>
      <c r="K984" s="107" t="s">
        <v>20</v>
      </c>
      <c r="L984" s="107" t="str">
        <f>VLOOKUP(K984,LUTs!E$2:G$14,3,)</f>
        <v>07Pierce</v>
      </c>
      <c r="M984" s="107" t="str">
        <f>VLOOKUP($K984,LUTs!$E$2:$H$14,2,)</f>
        <v>South Puget Sound</v>
      </c>
      <c r="N984" s="107" t="str">
        <f>VLOOKUP($K984,LUTs!$E$2:$H$14,4,)</f>
        <v>02South Puget Sound</v>
      </c>
      <c r="O984" s="107">
        <v>734.54891304347802</v>
      </c>
      <c r="P984" s="107">
        <v>9491.4274184782607</v>
      </c>
      <c r="Q984" s="107">
        <f t="shared" si="91"/>
        <v>734.54891304347802</v>
      </c>
      <c r="R984" s="107">
        <f t="shared" si="92"/>
        <v>9491.4274184782607</v>
      </c>
      <c r="S984" s="140" t="str">
        <f t="shared" si="93"/>
        <v>Y</v>
      </c>
      <c r="T984" s="154">
        <f t="shared" si="94"/>
        <v>12.92143688451209</v>
      </c>
      <c r="U984" s="154">
        <f t="shared" si="95"/>
        <v>12.92143688451209</v>
      </c>
    </row>
    <row r="985" spans="1:21" x14ac:dyDescent="0.35">
      <c r="A985" s="107">
        <v>1017</v>
      </c>
      <c r="B985" s="107">
        <v>2012</v>
      </c>
      <c r="C985" s="107" t="s">
        <v>9</v>
      </c>
      <c r="D985" s="107" t="s">
        <v>132</v>
      </c>
      <c r="E985" s="107" t="s">
        <v>10</v>
      </c>
      <c r="F985" s="115">
        <v>13</v>
      </c>
      <c r="G985" s="107" t="s">
        <v>37</v>
      </c>
      <c r="H985" s="107" t="str">
        <f t="shared" si="90"/>
        <v>Area 13: S Puget Sound</v>
      </c>
      <c r="I985" s="107" t="str">
        <f>IFERROR(VLOOKUP(H985,LUTs!$A$1:$C$73,2,FALSE),"NA")</f>
        <v>NA</v>
      </c>
      <c r="J985" s="107" t="str">
        <f>IFERROR(VLOOKUP(H985,LUTs!$A$1:$C$73,3,FALSE),"NA")</f>
        <v>3South Puget Sound</v>
      </c>
      <c r="K985" s="107" t="s">
        <v>16</v>
      </c>
      <c r="L985" s="107" t="str">
        <f>VLOOKUP(K985,LUTs!E$2:G$14,3,)</f>
        <v>03Snohomish</v>
      </c>
      <c r="M985" s="107" t="str">
        <f>VLOOKUP($K985,LUTs!$E$2:$H$14,2,)</f>
        <v>North Puget Sound</v>
      </c>
      <c r="N985" s="107" t="str">
        <f>VLOOKUP($K985,LUTs!$E$2:$H$14,4,)</f>
        <v>01North Puget Sound</v>
      </c>
      <c r="O985" s="107">
        <v>12.1413043478261</v>
      </c>
      <c r="P985" s="107">
        <v>156.88309782608701</v>
      </c>
      <c r="Q985" s="107">
        <f t="shared" si="91"/>
        <v>12.1413043478261</v>
      </c>
      <c r="R985" s="107">
        <f t="shared" si="92"/>
        <v>156.88309782608701</v>
      </c>
      <c r="S985" s="140" t="str">
        <f t="shared" si="93"/>
        <v>Y</v>
      </c>
      <c r="T985" s="154">
        <f t="shared" si="94"/>
        <v>12.921436884512076</v>
      </c>
      <c r="U985" s="154">
        <f t="shared" si="95"/>
        <v>12.921436884512076</v>
      </c>
    </row>
    <row r="986" spans="1:21" x14ac:dyDescent="0.35">
      <c r="A986" s="107">
        <v>1020</v>
      </c>
      <c r="B986" s="107">
        <v>2012</v>
      </c>
      <c r="C986" s="107" t="s">
        <v>9</v>
      </c>
      <c r="D986" s="107" t="s">
        <v>132</v>
      </c>
      <c r="E986" s="107" t="s">
        <v>10</v>
      </c>
      <c r="F986" s="115">
        <v>13</v>
      </c>
      <c r="G986" s="107" t="s">
        <v>37</v>
      </c>
      <c r="H986" s="107" t="str">
        <f t="shared" si="90"/>
        <v>Area 13: S Puget Sound</v>
      </c>
      <c r="I986" s="107" t="str">
        <f>IFERROR(VLOOKUP(H986,LUTs!$A$1:$C$73,2,FALSE),"NA")</f>
        <v>NA</v>
      </c>
      <c r="J986" s="107" t="str">
        <f>IFERROR(VLOOKUP(H986,LUTs!$A$1:$C$73,3,FALSE),"NA")</f>
        <v>3South Puget Sound</v>
      </c>
      <c r="K986" s="107" t="s">
        <v>21</v>
      </c>
      <c r="L986" s="107" t="str">
        <f>VLOOKUP(K986,LUTs!E$2:G$14,3,)</f>
        <v>08Thurston</v>
      </c>
      <c r="M986" s="107" t="str">
        <f>VLOOKUP($K986,LUTs!$E$2:$H$14,2,)</f>
        <v>South Puget Sound</v>
      </c>
      <c r="N986" s="107" t="str">
        <f>VLOOKUP($K986,LUTs!$E$2:$H$14,4,)</f>
        <v>02South Puget Sound</v>
      </c>
      <c r="O986" s="107">
        <v>971.304347826087</v>
      </c>
      <c r="P986" s="107">
        <v>12550.647826087001</v>
      </c>
      <c r="Q986" s="107">
        <f t="shared" si="91"/>
        <v>971.304347826087</v>
      </c>
      <c r="R986" s="107">
        <f t="shared" si="92"/>
        <v>12550.647826087001</v>
      </c>
      <c r="S986" s="140" t="str">
        <f t="shared" si="93"/>
        <v>Y</v>
      </c>
      <c r="T986" s="154">
        <f t="shared" si="94"/>
        <v>12.921436884512131</v>
      </c>
      <c r="U986" s="154">
        <f t="shared" si="95"/>
        <v>12.921436884512131</v>
      </c>
    </row>
    <row r="987" spans="1:21" x14ac:dyDescent="0.35">
      <c r="A987" s="107">
        <v>1198</v>
      </c>
      <c r="B987" s="107">
        <v>2013</v>
      </c>
      <c r="C987" s="107" t="s">
        <v>9</v>
      </c>
      <c r="D987" s="107" t="s">
        <v>132</v>
      </c>
      <c r="E987" s="107" t="s">
        <v>10</v>
      </c>
      <c r="F987" s="115">
        <v>13</v>
      </c>
      <c r="G987" s="107" t="s">
        <v>37</v>
      </c>
      <c r="H987" s="107" t="str">
        <f t="shared" si="90"/>
        <v>Area 13: S Puget Sound</v>
      </c>
      <c r="I987" s="107" t="str">
        <f>IFERROR(VLOOKUP(H987,LUTs!$A$1:$C$73,2,FALSE),"NA")</f>
        <v>NA</v>
      </c>
      <c r="J987" s="107" t="str">
        <f>IFERROR(VLOOKUP(H987,LUTs!$A$1:$C$73,3,FALSE),"NA")</f>
        <v>3South Puget Sound</v>
      </c>
      <c r="K987" s="107" t="s">
        <v>24</v>
      </c>
      <c r="L987" s="107" t="str">
        <f>VLOOKUP(K987,LUTs!E$2:G$14,3,)</f>
        <v>11Clallam</v>
      </c>
      <c r="M987" s="107" t="str">
        <f>VLOOKUP($K987,LUTs!$E$2:$H$14,2,)</f>
        <v>Strait of Juan de Fuca</v>
      </c>
      <c r="N987" s="107" t="str">
        <f>VLOOKUP($K987,LUTs!$E$2:$H$14,4,)</f>
        <v>03Strait of Juan de Fuca</v>
      </c>
      <c r="O987" s="107">
        <v>11.0420841683367</v>
      </c>
      <c r="P987" s="107">
        <v>109.225170340681</v>
      </c>
      <c r="Q987" s="107">
        <f t="shared" si="91"/>
        <v>11.0420841683367</v>
      </c>
      <c r="R987" s="107">
        <f t="shared" si="92"/>
        <v>109.225170340681</v>
      </c>
      <c r="S987" s="140" t="str">
        <f t="shared" si="93"/>
        <v>Y</v>
      </c>
      <c r="T987" s="154">
        <f t="shared" si="94"/>
        <v>9.891716878402848</v>
      </c>
      <c r="U987" s="154">
        <f t="shared" si="95"/>
        <v>9.891716878402848</v>
      </c>
    </row>
    <row r="988" spans="1:21" x14ac:dyDescent="0.35">
      <c r="A988" s="107">
        <v>1193</v>
      </c>
      <c r="B988" s="107">
        <v>2013</v>
      </c>
      <c r="C988" s="107" t="s">
        <v>9</v>
      </c>
      <c r="D988" s="107" t="s">
        <v>132</v>
      </c>
      <c r="E988" s="107" t="s">
        <v>10</v>
      </c>
      <c r="F988" s="115">
        <v>13</v>
      </c>
      <c r="G988" s="107" t="s">
        <v>37</v>
      </c>
      <c r="H988" s="107" t="str">
        <f t="shared" si="90"/>
        <v>Area 13: S Puget Sound</v>
      </c>
      <c r="I988" s="107" t="str">
        <f>IFERROR(VLOOKUP(H988,LUTs!$A$1:$C$73,2,FALSE),"NA")</f>
        <v>NA</v>
      </c>
      <c r="J988" s="107" t="str">
        <f>IFERROR(VLOOKUP(H988,LUTs!$A$1:$C$73,3,FALSE),"NA")</f>
        <v>3South Puget Sound</v>
      </c>
      <c r="K988" s="107" t="s">
        <v>18</v>
      </c>
      <c r="L988" s="107" t="str">
        <f>VLOOKUP(K988,LUTs!E$2:G$14,3,)</f>
        <v>06King</v>
      </c>
      <c r="M988" s="107" t="str">
        <f>VLOOKUP($K988,LUTs!$E$2:$H$14,2,)</f>
        <v>South Puget Sound</v>
      </c>
      <c r="N988" s="107" t="str">
        <f>VLOOKUP($K988,LUTs!$E$2:$H$14,4,)</f>
        <v>02South Puget Sound</v>
      </c>
      <c r="O988" s="107">
        <v>198.75751503006001</v>
      </c>
      <c r="P988" s="107">
        <v>1966.05306613227</v>
      </c>
      <c r="Q988" s="107">
        <f t="shared" si="91"/>
        <v>198.75751503006001</v>
      </c>
      <c r="R988" s="107">
        <f t="shared" si="92"/>
        <v>1966.05306613227</v>
      </c>
      <c r="S988" s="140" t="str">
        <f t="shared" si="93"/>
        <v>Y</v>
      </c>
      <c r="T988" s="154">
        <f t="shared" si="94"/>
        <v>9.8917168784029368</v>
      </c>
      <c r="U988" s="154">
        <f t="shared" si="95"/>
        <v>9.8917168784029368</v>
      </c>
    </row>
    <row r="989" spans="1:21" x14ac:dyDescent="0.35">
      <c r="A989" s="107">
        <v>1197</v>
      </c>
      <c r="B989" s="107">
        <v>2013</v>
      </c>
      <c r="C989" s="107" t="s">
        <v>9</v>
      </c>
      <c r="D989" s="107" t="s">
        <v>132</v>
      </c>
      <c r="E989" s="107" t="s">
        <v>10</v>
      </c>
      <c r="F989" s="115">
        <v>13</v>
      </c>
      <c r="G989" s="107" t="s">
        <v>37</v>
      </c>
      <c r="H989" s="107" t="str">
        <f t="shared" si="90"/>
        <v>Area 13: S Puget Sound</v>
      </c>
      <c r="I989" s="107" t="str">
        <f>IFERROR(VLOOKUP(H989,LUTs!$A$1:$C$73,2,FALSE),"NA")</f>
        <v>NA</v>
      </c>
      <c r="J989" s="107" t="str">
        <f>IFERROR(VLOOKUP(H989,LUTs!$A$1:$C$73,3,FALSE),"NA")</f>
        <v>3South Puget Sound</v>
      </c>
      <c r="K989" s="107" t="s">
        <v>23</v>
      </c>
      <c r="L989" s="107" t="str">
        <f>VLOOKUP(K989,LUTs!E$2:G$14,3,)</f>
        <v>10Kitsap</v>
      </c>
      <c r="M989" s="107" t="str">
        <f>VLOOKUP($K989,LUTs!$E$2:$H$14,2,)</f>
        <v>South Puget Sound</v>
      </c>
      <c r="N989" s="107" t="str">
        <f>VLOOKUP($K989,LUTs!$E$2:$H$14,4,)</f>
        <v>02South Puget Sound</v>
      </c>
      <c r="O989" s="107">
        <v>27.605210420841701</v>
      </c>
      <c r="P989" s="107">
        <v>273.06292585170303</v>
      </c>
      <c r="Q989" s="107">
        <f t="shared" si="91"/>
        <v>27.605210420841701</v>
      </c>
      <c r="R989" s="107">
        <f t="shared" si="92"/>
        <v>273.06292585170303</v>
      </c>
      <c r="S989" s="140" t="str">
        <f t="shared" si="93"/>
        <v>Y</v>
      </c>
      <c r="T989" s="154">
        <f t="shared" si="94"/>
        <v>9.8917168784028835</v>
      </c>
      <c r="U989" s="154">
        <f t="shared" si="95"/>
        <v>9.8917168784028835</v>
      </c>
    </row>
    <row r="990" spans="1:21" x14ac:dyDescent="0.35">
      <c r="A990" s="107">
        <v>1196</v>
      </c>
      <c r="B990" s="107">
        <v>2013</v>
      </c>
      <c r="C990" s="107" t="s">
        <v>9</v>
      </c>
      <c r="D990" s="107" t="s">
        <v>132</v>
      </c>
      <c r="E990" s="107" t="s">
        <v>10</v>
      </c>
      <c r="F990" s="115">
        <v>13</v>
      </c>
      <c r="G990" s="107" t="s">
        <v>37</v>
      </c>
      <c r="H990" s="107" t="str">
        <f t="shared" si="90"/>
        <v>Area 13: S Puget Sound</v>
      </c>
      <c r="I990" s="107" t="str">
        <f>IFERROR(VLOOKUP(H990,LUTs!$A$1:$C$73,2,FALSE),"NA")</f>
        <v>NA</v>
      </c>
      <c r="J990" s="107" t="str">
        <f>IFERROR(VLOOKUP(H990,LUTs!$A$1:$C$73,3,FALSE),"NA")</f>
        <v>3South Puget Sound</v>
      </c>
      <c r="K990" s="107" t="s">
        <v>22</v>
      </c>
      <c r="L990" s="107" t="str">
        <f>VLOOKUP(K990,LUTs!E$2:G$14,3,)</f>
        <v>09Mason</v>
      </c>
      <c r="M990" s="107" t="str">
        <f>VLOOKUP($K990,LUTs!$E$2:$H$14,2,)</f>
        <v>South Puget Sound</v>
      </c>
      <c r="N990" s="107" t="str">
        <f>VLOOKUP($K990,LUTs!$E$2:$H$14,4,)</f>
        <v>02South Puget Sound</v>
      </c>
      <c r="O990" s="107">
        <v>397.51503006012001</v>
      </c>
      <c r="P990" s="107">
        <v>3932.1061322645301</v>
      </c>
      <c r="Q990" s="107">
        <f t="shared" si="91"/>
        <v>397.51503006012001</v>
      </c>
      <c r="R990" s="107">
        <f t="shared" si="92"/>
        <v>3932.1061322645301</v>
      </c>
      <c r="S990" s="140" t="str">
        <f t="shared" si="93"/>
        <v>Y</v>
      </c>
      <c r="T990" s="154">
        <f t="shared" si="94"/>
        <v>9.8917168784029119</v>
      </c>
      <c r="U990" s="154">
        <f t="shared" si="95"/>
        <v>9.8917168784029119</v>
      </c>
    </row>
    <row r="991" spans="1:21" x14ac:dyDescent="0.35">
      <c r="A991" s="107">
        <v>1199</v>
      </c>
      <c r="B991" s="107">
        <v>2013</v>
      </c>
      <c r="C991" s="107" t="s">
        <v>9</v>
      </c>
      <c r="D991" s="107" t="s">
        <v>132</v>
      </c>
      <c r="E991" s="107" t="s">
        <v>10</v>
      </c>
      <c r="F991" s="115">
        <v>13</v>
      </c>
      <c r="G991" s="107" t="s">
        <v>37</v>
      </c>
      <c r="H991" s="107" t="str">
        <f t="shared" si="90"/>
        <v>Area 13: S Puget Sound</v>
      </c>
      <c r="I991" s="107" t="str">
        <f>IFERROR(VLOOKUP(H991,LUTs!$A$1:$C$73,2,FALSE),"NA")</f>
        <v>NA</v>
      </c>
      <c r="J991" s="107" t="str">
        <f>IFERROR(VLOOKUP(H991,LUTs!$A$1:$C$73,3,FALSE),"NA")</f>
        <v>3South Puget Sound</v>
      </c>
      <c r="K991" s="107" t="s">
        <v>26</v>
      </c>
      <c r="L991" s="107" t="str">
        <f>VLOOKUP(K991,LUTs!E$2:G$14,3,)</f>
        <v>20Other</v>
      </c>
      <c r="M991" s="107" t="str">
        <f>VLOOKUP($K991,LUTs!$E$2:$H$14,2,)</f>
        <v>Non Puget Sound</v>
      </c>
      <c r="N991" s="107" t="str">
        <f>VLOOKUP($K991,LUTs!$E$2:$H$14,4,)</f>
        <v>07Non Puget Sound</v>
      </c>
      <c r="O991" s="107">
        <v>187.71543086172301</v>
      </c>
      <c r="P991" s="107">
        <v>1856.82789579158</v>
      </c>
      <c r="Q991" s="107">
        <f t="shared" si="91"/>
        <v>187.71543086172301</v>
      </c>
      <c r="R991" s="107">
        <f t="shared" si="92"/>
        <v>1856.82789579158</v>
      </c>
      <c r="S991" s="140" t="str">
        <f t="shared" si="93"/>
        <v>Y</v>
      </c>
      <c r="T991" s="154">
        <f t="shared" si="94"/>
        <v>9.8917168784029101</v>
      </c>
      <c r="U991" s="154">
        <f t="shared" si="95"/>
        <v>9.8917168784029101</v>
      </c>
    </row>
    <row r="992" spans="1:21" x14ac:dyDescent="0.35">
      <c r="A992" s="107">
        <v>1194</v>
      </c>
      <c r="B992" s="107">
        <v>2013</v>
      </c>
      <c r="C992" s="107" t="s">
        <v>9</v>
      </c>
      <c r="D992" s="107" t="s">
        <v>132</v>
      </c>
      <c r="E992" s="107" t="s">
        <v>10</v>
      </c>
      <c r="F992" s="115">
        <v>13</v>
      </c>
      <c r="G992" s="107" t="s">
        <v>37</v>
      </c>
      <c r="H992" s="107" t="str">
        <f t="shared" si="90"/>
        <v>Area 13: S Puget Sound</v>
      </c>
      <c r="I992" s="107" t="str">
        <f>IFERROR(VLOOKUP(H992,LUTs!$A$1:$C$73,2,FALSE),"NA")</f>
        <v>NA</v>
      </c>
      <c r="J992" s="107" t="str">
        <f>IFERROR(VLOOKUP(H992,LUTs!$A$1:$C$73,3,FALSE),"NA")</f>
        <v>3South Puget Sound</v>
      </c>
      <c r="K992" s="107" t="s">
        <v>20</v>
      </c>
      <c r="L992" s="107" t="str">
        <f>VLOOKUP(K992,LUTs!E$2:G$14,3,)</f>
        <v>07Pierce</v>
      </c>
      <c r="M992" s="107" t="str">
        <f>VLOOKUP($K992,LUTs!$E$2:$H$14,2,)</f>
        <v>South Puget Sound</v>
      </c>
      <c r="N992" s="107" t="str">
        <f>VLOOKUP($K992,LUTs!$E$2:$H$14,4,)</f>
        <v>02South Puget Sound</v>
      </c>
      <c r="O992" s="107">
        <v>922.01402805611201</v>
      </c>
      <c r="P992" s="107">
        <v>9120.3017234469007</v>
      </c>
      <c r="Q992" s="107">
        <f t="shared" si="91"/>
        <v>922.01402805611201</v>
      </c>
      <c r="R992" s="107">
        <f t="shared" si="92"/>
        <v>9120.3017234469007</v>
      </c>
      <c r="S992" s="140" t="str">
        <f t="shared" si="93"/>
        <v>Y</v>
      </c>
      <c r="T992" s="154">
        <f t="shared" si="94"/>
        <v>9.8917168784029137</v>
      </c>
      <c r="U992" s="154">
        <f t="shared" si="95"/>
        <v>9.8917168784029137</v>
      </c>
    </row>
    <row r="993" spans="1:21" x14ac:dyDescent="0.35">
      <c r="A993" s="107">
        <v>1191</v>
      </c>
      <c r="B993" s="107">
        <v>2013</v>
      </c>
      <c r="C993" s="107" t="s">
        <v>9</v>
      </c>
      <c r="D993" s="107" t="s">
        <v>132</v>
      </c>
      <c r="E993" s="107" t="s">
        <v>10</v>
      </c>
      <c r="F993" s="115">
        <v>13</v>
      </c>
      <c r="G993" s="107" t="s">
        <v>37</v>
      </c>
      <c r="H993" s="107" t="str">
        <f t="shared" si="90"/>
        <v>Area 13: S Puget Sound</v>
      </c>
      <c r="I993" s="107" t="str">
        <f>IFERROR(VLOOKUP(H993,LUTs!$A$1:$C$73,2,FALSE),"NA")</f>
        <v>NA</v>
      </c>
      <c r="J993" s="107" t="str">
        <f>IFERROR(VLOOKUP(H993,LUTs!$A$1:$C$73,3,FALSE),"NA")</f>
        <v>3South Puget Sound</v>
      </c>
      <c r="K993" s="107" t="s">
        <v>15</v>
      </c>
      <c r="L993" s="107" t="str">
        <f>VLOOKUP(K993,LUTs!E$2:G$14,3,)</f>
        <v>02Skagit</v>
      </c>
      <c r="M993" s="107" t="str">
        <f>VLOOKUP($K993,LUTs!$E$2:$H$14,2,)</f>
        <v>North Puget Sound</v>
      </c>
      <c r="N993" s="107" t="str">
        <f>VLOOKUP($K993,LUTs!$E$2:$H$14,4,)</f>
        <v>01North Puget Sound</v>
      </c>
      <c r="O993" s="107">
        <v>16.563126252505</v>
      </c>
      <c r="P993" s="107">
        <v>163.83775551102201</v>
      </c>
      <c r="Q993" s="107">
        <f t="shared" si="91"/>
        <v>16.563126252505</v>
      </c>
      <c r="R993" s="107">
        <f t="shared" si="92"/>
        <v>163.83775551102201</v>
      </c>
      <c r="S993" s="140" t="str">
        <f t="shared" si="93"/>
        <v>Y</v>
      </c>
      <c r="T993" s="154">
        <f t="shared" si="94"/>
        <v>9.8917168784029066</v>
      </c>
      <c r="U993" s="154">
        <f t="shared" si="95"/>
        <v>9.8917168784029066</v>
      </c>
    </row>
    <row r="994" spans="1:21" x14ac:dyDescent="0.35">
      <c r="A994" s="107">
        <v>1192</v>
      </c>
      <c r="B994" s="107">
        <v>2013</v>
      </c>
      <c r="C994" s="107" t="s">
        <v>9</v>
      </c>
      <c r="D994" s="107" t="s">
        <v>132</v>
      </c>
      <c r="E994" s="107" t="s">
        <v>10</v>
      </c>
      <c r="F994" s="115">
        <v>13</v>
      </c>
      <c r="G994" s="107" t="s">
        <v>37</v>
      </c>
      <c r="H994" s="107" t="str">
        <f t="shared" si="90"/>
        <v>Area 13: S Puget Sound</v>
      </c>
      <c r="I994" s="107" t="str">
        <f>IFERROR(VLOOKUP(H994,LUTs!$A$1:$C$73,2,FALSE),"NA")</f>
        <v>NA</v>
      </c>
      <c r="J994" s="107" t="str">
        <f>IFERROR(VLOOKUP(H994,LUTs!$A$1:$C$73,3,FALSE),"NA")</f>
        <v>3South Puget Sound</v>
      </c>
      <c r="K994" s="107" t="s">
        <v>16</v>
      </c>
      <c r="L994" s="107" t="str">
        <f>VLOOKUP(K994,LUTs!E$2:G$14,3,)</f>
        <v>03Snohomish</v>
      </c>
      <c r="M994" s="107" t="str">
        <f>VLOOKUP($K994,LUTs!$E$2:$H$14,2,)</f>
        <v>North Puget Sound</v>
      </c>
      <c r="N994" s="107" t="str">
        <f>VLOOKUP($K994,LUTs!$E$2:$H$14,4,)</f>
        <v>01North Puget Sound</v>
      </c>
      <c r="O994" s="107">
        <v>27.605210420841701</v>
      </c>
      <c r="P994" s="107">
        <v>273.06292585170303</v>
      </c>
      <c r="Q994" s="107">
        <f t="shared" si="91"/>
        <v>27.605210420841701</v>
      </c>
      <c r="R994" s="107">
        <f t="shared" si="92"/>
        <v>273.06292585170303</v>
      </c>
      <c r="S994" s="140" t="str">
        <f t="shared" si="93"/>
        <v>Y</v>
      </c>
      <c r="T994" s="154">
        <f t="shared" si="94"/>
        <v>9.8917168784028835</v>
      </c>
      <c r="U994" s="154">
        <f t="shared" si="95"/>
        <v>9.8917168784028835</v>
      </c>
    </row>
    <row r="995" spans="1:21" x14ac:dyDescent="0.35">
      <c r="A995" s="107">
        <v>1195</v>
      </c>
      <c r="B995" s="107">
        <v>2013</v>
      </c>
      <c r="C995" s="107" t="s">
        <v>9</v>
      </c>
      <c r="D995" s="107" t="s">
        <v>132</v>
      </c>
      <c r="E995" s="107" t="s">
        <v>10</v>
      </c>
      <c r="F995" s="115">
        <v>13</v>
      </c>
      <c r="G995" s="107" t="s">
        <v>37</v>
      </c>
      <c r="H995" s="107" t="str">
        <f t="shared" si="90"/>
        <v>Area 13: S Puget Sound</v>
      </c>
      <c r="I995" s="107" t="str">
        <f>IFERROR(VLOOKUP(H995,LUTs!$A$1:$C$73,2,FALSE),"NA")</f>
        <v>NA</v>
      </c>
      <c r="J995" s="107" t="str">
        <f>IFERROR(VLOOKUP(H995,LUTs!$A$1:$C$73,3,FALSE),"NA")</f>
        <v>3South Puget Sound</v>
      </c>
      <c r="K995" s="107" t="s">
        <v>21</v>
      </c>
      <c r="L995" s="107" t="str">
        <f>VLOOKUP(K995,LUTs!E$2:G$14,3,)</f>
        <v>08Thurston</v>
      </c>
      <c r="M995" s="107" t="str">
        <f>VLOOKUP($K995,LUTs!$E$2:$H$14,2,)</f>
        <v>South Puget Sound</v>
      </c>
      <c r="N995" s="107" t="str">
        <f>VLOOKUP($K995,LUTs!$E$2:$H$14,4,)</f>
        <v>02South Puget Sound</v>
      </c>
      <c r="O995" s="107">
        <v>966.18236472945898</v>
      </c>
      <c r="P995" s="107">
        <v>9557.2024048096191</v>
      </c>
      <c r="Q995" s="107">
        <f t="shared" si="91"/>
        <v>966.18236472945898</v>
      </c>
      <c r="R995" s="107">
        <f t="shared" si="92"/>
        <v>9557.2024048096191</v>
      </c>
      <c r="S995" s="140" t="str">
        <f t="shared" si="93"/>
        <v>Y</v>
      </c>
      <c r="T995" s="154">
        <f t="shared" si="94"/>
        <v>9.891716878402903</v>
      </c>
      <c r="U995" s="154">
        <f t="shared" si="95"/>
        <v>9.891716878402903</v>
      </c>
    </row>
    <row r="996" spans="1:21" x14ac:dyDescent="0.35">
      <c r="A996" s="107">
        <v>3065</v>
      </c>
      <c r="B996" s="107">
        <v>2014</v>
      </c>
      <c r="C996" s="107" t="s">
        <v>9</v>
      </c>
      <c r="D996" s="107" t="s">
        <v>132</v>
      </c>
      <c r="E996" s="107" t="s">
        <v>10</v>
      </c>
      <c r="F996" s="115">
        <v>13</v>
      </c>
      <c r="G996" s="107" t="s">
        <v>37</v>
      </c>
      <c r="H996" s="107" t="str">
        <f t="shared" si="90"/>
        <v>Area 13: S Puget Sound</v>
      </c>
      <c r="I996" s="107" t="str">
        <f>IFERROR(VLOOKUP(H996,LUTs!$A$1:$C$73,2,FALSE),"NA")</f>
        <v>NA</v>
      </c>
      <c r="J996" s="107" t="str">
        <f>IFERROR(VLOOKUP(H996,LUTs!$A$1:$C$73,3,FALSE),"NA")</f>
        <v>3South Puget Sound</v>
      </c>
      <c r="K996" s="107" t="s">
        <v>18</v>
      </c>
      <c r="L996" s="107" t="str">
        <f>VLOOKUP(K996,LUTs!E$2:G$14,3,)</f>
        <v>06King</v>
      </c>
      <c r="M996" s="107" t="str">
        <f>VLOOKUP($K996,LUTs!$E$2:$H$14,2,)</f>
        <v>South Puget Sound</v>
      </c>
      <c r="N996" s="107" t="str">
        <f>VLOOKUP($K996,LUTs!$E$2:$H$14,4,)</f>
        <v>02South Puget Sound</v>
      </c>
      <c r="O996" s="107">
        <v>49.801526717557302</v>
      </c>
      <c r="P996" s="107">
        <v>494.628282442748</v>
      </c>
      <c r="Q996" s="107">
        <f t="shared" si="91"/>
        <v>49.801526717557302</v>
      </c>
      <c r="R996" s="107">
        <f t="shared" si="92"/>
        <v>494.628282442748</v>
      </c>
      <c r="S996" s="140" t="str">
        <f t="shared" si="93"/>
        <v>Y</v>
      </c>
      <c r="T996" s="154">
        <f t="shared" si="94"/>
        <v>9.9319903433476284</v>
      </c>
      <c r="U996" s="154">
        <f t="shared" si="95"/>
        <v>9.9319903433476284</v>
      </c>
    </row>
    <row r="997" spans="1:21" x14ac:dyDescent="0.35">
      <c r="A997" s="107">
        <v>3145</v>
      </c>
      <c r="B997" s="107">
        <v>2014</v>
      </c>
      <c r="C997" s="107" t="s">
        <v>9</v>
      </c>
      <c r="D997" s="107" t="s">
        <v>132</v>
      </c>
      <c r="E997" s="107" t="s">
        <v>10</v>
      </c>
      <c r="F997" s="115">
        <v>13</v>
      </c>
      <c r="G997" s="107" t="s">
        <v>37</v>
      </c>
      <c r="H997" s="107" t="str">
        <f t="shared" si="90"/>
        <v>Area 13: S Puget Sound</v>
      </c>
      <c r="I997" s="107" t="str">
        <f>IFERROR(VLOOKUP(H997,LUTs!$A$1:$C$73,2,FALSE),"NA")</f>
        <v>NA</v>
      </c>
      <c r="J997" s="107" t="str">
        <f>IFERROR(VLOOKUP(H997,LUTs!$A$1:$C$73,3,FALSE),"NA")</f>
        <v>3South Puget Sound</v>
      </c>
      <c r="K997" s="107" t="s">
        <v>23</v>
      </c>
      <c r="L997" s="107" t="str">
        <f>VLOOKUP(K997,LUTs!E$2:G$14,3,)</f>
        <v>10Kitsap</v>
      </c>
      <c r="M997" s="107" t="str">
        <f>VLOOKUP($K997,LUTs!$E$2:$H$14,2,)</f>
        <v>South Puget Sound</v>
      </c>
      <c r="N997" s="107" t="str">
        <f>VLOOKUP($K997,LUTs!$E$2:$H$14,4,)</f>
        <v>02South Puget Sound</v>
      </c>
      <c r="O997" s="107">
        <v>71.145038167939006</v>
      </c>
      <c r="P997" s="107">
        <v>706.61183206106898</v>
      </c>
      <c r="Q997" s="107">
        <f t="shared" si="91"/>
        <v>71.145038167939006</v>
      </c>
      <c r="R997" s="107">
        <f t="shared" si="92"/>
        <v>706.61183206106898</v>
      </c>
      <c r="S997" s="140" t="str">
        <f t="shared" si="93"/>
        <v>Y</v>
      </c>
      <c r="T997" s="154">
        <f t="shared" si="94"/>
        <v>9.9319903433476338</v>
      </c>
      <c r="U997" s="154">
        <f t="shared" si="95"/>
        <v>9.9319903433476338</v>
      </c>
    </row>
    <row r="998" spans="1:21" x14ac:dyDescent="0.35">
      <c r="A998" s="107">
        <v>3144</v>
      </c>
      <c r="B998" s="107">
        <v>2014</v>
      </c>
      <c r="C998" s="107" t="s">
        <v>9</v>
      </c>
      <c r="D998" s="107" t="s">
        <v>132</v>
      </c>
      <c r="E998" s="107" t="s">
        <v>10</v>
      </c>
      <c r="F998" s="115">
        <v>13</v>
      </c>
      <c r="G998" s="107" t="s">
        <v>37</v>
      </c>
      <c r="H998" s="107" t="str">
        <f t="shared" si="90"/>
        <v>Area 13: S Puget Sound</v>
      </c>
      <c r="I998" s="107" t="str">
        <f>IFERROR(VLOOKUP(H998,LUTs!$A$1:$C$73,2,FALSE),"NA")</f>
        <v>NA</v>
      </c>
      <c r="J998" s="107" t="str">
        <f>IFERROR(VLOOKUP(H998,LUTs!$A$1:$C$73,3,FALSE),"NA")</f>
        <v>3South Puget Sound</v>
      </c>
      <c r="K998" s="107" t="s">
        <v>22</v>
      </c>
      <c r="L998" s="107" t="str">
        <f>VLOOKUP(K998,LUTs!E$2:G$14,3,)</f>
        <v>09Mason</v>
      </c>
      <c r="M998" s="107" t="str">
        <f>VLOOKUP($K998,LUTs!$E$2:$H$14,2,)</f>
        <v>South Puget Sound</v>
      </c>
      <c r="N998" s="107" t="str">
        <f>VLOOKUP($K998,LUTs!$E$2:$H$14,4,)</f>
        <v>02South Puget Sound</v>
      </c>
      <c r="O998" s="107">
        <v>192.09160305343499</v>
      </c>
      <c r="P998" s="107">
        <v>1907.8519465648901</v>
      </c>
      <c r="Q998" s="107">
        <f t="shared" si="91"/>
        <v>192.09160305343499</v>
      </c>
      <c r="R998" s="107">
        <f t="shared" si="92"/>
        <v>1907.8519465648901</v>
      </c>
      <c r="S998" s="140" t="str">
        <f t="shared" si="93"/>
        <v>Y</v>
      </c>
      <c r="T998" s="154">
        <f t="shared" si="94"/>
        <v>9.9319903433476693</v>
      </c>
      <c r="U998" s="154">
        <f t="shared" si="95"/>
        <v>9.9319903433476693</v>
      </c>
    </row>
    <row r="999" spans="1:21" x14ac:dyDescent="0.35">
      <c r="A999" s="107">
        <v>3146</v>
      </c>
      <c r="B999" s="107">
        <v>2014</v>
      </c>
      <c r="C999" s="107" t="s">
        <v>9</v>
      </c>
      <c r="D999" s="107" t="s">
        <v>132</v>
      </c>
      <c r="E999" s="107" t="s">
        <v>10</v>
      </c>
      <c r="F999" s="115">
        <v>13</v>
      </c>
      <c r="G999" s="107" t="s">
        <v>37</v>
      </c>
      <c r="H999" s="107" t="str">
        <f t="shared" si="90"/>
        <v>Area 13: S Puget Sound</v>
      </c>
      <c r="I999" s="107" t="str">
        <f>IFERROR(VLOOKUP(H999,LUTs!$A$1:$C$73,2,FALSE),"NA")</f>
        <v>NA</v>
      </c>
      <c r="J999" s="107" t="str">
        <f>IFERROR(VLOOKUP(H999,LUTs!$A$1:$C$73,3,FALSE),"NA")</f>
        <v>3South Puget Sound</v>
      </c>
      <c r="K999" s="107" t="s">
        <v>26</v>
      </c>
      <c r="L999" s="107" t="str">
        <f>VLOOKUP(K999,LUTs!E$2:G$14,3,)</f>
        <v>20Other</v>
      </c>
      <c r="M999" s="107" t="str">
        <f>VLOOKUP($K999,LUTs!$E$2:$H$14,2,)</f>
        <v>Non Puget Sound</v>
      </c>
      <c r="N999" s="107" t="str">
        <f>VLOOKUP($K999,LUTs!$E$2:$H$14,4,)</f>
        <v>07Non Puget Sound</v>
      </c>
      <c r="O999" s="107">
        <v>78.259541984732806</v>
      </c>
      <c r="P999" s="107">
        <v>777.27301526717599</v>
      </c>
      <c r="Q999" s="107">
        <f t="shared" si="91"/>
        <v>78.259541984732806</v>
      </c>
      <c r="R999" s="107">
        <f t="shared" si="92"/>
        <v>777.27301526717599</v>
      </c>
      <c r="S999" s="140" t="str">
        <f t="shared" si="93"/>
        <v>Y</v>
      </c>
      <c r="T999" s="154">
        <f t="shared" si="94"/>
        <v>9.931990343347648</v>
      </c>
      <c r="U999" s="154">
        <f t="shared" si="95"/>
        <v>9.931990343347648</v>
      </c>
    </row>
    <row r="1000" spans="1:21" x14ac:dyDescent="0.35">
      <c r="A1000" s="107">
        <v>3070</v>
      </c>
      <c r="B1000" s="107">
        <v>2014</v>
      </c>
      <c r="C1000" s="107" t="s">
        <v>9</v>
      </c>
      <c r="D1000" s="107" t="s">
        <v>132</v>
      </c>
      <c r="E1000" s="107" t="s">
        <v>10</v>
      </c>
      <c r="F1000" s="115">
        <v>13</v>
      </c>
      <c r="G1000" s="107" t="s">
        <v>37</v>
      </c>
      <c r="H1000" s="107" t="str">
        <f t="shared" si="90"/>
        <v>Area 13: S Puget Sound</v>
      </c>
      <c r="I1000" s="107" t="str">
        <f>IFERROR(VLOOKUP(H1000,LUTs!$A$1:$C$73,2,FALSE),"NA")</f>
        <v>NA</v>
      </c>
      <c r="J1000" s="107" t="str">
        <f>IFERROR(VLOOKUP(H1000,LUTs!$A$1:$C$73,3,FALSE),"NA")</f>
        <v>3South Puget Sound</v>
      </c>
      <c r="K1000" s="107" t="s">
        <v>20</v>
      </c>
      <c r="L1000" s="107" t="str">
        <f>VLOOKUP(K1000,LUTs!E$2:G$14,3,)</f>
        <v>07Pierce</v>
      </c>
      <c r="M1000" s="107" t="str">
        <f>VLOOKUP($K1000,LUTs!$E$2:$H$14,2,)</f>
        <v>South Puget Sound</v>
      </c>
      <c r="N1000" s="107" t="str">
        <f>VLOOKUP($K1000,LUTs!$E$2:$H$14,4,)</f>
        <v>02South Puget Sound</v>
      </c>
      <c r="O1000" s="107">
        <v>825.28244274809197</v>
      </c>
      <c r="P1000" s="107">
        <v>8196.6972519083993</v>
      </c>
      <c r="Q1000" s="107">
        <f t="shared" si="91"/>
        <v>825.28244274809197</v>
      </c>
      <c r="R1000" s="107">
        <f t="shared" si="92"/>
        <v>8196.6972519083993</v>
      </c>
      <c r="S1000" s="140" t="str">
        <f t="shared" si="93"/>
        <v>Y</v>
      </c>
      <c r="T1000" s="154">
        <f t="shared" si="94"/>
        <v>9.9319903433476373</v>
      </c>
      <c r="U1000" s="154">
        <f t="shared" si="95"/>
        <v>9.9319903433476373</v>
      </c>
    </row>
    <row r="1001" spans="1:21" x14ac:dyDescent="0.35">
      <c r="A1001" s="107">
        <v>3143</v>
      </c>
      <c r="B1001" s="107">
        <v>2014</v>
      </c>
      <c r="C1001" s="107" t="s">
        <v>9</v>
      </c>
      <c r="D1001" s="107" t="s">
        <v>132</v>
      </c>
      <c r="E1001" s="107" t="s">
        <v>10</v>
      </c>
      <c r="F1001" s="115">
        <v>13</v>
      </c>
      <c r="G1001" s="107" t="s">
        <v>37</v>
      </c>
      <c r="H1001" s="107" t="str">
        <f t="shared" si="90"/>
        <v>Area 13: S Puget Sound</v>
      </c>
      <c r="I1001" s="107" t="str">
        <f>IFERROR(VLOOKUP(H1001,LUTs!$A$1:$C$73,2,FALSE),"NA")</f>
        <v>NA</v>
      </c>
      <c r="J1001" s="107" t="str">
        <f>IFERROR(VLOOKUP(H1001,LUTs!$A$1:$C$73,3,FALSE),"NA")</f>
        <v>3South Puget Sound</v>
      </c>
      <c r="K1001" s="107" t="s">
        <v>21</v>
      </c>
      <c r="L1001" s="107" t="str">
        <f>VLOOKUP(K1001,LUTs!E$2:G$14,3,)</f>
        <v>08Thurston</v>
      </c>
      <c r="M1001" s="107" t="str">
        <f>VLOOKUP($K1001,LUTs!$E$2:$H$14,2,)</f>
        <v>South Puget Sound</v>
      </c>
      <c r="N1001" s="107" t="str">
        <f>VLOOKUP($K1001,LUTs!$E$2:$H$14,4,)</f>
        <v>02South Puget Sound</v>
      </c>
      <c r="O1001" s="107">
        <v>647.41984732824403</v>
      </c>
      <c r="P1001" s="107">
        <v>6430.1676717557302</v>
      </c>
      <c r="Q1001" s="107">
        <f t="shared" si="91"/>
        <v>647.41984732824403</v>
      </c>
      <c r="R1001" s="107">
        <f t="shared" si="92"/>
        <v>6430.1676717557302</v>
      </c>
      <c r="S1001" s="140" t="str">
        <f t="shared" si="93"/>
        <v>Y</v>
      </c>
      <c r="T1001" s="154">
        <f t="shared" si="94"/>
        <v>9.9319903433476515</v>
      </c>
      <c r="U1001" s="154">
        <f t="shared" si="95"/>
        <v>9.9319903433476515</v>
      </c>
    </row>
    <row r="1002" spans="1:21" x14ac:dyDescent="0.35">
      <c r="A1002" s="107">
        <v>3491</v>
      </c>
      <c r="B1002" s="107">
        <v>2015</v>
      </c>
      <c r="C1002" s="107" t="s">
        <v>9</v>
      </c>
      <c r="D1002" s="107" t="s">
        <v>132</v>
      </c>
      <c r="E1002" s="107" t="s">
        <v>10</v>
      </c>
      <c r="F1002" s="115">
        <v>13</v>
      </c>
      <c r="G1002" s="107" t="s">
        <v>37</v>
      </c>
      <c r="H1002" s="107" t="str">
        <f t="shared" si="90"/>
        <v>Area 13: S Puget Sound</v>
      </c>
      <c r="I1002" s="107" t="str">
        <f>IFERROR(VLOOKUP(H1002,LUTs!$A$1:$C$73,2,FALSE),"NA")</f>
        <v>NA</v>
      </c>
      <c r="J1002" s="107" t="str">
        <f>IFERROR(VLOOKUP(H1002,LUTs!$A$1:$C$73,3,FALSE),"NA")</f>
        <v>3South Puget Sound</v>
      </c>
      <c r="K1002" s="107" t="s">
        <v>18</v>
      </c>
      <c r="L1002" s="107" t="str">
        <f>VLOOKUP(K1002,LUTs!E$2:G$14,3,)</f>
        <v>06King</v>
      </c>
      <c r="M1002" s="107" t="str">
        <f>VLOOKUP($K1002,LUTs!$E$2:$H$14,2,)</f>
        <v>South Puget Sound</v>
      </c>
      <c r="N1002" s="107" t="str">
        <f>VLOOKUP($K1002,LUTs!$E$2:$H$14,4,)</f>
        <v>02South Puget Sound</v>
      </c>
      <c r="O1002" s="107">
        <v>59.061994609164401</v>
      </c>
      <c r="P1002" s="107">
        <v>496.33035040431298</v>
      </c>
      <c r="Q1002" s="107">
        <f t="shared" si="91"/>
        <v>59.061994609164401</v>
      </c>
      <c r="R1002" s="107">
        <f t="shared" si="92"/>
        <v>496.33035040431298</v>
      </c>
      <c r="S1002" s="140" t="str">
        <f t="shared" si="93"/>
        <v>Y</v>
      </c>
      <c r="T1002" s="154">
        <f t="shared" si="94"/>
        <v>8.4035487404162179</v>
      </c>
      <c r="U1002" s="154">
        <f t="shared" si="95"/>
        <v>8.4035487404162179</v>
      </c>
    </row>
    <row r="1003" spans="1:21" x14ac:dyDescent="0.35">
      <c r="A1003" s="107">
        <v>3591</v>
      </c>
      <c r="B1003" s="107">
        <v>2015</v>
      </c>
      <c r="C1003" s="107" t="s">
        <v>9</v>
      </c>
      <c r="D1003" s="107" t="s">
        <v>132</v>
      </c>
      <c r="E1003" s="107" t="s">
        <v>10</v>
      </c>
      <c r="F1003" s="115">
        <v>13</v>
      </c>
      <c r="G1003" s="107" t="s">
        <v>37</v>
      </c>
      <c r="H1003" s="107" t="str">
        <f t="shared" si="90"/>
        <v>Area 13: S Puget Sound</v>
      </c>
      <c r="I1003" s="107" t="str">
        <f>IFERROR(VLOOKUP(H1003,LUTs!$A$1:$C$73,2,FALSE),"NA")</f>
        <v>NA</v>
      </c>
      <c r="J1003" s="107" t="str">
        <f>IFERROR(VLOOKUP(H1003,LUTs!$A$1:$C$73,3,FALSE),"NA")</f>
        <v>3South Puget Sound</v>
      </c>
      <c r="K1003" s="107" t="s">
        <v>23</v>
      </c>
      <c r="L1003" s="107" t="str">
        <f>VLOOKUP(K1003,LUTs!E$2:G$14,3,)</f>
        <v>10Kitsap</v>
      </c>
      <c r="M1003" s="107" t="str">
        <f>VLOOKUP($K1003,LUTs!$E$2:$H$14,2,)</f>
        <v>South Puget Sound</v>
      </c>
      <c r="N1003" s="107" t="str">
        <f>VLOOKUP($K1003,LUTs!$E$2:$H$14,4,)</f>
        <v>02South Puget Sound</v>
      </c>
      <c r="O1003" s="107">
        <v>14.7654986522911</v>
      </c>
      <c r="P1003" s="107">
        <v>124.082587601078</v>
      </c>
      <c r="Q1003" s="107">
        <f t="shared" si="91"/>
        <v>14.7654986522911</v>
      </c>
      <c r="R1003" s="107">
        <f t="shared" si="92"/>
        <v>124.082587601078</v>
      </c>
      <c r="S1003" s="140" t="str">
        <f t="shared" si="93"/>
        <v>Y</v>
      </c>
      <c r="T1003" s="154">
        <f t="shared" si="94"/>
        <v>8.4035487404162019</v>
      </c>
      <c r="U1003" s="154">
        <f t="shared" si="95"/>
        <v>8.4035487404162019</v>
      </c>
    </row>
    <row r="1004" spans="1:21" x14ac:dyDescent="0.35">
      <c r="A1004" s="107">
        <v>3590</v>
      </c>
      <c r="B1004" s="107">
        <v>2015</v>
      </c>
      <c r="C1004" s="107" t="s">
        <v>9</v>
      </c>
      <c r="D1004" s="107" t="s">
        <v>132</v>
      </c>
      <c r="E1004" s="107" t="s">
        <v>10</v>
      </c>
      <c r="F1004" s="115">
        <v>13</v>
      </c>
      <c r="G1004" s="107" t="s">
        <v>37</v>
      </c>
      <c r="H1004" s="107" t="str">
        <f t="shared" si="90"/>
        <v>Area 13: S Puget Sound</v>
      </c>
      <c r="I1004" s="107" t="str">
        <f>IFERROR(VLOOKUP(H1004,LUTs!$A$1:$C$73,2,FALSE),"NA")</f>
        <v>NA</v>
      </c>
      <c r="J1004" s="107" t="str">
        <f>IFERROR(VLOOKUP(H1004,LUTs!$A$1:$C$73,3,FALSE),"NA")</f>
        <v>3South Puget Sound</v>
      </c>
      <c r="K1004" s="107" t="s">
        <v>22</v>
      </c>
      <c r="L1004" s="107" t="str">
        <f>VLOOKUP(K1004,LUTs!E$2:G$14,3,)</f>
        <v>09Mason</v>
      </c>
      <c r="M1004" s="107" t="str">
        <f>VLOOKUP($K1004,LUTs!$E$2:$H$14,2,)</f>
        <v>South Puget Sound</v>
      </c>
      <c r="N1004" s="107" t="str">
        <f>VLOOKUP($K1004,LUTs!$E$2:$H$14,4,)</f>
        <v>02South Puget Sound</v>
      </c>
      <c r="O1004" s="107">
        <v>310.07547169811301</v>
      </c>
      <c r="P1004" s="107">
        <v>2605.7343396226402</v>
      </c>
      <c r="Q1004" s="107">
        <f t="shared" si="91"/>
        <v>310.07547169811301</v>
      </c>
      <c r="R1004" s="107">
        <f t="shared" si="92"/>
        <v>2605.7343396226402</v>
      </c>
      <c r="S1004" s="140" t="str">
        <f t="shared" si="93"/>
        <v>Y</v>
      </c>
      <c r="T1004" s="154">
        <f t="shared" si="94"/>
        <v>8.4035487404162108</v>
      </c>
      <c r="U1004" s="154">
        <f t="shared" si="95"/>
        <v>8.4035487404162108</v>
      </c>
    </row>
    <row r="1005" spans="1:21" x14ac:dyDescent="0.35">
      <c r="A1005" s="107">
        <v>3592</v>
      </c>
      <c r="B1005" s="107">
        <v>2015</v>
      </c>
      <c r="C1005" s="107" t="s">
        <v>9</v>
      </c>
      <c r="D1005" s="107" t="s">
        <v>132</v>
      </c>
      <c r="E1005" s="107" t="s">
        <v>10</v>
      </c>
      <c r="F1005" s="115">
        <v>13</v>
      </c>
      <c r="G1005" s="107" t="s">
        <v>37</v>
      </c>
      <c r="H1005" s="107" t="str">
        <f t="shared" si="90"/>
        <v>Area 13: S Puget Sound</v>
      </c>
      <c r="I1005" s="107" t="str">
        <f>IFERROR(VLOOKUP(H1005,LUTs!$A$1:$C$73,2,FALSE),"NA")</f>
        <v>NA</v>
      </c>
      <c r="J1005" s="107" t="str">
        <f>IFERROR(VLOOKUP(H1005,LUTs!$A$1:$C$73,3,FALSE),"NA")</f>
        <v>3South Puget Sound</v>
      </c>
      <c r="K1005" s="107" t="s">
        <v>26</v>
      </c>
      <c r="L1005" s="107" t="str">
        <f>VLOOKUP(K1005,LUTs!E$2:G$14,3,)</f>
        <v>20Other</v>
      </c>
      <c r="M1005" s="107" t="str">
        <f>VLOOKUP($K1005,LUTs!$E$2:$H$14,2,)</f>
        <v>Non Puget Sound</v>
      </c>
      <c r="N1005" s="107" t="str">
        <f>VLOOKUP($K1005,LUTs!$E$2:$H$14,4,)</f>
        <v>07Non Puget Sound</v>
      </c>
      <c r="O1005" s="107">
        <v>147.654986522911</v>
      </c>
      <c r="P1005" s="107">
        <v>1240.8258760107799</v>
      </c>
      <c r="Q1005" s="107">
        <f t="shared" si="91"/>
        <v>147.654986522911</v>
      </c>
      <c r="R1005" s="107">
        <f t="shared" si="92"/>
        <v>1240.8258760107799</v>
      </c>
      <c r="S1005" s="140" t="str">
        <f t="shared" si="93"/>
        <v>Y</v>
      </c>
      <c r="T1005" s="154">
        <f t="shared" si="94"/>
        <v>8.4035487404162001</v>
      </c>
      <c r="U1005" s="154">
        <f t="shared" si="95"/>
        <v>8.4035487404162001</v>
      </c>
    </row>
    <row r="1006" spans="1:21" x14ac:dyDescent="0.35">
      <c r="A1006" s="107">
        <v>3538</v>
      </c>
      <c r="B1006" s="107">
        <v>2015</v>
      </c>
      <c r="C1006" s="107" t="s">
        <v>9</v>
      </c>
      <c r="D1006" s="107" t="s">
        <v>132</v>
      </c>
      <c r="E1006" s="107" t="s">
        <v>10</v>
      </c>
      <c r="F1006" s="115">
        <v>13</v>
      </c>
      <c r="G1006" s="107" t="s">
        <v>37</v>
      </c>
      <c r="H1006" s="107" t="str">
        <f t="shared" si="90"/>
        <v>Area 13: S Puget Sound</v>
      </c>
      <c r="I1006" s="107" t="str">
        <f>IFERROR(VLOOKUP(H1006,LUTs!$A$1:$C$73,2,FALSE),"NA")</f>
        <v>NA</v>
      </c>
      <c r="J1006" s="107" t="str">
        <f>IFERROR(VLOOKUP(H1006,LUTs!$A$1:$C$73,3,FALSE),"NA")</f>
        <v>3South Puget Sound</v>
      </c>
      <c r="K1006" s="107" t="s">
        <v>20</v>
      </c>
      <c r="L1006" s="107" t="str">
        <f>VLOOKUP(K1006,LUTs!E$2:G$14,3,)</f>
        <v>07Pierce</v>
      </c>
      <c r="M1006" s="107" t="str">
        <f>VLOOKUP($K1006,LUTs!$E$2:$H$14,2,)</f>
        <v>South Puget Sound</v>
      </c>
      <c r="N1006" s="107" t="str">
        <f>VLOOKUP($K1006,LUTs!$E$2:$H$14,4,)</f>
        <v>02South Puget Sound</v>
      </c>
      <c r="O1006" s="107">
        <v>1129.5606469002701</v>
      </c>
      <c r="P1006" s="107">
        <v>9492.3179514824806</v>
      </c>
      <c r="Q1006" s="107">
        <f t="shared" si="91"/>
        <v>1129.5606469002701</v>
      </c>
      <c r="R1006" s="107">
        <f t="shared" si="92"/>
        <v>9492.3179514824806</v>
      </c>
      <c r="S1006" s="140" t="str">
        <f t="shared" si="93"/>
        <v>Y</v>
      </c>
      <c r="T1006" s="154">
        <f t="shared" si="94"/>
        <v>8.4035487404162073</v>
      </c>
      <c r="U1006" s="154">
        <f t="shared" si="95"/>
        <v>8.4035487404162073</v>
      </c>
    </row>
    <row r="1007" spans="1:21" x14ac:dyDescent="0.35">
      <c r="A1007" s="107">
        <v>3539</v>
      </c>
      <c r="B1007" s="107">
        <v>2015</v>
      </c>
      <c r="C1007" s="107" t="s">
        <v>9</v>
      </c>
      <c r="D1007" s="107" t="s">
        <v>132</v>
      </c>
      <c r="E1007" s="107" t="s">
        <v>10</v>
      </c>
      <c r="F1007" s="115">
        <v>13</v>
      </c>
      <c r="G1007" s="107" t="s">
        <v>37</v>
      </c>
      <c r="H1007" s="107" t="str">
        <f t="shared" si="90"/>
        <v>Area 13: S Puget Sound</v>
      </c>
      <c r="I1007" s="107" t="str">
        <f>IFERROR(VLOOKUP(H1007,LUTs!$A$1:$C$73,2,FALSE),"NA")</f>
        <v>NA</v>
      </c>
      <c r="J1007" s="107" t="str">
        <f>IFERROR(VLOOKUP(H1007,LUTs!$A$1:$C$73,3,FALSE),"NA")</f>
        <v>3South Puget Sound</v>
      </c>
      <c r="K1007" s="107" t="s">
        <v>21</v>
      </c>
      <c r="L1007" s="107" t="str">
        <f>VLOOKUP(K1007,LUTs!E$2:G$14,3,)</f>
        <v>08Thurston</v>
      </c>
      <c r="M1007" s="107" t="str">
        <f>VLOOKUP($K1007,LUTs!$E$2:$H$14,2,)</f>
        <v>South Puget Sound</v>
      </c>
      <c r="N1007" s="107" t="str">
        <f>VLOOKUP($K1007,LUTs!$E$2:$H$14,4,)</f>
        <v>02South Puget Sound</v>
      </c>
      <c r="O1007" s="107">
        <v>1077.88140161725</v>
      </c>
      <c r="P1007" s="107">
        <v>9058.0288948787093</v>
      </c>
      <c r="Q1007" s="107">
        <f t="shared" si="91"/>
        <v>1077.88140161725</v>
      </c>
      <c r="R1007" s="107">
        <f t="shared" si="92"/>
        <v>9058.0288948787093</v>
      </c>
      <c r="S1007" s="140" t="str">
        <f t="shared" si="93"/>
        <v>Y</v>
      </c>
      <c r="T1007" s="154">
        <f t="shared" si="94"/>
        <v>8.4035487404162179</v>
      </c>
      <c r="U1007" s="154">
        <f t="shared" si="95"/>
        <v>8.4035487404162179</v>
      </c>
    </row>
    <row r="1008" spans="1:21" x14ac:dyDescent="0.35">
      <c r="A1008" s="107">
        <v>76</v>
      </c>
      <c r="B1008" s="107">
        <v>2016</v>
      </c>
      <c r="C1008" s="107" t="s">
        <v>9</v>
      </c>
      <c r="D1008" s="107" t="s">
        <v>132</v>
      </c>
      <c r="E1008" s="107" t="s">
        <v>10</v>
      </c>
      <c r="F1008" s="115">
        <v>13</v>
      </c>
      <c r="G1008" s="107" t="s">
        <v>37</v>
      </c>
      <c r="H1008" s="107" t="str">
        <f t="shared" si="90"/>
        <v>Area 13: S Puget Sound</v>
      </c>
      <c r="I1008" s="107" t="str">
        <f>IFERROR(VLOOKUP(H1008,LUTs!$A$1:$C$73,2,FALSE),"NA")</f>
        <v>NA</v>
      </c>
      <c r="J1008" s="107" t="str">
        <f>IFERROR(VLOOKUP(H1008,LUTs!$A$1:$C$73,3,FALSE),"NA")</f>
        <v>3South Puget Sound</v>
      </c>
      <c r="K1008" s="107" t="s">
        <v>17</v>
      </c>
      <c r="L1008" s="107" t="str">
        <f>VLOOKUP(K1008,LUTs!E$2:G$14,3,)</f>
        <v>04Island</v>
      </c>
      <c r="M1008" s="107" t="str">
        <f>VLOOKUP($K1008,LUTs!$E$2:$H$14,2,)</f>
        <v>North Puget Sound</v>
      </c>
      <c r="N1008" s="107" t="str">
        <f>VLOOKUP($K1008,LUTs!$E$2:$H$14,4,)</f>
        <v>01North Puget Sound</v>
      </c>
      <c r="O1008" s="107">
        <v>23.3520710059172</v>
      </c>
      <c r="P1008" s="107">
        <v>139.59177514792901</v>
      </c>
      <c r="Q1008" s="107">
        <f t="shared" si="91"/>
        <v>23.3520710059172</v>
      </c>
      <c r="R1008" s="107">
        <f t="shared" si="92"/>
        <v>139.59177514792901</v>
      </c>
      <c r="S1008" s="140" t="str">
        <f t="shared" si="93"/>
        <v>Y</v>
      </c>
      <c r="T1008" s="154">
        <f t="shared" si="94"/>
        <v>5.9777042949448784</v>
      </c>
      <c r="U1008" s="154">
        <f t="shared" si="95"/>
        <v>5.9777042949448784</v>
      </c>
    </row>
    <row r="1009" spans="1:21" x14ac:dyDescent="0.35">
      <c r="A1009" s="107">
        <v>77</v>
      </c>
      <c r="B1009" s="107">
        <v>2016</v>
      </c>
      <c r="C1009" s="107" t="s">
        <v>9</v>
      </c>
      <c r="D1009" s="107" t="s">
        <v>132</v>
      </c>
      <c r="E1009" s="107" t="s">
        <v>10</v>
      </c>
      <c r="F1009" s="115">
        <v>13</v>
      </c>
      <c r="G1009" s="107" t="s">
        <v>37</v>
      </c>
      <c r="H1009" s="107" t="str">
        <f t="shared" si="90"/>
        <v>Area 13: S Puget Sound</v>
      </c>
      <c r="I1009" s="107" t="str">
        <f>IFERROR(VLOOKUP(H1009,LUTs!$A$1:$C$73,2,FALSE),"NA")</f>
        <v>NA</v>
      </c>
      <c r="J1009" s="107" t="str">
        <f>IFERROR(VLOOKUP(H1009,LUTs!$A$1:$C$73,3,FALSE),"NA")</f>
        <v>3South Puget Sound</v>
      </c>
      <c r="K1009" s="107" t="s">
        <v>18</v>
      </c>
      <c r="L1009" s="107" t="str">
        <f>VLOOKUP(K1009,LUTs!E$2:G$14,3,)</f>
        <v>06King</v>
      </c>
      <c r="M1009" s="107" t="str">
        <f>VLOOKUP($K1009,LUTs!$E$2:$H$14,2,)</f>
        <v>South Puget Sound</v>
      </c>
      <c r="N1009" s="107" t="str">
        <f>VLOOKUP($K1009,LUTs!$E$2:$H$14,4,)</f>
        <v>02South Puget Sound</v>
      </c>
      <c r="O1009" s="107">
        <v>147.89644970414199</v>
      </c>
      <c r="P1009" s="107">
        <v>884.081242603551</v>
      </c>
      <c r="Q1009" s="107">
        <f t="shared" si="91"/>
        <v>147.89644970414199</v>
      </c>
      <c r="R1009" s="107">
        <f t="shared" si="92"/>
        <v>884.081242603551</v>
      </c>
      <c r="S1009" s="140" t="str">
        <f t="shared" si="93"/>
        <v>Y</v>
      </c>
      <c r="T1009" s="154">
        <f t="shared" si="94"/>
        <v>5.9777042949448935</v>
      </c>
      <c r="U1009" s="154">
        <f t="shared" si="95"/>
        <v>5.9777042949448935</v>
      </c>
    </row>
    <row r="1010" spans="1:21" x14ac:dyDescent="0.35">
      <c r="A1010" s="107">
        <v>81</v>
      </c>
      <c r="B1010" s="107">
        <v>2016</v>
      </c>
      <c r="C1010" s="107" t="s">
        <v>9</v>
      </c>
      <c r="D1010" s="107" t="s">
        <v>132</v>
      </c>
      <c r="E1010" s="107" t="s">
        <v>10</v>
      </c>
      <c r="F1010" s="115">
        <v>13</v>
      </c>
      <c r="G1010" s="107" t="s">
        <v>37</v>
      </c>
      <c r="H1010" s="107" t="str">
        <f t="shared" si="90"/>
        <v>Area 13: S Puget Sound</v>
      </c>
      <c r="I1010" s="107" t="str">
        <f>IFERROR(VLOOKUP(H1010,LUTs!$A$1:$C$73,2,FALSE),"NA")</f>
        <v>NA</v>
      </c>
      <c r="J1010" s="107" t="str">
        <f>IFERROR(VLOOKUP(H1010,LUTs!$A$1:$C$73,3,FALSE),"NA")</f>
        <v>3South Puget Sound</v>
      </c>
      <c r="K1010" s="107" t="s">
        <v>23</v>
      </c>
      <c r="L1010" s="107" t="str">
        <f>VLOOKUP(K1010,LUTs!E$2:G$14,3,)</f>
        <v>10Kitsap</v>
      </c>
      <c r="M1010" s="107" t="str">
        <f>VLOOKUP($K1010,LUTs!$E$2:$H$14,2,)</f>
        <v>South Puget Sound</v>
      </c>
      <c r="N1010" s="107" t="str">
        <f>VLOOKUP($K1010,LUTs!$E$2:$H$14,4,)</f>
        <v>02South Puget Sound</v>
      </c>
      <c r="O1010" s="107">
        <v>179.03254437869799</v>
      </c>
      <c r="P1010" s="107">
        <v>1070.20360946746</v>
      </c>
      <c r="Q1010" s="107">
        <f t="shared" si="91"/>
        <v>179.03254437869799</v>
      </c>
      <c r="R1010" s="107">
        <f t="shared" si="92"/>
        <v>1070.20360946746</v>
      </c>
      <c r="S1010" s="140" t="str">
        <f t="shared" si="93"/>
        <v>Y</v>
      </c>
      <c r="T1010" s="154">
        <f t="shared" si="94"/>
        <v>5.9777042949449202</v>
      </c>
      <c r="U1010" s="154">
        <f t="shared" si="95"/>
        <v>5.9777042949449202</v>
      </c>
    </row>
    <row r="1011" spans="1:21" x14ac:dyDescent="0.35">
      <c r="A1011" s="107">
        <v>80</v>
      </c>
      <c r="B1011" s="107">
        <v>2016</v>
      </c>
      <c r="C1011" s="107" t="s">
        <v>9</v>
      </c>
      <c r="D1011" s="107" t="s">
        <v>132</v>
      </c>
      <c r="E1011" s="107" t="s">
        <v>10</v>
      </c>
      <c r="F1011" s="115">
        <v>13</v>
      </c>
      <c r="G1011" s="107" t="s">
        <v>37</v>
      </c>
      <c r="H1011" s="107" t="str">
        <f t="shared" si="90"/>
        <v>Area 13: S Puget Sound</v>
      </c>
      <c r="I1011" s="107" t="str">
        <f>IFERROR(VLOOKUP(H1011,LUTs!$A$1:$C$73,2,FALSE),"NA")</f>
        <v>NA</v>
      </c>
      <c r="J1011" s="107" t="str">
        <f>IFERROR(VLOOKUP(H1011,LUTs!$A$1:$C$73,3,FALSE),"NA")</f>
        <v>3South Puget Sound</v>
      </c>
      <c r="K1011" s="107" t="s">
        <v>22</v>
      </c>
      <c r="L1011" s="107" t="str">
        <f>VLOOKUP(K1011,LUTs!E$2:G$14,3,)</f>
        <v>09Mason</v>
      </c>
      <c r="M1011" s="107" t="str">
        <f>VLOOKUP($K1011,LUTs!$E$2:$H$14,2,)</f>
        <v>South Puget Sound</v>
      </c>
      <c r="N1011" s="107" t="str">
        <f>VLOOKUP($K1011,LUTs!$E$2:$H$14,4,)</f>
        <v>02South Puget Sound</v>
      </c>
      <c r="O1011" s="107">
        <v>31.136094674556201</v>
      </c>
      <c r="P1011" s="107">
        <v>186.122366863905</v>
      </c>
      <c r="Q1011" s="107">
        <f t="shared" si="91"/>
        <v>31.136094674556201</v>
      </c>
      <c r="R1011" s="107">
        <f t="shared" si="92"/>
        <v>186.122366863905</v>
      </c>
      <c r="S1011" s="140" t="str">
        <f t="shared" si="93"/>
        <v>Y</v>
      </c>
      <c r="T1011" s="154">
        <f t="shared" si="94"/>
        <v>5.9777042949448793</v>
      </c>
      <c r="U1011" s="154">
        <f t="shared" si="95"/>
        <v>5.9777042949448793</v>
      </c>
    </row>
    <row r="1012" spans="1:21" x14ac:dyDescent="0.35">
      <c r="A1012" s="107">
        <v>82</v>
      </c>
      <c r="B1012" s="107">
        <v>2016</v>
      </c>
      <c r="C1012" s="107" t="s">
        <v>9</v>
      </c>
      <c r="D1012" s="107" t="s">
        <v>132</v>
      </c>
      <c r="E1012" s="107" t="s">
        <v>10</v>
      </c>
      <c r="F1012" s="115">
        <v>13</v>
      </c>
      <c r="G1012" s="107" t="s">
        <v>37</v>
      </c>
      <c r="H1012" s="107" t="str">
        <f t="shared" si="90"/>
        <v>Area 13: S Puget Sound</v>
      </c>
      <c r="I1012" s="107" t="str">
        <f>IFERROR(VLOOKUP(H1012,LUTs!$A$1:$C$73,2,FALSE),"NA")</f>
        <v>NA</v>
      </c>
      <c r="J1012" s="107" t="str">
        <f>IFERROR(VLOOKUP(H1012,LUTs!$A$1:$C$73,3,FALSE),"NA")</f>
        <v>3South Puget Sound</v>
      </c>
      <c r="K1012" s="107" t="s">
        <v>26</v>
      </c>
      <c r="L1012" s="107" t="str">
        <f>VLOOKUP(K1012,LUTs!E$2:G$14,3,)</f>
        <v>20Other</v>
      </c>
      <c r="M1012" s="107" t="str">
        <f>VLOOKUP($K1012,LUTs!$E$2:$H$14,2,)</f>
        <v>Non Puget Sound</v>
      </c>
      <c r="N1012" s="107" t="str">
        <f>VLOOKUP($K1012,LUTs!$E$2:$H$14,4,)</f>
        <v>07Non Puget Sound</v>
      </c>
      <c r="O1012" s="107">
        <v>233.52071005917199</v>
      </c>
      <c r="P1012" s="107">
        <v>1395.91775147929</v>
      </c>
      <c r="Q1012" s="107">
        <f t="shared" si="91"/>
        <v>233.52071005917199</v>
      </c>
      <c r="R1012" s="107">
        <f t="shared" si="92"/>
        <v>1395.91775147929</v>
      </c>
      <c r="S1012" s="140" t="str">
        <f t="shared" si="93"/>
        <v>Y</v>
      </c>
      <c r="T1012" s="154">
        <f t="shared" si="94"/>
        <v>5.9777042949448784</v>
      </c>
      <c r="U1012" s="154">
        <f t="shared" si="95"/>
        <v>5.9777042949448784</v>
      </c>
    </row>
    <row r="1013" spans="1:21" x14ac:dyDescent="0.35">
      <c r="A1013" s="107">
        <v>78</v>
      </c>
      <c r="B1013" s="107">
        <v>2016</v>
      </c>
      <c r="C1013" s="107" t="s">
        <v>9</v>
      </c>
      <c r="D1013" s="107" t="s">
        <v>132</v>
      </c>
      <c r="E1013" s="107" t="s">
        <v>10</v>
      </c>
      <c r="F1013" s="115">
        <v>13</v>
      </c>
      <c r="G1013" s="107" t="s">
        <v>37</v>
      </c>
      <c r="H1013" s="107" t="str">
        <f t="shared" si="90"/>
        <v>Area 13: S Puget Sound</v>
      </c>
      <c r="I1013" s="107" t="str">
        <f>IFERROR(VLOOKUP(H1013,LUTs!$A$1:$C$73,2,FALSE),"NA")</f>
        <v>NA</v>
      </c>
      <c r="J1013" s="107" t="str">
        <f>IFERROR(VLOOKUP(H1013,LUTs!$A$1:$C$73,3,FALSE),"NA")</f>
        <v>3South Puget Sound</v>
      </c>
      <c r="K1013" s="107" t="s">
        <v>20</v>
      </c>
      <c r="L1013" s="107" t="str">
        <f>VLOOKUP(K1013,LUTs!E$2:G$14,3,)</f>
        <v>07Pierce</v>
      </c>
      <c r="M1013" s="107" t="str">
        <f>VLOOKUP($K1013,LUTs!$E$2:$H$14,2,)</f>
        <v>South Puget Sound</v>
      </c>
      <c r="N1013" s="107" t="str">
        <f>VLOOKUP($K1013,LUTs!$E$2:$H$14,4,)</f>
        <v>02South Puget Sound</v>
      </c>
      <c r="O1013" s="107">
        <v>809.538461538462</v>
      </c>
      <c r="P1013" s="107">
        <v>4839.1815384615402</v>
      </c>
      <c r="Q1013" s="107">
        <f t="shared" si="91"/>
        <v>809.538461538462</v>
      </c>
      <c r="R1013" s="107">
        <f t="shared" si="92"/>
        <v>4839.1815384615402</v>
      </c>
      <c r="S1013" s="140" t="str">
        <f t="shared" si="93"/>
        <v>Y</v>
      </c>
      <c r="T1013" s="154">
        <f t="shared" si="94"/>
        <v>5.9777042949448864</v>
      </c>
      <c r="U1013" s="154">
        <f t="shared" si="95"/>
        <v>5.9777042949448864</v>
      </c>
    </row>
    <row r="1014" spans="1:21" x14ac:dyDescent="0.35">
      <c r="A1014" s="107">
        <v>79</v>
      </c>
      <c r="B1014" s="107">
        <v>2016</v>
      </c>
      <c r="C1014" s="107" t="s">
        <v>9</v>
      </c>
      <c r="D1014" s="107" t="s">
        <v>132</v>
      </c>
      <c r="E1014" s="107" t="s">
        <v>10</v>
      </c>
      <c r="F1014" s="115">
        <v>13</v>
      </c>
      <c r="G1014" s="107" t="s">
        <v>37</v>
      </c>
      <c r="H1014" s="107" t="str">
        <f t="shared" si="90"/>
        <v>Area 13: S Puget Sound</v>
      </c>
      <c r="I1014" s="107" t="str">
        <f>IFERROR(VLOOKUP(H1014,LUTs!$A$1:$C$73,2,FALSE),"NA")</f>
        <v>NA</v>
      </c>
      <c r="J1014" s="107" t="str">
        <f>IFERROR(VLOOKUP(H1014,LUTs!$A$1:$C$73,3,FALSE),"NA")</f>
        <v>3South Puget Sound</v>
      </c>
      <c r="K1014" s="107" t="s">
        <v>21</v>
      </c>
      <c r="L1014" s="107" t="str">
        <f>VLOOKUP(K1014,LUTs!E$2:G$14,3,)</f>
        <v>08Thurston</v>
      </c>
      <c r="M1014" s="107" t="str">
        <f>VLOOKUP($K1014,LUTs!$E$2:$H$14,2,)</f>
        <v>South Puget Sound</v>
      </c>
      <c r="N1014" s="107" t="str">
        <f>VLOOKUP($K1014,LUTs!$E$2:$H$14,4,)</f>
        <v>02South Puget Sound</v>
      </c>
      <c r="O1014" s="107">
        <v>1206.5236686390499</v>
      </c>
      <c r="P1014" s="107">
        <v>7212.2417159763299</v>
      </c>
      <c r="Q1014" s="107">
        <f t="shared" si="91"/>
        <v>1206.5236686390499</v>
      </c>
      <c r="R1014" s="107">
        <f t="shared" si="92"/>
        <v>7212.2417159763299</v>
      </c>
      <c r="S1014" s="140" t="str">
        <f t="shared" si="93"/>
        <v>Y</v>
      </c>
      <c r="T1014" s="154">
        <f t="shared" si="94"/>
        <v>5.9777042949449033</v>
      </c>
      <c r="U1014" s="154">
        <f t="shared" si="95"/>
        <v>5.9777042949449033</v>
      </c>
    </row>
    <row r="1015" spans="1:21" x14ac:dyDescent="0.35">
      <c r="A1015" s="107">
        <v>194</v>
      </c>
      <c r="B1015" s="107">
        <v>2017</v>
      </c>
      <c r="C1015" s="107" t="s">
        <v>9</v>
      </c>
      <c r="D1015" s="107" t="s">
        <v>132</v>
      </c>
      <c r="E1015" s="107" t="s">
        <v>10</v>
      </c>
      <c r="F1015" s="115">
        <v>13</v>
      </c>
      <c r="G1015" s="107" t="s">
        <v>37</v>
      </c>
      <c r="H1015" s="107" t="str">
        <f t="shared" si="90"/>
        <v>Area 13: S Puget Sound</v>
      </c>
      <c r="I1015" s="107" t="str">
        <f>IFERROR(VLOOKUP(H1015,LUTs!$A$1:$C$73,2,FALSE),"NA")</f>
        <v>NA</v>
      </c>
      <c r="J1015" s="107" t="str">
        <f>IFERROR(VLOOKUP(H1015,LUTs!$A$1:$C$73,3,FALSE),"NA")</f>
        <v>3South Puget Sound</v>
      </c>
      <c r="K1015" s="107" t="s">
        <v>24</v>
      </c>
      <c r="L1015" s="107" t="str">
        <f>VLOOKUP(K1015,LUTs!E$2:G$14,3,)</f>
        <v>11Clallam</v>
      </c>
      <c r="M1015" s="107" t="str">
        <f>VLOOKUP($K1015,LUTs!$E$2:$H$14,2,)</f>
        <v>Strait of Juan de Fuca</v>
      </c>
      <c r="N1015" s="107" t="str">
        <f>VLOOKUP($K1015,LUTs!$E$2:$H$14,4,)</f>
        <v>03Strait of Juan de Fuca</v>
      </c>
      <c r="O1015" s="107">
        <v>16.338549075391199</v>
      </c>
      <c r="P1015" s="107">
        <v>18.374076454428099</v>
      </c>
      <c r="Q1015" s="107">
        <f t="shared" si="91"/>
        <v>16.338549075391199</v>
      </c>
      <c r="R1015" s="107">
        <f t="shared" si="92"/>
        <v>18.374076454428099</v>
      </c>
      <c r="S1015" s="140" t="str">
        <f t="shared" si="93"/>
        <v>Y</v>
      </c>
      <c r="T1015" s="154">
        <f t="shared" si="94"/>
        <v>1.1245843415865349</v>
      </c>
      <c r="U1015" s="154">
        <f t="shared" si="95"/>
        <v>1.1245843415865349</v>
      </c>
    </row>
    <row r="1016" spans="1:21" x14ac:dyDescent="0.35">
      <c r="A1016" s="107">
        <v>195</v>
      </c>
      <c r="B1016" s="107">
        <v>2017</v>
      </c>
      <c r="C1016" s="107" t="s">
        <v>9</v>
      </c>
      <c r="D1016" s="107" t="s">
        <v>132</v>
      </c>
      <c r="E1016" s="107" t="s">
        <v>10</v>
      </c>
      <c r="F1016" s="115">
        <v>13</v>
      </c>
      <c r="G1016" s="107" t="s">
        <v>37</v>
      </c>
      <c r="H1016" s="107" t="str">
        <f t="shared" si="90"/>
        <v>Area 13: S Puget Sound</v>
      </c>
      <c r="I1016" s="107" t="str">
        <f>IFERROR(VLOOKUP(H1016,LUTs!$A$1:$C$73,2,FALSE),"NA")</f>
        <v>NA</v>
      </c>
      <c r="J1016" s="107" t="str">
        <f>IFERROR(VLOOKUP(H1016,LUTs!$A$1:$C$73,3,FALSE),"NA")</f>
        <v>3South Puget Sound</v>
      </c>
      <c r="K1016" s="107" t="s">
        <v>25</v>
      </c>
      <c r="L1016" s="107" t="str">
        <f>VLOOKUP(K1016,LUTs!E$2:G$14,3,)</f>
        <v>12Jefferson</v>
      </c>
      <c r="M1016" s="107" t="str">
        <f>VLOOKUP($K1016,LUTs!$E$2:$H$14,2,)</f>
        <v>Strait of Juan de Fuca</v>
      </c>
      <c r="N1016" s="107" t="str">
        <f>VLOOKUP($K1016,LUTs!$E$2:$H$14,4,)</f>
        <v>03Strait of Juan de Fuca</v>
      </c>
      <c r="O1016" s="107">
        <v>32.677098150782399</v>
      </c>
      <c r="P1016" s="107">
        <v>36.748152908856298</v>
      </c>
      <c r="Q1016" s="107">
        <f t="shared" si="91"/>
        <v>32.677098150782399</v>
      </c>
      <c r="R1016" s="107">
        <f t="shared" si="92"/>
        <v>36.748152908856298</v>
      </c>
      <c r="S1016" s="140" t="str">
        <f t="shared" si="93"/>
        <v>Y</v>
      </c>
      <c r="T1016" s="154">
        <f t="shared" si="94"/>
        <v>1.1245843415865378</v>
      </c>
      <c r="U1016" s="154">
        <f t="shared" si="95"/>
        <v>1.1245843415865378</v>
      </c>
    </row>
    <row r="1017" spans="1:21" x14ac:dyDescent="0.35">
      <c r="A1017" s="107">
        <v>189</v>
      </c>
      <c r="B1017" s="107">
        <v>2017</v>
      </c>
      <c r="C1017" s="107" t="s">
        <v>9</v>
      </c>
      <c r="D1017" s="107" t="s">
        <v>132</v>
      </c>
      <c r="E1017" s="107" t="s">
        <v>10</v>
      </c>
      <c r="F1017" s="115">
        <v>13</v>
      </c>
      <c r="G1017" s="107" t="s">
        <v>37</v>
      </c>
      <c r="H1017" s="107" t="str">
        <f t="shared" si="90"/>
        <v>Area 13: S Puget Sound</v>
      </c>
      <c r="I1017" s="107" t="str">
        <f>IFERROR(VLOOKUP(H1017,LUTs!$A$1:$C$73,2,FALSE),"NA")</f>
        <v>NA</v>
      </c>
      <c r="J1017" s="107" t="str">
        <f>IFERROR(VLOOKUP(H1017,LUTs!$A$1:$C$73,3,FALSE),"NA")</f>
        <v>3South Puget Sound</v>
      </c>
      <c r="K1017" s="107" t="s">
        <v>18</v>
      </c>
      <c r="L1017" s="107" t="str">
        <f>VLOOKUP(K1017,LUTs!E$2:G$14,3,)</f>
        <v>06King</v>
      </c>
      <c r="M1017" s="107" t="str">
        <f>VLOOKUP($K1017,LUTs!$E$2:$H$14,2,)</f>
        <v>South Puget Sound</v>
      </c>
      <c r="N1017" s="107" t="str">
        <f>VLOOKUP($K1017,LUTs!$E$2:$H$14,4,)</f>
        <v>02South Puget Sound</v>
      </c>
      <c r="O1017" s="107">
        <v>253.247510668563</v>
      </c>
      <c r="P1017" s="107">
        <v>284.79818504363601</v>
      </c>
      <c r="Q1017" s="107">
        <f t="shared" si="91"/>
        <v>253.247510668563</v>
      </c>
      <c r="R1017" s="107">
        <f t="shared" si="92"/>
        <v>284.79818504363601</v>
      </c>
      <c r="S1017" s="140" t="str">
        <f t="shared" si="93"/>
        <v>Y</v>
      </c>
      <c r="T1017" s="154">
        <f t="shared" si="94"/>
        <v>1.1245843415865393</v>
      </c>
      <c r="U1017" s="154">
        <f t="shared" si="95"/>
        <v>1.1245843415865393</v>
      </c>
    </row>
    <row r="1018" spans="1:21" x14ac:dyDescent="0.35">
      <c r="A1018" s="107">
        <v>193</v>
      </c>
      <c r="B1018" s="107">
        <v>2017</v>
      </c>
      <c r="C1018" s="107" t="s">
        <v>9</v>
      </c>
      <c r="D1018" s="107" t="s">
        <v>132</v>
      </c>
      <c r="E1018" s="107" t="s">
        <v>10</v>
      </c>
      <c r="F1018" s="115">
        <v>13</v>
      </c>
      <c r="G1018" s="107" t="s">
        <v>37</v>
      </c>
      <c r="H1018" s="107" t="str">
        <f t="shared" si="90"/>
        <v>Area 13: S Puget Sound</v>
      </c>
      <c r="I1018" s="107" t="str">
        <f>IFERROR(VLOOKUP(H1018,LUTs!$A$1:$C$73,2,FALSE),"NA")</f>
        <v>NA</v>
      </c>
      <c r="J1018" s="107" t="str">
        <f>IFERROR(VLOOKUP(H1018,LUTs!$A$1:$C$73,3,FALSE),"NA")</f>
        <v>3South Puget Sound</v>
      </c>
      <c r="K1018" s="107" t="s">
        <v>23</v>
      </c>
      <c r="L1018" s="107" t="str">
        <f>VLOOKUP(K1018,LUTs!E$2:G$14,3,)</f>
        <v>10Kitsap</v>
      </c>
      <c r="M1018" s="107" t="str">
        <f>VLOOKUP($K1018,LUTs!$E$2:$H$14,2,)</f>
        <v>South Puget Sound</v>
      </c>
      <c r="N1018" s="107" t="str">
        <f>VLOOKUP($K1018,LUTs!$E$2:$H$14,4,)</f>
        <v>02South Puget Sound</v>
      </c>
      <c r="O1018" s="107">
        <v>179.724039829303</v>
      </c>
      <c r="P1018" s="107">
        <v>202.11484099870901</v>
      </c>
      <c r="Q1018" s="107">
        <f t="shared" si="91"/>
        <v>179.724039829303</v>
      </c>
      <c r="R1018" s="107">
        <f t="shared" si="92"/>
        <v>202.11484099870901</v>
      </c>
      <c r="S1018" s="140" t="str">
        <f t="shared" si="93"/>
        <v>Y</v>
      </c>
      <c r="T1018" s="154">
        <f t="shared" si="94"/>
        <v>1.1245843415865355</v>
      </c>
      <c r="U1018" s="154">
        <f t="shared" si="95"/>
        <v>1.1245843415865355</v>
      </c>
    </row>
    <row r="1019" spans="1:21" x14ac:dyDescent="0.35">
      <c r="A1019" s="107">
        <v>192</v>
      </c>
      <c r="B1019" s="107">
        <v>2017</v>
      </c>
      <c r="C1019" s="107" t="s">
        <v>9</v>
      </c>
      <c r="D1019" s="107" t="s">
        <v>132</v>
      </c>
      <c r="E1019" s="107" t="s">
        <v>10</v>
      </c>
      <c r="F1019" s="115">
        <v>13</v>
      </c>
      <c r="G1019" s="107" t="s">
        <v>37</v>
      </c>
      <c r="H1019" s="107" t="str">
        <f t="shared" si="90"/>
        <v>Area 13: S Puget Sound</v>
      </c>
      <c r="I1019" s="107" t="str">
        <f>IFERROR(VLOOKUP(H1019,LUTs!$A$1:$C$73,2,FALSE),"NA")</f>
        <v>NA</v>
      </c>
      <c r="J1019" s="107" t="str">
        <f>IFERROR(VLOOKUP(H1019,LUTs!$A$1:$C$73,3,FALSE),"NA")</f>
        <v>3South Puget Sound</v>
      </c>
      <c r="K1019" s="107" t="s">
        <v>22</v>
      </c>
      <c r="L1019" s="107" t="str">
        <f>VLOOKUP(K1019,LUTs!E$2:G$14,3,)</f>
        <v>09Mason</v>
      </c>
      <c r="M1019" s="107" t="str">
        <f>VLOOKUP($K1019,LUTs!$E$2:$H$14,2,)</f>
        <v>South Puget Sound</v>
      </c>
      <c r="N1019" s="107" t="str">
        <f>VLOOKUP($K1019,LUTs!$E$2:$H$14,4,)</f>
        <v>02South Puget Sound</v>
      </c>
      <c r="O1019" s="107">
        <v>751.57325746799404</v>
      </c>
      <c r="P1019" s="107">
        <v>845.207516903694</v>
      </c>
      <c r="Q1019" s="107">
        <f t="shared" si="91"/>
        <v>751.57325746799404</v>
      </c>
      <c r="R1019" s="107">
        <f t="shared" si="92"/>
        <v>845.207516903694</v>
      </c>
      <c r="S1019" s="140" t="str">
        <f t="shared" si="93"/>
        <v>Y</v>
      </c>
      <c r="T1019" s="154">
        <f t="shared" si="94"/>
        <v>1.1245843415865384</v>
      </c>
      <c r="U1019" s="154">
        <f t="shared" si="95"/>
        <v>1.1245843415865384</v>
      </c>
    </row>
    <row r="1020" spans="1:21" x14ac:dyDescent="0.35">
      <c r="A1020" s="107">
        <v>196</v>
      </c>
      <c r="B1020" s="107">
        <v>2017</v>
      </c>
      <c r="C1020" s="107" t="s">
        <v>9</v>
      </c>
      <c r="D1020" s="107" t="s">
        <v>132</v>
      </c>
      <c r="E1020" s="107" t="s">
        <v>10</v>
      </c>
      <c r="F1020" s="115">
        <v>13</v>
      </c>
      <c r="G1020" s="107" t="s">
        <v>37</v>
      </c>
      <c r="H1020" s="107" t="str">
        <f t="shared" si="90"/>
        <v>Area 13: S Puget Sound</v>
      </c>
      <c r="I1020" s="107" t="str">
        <f>IFERROR(VLOOKUP(H1020,LUTs!$A$1:$C$73,2,FALSE),"NA")</f>
        <v>NA</v>
      </c>
      <c r="J1020" s="107" t="str">
        <f>IFERROR(VLOOKUP(H1020,LUTs!$A$1:$C$73,3,FALSE),"NA")</f>
        <v>3South Puget Sound</v>
      </c>
      <c r="K1020" s="107" t="s">
        <v>26</v>
      </c>
      <c r="L1020" s="107" t="str">
        <f>VLOOKUP(K1020,LUTs!E$2:G$14,3,)</f>
        <v>20Other</v>
      </c>
      <c r="M1020" s="107" t="str">
        <f>VLOOKUP($K1020,LUTs!$E$2:$H$14,2,)</f>
        <v>Non Puget Sound</v>
      </c>
      <c r="N1020" s="107" t="str">
        <f>VLOOKUP($K1020,LUTs!$E$2:$H$14,4,)</f>
        <v>07Non Puget Sound</v>
      </c>
      <c r="O1020" s="107">
        <v>661.71123755334304</v>
      </c>
      <c r="P1020" s="107">
        <v>744.15009640433902</v>
      </c>
      <c r="Q1020" s="107">
        <f t="shared" si="91"/>
        <v>661.71123755334304</v>
      </c>
      <c r="R1020" s="107">
        <f t="shared" si="92"/>
        <v>744.15009640433902</v>
      </c>
      <c r="S1020" s="140" t="str">
        <f t="shared" si="93"/>
        <v>Y</v>
      </c>
      <c r="T1020" s="154">
        <f t="shared" si="94"/>
        <v>1.1245843415865373</v>
      </c>
      <c r="U1020" s="154">
        <f t="shared" si="95"/>
        <v>1.1245843415865373</v>
      </c>
    </row>
    <row r="1021" spans="1:21" x14ac:dyDescent="0.35">
      <c r="A1021" s="107">
        <v>190</v>
      </c>
      <c r="B1021" s="107">
        <v>2017</v>
      </c>
      <c r="C1021" s="107" t="s">
        <v>9</v>
      </c>
      <c r="D1021" s="107" t="s">
        <v>132</v>
      </c>
      <c r="E1021" s="107" t="s">
        <v>10</v>
      </c>
      <c r="F1021" s="115">
        <v>13</v>
      </c>
      <c r="G1021" s="107" t="s">
        <v>37</v>
      </c>
      <c r="H1021" s="107" t="str">
        <f t="shared" si="90"/>
        <v>Area 13: S Puget Sound</v>
      </c>
      <c r="I1021" s="107" t="str">
        <f>IFERROR(VLOOKUP(H1021,LUTs!$A$1:$C$73,2,FALSE),"NA")</f>
        <v>NA</v>
      </c>
      <c r="J1021" s="107" t="str">
        <f>IFERROR(VLOOKUP(H1021,LUTs!$A$1:$C$73,3,FALSE),"NA")</f>
        <v>3South Puget Sound</v>
      </c>
      <c r="K1021" s="107" t="s">
        <v>20</v>
      </c>
      <c r="L1021" s="107" t="str">
        <f>VLOOKUP(K1021,LUTs!E$2:G$14,3,)</f>
        <v>07Pierce</v>
      </c>
      <c r="M1021" s="107" t="str">
        <f>VLOOKUP($K1021,LUTs!$E$2:$H$14,2,)</f>
        <v>South Puget Sound</v>
      </c>
      <c r="N1021" s="107" t="str">
        <f>VLOOKUP($K1021,LUTs!$E$2:$H$14,4,)</f>
        <v>02South Puget Sound</v>
      </c>
      <c r="O1021" s="107">
        <v>1633.8549075391199</v>
      </c>
      <c r="P1021" s="107">
        <v>1837.40764544281</v>
      </c>
      <c r="Q1021" s="107">
        <f t="shared" si="91"/>
        <v>1633.8549075391199</v>
      </c>
      <c r="R1021" s="107">
        <f t="shared" si="92"/>
        <v>1837.40764544281</v>
      </c>
      <c r="S1021" s="140" t="str">
        <f t="shared" si="93"/>
        <v>Y</v>
      </c>
      <c r="T1021" s="154">
        <f t="shared" si="94"/>
        <v>1.1245843415865349</v>
      </c>
      <c r="U1021" s="154">
        <f t="shared" si="95"/>
        <v>1.1245843415865349</v>
      </c>
    </row>
    <row r="1022" spans="1:21" x14ac:dyDescent="0.35">
      <c r="A1022" s="107">
        <v>191</v>
      </c>
      <c r="B1022" s="107">
        <v>2017</v>
      </c>
      <c r="C1022" s="107" t="s">
        <v>9</v>
      </c>
      <c r="D1022" s="107" t="s">
        <v>132</v>
      </c>
      <c r="E1022" s="107" t="s">
        <v>10</v>
      </c>
      <c r="F1022" s="115">
        <v>13</v>
      </c>
      <c r="G1022" s="107" t="s">
        <v>37</v>
      </c>
      <c r="H1022" s="107" t="str">
        <f t="shared" si="90"/>
        <v>Area 13: S Puget Sound</v>
      </c>
      <c r="I1022" s="107" t="str">
        <f>IFERROR(VLOOKUP(H1022,LUTs!$A$1:$C$73,2,FALSE),"NA")</f>
        <v>NA</v>
      </c>
      <c r="J1022" s="107" t="str">
        <f>IFERROR(VLOOKUP(H1022,LUTs!$A$1:$C$73,3,FALSE),"NA")</f>
        <v>3South Puget Sound</v>
      </c>
      <c r="K1022" s="107" t="s">
        <v>21</v>
      </c>
      <c r="L1022" s="107" t="str">
        <f>VLOOKUP(K1022,LUTs!E$2:G$14,3,)</f>
        <v>08Thurston</v>
      </c>
      <c r="M1022" s="107" t="str">
        <f>VLOOKUP($K1022,LUTs!$E$2:$H$14,2,)</f>
        <v>South Puget Sound</v>
      </c>
      <c r="N1022" s="107" t="str">
        <f>VLOOKUP($K1022,LUTs!$E$2:$H$14,4,)</f>
        <v>02South Puget Sound</v>
      </c>
      <c r="O1022" s="107">
        <v>2181.1963015647202</v>
      </c>
      <c r="P1022" s="107">
        <v>2452.9392066661499</v>
      </c>
      <c r="Q1022" s="107">
        <f t="shared" si="91"/>
        <v>2181.1963015647202</v>
      </c>
      <c r="R1022" s="107">
        <f t="shared" si="92"/>
        <v>2452.9392066661499</v>
      </c>
      <c r="S1022" s="140" t="str">
        <f t="shared" si="93"/>
        <v>Y</v>
      </c>
      <c r="T1022" s="154">
        <f t="shared" si="94"/>
        <v>1.1245843415865366</v>
      </c>
      <c r="U1022" s="154">
        <f t="shared" si="95"/>
        <v>1.1245843415865366</v>
      </c>
    </row>
    <row r="1023" spans="1:21" x14ac:dyDescent="0.35">
      <c r="A1023" s="107">
        <v>188</v>
      </c>
      <c r="B1023" s="107">
        <v>2017</v>
      </c>
      <c r="C1023" s="107" t="s">
        <v>9</v>
      </c>
      <c r="D1023" s="107" t="s">
        <v>132</v>
      </c>
      <c r="E1023" s="107" t="s">
        <v>10</v>
      </c>
      <c r="F1023" s="115">
        <v>13</v>
      </c>
      <c r="G1023" s="107" t="s">
        <v>37</v>
      </c>
      <c r="H1023" s="107" t="str">
        <f t="shared" si="90"/>
        <v>Area 13: S Puget Sound</v>
      </c>
      <c r="I1023" s="107" t="str">
        <f>IFERROR(VLOOKUP(H1023,LUTs!$A$1:$C$73,2,FALSE),"NA")</f>
        <v>NA</v>
      </c>
      <c r="J1023" s="107" t="str">
        <f>IFERROR(VLOOKUP(H1023,LUTs!$A$1:$C$73,3,FALSE),"NA")</f>
        <v>3South Puget Sound</v>
      </c>
      <c r="K1023" s="107" t="s">
        <v>13</v>
      </c>
      <c r="L1023" s="107" t="str">
        <f>VLOOKUP(K1023,LUTs!E$2:G$14,3,)</f>
        <v>01Whatcom</v>
      </c>
      <c r="M1023" s="107" t="str">
        <f>VLOOKUP($K1023,LUTs!$E$2:$H$14,2,)</f>
        <v>North Puget Sound</v>
      </c>
      <c r="N1023" s="107" t="str">
        <f>VLOOKUP($K1023,LUTs!$E$2:$H$14,4,)</f>
        <v>01North Puget Sound</v>
      </c>
      <c r="O1023" s="107">
        <v>32.677098150782399</v>
      </c>
      <c r="P1023" s="107">
        <v>36.748152908856298</v>
      </c>
      <c r="Q1023" s="107">
        <f t="shared" si="91"/>
        <v>32.677098150782399</v>
      </c>
      <c r="R1023" s="107">
        <f t="shared" si="92"/>
        <v>36.748152908856298</v>
      </c>
      <c r="S1023" s="140" t="str">
        <f t="shared" si="93"/>
        <v>Y</v>
      </c>
      <c r="T1023" s="154">
        <f t="shared" si="94"/>
        <v>1.1245843415865378</v>
      </c>
      <c r="U1023" s="154">
        <f t="shared" si="95"/>
        <v>1.1245843415865378</v>
      </c>
    </row>
    <row r="1024" spans="1:21" x14ac:dyDescent="0.35">
      <c r="A1024" s="107">
        <v>299</v>
      </c>
      <c r="B1024" s="107">
        <v>2018</v>
      </c>
      <c r="C1024" s="107" t="s">
        <v>9</v>
      </c>
      <c r="D1024" s="107" t="s">
        <v>132</v>
      </c>
      <c r="E1024" s="107" t="s">
        <v>10</v>
      </c>
      <c r="F1024" s="115">
        <v>13</v>
      </c>
      <c r="G1024" s="107" t="s">
        <v>37</v>
      </c>
      <c r="H1024" s="107" t="str">
        <f t="shared" si="90"/>
        <v>Area 13: S Puget Sound</v>
      </c>
      <c r="I1024" s="107" t="str">
        <f>IFERROR(VLOOKUP(H1024,LUTs!$A$1:$C$73,2,FALSE),"NA")</f>
        <v>NA</v>
      </c>
      <c r="J1024" s="107" t="str">
        <f>IFERROR(VLOOKUP(H1024,LUTs!$A$1:$C$73,3,FALSE),"NA")</f>
        <v>3South Puget Sound</v>
      </c>
      <c r="K1024" s="107" t="s">
        <v>18</v>
      </c>
      <c r="L1024" s="107" t="str">
        <f>VLOOKUP(K1024,LUTs!E$2:G$14,3,)</f>
        <v>06King</v>
      </c>
      <c r="M1024" s="107" t="str">
        <f>VLOOKUP($K1024,LUTs!$E$2:$H$14,2,)</f>
        <v>South Puget Sound</v>
      </c>
      <c r="N1024" s="107" t="str">
        <f>VLOOKUP($K1024,LUTs!$E$2:$H$14,4,)</f>
        <v>02South Puget Sound</v>
      </c>
      <c r="O1024" s="107">
        <v>293.97586206896602</v>
      </c>
      <c r="P1024" s="107">
        <v>329.20437485996302</v>
      </c>
      <c r="Q1024" s="107">
        <f t="shared" si="91"/>
        <v>293.97586206896602</v>
      </c>
      <c r="R1024" s="107">
        <f t="shared" si="92"/>
        <v>329.20437485996302</v>
      </c>
      <c r="S1024" s="140" t="str">
        <f t="shared" si="93"/>
        <v>Y</v>
      </c>
      <c r="T1024" s="154">
        <f t="shared" si="94"/>
        <v>1.1198347120850776</v>
      </c>
      <c r="U1024" s="154">
        <f t="shared" si="95"/>
        <v>1.1198347120850776</v>
      </c>
    </row>
    <row r="1025" spans="1:21" x14ac:dyDescent="0.35">
      <c r="A1025" s="107">
        <v>303</v>
      </c>
      <c r="B1025" s="107">
        <v>2018</v>
      </c>
      <c r="C1025" s="107" t="s">
        <v>9</v>
      </c>
      <c r="D1025" s="107" t="s">
        <v>132</v>
      </c>
      <c r="E1025" s="107" t="s">
        <v>10</v>
      </c>
      <c r="F1025" s="115">
        <v>13</v>
      </c>
      <c r="G1025" s="107" t="s">
        <v>37</v>
      </c>
      <c r="H1025" s="107" t="str">
        <f t="shared" si="90"/>
        <v>Area 13: S Puget Sound</v>
      </c>
      <c r="I1025" s="107" t="str">
        <f>IFERROR(VLOOKUP(H1025,LUTs!$A$1:$C$73,2,FALSE),"NA")</f>
        <v>NA</v>
      </c>
      <c r="J1025" s="107" t="str">
        <f>IFERROR(VLOOKUP(H1025,LUTs!$A$1:$C$73,3,FALSE),"NA")</f>
        <v>3South Puget Sound</v>
      </c>
      <c r="K1025" s="107" t="s">
        <v>23</v>
      </c>
      <c r="L1025" s="107" t="str">
        <f>VLOOKUP(K1025,LUTs!E$2:G$14,3,)</f>
        <v>10Kitsap</v>
      </c>
      <c r="M1025" s="107" t="str">
        <f>VLOOKUP($K1025,LUTs!$E$2:$H$14,2,)</f>
        <v>South Puget Sound</v>
      </c>
      <c r="N1025" s="107" t="str">
        <f>VLOOKUP($K1025,LUTs!$E$2:$H$14,4,)</f>
        <v>02South Puget Sound</v>
      </c>
      <c r="O1025" s="107">
        <v>193.405172413793</v>
      </c>
      <c r="P1025" s="107">
        <v>216.581825565765</v>
      </c>
      <c r="Q1025" s="107">
        <f t="shared" si="91"/>
        <v>193.405172413793</v>
      </c>
      <c r="R1025" s="107">
        <f t="shared" si="92"/>
        <v>216.581825565765</v>
      </c>
      <c r="S1025" s="140" t="str">
        <f t="shared" si="93"/>
        <v>Y</v>
      </c>
      <c r="T1025" s="154">
        <f t="shared" si="94"/>
        <v>1.1198347120850793</v>
      </c>
      <c r="U1025" s="154">
        <f t="shared" si="95"/>
        <v>1.1198347120850793</v>
      </c>
    </row>
    <row r="1026" spans="1:21" x14ac:dyDescent="0.35">
      <c r="A1026" s="107">
        <v>302</v>
      </c>
      <c r="B1026" s="107">
        <v>2018</v>
      </c>
      <c r="C1026" s="107" t="s">
        <v>9</v>
      </c>
      <c r="D1026" s="107" t="s">
        <v>132</v>
      </c>
      <c r="E1026" s="107" t="s">
        <v>10</v>
      </c>
      <c r="F1026" s="115">
        <v>13</v>
      </c>
      <c r="G1026" s="107" t="s">
        <v>37</v>
      </c>
      <c r="H1026" s="107" t="str">
        <f t="shared" ref="H1026:H1089" si="96">G1026</f>
        <v>Area 13: S Puget Sound</v>
      </c>
      <c r="I1026" s="107" t="str">
        <f>IFERROR(VLOOKUP(H1026,LUTs!$A$1:$C$73,2,FALSE),"NA")</f>
        <v>NA</v>
      </c>
      <c r="J1026" s="107" t="str">
        <f>IFERROR(VLOOKUP(H1026,LUTs!$A$1:$C$73,3,FALSE),"NA")</f>
        <v>3South Puget Sound</v>
      </c>
      <c r="K1026" s="107" t="s">
        <v>22</v>
      </c>
      <c r="L1026" s="107" t="str">
        <f>VLOOKUP(K1026,LUTs!E$2:G$14,3,)</f>
        <v>09Mason</v>
      </c>
      <c r="M1026" s="107" t="str">
        <f>VLOOKUP($K1026,LUTs!$E$2:$H$14,2,)</f>
        <v>South Puget Sound</v>
      </c>
      <c r="N1026" s="107" t="str">
        <f>VLOOKUP($K1026,LUTs!$E$2:$H$14,4,)</f>
        <v>02South Puget Sound</v>
      </c>
      <c r="O1026" s="107">
        <v>487.38103448275899</v>
      </c>
      <c r="P1026" s="107">
        <v>545.786200425728</v>
      </c>
      <c r="Q1026" s="107">
        <f t="shared" ref="Q1026:Q1089" si="97">O1026</f>
        <v>487.38103448275899</v>
      </c>
      <c r="R1026" s="107">
        <f t="shared" ref="R1026:R1089" si="98">P1026</f>
        <v>545.786200425728</v>
      </c>
      <c r="S1026" s="140" t="str">
        <f t="shared" si="93"/>
        <v>Y</v>
      </c>
      <c r="T1026" s="154">
        <f t="shared" si="94"/>
        <v>1.1198347120850782</v>
      </c>
      <c r="U1026" s="154">
        <f t="shared" si="95"/>
        <v>1.1198347120850782</v>
      </c>
    </row>
    <row r="1027" spans="1:21" x14ac:dyDescent="0.35">
      <c r="A1027" s="107">
        <v>304</v>
      </c>
      <c r="B1027" s="107">
        <v>2018</v>
      </c>
      <c r="C1027" s="107" t="s">
        <v>9</v>
      </c>
      <c r="D1027" s="107" t="s">
        <v>132</v>
      </c>
      <c r="E1027" s="107" t="s">
        <v>10</v>
      </c>
      <c r="F1027" s="115">
        <v>13</v>
      </c>
      <c r="G1027" s="107" t="s">
        <v>37</v>
      </c>
      <c r="H1027" s="107" t="str">
        <f t="shared" si="96"/>
        <v>Area 13: S Puget Sound</v>
      </c>
      <c r="I1027" s="107" t="str">
        <f>IFERROR(VLOOKUP(H1027,LUTs!$A$1:$C$73,2,FALSE),"NA")</f>
        <v>NA</v>
      </c>
      <c r="J1027" s="107" t="str">
        <f>IFERROR(VLOOKUP(H1027,LUTs!$A$1:$C$73,3,FALSE),"NA")</f>
        <v>3South Puget Sound</v>
      </c>
      <c r="K1027" s="107" t="s">
        <v>26</v>
      </c>
      <c r="L1027" s="107" t="str">
        <f>VLOOKUP(K1027,LUTs!E$2:G$14,3,)</f>
        <v>20Other</v>
      </c>
      <c r="M1027" s="107" t="str">
        <f>VLOOKUP($K1027,LUTs!$E$2:$H$14,2,)</f>
        <v>Non Puget Sound</v>
      </c>
      <c r="N1027" s="107" t="str">
        <f>VLOOKUP($K1027,LUTs!$E$2:$H$14,4,)</f>
        <v>07Non Puget Sound</v>
      </c>
      <c r="O1027" s="107">
        <v>263.03103448275903</v>
      </c>
      <c r="P1027" s="107">
        <v>294.55128276943998</v>
      </c>
      <c r="Q1027" s="107">
        <f t="shared" si="97"/>
        <v>263.03103448275903</v>
      </c>
      <c r="R1027" s="107">
        <f t="shared" si="98"/>
        <v>294.55128276943998</v>
      </c>
      <c r="S1027" s="140" t="str">
        <f t="shared" ref="S1027:S1090" si="99">IF(B1027&lt;=2019,"Y","N")</f>
        <v>Y</v>
      </c>
      <c r="T1027" s="154">
        <f t="shared" ref="T1027:T1090" si="100">IFERROR(P1027/O1027,"NA")</f>
        <v>1.1198347120850753</v>
      </c>
      <c r="U1027" s="154">
        <f t="shared" ref="U1027:U1090" si="101">IFERROR(R1027/Q1027,"NA")</f>
        <v>1.1198347120850753</v>
      </c>
    </row>
    <row r="1028" spans="1:21" x14ac:dyDescent="0.35">
      <c r="A1028" s="107">
        <v>300</v>
      </c>
      <c r="B1028" s="107">
        <v>2018</v>
      </c>
      <c r="C1028" s="107" t="s">
        <v>9</v>
      </c>
      <c r="D1028" s="107" t="s">
        <v>132</v>
      </c>
      <c r="E1028" s="107" t="s">
        <v>10</v>
      </c>
      <c r="F1028" s="115">
        <v>13</v>
      </c>
      <c r="G1028" s="107" t="s">
        <v>37</v>
      </c>
      <c r="H1028" s="107" t="str">
        <f t="shared" si="96"/>
        <v>Area 13: S Puget Sound</v>
      </c>
      <c r="I1028" s="107" t="str">
        <f>IFERROR(VLOOKUP(H1028,LUTs!$A$1:$C$73,2,FALSE),"NA")</f>
        <v>NA</v>
      </c>
      <c r="J1028" s="107" t="str">
        <f>IFERROR(VLOOKUP(H1028,LUTs!$A$1:$C$73,3,FALSE),"NA")</f>
        <v>3South Puget Sound</v>
      </c>
      <c r="K1028" s="107" t="s">
        <v>20</v>
      </c>
      <c r="L1028" s="107" t="str">
        <f>VLOOKUP(K1028,LUTs!E$2:G$14,3,)</f>
        <v>07Pierce</v>
      </c>
      <c r="M1028" s="107" t="str">
        <f>VLOOKUP($K1028,LUTs!$E$2:$H$14,2,)</f>
        <v>South Puget Sound</v>
      </c>
      <c r="N1028" s="107" t="str">
        <f>VLOOKUP($K1028,LUTs!$E$2:$H$14,4,)</f>
        <v>02South Puget Sound</v>
      </c>
      <c r="O1028" s="107">
        <v>1423.4620689655201</v>
      </c>
      <c r="P1028" s="107">
        <v>1594.0422361640301</v>
      </c>
      <c r="Q1028" s="107">
        <f t="shared" si="97"/>
        <v>1423.4620689655201</v>
      </c>
      <c r="R1028" s="107">
        <f t="shared" si="98"/>
        <v>1594.0422361640301</v>
      </c>
      <c r="S1028" s="140" t="str">
        <f t="shared" si="99"/>
        <v>Y</v>
      </c>
      <c r="T1028" s="154">
        <f t="shared" si="100"/>
        <v>1.1198347120850762</v>
      </c>
      <c r="U1028" s="154">
        <f t="shared" si="101"/>
        <v>1.1198347120850762</v>
      </c>
    </row>
    <row r="1029" spans="1:21" x14ac:dyDescent="0.35">
      <c r="A1029" s="107">
        <v>298</v>
      </c>
      <c r="B1029" s="107">
        <v>2018</v>
      </c>
      <c r="C1029" s="107" t="s">
        <v>9</v>
      </c>
      <c r="D1029" s="107" t="s">
        <v>132</v>
      </c>
      <c r="E1029" s="107" t="s">
        <v>10</v>
      </c>
      <c r="F1029" s="115">
        <v>13</v>
      </c>
      <c r="G1029" s="107" t="s">
        <v>37</v>
      </c>
      <c r="H1029" s="107" t="str">
        <f t="shared" si="96"/>
        <v>Area 13: S Puget Sound</v>
      </c>
      <c r="I1029" s="107" t="str">
        <f>IFERROR(VLOOKUP(H1029,LUTs!$A$1:$C$73,2,FALSE),"NA")</f>
        <v>NA</v>
      </c>
      <c r="J1029" s="107" t="str">
        <f>IFERROR(VLOOKUP(H1029,LUTs!$A$1:$C$73,3,FALSE),"NA")</f>
        <v>3South Puget Sound</v>
      </c>
      <c r="K1029" s="107" t="s">
        <v>16</v>
      </c>
      <c r="L1029" s="107" t="str">
        <f>VLOOKUP(K1029,LUTs!E$2:G$14,3,)</f>
        <v>03Snohomish</v>
      </c>
      <c r="M1029" s="107" t="str">
        <f>VLOOKUP($K1029,LUTs!$E$2:$H$14,2,)</f>
        <v>North Puget Sound</v>
      </c>
      <c r="N1029" s="107" t="str">
        <f>VLOOKUP($K1029,LUTs!$E$2:$H$14,4,)</f>
        <v>01North Puget Sound</v>
      </c>
      <c r="O1029" s="107">
        <v>61.889655172413804</v>
      </c>
      <c r="P1029" s="107">
        <v>69.306184181044799</v>
      </c>
      <c r="Q1029" s="107">
        <f t="shared" si="97"/>
        <v>61.889655172413804</v>
      </c>
      <c r="R1029" s="107">
        <f t="shared" si="98"/>
        <v>69.306184181044799</v>
      </c>
      <c r="S1029" s="140" t="str">
        <f t="shared" si="99"/>
        <v>Y</v>
      </c>
      <c r="T1029" s="154">
        <f t="shared" si="100"/>
        <v>1.1198347120850785</v>
      </c>
      <c r="U1029" s="154">
        <f t="shared" si="101"/>
        <v>1.1198347120850785</v>
      </c>
    </row>
    <row r="1030" spans="1:21" x14ac:dyDescent="0.35">
      <c r="A1030" s="107">
        <v>301</v>
      </c>
      <c r="B1030" s="107">
        <v>2018</v>
      </c>
      <c r="C1030" s="107" t="s">
        <v>9</v>
      </c>
      <c r="D1030" s="107" t="s">
        <v>132</v>
      </c>
      <c r="E1030" s="107" t="s">
        <v>10</v>
      </c>
      <c r="F1030" s="115">
        <v>13</v>
      </c>
      <c r="G1030" s="107" t="s">
        <v>37</v>
      </c>
      <c r="H1030" s="107" t="str">
        <f t="shared" si="96"/>
        <v>Area 13: S Puget Sound</v>
      </c>
      <c r="I1030" s="107" t="str">
        <f>IFERROR(VLOOKUP(H1030,LUTs!$A$1:$C$73,2,FALSE),"NA")</f>
        <v>NA</v>
      </c>
      <c r="J1030" s="107" t="str">
        <f>IFERROR(VLOOKUP(H1030,LUTs!$A$1:$C$73,3,FALSE),"NA")</f>
        <v>3South Puget Sound</v>
      </c>
      <c r="K1030" s="107" t="s">
        <v>21</v>
      </c>
      <c r="L1030" s="107" t="str">
        <f>VLOOKUP(K1030,LUTs!E$2:G$14,3,)</f>
        <v>08Thurston</v>
      </c>
      <c r="M1030" s="107" t="str">
        <f>VLOOKUP($K1030,LUTs!$E$2:$H$14,2,)</f>
        <v>South Puget Sound</v>
      </c>
      <c r="N1030" s="107" t="str">
        <f>VLOOKUP($K1030,LUTs!$E$2:$H$14,4,)</f>
        <v>02South Puget Sound</v>
      </c>
      <c r="O1030" s="107">
        <v>1763.8551724137899</v>
      </c>
      <c r="P1030" s="107">
        <v>1975.2262491597801</v>
      </c>
      <c r="Q1030" s="107">
        <f t="shared" si="97"/>
        <v>1763.8551724137899</v>
      </c>
      <c r="R1030" s="107">
        <f t="shared" si="98"/>
        <v>1975.2262491597801</v>
      </c>
      <c r="S1030" s="140" t="str">
        <f t="shared" si="99"/>
        <v>Y</v>
      </c>
      <c r="T1030" s="154">
        <f t="shared" si="100"/>
        <v>1.1198347120850827</v>
      </c>
      <c r="U1030" s="154">
        <f t="shared" si="101"/>
        <v>1.1198347120850827</v>
      </c>
    </row>
    <row r="1031" spans="1:21" x14ac:dyDescent="0.35">
      <c r="A1031" s="107">
        <v>415</v>
      </c>
      <c r="B1031" s="107">
        <v>2019</v>
      </c>
      <c r="C1031" s="107" t="s">
        <v>9</v>
      </c>
      <c r="D1031" s="107" t="s">
        <v>132</v>
      </c>
      <c r="E1031" s="107" t="s">
        <v>10</v>
      </c>
      <c r="F1031" s="115">
        <v>13</v>
      </c>
      <c r="G1031" s="107" t="s">
        <v>37</v>
      </c>
      <c r="H1031" s="107" t="str">
        <f t="shared" si="96"/>
        <v>Area 13: S Puget Sound</v>
      </c>
      <c r="I1031" s="107" t="str">
        <f>IFERROR(VLOOKUP(H1031,LUTs!$A$1:$C$73,2,FALSE),"NA")</f>
        <v>NA</v>
      </c>
      <c r="J1031" s="107" t="str">
        <f>IFERROR(VLOOKUP(H1031,LUTs!$A$1:$C$73,3,FALSE),"NA")</f>
        <v>3South Puget Sound</v>
      </c>
      <c r="K1031" s="107" t="s">
        <v>25</v>
      </c>
      <c r="L1031" s="107" t="str">
        <f>VLOOKUP(K1031,LUTs!E$2:G$14,3,)</f>
        <v>12Jefferson</v>
      </c>
      <c r="M1031" s="107" t="str">
        <f>VLOOKUP($K1031,LUTs!$E$2:$H$14,2,)</f>
        <v>Strait of Juan de Fuca</v>
      </c>
      <c r="N1031" s="107" t="str">
        <f>VLOOKUP($K1031,LUTs!$E$2:$H$14,4,)</f>
        <v>03Strait of Juan de Fuca</v>
      </c>
      <c r="O1031" s="107">
        <v>8.7318435754189991</v>
      </c>
      <c r="P1031" s="107">
        <v>10.521023671966899</v>
      </c>
      <c r="Q1031" s="107">
        <f t="shared" si="97"/>
        <v>8.7318435754189991</v>
      </c>
      <c r="R1031" s="107">
        <f t="shared" si="98"/>
        <v>10.521023671966899</v>
      </c>
      <c r="S1031" s="140" t="str">
        <f t="shared" si="99"/>
        <v>Y</v>
      </c>
      <c r="T1031" s="154">
        <f t="shared" si="100"/>
        <v>1.2049029029315892</v>
      </c>
      <c r="U1031" s="154">
        <f t="shared" si="101"/>
        <v>1.2049029029315892</v>
      </c>
    </row>
    <row r="1032" spans="1:21" x14ac:dyDescent="0.35">
      <c r="A1032" s="107">
        <v>410</v>
      </c>
      <c r="B1032" s="107">
        <v>2019</v>
      </c>
      <c r="C1032" s="107" t="s">
        <v>9</v>
      </c>
      <c r="D1032" s="107" t="s">
        <v>132</v>
      </c>
      <c r="E1032" s="107" t="s">
        <v>10</v>
      </c>
      <c r="F1032" s="115">
        <v>13</v>
      </c>
      <c r="G1032" s="107" t="s">
        <v>37</v>
      </c>
      <c r="H1032" s="107" t="str">
        <f t="shared" si="96"/>
        <v>Area 13: S Puget Sound</v>
      </c>
      <c r="I1032" s="107" t="str">
        <f>IFERROR(VLOOKUP(H1032,LUTs!$A$1:$C$73,2,FALSE),"NA")</f>
        <v>NA</v>
      </c>
      <c r="J1032" s="107" t="str">
        <f>IFERROR(VLOOKUP(H1032,LUTs!$A$1:$C$73,3,FALSE),"NA")</f>
        <v>3South Puget Sound</v>
      </c>
      <c r="K1032" s="107" t="s">
        <v>18</v>
      </c>
      <c r="L1032" s="107" t="str">
        <f>VLOOKUP(K1032,LUTs!E$2:G$14,3,)</f>
        <v>06King</v>
      </c>
      <c r="M1032" s="107" t="str">
        <f>VLOOKUP($K1032,LUTs!$E$2:$H$14,2,)</f>
        <v>South Puget Sound</v>
      </c>
      <c r="N1032" s="107" t="str">
        <f>VLOOKUP($K1032,LUTs!$E$2:$H$14,4,)</f>
        <v>02South Puget Sound</v>
      </c>
      <c r="O1032" s="107">
        <v>192.100558659218</v>
      </c>
      <c r="P1032" s="107">
        <v>231.462520783272</v>
      </c>
      <c r="Q1032" s="107">
        <f t="shared" si="97"/>
        <v>192.100558659218</v>
      </c>
      <c r="R1032" s="107">
        <f t="shared" si="98"/>
        <v>231.462520783272</v>
      </c>
      <c r="S1032" s="140" t="str">
        <f t="shared" si="99"/>
        <v>Y</v>
      </c>
      <c r="T1032" s="154">
        <f t="shared" si="100"/>
        <v>1.2049029029315903</v>
      </c>
      <c r="U1032" s="154">
        <f t="shared" si="101"/>
        <v>1.2049029029315903</v>
      </c>
    </row>
    <row r="1033" spans="1:21" x14ac:dyDescent="0.35">
      <c r="A1033" s="107">
        <v>414</v>
      </c>
      <c r="B1033" s="107">
        <v>2019</v>
      </c>
      <c r="C1033" s="107" t="s">
        <v>9</v>
      </c>
      <c r="D1033" s="107" t="s">
        <v>132</v>
      </c>
      <c r="E1033" s="107" t="s">
        <v>10</v>
      </c>
      <c r="F1033" s="115">
        <v>13</v>
      </c>
      <c r="G1033" s="107" t="s">
        <v>37</v>
      </c>
      <c r="H1033" s="107" t="str">
        <f t="shared" si="96"/>
        <v>Area 13: S Puget Sound</v>
      </c>
      <c r="I1033" s="107" t="str">
        <f>IFERROR(VLOOKUP(H1033,LUTs!$A$1:$C$73,2,FALSE),"NA")</f>
        <v>NA</v>
      </c>
      <c r="J1033" s="107" t="str">
        <f>IFERROR(VLOOKUP(H1033,LUTs!$A$1:$C$73,3,FALSE),"NA")</f>
        <v>3South Puget Sound</v>
      </c>
      <c r="K1033" s="107" t="s">
        <v>23</v>
      </c>
      <c r="L1033" s="107" t="str">
        <f>VLOOKUP(K1033,LUTs!E$2:G$14,3,)</f>
        <v>10Kitsap</v>
      </c>
      <c r="M1033" s="107" t="str">
        <f>VLOOKUP($K1033,LUTs!$E$2:$H$14,2,)</f>
        <v>South Puget Sound</v>
      </c>
      <c r="N1033" s="107" t="str">
        <f>VLOOKUP($K1033,LUTs!$E$2:$H$14,4,)</f>
        <v>02South Puget Sound</v>
      </c>
      <c r="O1033" s="107">
        <v>52.391061452514002</v>
      </c>
      <c r="P1033" s="107">
        <v>63.1261420318015</v>
      </c>
      <c r="Q1033" s="107">
        <f t="shared" si="97"/>
        <v>52.391061452514002</v>
      </c>
      <c r="R1033" s="107">
        <f t="shared" si="98"/>
        <v>63.1261420318015</v>
      </c>
      <c r="S1033" s="140" t="str">
        <f t="shared" si="99"/>
        <v>Y</v>
      </c>
      <c r="T1033" s="154">
        <f t="shared" si="100"/>
        <v>1.204902902931591</v>
      </c>
      <c r="U1033" s="154">
        <f t="shared" si="101"/>
        <v>1.204902902931591</v>
      </c>
    </row>
    <row r="1034" spans="1:21" x14ac:dyDescent="0.35">
      <c r="A1034" s="107">
        <v>413</v>
      </c>
      <c r="B1034" s="107">
        <v>2019</v>
      </c>
      <c r="C1034" s="107" t="s">
        <v>9</v>
      </c>
      <c r="D1034" s="107" t="s">
        <v>132</v>
      </c>
      <c r="E1034" s="107" t="s">
        <v>10</v>
      </c>
      <c r="F1034" s="115">
        <v>13</v>
      </c>
      <c r="G1034" s="107" t="s">
        <v>37</v>
      </c>
      <c r="H1034" s="107" t="str">
        <f t="shared" si="96"/>
        <v>Area 13: S Puget Sound</v>
      </c>
      <c r="I1034" s="107" t="str">
        <f>IFERROR(VLOOKUP(H1034,LUTs!$A$1:$C$73,2,FALSE),"NA")</f>
        <v>NA</v>
      </c>
      <c r="J1034" s="107" t="str">
        <f>IFERROR(VLOOKUP(H1034,LUTs!$A$1:$C$73,3,FALSE),"NA")</f>
        <v>3South Puget Sound</v>
      </c>
      <c r="K1034" s="107" t="s">
        <v>22</v>
      </c>
      <c r="L1034" s="107" t="str">
        <f>VLOOKUP(K1034,LUTs!E$2:G$14,3,)</f>
        <v>09Mason</v>
      </c>
      <c r="M1034" s="107" t="str">
        <f>VLOOKUP($K1034,LUTs!$E$2:$H$14,2,)</f>
        <v>South Puget Sound</v>
      </c>
      <c r="N1034" s="107" t="str">
        <f>VLOOKUP($K1034,LUTs!$E$2:$H$14,4,)</f>
        <v>02South Puget Sound</v>
      </c>
      <c r="O1034" s="107">
        <v>261.95530726256999</v>
      </c>
      <c r="P1034" s="107">
        <v>315.630710159008</v>
      </c>
      <c r="Q1034" s="107">
        <f t="shared" si="97"/>
        <v>261.95530726256999</v>
      </c>
      <c r="R1034" s="107">
        <f t="shared" si="98"/>
        <v>315.630710159008</v>
      </c>
      <c r="S1034" s="140" t="str">
        <f t="shared" si="99"/>
        <v>Y</v>
      </c>
      <c r="T1034" s="154">
        <f t="shared" si="100"/>
        <v>1.204902902931593</v>
      </c>
      <c r="U1034" s="154">
        <f t="shared" si="101"/>
        <v>1.204902902931593</v>
      </c>
    </row>
    <row r="1035" spans="1:21" x14ac:dyDescent="0.35">
      <c r="A1035" s="107">
        <v>416</v>
      </c>
      <c r="B1035" s="107">
        <v>2019</v>
      </c>
      <c r="C1035" s="107" t="s">
        <v>9</v>
      </c>
      <c r="D1035" s="107" t="s">
        <v>132</v>
      </c>
      <c r="E1035" s="107" t="s">
        <v>10</v>
      </c>
      <c r="F1035" s="115">
        <v>13</v>
      </c>
      <c r="G1035" s="107" t="s">
        <v>37</v>
      </c>
      <c r="H1035" s="107" t="str">
        <f t="shared" si="96"/>
        <v>Area 13: S Puget Sound</v>
      </c>
      <c r="I1035" s="107" t="str">
        <f>IFERROR(VLOOKUP(H1035,LUTs!$A$1:$C$73,2,FALSE),"NA")</f>
        <v>NA</v>
      </c>
      <c r="J1035" s="107" t="str">
        <f>IFERROR(VLOOKUP(H1035,LUTs!$A$1:$C$73,3,FALSE),"NA")</f>
        <v>3South Puget Sound</v>
      </c>
      <c r="K1035" s="107" t="s">
        <v>26</v>
      </c>
      <c r="L1035" s="107" t="str">
        <f>VLOOKUP(K1035,LUTs!E$2:G$14,3,)</f>
        <v>20Other</v>
      </c>
      <c r="M1035" s="107" t="str">
        <f>VLOOKUP($K1035,LUTs!$E$2:$H$14,2,)</f>
        <v>Non Puget Sound</v>
      </c>
      <c r="N1035" s="107" t="str">
        <f>VLOOKUP($K1035,LUTs!$E$2:$H$14,4,)</f>
        <v>07Non Puget Sound</v>
      </c>
      <c r="O1035" s="107">
        <v>331.81005586592198</v>
      </c>
      <c r="P1035" s="107">
        <v>399.79889953474299</v>
      </c>
      <c r="Q1035" s="107">
        <f t="shared" si="97"/>
        <v>331.81005586592198</v>
      </c>
      <c r="R1035" s="107">
        <f t="shared" si="98"/>
        <v>399.79889953474299</v>
      </c>
      <c r="S1035" s="140" t="str">
        <f t="shared" si="99"/>
        <v>Y</v>
      </c>
      <c r="T1035" s="154">
        <f t="shared" si="100"/>
        <v>1.2049029029315916</v>
      </c>
      <c r="U1035" s="154">
        <f t="shared" si="101"/>
        <v>1.2049029029315916</v>
      </c>
    </row>
    <row r="1036" spans="1:21" x14ac:dyDescent="0.35">
      <c r="A1036" s="107">
        <v>411</v>
      </c>
      <c r="B1036" s="107">
        <v>2019</v>
      </c>
      <c r="C1036" s="107" t="s">
        <v>9</v>
      </c>
      <c r="D1036" s="107" t="s">
        <v>132</v>
      </c>
      <c r="E1036" s="107" t="s">
        <v>10</v>
      </c>
      <c r="F1036" s="115">
        <v>13</v>
      </c>
      <c r="G1036" s="107" t="s">
        <v>37</v>
      </c>
      <c r="H1036" s="107" t="str">
        <f t="shared" si="96"/>
        <v>Area 13: S Puget Sound</v>
      </c>
      <c r="I1036" s="107" t="str">
        <f>IFERROR(VLOOKUP(H1036,LUTs!$A$1:$C$73,2,FALSE),"NA")</f>
        <v>NA</v>
      </c>
      <c r="J1036" s="107" t="str">
        <f>IFERROR(VLOOKUP(H1036,LUTs!$A$1:$C$73,3,FALSE),"NA")</f>
        <v>3South Puget Sound</v>
      </c>
      <c r="K1036" s="107" t="s">
        <v>20</v>
      </c>
      <c r="L1036" s="107" t="str">
        <f>VLOOKUP(K1036,LUTs!E$2:G$14,3,)</f>
        <v>07Pierce</v>
      </c>
      <c r="M1036" s="107" t="str">
        <f>VLOOKUP($K1036,LUTs!$E$2:$H$14,2,)</f>
        <v>South Puget Sound</v>
      </c>
      <c r="N1036" s="107" t="str">
        <f>VLOOKUP($K1036,LUTs!$E$2:$H$14,4,)</f>
        <v>02South Puget Sound</v>
      </c>
      <c r="O1036" s="107">
        <v>1100.21229050279</v>
      </c>
      <c r="P1036" s="107">
        <v>1325.6489826678301</v>
      </c>
      <c r="Q1036" s="107">
        <f t="shared" si="97"/>
        <v>1100.21229050279</v>
      </c>
      <c r="R1036" s="107">
        <f t="shared" si="98"/>
        <v>1325.6489826678301</v>
      </c>
      <c r="S1036" s="140" t="str">
        <f t="shared" si="99"/>
        <v>Y</v>
      </c>
      <c r="T1036" s="154">
        <f t="shared" si="100"/>
        <v>1.2049029029315943</v>
      </c>
      <c r="U1036" s="154">
        <f t="shared" si="101"/>
        <v>1.2049029029315943</v>
      </c>
    </row>
    <row r="1037" spans="1:21" x14ac:dyDescent="0.35">
      <c r="A1037" s="107">
        <v>409</v>
      </c>
      <c r="B1037" s="107">
        <v>2019</v>
      </c>
      <c r="C1037" s="107" t="s">
        <v>9</v>
      </c>
      <c r="D1037" s="107" t="s">
        <v>132</v>
      </c>
      <c r="E1037" s="107" t="s">
        <v>10</v>
      </c>
      <c r="F1037" s="115">
        <v>13</v>
      </c>
      <c r="G1037" s="107" t="s">
        <v>37</v>
      </c>
      <c r="H1037" s="107" t="str">
        <f t="shared" si="96"/>
        <v>Area 13: S Puget Sound</v>
      </c>
      <c r="I1037" s="107" t="str">
        <f>IFERROR(VLOOKUP(H1037,LUTs!$A$1:$C$73,2,FALSE),"NA")</f>
        <v>NA</v>
      </c>
      <c r="J1037" s="107" t="str">
        <f>IFERROR(VLOOKUP(H1037,LUTs!$A$1:$C$73,3,FALSE),"NA")</f>
        <v>3South Puget Sound</v>
      </c>
      <c r="K1037" s="107" t="s">
        <v>16</v>
      </c>
      <c r="L1037" s="107" t="str">
        <f>VLOOKUP(K1037,LUTs!E$2:G$14,3,)</f>
        <v>03Snohomish</v>
      </c>
      <c r="M1037" s="107" t="str">
        <f>VLOOKUP($K1037,LUTs!$E$2:$H$14,2,)</f>
        <v>North Puget Sound</v>
      </c>
      <c r="N1037" s="107" t="str">
        <f>VLOOKUP($K1037,LUTs!$E$2:$H$14,4,)</f>
        <v>01North Puget Sound</v>
      </c>
      <c r="O1037" s="107">
        <v>26.195530726257001</v>
      </c>
      <c r="P1037" s="107">
        <v>31.5630710159008</v>
      </c>
      <c r="Q1037" s="107">
        <f t="shared" si="97"/>
        <v>26.195530726257001</v>
      </c>
      <c r="R1037" s="107">
        <f t="shared" si="98"/>
        <v>31.5630710159008</v>
      </c>
      <c r="S1037" s="140" t="str">
        <f t="shared" si="99"/>
        <v>Y</v>
      </c>
      <c r="T1037" s="154">
        <f t="shared" si="100"/>
        <v>1.204902902931593</v>
      </c>
      <c r="U1037" s="154">
        <f t="shared" si="101"/>
        <v>1.204902902931593</v>
      </c>
    </row>
    <row r="1038" spans="1:21" x14ac:dyDescent="0.35">
      <c r="A1038" s="107">
        <v>412</v>
      </c>
      <c r="B1038" s="107">
        <v>2019</v>
      </c>
      <c r="C1038" s="107" t="s">
        <v>9</v>
      </c>
      <c r="D1038" s="107" t="s">
        <v>132</v>
      </c>
      <c r="E1038" s="107" t="s">
        <v>10</v>
      </c>
      <c r="F1038" s="115">
        <v>13</v>
      </c>
      <c r="G1038" s="107" t="s">
        <v>37</v>
      </c>
      <c r="H1038" s="107" t="str">
        <f t="shared" si="96"/>
        <v>Area 13: S Puget Sound</v>
      </c>
      <c r="I1038" s="107" t="str">
        <f>IFERROR(VLOOKUP(H1038,LUTs!$A$1:$C$73,2,FALSE),"NA")</f>
        <v>NA</v>
      </c>
      <c r="J1038" s="107" t="str">
        <f>IFERROR(VLOOKUP(H1038,LUTs!$A$1:$C$73,3,FALSE),"NA")</f>
        <v>3South Puget Sound</v>
      </c>
      <c r="K1038" s="107" t="s">
        <v>21</v>
      </c>
      <c r="L1038" s="107" t="str">
        <f>VLOOKUP(K1038,LUTs!E$2:G$14,3,)</f>
        <v>08Thurston</v>
      </c>
      <c r="M1038" s="107" t="str">
        <f>VLOOKUP($K1038,LUTs!$E$2:$H$14,2,)</f>
        <v>South Puget Sound</v>
      </c>
      <c r="N1038" s="107" t="str">
        <f>VLOOKUP($K1038,LUTs!$E$2:$H$14,4,)</f>
        <v>02South Puget Sound</v>
      </c>
      <c r="O1038" s="107">
        <v>1152.60335195531</v>
      </c>
      <c r="P1038" s="107">
        <v>1388.7751246996299</v>
      </c>
      <c r="Q1038" s="107">
        <f t="shared" si="97"/>
        <v>1152.60335195531</v>
      </c>
      <c r="R1038" s="107">
        <f t="shared" si="98"/>
        <v>1388.7751246996299</v>
      </c>
      <c r="S1038" s="140" t="str">
        <f t="shared" si="99"/>
        <v>Y</v>
      </c>
      <c r="T1038" s="154">
        <f t="shared" si="100"/>
        <v>1.2049029029315863</v>
      </c>
      <c r="U1038" s="154">
        <f t="shared" si="101"/>
        <v>1.2049029029315863</v>
      </c>
    </row>
    <row r="1039" spans="1:21" x14ac:dyDescent="0.35">
      <c r="A1039" s="107">
        <v>512</v>
      </c>
      <c r="B1039" s="107">
        <v>2020</v>
      </c>
      <c r="C1039" s="107" t="s">
        <v>9</v>
      </c>
      <c r="D1039" s="107" t="s">
        <v>132</v>
      </c>
      <c r="E1039" s="107" t="s">
        <v>10</v>
      </c>
      <c r="F1039" s="115">
        <v>13</v>
      </c>
      <c r="G1039" s="107" t="s">
        <v>37</v>
      </c>
      <c r="H1039" s="107" t="str">
        <f t="shared" si="96"/>
        <v>Area 13: S Puget Sound</v>
      </c>
      <c r="I1039" s="107" t="str">
        <f>IFERROR(VLOOKUP(H1039,LUTs!$A$1:$C$73,2,FALSE),"NA")</f>
        <v>NA</v>
      </c>
      <c r="J1039" s="107" t="str">
        <f>IFERROR(VLOOKUP(H1039,LUTs!$A$1:$C$73,3,FALSE),"NA")</f>
        <v>3South Puget Sound</v>
      </c>
      <c r="K1039" s="107" t="s">
        <v>18</v>
      </c>
      <c r="L1039" s="107" t="str">
        <f>VLOOKUP(K1039,LUTs!E$2:G$14,3,)</f>
        <v>06King</v>
      </c>
      <c r="M1039" s="107" t="str">
        <f>VLOOKUP($K1039,LUTs!$E$2:$H$14,2,)</f>
        <v>South Puget Sound</v>
      </c>
      <c r="N1039" s="107" t="str">
        <f>VLOOKUP($K1039,LUTs!$E$2:$H$14,4,)</f>
        <v>02South Puget Sound</v>
      </c>
      <c r="O1039" s="107">
        <v>339.2</v>
      </c>
      <c r="P1039" s="107">
        <v>407.74434472761101</v>
      </c>
      <c r="Q1039" s="107">
        <f t="shared" si="97"/>
        <v>339.2</v>
      </c>
      <c r="R1039" s="107">
        <f t="shared" si="98"/>
        <v>407.74434472761101</v>
      </c>
      <c r="S1039" s="140" t="str">
        <f t="shared" si="99"/>
        <v>N</v>
      </c>
      <c r="T1039" s="154">
        <f t="shared" si="100"/>
        <v>1.2020764879941364</v>
      </c>
      <c r="U1039" s="154">
        <f t="shared" si="101"/>
        <v>1.2020764879941364</v>
      </c>
    </row>
    <row r="1040" spans="1:21" x14ac:dyDescent="0.35">
      <c r="A1040" s="107">
        <v>516</v>
      </c>
      <c r="B1040" s="107">
        <v>2020</v>
      </c>
      <c r="C1040" s="107" t="s">
        <v>9</v>
      </c>
      <c r="D1040" s="107" t="s">
        <v>132</v>
      </c>
      <c r="E1040" s="107" t="s">
        <v>10</v>
      </c>
      <c r="F1040" s="115">
        <v>13</v>
      </c>
      <c r="G1040" s="107" t="s">
        <v>37</v>
      </c>
      <c r="H1040" s="107" t="str">
        <f t="shared" si="96"/>
        <v>Area 13: S Puget Sound</v>
      </c>
      <c r="I1040" s="107" t="str">
        <f>IFERROR(VLOOKUP(H1040,LUTs!$A$1:$C$73,2,FALSE),"NA")</f>
        <v>NA</v>
      </c>
      <c r="J1040" s="107" t="str">
        <f>IFERROR(VLOOKUP(H1040,LUTs!$A$1:$C$73,3,FALSE),"NA")</f>
        <v>3South Puget Sound</v>
      </c>
      <c r="K1040" s="107" t="s">
        <v>23</v>
      </c>
      <c r="L1040" s="107" t="str">
        <f>VLOOKUP(K1040,LUTs!E$2:G$14,3,)</f>
        <v>10Kitsap</v>
      </c>
      <c r="M1040" s="107" t="str">
        <f>VLOOKUP($K1040,LUTs!$E$2:$H$14,2,)</f>
        <v>South Puget Sound</v>
      </c>
      <c r="N1040" s="107" t="str">
        <f>VLOOKUP($K1040,LUTs!$E$2:$H$14,4,)</f>
        <v>02South Puget Sound</v>
      </c>
      <c r="O1040" s="107">
        <v>69.835294117647095</v>
      </c>
      <c r="P1040" s="107">
        <v>83.947365090978806</v>
      </c>
      <c r="Q1040" s="107">
        <f t="shared" si="97"/>
        <v>69.835294117647095</v>
      </c>
      <c r="R1040" s="107">
        <f t="shared" si="98"/>
        <v>83.947365090978806</v>
      </c>
      <c r="S1040" s="140" t="str">
        <f t="shared" si="99"/>
        <v>N</v>
      </c>
      <c r="T1040" s="154">
        <f t="shared" si="100"/>
        <v>1.2020764879941366</v>
      </c>
      <c r="U1040" s="154">
        <f t="shared" si="101"/>
        <v>1.2020764879941366</v>
      </c>
    </row>
    <row r="1041" spans="1:21" x14ac:dyDescent="0.35">
      <c r="A1041" s="107">
        <v>515</v>
      </c>
      <c r="B1041" s="107">
        <v>2020</v>
      </c>
      <c r="C1041" s="107" t="s">
        <v>9</v>
      </c>
      <c r="D1041" s="107" t="s">
        <v>132</v>
      </c>
      <c r="E1041" s="107" t="s">
        <v>10</v>
      </c>
      <c r="F1041" s="115">
        <v>13</v>
      </c>
      <c r="G1041" s="107" t="s">
        <v>37</v>
      </c>
      <c r="H1041" s="107" t="str">
        <f t="shared" si="96"/>
        <v>Area 13: S Puget Sound</v>
      </c>
      <c r="I1041" s="107" t="str">
        <f>IFERROR(VLOOKUP(H1041,LUTs!$A$1:$C$73,2,FALSE),"NA")</f>
        <v>NA</v>
      </c>
      <c r="J1041" s="107" t="str">
        <f>IFERROR(VLOOKUP(H1041,LUTs!$A$1:$C$73,3,FALSE),"NA")</f>
        <v>3South Puget Sound</v>
      </c>
      <c r="K1041" s="107" t="s">
        <v>22</v>
      </c>
      <c r="L1041" s="107" t="str">
        <f>VLOOKUP(K1041,LUTs!E$2:G$14,3,)</f>
        <v>09Mason</v>
      </c>
      <c r="M1041" s="107" t="str">
        <f>VLOOKUP($K1041,LUTs!$E$2:$H$14,2,)</f>
        <v>South Puget Sound</v>
      </c>
      <c r="N1041" s="107" t="str">
        <f>VLOOKUP($K1041,LUTs!$E$2:$H$14,4,)</f>
        <v>02South Puget Sound</v>
      </c>
      <c r="O1041" s="107">
        <v>478.87058823529401</v>
      </c>
      <c r="P1041" s="107">
        <v>575.63907490956899</v>
      </c>
      <c r="Q1041" s="107">
        <f t="shared" si="97"/>
        <v>478.87058823529401</v>
      </c>
      <c r="R1041" s="107">
        <f t="shared" si="98"/>
        <v>575.63907490956899</v>
      </c>
      <c r="S1041" s="140" t="str">
        <f t="shared" si="99"/>
        <v>N</v>
      </c>
      <c r="T1041" s="154">
        <f t="shared" si="100"/>
        <v>1.2020764879941375</v>
      </c>
      <c r="U1041" s="154">
        <f t="shared" si="101"/>
        <v>1.2020764879941375</v>
      </c>
    </row>
    <row r="1042" spans="1:21" x14ac:dyDescent="0.35">
      <c r="A1042" s="107">
        <v>517</v>
      </c>
      <c r="B1042" s="107">
        <v>2020</v>
      </c>
      <c r="C1042" s="107" t="s">
        <v>9</v>
      </c>
      <c r="D1042" s="107" t="s">
        <v>132</v>
      </c>
      <c r="E1042" s="107" t="s">
        <v>10</v>
      </c>
      <c r="F1042" s="115">
        <v>13</v>
      </c>
      <c r="G1042" s="107" t="s">
        <v>37</v>
      </c>
      <c r="H1042" s="107" t="str">
        <f t="shared" si="96"/>
        <v>Area 13: S Puget Sound</v>
      </c>
      <c r="I1042" s="107" t="str">
        <f>IFERROR(VLOOKUP(H1042,LUTs!$A$1:$C$73,2,FALSE),"NA")</f>
        <v>NA</v>
      </c>
      <c r="J1042" s="107" t="str">
        <f>IFERROR(VLOOKUP(H1042,LUTs!$A$1:$C$73,3,FALSE),"NA")</f>
        <v>3South Puget Sound</v>
      </c>
      <c r="K1042" s="107" t="s">
        <v>26</v>
      </c>
      <c r="L1042" s="107" t="str">
        <f>VLOOKUP(K1042,LUTs!E$2:G$14,3,)</f>
        <v>20Other</v>
      </c>
      <c r="M1042" s="107" t="str">
        <f>VLOOKUP($K1042,LUTs!$E$2:$H$14,2,)</f>
        <v>Non Puget Sound</v>
      </c>
      <c r="N1042" s="107" t="str">
        <f>VLOOKUP($K1042,LUTs!$E$2:$H$14,4,)</f>
        <v>07Non Puget Sound</v>
      </c>
      <c r="O1042" s="107">
        <v>478.87058823529401</v>
      </c>
      <c r="P1042" s="107">
        <v>575.63907490956899</v>
      </c>
      <c r="Q1042" s="107">
        <f t="shared" si="97"/>
        <v>478.87058823529401</v>
      </c>
      <c r="R1042" s="107">
        <f t="shared" si="98"/>
        <v>575.63907490956899</v>
      </c>
      <c r="S1042" s="140" t="str">
        <f t="shared" si="99"/>
        <v>N</v>
      </c>
      <c r="T1042" s="154">
        <f t="shared" si="100"/>
        <v>1.2020764879941375</v>
      </c>
      <c r="U1042" s="154">
        <f t="shared" si="101"/>
        <v>1.2020764879941375</v>
      </c>
    </row>
    <row r="1043" spans="1:21" x14ac:dyDescent="0.35">
      <c r="A1043" s="107">
        <v>513</v>
      </c>
      <c r="B1043" s="107">
        <v>2020</v>
      </c>
      <c r="C1043" s="107" t="s">
        <v>9</v>
      </c>
      <c r="D1043" s="107" t="s">
        <v>132</v>
      </c>
      <c r="E1043" s="107" t="s">
        <v>10</v>
      </c>
      <c r="F1043" s="115">
        <v>13</v>
      </c>
      <c r="G1043" s="107" t="s">
        <v>37</v>
      </c>
      <c r="H1043" s="107" t="str">
        <f t="shared" si="96"/>
        <v>Area 13: S Puget Sound</v>
      </c>
      <c r="I1043" s="107" t="str">
        <f>IFERROR(VLOOKUP(H1043,LUTs!$A$1:$C$73,2,FALSE),"NA")</f>
        <v>NA</v>
      </c>
      <c r="J1043" s="107" t="str">
        <f>IFERROR(VLOOKUP(H1043,LUTs!$A$1:$C$73,3,FALSE),"NA")</f>
        <v>3South Puget Sound</v>
      </c>
      <c r="K1043" s="107" t="s">
        <v>20</v>
      </c>
      <c r="L1043" s="107" t="str">
        <f>VLOOKUP(K1043,LUTs!E$2:G$14,3,)</f>
        <v>07Pierce</v>
      </c>
      <c r="M1043" s="107" t="str">
        <f>VLOOKUP($K1043,LUTs!$E$2:$H$14,2,)</f>
        <v>South Puget Sound</v>
      </c>
      <c r="N1043" s="107" t="str">
        <f>VLOOKUP($K1043,LUTs!$E$2:$H$14,4,)</f>
        <v>02South Puget Sound</v>
      </c>
      <c r="O1043" s="107">
        <v>748.23529411764696</v>
      </c>
      <c r="P1043" s="107">
        <v>899.43605454620104</v>
      </c>
      <c r="Q1043" s="107">
        <f t="shared" si="97"/>
        <v>748.23529411764696</v>
      </c>
      <c r="R1043" s="107">
        <f t="shared" si="98"/>
        <v>899.43605454620104</v>
      </c>
      <c r="S1043" s="140" t="str">
        <f t="shared" si="99"/>
        <v>N</v>
      </c>
      <c r="T1043" s="154">
        <f t="shared" si="100"/>
        <v>1.2020764879941368</v>
      </c>
      <c r="U1043" s="154">
        <f t="shared" si="101"/>
        <v>1.2020764879941368</v>
      </c>
    </row>
    <row r="1044" spans="1:21" x14ac:dyDescent="0.35">
      <c r="A1044" s="107">
        <v>511</v>
      </c>
      <c r="B1044" s="107">
        <v>2020</v>
      </c>
      <c r="C1044" s="107" t="s">
        <v>9</v>
      </c>
      <c r="D1044" s="107" t="s">
        <v>132</v>
      </c>
      <c r="E1044" s="107" t="s">
        <v>10</v>
      </c>
      <c r="F1044" s="115">
        <v>13</v>
      </c>
      <c r="G1044" s="107" t="s">
        <v>37</v>
      </c>
      <c r="H1044" s="107" t="str">
        <f t="shared" si="96"/>
        <v>Area 13: S Puget Sound</v>
      </c>
      <c r="I1044" s="107" t="str">
        <f>IFERROR(VLOOKUP(H1044,LUTs!$A$1:$C$73,2,FALSE),"NA")</f>
        <v>NA</v>
      </c>
      <c r="J1044" s="107" t="str">
        <f>IFERROR(VLOOKUP(H1044,LUTs!$A$1:$C$73,3,FALSE),"NA")</f>
        <v>3South Puget Sound</v>
      </c>
      <c r="K1044" s="107" t="s">
        <v>16</v>
      </c>
      <c r="L1044" s="107" t="str">
        <f>VLOOKUP(K1044,LUTs!E$2:G$14,3,)</f>
        <v>03Snohomish</v>
      </c>
      <c r="M1044" s="107" t="str">
        <f>VLOOKUP($K1044,LUTs!$E$2:$H$14,2,)</f>
        <v>North Puget Sound</v>
      </c>
      <c r="N1044" s="107" t="str">
        <f>VLOOKUP($K1044,LUTs!$E$2:$H$14,4,)</f>
        <v>01North Puget Sound</v>
      </c>
      <c r="O1044" s="107">
        <v>59.858823529411801</v>
      </c>
      <c r="P1044" s="107">
        <v>71.954884363696095</v>
      </c>
      <c r="Q1044" s="107">
        <f t="shared" si="97"/>
        <v>59.858823529411801</v>
      </c>
      <c r="R1044" s="107">
        <f t="shared" si="98"/>
        <v>71.954884363696095</v>
      </c>
      <c r="S1044" s="140" t="str">
        <f t="shared" si="99"/>
        <v>N</v>
      </c>
      <c r="T1044" s="154">
        <f t="shared" si="100"/>
        <v>1.2020764879941361</v>
      </c>
      <c r="U1044" s="154">
        <f t="shared" si="101"/>
        <v>1.2020764879941361</v>
      </c>
    </row>
    <row r="1045" spans="1:21" x14ac:dyDescent="0.35">
      <c r="A1045" s="107">
        <v>514</v>
      </c>
      <c r="B1045" s="107">
        <v>2020</v>
      </c>
      <c r="C1045" s="107" t="s">
        <v>9</v>
      </c>
      <c r="D1045" s="107" t="s">
        <v>132</v>
      </c>
      <c r="E1045" s="107" t="s">
        <v>10</v>
      </c>
      <c r="F1045" s="115">
        <v>13</v>
      </c>
      <c r="G1045" s="107" t="s">
        <v>37</v>
      </c>
      <c r="H1045" s="107" t="str">
        <f t="shared" si="96"/>
        <v>Area 13: S Puget Sound</v>
      </c>
      <c r="I1045" s="107" t="str">
        <f>IFERROR(VLOOKUP(H1045,LUTs!$A$1:$C$73,2,FALSE),"NA")</f>
        <v>NA</v>
      </c>
      <c r="J1045" s="107" t="str">
        <f>IFERROR(VLOOKUP(H1045,LUTs!$A$1:$C$73,3,FALSE),"NA")</f>
        <v>3South Puget Sound</v>
      </c>
      <c r="K1045" s="107" t="s">
        <v>21</v>
      </c>
      <c r="L1045" s="107" t="str">
        <f>VLOOKUP(K1045,LUTs!E$2:G$14,3,)</f>
        <v>08Thurston</v>
      </c>
      <c r="M1045" s="107" t="str">
        <f>VLOOKUP($K1045,LUTs!$E$2:$H$14,2,)</f>
        <v>South Puget Sound</v>
      </c>
      <c r="N1045" s="107" t="str">
        <f>VLOOKUP($K1045,LUTs!$E$2:$H$14,4,)</f>
        <v>02South Puget Sound</v>
      </c>
      <c r="O1045" s="107">
        <v>1217.1294117647101</v>
      </c>
      <c r="P1045" s="107">
        <v>1463.0826487284901</v>
      </c>
      <c r="Q1045" s="107">
        <f t="shared" si="97"/>
        <v>1217.1294117647101</v>
      </c>
      <c r="R1045" s="107">
        <f t="shared" si="98"/>
        <v>1463.0826487284901</v>
      </c>
      <c r="S1045" s="140" t="str">
        <f t="shared" si="99"/>
        <v>N</v>
      </c>
      <c r="T1045" s="154">
        <f t="shared" si="100"/>
        <v>1.202076487994135</v>
      </c>
      <c r="U1045" s="154">
        <f t="shared" si="101"/>
        <v>1.202076487994135</v>
      </c>
    </row>
    <row r="1046" spans="1:21" x14ac:dyDescent="0.35">
      <c r="A1046" s="107">
        <v>624</v>
      </c>
      <c r="B1046" s="107">
        <v>2021</v>
      </c>
      <c r="C1046" s="107" t="s">
        <v>9</v>
      </c>
      <c r="D1046" s="107" t="s">
        <v>132</v>
      </c>
      <c r="E1046" s="107" t="s">
        <v>10</v>
      </c>
      <c r="F1046" s="115">
        <v>13</v>
      </c>
      <c r="G1046" s="107" t="s">
        <v>37</v>
      </c>
      <c r="H1046" s="107" t="str">
        <f t="shared" si="96"/>
        <v>Area 13: S Puget Sound</v>
      </c>
      <c r="I1046" s="107" t="str">
        <f>IFERROR(VLOOKUP(H1046,LUTs!$A$1:$C$73,2,FALSE),"NA")</f>
        <v>NA</v>
      </c>
      <c r="J1046" s="107" t="str">
        <f>IFERROR(VLOOKUP(H1046,LUTs!$A$1:$C$73,3,FALSE),"NA")</f>
        <v>3South Puget Sound</v>
      </c>
      <c r="K1046" s="107" t="s">
        <v>18</v>
      </c>
      <c r="L1046" s="107" t="str">
        <f>VLOOKUP(K1046,LUTs!E$2:G$14,3,)</f>
        <v>06King</v>
      </c>
      <c r="M1046" s="107" t="str">
        <f>VLOOKUP($K1046,LUTs!$E$2:$H$14,2,)</f>
        <v>South Puget Sound</v>
      </c>
      <c r="N1046" s="107" t="str">
        <f>VLOOKUP($K1046,LUTs!$E$2:$H$14,4,)</f>
        <v>02South Puget Sound</v>
      </c>
      <c r="O1046" s="107">
        <v>901.74701670644401</v>
      </c>
      <c r="P1046" s="107">
        <v>1108.1552233249299</v>
      </c>
      <c r="Q1046" s="107">
        <f t="shared" si="97"/>
        <v>901.74701670644401</v>
      </c>
      <c r="R1046" s="107">
        <f t="shared" si="98"/>
        <v>1108.1552233249299</v>
      </c>
      <c r="S1046" s="140" t="str">
        <f t="shared" si="99"/>
        <v>N</v>
      </c>
      <c r="T1046" s="154">
        <f t="shared" si="100"/>
        <v>1.2288981308442524</v>
      </c>
      <c r="U1046" s="154">
        <f t="shared" si="101"/>
        <v>1.2288981308442524</v>
      </c>
    </row>
    <row r="1047" spans="1:21" x14ac:dyDescent="0.35">
      <c r="A1047" s="107">
        <v>628</v>
      </c>
      <c r="B1047" s="107">
        <v>2021</v>
      </c>
      <c r="C1047" s="107" t="s">
        <v>9</v>
      </c>
      <c r="D1047" s="107" t="s">
        <v>132</v>
      </c>
      <c r="E1047" s="107" t="s">
        <v>10</v>
      </c>
      <c r="F1047" s="115">
        <v>13</v>
      </c>
      <c r="G1047" s="107" t="s">
        <v>37</v>
      </c>
      <c r="H1047" s="107" t="str">
        <f t="shared" si="96"/>
        <v>Area 13: S Puget Sound</v>
      </c>
      <c r="I1047" s="107" t="str">
        <f>IFERROR(VLOOKUP(H1047,LUTs!$A$1:$C$73,2,FALSE),"NA")</f>
        <v>NA</v>
      </c>
      <c r="J1047" s="107" t="str">
        <f>IFERROR(VLOOKUP(H1047,LUTs!$A$1:$C$73,3,FALSE),"NA")</f>
        <v>3South Puget Sound</v>
      </c>
      <c r="K1047" s="107" t="s">
        <v>23</v>
      </c>
      <c r="L1047" s="107" t="str">
        <f>VLOOKUP(K1047,LUTs!E$2:G$14,3,)</f>
        <v>10Kitsap</v>
      </c>
      <c r="M1047" s="107" t="str">
        <f>VLOOKUP($K1047,LUTs!$E$2:$H$14,2,)</f>
        <v>South Puget Sound</v>
      </c>
      <c r="N1047" s="107" t="str">
        <f>VLOOKUP($K1047,LUTs!$E$2:$H$14,4,)</f>
        <v>02South Puget Sound</v>
      </c>
      <c r="O1047" s="107">
        <v>64.410501193317501</v>
      </c>
      <c r="P1047" s="107">
        <v>79.153944523209105</v>
      </c>
      <c r="Q1047" s="107">
        <f t="shared" si="97"/>
        <v>64.410501193317501</v>
      </c>
      <c r="R1047" s="107">
        <f t="shared" si="98"/>
        <v>79.153944523209105</v>
      </c>
      <c r="S1047" s="140" t="str">
        <f t="shared" si="99"/>
        <v>N</v>
      </c>
      <c r="T1047" s="154">
        <f t="shared" si="100"/>
        <v>1.2288981308442484</v>
      </c>
      <c r="U1047" s="154">
        <f t="shared" si="101"/>
        <v>1.2288981308442484</v>
      </c>
    </row>
    <row r="1048" spans="1:21" x14ac:dyDescent="0.35">
      <c r="A1048" s="107">
        <v>627</v>
      </c>
      <c r="B1048" s="107">
        <v>2021</v>
      </c>
      <c r="C1048" s="107" t="s">
        <v>9</v>
      </c>
      <c r="D1048" s="107" t="s">
        <v>132</v>
      </c>
      <c r="E1048" s="107" t="s">
        <v>10</v>
      </c>
      <c r="F1048" s="115">
        <v>13</v>
      </c>
      <c r="G1048" s="107" t="s">
        <v>37</v>
      </c>
      <c r="H1048" s="107" t="str">
        <f t="shared" si="96"/>
        <v>Area 13: S Puget Sound</v>
      </c>
      <c r="I1048" s="107" t="str">
        <f>IFERROR(VLOOKUP(H1048,LUTs!$A$1:$C$73,2,FALSE),"NA")</f>
        <v>NA</v>
      </c>
      <c r="J1048" s="107" t="str">
        <f>IFERROR(VLOOKUP(H1048,LUTs!$A$1:$C$73,3,FALSE),"NA")</f>
        <v>3South Puget Sound</v>
      </c>
      <c r="K1048" s="107" t="s">
        <v>22</v>
      </c>
      <c r="L1048" s="107" t="str">
        <f>VLOOKUP(K1048,LUTs!E$2:G$14,3,)</f>
        <v>09Mason</v>
      </c>
      <c r="M1048" s="107" t="str">
        <f>VLOOKUP($K1048,LUTs!$E$2:$H$14,2,)</f>
        <v>South Puget Sound</v>
      </c>
      <c r="N1048" s="107" t="str">
        <f>VLOOKUP($K1048,LUTs!$E$2:$H$14,4,)</f>
        <v>02South Puget Sound</v>
      </c>
      <c r="O1048" s="107">
        <v>740.72076372314996</v>
      </c>
      <c r="P1048" s="107">
        <v>910.27036201690498</v>
      </c>
      <c r="Q1048" s="107">
        <f t="shared" si="97"/>
        <v>740.72076372314996</v>
      </c>
      <c r="R1048" s="107">
        <f t="shared" si="98"/>
        <v>910.27036201690498</v>
      </c>
      <c r="S1048" s="140" t="str">
        <f t="shared" si="99"/>
        <v>N</v>
      </c>
      <c r="T1048" s="154">
        <f t="shared" si="100"/>
        <v>1.2288981308442508</v>
      </c>
      <c r="U1048" s="154">
        <f t="shared" si="101"/>
        <v>1.2288981308442508</v>
      </c>
    </row>
    <row r="1049" spans="1:21" x14ac:dyDescent="0.35">
      <c r="A1049" s="107">
        <v>629</v>
      </c>
      <c r="B1049" s="107">
        <v>2021</v>
      </c>
      <c r="C1049" s="107" t="s">
        <v>9</v>
      </c>
      <c r="D1049" s="107" t="s">
        <v>132</v>
      </c>
      <c r="E1049" s="107" t="s">
        <v>10</v>
      </c>
      <c r="F1049" s="115">
        <v>13</v>
      </c>
      <c r="G1049" s="107" t="s">
        <v>37</v>
      </c>
      <c r="H1049" s="107" t="str">
        <f t="shared" si="96"/>
        <v>Area 13: S Puget Sound</v>
      </c>
      <c r="I1049" s="107" t="str">
        <f>IFERROR(VLOOKUP(H1049,LUTs!$A$1:$C$73,2,FALSE),"NA")</f>
        <v>NA</v>
      </c>
      <c r="J1049" s="107" t="str">
        <f>IFERROR(VLOOKUP(H1049,LUTs!$A$1:$C$73,3,FALSE),"NA")</f>
        <v>3South Puget Sound</v>
      </c>
      <c r="K1049" s="107" t="s">
        <v>26</v>
      </c>
      <c r="L1049" s="107" t="str">
        <f>VLOOKUP(K1049,LUTs!E$2:G$14,3,)</f>
        <v>20Other</v>
      </c>
      <c r="M1049" s="107" t="str">
        <f>VLOOKUP($K1049,LUTs!$E$2:$H$14,2,)</f>
        <v>Non Puget Sound</v>
      </c>
      <c r="N1049" s="107" t="str">
        <f>VLOOKUP($K1049,LUTs!$E$2:$H$14,4,)</f>
        <v>07Non Puget Sound</v>
      </c>
      <c r="O1049" s="107">
        <v>150.29116945107401</v>
      </c>
      <c r="P1049" s="107">
        <v>184.69253722082101</v>
      </c>
      <c r="Q1049" s="107">
        <f t="shared" si="97"/>
        <v>150.29116945107401</v>
      </c>
      <c r="R1049" s="107">
        <f t="shared" si="98"/>
        <v>184.69253722082101</v>
      </c>
      <c r="S1049" s="140" t="str">
        <f t="shared" si="99"/>
        <v>N</v>
      </c>
      <c r="T1049" s="154">
        <f t="shared" si="100"/>
        <v>1.2288981308442481</v>
      </c>
      <c r="U1049" s="154">
        <f t="shared" si="101"/>
        <v>1.2288981308442481</v>
      </c>
    </row>
    <row r="1050" spans="1:21" x14ac:dyDescent="0.35">
      <c r="A1050" s="107">
        <v>625</v>
      </c>
      <c r="B1050" s="107">
        <v>2021</v>
      </c>
      <c r="C1050" s="107" t="s">
        <v>9</v>
      </c>
      <c r="D1050" s="107" t="s">
        <v>132</v>
      </c>
      <c r="E1050" s="107" t="s">
        <v>10</v>
      </c>
      <c r="F1050" s="115">
        <v>13</v>
      </c>
      <c r="G1050" s="107" t="s">
        <v>37</v>
      </c>
      <c r="H1050" s="107" t="str">
        <f t="shared" si="96"/>
        <v>Area 13: S Puget Sound</v>
      </c>
      <c r="I1050" s="107" t="str">
        <f>IFERROR(VLOOKUP(H1050,LUTs!$A$1:$C$73,2,FALSE),"NA")</f>
        <v>NA</v>
      </c>
      <c r="J1050" s="107" t="str">
        <f>IFERROR(VLOOKUP(H1050,LUTs!$A$1:$C$73,3,FALSE),"NA")</f>
        <v>3South Puget Sound</v>
      </c>
      <c r="K1050" s="107" t="s">
        <v>20</v>
      </c>
      <c r="L1050" s="107" t="str">
        <f>VLOOKUP(K1050,LUTs!E$2:G$14,3,)</f>
        <v>07Pierce</v>
      </c>
      <c r="M1050" s="107" t="str">
        <f>VLOOKUP($K1050,LUTs!$E$2:$H$14,2,)</f>
        <v>South Puget Sound</v>
      </c>
      <c r="N1050" s="107" t="str">
        <f>VLOOKUP($K1050,LUTs!$E$2:$H$14,4,)</f>
        <v>02South Puget Sound</v>
      </c>
      <c r="O1050" s="107">
        <v>1320.4152744630101</v>
      </c>
      <c r="P1050" s="107">
        <v>1622.65586272579</v>
      </c>
      <c r="Q1050" s="107">
        <f t="shared" si="97"/>
        <v>1320.4152744630101</v>
      </c>
      <c r="R1050" s="107">
        <f t="shared" si="98"/>
        <v>1622.65586272579</v>
      </c>
      <c r="S1050" s="140" t="str">
        <f t="shared" si="99"/>
        <v>N</v>
      </c>
      <c r="T1050" s="154">
        <f t="shared" si="100"/>
        <v>1.2288981308442497</v>
      </c>
      <c r="U1050" s="154">
        <f t="shared" si="101"/>
        <v>1.2288981308442497</v>
      </c>
    </row>
    <row r="1051" spans="1:21" x14ac:dyDescent="0.35">
      <c r="A1051" s="107">
        <v>626</v>
      </c>
      <c r="B1051" s="107">
        <v>2021</v>
      </c>
      <c r="C1051" s="107" t="s">
        <v>9</v>
      </c>
      <c r="D1051" s="107" t="s">
        <v>132</v>
      </c>
      <c r="E1051" s="107" t="s">
        <v>10</v>
      </c>
      <c r="F1051" s="115">
        <v>13</v>
      </c>
      <c r="G1051" s="107" t="s">
        <v>37</v>
      </c>
      <c r="H1051" s="107" t="str">
        <f t="shared" si="96"/>
        <v>Area 13: S Puget Sound</v>
      </c>
      <c r="I1051" s="107" t="str">
        <f>IFERROR(VLOOKUP(H1051,LUTs!$A$1:$C$73,2,FALSE),"NA")</f>
        <v>NA</v>
      </c>
      <c r="J1051" s="107" t="str">
        <f>IFERROR(VLOOKUP(H1051,LUTs!$A$1:$C$73,3,FALSE),"NA")</f>
        <v>3South Puget Sound</v>
      </c>
      <c r="K1051" s="107" t="s">
        <v>21</v>
      </c>
      <c r="L1051" s="107" t="str">
        <f>VLOOKUP(K1051,LUTs!E$2:G$14,3,)</f>
        <v>08Thurston</v>
      </c>
      <c r="M1051" s="107" t="str">
        <f>VLOOKUP($K1051,LUTs!$E$2:$H$14,2,)</f>
        <v>South Puget Sound</v>
      </c>
      <c r="N1051" s="107" t="str">
        <f>VLOOKUP($K1051,LUTs!$E$2:$H$14,4,)</f>
        <v>02South Puget Sound</v>
      </c>
      <c r="O1051" s="107">
        <v>1320.4152744630101</v>
      </c>
      <c r="P1051" s="107">
        <v>1622.65586272579</v>
      </c>
      <c r="Q1051" s="107">
        <f t="shared" si="97"/>
        <v>1320.4152744630101</v>
      </c>
      <c r="R1051" s="107">
        <f t="shared" si="98"/>
        <v>1622.65586272579</v>
      </c>
      <c r="S1051" s="140" t="str">
        <f t="shared" si="99"/>
        <v>N</v>
      </c>
      <c r="T1051" s="154">
        <f t="shared" si="100"/>
        <v>1.2288981308442497</v>
      </c>
      <c r="U1051" s="154">
        <f t="shared" si="101"/>
        <v>1.2288981308442497</v>
      </c>
    </row>
    <row r="1052" spans="1:21" x14ac:dyDescent="0.35">
      <c r="A1052" s="107">
        <v>2591</v>
      </c>
      <c r="B1052" s="107">
        <v>2010</v>
      </c>
      <c r="C1052" s="107" t="s">
        <v>9</v>
      </c>
      <c r="D1052" s="107" t="s">
        <v>132</v>
      </c>
      <c r="E1052" s="107" t="s">
        <v>10</v>
      </c>
      <c r="F1052" s="115" t="s">
        <v>304</v>
      </c>
      <c r="G1052" s="107" t="s">
        <v>31</v>
      </c>
      <c r="H1052" s="107" t="str">
        <f t="shared" si="96"/>
        <v>Area 8-1: Skagit Bay-Saratoga Psg.</v>
      </c>
      <c r="I1052" s="107" t="str">
        <f>IFERROR(VLOOKUP(H1052,LUTs!$A$1:$C$73,2,FALSE),"NA")</f>
        <v>NA</v>
      </c>
      <c r="J1052" s="107" t="str">
        <f>IFERROR(VLOOKUP(H1052,LUTs!$A$1:$C$73,3,FALSE),"NA")</f>
        <v>2Central Puget Sound</v>
      </c>
      <c r="K1052" s="107" t="s">
        <v>17</v>
      </c>
      <c r="L1052" s="107" t="str">
        <f>VLOOKUP(K1052,LUTs!E$2:G$14,3,)</f>
        <v>04Island</v>
      </c>
      <c r="M1052" s="107" t="str">
        <f>VLOOKUP($K1052,LUTs!$E$2:$H$14,2,)</f>
        <v>North Puget Sound</v>
      </c>
      <c r="N1052" s="107" t="str">
        <f>VLOOKUP($K1052,LUTs!$E$2:$H$14,4,)</f>
        <v>01North Puget Sound</v>
      </c>
      <c r="O1052" s="107">
        <v>128.93877551020401</v>
      </c>
      <c r="P1052" s="107">
        <v>1744.53612244898</v>
      </c>
      <c r="Q1052" s="107">
        <f t="shared" si="97"/>
        <v>128.93877551020401</v>
      </c>
      <c r="R1052" s="107">
        <f t="shared" si="98"/>
        <v>1744.53612244898</v>
      </c>
      <c r="S1052" s="140" t="str">
        <f t="shared" si="99"/>
        <v>Y</v>
      </c>
      <c r="T1052" s="154">
        <f t="shared" si="100"/>
        <v>13.529957264957275</v>
      </c>
      <c r="U1052" s="154">
        <f t="shared" si="101"/>
        <v>13.529957264957275</v>
      </c>
    </row>
    <row r="1053" spans="1:21" x14ac:dyDescent="0.35">
      <c r="A1053" s="107">
        <v>2592</v>
      </c>
      <c r="B1053" s="107">
        <v>2010</v>
      </c>
      <c r="C1053" s="107" t="s">
        <v>9</v>
      </c>
      <c r="D1053" s="107" t="s">
        <v>132</v>
      </c>
      <c r="E1053" s="107" t="s">
        <v>10</v>
      </c>
      <c r="F1053" s="115" t="s">
        <v>304</v>
      </c>
      <c r="G1053" s="107" t="s">
        <v>31</v>
      </c>
      <c r="H1053" s="107" t="str">
        <f t="shared" si="96"/>
        <v>Area 8-1: Skagit Bay-Saratoga Psg.</v>
      </c>
      <c r="I1053" s="107" t="str">
        <f>IFERROR(VLOOKUP(H1053,LUTs!$A$1:$C$73,2,FALSE),"NA")</f>
        <v>NA</v>
      </c>
      <c r="J1053" s="107" t="str">
        <f>IFERROR(VLOOKUP(H1053,LUTs!$A$1:$C$73,3,FALSE),"NA")</f>
        <v>2Central Puget Sound</v>
      </c>
      <c r="K1053" s="107" t="s">
        <v>18</v>
      </c>
      <c r="L1053" s="107" t="str">
        <f>VLOOKUP(K1053,LUTs!E$2:G$14,3,)</f>
        <v>06King</v>
      </c>
      <c r="M1053" s="107" t="str">
        <f>VLOOKUP($K1053,LUTs!$E$2:$H$14,2,)</f>
        <v>South Puget Sound</v>
      </c>
      <c r="N1053" s="107" t="str">
        <f>VLOOKUP($K1053,LUTs!$E$2:$H$14,4,)</f>
        <v>02South Puget Sound</v>
      </c>
      <c r="O1053" s="107">
        <v>9.5510204081632697</v>
      </c>
      <c r="P1053" s="107">
        <v>129.22489795918401</v>
      </c>
      <c r="Q1053" s="107">
        <f t="shared" si="97"/>
        <v>9.5510204081632697</v>
      </c>
      <c r="R1053" s="107">
        <f t="shared" si="98"/>
        <v>129.22489795918401</v>
      </c>
      <c r="S1053" s="140" t="str">
        <f t="shared" si="99"/>
        <v>Y</v>
      </c>
      <c r="T1053" s="154">
        <f t="shared" si="100"/>
        <v>13.529957264957293</v>
      </c>
      <c r="U1053" s="154">
        <f t="shared" si="101"/>
        <v>13.529957264957293</v>
      </c>
    </row>
    <row r="1054" spans="1:21" x14ac:dyDescent="0.35">
      <c r="A1054" s="107">
        <v>2595</v>
      </c>
      <c r="B1054" s="107">
        <v>2010</v>
      </c>
      <c r="C1054" s="107" t="s">
        <v>9</v>
      </c>
      <c r="D1054" s="107" t="s">
        <v>132</v>
      </c>
      <c r="E1054" s="107" t="s">
        <v>10</v>
      </c>
      <c r="F1054" s="115" t="s">
        <v>304</v>
      </c>
      <c r="G1054" s="107" t="s">
        <v>31</v>
      </c>
      <c r="H1054" s="107" t="str">
        <f t="shared" si="96"/>
        <v>Area 8-1: Skagit Bay-Saratoga Psg.</v>
      </c>
      <c r="I1054" s="107" t="str">
        <f>IFERROR(VLOOKUP(H1054,LUTs!$A$1:$C$73,2,FALSE),"NA")</f>
        <v>NA</v>
      </c>
      <c r="J1054" s="107" t="str">
        <f>IFERROR(VLOOKUP(H1054,LUTs!$A$1:$C$73,3,FALSE),"NA")</f>
        <v>2Central Puget Sound</v>
      </c>
      <c r="K1054" s="107" t="s">
        <v>26</v>
      </c>
      <c r="L1054" s="107" t="str">
        <f>VLOOKUP(K1054,LUTs!E$2:G$14,3,)</f>
        <v>20Other</v>
      </c>
      <c r="M1054" s="107" t="str">
        <f>VLOOKUP($K1054,LUTs!$E$2:$H$14,2,)</f>
        <v>Non Puget Sound</v>
      </c>
      <c r="N1054" s="107" t="str">
        <f>VLOOKUP($K1054,LUTs!$E$2:$H$14,4,)</f>
        <v>07Non Puget Sound</v>
      </c>
      <c r="O1054" s="107">
        <v>9.5510204081632697</v>
      </c>
      <c r="P1054" s="107">
        <v>129.22489795918401</v>
      </c>
      <c r="Q1054" s="107">
        <f t="shared" si="97"/>
        <v>9.5510204081632697</v>
      </c>
      <c r="R1054" s="107">
        <f t="shared" si="98"/>
        <v>129.22489795918401</v>
      </c>
      <c r="S1054" s="140" t="str">
        <f t="shared" si="99"/>
        <v>Y</v>
      </c>
      <c r="T1054" s="154">
        <f t="shared" si="100"/>
        <v>13.529957264957293</v>
      </c>
      <c r="U1054" s="154">
        <f t="shared" si="101"/>
        <v>13.529957264957293</v>
      </c>
    </row>
    <row r="1055" spans="1:21" x14ac:dyDescent="0.35">
      <c r="A1055" s="107">
        <v>2593</v>
      </c>
      <c r="B1055" s="107">
        <v>2010</v>
      </c>
      <c r="C1055" s="107" t="s">
        <v>9</v>
      </c>
      <c r="D1055" s="107" t="s">
        <v>132</v>
      </c>
      <c r="E1055" s="107" t="s">
        <v>10</v>
      </c>
      <c r="F1055" s="115" t="s">
        <v>304</v>
      </c>
      <c r="G1055" s="107" t="s">
        <v>31</v>
      </c>
      <c r="H1055" s="107" t="str">
        <f t="shared" si="96"/>
        <v>Area 8-1: Skagit Bay-Saratoga Psg.</v>
      </c>
      <c r="I1055" s="107" t="str">
        <f>IFERROR(VLOOKUP(H1055,LUTs!$A$1:$C$73,2,FALSE),"NA")</f>
        <v>NA</v>
      </c>
      <c r="J1055" s="107" t="str">
        <f>IFERROR(VLOOKUP(H1055,LUTs!$A$1:$C$73,3,FALSE),"NA")</f>
        <v>2Central Puget Sound</v>
      </c>
      <c r="K1055" s="107" t="s">
        <v>20</v>
      </c>
      <c r="L1055" s="107" t="str">
        <f>VLOOKUP(K1055,LUTs!E$2:G$14,3,)</f>
        <v>07Pierce</v>
      </c>
      <c r="M1055" s="107" t="str">
        <f>VLOOKUP($K1055,LUTs!$E$2:$H$14,2,)</f>
        <v>South Puget Sound</v>
      </c>
      <c r="N1055" s="107" t="str">
        <f>VLOOKUP($K1055,LUTs!$E$2:$H$14,4,)</f>
        <v>02South Puget Sound</v>
      </c>
      <c r="O1055" s="107">
        <v>4.7755102040816304</v>
      </c>
      <c r="P1055" s="107">
        <v>64.612448979591903</v>
      </c>
      <c r="Q1055" s="107">
        <f t="shared" si="97"/>
        <v>4.7755102040816304</v>
      </c>
      <c r="R1055" s="107">
        <f t="shared" si="98"/>
        <v>64.612448979591903</v>
      </c>
      <c r="S1055" s="140" t="str">
        <f t="shared" si="99"/>
        <v>Y</v>
      </c>
      <c r="T1055" s="154">
        <f t="shared" si="100"/>
        <v>13.529957264957286</v>
      </c>
      <c r="U1055" s="154">
        <f t="shared" si="101"/>
        <v>13.529957264957286</v>
      </c>
    </row>
    <row r="1056" spans="1:21" x14ac:dyDescent="0.35">
      <c r="A1056" s="107">
        <v>2589</v>
      </c>
      <c r="B1056" s="107">
        <v>2010</v>
      </c>
      <c r="C1056" s="107" t="s">
        <v>9</v>
      </c>
      <c r="D1056" s="107" t="s">
        <v>132</v>
      </c>
      <c r="E1056" s="107" t="s">
        <v>10</v>
      </c>
      <c r="F1056" s="115" t="s">
        <v>304</v>
      </c>
      <c r="G1056" s="107" t="s">
        <v>31</v>
      </c>
      <c r="H1056" s="107" t="str">
        <f t="shared" si="96"/>
        <v>Area 8-1: Skagit Bay-Saratoga Psg.</v>
      </c>
      <c r="I1056" s="107" t="str">
        <f>IFERROR(VLOOKUP(H1056,LUTs!$A$1:$C$73,2,FALSE),"NA")</f>
        <v>NA</v>
      </c>
      <c r="J1056" s="107" t="str">
        <f>IFERROR(VLOOKUP(H1056,LUTs!$A$1:$C$73,3,FALSE),"NA")</f>
        <v>2Central Puget Sound</v>
      </c>
      <c r="K1056" s="107" t="s">
        <v>15</v>
      </c>
      <c r="L1056" s="107" t="str">
        <f>VLOOKUP(K1056,LUTs!E$2:G$14,3,)</f>
        <v>02Skagit</v>
      </c>
      <c r="M1056" s="107" t="str">
        <f>VLOOKUP($K1056,LUTs!$E$2:$H$14,2,)</f>
        <v>North Puget Sound</v>
      </c>
      <c r="N1056" s="107" t="str">
        <f>VLOOKUP($K1056,LUTs!$E$2:$H$14,4,)</f>
        <v>01North Puget Sound</v>
      </c>
      <c r="O1056" s="107">
        <v>33.428571428571402</v>
      </c>
      <c r="P1056" s="107">
        <v>452.28714285714301</v>
      </c>
      <c r="Q1056" s="107">
        <f t="shared" si="97"/>
        <v>33.428571428571402</v>
      </c>
      <c r="R1056" s="107">
        <f t="shared" si="98"/>
        <v>452.28714285714301</v>
      </c>
      <c r="S1056" s="140" t="str">
        <f t="shared" si="99"/>
        <v>Y</v>
      </c>
      <c r="T1056" s="154">
        <f t="shared" si="100"/>
        <v>13.529957264957281</v>
      </c>
      <c r="U1056" s="154">
        <f t="shared" si="101"/>
        <v>13.529957264957281</v>
      </c>
    </row>
    <row r="1057" spans="1:21" x14ac:dyDescent="0.35">
      <c r="A1057" s="107">
        <v>2590</v>
      </c>
      <c r="B1057" s="107">
        <v>2010</v>
      </c>
      <c r="C1057" s="107" t="s">
        <v>9</v>
      </c>
      <c r="D1057" s="107" t="s">
        <v>132</v>
      </c>
      <c r="E1057" s="107" t="s">
        <v>10</v>
      </c>
      <c r="F1057" s="115" t="s">
        <v>304</v>
      </c>
      <c r="G1057" s="107" t="s">
        <v>31</v>
      </c>
      <c r="H1057" s="107" t="str">
        <f t="shared" si="96"/>
        <v>Area 8-1: Skagit Bay-Saratoga Psg.</v>
      </c>
      <c r="I1057" s="107" t="str">
        <f>IFERROR(VLOOKUP(H1057,LUTs!$A$1:$C$73,2,FALSE),"NA")</f>
        <v>NA</v>
      </c>
      <c r="J1057" s="107" t="str">
        <f>IFERROR(VLOOKUP(H1057,LUTs!$A$1:$C$73,3,FALSE),"NA")</f>
        <v>2Central Puget Sound</v>
      </c>
      <c r="K1057" s="107" t="s">
        <v>16</v>
      </c>
      <c r="L1057" s="107" t="str">
        <f>VLOOKUP(K1057,LUTs!E$2:G$14,3,)</f>
        <v>03Snohomish</v>
      </c>
      <c r="M1057" s="107" t="str">
        <f>VLOOKUP($K1057,LUTs!$E$2:$H$14,2,)</f>
        <v>North Puget Sound</v>
      </c>
      <c r="N1057" s="107" t="str">
        <f>VLOOKUP($K1057,LUTs!$E$2:$H$14,4,)</f>
        <v>01North Puget Sound</v>
      </c>
      <c r="O1057" s="107">
        <v>42.979591836734699</v>
      </c>
      <c r="P1057" s="107">
        <v>581.51204081632704</v>
      </c>
      <c r="Q1057" s="107">
        <f t="shared" si="97"/>
        <v>42.979591836734699</v>
      </c>
      <c r="R1057" s="107">
        <f t="shared" si="98"/>
        <v>581.51204081632704</v>
      </c>
      <c r="S1057" s="140" t="str">
        <f t="shared" si="99"/>
        <v>Y</v>
      </c>
      <c r="T1057" s="154">
        <f t="shared" si="100"/>
        <v>13.529957264957275</v>
      </c>
      <c r="U1057" s="154">
        <f t="shared" si="101"/>
        <v>13.529957264957275</v>
      </c>
    </row>
    <row r="1058" spans="1:21" x14ac:dyDescent="0.35">
      <c r="A1058" s="107">
        <v>2594</v>
      </c>
      <c r="B1058" s="107">
        <v>2010</v>
      </c>
      <c r="C1058" s="107" t="s">
        <v>9</v>
      </c>
      <c r="D1058" s="107" t="s">
        <v>132</v>
      </c>
      <c r="E1058" s="107" t="s">
        <v>10</v>
      </c>
      <c r="F1058" s="115" t="s">
        <v>304</v>
      </c>
      <c r="G1058" s="107" t="s">
        <v>31</v>
      </c>
      <c r="H1058" s="107" t="str">
        <f t="shared" si="96"/>
        <v>Area 8-1: Skagit Bay-Saratoga Psg.</v>
      </c>
      <c r="I1058" s="107" t="str">
        <f>IFERROR(VLOOKUP(H1058,LUTs!$A$1:$C$73,2,FALSE),"NA")</f>
        <v>NA</v>
      </c>
      <c r="J1058" s="107" t="str">
        <f>IFERROR(VLOOKUP(H1058,LUTs!$A$1:$C$73,3,FALSE),"NA")</f>
        <v>2Central Puget Sound</v>
      </c>
      <c r="K1058" s="107" t="s">
        <v>21</v>
      </c>
      <c r="L1058" s="107" t="str">
        <f>VLOOKUP(K1058,LUTs!E$2:G$14,3,)</f>
        <v>08Thurston</v>
      </c>
      <c r="M1058" s="107" t="str">
        <f>VLOOKUP($K1058,LUTs!$E$2:$H$14,2,)</f>
        <v>South Puget Sound</v>
      </c>
      <c r="N1058" s="107" t="str">
        <f>VLOOKUP($K1058,LUTs!$E$2:$H$14,4,)</f>
        <v>02South Puget Sound</v>
      </c>
      <c r="O1058" s="107">
        <v>4.7755102040816304</v>
      </c>
      <c r="P1058" s="107">
        <v>64.612448979591903</v>
      </c>
      <c r="Q1058" s="107">
        <f t="shared" si="97"/>
        <v>4.7755102040816304</v>
      </c>
      <c r="R1058" s="107">
        <f t="shared" si="98"/>
        <v>64.612448979591903</v>
      </c>
      <c r="S1058" s="140" t="str">
        <f t="shared" si="99"/>
        <v>Y</v>
      </c>
      <c r="T1058" s="154">
        <f t="shared" si="100"/>
        <v>13.529957264957286</v>
      </c>
      <c r="U1058" s="154">
        <f t="shared" si="101"/>
        <v>13.529957264957286</v>
      </c>
    </row>
    <row r="1059" spans="1:21" x14ac:dyDescent="0.35">
      <c r="A1059" s="107">
        <v>2831</v>
      </c>
      <c r="B1059" s="107">
        <v>2011</v>
      </c>
      <c r="C1059" s="107" t="s">
        <v>9</v>
      </c>
      <c r="D1059" s="107" t="s">
        <v>132</v>
      </c>
      <c r="E1059" s="107" t="s">
        <v>10</v>
      </c>
      <c r="F1059" s="115" t="s">
        <v>304</v>
      </c>
      <c r="G1059" s="107" t="s">
        <v>31</v>
      </c>
      <c r="H1059" s="107" t="str">
        <f t="shared" si="96"/>
        <v>Area 8-1: Skagit Bay-Saratoga Psg.</v>
      </c>
      <c r="I1059" s="107" t="str">
        <f>IFERROR(VLOOKUP(H1059,LUTs!$A$1:$C$73,2,FALSE),"NA")</f>
        <v>NA</v>
      </c>
      <c r="J1059" s="107" t="str">
        <f>IFERROR(VLOOKUP(H1059,LUTs!$A$1:$C$73,3,FALSE),"NA")</f>
        <v>2Central Puget Sound</v>
      </c>
      <c r="K1059" s="107" t="s">
        <v>17</v>
      </c>
      <c r="L1059" s="107" t="str">
        <f>VLOOKUP(K1059,LUTs!E$2:G$14,3,)</f>
        <v>04Island</v>
      </c>
      <c r="M1059" s="107" t="str">
        <f>VLOOKUP($K1059,LUTs!$E$2:$H$14,2,)</f>
        <v>North Puget Sound</v>
      </c>
      <c r="N1059" s="107" t="str">
        <f>VLOOKUP($K1059,LUTs!$E$2:$H$14,4,)</f>
        <v>01North Puget Sound</v>
      </c>
      <c r="O1059" s="107">
        <v>6674.7644225430704</v>
      </c>
      <c r="P1059" s="107">
        <v>8632.1394602560104</v>
      </c>
      <c r="Q1059" s="107">
        <f t="shared" si="97"/>
        <v>6674.7644225430704</v>
      </c>
      <c r="R1059" s="107">
        <f t="shared" si="98"/>
        <v>8632.1394602560104</v>
      </c>
      <c r="S1059" s="140" t="str">
        <f t="shared" si="99"/>
        <v>Y</v>
      </c>
      <c r="T1059" s="154">
        <f t="shared" si="100"/>
        <v>1.2932500555528497</v>
      </c>
      <c r="U1059" s="154">
        <f t="shared" si="101"/>
        <v>1.2932500555528497</v>
      </c>
    </row>
    <row r="1060" spans="1:21" x14ac:dyDescent="0.35">
      <c r="A1060" s="107">
        <v>2832</v>
      </c>
      <c r="B1060" s="107">
        <v>2011</v>
      </c>
      <c r="C1060" s="107" t="s">
        <v>9</v>
      </c>
      <c r="D1060" s="107" t="s">
        <v>132</v>
      </c>
      <c r="E1060" s="107" t="s">
        <v>10</v>
      </c>
      <c r="F1060" s="115" t="s">
        <v>304</v>
      </c>
      <c r="G1060" s="107" t="s">
        <v>31</v>
      </c>
      <c r="H1060" s="107" t="str">
        <f t="shared" si="96"/>
        <v>Area 8-1: Skagit Bay-Saratoga Psg.</v>
      </c>
      <c r="I1060" s="107" t="str">
        <f>IFERROR(VLOOKUP(H1060,LUTs!$A$1:$C$73,2,FALSE),"NA")</f>
        <v>NA</v>
      </c>
      <c r="J1060" s="107" t="str">
        <f>IFERROR(VLOOKUP(H1060,LUTs!$A$1:$C$73,3,FALSE),"NA")</f>
        <v>2Central Puget Sound</v>
      </c>
      <c r="K1060" s="107" t="s">
        <v>18</v>
      </c>
      <c r="L1060" s="107" t="str">
        <f>VLOOKUP(K1060,LUTs!E$2:G$14,3,)</f>
        <v>06King</v>
      </c>
      <c r="M1060" s="107" t="str">
        <f>VLOOKUP($K1060,LUTs!$E$2:$H$14,2,)</f>
        <v>South Puget Sound</v>
      </c>
      <c r="N1060" s="107" t="str">
        <f>VLOOKUP($K1060,LUTs!$E$2:$H$14,4,)</f>
        <v>02South Puget Sound</v>
      </c>
      <c r="O1060" s="107">
        <v>611.26215480361702</v>
      </c>
      <c r="P1060" s="107">
        <v>790.51481565713198</v>
      </c>
      <c r="Q1060" s="107">
        <f t="shared" si="97"/>
        <v>611.26215480361702</v>
      </c>
      <c r="R1060" s="107">
        <f t="shared" si="98"/>
        <v>790.51481565713198</v>
      </c>
      <c r="S1060" s="140" t="str">
        <f t="shared" si="99"/>
        <v>Y</v>
      </c>
      <c r="T1060" s="154">
        <f t="shared" si="100"/>
        <v>1.2932500555528492</v>
      </c>
      <c r="U1060" s="154">
        <f t="shared" si="101"/>
        <v>1.2932500555528492</v>
      </c>
    </row>
    <row r="1061" spans="1:21" x14ac:dyDescent="0.35">
      <c r="A1061" s="107">
        <v>2941</v>
      </c>
      <c r="B1061" s="107">
        <v>2011</v>
      </c>
      <c r="C1061" s="107" t="s">
        <v>9</v>
      </c>
      <c r="D1061" s="107" t="s">
        <v>132</v>
      </c>
      <c r="E1061" s="107" t="s">
        <v>10</v>
      </c>
      <c r="F1061" s="115" t="s">
        <v>304</v>
      </c>
      <c r="G1061" s="107" t="s">
        <v>31</v>
      </c>
      <c r="H1061" s="107" t="str">
        <f t="shared" si="96"/>
        <v>Area 8-1: Skagit Bay-Saratoga Psg.</v>
      </c>
      <c r="I1061" s="107" t="str">
        <f>IFERROR(VLOOKUP(H1061,LUTs!$A$1:$C$73,2,FALSE),"NA")</f>
        <v>NA</v>
      </c>
      <c r="J1061" s="107" t="str">
        <f>IFERROR(VLOOKUP(H1061,LUTs!$A$1:$C$73,3,FALSE),"NA")</f>
        <v>2Central Puget Sound</v>
      </c>
      <c r="K1061" s="107" t="s">
        <v>23</v>
      </c>
      <c r="L1061" s="107" t="str">
        <f>VLOOKUP(K1061,LUTs!E$2:G$14,3,)</f>
        <v>10Kitsap</v>
      </c>
      <c r="M1061" s="107" t="str">
        <f>VLOOKUP($K1061,LUTs!$E$2:$H$14,2,)</f>
        <v>South Puget Sound</v>
      </c>
      <c r="N1061" s="107" t="str">
        <f>VLOOKUP($K1061,LUTs!$E$2:$H$14,4,)</f>
        <v>02South Puget Sound</v>
      </c>
      <c r="O1061" s="107">
        <v>38.203884675226099</v>
      </c>
      <c r="P1061" s="107">
        <v>49.407175978570798</v>
      </c>
      <c r="Q1061" s="107">
        <f t="shared" si="97"/>
        <v>38.203884675226099</v>
      </c>
      <c r="R1061" s="107">
        <f t="shared" si="98"/>
        <v>49.407175978570798</v>
      </c>
      <c r="S1061" s="140" t="str">
        <f t="shared" si="99"/>
        <v>Y</v>
      </c>
      <c r="T1061" s="154">
        <f t="shared" si="100"/>
        <v>1.2932500555528492</v>
      </c>
      <c r="U1061" s="154">
        <f t="shared" si="101"/>
        <v>1.2932500555528492</v>
      </c>
    </row>
    <row r="1062" spans="1:21" x14ac:dyDescent="0.35">
      <c r="A1062" s="107">
        <v>2942</v>
      </c>
      <c r="B1062" s="107">
        <v>2011</v>
      </c>
      <c r="C1062" s="107" t="s">
        <v>9</v>
      </c>
      <c r="D1062" s="107" t="s">
        <v>132</v>
      </c>
      <c r="E1062" s="107" t="s">
        <v>10</v>
      </c>
      <c r="F1062" s="115" t="s">
        <v>304</v>
      </c>
      <c r="G1062" s="107" t="s">
        <v>31</v>
      </c>
      <c r="H1062" s="107" t="str">
        <f t="shared" si="96"/>
        <v>Area 8-1: Skagit Bay-Saratoga Psg.</v>
      </c>
      <c r="I1062" s="107" t="str">
        <f>IFERROR(VLOOKUP(H1062,LUTs!$A$1:$C$73,2,FALSE),"NA")</f>
        <v>NA</v>
      </c>
      <c r="J1062" s="107" t="str">
        <f>IFERROR(VLOOKUP(H1062,LUTs!$A$1:$C$73,3,FALSE),"NA")</f>
        <v>2Central Puget Sound</v>
      </c>
      <c r="K1062" s="107" t="s">
        <v>26</v>
      </c>
      <c r="L1062" s="107" t="str">
        <f>VLOOKUP(K1062,LUTs!E$2:G$14,3,)</f>
        <v>20Other</v>
      </c>
      <c r="M1062" s="107" t="str">
        <f>VLOOKUP($K1062,LUTs!$E$2:$H$14,2,)</f>
        <v>Non Puget Sound</v>
      </c>
      <c r="N1062" s="107" t="str">
        <f>VLOOKUP($K1062,LUTs!$E$2:$H$14,4,)</f>
        <v>07Non Puget Sound</v>
      </c>
      <c r="O1062" s="107">
        <v>1489.9515023338199</v>
      </c>
      <c r="P1062" s="107">
        <v>1926.8798631642601</v>
      </c>
      <c r="Q1062" s="107">
        <f t="shared" si="97"/>
        <v>1489.9515023338199</v>
      </c>
      <c r="R1062" s="107">
        <f t="shared" si="98"/>
        <v>1926.8798631642601</v>
      </c>
      <c r="S1062" s="140" t="str">
        <f t="shared" si="99"/>
        <v>Y</v>
      </c>
      <c r="T1062" s="154">
        <f t="shared" si="100"/>
        <v>1.2932500555528468</v>
      </c>
      <c r="U1062" s="154">
        <f t="shared" si="101"/>
        <v>1.2932500555528468</v>
      </c>
    </row>
    <row r="1063" spans="1:21" x14ac:dyDescent="0.35">
      <c r="A1063" s="107">
        <v>2833</v>
      </c>
      <c r="B1063" s="107">
        <v>2011</v>
      </c>
      <c r="C1063" s="107" t="s">
        <v>9</v>
      </c>
      <c r="D1063" s="107" t="s">
        <v>132</v>
      </c>
      <c r="E1063" s="107" t="s">
        <v>10</v>
      </c>
      <c r="F1063" s="115" t="s">
        <v>304</v>
      </c>
      <c r="G1063" s="107" t="s">
        <v>31</v>
      </c>
      <c r="H1063" s="107" t="str">
        <f t="shared" si="96"/>
        <v>Area 8-1: Skagit Bay-Saratoga Psg.</v>
      </c>
      <c r="I1063" s="107" t="str">
        <f>IFERROR(VLOOKUP(H1063,LUTs!$A$1:$C$73,2,FALSE),"NA")</f>
        <v>NA</v>
      </c>
      <c r="J1063" s="107" t="str">
        <f>IFERROR(VLOOKUP(H1063,LUTs!$A$1:$C$73,3,FALSE),"NA")</f>
        <v>2Central Puget Sound</v>
      </c>
      <c r="K1063" s="107" t="s">
        <v>20</v>
      </c>
      <c r="L1063" s="107" t="str">
        <f>VLOOKUP(K1063,LUTs!E$2:G$14,3,)</f>
        <v>07Pierce</v>
      </c>
      <c r="M1063" s="107" t="str">
        <f>VLOOKUP($K1063,LUTs!$E$2:$H$14,2,)</f>
        <v>South Puget Sound</v>
      </c>
      <c r="N1063" s="107" t="str">
        <f>VLOOKUP($K1063,LUTs!$E$2:$H$14,4,)</f>
        <v>02South Puget Sound</v>
      </c>
      <c r="O1063" s="107">
        <v>81.865467161198694</v>
      </c>
      <c r="P1063" s="107">
        <v>105.87251995408</v>
      </c>
      <c r="Q1063" s="107">
        <f t="shared" si="97"/>
        <v>81.865467161198694</v>
      </c>
      <c r="R1063" s="107">
        <f t="shared" si="98"/>
        <v>105.87251995408</v>
      </c>
      <c r="S1063" s="140" t="str">
        <f t="shared" si="99"/>
        <v>Y</v>
      </c>
      <c r="T1063" s="154">
        <f t="shared" si="100"/>
        <v>1.2932500555528472</v>
      </c>
      <c r="U1063" s="154">
        <f t="shared" si="101"/>
        <v>1.2932500555528472</v>
      </c>
    </row>
    <row r="1064" spans="1:21" x14ac:dyDescent="0.35">
      <c r="A1064" s="107">
        <v>2829</v>
      </c>
      <c r="B1064" s="107">
        <v>2011</v>
      </c>
      <c r="C1064" s="107" t="s">
        <v>9</v>
      </c>
      <c r="D1064" s="107" t="s">
        <v>132</v>
      </c>
      <c r="E1064" s="107" t="s">
        <v>10</v>
      </c>
      <c r="F1064" s="115" t="s">
        <v>304</v>
      </c>
      <c r="G1064" s="107" t="s">
        <v>31</v>
      </c>
      <c r="H1064" s="107" t="str">
        <f t="shared" si="96"/>
        <v>Area 8-1: Skagit Bay-Saratoga Psg.</v>
      </c>
      <c r="I1064" s="107" t="str">
        <f>IFERROR(VLOOKUP(H1064,LUTs!$A$1:$C$73,2,FALSE),"NA")</f>
        <v>NA</v>
      </c>
      <c r="J1064" s="107" t="str">
        <f>IFERROR(VLOOKUP(H1064,LUTs!$A$1:$C$73,3,FALSE),"NA")</f>
        <v>2Central Puget Sound</v>
      </c>
      <c r="K1064" s="107" t="s">
        <v>15</v>
      </c>
      <c r="L1064" s="107" t="str">
        <f>VLOOKUP(K1064,LUTs!E$2:G$14,3,)</f>
        <v>02Skagit</v>
      </c>
      <c r="M1064" s="107" t="str">
        <f>VLOOKUP($K1064,LUTs!$E$2:$H$14,2,)</f>
        <v>North Puget Sound</v>
      </c>
      <c r="N1064" s="107" t="str">
        <f>VLOOKUP($K1064,LUTs!$E$2:$H$14,4,)</f>
        <v>01North Puget Sound</v>
      </c>
      <c r="O1064" s="107">
        <v>2150.3329374341502</v>
      </c>
      <c r="P1064" s="107">
        <v>2780.91819079384</v>
      </c>
      <c r="Q1064" s="107">
        <f t="shared" si="97"/>
        <v>2150.3329374341502</v>
      </c>
      <c r="R1064" s="107">
        <f t="shared" si="98"/>
        <v>2780.91819079384</v>
      </c>
      <c r="S1064" s="140" t="str">
        <f t="shared" si="99"/>
        <v>Y</v>
      </c>
      <c r="T1064" s="154">
        <f t="shared" si="100"/>
        <v>1.293250055552851</v>
      </c>
      <c r="U1064" s="154">
        <f t="shared" si="101"/>
        <v>1.293250055552851</v>
      </c>
    </row>
    <row r="1065" spans="1:21" x14ac:dyDescent="0.35">
      <c r="A1065" s="107">
        <v>2830</v>
      </c>
      <c r="B1065" s="107">
        <v>2011</v>
      </c>
      <c r="C1065" s="107" t="s">
        <v>9</v>
      </c>
      <c r="D1065" s="107" t="s">
        <v>132</v>
      </c>
      <c r="E1065" s="107" t="s">
        <v>10</v>
      </c>
      <c r="F1065" s="115" t="s">
        <v>304</v>
      </c>
      <c r="G1065" s="107" t="s">
        <v>31</v>
      </c>
      <c r="H1065" s="107" t="str">
        <f t="shared" si="96"/>
        <v>Area 8-1: Skagit Bay-Saratoga Psg.</v>
      </c>
      <c r="I1065" s="107" t="str">
        <f>IFERROR(VLOOKUP(H1065,LUTs!$A$1:$C$73,2,FALSE),"NA")</f>
        <v>NA</v>
      </c>
      <c r="J1065" s="107" t="str">
        <f>IFERROR(VLOOKUP(H1065,LUTs!$A$1:$C$73,3,FALSE),"NA")</f>
        <v>2Central Puget Sound</v>
      </c>
      <c r="K1065" s="107" t="s">
        <v>16</v>
      </c>
      <c r="L1065" s="107" t="str">
        <f>VLOOKUP(K1065,LUTs!E$2:G$14,3,)</f>
        <v>03Snohomish</v>
      </c>
      <c r="M1065" s="107" t="str">
        <f>VLOOKUP($K1065,LUTs!$E$2:$H$14,2,)</f>
        <v>North Puget Sound</v>
      </c>
      <c r="N1065" s="107" t="str">
        <f>VLOOKUP($K1065,LUTs!$E$2:$H$14,4,)</f>
        <v>01North Puget Sound</v>
      </c>
      <c r="O1065" s="107">
        <v>1402.6283373618701</v>
      </c>
      <c r="P1065" s="107">
        <v>1813.9491752132401</v>
      </c>
      <c r="Q1065" s="107">
        <f t="shared" si="97"/>
        <v>1402.6283373618701</v>
      </c>
      <c r="R1065" s="107">
        <f t="shared" si="98"/>
        <v>1813.9491752132401</v>
      </c>
      <c r="S1065" s="140" t="str">
        <f t="shared" si="99"/>
        <v>Y</v>
      </c>
      <c r="T1065" s="154">
        <f t="shared" si="100"/>
        <v>1.2932500555528499</v>
      </c>
      <c r="U1065" s="154">
        <f t="shared" si="101"/>
        <v>1.2932500555528499</v>
      </c>
    </row>
    <row r="1066" spans="1:21" x14ac:dyDescent="0.35">
      <c r="A1066" s="107">
        <v>2834</v>
      </c>
      <c r="B1066" s="107">
        <v>2011</v>
      </c>
      <c r="C1066" s="107" t="s">
        <v>9</v>
      </c>
      <c r="D1066" s="107" t="s">
        <v>132</v>
      </c>
      <c r="E1066" s="107" t="s">
        <v>10</v>
      </c>
      <c r="F1066" s="115" t="s">
        <v>304</v>
      </c>
      <c r="G1066" s="107" t="s">
        <v>31</v>
      </c>
      <c r="H1066" s="107" t="str">
        <f t="shared" si="96"/>
        <v>Area 8-1: Skagit Bay-Saratoga Psg.</v>
      </c>
      <c r="I1066" s="107" t="str">
        <f>IFERROR(VLOOKUP(H1066,LUTs!$A$1:$C$73,2,FALSE),"NA")</f>
        <v>NA</v>
      </c>
      <c r="J1066" s="107" t="str">
        <f>IFERROR(VLOOKUP(H1066,LUTs!$A$1:$C$73,3,FALSE),"NA")</f>
        <v>2Central Puget Sound</v>
      </c>
      <c r="K1066" s="107" t="s">
        <v>21</v>
      </c>
      <c r="L1066" s="107" t="str">
        <f>VLOOKUP(K1066,LUTs!E$2:G$14,3,)</f>
        <v>08Thurston</v>
      </c>
      <c r="M1066" s="107" t="str">
        <f>VLOOKUP($K1066,LUTs!$E$2:$H$14,2,)</f>
        <v>South Puget Sound</v>
      </c>
      <c r="N1066" s="107" t="str">
        <f>VLOOKUP($K1066,LUTs!$E$2:$H$14,4,)</f>
        <v>02South Puget Sound</v>
      </c>
      <c r="O1066" s="107">
        <v>27.288489053732899</v>
      </c>
      <c r="P1066" s="107">
        <v>35.290839984693399</v>
      </c>
      <c r="Q1066" s="107">
        <f t="shared" si="97"/>
        <v>27.288489053732899</v>
      </c>
      <c r="R1066" s="107">
        <f t="shared" si="98"/>
        <v>35.290839984693399</v>
      </c>
      <c r="S1066" s="140" t="str">
        <f t="shared" si="99"/>
        <v>Y</v>
      </c>
      <c r="T1066" s="154">
        <f t="shared" si="100"/>
        <v>1.2932500555528497</v>
      </c>
      <c r="U1066" s="154">
        <f t="shared" si="101"/>
        <v>1.2932500555528497</v>
      </c>
    </row>
    <row r="1067" spans="1:21" x14ac:dyDescent="0.35">
      <c r="A1067" s="107">
        <v>2828</v>
      </c>
      <c r="B1067" s="107">
        <v>2011</v>
      </c>
      <c r="C1067" s="107" t="s">
        <v>9</v>
      </c>
      <c r="D1067" s="107" t="s">
        <v>132</v>
      </c>
      <c r="E1067" s="107" t="s">
        <v>10</v>
      </c>
      <c r="F1067" s="115" t="s">
        <v>304</v>
      </c>
      <c r="G1067" s="107" t="s">
        <v>31</v>
      </c>
      <c r="H1067" s="107" t="str">
        <f t="shared" si="96"/>
        <v>Area 8-1: Skagit Bay-Saratoga Psg.</v>
      </c>
      <c r="I1067" s="107" t="str">
        <f>IFERROR(VLOOKUP(H1067,LUTs!$A$1:$C$73,2,FALSE),"NA")</f>
        <v>NA</v>
      </c>
      <c r="J1067" s="107" t="str">
        <f>IFERROR(VLOOKUP(H1067,LUTs!$A$1:$C$73,3,FALSE),"NA")</f>
        <v>2Central Puget Sound</v>
      </c>
      <c r="K1067" s="107" t="s">
        <v>13</v>
      </c>
      <c r="L1067" s="107" t="str">
        <f>VLOOKUP(K1067,LUTs!E$2:G$14,3,)</f>
        <v>01Whatcom</v>
      </c>
      <c r="M1067" s="107" t="str">
        <f>VLOOKUP($K1067,LUTs!$E$2:$H$14,2,)</f>
        <v>North Puget Sound</v>
      </c>
      <c r="N1067" s="107" t="str">
        <f>VLOOKUP($K1067,LUTs!$E$2:$H$14,4,)</f>
        <v>01North Puget Sound</v>
      </c>
      <c r="O1067" s="107">
        <v>458.44661610271299</v>
      </c>
      <c r="P1067" s="107">
        <v>592.88611174284904</v>
      </c>
      <c r="Q1067" s="107">
        <f t="shared" si="97"/>
        <v>458.44661610271299</v>
      </c>
      <c r="R1067" s="107">
        <f t="shared" si="98"/>
        <v>592.88611174284904</v>
      </c>
      <c r="S1067" s="140" t="str">
        <f t="shared" si="99"/>
        <v>Y</v>
      </c>
      <c r="T1067" s="154">
        <f t="shared" si="100"/>
        <v>1.2932500555528486</v>
      </c>
      <c r="U1067" s="154">
        <f t="shared" si="101"/>
        <v>1.2932500555528486</v>
      </c>
    </row>
    <row r="1068" spans="1:21" x14ac:dyDescent="0.35">
      <c r="A1068" s="107">
        <v>1886</v>
      </c>
      <c r="B1068" s="107">
        <v>2012</v>
      </c>
      <c r="C1068" s="107" t="s">
        <v>9</v>
      </c>
      <c r="D1068" s="107" t="s">
        <v>132</v>
      </c>
      <c r="E1068" s="107" t="s">
        <v>10</v>
      </c>
      <c r="F1068" s="115" t="s">
        <v>304</v>
      </c>
      <c r="G1068" s="107" t="s">
        <v>31</v>
      </c>
      <c r="H1068" s="107" t="str">
        <f t="shared" si="96"/>
        <v>Area 8-1: Skagit Bay-Saratoga Psg.</v>
      </c>
      <c r="I1068" s="107" t="str">
        <f>IFERROR(VLOOKUP(H1068,LUTs!$A$1:$C$73,2,FALSE),"NA")</f>
        <v>NA</v>
      </c>
      <c r="J1068" s="107" t="str">
        <f>IFERROR(VLOOKUP(H1068,LUTs!$A$1:$C$73,3,FALSE),"NA")</f>
        <v>2Central Puget Sound</v>
      </c>
      <c r="K1068" s="107" t="s">
        <v>17</v>
      </c>
      <c r="L1068" s="107" t="str">
        <f>VLOOKUP(K1068,LUTs!E$2:G$14,3,)</f>
        <v>04Island</v>
      </c>
      <c r="M1068" s="107" t="str">
        <f>VLOOKUP($K1068,LUTs!$E$2:$H$14,2,)</f>
        <v>North Puget Sound</v>
      </c>
      <c r="N1068" s="107" t="str">
        <f>VLOOKUP($K1068,LUTs!$E$2:$H$14,4,)</f>
        <v>01North Puget Sound</v>
      </c>
      <c r="O1068" s="107">
        <v>718.640963855422</v>
      </c>
      <c r="P1068" s="107">
        <v>2127.78101204819</v>
      </c>
      <c r="Q1068" s="107">
        <f t="shared" si="97"/>
        <v>718.640963855422</v>
      </c>
      <c r="R1068" s="107">
        <f t="shared" si="98"/>
        <v>2127.78101204819</v>
      </c>
      <c r="S1068" s="140" t="str">
        <f t="shared" si="99"/>
        <v>Y</v>
      </c>
      <c r="T1068" s="154">
        <f t="shared" si="100"/>
        <v>2.9608401400233322</v>
      </c>
      <c r="U1068" s="154">
        <f t="shared" si="101"/>
        <v>2.9608401400233322</v>
      </c>
    </row>
    <row r="1069" spans="1:21" x14ac:dyDescent="0.35">
      <c r="A1069" s="107">
        <v>1887</v>
      </c>
      <c r="B1069" s="107">
        <v>2012</v>
      </c>
      <c r="C1069" s="107" t="s">
        <v>9</v>
      </c>
      <c r="D1069" s="107" t="s">
        <v>132</v>
      </c>
      <c r="E1069" s="107" t="s">
        <v>10</v>
      </c>
      <c r="F1069" s="115" t="s">
        <v>304</v>
      </c>
      <c r="G1069" s="107" t="s">
        <v>31</v>
      </c>
      <c r="H1069" s="107" t="str">
        <f t="shared" si="96"/>
        <v>Area 8-1: Skagit Bay-Saratoga Psg.</v>
      </c>
      <c r="I1069" s="107" t="str">
        <f>IFERROR(VLOOKUP(H1069,LUTs!$A$1:$C$73,2,FALSE),"NA")</f>
        <v>NA</v>
      </c>
      <c r="J1069" s="107" t="str">
        <f>IFERROR(VLOOKUP(H1069,LUTs!$A$1:$C$73,3,FALSE),"NA")</f>
        <v>2Central Puget Sound</v>
      </c>
      <c r="K1069" s="107" t="s">
        <v>18</v>
      </c>
      <c r="L1069" s="107" t="str">
        <f>VLOOKUP(K1069,LUTs!E$2:G$14,3,)</f>
        <v>06King</v>
      </c>
      <c r="M1069" s="107" t="str">
        <f>VLOOKUP($K1069,LUTs!$E$2:$H$14,2,)</f>
        <v>South Puget Sound</v>
      </c>
      <c r="N1069" s="107" t="str">
        <f>VLOOKUP($K1069,LUTs!$E$2:$H$14,4,)</f>
        <v>02South Puget Sound</v>
      </c>
      <c r="O1069" s="107">
        <v>136.29397590361501</v>
      </c>
      <c r="P1069" s="107">
        <v>403.54467469879501</v>
      </c>
      <c r="Q1069" s="107">
        <f t="shared" si="97"/>
        <v>136.29397590361501</v>
      </c>
      <c r="R1069" s="107">
        <f t="shared" si="98"/>
        <v>403.54467469879501</v>
      </c>
      <c r="S1069" s="140" t="str">
        <f t="shared" si="99"/>
        <v>Y</v>
      </c>
      <c r="T1069" s="154">
        <f t="shared" si="100"/>
        <v>2.9608401400233242</v>
      </c>
      <c r="U1069" s="154">
        <f t="shared" si="101"/>
        <v>2.9608401400233242</v>
      </c>
    </row>
    <row r="1070" spans="1:21" x14ac:dyDescent="0.35">
      <c r="A1070" s="107">
        <v>1890</v>
      </c>
      <c r="B1070" s="107">
        <v>2012</v>
      </c>
      <c r="C1070" s="107" t="s">
        <v>9</v>
      </c>
      <c r="D1070" s="107" t="s">
        <v>132</v>
      </c>
      <c r="E1070" s="107" t="s">
        <v>10</v>
      </c>
      <c r="F1070" s="115" t="s">
        <v>304</v>
      </c>
      <c r="G1070" s="107" t="s">
        <v>31</v>
      </c>
      <c r="H1070" s="107" t="str">
        <f t="shared" si="96"/>
        <v>Area 8-1: Skagit Bay-Saratoga Psg.</v>
      </c>
      <c r="I1070" s="107" t="str">
        <f>IFERROR(VLOOKUP(H1070,LUTs!$A$1:$C$73,2,FALSE),"NA")</f>
        <v>NA</v>
      </c>
      <c r="J1070" s="107" t="str">
        <f>IFERROR(VLOOKUP(H1070,LUTs!$A$1:$C$73,3,FALSE),"NA")</f>
        <v>2Central Puget Sound</v>
      </c>
      <c r="K1070" s="107" t="s">
        <v>23</v>
      </c>
      <c r="L1070" s="107" t="str">
        <f>VLOOKUP(K1070,LUTs!E$2:G$14,3,)</f>
        <v>10Kitsap</v>
      </c>
      <c r="M1070" s="107" t="str">
        <f>VLOOKUP($K1070,LUTs!$E$2:$H$14,2,)</f>
        <v>South Puget Sound</v>
      </c>
      <c r="N1070" s="107" t="str">
        <f>VLOOKUP($K1070,LUTs!$E$2:$H$14,4,)</f>
        <v>02South Puget Sound</v>
      </c>
      <c r="O1070" s="107">
        <v>18.585542168674699</v>
      </c>
      <c r="P1070" s="107">
        <v>55.028819277108397</v>
      </c>
      <c r="Q1070" s="107">
        <f t="shared" si="97"/>
        <v>18.585542168674699</v>
      </c>
      <c r="R1070" s="107">
        <f t="shared" si="98"/>
        <v>55.028819277108397</v>
      </c>
      <c r="S1070" s="140" t="str">
        <f t="shared" si="99"/>
        <v>Y</v>
      </c>
      <c r="T1070" s="154">
        <f t="shared" si="100"/>
        <v>2.9608401400233353</v>
      </c>
      <c r="U1070" s="154">
        <f t="shared" si="101"/>
        <v>2.9608401400233353</v>
      </c>
    </row>
    <row r="1071" spans="1:21" x14ac:dyDescent="0.35">
      <c r="A1071" s="107">
        <v>1889</v>
      </c>
      <c r="B1071" s="107">
        <v>2012</v>
      </c>
      <c r="C1071" s="107" t="s">
        <v>9</v>
      </c>
      <c r="D1071" s="107" t="s">
        <v>132</v>
      </c>
      <c r="E1071" s="107" t="s">
        <v>10</v>
      </c>
      <c r="F1071" s="115" t="s">
        <v>304</v>
      </c>
      <c r="G1071" s="107" t="s">
        <v>31</v>
      </c>
      <c r="H1071" s="107" t="str">
        <f t="shared" si="96"/>
        <v>Area 8-1: Skagit Bay-Saratoga Psg.</v>
      </c>
      <c r="I1071" s="107" t="str">
        <f>IFERROR(VLOOKUP(H1071,LUTs!$A$1:$C$73,2,FALSE),"NA")</f>
        <v>NA</v>
      </c>
      <c r="J1071" s="107" t="str">
        <f>IFERROR(VLOOKUP(H1071,LUTs!$A$1:$C$73,3,FALSE),"NA")</f>
        <v>2Central Puget Sound</v>
      </c>
      <c r="K1071" s="107" t="s">
        <v>22</v>
      </c>
      <c r="L1071" s="107" t="str">
        <f>VLOOKUP(K1071,LUTs!E$2:G$14,3,)</f>
        <v>09Mason</v>
      </c>
      <c r="M1071" s="107" t="str">
        <f>VLOOKUP($K1071,LUTs!$E$2:$H$14,2,)</f>
        <v>South Puget Sound</v>
      </c>
      <c r="N1071" s="107" t="str">
        <f>VLOOKUP($K1071,LUTs!$E$2:$H$14,4,)</f>
        <v>02South Puget Sound</v>
      </c>
      <c r="O1071" s="107">
        <v>18.585542168674699</v>
      </c>
      <c r="P1071" s="107">
        <v>55.028819277108397</v>
      </c>
      <c r="Q1071" s="107">
        <f t="shared" si="97"/>
        <v>18.585542168674699</v>
      </c>
      <c r="R1071" s="107">
        <f t="shared" si="98"/>
        <v>55.028819277108397</v>
      </c>
      <c r="S1071" s="140" t="str">
        <f t="shared" si="99"/>
        <v>Y</v>
      </c>
      <c r="T1071" s="154">
        <f t="shared" si="100"/>
        <v>2.9608401400233353</v>
      </c>
      <c r="U1071" s="154">
        <f t="shared" si="101"/>
        <v>2.9608401400233353</v>
      </c>
    </row>
    <row r="1072" spans="1:21" x14ac:dyDescent="0.35">
      <c r="A1072" s="107">
        <v>2040</v>
      </c>
      <c r="B1072" s="107">
        <v>2012</v>
      </c>
      <c r="C1072" s="107" t="s">
        <v>9</v>
      </c>
      <c r="D1072" s="107" t="s">
        <v>132</v>
      </c>
      <c r="E1072" s="107" t="s">
        <v>10</v>
      </c>
      <c r="F1072" s="115" t="s">
        <v>304</v>
      </c>
      <c r="G1072" s="107" t="s">
        <v>31</v>
      </c>
      <c r="H1072" s="107" t="str">
        <f t="shared" si="96"/>
        <v>Area 8-1: Skagit Bay-Saratoga Psg.</v>
      </c>
      <c r="I1072" s="107" t="str">
        <f>IFERROR(VLOOKUP(H1072,LUTs!$A$1:$C$73,2,FALSE),"NA")</f>
        <v>NA</v>
      </c>
      <c r="J1072" s="107" t="str">
        <f>IFERROR(VLOOKUP(H1072,LUTs!$A$1:$C$73,3,FALSE),"NA")</f>
        <v>2Central Puget Sound</v>
      </c>
      <c r="K1072" s="107" t="s">
        <v>26</v>
      </c>
      <c r="L1072" s="107" t="str">
        <f>VLOOKUP(K1072,LUTs!E$2:G$14,3,)</f>
        <v>20Other</v>
      </c>
      <c r="M1072" s="107" t="str">
        <f>VLOOKUP($K1072,LUTs!$E$2:$H$14,2,)</f>
        <v>Non Puget Sound</v>
      </c>
      <c r="N1072" s="107" t="str">
        <f>VLOOKUP($K1072,LUTs!$E$2:$H$14,4,)</f>
        <v>07Non Puget Sound</v>
      </c>
      <c r="O1072" s="107">
        <v>272.58795180722899</v>
      </c>
      <c r="P1072" s="107">
        <v>807.08934939759104</v>
      </c>
      <c r="Q1072" s="107">
        <f t="shared" si="97"/>
        <v>272.58795180722899</v>
      </c>
      <c r="R1072" s="107">
        <f t="shared" si="98"/>
        <v>807.08934939759104</v>
      </c>
      <c r="S1072" s="140" t="str">
        <f t="shared" si="99"/>
        <v>Y</v>
      </c>
      <c r="T1072" s="154">
        <f t="shared" si="100"/>
        <v>2.9608401400233388</v>
      </c>
      <c r="U1072" s="154">
        <f t="shared" si="101"/>
        <v>2.9608401400233388</v>
      </c>
    </row>
    <row r="1073" spans="1:21" x14ac:dyDescent="0.35">
      <c r="A1073" s="107">
        <v>1888</v>
      </c>
      <c r="B1073" s="107">
        <v>2012</v>
      </c>
      <c r="C1073" s="107" t="s">
        <v>9</v>
      </c>
      <c r="D1073" s="107" t="s">
        <v>132</v>
      </c>
      <c r="E1073" s="107" t="s">
        <v>10</v>
      </c>
      <c r="F1073" s="115" t="s">
        <v>304</v>
      </c>
      <c r="G1073" s="107" t="s">
        <v>31</v>
      </c>
      <c r="H1073" s="107" t="str">
        <f t="shared" si="96"/>
        <v>Area 8-1: Skagit Bay-Saratoga Psg.</v>
      </c>
      <c r="I1073" s="107" t="str">
        <f>IFERROR(VLOOKUP(H1073,LUTs!$A$1:$C$73,2,FALSE),"NA")</f>
        <v>NA</v>
      </c>
      <c r="J1073" s="107" t="str">
        <f>IFERROR(VLOOKUP(H1073,LUTs!$A$1:$C$73,3,FALSE),"NA")</f>
        <v>2Central Puget Sound</v>
      </c>
      <c r="K1073" s="107" t="s">
        <v>20</v>
      </c>
      <c r="L1073" s="107" t="str">
        <f>VLOOKUP(K1073,LUTs!E$2:G$14,3,)</f>
        <v>07Pierce</v>
      </c>
      <c r="M1073" s="107" t="str">
        <f>VLOOKUP($K1073,LUTs!$E$2:$H$14,2,)</f>
        <v>South Puget Sound</v>
      </c>
      <c r="N1073" s="107" t="str">
        <f>VLOOKUP($K1073,LUTs!$E$2:$H$14,4,)</f>
        <v>02South Puget Sound</v>
      </c>
      <c r="O1073" s="107">
        <v>30.975903614457799</v>
      </c>
      <c r="P1073" s="107">
        <v>91.714698795180695</v>
      </c>
      <c r="Q1073" s="107">
        <f t="shared" si="97"/>
        <v>30.975903614457799</v>
      </c>
      <c r="R1073" s="107">
        <f t="shared" si="98"/>
        <v>91.714698795180695</v>
      </c>
      <c r="S1073" s="140" t="str">
        <f t="shared" si="99"/>
        <v>Y</v>
      </c>
      <c r="T1073" s="154">
        <f t="shared" si="100"/>
        <v>2.9608401400233393</v>
      </c>
      <c r="U1073" s="154">
        <f t="shared" si="101"/>
        <v>2.9608401400233393</v>
      </c>
    </row>
    <row r="1074" spans="1:21" x14ac:dyDescent="0.35">
      <c r="A1074" s="107">
        <v>1714</v>
      </c>
      <c r="B1074" s="107">
        <v>2012</v>
      </c>
      <c r="C1074" s="107" t="s">
        <v>9</v>
      </c>
      <c r="D1074" s="107" t="s">
        <v>132</v>
      </c>
      <c r="E1074" s="107" t="s">
        <v>10</v>
      </c>
      <c r="F1074" s="115" t="s">
        <v>304</v>
      </c>
      <c r="G1074" s="107" t="s">
        <v>31</v>
      </c>
      <c r="H1074" s="107" t="str">
        <f t="shared" si="96"/>
        <v>Area 8-1: Skagit Bay-Saratoga Psg.</v>
      </c>
      <c r="I1074" s="107" t="str">
        <f>IFERROR(VLOOKUP(H1074,LUTs!$A$1:$C$73,2,FALSE),"NA")</f>
        <v>NA</v>
      </c>
      <c r="J1074" s="107" t="str">
        <f>IFERROR(VLOOKUP(H1074,LUTs!$A$1:$C$73,3,FALSE),"NA")</f>
        <v>2Central Puget Sound</v>
      </c>
      <c r="K1074" s="107" t="s">
        <v>15</v>
      </c>
      <c r="L1074" s="107" t="str">
        <f>VLOOKUP(K1074,LUTs!E$2:G$14,3,)</f>
        <v>02Skagit</v>
      </c>
      <c r="M1074" s="107" t="str">
        <f>VLOOKUP($K1074,LUTs!$E$2:$H$14,2,)</f>
        <v>North Puget Sound</v>
      </c>
      <c r="N1074" s="107" t="str">
        <f>VLOOKUP($K1074,LUTs!$E$2:$H$14,4,)</f>
        <v>01North Puget Sound</v>
      </c>
      <c r="O1074" s="107">
        <v>836.34939759036195</v>
      </c>
      <c r="P1074" s="107">
        <v>2476.29686746988</v>
      </c>
      <c r="Q1074" s="107">
        <f t="shared" si="97"/>
        <v>836.34939759036195</v>
      </c>
      <c r="R1074" s="107">
        <f t="shared" si="98"/>
        <v>2476.29686746988</v>
      </c>
      <c r="S1074" s="140" t="str">
        <f t="shared" si="99"/>
        <v>Y</v>
      </c>
      <c r="T1074" s="154">
        <f t="shared" si="100"/>
        <v>2.9608401400233362</v>
      </c>
      <c r="U1074" s="154">
        <f t="shared" si="101"/>
        <v>2.9608401400233362</v>
      </c>
    </row>
    <row r="1075" spans="1:21" x14ac:dyDescent="0.35">
      <c r="A1075" s="107">
        <v>1715</v>
      </c>
      <c r="B1075" s="107">
        <v>2012</v>
      </c>
      <c r="C1075" s="107" t="s">
        <v>9</v>
      </c>
      <c r="D1075" s="107" t="s">
        <v>132</v>
      </c>
      <c r="E1075" s="107" t="s">
        <v>10</v>
      </c>
      <c r="F1075" s="115" t="s">
        <v>304</v>
      </c>
      <c r="G1075" s="107" t="s">
        <v>31</v>
      </c>
      <c r="H1075" s="107" t="str">
        <f t="shared" si="96"/>
        <v>Area 8-1: Skagit Bay-Saratoga Psg.</v>
      </c>
      <c r="I1075" s="107" t="str">
        <f>IFERROR(VLOOKUP(H1075,LUTs!$A$1:$C$73,2,FALSE),"NA")</f>
        <v>NA</v>
      </c>
      <c r="J1075" s="107" t="str">
        <f>IFERROR(VLOOKUP(H1075,LUTs!$A$1:$C$73,3,FALSE),"NA")</f>
        <v>2Central Puget Sound</v>
      </c>
      <c r="K1075" s="107" t="s">
        <v>16</v>
      </c>
      <c r="L1075" s="107" t="str">
        <f>VLOOKUP(K1075,LUTs!E$2:G$14,3,)</f>
        <v>03Snohomish</v>
      </c>
      <c r="M1075" s="107" t="str">
        <f>VLOOKUP($K1075,LUTs!$E$2:$H$14,2,)</f>
        <v>North Puget Sound</v>
      </c>
      <c r="N1075" s="107" t="str">
        <f>VLOOKUP($K1075,LUTs!$E$2:$H$14,4,)</f>
        <v>01North Puget Sound</v>
      </c>
      <c r="O1075" s="107">
        <v>520.39518072289195</v>
      </c>
      <c r="P1075" s="107">
        <v>1540.80693975904</v>
      </c>
      <c r="Q1075" s="107">
        <f t="shared" si="97"/>
        <v>520.39518072289195</v>
      </c>
      <c r="R1075" s="107">
        <f t="shared" si="98"/>
        <v>1540.80693975904</v>
      </c>
      <c r="S1075" s="140" t="str">
        <f t="shared" si="99"/>
        <v>Y</v>
      </c>
      <c r="T1075" s="154">
        <f t="shared" si="100"/>
        <v>2.9608401400233424</v>
      </c>
      <c r="U1075" s="154">
        <f t="shared" si="101"/>
        <v>2.9608401400233424</v>
      </c>
    </row>
    <row r="1076" spans="1:21" x14ac:dyDescent="0.35">
      <c r="A1076" s="107">
        <v>1713</v>
      </c>
      <c r="B1076" s="107">
        <v>2012</v>
      </c>
      <c r="C1076" s="107" t="s">
        <v>9</v>
      </c>
      <c r="D1076" s="107" t="s">
        <v>132</v>
      </c>
      <c r="E1076" s="107" t="s">
        <v>10</v>
      </c>
      <c r="F1076" s="115" t="s">
        <v>304</v>
      </c>
      <c r="G1076" s="107" t="s">
        <v>31</v>
      </c>
      <c r="H1076" s="107" t="str">
        <f t="shared" si="96"/>
        <v>Area 8-1: Skagit Bay-Saratoga Psg.</v>
      </c>
      <c r="I1076" s="107" t="str">
        <f>IFERROR(VLOOKUP(H1076,LUTs!$A$1:$C$73,2,FALSE),"NA")</f>
        <v>NA</v>
      </c>
      <c r="J1076" s="107" t="str">
        <f>IFERROR(VLOOKUP(H1076,LUTs!$A$1:$C$73,3,FALSE),"NA")</f>
        <v>2Central Puget Sound</v>
      </c>
      <c r="K1076" s="107" t="s">
        <v>13</v>
      </c>
      <c r="L1076" s="107" t="str">
        <f>VLOOKUP(K1076,LUTs!E$2:G$14,3,)</f>
        <v>01Whatcom</v>
      </c>
      <c r="M1076" s="107" t="str">
        <f>VLOOKUP($K1076,LUTs!$E$2:$H$14,2,)</f>
        <v>North Puget Sound</v>
      </c>
      <c r="N1076" s="107" t="str">
        <f>VLOOKUP($K1076,LUTs!$E$2:$H$14,4,)</f>
        <v>01North Puget Sound</v>
      </c>
      <c r="O1076" s="107">
        <v>18.585542168674699</v>
      </c>
      <c r="P1076" s="107">
        <v>55.028819277108397</v>
      </c>
      <c r="Q1076" s="107">
        <f t="shared" si="97"/>
        <v>18.585542168674699</v>
      </c>
      <c r="R1076" s="107">
        <f t="shared" si="98"/>
        <v>55.028819277108397</v>
      </c>
      <c r="S1076" s="140" t="str">
        <f t="shared" si="99"/>
        <v>Y</v>
      </c>
      <c r="T1076" s="154">
        <f t="shared" si="100"/>
        <v>2.9608401400233353</v>
      </c>
      <c r="U1076" s="154">
        <f t="shared" si="101"/>
        <v>2.9608401400233353</v>
      </c>
    </row>
    <row r="1077" spans="1:21" x14ac:dyDescent="0.35">
      <c r="A1077" s="107">
        <v>3215</v>
      </c>
      <c r="B1077" s="107">
        <v>2013</v>
      </c>
      <c r="C1077" s="107" t="s">
        <v>9</v>
      </c>
      <c r="D1077" s="107" t="s">
        <v>132</v>
      </c>
      <c r="E1077" s="107" t="s">
        <v>10</v>
      </c>
      <c r="F1077" s="115" t="s">
        <v>304</v>
      </c>
      <c r="G1077" s="107" t="s">
        <v>31</v>
      </c>
      <c r="H1077" s="107" t="str">
        <f t="shared" si="96"/>
        <v>Area 8-1: Skagit Bay-Saratoga Psg.</v>
      </c>
      <c r="I1077" s="107" t="str">
        <f>IFERROR(VLOOKUP(H1077,LUTs!$A$1:$C$73,2,FALSE),"NA")</f>
        <v>NA</v>
      </c>
      <c r="J1077" s="107" t="str">
        <f>IFERROR(VLOOKUP(H1077,LUTs!$A$1:$C$73,3,FALSE),"NA")</f>
        <v>2Central Puget Sound</v>
      </c>
      <c r="K1077" s="107" t="s">
        <v>24</v>
      </c>
      <c r="L1077" s="107" t="str">
        <f>VLOOKUP(K1077,LUTs!E$2:G$14,3,)</f>
        <v>11Clallam</v>
      </c>
      <c r="M1077" s="107" t="str">
        <f>VLOOKUP($K1077,LUTs!$E$2:$H$14,2,)</f>
        <v>Strait of Juan de Fuca</v>
      </c>
      <c r="N1077" s="107" t="str">
        <f>VLOOKUP($K1077,LUTs!$E$2:$H$14,4,)</f>
        <v>03Strait of Juan de Fuca</v>
      </c>
      <c r="O1077" s="107">
        <v>5.3348982785602503</v>
      </c>
      <c r="P1077" s="107">
        <v>9.5268648930620792</v>
      </c>
      <c r="Q1077" s="107">
        <f t="shared" si="97"/>
        <v>5.3348982785602503</v>
      </c>
      <c r="R1077" s="107">
        <f t="shared" si="98"/>
        <v>9.5268648930620792</v>
      </c>
      <c r="S1077" s="140" t="str">
        <f t="shared" si="99"/>
        <v>Y</v>
      </c>
      <c r="T1077" s="154">
        <f t="shared" si="100"/>
        <v>1.7857631759069137</v>
      </c>
      <c r="U1077" s="154">
        <f t="shared" si="101"/>
        <v>1.7857631759069137</v>
      </c>
    </row>
    <row r="1078" spans="1:21" x14ac:dyDescent="0.35">
      <c r="A1078" s="107">
        <v>3111</v>
      </c>
      <c r="B1078" s="107">
        <v>2013</v>
      </c>
      <c r="C1078" s="107" t="s">
        <v>9</v>
      </c>
      <c r="D1078" s="107" t="s">
        <v>132</v>
      </c>
      <c r="E1078" s="107" t="s">
        <v>10</v>
      </c>
      <c r="F1078" s="115" t="s">
        <v>304</v>
      </c>
      <c r="G1078" s="107" t="s">
        <v>31</v>
      </c>
      <c r="H1078" s="107" t="str">
        <f t="shared" si="96"/>
        <v>Area 8-1: Skagit Bay-Saratoga Psg.</v>
      </c>
      <c r="I1078" s="107" t="str">
        <f>IFERROR(VLOOKUP(H1078,LUTs!$A$1:$C$73,2,FALSE),"NA")</f>
        <v>NA</v>
      </c>
      <c r="J1078" s="107" t="str">
        <f>IFERROR(VLOOKUP(H1078,LUTs!$A$1:$C$73,3,FALSE),"NA")</f>
        <v>2Central Puget Sound</v>
      </c>
      <c r="K1078" s="107" t="s">
        <v>17</v>
      </c>
      <c r="L1078" s="107" t="str">
        <f>VLOOKUP(K1078,LUTs!E$2:G$14,3,)</f>
        <v>04Island</v>
      </c>
      <c r="M1078" s="107" t="str">
        <f>VLOOKUP($K1078,LUTs!$E$2:$H$14,2,)</f>
        <v>North Puget Sound</v>
      </c>
      <c r="N1078" s="107" t="str">
        <f>VLOOKUP($K1078,LUTs!$E$2:$H$14,4,)</f>
        <v>01North Puget Sound</v>
      </c>
      <c r="O1078" s="107">
        <v>4118.5414710485102</v>
      </c>
      <c r="P1078" s="107">
        <v>7354.7396974439198</v>
      </c>
      <c r="Q1078" s="107">
        <f t="shared" si="97"/>
        <v>4118.5414710485102</v>
      </c>
      <c r="R1078" s="107">
        <f t="shared" si="98"/>
        <v>7354.7396974439198</v>
      </c>
      <c r="S1078" s="140" t="str">
        <f t="shared" si="99"/>
        <v>Y</v>
      </c>
      <c r="T1078" s="154">
        <f t="shared" si="100"/>
        <v>1.7857631759069137</v>
      </c>
      <c r="U1078" s="154">
        <f t="shared" si="101"/>
        <v>1.7857631759069137</v>
      </c>
    </row>
    <row r="1079" spans="1:21" x14ac:dyDescent="0.35">
      <c r="A1079" s="107">
        <v>3113</v>
      </c>
      <c r="B1079" s="107">
        <v>2013</v>
      </c>
      <c r="C1079" s="107" t="s">
        <v>9</v>
      </c>
      <c r="D1079" s="107" t="s">
        <v>132</v>
      </c>
      <c r="E1079" s="107" t="s">
        <v>10</v>
      </c>
      <c r="F1079" s="115" t="s">
        <v>304</v>
      </c>
      <c r="G1079" s="107" t="s">
        <v>31</v>
      </c>
      <c r="H1079" s="107" t="str">
        <f t="shared" si="96"/>
        <v>Area 8-1: Skagit Bay-Saratoga Psg.</v>
      </c>
      <c r="I1079" s="107" t="str">
        <f>IFERROR(VLOOKUP(H1079,LUTs!$A$1:$C$73,2,FALSE),"NA")</f>
        <v>NA</v>
      </c>
      <c r="J1079" s="107" t="str">
        <f>IFERROR(VLOOKUP(H1079,LUTs!$A$1:$C$73,3,FALSE),"NA")</f>
        <v>2Central Puget Sound</v>
      </c>
      <c r="K1079" s="107" t="s">
        <v>18</v>
      </c>
      <c r="L1079" s="107" t="str">
        <f>VLOOKUP(K1079,LUTs!E$2:G$14,3,)</f>
        <v>06King</v>
      </c>
      <c r="M1079" s="107" t="str">
        <f>VLOOKUP($K1079,LUTs!$E$2:$H$14,2,)</f>
        <v>South Puget Sound</v>
      </c>
      <c r="N1079" s="107" t="str">
        <f>VLOOKUP($K1079,LUTs!$E$2:$H$14,4,)</f>
        <v>02South Puget Sound</v>
      </c>
      <c r="O1079" s="107">
        <v>714.87636932707403</v>
      </c>
      <c r="P1079" s="107">
        <v>1276.5998956703199</v>
      </c>
      <c r="Q1079" s="107">
        <f t="shared" si="97"/>
        <v>714.87636932707403</v>
      </c>
      <c r="R1079" s="107">
        <f t="shared" si="98"/>
        <v>1276.5998956703199</v>
      </c>
      <c r="S1079" s="140" t="str">
        <f t="shared" si="99"/>
        <v>Y</v>
      </c>
      <c r="T1079" s="154">
        <f t="shared" si="100"/>
        <v>1.7857631759069144</v>
      </c>
      <c r="U1079" s="154">
        <f t="shared" si="101"/>
        <v>1.7857631759069144</v>
      </c>
    </row>
    <row r="1080" spans="1:21" x14ac:dyDescent="0.35">
      <c r="A1080" s="107">
        <v>3214</v>
      </c>
      <c r="B1080" s="107">
        <v>2013</v>
      </c>
      <c r="C1080" s="107" t="s">
        <v>9</v>
      </c>
      <c r="D1080" s="107" t="s">
        <v>132</v>
      </c>
      <c r="E1080" s="107" t="s">
        <v>10</v>
      </c>
      <c r="F1080" s="115" t="s">
        <v>304</v>
      </c>
      <c r="G1080" s="107" t="s">
        <v>31</v>
      </c>
      <c r="H1080" s="107" t="str">
        <f t="shared" si="96"/>
        <v>Area 8-1: Skagit Bay-Saratoga Psg.</v>
      </c>
      <c r="I1080" s="107" t="str">
        <f>IFERROR(VLOOKUP(H1080,LUTs!$A$1:$C$73,2,FALSE),"NA")</f>
        <v>NA</v>
      </c>
      <c r="J1080" s="107" t="str">
        <f>IFERROR(VLOOKUP(H1080,LUTs!$A$1:$C$73,3,FALSE),"NA")</f>
        <v>2Central Puget Sound</v>
      </c>
      <c r="K1080" s="107" t="s">
        <v>23</v>
      </c>
      <c r="L1080" s="107" t="str">
        <f>VLOOKUP(K1080,LUTs!E$2:G$14,3,)</f>
        <v>10Kitsap</v>
      </c>
      <c r="M1080" s="107" t="str">
        <f>VLOOKUP($K1080,LUTs!$E$2:$H$14,2,)</f>
        <v>South Puget Sound</v>
      </c>
      <c r="N1080" s="107" t="str">
        <f>VLOOKUP($K1080,LUTs!$E$2:$H$14,4,)</f>
        <v>02South Puget Sound</v>
      </c>
      <c r="O1080" s="107">
        <v>42.679186228482003</v>
      </c>
      <c r="P1080" s="107">
        <v>76.214919144496605</v>
      </c>
      <c r="Q1080" s="107">
        <f t="shared" si="97"/>
        <v>42.679186228482003</v>
      </c>
      <c r="R1080" s="107">
        <f t="shared" si="98"/>
        <v>76.214919144496605</v>
      </c>
      <c r="S1080" s="140" t="str">
        <f t="shared" si="99"/>
        <v>Y</v>
      </c>
      <c r="T1080" s="154">
        <f t="shared" si="100"/>
        <v>1.785763175906913</v>
      </c>
      <c r="U1080" s="154">
        <f t="shared" si="101"/>
        <v>1.785763175906913</v>
      </c>
    </row>
    <row r="1081" spans="1:21" x14ac:dyDescent="0.35">
      <c r="A1081" s="107">
        <v>3221</v>
      </c>
      <c r="B1081" s="107">
        <v>2013</v>
      </c>
      <c r="C1081" s="107" t="s">
        <v>9</v>
      </c>
      <c r="D1081" s="107" t="s">
        <v>132</v>
      </c>
      <c r="E1081" s="107" t="s">
        <v>10</v>
      </c>
      <c r="F1081" s="115" t="s">
        <v>304</v>
      </c>
      <c r="G1081" s="107" t="s">
        <v>31</v>
      </c>
      <c r="H1081" s="107" t="str">
        <f t="shared" si="96"/>
        <v>Area 8-1: Skagit Bay-Saratoga Psg.</v>
      </c>
      <c r="I1081" s="107" t="str">
        <f>IFERROR(VLOOKUP(H1081,LUTs!$A$1:$C$73,2,FALSE),"NA")</f>
        <v>NA</v>
      </c>
      <c r="J1081" s="107" t="str">
        <f>IFERROR(VLOOKUP(H1081,LUTs!$A$1:$C$73,3,FALSE),"NA")</f>
        <v>2Central Puget Sound</v>
      </c>
      <c r="K1081" s="107" t="s">
        <v>26</v>
      </c>
      <c r="L1081" s="107" t="str">
        <f>VLOOKUP(K1081,LUTs!E$2:G$14,3,)</f>
        <v>20Other</v>
      </c>
      <c r="M1081" s="107" t="str">
        <f>VLOOKUP($K1081,LUTs!$E$2:$H$14,2,)</f>
        <v>Non Puget Sound</v>
      </c>
      <c r="N1081" s="107" t="str">
        <f>VLOOKUP($K1081,LUTs!$E$2:$H$14,4,)</f>
        <v>07Non Puget Sound</v>
      </c>
      <c r="O1081" s="107">
        <v>1168.3427230047</v>
      </c>
      <c r="P1081" s="107">
        <v>2086.3834115805998</v>
      </c>
      <c r="Q1081" s="107">
        <f t="shared" si="97"/>
        <v>1168.3427230047</v>
      </c>
      <c r="R1081" s="107">
        <f t="shared" si="98"/>
        <v>2086.3834115805998</v>
      </c>
      <c r="S1081" s="140" t="str">
        <f t="shared" si="99"/>
        <v>Y</v>
      </c>
      <c r="T1081" s="154">
        <f t="shared" si="100"/>
        <v>1.7857631759069095</v>
      </c>
      <c r="U1081" s="154">
        <f t="shared" si="101"/>
        <v>1.7857631759069095</v>
      </c>
    </row>
    <row r="1082" spans="1:21" x14ac:dyDescent="0.35">
      <c r="A1082" s="107">
        <v>3114</v>
      </c>
      <c r="B1082" s="107">
        <v>2013</v>
      </c>
      <c r="C1082" s="107" t="s">
        <v>9</v>
      </c>
      <c r="D1082" s="107" t="s">
        <v>132</v>
      </c>
      <c r="E1082" s="107" t="s">
        <v>10</v>
      </c>
      <c r="F1082" s="115" t="s">
        <v>304</v>
      </c>
      <c r="G1082" s="107" t="s">
        <v>31</v>
      </c>
      <c r="H1082" s="107" t="str">
        <f t="shared" si="96"/>
        <v>Area 8-1: Skagit Bay-Saratoga Psg.</v>
      </c>
      <c r="I1082" s="107" t="str">
        <f>IFERROR(VLOOKUP(H1082,LUTs!$A$1:$C$73,2,FALSE),"NA")</f>
        <v>NA</v>
      </c>
      <c r="J1082" s="107" t="str">
        <f>IFERROR(VLOOKUP(H1082,LUTs!$A$1:$C$73,3,FALSE),"NA")</f>
        <v>2Central Puget Sound</v>
      </c>
      <c r="K1082" s="107" t="s">
        <v>20</v>
      </c>
      <c r="L1082" s="107" t="str">
        <f>VLOOKUP(K1082,LUTs!E$2:G$14,3,)</f>
        <v>07Pierce</v>
      </c>
      <c r="M1082" s="107" t="str">
        <f>VLOOKUP($K1082,LUTs!$E$2:$H$14,2,)</f>
        <v>South Puget Sound</v>
      </c>
      <c r="N1082" s="107" t="str">
        <f>VLOOKUP($K1082,LUTs!$E$2:$H$14,4,)</f>
        <v>02South Puget Sound</v>
      </c>
      <c r="O1082" s="107">
        <v>85.358372456964005</v>
      </c>
      <c r="P1082" s="107">
        <v>152.42983828899301</v>
      </c>
      <c r="Q1082" s="107">
        <f t="shared" si="97"/>
        <v>85.358372456964005</v>
      </c>
      <c r="R1082" s="107">
        <f t="shared" si="98"/>
        <v>152.42983828899301</v>
      </c>
      <c r="S1082" s="140" t="str">
        <f t="shared" si="99"/>
        <v>Y</v>
      </c>
      <c r="T1082" s="154">
        <f t="shared" si="100"/>
        <v>1.7857631759069106</v>
      </c>
      <c r="U1082" s="154">
        <f t="shared" si="101"/>
        <v>1.7857631759069106</v>
      </c>
    </row>
    <row r="1083" spans="1:21" x14ac:dyDescent="0.35">
      <c r="A1083" s="107">
        <v>3112</v>
      </c>
      <c r="B1083" s="107">
        <v>2013</v>
      </c>
      <c r="C1083" s="107" t="s">
        <v>9</v>
      </c>
      <c r="D1083" s="107" t="s">
        <v>132</v>
      </c>
      <c r="E1083" s="107" t="s">
        <v>10</v>
      </c>
      <c r="F1083" s="115" t="s">
        <v>304</v>
      </c>
      <c r="G1083" s="107" t="s">
        <v>31</v>
      </c>
      <c r="H1083" s="107" t="str">
        <f t="shared" si="96"/>
        <v>Area 8-1: Skagit Bay-Saratoga Psg.</v>
      </c>
      <c r="I1083" s="107" t="str">
        <f>IFERROR(VLOOKUP(H1083,LUTs!$A$1:$C$73,2,FALSE),"NA")</f>
        <v>NA</v>
      </c>
      <c r="J1083" s="107" t="str">
        <f>IFERROR(VLOOKUP(H1083,LUTs!$A$1:$C$73,3,FALSE),"NA")</f>
        <v>2Central Puget Sound</v>
      </c>
      <c r="K1083" s="107" t="s">
        <v>30</v>
      </c>
      <c r="L1083" s="107" t="str">
        <f>VLOOKUP(K1083,LUTs!E$2:G$14,3,)</f>
        <v>05San Juan</v>
      </c>
      <c r="M1083" s="107" t="str">
        <f>VLOOKUP($K1083,LUTs!$E$2:$H$14,2,)</f>
        <v>North Puget Sound</v>
      </c>
      <c r="N1083" s="107" t="str">
        <f>VLOOKUP($K1083,LUTs!$E$2:$H$14,4,)</f>
        <v>01North Puget Sound</v>
      </c>
      <c r="O1083" s="107">
        <v>5.3348982785602503</v>
      </c>
      <c r="P1083" s="107">
        <v>9.5268648930620792</v>
      </c>
      <c r="Q1083" s="107">
        <f t="shared" si="97"/>
        <v>5.3348982785602503</v>
      </c>
      <c r="R1083" s="107">
        <f t="shared" si="98"/>
        <v>9.5268648930620792</v>
      </c>
      <c r="S1083" s="140" t="str">
        <f t="shared" si="99"/>
        <v>Y</v>
      </c>
      <c r="T1083" s="154">
        <f t="shared" si="100"/>
        <v>1.7857631759069137</v>
      </c>
      <c r="U1083" s="154">
        <f t="shared" si="101"/>
        <v>1.7857631759069137</v>
      </c>
    </row>
    <row r="1084" spans="1:21" x14ac:dyDescent="0.35">
      <c r="A1084" s="107">
        <v>3109</v>
      </c>
      <c r="B1084" s="107">
        <v>2013</v>
      </c>
      <c r="C1084" s="107" t="s">
        <v>9</v>
      </c>
      <c r="D1084" s="107" t="s">
        <v>132</v>
      </c>
      <c r="E1084" s="107" t="s">
        <v>10</v>
      </c>
      <c r="F1084" s="115" t="s">
        <v>304</v>
      </c>
      <c r="G1084" s="107" t="s">
        <v>31</v>
      </c>
      <c r="H1084" s="107" t="str">
        <f t="shared" si="96"/>
        <v>Area 8-1: Skagit Bay-Saratoga Psg.</v>
      </c>
      <c r="I1084" s="107" t="str">
        <f>IFERROR(VLOOKUP(H1084,LUTs!$A$1:$C$73,2,FALSE),"NA")</f>
        <v>NA</v>
      </c>
      <c r="J1084" s="107" t="str">
        <f>IFERROR(VLOOKUP(H1084,LUTs!$A$1:$C$73,3,FALSE),"NA")</f>
        <v>2Central Puget Sound</v>
      </c>
      <c r="K1084" s="107" t="s">
        <v>15</v>
      </c>
      <c r="L1084" s="107" t="str">
        <f>VLOOKUP(K1084,LUTs!E$2:G$14,3,)</f>
        <v>02Skagit</v>
      </c>
      <c r="M1084" s="107" t="str">
        <f>VLOOKUP($K1084,LUTs!$E$2:$H$14,2,)</f>
        <v>North Puget Sound</v>
      </c>
      <c r="N1084" s="107" t="str">
        <f>VLOOKUP($K1084,LUTs!$E$2:$H$14,4,)</f>
        <v>01North Puget Sound</v>
      </c>
      <c r="O1084" s="107">
        <v>2101.94992175274</v>
      </c>
      <c r="P1084" s="107">
        <v>3753.58476786646</v>
      </c>
      <c r="Q1084" s="107">
        <f t="shared" si="97"/>
        <v>2101.94992175274</v>
      </c>
      <c r="R1084" s="107">
        <f t="shared" si="98"/>
        <v>3753.58476786646</v>
      </c>
      <c r="S1084" s="140" t="str">
        <f t="shared" si="99"/>
        <v>Y</v>
      </c>
      <c r="T1084" s="154">
        <f t="shared" si="100"/>
        <v>1.7857631759069128</v>
      </c>
      <c r="U1084" s="154">
        <f t="shared" si="101"/>
        <v>1.7857631759069128</v>
      </c>
    </row>
    <row r="1085" spans="1:21" x14ac:dyDescent="0.35">
      <c r="A1085" s="107">
        <v>3110</v>
      </c>
      <c r="B1085" s="107">
        <v>2013</v>
      </c>
      <c r="C1085" s="107" t="s">
        <v>9</v>
      </c>
      <c r="D1085" s="107" t="s">
        <v>132</v>
      </c>
      <c r="E1085" s="107" t="s">
        <v>10</v>
      </c>
      <c r="F1085" s="115" t="s">
        <v>304</v>
      </c>
      <c r="G1085" s="107" t="s">
        <v>31</v>
      </c>
      <c r="H1085" s="107" t="str">
        <f t="shared" si="96"/>
        <v>Area 8-1: Skagit Bay-Saratoga Psg.</v>
      </c>
      <c r="I1085" s="107" t="str">
        <f>IFERROR(VLOOKUP(H1085,LUTs!$A$1:$C$73,2,FALSE),"NA")</f>
        <v>NA</v>
      </c>
      <c r="J1085" s="107" t="str">
        <f>IFERROR(VLOOKUP(H1085,LUTs!$A$1:$C$73,3,FALSE),"NA")</f>
        <v>2Central Puget Sound</v>
      </c>
      <c r="K1085" s="107" t="s">
        <v>16</v>
      </c>
      <c r="L1085" s="107" t="str">
        <f>VLOOKUP(K1085,LUTs!E$2:G$14,3,)</f>
        <v>03Snohomish</v>
      </c>
      <c r="M1085" s="107" t="str">
        <f>VLOOKUP($K1085,LUTs!$E$2:$H$14,2,)</f>
        <v>North Puget Sound</v>
      </c>
      <c r="N1085" s="107" t="str">
        <f>VLOOKUP($K1085,LUTs!$E$2:$H$14,4,)</f>
        <v>01North Puget Sound</v>
      </c>
      <c r="O1085" s="107">
        <v>1557.7902973395901</v>
      </c>
      <c r="P1085" s="107">
        <v>2781.8445487741301</v>
      </c>
      <c r="Q1085" s="107">
        <f t="shared" si="97"/>
        <v>1557.7902973395901</v>
      </c>
      <c r="R1085" s="107">
        <f t="shared" si="98"/>
        <v>2781.8445487741301</v>
      </c>
      <c r="S1085" s="140" t="str">
        <f t="shared" si="99"/>
        <v>Y</v>
      </c>
      <c r="T1085" s="154">
        <f t="shared" si="100"/>
        <v>1.785763175906919</v>
      </c>
      <c r="U1085" s="154">
        <f t="shared" si="101"/>
        <v>1.785763175906919</v>
      </c>
    </row>
    <row r="1086" spans="1:21" x14ac:dyDescent="0.35">
      <c r="A1086" s="107">
        <v>3213</v>
      </c>
      <c r="B1086" s="107">
        <v>2013</v>
      </c>
      <c r="C1086" s="107" t="s">
        <v>9</v>
      </c>
      <c r="D1086" s="107" t="s">
        <v>132</v>
      </c>
      <c r="E1086" s="107" t="s">
        <v>10</v>
      </c>
      <c r="F1086" s="115" t="s">
        <v>304</v>
      </c>
      <c r="G1086" s="107" t="s">
        <v>31</v>
      </c>
      <c r="H1086" s="107" t="str">
        <f t="shared" si="96"/>
        <v>Area 8-1: Skagit Bay-Saratoga Psg.</v>
      </c>
      <c r="I1086" s="107" t="str">
        <f>IFERROR(VLOOKUP(H1086,LUTs!$A$1:$C$73,2,FALSE),"NA")</f>
        <v>NA</v>
      </c>
      <c r="J1086" s="107" t="str">
        <f>IFERROR(VLOOKUP(H1086,LUTs!$A$1:$C$73,3,FALSE),"NA")</f>
        <v>2Central Puget Sound</v>
      </c>
      <c r="K1086" s="107" t="s">
        <v>21</v>
      </c>
      <c r="L1086" s="107" t="str">
        <f>VLOOKUP(K1086,LUTs!E$2:G$14,3,)</f>
        <v>08Thurston</v>
      </c>
      <c r="M1086" s="107" t="str">
        <f>VLOOKUP($K1086,LUTs!$E$2:$H$14,2,)</f>
        <v>South Puget Sound</v>
      </c>
      <c r="N1086" s="107" t="str">
        <f>VLOOKUP($K1086,LUTs!$E$2:$H$14,4,)</f>
        <v>02South Puget Sound</v>
      </c>
      <c r="O1086" s="107">
        <v>42.679186228482003</v>
      </c>
      <c r="P1086" s="107">
        <v>76.214919144496605</v>
      </c>
      <c r="Q1086" s="107">
        <f t="shared" si="97"/>
        <v>42.679186228482003</v>
      </c>
      <c r="R1086" s="107">
        <f t="shared" si="98"/>
        <v>76.214919144496605</v>
      </c>
      <c r="S1086" s="140" t="str">
        <f t="shared" si="99"/>
        <v>Y</v>
      </c>
      <c r="T1086" s="154">
        <f t="shared" si="100"/>
        <v>1.785763175906913</v>
      </c>
      <c r="U1086" s="154">
        <f t="shared" si="101"/>
        <v>1.785763175906913</v>
      </c>
    </row>
    <row r="1087" spans="1:21" x14ac:dyDescent="0.35">
      <c r="A1087" s="107">
        <v>3108</v>
      </c>
      <c r="B1087" s="107">
        <v>2013</v>
      </c>
      <c r="C1087" s="107" t="s">
        <v>9</v>
      </c>
      <c r="D1087" s="107" t="s">
        <v>132</v>
      </c>
      <c r="E1087" s="107" t="s">
        <v>10</v>
      </c>
      <c r="F1087" s="115" t="s">
        <v>304</v>
      </c>
      <c r="G1087" s="107" t="s">
        <v>31</v>
      </c>
      <c r="H1087" s="107" t="str">
        <f t="shared" si="96"/>
        <v>Area 8-1: Skagit Bay-Saratoga Psg.</v>
      </c>
      <c r="I1087" s="107" t="str">
        <f>IFERROR(VLOOKUP(H1087,LUTs!$A$1:$C$73,2,FALSE),"NA")</f>
        <v>NA</v>
      </c>
      <c r="J1087" s="107" t="str">
        <f>IFERROR(VLOOKUP(H1087,LUTs!$A$1:$C$73,3,FALSE),"NA")</f>
        <v>2Central Puget Sound</v>
      </c>
      <c r="K1087" s="107" t="s">
        <v>13</v>
      </c>
      <c r="L1087" s="107" t="str">
        <f>VLOOKUP(K1087,LUTs!E$2:G$14,3,)</f>
        <v>01Whatcom</v>
      </c>
      <c r="M1087" s="107" t="str">
        <f>VLOOKUP($K1087,LUTs!$E$2:$H$14,2,)</f>
        <v>North Puget Sound</v>
      </c>
      <c r="N1087" s="107" t="str">
        <f>VLOOKUP($K1087,LUTs!$E$2:$H$14,4,)</f>
        <v>01North Puget Sound</v>
      </c>
      <c r="O1087" s="107">
        <v>384.11267605633799</v>
      </c>
      <c r="P1087" s="107">
        <v>685.93427230046996</v>
      </c>
      <c r="Q1087" s="107">
        <f t="shared" si="97"/>
        <v>384.11267605633799</v>
      </c>
      <c r="R1087" s="107">
        <f t="shared" si="98"/>
        <v>685.93427230046996</v>
      </c>
      <c r="S1087" s="140" t="str">
        <f t="shared" si="99"/>
        <v>Y</v>
      </c>
      <c r="T1087" s="154">
        <f t="shared" si="100"/>
        <v>1.7857631759069146</v>
      </c>
      <c r="U1087" s="154">
        <f t="shared" si="101"/>
        <v>1.7857631759069146</v>
      </c>
    </row>
    <row r="1088" spans="1:21" x14ac:dyDescent="0.35">
      <c r="A1088" s="107">
        <v>3481</v>
      </c>
      <c r="B1088" s="107">
        <v>2014</v>
      </c>
      <c r="C1088" s="107" t="s">
        <v>9</v>
      </c>
      <c r="D1088" s="107" t="s">
        <v>132</v>
      </c>
      <c r="E1088" s="107" t="s">
        <v>10</v>
      </c>
      <c r="F1088" s="115" t="s">
        <v>304</v>
      </c>
      <c r="G1088" s="107" t="s">
        <v>31</v>
      </c>
      <c r="H1088" s="107" t="str">
        <f t="shared" si="96"/>
        <v>Area 8-1: Skagit Bay-Saratoga Psg.</v>
      </c>
      <c r="I1088" s="107" t="str">
        <f>IFERROR(VLOOKUP(H1088,LUTs!$A$1:$C$73,2,FALSE),"NA")</f>
        <v>NA</v>
      </c>
      <c r="J1088" s="107" t="str">
        <f>IFERROR(VLOOKUP(H1088,LUTs!$A$1:$C$73,3,FALSE),"NA")</f>
        <v>2Central Puget Sound</v>
      </c>
      <c r="K1088" s="107" t="s">
        <v>17</v>
      </c>
      <c r="L1088" s="107" t="str">
        <f>VLOOKUP(K1088,LUTs!E$2:G$14,3,)</f>
        <v>04Island</v>
      </c>
      <c r="M1088" s="107" t="str">
        <f>VLOOKUP($K1088,LUTs!$E$2:$H$14,2,)</f>
        <v>North Puget Sound</v>
      </c>
      <c r="N1088" s="107" t="str">
        <f>VLOOKUP($K1088,LUTs!$E$2:$H$14,4,)</f>
        <v>01North Puget Sound</v>
      </c>
      <c r="O1088" s="107">
        <v>1477.86346863469</v>
      </c>
      <c r="P1088" s="107">
        <v>3935.37708487085</v>
      </c>
      <c r="Q1088" s="107">
        <f t="shared" si="97"/>
        <v>1477.86346863469</v>
      </c>
      <c r="R1088" s="107">
        <f t="shared" si="98"/>
        <v>3935.37708487085</v>
      </c>
      <c r="S1088" s="140" t="str">
        <f t="shared" si="99"/>
        <v>Y</v>
      </c>
      <c r="T1088" s="154">
        <f t="shared" si="100"/>
        <v>2.6628827144002081</v>
      </c>
      <c r="U1088" s="154">
        <f t="shared" si="101"/>
        <v>2.6628827144002081</v>
      </c>
    </row>
    <row r="1089" spans="1:21" x14ac:dyDescent="0.35">
      <c r="A1089" s="107">
        <v>3570</v>
      </c>
      <c r="B1089" s="107">
        <v>2014</v>
      </c>
      <c r="C1089" s="107" t="s">
        <v>9</v>
      </c>
      <c r="D1089" s="107" t="s">
        <v>132</v>
      </c>
      <c r="E1089" s="107" t="s">
        <v>10</v>
      </c>
      <c r="F1089" s="115" t="s">
        <v>304</v>
      </c>
      <c r="G1089" s="107" t="s">
        <v>31</v>
      </c>
      <c r="H1089" s="107" t="str">
        <f t="shared" si="96"/>
        <v>Area 8-1: Skagit Bay-Saratoga Psg.</v>
      </c>
      <c r="I1089" s="107" t="str">
        <f>IFERROR(VLOOKUP(H1089,LUTs!$A$1:$C$73,2,FALSE),"NA")</f>
        <v>NA</v>
      </c>
      <c r="J1089" s="107" t="str">
        <f>IFERROR(VLOOKUP(H1089,LUTs!$A$1:$C$73,3,FALSE),"NA")</f>
        <v>2Central Puget Sound</v>
      </c>
      <c r="K1089" s="107" t="s">
        <v>18</v>
      </c>
      <c r="L1089" s="107" t="str">
        <f>VLOOKUP(K1089,LUTs!E$2:G$14,3,)</f>
        <v>06King</v>
      </c>
      <c r="M1089" s="107" t="str">
        <f>VLOOKUP($K1089,LUTs!$E$2:$H$14,2,)</f>
        <v>South Puget Sound</v>
      </c>
      <c r="N1089" s="107" t="str">
        <f>VLOOKUP($K1089,LUTs!$E$2:$H$14,4,)</f>
        <v>02South Puget Sound</v>
      </c>
      <c r="O1089" s="107">
        <v>145.02398523985201</v>
      </c>
      <c r="P1089" s="107">
        <v>386.18186346863502</v>
      </c>
      <c r="Q1089" s="107">
        <f t="shared" si="97"/>
        <v>145.02398523985201</v>
      </c>
      <c r="R1089" s="107">
        <f t="shared" si="98"/>
        <v>386.18186346863502</v>
      </c>
      <c r="S1089" s="140" t="str">
        <f t="shared" si="99"/>
        <v>Y</v>
      </c>
      <c r="T1089" s="154">
        <f t="shared" si="100"/>
        <v>2.6628827144002232</v>
      </c>
      <c r="U1089" s="154">
        <f t="shared" si="101"/>
        <v>2.6628827144002232</v>
      </c>
    </row>
    <row r="1090" spans="1:21" x14ac:dyDescent="0.35">
      <c r="A1090" s="107">
        <v>3572</v>
      </c>
      <c r="B1090" s="107">
        <v>2014</v>
      </c>
      <c r="C1090" s="107" t="s">
        <v>9</v>
      </c>
      <c r="D1090" s="107" t="s">
        <v>132</v>
      </c>
      <c r="E1090" s="107" t="s">
        <v>10</v>
      </c>
      <c r="F1090" s="115" t="s">
        <v>304</v>
      </c>
      <c r="G1090" s="107" t="s">
        <v>31</v>
      </c>
      <c r="H1090" s="107" t="str">
        <f t="shared" ref="H1090:H1153" si="102">G1090</f>
        <v>Area 8-1: Skagit Bay-Saratoga Psg.</v>
      </c>
      <c r="I1090" s="107" t="str">
        <f>IFERROR(VLOOKUP(H1090,LUTs!$A$1:$C$73,2,FALSE),"NA")</f>
        <v>NA</v>
      </c>
      <c r="J1090" s="107" t="str">
        <f>IFERROR(VLOOKUP(H1090,LUTs!$A$1:$C$73,3,FALSE),"NA")</f>
        <v>2Central Puget Sound</v>
      </c>
      <c r="K1090" s="107" t="s">
        <v>23</v>
      </c>
      <c r="L1090" s="107" t="str">
        <f>VLOOKUP(K1090,LUTs!E$2:G$14,3,)</f>
        <v>10Kitsap</v>
      </c>
      <c r="M1090" s="107" t="str">
        <f>VLOOKUP($K1090,LUTs!$E$2:$H$14,2,)</f>
        <v>South Puget Sound</v>
      </c>
      <c r="N1090" s="107" t="str">
        <f>VLOOKUP($K1090,LUTs!$E$2:$H$14,4,)</f>
        <v>02South Puget Sound</v>
      </c>
      <c r="O1090" s="107">
        <v>13.811808118081199</v>
      </c>
      <c r="P1090" s="107">
        <v>36.779225092250897</v>
      </c>
      <c r="Q1090" s="107">
        <f t="shared" ref="Q1090:Q1153" si="103">O1090</f>
        <v>13.811808118081199</v>
      </c>
      <c r="R1090" s="107">
        <f t="shared" ref="R1090:R1153" si="104">P1090</f>
        <v>36.779225092250897</v>
      </c>
      <c r="S1090" s="140" t="str">
        <f t="shared" si="99"/>
        <v>Y</v>
      </c>
      <c r="T1090" s="154">
        <f t="shared" si="100"/>
        <v>2.6628827144002085</v>
      </c>
      <c r="U1090" s="154">
        <f t="shared" si="101"/>
        <v>2.6628827144002085</v>
      </c>
    </row>
    <row r="1091" spans="1:21" x14ac:dyDescent="0.35">
      <c r="A1091" s="107">
        <v>3575</v>
      </c>
      <c r="B1091" s="107">
        <v>2014</v>
      </c>
      <c r="C1091" s="107" t="s">
        <v>9</v>
      </c>
      <c r="D1091" s="107" t="s">
        <v>132</v>
      </c>
      <c r="E1091" s="107" t="s">
        <v>10</v>
      </c>
      <c r="F1091" s="115" t="s">
        <v>304</v>
      </c>
      <c r="G1091" s="107" t="s">
        <v>31</v>
      </c>
      <c r="H1091" s="107" t="str">
        <f t="shared" si="102"/>
        <v>Area 8-1: Skagit Bay-Saratoga Psg.</v>
      </c>
      <c r="I1091" s="107" t="str">
        <f>IFERROR(VLOOKUP(H1091,LUTs!$A$1:$C$73,2,FALSE),"NA")</f>
        <v>NA</v>
      </c>
      <c r="J1091" s="107" t="str">
        <f>IFERROR(VLOOKUP(H1091,LUTs!$A$1:$C$73,3,FALSE),"NA")</f>
        <v>2Central Puget Sound</v>
      </c>
      <c r="K1091" s="107" t="s">
        <v>26</v>
      </c>
      <c r="L1091" s="107" t="str">
        <f>VLOOKUP(K1091,LUTs!E$2:G$14,3,)</f>
        <v>20Other</v>
      </c>
      <c r="M1091" s="107" t="str">
        <f>VLOOKUP($K1091,LUTs!$E$2:$H$14,2,)</f>
        <v>Non Puget Sound</v>
      </c>
      <c r="N1091" s="107" t="str">
        <f>VLOOKUP($K1091,LUTs!$E$2:$H$14,4,)</f>
        <v>07Non Puget Sound</v>
      </c>
      <c r="O1091" s="107">
        <v>352.20110701107001</v>
      </c>
      <c r="P1091" s="107">
        <v>937.87023985239898</v>
      </c>
      <c r="Q1091" s="107">
        <f t="shared" si="103"/>
        <v>352.20110701107001</v>
      </c>
      <c r="R1091" s="107">
        <f t="shared" si="104"/>
        <v>937.87023985239898</v>
      </c>
      <c r="S1091" s="140" t="str">
        <f t="shared" ref="S1091:S1154" si="105">IF(B1091&lt;=2019,"Y","N")</f>
        <v>Y</v>
      </c>
      <c r="T1091" s="154">
        <f t="shared" ref="T1091:T1154" si="106">IFERROR(P1091/O1091,"NA")</f>
        <v>2.6628827144002156</v>
      </c>
      <c r="U1091" s="154">
        <f t="shared" ref="U1091:U1154" si="107">IFERROR(R1091/Q1091,"NA")</f>
        <v>2.6628827144002156</v>
      </c>
    </row>
    <row r="1092" spans="1:21" x14ac:dyDescent="0.35">
      <c r="A1092" s="107">
        <v>3571</v>
      </c>
      <c r="B1092" s="107">
        <v>2014</v>
      </c>
      <c r="C1092" s="107" t="s">
        <v>9</v>
      </c>
      <c r="D1092" s="107" t="s">
        <v>132</v>
      </c>
      <c r="E1092" s="107" t="s">
        <v>10</v>
      </c>
      <c r="F1092" s="115" t="s">
        <v>304</v>
      </c>
      <c r="G1092" s="107" t="s">
        <v>31</v>
      </c>
      <c r="H1092" s="107" t="str">
        <f t="shared" si="102"/>
        <v>Area 8-1: Skagit Bay-Saratoga Psg.</v>
      </c>
      <c r="I1092" s="107" t="str">
        <f>IFERROR(VLOOKUP(H1092,LUTs!$A$1:$C$73,2,FALSE),"NA")</f>
        <v>NA</v>
      </c>
      <c r="J1092" s="107" t="str">
        <f>IFERROR(VLOOKUP(H1092,LUTs!$A$1:$C$73,3,FALSE),"NA")</f>
        <v>2Central Puget Sound</v>
      </c>
      <c r="K1092" s="107" t="s">
        <v>20</v>
      </c>
      <c r="L1092" s="107" t="str">
        <f>VLOOKUP(K1092,LUTs!E$2:G$14,3,)</f>
        <v>07Pierce</v>
      </c>
      <c r="M1092" s="107" t="str">
        <f>VLOOKUP($K1092,LUTs!$E$2:$H$14,2,)</f>
        <v>South Puget Sound</v>
      </c>
      <c r="N1092" s="107" t="str">
        <f>VLOOKUP($K1092,LUTs!$E$2:$H$14,4,)</f>
        <v>02South Puget Sound</v>
      </c>
      <c r="O1092" s="107">
        <v>27.623616236162398</v>
      </c>
      <c r="P1092" s="107">
        <v>73.558450184501893</v>
      </c>
      <c r="Q1092" s="107">
        <f t="shared" si="103"/>
        <v>27.623616236162398</v>
      </c>
      <c r="R1092" s="107">
        <f t="shared" si="104"/>
        <v>73.558450184501893</v>
      </c>
      <c r="S1092" s="140" t="str">
        <f t="shared" si="105"/>
        <v>Y</v>
      </c>
      <c r="T1092" s="154">
        <f t="shared" si="106"/>
        <v>2.6628827144002121</v>
      </c>
      <c r="U1092" s="154">
        <f t="shared" si="107"/>
        <v>2.6628827144002121</v>
      </c>
    </row>
    <row r="1093" spans="1:21" x14ac:dyDescent="0.35">
      <c r="A1093" s="107">
        <v>3479</v>
      </c>
      <c r="B1093" s="107">
        <v>2014</v>
      </c>
      <c r="C1093" s="107" t="s">
        <v>9</v>
      </c>
      <c r="D1093" s="107" t="s">
        <v>132</v>
      </c>
      <c r="E1093" s="107" t="s">
        <v>10</v>
      </c>
      <c r="F1093" s="115" t="s">
        <v>304</v>
      </c>
      <c r="G1093" s="107" t="s">
        <v>31</v>
      </c>
      <c r="H1093" s="107" t="str">
        <f t="shared" si="102"/>
        <v>Area 8-1: Skagit Bay-Saratoga Psg.</v>
      </c>
      <c r="I1093" s="107" t="str">
        <f>IFERROR(VLOOKUP(H1093,LUTs!$A$1:$C$73,2,FALSE),"NA")</f>
        <v>NA</v>
      </c>
      <c r="J1093" s="107" t="str">
        <f>IFERROR(VLOOKUP(H1093,LUTs!$A$1:$C$73,3,FALSE),"NA")</f>
        <v>2Central Puget Sound</v>
      </c>
      <c r="K1093" s="107" t="s">
        <v>15</v>
      </c>
      <c r="L1093" s="107" t="str">
        <f>VLOOKUP(K1093,LUTs!E$2:G$14,3,)</f>
        <v>02Skagit</v>
      </c>
      <c r="M1093" s="107" t="str">
        <f>VLOOKUP($K1093,LUTs!$E$2:$H$14,2,)</f>
        <v>North Puget Sound</v>
      </c>
      <c r="N1093" s="107" t="str">
        <f>VLOOKUP($K1093,LUTs!$E$2:$H$14,4,)</f>
        <v>01North Puget Sound</v>
      </c>
      <c r="O1093" s="107">
        <v>1194.7214022140199</v>
      </c>
      <c r="P1093" s="107">
        <v>3181.4029704797099</v>
      </c>
      <c r="Q1093" s="107">
        <f t="shared" si="103"/>
        <v>1194.7214022140199</v>
      </c>
      <c r="R1093" s="107">
        <f t="shared" si="104"/>
        <v>3181.4029704797099</v>
      </c>
      <c r="S1093" s="140" t="str">
        <f t="shared" si="105"/>
        <v>Y</v>
      </c>
      <c r="T1093" s="154">
        <f t="shared" si="106"/>
        <v>2.6628827144002232</v>
      </c>
      <c r="U1093" s="154">
        <f t="shared" si="107"/>
        <v>2.6628827144002232</v>
      </c>
    </row>
    <row r="1094" spans="1:21" x14ac:dyDescent="0.35">
      <c r="A1094" s="107">
        <v>3480</v>
      </c>
      <c r="B1094" s="107">
        <v>2014</v>
      </c>
      <c r="C1094" s="107" t="s">
        <v>9</v>
      </c>
      <c r="D1094" s="107" t="s">
        <v>132</v>
      </c>
      <c r="E1094" s="107" t="s">
        <v>10</v>
      </c>
      <c r="F1094" s="115" t="s">
        <v>304</v>
      </c>
      <c r="G1094" s="107" t="s">
        <v>31</v>
      </c>
      <c r="H1094" s="107" t="str">
        <f t="shared" si="102"/>
        <v>Area 8-1: Skagit Bay-Saratoga Psg.</v>
      </c>
      <c r="I1094" s="107" t="str">
        <f>IFERROR(VLOOKUP(H1094,LUTs!$A$1:$C$73,2,FALSE),"NA")</f>
        <v>NA</v>
      </c>
      <c r="J1094" s="107" t="str">
        <f>IFERROR(VLOOKUP(H1094,LUTs!$A$1:$C$73,3,FALSE),"NA")</f>
        <v>2Central Puget Sound</v>
      </c>
      <c r="K1094" s="107" t="s">
        <v>16</v>
      </c>
      <c r="L1094" s="107" t="str">
        <f>VLOOKUP(K1094,LUTs!E$2:G$14,3,)</f>
        <v>03Snohomish</v>
      </c>
      <c r="M1094" s="107" t="str">
        <f>VLOOKUP($K1094,LUTs!$E$2:$H$14,2,)</f>
        <v>North Puget Sound</v>
      </c>
      <c r="N1094" s="107" t="str">
        <f>VLOOKUP($K1094,LUTs!$E$2:$H$14,4,)</f>
        <v>01North Puget Sound</v>
      </c>
      <c r="O1094" s="107">
        <v>448.88376383763801</v>
      </c>
      <c r="P1094" s="107">
        <v>1195.32481549815</v>
      </c>
      <c r="Q1094" s="107">
        <f t="shared" si="103"/>
        <v>448.88376383763801</v>
      </c>
      <c r="R1094" s="107">
        <f t="shared" si="104"/>
        <v>1195.32481549815</v>
      </c>
      <c r="S1094" s="140" t="str">
        <f t="shared" si="105"/>
        <v>Y</v>
      </c>
      <c r="T1094" s="154">
        <f t="shared" si="106"/>
        <v>2.6628827144002045</v>
      </c>
      <c r="U1094" s="154">
        <f t="shared" si="107"/>
        <v>2.6628827144002045</v>
      </c>
    </row>
    <row r="1095" spans="1:21" x14ac:dyDescent="0.35">
      <c r="A1095" s="107">
        <v>3477</v>
      </c>
      <c r="B1095" s="107">
        <v>2014</v>
      </c>
      <c r="C1095" s="107" t="s">
        <v>9</v>
      </c>
      <c r="D1095" s="107" t="s">
        <v>132</v>
      </c>
      <c r="E1095" s="107" t="s">
        <v>10</v>
      </c>
      <c r="F1095" s="115" t="s">
        <v>304</v>
      </c>
      <c r="G1095" s="107" t="s">
        <v>31</v>
      </c>
      <c r="H1095" s="107" t="str">
        <f t="shared" si="102"/>
        <v>Area 8-1: Skagit Bay-Saratoga Psg.</v>
      </c>
      <c r="I1095" s="107" t="str">
        <f>IFERROR(VLOOKUP(H1095,LUTs!$A$1:$C$73,2,FALSE),"NA")</f>
        <v>NA</v>
      </c>
      <c r="J1095" s="107" t="str">
        <f>IFERROR(VLOOKUP(H1095,LUTs!$A$1:$C$73,3,FALSE),"NA")</f>
        <v>2Central Puget Sound</v>
      </c>
      <c r="K1095" s="107" t="s">
        <v>13</v>
      </c>
      <c r="L1095" s="107" t="str">
        <f>VLOOKUP(K1095,LUTs!E$2:G$14,3,)</f>
        <v>01Whatcom</v>
      </c>
      <c r="M1095" s="107" t="str">
        <f>VLOOKUP($K1095,LUTs!$E$2:$H$14,2,)</f>
        <v>North Puget Sound</v>
      </c>
      <c r="N1095" s="107" t="str">
        <f>VLOOKUP($K1095,LUTs!$E$2:$H$14,4,)</f>
        <v>01North Puget Sound</v>
      </c>
      <c r="O1095" s="107">
        <v>82.870848708487102</v>
      </c>
      <c r="P1095" s="107">
        <v>220.67535055350601</v>
      </c>
      <c r="Q1095" s="107">
        <f t="shared" si="103"/>
        <v>82.870848708487102</v>
      </c>
      <c r="R1095" s="107">
        <f t="shared" si="104"/>
        <v>220.67535055350601</v>
      </c>
      <c r="S1095" s="140" t="str">
        <f t="shared" si="105"/>
        <v>Y</v>
      </c>
      <c r="T1095" s="154">
        <f t="shared" si="106"/>
        <v>2.6628827144002187</v>
      </c>
      <c r="U1095" s="154">
        <f t="shared" si="107"/>
        <v>2.6628827144002187</v>
      </c>
    </row>
    <row r="1096" spans="1:21" x14ac:dyDescent="0.35">
      <c r="A1096" s="107">
        <v>1436</v>
      </c>
      <c r="B1096" s="107">
        <v>2015</v>
      </c>
      <c r="C1096" s="107" t="s">
        <v>9</v>
      </c>
      <c r="D1096" s="107" t="s">
        <v>132</v>
      </c>
      <c r="E1096" s="107" t="s">
        <v>10</v>
      </c>
      <c r="F1096" s="115" t="s">
        <v>304</v>
      </c>
      <c r="G1096" s="107" t="s">
        <v>31</v>
      </c>
      <c r="H1096" s="107" t="str">
        <f t="shared" si="102"/>
        <v>Area 8-1: Skagit Bay-Saratoga Psg.</v>
      </c>
      <c r="I1096" s="107" t="str">
        <f>IFERROR(VLOOKUP(H1096,LUTs!$A$1:$C$73,2,FALSE),"NA")</f>
        <v>NA</v>
      </c>
      <c r="J1096" s="107" t="str">
        <f>IFERROR(VLOOKUP(H1096,LUTs!$A$1:$C$73,3,FALSE),"NA")</f>
        <v>2Central Puget Sound</v>
      </c>
      <c r="K1096" s="107" t="s">
        <v>24</v>
      </c>
      <c r="L1096" s="107" t="str">
        <f>VLOOKUP(K1096,LUTs!E$2:G$14,3,)</f>
        <v>11Clallam</v>
      </c>
      <c r="M1096" s="107" t="str">
        <f>VLOOKUP($K1096,LUTs!$E$2:$H$14,2,)</f>
        <v>Strait of Juan de Fuca</v>
      </c>
      <c r="N1096" s="107" t="str">
        <f>VLOOKUP($K1096,LUTs!$E$2:$H$14,4,)</f>
        <v>03Strait of Juan de Fuca</v>
      </c>
      <c r="O1096" s="107">
        <v>7.1098610191925902</v>
      </c>
      <c r="P1096" s="107">
        <v>12.967359364659201</v>
      </c>
      <c r="Q1096" s="107">
        <f t="shared" si="103"/>
        <v>7.1098610191925902</v>
      </c>
      <c r="R1096" s="107">
        <f t="shared" si="104"/>
        <v>12.967359364659201</v>
      </c>
      <c r="S1096" s="140" t="str">
        <f t="shared" si="105"/>
        <v>Y</v>
      </c>
      <c r="T1096" s="154">
        <f t="shared" si="106"/>
        <v>1.8238555338359905</v>
      </c>
      <c r="U1096" s="154">
        <f t="shared" si="107"/>
        <v>1.8238555338359905</v>
      </c>
    </row>
    <row r="1097" spans="1:21" x14ac:dyDescent="0.35">
      <c r="A1097" s="107">
        <v>1295</v>
      </c>
      <c r="B1097" s="107">
        <v>2015</v>
      </c>
      <c r="C1097" s="107" t="s">
        <v>9</v>
      </c>
      <c r="D1097" s="107" t="s">
        <v>132</v>
      </c>
      <c r="E1097" s="107" t="s">
        <v>10</v>
      </c>
      <c r="F1097" s="115" t="s">
        <v>304</v>
      </c>
      <c r="G1097" s="107" t="s">
        <v>31</v>
      </c>
      <c r="H1097" s="107" t="str">
        <f t="shared" si="102"/>
        <v>Area 8-1: Skagit Bay-Saratoga Psg.</v>
      </c>
      <c r="I1097" s="107" t="str">
        <f>IFERROR(VLOOKUP(H1097,LUTs!$A$1:$C$73,2,FALSE),"NA")</f>
        <v>NA</v>
      </c>
      <c r="J1097" s="107" t="str">
        <f>IFERROR(VLOOKUP(H1097,LUTs!$A$1:$C$73,3,FALSE),"NA")</f>
        <v>2Central Puget Sound</v>
      </c>
      <c r="K1097" s="107" t="s">
        <v>17</v>
      </c>
      <c r="L1097" s="107" t="str">
        <f>VLOOKUP(K1097,LUTs!E$2:G$14,3,)</f>
        <v>04Island</v>
      </c>
      <c r="M1097" s="107" t="str">
        <f>VLOOKUP($K1097,LUTs!$E$2:$H$14,2,)</f>
        <v>North Puget Sound</v>
      </c>
      <c r="N1097" s="107" t="str">
        <f>VLOOKUP($K1097,LUTs!$E$2:$H$14,4,)</f>
        <v>01North Puget Sound</v>
      </c>
      <c r="O1097" s="107">
        <v>3853.54467240238</v>
      </c>
      <c r="P1097" s="107">
        <v>7028.3087756452696</v>
      </c>
      <c r="Q1097" s="107">
        <f t="shared" si="103"/>
        <v>3853.54467240238</v>
      </c>
      <c r="R1097" s="107">
        <f t="shared" si="104"/>
        <v>7028.3087756452696</v>
      </c>
      <c r="S1097" s="140" t="str">
        <f t="shared" si="105"/>
        <v>Y</v>
      </c>
      <c r="T1097" s="154">
        <f t="shared" si="106"/>
        <v>1.8238555338359879</v>
      </c>
      <c r="U1097" s="154">
        <f t="shared" si="107"/>
        <v>1.8238555338359879</v>
      </c>
    </row>
    <row r="1098" spans="1:21" x14ac:dyDescent="0.35">
      <c r="A1098" s="107">
        <v>1296</v>
      </c>
      <c r="B1098" s="107">
        <v>2015</v>
      </c>
      <c r="C1098" s="107" t="s">
        <v>9</v>
      </c>
      <c r="D1098" s="107" t="s">
        <v>132</v>
      </c>
      <c r="E1098" s="107" t="s">
        <v>10</v>
      </c>
      <c r="F1098" s="115" t="s">
        <v>304</v>
      </c>
      <c r="G1098" s="107" t="s">
        <v>31</v>
      </c>
      <c r="H1098" s="107" t="str">
        <f t="shared" si="102"/>
        <v>Area 8-1: Skagit Bay-Saratoga Psg.</v>
      </c>
      <c r="I1098" s="107" t="str">
        <f>IFERROR(VLOOKUP(H1098,LUTs!$A$1:$C$73,2,FALSE),"NA")</f>
        <v>NA</v>
      </c>
      <c r="J1098" s="107" t="str">
        <f>IFERROR(VLOOKUP(H1098,LUTs!$A$1:$C$73,3,FALSE),"NA")</f>
        <v>2Central Puget Sound</v>
      </c>
      <c r="K1098" s="107" t="s">
        <v>18</v>
      </c>
      <c r="L1098" s="107" t="str">
        <f>VLOOKUP(K1098,LUTs!E$2:G$14,3,)</f>
        <v>06King</v>
      </c>
      <c r="M1098" s="107" t="str">
        <f>VLOOKUP($K1098,LUTs!$E$2:$H$14,2,)</f>
        <v>South Puget Sound</v>
      </c>
      <c r="N1098" s="107" t="str">
        <f>VLOOKUP($K1098,LUTs!$E$2:$H$14,4,)</f>
        <v>02South Puget Sound</v>
      </c>
      <c r="O1098" s="107">
        <v>846.07346128391805</v>
      </c>
      <c r="P1098" s="107">
        <v>1543.11576439444</v>
      </c>
      <c r="Q1098" s="107">
        <f t="shared" si="103"/>
        <v>846.07346128391805</v>
      </c>
      <c r="R1098" s="107">
        <f t="shared" si="104"/>
        <v>1543.11576439444</v>
      </c>
      <c r="S1098" s="140" t="str">
        <f t="shared" si="105"/>
        <v>Y</v>
      </c>
      <c r="T1098" s="154">
        <f t="shared" si="106"/>
        <v>1.8238555338359852</v>
      </c>
      <c r="U1098" s="154">
        <f t="shared" si="107"/>
        <v>1.8238555338359852</v>
      </c>
    </row>
    <row r="1099" spans="1:21" x14ac:dyDescent="0.35">
      <c r="A1099" s="107">
        <v>1435</v>
      </c>
      <c r="B1099" s="107">
        <v>2015</v>
      </c>
      <c r="C1099" s="107" t="s">
        <v>9</v>
      </c>
      <c r="D1099" s="107" t="s">
        <v>132</v>
      </c>
      <c r="E1099" s="107" t="s">
        <v>10</v>
      </c>
      <c r="F1099" s="115" t="s">
        <v>304</v>
      </c>
      <c r="G1099" s="107" t="s">
        <v>31</v>
      </c>
      <c r="H1099" s="107" t="str">
        <f t="shared" si="102"/>
        <v>Area 8-1: Skagit Bay-Saratoga Psg.</v>
      </c>
      <c r="I1099" s="107" t="str">
        <f>IFERROR(VLOOKUP(H1099,LUTs!$A$1:$C$73,2,FALSE),"NA")</f>
        <v>NA</v>
      </c>
      <c r="J1099" s="107" t="str">
        <f>IFERROR(VLOOKUP(H1099,LUTs!$A$1:$C$73,3,FALSE),"NA")</f>
        <v>2Central Puget Sound</v>
      </c>
      <c r="K1099" s="107" t="s">
        <v>23</v>
      </c>
      <c r="L1099" s="107" t="str">
        <f>VLOOKUP(K1099,LUTs!E$2:G$14,3,)</f>
        <v>10Kitsap</v>
      </c>
      <c r="M1099" s="107" t="str">
        <f>VLOOKUP($K1099,LUTs!$E$2:$H$14,2,)</f>
        <v>South Puget Sound</v>
      </c>
      <c r="N1099" s="107" t="str">
        <f>VLOOKUP($K1099,LUTs!$E$2:$H$14,4,)</f>
        <v>02South Puget Sound</v>
      </c>
      <c r="O1099" s="107">
        <v>85.3183322303111</v>
      </c>
      <c r="P1099" s="107">
        <v>155.60831237591</v>
      </c>
      <c r="Q1099" s="107">
        <f t="shared" si="103"/>
        <v>85.3183322303111</v>
      </c>
      <c r="R1099" s="107">
        <f t="shared" si="104"/>
        <v>155.60831237591</v>
      </c>
      <c r="S1099" s="140" t="str">
        <f t="shared" si="105"/>
        <v>Y</v>
      </c>
      <c r="T1099" s="154">
        <f t="shared" si="106"/>
        <v>1.8238555338359854</v>
      </c>
      <c r="U1099" s="154">
        <f t="shared" si="107"/>
        <v>1.8238555338359854</v>
      </c>
    </row>
    <row r="1100" spans="1:21" x14ac:dyDescent="0.35">
      <c r="A1100" s="107">
        <v>1437</v>
      </c>
      <c r="B1100" s="107">
        <v>2015</v>
      </c>
      <c r="C1100" s="107" t="s">
        <v>9</v>
      </c>
      <c r="D1100" s="107" t="s">
        <v>132</v>
      </c>
      <c r="E1100" s="107" t="s">
        <v>10</v>
      </c>
      <c r="F1100" s="115" t="s">
        <v>304</v>
      </c>
      <c r="G1100" s="107" t="s">
        <v>31</v>
      </c>
      <c r="H1100" s="107" t="str">
        <f t="shared" si="102"/>
        <v>Area 8-1: Skagit Bay-Saratoga Psg.</v>
      </c>
      <c r="I1100" s="107" t="str">
        <f>IFERROR(VLOOKUP(H1100,LUTs!$A$1:$C$73,2,FALSE),"NA")</f>
        <v>NA</v>
      </c>
      <c r="J1100" s="107" t="str">
        <f>IFERROR(VLOOKUP(H1100,LUTs!$A$1:$C$73,3,FALSE),"NA")</f>
        <v>2Central Puget Sound</v>
      </c>
      <c r="K1100" s="107" t="s">
        <v>26</v>
      </c>
      <c r="L1100" s="107" t="str">
        <f>VLOOKUP(K1100,LUTs!E$2:G$14,3,)</f>
        <v>20Other</v>
      </c>
      <c r="M1100" s="107" t="str">
        <f>VLOOKUP($K1100,LUTs!$E$2:$H$14,2,)</f>
        <v>Non Puget Sound</v>
      </c>
      <c r="N1100" s="107" t="str">
        <f>VLOOKUP($K1100,LUTs!$E$2:$H$14,4,)</f>
        <v>07Non Puget Sound</v>
      </c>
      <c r="O1100" s="107">
        <v>1827.2342819324999</v>
      </c>
      <c r="P1100" s="107">
        <v>3332.6113567174102</v>
      </c>
      <c r="Q1100" s="107">
        <f t="shared" si="103"/>
        <v>1827.2342819324999</v>
      </c>
      <c r="R1100" s="107">
        <f t="shared" si="104"/>
        <v>3332.6113567174102</v>
      </c>
      <c r="S1100" s="140" t="str">
        <f t="shared" si="105"/>
        <v>Y</v>
      </c>
      <c r="T1100" s="154">
        <f t="shared" si="106"/>
        <v>1.8238555338359839</v>
      </c>
      <c r="U1100" s="154">
        <f t="shared" si="107"/>
        <v>1.8238555338359839</v>
      </c>
    </row>
    <row r="1101" spans="1:21" x14ac:dyDescent="0.35">
      <c r="A1101" s="107">
        <v>1297</v>
      </c>
      <c r="B1101" s="107">
        <v>2015</v>
      </c>
      <c r="C1101" s="107" t="s">
        <v>9</v>
      </c>
      <c r="D1101" s="107" t="s">
        <v>132</v>
      </c>
      <c r="E1101" s="107" t="s">
        <v>10</v>
      </c>
      <c r="F1101" s="115" t="s">
        <v>304</v>
      </c>
      <c r="G1101" s="107" t="s">
        <v>31</v>
      </c>
      <c r="H1101" s="107" t="str">
        <f t="shared" si="102"/>
        <v>Area 8-1: Skagit Bay-Saratoga Psg.</v>
      </c>
      <c r="I1101" s="107" t="str">
        <f>IFERROR(VLOOKUP(H1101,LUTs!$A$1:$C$73,2,FALSE),"NA")</f>
        <v>NA</v>
      </c>
      <c r="J1101" s="107" t="str">
        <f>IFERROR(VLOOKUP(H1101,LUTs!$A$1:$C$73,3,FALSE),"NA")</f>
        <v>2Central Puget Sound</v>
      </c>
      <c r="K1101" s="107" t="s">
        <v>20</v>
      </c>
      <c r="L1101" s="107" t="str">
        <f>VLOOKUP(K1101,LUTs!E$2:G$14,3,)</f>
        <v>07Pierce</v>
      </c>
      <c r="M1101" s="107" t="str">
        <f>VLOOKUP($K1101,LUTs!$E$2:$H$14,2,)</f>
        <v>South Puget Sound</v>
      </c>
      <c r="N1101" s="107" t="str">
        <f>VLOOKUP($K1101,LUTs!$E$2:$H$14,4,)</f>
        <v>02South Puget Sound</v>
      </c>
      <c r="O1101" s="107">
        <v>92.428193249503707</v>
      </c>
      <c r="P1101" s="107">
        <v>168.57567174056899</v>
      </c>
      <c r="Q1101" s="107">
        <f t="shared" si="103"/>
        <v>92.428193249503707</v>
      </c>
      <c r="R1101" s="107">
        <f t="shared" si="104"/>
        <v>168.57567174056899</v>
      </c>
      <c r="S1101" s="140" t="str">
        <f t="shared" si="105"/>
        <v>Y</v>
      </c>
      <c r="T1101" s="154">
        <f t="shared" si="106"/>
        <v>1.8238555338359832</v>
      </c>
      <c r="U1101" s="154">
        <f t="shared" si="107"/>
        <v>1.8238555338359832</v>
      </c>
    </row>
    <row r="1102" spans="1:21" x14ac:dyDescent="0.35">
      <c r="A1102" s="107">
        <v>1293</v>
      </c>
      <c r="B1102" s="107">
        <v>2015</v>
      </c>
      <c r="C1102" s="107" t="s">
        <v>9</v>
      </c>
      <c r="D1102" s="107" t="s">
        <v>132</v>
      </c>
      <c r="E1102" s="107" t="s">
        <v>10</v>
      </c>
      <c r="F1102" s="115" t="s">
        <v>304</v>
      </c>
      <c r="G1102" s="107" t="s">
        <v>31</v>
      </c>
      <c r="H1102" s="107" t="str">
        <f t="shared" si="102"/>
        <v>Area 8-1: Skagit Bay-Saratoga Psg.</v>
      </c>
      <c r="I1102" s="107" t="str">
        <f>IFERROR(VLOOKUP(H1102,LUTs!$A$1:$C$73,2,FALSE),"NA")</f>
        <v>NA</v>
      </c>
      <c r="J1102" s="107" t="str">
        <f>IFERROR(VLOOKUP(H1102,LUTs!$A$1:$C$73,3,FALSE),"NA")</f>
        <v>2Central Puget Sound</v>
      </c>
      <c r="K1102" s="107" t="s">
        <v>15</v>
      </c>
      <c r="L1102" s="107" t="str">
        <f>VLOOKUP(K1102,LUTs!E$2:G$14,3,)</f>
        <v>02Skagit</v>
      </c>
      <c r="M1102" s="107" t="str">
        <f>VLOOKUP($K1102,LUTs!$E$2:$H$14,2,)</f>
        <v>North Puget Sound</v>
      </c>
      <c r="N1102" s="107" t="str">
        <f>VLOOKUP($K1102,LUTs!$E$2:$H$14,4,)</f>
        <v>01North Puget Sound</v>
      </c>
      <c r="O1102" s="107">
        <v>2310.70483123759</v>
      </c>
      <c r="P1102" s="107">
        <v>4214.3917935142299</v>
      </c>
      <c r="Q1102" s="107">
        <f t="shared" si="103"/>
        <v>2310.70483123759</v>
      </c>
      <c r="R1102" s="107">
        <f t="shared" si="104"/>
        <v>4214.3917935142299</v>
      </c>
      <c r="S1102" s="140" t="str">
        <f t="shared" si="105"/>
        <v>Y</v>
      </c>
      <c r="T1102" s="154">
        <f t="shared" si="106"/>
        <v>1.8238555338359874</v>
      </c>
      <c r="U1102" s="154">
        <f t="shared" si="107"/>
        <v>1.8238555338359874</v>
      </c>
    </row>
    <row r="1103" spans="1:21" x14ac:dyDescent="0.35">
      <c r="A1103" s="107">
        <v>1294</v>
      </c>
      <c r="B1103" s="107">
        <v>2015</v>
      </c>
      <c r="C1103" s="107" t="s">
        <v>9</v>
      </c>
      <c r="D1103" s="107" t="s">
        <v>132</v>
      </c>
      <c r="E1103" s="107" t="s">
        <v>10</v>
      </c>
      <c r="F1103" s="115" t="s">
        <v>304</v>
      </c>
      <c r="G1103" s="107" t="s">
        <v>31</v>
      </c>
      <c r="H1103" s="107" t="str">
        <f t="shared" si="102"/>
        <v>Area 8-1: Skagit Bay-Saratoga Psg.</v>
      </c>
      <c r="I1103" s="107" t="str">
        <f>IFERROR(VLOOKUP(H1103,LUTs!$A$1:$C$73,2,FALSE),"NA")</f>
        <v>NA</v>
      </c>
      <c r="J1103" s="107" t="str">
        <f>IFERROR(VLOOKUP(H1103,LUTs!$A$1:$C$73,3,FALSE),"NA")</f>
        <v>2Central Puget Sound</v>
      </c>
      <c r="K1103" s="107" t="s">
        <v>16</v>
      </c>
      <c r="L1103" s="107" t="str">
        <f>VLOOKUP(K1103,LUTs!E$2:G$14,3,)</f>
        <v>03Snohomish</v>
      </c>
      <c r="M1103" s="107" t="str">
        <f>VLOOKUP($K1103,LUTs!$E$2:$H$14,2,)</f>
        <v>North Puget Sound</v>
      </c>
      <c r="N1103" s="107" t="str">
        <f>VLOOKUP($K1103,LUTs!$E$2:$H$14,4,)</f>
        <v>01North Puget Sound</v>
      </c>
      <c r="O1103" s="107">
        <v>1244.2256783587</v>
      </c>
      <c r="P1103" s="107">
        <v>2269.28788881536</v>
      </c>
      <c r="Q1103" s="107">
        <f t="shared" si="103"/>
        <v>1244.2256783587</v>
      </c>
      <c r="R1103" s="107">
        <f t="shared" si="104"/>
        <v>2269.28788881536</v>
      </c>
      <c r="S1103" s="140" t="str">
        <f t="shared" si="105"/>
        <v>Y</v>
      </c>
      <c r="T1103" s="154">
        <f t="shared" si="106"/>
        <v>1.8238555338359952</v>
      </c>
      <c r="U1103" s="154">
        <f t="shared" si="107"/>
        <v>1.8238555338359952</v>
      </c>
    </row>
    <row r="1104" spans="1:21" x14ac:dyDescent="0.35">
      <c r="A1104" s="107">
        <v>1298</v>
      </c>
      <c r="B1104" s="107">
        <v>2015</v>
      </c>
      <c r="C1104" s="107" t="s">
        <v>9</v>
      </c>
      <c r="D1104" s="107" t="s">
        <v>132</v>
      </c>
      <c r="E1104" s="107" t="s">
        <v>10</v>
      </c>
      <c r="F1104" s="115" t="s">
        <v>304</v>
      </c>
      <c r="G1104" s="107" t="s">
        <v>31</v>
      </c>
      <c r="H1104" s="107" t="str">
        <f t="shared" si="102"/>
        <v>Area 8-1: Skagit Bay-Saratoga Psg.</v>
      </c>
      <c r="I1104" s="107" t="str">
        <f>IFERROR(VLOOKUP(H1104,LUTs!$A$1:$C$73,2,FALSE),"NA")</f>
        <v>NA</v>
      </c>
      <c r="J1104" s="107" t="str">
        <f>IFERROR(VLOOKUP(H1104,LUTs!$A$1:$C$73,3,FALSE),"NA")</f>
        <v>2Central Puget Sound</v>
      </c>
      <c r="K1104" s="107" t="s">
        <v>21</v>
      </c>
      <c r="L1104" s="107" t="str">
        <f>VLOOKUP(K1104,LUTs!E$2:G$14,3,)</f>
        <v>08Thurston</v>
      </c>
      <c r="M1104" s="107" t="str">
        <f>VLOOKUP($K1104,LUTs!$E$2:$H$14,2,)</f>
        <v>South Puget Sound</v>
      </c>
      <c r="N1104" s="107" t="str">
        <f>VLOOKUP($K1104,LUTs!$E$2:$H$14,4,)</f>
        <v>02South Puget Sound</v>
      </c>
      <c r="O1104" s="107">
        <v>7.1098610191925902</v>
      </c>
      <c r="P1104" s="107">
        <v>12.967359364659201</v>
      </c>
      <c r="Q1104" s="107">
        <f t="shared" si="103"/>
        <v>7.1098610191925902</v>
      </c>
      <c r="R1104" s="107">
        <f t="shared" si="104"/>
        <v>12.967359364659201</v>
      </c>
      <c r="S1104" s="140" t="str">
        <f t="shared" si="105"/>
        <v>Y</v>
      </c>
      <c r="T1104" s="154">
        <f t="shared" si="106"/>
        <v>1.8238555338359905</v>
      </c>
      <c r="U1104" s="154">
        <f t="shared" si="107"/>
        <v>1.8238555338359905</v>
      </c>
    </row>
    <row r="1105" spans="1:21" x14ac:dyDescent="0.35">
      <c r="A1105" s="107">
        <v>1292</v>
      </c>
      <c r="B1105" s="107">
        <v>2015</v>
      </c>
      <c r="C1105" s="107" t="s">
        <v>9</v>
      </c>
      <c r="D1105" s="107" t="s">
        <v>132</v>
      </c>
      <c r="E1105" s="107" t="s">
        <v>10</v>
      </c>
      <c r="F1105" s="115" t="s">
        <v>304</v>
      </c>
      <c r="G1105" s="107" t="s">
        <v>31</v>
      </c>
      <c r="H1105" s="107" t="str">
        <f t="shared" si="102"/>
        <v>Area 8-1: Skagit Bay-Saratoga Psg.</v>
      </c>
      <c r="I1105" s="107" t="str">
        <f>IFERROR(VLOOKUP(H1105,LUTs!$A$1:$C$73,2,FALSE),"NA")</f>
        <v>NA</v>
      </c>
      <c r="J1105" s="107" t="str">
        <f>IFERROR(VLOOKUP(H1105,LUTs!$A$1:$C$73,3,FALSE),"NA")</f>
        <v>2Central Puget Sound</v>
      </c>
      <c r="K1105" s="107" t="s">
        <v>13</v>
      </c>
      <c r="L1105" s="107" t="str">
        <f>VLOOKUP(K1105,LUTs!E$2:G$14,3,)</f>
        <v>01Whatcom</v>
      </c>
      <c r="M1105" s="107" t="str">
        <f>VLOOKUP($K1105,LUTs!$E$2:$H$14,2,)</f>
        <v>North Puget Sound</v>
      </c>
      <c r="N1105" s="107" t="str">
        <f>VLOOKUP($K1105,LUTs!$E$2:$H$14,4,)</f>
        <v>01North Puget Sound</v>
      </c>
      <c r="O1105" s="107">
        <v>469.25082726671098</v>
      </c>
      <c r="P1105" s="107">
        <v>855.845718067505</v>
      </c>
      <c r="Q1105" s="107">
        <f t="shared" si="103"/>
        <v>469.25082726671098</v>
      </c>
      <c r="R1105" s="107">
        <f t="shared" si="104"/>
        <v>855.845718067505</v>
      </c>
      <c r="S1105" s="140" t="str">
        <f t="shared" si="105"/>
        <v>Y</v>
      </c>
      <c r="T1105" s="154">
        <f t="shared" si="106"/>
        <v>1.8238555338359856</v>
      </c>
      <c r="U1105" s="154">
        <f t="shared" si="107"/>
        <v>1.8238555338359856</v>
      </c>
    </row>
    <row r="1106" spans="1:21" x14ac:dyDescent="0.35">
      <c r="A1106" s="107">
        <v>1954</v>
      </c>
      <c r="B1106" s="107">
        <v>2016</v>
      </c>
      <c r="C1106" s="107" t="s">
        <v>9</v>
      </c>
      <c r="D1106" s="107" t="s">
        <v>132</v>
      </c>
      <c r="E1106" s="107" t="s">
        <v>10</v>
      </c>
      <c r="F1106" s="115" t="s">
        <v>304</v>
      </c>
      <c r="G1106" s="107" t="s">
        <v>31</v>
      </c>
      <c r="H1106" s="107" t="str">
        <f t="shared" si="102"/>
        <v>Area 8-1: Skagit Bay-Saratoga Psg.</v>
      </c>
      <c r="I1106" s="107" t="str">
        <f>IFERROR(VLOOKUP(H1106,LUTs!$A$1:$C$73,2,FALSE),"NA")</f>
        <v>NA</v>
      </c>
      <c r="J1106" s="107" t="str">
        <f>IFERROR(VLOOKUP(H1106,LUTs!$A$1:$C$73,3,FALSE),"NA")</f>
        <v>2Central Puget Sound</v>
      </c>
      <c r="K1106" s="107" t="s">
        <v>17</v>
      </c>
      <c r="L1106" s="107" t="str">
        <f>VLOOKUP(K1106,LUTs!E$2:G$14,3,)</f>
        <v>04Island</v>
      </c>
      <c r="M1106" s="107" t="str">
        <f>VLOOKUP($K1106,LUTs!$E$2:$H$14,2,)</f>
        <v>North Puget Sound</v>
      </c>
      <c r="N1106" s="107" t="str">
        <f>VLOOKUP($K1106,LUTs!$E$2:$H$14,4,)</f>
        <v>01North Puget Sound</v>
      </c>
      <c r="O1106" s="107">
        <v>206.8</v>
      </c>
      <c r="P1106" s="107">
        <v>1011.644</v>
      </c>
      <c r="Q1106" s="107">
        <f t="shared" si="103"/>
        <v>206.8</v>
      </c>
      <c r="R1106" s="107">
        <f t="shared" si="104"/>
        <v>1011.644</v>
      </c>
      <c r="S1106" s="140" t="str">
        <f t="shared" si="105"/>
        <v>Y</v>
      </c>
      <c r="T1106" s="154">
        <f t="shared" si="106"/>
        <v>4.8918955512572531</v>
      </c>
      <c r="U1106" s="154">
        <f t="shared" si="107"/>
        <v>4.8918955512572531</v>
      </c>
    </row>
    <row r="1107" spans="1:21" x14ac:dyDescent="0.35">
      <c r="A1107" s="107">
        <v>1955</v>
      </c>
      <c r="B1107" s="107">
        <v>2016</v>
      </c>
      <c r="C1107" s="107" t="s">
        <v>9</v>
      </c>
      <c r="D1107" s="107" t="s">
        <v>132</v>
      </c>
      <c r="E1107" s="107" t="s">
        <v>10</v>
      </c>
      <c r="F1107" s="115" t="s">
        <v>304</v>
      </c>
      <c r="G1107" s="107" t="s">
        <v>31</v>
      </c>
      <c r="H1107" s="107" t="str">
        <f t="shared" si="102"/>
        <v>Area 8-1: Skagit Bay-Saratoga Psg.</v>
      </c>
      <c r="I1107" s="107" t="str">
        <f>IFERROR(VLOOKUP(H1107,LUTs!$A$1:$C$73,2,FALSE),"NA")</f>
        <v>NA</v>
      </c>
      <c r="J1107" s="107" t="str">
        <f>IFERROR(VLOOKUP(H1107,LUTs!$A$1:$C$73,3,FALSE),"NA")</f>
        <v>2Central Puget Sound</v>
      </c>
      <c r="K1107" s="107" t="s">
        <v>18</v>
      </c>
      <c r="L1107" s="107" t="str">
        <f>VLOOKUP(K1107,LUTs!E$2:G$14,3,)</f>
        <v>06King</v>
      </c>
      <c r="M1107" s="107" t="str">
        <f>VLOOKUP($K1107,LUTs!$E$2:$H$14,2,)</f>
        <v>South Puget Sound</v>
      </c>
      <c r="N1107" s="107" t="str">
        <f>VLOOKUP($K1107,LUTs!$E$2:$H$14,4,)</f>
        <v>02South Puget Sound</v>
      </c>
      <c r="O1107" s="107">
        <v>9.4</v>
      </c>
      <c r="P1107" s="107">
        <v>45.983818181818201</v>
      </c>
      <c r="Q1107" s="107">
        <f t="shared" si="103"/>
        <v>9.4</v>
      </c>
      <c r="R1107" s="107">
        <f t="shared" si="104"/>
        <v>45.983818181818201</v>
      </c>
      <c r="S1107" s="140" t="str">
        <f t="shared" si="105"/>
        <v>Y</v>
      </c>
      <c r="T1107" s="154">
        <f t="shared" si="106"/>
        <v>4.8918955512572548</v>
      </c>
      <c r="U1107" s="154">
        <f t="shared" si="107"/>
        <v>4.8918955512572548</v>
      </c>
    </row>
    <row r="1108" spans="1:21" x14ac:dyDescent="0.35">
      <c r="A1108" s="107">
        <v>1957</v>
      </c>
      <c r="B1108" s="107">
        <v>2016</v>
      </c>
      <c r="C1108" s="107" t="s">
        <v>9</v>
      </c>
      <c r="D1108" s="107" t="s">
        <v>132</v>
      </c>
      <c r="E1108" s="107" t="s">
        <v>10</v>
      </c>
      <c r="F1108" s="115" t="s">
        <v>304</v>
      </c>
      <c r="G1108" s="107" t="s">
        <v>31</v>
      </c>
      <c r="H1108" s="107" t="str">
        <f t="shared" si="102"/>
        <v>Area 8-1: Skagit Bay-Saratoga Psg.</v>
      </c>
      <c r="I1108" s="107" t="str">
        <f>IFERROR(VLOOKUP(H1108,LUTs!$A$1:$C$73,2,FALSE),"NA")</f>
        <v>NA</v>
      </c>
      <c r="J1108" s="107" t="str">
        <f>IFERROR(VLOOKUP(H1108,LUTs!$A$1:$C$73,3,FALSE),"NA")</f>
        <v>2Central Puget Sound</v>
      </c>
      <c r="K1108" s="107" t="s">
        <v>26</v>
      </c>
      <c r="L1108" s="107" t="str">
        <f>VLOOKUP(K1108,LUTs!E$2:G$14,3,)</f>
        <v>20Other</v>
      </c>
      <c r="M1108" s="107" t="str">
        <f>VLOOKUP($K1108,LUTs!$E$2:$H$14,2,)</f>
        <v>Non Puget Sound</v>
      </c>
      <c r="N1108" s="107" t="str">
        <f>VLOOKUP($K1108,LUTs!$E$2:$H$14,4,)</f>
        <v>07Non Puget Sound</v>
      </c>
      <c r="O1108" s="107">
        <v>9.4</v>
      </c>
      <c r="P1108" s="107">
        <v>45.983818181818201</v>
      </c>
      <c r="Q1108" s="107">
        <f t="shared" si="103"/>
        <v>9.4</v>
      </c>
      <c r="R1108" s="107">
        <f t="shared" si="104"/>
        <v>45.983818181818201</v>
      </c>
      <c r="S1108" s="140" t="str">
        <f t="shared" si="105"/>
        <v>Y</v>
      </c>
      <c r="T1108" s="154">
        <f t="shared" si="106"/>
        <v>4.8918955512572548</v>
      </c>
      <c r="U1108" s="154">
        <f t="shared" si="107"/>
        <v>4.8918955512572548</v>
      </c>
    </row>
    <row r="1109" spans="1:21" x14ac:dyDescent="0.35">
      <c r="A1109" s="107">
        <v>1956</v>
      </c>
      <c r="B1109" s="107">
        <v>2016</v>
      </c>
      <c r="C1109" s="107" t="s">
        <v>9</v>
      </c>
      <c r="D1109" s="107" t="s">
        <v>132</v>
      </c>
      <c r="E1109" s="107" t="s">
        <v>10</v>
      </c>
      <c r="F1109" s="115" t="s">
        <v>304</v>
      </c>
      <c r="G1109" s="107" t="s">
        <v>31</v>
      </c>
      <c r="H1109" s="107" t="str">
        <f t="shared" si="102"/>
        <v>Area 8-1: Skagit Bay-Saratoga Psg.</v>
      </c>
      <c r="I1109" s="107" t="str">
        <f>IFERROR(VLOOKUP(H1109,LUTs!$A$1:$C$73,2,FALSE),"NA")</f>
        <v>NA</v>
      </c>
      <c r="J1109" s="107" t="str">
        <f>IFERROR(VLOOKUP(H1109,LUTs!$A$1:$C$73,3,FALSE),"NA")</f>
        <v>2Central Puget Sound</v>
      </c>
      <c r="K1109" s="107" t="s">
        <v>20</v>
      </c>
      <c r="L1109" s="107" t="str">
        <f>VLOOKUP(K1109,LUTs!E$2:G$14,3,)</f>
        <v>07Pierce</v>
      </c>
      <c r="M1109" s="107" t="str">
        <f>VLOOKUP($K1109,LUTs!$E$2:$H$14,2,)</f>
        <v>South Puget Sound</v>
      </c>
      <c r="N1109" s="107" t="str">
        <f>VLOOKUP($K1109,LUTs!$E$2:$H$14,4,)</f>
        <v>02South Puget Sound</v>
      </c>
      <c r="O1109" s="107">
        <v>18.8</v>
      </c>
      <c r="P1109" s="107">
        <v>91.967636363636402</v>
      </c>
      <c r="Q1109" s="107">
        <f t="shared" si="103"/>
        <v>18.8</v>
      </c>
      <c r="R1109" s="107">
        <f t="shared" si="104"/>
        <v>91.967636363636402</v>
      </c>
      <c r="S1109" s="140" t="str">
        <f t="shared" si="105"/>
        <v>Y</v>
      </c>
      <c r="T1109" s="154">
        <f t="shared" si="106"/>
        <v>4.8918955512572548</v>
      </c>
      <c r="U1109" s="154">
        <f t="shared" si="107"/>
        <v>4.8918955512572548</v>
      </c>
    </row>
    <row r="1110" spans="1:21" x14ac:dyDescent="0.35">
      <c r="A1110" s="107">
        <v>1952</v>
      </c>
      <c r="B1110" s="107">
        <v>2016</v>
      </c>
      <c r="C1110" s="107" t="s">
        <v>9</v>
      </c>
      <c r="D1110" s="107" t="s">
        <v>132</v>
      </c>
      <c r="E1110" s="107" t="s">
        <v>10</v>
      </c>
      <c r="F1110" s="115" t="s">
        <v>304</v>
      </c>
      <c r="G1110" s="107" t="s">
        <v>31</v>
      </c>
      <c r="H1110" s="107" t="str">
        <f t="shared" si="102"/>
        <v>Area 8-1: Skagit Bay-Saratoga Psg.</v>
      </c>
      <c r="I1110" s="107" t="str">
        <f>IFERROR(VLOOKUP(H1110,LUTs!$A$1:$C$73,2,FALSE),"NA")</f>
        <v>NA</v>
      </c>
      <c r="J1110" s="107" t="str">
        <f>IFERROR(VLOOKUP(H1110,LUTs!$A$1:$C$73,3,FALSE),"NA")</f>
        <v>2Central Puget Sound</v>
      </c>
      <c r="K1110" s="107" t="s">
        <v>15</v>
      </c>
      <c r="L1110" s="107" t="str">
        <f>VLOOKUP(K1110,LUTs!E$2:G$14,3,)</f>
        <v>02Skagit</v>
      </c>
      <c r="M1110" s="107" t="str">
        <f>VLOOKUP($K1110,LUTs!$E$2:$H$14,2,)</f>
        <v>North Puget Sound</v>
      </c>
      <c r="N1110" s="107" t="str">
        <f>VLOOKUP($K1110,LUTs!$E$2:$H$14,4,)</f>
        <v>01North Puget Sound</v>
      </c>
      <c r="O1110" s="107">
        <v>103.4</v>
      </c>
      <c r="P1110" s="107">
        <v>505.822</v>
      </c>
      <c r="Q1110" s="107">
        <f t="shared" si="103"/>
        <v>103.4</v>
      </c>
      <c r="R1110" s="107">
        <f t="shared" si="104"/>
        <v>505.822</v>
      </c>
      <c r="S1110" s="140" t="str">
        <f t="shared" si="105"/>
        <v>Y</v>
      </c>
      <c r="T1110" s="154">
        <f t="shared" si="106"/>
        <v>4.8918955512572531</v>
      </c>
      <c r="U1110" s="154">
        <f t="shared" si="107"/>
        <v>4.8918955512572531</v>
      </c>
    </row>
    <row r="1111" spans="1:21" x14ac:dyDescent="0.35">
      <c r="A1111" s="107">
        <v>1953</v>
      </c>
      <c r="B1111" s="107">
        <v>2016</v>
      </c>
      <c r="C1111" s="107" t="s">
        <v>9</v>
      </c>
      <c r="D1111" s="107" t="s">
        <v>132</v>
      </c>
      <c r="E1111" s="107" t="s">
        <v>10</v>
      </c>
      <c r="F1111" s="115" t="s">
        <v>304</v>
      </c>
      <c r="G1111" s="107" t="s">
        <v>31</v>
      </c>
      <c r="H1111" s="107" t="str">
        <f t="shared" si="102"/>
        <v>Area 8-1: Skagit Bay-Saratoga Psg.</v>
      </c>
      <c r="I1111" s="107" t="str">
        <f>IFERROR(VLOOKUP(H1111,LUTs!$A$1:$C$73,2,FALSE),"NA")</f>
        <v>NA</v>
      </c>
      <c r="J1111" s="107" t="str">
        <f>IFERROR(VLOOKUP(H1111,LUTs!$A$1:$C$73,3,FALSE),"NA")</f>
        <v>2Central Puget Sound</v>
      </c>
      <c r="K1111" s="107" t="s">
        <v>16</v>
      </c>
      <c r="L1111" s="107" t="str">
        <f>VLOOKUP(K1111,LUTs!E$2:G$14,3,)</f>
        <v>03Snohomish</v>
      </c>
      <c r="M1111" s="107" t="str">
        <f>VLOOKUP($K1111,LUTs!$E$2:$H$14,2,)</f>
        <v>North Puget Sound</v>
      </c>
      <c r="N1111" s="107" t="str">
        <f>VLOOKUP($K1111,LUTs!$E$2:$H$14,4,)</f>
        <v>01North Puget Sound</v>
      </c>
      <c r="O1111" s="107">
        <v>169.2</v>
      </c>
      <c r="P1111" s="107">
        <v>827.70872727272695</v>
      </c>
      <c r="Q1111" s="107">
        <f t="shared" si="103"/>
        <v>169.2</v>
      </c>
      <c r="R1111" s="107">
        <f t="shared" si="104"/>
        <v>827.70872727272695</v>
      </c>
      <c r="S1111" s="140" t="str">
        <f t="shared" si="105"/>
        <v>Y</v>
      </c>
      <c r="T1111" s="154">
        <f t="shared" si="106"/>
        <v>4.8918955512572522</v>
      </c>
      <c r="U1111" s="154">
        <f t="shared" si="107"/>
        <v>4.8918955512572522</v>
      </c>
    </row>
    <row r="1112" spans="1:21" x14ac:dyDescent="0.35">
      <c r="A1112" s="107">
        <v>2453</v>
      </c>
      <c r="B1112" s="107">
        <v>2017</v>
      </c>
      <c r="C1112" s="107" t="s">
        <v>9</v>
      </c>
      <c r="D1112" s="107" t="s">
        <v>132</v>
      </c>
      <c r="E1112" s="107" t="s">
        <v>10</v>
      </c>
      <c r="F1112" s="115" t="s">
        <v>304</v>
      </c>
      <c r="G1112" s="107" t="s">
        <v>31</v>
      </c>
      <c r="H1112" s="107" t="str">
        <f t="shared" si="102"/>
        <v>Area 8-1: Skagit Bay-Saratoga Psg.</v>
      </c>
      <c r="I1112" s="107" t="str">
        <f>IFERROR(VLOOKUP(H1112,LUTs!$A$1:$C$73,2,FALSE),"NA")</f>
        <v>NA</v>
      </c>
      <c r="J1112" s="107" t="str">
        <f>IFERROR(VLOOKUP(H1112,LUTs!$A$1:$C$73,3,FALSE),"NA")</f>
        <v>2Central Puget Sound</v>
      </c>
      <c r="K1112" s="107" t="s">
        <v>17</v>
      </c>
      <c r="L1112" s="107" t="str">
        <f>VLOOKUP(K1112,LUTs!E$2:G$14,3,)</f>
        <v>04Island</v>
      </c>
      <c r="M1112" s="107" t="str">
        <f>VLOOKUP($K1112,LUTs!$E$2:$H$14,2,)</f>
        <v>North Puget Sound</v>
      </c>
      <c r="N1112" s="107" t="str">
        <f>VLOOKUP($K1112,LUTs!$E$2:$H$14,4,)</f>
        <v>01North Puget Sound</v>
      </c>
      <c r="O1112" s="107">
        <v>268.07407407407402</v>
      </c>
      <c r="P1112" s="107">
        <v>1285.3067844157799</v>
      </c>
      <c r="Q1112" s="107">
        <f t="shared" si="103"/>
        <v>268.07407407407402</v>
      </c>
      <c r="R1112" s="107">
        <f t="shared" si="104"/>
        <v>1285.3067844157799</v>
      </c>
      <c r="S1112" s="140" t="str">
        <f t="shared" si="105"/>
        <v>Y</v>
      </c>
      <c r="T1112" s="154">
        <f t="shared" si="106"/>
        <v>4.7945956312829603</v>
      </c>
      <c r="U1112" s="154">
        <f t="shared" si="107"/>
        <v>4.7945956312829603</v>
      </c>
    </row>
    <row r="1113" spans="1:21" x14ac:dyDescent="0.35">
      <c r="A1113" s="107">
        <v>2454</v>
      </c>
      <c r="B1113" s="107">
        <v>2017</v>
      </c>
      <c r="C1113" s="107" t="s">
        <v>9</v>
      </c>
      <c r="D1113" s="107" t="s">
        <v>132</v>
      </c>
      <c r="E1113" s="107" t="s">
        <v>10</v>
      </c>
      <c r="F1113" s="115" t="s">
        <v>304</v>
      </c>
      <c r="G1113" s="107" t="s">
        <v>31</v>
      </c>
      <c r="H1113" s="107" t="str">
        <f t="shared" si="102"/>
        <v>Area 8-1: Skagit Bay-Saratoga Psg.</v>
      </c>
      <c r="I1113" s="107" t="str">
        <f>IFERROR(VLOOKUP(H1113,LUTs!$A$1:$C$73,2,FALSE),"NA")</f>
        <v>NA</v>
      </c>
      <c r="J1113" s="107" t="str">
        <f>IFERROR(VLOOKUP(H1113,LUTs!$A$1:$C$73,3,FALSE),"NA")</f>
        <v>2Central Puget Sound</v>
      </c>
      <c r="K1113" s="107" t="s">
        <v>18</v>
      </c>
      <c r="L1113" s="107" t="str">
        <f>VLOOKUP(K1113,LUTs!E$2:G$14,3,)</f>
        <v>06King</v>
      </c>
      <c r="M1113" s="107" t="str">
        <f>VLOOKUP($K1113,LUTs!$E$2:$H$14,2,)</f>
        <v>South Puget Sound</v>
      </c>
      <c r="N1113" s="107" t="str">
        <f>VLOOKUP($K1113,LUTs!$E$2:$H$14,4,)</f>
        <v>02South Puget Sound</v>
      </c>
      <c r="O1113" s="107">
        <v>19.148148148148199</v>
      </c>
      <c r="P1113" s="107">
        <v>91.807627458269906</v>
      </c>
      <c r="Q1113" s="107">
        <f t="shared" si="103"/>
        <v>19.148148148148199</v>
      </c>
      <c r="R1113" s="107">
        <f t="shared" si="104"/>
        <v>91.807627458269906</v>
      </c>
      <c r="S1113" s="140" t="str">
        <f t="shared" si="105"/>
        <v>Y</v>
      </c>
      <c r="T1113" s="154">
        <f t="shared" si="106"/>
        <v>4.7945956312829416</v>
      </c>
      <c r="U1113" s="154">
        <f t="shared" si="107"/>
        <v>4.7945956312829416</v>
      </c>
    </row>
    <row r="1114" spans="1:21" x14ac:dyDescent="0.35">
      <c r="A1114" s="107">
        <v>2455</v>
      </c>
      <c r="B1114" s="107">
        <v>2017</v>
      </c>
      <c r="C1114" s="107" t="s">
        <v>9</v>
      </c>
      <c r="D1114" s="107" t="s">
        <v>132</v>
      </c>
      <c r="E1114" s="107" t="s">
        <v>10</v>
      </c>
      <c r="F1114" s="115" t="s">
        <v>304</v>
      </c>
      <c r="G1114" s="107" t="s">
        <v>31</v>
      </c>
      <c r="H1114" s="107" t="str">
        <f t="shared" si="102"/>
        <v>Area 8-1: Skagit Bay-Saratoga Psg.</v>
      </c>
      <c r="I1114" s="107" t="str">
        <f>IFERROR(VLOOKUP(H1114,LUTs!$A$1:$C$73,2,FALSE),"NA")</f>
        <v>NA</v>
      </c>
      <c r="J1114" s="107" t="str">
        <f>IFERROR(VLOOKUP(H1114,LUTs!$A$1:$C$73,3,FALSE),"NA")</f>
        <v>2Central Puget Sound</v>
      </c>
      <c r="K1114" s="107" t="s">
        <v>26</v>
      </c>
      <c r="L1114" s="107" t="str">
        <f>VLOOKUP(K1114,LUTs!E$2:G$14,3,)</f>
        <v>20Other</v>
      </c>
      <c r="M1114" s="107" t="str">
        <f>VLOOKUP($K1114,LUTs!$E$2:$H$14,2,)</f>
        <v>Non Puget Sound</v>
      </c>
      <c r="N1114" s="107" t="str">
        <f>VLOOKUP($K1114,LUTs!$E$2:$H$14,4,)</f>
        <v>07Non Puget Sound</v>
      </c>
      <c r="O1114" s="107">
        <v>19.148148148148199</v>
      </c>
      <c r="P1114" s="107">
        <v>91.807627458269906</v>
      </c>
      <c r="Q1114" s="107">
        <f t="shared" si="103"/>
        <v>19.148148148148199</v>
      </c>
      <c r="R1114" s="107">
        <f t="shared" si="104"/>
        <v>91.807627458269906</v>
      </c>
      <c r="S1114" s="140" t="str">
        <f t="shared" si="105"/>
        <v>Y</v>
      </c>
      <c r="T1114" s="154">
        <f t="shared" si="106"/>
        <v>4.7945956312829416</v>
      </c>
      <c r="U1114" s="154">
        <f t="shared" si="107"/>
        <v>4.7945956312829416</v>
      </c>
    </row>
    <row r="1115" spans="1:21" x14ac:dyDescent="0.35">
      <c r="A1115" s="107">
        <v>2349</v>
      </c>
      <c r="B1115" s="107">
        <v>2017</v>
      </c>
      <c r="C1115" s="107" t="s">
        <v>9</v>
      </c>
      <c r="D1115" s="107" t="s">
        <v>132</v>
      </c>
      <c r="E1115" s="107" t="s">
        <v>10</v>
      </c>
      <c r="F1115" s="115" t="s">
        <v>304</v>
      </c>
      <c r="G1115" s="107" t="s">
        <v>31</v>
      </c>
      <c r="H1115" s="107" t="str">
        <f t="shared" si="102"/>
        <v>Area 8-1: Skagit Bay-Saratoga Psg.</v>
      </c>
      <c r="I1115" s="107" t="str">
        <f>IFERROR(VLOOKUP(H1115,LUTs!$A$1:$C$73,2,FALSE),"NA")</f>
        <v>NA</v>
      </c>
      <c r="J1115" s="107" t="str">
        <f>IFERROR(VLOOKUP(H1115,LUTs!$A$1:$C$73,3,FALSE),"NA")</f>
        <v>2Central Puget Sound</v>
      </c>
      <c r="K1115" s="107" t="s">
        <v>15</v>
      </c>
      <c r="L1115" s="107" t="str">
        <f>VLOOKUP(K1115,LUTs!E$2:G$14,3,)</f>
        <v>02Skagit</v>
      </c>
      <c r="M1115" s="107" t="str">
        <f>VLOOKUP($K1115,LUTs!$E$2:$H$14,2,)</f>
        <v>North Puget Sound</v>
      </c>
      <c r="N1115" s="107" t="str">
        <f>VLOOKUP($K1115,LUTs!$E$2:$H$14,4,)</f>
        <v>01North Puget Sound</v>
      </c>
      <c r="O1115" s="107">
        <v>89.358024691357997</v>
      </c>
      <c r="P1115" s="107">
        <v>428.43559480526</v>
      </c>
      <c r="Q1115" s="107">
        <f t="shared" si="103"/>
        <v>89.358024691357997</v>
      </c>
      <c r="R1115" s="107">
        <f t="shared" si="104"/>
        <v>428.43559480526</v>
      </c>
      <c r="S1115" s="140" t="str">
        <f t="shared" si="105"/>
        <v>Y</v>
      </c>
      <c r="T1115" s="154">
        <f t="shared" si="106"/>
        <v>4.7945956312829612</v>
      </c>
      <c r="U1115" s="154">
        <f t="shared" si="107"/>
        <v>4.7945956312829612</v>
      </c>
    </row>
    <row r="1116" spans="1:21" x14ac:dyDescent="0.35">
      <c r="A1116" s="107">
        <v>2452</v>
      </c>
      <c r="B1116" s="107">
        <v>2017</v>
      </c>
      <c r="C1116" s="107" t="s">
        <v>9</v>
      </c>
      <c r="D1116" s="107" t="s">
        <v>132</v>
      </c>
      <c r="E1116" s="107" t="s">
        <v>10</v>
      </c>
      <c r="F1116" s="115" t="s">
        <v>304</v>
      </c>
      <c r="G1116" s="107" t="s">
        <v>31</v>
      </c>
      <c r="H1116" s="107" t="str">
        <f t="shared" si="102"/>
        <v>Area 8-1: Skagit Bay-Saratoga Psg.</v>
      </c>
      <c r="I1116" s="107" t="str">
        <f>IFERROR(VLOOKUP(H1116,LUTs!$A$1:$C$73,2,FALSE),"NA")</f>
        <v>NA</v>
      </c>
      <c r="J1116" s="107" t="str">
        <f>IFERROR(VLOOKUP(H1116,LUTs!$A$1:$C$73,3,FALSE),"NA")</f>
        <v>2Central Puget Sound</v>
      </c>
      <c r="K1116" s="107" t="s">
        <v>16</v>
      </c>
      <c r="L1116" s="107" t="str">
        <f>VLOOKUP(K1116,LUTs!E$2:G$14,3,)</f>
        <v>03Snohomish</v>
      </c>
      <c r="M1116" s="107" t="str">
        <f>VLOOKUP($K1116,LUTs!$E$2:$H$14,2,)</f>
        <v>North Puget Sound</v>
      </c>
      <c r="N1116" s="107" t="str">
        <f>VLOOKUP($K1116,LUTs!$E$2:$H$14,4,)</f>
        <v>01North Puget Sound</v>
      </c>
      <c r="O1116" s="107">
        <v>121.27160493827201</v>
      </c>
      <c r="P1116" s="107">
        <v>581.44830723570897</v>
      </c>
      <c r="Q1116" s="107">
        <f t="shared" si="103"/>
        <v>121.27160493827201</v>
      </c>
      <c r="R1116" s="107">
        <f t="shared" si="104"/>
        <v>581.44830723570897</v>
      </c>
      <c r="S1116" s="140" t="str">
        <f t="shared" si="105"/>
        <v>Y</v>
      </c>
      <c r="T1116" s="154">
        <f t="shared" si="106"/>
        <v>4.7945956312829354</v>
      </c>
      <c r="U1116" s="154">
        <f t="shared" si="107"/>
        <v>4.7945956312829354</v>
      </c>
    </row>
    <row r="1117" spans="1:21" x14ac:dyDescent="0.35">
      <c r="A1117" s="107">
        <v>1315</v>
      </c>
      <c r="B1117" s="107">
        <v>2018</v>
      </c>
      <c r="C1117" s="107" t="s">
        <v>9</v>
      </c>
      <c r="D1117" s="107" t="s">
        <v>132</v>
      </c>
      <c r="E1117" s="107" t="s">
        <v>10</v>
      </c>
      <c r="F1117" s="115" t="s">
        <v>304</v>
      </c>
      <c r="G1117" s="107" t="s">
        <v>31</v>
      </c>
      <c r="H1117" s="107" t="str">
        <f t="shared" si="102"/>
        <v>Area 8-1: Skagit Bay-Saratoga Psg.</v>
      </c>
      <c r="I1117" s="107" t="str">
        <f>IFERROR(VLOOKUP(H1117,LUTs!$A$1:$C$73,2,FALSE),"NA")</f>
        <v>NA</v>
      </c>
      <c r="J1117" s="107" t="str">
        <f>IFERROR(VLOOKUP(H1117,LUTs!$A$1:$C$73,3,FALSE),"NA")</f>
        <v>2Central Puget Sound</v>
      </c>
      <c r="K1117" s="107" t="s">
        <v>17</v>
      </c>
      <c r="L1117" s="107" t="str">
        <f>VLOOKUP(K1117,LUTs!E$2:G$14,3,)</f>
        <v>04Island</v>
      </c>
      <c r="M1117" s="107" t="str">
        <f>VLOOKUP($K1117,LUTs!$E$2:$H$14,2,)</f>
        <v>North Puget Sound</v>
      </c>
      <c r="N1117" s="107" t="str">
        <f>VLOOKUP($K1117,LUTs!$E$2:$H$14,4,)</f>
        <v>01North Puget Sound</v>
      </c>
      <c r="O1117" s="107">
        <v>700.58252427184505</v>
      </c>
      <c r="P1117" s="107">
        <v>1676.78696548632</v>
      </c>
      <c r="Q1117" s="107">
        <f t="shared" si="103"/>
        <v>700.58252427184505</v>
      </c>
      <c r="R1117" s="107">
        <f t="shared" si="104"/>
        <v>1676.78696548632</v>
      </c>
      <c r="S1117" s="140" t="str">
        <f t="shared" si="105"/>
        <v>Y</v>
      </c>
      <c r="T1117" s="154">
        <f t="shared" si="106"/>
        <v>2.3934182018443857</v>
      </c>
      <c r="U1117" s="154">
        <f t="shared" si="107"/>
        <v>2.3934182018443857</v>
      </c>
    </row>
    <row r="1118" spans="1:21" x14ac:dyDescent="0.35">
      <c r="A1118" s="107">
        <v>1317</v>
      </c>
      <c r="B1118" s="107">
        <v>2018</v>
      </c>
      <c r="C1118" s="107" t="s">
        <v>9</v>
      </c>
      <c r="D1118" s="107" t="s">
        <v>132</v>
      </c>
      <c r="E1118" s="107" t="s">
        <v>10</v>
      </c>
      <c r="F1118" s="115" t="s">
        <v>304</v>
      </c>
      <c r="G1118" s="107" t="s">
        <v>31</v>
      </c>
      <c r="H1118" s="107" t="str">
        <f t="shared" si="102"/>
        <v>Area 8-1: Skagit Bay-Saratoga Psg.</v>
      </c>
      <c r="I1118" s="107" t="str">
        <f>IFERROR(VLOOKUP(H1118,LUTs!$A$1:$C$73,2,FALSE),"NA")</f>
        <v>NA</v>
      </c>
      <c r="J1118" s="107" t="str">
        <f>IFERROR(VLOOKUP(H1118,LUTs!$A$1:$C$73,3,FALSE),"NA")</f>
        <v>2Central Puget Sound</v>
      </c>
      <c r="K1118" s="107" t="s">
        <v>25</v>
      </c>
      <c r="L1118" s="107" t="str">
        <f>VLOOKUP(K1118,LUTs!E$2:G$14,3,)</f>
        <v>12Jefferson</v>
      </c>
      <c r="M1118" s="107" t="str">
        <f>VLOOKUP($K1118,LUTs!$E$2:$H$14,2,)</f>
        <v>Strait of Juan de Fuca</v>
      </c>
      <c r="N1118" s="107" t="str">
        <f>VLOOKUP($K1118,LUTs!$E$2:$H$14,4,)</f>
        <v>03Strait of Juan de Fuca</v>
      </c>
      <c r="O1118" s="107">
        <v>15.9223300970874</v>
      </c>
      <c r="P1118" s="107">
        <v>38.108794670143702</v>
      </c>
      <c r="Q1118" s="107">
        <f t="shared" si="103"/>
        <v>15.9223300970874</v>
      </c>
      <c r="R1118" s="107">
        <f t="shared" si="104"/>
        <v>38.108794670143702</v>
      </c>
      <c r="S1118" s="140" t="str">
        <f t="shared" si="105"/>
        <v>Y</v>
      </c>
      <c r="T1118" s="154">
        <f t="shared" si="106"/>
        <v>2.3934182018443879</v>
      </c>
      <c r="U1118" s="154">
        <f t="shared" si="107"/>
        <v>2.3934182018443879</v>
      </c>
    </row>
    <row r="1119" spans="1:21" x14ac:dyDescent="0.35">
      <c r="A1119" s="107">
        <v>1316</v>
      </c>
      <c r="B1119" s="107">
        <v>2018</v>
      </c>
      <c r="C1119" s="107" t="s">
        <v>9</v>
      </c>
      <c r="D1119" s="107" t="s">
        <v>132</v>
      </c>
      <c r="E1119" s="107" t="s">
        <v>10</v>
      </c>
      <c r="F1119" s="115" t="s">
        <v>304</v>
      </c>
      <c r="G1119" s="107" t="s">
        <v>31</v>
      </c>
      <c r="H1119" s="107" t="str">
        <f t="shared" si="102"/>
        <v>Area 8-1: Skagit Bay-Saratoga Psg.</v>
      </c>
      <c r="I1119" s="107" t="str">
        <f>IFERROR(VLOOKUP(H1119,LUTs!$A$1:$C$73,2,FALSE),"NA")</f>
        <v>NA</v>
      </c>
      <c r="J1119" s="107" t="str">
        <f>IFERROR(VLOOKUP(H1119,LUTs!$A$1:$C$73,3,FALSE),"NA")</f>
        <v>2Central Puget Sound</v>
      </c>
      <c r="K1119" s="107" t="s">
        <v>18</v>
      </c>
      <c r="L1119" s="107" t="str">
        <f>VLOOKUP(K1119,LUTs!E$2:G$14,3,)</f>
        <v>06King</v>
      </c>
      <c r="M1119" s="107" t="str">
        <f>VLOOKUP($K1119,LUTs!$E$2:$H$14,2,)</f>
        <v>South Puget Sound</v>
      </c>
      <c r="N1119" s="107" t="str">
        <f>VLOOKUP($K1119,LUTs!$E$2:$H$14,4,)</f>
        <v>02South Puget Sound</v>
      </c>
      <c r="O1119" s="107">
        <v>31.8446601941748</v>
      </c>
      <c r="P1119" s="107">
        <v>76.217589340287503</v>
      </c>
      <c r="Q1119" s="107">
        <f t="shared" si="103"/>
        <v>31.8446601941748</v>
      </c>
      <c r="R1119" s="107">
        <f t="shared" si="104"/>
        <v>76.217589340287503</v>
      </c>
      <c r="S1119" s="140" t="str">
        <f t="shared" si="105"/>
        <v>Y</v>
      </c>
      <c r="T1119" s="154">
        <f t="shared" si="106"/>
        <v>2.393418201844391</v>
      </c>
      <c r="U1119" s="154">
        <f t="shared" si="107"/>
        <v>2.393418201844391</v>
      </c>
    </row>
    <row r="1120" spans="1:21" x14ac:dyDescent="0.35">
      <c r="A1120" s="107">
        <v>1318</v>
      </c>
      <c r="B1120" s="107">
        <v>2018</v>
      </c>
      <c r="C1120" s="107" t="s">
        <v>9</v>
      </c>
      <c r="D1120" s="107" t="s">
        <v>132</v>
      </c>
      <c r="E1120" s="107" t="s">
        <v>10</v>
      </c>
      <c r="F1120" s="115" t="s">
        <v>304</v>
      </c>
      <c r="G1120" s="107" t="s">
        <v>31</v>
      </c>
      <c r="H1120" s="107" t="str">
        <f t="shared" si="102"/>
        <v>Area 8-1: Skagit Bay-Saratoga Psg.</v>
      </c>
      <c r="I1120" s="107" t="str">
        <f>IFERROR(VLOOKUP(H1120,LUTs!$A$1:$C$73,2,FALSE),"NA")</f>
        <v>NA</v>
      </c>
      <c r="J1120" s="107" t="str">
        <f>IFERROR(VLOOKUP(H1120,LUTs!$A$1:$C$73,3,FALSE),"NA")</f>
        <v>2Central Puget Sound</v>
      </c>
      <c r="K1120" s="107" t="s">
        <v>26</v>
      </c>
      <c r="L1120" s="107" t="str">
        <f>VLOOKUP(K1120,LUTs!E$2:G$14,3,)</f>
        <v>20Other</v>
      </c>
      <c r="M1120" s="107" t="str">
        <f>VLOOKUP($K1120,LUTs!$E$2:$H$14,2,)</f>
        <v>Non Puget Sound</v>
      </c>
      <c r="N1120" s="107" t="str">
        <f>VLOOKUP($K1120,LUTs!$E$2:$H$14,4,)</f>
        <v>07Non Puget Sound</v>
      </c>
      <c r="O1120" s="107">
        <v>47.766990291262097</v>
      </c>
      <c r="P1120" s="107">
        <v>114.326384010431</v>
      </c>
      <c r="Q1120" s="107">
        <f t="shared" si="103"/>
        <v>47.766990291262097</v>
      </c>
      <c r="R1120" s="107">
        <f t="shared" si="104"/>
        <v>114.326384010431</v>
      </c>
      <c r="S1120" s="140" t="str">
        <f t="shared" si="105"/>
        <v>Y</v>
      </c>
      <c r="T1120" s="154">
        <f t="shared" si="106"/>
        <v>2.3934182018443906</v>
      </c>
      <c r="U1120" s="154">
        <f t="shared" si="107"/>
        <v>2.3934182018443906</v>
      </c>
    </row>
    <row r="1121" spans="1:21" x14ac:dyDescent="0.35">
      <c r="A1121" s="107">
        <v>1313</v>
      </c>
      <c r="B1121" s="107">
        <v>2018</v>
      </c>
      <c r="C1121" s="107" t="s">
        <v>9</v>
      </c>
      <c r="D1121" s="107" t="s">
        <v>132</v>
      </c>
      <c r="E1121" s="107" t="s">
        <v>10</v>
      </c>
      <c r="F1121" s="115" t="s">
        <v>304</v>
      </c>
      <c r="G1121" s="107" t="s">
        <v>31</v>
      </c>
      <c r="H1121" s="107" t="str">
        <f t="shared" si="102"/>
        <v>Area 8-1: Skagit Bay-Saratoga Psg.</v>
      </c>
      <c r="I1121" s="107" t="str">
        <f>IFERROR(VLOOKUP(H1121,LUTs!$A$1:$C$73,2,FALSE),"NA")</f>
        <v>NA</v>
      </c>
      <c r="J1121" s="107" t="str">
        <f>IFERROR(VLOOKUP(H1121,LUTs!$A$1:$C$73,3,FALSE),"NA")</f>
        <v>2Central Puget Sound</v>
      </c>
      <c r="K1121" s="107" t="s">
        <v>15</v>
      </c>
      <c r="L1121" s="107" t="str">
        <f>VLOOKUP(K1121,LUTs!E$2:G$14,3,)</f>
        <v>02Skagit</v>
      </c>
      <c r="M1121" s="107" t="str">
        <f>VLOOKUP($K1121,LUTs!$E$2:$H$14,2,)</f>
        <v>North Puget Sound</v>
      </c>
      <c r="N1121" s="107" t="str">
        <f>VLOOKUP($K1121,LUTs!$E$2:$H$14,4,)</f>
        <v>01North Puget Sound</v>
      </c>
      <c r="O1121" s="107">
        <v>525.43689320388398</v>
      </c>
      <c r="P1121" s="107">
        <v>1257.5902241147401</v>
      </c>
      <c r="Q1121" s="107">
        <f t="shared" si="103"/>
        <v>525.43689320388398</v>
      </c>
      <c r="R1121" s="107">
        <f t="shared" si="104"/>
        <v>1257.5902241147401</v>
      </c>
      <c r="S1121" s="140" t="str">
        <f t="shared" si="105"/>
        <v>Y</v>
      </c>
      <c r="T1121" s="154">
        <f t="shared" si="106"/>
        <v>2.3934182018443848</v>
      </c>
      <c r="U1121" s="154">
        <f t="shared" si="107"/>
        <v>2.3934182018443848</v>
      </c>
    </row>
    <row r="1122" spans="1:21" x14ac:dyDescent="0.35">
      <c r="A1122" s="107">
        <v>1314</v>
      </c>
      <c r="B1122" s="107">
        <v>2018</v>
      </c>
      <c r="C1122" s="107" t="s">
        <v>9</v>
      </c>
      <c r="D1122" s="107" t="s">
        <v>132</v>
      </c>
      <c r="E1122" s="107" t="s">
        <v>10</v>
      </c>
      <c r="F1122" s="115" t="s">
        <v>304</v>
      </c>
      <c r="G1122" s="107" t="s">
        <v>31</v>
      </c>
      <c r="H1122" s="107" t="str">
        <f t="shared" si="102"/>
        <v>Area 8-1: Skagit Bay-Saratoga Psg.</v>
      </c>
      <c r="I1122" s="107" t="str">
        <f>IFERROR(VLOOKUP(H1122,LUTs!$A$1:$C$73,2,FALSE),"NA")</f>
        <v>NA</v>
      </c>
      <c r="J1122" s="107" t="str">
        <f>IFERROR(VLOOKUP(H1122,LUTs!$A$1:$C$73,3,FALSE),"NA")</f>
        <v>2Central Puget Sound</v>
      </c>
      <c r="K1122" s="107" t="s">
        <v>16</v>
      </c>
      <c r="L1122" s="107" t="str">
        <f>VLOOKUP(K1122,LUTs!E$2:G$14,3,)</f>
        <v>03Snohomish</v>
      </c>
      <c r="M1122" s="107" t="str">
        <f>VLOOKUP($K1122,LUTs!$E$2:$H$14,2,)</f>
        <v>North Puget Sound</v>
      </c>
      <c r="N1122" s="107" t="str">
        <f>VLOOKUP($K1122,LUTs!$E$2:$H$14,4,)</f>
        <v>01North Puget Sound</v>
      </c>
      <c r="O1122" s="107">
        <v>310.485436893204</v>
      </c>
      <c r="P1122" s="107">
        <v>743.12149606780304</v>
      </c>
      <c r="Q1122" s="107">
        <f t="shared" si="103"/>
        <v>310.485436893204</v>
      </c>
      <c r="R1122" s="107">
        <f t="shared" si="104"/>
        <v>743.12149606780304</v>
      </c>
      <c r="S1122" s="140" t="str">
        <f t="shared" si="105"/>
        <v>Y</v>
      </c>
      <c r="T1122" s="154">
        <f t="shared" si="106"/>
        <v>2.3934182018443928</v>
      </c>
      <c r="U1122" s="154">
        <f t="shared" si="107"/>
        <v>2.3934182018443928</v>
      </c>
    </row>
    <row r="1123" spans="1:21" x14ac:dyDescent="0.35">
      <c r="A1123" s="107">
        <v>1264</v>
      </c>
      <c r="B1123" s="107">
        <v>2018</v>
      </c>
      <c r="C1123" s="107" t="s">
        <v>9</v>
      </c>
      <c r="D1123" s="107" t="s">
        <v>132</v>
      </c>
      <c r="E1123" s="107" t="s">
        <v>10</v>
      </c>
      <c r="F1123" s="115" t="s">
        <v>304</v>
      </c>
      <c r="G1123" s="107" t="s">
        <v>31</v>
      </c>
      <c r="H1123" s="107" t="str">
        <f t="shared" si="102"/>
        <v>Area 8-1: Skagit Bay-Saratoga Psg.</v>
      </c>
      <c r="I1123" s="107" t="str">
        <f>IFERROR(VLOOKUP(H1123,LUTs!$A$1:$C$73,2,FALSE),"NA")</f>
        <v>NA</v>
      </c>
      <c r="J1123" s="107" t="str">
        <f>IFERROR(VLOOKUP(H1123,LUTs!$A$1:$C$73,3,FALSE),"NA")</f>
        <v>2Central Puget Sound</v>
      </c>
      <c r="K1123" s="107" t="s">
        <v>13</v>
      </c>
      <c r="L1123" s="107" t="str">
        <f>VLOOKUP(K1123,LUTs!E$2:G$14,3,)</f>
        <v>01Whatcom</v>
      </c>
      <c r="M1123" s="107" t="str">
        <f>VLOOKUP($K1123,LUTs!$E$2:$H$14,2,)</f>
        <v>North Puget Sound</v>
      </c>
      <c r="N1123" s="107" t="str">
        <f>VLOOKUP($K1123,LUTs!$E$2:$H$14,4,)</f>
        <v>01North Puget Sound</v>
      </c>
      <c r="O1123" s="107">
        <v>7.9611650485436902</v>
      </c>
      <c r="P1123" s="107">
        <v>19.054397335071901</v>
      </c>
      <c r="Q1123" s="107">
        <f t="shared" si="103"/>
        <v>7.9611650485436902</v>
      </c>
      <c r="R1123" s="107">
        <f t="shared" si="104"/>
        <v>19.054397335071901</v>
      </c>
      <c r="S1123" s="140" t="str">
        <f t="shared" si="105"/>
        <v>Y</v>
      </c>
      <c r="T1123" s="154">
        <f t="shared" si="106"/>
        <v>2.3934182018443968</v>
      </c>
      <c r="U1123" s="154">
        <f t="shared" si="107"/>
        <v>2.3934182018443968</v>
      </c>
    </row>
    <row r="1124" spans="1:21" x14ac:dyDescent="0.35">
      <c r="A1124" s="107">
        <v>1741</v>
      </c>
      <c r="B1124" s="107">
        <v>2019</v>
      </c>
      <c r="C1124" s="107" t="s">
        <v>9</v>
      </c>
      <c r="D1124" s="107" t="s">
        <v>132</v>
      </c>
      <c r="E1124" s="107" t="s">
        <v>10</v>
      </c>
      <c r="F1124" s="115" t="s">
        <v>304</v>
      </c>
      <c r="G1124" s="107" t="s">
        <v>31</v>
      </c>
      <c r="H1124" s="107" t="str">
        <f t="shared" si="102"/>
        <v>Area 8-1: Skagit Bay-Saratoga Psg.</v>
      </c>
      <c r="I1124" s="107" t="str">
        <f>IFERROR(VLOOKUP(H1124,LUTs!$A$1:$C$73,2,FALSE),"NA")</f>
        <v>NA</v>
      </c>
      <c r="J1124" s="107" t="str">
        <f>IFERROR(VLOOKUP(H1124,LUTs!$A$1:$C$73,3,FALSE),"NA")</f>
        <v>2Central Puget Sound</v>
      </c>
      <c r="K1124" s="107" t="s">
        <v>17</v>
      </c>
      <c r="L1124" s="107" t="str">
        <f>VLOOKUP(K1124,LUTs!E$2:G$14,3,)</f>
        <v>04Island</v>
      </c>
      <c r="M1124" s="107" t="str">
        <f>VLOOKUP($K1124,LUTs!$E$2:$H$14,2,)</f>
        <v>North Puget Sound</v>
      </c>
      <c r="N1124" s="107" t="str">
        <f>VLOOKUP($K1124,LUTs!$E$2:$H$14,4,)</f>
        <v>01North Puget Sound</v>
      </c>
      <c r="O1124" s="107">
        <v>602.68363636363597</v>
      </c>
      <c r="P1124" s="107">
        <v>799.42066126012196</v>
      </c>
      <c r="Q1124" s="107">
        <f t="shared" si="103"/>
        <v>602.68363636363597</v>
      </c>
      <c r="R1124" s="107">
        <f t="shared" si="104"/>
        <v>799.42066126012196</v>
      </c>
      <c r="S1124" s="140" t="str">
        <f t="shared" si="105"/>
        <v>Y</v>
      </c>
      <c r="T1124" s="154">
        <f t="shared" si="106"/>
        <v>1.3264349868257954</v>
      </c>
      <c r="U1124" s="154">
        <f t="shared" si="107"/>
        <v>1.3264349868257954</v>
      </c>
    </row>
    <row r="1125" spans="1:21" x14ac:dyDescent="0.35">
      <c r="A1125" s="107">
        <v>1811</v>
      </c>
      <c r="B1125" s="107">
        <v>2019</v>
      </c>
      <c r="C1125" s="107" t="s">
        <v>9</v>
      </c>
      <c r="D1125" s="107" t="s">
        <v>132</v>
      </c>
      <c r="E1125" s="107" t="s">
        <v>10</v>
      </c>
      <c r="F1125" s="115" t="s">
        <v>304</v>
      </c>
      <c r="G1125" s="107" t="s">
        <v>31</v>
      </c>
      <c r="H1125" s="107" t="str">
        <f t="shared" si="102"/>
        <v>Area 8-1: Skagit Bay-Saratoga Psg.</v>
      </c>
      <c r="I1125" s="107" t="str">
        <f>IFERROR(VLOOKUP(H1125,LUTs!$A$1:$C$73,2,FALSE),"NA")</f>
        <v>NA</v>
      </c>
      <c r="J1125" s="107" t="str">
        <f>IFERROR(VLOOKUP(H1125,LUTs!$A$1:$C$73,3,FALSE),"NA")</f>
        <v>2Central Puget Sound</v>
      </c>
      <c r="K1125" s="107" t="s">
        <v>18</v>
      </c>
      <c r="L1125" s="107" t="str">
        <f>VLOOKUP(K1125,LUTs!E$2:G$14,3,)</f>
        <v>06King</v>
      </c>
      <c r="M1125" s="107" t="str">
        <f>VLOOKUP($K1125,LUTs!$E$2:$H$14,2,)</f>
        <v>South Puget Sound</v>
      </c>
      <c r="N1125" s="107" t="str">
        <f>VLOOKUP($K1125,LUTs!$E$2:$H$14,4,)</f>
        <v>02South Puget Sound</v>
      </c>
      <c r="O1125" s="107">
        <v>148.48727272727299</v>
      </c>
      <c r="P1125" s="107">
        <v>196.95871364379801</v>
      </c>
      <c r="Q1125" s="107">
        <f t="shared" si="103"/>
        <v>148.48727272727299</v>
      </c>
      <c r="R1125" s="107">
        <f t="shared" si="104"/>
        <v>196.95871364379801</v>
      </c>
      <c r="S1125" s="140" t="str">
        <f t="shared" si="105"/>
        <v>Y</v>
      </c>
      <c r="T1125" s="154">
        <f t="shared" si="106"/>
        <v>1.3264349868257912</v>
      </c>
      <c r="U1125" s="154">
        <f t="shared" si="107"/>
        <v>1.3264349868257912</v>
      </c>
    </row>
    <row r="1126" spans="1:21" x14ac:dyDescent="0.35">
      <c r="A1126" s="107">
        <v>1812</v>
      </c>
      <c r="B1126" s="107">
        <v>2019</v>
      </c>
      <c r="C1126" s="107" t="s">
        <v>9</v>
      </c>
      <c r="D1126" s="107" t="s">
        <v>132</v>
      </c>
      <c r="E1126" s="107" t="s">
        <v>10</v>
      </c>
      <c r="F1126" s="115" t="s">
        <v>304</v>
      </c>
      <c r="G1126" s="107" t="s">
        <v>31</v>
      </c>
      <c r="H1126" s="107" t="str">
        <f t="shared" si="102"/>
        <v>Area 8-1: Skagit Bay-Saratoga Psg.</v>
      </c>
      <c r="I1126" s="107" t="str">
        <f>IFERROR(VLOOKUP(H1126,LUTs!$A$1:$C$73,2,FALSE),"NA")</f>
        <v>NA</v>
      </c>
      <c r="J1126" s="107" t="str">
        <f>IFERROR(VLOOKUP(H1126,LUTs!$A$1:$C$73,3,FALSE),"NA")</f>
        <v>2Central Puget Sound</v>
      </c>
      <c r="K1126" s="107" t="s">
        <v>23</v>
      </c>
      <c r="L1126" s="107" t="str">
        <f>VLOOKUP(K1126,LUTs!E$2:G$14,3,)</f>
        <v>10Kitsap</v>
      </c>
      <c r="M1126" s="107" t="str">
        <f>VLOOKUP($K1126,LUTs!$E$2:$H$14,2,)</f>
        <v>South Puget Sound</v>
      </c>
      <c r="N1126" s="107" t="str">
        <f>VLOOKUP($K1126,LUTs!$E$2:$H$14,4,)</f>
        <v>02South Puget Sound</v>
      </c>
      <c r="O1126" s="107">
        <v>17.469090909090902</v>
      </c>
      <c r="P1126" s="107">
        <v>23.171613369858601</v>
      </c>
      <c r="Q1126" s="107">
        <f t="shared" si="103"/>
        <v>17.469090909090902</v>
      </c>
      <c r="R1126" s="107">
        <f t="shared" si="104"/>
        <v>23.171613369858601</v>
      </c>
      <c r="S1126" s="140" t="str">
        <f t="shared" si="105"/>
        <v>Y</v>
      </c>
      <c r="T1126" s="154">
        <f t="shared" si="106"/>
        <v>1.3264349868257947</v>
      </c>
      <c r="U1126" s="154">
        <f t="shared" si="107"/>
        <v>1.3264349868257947</v>
      </c>
    </row>
    <row r="1127" spans="1:21" x14ac:dyDescent="0.35">
      <c r="A1127" s="107">
        <v>1813</v>
      </c>
      <c r="B1127" s="107">
        <v>2019</v>
      </c>
      <c r="C1127" s="107" t="s">
        <v>9</v>
      </c>
      <c r="D1127" s="107" t="s">
        <v>132</v>
      </c>
      <c r="E1127" s="107" t="s">
        <v>10</v>
      </c>
      <c r="F1127" s="115" t="s">
        <v>304</v>
      </c>
      <c r="G1127" s="107" t="s">
        <v>31</v>
      </c>
      <c r="H1127" s="107" t="str">
        <f t="shared" si="102"/>
        <v>Area 8-1: Skagit Bay-Saratoga Psg.</v>
      </c>
      <c r="I1127" s="107" t="str">
        <f>IFERROR(VLOOKUP(H1127,LUTs!$A$1:$C$73,2,FALSE),"NA")</f>
        <v>NA</v>
      </c>
      <c r="J1127" s="107" t="str">
        <f>IFERROR(VLOOKUP(H1127,LUTs!$A$1:$C$73,3,FALSE),"NA")</f>
        <v>2Central Puget Sound</v>
      </c>
      <c r="K1127" s="107" t="s">
        <v>26</v>
      </c>
      <c r="L1127" s="107" t="str">
        <f>VLOOKUP(K1127,LUTs!E$2:G$14,3,)</f>
        <v>20Other</v>
      </c>
      <c r="M1127" s="107" t="str">
        <f>VLOOKUP($K1127,LUTs!$E$2:$H$14,2,)</f>
        <v>Non Puget Sound</v>
      </c>
      <c r="N1127" s="107" t="str">
        <f>VLOOKUP($K1127,LUTs!$E$2:$H$14,4,)</f>
        <v>07Non Puget Sound</v>
      </c>
      <c r="O1127" s="107">
        <v>331.91272727272701</v>
      </c>
      <c r="P1127" s="107">
        <v>440.26065402731399</v>
      </c>
      <c r="Q1127" s="107">
        <f t="shared" si="103"/>
        <v>331.91272727272701</v>
      </c>
      <c r="R1127" s="107">
        <f t="shared" si="104"/>
        <v>440.26065402731399</v>
      </c>
      <c r="S1127" s="140" t="str">
        <f t="shared" si="105"/>
        <v>Y</v>
      </c>
      <c r="T1127" s="154">
        <f t="shared" si="106"/>
        <v>1.326434986825797</v>
      </c>
      <c r="U1127" s="154">
        <f t="shared" si="107"/>
        <v>1.326434986825797</v>
      </c>
    </row>
    <row r="1128" spans="1:21" x14ac:dyDescent="0.35">
      <c r="A1128" s="107">
        <v>1649</v>
      </c>
      <c r="B1128" s="107">
        <v>2019</v>
      </c>
      <c r="C1128" s="107" t="s">
        <v>9</v>
      </c>
      <c r="D1128" s="107" t="s">
        <v>132</v>
      </c>
      <c r="E1128" s="107" t="s">
        <v>10</v>
      </c>
      <c r="F1128" s="115" t="s">
        <v>304</v>
      </c>
      <c r="G1128" s="107" t="s">
        <v>31</v>
      </c>
      <c r="H1128" s="107" t="str">
        <f t="shared" si="102"/>
        <v>Area 8-1: Skagit Bay-Saratoga Psg.</v>
      </c>
      <c r="I1128" s="107" t="str">
        <f>IFERROR(VLOOKUP(H1128,LUTs!$A$1:$C$73,2,FALSE),"NA")</f>
        <v>NA</v>
      </c>
      <c r="J1128" s="107" t="str">
        <f>IFERROR(VLOOKUP(H1128,LUTs!$A$1:$C$73,3,FALSE),"NA")</f>
        <v>2Central Puget Sound</v>
      </c>
      <c r="K1128" s="107" t="s">
        <v>15</v>
      </c>
      <c r="L1128" s="107" t="str">
        <f>VLOOKUP(K1128,LUTs!E$2:G$14,3,)</f>
        <v>02Skagit</v>
      </c>
      <c r="M1128" s="107" t="str">
        <f>VLOOKUP($K1128,LUTs!$E$2:$H$14,2,)</f>
        <v>North Puget Sound</v>
      </c>
      <c r="N1128" s="107" t="str">
        <f>VLOOKUP($K1128,LUTs!$E$2:$H$14,4,)</f>
        <v>01North Puget Sound</v>
      </c>
      <c r="O1128" s="107">
        <v>873.45454545454595</v>
      </c>
      <c r="P1128" s="107">
        <v>1158.58066849293</v>
      </c>
      <c r="Q1128" s="107">
        <f t="shared" si="103"/>
        <v>873.45454545454595</v>
      </c>
      <c r="R1128" s="107">
        <f t="shared" si="104"/>
        <v>1158.58066849293</v>
      </c>
      <c r="S1128" s="140" t="str">
        <f t="shared" si="105"/>
        <v>Y</v>
      </c>
      <c r="T1128" s="154">
        <f t="shared" si="106"/>
        <v>1.3264349868257934</v>
      </c>
      <c r="U1128" s="154">
        <f t="shared" si="107"/>
        <v>1.3264349868257934</v>
      </c>
    </row>
    <row r="1129" spans="1:21" x14ac:dyDescent="0.35">
      <c r="A1129" s="107">
        <v>1740</v>
      </c>
      <c r="B1129" s="107">
        <v>2019</v>
      </c>
      <c r="C1129" s="107" t="s">
        <v>9</v>
      </c>
      <c r="D1129" s="107" t="s">
        <v>132</v>
      </c>
      <c r="E1129" s="107" t="s">
        <v>10</v>
      </c>
      <c r="F1129" s="115" t="s">
        <v>304</v>
      </c>
      <c r="G1129" s="107" t="s">
        <v>31</v>
      </c>
      <c r="H1129" s="107" t="str">
        <f t="shared" si="102"/>
        <v>Area 8-1: Skagit Bay-Saratoga Psg.</v>
      </c>
      <c r="I1129" s="107" t="str">
        <f>IFERROR(VLOOKUP(H1129,LUTs!$A$1:$C$73,2,FALSE),"NA")</f>
        <v>NA</v>
      </c>
      <c r="J1129" s="107" t="str">
        <f>IFERROR(VLOOKUP(H1129,LUTs!$A$1:$C$73,3,FALSE),"NA")</f>
        <v>2Central Puget Sound</v>
      </c>
      <c r="K1129" s="107" t="s">
        <v>16</v>
      </c>
      <c r="L1129" s="107" t="str">
        <f>VLOOKUP(K1129,LUTs!E$2:G$14,3,)</f>
        <v>03Snohomish</v>
      </c>
      <c r="M1129" s="107" t="str">
        <f>VLOOKUP($K1129,LUTs!$E$2:$H$14,2,)</f>
        <v>North Puget Sound</v>
      </c>
      <c r="N1129" s="107" t="str">
        <f>VLOOKUP($K1129,LUTs!$E$2:$H$14,4,)</f>
        <v>01North Puget Sound</v>
      </c>
      <c r="O1129" s="107">
        <v>401.78909090909099</v>
      </c>
      <c r="P1129" s="107">
        <v>532.94710750674801</v>
      </c>
      <c r="Q1129" s="107">
        <f t="shared" si="103"/>
        <v>401.78909090909099</v>
      </c>
      <c r="R1129" s="107">
        <f t="shared" si="104"/>
        <v>532.94710750674801</v>
      </c>
      <c r="S1129" s="140" t="str">
        <f t="shared" si="105"/>
        <v>Y</v>
      </c>
      <c r="T1129" s="154">
        <f t="shared" si="106"/>
        <v>1.3264349868257943</v>
      </c>
      <c r="U1129" s="154">
        <f t="shared" si="107"/>
        <v>1.3264349868257943</v>
      </c>
    </row>
    <row r="1130" spans="1:21" x14ac:dyDescent="0.35">
      <c r="A1130" s="107">
        <v>1648</v>
      </c>
      <c r="B1130" s="107">
        <v>2019</v>
      </c>
      <c r="C1130" s="107" t="s">
        <v>9</v>
      </c>
      <c r="D1130" s="107" t="s">
        <v>132</v>
      </c>
      <c r="E1130" s="107" t="s">
        <v>10</v>
      </c>
      <c r="F1130" s="115" t="s">
        <v>304</v>
      </c>
      <c r="G1130" s="107" t="s">
        <v>31</v>
      </c>
      <c r="H1130" s="107" t="str">
        <f t="shared" si="102"/>
        <v>Area 8-1: Skagit Bay-Saratoga Psg.</v>
      </c>
      <c r="I1130" s="107" t="str">
        <f>IFERROR(VLOOKUP(H1130,LUTs!$A$1:$C$73,2,FALSE),"NA")</f>
        <v>NA</v>
      </c>
      <c r="J1130" s="107" t="str">
        <f>IFERROR(VLOOKUP(H1130,LUTs!$A$1:$C$73,3,FALSE),"NA")</f>
        <v>2Central Puget Sound</v>
      </c>
      <c r="K1130" s="107" t="s">
        <v>13</v>
      </c>
      <c r="L1130" s="107" t="str">
        <f>VLOOKUP(K1130,LUTs!E$2:G$14,3,)</f>
        <v>01Whatcom</v>
      </c>
      <c r="M1130" s="107" t="str">
        <f>VLOOKUP($K1130,LUTs!$E$2:$H$14,2,)</f>
        <v>North Puget Sound</v>
      </c>
      <c r="N1130" s="107" t="str">
        <f>VLOOKUP($K1130,LUTs!$E$2:$H$14,4,)</f>
        <v>01North Puget Sound</v>
      </c>
      <c r="O1130" s="107">
        <v>26.203636363636399</v>
      </c>
      <c r="P1130" s="107">
        <v>34.7574200547879</v>
      </c>
      <c r="Q1130" s="107">
        <f t="shared" si="103"/>
        <v>26.203636363636399</v>
      </c>
      <c r="R1130" s="107">
        <f t="shared" si="104"/>
        <v>34.7574200547879</v>
      </c>
      <c r="S1130" s="140" t="str">
        <f t="shared" si="105"/>
        <v>Y</v>
      </c>
      <c r="T1130" s="154">
        <f t="shared" si="106"/>
        <v>1.3264349868257923</v>
      </c>
      <c r="U1130" s="154">
        <f t="shared" si="107"/>
        <v>1.3264349868257923</v>
      </c>
    </row>
    <row r="1131" spans="1:21" x14ac:dyDescent="0.35">
      <c r="A1131" s="107">
        <v>2375</v>
      </c>
      <c r="B1131" s="107">
        <v>2021</v>
      </c>
      <c r="C1131" s="107" t="s">
        <v>9</v>
      </c>
      <c r="D1131" s="107" t="s">
        <v>132</v>
      </c>
      <c r="E1131" s="107" t="s">
        <v>10</v>
      </c>
      <c r="F1131" s="115" t="s">
        <v>304</v>
      </c>
      <c r="G1131" s="107" t="s">
        <v>31</v>
      </c>
      <c r="H1131" s="107" t="str">
        <f t="shared" si="102"/>
        <v>Area 8-1: Skagit Bay-Saratoga Psg.</v>
      </c>
      <c r="I1131" s="107" t="str">
        <f>IFERROR(VLOOKUP(H1131,LUTs!$A$1:$C$73,2,FALSE),"NA")</f>
        <v>NA</v>
      </c>
      <c r="J1131" s="107" t="str">
        <f>IFERROR(VLOOKUP(H1131,LUTs!$A$1:$C$73,3,FALSE),"NA")</f>
        <v>2Central Puget Sound</v>
      </c>
      <c r="K1131" s="107" t="s">
        <v>17</v>
      </c>
      <c r="L1131" s="107" t="str">
        <f>VLOOKUP(K1131,LUTs!E$2:G$14,3,)</f>
        <v>04Island</v>
      </c>
      <c r="M1131" s="107" t="str">
        <f>VLOOKUP($K1131,LUTs!$E$2:$H$14,2,)</f>
        <v>North Puget Sound</v>
      </c>
      <c r="N1131" s="107" t="str">
        <f>VLOOKUP($K1131,LUTs!$E$2:$H$14,4,)</f>
        <v>01North Puget Sound</v>
      </c>
      <c r="O1131" s="107">
        <v>581.69950738916305</v>
      </c>
      <c r="P1131" s="107">
        <v>587.59684548376697</v>
      </c>
      <c r="Q1131" s="107">
        <f t="shared" si="103"/>
        <v>581.69950738916305</v>
      </c>
      <c r="R1131" s="107">
        <f t="shared" si="104"/>
        <v>587.59684548376697</v>
      </c>
      <c r="S1131" s="140" t="str">
        <f t="shared" si="105"/>
        <v>N</v>
      </c>
      <c r="T1131" s="154">
        <f t="shared" si="106"/>
        <v>1.0101381177389559</v>
      </c>
      <c r="U1131" s="154">
        <f t="shared" si="107"/>
        <v>1.0101381177389559</v>
      </c>
    </row>
    <row r="1132" spans="1:21" x14ac:dyDescent="0.35">
      <c r="A1132" s="107">
        <v>2476</v>
      </c>
      <c r="B1132" s="107">
        <v>2021</v>
      </c>
      <c r="C1132" s="107" t="s">
        <v>9</v>
      </c>
      <c r="D1132" s="107" t="s">
        <v>132</v>
      </c>
      <c r="E1132" s="107" t="s">
        <v>10</v>
      </c>
      <c r="F1132" s="115" t="s">
        <v>304</v>
      </c>
      <c r="G1132" s="107" t="s">
        <v>31</v>
      </c>
      <c r="H1132" s="107" t="str">
        <f t="shared" si="102"/>
        <v>Area 8-1: Skagit Bay-Saratoga Psg.</v>
      </c>
      <c r="I1132" s="107" t="str">
        <f>IFERROR(VLOOKUP(H1132,LUTs!$A$1:$C$73,2,FALSE),"NA")</f>
        <v>NA</v>
      </c>
      <c r="J1132" s="107" t="str">
        <f>IFERROR(VLOOKUP(H1132,LUTs!$A$1:$C$73,3,FALSE),"NA")</f>
        <v>2Central Puget Sound</v>
      </c>
      <c r="K1132" s="107" t="s">
        <v>18</v>
      </c>
      <c r="L1132" s="107" t="str">
        <f>VLOOKUP(K1132,LUTs!E$2:G$14,3,)</f>
        <v>06King</v>
      </c>
      <c r="M1132" s="107" t="str">
        <f>VLOOKUP($K1132,LUTs!$E$2:$H$14,2,)</f>
        <v>South Puget Sound</v>
      </c>
      <c r="N1132" s="107" t="str">
        <f>VLOOKUP($K1132,LUTs!$E$2:$H$14,4,)</f>
        <v>02South Puget Sound</v>
      </c>
      <c r="O1132" s="107">
        <v>296.13793103448302</v>
      </c>
      <c r="P1132" s="107">
        <v>299.14021224628101</v>
      </c>
      <c r="Q1132" s="107">
        <f t="shared" si="103"/>
        <v>296.13793103448302</v>
      </c>
      <c r="R1132" s="107">
        <f t="shared" si="104"/>
        <v>299.14021224628101</v>
      </c>
      <c r="S1132" s="140" t="str">
        <f t="shared" si="105"/>
        <v>N</v>
      </c>
      <c r="T1132" s="154">
        <f t="shared" si="106"/>
        <v>1.0101381177389546</v>
      </c>
      <c r="U1132" s="154">
        <f t="shared" si="107"/>
        <v>1.0101381177389546</v>
      </c>
    </row>
    <row r="1133" spans="1:21" x14ac:dyDescent="0.35">
      <c r="A1133" s="107">
        <v>2478</v>
      </c>
      <c r="B1133" s="107">
        <v>2021</v>
      </c>
      <c r="C1133" s="107" t="s">
        <v>9</v>
      </c>
      <c r="D1133" s="107" t="s">
        <v>132</v>
      </c>
      <c r="E1133" s="107" t="s">
        <v>10</v>
      </c>
      <c r="F1133" s="115" t="s">
        <v>304</v>
      </c>
      <c r="G1133" s="107" t="s">
        <v>31</v>
      </c>
      <c r="H1133" s="107" t="str">
        <f t="shared" si="102"/>
        <v>Area 8-1: Skagit Bay-Saratoga Psg.</v>
      </c>
      <c r="I1133" s="107" t="str">
        <f>IFERROR(VLOOKUP(H1133,LUTs!$A$1:$C$73,2,FALSE),"NA")</f>
        <v>NA</v>
      </c>
      <c r="J1133" s="107" t="str">
        <f>IFERROR(VLOOKUP(H1133,LUTs!$A$1:$C$73,3,FALSE),"NA")</f>
        <v>2Central Puget Sound</v>
      </c>
      <c r="K1133" s="107" t="s">
        <v>26</v>
      </c>
      <c r="L1133" s="107" t="str">
        <f>VLOOKUP(K1133,LUTs!E$2:G$14,3,)</f>
        <v>20Other</v>
      </c>
      <c r="M1133" s="107" t="str">
        <f>VLOOKUP($K1133,LUTs!$E$2:$H$14,2,)</f>
        <v>Non Puget Sound</v>
      </c>
      <c r="N1133" s="107" t="str">
        <f>VLOOKUP($K1133,LUTs!$E$2:$H$14,4,)</f>
        <v>07Non Puget Sound</v>
      </c>
      <c r="O1133" s="107">
        <v>211.52709359605899</v>
      </c>
      <c r="P1133" s="107">
        <v>213.67158017591501</v>
      </c>
      <c r="Q1133" s="107">
        <f t="shared" si="103"/>
        <v>211.52709359605899</v>
      </c>
      <c r="R1133" s="107">
        <f t="shared" si="104"/>
        <v>213.67158017591501</v>
      </c>
      <c r="S1133" s="140" t="str">
        <f t="shared" si="105"/>
        <v>N</v>
      </c>
      <c r="T1133" s="154">
        <f t="shared" si="106"/>
        <v>1.0101381177389561</v>
      </c>
      <c r="U1133" s="154">
        <f t="shared" si="107"/>
        <v>1.0101381177389561</v>
      </c>
    </row>
    <row r="1134" spans="1:21" x14ac:dyDescent="0.35">
      <c r="A1134" s="107">
        <v>2477</v>
      </c>
      <c r="B1134" s="107">
        <v>2021</v>
      </c>
      <c r="C1134" s="107" t="s">
        <v>9</v>
      </c>
      <c r="D1134" s="107" t="s">
        <v>132</v>
      </c>
      <c r="E1134" s="107" t="s">
        <v>10</v>
      </c>
      <c r="F1134" s="115" t="s">
        <v>304</v>
      </c>
      <c r="G1134" s="107" t="s">
        <v>31</v>
      </c>
      <c r="H1134" s="107" t="str">
        <f t="shared" si="102"/>
        <v>Area 8-1: Skagit Bay-Saratoga Psg.</v>
      </c>
      <c r="I1134" s="107" t="str">
        <f>IFERROR(VLOOKUP(H1134,LUTs!$A$1:$C$73,2,FALSE),"NA")</f>
        <v>NA</v>
      </c>
      <c r="J1134" s="107" t="str">
        <f>IFERROR(VLOOKUP(H1134,LUTs!$A$1:$C$73,3,FALSE),"NA")</f>
        <v>2Central Puget Sound</v>
      </c>
      <c r="K1134" s="107" t="s">
        <v>20</v>
      </c>
      <c r="L1134" s="107" t="str">
        <f>VLOOKUP(K1134,LUTs!E$2:G$14,3,)</f>
        <v>07Pierce</v>
      </c>
      <c r="M1134" s="107" t="str">
        <f>VLOOKUP($K1134,LUTs!$E$2:$H$14,2,)</f>
        <v>South Puget Sound</v>
      </c>
      <c r="N1134" s="107" t="str">
        <f>VLOOKUP($K1134,LUTs!$E$2:$H$14,4,)</f>
        <v>02South Puget Sound</v>
      </c>
      <c r="O1134" s="107">
        <v>10.576354679803</v>
      </c>
      <c r="P1134" s="107">
        <v>10.6835790087958</v>
      </c>
      <c r="Q1134" s="107">
        <f t="shared" si="103"/>
        <v>10.576354679803</v>
      </c>
      <c r="R1134" s="107">
        <f t="shared" si="104"/>
        <v>10.6835790087958</v>
      </c>
      <c r="S1134" s="140" t="str">
        <f t="shared" si="105"/>
        <v>N</v>
      </c>
      <c r="T1134" s="154">
        <f t="shared" si="106"/>
        <v>1.0101381177389559</v>
      </c>
      <c r="U1134" s="154">
        <f t="shared" si="107"/>
        <v>1.0101381177389559</v>
      </c>
    </row>
    <row r="1135" spans="1:21" x14ac:dyDescent="0.35">
      <c r="A1135" s="107">
        <v>2373</v>
      </c>
      <c r="B1135" s="107">
        <v>2021</v>
      </c>
      <c r="C1135" s="107" t="s">
        <v>9</v>
      </c>
      <c r="D1135" s="107" t="s">
        <v>132</v>
      </c>
      <c r="E1135" s="107" t="s">
        <v>10</v>
      </c>
      <c r="F1135" s="115" t="s">
        <v>304</v>
      </c>
      <c r="G1135" s="107" t="s">
        <v>31</v>
      </c>
      <c r="H1135" s="107" t="str">
        <f t="shared" si="102"/>
        <v>Area 8-1: Skagit Bay-Saratoga Psg.</v>
      </c>
      <c r="I1135" s="107" t="str">
        <f>IFERROR(VLOOKUP(H1135,LUTs!$A$1:$C$73,2,FALSE),"NA")</f>
        <v>NA</v>
      </c>
      <c r="J1135" s="107" t="str">
        <f>IFERROR(VLOOKUP(H1135,LUTs!$A$1:$C$73,3,FALSE),"NA")</f>
        <v>2Central Puget Sound</v>
      </c>
      <c r="K1135" s="107" t="s">
        <v>15</v>
      </c>
      <c r="L1135" s="107" t="str">
        <f>VLOOKUP(K1135,LUTs!E$2:G$14,3,)</f>
        <v>02Skagit</v>
      </c>
      <c r="M1135" s="107" t="str">
        <f>VLOOKUP($K1135,LUTs!$E$2:$H$14,2,)</f>
        <v>North Puget Sound</v>
      </c>
      <c r="N1135" s="107" t="str">
        <f>VLOOKUP($K1135,LUTs!$E$2:$H$14,4,)</f>
        <v>01North Puget Sound</v>
      </c>
      <c r="O1135" s="107">
        <v>708.61576354679801</v>
      </c>
      <c r="P1135" s="107">
        <v>715.79979358931598</v>
      </c>
      <c r="Q1135" s="107">
        <f t="shared" si="103"/>
        <v>708.61576354679801</v>
      </c>
      <c r="R1135" s="107">
        <f t="shared" si="104"/>
        <v>715.79979358931598</v>
      </c>
      <c r="S1135" s="140" t="str">
        <f t="shared" si="105"/>
        <v>N</v>
      </c>
      <c r="T1135" s="154">
        <f t="shared" si="106"/>
        <v>1.0101381177389566</v>
      </c>
      <c r="U1135" s="154">
        <f t="shared" si="107"/>
        <v>1.0101381177389566</v>
      </c>
    </row>
    <row r="1136" spans="1:21" x14ac:dyDescent="0.35">
      <c r="A1136" s="107">
        <v>2374</v>
      </c>
      <c r="B1136" s="107">
        <v>2021</v>
      </c>
      <c r="C1136" s="107" t="s">
        <v>9</v>
      </c>
      <c r="D1136" s="107" t="s">
        <v>132</v>
      </c>
      <c r="E1136" s="107" t="s">
        <v>10</v>
      </c>
      <c r="F1136" s="115" t="s">
        <v>304</v>
      </c>
      <c r="G1136" s="107" t="s">
        <v>31</v>
      </c>
      <c r="H1136" s="107" t="str">
        <f t="shared" si="102"/>
        <v>Area 8-1: Skagit Bay-Saratoga Psg.</v>
      </c>
      <c r="I1136" s="107" t="str">
        <f>IFERROR(VLOOKUP(H1136,LUTs!$A$1:$C$73,2,FALSE),"NA")</f>
        <v>NA</v>
      </c>
      <c r="J1136" s="107" t="str">
        <f>IFERROR(VLOOKUP(H1136,LUTs!$A$1:$C$73,3,FALSE),"NA")</f>
        <v>2Central Puget Sound</v>
      </c>
      <c r="K1136" s="107" t="s">
        <v>16</v>
      </c>
      <c r="L1136" s="107" t="str">
        <f>VLOOKUP(K1136,LUTs!E$2:G$14,3,)</f>
        <v>03Snohomish</v>
      </c>
      <c r="M1136" s="107" t="str">
        <f>VLOOKUP($K1136,LUTs!$E$2:$H$14,2,)</f>
        <v>North Puget Sound</v>
      </c>
      <c r="N1136" s="107" t="str">
        <f>VLOOKUP($K1136,LUTs!$E$2:$H$14,4,)</f>
        <v>01North Puget Sound</v>
      </c>
      <c r="O1136" s="107">
        <v>232.679802955665</v>
      </c>
      <c r="P1136" s="107">
        <v>235.03873819350699</v>
      </c>
      <c r="Q1136" s="107">
        <f t="shared" si="103"/>
        <v>232.679802955665</v>
      </c>
      <c r="R1136" s="107">
        <f t="shared" si="104"/>
        <v>235.03873819350699</v>
      </c>
      <c r="S1136" s="140" t="str">
        <f t="shared" si="105"/>
        <v>N</v>
      </c>
      <c r="T1136" s="154">
        <f t="shared" si="106"/>
        <v>1.0101381177389577</v>
      </c>
      <c r="U1136" s="154">
        <f t="shared" si="107"/>
        <v>1.0101381177389577</v>
      </c>
    </row>
    <row r="1137" spans="1:21" x14ac:dyDescent="0.35">
      <c r="A1137" s="107">
        <v>2372</v>
      </c>
      <c r="B1137" s="107">
        <v>2021</v>
      </c>
      <c r="C1137" s="107" t="s">
        <v>9</v>
      </c>
      <c r="D1137" s="107" t="s">
        <v>132</v>
      </c>
      <c r="E1137" s="107" t="s">
        <v>10</v>
      </c>
      <c r="F1137" s="115" t="s">
        <v>304</v>
      </c>
      <c r="G1137" s="107" t="s">
        <v>31</v>
      </c>
      <c r="H1137" s="107" t="str">
        <f t="shared" si="102"/>
        <v>Area 8-1: Skagit Bay-Saratoga Psg.</v>
      </c>
      <c r="I1137" s="107" t="str">
        <f>IFERROR(VLOOKUP(H1137,LUTs!$A$1:$C$73,2,FALSE),"NA")</f>
        <v>NA</v>
      </c>
      <c r="J1137" s="107" t="str">
        <f>IFERROR(VLOOKUP(H1137,LUTs!$A$1:$C$73,3,FALSE),"NA")</f>
        <v>2Central Puget Sound</v>
      </c>
      <c r="K1137" s="107" t="s">
        <v>13</v>
      </c>
      <c r="L1137" s="107" t="str">
        <f>VLOOKUP(K1137,LUTs!E$2:G$14,3,)</f>
        <v>01Whatcom</v>
      </c>
      <c r="M1137" s="107" t="str">
        <f>VLOOKUP($K1137,LUTs!$E$2:$H$14,2,)</f>
        <v>North Puget Sound</v>
      </c>
      <c r="N1137" s="107" t="str">
        <f>VLOOKUP($K1137,LUTs!$E$2:$H$14,4,)</f>
        <v>01North Puget Sound</v>
      </c>
      <c r="O1137" s="107">
        <v>105.76354679803001</v>
      </c>
      <c r="P1137" s="107">
        <v>106.835790087958</v>
      </c>
      <c r="Q1137" s="107">
        <f t="shared" si="103"/>
        <v>105.76354679803001</v>
      </c>
      <c r="R1137" s="107">
        <f t="shared" si="104"/>
        <v>106.835790087958</v>
      </c>
      <c r="S1137" s="140" t="str">
        <f t="shared" si="105"/>
        <v>N</v>
      </c>
      <c r="T1137" s="154">
        <f t="shared" si="106"/>
        <v>1.0101381177389559</v>
      </c>
      <c r="U1137" s="154">
        <f t="shared" si="107"/>
        <v>1.0101381177389559</v>
      </c>
    </row>
    <row r="1138" spans="1:21" x14ac:dyDescent="0.35">
      <c r="A1138" s="107">
        <v>2599</v>
      </c>
      <c r="B1138" s="107">
        <v>2010</v>
      </c>
      <c r="C1138" s="107" t="s">
        <v>9</v>
      </c>
      <c r="D1138" s="107" t="s">
        <v>132</v>
      </c>
      <c r="E1138" s="107" t="s">
        <v>10</v>
      </c>
      <c r="F1138" s="115" t="s">
        <v>305</v>
      </c>
      <c r="G1138" s="107" t="s">
        <v>32</v>
      </c>
      <c r="H1138" s="107" t="str">
        <f t="shared" si="102"/>
        <v>Area 8-2: Port Susan-Port Gardner</v>
      </c>
      <c r="I1138" s="107" t="str">
        <f>IFERROR(VLOOKUP(H1138,LUTs!$A$1:$C$73,2,FALSE),"NA")</f>
        <v>NA</v>
      </c>
      <c r="J1138" s="107" t="str">
        <f>IFERROR(VLOOKUP(H1138,LUTs!$A$1:$C$73,3,FALSE),"NA")</f>
        <v>2Central Puget Sound</v>
      </c>
      <c r="K1138" s="107" t="s">
        <v>17</v>
      </c>
      <c r="L1138" s="107" t="str">
        <f>VLOOKUP(K1138,LUTs!E$2:G$14,3,)</f>
        <v>04Island</v>
      </c>
      <c r="M1138" s="107" t="str">
        <f>VLOOKUP($K1138,LUTs!$E$2:$H$14,2,)</f>
        <v>North Puget Sound</v>
      </c>
      <c r="N1138" s="107" t="str">
        <f>VLOOKUP($K1138,LUTs!$E$2:$H$14,4,)</f>
        <v>01North Puget Sound</v>
      </c>
      <c r="O1138" s="107">
        <v>78.050761421319805</v>
      </c>
      <c r="P1138" s="107">
        <v>2145.7600000000002</v>
      </c>
      <c r="Q1138" s="107">
        <f t="shared" si="103"/>
        <v>78.050761421319805</v>
      </c>
      <c r="R1138" s="107">
        <f t="shared" si="104"/>
        <v>2145.7600000000002</v>
      </c>
      <c r="S1138" s="140" t="str">
        <f t="shared" si="105"/>
        <v>Y</v>
      </c>
      <c r="T1138" s="154">
        <f t="shared" si="106"/>
        <v>27.491852237252861</v>
      </c>
      <c r="U1138" s="154">
        <f t="shared" si="107"/>
        <v>27.491852237252861</v>
      </c>
    </row>
    <row r="1139" spans="1:21" x14ac:dyDescent="0.35">
      <c r="A1139" s="107">
        <v>2665</v>
      </c>
      <c r="B1139" s="107">
        <v>2010</v>
      </c>
      <c r="C1139" s="107" t="s">
        <v>9</v>
      </c>
      <c r="D1139" s="107" t="s">
        <v>132</v>
      </c>
      <c r="E1139" s="107" t="s">
        <v>10</v>
      </c>
      <c r="F1139" s="115" t="s">
        <v>305</v>
      </c>
      <c r="G1139" s="107" t="s">
        <v>32</v>
      </c>
      <c r="H1139" s="107" t="str">
        <f t="shared" si="102"/>
        <v>Area 8-2: Port Susan-Port Gardner</v>
      </c>
      <c r="I1139" s="107" t="str">
        <f>IFERROR(VLOOKUP(H1139,LUTs!$A$1:$C$73,2,FALSE),"NA")</f>
        <v>NA</v>
      </c>
      <c r="J1139" s="107" t="str">
        <f>IFERROR(VLOOKUP(H1139,LUTs!$A$1:$C$73,3,FALSE),"NA")</f>
        <v>2Central Puget Sound</v>
      </c>
      <c r="K1139" s="107" t="s">
        <v>18</v>
      </c>
      <c r="L1139" s="107" t="str">
        <f>VLOOKUP(K1139,LUTs!E$2:G$14,3,)</f>
        <v>06King</v>
      </c>
      <c r="M1139" s="107" t="str">
        <f>VLOOKUP($K1139,LUTs!$E$2:$H$14,2,)</f>
        <v>South Puget Sound</v>
      </c>
      <c r="N1139" s="107" t="str">
        <f>VLOOKUP($K1139,LUTs!$E$2:$H$14,4,)</f>
        <v>02South Puget Sound</v>
      </c>
      <c r="O1139" s="107">
        <v>82.928934010152304</v>
      </c>
      <c r="P1139" s="107">
        <v>2279.87</v>
      </c>
      <c r="Q1139" s="107">
        <f t="shared" si="103"/>
        <v>82.928934010152304</v>
      </c>
      <c r="R1139" s="107">
        <f t="shared" si="104"/>
        <v>2279.87</v>
      </c>
      <c r="S1139" s="140" t="str">
        <f t="shared" si="105"/>
        <v>Y</v>
      </c>
      <c r="T1139" s="154">
        <f t="shared" si="106"/>
        <v>27.491852237252854</v>
      </c>
      <c r="U1139" s="154">
        <f t="shared" si="107"/>
        <v>27.491852237252854</v>
      </c>
    </row>
    <row r="1140" spans="1:21" x14ac:dyDescent="0.35">
      <c r="A1140" s="107">
        <v>2714</v>
      </c>
      <c r="B1140" s="107">
        <v>2010</v>
      </c>
      <c r="C1140" s="107" t="s">
        <v>9</v>
      </c>
      <c r="D1140" s="107" t="s">
        <v>132</v>
      </c>
      <c r="E1140" s="107" t="s">
        <v>10</v>
      </c>
      <c r="F1140" s="115" t="s">
        <v>305</v>
      </c>
      <c r="G1140" s="107" t="s">
        <v>32</v>
      </c>
      <c r="H1140" s="107" t="str">
        <f t="shared" si="102"/>
        <v>Area 8-2: Port Susan-Port Gardner</v>
      </c>
      <c r="I1140" s="107" t="str">
        <f>IFERROR(VLOOKUP(H1140,LUTs!$A$1:$C$73,2,FALSE),"NA")</f>
        <v>NA</v>
      </c>
      <c r="J1140" s="107" t="str">
        <f>IFERROR(VLOOKUP(H1140,LUTs!$A$1:$C$73,3,FALSE),"NA")</f>
        <v>2Central Puget Sound</v>
      </c>
      <c r="K1140" s="107" t="s">
        <v>23</v>
      </c>
      <c r="L1140" s="107" t="str">
        <f>VLOOKUP(K1140,LUTs!E$2:G$14,3,)</f>
        <v>10Kitsap</v>
      </c>
      <c r="M1140" s="107" t="str">
        <f>VLOOKUP($K1140,LUTs!$E$2:$H$14,2,)</f>
        <v>South Puget Sound</v>
      </c>
      <c r="N1140" s="107" t="str">
        <f>VLOOKUP($K1140,LUTs!$E$2:$H$14,4,)</f>
        <v>02South Puget Sound</v>
      </c>
      <c r="O1140" s="107">
        <v>4.8781725888324896</v>
      </c>
      <c r="P1140" s="107">
        <v>134.11000000000001</v>
      </c>
      <c r="Q1140" s="107">
        <f t="shared" si="103"/>
        <v>4.8781725888324896</v>
      </c>
      <c r="R1140" s="107">
        <f t="shared" si="104"/>
        <v>134.11000000000001</v>
      </c>
      <c r="S1140" s="140" t="str">
        <f t="shared" si="105"/>
        <v>Y</v>
      </c>
      <c r="T1140" s="154">
        <f t="shared" si="106"/>
        <v>27.49185223725285</v>
      </c>
      <c r="U1140" s="154">
        <f t="shared" si="107"/>
        <v>27.49185223725285</v>
      </c>
    </row>
    <row r="1141" spans="1:21" x14ac:dyDescent="0.35">
      <c r="A1141" s="107">
        <v>2715</v>
      </c>
      <c r="B1141" s="107">
        <v>2010</v>
      </c>
      <c r="C1141" s="107" t="s">
        <v>9</v>
      </c>
      <c r="D1141" s="107" t="s">
        <v>132</v>
      </c>
      <c r="E1141" s="107" t="s">
        <v>10</v>
      </c>
      <c r="F1141" s="115" t="s">
        <v>305</v>
      </c>
      <c r="G1141" s="107" t="s">
        <v>32</v>
      </c>
      <c r="H1141" s="107" t="str">
        <f t="shared" si="102"/>
        <v>Area 8-2: Port Susan-Port Gardner</v>
      </c>
      <c r="I1141" s="107" t="str">
        <f>IFERROR(VLOOKUP(H1141,LUTs!$A$1:$C$73,2,FALSE),"NA")</f>
        <v>NA</v>
      </c>
      <c r="J1141" s="107" t="str">
        <f>IFERROR(VLOOKUP(H1141,LUTs!$A$1:$C$73,3,FALSE),"NA")</f>
        <v>2Central Puget Sound</v>
      </c>
      <c r="K1141" s="107" t="s">
        <v>26</v>
      </c>
      <c r="L1141" s="107" t="str">
        <f>VLOOKUP(K1141,LUTs!E$2:G$14,3,)</f>
        <v>20Other</v>
      </c>
      <c r="M1141" s="107" t="str">
        <f>VLOOKUP($K1141,LUTs!$E$2:$H$14,2,)</f>
        <v>Non Puget Sound</v>
      </c>
      <c r="N1141" s="107" t="str">
        <f>VLOOKUP($K1141,LUTs!$E$2:$H$14,4,)</f>
        <v>07Non Puget Sound</v>
      </c>
      <c r="O1141" s="107">
        <v>53.659898477157398</v>
      </c>
      <c r="P1141" s="107">
        <v>1475.21</v>
      </c>
      <c r="Q1141" s="107">
        <f t="shared" si="103"/>
        <v>53.659898477157398</v>
      </c>
      <c r="R1141" s="107">
        <f t="shared" si="104"/>
        <v>1475.21</v>
      </c>
      <c r="S1141" s="140" t="str">
        <f t="shared" si="105"/>
        <v>Y</v>
      </c>
      <c r="T1141" s="154">
        <f t="shared" si="106"/>
        <v>27.491852237252843</v>
      </c>
      <c r="U1141" s="154">
        <f t="shared" si="107"/>
        <v>27.491852237252843</v>
      </c>
    </row>
    <row r="1142" spans="1:21" x14ac:dyDescent="0.35">
      <c r="A1142" s="107">
        <v>2666</v>
      </c>
      <c r="B1142" s="107">
        <v>2010</v>
      </c>
      <c r="C1142" s="107" t="s">
        <v>9</v>
      </c>
      <c r="D1142" s="107" t="s">
        <v>132</v>
      </c>
      <c r="E1142" s="107" t="s">
        <v>10</v>
      </c>
      <c r="F1142" s="115" t="s">
        <v>305</v>
      </c>
      <c r="G1142" s="107" t="s">
        <v>32</v>
      </c>
      <c r="H1142" s="107" t="str">
        <f t="shared" si="102"/>
        <v>Area 8-2: Port Susan-Port Gardner</v>
      </c>
      <c r="I1142" s="107" t="str">
        <f>IFERROR(VLOOKUP(H1142,LUTs!$A$1:$C$73,2,FALSE),"NA")</f>
        <v>NA</v>
      </c>
      <c r="J1142" s="107" t="str">
        <f>IFERROR(VLOOKUP(H1142,LUTs!$A$1:$C$73,3,FALSE),"NA")</f>
        <v>2Central Puget Sound</v>
      </c>
      <c r="K1142" s="107" t="s">
        <v>20</v>
      </c>
      <c r="L1142" s="107" t="str">
        <f>VLOOKUP(K1142,LUTs!E$2:G$14,3,)</f>
        <v>07Pierce</v>
      </c>
      <c r="M1142" s="107" t="str">
        <f>VLOOKUP($K1142,LUTs!$E$2:$H$14,2,)</f>
        <v>South Puget Sound</v>
      </c>
      <c r="N1142" s="107" t="str">
        <f>VLOOKUP($K1142,LUTs!$E$2:$H$14,4,)</f>
        <v>02South Puget Sound</v>
      </c>
      <c r="O1142" s="107">
        <v>24.3908629441624</v>
      </c>
      <c r="P1142" s="107">
        <v>670.55</v>
      </c>
      <c r="Q1142" s="107">
        <f t="shared" si="103"/>
        <v>24.3908629441624</v>
      </c>
      <c r="R1142" s="107">
        <f t="shared" si="104"/>
        <v>670.55</v>
      </c>
      <c r="S1142" s="140" t="str">
        <f t="shared" si="105"/>
        <v>Y</v>
      </c>
      <c r="T1142" s="154">
        <f t="shared" si="106"/>
        <v>27.4918522372529</v>
      </c>
      <c r="U1142" s="154">
        <f t="shared" si="107"/>
        <v>27.4918522372529</v>
      </c>
    </row>
    <row r="1143" spans="1:21" x14ac:dyDescent="0.35">
      <c r="A1143" s="107">
        <v>2597</v>
      </c>
      <c r="B1143" s="107">
        <v>2010</v>
      </c>
      <c r="C1143" s="107" t="s">
        <v>9</v>
      </c>
      <c r="D1143" s="107" t="s">
        <v>132</v>
      </c>
      <c r="E1143" s="107" t="s">
        <v>10</v>
      </c>
      <c r="F1143" s="115" t="s">
        <v>305</v>
      </c>
      <c r="G1143" s="107" t="s">
        <v>32</v>
      </c>
      <c r="H1143" s="107" t="str">
        <f t="shared" si="102"/>
        <v>Area 8-2: Port Susan-Port Gardner</v>
      </c>
      <c r="I1143" s="107" t="str">
        <f>IFERROR(VLOOKUP(H1143,LUTs!$A$1:$C$73,2,FALSE),"NA")</f>
        <v>NA</v>
      </c>
      <c r="J1143" s="107" t="str">
        <f>IFERROR(VLOOKUP(H1143,LUTs!$A$1:$C$73,3,FALSE),"NA")</f>
        <v>2Central Puget Sound</v>
      </c>
      <c r="K1143" s="107" t="s">
        <v>15</v>
      </c>
      <c r="L1143" s="107" t="str">
        <f>VLOOKUP(K1143,LUTs!E$2:G$14,3,)</f>
        <v>02Skagit</v>
      </c>
      <c r="M1143" s="107" t="str">
        <f>VLOOKUP($K1143,LUTs!$E$2:$H$14,2,)</f>
        <v>North Puget Sound</v>
      </c>
      <c r="N1143" s="107" t="str">
        <f>VLOOKUP($K1143,LUTs!$E$2:$H$14,4,)</f>
        <v>01North Puget Sound</v>
      </c>
      <c r="O1143" s="107">
        <v>24.3908629441624</v>
      </c>
      <c r="P1143" s="107">
        <v>670.55</v>
      </c>
      <c r="Q1143" s="107">
        <f t="shared" si="103"/>
        <v>24.3908629441624</v>
      </c>
      <c r="R1143" s="107">
        <f t="shared" si="104"/>
        <v>670.55</v>
      </c>
      <c r="S1143" s="140" t="str">
        <f t="shared" si="105"/>
        <v>Y</v>
      </c>
      <c r="T1143" s="154">
        <f t="shared" si="106"/>
        <v>27.4918522372529</v>
      </c>
      <c r="U1143" s="154">
        <f t="shared" si="107"/>
        <v>27.4918522372529</v>
      </c>
    </row>
    <row r="1144" spans="1:21" x14ac:dyDescent="0.35">
      <c r="A1144" s="107">
        <v>2598</v>
      </c>
      <c r="B1144" s="107">
        <v>2010</v>
      </c>
      <c r="C1144" s="107" t="s">
        <v>9</v>
      </c>
      <c r="D1144" s="107" t="s">
        <v>132</v>
      </c>
      <c r="E1144" s="107" t="s">
        <v>10</v>
      </c>
      <c r="F1144" s="115" t="s">
        <v>305</v>
      </c>
      <c r="G1144" s="107" t="s">
        <v>32</v>
      </c>
      <c r="H1144" s="107" t="str">
        <f t="shared" si="102"/>
        <v>Area 8-2: Port Susan-Port Gardner</v>
      </c>
      <c r="I1144" s="107" t="str">
        <f>IFERROR(VLOOKUP(H1144,LUTs!$A$1:$C$73,2,FALSE),"NA")</f>
        <v>NA</v>
      </c>
      <c r="J1144" s="107" t="str">
        <f>IFERROR(VLOOKUP(H1144,LUTs!$A$1:$C$73,3,FALSE),"NA")</f>
        <v>2Central Puget Sound</v>
      </c>
      <c r="K1144" s="107" t="s">
        <v>16</v>
      </c>
      <c r="L1144" s="107" t="str">
        <f>VLOOKUP(K1144,LUTs!E$2:G$14,3,)</f>
        <v>03Snohomish</v>
      </c>
      <c r="M1144" s="107" t="str">
        <f>VLOOKUP($K1144,LUTs!$E$2:$H$14,2,)</f>
        <v>North Puget Sound</v>
      </c>
      <c r="N1144" s="107" t="str">
        <f>VLOOKUP($K1144,LUTs!$E$2:$H$14,4,)</f>
        <v>01North Puget Sound</v>
      </c>
      <c r="O1144" s="107">
        <v>668.30964467005094</v>
      </c>
      <c r="P1144" s="107">
        <v>18373.07</v>
      </c>
      <c r="Q1144" s="107">
        <f t="shared" si="103"/>
        <v>668.30964467005094</v>
      </c>
      <c r="R1144" s="107">
        <f t="shared" si="104"/>
        <v>18373.07</v>
      </c>
      <c r="S1144" s="140" t="str">
        <f t="shared" si="105"/>
        <v>Y</v>
      </c>
      <c r="T1144" s="154">
        <f t="shared" si="106"/>
        <v>27.491852237252854</v>
      </c>
      <c r="U1144" s="154">
        <f t="shared" si="107"/>
        <v>27.491852237252854</v>
      </c>
    </row>
    <row r="1145" spans="1:21" x14ac:dyDescent="0.35">
      <c r="A1145" s="107">
        <v>2713</v>
      </c>
      <c r="B1145" s="107">
        <v>2010</v>
      </c>
      <c r="C1145" s="107" t="s">
        <v>9</v>
      </c>
      <c r="D1145" s="107" t="s">
        <v>132</v>
      </c>
      <c r="E1145" s="107" t="s">
        <v>10</v>
      </c>
      <c r="F1145" s="115" t="s">
        <v>305</v>
      </c>
      <c r="G1145" s="107" t="s">
        <v>32</v>
      </c>
      <c r="H1145" s="107" t="str">
        <f t="shared" si="102"/>
        <v>Area 8-2: Port Susan-Port Gardner</v>
      </c>
      <c r="I1145" s="107" t="str">
        <f>IFERROR(VLOOKUP(H1145,LUTs!$A$1:$C$73,2,FALSE),"NA")</f>
        <v>NA</v>
      </c>
      <c r="J1145" s="107" t="str">
        <f>IFERROR(VLOOKUP(H1145,LUTs!$A$1:$C$73,3,FALSE),"NA")</f>
        <v>2Central Puget Sound</v>
      </c>
      <c r="K1145" s="107" t="s">
        <v>21</v>
      </c>
      <c r="L1145" s="107" t="str">
        <f>VLOOKUP(K1145,LUTs!E$2:G$14,3,)</f>
        <v>08Thurston</v>
      </c>
      <c r="M1145" s="107" t="str">
        <f>VLOOKUP($K1145,LUTs!$E$2:$H$14,2,)</f>
        <v>South Puget Sound</v>
      </c>
      <c r="N1145" s="107" t="str">
        <f>VLOOKUP($K1145,LUTs!$E$2:$H$14,4,)</f>
        <v>02South Puget Sound</v>
      </c>
      <c r="O1145" s="107">
        <v>14.634517766497501</v>
      </c>
      <c r="P1145" s="107">
        <v>402.33</v>
      </c>
      <c r="Q1145" s="107">
        <f t="shared" si="103"/>
        <v>14.634517766497501</v>
      </c>
      <c r="R1145" s="107">
        <f t="shared" si="104"/>
        <v>402.33</v>
      </c>
      <c r="S1145" s="140" t="str">
        <f t="shared" si="105"/>
        <v>Y</v>
      </c>
      <c r="T1145" s="154">
        <f t="shared" si="106"/>
        <v>27.491852237252786</v>
      </c>
      <c r="U1145" s="154">
        <f t="shared" si="107"/>
        <v>27.491852237252786</v>
      </c>
    </row>
    <row r="1146" spans="1:21" x14ac:dyDescent="0.35">
      <c r="A1146" s="107">
        <v>2596</v>
      </c>
      <c r="B1146" s="107">
        <v>2010</v>
      </c>
      <c r="C1146" s="107" t="s">
        <v>9</v>
      </c>
      <c r="D1146" s="107" t="s">
        <v>132</v>
      </c>
      <c r="E1146" s="107" t="s">
        <v>10</v>
      </c>
      <c r="F1146" s="115" t="s">
        <v>305</v>
      </c>
      <c r="G1146" s="107" t="s">
        <v>32</v>
      </c>
      <c r="H1146" s="107" t="str">
        <f t="shared" si="102"/>
        <v>Area 8-2: Port Susan-Port Gardner</v>
      </c>
      <c r="I1146" s="107" t="str">
        <f>IFERROR(VLOOKUP(H1146,LUTs!$A$1:$C$73,2,FALSE),"NA")</f>
        <v>NA</v>
      </c>
      <c r="J1146" s="107" t="str">
        <f>IFERROR(VLOOKUP(H1146,LUTs!$A$1:$C$73,3,FALSE),"NA")</f>
        <v>2Central Puget Sound</v>
      </c>
      <c r="K1146" s="107" t="s">
        <v>13</v>
      </c>
      <c r="L1146" s="107" t="str">
        <f>VLOOKUP(K1146,LUTs!E$2:G$14,3,)</f>
        <v>01Whatcom</v>
      </c>
      <c r="M1146" s="107" t="str">
        <f>VLOOKUP($K1146,LUTs!$E$2:$H$14,2,)</f>
        <v>North Puget Sound</v>
      </c>
      <c r="N1146" s="107" t="str">
        <f>VLOOKUP($K1146,LUTs!$E$2:$H$14,4,)</f>
        <v>01North Puget Sound</v>
      </c>
      <c r="O1146" s="107">
        <v>9.7563451776649792</v>
      </c>
      <c r="P1146" s="107">
        <v>268.22000000000003</v>
      </c>
      <c r="Q1146" s="107">
        <f t="shared" si="103"/>
        <v>9.7563451776649792</v>
      </c>
      <c r="R1146" s="107">
        <f t="shared" si="104"/>
        <v>268.22000000000003</v>
      </c>
      <c r="S1146" s="140" t="str">
        <f t="shared" si="105"/>
        <v>Y</v>
      </c>
      <c r="T1146" s="154">
        <f t="shared" si="106"/>
        <v>27.49185223725285</v>
      </c>
      <c r="U1146" s="154">
        <f t="shared" si="107"/>
        <v>27.49185223725285</v>
      </c>
    </row>
    <row r="1147" spans="1:21" x14ac:dyDescent="0.35">
      <c r="A1147" s="107">
        <v>3461</v>
      </c>
      <c r="B1147" s="107">
        <v>2011</v>
      </c>
      <c r="C1147" s="107" t="s">
        <v>9</v>
      </c>
      <c r="D1147" s="107" t="s">
        <v>132</v>
      </c>
      <c r="E1147" s="107" t="s">
        <v>10</v>
      </c>
      <c r="F1147" s="115" t="s">
        <v>305</v>
      </c>
      <c r="G1147" s="107" t="s">
        <v>32</v>
      </c>
      <c r="H1147" s="107" t="str">
        <f t="shared" si="102"/>
        <v>Area 8-2: Port Susan-Port Gardner</v>
      </c>
      <c r="I1147" s="107" t="str">
        <f>IFERROR(VLOOKUP(H1147,LUTs!$A$1:$C$73,2,FALSE),"NA")</f>
        <v>NA</v>
      </c>
      <c r="J1147" s="107" t="str">
        <f>IFERROR(VLOOKUP(H1147,LUTs!$A$1:$C$73,3,FALSE),"NA")</f>
        <v>2Central Puget Sound</v>
      </c>
      <c r="K1147" s="107" t="s">
        <v>24</v>
      </c>
      <c r="L1147" s="107" t="str">
        <f>VLOOKUP(K1147,LUTs!E$2:G$14,3,)</f>
        <v>11Clallam</v>
      </c>
      <c r="M1147" s="107" t="str">
        <f>VLOOKUP($K1147,LUTs!$E$2:$H$14,2,)</f>
        <v>Strait of Juan de Fuca</v>
      </c>
      <c r="N1147" s="107" t="str">
        <f>VLOOKUP($K1147,LUTs!$E$2:$H$14,4,)</f>
        <v>03Strait of Juan de Fuca</v>
      </c>
      <c r="O1147" s="107">
        <v>74.793311147285394</v>
      </c>
      <c r="P1147" s="107">
        <v>140.130841202863</v>
      </c>
      <c r="Q1147" s="107">
        <f t="shared" si="103"/>
        <v>74.793311147285394</v>
      </c>
      <c r="R1147" s="107">
        <f t="shared" si="104"/>
        <v>140.130841202863</v>
      </c>
      <c r="S1147" s="140" t="str">
        <f t="shared" si="105"/>
        <v>Y</v>
      </c>
      <c r="T1147" s="154">
        <f t="shared" si="106"/>
        <v>1.8735745089144782</v>
      </c>
      <c r="U1147" s="154">
        <f t="shared" si="107"/>
        <v>1.8735745089144782</v>
      </c>
    </row>
    <row r="1148" spans="1:21" x14ac:dyDescent="0.35">
      <c r="A1148" s="107">
        <v>3061</v>
      </c>
      <c r="B1148" s="107">
        <v>2011</v>
      </c>
      <c r="C1148" s="107" t="s">
        <v>9</v>
      </c>
      <c r="D1148" s="107" t="s">
        <v>132</v>
      </c>
      <c r="E1148" s="107" t="s">
        <v>10</v>
      </c>
      <c r="F1148" s="115" t="s">
        <v>305</v>
      </c>
      <c r="G1148" s="107" t="s">
        <v>32</v>
      </c>
      <c r="H1148" s="107" t="str">
        <f t="shared" si="102"/>
        <v>Area 8-2: Port Susan-Port Gardner</v>
      </c>
      <c r="I1148" s="107" t="str">
        <f>IFERROR(VLOOKUP(H1148,LUTs!$A$1:$C$73,2,FALSE),"NA")</f>
        <v>NA</v>
      </c>
      <c r="J1148" s="107" t="str">
        <f>IFERROR(VLOOKUP(H1148,LUTs!$A$1:$C$73,3,FALSE),"NA")</f>
        <v>2Central Puget Sound</v>
      </c>
      <c r="K1148" s="107" t="s">
        <v>17</v>
      </c>
      <c r="L1148" s="107" t="str">
        <f>VLOOKUP(K1148,LUTs!E$2:G$14,3,)</f>
        <v>04Island</v>
      </c>
      <c r="M1148" s="107" t="str">
        <f>VLOOKUP($K1148,LUTs!$E$2:$H$14,2,)</f>
        <v>North Puget Sound</v>
      </c>
      <c r="N1148" s="107" t="str">
        <f>VLOOKUP($K1148,LUTs!$E$2:$H$14,4,)</f>
        <v>01North Puget Sound</v>
      </c>
      <c r="O1148" s="107">
        <v>1570.65953409299</v>
      </c>
      <c r="P1148" s="107">
        <v>2942.7476652601299</v>
      </c>
      <c r="Q1148" s="107">
        <f t="shared" si="103"/>
        <v>1570.65953409299</v>
      </c>
      <c r="R1148" s="107">
        <f t="shared" si="104"/>
        <v>2942.7476652601299</v>
      </c>
      <c r="S1148" s="140" t="str">
        <f t="shared" si="105"/>
        <v>Y</v>
      </c>
      <c r="T1148" s="154">
        <f t="shared" si="106"/>
        <v>1.8735745089144864</v>
      </c>
      <c r="U1148" s="154">
        <f t="shared" si="107"/>
        <v>1.8735745089144864</v>
      </c>
    </row>
    <row r="1149" spans="1:21" x14ac:dyDescent="0.35">
      <c r="A1149" s="107">
        <v>3282</v>
      </c>
      <c r="B1149" s="107">
        <v>2011</v>
      </c>
      <c r="C1149" s="107" t="s">
        <v>9</v>
      </c>
      <c r="D1149" s="107" t="s">
        <v>132</v>
      </c>
      <c r="E1149" s="107" t="s">
        <v>10</v>
      </c>
      <c r="F1149" s="115" t="s">
        <v>305</v>
      </c>
      <c r="G1149" s="107" t="s">
        <v>32</v>
      </c>
      <c r="H1149" s="107" t="str">
        <f t="shared" si="102"/>
        <v>Area 8-2: Port Susan-Port Gardner</v>
      </c>
      <c r="I1149" s="107" t="str">
        <f>IFERROR(VLOOKUP(H1149,LUTs!$A$1:$C$73,2,FALSE),"NA")</f>
        <v>NA</v>
      </c>
      <c r="J1149" s="107" t="str">
        <f>IFERROR(VLOOKUP(H1149,LUTs!$A$1:$C$73,3,FALSE),"NA")</f>
        <v>2Central Puget Sound</v>
      </c>
      <c r="K1149" s="107" t="s">
        <v>18</v>
      </c>
      <c r="L1149" s="107" t="str">
        <f>VLOOKUP(K1149,LUTs!E$2:G$14,3,)</f>
        <v>06King</v>
      </c>
      <c r="M1149" s="107" t="str">
        <f>VLOOKUP($K1149,LUTs!$E$2:$H$14,2,)</f>
        <v>South Puget Sound</v>
      </c>
      <c r="N1149" s="107" t="str">
        <f>VLOOKUP($K1149,LUTs!$E$2:$H$14,4,)</f>
        <v>02South Puget Sound</v>
      </c>
      <c r="O1149" s="107">
        <v>3854.7321898985601</v>
      </c>
      <c r="P1149" s="107">
        <v>7222.1279696860202</v>
      </c>
      <c r="Q1149" s="107">
        <f t="shared" si="103"/>
        <v>3854.7321898985601</v>
      </c>
      <c r="R1149" s="107">
        <f t="shared" si="104"/>
        <v>7222.1279696860202</v>
      </c>
      <c r="S1149" s="140" t="str">
        <f t="shared" si="105"/>
        <v>Y</v>
      </c>
      <c r="T1149" s="154">
        <f t="shared" si="106"/>
        <v>1.8735745089144766</v>
      </c>
      <c r="U1149" s="154">
        <f t="shared" si="107"/>
        <v>1.8735745089144766</v>
      </c>
    </row>
    <row r="1150" spans="1:21" x14ac:dyDescent="0.35">
      <c r="A1150" s="107">
        <v>3380</v>
      </c>
      <c r="B1150" s="107">
        <v>2011</v>
      </c>
      <c r="C1150" s="107" t="s">
        <v>9</v>
      </c>
      <c r="D1150" s="107" t="s">
        <v>132</v>
      </c>
      <c r="E1150" s="107" t="s">
        <v>10</v>
      </c>
      <c r="F1150" s="115" t="s">
        <v>305</v>
      </c>
      <c r="G1150" s="107" t="s">
        <v>32</v>
      </c>
      <c r="H1150" s="107" t="str">
        <f t="shared" si="102"/>
        <v>Area 8-2: Port Susan-Port Gardner</v>
      </c>
      <c r="I1150" s="107" t="str">
        <f>IFERROR(VLOOKUP(H1150,LUTs!$A$1:$C$73,2,FALSE),"NA")</f>
        <v>NA</v>
      </c>
      <c r="J1150" s="107" t="str">
        <f>IFERROR(VLOOKUP(H1150,LUTs!$A$1:$C$73,3,FALSE),"NA")</f>
        <v>2Central Puget Sound</v>
      </c>
      <c r="K1150" s="107" t="s">
        <v>23</v>
      </c>
      <c r="L1150" s="107" t="str">
        <f>VLOOKUP(K1150,LUTs!E$2:G$14,3,)</f>
        <v>10Kitsap</v>
      </c>
      <c r="M1150" s="107" t="str">
        <f>VLOOKUP($K1150,LUTs!$E$2:$H$14,2,)</f>
        <v>South Puget Sound</v>
      </c>
      <c r="N1150" s="107" t="str">
        <f>VLOOKUP($K1150,LUTs!$E$2:$H$14,4,)</f>
        <v>02South Puget Sound</v>
      </c>
      <c r="O1150" s="107">
        <v>201.366606934999</v>
      </c>
      <c r="P1150" s="107">
        <v>377.27534170001599</v>
      </c>
      <c r="Q1150" s="107">
        <f t="shared" si="103"/>
        <v>201.366606934999</v>
      </c>
      <c r="R1150" s="107">
        <f t="shared" si="104"/>
        <v>377.27534170001599</v>
      </c>
      <c r="S1150" s="140" t="str">
        <f t="shared" si="105"/>
        <v>Y</v>
      </c>
      <c r="T1150" s="154">
        <f t="shared" si="106"/>
        <v>1.8735745089144806</v>
      </c>
      <c r="U1150" s="154">
        <f t="shared" si="107"/>
        <v>1.8735745089144806</v>
      </c>
    </row>
    <row r="1151" spans="1:21" x14ac:dyDescent="0.35">
      <c r="A1151" s="107">
        <v>3379</v>
      </c>
      <c r="B1151" s="107">
        <v>2011</v>
      </c>
      <c r="C1151" s="107" t="s">
        <v>9</v>
      </c>
      <c r="D1151" s="107" t="s">
        <v>132</v>
      </c>
      <c r="E1151" s="107" t="s">
        <v>10</v>
      </c>
      <c r="F1151" s="115" t="s">
        <v>305</v>
      </c>
      <c r="G1151" s="107" t="s">
        <v>32</v>
      </c>
      <c r="H1151" s="107" t="str">
        <f t="shared" si="102"/>
        <v>Area 8-2: Port Susan-Port Gardner</v>
      </c>
      <c r="I1151" s="107" t="str">
        <f>IFERROR(VLOOKUP(H1151,LUTs!$A$1:$C$73,2,FALSE),"NA")</f>
        <v>NA</v>
      </c>
      <c r="J1151" s="107" t="str">
        <f>IFERROR(VLOOKUP(H1151,LUTs!$A$1:$C$73,3,FALSE),"NA")</f>
        <v>2Central Puget Sound</v>
      </c>
      <c r="K1151" s="107" t="s">
        <v>22</v>
      </c>
      <c r="L1151" s="107" t="str">
        <f>VLOOKUP(K1151,LUTs!E$2:G$14,3,)</f>
        <v>09Mason</v>
      </c>
      <c r="M1151" s="107" t="str">
        <f>VLOOKUP($K1151,LUTs!$E$2:$H$14,2,)</f>
        <v>South Puget Sound</v>
      </c>
      <c r="N1151" s="107" t="str">
        <f>VLOOKUP($K1151,LUTs!$E$2:$H$14,4,)</f>
        <v>02South Puget Sound</v>
      </c>
      <c r="O1151" s="107">
        <v>23.013326506857101</v>
      </c>
      <c r="P1151" s="107">
        <v>43.117181908573301</v>
      </c>
      <c r="Q1151" s="107">
        <f t="shared" si="103"/>
        <v>23.013326506857101</v>
      </c>
      <c r="R1151" s="107">
        <f t="shared" si="104"/>
        <v>43.117181908573301</v>
      </c>
      <c r="S1151" s="140" t="str">
        <f t="shared" si="105"/>
        <v>Y</v>
      </c>
      <c r="T1151" s="154">
        <f t="shared" si="106"/>
        <v>1.8735745089144766</v>
      </c>
      <c r="U1151" s="154">
        <f t="shared" si="107"/>
        <v>1.8735745089144766</v>
      </c>
    </row>
    <row r="1152" spans="1:21" x14ac:dyDescent="0.35">
      <c r="A1152" s="107">
        <v>3503</v>
      </c>
      <c r="B1152" s="107">
        <v>2011</v>
      </c>
      <c r="C1152" s="107" t="s">
        <v>9</v>
      </c>
      <c r="D1152" s="107" t="s">
        <v>132</v>
      </c>
      <c r="E1152" s="107" t="s">
        <v>10</v>
      </c>
      <c r="F1152" s="115" t="s">
        <v>305</v>
      </c>
      <c r="G1152" s="107" t="s">
        <v>32</v>
      </c>
      <c r="H1152" s="107" t="str">
        <f t="shared" si="102"/>
        <v>Area 8-2: Port Susan-Port Gardner</v>
      </c>
      <c r="I1152" s="107" t="str">
        <f>IFERROR(VLOOKUP(H1152,LUTs!$A$1:$C$73,2,FALSE),"NA")</f>
        <v>NA</v>
      </c>
      <c r="J1152" s="107" t="str">
        <f>IFERROR(VLOOKUP(H1152,LUTs!$A$1:$C$73,3,FALSE),"NA")</f>
        <v>2Central Puget Sound</v>
      </c>
      <c r="K1152" s="107" t="s">
        <v>26</v>
      </c>
      <c r="L1152" s="107" t="str">
        <f>VLOOKUP(K1152,LUTs!E$2:G$14,3,)</f>
        <v>20Other</v>
      </c>
      <c r="M1152" s="107" t="str">
        <f>VLOOKUP($K1152,LUTs!$E$2:$H$14,2,)</f>
        <v>Non Puget Sound</v>
      </c>
      <c r="N1152" s="107" t="str">
        <f>VLOOKUP($K1152,LUTs!$E$2:$H$14,4,)</f>
        <v>07Non Puget Sound</v>
      </c>
      <c r="O1152" s="107">
        <v>2157.49936001785</v>
      </c>
      <c r="P1152" s="107">
        <v>4042.2358039287401</v>
      </c>
      <c r="Q1152" s="107">
        <f t="shared" si="103"/>
        <v>2157.49936001785</v>
      </c>
      <c r="R1152" s="107">
        <f t="shared" si="104"/>
        <v>4042.2358039287401</v>
      </c>
      <c r="S1152" s="140" t="str">
        <f t="shared" si="105"/>
        <v>Y</v>
      </c>
      <c r="T1152" s="154">
        <f t="shared" si="106"/>
        <v>1.8735745089144762</v>
      </c>
      <c r="U1152" s="154">
        <f t="shared" si="107"/>
        <v>1.8735745089144762</v>
      </c>
    </row>
    <row r="1153" spans="1:21" x14ac:dyDescent="0.35">
      <c r="A1153" s="107">
        <v>3283</v>
      </c>
      <c r="B1153" s="107">
        <v>2011</v>
      </c>
      <c r="C1153" s="107" t="s">
        <v>9</v>
      </c>
      <c r="D1153" s="107" t="s">
        <v>132</v>
      </c>
      <c r="E1153" s="107" t="s">
        <v>10</v>
      </c>
      <c r="F1153" s="115" t="s">
        <v>305</v>
      </c>
      <c r="G1153" s="107" t="s">
        <v>32</v>
      </c>
      <c r="H1153" s="107" t="str">
        <f t="shared" si="102"/>
        <v>Area 8-2: Port Susan-Port Gardner</v>
      </c>
      <c r="I1153" s="107" t="str">
        <f>IFERROR(VLOOKUP(H1153,LUTs!$A$1:$C$73,2,FALSE),"NA")</f>
        <v>NA</v>
      </c>
      <c r="J1153" s="107" t="str">
        <f>IFERROR(VLOOKUP(H1153,LUTs!$A$1:$C$73,3,FALSE),"NA")</f>
        <v>2Central Puget Sound</v>
      </c>
      <c r="K1153" s="107" t="s">
        <v>20</v>
      </c>
      <c r="L1153" s="107" t="str">
        <f>VLOOKUP(K1153,LUTs!E$2:G$14,3,)</f>
        <v>07Pierce</v>
      </c>
      <c r="M1153" s="107" t="str">
        <f>VLOOKUP($K1153,LUTs!$E$2:$H$14,2,)</f>
        <v>South Puget Sound</v>
      </c>
      <c r="N1153" s="107" t="str">
        <f>VLOOKUP($K1153,LUTs!$E$2:$H$14,4,)</f>
        <v>02South Puget Sound</v>
      </c>
      <c r="O1153" s="107">
        <v>373.96655573642698</v>
      </c>
      <c r="P1153" s="107">
        <v>700.65420601431504</v>
      </c>
      <c r="Q1153" s="107">
        <f t="shared" si="103"/>
        <v>373.96655573642698</v>
      </c>
      <c r="R1153" s="107">
        <f t="shared" si="104"/>
        <v>700.65420601431504</v>
      </c>
      <c r="S1153" s="140" t="str">
        <f t="shared" si="105"/>
        <v>Y</v>
      </c>
      <c r="T1153" s="154">
        <f t="shared" si="106"/>
        <v>1.8735745089144782</v>
      </c>
      <c r="U1153" s="154">
        <f t="shared" si="107"/>
        <v>1.8735745089144782</v>
      </c>
    </row>
    <row r="1154" spans="1:21" x14ac:dyDescent="0.35">
      <c r="A1154" s="107">
        <v>3062</v>
      </c>
      <c r="B1154" s="107">
        <v>2011</v>
      </c>
      <c r="C1154" s="107" t="s">
        <v>9</v>
      </c>
      <c r="D1154" s="107" t="s">
        <v>132</v>
      </c>
      <c r="E1154" s="107" t="s">
        <v>10</v>
      </c>
      <c r="F1154" s="115" t="s">
        <v>305</v>
      </c>
      <c r="G1154" s="107" t="s">
        <v>32</v>
      </c>
      <c r="H1154" s="107" t="str">
        <f t="shared" ref="H1154:H1217" si="108">G1154</f>
        <v>Area 8-2: Port Susan-Port Gardner</v>
      </c>
      <c r="I1154" s="107" t="str">
        <f>IFERROR(VLOOKUP(H1154,LUTs!$A$1:$C$73,2,FALSE),"NA")</f>
        <v>NA</v>
      </c>
      <c r="J1154" s="107" t="str">
        <f>IFERROR(VLOOKUP(H1154,LUTs!$A$1:$C$73,3,FALSE),"NA")</f>
        <v>2Central Puget Sound</v>
      </c>
      <c r="K1154" s="107" t="s">
        <v>30</v>
      </c>
      <c r="L1154" s="107" t="str">
        <f>VLOOKUP(K1154,LUTs!E$2:G$14,3,)</f>
        <v>05San Juan</v>
      </c>
      <c r="M1154" s="107" t="str">
        <f>VLOOKUP($K1154,LUTs!$E$2:$H$14,2,)</f>
        <v>North Puget Sound</v>
      </c>
      <c r="N1154" s="107" t="str">
        <f>VLOOKUP($K1154,LUTs!$E$2:$H$14,4,)</f>
        <v>01North Puget Sound</v>
      </c>
      <c r="O1154" s="107">
        <v>17.259994880142798</v>
      </c>
      <c r="P1154" s="107">
        <v>32.33788643143</v>
      </c>
      <c r="Q1154" s="107">
        <f t="shared" ref="Q1154:Q1217" si="109">O1154</f>
        <v>17.259994880142798</v>
      </c>
      <c r="R1154" s="107">
        <f t="shared" ref="R1154:R1217" si="110">P1154</f>
        <v>32.33788643143</v>
      </c>
      <c r="S1154" s="140" t="str">
        <f t="shared" si="105"/>
        <v>Y</v>
      </c>
      <c r="T1154" s="154">
        <f t="shared" si="106"/>
        <v>1.8735745089144811</v>
      </c>
      <c r="U1154" s="154">
        <f t="shared" si="107"/>
        <v>1.8735745089144811</v>
      </c>
    </row>
    <row r="1155" spans="1:21" x14ac:dyDescent="0.35">
      <c r="A1155" s="107">
        <v>2944</v>
      </c>
      <c r="B1155" s="107">
        <v>2011</v>
      </c>
      <c r="C1155" s="107" t="s">
        <v>9</v>
      </c>
      <c r="D1155" s="107" t="s">
        <v>132</v>
      </c>
      <c r="E1155" s="107" t="s">
        <v>10</v>
      </c>
      <c r="F1155" s="115" t="s">
        <v>305</v>
      </c>
      <c r="G1155" s="107" t="s">
        <v>32</v>
      </c>
      <c r="H1155" s="107" t="str">
        <f t="shared" si="108"/>
        <v>Area 8-2: Port Susan-Port Gardner</v>
      </c>
      <c r="I1155" s="107" t="str">
        <f>IFERROR(VLOOKUP(H1155,LUTs!$A$1:$C$73,2,FALSE),"NA")</f>
        <v>NA</v>
      </c>
      <c r="J1155" s="107" t="str">
        <f>IFERROR(VLOOKUP(H1155,LUTs!$A$1:$C$73,3,FALSE),"NA")</f>
        <v>2Central Puget Sound</v>
      </c>
      <c r="K1155" s="107" t="s">
        <v>15</v>
      </c>
      <c r="L1155" s="107" t="str">
        <f>VLOOKUP(K1155,LUTs!E$2:G$14,3,)</f>
        <v>02Skagit</v>
      </c>
      <c r="M1155" s="107" t="str">
        <f>VLOOKUP($K1155,LUTs!$E$2:$H$14,2,)</f>
        <v>North Puget Sound</v>
      </c>
      <c r="N1155" s="107" t="str">
        <f>VLOOKUP($K1155,LUTs!$E$2:$H$14,4,)</f>
        <v>01North Puget Sound</v>
      </c>
      <c r="O1155" s="107">
        <v>224.379933441856</v>
      </c>
      <c r="P1155" s="107">
        <v>420.39252360858899</v>
      </c>
      <c r="Q1155" s="107">
        <f t="shared" si="109"/>
        <v>224.379933441856</v>
      </c>
      <c r="R1155" s="107">
        <f t="shared" si="110"/>
        <v>420.39252360858899</v>
      </c>
      <c r="S1155" s="140" t="str">
        <f t="shared" ref="S1155:S1218" si="111">IF(B1155&lt;=2019,"Y","N")</f>
        <v>Y</v>
      </c>
      <c r="T1155" s="154">
        <f t="shared" ref="T1155:T1218" si="112">IFERROR(P1155/O1155,"NA")</f>
        <v>1.8735745089144797</v>
      </c>
      <c r="U1155" s="154">
        <f t="shared" ref="U1155:U1218" si="113">IFERROR(R1155/Q1155,"NA")</f>
        <v>1.8735745089144797</v>
      </c>
    </row>
    <row r="1156" spans="1:21" x14ac:dyDescent="0.35">
      <c r="A1156" s="107">
        <v>3060</v>
      </c>
      <c r="B1156" s="107">
        <v>2011</v>
      </c>
      <c r="C1156" s="107" t="s">
        <v>9</v>
      </c>
      <c r="D1156" s="107" t="s">
        <v>132</v>
      </c>
      <c r="E1156" s="107" t="s">
        <v>10</v>
      </c>
      <c r="F1156" s="115" t="s">
        <v>305</v>
      </c>
      <c r="G1156" s="107" t="s">
        <v>32</v>
      </c>
      <c r="H1156" s="107" t="str">
        <f t="shared" si="108"/>
        <v>Area 8-2: Port Susan-Port Gardner</v>
      </c>
      <c r="I1156" s="107" t="str">
        <f>IFERROR(VLOOKUP(H1156,LUTs!$A$1:$C$73,2,FALSE),"NA")</f>
        <v>NA</v>
      </c>
      <c r="J1156" s="107" t="str">
        <f>IFERROR(VLOOKUP(H1156,LUTs!$A$1:$C$73,3,FALSE),"NA")</f>
        <v>2Central Puget Sound</v>
      </c>
      <c r="K1156" s="107" t="s">
        <v>16</v>
      </c>
      <c r="L1156" s="107" t="str">
        <f>VLOOKUP(K1156,LUTs!E$2:G$14,3,)</f>
        <v>03Snohomish</v>
      </c>
      <c r="M1156" s="107" t="str">
        <f>VLOOKUP($K1156,LUTs!$E$2:$H$14,2,)</f>
        <v>North Puget Sound</v>
      </c>
      <c r="N1156" s="107" t="str">
        <f>VLOOKUP($K1156,LUTs!$E$2:$H$14,4,)</f>
        <v>01North Puget Sound</v>
      </c>
      <c r="O1156" s="107">
        <v>15234.8221475394</v>
      </c>
      <c r="P1156" s="107">
        <v>28543.5744234755</v>
      </c>
      <c r="Q1156" s="107">
        <f t="shared" si="109"/>
        <v>15234.8221475394</v>
      </c>
      <c r="R1156" s="107">
        <f t="shared" si="110"/>
        <v>28543.5744234755</v>
      </c>
      <c r="S1156" s="140" t="str">
        <f t="shared" si="111"/>
        <v>Y</v>
      </c>
      <c r="T1156" s="154">
        <f t="shared" si="112"/>
        <v>1.8735745089144751</v>
      </c>
      <c r="U1156" s="154">
        <f t="shared" si="113"/>
        <v>1.8735745089144751</v>
      </c>
    </row>
    <row r="1157" spans="1:21" x14ac:dyDescent="0.35">
      <c r="A1157" s="107">
        <v>3378</v>
      </c>
      <c r="B1157" s="107">
        <v>2011</v>
      </c>
      <c r="C1157" s="107" t="s">
        <v>9</v>
      </c>
      <c r="D1157" s="107" t="s">
        <v>132</v>
      </c>
      <c r="E1157" s="107" t="s">
        <v>10</v>
      </c>
      <c r="F1157" s="115" t="s">
        <v>305</v>
      </c>
      <c r="G1157" s="107" t="s">
        <v>32</v>
      </c>
      <c r="H1157" s="107" t="str">
        <f t="shared" si="108"/>
        <v>Area 8-2: Port Susan-Port Gardner</v>
      </c>
      <c r="I1157" s="107" t="str">
        <f>IFERROR(VLOOKUP(H1157,LUTs!$A$1:$C$73,2,FALSE),"NA")</f>
        <v>NA</v>
      </c>
      <c r="J1157" s="107" t="str">
        <f>IFERROR(VLOOKUP(H1157,LUTs!$A$1:$C$73,3,FALSE),"NA")</f>
        <v>2Central Puget Sound</v>
      </c>
      <c r="K1157" s="107" t="s">
        <v>21</v>
      </c>
      <c r="L1157" s="107" t="str">
        <f>VLOOKUP(K1157,LUTs!E$2:G$14,3,)</f>
        <v>08Thurston</v>
      </c>
      <c r="M1157" s="107" t="str">
        <f>VLOOKUP($K1157,LUTs!$E$2:$H$14,2,)</f>
        <v>South Puget Sound</v>
      </c>
      <c r="N1157" s="107" t="str">
        <f>VLOOKUP($K1157,LUTs!$E$2:$H$14,4,)</f>
        <v>02South Puget Sound</v>
      </c>
      <c r="O1157" s="107">
        <v>40.273321386999903</v>
      </c>
      <c r="P1157" s="107">
        <v>75.455068340003194</v>
      </c>
      <c r="Q1157" s="107">
        <f t="shared" si="109"/>
        <v>40.273321386999903</v>
      </c>
      <c r="R1157" s="107">
        <f t="shared" si="110"/>
        <v>75.455068340003194</v>
      </c>
      <c r="S1157" s="140" t="str">
        <f t="shared" si="111"/>
        <v>Y</v>
      </c>
      <c r="T1157" s="154">
        <f t="shared" si="112"/>
        <v>1.8735745089144757</v>
      </c>
      <c r="U1157" s="154">
        <f t="shared" si="113"/>
        <v>1.8735745089144757</v>
      </c>
    </row>
    <row r="1158" spans="1:21" x14ac:dyDescent="0.35">
      <c r="A1158" s="107">
        <v>2943</v>
      </c>
      <c r="B1158" s="107">
        <v>2011</v>
      </c>
      <c r="C1158" s="107" t="s">
        <v>9</v>
      </c>
      <c r="D1158" s="107" t="s">
        <v>132</v>
      </c>
      <c r="E1158" s="107" t="s">
        <v>10</v>
      </c>
      <c r="F1158" s="115" t="s">
        <v>305</v>
      </c>
      <c r="G1158" s="107" t="s">
        <v>32</v>
      </c>
      <c r="H1158" s="107" t="str">
        <f t="shared" si="108"/>
        <v>Area 8-2: Port Susan-Port Gardner</v>
      </c>
      <c r="I1158" s="107" t="str">
        <f>IFERROR(VLOOKUP(H1158,LUTs!$A$1:$C$73,2,FALSE),"NA")</f>
        <v>NA</v>
      </c>
      <c r="J1158" s="107" t="str">
        <f>IFERROR(VLOOKUP(H1158,LUTs!$A$1:$C$73,3,FALSE),"NA")</f>
        <v>2Central Puget Sound</v>
      </c>
      <c r="K1158" s="107" t="s">
        <v>13</v>
      </c>
      <c r="L1158" s="107" t="str">
        <f>VLOOKUP(K1158,LUTs!E$2:G$14,3,)</f>
        <v>01Whatcom</v>
      </c>
      <c r="M1158" s="107" t="str">
        <f>VLOOKUP($K1158,LUTs!$E$2:$H$14,2,)</f>
        <v>North Puget Sound</v>
      </c>
      <c r="N1158" s="107" t="str">
        <f>VLOOKUP($K1158,LUTs!$E$2:$H$14,4,)</f>
        <v>01North Puget Sound</v>
      </c>
      <c r="O1158" s="107">
        <v>207.11993856171401</v>
      </c>
      <c r="P1158" s="107">
        <v>388.05463717715901</v>
      </c>
      <c r="Q1158" s="107">
        <f t="shared" si="109"/>
        <v>207.11993856171401</v>
      </c>
      <c r="R1158" s="107">
        <f t="shared" si="110"/>
        <v>388.05463717715901</v>
      </c>
      <c r="S1158" s="140" t="str">
        <f t="shared" si="111"/>
        <v>Y</v>
      </c>
      <c r="T1158" s="154">
        <f t="shared" si="112"/>
        <v>1.8735745089144724</v>
      </c>
      <c r="U1158" s="154">
        <f t="shared" si="113"/>
        <v>1.8735745089144724</v>
      </c>
    </row>
    <row r="1159" spans="1:21" x14ac:dyDescent="0.35">
      <c r="A1159" s="107">
        <v>2895</v>
      </c>
      <c r="B1159" s="107">
        <v>2012</v>
      </c>
      <c r="C1159" s="107" t="s">
        <v>9</v>
      </c>
      <c r="D1159" s="107" t="s">
        <v>132</v>
      </c>
      <c r="E1159" s="107" t="s">
        <v>10</v>
      </c>
      <c r="F1159" s="115" t="s">
        <v>305</v>
      </c>
      <c r="G1159" s="107" t="s">
        <v>32</v>
      </c>
      <c r="H1159" s="107" t="str">
        <f t="shared" si="108"/>
        <v>Area 8-2: Port Susan-Port Gardner</v>
      </c>
      <c r="I1159" s="107" t="str">
        <f>IFERROR(VLOOKUP(H1159,LUTs!$A$1:$C$73,2,FALSE),"NA")</f>
        <v>NA</v>
      </c>
      <c r="J1159" s="107" t="str">
        <f>IFERROR(VLOOKUP(H1159,LUTs!$A$1:$C$73,3,FALSE),"NA")</f>
        <v>2Central Puget Sound</v>
      </c>
      <c r="K1159" s="107" t="s">
        <v>24</v>
      </c>
      <c r="L1159" s="107" t="str">
        <f>VLOOKUP(K1159,LUTs!E$2:G$14,3,)</f>
        <v>11Clallam</v>
      </c>
      <c r="M1159" s="107" t="str">
        <f>VLOOKUP($K1159,LUTs!$E$2:$H$14,2,)</f>
        <v>Strait of Juan de Fuca</v>
      </c>
      <c r="N1159" s="107" t="str">
        <f>VLOOKUP($K1159,LUTs!$E$2:$H$14,4,)</f>
        <v>03Strait of Juan de Fuca</v>
      </c>
      <c r="O1159" s="107">
        <v>77.314028314028306</v>
      </c>
      <c r="P1159" s="107">
        <v>232.74087945087999</v>
      </c>
      <c r="Q1159" s="107">
        <f t="shared" si="109"/>
        <v>77.314028314028306</v>
      </c>
      <c r="R1159" s="107">
        <f t="shared" si="110"/>
        <v>232.74087945087999</v>
      </c>
      <c r="S1159" s="140" t="str">
        <f t="shared" si="111"/>
        <v>Y</v>
      </c>
      <c r="T1159" s="154">
        <f t="shared" si="112"/>
        <v>3.0103318185097092</v>
      </c>
      <c r="U1159" s="154">
        <f t="shared" si="113"/>
        <v>3.0103318185097092</v>
      </c>
    </row>
    <row r="1160" spans="1:21" x14ac:dyDescent="0.35">
      <c r="A1160" s="107">
        <v>2183</v>
      </c>
      <c r="B1160" s="107">
        <v>2012</v>
      </c>
      <c r="C1160" s="107" t="s">
        <v>9</v>
      </c>
      <c r="D1160" s="107" t="s">
        <v>132</v>
      </c>
      <c r="E1160" s="107" t="s">
        <v>10</v>
      </c>
      <c r="F1160" s="115" t="s">
        <v>305</v>
      </c>
      <c r="G1160" s="107" t="s">
        <v>32</v>
      </c>
      <c r="H1160" s="107" t="str">
        <f t="shared" si="108"/>
        <v>Area 8-2: Port Susan-Port Gardner</v>
      </c>
      <c r="I1160" s="107" t="str">
        <f>IFERROR(VLOOKUP(H1160,LUTs!$A$1:$C$73,2,FALSE),"NA")</f>
        <v>NA</v>
      </c>
      <c r="J1160" s="107" t="str">
        <f>IFERROR(VLOOKUP(H1160,LUTs!$A$1:$C$73,3,FALSE),"NA")</f>
        <v>2Central Puget Sound</v>
      </c>
      <c r="K1160" s="107" t="s">
        <v>17</v>
      </c>
      <c r="L1160" s="107" t="str">
        <f>VLOOKUP(K1160,LUTs!E$2:G$14,3,)</f>
        <v>04Island</v>
      </c>
      <c r="M1160" s="107" t="str">
        <f>VLOOKUP($K1160,LUTs!$E$2:$H$14,2,)</f>
        <v>North Puget Sound</v>
      </c>
      <c r="N1160" s="107" t="str">
        <f>VLOOKUP($K1160,LUTs!$E$2:$H$14,4,)</f>
        <v>01North Puget Sound</v>
      </c>
      <c r="O1160" s="107">
        <v>921.82110682110704</v>
      </c>
      <c r="P1160" s="107">
        <v>2774.9874088374099</v>
      </c>
      <c r="Q1160" s="107">
        <f t="shared" si="109"/>
        <v>921.82110682110704</v>
      </c>
      <c r="R1160" s="107">
        <f t="shared" si="110"/>
        <v>2774.9874088374099</v>
      </c>
      <c r="S1160" s="140" t="str">
        <f t="shared" si="111"/>
        <v>Y</v>
      </c>
      <c r="T1160" s="154">
        <f t="shared" si="112"/>
        <v>3.0103318185097026</v>
      </c>
      <c r="U1160" s="154">
        <f t="shared" si="113"/>
        <v>3.0103318185097026</v>
      </c>
    </row>
    <row r="1161" spans="1:21" x14ac:dyDescent="0.35">
      <c r="A1161" s="107">
        <v>2984</v>
      </c>
      <c r="B1161" s="107">
        <v>2012</v>
      </c>
      <c r="C1161" s="107" t="s">
        <v>9</v>
      </c>
      <c r="D1161" s="107" t="s">
        <v>132</v>
      </c>
      <c r="E1161" s="107" t="s">
        <v>10</v>
      </c>
      <c r="F1161" s="115" t="s">
        <v>305</v>
      </c>
      <c r="G1161" s="107" t="s">
        <v>32</v>
      </c>
      <c r="H1161" s="107" t="str">
        <f t="shared" si="108"/>
        <v>Area 8-2: Port Susan-Port Gardner</v>
      </c>
      <c r="I1161" s="107" t="str">
        <f>IFERROR(VLOOKUP(H1161,LUTs!$A$1:$C$73,2,FALSE),"NA")</f>
        <v>NA</v>
      </c>
      <c r="J1161" s="107" t="str">
        <f>IFERROR(VLOOKUP(H1161,LUTs!$A$1:$C$73,3,FALSE),"NA")</f>
        <v>2Central Puget Sound</v>
      </c>
      <c r="K1161" s="107" t="s">
        <v>25</v>
      </c>
      <c r="L1161" s="107" t="str">
        <f>VLOOKUP(K1161,LUTs!E$2:G$14,3,)</f>
        <v>12Jefferson</v>
      </c>
      <c r="M1161" s="107" t="str">
        <f>VLOOKUP($K1161,LUTs!$E$2:$H$14,2,)</f>
        <v>Strait of Juan de Fuca</v>
      </c>
      <c r="N1161" s="107" t="str">
        <f>VLOOKUP($K1161,LUTs!$E$2:$H$14,4,)</f>
        <v>03Strait of Juan de Fuca</v>
      </c>
      <c r="O1161" s="107">
        <v>5.9472329472329504</v>
      </c>
      <c r="P1161" s="107">
        <v>17.903144573144601</v>
      </c>
      <c r="Q1161" s="107">
        <f t="shared" si="109"/>
        <v>5.9472329472329504</v>
      </c>
      <c r="R1161" s="107">
        <f t="shared" si="110"/>
        <v>17.903144573144601</v>
      </c>
      <c r="S1161" s="140" t="str">
        <f t="shared" si="111"/>
        <v>Y</v>
      </c>
      <c r="T1161" s="154">
        <f t="shared" si="112"/>
        <v>3.0103318185097052</v>
      </c>
      <c r="U1161" s="154">
        <f t="shared" si="113"/>
        <v>3.0103318185097052</v>
      </c>
    </row>
    <row r="1162" spans="1:21" x14ac:dyDescent="0.35">
      <c r="A1162" s="107">
        <v>2419</v>
      </c>
      <c r="B1162" s="107">
        <v>2012</v>
      </c>
      <c r="C1162" s="107" t="s">
        <v>9</v>
      </c>
      <c r="D1162" s="107" t="s">
        <v>132</v>
      </c>
      <c r="E1162" s="107" t="s">
        <v>10</v>
      </c>
      <c r="F1162" s="115" t="s">
        <v>305</v>
      </c>
      <c r="G1162" s="107" t="s">
        <v>32</v>
      </c>
      <c r="H1162" s="107" t="str">
        <f t="shared" si="108"/>
        <v>Area 8-2: Port Susan-Port Gardner</v>
      </c>
      <c r="I1162" s="107" t="str">
        <f>IFERROR(VLOOKUP(H1162,LUTs!$A$1:$C$73,2,FALSE),"NA")</f>
        <v>NA</v>
      </c>
      <c r="J1162" s="107" t="str">
        <f>IFERROR(VLOOKUP(H1162,LUTs!$A$1:$C$73,3,FALSE),"NA")</f>
        <v>2Central Puget Sound</v>
      </c>
      <c r="K1162" s="107" t="s">
        <v>18</v>
      </c>
      <c r="L1162" s="107" t="str">
        <f>VLOOKUP(K1162,LUTs!E$2:G$14,3,)</f>
        <v>06King</v>
      </c>
      <c r="M1162" s="107" t="str">
        <f>VLOOKUP($K1162,LUTs!$E$2:$H$14,2,)</f>
        <v>South Puget Sound</v>
      </c>
      <c r="N1162" s="107" t="str">
        <f>VLOOKUP($K1162,LUTs!$E$2:$H$14,4,)</f>
        <v>02South Puget Sound</v>
      </c>
      <c r="O1162" s="107">
        <v>1694.9613899613901</v>
      </c>
      <c r="P1162" s="107">
        <v>5102.3962033462103</v>
      </c>
      <c r="Q1162" s="107">
        <f t="shared" si="109"/>
        <v>1694.9613899613901</v>
      </c>
      <c r="R1162" s="107">
        <f t="shared" si="110"/>
        <v>5102.3962033462103</v>
      </c>
      <c r="S1162" s="140" t="str">
        <f t="shared" si="111"/>
        <v>Y</v>
      </c>
      <c r="T1162" s="154">
        <f t="shared" si="112"/>
        <v>3.0103318185097061</v>
      </c>
      <c r="U1162" s="154">
        <f t="shared" si="113"/>
        <v>3.0103318185097061</v>
      </c>
    </row>
    <row r="1163" spans="1:21" x14ac:dyDescent="0.35">
      <c r="A1163" s="107">
        <v>2652</v>
      </c>
      <c r="B1163" s="107">
        <v>2012</v>
      </c>
      <c r="C1163" s="107" t="s">
        <v>9</v>
      </c>
      <c r="D1163" s="107" t="s">
        <v>132</v>
      </c>
      <c r="E1163" s="107" t="s">
        <v>10</v>
      </c>
      <c r="F1163" s="115" t="s">
        <v>305</v>
      </c>
      <c r="G1163" s="107" t="s">
        <v>32</v>
      </c>
      <c r="H1163" s="107" t="str">
        <f t="shared" si="108"/>
        <v>Area 8-2: Port Susan-Port Gardner</v>
      </c>
      <c r="I1163" s="107" t="str">
        <f>IFERROR(VLOOKUP(H1163,LUTs!$A$1:$C$73,2,FALSE),"NA")</f>
        <v>NA</v>
      </c>
      <c r="J1163" s="107" t="str">
        <f>IFERROR(VLOOKUP(H1163,LUTs!$A$1:$C$73,3,FALSE),"NA")</f>
        <v>2Central Puget Sound</v>
      </c>
      <c r="K1163" s="107" t="s">
        <v>23</v>
      </c>
      <c r="L1163" s="107" t="str">
        <f>VLOOKUP(K1163,LUTs!E$2:G$14,3,)</f>
        <v>10Kitsap</v>
      </c>
      <c r="M1163" s="107" t="str">
        <f>VLOOKUP($K1163,LUTs!$E$2:$H$14,2,)</f>
        <v>South Puget Sound</v>
      </c>
      <c r="N1163" s="107" t="str">
        <f>VLOOKUP($K1163,LUTs!$E$2:$H$14,4,)</f>
        <v>02South Puget Sound</v>
      </c>
      <c r="O1163" s="107">
        <v>89.208494208494201</v>
      </c>
      <c r="P1163" s="107">
        <v>268.54716859716899</v>
      </c>
      <c r="Q1163" s="107">
        <f t="shared" si="109"/>
        <v>89.208494208494201</v>
      </c>
      <c r="R1163" s="107">
        <f t="shared" si="110"/>
        <v>268.54716859716899</v>
      </c>
      <c r="S1163" s="140" t="str">
        <f t="shared" si="111"/>
        <v>Y</v>
      </c>
      <c r="T1163" s="154">
        <f t="shared" si="112"/>
        <v>3.0103318185097065</v>
      </c>
      <c r="U1163" s="154">
        <f t="shared" si="113"/>
        <v>3.0103318185097065</v>
      </c>
    </row>
    <row r="1164" spans="1:21" x14ac:dyDescent="0.35">
      <c r="A1164" s="107">
        <v>2651</v>
      </c>
      <c r="B1164" s="107">
        <v>2012</v>
      </c>
      <c r="C1164" s="107" t="s">
        <v>9</v>
      </c>
      <c r="D1164" s="107" t="s">
        <v>132</v>
      </c>
      <c r="E1164" s="107" t="s">
        <v>10</v>
      </c>
      <c r="F1164" s="115" t="s">
        <v>305</v>
      </c>
      <c r="G1164" s="107" t="s">
        <v>32</v>
      </c>
      <c r="H1164" s="107" t="str">
        <f t="shared" si="108"/>
        <v>Area 8-2: Port Susan-Port Gardner</v>
      </c>
      <c r="I1164" s="107" t="str">
        <f>IFERROR(VLOOKUP(H1164,LUTs!$A$1:$C$73,2,FALSE),"NA")</f>
        <v>NA</v>
      </c>
      <c r="J1164" s="107" t="str">
        <f>IFERROR(VLOOKUP(H1164,LUTs!$A$1:$C$73,3,FALSE),"NA")</f>
        <v>2Central Puget Sound</v>
      </c>
      <c r="K1164" s="107" t="s">
        <v>22</v>
      </c>
      <c r="L1164" s="107" t="str">
        <f>VLOOKUP(K1164,LUTs!E$2:G$14,3,)</f>
        <v>09Mason</v>
      </c>
      <c r="M1164" s="107" t="str">
        <f>VLOOKUP($K1164,LUTs!$E$2:$H$14,2,)</f>
        <v>South Puget Sound</v>
      </c>
      <c r="N1164" s="107" t="str">
        <f>VLOOKUP($K1164,LUTs!$E$2:$H$14,4,)</f>
        <v>02South Puget Sound</v>
      </c>
      <c r="O1164" s="107">
        <v>23.788931788931801</v>
      </c>
      <c r="P1164" s="107">
        <v>71.612578292578306</v>
      </c>
      <c r="Q1164" s="107">
        <f t="shared" si="109"/>
        <v>23.788931788931801</v>
      </c>
      <c r="R1164" s="107">
        <f t="shared" si="110"/>
        <v>71.612578292578306</v>
      </c>
      <c r="S1164" s="140" t="str">
        <f t="shared" si="111"/>
        <v>Y</v>
      </c>
      <c r="T1164" s="154">
        <f t="shared" si="112"/>
        <v>3.0103318185097012</v>
      </c>
      <c r="U1164" s="154">
        <f t="shared" si="113"/>
        <v>3.0103318185097012</v>
      </c>
    </row>
    <row r="1165" spans="1:21" x14ac:dyDescent="0.35">
      <c r="A1165" s="107">
        <v>2985</v>
      </c>
      <c r="B1165" s="107">
        <v>2012</v>
      </c>
      <c r="C1165" s="107" t="s">
        <v>9</v>
      </c>
      <c r="D1165" s="107" t="s">
        <v>132</v>
      </c>
      <c r="E1165" s="107" t="s">
        <v>10</v>
      </c>
      <c r="F1165" s="115" t="s">
        <v>305</v>
      </c>
      <c r="G1165" s="107" t="s">
        <v>32</v>
      </c>
      <c r="H1165" s="107" t="str">
        <f t="shared" si="108"/>
        <v>Area 8-2: Port Susan-Port Gardner</v>
      </c>
      <c r="I1165" s="107" t="str">
        <f>IFERROR(VLOOKUP(H1165,LUTs!$A$1:$C$73,2,FALSE),"NA")</f>
        <v>NA</v>
      </c>
      <c r="J1165" s="107" t="str">
        <f>IFERROR(VLOOKUP(H1165,LUTs!$A$1:$C$73,3,FALSE),"NA")</f>
        <v>2Central Puget Sound</v>
      </c>
      <c r="K1165" s="107" t="s">
        <v>26</v>
      </c>
      <c r="L1165" s="107" t="str">
        <f>VLOOKUP(K1165,LUTs!E$2:G$14,3,)</f>
        <v>20Other</v>
      </c>
      <c r="M1165" s="107" t="str">
        <f>VLOOKUP($K1165,LUTs!$E$2:$H$14,2,)</f>
        <v>Non Puget Sound</v>
      </c>
      <c r="N1165" s="107" t="str">
        <f>VLOOKUP($K1165,LUTs!$E$2:$H$14,4,)</f>
        <v>07Non Puget Sound</v>
      </c>
      <c r="O1165" s="107">
        <v>487.673101673102</v>
      </c>
      <c r="P1165" s="107">
        <v>1468.05785499786</v>
      </c>
      <c r="Q1165" s="107">
        <f t="shared" si="109"/>
        <v>487.673101673102</v>
      </c>
      <c r="R1165" s="107">
        <f t="shared" si="110"/>
        <v>1468.05785499786</v>
      </c>
      <c r="S1165" s="140" t="str">
        <f t="shared" si="111"/>
        <v>Y</v>
      </c>
      <c r="T1165" s="154">
        <f t="shared" si="112"/>
        <v>3.0103318185097101</v>
      </c>
      <c r="U1165" s="154">
        <f t="shared" si="113"/>
        <v>3.0103318185097101</v>
      </c>
    </row>
    <row r="1166" spans="1:21" x14ac:dyDescent="0.35">
      <c r="A1166" s="107">
        <v>2531</v>
      </c>
      <c r="B1166" s="107">
        <v>2012</v>
      </c>
      <c r="C1166" s="107" t="s">
        <v>9</v>
      </c>
      <c r="D1166" s="107" t="s">
        <v>132</v>
      </c>
      <c r="E1166" s="107" t="s">
        <v>10</v>
      </c>
      <c r="F1166" s="115" t="s">
        <v>305</v>
      </c>
      <c r="G1166" s="107" t="s">
        <v>32</v>
      </c>
      <c r="H1166" s="107" t="str">
        <f t="shared" si="108"/>
        <v>Area 8-2: Port Susan-Port Gardner</v>
      </c>
      <c r="I1166" s="107" t="str">
        <f>IFERROR(VLOOKUP(H1166,LUTs!$A$1:$C$73,2,FALSE),"NA")</f>
        <v>NA</v>
      </c>
      <c r="J1166" s="107" t="str">
        <f>IFERROR(VLOOKUP(H1166,LUTs!$A$1:$C$73,3,FALSE),"NA")</f>
        <v>2Central Puget Sound</v>
      </c>
      <c r="K1166" s="107" t="s">
        <v>20</v>
      </c>
      <c r="L1166" s="107" t="str">
        <f>VLOOKUP(K1166,LUTs!E$2:G$14,3,)</f>
        <v>07Pierce</v>
      </c>
      <c r="M1166" s="107" t="str">
        <f>VLOOKUP($K1166,LUTs!$E$2:$H$14,2,)</f>
        <v>South Puget Sound</v>
      </c>
      <c r="N1166" s="107" t="str">
        <f>VLOOKUP($K1166,LUTs!$E$2:$H$14,4,)</f>
        <v>02South Puget Sound</v>
      </c>
      <c r="O1166" s="107">
        <v>166.52252252252299</v>
      </c>
      <c r="P1166" s="107">
        <v>501.28804804804798</v>
      </c>
      <c r="Q1166" s="107">
        <f t="shared" si="109"/>
        <v>166.52252252252299</v>
      </c>
      <c r="R1166" s="107">
        <f t="shared" si="110"/>
        <v>501.28804804804798</v>
      </c>
      <c r="S1166" s="140" t="str">
        <f t="shared" si="111"/>
        <v>Y</v>
      </c>
      <c r="T1166" s="154">
        <f t="shared" si="112"/>
        <v>3.0103318185096932</v>
      </c>
      <c r="U1166" s="154">
        <f t="shared" si="113"/>
        <v>3.0103318185096932</v>
      </c>
    </row>
    <row r="1167" spans="1:21" x14ac:dyDescent="0.35">
      <c r="A1167" s="107">
        <v>2418</v>
      </c>
      <c r="B1167" s="107">
        <v>2012</v>
      </c>
      <c r="C1167" s="107" t="s">
        <v>9</v>
      </c>
      <c r="D1167" s="107" t="s">
        <v>132</v>
      </c>
      <c r="E1167" s="107" t="s">
        <v>10</v>
      </c>
      <c r="F1167" s="115" t="s">
        <v>305</v>
      </c>
      <c r="G1167" s="107" t="s">
        <v>32</v>
      </c>
      <c r="H1167" s="107" t="str">
        <f t="shared" si="108"/>
        <v>Area 8-2: Port Susan-Port Gardner</v>
      </c>
      <c r="I1167" s="107" t="str">
        <f>IFERROR(VLOOKUP(H1167,LUTs!$A$1:$C$73,2,FALSE),"NA")</f>
        <v>NA</v>
      </c>
      <c r="J1167" s="107" t="str">
        <f>IFERROR(VLOOKUP(H1167,LUTs!$A$1:$C$73,3,FALSE),"NA")</f>
        <v>2Central Puget Sound</v>
      </c>
      <c r="K1167" s="107" t="s">
        <v>30</v>
      </c>
      <c r="L1167" s="107" t="str">
        <f>VLOOKUP(K1167,LUTs!E$2:G$14,3,)</f>
        <v>05San Juan</v>
      </c>
      <c r="M1167" s="107" t="str">
        <f>VLOOKUP($K1167,LUTs!$E$2:$H$14,2,)</f>
        <v>North Puget Sound</v>
      </c>
      <c r="N1167" s="107" t="str">
        <f>VLOOKUP($K1167,LUTs!$E$2:$H$14,4,)</f>
        <v>01North Puget Sound</v>
      </c>
      <c r="O1167" s="107">
        <v>11.894465894465901</v>
      </c>
      <c r="P1167" s="107">
        <v>35.806289146289203</v>
      </c>
      <c r="Q1167" s="107">
        <f t="shared" si="109"/>
        <v>11.894465894465901</v>
      </c>
      <c r="R1167" s="107">
        <f t="shared" si="110"/>
        <v>35.806289146289203</v>
      </c>
      <c r="S1167" s="140" t="str">
        <f t="shared" si="111"/>
        <v>Y</v>
      </c>
      <c r="T1167" s="154">
        <f t="shared" si="112"/>
        <v>3.0103318185097052</v>
      </c>
      <c r="U1167" s="154">
        <f t="shared" si="113"/>
        <v>3.0103318185097052</v>
      </c>
    </row>
    <row r="1168" spans="1:21" x14ac:dyDescent="0.35">
      <c r="A1168" s="107">
        <v>2042</v>
      </c>
      <c r="B1168" s="107">
        <v>2012</v>
      </c>
      <c r="C1168" s="107" t="s">
        <v>9</v>
      </c>
      <c r="D1168" s="107" t="s">
        <v>132</v>
      </c>
      <c r="E1168" s="107" t="s">
        <v>10</v>
      </c>
      <c r="F1168" s="115" t="s">
        <v>305</v>
      </c>
      <c r="G1168" s="107" t="s">
        <v>32</v>
      </c>
      <c r="H1168" s="107" t="str">
        <f t="shared" si="108"/>
        <v>Area 8-2: Port Susan-Port Gardner</v>
      </c>
      <c r="I1168" s="107" t="str">
        <f>IFERROR(VLOOKUP(H1168,LUTs!$A$1:$C$73,2,FALSE),"NA")</f>
        <v>NA</v>
      </c>
      <c r="J1168" s="107" t="str">
        <f>IFERROR(VLOOKUP(H1168,LUTs!$A$1:$C$73,3,FALSE),"NA")</f>
        <v>2Central Puget Sound</v>
      </c>
      <c r="K1168" s="107" t="s">
        <v>15</v>
      </c>
      <c r="L1168" s="107" t="str">
        <f>VLOOKUP(K1168,LUTs!E$2:G$14,3,)</f>
        <v>02Skagit</v>
      </c>
      <c r="M1168" s="107" t="str">
        <f>VLOOKUP($K1168,LUTs!$E$2:$H$14,2,)</f>
        <v>North Puget Sound</v>
      </c>
      <c r="N1168" s="107" t="str">
        <f>VLOOKUP($K1168,LUTs!$E$2:$H$14,4,)</f>
        <v>01North Puget Sound</v>
      </c>
      <c r="O1168" s="107">
        <v>178.416988416988</v>
      </c>
      <c r="P1168" s="107">
        <v>537.09433719433696</v>
      </c>
      <c r="Q1168" s="107">
        <f t="shared" si="109"/>
        <v>178.416988416988</v>
      </c>
      <c r="R1168" s="107">
        <f t="shared" si="110"/>
        <v>537.09433719433696</v>
      </c>
      <c r="S1168" s="140" t="str">
        <f t="shared" si="111"/>
        <v>Y</v>
      </c>
      <c r="T1168" s="154">
        <f t="shared" si="112"/>
        <v>3.0103318185097079</v>
      </c>
      <c r="U1168" s="154">
        <f t="shared" si="113"/>
        <v>3.0103318185097079</v>
      </c>
    </row>
    <row r="1169" spans="1:21" x14ac:dyDescent="0.35">
      <c r="A1169" s="107">
        <v>2182</v>
      </c>
      <c r="B1169" s="107">
        <v>2012</v>
      </c>
      <c r="C1169" s="107" t="s">
        <v>9</v>
      </c>
      <c r="D1169" s="107" t="s">
        <v>132</v>
      </c>
      <c r="E1169" s="107" t="s">
        <v>10</v>
      </c>
      <c r="F1169" s="115" t="s">
        <v>305</v>
      </c>
      <c r="G1169" s="107" t="s">
        <v>32</v>
      </c>
      <c r="H1169" s="107" t="str">
        <f t="shared" si="108"/>
        <v>Area 8-2: Port Susan-Port Gardner</v>
      </c>
      <c r="I1169" s="107" t="str">
        <f>IFERROR(VLOOKUP(H1169,LUTs!$A$1:$C$73,2,FALSE),"NA")</f>
        <v>NA</v>
      </c>
      <c r="J1169" s="107" t="str">
        <f>IFERROR(VLOOKUP(H1169,LUTs!$A$1:$C$73,3,FALSE),"NA")</f>
        <v>2Central Puget Sound</v>
      </c>
      <c r="K1169" s="107" t="s">
        <v>16</v>
      </c>
      <c r="L1169" s="107" t="str">
        <f>VLOOKUP(K1169,LUTs!E$2:G$14,3,)</f>
        <v>03Snohomish</v>
      </c>
      <c r="M1169" s="107" t="str">
        <f>VLOOKUP($K1169,LUTs!$E$2:$H$14,2,)</f>
        <v>North Puget Sound</v>
      </c>
      <c r="N1169" s="107" t="str">
        <f>VLOOKUP($K1169,LUTs!$E$2:$H$14,4,)</f>
        <v>01North Puget Sound</v>
      </c>
      <c r="O1169" s="107">
        <v>10140.0321750322</v>
      </c>
      <c r="P1169" s="107">
        <v>30524.861497211499</v>
      </c>
      <c r="Q1169" s="107">
        <f t="shared" si="109"/>
        <v>10140.0321750322</v>
      </c>
      <c r="R1169" s="107">
        <f t="shared" si="110"/>
        <v>30524.861497211499</v>
      </c>
      <c r="S1169" s="140" t="str">
        <f t="shared" si="111"/>
        <v>Y</v>
      </c>
      <c r="T1169" s="154">
        <f t="shared" si="112"/>
        <v>3.010331818509695</v>
      </c>
      <c r="U1169" s="154">
        <f t="shared" si="113"/>
        <v>3.010331818509695</v>
      </c>
    </row>
    <row r="1170" spans="1:21" x14ac:dyDescent="0.35">
      <c r="A1170" s="107">
        <v>2532</v>
      </c>
      <c r="B1170" s="107">
        <v>2012</v>
      </c>
      <c r="C1170" s="107" t="s">
        <v>9</v>
      </c>
      <c r="D1170" s="107" t="s">
        <v>132</v>
      </c>
      <c r="E1170" s="107" t="s">
        <v>10</v>
      </c>
      <c r="F1170" s="115" t="s">
        <v>305</v>
      </c>
      <c r="G1170" s="107" t="s">
        <v>32</v>
      </c>
      <c r="H1170" s="107" t="str">
        <f t="shared" si="108"/>
        <v>Area 8-2: Port Susan-Port Gardner</v>
      </c>
      <c r="I1170" s="107" t="str">
        <f>IFERROR(VLOOKUP(H1170,LUTs!$A$1:$C$73,2,FALSE),"NA")</f>
        <v>NA</v>
      </c>
      <c r="J1170" s="107" t="str">
        <f>IFERROR(VLOOKUP(H1170,LUTs!$A$1:$C$73,3,FALSE),"NA")</f>
        <v>2Central Puget Sound</v>
      </c>
      <c r="K1170" s="107" t="s">
        <v>21</v>
      </c>
      <c r="L1170" s="107" t="str">
        <f>VLOOKUP(K1170,LUTs!E$2:G$14,3,)</f>
        <v>08Thurston</v>
      </c>
      <c r="M1170" s="107" t="str">
        <f>VLOOKUP($K1170,LUTs!$E$2:$H$14,2,)</f>
        <v>South Puget Sound</v>
      </c>
      <c r="N1170" s="107" t="str">
        <f>VLOOKUP($K1170,LUTs!$E$2:$H$14,4,)</f>
        <v>02South Puget Sound</v>
      </c>
      <c r="O1170" s="107">
        <v>5.9472329472329504</v>
      </c>
      <c r="P1170" s="107">
        <v>17.903144573144601</v>
      </c>
      <c r="Q1170" s="107">
        <f t="shared" si="109"/>
        <v>5.9472329472329504</v>
      </c>
      <c r="R1170" s="107">
        <f t="shared" si="110"/>
        <v>17.903144573144601</v>
      </c>
      <c r="S1170" s="140" t="str">
        <f t="shared" si="111"/>
        <v>Y</v>
      </c>
      <c r="T1170" s="154">
        <f t="shared" si="112"/>
        <v>3.0103318185097052</v>
      </c>
      <c r="U1170" s="154">
        <f t="shared" si="113"/>
        <v>3.0103318185097052</v>
      </c>
    </row>
    <row r="1171" spans="1:21" x14ac:dyDescent="0.35">
      <c r="A1171" s="107">
        <v>2041</v>
      </c>
      <c r="B1171" s="107">
        <v>2012</v>
      </c>
      <c r="C1171" s="107" t="s">
        <v>9</v>
      </c>
      <c r="D1171" s="107" t="s">
        <v>132</v>
      </c>
      <c r="E1171" s="107" t="s">
        <v>10</v>
      </c>
      <c r="F1171" s="115" t="s">
        <v>305</v>
      </c>
      <c r="G1171" s="107" t="s">
        <v>32</v>
      </c>
      <c r="H1171" s="107" t="str">
        <f t="shared" si="108"/>
        <v>Area 8-2: Port Susan-Port Gardner</v>
      </c>
      <c r="I1171" s="107" t="str">
        <f>IFERROR(VLOOKUP(H1171,LUTs!$A$1:$C$73,2,FALSE),"NA")</f>
        <v>NA</v>
      </c>
      <c r="J1171" s="107" t="str">
        <f>IFERROR(VLOOKUP(H1171,LUTs!$A$1:$C$73,3,FALSE),"NA")</f>
        <v>2Central Puget Sound</v>
      </c>
      <c r="K1171" s="107" t="s">
        <v>13</v>
      </c>
      <c r="L1171" s="107" t="str">
        <f>VLOOKUP(K1171,LUTs!E$2:G$14,3,)</f>
        <v>01Whatcom</v>
      </c>
      <c r="M1171" s="107" t="str">
        <f>VLOOKUP($K1171,LUTs!$E$2:$H$14,2,)</f>
        <v>North Puget Sound</v>
      </c>
      <c r="N1171" s="107" t="str">
        <f>VLOOKUP($K1171,LUTs!$E$2:$H$14,4,)</f>
        <v>01North Puget Sound</v>
      </c>
      <c r="O1171" s="107">
        <v>59.472329472329498</v>
      </c>
      <c r="P1171" s="107">
        <v>179.03144573144601</v>
      </c>
      <c r="Q1171" s="107">
        <f t="shared" si="109"/>
        <v>59.472329472329498</v>
      </c>
      <c r="R1171" s="107">
        <f t="shared" si="110"/>
        <v>179.03144573144601</v>
      </c>
      <c r="S1171" s="140" t="str">
        <f t="shared" si="111"/>
        <v>Y</v>
      </c>
      <c r="T1171" s="154">
        <f t="shared" si="112"/>
        <v>3.0103318185097057</v>
      </c>
      <c r="U1171" s="154">
        <f t="shared" si="113"/>
        <v>3.0103318185097057</v>
      </c>
    </row>
    <row r="1172" spans="1:21" x14ac:dyDescent="0.35">
      <c r="A1172" s="107">
        <v>3318</v>
      </c>
      <c r="B1172" s="107">
        <v>2013</v>
      </c>
      <c r="C1172" s="107" t="s">
        <v>9</v>
      </c>
      <c r="D1172" s="107" t="s">
        <v>132</v>
      </c>
      <c r="E1172" s="107" t="s">
        <v>10</v>
      </c>
      <c r="F1172" s="115" t="s">
        <v>305</v>
      </c>
      <c r="G1172" s="107" t="s">
        <v>32</v>
      </c>
      <c r="H1172" s="107" t="str">
        <f t="shared" si="108"/>
        <v>Area 8-2: Port Susan-Port Gardner</v>
      </c>
      <c r="I1172" s="107" t="str">
        <f>IFERROR(VLOOKUP(H1172,LUTs!$A$1:$C$73,2,FALSE),"NA")</f>
        <v>NA</v>
      </c>
      <c r="J1172" s="107" t="str">
        <f>IFERROR(VLOOKUP(H1172,LUTs!$A$1:$C$73,3,FALSE),"NA")</f>
        <v>2Central Puget Sound</v>
      </c>
      <c r="K1172" s="107" t="s">
        <v>24</v>
      </c>
      <c r="L1172" s="107" t="str">
        <f>VLOOKUP(K1172,LUTs!E$2:G$14,3,)</f>
        <v>11Clallam</v>
      </c>
      <c r="M1172" s="107" t="str">
        <f>VLOOKUP($K1172,LUTs!$E$2:$H$14,2,)</f>
        <v>Strait of Juan de Fuca</v>
      </c>
      <c r="N1172" s="107" t="str">
        <f>VLOOKUP($K1172,LUTs!$E$2:$H$14,4,)</f>
        <v>03Strait of Juan de Fuca</v>
      </c>
      <c r="O1172" s="107">
        <v>32.446105919003102</v>
      </c>
      <c r="P1172" s="107">
        <v>49.215115264797497</v>
      </c>
      <c r="Q1172" s="107">
        <f t="shared" si="109"/>
        <v>32.446105919003102</v>
      </c>
      <c r="R1172" s="107">
        <f t="shared" si="110"/>
        <v>49.215115264797497</v>
      </c>
      <c r="S1172" s="140" t="str">
        <f t="shared" si="111"/>
        <v>Y</v>
      </c>
      <c r="T1172" s="154">
        <f t="shared" si="112"/>
        <v>1.5168265611798144</v>
      </c>
      <c r="U1172" s="154">
        <f t="shared" si="113"/>
        <v>1.5168265611798144</v>
      </c>
    </row>
    <row r="1173" spans="1:21" x14ac:dyDescent="0.35">
      <c r="A1173" s="107">
        <v>3225</v>
      </c>
      <c r="B1173" s="107">
        <v>2013</v>
      </c>
      <c r="C1173" s="107" t="s">
        <v>9</v>
      </c>
      <c r="D1173" s="107" t="s">
        <v>132</v>
      </c>
      <c r="E1173" s="107" t="s">
        <v>10</v>
      </c>
      <c r="F1173" s="115" t="s">
        <v>305</v>
      </c>
      <c r="G1173" s="107" t="s">
        <v>32</v>
      </c>
      <c r="H1173" s="107" t="str">
        <f t="shared" si="108"/>
        <v>Area 8-2: Port Susan-Port Gardner</v>
      </c>
      <c r="I1173" s="107" t="str">
        <f>IFERROR(VLOOKUP(H1173,LUTs!$A$1:$C$73,2,FALSE),"NA")</f>
        <v>NA</v>
      </c>
      <c r="J1173" s="107" t="str">
        <f>IFERROR(VLOOKUP(H1173,LUTs!$A$1:$C$73,3,FALSE),"NA")</f>
        <v>2Central Puget Sound</v>
      </c>
      <c r="K1173" s="107" t="s">
        <v>17</v>
      </c>
      <c r="L1173" s="107" t="str">
        <f>VLOOKUP(K1173,LUTs!E$2:G$14,3,)</f>
        <v>04Island</v>
      </c>
      <c r="M1173" s="107" t="str">
        <f>VLOOKUP($K1173,LUTs!$E$2:$H$14,2,)</f>
        <v>North Puget Sound</v>
      </c>
      <c r="N1173" s="107" t="str">
        <f>VLOOKUP($K1173,LUTs!$E$2:$H$14,4,)</f>
        <v>01North Puget Sound</v>
      </c>
      <c r="O1173" s="107">
        <v>1643.93603322949</v>
      </c>
      <c r="P1173" s="107">
        <v>2493.5658400830698</v>
      </c>
      <c r="Q1173" s="107">
        <f t="shared" si="109"/>
        <v>1643.93603322949</v>
      </c>
      <c r="R1173" s="107">
        <f t="shared" si="110"/>
        <v>2493.5658400830698</v>
      </c>
      <c r="S1173" s="140" t="str">
        <f t="shared" si="111"/>
        <v>Y</v>
      </c>
      <c r="T1173" s="154">
        <f t="shared" si="112"/>
        <v>1.5168265611798128</v>
      </c>
      <c r="U1173" s="154">
        <f t="shared" si="113"/>
        <v>1.5168265611798128</v>
      </c>
    </row>
    <row r="1174" spans="1:21" x14ac:dyDescent="0.35">
      <c r="A1174" s="107">
        <v>3319</v>
      </c>
      <c r="B1174" s="107">
        <v>2013</v>
      </c>
      <c r="C1174" s="107" t="s">
        <v>9</v>
      </c>
      <c r="D1174" s="107" t="s">
        <v>132</v>
      </c>
      <c r="E1174" s="107" t="s">
        <v>10</v>
      </c>
      <c r="F1174" s="115" t="s">
        <v>305</v>
      </c>
      <c r="G1174" s="107" t="s">
        <v>32</v>
      </c>
      <c r="H1174" s="107" t="str">
        <f t="shared" si="108"/>
        <v>Area 8-2: Port Susan-Port Gardner</v>
      </c>
      <c r="I1174" s="107" t="str">
        <f>IFERROR(VLOOKUP(H1174,LUTs!$A$1:$C$73,2,FALSE),"NA")</f>
        <v>NA</v>
      </c>
      <c r="J1174" s="107" t="str">
        <f>IFERROR(VLOOKUP(H1174,LUTs!$A$1:$C$73,3,FALSE),"NA")</f>
        <v>2Central Puget Sound</v>
      </c>
      <c r="K1174" s="107" t="s">
        <v>25</v>
      </c>
      <c r="L1174" s="107" t="str">
        <f>VLOOKUP(K1174,LUTs!E$2:G$14,3,)</f>
        <v>12Jefferson</v>
      </c>
      <c r="M1174" s="107" t="str">
        <f>VLOOKUP($K1174,LUTs!$E$2:$H$14,2,)</f>
        <v>Strait of Juan de Fuca</v>
      </c>
      <c r="N1174" s="107" t="str">
        <f>VLOOKUP($K1174,LUTs!$E$2:$H$14,4,)</f>
        <v>03Strait of Juan de Fuca</v>
      </c>
      <c r="O1174" s="107">
        <v>21.630737279335399</v>
      </c>
      <c r="P1174" s="107">
        <v>32.810076843198303</v>
      </c>
      <c r="Q1174" s="107">
        <f t="shared" si="109"/>
        <v>21.630737279335399</v>
      </c>
      <c r="R1174" s="107">
        <f t="shared" si="110"/>
        <v>32.810076843198303</v>
      </c>
      <c r="S1174" s="140" t="str">
        <f t="shared" si="111"/>
        <v>Y</v>
      </c>
      <c r="T1174" s="154">
        <f t="shared" si="112"/>
        <v>1.5168265611798133</v>
      </c>
      <c r="U1174" s="154">
        <f t="shared" si="113"/>
        <v>1.5168265611798133</v>
      </c>
    </row>
    <row r="1175" spans="1:21" x14ac:dyDescent="0.35">
      <c r="A1175" s="107">
        <v>3226</v>
      </c>
      <c r="B1175" s="107">
        <v>2013</v>
      </c>
      <c r="C1175" s="107" t="s">
        <v>9</v>
      </c>
      <c r="D1175" s="107" t="s">
        <v>132</v>
      </c>
      <c r="E1175" s="107" t="s">
        <v>10</v>
      </c>
      <c r="F1175" s="115" t="s">
        <v>305</v>
      </c>
      <c r="G1175" s="107" t="s">
        <v>32</v>
      </c>
      <c r="H1175" s="107" t="str">
        <f t="shared" si="108"/>
        <v>Area 8-2: Port Susan-Port Gardner</v>
      </c>
      <c r="I1175" s="107" t="str">
        <f>IFERROR(VLOOKUP(H1175,LUTs!$A$1:$C$73,2,FALSE),"NA")</f>
        <v>NA</v>
      </c>
      <c r="J1175" s="107" t="str">
        <f>IFERROR(VLOOKUP(H1175,LUTs!$A$1:$C$73,3,FALSE),"NA")</f>
        <v>2Central Puget Sound</v>
      </c>
      <c r="K1175" s="107" t="s">
        <v>18</v>
      </c>
      <c r="L1175" s="107" t="str">
        <f>VLOOKUP(K1175,LUTs!E$2:G$14,3,)</f>
        <v>06King</v>
      </c>
      <c r="M1175" s="107" t="str">
        <f>VLOOKUP($K1175,LUTs!$E$2:$H$14,2,)</f>
        <v>South Puget Sound</v>
      </c>
      <c r="N1175" s="107" t="str">
        <f>VLOOKUP($K1175,LUTs!$E$2:$H$14,4,)</f>
        <v>02South Puget Sound</v>
      </c>
      <c r="O1175" s="107">
        <v>3439.2872274143301</v>
      </c>
      <c r="P1175" s="107">
        <v>5216.8022180685402</v>
      </c>
      <c r="Q1175" s="107">
        <f t="shared" si="109"/>
        <v>3439.2872274143301</v>
      </c>
      <c r="R1175" s="107">
        <f t="shared" si="110"/>
        <v>5216.8022180685402</v>
      </c>
      <c r="S1175" s="140" t="str">
        <f t="shared" si="111"/>
        <v>Y</v>
      </c>
      <c r="T1175" s="154">
        <f t="shared" si="112"/>
        <v>1.5168265611798155</v>
      </c>
      <c r="U1175" s="154">
        <f t="shared" si="113"/>
        <v>1.5168265611798155</v>
      </c>
    </row>
    <row r="1176" spans="1:21" x14ac:dyDescent="0.35">
      <c r="A1176" s="107">
        <v>3314</v>
      </c>
      <c r="B1176" s="107">
        <v>2013</v>
      </c>
      <c r="C1176" s="107" t="s">
        <v>9</v>
      </c>
      <c r="D1176" s="107" t="s">
        <v>132</v>
      </c>
      <c r="E1176" s="107" t="s">
        <v>10</v>
      </c>
      <c r="F1176" s="115" t="s">
        <v>305</v>
      </c>
      <c r="G1176" s="107" t="s">
        <v>32</v>
      </c>
      <c r="H1176" s="107" t="str">
        <f t="shared" si="108"/>
        <v>Area 8-2: Port Susan-Port Gardner</v>
      </c>
      <c r="I1176" s="107" t="str">
        <f>IFERROR(VLOOKUP(H1176,LUTs!$A$1:$C$73,2,FALSE),"NA")</f>
        <v>NA</v>
      </c>
      <c r="J1176" s="107" t="str">
        <f>IFERROR(VLOOKUP(H1176,LUTs!$A$1:$C$73,3,FALSE),"NA")</f>
        <v>2Central Puget Sound</v>
      </c>
      <c r="K1176" s="107" t="s">
        <v>23</v>
      </c>
      <c r="L1176" s="107" t="str">
        <f>VLOOKUP(K1176,LUTs!E$2:G$14,3,)</f>
        <v>10Kitsap</v>
      </c>
      <c r="M1176" s="107" t="str">
        <f>VLOOKUP($K1176,LUTs!$E$2:$H$14,2,)</f>
        <v>South Puget Sound</v>
      </c>
      <c r="N1176" s="107" t="str">
        <f>VLOOKUP($K1176,LUTs!$E$2:$H$14,4,)</f>
        <v>02South Puget Sound</v>
      </c>
      <c r="O1176" s="107">
        <v>64.892211838006304</v>
      </c>
      <c r="P1176" s="107">
        <v>98.430230529594994</v>
      </c>
      <c r="Q1176" s="107">
        <f t="shared" si="109"/>
        <v>64.892211838006304</v>
      </c>
      <c r="R1176" s="107">
        <f t="shared" si="110"/>
        <v>98.430230529594994</v>
      </c>
      <c r="S1176" s="140" t="str">
        <f t="shared" si="111"/>
        <v>Y</v>
      </c>
      <c r="T1176" s="154">
        <f t="shared" si="112"/>
        <v>1.516826561179812</v>
      </c>
      <c r="U1176" s="154">
        <f t="shared" si="113"/>
        <v>1.516826561179812</v>
      </c>
    </row>
    <row r="1177" spans="1:21" x14ac:dyDescent="0.35">
      <c r="A1177" s="107">
        <v>3313</v>
      </c>
      <c r="B1177" s="107">
        <v>2013</v>
      </c>
      <c r="C1177" s="107" t="s">
        <v>9</v>
      </c>
      <c r="D1177" s="107" t="s">
        <v>132</v>
      </c>
      <c r="E1177" s="107" t="s">
        <v>10</v>
      </c>
      <c r="F1177" s="115" t="s">
        <v>305</v>
      </c>
      <c r="G1177" s="107" t="s">
        <v>32</v>
      </c>
      <c r="H1177" s="107" t="str">
        <f t="shared" si="108"/>
        <v>Area 8-2: Port Susan-Port Gardner</v>
      </c>
      <c r="I1177" s="107" t="str">
        <f>IFERROR(VLOOKUP(H1177,LUTs!$A$1:$C$73,2,FALSE),"NA")</f>
        <v>NA</v>
      </c>
      <c r="J1177" s="107" t="str">
        <f>IFERROR(VLOOKUP(H1177,LUTs!$A$1:$C$73,3,FALSE),"NA")</f>
        <v>2Central Puget Sound</v>
      </c>
      <c r="K1177" s="107" t="s">
        <v>22</v>
      </c>
      <c r="L1177" s="107" t="str">
        <f>VLOOKUP(K1177,LUTs!E$2:G$14,3,)</f>
        <v>09Mason</v>
      </c>
      <c r="M1177" s="107" t="str">
        <f>VLOOKUP($K1177,LUTs!$E$2:$H$14,2,)</f>
        <v>South Puget Sound</v>
      </c>
      <c r="N1177" s="107" t="str">
        <f>VLOOKUP($K1177,LUTs!$E$2:$H$14,4,)</f>
        <v>02South Puget Sound</v>
      </c>
      <c r="O1177" s="107">
        <v>37.853790238837</v>
      </c>
      <c r="P1177" s="107">
        <v>57.417634475597097</v>
      </c>
      <c r="Q1177" s="107">
        <f t="shared" si="109"/>
        <v>37.853790238837</v>
      </c>
      <c r="R1177" s="107">
        <f t="shared" si="110"/>
        <v>57.417634475597097</v>
      </c>
      <c r="S1177" s="140" t="str">
        <f t="shared" si="111"/>
        <v>Y</v>
      </c>
      <c r="T1177" s="154">
        <f t="shared" si="112"/>
        <v>1.5168265611798128</v>
      </c>
      <c r="U1177" s="154">
        <f t="shared" si="113"/>
        <v>1.5168265611798128</v>
      </c>
    </row>
    <row r="1178" spans="1:21" x14ac:dyDescent="0.35">
      <c r="A1178" s="107">
        <v>3320</v>
      </c>
      <c r="B1178" s="107">
        <v>2013</v>
      </c>
      <c r="C1178" s="107" t="s">
        <v>9</v>
      </c>
      <c r="D1178" s="107" t="s">
        <v>132</v>
      </c>
      <c r="E1178" s="107" t="s">
        <v>10</v>
      </c>
      <c r="F1178" s="115" t="s">
        <v>305</v>
      </c>
      <c r="G1178" s="107" t="s">
        <v>32</v>
      </c>
      <c r="H1178" s="107" t="str">
        <f t="shared" si="108"/>
        <v>Area 8-2: Port Susan-Port Gardner</v>
      </c>
      <c r="I1178" s="107" t="str">
        <f>IFERROR(VLOOKUP(H1178,LUTs!$A$1:$C$73,2,FALSE),"NA")</f>
        <v>NA</v>
      </c>
      <c r="J1178" s="107" t="str">
        <f>IFERROR(VLOOKUP(H1178,LUTs!$A$1:$C$73,3,FALSE),"NA")</f>
        <v>2Central Puget Sound</v>
      </c>
      <c r="K1178" s="107" t="s">
        <v>26</v>
      </c>
      <c r="L1178" s="107" t="str">
        <f>VLOOKUP(K1178,LUTs!E$2:G$14,3,)</f>
        <v>20Other</v>
      </c>
      <c r="M1178" s="107" t="str">
        <f>VLOOKUP($K1178,LUTs!$E$2:$H$14,2,)</f>
        <v>Non Puget Sound</v>
      </c>
      <c r="N1178" s="107" t="str">
        <f>VLOOKUP($K1178,LUTs!$E$2:$H$14,4,)</f>
        <v>07Non Puget Sound</v>
      </c>
      <c r="O1178" s="107">
        <v>1892.68951194185</v>
      </c>
      <c r="P1178" s="107">
        <v>2870.8817237798498</v>
      </c>
      <c r="Q1178" s="107">
        <f t="shared" si="109"/>
        <v>1892.68951194185</v>
      </c>
      <c r="R1178" s="107">
        <f t="shared" si="110"/>
        <v>2870.8817237798498</v>
      </c>
      <c r="S1178" s="140" t="str">
        <f t="shared" si="111"/>
        <v>Y</v>
      </c>
      <c r="T1178" s="154">
        <f t="shared" si="112"/>
        <v>1.5168265611798102</v>
      </c>
      <c r="U1178" s="154">
        <f t="shared" si="113"/>
        <v>1.5168265611798102</v>
      </c>
    </row>
    <row r="1179" spans="1:21" x14ac:dyDescent="0.35">
      <c r="A1179" s="107">
        <v>3311</v>
      </c>
      <c r="B1179" s="107">
        <v>2013</v>
      </c>
      <c r="C1179" s="107" t="s">
        <v>9</v>
      </c>
      <c r="D1179" s="107" t="s">
        <v>132</v>
      </c>
      <c r="E1179" s="107" t="s">
        <v>10</v>
      </c>
      <c r="F1179" s="115" t="s">
        <v>305</v>
      </c>
      <c r="G1179" s="107" t="s">
        <v>32</v>
      </c>
      <c r="H1179" s="107" t="str">
        <f t="shared" si="108"/>
        <v>Area 8-2: Port Susan-Port Gardner</v>
      </c>
      <c r="I1179" s="107" t="str">
        <f>IFERROR(VLOOKUP(H1179,LUTs!$A$1:$C$73,2,FALSE),"NA")</f>
        <v>NA</v>
      </c>
      <c r="J1179" s="107" t="str">
        <f>IFERROR(VLOOKUP(H1179,LUTs!$A$1:$C$73,3,FALSE),"NA")</f>
        <v>2Central Puget Sound</v>
      </c>
      <c r="K1179" s="107" t="s">
        <v>20</v>
      </c>
      <c r="L1179" s="107" t="str">
        <f>VLOOKUP(K1179,LUTs!E$2:G$14,3,)</f>
        <v>07Pierce</v>
      </c>
      <c r="M1179" s="107" t="str">
        <f>VLOOKUP($K1179,LUTs!$E$2:$H$14,2,)</f>
        <v>South Puget Sound</v>
      </c>
      <c r="N1179" s="107" t="str">
        <f>VLOOKUP($K1179,LUTs!$E$2:$H$14,4,)</f>
        <v>02South Puget Sound</v>
      </c>
      <c r="O1179" s="107">
        <v>178.453582554517</v>
      </c>
      <c r="P1179" s="107">
        <v>270.68313395638597</v>
      </c>
      <c r="Q1179" s="107">
        <f t="shared" si="109"/>
        <v>178.453582554517</v>
      </c>
      <c r="R1179" s="107">
        <f t="shared" si="110"/>
        <v>270.68313395638597</v>
      </c>
      <c r="S1179" s="140" t="str">
        <f t="shared" si="111"/>
        <v>Y</v>
      </c>
      <c r="T1179" s="154">
        <f t="shared" si="112"/>
        <v>1.5168265611798135</v>
      </c>
      <c r="U1179" s="154">
        <f t="shared" si="113"/>
        <v>1.5168265611798135</v>
      </c>
    </row>
    <row r="1180" spans="1:21" x14ac:dyDescent="0.35">
      <c r="A1180" s="107">
        <v>3223</v>
      </c>
      <c r="B1180" s="107">
        <v>2013</v>
      </c>
      <c r="C1180" s="107" t="s">
        <v>9</v>
      </c>
      <c r="D1180" s="107" t="s">
        <v>132</v>
      </c>
      <c r="E1180" s="107" t="s">
        <v>10</v>
      </c>
      <c r="F1180" s="115" t="s">
        <v>305</v>
      </c>
      <c r="G1180" s="107" t="s">
        <v>32</v>
      </c>
      <c r="H1180" s="107" t="str">
        <f t="shared" si="108"/>
        <v>Area 8-2: Port Susan-Port Gardner</v>
      </c>
      <c r="I1180" s="107" t="str">
        <f>IFERROR(VLOOKUP(H1180,LUTs!$A$1:$C$73,2,FALSE),"NA")</f>
        <v>NA</v>
      </c>
      <c r="J1180" s="107" t="str">
        <f>IFERROR(VLOOKUP(H1180,LUTs!$A$1:$C$73,3,FALSE),"NA")</f>
        <v>2Central Puget Sound</v>
      </c>
      <c r="K1180" s="107" t="s">
        <v>15</v>
      </c>
      <c r="L1180" s="107" t="str">
        <f>VLOOKUP(K1180,LUTs!E$2:G$14,3,)</f>
        <v>02Skagit</v>
      </c>
      <c r="M1180" s="107" t="str">
        <f>VLOOKUP($K1180,LUTs!$E$2:$H$14,2,)</f>
        <v>North Puget Sound</v>
      </c>
      <c r="N1180" s="107" t="str">
        <f>VLOOKUP($K1180,LUTs!$E$2:$H$14,4,)</f>
        <v>01North Puget Sound</v>
      </c>
      <c r="O1180" s="107">
        <v>270.384215991693</v>
      </c>
      <c r="P1180" s="107">
        <v>410.12596053997902</v>
      </c>
      <c r="Q1180" s="107">
        <f t="shared" si="109"/>
        <v>270.384215991693</v>
      </c>
      <c r="R1180" s="107">
        <f t="shared" si="110"/>
        <v>410.12596053997902</v>
      </c>
      <c r="S1180" s="140" t="str">
        <f t="shared" si="111"/>
        <v>Y</v>
      </c>
      <c r="T1180" s="154">
        <f t="shared" si="112"/>
        <v>1.5168265611798113</v>
      </c>
      <c r="U1180" s="154">
        <f t="shared" si="113"/>
        <v>1.5168265611798113</v>
      </c>
    </row>
    <row r="1181" spans="1:21" x14ac:dyDescent="0.35">
      <c r="A1181" s="107">
        <v>3224</v>
      </c>
      <c r="B1181" s="107">
        <v>2013</v>
      </c>
      <c r="C1181" s="107" t="s">
        <v>9</v>
      </c>
      <c r="D1181" s="107" t="s">
        <v>132</v>
      </c>
      <c r="E1181" s="107" t="s">
        <v>10</v>
      </c>
      <c r="F1181" s="115" t="s">
        <v>305</v>
      </c>
      <c r="G1181" s="107" t="s">
        <v>32</v>
      </c>
      <c r="H1181" s="107" t="str">
        <f t="shared" si="108"/>
        <v>Area 8-2: Port Susan-Port Gardner</v>
      </c>
      <c r="I1181" s="107" t="str">
        <f>IFERROR(VLOOKUP(H1181,LUTs!$A$1:$C$73,2,FALSE),"NA")</f>
        <v>NA</v>
      </c>
      <c r="J1181" s="107" t="str">
        <f>IFERROR(VLOOKUP(H1181,LUTs!$A$1:$C$73,3,FALSE),"NA")</f>
        <v>2Central Puget Sound</v>
      </c>
      <c r="K1181" s="107" t="s">
        <v>16</v>
      </c>
      <c r="L1181" s="107" t="str">
        <f>VLOOKUP(K1181,LUTs!E$2:G$14,3,)</f>
        <v>03Snohomish</v>
      </c>
      <c r="M1181" s="107" t="str">
        <f>VLOOKUP($K1181,LUTs!$E$2:$H$14,2,)</f>
        <v>North Puget Sound</v>
      </c>
      <c r="N1181" s="107" t="str">
        <f>VLOOKUP($K1181,LUTs!$E$2:$H$14,4,)</f>
        <v>01North Puget Sound</v>
      </c>
      <c r="O1181" s="107">
        <v>18137.3732087227</v>
      </c>
      <c r="P1181" s="107">
        <v>27511.2494330218</v>
      </c>
      <c r="Q1181" s="107">
        <f t="shared" si="109"/>
        <v>18137.3732087227</v>
      </c>
      <c r="R1181" s="107">
        <f t="shared" si="110"/>
        <v>27511.2494330218</v>
      </c>
      <c r="S1181" s="140" t="str">
        <f t="shared" si="111"/>
        <v>Y</v>
      </c>
      <c r="T1181" s="154">
        <f t="shared" si="112"/>
        <v>1.5168265611798173</v>
      </c>
      <c r="U1181" s="154">
        <f t="shared" si="113"/>
        <v>1.5168265611798173</v>
      </c>
    </row>
    <row r="1182" spans="1:21" x14ac:dyDescent="0.35">
      <c r="A1182" s="107">
        <v>3312</v>
      </c>
      <c r="B1182" s="107">
        <v>2013</v>
      </c>
      <c r="C1182" s="107" t="s">
        <v>9</v>
      </c>
      <c r="D1182" s="107" t="s">
        <v>132</v>
      </c>
      <c r="E1182" s="107" t="s">
        <v>10</v>
      </c>
      <c r="F1182" s="115" t="s">
        <v>305</v>
      </c>
      <c r="G1182" s="107" t="s">
        <v>32</v>
      </c>
      <c r="H1182" s="107" t="str">
        <f t="shared" si="108"/>
        <v>Area 8-2: Port Susan-Port Gardner</v>
      </c>
      <c r="I1182" s="107" t="str">
        <f>IFERROR(VLOOKUP(H1182,LUTs!$A$1:$C$73,2,FALSE),"NA")</f>
        <v>NA</v>
      </c>
      <c r="J1182" s="107" t="str">
        <f>IFERROR(VLOOKUP(H1182,LUTs!$A$1:$C$73,3,FALSE),"NA")</f>
        <v>2Central Puget Sound</v>
      </c>
      <c r="K1182" s="107" t="s">
        <v>21</v>
      </c>
      <c r="L1182" s="107" t="str">
        <f>VLOOKUP(K1182,LUTs!E$2:G$14,3,)</f>
        <v>08Thurston</v>
      </c>
      <c r="M1182" s="107" t="str">
        <f>VLOOKUP($K1182,LUTs!$E$2:$H$14,2,)</f>
        <v>South Puget Sound</v>
      </c>
      <c r="N1182" s="107" t="str">
        <f>VLOOKUP($K1182,LUTs!$E$2:$H$14,4,)</f>
        <v>02South Puget Sound</v>
      </c>
      <c r="O1182" s="107">
        <v>91.930633437175501</v>
      </c>
      <c r="P1182" s="107">
        <v>139.44282658359299</v>
      </c>
      <c r="Q1182" s="107">
        <f t="shared" si="109"/>
        <v>91.930633437175501</v>
      </c>
      <c r="R1182" s="107">
        <f t="shared" si="110"/>
        <v>139.44282658359299</v>
      </c>
      <c r="S1182" s="140" t="str">
        <f t="shared" si="111"/>
        <v>Y</v>
      </c>
      <c r="T1182" s="154">
        <f t="shared" si="112"/>
        <v>1.5168265611798146</v>
      </c>
      <c r="U1182" s="154">
        <f t="shared" si="113"/>
        <v>1.5168265611798146</v>
      </c>
    </row>
    <row r="1183" spans="1:21" x14ac:dyDescent="0.35">
      <c r="A1183" s="107">
        <v>3222</v>
      </c>
      <c r="B1183" s="107">
        <v>2013</v>
      </c>
      <c r="C1183" s="107" t="s">
        <v>9</v>
      </c>
      <c r="D1183" s="107" t="s">
        <v>132</v>
      </c>
      <c r="E1183" s="107" t="s">
        <v>10</v>
      </c>
      <c r="F1183" s="115" t="s">
        <v>305</v>
      </c>
      <c r="G1183" s="107" t="s">
        <v>32</v>
      </c>
      <c r="H1183" s="107" t="str">
        <f t="shared" si="108"/>
        <v>Area 8-2: Port Susan-Port Gardner</v>
      </c>
      <c r="I1183" s="107" t="str">
        <f>IFERROR(VLOOKUP(H1183,LUTs!$A$1:$C$73,2,FALSE),"NA")</f>
        <v>NA</v>
      </c>
      <c r="J1183" s="107" t="str">
        <f>IFERROR(VLOOKUP(H1183,LUTs!$A$1:$C$73,3,FALSE),"NA")</f>
        <v>2Central Puget Sound</v>
      </c>
      <c r="K1183" s="107" t="s">
        <v>13</v>
      </c>
      <c r="L1183" s="107" t="str">
        <f>VLOOKUP(K1183,LUTs!E$2:G$14,3,)</f>
        <v>01Whatcom</v>
      </c>
      <c r="M1183" s="107" t="str">
        <f>VLOOKUP($K1183,LUTs!$E$2:$H$14,2,)</f>
        <v>North Puget Sound</v>
      </c>
      <c r="N1183" s="107" t="str">
        <f>VLOOKUP($K1183,LUTs!$E$2:$H$14,4,)</f>
        <v>01North Puget Sound</v>
      </c>
      <c r="O1183" s="107">
        <v>227.12274143302199</v>
      </c>
      <c r="P1183" s="107">
        <v>344.50580685358301</v>
      </c>
      <c r="Q1183" s="107">
        <f t="shared" si="109"/>
        <v>227.12274143302199</v>
      </c>
      <c r="R1183" s="107">
        <f t="shared" si="110"/>
        <v>344.50580685358301</v>
      </c>
      <c r="S1183" s="140" t="str">
        <f t="shared" si="111"/>
        <v>Y</v>
      </c>
      <c r="T1183" s="154">
        <f t="shared" si="112"/>
        <v>1.5168265611798148</v>
      </c>
      <c r="U1183" s="154">
        <f t="shared" si="113"/>
        <v>1.5168265611798148</v>
      </c>
    </row>
    <row r="1184" spans="1:21" x14ac:dyDescent="0.35">
      <c r="A1184" s="107">
        <v>3627</v>
      </c>
      <c r="B1184" s="107">
        <v>2014</v>
      </c>
      <c r="C1184" s="107" t="s">
        <v>9</v>
      </c>
      <c r="D1184" s="107" t="s">
        <v>132</v>
      </c>
      <c r="E1184" s="107" t="s">
        <v>10</v>
      </c>
      <c r="F1184" s="115" t="s">
        <v>305</v>
      </c>
      <c r="G1184" s="107" t="s">
        <v>32</v>
      </c>
      <c r="H1184" s="107" t="str">
        <f t="shared" si="108"/>
        <v>Area 8-2: Port Susan-Port Gardner</v>
      </c>
      <c r="I1184" s="107" t="str">
        <f>IFERROR(VLOOKUP(H1184,LUTs!$A$1:$C$73,2,FALSE),"NA")</f>
        <v>NA</v>
      </c>
      <c r="J1184" s="107" t="str">
        <f>IFERROR(VLOOKUP(H1184,LUTs!$A$1:$C$73,3,FALSE),"NA")</f>
        <v>2Central Puget Sound</v>
      </c>
      <c r="K1184" s="107" t="s">
        <v>17</v>
      </c>
      <c r="L1184" s="107" t="str">
        <f>VLOOKUP(K1184,LUTs!E$2:G$14,3,)</f>
        <v>04Island</v>
      </c>
      <c r="M1184" s="107" t="str">
        <f>VLOOKUP($K1184,LUTs!$E$2:$H$14,2,)</f>
        <v>North Puget Sound</v>
      </c>
      <c r="N1184" s="107" t="str">
        <f>VLOOKUP($K1184,LUTs!$E$2:$H$14,4,)</f>
        <v>01North Puget Sound</v>
      </c>
      <c r="O1184" s="107">
        <v>913.56482183472303</v>
      </c>
      <c r="P1184" s="107">
        <v>4369.7598786959798</v>
      </c>
      <c r="Q1184" s="107">
        <f t="shared" si="109"/>
        <v>913.56482183472303</v>
      </c>
      <c r="R1184" s="107">
        <f t="shared" si="110"/>
        <v>4369.7598786959798</v>
      </c>
      <c r="S1184" s="140" t="str">
        <f t="shared" si="111"/>
        <v>Y</v>
      </c>
      <c r="T1184" s="154">
        <f t="shared" si="112"/>
        <v>4.783196303377947</v>
      </c>
      <c r="U1184" s="154">
        <f t="shared" si="113"/>
        <v>4.783196303377947</v>
      </c>
    </row>
    <row r="1185" spans="1:21" x14ac:dyDescent="0.35">
      <c r="A1185" s="107">
        <v>3629</v>
      </c>
      <c r="B1185" s="107">
        <v>2014</v>
      </c>
      <c r="C1185" s="107" t="s">
        <v>9</v>
      </c>
      <c r="D1185" s="107" t="s">
        <v>132</v>
      </c>
      <c r="E1185" s="107" t="s">
        <v>10</v>
      </c>
      <c r="F1185" s="115" t="s">
        <v>305</v>
      </c>
      <c r="G1185" s="107" t="s">
        <v>32</v>
      </c>
      <c r="H1185" s="107" t="str">
        <f t="shared" si="108"/>
        <v>Area 8-2: Port Susan-Port Gardner</v>
      </c>
      <c r="I1185" s="107" t="str">
        <f>IFERROR(VLOOKUP(H1185,LUTs!$A$1:$C$73,2,FALSE),"NA")</f>
        <v>NA</v>
      </c>
      <c r="J1185" s="107" t="str">
        <f>IFERROR(VLOOKUP(H1185,LUTs!$A$1:$C$73,3,FALSE),"NA")</f>
        <v>2Central Puget Sound</v>
      </c>
      <c r="K1185" s="107" t="s">
        <v>18</v>
      </c>
      <c r="L1185" s="107" t="str">
        <f>VLOOKUP(K1185,LUTs!E$2:G$14,3,)</f>
        <v>06King</v>
      </c>
      <c r="M1185" s="107" t="str">
        <f>VLOOKUP($K1185,LUTs!$E$2:$H$14,2,)</f>
        <v>South Puget Sound</v>
      </c>
      <c r="N1185" s="107" t="str">
        <f>VLOOKUP($K1185,LUTs!$E$2:$H$14,4,)</f>
        <v>02South Puget Sound</v>
      </c>
      <c r="O1185" s="107">
        <v>1141.9560272934</v>
      </c>
      <c r="P1185" s="107">
        <v>5462.1998483699799</v>
      </c>
      <c r="Q1185" s="107">
        <f t="shared" si="109"/>
        <v>1141.9560272934</v>
      </c>
      <c r="R1185" s="107">
        <f t="shared" si="110"/>
        <v>5462.1998483699799</v>
      </c>
      <c r="S1185" s="140" t="str">
        <f t="shared" si="111"/>
        <v>Y</v>
      </c>
      <c r="T1185" s="154">
        <f t="shared" si="112"/>
        <v>4.7831963033779674</v>
      </c>
      <c r="U1185" s="154">
        <f t="shared" si="113"/>
        <v>4.7831963033779674</v>
      </c>
    </row>
    <row r="1186" spans="1:21" x14ac:dyDescent="0.35">
      <c r="A1186" s="107">
        <v>3690</v>
      </c>
      <c r="B1186" s="107">
        <v>2014</v>
      </c>
      <c r="C1186" s="107" t="s">
        <v>9</v>
      </c>
      <c r="D1186" s="107" t="s">
        <v>132</v>
      </c>
      <c r="E1186" s="107" t="s">
        <v>10</v>
      </c>
      <c r="F1186" s="115" t="s">
        <v>305</v>
      </c>
      <c r="G1186" s="107" t="s">
        <v>32</v>
      </c>
      <c r="H1186" s="107" t="str">
        <f t="shared" si="108"/>
        <v>Area 8-2: Port Susan-Port Gardner</v>
      </c>
      <c r="I1186" s="107" t="str">
        <f>IFERROR(VLOOKUP(H1186,LUTs!$A$1:$C$73,2,FALSE),"NA")</f>
        <v>NA</v>
      </c>
      <c r="J1186" s="107" t="str">
        <f>IFERROR(VLOOKUP(H1186,LUTs!$A$1:$C$73,3,FALSE),"NA")</f>
        <v>2Central Puget Sound</v>
      </c>
      <c r="K1186" s="107" t="s">
        <v>23</v>
      </c>
      <c r="L1186" s="107" t="str">
        <f>VLOOKUP(K1186,LUTs!E$2:G$14,3,)</f>
        <v>10Kitsap</v>
      </c>
      <c r="M1186" s="107" t="str">
        <f>VLOOKUP($K1186,LUTs!$E$2:$H$14,2,)</f>
        <v>South Puget Sound</v>
      </c>
      <c r="N1186" s="107" t="str">
        <f>VLOOKUP($K1186,LUTs!$E$2:$H$14,4,)</f>
        <v>02South Puget Sound</v>
      </c>
      <c r="O1186" s="107">
        <v>42.823351023502703</v>
      </c>
      <c r="P1186" s="107">
        <v>204.83249431387401</v>
      </c>
      <c r="Q1186" s="107">
        <f t="shared" si="109"/>
        <v>42.823351023502703</v>
      </c>
      <c r="R1186" s="107">
        <f t="shared" si="110"/>
        <v>204.83249431387401</v>
      </c>
      <c r="S1186" s="140" t="str">
        <f t="shared" si="111"/>
        <v>Y</v>
      </c>
      <c r="T1186" s="154">
        <f t="shared" si="112"/>
        <v>4.783196303377939</v>
      </c>
      <c r="U1186" s="154">
        <f t="shared" si="113"/>
        <v>4.783196303377939</v>
      </c>
    </row>
    <row r="1187" spans="1:21" x14ac:dyDescent="0.35">
      <c r="A1187" s="107">
        <v>3713</v>
      </c>
      <c r="B1187" s="107">
        <v>2014</v>
      </c>
      <c r="C1187" s="107" t="s">
        <v>9</v>
      </c>
      <c r="D1187" s="107" t="s">
        <v>132</v>
      </c>
      <c r="E1187" s="107" t="s">
        <v>10</v>
      </c>
      <c r="F1187" s="115" t="s">
        <v>305</v>
      </c>
      <c r="G1187" s="107" t="s">
        <v>32</v>
      </c>
      <c r="H1187" s="107" t="str">
        <f t="shared" si="108"/>
        <v>Area 8-2: Port Susan-Port Gardner</v>
      </c>
      <c r="I1187" s="107" t="str">
        <f>IFERROR(VLOOKUP(H1187,LUTs!$A$1:$C$73,2,FALSE),"NA")</f>
        <v>NA</v>
      </c>
      <c r="J1187" s="107" t="str">
        <f>IFERROR(VLOOKUP(H1187,LUTs!$A$1:$C$73,3,FALSE),"NA")</f>
        <v>2Central Puget Sound</v>
      </c>
      <c r="K1187" s="107" t="s">
        <v>26</v>
      </c>
      <c r="L1187" s="107" t="str">
        <f>VLOOKUP(K1187,LUTs!E$2:G$14,3,)</f>
        <v>20Other</v>
      </c>
      <c r="M1187" s="107" t="str">
        <f>VLOOKUP($K1187,LUTs!$E$2:$H$14,2,)</f>
        <v>Non Puget Sound</v>
      </c>
      <c r="N1187" s="107" t="str">
        <f>VLOOKUP($K1187,LUTs!$E$2:$H$14,4,)</f>
        <v>07Non Puget Sound</v>
      </c>
      <c r="O1187" s="107">
        <v>556.703563305535</v>
      </c>
      <c r="P1187" s="107">
        <v>2662.8224260803599</v>
      </c>
      <c r="Q1187" s="107">
        <f t="shared" si="109"/>
        <v>556.703563305535</v>
      </c>
      <c r="R1187" s="107">
        <f t="shared" si="110"/>
        <v>2662.8224260803599</v>
      </c>
      <c r="S1187" s="140" t="str">
        <f t="shared" si="111"/>
        <v>Y</v>
      </c>
      <c r="T1187" s="154">
        <f t="shared" si="112"/>
        <v>4.7831963033779363</v>
      </c>
      <c r="U1187" s="154">
        <f t="shared" si="113"/>
        <v>4.7831963033779363</v>
      </c>
    </row>
    <row r="1188" spans="1:21" x14ac:dyDescent="0.35">
      <c r="A1188" s="107">
        <v>3630</v>
      </c>
      <c r="B1188" s="107">
        <v>2014</v>
      </c>
      <c r="C1188" s="107" t="s">
        <v>9</v>
      </c>
      <c r="D1188" s="107" t="s">
        <v>132</v>
      </c>
      <c r="E1188" s="107" t="s">
        <v>10</v>
      </c>
      <c r="F1188" s="115" t="s">
        <v>305</v>
      </c>
      <c r="G1188" s="107" t="s">
        <v>32</v>
      </c>
      <c r="H1188" s="107" t="str">
        <f t="shared" si="108"/>
        <v>Area 8-2: Port Susan-Port Gardner</v>
      </c>
      <c r="I1188" s="107" t="str">
        <f>IFERROR(VLOOKUP(H1188,LUTs!$A$1:$C$73,2,FALSE),"NA")</f>
        <v>NA</v>
      </c>
      <c r="J1188" s="107" t="str">
        <f>IFERROR(VLOOKUP(H1188,LUTs!$A$1:$C$73,3,FALSE),"NA")</f>
        <v>2Central Puget Sound</v>
      </c>
      <c r="K1188" s="107" t="s">
        <v>20</v>
      </c>
      <c r="L1188" s="107" t="str">
        <f>VLOOKUP(K1188,LUTs!E$2:G$14,3,)</f>
        <v>07Pierce</v>
      </c>
      <c r="M1188" s="107" t="str">
        <f>VLOOKUP($K1188,LUTs!$E$2:$H$14,2,)</f>
        <v>South Puget Sound</v>
      </c>
      <c r="N1188" s="107" t="str">
        <f>VLOOKUP($K1188,LUTs!$E$2:$H$14,4,)</f>
        <v>02South Puget Sound</v>
      </c>
      <c r="O1188" s="107">
        <v>164.15617892342701</v>
      </c>
      <c r="P1188" s="107">
        <v>785.19122820318501</v>
      </c>
      <c r="Q1188" s="107">
        <f t="shared" si="109"/>
        <v>164.15617892342701</v>
      </c>
      <c r="R1188" s="107">
        <f t="shared" si="110"/>
        <v>785.19122820318501</v>
      </c>
      <c r="S1188" s="140" t="str">
        <f t="shared" si="111"/>
        <v>Y</v>
      </c>
      <c r="T1188" s="154">
        <f t="shared" si="112"/>
        <v>4.7831963033779479</v>
      </c>
      <c r="U1188" s="154">
        <f t="shared" si="113"/>
        <v>4.7831963033779479</v>
      </c>
    </row>
    <row r="1189" spans="1:21" x14ac:dyDescent="0.35">
      <c r="A1189" s="107">
        <v>3577</v>
      </c>
      <c r="B1189" s="107">
        <v>2014</v>
      </c>
      <c r="C1189" s="107" t="s">
        <v>9</v>
      </c>
      <c r="D1189" s="107" t="s">
        <v>132</v>
      </c>
      <c r="E1189" s="107" t="s">
        <v>10</v>
      </c>
      <c r="F1189" s="115" t="s">
        <v>305</v>
      </c>
      <c r="G1189" s="107" t="s">
        <v>32</v>
      </c>
      <c r="H1189" s="107" t="str">
        <f t="shared" si="108"/>
        <v>Area 8-2: Port Susan-Port Gardner</v>
      </c>
      <c r="I1189" s="107" t="str">
        <f>IFERROR(VLOOKUP(H1189,LUTs!$A$1:$C$73,2,FALSE),"NA")</f>
        <v>NA</v>
      </c>
      <c r="J1189" s="107" t="str">
        <f>IFERROR(VLOOKUP(H1189,LUTs!$A$1:$C$73,3,FALSE),"NA")</f>
        <v>2Central Puget Sound</v>
      </c>
      <c r="K1189" s="107" t="s">
        <v>15</v>
      </c>
      <c r="L1189" s="107" t="str">
        <f>VLOOKUP(K1189,LUTs!E$2:G$14,3,)</f>
        <v>02Skagit</v>
      </c>
      <c r="M1189" s="107" t="str">
        <f>VLOOKUP($K1189,LUTs!$E$2:$H$14,2,)</f>
        <v>North Puget Sound</v>
      </c>
      <c r="N1189" s="107" t="str">
        <f>VLOOKUP($K1189,LUTs!$E$2:$H$14,4,)</f>
        <v>01North Puget Sound</v>
      </c>
      <c r="O1189" s="107">
        <v>149.881728582259</v>
      </c>
      <c r="P1189" s="107">
        <v>716.91373009855999</v>
      </c>
      <c r="Q1189" s="107">
        <f t="shared" si="109"/>
        <v>149.881728582259</v>
      </c>
      <c r="R1189" s="107">
        <f t="shared" si="110"/>
        <v>716.91373009855999</v>
      </c>
      <c r="S1189" s="140" t="str">
        <f t="shared" si="111"/>
        <v>Y</v>
      </c>
      <c r="T1189" s="154">
        <f t="shared" si="112"/>
        <v>4.7831963033779603</v>
      </c>
      <c r="U1189" s="154">
        <f t="shared" si="113"/>
        <v>4.7831963033779603</v>
      </c>
    </row>
    <row r="1190" spans="1:21" x14ac:dyDescent="0.35">
      <c r="A1190" s="107">
        <v>3626</v>
      </c>
      <c r="B1190" s="107">
        <v>2014</v>
      </c>
      <c r="C1190" s="107" t="s">
        <v>9</v>
      </c>
      <c r="D1190" s="107" t="s">
        <v>132</v>
      </c>
      <c r="E1190" s="107" t="s">
        <v>10</v>
      </c>
      <c r="F1190" s="115" t="s">
        <v>305</v>
      </c>
      <c r="G1190" s="107" t="s">
        <v>32</v>
      </c>
      <c r="H1190" s="107" t="str">
        <f t="shared" si="108"/>
        <v>Area 8-2: Port Susan-Port Gardner</v>
      </c>
      <c r="I1190" s="107" t="str">
        <f>IFERROR(VLOOKUP(H1190,LUTs!$A$1:$C$73,2,FALSE),"NA")</f>
        <v>NA</v>
      </c>
      <c r="J1190" s="107" t="str">
        <f>IFERROR(VLOOKUP(H1190,LUTs!$A$1:$C$73,3,FALSE),"NA")</f>
        <v>2Central Puget Sound</v>
      </c>
      <c r="K1190" s="107" t="s">
        <v>16</v>
      </c>
      <c r="L1190" s="107" t="str">
        <f>VLOOKUP(K1190,LUTs!E$2:G$14,3,)</f>
        <v>03Snohomish</v>
      </c>
      <c r="M1190" s="107" t="str">
        <f>VLOOKUP($K1190,LUTs!$E$2:$H$14,2,)</f>
        <v>North Puget Sound</v>
      </c>
      <c r="N1190" s="107" t="str">
        <f>VLOOKUP($K1190,LUTs!$E$2:$H$14,4,)</f>
        <v>01North Puget Sound</v>
      </c>
      <c r="O1190" s="107">
        <v>6352.1304018195597</v>
      </c>
      <c r="P1190" s="107">
        <v>30383.486656558001</v>
      </c>
      <c r="Q1190" s="107">
        <f t="shared" si="109"/>
        <v>6352.1304018195597</v>
      </c>
      <c r="R1190" s="107">
        <f t="shared" si="110"/>
        <v>30383.486656558001</v>
      </c>
      <c r="S1190" s="140" t="str">
        <f t="shared" si="111"/>
        <v>Y</v>
      </c>
      <c r="T1190" s="154">
        <f t="shared" si="112"/>
        <v>4.7831963033779488</v>
      </c>
      <c r="U1190" s="154">
        <f t="shared" si="113"/>
        <v>4.7831963033779488</v>
      </c>
    </row>
    <row r="1191" spans="1:21" x14ac:dyDescent="0.35">
      <c r="A1191" s="107">
        <v>3661</v>
      </c>
      <c r="B1191" s="107">
        <v>2014</v>
      </c>
      <c r="C1191" s="107" t="s">
        <v>9</v>
      </c>
      <c r="D1191" s="107" t="s">
        <v>132</v>
      </c>
      <c r="E1191" s="107" t="s">
        <v>10</v>
      </c>
      <c r="F1191" s="115" t="s">
        <v>305</v>
      </c>
      <c r="G1191" s="107" t="s">
        <v>32</v>
      </c>
      <c r="H1191" s="107" t="str">
        <f t="shared" si="108"/>
        <v>Area 8-2: Port Susan-Port Gardner</v>
      </c>
      <c r="I1191" s="107" t="str">
        <f>IFERROR(VLOOKUP(H1191,LUTs!$A$1:$C$73,2,FALSE),"NA")</f>
        <v>NA</v>
      </c>
      <c r="J1191" s="107" t="str">
        <f>IFERROR(VLOOKUP(H1191,LUTs!$A$1:$C$73,3,FALSE),"NA")</f>
        <v>2Central Puget Sound</v>
      </c>
      <c r="K1191" s="107" t="s">
        <v>21</v>
      </c>
      <c r="L1191" s="107" t="str">
        <f>VLOOKUP(K1191,LUTs!E$2:G$14,3,)</f>
        <v>08Thurston</v>
      </c>
      <c r="M1191" s="107" t="str">
        <f>VLOOKUP($K1191,LUTs!$E$2:$H$14,2,)</f>
        <v>South Puget Sound</v>
      </c>
      <c r="N1191" s="107" t="str">
        <f>VLOOKUP($K1191,LUTs!$E$2:$H$14,4,)</f>
        <v>02South Puget Sound</v>
      </c>
      <c r="O1191" s="107">
        <v>42.823351023502703</v>
      </c>
      <c r="P1191" s="107">
        <v>204.83249431387401</v>
      </c>
      <c r="Q1191" s="107">
        <f t="shared" si="109"/>
        <v>42.823351023502703</v>
      </c>
      <c r="R1191" s="107">
        <f t="shared" si="110"/>
        <v>204.83249431387401</v>
      </c>
      <c r="S1191" s="140" t="str">
        <f t="shared" si="111"/>
        <v>Y</v>
      </c>
      <c r="T1191" s="154">
        <f t="shared" si="112"/>
        <v>4.783196303377939</v>
      </c>
      <c r="U1191" s="154">
        <f t="shared" si="113"/>
        <v>4.783196303377939</v>
      </c>
    </row>
    <row r="1192" spans="1:21" x14ac:dyDescent="0.35">
      <c r="A1192" s="107">
        <v>3576</v>
      </c>
      <c r="B1192" s="107">
        <v>2014</v>
      </c>
      <c r="C1192" s="107" t="s">
        <v>9</v>
      </c>
      <c r="D1192" s="107" t="s">
        <v>132</v>
      </c>
      <c r="E1192" s="107" t="s">
        <v>10</v>
      </c>
      <c r="F1192" s="115" t="s">
        <v>305</v>
      </c>
      <c r="G1192" s="107" t="s">
        <v>32</v>
      </c>
      <c r="H1192" s="107" t="str">
        <f t="shared" si="108"/>
        <v>Area 8-2: Port Susan-Port Gardner</v>
      </c>
      <c r="I1192" s="107" t="str">
        <f>IFERROR(VLOOKUP(H1192,LUTs!$A$1:$C$73,2,FALSE),"NA")</f>
        <v>NA</v>
      </c>
      <c r="J1192" s="107" t="str">
        <f>IFERROR(VLOOKUP(H1192,LUTs!$A$1:$C$73,3,FALSE),"NA")</f>
        <v>2Central Puget Sound</v>
      </c>
      <c r="K1192" s="107" t="s">
        <v>13</v>
      </c>
      <c r="L1192" s="107" t="str">
        <f>VLOOKUP(K1192,LUTs!E$2:G$14,3,)</f>
        <v>01Whatcom</v>
      </c>
      <c r="M1192" s="107" t="str">
        <f>VLOOKUP($K1192,LUTs!$E$2:$H$14,2,)</f>
        <v>North Puget Sound</v>
      </c>
      <c r="N1192" s="107" t="str">
        <f>VLOOKUP($K1192,LUTs!$E$2:$H$14,4,)</f>
        <v>01North Puget Sound</v>
      </c>
      <c r="O1192" s="107">
        <v>49.9605761940864</v>
      </c>
      <c r="P1192" s="107">
        <v>238.971243366187</v>
      </c>
      <c r="Q1192" s="107">
        <f t="shared" si="109"/>
        <v>49.9605761940864</v>
      </c>
      <c r="R1192" s="107">
        <f t="shared" si="110"/>
        <v>238.971243366187</v>
      </c>
      <c r="S1192" s="140" t="str">
        <f t="shared" si="111"/>
        <v>Y</v>
      </c>
      <c r="T1192" s="154">
        <f t="shared" si="112"/>
        <v>4.7831963033779603</v>
      </c>
      <c r="U1192" s="154">
        <f t="shared" si="113"/>
        <v>4.7831963033779603</v>
      </c>
    </row>
    <row r="1193" spans="1:21" x14ac:dyDescent="0.35">
      <c r="A1193" s="107">
        <v>1619</v>
      </c>
      <c r="B1193" s="107">
        <v>2015</v>
      </c>
      <c r="C1193" s="107" t="s">
        <v>9</v>
      </c>
      <c r="D1193" s="107" t="s">
        <v>132</v>
      </c>
      <c r="E1193" s="107" t="s">
        <v>10</v>
      </c>
      <c r="F1193" s="115" t="s">
        <v>305</v>
      </c>
      <c r="G1193" s="107" t="s">
        <v>32</v>
      </c>
      <c r="H1193" s="107" t="str">
        <f t="shared" si="108"/>
        <v>Area 8-2: Port Susan-Port Gardner</v>
      </c>
      <c r="I1193" s="107" t="str">
        <f>IFERROR(VLOOKUP(H1193,LUTs!$A$1:$C$73,2,FALSE),"NA")</f>
        <v>NA</v>
      </c>
      <c r="J1193" s="107" t="str">
        <f>IFERROR(VLOOKUP(H1193,LUTs!$A$1:$C$73,3,FALSE),"NA")</f>
        <v>2Central Puget Sound</v>
      </c>
      <c r="K1193" s="107" t="s">
        <v>24</v>
      </c>
      <c r="L1193" s="107" t="str">
        <f>VLOOKUP(K1193,LUTs!E$2:G$14,3,)</f>
        <v>11Clallam</v>
      </c>
      <c r="M1193" s="107" t="str">
        <f>VLOOKUP($K1193,LUTs!$E$2:$H$14,2,)</f>
        <v>Strait of Juan de Fuca</v>
      </c>
      <c r="N1193" s="107" t="str">
        <f>VLOOKUP($K1193,LUTs!$E$2:$H$14,4,)</f>
        <v>03Strait of Juan de Fuca</v>
      </c>
      <c r="O1193" s="107">
        <v>100.939520730316</v>
      </c>
      <c r="P1193" s="107">
        <v>123.41322175732201</v>
      </c>
      <c r="Q1193" s="107">
        <f t="shared" si="109"/>
        <v>100.939520730316</v>
      </c>
      <c r="R1193" s="107">
        <f t="shared" si="110"/>
        <v>123.41322175732201</v>
      </c>
      <c r="S1193" s="140" t="str">
        <f t="shared" si="111"/>
        <v>Y</v>
      </c>
      <c r="T1193" s="154">
        <f t="shared" si="112"/>
        <v>1.2226452123450224</v>
      </c>
      <c r="U1193" s="154">
        <f t="shared" si="113"/>
        <v>1.2226452123450224</v>
      </c>
    </row>
    <row r="1194" spans="1:21" x14ac:dyDescent="0.35">
      <c r="A1194" s="107">
        <v>1441</v>
      </c>
      <c r="B1194" s="107">
        <v>2015</v>
      </c>
      <c r="C1194" s="107" t="s">
        <v>9</v>
      </c>
      <c r="D1194" s="107" t="s">
        <v>132</v>
      </c>
      <c r="E1194" s="107" t="s">
        <v>10</v>
      </c>
      <c r="F1194" s="115" t="s">
        <v>305</v>
      </c>
      <c r="G1194" s="107" t="s">
        <v>32</v>
      </c>
      <c r="H1194" s="107" t="str">
        <f t="shared" si="108"/>
        <v>Area 8-2: Port Susan-Port Gardner</v>
      </c>
      <c r="I1194" s="107" t="str">
        <f>IFERROR(VLOOKUP(H1194,LUTs!$A$1:$C$73,2,FALSE),"NA")</f>
        <v>NA</v>
      </c>
      <c r="J1194" s="107" t="str">
        <f>IFERROR(VLOOKUP(H1194,LUTs!$A$1:$C$73,3,FALSE),"NA")</f>
        <v>2Central Puget Sound</v>
      </c>
      <c r="K1194" s="107" t="s">
        <v>17</v>
      </c>
      <c r="L1194" s="107" t="str">
        <f>VLOOKUP(K1194,LUTs!E$2:G$14,3,)</f>
        <v>04Island</v>
      </c>
      <c r="M1194" s="107" t="str">
        <f>VLOOKUP($K1194,LUTs!$E$2:$H$14,2,)</f>
        <v>North Puget Sound</v>
      </c>
      <c r="N1194" s="107" t="str">
        <f>VLOOKUP($K1194,LUTs!$E$2:$H$14,4,)</f>
        <v>01North Puget Sound</v>
      </c>
      <c r="O1194" s="107">
        <v>1117.54469379992</v>
      </c>
      <c r="P1194" s="107">
        <v>1366.3606694560699</v>
      </c>
      <c r="Q1194" s="107">
        <f t="shared" si="109"/>
        <v>1117.54469379992</v>
      </c>
      <c r="R1194" s="107">
        <f t="shared" si="110"/>
        <v>1366.3606694560699</v>
      </c>
      <c r="S1194" s="140" t="str">
        <f t="shared" si="111"/>
        <v>Y</v>
      </c>
      <c r="T1194" s="154">
        <f t="shared" si="112"/>
        <v>1.2226452123450346</v>
      </c>
      <c r="U1194" s="154">
        <f t="shared" si="113"/>
        <v>1.2226452123450346</v>
      </c>
    </row>
    <row r="1195" spans="1:21" x14ac:dyDescent="0.35">
      <c r="A1195" s="107">
        <v>1442</v>
      </c>
      <c r="B1195" s="107">
        <v>2015</v>
      </c>
      <c r="C1195" s="107" t="s">
        <v>9</v>
      </c>
      <c r="D1195" s="107" t="s">
        <v>132</v>
      </c>
      <c r="E1195" s="107" t="s">
        <v>10</v>
      </c>
      <c r="F1195" s="115" t="s">
        <v>305</v>
      </c>
      <c r="G1195" s="107" t="s">
        <v>32</v>
      </c>
      <c r="H1195" s="107" t="str">
        <f t="shared" si="108"/>
        <v>Area 8-2: Port Susan-Port Gardner</v>
      </c>
      <c r="I1195" s="107" t="str">
        <f>IFERROR(VLOOKUP(H1195,LUTs!$A$1:$C$73,2,FALSE),"NA")</f>
        <v>NA</v>
      </c>
      <c r="J1195" s="107" t="str">
        <f>IFERROR(VLOOKUP(H1195,LUTs!$A$1:$C$73,3,FALSE),"NA")</f>
        <v>2Central Puget Sound</v>
      </c>
      <c r="K1195" s="107" t="s">
        <v>18</v>
      </c>
      <c r="L1195" s="107" t="str">
        <f>VLOOKUP(K1195,LUTs!E$2:G$14,3,)</f>
        <v>06King</v>
      </c>
      <c r="M1195" s="107" t="str">
        <f>VLOOKUP($K1195,LUTs!$E$2:$H$14,2,)</f>
        <v>South Puget Sound</v>
      </c>
      <c r="N1195" s="107" t="str">
        <f>VLOOKUP($K1195,LUTs!$E$2:$H$14,4,)</f>
        <v>02South Puget Sound</v>
      </c>
      <c r="O1195" s="107">
        <v>5349.7945987067296</v>
      </c>
      <c r="P1195" s="107">
        <v>6540.9007531380803</v>
      </c>
      <c r="Q1195" s="107">
        <f t="shared" si="109"/>
        <v>5349.7945987067296</v>
      </c>
      <c r="R1195" s="107">
        <f t="shared" si="110"/>
        <v>6540.9007531380803</v>
      </c>
      <c r="S1195" s="140" t="str">
        <f t="shared" si="111"/>
        <v>Y</v>
      </c>
      <c r="T1195" s="154">
        <f t="shared" si="112"/>
        <v>1.2226452123450293</v>
      </c>
      <c r="U1195" s="154">
        <f t="shared" si="113"/>
        <v>1.2226452123450293</v>
      </c>
    </row>
    <row r="1196" spans="1:21" x14ac:dyDescent="0.35">
      <c r="A1196" s="107">
        <v>1618</v>
      </c>
      <c r="B1196" s="107">
        <v>2015</v>
      </c>
      <c r="C1196" s="107" t="s">
        <v>9</v>
      </c>
      <c r="D1196" s="107" t="s">
        <v>132</v>
      </c>
      <c r="E1196" s="107" t="s">
        <v>10</v>
      </c>
      <c r="F1196" s="115" t="s">
        <v>305</v>
      </c>
      <c r="G1196" s="107" t="s">
        <v>32</v>
      </c>
      <c r="H1196" s="107" t="str">
        <f t="shared" si="108"/>
        <v>Area 8-2: Port Susan-Port Gardner</v>
      </c>
      <c r="I1196" s="107" t="str">
        <f>IFERROR(VLOOKUP(H1196,LUTs!$A$1:$C$73,2,FALSE),"NA")</f>
        <v>NA</v>
      </c>
      <c r="J1196" s="107" t="str">
        <f>IFERROR(VLOOKUP(H1196,LUTs!$A$1:$C$73,3,FALSE),"NA")</f>
        <v>2Central Puget Sound</v>
      </c>
      <c r="K1196" s="107" t="s">
        <v>23</v>
      </c>
      <c r="L1196" s="107" t="str">
        <f>VLOOKUP(K1196,LUTs!E$2:G$14,3,)</f>
        <v>10Kitsap</v>
      </c>
      <c r="M1196" s="107" t="str">
        <f>VLOOKUP($K1196,LUTs!$E$2:$H$14,2,)</f>
        <v>South Puget Sound</v>
      </c>
      <c r="N1196" s="107" t="str">
        <f>VLOOKUP($K1196,LUTs!$E$2:$H$14,4,)</f>
        <v>02South Puget Sound</v>
      </c>
      <c r="O1196" s="107">
        <v>158.61924686192501</v>
      </c>
      <c r="P1196" s="107">
        <v>193.935062761506</v>
      </c>
      <c r="Q1196" s="107">
        <f t="shared" si="109"/>
        <v>158.61924686192501</v>
      </c>
      <c r="R1196" s="107">
        <f t="shared" si="110"/>
        <v>193.935062761506</v>
      </c>
      <c r="S1196" s="140" t="str">
        <f t="shared" si="111"/>
        <v>Y</v>
      </c>
      <c r="T1196" s="154">
        <f t="shared" si="112"/>
        <v>1.2226452123450235</v>
      </c>
      <c r="U1196" s="154">
        <f t="shared" si="113"/>
        <v>1.2226452123450235</v>
      </c>
    </row>
    <row r="1197" spans="1:21" x14ac:dyDescent="0.35">
      <c r="A1197" s="107">
        <v>1617</v>
      </c>
      <c r="B1197" s="107">
        <v>2015</v>
      </c>
      <c r="C1197" s="107" t="s">
        <v>9</v>
      </c>
      <c r="D1197" s="107" t="s">
        <v>132</v>
      </c>
      <c r="E1197" s="107" t="s">
        <v>10</v>
      </c>
      <c r="F1197" s="115" t="s">
        <v>305</v>
      </c>
      <c r="G1197" s="107" t="s">
        <v>32</v>
      </c>
      <c r="H1197" s="107" t="str">
        <f t="shared" si="108"/>
        <v>Area 8-2: Port Susan-Port Gardner</v>
      </c>
      <c r="I1197" s="107" t="str">
        <f>IFERROR(VLOOKUP(H1197,LUTs!$A$1:$C$73,2,FALSE),"NA")</f>
        <v>NA</v>
      </c>
      <c r="J1197" s="107" t="str">
        <f>IFERROR(VLOOKUP(H1197,LUTs!$A$1:$C$73,3,FALSE),"NA")</f>
        <v>2Central Puget Sound</v>
      </c>
      <c r="K1197" s="107" t="s">
        <v>22</v>
      </c>
      <c r="L1197" s="107" t="str">
        <f>VLOOKUP(K1197,LUTs!E$2:G$14,3,)</f>
        <v>09Mason</v>
      </c>
      <c r="M1197" s="107" t="str">
        <f>VLOOKUP($K1197,LUTs!$E$2:$H$14,2,)</f>
        <v>South Puget Sound</v>
      </c>
      <c r="N1197" s="107" t="str">
        <f>VLOOKUP($K1197,LUTs!$E$2:$H$14,4,)</f>
        <v>02South Puget Sound</v>
      </c>
      <c r="O1197" s="107">
        <v>64.889691898060093</v>
      </c>
      <c r="P1197" s="107">
        <v>79.337071129707098</v>
      </c>
      <c r="Q1197" s="107">
        <f t="shared" si="109"/>
        <v>64.889691898060093</v>
      </c>
      <c r="R1197" s="107">
        <f t="shared" si="110"/>
        <v>79.337071129707098</v>
      </c>
      <c r="S1197" s="140" t="str">
        <f t="shared" si="111"/>
        <v>Y</v>
      </c>
      <c r="T1197" s="154">
        <f t="shared" si="112"/>
        <v>1.2226452123450275</v>
      </c>
      <c r="U1197" s="154">
        <f t="shared" si="113"/>
        <v>1.2226452123450275</v>
      </c>
    </row>
    <row r="1198" spans="1:21" x14ac:dyDescent="0.35">
      <c r="A1198" s="107">
        <v>1620</v>
      </c>
      <c r="B1198" s="107">
        <v>2015</v>
      </c>
      <c r="C1198" s="107" t="s">
        <v>9</v>
      </c>
      <c r="D1198" s="107" t="s">
        <v>132</v>
      </c>
      <c r="E1198" s="107" t="s">
        <v>10</v>
      </c>
      <c r="F1198" s="115" t="s">
        <v>305</v>
      </c>
      <c r="G1198" s="107" t="s">
        <v>32</v>
      </c>
      <c r="H1198" s="107" t="str">
        <f t="shared" si="108"/>
        <v>Area 8-2: Port Susan-Port Gardner</v>
      </c>
      <c r="I1198" s="107" t="str">
        <f>IFERROR(VLOOKUP(H1198,LUTs!$A$1:$C$73,2,FALSE),"NA")</f>
        <v>NA</v>
      </c>
      <c r="J1198" s="107" t="str">
        <f>IFERROR(VLOOKUP(H1198,LUTs!$A$1:$C$73,3,FALSE),"NA")</f>
        <v>2Central Puget Sound</v>
      </c>
      <c r="K1198" s="107" t="s">
        <v>26</v>
      </c>
      <c r="L1198" s="107" t="str">
        <f>VLOOKUP(K1198,LUTs!E$2:G$14,3,)</f>
        <v>20Other</v>
      </c>
      <c r="M1198" s="107" t="str">
        <f>VLOOKUP($K1198,LUTs!$E$2:$H$14,2,)</f>
        <v>Non Puget Sound</v>
      </c>
      <c r="N1198" s="107" t="str">
        <f>VLOOKUP($K1198,LUTs!$E$2:$H$14,4,)</f>
        <v>07Non Puget Sound</v>
      </c>
      <c r="O1198" s="107">
        <v>3504.0433624952502</v>
      </c>
      <c r="P1198" s="107">
        <v>4284.2018410041801</v>
      </c>
      <c r="Q1198" s="107">
        <f t="shared" si="109"/>
        <v>3504.0433624952502</v>
      </c>
      <c r="R1198" s="107">
        <f t="shared" si="110"/>
        <v>4284.2018410041801</v>
      </c>
      <c r="S1198" s="140" t="str">
        <f t="shared" si="111"/>
        <v>Y</v>
      </c>
      <c r="T1198" s="154">
        <f t="shared" si="112"/>
        <v>1.2226452123450249</v>
      </c>
      <c r="U1198" s="154">
        <f t="shared" si="113"/>
        <v>1.2226452123450249</v>
      </c>
    </row>
    <row r="1199" spans="1:21" x14ac:dyDescent="0.35">
      <c r="A1199" s="107">
        <v>1615</v>
      </c>
      <c r="B1199" s="107">
        <v>2015</v>
      </c>
      <c r="C1199" s="107" t="s">
        <v>9</v>
      </c>
      <c r="D1199" s="107" t="s">
        <v>132</v>
      </c>
      <c r="E1199" s="107" t="s">
        <v>10</v>
      </c>
      <c r="F1199" s="115" t="s">
        <v>305</v>
      </c>
      <c r="G1199" s="107" t="s">
        <v>32</v>
      </c>
      <c r="H1199" s="107" t="str">
        <f t="shared" si="108"/>
        <v>Area 8-2: Port Susan-Port Gardner</v>
      </c>
      <c r="I1199" s="107" t="str">
        <f>IFERROR(VLOOKUP(H1199,LUTs!$A$1:$C$73,2,FALSE),"NA")</f>
        <v>NA</v>
      </c>
      <c r="J1199" s="107" t="str">
        <f>IFERROR(VLOOKUP(H1199,LUTs!$A$1:$C$73,3,FALSE),"NA")</f>
        <v>2Central Puget Sound</v>
      </c>
      <c r="K1199" s="107" t="s">
        <v>20</v>
      </c>
      <c r="L1199" s="107" t="str">
        <f>VLOOKUP(K1199,LUTs!E$2:G$14,3,)</f>
        <v>07Pierce</v>
      </c>
      <c r="M1199" s="107" t="str">
        <f>VLOOKUP($K1199,LUTs!$E$2:$H$14,2,)</f>
        <v>South Puget Sound</v>
      </c>
      <c r="N1199" s="107" t="str">
        <f>VLOOKUP($K1199,LUTs!$E$2:$H$14,4,)</f>
        <v>02South Puget Sound</v>
      </c>
      <c r="O1199" s="107">
        <v>216.29897299353399</v>
      </c>
      <c r="P1199" s="107">
        <v>264.45690376569002</v>
      </c>
      <c r="Q1199" s="107">
        <f t="shared" si="109"/>
        <v>216.29897299353399</v>
      </c>
      <c r="R1199" s="107">
        <f t="shared" si="110"/>
        <v>264.45690376569002</v>
      </c>
      <c r="S1199" s="140" t="str">
        <f t="shared" si="111"/>
        <v>Y</v>
      </c>
      <c r="T1199" s="154">
        <f t="shared" si="112"/>
        <v>1.2226452123450242</v>
      </c>
      <c r="U1199" s="154">
        <f t="shared" si="113"/>
        <v>1.2226452123450242</v>
      </c>
    </row>
    <row r="1200" spans="1:21" x14ac:dyDescent="0.35">
      <c r="A1200" s="107">
        <v>1439</v>
      </c>
      <c r="B1200" s="107">
        <v>2015</v>
      </c>
      <c r="C1200" s="107" t="s">
        <v>9</v>
      </c>
      <c r="D1200" s="107" t="s">
        <v>132</v>
      </c>
      <c r="E1200" s="107" t="s">
        <v>10</v>
      </c>
      <c r="F1200" s="115" t="s">
        <v>305</v>
      </c>
      <c r="G1200" s="107" t="s">
        <v>32</v>
      </c>
      <c r="H1200" s="107" t="str">
        <f t="shared" si="108"/>
        <v>Area 8-2: Port Susan-Port Gardner</v>
      </c>
      <c r="I1200" s="107" t="str">
        <f>IFERROR(VLOOKUP(H1200,LUTs!$A$1:$C$73,2,FALSE),"NA")</f>
        <v>NA</v>
      </c>
      <c r="J1200" s="107" t="str">
        <f>IFERROR(VLOOKUP(H1200,LUTs!$A$1:$C$73,3,FALSE),"NA")</f>
        <v>2Central Puget Sound</v>
      </c>
      <c r="K1200" s="107" t="s">
        <v>15</v>
      </c>
      <c r="L1200" s="107" t="str">
        <f>VLOOKUP(K1200,LUTs!E$2:G$14,3,)</f>
        <v>02Skagit</v>
      </c>
      <c r="M1200" s="107" t="str">
        <f>VLOOKUP($K1200,LUTs!$E$2:$H$14,2,)</f>
        <v>North Puget Sound</v>
      </c>
      <c r="N1200" s="107" t="str">
        <f>VLOOKUP($K1200,LUTs!$E$2:$H$14,4,)</f>
        <v>01North Puget Sound</v>
      </c>
      <c r="O1200" s="107">
        <v>432.59794598706702</v>
      </c>
      <c r="P1200" s="107">
        <v>528.91380753138105</v>
      </c>
      <c r="Q1200" s="107">
        <f t="shared" si="109"/>
        <v>432.59794598706702</v>
      </c>
      <c r="R1200" s="107">
        <f t="shared" si="110"/>
        <v>528.91380753138105</v>
      </c>
      <c r="S1200" s="140" t="str">
        <f t="shared" si="111"/>
        <v>Y</v>
      </c>
      <c r="T1200" s="154">
        <f t="shared" si="112"/>
        <v>1.2226452123450293</v>
      </c>
      <c r="U1200" s="154">
        <f t="shared" si="113"/>
        <v>1.2226452123450293</v>
      </c>
    </row>
    <row r="1201" spans="1:21" x14ac:dyDescent="0.35">
      <c r="A1201" s="107">
        <v>1440</v>
      </c>
      <c r="B1201" s="107">
        <v>2015</v>
      </c>
      <c r="C1201" s="107" t="s">
        <v>9</v>
      </c>
      <c r="D1201" s="107" t="s">
        <v>132</v>
      </c>
      <c r="E1201" s="107" t="s">
        <v>10</v>
      </c>
      <c r="F1201" s="115" t="s">
        <v>305</v>
      </c>
      <c r="G1201" s="107" t="s">
        <v>32</v>
      </c>
      <c r="H1201" s="107" t="str">
        <f t="shared" si="108"/>
        <v>Area 8-2: Port Susan-Port Gardner</v>
      </c>
      <c r="I1201" s="107" t="str">
        <f>IFERROR(VLOOKUP(H1201,LUTs!$A$1:$C$73,2,FALSE),"NA")</f>
        <v>NA</v>
      </c>
      <c r="J1201" s="107" t="str">
        <f>IFERROR(VLOOKUP(H1201,LUTs!$A$1:$C$73,3,FALSE),"NA")</f>
        <v>2Central Puget Sound</v>
      </c>
      <c r="K1201" s="107" t="s">
        <v>16</v>
      </c>
      <c r="L1201" s="107" t="str">
        <f>VLOOKUP(K1201,LUTs!E$2:G$14,3,)</f>
        <v>03Snohomish</v>
      </c>
      <c r="M1201" s="107" t="str">
        <f>VLOOKUP($K1201,LUTs!$E$2:$H$14,2,)</f>
        <v>North Puget Sound</v>
      </c>
      <c r="N1201" s="107" t="str">
        <f>VLOOKUP($K1201,LUTs!$E$2:$H$14,4,)</f>
        <v>01North Puget Sound</v>
      </c>
      <c r="O1201" s="107">
        <v>26712.923164701398</v>
      </c>
      <c r="P1201" s="107">
        <v>32660.427615062799</v>
      </c>
      <c r="Q1201" s="107">
        <f t="shared" si="109"/>
        <v>26712.923164701398</v>
      </c>
      <c r="R1201" s="107">
        <f t="shared" si="110"/>
        <v>32660.427615062799</v>
      </c>
      <c r="S1201" s="140" t="str">
        <f t="shared" si="111"/>
        <v>Y</v>
      </c>
      <c r="T1201" s="154">
        <f t="shared" si="112"/>
        <v>1.2226452123450295</v>
      </c>
      <c r="U1201" s="154">
        <f t="shared" si="113"/>
        <v>1.2226452123450295</v>
      </c>
    </row>
    <row r="1202" spans="1:21" x14ac:dyDescent="0.35">
      <c r="A1202" s="107">
        <v>1616</v>
      </c>
      <c r="B1202" s="107">
        <v>2015</v>
      </c>
      <c r="C1202" s="107" t="s">
        <v>9</v>
      </c>
      <c r="D1202" s="107" t="s">
        <v>132</v>
      </c>
      <c r="E1202" s="107" t="s">
        <v>10</v>
      </c>
      <c r="F1202" s="115" t="s">
        <v>305</v>
      </c>
      <c r="G1202" s="107" t="s">
        <v>32</v>
      </c>
      <c r="H1202" s="107" t="str">
        <f t="shared" si="108"/>
        <v>Area 8-2: Port Susan-Port Gardner</v>
      </c>
      <c r="I1202" s="107" t="str">
        <f>IFERROR(VLOOKUP(H1202,LUTs!$A$1:$C$73,2,FALSE),"NA")</f>
        <v>NA</v>
      </c>
      <c r="J1202" s="107" t="str">
        <f>IFERROR(VLOOKUP(H1202,LUTs!$A$1:$C$73,3,FALSE),"NA")</f>
        <v>2Central Puget Sound</v>
      </c>
      <c r="K1202" s="107" t="s">
        <v>21</v>
      </c>
      <c r="L1202" s="107" t="str">
        <f>VLOOKUP(K1202,LUTs!E$2:G$14,3,)</f>
        <v>08Thurston</v>
      </c>
      <c r="M1202" s="107" t="str">
        <f>VLOOKUP($K1202,LUTs!$E$2:$H$14,2,)</f>
        <v>South Puget Sound</v>
      </c>
      <c r="N1202" s="107" t="str">
        <f>VLOOKUP($K1202,LUTs!$E$2:$H$14,4,)</f>
        <v>02South Puget Sound</v>
      </c>
      <c r="O1202" s="107">
        <v>79.309623430962404</v>
      </c>
      <c r="P1202" s="107">
        <v>96.967531380753201</v>
      </c>
      <c r="Q1202" s="107">
        <f t="shared" si="109"/>
        <v>79.309623430962404</v>
      </c>
      <c r="R1202" s="107">
        <f t="shared" si="110"/>
        <v>96.967531380753201</v>
      </c>
      <c r="S1202" s="140" t="str">
        <f t="shared" si="111"/>
        <v>Y</v>
      </c>
      <c r="T1202" s="154">
        <f t="shared" si="112"/>
        <v>1.2226452123450275</v>
      </c>
      <c r="U1202" s="154">
        <f t="shared" si="113"/>
        <v>1.2226452123450275</v>
      </c>
    </row>
    <row r="1203" spans="1:21" x14ac:dyDescent="0.35">
      <c r="A1203" s="107">
        <v>1438</v>
      </c>
      <c r="B1203" s="107">
        <v>2015</v>
      </c>
      <c r="C1203" s="107" t="s">
        <v>9</v>
      </c>
      <c r="D1203" s="107" t="s">
        <v>132</v>
      </c>
      <c r="E1203" s="107" t="s">
        <v>10</v>
      </c>
      <c r="F1203" s="115" t="s">
        <v>305</v>
      </c>
      <c r="G1203" s="107" t="s">
        <v>32</v>
      </c>
      <c r="H1203" s="107" t="str">
        <f t="shared" si="108"/>
        <v>Area 8-2: Port Susan-Port Gardner</v>
      </c>
      <c r="I1203" s="107" t="str">
        <f>IFERROR(VLOOKUP(H1203,LUTs!$A$1:$C$73,2,FALSE),"NA")</f>
        <v>NA</v>
      </c>
      <c r="J1203" s="107" t="str">
        <f>IFERROR(VLOOKUP(H1203,LUTs!$A$1:$C$73,3,FALSE),"NA")</f>
        <v>2Central Puget Sound</v>
      </c>
      <c r="K1203" s="107" t="s">
        <v>13</v>
      </c>
      <c r="L1203" s="107" t="str">
        <f>VLOOKUP(K1203,LUTs!E$2:G$14,3,)</f>
        <v>01Whatcom</v>
      </c>
      <c r="M1203" s="107" t="str">
        <f>VLOOKUP($K1203,LUTs!$E$2:$H$14,2,)</f>
        <v>North Puget Sound</v>
      </c>
      <c r="N1203" s="107" t="str">
        <f>VLOOKUP($K1203,LUTs!$E$2:$H$14,4,)</f>
        <v>01North Puget Sound</v>
      </c>
      <c r="O1203" s="107">
        <v>173.03917839482699</v>
      </c>
      <c r="P1203" s="107">
        <v>211.56552301255201</v>
      </c>
      <c r="Q1203" s="107">
        <f t="shared" si="109"/>
        <v>173.03917839482699</v>
      </c>
      <c r="R1203" s="107">
        <f t="shared" si="110"/>
        <v>211.56552301255201</v>
      </c>
      <c r="S1203" s="140" t="str">
        <f t="shared" si="111"/>
        <v>Y</v>
      </c>
      <c r="T1203" s="154">
        <f t="shared" si="112"/>
        <v>1.2226452123450255</v>
      </c>
      <c r="U1203" s="154">
        <f t="shared" si="113"/>
        <v>1.2226452123450255</v>
      </c>
    </row>
    <row r="1204" spans="1:21" x14ac:dyDescent="0.35">
      <c r="A1204" s="107">
        <v>2087</v>
      </c>
      <c r="B1204" s="107">
        <v>2016</v>
      </c>
      <c r="C1204" s="107" t="s">
        <v>9</v>
      </c>
      <c r="D1204" s="107" t="s">
        <v>132</v>
      </c>
      <c r="E1204" s="107" t="s">
        <v>10</v>
      </c>
      <c r="F1204" s="115" t="s">
        <v>305</v>
      </c>
      <c r="G1204" s="107" t="s">
        <v>32</v>
      </c>
      <c r="H1204" s="107" t="str">
        <f t="shared" si="108"/>
        <v>Area 8-2: Port Susan-Port Gardner</v>
      </c>
      <c r="I1204" s="107" t="str">
        <f>IFERROR(VLOOKUP(H1204,LUTs!$A$1:$C$73,2,FALSE),"NA")</f>
        <v>NA</v>
      </c>
      <c r="J1204" s="107" t="str">
        <f>IFERROR(VLOOKUP(H1204,LUTs!$A$1:$C$73,3,FALSE),"NA")</f>
        <v>2Central Puget Sound</v>
      </c>
      <c r="K1204" s="107" t="s">
        <v>17</v>
      </c>
      <c r="L1204" s="107" t="str">
        <f>VLOOKUP(K1204,LUTs!E$2:G$14,3,)</f>
        <v>04Island</v>
      </c>
      <c r="M1204" s="107" t="str">
        <f>VLOOKUP($K1204,LUTs!$E$2:$H$14,2,)</f>
        <v>North Puget Sound</v>
      </c>
      <c r="N1204" s="107" t="str">
        <f>VLOOKUP($K1204,LUTs!$E$2:$H$14,4,)</f>
        <v>01North Puget Sound</v>
      </c>
      <c r="O1204" s="107">
        <v>171.45</v>
      </c>
      <c r="P1204" s="107">
        <v>3821.28</v>
      </c>
      <c r="Q1204" s="107">
        <f t="shared" si="109"/>
        <v>171.45</v>
      </c>
      <c r="R1204" s="107">
        <f t="shared" si="110"/>
        <v>3821.28</v>
      </c>
      <c r="S1204" s="140" t="str">
        <f t="shared" si="111"/>
        <v>Y</v>
      </c>
      <c r="T1204" s="154">
        <f t="shared" si="112"/>
        <v>22.288013998250221</v>
      </c>
      <c r="U1204" s="154">
        <f t="shared" si="113"/>
        <v>22.288013998250221</v>
      </c>
    </row>
    <row r="1205" spans="1:21" x14ac:dyDescent="0.35">
      <c r="A1205" s="107">
        <v>2088</v>
      </c>
      <c r="B1205" s="107">
        <v>2016</v>
      </c>
      <c r="C1205" s="107" t="s">
        <v>9</v>
      </c>
      <c r="D1205" s="107" t="s">
        <v>132</v>
      </c>
      <c r="E1205" s="107" t="s">
        <v>10</v>
      </c>
      <c r="F1205" s="115" t="s">
        <v>305</v>
      </c>
      <c r="G1205" s="107" t="s">
        <v>32</v>
      </c>
      <c r="H1205" s="107" t="str">
        <f t="shared" si="108"/>
        <v>Area 8-2: Port Susan-Port Gardner</v>
      </c>
      <c r="I1205" s="107" t="str">
        <f>IFERROR(VLOOKUP(H1205,LUTs!$A$1:$C$73,2,FALSE),"NA")</f>
        <v>NA</v>
      </c>
      <c r="J1205" s="107" t="str">
        <f>IFERROR(VLOOKUP(H1205,LUTs!$A$1:$C$73,3,FALSE),"NA")</f>
        <v>2Central Puget Sound</v>
      </c>
      <c r="K1205" s="107" t="s">
        <v>18</v>
      </c>
      <c r="L1205" s="107" t="str">
        <f>VLOOKUP(K1205,LUTs!E$2:G$14,3,)</f>
        <v>06King</v>
      </c>
      <c r="M1205" s="107" t="str">
        <f>VLOOKUP($K1205,LUTs!$E$2:$H$14,2,)</f>
        <v>South Puget Sound</v>
      </c>
      <c r="N1205" s="107" t="str">
        <f>VLOOKUP($K1205,LUTs!$E$2:$H$14,4,)</f>
        <v>02South Puget Sound</v>
      </c>
      <c r="O1205" s="107">
        <v>114.3</v>
      </c>
      <c r="P1205" s="107">
        <v>2547.52</v>
      </c>
      <c r="Q1205" s="107">
        <f t="shared" si="109"/>
        <v>114.3</v>
      </c>
      <c r="R1205" s="107">
        <f t="shared" si="110"/>
        <v>2547.52</v>
      </c>
      <c r="S1205" s="140" t="str">
        <f t="shared" si="111"/>
        <v>Y</v>
      </c>
      <c r="T1205" s="154">
        <f t="shared" si="112"/>
        <v>22.288013998250218</v>
      </c>
      <c r="U1205" s="154">
        <f t="shared" si="113"/>
        <v>22.288013998250218</v>
      </c>
    </row>
    <row r="1206" spans="1:21" x14ac:dyDescent="0.35">
      <c r="A1206" s="107">
        <v>2090</v>
      </c>
      <c r="B1206" s="107">
        <v>2016</v>
      </c>
      <c r="C1206" s="107" t="s">
        <v>9</v>
      </c>
      <c r="D1206" s="107" t="s">
        <v>132</v>
      </c>
      <c r="E1206" s="107" t="s">
        <v>10</v>
      </c>
      <c r="F1206" s="115" t="s">
        <v>305</v>
      </c>
      <c r="G1206" s="107" t="s">
        <v>32</v>
      </c>
      <c r="H1206" s="107" t="str">
        <f t="shared" si="108"/>
        <v>Area 8-2: Port Susan-Port Gardner</v>
      </c>
      <c r="I1206" s="107" t="str">
        <f>IFERROR(VLOOKUP(H1206,LUTs!$A$1:$C$73,2,FALSE),"NA")</f>
        <v>NA</v>
      </c>
      <c r="J1206" s="107" t="str">
        <f>IFERROR(VLOOKUP(H1206,LUTs!$A$1:$C$73,3,FALSE),"NA")</f>
        <v>2Central Puget Sound</v>
      </c>
      <c r="K1206" s="107" t="s">
        <v>23</v>
      </c>
      <c r="L1206" s="107" t="str">
        <f>VLOOKUP(K1206,LUTs!E$2:G$14,3,)</f>
        <v>10Kitsap</v>
      </c>
      <c r="M1206" s="107" t="str">
        <f>VLOOKUP($K1206,LUTs!$E$2:$H$14,2,)</f>
        <v>South Puget Sound</v>
      </c>
      <c r="N1206" s="107" t="str">
        <f>VLOOKUP($K1206,LUTs!$E$2:$H$14,4,)</f>
        <v>02South Puget Sound</v>
      </c>
      <c r="O1206" s="107">
        <v>57.15</v>
      </c>
      <c r="P1206" s="107">
        <v>1273.76</v>
      </c>
      <c r="Q1206" s="107">
        <f t="shared" si="109"/>
        <v>57.15</v>
      </c>
      <c r="R1206" s="107">
        <f t="shared" si="110"/>
        <v>1273.76</v>
      </c>
      <c r="S1206" s="140" t="str">
        <f t="shared" si="111"/>
        <v>Y</v>
      </c>
      <c r="T1206" s="154">
        <f t="shared" si="112"/>
        <v>22.288013998250218</v>
      </c>
      <c r="U1206" s="154">
        <f t="shared" si="113"/>
        <v>22.288013998250218</v>
      </c>
    </row>
    <row r="1207" spans="1:21" x14ac:dyDescent="0.35">
      <c r="A1207" s="107">
        <v>2091</v>
      </c>
      <c r="B1207" s="107">
        <v>2016</v>
      </c>
      <c r="C1207" s="107" t="s">
        <v>9</v>
      </c>
      <c r="D1207" s="107" t="s">
        <v>132</v>
      </c>
      <c r="E1207" s="107" t="s">
        <v>10</v>
      </c>
      <c r="F1207" s="115" t="s">
        <v>305</v>
      </c>
      <c r="G1207" s="107" t="s">
        <v>32</v>
      </c>
      <c r="H1207" s="107" t="str">
        <f t="shared" si="108"/>
        <v>Area 8-2: Port Susan-Port Gardner</v>
      </c>
      <c r="I1207" s="107" t="str">
        <f>IFERROR(VLOOKUP(H1207,LUTs!$A$1:$C$73,2,FALSE),"NA")</f>
        <v>NA</v>
      </c>
      <c r="J1207" s="107" t="str">
        <f>IFERROR(VLOOKUP(H1207,LUTs!$A$1:$C$73,3,FALSE),"NA")</f>
        <v>2Central Puget Sound</v>
      </c>
      <c r="K1207" s="107" t="s">
        <v>26</v>
      </c>
      <c r="L1207" s="107" t="str">
        <f>VLOOKUP(K1207,LUTs!E$2:G$14,3,)</f>
        <v>20Other</v>
      </c>
      <c r="M1207" s="107" t="str">
        <f>VLOOKUP($K1207,LUTs!$E$2:$H$14,2,)</f>
        <v>Non Puget Sound</v>
      </c>
      <c r="N1207" s="107" t="str">
        <f>VLOOKUP($K1207,LUTs!$E$2:$H$14,4,)</f>
        <v>07Non Puget Sound</v>
      </c>
      <c r="O1207" s="107">
        <v>104.77500000000001</v>
      </c>
      <c r="P1207" s="107">
        <v>2335.2266666666701</v>
      </c>
      <c r="Q1207" s="107">
        <f t="shared" si="109"/>
        <v>104.77500000000001</v>
      </c>
      <c r="R1207" s="107">
        <f t="shared" si="110"/>
        <v>2335.2266666666701</v>
      </c>
      <c r="S1207" s="140" t="str">
        <f t="shared" si="111"/>
        <v>Y</v>
      </c>
      <c r="T1207" s="154">
        <f t="shared" si="112"/>
        <v>22.28801399825025</v>
      </c>
      <c r="U1207" s="154">
        <f t="shared" si="113"/>
        <v>22.28801399825025</v>
      </c>
    </row>
    <row r="1208" spans="1:21" x14ac:dyDescent="0.35">
      <c r="A1208" s="107">
        <v>2089</v>
      </c>
      <c r="B1208" s="107">
        <v>2016</v>
      </c>
      <c r="C1208" s="107" t="s">
        <v>9</v>
      </c>
      <c r="D1208" s="107" t="s">
        <v>132</v>
      </c>
      <c r="E1208" s="107" t="s">
        <v>10</v>
      </c>
      <c r="F1208" s="115" t="s">
        <v>305</v>
      </c>
      <c r="G1208" s="107" t="s">
        <v>32</v>
      </c>
      <c r="H1208" s="107" t="str">
        <f t="shared" si="108"/>
        <v>Area 8-2: Port Susan-Port Gardner</v>
      </c>
      <c r="I1208" s="107" t="str">
        <f>IFERROR(VLOOKUP(H1208,LUTs!$A$1:$C$73,2,FALSE),"NA")</f>
        <v>NA</v>
      </c>
      <c r="J1208" s="107" t="str">
        <f>IFERROR(VLOOKUP(H1208,LUTs!$A$1:$C$73,3,FALSE),"NA")</f>
        <v>2Central Puget Sound</v>
      </c>
      <c r="K1208" s="107" t="s">
        <v>20</v>
      </c>
      <c r="L1208" s="107" t="str">
        <f>VLOOKUP(K1208,LUTs!E$2:G$14,3,)</f>
        <v>07Pierce</v>
      </c>
      <c r="M1208" s="107" t="str">
        <f>VLOOKUP($K1208,LUTs!$E$2:$H$14,2,)</f>
        <v>South Puget Sound</v>
      </c>
      <c r="N1208" s="107" t="str">
        <f>VLOOKUP($K1208,LUTs!$E$2:$H$14,4,)</f>
        <v>02South Puget Sound</v>
      </c>
      <c r="O1208" s="107">
        <v>9.5250000000000004</v>
      </c>
      <c r="P1208" s="107">
        <v>212.29333333333301</v>
      </c>
      <c r="Q1208" s="107">
        <f t="shared" si="109"/>
        <v>9.5250000000000004</v>
      </c>
      <c r="R1208" s="107">
        <f t="shared" si="110"/>
        <v>212.29333333333301</v>
      </c>
      <c r="S1208" s="140" t="str">
        <f t="shared" si="111"/>
        <v>Y</v>
      </c>
      <c r="T1208" s="154">
        <f t="shared" si="112"/>
        <v>22.288013998250182</v>
      </c>
      <c r="U1208" s="154">
        <f t="shared" si="113"/>
        <v>22.288013998250182</v>
      </c>
    </row>
    <row r="1209" spans="1:21" x14ac:dyDescent="0.35">
      <c r="A1209" s="107">
        <v>2085</v>
      </c>
      <c r="B1209" s="107">
        <v>2016</v>
      </c>
      <c r="C1209" s="107" t="s">
        <v>9</v>
      </c>
      <c r="D1209" s="107" t="s">
        <v>132</v>
      </c>
      <c r="E1209" s="107" t="s">
        <v>10</v>
      </c>
      <c r="F1209" s="115" t="s">
        <v>305</v>
      </c>
      <c r="G1209" s="107" t="s">
        <v>32</v>
      </c>
      <c r="H1209" s="107" t="str">
        <f t="shared" si="108"/>
        <v>Area 8-2: Port Susan-Port Gardner</v>
      </c>
      <c r="I1209" s="107" t="str">
        <f>IFERROR(VLOOKUP(H1209,LUTs!$A$1:$C$73,2,FALSE),"NA")</f>
        <v>NA</v>
      </c>
      <c r="J1209" s="107" t="str">
        <f>IFERROR(VLOOKUP(H1209,LUTs!$A$1:$C$73,3,FALSE),"NA")</f>
        <v>2Central Puget Sound</v>
      </c>
      <c r="K1209" s="107" t="s">
        <v>15</v>
      </c>
      <c r="L1209" s="107" t="str">
        <f>VLOOKUP(K1209,LUTs!E$2:G$14,3,)</f>
        <v>02Skagit</v>
      </c>
      <c r="M1209" s="107" t="str">
        <f>VLOOKUP($K1209,LUTs!$E$2:$H$14,2,)</f>
        <v>North Puget Sound</v>
      </c>
      <c r="N1209" s="107" t="str">
        <f>VLOOKUP($K1209,LUTs!$E$2:$H$14,4,)</f>
        <v>01North Puget Sound</v>
      </c>
      <c r="O1209" s="107">
        <v>19.05</v>
      </c>
      <c r="P1209" s="107">
        <v>424.58666666666699</v>
      </c>
      <c r="Q1209" s="107">
        <f t="shared" si="109"/>
        <v>19.05</v>
      </c>
      <c r="R1209" s="107">
        <f t="shared" si="110"/>
        <v>424.58666666666699</v>
      </c>
      <c r="S1209" s="140" t="str">
        <f t="shared" si="111"/>
        <v>Y</v>
      </c>
      <c r="T1209" s="154">
        <f t="shared" si="112"/>
        <v>22.288013998250236</v>
      </c>
      <c r="U1209" s="154">
        <f t="shared" si="113"/>
        <v>22.288013998250236</v>
      </c>
    </row>
    <row r="1210" spans="1:21" x14ac:dyDescent="0.35">
      <c r="A1210" s="107">
        <v>2086</v>
      </c>
      <c r="B1210" s="107">
        <v>2016</v>
      </c>
      <c r="C1210" s="107" t="s">
        <v>9</v>
      </c>
      <c r="D1210" s="107" t="s">
        <v>132</v>
      </c>
      <c r="E1210" s="107" t="s">
        <v>10</v>
      </c>
      <c r="F1210" s="115" t="s">
        <v>305</v>
      </c>
      <c r="G1210" s="107" t="s">
        <v>32</v>
      </c>
      <c r="H1210" s="107" t="str">
        <f t="shared" si="108"/>
        <v>Area 8-2: Port Susan-Port Gardner</v>
      </c>
      <c r="I1210" s="107" t="str">
        <f>IFERROR(VLOOKUP(H1210,LUTs!$A$1:$C$73,2,FALSE),"NA")</f>
        <v>NA</v>
      </c>
      <c r="J1210" s="107" t="str">
        <f>IFERROR(VLOOKUP(H1210,LUTs!$A$1:$C$73,3,FALSE),"NA")</f>
        <v>2Central Puget Sound</v>
      </c>
      <c r="K1210" s="107" t="s">
        <v>16</v>
      </c>
      <c r="L1210" s="107" t="str">
        <f>VLOOKUP(K1210,LUTs!E$2:G$14,3,)</f>
        <v>03Snohomish</v>
      </c>
      <c r="M1210" s="107" t="str">
        <f>VLOOKUP($K1210,LUTs!$E$2:$H$14,2,)</f>
        <v>North Puget Sound</v>
      </c>
      <c r="N1210" s="107" t="str">
        <f>VLOOKUP($K1210,LUTs!$E$2:$H$14,4,)</f>
        <v>01North Puget Sound</v>
      </c>
      <c r="O1210" s="107">
        <v>657.22500000000002</v>
      </c>
      <c r="P1210" s="107">
        <v>14648.24</v>
      </c>
      <c r="Q1210" s="107">
        <f t="shared" si="109"/>
        <v>657.22500000000002</v>
      </c>
      <c r="R1210" s="107">
        <f t="shared" si="110"/>
        <v>14648.24</v>
      </c>
      <c r="S1210" s="140" t="str">
        <f t="shared" si="111"/>
        <v>Y</v>
      </c>
      <c r="T1210" s="154">
        <f t="shared" si="112"/>
        <v>22.288013998250218</v>
      </c>
      <c r="U1210" s="154">
        <f t="shared" si="113"/>
        <v>22.288013998250218</v>
      </c>
    </row>
    <row r="1211" spans="1:21" x14ac:dyDescent="0.35">
      <c r="A1211" s="107">
        <v>2084</v>
      </c>
      <c r="B1211" s="107">
        <v>2016</v>
      </c>
      <c r="C1211" s="107" t="s">
        <v>9</v>
      </c>
      <c r="D1211" s="107" t="s">
        <v>132</v>
      </c>
      <c r="E1211" s="107" t="s">
        <v>10</v>
      </c>
      <c r="F1211" s="115" t="s">
        <v>305</v>
      </c>
      <c r="G1211" s="107" t="s">
        <v>32</v>
      </c>
      <c r="H1211" s="107" t="str">
        <f t="shared" si="108"/>
        <v>Area 8-2: Port Susan-Port Gardner</v>
      </c>
      <c r="I1211" s="107" t="str">
        <f>IFERROR(VLOOKUP(H1211,LUTs!$A$1:$C$73,2,FALSE),"NA")</f>
        <v>NA</v>
      </c>
      <c r="J1211" s="107" t="str">
        <f>IFERROR(VLOOKUP(H1211,LUTs!$A$1:$C$73,3,FALSE),"NA")</f>
        <v>2Central Puget Sound</v>
      </c>
      <c r="K1211" s="107" t="s">
        <v>13</v>
      </c>
      <c r="L1211" s="107" t="str">
        <f>VLOOKUP(K1211,LUTs!E$2:G$14,3,)</f>
        <v>01Whatcom</v>
      </c>
      <c r="M1211" s="107" t="str">
        <f>VLOOKUP($K1211,LUTs!$E$2:$H$14,2,)</f>
        <v>North Puget Sound</v>
      </c>
      <c r="N1211" s="107" t="str">
        <f>VLOOKUP($K1211,LUTs!$E$2:$H$14,4,)</f>
        <v>01North Puget Sound</v>
      </c>
      <c r="O1211" s="107">
        <v>9.5250000000000004</v>
      </c>
      <c r="P1211" s="107">
        <v>212.29333333333301</v>
      </c>
      <c r="Q1211" s="107">
        <f t="shared" si="109"/>
        <v>9.5250000000000004</v>
      </c>
      <c r="R1211" s="107">
        <f t="shared" si="110"/>
        <v>212.29333333333301</v>
      </c>
      <c r="S1211" s="140" t="str">
        <f t="shared" si="111"/>
        <v>Y</v>
      </c>
      <c r="T1211" s="154">
        <f t="shared" si="112"/>
        <v>22.288013998250182</v>
      </c>
      <c r="U1211" s="154">
        <f t="shared" si="113"/>
        <v>22.288013998250182</v>
      </c>
    </row>
    <row r="1212" spans="1:21" x14ac:dyDescent="0.35">
      <c r="A1212" s="107">
        <v>2571</v>
      </c>
      <c r="B1212" s="107">
        <v>2017</v>
      </c>
      <c r="C1212" s="107" t="s">
        <v>9</v>
      </c>
      <c r="D1212" s="107" t="s">
        <v>132</v>
      </c>
      <c r="E1212" s="107" t="s">
        <v>10</v>
      </c>
      <c r="F1212" s="115" t="s">
        <v>305</v>
      </c>
      <c r="G1212" s="107" t="s">
        <v>32</v>
      </c>
      <c r="H1212" s="107" t="str">
        <f t="shared" si="108"/>
        <v>Area 8-2: Port Susan-Port Gardner</v>
      </c>
      <c r="I1212" s="107" t="str">
        <f>IFERROR(VLOOKUP(H1212,LUTs!$A$1:$C$73,2,FALSE),"NA")</f>
        <v>NA</v>
      </c>
      <c r="J1212" s="107" t="str">
        <f>IFERROR(VLOOKUP(H1212,LUTs!$A$1:$C$73,3,FALSE),"NA")</f>
        <v>2Central Puget Sound</v>
      </c>
      <c r="K1212" s="107" t="s">
        <v>17</v>
      </c>
      <c r="L1212" s="107" t="str">
        <f>VLOOKUP(K1212,LUTs!E$2:G$14,3,)</f>
        <v>04Island</v>
      </c>
      <c r="M1212" s="107" t="str">
        <f>VLOOKUP($K1212,LUTs!$E$2:$H$14,2,)</f>
        <v>North Puget Sound</v>
      </c>
      <c r="N1212" s="107" t="str">
        <f>VLOOKUP($K1212,LUTs!$E$2:$H$14,4,)</f>
        <v>01North Puget Sound</v>
      </c>
      <c r="O1212" s="107">
        <v>104</v>
      </c>
      <c r="P1212" s="107">
        <v>386.606969152955</v>
      </c>
      <c r="Q1212" s="107">
        <f t="shared" si="109"/>
        <v>104</v>
      </c>
      <c r="R1212" s="107">
        <f t="shared" si="110"/>
        <v>386.606969152955</v>
      </c>
      <c r="S1212" s="140" t="str">
        <f t="shared" si="111"/>
        <v>Y</v>
      </c>
      <c r="T1212" s="154">
        <f t="shared" si="112"/>
        <v>3.7173747033937983</v>
      </c>
      <c r="U1212" s="154">
        <f t="shared" si="113"/>
        <v>3.7173747033937983</v>
      </c>
    </row>
    <row r="1213" spans="1:21" x14ac:dyDescent="0.35">
      <c r="A1213" s="107">
        <v>2572</v>
      </c>
      <c r="B1213" s="107">
        <v>2017</v>
      </c>
      <c r="C1213" s="107" t="s">
        <v>9</v>
      </c>
      <c r="D1213" s="107" t="s">
        <v>132</v>
      </c>
      <c r="E1213" s="107" t="s">
        <v>10</v>
      </c>
      <c r="F1213" s="115" t="s">
        <v>305</v>
      </c>
      <c r="G1213" s="107" t="s">
        <v>32</v>
      </c>
      <c r="H1213" s="107" t="str">
        <f t="shared" si="108"/>
        <v>Area 8-2: Port Susan-Port Gardner</v>
      </c>
      <c r="I1213" s="107" t="str">
        <f>IFERROR(VLOOKUP(H1213,LUTs!$A$1:$C$73,2,FALSE),"NA")</f>
        <v>NA</v>
      </c>
      <c r="J1213" s="107" t="str">
        <f>IFERROR(VLOOKUP(H1213,LUTs!$A$1:$C$73,3,FALSE),"NA")</f>
        <v>2Central Puget Sound</v>
      </c>
      <c r="K1213" s="107" t="s">
        <v>18</v>
      </c>
      <c r="L1213" s="107" t="str">
        <f>VLOOKUP(K1213,LUTs!E$2:G$14,3,)</f>
        <v>06King</v>
      </c>
      <c r="M1213" s="107" t="str">
        <f>VLOOKUP($K1213,LUTs!$E$2:$H$14,2,)</f>
        <v>South Puget Sound</v>
      </c>
      <c r="N1213" s="107" t="str">
        <f>VLOOKUP($K1213,LUTs!$E$2:$H$14,4,)</f>
        <v>02South Puget Sound</v>
      </c>
      <c r="O1213" s="107">
        <v>240</v>
      </c>
      <c r="P1213" s="107">
        <v>892.16992881451199</v>
      </c>
      <c r="Q1213" s="107">
        <f t="shared" si="109"/>
        <v>240</v>
      </c>
      <c r="R1213" s="107">
        <f t="shared" si="110"/>
        <v>892.16992881451199</v>
      </c>
      <c r="S1213" s="140" t="str">
        <f t="shared" si="111"/>
        <v>Y</v>
      </c>
      <c r="T1213" s="154">
        <f t="shared" si="112"/>
        <v>3.7173747033938001</v>
      </c>
      <c r="U1213" s="154">
        <f t="shared" si="113"/>
        <v>3.7173747033938001</v>
      </c>
    </row>
    <row r="1214" spans="1:21" x14ac:dyDescent="0.35">
      <c r="A1214" s="107">
        <v>2573</v>
      </c>
      <c r="B1214" s="107">
        <v>2017</v>
      </c>
      <c r="C1214" s="107" t="s">
        <v>9</v>
      </c>
      <c r="D1214" s="107" t="s">
        <v>132</v>
      </c>
      <c r="E1214" s="107" t="s">
        <v>10</v>
      </c>
      <c r="F1214" s="115" t="s">
        <v>305</v>
      </c>
      <c r="G1214" s="107" t="s">
        <v>32</v>
      </c>
      <c r="H1214" s="107" t="str">
        <f t="shared" si="108"/>
        <v>Area 8-2: Port Susan-Port Gardner</v>
      </c>
      <c r="I1214" s="107" t="str">
        <f>IFERROR(VLOOKUP(H1214,LUTs!$A$1:$C$73,2,FALSE),"NA")</f>
        <v>NA</v>
      </c>
      <c r="J1214" s="107" t="str">
        <f>IFERROR(VLOOKUP(H1214,LUTs!$A$1:$C$73,3,FALSE),"NA")</f>
        <v>2Central Puget Sound</v>
      </c>
      <c r="K1214" s="107" t="s">
        <v>23</v>
      </c>
      <c r="L1214" s="107" t="str">
        <f>VLOOKUP(K1214,LUTs!E$2:G$14,3,)</f>
        <v>10Kitsap</v>
      </c>
      <c r="M1214" s="107" t="str">
        <f>VLOOKUP($K1214,LUTs!$E$2:$H$14,2,)</f>
        <v>South Puget Sound</v>
      </c>
      <c r="N1214" s="107" t="str">
        <f>VLOOKUP($K1214,LUTs!$E$2:$H$14,4,)</f>
        <v>02South Puget Sound</v>
      </c>
      <c r="O1214" s="107">
        <v>8</v>
      </c>
      <c r="P1214" s="107">
        <v>29.7389976271504</v>
      </c>
      <c r="Q1214" s="107">
        <f t="shared" si="109"/>
        <v>8</v>
      </c>
      <c r="R1214" s="107">
        <f t="shared" si="110"/>
        <v>29.7389976271504</v>
      </c>
      <c r="S1214" s="140" t="str">
        <f t="shared" si="111"/>
        <v>Y</v>
      </c>
      <c r="T1214" s="154">
        <f t="shared" si="112"/>
        <v>3.7173747033938001</v>
      </c>
      <c r="U1214" s="154">
        <f t="shared" si="113"/>
        <v>3.7173747033938001</v>
      </c>
    </row>
    <row r="1215" spans="1:21" x14ac:dyDescent="0.35">
      <c r="A1215" s="107">
        <v>2574</v>
      </c>
      <c r="B1215" s="107">
        <v>2017</v>
      </c>
      <c r="C1215" s="107" t="s">
        <v>9</v>
      </c>
      <c r="D1215" s="107" t="s">
        <v>132</v>
      </c>
      <c r="E1215" s="107" t="s">
        <v>10</v>
      </c>
      <c r="F1215" s="115" t="s">
        <v>305</v>
      </c>
      <c r="G1215" s="107" t="s">
        <v>32</v>
      </c>
      <c r="H1215" s="107" t="str">
        <f t="shared" si="108"/>
        <v>Area 8-2: Port Susan-Port Gardner</v>
      </c>
      <c r="I1215" s="107" t="str">
        <f>IFERROR(VLOOKUP(H1215,LUTs!$A$1:$C$73,2,FALSE),"NA")</f>
        <v>NA</v>
      </c>
      <c r="J1215" s="107" t="str">
        <f>IFERROR(VLOOKUP(H1215,LUTs!$A$1:$C$73,3,FALSE),"NA")</f>
        <v>2Central Puget Sound</v>
      </c>
      <c r="K1215" s="107" t="s">
        <v>26</v>
      </c>
      <c r="L1215" s="107" t="str">
        <f>VLOOKUP(K1215,LUTs!E$2:G$14,3,)</f>
        <v>20Other</v>
      </c>
      <c r="M1215" s="107" t="str">
        <f>VLOOKUP($K1215,LUTs!$E$2:$H$14,2,)</f>
        <v>Non Puget Sound</v>
      </c>
      <c r="N1215" s="107" t="str">
        <f>VLOOKUP($K1215,LUTs!$E$2:$H$14,4,)</f>
        <v>07Non Puget Sound</v>
      </c>
      <c r="O1215" s="107">
        <v>216</v>
      </c>
      <c r="P1215" s="107">
        <v>802.95293593306099</v>
      </c>
      <c r="Q1215" s="107">
        <f t="shared" si="109"/>
        <v>216</v>
      </c>
      <c r="R1215" s="107">
        <f t="shared" si="110"/>
        <v>802.95293593306099</v>
      </c>
      <c r="S1215" s="140" t="str">
        <f t="shared" si="111"/>
        <v>Y</v>
      </c>
      <c r="T1215" s="154">
        <f t="shared" si="112"/>
        <v>3.7173747033938009</v>
      </c>
      <c r="U1215" s="154">
        <f t="shared" si="113"/>
        <v>3.7173747033938009</v>
      </c>
    </row>
    <row r="1216" spans="1:21" x14ac:dyDescent="0.35">
      <c r="A1216" s="107">
        <v>2457</v>
      </c>
      <c r="B1216" s="107">
        <v>2017</v>
      </c>
      <c r="C1216" s="107" t="s">
        <v>9</v>
      </c>
      <c r="D1216" s="107" t="s">
        <v>132</v>
      </c>
      <c r="E1216" s="107" t="s">
        <v>10</v>
      </c>
      <c r="F1216" s="115" t="s">
        <v>305</v>
      </c>
      <c r="G1216" s="107" t="s">
        <v>32</v>
      </c>
      <c r="H1216" s="107" t="str">
        <f t="shared" si="108"/>
        <v>Area 8-2: Port Susan-Port Gardner</v>
      </c>
      <c r="I1216" s="107" t="str">
        <f>IFERROR(VLOOKUP(H1216,LUTs!$A$1:$C$73,2,FALSE),"NA")</f>
        <v>NA</v>
      </c>
      <c r="J1216" s="107" t="str">
        <f>IFERROR(VLOOKUP(H1216,LUTs!$A$1:$C$73,3,FALSE),"NA")</f>
        <v>2Central Puget Sound</v>
      </c>
      <c r="K1216" s="107" t="s">
        <v>15</v>
      </c>
      <c r="L1216" s="107" t="str">
        <f>VLOOKUP(K1216,LUTs!E$2:G$14,3,)</f>
        <v>02Skagit</v>
      </c>
      <c r="M1216" s="107" t="str">
        <f>VLOOKUP($K1216,LUTs!$E$2:$H$14,2,)</f>
        <v>North Puget Sound</v>
      </c>
      <c r="N1216" s="107" t="str">
        <f>VLOOKUP($K1216,LUTs!$E$2:$H$14,4,)</f>
        <v>01North Puget Sound</v>
      </c>
      <c r="O1216" s="107">
        <v>56</v>
      </c>
      <c r="P1216" s="107">
        <v>208.17298339005299</v>
      </c>
      <c r="Q1216" s="107">
        <f t="shared" si="109"/>
        <v>56</v>
      </c>
      <c r="R1216" s="107">
        <f t="shared" si="110"/>
        <v>208.17298339005299</v>
      </c>
      <c r="S1216" s="140" t="str">
        <f t="shared" si="111"/>
        <v>Y</v>
      </c>
      <c r="T1216" s="154">
        <f t="shared" si="112"/>
        <v>3.7173747033938036</v>
      </c>
      <c r="U1216" s="154">
        <f t="shared" si="113"/>
        <v>3.7173747033938036</v>
      </c>
    </row>
    <row r="1217" spans="1:21" x14ac:dyDescent="0.35">
      <c r="A1217" s="107">
        <v>2458</v>
      </c>
      <c r="B1217" s="107">
        <v>2017</v>
      </c>
      <c r="C1217" s="107" t="s">
        <v>9</v>
      </c>
      <c r="D1217" s="107" t="s">
        <v>132</v>
      </c>
      <c r="E1217" s="107" t="s">
        <v>10</v>
      </c>
      <c r="F1217" s="115" t="s">
        <v>305</v>
      </c>
      <c r="G1217" s="107" t="s">
        <v>32</v>
      </c>
      <c r="H1217" s="107" t="str">
        <f t="shared" si="108"/>
        <v>Area 8-2: Port Susan-Port Gardner</v>
      </c>
      <c r="I1217" s="107" t="str">
        <f>IFERROR(VLOOKUP(H1217,LUTs!$A$1:$C$73,2,FALSE),"NA")</f>
        <v>NA</v>
      </c>
      <c r="J1217" s="107" t="str">
        <f>IFERROR(VLOOKUP(H1217,LUTs!$A$1:$C$73,3,FALSE),"NA")</f>
        <v>2Central Puget Sound</v>
      </c>
      <c r="K1217" s="107" t="s">
        <v>16</v>
      </c>
      <c r="L1217" s="107" t="str">
        <f>VLOOKUP(K1217,LUTs!E$2:G$14,3,)</f>
        <v>03Snohomish</v>
      </c>
      <c r="M1217" s="107" t="str">
        <f>VLOOKUP($K1217,LUTs!$E$2:$H$14,2,)</f>
        <v>North Puget Sound</v>
      </c>
      <c r="N1217" s="107" t="str">
        <f>VLOOKUP($K1217,LUTs!$E$2:$H$14,4,)</f>
        <v>01North Puget Sound</v>
      </c>
      <c r="O1217" s="107">
        <v>856</v>
      </c>
      <c r="P1217" s="107">
        <v>3182.0727461050901</v>
      </c>
      <c r="Q1217" s="107">
        <f t="shared" si="109"/>
        <v>856</v>
      </c>
      <c r="R1217" s="107">
        <f t="shared" si="110"/>
        <v>3182.0727461050901</v>
      </c>
      <c r="S1217" s="140" t="str">
        <f t="shared" si="111"/>
        <v>Y</v>
      </c>
      <c r="T1217" s="154">
        <f t="shared" si="112"/>
        <v>3.7173747033937969</v>
      </c>
      <c r="U1217" s="154">
        <f t="shared" si="113"/>
        <v>3.7173747033937969</v>
      </c>
    </row>
    <row r="1218" spans="1:21" x14ac:dyDescent="0.35">
      <c r="A1218" s="107">
        <v>2456</v>
      </c>
      <c r="B1218" s="107">
        <v>2017</v>
      </c>
      <c r="C1218" s="107" t="s">
        <v>9</v>
      </c>
      <c r="D1218" s="107" t="s">
        <v>132</v>
      </c>
      <c r="E1218" s="107" t="s">
        <v>10</v>
      </c>
      <c r="F1218" s="115" t="s">
        <v>305</v>
      </c>
      <c r="G1218" s="107" t="s">
        <v>32</v>
      </c>
      <c r="H1218" s="107" t="str">
        <f t="shared" ref="H1218:H1281" si="114">G1218</f>
        <v>Area 8-2: Port Susan-Port Gardner</v>
      </c>
      <c r="I1218" s="107" t="str">
        <f>IFERROR(VLOOKUP(H1218,LUTs!$A$1:$C$73,2,FALSE),"NA")</f>
        <v>NA</v>
      </c>
      <c r="J1218" s="107" t="str">
        <f>IFERROR(VLOOKUP(H1218,LUTs!$A$1:$C$73,3,FALSE),"NA")</f>
        <v>2Central Puget Sound</v>
      </c>
      <c r="K1218" s="107" t="s">
        <v>13</v>
      </c>
      <c r="L1218" s="107" t="str">
        <f>VLOOKUP(K1218,LUTs!E$2:G$14,3,)</f>
        <v>01Whatcom</v>
      </c>
      <c r="M1218" s="107" t="str">
        <f>VLOOKUP($K1218,LUTs!$E$2:$H$14,2,)</f>
        <v>North Puget Sound</v>
      </c>
      <c r="N1218" s="107" t="str">
        <f>VLOOKUP($K1218,LUTs!$E$2:$H$14,4,)</f>
        <v>01North Puget Sound</v>
      </c>
      <c r="O1218" s="107">
        <v>16</v>
      </c>
      <c r="P1218" s="107">
        <v>59.477995254300801</v>
      </c>
      <c r="Q1218" s="107">
        <f t="shared" ref="Q1218:Q1256" si="115">O1218</f>
        <v>16</v>
      </c>
      <c r="R1218" s="107">
        <f t="shared" ref="R1218:R1256" si="116">P1218</f>
        <v>59.477995254300801</v>
      </c>
      <c r="S1218" s="140" t="str">
        <f t="shared" si="111"/>
        <v>Y</v>
      </c>
      <c r="T1218" s="154">
        <f t="shared" si="112"/>
        <v>3.7173747033938001</v>
      </c>
      <c r="U1218" s="154">
        <f t="shared" si="113"/>
        <v>3.7173747033938001</v>
      </c>
    </row>
    <row r="1219" spans="1:21" x14ac:dyDescent="0.35">
      <c r="A1219" s="107">
        <v>1471</v>
      </c>
      <c r="B1219" s="107">
        <v>2018</v>
      </c>
      <c r="C1219" s="107" t="s">
        <v>9</v>
      </c>
      <c r="D1219" s="107" t="s">
        <v>132</v>
      </c>
      <c r="E1219" s="107" t="s">
        <v>10</v>
      </c>
      <c r="F1219" s="115" t="s">
        <v>305</v>
      </c>
      <c r="G1219" s="107" t="s">
        <v>32</v>
      </c>
      <c r="H1219" s="107" t="str">
        <f t="shared" si="114"/>
        <v>Area 8-2: Port Susan-Port Gardner</v>
      </c>
      <c r="I1219" s="107" t="str">
        <f>IFERROR(VLOOKUP(H1219,LUTs!$A$1:$C$73,2,FALSE),"NA")</f>
        <v>NA</v>
      </c>
      <c r="J1219" s="107" t="str">
        <f>IFERROR(VLOOKUP(H1219,LUTs!$A$1:$C$73,3,FALSE),"NA")</f>
        <v>2Central Puget Sound</v>
      </c>
      <c r="K1219" s="107" t="s">
        <v>24</v>
      </c>
      <c r="L1219" s="107" t="str">
        <f>VLOOKUP(K1219,LUTs!E$2:G$14,3,)</f>
        <v>11Clallam</v>
      </c>
      <c r="M1219" s="107" t="str">
        <f>VLOOKUP($K1219,LUTs!$E$2:$H$14,2,)</f>
        <v>Strait of Juan de Fuca</v>
      </c>
      <c r="N1219" s="107" t="str">
        <f>VLOOKUP($K1219,LUTs!$E$2:$H$14,4,)</f>
        <v>03Strait of Juan de Fuca</v>
      </c>
      <c r="O1219" s="107">
        <v>23.1071428571429</v>
      </c>
      <c r="P1219" s="107">
        <v>37.379888522487299</v>
      </c>
      <c r="Q1219" s="107">
        <f t="shared" si="115"/>
        <v>23.1071428571429</v>
      </c>
      <c r="R1219" s="107">
        <f t="shared" si="116"/>
        <v>37.379888522487299</v>
      </c>
      <c r="S1219" s="140" t="str">
        <f t="shared" ref="S1219:S1282" si="117">IF(B1219&lt;=2019,"Y","N")</f>
        <v>Y</v>
      </c>
      <c r="T1219" s="154">
        <f t="shared" ref="T1219:T1282" si="118">IFERROR(P1219/O1219,"NA")</f>
        <v>1.6176767830442695</v>
      </c>
      <c r="U1219" s="154">
        <f t="shared" ref="U1219:U1282" si="119">IFERROR(R1219/Q1219,"NA")</f>
        <v>1.6176767830442695</v>
      </c>
    </row>
    <row r="1220" spans="1:21" x14ac:dyDescent="0.35">
      <c r="A1220" s="107">
        <v>1396</v>
      </c>
      <c r="B1220" s="107">
        <v>2018</v>
      </c>
      <c r="C1220" s="107" t="s">
        <v>9</v>
      </c>
      <c r="D1220" s="107" t="s">
        <v>132</v>
      </c>
      <c r="E1220" s="107" t="s">
        <v>10</v>
      </c>
      <c r="F1220" s="115" t="s">
        <v>305</v>
      </c>
      <c r="G1220" s="107" t="s">
        <v>32</v>
      </c>
      <c r="H1220" s="107" t="str">
        <f t="shared" si="114"/>
        <v>Area 8-2: Port Susan-Port Gardner</v>
      </c>
      <c r="I1220" s="107" t="str">
        <f>IFERROR(VLOOKUP(H1220,LUTs!$A$1:$C$73,2,FALSE),"NA")</f>
        <v>NA</v>
      </c>
      <c r="J1220" s="107" t="str">
        <f>IFERROR(VLOOKUP(H1220,LUTs!$A$1:$C$73,3,FALSE),"NA")</f>
        <v>2Central Puget Sound</v>
      </c>
      <c r="K1220" s="107" t="s">
        <v>17</v>
      </c>
      <c r="L1220" s="107" t="str">
        <f>VLOOKUP(K1220,LUTs!E$2:G$14,3,)</f>
        <v>04Island</v>
      </c>
      <c r="M1220" s="107" t="str">
        <f>VLOOKUP($K1220,LUTs!$E$2:$H$14,2,)</f>
        <v>North Puget Sound</v>
      </c>
      <c r="N1220" s="107" t="str">
        <f>VLOOKUP($K1220,LUTs!$E$2:$H$14,4,)</f>
        <v>01North Puget Sound</v>
      </c>
      <c r="O1220" s="107">
        <v>662.40476190476204</v>
      </c>
      <c r="P1220" s="107">
        <v>1071.5568043113001</v>
      </c>
      <c r="Q1220" s="107">
        <f t="shared" si="115"/>
        <v>662.40476190476204</v>
      </c>
      <c r="R1220" s="107">
        <f t="shared" si="116"/>
        <v>1071.5568043113001</v>
      </c>
      <c r="S1220" s="140" t="str">
        <f t="shared" si="117"/>
        <v>Y</v>
      </c>
      <c r="T1220" s="154">
        <f t="shared" si="118"/>
        <v>1.6176767830442684</v>
      </c>
      <c r="U1220" s="154">
        <f t="shared" si="119"/>
        <v>1.6176767830442684</v>
      </c>
    </row>
    <row r="1221" spans="1:21" x14ac:dyDescent="0.35">
      <c r="A1221" s="107">
        <v>1472</v>
      </c>
      <c r="B1221" s="107">
        <v>2018</v>
      </c>
      <c r="C1221" s="107" t="s">
        <v>9</v>
      </c>
      <c r="D1221" s="107" t="s">
        <v>132</v>
      </c>
      <c r="E1221" s="107" t="s">
        <v>10</v>
      </c>
      <c r="F1221" s="115" t="s">
        <v>305</v>
      </c>
      <c r="G1221" s="107" t="s">
        <v>32</v>
      </c>
      <c r="H1221" s="107" t="str">
        <f t="shared" si="114"/>
        <v>Area 8-2: Port Susan-Port Gardner</v>
      </c>
      <c r="I1221" s="107" t="str">
        <f>IFERROR(VLOOKUP(H1221,LUTs!$A$1:$C$73,2,FALSE),"NA")</f>
        <v>NA</v>
      </c>
      <c r="J1221" s="107" t="str">
        <f>IFERROR(VLOOKUP(H1221,LUTs!$A$1:$C$73,3,FALSE),"NA")</f>
        <v>2Central Puget Sound</v>
      </c>
      <c r="K1221" s="107" t="s">
        <v>25</v>
      </c>
      <c r="L1221" s="107" t="str">
        <f>VLOOKUP(K1221,LUTs!E$2:G$14,3,)</f>
        <v>12Jefferson</v>
      </c>
      <c r="M1221" s="107" t="str">
        <f>VLOOKUP($K1221,LUTs!$E$2:$H$14,2,)</f>
        <v>Strait of Juan de Fuca</v>
      </c>
      <c r="N1221" s="107" t="str">
        <f>VLOOKUP($K1221,LUTs!$E$2:$H$14,4,)</f>
        <v>03Strait of Juan de Fuca</v>
      </c>
      <c r="O1221" s="107">
        <v>7.7023809523809499</v>
      </c>
      <c r="P1221" s="107">
        <v>12.4599628408291</v>
      </c>
      <c r="Q1221" s="107">
        <f t="shared" si="115"/>
        <v>7.7023809523809499</v>
      </c>
      <c r="R1221" s="107">
        <f t="shared" si="116"/>
        <v>12.4599628408291</v>
      </c>
      <c r="S1221" s="140" t="str">
        <f t="shared" si="117"/>
        <v>Y</v>
      </c>
      <c r="T1221" s="154">
        <f t="shared" si="118"/>
        <v>1.6176767830442731</v>
      </c>
      <c r="U1221" s="154">
        <f t="shared" si="119"/>
        <v>1.6176767830442731</v>
      </c>
    </row>
    <row r="1222" spans="1:21" x14ac:dyDescent="0.35">
      <c r="A1222" s="107">
        <v>1397</v>
      </c>
      <c r="B1222" s="107">
        <v>2018</v>
      </c>
      <c r="C1222" s="107" t="s">
        <v>9</v>
      </c>
      <c r="D1222" s="107" t="s">
        <v>132</v>
      </c>
      <c r="E1222" s="107" t="s">
        <v>10</v>
      </c>
      <c r="F1222" s="115" t="s">
        <v>305</v>
      </c>
      <c r="G1222" s="107" t="s">
        <v>32</v>
      </c>
      <c r="H1222" s="107" t="str">
        <f t="shared" si="114"/>
        <v>Area 8-2: Port Susan-Port Gardner</v>
      </c>
      <c r="I1222" s="107" t="str">
        <f>IFERROR(VLOOKUP(H1222,LUTs!$A$1:$C$73,2,FALSE),"NA")</f>
        <v>NA</v>
      </c>
      <c r="J1222" s="107" t="str">
        <f>IFERROR(VLOOKUP(H1222,LUTs!$A$1:$C$73,3,FALSE),"NA")</f>
        <v>2Central Puget Sound</v>
      </c>
      <c r="K1222" s="107" t="s">
        <v>18</v>
      </c>
      <c r="L1222" s="107" t="str">
        <f>VLOOKUP(K1222,LUTs!E$2:G$14,3,)</f>
        <v>06King</v>
      </c>
      <c r="M1222" s="107" t="str">
        <f>VLOOKUP($K1222,LUTs!$E$2:$H$14,2,)</f>
        <v>South Puget Sound</v>
      </c>
      <c r="N1222" s="107" t="str">
        <f>VLOOKUP($K1222,LUTs!$E$2:$H$14,4,)</f>
        <v>02South Puget Sound</v>
      </c>
      <c r="O1222" s="107">
        <v>1478.8571428571399</v>
      </c>
      <c r="P1222" s="107">
        <v>2392.3128654391899</v>
      </c>
      <c r="Q1222" s="107">
        <f t="shared" si="115"/>
        <v>1478.8571428571399</v>
      </c>
      <c r="R1222" s="107">
        <f t="shared" si="116"/>
        <v>2392.3128654391899</v>
      </c>
      <c r="S1222" s="140" t="str">
        <f t="shared" si="117"/>
        <v>Y</v>
      </c>
      <c r="T1222" s="154">
        <f t="shared" si="118"/>
        <v>1.6176767830442775</v>
      </c>
      <c r="U1222" s="154">
        <f t="shared" si="119"/>
        <v>1.6176767830442775</v>
      </c>
    </row>
    <row r="1223" spans="1:21" x14ac:dyDescent="0.35">
      <c r="A1223" s="107">
        <v>1470</v>
      </c>
      <c r="B1223" s="107">
        <v>2018</v>
      </c>
      <c r="C1223" s="107" t="s">
        <v>9</v>
      </c>
      <c r="D1223" s="107" t="s">
        <v>132</v>
      </c>
      <c r="E1223" s="107" t="s">
        <v>10</v>
      </c>
      <c r="F1223" s="115" t="s">
        <v>305</v>
      </c>
      <c r="G1223" s="107" t="s">
        <v>32</v>
      </c>
      <c r="H1223" s="107" t="str">
        <f t="shared" si="114"/>
        <v>Area 8-2: Port Susan-Port Gardner</v>
      </c>
      <c r="I1223" s="107" t="str">
        <f>IFERROR(VLOOKUP(H1223,LUTs!$A$1:$C$73,2,FALSE),"NA")</f>
        <v>NA</v>
      </c>
      <c r="J1223" s="107" t="str">
        <f>IFERROR(VLOOKUP(H1223,LUTs!$A$1:$C$73,3,FALSE),"NA")</f>
        <v>2Central Puget Sound</v>
      </c>
      <c r="K1223" s="107" t="s">
        <v>23</v>
      </c>
      <c r="L1223" s="107" t="str">
        <f>VLOOKUP(K1223,LUTs!E$2:G$14,3,)</f>
        <v>10Kitsap</v>
      </c>
      <c r="M1223" s="107" t="str">
        <f>VLOOKUP($K1223,LUTs!$E$2:$H$14,2,)</f>
        <v>South Puget Sound</v>
      </c>
      <c r="N1223" s="107" t="str">
        <f>VLOOKUP($K1223,LUTs!$E$2:$H$14,4,)</f>
        <v>02South Puget Sound</v>
      </c>
      <c r="O1223" s="107">
        <v>38.511904761904802</v>
      </c>
      <c r="P1223" s="107">
        <v>62.299814204145498</v>
      </c>
      <c r="Q1223" s="107">
        <f t="shared" si="115"/>
        <v>38.511904761904802</v>
      </c>
      <c r="R1223" s="107">
        <f t="shared" si="116"/>
        <v>62.299814204145498</v>
      </c>
      <c r="S1223" s="140" t="str">
        <f t="shared" si="117"/>
        <v>Y</v>
      </c>
      <c r="T1223" s="154">
        <f t="shared" si="118"/>
        <v>1.6176767830442709</v>
      </c>
      <c r="U1223" s="154">
        <f t="shared" si="119"/>
        <v>1.6176767830442709</v>
      </c>
    </row>
    <row r="1224" spans="1:21" x14ac:dyDescent="0.35">
      <c r="A1224" s="107">
        <v>1473</v>
      </c>
      <c r="B1224" s="107">
        <v>2018</v>
      </c>
      <c r="C1224" s="107" t="s">
        <v>9</v>
      </c>
      <c r="D1224" s="107" t="s">
        <v>132</v>
      </c>
      <c r="E1224" s="107" t="s">
        <v>10</v>
      </c>
      <c r="F1224" s="115" t="s">
        <v>305</v>
      </c>
      <c r="G1224" s="107" t="s">
        <v>32</v>
      </c>
      <c r="H1224" s="107" t="str">
        <f t="shared" si="114"/>
        <v>Area 8-2: Port Susan-Port Gardner</v>
      </c>
      <c r="I1224" s="107" t="str">
        <f>IFERROR(VLOOKUP(H1224,LUTs!$A$1:$C$73,2,FALSE),"NA")</f>
        <v>NA</v>
      </c>
      <c r="J1224" s="107" t="str">
        <f>IFERROR(VLOOKUP(H1224,LUTs!$A$1:$C$73,3,FALSE),"NA")</f>
        <v>2Central Puget Sound</v>
      </c>
      <c r="K1224" s="107" t="s">
        <v>26</v>
      </c>
      <c r="L1224" s="107" t="str">
        <f>VLOOKUP(K1224,LUTs!E$2:G$14,3,)</f>
        <v>20Other</v>
      </c>
      <c r="M1224" s="107" t="str">
        <f>VLOOKUP($K1224,LUTs!$E$2:$H$14,2,)</f>
        <v>Non Puget Sound</v>
      </c>
      <c r="N1224" s="107" t="str">
        <f>VLOOKUP($K1224,LUTs!$E$2:$H$14,4,)</f>
        <v>07Non Puget Sound</v>
      </c>
      <c r="O1224" s="107">
        <v>754.83333333333303</v>
      </c>
      <c r="P1224" s="107">
        <v>1221.07635840125</v>
      </c>
      <c r="Q1224" s="107">
        <f t="shared" si="115"/>
        <v>754.83333333333303</v>
      </c>
      <c r="R1224" s="107">
        <f t="shared" si="116"/>
        <v>1221.07635840125</v>
      </c>
      <c r="S1224" s="140" t="str">
        <f t="shared" si="117"/>
        <v>Y</v>
      </c>
      <c r="T1224" s="154">
        <f t="shared" si="118"/>
        <v>1.6176767830442709</v>
      </c>
      <c r="U1224" s="154">
        <f t="shared" si="119"/>
        <v>1.6176767830442709</v>
      </c>
    </row>
    <row r="1225" spans="1:21" x14ac:dyDescent="0.35">
      <c r="A1225" s="107">
        <v>1398</v>
      </c>
      <c r="B1225" s="107">
        <v>2018</v>
      </c>
      <c r="C1225" s="107" t="s">
        <v>9</v>
      </c>
      <c r="D1225" s="107" t="s">
        <v>132</v>
      </c>
      <c r="E1225" s="107" t="s">
        <v>10</v>
      </c>
      <c r="F1225" s="115" t="s">
        <v>305</v>
      </c>
      <c r="G1225" s="107" t="s">
        <v>32</v>
      </c>
      <c r="H1225" s="107" t="str">
        <f t="shared" si="114"/>
        <v>Area 8-2: Port Susan-Port Gardner</v>
      </c>
      <c r="I1225" s="107" t="str">
        <f>IFERROR(VLOOKUP(H1225,LUTs!$A$1:$C$73,2,FALSE),"NA")</f>
        <v>NA</v>
      </c>
      <c r="J1225" s="107" t="str">
        <f>IFERROR(VLOOKUP(H1225,LUTs!$A$1:$C$73,3,FALSE),"NA")</f>
        <v>2Central Puget Sound</v>
      </c>
      <c r="K1225" s="107" t="s">
        <v>20</v>
      </c>
      <c r="L1225" s="107" t="str">
        <f>VLOOKUP(K1225,LUTs!E$2:G$14,3,)</f>
        <v>07Pierce</v>
      </c>
      <c r="M1225" s="107" t="str">
        <f>VLOOKUP($K1225,LUTs!$E$2:$H$14,2,)</f>
        <v>South Puget Sound</v>
      </c>
      <c r="N1225" s="107" t="str">
        <f>VLOOKUP($K1225,LUTs!$E$2:$H$14,4,)</f>
        <v>02South Puget Sound</v>
      </c>
      <c r="O1225" s="107">
        <v>46.214285714285701</v>
      </c>
      <c r="P1225" s="107">
        <v>74.759777044974598</v>
      </c>
      <c r="Q1225" s="107">
        <f t="shared" si="115"/>
        <v>46.214285714285701</v>
      </c>
      <c r="R1225" s="107">
        <f t="shared" si="116"/>
        <v>74.759777044974598</v>
      </c>
      <c r="S1225" s="140" t="str">
        <f t="shared" si="117"/>
        <v>Y</v>
      </c>
      <c r="T1225" s="154">
        <f t="shared" si="118"/>
        <v>1.6176767830442731</v>
      </c>
      <c r="U1225" s="154">
        <f t="shared" si="119"/>
        <v>1.6176767830442731</v>
      </c>
    </row>
    <row r="1226" spans="1:21" x14ac:dyDescent="0.35">
      <c r="A1226" s="107">
        <v>1394</v>
      </c>
      <c r="B1226" s="107">
        <v>2018</v>
      </c>
      <c r="C1226" s="107" t="s">
        <v>9</v>
      </c>
      <c r="D1226" s="107" t="s">
        <v>132</v>
      </c>
      <c r="E1226" s="107" t="s">
        <v>10</v>
      </c>
      <c r="F1226" s="115" t="s">
        <v>305</v>
      </c>
      <c r="G1226" s="107" t="s">
        <v>32</v>
      </c>
      <c r="H1226" s="107" t="str">
        <f t="shared" si="114"/>
        <v>Area 8-2: Port Susan-Port Gardner</v>
      </c>
      <c r="I1226" s="107" t="str">
        <f>IFERROR(VLOOKUP(H1226,LUTs!$A$1:$C$73,2,FALSE),"NA")</f>
        <v>NA</v>
      </c>
      <c r="J1226" s="107" t="str">
        <f>IFERROR(VLOOKUP(H1226,LUTs!$A$1:$C$73,3,FALSE),"NA")</f>
        <v>2Central Puget Sound</v>
      </c>
      <c r="K1226" s="107" t="s">
        <v>15</v>
      </c>
      <c r="L1226" s="107" t="str">
        <f>VLOOKUP(K1226,LUTs!E$2:G$14,3,)</f>
        <v>02Skagit</v>
      </c>
      <c r="M1226" s="107" t="str">
        <f>VLOOKUP($K1226,LUTs!$E$2:$H$14,2,)</f>
        <v>North Puget Sound</v>
      </c>
      <c r="N1226" s="107" t="str">
        <f>VLOOKUP($K1226,LUTs!$E$2:$H$14,4,)</f>
        <v>01North Puget Sound</v>
      </c>
      <c r="O1226" s="107">
        <v>100.130952380952</v>
      </c>
      <c r="P1226" s="107">
        <v>161.979516930778</v>
      </c>
      <c r="Q1226" s="107">
        <f t="shared" si="115"/>
        <v>100.130952380952</v>
      </c>
      <c r="R1226" s="107">
        <f t="shared" si="116"/>
        <v>161.979516930778</v>
      </c>
      <c r="S1226" s="140" t="str">
        <f t="shared" si="117"/>
        <v>Y</v>
      </c>
      <c r="T1226" s="154">
        <f t="shared" si="118"/>
        <v>1.617676783044276</v>
      </c>
      <c r="U1226" s="154">
        <f t="shared" si="119"/>
        <v>1.617676783044276</v>
      </c>
    </row>
    <row r="1227" spans="1:21" x14ac:dyDescent="0.35">
      <c r="A1227" s="107">
        <v>1395</v>
      </c>
      <c r="B1227" s="107">
        <v>2018</v>
      </c>
      <c r="C1227" s="107" t="s">
        <v>9</v>
      </c>
      <c r="D1227" s="107" t="s">
        <v>132</v>
      </c>
      <c r="E1227" s="107" t="s">
        <v>10</v>
      </c>
      <c r="F1227" s="115" t="s">
        <v>305</v>
      </c>
      <c r="G1227" s="107" t="s">
        <v>32</v>
      </c>
      <c r="H1227" s="107" t="str">
        <f t="shared" si="114"/>
        <v>Area 8-2: Port Susan-Port Gardner</v>
      </c>
      <c r="I1227" s="107" t="str">
        <f>IFERROR(VLOOKUP(H1227,LUTs!$A$1:$C$73,2,FALSE),"NA")</f>
        <v>NA</v>
      </c>
      <c r="J1227" s="107" t="str">
        <f>IFERROR(VLOOKUP(H1227,LUTs!$A$1:$C$73,3,FALSE),"NA")</f>
        <v>2Central Puget Sound</v>
      </c>
      <c r="K1227" s="107" t="s">
        <v>16</v>
      </c>
      <c r="L1227" s="107" t="str">
        <f>VLOOKUP(K1227,LUTs!E$2:G$14,3,)</f>
        <v>03Snohomish</v>
      </c>
      <c r="M1227" s="107" t="str">
        <f>VLOOKUP($K1227,LUTs!$E$2:$H$14,2,)</f>
        <v>North Puget Sound</v>
      </c>
      <c r="N1227" s="107" t="str">
        <f>VLOOKUP($K1227,LUTs!$E$2:$H$14,4,)</f>
        <v>01North Puget Sound</v>
      </c>
      <c r="O1227" s="107">
        <v>8387.8928571428605</v>
      </c>
      <c r="P1227" s="107">
        <v>13568.8995336629</v>
      </c>
      <c r="Q1227" s="107">
        <f t="shared" si="115"/>
        <v>8387.8928571428605</v>
      </c>
      <c r="R1227" s="107">
        <f t="shared" si="116"/>
        <v>13568.8995336629</v>
      </c>
      <c r="S1227" s="140" t="str">
        <f t="shared" si="117"/>
        <v>Y</v>
      </c>
      <c r="T1227" s="154">
        <f t="shared" si="118"/>
        <v>1.6176767830442731</v>
      </c>
      <c r="U1227" s="154">
        <f t="shared" si="119"/>
        <v>1.6176767830442731</v>
      </c>
    </row>
    <row r="1228" spans="1:21" x14ac:dyDescent="0.35">
      <c r="A1228" s="107">
        <v>1469</v>
      </c>
      <c r="B1228" s="107">
        <v>2018</v>
      </c>
      <c r="C1228" s="107" t="s">
        <v>9</v>
      </c>
      <c r="D1228" s="107" t="s">
        <v>132</v>
      </c>
      <c r="E1228" s="107" t="s">
        <v>10</v>
      </c>
      <c r="F1228" s="115" t="s">
        <v>305</v>
      </c>
      <c r="G1228" s="107" t="s">
        <v>32</v>
      </c>
      <c r="H1228" s="107" t="str">
        <f t="shared" si="114"/>
        <v>Area 8-2: Port Susan-Port Gardner</v>
      </c>
      <c r="I1228" s="107" t="str">
        <f>IFERROR(VLOOKUP(H1228,LUTs!$A$1:$C$73,2,FALSE),"NA")</f>
        <v>NA</v>
      </c>
      <c r="J1228" s="107" t="str">
        <f>IFERROR(VLOOKUP(H1228,LUTs!$A$1:$C$73,3,FALSE),"NA")</f>
        <v>2Central Puget Sound</v>
      </c>
      <c r="K1228" s="107" t="s">
        <v>21</v>
      </c>
      <c r="L1228" s="107" t="str">
        <f>VLOOKUP(K1228,LUTs!E$2:G$14,3,)</f>
        <v>08Thurston</v>
      </c>
      <c r="M1228" s="107" t="str">
        <f>VLOOKUP($K1228,LUTs!$E$2:$H$14,2,)</f>
        <v>South Puget Sound</v>
      </c>
      <c r="N1228" s="107" t="str">
        <f>VLOOKUP($K1228,LUTs!$E$2:$H$14,4,)</f>
        <v>02South Puget Sound</v>
      </c>
      <c r="O1228" s="107">
        <v>7.7023809523809499</v>
      </c>
      <c r="P1228" s="107">
        <v>12.4599628408291</v>
      </c>
      <c r="Q1228" s="107">
        <f t="shared" si="115"/>
        <v>7.7023809523809499</v>
      </c>
      <c r="R1228" s="107">
        <f t="shared" si="116"/>
        <v>12.4599628408291</v>
      </c>
      <c r="S1228" s="140" t="str">
        <f t="shared" si="117"/>
        <v>Y</v>
      </c>
      <c r="T1228" s="154">
        <f t="shared" si="118"/>
        <v>1.6176767830442731</v>
      </c>
      <c r="U1228" s="154">
        <f t="shared" si="119"/>
        <v>1.6176767830442731</v>
      </c>
    </row>
    <row r="1229" spans="1:21" x14ac:dyDescent="0.35">
      <c r="A1229" s="107">
        <v>1319</v>
      </c>
      <c r="B1229" s="107">
        <v>2018</v>
      </c>
      <c r="C1229" s="107" t="s">
        <v>9</v>
      </c>
      <c r="D1229" s="107" t="s">
        <v>132</v>
      </c>
      <c r="E1229" s="107" t="s">
        <v>10</v>
      </c>
      <c r="F1229" s="115" t="s">
        <v>305</v>
      </c>
      <c r="G1229" s="107" t="s">
        <v>32</v>
      </c>
      <c r="H1229" s="107" t="str">
        <f t="shared" si="114"/>
        <v>Area 8-2: Port Susan-Port Gardner</v>
      </c>
      <c r="I1229" s="107" t="str">
        <f>IFERROR(VLOOKUP(H1229,LUTs!$A$1:$C$73,2,FALSE),"NA")</f>
        <v>NA</v>
      </c>
      <c r="J1229" s="107" t="str">
        <f>IFERROR(VLOOKUP(H1229,LUTs!$A$1:$C$73,3,FALSE),"NA")</f>
        <v>2Central Puget Sound</v>
      </c>
      <c r="K1229" s="107" t="s">
        <v>13</v>
      </c>
      <c r="L1229" s="107" t="str">
        <f>VLOOKUP(K1229,LUTs!E$2:G$14,3,)</f>
        <v>01Whatcom</v>
      </c>
      <c r="M1229" s="107" t="str">
        <f>VLOOKUP($K1229,LUTs!$E$2:$H$14,2,)</f>
        <v>North Puget Sound</v>
      </c>
      <c r="N1229" s="107" t="str">
        <f>VLOOKUP($K1229,LUTs!$E$2:$H$14,4,)</f>
        <v>01North Puget Sound</v>
      </c>
      <c r="O1229" s="107">
        <v>138.642857142857</v>
      </c>
      <c r="P1229" s="107">
        <v>224.27933113492401</v>
      </c>
      <c r="Q1229" s="107">
        <f t="shared" si="115"/>
        <v>138.642857142857</v>
      </c>
      <c r="R1229" s="107">
        <f t="shared" si="116"/>
        <v>224.27933113492401</v>
      </c>
      <c r="S1229" s="140" t="str">
        <f t="shared" si="117"/>
        <v>Y</v>
      </c>
      <c r="T1229" s="154">
        <f t="shared" si="118"/>
        <v>1.6176767830442758</v>
      </c>
      <c r="U1229" s="154">
        <f t="shared" si="119"/>
        <v>1.6176767830442758</v>
      </c>
    </row>
    <row r="1230" spans="1:21" x14ac:dyDescent="0.35">
      <c r="A1230" s="107">
        <v>1978</v>
      </c>
      <c r="B1230" s="107">
        <v>2019</v>
      </c>
      <c r="C1230" s="107" t="s">
        <v>9</v>
      </c>
      <c r="D1230" s="107" t="s">
        <v>132</v>
      </c>
      <c r="E1230" s="107" t="s">
        <v>10</v>
      </c>
      <c r="F1230" s="115" t="s">
        <v>305</v>
      </c>
      <c r="G1230" s="107" t="s">
        <v>32</v>
      </c>
      <c r="H1230" s="107" t="str">
        <f t="shared" si="114"/>
        <v>Area 8-2: Port Susan-Port Gardner</v>
      </c>
      <c r="I1230" s="107" t="str">
        <f>IFERROR(VLOOKUP(H1230,LUTs!$A$1:$C$73,2,FALSE),"NA")</f>
        <v>NA</v>
      </c>
      <c r="J1230" s="107" t="str">
        <f>IFERROR(VLOOKUP(H1230,LUTs!$A$1:$C$73,3,FALSE),"NA")</f>
        <v>2Central Puget Sound</v>
      </c>
      <c r="K1230" s="107" t="s">
        <v>24</v>
      </c>
      <c r="L1230" s="107" t="str">
        <f>VLOOKUP(K1230,LUTs!E$2:G$14,3,)</f>
        <v>11Clallam</v>
      </c>
      <c r="M1230" s="107" t="str">
        <f>VLOOKUP($K1230,LUTs!$E$2:$H$14,2,)</f>
        <v>Strait of Juan de Fuca</v>
      </c>
      <c r="N1230" s="107" t="str">
        <f>VLOOKUP($K1230,LUTs!$E$2:$H$14,4,)</f>
        <v>03Strait of Juan de Fuca</v>
      </c>
      <c r="O1230" s="107">
        <v>69.285607755406403</v>
      </c>
      <c r="P1230" s="107">
        <v>73.157344870238205</v>
      </c>
      <c r="Q1230" s="107">
        <f t="shared" si="115"/>
        <v>69.285607755406403</v>
      </c>
      <c r="R1230" s="107">
        <f t="shared" si="116"/>
        <v>73.157344870238205</v>
      </c>
      <c r="S1230" s="140" t="str">
        <f t="shared" si="117"/>
        <v>Y</v>
      </c>
      <c r="T1230" s="154">
        <f t="shared" si="118"/>
        <v>1.0558808277831653</v>
      </c>
      <c r="U1230" s="154">
        <f t="shared" si="119"/>
        <v>1.0558808277831653</v>
      </c>
    </row>
    <row r="1231" spans="1:21" x14ac:dyDescent="0.35">
      <c r="A1231" s="107">
        <v>1817</v>
      </c>
      <c r="B1231" s="107">
        <v>2019</v>
      </c>
      <c r="C1231" s="107" t="s">
        <v>9</v>
      </c>
      <c r="D1231" s="107" t="s">
        <v>132</v>
      </c>
      <c r="E1231" s="107" t="s">
        <v>10</v>
      </c>
      <c r="F1231" s="115" t="s">
        <v>305</v>
      </c>
      <c r="G1231" s="107" t="s">
        <v>32</v>
      </c>
      <c r="H1231" s="107" t="str">
        <f t="shared" si="114"/>
        <v>Area 8-2: Port Susan-Port Gardner</v>
      </c>
      <c r="I1231" s="107" t="str">
        <f>IFERROR(VLOOKUP(H1231,LUTs!$A$1:$C$73,2,FALSE),"NA")</f>
        <v>NA</v>
      </c>
      <c r="J1231" s="107" t="str">
        <f>IFERROR(VLOOKUP(H1231,LUTs!$A$1:$C$73,3,FALSE),"NA")</f>
        <v>2Central Puget Sound</v>
      </c>
      <c r="K1231" s="107" t="s">
        <v>17</v>
      </c>
      <c r="L1231" s="107" t="str">
        <f>VLOOKUP(K1231,LUTs!E$2:G$14,3,)</f>
        <v>04Island</v>
      </c>
      <c r="M1231" s="107" t="str">
        <f>VLOOKUP($K1231,LUTs!$E$2:$H$14,2,)</f>
        <v>North Puget Sound</v>
      </c>
      <c r="N1231" s="107" t="str">
        <f>VLOOKUP($K1231,LUTs!$E$2:$H$14,4,)</f>
        <v>01North Puget Sound</v>
      </c>
      <c r="O1231" s="107">
        <v>623.570469798658</v>
      </c>
      <c r="P1231" s="107">
        <v>658.41610383214299</v>
      </c>
      <c r="Q1231" s="107">
        <f t="shared" si="115"/>
        <v>623.570469798658</v>
      </c>
      <c r="R1231" s="107">
        <f t="shared" si="116"/>
        <v>658.41610383214299</v>
      </c>
      <c r="S1231" s="140" t="str">
        <f t="shared" si="117"/>
        <v>Y</v>
      </c>
      <c r="T1231" s="154">
        <f t="shared" si="118"/>
        <v>1.0558808277831633</v>
      </c>
      <c r="U1231" s="154">
        <f t="shared" si="119"/>
        <v>1.0558808277831633</v>
      </c>
    </row>
    <row r="1232" spans="1:21" x14ac:dyDescent="0.35">
      <c r="A1232" s="107">
        <v>1979</v>
      </c>
      <c r="B1232" s="107">
        <v>2019</v>
      </c>
      <c r="C1232" s="107" t="s">
        <v>9</v>
      </c>
      <c r="D1232" s="107" t="s">
        <v>132</v>
      </c>
      <c r="E1232" s="107" t="s">
        <v>10</v>
      </c>
      <c r="F1232" s="115" t="s">
        <v>305</v>
      </c>
      <c r="G1232" s="107" t="s">
        <v>32</v>
      </c>
      <c r="H1232" s="107" t="str">
        <f t="shared" si="114"/>
        <v>Area 8-2: Port Susan-Port Gardner</v>
      </c>
      <c r="I1232" s="107" t="str">
        <f>IFERROR(VLOOKUP(H1232,LUTs!$A$1:$C$73,2,FALSE),"NA")</f>
        <v>NA</v>
      </c>
      <c r="J1232" s="107" t="str">
        <f>IFERROR(VLOOKUP(H1232,LUTs!$A$1:$C$73,3,FALSE),"NA")</f>
        <v>2Central Puget Sound</v>
      </c>
      <c r="K1232" s="107" t="s">
        <v>25</v>
      </c>
      <c r="L1232" s="107" t="str">
        <f>VLOOKUP(K1232,LUTs!E$2:G$14,3,)</f>
        <v>12Jefferson</v>
      </c>
      <c r="M1232" s="107" t="str">
        <f>VLOOKUP($K1232,LUTs!$E$2:$H$14,2,)</f>
        <v>Strait of Juan de Fuca</v>
      </c>
      <c r="N1232" s="107" t="str">
        <f>VLOOKUP($K1232,LUTs!$E$2:$H$14,4,)</f>
        <v>03Strait of Juan de Fuca</v>
      </c>
      <c r="O1232" s="107">
        <v>34.642803877703201</v>
      </c>
      <c r="P1232" s="107">
        <v>36.578672435119103</v>
      </c>
      <c r="Q1232" s="107">
        <f t="shared" si="115"/>
        <v>34.642803877703201</v>
      </c>
      <c r="R1232" s="107">
        <f t="shared" si="116"/>
        <v>36.578672435119103</v>
      </c>
      <c r="S1232" s="140" t="str">
        <f t="shared" si="117"/>
        <v>Y</v>
      </c>
      <c r="T1232" s="154">
        <f t="shared" si="118"/>
        <v>1.0558808277831653</v>
      </c>
      <c r="U1232" s="154">
        <f t="shared" si="119"/>
        <v>1.0558808277831653</v>
      </c>
    </row>
    <row r="1233" spans="1:21" x14ac:dyDescent="0.35">
      <c r="A1233" s="107">
        <v>1819</v>
      </c>
      <c r="B1233" s="107">
        <v>2019</v>
      </c>
      <c r="C1233" s="107" t="s">
        <v>9</v>
      </c>
      <c r="D1233" s="107" t="s">
        <v>132</v>
      </c>
      <c r="E1233" s="107" t="s">
        <v>10</v>
      </c>
      <c r="F1233" s="115" t="s">
        <v>305</v>
      </c>
      <c r="G1233" s="107" t="s">
        <v>32</v>
      </c>
      <c r="H1233" s="107" t="str">
        <f t="shared" si="114"/>
        <v>Area 8-2: Port Susan-Port Gardner</v>
      </c>
      <c r="I1233" s="107" t="str">
        <f>IFERROR(VLOOKUP(H1233,LUTs!$A$1:$C$73,2,FALSE),"NA")</f>
        <v>NA</v>
      </c>
      <c r="J1233" s="107" t="str">
        <f>IFERROR(VLOOKUP(H1233,LUTs!$A$1:$C$73,3,FALSE),"NA")</f>
        <v>2Central Puget Sound</v>
      </c>
      <c r="K1233" s="107" t="s">
        <v>18</v>
      </c>
      <c r="L1233" s="107" t="str">
        <f>VLOOKUP(K1233,LUTs!E$2:G$14,3,)</f>
        <v>06King</v>
      </c>
      <c r="M1233" s="107" t="str">
        <f>VLOOKUP($K1233,LUTs!$E$2:$H$14,2,)</f>
        <v>South Puget Sound</v>
      </c>
      <c r="N1233" s="107" t="str">
        <f>VLOOKUP($K1233,LUTs!$E$2:$H$14,4,)</f>
        <v>02South Puget Sound</v>
      </c>
      <c r="O1233" s="107">
        <v>1446.3370618941101</v>
      </c>
      <c r="P1233" s="107">
        <v>1527.15957416622</v>
      </c>
      <c r="Q1233" s="107">
        <f t="shared" si="115"/>
        <v>1446.3370618941101</v>
      </c>
      <c r="R1233" s="107">
        <f t="shared" si="116"/>
        <v>1527.15957416622</v>
      </c>
      <c r="S1233" s="140" t="str">
        <f t="shared" si="117"/>
        <v>Y</v>
      </c>
      <c r="T1233" s="154">
        <f t="shared" si="118"/>
        <v>1.0558808277831624</v>
      </c>
      <c r="U1233" s="154">
        <f t="shared" si="119"/>
        <v>1.0558808277831624</v>
      </c>
    </row>
    <row r="1234" spans="1:21" x14ac:dyDescent="0.35">
      <c r="A1234" s="107">
        <v>1977</v>
      </c>
      <c r="B1234" s="107">
        <v>2019</v>
      </c>
      <c r="C1234" s="107" t="s">
        <v>9</v>
      </c>
      <c r="D1234" s="107" t="s">
        <v>132</v>
      </c>
      <c r="E1234" s="107" t="s">
        <v>10</v>
      </c>
      <c r="F1234" s="115" t="s">
        <v>305</v>
      </c>
      <c r="G1234" s="107" t="s">
        <v>32</v>
      </c>
      <c r="H1234" s="107" t="str">
        <f t="shared" si="114"/>
        <v>Area 8-2: Port Susan-Port Gardner</v>
      </c>
      <c r="I1234" s="107" t="str">
        <f>IFERROR(VLOOKUP(H1234,LUTs!$A$1:$C$73,2,FALSE),"NA")</f>
        <v>NA</v>
      </c>
      <c r="J1234" s="107" t="str">
        <f>IFERROR(VLOOKUP(H1234,LUTs!$A$1:$C$73,3,FALSE),"NA")</f>
        <v>2Central Puget Sound</v>
      </c>
      <c r="K1234" s="107" t="s">
        <v>23</v>
      </c>
      <c r="L1234" s="107" t="str">
        <f>VLOOKUP(K1234,LUTs!E$2:G$14,3,)</f>
        <v>10Kitsap</v>
      </c>
      <c r="M1234" s="107" t="str">
        <f>VLOOKUP($K1234,LUTs!$E$2:$H$14,2,)</f>
        <v>South Puget Sound</v>
      </c>
      <c r="N1234" s="107" t="str">
        <f>VLOOKUP($K1234,LUTs!$E$2:$H$14,4,)</f>
        <v>02South Puget Sound</v>
      </c>
      <c r="O1234" s="107">
        <v>95.2677106636838</v>
      </c>
      <c r="P1234" s="107">
        <v>100.591349196577</v>
      </c>
      <c r="Q1234" s="107">
        <f t="shared" si="115"/>
        <v>95.2677106636838</v>
      </c>
      <c r="R1234" s="107">
        <f t="shared" si="116"/>
        <v>100.591349196577</v>
      </c>
      <c r="S1234" s="140" t="str">
        <f t="shared" si="117"/>
        <v>Y</v>
      </c>
      <c r="T1234" s="154">
        <f t="shared" si="118"/>
        <v>1.0558808277831597</v>
      </c>
      <c r="U1234" s="154">
        <f t="shared" si="119"/>
        <v>1.0558808277831597</v>
      </c>
    </row>
    <row r="1235" spans="1:21" x14ac:dyDescent="0.35">
      <c r="A1235" s="107">
        <v>1921</v>
      </c>
      <c r="B1235" s="107">
        <v>2019</v>
      </c>
      <c r="C1235" s="107" t="s">
        <v>9</v>
      </c>
      <c r="D1235" s="107" t="s">
        <v>132</v>
      </c>
      <c r="E1235" s="107" t="s">
        <v>10</v>
      </c>
      <c r="F1235" s="115" t="s">
        <v>305</v>
      </c>
      <c r="G1235" s="107" t="s">
        <v>32</v>
      </c>
      <c r="H1235" s="107" t="str">
        <f t="shared" si="114"/>
        <v>Area 8-2: Port Susan-Port Gardner</v>
      </c>
      <c r="I1235" s="107" t="str">
        <f>IFERROR(VLOOKUP(H1235,LUTs!$A$1:$C$73,2,FALSE),"NA")</f>
        <v>NA</v>
      </c>
      <c r="J1235" s="107" t="str">
        <f>IFERROR(VLOOKUP(H1235,LUTs!$A$1:$C$73,3,FALSE),"NA")</f>
        <v>2Central Puget Sound</v>
      </c>
      <c r="K1235" s="107" t="s">
        <v>22</v>
      </c>
      <c r="L1235" s="107" t="str">
        <f>VLOOKUP(K1235,LUTs!E$2:G$14,3,)</f>
        <v>09Mason</v>
      </c>
      <c r="M1235" s="107" t="str">
        <f>VLOOKUP($K1235,LUTs!$E$2:$H$14,2,)</f>
        <v>South Puget Sound</v>
      </c>
      <c r="N1235" s="107" t="str">
        <f>VLOOKUP($K1235,LUTs!$E$2:$H$14,4,)</f>
        <v>02South Puget Sound</v>
      </c>
      <c r="O1235" s="107">
        <v>8.6607009694258004</v>
      </c>
      <c r="P1235" s="107">
        <v>9.1446681087797703</v>
      </c>
      <c r="Q1235" s="107">
        <f t="shared" si="115"/>
        <v>8.6607009694258004</v>
      </c>
      <c r="R1235" s="107">
        <f t="shared" si="116"/>
        <v>9.1446681087797703</v>
      </c>
      <c r="S1235" s="140" t="str">
        <f t="shared" si="117"/>
        <v>Y</v>
      </c>
      <c r="T1235" s="154">
        <f t="shared" si="118"/>
        <v>1.0558808277831646</v>
      </c>
      <c r="U1235" s="154">
        <f t="shared" si="119"/>
        <v>1.0558808277831646</v>
      </c>
    </row>
    <row r="1236" spans="1:21" x14ac:dyDescent="0.35">
      <c r="A1236" s="107">
        <v>1980</v>
      </c>
      <c r="B1236" s="107">
        <v>2019</v>
      </c>
      <c r="C1236" s="107" t="s">
        <v>9</v>
      </c>
      <c r="D1236" s="107" t="s">
        <v>132</v>
      </c>
      <c r="E1236" s="107" t="s">
        <v>10</v>
      </c>
      <c r="F1236" s="115" t="s">
        <v>305</v>
      </c>
      <c r="G1236" s="107" t="s">
        <v>32</v>
      </c>
      <c r="H1236" s="107" t="str">
        <f t="shared" si="114"/>
        <v>Area 8-2: Port Susan-Port Gardner</v>
      </c>
      <c r="I1236" s="107" t="str">
        <f>IFERROR(VLOOKUP(H1236,LUTs!$A$1:$C$73,2,FALSE),"NA")</f>
        <v>NA</v>
      </c>
      <c r="J1236" s="107" t="str">
        <f>IFERROR(VLOOKUP(H1236,LUTs!$A$1:$C$73,3,FALSE),"NA")</f>
        <v>2Central Puget Sound</v>
      </c>
      <c r="K1236" s="107" t="s">
        <v>26</v>
      </c>
      <c r="L1236" s="107" t="str">
        <f>VLOOKUP(K1236,LUTs!E$2:G$14,3,)</f>
        <v>20Other</v>
      </c>
      <c r="M1236" s="107" t="str">
        <f>VLOOKUP($K1236,LUTs!$E$2:$H$14,2,)</f>
        <v>Non Puget Sound</v>
      </c>
      <c r="N1236" s="107" t="str">
        <f>VLOOKUP($K1236,LUTs!$E$2:$H$14,4,)</f>
        <v>07Non Puget Sound</v>
      </c>
      <c r="O1236" s="107">
        <v>588.92766592095495</v>
      </c>
      <c r="P1236" s="107">
        <v>621.83743139702403</v>
      </c>
      <c r="Q1236" s="107">
        <f t="shared" si="115"/>
        <v>588.92766592095495</v>
      </c>
      <c r="R1236" s="107">
        <f t="shared" si="116"/>
        <v>621.83743139702403</v>
      </c>
      <c r="S1236" s="140" t="str">
        <f t="shared" si="117"/>
        <v>Y</v>
      </c>
      <c r="T1236" s="154">
        <f t="shared" si="118"/>
        <v>1.0558808277831631</v>
      </c>
      <c r="U1236" s="154">
        <f t="shared" si="119"/>
        <v>1.0558808277831631</v>
      </c>
    </row>
    <row r="1237" spans="1:21" x14ac:dyDescent="0.35">
      <c r="A1237" s="107">
        <v>1820</v>
      </c>
      <c r="B1237" s="107">
        <v>2019</v>
      </c>
      <c r="C1237" s="107" t="s">
        <v>9</v>
      </c>
      <c r="D1237" s="107" t="s">
        <v>132</v>
      </c>
      <c r="E1237" s="107" t="s">
        <v>10</v>
      </c>
      <c r="F1237" s="115" t="s">
        <v>305</v>
      </c>
      <c r="G1237" s="107" t="s">
        <v>32</v>
      </c>
      <c r="H1237" s="107" t="str">
        <f t="shared" si="114"/>
        <v>Area 8-2: Port Susan-Port Gardner</v>
      </c>
      <c r="I1237" s="107" t="str">
        <f>IFERROR(VLOOKUP(H1237,LUTs!$A$1:$C$73,2,FALSE),"NA")</f>
        <v>NA</v>
      </c>
      <c r="J1237" s="107" t="str">
        <f>IFERROR(VLOOKUP(H1237,LUTs!$A$1:$C$73,3,FALSE),"NA")</f>
        <v>2Central Puget Sound</v>
      </c>
      <c r="K1237" s="107" t="s">
        <v>20</v>
      </c>
      <c r="L1237" s="107" t="str">
        <f>VLOOKUP(K1237,LUTs!E$2:G$14,3,)</f>
        <v>07Pierce</v>
      </c>
      <c r="M1237" s="107" t="str">
        <f>VLOOKUP($K1237,LUTs!$E$2:$H$14,2,)</f>
        <v>South Puget Sound</v>
      </c>
      <c r="N1237" s="107" t="str">
        <f>VLOOKUP($K1237,LUTs!$E$2:$H$14,4,)</f>
        <v>02South Puget Sound</v>
      </c>
      <c r="O1237" s="107">
        <v>190.535421327368</v>
      </c>
      <c r="P1237" s="107">
        <v>201.18269839315499</v>
      </c>
      <c r="Q1237" s="107">
        <f t="shared" si="115"/>
        <v>190.535421327368</v>
      </c>
      <c r="R1237" s="107">
        <f t="shared" si="116"/>
        <v>201.18269839315499</v>
      </c>
      <c r="S1237" s="140" t="str">
        <f t="shared" si="117"/>
        <v>Y</v>
      </c>
      <c r="T1237" s="154">
        <f t="shared" si="118"/>
        <v>1.0558808277831626</v>
      </c>
      <c r="U1237" s="154">
        <f t="shared" si="119"/>
        <v>1.0558808277831626</v>
      </c>
    </row>
    <row r="1238" spans="1:21" x14ac:dyDescent="0.35">
      <c r="A1238" s="107">
        <v>1818</v>
      </c>
      <c r="B1238" s="107">
        <v>2019</v>
      </c>
      <c r="C1238" s="107" t="s">
        <v>9</v>
      </c>
      <c r="D1238" s="107" t="s">
        <v>132</v>
      </c>
      <c r="E1238" s="107" t="s">
        <v>10</v>
      </c>
      <c r="F1238" s="115" t="s">
        <v>305</v>
      </c>
      <c r="G1238" s="107" t="s">
        <v>32</v>
      </c>
      <c r="H1238" s="107" t="str">
        <f t="shared" si="114"/>
        <v>Area 8-2: Port Susan-Port Gardner</v>
      </c>
      <c r="I1238" s="107" t="str">
        <f>IFERROR(VLOOKUP(H1238,LUTs!$A$1:$C$73,2,FALSE),"NA")</f>
        <v>NA</v>
      </c>
      <c r="J1238" s="107" t="str">
        <f>IFERROR(VLOOKUP(H1238,LUTs!$A$1:$C$73,3,FALSE),"NA")</f>
        <v>2Central Puget Sound</v>
      </c>
      <c r="K1238" s="107" t="s">
        <v>30</v>
      </c>
      <c r="L1238" s="107" t="str">
        <f>VLOOKUP(K1238,LUTs!E$2:G$14,3,)</f>
        <v>05San Juan</v>
      </c>
      <c r="M1238" s="107" t="str">
        <f>VLOOKUP($K1238,LUTs!$E$2:$H$14,2,)</f>
        <v>North Puget Sound</v>
      </c>
      <c r="N1238" s="107" t="str">
        <f>VLOOKUP($K1238,LUTs!$E$2:$H$14,4,)</f>
        <v>01North Puget Sound</v>
      </c>
      <c r="O1238" s="107">
        <v>17.321401938851601</v>
      </c>
      <c r="P1238" s="107">
        <v>18.289336217559502</v>
      </c>
      <c r="Q1238" s="107">
        <f t="shared" si="115"/>
        <v>17.321401938851601</v>
      </c>
      <c r="R1238" s="107">
        <f t="shared" si="116"/>
        <v>18.289336217559502</v>
      </c>
      <c r="S1238" s="140" t="str">
        <f t="shared" si="117"/>
        <v>Y</v>
      </c>
      <c r="T1238" s="154">
        <f t="shared" si="118"/>
        <v>1.0558808277831624</v>
      </c>
      <c r="U1238" s="154">
        <f t="shared" si="119"/>
        <v>1.0558808277831624</v>
      </c>
    </row>
    <row r="1239" spans="1:21" x14ac:dyDescent="0.35">
      <c r="A1239" s="107">
        <v>1815</v>
      </c>
      <c r="B1239" s="107">
        <v>2019</v>
      </c>
      <c r="C1239" s="107" t="s">
        <v>9</v>
      </c>
      <c r="D1239" s="107" t="s">
        <v>132</v>
      </c>
      <c r="E1239" s="107" t="s">
        <v>10</v>
      </c>
      <c r="F1239" s="115" t="s">
        <v>305</v>
      </c>
      <c r="G1239" s="107" t="s">
        <v>32</v>
      </c>
      <c r="H1239" s="107" t="str">
        <f t="shared" si="114"/>
        <v>Area 8-2: Port Susan-Port Gardner</v>
      </c>
      <c r="I1239" s="107" t="str">
        <f>IFERROR(VLOOKUP(H1239,LUTs!$A$1:$C$73,2,FALSE),"NA")</f>
        <v>NA</v>
      </c>
      <c r="J1239" s="107" t="str">
        <f>IFERROR(VLOOKUP(H1239,LUTs!$A$1:$C$73,3,FALSE),"NA")</f>
        <v>2Central Puget Sound</v>
      </c>
      <c r="K1239" s="107" t="s">
        <v>15</v>
      </c>
      <c r="L1239" s="107" t="str">
        <f>VLOOKUP(K1239,LUTs!E$2:G$14,3,)</f>
        <v>02Skagit</v>
      </c>
      <c r="M1239" s="107" t="str">
        <f>VLOOKUP($K1239,LUTs!$E$2:$H$14,2,)</f>
        <v>North Puget Sound</v>
      </c>
      <c r="N1239" s="107" t="str">
        <f>VLOOKUP($K1239,LUTs!$E$2:$H$14,4,)</f>
        <v>01North Puget Sound</v>
      </c>
      <c r="O1239" s="107">
        <v>199.19612229679399</v>
      </c>
      <c r="P1239" s="107">
        <v>210.32736650193499</v>
      </c>
      <c r="Q1239" s="107">
        <f t="shared" si="115"/>
        <v>199.19612229679399</v>
      </c>
      <c r="R1239" s="107">
        <f t="shared" si="116"/>
        <v>210.32736650193499</v>
      </c>
      <c r="S1239" s="140" t="str">
        <f t="shared" si="117"/>
        <v>Y</v>
      </c>
      <c r="T1239" s="154">
        <f t="shared" si="118"/>
        <v>1.0558808277831628</v>
      </c>
      <c r="U1239" s="154">
        <f t="shared" si="119"/>
        <v>1.0558808277831628</v>
      </c>
    </row>
    <row r="1240" spans="1:21" x14ac:dyDescent="0.35">
      <c r="A1240" s="107">
        <v>1816</v>
      </c>
      <c r="B1240" s="107">
        <v>2019</v>
      </c>
      <c r="C1240" s="107" t="s">
        <v>9</v>
      </c>
      <c r="D1240" s="107" t="s">
        <v>132</v>
      </c>
      <c r="E1240" s="107" t="s">
        <v>10</v>
      </c>
      <c r="F1240" s="115" t="s">
        <v>305</v>
      </c>
      <c r="G1240" s="107" t="s">
        <v>32</v>
      </c>
      <c r="H1240" s="107" t="str">
        <f t="shared" si="114"/>
        <v>Area 8-2: Port Susan-Port Gardner</v>
      </c>
      <c r="I1240" s="107" t="str">
        <f>IFERROR(VLOOKUP(H1240,LUTs!$A$1:$C$73,2,FALSE),"NA")</f>
        <v>NA</v>
      </c>
      <c r="J1240" s="107" t="str">
        <f>IFERROR(VLOOKUP(H1240,LUTs!$A$1:$C$73,3,FALSE),"NA")</f>
        <v>2Central Puget Sound</v>
      </c>
      <c r="K1240" s="107" t="s">
        <v>16</v>
      </c>
      <c r="L1240" s="107" t="str">
        <f>VLOOKUP(K1240,LUTs!E$2:G$14,3,)</f>
        <v>03Snohomish</v>
      </c>
      <c r="M1240" s="107" t="str">
        <f>VLOOKUP($K1240,LUTs!$E$2:$H$14,2,)</f>
        <v>North Puget Sound</v>
      </c>
      <c r="N1240" s="107" t="str">
        <f>VLOOKUP($K1240,LUTs!$E$2:$H$14,4,)</f>
        <v>01North Puget Sound</v>
      </c>
      <c r="O1240" s="107">
        <v>8167.0410141685297</v>
      </c>
      <c r="P1240" s="107">
        <v>8623.4220265793192</v>
      </c>
      <c r="Q1240" s="107">
        <f t="shared" si="115"/>
        <v>8167.0410141685297</v>
      </c>
      <c r="R1240" s="107">
        <f t="shared" si="116"/>
        <v>8623.4220265793192</v>
      </c>
      <c r="S1240" s="140" t="str">
        <f t="shared" si="117"/>
        <v>Y</v>
      </c>
      <c r="T1240" s="154">
        <f t="shared" si="118"/>
        <v>1.0558808277831642</v>
      </c>
      <c r="U1240" s="154">
        <f t="shared" si="119"/>
        <v>1.0558808277831642</v>
      </c>
    </row>
    <row r="1241" spans="1:21" x14ac:dyDescent="0.35">
      <c r="A1241" s="107">
        <v>1920</v>
      </c>
      <c r="B1241" s="107">
        <v>2019</v>
      </c>
      <c r="C1241" s="107" t="s">
        <v>9</v>
      </c>
      <c r="D1241" s="107" t="s">
        <v>132</v>
      </c>
      <c r="E1241" s="107" t="s">
        <v>10</v>
      </c>
      <c r="F1241" s="115" t="s">
        <v>305</v>
      </c>
      <c r="G1241" s="107" t="s">
        <v>32</v>
      </c>
      <c r="H1241" s="107" t="str">
        <f t="shared" si="114"/>
        <v>Area 8-2: Port Susan-Port Gardner</v>
      </c>
      <c r="I1241" s="107" t="str">
        <f>IFERROR(VLOOKUP(H1241,LUTs!$A$1:$C$73,2,FALSE),"NA")</f>
        <v>NA</v>
      </c>
      <c r="J1241" s="107" t="str">
        <f>IFERROR(VLOOKUP(H1241,LUTs!$A$1:$C$73,3,FALSE),"NA")</f>
        <v>2Central Puget Sound</v>
      </c>
      <c r="K1241" s="107" t="s">
        <v>21</v>
      </c>
      <c r="L1241" s="107" t="str">
        <f>VLOOKUP(K1241,LUTs!E$2:G$14,3,)</f>
        <v>08Thurston</v>
      </c>
      <c r="M1241" s="107" t="str">
        <f>VLOOKUP($K1241,LUTs!$E$2:$H$14,2,)</f>
        <v>South Puget Sound</v>
      </c>
      <c r="N1241" s="107" t="str">
        <f>VLOOKUP($K1241,LUTs!$E$2:$H$14,4,)</f>
        <v>02South Puget Sound</v>
      </c>
      <c r="O1241" s="107">
        <v>17.321401938851601</v>
      </c>
      <c r="P1241" s="107">
        <v>18.289336217559502</v>
      </c>
      <c r="Q1241" s="107">
        <f t="shared" si="115"/>
        <v>17.321401938851601</v>
      </c>
      <c r="R1241" s="107">
        <f t="shared" si="116"/>
        <v>18.289336217559502</v>
      </c>
      <c r="S1241" s="140" t="str">
        <f t="shared" si="117"/>
        <v>Y</v>
      </c>
      <c r="T1241" s="154">
        <f t="shared" si="118"/>
        <v>1.0558808277831624</v>
      </c>
      <c r="U1241" s="154">
        <f t="shared" si="119"/>
        <v>1.0558808277831624</v>
      </c>
    </row>
    <row r="1242" spans="1:21" x14ac:dyDescent="0.35">
      <c r="A1242" s="107">
        <v>1814</v>
      </c>
      <c r="B1242" s="107">
        <v>2019</v>
      </c>
      <c r="C1242" s="107" t="s">
        <v>9</v>
      </c>
      <c r="D1242" s="107" t="s">
        <v>132</v>
      </c>
      <c r="E1242" s="107" t="s">
        <v>10</v>
      </c>
      <c r="F1242" s="115" t="s">
        <v>305</v>
      </c>
      <c r="G1242" s="107" t="s">
        <v>32</v>
      </c>
      <c r="H1242" s="107" t="str">
        <f t="shared" si="114"/>
        <v>Area 8-2: Port Susan-Port Gardner</v>
      </c>
      <c r="I1242" s="107" t="str">
        <f>IFERROR(VLOOKUP(H1242,LUTs!$A$1:$C$73,2,FALSE),"NA")</f>
        <v>NA</v>
      </c>
      <c r="J1242" s="107" t="str">
        <f>IFERROR(VLOOKUP(H1242,LUTs!$A$1:$C$73,3,FALSE),"NA")</f>
        <v>2Central Puget Sound</v>
      </c>
      <c r="K1242" s="107" t="s">
        <v>13</v>
      </c>
      <c r="L1242" s="107" t="str">
        <f>VLOOKUP(K1242,LUTs!E$2:G$14,3,)</f>
        <v>01Whatcom</v>
      </c>
      <c r="M1242" s="107" t="str">
        <f>VLOOKUP($K1242,LUTs!$E$2:$H$14,2,)</f>
        <v>North Puget Sound</v>
      </c>
      <c r="N1242" s="107" t="str">
        <f>VLOOKUP($K1242,LUTs!$E$2:$H$14,4,)</f>
        <v>01North Puget Sound</v>
      </c>
      <c r="O1242" s="107">
        <v>155.89261744966399</v>
      </c>
      <c r="P1242" s="107">
        <v>164.604025958036</v>
      </c>
      <c r="Q1242" s="107">
        <f t="shared" si="115"/>
        <v>155.89261744966399</v>
      </c>
      <c r="R1242" s="107">
        <f t="shared" si="116"/>
        <v>164.604025958036</v>
      </c>
      <c r="S1242" s="140" t="str">
        <f t="shared" si="117"/>
        <v>Y</v>
      </c>
      <c r="T1242" s="154">
        <f t="shared" si="118"/>
        <v>1.0558808277831684</v>
      </c>
      <c r="U1242" s="154">
        <f t="shared" si="119"/>
        <v>1.0558808277831684</v>
      </c>
    </row>
    <row r="1243" spans="1:21" x14ac:dyDescent="0.35">
      <c r="A1243" s="107">
        <v>2253</v>
      </c>
      <c r="B1243" s="107">
        <v>2020</v>
      </c>
      <c r="C1243" s="107" t="s">
        <v>9</v>
      </c>
      <c r="D1243" s="107" t="s">
        <v>132</v>
      </c>
      <c r="E1243" s="107" t="s">
        <v>10</v>
      </c>
      <c r="F1243" s="115" t="s">
        <v>305</v>
      </c>
      <c r="G1243" s="107" t="s">
        <v>32</v>
      </c>
      <c r="H1243" s="107" t="str">
        <f t="shared" si="114"/>
        <v>Area 8-2: Port Susan-Port Gardner</v>
      </c>
      <c r="I1243" s="107" t="str">
        <f>IFERROR(VLOOKUP(H1243,LUTs!$A$1:$C$73,2,FALSE),"NA")</f>
        <v>NA</v>
      </c>
      <c r="J1243" s="107" t="str">
        <f>IFERROR(VLOOKUP(H1243,LUTs!$A$1:$C$73,3,FALSE),"NA")</f>
        <v>2Central Puget Sound</v>
      </c>
      <c r="K1243" s="107" t="s">
        <v>17</v>
      </c>
      <c r="L1243" s="107" t="str">
        <f>VLOOKUP(K1243,LUTs!E$2:G$14,3,)</f>
        <v>04Island</v>
      </c>
      <c r="M1243" s="107" t="str">
        <f>VLOOKUP($K1243,LUTs!$E$2:$H$14,2,)</f>
        <v>North Puget Sound</v>
      </c>
      <c r="N1243" s="107" t="str">
        <f>VLOOKUP($K1243,LUTs!$E$2:$H$14,4,)</f>
        <v>01North Puget Sound</v>
      </c>
      <c r="O1243" s="107">
        <v>50.113636363636402</v>
      </c>
      <c r="P1243" s="107">
        <v>96.002859737366407</v>
      </c>
      <c r="Q1243" s="107">
        <f t="shared" si="115"/>
        <v>50.113636363636402</v>
      </c>
      <c r="R1243" s="107">
        <f t="shared" si="116"/>
        <v>96.002859737366407</v>
      </c>
      <c r="S1243" s="140" t="str">
        <f t="shared" si="117"/>
        <v>N</v>
      </c>
      <c r="T1243" s="154">
        <f t="shared" si="118"/>
        <v>1.9157033235574235</v>
      </c>
      <c r="U1243" s="154">
        <f t="shared" si="119"/>
        <v>1.9157033235574235</v>
      </c>
    </row>
    <row r="1244" spans="1:21" x14ac:dyDescent="0.35">
      <c r="A1244" s="107">
        <v>2254</v>
      </c>
      <c r="B1244" s="107">
        <v>2020</v>
      </c>
      <c r="C1244" s="107" t="s">
        <v>9</v>
      </c>
      <c r="D1244" s="107" t="s">
        <v>132</v>
      </c>
      <c r="E1244" s="107" t="s">
        <v>10</v>
      </c>
      <c r="F1244" s="115" t="s">
        <v>305</v>
      </c>
      <c r="G1244" s="107" t="s">
        <v>32</v>
      </c>
      <c r="H1244" s="107" t="str">
        <f t="shared" si="114"/>
        <v>Area 8-2: Port Susan-Port Gardner</v>
      </c>
      <c r="I1244" s="107" t="str">
        <f>IFERROR(VLOOKUP(H1244,LUTs!$A$1:$C$73,2,FALSE),"NA")</f>
        <v>NA</v>
      </c>
      <c r="J1244" s="107" t="str">
        <f>IFERROR(VLOOKUP(H1244,LUTs!$A$1:$C$73,3,FALSE),"NA")</f>
        <v>2Central Puget Sound</v>
      </c>
      <c r="K1244" s="107" t="s">
        <v>18</v>
      </c>
      <c r="L1244" s="107" t="str">
        <f>VLOOKUP(K1244,LUTs!E$2:G$14,3,)</f>
        <v>06King</v>
      </c>
      <c r="M1244" s="107" t="str">
        <f>VLOOKUP($K1244,LUTs!$E$2:$H$14,2,)</f>
        <v>South Puget Sound</v>
      </c>
      <c r="N1244" s="107" t="str">
        <f>VLOOKUP($K1244,LUTs!$E$2:$H$14,4,)</f>
        <v>02South Puget Sound</v>
      </c>
      <c r="O1244" s="107">
        <v>30.068181818181799</v>
      </c>
      <c r="P1244" s="107">
        <v>57.6017158424198</v>
      </c>
      <c r="Q1244" s="107">
        <f t="shared" si="115"/>
        <v>30.068181818181799</v>
      </c>
      <c r="R1244" s="107">
        <f t="shared" si="116"/>
        <v>57.6017158424198</v>
      </c>
      <c r="S1244" s="140" t="str">
        <f t="shared" si="117"/>
        <v>N</v>
      </c>
      <c r="T1244" s="154">
        <f t="shared" si="118"/>
        <v>1.9157033235574246</v>
      </c>
      <c r="U1244" s="154">
        <f t="shared" si="119"/>
        <v>1.9157033235574246</v>
      </c>
    </row>
    <row r="1245" spans="1:21" x14ac:dyDescent="0.35">
      <c r="A1245" s="107">
        <v>2255</v>
      </c>
      <c r="B1245" s="107">
        <v>2020</v>
      </c>
      <c r="C1245" s="107" t="s">
        <v>9</v>
      </c>
      <c r="D1245" s="107" t="s">
        <v>132</v>
      </c>
      <c r="E1245" s="107" t="s">
        <v>10</v>
      </c>
      <c r="F1245" s="115" t="s">
        <v>305</v>
      </c>
      <c r="G1245" s="107" t="s">
        <v>32</v>
      </c>
      <c r="H1245" s="107" t="str">
        <f t="shared" si="114"/>
        <v>Area 8-2: Port Susan-Port Gardner</v>
      </c>
      <c r="I1245" s="107" t="str">
        <f>IFERROR(VLOOKUP(H1245,LUTs!$A$1:$C$73,2,FALSE),"NA")</f>
        <v>NA</v>
      </c>
      <c r="J1245" s="107" t="str">
        <f>IFERROR(VLOOKUP(H1245,LUTs!$A$1:$C$73,3,FALSE),"NA")</f>
        <v>2Central Puget Sound</v>
      </c>
      <c r="K1245" s="107" t="s">
        <v>26</v>
      </c>
      <c r="L1245" s="107" t="str">
        <f>VLOOKUP(K1245,LUTs!E$2:G$14,3,)</f>
        <v>20Other</v>
      </c>
      <c r="M1245" s="107" t="str">
        <f>VLOOKUP($K1245,LUTs!$E$2:$H$14,2,)</f>
        <v>Non Puget Sound</v>
      </c>
      <c r="N1245" s="107" t="str">
        <f>VLOOKUP($K1245,LUTs!$E$2:$H$14,4,)</f>
        <v>07Non Puget Sound</v>
      </c>
      <c r="O1245" s="107">
        <v>60.136363636363598</v>
      </c>
      <c r="P1245" s="107">
        <v>115.20343168484</v>
      </c>
      <c r="Q1245" s="107">
        <f t="shared" si="115"/>
        <v>60.136363636363598</v>
      </c>
      <c r="R1245" s="107">
        <f t="shared" si="116"/>
        <v>115.20343168484</v>
      </c>
      <c r="S1245" s="140" t="str">
        <f t="shared" si="117"/>
        <v>N</v>
      </c>
      <c r="T1245" s="154">
        <f t="shared" si="118"/>
        <v>1.9157033235574312</v>
      </c>
      <c r="U1245" s="154">
        <f t="shared" si="119"/>
        <v>1.9157033235574312</v>
      </c>
    </row>
    <row r="1246" spans="1:21" x14ac:dyDescent="0.35">
      <c r="A1246" s="107">
        <v>2122</v>
      </c>
      <c r="B1246" s="107">
        <v>2020</v>
      </c>
      <c r="C1246" s="107" t="s">
        <v>9</v>
      </c>
      <c r="D1246" s="107" t="s">
        <v>132</v>
      </c>
      <c r="E1246" s="107" t="s">
        <v>10</v>
      </c>
      <c r="F1246" s="115" t="s">
        <v>305</v>
      </c>
      <c r="G1246" s="107" t="s">
        <v>32</v>
      </c>
      <c r="H1246" s="107" t="str">
        <f t="shared" si="114"/>
        <v>Area 8-2: Port Susan-Port Gardner</v>
      </c>
      <c r="I1246" s="107" t="str">
        <f>IFERROR(VLOOKUP(H1246,LUTs!$A$1:$C$73,2,FALSE),"NA")</f>
        <v>NA</v>
      </c>
      <c r="J1246" s="107" t="str">
        <f>IFERROR(VLOOKUP(H1246,LUTs!$A$1:$C$73,3,FALSE),"NA")</f>
        <v>2Central Puget Sound</v>
      </c>
      <c r="K1246" s="107" t="s">
        <v>16</v>
      </c>
      <c r="L1246" s="107" t="str">
        <f>VLOOKUP(K1246,LUTs!E$2:G$14,3,)</f>
        <v>03Snohomish</v>
      </c>
      <c r="M1246" s="107" t="str">
        <f>VLOOKUP($K1246,LUTs!$E$2:$H$14,2,)</f>
        <v>North Puget Sound</v>
      </c>
      <c r="N1246" s="107" t="str">
        <f>VLOOKUP($K1246,LUTs!$E$2:$H$14,4,)</f>
        <v>01North Puget Sound</v>
      </c>
      <c r="O1246" s="107">
        <v>300.68181818181802</v>
      </c>
      <c r="P1246" s="107">
        <v>576.01715842419799</v>
      </c>
      <c r="Q1246" s="107">
        <f t="shared" si="115"/>
        <v>300.68181818181802</v>
      </c>
      <c r="R1246" s="107">
        <f t="shared" si="116"/>
        <v>576.01715842419799</v>
      </c>
      <c r="S1246" s="140" t="str">
        <f t="shared" si="117"/>
        <v>N</v>
      </c>
      <c r="T1246" s="154">
        <f t="shared" si="118"/>
        <v>1.9157033235574243</v>
      </c>
      <c r="U1246" s="154">
        <f t="shared" si="119"/>
        <v>1.9157033235574243</v>
      </c>
    </row>
    <row r="1247" spans="1:21" x14ac:dyDescent="0.35">
      <c r="A1247" s="107">
        <v>2482</v>
      </c>
      <c r="B1247" s="107">
        <v>2021</v>
      </c>
      <c r="C1247" s="107" t="s">
        <v>9</v>
      </c>
      <c r="D1247" s="107" t="s">
        <v>132</v>
      </c>
      <c r="E1247" s="107" t="s">
        <v>10</v>
      </c>
      <c r="F1247" s="115" t="s">
        <v>305</v>
      </c>
      <c r="G1247" s="107" t="s">
        <v>32</v>
      </c>
      <c r="H1247" s="107" t="str">
        <f t="shared" si="114"/>
        <v>Area 8-2: Port Susan-Port Gardner</v>
      </c>
      <c r="I1247" s="107" t="str">
        <f>IFERROR(VLOOKUP(H1247,LUTs!$A$1:$C$73,2,FALSE),"NA")</f>
        <v>NA</v>
      </c>
      <c r="J1247" s="107" t="str">
        <f>IFERROR(VLOOKUP(H1247,LUTs!$A$1:$C$73,3,FALSE),"NA")</f>
        <v>2Central Puget Sound</v>
      </c>
      <c r="K1247" s="107" t="s">
        <v>17</v>
      </c>
      <c r="L1247" s="107" t="str">
        <f>VLOOKUP(K1247,LUTs!E$2:G$14,3,)</f>
        <v>04Island</v>
      </c>
      <c r="M1247" s="107" t="str">
        <f>VLOOKUP($K1247,LUTs!$E$2:$H$14,2,)</f>
        <v>North Puget Sound</v>
      </c>
      <c r="N1247" s="107" t="str">
        <f>VLOOKUP($K1247,LUTs!$E$2:$H$14,4,)</f>
        <v>01North Puget Sound</v>
      </c>
      <c r="O1247" s="107">
        <v>759.53018223234596</v>
      </c>
      <c r="P1247" s="107">
        <v>791.55383470484105</v>
      </c>
      <c r="Q1247" s="107">
        <f t="shared" si="115"/>
        <v>759.53018223234596</v>
      </c>
      <c r="R1247" s="107">
        <f t="shared" si="116"/>
        <v>791.55383470484105</v>
      </c>
      <c r="S1247" s="140" t="str">
        <f t="shared" si="117"/>
        <v>N</v>
      </c>
      <c r="T1247" s="154">
        <f t="shared" si="118"/>
        <v>1.0421624488685544</v>
      </c>
      <c r="U1247" s="154">
        <f t="shared" si="119"/>
        <v>1.0421624488685544</v>
      </c>
    </row>
    <row r="1248" spans="1:21" x14ac:dyDescent="0.35">
      <c r="A1248" s="107">
        <v>2601</v>
      </c>
      <c r="B1248" s="107">
        <v>2021</v>
      </c>
      <c r="C1248" s="107" t="s">
        <v>9</v>
      </c>
      <c r="D1248" s="107" t="s">
        <v>132</v>
      </c>
      <c r="E1248" s="107" t="s">
        <v>10</v>
      </c>
      <c r="F1248" s="115" t="s">
        <v>305</v>
      </c>
      <c r="G1248" s="107" t="s">
        <v>32</v>
      </c>
      <c r="H1248" s="107" t="str">
        <f t="shared" si="114"/>
        <v>Area 8-2: Port Susan-Port Gardner</v>
      </c>
      <c r="I1248" s="107" t="str">
        <f>IFERROR(VLOOKUP(H1248,LUTs!$A$1:$C$73,2,FALSE),"NA")</f>
        <v>NA</v>
      </c>
      <c r="J1248" s="107" t="str">
        <f>IFERROR(VLOOKUP(H1248,LUTs!$A$1:$C$73,3,FALSE),"NA")</f>
        <v>2Central Puget Sound</v>
      </c>
      <c r="K1248" s="107" t="s">
        <v>25</v>
      </c>
      <c r="L1248" s="107" t="str">
        <f>VLOOKUP(K1248,LUTs!E$2:G$14,3,)</f>
        <v>12Jefferson</v>
      </c>
      <c r="M1248" s="107" t="str">
        <f>VLOOKUP($K1248,LUTs!$E$2:$H$14,2,)</f>
        <v>Strait of Juan de Fuca</v>
      </c>
      <c r="N1248" s="107" t="str">
        <f>VLOOKUP($K1248,LUTs!$E$2:$H$14,4,)</f>
        <v>03Strait of Juan de Fuca</v>
      </c>
      <c r="O1248" s="107">
        <v>21.395216400911199</v>
      </c>
      <c r="P1248" s="107">
        <v>22.2972911184462</v>
      </c>
      <c r="Q1248" s="107">
        <f t="shared" si="115"/>
        <v>21.395216400911199</v>
      </c>
      <c r="R1248" s="107">
        <f t="shared" si="116"/>
        <v>22.2972911184462</v>
      </c>
      <c r="S1248" s="140" t="str">
        <f t="shared" si="117"/>
        <v>N</v>
      </c>
      <c r="T1248" s="154">
        <f t="shared" si="118"/>
        <v>1.042162448868551</v>
      </c>
      <c r="U1248" s="154">
        <f t="shared" si="119"/>
        <v>1.042162448868551</v>
      </c>
    </row>
    <row r="1249" spans="1:21" x14ac:dyDescent="0.35">
      <c r="A1249" s="107">
        <v>2483</v>
      </c>
      <c r="B1249" s="107">
        <v>2021</v>
      </c>
      <c r="C1249" s="107" t="s">
        <v>9</v>
      </c>
      <c r="D1249" s="107" t="s">
        <v>132</v>
      </c>
      <c r="E1249" s="107" t="s">
        <v>10</v>
      </c>
      <c r="F1249" s="115" t="s">
        <v>305</v>
      </c>
      <c r="G1249" s="107" t="s">
        <v>32</v>
      </c>
      <c r="H1249" s="107" t="str">
        <f t="shared" si="114"/>
        <v>Area 8-2: Port Susan-Port Gardner</v>
      </c>
      <c r="I1249" s="107" t="str">
        <f>IFERROR(VLOOKUP(H1249,LUTs!$A$1:$C$73,2,FALSE),"NA")</f>
        <v>NA</v>
      </c>
      <c r="J1249" s="107" t="str">
        <f>IFERROR(VLOOKUP(H1249,LUTs!$A$1:$C$73,3,FALSE),"NA")</f>
        <v>2Central Puget Sound</v>
      </c>
      <c r="K1249" s="107" t="s">
        <v>18</v>
      </c>
      <c r="L1249" s="107" t="str">
        <f>VLOOKUP(K1249,LUTs!E$2:G$14,3,)</f>
        <v>06King</v>
      </c>
      <c r="M1249" s="107" t="str">
        <f>VLOOKUP($K1249,LUTs!$E$2:$H$14,2,)</f>
        <v>South Puget Sound</v>
      </c>
      <c r="N1249" s="107" t="str">
        <f>VLOOKUP($K1249,LUTs!$E$2:$H$14,4,)</f>
        <v>02South Puget Sound</v>
      </c>
      <c r="O1249" s="107">
        <v>2792.07574031891</v>
      </c>
      <c r="P1249" s="107">
        <v>2909.7964909572302</v>
      </c>
      <c r="Q1249" s="107">
        <f t="shared" si="115"/>
        <v>2792.07574031891</v>
      </c>
      <c r="R1249" s="107">
        <f t="shared" si="116"/>
        <v>2909.7964909572302</v>
      </c>
      <c r="S1249" s="140" t="str">
        <f t="shared" si="117"/>
        <v>N</v>
      </c>
      <c r="T1249" s="154">
        <f t="shared" si="118"/>
        <v>1.0421624488685519</v>
      </c>
      <c r="U1249" s="154">
        <f t="shared" si="119"/>
        <v>1.0421624488685519</v>
      </c>
    </row>
    <row r="1250" spans="1:21" x14ac:dyDescent="0.35">
      <c r="A1250" s="107">
        <v>2600</v>
      </c>
      <c r="B1250" s="107">
        <v>2021</v>
      </c>
      <c r="C1250" s="107" t="s">
        <v>9</v>
      </c>
      <c r="D1250" s="107" t="s">
        <v>132</v>
      </c>
      <c r="E1250" s="107" t="s">
        <v>10</v>
      </c>
      <c r="F1250" s="115" t="s">
        <v>305</v>
      </c>
      <c r="G1250" s="107" t="s">
        <v>32</v>
      </c>
      <c r="H1250" s="107" t="str">
        <f t="shared" si="114"/>
        <v>Area 8-2: Port Susan-Port Gardner</v>
      </c>
      <c r="I1250" s="107" t="str">
        <f>IFERROR(VLOOKUP(H1250,LUTs!$A$1:$C$73,2,FALSE),"NA")</f>
        <v>NA</v>
      </c>
      <c r="J1250" s="107" t="str">
        <f>IFERROR(VLOOKUP(H1250,LUTs!$A$1:$C$73,3,FALSE),"NA")</f>
        <v>2Central Puget Sound</v>
      </c>
      <c r="K1250" s="107" t="s">
        <v>23</v>
      </c>
      <c r="L1250" s="107" t="str">
        <f>VLOOKUP(K1250,LUTs!E$2:G$14,3,)</f>
        <v>10Kitsap</v>
      </c>
      <c r="M1250" s="107" t="str">
        <f>VLOOKUP($K1250,LUTs!$E$2:$H$14,2,)</f>
        <v>South Puget Sound</v>
      </c>
      <c r="N1250" s="107" t="str">
        <f>VLOOKUP($K1250,LUTs!$E$2:$H$14,4,)</f>
        <v>02South Puget Sound</v>
      </c>
      <c r="O1250" s="107">
        <v>224.649772209567</v>
      </c>
      <c r="P1250" s="107">
        <v>234.12155674368501</v>
      </c>
      <c r="Q1250" s="107">
        <f t="shared" si="115"/>
        <v>224.649772209567</v>
      </c>
      <c r="R1250" s="107">
        <f t="shared" si="116"/>
        <v>234.12155674368501</v>
      </c>
      <c r="S1250" s="140" t="str">
        <f t="shared" si="117"/>
        <v>N</v>
      </c>
      <c r="T1250" s="154">
        <f t="shared" si="118"/>
        <v>1.0421624488685532</v>
      </c>
      <c r="U1250" s="154">
        <f t="shared" si="119"/>
        <v>1.0421624488685532</v>
      </c>
    </row>
    <row r="1251" spans="1:21" x14ac:dyDescent="0.35">
      <c r="A1251" s="107">
        <v>2602</v>
      </c>
      <c r="B1251" s="107">
        <v>2021</v>
      </c>
      <c r="C1251" s="107" t="s">
        <v>9</v>
      </c>
      <c r="D1251" s="107" t="s">
        <v>132</v>
      </c>
      <c r="E1251" s="107" t="s">
        <v>10</v>
      </c>
      <c r="F1251" s="115" t="s">
        <v>305</v>
      </c>
      <c r="G1251" s="107" t="s">
        <v>32</v>
      </c>
      <c r="H1251" s="107" t="str">
        <f t="shared" si="114"/>
        <v>Area 8-2: Port Susan-Port Gardner</v>
      </c>
      <c r="I1251" s="107" t="str">
        <f>IFERROR(VLOOKUP(H1251,LUTs!$A$1:$C$73,2,FALSE),"NA")</f>
        <v>NA</v>
      </c>
      <c r="J1251" s="107" t="str">
        <f>IFERROR(VLOOKUP(H1251,LUTs!$A$1:$C$73,3,FALSE),"NA")</f>
        <v>2Central Puget Sound</v>
      </c>
      <c r="K1251" s="107" t="s">
        <v>26</v>
      </c>
      <c r="L1251" s="107" t="str">
        <f>VLOOKUP(K1251,LUTs!E$2:G$14,3,)</f>
        <v>20Other</v>
      </c>
      <c r="M1251" s="107" t="str">
        <f>VLOOKUP($K1251,LUTs!$E$2:$H$14,2,)</f>
        <v>Non Puget Sound</v>
      </c>
      <c r="N1251" s="107" t="str">
        <f>VLOOKUP($K1251,LUTs!$E$2:$H$14,4,)</f>
        <v>07Non Puget Sound</v>
      </c>
      <c r="O1251" s="107">
        <v>1433.4794988610499</v>
      </c>
      <c r="P1251" s="107">
        <v>1493.9185049359</v>
      </c>
      <c r="Q1251" s="107">
        <f t="shared" si="115"/>
        <v>1433.4794988610499</v>
      </c>
      <c r="R1251" s="107">
        <f t="shared" si="116"/>
        <v>1493.9185049359</v>
      </c>
      <c r="S1251" s="140" t="str">
        <f t="shared" si="117"/>
        <v>N</v>
      </c>
      <c r="T1251" s="154">
        <f t="shared" si="118"/>
        <v>1.0421624488685546</v>
      </c>
      <c r="U1251" s="154">
        <f t="shared" si="119"/>
        <v>1.0421624488685546</v>
      </c>
    </row>
    <row r="1252" spans="1:21" x14ac:dyDescent="0.35">
      <c r="A1252" s="107">
        <v>2484</v>
      </c>
      <c r="B1252" s="107">
        <v>2021</v>
      </c>
      <c r="C1252" s="107" t="s">
        <v>9</v>
      </c>
      <c r="D1252" s="107" t="s">
        <v>132</v>
      </c>
      <c r="E1252" s="107" t="s">
        <v>10</v>
      </c>
      <c r="F1252" s="115" t="s">
        <v>305</v>
      </c>
      <c r="G1252" s="107" t="s">
        <v>32</v>
      </c>
      <c r="H1252" s="107" t="str">
        <f t="shared" si="114"/>
        <v>Area 8-2: Port Susan-Port Gardner</v>
      </c>
      <c r="I1252" s="107" t="str">
        <f>IFERROR(VLOOKUP(H1252,LUTs!$A$1:$C$73,2,FALSE),"NA")</f>
        <v>NA</v>
      </c>
      <c r="J1252" s="107" t="str">
        <f>IFERROR(VLOOKUP(H1252,LUTs!$A$1:$C$73,3,FALSE),"NA")</f>
        <v>2Central Puget Sound</v>
      </c>
      <c r="K1252" s="107" t="s">
        <v>20</v>
      </c>
      <c r="L1252" s="107" t="str">
        <f>VLOOKUP(K1252,LUTs!E$2:G$14,3,)</f>
        <v>07Pierce</v>
      </c>
      <c r="M1252" s="107" t="str">
        <f>VLOOKUP($K1252,LUTs!$E$2:$H$14,2,)</f>
        <v>South Puget Sound</v>
      </c>
      <c r="N1252" s="107" t="str">
        <f>VLOOKUP($K1252,LUTs!$E$2:$H$14,4,)</f>
        <v>02South Puget Sound</v>
      </c>
      <c r="O1252" s="107">
        <v>267.44020501138999</v>
      </c>
      <c r="P1252" s="107">
        <v>278.71613898057802</v>
      </c>
      <c r="Q1252" s="107">
        <f t="shared" si="115"/>
        <v>267.44020501138999</v>
      </c>
      <c r="R1252" s="107">
        <f t="shared" si="116"/>
        <v>278.71613898057802</v>
      </c>
      <c r="S1252" s="140" t="str">
        <f t="shared" si="117"/>
        <v>N</v>
      </c>
      <c r="T1252" s="154">
        <f t="shared" si="118"/>
        <v>1.0421624488685528</v>
      </c>
      <c r="U1252" s="154">
        <f t="shared" si="119"/>
        <v>1.0421624488685528</v>
      </c>
    </row>
    <row r="1253" spans="1:21" x14ac:dyDescent="0.35">
      <c r="A1253" s="107">
        <v>2480</v>
      </c>
      <c r="B1253" s="107">
        <v>2021</v>
      </c>
      <c r="C1253" s="107" t="s">
        <v>9</v>
      </c>
      <c r="D1253" s="107" t="s">
        <v>132</v>
      </c>
      <c r="E1253" s="107" t="s">
        <v>10</v>
      </c>
      <c r="F1253" s="115" t="s">
        <v>305</v>
      </c>
      <c r="G1253" s="107" t="s">
        <v>32</v>
      </c>
      <c r="H1253" s="107" t="str">
        <f t="shared" si="114"/>
        <v>Area 8-2: Port Susan-Port Gardner</v>
      </c>
      <c r="I1253" s="107" t="str">
        <f>IFERROR(VLOOKUP(H1253,LUTs!$A$1:$C$73,2,FALSE),"NA")</f>
        <v>NA</v>
      </c>
      <c r="J1253" s="107" t="str">
        <f>IFERROR(VLOOKUP(H1253,LUTs!$A$1:$C$73,3,FALSE),"NA")</f>
        <v>2Central Puget Sound</v>
      </c>
      <c r="K1253" s="107" t="s">
        <v>15</v>
      </c>
      <c r="L1253" s="107" t="str">
        <f>VLOOKUP(K1253,LUTs!E$2:G$14,3,)</f>
        <v>02Skagit</v>
      </c>
      <c r="M1253" s="107" t="str">
        <f>VLOOKUP($K1253,LUTs!$E$2:$H$14,2,)</f>
        <v>North Puget Sound</v>
      </c>
      <c r="N1253" s="107" t="str">
        <f>VLOOKUP($K1253,LUTs!$E$2:$H$14,4,)</f>
        <v>01North Puget Sound</v>
      </c>
      <c r="O1253" s="107">
        <v>353.02107061503398</v>
      </c>
      <c r="P1253" s="107">
        <v>367.90530345436298</v>
      </c>
      <c r="Q1253" s="107">
        <f t="shared" si="115"/>
        <v>353.02107061503398</v>
      </c>
      <c r="R1253" s="107">
        <f t="shared" si="116"/>
        <v>367.90530345436298</v>
      </c>
      <c r="S1253" s="140" t="str">
        <f t="shared" si="117"/>
        <v>N</v>
      </c>
      <c r="T1253" s="154">
        <f t="shared" si="118"/>
        <v>1.0421624488685552</v>
      </c>
      <c r="U1253" s="154">
        <f t="shared" si="119"/>
        <v>1.0421624488685552</v>
      </c>
    </row>
    <row r="1254" spans="1:21" x14ac:dyDescent="0.35">
      <c r="A1254" s="107">
        <v>2481</v>
      </c>
      <c r="B1254" s="107">
        <v>2021</v>
      </c>
      <c r="C1254" s="107" t="s">
        <v>9</v>
      </c>
      <c r="D1254" s="107" t="s">
        <v>132</v>
      </c>
      <c r="E1254" s="107" t="s">
        <v>10</v>
      </c>
      <c r="F1254" s="115" t="s">
        <v>305</v>
      </c>
      <c r="G1254" s="107" t="s">
        <v>32</v>
      </c>
      <c r="H1254" s="107" t="str">
        <f t="shared" si="114"/>
        <v>Area 8-2: Port Susan-Port Gardner</v>
      </c>
      <c r="I1254" s="107" t="str">
        <f>IFERROR(VLOOKUP(H1254,LUTs!$A$1:$C$73,2,FALSE),"NA")</f>
        <v>NA</v>
      </c>
      <c r="J1254" s="107" t="str">
        <f>IFERROR(VLOOKUP(H1254,LUTs!$A$1:$C$73,3,FALSE),"NA")</f>
        <v>2Central Puget Sound</v>
      </c>
      <c r="K1254" s="107" t="s">
        <v>16</v>
      </c>
      <c r="L1254" s="107" t="str">
        <f>VLOOKUP(K1254,LUTs!E$2:G$14,3,)</f>
        <v>03Snohomish</v>
      </c>
      <c r="M1254" s="107" t="str">
        <f>VLOOKUP($K1254,LUTs!$E$2:$H$14,2,)</f>
        <v>North Puget Sound</v>
      </c>
      <c r="N1254" s="107" t="str">
        <f>VLOOKUP($K1254,LUTs!$E$2:$H$14,4,)</f>
        <v>01North Puget Sound</v>
      </c>
      <c r="O1254" s="107">
        <v>12430.6207289294</v>
      </c>
      <c r="P1254" s="107">
        <v>12954.7261398173</v>
      </c>
      <c r="Q1254" s="107">
        <f t="shared" si="115"/>
        <v>12430.6207289294</v>
      </c>
      <c r="R1254" s="107">
        <f t="shared" si="116"/>
        <v>12954.7261398173</v>
      </c>
      <c r="S1254" s="140" t="str">
        <f t="shared" si="117"/>
        <v>N</v>
      </c>
      <c r="T1254" s="154">
        <f t="shared" si="118"/>
        <v>1.0421624488685561</v>
      </c>
      <c r="U1254" s="154">
        <f t="shared" si="119"/>
        <v>1.0421624488685561</v>
      </c>
    </row>
    <row r="1255" spans="1:21" x14ac:dyDescent="0.35">
      <c r="A1255" s="107">
        <v>2542</v>
      </c>
      <c r="B1255" s="107">
        <v>2021</v>
      </c>
      <c r="C1255" s="107" t="s">
        <v>9</v>
      </c>
      <c r="D1255" s="107" t="s">
        <v>132</v>
      </c>
      <c r="E1255" s="107" t="s">
        <v>10</v>
      </c>
      <c r="F1255" s="115" t="s">
        <v>305</v>
      </c>
      <c r="G1255" s="107" t="s">
        <v>32</v>
      </c>
      <c r="H1255" s="107" t="str">
        <f t="shared" si="114"/>
        <v>Area 8-2: Port Susan-Port Gardner</v>
      </c>
      <c r="I1255" s="107" t="str">
        <f>IFERROR(VLOOKUP(H1255,LUTs!$A$1:$C$73,2,FALSE),"NA")</f>
        <v>NA</v>
      </c>
      <c r="J1255" s="107" t="str">
        <f>IFERROR(VLOOKUP(H1255,LUTs!$A$1:$C$73,3,FALSE),"NA")</f>
        <v>2Central Puget Sound</v>
      </c>
      <c r="K1255" s="107" t="s">
        <v>21</v>
      </c>
      <c r="L1255" s="107" t="str">
        <f>VLOOKUP(K1255,LUTs!E$2:G$14,3,)</f>
        <v>08Thurston</v>
      </c>
      <c r="M1255" s="107" t="str">
        <f>VLOOKUP($K1255,LUTs!$E$2:$H$14,2,)</f>
        <v>South Puget Sound</v>
      </c>
      <c r="N1255" s="107" t="str">
        <f>VLOOKUP($K1255,LUTs!$E$2:$H$14,4,)</f>
        <v>02South Puget Sound</v>
      </c>
      <c r="O1255" s="107">
        <v>149.76651480637801</v>
      </c>
      <c r="P1255" s="107">
        <v>156.081037829124</v>
      </c>
      <c r="Q1255" s="107">
        <f t="shared" si="115"/>
        <v>149.76651480637801</v>
      </c>
      <c r="R1255" s="107">
        <f t="shared" si="116"/>
        <v>156.081037829124</v>
      </c>
      <c r="S1255" s="140" t="str">
        <f t="shared" si="117"/>
        <v>N</v>
      </c>
      <c r="T1255" s="154">
        <f t="shared" si="118"/>
        <v>1.0421624488685577</v>
      </c>
      <c r="U1255" s="154">
        <f t="shared" si="119"/>
        <v>1.0421624488685577</v>
      </c>
    </row>
    <row r="1256" spans="1:21" x14ac:dyDescent="0.35">
      <c r="A1256" s="107">
        <v>2479</v>
      </c>
      <c r="B1256" s="107">
        <v>2021</v>
      </c>
      <c r="C1256" s="107" t="s">
        <v>9</v>
      </c>
      <c r="D1256" s="107" t="s">
        <v>132</v>
      </c>
      <c r="E1256" s="107" t="s">
        <v>10</v>
      </c>
      <c r="F1256" s="115" t="s">
        <v>305</v>
      </c>
      <c r="G1256" s="107" t="s">
        <v>32</v>
      </c>
      <c r="H1256" s="107" t="str">
        <f t="shared" si="114"/>
        <v>Area 8-2: Port Susan-Port Gardner</v>
      </c>
      <c r="I1256" s="107" t="str">
        <f>IFERROR(VLOOKUP(H1256,LUTs!$A$1:$C$73,2,FALSE),"NA")</f>
        <v>NA</v>
      </c>
      <c r="J1256" s="107" t="str">
        <f>IFERROR(VLOOKUP(H1256,LUTs!$A$1:$C$73,3,FALSE),"NA")</f>
        <v>2Central Puget Sound</v>
      </c>
      <c r="K1256" s="107" t="s">
        <v>13</v>
      </c>
      <c r="L1256" s="107" t="str">
        <f>VLOOKUP(K1256,LUTs!E$2:G$14,3,)</f>
        <v>01Whatcom</v>
      </c>
      <c r="M1256" s="107" t="str">
        <f>VLOOKUP($K1256,LUTs!$E$2:$H$14,2,)</f>
        <v>North Puget Sound</v>
      </c>
      <c r="N1256" s="107" t="str">
        <f>VLOOKUP($K1256,LUTs!$E$2:$H$14,4,)</f>
        <v>01North Puget Sound</v>
      </c>
      <c r="O1256" s="107">
        <v>353.02107061503398</v>
      </c>
      <c r="P1256" s="107">
        <v>367.90530345436298</v>
      </c>
      <c r="Q1256" s="107">
        <f t="shared" si="115"/>
        <v>353.02107061503398</v>
      </c>
      <c r="R1256" s="107">
        <f t="shared" si="116"/>
        <v>367.90530345436298</v>
      </c>
      <c r="S1256" s="140" t="str">
        <f t="shared" si="117"/>
        <v>N</v>
      </c>
      <c r="T1256" s="154">
        <f t="shared" si="118"/>
        <v>1.0421624488685552</v>
      </c>
      <c r="U1256" s="154">
        <f t="shared" si="119"/>
        <v>1.0421624488685552</v>
      </c>
    </row>
    <row r="1257" spans="1:21" x14ac:dyDescent="0.35">
      <c r="A1257" s="108">
        <v>1247</v>
      </c>
      <c r="B1257" s="108">
        <v>2012</v>
      </c>
      <c r="C1257" s="108" t="s">
        <v>38</v>
      </c>
      <c r="D1257" s="108" t="s">
        <v>143</v>
      </c>
      <c r="E1257" s="108" t="s">
        <v>10</v>
      </c>
      <c r="F1257" s="116">
        <v>8</v>
      </c>
      <c r="G1257" s="108" t="s">
        <v>73</v>
      </c>
      <c r="H1257" s="108" t="str">
        <f t="shared" si="114"/>
        <v>Unknown</v>
      </c>
      <c r="I1257" s="108" t="str">
        <f>IFERROR(VLOOKUP(H1257,LUTs!$A$1:$C$73,2,FALSE),"NA")</f>
        <v>NA</v>
      </c>
      <c r="J1257" s="108" t="str">
        <f>IFERROR(VLOOKUP(H1257,LUTs!$A$1:$C$73,3,FALSE),"NA")</f>
        <v>NA</v>
      </c>
      <c r="K1257" s="108" t="s">
        <v>15</v>
      </c>
      <c r="L1257" s="108" t="str">
        <f>VLOOKUP(K1257,LUTs!E$2:G$14,3,)</f>
        <v>02Skagit</v>
      </c>
      <c r="M1257" s="108" t="str">
        <f>VLOOKUP($K1257,LUTs!$E$2:$H$14,2,)</f>
        <v>North Puget Sound</v>
      </c>
      <c r="N1257" s="108" t="str">
        <f>VLOOKUP($K1257,LUTs!$E$2:$H$14,4,)</f>
        <v>01North Puget Sound</v>
      </c>
      <c r="O1257" s="108">
        <v>1</v>
      </c>
      <c r="P1257" s="108">
        <v>8.65</v>
      </c>
      <c r="Q1257" s="108">
        <f>SUMIFS('FW_Salmon_by_Month_2010-2021'!P$2:P$3810,'FW_Salmon_by_Month_2010-2021'!$B$2:$B$3810,'Rec_raw_catch_effort_2010-2021'!$B1257,'FW_Salmon_by_Month_2010-2021'!$H$2:$H$3810,'Rec_raw_catch_effort_2010-2021'!$F1257,'FW_Salmon_by_Month_2010-2021'!$M$2:$M$3810,'Rec_raw_catch_effort_2010-2021'!$K1257)</f>
        <v>0</v>
      </c>
      <c r="R1257" s="109">
        <f>VLOOKUP(B1257,Readme!$A$62:$C$74,2,)*Q1257</f>
        <v>0</v>
      </c>
      <c r="S1257" s="140" t="str">
        <f t="shared" si="117"/>
        <v>Y</v>
      </c>
      <c r="T1257" s="154">
        <f t="shared" si="118"/>
        <v>8.65</v>
      </c>
      <c r="U1257" s="154" t="str">
        <f t="shared" si="119"/>
        <v>NA</v>
      </c>
    </row>
    <row r="1258" spans="1:21" x14ac:dyDescent="0.35">
      <c r="A1258" s="108">
        <v>1248</v>
      </c>
      <c r="B1258" s="108">
        <v>2013</v>
      </c>
      <c r="C1258" s="108" t="s">
        <v>38</v>
      </c>
      <c r="D1258" s="108" t="s">
        <v>143</v>
      </c>
      <c r="E1258" s="108" t="s">
        <v>10</v>
      </c>
      <c r="F1258" s="116">
        <v>8</v>
      </c>
      <c r="G1258" s="108" t="s">
        <v>73</v>
      </c>
      <c r="H1258" s="108" t="str">
        <f t="shared" si="114"/>
        <v>Unknown</v>
      </c>
      <c r="I1258" s="108" t="str">
        <f>IFERROR(VLOOKUP(H1258,LUTs!$A$1:$C$73,2,FALSE),"NA")</f>
        <v>NA</v>
      </c>
      <c r="J1258" s="108" t="str">
        <f>IFERROR(VLOOKUP(H1258,LUTs!$A$1:$C$73,3,FALSE),"NA")</f>
        <v>NA</v>
      </c>
      <c r="K1258" s="108" t="s">
        <v>26</v>
      </c>
      <c r="L1258" s="108" t="str">
        <f>VLOOKUP(K1258,LUTs!E$2:G$14,3,)</f>
        <v>20Other</v>
      </c>
      <c r="M1258" s="108" t="str">
        <f>VLOOKUP($K1258,LUTs!$E$2:$H$14,2,)</f>
        <v>Non Puget Sound</v>
      </c>
      <c r="N1258" s="108" t="str">
        <f>VLOOKUP($K1258,LUTs!$E$2:$H$14,4,)</f>
        <v>07Non Puget Sound</v>
      </c>
      <c r="O1258" s="108">
        <v>0</v>
      </c>
      <c r="P1258" s="108">
        <v>0</v>
      </c>
      <c r="Q1258" s="108">
        <f>SUMIFS('FW_Salmon_by_Month_2010-2021'!P$2:P$3810,'FW_Salmon_by_Month_2010-2021'!$B$2:$B$3810,'Rec_raw_catch_effort_2010-2021'!$B1258,'FW_Salmon_by_Month_2010-2021'!$H$2:$H$3810,'Rec_raw_catch_effort_2010-2021'!$F1258,'FW_Salmon_by_Month_2010-2021'!$M$2:$M$3810,'Rec_raw_catch_effort_2010-2021'!$K1258)</f>
        <v>0</v>
      </c>
      <c r="R1258" s="109">
        <f>VLOOKUP(B1258,Readme!$A$62:$C$74,2,)*Q1258</f>
        <v>0</v>
      </c>
      <c r="S1258" s="140" t="str">
        <f t="shared" si="117"/>
        <v>Y</v>
      </c>
      <c r="T1258" s="154" t="str">
        <f t="shared" si="118"/>
        <v>NA</v>
      </c>
      <c r="U1258" s="154" t="str">
        <f t="shared" si="119"/>
        <v>NA</v>
      </c>
    </row>
    <row r="1259" spans="1:21" x14ac:dyDescent="0.35">
      <c r="A1259" s="108">
        <v>271</v>
      </c>
      <c r="B1259" s="108">
        <v>2013</v>
      </c>
      <c r="C1259" s="108" t="s">
        <v>38</v>
      </c>
      <c r="D1259" s="108" t="s">
        <v>143</v>
      </c>
      <c r="E1259" s="108" t="s">
        <v>10</v>
      </c>
      <c r="F1259" s="116">
        <v>706</v>
      </c>
      <c r="G1259" s="108" t="s">
        <v>75</v>
      </c>
      <c r="H1259" s="108" t="str">
        <f t="shared" si="114"/>
        <v>Black River (Thurston Co)</v>
      </c>
      <c r="I1259" s="108" t="str">
        <f>IFERROR(VLOOKUP(H1259,LUTs!$A$1:$C$73,2,FALSE),"NA")</f>
        <v>Thurston</v>
      </c>
      <c r="J1259" s="108" t="str">
        <f>IFERROR(VLOOKUP(H1259,LUTs!$A$1:$C$73,3,FALSE),"NA")</f>
        <v>3South Puget Sound</v>
      </c>
      <c r="K1259" s="108" t="s">
        <v>26</v>
      </c>
      <c r="L1259" s="108" t="str">
        <f>VLOOKUP(K1259,LUTs!E$2:G$14,3,)</f>
        <v>20Other</v>
      </c>
      <c r="M1259" s="108" t="str">
        <f>VLOOKUP($K1259,LUTs!$E$2:$H$14,2,)</f>
        <v>Non Puget Sound</v>
      </c>
      <c r="N1259" s="108" t="str">
        <f>VLOOKUP($K1259,LUTs!$E$2:$H$14,4,)</f>
        <v>07Non Puget Sound</v>
      </c>
      <c r="O1259" s="108">
        <v>15</v>
      </c>
      <c r="P1259" s="108">
        <v>51.6</v>
      </c>
      <c r="Q1259" s="108">
        <f>SUMIFS('FW_Salmon_by_Month_2010-2021'!P$2:P$3810,'FW_Salmon_by_Month_2010-2021'!$B$2:$B$3810,'Rec_raw_catch_effort_2010-2021'!$B1259,'FW_Salmon_by_Month_2010-2021'!$H$2:$H$3810,'Rec_raw_catch_effort_2010-2021'!$F1259,'FW_Salmon_by_Month_2010-2021'!$M$2:$M$3810,'Rec_raw_catch_effort_2010-2021'!$K1259)</f>
        <v>15</v>
      </c>
      <c r="R1259" s="109">
        <f>VLOOKUP(B1259,Readme!$A$62:$C$74,2,)*Q1259</f>
        <v>53.085606596736227</v>
      </c>
      <c r="S1259" s="140" t="str">
        <f t="shared" si="117"/>
        <v>Y</v>
      </c>
      <c r="T1259" s="154">
        <f t="shared" si="118"/>
        <v>3.44</v>
      </c>
      <c r="U1259" s="154">
        <f t="shared" si="119"/>
        <v>3.5390404397824153</v>
      </c>
    </row>
    <row r="1260" spans="1:21" x14ac:dyDescent="0.35">
      <c r="A1260" s="108">
        <v>272</v>
      </c>
      <c r="B1260" s="108">
        <v>2015</v>
      </c>
      <c r="C1260" s="108" t="s">
        <v>38</v>
      </c>
      <c r="D1260" s="108" t="s">
        <v>143</v>
      </c>
      <c r="E1260" s="108" t="s">
        <v>10</v>
      </c>
      <c r="F1260" s="116">
        <v>706</v>
      </c>
      <c r="G1260" s="108" t="s">
        <v>75</v>
      </c>
      <c r="H1260" s="108" t="str">
        <f t="shared" si="114"/>
        <v>Black River (Thurston Co)</v>
      </c>
      <c r="I1260" s="108" t="str">
        <f>IFERROR(VLOOKUP(H1260,LUTs!$A$1:$C$73,2,FALSE),"NA")</f>
        <v>Thurston</v>
      </c>
      <c r="J1260" s="108" t="str">
        <f>IFERROR(VLOOKUP(H1260,LUTs!$A$1:$C$73,3,FALSE),"NA")</f>
        <v>3South Puget Sound</v>
      </c>
      <c r="K1260" s="108" t="s">
        <v>26</v>
      </c>
      <c r="L1260" s="108" t="str">
        <f>VLOOKUP(K1260,LUTs!E$2:G$14,3,)</f>
        <v>20Other</v>
      </c>
      <c r="M1260" s="108" t="str">
        <f>VLOOKUP($K1260,LUTs!$E$2:$H$14,2,)</f>
        <v>Non Puget Sound</v>
      </c>
      <c r="N1260" s="108" t="str">
        <f>VLOOKUP($K1260,LUTs!$E$2:$H$14,4,)</f>
        <v>07Non Puget Sound</v>
      </c>
      <c r="O1260" s="108">
        <v>9</v>
      </c>
      <c r="P1260" s="108">
        <v>30.96</v>
      </c>
      <c r="Q1260" s="108">
        <f>SUMIFS('FW_Salmon_by_Month_2010-2021'!P$2:P$3810,'FW_Salmon_by_Month_2010-2021'!$B$2:$B$3810,'Rec_raw_catch_effort_2010-2021'!$B1260,'FW_Salmon_by_Month_2010-2021'!$H$2:$H$3810,'Rec_raw_catch_effort_2010-2021'!$F1260,'FW_Salmon_by_Month_2010-2021'!$M$2:$M$3810,'Rec_raw_catch_effort_2010-2021'!$K1260)</f>
        <v>9</v>
      </c>
      <c r="R1260" s="109">
        <f>VLOOKUP(B1260,Readme!$A$62:$C$74,2,)*Q1260</f>
        <v>31.851363958041738</v>
      </c>
      <c r="S1260" s="140" t="str">
        <f t="shared" si="117"/>
        <v>Y</v>
      </c>
      <c r="T1260" s="154">
        <f t="shared" si="118"/>
        <v>3.44</v>
      </c>
      <c r="U1260" s="154">
        <f t="shared" si="119"/>
        <v>3.5390404397824153</v>
      </c>
    </row>
    <row r="1261" spans="1:21" x14ac:dyDescent="0.35">
      <c r="A1261" s="108">
        <v>276</v>
      </c>
      <c r="B1261" s="108">
        <v>2019</v>
      </c>
      <c r="C1261" s="108" t="s">
        <v>38</v>
      </c>
      <c r="D1261" s="108" t="s">
        <v>143</v>
      </c>
      <c r="E1261" s="108" t="s">
        <v>10</v>
      </c>
      <c r="F1261" s="116">
        <v>706</v>
      </c>
      <c r="G1261" s="108" t="s">
        <v>75</v>
      </c>
      <c r="H1261" s="108" t="str">
        <f t="shared" si="114"/>
        <v>Black River (Thurston Co)</v>
      </c>
      <c r="I1261" s="108" t="str">
        <f>IFERROR(VLOOKUP(H1261,LUTs!$A$1:$C$73,2,FALSE),"NA")</f>
        <v>Thurston</v>
      </c>
      <c r="J1261" s="108" t="str">
        <f>IFERROR(VLOOKUP(H1261,LUTs!$A$1:$C$73,3,FALSE),"NA")</f>
        <v>3South Puget Sound</v>
      </c>
      <c r="K1261" s="108" t="s">
        <v>18</v>
      </c>
      <c r="L1261" s="108" t="str">
        <f>VLOOKUP(K1261,LUTs!E$2:G$14,3,)</f>
        <v>06King</v>
      </c>
      <c r="M1261" s="108" t="str">
        <f>VLOOKUP($K1261,LUTs!$E$2:$H$14,2,)</f>
        <v>South Puget Sound</v>
      </c>
      <c r="N1261" s="108" t="str">
        <f>VLOOKUP($K1261,LUTs!$E$2:$H$14,4,)</f>
        <v>02South Puget Sound</v>
      </c>
      <c r="O1261" s="108">
        <v>22</v>
      </c>
      <c r="P1261" s="108">
        <v>75.680000000000007</v>
      </c>
      <c r="Q1261" s="108">
        <f>SUMIFS('FW_Salmon_by_Month_2010-2021'!P$2:P$3810,'FW_Salmon_by_Month_2010-2021'!$B$2:$B$3810,'Rec_raw_catch_effort_2010-2021'!$B1261,'FW_Salmon_by_Month_2010-2021'!$H$2:$H$3810,'Rec_raw_catch_effort_2010-2021'!$F1261,'FW_Salmon_by_Month_2010-2021'!$M$2:$M$3810,'Rec_raw_catch_effort_2010-2021'!$K1261)</f>
        <v>22</v>
      </c>
      <c r="R1261" s="109">
        <f>VLOOKUP(B1261,Readme!$A$62:$C$74,2,)*Q1261</f>
        <v>77.858889675213135</v>
      </c>
      <c r="S1261" s="140" t="str">
        <f t="shared" si="117"/>
        <v>Y</v>
      </c>
      <c r="T1261" s="154">
        <f t="shared" si="118"/>
        <v>3.4400000000000004</v>
      </c>
      <c r="U1261" s="154">
        <f t="shared" si="119"/>
        <v>3.5390404397824153</v>
      </c>
    </row>
    <row r="1262" spans="1:21" x14ac:dyDescent="0.35">
      <c r="A1262" s="108">
        <v>3104</v>
      </c>
      <c r="B1262" s="108">
        <v>2019</v>
      </c>
      <c r="C1262" s="108" t="s">
        <v>38</v>
      </c>
      <c r="D1262" s="108" t="s">
        <v>143</v>
      </c>
      <c r="E1262" s="108" t="s">
        <v>10</v>
      </c>
      <c r="F1262" s="116">
        <v>710</v>
      </c>
      <c r="G1262" s="108" t="s">
        <v>78</v>
      </c>
      <c r="H1262" s="108" t="str">
        <f t="shared" si="114"/>
        <v>California Creek</v>
      </c>
      <c r="I1262" s="108" t="str">
        <f>IFERROR(VLOOKUP(H1262,LUTs!$A$1:$C$73,2,FALSE),"NA")</f>
        <v>Whatcom</v>
      </c>
      <c r="J1262" s="108" t="str">
        <f>IFERROR(VLOOKUP(H1262,LUTs!$A$1:$C$73,3,FALSE),"NA")</f>
        <v>1North Puget Sound</v>
      </c>
      <c r="K1262" s="108" t="s">
        <v>13</v>
      </c>
      <c r="L1262" s="108" t="str">
        <f>VLOOKUP(K1262,LUTs!E$2:G$14,3,)</f>
        <v>01Whatcom</v>
      </c>
      <c r="M1262" s="108" t="str">
        <f>VLOOKUP($K1262,LUTs!$E$2:$H$14,2,)</f>
        <v>North Puget Sound</v>
      </c>
      <c r="N1262" s="108" t="str">
        <f>VLOOKUP($K1262,LUTs!$E$2:$H$14,4,)</f>
        <v>01North Puget Sound</v>
      </c>
      <c r="O1262" s="108">
        <v>11</v>
      </c>
      <c r="P1262" s="108">
        <v>37.840000000000003</v>
      </c>
      <c r="Q1262" s="108">
        <f>SUMIFS('FW_Salmon_by_Month_2010-2021'!P$2:P$3810,'FW_Salmon_by_Month_2010-2021'!$B$2:$B$3810,'Rec_raw_catch_effort_2010-2021'!$B1262,'FW_Salmon_by_Month_2010-2021'!$H$2:$H$3810,'Rec_raw_catch_effort_2010-2021'!$F1262,'FW_Salmon_by_Month_2010-2021'!$M$2:$M$3810,'Rec_raw_catch_effort_2010-2021'!$K1262)</f>
        <v>11</v>
      </c>
      <c r="R1262" s="109">
        <f>VLOOKUP(B1262,Readme!$A$62:$C$74,2,)*Q1262</f>
        <v>38.929444837606567</v>
      </c>
      <c r="S1262" s="140" t="str">
        <f t="shared" si="117"/>
        <v>Y</v>
      </c>
      <c r="T1262" s="154">
        <f t="shared" si="118"/>
        <v>3.4400000000000004</v>
      </c>
      <c r="U1262" s="154">
        <f t="shared" si="119"/>
        <v>3.5390404397824153</v>
      </c>
    </row>
    <row r="1263" spans="1:21" x14ac:dyDescent="0.35">
      <c r="A1263" s="108">
        <v>969</v>
      </c>
      <c r="B1263" s="108">
        <v>2010</v>
      </c>
      <c r="C1263" s="108" t="s">
        <v>38</v>
      </c>
      <c r="D1263" s="108" t="s">
        <v>143</v>
      </c>
      <c r="E1263" s="108" t="s">
        <v>10</v>
      </c>
      <c r="F1263" s="116">
        <v>714</v>
      </c>
      <c r="G1263" s="108" t="s">
        <v>39</v>
      </c>
      <c r="H1263" s="108" t="str">
        <f t="shared" si="114"/>
        <v>Chambers Creek</v>
      </c>
      <c r="I1263" s="108" t="str">
        <f>IFERROR(VLOOKUP(H1263,LUTs!$A$1:$C$73,2,FALSE),"NA")</f>
        <v>Pierce</v>
      </c>
      <c r="J1263" s="108" t="str">
        <f>IFERROR(VLOOKUP(H1263,LUTs!$A$1:$C$73,3,FALSE),"NA")</f>
        <v>3South Puget Sound</v>
      </c>
      <c r="K1263" s="108" t="s">
        <v>23</v>
      </c>
      <c r="L1263" s="108" t="str">
        <f>VLOOKUP(K1263,LUTs!E$2:G$14,3,)</f>
        <v>10Kitsap</v>
      </c>
      <c r="M1263" s="108" t="str">
        <f>VLOOKUP($K1263,LUTs!$E$2:$H$14,2,)</f>
        <v>South Puget Sound</v>
      </c>
      <c r="N1263" s="108" t="str">
        <f>VLOOKUP($K1263,LUTs!$E$2:$H$14,4,)</f>
        <v>02South Puget Sound</v>
      </c>
      <c r="O1263" s="108">
        <v>13.7272727272727</v>
      </c>
      <c r="P1263" s="108">
        <v>118.740909090909</v>
      </c>
      <c r="Q1263" s="108">
        <f>SUMIFS('FW_Salmon_by_Month_2010-2021'!P$2:P$3810,'FW_Salmon_by_Month_2010-2021'!$B$2:$B$3810,'Rec_raw_catch_effort_2010-2021'!$B1263,'FW_Salmon_by_Month_2010-2021'!$H$2:$H$3810,'Rec_raw_catch_effort_2010-2021'!$F1263,'FW_Salmon_by_Month_2010-2021'!$M$2:$M$3810,'Rec_raw_catch_effort_2010-2021'!$K1263)</f>
        <v>13.681318681318681</v>
      </c>
      <c r="R1263" s="109">
        <f>VLOOKUP(B1263,Readme!$A$62:$C$74,2,)*Q1263</f>
        <v>65.937866545285104</v>
      </c>
      <c r="S1263" s="140" t="str">
        <f t="shared" si="117"/>
        <v>Y</v>
      </c>
      <c r="T1263" s="154">
        <f t="shared" si="118"/>
        <v>8.650000000000011</v>
      </c>
      <c r="U1263" s="154">
        <f t="shared" si="119"/>
        <v>4.8195549041132084</v>
      </c>
    </row>
    <row r="1264" spans="1:21" x14ac:dyDescent="0.35">
      <c r="A1264" s="108">
        <v>967</v>
      </c>
      <c r="B1264" s="108">
        <v>2010</v>
      </c>
      <c r="C1264" s="108" t="s">
        <v>38</v>
      </c>
      <c r="D1264" s="108" t="s">
        <v>143</v>
      </c>
      <c r="E1264" s="108" t="s">
        <v>10</v>
      </c>
      <c r="F1264" s="116">
        <v>714</v>
      </c>
      <c r="G1264" s="108" t="s">
        <v>39</v>
      </c>
      <c r="H1264" s="108" t="str">
        <f t="shared" si="114"/>
        <v>Chambers Creek</v>
      </c>
      <c r="I1264" s="108" t="str">
        <f>IFERROR(VLOOKUP(H1264,LUTs!$A$1:$C$73,2,FALSE),"NA")</f>
        <v>Pierce</v>
      </c>
      <c r="J1264" s="108" t="str">
        <f>IFERROR(VLOOKUP(H1264,LUTs!$A$1:$C$73,3,FALSE),"NA")</f>
        <v>3South Puget Sound</v>
      </c>
      <c r="K1264" s="108" t="s">
        <v>20</v>
      </c>
      <c r="L1264" s="108" t="str">
        <f>VLOOKUP(K1264,LUTs!E$2:G$14,3,)</f>
        <v>07Pierce</v>
      </c>
      <c r="M1264" s="108" t="str">
        <f>VLOOKUP($K1264,LUTs!$E$2:$H$14,2,)</f>
        <v>South Puget Sound</v>
      </c>
      <c r="N1264" s="108" t="str">
        <f>VLOOKUP($K1264,LUTs!$E$2:$H$14,4,)</f>
        <v>02South Puget Sound</v>
      </c>
      <c r="O1264" s="108">
        <v>132.69696969697</v>
      </c>
      <c r="P1264" s="108">
        <v>1147.8287878787901</v>
      </c>
      <c r="Q1264" s="108">
        <f>SUMIFS('FW_Salmon_by_Month_2010-2021'!P$2:P$3810,'FW_Salmon_by_Month_2010-2021'!$B$2:$B$3810,'Rec_raw_catch_effort_2010-2021'!$B1264,'FW_Salmon_by_Month_2010-2021'!$H$2:$H$3810,'Rec_raw_catch_effort_2010-2021'!$F1264,'FW_Salmon_by_Month_2010-2021'!$M$2:$M$3810,'Rec_raw_catch_effort_2010-2021'!$K1264)</f>
        <v>132.74725274725279</v>
      </c>
      <c r="R1264" s="109">
        <f>VLOOKUP(B1264,Readme!$A$62:$C$74,2,)*Q1264</f>
        <v>639.78267298557773</v>
      </c>
      <c r="S1264" s="140" t="str">
        <f t="shared" si="117"/>
        <v>Y</v>
      </c>
      <c r="T1264" s="154">
        <f t="shared" si="118"/>
        <v>8.6499999999999968</v>
      </c>
      <c r="U1264" s="154">
        <f t="shared" si="119"/>
        <v>4.8195549041132084</v>
      </c>
    </row>
    <row r="1265" spans="1:21" x14ac:dyDescent="0.35">
      <c r="A1265" s="108">
        <v>968</v>
      </c>
      <c r="B1265" s="108">
        <v>2010</v>
      </c>
      <c r="C1265" s="108" t="s">
        <v>38</v>
      </c>
      <c r="D1265" s="108" t="s">
        <v>143</v>
      </c>
      <c r="E1265" s="108" t="s">
        <v>10</v>
      </c>
      <c r="F1265" s="116">
        <v>714</v>
      </c>
      <c r="G1265" s="108" t="s">
        <v>39</v>
      </c>
      <c r="H1265" s="108" t="str">
        <f t="shared" si="114"/>
        <v>Chambers Creek</v>
      </c>
      <c r="I1265" s="108" t="str">
        <f>IFERROR(VLOOKUP(H1265,LUTs!$A$1:$C$73,2,FALSE),"NA")</f>
        <v>Pierce</v>
      </c>
      <c r="J1265" s="108" t="str">
        <f>IFERROR(VLOOKUP(H1265,LUTs!$A$1:$C$73,3,FALSE),"NA")</f>
        <v>3South Puget Sound</v>
      </c>
      <c r="K1265" s="108" t="s">
        <v>21</v>
      </c>
      <c r="L1265" s="108" t="str">
        <f>VLOOKUP(K1265,LUTs!E$2:G$14,3,)</f>
        <v>08Thurston</v>
      </c>
      <c r="M1265" s="108" t="str">
        <f>VLOOKUP($K1265,LUTs!$E$2:$H$14,2,)</f>
        <v>South Puget Sound</v>
      </c>
      <c r="N1265" s="108" t="str">
        <f>VLOOKUP($K1265,LUTs!$E$2:$H$14,4,)</f>
        <v>02South Puget Sound</v>
      </c>
      <c r="O1265" s="108">
        <v>4.5757575757575797</v>
      </c>
      <c r="P1265" s="108">
        <v>39.580303030303099</v>
      </c>
      <c r="Q1265" s="108">
        <f>SUMIFS('FW_Salmon_by_Month_2010-2021'!P$2:P$3810,'FW_Salmon_by_Month_2010-2021'!$B$2:$B$3810,'Rec_raw_catch_effort_2010-2021'!$B1265,'FW_Salmon_by_Month_2010-2021'!$H$2:$H$3810,'Rec_raw_catch_effort_2010-2021'!$F1265,'FW_Salmon_by_Month_2010-2021'!$M$2:$M$3810,'Rec_raw_catch_effort_2010-2021'!$K1265)</f>
        <v>4.5714285714285703</v>
      </c>
      <c r="R1265" s="109">
        <f>VLOOKUP(B1265,Readme!$A$62:$C$74,2,)*Q1265</f>
        <v>22.032250990231805</v>
      </c>
      <c r="S1265" s="140" t="str">
        <f t="shared" si="117"/>
        <v>Y</v>
      </c>
      <c r="T1265" s="154">
        <f t="shared" si="118"/>
        <v>8.6500000000000075</v>
      </c>
      <c r="U1265" s="154">
        <f t="shared" si="119"/>
        <v>4.8195549041132084</v>
      </c>
    </row>
    <row r="1266" spans="1:21" x14ac:dyDescent="0.35">
      <c r="A1266" s="108">
        <v>978</v>
      </c>
      <c r="B1266" s="108">
        <v>2011</v>
      </c>
      <c r="C1266" s="108" t="s">
        <v>38</v>
      </c>
      <c r="D1266" s="108" t="s">
        <v>143</v>
      </c>
      <c r="E1266" s="108" t="s">
        <v>10</v>
      </c>
      <c r="F1266" s="116">
        <v>714</v>
      </c>
      <c r="G1266" s="108" t="s">
        <v>39</v>
      </c>
      <c r="H1266" s="108" t="str">
        <f t="shared" si="114"/>
        <v>Chambers Creek</v>
      </c>
      <c r="I1266" s="108" t="str">
        <f>IFERROR(VLOOKUP(H1266,LUTs!$A$1:$C$73,2,FALSE),"NA")</f>
        <v>Pierce</v>
      </c>
      <c r="J1266" s="108" t="str">
        <f>IFERROR(VLOOKUP(H1266,LUTs!$A$1:$C$73,3,FALSE),"NA")</f>
        <v>3South Puget Sound</v>
      </c>
      <c r="K1266" s="108" t="s">
        <v>20</v>
      </c>
      <c r="L1266" s="108" t="str">
        <f>VLOOKUP(K1266,LUTs!E$2:G$14,3,)</f>
        <v>07Pierce</v>
      </c>
      <c r="M1266" s="108" t="str">
        <f>VLOOKUP($K1266,LUTs!$E$2:$H$14,2,)</f>
        <v>South Puget Sound</v>
      </c>
      <c r="N1266" s="108" t="str">
        <f>VLOOKUP($K1266,LUTs!$E$2:$H$14,4,)</f>
        <v>02South Puget Sound</v>
      </c>
      <c r="O1266" s="108">
        <v>8.8571428571428594</v>
      </c>
      <c r="P1266" s="108">
        <v>30.468571428571401</v>
      </c>
      <c r="Q1266" s="108">
        <f>SUMIFS('FW_Salmon_by_Month_2010-2021'!P$2:P$3810,'FW_Salmon_by_Month_2010-2021'!$B$2:$B$3810,'Rec_raw_catch_effort_2010-2021'!$B1266,'FW_Salmon_by_Month_2010-2021'!$H$2:$H$3810,'Rec_raw_catch_effort_2010-2021'!$F1266,'FW_Salmon_by_Month_2010-2021'!$M$2:$M$3810,'Rec_raw_catch_effort_2010-2021'!$K1266)</f>
        <v>8.8333333333333304</v>
      </c>
      <c r="R1266" s="109">
        <f>VLOOKUP(B1266,Readme!$A$62:$C$74,2,)*Q1266</f>
        <v>31.261523884744658</v>
      </c>
      <c r="S1266" s="140" t="str">
        <f t="shared" si="117"/>
        <v>Y</v>
      </c>
      <c r="T1266" s="154">
        <f t="shared" si="118"/>
        <v>3.4399999999999959</v>
      </c>
      <c r="U1266" s="154">
        <f t="shared" si="119"/>
        <v>3.5390404397824153</v>
      </c>
    </row>
    <row r="1267" spans="1:21" x14ac:dyDescent="0.35">
      <c r="A1267" s="108">
        <v>979</v>
      </c>
      <c r="B1267" s="108">
        <v>2011</v>
      </c>
      <c r="C1267" s="108" t="s">
        <v>38</v>
      </c>
      <c r="D1267" s="108" t="s">
        <v>143</v>
      </c>
      <c r="E1267" s="108" t="s">
        <v>10</v>
      </c>
      <c r="F1267" s="116">
        <v>714</v>
      </c>
      <c r="G1267" s="108" t="s">
        <v>39</v>
      </c>
      <c r="H1267" s="108" t="str">
        <f t="shared" si="114"/>
        <v>Chambers Creek</v>
      </c>
      <c r="I1267" s="108" t="str">
        <f>IFERROR(VLOOKUP(H1267,LUTs!$A$1:$C$73,2,FALSE),"NA")</f>
        <v>Pierce</v>
      </c>
      <c r="J1267" s="108" t="str">
        <f>IFERROR(VLOOKUP(H1267,LUTs!$A$1:$C$73,3,FALSE),"NA")</f>
        <v>3South Puget Sound</v>
      </c>
      <c r="K1267" s="108" t="s">
        <v>21</v>
      </c>
      <c r="L1267" s="108" t="str">
        <f>VLOOKUP(K1267,LUTs!E$2:G$14,3,)</f>
        <v>08Thurston</v>
      </c>
      <c r="M1267" s="108" t="str">
        <f>VLOOKUP($K1267,LUTs!$E$2:$H$14,2,)</f>
        <v>South Puget Sound</v>
      </c>
      <c r="N1267" s="108" t="str">
        <f>VLOOKUP($K1267,LUTs!$E$2:$H$14,4,)</f>
        <v>02South Puget Sound</v>
      </c>
      <c r="O1267" s="108">
        <v>53.142857142857203</v>
      </c>
      <c r="P1267" s="108">
        <v>182.81142857142899</v>
      </c>
      <c r="Q1267" s="108">
        <f>SUMIFS('FW_Salmon_by_Month_2010-2021'!P$2:P$3810,'FW_Salmon_by_Month_2010-2021'!$B$2:$B$3810,'Rec_raw_catch_effort_2010-2021'!$B1267,'FW_Salmon_by_Month_2010-2021'!$H$2:$H$3810,'Rec_raw_catch_effort_2010-2021'!$F1267,'FW_Salmon_by_Month_2010-2021'!$M$2:$M$3810,'Rec_raw_catch_effort_2010-2021'!$K1267)</f>
        <v>53.1666666666667</v>
      </c>
      <c r="R1267" s="109">
        <f>VLOOKUP(B1267,Readme!$A$62:$C$74,2,)*Q1267</f>
        <v>188.15898338176521</v>
      </c>
      <c r="S1267" s="140" t="str">
        <f t="shared" si="117"/>
        <v>Y</v>
      </c>
      <c r="T1267" s="154">
        <f t="shared" si="118"/>
        <v>3.4400000000000039</v>
      </c>
      <c r="U1267" s="154">
        <f t="shared" si="119"/>
        <v>3.5390404397824153</v>
      </c>
    </row>
    <row r="1268" spans="1:21" x14ac:dyDescent="0.35">
      <c r="A1268" s="108">
        <v>1086</v>
      </c>
      <c r="B1268" s="108">
        <v>2012</v>
      </c>
      <c r="C1268" s="108" t="s">
        <v>38</v>
      </c>
      <c r="D1268" s="108" t="s">
        <v>143</v>
      </c>
      <c r="E1268" s="108" t="s">
        <v>10</v>
      </c>
      <c r="F1268" s="116">
        <v>714</v>
      </c>
      <c r="G1268" s="108" t="s">
        <v>39</v>
      </c>
      <c r="H1268" s="108" t="str">
        <f t="shared" si="114"/>
        <v>Chambers Creek</v>
      </c>
      <c r="I1268" s="108" t="str">
        <f>IFERROR(VLOOKUP(H1268,LUTs!$A$1:$C$73,2,FALSE),"NA")</f>
        <v>Pierce</v>
      </c>
      <c r="J1268" s="108" t="str">
        <f>IFERROR(VLOOKUP(H1268,LUTs!$A$1:$C$73,3,FALSE),"NA")</f>
        <v>3South Puget Sound</v>
      </c>
      <c r="K1268" s="108" t="s">
        <v>18</v>
      </c>
      <c r="L1268" s="108" t="str">
        <f>VLOOKUP(K1268,LUTs!E$2:G$14,3,)</f>
        <v>06King</v>
      </c>
      <c r="M1268" s="108" t="str">
        <f>VLOOKUP($K1268,LUTs!$E$2:$H$14,2,)</f>
        <v>South Puget Sound</v>
      </c>
      <c r="N1268" s="108" t="str">
        <f>VLOOKUP($K1268,LUTs!$E$2:$H$14,4,)</f>
        <v>02South Puget Sound</v>
      </c>
      <c r="O1268" s="108">
        <v>22.846153846153801</v>
      </c>
      <c r="P1268" s="108">
        <v>197.61923076923</v>
      </c>
      <c r="Q1268" s="108">
        <f>SUMIFS('FW_Salmon_by_Month_2010-2021'!P$2:P$3810,'FW_Salmon_by_Month_2010-2021'!$B$2:$B$3810,'Rec_raw_catch_effort_2010-2021'!$B1268,'FW_Salmon_by_Month_2010-2021'!$H$2:$H$3810,'Rec_raw_catch_effort_2010-2021'!$F1268,'FW_Salmon_by_Month_2010-2021'!$M$2:$M$3810,'Rec_raw_catch_effort_2010-2021'!$K1268)</f>
        <v>22.933333333333302</v>
      </c>
      <c r="R1268" s="109">
        <f>VLOOKUP(B1268,Readme!$A$62:$C$74,2,)*Q1268</f>
        <v>110.52845913432942</v>
      </c>
      <c r="S1268" s="140" t="str">
        <f t="shared" si="117"/>
        <v>Y</v>
      </c>
      <c r="T1268" s="154">
        <f t="shared" si="118"/>
        <v>8.6499999999999844</v>
      </c>
      <c r="U1268" s="154">
        <f t="shared" si="119"/>
        <v>4.8195549041132084</v>
      </c>
    </row>
    <row r="1269" spans="1:21" x14ac:dyDescent="0.35">
      <c r="A1269" s="108">
        <v>1087</v>
      </c>
      <c r="B1269" s="108">
        <v>2012</v>
      </c>
      <c r="C1269" s="108" t="s">
        <v>38</v>
      </c>
      <c r="D1269" s="108" t="s">
        <v>143</v>
      </c>
      <c r="E1269" s="108" t="s">
        <v>10</v>
      </c>
      <c r="F1269" s="116">
        <v>714</v>
      </c>
      <c r="G1269" s="108" t="s">
        <v>39</v>
      </c>
      <c r="H1269" s="108" t="str">
        <f t="shared" si="114"/>
        <v>Chambers Creek</v>
      </c>
      <c r="I1269" s="108" t="str">
        <f>IFERROR(VLOOKUP(H1269,LUTs!$A$1:$C$73,2,FALSE),"NA")</f>
        <v>Pierce</v>
      </c>
      <c r="J1269" s="108" t="str">
        <f>IFERROR(VLOOKUP(H1269,LUTs!$A$1:$C$73,3,FALSE),"NA")</f>
        <v>3South Puget Sound</v>
      </c>
      <c r="K1269" s="108" t="s">
        <v>20</v>
      </c>
      <c r="L1269" s="108" t="str">
        <f>VLOOKUP(K1269,LUTs!E$2:G$14,3,)</f>
        <v>07Pierce</v>
      </c>
      <c r="M1269" s="108" t="str">
        <f>VLOOKUP($K1269,LUTs!$E$2:$H$14,2,)</f>
        <v>South Puget Sound</v>
      </c>
      <c r="N1269" s="108" t="str">
        <f>VLOOKUP($K1269,LUTs!$E$2:$H$14,4,)</f>
        <v>02South Puget Sound</v>
      </c>
      <c r="O1269" s="108">
        <v>91.384615384615401</v>
      </c>
      <c r="P1269" s="108">
        <v>790.47692307692296</v>
      </c>
      <c r="Q1269" s="108">
        <f>SUMIFS('FW_Salmon_by_Month_2010-2021'!P$2:P$3810,'FW_Salmon_by_Month_2010-2021'!$B$2:$B$3810,'Rec_raw_catch_effort_2010-2021'!$B1269,'FW_Salmon_by_Month_2010-2021'!$H$2:$H$3810,'Rec_raw_catch_effort_2010-2021'!$F1269,'FW_Salmon_by_Month_2010-2021'!$M$2:$M$3810,'Rec_raw_catch_effort_2010-2021'!$K1269)</f>
        <v>91.405128205128278</v>
      </c>
      <c r="R1269" s="109">
        <f>VLOOKUP(B1269,Readme!$A$62:$C$74,2,)*Q1269</f>
        <v>440.53203390212252</v>
      </c>
      <c r="S1269" s="140" t="str">
        <f t="shared" si="117"/>
        <v>Y</v>
      </c>
      <c r="T1269" s="154">
        <f t="shared" si="118"/>
        <v>8.6499999999999968</v>
      </c>
      <c r="U1269" s="154">
        <f t="shared" si="119"/>
        <v>4.8195549041132084</v>
      </c>
    </row>
    <row r="1270" spans="1:21" x14ac:dyDescent="0.35">
      <c r="A1270" s="108">
        <v>1150</v>
      </c>
      <c r="B1270" s="108">
        <v>2012</v>
      </c>
      <c r="C1270" s="108" t="s">
        <v>38</v>
      </c>
      <c r="D1270" s="108" t="s">
        <v>143</v>
      </c>
      <c r="E1270" s="108" t="s">
        <v>10</v>
      </c>
      <c r="F1270" s="116">
        <v>714</v>
      </c>
      <c r="G1270" s="108" t="s">
        <v>39</v>
      </c>
      <c r="H1270" s="108" t="str">
        <f t="shared" si="114"/>
        <v>Chambers Creek</v>
      </c>
      <c r="I1270" s="108" t="str">
        <f>IFERROR(VLOOKUP(H1270,LUTs!$A$1:$C$73,2,FALSE),"NA")</f>
        <v>Pierce</v>
      </c>
      <c r="J1270" s="108" t="str">
        <f>IFERROR(VLOOKUP(H1270,LUTs!$A$1:$C$73,3,FALSE),"NA")</f>
        <v>3South Puget Sound</v>
      </c>
      <c r="K1270" s="108" t="s">
        <v>21</v>
      </c>
      <c r="L1270" s="108" t="str">
        <f>VLOOKUP(K1270,LUTs!E$2:G$14,3,)</f>
        <v>08Thurston</v>
      </c>
      <c r="M1270" s="108" t="str">
        <f>VLOOKUP($K1270,LUTs!$E$2:$H$14,2,)</f>
        <v>South Puget Sound</v>
      </c>
      <c r="N1270" s="108" t="str">
        <f>VLOOKUP($K1270,LUTs!$E$2:$H$14,4,)</f>
        <v>02South Puget Sound</v>
      </c>
      <c r="O1270" s="108">
        <v>53.307692307692299</v>
      </c>
      <c r="P1270" s="108">
        <v>461.11153846153798</v>
      </c>
      <c r="Q1270" s="108">
        <f>SUMIFS('FW_Salmon_by_Month_2010-2021'!P$2:P$3810,'FW_Salmon_by_Month_2010-2021'!$B$2:$B$3810,'Rec_raw_catch_effort_2010-2021'!$B1270,'FW_Salmon_by_Month_2010-2021'!$H$2:$H$3810,'Rec_raw_catch_effort_2010-2021'!$F1270,'FW_Salmon_by_Month_2010-2021'!$M$2:$M$3810,'Rec_raw_catch_effort_2010-2021'!$K1270)</f>
        <v>53.2</v>
      </c>
      <c r="R1270" s="109">
        <f>VLOOKUP(B1270,Readme!$A$62:$C$74,2,)*Q1270</f>
        <v>256.40032089882271</v>
      </c>
      <c r="S1270" s="140" t="str">
        <f t="shared" si="117"/>
        <v>Y</v>
      </c>
      <c r="T1270" s="154">
        <f t="shared" si="118"/>
        <v>8.6499999999999915</v>
      </c>
      <c r="U1270" s="154">
        <f t="shared" si="119"/>
        <v>4.8195549041132084</v>
      </c>
    </row>
    <row r="1271" spans="1:21" x14ac:dyDescent="0.35">
      <c r="A1271" s="108">
        <v>1085</v>
      </c>
      <c r="B1271" s="108">
        <v>2012</v>
      </c>
      <c r="C1271" s="108" t="s">
        <v>38</v>
      </c>
      <c r="D1271" s="108" t="s">
        <v>143</v>
      </c>
      <c r="E1271" s="108" t="s">
        <v>10</v>
      </c>
      <c r="F1271" s="116">
        <v>714</v>
      </c>
      <c r="G1271" s="108" t="s">
        <v>39</v>
      </c>
      <c r="H1271" s="108" t="str">
        <f t="shared" si="114"/>
        <v>Chambers Creek</v>
      </c>
      <c r="I1271" s="108" t="str">
        <f>IFERROR(VLOOKUP(H1271,LUTs!$A$1:$C$73,2,FALSE),"NA")</f>
        <v>Pierce</v>
      </c>
      <c r="J1271" s="108" t="str">
        <f>IFERROR(VLOOKUP(H1271,LUTs!$A$1:$C$73,3,FALSE),"NA")</f>
        <v>3South Puget Sound</v>
      </c>
      <c r="K1271" s="108" t="s">
        <v>13</v>
      </c>
      <c r="L1271" s="108" t="str">
        <f>VLOOKUP(K1271,LUTs!E$2:G$14,3,)</f>
        <v>01Whatcom</v>
      </c>
      <c r="M1271" s="108" t="str">
        <f>VLOOKUP($K1271,LUTs!$E$2:$H$14,2,)</f>
        <v>North Puget Sound</v>
      </c>
      <c r="N1271" s="108" t="str">
        <f>VLOOKUP($K1271,LUTs!$E$2:$H$14,4,)</f>
        <v>01North Puget Sound</v>
      </c>
      <c r="O1271" s="108">
        <v>30.461538461538499</v>
      </c>
      <c r="P1271" s="108">
        <v>263.49230769230797</v>
      </c>
      <c r="Q1271" s="108">
        <f>SUMIFS('FW_Salmon_by_Month_2010-2021'!P$2:P$3810,'FW_Salmon_by_Month_2010-2021'!$B$2:$B$3810,'Rec_raw_catch_effort_2010-2021'!$B1271,'FW_Salmon_by_Month_2010-2021'!$H$2:$H$3810,'Rec_raw_catch_effort_2010-2021'!$F1271,'FW_Salmon_by_Month_2010-2021'!$M$2:$M$3810,'Rec_raw_catch_effort_2010-2021'!$K1271)</f>
        <v>30.461538461538499</v>
      </c>
      <c r="R1271" s="109">
        <f>VLOOKUP(B1271,Readme!$A$62:$C$74,2,)*Q1271</f>
        <v>146.81105707914099</v>
      </c>
      <c r="S1271" s="140" t="str">
        <f t="shared" si="117"/>
        <v>Y</v>
      </c>
      <c r="T1271" s="154">
        <f t="shared" si="118"/>
        <v>8.6499999999999986</v>
      </c>
      <c r="U1271" s="154">
        <f t="shared" si="119"/>
        <v>4.8195549041132084</v>
      </c>
    </row>
    <row r="1272" spans="1:21" x14ac:dyDescent="0.35">
      <c r="A1272" s="108">
        <v>1162</v>
      </c>
      <c r="B1272" s="108">
        <v>2013</v>
      </c>
      <c r="C1272" s="108" t="s">
        <v>38</v>
      </c>
      <c r="D1272" s="108" t="s">
        <v>143</v>
      </c>
      <c r="E1272" s="108" t="s">
        <v>10</v>
      </c>
      <c r="F1272" s="116">
        <v>714</v>
      </c>
      <c r="G1272" s="108" t="s">
        <v>39</v>
      </c>
      <c r="H1272" s="108" t="str">
        <f t="shared" si="114"/>
        <v>Chambers Creek</v>
      </c>
      <c r="I1272" s="108" t="str">
        <f>IFERROR(VLOOKUP(H1272,LUTs!$A$1:$C$73,2,FALSE),"NA")</f>
        <v>Pierce</v>
      </c>
      <c r="J1272" s="108" t="str">
        <f>IFERROR(VLOOKUP(H1272,LUTs!$A$1:$C$73,3,FALSE),"NA")</f>
        <v>3South Puget Sound</v>
      </c>
      <c r="K1272" s="108" t="s">
        <v>20</v>
      </c>
      <c r="L1272" s="108" t="str">
        <f>VLOOKUP(K1272,LUTs!E$2:G$14,3,)</f>
        <v>07Pierce</v>
      </c>
      <c r="M1272" s="108" t="str">
        <f>VLOOKUP($K1272,LUTs!$E$2:$H$14,2,)</f>
        <v>South Puget Sound</v>
      </c>
      <c r="N1272" s="108" t="str">
        <f>VLOOKUP($K1272,LUTs!$E$2:$H$14,4,)</f>
        <v>02South Puget Sound</v>
      </c>
      <c r="O1272" s="108">
        <v>5</v>
      </c>
      <c r="P1272" s="108">
        <v>17.2</v>
      </c>
      <c r="Q1272" s="108">
        <f>SUMIFS('FW_Salmon_by_Month_2010-2021'!P$2:P$3810,'FW_Salmon_by_Month_2010-2021'!$B$2:$B$3810,'Rec_raw_catch_effort_2010-2021'!$B1272,'FW_Salmon_by_Month_2010-2021'!$H$2:$H$3810,'Rec_raw_catch_effort_2010-2021'!$F1272,'FW_Salmon_by_Month_2010-2021'!$M$2:$M$3810,'Rec_raw_catch_effort_2010-2021'!$K1272)</f>
        <v>5</v>
      </c>
      <c r="R1272" s="109">
        <f>VLOOKUP(B1272,Readme!$A$62:$C$74,2,)*Q1272</f>
        <v>17.695202198912078</v>
      </c>
      <c r="S1272" s="140" t="str">
        <f t="shared" si="117"/>
        <v>Y</v>
      </c>
      <c r="T1272" s="154">
        <f t="shared" si="118"/>
        <v>3.44</v>
      </c>
      <c r="U1272" s="154">
        <f t="shared" si="119"/>
        <v>3.5390404397824158</v>
      </c>
    </row>
    <row r="1273" spans="1:21" x14ac:dyDescent="0.35">
      <c r="A1273" s="108">
        <v>1163</v>
      </c>
      <c r="B1273" s="108">
        <v>2013</v>
      </c>
      <c r="C1273" s="108" t="s">
        <v>38</v>
      </c>
      <c r="D1273" s="108" t="s">
        <v>143</v>
      </c>
      <c r="E1273" s="108" t="s">
        <v>10</v>
      </c>
      <c r="F1273" s="116">
        <v>714</v>
      </c>
      <c r="G1273" s="108" t="s">
        <v>39</v>
      </c>
      <c r="H1273" s="108" t="str">
        <f t="shared" si="114"/>
        <v>Chambers Creek</v>
      </c>
      <c r="I1273" s="108" t="str">
        <f>IFERROR(VLOOKUP(H1273,LUTs!$A$1:$C$73,2,FALSE),"NA")</f>
        <v>Pierce</v>
      </c>
      <c r="J1273" s="108" t="str">
        <f>IFERROR(VLOOKUP(H1273,LUTs!$A$1:$C$73,3,FALSE),"NA")</f>
        <v>3South Puget Sound</v>
      </c>
      <c r="K1273" s="108" t="s">
        <v>21</v>
      </c>
      <c r="L1273" s="108" t="str">
        <f>VLOOKUP(K1273,LUTs!E$2:G$14,3,)</f>
        <v>08Thurston</v>
      </c>
      <c r="M1273" s="108" t="str">
        <f>VLOOKUP($K1273,LUTs!$E$2:$H$14,2,)</f>
        <v>South Puget Sound</v>
      </c>
      <c r="N1273" s="108" t="str">
        <f>VLOOKUP($K1273,LUTs!$E$2:$H$14,4,)</f>
        <v>02South Puget Sound</v>
      </c>
      <c r="O1273" s="108">
        <v>10</v>
      </c>
      <c r="P1273" s="108">
        <v>34.4</v>
      </c>
      <c r="Q1273" s="108">
        <f>SUMIFS('FW_Salmon_by_Month_2010-2021'!P$2:P$3810,'FW_Salmon_by_Month_2010-2021'!$B$2:$B$3810,'Rec_raw_catch_effort_2010-2021'!$B1273,'FW_Salmon_by_Month_2010-2021'!$H$2:$H$3810,'Rec_raw_catch_effort_2010-2021'!$F1273,'FW_Salmon_by_Month_2010-2021'!$M$2:$M$3810,'Rec_raw_catch_effort_2010-2021'!$K1273)</f>
        <v>10</v>
      </c>
      <c r="R1273" s="109">
        <f>VLOOKUP(B1273,Readme!$A$62:$C$74,2,)*Q1273</f>
        <v>35.390404397824156</v>
      </c>
      <c r="S1273" s="140" t="str">
        <f t="shared" si="117"/>
        <v>Y</v>
      </c>
      <c r="T1273" s="154">
        <f t="shared" si="118"/>
        <v>3.44</v>
      </c>
      <c r="U1273" s="154">
        <f t="shared" si="119"/>
        <v>3.5390404397824158</v>
      </c>
    </row>
    <row r="1274" spans="1:21" x14ac:dyDescent="0.35">
      <c r="A1274" s="108">
        <v>33</v>
      </c>
      <c r="B1274" s="108">
        <v>2014</v>
      </c>
      <c r="C1274" s="108" t="s">
        <v>38</v>
      </c>
      <c r="D1274" s="108" t="s">
        <v>143</v>
      </c>
      <c r="E1274" s="108" t="s">
        <v>10</v>
      </c>
      <c r="F1274" s="116">
        <v>714</v>
      </c>
      <c r="G1274" s="108" t="s">
        <v>39</v>
      </c>
      <c r="H1274" s="108" t="str">
        <f t="shared" si="114"/>
        <v>Chambers Creek</v>
      </c>
      <c r="I1274" s="108" t="str">
        <f>IFERROR(VLOOKUP(H1274,LUTs!$A$1:$C$73,2,FALSE),"NA")</f>
        <v>Pierce</v>
      </c>
      <c r="J1274" s="108" t="str">
        <f>IFERROR(VLOOKUP(H1274,LUTs!$A$1:$C$73,3,FALSE),"NA")</f>
        <v>3South Puget Sound</v>
      </c>
      <c r="K1274" s="108" t="s">
        <v>18</v>
      </c>
      <c r="L1274" s="108" t="str">
        <f>VLOOKUP(K1274,LUTs!E$2:G$14,3,)</f>
        <v>06King</v>
      </c>
      <c r="M1274" s="108" t="str">
        <f>VLOOKUP($K1274,LUTs!$E$2:$H$14,2,)</f>
        <v>South Puget Sound</v>
      </c>
      <c r="N1274" s="108" t="str">
        <f>VLOOKUP($K1274,LUTs!$E$2:$H$14,4,)</f>
        <v>02South Puget Sound</v>
      </c>
      <c r="O1274" s="108">
        <v>9</v>
      </c>
      <c r="P1274" s="108">
        <v>77.849999999999994</v>
      </c>
      <c r="Q1274" s="108">
        <f>SUMIFS('FW_Salmon_by_Month_2010-2021'!P$2:P$3810,'FW_Salmon_by_Month_2010-2021'!$B$2:$B$3810,'Rec_raw_catch_effort_2010-2021'!$B1274,'FW_Salmon_by_Month_2010-2021'!$H$2:$H$3810,'Rec_raw_catch_effort_2010-2021'!$F1274,'FW_Salmon_by_Month_2010-2021'!$M$2:$M$3810,'Rec_raw_catch_effort_2010-2021'!$K1274)</f>
        <v>9</v>
      </c>
      <c r="R1274" s="109">
        <f>VLOOKUP(B1274,Readme!$A$62:$C$74,2,)*Q1274</f>
        <v>43.375994137018878</v>
      </c>
      <c r="S1274" s="140" t="str">
        <f t="shared" si="117"/>
        <v>Y</v>
      </c>
      <c r="T1274" s="154">
        <f t="shared" si="118"/>
        <v>8.6499999999999986</v>
      </c>
      <c r="U1274" s="154">
        <f t="shared" si="119"/>
        <v>4.8195549041132084</v>
      </c>
    </row>
    <row r="1275" spans="1:21" x14ac:dyDescent="0.35">
      <c r="A1275" s="108">
        <v>34</v>
      </c>
      <c r="B1275" s="108">
        <v>2014</v>
      </c>
      <c r="C1275" s="108" t="s">
        <v>38</v>
      </c>
      <c r="D1275" s="108" t="s">
        <v>143</v>
      </c>
      <c r="E1275" s="108" t="s">
        <v>10</v>
      </c>
      <c r="F1275" s="116">
        <v>714</v>
      </c>
      <c r="G1275" s="108" t="s">
        <v>39</v>
      </c>
      <c r="H1275" s="108" t="str">
        <f t="shared" si="114"/>
        <v>Chambers Creek</v>
      </c>
      <c r="I1275" s="108" t="str">
        <f>IFERROR(VLOOKUP(H1275,LUTs!$A$1:$C$73,2,FALSE),"NA")</f>
        <v>Pierce</v>
      </c>
      <c r="J1275" s="108" t="str">
        <f>IFERROR(VLOOKUP(H1275,LUTs!$A$1:$C$73,3,FALSE),"NA")</f>
        <v>3South Puget Sound</v>
      </c>
      <c r="K1275" s="108" t="s">
        <v>20</v>
      </c>
      <c r="L1275" s="108" t="str">
        <f>VLOOKUP(K1275,LUTs!E$2:G$14,3,)</f>
        <v>07Pierce</v>
      </c>
      <c r="M1275" s="108" t="str">
        <f>VLOOKUP($K1275,LUTs!$E$2:$H$14,2,)</f>
        <v>South Puget Sound</v>
      </c>
      <c r="N1275" s="108" t="str">
        <f>VLOOKUP($K1275,LUTs!$E$2:$H$14,4,)</f>
        <v>02South Puget Sound</v>
      </c>
      <c r="O1275" s="108">
        <v>9</v>
      </c>
      <c r="P1275" s="108">
        <v>77.849999999999994</v>
      </c>
      <c r="Q1275" s="108">
        <f>SUMIFS('FW_Salmon_by_Month_2010-2021'!P$2:P$3810,'FW_Salmon_by_Month_2010-2021'!$B$2:$B$3810,'Rec_raw_catch_effort_2010-2021'!$B1275,'FW_Salmon_by_Month_2010-2021'!$H$2:$H$3810,'Rec_raw_catch_effort_2010-2021'!$F1275,'FW_Salmon_by_Month_2010-2021'!$M$2:$M$3810,'Rec_raw_catch_effort_2010-2021'!$K1275)</f>
        <v>9</v>
      </c>
      <c r="R1275" s="109">
        <f>VLOOKUP(B1275,Readme!$A$62:$C$74,2,)*Q1275</f>
        <v>43.375994137018878</v>
      </c>
      <c r="S1275" s="140" t="str">
        <f t="shared" si="117"/>
        <v>Y</v>
      </c>
      <c r="T1275" s="154">
        <f t="shared" si="118"/>
        <v>8.6499999999999986</v>
      </c>
      <c r="U1275" s="154">
        <f t="shared" si="119"/>
        <v>4.8195549041132084</v>
      </c>
    </row>
    <row r="1276" spans="1:21" x14ac:dyDescent="0.35">
      <c r="A1276" s="108">
        <v>467</v>
      </c>
      <c r="B1276" s="108">
        <v>2018</v>
      </c>
      <c r="C1276" s="108" t="s">
        <v>38</v>
      </c>
      <c r="D1276" s="108" t="s">
        <v>143</v>
      </c>
      <c r="E1276" s="108" t="s">
        <v>10</v>
      </c>
      <c r="F1276" s="116">
        <v>714</v>
      </c>
      <c r="G1276" s="108" t="s">
        <v>39</v>
      </c>
      <c r="H1276" s="108" t="str">
        <f t="shared" si="114"/>
        <v>Chambers Creek</v>
      </c>
      <c r="I1276" s="108" t="str">
        <f>IFERROR(VLOOKUP(H1276,LUTs!$A$1:$C$73,2,FALSE),"NA")</f>
        <v>Pierce</v>
      </c>
      <c r="J1276" s="108" t="str">
        <f>IFERROR(VLOOKUP(H1276,LUTs!$A$1:$C$73,3,FALSE),"NA")</f>
        <v>3South Puget Sound</v>
      </c>
      <c r="K1276" s="108" t="s">
        <v>20</v>
      </c>
      <c r="L1276" s="108" t="str">
        <f>VLOOKUP(K1276,LUTs!E$2:G$14,3,)</f>
        <v>07Pierce</v>
      </c>
      <c r="M1276" s="108" t="str">
        <f>VLOOKUP($K1276,LUTs!$E$2:$H$14,2,)</f>
        <v>South Puget Sound</v>
      </c>
      <c r="N1276" s="108" t="str">
        <f>VLOOKUP($K1276,LUTs!$E$2:$H$14,4,)</f>
        <v>02South Puget Sound</v>
      </c>
      <c r="O1276" s="108">
        <v>2</v>
      </c>
      <c r="P1276" s="108">
        <v>17.3</v>
      </c>
      <c r="Q1276" s="108">
        <f>SUMIFS('FW_Salmon_by_Month_2010-2021'!P$2:P$3810,'FW_Salmon_by_Month_2010-2021'!$B$2:$B$3810,'Rec_raw_catch_effort_2010-2021'!$B1276,'FW_Salmon_by_Month_2010-2021'!$H$2:$H$3810,'Rec_raw_catch_effort_2010-2021'!$F1276,'FW_Salmon_by_Month_2010-2021'!$M$2:$M$3810,'Rec_raw_catch_effort_2010-2021'!$K1276)</f>
        <v>2</v>
      </c>
      <c r="R1276" s="109">
        <f>VLOOKUP(B1276,Readme!$A$62:$C$74,2,)*Q1276</f>
        <v>9.6391098082264168</v>
      </c>
      <c r="S1276" s="140" t="str">
        <f t="shared" si="117"/>
        <v>Y</v>
      </c>
      <c r="T1276" s="154">
        <f t="shared" si="118"/>
        <v>8.65</v>
      </c>
      <c r="U1276" s="154">
        <f t="shared" si="119"/>
        <v>4.8195549041132084</v>
      </c>
    </row>
    <row r="1277" spans="1:21" x14ac:dyDescent="0.35">
      <c r="A1277" s="108">
        <v>572</v>
      </c>
      <c r="B1277" s="108">
        <v>2019</v>
      </c>
      <c r="C1277" s="108" t="s">
        <v>38</v>
      </c>
      <c r="D1277" s="108" t="s">
        <v>143</v>
      </c>
      <c r="E1277" s="108" t="s">
        <v>10</v>
      </c>
      <c r="F1277" s="116">
        <v>714</v>
      </c>
      <c r="G1277" s="108" t="s">
        <v>39</v>
      </c>
      <c r="H1277" s="108" t="str">
        <f t="shared" si="114"/>
        <v>Chambers Creek</v>
      </c>
      <c r="I1277" s="108" t="str">
        <f>IFERROR(VLOOKUP(H1277,LUTs!$A$1:$C$73,2,FALSE),"NA")</f>
        <v>Pierce</v>
      </c>
      <c r="J1277" s="108" t="str">
        <f>IFERROR(VLOOKUP(H1277,LUTs!$A$1:$C$73,3,FALSE),"NA")</f>
        <v>3South Puget Sound</v>
      </c>
      <c r="K1277" s="108" t="s">
        <v>20</v>
      </c>
      <c r="L1277" s="108" t="str">
        <f>VLOOKUP(K1277,LUTs!E$2:G$14,3,)</f>
        <v>07Pierce</v>
      </c>
      <c r="M1277" s="108" t="str">
        <f>VLOOKUP($K1277,LUTs!$E$2:$H$14,2,)</f>
        <v>South Puget Sound</v>
      </c>
      <c r="N1277" s="108" t="str">
        <f>VLOOKUP($K1277,LUTs!$E$2:$H$14,4,)</f>
        <v>02South Puget Sound</v>
      </c>
      <c r="O1277" s="108">
        <v>11</v>
      </c>
      <c r="P1277" s="108">
        <v>37.840000000000003</v>
      </c>
      <c r="Q1277" s="108">
        <f>SUMIFS('FW_Salmon_by_Month_2010-2021'!P$2:P$3810,'FW_Salmon_by_Month_2010-2021'!$B$2:$B$3810,'Rec_raw_catch_effort_2010-2021'!$B1277,'FW_Salmon_by_Month_2010-2021'!$H$2:$H$3810,'Rec_raw_catch_effort_2010-2021'!$F1277,'FW_Salmon_by_Month_2010-2021'!$M$2:$M$3810,'Rec_raw_catch_effort_2010-2021'!$K1277)</f>
        <v>11</v>
      </c>
      <c r="R1277" s="109">
        <f>VLOOKUP(B1277,Readme!$A$62:$C$74,2,)*Q1277</f>
        <v>38.929444837606567</v>
      </c>
      <c r="S1277" s="140" t="str">
        <f t="shared" si="117"/>
        <v>Y</v>
      </c>
      <c r="T1277" s="154">
        <f t="shared" si="118"/>
        <v>3.4400000000000004</v>
      </c>
      <c r="U1277" s="154">
        <f t="shared" si="119"/>
        <v>3.5390404397824153</v>
      </c>
    </row>
    <row r="1278" spans="1:21" x14ac:dyDescent="0.35">
      <c r="A1278" s="108">
        <v>775</v>
      </c>
      <c r="B1278" s="108">
        <v>2020</v>
      </c>
      <c r="C1278" s="108" t="s">
        <v>38</v>
      </c>
      <c r="D1278" s="108" t="s">
        <v>143</v>
      </c>
      <c r="E1278" s="108" t="s">
        <v>10</v>
      </c>
      <c r="F1278" s="116">
        <v>714</v>
      </c>
      <c r="G1278" s="108" t="s">
        <v>39</v>
      </c>
      <c r="H1278" s="108" t="str">
        <f t="shared" si="114"/>
        <v>Chambers Creek</v>
      </c>
      <c r="I1278" s="108" t="str">
        <f>IFERROR(VLOOKUP(H1278,LUTs!$A$1:$C$73,2,FALSE),"NA")</f>
        <v>Pierce</v>
      </c>
      <c r="J1278" s="108" t="str">
        <f>IFERROR(VLOOKUP(H1278,LUTs!$A$1:$C$73,3,FALSE),"NA")</f>
        <v>3South Puget Sound</v>
      </c>
      <c r="K1278" s="108" t="s">
        <v>26</v>
      </c>
      <c r="L1278" s="108" t="str">
        <f>VLOOKUP(K1278,LUTs!E$2:G$14,3,)</f>
        <v>20Other</v>
      </c>
      <c r="M1278" s="108" t="str">
        <f>VLOOKUP($K1278,LUTs!$E$2:$H$14,2,)</f>
        <v>Non Puget Sound</v>
      </c>
      <c r="N1278" s="108" t="str">
        <f>VLOOKUP($K1278,LUTs!$E$2:$H$14,4,)</f>
        <v>07Non Puget Sound</v>
      </c>
      <c r="O1278" s="108">
        <v>7</v>
      </c>
      <c r="P1278" s="108">
        <v>60.55</v>
      </c>
      <c r="Q1278" s="108">
        <f>SUMIFS('FW_Salmon_by_Month_2010-2021'!P$2:P$3810,'FW_Salmon_by_Month_2010-2021'!$B$2:$B$3810,'Rec_raw_catch_effort_2010-2021'!$B1278,'FW_Salmon_by_Month_2010-2021'!$H$2:$H$3810,'Rec_raw_catch_effort_2010-2021'!$F1278,'FW_Salmon_by_Month_2010-2021'!$M$2:$M$3810,'Rec_raw_catch_effort_2010-2021'!$K1278)</f>
        <v>7</v>
      </c>
      <c r="R1278" s="109">
        <f>VLOOKUP(B1278,Readme!$A$62:$C$74,2,)*Q1278</f>
        <v>33.736884328792456</v>
      </c>
      <c r="S1278" s="140" t="str">
        <f t="shared" si="117"/>
        <v>N</v>
      </c>
      <c r="T1278" s="154">
        <f t="shared" si="118"/>
        <v>8.65</v>
      </c>
      <c r="U1278" s="154">
        <f t="shared" si="119"/>
        <v>4.8195549041132084</v>
      </c>
    </row>
    <row r="1279" spans="1:21" x14ac:dyDescent="0.35">
      <c r="A1279" s="108">
        <v>774</v>
      </c>
      <c r="B1279" s="108">
        <v>2020</v>
      </c>
      <c r="C1279" s="108" t="s">
        <v>38</v>
      </c>
      <c r="D1279" s="108" t="s">
        <v>143</v>
      </c>
      <c r="E1279" s="108" t="s">
        <v>10</v>
      </c>
      <c r="F1279" s="116">
        <v>714</v>
      </c>
      <c r="G1279" s="108" t="s">
        <v>39</v>
      </c>
      <c r="H1279" s="108" t="str">
        <f t="shared" si="114"/>
        <v>Chambers Creek</v>
      </c>
      <c r="I1279" s="108" t="str">
        <f>IFERROR(VLOOKUP(H1279,LUTs!$A$1:$C$73,2,FALSE),"NA")</f>
        <v>Pierce</v>
      </c>
      <c r="J1279" s="108" t="str">
        <f>IFERROR(VLOOKUP(H1279,LUTs!$A$1:$C$73,3,FALSE),"NA")</f>
        <v>3South Puget Sound</v>
      </c>
      <c r="K1279" s="108" t="s">
        <v>20</v>
      </c>
      <c r="L1279" s="108" t="str">
        <f>VLOOKUP(K1279,LUTs!E$2:G$14,3,)</f>
        <v>07Pierce</v>
      </c>
      <c r="M1279" s="108" t="str">
        <f>VLOOKUP($K1279,LUTs!$E$2:$H$14,2,)</f>
        <v>South Puget Sound</v>
      </c>
      <c r="N1279" s="108" t="str">
        <f>VLOOKUP($K1279,LUTs!$E$2:$H$14,4,)</f>
        <v>02South Puget Sound</v>
      </c>
      <c r="O1279" s="108">
        <v>7</v>
      </c>
      <c r="P1279" s="108">
        <v>60.55</v>
      </c>
      <c r="Q1279" s="108">
        <f>SUMIFS('FW_Salmon_by_Month_2010-2021'!P$2:P$3810,'FW_Salmon_by_Month_2010-2021'!$B$2:$B$3810,'Rec_raw_catch_effort_2010-2021'!$B1279,'FW_Salmon_by_Month_2010-2021'!$H$2:$H$3810,'Rec_raw_catch_effort_2010-2021'!$F1279,'FW_Salmon_by_Month_2010-2021'!$M$2:$M$3810,'Rec_raw_catch_effort_2010-2021'!$K1279)</f>
        <v>7</v>
      </c>
      <c r="R1279" s="109">
        <f>VLOOKUP(B1279,Readme!$A$62:$C$74,2,)*Q1279</f>
        <v>33.736884328792456</v>
      </c>
      <c r="S1279" s="140" t="str">
        <f t="shared" si="117"/>
        <v>N</v>
      </c>
      <c r="T1279" s="154">
        <f t="shared" si="118"/>
        <v>8.65</v>
      </c>
      <c r="U1279" s="154">
        <f t="shared" si="119"/>
        <v>4.8195549041132084</v>
      </c>
    </row>
    <row r="1280" spans="1:21" x14ac:dyDescent="0.35">
      <c r="A1280" s="108">
        <v>1533</v>
      </c>
      <c r="B1280" s="108">
        <v>2010</v>
      </c>
      <c r="C1280" s="108" t="s">
        <v>38</v>
      </c>
      <c r="D1280" s="108" t="s">
        <v>143</v>
      </c>
      <c r="E1280" s="108" t="s">
        <v>10</v>
      </c>
      <c r="F1280" s="116">
        <v>724</v>
      </c>
      <c r="G1280" s="108" t="s">
        <v>40</v>
      </c>
      <c r="H1280" s="108" t="str">
        <f t="shared" si="114"/>
        <v>Dakota Creek (Whatcom Co)</v>
      </c>
      <c r="I1280" s="108" t="str">
        <f>IFERROR(VLOOKUP(H1280,LUTs!$A$1:$C$73,2,FALSE),"NA")</f>
        <v>Whatcom</v>
      </c>
      <c r="J1280" s="108" t="str">
        <f>IFERROR(VLOOKUP(H1280,LUTs!$A$1:$C$73,3,FALSE),"NA")</f>
        <v>1North Puget Sound</v>
      </c>
      <c r="K1280" s="108" t="s">
        <v>16</v>
      </c>
      <c r="L1280" s="108" t="str">
        <f>VLOOKUP(K1280,LUTs!E$2:G$14,3,)</f>
        <v>03Snohomish</v>
      </c>
      <c r="M1280" s="108" t="str">
        <f>VLOOKUP($K1280,LUTs!$E$2:$H$14,2,)</f>
        <v>North Puget Sound</v>
      </c>
      <c r="N1280" s="108" t="str">
        <f>VLOOKUP($K1280,LUTs!$E$2:$H$14,4,)</f>
        <v>01North Puget Sound</v>
      </c>
      <c r="O1280" s="108">
        <v>12.25</v>
      </c>
      <c r="P1280" s="108">
        <v>105.96250000000001</v>
      </c>
      <c r="Q1280" s="108">
        <f>SUMIFS('FW_Salmon_by_Month_2010-2021'!P$2:P$3810,'FW_Salmon_by_Month_2010-2021'!$B$2:$B$3810,'Rec_raw_catch_effort_2010-2021'!$B1280,'FW_Salmon_by_Month_2010-2021'!$H$2:$H$3810,'Rec_raw_catch_effort_2010-2021'!$F1280,'FW_Salmon_by_Month_2010-2021'!$M$2:$M$3810,'Rec_raw_catch_effort_2010-2021'!$K1280)</f>
        <v>12.2608695652174</v>
      </c>
      <c r="R1280" s="109">
        <f>VLOOKUP(B1280,Readme!$A$62:$C$74,2,)*Q1280</f>
        <v>59.091934041735897</v>
      </c>
      <c r="S1280" s="140" t="str">
        <f t="shared" si="117"/>
        <v>Y</v>
      </c>
      <c r="T1280" s="154">
        <f t="shared" si="118"/>
        <v>8.65</v>
      </c>
      <c r="U1280" s="154">
        <f t="shared" si="119"/>
        <v>4.8195549041132084</v>
      </c>
    </row>
    <row r="1281" spans="1:21" x14ac:dyDescent="0.35">
      <c r="A1281" s="108">
        <v>1532</v>
      </c>
      <c r="B1281" s="108">
        <v>2010</v>
      </c>
      <c r="C1281" s="108" t="s">
        <v>38</v>
      </c>
      <c r="D1281" s="108" t="s">
        <v>143</v>
      </c>
      <c r="E1281" s="108" t="s">
        <v>10</v>
      </c>
      <c r="F1281" s="116">
        <v>724</v>
      </c>
      <c r="G1281" s="108" t="s">
        <v>40</v>
      </c>
      <c r="H1281" s="108" t="str">
        <f t="shared" si="114"/>
        <v>Dakota Creek (Whatcom Co)</v>
      </c>
      <c r="I1281" s="108" t="str">
        <f>IFERROR(VLOOKUP(H1281,LUTs!$A$1:$C$73,2,FALSE),"NA")</f>
        <v>Whatcom</v>
      </c>
      <c r="J1281" s="108" t="str">
        <f>IFERROR(VLOOKUP(H1281,LUTs!$A$1:$C$73,3,FALSE),"NA")</f>
        <v>1North Puget Sound</v>
      </c>
      <c r="K1281" s="108" t="s">
        <v>13</v>
      </c>
      <c r="L1281" s="108" t="str">
        <f>VLOOKUP(K1281,LUTs!E$2:G$14,3,)</f>
        <v>01Whatcom</v>
      </c>
      <c r="M1281" s="108" t="str">
        <f>VLOOKUP($K1281,LUTs!$E$2:$H$14,2,)</f>
        <v>North Puget Sound</v>
      </c>
      <c r="N1281" s="108" t="str">
        <f>VLOOKUP($K1281,LUTs!$E$2:$H$14,4,)</f>
        <v>01North Puget Sound</v>
      </c>
      <c r="O1281" s="108">
        <v>134.75</v>
      </c>
      <c r="P1281" s="108">
        <v>1165.5875000000001</v>
      </c>
      <c r="Q1281" s="108">
        <f>SUMIFS('FW_Salmon_by_Month_2010-2021'!P$2:P$3810,'FW_Salmon_by_Month_2010-2021'!$B$2:$B$3810,'Rec_raw_catch_effort_2010-2021'!$B1281,'FW_Salmon_by_Month_2010-2021'!$H$2:$H$3810,'Rec_raw_catch_effort_2010-2021'!$F1281,'FW_Salmon_by_Month_2010-2021'!$M$2:$M$3810,'Rec_raw_catch_effort_2010-2021'!$K1281)</f>
        <v>134.73913043478299</v>
      </c>
      <c r="R1281" s="109">
        <f>VLOOKUP(B1281,Readme!$A$62:$C$74,2,)*Q1281</f>
        <v>649.38263686290759</v>
      </c>
      <c r="S1281" s="140" t="str">
        <f t="shared" si="117"/>
        <v>Y</v>
      </c>
      <c r="T1281" s="154">
        <f t="shared" si="118"/>
        <v>8.65</v>
      </c>
      <c r="U1281" s="154">
        <f t="shared" si="119"/>
        <v>4.8195549041132084</v>
      </c>
    </row>
    <row r="1282" spans="1:21" x14ac:dyDescent="0.35">
      <c r="A1282" s="108">
        <v>1558</v>
      </c>
      <c r="B1282" s="108">
        <v>2011</v>
      </c>
      <c r="C1282" s="108" t="s">
        <v>38</v>
      </c>
      <c r="D1282" s="108" t="s">
        <v>143</v>
      </c>
      <c r="E1282" s="108" t="s">
        <v>10</v>
      </c>
      <c r="F1282" s="116">
        <v>724</v>
      </c>
      <c r="G1282" s="108" t="s">
        <v>40</v>
      </c>
      <c r="H1282" s="108" t="str">
        <f t="shared" ref="H1282:H1345" si="120">G1282</f>
        <v>Dakota Creek (Whatcom Co)</v>
      </c>
      <c r="I1282" s="108" t="str">
        <f>IFERROR(VLOOKUP(H1282,LUTs!$A$1:$C$73,2,FALSE),"NA")</f>
        <v>Whatcom</v>
      </c>
      <c r="J1282" s="108" t="str">
        <f>IFERROR(VLOOKUP(H1282,LUTs!$A$1:$C$73,3,FALSE),"NA")</f>
        <v>1North Puget Sound</v>
      </c>
      <c r="K1282" s="108" t="s">
        <v>13</v>
      </c>
      <c r="L1282" s="108" t="str">
        <f>VLOOKUP(K1282,LUTs!E$2:G$14,3,)</f>
        <v>01Whatcom</v>
      </c>
      <c r="M1282" s="108" t="str">
        <f>VLOOKUP($K1282,LUTs!$E$2:$H$14,2,)</f>
        <v>North Puget Sound</v>
      </c>
      <c r="N1282" s="108" t="str">
        <f>VLOOKUP($K1282,LUTs!$E$2:$H$14,4,)</f>
        <v>01North Puget Sound</v>
      </c>
      <c r="O1282" s="108">
        <v>195</v>
      </c>
      <c r="P1282" s="108">
        <v>670.8</v>
      </c>
      <c r="Q1282" s="108">
        <f>SUMIFS('FW_Salmon_by_Month_2010-2021'!P$2:P$3810,'FW_Salmon_by_Month_2010-2021'!$B$2:$B$3810,'Rec_raw_catch_effort_2010-2021'!$B1282,'FW_Salmon_by_Month_2010-2021'!$H$2:$H$3810,'Rec_raw_catch_effort_2010-2021'!$F1282,'FW_Salmon_by_Month_2010-2021'!$M$2:$M$3810,'Rec_raw_catch_effort_2010-2021'!$K1282)</f>
        <v>195</v>
      </c>
      <c r="R1282" s="109">
        <f>VLOOKUP(B1282,Readme!$A$62:$C$74,2,)*Q1282</f>
        <v>690.11288575757101</v>
      </c>
      <c r="S1282" s="140" t="str">
        <f t="shared" si="117"/>
        <v>Y</v>
      </c>
      <c r="T1282" s="154">
        <f t="shared" si="118"/>
        <v>3.44</v>
      </c>
      <c r="U1282" s="154">
        <f t="shared" si="119"/>
        <v>3.5390404397824153</v>
      </c>
    </row>
    <row r="1283" spans="1:21" x14ac:dyDescent="0.35">
      <c r="A1283" s="108">
        <v>1710</v>
      </c>
      <c r="B1283" s="108">
        <v>2012</v>
      </c>
      <c r="C1283" s="108" t="s">
        <v>38</v>
      </c>
      <c r="D1283" s="108" t="s">
        <v>143</v>
      </c>
      <c r="E1283" s="108" t="s">
        <v>10</v>
      </c>
      <c r="F1283" s="116">
        <v>724</v>
      </c>
      <c r="G1283" s="108" t="s">
        <v>40</v>
      </c>
      <c r="H1283" s="108" t="str">
        <f t="shared" si="120"/>
        <v>Dakota Creek (Whatcom Co)</v>
      </c>
      <c r="I1283" s="108" t="str">
        <f>IFERROR(VLOOKUP(H1283,LUTs!$A$1:$C$73,2,FALSE),"NA")</f>
        <v>Whatcom</v>
      </c>
      <c r="J1283" s="108" t="str">
        <f>IFERROR(VLOOKUP(H1283,LUTs!$A$1:$C$73,3,FALSE),"NA")</f>
        <v>1North Puget Sound</v>
      </c>
      <c r="K1283" s="108" t="s">
        <v>16</v>
      </c>
      <c r="L1283" s="108" t="str">
        <f>VLOOKUP(K1283,LUTs!E$2:G$14,3,)</f>
        <v>03Snohomish</v>
      </c>
      <c r="M1283" s="108" t="str">
        <f>VLOOKUP($K1283,LUTs!$E$2:$H$14,2,)</f>
        <v>North Puget Sound</v>
      </c>
      <c r="N1283" s="108" t="str">
        <f>VLOOKUP($K1283,LUTs!$E$2:$H$14,4,)</f>
        <v>01North Puget Sound</v>
      </c>
      <c r="O1283" s="108">
        <v>14</v>
      </c>
      <c r="P1283" s="108">
        <v>121.1</v>
      </c>
      <c r="Q1283" s="108">
        <f>SUMIFS('FW_Salmon_by_Month_2010-2021'!P$2:P$3810,'FW_Salmon_by_Month_2010-2021'!$B$2:$B$3810,'Rec_raw_catch_effort_2010-2021'!$B1283,'FW_Salmon_by_Month_2010-2021'!$H$2:$H$3810,'Rec_raw_catch_effort_2010-2021'!$F1283,'FW_Salmon_by_Month_2010-2021'!$M$2:$M$3810,'Rec_raw_catch_effort_2010-2021'!$K1283)</f>
        <v>14</v>
      </c>
      <c r="R1283" s="109">
        <f>VLOOKUP(B1283,Readme!$A$62:$C$74,2,)*Q1283</f>
        <v>67.473768657584912</v>
      </c>
      <c r="S1283" s="140" t="str">
        <f t="shared" ref="S1283:S1346" si="121">IF(B1283&lt;=2019,"Y","N")</f>
        <v>Y</v>
      </c>
      <c r="T1283" s="154">
        <f t="shared" ref="T1283:T1346" si="122">IFERROR(P1283/O1283,"NA")</f>
        <v>8.65</v>
      </c>
      <c r="U1283" s="154">
        <f t="shared" ref="U1283:U1346" si="123">IFERROR(R1283/Q1283,"NA")</f>
        <v>4.8195549041132084</v>
      </c>
    </row>
    <row r="1284" spans="1:21" x14ac:dyDescent="0.35">
      <c r="A1284" s="108">
        <v>1709</v>
      </c>
      <c r="B1284" s="108">
        <v>2012</v>
      </c>
      <c r="C1284" s="108" t="s">
        <v>38</v>
      </c>
      <c r="D1284" s="108" t="s">
        <v>143</v>
      </c>
      <c r="E1284" s="108" t="s">
        <v>10</v>
      </c>
      <c r="F1284" s="116">
        <v>724</v>
      </c>
      <c r="G1284" s="108" t="s">
        <v>40</v>
      </c>
      <c r="H1284" s="108" t="str">
        <f t="shared" si="120"/>
        <v>Dakota Creek (Whatcom Co)</v>
      </c>
      <c r="I1284" s="108" t="str">
        <f>IFERROR(VLOOKUP(H1284,LUTs!$A$1:$C$73,2,FALSE),"NA")</f>
        <v>Whatcom</v>
      </c>
      <c r="J1284" s="108" t="str">
        <f>IFERROR(VLOOKUP(H1284,LUTs!$A$1:$C$73,3,FALSE),"NA")</f>
        <v>1North Puget Sound</v>
      </c>
      <c r="K1284" s="108" t="s">
        <v>13</v>
      </c>
      <c r="L1284" s="108" t="str">
        <f>VLOOKUP(K1284,LUTs!E$2:G$14,3,)</f>
        <v>01Whatcom</v>
      </c>
      <c r="M1284" s="108" t="str">
        <f>VLOOKUP($K1284,LUTs!$E$2:$H$14,2,)</f>
        <v>North Puget Sound</v>
      </c>
      <c r="N1284" s="108" t="str">
        <f>VLOOKUP($K1284,LUTs!$E$2:$H$14,4,)</f>
        <v>01North Puget Sound</v>
      </c>
      <c r="O1284" s="108">
        <v>49</v>
      </c>
      <c r="P1284" s="108">
        <v>423.85</v>
      </c>
      <c r="Q1284" s="108">
        <f>SUMIFS('FW_Salmon_by_Month_2010-2021'!P$2:P$3810,'FW_Salmon_by_Month_2010-2021'!$B$2:$B$3810,'Rec_raw_catch_effort_2010-2021'!$B1284,'FW_Salmon_by_Month_2010-2021'!$H$2:$H$3810,'Rec_raw_catch_effort_2010-2021'!$F1284,'FW_Salmon_by_Month_2010-2021'!$M$2:$M$3810,'Rec_raw_catch_effort_2010-2021'!$K1284)</f>
        <v>49</v>
      </c>
      <c r="R1284" s="109">
        <f>VLOOKUP(B1284,Readme!$A$62:$C$74,2,)*Q1284</f>
        <v>236.15819030154722</v>
      </c>
      <c r="S1284" s="140" t="str">
        <f t="shared" si="121"/>
        <v>Y</v>
      </c>
      <c r="T1284" s="154">
        <f t="shared" si="122"/>
        <v>8.65</v>
      </c>
      <c r="U1284" s="154">
        <f t="shared" si="123"/>
        <v>4.8195549041132084</v>
      </c>
    </row>
    <row r="1285" spans="1:21" x14ac:dyDescent="0.35">
      <c r="A1285" s="108">
        <v>1879</v>
      </c>
      <c r="B1285" s="108">
        <v>2013</v>
      </c>
      <c r="C1285" s="108" t="s">
        <v>38</v>
      </c>
      <c r="D1285" s="108" t="s">
        <v>143</v>
      </c>
      <c r="E1285" s="108" t="s">
        <v>10</v>
      </c>
      <c r="F1285" s="116">
        <v>724</v>
      </c>
      <c r="G1285" s="108" t="s">
        <v>40</v>
      </c>
      <c r="H1285" s="108" t="str">
        <f t="shared" si="120"/>
        <v>Dakota Creek (Whatcom Co)</v>
      </c>
      <c r="I1285" s="108" t="str">
        <f>IFERROR(VLOOKUP(H1285,LUTs!$A$1:$C$73,2,FALSE),"NA")</f>
        <v>Whatcom</v>
      </c>
      <c r="J1285" s="108" t="str">
        <f>IFERROR(VLOOKUP(H1285,LUTs!$A$1:$C$73,3,FALSE),"NA")</f>
        <v>1North Puget Sound</v>
      </c>
      <c r="K1285" s="108" t="s">
        <v>26</v>
      </c>
      <c r="L1285" s="108" t="str">
        <f>VLOOKUP(K1285,LUTs!E$2:G$14,3,)</f>
        <v>20Other</v>
      </c>
      <c r="M1285" s="108" t="str">
        <f>VLOOKUP($K1285,LUTs!$E$2:$H$14,2,)</f>
        <v>Non Puget Sound</v>
      </c>
      <c r="N1285" s="108" t="str">
        <f>VLOOKUP($K1285,LUTs!$E$2:$H$14,4,)</f>
        <v>07Non Puget Sound</v>
      </c>
      <c r="O1285" s="108">
        <v>54.09375</v>
      </c>
      <c r="P1285" s="108">
        <v>186.08250000000001</v>
      </c>
      <c r="Q1285" s="108">
        <f>SUMIFS('FW_Salmon_by_Month_2010-2021'!P$2:P$3810,'FW_Salmon_by_Month_2010-2021'!$B$2:$B$3810,'Rec_raw_catch_effort_2010-2021'!$B1285,'FW_Salmon_by_Month_2010-2021'!$H$2:$H$3810,'Rec_raw_catch_effort_2010-2021'!$F1285,'FW_Salmon_by_Month_2010-2021'!$M$2:$M$3810,'Rec_raw_catch_effort_2010-2021'!$K1285)</f>
        <v>54.101694915254299</v>
      </c>
      <c r="R1285" s="109">
        <f>VLOOKUP(B1285,Readme!$A$62:$C$74,2,)*Q1285</f>
        <v>191.46808616585565</v>
      </c>
      <c r="S1285" s="140" t="str">
        <f t="shared" si="121"/>
        <v>Y</v>
      </c>
      <c r="T1285" s="154">
        <f t="shared" si="122"/>
        <v>3.4400000000000004</v>
      </c>
      <c r="U1285" s="154">
        <f t="shared" si="123"/>
        <v>3.5390404397824158</v>
      </c>
    </row>
    <row r="1286" spans="1:21" x14ac:dyDescent="0.35">
      <c r="A1286" s="108">
        <v>1878</v>
      </c>
      <c r="B1286" s="108">
        <v>2013</v>
      </c>
      <c r="C1286" s="108" t="s">
        <v>38</v>
      </c>
      <c r="D1286" s="108" t="s">
        <v>143</v>
      </c>
      <c r="E1286" s="108" t="s">
        <v>10</v>
      </c>
      <c r="F1286" s="116">
        <v>724</v>
      </c>
      <c r="G1286" s="108" t="s">
        <v>40</v>
      </c>
      <c r="H1286" s="108" t="str">
        <f t="shared" si="120"/>
        <v>Dakota Creek (Whatcom Co)</v>
      </c>
      <c r="I1286" s="108" t="str">
        <f>IFERROR(VLOOKUP(H1286,LUTs!$A$1:$C$73,2,FALSE),"NA")</f>
        <v>Whatcom</v>
      </c>
      <c r="J1286" s="108" t="str">
        <f>IFERROR(VLOOKUP(H1286,LUTs!$A$1:$C$73,3,FALSE),"NA")</f>
        <v>1North Puget Sound</v>
      </c>
      <c r="K1286" s="108" t="s">
        <v>13</v>
      </c>
      <c r="L1286" s="108" t="str">
        <f>VLOOKUP(K1286,LUTs!E$2:G$14,3,)</f>
        <v>01Whatcom</v>
      </c>
      <c r="M1286" s="108" t="str">
        <f>VLOOKUP($K1286,LUTs!$E$2:$H$14,2,)</f>
        <v>North Puget Sound</v>
      </c>
      <c r="N1286" s="108" t="str">
        <f>VLOOKUP($K1286,LUTs!$E$2:$H$14,4,)</f>
        <v>01North Puget Sound</v>
      </c>
      <c r="O1286" s="108">
        <v>522.90625</v>
      </c>
      <c r="P1286" s="108">
        <v>1798.7974999999999</v>
      </c>
      <c r="Q1286" s="108">
        <f>SUMIFS('FW_Salmon_by_Month_2010-2021'!P$2:P$3810,'FW_Salmon_by_Month_2010-2021'!$B$2:$B$3810,'Rec_raw_catch_effort_2010-2021'!$B1286,'FW_Salmon_by_Month_2010-2021'!$H$2:$H$3810,'Rec_raw_catch_effort_2010-2021'!$F1286,'FW_Salmon_by_Month_2010-2021'!$M$2:$M$3810,'Rec_raw_catch_effort_2010-2021'!$K1286)</f>
        <v>522.89830508474597</v>
      </c>
      <c r="R1286" s="109">
        <f>VLOOKUP(B1286,Readme!$A$62:$C$74,2,)*Q1286</f>
        <v>1850.558247588599</v>
      </c>
      <c r="S1286" s="140" t="str">
        <f t="shared" si="121"/>
        <v>Y</v>
      </c>
      <c r="T1286" s="154">
        <f t="shared" si="122"/>
        <v>3.44</v>
      </c>
      <c r="U1286" s="154">
        <f t="shared" si="123"/>
        <v>3.5390404397824153</v>
      </c>
    </row>
    <row r="1287" spans="1:21" x14ac:dyDescent="0.35">
      <c r="A1287" s="108">
        <v>2035</v>
      </c>
      <c r="B1287" s="108">
        <v>2014</v>
      </c>
      <c r="C1287" s="108" t="s">
        <v>38</v>
      </c>
      <c r="D1287" s="108" t="s">
        <v>143</v>
      </c>
      <c r="E1287" s="108" t="s">
        <v>10</v>
      </c>
      <c r="F1287" s="116">
        <v>724</v>
      </c>
      <c r="G1287" s="108" t="s">
        <v>40</v>
      </c>
      <c r="H1287" s="108" t="str">
        <f t="shared" si="120"/>
        <v>Dakota Creek (Whatcom Co)</v>
      </c>
      <c r="I1287" s="108" t="str">
        <f>IFERROR(VLOOKUP(H1287,LUTs!$A$1:$C$73,2,FALSE),"NA")</f>
        <v>Whatcom</v>
      </c>
      <c r="J1287" s="108" t="str">
        <f>IFERROR(VLOOKUP(H1287,LUTs!$A$1:$C$73,3,FALSE),"NA")</f>
        <v>1North Puget Sound</v>
      </c>
      <c r="K1287" s="108" t="s">
        <v>26</v>
      </c>
      <c r="L1287" s="108" t="str">
        <f>VLOOKUP(K1287,LUTs!E$2:G$14,3,)</f>
        <v>20Other</v>
      </c>
      <c r="M1287" s="108" t="str">
        <f>VLOOKUP($K1287,LUTs!$E$2:$H$14,2,)</f>
        <v>Non Puget Sound</v>
      </c>
      <c r="N1287" s="108" t="str">
        <f>VLOOKUP($K1287,LUTs!$E$2:$H$14,4,)</f>
        <v>07Non Puget Sound</v>
      </c>
      <c r="O1287" s="108">
        <v>7.1578947368421098</v>
      </c>
      <c r="P1287" s="108">
        <v>61.9157894736842</v>
      </c>
      <c r="Q1287" s="108">
        <f>SUMIFS('FW_Salmon_by_Month_2010-2021'!P$2:P$3810,'FW_Salmon_by_Month_2010-2021'!$B$2:$B$3810,'Rec_raw_catch_effort_2010-2021'!$B1287,'FW_Salmon_by_Month_2010-2021'!$H$2:$H$3810,'Rec_raw_catch_effort_2010-2021'!$F1287,'FW_Salmon_by_Month_2010-2021'!$M$2:$M$3810,'Rec_raw_catch_effort_2010-2021'!$K1287)</f>
        <v>7.1578947368421098</v>
      </c>
      <c r="R1287" s="109">
        <f>VLOOKUP(B1287,Readme!$A$62:$C$74,2,)*Q1287</f>
        <v>34.497866682073514</v>
      </c>
      <c r="S1287" s="140" t="str">
        <f t="shared" si="121"/>
        <v>Y</v>
      </c>
      <c r="T1287" s="154">
        <f t="shared" si="122"/>
        <v>8.6499999999999932</v>
      </c>
      <c r="U1287" s="154">
        <f t="shared" si="123"/>
        <v>4.8195549041132084</v>
      </c>
    </row>
    <row r="1288" spans="1:21" x14ac:dyDescent="0.35">
      <c r="A1288" s="108">
        <v>2034</v>
      </c>
      <c r="B1288" s="108">
        <v>2014</v>
      </c>
      <c r="C1288" s="108" t="s">
        <v>38</v>
      </c>
      <c r="D1288" s="108" t="s">
        <v>143</v>
      </c>
      <c r="E1288" s="108" t="s">
        <v>10</v>
      </c>
      <c r="F1288" s="116">
        <v>724</v>
      </c>
      <c r="G1288" s="108" t="s">
        <v>40</v>
      </c>
      <c r="H1288" s="108" t="str">
        <f t="shared" si="120"/>
        <v>Dakota Creek (Whatcom Co)</v>
      </c>
      <c r="I1288" s="108" t="str">
        <f>IFERROR(VLOOKUP(H1288,LUTs!$A$1:$C$73,2,FALSE),"NA")</f>
        <v>Whatcom</v>
      </c>
      <c r="J1288" s="108" t="str">
        <f>IFERROR(VLOOKUP(H1288,LUTs!$A$1:$C$73,3,FALSE),"NA")</f>
        <v>1North Puget Sound</v>
      </c>
      <c r="K1288" s="108" t="s">
        <v>16</v>
      </c>
      <c r="L1288" s="108" t="str">
        <f>VLOOKUP(K1288,LUTs!E$2:G$14,3,)</f>
        <v>03Snohomish</v>
      </c>
      <c r="M1288" s="108" t="str">
        <f>VLOOKUP($K1288,LUTs!$E$2:$H$14,2,)</f>
        <v>North Puget Sound</v>
      </c>
      <c r="N1288" s="108" t="str">
        <f>VLOOKUP($K1288,LUTs!$E$2:$H$14,4,)</f>
        <v>01North Puget Sound</v>
      </c>
      <c r="O1288" s="108">
        <v>42.947368421052602</v>
      </c>
      <c r="P1288" s="108">
        <v>371.494736842105</v>
      </c>
      <c r="Q1288" s="108">
        <f>SUMIFS('FW_Salmon_by_Month_2010-2021'!P$2:P$3810,'FW_Salmon_by_Month_2010-2021'!$B$2:$B$3810,'Rec_raw_catch_effort_2010-2021'!$B1288,'FW_Salmon_by_Month_2010-2021'!$H$2:$H$3810,'Rec_raw_catch_effort_2010-2021'!$F1288,'FW_Salmon_by_Month_2010-2021'!$M$2:$M$3810,'Rec_raw_catch_effort_2010-2021'!$K1288)</f>
        <v>42.947368421052602</v>
      </c>
      <c r="R1288" s="109">
        <f>VLOOKUP(B1288,Readme!$A$62:$C$74,2,)*Q1288</f>
        <v>206.98720009244082</v>
      </c>
      <c r="S1288" s="140" t="str">
        <f t="shared" si="121"/>
        <v>Y</v>
      </c>
      <c r="T1288" s="154">
        <f t="shared" si="122"/>
        <v>8.65</v>
      </c>
      <c r="U1288" s="154">
        <f t="shared" si="123"/>
        <v>4.8195549041132084</v>
      </c>
    </row>
    <row r="1289" spans="1:21" x14ac:dyDescent="0.35">
      <c r="A1289" s="108">
        <v>2033</v>
      </c>
      <c r="B1289" s="108">
        <v>2014</v>
      </c>
      <c r="C1289" s="108" t="s">
        <v>38</v>
      </c>
      <c r="D1289" s="108" t="s">
        <v>143</v>
      </c>
      <c r="E1289" s="108" t="s">
        <v>10</v>
      </c>
      <c r="F1289" s="116">
        <v>724</v>
      </c>
      <c r="G1289" s="108" t="s">
        <v>40</v>
      </c>
      <c r="H1289" s="108" t="str">
        <f t="shared" si="120"/>
        <v>Dakota Creek (Whatcom Co)</v>
      </c>
      <c r="I1289" s="108" t="str">
        <f>IFERROR(VLOOKUP(H1289,LUTs!$A$1:$C$73,2,FALSE),"NA")</f>
        <v>Whatcom</v>
      </c>
      <c r="J1289" s="108" t="str">
        <f>IFERROR(VLOOKUP(H1289,LUTs!$A$1:$C$73,3,FALSE),"NA")</f>
        <v>1North Puget Sound</v>
      </c>
      <c r="K1289" s="108" t="s">
        <v>13</v>
      </c>
      <c r="L1289" s="108" t="str">
        <f>VLOOKUP(K1289,LUTs!E$2:G$14,3,)</f>
        <v>01Whatcom</v>
      </c>
      <c r="M1289" s="108" t="str">
        <f>VLOOKUP($K1289,LUTs!$E$2:$H$14,2,)</f>
        <v>North Puget Sound</v>
      </c>
      <c r="N1289" s="108" t="str">
        <f>VLOOKUP($K1289,LUTs!$E$2:$H$14,4,)</f>
        <v>01North Puget Sound</v>
      </c>
      <c r="O1289" s="108">
        <v>85.894736842105303</v>
      </c>
      <c r="P1289" s="108">
        <v>742.98947368421102</v>
      </c>
      <c r="Q1289" s="108">
        <f>SUMIFS('FW_Salmon_by_Month_2010-2021'!P$2:P$3810,'FW_Salmon_by_Month_2010-2021'!$B$2:$B$3810,'Rec_raw_catch_effort_2010-2021'!$B1289,'FW_Salmon_by_Month_2010-2021'!$H$2:$H$3810,'Rec_raw_catch_effort_2010-2021'!$F1289,'FW_Salmon_by_Month_2010-2021'!$M$2:$M$3810,'Rec_raw_catch_effort_2010-2021'!$K1289)</f>
        <v>85.894736842105303</v>
      </c>
      <c r="R1289" s="109">
        <f>VLOOKUP(B1289,Readme!$A$62:$C$74,2,)*Q1289</f>
        <v>413.97440018488209</v>
      </c>
      <c r="S1289" s="140" t="str">
        <f t="shared" si="121"/>
        <v>Y</v>
      </c>
      <c r="T1289" s="154">
        <f t="shared" si="122"/>
        <v>8.6500000000000021</v>
      </c>
      <c r="U1289" s="154">
        <f t="shared" si="123"/>
        <v>4.8195549041132084</v>
      </c>
    </row>
    <row r="1290" spans="1:21" x14ac:dyDescent="0.35">
      <c r="A1290" s="108">
        <v>2173</v>
      </c>
      <c r="B1290" s="108">
        <v>2015</v>
      </c>
      <c r="C1290" s="108" t="s">
        <v>38</v>
      </c>
      <c r="D1290" s="108" t="s">
        <v>143</v>
      </c>
      <c r="E1290" s="108" t="s">
        <v>10</v>
      </c>
      <c r="F1290" s="116">
        <v>724</v>
      </c>
      <c r="G1290" s="108" t="s">
        <v>40</v>
      </c>
      <c r="H1290" s="108" t="str">
        <f t="shared" si="120"/>
        <v>Dakota Creek (Whatcom Co)</v>
      </c>
      <c r="I1290" s="108" t="str">
        <f>IFERROR(VLOOKUP(H1290,LUTs!$A$1:$C$73,2,FALSE),"NA")</f>
        <v>Whatcom</v>
      </c>
      <c r="J1290" s="108" t="str">
        <f>IFERROR(VLOOKUP(H1290,LUTs!$A$1:$C$73,3,FALSE),"NA")</f>
        <v>1North Puget Sound</v>
      </c>
      <c r="K1290" s="108" t="s">
        <v>13</v>
      </c>
      <c r="L1290" s="108" t="str">
        <f>VLOOKUP(K1290,LUTs!E$2:G$14,3,)</f>
        <v>01Whatcom</v>
      </c>
      <c r="M1290" s="108" t="str">
        <f>VLOOKUP($K1290,LUTs!$E$2:$H$14,2,)</f>
        <v>North Puget Sound</v>
      </c>
      <c r="N1290" s="108" t="str">
        <f>VLOOKUP($K1290,LUTs!$E$2:$H$14,4,)</f>
        <v>01North Puget Sound</v>
      </c>
      <c r="O1290" s="108">
        <v>70</v>
      </c>
      <c r="P1290" s="108">
        <v>240.8</v>
      </c>
      <c r="Q1290" s="108">
        <f>SUMIFS('FW_Salmon_by_Month_2010-2021'!P$2:P$3810,'FW_Salmon_by_Month_2010-2021'!$B$2:$B$3810,'Rec_raw_catch_effort_2010-2021'!$B1290,'FW_Salmon_by_Month_2010-2021'!$H$2:$H$3810,'Rec_raw_catch_effort_2010-2021'!$F1290,'FW_Salmon_by_Month_2010-2021'!$M$2:$M$3810,'Rec_raw_catch_effort_2010-2021'!$K1290)</f>
        <v>70</v>
      </c>
      <c r="R1290" s="109">
        <f>VLOOKUP(B1290,Readme!$A$62:$C$74,2,)*Q1290</f>
        <v>247.73283078476908</v>
      </c>
      <c r="S1290" s="140" t="str">
        <f t="shared" si="121"/>
        <v>Y</v>
      </c>
      <c r="T1290" s="154">
        <f t="shared" si="122"/>
        <v>3.44</v>
      </c>
      <c r="U1290" s="154">
        <f t="shared" si="123"/>
        <v>3.5390404397824153</v>
      </c>
    </row>
    <row r="1291" spans="1:21" x14ac:dyDescent="0.35">
      <c r="A1291" s="108">
        <v>2301</v>
      </c>
      <c r="B1291" s="108">
        <v>2016</v>
      </c>
      <c r="C1291" s="108" t="s">
        <v>38</v>
      </c>
      <c r="D1291" s="108" t="s">
        <v>143</v>
      </c>
      <c r="E1291" s="108" t="s">
        <v>10</v>
      </c>
      <c r="F1291" s="116">
        <v>724</v>
      </c>
      <c r="G1291" s="108" t="s">
        <v>40</v>
      </c>
      <c r="H1291" s="108" t="str">
        <f t="shared" si="120"/>
        <v>Dakota Creek (Whatcom Co)</v>
      </c>
      <c r="I1291" s="108" t="str">
        <f>IFERROR(VLOOKUP(H1291,LUTs!$A$1:$C$73,2,FALSE),"NA")</f>
        <v>Whatcom</v>
      </c>
      <c r="J1291" s="108" t="str">
        <f>IFERROR(VLOOKUP(H1291,LUTs!$A$1:$C$73,3,FALSE),"NA")</f>
        <v>1North Puget Sound</v>
      </c>
      <c r="K1291" s="108" t="s">
        <v>13</v>
      </c>
      <c r="L1291" s="108" t="str">
        <f>VLOOKUP(K1291,LUTs!E$2:G$14,3,)</f>
        <v>01Whatcom</v>
      </c>
      <c r="M1291" s="108" t="str">
        <f>VLOOKUP($K1291,LUTs!$E$2:$H$14,2,)</f>
        <v>North Puget Sound</v>
      </c>
      <c r="N1291" s="108" t="str">
        <f>VLOOKUP($K1291,LUTs!$E$2:$H$14,4,)</f>
        <v>01North Puget Sound</v>
      </c>
      <c r="O1291" s="108">
        <v>10</v>
      </c>
      <c r="P1291" s="108">
        <v>86.5</v>
      </c>
      <c r="Q1291" s="108">
        <f>SUMIFS('FW_Salmon_by_Month_2010-2021'!P$2:P$3810,'FW_Salmon_by_Month_2010-2021'!$B$2:$B$3810,'Rec_raw_catch_effort_2010-2021'!$B1291,'FW_Salmon_by_Month_2010-2021'!$H$2:$H$3810,'Rec_raw_catch_effort_2010-2021'!$F1291,'FW_Salmon_by_Month_2010-2021'!$M$2:$M$3810,'Rec_raw_catch_effort_2010-2021'!$K1291)</f>
        <v>10</v>
      </c>
      <c r="R1291" s="109">
        <f>VLOOKUP(B1291,Readme!$A$62:$C$74,2,)*Q1291</f>
        <v>48.195549041132082</v>
      </c>
      <c r="S1291" s="140" t="str">
        <f t="shared" si="121"/>
        <v>Y</v>
      </c>
      <c r="T1291" s="154">
        <f t="shared" si="122"/>
        <v>8.65</v>
      </c>
      <c r="U1291" s="154">
        <f t="shared" si="123"/>
        <v>4.8195549041132084</v>
      </c>
    </row>
    <row r="1292" spans="1:21" x14ac:dyDescent="0.35">
      <c r="A1292" s="108">
        <v>2519</v>
      </c>
      <c r="B1292" s="108">
        <v>2017</v>
      </c>
      <c r="C1292" s="108" t="s">
        <v>38</v>
      </c>
      <c r="D1292" s="108" t="s">
        <v>143</v>
      </c>
      <c r="E1292" s="108" t="s">
        <v>10</v>
      </c>
      <c r="F1292" s="116">
        <v>724</v>
      </c>
      <c r="G1292" s="108" t="s">
        <v>40</v>
      </c>
      <c r="H1292" s="108" t="str">
        <f t="shared" si="120"/>
        <v>Dakota Creek (Whatcom Co)</v>
      </c>
      <c r="I1292" s="108" t="str">
        <f>IFERROR(VLOOKUP(H1292,LUTs!$A$1:$C$73,2,FALSE),"NA")</f>
        <v>Whatcom</v>
      </c>
      <c r="J1292" s="108" t="str">
        <f>IFERROR(VLOOKUP(H1292,LUTs!$A$1:$C$73,3,FALSE),"NA")</f>
        <v>1North Puget Sound</v>
      </c>
      <c r="K1292" s="108" t="s">
        <v>13</v>
      </c>
      <c r="L1292" s="108" t="str">
        <f>VLOOKUP(K1292,LUTs!E$2:G$14,3,)</f>
        <v>01Whatcom</v>
      </c>
      <c r="M1292" s="108" t="str">
        <f>VLOOKUP($K1292,LUTs!$E$2:$H$14,2,)</f>
        <v>North Puget Sound</v>
      </c>
      <c r="N1292" s="108" t="str">
        <f>VLOOKUP($K1292,LUTs!$E$2:$H$14,4,)</f>
        <v>01North Puget Sound</v>
      </c>
      <c r="O1292" s="108">
        <v>39</v>
      </c>
      <c r="P1292" s="108">
        <v>134.16</v>
      </c>
      <c r="Q1292" s="108">
        <f>SUMIFS('FW_Salmon_by_Month_2010-2021'!P$2:P$3810,'FW_Salmon_by_Month_2010-2021'!$B$2:$B$3810,'Rec_raw_catch_effort_2010-2021'!$B1292,'FW_Salmon_by_Month_2010-2021'!$H$2:$H$3810,'Rec_raw_catch_effort_2010-2021'!$F1292,'FW_Salmon_by_Month_2010-2021'!$M$2:$M$3810,'Rec_raw_catch_effort_2010-2021'!$K1292)</f>
        <v>39</v>
      </c>
      <c r="R1292" s="109">
        <f>VLOOKUP(B1292,Readme!$A$62:$C$74,2,)*Q1292</f>
        <v>138.02257715151418</v>
      </c>
      <c r="S1292" s="140" t="str">
        <f t="shared" si="121"/>
        <v>Y</v>
      </c>
      <c r="T1292" s="154">
        <f t="shared" si="122"/>
        <v>3.44</v>
      </c>
      <c r="U1292" s="154">
        <f t="shared" si="123"/>
        <v>3.5390404397824149</v>
      </c>
    </row>
    <row r="1293" spans="1:21" x14ac:dyDescent="0.35">
      <c r="A1293" s="108">
        <v>2649</v>
      </c>
      <c r="B1293" s="108">
        <v>2018</v>
      </c>
      <c r="C1293" s="108" t="s">
        <v>38</v>
      </c>
      <c r="D1293" s="108" t="s">
        <v>143</v>
      </c>
      <c r="E1293" s="108" t="s">
        <v>10</v>
      </c>
      <c r="F1293" s="116">
        <v>724</v>
      </c>
      <c r="G1293" s="108" t="s">
        <v>40</v>
      </c>
      <c r="H1293" s="108" t="str">
        <f t="shared" si="120"/>
        <v>Dakota Creek (Whatcom Co)</v>
      </c>
      <c r="I1293" s="108" t="str">
        <f>IFERROR(VLOOKUP(H1293,LUTs!$A$1:$C$73,2,FALSE),"NA")</f>
        <v>Whatcom</v>
      </c>
      <c r="J1293" s="108" t="str">
        <f>IFERROR(VLOOKUP(H1293,LUTs!$A$1:$C$73,3,FALSE),"NA")</f>
        <v>1North Puget Sound</v>
      </c>
      <c r="K1293" s="108" t="s">
        <v>13</v>
      </c>
      <c r="L1293" s="108" t="str">
        <f>VLOOKUP(K1293,LUTs!E$2:G$14,3,)</f>
        <v>01Whatcom</v>
      </c>
      <c r="M1293" s="108" t="str">
        <f>VLOOKUP($K1293,LUTs!$E$2:$H$14,2,)</f>
        <v>North Puget Sound</v>
      </c>
      <c r="N1293" s="108" t="str">
        <f>VLOOKUP($K1293,LUTs!$E$2:$H$14,4,)</f>
        <v>01North Puget Sound</v>
      </c>
      <c r="O1293" s="108">
        <v>19</v>
      </c>
      <c r="P1293" s="108">
        <v>164.35</v>
      </c>
      <c r="Q1293" s="108">
        <f>SUMIFS('FW_Salmon_by_Month_2010-2021'!P$2:P$3810,'FW_Salmon_by_Month_2010-2021'!$B$2:$B$3810,'Rec_raw_catch_effort_2010-2021'!$B1293,'FW_Salmon_by_Month_2010-2021'!$H$2:$H$3810,'Rec_raw_catch_effort_2010-2021'!$F1293,'FW_Salmon_by_Month_2010-2021'!$M$2:$M$3810,'Rec_raw_catch_effort_2010-2021'!$K1293)</f>
        <v>19</v>
      </c>
      <c r="R1293" s="109">
        <f>VLOOKUP(B1293,Readme!$A$62:$C$74,2,)*Q1293</f>
        <v>91.571543178150961</v>
      </c>
      <c r="S1293" s="140" t="str">
        <f t="shared" si="121"/>
        <v>Y</v>
      </c>
      <c r="T1293" s="154">
        <f t="shared" si="122"/>
        <v>8.65</v>
      </c>
      <c r="U1293" s="154">
        <f t="shared" si="123"/>
        <v>4.8195549041132084</v>
      </c>
    </row>
    <row r="1294" spans="1:21" x14ac:dyDescent="0.35">
      <c r="A1294" s="108">
        <v>2774</v>
      </c>
      <c r="B1294" s="108">
        <v>2019</v>
      </c>
      <c r="C1294" s="108" t="s">
        <v>38</v>
      </c>
      <c r="D1294" s="108" t="s">
        <v>143</v>
      </c>
      <c r="E1294" s="108" t="s">
        <v>10</v>
      </c>
      <c r="F1294" s="116">
        <v>724</v>
      </c>
      <c r="G1294" s="108" t="s">
        <v>40</v>
      </c>
      <c r="H1294" s="108" t="str">
        <f t="shared" si="120"/>
        <v>Dakota Creek (Whatcom Co)</v>
      </c>
      <c r="I1294" s="108" t="str">
        <f>IFERROR(VLOOKUP(H1294,LUTs!$A$1:$C$73,2,FALSE),"NA")</f>
        <v>Whatcom</v>
      </c>
      <c r="J1294" s="108" t="str">
        <f>IFERROR(VLOOKUP(H1294,LUTs!$A$1:$C$73,3,FALSE),"NA")</f>
        <v>1North Puget Sound</v>
      </c>
      <c r="K1294" s="108" t="s">
        <v>16</v>
      </c>
      <c r="L1294" s="108" t="str">
        <f>VLOOKUP(K1294,LUTs!E$2:G$14,3,)</f>
        <v>03Snohomish</v>
      </c>
      <c r="M1294" s="108" t="str">
        <f>VLOOKUP($K1294,LUTs!$E$2:$H$14,2,)</f>
        <v>North Puget Sound</v>
      </c>
      <c r="N1294" s="108" t="str">
        <f>VLOOKUP($K1294,LUTs!$E$2:$H$14,4,)</f>
        <v>01North Puget Sound</v>
      </c>
      <c r="O1294" s="108">
        <v>51.6666666666667</v>
      </c>
      <c r="P1294" s="108">
        <v>177.73333333333301</v>
      </c>
      <c r="Q1294" s="108">
        <f>SUMIFS('FW_Salmon_by_Month_2010-2021'!P$2:P$3810,'FW_Salmon_by_Month_2010-2021'!$B$2:$B$3810,'Rec_raw_catch_effort_2010-2021'!$B1294,'FW_Salmon_by_Month_2010-2021'!$H$2:$H$3810,'Rec_raw_catch_effort_2010-2021'!$F1294,'FW_Salmon_by_Month_2010-2021'!$M$2:$M$3810,'Rec_raw_catch_effort_2010-2021'!$K1294)</f>
        <v>51.6666666666667</v>
      </c>
      <c r="R1294" s="109">
        <f>VLOOKUP(B1294,Readme!$A$62:$C$74,2,)*Q1294</f>
        <v>182.85042272209157</v>
      </c>
      <c r="S1294" s="140" t="str">
        <f t="shared" si="121"/>
        <v>Y</v>
      </c>
      <c r="T1294" s="154">
        <f t="shared" si="122"/>
        <v>3.4399999999999915</v>
      </c>
      <c r="U1294" s="154">
        <f t="shared" si="123"/>
        <v>3.5390404397824153</v>
      </c>
    </row>
    <row r="1295" spans="1:21" x14ac:dyDescent="0.35">
      <c r="A1295" s="108">
        <v>2773</v>
      </c>
      <c r="B1295" s="108">
        <v>2019</v>
      </c>
      <c r="C1295" s="108" t="s">
        <v>38</v>
      </c>
      <c r="D1295" s="108" t="s">
        <v>143</v>
      </c>
      <c r="E1295" s="108" t="s">
        <v>10</v>
      </c>
      <c r="F1295" s="116">
        <v>724</v>
      </c>
      <c r="G1295" s="108" t="s">
        <v>40</v>
      </c>
      <c r="H1295" s="108" t="str">
        <f t="shared" si="120"/>
        <v>Dakota Creek (Whatcom Co)</v>
      </c>
      <c r="I1295" s="108" t="str">
        <f>IFERROR(VLOOKUP(H1295,LUTs!$A$1:$C$73,2,FALSE),"NA")</f>
        <v>Whatcom</v>
      </c>
      <c r="J1295" s="108" t="str">
        <f>IFERROR(VLOOKUP(H1295,LUTs!$A$1:$C$73,3,FALSE),"NA")</f>
        <v>1North Puget Sound</v>
      </c>
      <c r="K1295" s="108" t="s">
        <v>13</v>
      </c>
      <c r="L1295" s="108" t="str">
        <f>VLOOKUP(K1295,LUTs!E$2:G$14,3,)</f>
        <v>01Whatcom</v>
      </c>
      <c r="M1295" s="108" t="str">
        <f>VLOOKUP($K1295,LUTs!$E$2:$H$14,2,)</f>
        <v>North Puget Sound</v>
      </c>
      <c r="N1295" s="108" t="str">
        <f>VLOOKUP($K1295,LUTs!$E$2:$H$14,4,)</f>
        <v>01North Puget Sound</v>
      </c>
      <c r="O1295" s="108">
        <v>72.3333333333334</v>
      </c>
      <c r="P1295" s="108">
        <v>248.82666666666699</v>
      </c>
      <c r="Q1295" s="108">
        <f>SUMIFS('FW_Salmon_by_Month_2010-2021'!P$2:P$3810,'FW_Salmon_by_Month_2010-2021'!$B$2:$B$3810,'Rec_raw_catch_effort_2010-2021'!$B1295,'FW_Salmon_by_Month_2010-2021'!$H$2:$H$3810,'Rec_raw_catch_effort_2010-2021'!$F1295,'FW_Salmon_by_Month_2010-2021'!$M$2:$M$3810,'Rec_raw_catch_effort_2010-2021'!$K1295)</f>
        <v>72.3333333333334</v>
      </c>
      <c r="R1295" s="109">
        <f>VLOOKUP(B1295,Readme!$A$62:$C$74,2,)*Q1295</f>
        <v>255.99059181092827</v>
      </c>
      <c r="S1295" s="140" t="str">
        <f t="shared" si="121"/>
        <v>Y</v>
      </c>
      <c r="T1295" s="154">
        <f t="shared" si="122"/>
        <v>3.4400000000000013</v>
      </c>
      <c r="U1295" s="154">
        <f t="shared" si="123"/>
        <v>3.5390404397824153</v>
      </c>
    </row>
    <row r="1296" spans="1:21" x14ac:dyDescent="0.35">
      <c r="A1296" s="108">
        <v>2893</v>
      </c>
      <c r="B1296" s="108">
        <v>2020</v>
      </c>
      <c r="C1296" s="108" t="s">
        <v>38</v>
      </c>
      <c r="D1296" s="108" t="s">
        <v>143</v>
      </c>
      <c r="E1296" s="108" t="s">
        <v>10</v>
      </c>
      <c r="F1296" s="116">
        <v>724</v>
      </c>
      <c r="G1296" s="108" t="s">
        <v>40</v>
      </c>
      <c r="H1296" s="108" t="str">
        <f t="shared" si="120"/>
        <v>Dakota Creek (Whatcom Co)</v>
      </c>
      <c r="I1296" s="108" t="str">
        <f>IFERROR(VLOOKUP(H1296,LUTs!$A$1:$C$73,2,FALSE),"NA")</f>
        <v>Whatcom</v>
      </c>
      <c r="J1296" s="108" t="str">
        <f>IFERROR(VLOOKUP(H1296,LUTs!$A$1:$C$73,3,FALSE),"NA")</f>
        <v>1North Puget Sound</v>
      </c>
      <c r="K1296" s="108" t="s">
        <v>20</v>
      </c>
      <c r="L1296" s="108" t="str">
        <f>VLOOKUP(K1296,LUTs!E$2:G$14,3,)</f>
        <v>07Pierce</v>
      </c>
      <c r="M1296" s="108" t="str">
        <f>VLOOKUP($K1296,LUTs!$E$2:$H$14,2,)</f>
        <v>South Puget Sound</v>
      </c>
      <c r="N1296" s="108" t="str">
        <f>VLOOKUP($K1296,LUTs!$E$2:$H$14,4,)</f>
        <v>02South Puget Sound</v>
      </c>
      <c r="O1296" s="108">
        <v>12</v>
      </c>
      <c r="P1296" s="108">
        <v>103.8</v>
      </c>
      <c r="Q1296" s="108">
        <f>SUMIFS('FW_Salmon_by_Month_2010-2021'!P$2:P$3810,'FW_Salmon_by_Month_2010-2021'!$B$2:$B$3810,'Rec_raw_catch_effort_2010-2021'!$B1296,'FW_Salmon_by_Month_2010-2021'!$H$2:$H$3810,'Rec_raw_catch_effort_2010-2021'!$F1296,'FW_Salmon_by_Month_2010-2021'!$M$2:$M$3810,'Rec_raw_catch_effort_2010-2021'!$K1296)</f>
        <v>12</v>
      </c>
      <c r="R1296" s="109">
        <f>VLOOKUP(B1296,Readme!$A$62:$C$74,2,)*Q1296</f>
        <v>57.834658849358505</v>
      </c>
      <c r="S1296" s="140" t="str">
        <f t="shared" si="121"/>
        <v>N</v>
      </c>
      <c r="T1296" s="154">
        <f t="shared" si="122"/>
        <v>8.65</v>
      </c>
      <c r="U1296" s="154">
        <f t="shared" si="123"/>
        <v>4.8195549041132084</v>
      </c>
    </row>
    <row r="1297" spans="1:21" x14ac:dyDescent="0.35">
      <c r="A1297" s="108">
        <v>267</v>
      </c>
      <c r="B1297" s="108">
        <v>2010</v>
      </c>
      <c r="C1297" s="108" t="s">
        <v>38</v>
      </c>
      <c r="D1297" s="108" t="s">
        <v>143</v>
      </c>
      <c r="E1297" s="108" t="s">
        <v>10</v>
      </c>
      <c r="F1297" s="116">
        <v>728</v>
      </c>
      <c r="G1297" s="108" t="s">
        <v>41</v>
      </c>
      <c r="H1297" s="108" t="str">
        <f t="shared" si="120"/>
        <v>Deschutes River</v>
      </c>
      <c r="I1297" s="108" t="str">
        <f>IFERROR(VLOOKUP(H1297,LUTs!$A$1:$C$73,2,FALSE),"NA")</f>
        <v>Thurston</v>
      </c>
      <c r="J1297" s="108" t="str">
        <f>IFERROR(VLOOKUP(H1297,LUTs!$A$1:$C$73,3,FALSE),"NA")</f>
        <v>3South Puget Sound</v>
      </c>
      <c r="K1297" s="108" t="s">
        <v>20</v>
      </c>
      <c r="L1297" s="108" t="str">
        <f>VLOOKUP(K1297,LUTs!E$2:G$14,3,)</f>
        <v>07Pierce</v>
      </c>
      <c r="M1297" s="108" t="str">
        <f>VLOOKUP($K1297,LUTs!$E$2:$H$14,2,)</f>
        <v>South Puget Sound</v>
      </c>
      <c r="N1297" s="108" t="str">
        <f>VLOOKUP($K1297,LUTs!$E$2:$H$14,4,)</f>
        <v>02South Puget Sound</v>
      </c>
      <c r="O1297" s="108">
        <v>12.6666666666667</v>
      </c>
      <c r="P1297" s="108">
        <v>109.566666666667</v>
      </c>
      <c r="Q1297" s="108">
        <f>SUMIFS('FW_Salmon_by_Month_2010-2021'!P$2:P$3810,'FW_Salmon_by_Month_2010-2021'!$B$2:$B$3810,'Rec_raw_catch_effort_2010-2021'!$B1297,'FW_Salmon_by_Month_2010-2021'!$H$2:$H$3810,'Rec_raw_catch_effort_2010-2021'!$F1297,'FW_Salmon_by_Month_2010-2021'!$M$2:$M$3810,'Rec_raw_catch_effort_2010-2021'!$K1297)</f>
        <v>13</v>
      </c>
      <c r="R1297" s="109">
        <f>VLOOKUP(B1297,Readme!$A$62:$C$74,2,)*Q1297</f>
        <v>62.654213753471709</v>
      </c>
      <c r="S1297" s="140" t="str">
        <f t="shared" si="121"/>
        <v>Y</v>
      </c>
      <c r="T1297" s="154">
        <f t="shared" si="122"/>
        <v>8.6500000000000039</v>
      </c>
      <c r="U1297" s="154">
        <f t="shared" si="123"/>
        <v>4.8195549041132084</v>
      </c>
    </row>
    <row r="1298" spans="1:21" x14ac:dyDescent="0.35">
      <c r="A1298" s="108">
        <v>268</v>
      </c>
      <c r="B1298" s="108">
        <v>2010</v>
      </c>
      <c r="C1298" s="108" t="s">
        <v>38</v>
      </c>
      <c r="D1298" s="108" t="s">
        <v>143</v>
      </c>
      <c r="E1298" s="108" t="s">
        <v>10</v>
      </c>
      <c r="F1298" s="116">
        <v>728</v>
      </c>
      <c r="G1298" s="108" t="s">
        <v>41</v>
      </c>
      <c r="H1298" s="108" t="str">
        <f t="shared" si="120"/>
        <v>Deschutes River</v>
      </c>
      <c r="I1298" s="108" t="str">
        <f>IFERROR(VLOOKUP(H1298,LUTs!$A$1:$C$73,2,FALSE),"NA")</f>
        <v>Thurston</v>
      </c>
      <c r="J1298" s="108" t="str">
        <f>IFERROR(VLOOKUP(H1298,LUTs!$A$1:$C$73,3,FALSE),"NA")</f>
        <v>3South Puget Sound</v>
      </c>
      <c r="K1298" s="108" t="s">
        <v>21</v>
      </c>
      <c r="L1298" s="108" t="str">
        <f>VLOOKUP(K1298,LUTs!E$2:G$14,3,)</f>
        <v>08Thurston</v>
      </c>
      <c r="M1298" s="108" t="str">
        <f>VLOOKUP($K1298,LUTs!$E$2:$H$14,2,)</f>
        <v>South Puget Sound</v>
      </c>
      <c r="N1298" s="108" t="str">
        <f>VLOOKUP($K1298,LUTs!$E$2:$H$14,4,)</f>
        <v>02South Puget Sound</v>
      </c>
      <c r="O1298" s="108">
        <v>6.3333333333333401</v>
      </c>
      <c r="P1298" s="108">
        <v>54.783333333333402</v>
      </c>
      <c r="Q1298" s="108">
        <f>SUMIFS('FW_Salmon_by_Month_2010-2021'!P$2:P$3810,'FW_Salmon_by_Month_2010-2021'!$B$2:$B$3810,'Rec_raw_catch_effort_2010-2021'!$B1298,'FW_Salmon_by_Month_2010-2021'!$H$2:$H$3810,'Rec_raw_catch_effort_2010-2021'!$F1298,'FW_Salmon_by_Month_2010-2021'!$M$2:$M$3810,'Rec_raw_catch_effort_2010-2021'!$K1298)</f>
        <v>6</v>
      </c>
      <c r="R1298" s="109">
        <f>VLOOKUP(B1298,Readme!$A$62:$C$74,2,)*Q1298</f>
        <v>28.917329424679252</v>
      </c>
      <c r="S1298" s="140" t="str">
        <f t="shared" si="121"/>
        <v>Y</v>
      </c>
      <c r="T1298" s="154">
        <f t="shared" si="122"/>
        <v>8.6500000000000021</v>
      </c>
      <c r="U1298" s="154">
        <f t="shared" si="123"/>
        <v>4.8195549041132084</v>
      </c>
    </row>
    <row r="1299" spans="1:21" x14ac:dyDescent="0.35">
      <c r="A1299" s="108">
        <v>270</v>
      </c>
      <c r="B1299" s="108">
        <v>2012</v>
      </c>
      <c r="C1299" s="108" t="s">
        <v>38</v>
      </c>
      <c r="D1299" s="108" t="s">
        <v>143</v>
      </c>
      <c r="E1299" s="108" t="s">
        <v>10</v>
      </c>
      <c r="F1299" s="116">
        <v>728</v>
      </c>
      <c r="G1299" s="108" t="s">
        <v>41</v>
      </c>
      <c r="H1299" s="108" t="str">
        <f t="shared" si="120"/>
        <v>Deschutes River</v>
      </c>
      <c r="I1299" s="108" t="str">
        <f>IFERROR(VLOOKUP(H1299,LUTs!$A$1:$C$73,2,FALSE),"NA")</f>
        <v>Thurston</v>
      </c>
      <c r="J1299" s="108" t="str">
        <f>IFERROR(VLOOKUP(H1299,LUTs!$A$1:$C$73,3,FALSE),"NA")</f>
        <v>3South Puget Sound</v>
      </c>
      <c r="K1299" s="108" t="s">
        <v>26</v>
      </c>
      <c r="L1299" s="108" t="str">
        <f>VLOOKUP(K1299,LUTs!E$2:G$14,3,)</f>
        <v>20Other</v>
      </c>
      <c r="M1299" s="108" t="str">
        <f>VLOOKUP($K1299,LUTs!$E$2:$H$14,2,)</f>
        <v>Non Puget Sound</v>
      </c>
      <c r="N1299" s="108" t="str">
        <f>VLOOKUP($K1299,LUTs!$E$2:$H$14,4,)</f>
        <v>07Non Puget Sound</v>
      </c>
      <c r="O1299" s="108">
        <v>1</v>
      </c>
      <c r="P1299" s="108">
        <v>8.65</v>
      </c>
      <c r="Q1299" s="108">
        <f>SUMIFS('FW_Salmon_by_Month_2010-2021'!P$2:P$3810,'FW_Salmon_by_Month_2010-2021'!$B$2:$B$3810,'Rec_raw_catch_effort_2010-2021'!$B1299,'FW_Salmon_by_Month_2010-2021'!$H$2:$H$3810,'Rec_raw_catch_effort_2010-2021'!$F1299,'FW_Salmon_by_Month_2010-2021'!$M$2:$M$3810,'Rec_raw_catch_effort_2010-2021'!$K1299)</f>
        <v>1</v>
      </c>
      <c r="R1299" s="109">
        <f>VLOOKUP(B1299,Readme!$A$62:$C$74,2,)*Q1299</f>
        <v>4.8195549041132084</v>
      </c>
      <c r="S1299" s="140" t="str">
        <f t="shared" si="121"/>
        <v>Y</v>
      </c>
      <c r="T1299" s="154">
        <f t="shared" si="122"/>
        <v>8.65</v>
      </c>
      <c r="U1299" s="154">
        <f t="shared" si="123"/>
        <v>4.8195549041132084</v>
      </c>
    </row>
    <row r="1300" spans="1:21" x14ac:dyDescent="0.35">
      <c r="A1300" s="108">
        <v>269</v>
      </c>
      <c r="B1300" s="108">
        <v>2012</v>
      </c>
      <c r="C1300" s="108" t="s">
        <v>38</v>
      </c>
      <c r="D1300" s="108" t="s">
        <v>143</v>
      </c>
      <c r="E1300" s="108" t="s">
        <v>10</v>
      </c>
      <c r="F1300" s="116">
        <v>728</v>
      </c>
      <c r="G1300" s="108" t="s">
        <v>41</v>
      </c>
      <c r="H1300" s="108" t="str">
        <f t="shared" si="120"/>
        <v>Deschutes River</v>
      </c>
      <c r="I1300" s="108" t="str">
        <f>IFERROR(VLOOKUP(H1300,LUTs!$A$1:$C$73,2,FALSE),"NA")</f>
        <v>Thurston</v>
      </c>
      <c r="J1300" s="108" t="str">
        <f>IFERROR(VLOOKUP(H1300,LUTs!$A$1:$C$73,3,FALSE),"NA")</f>
        <v>3South Puget Sound</v>
      </c>
      <c r="K1300" s="108" t="s">
        <v>21</v>
      </c>
      <c r="L1300" s="108" t="str">
        <f>VLOOKUP(K1300,LUTs!E$2:G$14,3,)</f>
        <v>08Thurston</v>
      </c>
      <c r="M1300" s="108" t="str">
        <f>VLOOKUP($K1300,LUTs!$E$2:$H$14,2,)</f>
        <v>South Puget Sound</v>
      </c>
      <c r="N1300" s="108" t="str">
        <f>VLOOKUP($K1300,LUTs!$E$2:$H$14,4,)</f>
        <v>02South Puget Sound</v>
      </c>
      <c r="O1300" s="108">
        <v>2</v>
      </c>
      <c r="P1300" s="108">
        <v>17.3</v>
      </c>
      <c r="Q1300" s="108">
        <f>SUMIFS('FW_Salmon_by_Month_2010-2021'!P$2:P$3810,'FW_Salmon_by_Month_2010-2021'!$B$2:$B$3810,'Rec_raw_catch_effort_2010-2021'!$B1300,'FW_Salmon_by_Month_2010-2021'!$H$2:$H$3810,'Rec_raw_catch_effort_2010-2021'!$F1300,'FW_Salmon_by_Month_2010-2021'!$M$2:$M$3810,'Rec_raw_catch_effort_2010-2021'!$K1300)</f>
        <v>2</v>
      </c>
      <c r="R1300" s="109">
        <f>VLOOKUP(B1300,Readme!$A$62:$C$74,2,)*Q1300</f>
        <v>9.6391098082264168</v>
      </c>
      <c r="S1300" s="140" t="str">
        <f t="shared" si="121"/>
        <v>Y</v>
      </c>
      <c r="T1300" s="154">
        <f t="shared" si="122"/>
        <v>8.65</v>
      </c>
      <c r="U1300" s="154">
        <f t="shared" si="123"/>
        <v>4.8195549041132084</v>
      </c>
    </row>
    <row r="1301" spans="1:21" x14ac:dyDescent="0.35">
      <c r="A1301" s="108">
        <v>274</v>
      </c>
      <c r="B1301" s="108">
        <v>2016</v>
      </c>
      <c r="C1301" s="108" t="s">
        <v>38</v>
      </c>
      <c r="D1301" s="108" t="s">
        <v>143</v>
      </c>
      <c r="E1301" s="108" t="s">
        <v>10</v>
      </c>
      <c r="F1301" s="116">
        <v>728</v>
      </c>
      <c r="G1301" s="108" t="s">
        <v>41</v>
      </c>
      <c r="H1301" s="108" t="str">
        <f t="shared" si="120"/>
        <v>Deschutes River</v>
      </c>
      <c r="I1301" s="108" t="str">
        <f>IFERROR(VLOOKUP(H1301,LUTs!$A$1:$C$73,2,FALSE),"NA")</f>
        <v>Thurston</v>
      </c>
      <c r="J1301" s="108" t="str">
        <f>IFERROR(VLOOKUP(H1301,LUTs!$A$1:$C$73,3,FALSE),"NA")</f>
        <v>3South Puget Sound</v>
      </c>
      <c r="K1301" s="108" t="s">
        <v>26</v>
      </c>
      <c r="L1301" s="108" t="str">
        <f>VLOOKUP(K1301,LUTs!E$2:G$14,3,)</f>
        <v>20Other</v>
      </c>
      <c r="M1301" s="108" t="str">
        <f>VLOOKUP($K1301,LUTs!$E$2:$H$14,2,)</f>
        <v>Non Puget Sound</v>
      </c>
      <c r="N1301" s="108" t="str">
        <f>VLOOKUP($K1301,LUTs!$E$2:$H$14,4,)</f>
        <v>07Non Puget Sound</v>
      </c>
      <c r="O1301" s="108">
        <v>18</v>
      </c>
      <c r="P1301" s="108">
        <v>155.69999999999999</v>
      </c>
      <c r="Q1301" s="108">
        <f>SUMIFS('FW_Salmon_by_Month_2010-2021'!P$2:P$3810,'FW_Salmon_by_Month_2010-2021'!$B$2:$B$3810,'Rec_raw_catch_effort_2010-2021'!$B1301,'FW_Salmon_by_Month_2010-2021'!$H$2:$H$3810,'Rec_raw_catch_effort_2010-2021'!$F1301,'FW_Salmon_by_Month_2010-2021'!$M$2:$M$3810,'Rec_raw_catch_effort_2010-2021'!$K1301)</f>
        <v>24</v>
      </c>
      <c r="R1301" s="109">
        <f>VLOOKUP(B1301,Readme!$A$62:$C$74,2,)*Q1301</f>
        <v>115.66931769871701</v>
      </c>
      <c r="S1301" s="140" t="str">
        <f t="shared" si="121"/>
        <v>Y</v>
      </c>
      <c r="T1301" s="154">
        <f t="shared" si="122"/>
        <v>8.6499999999999986</v>
      </c>
      <c r="U1301" s="154">
        <f t="shared" si="123"/>
        <v>4.8195549041132084</v>
      </c>
    </row>
    <row r="1302" spans="1:21" x14ac:dyDescent="0.35">
      <c r="A1302" s="108">
        <v>273</v>
      </c>
      <c r="B1302" s="108">
        <v>2016</v>
      </c>
      <c r="C1302" s="108" t="s">
        <v>38</v>
      </c>
      <c r="D1302" s="108" t="s">
        <v>143</v>
      </c>
      <c r="E1302" s="108" t="s">
        <v>10</v>
      </c>
      <c r="F1302" s="116">
        <v>728</v>
      </c>
      <c r="G1302" s="108" t="s">
        <v>41</v>
      </c>
      <c r="H1302" s="108" t="str">
        <f t="shared" si="120"/>
        <v>Deschutes River</v>
      </c>
      <c r="I1302" s="108" t="str">
        <f>IFERROR(VLOOKUP(H1302,LUTs!$A$1:$C$73,2,FALSE),"NA")</f>
        <v>Thurston</v>
      </c>
      <c r="J1302" s="108" t="str">
        <f>IFERROR(VLOOKUP(H1302,LUTs!$A$1:$C$73,3,FALSE),"NA")</f>
        <v>3South Puget Sound</v>
      </c>
      <c r="K1302" s="108" t="s">
        <v>21</v>
      </c>
      <c r="L1302" s="108" t="str">
        <f>VLOOKUP(K1302,LUTs!E$2:G$14,3,)</f>
        <v>08Thurston</v>
      </c>
      <c r="M1302" s="108" t="str">
        <f>VLOOKUP($K1302,LUTs!$E$2:$H$14,2,)</f>
        <v>South Puget Sound</v>
      </c>
      <c r="N1302" s="108" t="str">
        <f>VLOOKUP($K1302,LUTs!$E$2:$H$14,4,)</f>
        <v>02South Puget Sound</v>
      </c>
      <c r="O1302" s="108">
        <v>6</v>
      </c>
      <c r="P1302" s="108">
        <v>51.9</v>
      </c>
      <c r="Q1302" s="108">
        <f>SUMIFS('FW_Salmon_by_Month_2010-2021'!P$2:P$3810,'FW_Salmon_by_Month_2010-2021'!$B$2:$B$3810,'Rec_raw_catch_effort_2010-2021'!$B1302,'FW_Salmon_by_Month_2010-2021'!$H$2:$H$3810,'Rec_raw_catch_effort_2010-2021'!$F1302,'FW_Salmon_by_Month_2010-2021'!$M$2:$M$3810,'Rec_raw_catch_effort_2010-2021'!$K1302)</f>
        <v>0</v>
      </c>
      <c r="R1302" s="109">
        <f>VLOOKUP(B1302,Readme!$A$62:$C$74,2,)*Q1302</f>
        <v>0</v>
      </c>
      <c r="S1302" s="140" t="str">
        <f t="shared" si="121"/>
        <v>Y</v>
      </c>
      <c r="T1302" s="154">
        <f t="shared" si="122"/>
        <v>8.65</v>
      </c>
      <c r="U1302" s="154" t="str">
        <f t="shared" si="123"/>
        <v>NA</v>
      </c>
    </row>
    <row r="1303" spans="1:21" x14ac:dyDescent="0.35">
      <c r="A1303" s="108">
        <v>275</v>
      </c>
      <c r="B1303" s="108">
        <v>2017</v>
      </c>
      <c r="C1303" s="108" t="s">
        <v>38</v>
      </c>
      <c r="D1303" s="108" t="s">
        <v>143</v>
      </c>
      <c r="E1303" s="108" t="s">
        <v>10</v>
      </c>
      <c r="F1303" s="116">
        <v>728</v>
      </c>
      <c r="G1303" s="108" t="s">
        <v>41</v>
      </c>
      <c r="H1303" s="108" t="str">
        <f t="shared" si="120"/>
        <v>Deschutes River</v>
      </c>
      <c r="I1303" s="108" t="str">
        <f>IFERROR(VLOOKUP(H1303,LUTs!$A$1:$C$73,2,FALSE),"NA")</f>
        <v>Thurston</v>
      </c>
      <c r="J1303" s="108" t="str">
        <f>IFERROR(VLOOKUP(H1303,LUTs!$A$1:$C$73,3,FALSE),"NA")</f>
        <v>3South Puget Sound</v>
      </c>
      <c r="K1303" s="108" t="s">
        <v>18</v>
      </c>
      <c r="L1303" s="108" t="str">
        <f>VLOOKUP(K1303,LUTs!E$2:G$14,3,)</f>
        <v>06King</v>
      </c>
      <c r="M1303" s="108" t="str">
        <f>VLOOKUP($K1303,LUTs!$E$2:$H$14,2,)</f>
        <v>South Puget Sound</v>
      </c>
      <c r="N1303" s="108" t="str">
        <f>VLOOKUP($K1303,LUTs!$E$2:$H$14,4,)</f>
        <v>02South Puget Sound</v>
      </c>
      <c r="O1303" s="108">
        <v>10</v>
      </c>
      <c r="P1303" s="108">
        <v>34.4</v>
      </c>
      <c r="Q1303" s="108">
        <f>SUMIFS('FW_Salmon_by_Month_2010-2021'!P$2:P$3810,'FW_Salmon_by_Month_2010-2021'!$B$2:$B$3810,'Rec_raw_catch_effort_2010-2021'!$B1303,'FW_Salmon_by_Month_2010-2021'!$H$2:$H$3810,'Rec_raw_catch_effort_2010-2021'!$F1303,'FW_Salmon_by_Month_2010-2021'!$M$2:$M$3810,'Rec_raw_catch_effort_2010-2021'!$K1303)</f>
        <v>10</v>
      </c>
      <c r="R1303" s="109">
        <f>VLOOKUP(B1303,Readme!$A$62:$C$74,2,)*Q1303</f>
        <v>35.390404397824156</v>
      </c>
      <c r="S1303" s="140" t="str">
        <f t="shared" si="121"/>
        <v>Y</v>
      </c>
      <c r="T1303" s="154">
        <f t="shared" si="122"/>
        <v>3.44</v>
      </c>
      <c r="U1303" s="154">
        <f t="shared" si="123"/>
        <v>3.5390404397824158</v>
      </c>
    </row>
    <row r="1304" spans="1:21" x14ac:dyDescent="0.35">
      <c r="A1304" s="108">
        <v>277</v>
      </c>
      <c r="B1304" s="108">
        <v>2020</v>
      </c>
      <c r="C1304" s="108" t="s">
        <v>38</v>
      </c>
      <c r="D1304" s="108" t="s">
        <v>143</v>
      </c>
      <c r="E1304" s="108" t="s">
        <v>10</v>
      </c>
      <c r="F1304" s="116">
        <v>728</v>
      </c>
      <c r="G1304" s="108" t="s">
        <v>41</v>
      </c>
      <c r="H1304" s="108" t="str">
        <f t="shared" si="120"/>
        <v>Deschutes River</v>
      </c>
      <c r="I1304" s="108" t="str">
        <f>IFERROR(VLOOKUP(H1304,LUTs!$A$1:$C$73,2,FALSE),"NA")</f>
        <v>Thurston</v>
      </c>
      <c r="J1304" s="108" t="str">
        <f>IFERROR(VLOOKUP(H1304,LUTs!$A$1:$C$73,3,FALSE),"NA")</f>
        <v>3South Puget Sound</v>
      </c>
      <c r="K1304" s="108" t="s">
        <v>26</v>
      </c>
      <c r="L1304" s="108" t="str">
        <f>VLOOKUP(K1304,LUTs!E$2:G$14,3,)</f>
        <v>20Other</v>
      </c>
      <c r="M1304" s="108" t="str">
        <f>VLOOKUP($K1304,LUTs!$E$2:$H$14,2,)</f>
        <v>Non Puget Sound</v>
      </c>
      <c r="N1304" s="108" t="str">
        <f>VLOOKUP($K1304,LUTs!$E$2:$H$14,4,)</f>
        <v>07Non Puget Sound</v>
      </c>
      <c r="O1304" s="108">
        <v>14</v>
      </c>
      <c r="P1304" s="108">
        <v>121.1</v>
      </c>
      <c r="Q1304" s="108">
        <f>SUMIFS('FW_Salmon_by_Month_2010-2021'!P$2:P$3810,'FW_Salmon_by_Month_2010-2021'!$B$2:$B$3810,'Rec_raw_catch_effort_2010-2021'!$B1304,'FW_Salmon_by_Month_2010-2021'!$H$2:$H$3810,'Rec_raw_catch_effort_2010-2021'!$F1304,'FW_Salmon_by_Month_2010-2021'!$M$2:$M$3810,'Rec_raw_catch_effort_2010-2021'!$K1304)</f>
        <v>14</v>
      </c>
      <c r="R1304" s="109">
        <f>VLOOKUP(B1304,Readme!$A$62:$C$74,2,)*Q1304</f>
        <v>67.473768657584912</v>
      </c>
      <c r="S1304" s="140" t="str">
        <f t="shared" si="121"/>
        <v>N</v>
      </c>
      <c r="T1304" s="154">
        <f t="shared" si="122"/>
        <v>8.65</v>
      </c>
      <c r="U1304" s="154">
        <f t="shared" si="123"/>
        <v>4.8195549041132084</v>
      </c>
    </row>
    <row r="1305" spans="1:21" x14ac:dyDescent="0.35">
      <c r="A1305" s="108">
        <v>278</v>
      </c>
      <c r="B1305" s="108">
        <v>2021</v>
      </c>
      <c r="C1305" s="108" t="s">
        <v>38</v>
      </c>
      <c r="D1305" s="108" t="s">
        <v>143</v>
      </c>
      <c r="E1305" s="108" t="s">
        <v>10</v>
      </c>
      <c r="F1305" s="116">
        <v>728</v>
      </c>
      <c r="G1305" s="108" t="s">
        <v>41</v>
      </c>
      <c r="H1305" s="108" t="str">
        <f t="shared" si="120"/>
        <v>Deschutes River</v>
      </c>
      <c r="I1305" s="108" t="str">
        <f>IFERROR(VLOOKUP(H1305,LUTs!$A$1:$C$73,2,FALSE),"NA")</f>
        <v>Thurston</v>
      </c>
      <c r="J1305" s="108" t="str">
        <f>IFERROR(VLOOKUP(H1305,LUTs!$A$1:$C$73,3,FALSE),"NA")</f>
        <v>3South Puget Sound</v>
      </c>
      <c r="K1305" s="108" t="s">
        <v>26</v>
      </c>
      <c r="L1305" s="108" t="str">
        <f>VLOOKUP(K1305,LUTs!E$2:G$14,3,)</f>
        <v>20Other</v>
      </c>
      <c r="M1305" s="108" t="str">
        <f>VLOOKUP($K1305,LUTs!$E$2:$H$14,2,)</f>
        <v>Non Puget Sound</v>
      </c>
      <c r="N1305" s="108" t="str">
        <f>VLOOKUP($K1305,LUTs!$E$2:$H$14,4,)</f>
        <v>07Non Puget Sound</v>
      </c>
      <c r="O1305" s="108">
        <v>8</v>
      </c>
      <c r="P1305" s="108">
        <v>27.52</v>
      </c>
      <c r="Q1305" s="108">
        <f>SUMIFS('FW_Salmon_by_Month_2010-2021'!P$2:P$3810,'FW_Salmon_by_Month_2010-2021'!$B$2:$B$3810,'Rec_raw_catch_effort_2010-2021'!$B1305,'FW_Salmon_by_Month_2010-2021'!$H$2:$H$3810,'Rec_raw_catch_effort_2010-2021'!$F1305,'FW_Salmon_by_Month_2010-2021'!$M$2:$M$3810,'Rec_raw_catch_effort_2010-2021'!$K1305)</f>
        <v>8</v>
      </c>
      <c r="R1305" s="109">
        <f>VLOOKUP(B1305,Readme!$A$62:$C$74,2,)*Q1305</f>
        <v>28.312323518259323</v>
      </c>
      <c r="S1305" s="140" t="str">
        <f t="shared" si="121"/>
        <v>N</v>
      </c>
      <c r="T1305" s="154">
        <f t="shared" si="122"/>
        <v>3.44</v>
      </c>
      <c r="U1305" s="154">
        <f t="shared" si="123"/>
        <v>3.5390404397824153</v>
      </c>
    </row>
    <row r="1306" spans="1:21" x14ac:dyDescent="0.35">
      <c r="A1306" s="108">
        <v>662</v>
      </c>
      <c r="B1306" s="108">
        <v>2011</v>
      </c>
      <c r="C1306" s="108" t="s">
        <v>38</v>
      </c>
      <c r="D1306" s="108" t="s">
        <v>143</v>
      </c>
      <c r="E1306" s="108" t="s">
        <v>10</v>
      </c>
      <c r="F1306" s="116">
        <v>732</v>
      </c>
      <c r="G1306" s="108" t="s">
        <v>67</v>
      </c>
      <c r="H1306" s="108" t="str">
        <f t="shared" si="120"/>
        <v>Dewatto River</v>
      </c>
      <c r="I1306" s="108" t="str">
        <f>IFERROR(VLOOKUP(H1306,LUTs!$A$1:$C$73,2,FALSE),"NA")</f>
        <v>Mason</v>
      </c>
      <c r="J1306" s="108" t="str">
        <f>IFERROR(VLOOKUP(H1306,LUTs!$A$1:$C$73,3,FALSE),"NA")</f>
        <v>4 Hood Canal</v>
      </c>
      <c r="K1306" s="108" t="s">
        <v>23</v>
      </c>
      <c r="L1306" s="108" t="str">
        <f>VLOOKUP(K1306,LUTs!E$2:G$14,3,)</f>
        <v>10Kitsap</v>
      </c>
      <c r="M1306" s="108" t="str">
        <f>VLOOKUP($K1306,LUTs!$E$2:$H$14,2,)</f>
        <v>South Puget Sound</v>
      </c>
      <c r="N1306" s="108" t="str">
        <f>VLOOKUP($K1306,LUTs!$E$2:$H$14,4,)</f>
        <v>02South Puget Sound</v>
      </c>
      <c r="O1306" s="108">
        <v>141.17647058823499</v>
      </c>
      <c r="P1306" s="108">
        <v>485.64705882352803</v>
      </c>
      <c r="Q1306" s="108">
        <f>SUMIFS('FW_Salmon_by_Month_2010-2021'!P$2:P$3810,'FW_Salmon_by_Month_2010-2021'!$B$2:$B$3810,'Rec_raw_catch_effort_2010-2021'!$B1306,'FW_Salmon_by_Month_2010-2021'!$H$2:$H$3810,'Rec_raw_catch_effort_2010-2021'!$F1306,'FW_Salmon_by_Month_2010-2021'!$M$2:$M$3810,'Rec_raw_catch_effort_2010-2021'!$K1306)</f>
        <v>141.17647058823499</v>
      </c>
      <c r="R1306" s="109">
        <f>VLOOKUP(B1306,Readme!$A$62:$C$74,2,)*Q1306</f>
        <v>499.62923855751637</v>
      </c>
      <c r="S1306" s="140" t="str">
        <f t="shared" si="121"/>
        <v>Y</v>
      </c>
      <c r="T1306" s="154">
        <f t="shared" si="122"/>
        <v>3.4399999999999977</v>
      </c>
      <c r="U1306" s="154">
        <f t="shared" si="123"/>
        <v>3.5390404397824153</v>
      </c>
    </row>
    <row r="1307" spans="1:21" x14ac:dyDescent="0.35">
      <c r="A1307" s="108">
        <v>661</v>
      </c>
      <c r="B1307" s="108">
        <v>2011</v>
      </c>
      <c r="C1307" s="108" t="s">
        <v>38</v>
      </c>
      <c r="D1307" s="108" t="s">
        <v>143</v>
      </c>
      <c r="E1307" s="108" t="s">
        <v>10</v>
      </c>
      <c r="F1307" s="116">
        <v>732</v>
      </c>
      <c r="G1307" s="108" t="s">
        <v>67</v>
      </c>
      <c r="H1307" s="108" t="str">
        <f t="shared" si="120"/>
        <v>Dewatto River</v>
      </c>
      <c r="I1307" s="108" t="str">
        <f>IFERROR(VLOOKUP(H1307,LUTs!$A$1:$C$73,2,FALSE),"NA")</f>
        <v>Mason</v>
      </c>
      <c r="J1307" s="108" t="str">
        <f>IFERROR(VLOOKUP(H1307,LUTs!$A$1:$C$73,3,FALSE),"NA")</f>
        <v>4 Hood Canal</v>
      </c>
      <c r="K1307" s="108" t="s">
        <v>21</v>
      </c>
      <c r="L1307" s="108" t="str">
        <f>VLOOKUP(K1307,LUTs!E$2:G$14,3,)</f>
        <v>08Thurston</v>
      </c>
      <c r="M1307" s="108" t="str">
        <f>VLOOKUP($K1307,LUTs!$E$2:$H$14,2,)</f>
        <v>South Puget Sound</v>
      </c>
      <c r="N1307" s="108" t="str">
        <f>VLOOKUP($K1307,LUTs!$E$2:$H$14,4,)</f>
        <v>02South Puget Sound</v>
      </c>
      <c r="O1307" s="108">
        <v>8.8235294117647101</v>
      </c>
      <c r="P1307" s="108">
        <v>30.352941176470601</v>
      </c>
      <c r="Q1307" s="108">
        <f>SUMIFS('FW_Salmon_by_Month_2010-2021'!P$2:P$3810,'FW_Salmon_by_Month_2010-2021'!$B$2:$B$3810,'Rec_raw_catch_effort_2010-2021'!$B1307,'FW_Salmon_by_Month_2010-2021'!$H$2:$H$3810,'Rec_raw_catch_effort_2010-2021'!$F1307,'FW_Salmon_by_Month_2010-2021'!$M$2:$M$3810,'Rec_raw_catch_effort_2010-2021'!$K1307)</f>
        <v>8.8235294117647101</v>
      </c>
      <c r="R1307" s="109">
        <f>VLOOKUP(B1307,Readme!$A$62:$C$74,2,)*Q1307</f>
        <v>31.226827409844855</v>
      </c>
      <c r="S1307" s="140" t="str">
        <f t="shared" si="121"/>
        <v>Y</v>
      </c>
      <c r="T1307" s="154">
        <f t="shared" si="122"/>
        <v>3.44</v>
      </c>
      <c r="U1307" s="154">
        <f t="shared" si="123"/>
        <v>3.5390404397824153</v>
      </c>
    </row>
    <row r="1308" spans="1:21" x14ac:dyDescent="0.35">
      <c r="A1308" s="108">
        <v>669</v>
      </c>
      <c r="B1308" s="108">
        <v>2012</v>
      </c>
      <c r="C1308" s="108" t="s">
        <v>38</v>
      </c>
      <c r="D1308" s="108" t="s">
        <v>143</v>
      </c>
      <c r="E1308" s="108" t="s">
        <v>10</v>
      </c>
      <c r="F1308" s="116">
        <v>732</v>
      </c>
      <c r="G1308" s="108" t="s">
        <v>67</v>
      </c>
      <c r="H1308" s="108" t="str">
        <f t="shared" si="120"/>
        <v>Dewatto River</v>
      </c>
      <c r="I1308" s="108" t="str">
        <f>IFERROR(VLOOKUP(H1308,LUTs!$A$1:$C$73,2,FALSE),"NA")</f>
        <v>Mason</v>
      </c>
      <c r="J1308" s="108" t="str">
        <f>IFERROR(VLOOKUP(H1308,LUTs!$A$1:$C$73,3,FALSE),"NA")</f>
        <v>4 Hood Canal</v>
      </c>
      <c r="K1308" s="108" t="s">
        <v>23</v>
      </c>
      <c r="L1308" s="108" t="str">
        <f>VLOOKUP(K1308,LUTs!E$2:G$14,3,)</f>
        <v>10Kitsap</v>
      </c>
      <c r="M1308" s="108" t="str">
        <f>VLOOKUP($K1308,LUTs!$E$2:$H$14,2,)</f>
        <v>South Puget Sound</v>
      </c>
      <c r="N1308" s="108" t="str">
        <f>VLOOKUP($K1308,LUTs!$E$2:$H$14,4,)</f>
        <v>02South Puget Sound</v>
      </c>
      <c r="O1308" s="108">
        <v>1.1818181818181801</v>
      </c>
      <c r="P1308" s="108">
        <v>10.222727272727299</v>
      </c>
      <c r="Q1308" s="108">
        <f>SUMIFS('FW_Salmon_by_Month_2010-2021'!P$2:P$3810,'FW_Salmon_by_Month_2010-2021'!$B$2:$B$3810,'Rec_raw_catch_effort_2010-2021'!$B1308,'FW_Salmon_by_Month_2010-2021'!$H$2:$H$3810,'Rec_raw_catch_effort_2010-2021'!$F1308,'FW_Salmon_by_Month_2010-2021'!$M$2:$M$3810,'Rec_raw_catch_effort_2010-2021'!$K1308)</f>
        <v>1.1818181818181801</v>
      </c>
      <c r="R1308" s="109">
        <f>VLOOKUP(B1308,Readme!$A$62:$C$74,2,)*Q1308</f>
        <v>5.6958376139519657</v>
      </c>
      <c r="S1308" s="140" t="str">
        <f t="shared" si="121"/>
        <v>Y</v>
      </c>
      <c r="T1308" s="154">
        <f t="shared" si="122"/>
        <v>8.6500000000000359</v>
      </c>
      <c r="U1308" s="154">
        <f t="shared" si="123"/>
        <v>4.8195549041132084</v>
      </c>
    </row>
    <row r="1309" spans="1:21" x14ac:dyDescent="0.35">
      <c r="A1309" s="108">
        <v>668</v>
      </c>
      <c r="B1309" s="108">
        <v>2012</v>
      </c>
      <c r="C1309" s="108" t="s">
        <v>38</v>
      </c>
      <c r="D1309" s="108" t="s">
        <v>143</v>
      </c>
      <c r="E1309" s="108" t="s">
        <v>10</v>
      </c>
      <c r="F1309" s="116">
        <v>732</v>
      </c>
      <c r="G1309" s="108" t="s">
        <v>67</v>
      </c>
      <c r="H1309" s="108" t="str">
        <f t="shared" si="120"/>
        <v>Dewatto River</v>
      </c>
      <c r="I1309" s="108" t="str">
        <f>IFERROR(VLOOKUP(H1309,LUTs!$A$1:$C$73,2,FALSE),"NA")</f>
        <v>Mason</v>
      </c>
      <c r="J1309" s="108" t="str">
        <f>IFERROR(VLOOKUP(H1309,LUTs!$A$1:$C$73,3,FALSE),"NA")</f>
        <v>4 Hood Canal</v>
      </c>
      <c r="K1309" s="108" t="s">
        <v>22</v>
      </c>
      <c r="L1309" s="108" t="str">
        <f>VLOOKUP(K1309,LUTs!E$2:G$14,3,)</f>
        <v>09Mason</v>
      </c>
      <c r="M1309" s="108" t="str">
        <f>VLOOKUP($K1309,LUTs!$E$2:$H$14,2,)</f>
        <v>South Puget Sound</v>
      </c>
      <c r="N1309" s="108" t="str">
        <f>VLOOKUP($K1309,LUTs!$E$2:$H$14,4,)</f>
        <v>02South Puget Sound</v>
      </c>
      <c r="O1309" s="108">
        <v>11.818181818181801</v>
      </c>
      <c r="P1309" s="108">
        <v>102.227272727273</v>
      </c>
      <c r="Q1309" s="108">
        <f>SUMIFS('FW_Salmon_by_Month_2010-2021'!P$2:P$3810,'FW_Salmon_by_Month_2010-2021'!$B$2:$B$3810,'Rec_raw_catch_effort_2010-2021'!$B1309,'FW_Salmon_by_Month_2010-2021'!$H$2:$H$3810,'Rec_raw_catch_effort_2010-2021'!$F1309,'FW_Salmon_by_Month_2010-2021'!$M$2:$M$3810,'Rec_raw_catch_effort_2010-2021'!$K1309)</f>
        <v>11.818181818181801</v>
      </c>
      <c r="R1309" s="109">
        <f>VLOOKUP(B1309,Readme!$A$62:$C$74,2,)*Q1309</f>
        <v>56.95837613951965</v>
      </c>
      <c r="S1309" s="140" t="str">
        <f t="shared" si="121"/>
        <v>Y</v>
      </c>
      <c r="T1309" s="154">
        <f t="shared" si="122"/>
        <v>8.6500000000000359</v>
      </c>
      <c r="U1309" s="154">
        <f t="shared" si="123"/>
        <v>4.8195549041132084</v>
      </c>
    </row>
    <row r="1310" spans="1:21" x14ac:dyDescent="0.35">
      <c r="A1310" s="108">
        <v>751</v>
      </c>
      <c r="B1310" s="108">
        <v>2013</v>
      </c>
      <c r="C1310" s="108" t="s">
        <v>38</v>
      </c>
      <c r="D1310" s="108" t="s">
        <v>143</v>
      </c>
      <c r="E1310" s="108" t="s">
        <v>10</v>
      </c>
      <c r="F1310" s="116">
        <v>732</v>
      </c>
      <c r="G1310" s="108" t="s">
        <v>67</v>
      </c>
      <c r="H1310" s="108" t="str">
        <f t="shared" si="120"/>
        <v>Dewatto River</v>
      </c>
      <c r="I1310" s="108" t="str">
        <f>IFERROR(VLOOKUP(H1310,LUTs!$A$1:$C$73,2,FALSE),"NA")</f>
        <v>Mason</v>
      </c>
      <c r="J1310" s="108" t="str">
        <f>IFERROR(VLOOKUP(H1310,LUTs!$A$1:$C$73,3,FALSE),"NA")</f>
        <v>4 Hood Canal</v>
      </c>
      <c r="K1310" s="108" t="s">
        <v>23</v>
      </c>
      <c r="L1310" s="108" t="str">
        <f>VLOOKUP(K1310,LUTs!E$2:G$14,3,)</f>
        <v>10Kitsap</v>
      </c>
      <c r="M1310" s="108" t="str">
        <f>VLOOKUP($K1310,LUTs!$E$2:$H$14,2,)</f>
        <v>South Puget Sound</v>
      </c>
      <c r="N1310" s="108" t="str">
        <f>VLOOKUP($K1310,LUTs!$E$2:$H$14,4,)</f>
        <v>02South Puget Sound</v>
      </c>
      <c r="O1310" s="108">
        <v>15.3333333333333</v>
      </c>
      <c r="P1310" s="108">
        <v>52.746666666666499</v>
      </c>
      <c r="Q1310" s="108">
        <f>SUMIFS('FW_Salmon_by_Month_2010-2021'!P$2:P$3810,'FW_Salmon_by_Month_2010-2021'!$B$2:$B$3810,'Rec_raw_catch_effort_2010-2021'!$B1310,'FW_Salmon_by_Month_2010-2021'!$H$2:$H$3810,'Rec_raw_catch_effort_2010-2021'!$F1310,'FW_Salmon_by_Month_2010-2021'!$M$2:$M$3810,'Rec_raw_catch_effort_2010-2021'!$K1310)</f>
        <v>15.3333333333333</v>
      </c>
      <c r="R1310" s="109">
        <f>VLOOKUP(B1310,Readme!$A$62:$C$74,2,)*Q1310</f>
        <v>54.26528674333025</v>
      </c>
      <c r="S1310" s="140" t="str">
        <f t="shared" si="121"/>
        <v>Y</v>
      </c>
      <c r="T1310" s="154">
        <f t="shared" si="122"/>
        <v>3.4399999999999964</v>
      </c>
      <c r="U1310" s="154">
        <f t="shared" si="123"/>
        <v>3.5390404397824153</v>
      </c>
    </row>
    <row r="1311" spans="1:21" x14ac:dyDescent="0.35">
      <c r="A1311" s="108">
        <v>750</v>
      </c>
      <c r="B1311" s="108">
        <v>2013</v>
      </c>
      <c r="C1311" s="108" t="s">
        <v>38</v>
      </c>
      <c r="D1311" s="108" t="s">
        <v>143</v>
      </c>
      <c r="E1311" s="108" t="s">
        <v>10</v>
      </c>
      <c r="F1311" s="116">
        <v>732</v>
      </c>
      <c r="G1311" s="108" t="s">
        <v>67</v>
      </c>
      <c r="H1311" s="108" t="str">
        <f t="shared" si="120"/>
        <v>Dewatto River</v>
      </c>
      <c r="I1311" s="108" t="str">
        <f>IFERROR(VLOOKUP(H1311,LUTs!$A$1:$C$73,2,FALSE),"NA")</f>
        <v>Mason</v>
      </c>
      <c r="J1311" s="108" t="str">
        <f>IFERROR(VLOOKUP(H1311,LUTs!$A$1:$C$73,3,FALSE),"NA")</f>
        <v>4 Hood Canal</v>
      </c>
      <c r="K1311" s="108" t="s">
        <v>22</v>
      </c>
      <c r="L1311" s="108" t="str">
        <f>VLOOKUP(K1311,LUTs!E$2:G$14,3,)</f>
        <v>09Mason</v>
      </c>
      <c r="M1311" s="108" t="str">
        <f>VLOOKUP($K1311,LUTs!$E$2:$H$14,2,)</f>
        <v>South Puget Sound</v>
      </c>
      <c r="N1311" s="108" t="str">
        <f>VLOOKUP($K1311,LUTs!$E$2:$H$14,4,)</f>
        <v>02South Puget Sound</v>
      </c>
      <c r="O1311" s="108">
        <v>30.6666666666667</v>
      </c>
      <c r="P1311" s="108">
        <v>105.493333333333</v>
      </c>
      <c r="Q1311" s="108">
        <f>SUMIFS('FW_Salmon_by_Month_2010-2021'!P$2:P$3810,'FW_Salmon_by_Month_2010-2021'!$B$2:$B$3810,'Rec_raw_catch_effort_2010-2021'!$B1311,'FW_Salmon_by_Month_2010-2021'!$H$2:$H$3810,'Rec_raw_catch_effort_2010-2021'!$F1311,'FW_Salmon_by_Month_2010-2021'!$M$2:$M$3810,'Rec_raw_catch_effort_2010-2021'!$K1311)</f>
        <v>30.6666666666667</v>
      </c>
      <c r="R1311" s="109">
        <f>VLOOKUP(B1311,Readme!$A$62:$C$74,2,)*Q1311</f>
        <v>108.53057348666086</v>
      </c>
      <c r="S1311" s="140" t="str">
        <f t="shared" si="121"/>
        <v>Y</v>
      </c>
      <c r="T1311" s="154">
        <f t="shared" si="122"/>
        <v>3.4399999999999853</v>
      </c>
      <c r="U1311" s="154">
        <f t="shared" si="123"/>
        <v>3.5390404397824153</v>
      </c>
    </row>
    <row r="1312" spans="1:21" x14ac:dyDescent="0.35">
      <c r="A1312" s="108">
        <v>757</v>
      </c>
      <c r="B1312" s="108">
        <v>2014</v>
      </c>
      <c r="C1312" s="108" t="s">
        <v>38</v>
      </c>
      <c r="D1312" s="108" t="s">
        <v>143</v>
      </c>
      <c r="E1312" s="108" t="s">
        <v>10</v>
      </c>
      <c r="F1312" s="116">
        <v>732</v>
      </c>
      <c r="G1312" s="108" t="s">
        <v>67</v>
      </c>
      <c r="H1312" s="108" t="str">
        <f t="shared" si="120"/>
        <v>Dewatto River</v>
      </c>
      <c r="I1312" s="108" t="str">
        <f>IFERROR(VLOOKUP(H1312,LUTs!$A$1:$C$73,2,FALSE),"NA")</f>
        <v>Mason</v>
      </c>
      <c r="J1312" s="108" t="str">
        <f>IFERROR(VLOOKUP(H1312,LUTs!$A$1:$C$73,3,FALSE),"NA")</f>
        <v>4 Hood Canal</v>
      </c>
      <c r="K1312" s="108" t="s">
        <v>23</v>
      </c>
      <c r="L1312" s="108" t="str">
        <f>VLOOKUP(K1312,LUTs!E$2:G$14,3,)</f>
        <v>10Kitsap</v>
      </c>
      <c r="M1312" s="108" t="str">
        <f>VLOOKUP($K1312,LUTs!$E$2:$H$14,2,)</f>
        <v>South Puget Sound</v>
      </c>
      <c r="N1312" s="108" t="str">
        <f>VLOOKUP($K1312,LUTs!$E$2:$H$14,4,)</f>
        <v>02South Puget Sound</v>
      </c>
      <c r="O1312" s="108">
        <v>136.875</v>
      </c>
      <c r="P1312" s="108">
        <v>1183.96875</v>
      </c>
      <c r="Q1312" s="108">
        <f>SUMIFS('FW_Salmon_by_Month_2010-2021'!P$2:P$3810,'FW_Salmon_by_Month_2010-2021'!$B$2:$B$3810,'Rec_raw_catch_effort_2010-2021'!$B1312,'FW_Salmon_by_Month_2010-2021'!$H$2:$H$3810,'Rec_raw_catch_effort_2010-2021'!$F1312,'FW_Salmon_by_Month_2010-2021'!$M$2:$M$3810,'Rec_raw_catch_effort_2010-2021'!$K1312)</f>
        <v>136.875</v>
      </c>
      <c r="R1312" s="109">
        <f>VLOOKUP(B1312,Readme!$A$62:$C$74,2,)*Q1312</f>
        <v>659.67657750049545</v>
      </c>
      <c r="S1312" s="140" t="str">
        <f t="shared" si="121"/>
        <v>Y</v>
      </c>
      <c r="T1312" s="154">
        <f t="shared" si="122"/>
        <v>8.65</v>
      </c>
      <c r="U1312" s="154">
        <f t="shared" si="123"/>
        <v>4.8195549041132084</v>
      </c>
    </row>
    <row r="1313" spans="1:21" x14ac:dyDescent="0.35">
      <c r="A1313" s="108">
        <v>756</v>
      </c>
      <c r="B1313" s="108">
        <v>2014</v>
      </c>
      <c r="C1313" s="108" t="s">
        <v>38</v>
      </c>
      <c r="D1313" s="108" t="s">
        <v>143</v>
      </c>
      <c r="E1313" s="108" t="s">
        <v>10</v>
      </c>
      <c r="F1313" s="116">
        <v>732</v>
      </c>
      <c r="G1313" s="108" t="s">
        <v>67</v>
      </c>
      <c r="H1313" s="108" t="str">
        <f t="shared" si="120"/>
        <v>Dewatto River</v>
      </c>
      <c r="I1313" s="108" t="str">
        <f>IFERROR(VLOOKUP(H1313,LUTs!$A$1:$C$73,2,FALSE),"NA")</f>
        <v>Mason</v>
      </c>
      <c r="J1313" s="108" t="str">
        <f>IFERROR(VLOOKUP(H1313,LUTs!$A$1:$C$73,3,FALSE),"NA")</f>
        <v>4 Hood Canal</v>
      </c>
      <c r="K1313" s="108" t="s">
        <v>22</v>
      </c>
      <c r="L1313" s="108" t="str">
        <f>VLOOKUP(K1313,LUTs!E$2:G$14,3,)</f>
        <v>09Mason</v>
      </c>
      <c r="M1313" s="108" t="str">
        <f>VLOOKUP($K1313,LUTs!$E$2:$H$14,2,)</f>
        <v>South Puget Sound</v>
      </c>
      <c r="N1313" s="108" t="str">
        <f>VLOOKUP($K1313,LUTs!$E$2:$H$14,4,)</f>
        <v>02South Puget Sound</v>
      </c>
      <c r="O1313" s="108">
        <v>9.125</v>
      </c>
      <c r="P1313" s="108">
        <v>78.931250000000006</v>
      </c>
      <c r="Q1313" s="108">
        <f>SUMIFS('FW_Salmon_by_Month_2010-2021'!P$2:P$3810,'FW_Salmon_by_Month_2010-2021'!$B$2:$B$3810,'Rec_raw_catch_effort_2010-2021'!$B1313,'FW_Salmon_by_Month_2010-2021'!$H$2:$H$3810,'Rec_raw_catch_effort_2010-2021'!$F1313,'FW_Salmon_by_Month_2010-2021'!$M$2:$M$3810,'Rec_raw_catch_effort_2010-2021'!$K1313)</f>
        <v>9.125</v>
      </c>
      <c r="R1313" s="109">
        <f>VLOOKUP(B1313,Readme!$A$62:$C$74,2,)*Q1313</f>
        <v>43.978438500033029</v>
      </c>
      <c r="S1313" s="140" t="str">
        <f t="shared" si="121"/>
        <v>Y</v>
      </c>
      <c r="T1313" s="154">
        <f t="shared" si="122"/>
        <v>8.65</v>
      </c>
      <c r="U1313" s="154">
        <f t="shared" si="123"/>
        <v>4.8195549041132084</v>
      </c>
    </row>
    <row r="1314" spans="1:21" x14ac:dyDescent="0.35">
      <c r="A1314" s="108">
        <v>763</v>
      </c>
      <c r="B1314" s="108">
        <v>2015</v>
      </c>
      <c r="C1314" s="108" t="s">
        <v>38</v>
      </c>
      <c r="D1314" s="108" t="s">
        <v>143</v>
      </c>
      <c r="E1314" s="108" t="s">
        <v>10</v>
      </c>
      <c r="F1314" s="116">
        <v>732</v>
      </c>
      <c r="G1314" s="108" t="s">
        <v>67</v>
      </c>
      <c r="H1314" s="108" t="str">
        <f t="shared" si="120"/>
        <v>Dewatto River</v>
      </c>
      <c r="I1314" s="108" t="str">
        <f>IFERROR(VLOOKUP(H1314,LUTs!$A$1:$C$73,2,FALSE),"NA")</f>
        <v>Mason</v>
      </c>
      <c r="J1314" s="108" t="str">
        <f>IFERROR(VLOOKUP(H1314,LUTs!$A$1:$C$73,3,FALSE),"NA")</f>
        <v>4 Hood Canal</v>
      </c>
      <c r="K1314" s="108" t="s">
        <v>23</v>
      </c>
      <c r="L1314" s="108" t="str">
        <f>VLOOKUP(K1314,LUTs!E$2:G$14,3,)</f>
        <v>10Kitsap</v>
      </c>
      <c r="M1314" s="108" t="str">
        <f>VLOOKUP($K1314,LUTs!$E$2:$H$14,2,)</f>
        <v>South Puget Sound</v>
      </c>
      <c r="N1314" s="108" t="str">
        <f>VLOOKUP($K1314,LUTs!$E$2:$H$14,4,)</f>
        <v>02South Puget Sound</v>
      </c>
      <c r="O1314" s="108">
        <v>150.166666666667</v>
      </c>
      <c r="P1314" s="108">
        <v>516.57333333333497</v>
      </c>
      <c r="Q1314" s="108">
        <f>SUMIFS('FW_Salmon_by_Month_2010-2021'!P$2:P$3810,'FW_Salmon_by_Month_2010-2021'!$B$2:$B$3810,'Rec_raw_catch_effort_2010-2021'!$B1314,'FW_Salmon_by_Month_2010-2021'!$H$2:$H$3810,'Rec_raw_catch_effort_2010-2021'!$F1314,'FW_Salmon_by_Month_2010-2021'!$M$2:$M$3810,'Rec_raw_catch_effort_2010-2021'!$K1314)</f>
        <v>150.166666666667</v>
      </c>
      <c r="R1314" s="109">
        <f>VLOOKUP(B1314,Readme!$A$62:$C$74,2,)*Q1314</f>
        <v>531.44590604066059</v>
      </c>
      <c r="S1314" s="140" t="str">
        <f t="shared" si="121"/>
        <v>Y</v>
      </c>
      <c r="T1314" s="154">
        <f t="shared" si="122"/>
        <v>3.4400000000000035</v>
      </c>
      <c r="U1314" s="154">
        <f t="shared" si="123"/>
        <v>3.5390404397824158</v>
      </c>
    </row>
    <row r="1315" spans="1:21" x14ac:dyDescent="0.35">
      <c r="A1315" s="108">
        <v>762</v>
      </c>
      <c r="B1315" s="108">
        <v>2015</v>
      </c>
      <c r="C1315" s="108" t="s">
        <v>38</v>
      </c>
      <c r="D1315" s="108" t="s">
        <v>143</v>
      </c>
      <c r="E1315" s="108" t="s">
        <v>10</v>
      </c>
      <c r="F1315" s="116">
        <v>732</v>
      </c>
      <c r="G1315" s="108" t="s">
        <v>67</v>
      </c>
      <c r="H1315" s="108" t="str">
        <f t="shared" si="120"/>
        <v>Dewatto River</v>
      </c>
      <c r="I1315" s="108" t="str">
        <f>IFERROR(VLOOKUP(H1315,LUTs!$A$1:$C$73,2,FALSE),"NA")</f>
        <v>Mason</v>
      </c>
      <c r="J1315" s="108" t="str">
        <f>IFERROR(VLOOKUP(H1315,LUTs!$A$1:$C$73,3,FALSE),"NA")</f>
        <v>4 Hood Canal</v>
      </c>
      <c r="K1315" s="108" t="s">
        <v>21</v>
      </c>
      <c r="L1315" s="108" t="str">
        <f>VLOOKUP(K1315,LUTs!E$2:G$14,3,)</f>
        <v>08Thurston</v>
      </c>
      <c r="M1315" s="108" t="str">
        <f>VLOOKUP($K1315,LUTs!$E$2:$H$14,2,)</f>
        <v>South Puget Sound</v>
      </c>
      <c r="N1315" s="108" t="str">
        <f>VLOOKUP($K1315,LUTs!$E$2:$H$14,4,)</f>
        <v>02South Puget Sound</v>
      </c>
      <c r="O1315" s="108">
        <v>8.8333333333333304</v>
      </c>
      <c r="P1315" s="108">
        <v>30.386666666666699</v>
      </c>
      <c r="Q1315" s="108">
        <f>SUMIFS('FW_Salmon_by_Month_2010-2021'!P$2:P$3810,'FW_Salmon_by_Month_2010-2021'!$B$2:$B$3810,'Rec_raw_catch_effort_2010-2021'!$B1315,'FW_Salmon_by_Month_2010-2021'!$H$2:$H$3810,'Rec_raw_catch_effort_2010-2021'!$F1315,'FW_Salmon_by_Month_2010-2021'!$M$2:$M$3810,'Rec_raw_catch_effort_2010-2021'!$K1315)</f>
        <v>8.8333333333333304</v>
      </c>
      <c r="R1315" s="109">
        <f>VLOOKUP(B1315,Readme!$A$62:$C$74,2,)*Q1315</f>
        <v>31.261523884744658</v>
      </c>
      <c r="S1315" s="140" t="str">
        <f t="shared" si="121"/>
        <v>Y</v>
      </c>
      <c r="T1315" s="154">
        <f t="shared" si="122"/>
        <v>3.4400000000000048</v>
      </c>
      <c r="U1315" s="154">
        <f t="shared" si="123"/>
        <v>3.5390404397824153</v>
      </c>
    </row>
    <row r="1316" spans="1:21" x14ac:dyDescent="0.35">
      <c r="A1316" s="108">
        <v>764</v>
      </c>
      <c r="B1316" s="108">
        <v>2016</v>
      </c>
      <c r="C1316" s="108" t="s">
        <v>38</v>
      </c>
      <c r="D1316" s="108" t="s">
        <v>143</v>
      </c>
      <c r="E1316" s="108" t="s">
        <v>10</v>
      </c>
      <c r="F1316" s="116">
        <v>732</v>
      </c>
      <c r="G1316" s="108" t="s">
        <v>67</v>
      </c>
      <c r="H1316" s="108" t="str">
        <f t="shared" si="120"/>
        <v>Dewatto River</v>
      </c>
      <c r="I1316" s="108" t="str">
        <f>IFERROR(VLOOKUP(H1316,LUTs!$A$1:$C$73,2,FALSE),"NA")</f>
        <v>Mason</v>
      </c>
      <c r="J1316" s="108" t="str">
        <f>IFERROR(VLOOKUP(H1316,LUTs!$A$1:$C$73,3,FALSE),"NA")</f>
        <v>4 Hood Canal</v>
      </c>
      <c r="K1316" s="108" t="s">
        <v>23</v>
      </c>
      <c r="L1316" s="108" t="str">
        <f>VLOOKUP(K1316,LUTs!E$2:G$14,3,)</f>
        <v>10Kitsap</v>
      </c>
      <c r="M1316" s="108" t="str">
        <f>VLOOKUP($K1316,LUTs!$E$2:$H$14,2,)</f>
        <v>South Puget Sound</v>
      </c>
      <c r="N1316" s="108" t="str">
        <f>VLOOKUP($K1316,LUTs!$E$2:$H$14,4,)</f>
        <v>02South Puget Sound</v>
      </c>
      <c r="O1316" s="108">
        <v>63</v>
      </c>
      <c r="P1316" s="108">
        <v>544.95000000000005</v>
      </c>
      <c r="Q1316" s="108">
        <f>SUMIFS('FW_Salmon_by_Month_2010-2021'!P$2:P$3810,'FW_Salmon_by_Month_2010-2021'!$B$2:$B$3810,'Rec_raw_catch_effort_2010-2021'!$B1316,'FW_Salmon_by_Month_2010-2021'!$H$2:$H$3810,'Rec_raw_catch_effort_2010-2021'!$F1316,'FW_Salmon_by_Month_2010-2021'!$M$2:$M$3810,'Rec_raw_catch_effort_2010-2021'!$K1316)</f>
        <v>63</v>
      </c>
      <c r="R1316" s="109">
        <f>VLOOKUP(B1316,Readme!$A$62:$C$74,2,)*Q1316</f>
        <v>303.63195895913213</v>
      </c>
      <c r="S1316" s="140" t="str">
        <f t="shared" si="121"/>
        <v>Y</v>
      </c>
      <c r="T1316" s="154">
        <f t="shared" si="122"/>
        <v>8.65</v>
      </c>
      <c r="U1316" s="154">
        <f t="shared" si="123"/>
        <v>4.8195549041132084</v>
      </c>
    </row>
    <row r="1317" spans="1:21" x14ac:dyDescent="0.35">
      <c r="A1317" s="108">
        <v>765</v>
      </c>
      <c r="B1317" s="108">
        <v>2017</v>
      </c>
      <c r="C1317" s="108" t="s">
        <v>38</v>
      </c>
      <c r="D1317" s="108" t="s">
        <v>143</v>
      </c>
      <c r="E1317" s="108" t="s">
        <v>10</v>
      </c>
      <c r="F1317" s="116">
        <v>732</v>
      </c>
      <c r="G1317" s="108" t="s">
        <v>67</v>
      </c>
      <c r="H1317" s="108" t="str">
        <f t="shared" si="120"/>
        <v>Dewatto River</v>
      </c>
      <c r="I1317" s="108" t="str">
        <f>IFERROR(VLOOKUP(H1317,LUTs!$A$1:$C$73,2,FALSE),"NA")</f>
        <v>Mason</v>
      </c>
      <c r="J1317" s="108" t="str">
        <f>IFERROR(VLOOKUP(H1317,LUTs!$A$1:$C$73,3,FALSE),"NA")</f>
        <v>4 Hood Canal</v>
      </c>
      <c r="K1317" s="108" t="s">
        <v>18</v>
      </c>
      <c r="L1317" s="108" t="str">
        <f>VLOOKUP(K1317,LUTs!E$2:G$14,3,)</f>
        <v>06King</v>
      </c>
      <c r="M1317" s="108" t="str">
        <f>VLOOKUP($K1317,LUTs!$E$2:$H$14,2,)</f>
        <v>South Puget Sound</v>
      </c>
      <c r="N1317" s="108" t="str">
        <f>VLOOKUP($K1317,LUTs!$E$2:$H$14,4,)</f>
        <v>02South Puget Sound</v>
      </c>
      <c r="O1317" s="108">
        <v>10.192307692307701</v>
      </c>
      <c r="P1317" s="108">
        <v>35.061538461538497</v>
      </c>
      <c r="Q1317" s="108">
        <f>SUMIFS('FW_Salmon_by_Month_2010-2021'!P$2:P$3810,'FW_Salmon_by_Month_2010-2021'!$B$2:$B$3810,'Rec_raw_catch_effort_2010-2021'!$B1317,'FW_Salmon_by_Month_2010-2021'!$H$2:$H$3810,'Rec_raw_catch_effort_2010-2021'!$F1317,'FW_Salmon_by_Month_2010-2021'!$M$2:$M$3810,'Rec_raw_catch_effort_2010-2021'!$K1317)</f>
        <v>10.181818181818199</v>
      </c>
      <c r="R1317" s="109">
        <f>VLOOKUP(B1317,Readme!$A$62:$C$74,2,)*Q1317</f>
        <v>36.033866295966476</v>
      </c>
      <c r="S1317" s="140" t="str">
        <f t="shared" si="121"/>
        <v>Y</v>
      </c>
      <c r="T1317" s="154">
        <f t="shared" si="122"/>
        <v>3.4400000000000008</v>
      </c>
      <c r="U1317" s="154">
        <f t="shared" si="123"/>
        <v>3.5390404397824158</v>
      </c>
    </row>
    <row r="1318" spans="1:21" x14ac:dyDescent="0.35">
      <c r="A1318" s="108">
        <v>766</v>
      </c>
      <c r="B1318" s="108">
        <v>2017</v>
      </c>
      <c r="C1318" s="108" t="s">
        <v>38</v>
      </c>
      <c r="D1318" s="108" t="s">
        <v>143</v>
      </c>
      <c r="E1318" s="108" t="s">
        <v>10</v>
      </c>
      <c r="F1318" s="116">
        <v>732</v>
      </c>
      <c r="G1318" s="108" t="s">
        <v>67</v>
      </c>
      <c r="H1318" s="108" t="str">
        <f t="shared" si="120"/>
        <v>Dewatto River</v>
      </c>
      <c r="I1318" s="108" t="str">
        <f>IFERROR(VLOOKUP(H1318,LUTs!$A$1:$C$73,2,FALSE),"NA")</f>
        <v>Mason</v>
      </c>
      <c r="J1318" s="108" t="str">
        <f>IFERROR(VLOOKUP(H1318,LUTs!$A$1:$C$73,3,FALSE),"NA")</f>
        <v>4 Hood Canal</v>
      </c>
      <c r="K1318" s="108" t="s">
        <v>23</v>
      </c>
      <c r="L1318" s="108" t="str">
        <f>VLOOKUP(K1318,LUTs!E$2:G$14,3,)</f>
        <v>10Kitsap</v>
      </c>
      <c r="M1318" s="108" t="str">
        <f>VLOOKUP($K1318,LUTs!$E$2:$H$14,2,)</f>
        <v>South Puget Sound</v>
      </c>
      <c r="N1318" s="108" t="str">
        <f>VLOOKUP($K1318,LUTs!$E$2:$H$14,4,)</f>
        <v>02South Puget Sound</v>
      </c>
      <c r="O1318" s="108">
        <v>254.80769230769201</v>
      </c>
      <c r="P1318" s="108">
        <v>876.53846153846098</v>
      </c>
      <c r="Q1318" s="108">
        <f>SUMIFS('FW_Salmon_by_Month_2010-2021'!P$2:P$3810,'FW_Salmon_by_Month_2010-2021'!$B$2:$B$3810,'Rec_raw_catch_effort_2010-2021'!$B1318,'FW_Salmon_by_Month_2010-2021'!$H$2:$H$3810,'Rec_raw_catch_effort_2010-2021'!$F1318,'FW_Salmon_by_Month_2010-2021'!$M$2:$M$3810,'Rec_raw_catch_effort_2010-2021'!$K1318)</f>
        <v>254.81818181818201</v>
      </c>
      <c r="R1318" s="109">
        <f>VLOOKUP(B1318,Readme!$A$62:$C$74,2,)*Q1318</f>
        <v>901.81185024637432</v>
      </c>
      <c r="S1318" s="140" t="str">
        <f t="shared" si="121"/>
        <v>Y</v>
      </c>
      <c r="T1318" s="154">
        <f t="shared" si="122"/>
        <v>3.4400000000000017</v>
      </c>
      <c r="U1318" s="154">
        <f t="shared" si="123"/>
        <v>3.5390404397824153</v>
      </c>
    </row>
    <row r="1319" spans="1:21" x14ac:dyDescent="0.35">
      <c r="A1319" s="108">
        <v>767</v>
      </c>
      <c r="B1319" s="108">
        <v>2018</v>
      </c>
      <c r="C1319" s="108" t="s">
        <v>38</v>
      </c>
      <c r="D1319" s="108" t="s">
        <v>143</v>
      </c>
      <c r="E1319" s="108" t="s">
        <v>10</v>
      </c>
      <c r="F1319" s="116">
        <v>732</v>
      </c>
      <c r="G1319" s="108" t="s">
        <v>67</v>
      </c>
      <c r="H1319" s="108" t="str">
        <f t="shared" si="120"/>
        <v>Dewatto River</v>
      </c>
      <c r="I1319" s="108" t="str">
        <f>IFERROR(VLOOKUP(H1319,LUTs!$A$1:$C$73,2,FALSE),"NA")</f>
        <v>Mason</v>
      </c>
      <c r="J1319" s="108" t="str">
        <f>IFERROR(VLOOKUP(H1319,LUTs!$A$1:$C$73,3,FALSE),"NA")</f>
        <v>4 Hood Canal</v>
      </c>
      <c r="K1319" s="108" t="s">
        <v>23</v>
      </c>
      <c r="L1319" s="108" t="str">
        <f>VLOOKUP(K1319,LUTs!E$2:G$14,3,)</f>
        <v>10Kitsap</v>
      </c>
      <c r="M1319" s="108" t="str">
        <f>VLOOKUP($K1319,LUTs!$E$2:$H$14,2,)</f>
        <v>South Puget Sound</v>
      </c>
      <c r="N1319" s="108" t="str">
        <f>VLOOKUP($K1319,LUTs!$E$2:$H$14,4,)</f>
        <v>02South Puget Sound</v>
      </c>
      <c r="O1319" s="108">
        <v>2</v>
      </c>
      <c r="P1319" s="108">
        <v>17.3</v>
      </c>
      <c r="Q1319" s="108">
        <f>SUMIFS('FW_Salmon_by_Month_2010-2021'!P$2:P$3810,'FW_Salmon_by_Month_2010-2021'!$B$2:$B$3810,'Rec_raw_catch_effort_2010-2021'!$B1319,'FW_Salmon_by_Month_2010-2021'!$H$2:$H$3810,'Rec_raw_catch_effort_2010-2021'!$F1319,'FW_Salmon_by_Month_2010-2021'!$M$2:$M$3810,'Rec_raw_catch_effort_2010-2021'!$K1319)</f>
        <v>2</v>
      </c>
      <c r="R1319" s="109">
        <f>VLOOKUP(B1319,Readme!$A$62:$C$74,2,)*Q1319</f>
        <v>9.6391098082264168</v>
      </c>
      <c r="S1319" s="140" t="str">
        <f t="shared" si="121"/>
        <v>Y</v>
      </c>
      <c r="T1319" s="154">
        <f t="shared" si="122"/>
        <v>8.65</v>
      </c>
      <c r="U1319" s="154">
        <f t="shared" si="123"/>
        <v>4.8195549041132084</v>
      </c>
    </row>
    <row r="1320" spans="1:21" x14ac:dyDescent="0.35">
      <c r="A1320" s="108">
        <v>649</v>
      </c>
      <c r="B1320" s="108">
        <v>2011</v>
      </c>
      <c r="C1320" s="108" t="s">
        <v>38</v>
      </c>
      <c r="D1320" s="108" t="s">
        <v>143</v>
      </c>
      <c r="E1320" s="108" t="s">
        <v>10</v>
      </c>
      <c r="F1320" s="116">
        <v>734</v>
      </c>
      <c r="G1320" s="108" t="s">
        <v>68</v>
      </c>
      <c r="H1320" s="108" t="str">
        <f t="shared" si="120"/>
        <v>Dosewallips River</v>
      </c>
      <c r="I1320" s="108" t="str">
        <f>IFERROR(VLOOKUP(H1320,LUTs!$A$1:$C$73,2,FALSE),"NA")</f>
        <v>Jefferson</v>
      </c>
      <c r="J1320" s="108" t="str">
        <f>IFERROR(VLOOKUP(H1320,LUTs!$A$1:$C$73,3,FALSE),"NA")</f>
        <v>4 Hood Canal</v>
      </c>
      <c r="K1320" s="108" t="s">
        <v>18</v>
      </c>
      <c r="L1320" s="108" t="str">
        <f>VLOOKUP(K1320,LUTs!E$2:G$14,3,)</f>
        <v>06King</v>
      </c>
      <c r="M1320" s="108" t="str">
        <f>VLOOKUP($K1320,LUTs!$E$2:$H$14,2,)</f>
        <v>South Puget Sound</v>
      </c>
      <c r="N1320" s="108" t="str">
        <f>VLOOKUP($K1320,LUTs!$E$2:$H$14,4,)</f>
        <v>02South Puget Sound</v>
      </c>
      <c r="O1320" s="108">
        <v>9</v>
      </c>
      <c r="P1320" s="108">
        <v>30.96</v>
      </c>
      <c r="Q1320" s="108">
        <f>SUMIFS('FW_Salmon_by_Month_2010-2021'!P$2:P$3810,'FW_Salmon_by_Month_2010-2021'!$B$2:$B$3810,'Rec_raw_catch_effort_2010-2021'!$B1320,'FW_Salmon_by_Month_2010-2021'!$H$2:$H$3810,'Rec_raw_catch_effort_2010-2021'!$F1320,'FW_Salmon_by_Month_2010-2021'!$M$2:$M$3810,'Rec_raw_catch_effort_2010-2021'!$K1320)</f>
        <v>9</v>
      </c>
      <c r="R1320" s="109">
        <f>VLOOKUP(B1320,Readme!$A$62:$C$74,2,)*Q1320</f>
        <v>31.851363958041738</v>
      </c>
      <c r="S1320" s="140" t="str">
        <f t="shared" si="121"/>
        <v>Y</v>
      </c>
      <c r="T1320" s="154">
        <f t="shared" si="122"/>
        <v>3.44</v>
      </c>
      <c r="U1320" s="154">
        <f t="shared" si="123"/>
        <v>3.5390404397824153</v>
      </c>
    </row>
    <row r="1321" spans="1:21" x14ac:dyDescent="0.35">
      <c r="A1321" s="108">
        <v>650</v>
      </c>
      <c r="B1321" s="108">
        <v>2011</v>
      </c>
      <c r="C1321" s="108" t="s">
        <v>38</v>
      </c>
      <c r="D1321" s="108" t="s">
        <v>143</v>
      </c>
      <c r="E1321" s="108" t="s">
        <v>10</v>
      </c>
      <c r="F1321" s="116">
        <v>734</v>
      </c>
      <c r="G1321" s="108" t="s">
        <v>68</v>
      </c>
      <c r="H1321" s="108" t="str">
        <f t="shared" si="120"/>
        <v>Dosewallips River</v>
      </c>
      <c r="I1321" s="108" t="str">
        <f>IFERROR(VLOOKUP(H1321,LUTs!$A$1:$C$73,2,FALSE),"NA")</f>
        <v>Jefferson</v>
      </c>
      <c r="J1321" s="108" t="str">
        <f>IFERROR(VLOOKUP(H1321,LUTs!$A$1:$C$73,3,FALSE),"NA")</f>
        <v>4 Hood Canal</v>
      </c>
      <c r="K1321" s="108" t="s">
        <v>23</v>
      </c>
      <c r="L1321" s="108" t="str">
        <f>VLOOKUP(K1321,LUTs!E$2:G$14,3,)</f>
        <v>10Kitsap</v>
      </c>
      <c r="M1321" s="108" t="str">
        <f>VLOOKUP($K1321,LUTs!$E$2:$H$14,2,)</f>
        <v>South Puget Sound</v>
      </c>
      <c r="N1321" s="108" t="str">
        <f>VLOOKUP($K1321,LUTs!$E$2:$H$14,4,)</f>
        <v>02South Puget Sound</v>
      </c>
      <c r="O1321" s="108">
        <v>9</v>
      </c>
      <c r="P1321" s="108">
        <v>30.96</v>
      </c>
      <c r="Q1321" s="108">
        <f>SUMIFS('FW_Salmon_by_Month_2010-2021'!P$2:P$3810,'FW_Salmon_by_Month_2010-2021'!$B$2:$B$3810,'Rec_raw_catch_effort_2010-2021'!$B1321,'FW_Salmon_by_Month_2010-2021'!$H$2:$H$3810,'Rec_raw_catch_effort_2010-2021'!$F1321,'FW_Salmon_by_Month_2010-2021'!$M$2:$M$3810,'Rec_raw_catch_effort_2010-2021'!$K1321)</f>
        <v>9</v>
      </c>
      <c r="R1321" s="109">
        <f>VLOOKUP(B1321,Readme!$A$62:$C$74,2,)*Q1321</f>
        <v>31.851363958041738</v>
      </c>
      <c r="S1321" s="140" t="str">
        <f t="shared" si="121"/>
        <v>Y</v>
      </c>
      <c r="T1321" s="154">
        <f t="shared" si="122"/>
        <v>3.44</v>
      </c>
      <c r="U1321" s="154">
        <f t="shared" si="123"/>
        <v>3.5390404397824153</v>
      </c>
    </row>
    <row r="1322" spans="1:21" x14ac:dyDescent="0.35">
      <c r="A1322" s="108">
        <v>831</v>
      </c>
      <c r="B1322" s="108">
        <v>2015</v>
      </c>
      <c r="C1322" s="108" t="s">
        <v>38</v>
      </c>
      <c r="D1322" s="108" t="s">
        <v>143</v>
      </c>
      <c r="E1322" s="108" t="s">
        <v>10</v>
      </c>
      <c r="F1322" s="116">
        <v>734</v>
      </c>
      <c r="G1322" s="108" t="s">
        <v>68</v>
      </c>
      <c r="H1322" s="108" t="str">
        <f t="shared" si="120"/>
        <v>Dosewallips River</v>
      </c>
      <c r="I1322" s="108" t="str">
        <f>IFERROR(VLOOKUP(H1322,LUTs!$A$1:$C$73,2,FALSE),"NA")</f>
        <v>Jefferson</v>
      </c>
      <c r="J1322" s="108" t="str">
        <f>IFERROR(VLOOKUP(H1322,LUTs!$A$1:$C$73,3,FALSE),"NA")</f>
        <v>4 Hood Canal</v>
      </c>
      <c r="K1322" s="108" t="s">
        <v>21</v>
      </c>
      <c r="L1322" s="108" t="str">
        <f>VLOOKUP(K1322,LUTs!E$2:G$14,3,)</f>
        <v>08Thurston</v>
      </c>
      <c r="M1322" s="108" t="str">
        <f>VLOOKUP($K1322,LUTs!$E$2:$H$14,2,)</f>
        <v>South Puget Sound</v>
      </c>
      <c r="N1322" s="108" t="str">
        <f>VLOOKUP($K1322,LUTs!$E$2:$H$14,4,)</f>
        <v>02South Puget Sound</v>
      </c>
      <c r="O1322" s="108">
        <v>18</v>
      </c>
      <c r="P1322" s="108">
        <v>61.92</v>
      </c>
      <c r="Q1322" s="108">
        <f>SUMIFS('FW_Salmon_by_Month_2010-2021'!P$2:P$3810,'FW_Salmon_by_Month_2010-2021'!$B$2:$B$3810,'Rec_raw_catch_effort_2010-2021'!$B1322,'FW_Salmon_by_Month_2010-2021'!$H$2:$H$3810,'Rec_raw_catch_effort_2010-2021'!$F1322,'FW_Salmon_by_Month_2010-2021'!$M$2:$M$3810,'Rec_raw_catch_effort_2010-2021'!$K1322)</f>
        <v>18</v>
      </c>
      <c r="R1322" s="109">
        <f>VLOOKUP(B1322,Readme!$A$62:$C$74,2,)*Q1322</f>
        <v>63.702727916083475</v>
      </c>
      <c r="S1322" s="140" t="str">
        <f t="shared" si="121"/>
        <v>Y</v>
      </c>
      <c r="T1322" s="154">
        <f t="shared" si="122"/>
        <v>3.44</v>
      </c>
      <c r="U1322" s="154">
        <f t="shared" si="123"/>
        <v>3.5390404397824153</v>
      </c>
    </row>
    <row r="1323" spans="1:21" x14ac:dyDescent="0.35">
      <c r="A1323" s="108">
        <v>631</v>
      </c>
      <c r="B1323" s="108">
        <v>2010</v>
      </c>
      <c r="C1323" s="108" t="s">
        <v>38</v>
      </c>
      <c r="D1323" s="108" t="s">
        <v>143</v>
      </c>
      <c r="E1323" s="108" t="s">
        <v>10</v>
      </c>
      <c r="F1323" s="116">
        <v>736</v>
      </c>
      <c r="G1323" s="108" t="s">
        <v>42</v>
      </c>
      <c r="H1323" s="108" t="str">
        <f t="shared" si="120"/>
        <v>Duckabush River</v>
      </c>
      <c r="I1323" s="108" t="str">
        <f>IFERROR(VLOOKUP(H1323,LUTs!$A$1:$C$73,2,FALSE),"NA")</f>
        <v>Jefferson</v>
      </c>
      <c r="J1323" s="108" t="str">
        <f>IFERROR(VLOOKUP(H1323,LUTs!$A$1:$C$73,3,FALSE),"NA")</f>
        <v>4 Hood Canal</v>
      </c>
      <c r="K1323" s="108" t="s">
        <v>26</v>
      </c>
      <c r="L1323" s="108" t="str">
        <f>VLOOKUP(K1323,LUTs!E$2:G$14,3,)</f>
        <v>20Other</v>
      </c>
      <c r="M1323" s="108" t="str">
        <f>VLOOKUP($K1323,LUTs!$E$2:$H$14,2,)</f>
        <v>Non Puget Sound</v>
      </c>
      <c r="N1323" s="108" t="str">
        <f>VLOOKUP($K1323,LUTs!$E$2:$H$14,4,)</f>
        <v>07Non Puget Sound</v>
      </c>
      <c r="O1323" s="108">
        <v>6.3333333333333401</v>
      </c>
      <c r="P1323" s="108">
        <v>54.783333333333402</v>
      </c>
      <c r="Q1323" s="108">
        <f>SUMIFS('FW_Salmon_by_Month_2010-2021'!P$2:P$3810,'FW_Salmon_by_Month_2010-2021'!$B$2:$B$3810,'Rec_raw_catch_effort_2010-2021'!$B1323,'FW_Salmon_by_Month_2010-2021'!$H$2:$H$3810,'Rec_raw_catch_effort_2010-2021'!$F1323,'FW_Salmon_by_Month_2010-2021'!$M$2:$M$3810,'Rec_raw_catch_effort_2010-2021'!$K1323)</f>
        <v>6</v>
      </c>
      <c r="R1323" s="109">
        <f>VLOOKUP(B1323,Readme!$A$62:$C$74,2,)*Q1323</f>
        <v>28.917329424679252</v>
      </c>
      <c r="S1323" s="140" t="str">
        <f t="shared" si="121"/>
        <v>Y</v>
      </c>
      <c r="T1323" s="154">
        <f t="shared" si="122"/>
        <v>8.6500000000000021</v>
      </c>
      <c r="U1323" s="154">
        <f t="shared" si="123"/>
        <v>4.8195549041132084</v>
      </c>
    </row>
    <row r="1324" spans="1:21" x14ac:dyDescent="0.35">
      <c r="A1324" s="108">
        <v>630</v>
      </c>
      <c r="B1324" s="108">
        <v>2010</v>
      </c>
      <c r="C1324" s="108" t="s">
        <v>38</v>
      </c>
      <c r="D1324" s="108" t="s">
        <v>143</v>
      </c>
      <c r="E1324" s="108" t="s">
        <v>10</v>
      </c>
      <c r="F1324" s="116">
        <v>736</v>
      </c>
      <c r="G1324" s="108" t="s">
        <v>42</v>
      </c>
      <c r="H1324" s="108" t="str">
        <f t="shared" si="120"/>
        <v>Duckabush River</v>
      </c>
      <c r="I1324" s="108" t="str">
        <f>IFERROR(VLOOKUP(H1324,LUTs!$A$1:$C$73,2,FALSE),"NA")</f>
        <v>Jefferson</v>
      </c>
      <c r="J1324" s="108" t="str">
        <f>IFERROR(VLOOKUP(H1324,LUTs!$A$1:$C$73,3,FALSE),"NA")</f>
        <v>4 Hood Canal</v>
      </c>
      <c r="K1324" s="108" t="s">
        <v>21</v>
      </c>
      <c r="L1324" s="108" t="str">
        <f>VLOOKUP(K1324,LUTs!E$2:G$14,3,)</f>
        <v>08Thurston</v>
      </c>
      <c r="M1324" s="108" t="str">
        <f>VLOOKUP($K1324,LUTs!$E$2:$H$14,2,)</f>
        <v>South Puget Sound</v>
      </c>
      <c r="N1324" s="108" t="str">
        <f>VLOOKUP($K1324,LUTs!$E$2:$H$14,4,)</f>
        <v>02South Puget Sound</v>
      </c>
      <c r="O1324" s="108">
        <v>31.6666666666667</v>
      </c>
      <c r="P1324" s="108">
        <v>273.91666666666703</v>
      </c>
      <c r="Q1324" s="108">
        <f>SUMIFS('FW_Salmon_by_Month_2010-2021'!P$2:P$3810,'FW_Salmon_by_Month_2010-2021'!$B$2:$B$3810,'Rec_raw_catch_effort_2010-2021'!$B1324,'FW_Salmon_by_Month_2010-2021'!$H$2:$H$3810,'Rec_raw_catch_effort_2010-2021'!$F1324,'FW_Salmon_by_Month_2010-2021'!$M$2:$M$3810,'Rec_raw_catch_effort_2010-2021'!$K1324)</f>
        <v>32</v>
      </c>
      <c r="R1324" s="109">
        <f>VLOOKUP(B1324,Readme!$A$62:$C$74,2,)*Q1324</f>
        <v>154.22575693162267</v>
      </c>
      <c r="S1324" s="140" t="str">
        <f t="shared" si="121"/>
        <v>Y</v>
      </c>
      <c r="T1324" s="154">
        <f t="shared" si="122"/>
        <v>8.6500000000000021</v>
      </c>
      <c r="U1324" s="154">
        <f t="shared" si="123"/>
        <v>4.8195549041132084</v>
      </c>
    </row>
    <row r="1325" spans="1:21" x14ac:dyDescent="0.35">
      <c r="A1325" s="108">
        <v>714</v>
      </c>
      <c r="B1325" s="108">
        <v>2011</v>
      </c>
      <c r="C1325" s="108" t="s">
        <v>38</v>
      </c>
      <c r="D1325" s="108" t="s">
        <v>143</v>
      </c>
      <c r="E1325" s="108" t="s">
        <v>10</v>
      </c>
      <c r="F1325" s="116">
        <v>736</v>
      </c>
      <c r="G1325" s="108" t="s">
        <v>42</v>
      </c>
      <c r="H1325" s="108" t="str">
        <f t="shared" si="120"/>
        <v>Duckabush River</v>
      </c>
      <c r="I1325" s="108" t="str">
        <f>IFERROR(VLOOKUP(H1325,LUTs!$A$1:$C$73,2,FALSE),"NA")</f>
        <v>Jefferson</v>
      </c>
      <c r="J1325" s="108" t="str">
        <f>IFERROR(VLOOKUP(H1325,LUTs!$A$1:$C$73,3,FALSE),"NA")</f>
        <v>4 Hood Canal</v>
      </c>
      <c r="K1325" s="108" t="s">
        <v>23</v>
      </c>
      <c r="L1325" s="108" t="str">
        <f>VLOOKUP(K1325,LUTs!E$2:G$14,3,)</f>
        <v>10Kitsap</v>
      </c>
      <c r="M1325" s="108" t="str">
        <f>VLOOKUP($K1325,LUTs!$E$2:$H$14,2,)</f>
        <v>South Puget Sound</v>
      </c>
      <c r="N1325" s="108" t="str">
        <f>VLOOKUP($K1325,LUTs!$E$2:$H$14,4,)</f>
        <v>02South Puget Sound</v>
      </c>
      <c r="O1325" s="108">
        <v>43.75</v>
      </c>
      <c r="P1325" s="108">
        <v>150.5</v>
      </c>
      <c r="Q1325" s="108">
        <f>SUMIFS('FW_Salmon_by_Month_2010-2021'!P$2:P$3810,'FW_Salmon_by_Month_2010-2021'!$B$2:$B$3810,'Rec_raw_catch_effort_2010-2021'!$B1325,'FW_Salmon_by_Month_2010-2021'!$H$2:$H$3810,'Rec_raw_catch_effort_2010-2021'!$F1325,'FW_Salmon_by_Month_2010-2021'!$M$2:$M$3810,'Rec_raw_catch_effort_2010-2021'!$K1325)</f>
        <v>43.75</v>
      </c>
      <c r="R1325" s="109">
        <f>VLOOKUP(B1325,Readme!$A$62:$C$74,2,)*Q1325</f>
        <v>154.83301924048067</v>
      </c>
      <c r="S1325" s="140" t="str">
        <f t="shared" si="121"/>
        <v>Y</v>
      </c>
      <c r="T1325" s="154">
        <f t="shared" si="122"/>
        <v>3.44</v>
      </c>
      <c r="U1325" s="154">
        <f t="shared" si="123"/>
        <v>3.5390404397824153</v>
      </c>
    </row>
    <row r="1326" spans="1:21" x14ac:dyDescent="0.35">
      <c r="A1326" s="108">
        <v>715</v>
      </c>
      <c r="B1326" s="108">
        <v>2011</v>
      </c>
      <c r="C1326" s="108" t="s">
        <v>38</v>
      </c>
      <c r="D1326" s="108" t="s">
        <v>143</v>
      </c>
      <c r="E1326" s="108" t="s">
        <v>10</v>
      </c>
      <c r="F1326" s="116">
        <v>736</v>
      </c>
      <c r="G1326" s="108" t="s">
        <v>42</v>
      </c>
      <c r="H1326" s="108" t="str">
        <f t="shared" si="120"/>
        <v>Duckabush River</v>
      </c>
      <c r="I1326" s="108" t="str">
        <f>IFERROR(VLOOKUP(H1326,LUTs!$A$1:$C$73,2,FALSE),"NA")</f>
        <v>Jefferson</v>
      </c>
      <c r="J1326" s="108" t="str">
        <f>IFERROR(VLOOKUP(H1326,LUTs!$A$1:$C$73,3,FALSE),"NA")</f>
        <v>4 Hood Canal</v>
      </c>
      <c r="K1326" s="108" t="s">
        <v>26</v>
      </c>
      <c r="L1326" s="108" t="str">
        <f>VLOOKUP(K1326,LUTs!E$2:G$14,3,)</f>
        <v>20Other</v>
      </c>
      <c r="M1326" s="108" t="str">
        <f>VLOOKUP($K1326,LUTs!$E$2:$H$14,2,)</f>
        <v>Non Puget Sound</v>
      </c>
      <c r="N1326" s="108" t="str">
        <f>VLOOKUP($K1326,LUTs!$E$2:$H$14,4,)</f>
        <v>07Non Puget Sound</v>
      </c>
      <c r="O1326" s="108">
        <v>8.75</v>
      </c>
      <c r="P1326" s="108">
        <v>30.1</v>
      </c>
      <c r="Q1326" s="108">
        <f>SUMIFS('FW_Salmon_by_Month_2010-2021'!P$2:P$3810,'FW_Salmon_by_Month_2010-2021'!$B$2:$B$3810,'Rec_raw_catch_effort_2010-2021'!$B1326,'FW_Salmon_by_Month_2010-2021'!$H$2:$H$3810,'Rec_raw_catch_effort_2010-2021'!$F1326,'FW_Salmon_by_Month_2010-2021'!$M$2:$M$3810,'Rec_raw_catch_effort_2010-2021'!$K1326)</f>
        <v>8.75</v>
      </c>
      <c r="R1326" s="109">
        <f>VLOOKUP(B1326,Readme!$A$62:$C$74,2,)*Q1326</f>
        <v>30.966603848096135</v>
      </c>
      <c r="S1326" s="140" t="str">
        <f t="shared" si="121"/>
        <v>Y</v>
      </c>
      <c r="T1326" s="154">
        <f t="shared" si="122"/>
        <v>3.44</v>
      </c>
      <c r="U1326" s="154">
        <f t="shared" si="123"/>
        <v>3.5390404397824153</v>
      </c>
    </row>
    <row r="1327" spans="1:21" x14ac:dyDescent="0.35">
      <c r="A1327" s="108">
        <v>713</v>
      </c>
      <c r="B1327" s="108">
        <v>2011</v>
      </c>
      <c r="C1327" s="108" t="s">
        <v>38</v>
      </c>
      <c r="D1327" s="108" t="s">
        <v>143</v>
      </c>
      <c r="E1327" s="108" t="s">
        <v>10</v>
      </c>
      <c r="F1327" s="116">
        <v>736</v>
      </c>
      <c r="G1327" s="108" t="s">
        <v>42</v>
      </c>
      <c r="H1327" s="108" t="str">
        <f t="shared" si="120"/>
        <v>Duckabush River</v>
      </c>
      <c r="I1327" s="108" t="str">
        <f>IFERROR(VLOOKUP(H1327,LUTs!$A$1:$C$73,2,FALSE),"NA")</f>
        <v>Jefferson</v>
      </c>
      <c r="J1327" s="108" t="str">
        <f>IFERROR(VLOOKUP(H1327,LUTs!$A$1:$C$73,3,FALSE),"NA")</f>
        <v>4 Hood Canal</v>
      </c>
      <c r="K1327" s="108" t="s">
        <v>21</v>
      </c>
      <c r="L1327" s="108" t="str">
        <f>VLOOKUP(K1327,LUTs!E$2:G$14,3,)</f>
        <v>08Thurston</v>
      </c>
      <c r="M1327" s="108" t="str">
        <f>VLOOKUP($K1327,LUTs!$E$2:$H$14,2,)</f>
        <v>South Puget Sound</v>
      </c>
      <c r="N1327" s="108" t="str">
        <f>VLOOKUP($K1327,LUTs!$E$2:$H$14,4,)</f>
        <v>02South Puget Sound</v>
      </c>
      <c r="O1327" s="108">
        <v>17.5</v>
      </c>
      <c r="P1327" s="108">
        <v>60.2</v>
      </c>
      <c r="Q1327" s="108">
        <f>SUMIFS('FW_Salmon_by_Month_2010-2021'!P$2:P$3810,'FW_Salmon_by_Month_2010-2021'!$B$2:$B$3810,'Rec_raw_catch_effort_2010-2021'!$B1327,'FW_Salmon_by_Month_2010-2021'!$H$2:$H$3810,'Rec_raw_catch_effort_2010-2021'!$F1327,'FW_Salmon_by_Month_2010-2021'!$M$2:$M$3810,'Rec_raw_catch_effort_2010-2021'!$K1327)</f>
        <v>17.5</v>
      </c>
      <c r="R1327" s="109">
        <f>VLOOKUP(B1327,Readme!$A$62:$C$74,2,)*Q1327</f>
        <v>61.93320769619227</v>
      </c>
      <c r="S1327" s="140" t="str">
        <f t="shared" si="121"/>
        <v>Y</v>
      </c>
      <c r="T1327" s="154">
        <f t="shared" si="122"/>
        <v>3.44</v>
      </c>
      <c r="U1327" s="154">
        <f t="shared" si="123"/>
        <v>3.5390404397824153</v>
      </c>
    </row>
    <row r="1328" spans="1:21" x14ac:dyDescent="0.35">
      <c r="A1328" s="108">
        <v>747</v>
      </c>
      <c r="B1328" s="108">
        <v>2013</v>
      </c>
      <c r="C1328" s="108" t="s">
        <v>38</v>
      </c>
      <c r="D1328" s="108" t="s">
        <v>143</v>
      </c>
      <c r="E1328" s="108" t="s">
        <v>10</v>
      </c>
      <c r="F1328" s="116">
        <v>736</v>
      </c>
      <c r="G1328" s="108" t="s">
        <v>42</v>
      </c>
      <c r="H1328" s="108" t="str">
        <f t="shared" si="120"/>
        <v>Duckabush River</v>
      </c>
      <c r="I1328" s="108" t="str">
        <f>IFERROR(VLOOKUP(H1328,LUTs!$A$1:$C$73,2,FALSE),"NA")</f>
        <v>Jefferson</v>
      </c>
      <c r="J1328" s="108" t="str">
        <f>IFERROR(VLOOKUP(H1328,LUTs!$A$1:$C$73,3,FALSE),"NA")</f>
        <v>4 Hood Canal</v>
      </c>
      <c r="K1328" s="108" t="s">
        <v>23</v>
      </c>
      <c r="L1328" s="108" t="str">
        <f>VLOOKUP(K1328,LUTs!E$2:G$14,3,)</f>
        <v>10Kitsap</v>
      </c>
      <c r="M1328" s="108" t="str">
        <f>VLOOKUP($K1328,LUTs!$E$2:$H$14,2,)</f>
        <v>South Puget Sound</v>
      </c>
      <c r="N1328" s="108" t="str">
        <f>VLOOKUP($K1328,LUTs!$E$2:$H$14,4,)</f>
        <v>02South Puget Sound</v>
      </c>
      <c r="O1328" s="108">
        <v>4</v>
      </c>
      <c r="P1328" s="108">
        <v>13.76</v>
      </c>
      <c r="Q1328" s="108">
        <f>SUMIFS('FW_Salmon_by_Month_2010-2021'!P$2:P$3810,'FW_Salmon_by_Month_2010-2021'!$B$2:$B$3810,'Rec_raw_catch_effort_2010-2021'!$B1328,'FW_Salmon_by_Month_2010-2021'!$H$2:$H$3810,'Rec_raw_catch_effort_2010-2021'!$F1328,'FW_Salmon_by_Month_2010-2021'!$M$2:$M$3810,'Rec_raw_catch_effort_2010-2021'!$K1328)</f>
        <v>10</v>
      </c>
      <c r="R1328" s="109">
        <f>VLOOKUP(B1328,Readme!$A$62:$C$74,2,)*Q1328</f>
        <v>35.390404397824156</v>
      </c>
      <c r="S1328" s="140" t="str">
        <f t="shared" si="121"/>
        <v>Y</v>
      </c>
      <c r="T1328" s="154">
        <f t="shared" si="122"/>
        <v>3.44</v>
      </c>
      <c r="U1328" s="154">
        <f t="shared" si="123"/>
        <v>3.5390404397824158</v>
      </c>
    </row>
    <row r="1329" spans="1:21" x14ac:dyDescent="0.35">
      <c r="A1329" s="108">
        <v>746</v>
      </c>
      <c r="B1329" s="108">
        <v>2013</v>
      </c>
      <c r="C1329" s="108" t="s">
        <v>38</v>
      </c>
      <c r="D1329" s="108" t="s">
        <v>143</v>
      </c>
      <c r="E1329" s="108" t="s">
        <v>10</v>
      </c>
      <c r="F1329" s="116">
        <v>736</v>
      </c>
      <c r="G1329" s="108" t="s">
        <v>42</v>
      </c>
      <c r="H1329" s="108" t="str">
        <f t="shared" si="120"/>
        <v>Duckabush River</v>
      </c>
      <c r="I1329" s="108" t="str">
        <f>IFERROR(VLOOKUP(H1329,LUTs!$A$1:$C$73,2,FALSE),"NA")</f>
        <v>Jefferson</v>
      </c>
      <c r="J1329" s="108" t="str">
        <f>IFERROR(VLOOKUP(H1329,LUTs!$A$1:$C$73,3,FALSE),"NA")</f>
        <v>4 Hood Canal</v>
      </c>
      <c r="K1329" s="108" t="s">
        <v>21</v>
      </c>
      <c r="L1329" s="108" t="str">
        <f>VLOOKUP(K1329,LUTs!E$2:G$14,3,)</f>
        <v>08Thurston</v>
      </c>
      <c r="M1329" s="108" t="str">
        <f>VLOOKUP($K1329,LUTs!$E$2:$H$14,2,)</f>
        <v>South Puget Sound</v>
      </c>
      <c r="N1329" s="108" t="str">
        <f>VLOOKUP($K1329,LUTs!$E$2:$H$14,4,)</f>
        <v>02South Puget Sound</v>
      </c>
      <c r="O1329" s="108">
        <v>6</v>
      </c>
      <c r="P1329" s="108">
        <v>20.64</v>
      </c>
      <c r="Q1329" s="108">
        <f>SUMIFS('FW_Salmon_by_Month_2010-2021'!P$2:P$3810,'FW_Salmon_by_Month_2010-2021'!$B$2:$B$3810,'Rec_raw_catch_effort_2010-2021'!$B1329,'FW_Salmon_by_Month_2010-2021'!$H$2:$H$3810,'Rec_raw_catch_effort_2010-2021'!$F1329,'FW_Salmon_by_Month_2010-2021'!$M$2:$M$3810,'Rec_raw_catch_effort_2010-2021'!$K1329)</f>
        <v>0</v>
      </c>
      <c r="R1329" s="109">
        <f>VLOOKUP(B1329,Readme!$A$62:$C$74,2,)*Q1329</f>
        <v>0</v>
      </c>
      <c r="S1329" s="140" t="str">
        <f t="shared" si="121"/>
        <v>Y</v>
      </c>
      <c r="T1329" s="154">
        <f t="shared" si="122"/>
        <v>3.44</v>
      </c>
      <c r="U1329" s="154" t="str">
        <f t="shared" si="123"/>
        <v>NA</v>
      </c>
    </row>
    <row r="1330" spans="1:21" x14ac:dyDescent="0.35">
      <c r="A1330" s="108">
        <v>820</v>
      </c>
      <c r="B1330" s="108">
        <v>2014</v>
      </c>
      <c r="C1330" s="108" t="s">
        <v>38</v>
      </c>
      <c r="D1330" s="108" t="s">
        <v>143</v>
      </c>
      <c r="E1330" s="108" t="s">
        <v>10</v>
      </c>
      <c r="F1330" s="116">
        <v>736</v>
      </c>
      <c r="G1330" s="108" t="s">
        <v>42</v>
      </c>
      <c r="H1330" s="108" t="str">
        <f t="shared" si="120"/>
        <v>Duckabush River</v>
      </c>
      <c r="I1330" s="108" t="str">
        <f>IFERROR(VLOOKUP(H1330,LUTs!$A$1:$C$73,2,FALSE),"NA")</f>
        <v>Jefferson</v>
      </c>
      <c r="J1330" s="108" t="str">
        <f>IFERROR(VLOOKUP(H1330,LUTs!$A$1:$C$73,3,FALSE),"NA")</f>
        <v>4 Hood Canal</v>
      </c>
      <c r="K1330" s="108" t="s">
        <v>23</v>
      </c>
      <c r="L1330" s="108" t="str">
        <f>VLOOKUP(K1330,LUTs!E$2:G$14,3,)</f>
        <v>10Kitsap</v>
      </c>
      <c r="M1330" s="108" t="str">
        <f>VLOOKUP($K1330,LUTs!$E$2:$H$14,2,)</f>
        <v>South Puget Sound</v>
      </c>
      <c r="N1330" s="108" t="str">
        <f>VLOOKUP($K1330,LUTs!$E$2:$H$14,4,)</f>
        <v>02South Puget Sound</v>
      </c>
      <c r="O1330" s="108">
        <v>9</v>
      </c>
      <c r="P1330" s="108">
        <v>77.849999999999994</v>
      </c>
      <c r="Q1330" s="108">
        <f>SUMIFS('FW_Salmon_by_Month_2010-2021'!P$2:P$3810,'FW_Salmon_by_Month_2010-2021'!$B$2:$B$3810,'Rec_raw_catch_effort_2010-2021'!$B1330,'FW_Salmon_by_Month_2010-2021'!$H$2:$H$3810,'Rec_raw_catch_effort_2010-2021'!$F1330,'FW_Salmon_by_Month_2010-2021'!$M$2:$M$3810,'Rec_raw_catch_effort_2010-2021'!$K1330)</f>
        <v>9</v>
      </c>
      <c r="R1330" s="109">
        <f>VLOOKUP(B1330,Readme!$A$62:$C$74,2,)*Q1330</f>
        <v>43.375994137018878</v>
      </c>
      <c r="S1330" s="140" t="str">
        <f t="shared" si="121"/>
        <v>Y</v>
      </c>
      <c r="T1330" s="154">
        <f t="shared" si="122"/>
        <v>8.6499999999999986</v>
      </c>
      <c r="U1330" s="154">
        <f t="shared" si="123"/>
        <v>4.8195549041132084</v>
      </c>
    </row>
    <row r="1331" spans="1:21" x14ac:dyDescent="0.35">
      <c r="A1331" s="108">
        <v>821</v>
      </c>
      <c r="B1331" s="108">
        <v>2014</v>
      </c>
      <c r="C1331" s="108" t="s">
        <v>38</v>
      </c>
      <c r="D1331" s="108" t="s">
        <v>143</v>
      </c>
      <c r="E1331" s="108" t="s">
        <v>10</v>
      </c>
      <c r="F1331" s="116">
        <v>736</v>
      </c>
      <c r="G1331" s="108" t="s">
        <v>42</v>
      </c>
      <c r="H1331" s="108" t="str">
        <f t="shared" si="120"/>
        <v>Duckabush River</v>
      </c>
      <c r="I1331" s="108" t="str">
        <f>IFERROR(VLOOKUP(H1331,LUTs!$A$1:$C$73,2,FALSE),"NA")</f>
        <v>Jefferson</v>
      </c>
      <c r="J1331" s="108" t="str">
        <f>IFERROR(VLOOKUP(H1331,LUTs!$A$1:$C$73,3,FALSE),"NA")</f>
        <v>4 Hood Canal</v>
      </c>
      <c r="K1331" s="108" t="s">
        <v>26</v>
      </c>
      <c r="L1331" s="108" t="str">
        <f>VLOOKUP(K1331,LUTs!E$2:G$14,3,)</f>
        <v>20Other</v>
      </c>
      <c r="M1331" s="108" t="str">
        <f>VLOOKUP($K1331,LUTs!$E$2:$H$14,2,)</f>
        <v>Non Puget Sound</v>
      </c>
      <c r="N1331" s="108" t="str">
        <f>VLOOKUP($K1331,LUTs!$E$2:$H$14,4,)</f>
        <v>07Non Puget Sound</v>
      </c>
      <c r="O1331" s="108">
        <v>9</v>
      </c>
      <c r="P1331" s="108">
        <v>77.849999999999994</v>
      </c>
      <c r="Q1331" s="108">
        <f>SUMIFS('FW_Salmon_by_Month_2010-2021'!P$2:P$3810,'FW_Salmon_by_Month_2010-2021'!$B$2:$B$3810,'Rec_raw_catch_effort_2010-2021'!$B1331,'FW_Salmon_by_Month_2010-2021'!$H$2:$H$3810,'Rec_raw_catch_effort_2010-2021'!$F1331,'FW_Salmon_by_Month_2010-2021'!$M$2:$M$3810,'Rec_raw_catch_effort_2010-2021'!$K1331)</f>
        <v>9</v>
      </c>
      <c r="R1331" s="109">
        <f>VLOOKUP(B1331,Readme!$A$62:$C$74,2,)*Q1331</f>
        <v>43.375994137018878</v>
      </c>
      <c r="S1331" s="140" t="str">
        <f t="shared" si="121"/>
        <v>Y</v>
      </c>
      <c r="T1331" s="154">
        <f t="shared" si="122"/>
        <v>8.6499999999999986</v>
      </c>
      <c r="U1331" s="154">
        <f t="shared" si="123"/>
        <v>4.8195549041132084</v>
      </c>
    </row>
    <row r="1332" spans="1:21" x14ac:dyDescent="0.35">
      <c r="A1332" s="108">
        <v>926</v>
      </c>
      <c r="B1332" s="108">
        <v>2017</v>
      </c>
      <c r="C1332" s="108" t="s">
        <v>38</v>
      </c>
      <c r="D1332" s="108" t="s">
        <v>143</v>
      </c>
      <c r="E1332" s="108" t="s">
        <v>10</v>
      </c>
      <c r="F1332" s="116">
        <v>736</v>
      </c>
      <c r="G1332" s="108" t="s">
        <v>42</v>
      </c>
      <c r="H1332" s="108" t="str">
        <f t="shared" si="120"/>
        <v>Duckabush River</v>
      </c>
      <c r="I1332" s="108" t="str">
        <f>IFERROR(VLOOKUP(H1332,LUTs!$A$1:$C$73,2,FALSE),"NA")</f>
        <v>Jefferson</v>
      </c>
      <c r="J1332" s="108" t="str">
        <f>IFERROR(VLOOKUP(H1332,LUTs!$A$1:$C$73,3,FALSE),"NA")</f>
        <v>4 Hood Canal</v>
      </c>
      <c r="K1332" s="108" t="s">
        <v>25</v>
      </c>
      <c r="L1332" s="108" t="str">
        <f>VLOOKUP(K1332,LUTs!E$2:G$14,3,)</f>
        <v>12Jefferson</v>
      </c>
      <c r="M1332" s="108" t="str">
        <f>VLOOKUP($K1332,LUTs!$E$2:$H$14,2,)</f>
        <v>Strait of Juan de Fuca</v>
      </c>
      <c r="N1332" s="108" t="str">
        <f>VLOOKUP($K1332,LUTs!$E$2:$H$14,4,)</f>
        <v>03Strait of Juan de Fuca</v>
      </c>
      <c r="O1332" s="108">
        <v>21</v>
      </c>
      <c r="P1332" s="108">
        <v>72.239999999999995</v>
      </c>
      <c r="Q1332" s="108">
        <f>SUMIFS('FW_Salmon_by_Month_2010-2021'!P$2:P$3810,'FW_Salmon_by_Month_2010-2021'!$B$2:$B$3810,'Rec_raw_catch_effort_2010-2021'!$B1332,'FW_Salmon_by_Month_2010-2021'!$H$2:$H$3810,'Rec_raw_catch_effort_2010-2021'!$F1332,'FW_Salmon_by_Month_2010-2021'!$M$2:$M$3810,'Rec_raw_catch_effort_2010-2021'!$K1332)</f>
        <v>21</v>
      </c>
      <c r="R1332" s="109">
        <f>VLOOKUP(B1332,Readme!$A$62:$C$74,2,)*Q1332</f>
        <v>74.319849235430723</v>
      </c>
      <c r="S1332" s="140" t="str">
        <f t="shared" si="121"/>
        <v>Y</v>
      </c>
      <c r="T1332" s="154">
        <f t="shared" si="122"/>
        <v>3.44</v>
      </c>
      <c r="U1332" s="154">
        <f t="shared" si="123"/>
        <v>3.5390404397824153</v>
      </c>
    </row>
    <row r="1333" spans="1:21" x14ac:dyDescent="0.35">
      <c r="A1333" s="108">
        <v>953</v>
      </c>
      <c r="B1333" s="108">
        <v>2019</v>
      </c>
      <c r="C1333" s="108" t="s">
        <v>38</v>
      </c>
      <c r="D1333" s="108" t="s">
        <v>143</v>
      </c>
      <c r="E1333" s="108" t="s">
        <v>10</v>
      </c>
      <c r="F1333" s="116">
        <v>736</v>
      </c>
      <c r="G1333" s="108" t="s">
        <v>42</v>
      </c>
      <c r="H1333" s="108" t="str">
        <f t="shared" si="120"/>
        <v>Duckabush River</v>
      </c>
      <c r="I1333" s="108" t="str">
        <f>IFERROR(VLOOKUP(H1333,LUTs!$A$1:$C$73,2,FALSE),"NA")</f>
        <v>Jefferson</v>
      </c>
      <c r="J1333" s="108" t="str">
        <f>IFERROR(VLOOKUP(H1333,LUTs!$A$1:$C$73,3,FALSE),"NA")</f>
        <v>4 Hood Canal</v>
      </c>
      <c r="K1333" s="108" t="s">
        <v>18</v>
      </c>
      <c r="L1333" s="108" t="str">
        <f>VLOOKUP(K1333,LUTs!E$2:G$14,3,)</f>
        <v>06King</v>
      </c>
      <c r="M1333" s="108" t="str">
        <f>VLOOKUP($K1333,LUTs!$E$2:$H$14,2,)</f>
        <v>South Puget Sound</v>
      </c>
      <c r="N1333" s="108" t="str">
        <f>VLOOKUP($K1333,LUTs!$E$2:$H$14,4,)</f>
        <v>02South Puget Sound</v>
      </c>
      <c r="O1333" s="108">
        <v>11</v>
      </c>
      <c r="P1333" s="108">
        <v>37.840000000000003</v>
      </c>
      <c r="Q1333" s="108">
        <f>SUMIFS('FW_Salmon_by_Month_2010-2021'!P$2:P$3810,'FW_Salmon_by_Month_2010-2021'!$B$2:$B$3810,'Rec_raw_catch_effort_2010-2021'!$B1333,'FW_Salmon_by_Month_2010-2021'!$H$2:$H$3810,'Rec_raw_catch_effort_2010-2021'!$F1333,'FW_Salmon_by_Month_2010-2021'!$M$2:$M$3810,'Rec_raw_catch_effort_2010-2021'!$K1333)</f>
        <v>11</v>
      </c>
      <c r="R1333" s="109">
        <f>VLOOKUP(B1333,Readme!$A$62:$C$74,2,)*Q1333</f>
        <v>38.929444837606567</v>
      </c>
      <c r="S1333" s="140" t="str">
        <f t="shared" si="121"/>
        <v>Y</v>
      </c>
      <c r="T1333" s="154">
        <f t="shared" si="122"/>
        <v>3.4400000000000004</v>
      </c>
      <c r="U1333" s="154">
        <f t="shared" si="123"/>
        <v>3.5390404397824153</v>
      </c>
    </row>
    <row r="1334" spans="1:21" x14ac:dyDescent="0.35">
      <c r="A1334" s="108">
        <v>1033</v>
      </c>
      <c r="B1334" s="108">
        <v>2020</v>
      </c>
      <c r="C1334" s="108" t="s">
        <v>38</v>
      </c>
      <c r="D1334" s="108" t="s">
        <v>143</v>
      </c>
      <c r="E1334" s="108" t="s">
        <v>10</v>
      </c>
      <c r="F1334" s="116">
        <v>736</v>
      </c>
      <c r="G1334" s="108" t="s">
        <v>42</v>
      </c>
      <c r="H1334" s="108" t="str">
        <f t="shared" si="120"/>
        <v>Duckabush River</v>
      </c>
      <c r="I1334" s="108" t="str">
        <f>IFERROR(VLOOKUP(H1334,LUTs!$A$1:$C$73,2,FALSE),"NA")</f>
        <v>Jefferson</v>
      </c>
      <c r="J1334" s="108" t="str">
        <f>IFERROR(VLOOKUP(H1334,LUTs!$A$1:$C$73,3,FALSE),"NA")</f>
        <v>4 Hood Canal</v>
      </c>
      <c r="K1334" s="108" t="s">
        <v>25</v>
      </c>
      <c r="L1334" s="108" t="str">
        <f>VLOOKUP(K1334,LUTs!E$2:G$14,3,)</f>
        <v>12Jefferson</v>
      </c>
      <c r="M1334" s="108" t="str">
        <f>VLOOKUP($K1334,LUTs!$E$2:$H$14,2,)</f>
        <v>Strait of Juan de Fuca</v>
      </c>
      <c r="N1334" s="108" t="str">
        <f>VLOOKUP($K1334,LUTs!$E$2:$H$14,4,)</f>
        <v>03Strait of Juan de Fuca</v>
      </c>
      <c r="O1334" s="108">
        <v>7</v>
      </c>
      <c r="P1334" s="108">
        <v>60.55</v>
      </c>
      <c r="Q1334" s="108">
        <f>SUMIFS('FW_Salmon_by_Month_2010-2021'!P$2:P$3810,'FW_Salmon_by_Month_2010-2021'!$B$2:$B$3810,'Rec_raw_catch_effort_2010-2021'!$B1334,'FW_Salmon_by_Month_2010-2021'!$H$2:$H$3810,'Rec_raw_catch_effort_2010-2021'!$F1334,'FW_Salmon_by_Month_2010-2021'!$M$2:$M$3810,'Rec_raw_catch_effort_2010-2021'!$K1334)</f>
        <v>7</v>
      </c>
      <c r="R1334" s="109">
        <f>VLOOKUP(B1334,Readme!$A$62:$C$74,2,)*Q1334</f>
        <v>33.736884328792456</v>
      </c>
      <c r="S1334" s="140" t="str">
        <f t="shared" si="121"/>
        <v>N</v>
      </c>
      <c r="T1334" s="154">
        <f t="shared" si="122"/>
        <v>8.65</v>
      </c>
      <c r="U1334" s="154">
        <f t="shared" si="123"/>
        <v>4.8195549041132084</v>
      </c>
    </row>
    <row r="1335" spans="1:21" x14ac:dyDescent="0.35">
      <c r="A1335" s="108">
        <v>1267</v>
      </c>
      <c r="B1335" s="108">
        <v>2010</v>
      </c>
      <c r="C1335" s="108" t="s">
        <v>38</v>
      </c>
      <c r="D1335" s="108" t="s">
        <v>143</v>
      </c>
      <c r="E1335" s="108" t="s">
        <v>10</v>
      </c>
      <c r="F1335" s="116">
        <v>738</v>
      </c>
      <c r="G1335" s="108" t="s">
        <v>43</v>
      </c>
      <c r="H1335" s="108" t="str">
        <f t="shared" si="120"/>
        <v>Dungeness River</v>
      </c>
      <c r="I1335" s="108" t="str">
        <f>IFERROR(VLOOKUP(H1335,LUTs!$A$1:$C$73,2,FALSE),"NA")</f>
        <v>Clallam</v>
      </c>
      <c r="J1335" s="108" t="str">
        <f>IFERROR(VLOOKUP(H1335,LUTs!$A$1:$C$73,3,FALSE),"NA")</f>
        <v>0Strait of Juan de Fuca</v>
      </c>
      <c r="K1335" s="108" t="s">
        <v>24</v>
      </c>
      <c r="L1335" s="108" t="str">
        <f>VLOOKUP(K1335,LUTs!E$2:G$14,3,)</f>
        <v>11Clallam</v>
      </c>
      <c r="M1335" s="108" t="str">
        <f>VLOOKUP($K1335,LUTs!$E$2:$H$14,2,)</f>
        <v>Strait of Juan de Fuca</v>
      </c>
      <c r="N1335" s="108" t="str">
        <f>VLOOKUP($K1335,LUTs!$E$2:$H$14,4,)</f>
        <v>03Strait of Juan de Fuca</v>
      </c>
      <c r="O1335" s="108">
        <v>201.513513513514</v>
      </c>
      <c r="P1335" s="108">
        <v>1743.0918918919001</v>
      </c>
      <c r="Q1335" s="108">
        <f>SUMIFS('FW_Salmon_by_Month_2010-2021'!P$2:P$3810,'FW_Salmon_by_Month_2010-2021'!$B$2:$B$3810,'Rec_raw_catch_effort_2010-2021'!$B1335,'FW_Salmon_by_Month_2010-2021'!$H$2:$H$3810,'Rec_raw_catch_effort_2010-2021'!$F1335,'FW_Salmon_by_Month_2010-2021'!$M$2:$M$3810,'Rec_raw_catch_effort_2010-2021'!$K1335)</f>
        <v>201.53146853146851</v>
      </c>
      <c r="R1335" s="109">
        <f>VLOOKUP(B1335,Readme!$A$62:$C$74,2,)*Q1335</f>
        <v>971.29197749397576</v>
      </c>
      <c r="S1335" s="140" t="str">
        <f t="shared" si="121"/>
        <v>Y</v>
      </c>
      <c r="T1335" s="154">
        <f t="shared" si="122"/>
        <v>8.6500000000000199</v>
      </c>
      <c r="U1335" s="154">
        <f t="shared" si="123"/>
        <v>4.8195549041132084</v>
      </c>
    </row>
    <row r="1336" spans="1:21" x14ac:dyDescent="0.35">
      <c r="A1336" s="108">
        <v>1265</v>
      </c>
      <c r="B1336" s="108">
        <v>2010</v>
      </c>
      <c r="C1336" s="108" t="s">
        <v>38</v>
      </c>
      <c r="D1336" s="108" t="s">
        <v>143</v>
      </c>
      <c r="E1336" s="108" t="s">
        <v>10</v>
      </c>
      <c r="F1336" s="116">
        <v>738</v>
      </c>
      <c r="G1336" s="108" t="s">
        <v>43</v>
      </c>
      <c r="H1336" s="108" t="str">
        <f t="shared" si="120"/>
        <v>Dungeness River</v>
      </c>
      <c r="I1336" s="108" t="str">
        <f>IFERROR(VLOOKUP(H1336,LUTs!$A$1:$C$73,2,FALSE),"NA")</f>
        <v>Clallam</v>
      </c>
      <c r="J1336" s="108" t="str">
        <f>IFERROR(VLOOKUP(H1336,LUTs!$A$1:$C$73,3,FALSE),"NA")</f>
        <v>0Strait of Juan de Fuca</v>
      </c>
      <c r="K1336" s="108" t="s">
        <v>18</v>
      </c>
      <c r="L1336" s="108" t="str">
        <f>VLOOKUP(K1336,LUTs!E$2:G$14,3,)</f>
        <v>06King</v>
      </c>
      <c r="M1336" s="108" t="str">
        <f>VLOOKUP($K1336,LUTs!$E$2:$H$14,2,)</f>
        <v>South Puget Sound</v>
      </c>
      <c r="N1336" s="108" t="str">
        <f>VLOOKUP($K1336,LUTs!$E$2:$H$14,4,)</f>
        <v>02South Puget Sound</v>
      </c>
      <c r="O1336" s="108">
        <v>6.2972972972973</v>
      </c>
      <c r="P1336" s="108">
        <v>54.471621621621701</v>
      </c>
      <c r="Q1336" s="108">
        <f>SUMIFS('FW_Salmon_by_Month_2010-2021'!P$2:P$3810,'FW_Salmon_by_Month_2010-2021'!$B$2:$B$3810,'Rec_raw_catch_effort_2010-2021'!$B1336,'FW_Salmon_by_Month_2010-2021'!$H$2:$H$3810,'Rec_raw_catch_effort_2010-2021'!$F1336,'FW_Salmon_by_Month_2010-2021'!$M$2:$M$3810,'Rec_raw_catch_effort_2010-2021'!$K1336)</f>
        <v>6.3076923076923102</v>
      </c>
      <c r="R1336" s="109">
        <f>VLOOKUP(B1336,Readme!$A$62:$C$74,2,)*Q1336</f>
        <v>30.400269395175634</v>
      </c>
      <c r="S1336" s="140" t="str">
        <f t="shared" si="121"/>
        <v>Y</v>
      </c>
      <c r="T1336" s="154">
        <f t="shared" si="122"/>
        <v>8.6500000000000092</v>
      </c>
      <c r="U1336" s="154">
        <f t="shared" si="123"/>
        <v>4.8195549041132084</v>
      </c>
    </row>
    <row r="1337" spans="1:21" x14ac:dyDescent="0.35">
      <c r="A1337" s="108">
        <v>1266</v>
      </c>
      <c r="B1337" s="108">
        <v>2010</v>
      </c>
      <c r="C1337" s="108" t="s">
        <v>38</v>
      </c>
      <c r="D1337" s="108" t="s">
        <v>143</v>
      </c>
      <c r="E1337" s="108" t="s">
        <v>10</v>
      </c>
      <c r="F1337" s="116">
        <v>738</v>
      </c>
      <c r="G1337" s="108" t="s">
        <v>43</v>
      </c>
      <c r="H1337" s="108" t="str">
        <f t="shared" si="120"/>
        <v>Dungeness River</v>
      </c>
      <c r="I1337" s="108" t="str">
        <f>IFERROR(VLOOKUP(H1337,LUTs!$A$1:$C$73,2,FALSE),"NA")</f>
        <v>Clallam</v>
      </c>
      <c r="J1337" s="108" t="str">
        <f>IFERROR(VLOOKUP(H1337,LUTs!$A$1:$C$73,3,FALSE),"NA")</f>
        <v>0Strait of Juan de Fuca</v>
      </c>
      <c r="K1337" s="108" t="s">
        <v>23</v>
      </c>
      <c r="L1337" s="108" t="str">
        <f>VLOOKUP(K1337,LUTs!E$2:G$14,3,)</f>
        <v>10Kitsap</v>
      </c>
      <c r="M1337" s="108" t="str">
        <f>VLOOKUP($K1337,LUTs!$E$2:$H$14,2,)</f>
        <v>South Puget Sound</v>
      </c>
      <c r="N1337" s="108" t="str">
        <f>VLOOKUP($K1337,LUTs!$E$2:$H$14,4,)</f>
        <v>02South Puget Sound</v>
      </c>
      <c r="O1337" s="108">
        <v>25.1891891891892</v>
      </c>
      <c r="P1337" s="108">
        <v>217.886486486487</v>
      </c>
      <c r="Q1337" s="108">
        <f>SUMIFS('FW_Salmon_by_Month_2010-2021'!P$2:P$3810,'FW_Salmon_by_Month_2010-2021'!$B$2:$B$3810,'Rec_raw_catch_effort_2010-2021'!$B1337,'FW_Salmon_by_Month_2010-2021'!$H$2:$H$3810,'Rec_raw_catch_effort_2010-2021'!$F1337,'FW_Salmon_by_Month_2010-2021'!$M$2:$M$3810,'Rec_raw_catch_effort_2010-2021'!$K1337)</f>
        <v>25.160839160839103</v>
      </c>
      <c r="R1337" s="109">
        <f>VLOOKUP(B1337,Readme!$A$62:$C$74,2,)*Q1337</f>
        <v>121.26404576922576</v>
      </c>
      <c r="S1337" s="140" t="str">
        <f t="shared" si="121"/>
        <v>Y</v>
      </c>
      <c r="T1337" s="154">
        <f t="shared" si="122"/>
        <v>8.6500000000000163</v>
      </c>
      <c r="U1337" s="154">
        <f t="shared" si="123"/>
        <v>4.8195549041132084</v>
      </c>
    </row>
    <row r="1338" spans="1:21" x14ac:dyDescent="0.35">
      <c r="A1338" s="108">
        <v>1402</v>
      </c>
      <c r="B1338" s="108">
        <v>2011</v>
      </c>
      <c r="C1338" s="108" t="s">
        <v>38</v>
      </c>
      <c r="D1338" s="108" t="s">
        <v>143</v>
      </c>
      <c r="E1338" s="108" t="s">
        <v>10</v>
      </c>
      <c r="F1338" s="116">
        <v>738</v>
      </c>
      <c r="G1338" s="108" t="s">
        <v>43</v>
      </c>
      <c r="H1338" s="108" t="str">
        <f t="shared" si="120"/>
        <v>Dungeness River</v>
      </c>
      <c r="I1338" s="108" t="str">
        <f>IFERROR(VLOOKUP(H1338,LUTs!$A$1:$C$73,2,FALSE),"NA")</f>
        <v>Clallam</v>
      </c>
      <c r="J1338" s="108" t="str">
        <f>IFERROR(VLOOKUP(H1338,LUTs!$A$1:$C$73,3,FALSE),"NA")</f>
        <v>0Strait of Juan de Fuca</v>
      </c>
      <c r="K1338" s="108" t="s">
        <v>24</v>
      </c>
      <c r="L1338" s="108" t="str">
        <f>VLOOKUP(K1338,LUTs!E$2:G$14,3,)</f>
        <v>11Clallam</v>
      </c>
      <c r="M1338" s="108" t="str">
        <f>VLOOKUP($K1338,LUTs!$E$2:$H$14,2,)</f>
        <v>Strait of Juan de Fuca</v>
      </c>
      <c r="N1338" s="108" t="str">
        <f>VLOOKUP($K1338,LUTs!$E$2:$H$14,4,)</f>
        <v>03Strait of Juan de Fuca</v>
      </c>
      <c r="O1338" s="108">
        <v>1483.04498269896</v>
      </c>
      <c r="P1338" s="108">
        <v>5101.67474048442</v>
      </c>
      <c r="Q1338" s="108">
        <f>SUMIFS('FW_Salmon_by_Month_2010-2021'!P$2:P$3810,'FW_Salmon_by_Month_2010-2021'!$B$2:$B$3810,'Rec_raw_catch_effort_2010-2021'!$B1338,'FW_Salmon_by_Month_2010-2021'!$H$2:$H$3810,'Rec_raw_catch_effort_2010-2021'!$F1338,'FW_Salmon_by_Month_2010-2021'!$M$2:$M$3810,'Rec_raw_catch_effort_2010-2021'!$K1338)</f>
        <v>1498.458571974036</v>
      </c>
      <c r="R1338" s="109">
        <f>VLOOKUP(B1338,Readme!$A$62:$C$74,2,)*Q1338</f>
        <v>5303.105483554722</v>
      </c>
      <c r="S1338" s="140" t="str">
        <f t="shared" si="121"/>
        <v>Y</v>
      </c>
      <c r="T1338" s="154">
        <f t="shared" si="122"/>
        <v>3.4399999999999986</v>
      </c>
      <c r="U1338" s="154">
        <f t="shared" si="123"/>
        <v>3.5390404397824149</v>
      </c>
    </row>
    <row r="1339" spans="1:21" x14ac:dyDescent="0.35">
      <c r="A1339" s="108">
        <v>1403</v>
      </c>
      <c r="B1339" s="108">
        <v>2011</v>
      </c>
      <c r="C1339" s="108" t="s">
        <v>38</v>
      </c>
      <c r="D1339" s="108" t="s">
        <v>143</v>
      </c>
      <c r="E1339" s="108" t="s">
        <v>10</v>
      </c>
      <c r="F1339" s="116">
        <v>738</v>
      </c>
      <c r="G1339" s="108" t="s">
        <v>43</v>
      </c>
      <c r="H1339" s="108" t="str">
        <f t="shared" si="120"/>
        <v>Dungeness River</v>
      </c>
      <c r="I1339" s="108" t="str">
        <f>IFERROR(VLOOKUP(H1339,LUTs!$A$1:$C$73,2,FALSE),"NA")</f>
        <v>Clallam</v>
      </c>
      <c r="J1339" s="108" t="str">
        <f>IFERROR(VLOOKUP(H1339,LUTs!$A$1:$C$73,3,FALSE),"NA")</f>
        <v>0Strait of Juan de Fuca</v>
      </c>
      <c r="K1339" s="108" t="s">
        <v>25</v>
      </c>
      <c r="L1339" s="108" t="str">
        <f>VLOOKUP(K1339,LUTs!E$2:G$14,3,)</f>
        <v>12Jefferson</v>
      </c>
      <c r="M1339" s="108" t="str">
        <f>VLOOKUP($K1339,LUTs!$E$2:$H$14,2,)</f>
        <v>Strait of Juan de Fuca</v>
      </c>
      <c r="N1339" s="108" t="str">
        <f>VLOOKUP($K1339,LUTs!$E$2:$H$14,4,)</f>
        <v>03Strait of Juan de Fuca</v>
      </c>
      <c r="O1339" s="108">
        <v>296.60899653979197</v>
      </c>
      <c r="P1339" s="108">
        <v>1020.33494809688</v>
      </c>
      <c r="Q1339" s="108">
        <f>SUMIFS('FW_Salmon_by_Month_2010-2021'!P$2:P$3810,'FW_Salmon_by_Month_2010-2021'!$B$2:$B$3810,'Rec_raw_catch_effort_2010-2021'!$B1339,'FW_Salmon_by_Month_2010-2021'!$H$2:$H$3810,'Rec_raw_catch_effort_2010-2021'!$F1339,'FW_Salmon_by_Month_2010-2021'!$M$2:$M$3810,'Rec_raw_catch_effort_2010-2021'!$K1339)</f>
        <v>299.78566883034262</v>
      </c>
      <c r="R1339" s="109">
        <f>VLOOKUP(B1339,Readme!$A$62:$C$74,2,)*Q1339</f>
        <v>1060.9536052578012</v>
      </c>
      <c r="S1339" s="140" t="str">
        <f t="shared" si="121"/>
        <v>Y</v>
      </c>
      <c r="T1339" s="154">
        <f t="shared" si="122"/>
        <v>3.4399999999999853</v>
      </c>
      <c r="U1339" s="154">
        <f t="shared" si="123"/>
        <v>3.5390404397824153</v>
      </c>
    </row>
    <row r="1340" spans="1:21" x14ac:dyDescent="0.35">
      <c r="A1340" s="108">
        <v>1401</v>
      </c>
      <c r="B1340" s="108">
        <v>2011</v>
      </c>
      <c r="C1340" s="108" t="s">
        <v>38</v>
      </c>
      <c r="D1340" s="108" t="s">
        <v>143</v>
      </c>
      <c r="E1340" s="108" t="s">
        <v>10</v>
      </c>
      <c r="F1340" s="116">
        <v>738</v>
      </c>
      <c r="G1340" s="108" t="s">
        <v>43</v>
      </c>
      <c r="H1340" s="108" t="str">
        <f t="shared" si="120"/>
        <v>Dungeness River</v>
      </c>
      <c r="I1340" s="108" t="str">
        <f>IFERROR(VLOOKUP(H1340,LUTs!$A$1:$C$73,2,FALSE),"NA")</f>
        <v>Clallam</v>
      </c>
      <c r="J1340" s="108" t="str">
        <f>IFERROR(VLOOKUP(H1340,LUTs!$A$1:$C$73,3,FALSE),"NA")</f>
        <v>0Strait of Juan de Fuca</v>
      </c>
      <c r="K1340" s="108" t="s">
        <v>23</v>
      </c>
      <c r="L1340" s="108" t="str">
        <f>VLOOKUP(K1340,LUTs!E$2:G$14,3,)</f>
        <v>10Kitsap</v>
      </c>
      <c r="M1340" s="108" t="str">
        <f>VLOOKUP($K1340,LUTs!$E$2:$H$14,2,)</f>
        <v>South Puget Sound</v>
      </c>
      <c r="N1340" s="108" t="str">
        <f>VLOOKUP($K1340,LUTs!$E$2:$H$14,4,)</f>
        <v>02South Puget Sound</v>
      </c>
      <c r="O1340" s="108">
        <v>200.21107266435999</v>
      </c>
      <c r="P1340" s="108">
        <v>688.72608996539805</v>
      </c>
      <c r="Q1340" s="108">
        <f>SUMIFS('FW_Salmon_by_Month_2010-2021'!P$2:P$3810,'FW_Salmon_by_Month_2010-2021'!$B$2:$B$3810,'Rec_raw_catch_effort_2010-2021'!$B1340,'FW_Salmon_by_Month_2010-2021'!$H$2:$H$3810,'Rec_raw_catch_effort_2010-2021'!$F1340,'FW_Salmon_by_Month_2010-2021'!$M$2:$M$3810,'Rec_raw_catch_effort_2010-2021'!$K1340)</f>
        <v>179.8722158584703</v>
      </c>
      <c r="R1340" s="109">
        <f>VLOOKUP(B1340,Readme!$A$62:$C$74,2,)*Q1340</f>
        <v>636.57504591639827</v>
      </c>
      <c r="S1340" s="140" t="str">
        <f t="shared" si="121"/>
        <v>Y</v>
      </c>
      <c r="T1340" s="154">
        <f t="shared" si="122"/>
        <v>3.4399999999999986</v>
      </c>
      <c r="U1340" s="154">
        <f t="shared" si="123"/>
        <v>3.5390404397824153</v>
      </c>
    </row>
    <row r="1341" spans="1:21" x14ac:dyDescent="0.35">
      <c r="A1341" s="108">
        <v>1404</v>
      </c>
      <c r="B1341" s="108">
        <v>2011</v>
      </c>
      <c r="C1341" s="108" t="s">
        <v>38</v>
      </c>
      <c r="D1341" s="108" t="s">
        <v>143</v>
      </c>
      <c r="E1341" s="108" t="s">
        <v>10</v>
      </c>
      <c r="F1341" s="116">
        <v>738</v>
      </c>
      <c r="G1341" s="108" t="s">
        <v>43</v>
      </c>
      <c r="H1341" s="108" t="str">
        <f t="shared" si="120"/>
        <v>Dungeness River</v>
      </c>
      <c r="I1341" s="108" t="str">
        <f>IFERROR(VLOOKUP(H1341,LUTs!$A$1:$C$73,2,FALSE),"NA")</f>
        <v>Clallam</v>
      </c>
      <c r="J1341" s="108" t="str">
        <f>IFERROR(VLOOKUP(H1341,LUTs!$A$1:$C$73,3,FALSE),"NA")</f>
        <v>0Strait of Juan de Fuca</v>
      </c>
      <c r="K1341" s="108" t="s">
        <v>26</v>
      </c>
      <c r="L1341" s="108" t="str">
        <f>VLOOKUP(K1341,LUTs!E$2:G$14,3,)</f>
        <v>20Other</v>
      </c>
      <c r="M1341" s="108" t="str">
        <f>VLOOKUP($K1341,LUTs!$E$2:$H$14,2,)</f>
        <v>Non Puget Sound</v>
      </c>
      <c r="N1341" s="108" t="str">
        <f>VLOOKUP($K1341,LUTs!$E$2:$H$14,4,)</f>
        <v>07Non Puget Sound</v>
      </c>
      <c r="O1341" s="108">
        <v>118.643598615917</v>
      </c>
      <c r="P1341" s="108">
        <v>408.13397923875402</v>
      </c>
      <c r="Q1341" s="108">
        <f>SUMIFS('FW_Salmon_by_Month_2010-2021'!P$2:P$3810,'FW_Salmon_by_Month_2010-2021'!$B$2:$B$3810,'Rec_raw_catch_effort_2010-2021'!$B1341,'FW_Salmon_by_Month_2010-2021'!$H$2:$H$3810,'Rec_raw_catch_effort_2010-2021'!$F1341,'FW_Salmon_by_Month_2010-2021'!$M$2:$M$3810,'Rec_raw_catch_effort_2010-2021'!$K1341)</f>
        <v>119.917525773196</v>
      </c>
      <c r="R1341" s="109">
        <f>VLOOKUP(B1341,Readme!$A$62:$C$74,2,)*Q1341</f>
        <v>424.39297314999072</v>
      </c>
      <c r="S1341" s="140" t="str">
        <f t="shared" si="121"/>
        <v>Y</v>
      </c>
      <c r="T1341" s="154">
        <f t="shared" si="122"/>
        <v>3.4399999999999959</v>
      </c>
      <c r="U1341" s="154">
        <f t="shared" si="123"/>
        <v>3.5390404397824153</v>
      </c>
    </row>
    <row r="1342" spans="1:21" x14ac:dyDescent="0.35">
      <c r="A1342" s="108">
        <v>1400</v>
      </c>
      <c r="B1342" s="108">
        <v>2011</v>
      </c>
      <c r="C1342" s="108" t="s">
        <v>38</v>
      </c>
      <c r="D1342" s="108" t="s">
        <v>143</v>
      </c>
      <c r="E1342" s="108" t="s">
        <v>10</v>
      </c>
      <c r="F1342" s="116">
        <v>738</v>
      </c>
      <c r="G1342" s="108" t="s">
        <v>43</v>
      </c>
      <c r="H1342" s="108" t="str">
        <f t="shared" si="120"/>
        <v>Dungeness River</v>
      </c>
      <c r="I1342" s="108" t="str">
        <f>IFERROR(VLOOKUP(H1342,LUTs!$A$1:$C$73,2,FALSE),"NA")</f>
        <v>Clallam</v>
      </c>
      <c r="J1342" s="108" t="str">
        <f>IFERROR(VLOOKUP(H1342,LUTs!$A$1:$C$73,3,FALSE),"NA")</f>
        <v>0Strait of Juan de Fuca</v>
      </c>
      <c r="K1342" s="108" t="s">
        <v>20</v>
      </c>
      <c r="L1342" s="108" t="str">
        <f>VLOOKUP(K1342,LUTs!E$2:G$14,3,)</f>
        <v>07Pierce</v>
      </c>
      <c r="M1342" s="108" t="str">
        <f>VLOOKUP($K1342,LUTs!$E$2:$H$14,2,)</f>
        <v>South Puget Sound</v>
      </c>
      <c r="N1342" s="108" t="str">
        <f>VLOOKUP($K1342,LUTs!$E$2:$H$14,4,)</f>
        <v>02South Puget Sound</v>
      </c>
      <c r="O1342" s="108">
        <v>7.4152249134948098</v>
      </c>
      <c r="P1342" s="108">
        <v>25.508373702422102</v>
      </c>
      <c r="Q1342" s="108">
        <f>SUMIFS('FW_Salmon_by_Month_2010-2021'!P$2:P$3810,'FW_Salmon_by_Month_2010-2021'!$B$2:$B$3810,'Rec_raw_catch_effort_2010-2021'!$B1342,'FW_Salmon_by_Month_2010-2021'!$H$2:$H$3810,'Rec_raw_catch_effort_2010-2021'!$F1342,'FW_Salmon_by_Month_2010-2021'!$M$2:$M$3810,'Rec_raw_catch_effort_2010-2021'!$K1342)</f>
        <v>7.4948453608247396</v>
      </c>
      <c r="R1342" s="109">
        <f>VLOOKUP(B1342,Readme!$A$62:$C$74,2,)*Q1342</f>
        <v>26.524560821874381</v>
      </c>
      <c r="S1342" s="140" t="str">
        <f t="shared" si="121"/>
        <v>Y</v>
      </c>
      <c r="T1342" s="154">
        <f t="shared" si="122"/>
        <v>3.4399999999999942</v>
      </c>
      <c r="U1342" s="154">
        <f t="shared" si="123"/>
        <v>3.5390404397824153</v>
      </c>
    </row>
    <row r="1343" spans="1:21" x14ac:dyDescent="0.35">
      <c r="A1343" s="108">
        <v>1399</v>
      </c>
      <c r="B1343" s="108">
        <v>2011</v>
      </c>
      <c r="C1343" s="108" t="s">
        <v>38</v>
      </c>
      <c r="D1343" s="108" t="s">
        <v>143</v>
      </c>
      <c r="E1343" s="108" t="s">
        <v>10</v>
      </c>
      <c r="F1343" s="116">
        <v>738</v>
      </c>
      <c r="G1343" s="108" t="s">
        <v>43</v>
      </c>
      <c r="H1343" s="108" t="str">
        <f t="shared" si="120"/>
        <v>Dungeness River</v>
      </c>
      <c r="I1343" s="108" t="str">
        <f>IFERROR(VLOOKUP(H1343,LUTs!$A$1:$C$73,2,FALSE),"NA")</f>
        <v>Clallam</v>
      </c>
      <c r="J1343" s="108" t="str">
        <f>IFERROR(VLOOKUP(H1343,LUTs!$A$1:$C$73,3,FALSE),"NA")</f>
        <v>0Strait of Juan de Fuca</v>
      </c>
      <c r="K1343" s="108" t="s">
        <v>15</v>
      </c>
      <c r="L1343" s="108" t="str">
        <f>VLOOKUP(K1343,LUTs!E$2:G$14,3,)</f>
        <v>02Skagit</v>
      </c>
      <c r="M1343" s="108" t="str">
        <f>VLOOKUP($K1343,LUTs!$E$2:$H$14,2,)</f>
        <v>North Puget Sound</v>
      </c>
      <c r="N1343" s="108" t="str">
        <f>VLOOKUP($K1343,LUTs!$E$2:$H$14,4,)</f>
        <v>01North Puget Sound</v>
      </c>
      <c r="O1343" s="108">
        <v>37.076124567474103</v>
      </c>
      <c r="P1343" s="108">
        <v>127.54186851211099</v>
      </c>
      <c r="Q1343" s="108">
        <f>SUMIFS('FW_Salmon_by_Month_2010-2021'!P$2:P$3810,'FW_Salmon_by_Month_2010-2021'!$B$2:$B$3810,'Rec_raw_catch_effort_2010-2021'!$B1343,'FW_Salmon_by_Month_2010-2021'!$H$2:$H$3810,'Rec_raw_catch_effort_2010-2021'!$F1343,'FW_Salmon_by_Month_2010-2021'!$M$2:$M$3810,'Rec_raw_catch_effort_2010-2021'!$K1343)</f>
        <v>37.471172203130998</v>
      </c>
      <c r="R1343" s="109">
        <f>VLOOKUP(B1343,Readme!$A$62:$C$74,2,)*Q1343</f>
        <v>132.61199375293134</v>
      </c>
      <c r="S1343" s="140" t="str">
        <f t="shared" si="121"/>
        <v>Y</v>
      </c>
      <c r="T1343" s="154">
        <f t="shared" si="122"/>
        <v>3.4400000000000022</v>
      </c>
      <c r="U1343" s="154">
        <f t="shared" si="123"/>
        <v>3.5390404397824153</v>
      </c>
    </row>
    <row r="1344" spans="1:21" x14ac:dyDescent="0.35">
      <c r="A1344" s="108">
        <v>1588</v>
      </c>
      <c r="B1344" s="108">
        <v>2012</v>
      </c>
      <c r="C1344" s="108" t="s">
        <v>38</v>
      </c>
      <c r="D1344" s="108" t="s">
        <v>143</v>
      </c>
      <c r="E1344" s="108" t="s">
        <v>10</v>
      </c>
      <c r="F1344" s="116">
        <v>738</v>
      </c>
      <c r="G1344" s="108" t="s">
        <v>43</v>
      </c>
      <c r="H1344" s="108" t="str">
        <f t="shared" si="120"/>
        <v>Dungeness River</v>
      </c>
      <c r="I1344" s="108" t="str">
        <f>IFERROR(VLOOKUP(H1344,LUTs!$A$1:$C$73,2,FALSE),"NA")</f>
        <v>Clallam</v>
      </c>
      <c r="J1344" s="108" t="str">
        <f>IFERROR(VLOOKUP(H1344,LUTs!$A$1:$C$73,3,FALSE),"NA")</f>
        <v>0Strait of Juan de Fuca</v>
      </c>
      <c r="K1344" s="108" t="s">
        <v>24</v>
      </c>
      <c r="L1344" s="108" t="str">
        <f>VLOOKUP(K1344,LUTs!E$2:G$14,3,)</f>
        <v>11Clallam</v>
      </c>
      <c r="M1344" s="108" t="str">
        <f>VLOOKUP($K1344,LUTs!$E$2:$H$14,2,)</f>
        <v>Strait of Juan de Fuca</v>
      </c>
      <c r="N1344" s="108" t="str">
        <f>VLOOKUP($K1344,LUTs!$E$2:$H$14,4,)</f>
        <v>03Strait of Juan de Fuca</v>
      </c>
      <c r="O1344" s="108">
        <v>830.25384615384598</v>
      </c>
      <c r="P1344" s="108">
        <v>7181.6957692307697</v>
      </c>
      <c r="Q1344" s="108">
        <f>SUMIFS('FW_Salmon_by_Month_2010-2021'!P$2:P$3810,'FW_Salmon_by_Month_2010-2021'!$B$2:$B$3810,'Rec_raw_catch_effort_2010-2021'!$B1344,'FW_Salmon_by_Month_2010-2021'!$H$2:$H$3810,'Rec_raw_catch_effort_2010-2021'!$F1344,'FW_Salmon_by_Month_2010-2021'!$M$2:$M$3810,'Rec_raw_catch_effort_2010-2021'!$K1344)</f>
        <v>830.25</v>
      </c>
      <c r="R1344" s="109">
        <f>VLOOKUP(B1344,Readme!$A$62:$C$74,2,)*Q1344</f>
        <v>4001.4354591399915</v>
      </c>
      <c r="S1344" s="140" t="str">
        <f t="shared" si="121"/>
        <v>Y</v>
      </c>
      <c r="T1344" s="154">
        <f t="shared" si="122"/>
        <v>8.6500000000000021</v>
      </c>
      <c r="U1344" s="154">
        <f t="shared" si="123"/>
        <v>4.8195549041132084</v>
      </c>
    </row>
    <row r="1345" spans="1:21" x14ac:dyDescent="0.35">
      <c r="A1345" s="108">
        <v>1589</v>
      </c>
      <c r="B1345" s="108">
        <v>2012</v>
      </c>
      <c r="C1345" s="108" t="s">
        <v>38</v>
      </c>
      <c r="D1345" s="108" t="s">
        <v>143</v>
      </c>
      <c r="E1345" s="108" t="s">
        <v>10</v>
      </c>
      <c r="F1345" s="116">
        <v>738</v>
      </c>
      <c r="G1345" s="108" t="s">
        <v>43</v>
      </c>
      <c r="H1345" s="108" t="str">
        <f t="shared" si="120"/>
        <v>Dungeness River</v>
      </c>
      <c r="I1345" s="108" t="str">
        <f>IFERROR(VLOOKUP(H1345,LUTs!$A$1:$C$73,2,FALSE),"NA")</f>
        <v>Clallam</v>
      </c>
      <c r="J1345" s="108" t="str">
        <f>IFERROR(VLOOKUP(H1345,LUTs!$A$1:$C$73,3,FALSE),"NA")</f>
        <v>0Strait of Juan de Fuca</v>
      </c>
      <c r="K1345" s="108" t="s">
        <v>25</v>
      </c>
      <c r="L1345" s="108" t="str">
        <f>VLOOKUP(K1345,LUTs!E$2:G$14,3,)</f>
        <v>12Jefferson</v>
      </c>
      <c r="M1345" s="108" t="str">
        <f>VLOOKUP($K1345,LUTs!$E$2:$H$14,2,)</f>
        <v>Strait of Juan de Fuca</v>
      </c>
      <c r="N1345" s="108" t="str">
        <f>VLOOKUP($K1345,LUTs!$E$2:$H$14,4,)</f>
        <v>03Strait of Juan de Fuca</v>
      </c>
      <c r="O1345" s="108">
        <v>27.907692307692301</v>
      </c>
      <c r="P1345" s="108">
        <v>241.401538461538</v>
      </c>
      <c r="Q1345" s="108">
        <f>SUMIFS('FW_Salmon_by_Month_2010-2021'!P$2:P$3810,'FW_Salmon_by_Month_2010-2021'!$B$2:$B$3810,'Rec_raw_catch_effort_2010-2021'!$B1345,'FW_Salmon_by_Month_2010-2021'!$H$2:$H$3810,'Rec_raw_catch_effort_2010-2021'!$F1345,'FW_Salmon_by_Month_2010-2021'!$M$2:$M$3810,'Rec_raw_catch_effort_2010-2021'!$K1345)</f>
        <v>27.923076923076898</v>
      </c>
      <c r="R1345" s="109">
        <f>VLOOKUP(B1345,Readme!$A$62:$C$74,2,)*Q1345</f>
        <v>134.57680232254563</v>
      </c>
      <c r="S1345" s="140" t="str">
        <f t="shared" si="121"/>
        <v>Y</v>
      </c>
      <c r="T1345" s="154">
        <f t="shared" si="122"/>
        <v>8.6499999999999861</v>
      </c>
      <c r="U1345" s="154">
        <f t="shared" si="123"/>
        <v>4.8195549041132084</v>
      </c>
    </row>
    <row r="1346" spans="1:21" x14ac:dyDescent="0.35">
      <c r="A1346" s="108">
        <v>1587</v>
      </c>
      <c r="B1346" s="108">
        <v>2012</v>
      </c>
      <c r="C1346" s="108" t="s">
        <v>38</v>
      </c>
      <c r="D1346" s="108" t="s">
        <v>143</v>
      </c>
      <c r="E1346" s="108" t="s">
        <v>10</v>
      </c>
      <c r="F1346" s="116">
        <v>738</v>
      </c>
      <c r="G1346" s="108" t="s">
        <v>43</v>
      </c>
      <c r="H1346" s="108" t="str">
        <f t="shared" ref="H1346:H1409" si="124">G1346</f>
        <v>Dungeness River</v>
      </c>
      <c r="I1346" s="108" t="str">
        <f>IFERROR(VLOOKUP(H1346,LUTs!$A$1:$C$73,2,FALSE),"NA")</f>
        <v>Clallam</v>
      </c>
      <c r="J1346" s="108" t="str">
        <f>IFERROR(VLOOKUP(H1346,LUTs!$A$1:$C$73,3,FALSE),"NA")</f>
        <v>0Strait of Juan de Fuca</v>
      </c>
      <c r="K1346" s="108" t="s">
        <v>23</v>
      </c>
      <c r="L1346" s="108" t="str">
        <f>VLOOKUP(K1346,LUTs!E$2:G$14,3,)</f>
        <v>10Kitsap</v>
      </c>
      <c r="M1346" s="108" t="str">
        <f>VLOOKUP($K1346,LUTs!$E$2:$H$14,2,)</f>
        <v>South Puget Sound</v>
      </c>
      <c r="N1346" s="108" t="str">
        <f>VLOOKUP($K1346,LUTs!$E$2:$H$14,4,)</f>
        <v>02South Puget Sound</v>
      </c>
      <c r="O1346" s="108">
        <v>20.930769230769201</v>
      </c>
      <c r="P1346" s="108">
        <v>181.05115384615399</v>
      </c>
      <c r="Q1346" s="108">
        <f>SUMIFS('FW_Salmon_by_Month_2010-2021'!P$2:P$3810,'FW_Salmon_by_Month_2010-2021'!$B$2:$B$3810,'Rec_raw_catch_effort_2010-2021'!$B1346,'FW_Salmon_by_Month_2010-2021'!$H$2:$H$3810,'Rec_raw_catch_effort_2010-2021'!$F1346,'FW_Salmon_by_Month_2010-2021'!$M$2:$M$3810,'Rec_raw_catch_effort_2010-2021'!$K1346)</f>
        <v>20.929487179487232</v>
      </c>
      <c r="R1346" s="109">
        <f>VLOOKUP(B1346,Readme!$A$62:$C$74,2,)*Q1346</f>
        <v>100.87081257647222</v>
      </c>
      <c r="S1346" s="140" t="str">
        <f t="shared" si="121"/>
        <v>Y</v>
      </c>
      <c r="T1346" s="154">
        <f t="shared" si="122"/>
        <v>8.6500000000000199</v>
      </c>
      <c r="U1346" s="154">
        <f t="shared" si="123"/>
        <v>4.8195549041132084</v>
      </c>
    </row>
    <row r="1347" spans="1:21" x14ac:dyDescent="0.35">
      <c r="A1347" s="108">
        <v>1590</v>
      </c>
      <c r="B1347" s="108">
        <v>2012</v>
      </c>
      <c r="C1347" s="108" t="s">
        <v>38</v>
      </c>
      <c r="D1347" s="108" t="s">
        <v>143</v>
      </c>
      <c r="E1347" s="108" t="s">
        <v>10</v>
      </c>
      <c r="F1347" s="116">
        <v>738</v>
      </c>
      <c r="G1347" s="108" t="s">
        <v>43</v>
      </c>
      <c r="H1347" s="108" t="str">
        <f t="shared" si="124"/>
        <v>Dungeness River</v>
      </c>
      <c r="I1347" s="108" t="str">
        <f>IFERROR(VLOOKUP(H1347,LUTs!$A$1:$C$73,2,FALSE),"NA")</f>
        <v>Clallam</v>
      </c>
      <c r="J1347" s="108" t="str">
        <f>IFERROR(VLOOKUP(H1347,LUTs!$A$1:$C$73,3,FALSE),"NA")</f>
        <v>0Strait of Juan de Fuca</v>
      </c>
      <c r="K1347" s="108" t="s">
        <v>26</v>
      </c>
      <c r="L1347" s="108" t="str">
        <f>VLOOKUP(K1347,LUTs!E$2:G$14,3,)</f>
        <v>20Other</v>
      </c>
      <c r="M1347" s="108" t="str">
        <f>VLOOKUP($K1347,LUTs!$E$2:$H$14,2,)</f>
        <v>Non Puget Sound</v>
      </c>
      <c r="N1347" s="108" t="str">
        <f>VLOOKUP($K1347,LUTs!$E$2:$H$14,4,)</f>
        <v>07Non Puget Sound</v>
      </c>
      <c r="O1347" s="108">
        <v>6.9769230769230797</v>
      </c>
      <c r="P1347" s="108">
        <v>60.350384615384598</v>
      </c>
      <c r="Q1347" s="108">
        <f>SUMIFS('FW_Salmon_by_Month_2010-2021'!P$2:P$3810,'FW_Salmon_by_Month_2010-2021'!$B$2:$B$3810,'Rec_raw_catch_effort_2010-2021'!$B1347,'FW_Salmon_by_Month_2010-2021'!$H$2:$H$3810,'Rec_raw_catch_effort_2010-2021'!$F1347,'FW_Salmon_by_Month_2010-2021'!$M$2:$M$3810,'Rec_raw_catch_effort_2010-2021'!$K1347)</f>
        <v>6.9743589743589798</v>
      </c>
      <c r="R1347" s="109">
        <f>VLOOKUP(B1347,Readme!$A$62:$C$74,2,)*Q1347</f>
        <v>33.613305997917784</v>
      </c>
      <c r="S1347" s="140" t="str">
        <f t="shared" ref="S1347:S1410" si="125">IF(B1347&lt;=2019,"Y","N")</f>
        <v>Y</v>
      </c>
      <c r="T1347" s="154">
        <f t="shared" ref="T1347:T1410" si="126">IFERROR(P1347/O1347,"NA")</f>
        <v>8.649999999999995</v>
      </c>
      <c r="U1347" s="154">
        <f t="shared" ref="U1347:U1410" si="127">IFERROR(R1347/Q1347,"NA")</f>
        <v>4.8195549041132084</v>
      </c>
    </row>
    <row r="1348" spans="1:21" x14ac:dyDescent="0.35">
      <c r="A1348" s="108">
        <v>1586</v>
      </c>
      <c r="B1348" s="108">
        <v>2012</v>
      </c>
      <c r="C1348" s="108" t="s">
        <v>38</v>
      </c>
      <c r="D1348" s="108" t="s">
        <v>143</v>
      </c>
      <c r="E1348" s="108" t="s">
        <v>10</v>
      </c>
      <c r="F1348" s="116">
        <v>738</v>
      </c>
      <c r="G1348" s="108" t="s">
        <v>43</v>
      </c>
      <c r="H1348" s="108" t="str">
        <f t="shared" si="124"/>
        <v>Dungeness River</v>
      </c>
      <c r="I1348" s="108" t="str">
        <f>IFERROR(VLOOKUP(H1348,LUTs!$A$1:$C$73,2,FALSE),"NA")</f>
        <v>Clallam</v>
      </c>
      <c r="J1348" s="108" t="str">
        <f>IFERROR(VLOOKUP(H1348,LUTs!$A$1:$C$73,3,FALSE),"NA")</f>
        <v>0Strait of Juan de Fuca</v>
      </c>
      <c r="K1348" s="108" t="s">
        <v>20</v>
      </c>
      <c r="L1348" s="108" t="str">
        <f>VLOOKUP(K1348,LUTs!E$2:G$14,3,)</f>
        <v>07Pierce</v>
      </c>
      <c r="M1348" s="108" t="str">
        <f>VLOOKUP($K1348,LUTs!$E$2:$H$14,2,)</f>
        <v>South Puget Sound</v>
      </c>
      <c r="N1348" s="108" t="str">
        <f>VLOOKUP($K1348,LUTs!$E$2:$H$14,4,)</f>
        <v>02South Puget Sound</v>
      </c>
      <c r="O1348" s="108">
        <v>20.930769230769201</v>
      </c>
      <c r="P1348" s="108">
        <v>181.05115384615399</v>
      </c>
      <c r="Q1348" s="108">
        <f>SUMIFS('FW_Salmon_by_Month_2010-2021'!P$2:P$3810,'FW_Salmon_by_Month_2010-2021'!$B$2:$B$3810,'Rec_raw_catch_effort_2010-2021'!$B1348,'FW_Salmon_by_Month_2010-2021'!$H$2:$H$3810,'Rec_raw_catch_effort_2010-2021'!$F1348,'FW_Salmon_by_Month_2010-2021'!$M$2:$M$3810,'Rec_raw_catch_effort_2010-2021'!$K1348)</f>
        <v>20.923076923076898</v>
      </c>
      <c r="R1348" s="109">
        <f>VLOOKUP(B1348,Readme!$A$62:$C$74,2,)*Q1348</f>
        <v>100.83991799375316</v>
      </c>
      <c r="S1348" s="140" t="str">
        <f t="shared" si="125"/>
        <v>Y</v>
      </c>
      <c r="T1348" s="154">
        <f t="shared" si="126"/>
        <v>8.6500000000000199</v>
      </c>
      <c r="U1348" s="154">
        <f t="shared" si="127"/>
        <v>4.8195549041132084</v>
      </c>
    </row>
    <row r="1349" spans="1:21" x14ac:dyDescent="0.35">
      <c r="A1349" s="108">
        <v>1746</v>
      </c>
      <c r="B1349" s="108">
        <v>2013</v>
      </c>
      <c r="C1349" s="108" t="s">
        <v>38</v>
      </c>
      <c r="D1349" s="108" t="s">
        <v>143</v>
      </c>
      <c r="E1349" s="108" t="s">
        <v>10</v>
      </c>
      <c r="F1349" s="116">
        <v>738</v>
      </c>
      <c r="G1349" s="108" t="s">
        <v>43</v>
      </c>
      <c r="H1349" s="108" t="str">
        <f t="shared" si="124"/>
        <v>Dungeness River</v>
      </c>
      <c r="I1349" s="108" t="str">
        <f>IFERROR(VLOOKUP(H1349,LUTs!$A$1:$C$73,2,FALSE),"NA")</f>
        <v>Clallam</v>
      </c>
      <c r="J1349" s="108" t="str">
        <f>IFERROR(VLOOKUP(H1349,LUTs!$A$1:$C$73,3,FALSE),"NA")</f>
        <v>0Strait of Juan de Fuca</v>
      </c>
      <c r="K1349" s="108" t="s">
        <v>24</v>
      </c>
      <c r="L1349" s="108" t="str">
        <f>VLOOKUP(K1349,LUTs!E$2:G$14,3,)</f>
        <v>11Clallam</v>
      </c>
      <c r="M1349" s="108" t="str">
        <f>VLOOKUP($K1349,LUTs!$E$2:$H$14,2,)</f>
        <v>Strait of Juan de Fuca</v>
      </c>
      <c r="N1349" s="108" t="str">
        <f>VLOOKUP($K1349,LUTs!$E$2:$H$14,4,)</f>
        <v>03Strait of Juan de Fuca</v>
      </c>
      <c r="O1349" s="108">
        <v>1122.3525641025601</v>
      </c>
      <c r="P1349" s="108">
        <v>3860.89282051281</v>
      </c>
      <c r="Q1349" s="108">
        <f>SUMIFS('FW_Salmon_by_Month_2010-2021'!P$2:P$3810,'FW_Salmon_by_Month_2010-2021'!$B$2:$B$3810,'Rec_raw_catch_effort_2010-2021'!$B1349,'FW_Salmon_by_Month_2010-2021'!$H$2:$H$3810,'Rec_raw_catch_effort_2010-2021'!$F1349,'FW_Salmon_by_Month_2010-2021'!$M$2:$M$3810,'Rec_raw_catch_effort_2010-2021'!$K1349)</f>
        <v>1122.3496503496531</v>
      </c>
      <c r="R1349" s="109">
        <f>VLOOKUP(B1349,Readme!$A$62:$C$74,2,)*Q1349</f>
        <v>3972.0408001630763</v>
      </c>
      <c r="S1349" s="140" t="str">
        <f t="shared" si="125"/>
        <v>Y</v>
      </c>
      <c r="T1349" s="154">
        <f t="shared" si="126"/>
        <v>3.4400000000000031</v>
      </c>
      <c r="U1349" s="154">
        <f t="shared" si="127"/>
        <v>3.5390404397824153</v>
      </c>
    </row>
    <row r="1350" spans="1:21" x14ac:dyDescent="0.35">
      <c r="A1350" s="108">
        <v>1743</v>
      </c>
      <c r="B1350" s="108">
        <v>2013</v>
      </c>
      <c r="C1350" s="108" t="s">
        <v>38</v>
      </c>
      <c r="D1350" s="108" t="s">
        <v>143</v>
      </c>
      <c r="E1350" s="108" t="s">
        <v>10</v>
      </c>
      <c r="F1350" s="116">
        <v>738</v>
      </c>
      <c r="G1350" s="108" t="s">
        <v>43</v>
      </c>
      <c r="H1350" s="108" t="str">
        <f t="shared" si="124"/>
        <v>Dungeness River</v>
      </c>
      <c r="I1350" s="108" t="str">
        <f>IFERROR(VLOOKUP(H1350,LUTs!$A$1:$C$73,2,FALSE),"NA")</f>
        <v>Clallam</v>
      </c>
      <c r="J1350" s="108" t="str">
        <f>IFERROR(VLOOKUP(H1350,LUTs!$A$1:$C$73,3,FALSE),"NA")</f>
        <v>0Strait of Juan de Fuca</v>
      </c>
      <c r="K1350" s="108" t="s">
        <v>18</v>
      </c>
      <c r="L1350" s="108" t="str">
        <f>VLOOKUP(K1350,LUTs!E$2:G$14,3,)</f>
        <v>06King</v>
      </c>
      <c r="M1350" s="108" t="str">
        <f>VLOOKUP($K1350,LUTs!$E$2:$H$14,2,)</f>
        <v>South Puget Sound</v>
      </c>
      <c r="N1350" s="108" t="str">
        <f>VLOOKUP($K1350,LUTs!$E$2:$H$14,4,)</f>
        <v>02South Puget Sound</v>
      </c>
      <c r="O1350" s="108">
        <v>18.551282051282101</v>
      </c>
      <c r="P1350" s="108">
        <v>63.8164102564104</v>
      </c>
      <c r="Q1350" s="108">
        <f>SUMIFS('FW_Salmon_by_Month_2010-2021'!P$2:P$3810,'FW_Salmon_by_Month_2010-2021'!$B$2:$B$3810,'Rec_raw_catch_effort_2010-2021'!$B1350,'FW_Salmon_by_Month_2010-2021'!$H$2:$H$3810,'Rec_raw_catch_effort_2010-2021'!$F1350,'FW_Salmon_by_Month_2010-2021'!$M$2:$M$3810,'Rec_raw_catch_effort_2010-2021'!$K1350)</f>
        <v>18.5454545454546</v>
      </c>
      <c r="R1350" s="109">
        <f>VLOOKUP(B1350,Readme!$A$62:$C$74,2,)*Q1350</f>
        <v>65.633113610510435</v>
      </c>
      <c r="S1350" s="140" t="str">
        <f t="shared" si="125"/>
        <v>Y</v>
      </c>
      <c r="T1350" s="154">
        <f t="shared" si="126"/>
        <v>3.4399999999999986</v>
      </c>
      <c r="U1350" s="154">
        <f t="shared" si="127"/>
        <v>3.5390404397824149</v>
      </c>
    </row>
    <row r="1351" spans="1:21" x14ac:dyDescent="0.35">
      <c r="A1351" s="108">
        <v>1745</v>
      </c>
      <c r="B1351" s="108">
        <v>2013</v>
      </c>
      <c r="C1351" s="108" t="s">
        <v>38</v>
      </c>
      <c r="D1351" s="108" t="s">
        <v>143</v>
      </c>
      <c r="E1351" s="108" t="s">
        <v>10</v>
      </c>
      <c r="F1351" s="116">
        <v>738</v>
      </c>
      <c r="G1351" s="108" t="s">
        <v>43</v>
      </c>
      <c r="H1351" s="108" t="str">
        <f t="shared" si="124"/>
        <v>Dungeness River</v>
      </c>
      <c r="I1351" s="108" t="str">
        <f>IFERROR(VLOOKUP(H1351,LUTs!$A$1:$C$73,2,FALSE),"NA")</f>
        <v>Clallam</v>
      </c>
      <c r="J1351" s="108" t="str">
        <f>IFERROR(VLOOKUP(H1351,LUTs!$A$1:$C$73,3,FALSE),"NA")</f>
        <v>0Strait of Juan de Fuca</v>
      </c>
      <c r="K1351" s="108" t="s">
        <v>23</v>
      </c>
      <c r="L1351" s="108" t="str">
        <f>VLOOKUP(K1351,LUTs!E$2:G$14,3,)</f>
        <v>10Kitsap</v>
      </c>
      <c r="M1351" s="108" t="str">
        <f>VLOOKUP($K1351,LUTs!$E$2:$H$14,2,)</f>
        <v>South Puget Sound</v>
      </c>
      <c r="N1351" s="108" t="str">
        <f>VLOOKUP($K1351,LUTs!$E$2:$H$14,4,)</f>
        <v>02South Puget Sound</v>
      </c>
      <c r="O1351" s="108">
        <v>120.583333333333</v>
      </c>
      <c r="P1351" s="108">
        <v>414.80666666666599</v>
      </c>
      <c r="Q1351" s="108">
        <f>SUMIFS('FW_Salmon_by_Month_2010-2021'!P$2:P$3810,'FW_Salmon_by_Month_2010-2021'!$B$2:$B$3810,'Rec_raw_catch_effort_2010-2021'!$B1351,'FW_Salmon_by_Month_2010-2021'!$H$2:$H$3810,'Rec_raw_catch_effort_2010-2021'!$F1351,'FW_Salmon_by_Month_2010-2021'!$M$2:$M$3810,'Rec_raw_catch_effort_2010-2021'!$K1351)</f>
        <v>120.545454545455</v>
      </c>
      <c r="R1351" s="109">
        <f>VLOOKUP(B1351,Readme!$A$62:$C$74,2,)*Q1351</f>
        <v>426.61523846831824</v>
      </c>
      <c r="S1351" s="140" t="str">
        <f t="shared" si="125"/>
        <v>Y</v>
      </c>
      <c r="T1351" s="154">
        <f t="shared" si="126"/>
        <v>3.4400000000000039</v>
      </c>
      <c r="U1351" s="154">
        <f t="shared" si="127"/>
        <v>3.5390404397824153</v>
      </c>
    </row>
    <row r="1352" spans="1:21" x14ac:dyDescent="0.35">
      <c r="A1352" s="108">
        <v>1747</v>
      </c>
      <c r="B1352" s="108">
        <v>2013</v>
      </c>
      <c r="C1352" s="108" t="s">
        <v>38</v>
      </c>
      <c r="D1352" s="108" t="s">
        <v>143</v>
      </c>
      <c r="E1352" s="108" t="s">
        <v>10</v>
      </c>
      <c r="F1352" s="116">
        <v>738</v>
      </c>
      <c r="G1352" s="108" t="s">
        <v>43</v>
      </c>
      <c r="H1352" s="108" t="str">
        <f t="shared" si="124"/>
        <v>Dungeness River</v>
      </c>
      <c r="I1352" s="108" t="str">
        <f>IFERROR(VLOOKUP(H1352,LUTs!$A$1:$C$73,2,FALSE),"NA")</f>
        <v>Clallam</v>
      </c>
      <c r="J1352" s="108" t="str">
        <f>IFERROR(VLOOKUP(H1352,LUTs!$A$1:$C$73,3,FALSE),"NA")</f>
        <v>0Strait of Juan de Fuca</v>
      </c>
      <c r="K1352" s="108" t="s">
        <v>26</v>
      </c>
      <c r="L1352" s="108" t="str">
        <f>VLOOKUP(K1352,LUTs!E$2:G$14,3,)</f>
        <v>20Other</v>
      </c>
      <c r="M1352" s="108" t="str">
        <f>VLOOKUP($K1352,LUTs!$E$2:$H$14,2,)</f>
        <v>Non Puget Sound</v>
      </c>
      <c r="N1352" s="108" t="str">
        <f>VLOOKUP($K1352,LUTs!$E$2:$H$14,4,)</f>
        <v>07Non Puget Sound</v>
      </c>
      <c r="O1352" s="108">
        <v>83.480769230769297</v>
      </c>
      <c r="P1352" s="108">
        <v>287.173846153846</v>
      </c>
      <c r="Q1352" s="108">
        <f>SUMIFS('FW_Salmon_by_Month_2010-2021'!P$2:P$3810,'FW_Salmon_by_Month_2010-2021'!$B$2:$B$3810,'Rec_raw_catch_effort_2010-2021'!$B1352,'FW_Salmon_by_Month_2010-2021'!$H$2:$H$3810,'Rec_raw_catch_effort_2010-2021'!$F1352,'FW_Salmon_by_Month_2010-2021'!$M$2:$M$3810,'Rec_raw_catch_effort_2010-2021'!$K1352)</f>
        <v>83.454545454545496</v>
      </c>
      <c r="R1352" s="109">
        <f>VLOOKUP(B1352,Readme!$A$62:$C$74,2,)*Q1352</f>
        <v>295.34901124729629</v>
      </c>
      <c r="S1352" s="140" t="str">
        <f t="shared" si="125"/>
        <v>Y</v>
      </c>
      <c r="T1352" s="154">
        <f t="shared" si="126"/>
        <v>3.4399999999999955</v>
      </c>
      <c r="U1352" s="154">
        <f t="shared" si="127"/>
        <v>3.5390404397824158</v>
      </c>
    </row>
    <row r="1353" spans="1:21" x14ac:dyDescent="0.35">
      <c r="A1353" s="108">
        <v>1744</v>
      </c>
      <c r="B1353" s="108">
        <v>2013</v>
      </c>
      <c r="C1353" s="108" t="s">
        <v>38</v>
      </c>
      <c r="D1353" s="108" t="s">
        <v>143</v>
      </c>
      <c r="E1353" s="108" t="s">
        <v>10</v>
      </c>
      <c r="F1353" s="116">
        <v>738</v>
      </c>
      <c r="G1353" s="108" t="s">
        <v>43</v>
      </c>
      <c r="H1353" s="108" t="str">
        <f t="shared" si="124"/>
        <v>Dungeness River</v>
      </c>
      <c r="I1353" s="108" t="str">
        <f>IFERROR(VLOOKUP(H1353,LUTs!$A$1:$C$73,2,FALSE),"NA")</f>
        <v>Clallam</v>
      </c>
      <c r="J1353" s="108" t="str">
        <f>IFERROR(VLOOKUP(H1353,LUTs!$A$1:$C$73,3,FALSE),"NA")</f>
        <v>0Strait of Juan de Fuca</v>
      </c>
      <c r="K1353" s="108" t="s">
        <v>20</v>
      </c>
      <c r="L1353" s="108" t="str">
        <f>VLOOKUP(K1353,LUTs!E$2:G$14,3,)</f>
        <v>07Pierce</v>
      </c>
      <c r="M1353" s="108" t="str">
        <f>VLOOKUP($K1353,LUTs!$E$2:$H$14,2,)</f>
        <v>South Puget Sound</v>
      </c>
      <c r="N1353" s="108" t="str">
        <f>VLOOKUP($K1353,LUTs!$E$2:$H$14,4,)</f>
        <v>02South Puget Sound</v>
      </c>
      <c r="O1353" s="108">
        <v>74.205128205128204</v>
      </c>
      <c r="P1353" s="108">
        <v>255.265641025641</v>
      </c>
      <c r="Q1353" s="108">
        <f>SUMIFS('FW_Salmon_by_Month_2010-2021'!P$2:P$3810,'FW_Salmon_by_Month_2010-2021'!$B$2:$B$3810,'Rec_raw_catch_effort_2010-2021'!$B1353,'FW_Salmon_by_Month_2010-2021'!$H$2:$H$3810,'Rec_raw_catch_effort_2010-2021'!$F1353,'FW_Salmon_by_Month_2010-2021'!$M$2:$M$3810,'Rec_raw_catch_effort_2010-2021'!$K1353)</f>
        <v>74.181818181818201</v>
      </c>
      <c r="R1353" s="109">
        <f>VLOOKUP(B1353,Readme!$A$62:$C$74,2,)*Q1353</f>
        <v>262.53245444204106</v>
      </c>
      <c r="S1353" s="140" t="str">
        <f t="shared" si="125"/>
        <v>Y</v>
      </c>
      <c r="T1353" s="154">
        <f t="shared" si="126"/>
        <v>3.4399999999999995</v>
      </c>
      <c r="U1353" s="154">
        <f t="shared" si="127"/>
        <v>3.5390404397824153</v>
      </c>
    </row>
    <row r="1354" spans="1:21" x14ac:dyDescent="0.35">
      <c r="A1354" s="108">
        <v>1742</v>
      </c>
      <c r="B1354" s="108">
        <v>2013</v>
      </c>
      <c r="C1354" s="108" t="s">
        <v>38</v>
      </c>
      <c r="D1354" s="108" t="s">
        <v>143</v>
      </c>
      <c r="E1354" s="108" t="s">
        <v>10</v>
      </c>
      <c r="F1354" s="116">
        <v>738</v>
      </c>
      <c r="G1354" s="108" t="s">
        <v>43</v>
      </c>
      <c r="H1354" s="108" t="str">
        <f t="shared" si="124"/>
        <v>Dungeness River</v>
      </c>
      <c r="I1354" s="108" t="str">
        <f>IFERROR(VLOOKUP(H1354,LUTs!$A$1:$C$73,2,FALSE),"NA")</f>
        <v>Clallam</v>
      </c>
      <c r="J1354" s="108" t="str">
        <f>IFERROR(VLOOKUP(H1354,LUTs!$A$1:$C$73,3,FALSE),"NA")</f>
        <v>0Strait of Juan de Fuca</v>
      </c>
      <c r="K1354" s="108" t="s">
        <v>16</v>
      </c>
      <c r="L1354" s="108" t="str">
        <f>VLOOKUP(K1354,LUTs!E$2:G$14,3,)</f>
        <v>03Snohomish</v>
      </c>
      <c r="M1354" s="108" t="str">
        <f>VLOOKUP($K1354,LUTs!$E$2:$H$14,2,)</f>
        <v>North Puget Sound</v>
      </c>
      <c r="N1354" s="108" t="str">
        <f>VLOOKUP($K1354,LUTs!$E$2:$H$14,4,)</f>
        <v>01North Puget Sound</v>
      </c>
      <c r="O1354" s="108">
        <v>27.826923076923102</v>
      </c>
      <c r="P1354" s="108">
        <v>95.724615384615504</v>
      </c>
      <c r="Q1354" s="108">
        <f>SUMIFS('FW_Salmon_by_Month_2010-2021'!P$2:P$3810,'FW_Salmon_by_Month_2010-2021'!$B$2:$B$3810,'Rec_raw_catch_effort_2010-2021'!$B1354,'FW_Salmon_by_Month_2010-2021'!$H$2:$H$3810,'Rec_raw_catch_effort_2010-2021'!$F1354,'FW_Salmon_by_Month_2010-2021'!$M$2:$M$3810,'Rec_raw_catch_effort_2010-2021'!$K1354)</f>
        <v>27.923076923076898</v>
      </c>
      <c r="R1354" s="109">
        <f>VLOOKUP(B1354,Readme!$A$62:$C$74,2,)*Q1354</f>
        <v>98.820898433924285</v>
      </c>
      <c r="S1354" s="140" t="str">
        <f t="shared" si="125"/>
        <v>Y</v>
      </c>
      <c r="T1354" s="154">
        <f t="shared" si="126"/>
        <v>3.4400000000000013</v>
      </c>
      <c r="U1354" s="154">
        <f t="shared" si="127"/>
        <v>3.5390404397824153</v>
      </c>
    </row>
    <row r="1355" spans="1:21" x14ac:dyDescent="0.35">
      <c r="A1355" s="108">
        <v>1923</v>
      </c>
      <c r="B1355" s="108">
        <v>2014</v>
      </c>
      <c r="C1355" s="108" t="s">
        <v>38</v>
      </c>
      <c r="D1355" s="108" t="s">
        <v>143</v>
      </c>
      <c r="E1355" s="108" t="s">
        <v>10</v>
      </c>
      <c r="F1355" s="116">
        <v>738</v>
      </c>
      <c r="G1355" s="108" t="s">
        <v>43</v>
      </c>
      <c r="H1355" s="108" t="str">
        <f t="shared" si="124"/>
        <v>Dungeness River</v>
      </c>
      <c r="I1355" s="108" t="str">
        <f>IFERROR(VLOOKUP(H1355,LUTs!$A$1:$C$73,2,FALSE),"NA")</f>
        <v>Clallam</v>
      </c>
      <c r="J1355" s="108" t="str">
        <f>IFERROR(VLOOKUP(H1355,LUTs!$A$1:$C$73,3,FALSE),"NA")</f>
        <v>0Strait of Juan de Fuca</v>
      </c>
      <c r="K1355" s="108" t="s">
        <v>24</v>
      </c>
      <c r="L1355" s="108" t="str">
        <f>VLOOKUP(K1355,LUTs!E$2:G$14,3,)</f>
        <v>11Clallam</v>
      </c>
      <c r="M1355" s="108" t="str">
        <f>VLOOKUP($K1355,LUTs!$E$2:$H$14,2,)</f>
        <v>Strait of Juan de Fuca</v>
      </c>
      <c r="N1355" s="108" t="str">
        <f>VLOOKUP($K1355,LUTs!$E$2:$H$14,4,)</f>
        <v>03Strait of Juan de Fuca</v>
      </c>
      <c r="O1355" s="108">
        <v>391.5</v>
      </c>
      <c r="P1355" s="108">
        <v>3386.4749999999999</v>
      </c>
      <c r="Q1355" s="108">
        <f>SUMIFS('FW_Salmon_by_Month_2010-2021'!P$2:P$3810,'FW_Salmon_by_Month_2010-2021'!$B$2:$B$3810,'Rec_raw_catch_effort_2010-2021'!$B1355,'FW_Salmon_by_Month_2010-2021'!$H$2:$H$3810,'Rec_raw_catch_effort_2010-2021'!$F1355,'FW_Salmon_by_Month_2010-2021'!$M$2:$M$3810,'Rec_raw_catch_effort_2010-2021'!$K1355)</f>
        <v>391.5</v>
      </c>
      <c r="R1355" s="109">
        <f>VLOOKUP(B1355,Readme!$A$62:$C$74,2,)*Q1355</f>
        <v>1886.8557449603211</v>
      </c>
      <c r="S1355" s="140" t="str">
        <f t="shared" si="125"/>
        <v>Y</v>
      </c>
      <c r="T1355" s="154">
        <f t="shared" si="126"/>
        <v>8.65</v>
      </c>
      <c r="U1355" s="154">
        <f t="shared" si="127"/>
        <v>4.8195549041132084</v>
      </c>
    </row>
    <row r="1356" spans="1:21" x14ac:dyDescent="0.35">
      <c r="A1356" s="108">
        <v>1922</v>
      </c>
      <c r="B1356" s="108">
        <v>2014</v>
      </c>
      <c r="C1356" s="108" t="s">
        <v>38</v>
      </c>
      <c r="D1356" s="108" t="s">
        <v>143</v>
      </c>
      <c r="E1356" s="108" t="s">
        <v>10</v>
      </c>
      <c r="F1356" s="116">
        <v>738</v>
      </c>
      <c r="G1356" s="108" t="s">
        <v>43</v>
      </c>
      <c r="H1356" s="108" t="str">
        <f t="shared" si="124"/>
        <v>Dungeness River</v>
      </c>
      <c r="I1356" s="108" t="str">
        <f>IFERROR(VLOOKUP(H1356,LUTs!$A$1:$C$73,2,FALSE),"NA")</f>
        <v>Clallam</v>
      </c>
      <c r="J1356" s="108" t="str">
        <f>IFERROR(VLOOKUP(H1356,LUTs!$A$1:$C$73,3,FALSE),"NA")</f>
        <v>0Strait of Juan de Fuca</v>
      </c>
      <c r="K1356" s="108" t="s">
        <v>23</v>
      </c>
      <c r="L1356" s="108" t="str">
        <f>VLOOKUP(K1356,LUTs!E$2:G$14,3,)</f>
        <v>10Kitsap</v>
      </c>
      <c r="M1356" s="108" t="str">
        <f>VLOOKUP($K1356,LUTs!$E$2:$H$14,2,)</f>
        <v>South Puget Sound</v>
      </c>
      <c r="N1356" s="108" t="str">
        <f>VLOOKUP($K1356,LUTs!$E$2:$H$14,4,)</f>
        <v>02South Puget Sound</v>
      </c>
      <c r="O1356" s="108">
        <v>58</v>
      </c>
      <c r="P1356" s="108">
        <v>501.7</v>
      </c>
      <c r="Q1356" s="108">
        <f>SUMIFS('FW_Salmon_by_Month_2010-2021'!P$2:P$3810,'FW_Salmon_by_Month_2010-2021'!$B$2:$B$3810,'Rec_raw_catch_effort_2010-2021'!$B1356,'FW_Salmon_by_Month_2010-2021'!$H$2:$H$3810,'Rec_raw_catch_effort_2010-2021'!$F1356,'FW_Salmon_by_Month_2010-2021'!$M$2:$M$3810,'Rec_raw_catch_effort_2010-2021'!$K1356)</f>
        <v>58</v>
      </c>
      <c r="R1356" s="109">
        <f>VLOOKUP(B1356,Readme!$A$62:$C$74,2,)*Q1356</f>
        <v>279.53418443856611</v>
      </c>
      <c r="S1356" s="140" t="str">
        <f t="shared" si="125"/>
        <v>Y</v>
      </c>
      <c r="T1356" s="154">
        <f t="shared" si="126"/>
        <v>8.65</v>
      </c>
      <c r="U1356" s="154">
        <f t="shared" si="127"/>
        <v>4.8195549041132093</v>
      </c>
    </row>
    <row r="1357" spans="1:21" x14ac:dyDescent="0.35">
      <c r="A1357" s="108">
        <v>1924</v>
      </c>
      <c r="B1357" s="108">
        <v>2014</v>
      </c>
      <c r="C1357" s="108" t="s">
        <v>38</v>
      </c>
      <c r="D1357" s="108" t="s">
        <v>143</v>
      </c>
      <c r="E1357" s="108" t="s">
        <v>10</v>
      </c>
      <c r="F1357" s="116">
        <v>738</v>
      </c>
      <c r="G1357" s="108" t="s">
        <v>43</v>
      </c>
      <c r="H1357" s="108" t="str">
        <f t="shared" si="124"/>
        <v>Dungeness River</v>
      </c>
      <c r="I1357" s="108" t="str">
        <f>IFERROR(VLOOKUP(H1357,LUTs!$A$1:$C$73,2,FALSE),"NA")</f>
        <v>Clallam</v>
      </c>
      <c r="J1357" s="108" t="str">
        <f>IFERROR(VLOOKUP(H1357,LUTs!$A$1:$C$73,3,FALSE),"NA")</f>
        <v>0Strait of Juan de Fuca</v>
      </c>
      <c r="K1357" s="108" t="s">
        <v>26</v>
      </c>
      <c r="L1357" s="108" t="str">
        <f>VLOOKUP(K1357,LUTs!E$2:G$14,3,)</f>
        <v>20Other</v>
      </c>
      <c r="M1357" s="108" t="str">
        <f>VLOOKUP($K1357,LUTs!$E$2:$H$14,2,)</f>
        <v>Non Puget Sound</v>
      </c>
      <c r="N1357" s="108" t="str">
        <f>VLOOKUP($K1357,LUTs!$E$2:$H$14,4,)</f>
        <v>07Non Puget Sound</v>
      </c>
      <c r="O1357" s="108">
        <v>14.5</v>
      </c>
      <c r="P1357" s="108">
        <v>125.425</v>
      </c>
      <c r="Q1357" s="108">
        <f>SUMIFS('FW_Salmon_by_Month_2010-2021'!P$2:P$3810,'FW_Salmon_by_Month_2010-2021'!$B$2:$B$3810,'Rec_raw_catch_effort_2010-2021'!$B1357,'FW_Salmon_by_Month_2010-2021'!$H$2:$H$3810,'Rec_raw_catch_effort_2010-2021'!$F1357,'FW_Salmon_by_Month_2010-2021'!$M$2:$M$3810,'Rec_raw_catch_effort_2010-2021'!$K1357)</f>
        <v>14.5</v>
      </c>
      <c r="R1357" s="109">
        <f>VLOOKUP(B1357,Readme!$A$62:$C$74,2,)*Q1357</f>
        <v>69.883546109641529</v>
      </c>
      <c r="S1357" s="140" t="str">
        <f t="shared" si="125"/>
        <v>Y</v>
      </c>
      <c r="T1357" s="154">
        <f t="shared" si="126"/>
        <v>8.65</v>
      </c>
      <c r="U1357" s="154">
        <f t="shared" si="127"/>
        <v>4.8195549041132093</v>
      </c>
    </row>
    <row r="1358" spans="1:21" x14ac:dyDescent="0.35">
      <c r="A1358" s="108">
        <v>2064</v>
      </c>
      <c r="B1358" s="108">
        <v>2015</v>
      </c>
      <c r="C1358" s="108" t="s">
        <v>38</v>
      </c>
      <c r="D1358" s="108" t="s">
        <v>143</v>
      </c>
      <c r="E1358" s="108" t="s">
        <v>10</v>
      </c>
      <c r="F1358" s="116">
        <v>738</v>
      </c>
      <c r="G1358" s="108" t="s">
        <v>43</v>
      </c>
      <c r="H1358" s="108" t="str">
        <f t="shared" si="124"/>
        <v>Dungeness River</v>
      </c>
      <c r="I1358" s="108" t="str">
        <f>IFERROR(VLOOKUP(H1358,LUTs!$A$1:$C$73,2,FALSE),"NA")</f>
        <v>Clallam</v>
      </c>
      <c r="J1358" s="108" t="str">
        <f>IFERROR(VLOOKUP(H1358,LUTs!$A$1:$C$73,3,FALSE),"NA")</f>
        <v>0Strait of Juan de Fuca</v>
      </c>
      <c r="K1358" s="108" t="s">
        <v>24</v>
      </c>
      <c r="L1358" s="108" t="str">
        <f>VLOOKUP(K1358,LUTs!E$2:G$14,3,)</f>
        <v>11Clallam</v>
      </c>
      <c r="M1358" s="108" t="str">
        <f>VLOOKUP($K1358,LUTs!$E$2:$H$14,2,)</f>
        <v>Strait of Juan de Fuca</v>
      </c>
      <c r="N1358" s="108" t="str">
        <f>VLOOKUP($K1358,LUTs!$E$2:$H$14,4,)</f>
        <v>03Strait of Juan de Fuca</v>
      </c>
      <c r="O1358" s="108">
        <v>321.28205128205099</v>
      </c>
      <c r="P1358" s="108">
        <v>1105.2102564102599</v>
      </c>
      <c r="Q1358" s="108">
        <f>SUMIFS('FW_Salmon_by_Month_2010-2021'!P$2:P$3810,'FW_Salmon_by_Month_2010-2021'!$B$2:$B$3810,'Rec_raw_catch_effort_2010-2021'!$B1358,'FW_Salmon_by_Month_2010-2021'!$H$2:$H$3810,'Rec_raw_catch_effort_2010-2021'!$F1358,'FW_Salmon_by_Month_2010-2021'!$M$2:$M$3810,'Rec_raw_catch_effort_2010-2021'!$K1358)</f>
        <v>321.36842105263202</v>
      </c>
      <c r="R1358" s="109">
        <f>VLOOKUP(B1358,Readme!$A$62:$C$74,2,)*Q1358</f>
        <v>1137.3358381742873</v>
      </c>
      <c r="S1358" s="140" t="str">
        <f t="shared" si="125"/>
        <v>Y</v>
      </c>
      <c r="T1358" s="154">
        <f t="shared" si="126"/>
        <v>3.4400000000000142</v>
      </c>
      <c r="U1358" s="154">
        <f t="shared" si="127"/>
        <v>3.5390404397824158</v>
      </c>
    </row>
    <row r="1359" spans="1:21" x14ac:dyDescent="0.35">
      <c r="A1359" s="108">
        <v>2063</v>
      </c>
      <c r="B1359" s="108">
        <v>2015</v>
      </c>
      <c r="C1359" s="108" t="s">
        <v>38</v>
      </c>
      <c r="D1359" s="108" t="s">
        <v>143</v>
      </c>
      <c r="E1359" s="108" t="s">
        <v>10</v>
      </c>
      <c r="F1359" s="116">
        <v>738</v>
      </c>
      <c r="G1359" s="108" t="s">
        <v>43</v>
      </c>
      <c r="H1359" s="108" t="str">
        <f t="shared" si="124"/>
        <v>Dungeness River</v>
      </c>
      <c r="I1359" s="108" t="str">
        <f>IFERROR(VLOOKUP(H1359,LUTs!$A$1:$C$73,2,FALSE),"NA")</f>
        <v>Clallam</v>
      </c>
      <c r="J1359" s="108" t="str">
        <f>IFERROR(VLOOKUP(H1359,LUTs!$A$1:$C$73,3,FALSE),"NA")</f>
        <v>0Strait of Juan de Fuca</v>
      </c>
      <c r="K1359" s="108" t="s">
        <v>23</v>
      </c>
      <c r="L1359" s="108" t="str">
        <f>VLOOKUP(K1359,LUTs!E$2:G$14,3,)</f>
        <v>10Kitsap</v>
      </c>
      <c r="M1359" s="108" t="str">
        <f>VLOOKUP($K1359,LUTs!$E$2:$H$14,2,)</f>
        <v>South Puget Sound</v>
      </c>
      <c r="N1359" s="108" t="str">
        <f>VLOOKUP($K1359,LUTs!$E$2:$H$14,4,)</f>
        <v>02South Puget Sound</v>
      </c>
      <c r="O1359" s="108">
        <v>27.538461538461501</v>
      </c>
      <c r="P1359" s="108">
        <v>94.7323076923076</v>
      </c>
      <c r="Q1359" s="108">
        <f>SUMIFS('FW_Salmon_by_Month_2010-2021'!P$2:P$3810,'FW_Salmon_by_Month_2010-2021'!$B$2:$B$3810,'Rec_raw_catch_effort_2010-2021'!$B1359,'FW_Salmon_by_Month_2010-2021'!$H$2:$H$3810,'Rec_raw_catch_effort_2010-2021'!$F1359,'FW_Salmon_by_Month_2010-2021'!$M$2:$M$3810,'Rec_raw_catch_effort_2010-2021'!$K1359)</f>
        <v>27.473684210526301</v>
      </c>
      <c r="R1359" s="109">
        <f>VLOOKUP(B1359,Readme!$A$62:$C$74,2,)*Q1359</f>
        <v>97.230479450864195</v>
      </c>
      <c r="S1359" s="140" t="str">
        <f t="shared" si="125"/>
        <v>Y</v>
      </c>
      <c r="T1359" s="154">
        <f t="shared" si="126"/>
        <v>3.4400000000000013</v>
      </c>
      <c r="U1359" s="154">
        <f t="shared" si="127"/>
        <v>3.5390404397824153</v>
      </c>
    </row>
    <row r="1360" spans="1:21" x14ac:dyDescent="0.35">
      <c r="A1360" s="108">
        <v>2062</v>
      </c>
      <c r="B1360" s="108">
        <v>2015</v>
      </c>
      <c r="C1360" s="108" t="s">
        <v>38</v>
      </c>
      <c r="D1360" s="108" t="s">
        <v>143</v>
      </c>
      <c r="E1360" s="108" t="s">
        <v>10</v>
      </c>
      <c r="F1360" s="116">
        <v>738</v>
      </c>
      <c r="G1360" s="108" t="s">
        <v>43</v>
      </c>
      <c r="H1360" s="108" t="str">
        <f t="shared" si="124"/>
        <v>Dungeness River</v>
      </c>
      <c r="I1360" s="108" t="str">
        <f>IFERROR(VLOOKUP(H1360,LUTs!$A$1:$C$73,2,FALSE),"NA")</f>
        <v>Clallam</v>
      </c>
      <c r="J1360" s="108" t="str">
        <f>IFERROR(VLOOKUP(H1360,LUTs!$A$1:$C$73,3,FALSE),"NA")</f>
        <v>0Strait of Juan de Fuca</v>
      </c>
      <c r="K1360" s="108" t="s">
        <v>20</v>
      </c>
      <c r="L1360" s="108" t="str">
        <f>VLOOKUP(K1360,LUTs!E$2:G$14,3,)</f>
        <v>07Pierce</v>
      </c>
      <c r="M1360" s="108" t="str">
        <f>VLOOKUP($K1360,LUTs!$E$2:$H$14,2,)</f>
        <v>South Puget Sound</v>
      </c>
      <c r="N1360" s="108" t="str">
        <f>VLOOKUP($K1360,LUTs!$E$2:$H$14,4,)</f>
        <v>02South Puget Sound</v>
      </c>
      <c r="O1360" s="108">
        <v>9.1794871794871806</v>
      </c>
      <c r="P1360" s="108">
        <v>31.577435897435901</v>
      </c>
      <c r="Q1360" s="108">
        <f>SUMIFS('FW_Salmon_by_Month_2010-2021'!P$2:P$3810,'FW_Salmon_by_Month_2010-2021'!$B$2:$B$3810,'Rec_raw_catch_effort_2010-2021'!$B1360,'FW_Salmon_by_Month_2010-2021'!$H$2:$H$3810,'Rec_raw_catch_effort_2010-2021'!$F1360,'FW_Salmon_by_Month_2010-2021'!$M$2:$M$3810,'Rec_raw_catch_effort_2010-2021'!$K1360)</f>
        <v>9.1578947368421098</v>
      </c>
      <c r="R1360" s="109">
        <f>VLOOKUP(B1360,Readme!$A$62:$C$74,2,)*Q1360</f>
        <v>32.410159816954767</v>
      </c>
      <c r="S1360" s="140" t="str">
        <f t="shared" si="125"/>
        <v>Y</v>
      </c>
      <c r="T1360" s="154">
        <f t="shared" si="126"/>
        <v>3.44</v>
      </c>
      <c r="U1360" s="154">
        <f t="shared" si="127"/>
        <v>3.5390404397824153</v>
      </c>
    </row>
    <row r="1361" spans="1:21" x14ac:dyDescent="0.35">
      <c r="A1361" s="108">
        <v>2210</v>
      </c>
      <c r="B1361" s="108">
        <v>2016</v>
      </c>
      <c r="C1361" s="108" t="s">
        <v>38</v>
      </c>
      <c r="D1361" s="108" t="s">
        <v>143</v>
      </c>
      <c r="E1361" s="108" t="s">
        <v>10</v>
      </c>
      <c r="F1361" s="116">
        <v>738</v>
      </c>
      <c r="G1361" s="108" t="s">
        <v>43</v>
      </c>
      <c r="H1361" s="108" t="str">
        <f t="shared" si="124"/>
        <v>Dungeness River</v>
      </c>
      <c r="I1361" s="108" t="str">
        <f>IFERROR(VLOOKUP(H1361,LUTs!$A$1:$C$73,2,FALSE),"NA")</f>
        <v>Clallam</v>
      </c>
      <c r="J1361" s="108" t="str">
        <f>IFERROR(VLOOKUP(H1361,LUTs!$A$1:$C$73,3,FALSE),"NA")</f>
        <v>0Strait of Juan de Fuca</v>
      </c>
      <c r="K1361" s="108" t="s">
        <v>24</v>
      </c>
      <c r="L1361" s="108" t="str">
        <f>VLOOKUP(K1361,LUTs!E$2:G$14,3,)</f>
        <v>11Clallam</v>
      </c>
      <c r="M1361" s="108" t="str">
        <f>VLOOKUP($K1361,LUTs!$E$2:$H$14,2,)</f>
        <v>Strait of Juan de Fuca</v>
      </c>
      <c r="N1361" s="108" t="str">
        <f>VLOOKUP($K1361,LUTs!$E$2:$H$14,4,)</f>
        <v>03Strait of Juan de Fuca</v>
      </c>
      <c r="O1361" s="108">
        <v>589.91463414634097</v>
      </c>
      <c r="P1361" s="108">
        <v>5102.7615853658499</v>
      </c>
      <c r="Q1361" s="108">
        <f>SUMIFS('FW_Salmon_by_Month_2010-2021'!P$2:P$3810,'FW_Salmon_by_Month_2010-2021'!$B$2:$B$3810,'Rec_raw_catch_effort_2010-2021'!$B1361,'FW_Salmon_by_Month_2010-2021'!$H$2:$H$3810,'Rec_raw_catch_effort_2010-2021'!$F1361,'FW_Salmon_by_Month_2010-2021'!$M$2:$M$3810,'Rec_raw_catch_effort_2010-2021'!$K1361)</f>
        <v>591.42857142857201</v>
      </c>
      <c r="R1361" s="109">
        <f>VLOOKUP(B1361,Readme!$A$62:$C$74,2,)*Q1361</f>
        <v>2850.4224718612431</v>
      </c>
      <c r="S1361" s="140" t="str">
        <f t="shared" si="125"/>
        <v>Y</v>
      </c>
      <c r="T1361" s="154">
        <f t="shared" si="126"/>
        <v>8.65</v>
      </c>
      <c r="U1361" s="154">
        <f t="shared" si="127"/>
        <v>4.8195549041132084</v>
      </c>
    </row>
    <row r="1362" spans="1:21" x14ac:dyDescent="0.35">
      <c r="A1362" s="108">
        <v>2211</v>
      </c>
      <c r="B1362" s="108">
        <v>2016</v>
      </c>
      <c r="C1362" s="108" t="s">
        <v>38</v>
      </c>
      <c r="D1362" s="108" t="s">
        <v>143</v>
      </c>
      <c r="E1362" s="108" t="s">
        <v>10</v>
      </c>
      <c r="F1362" s="116">
        <v>738</v>
      </c>
      <c r="G1362" s="108" t="s">
        <v>43</v>
      </c>
      <c r="H1362" s="108" t="str">
        <f t="shared" si="124"/>
        <v>Dungeness River</v>
      </c>
      <c r="I1362" s="108" t="str">
        <f>IFERROR(VLOOKUP(H1362,LUTs!$A$1:$C$73,2,FALSE),"NA")</f>
        <v>Clallam</v>
      </c>
      <c r="J1362" s="108" t="str">
        <f>IFERROR(VLOOKUP(H1362,LUTs!$A$1:$C$73,3,FALSE),"NA")</f>
        <v>0Strait of Juan de Fuca</v>
      </c>
      <c r="K1362" s="108" t="s">
        <v>25</v>
      </c>
      <c r="L1362" s="108" t="str">
        <f>VLOOKUP(K1362,LUTs!E$2:G$14,3,)</f>
        <v>12Jefferson</v>
      </c>
      <c r="M1362" s="108" t="str">
        <f>VLOOKUP($K1362,LUTs!$E$2:$H$14,2,)</f>
        <v>Strait of Juan de Fuca</v>
      </c>
      <c r="N1362" s="108" t="str">
        <f>VLOOKUP($K1362,LUTs!$E$2:$H$14,4,)</f>
        <v>03Strait of Juan de Fuca</v>
      </c>
      <c r="O1362" s="108">
        <v>38.682926829268297</v>
      </c>
      <c r="P1362" s="108">
        <v>334.60731707317098</v>
      </c>
      <c r="Q1362" s="108">
        <f>SUMIFS('FW_Salmon_by_Month_2010-2021'!P$2:P$3810,'FW_Salmon_by_Month_2010-2021'!$B$2:$B$3810,'Rec_raw_catch_effort_2010-2021'!$B1362,'FW_Salmon_by_Month_2010-2021'!$H$2:$H$3810,'Rec_raw_catch_effort_2010-2021'!$F1362,'FW_Salmon_by_Month_2010-2021'!$M$2:$M$3810,'Rec_raw_catch_effort_2010-2021'!$K1362)</f>
        <v>37.015873015872998</v>
      </c>
      <c r="R1362" s="109">
        <f>VLOOKUP(B1362,Readme!$A$62:$C$74,2,)*Q1362</f>
        <v>178.4000323236825</v>
      </c>
      <c r="S1362" s="140" t="str">
        <f t="shared" si="125"/>
        <v>Y</v>
      </c>
      <c r="T1362" s="154">
        <f t="shared" si="126"/>
        <v>8.6500000000000057</v>
      </c>
      <c r="U1362" s="154">
        <f t="shared" si="127"/>
        <v>4.8195549041132084</v>
      </c>
    </row>
    <row r="1363" spans="1:21" x14ac:dyDescent="0.35">
      <c r="A1363" s="108">
        <v>2205</v>
      </c>
      <c r="B1363" s="108">
        <v>2016</v>
      </c>
      <c r="C1363" s="108" t="s">
        <v>38</v>
      </c>
      <c r="D1363" s="108" t="s">
        <v>143</v>
      </c>
      <c r="E1363" s="108" t="s">
        <v>10</v>
      </c>
      <c r="F1363" s="116">
        <v>738</v>
      </c>
      <c r="G1363" s="108" t="s">
        <v>43</v>
      </c>
      <c r="H1363" s="108" t="str">
        <f t="shared" si="124"/>
        <v>Dungeness River</v>
      </c>
      <c r="I1363" s="108" t="str">
        <f>IFERROR(VLOOKUP(H1363,LUTs!$A$1:$C$73,2,FALSE),"NA")</f>
        <v>Clallam</v>
      </c>
      <c r="J1363" s="108" t="str">
        <f>IFERROR(VLOOKUP(H1363,LUTs!$A$1:$C$73,3,FALSE),"NA")</f>
        <v>0Strait of Juan de Fuca</v>
      </c>
      <c r="K1363" s="108" t="s">
        <v>18</v>
      </c>
      <c r="L1363" s="108" t="str">
        <f>VLOOKUP(K1363,LUTs!E$2:G$14,3,)</f>
        <v>06King</v>
      </c>
      <c r="M1363" s="108" t="str">
        <f>VLOOKUP($K1363,LUTs!$E$2:$H$14,2,)</f>
        <v>South Puget Sound</v>
      </c>
      <c r="N1363" s="108" t="str">
        <f>VLOOKUP($K1363,LUTs!$E$2:$H$14,4,)</f>
        <v>02South Puget Sound</v>
      </c>
      <c r="O1363" s="108">
        <v>9.6707317073170795</v>
      </c>
      <c r="P1363" s="108">
        <v>83.651829268292701</v>
      </c>
      <c r="Q1363" s="108">
        <f>SUMIFS('FW_Salmon_by_Month_2010-2021'!P$2:P$3810,'FW_Salmon_by_Month_2010-2021'!$B$2:$B$3810,'Rec_raw_catch_effort_2010-2021'!$B1363,'FW_Salmon_by_Month_2010-2021'!$H$2:$H$3810,'Rec_raw_catch_effort_2010-2021'!$F1363,'FW_Salmon_by_Month_2010-2021'!$M$2:$M$3810,'Rec_raw_catch_effort_2010-2021'!$K1363)</f>
        <v>9.2539682539682602</v>
      </c>
      <c r="R1363" s="109">
        <f>VLOOKUP(B1363,Readme!$A$62:$C$74,2,)*Q1363</f>
        <v>44.600008080920674</v>
      </c>
      <c r="S1363" s="140" t="str">
        <f t="shared" si="125"/>
        <v>Y</v>
      </c>
      <c r="T1363" s="154">
        <f t="shared" si="126"/>
        <v>8.6499999999999968</v>
      </c>
      <c r="U1363" s="154">
        <f t="shared" si="127"/>
        <v>4.8195549041132084</v>
      </c>
    </row>
    <row r="1364" spans="1:21" x14ac:dyDescent="0.35">
      <c r="A1364" s="108">
        <v>2209</v>
      </c>
      <c r="B1364" s="108">
        <v>2016</v>
      </c>
      <c r="C1364" s="108" t="s">
        <v>38</v>
      </c>
      <c r="D1364" s="108" t="s">
        <v>143</v>
      </c>
      <c r="E1364" s="108" t="s">
        <v>10</v>
      </c>
      <c r="F1364" s="116">
        <v>738</v>
      </c>
      <c r="G1364" s="108" t="s">
        <v>43</v>
      </c>
      <c r="H1364" s="108" t="str">
        <f t="shared" si="124"/>
        <v>Dungeness River</v>
      </c>
      <c r="I1364" s="108" t="str">
        <f>IFERROR(VLOOKUP(H1364,LUTs!$A$1:$C$73,2,FALSE),"NA")</f>
        <v>Clallam</v>
      </c>
      <c r="J1364" s="108" t="str">
        <f>IFERROR(VLOOKUP(H1364,LUTs!$A$1:$C$73,3,FALSE),"NA")</f>
        <v>0Strait of Juan de Fuca</v>
      </c>
      <c r="K1364" s="108" t="s">
        <v>23</v>
      </c>
      <c r="L1364" s="108" t="str">
        <f>VLOOKUP(K1364,LUTs!E$2:G$14,3,)</f>
        <v>10Kitsap</v>
      </c>
      <c r="M1364" s="108" t="str">
        <f>VLOOKUP($K1364,LUTs!$E$2:$H$14,2,)</f>
        <v>South Puget Sound</v>
      </c>
      <c r="N1364" s="108" t="str">
        <f>VLOOKUP($K1364,LUTs!$E$2:$H$14,4,)</f>
        <v>02South Puget Sound</v>
      </c>
      <c r="O1364" s="108">
        <v>67.695121951219505</v>
      </c>
      <c r="P1364" s="108">
        <v>585.56280487804895</v>
      </c>
      <c r="Q1364" s="108">
        <f>SUMIFS('FW_Salmon_by_Month_2010-2021'!P$2:P$3810,'FW_Salmon_by_Month_2010-2021'!$B$2:$B$3810,'Rec_raw_catch_effort_2010-2021'!$B1364,'FW_Salmon_by_Month_2010-2021'!$H$2:$H$3810,'Rec_raw_catch_effort_2010-2021'!$F1364,'FW_Salmon_by_Month_2010-2021'!$M$2:$M$3810,'Rec_raw_catch_effort_2010-2021'!$K1364)</f>
        <v>72.015873015872998</v>
      </c>
      <c r="R1364" s="109">
        <f>VLOOKUP(B1364,Readme!$A$62:$C$74,2,)*Q1364</f>
        <v>347.08445396764478</v>
      </c>
      <c r="S1364" s="140" t="str">
        <f t="shared" si="125"/>
        <v>Y</v>
      </c>
      <c r="T1364" s="154">
        <f t="shared" si="126"/>
        <v>8.6500000000000039</v>
      </c>
      <c r="U1364" s="154">
        <f t="shared" si="127"/>
        <v>4.8195549041132084</v>
      </c>
    </row>
    <row r="1365" spans="1:21" x14ac:dyDescent="0.35">
      <c r="A1365" s="108">
        <v>2208</v>
      </c>
      <c r="B1365" s="108">
        <v>2016</v>
      </c>
      <c r="C1365" s="108" t="s">
        <v>38</v>
      </c>
      <c r="D1365" s="108" t="s">
        <v>143</v>
      </c>
      <c r="E1365" s="108" t="s">
        <v>10</v>
      </c>
      <c r="F1365" s="116">
        <v>738</v>
      </c>
      <c r="G1365" s="108" t="s">
        <v>43</v>
      </c>
      <c r="H1365" s="108" t="str">
        <f t="shared" si="124"/>
        <v>Dungeness River</v>
      </c>
      <c r="I1365" s="108" t="str">
        <f>IFERROR(VLOOKUP(H1365,LUTs!$A$1:$C$73,2,FALSE),"NA")</f>
        <v>Clallam</v>
      </c>
      <c r="J1365" s="108" t="str">
        <f>IFERROR(VLOOKUP(H1365,LUTs!$A$1:$C$73,3,FALSE),"NA")</f>
        <v>0Strait of Juan de Fuca</v>
      </c>
      <c r="K1365" s="108" t="s">
        <v>22</v>
      </c>
      <c r="L1365" s="108" t="str">
        <f>VLOOKUP(K1365,LUTs!E$2:G$14,3,)</f>
        <v>09Mason</v>
      </c>
      <c r="M1365" s="108" t="str">
        <f>VLOOKUP($K1365,LUTs!$E$2:$H$14,2,)</f>
        <v>South Puget Sound</v>
      </c>
      <c r="N1365" s="108" t="str">
        <f>VLOOKUP($K1365,LUTs!$E$2:$H$14,4,)</f>
        <v>02South Puget Sound</v>
      </c>
      <c r="O1365" s="108">
        <v>9.6707317073170795</v>
      </c>
      <c r="P1365" s="108">
        <v>83.651829268292701</v>
      </c>
      <c r="Q1365" s="108">
        <f>SUMIFS('FW_Salmon_by_Month_2010-2021'!P$2:P$3810,'FW_Salmon_by_Month_2010-2021'!$B$2:$B$3810,'Rec_raw_catch_effort_2010-2021'!$B1365,'FW_Salmon_by_Month_2010-2021'!$H$2:$H$3810,'Rec_raw_catch_effort_2010-2021'!$F1365,'FW_Salmon_by_Month_2010-2021'!$M$2:$M$3810,'Rec_raw_catch_effort_2010-2021'!$K1365)</f>
        <v>9.2539682539682602</v>
      </c>
      <c r="R1365" s="109">
        <f>VLOOKUP(B1365,Readme!$A$62:$C$74,2,)*Q1365</f>
        <v>44.600008080920674</v>
      </c>
      <c r="S1365" s="140" t="str">
        <f t="shared" si="125"/>
        <v>Y</v>
      </c>
      <c r="T1365" s="154">
        <f t="shared" si="126"/>
        <v>8.6499999999999968</v>
      </c>
      <c r="U1365" s="154">
        <f t="shared" si="127"/>
        <v>4.8195549041132084</v>
      </c>
    </row>
    <row r="1366" spans="1:21" x14ac:dyDescent="0.35">
      <c r="A1366" s="108">
        <v>2212</v>
      </c>
      <c r="B1366" s="108">
        <v>2016</v>
      </c>
      <c r="C1366" s="108" t="s">
        <v>38</v>
      </c>
      <c r="D1366" s="108" t="s">
        <v>143</v>
      </c>
      <c r="E1366" s="108" t="s">
        <v>10</v>
      </c>
      <c r="F1366" s="116">
        <v>738</v>
      </c>
      <c r="G1366" s="108" t="s">
        <v>43</v>
      </c>
      <c r="H1366" s="108" t="str">
        <f t="shared" si="124"/>
        <v>Dungeness River</v>
      </c>
      <c r="I1366" s="108" t="str">
        <f>IFERROR(VLOOKUP(H1366,LUTs!$A$1:$C$73,2,FALSE),"NA")</f>
        <v>Clallam</v>
      </c>
      <c r="J1366" s="108" t="str">
        <f>IFERROR(VLOOKUP(H1366,LUTs!$A$1:$C$73,3,FALSE),"NA")</f>
        <v>0Strait of Juan de Fuca</v>
      </c>
      <c r="K1366" s="108" t="s">
        <v>26</v>
      </c>
      <c r="L1366" s="108" t="str">
        <f>VLOOKUP(K1366,LUTs!E$2:G$14,3,)</f>
        <v>20Other</v>
      </c>
      <c r="M1366" s="108" t="str">
        <f>VLOOKUP($K1366,LUTs!$E$2:$H$14,2,)</f>
        <v>Non Puget Sound</v>
      </c>
      <c r="N1366" s="108" t="str">
        <f>VLOOKUP($K1366,LUTs!$E$2:$H$14,4,)</f>
        <v>07Non Puget Sound</v>
      </c>
      <c r="O1366" s="108">
        <v>38.682926829268297</v>
      </c>
      <c r="P1366" s="108">
        <v>334.60731707317098</v>
      </c>
      <c r="Q1366" s="108">
        <f>SUMIFS('FW_Salmon_by_Month_2010-2021'!P$2:P$3810,'FW_Salmon_by_Month_2010-2021'!$B$2:$B$3810,'Rec_raw_catch_effort_2010-2021'!$B1366,'FW_Salmon_by_Month_2010-2021'!$H$2:$H$3810,'Rec_raw_catch_effort_2010-2021'!$F1366,'FW_Salmon_by_Month_2010-2021'!$M$2:$M$3810,'Rec_raw_catch_effort_2010-2021'!$K1366)</f>
        <v>37.015873015872998</v>
      </c>
      <c r="R1366" s="109">
        <f>VLOOKUP(B1366,Readme!$A$62:$C$74,2,)*Q1366</f>
        <v>178.4000323236825</v>
      </c>
      <c r="S1366" s="140" t="str">
        <f t="shared" si="125"/>
        <v>Y</v>
      </c>
      <c r="T1366" s="154">
        <f t="shared" si="126"/>
        <v>8.6500000000000057</v>
      </c>
      <c r="U1366" s="154">
        <f t="shared" si="127"/>
        <v>4.8195549041132084</v>
      </c>
    </row>
    <row r="1367" spans="1:21" x14ac:dyDescent="0.35">
      <c r="A1367" s="108">
        <v>2206</v>
      </c>
      <c r="B1367" s="108">
        <v>2016</v>
      </c>
      <c r="C1367" s="108" t="s">
        <v>38</v>
      </c>
      <c r="D1367" s="108" t="s">
        <v>143</v>
      </c>
      <c r="E1367" s="108" t="s">
        <v>10</v>
      </c>
      <c r="F1367" s="116">
        <v>738</v>
      </c>
      <c r="G1367" s="108" t="s">
        <v>43</v>
      </c>
      <c r="H1367" s="108" t="str">
        <f t="shared" si="124"/>
        <v>Dungeness River</v>
      </c>
      <c r="I1367" s="108" t="str">
        <f>IFERROR(VLOOKUP(H1367,LUTs!$A$1:$C$73,2,FALSE),"NA")</f>
        <v>Clallam</v>
      </c>
      <c r="J1367" s="108" t="str">
        <f>IFERROR(VLOOKUP(H1367,LUTs!$A$1:$C$73,3,FALSE),"NA")</f>
        <v>0Strait of Juan de Fuca</v>
      </c>
      <c r="K1367" s="108" t="s">
        <v>20</v>
      </c>
      <c r="L1367" s="108" t="str">
        <f>VLOOKUP(K1367,LUTs!E$2:G$14,3,)</f>
        <v>07Pierce</v>
      </c>
      <c r="M1367" s="108" t="str">
        <f>VLOOKUP($K1367,LUTs!$E$2:$H$14,2,)</f>
        <v>South Puget Sound</v>
      </c>
      <c r="N1367" s="108" t="str">
        <f>VLOOKUP($K1367,LUTs!$E$2:$H$14,4,)</f>
        <v>02South Puget Sound</v>
      </c>
      <c r="O1367" s="108">
        <v>19.341463414634202</v>
      </c>
      <c r="P1367" s="108">
        <v>167.303658536586</v>
      </c>
      <c r="Q1367" s="108">
        <f>SUMIFS('FW_Salmon_by_Month_2010-2021'!P$2:P$3810,'FW_Salmon_by_Month_2010-2021'!$B$2:$B$3810,'Rec_raw_catch_effort_2010-2021'!$B1367,'FW_Salmon_by_Month_2010-2021'!$H$2:$H$3810,'Rec_raw_catch_effort_2010-2021'!$F1367,'FW_Salmon_by_Month_2010-2021'!$M$2:$M$3810,'Rec_raw_catch_effort_2010-2021'!$K1367)</f>
        <v>18.507936507936499</v>
      </c>
      <c r="R1367" s="109">
        <f>VLOOKUP(B1367,Readme!$A$62:$C$74,2,)*Q1367</f>
        <v>89.200016161841248</v>
      </c>
      <c r="S1367" s="140" t="str">
        <f t="shared" si="125"/>
        <v>Y</v>
      </c>
      <c r="T1367" s="154">
        <f t="shared" si="126"/>
        <v>8.6500000000000075</v>
      </c>
      <c r="U1367" s="154">
        <f t="shared" si="127"/>
        <v>4.8195549041132084</v>
      </c>
    </row>
    <row r="1368" spans="1:21" x14ac:dyDescent="0.35">
      <c r="A1368" s="108">
        <v>2207</v>
      </c>
      <c r="B1368" s="108">
        <v>2016</v>
      </c>
      <c r="C1368" s="108" t="s">
        <v>38</v>
      </c>
      <c r="D1368" s="108" t="s">
        <v>143</v>
      </c>
      <c r="E1368" s="108" t="s">
        <v>10</v>
      </c>
      <c r="F1368" s="116">
        <v>738</v>
      </c>
      <c r="G1368" s="108" t="s">
        <v>43</v>
      </c>
      <c r="H1368" s="108" t="str">
        <f t="shared" si="124"/>
        <v>Dungeness River</v>
      </c>
      <c r="I1368" s="108" t="str">
        <f>IFERROR(VLOOKUP(H1368,LUTs!$A$1:$C$73,2,FALSE),"NA")</f>
        <v>Clallam</v>
      </c>
      <c r="J1368" s="108" t="str">
        <f>IFERROR(VLOOKUP(H1368,LUTs!$A$1:$C$73,3,FALSE),"NA")</f>
        <v>0Strait of Juan de Fuca</v>
      </c>
      <c r="K1368" s="108" t="s">
        <v>21</v>
      </c>
      <c r="L1368" s="108" t="str">
        <f>VLOOKUP(K1368,LUTs!E$2:G$14,3,)</f>
        <v>08Thurston</v>
      </c>
      <c r="M1368" s="108" t="str">
        <f>VLOOKUP($K1368,LUTs!$E$2:$H$14,2,)</f>
        <v>South Puget Sound</v>
      </c>
      <c r="N1368" s="108" t="str">
        <f>VLOOKUP($K1368,LUTs!$E$2:$H$14,4,)</f>
        <v>02South Puget Sound</v>
      </c>
      <c r="O1368" s="108">
        <v>19.341463414634202</v>
      </c>
      <c r="P1368" s="108">
        <v>167.303658536586</v>
      </c>
      <c r="Q1368" s="108">
        <f>SUMIFS('FW_Salmon_by_Month_2010-2021'!P$2:P$3810,'FW_Salmon_by_Month_2010-2021'!$B$2:$B$3810,'Rec_raw_catch_effort_2010-2021'!$B1368,'FW_Salmon_by_Month_2010-2021'!$H$2:$H$3810,'Rec_raw_catch_effort_2010-2021'!$F1368,'FW_Salmon_by_Month_2010-2021'!$M$2:$M$3810,'Rec_raw_catch_effort_2010-2021'!$K1368)</f>
        <v>18.507936507936499</v>
      </c>
      <c r="R1368" s="109">
        <f>VLOOKUP(B1368,Readme!$A$62:$C$74,2,)*Q1368</f>
        <v>89.200016161841248</v>
      </c>
      <c r="S1368" s="140" t="str">
        <f t="shared" si="125"/>
        <v>Y</v>
      </c>
      <c r="T1368" s="154">
        <f t="shared" si="126"/>
        <v>8.6500000000000075</v>
      </c>
      <c r="U1368" s="154">
        <f t="shared" si="127"/>
        <v>4.8195549041132084</v>
      </c>
    </row>
    <row r="1369" spans="1:21" x14ac:dyDescent="0.35">
      <c r="A1369" s="108">
        <v>2321</v>
      </c>
      <c r="B1369" s="108">
        <v>2017</v>
      </c>
      <c r="C1369" s="108" t="s">
        <v>38</v>
      </c>
      <c r="D1369" s="108" t="s">
        <v>143</v>
      </c>
      <c r="E1369" s="108" t="s">
        <v>10</v>
      </c>
      <c r="F1369" s="116">
        <v>738</v>
      </c>
      <c r="G1369" s="108" t="s">
        <v>43</v>
      </c>
      <c r="H1369" s="108" t="str">
        <f t="shared" si="124"/>
        <v>Dungeness River</v>
      </c>
      <c r="I1369" s="108" t="str">
        <f>IFERROR(VLOOKUP(H1369,LUTs!$A$1:$C$73,2,FALSE),"NA")</f>
        <v>Clallam</v>
      </c>
      <c r="J1369" s="108" t="str">
        <f>IFERROR(VLOOKUP(H1369,LUTs!$A$1:$C$73,3,FALSE),"NA")</f>
        <v>0Strait of Juan de Fuca</v>
      </c>
      <c r="K1369" s="108" t="s">
        <v>24</v>
      </c>
      <c r="L1369" s="108" t="str">
        <f>VLOOKUP(K1369,LUTs!E$2:G$14,3,)</f>
        <v>11Clallam</v>
      </c>
      <c r="M1369" s="108" t="str">
        <f>VLOOKUP($K1369,LUTs!$E$2:$H$14,2,)</f>
        <v>Strait of Juan de Fuca</v>
      </c>
      <c r="N1369" s="108" t="str">
        <f>VLOOKUP($K1369,LUTs!$E$2:$H$14,4,)</f>
        <v>03Strait of Juan de Fuca</v>
      </c>
      <c r="O1369" s="108">
        <v>757.28155339805801</v>
      </c>
      <c r="P1369" s="108">
        <v>2605.04854368932</v>
      </c>
      <c r="Q1369" s="108">
        <f>SUMIFS('FW_Salmon_by_Month_2010-2021'!P$2:P$3810,'FW_Salmon_by_Month_2010-2021'!$B$2:$B$3810,'Rec_raw_catch_effort_2010-2021'!$B1369,'FW_Salmon_by_Month_2010-2021'!$H$2:$H$3810,'Rec_raw_catch_effort_2010-2021'!$F1369,'FW_Salmon_by_Month_2010-2021'!$M$2:$M$3810,'Rec_raw_catch_effort_2010-2021'!$K1369)</f>
        <v>764.62878787878799</v>
      </c>
      <c r="R1369" s="109">
        <f>VLOOKUP(B1369,Readme!$A$62:$C$74,2,)*Q1369</f>
        <v>2706.0522017248409</v>
      </c>
      <c r="S1369" s="140" t="str">
        <f t="shared" si="125"/>
        <v>Y</v>
      </c>
      <c r="T1369" s="154">
        <f t="shared" si="126"/>
        <v>3.4400000000000004</v>
      </c>
      <c r="U1369" s="154">
        <f t="shared" si="127"/>
        <v>3.5390404397824153</v>
      </c>
    </row>
    <row r="1370" spans="1:21" x14ac:dyDescent="0.35">
      <c r="A1370" s="108">
        <v>2322</v>
      </c>
      <c r="B1370" s="108">
        <v>2017</v>
      </c>
      <c r="C1370" s="108" t="s">
        <v>38</v>
      </c>
      <c r="D1370" s="108" t="s">
        <v>143</v>
      </c>
      <c r="E1370" s="108" t="s">
        <v>10</v>
      </c>
      <c r="F1370" s="116">
        <v>738</v>
      </c>
      <c r="G1370" s="108" t="s">
        <v>43</v>
      </c>
      <c r="H1370" s="108" t="str">
        <f t="shared" si="124"/>
        <v>Dungeness River</v>
      </c>
      <c r="I1370" s="108" t="str">
        <f>IFERROR(VLOOKUP(H1370,LUTs!$A$1:$C$73,2,FALSE),"NA")</f>
        <v>Clallam</v>
      </c>
      <c r="J1370" s="108" t="str">
        <f>IFERROR(VLOOKUP(H1370,LUTs!$A$1:$C$73,3,FALSE),"NA")</f>
        <v>0Strait of Juan de Fuca</v>
      </c>
      <c r="K1370" s="108" t="s">
        <v>25</v>
      </c>
      <c r="L1370" s="108" t="str">
        <f>VLOOKUP(K1370,LUTs!E$2:G$14,3,)</f>
        <v>12Jefferson</v>
      </c>
      <c r="M1370" s="108" t="str">
        <f>VLOOKUP($K1370,LUTs!$E$2:$H$14,2,)</f>
        <v>Strait of Juan de Fuca</v>
      </c>
      <c r="N1370" s="108" t="str">
        <f>VLOOKUP($K1370,LUTs!$E$2:$H$14,4,)</f>
        <v>03Strait of Juan de Fuca</v>
      </c>
      <c r="O1370" s="108">
        <v>80.776699029126206</v>
      </c>
      <c r="P1370" s="108">
        <v>277.87184466019397</v>
      </c>
      <c r="Q1370" s="108">
        <f>SUMIFS('FW_Salmon_by_Month_2010-2021'!P$2:P$3810,'FW_Salmon_by_Month_2010-2021'!$B$2:$B$3810,'Rec_raw_catch_effort_2010-2021'!$B1370,'FW_Salmon_by_Month_2010-2021'!$H$2:$H$3810,'Rec_raw_catch_effort_2010-2021'!$F1370,'FW_Salmon_by_Month_2010-2021'!$M$2:$M$3810,'Rec_raw_catch_effort_2010-2021'!$K1370)</f>
        <v>81.5713012477718</v>
      </c>
      <c r="R1370" s="109">
        <f>VLOOKUP(B1370,Readme!$A$62:$C$74,2,)*Q1370</f>
        <v>288.6841338415382</v>
      </c>
      <c r="S1370" s="140" t="str">
        <f t="shared" si="125"/>
        <v>Y</v>
      </c>
      <c r="T1370" s="154">
        <f t="shared" si="126"/>
        <v>3.4399999999999977</v>
      </c>
      <c r="U1370" s="154">
        <f t="shared" si="127"/>
        <v>3.5390404397824153</v>
      </c>
    </row>
    <row r="1371" spans="1:21" x14ac:dyDescent="0.35">
      <c r="A1371" s="108">
        <v>2317</v>
      </c>
      <c r="B1371" s="108">
        <v>2017</v>
      </c>
      <c r="C1371" s="108" t="s">
        <v>38</v>
      </c>
      <c r="D1371" s="108" t="s">
        <v>143</v>
      </c>
      <c r="E1371" s="108" t="s">
        <v>10</v>
      </c>
      <c r="F1371" s="116">
        <v>738</v>
      </c>
      <c r="G1371" s="108" t="s">
        <v>43</v>
      </c>
      <c r="H1371" s="108" t="str">
        <f t="shared" si="124"/>
        <v>Dungeness River</v>
      </c>
      <c r="I1371" s="108" t="str">
        <f>IFERROR(VLOOKUP(H1371,LUTs!$A$1:$C$73,2,FALSE),"NA")</f>
        <v>Clallam</v>
      </c>
      <c r="J1371" s="108" t="str">
        <f>IFERROR(VLOOKUP(H1371,LUTs!$A$1:$C$73,3,FALSE),"NA")</f>
        <v>0Strait of Juan de Fuca</v>
      </c>
      <c r="K1371" s="108" t="s">
        <v>18</v>
      </c>
      <c r="L1371" s="108" t="str">
        <f>VLOOKUP(K1371,LUTs!E$2:G$14,3,)</f>
        <v>06King</v>
      </c>
      <c r="M1371" s="108" t="str">
        <f>VLOOKUP($K1371,LUTs!$E$2:$H$14,2,)</f>
        <v>South Puget Sound</v>
      </c>
      <c r="N1371" s="108" t="str">
        <f>VLOOKUP($K1371,LUTs!$E$2:$H$14,4,)</f>
        <v>02South Puget Sound</v>
      </c>
      <c r="O1371" s="108">
        <v>141.359223300971</v>
      </c>
      <c r="P1371" s="108">
        <v>486.27572815534</v>
      </c>
      <c r="Q1371" s="108">
        <f>SUMIFS('FW_Salmon_by_Month_2010-2021'!P$2:P$3810,'FW_Salmon_by_Month_2010-2021'!$B$2:$B$3810,'Rec_raw_catch_effort_2010-2021'!$B1371,'FW_Salmon_by_Month_2010-2021'!$H$2:$H$3810,'Rec_raw_catch_effort_2010-2021'!$F1371,'FW_Salmon_by_Month_2010-2021'!$M$2:$M$3810,'Rec_raw_catch_effort_2010-2021'!$K1371)</f>
        <v>142.84402852049911</v>
      </c>
      <c r="R1371" s="109">
        <f>VLOOKUP(B1371,Readme!$A$62:$C$74,2,)*Q1371</f>
        <v>505.53079351547905</v>
      </c>
      <c r="S1371" s="140" t="str">
        <f t="shared" si="125"/>
        <v>Y</v>
      </c>
      <c r="T1371" s="154">
        <f t="shared" si="126"/>
        <v>3.4399999999999986</v>
      </c>
      <c r="U1371" s="154">
        <f t="shared" si="127"/>
        <v>3.5390404397824153</v>
      </c>
    </row>
    <row r="1372" spans="1:21" x14ac:dyDescent="0.35">
      <c r="A1372" s="108">
        <v>2320</v>
      </c>
      <c r="B1372" s="108">
        <v>2017</v>
      </c>
      <c r="C1372" s="108" t="s">
        <v>38</v>
      </c>
      <c r="D1372" s="108" t="s">
        <v>143</v>
      </c>
      <c r="E1372" s="108" t="s">
        <v>10</v>
      </c>
      <c r="F1372" s="116">
        <v>738</v>
      </c>
      <c r="G1372" s="108" t="s">
        <v>43</v>
      </c>
      <c r="H1372" s="108" t="str">
        <f t="shared" si="124"/>
        <v>Dungeness River</v>
      </c>
      <c r="I1372" s="108" t="str">
        <f>IFERROR(VLOOKUP(H1372,LUTs!$A$1:$C$73,2,FALSE),"NA")</f>
        <v>Clallam</v>
      </c>
      <c r="J1372" s="108" t="str">
        <f>IFERROR(VLOOKUP(H1372,LUTs!$A$1:$C$73,3,FALSE),"NA")</f>
        <v>0Strait of Juan de Fuca</v>
      </c>
      <c r="K1372" s="108" t="s">
        <v>23</v>
      </c>
      <c r="L1372" s="108" t="str">
        <f>VLOOKUP(K1372,LUTs!E$2:G$14,3,)</f>
        <v>10Kitsap</v>
      </c>
      <c r="M1372" s="108" t="str">
        <f>VLOOKUP($K1372,LUTs!$E$2:$H$14,2,)</f>
        <v>South Puget Sound</v>
      </c>
      <c r="N1372" s="108" t="str">
        <f>VLOOKUP($K1372,LUTs!$E$2:$H$14,4,)</f>
        <v>02South Puget Sound</v>
      </c>
      <c r="O1372" s="108">
        <v>30.291262135922299</v>
      </c>
      <c r="P1372" s="108">
        <v>104.201941747573</v>
      </c>
      <c r="Q1372" s="108">
        <f>SUMIFS('FW_Salmon_by_Month_2010-2021'!P$2:P$3810,'FW_Salmon_by_Month_2010-2021'!$B$2:$B$3810,'Rec_raw_catch_effort_2010-2021'!$B1372,'FW_Salmon_by_Month_2010-2021'!$H$2:$H$3810,'Rec_raw_catch_effort_2010-2021'!$F1372,'FW_Salmon_by_Month_2010-2021'!$M$2:$M$3810,'Rec_raw_catch_effort_2010-2021'!$K1372)</f>
        <v>30.573529411764699</v>
      </c>
      <c r="R1372" s="109">
        <f>VLOOKUP(B1372,Readme!$A$62:$C$74,2,)*Q1372</f>
        <v>108.20095697511235</v>
      </c>
      <c r="S1372" s="140" t="str">
        <f t="shared" si="125"/>
        <v>Y</v>
      </c>
      <c r="T1372" s="154">
        <f t="shared" si="126"/>
        <v>3.4400000000000097</v>
      </c>
      <c r="U1372" s="154">
        <f t="shared" si="127"/>
        <v>3.5390404397824153</v>
      </c>
    </row>
    <row r="1373" spans="1:21" x14ac:dyDescent="0.35">
      <c r="A1373" s="108">
        <v>2319</v>
      </c>
      <c r="B1373" s="108">
        <v>2017</v>
      </c>
      <c r="C1373" s="108" t="s">
        <v>38</v>
      </c>
      <c r="D1373" s="108" t="s">
        <v>143</v>
      </c>
      <c r="E1373" s="108" t="s">
        <v>10</v>
      </c>
      <c r="F1373" s="116">
        <v>738</v>
      </c>
      <c r="G1373" s="108" t="s">
        <v>43</v>
      </c>
      <c r="H1373" s="108" t="str">
        <f t="shared" si="124"/>
        <v>Dungeness River</v>
      </c>
      <c r="I1373" s="108" t="str">
        <f>IFERROR(VLOOKUP(H1373,LUTs!$A$1:$C$73,2,FALSE),"NA")</f>
        <v>Clallam</v>
      </c>
      <c r="J1373" s="108" t="str">
        <f>IFERROR(VLOOKUP(H1373,LUTs!$A$1:$C$73,3,FALSE),"NA")</f>
        <v>0Strait of Juan de Fuca</v>
      </c>
      <c r="K1373" s="108" t="s">
        <v>22</v>
      </c>
      <c r="L1373" s="108" t="str">
        <f>VLOOKUP(K1373,LUTs!E$2:G$14,3,)</f>
        <v>09Mason</v>
      </c>
      <c r="M1373" s="108" t="str">
        <f>VLOOKUP($K1373,LUTs!$E$2:$H$14,2,)</f>
        <v>South Puget Sound</v>
      </c>
      <c r="N1373" s="108" t="str">
        <f>VLOOKUP($K1373,LUTs!$E$2:$H$14,4,)</f>
        <v>02South Puget Sound</v>
      </c>
      <c r="O1373" s="108">
        <v>10.097087378640801</v>
      </c>
      <c r="P1373" s="108">
        <v>34.733980582524403</v>
      </c>
      <c r="Q1373" s="108">
        <f>SUMIFS('FW_Salmon_by_Month_2010-2021'!P$2:P$3810,'FW_Salmon_by_Month_2010-2021'!$B$2:$B$3810,'Rec_raw_catch_effort_2010-2021'!$B1373,'FW_Salmon_by_Month_2010-2021'!$H$2:$H$3810,'Rec_raw_catch_effort_2010-2021'!$F1373,'FW_Salmon_by_Month_2010-2021'!$M$2:$M$3810,'Rec_raw_catch_effort_2010-2021'!$K1373)</f>
        <v>0</v>
      </c>
      <c r="R1373" s="109">
        <f>VLOOKUP(B1373,Readme!$A$62:$C$74,2,)*Q1373</f>
        <v>0</v>
      </c>
      <c r="S1373" s="140" t="str">
        <f t="shared" si="125"/>
        <v>Y</v>
      </c>
      <c r="T1373" s="154">
        <f t="shared" si="126"/>
        <v>3.4400000000000048</v>
      </c>
      <c r="U1373" s="154" t="str">
        <f t="shared" si="127"/>
        <v>NA</v>
      </c>
    </row>
    <row r="1374" spans="1:21" x14ac:dyDescent="0.35">
      <c r="A1374" s="108">
        <v>2323</v>
      </c>
      <c r="B1374" s="108">
        <v>2017</v>
      </c>
      <c r="C1374" s="108" t="s">
        <v>38</v>
      </c>
      <c r="D1374" s="108" t="s">
        <v>143</v>
      </c>
      <c r="E1374" s="108" t="s">
        <v>10</v>
      </c>
      <c r="F1374" s="116">
        <v>738</v>
      </c>
      <c r="G1374" s="108" t="s">
        <v>43</v>
      </c>
      <c r="H1374" s="108" t="str">
        <f t="shared" si="124"/>
        <v>Dungeness River</v>
      </c>
      <c r="I1374" s="108" t="str">
        <f>IFERROR(VLOOKUP(H1374,LUTs!$A$1:$C$73,2,FALSE),"NA")</f>
        <v>Clallam</v>
      </c>
      <c r="J1374" s="108" t="str">
        <f>IFERROR(VLOOKUP(H1374,LUTs!$A$1:$C$73,3,FALSE),"NA")</f>
        <v>0Strait of Juan de Fuca</v>
      </c>
      <c r="K1374" s="108" t="s">
        <v>26</v>
      </c>
      <c r="L1374" s="108" t="str">
        <f>VLOOKUP(K1374,LUTs!E$2:G$14,3,)</f>
        <v>20Other</v>
      </c>
      <c r="M1374" s="108" t="str">
        <f>VLOOKUP($K1374,LUTs!$E$2:$H$14,2,)</f>
        <v>Non Puget Sound</v>
      </c>
      <c r="N1374" s="108" t="str">
        <f>VLOOKUP($K1374,LUTs!$E$2:$H$14,4,)</f>
        <v>07Non Puget Sound</v>
      </c>
      <c r="O1374" s="108">
        <v>10.097087378640801</v>
      </c>
      <c r="P1374" s="108">
        <v>34.733980582524403</v>
      </c>
      <c r="Q1374" s="108">
        <f>SUMIFS('FW_Salmon_by_Month_2010-2021'!P$2:P$3810,'FW_Salmon_by_Month_2010-2021'!$B$2:$B$3810,'Rec_raw_catch_effort_2010-2021'!$B1374,'FW_Salmon_by_Month_2010-2021'!$H$2:$H$3810,'Rec_raw_catch_effort_2010-2021'!$F1374,'FW_Salmon_by_Month_2010-2021'!$M$2:$M$3810,'Rec_raw_catch_effort_2010-2021'!$K1374)</f>
        <v>10.1911764705882</v>
      </c>
      <c r="R1374" s="109">
        <f>VLOOKUP(B1374,Readme!$A$62:$C$74,2,)*Q1374</f>
        <v>36.066985658370669</v>
      </c>
      <c r="S1374" s="140" t="str">
        <f t="shared" si="125"/>
        <v>Y</v>
      </c>
      <c r="T1374" s="154">
        <f t="shared" si="126"/>
        <v>3.4400000000000048</v>
      </c>
      <c r="U1374" s="154">
        <f t="shared" si="127"/>
        <v>3.5390404397824158</v>
      </c>
    </row>
    <row r="1375" spans="1:21" x14ac:dyDescent="0.35">
      <c r="A1375" s="108">
        <v>2318</v>
      </c>
      <c r="B1375" s="108">
        <v>2017</v>
      </c>
      <c r="C1375" s="108" t="s">
        <v>38</v>
      </c>
      <c r="D1375" s="108" t="s">
        <v>143</v>
      </c>
      <c r="E1375" s="108" t="s">
        <v>10</v>
      </c>
      <c r="F1375" s="116">
        <v>738</v>
      </c>
      <c r="G1375" s="108" t="s">
        <v>43</v>
      </c>
      <c r="H1375" s="108" t="str">
        <f t="shared" si="124"/>
        <v>Dungeness River</v>
      </c>
      <c r="I1375" s="108" t="str">
        <f>IFERROR(VLOOKUP(H1375,LUTs!$A$1:$C$73,2,FALSE),"NA")</f>
        <v>Clallam</v>
      </c>
      <c r="J1375" s="108" t="str">
        <f>IFERROR(VLOOKUP(H1375,LUTs!$A$1:$C$73,3,FALSE),"NA")</f>
        <v>0Strait of Juan de Fuca</v>
      </c>
      <c r="K1375" s="108" t="s">
        <v>20</v>
      </c>
      <c r="L1375" s="108" t="str">
        <f>VLOOKUP(K1375,LUTs!E$2:G$14,3,)</f>
        <v>07Pierce</v>
      </c>
      <c r="M1375" s="108" t="str">
        <f>VLOOKUP($K1375,LUTs!$E$2:$H$14,2,)</f>
        <v>South Puget Sound</v>
      </c>
      <c r="N1375" s="108" t="str">
        <f>VLOOKUP($K1375,LUTs!$E$2:$H$14,4,)</f>
        <v>02South Puget Sound</v>
      </c>
      <c r="O1375" s="108">
        <v>10.097087378640801</v>
      </c>
      <c r="P1375" s="108">
        <v>34.733980582524403</v>
      </c>
      <c r="Q1375" s="108">
        <f>SUMIFS('FW_Salmon_by_Month_2010-2021'!P$2:P$3810,'FW_Salmon_by_Month_2010-2021'!$B$2:$B$3810,'Rec_raw_catch_effort_2010-2021'!$B1375,'FW_Salmon_by_Month_2010-2021'!$H$2:$H$3810,'Rec_raw_catch_effort_2010-2021'!$F1375,'FW_Salmon_by_Month_2010-2021'!$M$2:$M$3810,'Rec_raw_catch_effort_2010-2021'!$K1375)</f>
        <v>10.1911764705882</v>
      </c>
      <c r="R1375" s="109">
        <f>VLOOKUP(B1375,Readme!$A$62:$C$74,2,)*Q1375</f>
        <v>36.066985658370669</v>
      </c>
      <c r="S1375" s="140" t="str">
        <f t="shared" si="125"/>
        <v>Y</v>
      </c>
      <c r="T1375" s="154">
        <f t="shared" si="126"/>
        <v>3.4400000000000048</v>
      </c>
      <c r="U1375" s="154">
        <f t="shared" si="127"/>
        <v>3.5390404397824158</v>
      </c>
    </row>
    <row r="1376" spans="1:21" x14ac:dyDescent="0.35">
      <c r="A1376" s="108">
        <v>2432</v>
      </c>
      <c r="B1376" s="108">
        <v>2018</v>
      </c>
      <c r="C1376" s="108" t="s">
        <v>38</v>
      </c>
      <c r="D1376" s="108" t="s">
        <v>143</v>
      </c>
      <c r="E1376" s="108" t="s">
        <v>10</v>
      </c>
      <c r="F1376" s="116">
        <v>738</v>
      </c>
      <c r="G1376" s="108" t="s">
        <v>43</v>
      </c>
      <c r="H1376" s="108" t="str">
        <f t="shared" si="124"/>
        <v>Dungeness River</v>
      </c>
      <c r="I1376" s="108" t="str">
        <f>IFERROR(VLOOKUP(H1376,LUTs!$A$1:$C$73,2,FALSE),"NA")</f>
        <v>Clallam</v>
      </c>
      <c r="J1376" s="108" t="str">
        <f>IFERROR(VLOOKUP(H1376,LUTs!$A$1:$C$73,3,FALSE),"NA")</f>
        <v>0Strait of Juan de Fuca</v>
      </c>
      <c r="K1376" s="108" t="s">
        <v>24</v>
      </c>
      <c r="L1376" s="108" t="str">
        <f>VLOOKUP(K1376,LUTs!E$2:G$14,3,)</f>
        <v>11Clallam</v>
      </c>
      <c r="M1376" s="108" t="str">
        <f>VLOOKUP($K1376,LUTs!$E$2:$H$14,2,)</f>
        <v>Strait of Juan de Fuca</v>
      </c>
      <c r="N1376" s="108" t="str">
        <f>VLOOKUP($K1376,LUTs!$E$2:$H$14,4,)</f>
        <v>03Strait of Juan de Fuca</v>
      </c>
      <c r="O1376" s="108">
        <v>171.61904761904799</v>
      </c>
      <c r="P1376" s="108">
        <v>1484.50476190477</v>
      </c>
      <c r="Q1376" s="108">
        <f>SUMIFS('FW_Salmon_by_Month_2010-2021'!P$2:P$3810,'FW_Salmon_by_Month_2010-2021'!$B$2:$B$3810,'Rec_raw_catch_effort_2010-2021'!$B1376,'FW_Salmon_by_Month_2010-2021'!$H$2:$H$3810,'Rec_raw_catch_effort_2010-2021'!$F1376,'FW_Salmon_by_Month_2010-2021'!$M$2:$M$3810,'Rec_raw_catch_effort_2010-2021'!$K1376)</f>
        <v>171.529411764706</v>
      </c>
      <c r="R1376" s="109">
        <f>VLOOKUP(B1376,Readme!$A$62:$C$74,2,)*Q1376</f>
        <v>826.6954176702427</v>
      </c>
      <c r="S1376" s="140" t="str">
        <f t="shared" si="125"/>
        <v>Y</v>
      </c>
      <c r="T1376" s="154">
        <f t="shared" si="126"/>
        <v>8.6500000000000288</v>
      </c>
      <c r="U1376" s="154">
        <f t="shared" si="127"/>
        <v>4.8195549041132084</v>
      </c>
    </row>
    <row r="1377" spans="1:21" x14ac:dyDescent="0.35">
      <c r="A1377" s="108">
        <v>2431</v>
      </c>
      <c r="B1377" s="108">
        <v>2018</v>
      </c>
      <c r="C1377" s="108" t="s">
        <v>38</v>
      </c>
      <c r="D1377" s="108" t="s">
        <v>143</v>
      </c>
      <c r="E1377" s="108" t="s">
        <v>10</v>
      </c>
      <c r="F1377" s="116">
        <v>738</v>
      </c>
      <c r="G1377" s="108" t="s">
        <v>43</v>
      </c>
      <c r="H1377" s="108" t="str">
        <f t="shared" si="124"/>
        <v>Dungeness River</v>
      </c>
      <c r="I1377" s="108" t="str">
        <f>IFERROR(VLOOKUP(H1377,LUTs!$A$1:$C$73,2,FALSE),"NA")</f>
        <v>Clallam</v>
      </c>
      <c r="J1377" s="108" t="str">
        <f>IFERROR(VLOOKUP(H1377,LUTs!$A$1:$C$73,3,FALSE),"NA")</f>
        <v>0Strait of Juan de Fuca</v>
      </c>
      <c r="K1377" s="108" t="s">
        <v>23</v>
      </c>
      <c r="L1377" s="108" t="str">
        <f>VLOOKUP(K1377,LUTs!E$2:G$14,3,)</f>
        <v>10Kitsap</v>
      </c>
      <c r="M1377" s="108" t="str">
        <f>VLOOKUP($K1377,LUTs!$E$2:$H$14,2,)</f>
        <v>South Puget Sound</v>
      </c>
      <c r="N1377" s="108" t="str">
        <f>VLOOKUP($K1377,LUTs!$E$2:$H$14,4,)</f>
        <v>02South Puget Sound</v>
      </c>
      <c r="O1377" s="108">
        <v>30.285714285714299</v>
      </c>
      <c r="P1377" s="108">
        <v>261.97142857142899</v>
      </c>
      <c r="Q1377" s="108">
        <f>SUMIFS('FW_Salmon_by_Month_2010-2021'!P$2:P$3810,'FW_Salmon_by_Month_2010-2021'!$B$2:$B$3810,'Rec_raw_catch_effort_2010-2021'!$B1377,'FW_Salmon_by_Month_2010-2021'!$H$2:$H$3810,'Rec_raw_catch_effort_2010-2021'!$F1377,'FW_Salmon_by_Month_2010-2021'!$M$2:$M$3810,'Rec_raw_catch_effort_2010-2021'!$K1377)</f>
        <v>30.352941176470601</v>
      </c>
      <c r="R1377" s="109">
        <f>VLOOKUP(B1377,Readme!$A$62:$C$74,2,)*Q1377</f>
        <v>146.28766650131863</v>
      </c>
      <c r="S1377" s="140" t="str">
        <f t="shared" si="125"/>
        <v>Y</v>
      </c>
      <c r="T1377" s="154">
        <f t="shared" si="126"/>
        <v>8.6500000000000092</v>
      </c>
      <c r="U1377" s="154">
        <f t="shared" si="127"/>
        <v>4.8195549041132084</v>
      </c>
    </row>
    <row r="1378" spans="1:21" x14ac:dyDescent="0.35">
      <c r="A1378" s="108">
        <v>2430</v>
      </c>
      <c r="B1378" s="108">
        <v>2018</v>
      </c>
      <c r="C1378" s="108" t="s">
        <v>38</v>
      </c>
      <c r="D1378" s="108" t="s">
        <v>143</v>
      </c>
      <c r="E1378" s="108" t="s">
        <v>10</v>
      </c>
      <c r="F1378" s="116">
        <v>738</v>
      </c>
      <c r="G1378" s="108" t="s">
        <v>43</v>
      </c>
      <c r="H1378" s="108" t="str">
        <f t="shared" si="124"/>
        <v>Dungeness River</v>
      </c>
      <c r="I1378" s="108" t="str">
        <f>IFERROR(VLOOKUP(H1378,LUTs!$A$1:$C$73,2,FALSE),"NA")</f>
        <v>Clallam</v>
      </c>
      <c r="J1378" s="108" t="str">
        <f>IFERROR(VLOOKUP(H1378,LUTs!$A$1:$C$73,3,FALSE),"NA")</f>
        <v>0Strait of Juan de Fuca</v>
      </c>
      <c r="K1378" s="108" t="s">
        <v>20</v>
      </c>
      <c r="L1378" s="108" t="str">
        <f>VLOOKUP(K1378,LUTs!E$2:G$14,3,)</f>
        <v>07Pierce</v>
      </c>
      <c r="M1378" s="108" t="str">
        <f>VLOOKUP($K1378,LUTs!$E$2:$H$14,2,)</f>
        <v>South Puget Sound</v>
      </c>
      <c r="N1378" s="108" t="str">
        <f>VLOOKUP($K1378,LUTs!$E$2:$H$14,4,)</f>
        <v>02South Puget Sound</v>
      </c>
      <c r="O1378" s="108">
        <v>10.0952380952381</v>
      </c>
      <c r="P1378" s="108">
        <v>87.323809523809601</v>
      </c>
      <c r="Q1378" s="108">
        <f>SUMIFS('FW_Salmon_by_Month_2010-2021'!P$2:P$3810,'FW_Salmon_by_Month_2010-2021'!$B$2:$B$3810,'Rec_raw_catch_effort_2010-2021'!$B1378,'FW_Salmon_by_Month_2010-2021'!$H$2:$H$3810,'Rec_raw_catch_effort_2010-2021'!$F1378,'FW_Salmon_by_Month_2010-2021'!$M$2:$M$3810,'Rec_raw_catch_effort_2010-2021'!$K1378)</f>
        <v>10.117647058823501</v>
      </c>
      <c r="R1378" s="109">
        <f>VLOOKUP(B1378,Readme!$A$62:$C$74,2,)*Q1378</f>
        <v>48.762555500439383</v>
      </c>
      <c r="S1378" s="140" t="str">
        <f t="shared" si="125"/>
        <v>Y</v>
      </c>
      <c r="T1378" s="154">
        <f t="shared" si="126"/>
        <v>8.6500000000000039</v>
      </c>
      <c r="U1378" s="154">
        <f t="shared" si="127"/>
        <v>4.8195549041132084</v>
      </c>
    </row>
    <row r="1379" spans="1:21" x14ac:dyDescent="0.35">
      <c r="A1379" s="108">
        <v>2545</v>
      </c>
      <c r="B1379" s="108">
        <v>2019</v>
      </c>
      <c r="C1379" s="108" t="s">
        <v>38</v>
      </c>
      <c r="D1379" s="108" t="s">
        <v>143</v>
      </c>
      <c r="E1379" s="108" t="s">
        <v>10</v>
      </c>
      <c r="F1379" s="116">
        <v>738</v>
      </c>
      <c r="G1379" s="108" t="s">
        <v>43</v>
      </c>
      <c r="H1379" s="108" t="str">
        <f t="shared" si="124"/>
        <v>Dungeness River</v>
      </c>
      <c r="I1379" s="108" t="str">
        <f>IFERROR(VLOOKUP(H1379,LUTs!$A$1:$C$73,2,FALSE),"NA")</f>
        <v>Clallam</v>
      </c>
      <c r="J1379" s="108" t="str">
        <f>IFERROR(VLOOKUP(H1379,LUTs!$A$1:$C$73,3,FALSE),"NA")</f>
        <v>0Strait of Juan de Fuca</v>
      </c>
      <c r="K1379" s="108" t="s">
        <v>24</v>
      </c>
      <c r="L1379" s="108" t="str">
        <f>VLOOKUP(K1379,LUTs!E$2:G$14,3,)</f>
        <v>11Clallam</v>
      </c>
      <c r="M1379" s="108" t="str">
        <f>VLOOKUP($K1379,LUTs!$E$2:$H$14,2,)</f>
        <v>Strait of Juan de Fuca</v>
      </c>
      <c r="N1379" s="108" t="str">
        <f>VLOOKUP($K1379,LUTs!$E$2:$H$14,4,)</f>
        <v>03Strait of Juan de Fuca</v>
      </c>
      <c r="O1379" s="108">
        <v>528.82758620689697</v>
      </c>
      <c r="P1379" s="108">
        <v>1819.1668965517299</v>
      </c>
      <c r="Q1379" s="108">
        <f>SUMIFS('FW_Salmon_by_Month_2010-2021'!P$2:P$3810,'FW_Salmon_by_Month_2010-2021'!$B$2:$B$3810,'Rec_raw_catch_effort_2010-2021'!$B1379,'FW_Salmon_by_Month_2010-2021'!$H$2:$H$3810,'Rec_raw_catch_effort_2010-2021'!$F1379,'FW_Salmon_by_Month_2010-2021'!$M$2:$M$3810,'Rec_raw_catch_effort_2010-2021'!$K1379)</f>
        <v>538.11428571428598</v>
      </c>
      <c r="R1379" s="109">
        <f>VLOOKUP(B1379,Readme!$A$62:$C$74,2,)*Q1379</f>
        <v>1904.4082183674871</v>
      </c>
      <c r="S1379" s="140" t="str">
        <f t="shared" si="125"/>
        <v>Y</v>
      </c>
      <c r="T1379" s="154">
        <f t="shared" si="126"/>
        <v>3.4400000000000084</v>
      </c>
      <c r="U1379" s="154">
        <f t="shared" si="127"/>
        <v>3.5390404397824153</v>
      </c>
    </row>
    <row r="1380" spans="1:21" x14ac:dyDescent="0.35">
      <c r="A1380" s="108">
        <v>2546</v>
      </c>
      <c r="B1380" s="108">
        <v>2019</v>
      </c>
      <c r="C1380" s="108" t="s">
        <v>38</v>
      </c>
      <c r="D1380" s="108" t="s">
        <v>143</v>
      </c>
      <c r="E1380" s="108" t="s">
        <v>10</v>
      </c>
      <c r="F1380" s="116">
        <v>738</v>
      </c>
      <c r="G1380" s="108" t="s">
        <v>43</v>
      </c>
      <c r="H1380" s="108" t="str">
        <f t="shared" si="124"/>
        <v>Dungeness River</v>
      </c>
      <c r="I1380" s="108" t="str">
        <f>IFERROR(VLOOKUP(H1380,LUTs!$A$1:$C$73,2,FALSE),"NA")</f>
        <v>Clallam</v>
      </c>
      <c r="J1380" s="108" t="str">
        <f>IFERROR(VLOOKUP(H1380,LUTs!$A$1:$C$73,3,FALSE),"NA")</f>
        <v>0Strait of Juan de Fuca</v>
      </c>
      <c r="K1380" s="108" t="s">
        <v>25</v>
      </c>
      <c r="L1380" s="108" t="str">
        <f>VLOOKUP(K1380,LUTs!E$2:G$14,3,)</f>
        <v>12Jefferson</v>
      </c>
      <c r="M1380" s="108" t="str">
        <f>VLOOKUP($K1380,LUTs!$E$2:$H$14,2,)</f>
        <v>Strait of Juan de Fuca</v>
      </c>
      <c r="N1380" s="108" t="str">
        <f>VLOOKUP($K1380,LUTs!$E$2:$H$14,4,)</f>
        <v>03Strait of Juan de Fuca</v>
      </c>
      <c r="O1380" s="108">
        <v>55.086206896551701</v>
      </c>
      <c r="P1380" s="108">
        <v>189.49655172413799</v>
      </c>
      <c r="Q1380" s="108">
        <f>SUMIFS('FW_Salmon_by_Month_2010-2021'!P$2:P$3810,'FW_Salmon_by_Month_2010-2021'!$B$2:$B$3810,'Rec_raw_catch_effort_2010-2021'!$B1380,'FW_Salmon_by_Month_2010-2021'!$H$2:$H$3810,'Rec_raw_catch_effort_2010-2021'!$F1380,'FW_Salmon_by_Month_2010-2021'!$M$2:$M$3810,'Rec_raw_catch_effort_2010-2021'!$K1380)</f>
        <v>44.828571428571394</v>
      </c>
      <c r="R1380" s="109">
        <f>VLOOKUP(B1380,Readme!$A$62:$C$74,2,)*Q1380</f>
        <v>158.65012714338872</v>
      </c>
      <c r="S1380" s="140" t="str">
        <f t="shared" si="125"/>
        <v>Y</v>
      </c>
      <c r="T1380" s="154">
        <f t="shared" si="126"/>
        <v>3.4400000000000026</v>
      </c>
      <c r="U1380" s="154">
        <f t="shared" si="127"/>
        <v>3.5390404397824153</v>
      </c>
    </row>
    <row r="1381" spans="1:21" x14ac:dyDescent="0.35">
      <c r="A1381" s="108">
        <v>2544</v>
      </c>
      <c r="B1381" s="108">
        <v>2019</v>
      </c>
      <c r="C1381" s="108" t="s">
        <v>38</v>
      </c>
      <c r="D1381" s="108" t="s">
        <v>143</v>
      </c>
      <c r="E1381" s="108" t="s">
        <v>10</v>
      </c>
      <c r="F1381" s="116">
        <v>738</v>
      </c>
      <c r="G1381" s="108" t="s">
        <v>43</v>
      </c>
      <c r="H1381" s="108" t="str">
        <f t="shared" si="124"/>
        <v>Dungeness River</v>
      </c>
      <c r="I1381" s="108" t="str">
        <f>IFERROR(VLOOKUP(H1381,LUTs!$A$1:$C$73,2,FALSE),"NA")</f>
        <v>Clallam</v>
      </c>
      <c r="J1381" s="108" t="str">
        <f>IFERROR(VLOOKUP(H1381,LUTs!$A$1:$C$73,3,FALSE),"NA")</f>
        <v>0Strait of Juan de Fuca</v>
      </c>
      <c r="K1381" s="108" t="s">
        <v>22</v>
      </c>
      <c r="L1381" s="108" t="str">
        <f>VLOOKUP(K1381,LUTs!E$2:G$14,3,)</f>
        <v>09Mason</v>
      </c>
      <c r="M1381" s="108" t="str">
        <f>VLOOKUP($K1381,LUTs!$E$2:$H$14,2,)</f>
        <v>South Puget Sound</v>
      </c>
      <c r="N1381" s="108" t="str">
        <f>VLOOKUP($K1381,LUTs!$E$2:$H$14,4,)</f>
        <v>02South Puget Sound</v>
      </c>
      <c r="O1381" s="108">
        <v>11.017241379310301</v>
      </c>
      <c r="P1381" s="108">
        <v>37.899310344827398</v>
      </c>
      <c r="Q1381" s="108">
        <f>SUMIFS('FW_Salmon_by_Month_2010-2021'!P$2:P$3810,'FW_Salmon_by_Month_2010-2021'!$B$2:$B$3810,'Rec_raw_catch_effort_2010-2021'!$B1381,'FW_Salmon_by_Month_2010-2021'!$H$2:$H$3810,'Rec_raw_catch_effort_2010-2021'!$F1381,'FW_Salmon_by_Month_2010-2021'!$M$2:$M$3810,'Rec_raw_catch_effort_2010-2021'!$K1381)</f>
        <v>11.214285714285699</v>
      </c>
      <c r="R1381" s="109">
        <f>VLOOKUP(B1381,Readme!$A$62:$C$74,2,)*Q1381</f>
        <v>39.687810646131318</v>
      </c>
      <c r="S1381" s="140" t="str">
        <f t="shared" si="125"/>
        <v>Y</v>
      </c>
      <c r="T1381" s="154">
        <f t="shared" si="126"/>
        <v>3.4399999999999968</v>
      </c>
      <c r="U1381" s="154">
        <f t="shared" si="127"/>
        <v>3.5390404397824153</v>
      </c>
    </row>
    <row r="1382" spans="1:21" x14ac:dyDescent="0.35">
      <c r="A1382" s="108">
        <v>2543</v>
      </c>
      <c r="B1382" s="108">
        <v>2019</v>
      </c>
      <c r="C1382" s="108" t="s">
        <v>38</v>
      </c>
      <c r="D1382" s="108" t="s">
        <v>143</v>
      </c>
      <c r="E1382" s="108" t="s">
        <v>10</v>
      </c>
      <c r="F1382" s="116">
        <v>738</v>
      </c>
      <c r="G1382" s="108" t="s">
        <v>43</v>
      </c>
      <c r="H1382" s="108" t="str">
        <f t="shared" si="124"/>
        <v>Dungeness River</v>
      </c>
      <c r="I1382" s="108" t="str">
        <f>IFERROR(VLOOKUP(H1382,LUTs!$A$1:$C$73,2,FALSE),"NA")</f>
        <v>Clallam</v>
      </c>
      <c r="J1382" s="108" t="str">
        <f>IFERROR(VLOOKUP(H1382,LUTs!$A$1:$C$73,3,FALSE),"NA")</f>
        <v>0Strait of Juan de Fuca</v>
      </c>
      <c r="K1382" s="108" t="s">
        <v>20</v>
      </c>
      <c r="L1382" s="108" t="str">
        <f>VLOOKUP(K1382,LUTs!E$2:G$14,3,)</f>
        <v>07Pierce</v>
      </c>
      <c r="M1382" s="108" t="str">
        <f>VLOOKUP($K1382,LUTs!$E$2:$H$14,2,)</f>
        <v>South Puget Sound</v>
      </c>
      <c r="N1382" s="108" t="str">
        <f>VLOOKUP($K1382,LUTs!$E$2:$H$14,4,)</f>
        <v>02South Puget Sound</v>
      </c>
      <c r="O1382" s="108">
        <v>44.068965517241402</v>
      </c>
      <c r="P1382" s="108">
        <v>151.59724137930999</v>
      </c>
      <c r="Q1382" s="108">
        <f>SUMIFS('FW_Salmon_by_Month_2010-2021'!P$2:P$3810,'FW_Salmon_by_Month_2010-2021'!$B$2:$B$3810,'Rec_raw_catch_effort_2010-2021'!$B1382,'FW_Salmon_by_Month_2010-2021'!$H$2:$H$3810,'Rec_raw_catch_effort_2010-2021'!$F1382,'FW_Salmon_by_Month_2010-2021'!$M$2:$M$3810,'Rec_raw_catch_effort_2010-2021'!$K1382)</f>
        <v>44.842857142857099</v>
      </c>
      <c r="R1382" s="109">
        <f>VLOOKUP(B1382,Readme!$A$62:$C$74,2,)*Q1382</f>
        <v>158.70068486395701</v>
      </c>
      <c r="S1382" s="140" t="str">
        <f t="shared" si="125"/>
        <v>Y</v>
      </c>
      <c r="T1382" s="154">
        <f t="shared" si="126"/>
        <v>3.4399999999999902</v>
      </c>
      <c r="U1382" s="154">
        <f t="shared" si="127"/>
        <v>3.5390404397824153</v>
      </c>
    </row>
    <row r="1383" spans="1:21" x14ac:dyDescent="0.35">
      <c r="A1383" s="108">
        <v>2672</v>
      </c>
      <c r="B1383" s="108">
        <v>2020</v>
      </c>
      <c r="C1383" s="108" t="s">
        <v>38</v>
      </c>
      <c r="D1383" s="108" t="s">
        <v>143</v>
      </c>
      <c r="E1383" s="108" t="s">
        <v>10</v>
      </c>
      <c r="F1383" s="116">
        <v>738</v>
      </c>
      <c r="G1383" s="108" t="s">
        <v>43</v>
      </c>
      <c r="H1383" s="108" t="str">
        <f t="shared" si="124"/>
        <v>Dungeness River</v>
      </c>
      <c r="I1383" s="108" t="str">
        <f>IFERROR(VLOOKUP(H1383,LUTs!$A$1:$C$73,2,FALSE),"NA")</f>
        <v>Clallam</v>
      </c>
      <c r="J1383" s="108" t="str">
        <f>IFERROR(VLOOKUP(H1383,LUTs!$A$1:$C$73,3,FALSE),"NA")</f>
        <v>0Strait of Juan de Fuca</v>
      </c>
      <c r="K1383" s="108" t="s">
        <v>24</v>
      </c>
      <c r="L1383" s="108" t="str">
        <f>VLOOKUP(K1383,LUTs!E$2:G$14,3,)</f>
        <v>11Clallam</v>
      </c>
      <c r="M1383" s="108" t="str">
        <f>VLOOKUP($K1383,LUTs!$E$2:$H$14,2,)</f>
        <v>Strait of Juan de Fuca</v>
      </c>
      <c r="N1383" s="108" t="str">
        <f>VLOOKUP($K1383,LUTs!$E$2:$H$14,4,)</f>
        <v>03Strait of Juan de Fuca</v>
      </c>
      <c r="O1383" s="108">
        <v>132.42307692307699</v>
      </c>
      <c r="P1383" s="108">
        <v>1145.4596153846201</v>
      </c>
      <c r="Q1383" s="108">
        <f>SUMIFS('FW_Salmon_by_Month_2010-2021'!P$2:P$3810,'FW_Salmon_by_Month_2010-2021'!$B$2:$B$3810,'Rec_raw_catch_effort_2010-2021'!$B1383,'FW_Salmon_by_Month_2010-2021'!$H$2:$H$3810,'Rec_raw_catch_effort_2010-2021'!$F1383,'FW_Salmon_by_Month_2010-2021'!$M$2:$M$3810,'Rec_raw_catch_effort_2010-2021'!$K1383)</f>
        <v>132.38095238095241</v>
      </c>
      <c r="R1383" s="109">
        <f>VLOOKUP(B1383,Readme!$A$62:$C$74,2,)*Q1383</f>
        <v>638.01726825879632</v>
      </c>
      <c r="S1383" s="140" t="str">
        <f t="shared" si="125"/>
        <v>N</v>
      </c>
      <c r="T1383" s="154">
        <f t="shared" si="126"/>
        <v>8.6500000000000306</v>
      </c>
      <c r="U1383" s="154">
        <f t="shared" si="127"/>
        <v>4.8195549041132084</v>
      </c>
    </row>
    <row r="1384" spans="1:21" x14ac:dyDescent="0.35">
      <c r="A1384" s="108">
        <v>2673</v>
      </c>
      <c r="B1384" s="108">
        <v>2020</v>
      </c>
      <c r="C1384" s="108" t="s">
        <v>38</v>
      </c>
      <c r="D1384" s="108" t="s">
        <v>143</v>
      </c>
      <c r="E1384" s="108" t="s">
        <v>10</v>
      </c>
      <c r="F1384" s="116">
        <v>738</v>
      </c>
      <c r="G1384" s="108" t="s">
        <v>43</v>
      </c>
      <c r="H1384" s="108" t="str">
        <f t="shared" si="124"/>
        <v>Dungeness River</v>
      </c>
      <c r="I1384" s="108" t="str">
        <f>IFERROR(VLOOKUP(H1384,LUTs!$A$1:$C$73,2,FALSE),"NA")</f>
        <v>Clallam</v>
      </c>
      <c r="J1384" s="108" t="str">
        <f>IFERROR(VLOOKUP(H1384,LUTs!$A$1:$C$73,3,FALSE),"NA")</f>
        <v>0Strait of Juan de Fuca</v>
      </c>
      <c r="K1384" s="108" t="s">
        <v>25</v>
      </c>
      <c r="L1384" s="108" t="str">
        <f>VLOOKUP(K1384,LUTs!E$2:G$14,3,)</f>
        <v>12Jefferson</v>
      </c>
      <c r="M1384" s="108" t="str">
        <f>VLOOKUP($K1384,LUTs!$E$2:$H$14,2,)</f>
        <v>Strait of Juan de Fuca</v>
      </c>
      <c r="N1384" s="108" t="str">
        <f>VLOOKUP($K1384,LUTs!$E$2:$H$14,4,)</f>
        <v>03Strait of Juan de Fuca</v>
      </c>
      <c r="O1384" s="108">
        <v>48.153846153846203</v>
      </c>
      <c r="P1384" s="108">
        <v>416.53076923076998</v>
      </c>
      <c r="Q1384" s="108">
        <f>SUMIFS('FW_Salmon_by_Month_2010-2021'!P$2:P$3810,'FW_Salmon_by_Month_2010-2021'!$B$2:$B$3810,'Rec_raw_catch_effort_2010-2021'!$B1384,'FW_Salmon_by_Month_2010-2021'!$H$2:$H$3810,'Rec_raw_catch_effort_2010-2021'!$F1384,'FW_Salmon_by_Month_2010-2021'!$M$2:$M$3810,'Rec_raw_catch_effort_2010-2021'!$K1384)</f>
        <v>48.190476190476197</v>
      </c>
      <c r="R1384" s="109">
        <f>VLOOKUP(B1384,Readme!$A$62:$C$74,2,)*Q1384</f>
        <v>232.25664585536035</v>
      </c>
      <c r="S1384" s="140" t="str">
        <f t="shared" si="125"/>
        <v>N</v>
      </c>
      <c r="T1384" s="154">
        <f t="shared" si="126"/>
        <v>8.6500000000000075</v>
      </c>
      <c r="U1384" s="154">
        <f t="shared" si="127"/>
        <v>4.8195549041132084</v>
      </c>
    </row>
    <row r="1385" spans="1:21" x14ac:dyDescent="0.35">
      <c r="A1385" s="108">
        <v>2671</v>
      </c>
      <c r="B1385" s="108">
        <v>2020</v>
      </c>
      <c r="C1385" s="108" t="s">
        <v>38</v>
      </c>
      <c r="D1385" s="108" t="s">
        <v>143</v>
      </c>
      <c r="E1385" s="108" t="s">
        <v>10</v>
      </c>
      <c r="F1385" s="116">
        <v>738</v>
      </c>
      <c r="G1385" s="108" t="s">
        <v>43</v>
      </c>
      <c r="H1385" s="108" t="str">
        <f t="shared" si="124"/>
        <v>Dungeness River</v>
      </c>
      <c r="I1385" s="108" t="str">
        <f>IFERROR(VLOOKUP(H1385,LUTs!$A$1:$C$73,2,FALSE),"NA")</f>
        <v>Clallam</v>
      </c>
      <c r="J1385" s="108" t="str">
        <f>IFERROR(VLOOKUP(H1385,LUTs!$A$1:$C$73,3,FALSE),"NA")</f>
        <v>0Strait of Juan de Fuca</v>
      </c>
      <c r="K1385" s="108" t="s">
        <v>23</v>
      </c>
      <c r="L1385" s="108" t="str">
        <f>VLOOKUP(K1385,LUTs!E$2:G$14,3,)</f>
        <v>10Kitsap</v>
      </c>
      <c r="M1385" s="108" t="str">
        <f>VLOOKUP($K1385,LUTs!$E$2:$H$14,2,)</f>
        <v>South Puget Sound</v>
      </c>
      <c r="N1385" s="108" t="str">
        <f>VLOOKUP($K1385,LUTs!$E$2:$H$14,4,)</f>
        <v>02South Puget Sound</v>
      </c>
      <c r="O1385" s="108">
        <v>24.076923076923102</v>
      </c>
      <c r="P1385" s="108">
        <v>208.26538461538499</v>
      </c>
      <c r="Q1385" s="108">
        <f>SUMIFS('FW_Salmon_by_Month_2010-2021'!P$2:P$3810,'FW_Salmon_by_Month_2010-2021'!$B$2:$B$3810,'Rec_raw_catch_effort_2010-2021'!$B1385,'FW_Salmon_by_Month_2010-2021'!$H$2:$H$3810,'Rec_raw_catch_effort_2010-2021'!$F1385,'FW_Salmon_by_Month_2010-2021'!$M$2:$M$3810,'Rec_raw_catch_effort_2010-2021'!$K1385)</f>
        <v>24</v>
      </c>
      <c r="R1385" s="109">
        <f>VLOOKUP(B1385,Readme!$A$62:$C$74,2,)*Q1385</f>
        <v>115.66931769871701</v>
      </c>
      <c r="S1385" s="140" t="str">
        <f t="shared" si="125"/>
        <v>N</v>
      </c>
      <c r="T1385" s="154">
        <f t="shared" si="126"/>
        <v>8.6500000000000075</v>
      </c>
      <c r="U1385" s="154">
        <f t="shared" si="127"/>
        <v>4.8195549041132084</v>
      </c>
    </row>
    <row r="1386" spans="1:21" x14ac:dyDescent="0.35">
      <c r="A1386" s="108">
        <v>2674</v>
      </c>
      <c r="B1386" s="108">
        <v>2020</v>
      </c>
      <c r="C1386" s="108" t="s">
        <v>38</v>
      </c>
      <c r="D1386" s="108" t="s">
        <v>143</v>
      </c>
      <c r="E1386" s="108" t="s">
        <v>10</v>
      </c>
      <c r="F1386" s="116">
        <v>738</v>
      </c>
      <c r="G1386" s="108" t="s">
        <v>43</v>
      </c>
      <c r="H1386" s="108" t="str">
        <f t="shared" si="124"/>
        <v>Dungeness River</v>
      </c>
      <c r="I1386" s="108" t="str">
        <f>IFERROR(VLOOKUP(H1386,LUTs!$A$1:$C$73,2,FALSE),"NA")</f>
        <v>Clallam</v>
      </c>
      <c r="J1386" s="108" t="str">
        <f>IFERROR(VLOOKUP(H1386,LUTs!$A$1:$C$73,3,FALSE),"NA")</f>
        <v>0Strait of Juan de Fuca</v>
      </c>
      <c r="K1386" s="108" t="s">
        <v>26</v>
      </c>
      <c r="L1386" s="108" t="str">
        <f>VLOOKUP(K1386,LUTs!E$2:G$14,3,)</f>
        <v>20Other</v>
      </c>
      <c r="M1386" s="108" t="str">
        <f>VLOOKUP($K1386,LUTs!$E$2:$H$14,2,)</f>
        <v>Non Puget Sound</v>
      </c>
      <c r="N1386" s="108" t="str">
        <f>VLOOKUP($K1386,LUTs!$E$2:$H$14,4,)</f>
        <v>07Non Puget Sound</v>
      </c>
      <c r="O1386" s="108">
        <v>12.038461538461499</v>
      </c>
      <c r="P1386" s="108">
        <v>104.132692307692</v>
      </c>
      <c r="Q1386" s="108">
        <f>SUMIFS('FW_Salmon_by_Month_2010-2021'!P$2:P$3810,'FW_Salmon_by_Month_2010-2021'!$B$2:$B$3810,'Rec_raw_catch_effort_2010-2021'!$B1386,'FW_Salmon_by_Month_2010-2021'!$H$2:$H$3810,'Rec_raw_catch_effort_2010-2021'!$F1386,'FW_Salmon_by_Month_2010-2021'!$M$2:$M$3810,'Rec_raw_catch_effort_2010-2021'!$K1386)</f>
        <v>12.047619047619101</v>
      </c>
      <c r="R1386" s="109">
        <f>VLOOKUP(B1386,Readme!$A$62:$C$74,2,)*Q1386</f>
        <v>58.064161463840335</v>
      </c>
      <c r="S1386" s="140" t="str">
        <f t="shared" si="125"/>
        <v>N</v>
      </c>
      <c r="T1386" s="154">
        <f t="shared" si="126"/>
        <v>8.6500000000000021</v>
      </c>
      <c r="U1386" s="154">
        <f t="shared" si="127"/>
        <v>4.8195549041132084</v>
      </c>
    </row>
    <row r="1387" spans="1:21" x14ac:dyDescent="0.35">
      <c r="A1387" s="108">
        <v>2670</v>
      </c>
      <c r="B1387" s="108">
        <v>2020</v>
      </c>
      <c r="C1387" s="108" t="s">
        <v>38</v>
      </c>
      <c r="D1387" s="108" t="s">
        <v>143</v>
      </c>
      <c r="E1387" s="108" t="s">
        <v>10</v>
      </c>
      <c r="F1387" s="116">
        <v>738</v>
      </c>
      <c r="G1387" s="108" t="s">
        <v>43</v>
      </c>
      <c r="H1387" s="108" t="str">
        <f t="shared" si="124"/>
        <v>Dungeness River</v>
      </c>
      <c r="I1387" s="108" t="str">
        <f>IFERROR(VLOOKUP(H1387,LUTs!$A$1:$C$73,2,FALSE),"NA")</f>
        <v>Clallam</v>
      </c>
      <c r="J1387" s="108" t="str">
        <f>IFERROR(VLOOKUP(H1387,LUTs!$A$1:$C$73,3,FALSE),"NA")</f>
        <v>0Strait of Juan de Fuca</v>
      </c>
      <c r="K1387" s="108" t="s">
        <v>20</v>
      </c>
      <c r="L1387" s="108" t="str">
        <f>VLOOKUP(K1387,LUTs!E$2:G$14,3,)</f>
        <v>07Pierce</v>
      </c>
      <c r="M1387" s="108" t="str">
        <f>VLOOKUP($K1387,LUTs!$E$2:$H$14,2,)</f>
        <v>South Puget Sound</v>
      </c>
      <c r="N1387" s="108" t="str">
        <f>VLOOKUP($K1387,LUTs!$E$2:$H$14,4,)</f>
        <v>02South Puget Sound</v>
      </c>
      <c r="O1387" s="108">
        <v>96.307692307692307</v>
      </c>
      <c r="P1387" s="108">
        <v>833.06153846153802</v>
      </c>
      <c r="Q1387" s="108">
        <f>SUMIFS('FW_Salmon_by_Month_2010-2021'!P$2:P$3810,'FW_Salmon_by_Month_2010-2021'!$B$2:$B$3810,'Rec_raw_catch_effort_2010-2021'!$B1387,'FW_Salmon_by_Month_2010-2021'!$H$2:$H$3810,'Rec_raw_catch_effort_2010-2021'!$F1387,'FW_Salmon_by_Month_2010-2021'!$M$2:$M$3810,'Rec_raw_catch_effort_2010-2021'!$K1387)</f>
        <v>96.380952380952394</v>
      </c>
      <c r="R1387" s="109">
        <f>VLOOKUP(B1387,Readme!$A$62:$C$74,2,)*Q1387</f>
        <v>464.51329171072069</v>
      </c>
      <c r="S1387" s="140" t="str">
        <f t="shared" si="125"/>
        <v>N</v>
      </c>
      <c r="T1387" s="154">
        <f t="shared" si="126"/>
        <v>8.649999999999995</v>
      </c>
      <c r="U1387" s="154">
        <f t="shared" si="127"/>
        <v>4.8195549041132084</v>
      </c>
    </row>
    <row r="1388" spans="1:21" x14ac:dyDescent="0.35">
      <c r="A1388" s="108">
        <v>2781</v>
      </c>
      <c r="B1388" s="108">
        <v>2021</v>
      </c>
      <c r="C1388" s="108" t="s">
        <v>38</v>
      </c>
      <c r="D1388" s="108" t="s">
        <v>143</v>
      </c>
      <c r="E1388" s="108" t="s">
        <v>10</v>
      </c>
      <c r="F1388" s="116">
        <v>738</v>
      </c>
      <c r="G1388" s="108" t="s">
        <v>43</v>
      </c>
      <c r="H1388" s="108" t="str">
        <f t="shared" si="124"/>
        <v>Dungeness River</v>
      </c>
      <c r="I1388" s="108" t="str">
        <f>IFERROR(VLOOKUP(H1388,LUTs!$A$1:$C$73,2,FALSE),"NA")</f>
        <v>Clallam</v>
      </c>
      <c r="J1388" s="108" t="str">
        <f>IFERROR(VLOOKUP(H1388,LUTs!$A$1:$C$73,3,FALSE),"NA")</f>
        <v>0Strait of Juan de Fuca</v>
      </c>
      <c r="K1388" s="108" t="s">
        <v>24</v>
      </c>
      <c r="L1388" s="108" t="str">
        <f>VLOOKUP(K1388,LUTs!E$2:G$14,3,)</f>
        <v>11Clallam</v>
      </c>
      <c r="M1388" s="108" t="str">
        <f>VLOOKUP($K1388,LUTs!$E$2:$H$14,2,)</f>
        <v>Strait of Juan de Fuca</v>
      </c>
      <c r="N1388" s="108" t="str">
        <f>VLOOKUP($K1388,LUTs!$E$2:$H$14,4,)</f>
        <v>03Strait of Juan de Fuca</v>
      </c>
      <c r="O1388" s="108">
        <v>875.69655172413798</v>
      </c>
      <c r="P1388" s="108">
        <v>3012.3961379310299</v>
      </c>
      <c r="Q1388" s="108">
        <f>SUMIFS('FW_Salmon_by_Month_2010-2021'!P$2:P$3810,'FW_Salmon_by_Month_2010-2021'!$B$2:$B$3810,'Rec_raw_catch_effort_2010-2021'!$B1388,'FW_Salmon_by_Month_2010-2021'!$H$2:$H$3810,'Rec_raw_catch_effort_2010-2021'!$F1388,'FW_Salmon_by_Month_2010-2021'!$M$2:$M$3810,'Rec_raw_catch_effort_2010-2021'!$K1388)</f>
        <v>875.65725047081003</v>
      </c>
      <c r="R1388" s="109">
        <f>VLOOKUP(B1388,Readme!$A$62:$C$74,2,)*Q1388</f>
        <v>3098.9864208048762</v>
      </c>
      <c r="S1388" s="140" t="str">
        <f t="shared" si="125"/>
        <v>N</v>
      </c>
      <c r="T1388" s="154">
        <f t="shared" si="126"/>
        <v>3.4399999999999946</v>
      </c>
      <c r="U1388" s="154">
        <f t="shared" si="127"/>
        <v>3.5390404397824153</v>
      </c>
    </row>
    <row r="1389" spans="1:21" x14ac:dyDescent="0.35">
      <c r="A1389" s="108">
        <v>2782</v>
      </c>
      <c r="B1389" s="108">
        <v>2021</v>
      </c>
      <c r="C1389" s="108" t="s">
        <v>38</v>
      </c>
      <c r="D1389" s="108" t="s">
        <v>143</v>
      </c>
      <c r="E1389" s="108" t="s">
        <v>10</v>
      </c>
      <c r="F1389" s="116">
        <v>738</v>
      </c>
      <c r="G1389" s="108" t="s">
        <v>43</v>
      </c>
      <c r="H1389" s="108" t="str">
        <f t="shared" si="124"/>
        <v>Dungeness River</v>
      </c>
      <c r="I1389" s="108" t="str">
        <f>IFERROR(VLOOKUP(H1389,LUTs!$A$1:$C$73,2,FALSE),"NA")</f>
        <v>Clallam</v>
      </c>
      <c r="J1389" s="108" t="str">
        <f>IFERROR(VLOOKUP(H1389,LUTs!$A$1:$C$73,3,FALSE),"NA")</f>
        <v>0Strait of Juan de Fuca</v>
      </c>
      <c r="K1389" s="108" t="s">
        <v>25</v>
      </c>
      <c r="L1389" s="108" t="str">
        <f>VLOOKUP(K1389,LUTs!E$2:G$14,3,)</f>
        <v>12Jefferson</v>
      </c>
      <c r="M1389" s="108" t="str">
        <f>VLOOKUP($K1389,LUTs!$E$2:$H$14,2,)</f>
        <v>Strait of Juan de Fuca</v>
      </c>
      <c r="N1389" s="108" t="str">
        <f>VLOOKUP($K1389,LUTs!$E$2:$H$14,4,)</f>
        <v>03Strait of Juan de Fuca</v>
      </c>
      <c r="O1389" s="108">
        <v>84.744827586206895</v>
      </c>
      <c r="P1389" s="108">
        <v>291.52220689655201</v>
      </c>
      <c r="Q1389" s="108">
        <f>SUMIFS('FW_Salmon_by_Month_2010-2021'!P$2:P$3810,'FW_Salmon_by_Month_2010-2021'!$B$2:$B$3810,'Rec_raw_catch_effort_2010-2021'!$B1389,'FW_Salmon_by_Month_2010-2021'!$H$2:$H$3810,'Rec_raw_catch_effort_2010-2021'!$F1389,'FW_Salmon_by_Month_2010-2021'!$M$2:$M$3810,'Rec_raw_catch_effort_2010-2021'!$K1389)</f>
        <v>84.730696798493398</v>
      </c>
      <c r="R1389" s="109">
        <f>VLOOKUP(B1389,Readme!$A$62:$C$74,2,)*Q1389</f>
        <v>299.86536246081056</v>
      </c>
      <c r="S1389" s="140" t="str">
        <f t="shared" si="125"/>
        <v>N</v>
      </c>
      <c r="T1389" s="154">
        <f t="shared" si="126"/>
        <v>3.4400000000000035</v>
      </c>
      <c r="U1389" s="154">
        <f t="shared" si="127"/>
        <v>3.5390404397824153</v>
      </c>
    </row>
    <row r="1390" spans="1:21" x14ac:dyDescent="0.35">
      <c r="A1390" s="108">
        <v>2777</v>
      </c>
      <c r="B1390" s="108">
        <v>2021</v>
      </c>
      <c r="C1390" s="108" t="s">
        <v>38</v>
      </c>
      <c r="D1390" s="108" t="s">
        <v>143</v>
      </c>
      <c r="E1390" s="108" t="s">
        <v>10</v>
      </c>
      <c r="F1390" s="116">
        <v>738</v>
      </c>
      <c r="G1390" s="108" t="s">
        <v>43</v>
      </c>
      <c r="H1390" s="108" t="str">
        <f t="shared" si="124"/>
        <v>Dungeness River</v>
      </c>
      <c r="I1390" s="108" t="str">
        <f>IFERROR(VLOOKUP(H1390,LUTs!$A$1:$C$73,2,FALSE),"NA")</f>
        <v>Clallam</v>
      </c>
      <c r="J1390" s="108" t="str">
        <f>IFERROR(VLOOKUP(H1390,LUTs!$A$1:$C$73,3,FALSE),"NA")</f>
        <v>0Strait of Juan de Fuca</v>
      </c>
      <c r="K1390" s="108" t="s">
        <v>18</v>
      </c>
      <c r="L1390" s="108" t="str">
        <f>VLOOKUP(K1390,LUTs!E$2:G$14,3,)</f>
        <v>06King</v>
      </c>
      <c r="M1390" s="108" t="str">
        <f>VLOOKUP($K1390,LUTs!$E$2:$H$14,2,)</f>
        <v>South Puget Sound</v>
      </c>
      <c r="N1390" s="108" t="str">
        <f>VLOOKUP($K1390,LUTs!$E$2:$H$14,4,)</f>
        <v>02South Puget Sound</v>
      </c>
      <c r="O1390" s="108">
        <v>296.60689655172399</v>
      </c>
      <c r="P1390" s="108">
        <v>1020.32772413793</v>
      </c>
      <c r="Q1390" s="108">
        <f>SUMIFS('FW_Salmon_by_Month_2010-2021'!P$2:P$3810,'FW_Salmon_by_Month_2010-2021'!$B$2:$B$3810,'Rec_raw_catch_effort_2010-2021'!$B1390,'FW_Salmon_by_Month_2010-2021'!$H$2:$H$3810,'Rec_raw_catch_effort_2010-2021'!$F1390,'FW_Salmon_by_Month_2010-2021'!$M$2:$M$3810,'Rec_raw_catch_effort_2010-2021'!$K1390)</f>
        <v>296.57344632768371</v>
      </c>
      <c r="R1390" s="109">
        <f>VLOOKUP(B1390,Readme!$A$62:$C$74,2,)*Q1390</f>
        <v>1049.5854199193122</v>
      </c>
      <c r="S1390" s="140" t="str">
        <f t="shared" si="125"/>
        <v>N</v>
      </c>
      <c r="T1390" s="154">
        <f t="shared" si="126"/>
        <v>3.4399999999999982</v>
      </c>
      <c r="U1390" s="154">
        <f t="shared" si="127"/>
        <v>3.5390404397824149</v>
      </c>
    </row>
    <row r="1391" spans="1:21" x14ac:dyDescent="0.35">
      <c r="A1391" s="108">
        <v>2780</v>
      </c>
      <c r="B1391" s="108">
        <v>2021</v>
      </c>
      <c r="C1391" s="108" t="s">
        <v>38</v>
      </c>
      <c r="D1391" s="108" t="s">
        <v>143</v>
      </c>
      <c r="E1391" s="108" t="s">
        <v>10</v>
      </c>
      <c r="F1391" s="116">
        <v>738</v>
      </c>
      <c r="G1391" s="108" t="s">
        <v>43</v>
      </c>
      <c r="H1391" s="108" t="str">
        <f t="shared" si="124"/>
        <v>Dungeness River</v>
      </c>
      <c r="I1391" s="108" t="str">
        <f>IFERROR(VLOOKUP(H1391,LUTs!$A$1:$C$73,2,FALSE),"NA")</f>
        <v>Clallam</v>
      </c>
      <c r="J1391" s="108" t="str">
        <f>IFERROR(VLOOKUP(H1391,LUTs!$A$1:$C$73,3,FALSE),"NA")</f>
        <v>0Strait of Juan de Fuca</v>
      </c>
      <c r="K1391" s="108" t="s">
        <v>23</v>
      </c>
      <c r="L1391" s="108" t="str">
        <f>VLOOKUP(K1391,LUTs!E$2:G$14,3,)</f>
        <v>10Kitsap</v>
      </c>
      <c r="M1391" s="108" t="str">
        <f>VLOOKUP($K1391,LUTs!$E$2:$H$14,2,)</f>
        <v>South Puget Sound</v>
      </c>
      <c r="N1391" s="108" t="str">
        <f>VLOOKUP($K1391,LUTs!$E$2:$H$14,4,)</f>
        <v>02South Puget Sound</v>
      </c>
      <c r="O1391" s="108">
        <v>607.33793103448295</v>
      </c>
      <c r="P1391" s="108">
        <v>2089.2424827586201</v>
      </c>
      <c r="Q1391" s="108">
        <f>SUMIFS('FW_Salmon_by_Month_2010-2021'!P$2:P$3810,'FW_Salmon_by_Month_2010-2021'!$B$2:$B$3810,'Rec_raw_catch_effort_2010-2021'!$B1391,'FW_Salmon_by_Month_2010-2021'!$H$2:$H$3810,'Rec_raw_catch_effort_2010-2021'!$F1391,'FW_Salmon_by_Month_2010-2021'!$M$2:$M$3810,'Rec_raw_catch_effort_2010-2021'!$K1391)</f>
        <v>607.4500941619591</v>
      </c>
      <c r="R1391" s="109">
        <f>VLOOKUP(B1391,Readme!$A$62:$C$74,2,)*Q1391</f>
        <v>2149.7904483888092</v>
      </c>
      <c r="S1391" s="140" t="str">
        <f t="shared" si="125"/>
        <v>N</v>
      </c>
      <c r="T1391" s="154">
        <f t="shared" si="126"/>
        <v>3.4399999999999977</v>
      </c>
      <c r="U1391" s="154">
        <f t="shared" si="127"/>
        <v>3.5390404397824149</v>
      </c>
    </row>
    <row r="1392" spans="1:21" x14ac:dyDescent="0.35">
      <c r="A1392" s="108">
        <v>2779</v>
      </c>
      <c r="B1392" s="108">
        <v>2021</v>
      </c>
      <c r="C1392" s="108" t="s">
        <v>38</v>
      </c>
      <c r="D1392" s="108" t="s">
        <v>143</v>
      </c>
      <c r="E1392" s="108" t="s">
        <v>10</v>
      </c>
      <c r="F1392" s="116">
        <v>738</v>
      </c>
      <c r="G1392" s="108" t="s">
        <v>43</v>
      </c>
      <c r="H1392" s="108" t="str">
        <f t="shared" si="124"/>
        <v>Dungeness River</v>
      </c>
      <c r="I1392" s="108" t="str">
        <f>IFERROR(VLOOKUP(H1392,LUTs!$A$1:$C$73,2,FALSE),"NA")</f>
        <v>Clallam</v>
      </c>
      <c r="J1392" s="108" t="str">
        <f>IFERROR(VLOOKUP(H1392,LUTs!$A$1:$C$73,3,FALSE),"NA")</f>
        <v>0Strait of Juan de Fuca</v>
      </c>
      <c r="K1392" s="108" t="s">
        <v>22</v>
      </c>
      <c r="L1392" s="108" t="str">
        <f>VLOOKUP(K1392,LUTs!E$2:G$14,3,)</f>
        <v>09Mason</v>
      </c>
      <c r="M1392" s="108" t="str">
        <f>VLOOKUP($K1392,LUTs!$E$2:$H$14,2,)</f>
        <v>South Puget Sound</v>
      </c>
      <c r="N1392" s="108" t="str">
        <f>VLOOKUP($K1392,LUTs!$E$2:$H$14,4,)</f>
        <v>02South Puget Sound</v>
      </c>
      <c r="O1392" s="108">
        <v>70.620689655172399</v>
      </c>
      <c r="P1392" s="108">
        <v>242.935172413793</v>
      </c>
      <c r="Q1392" s="108">
        <f>SUMIFS('FW_Salmon_by_Month_2010-2021'!P$2:P$3810,'FW_Salmon_by_Month_2010-2021'!$B$2:$B$3810,'Rec_raw_catch_effort_2010-2021'!$B1392,'FW_Salmon_by_Month_2010-2021'!$H$2:$H$3810,'Rec_raw_catch_effort_2010-2021'!$F1392,'FW_Salmon_by_Month_2010-2021'!$M$2:$M$3810,'Rec_raw_catch_effort_2010-2021'!$K1392)</f>
        <v>70.619585687382298</v>
      </c>
      <c r="R1392" s="109">
        <f>VLOOKUP(B1392,Readme!$A$62:$C$74,2,)*Q1392</f>
        <v>249.9255695883254</v>
      </c>
      <c r="S1392" s="140" t="str">
        <f t="shared" si="125"/>
        <v>N</v>
      </c>
      <c r="T1392" s="154">
        <f t="shared" si="126"/>
        <v>3.4399999999999991</v>
      </c>
      <c r="U1392" s="154">
        <f t="shared" si="127"/>
        <v>3.5390404397824153</v>
      </c>
    </row>
    <row r="1393" spans="1:21" x14ac:dyDescent="0.35">
      <c r="A1393" s="108">
        <v>2783</v>
      </c>
      <c r="B1393" s="108">
        <v>2021</v>
      </c>
      <c r="C1393" s="108" t="s">
        <v>38</v>
      </c>
      <c r="D1393" s="108" t="s">
        <v>143</v>
      </c>
      <c r="E1393" s="108" t="s">
        <v>10</v>
      </c>
      <c r="F1393" s="116">
        <v>738</v>
      </c>
      <c r="G1393" s="108" t="s">
        <v>43</v>
      </c>
      <c r="H1393" s="108" t="str">
        <f t="shared" si="124"/>
        <v>Dungeness River</v>
      </c>
      <c r="I1393" s="108" t="str">
        <f>IFERROR(VLOOKUP(H1393,LUTs!$A$1:$C$73,2,FALSE),"NA")</f>
        <v>Clallam</v>
      </c>
      <c r="J1393" s="108" t="str">
        <f>IFERROR(VLOOKUP(H1393,LUTs!$A$1:$C$73,3,FALSE),"NA")</f>
        <v>0Strait of Juan de Fuca</v>
      </c>
      <c r="K1393" s="108" t="s">
        <v>26</v>
      </c>
      <c r="L1393" s="108" t="str">
        <f>VLOOKUP(K1393,LUTs!E$2:G$14,3,)</f>
        <v>20Other</v>
      </c>
      <c r="M1393" s="108" t="str">
        <f>VLOOKUP($K1393,LUTs!$E$2:$H$14,2,)</f>
        <v>Non Puget Sound</v>
      </c>
      <c r="N1393" s="108" t="str">
        <f>VLOOKUP($K1393,LUTs!$E$2:$H$14,4,)</f>
        <v>07Non Puget Sound</v>
      </c>
      <c r="O1393" s="108">
        <v>70.620689655172399</v>
      </c>
      <c r="P1393" s="108">
        <v>242.935172413793</v>
      </c>
      <c r="Q1393" s="108">
        <f>SUMIFS('FW_Salmon_by_Month_2010-2021'!P$2:P$3810,'FW_Salmon_by_Month_2010-2021'!$B$2:$B$3810,'Rec_raw_catch_effort_2010-2021'!$B1393,'FW_Salmon_by_Month_2010-2021'!$H$2:$H$3810,'Rec_raw_catch_effort_2010-2021'!$F1393,'FW_Salmon_by_Month_2010-2021'!$M$2:$M$3810,'Rec_raw_catch_effort_2010-2021'!$K1393)</f>
        <v>70.635593220339004</v>
      </c>
      <c r="R1393" s="109">
        <f>VLOOKUP(B1393,Readme!$A$62:$C$74,2,)*Q1393</f>
        <v>249.98222089480035</v>
      </c>
      <c r="S1393" s="140" t="str">
        <f t="shared" si="125"/>
        <v>N</v>
      </c>
      <c r="T1393" s="154">
        <f t="shared" si="126"/>
        <v>3.4399999999999991</v>
      </c>
      <c r="U1393" s="154">
        <f t="shared" si="127"/>
        <v>3.5390404397824153</v>
      </c>
    </row>
    <row r="1394" spans="1:21" x14ac:dyDescent="0.35">
      <c r="A1394" s="108">
        <v>2778</v>
      </c>
      <c r="B1394" s="108">
        <v>2021</v>
      </c>
      <c r="C1394" s="108" t="s">
        <v>38</v>
      </c>
      <c r="D1394" s="108" t="s">
        <v>143</v>
      </c>
      <c r="E1394" s="108" t="s">
        <v>10</v>
      </c>
      <c r="F1394" s="116">
        <v>738</v>
      </c>
      <c r="G1394" s="108" t="s">
        <v>43</v>
      </c>
      <c r="H1394" s="108" t="str">
        <f t="shared" si="124"/>
        <v>Dungeness River</v>
      </c>
      <c r="I1394" s="108" t="str">
        <f>IFERROR(VLOOKUP(H1394,LUTs!$A$1:$C$73,2,FALSE),"NA")</f>
        <v>Clallam</v>
      </c>
      <c r="J1394" s="108" t="str">
        <f>IFERROR(VLOOKUP(H1394,LUTs!$A$1:$C$73,3,FALSE),"NA")</f>
        <v>0Strait of Juan de Fuca</v>
      </c>
      <c r="K1394" s="108" t="s">
        <v>20</v>
      </c>
      <c r="L1394" s="108" t="str">
        <f>VLOOKUP(K1394,LUTs!E$2:G$14,3,)</f>
        <v>07Pierce</v>
      </c>
      <c r="M1394" s="108" t="str">
        <f>VLOOKUP($K1394,LUTs!$E$2:$H$14,2,)</f>
        <v>South Puget Sound</v>
      </c>
      <c r="N1394" s="108" t="str">
        <f>VLOOKUP($K1394,LUTs!$E$2:$H$14,4,)</f>
        <v>02South Puget Sound</v>
      </c>
      <c r="O1394" s="108">
        <v>42.372413793103497</v>
      </c>
      <c r="P1394" s="108">
        <v>145.761103448276</v>
      </c>
      <c r="Q1394" s="108">
        <f>SUMIFS('FW_Salmon_by_Month_2010-2021'!P$2:P$3810,'FW_Salmon_by_Month_2010-2021'!$B$2:$B$3810,'Rec_raw_catch_effort_2010-2021'!$B1394,'FW_Salmon_by_Month_2010-2021'!$H$2:$H$3810,'Rec_raw_catch_effort_2010-2021'!$F1394,'FW_Salmon_by_Month_2010-2021'!$M$2:$M$3810,'Rec_raw_catch_effort_2010-2021'!$K1394)</f>
        <v>42.3333333333333</v>
      </c>
      <c r="R1394" s="109">
        <f>VLOOKUP(B1394,Readme!$A$62:$C$74,2,)*Q1394</f>
        <v>149.81937861745547</v>
      </c>
      <c r="S1394" s="140" t="str">
        <f t="shared" si="125"/>
        <v>N</v>
      </c>
      <c r="T1394" s="154">
        <f t="shared" si="126"/>
        <v>3.4399999999999995</v>
      </c>
      <c r="U1394" s="154">
        <f t="shared" si="127"/>
        <v>3.5390404397824153</v>
      </c>
    </row>
    <row r="1395" spans="1:21" x14ac:dyDescent="0.35">
      <c r="A1395" s="108">
        <v>1269</v>
      </c>
      <c r="B1395" s="108">
        <v>2010</v>
      </c>
      <c r="C1395" s="108" t="s">
        <v>38</v>
      </c>
      <c r="D1395" s="108" t="s">
        <v>143</v>
      </c>
      <c r="E1395" s="108" t="s">
        <v>10</v>
      </c>
      <c r="F1395" s="116">
        <v>742</v>
      </c>
      <c r="G1395" s="108" t="s">
        <v>44</v>
      </c>
      <c r="H1395" s="108" t="str">
        <f t="shared" si="124"/>
        <v>Elwha River</v>
      </c>
      <c r="I1395" s="108" t="str">
        <f>IFERROR(VLOOKUP(H1395,LUTs!$A$1:$C$73,2,FALSE),"NA")</f>
        <v>Clallam</v>
      </c>
      <c r="J1395" s="108" t="str">
        <f>IFERROR(VLOOKUP(H1395,LUTs!$A$1:$C$73,3,FALSE),"NA")</f>
        <v>0Strait of Juan de Fuca</v>
      </c>
      <c r="K1395" s="108" t="s">
        <v>24</v>
      </c>
      <c r="L1395" s="108" t="str">
        <f>VLOOKUP(K1395,LUTs!E$2:G$14,3,)</f>
        <v>11Clallam</v>
      </c>
      <c r="M1395" s="108" t="str">
        <f>VLOOKUP($K1395,LUTs!$E$2:$H$14,2,)</f>
        <v>Strait of Juan de Fuca</v>
      </c>
      <c r="N1395" s="108" t="str">
        <f>VLOOKUP($K1395,LUTs!$E$2:$H$14,4,)</f>
        <v>03Strait of Juan de Fuca</v>
      </c>
      <c r="O1395" s="108">
        <v>38</v>
      </c>
      <c r="P1395" s="108">
        <v>328.7</v>
      </c>
      <c r="Q1395" s="108">
        <f>SUMIFS('FW_Salmon_by_Month_2010-2021'!P$2:P$3810,'FW_Salmon_by_Month_2010-2021'!$B$2:$B$3810,'Rec_raw_catch_effort_2010-2021'!$B1395,'FW_Salmon_by_Month_2010-2021'!$H$2:$H$3810,'Rec_raw_catch_effort_2010-2021'!$F1395,'FW_Salmon_by_Month_2010-2021'!$M$2:$M$3810,'Rec_raw_catch_effort_2010-2021'!$K1395)</f>
        <v>38</v>
      </c>
      <c r="R1395" s="109">
        <f>VLOOKUP(B1395,Readme!$A$62:$C$74,2,)*Q1395</f>
        <v>183.14308635630192</v>
      </c>
      <c r="S1395" s="140" t="str">
        <f t="shared" si="125"/>
        <v>Y</v>
      </c>
      <c r="T1395" s="154">
        <f t="shared" si="126"/>
        <v>8.65</v>
      </c>
      <c r="U1395" s="154">
        <f t="shared" si="127"/>
        <v>4.8195549041132084</v>
      </c>
    </row>
    <row r="1396" spans="1:21" x14ac:dyDescent="0.35">
      <c r="A1396" s="108">
        <v>1268</v>
      </c>
      <c r="B1396" s="108">
        <v>2010</v>
      </c>
      <c r="C1396" s="108" t="s">
        <v>38</v>
      </c>
      <c r="D1396" s="108" t="s">
        <v>143</v>
      </c>
      <c r="E1396" s="108" t="s">
        <v>10</v>
      </c>
      <c r="F1396" s="116">
        <v>742</v>
      </c>
      <c r="G1396" s="108" t="s">
        <v>44</v>
      </c>
      <c r="H1396" s="108" t="str">
        <f t="shared" si="124"/>
        <v>Elwha River</v>
      </c>
      <c r="I1396" s="108" t="str">
        <f>IFERROR(VLOOKUP(H1396,LUTs!$A$1:$C$73,2,FALSE),"NA")</f>
        <v>Clallam</v>
      </c>
      <c r="J1396" s="108" t="str">
        <f>IFERROR(VLOOKUP(H1396,LUTs!$A$1:$C$73,3,FALSE),"NA")</f>
        <v>0Strait of Juan de Fuca</v>
      </c>
      <c r="K1396" s="108" t="s">
        <v>16</v>
      </c>
      <c r="L1396" s="108" t="str">
        <f>VLOOKUP(K1396,LUTs!E$2:G$14,3,)</f>
        <v>03Snohomish</v>
      </c>
      <c r="M1396" s="108" t="str">
        <f>VLOOKUP($K1396,LUTs!$E$2:$H$14,2,)</f>
        <v>North Puget Sound</v>
      </c>
      <c r="N1396" s="108" t="str">
        <f>VLOOKUP($K1396,LUTs!$E$2:$H$14,4,)</f>
        <v>01North Puget Sound</v>
      </c>
      <c r="O1396" s="108">
        <v>38</v>
      </c>
      <c r="P1396" s="108">
        <v>328.7</v>
      </c>
      <c r="Q1396" s="108">
        <f>SUMIFS('FW_Salmon_by_Month_2010-2021'!P$2:P$3810,'FW_Salmon_by_Month_2010-2021'!$B$2:$B$3810,'Rec_raw_catch_effort_2010-2021'!$B1396,'FW_Salmon_by_Month_2010-2021'!$H$2:$H$3810,'Rec_raw_catch_effort_2010-2021'!$F1396,'FW_Salmon_by_Month_2010-2021'!$M$2:$M$3810,'Rec_raw_catch_effort_2010-2021'!$K1396)</f>
        <v>38</v>
      </c>
      <c r="R1396" s="109">
        <f>VLOOKUP(B1396,Readme!$A$62:$C$74,2,)*Q1396</f>
        <v>183.14308635630192</v>
      </c>
      <c r="S1396" s="140" t="str">
        <f t="shared" si="125"/>
        <v>Y</v>
      </c>
      <c r="T1396" s="154">
        <f t="shared" si="126"/>
        <v>8.65</v>
      </c>
      <c r="U1396" s="154">
        <f t="shared" si="127"/>
        <v>4.8195549041132084</v>
      </c>
    </row>
    <row r="1397" spans="1:21" x14ac:dyDescent="0.35">
      <c r="A1397" s="108">
        <v>1405</v>
      </c>
      <c r="B1397" s="108">
        <v>2011</v>
      </c>
      <c r="C1397" s="108" t="s">
        <v>38</v>
      </c>
      <c r="D1397" s="108" t="s">
        <v>143</v>
      </c>
      <c r="E1397" s="108" t="s">
        <v>10</v>
      </c>
      <c r="F1397" s="116">
        <v>742</v>
      </c>
      <c r="G1397" s="108" t="s">
        <v>44</v>
      </c>
      <c r="H1397" s="108" t="str">
        <f t="shared" si="124"/>
        <v>Elwha River</v>
      </c>
      <c r="I1397" s="108" t="str">
        <f>IFERROR(VLOOKUP(H1397,LUTs!$A$1:$C$73,2,FALSE),"NA")</f>
        <v>Clallam</v>
      </c>
      <c r="J1397" s="108" t="str">
        <f>IFERROR(VLOOKUP(H1397,LUTs!$A$1:$C$73,3,FALSE),"NA")</f>
        <v>0Strait of Juan de Fuca</v>
      </c>
      <c r="K1397" s="108" t="s">
        <v>24</v>
      </c>
      <c r="L1397" s="108" t="str">
        <f>VLOOKUP(K1397,LUTs!E$2:G$14,3,)</f>
        <v>11Clallam</v>
      </c>
      <c r="M1397" s="108" t="str">
        <f>VLOOKUP($K1397,LUTs!$E$2:$H$14,2,)</f>
        <v>Strait of Juan de Fuca</v>
      </c>
      <c r="N1397" s="108" t="str">
        <f>VLOOKUP($K1397,LUTs!$E$2:$H$14,4,)</f>
        <v>03Strait of Juan de Fuca</v>
      </c>
      <c r="O1397" s="108">
        <v>9</v>
      </c>
      <c r="P1397" s="108">
        <v>30.96</v>
      </c>
      <c r="Q1397" s="108">
        <f>SUMIFS('FW_Salmon_by_Month_2010-2021'!P$2:P$3810,'FW_Salmon_by_Month_2010-2021'!$B$2:$B$3810,'Rec_raw_catch_effort_2010-2021'!$B1397,'FW_Salmon_by_Month_2010-2021'!$H$2:$H$3810,'Rec_raw_catch_effort_2010-2021'!$F1397,'FW_Salmon_by_Month_2010-2021'!$M$2:$M$3810,'Rec_raw_catch_effort_2010-2021'!$K1397)</f>
        <v>9</v>
      </c>
      <c r="R1397" s="109">
        <f>VLOOKUP(B1397,Readme!$A$62:$C$74,2,)*Q1397</f>
        <v>31.851363958041738</v>
      </c>
      <c r="S1397" s="140" t="str">
        <f t="shared" si="125"/>
        <v>Y</v>
      </c>
      <c r="T1397" s="154">
        <f t="shared" si="126"/>
        <v>3.44</v>
      </c>
      <c r="U1397" s="154">
        <f t="shared" si="127"/>
        <v>3.5390404397824153</v>
      </c>
    </row>
    <row r="1398" spans="1:21" x14ac:dyDescent="0.35">
      <c r="A1398" s="108">
        <v>2014</v>
      </c>
      <c r="B1398" s="108">
        <v>2010</v>
      </c>
      <c r="C1398" s="108" t="s">
        <v>38</v>
      </c>
      <c r="D1398" s="108" t="s">
        <v>143</v>
      </c>
      <c r="E1398" s="108" t="s">
        <v>10</v>
      </c>
      <c r="F1398" s="116">
        <v>746</v>
      </c>
      <c r="G1398" s="108" t="s">
        <v>45</v>
      </c>
      <c r="H1398" s="108" t="str">
        <f t="shared" si="124"/>
        <v>Green - Duwamish River</v>
      </c>
      <c r="I1398" s="108" t="str">
        <f>IFERROR(VLOOKUP(H1398,LUTs!$A$1:$C$73,2,FALSE),"NA")</f>
        <v>King</v>
      </c>
      <c r="J1398" s="108" t="str">
        <f>IFERROR(VLOOKUP(H1398,LUTs!$A$1:$C$73,3,FALSE),"NA")</f>
        <v>3South Puget Sound</v>
      </c>
      <c r="K1398" s="108" t="s">
        <v>18</v>
      </c>
      <c r="L1398" s="108" t="str">
        <f>VLOOKUP(K1398,LUTs!E$2:G$14,3,)</f>
        <v>06King</v>
      </c>
      <c r="M1398" s="108" t="str">
        <f>VLOOKUP($K1398,LUTs!$E$2:$H$14,2,)</f>
        <v>South Puget Sound</v>
      </c>
      <c r="N1398" s="108" t="str">
        <f>VLOOKUP($K1398,LUTs!$E$2:$H$14,4,)</f>
        <v>02South Puget Sound</v>
      </c>
      <c r="O1398" s="108">
        <v>1258.4315352697099</v>
      </c>
      <c r="P1398" s="108">
        <v>10885.432780083</v>
      </c>
      <c r="Q1398" s="108">
        <f>SUMIFS('FW_Salmon_by_Month_2010-2021'!P$2:P$3810,'FW_Salmon_by_Month_2010-2021'!$B$2:$B$3810,'Rec_raw_catch_effort_2010-2021'!$B1398,'FW_Salmon_by_Month_2010-2021'!$H$2:$H$3810,'Rec_raw_catch_effort_2010-2021'!$F1398,'FW_Salmon_by_Month_2010-2021'!$M$2:$M$3810,'Rec_raw_catch_effort_2010-2021'!$K1398)</f>
        <v>1268.281870853192</v>
      </c>
      <c r="R1398" s="109">
        <f>VLOOKUP(B1398,Readme!$A$62:$C$74,2,)*Q1398</f>
        <v>6112.5541104683762</v>
      </c>
      <c r="S1398" s="140" t="str">
        <f t="shared" si="125"/>
        <v>Y</v>
      </c>
      <c r="T1398" s="154">
        <f t="shared" si="126"/>
        <v>8.6500000000000075</v>
      </c>
      <c r="U1398" s="154">
        <f t="shared" si="127"/>
        <v>4.8195549041132084</v>
      </c>
    </row>
    <row r="1399" spans="1:21" x14ac:dyDescent="0.35">
      <c r="A1399" s="108">
        <v>2017</v>
      </c>
      <c r="B1399" s="108">
        <v>2010</v>
      </c>
      <c r="C1399" s="108" t="s">
        <v>38</v>
      </c>
      <c r="D1399" s="108" t="s">
        <v>143</v>
      </c>
      <c r="E1399" s="108" t="s">
        <v>10</v>
      </c>
      <c r="F1399" s="116">
        <v>746</v>
      </c>
      <c r="G1399" s="108" t="s">
        <v>45</v>
      </c>
      <c r="H1399" s="108" t="str">
        <f t="shared" si="124"/>
        <v>Green - Duwamish River</v>
      </c>
      <c r="I1399" s="108" t="str">
        <f>IFERROR(VLOOKUP(H1399,LUTs!$A$1:$C$73,2,FALSE),"NA")</f>
        <v>King</v>
      </c>
      <c r="J1399" s="108" t="str">
        <f>IFERROR(VLOOKUP(H1399,LUTs!$A$1:$C$73,3,FALSE),"NA")</f>
        <v>3South Puget Sound</v>
      </c>
      <c r="K1399" s="108" t="s">
        <v>26</v>
      </c>
      <c r="L1399" s="108" t="str">
        <f>VLOOKUP(K1399,LUTs!E$2:G$14,3,)</f>
        <v>20Other</v>
      </c>
      <c r="M1399" s="108" t="str">
        <f>VLOOKUP($K1399,LUTs!$E$2:$H$14,2,)</f>
        <v>Non Puget Sound</v>
      </c>
      <c r="N1399" s="108" t="str">
        <f>VLOOKUP($K1399,LUTs!$E$2:$H$14,4,)</f>
        <v>07Non Puget Sound</v>
      </c>
      <c r="O1399" s="108">
        <v>43.394190871369297</v>
      </c>
      <c r="P1399" s="108">
        <v>375.35975103734398</v>
      </c>
      <c r="Q1399" s="108">
        <f>SUMIFS('FW_Salmon_by_Month_2010-2021'!P$2:P$3810,'FW_Salmon_by_Month_2010-2021'!$B$2:$B$3810,'Rec_raw_catch_effort_2010-2021'!$B1399,'FW_Salmon_by_Month_2010-2021'!$H$2:$H$3810,'Rec_raw_catch_effort_2010-2021'!$F1399,'FW_Salmon_by_Month_2010-2021'!$M$2:$M$3810,'Rec_raw_catch_effort_2010-2021'!$K1399)</f>
        <v>37.797289972899804</v>
      </c>
      <c r="R1399" s="109">
        <f>VLOOKUP(B1399,Readme!$A$62:$C$74,2,)*Q1399</f>
        <v>182.16611425107826</v>
      </c>
      <c r="S1399" s="140" t="str">
        <f t="shared" si="125"/>
        <v>Y</v>
      </c>
      <c r="T1399" s="154">
        <f t="shared" si="126"/>
        <v>8.6499999999999897</v>
      </c>
      <c r="U1399" s="154">
        <f t="shared" si="127"/>
        <v>4.8195549041132084</v>
      </c>
    </row>
    <row r="1400" spans="1:21" x14ac:dyDescent="0.35">
      <c r="A1400" s="108">
        <v>2015</v>
      </c>
      <c r="B1400" s="108">
        <v>2010</v>
      </c>
      <c r="C1400" s="108" t="s">
        <v>38</v>
      </c>
      <c r="D1400" s="108" t="s">
        <v>143</v>
      </c>
      <c r="E1400" s="108" t="s">
        <v>10</v>
      </c>
      <c r="F1400" s="116">
        <v>746</v>
      </c>
      <c r="G1400" s="108" t="s">
        <v>45</v>
      </c>
      <c r="H1400" s="108" t="str">
        <f t="shared" si="124"/>
        <v>Green - Duwamish River</v>
      </c>
      <c r="I1400" s="108" t="str">
        <f>IFERROR(VLOOKUP(H1400,LUTs!$A$1:$C$73,2,FALSE),"NA")</f>
        <v>King</v>
      </c>
      <c r="J1400" s="108" t="str">
        <f>IFERROR(VLOOKUP(H1400,LUTs!$A$1:$C$73,3,FALSE),"NA")</f>
        <v>3South Puget Sound</v>
      </c>
      <c r="K1400" s="108" t="s">
        <v>20</v>
      </c>
      <c r="L1400" s="108" t="str">
        <f>VLOOKUP(K1400,LUTs!E$2:G$14,3,)</f>
        <v>07Pierce</v>
      </c>
      <c r="M1400" s="108" t="str">
        <f>VLOOKUP($K1400,LUTs!$E$2:$H$14,2,)</f>
        <v>South Puget Sound</v>
      </c>
      <c r="N1400" s="108" t="str">
        <f>VLOOKUP($K1400,LUTs!$E$2:$H$14,4,)</f>
        <v>02South Puget Sound</v>
      </c>
      <c r="O1400" s="108">
        <v>111.585062240664</v>
      </c>
      <c r="P1400" s="108">
        <v>965.21078838174401</v>
      </c>
      <c r="Q1400" s="108">
        <f>SUMIFS('FW_Salmon_by_Month_2010-2021'!P$2:P$3810,'FW_Salmon_by_Month_2010-2021'!$B$2:$B$3810,'Rec_raw_catch_effort_2010-2021'!$B1400,'FW_Salmon_by_Month_2010-2021'!$H$2:$H$3810,'Rec_raw_catch_effort_2010-2021'!$F1400,'FW_Salmon_by_Month_2010-2021'!$M$2:$M$3810,'Rec_raw_catch_effort_2010-2021'!$K1400)</f>
        <v>106.4730492477339</v>
      </c>
      <c r="R1400" s="109">
        <f>VLOOKUP(B1400,Readme!$A$62:$C$74,2,)*Q1400</f>
        <v>513.15270665780304</v>
      </c>
      <c r="S1400" s="140" t="str">
        <f t="shared" si="125"/>
        <v>Y</v>
      </c>
      <c r="T1400" s="154">
        <f t="shared" si="126"/>
        <v>8.6500000000000039</v>
      </c>
      <c r="U1400" s="154">
        <f t="shared" si="127"/>
        <v>4.8195549041132084</v>
      </c>
    </row>
    <row r="1401" spans="1:21" x14ac:dyDescent="0.35">
      <c r="A1401" s="108">
        <v>1864</v>
      </c>
      <c r="B1401" s="108">
        <v>2010</v>
      </c>
      <c r="C1401" s="108" t="s">
        <v>38</v>
      </c>
      <c r="D1401" s="108" t="s">
        <v>143</v>
      </c>
      <c r="E1401" s="108" t="s">
        <v>10</v>
      </c>
      <c r="F1401" s="116">
        <v>746</v>
      </c>
      <c r="G1401" s="108" t="s">
        <v>45</v>
      </c>
      <c r="H1401" s="108" t="str">
        <f t="shared" si="124"/>
        <v>Green - Duwamish River</v>
      </c>
      <c r="I1401" s="108" t="str">
        <f>IFERROR(VLOOKUP(H1401,LUTs!$A$1:$C$73,2,FALSE),"NA")</f>
        <v>King</v>
      </c>
      <c r="J1401" s="108" t="str">
        <f>IFERROR(VLOOKUP(H1401,LUTs!$A$1:$C$73,3,FALSE),"NA")</f>
        <v>3South Puget Sound</v>
      </c>
      <c r="K1401" s="108" t="s">
        <v>16</v>
      </c>
      <c r="L1401" s="108" t="str">
        <f>VLOOKUP(K1401,LUTs!E$2:G$14,3,)</f>
        <v>03Snohomish</v>
      </c>
      <c r="M1401" s="108" t="str">
        <f>VLOOKUP($K1401,LUTs!$E$2:$H$14,2,)</f>
        <v>North Puget Sound</v>
      </c>
      <c r="N1401" s="108" t="str">
        <f>VLOOKUP($K1401,LUTs!$E$2:$H$14,4,)</f>
        <v>01North Puget Sound</v>
      </c>
      <c r="O1401" s="108">
        <v>43.394190871369297</v>
      </c>
      <c r="P1401" s="108">
        <v>375.35975103734398</v>
      </c>
      <c r="Q1401" s="108">
        <f>SUMIFS('FW_Salmon_by_Month_2010-2021'!P$2:P$3810,'FW_Salmon_by_Month_2010-2021'!$B$2:$B$3810,'Rec_raw_catch_effort_2010-2021'!$B1401,'FW_Salmon_by_Month_2010-2021'!$H$2:$H$3810,'Rec_raw_catch_effort_2010-2021'!$F1401,'FW_Salmon_by_Month_2010-2021'!$M$2:$M$3810,'Rec_raw_catch_effort_2010-2021'!$K1401)</f>
        <v>43.779207550696192</v>
      </c>
      <c r="R1401" s="109">
        <f>VLOOKUP(B1401,Readme!$A$62:$C$74,2,)*Q1401</f>
        <v>210.99629444914783</v>
      </c>
      <c r="S1401" s="140" t="str">
        <f t="shared" si="125"/>
        <v>Y</v>
      </c>
      <c r="T1401" s="154">
        <f t="shared" si="126"/>
        <v>8.6499999999999897</v>
      </c>
      <c r="U1401" s="154">
        <f t="shared" si="127"/>
        <v>4.8195549041132084</v>
      </c>
    </row>
    <row r="1402" spans="1:21" x14ac:dyDescent="0.35">
      <c r="A1402" s="108">
        <v>2016</v>
      </c>
      <c r="B1402" s="108">
        <v>2010</v>
      </c>
      <c r="C1402" s="108" t="s">
        <v>38</v>
      </c>
      <c r="D1402" s="108" t="s">
        <v>143</v>
      </c>
      <c r="E1402" s="108" t="s">
        <v>10</v>
      </c>
      <c r="F1402" s="116">
        <v>746</v>
      </c>
      <c r="G1402" s="108" t="s">
        <v>45</v>
      </c>
      <c r="H1402" s="108" t="str">
        <f t="shared" si="124"/>
        <v>Green - Duwamish River</v>
      </c>
      <c r="I1402" s="108" t="str">
        <f>IFERROR(VLOOKUP(H1402,LUTs!$A$1:$C$73,2,FALSE),"NA")</f>
        <v>King</v>
      </c>
      <c r="J1402" s="108" t="str">
        <f>IFERROR(VLOOKUP(H1402,LUTs!$A$1:$C$73,3,FALSE),"NA")</f>
        <v>3South Puget Sound</v>
      </c>
      <c r="K1402" s="108" t="s">
        <v>21</v>
      </c>
      <c r="L1402" s="108" t="str">
        <f>VLOOKUP(K1402,LUTs!E$2:G$14,3,)</f>
        <v>08Thurston</v>
      </c>
      <c r="M1402" s="108" t="str">
        <f>VLOOKUP($K1402,LUTs!$E$2:$H$14,2,)</f>
        <v>South Puget Sound</v>
      </c>
      <c r="N1402" s="108" t="str">
        <f>VLOOKUP($K1402,LUTs!$E$2:$H$14,4,)</f>
        <v>02South Puget Sound</v>
      </c>
      <c r="O1402" s="108">
        <v>6.1991701244813298</v>
      </c>
      <c r="P1402" s="108">
        <v>53.622821576763499</v>
      </c>
      <c r="Q1402" s="108">
        <f>SUMIFS('FW_Salmon_by_Month_2010-2021'!P$2:P$3810,'FW_Salmon_by_Month_2010-2021'!$B$2:$B$3810,'Rec_raw_catch_effort_2010-2021'!$B1402,'FW_Salmon_by_Month_2010-2021'!$H$2:$H$3810,'Rec_raw_catch_effort_2010-2021'!$F1402,'FW_Salmon_by_Month_2010-2021'!$M$2:$M$3810,'Rec_raw_catch_effort_2010-2021'!$K1402)</f>
        <v>6.2888888888888896</v>
      </c>
      <c r="R1402" s="109">
        <f>VLOOKUP(B1402,Readme!$A$62:$C$74,2,)*Q1402</f>
        <v>30.309645285867514</v>
      </c>
      <c r="S1402" s="140" t="str">
        <f t="shared" si="125"/>
        <v>Y</v>
      </c>
      <c r="T1402" s="154">
        <f t="shared" si="126"/>
        <v>8.65</v>
      </c>
      <c r="U1402" s="154">
        <f t="shared" si="127"/>
        <v>4.8195549041132084</v>
      </c>
    </row>
    <row r="1403" spans="1:21" x14ac:dyDescent="0.35">
      <c r="A1403" s="108">
        <v>1863</v>
      </c>
      <c r="B1403" s="108">
        <v>2010</v>
      </c>
      <c r="C1403" s="108" t="s">
        <v>38</v>
      </c>
      <c r="D1403" s="108" t="s">
        <v>143</v>
      </c>
      <c r="E1403" s="108" t="s">
        <v>10</v>
      </c>
      <c r="F1403" s="116">
        <v>746</v>
      </c>
      <c r="G1403" s="108" t="s">
        <v>45</v>
      </c>
      <c r="H1403" s="108" t="str">
        <f t="shared" si="124"/>
        <v>Green - Duwamish River</v>
      </c>
      <c r="I1403" s="108" t="str">
        <f>IFERROR(VLOOKUP(H1403,LUTs!$A$1:$C$73,2,FALSE),"NA")</f>
        <v>King</v>
      </c>
      <c r="J1403" s="108" t="str">
        <f>IFERROR(VLOOKUP(H1403,LUTs!$A$1:$C$73,3,FALSE),"NA")</f>
        <v>3South Puget Sound</v>
      </c>
      <c r="K1403" s="108" t="s">
        <v>13</v>
      </c>
      <c r="L1403" s="108" t="str">
        <f>VLOOKUP(K1403,LUTs!E$2:G$14,3,)</f>
        <v>01Whatcom</v>
      </c>
      <c r="M1403" s="108" t="str">
        <f>VLOOKUP($K1403,LUTs!$E$2:$H$14,2,)</f>
        <v>North Puget Sound</v>
      </c>
      <c r="N1403" s="108" t="str">
        <f>VLOOKUP($K1403,LUTs!$E$2:$H$14,4,)</f>
        <v>01North Puget Sound</v>
      </c>
      <c r="O1403" s="108">
        <v>30.9958506224066</v>
      </c>
      <c r="P1403" s="108">
        <v>268.11410788381698</v>
      </c>
      <c r="Q1403" s="108">
        <f>SUMIFS('FW_Salmon_by_Month_2010-2021'!P$2:P$3810,'FW_Salmon_by_Month_2010-2021'!$B$2:$B$3810,'Rec_raw_catch_effort_2010-2021'!$B1403,'FW_Salmon_by_Month_2010-2021'!$H$2:$H$3810,'Rec_raw_catch_effort_2010-2021'!$F1403,'FW_Salmon_by_Month_2010-2021'!$M$2:$M$3810,'Rec_raw_catch_effort_2010-2021'!$K1403)</f>
        <v>31.379693486590092</v>
      </c>
      <c r="R1403" s="109">
        <f>VLOOKUP(B1403,Readme!$A$62:$C$74,2,)*Q1403</f>
        <v>151.23615563286458</v>
      </c>
      <c r="S1403" s="140" t="str">
        <f t="shared" si="125"/>
        <v>Y</v>
      </c>
      <c r="T1403" s="154">
        <f t="shared" si="126"/>
        <v>8.6499999999999968</v>
      </c>
      <c r="U1403" s="154">
        <f t="shared" si="127"/>
        <v>4.8195549041132084</v>
      </c>
    </row>
    <row r="1404" spans="1:21" x14ac:dyDescent="0.35">
      <c r="A1404" s="108">
        <v>2158</v>
      </c>
      <c r="B1404" s="108">
        <v>2011</v>
      </c>
      <c r="C1404" s="108" t="s">
        <v>38</v>
      </c>
      <c r="D1404" s="108" t="s">
        <v>143</v>
      </c>
      <c r="E1404" s="108" t="s">
        <v>10</v>
      </c>
      <c r="F1404" s="116">
        <v>746</v>
      </c>
      <c r="G1404" s="108" t="s">
        <v>45</v>
      </c>
      <c r="H1404" s="108" t="str">
        <f t="shared" si="124"/>
        <v>Green - Duwamish River</v>
      </c>
      <c r="I1404" s="108" t="str">
        <f>IFERROR(VLOOKUP(H1404,LUTs!$A$1:$C$73,2,FALSE),"NA")</f>
        <v>King</v>
      </c>
      <c r="J1404" s="108" t="str">
        <f>IFERROR(VLOOKUP(H1404,LUTs!$A$1:$C$73,3,FALSE),"NA")</f>
        <v>3South Puget Sound</v>
      </c>
      <c r="K1404" s="108" t="s">
        <v>17</v>
      </c>
      <c r="L1404" s="108" t="str">
        <f>VLOOKUP(K1404,LUTs!E$2:G$14,3,)</f>
        <v>04Island</v>
      </c>
      <c r="M1404" s="108" t="str">
        <f>VLOOKUP($K1404,LUTs!$E$2:$H$14,2,)</f>
        <v>North Puget Sound</v>
      </c>
      <c r="N1404" s="108" t="str">
        <f>VLOOKUP($K1404,LUTs!$E$2:$H$14,4,)</f>
        <v>01North Puget Sound</v>
      </c>
      <c r="O1404" s="108">
        <v>7.0216635464027801</v>
      </c>
      <c r="P1404" s="108">
        <v>24.154522599625601</v>
      </c>
      <c r="Q1404" s="108">
        <f>SUMIFS('FW_Salmon_by_Month_2010-2021'!P$2:P$3810,'FW_Salmon_by_Month_2010-2021'!$B$2:$B$3810,'Rec_raw_catch_effort_2010-2021'!$B1404,'FW_Salmon_by_Month_2010-2021'!$H$2:$H$3810,'Rec_raw_catch_effort_2010-2021'!$F1404,'FW_Salmon_by_Month_2010-2021'!$M$2:$M$3810,'Rec_raw_catch_effort_2010-2021'!$K1404)</f>
        <v>7.2972304648862503</v>
      </c>
      <c r="R1404" s="109">
        <f>VLOOKUP(B1404,Readme!$A$62:$C$74,2,)*Q1404</f>
        <v>25.825193713644673</v>
      </c>
      <c r="S1404" s="140" t="str">
        <f t="shared" si="125"/>
        <v>Y</v>
      </c>
      <c r="T1404" s="154">
        <f t="shared" si="126"/>
        <v>3.4400000000000053</v>
      </c>
      <c r="U1404" s="154">
        <f t="shared" si="127"/>
        <v>3.5390404397824153</v>
      </c>
    </row>
    <row r="1405" spans="1:21" x14ac:dyDescent="0.35">
      <c r="A1405" s="108">
        <v>2159</v>
      </c>
      <c r="B1405" s="108">
        <v>2011</v>
      </c>
      <c r="C1405" s="108" t="s">
        <v>38</v>
      </c>
      <c r="D1405" s="108" t="s">
        <v>143</v>
      </c>
      <c r="E1405" s="108" t="s">
        <v>10</v>
      </c>
      <c r="F1405" s="116">
        <v>746</v>
      </c>
      <c r="G1405" s="108" t="s">
        <v>45</v>
      </c>
      <c r="H1405" s="108" t="str">
        <f t="shared" si="124"/>
        <v>Green - Duwamish River</v>
      </c>
      <c r="I1405" s="108" t="str">
        <f>IFERROR(VLOOKUP(H1405,LUTs!$A$1:$C$73,2,FALSE),"NA")</f>
        <v>King</v>
      </c>
      <c r="J1405" s="108" t="str">
        <f>IFERROR(VLOOKUP(H1405,LUTs!$A$1:$C$73,3,FALSE),"NA")</f>
        <v>3South Puget Sound</v>
      </c>
      <c r="K1405" s="108" t="s">
        <v>18</v>
      </c>
      <c r="L1405" s="108" t="str">
        <f>VLOOKUP(K1405,LUTs!E$2:G$14,3,)</f>
        <v>06King</v>
      </c>
      <c r="M1405" s="108" t="str">
        <f>VLOOKUP($K1405,LUTs!$E$2:$H$14,2,)</f>
        <v>South Puget Sound</v>
      </c>
      <c r="N1405" s="108" t="str">
        <f>VLOOKUP($K1405,LUTs!$E$2:$H$14,4,)</f>
        <v>02South Puget Sound</v>
      </c>
      <c r="O1405" s="108">
        <v>21633.745386466999</v>
      </c>
      <c r="P1405" s="108">
        <v>74420.084129446506</v>
      </c>
      <c r="Q1405" s="108">
        <f>SUMIFS('FW_Salmon_by_Month_2010-2021'!P$2:P$3810,'FW_Salmon_by_Month_2010-2021'!$B$2:$B$3810,'Rec_raw_catch_effort_2010-2021'!$B1405,'FW_Salmon_by_Month_2010-2021'!$H$2:$H$3810,'Rec_raw_catch_effort_2010-2021'!$F1405,'FW_Salmon_by_Month_2010-2021'!$M$2:$M$3810,'Rec_raw_catch_effort_2010-2021'!$K1405)</f>
        <v>21789.878532169427</v>
      </c>
      <c r="R1405" s="109">
        <f>VLOOKUP(B1405,Readme!$A$62:$C$74,2,)*Q1405</f>
        <v>77115.261303294305</v>
      </c>
      <c r="S1405" s="140" t="str">
        <f t="shared" si="125"/>
        <v>Y</v>
      </c>
      <c r="T1405" s="154">
        <f t="shared" si="126"/>
        <v>3.4400000000000013</v>
      </c>
      <c r="U1405" s="154">
        <f t="shared" si="127"/>
        <v>3.5390404397824158</v>
      </c>
    </row>
    <row r="1406" spans="1:21" x14ac:dyDescent="0.35">
      <c r="A1406" s="108">
        <v>2162</v>
      </c>
      <c r="B1406" s="108">
        <v>2011</v>
      </c>
      <c r="C1406" s="108" t="s">
        <v>38</v>
      </c>
      <c r="D1406" s="108" t="s">
        <v>143</v>
      </c>
      <c r="E1406" s="108" t="s">
        <v>10</v>
      </c>
      <c r="F1406" s="116">
        <v>746</v>
      </c>
      <c r="G1406" s="108" t="s">
        <v>45</v>
      </c>
      <c r="H1406" s="108" t="str">
        <f t="shared" si="124"/>
        <v>Green - Duwamish River</v>
      </c>
      <c r="I1406" s="108" t="str">
        <f>IFERROR(VLOOKUP(H1406,LUTs!$A$1:$C$73,2,FALSE),"NA")</f>
        <v>King</v>
      </c>
      <c r="J1406" s="108" t="str">
        <f>IFERROR(VLOOKUP(H1406,LUTs!$A$1:$C$73,3,FALSE),"NA")</f>
        <v>3South Puget Sound</v>
      </c>
      <c r="K1406" s="108" t="s">
        <v>23</v>
      </c>
      <c r="L1406" s="108" t="str">
        <f>VLOOKUP(K1406,LUTs!E$2:G$14,3,)</f>
        <v>10Kitsap</v>
      </c>
      <c r="M1406" s="108" t="str">
        <f>VLOOKUP($K1406,LUTs!$E$2:$H$14,2,)</f>
        <v>South Puget Sound</v>
      </c>
      <c r="N1406" s="108" t="str">
        <f>VLOOKUP($K1406,LUTs!$E$2:$H$14,4,)</f>
        <v>02South Puget Sound</v>
      </c>
      <c r="O1406" s="108">
        <v>112.34661674244499</v>
      </c>
      <c r="P1406" s="108">
        <v>386.47236159401098</v>
      </c>
      <c r="Q1406" s="108">
        <f>SUMIFS('FW_Salmon_by_Month_2010-2021'!P$2:P$3810,'FW_Salmon_by_Month_2010-2021'!$B$2:$B$3810,'Rec_raw_catch_effort_2010-2021'!$B1406,'FW_Salmon_by_Month_2010-2021'!$H$2:$H$3810,'Rec_raw_catch_effort_2010-2021'!$F1406,'FW_Salmon_by_Month_2010-2021'!$M$2:$M$3810,'Rec_raw_catch_effort_2010-2021'!$K1406)</f>
        <v>109.33974041680381</v>
      </c>
      <c r="R1406" s="109">
        <f>VLOOKUP(B1406,Readme!$A$62:$C$74,2,)*Q1406</f>
        <v>386.95776301038046</v>
      </c>
      <c r="S1406" s="140" t="str">
        <f t="shared" si="125"/>
        <v>Y</v>
      </c>
      <c r="T1406" s="154">
        <f t="shared" si="126"/>
        <v>3.4400000000000017</v>
      </c>
      <c r="U1406" s="154">
        <f t="shared" si="127"/>
        <v>3.5390404397824153</v>
      </c>
    </row>
    <row r="1407" spans="1:21" x14ac:dyDescent="0.35">
      <c r="A1407" s="108">
        <v>2163</v>
      </c>
      <c r="B1407" s="108">
        <v>2011</v>
      </c>
      <c r="C1407" s="108" t="s">
        <v>38</v>
      </c>
      <c r="D1407" s="108" t="s">
        <v>143</v>
      </c>
      <c r="E1407" s="108" t="s">
        <v>10</v>
      </c>
      <c r="F1407" s="116">
        <v>746</v>
      </c>
      <c r="G1407" s="108" t="s">
        <v>45</v>
      </c>
      <c r="H1407" s="108" t="str">
        <f t="shared" si="124"/>
        <v>Green - Duwamish River</v>
      </c>
      <c r="I1407" s="108" t="str">
        <f>IFERROR(VLOOKUP(H1407,LUTs!$A$1:$C$73,2,FALSE),"NA")</f>
        <v>King</v>
      </c>
      <c r="J1407" s="108" t="str">
        <f>IFERROR(VLOOKUP(H1407,LUTs!$A$1:$C$73,3,FALSE),"NA")</f>
        <v>3South Puget Sound</v>
      </c>
      <c r="K1407" s="108" t="s">
        <v>26</v>
      </c>
      <c r="L1407" s="108" t="str">
        <f>VLOOKUP(K1407,LUTs!E$2:G$14,3,)</f>
        <v>20Other</v>
      </c>
      <c r="M1407" s="108" t="str">
        <f>VLOOKUP($K1407,LUTs!$E$2:$H$14,2,)</f>
        <v>Non Puget Sound</v>
      </c>
      <c r="N1407" s="108" t="str">
        <f>VLOOKUP($K1407,LUTs!$E$2:$H$14,4,)</f>
        <v>07Non Puget Sound</v>
      </c>
      <c r="O1407" s="108">
        <v>1074.31452259963</v>
      </c>
      <c r="P1407" s="108">
        <v>3695.64195774273</v>
      </c>
      <c r="Q1407" s="108">
        <f>SUMIFS('FW_Salmon_by_Month_2010-2021'!P$2:P$3810,'FW_Salmon_by_Month_2010-2021'!$B$2:$B$3810,'Rec_raw_catch_effort_2010-2021'!$B1407,'FW_Salmon_by_Month_2010-2021'!$H$2:$H$3810,'Rec_raw_catch_effort_2010-2021'!$F1407,'FW_Salmon_by_Month_2010-2021'!$M$2:$M$3810,'Rec_raw_catch_effort_2010-2021'!$K1407)</f>
        <v>1100.4822963765787</v>
      </c>
      <c r="R1407" s="109">
        <f>VLOOKUP(B1407,Readme!$A$62:$C$74,2,)*Q1407</f>
        <v>3894.6513501413292</v>
      </c>
      <c r="S1407" s="140" t="str">
        <f t="shared" si="125"/>
        <v>Y</v>
      </c>
      <c r="T1407" s="154">
        <f t="shared" si="126"/>
        <v>3.4400000000000026</v>
      </c>
      <c r="U1407" s="154">
        <f t="shared" si="127"/>
        <v>3.5390404397824153</v>
      </c>
    </row>
    <row r="1408" spans="1:21" x14ac:dyDescent="0.35">
      <c r="A1408" s="108">
        <v>2160</v>
      </c>
      <c r="B1408" s="108">
        <v>2011</v>
      </c>
      <c r="C1408" s="108" t="s">
        <v>38</v>
      </c>
      <c r="D1408" s="108" t="s">
        <v>143</v>
      </c>
      <c r="E1408" s="108" t="s">
        <v>10</v>
      </c>
      <c r="F1408" s="116">
        <v>746</v>
      </c>
      <c r="G1408" s="108" t="s">
        <v>45</v>
      </c>
      <c r="H1408" s="108" t="str">
        <f t="shared" si="124"/>
        <v>Green - Duwamish River</v>
      </c>
      <c r="I1408" s="108" t="str">
        <f>IFERROR(VLOOKUP(H1408,LUTs!$A$1:$C$73,2,FALSE),"NA")</f>
        <v>King</v>
      </c>
      <c r="J1408" s="108" t="str">
        <f>IFERROR(VLOOKUP(H1408,LUTs!$A$1:$C$73,3,FALSE),"NA")</f>
        <v>3South Puget Sound</v>
      </c>
      <c r="K1408" s="108" t="s">
        <v>20</v>
      </c>
      <c r="L1408" s="108" t="str">
        <f>VLOOKUP(K1408,LUTs!E$2:G$14,3,)</f>
        <v>07Pierce</v>
      </c>
      <c r="M1408" s="108" t="str">
        <f>VLOOKUP($K1408,LUTs!$E$2:$H$14,2,)</f>
        <v>South Puget Sound</v>
      </c>
      <c r="N1408" s="108" t="str">
        <f>VLOOKUP($K1408,LUTs!$E$2:$H$14,4,)</f>
        <v>02South Puget Sound</v>
      </c>
      <c r="O1408" s="108">
        <v>2478.6472318801798</v>
      </c>
      <c r="P1408" s="108">
        <v>8526.54647766782</v>
      </c>
      <c r="Q1408" s="108">
        <f>SUMIFS('FW_Salmon_by_Month_2010-2021'!P$2:P$3810,'FW_Salmon_by_Month_2010-2021'!$B$2:$B$3810,'Rec_raw_catch_effort_2010-2021'!$B1408,'FW_Salmon_by_Month_2010-2021'!$H$2:$H$3810,'Rec_raw_catch_effort_2010-2021'!$F1408,'FW_Salmon_by_Month_2010-2021'!$M$2:$M$3810,'Rec_raw_catch_effort_2010-2021'!$K1408)</f>
        <v>2277.2059773627934</v>
      </c>
      <c r="R1408" s="109">
        <f>VLOOKUP(B1408,Readme!$A$62:$C$74,2,)*Q1408</f>
        <v>8059.1240436011658</v>
      </c>
      <c r="S1408" s="140" t="str">
        <f t="shared" si="125"/>
        <v>Y</v>
      </c>
      <c r="T1408" s="154">
        <f t="shared" si="126"/>
        <v>3.4400000000000008</v>
      </c>
      <c r="U1408" s="154">
        <f t="shared" si="127"/>
        <v>3.5390404397824153</v>
      </c>
    </row>
    <row r="1409" spans="1:21" x14ac:dyDescent="0.35">
      <c r="A1409" s="108">
        <v>2156</v>
      </c>
      <c r="B1409" s="108">
        <v>2011</v>
      </c>
      <c r="C1409" s="108" t="s">
        <v>38</v>
      </c>
      <c r="D1409" s="108" t="s">
        <v>143</v>
      </c>
      <c r="E1409" s="108" t="s">
        <v>10</v>
      </c>
      <c r="F1409" s="116">
        <v>746</v>
      </c>
      <c r="G1409" s="108" t="s">
        <v>45</v>
      </c>
      <c r="H1409" s="108" t="str">
        <f t="shared" si="124"/>
        <v>Green - Duwamish River</v>
      </c>
      <c r="I1409" s="108" t="str">
        <f>IFERROR(VLOOKUP(H1409,LUTs!$A$1:$C$73,2,FALSE),"NA")</f>
        <v>King</v>
      </c>
      <c r="J1409" s="108" t="str">
        <f>IFERROR(VLOOKUP(H1409,LUTs!$A$1:$C$73,3,FALSE),"NA")</f>
        <v>3South Puget Sound</v>
      </c>
      <c r="K1409" s="108" t="s">
        <v>15</v>
      </c>
      <c r="L1409" s="108" t="str">
        <f>VLOOKUP(K1409,LUTs!E$2:G$14,3,)</f>
        <v>02Skagit</v>
      </c>
      <c r="M1409" s="108" t="str">
        <f>VLOOKUP($K1409,LUTs!$E$2:$H$14,2,)</f>
        <v>North Puget Sound</v>
      </c>
      <c r="N1409" s="108" t="str">
        <f>VLOOKUP($K1409,LUTs!$E$2:$H$14,4,)</f>
        <v>01North Puget Sound</v>
      </c>
      <c r="O1409" s="108">
        <v>14.043327092805599</v>
      </c>
      <c r="P1409" s="108">
        <v>48.309045199251301</v>
      </c>
      <c r="Q1409" s="108">
        <f>SUMIFS('FW_Salmon_by_Month_2010-2021'!P$2:P$3810,'FW_Salmon_by_Month_2010-2021'!$B$2:$B$3810,'Rec_raw_catch_effort_2010-2021'!$B1409,'FW_Salmon_by_Month_2010-2021'!$H$2:$H$3810,'Rec_raw_catch_effort_2010-2021'!$F1409,'FW_Salmon_by_Month_2010-2021'!$M$2:$M$3810,'Rec_raw_catch_effort_2010-2021'!$K1409)</f>
        <v>14.594460929772501</v>
      </c>
      <c r="R1409" s="109">
        <f>VLOOKUP(B1409,Readme!$A$62:$C$74,2,)*Q1409</f>
        <v>51.650387427289346</v>
      </c>
      <c r="S1409" s="140" t="str">
        <f t="shared" si="125"/>
        <v>Y</v>
      </c>
      <c r="T1409" s="154">
        <f t="shared" si="126"/>
        <v>3.4400000000000026</v>
      </c>
      <c r="U1409" s="154">
        <f t="shared" si="127"/>
        <v>3.5390404397824153</v>
      </c>
    </row>
    <row r="1410" spans="1:21" x14ac:dyDescent="0.35">
      <c r="A1410" s="108">
        <v>2157</v>
      </c>
      <c r="B1410" s="108">
        <v>2011</v>
      </c>
      <c r="C1410" s="108" t="s">
        <v>38</v>
      </c>
      <c r="D1410" s="108" t="s">
        <v>143</v>
      </c>
      <c r="E1410" s="108" t="s">
        <v>10</v>
      </c>
      <c r="F1410" s="116">
        <v>746</v>
      </c>
      <c r="G1410" s="108" t="s">
        <v>45</v>
      </c>
      <c r="H1410" s="108" t="str">
        <f t="shared" ref="H1410:H1473" si="128">G1410</f>
        <v>Green - Duwamish River</v>
      </c>
      <c r="I1410" s="108" t="str">
        <f>IFERROR(VLOOKUP(H1410,LUTs!$A$1:$C$73,2,FALSE),"NA")</f>
        <v>King</v>
      </c>
      <c r="J1410" s="108" t="str">
        <f>IFERROR(VLOOKUP(H1410,LUTs!$A$1:$C$73,3,FALSE),"NA")</f>
        <v>3South Puget Sound</v>
      </c>
      <c r="K1410" s="108" t="s">
        <v>16</v>
      </c>
      <c r="L1410" s="108" t="str">
        <f>VLOOKUP(K1410,LUTs!E$2:G$14,3,)</f>
        <v>03Snohomish</v>
      </c>
      <c r="M1410" s="108" t="str">
        <f>VLOOKUP($K1410,LUTs!$E$2:$H$14,2,)</f>
        <v>North Puget Sound</v>
      </c>
      <c r="N1410" s="108" t="str">
        <f>VLOOKUP($K1410,LUTs!$E$2:$H$14,4,)</f>
        <v>01North Puget Sound</v>
      </c>
      <c r="O1410" s="108">
        <v>891.75127039315305</v>
      </c>
      <c r="P1410" s="108">
        <v>3067.62437015245</v>
      </c>
      <c r="Q1410" s="108">
        <f>SUMIFS('FW_Salmon_by_Month_2010-2021'!P$2:P$3810,'FW_Salmon_by_Month_2010-2021'!$B$2:$B$3810,'Rec_raw_catch_effort_2010-2021'!$B1410,'FW_Salmon_by_Month_2010-2021'!$H$2:$H$3810,'Rec_raw_catch_effort_2010-2021'!$F1410,'FW_Salmon_by_Month_2010-2021'!$M$2:$M$3810,'Rec_raw_catch_effort_2010-2021'!$K1410)</f>
        <v>918.71560995531206</v>
      </c>
      <c r="R1410" s="109">
        <f>VLOOKUP(B1410,Readme!$A$62:$C$74,2,)*Q1410</f>
        <v>3251.3716962912176</v>
      </c>
      <c r="S1410" s="140" t="str">
        <f t="shared" si="125"/>
        <v>Y</v>
      </c>
      <c r="T1410" s="154">
        <f t="shared" si="126"/>
        <v>3.4400000000000039</v>
      </c>
      <c r="U1410" s="154">
        <f t="shared" si="127"/>
        <v>3.5390404397824153</v>
      </c>
    </row>
    <row r="1411" spans="1:21" x14ac:dyDescent="0.35">
      <c r="A1411" s="108">
        <v>2161</v>
      </c>
      <c r="B1411" s="108">
        <v>2011</v>
      </c>
      <c r="C1411" s="108" t="s">
        <v>38</v>
      </c>
      <c r="D1411" s="108" t="s">
        <v>143</v>
      </c>
      <c r="E1411" s="108" t="s">
        <v>10</v>
      </c>
      <c r="F1411" s="116">
        <v>746</v>
      </c>
      <c r="G1411" s="108" t="s">
        <v>45</v>
      </c>
      <c r="H1411" s="108" t="str">
        <f t="shared" si="128"/>
        <v>Green - Duwamish River</v>
      </c>
      <c r="I1411" s="108" t="str">
        <f>IFERROR(VLOOKUP(H1411,LUTs!$A$1:$C$73,2,FALSE),"NA")</f>
        <v>King</v>
      </c>
      <c r="J1411" s="108" t="str">
        <f>IFERROR(VLOOKUP(H1411,LUTs!$A$1:$C$73,3,FALSE),"NA")</f>
        <v>3South Puget Sound</v>
      </c>
      <c r="K1411" s="108" t="s">
        <v>21</v>
      </c>
      <c r="L1411" s="108" t="str">
        <f>VLOOKUP(K1411,LUTs!E$2:G$14,3,)</f>
        <v>08Thurston</v>
      </c>
      <c r="M1411" s="108" t="str">
        <f>VLOOKUP($K1411,LUTs!$E$2:$H$14,2,)</f>
        <v>South Puget Sound</v>
      </c>
      <c r="N1411" s="108" t="str">
        <f>VLOOKUP($K1411,LUTs!$E$2:$H$14,4,)</f>
        <v>02South Puget Sound</v>
      </c>
      <c r="O1411" s="108">
        <v>7.0216635464027801</v>
      </c>
      <c r="P1411" s="108">
        <v>24.154522599625601</v>
      </c>
      <c r="Q1411" s="108">
        <f>SUMIFS('FW_Salmon_by_Month_2010-2021'!P$2:P$3810,'FW_Salmon_by_Month_2010-2021'!$B$2:$B$3810,'Rec_raw_catch_effort_2010-2021'!$B1411,'FW_Salmon_by_Month_2010-2021'!$H$2:$H$3810,'Rec_raw_catch_effort_2010-2021'!$F1411,'FW_Salmon_by_Month_2010-2021'!$M$2:$M$3810,'Rec_raw_catch_effort_2010-2021'!$K1411)</f>
        <v>0</v>
      </c>
      <c r="R1411" s="109">
        <f>VLOOKUP(B1411,Readme!$A$62:$C$74,2,)*Q1411</f>
        <v>0</v>
      </c>
      <c r="S1411" s="140" t="str">
        <f t="shared" ref="S1411:S1474" si="129">IF(B1411&lt;=2019,"Y","N")</f>
        <v>Y</v>
      </c>
      <c r="T1411" s="154">
        <f t="shared" ref="T1411:T1474" si="130">IFERROR(P1411/O1411,"NA")</f>
        <v>3.4400000000000053</v>
      </c>
      <c r="U1411" s="154" t="str">
        <f t="shared" ref="U1411:U1474" si="131">IFERROR(R1411/Q1411,"NA")</f>
        <v>NA</v>
      </c>
    </row>
    <row r="1412" spans="1:21" x14ac:dyDescent="0.35">
      <c r="A1412" s="108">
        <v>2022</v>
      </c>
      <c r="B1412" s="108">
        <v>2011</v>
      </c>
      <c r="C1412" s="108" t="s">
        <v>38</v>
      </c>
      <c r="D1412" s="108" t="s">
        <v>143</v>
      </c>
      <c r="E1412" s="108" t="s">
        <v>10</v>
      </c>
      <c r="F1412" s="116">
        <v>746</v>
      </c>
      <c r="G1412" s="108" t="s">
        <v>45</v>
      </c>
      <c r="H1412" s="108" t="str">
        <f t="shared" si="128"/>
        <v>Green - Duwamish River</v>
      </c>
      <c r="I1412" s="108" t="str">
        <f>IFERROR(VLOOKUP(H1412,LUTs!$A$1:$C$73,2,FALSE),"NA")</f>
        <v>King</v>
      </c>
      <c r="J1412" s="108" t="str">
        <f>IFERROR(VLOOKUP(H1412,LUTs!$A$1:$C$73,3,FALSE),"NA")</f>
        <v>3South Puget Sound</v>
      </c>
      <c r="K1412" s="108" t="s">
        <v>13</v>
      </c>
      <c r="L1412" s="108" t="str">
        <f>VLOOKUP(K1412,LUTs!E$2:G$14,3,)</f>
        <v>01Whatcom</v>
      </c>
      <c r="M1412" s="108" t="str">
        <f>VLOOKUP($K1412,LUTs!$E$2:$H$14,2,)</f>
        <v>North Puget Sound</v>
      </c>
      <c r="N1412" s="108" t="str">
        <f>VLOOKUP($K1412,LUTs!$E$2:$H$14,4,)</f>
        <v>01North Puget Sound</v>
      </c>
      <c r="O1412" s="108">
        <v>35.108317732013901</v>
      </c>
      <c r="P1412" s="108">
        <v>120.772612998128</v>
      </c>
      <c r="Q1412" s="108">
        <f>SUMIFS('FW_Salmon_by_Month_2010-2021'!P$2:P$3810,'FW_Salmon_by_Month_2010-2021'!$B$2:$B$3810,'Rec_raw_catch_effort_2010-2021'!$B1412,'FW_Salmon_by_Month_2010-2021'!$H$2:$H$3810,'Rec_raw_catch_effort_2010-2021'!$F1412,'FW_Salmon_by_Month_2010-2021'!$M$2:$M$3810,'Rec_raw_catch_effort_2010-2021'!$K1412)</f>
        <v>36.486152324431302</v>
      </c>
      <c r="R1412" s="109">
        <f>VLOOKUP(B1412,Readme!$A$62:$C$74,2,)*Q1412</f>
        <v>129.12596856822356</v>
      </c>
      <c r="S1412" s="140" t="str">
        <f t="shared" si="129"/>
        <v>Y</v>
      </c>
      <c r="T1412" s="154">
        <f t="shared" si="130"/>
        <v>3.4400000000000048</v>
      </c>
      <c r="U1412" s="154">
        <f t="shared" si="131"/>
        <v>3.5390404397824153</v>
      </c>
    </row>
    <row r="1413" spans="1:21" x14ac:dyDescent="0.35">
      <c r="A1413" s="108">
        <v>2708</v>
      </c>
      <c r="B1413" s="108">
        <v>2012</v>
      </c>
      <c r="C1413" s="108" t="s">
        <v>38</v>
      </c>
      <c r="D1413" s="108" t="s">
        <v>143</v>
      </c>
      <c r="E1413" s="108" t="s">
        <v>10</v>
      </c>
      <c r="F1413" s="116">
        <v>746</v>
      </c>
      <c r="G1413" s="108" t="s">
        <v>45</v>
      </c>
      <c r="H1413" s="108" t="str">
        <f t="shared" si="128"/>
        <v>Green - Duwamish River</v>
      </c>
      <c r="I1413" s="108" t="str">
        <f>IFERROR(VLOOKUP(H1413,LUTs!$A$1:$C$73,2,FALSE),"NA")</f>
        <v>King</v>
      </c>
      <c r="J1413" s="108" t="str">
        <f>IFERROR(VLOOKUP(H1413,LUTs!$A$1:$C$73,3,FALSE),"NA")</f>
        <v>3South Puget Sound</v>
      </c>
      <c r="K1413" s="108" t="s">
        <v>24</v>
      </c>
      <c r="L1413" s="108" t="str">
        <f>VLOOKUP(K1413,LUTs!E$2:G$14,3,)</f>
        <v>11Clallam</v>
      </c>
      <c r="M1413" s="108" t="str">
        <f>VLOOKUP($K1413,LUTs!$E$2:$H$14,2,)</f>
        <v>Strait of Juan de Fuca</v>
      </c>
      <c r="N1413" s="108" t="str">
        <f>VLOOKUP($K1413,LUTs!$E$2:$H$14,4,)</f>
        <v>03Strait of Juan de Fuca</v>
      </c>
      <c r="O1413" s="108">
        <v>13.379825653798299</v>
      </c>
      <c r="P1413" s="108">
        <v>115.735491905355</v>
      </c>
      <c r="Q1413" s="108">
        <f>SUMIFS('FW_Salmon_by_Month_2010-2021'!P$2:P$3810,'FW_Salmon_by_Month_2010-2021'!$B$2:$B$3810,'Rec_raw_catch_effort_2010-2021'!$B1413,'FW_Salmon_by_Month_2010-2021'!$H$2:$H$3810,'Rec_raw_catch_effort_2010-2021'!$F1413,'FW_Salmon_by_Month_2010-2021'!$M$2:$M$3810,'Rec_raw_catch_effort_2010-2021'!$K1413)</f>
        <v>13.535353535353501</v>
      </c>
      <c r="R1413" s="109">
        <f>VLOOKUP(B1413,Readme!$A$62:$C$74,2,)*Q1413</f>
        <v>65.234379510219014</v>
      </c>
      <c r="S1413" s="140" t="str">
        <f t="shared" si="129"/>
        <v>Y</v>
      </c>
      <c r="T1413" s="154">
        <f t="shared" si="130"/>
        <v>8.649999999999979</v>
      </c>
      <c r="U1413" s="154">
        <f t="shared" si="131"/>
        <v>4.8195549041132084</v>
      </c>
    </row>
    <row r="1414" spans="1:21" x14ac:dyDescent="0.35">
      <c r="A1414" s="108">
        <v>2704</v>
      </c>
      <c r="B1414" s="108">
        <v>2012</v>
      </c>
      <c r="C1414" s="108" t="s">
        <v>38</v>
      </c>
      <c r="D1414" s="108" t="s">
        <v>143</v>
      </c>
      <c r="E1414" s="108" t="s">
        <v>10</v>
      </c>
      <c r="F1414" s="116">
        <v>746</v>
      </c>
      <c r="G1414" s="108" t="s">
        <v>45</v>
      </c>
      <c r="H1414" s="108" t="str">
        <f t="shared" si="128"/>
        <v>Green - Duwamish River</v>
      </c>
      <c r="I1414" s="108" t="str">
        <f>IFERROR(VLOOKUP(H1414,LUTs!$A$1:$C$73,2,FALSE),"NA")</f>
        <v>King</v>
      </c>
      <c r="J1414" s="108" t="str">
        <f>IFERROR(VLOOKUP(H1414,LUTs!$A$1:$C$73,3,FALSE),"NA")</f>
        <v>3South Puget Sound</v>
      </c>
      <c r="K1414" s="108" t="s">
        <v>18</v>
      </c>
      <c r="L1414" s="108" t="str">
        <f>VLOOKUP(K1414,LUTs!E$2:G$14,3,)</f>
        <v>06King</v>
      </c>
      <c r="M1414" s="108" t="str">
        <f>VLOOKUP($K1414,LUTs!$E$2:$H$14,2,)</f>
        <v>South Puget Sound</v>
      </c>
      <c r="N1414" s="108" t="str">
        <f>VLOOKUP($K1414,LUTs!$E$2:$H$14,4,)</f>
        <v>02South Puget Sound</v>
      </c>
      <c r="O1414" s="108">
        <v>4569.2104607721003</v>
      </c>
      <c r="P1414" s="108">
        <v>39523.670485678696</v>
      </c>
      <c r="Q1414" s="108">
        <f>SUMIFS('FW_Salmon_by_Month_2010-2021'!P$2:P$3810,'FW_Salmon_by_Month_2010-2021'!$B$2:$B$3810,'Rec_raw_catch_effort_2010-2021'!$B1414,'FW_Salmon_by_Month_2010-2021'!$H$2:$H$3810,'Rec_raw_catch_effort_2010-2021'!$F1414,'FW_Salmon_by_Month_2010-2021'!$M$2:$M$3810,'Rec_raw_catch_effort_2010-2021'!$K1414)</f>
        <v>4566.8381457843188</v>
      </c>
      <c r="R1414" s="109">
        <f>VLOOKUP(B1414,Readme!$A$62:$C$74,2,)*Q1414</f>
        <v>22010.127181806085</v>
      </c>
      <c r="S1414" s="140" t="str">
        <f t="shared" si="129"/>
        <v>Y</v>
      </c>
      <c r="T1414" s="154">
        <f t="shared" si="130"/>
        <v>8.6500000000000057</v>
      </c>
      <c r="U1414" s="154">
        <f t="shared" si="131"/>
        <v>4.8195549041132084</v>
      </c>
    </row>
    <row r="1415" spans="1:21" x14ac:dyDescent="0.35">
      <c r="A1415" s="108">
        <v>2707</v>
      </c>
      <c r="B1415" s="108">
        <v>2012</v>
      </c>
      <c r="C1415" s="108" t="s">
        <v>38</v>
      </c>
      <c r="D1415" s="108" t="s">
        <v>143</v>
      </c>
      <c r="E1415" s="108" t="s">
        <v>10</v>
      </c>
      <c r="F1415" s="116">
        <v>746</v>
      </c>
      <c r="G1415" s="108" t="s">
        <v>45</v>
      </c>
      <c r="H1415" s="108" t="str">
        <f t="shared" si="128"/>
        <v>Green - Duwamish River</v>
      </c>
      <c r="I1415" s="108" t="str">
        <f>IFERROR(VLOOKUP(H1415,LUTs!$A$1:$C$73,2,FALSE),"NA")</f>
        <v>King</v>
      </c>
      <c r="J1415" s="108" t="str">
        <f>IFERROR(VLOOKUP(H1415,LUTs!$A$1:$C$73,3,FALSE),"NA")</f>
        <v>3South Puget Sound</v>
      </c>
      <c r="K1415" s="108" t="s">
        <v>22</v>
      </c>
      <c r="L1415" s="108" t="str">
        <f>VLOOKUP(K1415,LUTs!E$2:G$14,3,)</f>
        <v>09Mason</v>
      </c>
      <c r="M1415" s="108" t="str">
        <f>VLOOKUP($K1415,LUTs!$E$2:$H$14,2,)</f>
        <v>South Puget Sound</v>
      </c>
      <c r="N1415" s="108" t="str">
        <f>VLOOKUP($K1415,LUTs!$E$2:$H$14,4,)</f>
        <v>02South Puget Sound</v>
      </c>
      <c r="O1415" s="108">
        <v>13.379825653798299</v>
      </c>
      <c r="P1415" s="108">
        <v>115.735491905355</v>
      </c>
      <c r="Q1415" s="108">
        <f>SUMIFS('FW_Salmon_by_Month_2010-2021'!P$2:P$3810,'FW_Salmon_by_Month_2010-2021'!$B$2:$B$3810,'Rec_raw_catch_effort_2010-2021'!$B1415,'FW_Salmon_by_Month_2010-2021'!$H$2:$H$3810,'Rec_raw_catch_effort_2010-2021'!$F1415,'FW_Salmon_by_Month_2010-2021'!$M$2:$M$3810,'Rec_raw_catch_effort_2010-2021'!$K1415)</f>
        <v>13.535353535353501</v>
      </c>
      <c r="R1415" s="109">
        <f>VLOOKUP(B1415,Readme!$A$62:$C$74,2,)*Q1415</f>
        <v>65.234379510219014</v>
      </c>
      <c r="S1415" s="140" t="str">
        <f t="shared" si="129"/>
        <v>Y</v>
      </c>
      <c r="T1415" s="154">
        <f t="shared" si="130"/>
        <v>8.649999999999979</v>
      </c>
      <c r="U1415" s="154">
        <f t="shared" si="131"/>
        <v>4.8195549041132084</v>
      </c>
    </row>
    <row r="1416" spans="1:21" x14ac:dyDescent="0.35">
      <c r="A1416" s="108">
        <v>2709</v>
      </c>
      <c r="B1416" s="108">
        <v>2012</v>
      </c>
      <c r="C1416" s="108" t="s">
        <v>38</v>
      </c>
      <c r="D1416" s="108" t="s">
        <v>143</v>
      </c>
      <c r="E1416" s="108" t="s">
        <v>10</v>
      </c>
      <c r="F1416" s="116">
        <v>746</v>
      </c>
      <c r="G1416" s="108" t="s">
        <v>45</v>
      </c>
      <c r="H1416" s="108" t="str">
        <f t="shared" si="128"/>
        <v>Green - Duwamish River</v>
      </c>
      <c r="I1416" s="108" t="str">
        <f>IFERROR(VLOOKUP(H1416,LUTs!$A$1:$C$73,2,FALSE),"NA")</f>
        <v>King</v>
      </c>
      <c r="J1416" s="108" t="str">
        <f>IFERROR(VLOOKUP(H1416,LUTs!$A$1:$C$73,3,FALSE),"NA")</f>
        <v>3South Puget Sound</v>
      </c>
      <c r="K1416" s="108" t="s">
        <v>26</v>
      </c>
      <c r="L1416" s="108" t="str">
        <f>VLOOKUP(K1416,LUTs!E$2:G$14,3,)</f>
        <v>20Other</v>
      </c>
      <c r="M1416" s="108" t="str">
        <f>VLOOKUP($K1416,LUTs!$E$2:$H$14,2,)</f>
        <v>Non Puget Sound</v>
      </c>
      <c r="N1416" s="108" t="str">
        <f>VLOOKUP($K1416,LUTs!$E$2:$H$14,4,)</f>
        <v>07Non Puget Sound</v>
      </c>
      <c r="O1416" s="108">
        <v>73.589041095890394</v>
      </c>
      <c r="P1416" s="108">
        <v>636.54520547945197</v>
      </c>
      <c r="Q1416" s="108">
        <f>SUMIFS('FW_Salmon_by_Month_2010-2021'!P$2:P$3810,'FW_Salmon_by_Month_2010-2021'!$B$2:$B$3810,'Rec_raw_catch_effort_2010-2021'!$B1416,'FW_Salmon_by_Month_2010-2021'!$H$2:$H$3810,'Rec_raw_catch_effort_2010-2021'!$F1416,'FW_Salmon_by_Month_2010-2021'!$M$2:$M$3810,'Rec_raw_catch_effort_2010-2021'!$K1416)</f>
        <v>74.424097085967603</v>
      </c>
      <c r="R1416" s="109">
        <f>VLOOKUP(B1416,Readme!$A$62:$C$74,2,)*Q1416</f>
        <v>358.69102209487272</v>
      </c>
      <c r="S1416" s="140" t="str">
        <f t="shared" si="129"/>
        <v>Y</v>
      </c>
      <c r="T1416" s="154">
        <f t="shared" si="130"/>
        <v>8.65</v>
      </c>
      <c r="U1416" s="154">
        <f t="shared" si="131"/>
        <v>4.8195549041132084</v>
      </c>
    </row>
    <row r="1417" spans="1:21" x14ac:dyDescent="0.35">
      <c r="A1417" s="108">
        <v>2705</v>
      </c>
      <c r="B1417" s="108">
        <v>2012</v>
      </c>
      <c r="C1417" s="108" t="s">
        <v>38</v>
      </c>
      <c r="D1417" s="108" t="s">
        <v>143</v>
      </c>
      <c r="E1417" s="108" t="s">
        <v>10</v>
      </c>
      <c r="F1417" s="116">
        <v>746</v>
      </c>
      <c r="G1417" s="108" t="s">
        <v>45</v>
      </c>
      <c r="H1417" s="108" t="str">
        <f t="shared" si="128"/>
        <v>Green - Duwamish River</v>
      </c>
      <c r="I1417" s="108" t="str">
        <f>IFERROR(VLOOKUP(H1417,LUTs!$A$1:$C$73,2,FALSE),"NA")</f>
        <v>King</v>
      </c>
      <c r="J1417" s="108" t="str">
        <f>IFERROR(VLOOKUP(H1417,LUTs!$A$1:$C$73,3,FALSE),"NA")</f>
        <v>3South Puget Sound</v>
      </c>
      <c r="K1417" s="108" t="s">
        <v>20</v>
      </c>
      <c r="L1417" s="108" t="str">
        <f>VLOOKUP(K1417,LUTs!E$2:G$14,3,)</f>
        <v>07Pierce</v>
      </c>
      <c r="M1417" s="108" t="str">
        <f>VLOOKUP($K1417,LUTs!$E$2:$H$14,2,)</f>
        <v>South Puget Sound</v>
      </c>
      <c r="N1417" s="108" t="str">
        <f>VLOOKUP($K1417,LUTs!$E$2:$H$14,4,)</f>
        <v>02South Puget Sound</v>
      </c>
      <c r="O1417" s="108">
        <v>394.70485678704898</v>
      </c>
      <c r="P1417" s="108">
        <v>3414.1970112079698</v>
      </c>
      <c r="Q1417" s="108">
        <f>SUMIFS('FW_Salmon_by_Month_2010-2021'!P$2:P$3810,'FW_Salmon_by_Month_2010-2021'!$B$2:$B$3810,'Rec_raw_catch_effort_2010-2021'!$B1417,'FW_Salmon_by_Month_2010-2021'!$H$2:$H$3810,'Rec_raw_catch_effort_2010-2021'!$F1417,'FW_Salmon_by_Month_2010-2021'!$M$2:$M$3810,'Rec_raw_catch_effort_2010-2021'!$K1417)</f>
        <v>392.37426610435801</v>
      </c>
      <c r="R1417" s="109">
        <f>VLOOKUP(B1417,Readme!$A$62:$C$74,2,)*Q1417</f>
        <v>1891.0693184510797</v>
      </c>
      <c r="S1417" s="140" t="str">
        <f t="shared" si="129"/>
        <v>Y</v>
      </c>
      <c r="T1417" s="154">
        <f t="shared" si="130"/>
        <v>8.6499999999999897</v>
      </c>
      <c r="U1417" s="154">
        <f t="shared" si="131"/>
        <v>4.8195549041132084</v>
      </c>
    </row>
    <row r="1418" spans="1:21" x14ac:dyDescent="0.35">
      <c r="A1418" s="108">
        <v>2703</v>
      </c>
      <c r="B1418" s="108">
        <v>2012</v>
      </c>
      <c r="C1418" s="108" t="s">
        <v>38</v>
      </c>
      <c r="D1418" s="108" t="s">
        <v>143</v>
      </c>
      <c r="E1418" s="108" t="s">
        <v>10</v>
      </c>
      <c r="F1418" s="116">
        <v>746</v>
      </c>
      <c r="G1418" s="108" t="s">
        <v>45</v>
      </c>
      <c r="H1418" s="108" t="str">
        <f t="shared" si="128"/>
        <v>Green - Duwamish River</v>
      </c>
      <c r="I1418" s="108" t="str">
        <f>IFERROR(VLOOKUP(H1418,LUTs!$A$1:$C$73,2,FALSE),"NA")</f>
        <v>King</v>
      </c>
      <c r="J1418" s="108" t="str">
        <f>IFERROR(VLOOKUP(H1418,LUTs!$A$1:$C$73,3,FALSE),"NA")</f>
        <v>3South Puget Sound</v>
      </c>
      <c r="K1418" s="108" t="s">
        <v>16</v>
      </c>
      <c r="L1418" s="108" t="str">
        <f>VLOOKUP(K1418,LUTs!E$2:G$14,3,)</f>
        <v>03Snohomish</v>
      </c>
      <c r="M1418" s="108" t="str">
        <f>VLOOKUP($K1418,LUTs!$E$2:$H$14,2,)</f>
        <v>North Puget Sound</v>
      </c>
      <c r="N1418" s="108" t="str">
        <f>VLOOKUP($K1418,LUTs!$E$2:$H$14,4,)</f>
        <v>01North Puget Sound</v>
      </c>
      <c r="O1418" s="108">
        <v>294.35616438356197</v>
      </c>
      <c r="P1418" s="108">
        <v>2546.1808219178101</v>
      </c>
      <c r="Q1418" s="108">
        <f>SUMIFS('FW_Salmon_by_Month_2010-2021'!P$2:P$3810,'FW_Salmon_by_Month_2010-2021'!$B$2:$B$3810,'Rec_raw_catch_effort_2010-2021'!$B1418,'FW_Salmon_by_Month_2010-2021'!$H$2:$H$3810,'Rec_raw_catch_effort_2010-2021'!$F1418,'FW_Salmon_by_Month_2010-2021'!$M$2:$M$3810,'Rec_raw_catch_effort_2010-2021'!$K1418)</f>
        <v>297.75743041930122</v>
      </c>
      <c r="R1418" s="109">
        <f>VLOOKUP(B1418,Readme!$A$62:$C$74,2,)*Q1418</f>
        <v>1435.0582840134905</v>
      </c>
      <c r="S1418" s="140" t="str">
        <f t="shared" si="129"/>
        <v>Y</v>
      </c>
      <c r="T1418" s="154">
        <f t="shared" si="130"/>
        <v>8.6499999999999968</v>
      </c>
      <c r="U1418" s="154">
        <f t="shared" si="131"/>
        <v>4.8195549041132084</v>
      </c>
    </row>
    <row r="1419" spans="1:21" x14ac:dyDescent="0.35">
      <c r="A1419" s="108">
        <v>2706</v>
      </c>
      <c r="B1419" s="108">
        <v>2012</v>
      </c>
      <c r="C1419" s="108" t="s">
        <v>38</v>
      </c>
      <c r="D1419" s="108" t="s">
        <v>143</v>
      </c>
      <c r="E1419" s="108" t="s">
        <v>10</v>
      </c>
      <c r="F1419" s="116">
        <v>746</v>
      </c>
      <c r="G1419" s="108" t="s">
        <v>45</v>
      </c>
      <c r="H1419" s="108" t="str">
        <f t="shared" si="128"/>
        <v>Green - Duwamish River</v>
      </c>
      <c r="I1419" s="108" t="str">
        <f>IFERROR(VLOOKUP(H1419,LUTs!$A$1:$C$73,2,FALSE),"NA")</f>
        <v>King</v>
      </c>
      <c r="J1419" s="108" t="str">
        <f>IFERROR(VLOOKUP(H1419,LUTs!$A$1:$C$73,3,FALSE),"NA")</f>
        <v>3South Puget Sound</v>
      </c>
      <c r="K1419" s="108" t="s">
        <v>21</v>
      </c>
      <c r="L1419" s="108" t="str">
        <f>VLOOKUP(K1419,LUTs!E$2:G$14,3,)</f>
        <v>08Thurston</v>
      </c>
      <c r="M1419" s="108" t="str">
        <f>VLOOKUP($K1419,LUTs!$E$2:$H$14,2,)</f>
        <v>South Puget Sound</v>
      </c>
      <c r="N1419" s="108" t="str">
        <f>VLOOKUP($K1419,LUTs!$E$2:$H$14,4,)</f>
        <v>02South Puget Sound</v>
      </c>
      <c r="O1419" s="108">
        <v>13.379825653798299</v>
      </c>
      <c r="P1419" s="108">
        <v>115.735491905355</v>
      </c>
      <c r="Q1419" s="108">
        <f>SUMIFS('FW_Salmon_by_Month_2010-2021'!P$2:P$3810,'FW_Salmon_by_Month_2010-2021'!$B$2:$B$3810,'Rec_raw_catch_effort_2010-2021'!$B1419,'FW_Salmon_by_Month_2010-2021'!$H$2:$H$3810,'Rec_raw_catch_effort_2010-2021'!$F1419,'FW_Salmon_by_Month_2010-2021'!$M$2:$M$3810,'Rec_raw_catch_effort_2010-2021'!$K1419)</f>
        <v>13.535353535353501</v>
      </c>
      <c r="R1419" s="109">
        <f>VLOOKUP(B1419,Readme!$A$62:$C$74,2,)*Q1419</f>
        <v>65.234379510219014</v>
      </c>
      <c r="S1419" s="140" t="str">
        <f t="shared" si="129"/>
        <v>Y</v>
      </c>
      <c r="T1419" s="154">
        <f t="shared" si="130"/>
        <v>8.649999999999979</v>
      </c>
      <c r="U1419" s="154">
        <f t="shared" si="131"/>
        <v>4.8195549041132084</v>
      </c>
    </row>
    <row r="1420" spans="1:21" x14ac:dyDescent="0.35">
      <c r="A1420" s="108">
        <v>2815</v>
      </c>
      <c r="B1420" s="108">
        <v>2013</v>
      </c>
      <c r="C1420" s="108" t="s">
        <v>38</v>
      </c>
      <c r="D1420" s="108" t="s">
        <v>143</v>
      </c>
      <c r="E1420" s="108" t="s">
        <v>10</v>
      </c>
      <c r="F1420" s="116">
        <v>746</v>
      </c>
      <c r="G1420" s="108" t="s">
        <v>45</v>
      </c>
      <c r="H1420" s="108" t="str">
        <f t="shared" si="128"/>
        <v>Green - Duwamish River</v>
      </c>
      <c r="I1420" s="108" t="str">
        <f>IFERROR(VLOOKUP(H1420,LUTs!$A$1:$C$73,2,FALSE),"NA")</f>
        <v>King</v>
      </c>
      <c r="J1420" s="108" t="str">
        <f>IFERROR(VLOOKUP(H1420,LUTs!$A$1:$C$73,3,FALSE),"NA")</f>
        <v>3South Puget Sound</v>
      </c>
      <c r="K1420" s="108" t="s">
        <v>17</v>
      </c>
      <c r="L1420" s="108" t="str">
        <f>VLOOKUP(K1420,LUTs!E$2:G$14,3,)</f>
        <v>04Island</v>
      </c>
      <c r="M1420" s="108" t="str">
        <f>VLOOKUP($K1420,LUTs!$E$2:$H$14,2,)</f>
        <v>North Puget Sound</v>
      </c>
      <c r="N1420" s="108" t="str">
        <f>VLOOKUP($K1420,LUTs!$E$2:$H$14,4,)</f>
        <v>01North Puget Sound</v>
      </c>
      <c r="O1420" s="108">
        <v>8.9266627078384797</v>
      </c>
      <c r="P1420" s="108">
        <v>30.707719714964401</v>
      </c>
      <c r="Q1420" s="108">
        <f>SUMIFS('FW_Salmon_by_Month_2010-2021'!P$2:P$3810,'FW_Salmon_by_Month_2010-2021'!$B$2:$B$3810,'Rec_raw_catch_effort_2010-2021'!$B1420,'FW_Salmon_by_Month_2010-2021'!$H$2:$H$3810,'Rec_raw_catch_effort_2010-2021'!$F1420,'FW_Salmon_by_Month_2010-2021'!$M$2:$M$3810,'Rec_raw_catch_effort_2010-2021'!$K1420)</f>
        <v>9.0423076923077002</v>
      </c>
      <c r="R1420" s="109">
        <f>VLOOKUP(B1420,Readme!$A$62:$C$74,2,)*Q1420</f>
        <v>32.001092592032563</v>
      </c>
      <c r="S1420" s="140" t="str">
        <f t="shared" si="129"/>
        <v>Y</v>
      </c>
      <c r="T1420" s="154">
        <f t="shared" si="130"/>
        <v>3.4400000000000035</v>
      </c>
      <c r="U1420" s="154">
        <f t="shared" si="131"/>
        <v>3.5390404397824158</v>
      </c>
    </row>
    <row r="1421" spans="1:21" x14ac:dyDescent="0.35">
      <c r="A1421" s="108">
        <v>2816</v>
      </c>
      <c r="B1421" s="108">
        <v>2013</v>
      </c>
      <c r="C1421" s="108" t="s">
        <v>38</v>
      </c>
      <c r="D1421" s="108" t="s">
        <v>143</v>
      </c>
      <c r="E1421" s="108" t="s">
        <v>10</v>
      </c>
      <c r="F1421" s="116">
        <v>746</v>
      </c>
      <c r="G1421" s="108" t="s">
        <v>45</v>
      </c>
      <c r="H1421" s="108" t="str">
        <f t="shared" si="128"/>
        <v>Green - Duwamish River</v>
      </c>
      <c r="I1421" s="108" t="str">
        <f>IFERROR(VLOOKUP(H1421,LUTs!$A$1:$C$73,2,FALSE),"NA")</f>
        <v>King</v>
      </c>
      <c r="J1421" s="108" t="str">
        <f>IFERROR(VLOOKUP(H1421,LUTs!$A$1:$C$73,3,FALSE),"NA")</f>
        <v>3South Puget Sound</v>
      </c>
      <c r="K1421" s="108" t="s">
        <v>18</v>
      </c>
      <c r="L1421" s="108" t="str">
        <f>VLOOKUP(K1421,LUTs!E$2:G$14,3,)</f>
        <v>06King</v>
      </c>
      <c r="M1421" s="108" t="str">
        <f>VLOOKUP($K1421,LUTs!$E$2:$H$14,2,)</f>
        <v>South Puget Sound</v>
      </c>
      <c r="N1421" s="108" t="str">
        <f>VLOOKUP($K1421,LUTs!$E$2:$H$14,4,)</f>
        <v>02South Puget Sound</v>
      </c>
      <c r="O1421" s="108">
        <v>25628.448634204298</v>
      </c>
      <c r="P1421" s="108">
        <v>88161.863301662801</v>
      </c>
      <c r="Q1421" s="108">
        <f>SUMIFS('FW_Salmon_by_Month_2010-2021'!P$2:P$3810,'FW_Salmon_by_Month_2010-2021'!$B$2:$B$3810,'Rec_raw_catch_effort_2010-2021'!$B1421,'FW_Salmon_by_Month_2010-2021'!$H$2:$H$3810,'Rec_raw_catch_effort_2010-2021'!$F1421,'FW_Salmon_by_Month_2010-2021'!$M$2:$M$3810,'Rec_raw_catch_effort_2010-2021'!$K1421)</f>
        <v>25777.65127056179</v>
      </c>
      <c r="R1421" s="109">
        <f>VLOOKUP(B1421,Readme!$A$62:$C$74,2,)*Q1421</f>
        <v>91228.15028912673</v>
      </c>
      <c r="S1421" s="140" t="str">
        <f t="shared" si="129"/>
        <v>Y</v>
      </c>
      <c r="T1421" s="154">
        <f t="shared" si="130"/>
        <v>3.4400000000000004</v>
      </c>
      <c r="U1421" s="154">
        <f t="shared" si="131"/>
        <v>3.5390404397824153</v>
      </c>
    </row>
    <row r="1422" spans="1:21" x14ac:dyDescent="0.35">
      <c r="A1422" s="108">
        <v>2913</v>
      </c>
      <c r="B1422" s="108">
        <v>2013</v>
      </c>
      <c r="C1422" s="108" t="s">
        <v>38</v>
      </c>
      <c r="D1422" s="108" t="s">
        <v>143</v>
      </c>
      <c r="E1422" s="108" t="s">
        <v>10</v>
      </c>
      <c r="F1422" s="116">
        <v>746</v>
      </c>
      <c r="G1422" s="108" t="s">
        <v>45</v>
      </c>
      <c r="H1422" s="108" t="str">
        <f t="shared" si="128"/>
        <v>Green - Duwamish River</v>
      </c>
      <c r="I1422" s="108" t="str">
        <f>IFERROR(VLOOKUP(H1422,LUTs!$A$1:$C$73,2,FALSE),"NA")</f>
        <v>King</v>
      </c>
      <c r="J1422" s="108" t="str">
        <f>IFERROR(VLOOKUP(H1422,LUTs!$A$1:$C$73,3,FALSE),"NA")</f>
        <v>3South Puget Sound</v>
      </c>
      <c r="K1422" s="108" t="s">
        <v>23</v>
      </c>
      <c r="L1422" s="108" t="str">
        <f>VLOOKUP(K1422,LUTs!E$2:G$14,3,)</f>
        <v>10Kitsap</v>
      </c>
      <c r="M1422" s="108" t="str">
        <f>VLOOKUP($K1422,LUTs!$E$2:$H$14,2,)</f>
        <v>South Puget Sound</v>
      </c>
      <c r="N1422" s="108" t="str">
        <f>VLOOKUP($K1422,LUTs!$E$2:$H$14,4,)</f>
        <v>02South Puget Sound</v>
      </c>
      <c r="O1422" s="108">
        <v>62.486638954869399</v>
      </c>
      <c r="P1422" s="108">
        <v>214.954038004751</v>
      </c>
      <c r="Q1422" s="108">
        <f>SUMIFS('FW_Salmon_by_Month_2010-2021'!P$2:P$3810,'FW_Salmon_by_Month_2010-2021'!$B$2:$B$3810,'Rec_raw_catch_effort_2010-2021'!$B1422,'FW_Salmon_by_Month_2010-2021'!$H$2:$H$3810,'Rec_raw_catch_effort_2010-2021'!$F1422,'FW_Salmon_by_Month_2010-2021'!$M$2:$M$3810,'Rec_raw_catch_effort_2010-2021'!$K1422)</f>
        <v>63.294887194887238</v>
      </c>
      <c r="R1422" s="109">
        <f>VLOOKUP(B1422,Readme!$A$62:$C$74,2,)*Q1422</f>
        <v>224.00316541417209</v>
      </c>
      <c r="S1422" s="140" t="str">
        <f t="shared" si="129"/>
        <v>Y</v>
      </c>
      <c r="T1422" s="154">
        <f t="shared" si="130"/>
        <v>3.4400000000000044</v>
      </c>
      <c r="U1422" s="154">
        <f t="shared" si="131"/>
        <v>3.5390404397824153</v>
      </c>
    </row>
    <row r="1423" spans="1:21" x14ac:dyDescent="0.35">
      <c r="A1423" s="108">
        <v>2914</v>
      </c>
      <c r="B1423" s="108">
        <v>2013</v>
      </c>
      <c r="C1423" s="108" t="s">
        <v>38</v>
      </c>
      <c r="D1423" s="108" t="s">
        <v>143</v>
      </c>
      <c r="E1423" s="108" t="s">
        <v>10</v>
      </c>
      <c r="F1423" s="116">
        <v>746</v>
      </c>
      <c r="G1423" s="108" t="s">
        <v>45</v>
      </c>
      <c r="H1423" s="108" t="str">
        <f t="shared" si="128"/>
        <v>Green - Duwamish River</v>
      </c>
      <c r="I1423" s="108" t="str">
        <f>IFERROR(VLOOKUP(H1423,LUTs!$A$1:$C$73,2,FALSE),"NA")</f>
        <v>King</v>
      </c>
      <c r="J1423" s="108" t="str">
        <f>IFERROR(VLOOKUP(H1423,LUTs!$A$1:$C$73,3,FALSE),"NA")</f>
        <v>3South Puget Sound</v>
      </c>
      <c r="K1423" s="108" t="s">
        <v>26</v>
      </c>
      <c r="L1423" s="108" t="str">
        <f>VLOOKUP(K1423,LUTs!E$2:G$14,3,)</f>
        <v>20Other</v>
      </c>
      <c r="M1423" s="108" t="str">
        <f>VLOOKUP($K1423,LUTs!$E$2:$H$14,2,)</f>
        <v>Non Puget Sound</v>
      </c>
      <c r="N1423" s="108" t="str">
        <f>VLOOKUP($K1423,LUTs!$E$2:$H$14,4,)</f>
        <v>07Non Puget Sound</v>
      </c>
      <c r="O1423" s="108">
        <v>1446.11935866983</v>
      </c>
      <c r="P1423" s="108">
        <v>4974.6505938242199</v>
      </c>
      <c r="Q1423" s="108">
        <f>SUMIFS('FW_Salmon_by_Month_2010-2021'!P$2:P$3810,'FW_Salmon_by_Month_2010-2021'!$B$2:$B$3810,'Rec_raw_catch_effort_2010-2021'!$B1423,'FW_Salmon_by_Month_2010-2021'!$H$2:$H$3810,'Rec_raw_catch_effort_2010-2021'!$F1423,'FW_Salmon_by_Month_2010-2021'!$M$2:$M$3810,'Rec_raw_catch_effort_2010-2021'!$K1423)</f>
        <v>1456.2059972291347</v>
      </c>
      <c r="R1423" s="109">
        <f>VLOOKUP(B1423,Readme!$A$62:$C$74,2,)*Q1423</f>
        <v>5153.5719128475876</v>
      </c>
      <c r="S1423" s="140" t="str">
        <f t="shared" si="129"/>
        <v>Y</v>
      </c>
      <c r="T1423" s="154">
        <f t="shared" si="130"/>
        <v>3.4400000000000031</v>
      </c>
      <c r="U1423" s="154">
        <f t="shared" si="131"/>
        <v>3.5390404397824153</v>
      </c>
    </row>
    <row r="1424" spans="1:21" x14ac:dyDescent="0.35">
      <c r="A1424" s="108">
        <v>2817</v>
      </c>
      <c r="B1424" s="108">
        <v>2013</v>
      </c>
      <c r="C1424" s="108" t="s">
        <v>38</v>
      </c>
      <c r="D1424" s="108" t="s">
        <v>143</v>
      </c>
      <c r="E1424" s="108" t="s">
        <v>10</v>
      </c>
      <c r="F1424" s="116">
        <v>746</v>
      </c>
      <c r="G1424" s="108" t="s">
        <v>45</v>
      </c>
      <c r="H1424" s="108" t="str">
        <f t="shared" si="128"/>
        <v>Green - Duwamish River</v>
      </c>
      <c r="I1424" s="108" t="str">
        <f>IFERROR(VLOOKUP(H1424,LUTs!$A$1:$C$73,2,FALSE),"NA")</f>
        <v>King</v>
      </c>
      <c r="J1424" s="108" t="str">
        <f>IFERROR(VLOOKUP(H1424,LUTs!$A$1:$C$73,3,FALSE),"NA")</f>
        <v>3South Puget Sound</v>
      </c>
      <c r="K1424" s="108" t="s">
        <v>20</v>
      </c>
      <c r="L1424" s="108" t="str">
        <f>VLOOKUP(K1424,LUTs!E$2:G$14,3,)</f>
        <v>07Pierce</v>
      </c>
      <c r="M1424" s="108" t="str">
        <f>VLOOKUP($K1424,LUTs!$E$2:$H$14,2,)</f>
        <v>South Puget Sound</v>
      </c>
      <c r="N1424" s="108" t="str">
        <f>VLOOKUP($K1424,LUTs!$E$2:$H$14,4,)</f>
        <v>02South Puget Sound</v>
      </c>
      <c r="O1424" s="108">
        <v>2008.4991092636601</v>
      </c>
      <c r="P1424" s="108">
        <v>6909.2369358669903</v>
      </c>
      <c r="Q1424" s="108">
        <f>SUMIFS('FW_Salmon_by_Month_2010-2021'!P$2:P$3810,'FW_Salmon_by_Month_2010-2021'!$B$2:$B$3810,'Rec_raw_catch_effort_2010-2021'!$B1424,'FW_Salmon_by_Month_2010-2021'!$H$2:$H$3810,'Rec_raw_catch_effort_2010-2021'!$F1424,'FW_Salmon_by_Month_2010-2021'!$M$2:$M$3810,'Rec_raw_catch_effort_2010-2021'!$K1424)</f>
        <v>1872.5882471827576</v>
      </c>
      <c r="R1424" s="109">
        <f>VLOOKUP(B1424,Readme!$A$62:$C$74,2,)*Q1424</f>
        <v>6627.1655338410492</v>
      </c>
      <c r="S1424" s="140" t="str">
        <f t="shared" si="129"/>
        <v>Y</v>
      </c>
      <c r="T1424" s="154">
        <f t="shared" si="130"/>
        <v>3.44</v>
      </c>
      <c r="U1424" s="154">
        <f t="shared" si="131"/>
        <v>3.5390404397824153</v>
      </c>
    </row>
    <row r="1425" spans="1:21" x14ac:dyDescent="0.35">
      <c r="A1425" s="108">
        <v>2813</v>
      </c>
      <c r="B1425" s="108">
        <v>2013</v>
      </c>
      <c r="C1425" s="108" t="s">
        <v>38</v>
      </c>
      <c r="D1425" s="108" t="s">
        <v>143</v>
      </c>
      <c r="E1425" s="108" t="s">
        <v>10</v>
      </c>
      <c r="F1425" s="116">
        <v>746</v>
      </c>
      <c r="G1425" s="108" t="s">
        <v>45</v>
      </c>
      <c r="H1425" s="108" t="str">
        <f t="shared" si="128"/>
        <v>Green - Duwamish River</v>
      </c>
      <c r="I1425" s="108" t="str">
        <f>IFERROR(VLOOKUP(H1425,LUTs!$A$1:$C$73,2,FALSE),"NA")</f>
        <v>King</v>
      </c>
      <c r="J1425" s="108" t="str">
        <f>IFERROR(VLOOKUP(H1425,LUTs!$A$1:$C$73,3,FALSE),"NA")</f>
        <v>3South Puget Sound</v>
      </c>
      <c r="K1425" s="108" t="s">
        <v>15</v>
      </c>
      <c r="L1425" s="108" t="str">
        <f>VLOOKUP(K1425,LUTs!E$2:G$14,3,)</f>
        <v>02Skagit</v>
      </c>
      <c r="M1425" s="108" t="str">
        <f>VLOOKUP($K1425,LUTs!$E$2:$H$14,2,)</f>
        <v>North Puget Sound</v>
      </c>
      <c r="N1425" s="108" t="str">
        <f>VLOOKUP($K1425,LUTs!$E$2:$H$14,4,)</f>
        <v>01North Puget Sound</v>
      </c>
      <c r="O1425" s="108">
        <v>26.779988123515398</v>
      </c>
      <c r="P1425" s="108">
        <v>92.123159144892995</v>
      </c>
      <c r="Q1425" s="108">
        <f>SUMIFS('FW_Salmon_by_Month_2010-2021'!P$2:P$3810,'FW_Salmon_by_Month_2010-2021'!$B$2:$B$3810,'Rec_raw_catch_effort_2010-2021'!$B1425,'FW_Salmon_by_Month_2010-2021'!$H$2:$H$3810,'Rec_raw_catch_effort_2010-2021'!$F1425,'FW_Salmon_by_Month_2010-2021'!$M$2:$M$3810,'Rec_raw_catch_effort_2010-2021'!$K1425)</f>
        <v>27.124389774389797</v>
      </c>
      <c r="R1425" s="109">
        <f>VLOOKUP(B1425,Readme!$A$62:$C$74,2,)*Q1425</f>
        <v>95.994312315986122</v>
      </c>
      <c r="S1425" s="140" t="str">
        <f t="shared" si="129"/>
        <v>Y</v>
      </c>
      <c r="T1425" s="154">
        <f t="shared" si="130"/>
        <v>3.4400000000000008</v>
      </c>
      <c r="U1425" s="154">
        <f t="shared" si="131"/>
        <v>3.5390404397824153</v>
      </c>
    </row>
    <row r="1426" spans="1:21" x14ac:dyDescent="0.35">
      <c r="A1426" s="108">
        <v>2814</v>
      </c>
      <c r="B1426" s="108">
        <v>2013</v>
      </c>
      <c r="C1426" s="108" t="s">
        <v>38</v>
      </c>
      <c r="D1426" s="108" t="s">
        <v>143</v>
      </c>
      <c r="E1426" s="108" t="s">
        <v>10</v>
      </c>
      <c r="F1426" s="116">
        <v>746</v>
      </c>
      <c r="G1426" s="108" t="s">
        <v>45</v>
      </c>
      <c r="H1426" s="108" t="str">
        <f t="shared" si="128"/>
        <v>Green - Duwamish River</v>
      </c>
      <c r="I1426" s="108" t="str">
        <f>IFERROR(VLOOKUP(H1426,LUTs!$A$1:$C$73,2,FALSE),"NA")</f>
        <v>King</v>
      </c>
      <c r="J1426" s="108" t="str">
        <f>IFERROR(VLOOKUP(H1426,LUTs!$A$1:$C$73,3,FALSE),"NA")</f>
        <v>3South Puget Sound</v>
      </c>
      <c r="K1426" s="108" t="s">
        <v>16</v>
      </c>
      <c r="L1426" s="108" t="str">
        <f>VLOOKUP(K1426,LUTs!E$2:G$14,3,)</f>
        <v>03Snohomish</v>
      </c>
      <c r="M1426" s="108" t="str">
        <f>VLOOKUP($K1426,LUTs!$E$2:$H$14,2,)</f>
        <v>North Puget Sound</v>
      </c>
      <c r="N1426" s="108" t="str">
        <f>VLOOKUP($K1426,LUTs!$E$2:$H$14,4,)</f>
        <v>01North Puget Sound</v>
      </c>
      <c r="O1426" s="108">
        <v>598.086401425178</v>
      </c>
      <c r="P1426" s="108">
        <v>2057.4172209026101</v>
      </c>
      <c r="Q1426" s="108">
        <f>SUMIFS('FW_Salmon_by_Month_2010-2021'!P$2:P$3810,'FW_Salmon_by_Month_2010-2021'!$B$2:$B$3810,'Rec_raw_catch_effort_2010-2021'!$B1426,'FW_Salmon_by_Month_2010-2021'!$H$2:$H$3810,'Rec_raw_catch_effort_2010-2021'!$F1426,'FW_Salmon_by_Month_2010-2021'!$M$2:$M$3810,'Rec_raw_catch_effort_2010-2021'!$K1426)</f>
        <v>569.76174549097436</v>
      </c>
      <c r="R1426" s="109">
        <f>VLOOKUP(B1426,Readme!$A$62:$C$74,2,)*Q1426</f>
        <v>2016.4098583335744</v>
      </c>
      <c r="S1426" s="140" t="str">
        <f t="shared" si="129"/>
        <v>Y</v>
      </c>
      <c r="T1426" s="154">
        <f t="shared" si="130"/>
        <v>3.4399999999999964</v>
      </c>
      <c r="U1426" s="154">
        <f t="shared" si="131"/>
        <v>3.5390404397824153</v>
      </c>
    </row>
    <row r="1427" spans="1:21" x14ac:dyDescent="0.35">
      <c r="A1427" s="108">
        <v>2912</v>
      </c>
      <c r="B1427" s="108">
        <v>2013</v>
      </c>
      <c r="C1427" s="108" t="s">
        <v>38</v>
      </c>
      <c r="D1427" s="108" t="s">
        <v>143</v>
      </c>
      <c r="E1427" s="108" t="s">
        <v>10</v>
      </c>
      <c r="F1427" s="116">
        <v>746</v>
      </c>
      <c r="G1427" s="108" t="s">
        <v>45</v>
      </c>
      <c r="H1427" s="108" t="str">
        <f t="shared" si="128"/>
        <v>Green - Duwamish River</v>
      </c>
      <c r="I1427" s="108" t="str">
        <f>IFERROR(VLOOKUP(H1427,LUTs!$A$1:$C$73,2,FALSE),"NA")</f>
        <v>King</v>
      </c>
      <c r="J1427" s="108" t="str">
        <f>IFERROR(VLOOKUP(H1427,LUTs!$A$1:$C$73,3,FALSE),"NA")</f>
        <v>3South Puget Sound</v>
      </c>
      <c r="K1427" s="108" t="s">
        <v>21</v>
      </c>
      <c r="L1427" s="108" t="str">
        <f>VLOOKUP(K1427,LUTs!E$2:G$14,3,)</f>
        <v>08Thurston</v>
      </c>
      <c r="M1427" s="108" t="str">
        <f>VLOOKUP($K1427,LUTs!$E$2:$H$14,2,)</f>
        <v>South Puget Sound</v>
      </c>
      <c r="N1427" s="108" t="str">
        <f>VLOOKUP($K1427,LUTs!$E$2:$H$14,4,)</f>
        <v>02South Puget Sound</v>
      </c>
      <c r="O1427" s="108">
        <v>178.53325415677</v>
      </c>
      <c r="P1427" s="108">
        <v>614.15439429928904</v>
      </c>
      <c r="Q1427" s="108">
        <f>SUMIFS('FW_Salmon_by_Month_2010-2021'!P$2:P$3810,'FW_Salmon_by_Month_2010-2021'!$B$2:$B$3810,'Rec_raw_catch_effort_2010-2021'!$B1427,'FW_Salmon_by_Month_2010-2021'!$H$2:$H$3810,'Rec_raw_catch_effort_2010-2021'!$F1427,'FW_Salmon_by_Month_2010-2021'!$M$2:$M$3810,'Rec_raw_catch_effort_2010-2021'!$K1427)</f>
        <v>180.8343340784258</v>
      </c>
      <c r="R1427" s="109">
        <f>VLOOKUP(B1427,Readme!$A$62:$C$74,2,)*Q1427</f>
        <v>639.9800212046722</v>
      </c>
      <c r="S1427" s="140" t="str">
        <f t="shared" si="129"/>
        <v>Y</v>
      </c>
      <c r="T1427" s="154">
        <f t="shared" si="130"/>
        <v>3.4400000000000013</v>
      </c>
      <c r="U1427" s="154">
        <f t="shared" si="131"/>
        <v>3.5390404397824149</v>
      </c>
    </row>
    <row r="1428" spans="1:21" x14ac:dyDescent="0.35">
      <c r="A1428" s="108">
        <v>2812</v>
      </c>
      <c r="B1428" s="108">
        <v>2013</v>
      </c>
      <c r="C1428" s="108" t="s">
        <v>38</v>
      </c>
      <c r="D1428" s="108" t="s">
        <v>143</v>
      </c>
      <c r="E1428" s="108" t="s">
        <v>10</v>
      </c>
      <c r="F1428" s="116">
        <v>746</v>
      </c>
      <c r="G1428" s="108" t="s">
        <v>45</v>
      </c>
      <c r="H1428" s="108" t="str">
        <f t="shared" si="128"/>
        <v>Green - Duwamish River</v>
      </c>
      <c r="I1428" s="108" t="str">
        <f>IFERROR(VLOOKUP(H1428,LUTs!$A$1:$C$73,2,FALSE),"NA")</f>
        <v>King</v>
      </c>
      <c r="J1428" s="108" t="str">
        <f>IFERROR(VLOOKUP(H1428,LUTs!$A$1:$C$73,3,FALSE),"NA")</f>
        <v>3South Puget Sound</v>
      </c>
      <c r="K1428" s="108" t="s">
        <v>13</v>
      </c>
      <c r="L1428" s="108" t="str">
        <f>VLOOKUP(K1428,LUTs!E$2:G$14,3,)</f>
        <v>01Whatcom</v>
      </c>
      <c r="M1428" s="108" t="str">
        <f>VLOOKUP($K1428,LUTs!$E$2:$H$14,2,)</f>
        <v>North Puget Sound</v>
      </c>
      <c r="N1428" s="108" t="str">
        <f>VLOOKUP($K1428,LUTs!$E$2:$H$14,4,)</f>
        <v>01North Puget Sound</v>
      </c>
      <c r="O1428" s="108">
        <v>107.11995249406201</v>
      </c>
      <c r="P1428" s="108">
        <v>368.492636579573</v>
      </c>
      <c r="Q1428" s="108">
        <f>SUMIFS('FW_Salmon_by_Month_2010-2021'!P$2:P$3810,'FW_Salmon_by_Month_2010-2021'!$B$2:$B$3810,'Rec_raw_catch_effort_2010-2021'!$B1428,'FW_Salmon_by_Month_2010-2021'!$H$2:$H$3810,'Rec_raw_catch_effort_2010-2021'!$F1428,'FW_Salmon_by_Month_2010-2021'!$M$2:$M$3810,'Rec_raw_catch_effort_2010-2021'!$K1428)</f>
        <v>108.49682079534374</v>
      </c>
      <c r="R1428" s="109">
        <f>VLOOKUP(B1428,Readme!$A$62:$C$74,2,)*Q1428</f>
        <v>383.9746363825472</v>
      </c>
      <c r="S1428" s="140" t="str">
        <f t="shared" si="129"/>
        <v>Y</v>
      </c>
      <c r="T1428" s="154">
        <f t="shared" si="130"/>
        <v>3.4399999999999973</v>
      </c>
      <c r="U1428" s="154">
        <f t="shared" si="131"/>
        <v>3.5390404397824153</v>
      </c>
    </row>
    <row r="1429" spans="1:21" x14ac:dyDescent="0.35">
      <c r="A1429" s="108">
        <v>3157</v>
      </c>
      <c r="B1429" s="108">
        <v>2014</v>
      </c>
      <c r="C1429" s="108" t="s">
        <v>38</v>
      </c>
      <c r="D1429" s="108" t="s">
        <v>143</v>
      </c>
      <c r="E1429" s="108" t="s">
        <v>10</v>
      </c>
      <c r="F1429" s="116">
        <v>746</v>
      </c>
      <c r="G1429" s="108" t="s">
        <v>45</v>
      </c>
      <c r="H1429" s="108" t="str">
        <f t="shared" si="128"/>
        <v>Green - Duwamish River</v>
      </c>
      <c r="I1429" s="108" t="str">
        <f>IFERROR(VLOOKUP(H1429,LUTs!$A$1:$C$73,2,FALSE),"NA")</f>
        <v>King</v>
      </c>
      <c r="J1429" s="108" t="str">
        <f>IFERROR(VLOOKUP(H1429,LUTs!$A$1:$C$73,3,FALSE),"NA")</f>
        <v>3South Puget Sound</v>
      </c>
      <c r="K1429" s="108" t="s">
        <v>24</v>
      </c>
      <c r="L1429" s="108" t="str">
        <f>VLOOKUP(K1429,LUTs!E$2:G$14,3,)</f>
        <v>11Clallam</v>
      </c>
      <c r="M1429" s="108" t="str">
        <f>VLOOKUP($K1429,LUTs!$E$2:$H$14,2,)</f>
        <v>Strait of Juan de Fuca</v>
      </c>
      <c r="N1429" s="108" t="str">
        <f>VLOOKUP($K1429,LUTs!$E$2:$H$14,4,)</f>
        <v>03Strait of Juan de Fuca</v>
      </c>
      <c r="O1429" s="108">
        <v>7.0078431372549002</v>
      </c>
      <c r="P1429" s="108">
        <v>60.617843137254901</v>
      </c>
      <c r="Q1429" s="108">
        <f>SUMIFS('FW_Salmon_by_Month_2010-2021'!P$2:P$3810,'FW_Salmon_by_Month_2010-2021'!$B$2:$B$3810,'Rec_raw_catch_effort_2010-2021'!$B1429,'FW_Salmon_by_Month_2010-2021'!$H$2:$H$3810,'Rec_raw_catch_effort_2010-2021'!$F1429,'FW_Salmon_by_Month_2010-2021'!$M$2:$M$3810,'Rec_raw_catch_effort_2010-2021'!$K1429)</f>
        <v>7.1229508196721296</v>
      </c>
      <c r="R1429" s="109">
        <f>VLOOKUP(B1429,Readme!$A$62:$C$74,2,)*Q1429</f>
        <v>34.329452554708013</v>
      </c>
      <c r="S1429" s="140" t="str">
        <f t="shared" si="129"/>
        <v>Y</v>
      </c>
      <c r="T1429" s="154">
        <f t="shared" si="130"/>
        <v>8.6500000000000021</v>
      </c>
      <c r="U1429" s="154">
        <f t="shared" si="131"/>
        <v>4.8195549041132084</v>
      </c>
    </row>
    <row r="1430" spans="1:21" x14ac:dyDescent="0.35">
      <c r="A1430" s="108">
        <v>3154</v>
      </c>
      <c r="B1430" s="108">
        <v>2014</v>
      </c>
      <c r="C1430" s="108" t="s">
        <v>38</v>
      </c>
      <c r="D1430" s="108" t="s">
        <v>143</v>
      </c>
      <c r="E1430" s="108" t="s">
        <v>10</v>
      </c>
      <c r="F1430" s="116">
        <v>746</v>
      </c>
      <c r="G1430" s="108" t="s">
        <v>45</v>
      </c>
      <c r="H1430" s="108" t="str">
        <f t="shared" si="128"/>
        <v>Green - Duwamish River</v>
      </c>
      <c r="I1430" s="108" t="str">
        <f>IFERROR(VLOOKUP(H1430,LUTs!$A$1:$C$73,2,FALSE),"NA")</f>
        <v>King</v>
      </c>
      <c r="J1430" s="108" t="str">
        <f>IFERROR(VLOOKUP(H1430,LUTs!$A$1:$C$73,3,FALSE),"NA")</f>
        <v>3South Puget Sound</v>
      </c>
      <c r="K1430" s="108" t="s">
        <v>18</v>
      </c>
      <c r="L1430" s="108" t="str">
        <f>VLOOKUP(K1430,LUTs!E$2:G$14,3,)</f>
        <v>06King</v>
      </c>
      <c r="M1430" s="108" t="str">
        <f>VLOOKUP($K1430,LUTs!$E$2:$H$14,2,)</f>
        <v>South Puget Sound</v>
      </c>
      <c r="N1430" s="108" t="str">
        <f>VLOOKUP($K1430,LUTs!$E$2:$H$14,4,)</f>
        <v>02South Puget Sound</v>
      </c>
      <c r="O1430" s="108">
        <v>2684.0039215686302</v>
      </c>
      <c r="P1430" s="108">
        <v>23216.6339215687</v>
      </c>
      <c r="Q1430" s="108">
        <f>SUMIFS('FW_Salmon_by_Month_2010-2021'!P$2:P$3810,'FW_Salmon_by_Month_2010-2021'!$B$2:$B$3810,'Rec_raw_catch_effort_2010-2021'!$B1430,'FW_Salmon_by_Month_2010-2021'!$H$2:$H$3810,'Rec_raw_catch_effort_2010-2021'!$F1430,'FW_Salmon_by_Month_2010-2021'!$M$2:$M$3810,'Rec_raw_catch_effort_2010-2021'!$K1430)</f>
        <v>2691.4093784322467</v>
      </c>
      <c r="R1430" s="109">
        <f>VLOOKUP(B1430,Readme!$A$62:$C$74,2,)*Q1430</f>
        <v>12971.395268799417</v>
      </c>
      <c r="S1430" s="140" t="str">
        <f t="shared" si="129"/>
        <v>Y</v>
      </c>
      <c r="T1430" s="154">
        <f t="shared" si="130"/>
        <v>8.6500000000000181</v>
      </c>
      <c r="U1430" s="154">
        <f t="shared" si="131"/>
        <v>4.8195549041132084</v>
      </c>
    </row>
    <row r="1431" spans="1:21" x14ac:dyDescent="0.35">
      <c r="A1431" s="108">
        <v>3268</v>
      </c>
      <c r="B1431" s="108">
        <v>2014</v>
      </c>
      <c r="C1431" s="108" t="s">
        <v>38</v>
      </c>
      <c r="D1431" s="108" t="s">
        <v>143</v>
      </c>
      <c r="E1431" s="108" t="s">
        <v>10</v>
      </c>
      <c r="F1431" s="116">
        <v>746</v>
      </c>
      <c r="G1431" s="108" t="s">
        <v>45</v>
      </c>
      <c r="H1431" s="108" t="str">
        <f t="shared" si="128"/>
        <v>Green - Duwamish River</v>
      </c>
      <c r="I1431" s="108" t="str">
        <f>IFERROR(VLOOKUP(H1431,LUTs!$A$1:$C$73,2,FALSE),"NA")</f>
        <v>King</v>
      </c>
      <c r="J1431" s="108" t="str">
        <f>IFERROR(VLOOKUP(H1431,LUTs!$A$1:$C$73,3,FALSE),"NA")</f>
        <v>3South Puget Sound</v>
      </c>
      <c r="K1431" s="108" t="s">
        <v>26</v>
      </c>
      <c r="L1431" s="108" t="str">
        <f>VLOOKUP(K1431,LUTs!E$2:G$14,3,)</f>
        <v>20Other</v>
      </c>
      <c r="M1431" s="108" t="str">
        <f>VLOOKUP($K1431,LUTs!$E$2:$H$14,2,)</f>
        <v>Non Puget Sound</v>
      </c>
      <c r="N1431" s="108" t="str">
        <f>VLOOKUP($K1431,LUTs!$E$2:$H$14,4,)</f>
        <v>07Non Puget Sound</v>
      </c>
      <c r="O1431" s="108">
        <v>105.11764705882401</v>
      </c>
      <c r="P1431" s="108">
        <v>909.26764705882795</v>
      </c>
      <c r="Q1431" s="108">
        <f>SUMIFS('FW_Salmon_by_Month_2010-2021'!P$2:P$3810,'FW_Salmon_by_Month_2010-2021'!$B$2:$B$3810,'Rec_raw_catch_effort_2010-2021'!$B1431,'FW_Salmon_by_Month_2010-2021'!$H$2:$H$3810,'Rec_raw_catch_effort_2010-2021'!$F1431,'FW_Salmon_by_Month_2010-2021'!$M$2:$M$3810,'Rec_raw_catch_effort_2010-2021'!$K1431)</f>
        <v>98.689450026441094</v>
      </c>
      <c r="R1431" s="109">
        <f>VLOOKUP(B1431,Readme!$A$62:$C$74,2,)*Q1431</f>
        <v>475.63922285916959</v>
      </c>
      <c r="S1431" s="140" t="str">
        <f t="shared" si="129"/>
        <v>Y</v>
      </c>
      <c r="T1431" s="154">
        <f t="shared" si="130"/>
        <v>8.6500000000000021</v>
      </c>
      <c r="U1431" s="154">
        <f t="shared" si="131"/>
        <v>4.8195549041132084</v>
      </c>
    </row>
    <row r="1432" spans="1:21" x14ac:dyDescent="0.35">
      <c r="A1432" s="108">
        <v>3155</v>
      </c>
      <c r="B1432" s="108">
        <v>2014</v>
      </c>
      <c r="C1432" s="108" t="s">
        <v>38</v>
      </c>
      <c r="D1432" s="108" t="s">
        <v>143</v>
      </c>
      <c r="E1432" s="108" t="s">
        <v>10</v>
      </c>
      <c r="F1432" s="116">
        <v>746</v>
      </c>
      <c r="G1432" s="108" t="s">
        <v>45</v>
      </c>
      <c r="H1432" s="108" t="str">
        <f t="shared" si="128"/>
        <v>Green - Duwamish River</v>
      </c>
      <c r="I1432" s="108" t="str">
        <f>IFERROR(VLOOKUP(H1432,LUTs!$A$1:$C$73,2,FALSE),"NA")</f>
        <v>King</v>
      </c>
      <c r="J1432" s="108" t="str">
        <f>IFERROR(VLOOKUP(H1432,LUTs!$A$1:$C$73,3,FALSE),"NA")</f>
        <v>3South Puget Sound</v>
      </c>
      <c r="K1432" s="108" t="s">
        <v>20</v>
      </c>
      <c r="L1432" s="108" t="str">
        <f>VLOOKUP(K1432,LUTs!E$2:G$14,3,)</f>
        <v>07Pierce</v>
      </c>
      <c r="M1432" s="108" t="str">
        <f>VLOOKUP($K1432,LUTs!$E$2:$H$14,2,)</f>
        <v>South Puget Sound</v>
      </c>
      <c r="N1432" s="108" t="str">
        <f>VLOOKUP($K1432,LUTs!$E$2:$H$14,4,)</f>
        <v>02South Puget Sound</v>
      </c>
      <c r="O1432" s="108">
        <v>385.43137254902001</v>
      </c>
      <c r="P1432" s="108">
        <v>3333.9813725490199</v>
      </c>
      <c r="Q1432" s="108">
        <f>SUMIFS('FW_Salmon_by_Month_2010-2021'!P$2:P$3810,'FW_Salmon_by_Month_2010-2021'!$B$2:$B$3810,'Rec_raw_catch_effort_2010-2021'!$B1432,'FW_Salmon_by_Month_2010-2021'!$H$2:$H$3810,'Rec_raw_catch_effort_2010-2021'!$F1432,'FW_Salmon_by_Month_2010-2021'!$M$2:$M$3810,'Rec_raw_catch_effort_2010-2021'!$K1432)</f>
        <v>381.94238904934338</v>
      </c>
      <c r="R1432" s="109">
        <f>VLOOKUP(B1432,Readme!$A$62:$C$74,2,)*Q1432</f>
        <v>1840.7923142314778</v>
      </c>
      <c r="S1432" s="140" t="str">
        <f t="shared" si="129"/>
        <v>Y</v>
      </c>
      <c r="T1432" s="154">
        <f t="shared" si="130"/>
        <v>8.6499999999999915</v>
      </c>
      <c r="U1432" s="154">
        <f t="shared" si="131"/>
        <v>4.8195549041132084</v>
      </c>
    </row>
    <row r="1433" spans="1:21" x14ac:dyDescent="0.35">
      <c r="A1433" s="108">
        <v>3037</v>
      </c>
      <c r="B1433" s="108">
        <v>2014</v>
      </c>
      <c r="C1433" s="108" t="s">
        <v>38</v>
      </c>
      <c r="D1433" s="108" t="s">
        <v>143</v>
      </c>
      <c r="E1433" s="108" t="s">
        <v>10</v>
      </c>
      <c r="F1433" s="116">
        <v>746</v>
      </c>
      <c r="G1433" s="108" t="s">
        <v>45</v>
      </c>
      <c r="H1433" s="108" t="str">
        <f t="shared" si="128"/>
        <v>Green - Duwamish River</v>
      </c>
      <c r="I1433" s="108" t="str">
        <f>IFERROR(VLOOKUP(H1433,LUTs!$A$1:$C$73,2,FALSE),"NA")</f>
        <v>King</v>
      </c>
      <c r="J1433" s="108" t="str">
        <f>IFERROR(VLOOKUP(H1433,LUTs!$A$1:$C$73,3,FALSE),"NA")</f>
        <v>3South Puget Sound</v>
      </c>
      <c r="K1433" s="108" t="s">
        <v>15</v>
      </c>
      <c r="L1433" s="108" t="str">
        <f>VLOOKUP(K1433,LUTs!E$2:G$14,3,)</f>
        <v>02Skagit</v>
      </c>
      <c r="M1433" s="108" t="str">
        <f>VLOOKUP($K1433,LUTs!$E$2:$H$14,2,)</f>
        <v>North Puget Sound</v>
      </c>
      <c r="N1433" s="108" t="str">
        <f>VLOOKUP($K1433,LUTs!$E$2:$H$14,4,)</f>
        <v>01North Puget Sound</v>
      </c>
      <c r="O1433" s="108">
        <v>21.023529411764699</v>
      </c>
      <c r="P1433" s="108">
        <v>181.85352941176501</v>
      </c>
      <c r="Q1433" s="108">
        <f>SUMIFS('FW_Salmon_by_Month_2010-2021'!P$2:P$3810,'FW_Salmon_by_Month_2010-2021'!$B$2:$B$3810,'Rec_raw_catch_effort_2010-2021'!$B1433,'FW_Salmon_by_Month_2010-2021'!$H$2:$H$3810,'Rec_raw_catch_effort_2010-2021'!$F1433,'FW_Salmon_by_Month_2010-2021'!$M$2:$M$3810,'Rec_raw_catch_effort_2010-2021'!$K1433)</f>
        <v>21.368852459016399</v>
      </c>
      <c r="R1433" s="109">
        <f>VLOOKUP(B1433,Readme!$A$62:$C$74,2,)*Q1433</f>
        <v>102.98835766412408</v>
      </c>
      <c r="S1433" s="140" t="str">
        <f t="shared" si="129"/>
        <v>Y</v>
      </c>
      <c r="T1433" s="154">
        <f t="shared" si="130"/>
        <v>8.6500000000000181</v>
      </c>
      <c r="U1433" s="154">
        <f t="shared" si="131"/>
        <v>4.8195549041132084</v>
      </c>
    </row>
    <row r="1434" spans="1:21" x14ac:dyDescent="0.35">
      <c r="A1434" s="108">
        <v>3153</v>
      </c>
      <c r="B1434" s="108">
        <v>2014</v>
      </c>
      <c r="C1434" s="108" t="s">
        <v>38</v>
      </c>
      <c r="D1434" s="108" t="s">
        <v>143</v>
      </c>
      <c r="E1434" s="108" t="s">
        <v>10</v>
      </c>
      <c r="F1434" s="116">
        <v>746</v>
      </c>
      <c r="G1434" s="108" t="s">
        <v>45</v>
      </c>
      <c r="H1434" s="108" t="str">
        <f t="shared" si="128"/>
        <v>Green - Duwamish River</v>
      </c>
      <c r="I1434" s="108" t="str">
        <f>IFERROR(VLOOKUP(H1434,LUTs!$A$1:$C$73,2,FALSE),"NA")</f>
        <v>King</v>
      </c>
      <c r="J1434" s="108" t="str">
        <f>IFERROR(VLOOKUP(H1434,LUTs!$A$1:$C$73,3,FALSE),"NA")</f>
        <v>3South Puget Sound</v>
      </c>
      <c r="K1434" s="108" t="s">
        <v>16</v>
      </c>
      <c r="L1434" s="108" t="str">
        <f>VLOOKUP(K1434,LUTs!E$2:G$14,3,)</f>
        <v>03Snohomish</v>
      </c>
      <c r="M1434" s="108" t="str">
        <f>VLOOKUP($K1434,LUTs!$E$2:$H$14,2,)</f>
        <v>North Puget Sound</v>
      </c>
      <c r="N1434" s="108" t="str">
        <f>VLOOKUP($K1434,LUTs!$E$2:$H$14,4,)</f>
        <v>01North Puget Sound</v>
      </c>
      <c r="O1434" s="108">
        <v>364.40784313725499</v>
      </c>
      <c r="P1434" s="108">
        <v>3152.1278431372598</v>
      </c>
      <c r="Q1434" s="108">
        <f>SUMIFS('FW_Salmon_by_Month_2010-2021'!P$2:P$3810,'FW_Salmon_by_Month_2010-2021'!$B$2:$B$3810,'Rec_raw_catch_effort_2010-2021'!$B1434,'FW_Salmon_by_Month_2010-2021'!$H$2:$H$3810,'Rec_raw_catch_effort_2010-2021'!$F1434,'FW_Salmon_by_Month_2010-2021'!$M$2:$M$3810,'Rec_raw_catch_effort_2010-2021'!$K1434)</f>
        <v>366.34402839360553</v>
      </c>
      <c r="R1434" s="109">
        <f>VLOOKUP(B1434,Readme!$A$62:$C$74,2,)*Q1434</f>
        <v>1765.6151586369899</v>
      </c>
      <c r="S1434" s="140" t="str">
        <f t="shared" si="129"/>
        <v>Y</v>
      </c>
      <c r="T1434" s="154">
        <f t="shared" si="130"/>
        <v>8.650000000000011</v>
      </c>
      <c r="U1434" s="154">
        <f t="shared" si="131"/>
        <v>4.8195549041132084</v>
      </c>
    </row>
    <row r="1435" spans="1:21" x14ac:dyDescent="0.35">
      <c r="A1435" s="108">
        <v>3156</v>
      </c>
      <c r="B1435" s="108">
        <v>2014</v>
      </c>
      <c r="C1435" s="108" t="s">
        <v>38</v>
      </c>
      <c r="D1435" s="108" t="s">
        <v>143</v>
      </c>
      <c r="E1435" s="108" t="s">
        <v>10</v>
      </c>
      <c r="F1435" s="116">
        <v>746</v>
      </c>
      <c r="G1435" s="108" t="s">
        <v>45</v>
      </c>
      <c r="H1435" s="108" t="str">
        <f t="shared" si="128"/>
        <v>Green - Duwamish River</v>
      </c>
      <c r="I1435" s="108" t="str">
        <f>IFERROR(VLOOKUP(H1435,LUTs!$A$1:$C$73,2,FALSE),"NA")</f>
        <v>King</v>
      </c>
      <c r="J1435" s="108" t="str">
        <f>IFERROR(VLOOKUP(H1435,LUTs!$A$1:$C$73,3,FALSE),"NA")</f>
        <v>3South Puget Sound</v>
      </c>
      <c r="K1435" s="108" t="s">
        <v>21</v>
      </c>
      <c r="L1435" s="108" t="str">
        <f>VLOOKUP(K1435,LUTs!E$2:G$14,3,)</f>
        <v>08Thurston</v>
      </c>
      <c r="M1435" s="108" t="str">
        <f>VLOOKUP($K1435,LUTs!$E$2:$H$14,2,)</f>
        <v>South Puget Sound</v>
      </c>
      <c r="N1435" s="108" t="str">
        <f>VLOOKUP($K1435,LUTs!$E$2:$H$14,4,)</f>
        <v>02South Puget Sound</v>
      </c>
      <c r="O1435" s="108">
        <v>7.0078431372549002</v>
      </c>
      <c r="P1435" s="108">
        <v>60.617843137254901</v>
      </c>
      <c r="Q1435" s="108">
        <f>SUMIFS('FW_Salmon_by_Month_2010-2021'!P$2:P$3810,'FW_Salmon_by_Month_2010-2021'!$B$2:$B$3810,'Rec_raw_catch_effort_2010-2021'!$B1435,'FW_Salmon_by_Month_2010-2021'!$H$2:$H$3810,'Rec_raw_catch_effort_2010-2021'!$F1435,'FW_Salmon_by_Month_2010-2021'!$M$2:$M$3810,'Rec_raw_catch_effort_2010-2021'!$K1435)</f>
        <v>7.1229508196721296</v>
      </c>
      <c r="R1435" s="109">
        <f>VLOOKUP(B1435,Readme!$A$62:$C$74,2,)*Q1435</f>
        <v>34.329452554708013</v>
      </c>
      <c r="S1435" s="140" t="str">
        <f t="shared" si="129"/>
        <v>Y</v>
      </c>
      <c r="T1435" s="154">
        <f t="shared" si="130"/>
        <v>8.6500000000000021</v>
      </c>
      <c r="U1435" s="154">
        <f t="shared" si="131"/>
        <v>4.8195549041132084</v>
      </c>
    </row>
    <row r="1436" spans="1:21" x14ac:dyDescent="0.35">
      <c r="A1436" s="108">
        <v>3451</v>
      </c>
      <c r="B1436" s="108">
        <v>2015</v>
      </c>
      <c r="C1436" s="108" t="s">
        <v>38</v>
      </c>
      <c r="D1436" s="108" t="s">
        <v>143</v>
      </c>
      <c r="E1436" s="108" t="s">
        <v>10</v>
      </c>
      <c r="F1436" s="116">
        <v>746</v>
      </c>
      <c r="G1436" s="108" t="s">
        <v>45</v>
      </c>
      <c r="H1436" s="108" t="str">
        <f t="shared" si="128"/>
        <v>Green - Duwamish River</v>
      </c>
      <c r="I1436" s="108" t="str">
        <f>IFERROR(VLOOKUP(H1436,LUTs!$A$1:$C$73,2,FALSE),"NA")</f>
        <v>King</v>
      </c>
      <c r="J1436" s="108" t="str">
        <f>IFERROR(VLOOKUP(H1436,LUTs!$A$1:$C$73,3,FALSE),"NA")</f>
        <v>3South Puget Sound</v>
      </c>
      <c r="K1436" s="108" t="s">
        <v>18</v>
      </c>
      <c r="L1436" s="108" t="str">
        <f>VLOOKUP(K1436,LUTs!E$2:G$14,3,)</f>
        <v>06King</v>
      </c>
      <c r="M1436" s="108" t="str">
        <f>VLOOKUP($K1436,LUTs!$E$2:$H$14,2,)</f>
        <v>South Puget Sound</v>
      </c>
      <c r="N1436" s="108" t="str">
        <f>VLOOKUP($K1436,LUTs!$E$2:$H$14,4,)</f>
        <v>02South Puget Sound</v>
      </c>
      <c r="O1436" s="108">
        <v>19444.641148325401</v>
      </c>
      <c r="P1436" s="108">
        <v>66889.565550239393</v>
      </c>
      <c r="Q1436" s="108">
        <f>SUMIFS('FW_Salmon_by_Month_2010-2021'!P$2:P$3810,'FW_Salmon_by_Month_2010-2021'!$B$2:$B$3810,'Rec_raw_catch_effort_2010-2021'!$B1436,'FW_Salmon_by_Month_2010-2021'!$H$2:$H$3810,'Rec_raw_catch_effort_2010-2021'!$F1436,'FW_Salmon_by_Month_2010-2021'!$M$2:$M$3810,'Rec_raw_catch_effort_2010-2021'!$K1436)</f>
        <v>19431.084408208222</v>
      </c>
      <c r="R1436" s="109">
        <f>VLOOKUP(B1436,Readme!$A$62:$C$74,2,)*Q1436</f>
        <v>68767.393509474467</v>
      </c>
      <c r="S1436" s="140" t="str">
        <f t="shared" si="129"/>
        <v>Y</v>
      </c>
      <c r="T1436" s="154">
        <f t="shared" si="130"/>
        <v>3.4400000000000008</v>
      </c>
      <c r="U1436" s="154">
        <f t="shared" si="131"/>
        <v>3.5390404397824158</v>
      </c>
    </row>
    <row r="1437" spans="1:21" x14ac:dyDescent="0.35">
      <c r="A1437" s="108">
        <v>3454</v>
      </c>
      <c r="B1437" s="108">
        <v>2015</v>
      </c>
      <c r="C1437" s="108" t="s">
        <v>38</v>
      </c>
      <c r="D1437" s="108" t="s">
        <v>143</v>
      </c>
      <c r="E1437" s="108" t="s">
        <v>10</v>
      </c>
      <c r="F1437" s="116">
        <v>746</v>
      </c>
      <c r="G1437" s="108" t="s">
        <v>45</v>
      </c>
      <c r="H1437" s="108" t="str">
        <f t="shared" si="128"/>
        <v>Green - Duwamish River</v>
      </c>
      <c r="I1437" s="108" t="str">
        <f>IFERROR(VLOOKUP(H1437,LUTs!$A$1:$C$73,2,FALSE),"NA")</f>
        <v>King</v>
      </c>
      <c r="J1437" s="108" t="str">
        <f>IFERROR(VLOOKUP(H1437,LUTs!$A$1:$C$73,3,FALSE),"NA")</f>
        <v>3South Puget Sound</v>
      </c>
      <c r="K1437" s="108" t="s">
        <v>23</v>
      </c>
      <c r="L1437" s="108" t="str">
        <f>VLOOKUP(K1437,LUTs!E$2:G$14,3,)</f>
        <v>10Kitsap</v>
      </c>
      <c r="M1437" s="108" t="str">
        <f>VLOOKUP($K1437,LUTs!$E$2:$H$14,2,)</f>
        <v>South Puget Sound</v>
      </c>
      <c r="N1437" s="108" t="str">
        <f>VLOOKUP($K1437,LUTs!$E$2:$H$14,4,)</f>
        <v>02South Puget Sound</v>
      </c>
      <c r="O1437" s="108">
        <v>151.562998405104</v>
      </c>
      <c r="P1437" s="108">
        <v>521.376714513558</v>
      </c>
      <c r="Q1437" s="108">
        <f>SUMIFS('FW_Salmon_by_Month_2010-2021'!P$2:P$3810,'FW_Salmon_by_Month_2010-2021'!$B$2:$B$3810,'Rec_raw_catch_effort_2010-2021'!$B1437,'FW_Salmon_by_Month_2010-2021'!$H$2:$H$3810,'Rec_raw_catch_effort_2010-2021'!$F1437,'FW_Salmon_by_Month_2010-2021'!$M$2:$M$3810,'Rec_raw_catch_effort_2010-2021'!$K1437)</f>
        <v>152.51804179804941</v>
      </c>
      <c r="R1437" s="109">
        <f>VLOOKUP(B1437,Readme!$A$62:$C$74,2,)*Q1437</f>
        <v>539.76751771972158</v>
      </c>
      <c r="S1437" s="140" t="str">
        <f t="shared" si="129"/>
        <v>Y</v>
      </c>
      <c r="T1437" s="154">
        <f t="shared" si="130"/>
        <v>3.4400000000000017</v>
      </c>
      <c r="U1437" s="154">
        <f t="shared" si="131"/>
        <v>3.5390404397824153</v>
      </c>
    </row>
    <row r="1438" spans="1:21" x14ac:dyDescent="0.35">
      <c r="A1438" s="108">
        <v>3494</v>
      </c>
      <c r="B1438" s="108">
        <v>2015</v>
      </c>
      <c r="C1438" s="108" t="s">
        <v>38</v>
      </c>
      <c r="D1438" s="108" t="s">
        <v>143</v>
      </c>
      <c r="E1438" s="108" t="s">
        <v>10</v>
      </c>
      <c r="F1438" s="116">
        <v>746</v>
      </c>
      <c r="G1438" s="108" t="s">
        <v>45</v>
      </c>
      <c r="H1438" s="108" t="str">
        <f t="shared" si="128"/>
        <v>Green - Duwamish River</v>
      </c>
      <c r="I1438" s="108" t="str">
        <f>IFERROR(VLOOKUP(H1438,LUTs!$A$1:$C$73,2,FALSE),"NA")</f>
        <v>King</v>
      </c>
      <c r="J1438" s="108" t="str">
        <f>IFERROR(VLOOKUP(H1438,LUTs!$A$1:$C$73,3,FALSE),"NA")</f>
        <v>3South Puget Sound</v>
      </c>
      <c r="K1438" s="108" t="s">
        <v>26</v>
      </c>
      <c r="L1438" s="108" t="str">
        <f>VLOOKUP(K1438,LUTs!E$2:G$14,3,)</f>
        <v>20Other</v>
      </c>
      <c r="M1438" s="108" t="str">
        <f>VLOOKUP($K1438,LUTs!$E$2:$H$14,2,)</f>
        <v>Non Puget Sound</v>
      </c>
      <c r="N1438" s="108" t="str">
        <f>VLOOKUP($K1438,LUTs!$E$2:$H$14,4,)</f>
        <v>07Non Puget Sound</v>
      </c>
      <c r="O1438" s="108">
        <v>882.63157894736901</v>
      </c>
      <c r="P1438" s="108">
        <v>3036.2526315789501</v>
      </c>
      <c r="Q1438" s="108">
        <f>SUMIFS('FW_Salmon_by_Month_2010-2021'!P$2:P$3810,'FW_Salmon_by_Month_2010-2021'!$B$2:$B$3810,'Rec_raw_catch_effort_2010-2021'!$B1438,'FW_Salmon_by_Month_2010-2021'!$H$2:$H$3810,'Rec_raw_catch_effort_2010-2021'!$F1438,'FW_Salmon_by_Month_2010-2021'!$M$2:$M$3810,'Rec_raw_catch_effort_2010-2021'!$K1438)</f>
        <v>889.99858464951501</v>
      </c>
      <c r="R1438" s="109">
        <f>VLOOKUP(B1438,Readme!$A$62:$C$74,2,)*Q1438</f>
        <v>3149.740982423747</v>
      </c>
      <c r="S1438" s="140" t="str">
        <f t="shared" si="129"/>
        <v>Y</v>
      </c>
      <c r="T1438" s="154">
        <f t="shared" si="130"/>
        <v>3.4400000000000008</v>
      </c>
      <c r="U1438" s="154">
        <f t="shared" si="131"/>
        <v>3.5390404397824158</v>
      </c>
    </row>
    <row r="1439" spans="1:21" x14ac:dyDescent="0.35">
      <c r="A1439" s="108">
        <v>3452</v>
      </c>
      <c r="B1439" s="108">
        <v>2015</v>
      </c>
      <c r="C1439" s="108" t="s">
        <v>38</v>
      </c>
      <c r="D1439" s="108" t="s">
        <v>143</v>
      </c>
      <c r="E1439" s="108" t="s">
        <v>10</v>
      </c>
      <c r="F1439" s="116">
        <v>746</v>
      </c>
      <c r="G1439" s="108" t="s">
        <v>45</v>
      </c>
      <c r="H1439" s="108" t="str">
        <f t="shared" si="128"/>
        <v>Green - Duwamish River</v>
      </c>
      <c r="I1439" s="108" t="str">
        <f>IFERROR(VLOOKUP(H1439,LUTs!$A$1:$C$73,2,FALSE),"NA")</f>
        <v>King</v>
      </c>
      <c r="J1439" s="108" t="str">
        <f>IFERROR(VLOOKUP(H1439,LUTs!$A$1:$C$73,3,FALSE),"NA")</f>
        <v>3South Puget Sound</v>
      </c>
      <c r="K1439" s="108" t="s">
        <v>20</v>
      </c>
      <c r="L1439" s="108" t="str">
        <f>VLOOKUP(K1439,LUTs!E$2:G$14,3,)</f>
        <v>07Pierce</v>
      </c>
      <c r="M1439" s="108" t="str">
        <f>VLOOKUP($K1439,LUTs!$E$2:$H$14,2,)</f>
        <v>South Puget Sound</v>
      </c>
      <c r="N1439" s="108" t="str">
        <f>VLOOKUP($K1439,LUTs!$E$2:$H$14,4,)</f>
        <v>02South Puget Sound</v>
      </c>
      <c r="O1439" s="108">
        <v>1497.7990430622001</v>
      </c>
      <c r="P1439" s="108">
        <v>5152.4287081339698</v>
      </c>
      <c r="Q1439" s="108">
        <f>SUMIFS('FW_Salmon_by_Month_2010-2021'!P$2:P$3810,'FW_Salmon_by_Month_2010-2021'!$B$2:$B$3810,'Rec_raw_catch_effort_2010-2021'!$B1439,'FW_Salmon_by_Month_2010-2021'!$H$2:$H$3810,'Rec_raw_catch_effort_2010-2021'!$F1439,'FW_Salmon_by_Month_2010-2021'!$M$2:$M$3810,'Rec_raw_catch_effort_2010-2021'!$K1439)</f>
        <v>1509.5879984421795</v>
      </c>
      <c r="R1439" s="109">
        <f>VLOOKUP(B1439,Readme!$A$62:$C$74,2,)*Q1439</f>
        <v>5342.4929738970668</v>
      </c>
      <c r="S1439" s="140" t="str">
        <f t="shared" si="129"/>
        <v>Y</v>
      </c>
      <c r="T1439" s="154">
        <f t="shared" si="130"/>
        <v>3.4400000000000008</v>
      </c>
      <c r="U1439" s="154">
        <f t="shared" si="131"/>
        <v>3.5390404397824153</v>
      </c>
    </row>
    <row r="1440" spans="1:21" x14ac:dyDescent="0.35">
      <c r="A1440" s="108">
        <v>3362</v>
      </c>
      <c r="B1440" s="108">
        <v>2015</v>
      </c>
      <c r="C1440" s="108" t="s">
        <v>38</v>
      </c>
      <c r="D1440" s="108" t="s">
        <v>143</v>
      </c>
      <c r="E1440" s="108" t="s">
        <v>10</v>
      </c>
      <c r="F1440" s="116">
        <v>746</v>
      </c>
      <c r="G1440" s="108" t="s">
        <v>45</v>
      </c>
      <c r="H1440" s="108" t="str">
        <f t="shared" si="128"/>
        <v>Green - Duwamish River</v>
      </c>
      <c r="I1440" s="108" t="str">
        <f>IFERROR(VLOOKUP(H1440,LUTs!$A$1:$C$73,2,FALSE),"NA")</f>
        <v>King</v>
      </c>
      <c r="J1440" s="108" t="str">
        <f>IFERROR(VLOOKUP(H1440,LUTs!$A$1:$C$73,3,FALSE),"NA")</f>
        <v>3South Puget Sound</v>
      </c>
      <c r="K1440" s="108" t="s">
        <v>15</v>
      </c>
      <c r="L1440" s="108" t="str">
        <f>VLOOKUP(K1440,LUTs!E$2:G$14,3,)</f>
        <v>02Skagit</v>
      </c>
      <c r="M1440" s="108" t="str">
        <f>VLOOKUP($K1440,LUTs!$E$2:$H$14,2,)</f>
        <v>North Puget Sound</v>
      </c>
      <c r="N1440" s="108" t="str">
        <f>VLOOKUP($K1440,LUTs!$E$2:$H$14,4,)</f>
        <v>01North Puget Sound</v>
      </c>
      <c r="O1440" s="108">
        <v>8.9154704944178604</v>
      </c>
      <c r="P1440" s="108">
        <v>30.669218500797399</v>
      </c>
      <c r="Q1440" s="108">
        <f>SUMIFS('FW_Salmon_by_Month_2010-2021'!P$2:P$3810,'FW_Salmon_by_Month_2010-2021'!$B$2:$B$3810,'Rec_raw_catch_effort_2010-2021'!$B1440,'FW_Salmon_by_Month_2010-2021'!$H$2:$H$3810,'Rec_raw_catch_effort_2010-2021'!$F1440,'FW_Salmon_by_Month_2010-2021'!$M$2:$M$3810,'Rec_raw_catch_effort_2010-2021'!$K1440)</f>
        <v>8.9718045112782008</v>
      </c>
      <c r="R1440" s="109">
        <f>VLOOKUP(B1440,Readme!$A$62:$C$74,2,)*Q1440</f>
        <v>31.751578983235863</v>
      </c>
      <c r="S1440" s="140" t="str">
        <f t="shared" si="129"/>
        <v>Y</v>
      </c>
      <c r="T1440" s="154">
        <f t="shared" si="130"/>
        <v>3.4399999999999955</v>
      </c>
      <c r="U1440" s="154">
        <f t="shared" si="131"/>
        <v>3.5390404397824153</v>
      </c>
    </row>
    <row r="1441" spans="1:21" x14ac:dyDescent="0.35">
      <c r="A1441" s="108">
        <v>3363</v>
      </c>
      <c r="B1441" s="108">
        <v>2015</v>
      </c>
      <c r="C1441" s="108" t="s">
        <v>38</v>
      </c>
      <c r="D1441" s="108" t="s">
        <v>143</v>
      </c>
      <c r="E1441" s="108" t="s">
        <v>10</v>
      </c>
      <c r="F1441" s="116">
        <v>746</v>
      </c>
      <c r="G1441" s="108" t="s">
        <v>45</v>
      </c>
      <c r="H1441" s="108" t="str">
        <f t="shared" si="128"/>
        <v>Green - Duwamish River</v>
      </c>
      <c r="I1441" s="108" t="str">
        <f>IFERROR(VLOOKUP(H1441,LUTs!$A$1:$C$73,2,FALSE),"NA")</f>
        <v>King</v>
      </c>
      <c r="J1441" s="108" t="str">
        <f>IFERROR(VLOOKUP(H1441,LUTs!$A$1:$C$73,3,FALSE),"NA")</f>
        <v>3South Puget Sound</v>
      </c>
      <c r="K1441" s="108" t="s">
        <v>16</v>
      </c>
      <c r="L1441" s="108" t="str">
        <f>VLOOKUP(K1441,LUTs!E$2:G$14,3,)</f>
        <v>03Snohomish</v>
      </c>
      <c r="M1441" s="108" t="str">
        <f>VLOOKUP($K1441,LUTs!$E$2:$H$14,2,)</f>
        <v>North Puget Sound</v>
      </c>
      <c r="N1441" s="108" t="str">
        <f>VLOOKUP($K1441,LUTs!$E$2:$H$14,4,)</f>
        <v>01North Puget Sound</v>
      </c>
      <c r="O1441" s="108">
        <v>205.05582137161099</v>
      </c>
      <c r="P1441" s="108">
        <v>705.39202551834205</v>
      </c>
      <c r="Q1441" s="108">
        <f>SUMIFS('FW_Salmon_by_Month_2010-2021'!P$2:P$3810,'FW_Salmon_by_Month_2010-2021'!$B$2:$B$3810,'Rec_raw_catch_effort_2010-2021'!$B1441,'FW_Salmon_by_Month_2010-2021'!$H$2:$H$3810,'Rec_raw_catch_effort_2010-2021'!$F1441,'FW_Salmon_by_Month_2010-2021'!$M$2:$M$3810,'Rec_raw_catch_effort_2010-2021'!$K1441)</f>
        <v>197.37676621063599</v>
      </c>
      <c r="R1441" s="109">
        <f>VLOOKUP(B1441,Readme!$A$62:$C$74,2,)*Q1441</f>
        <v>698.52435749292022</v>
      </c>
      <c r="S1441" s="140" t="str">
        <f t="shared" si="129"/>
        <v>Y</v>
      </c>
      <c r="T1441" s="154">
        <f t="shared" si="130"/>
        <v>3.4400000000000013</v>
      </c>
      <c r="U1441" s="154">
        <f t="shared" si="131"/>
        <v>3.5390404397824153</v>
      </c>
    </row>
    <row r="1442" spans="1:21" x14ac:dyDescent="0.35">
      <c r="A1442" s="108">
        <v>3453</v>
      </c>
      <c r="B1442" s="108">
        <v>2015</v>
      </c>
      <c r="C1442" s="108" t="s">
        <v>38</v>
      </c>
      <c r="D1442" s="108" t="s">
        <v>143</v>
      </c>
      <c r="E1442" s="108" t="s">
        <v>10</v>
      </c>
      <c r="F1442" s="116">
        <v>746</v>
      </c>
      <c r="G1442" s="108" t="s">
        <v>45</v>
      </c>
      <c r="H1442" s="108" t="str">
        <f t="shared" si="128"/>
        <v>Green - Duwamish River</v>
      </c>
      <c r="I1442" s="108" t="str">
        <f>IFERROR(VLOOKUP(H1442,LUTs!$A$1:$C$73,2,FALSE),"NA")</f>
        <v>King</v>
      </c>
      <c r="J1442" s="108" t="str">
        <f>IFERROR(VLOOKUP(H1442,LUTs!$A$1:$C$73,3,FALSE),"NA")</f>
        <v>3South Puget Sound</v>
      </c>
      <c r="K1442" s="108" t="s">
        <v>21</v>
      </c>
      <c r="L1442" s="108" t="str">
        <f>VLOOKUP(K1442,LUTs!E$2:G$14,3,)</f>
        <v>08Thurston</v>
      </c>
      <c r="M1442" s="108" t="str">
        <f>VLOOKUP($K1442,LUTs!$E$2:$H$14,2,)</f>
        <v>South Puget Sound</v>
      </c>
      <c r="N1442" s="108" t="str">
        <f>VLOOKUP($K1442,LUTs!$E$2:$H$14,4,)</f>
        <v>02South Puget Sound</v>
      </c>
      <c r="O1442" s="108">
        <v>169.39393939393901</v>
      </c>
      <c r="P1442" s="108">
        <v>582.71515151514996</v>
      </c>
      <c r="Q1442" s="108">
        <f>SUMIFS('FW_Salmon_by_Month_2010-2021'!P$2:P$3810,'FW_Salmon_by_Month_2010-2021'!$B$2:$B$3810,'Rec_raw_catch_effort_2010-2021'!$B1442,'FW_Salmon_by_Month_2010-2021'!$H$2:$H$3810,'Rec_raw_catch_effort_2010-2021'!$F1442,'FW_Salmon_by_Month_2010-2021'!$M$2:$M$3810,'Rec_raw_catch_effort_2010-2021'!$K1442)</f>
        <v>170.46239618011722</v>
      </c>
      <c r="R1442" s="109">
        <f>VLOOKUP(B1442,Readme!$A$62:$C$74,2,)*Q1442</f>
        <v>603.2733135436464</v>
      </c>
      <c r="S1442" s="140" t="str">
        <f t="shared" si="129"/>
        <v>Y</v>
      </c>
      <c r="T1442" s="154">
        <f t="shared" si="130"/>
        <v>3.4399999999999986</v>
      </c>
      <c r="U1442" s="154">
        <f t="shared" si="131"/>
        <v>3.5390404397824153</v>
      </c>
    </row>
    <row r="1443" spans="1:21" x14ac:dyDescent="0.35">
      <c r="A1443" s="108">
        <v>3644</v>
      </c>
      <c r="B1443" s="108">
        <v>2016</v>
      </c>
      <c r="C1443" s="108" t="s">
        <v>38</v>
      </c>
      <c r="D1443" s="108" t="s">
        <v>143</v>
      </c>
      <c r="E1443" s="108" t="s">
        <v>10</v>
      </c>
      <c r="F1443" s="116">
        <v>746</v>
      </c>
      <c r="G1443" s="108" t="s">
        <v>45</v>
      </c>
      <c r="H1443" s="108" t="str">
        <f t="shared" si="128"/>
        <v>Green - Duwamish River</v>
      </c>
      <c r="I1443" s="108" t="str">
        <f>IFERROR(VLOOKUP(H1443,LUTs!$A$1:$C$73,2,FALSE),"NA")</f>
        <v>King</v>
      </c>
      <c r="J1443" s="108" t="str">
        <f>IFERROR(VLOOKUP(H1443,LUTs!$A$1:$C$73,3,FALSE),"NA")</f>
        <v>3South Puget Sound</v>
      </c>
      <c r="K1443" s="108" t="s">
        <v>24</v>
      </c>
      <c r="L1443" s="108" t="str">
        <f>VLOOKUP(K1443,LUTs!E$2:G$14,3,)</f>
        <v>11Clallam</v>
      </c>
      <c r="M1443" s="108" t="str">
        <f>VLOOKUP($K1443,LUTs!$E$2:$H$14,2,)</f>
        <v>Strait of Juan de Fuca</v>
      </c>
      <c r="N1443" s="108" t="str">
        <f>VLOOKUP($K1443,LUTs!$E$2:$H$14,4,)</f>
        <v>03Strait of Juan de Fuca</v>
      </c>
      <c r="O1443" s="108">
        <v>9.1873198847262305</v>
      </c>
      <c r="P1443" s="108">
        <v>79.470317002881899</v>
      </c>
      <c r="Q1443" s="108">
        <f>SUMIFS('FW_Salmon_by_Month_2010-2021'!P$2:P$3810,'FW_Salmon_by_Month_2010-2021'!$B$2:$B$3810,'Rec_raw_catch_effort_2010-2021'!$B1443,'FW_Salmon_by_Month_2010-2021'!$H$2:$H$3810,'Rec_raw_catch_effort_2010-2021'!$F1443,'FW_Salmon_by_Month_2010-2021'!$M$2:$M$3810,'Rec_raw_catch_effort_2010-2021'!$K1443)</f>
        <v>9.0136986301369895</v>
      </c>
      <c r="R1443" s="109">
        <f>VLOOKUP(B1443,Readme!$A$62:$C$74,2,)*Q1443</f>
        <v>43.442015437075234</v>
      </c>
      <c r="S1443" s="140" t="str">
        <f t="shared" si="129"/>
        <v>Y</v>
      </c>
      <c r="T1443" s="154">
        <f t="shared" si="130"/>
        <v>8.65</v>
      </c>
      <c r="U1443" s="154">
        <f t="shared" si="131"/>
        <v>4.8195549041132084</v>
      </c>
    </row>
    <row r="1444" spans="1:21" x14ac:dyDescent="0.35">
      <c r="A1444" s="108">
        <v>3551</v>
      </c>
      <c r="B1444" s="108">
        <v>2016</v>
      </c>
      <c r="C1444" s="108" t="s">
        <v>38</v>
      </c>
      <c r="D1444" s="108" t="s">
        <v>143</v>
      </c>
      <c r="E1444" s="108" t="s">
        <v>10</v>
      </c>
      <c r="F1444" s="116">
        <v>746</v>
      </c>
      <c r="G1444" s="108" t="s">
        <v>45</v>
      </c>
      <c r="H1444" s="108" t="str">
        <f t="shared" si="128"/>
        <v>Green - Duwamish River</v>
      </c>
      <c r="I1444" s="108" t="str">
        <f>IFERROR(VLOOKUP(H1444,LUTs!$A$1:$C$73,2,FALSE),"NA")</f>
        <v>King</v>
      </c>
      <c r="J1444" s="108" t="str">
        <f>IFERROR(VLOOKUP(H1444,LUTs!$A$1:$C$73,3,FALSE),"NA")</f>
        <v>3South Puget Sound</v>
      </c>
      <c r="K1444" s="108" t="s">
        <v>18</v>
      </c>
      <c r="L1444" s="108" t="str">
        <f>VLOOKUP(K1444,LUTs!E$2:G$14,3,)</f>
        <v>06King</v>
      </c>
      <c r="M1444" s="108" t="str">
        <f>VLOOKUP($K1444,LUTs!$E$2:$H$14,2,)</f>
        <v>South Puget Sound</v>
      </c>
      <c r="N1444" s="108" t="str">
        <f>VLOOKUP($K1444,LUTs!$E$2:$H$14,4,)</f>
        <v>02South Puget Sound</v>
      </c>
      <c r="O1444" s="108">
        <v>2508.13832853026</v>
      </c>
      <c r="P1444" s="108">
        <v>21695.396541786798</v>
      </c>
      <c r="Q1444" s="108">
        <f>SUMIFS('FW_Salmon_by_Month_2010-2021'!P$2:P$3810,'FW_Salmon_by_Month_2010-2021'!$B$2:$B$3810,'Rec_raw_catch_effort_2010-2021'!$B1444,'FW_Salmon_by_Month_2010-2021'!$H$2:$H$3810,'Rec_raw_catch_effort_2010-2021'!$F1444,'FW_Salmon_by_Month_2010-2021'!$M$2:$M$3810,'Rec_raw_catch_effort_2010-2021'!$K1444)</f>
        <v>2514.7074301013054</v>
      </c>
      <c r="R1444" s="109">
        <f>VLOOKUP(B1444,Readme!$A$62:$C$74,2,)*Q1444</f>
        <v>12119.770527154669</v>
      </c>
      <c r="S1444" s="140" t="str">
        <f t="shared" si="129"/>
        <v>Y</v>
      </c>
      <c r="T1444" s="154">
        <f t="shared" si="130"/>
        <v>8.6500000000000199</v>
      </c>
      <c r="U1444" s="154">
        <f t="shared" si="131"/>
        <v>4.8195549041132084</v>
      </c>
    </row>
    <row r="1445" spans="1:21" x14ac:dyDescent="0.35">
      <c r="A1445" s="108">
        <v>3641</v>
      </c>
      <c r="B1445" s="108">
        <v>2016</v>
      </c>
      <c r="C1445" s="108" t="s">
        <v>38</v>
      </c>
      <c r="D1445" s="108" t="s">
        <v>143</v>
      </c>
      <c r="E1445" s="108" t="s">
        <v>10</v>
      </c>
      <c r="F1445" s="116">
        <v>746</v>
      </c>
      <c r="G1445" s="108" t="s">
        <v>45</v>
      </c>
      <c r="H1445" s="108" t="str">
        <f t="shared" si="128"/>
        <v>Green - Duwamish River</v>
      </c>
      <c r="I1445" s="108" t="str">
        <f>IFERROR(VLOOKUP(H1445,LUTs!$A$1:$C$73,2,FALSE),"NA")</f>
        <v>King</v>
      </c>
      <c r="J1445" s="108" t="str">
        <f>IFERROR(VLOOKUP(H1445,LUTs!$A$1:$C$73,3,FALSE),"NA")</f>
        <v>3South Puget Sound</v>
      </c>
      <c r="K1445" s="108" t="s">
        <v>23</v>
      </c>
      <c r="L1445" s="108" t="str">
        <f>VLOOKUP(K1445,LUTs!E$2:G$14,3,)</f>
        <v>10Kitsap</v>
      </c>
      <c r="M1445" s="108" t="str">
        <f>VLOOKUP($K1445,LUTs!$E$2:$H$14,2,)</f>
        <v>South Puget Sound</v>
      </c>
      <c r="N1445" s="108" t="str">
        <f>VLOOKUP($K1445,LUTs!$E$2:$H$14,4,)</f>
        <v>02South Puget Sound</v>
      </c>
      <c r="O1445" s="108">
        <v>36.749279538904901</v>
      </c>
      <c r="P1445" s="108">
        <v>317.88126801152703</v>
      </c>
      <c r="Q1445" s="108">
        <f>SUMIFS('FW_Salmon_by_Month_2010-2021'!P$2:P$3810,'FW_Salmon_by_Month_2010-2021'!$B$2:$B$3810,'Rec_raw_catch_effort_2010-2021'!$B1445,'FW_Salmon_by_Month_2010-2021'!$H$2:$H$3810,'Rec_raw_catch_effort_2010-2021'!$F1445,'FW_Salmon_by_Month_2010-2021'!$M$2:$M$3810,'Rec_raw_catch_effort_2010-2021'!$K1445)</f>
        <v>36.054794520548</v>
      </c>
      <c r="R1445" s="109">
        <f>VLOOKUP(B1445,Readme!$A$62:$C$74,2,)*Q1445</f>
        <v>173.76806174830116</v>
      </c>
      <c r="S1445" s="140" t="str">
        <f t="shared" si="129"/>
        <v>Y</v>
      </c>
      <c r="T1445" s="154">
        <f t="shared" si="130"/>
        <v>8.6499999999999897</v>
      </c>
      <c r="U1445" s="154">
        <f t="shared" si="131"/>
        <v>4.8195549041132084</v>
      </c>
    </row>
    <row r="1446" spans="1:21" x14ac:dyDescent="0.35">
      <c r="A1446" s="108">
        <v>3645</v>
      </c>
      <c r="B1446" s="108">
        <v>2016</v>
      </c>
      <c r="C1446" s="108" t="s">
        <v>38</v>
      </c>
      <c r="D1446" s="108" t="s">
        <v>143</v>
      </c>
      <c r="E1446" s="108" t="s">
        <v>10</v>
      </c>
      <c r="F1446" s="116">
        <v>746</v>
      </c>
      <c r="G1446" s="108" t="s">
        <v>45</v>
      </c>
      <c r="H1446" s="108" t="str">
        <f t="shared" si="128"/>
        <v>Green - Duwamish River</v>
      </c>
      <c r="I1446" s="108" t="str">
        <f>IFERROR(VLOOKUP(H1446,LUTs!$A$1:$C$73,2,FALSE),"NA")</f>
        <v>King</v>
      </c>
      <c r="J1446" s="108" t="str">
        <f>IFERROR(VLOOKUP(H1446,LUTs!$A$1:$C$73,3,FALSE),"NA")</f>
        <v>3South Puget Sound</v>
      </c>
      <c r="K1446" s="108" t="s">
        <v>26</v>
      </c>
      <c r="L1446" s="108" t="str">
        <f>VLOOKUP(K1446,LUTs!E$2:G$14,3,)</f>
        <v>20Other</v>
      </c>
      <c r="M1446" s="108" t="str">
        <f>VLOOKUP($K1446,LUTs!$E$2:$H$14,2,)</f>
        <v>Non Puget Sound</v>
      </c>
      <c r="N1446" s="108" t="str">
        <f>VLOOKUP($K1446,LUTs!$E$2:$H$14,4,)</f>
        <v>07Non Puget Sound</v>
      </c>
      <c r="O1446" s="108">
        <v>73.498559077809801</v>
      </c>
      <c r="P1446" s="108">
        <v>635.76253602305496</v>
      </c>
      <c r="Q1446" s="108">
        <f>SUMIFS('FW_Salmon_by_Month_2010-2021'!P$2:P$3810,'FW_Salmon_by_Month_2010-2021'!$B$2:$B$3810,'Rec_raw_catch_effort_2010-2021'!$B1446,'FW_Salmon_by_Month_2010-2021'!$H$2:$H$3810,'Rec_raw_catch_effort_2010-2021'!$F1446,'FW_Salmon_by_Month_2010-2021'!$M$2:$M$3810,'Rec_raw_catch_effort_2010-2021'!$K1446)</f>
        <v>62.816560654248121</v>
      </c>
      <c r="R1446" s="109">
        <f>VLOOKUP(B1446,Readme!$A$62:$C$74,2,)*Q1446</f>
        <v>302.74786296070636</v>
      </c>
      <c r="S1446" s="140" t="str">
        <f t="shared" si="129"/>
        <v>Y</v>
      </c>
      <c r="T1446" s="154">
        <f t="shared" si="130"/>
        <v>8.6500000000000021</v>
      </c>
      <c r="U1446" s="154">
        <f t="shared" si="131"/>
        <v>4.8195549041132084</v>
      </c>
    </row>
    <row r="1447" spans="1:21" x14ac:dyDescent="0.35">
      <c r="A1447" s="108">
        <v>3598</v>
      </c>
      <c r="B1447" s="108">
        <v>2016</v>
      </c>
      <c r="C1447" s="108" t="s">
        <v>38</v>
      </c>
      <c r="D1447" s="108" t="s">
        <v>143</v>
      </c>
      <c r="E1447" s="108" t="s">
        <v>10</v>
      </c>
      <c r="F1447" s="116">
        <v>746</v>
      </c>
      <c r="G1447" s="108" t="s">
        <v>45</v>
      </c>
      <c r="H1447" s="108" t="str">
        <f t="shared" si="128"/>
        <v>Green - Duwamish River</v>
      </c>
      <c r="I1447" s="108" t="str">
        <f>IFERROR(VLOOKUP(H1447,LUTs!$A$1:$C$73,2,FALSE),"NA")</f>
        <v>King</v>
      </c>
      <c r="J1447" s="108" t="str">
        <f>IFERROR(VLOOKUP(H1447,LUTs!$A$1:$C$73,3,FALSE),"NA")</f>
        <v>3South Puget Sound</v>
      </c>
      <c r="K1447" s="108" t="s">
        <v>20</v>
      </c>
      <c r="L1447" s="108" t="str">
        <f>VLOOKUP(K1447,LUTs!E$2:G$14,3,)</f>
        <v>07Pierce</v>
      </c>
      <c r="M1447" s="108" t="str">
        <f>VLOOKUP($K1447,LUTs!$E$2:$H$14,2,)</f>
        <v>South Puget Sound</v>
      </c>
      <c r="N1447" s="108" t="str">
        <f>VLOOKUP($K1447,LUTs!$E$2:$H$14,4,)</f>
        <v>02South Puget Sound</v>
      </c>
      <c r="O1447" s="108">
        <v>349.11815561959702</v>
      </c>
      <c r="P1447" s="108">
        <v>3019.8720461095099</v>
      </c>
      <c r="Q1447" s="108">
        <f>SUMIFS('FW_Salmon_by_Month_2010-2021'!P$2:P$3810,'FW_Salmon_by_Month_2010-2021'!$B$2:$B$3810,'Rec_raw_catch_effort_2010-2021'!$B1447,'FW_Salmon_by_Month_2010-2021'!$H$2:$H$3810,'Rec_raw_catch_effort_2010-2021'!$F1447,'FW_Salmon_by_Month_2010-2021'!$M$2:$M$3810,'Rec_raw_catch_effort_2010-2021'!$K1447)</f>
        <v>355.03466097809456</v>
      </c>
      <c r="R1447" s="109">
        <f>VLOOKUP(B1447,Readme!$A$62:$C$74,2,)*Q1447</f>
        <v>1711.109041447146</v>
      </c>
      <c r="S1447" s="140" t="str">
        <f t="shared" si="129"/>
        <v>Y</v>
      </c>
      <c r="T1447" s="154">
        <f t="shared" si="130"/>
        <v>8.6499999999999879</v>
      </c>
      <c r="U1447" s="154">
        <f t="shared" si="131"/>
        <v>4.8195549041132084</v>
      </c>
    </row>
    <row r="1448" spans="1:21" x14ac:dyDescent="0.35">
      <c r="A1448" s="108">
        <v>3543</v>
      </c>
      <c r="B1448" s="108">
        <v>2016</v>
      </c>
      <c r="C1448" s="108" t="s">
        <v>38</v>
      </c>
      <c r="D1448" s="108" t="s">
        <v>143</v>
      </c>
      <c r="E1448" s="108" t="s">
        <v>10</v>
      </c>
      <c r="F1448" s="116">
        <v>746</v>
      </c>
      <c r="G1448" s="108" t="s">
        <v>45</v>
      </c>
      <c r="H1448" s="108" t="str">
        <f t="shared" si="128"/>
        <v>Green - Duwamish River</v>
      </c>
      <c r="I1448" s="108" t="str">
        <f>IFERROR(VLOOKUP(H1448,LUTs!$A$1:$C$73,2,FALSE),"NA")</f>
        <v>King</v>
      </c>
      <c r="J1448" s="108" t="str">
        <f>IFERROR(VLOOKUP(H1448,LUTs!$A$1:$C$73,3,FALSE),"NA")</f>
        <v>3South Puget Sound</v>
      </c>
      <c r="K1448" s="108" t="s">
        <v>16</v>
      </c>
      <c r="L1448" s="108" t="str">
        <f>VLOOKUP(K1448,LUTs!E$2:G$14,3,)</f>
        <v>03Snohomish</v>
      </c>
      <c r="M1448" s="108" t="str">
        <f>VLOOKUP($K1448,LUTs!$E$2:$H$14,2,)</f>
        <v>North Puget Sound</v>
      </c>
      <c r="N1448" s="108" t="str">
        <f>VLOOKUP($K1448,LUTs!$E$2:$H$14,4,)</f>
        <v>01North Puget Sound</v>
      </c>
      <c r="O1448" s="108">
        <v>165.37175792507199</v>
      </c>
      <c r="P1448" s="108">
        <v>1430.46570605187</v>
      </c>
      <c r="Q1448" s="108">
        <f>SUMIFS('FW_Salmon_by_Month_2010-2021'!P$2:P$3810,'FW_Salmon_by_Month_2010-2021'!$B$2:$B$3810,'Rec_raw_catch_effort_2010-2021'!$B1448,'FW_Salmon_by_Month_2010-2021'!$H$2:$H$3810,'Rec_raw_catch_effort_2010-2021'!$F1448,'FW_Salmon_by_Month_2010-2021'!$M$2:$M$3810,'Rec_raw_catch_effort_2010-2021'!$K1448)</f>
        <v>164.67012814847601</v>
      </c>
      <c r="R1448" s="109">
        <f>VLOOKUP(B1448,Readme!$A$62:$C$74,2,)*Q1448</f>
        <v>793.63672367893798</v>
      </c>
      <c r="S1448" s="140" t="str">
        <f t="shared" si="129"/>
        <v>Y</v>
      </c>
      <c r="T1448" s="154">
        <f t="shared" si="130"/>
        <v>8.6499999999999844</v>
      </c>
      <c r="U1448" s="154">
        <f t="shared" si="131"/>
        <v>4.8195549041132084</v>
      </c>
    </row>
    <row r="1449" spans="1:21" x14ac:dyDescent="0.35">
      <c r="A1449" s="108">
        <v>3599</v>
      </c>
      <c r="B1449" s="108">
        <v>2016</v>
      </c>
      <c r="C1449" s="108" t="s">
        <v>38</v>
      </c>
      <c r="D1449" s="108" t="s">
        <v>143</v>
      </c>
      <c r="E1449" s="108" t="s">
        <v>10</v>
      </c>
      <c r="F1449" s="116">
        <v>746</v>
      </c>
      <c r="G1449" s="108" t="s">
        <v>45</v>
      </c>
      <c r="H1449" s="108" t="str">
        <f t="shared" si="128"/>
        <v>Green - Duwamish River</v>
      </c>
      <c r="I1449" s="108" t="str">
        <f>IFERROR(VLOOKUP(H1449,LUTs!$A$1:$C$73,2,FALSE),"NA")</f>
        <v>King</v>
      </c>
      <c r="J1449" s="108" t="str">
        <f>IFERROR(VLOOKUP(H1449,LUTs!$A$1:$C$73,3,FALSE),"NA")</f>
        <v>3South Puget Sound</v>
      </c>
      <c r="K1449" s="108" t="s">
        <v>21</v>
      </c>
      <c r="L1449" s="108" t="str">
        <f>VLOOKUP(K1449,LUTs!E$2:G$14,3,)</f>
        <v>08Thurston</v>
      </c>
      <c r="M1449" s="108" t="str">
        <f>VLOOKUP($K1449,LUTs!$E$2:$H$14,2,)</f>
        <v>South Puget Sound</v>
      </c>
      <c r="N1449" s="108" t="str">
        <f>VLOOKUP($K1449,LUTs!$E$2:$H$14,4,)</f>
        <v>02South Puget Sound</v>
      </c>
      <c r="O1449" s="108">
        <v>27.5619596541787</v>
      </c>
      <c r="P1449" s="108">
        <v>238.41095100864601</v>
      </c>
      <c r="Q1449" s="108">
        <f>SUMIFS('FW_Salmon_by_Month_2010-2021'!P$2:P$3810,'FW_Salmon_by_Month_2010-2021'!$B$2:$B$3810,'Rec_raw_catch_effort_2010-2021'!$B1449,'FW_Salmon_by_Month_2010-2021'!$H$2:$H$3810,'Rec_raw_catch_effort_2010-2021'!$F1449,'FW_Salmon_by_Month_2010-2021'!$M$2:$M$3810,'Rec_raw_catch_effort_2010-2021'!$K1449)</f>
        <v>27.041095890411</v>
      </c>
      <c r="R1449" s="109">
        <f>VLOOKUP(B1449,Readme!$A$62:$C$74,2,)*Q1449</f>
        <v>130.32604631122587</v>
      </c>
      <c r="S1449" s="140" t="str">
        <f t="shared" si="129"/>
        <v>Y</v>
      </c>
      <c r="T1449" s="154">
        <f t="shared" si="130"/>
        <v>8.6500000000000092</v>
      </c>
      <c r="U1449" s="154">
        <f t="shared" si="131"/>
        <v>4.8195549041132084</v>
      </c>
    </row>
    <row r="1450" spans="1:21" x14ac:dyDescent="0.35">
      <c r="A1450" s="108">
        <v>3542</v>
      </c>
      <c r="B1450" s="108">
        <v>2016</v>
      </c>
      <c r="C1450" s="108" t="s">
        <v>38</v>
      </c>
      <c r="D1450" s="108" t="s">
        <v>143</v>
      </c>
      <c r="E1450" s="108" t="s">
        <v>10</v>
      </c>
      <c r="F1450" s="116">
        <v>746</v>
      </c>
      <c r="G1450" s="108" t="s">
        <v>45</v>
      </c>
      <c r="H1450" s="108" t="str">
        <f t="shared" si="128"/>
        <v>Green - Duwamish River</v>
      </c>
      <c r="I1450" s="108" t="str">
        <f>IFERROR(VLOOKUP(H1450,LUTs!$A$1:$C$73,2,FALSE),"NA")</f>
        <v>King</v>
      </c>
      <c r="J1450" s="108" t="str">
        <f>IFERROR(VLOOKUP(H1450,LUTs!$A$1:$C$73,3,FALSE),"NA")</f>
        <v>3South Puget Sound</v>
      </c>
      <c r="K1450" s="108" t="s">
        <v>13</v>
      </c>
      <c r="L1450" s="108" t="str">
        <f>VLOOKUP(K1450,LUTs!E$2:G$14,3,)</f>
        <v>01Whatcom</v>
      </c>
      <c r="M1450" s="108" t="str">
        <f>VLOOKUP($K1450,LUTs!$E$2:$H$14,2,)</f>
        <v>North Puget Sound</v>
      </c>
      <c r="N1450" s="108" t="str">
        <f>VLOOKUP($K1450,LUTs!$E$2:$H$14,4,)</f>
        <v>01North Puget Sound</v>
      </c>
      <c r="O1450" s="108">
        <v>18.3746397694525</v>
      </c>
      <c r="P1450" s="108">
        <v>158.940634005764</v>
      </c>
      <c r="Q1450" s="108">
        <f>SUMIFS('FW_Salmon_by_Month_2010-2021'!P$2:P$3810,'FW_Salmon_by_Month_2010-2021'!$B$2:$B$3810,'Rec_raw_catch_effort_2010-2021'!$B1450,'FW_Salmon_by_Month_2010-2021'!$H$2:$H$3810,'Rec_raw_catch_effort_2010-2021'!$F1450,'FW_Salmon_by_Month_2010-2021'!$M$2:$M$3810,'Rec_raw_catch_effort_2010-2021'!$K1450)</f>
        <v>18.66163107678328</v>
      </c>
      <c r="R1450" s="109">
        <f>VLOOKUP(B1450,Readme!$A$62:$C$74,2,)*Q1450</f>
        <v>89.940755574862308</v>
      </c>
      <c r="S1450" s="140" t="str">
        <f t="shared" si="129"/>
        <v>Y</v>
      </c>
      <c r="T1450" s="154">
        <f t="shared" si="130"/>
        <v>8.6499999999999932</v>
      </c>
      <c r="U1450" s="154">
        <f t="shared" si="131"/>
        <v>4.8195549041132084</v>
      </c>
    </row>
    <row r="1451" spans="1:21" x14ac:dyDescent="0.35">
      <c r="A1451" s="108">
        <v>3700</v>
      </c>
      <c r="B1451" s="108">
        <v>2017</v>
      </c>
      <c r="C1451" s="108" t="s">
        <v>38</v>
      </c>
      <c r="D1451" s="108" t="s">
        <v>143</v>
      </c>
      <c r="E1451" s="108" t="s">
        <v>10</v>
      </c>
      <c r="F1451" s="116">
        <v>746</v>
      </c>
      <c r="G1451" s="108" t="s">
        <v>45</v>
      </c>
      <c r="H1451" s="108" t="str">
        <f t="shared" si="128"/>
        <v>Green - Duwamish River</v>
      </c>
      <c r="I1451" s="108" t="str">
        <f>IFERROR(VLOOKUP(H1451,LUTs!$A$1:$C$73,2,FALSE),"NA")</f>
        <v>King</v>
      </c>
      <c r="J1451" s="108" t="str">
        <f>IFERROR(VLOOKUP(H1451,LUTs!$A$1:$C$73,3,FALSE),"NA")</f>
        <v>3South Puget Sound</v>
      </c>
      <c r="K1451" s="108" t="s">
        <v>18</v>
      </c>
      <c r="L1451" s="108" t="str">
        <f>VLOOKUP(K1451,LUTs!E$2:G$14,3,)</f>
        <v>06King</v>
      </c>
      <c r="M1451" s="108" t="str">
        <f>VLOOKUP($K1451,LUTs!$E$2:$H$14,2,)</f>
        <v>South Puget Sound</v>
      </c>
      <c r="N1451" s="108" t="str">
        <f>VLOOKUP($K1451,LUTs!$E$2:$H$14,4,)</f>
        <v>02South Puget Sound</v>
      </c>
      <c r="O1451" s="108">
        <v>7044.8432919954903</v>
      </c>
      <c r="P1451" s="108">
        <v>24234.260924464499</v>
      </c>
      <c r="Q1451" s="108">
        <f>SUMIFS('FW_Salmon_by_Month_2010-2021'!P$2:P$3810,'FW_Salmon_by_Month_2010-2021'!$B$2:$B$3810,'Rec_raw_catch_effort_2010-2021'!$B1451,'FW_Salmon_by_Month_2010-2021'!$H$2:$H$3810,'Rec_raw_catch_effort_2010-2021'!$F1451,'FW_Salmon_by_Month_2010-2021'!$M$2:$M$3810,'Rec_raw_catch_effort_2010-2021'!$K1451)</f>
        <v>7002.9225739229551</v>
      </c>
      <c r="R1451" s="109">
        <f>VLOOKUP(B1451,Readme!$A$62:$C$74,2,)*Q1451</f>
        <v>24783.626185778499</v>
      </c>
      <c r="S1451" s="140" t="str">
        <f t="shared" si="129"/>
        <v>Y</v>
      </c>
      <c r="T1451" s="154">
        <f t="shared" si="130"/>
        <v>3.4400000000000017</v>
      </c>
      <c r="U1451" s="154">
        <f t="shared" si="131"/>
        <v>3.5390404397824153</v>
      </c>
    </row>
    <row r="1452" spans="1:21" x14ac:dyDescent="0.35">
      <c r="A1452" s="108">
        <v>3702</v>
      </c>
      <c r="B1452" s="108">
        <v>2017</v>
      </c>
      <c r="C1452" s="108" t="s">
        <v>38</v>
      </c>
      <c r="D1452" s="108" t="s">
        <v>143</v>
      </c>
      <c r="E1452" s="108" t="s">
        <v>10</v>
      </c>
      <c r="F1452" s="116">
        <v>746</v>
      </c>
      <c r="G1452" s="108" t="s">
        <v>45</v>
      </c>
      <c r="H1452" s="108" t="str">
        <f t="shared" si="128"/>
        <v>Green - Duwamish River</v>
      </c>
      <c r="I1452" s="108" t="str">
        <f>IFERROR(VLOOKUP(H1452,LUTs!$A$1:$C$73,2,FALSE),"NA")</f>
        <v>King</v>
      </c>
      <c r="J1452" s="108" t="str">
        <f>IFERROR(VLOOKUP(H1452,LUTs!$A$1:$C$73,3,FALSE),"NA")</f>
        <v>3South Puget Sound</v>
      </c>
      <c r="K1452" s="108" t="s">
        <v>23</v>
      </c>
      <c r="L1452" s="108" t="str">
        <f>VLOOKUP(K1452,LUTs!E$2:G$14,3,)</f>
        <v>10Kitsap</v>
      </c>
      <c r="M1452" s="108" t="str">
        <f>VLOOKUP($K1452,LUTs!$E$2:$H$14,2,)</f>
        <v>South Puget Sound</v>
      </c>
      <c r="N1452" s="108" t="str">
        <f>VLOOKUP($K1452,LUTs!$E$2:$H$14,4,)</f>
        <v>02South Puget Sound</v>
      </c>
      <c r="O1452" s="108">
        <v>20.302142051860201</v>
      </c>
      <c r="P1452" s="108">
        <v>69.839368658399096</v>
      </c>
      <c r="Q1452" s="108">
        <f>SUMIFS('FW_Salmon_by_Month_2010-2021'!P$2:P$3810,'FW_Salmon_by_Month_2010-2021'!$B$2:$B$3810,'Rec_raw_catch_effort_2010-2021'!$B1452,'FW_Salmon_by_Month_2010-2021'!$H$2:$H$3810,'Rec_raw_catch_effort_2010-2021'!$F1452,'FW_Salmon_by_Month_2010-2021'!$M$2:$M$3810,'Rec_raw_catch_effort_2010-2021'!$K1452)</f>
        <v>20.809195402298901</v>
      </c>
      <c r="R1452" s="109">
        <f>VLOOKUP(B1452,Readme!$A$62:$C$74,2,)*Q1452</f>
        <v>73.644584048070115</v>
      </c>
      <c r="S1452" s="140" t="str">
        <f t="shared" si="129"/>
        <v>Y</v>
      </c>
      <c r="T1452" s="154">
        <f t="shared" si="130"/>
        <v>3.44</v>
      </c>
      <c r="U1452" s="154">
        <f t="shared" si="131"/>
        <v>3.5390404397824153</v>
      </c>
    </row>
    <row r="1453" spans="1:21" x14ac:dyDescent="0.35">
      <c r="A1453" s="108">
        <v>1</v>
      </c>
      <c r="B1453" s="108">
        <v>2017</v>
      </c>
      <c r="C1453" s="108" t="s">
        <v>38</v>
      </c>
      <c r="D1453" s="108" t="s">
        <v>143</v>
      </c>
      <c r="E1453" s="108" t="s">
        <v>10</v>
      </c>
      <c r="F1453" s="116">
        <v>746</v>
      </c>
      <c r="G1453" s="108" t="s">
        <v>45</v>
      </c>
      <c r="H1453" s="108" t="str">
        <f t="shared" si="128"/>
        <v>Green - Duwamish River</v>
      </c>
      <c r="I1453" s="108" t="str">
        <f>IFERROR(VLOOKUP(H1453,LUTs!$A$1:$C$73,2,FALSE),"NA")</f>
        <v>King</v>
      </c>
      <c r="J1453" s="108" t="str">
        <f>IFERROR(VLOOKUP(H1453,LUTs!$A$1:$C$73,3,FALSE),"NA")</f>
        <v>3South Puget Sound</v>
      </c>
      <c r="K1453" s="108" t="s">
        <v>26</v>
      </c>
      <c r="L1453" s="108" t="str">
        <f>VLOOKUP(K1453,LUTs!E$2:G$14,3,)</f>
        <v>20Other</v>
      </c>
      <c r="M1453" s="108" t="str">
        <f>VLOOKUP($K1453,LUTs!$E$2:$H$14,2,)</f>
        <v>Non Puget Sound</v>
      </c>
      <c r="N1453" s="108" t="str">
        <f>VLOOKUP($K1453,LUTs!$E$2:$H$14,4,)</f>
        <v>07Non Puget Sound</v>
      </c>
      <c r="O1453" s="108">
        <v>741.02818489289803</v>
      </c>
      <c r="P1453" s="108">
        <v>2549.1369560315702</v>
      </c>
      <c r="Q1453" s="108">
        <f>SUMIFS('FW_Salmon_by_Month_2010-2021'!P$2:P$3810,'FW_Salmon_by_Month_2010-2021'!$B$2:$B$3810,'Rec_raw_catch_effort_2010-2021'!$B1453,'FW_Salmon_by_Month_2010-2021'!$H$2:$H$3810,'Rec_raw_catch_effort_2010-2021'!$F1453,'FW_Salmon_by_Month_2010-2021'!$M$2:$M$3810,'Rec_raw_catch_effort_2010-2021'!$K1453)</f>
        <v>757.21702421689906</v>
      </c>
      <c r="R1453" s="109">
        <f>VLOOKUP(B1453,Readme!$A$62:$C$74,2,)*Q1453</f>
        <v>2679.8216703953062</v>
      </c>
      <c r="S1453" s="140" t="str">
        <f t="shared" si="129"/>
        <v>Y</v>
      </c>
      <c r="T1453" s="154">
        <f t="shared" si="130"/>
        <v>3.4400000000000013</v>
      </c>
      <c r="U1453" s="154">
        <f t="shared" si="131"/>
        <v>3.5390404397824153</v>
      </c>
    </row>
    <row r="1454" spans="1:21" x14ac:dyDescent="0.35">
      <c r="A1454" s="108">
        <v>3701</v>
      </c>
      <c r="B1454" s="108">
        <v>2017</v>
      </c>
      <c r="C1454" s="108" t="s">
        <v>38</v>
      </c>
      <c r="D1454" s="108" t="s">
        <v>143</v>
      </c>
      <c r="E1454" s="108" t="s">
        <v>10</v>
      </c>
      <c r="F1454" s="116">
        <v>746</v>
      </c>
      <c r="G1454" s="108" t="s">
        <v>45</v>
      </c>
      <c r="H1454" s="108" t="str">
        <f t="shared" si="128"/>
        <v>Green - Duwamish River</v>
      </c>
      <c r="I1454" s="108" t="str">
        <f>IFERROR(VLOOKUP(H1454,LUTs!$A$1:$C$73,2,FALSE),"NA")</f>
        <v>King</v>
      </c>
      <c r="J1454" s="108" t="str">
        <f>IFERROR(VLOOKUP(H1454,LUTs!$A$1:$C$73,3,FALSE),"NA")</f>
        <v>3South Puget Sound</v>
      </c>
      <c r="K1454" s="108" t="s">
        <v>20</v>
      </c>
      <c r="L1454" s="108" t="str">
        <f>VLOOKUP(K1454,LUTs!E$2:G$14,3,)</f>
        <v>07Pierce</v>
      </c>
      <c r="M1454" s="108" t="str">
        <f>VLOOKUP($K1454,LUTs!$E$2:$H$14,2,)</f>
        <v>South Puget Sound</v>
      </c>
      <c r="N1454" s="108" t="str">
        <f>VLOOKUP($K1454,LUTs!$E$2:$H$14,4,)</f>
        <v>02South Puget Sound</v>
      </c>
      <c r="O1454" s="108">
        <v>1035.4092446448699</v>
      </c>
      <c r="P1454" s="108">
        <v>3561.8078015783499</v>
      </c>
      <c r="Q1454" s="108">
        <f>SUMIFS('FW_Salmon_by_Month_2010-2021'!P$2:P$3810,'FW_Salmon_by_Month_2010-2021'!$B$2:$B$3810,'Rec_raw_catch_effort_2010-2021'!$B1454,'FW_Salmon_by_Month_2010-2021'!$H$2:$H$3810,'Rec_raw_catch_effort_2010-2021'!$F1454,'FW_Salmon_by_Month_2010-2021'!$M$2:$M$3810,'Rec_raw_catch_effort_2010-2021'!$K1454)</f>
        <v>1056.9059752566459</v>
      </c>
      <c r="R1454" s="109">
        <f>VLOOKUP(B1454,Readme!$A$62:$C$74,2,)*Q1454</f>
        <v>3740.4329874809428</v>
      </c>
      <c r="S1454" s="140" t="str">
        <f t="shared" si="129"/>
        <v>Y</v>
      </c>
      <c r="T1454" s="154">
        <f t="shared" si="130"/>
        <v>3.4399999999999977</v>
      </c>
      <c r="U1454" s="154">
        <f t="shared" si="131"/>
        <v>3.5390404397824153</v>
      </c>
    </row>
    <row r="1455" spans="1:21" x14ac:dyDescent="0.35">
      <c r="A1455" s="108">
        <v>3674</v>
      </c>
      <c r="B1455" s="108">
        <v>2017</v>
      </c>
      <c r="C1455" s="108" t="s">
        <v>38</v>
      </c>
      <c r="D1455" s="108" t="s">
        <v>143</v>
      </c>
      <c r="E1455" s="108" t="s">
        <v>10</v>
      </c>
      <c r="F1455" s="116">
        <v>746</v>
      </c>
      <c r="G1455" s="108" t="s">
        <v>45</v>
      </c>
      <c r="H1455" s="108" t="str">
        <f t="shared" si="128"/>
        <v>Green - Duwamish River</v>
      </c>
      <c r="I1455" s="108" t="str">
        <f>IFERROR(VLOOKUP(H1455,LUTs!$A$1:$C$73,2,FALSE),"NA")</f>
        <v>King</v>
      </c>
      <c r="J1455" s="108" t="str">
        <f>IFERROR(VLOOKUP(H1455,LUTs!$A$1:$C$73,3,FALSE),"NA")</f>
        <v>3South Puget Sound</v>
      </c>
      <c r="K1455" s="108" t="s">
        <v>16</v>
      </c>
      <c r="L1455" s="108" t="str">
        <f>VLOOKUP(K1455,LUTs!E$2:G$14,3,)</f>
        <v>03Snohomish</v>
      </c>
      <c r="M1455" s="108" t="str">
        <f>VLOOKUP($K1455,LUTs!$E$2:$H$14,2,)</f>
        <v>North Puget Sound</v>
      </c>
      <c r="N1455" s="108" t="str">
        <f>VLOOKUP($K1455,LUTs!$E$2:$H$14,4,)</f>
        <v>01North Puget Sound</v>
      </c>
      <c r="O1455" s="108">
        <v>162.41713641488201</v>
      </c>
      <c r="P1455" s="108">
        <v>558.71494926719402</v>
      </c>
      <c r="Q1455" s="108">
        <f>SUMIFS('FW_Salmon_by_Month_2010-2021'!P$2:P$3810,'FW_Salmon_by_Month_2010-2021'!$B$2:$B$3810,'Rec_raw_catch_effort_2010-2021'!$B1455,'FW_Salmon_by_Month_2010-2021'!$H$2:$H$3810,'Rec_raw_catch_effort_2010-2021'!$F1455,'FW_Salmon_by_Month_2010-2021'!$M$2:$M$3810,'Rec_raw_catch_effort_2010-2021'!$K1455)</f>
        <v>166.1452312011937</v>
      </c>
      <c r="R1455" s="109">
        <f>VLOOKUP(B1455,Readme!$A$62:$C$74,2,)*Q1455</f>
        <v>587.99469209802362</v>
      </c>
      <c r="S1455" s="140" t="str">
        <f t="shared" si="129"/>
        <v>Y</v>
      </c>
      <c r="T1455" s="154">
        <f t="shared" si="130"/>
        <v>3.4399999999999995</v>
      </c>
      <c r="U1455" s="154">
        <f t="shared" si="131"/>
        <v>3.5390404397824153</v>
      </c>
    </row>
    <row r="1456" spans="1:21" x14ac:dyDescent="0.35">
      <c r="A1456" s="108">
        <v>7</v>
      </c>
      <c r="B1456" s="108">
        <v>2018</v>
      </c>
      <c r="C1456" s="108" t="s">
        <v>38</v>
      </c>
      <c r="D1456" s="108" t="s">
        <v>143</v>
      </c>
      <c r="E1456" s="108" t="s">
        <v>10</v>
      </c>
      <c r="F1456" s="116">
        <v>746</v>
      </c>
      <c r="G1456" s="108" t="s">
        <v>45</v>
      </c>
      <c r="H1456" s="108" t="str">
        <f t="shared" si="128"/>
        <v>Green - Duwamish River</v>
      </c>
      <c r="I1456" s="108" t="str">
        <f>IFERROR(VLOOKUP(H1456,LUTs!$A$1:$C$73,2,FALSE),"NA")</f>
        <v>King</v>
      </c>
      <c r="J1456" s="108" t="str">
        <f>IFERROR(VLOOKUP(H1456,LUTs!$A$1:$C$73,3,FALSE),"NA")</f>
        <v>3South Puget Sound</v>
      </c>
      <c r="K1456" s="108" t="s">
        <v>18</v>
      </c>
      <c r="L1456" s="108" t="str">
        <f>VLOOKUP(K1456,LUTs!E$2:G$14,3,)</f>
        <v>06King</v>
      </c>
      <c r="M1456" s="108" t="str">
        <f>VLOOKUP($K1456,LUTs!$E$2:$H$14,2,)</f>
        <v>South Puget Sound</v>
      </c>
      <c r="N1456" s="108" t="str">
        <f>VLOOKUP($K1456,LUTs!$E$2:$H$14,4,)</f>
        <v>02South Puget Sound</v>
      </c>
      <c r="O1456" s="108">
        <v>4188.42638623327</v>
      </c>
      <c r="P1456" s="108">
        <v>36229.888240917797</v>
      </c>
      <c r="Q1456" s="108">
        <f>SUMIFS('FW_Salmon_by_Month_2010-2021'!P$2:P$3810,'FW_Salmon_by_Month_2010-2021'!$B$2:$B$3810,'Rec_raw_catch_effort_2010-2021'!$B1456,'FW_Salmon_by_Month_2010-2021'!$H$2:$H$3810,'Rec_raw_catch_effort_2010-2021'!$F1456,'FW_Salmon_by_Month_2010-2021'!$M$2:$M$3810,'Rec_raw_catch_effort_2010-2021'!$K1456)</f>
        <v>4166.7273118988396</v>
      </c>
      <c r="R1456" s="109">
        <f>VLOOKUP(B1456,Readme!$A$62:$C$74,2,)*Q1456</f>
        <v>20081.771050164498</v>
      </c>
      <c r="S1456" s="140" t="str">
        <f t="shared" si="129"/>
        <v>Y</v>
      </c>
      <c r="T1456" s="154">
        <f t="shared" si="130"/>
        <v>8.6500000000000021</v>
      </c>
      <c r="U1456" s="154">
        <f t="shared" si="131"/>
        <v>4.8195549041132084</v>
      </c>
    </row>
    <row r="1457" spans="1:21" x14ac:dyDescent="0.35">
      <c r="A1457" s="108">
        <v>10</v>
      </c>
      <c r="B1457" s="108">
        <v>2018</v>
      </c>
      <c r="C1457" s="108" t="s">
        <v>38</v>
      </c>
      <c r="D1457" s="108" t="s">
        <v>143</v>
      </c>
      <c r="E1457" s="108" t="s">
        <v>10</v>
      </c>
      <c r="F1457" s="116">
        <v>746</v>
      </c>
      <c r="G1457" s="108" t="s">
        <v>45</v>
      </c>
      <c r="H1457" s="108" t="str">
        <f t="shared" si="128"/>
        <v>Green - Duwamish River</v>
      </c>
      <c r="I1457" s="108" t="str">
        <f>IFERROR(VLOOKUP(H1457,LUTs!$A$1:$C$73,2,FALSE),"NA")</f>
        <v>King</v>
      </c>
      <c r="J1457" s="108" t="str">
        <f>IFERROR(VLOOKUP(H1457,LUTs!$A$1:$C$73,3,FALSE),"NA")</f>
        <v>3South Puget Sound</v>
      </c>
      <c r="K1457" s="108" t="s">
        <v>26</v>
      </c>
      <c r="L1457" s="108" t="str">
        <f>VLOOKUP(K1457,LUTs!E$2:G$14,3,)</f>
        <v>20Other</v>
      </c>
      <c r="M1457" s="108" t="str">
        <f>VLOOKUP($K1457,LUTs!$E$2:$H$14,2,)</f>
        <v>Non Puget Sound</v>
      </c>
      <c r="N1457" s="108" t="str">
        <f>VLOOKUP($K1457,LUTs!$E$2:$H$14,4,)</f>
        <v>07Non Puget Sound</v>
      </c>
      <c r="O1457" s="108">
        <v>145.09560229445501</v>
      </c>
      <c r="P1457" s="108">
        <v>1255.0769598470399</v>
      </c>
      <c r="Q1457" s="108">
        <f>SUMIFS('FW_Salmon_by_Month_2010-2021'!P$2:P$3810,'FW_Salmon_by_Month_2010-2021'!$B$2:$B$3810,'Rec_raw_catch_effort_2010-2021'!$B1457,'FW_Salmon_by_Month_2010-2021'!$H$2:$H$3810,'Rec_raw_catch_effort_2010-2021'!$F1457,'FW_Salmon_by_Month_2010-2021'!$M$2:$M$3810,'Rec_raw_catch_effort_2010-2021'!$K1457)</f>
        <v>145.295897043248</v>
      </c>
      <c r="R1457" s="109">
        <f>VLOOKUP(B1457,Readme!$A$62:$C$74,2,)*Q1457</f>
        <v>700.26155314231369</v>
      </c>
      <c r="S1457" s="140" t="str">
        <f t="shared" si="129"/>
        <v>Y</v>
      </c>
      <c r="T1457" s="154">
        <f t="shared" si="130"/>
        <v>8.6500000000000288</v>
      </c>
      <c r="U1457" s="154">
        <f t="shared" si="131"/>
        <v>4.8195549041132084</v>
      </c>
    </row>
    <row r="1458" spans="1:21" x14ac:dyDescent="0.35">
      <c r="A1458" s="108">
        <v>8</v>
      </c>
      <c r="B1458" s="108">
        <v>2018</v>
      </c>
      <c r="C1458" s="108" t="s">
        <v>38</v>
      </c>
      <c r="D1458" s="108" t="s">
        <v>143</v>
      </c>
      <c r="E1458" s="108" t="s">
        <v>10</v>
      </c>
      <c r="F1458" s="116">
        <v>746</v>
      </c>
      <c r="G1458" s="108" t="s">
        <v>45</v>
      </c>
      <c r="H1458" s="108" t="str">
        <f t="shared" si="128"/>
        <v>Green - Duwamish River</v>
      </c>
      <c r="I1458" s="108" t="str">
        <f>IFERROR(VLOOKUP(H1458,LUTs!$A$1:$C$73,2,FALSE),"NA")</f>
        <v>King</v>
      </c>
      <c r="J1458" s="108" t="str">
        <f>IFERROR(VLOOKUP(H1458,LUTs!$A$1:$C$73,3,FALSE),"NA")</f>
        <v>3South Puget Sound</v>
      </c>
      <c r="K1458" s="108" t="s">
        <v>20</v>
      </c>
      <c r="L1458" s="108" t="str">
        <f>VLOOKUP(K1458,LUTs!E$2:G$14,3,)</f>
        <v>07Pierce</v>
      </c>
      <c r="M1458" s="108" t="str">
        <f>VLOOKUP($K1458,LUTs!$E$2:$H$14,2,)</f>
        <v>South Puget Sound</v>
      </c>
      <c r="N1458" s="108" t="str">
        <f>VLOOKUP($K1458,LUTs!$E$2:$H$14,4,)</f>
        <v>02South Puget Sound</v>
      </c>
      <c r="O1458" s="108">
        <v>502.99808795411099</v>
      </c>
      <c r="P1458" s="108">
        <v>4350.9334608030604</v>
      </c>
      <c r="Q1458" s="108">
        <f>SUMIFS('FW_Salmon_by_Month_2010-2021'!P$2:P$3810,'FW_Salmon_by_Month_2010-2021'!$B$2:$B$3810,'Rec_raw_catch_effort_2010-2021'!$B1458,'FW_Salmon_by_Month_2010-2021'!$H$2:$H$3810,'Rec_raw_catch_effort_2010-2021'!$F1458,'FW_Salmon_by_Month_2010-2021'!$M$2:$M$3810,'Rec_raw_catch_effort_2010-2021'!$K1458)</f>
        <v>494.81237354507709</v>
      </c>
      <c r="R1458" s="109">
        <f>VLOOKUP(B1458,Readme!$A$62:$C$74,2,)*Q1458</f>
        <v>2384.7754015350729</v>
      </c>
      <c r="S1458" s="140" t="str">
        <f t="shared" si="129"/>
        <v>Y</v>
      </c>
      <c r="T1458" s="154">
        <f t="shared" si="130"/>
        <v>8.65</v>
      </c>
      <c r="U1458" s="154">
        <f t="shared" si="131"/>
        <v>4.8195549041132084</v>
      </c>
    </row>
    <row r="1459" spans="1:21" x14ac:dyDescent="0.35">
      <c r="A1459" s="108">
        <v>6</v>
      </c>
      <c r="B1459" s="108">
        <v>2018</v>
      </c>
      <c r="C1459" s="108" t="s">
        <v>38</v>
      </c>
      <c r="D1459" s="108" t="s">
        <v>143</v>
      </c>
      <c r="E1459" s="108" t="s">
        <v>10</v>
      </c>
      <c r="F1459" s="116">
        <v>746</v>
      </c>
      <c r="G1459" s="108" t="s">
        <v>45</v>
      </c>
      <c r="H1459" s="108" t="str">
        <f t="shared" si="128"/>
        <v>Green - Duwamish River</v>
      </c>
      <c r="I1459" s="108" t="str">
        <f>IFERROR(VLOOKUP(H1459,LUTs!$A$1:$C$73,2,FALSE),"NA")</f>
        <v>King</v>
      </c>
      <c r="J1459" s="108" t="str">
        <f>IFERROR(VLOOKUP(H1459,LUTs!$A$1:$C$73,3,FALSE),"NA")</f>
        <v>3South Puget Sound</v>
      </c>
      <c r="K1459" s="108" t="s">
        <v>16</v>
      </c>
      <c r="L1459" s="108" t="str">
        <f>VLOOKUP(K1459,LUTs!E$2:G$14,3,)</f>
        <v>03Snohomish</v>
      </c>
      <c r="M1459" s="108" t="str">
        <f>VLOOKUP($K1459,LUTs!$E$2:$H$14,2,)</f>
        <v>North Puget Sound</v>
      </c>
      <c r="N1459" s="108" t="str">
        <f>VLOOKUP($K1459,LUTs!$E$2:$H$14,4,)</f>
        <v>01North Puget Sound</v>
      </c>
      <c r="O1459" s="108">
        <v>106.4034416826</v>
      </c>
      <c r="P1459" s="108">
        <v>920.38977055449004</v>
      </c>
      <c r="Q1459" s="108">
        <f>SUMIFS('FW_Salmon_by_Month_2010-2021'!P$2:P$3810,'FW_Salmon_by_Month_2010-2021'!$B$2:$B$3810,'Rec_raw_catch_effort_2010-2021'!$B1459,'FW_Salmon_by_Month_2010-2021'!$H$2:$H$3810,'Rec_raw_catch_effort_2010-2021'!$F1459,'FW_Salmon_by_Month_2010-2021'!$M$2:$M$3810,'Rec_raw_catch_effort_2010-2021'!$K1459)</f>
        <v>106.77136150234739</v>
      </c>
      <c r="R1459" s="109">
        <f>VLOOKUP(B1459,Readme!$A$62:$C$74,2,)*Q1459</f>
        <v>514.59043894748254</v>
      </c>
      <c r="S1459" s="140" t="str">
        <f t="shared" si="129"/>
        <v>Y</v>
      </c>
      <c r="T1459" s="154">
        <f t="shared" si="130"/>
        <v>8.65</v>
      </c>
      <c r="U1459" s="154">
        <f t="shared" si="131"/>
        <v>4.8195549041132084</v>
      </c>
    </row>
    <row r="1460" spans="1:21" x14ac:dyDescent="0.35">
      <c r="A1460" s="108">
        <v>9</v>
      </c>
      <c r="B1460" s="108">
        <v>2018</v>
      </c>
      <c r="C1460" s="108" t="s">
        <v>38</v>
      </c>
      <c r="D1460" s="108" t="s">
        <v>143</v>
      </c>
      <c r="E1460" s="108" t="s">
        <v>10</v>
      </c>
      <c r="F1460" s="116">
        <v>746</v>
      </c>
      <c r="G1460" s="108" t="s">
        <v>45</v>
      </c>
      <c r="H1460" s="108" t="str">
        <f t="shared" si="128"/>
        <v>Green - Duwamish River</v>
      </c>
      <c r="I1460" s="108" t="str">
        <f>IFERROR(VLOOKUP(H1460,LUTs!$A$1:$C$73,2,FALSE),"NA")</f>
        <v>King</v>
      </c>
      <c r="J1460" s="108" t="str">
        <f>IFERROR(VLOOKUP(H1460,LUTs!$A$1:$C$73,3,FALSE),"NA")</f>
        <v>3South Puget Sound</v>
      </c>
      <c r="K1460" s="108" t="s">
        <v>21</v>
      </c>
      <c r="L1460" s="108" t="str">
        <f>VLOOKUP(K1460,LUTs!E$2:G$14,3,)</f>
        <v>08Thurston</v>
      </c>
      <c r="M1460" s="108" t="str">
        <f>VLOOKUP($K1460,LUTs!$E$2:$H$14,2,)</f>
        <v>South Puget Sound</v>
      </c>
      <c r="N1460" s="108" t="str">
        <f>VLOOKUP($K1460,LUTs!$E$2:$H$14,4,)</f>
        <v>02South Puget Sound</v>
      </c>
      <c r="O1460" s="108">
        <v>116.076481835564</v>
      </c>
      <c r="P1460" s="108">
        <v>1004.06156787763</v>
      </c>
      <c r="Q1460" s="108">
        <f>SUMIFS('FW_Salmon_by_Month_2010-2021'!P$2:P$3810,'FW_Salmon_by_Month_2010-2021'!$B$2:$B$3810,'Rec_raw_catch_effort_2010-2021'!$B1460,'FW_Salmon_by_Month_2010-2021'!$H$2:$H$3810,'Rec_raw_catch_effort_2010-2021'!$F1460,'FW_Salmon_by_Month_2010-2021'!$M$2:$M$3810,'Rec_raw_catch_effort_2010-2021'!$K1460)</f>
        <v>116.3930560104815</v>
      </c>
      <c r="R1460" s="109">
        <f>VLOOKUP(B1460,Readme!$A$62:$C$74,2,)*Q1460</f>
        <v>560.96272390003946</v>
      </c>
      <c r="S1460" s="140" t="str">
        <f t="shared" si="129"/>
        <v>Y</v>
      </c>
      <c r="T1460" s="154">
        <f t="shared" si="130"/>
        <v>8.6500000000000128</v>
      </c>
      <c r="U1460" s="154">
        <f t="shared" si="131"/>
        <v>4.8195549041132084</v>
      </c>
    </row>
    <row r="1461" spans="1:21" x14ac:dyDescent="0.35">
      <c r="A1461" s="108">
        <v>16</v>
      </c>
      <c r="B1461" s="108">
        <v>2019</v>
      </c>
      <c r="C1461" s="108" t="s">
        <v>38</v>
      </c>
      <c r="D1461" s="108" t="s">
        <v>143</v>
      </c>
      <c r="E1461" s="108" t="s">
        <v>10</v>
      </c>
      <c r="F1461" s="116">
        <v>746</v>
      </c>
      <c r="G1461" s="108" t="s">
        <v>45</v>
      </c>
      <c r="H1461" s="108" t="str">
        <f t="shared" si="128"/>
        <v>Green - Duwamish River</v>
      </c>
      <c r="I1461" s="108" t="str">
        <f>IFERROR(VLOOKUP(H1461,LUTs!$A$1:$C$73,2,FALSE),"NA")</f>
        <v>King</v>
      </c>
      <c r="J1461" s="108" t="str">
        <f>IFERROR(VLOOKUP(H1461,LUTs!$A$1:$C$73,3,FALSE),"NA")</f>
        <v>3South Puget Sound</v>
      </c>
      <c r="K1461" s="108" t="s">
        <v>17</v>
      </c>
      <c r="L1461" s="108" t="str">
        <f>VLOOKUP(K1461,LUTs!E$2:G$14,3,)</f>
        <v>04Island</v>
      </c>
      <c r="M1461" s="108" t="str">
        <f>VLOOKUP($K1461,LUTs!$E$2:$H$14,2,)</f>
        <v>North Puget Sound</v>
      </c>
      <c r="N1461" s="108" t="str">
        <f>VLOOKUP($K1461,LUTs!$E$2:$H$14,4,)</f>
        <v>01North Puget Sound</v>
      </c>
      <c r="O1461" s="108">
        <v>173.48453608247399</v>
      </c>
      <c r="P1461" s="108">
        <v>596.78680412371102</v>
      </c>
      <c r="Q1461" s="108">
        <f>SUMIFS('FW_Salmon_by_Month_2010-2021'!P$2:P$3810,'FW_Salmon_by_Month_2010-2021'!$B$2:$B$3810,'Rec_raw_catch_effort_2010-2021'!$B1461,'FW_Salmon_by_Month_2010-2021'!$H$2:$H$3810,'Rec_raw_catch_effort_2010-2021'!$F1461,'FW_Salmon_by_Month_2010-2021'!$M$2:$M$3810,'Rec_raw_catch_effort_2010-2021'!$K1461)</f>
        <v>173.92901802480921</v>
      </c>
      <c r="R1461" s="109">
        <f>VLOOKUP(B1461,Readme!$A$62:$C$74,2,)*Q1461</f>
        <v>615.54182844144441</v>
      </c>
      <c r="S1461" s="140" t="str">
        <f t="shared" si="129"/>
        <v>Y</v>
      </c>
      <c r="T1461" s="154">
        <f t="shared" si="130"/>
        <v>3.4400000000000026</v>
      </c>
      <c r="U1461" s="154">
        <f t="shared" si="131"/>
        <v>3.5390404397824153</v>
      </c>
    </row>
    <row r="1462" spans="1:21" x14ac:dyDescent="0.35">
      <c r="A1462" s="108">
        <v>21</v>
      </c>
      <c r="B1462" s="108">
        <v>2019</v>
      </c>
      <c r="C1462" s="108" t="s">
        <v>38</v>
      </c>
      <c r="D1462" s="108" t="s">
        <v>143</v>
      </c>
      <c r="E1462" s="108" t="s">
        <v>10</v>
      </c>
      <c r="F1462" s="116">
        <v>746</v>
      </c>
      <c r="G1462" s="108" t="s">
        <v>45</v>
      </c>
      <c r="H1462" s="108" t="str">
        <f t="shared" si="128"/>
        <v>Green - Duwamish River</v>
      </c>
      <c r="I1462" s="108" t="str">
        <f>IFERROR(VLOOKUP(H1462,LUTs!$A$1:$C$73,2,FALSE),"NA")</f>
        <v>King</v>
      </c>
      <c r="J1462" s="108" t="str">
        <f>IFERROR(VLOOKUP(H1462,LUTs!$A$1:$C$73,3,FALSE),"NA")</f>
        <v>3South Puget Sound</v>
      </c>
      <c r="K1462" s="108" t="s">
        <v>25</v>
      </c>
      <c r="L1462" s="108" t="str">
        <f>VLOOKUP(K1462,LUTs!E$2:G$14,3,)</f>
        <v>12Jefferson</v>
      </c>
      <c r="M1462" s="108" t="str">
        <f>VLOOKUP($K1462,LUTs!$E$2:$H$14,2,)</f>
        <v>Strait of Juan de Fuca</v>
      </c>
      <c r="N1462" s="108" t="str">
        <f>VLOOKUP($K1462,LUTs!$E$2:$H$14,4,)</f>
        <v>03Strait of Juan de Fuca</v>
      </c>
      <c r="O1462" s="108">
        <v>119.270618556701</v>
      </c>
      <c r="P1462" s="108">
        <v>410.29092783505098</v>
      </c>
      <c r="Q1462" s="108">
        <f>SUMIFS('FW_Salmon_by_Month_2010-2021'!P$2:P$3810,'FW_Salmon_by_Month_2010-2021'!$B$2:$B$3810,'Rec_raw_catch_effort_2010-2021'!$B1462,'FW_Salmon_by_Month_2010-2021'!$H$2:$H$3810,'Rec_raw_catch_effort_2010-2021'!$F1462,'FW_Salmon_by_Month_2010-2021'!$M$2:$M$3810,'Rec_raw_catch_effort_2010-2021'!$K1462)</f>
        <v>119.407894736842</v>
      </c>
      <c r="R1462" s="109">
        <f>VLOOKUP(B1462,Readme!$A$62:$C$74,2,)*Q1462</f>
        <v>422.58936830296568</v>
      </c>
      <c r="S1462" s="140" t="str">
        <f t="shared" si="129"/>
        <v>Y</v>
      </c>
      <c r="T1462" s="154">
        <f t="shared" si="130"/>
        <v>3.4399999999999964</v>
      </c>
      <c r="U1462" s="154">
        <f t="shared" si="131"/>
        <v>3.5390404397824153</v>
      </c>
    </row>
    <row r="1463" spans="1:21" x14ac:dyDescent="0.35">
      <c r="A1463" s="108">
        <v>17</v>
      </c>
      <c r="B1463" s="108">
        <v>2019</v>
      </c>
      <c r="C1463" s="108" t="s">
        <v>38</v>
      </c>
      <c r="D1463" s="108" t="s">
        <v>143</v>
      </c>
      <c r="E1463" s="108" t="s">
        <v>10</v>
      </c>
      <c r="F1463" s="116">
        <v>746</v>
      </c>
      <c r="G1463" s="108" t="s">
        <v>45</v>
      </c>
      <c r="H1463" s="108" t="str">
        <f t="shared" si="128"/>
        <v>Green - Duwamish River</v>
      </c>
      <c r="I1463" s="108" t="str">
        <f>IFERROR(VLOOKUP(H1463,LUTs!$A$1:$C$73,2,FALSE),"NA")</f>
        <v>King</v>
      </c>
      <c r="J1463" s="108" t="str">
        <f>IFERROR(VLOOKUP(H1463,LUTs!$A$1:$C$73,3,FALSE),"NA")</f>
        <v>3South Puget Sound</v>
      </c>
      <c r="K1463" s="108" t="s">
        <v>18</v>
      </c>
      <c r="L1463" s="108" t="str">
        <f>VLOOKUP(K1463,LUTs!E$2:G$14,3,)</f>
        <v>06King</v>
      </c>
      <c r="M1463" s="108" t="str">
        <f>VLOOKUP($K1463,LUTs!$E$2:$H$14,2,)</f>
        <v>South Puget Sound</v>
      </c>
      <c r="N1463" s="108" t="str">
        <f>VLOOKUP($K1463,LUTs!$E$2:$H$14,4,)</f>
        <v>02South Puget Sound</v>
      </c>
      <c r="O1463" s="108">
        <v>12751.113402061899</v>
      </c>
      <c r="P1463" s="108">
        <v>43863.8301030929</v>
      </c>
      <c r="Q1463" s="108">
        <f>SUMIFS('FW_Salmon_by_Month_2010-2021'!P$2:P$3810,'FW_Salmon_by_Month_2010-2021'!$B$2:$B$3810,'Rec_raw_catch_effort_2010-2021'!$B1463,'FW_Salmon_by_Month_2010-2021'!$H$2:$H$3810,'Rec_raw_catch_effort_2010-2021'!$F1463,'FW_Salmon_by_Month_2010-2021'!$M$2:$M$3810,'Rec_raw_catch_effort_2010-2021'!$K1463)</f>
        <v>12774.418963750797</v>
      </c>
      <c r="R1463" s="109">
        <f>VLOOKUP(B1463,Readme!$A$62:$C$74,2,)*Q1463</f>
        <v>45209.185307437445</v>
      </c>
      <c r="S1463" s="140" t="str">
        <f t="shared" si="129"/>
        <v>Y</v>
      </c>
      <c r="T1463" s="154">
        <f t="shared" si="130"/>
        <v>3.4399999999999973</v>
      </c>
      <c r="U1463" s="154">
        <f t="shared" si="131"/>
        <v>3.5390404397824153</v>
      </c>
    </row>
    <row r="1464" spans="1:21" x14ac:dyDescent="0.35">
      <c r="A1464" s="108">
        <v>20</v>
      </c>
      <c r="B1464" s="108">
        <v>2019</v>
      </c>
      <c r="C1464" s="108" t="s">
        <v>38</v>
      </c>
      <c r="D1464" s="108" t="s">
        <v>143</v>
      </c>
      <c r="E1464" s="108" t="s">
        <v>10</v>
      </c>
      <c r="F1464" s="116">
        <v>746</v>
      </c>
      <c r="G1464" s="108" t="s">
        <v>45</v>
      </c>
      <c r="H1464" s="108" t="str">
        <f t="shared" si="128"/>
        <v>Green - Duwamish River</v>
      </c>
      <c r="I1464" s="108" t="str">
        <f>IFERROR(VLOOKUP(H1464,LUTs!$A$1:$C$73,2,FALSE),"NA")</f>
        <v>King</v>
      </c>
      <c r="J1464" s="108" t="str">
        <f>IFERROR(VLOOKUP(H1464,LUTs!$A$1:$C$73,3,FALSE),"NA")</f>
        <v>3South Puget Sound</v>
      </c>
      <c r="K1464" s="108" t="s">
        <v>23</v>
      </c>
      <c r="L1464" s="108" t="str">
        <f>VLOOKUP(K1464,LUTs!E$2:G$14,3,)</f>
        <v>10Kitsap</v>
      </c>
      <c r="M1464" s="108" t="str">
        <f>VLOOKUP($K1464,LUTs!$E$2:$H$14,2,)</f>
        <v>South Puget Sound</v>
      </c>
      <c r="N1464" s="108" t="str">
        <f>VLOOKUP($K1464,LUTs!$E$2:$H$14,4,)</f>
        <v>02South Puget Sound</v>
      </c>
      <c r="O1464" s="108">
        <v>65.056701030927897</v>
      </c>
      <c r="P1464" s="108">
        <v>223.79505154639199</v>
      </c>
      <c r="Q1464" s="108">
        <f>SUMIFS('FW_Salmon_by_Month_2010-2021'!P$2:P$3810,'FW_Salmon_by_Month_2010-2021'!$B$2:$B$3810,'Rec_raw_catch_effort_2010-2021'!$B1464,'FW_Salmon_by_Month_2010-2021'!$H$2:$H$3810,'Rec_raw_catch_effort_2010-2021'!$F1464,'FW_Salmon_by_Month_2010-2021'!$M$2:$M$3810,'Rec_raw_catch_effort_2010-2021'!$K1464)</f>
        <v>65.10794108559071</v>
      </c>
      <c r="R1464" s="109">
        <f>VLOOKUP(B1464,Readme!$A$62:$C$74,2,)*Q1464</f>
        <v>230.41963645287655</v>
      </c>
      <c r="S1464" s="140" t="str">
        <f t="shared" si="129"/>
        <v>Y</v>
      </c>
      <c r="T1464" s="154">
        <f t="shared" si="130"/>
        <v>3.4400000000000004</v>
      </c>
      <c r="U1464" s="154">
        <f t="shared" si="131"/>
        <v>3.5390404397824153</v>
      </c>
    </row>
    <row r="1465" spans="1:21" x14ac:dyDescent="0.35">
      <c r="A1465" s="108">
        <v>22</v>
      </c>
      <c r="B1465" s="108">
        <v>2019</v>
      </c>
      <c r="C1465" s="108" t="s">
        <v>38</v>
      </c>
      <c r="D1465" s="108" t="s">
        <v>143</v>
      </c>
      <c r="E1465" s="108" t="s">
        <v>10</v>
      </c>
      <c r="F1465" s="116">
        <v>746</v>
      </c>
      <c r="G1465" s="108" t="s">
        <v>45</v>
      </c>
      <c r="H1465" s="108" t="str">
        <f t="shared" si="128"/>
        <v>Green - Duwamish River</v>
      </c>
      <c r="I1465" s="108" t="str">
        <f>IFERROR(VLOOKUP(H1465,LUTs!$A$1:$C$73,2,FALSE),"NA")</f>
        <v>King</v>
      </c>
      <c r="J1465" s="108" t="str">
        <f>IFERROR(VLOOKUP(H1465,LUTs!$A$1:$C$73,3,FALSE),"NA")</f>
        <v>3South Puget Sound</v>
      </c>
      <c r="K1465" s="108" t="s">
        <v>26</v>
      </c>
      <c r="L1465" s="108" t="str">
        <f>VLOOKUP(K1465,LUTs!E$2:G$14,3,)</f>
        <v>20Other</v>
      </c>
      <c r="M1465" s="108" t="str">
        <f>VLOOKUP($K1465,LUTs!$E$2:$H$14,2,)</f>
        <v>Non Puget Sound</v>
      </c>
      <c r="N1465" s="108" t="str">
        <f>VLOOKUP($K1465,LUTs!$E$2:$H$14,4,)</f>
        <v>07Non Puget Sound</v>
      </c>
      <c r="O1465" s="108">
        <v>672.252577319588</v>
      </c>
      <c r="P1465" s="108">
        <v>2312.54886597938</v>
      </c>
      <c r="Q1465" s="108">
        <f>SUMIFS('FW_Salmon_by_Month_2010-2021'!P$2:P$3810,'FW_Salmon_by_Month_2010-2021'!$B$2:$B$3810,'Rec_raw_catch_effort_2010-2021'!$B1465,'FW_Salmon_by_Month_2010-2021'!$H$2:$H$3810,'Rec_raw_catch_effort_2010-2021'!$F1465,'FW_Salmon_by_Month_2010-2021'!$M$2:$M$3810,'Rec_raw_catch_effort_2010-2021'!$K1465)</f>
        <v>672.67442294841692</v>
      </c>
      <c r="R1465" s="109">
        <f>VLOOKUP(B1465,Readme!$A$62:$C$74,2,)*Q1465</f>
        <v>2380.6219856217481</v>
      </c>
      <c r="S1465" s="140" t="str">
        <f t="shared" si="129"/>
        <v>Y</v>
      </c>
      <c r="T1465" s="154">
        <f t="shared" si="130"/>
        <v>3.4399999999999959</v>
      </c>
      <c r="U1465" s="154">
        <f t="shared" si="131"/>
        <v>3.5390404397824158</v>
      </c>
    </row>
    <row r="1466" spans="1:21" x14ac:dyDescent="0.35">
      <c r="A1466" s="108">
        <v>18</v>
      </c>
      <c r="B1466" s="108">
        <v>2019</v>
      </c>
      <c r="C1466" s="108" t="s">
        <v>38</v>
      </c>
      <c r="D1466" s="108" t="s">
        <v>143</v>
      </c>
      <c r="E1466" s="108" t="s">
        <v>10</v>
      </c>
      <c r="F1466" s="116">
        <v>746</v>
      </c>
      <c r="G1466" s="108" t="s">
        <v>45</v>
      </c>
      <c r="H1466" s="108" t="str">
        <f t="shared" si="128"/>
        <v>Green - Duwamish River</v>
      </c>
      <c r="I1466" s="108" t="str">
        <f>IFERROR(VLOOKUP(H1466,LUTs!$A$1:$C$73,2,FALSE),"NA")</f>
        <v>King</v>
      </c>
      <c r="J1466" s="108" t="str">
        <f>IFERROR(VLOOKUP(H1466,LUTs!$A$1:$C$73,3,FALSE),"NA")</f>
        <v>3South Puget Sound</v>
      </c>
      <c r="K1466" s="108" t="s">
        <v>20</v>
      </c>
      <c r="L1466" s="108" t="str">
        <f>VLOOKUP(K1466,LUTs!E$2:G$14,3,)</f>
        <v>07Pierce</v>
      </c>
      <c r="M1466" s="108" t="str">
        <f>VLOOKUP($K1466,LUTs!$E$2:$H$14,2,)</f>
        <v>South Puget Sound</v>
      </c>
      <c r="N1466" s="108" t="str">
        <f>VLOOKUP($K1466,LUTs!$E$2:$H$14,4,)</f>
        <v>02South Puget Sound</v>
      </c>
      <c r="O1466" s="108">
        <v>2417.9407216494801</v>
      </c>
      <c r="P1466" s="108">
        <v>8317.7160824742095</v>
      </c>
      <c r="Q1466" s="108">
        <f>SUMIFS('FW_Salmon_by_Month_2010-2021'!P$2:P$3810,'FW_Salmon_by_Month_2010-2021'!$B$2:$B$3810,'Rec_raw_catch_effort_2010-2021'!$B1466,'FW_Salmon_by_Month_2010-2021'!$H$2:$H$3810,'Rec_raw_catch_effort_2010-2021'!$F1466,'FW_Salmon_by_Month_2010-2021'!$M$2:$M$3810,'Rec_raw_catch_effort_2010-2021'!$K1466)</f>
        <v>2421.7657916757994</v>
      </c>
      <c r="R1466" s="109">
        <f>VLOOKUP(B1466,Readme!$A$62:$C$74,2,)*Q1466</f>
        <v>8570.7270724223308</v>
      </c>
      <c r="S1466" s="140" t="str">
        <f t="shared" si="129"/>
        <v>Y</v>
      </c>
      <c r="T1466" s="154">
        <f t="shared" si="130"/>
        <v>3.4399999999999991</v>
      </c>
      <c r="U1466" s="154">
        <f t="shared" si="131"/>
        <v>3.5390404397824153</v>
      </c>
    </row>
    <row r="1467" spans="1:21" x14ac:dyDescent="0.35">
      <c r="A1467" s="108">
        <v>15</v>
      </c>
      <c r="B1467" s="108">
        <v>2019</v>
      </c>
      <c r="C1467" s="108" t="s">
        <v>38</v>
      </c>
      <c r="D1467" s="108" t="s">
        <v>143</v>
      </c>
      <c r="E1467" s="108" t="s">
        <v>10</v>
      </c>
      <c r="F1467" s="116">
        <v>746</v>
      </c>
      <c r="G1467" s="108" t="s">
        <v>45</v>
      </c>
      <c r="H1467" s="108" t="str">
        <f t="shared" si="128"/>
        <v>Green - Duwamish River</v>
      </c>
      <c r="I1467" s="108" t="str">
        <f>IFERROR(VLOOKUP(H1467,LUTs!$A$1:$C$73,2,FALSE),"NA")</f>
        <v>King</v>
      </c>
      <c r="J1467" s="108" t="str">
        <f>IFERROR(VLOOKUP(H1467,LUTs!$A$1:$C$73,3,FALSE),"NA")</f>
        <v>3South Puget Sound</v>
      </c>
      <c r="K1467" s="108" t="s">
        <v>16</v>
      </c>
      <c r="L1467" s="108" t="str">
        <f>VLOOKUP(K1467,LUTs!E$2:G$14,3,)</f>
        <v>03Snohomish</v>
      </c>
      <c r="M1467" s="108" t="str">
        <f>VLOOKUP($K1467,LUTs!$E$2:$H$14,2,)</f>
        <v>North Puget Sound</v>
      </c>
      <c r="N1467" s="108" t="str">
        <f>VLOOKUP($K1467,LUTs!$E$2:$H$14,4,)</f>
        <v>01North Puget Sound</v>
      </c>
      <c r="O1467" s="108">
        <v>552.98195876288696</v>
      </c>
      <c r="P1467" s="108">
        <v>1902.25793814433</v>
      </c>
      <c r="Q1467" s="108">
        <f>SUMIFS('FW_Salmon_by_Month_2010-2021'!P$2:P$3810,'FW_Salmon_by_Month_2010-2021'!$B$2:$B$3810,'Rec_raw_catch_effort_2010-2021'!$B1467,'FW_Salmon_by_Month_2010-2021'!$H$2:$H$3810,'Rec_raw_catch_effort_2010-2021'!$F1467,'FW_Salmon_by_Month_2010-2021'!$M$2:$M$3810,'Rec_raw_catch_effort_2010-2021'!$K1467)</f>
        <v>553.64847452089134</v>
      </c>
      <c r="R1467" s="109">
        <f>VLOOKUP(B1467,Readme!$A$62:$C$74,2,)*Q1467</f>
        <v>1959.3843407532786</v>
      </c>
      <c r="S1467" s="140" t="str">
        <f t="shared" si="129"/>
        <v>Y</v>
      </c>
      <c r="T1467" s="154">
        <f t="shared" si="130"/>
        <v>3.4399999999999977</v>
      </c>
      <c r="U1467" s="154">
        <f t="shared" si="131"/>
        <v>3.5390404397824153</v>
      </c>
    </row>
    <row r="1468" spans="1:21" x14ac:dyDescent="0.35">
      <c r="A1468" s="108">
        <v>19</v>
      </c>
      <c r="B1468" s="108">
        <v>2019</v>
      </c>
      <c r="C1468" s="108" t="s">
        <v>38</v>
      </c>
      <c r="D1468" s="108" t="s">
        <v>143</v>
      </c>
      <c r="E1468" s="108" t="s">
        <v>10</v>
      </c>
      <c r="F1468" s="116">
        <v>746</v>
      </c>
      <c r="G1468" s="108" t="s">
        <v>45</v>
      </c>
      <c r="H1468" s="108" t="str">
        <f t="shared" si="128"/>
        <v>Green - Duwamish River</v>
      </c>
      <c r="I1468" s="108" t="str">
        <f>IFERROR(VLOOKUP(H1468,LUTs!$A$1:$C$73,2,FALSE),"NA")</f>
        <v>King</v>
      </c>
      <c r="J1468" s="108" t="str">
        <f>IFERROR(VLOOKUP(H1468,LUTs!$A$1:$C$73,3,FALSE),"NA")</f>
        <v>3South Puget Sound</v>
      </c>
      <c r="K1468" s="108" t="s">
        <v>21</v>
      </c>
      <c r="L1468" s="108" t="str">
        <f>VLOOKUP(K1468,LUTs!E$2:G$14,3,)</f>
        <v>08Thurston</v>
      </c>
      <c r="M1468" s="108" t="str">
        <f>VLOOKUP($K1468,LUTs!$E$2:$H$14,2,)</f>
        <v>South Puget Sound</v>
      </c>
      <c r="N1468" s="108" t="str">
        <f>VLOOKUP($K1468,LUTs!$E$2:$H$14,4,)</f>
        <v>02South Puget Sound</v>
      </c>
      <c r="O1468" s="108">
        <v>75.899484536082497</v>
      </c>
      <c r="P1468" s="108">
        <v>261.09422680412399</v>
      </c>
      <c r="Q1468" s="108">
        <f>SUMIFS('FW_Salmon_by_Month_2010-2021'!P$2:P$3810,'FW_Salmon_by_Month_2010-2021'!$B$2:$B$3810,'Rec_raw_catch_effort_2010-2021'!$B1468,'FW_Salmon_by_Month_2010-2021'!$H$2:$H$3810,'Rec_raw_catch_effort_2010-2021'!$F1468,'FW_Salmon_by_Month_2010-2021'!$M$2:$M$3810,'Rec_raw_catch_effort_2010-2021'!$K1468)</f>
        <v>76.047493256865295</v>
      </c>
      <c r="R1468" s="109">
        <f>VLOOKUP(B1468,Readme!$A$62:$C$74,2,)*Q1468</f>
        <v>269.1351539801268</v>
      </c>
      <c r="S1468" s="140" t="str">
        <f t="shared" si="129"/>
        <v>Y</v>
      </c>
      <c r="T1468" s="154">
        <f t="shared" si="130"/>
        <v>3.4400000000000026</v>
      </c>
      <c r="U1468" s="154">
        <f t="shared" si="131"/>
        <v>3.5390404397824153</v>
      </c>
    </row>
    <row r="1469" spans="1:21" x14ac:dyDescent="0.35">
      <c r="A1469" s="108">
        <v>114</v>
      </c>
      <c r="B1469" s="108">
        <v>2020</v>
      </c>
      <c r="C1469" s="108" t="s">
        <v>38</v>
      </c>
      <c r="D1469" s="108" t="s">
        <v>143</v>
      </c>
      <c r="E1469" s="108" t="s">
        <v>10</v>
      </c>
      <c r="F1469" s="116">
        <v>746</v>
      </c>
      <c r="G1469" s="108" t="s">
        <v>45</v>
      </c>
      <c r="H1469" s="108" t="str">
        <f t="shared" si="128"/>
        <v>Green - Duwamish River</v>
      </c>
      <c r="I1469" s="108" t="str">
        <f>IFERROR(VLOOKUP(H1469,LUTs!$A$1:$C$73,2,FALSE),"NA")</f>
        <v>King</v>
      </c>
      <c r="J1469" s="108" t="str">
        <f>IFERROR(VLOOKUP(H1469,LUTs!$A$1:$C$73,3,FALSE),"NA")</f>
        <v>3South Puget Sound</v>
      </c>
      <c r="K1469" s="108" t="s">
        <v>24</v>
      </c>
      <c r="L1469" s="108" t="str">
        <f>VLOOKUP(K1469,LUTs!E$2:G$14,3,)</f>
        <v>11Clallam</v>
      </c>
      <c r="M1469" s="108" t="str">
        <f>VLOOKUP($K1469,LUTs!$E$2:$H$14,2,)</f>
        <v>Strait of Juan de Fuca</v>
      </c>
      <c r="N1469" s="108" t="str">
        <f>VLOOKUP($K1469,LUTs!$E$2:$H$14,4,)</f>
        <v>03Strait of Juan de Fuca</v>
      </c>
      <c r="O1469" s="108">
        <v>296.345707656613</v>
      </c>
      <c r="P1469" s="108">
        <v>2563.3903712297001</v>
      </c>
      <c r="Q1469" s="108">
        <f>SUMIFS('FW_Salmon_by_Month_2010-2021'!P$2:P$3810,'FW_Salmon_by_Month_2010-2021'!$B$2:$B$3810,'Rec_raw_catch_effort_2010-2021'!$B1469,'FW_Salmon_by_Month_2010-2021'!$H$2:$H$3810,'Rec_raw_catch_effort_2010-2021'!$F1469,'FW_Salmon_by_Month_2010-2021'!$M$2:$M$3810,'Rec_raw_catch_effort_2010-2021'!$K1469)</f>
        <v>297.23523622047196</v>
      </c>
      <c r="R1469" s="109">
        <f>VLOOKUP(B1469,Readme!$A$62:$C$74,2,)*Q1469</f>
        <v>1432.5415404016237</v>
      </c>
      <c r="S1469" s="140" t="str">
        <f t="shared" si="129"/>
        <v>N</v>
      </c>
      <c r="T1469" s="154">
        <f t="shared" si="130"/>
        <v>8.6499999999999915</v>
      </c>
      <c r="U1469" s="154">
        <f t="shared" si="131"/>
        <v>4.8195549041132084</v>
      </c>
    </row>
    <row r="1470" spans="1:21" x14ac:dyDescent="0.35">
      <c r="A1470" s="108">
        <v>109</v>
      </c>
      <c r="B1470" s="108">
        <v>2020</v>
      </c>
      <c r="C1470" s="108" t="s">
        <v>38</v>
      </c>
      <c r="D1470" s="108" t="s">
        <v>143</v>
      </c>
      <c r="E1470" s="108" t="s">
        <v>10</v>
      </c>
      <c r="F1470" s="116">
        <v>746</v>
      </c>
      <c r="G1470" s="108" t="s">
        <v>45</v>
      </c>
      <c r="H1470" s="108" t="str">
        <f t="shared" si="128"/>
        <v>Green - Duwamish River</v>
      </c>
      <c r="I1470" s="108" t="str">
        <f>IFERROR(VLOOKUP(H1470,LUTs!$A$1:$C$73,2,FALSE),"NA")</f>
        <v>King</v>
      </c>
      <c r="J1470" s="108" t="str">
        <f>IFERROR(VLOOKUP(H1470,LUTs!$A$1:$C$73,3,FALSE),"NA")</f>
        <v>3South Puget Sound</v>
      </c>
      <c r="K1470" s="108" t="s">
        <v>17</v>
      </c>
      <c r="L1470" s="108" t="str">
        <f>VLOOKUP(K1470,LUTs!E$2:G$14,3,)</f>
        <v>04Island</v>
      </c>
      <c r="M1470" s="108" t="str">
        <f>VLOOKUP($K1470,LUTs!$E$2:$H$14,2,)</f>
        <v>North Puget Sound</v>
      </c>
      <c r="N1470" s="108" t="str">
        <f>VLOOKUP($K1470,LUTs!$E$2:$H$14,4,)</f>
        <v>01North Puget Sound</v>
      </c>
      <c r="O1470" s="108">
        <v>35.561484918793496</v>
      </c>
      <c r="P1470" s="108">
        <v>307.60684454756398</v>
      </c>
      <c r="Q1470" s="108">
        <f>SUMIFS('FW_Salmon_by_Month_2010-2021'!P$2:P$3810,'FW_Salmon_by_Month_2010-2021'!$B$2:$B$3810,'Rec_raw_catch_effort_2010-2021'!$B1470,'FW_Salmon_by_Month_2010-2021'!$H$2:$H$3810,'Rec_raw_catch_effort_2010-2021'!$F1470,'FW_Salmon_by_Month_2010-2021'!$M$2:$M$3810,'Rec_raw_catch_effort_2010-2021'!$K1470)</f>
        <v>35.622047244094503</v>
      </c>
      <c r="R1470" s="109">
        <f>VLOOKUP(B1470,Readme!$A$62:$C$74,2,)*Q1470</f>
        <v>171.68241248982807</v>
      </c>
      <c r="S1470" s="140" t="str">
        <f t="shared" si="129"/>
        <v>N</v>
      </c>
      <c r="T1470" s="154">
        <f t="shared" si="130"/>
        <v>8.6500000000000075</v>
      </c>
      <c r="U1470" s="154">
        <f t="shared" si="131"/>
        <v>4.8195549041132084</v>
      </c>
    </row>
    <row r="1471" spans="1:21" x14ac:dyDescent="0.35">
      <c r="A1471" s="108">
        <v>110</v>
      </c>
      <c r="B1471" s="108">
        <v>2020</v>
      </c>
      <c r="C1471" s="108" t="s">
        <v>38</v>
      </c>
      <c r="D1471" s="108" t="s">
        <v>143</v>
      </c>
      <c r="E1471" s="108" t="s">
        <v>10</v>
      </c>
      <c r="F1471" s="116">
        <v>746</v>
      </c>
      <c r="G1471" s="108" t="s">
        <v>45</v>
      </c>
      <c r="H1471" s="108" t="str">
        <f t="shared" si="128"/>
        <v>Green - Duwamish River</v>
      </c>
      <c r="I1471" s="108" t="str">
        <f>IFERROR(VLOOKUP(H1471,LUTs!$A$1:$C$73,2,FALSE),"NA")</f>
        <v>King</v>
      </c>
      <c r="J1471" s="108" t="str">
        <f>IFERROR(VLOOKUP(H1471,LUTs!$A$1:$C$73,3,FALSE),"NA")</f>
        <v>3South Puget Sound</v>
      </c>
      <c r="K1471" s="108" t="s">
        <v>18</v>
      </c>
      <c r="L1471" s="108" t="str">
        <f>VLOOKUP(K1471,LUTs!E$2:G$14,3,)</f>
        <v>06King</v>
      </c>
      <c r="M1471" s="108" t="str">
        <f>VLOOKUP($K1471,LUTs!$E$2:$H$14,2,)</f>
        <v>South Puget Sound</v>
      </c>
      <c r="N1471" s="108" t="str">
        <f>VLOOKUP($K1471,LUTs!$E$2:$H$14,4,)</f>
        <v>02South Puget Sound</v>
      </c>
      <c r="O1471" s="108">
        <v>3864.3480278422298</v>
      </c>
      <c r="P1471" s="108">
        <v>33426.610440835299</v>
      </c>
      <c r="Q1471" s="108">
        <f>SUMIFS('FW_Salmon_by_Month_2010-2021'!P$2:P$3810,'FW_Salmon_by_Month_2010-2021'!$B$2:$B$3810,'Rec_raw_catch_effort_2010-2021'!$B1471,'FW_Salmon_by_Month_2010-2021'!$H$2:$H$3810,'Rec_raw_catch_effort_2010-2021'!$F1471,'FW_Salmon_by_Month_2010-2021'!$M$2:$M$3810,'Rec_raw_catch_effort_2010-2021'!$K1471)</f>
        <v>3871.1898979957041</v>
      </c>
      <c r="R1471" s="109">
        <f>VLOOKUP(B1471,Readme!$A$62:$C$74,2,)*Q1471</f>
        <v>18657.412257638705</v>
      </c>
      <c r="S1471" s="140" t="str">
        <f t="shared" si="129"/>
        <v>N</v>
      </c>
      <c r="T1471" s="154">
        <f t="shared" si="130"/>
        <v>8.6500000000000021</v>
      </c>
      <c r="U1471" s="154">
        <f t="shared" si="131"/>
        <v>4.8195549041132084</v>
      </c>
    </row>
    <row r="1472" spans="1:21" x14ac:dyDescent="0.35">
      <c r="A1472" s="108">
        <v>113</v>
      </c>
      <c r="B1472" s="108">
        <v>2020</v>
      </c>
      <c r="C1472" s="108" t="s">
        <v>38</v>
      </c>
      <c r="D1472" s="108" t="s">
        <v>143</v>
      </c>
      <c r="E1472" s="108" t="s">
        <v>10</v>
      </c>
      <c r="F1472" s="116">
        <v>746</v>
      </c>
      <c r="G1472" s="108" t="s">
        <v>45</v>
      </c>
      <c r="H1472" s="108" t="str">
        <f t="shared" si="128"/>
        <v>Green - Duwamish River</v>
      </c>
      <c r="I1472" s="108" t="str">
        <f>IFERROR(VLOOKUP(H1472,LUTs!$A$1:$C$73,2,FALSE),"NA")</f>
        <v>King</v>
      </c>
      <c r="J1472" s="108" t="str">
        <f>IFERROR(VLOOKUP(H1472,LUTs!$A$1:$C$73,3,FALSE),"NA")</f>
        <v>3South Puget Sound</v>
      </c>
      <c r="K1472" s="108" t="s">
        <v>22</v>
      </c>
      <c r="L1472" s="108" t="str">
        <f>VLOOKUP(K1472,LUTs!E$2:G$14,3,)</f>
        <v>09Mason</v>
      </c>
      <c r="M1472" s="108" t="str">
        <f>VLOOKUP($K1472,LUTs!$E$2:$H$14,2,)</f>
        <v>South Puget Sound</v>
      </c>
      <c r="N1472" s="108" t="str">
        <f>VLOOKUP($K1472,LUTs!$E$2:$H$14,4,)</f>
        <v>02South Puget Sound</v>
      </c>
      <c r="O1472" s="108">
        <v>11.8538283062645</v>
      </c>
      <c r="P1472" s="108">
        <v>102.53561484918799</v>
      </c>
      <c r="Q1472" s="108">
        <f>SUMIFS('FW_Salmon_by_Month_2010-2021'!P$2:P$3810,'FW_Salmon_by_Month_2010-2021'!$B$2:$B$3810,'Rec_raw_catch_effort_2010-2021'!$B1472,'FW_Salmon_by_Month_2010-2021'!$H$2:$H$3810,'Rec_raw_catch_effort_2010-2021'!$F1472,'FW_Salmon_by_Month_2010-2021'!$M$2:$M$3810,'Rec_raw_catch_effort_2010-2021'!$K1472)</f>
        <v>0</v>
      </c>
      <c r="R1472" s="109">
        <f>VLOOKUP(B1472,Readme!$A$62:$C$74,2,)*Q1472</f>
        <v>0</v>
      </c>
      <c r="S1472" s="140" t="str">
        <f t="shared" si="129"/>
        <v>N</v>
      </c>
      <c r="T1472" s="154">
        <f t="shared" si="130"/>
        <v>8.6500000000000057</v>
      </c>
      <c r="U1472" s="154" t="str">
        <f t="shared" si="131"/>
        <v>NA</v>
      </c>
    </row>
    <row r="1473" spans="1:21" x14ac:dyDescent="0.35">
      <c r="A1473" s="108">
        <v>111</v>
      </c>
      <c r="B1473" s="108">
        <v>2020</v>
      </c>
      <c r="C1473" s="108" t="s">
        <v>38</v>
      </c>
      <c r="D1473" s="108" t="s">
        <v>143</v>
      </c>
      <c r="E1473" s="108" t="s">
        <v>10</v>
      </c>
      <c r="F1473" s="116">
        <v>746</v>
      </c>
      <c r="G1473" s="108" t="s">
        <v>45</v>
      </c>
      <c r="H1473" s="108" t="str">
        <f t="shared" si="128"/>
        <v>Green - Duwamish River</v>
      </c>
      <c r="I1473" s="108" t="str">
        <f>IFERROR(VLOOKUP(H1473,LUTs!$A$1:$C$73,2,FALSE),"NA")</f>
        <v>King</v>
      </c>
      <c r="J1473" s="108" t="str">
        <f>IFERROR(VLOOKUP(H1473,LUTs!$A$1:$C$73,3,FALSE),"NA")</f>
        <v>3South Puget Sound</v>
      </c>
      <c r="K1473" s="108" t="s">
        <v>20</v>
      </c>
      <c r="L1473" s="108" t="str">
        <f>VLOOKUP(K1473,LUTs!E$2:G$14,3,)</f>
        <v>07Pierce</v>
      </c>
      <c r="M1473" s="108" t="str">
        <f>VLOOKUP($K1473,LUTs!$E$2:$H$14,2,)</f>
        <v>South Puget Sound</v>
      </c>
      <c r="N1473" s="108" t="str">
        <f>VLOOKUP($K1473,LUTs!$E$2:$H$14,4,)</f>
        <v>02South Puget Sound</v>
      </c>
      <c r="O1473" s="108">
        <v>533.42227378190296</v>
      </c>
      <c r="P1473" s="108">
        <v>4614.1026682134598</v>
      </c>
      <c r="Q1473" s="108">
        <f>SUMIFS('FW_Salmon_by_Month_2010-2021'!P$2:P$3810,'FW_Salmon_by_Month_2010-2021'!$B$2:$B$3810,'Rec_raw_catch_effort_2010-2021'!$B1473,'FW_Salmon_by_Month_2010-2021'!$H$2:$H$3810,'Rec_raw_catch_effort_2010-2021'!$F1473,'FW_Salmon_by_Month_2010-2021'!$M$2:$M$3810,'Rec_raw_catch_effort_2010-2021'!$K1473)</f>
        <v>535.8813707945601</v>
      </c>
      <c r="R1473" s="109">
        <f>VLOOKUP(B1473,Readme!$A$62:$C$74,2,)*Q1473</f>
        <v>2582.7096886358308</v>
      </c>
      <c r="S1473" s="140" t="str">
        <f t="shared" si="129"/>
        <v>N</v>
      </c>
      <c r="T1473" s="154">
        <f t="shared" si="130"/>
        <v>8.6499999999999986</v>
      </c>
      <c r="U1473" s="154">
        <f t="shared" si="131"/>
        <v>4.8195549041132084</v>
      </c>
    </row>
    <row r="1474" spans="1:21" x14ac:dyDescent="0.35">
      <c r="A1474" s="108">
        <v>107</v>
      </c>
      <c r="B1474" s="108">
        <v>2020</v>
      </c>
      <c r="C1474" s="108" t="s">
        <v>38</v>
      </c>
      <c r="D1474" s="108" t="s">
        <v>143</v>
      </c>
      <c r="E1474" s="108" t="s">
        <v>10</v>
      </c>
      <c r="F1474" s="116">
        <v>746</v>
      </c>
      <c r="G1474" s="108" t="s">
        <v>45</v>
      </c>
      <c r="H1474" s="108" t="str">
        <f t="shared" ref="H1474:H1537" si="132">G1474</f>
        <v>Green - Duwamish River</v>
      </c>
      <c r="I1474" s="108" t="str">
        <f>IFERROR(VLOOKUP(H1474,LUTs!$A$1:$C$73,2,FALSE),"NA")</f>
        <v>King</v>
      </c>
      <c r="J1474" s="108" t="str">
        <f>IFERROR(VLOOKUP(H1474,LUTs!$A$1:$C$73,3,FALSE),"NA")</f>
        <v>3South Puget Sound</v>
      </c>
      <c r="K1474" s="108" t="s">
        <v>15</v>
      </c>
      <c r="L1474" s="108" t="str">
        <f>VLOOKUP(K1474,LUTs!E$2:G$14,3,)</f>
        <v>02Skagit</v>
      </c>
      <c r="M1474" s="108" t="str">
        <f>VLOOKUP($K1474,LUTs!$E$2:$H$14,2,)</f>
        <v>North Puget Sound</v>
      </c>
      <c r="N1474" s="108" t="str">
        <f>VLOOKUP($K1474,LUTs!$E$2:$H$14,4,)</f>
        <v>01North Puget Sound</v>
      </c>
      <c r="O1474" s="108">
        <v>23.707656612529</v>
      </c>
      <c r="P1474" s="108">
        <v>205.07122969837599</v>
      </c>
      <c r="Q1474" s="108">
        <f>SUMIFS('FW_Salmon_by_Month_2010-2021'!P$2:P$3810,'FW_Salmon_by_Month_2010-2021'!$B$2:$B$3810,'Rec_raw_catch_effort_2010-2021'!$B1474,'FW_Salmon_by_Month_2010-2021'!$H$2:$H$3810,'Rec_raw_catch_effort_2010-2021'!$F1474,'FW_Salmon_by_Month_2010-2021'!$M$2:$M$3810,'Rec_raw_catch_effort_2010-2021'!$K1474)</f>
        <v>23.824999999999999</v>
      </c>
      <c r="R1474" s="109">
        <f>VLOOKUP(B1474,Readme!$A$62:$C$74,2,)*Q1474</f>
        <v>114.82589559049718</v>
      </c>
      <c r="S1474" s="140" t="str">
        <f t="shared" si="129"/>
        <v>N</v>
      </c>
      <c r="T1474" s="154">
        <f t="shared" si="130"/>
        <v>8.6500000000000057</v>
      </c>
      <c r="U1474" s="154">
        <f t="shared" si="131"/>
        <v>4.8195549041132084</v>
      </c>
    </row>
    <row r="1475" spans="1:21" x14ac:dyDescent="0.35">
      <c r="A1475" s="108">
        <v>108</v>
      </c>
      <c r="B1475" s="108">
        <v>2020</v>
      </c>
      <c r="C1475" s="108" t="s">
        <v>38</v>
      </c>
      <c r="D1475" s="108" t="s">
        <v>143</v>
      </c>
      <c r="E1475" s="108" t="s">
        <v>10</v>
      </c>
      <c r="F1475" s="116">
        <v>746</v>
      </c>
      <c r="G1475" s="108" t="s">
        <v>45</v>
      </c>
      <c r="H1475" s="108" t="str">
        <f t="shared" si="132"/>
        <v>Green - Duwamish River</v>
      </c>
      <c r="I1475" s="108" t="str">
        <f>IFERROR(VLOOKUP(H1475,LUTs!$A$1:$C$73,2,FALSE),"NA")</f>
        <v>King</v>
      </c>
      <c r="J1475" s="108" t="str">
        <f>IFERROR(VLOOKUP(H1475,LUTs!$A$1:$C$73,3,FALSE),"NA")</f>
        <v>3South Puget Sound</v>
      </c>
      <c r="K1475" s="108" t="s">
        <v>16</v>
      </c>
      <c r="L1475" s="108" t="str">
        <f>VLOOKUP(K1475,LUTs!E$2:G$14,3,)</f>
        <v>03Snohomish</v>
      </c>
      <c r="M1475" s="108" t="str">
        <f>VLOOKUP($K1475,LUTs!$E$2:$H$14,2,)</f>
        <v>North Puget Sound</v>
      </c>
      <c r="N1475" s="108" t="str">
        <f>VLOOKUP($K1475,LUTs!$E$2:$H$14,4,)</f>
        <v>01North Puget Sound</v>
      </c>
      <c r="O1475" s="108">
        <v>284.49187935034797</v>
      </c>
      <c r="P1475" s="108">
        <v>2460.85475638051</v>
      </c>
      <c r="Q1475" s="108">
        <f>SUMIFS('FW_Salmon_by_Month_2010-2021'!P$2:P$3810,'FW_Salmon_by_Month_2010-2021'!$B$2:$B$3810,'Rec_raw_catch_effort_2010-2021'!$B1475,'FW_Salmon_by_Month_2010-2021'!$H$2:$H$3810,'Rec_raw_catch_effort_2010-2021'!$F1475,'FW_Salmon_by_Month_2010-2021'!$M$2:$M$3810,'Rec_raw_catch_effort_2010-2021'!$K1475)</f>
        <v>285.707659269864</v>
      </c>
      <c r="R1475" s="109">
        <f>VLOOKUP(B1475,Readme!$A$62:$C$74,2,)*Q1475</f>
        <v>1376.9837503767785</v>
      </c>
      <c r="S1475" s="140" t="str">
        <f t="shared" ref="S1475:S1538" si="133">IF(B1475&lt;=2019,"Y","N")</f>
        <v>N</v>
      </c>
      <c r="T1475" s="154">
        <f t="shared" ref="T1475:T1538" si="134">IFERROR(P1475/O1475,"NA")</f>
        <v>8.65</v>
      </c>
      <c r="U1475" s="154">
        <f t="shared" ref="U1475:U1538" si="135">IFERROR(R1475/Q1475,"NA")</f>
        <v>4.8195549041132084</v>
      </c>
    </row>
    <row r="1476" spans="1:21" x14ac:dyDescent="0.35">
      <c r="A1476" s="108">
        <v>112</v>
      </c>
      <c r="B1476" s="108">
        <v>2020</v>
      </c>
      <c r="C1476" s="108" t="s">
        <v>38</v>
      </c>
      <c r="D1476" s="108" t="s">
        <v>143</v>
      </c>
      <c r="E1476" s="108" t="s">
        <v>10</v>
      </c>
      <c r="F1476" s="116">
        <v>746</v>
      </c>
      <c r="G1476" s="108" t="s">
        <v>45</v>
      </c>
      <c r="H1476" s="108" t="str">
        <f t="shared" si="132"/>
        <v>Green - Duwamish River</v>
      </c>
      <c r="I1476" s="108" t="str">
        <f>IFERROR(VLOOKUP(H1476,LUTs!$A$1:$C$73,2,FALSE),"NA")</f>
        <v>King</v>
      </c>
      <c r="J1476" s="108" t="str">
        <f>IFERROR(VLOOKUP(H1476,LUTs!$A$1:$C$73,3,FALSE),"NA")</f>
        <v>3South Puget Sound</v>
      </c>
      <c r="K1476" s="108" t="s">
        <v>21</v>
      </c>
      <c r="L1476" s="108" t="str">
        <f>VLOOKUP(K1476,LUTs!E$2:G$14,3,)</f>
        <v>08Thurston</v>
      </c>
      <c r="M1476" s="108" t="str">
        <f>VLOOKUP($K1476,LUTs!$E$2:$H$14,2,)</f>
        <v>South Puget Sound</v>
      </c>
      <c r="N1476" s="108" t="str">
        <f>VLOOKUP($K1476,LUTs!$E$2:$H$14,4,)</f>
        <v>02South Puget Sound</v>
      </c>
      <c r="O1476" s="108">
        <v>59.269141531322497</v>
      </c>
      <c r="P1476" s="108">
        <v>512.67807424594002</v>
      </c>
      <c r="Q1476" s="108">
        <f>SUMIFS('FW_Salmon_by_Month_2010-2021'!P$2:P$3810,'FW_Salmon_by_Month_2010-2021'!$B$2:$B$3810,'Rec_raw_catch_effort_2010-2021'!$B1476,'FW_Salmon_by_Month_2010-2021'!$H$2:$H$3810,'Rec_raw_catch_effort_2010-2021'!$F1476,'FW_Salmon_by_Month_2010-2021'!$M$2:$M$3810,'Rec_raw_catch_effort_2010-2021'!$K1476)</f>
        <v>59.538788475304202</v>
      </c>
      <c r="R1476" s="109">
        <f>VLOOKUP(B1476,Readme!$A$62:$C$74,2,)*Q1476</f>
        <v>286.95045998111135</v>
      </c>
      <c r="S1476" s="140" t="str">
        <f t="shared" si="133"/>
        <v>N</v>
      </c>
      <c r="T1476" s="154">
        <f t="shared" si="134"/>
        <v>8.6500000000000075</v>
      </c>
      <c r="U1476" s="154">
        <f t="shared" si="135"/>
        <v>4.8195549041132084</v>
      </c>
    </row>
    <row r="1477" spans="1:21" x14ac:dyDescent="0.35">
      <c r="A1477" s="108">
        <v>121</v>
      </c>
      <c r="B1477" s="108">
        <v>2021</v>
      </c>
      <c r="C1477" s="108" t="s">
        <v>38</v>
      </c>
      <c r="D1477" s="108" t="s">
        <v>143</v>
      </c>
      <c r="E1477" s="108" t="s">
        <v>10</v>
      </c>
      <c r="F1477" s="116">
        <v>746</v>
      </c>
      <c r="G1477" s="108" t="s">
        <v>45</v>
      </c>
      <c r="H1477" s="108" t="str">
        <f t="shared" si="132"/>
        <v>Green - Duwamish River</v>
      </c>
      <c r="I1477" s="108" t="str">
        <f>IFERROR(VLOOKUP(H1477,LUTs!$A$1:$C$73,2,FALSE),"NA")</f>
        <v>King</v>
      </c>
      <c r="J1477" s="108" t="str">
        <f>IFERROR(VLOOKUP(H1477,LUTs!$A$1:$C$73,3,FALSE),"NA")</f>
        <v>3South Puget Sound</v>
      </c>
      <c r="K1477" s="108" t="s">
        <v>18</v>
      </c>
      <c r="L1477" s="108" t="str">
        <f>VLOOKUP(K1477,LUTs!E$2:G$14,3,)</f>
        <v>06King</v>
      </c>
      <c r="M1477" s="108" t="str">
        <f>VLOOKUP($K1477,LUTs!$E$2:$H$14,2,)</f>
        <v>South Puget Sound</v>
      </c>
      <c r="N1477" s="108" t="str">
        <f>VLOOKUP($K1477,LUTs!$E$2:$H$14,4,)</f>
        <v>02South Puget Sound</v>
      </c>
      <c r="O1477" s="108">
        <v>22033.372459349601</v>
      </c>
      <c r="P1477" s="108">
        <v>75794.801260162596</v>
      </c>
      <c r="Q1477" s="108">
        <f>SUMIFS('FW_Salmon_by_Month_2010-2021'!P$2:P$3810,'FW_Salmon_by_Month_2010-2021'!$B$2:$B$3810,'Rec_raw_catch_effort_2010-2021'!$B1477,'FW_Salmon_by_Month_2010-2021'!$H$2:$H$3810,'Rec_raw_catch_effort_2010-2021'!$F1477,'FW_Salmon_by_Month_2010-2021'!$M$2:$M$3810,'Rec_raw_catch_effort_2010-2021'!$K1477)</f>
        <v>22050.61491898675</v>
      </c>
      <c r="R1477" s="109">
        <f>VLOOKUP(B1477,Readme!$A$62:$C$74,2,)*Q1477</f>
        <v>78038.017920363563</v>
      </c>
      <c r="S1477" s="140" t="str">
        <f t="shared" si="133"/>
        <v>N</v>
      </c>
      <c r="T1477" s="154">
        <f t="shared" si="134"/>
        <v>3.4399999999999986</v>
      </c>
      <c r="U1477" s="154">
        <f t="shared" si="135"/>
        <v>3.5390404397824158</v>
      </c>
    </row>
    <row r="1478" spans="1:21" x14ac:dyDescent="0.35">
      <c r="A1478" s="108">
        <v>124</v>
      </c>
      <c r="B1478" s="108">
        <v>2021</v>
      </c>
      <c r="C1478" s="108" t="s">
        <v>38</v>
      </c>
      <c r="D1478" s="108" t="s">
        <v>143</v>
      </c>
      <c r="E1478" s="108" t="s">
        <v>10</v>
      </c>
      <c r="F1478" s="116">
        <v>746</v>
      </c>
      <c r="G1478" s="108" t="s">
        <v>45</v>
      </c>
      <c r="H1478" s="108" t="str">
        <f t="shared" si="132"/>
        <v>Green - Duwamish River</v>
      </c>
      <c r="I1478" s="108" t="str">
        <f>IFERROR(VLOOKUP(H1478,LUTs!$A$1:$C$73,2,FALSE),"NA")</f>
        <v>King</v>
      </c>
      <c r="J1478" s="108" t="str">
        <f>IFERROR(VLOOKUP(H1478,LUTs!$A$1:$C$73,3,FALSE),"NA")</f>
        <v>3South Puget Sound</v>
      </c>
      <c r="K1478" s="108" t="s">
        <v>23</v>
      </c>
      <c r="L1478" s="108" t="str">
        <f>VLOOKUP(K1478,LUTs!E$2:G$14,3,)</f>
        <v>10Kitsap</v>
      </c>
      <c r="M1478" s="108" t="str">
        <f>VLOOKUP($K1478,LUTs!$E$2:$H$14,2,)</f>
        <v>South Puget Sound</v>
      </c>
      <c r="N1478" s="108" t="str">
        <f>VLOOKUP($K1478,LUTs!$E$2:$H$14,4,)</f>
        <v>02South Puget Sound</v>
      </c>
      <c r="O1478" s="108">
        <v>27.2184959349594</v>
      </c>
      <c r="P1478" s="108">
        <v>93.631626016260299</v>
      </c>
      <c r="Q1478" s="108">
        <f>SUMIFS('FW_Salmon_by_Month_2010-2021'!P$2:P$3810,'FW_Salmon_by_Month_2010-2021'!$B$2:$B$3810,'Rec_raw_catch_effort_2010-2021'!$B1478,'FW_Salmon_by_Month_2010-2021'!$H$2:$H$3810,'Rec_raw_catch_effort_2010-2021'!$F1478,'FW_Salmon_by_Month_2010-2021'!$M$2:$M$3810,'Rec_raw_catch_effort_2010-2021'!$K1478)</f>
        <v>27.495769881556701</v>
      </c>
      <c r="R1478" s="109">
        <f>VLOOKUP(B1478,Readme!$A$62:$C$74,2,)*Q1478</f>
        <v>97.308641533780516</v>
      </c>
      <c r="S1478" s="140" t="str">
        <f t="shared" si="133"/>
        <v>N</v>
      </c>
      <c r="T1478" s="154">
        <f t="shared" si="134"/>
        <v>3.4399999999999986</v>
      </c>
      <c r="U1478" s="154">
        <f t="shared" si="135"/>
        <v>3.5390404397824153</v>
      </c>
    </row>
    <row r="1479" spans="1:21" x14ac:dyDescent="0.35">
      <c r="A1479" s="108">
        <v>125</v>
      </c>
      <c r="B1479" s="108">
        <v>2021</v>
      </c>
      <c r="C1479" s="108" t="s">
        <v>38</v>
      </c>
      <c r="D1479" s="108" t="s">
        <v>143</v>
      </c>
      <c r="E1479" s="108" t="s">
        <v>10</v>
      </c>
      <c r="F1479" s="116">
        <v>746</v>
      </c>
      <c r="G1479" s="108" t="s">
        <v>45</v>
      </c>
      <c r="H1479" s="108" t="str">
        <f t="shared" si="132"/>
        <v>Green - Duwamish River</v>
      </c>
      <c r="I1479" s="108" t="str">
        <f>IFERROR(VLOOKUP(H1479,LUTs!$A$1:$C$73,2,FALSE),"NA")</f>
        <v>King</v>
      </c>
      <c r="J1479" s="108" t="str">
        <f>IFERROR(VLOOKUP(H1479,LUTs!$A$1:$C$73,3,FALSE),"NA")</f>
        <v>3South Puget Sound</v>
      </c>
      <c r="K1479" s="108" t="s">
        <v>26</v>
      </c>
      <c r="L1479" s="108" t="str">
        <f>VLOOKUP(K1479,LUTs!E$2:G$14,3,)</f>
        <v>20Other</v>
      </c>
      <c r="M1479" s="108" t="str">
        <f>VLOOKUP($K1479,LUTs!$E$2:$H$14,2,)</f>
        <v>Non Puget Sound</v>
      </c>
      <c r="N1479" s="108" t="str">
        <f>VLOOKUP($K1479,LUTs!$E$2:$H$14,4,)</f>
        <v>07Non Puget Sound</v>
      </c>
      <c r="O1479" s="108">
        <v>585.19766260162601</v>
      </c>
      <c r="P1479" s="108">
        <v>2013.0799593495899</v>
      </c>
      <c r="Q1479" s="108">
        <f>SUMIFS('FW_Salmon_by_Month_2010-2021'!P$2:P$3810,'FW_Salmon_by_Month_2010-2021'!$B$2:$B$3810,'Rec_raw_catch_effort_2010-2021'!$B1479,'FW_Salmon_by_Month_2010-2021'!$H$2:$H$3810,'Rec_raw_catch_effort_2010-2021'!$F1479,'FW_Salmon_by_Month_2010-2021'!$M$2:$M$3810,'Rec_raw_catch_effort_2010-2021'!$K1479)</f>
        <v>588.79856126116601</v>
      </c>
      <c r="R1479" s="109">
        <f>VLOOKUP(B1479,Readme!$A$62:$C$74,2,)*Q1479</f>
        <v>2083.7819191889703</v>
      </c>
      <c r="S1479" s="140" t="str">
        <f t="shared" si="133"/>
        <v>N</v>
      </c>
      <c r="T1479" s="154">
        <f t="shared" si="134"/>
        <v>3.4399999999999937</v>
      </c>
      <c r="U1479" s="154">
        <f t="shared" si="135"/>
        <v>3.5390404397824153</v>
      </c>
    </row>
    <row r="1480" spans="1:21" x14ac:dyDescent="0.35">
      <c r="A1480" s="108">
        <v>122</v>
      </c>
      <c r="B1480" s="108">
        <v>2021</v>
      </c>
      <c r="C1480" s="108" t="s">
        <v>38</v>
      </c>
      <c r="D1480" s="108" t="s">
        <v>143</v>
      </c>
      <c r="E1480" s="108" t="s">
        <v>10</v>
      </c>
      <c r="F1480" s="116">
        <v>746</v>
      </c>
      <c r="G1480" s="108" t="s">
        <v>45</v>
      </c>
      <c r="H1480" s="108" t="str">
        <f t="shared" si="132"/>
        <v>Green - Duwamish River</v>
      </c>
      <c r="I1480" s="108" t="str">
        <f>IFERROR(VLOOKUP(H1480,LUTs!$A$1:$C$73,2,FALSE),"NA")</f>
        <v>King</v>
      </c>
      <c r="J1480" s="108" t="str">
        <f>IFERROR(VLOOKUP(H1480,LUTs!$A$1:$C$73,3,FALSE),"NA")</f>
        <v>3South Puget Sound</v>
      </c>
      <c r="K1480" s="108" t="s">
        <v>20</v>
      </c>
      <c r="L1480" s="108" t="str">
        <f>VLOOKUP(K1480,LUTs!E$2:G$14,3,)</f>
        <v>07Pierce</v>
      </c>
      <c r="M1480" s="108" t="str">
        <f>VLOOKUP($K1480,LUTs!$E$2:$H$14,2,)</f>
        <v>South Puget Sound</v>
      </c>
      <c r="N1480" s="108" t="str">
        <f>VLOOKUP($K1480,LUTs!$E$2:$H$14,4,)</f>
        <v>02South Puget Sound</v>
      </c>
      <c r="O1480" s="108">
        <v>3375.0934959349602</v>
      </c>
      <c r="P1480" s="108">
        <v>11610.321626016301</v>
      </c>
      <c r="Q1480" s="108">
        <f>SUMIFS('FW_Salmon_by_Month_2010-2021'!P$2:P$3810,'FW_Salmon_by_Month_2010-2021'!$B$2:$B$3810,'Rec_raw_catch_effort_2010-2021'!$B1480,'FW_Salmon_by_Month_2010-2021'!$H$2:$H$3810,'Rec_raw_catch_effort_2010-2021'!$F1480,'FW_Salmon_by_Month_2010-2021'!$M$2:$M$3810,'Rec_raw_catch_effort_2010-2021'!$K1480)</f>
        <v>3348.8484244664828</v>
      </c>
      <c r="R1480" s="109">
        <f>VLOOKUP(B1480,Readme!$A$62:$C$74,2,)*Q1480</f>
        <v>11851.71000088851</v>
      </c>
      <c r="S1480" s="140" t="str">
        <f t="shared" si="133"/>
        <v>N</v>
      </c>
      <c r="T1480" s="154">
        <f t="shared" si="134"/>
        <v>3.440000000000011</v>
      </c>
      <c r="U1480" s="154">
        <f t="shared" si="135"/>
        <v>3.5390404397824153</v>
      </c>
    </row>
    <row r="1481" spans="1:21" x14ac:dyDescent="0.35">
      <c r="A1481" s="108">
        <v>119</v>
      </c>
      <c r="B1481" s="108">
        <v>2021</v>
      </c>
      <c r="C1481" s="108" t="s">
        <v>38</v>
      </c>
      <c r="D1481" s="108" t="s">
        <v>143</v>
      </c>
      <c r="E1481" s="108" t="s">
        <v>10</v>
      </c>
      <c r="F1481" s="116">
        <v>746</v>
      </c>
      <c r="G1481" s="108" t="s">
        <v>45</v>
      </c>
      <c r="H1481" s="108" t="str">
        <f t="shared" si="132"/>
        <v>Green - Duwamish River</v>
      </c>
      <c r="I1481" s="108" t="str">
        <f>IFERROR(VLOOKUP(H1481,LUTs!$A$1:$C$73,2,FALSE),"NA")</f>
        <v>King</v>
      </c>
      <c r="J1481" s="108" t="str">
        <f>IFERROR(VLOOKUP(H1481,LUTs!$A$1:$C$73,3,FALSE),"NA")</f>
        <v>3South Puget Sound</v>
      </c>
      <c r="K1481" s="108" t="s">
        <v>15</v>
      </c>
      <c r="L1481" s="108" t="str">
        <f>VLOOKUP(K1481,LUTs!E$2:G$14,3,)</f>
        <v>02Skagit</v>
      </c>
      <c r="M1481" s="108" t="str">
        <f>VLOOKUP($K1481,LUTs!$E$2:$H$14,2,)</f>
        <v>North Puget Sound</v>
      </c>
      <c r="N1481" s="108" t="str">
        <f>VLOOKUP($K1481,LUTs!$E$2:$H$14,4,)</f>
        <v>01North Puget Sound</v>
      </c>
      <c r="O1481" s="108">
        <v>54.4369918699187</v>
      </c>
      <c r="P1481" s="108">
        <v>187.26325203252</v>
      </c>
      <c r="Q1481" s="108">
        <f>SUMIFS('FW_Salmon_by_Month_2010-2021'!P$2:P$3810,'FW_Salmon_by_Month_2010-2021'!$B$2:$B$3810,'Rec_raw_catch_effort_2010-2021'!$B1481,'FW_Salmon_by_Month_2010-2021'!$H$2:$H$3810,'Rec_raw_catch_effort_2010-2021'!$F1481,'FW_Salmon_by_Month_2010-2021'!$M$2:$M$3810,'Rec_raw_catch_effort_2010-2021'!$K1481)</f>
        <v>54.7635619242579</v>
      </c>
      <c r="R1481" s="109">
        <f>VLOOKUP(B1481,Readme!$A$62:$C$74,2,)*Q1481</f>
        <v>193.81046027647722</v>
      </c>
      <c r="S1481" s="140" t="str">
        <f t="shared" si="133"/>
        <v>N</v>
      </c>
      <c r="T1481" s="154">
        <f t="shared" si="134"/>
        <v>3.4399999999999942</v>
      </c>
      <c r="U1481" s="154">
        <f t="shared" si="135"/>
        <v>3.5390404397824153</v>
      </c>
    </row>
    <row r="1482" spans="1:21" x14ac:dyDescent="0.35">
      <c r="A1482" s="108">
        <v>120</v>
      </c>
      <c r="B1482" s="108">
        <v>2021</v>
      </c>
      <c r="C1482" s="108" t="s">
        <v>38</v>
      </c>
      <c r="D1482" s="108" t="s">
        <v>143</v>
      </c>
      <c r="E1482" s="108" t="s">
        <v>10</v>
      </c>
      <c r="F1482" s="116">
        <v>746</v>
      </c>
      <c r="G1482" s="108" t="s">
        <v>45</v>
      </c>
      <c r="H1482" s="108" t="str">
        <f t="shared" si="132"/>
        <v>Green - Duwamish River</v>
      </c>
      <c r="I1482" s="108" t="str">
        <f>IFERROR(VLOOKUP(H1482,LUTs!$A$1:$C$73,2,FALSE),"NA")</f>
        <v>King</v>
      </c>
      <c r="J1482" s="108" t="str">
        <f>IFERROR(VLOOKUP(H1482,LUTs!$A$1:$C$73,3,FALSE),"NA")</f>
        <v>3South Puget Sound</v>
      </c>
      <c r="K1482" s="108" t="s">
        <v>16</v>
      </c>
      <c r="L1482" s="108" t="str">
        <f>VLOOKUP(K1482,LUTs!E$2:G$14,3,)</f>
        <v>03Snohomish</v>
      </c>
      <c r="M1482" s="108" t="str">
        <f>VLOOKUP($K1482,LUTs!$E$2:$H$14,2,)</f>
        <v>North Puget Sound</v>
      </c>
      <c r="N1482" s="108" t="str">
        <f>VLOOKUP($K1482,LUTs!$E$2:$H$14,4,)</f>
        <v>01North Puget Sound</v>
      </c>
      <c r="O1482" s="108">
        <v>557.97916666666697</v>
      </c>
      <c r="P1482" s="108">
        <v>1919.4483333333301</v>
      </c>
      <c r="Q1482" s="108">
        <f>SUMIFS('FW_Salmon_by_Month_2010-2021'!P$2:P$3810,'FW_Salmon_by_Month_2010-2021'!$B$2:$B$3810,'Rec_raw_catch_effort_2010-2021'!$B1482,'FW_Salmon_by_Month_2010-2021'!$H$2:$H$3810,'Rec_raw_catch_effort_2010-2021'!$F1482,'FW_Salmon_by_Month_2010-2021'!$M$2:$M$3810,'Rec_raw_catch_effort_2010-2021'!$K1482)</f>
        <v>561.81785657625619</v>
      </c>
      <c r="R1482" s="109">
        <f>VLOOKUP(B1482,Readme!$A$62:$C$74,2,)*Q1482</f>
        <v>1988.2961142152476</v>
      </c>
      <c r="S1482" s="140" t="str">
        <f t="shared" si="133"/>
        <v>N</v>
      </c>
      <c r="T1482" s="154">
        <f t="shared" si="134"/>
        <v>3.4399999999999924</v>
      </c>
      <c r="U1482" s="154">
        <f t="shared" si="135"/>
        <v>3.5390404397824153</v>
      </c>
    </row>
    <row r="1483" spans="1:21" x14ac:dyDescent="0.35">
      <c r="A1483" s="108">
        <v>123</v>
      </c>
      <c r="B1483" s="108">
        <v>2021</v>
      </c>
      <c r="C1483" s="108" t="s">
        <v>38</v>
      </c>
      <c r="D1483" s="108" t="s">
        <v>143</v>
      </c>
      <c r="E1483" s="108" t="s">
        <v>10</v>
      </c>
      <c r="F1483" s="116">
        <v>746</v>
      </c>
      <c r="G1483" s="108" t="s">
        <v>45</v>
      </c>
      <c r="H1483" s="108" t="str">
        <f t="shared" si="132"/>
        <v>Green - Duwamish River</v>
      </c>
      <c r="I1483" s="108" t="str">
        <f>IFERROR(VLOOKUP(H1483,LUTs!$A$1:$C$73,2,FALSE),"NA")</f>
        <v>King</v>
      </c>
      <c r="J1483" s="108" t="str">
        <f>IFERROR(VLOOKUP(H1483,LUTs!$A$1:$C$73,3,FALSE),"NA")</f>
        <v>3South Puget Sound</v>
      </c>
      <c r="K1483" s="108" t="s">
        <v>21</v>
      </c>
      <c r="L1483" s="108" t="str">
        <f>VLOOKUP(K1483,LUTs!E$2:G$14,3,)</f>
        <v>08Thurston</v>
      </c>
      <c r="M1483" s="108" t="str">
        <f>VLOOKUP($K1483,LUTs!$E$2:$H$14,2,)</f>
        <v>South Puget Sound</v>
      </c>
      <c r="N1483" s="108" t="str">
        <f>VLOOKUP($K1483,LUTs!$E$2:$H$14,4,)</f>
        <v>02South Puget Sound</v>
      </c>
      <c r="O1483" s="108">
        <v>54.4369918699187</v>
      </c>
      <c r="P1483" s="108">
        <v>187.26325203252</v>
      </c>
      <c r="Q1483" s="108">
        <f>SUMIFS('FW_Salmon_by_Month_2010-2021'!P$2:P$3810,'FW_Salmon_by_Month_2010-2021'!$B$2:$B$3810,'Rec_raw_catch_effort_2010-2021'!$B1483,'FW_Salmon_by_Month_2010-2021'!$H$2:$H$3810,'Rec_raw_catch_effort_2010-2021'!$F1483,'FW_Salmon_by_Month_2010-2021'!$M$2:$M$3810,'Rec_raw_catch_effort_2010-2021'!$K1483)</f>
        <v>54.767679076327902</v>
      </c>
      <c r="R1483" s="109">
        <f>VLOOKUP(B1483,Readme!$A$62:$C$74,2,)*Q1483</f>
        <v>193.82503104414968</v>
      </c>
      <c r="S1483" s="140" t="str">
        <f t="shared" si="133"/>
        <v>N</v>
      </c>
      <c r="T1483" s="154">
        <f t="shared" si="134"/>
        <v>3.4399999999999942</v>
      </c>
      <c r="U1483" s="154">
        <f t="shared" si="135"/>
        <v>3.5390404397824153</v>
      </c>
    </row>
    <row r="1484" spans="1:21" x14ac:dyDescent="0.35">
      <c r="A1484" s="108">
        <v>118</v>
      </c>
      <c r="B1484" s="108">
        <v>2021</v>
      </c>
      <c r="C1484" s="108" t="s">
        <v>38</v>
      </c>
      <c r="D1484" s="108" t="s">
        <v>143</v>
      </c>
      <c r="E1484" s="108" t="s">
        <v>10</v>
      </c>
      <c r="F1484" s="116">
        <v>746</v>
      </c>
      <c r="G1484" s="108" t="s">
        <v>45</v>
      </c>
      <c r="H1484" s="108" t="str">
        <f t="shared" si="132"/>
        <v>Green - Duwamish River</v>
      </c>
      <c r="I1484" s="108" t="str">
        <f>IFERROR(VLOOKUP(H1484,LUTs!$A$1:$C$73,2,FALSE),"NA")</f>
        <v>King</v>
      </c>
      <c r="J1484" s="108" t="str">
        <f>IFERROR(VLOOKUP(H1484,LUTs!$A$1:$C$73,3,FALSE),"NA")</f>
        <v>3South Puget Sound</v>
      </c>
      <c r="K1484" s="108" t="s">
        <v>13</v>
      </c>
      <c r="L1484" s="108" t="str">
        <f>VLOOKUP(K1484,LUTs!E$2:G$14,3,)</f>
        <v>01Whatcom</v>
      </c>
      <c r="M1484" s="108" t="str">
        <f>VLOOKUP($K1484,LUTs!$E$2:$H$14,2,)</f>
        <v>North Puget Sound</v>
      </c>
      <c r="N1484" s="108" t="str">
        <f>VLOOKUP($K1484,LUTs!$E$2:$H$14,4,)</f>
        <v>01North Puget Sound</v>
      </c>
      <c r="O1484" s="108">
        <v>95.264735772357696</v>
      </c>
      <c r="P1484" s="108">
        <v>327.71069105690998</v>
      </c>
      <c r="Q1484" s="108">
        <f>SUMIFS('FW_Salmon_by_Month_2010-2021'!P$2:P$3810,'FW_Salmon_by_Month_2010-2021'!$B$2:$B$3810,'Rec_raw_catch_effort_2010-2021'!$B1484,'FW_Salmon_by_Month_2010-2021'!$H$2:$H$3810,'Rec_raw_catch_effort_2010-2021'!$F1484,'FW_Salmon_by_Month_2010-2021'!$M$2:$M$3810,'Rec_raw_catch_effort_2010-2021'!$K1484)</f>
        <v>95.893227827165205</v>
      </c>
      <c r="R1484" s="109">
        <f>VLOOKUP(B1484,Readme!$A$62:$C$74,2,)*Q1484</f>
        <v>339.37001118160612</v>
      </c>
      <c r="S1484" s="140" t="str">
        <f t="shared" si="133"/>
        <v>N</v>
      </c>
      <c r="T1484" s="154">
        <f t="shared" si="134"/>
        <v>3.4399999999999946</v>
      </c>
      <c r="U1484" s="154">
        <f t="shared" si="135"/>
        <v>3.5390404397824153</v>
      </c>
    </row>
    <row r="1485" spans="1:21" x14ac:dyDescent="0.35">
      <c r="A1485" s="108">
        <v>1276</v>
      </c>
      <c r="B1485" s="108">
        <v>2010</v>
      </c>
      <c r="C1485" s="108" t="s">
        <v>38</v>
      </c>
      <c r="D1485" s="108" t="s">
        <v>143</v>
      </c>
      <c r="E1485" s="108" t="s">
        <v>10</v>
      </c>
      <c r="F1485" s="116">
        <v>752</v>
      </c>
      <c r="G1485" s="108" t="s">
        <v>46</v>
      </c>
      <c r="H1485" s="108" t="str">
        <f t="shared" si="132"/>
        <v>Hoko River</v>
      </c>
      <c r="I1485" s="108" t="str">
        <f>IFERROR(VLOOKUP(H1485,LUTs!$A$1:$C$73,2,FALSE),"NA")</f>
        <v>Clallam</v>
      </c>
      <c r="J1485" s="108" t="str">
        <f>IFERROR(VLOOKUP(H1485,LUTs!$A$1:$C$73,3,FALSE),"NA")</f>
        <v>0Strait of Juan de Fuca</v>
      </c>
      <c r="K1485" s="108" t="s">
        <v>24</v>
      </c>
      <c r="L1485" s="108" t="str">
        <f>VLOOKUP(K1485,LUTs!E$2:G$14,3,)</f>
        <v>11Clallam</v>
      </c>
      <c r="M1485" s="108" t="str">
        <f>VLOOKUP($K1485,LUTs!$E$2:$H$14,2,)</f>
        <v>Strait of Juan de Fuca</v>
      </c>
      <c r="N1485" s="108" t="str">
        <f>VLOOKUP($K1485,LUTs!$E$2:$H$14,4,)</f>
        <v>03Strait of Juan de Fuca</v>
      </c>
      <c r="O1485" s="108">
        <v>2</v>
      </c>
      <c r="P1485" s="108">
        <v>17.3</v>
      </c>
      <c r="Q1485" s="108">
        <f>SUMIFS('FW_Salmon_by_Month_2010-2021'!P$2:P$3810,'FW_Salmon_by_Month_2010-2021'!$B$2:$B$3810,'Rec_raw_catch_effort_2010-2021'!$B1485,'FW_Salmon_by_Month_2010-2021'!$H$2:$H$3810,'Rec_raw_catch_effort_2010-2021'!$F1485,'FW_Salmon_by_Month_2010-2021'!$M$2:$M$3810,'Rec_raw_catch_effort_2010-2021'!$K1485)</f>
        <v>2</v>
      </c>
      <c r="R1485" s="109">
        <f>VLOOKUP(B1485,Readme!$A$62:$C$74,2,)*Q1485</f>
        <v>9.6391098082264168</v>
      </c>
      <c r="S1485" s="140" t="str">
        <f t="shared" si="133"/>
        <v>Y</v>
      </c>
      <c r="T1485" s="154">
        <f t="shared" si="134"/>
        <v>8.65</v>
      </c>
      <c r="U1485" s="154">
        <f t="shared" si="135"/>
        <v>4.8195549041132084</v>
      </c>
    </row>
    <row r="1486" spans="1:21" x14ac:dyDescent="0.35">
      <c r="A1486" s="108">
        <v>771</v>
      </c>
      <c r="B1486" s="108">
        <v>2010</v>
      </c>
      <c r="C1486" s="108" t="s">
        <v>38</v>
      </c>
      <c r="D1486" s="108" t="s">
        <v>143</v>
      </c>
      <c r="E1486" s="108" t="s">
        <v>10</v>
      </c>
      <c r="F1486" s="116">
        <v>754</v>
      </c>
      <c r="G1486" s="108" t="s">
        <v>47</v>
      </c>
      <c r="H1486" s="108" t="str">
        <f t="shared" si="132"/>
        <v>Kennedy Creek</v>
      </c>
      <c r="I1486" s="108" t="str">
        <f>IFERROR(VLOOKUP(H1486,LUTs!$A$1:$C$73,2,FALSE),"NA")</f>
        <v>Mason/Thurston</v>
      </c>
      <c r="J1486" s="108" t="str">
        <f>IFERROR(VLOOKUP(H1486,LUTs!$A$1:$C$73,3,FALSE),"NA")</f>
        <v>3South Puget Sound</v>
      </c>
      <c r="K1486" s="108" t="s">
        <v>22</v>
      </c>
      <c r="L1486" s="108" t="str">
        <f>VLOOKUP(K1486,LUTs!E$2:G$14,3,)</f>
        <v>09Mason</v>
      </c>
      <c r="M1486" s="108" t="str">
        <f>VLOOKUP($K1486,LUTs!$E$2:$H$14,2,)</f>
        <v>South Puget Sound</v>
      </c>
      <c r="N1486" s="108" t="str">
        <f>VLOOKUP($K1486,LUTs!$E$2:$H$14,4,)</f>
        <v>02South Puget Sound</v>
      </c>
      <c r="O1486" s="108">
        <v>25.130434782608699</v>
      </c>
      <c r="P1486" s="108">
        <v>217.378260869565</v>
      </c>
      <c r="Q1486" s="108">
        <f>SUMIFS('FW_Salmon_by_Month_2010-2021'!P$2:P$3810,'FW_Salmon_by_Month_2010-2021'!$B$2:$B$3810,'Rec_raw_catch_effort_2010-2021'!$B1486,'FW_Salmon_by_Month_2010-2021'!$H$2:$H$3810,'Rec_raw_catch_effort_2010-2021'!$F1486,'FW_Salmon_by_Month_2010-2021'!$M$2:$M$3810,'Rec_raw_catch_effort_2010-2021'!$K1486)</f>
        <v>25.161290322580701</v>
      </c>
      <c r="R1486" s="109">
        <f>VLOOKUP(B1486,Readme!$A$62:$C$74,2,)*Q1486</f>
        <v>121.26622016801002</v>
      </c>
      <c r="S1486" s="140" t="str">
        <f t="shared" si="133"/>
        <v>Y</v>
      </c>
      <c r="T1486" s="154">
        <f t="shared" si="134"/>
        <v>8.6499999999999897</v>
      </c>
      <c r="U1486" s="154">
        <f t="shared" si="135"/>
        <v>4.8195549041132084</v>
      </c>
    </row>
    <row r="1487" spans="1:21" x14ac:dyDescent="0.35">
      <c r="A1487" s="108">
        <v>772</v>
      </c>
      <c r="B1487" s="108">
        <v>2010</v>
      </c>
      <c r="C1487" s="108" t="s">
        <v>38</v>
      </c>
      <c r="D1487" s="108" t="s">
        <v>143</v>
      </c>
      <c r="E1487" s="108" t="s">
        <v>10</v>
      </c>
      <c r="F1487" s="116">
        <v>754</v>
      </c>
      <c r="G1487" s="108" t="s">
        <v>47</v>
      </c>
      <c r="H1487" s="108" t="str">
        <f t="shared" si="132"/>
        <v>Kennedy Creek</v>
      </c>
      <c r="I1487" s="108" t="str">
        <f>IFERROR(VLOOKUP(H1487,LUTs!$A$1:$C$73,2,FALSE),"NA")</f>
        <v>Mason/Thurston</v>
      </c>
      <c r="J1487" s="108" t="str">
        <f>IFERROR(VLOOKUP(H1487,LUTs!$A$1:$C$73,3,FALSE),"NA")</f>
        <v>3South Puget Sound</v>
      </c>
      <c r="K1487" s="108" t="s">
        <v>26</v>
      </c>
      <c r="L1487" s="108" t="str">
        <f>VLOOKUP(K1487,LUTs!E$2:G$14,3,)</f>
        <v>20Other</v>
      </c>
      <c r="M1487" s="108" t="str">
        <f>VLOOKUP($K1487,LUTs!$E$2:$H$14,2,)</f>
        <v>Non Puget Sound</v>
      </c>
      <c r="N1487" s="108" t="str">
        <f>VLOOKUP($K1487,LUTs!$E$2:$H$14,4,)</f>
        <v>07Non Puget Sound</v>
      </c>
      <c r="O1487" s="108">
        <v>31.413043478260899</v>
      </c>
      <c r="P1487" s="108">
        <v>271.72282608695701</v>
      </c>
      <c r="Q1487" s="108">
        <f>SUMIFS('FW_Salmon_by_Month_2010-2021'!P$2:P$3810,'FW_Salmon_by_Month_2010-2021'!$B$2:$B$3810,'Rec_raw_catch_effort_2010-2021'!$B1487,'FW_Salmon_by_Month_2010-2021'!$H$2:$H$3810,'Rec_raw_catch_effort_2010-2021'!$F1487,'FW_Salmon_by_Month_2010-2021'!$M$2:$M$3810,'Rec_raw_catch_effort_2010-2021'!$K1487)</f>
        <v>31.404301075268801</v>
      </c>
      <c r="R1487" s="109">
        <f>VLOOKUP(B1487,Readme!$A$62:$C$74,2,)*Q1487</f>
        <v>151.35475325755945</v>
      </c>
      <c r="S1487" s="140" t="str">
        <f t="shared" si="133"/>
        <v>Y</v>
      </c>
      <c r="T1487" s="154">
        <f t="shared" si="134"/>
        <v>8.6500000000000075</v>
      </c>
      <c r="U1487" s="154">
        <f t="shared" si="135"/>
        <v>4.8195549041132084</v>
      </c>
    </row>
    <row r="1488" spans="1:21" x14ac:dyDescent="0.35">
      <c r="A1488" s="108">
        <v>769</v>
      </c>
      <c r="B1488" s="108">
        <v>2010</v>
      </c>
      <c r="C1488" s="108" t="s">
        <v>38</v>
      </c>
      <c r="D1488" s="108" t="s">
        <v>143</v>
      </c>
      <c r="E1488" s="108" t="s">
        <v>10</v>
      </c>
      <c r="F1488" s="116">
        <v>754</v>
      </c>
      <c r="G1488" s="108" t="s">
        <v>47</v>
      </c>
      <c r="H1488" s="108" t="str">
        <f t="shared" si="132"/>
        <v>Kennedy Creek</v>
      </c>
      <c r="I1488" s="108" t="str">
        <f>IFERROR(VLOOKUP(H1488,LUTs!$A$1:$C$73,2,FALSE),"NA")</f>
        <v>Mason/Thurston</v>
      </c>
      <c r="J1488" s="108" t="str">
        <f>IFERROR(VLOOKUP(H1488,LUTs!$A$1:$C$73,3,FALSE),"NA")</f>
        <v>3South Puget Sound</v>
      </c>
      <c r="K1488" s="108" t="s">
        <v>20</v>
      </c>
      <c r="L1488" s="108" t="str">
        <f>VLOOKUP(K1488,LUTs!E$2:G$14,3,)</f>
        <v>07Pierce</v>
      </c>
      <c r="M1488" s="108" t="str">
        <f>VLOOKUP($K1488,LUTs!$E$2:$H$14,2,)</f>
        <v>South Puget Sound</v>
      </c>
      <c r="N1488" s="108" t="str">
        <f>VLOOKUP($K1488,LUTs!$E$2:$H$14,4,)</f>
        <v>02South Puget Sound</v>
      </c>
      <c r="O1488" s="108">
        <v>43.978260869565197</v>
      </c>
      <c r="P1488" s="108">
        <v>380.411956521739</v>
      </c>
      <c r="Q1488" s="108">
        <f>SUMIFS('FW_Salmon_by_Month_2010-2021'!P$2:P$3810,'FW_Salmon_by_Month_2010-2021'!$B$2:$B$3810,'Rec_raw_catch_effort_2010-2021'!$B1488,'FW_Salmon_by_Month_2010-2021'!$H$2:$H$3810,'Rec_raw_catch_effort_2010-2021'!$F1488,'FW_Salmon_by_Month_2010-2021'!$M$2:$M$3810,'Rec_raw_catch_effort_2010-2021'!$K1488)</f>
        <v>43.984946236559097</v>
      </c>
      <c r="R1488" s="109">
        <f>VLOOKUP(B1488,Readme!$A$62:$C$74,2,)*Q1488</f>
        <v>211.98786334156421</v>
      </c>
      <c r="S1488" s="140" t="str">
        <f t="shared" si="133"/>
        <v>Y</v>
      </c>
      <c r="T1488" s="154">
        <f t="shared" si="134"/>
        <v>8.65</v>
      </c>
      <c r="U1488" s="154">
        <f t="shared" si="135"/>
        <v>4.8195549041132084</v>
      </c>
    </row>
    <row r="1489" spans="1:21" x14ac:dyDescent="0.35">
      <c r="A1489" s="108">
        <v>770</v>
      </c>
      <c r="B1489" s="108">
        <v>2010</v>
      </c>
      <c r="C1489" s="108" t="s">
        <v>38</v>
      </c>
      <c r="D1489" s="108" t="s">
        <v>143</v>
      </c>
      <c r="E1489" s="108" t="s">
        <v>10</v>
      </c>
      <c r="F1489" s="116">
        <v>754</v>
      </c>
      <c r="G1489" s="108" t="s">
        <v>47</v>
      </c>
      <c r="H1489" s="108" t="str">
        <f t="shared" si="132"/>
        <v>Kennedy Creek</v>
      </c>
      <c r="I1489" s="108" t="str">
        <f>IFERROR(VLOOKUP(H1489,LUTs!$A$1:$C$73,2,FALSE),"NA")</f>
        <v>Mason/Thurston</v>
      </c>
      <c r="J1489" s="108" t="str">
        <f>IFERROR(VLOOKUP(H1489,LUTs!$A$1:$C$73,3,FALSE),"NA")</f>
        <v>3South Puget Sound</v>
      </c>
      <c r="K1489" s="108" t="s">
        <v>21</v>
      </c>
      <c r="L1489" s="108" t="str">
        <f>VLOOKUP(K1489,LUTs!E$2:G$14,3,)</f>
        <v>08Thurston</v>
      </c>
      <c r="M1489" s="108" t="str">
        <f>VLOOKUP($K1489,LUTs!$E$2:$H$14,2,)</f>
        <v>South Puget Sound</v>
      </c>
      <c r="N1489" s="108" t="str">
        <f>VLOOKUP($K1489,LUTs!$E$2:$H$14,4,)</f>
        <v>02South Puget Sound</v>
      </c>
      <c r="O1489" s="108">
        <v>188.47826086956499</v>
      </c>
      <c r="P1489" s="108">
        <v>1630.3369565217399</v>
      </c>
      <c r="Q1489" s="108">
        <f>SUMIFS('FW_Salmon_by_Month_2010-2021'!P$2:P$3810,'FW_Salmon_by_Month_2010-2021'!$B$2:$B$3810,'Rec_raw_catch_effort_2010-2021'!$B1489,'FW_Salmon_by_Month_2010-2021'!$H$2:$H$3810,'Rec_raw_catch_effort_2010-2021'!$F1489,'FW_Salmon_by_Month_2010-2021'!$M$2:$M$3810,'Rec_raw_catch_effort_2010-2021'!$K1489)</f>
        <v>188.44946236559127</v>
      </c>
      <c r="R1489" s="109">
        <f>VLOOKUP(B1489,Readme!$A$62:$C$74,2,)*Q1489</f>
        <v>908.24253052158292</v>
      </c>
      <c r="S1489" s="140" t="str">
        <f t="shared" si="133"/>
        <v>Y</v>
      </c>
      <c r="T1489" s="154">
        <f t="shared" si="134"/>
        <v>8.6500000000000146</v>
      </c>
      <c r="U1489" s="154">
        <f t="shared" si="135"/>
        <v>4.8195549041132084</v>
      </c>
    </row>
    <row r="1490" spans="1:21" x14ac:dyDescent="0.35">
      <c r="A1490" s="108">
        <v>773</v>
      </c>
      <c r="B1490" s="108">
        <v>2011</v>
      </c>
      <c r="C1490" s="108" t="s">
        <v>38</v>
      </c>
      <c r="D1490" s="108" t="s">
        <v>143</v>
      </c>
      <c r="E1490" s="108" t="s">
        <v>10</v>
      </c>
      <c r="F1490" s="116">
        <v>754</v>
      </c>
      <c r="G1490" s="108" t="s">
        <v>47</v>
      </c>
      <c r="H1490" s="108" t="str">
        <f t="shared" si="132"/>
        <v>Kennedy Creek</v>
      </c>
      <c r="I1490" s="108" t="str">
        <f>IFERROR(VLOOKUP(H1490,LUTs!$A$1:$C$73,2,FALSE),"NA")</f>
        <v>Mason/Thurston</v>
      </c>
      <c r="J1490" s="108" t="str">
        <f>IFERROR(VLOOKUP(H1490,LUTs!$A$1:$C$73,3,FALSE),"NA")</f>
        <v>3South Puget Sound</v>
      </c>
      <c r="K1490" s="108" t="s">
        <v>18</v>
      </c>
      <c r="L1490" s="108" t="str">
        <f>VLOOKUP(K1490,LUTs!E$2:G$14,3,)</f>
        <v>06King</v>
      </c>
      <c r="M1490" s="108" t="str">
        <f>VLOOKUP($K1490,LUTs!$E$2:$H$14,2,)</f>
        <v>South Puget Sound</v>
      </c>
      <c r="N1490" s="108" t="str">
        <f>VLOOKUP($K1490,LUTs!$E$2:$H$14,4,)</f>
        <v>02South Puget Sound</v>
      </c>
      <c r="O1490" s="108">
        <v>60.137931034482797</v>
      </c>
      <c r="P1490" s="108">
        <v>206.87448275862101</v>
      </c>
      <c r="Q1490" s="108">
        <f>SUMIFS('FW_Salmon_by_Month_2010-2021'!P$2:P$3810,'FW_Salmon_by_Month_2010-2021'!$B$2:$B$3810,'Rec_raw_catch_effort_2010-2021'!$B1490,'FW_Salmon_by_Month_2010-2021'!$H$2:$H$3810,'Rec_raw_catch_effort_2010-2021'!$F1490,'FW_Salmon_by_Month_2010-2021'!$M$2:$M$3810,'Rec_raw_catch_effort_2010-2021'!$K1490)</f>
        <v>60.029411764705877</v>
      </c>
      <c r="R1490" s="109">
        <f>VLOOKUP(B1490,Readme!$A$62:$C$74,2,)*Q1490</f>
        <v>212.44651581164439</v>
      </c>
      <c r="S1490" s="140" t="str">
        <f t="shared" si="133"/>
        <v>Y</v>
      </c>
      <c r="T1490" s="154">
        <f t="shared" si="134"/>
        <v>3.4400000000000031</v>
      </c>
      <c r="U1490" s="154">
        <f t="shared" si="135"/>
        <v>3.5390404397824153</v>
      </c>
    </row>
    <row r="1491" spans="1:21" x14ac:dyDescent="0.35">
      <c r="A1491" s="108">
        <v>853</v>
      </c>
      <c r="B1491" s="108">
        <v>2011</v>
      </c>
      <c r="C1491" s="108" t="s">
        <v>38</v>
      </c>
      <c r="D1491" s="108" t="s">
        <v>143</v>
      </c>
      <c r="E1491" s="108" t="s">
        <v>10</v>
      </c>
      <c r="F1491" s="116">
        <v>754</v>
      </c>
      <c r="G1491" s="108" t="s">
        <v>47</v>
      </c>
      <c r="H1491" s="108" t="str">
        <f t="shared" si="132"/>
        <v>Kennedy Creek</v>
      </c>
      <c r="I1491" s="108" t="str">
        <f>IFERROR(VLOOKUP(H1491,LUTs!$A$1:$C$73,2,FALSE),"NA")</f>
        <v>Mason/Thurston</v>
      </c>
      <c r="J1491" s="108" t="str">
        <f>IFERROR(VLOOKUP(H1491,LUTs!$A$1:$C$73,3,FALSE),"NA")</f>
        <v>3South Puget Sound</v>
      </c>
      <c r="K1491" s="108" t="s">
        <v>22</v>
      </c>
      <c r="L1491" s="108" t="str">
        <f>VLOOKUP(K1491,LUTs!E$2:G$14,3,)</f>
        <v>09Mason</v>
      </c>
      <c r="M1491" s="108" t="str">
        <f>VLOOKUP($K1491,LUTs!$E$2:$H$14,2,)</f>
        <v>South Puget Sound</v>
      </c>
      <c r="N1491" s="108" t="str">
        <f>VLOOKUP($K1491,LUTs!$E$2:$H$14,4,)</f>
        <v>02South Puget Sound</v>
      </c>
      <c r="O1491" s="108">
        <v>45.1034482758621</v>
      </c>
      <c r="P1491" s="108">
        <v>155.155862068966</v>
      </c>
      <c r="Q1491" s="108">
        <f>SUMIFS('FW_Salmon_by_Month_2010-2021'!P$2:P$3810,'FW_Salmon_by_Month_2010-2021'!$B$2:$B$3810,'Rec_raw_catch_effort_2010-2021'!$B1491,'FW_Salmon_by_Month_2010-2021'!$H$2:$H$3810,'Rec_raw_catch_effort_2010-2021'!$F1491,'FW_Salmon_by_Month_2010-2021'!$M$2:$M$3810,'Rec_raw_catch_effort_2010-2021'!$K1491)</f>
        <v>45.117647058823501</v>
      </c>
      <c r="R1491" s="109">
        <f>VLOOKUP(B1491,Readme!$A$62:$C$74,2,)*Q1491</f>
        <v>159.67317748900652</v>
      </c>
      <c r="S1491" s="140" t="str">
        <f t="shared" si="133"/>
        <v>Y</v>
      </c>
      <c r="T1491" s="154">
        <f t="shared" si="134"/>
        <v>3.4400000000000084</v>
      </c>
      <c r="U1491" s="154">
        <f t="shared" si="135"/>
        <v>3.5390404397824153</v>
      </c>
    </row>
    <row r="1492" spans="1:21" x14ac:dyDescent="0.35">
      <c r="A1492" s="108">
        <v>854</v>
      </c>
      <c r="B1492" s="108">
        <v>2011</v>
      </c>
      <c r="C1492" s="108" t="s">
        <v>38</v>
      </c>
      <c r="D1492" s="108" t="s">
        <v>143</v>
      </c>
      <c r="E1492" s="108" t="s">
        <v>10</v>
      </c>
      <c r="F1492" s="116">
        <v>754</v>
      </c>
      <c r="G1492" s="108" t="s">
        <v>47</v>
      </c>
      <c r="H1492" s="108" t="str">
        <f t="shared" si="132"/>
        <v>Kennedy Creek</v>
      </c>
      <c r="I1492" s="108" t="str">
        <f>IFERROR(VLOOKUP(H1492,LUTs!$A$1:$C$73,2,FALSE),"NA")</f>
        <v>Mason/Thurston</v>
      </c>
      <c r="J1492" s="108" t="str">
        <f>IFERROR(VLOOKUP(H1492,LUTs!$A$1:$C$73,3,FALSE),"NA")</f>
        <v>3South Puget Sound</v>
      </c>
      <c r="K1492" s="108" t="s">
        <v>26</v>
      </c>
      <c r="L1492" s="108" t="str">
        <f>VLOOKUP(K1492,LUTs!E$2:G$14,3,)</f>
        <v>20Other</v>
      </c>
      <c r="M1492" s="108" t="str">
        <f>VLOOKUP($K1492,LUTs!$E$2:$H$14,2,)</f>
        <v>Non Puget Sound</v>
      </c>
      <c r="N1492" s="108" t="str">
        <f>VLOOKUP($K1492,LUTs!$E$2:$H$14,4,)</f>
        <v>07Non Puget Sound</v>
      </c>
      <c r="O1492" s="108">
        <v>7.5172413793103496</v>
      </c>
      <c r="P1492" s="108">
        <v>25.859310344827598</v>
      </c>
      <c r="Q1492" s="108">
        <f>SUMIFS('FW_Salmon_by_Month_2010-2021'!P$2:P$3810,'FW_Salmon_by_Month_2010-2021'!$B$2:$B$3810,'Rec_raw_catch_effort_2010-2021'!$B1492,'FW_Salmon_by_Month_2010-2021'!$H$2:$H$3810,'Rec_raw_catch_effort_2010-2021'!$F1492,'FW_Salmon_by_Month_2010-2021'!$M$2:$M$3810,'Rec_raw_catch_effort_2010-2021'!$K1492)</f>
        <v>7.5294117647058796</v>
      </c>
      <c r="R1492" s="109">
        <f>VLOOKUP(B1492,Readme!$A$62:$C$74,2,)*Q1492</f>
        <v>26.646892723067587</v>
      </c>
      <c r="S1492" s="140" t="str">
        <f t="shared" si="133"/>
        <v>Y</v>
      </c>
      <c r="T1492" s="154">
        <f t="shared" si="134"/>
        <v>3.4399999999999995</v>
      </c>
      <c r="U1492" s="154">
        <f t="shared" si="135"/>
        <v>3.5390404397824153</v>
      </c>
    </row>
    <row r="1493" spans="1:21" x14ac:dyDescent="0.35">
      <c r="A1493" s="108">
        <v>851</v>
      </c>
      <c r="B1493" s="108">
        <v>2011</v>
      </c>
      <c r="C1493" s="108" t="s">
        <v>38</v>
      </c>
      <c r="D1493" s="108" t="s">
        <v>143</v>
      </c>
      <c r="E1493" s="108" t="s">
        <v>10</v>
      </c>
      <c r="F1493" s="116">
        <v>754</v>
      </c>
      <c r="G1493" s="108" t="s">
        <v>47</v>
      </c>
      <c r="H1493" s="108" t="str">
        <f t="shared" si="132"/>
        <v>Kennedy Creek</v>
      </c>
      <c r="I1493" s="108" t="str">
        <f>IFERROR(VLOOKUP(H1493,LUTs!$A$1:$C$73,2,FALSE),"NA")</f>
        <v>Mason/Thurston</v>
      </c>
      <c r="J1493" s="108" t="str">
        <f>IFERROR(VLOOKUP(H1493,LUTs!$A$1:$C$73,3,FALSE),"NA")</f>
        <v>3South Puget Sound</v>
      </c>
      <c r="K1493" s="108" t="s">
        <v>20</v>
      </c>
      <c r="L1493" s="108" t="str">
        <f>VLOOKUP(K1493,LUTs!E$2:G$14,3,)</f>
        <v>07Pierce</v>
      </c>
      <c r="M1493" s="108" t="str">
        <f>VLOOKUP($K1493,LUTs!$E$2:$H$14,2,)</f>
        <v>South Puget Sound</v>
      </c>
      <c r="N1493" s="108" t="str">
        <f>VLOOKUP($K1493,LUTs!$E$2:$H$14,4,)</f>
        <v>02South Puget Sound</v>
      </c>
      <c r="O1493" s="108">
        <v>7.5172413793103496</v>
      </c>
      <c r="P1493" s="108">
        <v>25.859310344827598</v>
      </c>
      <c r="Q1493" s="108">
        <f>SUMIFS('FW_Salmon_by_Month_2010-2021'!P$2:P$3810,'FW_Salmon_by_Month_2010-2021'!$B$2:$B$3810,'Rec_raw_catch_effort_2010-2021'!$B1493,'FW_Salmon_by_Month_2010-2021'!$H$2:$H$3810,'Rec_raw_catch_effort_2010-2021'!$F1493,'FW_Salmon_by_Month_2010-2021'!$M$2:$M$3810,'Rec_raw_catch_effort_2010-2021'!$K1493)</f>
        <v>7.5294117647058796</v>
      </c>
      <c r="R1493" s="109">
        <f>VLOOKUP(B1493,Readme!$A$62:$C$74,2,)*Q1493</f>
        <v>26.646892723067587</v>
      </c>
      <c r="S1493" s="140" t="str">
        <f t="shared" si="133"/>
        <v>Y</v>
      </c>
      <c r="T1493" s="154">
        <f t="shared" si="134"/>
        <v>3.4399999999999995</v>
      </c>
      <c r="U1493" s="154">
        <f t="shared" si="135"/>
        <v>3.5390404397824153</v>
      </c>
    </row>
    <row r="1494" spans="1:21" x14ac:dyDescent="0.35">
      <c r="A1494" s="108">
        <v>852</v>
      </c>
      <c r="B1494" s="108">
        <v>2011</v>
      </c>
      <c r="C1494" s="108" t="s">
        <v>38</v>
      </c>
      <c r="D1494" s="108" t="s">
        <v>143</v>
      </c>
      <c r="E1494" s="108" t="s">
        <v>10</v>
      </c>
      <c r="F1494" s="116">
        <v>754</v>
      </c>
      <c r="G1494" s="108" t="s">
        <v>47</v>
      </c>
      <c r="H1494" s="108" t="str">
        <f t="shared" si="132"/>
        <v>Kennedy Creek</v>
      </c>
      <c r="I1494" s="108" t="str">
        <f>IFERROR(VLOOKUP(H1494,LUTs!$A$1:$C$73,2,FALSE),"NA")</f>
        <v>Mason/Thurston</v>
      </c>
      <c r="J1494" s="108" t="str">
        <f>IFERROR(VLOOKUP(H1494,LUTs!$A$1:$C$73,3,FALSE),"NA")</f>
        <v>3South Puget Sound</v>
      </c>
      <c r="K1494" s="108" t="s">
        <v>21</v>
      </c>
      <c r="L1494" s="108" t="str">
        <f>VLOOKUP(K1494,LUTs!E$2:G$14,3,)</f>
        <v>08Thurston</v>
      </c>
      <c r="M1494" s="108" t="str">
        <f>VLOOKUP($K1494,LUTs!$E$2:$H$14,2,)</f>
        <v>South Puget Sound</v>
      </c>
      <c r="N1494" s="108" t="str">
        <f>VLOOKUP($K1494,LUTs!$E$2:$H$14,4,)</f>
        <v>02South Puget Sound</v>
      </c>
      <c r="O1494" s="108">
        <v>97.724137931034505</v>
      </c>
      <c r="P1494" s="108">
        <v>336.17103448275901</v>
      </c>
      <c r="Q1494" s="108">
        <f>SUMIFS('FW_Salmon_by_Month_2010-2021'!P$2:P$3810,'FW_Salmon_by_Month_2010-2021'!$B$2:$B$3810,'Rec_raw_catch_effort_2010-2021'!$B1494,'FW_Salmon_by_Month_2010-2021'!$H$2:$H$3810,'Rec_raw_catch_effort_2010-2021'!$F1494,'FW_Salmon_by_Month_2010-2021'!$M$2:$M$3810,'Rec_raw_catch_effort_2010-2021'!$K1494)</f>
        <v>97.794117647058798</v>
      </c>
      <c r="R1494" s="109">
        <f>VLOOKUP(B1494,Readme!$A$62:$C$74,2,)*Q1494</f>
        <v>346.09733712578026</v>
      </c>
      <c r="S1494" s="140" t="str">
        <f t="shared" si="133"/>
        <v>Y</v>
      </c>
      <c r="T1494" s="154">
        <f t="shared" si="134"/>
        <v>3.4400000000000031</v>
      </c>
      <c r="U1494" s="154">
        <f t="shared" si="135"/>
        <v>3.5390404397824158</v>
      </c>
    </row>
    <row r="1495" spans="1:21" x14ac:dyDescent="0.35">
      <c r="A1495" s="108">
        <v>855</v>
      </c>
      <c r="B1495" s="108">
        <v>2012</v>
      </c>
      <c r="C1495" s="108" t="s">
        <v>38</v>
      </c>
      <c r="D1495" s="108" t="s">
        <v>143</v>
      </c>
      <c r="E1495" s="108" t="s">
        <v>10</v>
      </c>
      <c r="F1495" s="116">
        <v>754</v>
      </c>
      <c r="G1495" s="108" t="s">
        <v>47</v>
      </c>
      <c r="H1495" s="108" t="str">
        <f t="shared" si="132"/>
        <v>Kennedy Creek</v>
      </c>
      <c r="I1495" s="108" t="str">
        <f>IFERROR(VLOOKUP(H1495,LUTs!$A$1:$C$73,2,FALSE),"NA")</f>
        <v>Mason/Thurston</v>
      </c>
      <c r="J1495" s="108" t="str">
        <f>IFERROR(VLOOKUP(H1495,LUTs!$A$1:$C$73,3,FALSE),"NA")</f>
        <v>3South Puget Sound</v>
      </c>
      <c r="K1495" s="108" t="s">
        <v>18</v>
      </c>
      <c r="L1495" s="108" t="str">
        <f>VLOOKUP(K1495,LUTs!E$2:G$14,3,)</f>
        <v>06King</v>
      </c>
      <c r="M1495" s="108" t="str">
        <f>VLOOKUP($K1495,LUTs!$E$2:$H$14,2,)</f>
        <v>South Puget Sound</v>
      </c>
      <c r="N1495" s="108" t="str">
        <f>VLOOKUP($K1495,LUTs!$E$2:$H$14,4,)</f>
        <v>02South Puget Sound</v>
      </c>
      <c r="O1495" s="108">
        <v>64.615384615384599</v>
      </c>
      <c r="P1495" s="108">
        <v>558.92307692307702</v>
      </c>
      <c r="Q1495" s="108">
        <f>SUMIFS('FW_Salmon_by_Month_2010-2021'!P$2:P$3810,'FW_Salmon_by_Month_2010-2021'!$B$2:$B$3810,'Rec_raw_catch_effort_2010-2021'!$B1495,'FW_Salmon_by_Month_2010-2021'!$H$2:$H$3810,'Rec_raw_catch_effort_2010-2021'!$F1495,'FW_Salmon_by_Month_2010-2021'!$M$2:$M$3810,'Rec_raw_catch_effort_2010-2021'!$K1495)</f>
        <v>68.089285714285694</v>
      </c>
      <c r="R1495" s="109">
        <f>VLOOKUP(B1495,Readme!$A$62:$C$74,2,)*Q1495</f>
        <v>328.16005088185102</v>
      </c>
      <c r="S1495" s="140" t="str">
        <f t="shared" si="133"/>
        <v>Y</v>
      </c>
      <c r="T1495" s="154">
        <f t="shared" si="134"/>
        <v>8.6500000000000039</v>
      </c>
      <c r="U1495" s="154">
        <f t="shared" si="135"/>
        <v>4.8195549041132084</v>
      </c>
    </row>
    <row r="1496" spans="1:21" x14ac:dyDescent="0.35">
      <c r="A1496" s="108">
        <v>858</v>
      </c>
      <c r="B1496" s="108">
        <v>2012</v>
      </c>
      <c r="C1496" s="108" t="s">
        <v>38</v>
      </c>
      <c r="D1496" s="108" t="s">
        <v>143</v>
      </c>
      <c r="E1496" s="108" t="s">
        <v>10</v>
      </c>
      <c r="F1496" s="116">
        <v>754</v>
      </c>
      <c r="G1496" s="108" t="s">
        <v>47</v>
      </c>
      <c r="H1496" s="108" t="str">
        <f t="shared" si="132"/>
        <v>Kennedy Creek</v>
      </c>
      <c r="I1496" s="108" t="str">
        <f>IFERROR(VLOOKUP(H1496,LUTs!$A$1:$C$73,2,FALSE),"NA")</f>
        <v>Mason/Thurston</v>
      </c>
      <c r="J1496" s="108" t="str">
        <f>IFERROR(VLOOKUP(H1496,LUTs!$A$1:$C$73,3,FALSE),"NA")</f>
        <v>3South Puget Sound</v>
      </c>
      <c r="K1496" s="108" t="s">
        <v>26</v>
      </c>
      <c r="L1496" s="108" t="str">
        <f>VLOOKUP(K1496,LUTs!E$2:G$14,3,)</f>
        <v>20Other</v>
      </c>
      <c r="M1496" s="108" t="str">
        <f>VLOOKUP($K1496,LUTs!$E$2:$H$14,2,)</f>
        <v>Non Puget Sound</v>
      </c>
      <c r="N1496" s="108" t="str">
        <f>VLOOKUP($K1496,LUTs!$E$2:$H$14,4,)</f>
        <v>07Non Puget Sound</v>
      </c>
      <c r="O1496" s="108">
        <v>35.897435897435898</v>
      </c>
      <c r="P1496" s="108">
        <v>310.51282051282101</v>
      </c>
      <c r="Q1496" s="108">
        <f>SUMIFS('FW_Salmon_by_Month_2010-2021'!P$2:P$3810,'FW_Salmon_by_Month_2010-2021'!$B$2:$B$3810,'Rec_raw_catch_effort_2010-2021'!$B1496,'FW_Salmon_by_Month_2010-2021'!$H$2:$H$3810,'Rec_raw_catch_effort_2010-2021'!$F1496,'FW_Salmon_by_Month_2010-2021'!$M$2:$M$3810,'Rec_raw_catch_effort_2010-2021'!$K1496)</f>
        <v>37.848214285714299</v>
      </c>
      <c r="R1496" s="109">
        <f>VLOOKUP(B1496,Readme!$A$62:$C$74,2,)*Q1496</f>
        <v>182.41154677264194</v>
      </c>
      <c r="S1496" s="140" t="str">
        <f t="shared" si="133"/>
        <v>Y</v>
      </c>
      <c r="T1496" s="154">
        <f t="shared" si="134"/>
        <v>8.6500000000000146</v>
      </c>
      <c r="U1496" s="154">
        <f t="shared" si="135"/>
        <v>4.8195549041132084</v>
      </c>
    </row>
    <row r="1497" spans="1:21" x14ac:dyDescent="0.35">
      <c r="A1497" s="108">
        <v>856</v>
      </c>
      <c r="B1497" s="108">
        <v>2012</v>
      </c>
      <c r="C1497" s="108" t="s">
        <v>38</v>
      </c>
      <c r="D1497" s="108" t="s">
        <v>143</v>
      </c>
      <c r="E1497" s="108" t="s">
        <v>10</v>
      </c>
      <c r="F1497" s="116">
        <v>754</v>
      </c>
      <c r="G1497" s="108" t="s">
        <v>47</v>
      </c>
      <c r="H1497" s="108" t="str">
        <f t="shared" si="132"/>
        <v>Kennedy Creek</v>
      </c>
      <c r="I1497" s="108" t="str">
        <f>IFERROR(VLOOKUP(H1497,LUTs!$A$1:$C$73,2,FALSE),"NA")</f>
        <v>Mason/Thurston</v>
      </c>
      <c r="J1497" s="108" t="str">
        <f>IFERROR(VLOOKUP(H1497,LUTs!$A$1:$C$73,3,FALSE),"NA")</f>
        <v>3South Puget Sound</v>
      </c>
      <c r="K1497" s="108" t="s">
        <v>20</v>
      </c>
      <c r="L1497" s="108" t="str">
        <f>VLOOKUP(K1497,LUTs!E$2:G$14,3,)</f>
        <v>07Pierce</v>
      </c>
      <c r="M1497" s="108" t="str">
        <f>VLOOKUP($K1497,LUTs!$E$2:$H$14,2,)</f>
        <v>South Puget Sound</v>
      </c>
      <c r="N1497" s="108" t="str">
        <f>VLOOKUP($K1497,LUTs!$E$2:$H$14,4,)</f>
        <v>02South Puget Sound</v>
      </c>
      <c r="O1497" s="108">
        <v>114.871794871795</v>
      </c>
      <c r="P1497" s="108">
        <v>993.641025641027</v>
      </c>
      <c r="Q1497" s="108">
        <f>SUMIFS('FW_Salmon_by_Month_2010-2021'!P$2:P$3810,'FW_Salmon_by_Month_2010-2021'!$B$2:$B$3810,'Rec_raw_catch_effort_2010-2021'!$B1497,'FW_Salmon_by_Month_2010-2021'!$H$2:$H$3810,'Rec_raw_catch_effort_2010-2021'!$F1497,'FW_Salmon_by_Month_2010-2021'!$M$2:$M$3810,'Rec_raw_catch_effort_2010-2021'!$K1497)</f>
        <v>105.97321428571431</v>
      </c>
      <c r="R1497" s="109">
        <f>VLOOKUP(B1497,Readme!$A$62:$C$74,2,)*Q1497</f>
        <v>510.74372461535432</v>
      </c>
      <c r="S1497" s="140" t="str">
        <f t="shared" si="133"/>
        <v>Y</v>
      </c>
      <c r="T1497" s="154">
        <f t="shared" si="134"/>
        <v>8.6500000000000021</v>
      </c>
      <c r="U1497" s="154">
        <f t="shared" si="135"/>
        <v>4.8195549041132084</v>
      </c>
    </row>
    <row r="1498" spans="1:21" x14ac:dyDescent="0.35">
      <c r="A1498" s="108">
        <v>857</v>
      </c>
      <c r="B1498" s="108">
        <v>2012</v>
      </c>
      <c r="C1498" s="108" t="s">
        <v>38</v>
      </c>
      <c r="D1498" s="108" t="s">
        <v>143</v>
      </c>
      <c r="E1498" s="108" t="s">
        <v>10</v>
      </c>
      <c r="F1498" s="116">
        <v>754</v>
      </c>
      <c r="G1498" s="108" t="s">
        <v>47</v>
      </c>
      <c r="H1498" s="108" t="str">
        <f t="shared" si="132"/>
        <v>Kennedy Creek</v>
      </c>
      <c r="I1498" s="108" t="str">
        <f>IFERROR(VLOOKUP(H1498,LUTs!$A$1:$C$73,2,FALSE),"NA")</f>
        <v>Mason/Thurston</v>
      </c>
      <c r="J1498" s="108" t="str">
        <f>IFERROR(VLOOKUP(H1498,LUTs!$A$1:$C$73,3,FALSE),"NA")</f>
        <v>3South Puget Sound</v>
      </c>
      <c r="K1498" s="108" t="s">
        <v>21</v>
      </c>
      <c r="L1498" s="108" t="str">
        <f>VLOOKUP(K1498,LUTs!E$2:G$14,3,)</f>
        <v>08Thurston</v>
      </c>
      <c r="M1498" s="108" t="str">
        <f>VLOOKUP($K1498,LUTs!$E$2:$H$14,2,)</f>
        <v>South Puget Sound</v>
      </c>
      <c r="N1498" s="108" t="str">
        <f>VLOOKUP($K1498,LUTs!$E$2:$H$14,4,)</f>
        <v>02South Puget Sound</v>
      </c>
      <c r="O1498" s="108">
        <v>64.615384615384599</v>
      </c>
      <c r="P1498" s="108">
        <v>558.92307692307702</v>
      </c>
      <c r="Q1498" s="108">
        <f>SUMIFS('FW_Salmon_by_Month_2010-2021'!P$2:P$3810,'FW_Salmon_by_Month_2010-2021'!$B$2:$B$3810,'Rec_raw_catch_effort_2010-2021'!$B1498,'FW_Salmon_by_Month_2010-2021'!$H$2:$H$3810,'Rec_raw_catch_effort_2010-2021'!$F1498,'FW_Salmon_by_Month_2010-2021'!$M$2:$M$3810,'Rec_raw_catch_effort_2010-2021'!$K1498)</f>
        <v>68.089285714285694</v>
      </c>
      <c r="R1498" s="109">
        <f>VLOOKUP(B1498,Readme!$A$62:$C$74,2,)*Q1498</f>
        <v>328.16005088185102</v>
      </c>
      <c r="S1498" s="140" t="str">
        <f t="shared" si="133"/>
        <v>Y</v>
      </c>
      <c r="T1498" s="154">
        <f t="shared" si="134"/>
        <v>8.6500000000000039</v>
      </c>
      <c r="U1498" s="154">
        <f t="shared" si="135"/>
        <v>4.8195549041132084</v>
      </c>
    </row>
    <row r="1499" spans="1:21" x14ac:dyDescent="0.35">
      <c r="A1499" s="108">
        <v>859</v>
      </c>
      <c r="B1499" s="108">
        <v>2013</v>
      </c>
      <c r="C1499" s="108" t="s">
        <v>38</v>
      </c>
      <c r="D1499" s="108" t="s">
        <v>143</v>
      </c>
      <c r="E1499" s="108" t="s">
        <v>10</v>
      </c>
      <c r="F1499" s="116">
        <v>754</v>
      </c>
      <c r="G1499" s="108" t="s">
        <v>47</v>
      </c>
      <c r="H1499" s="108" t="str">
        <f t="shared" si="132"/>
        <v>Kennedy Creek</v>
      </c>
      <c r="I1499" s="108" t="str">
        <f>IFERROR(VLOOKUP(H1499,LUTs!$A$1:$C$73,2,FALSE),"NA")</f>
        <v>Mason/Thurston</v>
      </c>
      <c r="J1499" s="108" t="str">
        <f>IFERROR(VLOOKUP(H1499,LUTs!$A$1:$C$73,3,FALSE),"NA")</f>
        <v>3South Puget Sound</v>
      </c>
      <c r="K1499" s="108" t="s">
        <v>18</v>
      </c>
      <c r="L1499" s="108" t="str">
        <f>VLOOKUP(K1499,LUTs!E$2:G$14,3,)</f>
        <v>06King</v>
      </c>
      <c r="M1499" s="108" t="str">
        <f>VLOOKUP($K1499,LUTs!$E$2:$H$14,2,)</f>
        <v>South Puget Sound</v>
      </c>
      <c r="N1499" s="108" t="str">
        <f>VLOOKUP($K1499,LUTs!$E$2:$H$14,4,)</f>
        <v>02South Puget Sound</v>
      </c>
      <c r="O1499" s="108">
        <v>46.470588235294102</v>
      </c>
      <c r="P1499" s="108">
        <v>159.85882352941201</v>
      </c>
      <c r="Q1499" s="108">
        <f>SUMIFS('FW_Salmon_by_Month_2010-2021'!P$2:P$3810,'FW_Salmon_by_Month_2010-2021'!$B$2:$B$3810,'Rec_raw_catch_effort_2010-2021'!$B1499,'FW_Salmon_by_Month_2010-2021'!$H$2:$H$3810,'Rec_raw_catch_effort_2010-2021'!$F1499,'FW_Salmon_by_Month_2010-2021'!$M$2:$M$3810,'Rec_raw_catch_effort_2010-2021'!$K1499)</f>
        <v>47.818181818181799</v>
      </c>
      <c r="R1499" s="109">
        <f>VLOOKUP(B1499,Readme!$A$62:$C$74,2,)*Q1499</f>
        <v>169.23047921141361</v>
      </c>
      <c r="S1499" s="140" t="str">
        <f t="shared" si="133"/>
        <v>Y</v>
      </c>
      <c r="T1499" s="154">
        <f t="shared" si="134"/>
        <v>3.4400000000000062</v>
      </c>
      <c r="U1499" s="154">
        <f t="shared" si="135"/>
        <v>3.5390404397824153</v>
      </c>
    </row>
    <row r="1500" spans="1:21" x14ac:dyDescent="0.35">
      <c r="A1500" s="108">
        <v>862</v>
      </c>
      <c r="B1500" s="108">
        <v>2013</v>
      </c>
      <c r="C1500" s="108" t="s">
        <v>38</v>
      </c>
      <c r="D1500" s="108" t="s">
        <v>143</v>
      </c>
      <c r="E1500" s="108" t="s">
        <v>10</v>
      </c>
      <c r="F1500" s="116">
        <v>754</v>
      </c>
      <c r="G1500" s="108" t="s">
        <v>47</v>
      </c>
      <c r="H1500" s="108" t="str">
        <f t="shared" si="132"/>
        <v>Kennedy Creek</v>
      </c>
      <c r="I1500" s="108" t="str">
        <f>IFERROR(VLOOKUP(H1500,LUTs!$A$1:$C$73,2,FALSE),"NA")</f>
        <v>Mason/Thurston</v>
      </c>
      <c r="J1500" s="108" t="str">
        <f>IFERROR(VLOOKUP(H1500,LUTs!$A$1:$C$73,3,FALSE),"NA")</f>
        <v>3South Puget Sound</v>
      </c>
      <c r="K1500" s="108" t="s">
        <v>22</v>
      </c>
      <c r="L1500" s="108" t="str">
        <f>VLOOKUP(K1500,LUTs!E$2:G$14,3,)</f>
        <v>09Mason</v>
      </c>
      <c r="M1500" s="108" t="str">
        <f>VLOOKUP($K1500,LUTs!$E$2:$H$14,2,)</f>
        <v>South Puget Sound</v>
      </c>
      <c r="N1500" s="108" t="str">
        <f>VLOOKUP($K1500,LUTs!$E$2:$H$14,4,)</f>
        <v>02South Puget Sound</v>
      </c>
      <c r="O1500" s="108">
        <v>18.588235294117698</v>
      </c>
      <c r="P1500" s="108">
        <v>63.943529411764899</v>
      </c>
      <c r="Q1500" s="108">
        <f>SUMIFS('FW_Salmon_by_Month_2010-2021'!P$2:P$3810,'FW_Salmon_by_Month_2010-2021'!$B$2:$B$3810,'Rec_raw_catch_effort_2010-2021'!$B1500,'FW_Salmon_by_Month_2010-2021'!$H$2:$H$3810,'Rec_raw_catch_effort_2010-2021'!$F1500,'FW_Salmon_by_Month_2010-2021'!$M$2:$M$3810,'Rec_raw_catch_effort_2010-2021'!$K1500)</f>
        <v>19.181818181818201</v>
      </c>
      <c r="R1500" s="109">
        <f>VLOOKUP(B1500,Readme!$A$62:$C$74,2,)*Q1500</f>
        <v>67.885230254008221</v>
      </c>
      <c r="S1500" s="140" t="str">
        <f t="shared" si="133"/>
        <v>Y</v>
      </c>
      <c r="T1500" s="154">
        <f t="shared" si="134"/>
        <v>3.4400000000000008</v>
      </c>
      <c r="U1500" s="154">
        <f t="shared" si="135"/>
        <v>3.5390404397824153</v>
      </c>
    </row>
    <row r="1501" spans="1:21" x14ac:dyDescent="0.35">
      <c r="A1501" s="108">
        <v>860</v>
      </c>
      <c r="B1501" s="108">
        <v>2013</v>
      </c>
      <c r="C1501" s="108" t="s">
        <v>38</v>
      </c>
      <c r="D1501" s="108" t="s">
        <v>143</v>
      </c>
      <c r="E1501" s="108" t="s">
        <v>10</v>
      </c>
      <c r="F1501" s="116">
        <v>754</v>
      </c>
      <c r="G1501" s="108" t="s">
        <v>47</v>
      </c>
      <c r="H1501" s="108" t="str">
        <f t="shared" si="132"/>
        <v>Kennedy Creek</v>
      </c>
      <c r="I1501" s="108" t="str">
        <f>IFERROR(VLOOKUP(H1501,LUTs!$A$1:$C$73,2,FALSE),"NA")</f>
        <v>Mason/Thurston</v>
      </c>
      <c r="J1501" s="108" t="str">
        <f>IFERROR(VLOOKUP(H1501,LUTs!$A$1:$C$73,3,FALSE),"NA")</f>
        <v>3South Puget Sound</v>
      </c>
      <c r="K1501" s="108" t="s">
        <v>20</v>
      </c>
      <c r="L1501" s="108" t="str">
        <f>VLOOKUP(K1501,LUTs!E$2:G$14,3,)</f>
        <v>07Pierce</v>
      </c>
      <c r="M1501" s="108" t="str">
        <f>VLOOKUP($K1501,LUTs!$E$2:$H$14,2,)</f>
        <v>South Puget Sound</v>
      </c>
      <c r="N1501" s="108" t="str">
        <f>VLOOKUP($K1501,LUTs!$E$2:$H$14,4,)</f>
        <v>02South Puget Sound</v>
      </c>
      <c r="O1501" s="108">
        <v>9.2941176470588296</v>
      </c>
      <c r="P1501" s="108">
        <v>31.9717647058824</v>
      </c>
      <c r="Q1501" s="108">
        <f>SUMIFS('FW_Salmon_by_Month_2010-2021'!P$2:P$3810,'FW_Salmon_by_Month_2010-2021'!$B$2:$B$3810,'Rec_raw_catch_effort_2010-2021'!$B1501,'FW_Salmon_by_Month_2010-2021'!$H$2:$H$3810,'Rec_raw_catch_effort_2010-2021'!$F1501,'FW_Salmon_by_Month_2010-2021'!$M$2:$M$3810,'Rec_raw_catch_effort_2010-2021'!$K1501)</f>
        <v>9.5454545454545503</v>
      </c>
      <c r="R1501" s="109">
        <f>VLOOKUP(B1501,Readme!$A$62:$C$74,2,)*Q1501</f>
        <v>33.781749652468527</v>
      </c>
      <c r="S1501" s="140" t="str">
        <f t="shared" si="133"/>
        <v>Y</v>
      </c>
      <c r="T1501" s="154">
        <f t="shared" si="134"/>
        <v>3.4400000000000026</v>
      </c>
      <c r="U1501" s="154">
        <f t="shared" si="135"/>
        <v>3.5390404397824153</v>
      </c>
    </row>
    <row r="1502" spans="1:21" x14ac:dyDescent="0.35">
      <c r="A1502" s="108">
        <v>861</v>
      </c>
      <c r="B1502" s="108">
        <v>2013</v>
      </c>
      <c r="C1502" s="108" t="s">
        <v>38</v>
      </c>
      <c r="D1502" s="108" t="s">
        <v>143</v>
      </c>
      <c r="E1502" s="108" t="s">
        <v>10</v>
      </c>
      <c r="F1502" s="116">
        <v>754</v>
      </c>
      <c r="G1502" s="108" t="s">
        <v>47</v>
      </c>
      <c r="H1502" s="108" t="str">
        <f t="shared" si="132"/>
        <v>Kennedy Creek</v>
      </c>
      <c r="I1502" s="108" t="str">
        <f>IFERROR(VLOOKUP(H1502,LUTs!$A$1:$C$73,2,FALSE),"NA")</f>
        <v>Mason/Thurston</v>
      </c>
      <c r="J1502" s="108" t="str">
        <f>IFERROR(VLOOKUP(H1502,LUTs!$A$1:$C$73,3,FALSE),"NA")</f>
        <v>3South Puget Sound</v>
      </c>
      <c r="K1502" s="108" t="s">
        <v>21</v>
      </c>
      <c r="L1502" s="108" t="str">
        <f>VLOOKUP(K1502,LUTs!E$2:G$14,3,)</f>
        <v>08Thurston</v>
      </c>
      <c r="M1502" s="108" t="str">
        <f>VLOOKUP($K1502,LUTs!$E$2:$H$14,2,)</f>
        <v>South Puget Sound</v>
      </c>
      <c r="N1502" s="108" t="str">
        <f>VLOOKUP($K1502,LUTs!$E$2:$H$14,4,)</f>
        <v>02South Puget Sound</v>
      </c>
      <c r="O1502" s="108">
        <v>241.64705882352899</v>
      </c>
      <c r="P1502" s="108">
        <v>831.26588235294003</v>
      </c>
      <c r="Q1502" s="108">
        <f>SUMIFS('FW_Salmon_by_Month_2010-2021'!P$2:P$3810,'FW_Salmon_by_Month_2010-2021'!$B$2:$B$3810,'Rec_raw_catch_effort_2010-2021'!$B1502,'FW_Salmon_by_Month_2010-2021'!$H$2:$H$3810,'Rec_raw_catch_effort_2010-2021'!$F1502,'FW_Salmon_by_Month_2010-2021'!$M$2:$M$3810,'Rec_raw_catch_effort_2010-2021'!$K1502)</f>
        <v>239.45454545454578</v>
      </c>
      <c r="R1502" s="109">
        <f>VLOOKUP(B1502,Readme!$A$62:$C$74,2,)*Q1502</f>
        <v>847.43931985335405</v>
      </c>
      <c r="S1502" s="140" t="str">
        <f t="shared" si="133"/>
        <v>Y</v>
      </c>
      <c r="T1502" s="154">
        <f t="shared" si="134"/>
        <v>3.4400000000000013</v>
      </c>
      <c r="U1502" s="154">
        <f t="shared" si="135"/>
        <v>3.5390404397824153</v>
      </c>
    </row>
    <row r="1503" spans="1:21" x14ac:dyDescent="0.35">
      <c r="A1503" s="108">
        <v>863</v>
      </c>
      <c r="B1503" s="108">
        <v>2014</v>
      </c>
      <c r="C1503" s="108" t="s">
        <v>38</v>
      </c>
      <c r="D1503" s="108" t="s">
        <v>143</v>
      </c>
      <c r="E1503" s="108" t="s">
        <v>10</v>
      </c>
      <c r="F1503" s="116">
        <v>754</v>
      </c>
      <c r="G1503" s="108" t="s">
        <v>47</v>
      </c>
      <c r="H1503" s="108" t="str">
        <f t="shared" si="132"/>
        <v>Kennedy Creek</v>
      </c>
      <c r="I1503" s="108" t="str">
        <f>IFERROR(VLOOKUP(H1503,LUTs!$A$1:$C$73,2,FALSE),"NA")</f>
        <v>Mason/Thurston</v>
      </c>
      <c r="J1503" s="108" t="str">
        <f>IFERROR(VLOOKUP(H1503,LUTs!$A$1:$C$73,3,FALSE),"NA")</f>
        <v>3South Puget Sound</v>
      </c>
      <c r="K1503" s="108" t="s">
        <v>18</v>
      </c>
      <c r="L1503" s="108" t="str">
        <f>VLOOKUP(K1503,LUTs!E$2:G$14,3,)</f>
        <v>06King</v>
      </c>
      <c r="M1503" s="108" t="str">
        <f>VLOOKUP($K1503,LUTs!$E$2:$H$14,2,)</f>
        <v>South Puget Sound</v>
      </c>
      <c r="N1503" s="108" t="str">
        <f>VLOOKUP($K1503,LUTs!$E$2:$H$14,4,)</f>
        <v>02South Puget Sound</v>
      </c>
      <c r="O1503" s="108">
        <v>139.94230769230799</v>
      </c>
      <c r="P1503" s="108">
        <v>1210.5009615384599</v>
      </c>
      <c r="Q1503" s="108">
        <f>SUMIFS('FW_Salmon_by_Month_2010-2021'!P$2:P$3810,'FW_Salmon_by_Month_2010-2021'!$B$2:$B$3810,'Rec_raw_catch_effort_2010-2021'!$B1503,'FW_Salmon_by_Month_2010-2021'!$H$2:$H$3810,'Rec_raw_catch_effort_2010-2021'!$F1503,'FW_Salmon_by_Month_2010-2021'!$M$2:$M$3810,'Rec_raw_catch_effort_2010-2021'!$K1503)</f>
        <v>140.0972222222222</v>
      </c>
      <c r="R1503" s="109">
        <f>VLOOKUP(B1503,Readme!$A$62:$C$74,2,)*Q1503</f>
        <v>675.20625441374898</v>
      </c>
      <c r="S1503" s="140" t="str">
        <f t="shared" si="133"/>
        <v>Y</v>
      </c>
      <c r="T1503" s="154">
        <f t="shared" si="134"/>
        <v>8.6499999999999702</v>
      </c>
      <c r="U1503" s="154">
        <f t="shared" si="135"/>
        <v>4.8195549041132084</v>
      </c>
    </row>
    <row r="1504" spans="1:21" x14ac:dyDescent="0.35">
      <c r="A1504" s="108">
        <v>866</v>
      </c>
      <c r="B1504" s="108">
        <v>2014</v>
      </c>
      <c r="C1504" s="108" t="s">
        <v>38</v>
      </c>
      <c r="D1504" s="108" t="s">
        <v>143</v>
      </c>
      <c r="E1504" s="108" t="s">
        <v>10</v>
      </c>
      <c r="F1504" s="116">
        <v>754</v>
      </c>
      <c r="G1504" s="108" t="s">
        <v>47</v>
      </c>
      <c r="H1504" s="108" t="str">
        <f t="shared" si="132"/>
        <v>Kennedy Creek</v>
      </c>
      <c r="I1504" s="108" t="str">
        <f>IFERROR(VLOOKUP(H1504,LUTs!$A$1:$C$73,2,FALSE),"NA")</f>
        <v>Mason/Thurston</v>
      </c>
      <c r="J1504" s="108" t="str">
        <f>IFERROR(VLOOKUP(H1504,LUTs!$A$1:$C$73,3,FALSE),"NA")</f>
        <v>3South Puget Sound</v>
      </c>
      <c r="K1504" s="108" t="s">
        <v>22</v>
      </c>
      <c r="L1504" s="108" t="str">
        <f>VLOOKUP(K1504,LUTs!E$2:G$14,3,)</f>
        <v>09Mason</v>
      </c>
      <c r="M1504" s="108" t="str">
        <f>VLOOKUP($K1504,LUTs!$E$2:$H$14,2,)</f>
        <v>South Puget Sound</v>
      </c>
      <c r="N1504" s="108" t="str">
        <f>VLOOKUP($K1504,LUTs!$E$2:$H$14,4,)</f>
        <v>02South Puget Sound</v>
      </c>
      <c r="O1504" s="108">
        <v>44.192307692307701</v>
      </c>
      <c r="P1504" s="108">
        <v>382.26346153846202</v>
      </c>
      <c r="Q1504" s="108">
        <f>SUMIFS('FW_Salmon_by_Month_2010-2021'!P$2:P$3810,'FW_Salmon_by_Month_2010-2021'!$B$2:$B$3810,'Rec_raw_catch_effort_2010-2021'!$B1504,'FW_Salmon_by_Month_2010-2021'!$H$2:$H$3810,'Rec_raw_catch_effort_2010-2021'!$F1504,'FW_Salmon_by_Month_2010-2021'!$M$2:$M$3810,'Rec_raw_catch_effort_2010-2021'!$K1504)</f>
        <v>44.245370370370367</v>
      </c>
      <c r="R1504" s="109">
        <f>VLOOKUP(B1504,Readme!$A$62:$C$74,2,)*Q1504</f>
        <v>213.24299175282374</v>
      </c>
      <c r="S1504" s="140" t="str">
        <f t="shared" si="133"/>
        <v>Y</v>
      </c>
      <c r="T1504" s="154">
        <f t="shared" si="134"/>
        <v>8.6500000000000092</v>
      </c>
      <c r="U1504" s="154">
        <f t="shared" si="135"/>
        <v>4.8195549041132084</v>
      </c>
    </row>
    <row r="1505" spans="1:21" x14ac:dyDescent="0.35">
      <c r="A1505" s="108">
        <v>864</v>
      </c>
      <c r="B1505" s="108">
        <v>2014</v>
      </c>
      <c r="C1505" s="108" t="s">
        <v>38</v>
      </c>
      <c r="D1505" s="108" t="s">
        <v>143</v>
      </c>
      <c r="E1505" s="108" t="s">
        <v>10</v>
      </c>
      <c r="F1505" s="116">
        <v>754</v>
      </c>
      <c r="G1505" s="108" t="s">
        <v>47</v>
      </c>
      <c r="H1505" s="108" t="str">
        <f t="shared" si="132"/>
        <v>Kennedy Creek</v>
      </c>
      <c r="I1505" s="108" t="str">
        <f>IFERROR(VLOOKUP(H1505,LUTs!$A$1:$C$73,2,FALSE),"NA")</f>
        <v>Mason/Thurston</v>
      </c>
      <c r="J1505" s="108" t="str">
        <f>IFERROR(VLOOKUP(H1505,LUTs!$A$1:$C$73,3,FALSE),"NA")</f>
        <v>3South Puget Sound</v>
      </c>
      <c r="K1505" s="108" t="s">
        <v>20</v>
      </c>
      <c r="L1505" s="108" t="str">
        <f>VLOOKUP(K1505,LUTs!E$2:G$14,3,)</f>
        <v>07Pierce</v>
      </c>
      <c r="M1505" s="108" t="str">
        <f>VLOOKUP($K1505,LUTs!$E$2:$H$14,2,)</f>
        <v>South Puget Sound</v>
      </c>
      <c r="N1505" s="108" t="str">
        <f>VLOOKUP($K1505,LUTs!$E$2:$H$14,4,)</f>
        <v>02South Puget Sound</v>
      </c>
      <c r="O1505" s="108">
        <v>66.288461538461604</v>
      </c>
      <c r="P1505" s="108">
        <v>573.39519230769304</v>
      </c>
      <c r="Q1505" s="108">
        <f>SUMIFS('FW_Salmon_by_Month_2010-2021'!P$2:P$3810,'FW_Salmon_by_Month_2010-2021'!$B$2:$B$3810,'Rec_raw_catch_effort_2010-2021'!$B1505,'FW_Salmon_by_Month_2010-2021'!$H$2:$H$3810,'Rec_raw_catch_effort_2010-2021'!$F1505,'FW_Salmon_by_Month_2010-2021'!$M$2:$M$3810,'Rec_raw_catch_effort_2010-2021'!$K1505)</f>
        <v>66.356481481481495</v>
      </c>
      <c r="R1505" s="109">
        <f>VLOOKUP(B1505,Readme!$A$62:$C$74,2,)*Q1505</f>
        <v>319.80870574377144</v>
      </c>
      <c r="S1505" s="140" t="str">
        <f t="shared" si="133"/>
        <v>Y</v>
      </c>
      <c r="T1505" s="154">
        <f t="shared" si="134"/>
        <v>8.6500000000000021</v>
      </c>
      <c r="U1505" s="154">
        <f t="shared" si="135"/>
        <v>4.8195549041132084</v>
      </c>
    </row>
    <row r="1506" spans="1:21" x14ac:dyDescent="0.35">
      <c r="A1506" s="108">
        <v>865</v>
      </c>
      <c r="B1506" s="108">
        <v>2014</v>
      </c>
      <c r="C1506" s="108" t="s">
        <v>38</v>
      </c>
      <c r="D1506" s="108" t="s">
        <v>143</v>
      </c>
      <c r="E1506" s="108" t="s">
        <v>10</v>
      </c>
      <c r="F1506" s="116">
        <v>754</v>
      </c>
      <c r="G1506" s="108" t="s">
        <v>47</v>
      </c>
      <c r="H1506" s="108" t="str">
        <f t="shared" si="132"/>
        <v>Kennedy Creek</v>
      </c>
      <c r="I1506" s="108" t="str">
        <f>IFERROR(VLOOKUP(H1506,LUTs!$A$1:$C$73,2,FALSE),"NA")</f>
        <v>Mason/Thurston</v>
      </c>
      <c r="J1506" s="108" t="str">
        <f>IFERROR(VLOOKUP(H1506,LUTs!$A$1:$C$73,3,FALSE),"NA")</f>
        <v>3South Puget Sound</v>
      </c>
      <c r="K1506" s="108" t="s">
        <v>21</v>
      </c>
      <c r="L1506" s="108" t="str">
        <f>VLOOKUP(K1506,LUTs!E$2:G$14,3,)</f>
        <v>08Thurston</v>
      </c>
      <c r="M1506" s="108" t="str">
        <f>VLOOKUP($K1506,LUTs!$E$2:$H$14,2,)</f>
        <v>South Puget Sound</v>
      </c>
      <c r="N1506" s="108" t="str">
        <f>VLOOKUP($K1506,LUTs!$E$2:$H$14,4,)</f>
        <v>02South Puget Sound</v>
      </c>
      <c r="O1506" s="108">
        <v>132.57692307692301</v>
      </c>
      <c r="P1506" s="108">
        <v>1146.7903846153799</v>
      </c>
      <c r="Q1506" s="108">
        <f>SUMIFS('FW_Salmon_by_Month_2010-2021'!P$2:P$3810,'FW_Salmon_by_Month_2010-2021'!$B$2:$B$3810,'Rec_raw_catch_effort_2010-2021'!$B1506,'FW_Salmon_by_Month_2010-2021'!$H$2:$H$3810,'Rec_raw_catch_effort_2010-2021'!$F1506,'FW_Salmon_by_Month_2010-2021'!$M$2:$M$3810,'Rec_raw_catch_effort_2010-2021'!$K1506)</f>
        <v>132.30092592592598</v>
      </c>
      <c r="R1506" s="109">
        <f>VLOOKUP(B1506,Readme!$A$62:$C$74,2,)*Q1506</f>
        <v>637.63157636501489</v>
      </c>
      <c r="S1506" s="140" t="str">
        <f t="shared" si="133"/>
        <v>Y</v>
      </c>
      <c r="T1506" s="154">
        <f t="shared" si="134"/>
        <v>8.6499999999999684</v>
      </c>
      <c r="U1506" s="154">
        <f t="shared" si="135"/>
        <v>4.8195549041132084</v>
      </c>
    </row>
    <row r="1507" spans="1:21" x14ac:dyDescent="0.35">
      <c r="A1507" s="108">
        <v>869</v>
      </c>
      <c r="B1507" s="108">
        <v>2015</v>
      </c>
      <c r="C1507" s="108" t="s">
        <v>38</v>
      </c>
      <c r="D1507" s="108" t="s">
        <v>143</v>
      </c>
      <c r="E1507" s="108" t="s">
        <v>10</v>
      </c>
      <c r="F1507" s="116">
        <v>754</v>
      </c>
      <c r="G1507" s="108" t="s">
        <v>47</v>
      </c>
      <c r="H1507" s="108" t="str">
        <f t="shared" si="132"/>
        <v>Kennedy Creek</v>
      </c>
      <c r="I1507" s="108" t="str">
        <f>IFERROR(VLOOKUP(H1507,LUTs!$A$1:$C$73,2,FALSE),"NA")</f>
        <v>Mason/Thurston</v>
      </c>
      <c r="J1507" s="108" t="str">
        <f>IFERROR(VLOOKUP(H1507,LUTs!$A$1:$C$73,3,FALSE),"NA")</f>
        <v>3South Puget Sound</v>
      </c>
      <c r="K1507" s="108" t="s">
        <v>26</v>
      </c>
      <c r="L1507" s="108" t="str">
        <f>VLOOKUP(K1507,LUTs!E$2:G$14,3,)</f>
        <v>20Other</v>
      </c>
      <c r="M1507" s="108" t="str">
        <f>VLOOKUP($K1507,LUTs!$E$2:$H$14,2,)</f>
        <v>Non Puget Sound</v>
      </c>
      <c r="N1507" s="108" t="str">
        <f>VLOOKUP($K1507,LUTs!$E$2:$H$14,4,)</f>
        <v>07Non Puget Sound</v>
      </c>
      <c r="O1507" s="108">
        <v>45.909090909090899</v>
      </c>
      <c r="P1507" s="108">
        <v>157.92727272727299</v>
      </c>
      <c r="Q1507" s="108">
        <f>SUMIFS('FW_Salmon_by_Month_2010-2021'!P$2:P$3810,'FW_Salmon_by_Month_2010-2021'!$B$2:$B$3810,'Rec_raw_catch_effort_2010-2021'!$B1507,'FW_Salmon_by_Month_2010-2021'!$H$2:$H$3810,'Rec_raw_catch_effort_2010-2021'!$F1507,'FW_Salmon_by_Month_2010-2021'!$M$2:$M$3810,'Rec_raw_catch_effort_2010-2021'!$K1507)</f>
        <v>45.963636363636397</v>
      </c>
      <c r="R1507" s="109">
        <f>VLOOKUP(B1507,Readme!$A$62:$C$74,2,)*Q1507</f>
        <v>162.66716785036277</v>
      </c>
      <c r="S1507" s="140" t="str">
        <f t="shared" si="133"/>
        <v>Y</v>
      </c>
      <c r="T1507" s="154">
        <f t="shared" si="134"/>
        <v>3.4400000000000066</v>
      </c>
      <c r="U1507" s="154">
        <f t="shared" si="135"/>
        <v>3.5390404397824153</v>
      </c>
    </row>
    <row r="1508" spans="1:21" x14ac:dyDescent="0.35">
      <c r="A1508" s="108">
        <v>867</v>
      </c>
      <c r="B1508" s="108">
        <v>2015</v>
      </c>
      <c r="C1508" s="108" t="s">
        <v>38</v>
      </c>
      <c r="D1508" s="108" t="s">
        <v>143</v>
      </c>
      <c r="E1508" s="108" t="s">
        <v>10</v>
      </c>
      <c r="F1508" s="116">
        <v>754</v>
      </c>
      <c r="G1508" s="108" t="s">
        <v>47</v>
      </c>
      <c r="H1508" s="108" t="str">
        <f t="shared" si="132"/>
        <v>Kennedy Creek</v>
      </c>
      <c r="I1508" s="108" t="str">
        <f>IFERROR(VLOOKUP(H1508,LUTs!$A$1:$C$73,2,FALSE),"NA")</f>
        <v>Mason/Thurston</v>
      </c>
      <c r="J1508" s="108" t="str">
        <f>IFERROR(VLOOKUP(H1508,LUTs!$A$1:$C$73,3,FALSE),"NA")</f>
        <v>3South Puget Sound</v>
      </c>
      <c r="K1508" s="108" t="s">
        <v>20</v>
      </c>
      <c r="L1508" s="108" t="str">
        <f>VLOOKUP(K1508,LUTs!E$2:G$14,3,)</f>
        <v>07Pierce</v>
      </c>
      <c r="M1508" s="108" t="str">
        <f>VLOOKUP($K1508,LUTs!$E$2:$H$14,2,)</f>
        <v>South Puget Sound</v>
      </c>
      <c r="N1508" s="108" t="str">
        <f>VLOOKUP($K1508,LUTs!$E$2:$H$14,4,)</f>
        <v>02South Puget Sound</v>
      </c>
      <c r="O1508" s="108">
        <v>91.818181818181799</v>
      </c>
      <c r="P1508" s="108">
        <v>315.85454545454502</v>
      </c>
      <c r="Q1508" s="108">
        <f>SUMIFS('FW_Salmon_by_Month_2010-2021'!P$2:P$3810,'FW_Salmon_by_Month_2010-2021'!$B$2:$B$3810,'Rec_raw_catch_effort_2010-2021'!$B1508,'FW_Salmon_by_Month_2010-2021'!$H$2:$H$3810,'Rec_raw_catch_effort_2010-2021'!$F1508,'FW_Salmon_by_Month_2010-2021'!$M$2:$M$3810,'Rec_raw_catch_effort_2010-2021'!$K1508)</f>
        <v>91.745454545454606</v>
      </c>
      <c r="R1508" s="109">
        <f>VLOOKUP(B1508,Readme!$A$62:$C$74,2,)*Q1508</f>
        <v>324.69087380258327</v>
      </c>
      <c r="S1508" s="140" t="str">
        <f t="shared" si="133"/>
        <v>Y</v>
      </c>
      <c r="T1508" s="154">
        <f t="shared" si="134"/>
        <v>3.4399999999999959</v>
      </c>
      <c r="U1508" s="154">
        <f t="shared" si="135"/>
        <v>3.5390404397824153</v>
      </c>
    </row>
    <row r="1509" spans="1:21" x14ac:dyDescent="0.35">
      <c r="A1509" s="108">
        <v>868</v>
      </c>
      <c r="B1509" s="108">
        <v>2015</v>
      </c>
      <c r="C1509" s="108" t="s">
        <v>38</v>
      </c>
      <c r="D1509" s="108" t="s">
        <v>143</v>
      </c>
      <c r="E1509" s="108" t="s">
        <v>10</v>
      </c>
      <c r="F1509" s="116">
        <v>754</v>
      </c>
      <c r="G1509" s="108" t="s">
        <v>47</v>
      </c>
      <c r="H1509" s="108" t="str">
        <f t="shared" si="132"/>
        <v>Kennedy Creek</v>
      </c>
      <c r="I1509" s="108" t="str">
        <f>IFERROR(VLOOKUP(H1509,LUTs!$A$1:$C$73,2,FALSE),"NA")</f>
        <v>Mason/Thurston</v>
      </c>
      <c r="J1509" s="108" t="str">
        <f>IFERROR(VLOOKUP(H1509,LUTs!$A$1:$C$73,3,FALSE),"NA")</f>
        <v>3South Puget Sound</v>
      </c>
      <c r="K1509" s="108" t="s">
        <v>21</v>
      </c>
      <c r="L1509" s="108" t="str">
        <f>VLOOKUP(K1509,LUTs!E$2:G$14,3,)</f>
        <v>08Thurston</v>
      </c>
      <c r="M1509" s="108" t="str">
        <f>VLOOKUP($K1509,LUTs!$E$2:$H$14,2,)</f>
        <v>South Puget Sound</v>
      </c>
      <c r="N1509" s="108" t="str">
        <f>VLOOKUP($K1509,LUTs!$E$2:$H$14,4,)</f>
        <v>02South Puget Sound</v>
      </c>
      <c r="O1509" s="108">
        <v>64.272727272727295</v>
      </c>
      <c r="P1509" s="108">
        <v>221.09818181818201</v>
      </c>
      <c r="Q1509" s="108">
        <f>SUMIFS('FW_Salmon_by_Month_2010-2021'!P$2:P$3810,'FW_Salmon_by_Month_2010-2021'!$B$2:$B$3810,'Rec_raw_catch_effort_2010-2021'!$B1509,'FW_Salmon_by_Month_2010-2021'!$H$2:$H$3810,'Rec_raw_catch_effort_2010-2021'!$F1509,'FW_Salmon_by_Month_2010-2021'!$M$2:$M$3810,'Rec_raw_catch_effort_2010-2021'!$K1509)</f>
        <v>64.290909090909096</v>
      </c>
      <c r="R1509" s="109">
        <f>VLOOKUP(B1509,Readme!$A$62:$C$74,2,)*Q1509</f>
        <v>227.52812718310221</v>
      </c>
      <c r="S1509" s="140" t="str">
        <f t="shared" si="133"/>
        <v>Y</v>
      </c>
      <c r="T1509" s="154">
        <f t="shared" si="134"/>
        <v>3.4400000000000017</v>
      </c>
      <c r="U1509" s="154">
        <f t="shared" si="135"/>
        <v>3.5390404397824153</v>
      </c>
    </row>
    <row r="1510" spans="1:21" x14ac:dyDescent="0.35">
      <c r="A1510" s="108">
        <v>870</v>
      </c>
      <c r="B1510" s="108">
        <v>2016</v>
      </c>
      <c r="C1510" s="108" t="s">
        <v>38</v>
      </c>
      <c r="D1510" s="108" t="s">
        <v>143</v>
      </c>
      <c r="E1510" s="108" t="s">
        <v>10</v>
      </c>
      <c r="F1510" s="116">
        <v>754</v>
      </c>
      <c r="G1510" s="108" t="s">
        <v>47</v>
      </c>
      <c r="H1510" s="108" t="str">
        <f t="shared" si="132"/>
        <v>Kennedy Creek</v>
      </c>
      <c r="I1510" s="108" t="str">
        <f>IFERROR(VLOOKUP(H1510,LUTs!$A$1:$C$73,2,FALSE),"NA")</f>
        <v>Mason/Thurston</v>
      </c>
      <c r="J1510" s="108" t="str">
        <f>IFERROR(VLOOKUP(H1510,LUTs!$A$1:$C$73,3,FALSE),"NA")</f>
        <v>3South Puget Sound</v>
      </c>
      <c r="K1510" s="108" t="s">
        <v>18</v>
      </c>
      <c r="L1510" s="108" t="str">
        <f>VLOOKUP(K1510,LUTs!E$2:G$14,3,)</f>
        <v>06King</v>
      </c>
      <c r="M1510" s="108" t="str">
        <f>VLOOKUP($K1510,LUTs!$E$2:$H$14,2,)</f>
        <v>South Puget Sound</v>
      </c>
      <c r="N1510" s="108" t="str">
        <f>VLOOKUP($K1510,LUTs!$E$2:$H$14,4,)</f>
        <v>02South Puget Sound</v>
      </c>
      <c r="O1510" s="108">
        <v>49.571428571428598</v>
      </c>
      <c r="P1510" s="108">
        <v>428.79285714285697</v>
      </c>
      <c r="Q1510" s="108">
        <f>SUMIFS('FW_Salmon_by_Month_2010-2021'!P$2:P$3810,'FW_Salmon_by_Month_2010-2021'!$B$2:$B$3810,'Rec_raw_catch_effort_2010-2021'!$B1510,'FW_Salmon_by_Month_2010-2021'!$H$2:$H$3810,'Rec_raw_catch_effort_2010-2021'!$F1510,'FW_Salmon_by_Month_2010-2021'!$M$2:$M$3810,'Rec_raw_catch_effort_2010-2021'!$K1510)</f>
        <v>40.827586206896598</v>
      </c>
      <c r="R1510" s="109">
        <f>VLOOKUP(B1510,Readme!$A$62:$C$74,2,)*Q1510</f>
        <v>196.77079332655327</v>
      </c>
      <c r="S1510" s="140" t="str">
        <f t="shared" si="133"/>
        <v>Y</v>
      </c>
      <c r="T1510" s="154">
        <f t="shared" si="134"/>
        <v>8.6499999999999915</v>
      </c>
      <c r="U1510" s="154">
        <f t="shared" si="135"/>
        <v>4.8195549041132084</v>
      </c>
    </row>
    <row r="1511" spans="1:21" x14ac:dyDescent="0.35">
      <c r="A1511" s="108">
        <v>873</v>
      </c>
      <c r="B1511" s="108">
        <v>2016</v>
      </c>
      <c r="C1511" s="108" t="s">
        <v>38</v>
      </c>
      <c r="D1511" s="108" t="s">
        <v>143</v>
      </c>
      <c r="E1511" s="108" t="s">
        <v>10</v>
      </c>
      <c r="F1511" s="116">
        <v>754</v>
      </c>
      <c r="G1511" s="108" t="s">
        <v>47</v>
      </c>
      <c r="H1511" s="108" t="str">
        <f t="shared" si="132"/>
        <v>Kennedy Creek</v>
      </c>
      <c r="I1511" s="108" t="str">
        <f>IFERROR(VLOOKUP(H1511,LUTs!$A$1:$C$73,2,FALSE),"NA")</f>
        <v>Mason/Thurston</v>
      </c>
      <c r="J1511" s="108" t="str">
        <f>IFERROR(VLOOKUP(H1511,LUTs!$A$1:$C$73,3,FALSE),"NA")</f>
        <v>3South Puget Sound</v>
      </c>
      <c r="K1511" s="108" t="s">
        <v>22</v>
      </c>
      <c r="L1511" s="108" t="str">
        <f>VLOOKUP(K1511,LUTs!E$2:G$14,3,)</f>
        <v>09Mason</v>
      </c>
      <c r="M1511" s="108" t="str">
        <f>VLOOKUP($K1511,LUTs!$E$2:$H$14,2,)</f>
        <v>South Puget Sound</v>
      </c>
      <c r="N1511" s="108" t="str">
        <f>VLOOKUP($K1511,LUTs!$E$2:$H$14,4,)</f>
        <v>02South Puget Sound</v>
      </c>
      <c r="O1511" s="108">
        <v>9.9142857142857199</v>
      </c>
      <c r="P1511" s="108">
        <v>85.7585714285715</v>
      </c>
      <c r="Q1511" s="108">
        <f>SUMIFS('FW_Salmon_by_Month_2010-2021'!P$2:P$3810,'FW_Salmon_by_Month_2010-2021'!$B$2:$B$3810,'Rec_raw_catch_effort_2010-2021'!$B1511,'FW_Salmon_by_Month_2010-2021'!$H$2:$H$3810,'Rec_raw_catch_effort_2010-2021'!$F1511,'FW_Salmon_by_Month_2010-2021'!$M$2:$M$3810,'Rec_raw_catch_effort_2010-2021'!$K1511)</f>
        <v>10.2068965517241</v>
      </c>
      <c r="R1511" s="109">
        <f>VLOOKUP(B1511,Readme!$A$62:$C$74,2,)*Q1511</f>
        <v>49.192698331638084</v>
      </c>
      <c r="S1511" s="140" t="str">
        <f t="shared" si="133"/>
        <v>Y</v>
      </c>
      <c r="T1511" s="154">
        <f t="shared" si="134"/>
        <v>8.6500000000000021</v>
      </c>
      <c r="U1511" s="154">
        <f t="shared" si="135"/>
        <v>4.8195549041132084</v>
      </c>
    </row>
    <row r="1512" spans="1:21" x14ac:dyDescent="0.35">
      <c r="A1512" s="108">
        <v>874</v>
      </c>
      <c r="B1512" s="108">
        <v>2016</v>
      </c>
      <c r="C1512" s="108" t="s">
        <v>38</v>
      </c>
      <c r="D1512" s="108" t="s">
        <v>143</v>
      </c>
      <c r="E1512" s="108" t="s">
        <v>10</v>
      </c>
      <c r="F1512" s="116">
        <v>754</v>
      </c>
      <c r="G1512" s="108" t="s">
        <v>47</v>
      </c>
      <c r="H1512" s="108" t="str">
        <f t="shared" si="132"/>
        <v>Kennedy Creek</v>
      </c>
      <c r="I1512" s="108" t="str">
        <f>IFERROR(VLOOKUP(H1512,LUTs!$A$1:$C$73,2,FALSE),"NA")</f>
        <v>Mason/Thurston</v>
      </c>
      <c r="J1512" s="108" t="str">
        <f>IFERROR(VLOOKUP(H1512,LUTs!$A$1:$C$73,3,FALSE),"NA")</f>
        <v>3South Puget Sound</v>
      </c>
      <c r="K1512" s="108" t="s">
        <v>26</v>
      </c>
      <c r="L1512" s="108" t="str">
        <f>VLOOKUP(K1512,LUTs!E$2:G$14,3,)</f>
        <v>20Other</v>
      </c>
      <c r="M1512" s="108" t="str">
        <f>VLOOKUP($K1512,LUTs!$E$2:$H$14,2,)</f>
        <v>Non Puget Sound</v>
      </c>
      <c r="N1512" s="108" t="str">
        <f>VLOOKUP($K1512,LUTs!$E$2:$H$14,4,)</f>
        <v>07Non Puget Sound</v>
      </c>
      <c r="O1512" s="108">
        <v>19.828571428571401</v>
      </c>
      <c r="P1512" s="108">
        <v>171.517142857143</v>
      </c>
      <c r="Q1512" s="108">
        <f>SUMIFS('FW_Salmon_by_Month_2010-2021'!P$2:P$3810,'FW_Salmon_by_Month_2010-2021'!$B$2:$B$3810,'Rec_raw_catch_effort_2010-2021'!$B1512,'FW_Salmon_by_Month_2010-2021'!$H$2:$H$3810,'Rec_raw_catch_effort_2010-2021'!$F1512,'FW_Salmon_by_Month_2010-2021'!$M$2:$M$3810,'Rec_raw_catch_effort_2010-2021'!$K1512)</f>
        <v>20.406896551724099</v>
      </c>
      <c r="R1512" s="109">
        <f>VLOOKUP(B1512,Readme!$A$62:$C$74,2,)*Q1512</f>
        <v>98.352158353592799</v>
      </c>
      <c r="S1512" s="140" t="str">
        <f t="shared" si="133"/>
        <v>Y</v>
      </c>
      <c r="T1512" s="154">
        <f t="shared" si="134"/>
        <v>8.6500000000000199</v>
      </c>
      <c r="U1512" s="154">
        <f t="shared" si="135"/>
        <v>4.8195549041132084</v>
      </c>
    </row>
    <row r="1513" spans="1:21" x14ac:dyDescent="0.35">
      <c r="A1513" s="108">
        <v>871</v>
      </c>
      <c r="B1513" s="108">
        <v>2016</v>
      </c>
      <c r="C1513" s="108" t="s">
        <v>38</v>
      </c>
      <c r="D1513" s="108" t="s">
        <v>143</v>
      </c>
      <c r="E1513" s="108" t="s">
        <v>10</v>
      </c>
      <c r="F1513" s="116">
        <v>754</v>
      </c>
      <c r="G1513" s="108" t="s">
        <v>47</v>
      </c>
      <c r="H1513" s="108" t="str">
        <f t="shared" si="132"/>
        <v>Kennedy Creek</v>
      </c>
      <c r="I1513" s="108" t="str">
        <f>IFERROR(VLOOKUP(H1513,LUTs!$A$1:$C$73,2,FALSE),"NA")</f>
        <v>Mason/Thurston</v>
      </c>
      <c r="J1513" s="108" t="str">
        <f>IFERROR(VLOOKUP(H1513,LUTs!$A$1:$C$73,3,FALSE),"NA")</f>
        <v>3South Puget Sound</v>
      </c>
      <c r="K1513" s="108" t="s">
        <v>20</v>
      </c>
      <c r="L1513" s="108" t="str">
        <f>VLOOKUP(K1513,LUTs!E$2:G$14,3,)</f>
        <v>07Pierce</v>
      </c>
      <c r="M1513" s="108" t="str">
        <f>VLOOKUP($K1513,LUTs!$E$2:$H$14,2,)</f>
        <v>South Puget Sound</v>
      </c>
      <c r="N1513" s="108" t="str">
        <f>VLOOKUP($K1513,LUTs!$E$2:$H$14,4,)</f>
        <v>02South Puget Sound</v>
      </c>
      <c r="O1513" s="108">
        <v>29.742857142857201</v>
      </c>
      <c r="P1513" s="108">
        <v>257.27571428571503</v>
      </c>
      <c r="Q1513" s="108">
        <f>SUMIFS('FW_Salmon_by_Month_2010-2021'!P$2:P$3810,'FW_Salmon_by_Month_2010-2021'!$B$2:$B$3810,'Rec_raw_catch_effort_2010-2021'!$B1513,'FW_Salmon_by_Month_2010-2021'!$H$2:$H$3810,'Rec_raw_catch_effort_2010-2021'!$F1513,'FW_Salmon_by_Month_2010-2021'!$M$2:$M$3810,'Rec_raw_catch_effort_2010-2021'!$K1513)</f>
        <v>30.620689655172399</v>
      </c>
      <c r="R1513" s="109">
        <f>VLOOKUP(B1513,Readme!$A$62:$C$74,2,)*Q1513</f>
        <v>147.57809499491472</v>
      </c>
      <c r="S1513" s="140" t="str">
        <f t="shared" si="133"/>
        <v>Y</v>
      </c>
      <c r="T1513" s="154">
        <f t="shared" si="134"/>
        <v>8.6500000000000075</v>
      </c>
      <c r="U1513" s="154">
        <f t="shared" si="135"/>
        <v>4.8195549041132084</v>
      </c>
    </row>
    <row r="1514" spans="1:21" x14ac:dyDescent="0.35">
      <c r="A1514" s="108">
        <v>872</v>
      </c>
      <c r="B1514" s="108">
        <v>2016</v>
      </c>
      <c r="C1514" s="108" t="s">
        <v>38</v>
      </c>
      <c r="D1514" s="108" t="s">
        <v>143</v>
      </c>
      <c r="E1514" s="108" t="s">
        <v>10</v>
      </c>
      <c r="F1514" s="116">
        <v>754</v>
      </c>
      <c r="G1514" s="108" t="s">
        <v>47</v>
      </c>
      <c r="H1514" s="108" t="str">
        <f t="shared" si="132"/>
        <v>Kennedy Creek</v>
      </c>
      <c r="I1514" s="108" t="str">
        <f>IFERROR(VLOOKUP(H1514,LUTs!$A$1:$C$73,2,FALSE),"NA")</f>
        <v>Mason/Thurston</v>
      </c>
      <c r="J1514" s="108" t="str">
        <f>IFERROR(VLOOKUP(H1514,LUTs!$A$1:$C$73,3,FALSE),"NA")</f>
        <v>3South Puget Sound</v>
      </c>
      <c r="K1514" s="108" t="s">
        <v>21</v>
      </c>
      <c r="L1514" s="108" t="str">
        <f>VLOOKUP(K1514,LUTs!E$2:G$14,3,)</f>
        <v>08Thurston</v>
      </c>
      <c r="M1514" s="108" t="str">
        <f>VLOOKUP($K1514,LUTs!$E$2:$H$14,2,)</f>
        <v>South Puget Sound</v>
      </c>
      <c r="N1514" s="108" t="str">
        <f>VLOOKUP($K1514,LUTs!$E$2:$H$14,4,)</f>
        <v>02South Puget Sound</v>
      </c>
      <c r="O1514" s="108">
        <v>237.94285714285701</v>
      </c>
      <c r="P1514" s="108">
        <v>2058.2057142857102</v>
      </c>
      <c r="Q1514" s="108">
        <f>SUMIFS('FW_Salmon_by_Month_2010-2021'!P$2:P$3810,'FW_Salmon_by_Month_2010-2021'!$B$2:$B$3810,'Rec_raw_catch_effort_2010-2021'!$B1514,'FW_Salmon_by_Month_2010-2021'!$H$2:$H$3810,'Rec_raw_catch_effort_2010-2021'!$F1514,'FW_Salmon_by_Month_2010-2021'!$M$2:$M$3810,'Rec_raw_catch_effort_2010-2021'!$K1514)</f>
        <v>244.93793103448297</v>
      </c>
      <c r="R1514" s="109">
        <f>VLOOKUP(B1514,Readme!$A$62:$C$74,2,)*Q1514</f>
        <v>1180.4918067205851</v>
      </c>
      <c r="S1514" s="140" t="str">
        <f t="shared" si="133"/>
        <v>Y</v>
      </c>
      <c r="T1514" s="154">
        <f t="shared" si="134"/>
        <v>8.6499999999999879</v>
      </c>
      <c r="U1514" s="154">
        <f t="shared" si="135"/>
        <v>4.8195549041132084</v>
      </c>
    </row>
    <row r="1515" spans="1:21" x14ac:dyDescent="0.35">
      <c r="A1515" s="108">
        <v>957</v>
      </c>
      <c r="B1515" s="108">
        <v>2017</v>
      </c>
      <c r="C1515" s="108" t="s">
        <v>38</v>
      </c>
      <c r="D1515" s="108" t="s">
        <v>143</v>
      </c>
      <c r="E1515" s="108" t="s">
        <v>10</v>
      </c>
      <c r="F1515" s="116">
        <v>754</v>
      </c>
      <c r="G1515" s="108" t="s">
        <v>47</v>
      </c>
      <c r="H1515" s="108" t="str">
        <f t="shared" si="132"/>
        <v>Kennedy Creek</v>
      </c>
      <c r="I1515" s="108" t="str">
        <f>IFERROR(VLOOKUP(H1515,LUTs!$A$1:$C$73,2,FALSE),"NA")</f>
        <v>Mason/Thurston</v>
      </c>
      <c r="J1515" s="108" t="str">
        <f>IFERROR(VLOOKUP(H1515,LUTs!$A$1:$C$73,3,FALSE),"NA")</f>
        <v>3South Puget Sound</v>
      </c>
      <c r="K1515" s="108" t="s">
        <v>22</v>
      </c>
      <c r="L1515" s="108" t="str">
        <f>VLOOKUP(K1515,LUTs!E$2:G$14,3,)</f>
        <v>09Mason</v>
      </c>
      <c r="M1515" s="108" t="str">
        <f>VLOOKUP($K1515,LUTs!$E$2:$H$14,2,)</f>
        <v>South Puget Sound</v>
      </c>
      <c r="N1515" s="108" t="str">
        <f>VLOOKUP($K1515,LUTs!$E$2:$H$14,4,)</f>
        <v>02South Puget Sound</v>
      </c>
      <c r="O1515" s="108">
        <v>20.6666666666667</v>
      </c>
      <c r="P1515" s="108">
        <v>71.093333333333405</v>
      </c>
      <c r="Q1515" s="108">
        <f>SUMIFS('FW_Salmon_by_Month_2010-2021'!P$2:P$3810,'FW_Salmon_by_Month_2010-2021'!$B$2:$B$3810,'Rec_raw_catch_effort_2010-2021'!$B1515,'FW_Salmon_by_Month_2010-2021'!$H$2:$H$3810,'Rec_raw_catch_effort_2010-2021'!$F1515,'FW_Salmon_by_Month_2010-2021'!$M$2:$M$3810,'Rec_raw_catch_effort_2010-2021'!$K1515)</f>
        <v>24.6666666666667</v>
      </c>
      <c r="R1515" s="109">
        <f>VLOOKUP(B1515,Readme!$A$62:$C$74,2,)*Q1515</f>
        <v>87.29633084796636</v>
      </c>
      <c r="S1515" s="140" t="str">
        <f t="shared" si="133"/>
        <v>Y</v>
      </c>
      <c r="T1515" s="154">
        <f t="shared" si="134"/>
        <v>3.4399999999999977</v>
      </c>
      <c r="U1515" s="154">
        <f t="shared" si="135"/>
        <v>3.5390404397824153</v>
      </c>
    </row>
    <row r="1516" spans="1:21" x14ac:dyDescent="0.35">
      <c r="A1516" s="108">
        <v>875</v>
      </c>
      <c r="B1516" s="108">
        <v>2017</v>
      </c>
      <c r="C1516" s="108" t="s">
        <v>38</v>
      </c>
      <c r="D1516" s="108" t="s">
        <v>143</v>
      </c>
      <c r="E1516" s="108" t="s">
        <v>10</v>
      </c>
      <c r="F1516" s="116">
        <v>754</v>
      </c>
      <c r="G1516" s="108" t="s">
        <v>47</v>
      </c>
      <c r="H1516" s="108" t="str">
        <f t="shared" si="132"/>
        <v>Kennedy Creek</v>
      </c>
      <c r="I1516" s="108" t="str">
        <f>IFERROR(VLOOKUP(H1516,LUTs!$A$1:$C$73,2,FALSE),"NA")</f>
        <v>Mason/Thurston</v>
      </c>
      <c r="J1516" s="108" t="str">
        <f>IFERROR(VLOOKUP(H1516,LUTs!$A$1:$C$73,3,FALSE),"NA")</f>
        <v>3South Puget Sound</v>
      </c>
      <c r="K1516" s="108" t="s">
        <v>20</v>
      </c>
      <c r="L1516" s="108" t="str">
        <f>VLOOKUP(K1516,LUTs!E$2:G$14,3,)</f>
        <v>07Pierce</v>
      </c>
      <c r="M1516" s="108" t="str">
        <f>VLOOKUP($K1516,LUTs!$E$2:$H$14,2,)</f>
        <v>South Puget Sound</v>
      </c>
      <c r="N1516" s="108" t="str">
        <f>VLOOKUP($K1516,LUTs!$E$2:$H$14,4,)</f>
        <v>02South Puget Sound</v>
      </c>
      <c r="O1516" s="108">
        <v>31</v>
      </c>
      <c r="P1516" s="108">
        <v>106.64</v>
      </c>
      <c r="Q1516" s="108">
        <f>SUMIFS('FW_Salmon_by_Month_2010-2021'!P$2:P$3810,'FW_Salmon_by_Month_2010-2021'!$B$2:$B$3810,'Rec_raw_catch_effort_2010-2021'!$B1516,'FW_Salmon_by_Month_2010-2021'!$H$2:$H$3810,'Rec_raw_catch_effort_2010-2021'!$F1516,'FW_Salmon_by_Month_2010-2021'!$M$2:$M$3810,'Rec_raw_catch_effort_2010-2021'!$K1516)</f>
        <v>37.3333333333333</v>
      </c>
      <c r="R1516" s="109">
        <f>VLOOKUP(B1516,Readme!$A$62:$C$74,2,)*Q1516</f>
        <v>132.12417641854339</v>
      </c>
      <c r="S1516" s="140" t="str">
        <f t="shared" si="133"/>
        <v>Y</v>
      </c>
      <c r="T1516" s="154">
        <f t="shared" si="134"/>
        <v>3.44</v>
      </c>
      <c r="U1516" s="154">
        <f t="shared" si="135"/>
        <v>3.5390404397824153</v>
      </c>
    </row>
    <row r="1517" spans="1:21" x14ac:dyDescent="0.35">
      <c r="A1517" s="108">
        <v>876</v>
      </c>
      <c r="B1517" s="108">
        <v>2017</v>
      </c>
      <c r="C1517" s="108" t="s">
        <v>38</v>
      </c>
      <c r="D1517" s="108" t="s">
        <v>143</v>
      </c>
      <c r="E1517" s="108" t="s">
        <v>10</v>
      </c>
      <c r="F1517" s="116">
        <v>754</v>
      </c>
      <c r="G1517" s="108" t="s">
        <v>47</v>
      </c>
      <c r="H1517" s="108" t="str">
        <f t="shared" si="132"/>
        <v>Kennedy Creek</v>
      </c>
      <c r="I1517" s="108" t="str">
        <f>IFERROR(VLOOKUP(H1517,LUTs!$A$1:$C$73,2,FALSE),"NA")</f>
        <v>Mason/Thurston</v>
      </c>
      <c r="J1517" s="108" t="str">
        <f>IFERROR(VLOOKUP(H1517,LUTs!$A$1:$C$73,3,FALSE),"NA")</f>
        <v>3South Puget Sound</v>
      </c>
      <c r="K1517" s="108" t="s">
        <v>21</v>
      </c>
      <c r="L1517" s="108" t="str">
        <f>VLOOKUP(K1517,LUTs!E$2:G$14,3,)</f>
        <v>08Thurston</v>
      </c>
      <c r="M1517" s="108" t="str">
        <f>VLOOKUP($K1517,LUTs!$E$2:$H$14,2,)</f>
        <v>South Puget Sound</v>
      </c>
      <c r="N1517" s="108" t="str">
        <f>VLOOKUP($K1517,LUTs!$E$2:$H$14,4,)</f>
        <v>02South Puget Sound</v>
      </c>
      <c r="O1517" s="108">
        <v>10.3333333333333</v>
      </c>
      <c r="P1517" s="108">
        <v>35.546666666666603</v>
      </c>
      <c r="Q1517" s="108">
        <f>SUMIFS('FW_Salmon_by_Month_2010-2021'!P$2:P$3810,'FW_Salmon_by_Month_2010-2021'!$B$2:$B$3810,'Rec_raw_catch_effort_2010-2021'!$B1517,'FW_Salmon_by_Month_2010-2021'!$H$2:$H$3810,'Rec_raw_catch_effort_2010-2021'!$F1517,'FW_Salmon_by_Month_2010-2021'!$M$2:$M$3810,'Rec_raw_catch_effort_2010-2021'!$K1517)</f>
        <v>0</v>
      </c>
      <c r="R1517" s="109">
        <f>VLOOKUP(B1517,Readme!$A$62:$C$74,2,)*Q1517</f>
        <v>0</v>
      </c>
      <c r="S1517" s="140" t="str">
        <f t="shared" si="133"/>
        <v>Y</v>
      </c>
      <c r="T1517" s="154">
        <f t="shared" si="134"/>
        <v>3.4400000000000048</v>
      </c>
      <c r="U1517" s="154" t="str">
        <f t="shared" si="135"/>
        <v>NA</v>
      </c>
    </row>
    <row r="1518" spans="1:21" x14ac:dyDescent="0.35">
      <c r="A1518" s="108">
        <v>958</v>
      </c>
      <c r="B1518" s="108">
        <v>2018</v>
      </c>
      <c r="C1518" s="108" t="s">
        <v>38</v>
      </c>
      <c r="D1518" s="108" t="s">
        <v>143</v>
      </c>
      <c r="E1518" s="108" t="s">
        <v>10</v>
      </c>
      <c r="F1518" s="116">
        <v>754</v>
      </c>
      <c r="G1518" s="108" t="s">
        <v>47</v>
      </c>
      <c r="H1518" s="108" t="str">
        <f t="shared" si="132"/>
        <v>Kennedy Creek</v>
      </c>
      <c r="I1518" s="108" t="str">
        <f>IFERROR(VLOOKUP(H1518,LUTs!$A$1:$C$73,2,FALSE),"NA")</f>
        <v>Mason/Thurston</v>
      </c>
      <c r="J1518" s="108" t="str">
        <f>IFERROR(VLOOKUP(H1518,LUTs!$A$1:$C$73,3,FALSE),"NA")</f>
        <v>3South Puget Sound</v>
      </c>
      <c r="K1518" s="108" t="s">
        <v>20</v>
      </c>
      <c r="L1518" s="108" t="str">
        <f>VLOOKUP(K1518,LUTs!E$2:G$14,3,)</f>
        <v>07Pierce</v>
      </c>
      <c r="M1518" s="108" t="str">
        <f>VLOOKUP($K1518,LUTs!$E$2:$H$14,2,)</f>
        <v>South Puget Sound</v>
      </c>
      <c r="N1518" s="108" t="str">
        <f>VLOOKUP($K1518,LUTs!$E$2:$H$14,4,)</f>
        <v>02South Puget Sound</v>
      </c>
      <c r="O1518" s="108">
        <v>221.157894736842</v>
      </c>
      <c r="P1518" s="108">
        <v>1913.0157894736799</v>
      </c>
      <c r="Q1518" s="108">
        <f>SUMIFS('FW_Salmon_by_Month_2010-2021'!P$2:P$3810,'FW_Salmon_by_Month_2010-2021'!$B$2:$B$3810,'Rec_raw_catch_effort_2010-2021'!$B1518,'FW_Salmon_by_Month_2010-2021'!$H$2:$H$3810,'Rec_raw_catch_effort_2010-2021'!$F1518,'FW_Salmon_by_Month_2010-2021'!$M$2:$M$3810,'Rec_raw_catch_effort_2010-2021'!$K1518)</f>
        <v>221.21428571428601</v>
      </c>
      <c r="R1518" s="109">
        <f>VLOOKUP(B1518,Readme!$A$62:$C$74,2,)*Q1518</f>
        <v>1066.1543955741877</v>
      </c>
      <c r="S1518" s="140" t="str">
        <f t="shared" si="133"/>
        <v>Y</v>
      </c>
      <c r="T1518" s="154">
        <f t="shared" si="134"/>
        <v>8.6499999999999844</v>
      </c>
      <c r="U1518" s="154">
        <f t="shared" si="135"/>
        <v>4.8195549041132084</v>
      </c>
    </row>
    <row r="1519" spans="1:21" x14ac:dyDescent="0.35">
      <c r="A1519" s="108">
        <v>959</v>
      </c>
      <c r="B1519" s="108">
        <v>2018</v>
      </c>
      <c r="C1519" s="108" t="s">
        <v>38</v>
      </c>
      <c r="D1519" s="108" t="s">
        <v>143</v>
      </c>
      <c r="E1519" s="108" t="s">
        <v>10</v>
      </c>
      <c r="F1519" s="116">
        <v>754</v>
      </c>
      <c r="G1519" s="108" t="s">
        <v>47</v>
      </c>
      <c r="H1519" s="108" t="str">
        <f t="shared" si="132"/>
        <v>Kennedy Creek</v>
      </c>
      <c r="I1519" s="108" t="str">
        <f>IFERROR(VLOOKUP(H1519,LUTs!$A$1:$C$73,2,FALSE),"NA")</f>
        <v>Mason/Thurston</v>
      </c>
      <c r="J1519" s="108" t="str">
        <f>IFERROR(VLOOKUP(H1519,LUTs!$A$1:$C$73,3,FALSE),"NA")</f>
        <v>3South Puget Sound</v>
      </c>
      <c r="K1519" s="108" t="s">
        <v>21</v>
      </c>
      <c r="L1519" s="108" t="str">
        <f>VLOOKUP(K1519,LUTs!E$2:G$14,3,)</f>
        <v>08Thurston</v>
      </c>
      <c r="M1519" s="108" t="str">
        <f>VLOOKUP($K1519,LUTs!$E$2:$H$14,2,)</f>
        <v>South Puget Sound</v>
      </c>
      <c r="N1519" s="108" t="str">
        <f>VLOOKUP($K1519,LUTs!$E$2:$H$14,4,)</f>
        <v>02South Puget Sound</v>
      </c>
      <c r="O1519" s="108">
        <v>160.842105263158</v>
      </c>
      <c r="P1519" s="108">
        <v>1391.2842105263201</v>
      </c>
      <c r="Q1519" s="108">
        <f>SUMIFS('FW_Salmon_by_Month_2010-2021'!P$2:P$3810,'FW_Salmon_by_Month_2010-2021'!$B$2:$B$3810,'Rec_raw_catch_effort_2010-2021'!$B1519,'FW_Salmon_by_Month_2010-2021'!$H$2:$H$3810,'Rec_raw_catch_effort_2010-2021'!$F1519,'FW_Salmon_by_Month_2010-2021'!$M$2:$M$3810,'Rec_raw_catch_effort_2010-2021'!$K1519)</f>
        <v>160.78571428571431</v>
      </c>
      <c r="R1519" s="109">
        <f>VLOOKUP(B1519,Readme!$A$62:$C$74,2,)*Q1519</f>
        <v>774.91557779705954</v>
      </c>
      <c r="S1519" s="140" t="str">
        <f t="shared" si="133"/>
        <v>Y</v>
      </c>
      <c r="T1519" s="154">
        <f t="shared" si="134"/>
        <v>8.6500000000000199</v>
      </c>
      <c r="U1519" s="154">
        <f t="shared" si="135"/>
        <v>4.8195549041132084</v>
      </c>
    </row>
    <row r="1520" spans="1:21" x14ac:dyDescent="0.35">
      <c r="A1520" s="108">
        <v>960</v>
      </c>
      <c r="B1520" s="108">
        <v>2019</v>
      </c>
      <c r="C1520" s="108" t="s">
        <v>38</v>
      </c>
      <c r="D1520" s="108" t="s">
        <v>143</v>
      </c>
      <c r="E1520" s="108" t="s">
        <v>10</v>
      </c>
      <c r="F1520" s="116">
        <v>754</v>
      </c>
      <c r="G1520" s="108" t="s">
        <v>47</v>
      </c>
      <c r="H1520" s="108" t="str">
        <f t="shared" si="132"/>
        <v>Kennedy Creek</v>
      </c>
      <c r="I1520" s="108" t="str">
        <f>IFERROR(VLOOKUP(H1520,LUTs!$A$1:$C$73,2,FALSE),"NA")</f>
        <v>Mason/Thurston</v>
      </c>
      <c r="J1520" s="108" t="str">
        <f>IFERROR(VLOOKUP(H1520,LUTs!$A$1:$C$73,3,FALSE),"NA")</f>
        <v>3South Puget Sound</v>
      </c>
      <c r="K1520" s="108" t="s">
        <v>20</v>
      </c>
      <c r="L1520" s="108" t="str">
        <f>VLOOKUP(K1520,LUTs!E$2:G$14,3,)</f>
        <v>07Pierce</v>
      </c>
      <c r="M1520" s="108" t="str">
        <f>VLOOKUP($K1520,LUTs!$E$2:$H$14,2,)</f>
        <v>South Puget Sound</v>
      </c>
      <c r="N1520" s="108" t="str">
        <f>VLOOKUP($K1520,LUTs!$E$2:$H$14,4,)</f>
        <v>02South Puget Sound</v>
      </c>
      <c r="O1520" s="108">
        <v>22</v>
      </c>
      <c r="P1520" s="108">
        <v>75.680000000000007</v>
      </c>
      <c r="Q1520" s="108">
        <f>SUMIFS('FW_Salmon_by_Month_2010-2021'!P$2:P$3810,'FW_Salmon_by_Month_2010-2021'!$B$2:$B$3810,'Rec_raw_catch_effort_2010-2021'!$B1520,'FW_Salmon_by_Month_2010-2021'!$H$2:$H$3810,'Rec_raw_catch_effort_2010-2021'!$F1520,'FW_Salmon_by_Month_2010-2021'!$M$2:$M$3810,'Rec_raw_catch_effort_2010-2021'!$K1520)</f>
        <v>22</v>
      </c>
      <c r="R1520" s="109">
        <f>VLOOKUP(B1520,Readme!$A$62:$C$74,2,)*Q1520</f>
        <v>77.858889675213135</v>
      </c>
      <c r="S1520" s="140" t="str">
        <f t="shared" si="133"/>
        <v>Y</v>
      </c>
      <c r="T1520" s="154">
        <f t="shared" si="134"/>
        <v>3.4400000000000004</v>
      </c>
      <c r="U1520" s="154">
        <f t="shared" si="135"/>
        <v>3.5390404397824153</v>
      </c>
    </row>
    <row r="1521" spans="1:21" x14ac:dyDescent="0.35">
      <c r="A1521" s="108">
        <v>961</v>
      </c>
      <c r="B1521" s="108">
        <v>2019</v>
      </c>
      <c r="C1521" s="108" t="s">
        <v>38</v>
      </c>
      <c r="D1521" s="108" t="s">
        <v>143</v>
      </c>
      <c r="E1521" s="108" t="s">
        <v>10</v>
      </c>
      <c r="F1521" s="116">
        <v>754</v>
      </c>
      <c r="G1521" s="108" t="s">
        <v>47</v>
      </c>
      <c r="H1521" s="108" t="str">
        <f t="shared" si="132"/>
        <v>Kennedy Creek</v>
      </c>
      <c r="I1521" s="108" t="str">
        <f>IFERROR(VLOOKUP(H1521,LUTs!$A$1:$C$73,2,FALSE),"NA")</f>
        <v>Mason/Thurston</v>
      </c>
      <c r="J1521" s="108" t="str">
        <f>IFERROR(VLOOKUP(H1521,LUTs!$A$1:$C$73,3,FALSE),"NA")</f>
        <v>3South Puget Sound</v>
      </c>
      <c r="K1521" s="108" t="s">
        <v>21</v>
      </c>
      <c r="L1521" s="108" t="str">
        <f>VLOOKUP(K1521,LUTs!E$2:G$14,3,)</f>
        <v>08Thurston</v>
      </c>
      <c r="M1521" s="108" t="str">
        <f>VLOOKUP($K1521,LUTs!$E$2:$H$14,2,)</f>
        <v>South Puget Sound</v>
      </c>
      <c r="N1521" s="108" t="str">
        <f>VLOOKUP($K1521,LUTs!$E$2:$H$14,4,)</f>
        <v>02South Puget Sound</v>
      </c>
      <c r="O1521" s="108">
        <v>11</v>
      </c>
      <c r="P1521" s="108">
        <v>37.840000000000003</v>
      </c>
      <c r="Q1521" s="108">
        <f>SUMIFS('FW_Salmon_by_Month_2010-2021'!P$2:P$3810,'FW_Salmon_by_Month_2010-2021'!$B$2:$B$3810,'Rec_raw_catch_effort_2010-2021'!$B1521,'FW_Salmon_by_Month_2010-2021'!$H$2:$H$3810,'Rec_raw_catch_effort_2010-2021'!$F1521,'FW_Salmon_by_Month_2010-2021'!$M$2:$M$3810,'Rec_raw_catch_effort_2010-2021'!$K1521)</f>
        <v>11</v>
      </c>
      <c r="R1521" s="109">
        <f>VLOOKUP(B1521,Readme!$A$62:$C$74,2,)*Q1521</f>
        <v>38.929444837606567</v>
      </c>
      <c r="S1521" s="140" t="str">
        <f t="shared" si="133"/>
        <v>Y</v>
      </c>
      <c r="T1521" s="154">
        <f t="shared" si="134"/>
        <v>3.4400000000000004</v>
      </c>
      <c r="U1521" s="154">
        <f t="shared" si="135"/>
        <v>3.5390404397824153</v>
      </c>
    </row>
    <row r="1522" spans="1:21" x14ac:dyDescent="0.35">
      <c r="A1522" s="108">
        <v>962</v>
      </c>
      <c r="B1522" s="108">
        <v>2020</v>
      </c>
      <c r="C1522" s="108" t="s">
        <v>38</v>
      </c>
      <c r="D1522" s="108" t="s">
        <v>143</v>
      </c>
      <c r="E1522" s="108" t="s">
        <v>10</v>
      </c>
      <c r="F1522" s="116">
        <v>754</v>
      </c>
      <c r="G1522" s="108" t="s">
        <v>47</v>
      </c>
      <c r="H1522" s="108" t="str">
        <f t="shared" si="132"/>
        <v>Kennedy Creek</v>
      </c>
      <c r="I1522" s="108" t="str">
        <f>IFERROR(VLOOKUP(H1522,LUTs!$A$1:$C$73,2,FALSE),"NA")</f>
        <v>Mason/Thurston</v>
      </c>
      <c r="J1522" s="108" t="str">
        <f>IFERROR(VLOOKUP(H1522,LUTs!$A$1:$C$73,3,FALSE),"NA")</f>
        <v>3South Puget Sound</v>
      </c>
      <c r="K1522" s="108" t="s">
        <v>18</v>
      </c>
      <c r="L1522" s="108" t="str">
        <f>VLOOKUP(K1522,LUTs!E$2:G$14,3,)</f>
        <v>06King</v>
      </c>
      <c r="M1522" s="108" t="str">
        <f>VLOOKUP($K1522,LUTs!$E$2:$H$14,2,)</f>
        <v>South Puget Sound</v>
      </c>
      <c r="N1522" s="108" t="str">
        <f>VLOOKUP($K1522,LUTs!$E$2:$H$14,4,)</f>
        <v>02South Puget Sound</v>
      </c>
      <c r="O1522" s="108">
        <v>11.948717948718</v>
      </c>
      <c r="P1522" s="108">
        <v>103.356410256411</v>
      </c>
      <c r="Q1522" s="108">
        <f>SUMIFS('FW_Salmon_by_Month_2010-2021'!P$2:P$3810,'FW_Salmon_by_Month_2010-2021'!$B$2:$B$3810,'Rec_raw_catch_effort_2010-2021'!$B1522,'FW_Salmon_by_Month_2010-2021'!$H$2:$H$3810,'Rec_raw_catch_effort_2010-2021'!$F1522,'FW_Salmon_by_Month_2010-2021'!$M$2:$M$3810,'Rec_raw_catch_effort_2010-2021'!$K1522)</f>
        <v>11.9166666666667</v>
      </c>
      <c r="R1522" s="109">
        <f>VLOOKUP(B1522,Readme!$A$62:$C$74,2,)*Q1522</f>
        <v>57.433029274015894</v>
      </c>
      <c r="S1522" s="140" t="str">
        <f t="shared" si="133"/>
        <v>N</v>
      </c>
      <c r="T1522" s="154">
        <f t="shared" si="134"/>
        <v>8.6500000000000252</v>
      </c>
      <c r="U1522" s="154">
        <f t="shared" si="135"/>
        <v>4.8195549041132084</v>
      </c>
    </row>
    <row r="1523" spans="1:21" x14ac:dyDescent="0.35">
      <c r="A1523" s="108">
        <v>965</v>
      </c>
      <c r="B1523" s="108">
        <v>2020</v>
      </c>
      <c r="C1523" s="108" t="s">
        <v>38</v>
      </c>
      <c r="D1523" s="108" t="s">
        <v>143</v>
      </c>
      <c r="E1523" s="108" t="s">
        <v>10</v>
      </c>
      <c r="F1523" s="116">
        <v>754</v>
      </c>
      <c r="G1523" s="108" t="s">
        <v>47</v>
      </c>
      <c r="H1523" s="108" t="str">
        <f t="shared" si="132"/>
        <v>Kennedy Creek</v>
      </c>
      <c r="I1523" s="108" t="str">
        <f>IFERROR(VLOOKUP(H1523,LUTs!$A$1:$C$73,2,FALSE),"NA")</f>
        <v>Mason/Thurston</v>
      </c>
      <c r="J1523" s="108" t="str">
        <f>IFERROR(VLOOKUP(H1523,LUTs!$A$1:$C$73,3,FALSE),"NA")</f>
        <v>3South Puget Sound</v>
      </c>
      <c r="K1523" s="108" t="s">
        <v>22</v>
      </c>
      <c r="L1523" s="108" t="str">
        <f>VLOOKUP(K1523,LUTs!E$2:G$14,3,)</f>
        <v>09Mason</v>
      </c>
      <c r="M1523" s="108" t="str">
        <f>VLOOKUP($K1523,LUTs!$E$2:$H$14,2,)</f>
        <v>South Puget Sound</v>
      </c>
      <c r="N1523" s="108" t="str">
        <f>VLOOKUP($K1523,LUTs!$E$2:$H$14,4,)</f>
        <v>02South Puget Sound</v>
      </c>
      <c r="O1523" s="108">
        <v>23.897435897435901</v>
      </c>
      <c r="P1523" s="108">
        <v>206.712820512821</v>
      </c>
      <c r="Q1523" s="108">
        <f>SUMIFS('FW_Salmon_by_Month_2010-2021'!P$2:P$3810,'FW_Salmon_by_Month_2010-2021'!$B$2:$B$3810,'Rec_raw_catch_effort_2010-2021'!$B1523,'FW_Salmon_by_Month_2010-2021'!$H$2:$H$3810,'Rec_raw_catch_effort_2010-2021'!$F1523,'FW_Salmon_by_Month_2010-2021'!$M$2:$M$3810,'Rec_raw_catch_effort_2010-2021'!$K1523)</f>
        <v>23.8333333333333</v>
      </c>
      <c r="R1523" s="109">
        <f>VLOOKUP(B1523,Readme!$A$62:$C$74,2,)*Q1523</f>
        <v>114.8660585480313</v>
      </c>
      <c r="S1523" s="140" t="str">
        <f t="shared" si="133"/>
        <v>N</v>
      </c>
      <c r="T1523" s="154">
        <f t="shared" si="134"/>
        <v>8.6500000000000181</v>
      </c>
      <c r="U1523" s="154">
        <f t="shared" si="135"/>
        <v>4.8195549041132084</v>
      </c>
    </row>
    <row r="1524" spans="1:21" x14ac:dyDescent="0.35">
      <c r="A1524" s="108">
        <v>966</v>
      </c>
      <c r="B1524" s="108">
        <v>2020</v>
      </c>
      <c r="C1524" s="108" t="s">
        <v>38</v>
      </c>
      <c r="D1524" s="108" t="s">
        <v>143</v>
      </c>
      <c r="E1524" s="108" t="s">
        <v>10</v>
      </c>
      <c r="F1524" s="116">
        <v>754</v>
      </c>
      <c r="G1524" s="108" t="s">
        <v>47</v>
      </c>
      <c r="H1524" s="108" t="str">
        <f t="shared" si="132"/>
        <v>Kennedy Creek</v>
      </c>
      <c r="I1524" s="108" t="str">
        <f>IFERROR(VLOOKUP(H1524,LUTs!$A$1:$C$73,2,FALSE),"NA")</f>
        <v>Mason/Thurston</v>
      </c>
      <c r="J1524" s="108" t="str">
        <f>IFERROR(VLOOKUP(H1524,LUTs!$A$1:$C$73,3,FALSE),"NA")</f>
        <v>3South Puget Sound</v>
      </c>
      <c r="K1524" s="108" t="s">
        <v>26</v>
      </c>
      <c r="L1524" s="108" t="str">
        <f>VLOOKUP(K1524,LUTs!E$2:G$14,3,)</f>
        <v>20Other</v>
      </c>
      <c r="M1524" s="108" t="str">
        <f>VLOOKUP($K1524,LUTs!$E$2:$H$14,2,)</f>
        <v>Non Puget Sound</v>
      </c>
      <c r="N1524" s="108" t="str">
        <f>VLOOKUP($K1524,LUTs!$E$2:$H$14,4,)</f>
        <v>07Non Puget Sound</v>
      </c>
      <c r="O1524" s="108">
        <v>35.846153846153904</v>
      </c>
      <c r="P1524" s="108">
        <v>310.06923076923101</v>
      </c>
      <c r="Q1524" s="108">
        <f>SUMIFS('FW_Salmon_by_Month_2010-2021'!P$2:P$3810,'FW_Salmon_by_Month_2010-2021'!$B$2:$B$3810,'Rec_raw_catch_effort_2010-2021'!$B1524,'FW_Salmon_by_Month_2010-2021'!$H$2:$H$3810,'Rec_raw_catch_effort_2010-2021'!$F1524,'FW_Salmon_by_Month_2010-2021'!$M$2:$M$3810,'Rec_raw_catch_effort_2010-2021'!$K1524)</f>
        <v>35.8888888888889</v>
      </c>
      <c r="R1524" s="109">
        <f>VLOOKUP(B1524,Readme!$A$62:$C$74,2,)*Q1524</f>
        <v>172.96847044761853</v>
      </c>
      <c r="S1524" s="140" t="str">
        <f t="shared" si="133"/>
        <v>N</v>
      </c>
      <c r="T1524" s="154">
        <f t="shared" si="134"/>
        <v>8.6499999999999932</v>
      </c>
      <c r="U1524" s="154">
        <f t="shared" si="135"/>
        <v>4.8195549041132084</v>
      </c>
    </row>
    <row r="1525" spans="1:21" x14ac:dyDescent="0.35">
      <c r="A1525" s="108">
        <v>963</v>
      </c>
      <c r="B1525" s="108">
        <v>2020</v>
      </c>
      <c r="C1525" s="108" t="s">
        <v>38</v>
      </c>
      <c r="D1525" s="108" t="s">
        <v>143</v>
      </c>
      <c r="E1525" s="108" t="s">
        <v>10</v>
      </c>
      <c r="F1525" s="116">
        <v>754</v>
      </c>
      <c r="G1525" s="108" t="s">
        <v>47</v>
      </c>
      <c r="H1525" s="108" t="str">
        <f t="shared" si="132"/>
        <v>Kennedy Creek</v>
      </c>
      <c r="I1525" s="108" t="str">
        <f>IFERROR(VLOOKUP(H1525,LUTs!$A$1:$C$73,2,FALSE),"NA")</f>
        <v>Mason/Thurston</v>
      </c>
      <c r="J1525" s="108" t="str">
        <f>IFERROR(VLOOKUP(H1525,LUTs!$A$1:$C$73,3,FALSE),"NA")</f>
        <v>3South Puget Sound</v>
      </c>
      <c r="K1525" s="108" t="s">
        <v>20</v>
      </c>
      <c r="L1525" s="108" t="str">
        <f>VLOOKUP(K1525,LUTs!E$2:G$14,3,)</f>
        <v>07Pierce</v>
      </c>
      <c r="M1525" s="108" t="str">
        <f>VLOOKUP($K1525,LUTs!$E$2:$H$14,2,)</f>
        <v>South Puget Sound</v>
      </c>
      <c r="N1525" s="108" t="str">
        <f>VLOOKUP($K1525,LUTs!$E$2:$H$14,4,)</f>
        <v>02South Puget Sound</v>
      </c>
      <c r="O1525" s="108">
        <v>203.128205128205</v>
      </c>
      <c r="P1525" s="108">
        <v>1757.0589743589701</v>
      </c>
      <c r="Q1525" s="108">
        <f>SUMIFS('FW_Salmon_by_Month_2010-2021'!P$2:P$3810,'FW_Salmon_by_Month_2010-2021'!$B$2:$B$3810,'Rec_raw_catch_effort_2010-2021'!$B1525,'FW_Salmon_by_Month_2010-2021'!$H$2:$H$3810,'Rec_raw_catch_effort_2010-2021'!$F1525,'FW_Salmon_by_Month_2010-2021'!$M$2:$M$3810,'Rec_raw_catch_effort_2010-2021'!$K1525)</f>
        <v>203.13888888888931</v>
      </c>
      <c r="R1525" s="109">
        <f>VLOOKUP(B1525,Readme!$A$62:$C$74,2,)*Q1525</f>
        <v>979.03902816055461</v>
      </c>
      <c r="S1525" s="140" t="str">
        <f t="shared" si="133"/>
        <v>N</v>
      </c>
      <c r="T1525" s="154">
        <f t="shared" si="134"/>
        <v>8.6499999999999844</v>
      </c>
      <c r="U1525" s="154">
        <f t="shared" si="135"/>
        <v>4.8195549041132084</v>
      </c>
    </row>
    <row r="1526" spans="1:21" x14ac:dyDescent="0.35">
      <c r="A1526" s="108">
        <v>964</v>
      </c>
      <c r="B1526" s="108">
        <v>2020</v>
      </c>
      <c r="C1526" s="108" t="s">
        <v>38</v>
      </c>
      <c r="D1526" s="108" t="s">
        <v>143</v>
      </c>
      <c r="E1526" s="108" t="s">
        <v>10</v>
      </c>
      <c r="F1526" s="116">
        <v>754</v>
      </c>
      <c r="G1526" s="108" t="s">
        <v>47</v>
      </c>
      <c r="H1526" s="108" t="str">
        <f t="shared" si="132"/>
        <v>Kennedy Creek</v>
      </c>
      <c r="I1526" s="108" t="str">
        <f>IFERROR(VLOOKUP(H1526,LUTs!$A$1:$C$73,2,FALSE),"NA")</f>
        <v>Mason/Thurston</v>
      </c>
      <c r="J1526" s="108" t="str">
        <f>IFERROR(VLOOKUP(H1526,LUTs!$A$1:$C$73,3,FALSE),"NA")</f>
        <v>3South Puget Sound</v>
      </c>
      <c r="K1526" s="108" t="s">
        <v>21</v>
      </c>
      <c r="L1526" s="108" t="str">
        <f>VLOOKUP(K1526,LUTs!E$2:G$14,3,)</f>
        <v>08Thurston</v>
      </c>
      <c r="M1526" s="108" t="str">
        <f>VLOOKUP($K1526,LUTs!$E$2:$H$14,2,)</f>
        <v>South Puget Sound</v>
      </c>
      <c r="N1526" s="108" t="str">
        <f>VLOOKUP($K1526,LUTs!$E$2:$H$14,4,)</f>
        <v>02South Puget Sound</v>
      </c>
      <c r="O1526" s="108">
        <v>191.17948717948701</v>
      </c>
      <c r="P1526" s="108">
        <v>1653.70256410256</v>
      </c>
      <c r="Q1526" s="108">
        <f>SUMIFS('FW_Salmon_by_Month_2010-2021'!P$2:P$3810,'FW_Salmon_by_Month_2010-2021'!$B$2:$B$3810,'Rec_raw_catch_effort_2010-2021'!$B1526,'FW_Salmon_by_Month_2010-2021'!$H$2:$H$3810,'Rec_raw_catch_effort_2010-2021'!$F1526,'FW_Salmon_by_Month_2010-2021'!$M$2:$M$3810,'Rec_raw_catch_effort_2010-2021'!$K1526)</f>
        <v>191.22222222222268</v>
      </c>
      <c r="R1526" s="109">
        <f>VLOOKUP(B1526,Readme!$A$62:$C$74,2,)*Q1526</f>
        <v>921.60599888653906</v>
      </c>
      <c r="S1526" s="140" t="str">
        <f t="shared" si="133"/>
        <v>N</v>
      </c>
      <c r="T1526" s="154">
        <f t="shared" si="134"/>
        <v>8.6499999999999861</v>
      </c>
      <c r="U1526" s="154">
        <f t="shared" si="135"/>
        <v>4.8195549041132084</v>
      </c>
    </row>
    <row r="1527" spans="1:21" x14ac:dyDescent="0.35">
      <c r="A1527" s="108">
        <v>2018</v>
      </c>
      <c r="B1527" s="108">
        <v>2010</v>
      </c>
      <c r="C1527" s="108" t="s">
        <v>38</v>
      </c>
      <c r="D1527" s="108" t="s">
        <v>143</v>
      </c>
      <c r="E1527" s="108" t="s">
        <v>10</v>
      </c>
      <c r="F1527" s="116">
        <v>762</v>
      </c>
      <c r="G1527" s="108" t="s">
        <v>48</v>
      </c>
      <c r="H1527" s="108" t="str">
        <f t="shared" si="132"/>
        <v>Lake Washington</v>
      </c>
      <c r="I1527" s="108" t="str">
        <f>IFERROR(VLOOKUP(H1527,LUTs!$A$1:$C$73,2,FALSE),"NA")</f>
        <v>King</v>
      </c>
      <c r="J1527" s="108" t="str">
        <f>IFERROR(VLOOKUP(H1527,LUTs!$A$1:$C$73,3,FALSE),"NA")</f>
        <v>2Central Puget Sound</v>
      </c>
      <c r="K1527" s="108" t="s">
        <v>18</v>
      </c>
      <c r="L1527" s="108" t="str">
        <f>VLOOKUP(K1527,LUTs!E$2:G$14,3,)</f>
        <v>06King</v>
      </c>
      <c r="M1527" s="108" t="str">
        <f>VLOOKUP($K1527,LUTs!$E$2:$H$14,2,)</f>
        <v>South Puget Sound</v>
      </c>
      <c r="N1527" s="108" t="str">
        <f>VLOOKUP($K1527,LUTs!$E$2:$H$14,4,)</f>
        <v>02South Puget Sound</v>
      </c>
      <c r="O1527" s="108">
        <v>6</v>
      </c>
      <c r="P1527" s="108">
        <v>51.9</v>
      </c>
      <c r="Q1527" s="108">
        <f>SUMIFS('FW_Salmon_by_Month_2010-2021'!P$2:P$3810,'FW_Salmon_by_Month_2010-2021'!$B$2:$B$3810,'Rec_raw_catch_effort_2010-2021'!$B1527,'FW_Salmon_by_Month_2010-2021'!$H$2:$H$3810,'Rec_raw_catch_effort_2010-2021'!$F1527,'FW_Salmon_by_Month_2010-2021'!$M$2:$M$3810,'Rec_raw_catch_effort_2010-2021'!$K1527)</f>
        <v>6</v>
      </c>
      <c r="R1527" s="109">
        <f>VLOOKUP(B1527,Readme!$A$62:$C$74,2,)*Q1527</f>
        <v>28.917329424679252</v>
      </c>
      <c r="S1527" s="140" t="str">
        <f t="shared" si="133"/>
        <v>Y</v>
      </c>
      <c r="T1527" s="154">
        <f t="shared" si="134"/>
        <v>8.65</v>
      </c>
      <c r="U1527" s="154">
        <f t="shared" si="135"/>
        <v>4.8195549041132084</v>
      </c>
    </row>
    <row r="1528" spans="1:21" x14ac:dyDescent="0.35">
      <c r="A1528" s="108">
        <v>2875</v>
      </c>
      <c r="B1528" s="108">
        <v>2011</v>
      </c>
      <c r="C1528" s="108" t="s">
        <v>38</v>
      </c>
      <c r="D1528" s="108" t="s">
        <v>143</v>
      </c>
      <c r="E1528" s="108" t="s">
        <v>10</v>
      </c>
      <c r="F1528" s="116">
        <v>762</v>
      </c>
      <c r="G1528" s="108" t="s">
        <v>48</v>
      </c>
      <c r="H1528" s="108" t="str">
        <f t="shared" si="132"/>
        <v>Lake Washington</v>
      </c>
      <c r="I1528" s="108" t="str">
        <f>IFERROR(VLOOKUP(H1528,LUTs!$A$1:$C$73,2,FALSE),"NA")</f>
        <v>King</v>
      </c>
      <c r="J1528" s="108" t="str">
        <f>IFERROR(VLOOKUP(H1528,LUTs!$A$1:$C$73,3,FALSE),"NA")</f>
        <v>2Central Puget Sound</v>
      </c>
      <c r="K1528" s="108" t="s">
        <v>18</v>
      </c>
      <c r="L1528" s="108" t="str">
        <f>VLOOKUP(K1528,LUTs!E$2:G$14,3,)</f>
        <v>06King</v>
      </c>
      <c r="M1528" s="108" t="str">
        <f>VLOOKUP($K1528,LUTs!$E$2:$H$14,2,)</f>
        <v>South Puget Sound</v>
      </c>
      <c r="N1528" s="108" t="str">
        <f>VLOOKUP($K1528,LUTs!$E$2:$H$14,4,)</f>
        <v>02South Puget Sound</v>
      </c>
      <c r="O1528" s="108">
        <v>56</v>
      </c>
      <c r="P1528" s="108">
        <v>192.64</v>
      </c>
      <c r="Q1528" s="108">
        <f>SUMIFS('FW_Salmon_by_Month_2010-2021'!P$2:P$3810,'FW_Salmon_by_Month_2010-2021'!$B$2:$B$3810,'Rec_raw_catch_effort_2010-2021'!$B1528,'FW_Salmon_by_Month_2010-2021'!$H$2:$H$3810,'Rec_raw_catch_effort_2010-2021'!$F1528,'FW_Salmon_by_Month_2010-2021'!$M$2:$M$3810,'Rec_raw_catch_effort_2010-2021'!$K1528)</f>
        <v>52.8333333333333</v>
      </c>
      <c r="R1528" s="109">
        <f>VLOOKUP(B1528,Readme!$A$62:$C$74,2,)*Q1528</f>
        <v>186.97930323517082</v>
      </c>
      <c r="S1528" s="140" t="str">
        <f t="shared" si="133"/>
        <v>Y</v>
      </c>
      <c r="T1528" s="154">
        <f t="shared" si="134"/>
        <v>3.44</v>
      </c>
      <c r="U1528" s="154">
        <f t="shared" si="135"/>
        <v>3.5390404397824153</v>
      </c>
    </row>
    <row r="1529" spans="1:21" x14ac:dyDescent="0.35">
      <c r="A1529" s="108">
        <v>1628</v>
      </c>
      <c r="B1529" s="108">
        <v>2011</v>
      </c>
      <c r="C1529" s="108" t="s">
        <v>38</v>
      </c>
      <c r="D1529" s="108" t="s">
        <v>143</v>
      </c>
      <c r="E1529" s="108" t="s">
        <v>10</v>
      </c>
      <c r="F1529" s="116">
        <v>762</v>
      </c>
      <c r="G1529" s="108" t="s">
        <v>48</v>
      </c>
      <c r="H1529" s="108" t="str">
        <f t="shared" si="132"/>
        <v>Lake Washington</v>
      </c>
      <c r="I1529" s="108" t="str">
        <f>IFERROR(VLOOKUP(H1529,LUTs!$A$1:$C$73,2,FALSE),"NA")</f>
        <v>King</v>
      </c>
      <c r="J1529" s="108" t="str">
        <f>IFERROR(VLOOKUP(H1529,LUTs!$A$1:$C$73,3,FALSE),"NA")</f>
        <v>2Central Puget Sound</v>
      </c>
      <c r="K1529" s="108" t="s">
        <v>26</v>
      </c>
      <c r="L1529" s="108" t="str">
        <f>VLOOKUP(K1529,LUTs!E$2:G$14,3,)</f>
        <v>20Other</v>
      </c>
      <c r="M1529" s="108" t="str">
        <f>VLOOKUP($K1529,LUTs!$E$2:$H$14,2,)</f>
        <v>Non Puget Sound</v>
      </c>
      <c r="N1529" s="108" t="str">
        <f>VLOOKUP($K1529,LUTs!$E$2:$H$14,4,)</f>
        <v>07Non Puget Sound</v>
      </c>
      <c r="O1529" s="108">
        <v>7</v>
      </c>
      <c r="P1529" s="108">
        <v>24.08</v>
      </c>
      <c r="Q1529" s="108">
        <f>SUMIFS('FW_Salmon_by_Month_2010-2021'!P$2:P$3810,'FW_Salmon_by_Month_2010-2021'!$B$2:$B$3810,'Rec_raw_catch_effort_2010-2021'!$B1529,'FW_Salmon_by_Month_2010-2021'!$H$2:$H$3810,'Rec_raw_catch_effort_2010-2021'!$F1529,'FW_Salmon_by_Month_2010-2021'!$M$2:$M$3810,'Rec_raw_catch_effort_2010-2021'!$K1529)</f>
        <v>7.6666666666666696</v>
      </c>
      <c r="R1529" s="109">
        <f>VLOOKUP(B1529,Readme!$A$62:$C$74,2,)*Q1529</f>
        <v>27.132643371665196</v>
      </c>
      <c r="S1529" s="140" t="str">
        <f t="shared" si="133"/>
        <v>Y</v>
      </c>
      <c r="T1529" s="154">
        <f t="shared" si="134"/>
        <v>3.44</v>
      </c>
      <c r="U1529" s="154">
        <f t="shared" si="135"/>
        <v>3.5390404397824153</v>
      </c>
    </row>
    <row r="1530" spans="1:21" x14ac:dyDescent="0.35">
      <c r="A1530" s="108">
        <v>2518</v>
      </c>
      <c r="B1530" s="108">
        <v>2011</v>
      </c>
      <c r="C1530" s="108" t="s">
        <v>38</v>
      </c>
      <c r="D1530" s="108" t="s">
        <v>143</v>
      </c>
      <c r="E1530" s="108" t="s">
        <v>10</v>
      </c>
      <c r="F1530" s="116">
        <v>762</v>
      </c>
      <c r="G1530" s="108" t="s">
        <v>48</v>
      </c>
      <c r="H1530" s="108" t="str">
        <f t="shared" si="132"/>
        <v>Lake Washington</v>
      </c>
      <c r="I1530" s="108" t="str">
        <f>IFERROR(VLOOKUP(H1530,LUTs!$A$1:$C$73,2,FALSE),"NA")</f>
        <v>King</v>
      </c>
      <c r="J1530" s="108" t="str">
        <f>IFERROR(VLOOKUP(H1530,LUTs!$A$1:$C$73,3,FALSE),"NA")</f>
        <v>2Central Puget Sound</v>
      </c>
      <c r="K1530" s="108" t="s">
        <v>16</v>
      </c>
      <c r="L1530" s="108" t="str">
        <f>VLOOKUP(K1530,LUTs!E$2:G$14,3,)</f>
        <v>03Snohomish</v>
      </c>
      <c r="M1530" s="108" t="str">
        <f>VLOOKUP($K1530,LUTs!$E$2:$H$14,2,)</f>
        <v>North Puget Sound</v>
      </c>
      <c r="N1530" s="108" t="str">
        <f>VLOOKUP($K1530,LUTs!$E$2:$H$14,4,)</f>
        <v>01North Puget Sound</v>
      </c>
      <c r="O1530" s="108">
        <v>35</v>
      </c>
      <c r="P1530" s="108">
        <v>120.4</v>
      </c>
      <c r="Q1530" s="108">
        <f>SUMIFS('FW_Salmon_by_Month_2010-2021'!P$2:P$3810,'FW_Salmon_by_Month_2010-2021'!$B$2:$B$3810,'Rec_raw_catch_effort_2010-2021'!$B1530,'FW_Salmon_by_Month_2010-2021'!$H$2:$H$3810,'Rec_raw_catch_effort_2010-2021'!$F1530,'FW_Salmon_by_Month_2010-2021'!$M$2:$M$3810,'Rec_raw_catch_effort_2010-2021'!$K1530)</f>
        <v>37.5</v>
      </c>
      <c r="R1530" s="109">
        <f>VLOOKUP(B1530,Readme!$A$62:$C$74,2,)*Q1530</f>
        <v>132.71401649184057</v>
      </c>
      <c r="S1530" s="140" t="str">
        <f t="shared" si="133"/>
        <v>Y</v>
      </c>
      <c r="T1530" s="154">
        <f t="shared" si="134"/>
        <v>3.44</v>
      </c>
      <c r="U1530" s="154">
        <f t="shared" si="135"/>
        <v>3.5390404397824153</v>
      </c>
    </row>
    <row r="1531" spans="1:21" x14ac:dyDescent="0.35">
      <c r="A1531" s="108">
        <v>2711</v>
      </c>
      <c r="B1531" s="108">
        <v>2012</v>
      </c>
      <c r="C1531" s="108" t="s">
        <v>38</v>
      </c>
      <c r="D1531" s="108" t="s">
        <v>143</v>
      </c>
      <c r="E1531" s="108" t="s">
        <v>10</v>
      </c>
      <c r="F1531" s="116">
        <v>762</v>
      </c>
      <c r="G1531" s="108" t="s">
        <v>48</v>
      </c>
      <c r="H1531" s="108" t="str">
        <f t="shared" si="132"/>
        <v>Lake Washington</v>
      </c>
      <c r="I1531" s="108" t="str">
        <f>IFERROR(VLOOKUP(H1531,LUTs!$A$1:$C$73,2,FALSE),"NA")</f>
        <v>King</v>
      </c>
      <c r="J1531" s="108" t="str">
        <f>IFERROR(VLOOKUP(H1531,LUTs!$A$1:$C$73,3,FALSE),"NA")</f>
        <v>2Central Puget Sound</v>
      </c>
      <c r="K1531" s="108" t="s">
        <v>18</v>
      </c>
      <c r="L1531" s="108" t="str">
        <f>VLOOKUP(K1531,LUTs!E$2:G$14,3,)</f>
        <v>06King</v>
      </c>
      <c r="M1531" s="108" t="str">
        <f>VLOOKUP($K1531,LUTs!$E$2:$H$14,2,)</f>
        <v>South Puget Sound</v>
      </c>
      <c r="N1531" s="108" t="str">
        <f>VLOOKUP($K1531,LUTs!$E$2:$H$14,4,)</f>
        <v>02South Puget Sound</v>
      </c>
      <c r="O1531" s="108">
        <v>89.3333333333333</v>
      </c>
      <c r="P1531" s="108">
        <v>772.73333333333301</v>
      </c>
      <c r="Q1531" s="108">
        <f>SUMIFS('FW_Salmon_by_Month_2010-2021'!P$2:P$3810,'FW_Salmon_by_Month_2010-2021'!$B$2:$B$3810,'Rec_raw_catch_effort_2010-2021'!$B1531,'FW_Salmon_by_Month_2010-2021'!$H$2:$H$3810,'Rec_raw_catch_effort_2010-2021'!$F1531,'FW_Salmon_by_Month_2010-2021'!$M$2:$M$3810,'Rec_raw_catch_effort_2010-2021'!$K1531)</f>
        <v>86.685714285714297</v>
      </c>
      <c r="R1531" s="109">
        <f>VLOOKUP(B1531,Readme!$A$62:$C$74,2,)*Q1531</f>
        <v>417.78655940227077</v>
      </c>
      <c r="S1531" s="140" t="str">
        <f t="shared" si="133"/>
        <v>Y</v>
      </c>
      <c r="T1531" s="154">
        <f t="shared" si="134"/>
        <v>8.65</v>
      </c>
      <c r="U1531" s="154">
        <f t="shared" si="135"/>
        <v>4.8195549041132084</v>
      </c>
    </row>
    <row r="1532" spans="1:21" x14ac:dyDescent="0.35">
      <c r="A1532" s="108">
        <v>2710</v>
      </c>
      <c r="B1532" s="108">
        <v>2012</v>
      </c>
      <c r="C1532" s="108" t="s">
        <v>38</v>
      </c>
      <c r="D1532" s="108" t="s">
        <v>143</v>
      </c>
      <c r="E1532" s="108" t="s">
        <v>10</v>
      </c>
      <c r="F1532" s="116">
        <v>762</v>
      </c>
      <c r="G1532" s="108" t="s">
        <v>48</v>
      </c>
      <c r="H1532" s="108" t="str">
        <f t="shared" si="132"/>
        <v>Lake Washington</v>
      </c>
      <c r="I1532" s="108" t="str">
        <f>IFERROR(VLOOKUP(H1532,LUTs!$A$1:$C$73,2,FALSE),"NA")</f>
        <v>King</v>
      </c>
      <c r="J1532" s="108" t="str">
        <f>IFERROR(VLOOKUP(H1532,LUTs!$A$1:$C$73,3,FALSE),"NA")</f>
        <v>2Central Puget Sound</v>
      </c>
      <c r="K1532" s="108" t="s">
        <v>16</v>
      </c>
      <c r="L1532" s="108" t="str">
        <f>VLOOKUP(K1532,LUTs!E$2:G$14,3,)</f>
        <v>03Snohomish</v>
      </c>
      <c r="M1532" s="108" t="str">
        <f>VLOOKUP($K1532,LUTs!$E$2:$H$14,2,)</f>
        <v>North Puget Sound</v>
      </c>
      <c r="N1532" s="108" t="str">
        <f>VLOOKUP($K1532,LUTs!$E$2:$H$14,4,)</f>
        <v>01North Puget Sound</v>
      </c>
      <c r="O1532" s="108">
        <v>44.6666666666667</v>
      </c>
      <c r="P1532" s="108">
        <v>386.36666666666702</v>
      </c>
      <c r="Q1532" s="108">
        <f>SUMIFS('FW_Salmon_by_Month_2010-2021'!P$2:P$3810,'FW_Salmon_by_Month_2010-2021'!$B$2:$B$3810,'Rec_raw_catch_effort_2010-2021'!$B1532,'FW_Salmon_by_Month_2010-2021'!$H$2:$H$3810,'Rec_raw_catch_effort_2010-2021'!$F1532,'FW_Salmon_by_Month_2010-2021'!$M$2:$M$3810,'Rec_raw_catch_effort_2010-2021'!$K1532)</f>
        <v>47.314285714285703</v>
      </c>
      <c r="R1532" s="109">
        <f>VLOOKUP(B1532,Readme!$A$62:$C$74,2,)*Q1532</f>
        <v>228.03379774889919</v>
      </c>
      <c r="S1532" s="140" t="str">
        <f t="shared" si="133"/>
        <v>Y</v>
      </c>
      <c r="T1532" s="154">
        <f t="shared" si="134"/>
        <v>8.6500000000000021</v>
      </c>
      <c r="U1532" s="154">
        <f t="shared" si="135"/>
        <v>4.8195549041132084</v>
      </c>
    </row>
    <row r="1533" spans="1:21" x14ac:dyDescent="0.35">
      <c r="A1533" s="108">
        <v>2916</v>
      </c>
      <c r="B1533" s="108">
        <v>2013</v>
      </c>
      <c r="C1533" s="108" t="s">
        <v>38</v>
      </c>
      <c r="D1533" s="108" t="s">
        <v>143</v>
      </c>
      <c r="E1533" s="108" t="s">
        <v>10</v>
      </c>
      <c r="F1533" s="116">
        <v>762</v>
      </c>
      <c r="G1533" s="108" t="s">
        <v>48</v>
      </c>
      <c r="H1533" s="108" t="str">
        <f t="shared" si="132"/>
        <v>Lake Washington</v>
      </c>
      <c r="I1533" s="108" t="str">
        <f>IFERROR(VLOOKUP(H1533,LUTs!$A$1:$C$73,2,FALSE),"NA")</f>
        <v>King</v>
      </c>
      <c r="J1533" s="108" t="str">
        <f>IFERROR(VLOOKUP(H1533,LUTs!$A$1:$C$73,3,FALSE),"NA")</f>
        <v>2Central Puget Sound</v>
      </c>
      <c r="K1533" s="108" t="s">
        <v>18</v>
      </c>
      <c r="L1533" s="108" t="str">
        <f>VLOOKUP(K1533,LUTs!E$2:G$14,3,)</f>
        <v>06King</v>
      </c>
      <c r="M1533" s="108" t="str">
        <f>VLOOKUP($K1533,LUTs!$E$2:$H$14,2,)</f>
        <v>South Puget Sound</v>
      </c>
      <c r="N1533" s="108" t="str">
        <f>VLOOKUP($K1533,LUTs!$E$2:$H$14,4,)</f>
        <v>02South Puget Sound</v>
      </c>
      <c r="O1533" s="108">
        <v>130.375</v>
      </c>
      <c r="P1533" s="108">
        <v>448.49</v>
      </c>
      <c r="Q1533" s="108">
        <f>SUMIFS('FW_Salmon_by_Month_2010-2021'!P$2:P$3810,'FW_Salmon_by_Month_2010-2021'!$B$2:$B$3810,'Rec_raw_catch_effort_2010-2021'!$B1533,'FW_Salmon_by_Month_2010-2021'!$H$2:$H$3810,'Rec_raw_catch_effort_2010-2021'!$F1533,'FW_Salmon_by_Month_2010-2021'!$M$2:$M$3810,'Rec_raw_catch_effort_2010-2021'!$K1533)</f>
        <v>130.4</v>
      </c>
      <c r="R1533" s="109">
        <f>VLOOKUP(B1533,Readme!$A$62:$C$74,2,)*Q1533</f>
        <v>461.49087334762697</v>
      </c>
      <c r="S1533" s="140" t="str">
        <f t="shared" si="133"/>
        <v>Y</v>
      </c>
      <c r="T1533" s="154">
        <f t="shared" si="134"/>
        <v>3.44</v>
      </c>
      <c r="U1533" s="154">
        <f t="shared" si="135"/>
        <v>3.5390404397824153</v>
      </c>
    </row>
    <row r="1534" spans="1:21" x14ac:dyDescent="0.35">
      <c r="A1534" s="108">
        <v>2917</v>
      </c>
      <c r="B1534" s="108">
        <v>2013</v>
      </c>
      <c r="C1534" s="108" t="s">
        <v>38</v>
      </c>
      <c r="D1534" s="108" t="s">
        <v>143</v>
      </c>
      <c r="E1534" s="108" t="s">
        <v>10</v>
      </c>
      <c r="F1534" s="116">
        <v>762</v>
      </c>
      <c r="G1534" s="108" t="s">
        <v>48</v>
      </c>
      <c r="H1534" s="108" t="str">
        <f t="shared" si="132"/>
        <v>Lake Washington</v>
      </c>
      <c r="I1534" s="108" t="str">
        <f>IFERROR(VLOOKUP(H1534,LUTs!$A$1:$C$73,2,FALSE),"NA")</f>
        <v>King</v>
      </c>
      <c r="J1534" s="108" t="str">
        <f>IFERROR(VLOOKUP(H1534,LUTs!$A$1:$C$73,3,FALSE),"NA")</f>
        <v>2Central Puget Sound</v>
      </c>
      <c r="K1534" s="108" t="s">
        <v>26</v>
      </c>
      <c r="L1534" s="108" t="str">
        <f>VLOOKUP(K1534,LUTs!E$2:G$14,3,)</f>
        <v>20Other</v>
      </c>
      <c r="M1534" s="108" t="str">
        <f>VLOOKUP($K1534,LUTs!$E$2:$H$14,2,)</f>
        <v>Non Puget Sound</v>
      </c>
      <c r="N1534" s="108" t="str">
        <f>VLOOKUP($K1534,LUTs!$E$2:$H$14,4,)</f>
        <v>07Non Puget Sound</v>
      </c>
      <c r="O1534" s="108">
        <v>9.3125</v>
      </c>
      <c r="P1534" s="108">
        <v>32.034999999999997</v>
      </c>
      <c r="Q1534" s="108">
        <f>SUMIFS('FW_Salmon_by_Month_2010-2021'!P$2:P$3810,'FW_Salmon_by_Month_2010-2021'!$B$2:$B$3810,'Rec_raw_catch_effort_2010-2021'!$B1534,'FW_Salmon_by_Month_2010-2021'!$H$2:$H$3810,'Rec_raw_catch_effort_2010-2021'!$F1534,'FW_Salmon_by_Month_2010-2021'!$M$2:$M$3810,'Rec_raw_catch_effort_2010-2021'!$K1534)</f>
        <v>9.3000000000000007</v>
      </c>
      <c r="R1534" s="109">
        <f>VLOOKUP(B1534,Readme!$A$62:$C$74,2,)*Q1534</f>
        <v>32.913076089976464</v>
      </c>
      <c r="S1534" s="140" t="str">
        <f t="shared" si="133"/>
        <v>Y</v>
      </c>
      <c r="T1534" s="154">
        <f t="shared" si="134"/>
        <v>3.4399999999999995</v>
      </c>
      <c r="U1534" s="154">
        <f t="shared" si="135"/>
        <v>3.5390404397824153</v>
      </c>
    </row>
    <row r="1535" spans="1:21" x14ac:dyDescent="0.35">
      <c r="A1535" s="108">
        <v>2915</v>
      </c>
      <c r="B1535" s="108">
        <v>2013</v>
      </c>
      <c r="C1535" s="108" t="s">
        <v>38</v>
      </c>
      <c r="D1535" s="108" t="s">
        <v>143</v>
      </c>
      <c r="E1535" s="108" t="s">
        <v>10</v>
      </c>
      <c r="F1535" s="116">
        <v>762</v>
      </c>
      <c r="G1535" s="108" t="s">
        <v>48</v>
      </c>
      <c r="H1535" s="108" t="str">
        <f t="shared" si="132"/>
        <v>Lake Washington</v>
      </c>
      <c r="I1535" s="108" t="str">
        <f>IFERROR(VLOOKUP(H1535,LUTs!$A$1:$C$73,2,FALSE),"NA")</f>
        <v>King</v>
      </c>
      <c r="J1535" s="108" t="str">
        <f>IFERROR(VLOOKUP(H1535,LUTs!$A$1:$C$73,3,FALSE),"NA")</f>
        <v>2Central Puget Sound</v>
      </c>
      <c r="K1535" s="108" t="s">
        <v>16</v>
      </c>
      <c r="L1535" s="108" t="str">
        <f>VLOOKUP(K1535,LUTs!E$2:G$14,3,)</f>
        <v>03Snohomish</v>
      </c>
      <c r="M1535" s="108" t="str">
        <f>VLOOKUP($K1535,LUTs!$E$2:$H$14,2,)</f>
        <v>North Puget Sound</v>
      </c>
      <c r="N1535" s="108" t="str">
        <f>VLOOKUP($K1535,LUTs!$E$2:$H$14,4,)</f>
        <v>01North Puget Sound</v>
      </c>
      <c r="O1535" s="108">
        <v>9.3125</v>
      </c>
      <c r="P1535" s="108">
        <v>32.034999999999997</v>
      </c>
      <c r="Q1535" s="108">
        <f>SUMIFS('FW_Salmon_by_Month_2010-2021'!P$2:P$3810,'FW_Salmon_by_Month_2010-2021'!$B$2:$B$3810,'Rec_raw_catch_effort_2010-2021'!$B1535,'FW_Salmon_by_Month_2010-2021'!$H$2:$H$3810,'Rec_raw_catch_effort_2010-2021'!$F1535,'FW_Salmon_by_Month_2010-2021'!$M$2:$M$3810,'Rec_raw_catch_effort_2010-2021'!$K1535)</f>
        <v>9.3000000000000007</v>
      </c>
      <c r="R1535" s="109">
        <f>VLOOKUP(B1535,Readme!$A$62:$C$74,2,)*Q1535</f>
        <v>32.913076089976464</v>
      </c>
      <c r="S1535" s="140" t="str">
        <f t="shared" si="133"/>
        <v>Y</v>
      </c>
      <c r="T1535" s="154">
        <f t="shared" si="134"/>
        <v>3.4399999999999995</v>
      </c>
      <c r="U1535" s="154">
        <f t="shared" si="135"/>
        <v>3.5390404397824153</v>
      </c>
    </row>
    <row r="1536" spans="1:21" x14ac:dyDescent="0.35">
      <c r="A1536" s="108">
        <v>3270</v>
      </c>
      <c r="B1536" s="108">
        <v>2014</v>
      </c>
      <c r="C1536" s="108" t="s">
        <v>38</v>
      </c>
      <c r="D1536" s="108" t="s">
        <v>143</v>
      </c>
      <c r="E1536" s="108" t="s">
        <v>10</v>
      </c>
      <c r="F1536" s="116">
        <v>762</v>
      </c>
      <c r="G1536" s="108" t="s">
        <v>48</v>
      </c>
      <c r="H1536" s="108" t="str">
        <f t="shared" si="132"/>
        <v>Lake Washington</v>
      </c>
      <c r="I1536" s="108" t="str">
        <f>IFERROR(VLOOKUP(H1536,LUTs!$A$1:$C$73,2,FALSE),"NA")</f>
        <v>King</v>
      </c>
      <c r="J1536" s="108" t="str">
        <f>IFERROR(VLOOKUP(H1536,LUTs!$A$1:$C$73,3,FALSE),"NA")</f>
        <v>2Central Puget Sound</v>
      </c>
      <c r="K1536" s="108" t="s">
        <v>18</v>
      </c>
      <c r="L1536" s="108" t="str">
        <f>VLOOKUP(K1536,LUTs!E$2:G$14,3,)</f>
        <v>06King</v>
      </c>
      <c r="M1536" s="108" t="str">
        <f>VLOOKUP($K1536,LUTs!$E$2:$H$14,2,)</f>
        <v>South Puget Sound</v>
      </c>
      <c r="N1536" s="108" t="str">
        <f>VLOOKUP($K1536,LUTs!$E$2:$H$14,4,)</f>
        <v>02South Puget Sound</v>
      </c>
      <c r="O1536" s="108">
        <v>550.84615384615404</v>
      </c>
      <c r="P1536" s="108">
        <v>4764.8192307692298</v>
      </c>
      <c r="Q1536" s="108">
        <f>SUMIFS('FW_Salmon_by_Month_2010-2021'!P$2:P$3810,'FW_Salmon_by_Month_2010-2021'!$B$2:$B$3810,'Rec_raw_catch_effort_2010-2021'!$B1536,'FW_Salmon_by_Month_2010-2021'!$H$2:$H$3810,'Rec_raw_catch_effort_2010-2021'!$F1536,'FW_Salmon_by_Month_2010-2021'!$M$2:$M$3810,'Rec_raw_catch_effort_2010-2021'!$K1536)</f>
        <v>550.87443037974697</v>
      </c>
      <c r="R1536" s="109">
        <f>VLOOKUP(B1536,Readme!$A$62:$C$74,2,)*Q1536</f>
        <v>2654.9695624872797</v>
      </c>
      <c r="S1536" s="140" t="str">
        <f t="shared" si="133"/>
        <v>Y</v>
      </c>
      <c r="T1536" s="154">
        <f t="shared" si="134"/>
        <v>8.649999999999995</v>
      </c>
      <c r="U1536" s="154">
        <f t="shared" si="135"/>
        <v>4.8195549041132084</v>
      </c>
    </row>
    <row r="1537" spans="1:21" x14ac:dyDescent="0.35">
      <c r="A1537" s="108">
        <v>3271</v>
      </c>
      <c r="B1537" s="108">
        <v>2014</v>
      </c>
      <c r="C1537" s="108" t="s">
        <v>38</v>
      </c>
      <c r="D1537" s="108" t="s">
        <v>143</v>
      </c>
      <c r="E1537" s="108" t="s">
        <v>10</v>
      </c>
      <c r="F1537" s="116">
        <v>762</v>
      </c>
      <c r="G1537" s="108" t="s">
        <v>48</v>
      </c>
      <c r="H1537" s="108" t="str">
        <f t="shared" si="132"/>
        <v>Lake Washington</v>
      </c>
      <c r="I1537" s="108" t="str">
        <f>IFERROR(VLOOKUP(H1537,LUTs!$A$1:$C$73,2,FALSE),"NA")</f>
        <v>King</v>
      </c>
      <c r="J1537" s="108" t="str">
        <f>IFERROR(VLOOKUP(H1537,LUTs!$A$1:$C$73,3,FALSE),"NA")</f>
        <v>2Central Puget Sound</v>
      </c>
      <c r="K1537" s="108" t="s">
        <v>26</v>
      </c>
      <c r="L1537" s="108" t="str">
        <f>VLOOKUP(K1537,LUTs!E$2:G$14,3,)</f>
        <v>20Other</v>
      </c>
      <c r="M1537" s="108" t="str">
        <f>VLOOKUP($K1537,LUTs!$E$2:$H$14,2,)</f>
        <v>Non Puget Sound</v>
      </c>
      <c r="N1537" s="108" t="str">
        <f>VLOOKUP($K1537,LUTs!$E$2:$H$14,4,)</f>
        <v>07Non Puget Sound</v>
      </c>
      <c r="O1537" s="108">
        <v>7.1538461538461604</v>
      </c>
      <c r="P1537" s="108">
        <v>61.880769230769303</v>
      </c>
      <c r="Q1537" s="108">
        <f>SUMIFS('FW_Salmon_by_Month_2010-2021'!P$2:P$3810,'FW_Salmon_by_Month_2010-2021'!$B$2:$B$3810,'Rec_raw_catch_effort_2010-2021'!$B1537,'FW_Salmon_by_Month_2010-2021'!$H$2:$H$3810,'Rec_raw_catch_effort_2010-2021'!$F1537,'FW_Salmon_by_Month_2010-2021'!$M$2:$M$3810,'Rec_raw_catch_effort_2010-2021'!$K1537)</f>
        <v>7.1518987341772204</v>
      </c>
      <c r="R1537" s="109">
        <f>VLOOKUP(B1537,Readme!$A$62:$C$74,2,)*Q1537</f>
        <v>34.468968618024867</v>
      </c>
      <c r="S1537" s="140" t="str">
        <f t="shared" si="133"/>
        <v>Y</v>
      </c>
      <c r="T1537" s="154">
        <f t="shared" si="134"/>
        <v>8.6500000000000021</v>
      </c>
      <c r="U1537" s="154">
        <f t="shared" si="135"/>
        <v>4.8195549041132075</v>
      </c>
    </row>
    <row r="1538" spans="1:21" x14ac:dyDescent="0.35">
      <c r="A1538" s="108">
        <v>3269</v>
      </c>
      <c r="B1538" s="108">
        <v>2014</v>
      </c>
      <c r="C1538" s="108" t="s">
        <v>38</v>
      </c>
      <c r="D1538" s="108" t="s">
        <v>143</v>
      </c>
      <c r="E1538" s="108" t="s">
        <v>10</v>
      </c>
      <c r="F1538" s="116">
        <v>762</v>
      </c>
      <c r="G1538" s="108" t="s">
        <v>48</v>
      </c>
      <c r="H1538" s="108" t="str">
        <f t="shared" ref="H1538:H1601" si="136">G1538</f>
        <v>Lake Washington</v>
      </c>
      <c r="I1538" s="108" t="str">
        <f>IFERROR(VLOOKUP(H1538,LUTs!$A$1:$C$73,2,FALSE),"NA")</f>
        <v>King</v>
      </c>
      <c r="J1538" s="108" t="str">
        <f>IFERROR(VLOOKUP(H1538,LUTs!$A$1:$C$73,3,FALSE),"NA")</f>
        <v>2Central Puget Sound</v>
      </c>
      <c r="K1538" s="108" t="s">
        <v>16</v>
      </c>
      <c r="L1538" s="108" t="str">
        <f>VLOOKUP(K1538,LUTs!E$2:G$14,3,)</f>
        <v>03Snohomish</v>
      </c>
      <c r="M1538" s="108" t="str">
        <f>VLOOKUP($K1538,LUTs!$E$2:$H$14,2,)</f>
        <v>North Puget Sound</v>
      </c>
      <c r="N1538" s="108" t="str">
        <f>VLOOKUP($K1538,LUTs!$E$2:$H$14,4,)</f>
        <v>01North Puget Sound</v>
      </c>
      <c r="O1538" s="108">
        <v>186</v>
      </c>
      <c r="P1538" s="108">
        <v>1608.9</v>
      </c>
      <c r="Q1538" s="108">
        <f>SUMIFS('FW_Salmon_by_Month_2010-2021'!P$2:P$3810,'FW_Salmon_by_Month_2010-2021'!$B$2:$B$3810,'Rec_raw_catch_effort_2010-2021'!$B1538,'FW_Salmon_by_Month_2010-2021'!$H$2:$H$3810,'Rec_raw_catch_effort_2010-2021'!$F1538,'FW_Salmon_by_Month_2010-2021'!$M$2:$M$3810,'Rec_raw_catch_effort_2010-2021'!$K1538)</f>
        <v>185.97367088607598</v>
      </c>
      <c r="R1538" s="109">
        <f>VLOOKUP(B1538,Readme!$A$62:$C$74,2,)*Q1538</f>
        <v>896.31031755492324</v>
      </c>
      <c r="S1538" s="140" t="str">
        <f t="shared" si="133"/>
        <v>Y</v>
      </c>
      <c r="T1538" s="154">
        <f t="shared" si="134"/>
        <v>8.65</v>
      </c>
      <c r="U1538" s="154">
        <f t="shared" si="135"/>
        <v>4.8195549041132084</v>
      </c>
    </row>
    <row r="1539" spans="1:21" x14ac:dyDescent="0.35">
      <c r="A1539" s="108">
        <v>3495</v>
      </c>
      <c r="B1539" s="108">
        <v>2015</v>
      </c>
      <c r="C1539" s="108" t="s">
        <v>38</v>
      </c>
      <c r="D1539" s="108" t="s">
        <v>143</v>
      </c>
      <c r="E1539" s="108" t="s">
        <v>10</v>
      </c>
      <c r="F1539" s="116">
        <v>762</v>
      </c>
      <c r="G1539" s="108" t="s">
        <v>48</v>
      </c>
      <c r="H1539" s="108" t="str">
        <f t="shared" si="136"/>
        <v>Lake Washington</v>
      </c>
      <c r="I1539" s="108" t="str">
        <f>IFERROR(VLOOKUP(H1539,LUTs!$A$1:$C$73,2,FALSE),"NA")</f>
        <v>King</v>
      </c>
      <c r="J1539" s="108" t="str">
        <f>IFERROR(VLOOKUP(H1539,LUTs!$A$1:$C$73,3,FALSE),"NA")</f>
        <v>2Central Puget Sound</v>
      </c>
      <c r="K1539" s="108" t="s">
        <v>18</v>
      </c>
      <c r="L1539" s="108" t="str">
        <f>VLOOKUP(K1539,LUTs!E$2:G$14,3,)</f>
        <v>06King</v>
      </c>
      <c r="M1539" s="108" t="str">
        <f>VLOOKUP($K1539,LUTs!$E$2:$H$14,2,)</f>
        <v>South Puget Sound</v>
      </c>
      <c r="N1539" s="108" t="str">
        <f>VLOOKUP($K1539,LUTs!$E$2:$H$14,4,)</f>
        <v>02South Puget Sound</v>
      </c>
      <c r="O1539" s="108">
        <v>123.2</v>
      </c>
      <c r="P1539" s="108">
        <v>423.80799999999999</v>
      </c>
      <c r="Q1539" s="108">
        <f>SUMIFS('FW_Salmon_by_Month_2010-2021'!P$2:P$3810,'FW_Salmon_by_Month_2010-2021'!$B$2:$B$3810,'Rec_raw_catch_effort_2010-2021'!$B1539,'FW_Salmon_by_Month_2010-2021'!$H$2:$H$3810,'Rec_raw_catch_effort_2010-2021'!$F1539,'FW_Salmon_by_Month_2010-2021'!$M$2:$M$3810,'Rec_raw_catch_effort_2010-2021'!$K1539)</f>
        <v>123.25</v>
      </c>
      <c r="R1539" s="109">
        <f>VLOOKUP(B1539,Readme!$A$62:$C$74,2,)*Q1539</f>
        <v>436.18673420318271</v>
      </c>
      <c r="S1539" s="140" t="str">
        <f t="shared" ref="S1539:S1602" si="137">IF(B1539&lt;=2019,"Y","N")</f>
        <v>Y</v>
      </c>
      <c r="T1539" s="154">
        <f t="shared" ref="T1539:T1602" si="138">IFERROR(P1539/O1539,"NA")</f>
        <v>3.44</v>
      </c>
      <c r="U1539" s="154">
        <f t="shared" ref="U1539:U1602" si="139">IFERROR(R1539/Q1539,"NA")</f>
        <v>3.5390404397824153</v>
      </c>
    </row>
    <row r="1540" spans="1:21" x14ac:dyDescent="0.35">
      <c r="A1540" s="108">
        <v>3541</v>
      </c>
      <c r="B1540" s="108">
        <v>2015</v>
      </c>
      <c r="C1540" s="108" t="s">
        <v>38</v>
      </c>
      <c r="D1540" s="108" t="s">
        <v>143</v>
      </c>
      <c r="E1540" s="108" t="s">
        <v>10</v>
      </c>
      <c r="F1540" s="116">
        <v>762</v>
      </c>
      <c r="G1540" s="108" t="s">
        <v>48</v>
      </c>
      <c r="H1540" s="108" t="str">
        <f t="shared" si="136"/>
        <v>Lake Washington</v>
      </c>
      <c r="I1540" s="108" t="str">
        <f>IFERROR(VLOOKUP(H1540,LUTs!$A$1:$C$73,2,FALSE),"NA")</f>
        <v>King</v>
      </c>
      <c r="J1540" s="108" t="str">
        <f>IFERROR(VLOOKUP(H1540,LUTs!$A$1:$C$73,3,FALSE),"NA")</f>
        <v>2Central Puget Sound</v>
      </c>
      <c r="K1540" s="108" t="s">
        <v>26</v>
      </c>
      <c r="L1540" s="108" t="str">
        <f>VLOOKUP(K1540,LUTs!E$2:G$14,3,)</f>
        <v>20Other</v>
      </c>
      <c r="M1540" s="108" t="str">
        <f>VLOOKUP($K1540,LUTs!$E$2:$H$14,2,)</f>
        <v>Non Puget Sound</v>
      </c>
      <c r="N1540" s="108" t="str">
        <f>VLOOKUP($K1540,LUTs!$E$2:$H$14,4,)</f>
        <v>07Non Puget Sound</v>
      </c>
      <c r="O1540" s="108">
        <v>8.8000000000000007</v>
      </c>
      <c r="P1540" s="108">
        <v>30.271999999999998</v>
      </c>
      <c r="Q1540" s="108">
        <f>SUMIFS('FW_Salmon_by_Month_2010-2021'!P$2:P$3810,'FW_Salmon_by_Month_2010-2021'!$B$2:$B$3810,'Rec_raw_catch_effort_2010-2021'!$B1540,'FW_Salmon_by_Month_2010-2021'!$H$2:$H$3810,'Rec_raw_catch_effort_2010-2021'!$F1540,'FW_Salmon_by_Month_2010-2021'!$M$2:$M$3810,'Rec_raw_catch_effort_2010-2021'!$K1540)</f>
        <v>8.75</v>
      </c>
      <c r="R1540" s="109">
        <f>VLOOKUP(B1540,Readme!$A$62:$C$74,2,)*Q1540</f>
        <v>30.966603848096135</v>
      </c>
      <c r="S1540" s="140" t="str">
        <f t="shared" si="137"/>
        <v>Y</v>
      </c>
      <c r="T1540" s="154">
        <f t="shared" si="138"/>
        <v>3.4399999999999995</v>
      </c>
      <c r="U1540" s="154">
        <f t="shared" si="139"/>
        <v>3.5390404397824153</v>
      </c>
    </row>
    <row r="1541" spans="1:21" x14ac:dyDescent="0.35">
      <c r="A1541" s="108">
        <v>3673</v>
      </c>
      <c r="B1541" s="108">
        <v>2016</v>
      </c>
      <c r="C1541" s="108" t="s">
        <v>38</v>
      </c>
      <c r="D1541" s="108" t="s">
        <v>143</v>
      </c>
      <c r="E1541" s="108" t="s">
        <v>10</v>
      </c>
      <c r="F1541" s="116">
        <v>762</v>
      </c>
      <c r="G1541" s="108" t="s">
        <v>48</v>
      </c>
      <c r="H1541" s="108" t="str">
        <f t="shared" si="136"/>
        <v>Lake Washington</v>
      </c>
      <c r="I1541" s="108" t="str">
        <f>IFERROR(VLOOKUP(H1541,LUTs!$A$1:$C$73,2,FALSE),"NA")</f>
        <v>King</v>
      </c>
      <c r="J1541" s="108" t="str">
        <f>IFERROR(VLOOKUP(H1541,LUTs!$A$1:$C$73,3,FALSE),"NA")</f>
        <v>2Central Puget Sound</v>
      </c>
      <c r="K1541" s="108" t="s">
        <v>18</v>
      </c>
      <c r="L1541" s="108" t="str">
        <f>VLOOKUP(K1541,LUTs!E$2:G$14,3,)</f>
        <v>06King</v>
      </c>
      <c r="M1541" s="108" t="str">
        <f>VLOOKUP($K1541,LUTs!$E$2:$H$14,2,)</f>
        <v>South Puget Sound</v>
      </c>
      <c r="N1541" s="108" t="str">
        <f>VLOOKUP($K1541,LUTs!$E$2:$H$14,4,)</f>
        <v>02South Puget Sound</v>
      </c>
      <c r="O1541" s="108">
        <v>607.72941176470601</v>
      </c>
      <c r="P1541" s="108">
        <v>5256.8594117647099</v>
      </c>
      <c r="Q1541" s="108">
        <f>SUMIFS('FW_Salmon_by_Month_2010-2021'!P$2:P$3810,'FW_Salmon_by_Month_2010-2021'!$B$2:$B$3810,'Rec_raw_catch_effort_2010-2021'!$B1541,'FW_Salmon_by_Month_2010-2021'!$H$2:$H$3810,'Rec_raw_catch_effort_2010-2021'!$F1541,'FW_Salmon_by_Month_2010-2021'!$M$2:$M$3810,'Rec_raw_catch_effort_2010-2021'!$K1541)</f>
        <v>637.5</v>
      </c>
      <c r="R1541" s="109">
        <f>VLOOKUP(B1541,Readme!$A$62:$C$74,2,)*Q1541</f>
        <v>3072.4662513721705</v>
      </c>
      <c r="S1541" s="140" t="str">
        <f t="shared" si="137"/>
        <v>Y</v>
      </c>
      <c r="T1541" s="154">
        <f t="shared" si="138"/>
        <v>8.6500000000000039</v>
      </c>
      <c r="U1541" s="154">
        <f t="shared" si="139"/>
        <v>4.8195549041132084</v>
      </c>
    </row>
    <row r="1542" spans="1:21" x14ac:dyDescent="0.35">
      <c r="A1542" s="108">
        <v>3646</v>
      </c>
      <c r="B1542" s="108">
        <v>2016</v>
      </c>
      <c r="C1542" s="108" t="s">
        <v>38</v>
      </c>
      <c r="D1542" s="108" t="s">
        <v>143</v>
      </c>
      <c r="E1542" s="108" t="s">
        <v>10</v>
      </c>
      <c r="F1542" s="116">
        <v>762</v>
      </c>
      <c r="G1542" s="108" t="s">
        <v>48</v>
      </c>
      <c r="H1542" s="108" t="str">
        <f t="shared" si="136"/>
        <v>Lake Washington</v>
      </c>
      <c r="I1542" s="108" t="str">
        <f>IFERROR(VLOOKUP(H1542,LUTs!$A$1:$C$73,2,FALSE),"NA")</f>
        <v>King</v>
      </c>
      <c r="J1542" s="108" t="str">
        <f>IFERROR(VLOOKUP(H1542,LUTs!$A$1:$C$73,3,FALSE),"NA")</f>
        <v>2Central Puget Sound</v>
      </c>
      <c r="K1542" s="108" t="s">
        <v>16</v>
      </c>
      <c r="L1542" s="108" t="str">
        <f>VLOOKUP(K1542,LUTs!E$2:G$14,3,)</f>
        <v>03Snohomish</v>
      </c>
      <c r="M1542" s="108" t="str">
        <f>VLOOKUP($K1542,LUTs!$E$2:$H$14,2,)</f>
        <v>North Puget Sound</v>
      </c>
      <c r="N1542" s="108" t="str">
        <f>VLOOKUP($K1542,LUTs!$E$2:$H$14,4,)</f>
        <v>01North Puget Sound</v>
      </c>
      <c r="O1542" s="108">
        <v>163.27058823529401</v>
      </c>
      <c r="P1542" s="108">
        <v>1412.29058823529</v>
      </c>
      <c r="Q1542" s="108">
        <f>SUMIFS('FW_Salmon_by_Month_2010-2021'!P$2:P$3810,'FW_Salmon_by_Month_2010-2021'!$B$2:$B$3810,'Rec_raw_catch_effort_2010-2021'!$B1542,'FW_Salmon_by_Month_2010-2021'!$H$2:$H$3810,'Rec_raw_catch_effort_2010-2021'!$F1542,'FW_Salmon_by_Month_2010-2021'!$M$2:$M$3810,'Rec_raw_catch_effort_2010-2021'!$K1542)</f>
        <v>133.5</v>
      </c>
      <c r="R1542" s="109">
        <f>VLOOKUP(B1542,Readme!$A$62:$C$74,2,)*Q1542</f>
        <v>643.41057969911333</v>
      </c>
      <c r="S1542" s="140" t="str">
        <f t="shared" si="137"/>
        <v>Y</v>
      </c>
      <c r="T1542" s="154">
        <f t="shared" si="138"/>
        <v>8.6499999999999808</v>
      </c>
      <c r="U1542" s="154">
        <f t="shared" si="139"/>
        <v>4.8195549041132084</v>
      </c>
    </row>
    <row r="1543" spans="1:21" x14ac:dyDescent="0.35">
      <c r="A1543" s="108">
        <v>3</v>
      </c>
      <c r="B1543" s="108">
        <v>2017</v>
      </c>
      <c r="C1543" s="108" t="s">
        <v>38</v>
      </c>
      <c r="D1543" s="108" t="s">
        <v>143</v>
      </c>
      <c r="E1543" s="108" t="s">
        <v>10</v>
      </c>
      <c r="F1543" s="116">
        <v>762</v>
      </c>
      <c r="G1543" s="108" t="s">
        <v>48</v>
      </c>
      <c r="H1543" s="108" t="str">
        <f t="shared" si="136"/>
        <v>Lake Washington</v>
      </c>
      <c r="I1543" s="108" t="str">
        <f>IFERROR(VLOOKUP(H1543,LUTs!$A$1:$C$73,2,FALSE),"NA")</f>
        <v>King</v>
      </c>
      <c r="J1543" s="108" t="str">
        <f>IFERROR(VLOOKUP(H1543,LUTs!$A$1:$C$73,3,FALSE),"NA")</f>
        <v>2Central Puget Sound</v>
      </c>
      <c r="K1543" s="108" t="s">
        <v>18</v>
      </c>
      <c r="L1543" s="108" t="str">
        <f>VLOOKUP(K1543,LUTs!E$2:G$14,3,)</f>
        <v>06King</v>
      </c>
      <c r="M1543" s="108" t="str">
        <f>VLOOKUP($K1543,LUTs!$E$2:$H$14,2,)</f>
        <v>South Puget Sound</v>
      </c>
      <c r="N1543" s="108" t="str">
        <f>VLOOKUP($K1543,LUTs!$E$2:$H$14,4,)</f>
        <v>02South Puget Sound</v>
      </c>
      <c r="O1543" s="108">
        <v>326.90196078431399</v>
      </c>
      <c r="P1543" s="108">
        <v>1124.5427450980401</v>
      </c>
      <c r="Q1543" s="108">
        <f>SUMIFS('FW_Salmon_by_Month_2010-2021'!P$2:P$3810,'FW_Salmon_by_Month_2010-2021'!$B$2:$B$3810,'Rec_raw_catch_effort_2010-2021'!$B1543,'FW_Salmon_by_Month_2010-2021'!$H$2:$H$3810,'Rec_raw_catch_effort_2010-2021'!$F1543,'FW_Salmon_by_Month_2010-2021'!$M$2:$M$3810,'Rec_raw_catch_effort_2010-2021'!$K1543)</f>
        <v>347.38260869565198</v>
      </c>
      <c r="R1543" s="109">
        <f>VLOOKUP(B1543,Readme!$A$62:$C$74,2,)*Q1543</f>
        <v>1229.4011002510229</v>
      </c>
      <c r="S1543" s="140" t="str">
        <f t="shared" si="137"/>
        <v>Y</v>
      </c>
      <c r="T1543" s="154">
        <f t="shared" si="138"/>
        <v>3.44</v>
      </c>
      <c r="U1543" s="154">
        <f t="shared" si="139"/>
        <v>3.5390404397824153</v>
      </c>
    </row>
    <row r="1544" spans="1:21" x14ac:dyDescent="0.35">
      <c r="A1544" s="108">
        <v>2</v>
      </c>
      <c r="B1544" s="108">
        <v>2017</v>
      </c>
      <c r="C1544" s="108" t="s">
        <v>38</v>
      </c>
      <c r="D1544" s="108" t="s">
        <v>143</v>
      </c>
      <c r="E1544" s="108" t="s">
        <v>10</v>
      </c>
      <c r="F1544" s="116">
        <v>762</v>
      </c>
      <c r="G1544" s="108" t="s">
        <v>48</v>
      </c>
      <c r="H1544" s="108" t="str">
        <f t="shared" si="136"/>
        <v>Lake Washington</v>
      </c>
      <c r="I1544" s="108" t="str">
        <f>IFERROR(VLOOKUP(H1544,LUTs!$A$1:$C$73,2,FALSE),"NA")</f>
        <v>King</v>
      </c>
      <c r="J1544" s="108" t="str">
        <f>IFERROR(VLOOKUP(H1544,LUTs!$A$1:$C$73,3,FALSE),"NA")</f>
        <v>2Central Puget Sound</v>
      </c>
      <c r="K1544" s="108" t="s">
        <v>16</v>
      </c>
      <c r="L1544" s="108" t="str">
        <f>VLOOKUP(K1544,LUTs!E$2:G$14,3,)</f>
        <v>03Snohomish</v>
      </c>
      <c r="M1544" s="108" t="str">
        <f>VLOOKUP($K1544,LUTs!$E$2:$H$14,2,)</f>
        <v>North Puget Sound</v>
      </c>
      <c r="N1544" s="108" t="str">
        <f>VLOOKUP($K1544,LUTs!$E$2:$H$14,4,)</f>
        <v>01North Puget Sound</v>
      </c>
      <c r="O1544" s="108">
        <v>194.09803921568599</v>
      </c>
      <c r="P1544" s="108">
        <v>667.69725490196004</v>
      </c>
      <c r="Q1544" s="108">
        <f>SUMIFS('FW_Salmon_by_Month_2010-2021'!P$2:P$3810,'FW_Salmon_by_Month_2010-2021'!$B$2:$B$3810,'Rec_raw_catch_effort_2010-2021'!$B1544,'FW_Salmon_by_Month_2010-2021'!$H$2:$H$3810,'Rec_raw_catch_effort_2010-2021'!$F1544,'FW_Salmon_by_Month_2010-2021'!$M$2:$M$3810,'Rec_raw_catch_effort_2010-2021'!$K1544)</f>
        <v>173.61739130434779</v>
      </c>
      <c r="R1544" s="109">
        <f>VLOOKUP(B1544,Readme!$A$62:$C$74,2,)*Q1544</f>
        <v>614.43896887561471</v>
      </c>
      <c r="S1544" s="140" t="str">
        <f t="shared" si="137"/>
        <v>Y</v>
      </c>
      <c r="T1544" s="154">
        <f t="shared" si="138"/>
        <v>3.4400000000000013</v>
      </c>
      <c r="U1544" s="154">
        <f t="shared" si="139"/>
        <v>3.5390404397824153</v>
      </c>
    </row>
    <row r="1545" spans="1:21" x14ac:dyDescent="0.35">
      <c r="A1545" s="108">
        <v>12</v>
      </c>
      <c r="B1545" s="108">
        <v>2018</v>
      </c>
      <c r="C1545" s="108" t="s">
        <v>38</v>
      </c>
      <c r="D1545" s="108" t="s">
        <v>143</v>
      </c>
      <c r="E1545" s="108" t="s">
        <v>10</v>
      </c>
      <c r="F1545" s="116">
        <v>762</v>
      </c>
      <c r="G1545" s="108" t="s">
        <v>48</v>
      </c>
      <c r="H1545" s="108" t="str">
        <f t="shared" si="136"/>
        <v>Lake Washington</v>
      </c>
      <c r="I1545" s="108" t="str">
        <f>IFERROR(VLOOKUP(H1545,LUTs!$A$1:$C$73,2,FALSE),"NA")</f>
        <v>King</v>
      </c>
      <c r="J1545" s="108" t="str">
        <f>IFERROR(VLOOKUP(H1545,LUTs!$A$1:$C$73,3,FALSE),"NA")</f>
        <v>2Central Puget Sound</v>
      </c>
      <c r="K1545" s="108" t="s">
        <v>18</v>
      </c>
      <c r="L1545" s="108" t="str">
        <f>VLOOKUP(K1545,LUTs!E$2:G$14,3,)</f>
        <v>06King</v>
      </c>
      <c r="M1545" s="108" t="str">
        <f>VLOOKUP($K1545,LUTs!$E$2:$H$14,2,)</f>
        <v>South Puget Sound</v>
      </c>
      <c r="N1545" s="108" t="str">
        <f>VLOOKUP($K1545,LUTs!$E$2:$H$14,4,)</f>
        <v>02South Puget Sound</v>
      </c>
      <c r="O1545" s="108">
        <v>90.3</v>
      </c>
      <c r="P1545" s="108">
        <v>781.09500000000003</v>
      </c>
      <c r="Q1545" s="108">
        <f>SUMIFS('FW_Salmon_by_Month_2010-2021'!P$2:P$3810,'FW_Salmon_by_Month_2010-2021'!$B$2:$B$3810,'Rec_raw_catch_effort_2010-2021'!$B1545,'FW_Salmon_by_Month_2010-2021'!$H$2:$H$3810,'Rec_raw_catch_effort_2010-2021'!$F1545,'FW_Salmon_by_Month_2010-2021'!$M$2:$M$3810,'Rec_raw_catch_effort_2010-2021'!$K1545)</f>
        <v>90.3</v>
      </c>
      <c r="R1545" s="109">
        <f>VLOOKUP(B1545,Readme!$A$62:$C$74,2,)*Q1545</f>
        <v>435.20580784142271</v>
      </c>
      <c r="S1545" s="140" t="str">
        <f t="shared" si="137"/>
        <v>Y</v>
      </c>
      <c r="T1545" s="154">
        <f t="shared" si="138"/>
        <v>8.65</v>
      </c>
      <c r="U1545" s="154">
        <f t="shared" si="139"/>
        <v>4.8195549041132084</v>
      </c>
    </row>
    <row r="1546" spans="1:21" x14ac:dyDescent="0.35">
      <c r="A1546" s="108">
        <v>11</v>
      </c>
      <c r="B1546" s="108">
        <v>2018</v>
      </c>
      <c r="C1546" s="108" t="s">
        <v>38</v>
      </c>
      <c r="D1546" s="108" t="s">
        <v>143</v>
      </c>
      <c r="E1546" s="108" t="s">
        <v>10</v>
      </c>
      <c r="F1546" s="116">
        <v>762</v>
      </c>
      <c r="G1546" s="108" t="s">
        <v>48</v>
      </c>
      <c r="H1546" s="108" t="str">
        <f t="shared" si="136"/>
        <v>Lake Washington</v>
      </c>
      <c r="I1546" s="108" t="str">
        <f>IFERROR(VLOOKUP(H1546,LUTs!$A$1:$C$73,2,FALSE),"NA")</f>
        <v>King</v>
      </c>
      <c r="J1546" s="108" t="str">
        <f>IFERROR(VLOOKUP(H1546,LUTs!$A$1:$C$73,3,FALSE),"NA")</f>
        <v>2Central Puget Sound</v>
      </c>
      <c r="K1546" s="108" t="s">
        <v>16</v>
      </c>
      <c r="L1546" s="108" t="str">
        <f>VLOOKUP(K1546,LUTs!E$2:G$14,3,)</f>
        <v>03Snohomish</v>
      </c>
      <c r="M1546" s="108" t="str">
        <f>VLOOKUP($K1546,LUTs!$E$2:$H$14,2,)</f>
        <v>North Puget Sound</v>
      </c>
      <c r="N1546" s="108" t="str">
        <f>VLOOKUP($K1546,LUTs!$E$2:$H$14,4,)</f>
        <v>01North Puget Sound</v>
      </c>
      <c r="O1546" s="108">
        <v>210.7</v>
      </c>
      <c r="P1546" s="108">
        <v>1822.5550000000001</v>
      </c>
      <c r="Q1546" s="108">
        <f>SUMIFS('FW_Salmon_by_Month_2010-2021'!P$2:P$3810,'FW_Salmon_by_Month_2010-2021'!$B$2:$B$3810,'Rec_raw_catch_effort_2010-2021'!$B1546,'FW_Salmon_by_Month_2010-2021'!$H$2:$H$3810,'Rec_raw_catch_effort_2010-2021'!$F1546,'FW_Salmon_by_Month_2010-2021'!$M$2:$M$3810,'Rec_raw_catch_effort_2010-2021'!$K1546)</f>
        <v>210.7</v>
      </c>
      <c r="R1546" s="109">
        <f>VLOOKUP(B1546,Readme!$A$62:$C$74,2,)*Q1546</f>
        <v>1015.480218296653</v>
      </c>
      <c r="S1546" s="140" t="str">
        <f t="shared" si="137"/>
        <v>Y</v>
      </c>
      <c r="T1546" s="154">
        <f t="shared" si="138"/>
        <v>8.65</v>
      </c>
      <c r="U1546" s="154">
        <f t="shared" si="139"/>
        <v>4.8195549041132084</v>
      </c>
    </row>
    <row r="1547" spans="1:21" x14ac:dyDescent="0.35">
      <c r="A1547" s="108">
        <v>24</v>
      </c>
      <c r="B1547" s="108">
        <v>2019</v>
      </c>
      <c r="C1547" s="108" t="s">
        <v>38</v>
      </c>
      <c r="D1547" s="108" t="s">
        <v>143</v>
      </c>
      <c r="E1547" s="108" t="s">
        <v>10</v>
      </c>
      <c r="F1547" s="116">
        <v>762</v>
      </c>
      <c r="G1547" s="108" t="s">
        <v>48</v>
      </c>
      <c r="H1547" s="108" t="str">
        <f t="shared" si="136"/>
        <v>Lake Washington</v>
      </c>
      <c r="I1547" s="108" t="str">
        <f>IFERROR(VLOOKUP(H1547,LUTs!$A$1:$C$73,2,FALSE),"NA")</f>
        <v>King</v>
      </c>
      <c r="J1547" s="108" t="str">
        <f>IFERROR(VLOOKUP(H1547,LUTs!$A$1:$C$73,3,FALSE),"NA")</f>
        <v>2Central Puget Sound</v>
      </c>
      <c r="K1547" s="108" t="s">
        <v>18</v>
      </c>
      <c r="L1547" s="108" t="str">
        <f>VLOOKUP(K1547,LUTs!E$2:G$14,3,)</f>
        <v>06King</v>
      </c>
      <c r="M1547" s="108" t="str">
        <f>VLOOKUP($K1547,LUTs!$E$2:$H$14,2,)</f>
        <v>South Puget Sound</v>
      </c>
      <c r="N1547" s="108" t="str">
        <f>VLOOKUP($K1547,LUTs!$E$2:$H$14,4,)</f>
        <v>02South Puget Sound</v>
      </c>
      <c r="O1547" s="108">
        <v>451</v>
      </c>
      <c r="P1547" s="108">
        <v>1551.44</v>
      </c>
      <c r="Q1547" s="108">
        <f>SUMIFS('FW_Salmon_by_Month_2010-2021'!P$2:P$3810,'FW_Salmon_by_Month_2010-2021'!$B$2:$B$3810,'Rec_raw_catch_effort_2010-2021'!$B1547,'FW_Salmon_by_Month_2010-2021'!$H$2:$H$3810,'Rec_raw_catch_effort_2010-2021'!$F1547,'FW_Salmon_by_Month_2010-2021'!$M$2:$M$3810,'Rec_raw_catch_effort_2010-2021'!$K1547)</f>
        <v>451</v>
      </c>
      <c r="R1547" s="109">
        <f>VLOOKUP(B1547,Readme!$A$62:$C$74,2,)*Q1547</f>
        <v>1596.1072383418693</v>
      </c>
      <c r="S1547" s="140" t="str">
        <f t="shared" si="137"/>
        <v>Y</v>
      </c>
      <c r="T1547" s="154">
        <f t="shared" si="138"/>
        <v>3.44</v>
      </c>
      <c r="U1547" s="154">
        <f t="shared" si="139"/>
        <v>3.5390404397824153</v>
      </c>
    </row>
    <row r="1548" spans="1:21" x14ac:dyDescent="0.35">
      <c r="A1548" s="108">
        <v>23</v>
      </c>
      <c r="B1548" s="108">
        <v>2019</v>
      </c>
      <c r="C1548" s="108" t="s">
        <v>38</v>
      </c>
      <c r="D1548" s="108" t="s">
        <v>143</v>
      </c>
      <c r="E1548" s="108" t="s">
        <v>10</v>
      </c>
      <c r="F1548" s="116">
        <v>762</v>
      </c>
      <c r="G1548" s="108" t="s">
        <v>48</v>
      </c>
      <c r="H1548" s="108" t="str">
        <f t="shared" si="136"/>
        <v>Lake Washington</v>
      </c>
      <c r="I1548" s="108" t="str">
        <f>IFERROR(VLOOKUP(H1548,LUTs!$A$1:$C$73,2,FALSE),"NA")</f>
        <v>King</v>
      </c>
      <c r="J1548" s="108" t="str">
        <f>IFERROR(VLOOKUP(H1548,LUTs!$A$1:$C$73,3,FALSE),"NA")</f>
        <v>2Central Puget Sound</v>
      </c>
      <c r="K1548" s="108" t="s">
        <v>16</v>
      </c>
      <c r="L1548" s="108" t="str">
        <f>VLOOKUP(K1548,LUTs!E$2:G$14,3,)</f>
        <v>03Snohomish</v>
      </c>
      <c r="M1548" s="108" t="str">
        <f>VLOOKUP($K1548,LUTs!$E$2:$H$14,2,)</f>
        <v>North Puget Sound</v>
      </c>
      <c r="N1548" s="108" t="str">
        <f>VLOOKUP($K1548,LUTs!$E$2:$H$14,4,)</f>
        <v>01North Puget Sound</v>
      </c>
      <c r="O1548" s="108">
        <v>99</v>
      </c>
      <c r="P1548" s="108">
        <v>340.56</v>
      </c>
      <c r="Q1548" s="108">
        <f>SUMIFS('FW_Salmon_by_Month_2010-2021'!P$2:P$3810,'FW_Salmon_by_Month_2010-2021'!$B$2:$B$3810,'Rec_raw_catch_effort_2010-2021'!$B1548,'FW_Salmon_by_Month_2010-2021'!$H$2:$H$3810,'Rec_raw_catch_effort_2010-2021'!$F1548,'FW_Salmon_by_Month_2010-2021'!$M$2:$M$3810,'Rec_raw_catch_effort_2010-2021'!$K1548)</f>
        <v>99</v>
      </c>
      <c r="R1548" s="109">
        <f>VLOOKUP(B1548,Readme!$A$62:$C$74,2,)*Q1548</f>
        <v>350.36500353845912</v>
      </c>
      <c r="S1548" s="140" t="str">
        <f t="shared" si="137"/>
        <v>Y</v>
      </c>
      <c r="T1548" s="154">
        <f t="shared" si="138"/>
        <v>3.44</v>
      </c>
      <c r="U1548" s="154">
        <f t="shared" si="139"/>
        <v>3.5390404397824153</v>
      </c>
    </row>
    <row r="1549" spans="1:21" x14ac:dyDescent="0.35">
      <c r="A1549" s="108">
        <v>116</v>
      </c>
      <c r="B1549" s="108">
        <v>2020</v>
      </c>
      <c r="C1549" s="108" t="s">
        <v>38</v>
      </c>
      <c r="D1549" s="108" t="s">
        <v>143</v>
      </c>
      <c r="E1549" s="108" t="s">
        <v>10</v>
      </c>
      <c r="F1549" s="116">
        <v>762</v>
      </c>
      <c r="G1549" s="108" t="s">
        <v>48</v>
      </c>
      <c r="H1549" s="108" t="str">
        <f t="shared" si="136"/>
        <v>Lake Washington</v>
      </c>
      <c r="I1549" s="108" t="str">
        <f>IFERROR(VLOOKUP(H1549,LUTs!$A$1:$C$73,2,FALSE),"NA")</f>
        <v>King</v>
      </c>
      <c r="J1549" s="108" t="str">
        <f>IFERROR(VLOOKUP(H1549,LUTs!$A$1:$C$73,3,FALSE),"NA")</f>
        <v>2Central Puget Sound</v>
      </c>
      <c r="K1549" s="108" t="s">
        <v>18</v>
      </c>
      <c r="L1549" s="108" t="str">
        <f>VLOOKUP(K1549,LUTs!E$2:G$14,3,)</f>
        <v>06King</v>
      </c>
      <c r="M1549" s="108" t="str">
        <f>VLOOKUP($K1549,LUTs!$E$2:$H$14,2,)</f>
        <v>South Puget Sound</v>
      </c>
      <c r="N1549" s="108" t="str">
        <f>VLOOKUP($K1549,LUTs!$E$2:$H$14,4,)</f>
        <v>02South Puget Sound</v>
      </c>
      <c r="O1549" s="108">
        <v>108.529411764706</v>
      </c>
      <c r="P1549" s="108">
        <v>938.77941176470699</v>
      </c>
      <c r="Q1549" s="108">
        <f>SUMIFS('FW_Salmon_by_Month_2010-2021'!P$2:P$3810,'FW_Salmon_by_Month_2010-2021'!$B$2:$B$3810,'Rec_raw_catch_effort_2010-2021'!$B1549,'FW_Salmon_by_Month_2010-2021'!$H$2:$H$3810,'Rec_raw_catch_effort_2010-2021'!$F1549,'FW_Salmon_by_Month_2010-2021'!$M$2:$M$3810,'Rec_raw_catch_effort_2010-2021'!$K1549)</f>
        <v>108</v>
      </c>
      <c r="R1549" s="109">
        <f>VLOOKUP(B1549,Readme!$A$62:$C$74,2,)*Q1549</f>
        <v>520.51192964422648</v>
      </c>
      <c r="S1549" s="140" t="str">
        <f t="shared" si="137"/>
        <v>N</v>
      </c>
      <c r="T1549" s="154">
        <f t="shared" si="138"/>
        <v>8.65</v>
      </c>
      <c r="U1549" s="154">
        <f t="shared" si="139"/>
        <v>4.8195549041132084</v>
      </c>
    </row>
    <row r="1550" spans="1:21" x14ac:dyDescent="0.35">
      <c r="A1550" s="108">
        <v>115</v>
      </c>
      <c r="B1550" s="108">
        <v>2020</v>
      </c>
      <c r="C1550" s="108" t="s">
        <v>38</v>
      </c>
      <c r="D1550" s="108" t="s">
        <v>143</v>
      </c>
      <c r="E1550" s="108" t="s">
        <v>10</v>
      </c>
      <c r="F1550" s="116">
        <v>762</v>
      </c>
      <c r="G1550" s="108" t="s">
        <v>48</v>
      </c>
      <c r="H1550" s="108" t="str">
        <f t="shared" si="136"/>
        <v>Lake Washington</v>
      </c>
      <c r="I1550" s="108" t="str">
        <f>IFERROR(VLOOKUP(H1550,LUTs!$A$1:$C$73,2,FALSE),"NA")</f>
        <v>King</v>
      </c>
      <c r="J1550" s="108" t="str">
        <f>IFERROR(VLOOKUP(H1550,LUTs!$A$1:$C$73,3,FALSE),"NA")</f>
        <v>2Central Puget Sound</v>
      </c>
      <c r="K1550" s="108" t="s">
        <v>16</v>
      </c>
      <c r="L1550" s="108" t="str">
        <f>VLOOKUP(K1550,LUTs!E$2:G$14,3,)</f>
        <v>03Snohomish</v>
      </c>
      <c r="M1550" s="108" t="str">
        <f>VLOOKUP($K1550,LUTs!$E$2:$H$14,2,)</f>
        <v>North Puget Sound</v>
      </c>
      <c r="N1550" s="108" t="str">
        <f>VLOOKUP($K1550,LUTs!$E$2:$H$14,4,)</f>
        <v>01North Puget Sound</v>
      </c>
      <c r="O1550" s="108">
        <v>14.4705882352941</v>
      </c>
      <c r="P1550" s="108">
        <v>125.17058823529401</v>
      </c>
      <c r="Q1550" s="108">
        <f>SUMIFS('FW_Salmon_by_Month_2010-2021'!P$2:P$3810,'FW_Salmon_by_Month_2010-2021'!$B$2:$B$3810,'Rec_raw_catch_effort_2010-2021'!$B1550,'FW_Salmon_by_Month_2010-2021'!$H$2:$H$3810,'Rec_raw_catch_effort_2010-2021'!$F1550,'FW_Salmon_by_Month_2010-2021'!$M$2:$M$3810,'Rec_raw_catch_effort_2010-2021'!$K1550)</f>
        <v>15</v>
      </c>
      <c r="R1550" s="109">
        <f>VLOOKUP(B1550,Readme!$A$62:$C$74,2,)*Q1550</f>
        <v>72.293323561698131</v>
      </c>
      <c r="S1550" s="140" t="str">
        <f t="shared" si="137"/>
        <v>N</v>
      </c>
      <c r="T1550" s="154">
        <f t="shared" si="138"/>
        <v>8.6500000000000021</v>
      </c>
      <c r="U1550" s="154">
        <f t="shared" si="139"/>
        <v>4.8195549041132084</v>
      </c>
    </row>
    <row r="1551" spans="1:21" x14ac:dyDescent="0.35">
      <c r="A1551" s="108">
        <v>127</v>
      </c>
      <c r="B1551" s="108">
        <v>2021</v>
      </c>
      <c r="C1551" s="108" t="s">
        <v>38</v>
      </c>
      <c r="D1551" s="108" t="s">
        <v>143</v>
      </c>
      <c r="E1551" s="108" t="s">
        <v>10</v>
      </c>
      <c r="F1551" s="116">
        <v>762</v>
      </c>
      <c r="G1551" s="108" t="s">
        <v>48</v>
      </c>
      <c r="H1551" s="108" t="str">
        <f t="shared" si="136"/>
        <v>Lake Washington</v>
      </c>
      <c r="I1551" s="108" t="str">
        <f>IFERROR(VLOOKUP(H1551,LUTs!$A$1:$C$73,2,FALSE),"NA")</f>
        <v>King</v>
      </c>
      <c r="J1551" s="108" t="str">
        <f>IFERROR(VLOOKUP(H1551,LUTs!$A$1:$C$73,3,FALSE),"NA")</f>
        <v>2Central Puget Sound</v>
      </c>
      <c r="K1551" s="108" t="s">
        <v>17</v>
      </c>
      <c r="L1551" s="108" t="str">
        <f>VLOOKUP(K1551,LUTs!E$2:G$14,3,)</f>
        <v>04Island</v>
      </c>
      <c r="M1551" s="108" t="str">
        <f>VLOOKUP($K1551,LUTs!$E$2:$H$14,2,)</f>
        <v>North Puget Sound</v>
      </c>
      <c r="N1551" s="108" t="str">
        <f>VLOOKUP($K1551,LUTs!$E$2:$H$14,4,)</f>
        <v>01North Puget Sound</v>
      </c>
      <c r="O1551" s="108">
        <v>40.875</v>
      </c>
      <c r="P1551" s="108">
        <v>140.61000000000001</v>
      </c>
      <c r="Q1551" s="108">
        <f>SUMIFS('FW_Salmon_by_Month_2010-2021'!P$2:P$3810,'FW_Salmon_by_Month_2010-2021'!$B$2:$B$3810,'Rec_raw_catch_effort_2010-2021'!$B1551,'FW_Salmon_by_Month_2010-2021'!$H$2:$H$3810,'Rec_raw_catch_effort_2010-2021'!$F1551,'FW_Salmon_by_Month_2010-2021'!$M$2:$M$3810,'Rec_raw_catch_effort_2010-2021'!$K1551)</f>
        <v>40.875</v>
      </c>
      <c r="R1551" s="109">
        <f>VLOOKUP(B1551,Readme!$A$62:$C$74,2,)*Q1551</f>
        <v>144.65827797610623</v>
      </c>
      <c r="S1551" s="140" t="str">
        <f t="shared" si="137"/>
        <v>N</v>
      </c>
      <c r="T1551" s="154">
        <f t="shared" si="138"/>
        <v>3.4400000000000004</v>
      </c>
      <c r="U1551" s="154">
        <f t="shared" si="139"/>
        <v>3.5390404397824153</v>
      </c>
    </row>
    <row r="1552" spans="1:21" x14ac:dyDescent="0.35">
      <c r="A1552" s="108">
        <v>128</v>
      </c>
      <c r="B1552" s="108">
        <v>2021</v>
      </c>
      <c r="C1552" s="108" t="s">
        <v>38</v>
      </c>
      <c r="D1552" s="108" t="s">
        <v>143</v>
      </c>
      <c r="E1552" s="108" t="s">
        <v>10</v>
      </c>
      <c r="F1552" s="116">
        <v>762</v>
      </c>
      <c r="G1552" s="108" t="s">
        <v>48</v>
      </c>
      <c r="H1552" s="108" t="str">
        <f t="shared" si="136"/>
        <v>Lake Washington</v>
      </c>
      <c r="I1552" s="108" t="str">
        <f>IFERROR(VLOOKUP(H1552,LUTs!$A$1:$C$73,2,FALSE),"NA")</f>
        <v>King</v>
      </c>
      <c r="J1552" s="108" t="str">
        <f>IFERROR(VLOOKUP(H1552,LUTs!$A$1:$C$73,3,FALSE),"NA")</f>
        <v>2Central Puget Sound</v>
      </c>
      <c r="K1552" s="108" t="s">
        <v>18</v>
      </c>
      <c r="L1552" s="108" t="str">
        <f>VLOOKUP(K1552,LUTs!E$2:G$14,3,)</f>
        <v>06King</v>
      </c>
      <c r="M1552" s="108" t="str">
        <f>VLOOKUP($K1552,LUTs!$E$2:$H$14,2,)</f>
        <v>South Puget Sound</v>
      </c>
      <c r="N1552" s="108" t="str">
        <f>VLOOKUP($K1552,LUTs!$E$2:$H$14,4,)</f>
        <v>02South Puget Sound</v>
      </c>
      <c r="O1552" s="108">
        <v>626.75</v>
      </c>
      <c r="P1552" s="108">
        <v>2156.02</v>
      </c>
      <c r="Q1552" s="108">
        <f>SUMIFS('FW_Salmon_by_Month_2010-2021'!P$2:P$3810,'FW_Salmon_by_Month_2010-2021'!$B$2:$B$3810,'Rec_raw_catch_effort_2010-2021'!$B1552,'FW_Salmon_by_Month_2010-2021'!$H$2:$H$3810,'Rec_raw_catch_effort_2010-2021'!$F1552,'FW_Salmon_by_Month_2010-2021'!$M$2:$M$3810,'Rec_raw_catch_effort_2010-2021'!$K1552)</f>
        <v>626.75</v>
      </c>
      <c r="R1552" s="109">
        <f>VLOOKUP(B1552,Readme!$A$62:$C$74,2,)*Q1552</f>
        <v>2218.0935956336289</v>
      </c>
      <c r="S1552" s="140" t="str">
        <f t="shared" si="137"/>
        <v>N</v>
      </c>
      <c r="T1552" s="154">
        <f t="shared" si="138"/>
        <v>3.44</v>
      </c>
      <c r="U1552" s="154">
        <f t="shared" si="139"/>
        <v>3.5390404397824153</v>
      </c>
    </row>
    <row r="1553" spans="1:21" x14ac:dyDescent="0.35">
      <c r="A1553" s="108">
        <v>129</v>
      </c>
      <c r="B1553" s="108">
        <v>2021</v>
      </c>
      <c r="C1553" s="108" t="s">
        <v>38</v>
      </c>
      <c r="D1553" s="108" t="s">
        <v>143</v>
      </c>
      <c r="E1553" s="108" t="s">
        <v>10</v>
      </c>
      <c r="F1553" s="116">
        <v>762</v>
      </c>
      <c r="G1553" s="108" t="s">
        <v>48</v>
      </c>
      <c r="H1553" s="108" t="str">
        <f t="shared" si="136"/>
        <v>Lake Washington</v>
      </c>
      <c r="I1553" s="108" t="str">
        <f>IFERROR(VLOOKUP(H1553,LUTs!$A$1:$C$73,2,FALSE),"NA")</f>
        <v>King</v>
      </c>
      <c r="J1553" s="108" t="str">
        <f>IFERROR(VLOOKUP(H1553,LUTs!$A$1:$C$73,3,FALSE),"NA")</f>
        <v>2Central Puget Sound</v>
      </c>
      <c r="K1553" s="108" t="s">
        <v>20</v>
      </c>
      <c r="L1553" s="108" t="str">
        <f>VLOOKUP(K1553,LUTs!E$2:G$14,3,)</f>
        <v>07Pierce</v>
      </c>
      <c r="M1553" s="108" t="str">
        <f>VLOOKUP($K1553,LUTs!$E$2:$H$14,2,)</f>
        <v>South Puget Sound</v>
      </c>
      <c r="N1553" s="108" t="str">
        <f>VLOOKUP($K1553,LUTs!$E$2:$H$14,4,)</f>
        <v>02South Puget Sound</v>
      </c>
      <c r="O1553" s="108">
        <v>13.625</v>
      </c>
      <c r="P1553" s="108">
        <v>46.87</v>
      </c>
      <c r="Q1553" s="108">
        <f>SUMIFS('FW_Salmon_by_Month_2010-2021'!P$2:P$3810,'FW_Salmon_by_Month_2010-2021'!$B$2:$B$3810,'Rec_raw_catch_effort_2010-2021'!$B1553,'FW_Salmon_by_Month_2010-2021'!$H$2:$H$3810,'Rec_raw_catch_effort_2010-2021'!$F1553,'FW_Salmon_by_Month_2010-2021'!$M$2:$M$3810,'Rec_raw_catch_effort_2010-2021'!$K1553)</f>
        <v>13.625</v>
      </c>
      <c r="R1553" s="109">
        <f>VLOOKUP(B1553,Readme!$A$62:$C$74,2,)*Q1553</f>
        <v>48.219425992035411</v>
      </c>
      <c r="S1553" s="140" t="str">
        <f t="shared" si="137"/>
        <v>N</v>
      </c>
      <c r="T1553" s="154">
        <f t="shared" si="138"/>
        <v>3.44</v>
      </c>
      <c r="U1553" s="154">
        <f t="shared" si="139"/>
        <v>3.5390404397824153</v>
      </c>
    </row>
    <row r="1554" spans="1:21" x14ac:dyDescent="0.35">
      <c r="A1554" s="108">
        <v>126</v>
      </c>
      <c r="B1554" s="108">
        <v>2021</v>
      </c>
      <c r="C1554" s="108" t="s">
        <v>38</v>
      </c>
      <c r="D1554" s="108" t="s">
        <v>143</v>
      </c>
      <c r="E1554" s="108" t="s">
        <v>10</v>
      </c>
      <c r="F1554" s="116">
        <v>762</v>
      </c>
      <c r="G1554" s="108" t="s">
        <v>48</v>
      </c>
      <c r="H1554" s="108" t="str">
        <f t="shared" si="136"/>
        <v>Lake Washington</v>
      </c>
      <c r="I1554" s="108" t="str">
        <f>IFERROR(VLOOKUP(H1554,LUTs!$A$1:$C$73,2,FALSE),"NA")</f>
        <v>King</v>
      </c>
      <c r="J1554" s="108" t="str">
        <f>IFERROR(VLOOKUP(H1554,LUTs!$A$1:$C$73,3,FALSE),"NA")</f>
        <v>2Central Puget Sound</v>
      </c>
      <c r="K1554" s="108" t="s">
        <v>16</v>
      </c>
      <c r="L1554" s="108" t="str">
        <f>VLOOKUP(K1554,LUTs!E$2:G$14,3,)</f>
        <v>03Snohomish</v>
      </c>
      <c r="M1554" s="108" t="str">
        <f>VLOOKUP($K1554,LUTs!$E$2:$H$14,2,)</f>
        <v>North Puget Sound</v>
      </c>
      <c r="N1554" s="108" t="str">
        <f>VLOOKUP($K1554,LUTs!$E$2:$H$14,4,)</f>
        <v>01North Puget Sound</v>
      </c>
      <c r="O1554" s="108">
        <v>81.75</v>
      </c>
      <c r="P1554" s="108">
        <v>281.22000000000003</v>
      </c>
      <c r="Q1554" s="108">
        <f>SUMIFS('FW_Salmon_by_Month_2010-2021'!P$2:P$3810,'FW_Salmon_by_Month_2010-2021'!$B$2:$B$3810,'Rec_raw_catch_effort_2010-2021'!$B1554,'FW_Salmon_by_Month_2010-2021'!$H$2:$H$3810,'Rec_raw_catch_effort_2010-2021'!$F1554,'FW_Salmon_by_Month_2010-2021'!$M$2:$M$3810,'Rec_raw_catch_effort_2010-2021'!$K1554)</f>
        <v>81.75</v>
      </c>
      <c r="R1554" s="109">
        <f>VLOOKUP(B1554,Readme!$A$62:$C$74,2,)*Q1554</f>
        <v>289.31655595221247</v>
      </c>
      <c r="S1554" s="140" t="str">
        <f t="shared" si="137"/>
        <v>N</v>
      </c>
      <c r="T1554" s="154">
        <f t="shared" si="138"/>
        <v>3.4400000000000004</v>
      </c>
      <c r="U1554" s="154">
        <f t="shared" si="139"/>
        <v>3.5390404397824153</v>
      </c>
    </row>
    <row r="1555" spans="1:21" x14ac:dyDescent="0.35">
      <c r="A1555" s="108">
        <v>2020</v>
      </c>
      <c r="B1555" s="108">
        <v>2010</v>
      </c>
      <c r="C1555" s="108" t="s">
        <v>38</v>
      </c>
      <c r="D1555" s="108" t="s">
        <v>143</v>
      </c>
      <c r="E1555" s="108" t="s">
        <v>10</v>
      </c>
      <c r="F1555" s="116">
        <v>764</v>
      </c>
      <c r="G1555" s="108" t="s">
        <v>49</v>
      </c>
      <c r="H1555" s="108" t="str">
        <f t="shared" si="136"/>
        <v>Lake Sammamish</v>
      </c>
      <c r="I1555" s="108" t="str">
        <f>IFERROR(VLOOKUP(H1555,LUTs!$A$1:$C$73,2,FALSE),"NA")</f>
        <v>King</v>
      </c>
      <c r="J1555" s="108" t="str">
        <f>IFERROR(VLOOKUP(H1555,LUTs!$A$1:$C$73,3,FALSE),"NA")</f>
        <v>2Central Puget Sound</v>
      </c>
      <c r="K1555" s="108" t="s">
        <v>18</v>
      </c>
      <c r="L1555" s="108" t="str">
        <f>VLOOKUP(K1555,LUTs!E$2:G$14,3,)</f>
        <v>06King</v>
      </c>
      <c r="M1555" s="108" t="str">
        <f>VLOOKUP($K1555,LUTs!$E$2:$H$14,2,)</f>
        <v>South Puget Sound</v>
      </c>
      <c r="N1555" s="108" t="str">
        <f>VLOOKUP($K1555,LUTs!$E$2:$H$14,4,)</f>
        <v>02South Puget Sound</v>
      </c>
      <c r="O1555" s="108">
        <v>138.470588235294</v>
      </c>
      <c r="P1555" s="108">
        <v>1197.77058823529</v>
      </c>
      <c r="Q1555" s="108">
        <f>SUMIFS('FW_Salmon_by_Month_2010-2021'!P$2:P$3810,'FW_Salmon_by_Month_2010-2021'!$B$2:$B$3810,'Rec_raw_catch_effort_2010-2021'!$B1555,'FW_Salmon_by_Month_2010-2021'!$H$2:$H$3810,'Rec_raw_catch_effort_2010-2021'!$F1555,'FW_Salmon_by_Month_2010-2021'!$M$2:$M$3810,'Rec_raw_catch_effort_2010-2021'!$K1555)</f>
        <v>136.3461538461539</v>
      </c>
      <c r="R1555" s="109">
        <f>VLOOKUP(B1555,Readme!$A$62:$C$74,2,)*Q1555</f>
        <v>657.12777442620495</v>
      </c>
      <c r="S1555" s="140" t="str">
        <f t="shared" si="137"/>
        <v>Y</v>
      </c>
      <c r="T1555" s="154">
        <f t="shared" si="138"/>
        <v>8.6499999999999773</v>
      </c>
      <c r="U1555" s="154">
        <f t="shared" si="139"/>
        <v>4.8195549041132084</v>
      </c>
    </row>
    <row r="1556" spans="1:21" x14ac:dyDescent="0.35">
      <c r="A1556" s="108">
        <v>2021</v>
      </c>
      <c r="B1556" s="108">
        <v>2010</v>
      </c>
      <c r="C1556" s="108" t="s">
        <v>38</v>
      </c>
      <c r="D1556" s="108" t="s">
        <v>143</v>
      </c>
      <c r="E1556" s="108" t="s">
        <v>10</v>
      </c>
      <c r="F1556" s="116">
        <v>764</v>
      </c>
      <c r="G1556" s="108" t="s">
        <v>49</v>
      </c>
      <c r="H1556" s="108" t="str">
        <f t="shared" si="136"/>
        <v>Lake Sammamish</v>
      </c>
      <c r="I1556" s="108" t="str">
        <f>IFERROR(VLOOKUP(H1556,LUTs!$A$1:$C$73,2,FALSE),"NA")</f>
        <v>King</v>
      </c>
      <c r="J1556" s="108" t="str">
        <f>IFERROR(VLOOKUP(H1556,LUTs!$A$1:$C$73,3,FALSE),"NA")</f>
        <v>2Central Puget Sound</v>
      </c>
      <c r="K1556" s="108" t="s">
        <v>26</v>
      </c>
      <c r="L1556" s="108" t="str">
        <f>VLOOKUP(K1556,LUTs!E$2:G$14,3,)</f>
        <v>20Other</v>
      </c>
      <c r="M1556" s="108" t="str">
        <f>VLOOKUP($K1556,LUTs!$E$2:$H$14,2,)</f>
        <v>Non Puget Sound</v>
      </c>
      <c r="N1556" s="108" t="str">
        <f>VLOOKUP($K1556,LUTs!$E$2:$H$14,4,)</f>
        <v>07Non Puget Sound</v>
      </c>
      <c r="O1556" s="108">
        <v>37.764705882352899</v>
      </c>
      <c r="P1556" s="108">
        <v>326.66470588235302</v>
      </c>
      <c r="Q1556" s="108">
        <f>SUMIFS('FW_Salmon_by_Month_2010-2021'!P$2:P$3810,'FW_Salmon_by_Month_2010-2021'!$B$2:$B$3810,'Rec_raw_catch_effort_2010-2021'!$B1556,'FW_Salmon_by_Month_2010-2021'!$H$2:$H$3810,'Rec_raw_catch_effort_2010-2021'!$F1556,'FW_Salmon_by_Month_2010-2021'!$M$2:$M$3810,'Rec_raw_catch_effort_2010-2021'!$K1556)</f>
        <v>38.769230769230802</v>
      </c>
      <c r="R1556" s="109">
        <f>VLOOKUP(B1556,Readme!$A$62:$C$74,2,)*Q1556</f>
        <v>186.850436282543</v>
      </c>
      <c r="S1556" s="140" t="str">
        <f t="shared" si="137"/>
        <v>Y</v>
      </c>
      <c r="T1556" s="154">
        <f t="shared" si="138"/>
        <v>8.650000000000011</v>
      </c>
      <c r="U1556" s="154">
        <f t="shared" si="139"/>
        <v>4.8195549041132084</v>
      </c>
    </row>
    <row r="1557" spans="1:21" x14ac:dyDescent="0.35">
      <c r="A1557" s="108">
        <v>2019</v>
      </c>
      <c r="B1557" s="108">
        <v>2010</v>
      </c>
      <c r="C1557" s="108" t="s">
        <v>38</v>
      </c>
      <c r="D1557" s="108" t="s">
        <v>143</v>
      </c>
      <c r="E1557" s="108" t="s">
        <v>10</v>
      </c>
      <c r="F1557" s="116">
        <v>764</v>
      </c>
      <c r="G1557" s="108" t="s">
        <v>49</v>
      </c>
      <c r="H1557" s="108" t="str">
        <f t="shared" si="136"/>
        <v>Lake Sammamish</v>
      </c>
      <c r="I1557" s="108" t="str">
        <f>IFERROR(VLOOKUP(H1557,LUTs!$A$1:$C$73,2,FALSE),"NA")</f>
        <v>King</v>
      </c>
      <c r="J1557" s="108" t="str">
        <f>IFERROR(VLOOKUP(H1557,LUTs!$A$1:$C$73,3,FALSE),"NA")</f>
        <v>2Central Puget Sound</v>
      </c>
      <c r="K1557" s="108" t="s">
        <v>16</v>
      </c>
      <c r="L1557" s="108" t="str">
        <f>VLOOKUP(K1557,LUTs!E$2:G$14,3,)</f>
        <v>03Snohomish</v>
      </c>
      <c r="M1557" s="108" t="str">
        <f>VLOOKUP($K1557,LUTs!$E$2:$H$14,2,)</f>
        <v>North Puget Sound</v>
      </c>
      <c r="N1557" s="108" t="str">
        <f>VLOOKUP($K1557,LUTs!$E$2:$H$14,4,)</f>
        <v>01North Puget Sound</v>
      </c>
      <c r="O1557" s="108">
        <v>37.764705882352899</v>
      </c>
      <c r="P1557" s="108">
        <v>326.66470588235302</v>
      </c>
      <c r="Q1557" s="108">
        <f>SUMIFS('FW_Salmon_by_Month_2010-2021'!P$2:P$3810,'FW_Salmon_by_Month_2010-2021'!$B$2:$B$3810,'Rec_raw_catch_effort_2010-2021'!$B1557,'FW_Salmon_by_Month_2010-2021'!$H$2:$H$3810,'Rec_raw_catch_effort_2010-2021'!$F1557,'FW_Salmon_by_Month_2010-2021'!$M$2:$M$3810,'Rec_raw_catch_effort_2010-2021'!$K1557)</f>
        <v>38.884615384615401</v>
      </c>
      <c r="R1557" s="109">
        <f>VLOOKUP(B1557,Readme!$A$62:$C$74,2,)*Q1557</f>
        <v>187.40653877147906</v>
      </c>
      <c r="S1557" s="140" t="str">
        <f t="shared" si="137"/>
        <v>Y</v>
      </c>
      <c r="T1557" s="154">
        <f t="shared" si="138"/>
        <v>8.650000000000011</v>
      </c>
      <c r="U1557" s="154">
        <f t="shared" si="139"/>
        <v>4.8195549041132084</v>
      </c>
    </row>
    <row r="1558" spans="1:21" x14ac:dyDescent="0.35">
      <c r="A1558" s="108">
        <v>2444</v>
      </c>
      <c r="B1558" s="108">
        <v>2011</v>
      </c>
      <c r="C1558" s="108" t="s">
        <v>38</v>
      </c>
      <c r="D1558" s="108" t="s">
        <v>143</v>
      </c>
      <c r="E1558" s="108" t="s">
        <v>10</v>
      </c>
      <c r="F1558" s="116">
        <v>764</v>
      </c>
      <c r="G1558" s="108" t="s">
        <v>49</v>
      </c>
      <c r="H1558" s="108" t="str">
        <f t="shared" si="136"/>
        <v>Lake Sammamish</v>
      </c>
      <c r="I1558" s="108" t="str">
        <f>IFERROR(VLOOKUP(H1558,LUTs!$A$1:$C$73,2,FALSE),"NA")</f>
        <v>King</v>
      </c>
      <c r="J1558" s="108" t="str">
        <f>IFERROR(VLOOKUP(H1558,LUTs!$A$1:$C$73,3,FALSE),"NA")</f>
        <v>2Central Puget Sound</v>
      </c>
      <c r="K1558" s="108" t="s">
        <v>18</v>
      </c>
      <c r="L1558" s="108" t="str">
        <f>VLOOKUP(K1558,LUTs!E$2:G$14,3,)</f>
        <v>06King</v>
      </c>
      <c r="M1558" s="108" t="str">
        <f>VLOOKUP($K1558,LUTs!$E$2:$H$14,2,)</f>
        <v>South Puget Sound</v>
      </c>
      <c r="N1558" s="108" t="str">
        <f>VLOOKUP($K1558,LUTs!$E$2:$H$14,4,)</f>
        <v>02South Puget Sound</v>
      </c>
      <c r="O1558" s="108">
        <v>151.111111111111</v>
      </c>
      <c r="P1558" s="108">
        <v>519.82222222222197</v>
      </c>
      <c r="Q1558" s="108">
        <f>SUMIFS('FW_Salmon_by_Month_2010-2021'!P$2:P$3810,'FW_Salmon_by_Month_2010-2021'!$B$2:$B$3810,'Rec_raw_catch_effort_2010-2021'!$B1558,'FW_Salmon_by_Month_2010-2021'!$H$2:$H$3810,'Rec_raw_catch_effort_2010-2021'!$F1558,'FW_Salmon_by_Month_2010-2021'!$M$2:$M$3810,'Rec_raw_catch_effort_2010-2021'!$K1558)</f>
        <v>151</v>
      </c>
      <c r="R1558" s="109">
        <f>VLOOKUP(B1558,Readme!$A$62:$C$74,2,)*Q1558</f>
        <v>534.39510640714468</v>
      </c>
      <c r="S1558" s="140" t="str">
        <f t="shared" si="137"/>
        <v>Y</v>
      </c>
      <c r="T1558" s="154">
        <f t="shared" si="138"/>
        <v>3.4400000000000008</v>
      </c>
      <c r="U1558" s="154">
        <f t="shared" si="139"/>
        <v>3.5390404397824149</v>
      </c>
    </row>
    <row r="1559" spans="1:21" x14ac:dyDescent="0.35">
      <c r="A1559" s="108">
        <v>2691</v>
      </c>
      <c r="B1559" s="108">
        <v>2011</v>
      </c>
      <c r="C1559" s="108" t="s">
        <v>38</v>
      </c>
      <c r="D1559" s="108" t="s">
        <v>143</v>
      </c>
      <c r="E1559" s="108" t="s">
        <v>10</v>
      </c>
      <c r="F1559" s="116">
        <v>764</v>
      </c>
      <c r="G1559" s="108" t="s">
        <v>49</v>
      </c>
      <c r="H1559" s="108" t="str">
        <f t="shared" si="136"/>
        <v>Lake Sammamish</v>
      </c>
      <c r="I1559" s="108" t="str">
        <f>IFERROR(VLOOKUP(H1559,LUTs!$A$1:$C$73,2,FALSE),"NA")</f>
        <v>King</v>
      </c>
      <c r="J1559" s="108" t="str">
        <f>IFERROR(VLOOKUP(H1559,LUTs!$A$1:$C$73,3,FALSE),"NA")</f>
        <v>2Central Puget Sound</v>
      </c>
      <c r="K1559" s="108" t="s">
        <v>26</v>
      </c>
      <c r="L1559" s="108" t="str">
        <f>VLOOKUP(K1559,LUTs!E$2:G$14,3,)</f>
        <v>20Other</v>
      </c>
      <c r="M1559" s="108" t="str">
        <f>VLOOKUP($K1559,LUTs!$E$2:$H$14,2,)</f>
        <v>Non Puget Sound</v>
      </c>
      <c r="N1559" s="108" t="str">
        <f>VLOOKUP($K1559,LUTs!$E$2:$H$14,4,)</f>
        <v>07Non Puget Sound</v>
      </c>
      <c r="O1559" s="108">
        <v>37.7777777777778</v>
      </c>
      <c r="P1559" s="108">
        <v>129.955555555556</v>
      </c>
      <c r="Q1559" s="108">
        <f>SUMIFS('FW_Salmon_by_Month_2010-2021'!P$2:P$3810,'FW_Salmon_by_Month_2010-2021'!$B$2:$B$3810,'Rec_raw_catch_effort_2010-2021'!$B1559,'FW_Salmon_by_Month_2010-2021'!$H$2:$H$3810,'Rec_raw_catch_effort_2010-2021'!$F1559,'FW_Salmon_by_Month_2010-2021'!$M$2:$M$3810,'Rec_raw_catch_effort_2010-2021'!$K1559)</f>
        <v>37.9</v>
      </c>
      <c r="R1559" s="109">
        <f>VLOOKUP(B1559,Readme!$A$62:$C$74,2,)*Q1559</f>
        <v>134.12963266775353</v>
      </c>
      <c r="S1559" s="140" t="str">
        <f t="shared" si="137"/>
        <v>Y</v>
      </c>
      <c r="T1559" s="154">
        <f t="shared" si="138"/>
        <v>3.4400000000000097</v>
      </c>
      <c r="U1559" s="154">
        <f t="shared" si="139"/>
        <v>3.5390404397824149</v>
      </c>
    </row>
    <row r="1560" spans="1:21" x14ac:dyDescent="0.35">
      <c r="A1560" s="108">
        <v>2538</v>
      </c>
      <c r="B1560" s="108">
        <v>2011</v>
      </c>
      <c r="C1560" s="108" t="s">
        <v>38</v>
      </c>
      <c r="D1560" s="108" t="s">
        <v>143</v>
      </c>
      <c r="E1560" s="108" t="s">
        <v>10</v>
      </c>
      <c r="F1560" s="116">
        <v>764</v>
      </c>
      <c r="G1560" s="108" t="s">
        <v>49</v>
      </c>
      <c r="H1560" s="108" t="str">
        <f t="shared" si="136"/>
        <v>Lake Sammamish</v>
      </c>
      <c r="I1560" s="108" t="str">
        <f>IFERROR(VLOOKUP(H1560,LUTs!$A$1:$C$73,2,FALSE),"NA")</f>
        <v>King</v>
      </c>
      <c r="J1560" s="108" t="str">
        <f>IFERROR(VLOOKUP(H1560,LUTs!$A$1:$C$73,3,FALSE),"NA")</f>
        <v>2Central Puget Sound</v>
      </c>
      <c r="K1560" s="108" t="s">
        <v>20</v>
      </c>
      <c r="L1560" s="108" t="str">
        <f>VLOOKUP(K1560,LUTs!E$2:G$14,3,)</f>
        <v>07Pierce</v>
      </c>
      <c r="M1560" s="108" t="str">
        <f>VLOOKUP($K1560,LUTs!$E$2:$H$14,2,)</f>
        <v>South Puget Sound</v>
      </c>
      <c r="N1560" s="108" t="str">
        <f>VLOOKUP($K1560,LUTs!$E$2:$H$14,4,)</f>
        <v>02South Puget Sound</v>
      </c>
      <c r="O1560" s="108">
        <v>7.5555555555555598</v>
      </c>
      <c r="P1560" s="108">
        <v>25.991111111111099</v>
      </c>
      <c r="Q1560" s="108">
        <f>SUMIFS('FW_Salmon_by_Month_2010-2021'!P$2:P$3810,'FW_Salmon_by_Month_2010-2021'!$B$2:$B$3810,'Rec_raw_catch_effort_2010-2021'!$B1560,'FW_Salmon_by_Month_2010-2021'!$H$2:$H$3810,'Rec_raw_catch_effort_2010-2021'!$F1560,'FW_Salmon_by_Month_2010-2021'!$M$2:$M$3810,'Rec_raw_catch_effort_2010-2021'!$K1560)</f>
        <v>7.5</v>
      </c>
      <c r="R1560" s="109">
        <f>VLOOKUP(B1560,Readme!$A$62:$C$74,2,)*Q1560</f>
        <v>26.542803298368113</v>
      </c>
      <c r="S1560" s="140" t="str">
        <f t="shared" si="137"/>
        <v>Y</v>
      </c>
      <c r="T1560" s="154">
        <f t="shared" si="138"/>
        <v>3.4399999999999964</v>
      </c>
      <c r="U1560" s="154">
        <f t="shared" si="139"/>
        <v>3.5390404397824153</v>
      </c>
    </row>
    <row r="1561" spans="1:21" x14ac:dyDescent="0.35">
      <c r="A1561" s="108">
        <v>1792</v>
      </c>
      <c r="B1561" s="108">
        <v>2011</v>
      </c>
      <c r="C1561" s="108" t="s">
        <v>38</v>
      </c>
      <c r="D1561" s="108" t="s">
        <v>143</v>
      </c>
      <c r="E1561" s="108" t="s">
        <v>10</v>
      </c>
      <c r="F1561" s="116">
        <v>764</v>
      </c>
      <c r="G1561" s="108" t="s">
        <v>49</v>
      </c>
      <c r="H1561" s="108" t="str">
        <f t="shared" si="136"/>
        <v>Lake Sammamish</v>
      </c>
      <c r="I1561" s="108" t="str">
        <f>IFERROR(VLOOKUP(H1561,LUTs!$A$1:$C$73,2,FALSE),"NA")</f>
        <v>King</v>
      </c>
      <c r="J1561" s="108" t="str">
        <f>IFERROR(VLOOKUP(H1561,LUTs!$A$1:$C$73,3,FALSE),"NA")</f>
        <v>2Central Puget Sound</v>
      </c>
      <c r="K1561" s="108" t="s">
        <v>16</v>
      </c>
      <c r="L1561" s="108" t="str">
        <f>VLOOKUP(K1561,LUTs!E$2:G$14,3,)</f>
        <v>03Snohomish</v>
      </c>
      <c r="M1561" s="108" t="str">
        <f>VLOOKUP($K1561,LUTs!$E$2:$H$14,2,)</f>
        <v>North Puget Sound</v>
      </c>
      <c r="N1561" s="108" t="str">
        <f>VLOOKUP($K1561,LUTs!$E$2:$H$14,4,)</f>
        <v>01North Puget Sound</v>
      </c>
      <c r="O1561" s="108">
        <v>7.5555555555555598</v>
      </c>
      <c r="P1561" s="108">
        <v>25.991111111111099</v>
      </c>
      <c r="Q1561" s="108">
        <f>SUMIFS('FW_Salmon_by_Month_2010-2021'!P$2:P$3810,'FW_Salmon_by_Month_2010-2021'!$B$2:$B$3810,'Rec_raw_catch_effort_2010-2021'!$B1561,'FW_Salmon_by_Month_2010-2021'!$H$2:$H$3810,'Rec_raw_catch_effort_2010-2021'!$F1561,'FW_Salmon_by_Month_2010-2021'!$M$2:$M$3810,'Rec_raw_catch_effort_2010-2021'!$K1561)</f>
        <v>7.6</v>
      </c>
      <c r="R1561" s="109">
        <f>VLOOKUP(B1561,Readme!$A$62:$C$74,2,)*Q1561</f>
        <v>26.896707342346357</v>
      </c>
      <c r="S1561" s="140" t="str">
        <f t="shared" si="137"/>
        <v>Y</v>
      </c>
      <c r="T1561" s="154">
        <f t="shared" si="138"/>
        <v>3.4399999999999964</v>
      </c>
      <c r="U1561" s="154">
        <f t="shared" si="139"/>
        <v>3.5390404397824153</v>
      </c>
    </row>
    <row r="1562" spans="1:21" x14ac:dyDescent="0.35">
      <c r="A1562" s="108">
        <v>2810</v>
      </c>
      <c r="B1562" s="108">
        <v>2012</v>
      </c>
      <c r="C1562" s="108" t="s">
        <v>38</v>
      </c>
      <c r="D1562" s="108" t="s">
        <v>143</v>
      </c>
      <c r="E1562" s="108" t="s">
        <v>10</v>
      </c>
      <c r="F1562" s="116">
        <v>764</v>
      </c>
      <c r="G1562" s="108" t="s">
        <v>49</v>
      </c>
      <c r="H1562" s="108" t="str">
        <f t="shared" si="136"/>
        <v>Lake Sammamish</v>
      </c>
      <c r="I1562" s="108" t="str">
        <f>IFERROR(VLOOKUP(H1562,LUTs!$A$1:$C$73,2,FALSE),"NA")</f>
        <v>King</v>
      </c>
      <c r="J1562" s="108" t="str">
        <f>IFERROR(VLOOKUP(H1562,LUTs!$A$1:$C$73,3,FALSE),"NA")</f>
        <v>2Central Puget Sound</v>
      </c>
      <c r="K1562" s="108" t="s">
        <v>18</v>
      </c>
      <c r="L1562" s="108" t="str">
        <f>VLOOKUP(K1562,LUTs!E$2:G$14,3,)</f>
        <v>06King</v>
      </c>
      <c r="M1562" s="108" t="str">
        <f>VLOOKUP($K1562,LUTs!$E$2:$H$14,2,)</f>
        <v>South Puget Sound</v>
      </c>
      <c r="N1562" s="108" t="str">
        <f>VLOOKUP($K1562,LUTs!$E$2:$H$14,4,)</f>
        <v>02South Puget Sound</v>
      </c>
      <c r="O1562" s="108">
        <v>221.25</v>
      </c>
      <c r="P1562" s="108">
        <v>1913.8125</v>
      </c>
      <c r="Q1562" s="108">
        <f>SUMIFS('FW_Salmon_by_Month_2010-2021'!P$2:P$3810,'FW_Salmon_by_Month_2010-2021'!$B$2:$B$3810,'Rec_raw_catch_effort_2010-2021'!$B1562,'FW_Salmon_by_Month_2010-2021'!$H$2:$H$3810,'Rec_raw_catch_effort_2010-2021'!$F1562,'FW_Salmon_by_Month_2010-2021'!$M$2:$M$3810,'Rec_raw_catch_effort_2010-2021'!$K1562)</f>
        <v>221.22499999999999</v>
      </c>
      <c r="R1562" s="109">
        <f>VLOOKUP(B1562,Readme!$A$62:$C$74,2,)*Q1562</f>
        <v>1066.2060336624445</v>
      </c>
      <c r="S1562" s="140" t="str">
        <f t="shared" si="137"/>
        <v>Y</v>
      </c>
      <c r="T1562" s="154">
        <f t="shared" si="138"/>
        <v>8.65</v>
      </c>
      <c r="U1562" s="154">
        <f t="shared" si="139"/>
        <v>4.8195549041132084</v>
      </c>
    </row>
    <row r="1563" spans="1:21" x14ac:dyDescent="0.35">
      <c r="A1563" s="108">
        <v>2811</v>
      </c>
      <c r="B1563" s="108">
        <v>2012</v>
      </c>
      <c r="C1563" s="108" t="s">
        <v>38</v>
      </c>
      <c r="D1563" s="108" t="s">
        <v>143</v>
      </c>
      <c r="E1563" s="108" t="s">
        <v>10</v>
      </c>
      <c r="F1563" s="116">
        <v>764</v>
      </c>
      <c r="G1563" s="108" t="s">
        <v>49</v>
      </c>
      <c r="H1563" s="108" t="str">
        <f t="shared" si="136"/>
        <v>Lake Sammamish</v>
      </c>
      <c r="I1563" s="108" t="str">
        <f>IFERROR(VLOOKUP(H1563,LUTs!$A$1:$C$73,2,FALSE),"NA")</f>
        <v>King</v>
      </c>
      <c r="J1563" s="108" t="str">
        <f>IFERROR(VLOOKUP(H1563,LUTs!$A$1:$C$73,3,FALSE),"NA")</f>
        <v>2Central Puget Sound</v>
      </c>
      <c r="K1563" s="108" t="s">
        <v>20</v>
      </c>
      <c r="L1563" s="108" t="str">
        <f>VLOOKUP(K1563,LUTs!E$2:G$14,3,)</f>
        <v>07Pierce</v>
      </c>
      <c r="M1563" s="108" t="str">
        <f>VLOOKUP($K1563,LUTs!$E$2:$H$14,2,)</f>
        <v>South Puget Sound</v>
      </c>
      <c r="N1563" s="108" t="str">
        <f>VLOOKUP($K1563,LUTs!$E$2:$H$14,4,)</f>
        <v>02South Puget Sound</v>
      </c>
      <c r="O1563" s="108">
        <v>7.375</v>
      </c>
      <c r="P1563" s="108">
        <v>63.793750000000003</v>
      </c>
      <c r="Q1563" s="108">
        <f>SUMIFS('FW_Salmon_by_Month_2010-2021'!P$2:P$3810,'FW_Salmon_by_Month_2010-2021'!$B$2:$B$3810,'Rec_raw_catch_effort_2010-2021'!$B1563,'FW_Salmon_by_Month_2010-2021'!$H$2:$H$3810,'Rec_raw_catch_effort_2010-2021'!$F1563,'FW_Salmon_by_Month_2010-2021'!$M$2:$M$3810,'Rec_raw_catch_effort_2010-2021'!$K1563)</f>
        <v>7.4</v>
      </c>
      <c r="R1563" s="109">
        <f>VLOOKUP(B1563,Readme!$A$62:$C$74,2,)*Q1563</f>
        <v>35.664706290437742</v>
      </c>
      <c r="S1563" s="140" t="str">
        <f t="shared" si="137"/>
        <v>Y</v>
      </c>
      <c r="T1563" s="154">
        <f t="shared" si="138"/>
        <v>8.65</v>
      </c>
      <c r="U1563" s="154">
        <f t="shared" si="139"/>
        <v>4.8195549041132084</v>
      </c>
    </row>
    <row r="1564" spans="1:21" x14ac:dyDescent="0.35">
      <c r="A1564" s="108">
        <v>2798</v>
      </c>
      <c r="B1564" s="108">
        <v>2012</v>
      </c>
      <c r="C1564" s="108" t="s">
        <v>38</v>
      </c>
      <c r="D1564" s="108" t="s">
        <v>143</v>
      </c>
      <c r="E1564" s="108" t="s">
        <v>10</v>
      </c>
      <c r="F1564" s="116">
        <v>764</v>
      </c>
      <c r="G1564" s="108" t="s">
        <v>49</v>
      </c>
      <c r="H1564" s="108" t="str">
        <f t="shared" si="136"/>
        <v>Lake Sammamish</v>
      </c>
      <c r="I1564" s="108" t="str">
        <f>IFERROR(VLOOKUP(H1564,LUTs!$A$1:$C$73,2,FALSE),"NA")</f>
        <v>King</v>
      </c>
      <c r="J1564" s="108" t="str">
        <f>IFERROR(VLOOKUP(H1564,LUTs!$A$1:$C$73,3,FALSE),"NA")</f>
        <v>2Central Puget Sound</v>
      </c>
      <c r="K1564" s="108" t="s">
        <v>16</v>
      </c>
      <c r="L1564" s="108" t="str">
        <f>VLOOKUP(K1564,LUTs!E$2:G$14,3,)</f>
        <v>03Snohomish</v>
      </c>
      <c r="M1564" s="108" t="str">
        <f>VLOOKUP($K1564,LUTs!$E$2:$H$14,2,)</f>
        <v>North Puget Sound</v>
      </c>
      <c r="N1564" s="108" t="str">
        <f>VLOOKUP($K1564,LUTs!$E$2:$H$14,4,)</f>
        <v>01North Puget Sound</v>
      </c>
      <c r="O1564" s="108">
        <v>7.375</v>
      </c>
      <c r="P1564" s="108">
        <v>63.793750000000003</v>
      </c>
      <c r="Q1564" s="108">
        <f>SUMIFS('FW_Salmon_by_Month_2010-2021'!P$2:P$3810,'FW_Salmon_by_Month_2010-2021'!$B$2:$B$3810,'Rec_raw_catch_effort_2010-2021'!$B1564,'FW_Salmon_by_Month_2010-2021'!$H$2:$H$3810,'Rec_raw_catch_effort_2010-2021'!$F1564,'FW_Salmon_by_Month_2010-2021'!$M$2:$M$3810,'Rec_raw_catch_effort_2010-2021'!$K1564)</f>
        <v>7.375</v>
      </c>
      <c r="R1564" s="109">
        <f>VLOOKUP(B1564,Readme!$A$62:$C$74,2,)*Q1564</f>
        <v>35.544217417834915</v>
      </c>
      <c r="S1564" s="140" t="str">
        <f t="shared" si="137"/>
        <v>Y</v>
      </c>
      <c r="T1564" s="154">
        <f t="shared" si="138"/>
        <v>8.65</v>
      </c>
      <c r="U1564" s="154">
        <f t="shared" si="139"/>
        <v>4.8195549041132084</v>
      </c>
    </row>
    <row r="1565" spans="1:21" x14ac:dyDescent="0.35">
      <c r="A1565" s="108">
        <v>3034</v>
      </c>
      <c r="B1565" s="108">
        <v>2013</v>
      </c>
      <c r="C1565" s="108" t="s">
        <v>38</v>
      </c>
      <c r="D1565" s="108" t="s">
        <v>143</v>
      </c>
      <c r="E1565" s="108" t="s">
        <v>10</v>
      </c>
      <c r="F1565" s="116">
        <v>764</v>
      </c>
      <c r="G1565" s="108" t="s">
        <v>49</v>
      </c>
      <c r="H1565" s="108" t="str">
        <f t="shared" si="136"/>
        <v>Lake Sammamish</v>
      </c>
      <c r="I1565" s="108" t="str">
        <f>IFERROR(VLOOKUP(H1565,LUTs!$A$1:$C$73,2,FALSE),"NA")</f>
        <v>King</v>
      </c>
      <c r="J1565" s="108" t="str">
        <f>IFERROR(VLOOKUP(H1565,LUTs!$A$1:$C$73,3,FALSE),"NA")</f>
        <v>2Central Puget Sound</v>
      </c>
      <c r="K1565" s="108" t="s">
        <v>18</v>
      </c>
      <c r="L1565" s="108" t="str">
        <f>VLOOKUP(K1565,LUTs!E$2:G$14,3,)</f>
        <v>06King</v>
      </c>
      <c r="M1565" s="108" t="str">
        <f>VLOOKUP($K1565,LUTs!$E$2:$H$14,2,)</f>
        <v>South Puget Sound</v>
      </c>
      <c r="N1565" s="108" t="str">
        <f>VLOOKUP($K1565,LUTs!$E$2:$H$14,4,)</f>
        <v>02South Puget Sound</v>
      </c>
      <c r="O1565" s="108">
        <v>268.45714285714303</v>
      </c>
      <c r="P1565" s="108">
        <v>923.49257142857198</v>
      </c>
      <c r="Q1565" s="108">
        <f>SUMIFS('FW_Salmon_by_Month_2010-2021'!P$2:P$3810,'FW_Salmon_by_Month_2010-2021'!$B$2:$B$3810,'Rec_raw_catch_effort_2010-2021'!$B1565,'FW_Salmon_by_Month_2010-2021'!$H$2:$H$3810,'Rec_raw_catch_effort_2010-2021'!$F1565,'FW_Salmon_by_Month_2010-2021'!$M$2:$M$3810,'Rec_raw_catch_effort_2010-2021'!$K1565)</f>
        <v>268.90909090909099</v>
      </c>
      <c r="R1565" s="109">
        <f>VLOOKUP(B1565,Readme!$A$62:$C$74,2,)*Q1565</f>
        <v>951.68014735239888</v>
      </c>
      <c r="S1565" s="140" t="str">
        <f t="shared" si="137"/>
        <v>Y</v>
      </c>
      <c r="T1565" s="154">
        <f t="shared" si="138"/>
        <v>3.44</v>
      </c>
      <c r="U1565" s="154">
        <f t="shared" si="139"/>
        <v>3.5390404397824153</v>
      </c>
    </row>
    <row r="1566" spans="1:21" x14ac:dyDescent="0.35">
      <c r="A1566" s="108">
        <v>3036</v>
      </c>
      <c r="B1566" s="108">
        <v>2013</v>
      </c>
      <c r="C1566" s="108" t="s">
        <v>38</v>
      </c>
      <c r="D1566" s="108" t="s">
        <v>143</v>
      </c>
      <c r="E1566" s="108" t="s">
        <v>10</v>
      </c>
      <c r="F1566" s="116">
        <v>764</v>
      </c>
      <c r="G1566" s="108" t="s">
        <v>49</v>
      </c>
      <c r="H1566" s="108" t="str">
        <f t="shared" si="136"/>
        <v>Lake Sammamish</v>
      </c>
      <c r="I1566" s="108" t="str">
        <f>IFERROR(VLOOKUP(H1566,LUTs!$A$1:$C$73,2,FALSE),"NA")</f>
        <v>King</v>
      </c>
      <c r="J1566" s="108" t="str">
        <f>IFERROR(VLOOKUP(H1566,LUTs!$A$1:$C$73,3,FALSE),"NA")</f>
        <v>2Central Puget Sound</v>
      </c>
      <c r="K1566" s="108" t="s">
        <v>26</v>
      </c>
      <c r="L1566" s="108" t="str">
        <f>VLOOKUP(K1566,LUTs!E$2:G$14,3,)</f>
        <v>20Other</v>
      </c>
      <c r="M1566" s="108" t="str">
        <f>VLOOKUP($K1566,LUTs!$E$2:$H$14,2,)</f>
        <v>Non Puget Sound</v>
      </c>
      <c r="N1566" s="108" t="str">
        <f>VLOOKUP($K1566,LUTs!$E$2:$H$14,4,)</f>
        <v>07Non Puget Sound</v>
      </c>
      <c r="O1566" s="108">
        <v>27.771428571428601</v>
      </c>
      <c r="P1566" s="108">
        <v>95.533714285714396</v>
      </c>
      <c r="Q1566" s="108">
        <f>SUMIFS('FW_Salmon_by_Month_2010-2021'!P$2:P$3810,'FW_Salmon_by_Month_2010-2021'!$B$2:$B$3810,'Rec_raw_catch_effort_2010-2021'!$B1566,'FW_Salmon_by_Month_2010-2021'!$H$2:$H$3810,'Rec_raw_catch_effort_2010-2021'!$F1566,'FW_Salmon_by_Month_2010-2021'!$M$2:$M$3810,'Rec_raw_catch_effort_2010-2021'!$K1566)</f>
        <v>27.27272727272728</v>
      </c>
      <c r="R1566" s="109">
        <f>VLOOKUP(B1566,Readme!$A$62:$C$74,2,)*Q1566</f>
        <v>96.519284721338622</v>
      </c>
      <c r="S1566" s="140" t="str">
        <f t="shared" si="137"/>
        <v>Y</v>
      </c>
      <c r="T1566" s="154">
        <f t="shared" si="138"/>
        <v>3.4400000000000004</v>
      </c>
      <c r="U1566" s="154">
        <f t="shared" si="139"/>
        <v>3.5390404397824153</v>
      </c>
    </row>
    <row r="1567" spans="1:21" x14ac:dyDescent="0.35">
      <c r="A1567" s="108">
        <v>3035</v>
      </c>
      <c r="B1567" s="108">
        <v>2013</v>
      </c>
      <c r="C1567" s="108" t="s">
        <v>38</v>
      </c>
      <c r="D1567" s="108" t="s">
        <v>143</v>
      </c>
      <c r="E1567" s="108" t="s">
        <v>10</v>
      </c>
      <c r="F1567" s="116">
        <v>764</v>
      </c>
      <c r="G1567" s="108" t="s">
        <v>49</v>
      </c>
      <c r="H1567" s="108" t="str">
        <f t="shared" si="136"/>
        <v>Lake Sammamish</v>
      </c>
      <c r="I1567" s="108" t="str">
        <f>IFERROR(VLOOKUP(H1567,LUTs!$A$1:$C$73,2,FALSE),"NA")</f>
        <v>King</v>
      </c>
      <c r="J1567" s="108" t="str">
        <f>IFERROR(VLOOKUP(H1567,LUTs!$A$1:$C$73,3,FALSE),"NA")</f>
        <v>2Central Puget Sound</v>
      </c>
      <c r="K1567" s="108" t="s">
        <v>20</v>
      </c>
      <c r="L1567" s="108" t="str">
        <f>VLOOKUP(K1567,LUTs!E$2:G$14,3,)</f>
        <v>07Pierce</v>
      </c>
      <c r="M1567" s="108" t="str">
        <f>VLOOKUP($K1567,LUTs!$E$2:$H$14,2,)</f>
        <v>South Puget Sound</v>
      </c>
      <c r="N1567" s="108" t="str">
        <f>VLOOKUP($K1567,LUTs!$E$2:$H$14,4,)</f>
        <v>02South Puget Sound</v>
      </c>
      <c r="O1567" s="108">
        <v>18.514285714285698</v>
      </c>
      <c r="P1567" s="108">
        <v>63.689142857142798</v>
      </c>
      <c r="Q1567" s="108">
        <f>SUMIFS('FW_Salmon_by_Month_2010-2021'!P$2:P$3810,'FW_Salmon_by_Month_2010-2021'!$B$2:$B$3810,'Rec_raw_catch_effort_2010-2021'!$B1567,'FW_Salmon_by_Month_2010-2021'!$H$2:$H$3810,'Rec_raw_catch_effort_2010-2021'!$F1567,'FW_Salmon_by_Month_2010-2021'!$M$2:$M$3810,'Rec_raw_catch_effort_2010-2021'!$K1567)</f>
        <v>18.5454545454546</v>
      </c>
      <c r="R1567" s="109">
        <f>VLOOKUP(B1567,Readme!$A$62:$C$74,2,)*Q1567</f>
        <v>65.633113610510435</v>
      </c>
      <c r="S1567" s="140" t="str">
        <f t="shared" si="137"/>
        <v>Y</v>
      </c>
      <c r="T1567" s="154">
        <f t="shared" si="138"/>
        <v>3.44</v>
      </c>
      <c r="U1567" s="154">
        <f t="shared" si="139"/>
        <v>3.5390404397824149</v>
      </c>
    </row>
    <row r="1568" spans="1:21" x14ac:dyDescent="0.35">
      <c r="A1568" s="108">
        <v>3033</v>
      </c>
      <c r="B1568" s="108">
        <v>2013</v>
      </c>
      <c r="C1568" s="108" t="s">
        <v>38</v>
      </c>
      <c r="D1568" s="108" t="s">
        <v>143</v>
      </c>
      <c r="E1568" s="108" t="s">
        <v>10</v>
      </c>
      <c r="F1568" s="116">
        <v>764</v>
      </c>
      <c r="G1568" s="108" t="s">
        <v>49</v>
      </c>
      <c r="H1568" s="108" t="str">
        <f t="shared" si="136"/>
        <v>Lake Sammamish</v>
      </c>
      <c r="I1568" s="108" t="str">
        <f>IFERROR(VLOOKUP(H1568,LUTs!$A$1:$C$73,2,FALSE),"NA")</f>
        <v>King</v>
      </c>
      <c r="J1568" s="108" t="str">
        <f>IFERROR(VLOOKUP(H1568,LUTs!$A$1:$C$73,3,FALSE),"NA")</f>
        <v>2Central Puget Sound</v>
      </c>
      <c r="K1568" s="108" t="s">
        <v>16</v>
      </c>
      <c r="L1568" s="108" t="str">
        <f>VLOOKUP(K1568,LUTs!E$2:G$14,3,)</f>
        <v>03Snohomish</v>
      </c>
      <c r="M1568" s="108" t="str">
        <f>VLOOKUP($K1568,LUTs!$E$2:$H$14,2,)</f>
        <v>North Puget Sound</v>
      </c>
      <c r="N1568" s="108" t="str">
        <f>VLOOKUP($K1568,LUTs!$E$2:$H$14,4,)</f>
        <v>01North Puget Sound</v>
      </c>
      <c r="O1568" s="108">
        <v>9.2571428571428598</v>
      </c>
      <c r="P1568" s="108">
        <v>31.844571428571399</v>
      </c>
      <c r="Q1568" s="108">
        <f>SUMIFS('FW_Salmon_by_Month_2010-2021'!P$2:P$3810,'FW_Salmon_by_Month_2010-2021'!$B$2:$B$3810,'Rec_raw_catch_effort_2010-2021'!$B1568,'FW_Salmon_by_Month_2010-2021'!$H$2:$H$3810,'Rec_raw_catch_effort_2010-2021'!$F1568,'FW_Salmon_by_Month_2010-2021'!$M$2:$M$3810,'Rec_raw_catch_effort_2010-2021'!$K1568)</f>
        <v>9.2727272727272805</v>
      </c>
      <c r="R1568" s="109">
        <f>VLOOKUP(B1568,Readme!$A$62:$C$74,2,)*Q1568</f>
        <v>32.816556805255154</v>
      </c>
      <c r="S1568" s="140" t="str">
        <f t="shared" si="137"/>
        <v>Y</v>
      </c>
      <c r="T1568" s="154">
        <f t="shared" si="138"/>
        <v>3.4399999999999959</v>
      </c>
      <c r="U1568" s="154">
        <f t="shared" si="139"/>
        <v>3.5390404397824153</v>
      </c>
    </row>
    <row r="1569" spans="1:21" x14ac:dyDescent="0.35">
      <c r="A1569" s="108">
        <v>3360</v>
      </c>
      <c r="B1569" s="108">
        <v>2014</v>
      </c>
      <c r="C1569" s="108" t="s">
        <v>38</v>
      </c>
      <c r="D1569" s="108" t="s">
        <v>143</v>
      </c>
      <c r="E1569" s="108" t="s">
        <v>10</v>
      </c>
      <c r="F1569" s="116">
        <v>764</v>
      </c>
      <c r="G1569" s="108" t="s">
        <v>49</v>
      </c>
      <c r="H1569" s="108" t="str">
        <f t="shared" si="136"/>
        <v>Lake Sammamish</v>
      </c>
      <c r="I1569" s="108" t="str">
        <f>IFERROR(VLOOKUP(H1569,LUTs!$A$1:$C$73,2,FALSE),"NA")</f>
        <v>King</v>
      </c>
      <c r="J1569" s="108" t="str">
        <f>IFERROR(VLOOKUP(H1569,LUTs!$A$1:$C$73,3,FALSE),"NA")</f>
        <v>2Central Puget Sound</v>
      </c>
      <c r="K1569" s="108" t="s">
        <v>18</v>
      </c>
      <c r="L1569" s="108" t="str">
        <f>VLOOKUP(K1569,LUTs!E$2:G$14,3,)</f>
        <v>06King</v>
      </c>
      <c r="M1569" s="108" t="str">
        <f>VLOOKUP($K1569,LUTs!$E$2:$H$14,2,)</f>
        <v>South Puget Sound</v>
      </c>
      <c r="N1569" s="108" t="str">
        <f>VLOOKUP($K1569,LUTs!$E$2:$H$14,4,)</f>
        <v>02South Puget Sound</v>
      </c>
      <c r="O1569" s="108">
        <v>21.428571428571399</v>
      </c>
      <c r="P1569" s="108">
        <v>185.357142857143</v>
      </c>
      <c r="Q1569" s="108">
        <f>SUMIFS('FW_Salmon_by_Month_2010-2021'!P$2:P$3810,'FW_Salmon_by_Month_2010-2021'!$B$2:$B$3810,'Rec_raw_catch_effort_2010-2021'!$B1569,'FW_Salmon_by_Month_2010-2021'!$H$2:$H$3810,'Rec_raw_catch_effort_2010-2021'!$F1569,'FW_Salmon_by_Month_2010-2021'!$M$2:$M$3810,'Rec_raw_catch_effort_2010-2021'!$K1569)</f>
        <v>21.5</v>
      </c>
      <c r="R1569" s="109">
        <f>VLOOKUP(B1569,Readme!$A$62:$C$74,2,)*Q1569</f>
        <v>103.62043043843398</v>
      </c>
      <c r="S1569" s="140" t="str">
        <f t="shared" si="137"/>
        <v>Y</v>
      </c>
      <c r="T1569" s="154">
        <f t="shared" si="138"/>
        <v>8.6500000000000181</v>
      </c>
      <c r="U1569" s="154">
        <f t="shared" si="139"/>
        <v>4.8195549041132084</v>
      </c>
    </row>
    <row r="1570" spans="1:21" x14ac:dyDescent="0.35">
      <c r="A1570" s="108">
        <v>3361</v>
      </c>
      <c r="B1570" s="108">
        <v>2014</v>
      </c>
      <c r="C1570" s="108" t="s">
        <v>38</v>
      </c>
      <c r="D1570" s="108" t="s">
        <v>143</v>
      </c>
      <c r="E1570" s="108" t="s">
        <v>10</v>
      </c>
      <c r="F1570" s="116">
        <v>764</v>
      </c>
      <c r="G1570" s="108" t="s">
        <v>49</v>
      </c>
      <c r="H1570" s="108" t="str">
        <f t="shared" si="136"/>
        <v>Lake Sammamish</v>
      </c>
      <c r="I1570" s="108" t="str">
        <f>IFERROR(VLOOKUP(H1570,LUTs!$A$1:$C$73,2,FALSE),"NA")</f>
        <v>King</v>
      </c>
      <c r="J1570" s="108" t="str">
        <f>IFERROR(VLOOKUP(H1570,LUTs!$A$1:$C$73,3,FALSE),"NA")</f>
        <v>2Central Puget Sound</v>
      </c>
      <c r="K1570" s="108" t="s">
        <v>26</v>
      </c>
      <c r="L1570" s="108" t="str">
        <f>VLOOKUP(K1570,LUTs!E$2:G$14,3,)</f>
        <v>20Other</v>
      </c>
      <c r="M1570" s="108" t="str">
        <f>VLOOKUP($K1570,LUTs!$E$2:$H$14,2,)</f>
        <v>Non Puget Sound</v>
      </c>
      <c r="N1570" s="108" t="str">
        <f>VLOOKUP($K1570,LUTs!$E$2:$H$14,4,)</f>
        <v>07Non Puget Sound</v>
      </c>
      <c r="O1570" s="108">
        <v>7.1428571428571397</v>
      </c>
      <c r="P1570" s="108">
        <v>61.785714285714299</v>
      </c>
      <c r="Q1570" s="108">
        <f>SUMIFS('FW_Salmon_by_Month_2010-2021'!P$2:P$3810,'FW_Salmon_by_Month_2010-2021'!$B$2:$B$3810,'Rec_raw_catch_effort_2010-2021'!$B1570,'FW_Salmon_by_Month_2010-2021'!$H$2:$H$3810,'Rec_raw_catch_effort_2010-2021'!$F1570,'FW_Salmon_by_Month_2010-2021'!$M$2:$M$3810,'Rec_raw_catch_effort_2010-2021'!$K1570)</f>
        <v>7</v>
      </c>
      <c r="R1570" s="109">
        <f>VLOOKUP(B1570,Readme!$A$62:$C$74,2,)*Q1570</f>
        <v>33.736884328792456</v>
      </c>
      <c r="S1570" s="140" t="str">
        <f t="shared" si="137"/>
        <v>Y</v>
      </c>
      <c r="T1570" s="154">
        <f t="shared" si="138"/>
        <v>8.6500000000000057</v>
      </c>
      <c r="U1570" s="154">
        <f t="shared" si="139"/>
        <v>4.8195549041132084</v>
      </c>
    </row>
    <row r="1571" spans="1:21" x14ac:dyDescent="0.35">
      <c r="A1571" s="108">
        <v>3351</v>
      </c>
      <c r="B1571" s="108">
        <v>2014</v>
      </c>
      <c r="C1571" s="108" t="s">
        <v>38</v>
      </c>
      <c r="D1571" s="108" t="s">
        <v>143</v>
      </c>
      <c r="E1571" s="108" t="s">
        <v>10</v>
      </c>
      <c r="F1571" s="116">
        <v>764</v>
      </c>
      <c r="G1571" s="108" t="s">
        <v>49</v>
      </c>
      <c r="H1571" s="108" t="str">
        <f t="shared" si="136"/>
        <v>Lake Sammamish</v>
      </c>
      <c r="I1571" s="108" t="str">
        <f>IFERROR(VLOOKUP(H1571,LUTs!$A$1:$C$73,2,FALSE),"NA")</f>
        <v>King</v>
      </c>
      <c r="J1571" s="108" t="str">
        <f>IFERROR(VLOOKUP(H1571,LUTs!$A$1:$C$73,3,FALSE),"NA")</f>
        <v>2Central Puget Sound</v>
      </c>
      <c r="K1571" s="108" t="s">
        <v>16</v>
      </c>
      <c r="L1571" s="108" t="str">
        <f>VLOOKUP(K1571,LUTs!E$2:G$14,3,)</f>
        <v>03Snohomish</v>
      </c>
      <c r="M1571" s="108" t="str">
        <f>VLOOKUP($K1571,LUTs!$E$2:$H$14,2,)</f>
        <v>North Puget Sound</v>
      </c>
      <c r="N1571" s="108" t="str">
        <f>VLOOKUP($K1571,LUTs!$E$2:$H$14,4,)</f>
        <v>01North Puget Sound</v>
      </c>
      <c r="O1571" s="108">
        <v>21.428571428571399</v>
      </c>
      <c r="P1571" s="108">
        <v>185.357142857143</v>
      </c>
      <c r="Q1571" s="108">
        <f>SUMIFS('FW_Salmon_by_Month_2010-2021'!P$2:P$3810,'FW_Salmon_by_Month_2010-2021'!$B$2:$B$3810,'Rec_raw_catch_effort_2010-2021'!$B1571,'FW_Salmon_by_Month_2010-2021'!$H$2:$H$3810,'Rec_raw_catch_effort_2010-2021'!$F1571,'FW_Salmon_by_Month_2010-2021'!$M$2:$M$3810,'Rec_raw_catch_effort_2010-2021'!$K1571)</f>
        <v>21.5</v>
      </c>
      <c r="R1571" s="109">
        <f>VLOOKUP(B1571,Readme!$A$62:$C$74,2,)*Q1571</f>
        <v>103.62043043843398</v>
      </c>
      <c r="S1571" s="140" t="str">
        <f t="shared" si="137"/>
        <v>Y</v>
      </c>
      <c r="T1571" s="154">
        <f t="shared" si="138"/>
        <v>8.6500000000000181</v>
      </c>
      <c r="U1571" s="154">
        <f t="shared" si="139"/>
        <v>4.8195549041132084</v>
      </c>
    </row>
    <row r="1572" spans="1:21" x14ac:dyDescent="0.35">
      <c r="A1572" s="108">
        <v>4</v>
      </c>
      <c r="B1572" s="108">
        <v>2017</v>
      </c>
      <c r="C1572" s="108" t="s">
        <v>38</v>
      </c>
      <c r="D1572" s="108" t="s">
        <v>143</v>
      </c>
      <c r="E1572" s="108" t="s">
        <v>10</v>
      </c>
      <c r="F1572" s="116">
        <v>764</v>
      </c>
      <c r="G1572" s="108" t="s">
        <v>49</v>
      </c>
      <c r="H1572" s="108" t="str">
        <f t="shared" si="136"/>
        <v>Lake Sammamish</v>
      </c>
      <c r="I1572" s="108" t="str">
        <f>IFERROR(VLOOKUP(H1572,LUTs!$A$1:$C$73,2,FALSE),"NA")</f>
        <v>King</v>
      </c>
      <c r="J1572" s="108" t="str">
        <f>IFERROR(VLOOKUP(H1572,LUTs!$A$1:$C$73,3,FALSE),"NA")</f>
        <v>2Central Puget Sound</v>
      </c>
      <c r="K1572" s="108" t="s">
        <v>18</v>
      </c>
      <c r="L1572" s="108" t="str">
        <f>VLOOKUP(K1572,LUTs!E$2:G$14,3,)</f>
        <v>06King</v>
      </c>
      <c r="M1572" s="108" t="str">
        <f>VLOOKUP($K1572,LUTs!$E$2:$H$14,2,)</f>
        <v>South Puget Sound</v>
      </c>
      <c r="N1572" s="108" t="str">
        <f>VLOOKUP($K1572,LUTs!$E$2:$H$14,4,)</f>
        <v>02South Puget Sound</v>
      </c>
      <c r="O1572" s="108">
        <v>20.5</v>
      </c>
      <c r="P1572" s="108">
        <v>70.52</v>
      </c>
      <c r="Q1572" s="108">
        <f>SUMIFS('FW_Salmon_by_Month_2010-2021'!P$2:P$3810,'FW_Salmon_by_Month_2010-2021'!$B$2:$B$3810,'Rec_raw_catch_effort_2010-2021'!$B1572,'FW_Salmon_by_Month_2010-2021'!$H$2:$H$3810,'Rec_raw_catch_effort_2010-2021'!$F1572,'FW_Salmon_by_Month_2010-2021'!$M$2:$M$3810,'Rec_raw_catch_effort_2010-2021'!$K1572)</f>
        <v>20.5</v>
      </c>
      <c r="R1572" s="109">
        <f>VLOOKUP(B1572,Readme!$A$62:$C$74,2,)*Q1572</f>
        <v>72.550329015539518</v>
      </c>
      <c r="S1572" s="140" t="str">
        <f t="shared" si="137"/>
        <v>Y</v>
      </c>
      <c r="T1572" s="154">
        <f t="shared" si="138"/>
        <v>3.44</v>
      </c>
      <c r="U1572" s="154">
        <f t="shared" si="139"/>
        <v>3.5390404397824153</v>
      </c>
    </row>
    <row r="1573" spans="1:21" x14ac:dyDescent="0.35">
      <c r="A1573" s="108">
        <v>5</v>
      </c>
      <c r="B1573" s="108">
        <v>2017</v>
      </c>
      <c r="C1573" s="108" t="s">
        <v>38</v>
      </c>
      <c r="D1573" s="108" t="s">
        <v>143</v>
      </c>
      <c r="E1573" s="108" t="s">
        <v>10</v>
      </c>
      <c r="F1573" s="116">
        <v>764</v>
      </c>
      <c r="G1573" s="108" t="s">
        <v>49</v>
      </c>
      <c r="H1573" s="108" t="str">
        <f t="shared" si="136"/>
        <v>Lake Sammamish</v>
      </c>
      <c r="I1573" s="108" t="str">
        <f>IFERROR(VLOOKUP(H1573,LUTs!$A$1:$C$73,2,FALSE),"NA")</f>
        <v>King</v>
      </c>
      <c r="J1573" s="108" t="str">
        <f>IFERROR(VLOOKUP(H1573,LUTs!$A$1:$C$73,3,FALSE),"NA")</f>
        <v>2Central Puget Sound</v>
      </c>
      <c r="K1573" s="108" t="s">
        <v>21</v>
      </c>
      <c r="L1573" s="108" t="str">
        <f>VLOOKUP(K1573,LUTs!E$2:G$14,3,)</f>
        <v>08Thurston</v>
      </c>
      <c r="M1573" s="108" t="str">
        <f>VLOOKUP($K1573,LUTs!$E$2:$H$14,2,)</f>
        <v>South Puget Sound</v>
      </c>
      <c r="N1573" s="108" t="str">
        <f>VLOOKUP($K1573,LUTs!$E$2:$H$14,4,)</f>
        <v>02South Puget Sound</v>
      </c>
      <c r="O1573" s="108">
        <v>20.5</v>
      </c>
      <c r="P1573" s="108">
        <v>70.52</v>
      </c>
      <c r="Q1573" s="108">
        <f>SUMIFS('FW_Salmon_by_Month_2010-2021'!P$2:P$3810,'FW_Salmon_by_Month_2010-2021'!$B$2:$B$3810,'Rec_raw_catch_effort_2010-2021'!$B1573,'FW_Salmon_by_Month_2010-2021'!$H$2:$H$3810,'Rec_raw_catch_effort_2010-2021'!$F1573,'FW_Salmon_by_Month_2010-2021'!$M$2:$M$3810,'Rec_raw_catch_effort_2010-2021'!$K1573)</f>
        <v>20.5</v>
      </c>
      <c r="R1573" s="109">
        <f>VLOOKUP(B1573,Readme!$A$62:$C$74,2,)*Q1573</f>
        <v>72.550329015539518</v>
      </c>
      <c r="S1573" s="140" t="str">
        <f t="shared" si="137"/>
        <v>Y</v>
      </c>
      <c r="T1573" s="154">
        <f t="shared" si="138"/>
        <v>3.44</v>
      </c>
      <c r="U1573" s="154">
        <f t="shared" si="139"/>
        <v>3.5390404397824153</v>
      </c>
    </row>
    <row r="1574" spans="1:21" x14ac:dyDescent="0.35">
      <c r="A1574" s="108">
        <v>14</v>
      </c>
      <c r="B1574" s="108">
        <v>2018</v>
      </c>
      <c r="C1574" s="108" t="s">
        <v>38</v>
      </c>
      <c r="D1574" s="108" t="s">
        <v>143</v>
      </c>
      <c r="E1574" s="108" t="s">
        <v>10</v>
      </c>
      <c r="F1574" s="116">
        <v>764</v>
      </c>
      <c r="G1574" s="108" t="s">
        <v>49</v>
      </c>
      <c r="H1574" s="108" t="str">
        <f t="shared" si="136"/>
        <v>Lake Sammamish</v>
      </c>
      <c r="I1574" s="108" t="str">
        <f>IFERROR(VLOOKUP(H1574,LUTs!$A$1:$C$73,2,FALSE),"NA")</f>
        <v>King</v>
      </c>
      <c r="J1574" s="108" t="str">
        <f>IFERROR(VLOOKUP(H1574,LUTs!$A$1:$C$73,3,FALSE),"NA")</f>
        <v>2Central Puget Sound</v>
      </c>
      <c r="K1574" s="108" t="s">
        <v>18</v>
      </c>
      <c r="L1574" s="108" t="str">
        <f>VLOOKUP(K1574,LUTs!E$2:G$14,3,)</f>
        <v>06King</v>
      </c>
      <c r="M1574" s="108" t="str">
        <f>VLOOKUP($K1574,LUTs!$E$2:$H$14,2,)</f>
        <v>South Puget Sound</v>
      </c>
      <c r="N1574" s="108" t="str">
        <f>VLOOKUP($K1574,LUTs!$E$2:$H$14,4,)</f>
        <v>02South Puget Sound</v>
      </c>
      <c r="O1574" s="108">
        <v>10</v>
      </c>
      <c r="P1574" s="108">
        <v>86.5</v>
      </c>
      <c r="Q1574" s="108">
        <f>SUMIFS('FW_Salmon_by_Month_2010-2021'!P$2:P$3810,'FW_Salmon_by_Month_2010-2021'!$B$2:$B$3810,'Rec_raw_catch_effort_2010-2021'!$B1574,'FW_Salmon_by_Month_2010-2021'!$H$2:$H$3810,'Rec_raw_catch_effort_2010-2021'!$F1574,'FW_Salmon_by_Month_2010-2021'!$M$2:$M$3810,'Rec_raw_catch_effort_2010-2021'!$K1574)</f>
        <v>10</v>
      </c>
      <c r="R1574" s="109">
        <f>VLOOKUP(B1574,Readme!$A$62:$C$74,2,)*Q1574</f>
        <v>48.195549041132082</v>
      </c>
      <c r="S1574" s="140" t="str">
        <f t="shared" si="137"/>
        <v>Y</v>
      </c>
      <c r="T1574" s="154">
        <f t="shared" si="138"/>
        <v>8.65</v>
      </c>
      <c r="U1574" s="154">
        <f t="shared" si="139"/>
        <v>4.8195549041132084</v>
      </c>
    </row>
    <row r="1575" spans="1:21" x14ac:dyDescent="0.35">
      <c r="A1575" s="108">
        <v>13</v>
      </c>
      <c r="B1575" s="108">
        <v>2018</v>
      </c>
      <c r="C1575" s="108" t="s">
        <v>38</v>
      </c>
      <c r="D1575" s="108" t="s">
        <v>143</v>
      </c>
      <c r="E1575" s="108" t="s">
        <v>10</v>
      </c>
      <c r="F1575" s="116">
        <v>764</v>
      </c>
      <c r="G1575" s="108" t="s">
        <v>49</v>
      </c>
      <c r="H1575" s="108" t="str">
        <f t="shared" si="136"/>
        <v>Lake Sammamish</v>
      </c>
      <c r="I1575" s="108" t="str">
        <f>IFERROR(VLOOKUP(H1575,LUTs!$A$1:$C$73,2,FALSE),"NA")</f>
        <v>King</v>
      </c>
      <c r="J1575" s="108" t="str">
        <f>IFERROR(VLOOKUP(H1575,LUTs!$A$1:$C$73,3,FALSE),"NA")</f>
        <v>2Central Puget Sound</v>
      </c>
      <c r="K1575" s="108" t="s">
        <v>16</v>
      </c>
      <c r="L1575" s="108" t="str">
        <f>VLOOKUP(K1575,LUTs!E$2:G$14,3,)</f>
        <v>03Snohomish</v>
      </c>
      <c r="M1575" s="108" t="str">
        <f>VLOOKUP($K1575,LUTs!$E$2:$H$14,2,)</f>
        <v>North Puget Sound</v>
      </c>
      <c r="N1575" s="108" t="str">
        <f>VLOOKUP($K1575,LUTs!$E$2:$H$14,4,)</f>
        <v>01North Puget Sound</v>
      </c>
      <c r="O1575" s="108">
        <v>10</v>
      </c>
      <c r="P1575" s="108">
        <v>86.5</v>
      </c>
      <c r="Q1575" s="108">
        <f>SUMIFS('FW_Salmon_by_Month_2010-2021'!P$2:P$3810,'FW_Salmon_by_Month_2010-2021'!$B$2:$B$3810,'Rec_raw_catch_effort_2010-2021'!$B1575,'FW_Salmon_by_Month_2010-2021'!$H$2:$H$3810,'Rec_raw_catch_effort_2010-2021'!$F1575,'FW_Salmon_by_Month_2010-2021'!$M$2:$M$3810,'Rec_raw_catch_effort_2010-2021'!$K1575)</f>
        <v>0</v>
      </c>
      <c r="R1575" s="109">
        <f>VLOOKUP(B1575,Readme!$A$62:$C$74,2,)*Q1575</f>
        <v>0</v>
      </c>
      <c r="S1575" s="140" t="str">
        <f t="shared" si="137"/>
        <v>Y</v>
      </c>
      <c r="T1575" s="154">
        <f t="shared" si="138"/>
        <v>8.65</v>
      </c>
      <c r="U1575" s="154" t="str">
        <f t="shared" si="139"/>
        <v>NA</v>
      </c>
    </row>
    <row r="1576" spans="1:21" x14ac:dyDescent="0.35">
      <c r="A1576" s="108">
        <v>105</v>
      </c>
      <c r="B1576" s="108">
        <v>2019</v>
      </c>
      <c r="C1576" s="108" t="s">
        <v>38</v>
      </c>
      <c r="D1576" s="108" t="s">
        <v>143</v>
      </c>
      <c r="E1576" s="108" t="s">
        <v>10</v>
      </c>
      <c r="F1576" s="116">
        <v>764</v>
      </c>
      <c r="G1576" s="108" t="s">
        <v>49</v>
      </c>
      <c r="H1576" s="108" t="str">
        <f t="shared" si="136"/>
        <v>Lake Sammamish</v>
      </c>
      <c r="I1576" s="108" t="str">
        <f>IFERROR(VLOOKUP(H1576,LUTs!$A$1:$C$73,2,FALSE),"NA")</f>
        <v>King</v>
      </c>
      <c r="J1576" s="108" t="str">
        <f>IFERROR(VLOOKUP(H1576,LUTs!$A$1:$C$73,3,FALSE),"NA")</f>
        <v>2Central Puget Sound</v>
      </c>
      <c r="K1576" s="108" t="s">
        <v>18</v>
      </c>
      <c r="L1576" s="108" t="str">
        <f>VLOOKUP(K1576,LUTs!E$2:G$14,3,)</f>
        <v>06King</v>
      </c>
      <c r="M1576" s="108" t="str">
        <f>VLOOKUP($K1576,LUTs!$E$2:$H$14,2,)</f>
        <v>South Puget Sound</v>
      </c>
      <c r="N1576" s="108" t="str">
        <f>VLOOKUP($K1576,LUTs!$E$2:$H$14,4,)</f>
        <v>02South Puget Sound</v>
      </c>
      <c r="O1576" s="108">
        <v>11</v>
      </c>
      <c r="P1576" s="108">
        <v>37.840000000000003</v>
      </c>
      <c r="Q1576" s="108">
        <f>SUMIFS('FW_Salmon_by_Month_2010-2021'!P$2:P$3810,'FW_Salmon_by_Month_2010-2021'!$B$2:$B$3810,'Rec_raw_catch_effort_2010-2021'!$B1576,'FW_Salmon_by_Month_2010-2021'!$H$2:$H$3810,'Rec_raw_catch_effort_2010-2021'!$F1576,'FW_Salmon_by_Month_2010-2021'!$M$2:$M$3810,'Rec_raw_catch_effort_2010-2021'!$K1576)</f>
        <v>11</v>
      </c>
      <c r="R1576" s="109">
        <f>VLOOKUP(B1576,Readme!$A$62:$C$74,2,)*Q1576</f>
        <v>38.929444837606567</v>
      </c>
      <c r="S1576" s="140" t="str">
        <f t="shared" si="137"/>
        <v>Y</v>
      </c>
      <c r="T1576" s="154">
        <f t="shared" si="138"/>
        <v>3.4400000000000004</v>
      </c>
      <c r="U1576" s="154">
        <f t="shared" si="139"/>
        <v>3.5390404397824153</v>
      </c>
    </row>
    <row r="1577" spans="1:21" x14ac:dyDescent="0.35">
      <c r="A1577" s="108">
        <v>106</v>
      </c>
      <c r="B1577" s="108">
        <v>2019</v>
      </c>
      <c r="C1577" s="108" t="s">
        <v>38</v>
      </c>
      <c r="D1577" s="108" t="s">
        <v>143</v>
      </c>
      <c r="E1577" s="108" t="s">
        <v>10</v>
      </c>
      <c r="F1577" s="116">
        <v>764</v>
      </c>
      <c r="G1577" s="108" t="s">
        <v>49</v>
      </c>
      <c r="H1577" s="108" t="str">
        <f t="shared" si="136"/>
        <v>Lake Sammamish</v>
      </c>
      <c r="I1577" s="108" t="str">
        <f>IFERROR(VLOOKUP(H1577,LUTs!$A$1:$C$73,2,FALSE),"NA")</f>
        <v>King</v>
      </c>
      <c r="J1577" s="108" t="str">
        <f>IFERROR(VLOOKUP(H1577,LUTs!$A$1:$C$73,3,FALSE),"NA")</f>
        <v>2Central Puget Sound</v>
      </c>
      <c r="K1577" s="108" t="s">
        <v>20</v>
      </c>
      <c r="L1577" s="108" t="str">
        <f>VLOOKUP(K1577,LUTs!E$2:G$14,3,)</f>
        <v>07Pierce</v>
      </c>
      <c r="M1577" s="108" t="str">
        <f>VLOOKUP($K1577,LUTs!$E$2:$H$14,2,)</f>
        <v>South Puget Sound</v>
      </c>
      <c r="N1577" s="108" t="str">
        <f>VLOOKUP($K1577,LUTs!$E$2:$H$14,4,)</f>
        <v>02South Puget Sound</v>
      </c>
      <c r="O1577" s="108">
        <v>66</v>
      </c>
      <c r="P1577" s="108">
        <v>227.04</v>
      </c>
      <c r="Q1577" s="108">
        <f>SUMIFS('FW_Salmon_by_Month_2010-2021'!P$2:P$3810,'FW_Salmon_by_Month_2010-2021'!$B$2:$B$3810,'Rec_raw_catch_effort_2010-2021'!$B1577,'FW_Salmon_by_Month_2010-2021'!$H$2:$H$3810,'Rec_raw_catch_effort_2010-2021'!$F1577,'FW_Salmon_by_Month_2010-2021'!$M$2:$M$3810,'Rec_raw_catch_effort_2010-2021'!$K1577)</f>
        <v>66</v>
      </c>
      <c r="R1577" s="109">
        <f>VLOOKUP(B1577,Readme!$A$62:$C$74,2,)*Q1577</f>
        <v>233.5766690256394</v>
      </c>
      <c r="S1577" s="140" t="str">
        <f t="shared" si="137"/>
        <v>Y</v>
      </c>
      <c r="T1577" s="154">
        <f t="shared" si="138"/>
        <v>3.44</v>
      </c>
      <c r="U1577" s="154">
        <f t="shared" si="139"/>
        <v>3.5390404397824153</v>
      </c>
    </row>
    <row r="1578" spans="1:21" x14ac:dyDescent="0.35">
      <c r="A1578" s="108">
        <v>117</v>
      </c>
      <c r="B1578" s="108">
        <v>2020</v>
      </c>
      <c r="C1578" s="108" t="s">
        <v>38</v>
      </c>
      <c r="D1578" s="108" t="s">
        <v>143</v>
      </c>
      <c r="E1578" s="108" t="s">
        <v>10</v>
      </c>
      <c r="F1578" s="116">
        <v>764</v>
      </c>
      <c r="G1578" s="108" t="s">
        <v>49</v>
      </c>
      <c r="H1578" s="108" t="str">
        <f t="shared" si="136"/>
        <v>Lake Sammamish</v>
      </c>
      <c r="I1578" s="108" t="str">
        <f>IFERROR(VLOOKUP(H1578,LUTs!$A$1:$C$73,2,FALSE),"NA")</f>
        <v>King</v>
      </c>
      <c r="J1578" s="108" t="str">
        <f>IFERROR(VLOOKUP(H1578,LUTs!$A$1:$C$73,3,FALSE),"NA")</f>
        <v>2Central Puget Sound</v>
      </c>
      <c r="K1578" s="108" t="s">
        <v>20</v>
      </c>
      <c r="L1578" s="108" t="str">
        <f>VLOOKUP(K1578,LUTs!E$2:G$14,3,)</f>
        <v>07Pierce</v>
      </c>
      <c r="M1578" s="108" t="str">
        <f>VLOOKUP($K1578,LUTs!$E$2:$H$14,2,)</f>
        <v>South Puget Sound</v>
      </c>
      <c r="N1578" s="108" t="str">
        <f>VLOOKUP($K1578,LUTs!$E$2:$H$14,4,)</f>
        <v>02South Puget Sound</v>
      </c>
      <c r="O1578" s="108">
        <v>7</v>
      </c>
      <c r="P1578" s="108">
        <v>60.55</v>
      </c>
      <c r="Q1578" s="108">
        <f>SUMIFS('FW_Salmon_by_Month_2010-2021'!P$2:P$3810,'FW_Salmon_by_Month_2010-2021'!$B$2:$B$3810,'Rec_raw_catch_effort_2010-2021'!$B1578,'FW_Salmon_by_Month_2010-2021'!$H$2:$H$3810,'Rec_raw_catch_effort_2010-2021'!$F1578,'FW_Salmon_by_Month_2010-2021'!$M$2:$M$3810,'Rec_raw_catch_effort_2010-2021'!$K1578)</f>
        <v>7</v>
      </c>
      <c r="R1578" s="109">
        <f>VLOOKUP(B1578,Readme!$A$62:$C$74,2,)*Q1578</f>
        <v>33.736884328792456</v>
      </c>
      <c r="S1578" s="140" t="str">
        <f t="shared" si="137"/>
        <v>N</v>
      </c>
      <c r="T1578" s="154">
        <f t="shared" si="138"/>
        <v>8.65</v>
      </c>
      <c r="U1578" s="154">
        <f t="shared" si="139"/>
        <v>4.8195549041132084</v>
      </c>
    </row>
    <row r="1579" spans="1:21" x14ac:dyDescent="0.35">
      <c r="A1579" s="108">
        <v>130</v>
      </c>
      <c r="B1579" s="108">
        <v>2021</v>
      </c>
      <c r="C1579" s="108" t="s">
        <v>38</v>
      </c>
      <c r="D1579" s="108" t="s">
        <v>143</v>
      </c>
      <c r="E1579" s="108" t="s">
        <v>10</v>
      </c>
      <c r="F1579" s="116">
        <v>764</v>
      </c>
      <c r="G1579" s="108" t="s">
        <v>49</v>
      </c>
      <c r="H1579" s="108" t="str">
        <f t="shared" si="136"/>
        <v>Lake Sammamish</v>
      </c>
      <c r="I1579" s="108" t="str">
        <f>IFERROR(VLOOKUP(H1579,LUTs!$A$1:$C$73,2,FALSE),"NA")</f>
        <v>King</v>
      </c>
      <c r="J1579" s="108" t="str">
        <f>IFERROR(VLOOKUP(H1579,LUTs!$A$1:$C$73,3,FALSE),"NA")</f>
        <v>2Central Puget Sound</v>
      </c>
      <c r="K1579" s="108" t="s">
        <v>18</v>
      </c>
      <c r="L1579" s="108" t="str">
        <f>VLOOKUP(K1579,LUTs!E$2:G$14,3,)</f>
        <v>06King</v>
      </c>
      <c r="M1579" s="108" t="str">
        <f>VLOOKUP($K1579,LUTs!$E$2:$H$14,2,)</f>
        <v>South Puget Sound</v>
      </c>
      <c r="N1579" s="108" t="str">
        <f>VLOOKUP($K1579,LUTs!$E$2:$H$14,4,)</f>
        <v>02South Puget Sound</v>
      </c>
      <c r="O1579" s="108">
        <v>13.6666666666667</v>
      </c>
      <c r="P1579" s="108">
        <v>47.013333333333399</v>
      </c>
      <c r="Q1579" s="108">
        <f>SUMIFS('FW_Salmon_by_Month_2010-2021'!P$2:P$3810,'FW_Salmon_by_Month_2010-2021'!$B$2:$B$3810,'Rec_raw_catch_effort_2010-2021'!$B1579,'FW_Salmon_by_Month_2010-2021'!$H$2:$H$3810,'Rec_raw_catch_effort_2010-2021'!$F1579,'FW_Salmon_by_Month_2010-2021'!$M$2:$M$3810,'Rec_raw_catch_effort_2010-2021'!$K1579)</f>
        <v>13.6666666666667</v>
      </c>
      <c r="R1579" s="109">
        <f>VLOOKUP(B1579,Readme!$A$62:$C$74,2,)*Q1579</f>
        <v>48.366886010359792</v>
      </c>
      <c r="S1579" s="140" t="str">
        <f t="shared" si="137"/>
        <v>N</v>
      </c>
      <c r="T1579" s="154">
        <f t="shared" si="138"/>
        <v>3.4399999999999964</v>
      </c>
      <c r="U1579" s="154">
        <f t="shared" si="139"/>
        <v>3.5390404397824153</v>
      </c>
    </row>
    <row r="1580" spans="1:21" x14ac:dyDescent="0.35">
      <c r="A1580" s="108">
        <v>215</v>
      </c>
      <c r="B1580" s="108">
        <v>2021</v>
      </c>
      <c r="C1580" s="108" t="s">
        <v>38</v>
      </c>
      <c r="D1580" s="108" t="s">
        <v>143</v>
      </c>
      <c r="E1580" s="108" t="s">
        <v>10</v>
      </c>
      <c r="F1580" s="116">
        <v>764</v>
      </c>
      <c r="G1580" s="108" t="s">
        <v>49</v>
      </c>
      <c r="H1580" s="108" t="str">
        <f t="shared" si="136"/>
        <v>Lake Sammamish</v>
      </c>
      <c r="I1580" s="108" t="str">
        <f>IFERROR(VLOOKUP(H1580,LUTs!$A$1:$C$73,2,FALSE),"NA")</f>
        <v>King</v>
      </c>
      <c r="J1580" s="108" t="str">
        <f>IFERROR(VLOOKUP(H1580,LUTs!$A$1:$C$73,3,FALSE),"NA")</f>
        <v>2Central Puget Sound</v>
      </c>
      <c r="K1580" s="108" t="s">
        <v>20</v>
      </c>
      <c r="L1580" s="108" t="str">
        <f>VLOOKUP(K1580,LUTs!E$2:G$14,3,)</f>
        <v>07Pierce</v>
      </c>
      <c r="M1580" s="108" t="str">
        <f>VLOOKUP($K1580,LUTs!$E$2:$H$14,2,)</f>
        <v>South Puget Sound</v>
      </c>
      <c r="N1580" s="108" t="str">
        <f>VLOOKUP($K1580,LUTs!$E$2:$H$14,4,)</f>
        <v>02South Puget Sound</v>
      </c>
      <c r="O1580" s="108">
        <v>27.3333333333333</v>
      </c>
      <c r="P1580" s="108">
        <v>94.0266666666666</v>
      </c>
      <c r="Q1580" s="108">
        <f>SUMIFS('FW_Salmon_by_Month_2010-2021'!P$2:P$3810,'FW_Salmon_by_Month_2010-2021'!$B$2:$B$3810,'Rec_raw_catch_effort_2010-2021'!$B1580,'FW_Salmon_by_Month_2010-2021'!$H$2:$H$3810,'Rec_raw_catch_effort_2010-2021'!$F1580,'FW_Salmon_by_Month_2010-2021'!$M$2:$M$3810,'Rec_raw_catch_effort_2010-2021'!$K1580)</f>
        <v>27.3333333333333</v>
      </c>
      <c r="R1580" s="109">
        <f>VLOOKUP(B1580,Readme!$A$62:$C$74,2,)*Q1580</f>
        <v>96.733772020719229</v>
      </c>
      <c r="S1580" s="140" t="str">
        <f t="shared" si="137"/>
        <v>N</v>
      </c>
      <c r="T1580" s="154">
        <f t="shared" si="138"/>
        <v>3.4400000000000017</v>
      </c>
      <c r="U1580" s="154">
        <f t="shared" si="139"/>
        <v>3.5390404397824149</v>
      </c>
    </row>
    <row r="1581" spans="1:21" x14ac:dyDescent="0.35">
      <c r="A1581" s="108">
        <v>2562</v>
      </c>
      <c r="B1581" s="108">
        <v>2019</v>
      </c>
      <c r="C1581" s="108" t="s">
        <v>38</v>
      </c>
      <c r="D1581" s="108" t="s">
        <v>143</v>
      </c>
      <c r="E1581" s="108" t="s">
        <v>10</v>
      </c>
      <c r="F1581" s="116">
        <v>768</v>
      </c>
      <c r="G1581" s="108" t="s">
        <v>79</v>
      </c>
      <c r="H1581" s="108" t="str">
        <f t="shared" si="136"/>
        <v>Lyre River</v>
      </c>
      <c r="I1581" s="108" t="str">
        <f>IFERROR(VLOOKUP(H1581,LUTs!$A$1:$C$73,2,FALSE),"NA")</f>
        <v>Clallam</v>
      </c>
      <c r="J1581" s="108" t="str">
        <f>IFERROR(VLOOKUP(H1581,LUTs!$A$1:$C$73,3,FALSE),"NA")</f>
        <v>0Strait of Juan de Fuca</v>
      </c>
      <c r="K1581" s="108" t="s">
        <v>20</v>
      </c>
      <c r="L1581" s="108" t="str">
        <f>VLOOKUP(K1581,LUTs!E$2:G$14,3,)</f>
        <v>07Pierce</v>
      </c>
      <c r="M1581" s="108" t="str">
        <f>VLOOKUP($K1581,LUTs!$E$2:$H$14,2,)</f>
        <v>South Puget Sound</v>
      </c>
      <c r="N1581" s="108" t="str">
        <f>VLOOKUP($K1581,LUTs!$E$2:$H$14,4,)</f>
        <v>02South Puget Sound</v>
      </c>
      <c r="O1581" s="108">
        <v>0</v>
      </c>
      <c r="P1581" s="108">
        <v>0</v>
      </c>
      <c r="Q1581" s="108">
        <f>SUMIFS('FW_Salmon_by_Month_2010-2021'!P$2:P$3810,'FW_Salmon_by_Month_2010-2021'!$B$2:$B$3810,'Rec_raw_catch_effort_2010-2021'!$B1581,'FW_Salmon_by_Month_2010-2021'!$H$2:$H$3810,'Rec_raw_catch_effort_2010-2021'!$F1581,'FW_Salmon_by_Month_2010-2021'!$M$2:$M$3810,'Rec_raw_catch_effort_2010-2021'!$K1581)</f>
        <v>0</v>
      </c>
      <c r="R1581" s="109">
        <f>VLOOKUP(B1581,Readme!$A$62:$C$74,2,)*Q1581</f>
        <v>0</v>
      </c>
      <c r="S1581" s="140" t="str">
        <f t="shared" si="137"/>
        <v>Y</v>
      </c>
      <c r="T1581" s="154" t="str">
        <f t="shared" si="138"/>
        <v>NA</v>
      </c>
      <c r="U1581" s="154" t="str">
        <f t="shared" si="139"/>
        <v>NA</v>
      </c>
    </row>
    <row r="1582" spans="1:21" x14ac:dyDescent="0.35">
      <c r="A1582" s="108">
        <v>2561</v>
      </c>
      <c r="B1582" s="108">
        <v>2019</v>
      </c>
      <c r="C1582" s="108" t="s">
        <v>38</v>
      </c>
      <c r="D1582" s="108" t="s">
        <v>143</v>
      </c>
      <c r="E1582" s="108" t="s">
        <v>10</v>
      </c>
      <c r="F1582" s="116">
        <v>768</v>
      </c>
      <c r="G1582" s="108" t="s">
        <v>79</v>
      </c>
      <c r="H1582" s="108" t="str">
        <f t="shared" si="136"/>
        <v>Lyre River</v>
      </c>
      <c r="I1582" s="108" t="str">
        <f>IFERROR(VLOOKUP(H1582,LUTs!$A$1:$C$73,2,FALSE),"NA")</f>
        <v>Clallam</v>
      </c>
      <c r="J1582" s="108" t="str">
        <f>IFERROR(VLOOKUP(H1582,LUTs!$A$1:$C$73,3,FALSE),"NA")</f>
        <v>0Strait of Juan de Fuca</v>
      </c>
      <c r="K1582" s="108" t="s">
        <v>16</v>
      </c>
      <c r="L1582" s="108" t="str">
        <f>VLOOKUP(K1582,LUTs!E$2:G$14,3,)</f>
        <v>03Snohomish</v>
      </c>
      <c r="M1582" s="108" t="str">
        <f>VLOOKUP($K1582,LUTs!$E$2:$H$14,2,)</f>
        <v>North Puget Sound</v>
      </c>
      <c r="N1582" s="108" t="str">
        <f>VLOOKUP($K1582,LUTs!$E$2:$H$14,4,)</f>
        <v>01North Puget Sound</v>
      </c>
      <c r="O1582" s="108">
        <v>0</v>
      </c>
      <c r="P1582" s="108">
        <v>0</v>
      </c>
      <c r="Q1582" s="108">
        <f>SUMIFS('FW_Salmon_by_Month_2010-2021'!P$2:P$3810,'FW_Salmon_by_Month_2010-2021'!$B$2:$B$3810,'Rec_raw_catch_effort_2010-2021'!$B1582,'FW_Salmon_by_Month_2010-2021'!$H$2:$H$3810,'Rec_raw_catch_effort_2010-2021'!$F1582,'FW_Salmon_by_Month_2010-2021'!$M$2:$M$3810,'Rec_raw_catch_effort_2010-2021'!$K1582)</f>
        <v>0</v>
      </c>
      <c r="R1582" s="109">
        <f>VLOOKUP(B1582,Readme!$A$62:$C$74,2,)*Q1582</f>
        <v>0</v>
      </c>
      <c r="S1582" s="140" t="str">
        <f t="shared" si="137"/>
        <v>Y</v>
      </c>
      <c r="T1582" s="154" t="str">
        <f t="shared" si="138"/>
        <v>NA</v>
      </c>
      <c r="U1582" s="154" t="str">
        <f t="shared" si="139"/>
        <v>NA</v>
      </c>
    </row>
    <row r="1583" spans="1:21" x14ac:dyDescent="0.35">
      <c r="A1583" s="108">
        <v>2563</v>
      </c>
      <c r="B1583" s="108">
        <v>2019</v>
      </c>
      <c r="C1583" s="108" t="s">
        <v>38</v>
      </c>
      <c r="D1583" s="108" t="s">
        <v>143</v>
      </c>
      <c r="E1583" s="108" t="s">
        <v>10</v>
      </c>
      <c r="F1583" s="116">
        <v>768</v>
      </c>
      <c r="G1583" s="108" t="s">
        <v>79</v>
      </c>
      <c r="H1583" s="108" t="str">
        <f t="shared" si="136"/>
        <v>Lyre River</v>
      </c>
      <c r="I1583" s="108" t="str">
        <f>IFERROR(VLOOKUP(H1583,LUTs!$A$1:$C$73,2,FALSE),"NA")</f>
        <v>Clallam</v>
      </c>
      <c r="J1583" s="108" t="str">
        <f>IFERROR(VLOOKUP(H1583,LUTs!$A$1:$C$73,3,FALSE),"NA")</f>
        <v>0Strait of Juan de Fuca</v>
      </c>
      <c r="K1583" s="108" t="s">
        <v>21</v>
      </c>
      <c r="L1583" s="108" t="str">
        <f>VLOOKUP(K1583,LUTs!E$2:G$14,3,)</f>
        <v>08Thurston</v>
      </c>
      <c r="M1583" s="108" t="str">
        <f>VLOOKUP($K1583,LUTs!$E$2:$H$14,2,)</f>
        <v>South Puget Sound</v>
      </c>
      <c r="N1583" s="108" t="str">
        <f>VLOOKUP($K1583,LUTs!$E$2:$H$14,4,)</f>
        <v>02South Puget Sound</v>
      </c>
      <c r="O1583" s="108">
        <v>0</v>
      </c>
      <c r="P1583" s="108">
        <v>0</v>
      </c>
      <c r="Q1583" s="108">
        <f>SUMIFS('FW_Salmon_by_Month_2010-2021'!P$2:P$3810,'FW_Salmon_by_Month_2010-2021'!$B$2:$B$3810,'Rec_raw_catch_effort_2010-2021'!$B1583,'FW_Salmon_by_Month_2010-2021'!$H$2:$H$3810,'Rec_raw_catch_effort_2010-2021'!$F1583,'FW_Salmon_by_Month_2010-2021'!$M$2:$M$3810,'Rec_raw_catch_effort_2010-2021'!$K1583)</f>
        <v>0</v>
      </c>
      <c r="R1583" s="109">
        <f>VLOOKUP(B1583,Readme!$A$62:$C$74,2,)*Q1583</f>
        <v>0</v>
      </c>
      <c r="S1583" s="140" t="str">
        <f t="shared" si="137"/>
        <v>Y</v>
      </c>
      <c r="T1583" s="154" t="str">
        <f t="shared" si="138"/>
        <v>NA</v>
      </c>
      <c r="U1583" s="154" t="str">
        <f t="shared" si="139"/>
        <v>NA</v>
      </c>
    </row>
    <row r="1584" spans="1:21" x14ac:dyDescent="0.35">
      <c r="A1584" s="108">
        <v>593</v>
      </c>
      <c r="B1584" s="108">
        <v>2018</v>
      </c>
      <c r="C1584" s="108" t="s">
        <v>38</v>
      </c>
      <c r="D1584" s="108" t="s">
        <v>143</v>
      </c>
      <c r="E1584" s="108" t="s">
        <v>10</v>
      </c>
      <c r="F1584" s="116">
        <v>770</v>
      </c>
      <c r="G1584" s="108" t="s">
        <v>77</v>
      </c>
      <c r="H1584" s="108" t="str">
        <f t="shared" si="136"/>
        <v>McAllister Creek</v>
      </c>
      <c r="I1584" s="108" t="str">
        <f>IFERROR(VLOOKUP(H1584,LUTs!$A$1:$C$73,2,FALSE),"NA")</f>
        <v>Thurston</v>
      </c>
      <c r="J1584" s="108" t="str">
        <f>IFERROR(VLOOKUP(H1584,LUTs!$A$1:$C$73,3,FALSE),"NA")</f>
        <v>3South Puget Sound</v>
      </c>
      <c r="K1584" s="108" t="s">
        <v>21</v>
      </c>
      <c r="L1584" s="108" t="str">
        <f>VLOOKUP(K1584,LUTs!E$2:G$14,3,)</f>
        <v>08Thurston</v>
      </c>
      <c r="M1584" s="108" t="str">
        <f>VLOOKUP($K1584,LUTs!$E$2:$H$14,2,)</f>
        <v>South Puget Sound</v>
      </c>
      <c r="N1584" s="108" t="str">
        <f>VLOOKUP($K1584,LUTs!$E$2:$H$14,4,)</f>
        <v>02South Puget Sound</v>
      </c>
      <c r="O1584" s="108">
        <v>47</v>
      </c>
      <c r="P1584" s="108">
        <v>406.55</v>
      </c>
      <c r="Q1584" s="108">
        <f>SUMIFS('FW_Salmon_by_Month_2010-2021'!P$2:P$3810,'FW_Salmon_by_Month_2010-2021'!$B$2:$B$3810,'Rec_raw_catch_effort_2010-2021'!$B1584,'FW_Salmon_by_Month_2010-2021'!$H$2:$H$3810,'Rec_raw_catch_effort_2010-2021'!$F1584,'FW_Salmon_by_Month_2010-2021'!$M$2:$M$3810,'Rec_raw_catch_effort_2010-2021'!$K1584)</f>
        <v>47</v>
      </c>
      <c r="R1584" s="109">
        <f>VLOOKUP(B1584,Readme!$A$62:$C$74,2,)*Q1584</f>
        <v>226.51908049332079</v>
      </c>
      <c r="S1584" s="140" t="str">
        <f t="shared" si="137"/>
        <v>Y</v>
      </c>
      <c r="T1584" s="154">
        <f t="shared" si="138"/>
        <v>8.65</v>
      </c>
      <c r="U1584" s="154">
        <f t="shared" si="139"/>
        <v>4.8195549041132084</v>
      </c>
    </row>
    <row r="1585" spans="1:21" x14ac:dyDescent="0.35">
      <c r="A1585" s="108">
        <v>594</v>
      </c>
      <c r="B1585" s="108">
        <v>2020</v>
      </c>
      <c r="C1585" s="108" t="s">
        <v>38</v>
      </c>
      <c r="D1585" s="108" t="s">
        <v>143</v>
      </c>
      <c r="E1585" s="108" t="s">
        <v>10</v>
      </c>
      <c r="F1585" s="116">
        <v>770</v>
      </c>
      <c r="G1585" s="108" t="s">
        <v>77</v>
      </c>
      <c r="H1585" s="108" t="str">
        <f t="shared" si="136"/>
        <v>McAllister Creek</v>
      </c>
      <c r="I1585" s="108" t="str">
        <f>IFERROR(VLOOKUP(H1585,LUTs!$A$1:$C$73,2,FALSE),"NA")</f>
        <v>Thurston</v>
      </c>
      <c r="J1585" s="108" t="str">
        <f>IFERROR(VLOOKUP(H1585,LUTs!$A$1:$C$73,3,FALSE),"NA")</f>
        <v>3South Puget Sound</v>
      </c>
      <c r="K1585" s="108" t="s">
        <v>20</v>
      </c>
      <c r="L1585" s="108" t="str">
        <f>VLOOKUP(K1585,LUTs!E$2:G$14,3,)</f>
        <v>07Pierce</v>
      </c>
      <c r="M1585" s="108" t="str">
        <f>VLOOKUP($K1585,LUTs!$E$2:$H$14,2,)</f>
        <v>South Puget Sound</v>
      </c>
      <c r="N1585" s="108" t="str">
        <f>VLOOKUP($K1585,LUTs!$E$2:$H$14,4,)</f>
        <v>02South Puget Sound</v>
      </c>
      <c r="O1585" s="108">
        <v>84</v>
      </c>
      <c r="P1585" s="108">
        <v>726.6</v>
      </c>
      <c r="Q1585" s="108">
        <f>SUMIFS('FW_Salmon_by_Month_2010-2021'!P$2:P$3810,'FW_Salmon_by_Month_2010-2021'!$B$2:$B$3810,'Rec_raw_catch_effort_2010-2021'!$B1585,'FW_Salmon_by_Month_2010-2021'!$H$2:$H$3810,'Rec_raw_catch_effort_2010-2021'!$F1585,'FW_Salmon_by_Month_2010-2021'!$M$2:$M$3810,'Rec_raw_catch_effort_2010-2021'!$K1585)</f>
        <v>84</v>
      </c>
      <c r="R1585" s="109">
        <f>VLOOKUP(B1585,Readme!$A$62:$C$74,2,)*Q1585</f>
        <v>404.84261194550953</v>
      </c>
      <c r="S1585" s="140" t="str">
        <f t="shared" si="137"/>
        <v>N</v>
      </c>
      <c r="T1585" s="154">
        <f t="shared" si="138"/>
        <v>8.65</v>
      </c>
      <c r="U1585" s="154">
        <f t="shared" si="139"/>
        <v>4.8195549041132084</v>
      </c>
    </row>
    <row r="1586" spans="1:21" x14ac:dyDescent="0.35">
      <c r="A1586" s="108">
        <v>595</v>
      </c>
      <c r="B1586" s="108">
        <v>2021</v>
      </c>
      <c r="C1586" s="108" t="s">
        <v>38</v>
      </c>
      <c r="D1586" s="108" t="s">
        <v>143</v>
      </c>
      <c r="E1586" s="108" t="s">
        <v>10</v>
      </c>
      <c r="F1586" s="116">
        <v>774</v>
      </c>
      <c r="G1586" s="108" t="s">
        <v>84</v>
      </c>
      <c r="H1586" s="108" t="str">
        <f t="shared" si="136"/>
        <v>McLane Creek</v>
      </c>
      <c r="I1586" s="108" t="str">
        <f>IFERROR(VLOOKUP(H1586,LUTs!$A$1:$C$73,2,FALSE),"NA")</f>
        <v>Thurston</v>
      </c>
      <c r="J1586" s="108" t="str">
        <f>IFERROR(VLOOKUP(H1586,LUTs!$A$1:$C$73,3,FALSE),"NA")</f>
        <v>3South Puget Sound</v>
      </c>
      <c r="K1586" s="108" t="s">
        <v>20</v>
      </c>
      <c r="L1586" s="108" t="str">
        <f>VLOOKUP(K1586,LUTs!E$2:G$14,3,)</f>
        <v>07Pierce</v>
      </c>
      <c r="M1586" s="108" t="str">
        <f>VLOOKUP($K1586,LUTs!$E$2:$H$14,2,)</f>
        <v>South Puget Sound</v>
      </c>
      <c r="N1586" s="108" t="str">
        <f>VLOOKUP($K1586,LUTs!$E$2:$H$14,4,)</f>
        <v>02South Puget Sound</v>
      </c>
      <c r="O1586" s="108">
        <v>25</v>
      </c>
      <c r="P1586" s="108">
        <v>86</v>
      </c>
      <c r="Q1586" s="108">
        <f>SUMIFS('FW_Salmon_by_Month_2010-2021'!P$2:P$3810,'FW_Salmon_by_Month_2010-2021'!$B$2:$B$3810,'Rec_raw_catch_effort_2010-2021'!$B1586,'FW_Salmon_by_Month_2010-2021'!$H$2:$H$3810,'Rec_raw_catch_effort_2010-2021'!$F1586,'FW_Salmon_by_Month_2010-2021'!$M$2:$M$3810,'Rec_raw_catch_effort_2010-2021'!$K1586)</f>
        <v>25</v>
      </c>
      <c r="R1586" s="109">
        <f>VLOOKUP(B1586,Readme!$A$62:$C$74,2,)*Q1586</f>
        <v>88.476010994560383</v>
      </c>
      <c r="S1586" s="140" t="str">
        <f t="shared" si="137"/>
        <v>N</v>
      </c>
      <c r="T1586" s="154">
        <f t="shared" si="138"/>
        <v>3.44</v>
      </c>
      <c r="U1586" s="154">
        <f t="shared" si="139"/>
        <v>3.5390404397824153</v>
      </c>
    </row>
    <row r="1587" spans="1:21" x14ac:dyDescent="0.35">
      <c r="A1587" s="108">
        <v>236</v>
      </c>
      <c r="B1587" s="108">
        <v>2010</v>
      </c>
      <c r="C1587" s="108" t="s">
        <v>38</v>
      </c>
      <c r="D1587" s="108" t="s">
        <v>143</v>
      </c>
      <c r="E1587" s="108" t="s">
        <v>10</v>
      </c>
      <c r="F1587" s="116">
        <v>778</v>
      </c>
      <c r="G1587" s="108" t="s">
        <v>50</v>
      </c>
      <c r="H1587" s="108" t="str">
        <f t="shared" si="136"/>
        <v>Minter Creek</v>
      </c>
      <c r="I1587" s="108" t="str">
        <f>IFERROR(VLOOKUP(H1587,LUTs!$A$1:$C$73,2,FALSE),"NA")</f>
        <v>Kitsap/Pierce</v>
      </c>
      <c r="J1587" s="108" t="str">
        <f>IFERROR(VLOOKUP(H1587,LUTs!$A$1:$C$73,3,FALSE),"NA")</f>
        <v>3South Puget Sound</v>
      </c>
      <c r="K1587" s="108" t="s">
        <v>18</v>
      </c>
      <c r="L1587" s="108" t="str">
        <f>VLOOKUP(K1587,LUTs!E$2:G$14,3,)</f>
        <v>06King</v>
      </c>
      <c r="M1587" s="108" t="str">
        <f>VLOOKUP($K1587,LUTs!$E$2:$H$14,2,)</f>
        <v>South Puget Sound</v>
      </c>
      <c r="N1587" s="108" t="str">
        <f>VLOOKUP($K1587,LUTs!$E$2:$H$14,4,)</f>
        <v>02South Puget Sound</v>
      </c>
      <c r="O1587" s="108">
        <v>2433.0118406889101</v>
      </c>
      <c r="P1587" s="108">
        <v>21045.552421959099</v>
      </c>
      <c r="Q1587" s="108">
        <f>SUMIFS('FW_Salmon_by_Month_2010-2021'!P$2:P$3810,'FW_Salmon_by_Month_2010-2021'!$B$2:$B$3810,'Rec_raw_catch_effort_2010-2021'!$B1587,'FW_Salmon_by_Month_2010-2021'!$H$2:$H$3810,'Rec_raw_catch_effort_2010-2021'!$F1587,'FW_Salmon_by_Month_2010-2021'!$M$2:$M$3810,'Rec_raw_catch_effort_2010-2021'!$K1587)</f>
        <v>2403.6794644463307</v>
      </c>
      <c r="R1587" s="109">
        <f>VLOOKUP(B1587,Readme!$A$62:$C$74,2,)*Q1587</f>
        <v>11584.665150788524</v>
      </c>
      <c r="S1587" s="140" t="str">
        <f t="shared" si="137"/>
        <v>Y</v>
      </c>
      <c r="T1587" s="154">
        <f t="shared" si="138"/>
        <v>8.650000000000011</v>
      </c>
      <c r="U1587" s="154">
        <f t="shared" si="139"/>
        <v>4.8195549041132084</v>
      </c>
    </row>
    <row r="1588" spans="1:21" x14ac:dyDescent="0.35">
      <c r="A1588" s="108">
        <v>325</v>
      </c>
      <c r="B1588" s="108">
        <v>2010</v>
      </c>
      <c r="C1588" s="108" t="s">
        <v>38</v>
      </c>
      <c r="D1588" s="108" t="s">
        <v>143</v>
      </c>
      <c r="E1588" s="108" t="s">
        <v>10</v>
      </c>
      <c r="F1588" s="116">
        <v>778</v>
      </c>
      <c r="G1588" s="108" t="s">
        <v>50</v>
      </c>
      <c r="H1588" s="108" t="str">
        <f t="shared" si="136"/>
        <v>Minter Creek</v>
      </c>
      <c r="I1588" s="108" t="str">
        <f>IFERROR(VLOOKUP(H1588,LUTs!$A$1:$C$73,2,FALSE),"NA")</f>
        <v>Kitsap/Pierce</v>
      </c>
      <c r="J1588" s="108" t="str">
        <f>IFERROR(VLOOKUP(H1588,LUTs!$A$1:$C$73,3,FALSE),"NA")</f>
        <v>3South Puget Sound</v>
      </c>
      <c r="K1588" s="108" t="s">
        <v>23</v>
      </c>
      <c r="L1588" s="108" t="str">
        <f>VLOOKUP(K1588,LUTs!E$2:G$14,3,)</f>
        <v>10Kitsap</v>
      </c>
      <c r="M1588" s="108" t="str">
        <f>VLOOKUP($K1588,LUTs!$E$2:$H$14,2,)</f>
        <v>South Puget Sound</v>
      </c>
      <c r="N1588" s="108" t="str">
        <f>VLOOKUP($K1588,LUTs!$E$2:$H$14,4,)</f>
        <v>02South Puget Sound</v>
      </c>
      <c r="O1588" s="108">
        <v>414.97631862217497</v>
      </c>
      <c r="P1588" s="108">
        <v>3589.5451560818101</v>
      </c>
      <c r="Q1588" s="108">
        <f>SUMIFS('FW_Salmon_by_Month_2010-2021'!P$2:P$3810,'FW_Salmon_by_Month_2010-2021'!$B$2:$B$3810,'Rec_raw_catch_effort_2010-2021'!$B1588,'FW_Salmon_by_Month_2010-2021'!$H$2:$H$3810,'Rec_raw_catch_effort_2010-2021'!$F1588,'FW_Salmon_by_Month_2010-2021'!$M$2:$M$3810,'Rec_raw_catch_effort_2010-2021'!$K1588)</f>
        <v>432.187687919204</v>
      </c>
      <c r="R1588" s="109">
        <f>VLOOKUP(B1588,Readme!$A$62:$C$74,2,)*Q1588</f>
        <v>2082.9522908083486</v>
      </c>
      <c r="S1588" s="140" t="str">
        <f t="shared" si="137"/>
        <v>Y</v>
      </c>
      <c r="T1588" s="154">
        <f t="shared" si="138"/>
        <v>8.6499999999999915</v>
      </c>
      <c r="U1588" s="154">
        <f t="shared" si="139"/>
        <v>4.8195549041132084</v>
      </c>
    </row>
    <row r="1589" spans="1:21" x14ac:dyDescent="0.35">
      <c r="A1589" s="108">
        <v>324</v>
      </c>
      <c r="B1589" s="108">
        <v>2010</v>
      </c>
      <c r="C1589" s="108" t="s">
        <v>38</v>
      </c>
      <c r="D1589" s="108" t="s">
        <v>143</v>
      </c>
      <c r="E1589" s="108" t="s">
        <v>10</v>
      </c>
      <c r="F1589" s="116">
        <v>778</v>
      </c>
      <c r="G1589" s="108" t="s">
        <v>50</v>
      </c>
      <c r="H1589" s="108" t="str">
        <f t="shared" si="136"/>
        <v>Minter Creek</v>
      </c>
      <c r="I1589" s="108" t="str">
        <f>IFERROR(VLOOKUP(H1589,LUTs!$A$1:$C$73,2,FALSE),"NA")</f>
        <v>Kitsap/Pierce</v>
      </c>
      <c r="J1589" s="108" t="str">
        <f>IFERROR(VLOOKUP(H1589,LUTs!$A$1:$C$73,3,FALSE),"NA")</f>
        <v>3South Puget Sound</v>
      </c>
      <c r="K1589" s="108" t="s">
        <v>22</v>
      </c>
      <c r="L1589" s="108" t="str">
        <f>VLOOKUP(K1589,LUTs!E$2:G$14,3,)</f>
        <v>09Mason</v>
      </c>
      <c r="M1589" s="108" t="str">
        <f>VLOOKUP($K1589,LUTs!$E$2:$H$14,2,)</f>
        <v>South Puget Sound</v>
      </c>
      <c r="N1589" s="108" t="str">
        <f>VLOOKUP($K1589,LUTs!$E$2:$H$14,4,)</f>
        <v>02South Puget Sound</v>
      </c>
      <c r="O1589" s="108">
        <v>119.37674919267999</v>
      </c>
      <c r="P1589" s="108">
        <v>1032.6088805166801</v>
      </c>
      <c r="Q1589" s="108">
        <f>SUMIFS('FW_Salmon_by_Month_2010-2021'!P$2:P$3810,'FW_Salmon_by_Month_2010-2021'!$B$2:$B$3810,'Rec_raw_catch_effort_2010-2021'!$B1589,'FW_Salmon_by_Month_2010-2021'!$H$2:$H$3810,'Rec_raw_catch_effort_2010-2021'!$F1589,'FW_Salmon_by_Month_2010-2021'!$M$2:$M$3810,'Rec_raw_catch_effort_2010-2021'!$K1589)</f>
        <v>124.33027522935799</v>
      </c>
      <c r="R1589" s="109">
        <f>VLOOKUP(B1589,Readme!$A$62:$C$74,2,)*Q1589</f>
        <v>599.21658771139732</v>
      </c>
      <c r="S1589" s="140" t="str">
        <f t="shared" si="137"/>
        <v>Y</v>
      </c>
      <c r="T1589" s="154">
        <f t="shared" si="138"/>
        <v>8.6499999999999844</v>
      </c>
      <c r="U1589" s="154">
        <f t="shared" si="139"/>
        <v>4.8195549041132084</v>
      </c>
    </row>
    <row r="1590" spans="1:21" x14ac:dyDescent="0.35">
      <c r="A1590" s="108">
        <v>326</v>
      </c>
      <c r="B1590" s="108">
        <v>2010</v>
      </c>
      <c r="C1590" s="108" t="s">
        <v>38</v>
      </c>
      <c r="D1590" s="108" t="s">
        <v>143</v>
      </c>
      <c r="E1590" s="108" t="s">
        <v>10</v>
      </c>
      <c r="F1590" s="116">
        <v>778</v>
      </c>
      <c r="G1590" s="108" t="s">
        <v>50</v>
      </c>
      <c r="H1590" s="108" t="str">
        <f t="shared" si="136"/>
        <v>Minter Creek</v>
      </c>
      <c r="I1590" s="108" t="str">
        <f>IFERROR(VLOOKUP(H1590,LUTs!$A$1:$C$73,2,FALSE),"NA")</f>
        <v>Kitsap/Pierce</v>
      </c>
      <c r="J1590" s="108" t="str">
        <f>IFERROR(VLOOKUP(H1590,LUTs!$A$1:$C$73,3,FALSE),"NA")</f>
        <v>3South Puget Sound</v>
      </c>
      <c r="K1590" s="108" t="s">
        <v>26</v>
      </c>
      <c r="L1590" s="108" t="str">
        <f>VLOOKUP(K1590,LUTs!E$2:G$14,3,)</f>
        <v>20Other</v>
      </c>
      <c r="M1590" s="108" t="str">
        <f>VLOOKUP($K1590,LUTs!$E$2:$H$14,2,)</f>
        <v>Non Puget Sound</v>
      </c>
      <c r="N1590" s="108" t="str">
        <f>VLOOKUP($K1590,LUTs!$E$2:$H$14,4,)</f>
        <v>07Non Puget Sound</v>
      </c>
      <c r="O1590" s="108">
        <v>136.43057050592</v>
      </c>
      <c r="P1590" s="108">
        <v>1180.12443487621</v>
      </c>
      <c r="Q1590" s="108">
        <f>SUMIFS('FW_Salmon_by_Month_2010-2021'!P$2:P$3810,'FW_Salmon_by_Month_2010-2021'!$B$2:$B$3810,'Rec_raw_catch_effort_2010-2021'!$B1590,'FW_Salmon_by_Month_2010-2021'!$H$2:$H$3810,'Rec_raw_catch_effort_2010-2021'!$F1590,'FW_Salmon_by_Month_2010-2021'!$M$2:$M$3810,'Rec_raw_catch_effort_2010-2021'!$K1590)</f>
        <v>142.08981574281131</v>
      </c>
      <c r="R1590" s="109">
        <f>VLOOKUP(B1590,Readme!$A$62:$C$74,2,)*Q1590</f>
        <v>684.80966828780845</v>
      </c>
      <c r="S1590" s="140" t="str">
        <f t="shared" si="137"/>
        <v>Y</v>
      </c>
      <c r="T1590" s="154">
        <f t="shared" si="138"/>
        <v>8.6500000000000146</v>
      </c>
      <c r="U1590" s="154">
        <f t="shared" si="139"/>
        <v>4.8195549041132084</v>
      </c>
    </row>
    <row r="1591" spans="1:21" x14ac:dyDescent="0.35">
      <c r="A1591" s="108">
        <v>237</v>
      </c>
      <c r="B1591" s="108">
        <v>2010</v>
      </c>
      <c r="C1591" s="108" t="s">
        <v>38</v>
      </c>
      <c r="D1591" s="108" t="s">
        <v>143</v>
      </c>
      <c r="E1591" s="108" t="s">
        <v>10</v>
      </c>
      <c r="F1591" s="116">
        <v>778</v>
      </c>
      <c r="G1591" s="108" t="s">
        <v>50</v>
      </c>
      <c r="H1591" s="108" t="str">
        <f t="shared" si="136"/>
        <v>Minter Creek</v>
      </c>
      <c r="I1591" s="108" t="str">
        <f>IFERROR(VLOOKUP(H1591,LUTs!$A$1:$C$73,2,FALSE),"NA")</f>
        <v>Kitsap/Pierce</v>
      </c>
      <c r="J1591" s="108" t="str">
        <f>IFERROR(VLOOKUP(H1591,LUTs!$A$1:$C$73,3,FALSE),"NA")</f>
        <v>3South Puget Sound</v>
      </c>
      <c r="K1591" s="108" t="s">
        <v>20</v>
      </c>
      <c r="L1591" s="108" t="str">
        <f>VLOOKUP(K1591,LUTs!E$2:G$14,3,)</f>
        <v>07Pierce</v>
      </c>
      <c r="M1591" s="108" t="str">
        <f>VLOOKUP($K1591,LUTs!$E$2:$H$14,2,)</f>
        <v>South Puget Sound</v>
      </c>
      <c r="N1591" s="108" t="str">
        <f>VLOOKUP($K1591,LUTs!$E$2:$H$14,4,)</f>
        <v>02South Puget Sound</v>
      </c>
      <c r="O1591" s="108">
        <v>1819.07427341227</v>
      </c>
      <c r="P1591" s="108">
        <v>15734.992465016099</v>
      </c>
      <c r="Q1591" s="108">
        <f>SUMIFS('FW_Salmon_by_Month_2010-2021'!P$2:P$3810,'FW_Salmon_by_Month_2010-2021'!$B$2:$B$3810,'Rec_raw_catch_effort_2010-2021'!$B1591,'FW_Salmon_by_Month_2010-2021'!$H$2:$H$3810,'Rec_raw_catch_effort_2010-2021'!$F1591,'FW_Salmon_by_Month_2010-2021'!$M$2:$M$3810,'Rec_raw_catch_effort_2010-2021'!$K1591)</f>
        <v>1805.729319250637</v>
      </c>
      <c r="R1591" s="109">
        <f>VLOOKUP(B1591,Readme!$A$62:$C$74,2,)*Q1591</f>
        <v>8702.8115960954128</v>
      </c>
      <c r="S1591" s="140" t="str">
        <f t="shared" si="137"/>
        <v>Y</v>
      </c>
      <c r="T1591" s="154">
        <f t="shared" si="138"/>
        <v>8.649999999999979</v>
      </c>
      <c r="U1591" s="154">
        <f t="shared" si="139"/>
        <v>4.8195549041132084</v>
      </c>
    </row>
    <row r="1592" spans="1:21" x14ac:dyDescent="0.35">
      <c r="A1592" s="108">
        <v>235</v>
      </c>
      <c r="B1592" s="108">
        <v>2010</v>
      </c>
      <c r="C1592" s="108" t="s">
        <v>38</v>
      </c>
      <c r="D1592" s="108" t="s">
        <v>143</v>
      </c>
      <c r="E1592" s="108" t="s">
        <v>10</v>
      </c>
      <c r="F1592" s="116">
        <v>778</v>
      </c>
      <c r="G1592" s="108" t="s">
        <v>50</v>
      </c>
      <c r="H1592" s="108" t="str">
        <f t="shared" si="136"/>
        <v>Minter Creek</v>
      </c>
      <c r="I1592" s="108" t="str">
        <f>IFERROR(VLOOKUP(H1592,LUTs!$A$1:$C$73,2,FALSE),"NA")</f>
        <v>Kitsap/Pierce</v>
      </c>
      <c r="J1592" s="108" t="str">
        <f>IFERROR(VLOOKUP(H1592,LUTs!$A$1:$C$73,3,FALSE),"NA")</f>
        <v>3South Puget Sound</v>
      </c>
      <c r="K1592" s="108" t="s">
        <v>16</v>
      </c>
      <c r="L1592" s="108" t="str">
        <f>VLOOKUP(K1592,LUTs!E$2:G$14,3,)</f>
        <v>03Snohomish</v>
      </c>
      <c r="M1592" s="108" t="str">
        <f>VLOOKUP($K1592,LUTs!$E$2:$H$14,2,)</f>
        <v>North Puget Sound</v>
      </c>
      <c r="N1592" s="108" t="str">
        <f>VLOOKUP($K1592,LUTs!$E$2:$H$14,4,)</f>
        <v>01North Puget Sound</v>
      </c>
      <c r="O1592" s="108">
        <v>233.06889128094701</v>
      </c>
      <c r="P1592" s="108">
        <v>2016.04590958019</v>
      </c>
      <c r="Q1592" s="108">
        <f>SUMIFS('FW_Salmon_by_Month_2010-2021'!P$2:P$3810,'FW_Salmon_by_Month_2010-2021'!$B$2:$B$3810,'Rec_raw_catch_effort_2010-2021'!$B1592,'FW_Salmon_by_Month_2010-2021'!$H$2:$H$3810,'Rec_raw_catch_effort_2010-2021'!$F1592,'FW_Salmon_by_Month_2010-2021'!$M$2:$M$3810,'Rec_raw_catch_effort_2010-2021'!$K1592)</f>
        <v>242.73395780330497</v>
      </c>
      <c r="R1592" s="109">
        <f>VLOOKUP(B1592,Readme!$A$62:$C$74,2,)*Q1592</f>
        <v>1169.8696367257271</v>
      </c>
      <c r="S1592" s="140" t="str">
        <f t="shared" si="137"/>
        <v>Y</v>
      </c>
      <c r="T1592" s="154">
        <f t="shared" si="138"/>
        <v>8.6499999999999932</v>
      </c>
      <c r="U1592" s="154">
        <f t="shared" si="139"/>
        <v>4.8195549041132084</v>
      </c>
    </row>
    <row r="1593" spans="1:21" x14ac:dyDescent="0.35">
      <c r="A1593" s="108">
        <v>238</v>
      </c>
      <c r="B1593" s="108">
        <v>2010</v>
      </c>
      <c r="C1593" s="108" t="s">
        <v>38</v>
      </c>
      <c r="D1593" s="108" t="s">
        <v>143</v>
      </c>
      <c r="E1593" s="108" t="s">
        <v>10</v>
      </c>
      <c r="F1593" s="116">
        <v>778</v>
      </c>
      <c r="G1593" s="108" t="s">
        <v>50</v>
      </c>
      <c r="H1593" s="108" t="str">
        <f t="shared" si="136"/>
        <v>Minter Creek</v>
      </c>
      <c r="I1593" s="108" t="str">
        <f>IFERROR(VLOOKUP(H1593,LUTs!$A$1:$C$73,2,FALSE),"NA")</f>
        <v>Kitsap/Pierce</v>
      </c>
      <c r="J1593" s="108" t="str">
        <f>IFERROR(VLOOKUP(H1593,LUTs!$A$1:$C$73,3,FALSE),"NA")</f>
        <v>3South Puget Sound</v>
      </c>
      <c r="K1593" s="108" t="s">
        <v>21</v>
      </c>
      <c r="L1593" s="108" t="str">
        <f>VLOOKUP(K1593,LUTs!E$2:G$14,3,)</f>
        <v>08Thurston</v>
      </c>
      <c r="M1593" s="108" t="str">
        <f>VLOOKUP($K1593,LUTs!$E$2:$H$14,2,)</f>
        <v>South Puget Sound</v>
      </c>
      <c r="N1593" s="108" t="str">
        <f>VLOOKUP($K1593,LUTs!$E$2:$H$14,4,)</f>
        <v>02South Puget Sound</v>
      </c>
      <c r="O1593" s="108">
        <v>125.06135629709399</v>
      </c>
      <c r="P1593" s="108">
        <v>1081.78073196986</v>
      </c>
      <c r="Q1593" s="108">
        <f>SUMIFS('FW_Salmon_by_Month_2010-2021'!P$2:P$3810,'FW_Salmon_by_Month_2010-2021'!$B$2:$B$3810,'Rec_raw_catch_effort_2010-2021'!$B1593,'FW_Salmon_by_Month_2010-2021'!$H$2:$H$3810,'Rec_raw_catch_effort_2010-2021'!$F1593,'FW_Salmon_by_Month_2010-2021'!$M$2:$M$3810,'Rec_raw_catch_effort_2010-2021'!$K1593)</f>
        <v>130.2494796083576</v>
      </c>
      <c r="R1593" s="109">
        <f>VLOOKUP(B1593,Readme!$A$62:$C$74,2,)*Q1593</f>
        <v>627.74451820465322</v>
      </c>
      <c r="S1593" s="140" t="str">
        <f t="shared" si="137"/>
        <v>Y</v>
      </c>
      <c r="T1593" s="154">
        <f t="shared" si="138"/>
        <v>8.6499999999999755</v>
      </c>
      <c r="U1593" s="154">
        <f t="shared" si="139"/>
        <v>4.8195549041132084</v>
      </c>
    </row>
    <row r="1594" spans="1:21" x14ac:dyDescent="0.35">
      <c r="A1594" s="108">
        <v>329</v>
      </c>
      <c r="B1594" s="108">
        <v>2011</v>
      </c>
      <c r="C1594" s="108" t="s">
        <v>38</v>
      </c>
      <c r="D1594" s="108" t="s">
        <v>143</v>
      </c>
      <c r="E1594" s="108" t="s">
        <v>10</v>
      </c>
      <c r="F1594" s="116">
        <v>778</v>
      </c>
      <c r="G1594" s="108" t="s">
        <v>50</v>
      </c>
      <c r="H1594" s="108" t="str">
        <f t="shared" si="136"/>
        <v>Minter Creek</v>
      </c>
      <c r="I1594" s="108" t="str">
        <f>IFERROR(VLOOKUP(H1594,LUTs!$A$1:$C$73,2,FALSE),"NA")</f>
        <v>Kitsap/Pierce</v>
      </c>
      <c r="J1594" s="108" t="str">
        <f>IFERROR(VLOOKUP(H1594,LUTs!$A$1:$C$73,3,FALSE),"NA")</f>
        <v>3South Puget Sound</v>
      </c>
      <c r="K1594" s="108" t="s">
        <v>18</v>
      </c>
      <c r="L1594" s="108" t="str">
        <f>VLOOKUP(K1594,LUTs!E$2:G$14,3,)</f>
        <v>06King</v>
      </c>
      <c r="M1594" s="108" t="str">
        <f>VLOOKUP($K1594,LUTs!$E$2:$H$14,2,)</f>
        <v>South Puget Sound</v>
      </c>
      <c r="N1594" s="108" t="str">
        <f>VLOOKUP($K1594,LUTs!$E$2:$H$14,4,)</f>
        <v>02South Puget Sound</v>
      </c>
      <c r="O1594" s="108">
        <v>2541.2238805970201</v>
      </c>
      <c r="P1594" s="108">
        <v>8741.8101492537498</v>
      </c>
      <c r="Q1594" s="108">
        <f>SUMIFS('FW_Salmon_by_Month_2010-2021'!P$2:P$3810,'FW_Salmon_by_Month_2010-2021'!$B$2:$B$3810,'Rec_raw_catch_effort_2010-2021'!$B1594,'FW_Salmon_by_Month_2010-2021'!$H$2:$H$3810,'Rec_raw_catch_effort_2010-2021'!$F1594,'FW_Salmon_by_Month_2010-2021'!$M$2:$M$3810,'Rec_raw_catch_effort_2010-2021'!$K1594)</f>
        <v>2525.0967216019849</v>
      </c>
      <c r="R1594" s="109">
        <f>VLOOKUP(B1594,Readme!$A$62:$C$74,2,)*Q1594</f>
        <v>8936.4194121114233</v>
      </c>
      <c r="S1594" s="140" t="str">
        <f t="shared" si="137"/>
        <v>Y</v>
      </c>
      <c r="T1594" s="154">
        <f t="shared" si="138"/>
        <v>3.4400000000000004</v>
      </c>
      <c r="U1594" s="154">
        <f t="shared" si="139"/>
        <v>3.5390404397824153</v>
      </c>
    </row>
    <row r="1595" spans="1:21" x14ac:dyDescent="0.35">
      <c r="A1595" s="108">
        <v>333</v>
      </c>
      <c r="B1595" s="108">
        <v>2011</v>
      </c>
      <c r="C1595" s="108" t="s">
        <v>38</v>
      </c>
      <c r="D1595" s="108" t="s">
        <v>143</v>
      </c>
      <c r="E1595" s="108" t="s">
        <v>10</v>
      </c>
      <c r="F1595" s="116">
        <v>778</v>
      </c>
      <c r="G1595" s="108" t="s">
        <v>50</v>
      </c>
      <c r="H1595" s="108" t="str">
        <f t="shared" si="136"/>
        <v>Minter Creek</v>
      </c>
      <c r="I1595" s="108" t="str">
        <f>IFERROR(VLOOKUP(H1595,LUTs!$A$1:$C$73,2,FALSE),"NA")</f>
        <v>Kitsap/Pierce</v>
      </c>
      <c r="J1595" s="108" t="str">
        <f>IFERROR(VLOOKUP(H1595,LUTs!$A$1:$C$73,3,FALSE),"NA")</f>
        <v>3South Puget Sound</v>
      </c>
      <c r="K1595" s="108" t="s">
        <v>23</v>
      </c>
      <c r="L1595" s="108" t="str">
        <f>VLOOKUP(K1595,LUTs!E$2:G$14,3,)</f>
        <v>10Kitsap</v>
      </c>
      <c r="M1595" s="108" t="str">
        <f>VLOOKUP($K1595,LUTs!$E$2:$H$14,2,)</f>
        <v>South Puget Sound</v>
      </c>
      <c r="N1595" s="108" t="str">
        <f>VLOOKUP($K1595,LUTs!$E$2:$H$14,4,)</f>
        <v>02South Puget Sound</v>
      </c>
      <c r="O1595" s="108">
        <v>463.35706084959799</v>
      </c>
      <c r="P1595" s="108">
        <v>1593.94828932262</v>
      </c>
      <c r="Q1595" s="108">
        <f>SUMIFS('FW_Salmon_by_Month_2010-2021'!P$2:P$3810,'FW_Salmon_by_Month_2010-2021'!$B$2:$B$3810,'Rec_raw_catch_effort_2010-2021'!$B1595,'FW_Salmon_by_Month_2010-2021'!$H$2:$H$3810,'Rec_raw_catch_effort_2010-2021'!$F1595,'FW_Salmon_by_Month_2010-2021'!$M$2:$M$3810,'Rec_raw_catch_effort_2010-2021'!$K1595)</f>
        <v>448.33584972532401</v>
      </c>
      <c r="R1595" s="109">
        <f>VLOOKUP(B1595,Readme!$A$62:$C$74,2,)*Q1595</f>
        <v>1586.6787027821335</v>
      </c>
      <c r="S1595" s="140" t="str">
        <f t="shared" si="137"/>
        <v>Y</v>
      </c>
      <c r="T1595" s="154">
        <f t="shared" si="138"/>
        <v>3.4400000000000062</v>
      </c>
      <c r="U1595" s="154">
        <f t="shared" si="139"/>
        <v>3.5390404397824153</v>
      </c>
    </row>
    <row r="1596" spans="1:21" x14ac:dyDescent="0.35">
      <c r="A1596" s="108">
        <v>332</v>
      </c>
      <c r="B1596" s="108">
        <v>2011</v>
      </c>
      <c r="C1596" s="108" t="s">
        <v>38</v>
      </c>
      <c r="D1596" s="108" t="s">
        <v>143</v>
      </c>
      <c r="E1596" s="108" t="s">
        <v>10</v>
      </c>
      <c r="F1596" s="116">
        <v>778</v>
      </c>
      <c r="G1596" s="108" t="s">
        <v>50</v>
      </c>
      <c r="H1596" s="108" t="str">
        <f t="shared" si="136"/>
        <v>Minter Creek</v>
      </c>
      <c r="I1596" s="108" t="str">
        <f>IFERROR(VLOOKUP(H1596,LUTs!$A$1:$C$73,2,FALSE),"NA")</f>
        <v>Kitsap/Pierce</v>
      </c>
      <c r="J1596" s="108" t="str">
        <f>IFERROR(VLOOKUP(H1596,LUTs!$A$1:$C$73,3,FALSE),"NA")</f>
        <v>3South Puget Sound</v>
      </c>
      <c r="K1596" s="108" t="s">
        <v>22</v>
      </c>
      <c r="L1596" s="108" t="str">
        <f>VLOOKUP(K1596,LUTs!E$2:G$14,3,)</f>
        <v>09Mason</v>
      </c>
      <c r="M1596" s="108" t="str">
        <f>VLOOKUP($K1596,LUTs!$E$2:$H$14,2,)</f>
        <v>South Puget Sound</v>
      </c>
      <c r="N1596" s="108" t="str">
        <f>VLOOKUP($K1596,LUTs!$E$2:$H$14,4,)</f>
        <v>02South Puget Sound</v>
      </c>
      <c r="O1596" s="108">
        <v>383.71756601607399</v>
      </c>
      <c r="P1596" s="108">
        <v>1319.98842709529</v>
      </c>
      <c r="Q1596" s="108">
        <f>SUMIFS('FW_Salmon_by_Month_2010-2021'!P$2:P$3810,'FW_Salmon_by_Month_2010-2021'!$B$2:$B$3810,'Rec_raw_catch_effort_2010-2021'!$B1596,'FW_Salmon_by_Month_2010-2021'!$H$2:$H$3810,'Rec_raw_catch_effort_2010-2021'!$F1596,'FW_Salmon_by_Month_2010-2021'!$M$2:$M$3810,'Rec_raw_catch_effort_2010-2021'!$K1596)</f>
        <v>396.01286549707601</v>
      </c>
      <c r="R1596" s="109">
        <f>VLOOKUP(B1596,Readme!$A$62:$C$74,2,)*Q1596</f>
        <v>1401.5055456682664</v>
      </c>
      <c r="S1596" s="140" t="str">
        <f t="shared" si="137"/>
        <v>Y</v>
      </c>
      <c r="T1596" s="154">
        <f t="shared" si="138"/>
        <v>3.4399999999999884</v>
      </c>
      <c r="U1596" s="154">
        <f t="shared" si="139"/>
        <v>3.5390404397824153</v>
      </c>
    </row>
    <row r="1597" spans="1:21" x14ac:dyDescent="0.35">
      <c r="A1597" s="108">
        <v>334</v>
      </c>
      <c r="B1597" s="108">
        <v>2011</v>
      </c>
      <c r="C1597" s="108" t="s">
        <v>38</v>
      </c>
      <c r="D1597" s="108" t="s">
        <v>143</v>
      </c>
      <c r="E1597" s="108" t="s">
        <v>10</v>
      </c>
      <c r="F1597" s="116">
        <v>778</v>
      </c>
      <c r="G1597" s="108" t="s">
        <v>50</v>
      </c>
      <c r="H1597" s="108" t="str">
        <f t="shared" si="136"/>
        <v>Minter Creek</v>
      </c>
      <c r="I1597" s="108" t="str">
        <f>IFERROR(VLOOKUP(H1597,LUTs!$A$1:$C$73,2,FALSE),"NA")</f>
        <v>Kitsap/Pierce</v>
      </c>
      <c r="J1597" s="108" t="str">
        <f>IFERROR(VLOOKUP(H1597,LUTs!$A$1:$C$73,3,FALSE),"NA")</f>
        <v>3South Puget Sound</v>
      </c>
      <c r="K1597" s="108" t="s">
        <v>26</v>
      </c>
      <c r="L1597" s="108" t="str">
        <f>VLOOKUP(K1597,LUTs!E$2:G$14,3,)</f>
        <v>20Other</v>
      </c>
      <c r="M1597" s="108" t="str">
        <f>VLOOKUP($K1597,LUTs!$E$2:$H$14,2,)</f>
        <v>Non Puget Sound</v>
      </c>
      <c r="N1597" s="108" t="str">
        <f>VLOOKUP($K1597,LUTs!$E$2:$H$14,4,)</f>
        <v>07Non Puget Sound</v>
      </c>
      <c r="O1597" s="108">
        <v>224.438576349024</v>
      </c>
      <c r="P1597" s="108">
        <v>772.06870264064298</v>
      </c>
      <c r="Q1597" s="108">
        <f>SUMIFS('FW_Salmon_by_Month_2010-2021'!P$2:P$3810,'FW_Salmon_by_Month_2010-2021'!$B$2:$B$3810,'Rec_raw_catch_effort_2010-2021'!$B1597,'FW_Salmon_by_Month_2010-2021'!$H$2:$H$3810,'Rec_raw_catch_effort_2010-2021'!$F1597,'FW_Salmon_by_Month_2010-2021'!$M$2:$M$3810,'Rec_raw_catch_effort_2010-2021'!$K1597)</f>
        <v>231.63866737550899</v>
      </c>
      <c r="R1597" s="109">
        <f>VLOOKUP(B1597,Readme!$A$62:$C$74,2,)*Q1597</f>
        <v>819.77861125923391</v>
      </c>
      <c r="S1597" s="140" t="str">
        <f t="shared" si="137"/>
        <v>Y</v>
      </c>
      <c r="T1597" s="154">
        <f t="shared" si="138"/>
        <v>3.4400000000000017</v>
      </c>
      <c r="U1597" s="154">
        <f t="shared" si="139"/>
        <v>3.5390404397824153</v>
      </c>
    </row>
    <row r="1598" spans="1:21" x14ac:dyDescent="0.35">
      <c r="A1598" s="108">
        <v>330</v>
      </c>
      <c r="B1598" s="108">
        <v>2011</v>
      </c>
      <c r="C1598" s="108" t="s">
        <v>38</v>
      </c>
      <c r="D1598" s="108" t="s">
        <v>143</v>
      </c>
      <c r="E1598" s="108" t="s">
        <v>10</v>
      </c>
      <c r="F1598" s="116">
        <v>778</v>
      </c>
      <c r="G1598" s="108" t="s">
        <v>50</v>
      </c>
      <c r="H1598" s="108" t="str">
        <f t="shared" si="136"/>
        <v>Minter Creek</v>
      </c>
      <c r="I1598" s="108" t="str">
        <f>IFERROR(VLOOKUP(H1598,LUTs!$A$1:$C$73,2,FALSE),"NA")</f>
        <v>Kitsap/Pierce</v>
      </c>
      <c r="J1598" s="108" t="str">
        <f>IFERROR(VLOOKUP(H1598,LUTs!$A$1:$C$73,3,FALSE),"NA")</f>
        <v>3South Puget Sound</v>
      </c>
      <c r="K1598" s="108" t="s">
        <v>20</v>
      </c>
      <c r="L1598" s="108" t="str">
        <f>VLOOKUP(K1598,LUTs!E$2:G$14,3,)</f>
        <v>07Pierce</v>
      </c>
      <c r="M1598" s="108" t="str">
        <f>VLOOKUP($K1598,LUTs!$E$2:$H$14,2,)</f>
        <v>South Puget Sound</v>
      </c>
      <c r="N1598" s="108" t="str">
        <f>VLOOKUP($K1598,LUTs!$E$2:$H$14,4,)</f>
        <v>02South Puget Sound</v>
      </c>
      <c r="O1598" s="108">
        <v>2222.6659012629202</v>
      </c>
      <c r="P1598" s="108">
        <v>7645.9707003444501</v>
      </c>
      <c r="Q1598" s="108">
        <f>SUMIFS('FW_Salmon_by_Month_2010-2021'!P$2:P$3810,'FW_Salmon_by_Month_2010-2021'!$B$2:$B$3810,'Rec_raw_catch_effort_2010-2021'!$B1598,'FW_Salmon_by_Month_2010-2021'!$H$2:$H$3810,'Rec_raw_catch_effort_2010-2021'!$F1598,'FW_Salmon_by_Month_2010-2021'!$M$2:$M$3810,'Rec_raw_catch_effort_2010-2021'!$K1598)</f>
        <v>2219.2273258904852</v>
      </c>
      <c r="R1598" s="109">
        <f>VLOOKUP(B1598,Readme!$A$62:$C$74,2,)*Q1598</f>
        <v>7853.935251396616</v>
      </c>
      <c r="S1598" s="140" t="str">
        <f t="shared" si="137"/>
        <v>Y</v>
      </c>
      <c r="T1598" s="154">
        <f t="shared" si="138"/>
        <v>3.4400000000000022</v>
      </c>
      <c r="U1598" s="154">
        <f t="shared" si="139"/>
        <v>3.5390404397824153</v>
      </c>
    </row>
    <row r="1599" spans="1:21" x14ac:dyDescent="0.35">
      <c r="A1599" s="108">
        <v>328</v>
      </c>
      <c r="B1599" s="108">
        <v>2011</v>
      </c>
      <c r="C1599" s="108" t="s">
        <v>38</v>
      </c>
      <c r="D1599" s="108" t="s">
        <v>143</v>
      </c>
      <c r="E1599" s="108" t="s">
        <v>10</v>
      </c>
      <c r="F1599" s="116">
        <v>778</v>
      </c>
      <c r="G1599" s="108" t="s">
        <v>50</v>
      </c>
      <c r="H1599" s="108" t="str">
        <f t="shared" si="136"/>
        <v>Minter Creek</v>
      </c>
      <c r="I1599" s="108" t="str">
        <f>IFERROR(VLOOKUP(H1599,LUTs!$A$1:$C$73,2,FALSE),"NA")</f>
        <v>Kitsap/Pierce</v>
      </c>
      <c r="J1599" s="108" t="str">
        <f>IFERROR(VLOOKUP(H1599,LUTs!$A$1:$C$73,3,FALSE),"NA")</f>
        <v>3South Puget Sound</v>
      </c>
      <c r="K1599" s="108" t="s">
        <v>16</v>
      </c>
      <c r="L1599" s="108" t="str">
        <f>VLOOKUP(K1599,LUTs!E$2:G$14,3,)</f>
        <v>03Snohomish</v>
      </c>
      <c r="M1599" s="108" t="str">
        <f>VLOOKUP($K1599,LUTs!$E$2:$H$14,2,)</f>
        <v>North Puget Sound</v>
      </c>
      <c r="N1599" s="108" t="str">
        <f>VLOOKUP($K1599,LUTs!$E$2:$H$14,4,)</f>
        <v>01North Puget Sound</v>
      </c>
      <c r="O1599" s="108">
        <v>260.63834672789898</v>
      </c>
      <c r="P1599" s="108">
        <v>896.59591274397201</v>
      </c>
      <c r="Q1599" s="108">
        <f>SUMIFS('FW_Salmon_by_Month_2010-2021'!P$2:P$3810,'FW_Salmon_by_Month_2010-2021'!$B$2:$B$3810,'Rec_raw_catch_effort_2010-2021'!$B1599,'FW_Salmon_by_Month_2010-2021'!$H$2:$H$3810,'Rec_raw_catch_effort_2010-2021'!$F1599,'FW_Salmon_by_Month_2010-2021'!$M$2:$M$3810,'Rec_raw_catch_effort_2010-2021'!$K1599)</f>
        <v>268.998334219387</v>
      </c>
      <c r="R1599" s="109">
        <f>VLOOKUP(B1599,Readme!$A$62:$C$74,2,)*Q1599</f>
        <v>951.99598303651658</v>
      </c>
      <c r="S1599" s="140" t="str">
        <f t="shared" si="137"/>
        <v>Y</v>
      </c>
      <c r="T1599" s="154">
        <f t="shared" si="138"/>
        <v>3.4399999999999982</v>
      </c>
      <c r="U1599" s="154">
        <f t="shared" si="139"/>
        <v>3.5390404397824153</v>
      </c>
    </row>
    <row r="1600" spans="1:21" x14ac:dyDescent="0.35">
      <c r="A1600" s="108">
        <v>331</v>
      </c>
      <c r="B1600" s="108">
        <v>2011</v>
      </c>
      <c r="C1600" s="108" t="s">
        <v>38</v>
      </c>
      <c r="D1600" s="108" t="s">
        <v>143</v>
      </c>
      <c r="E1600" s="108" t="s">
        <v>10</v>
      </c>
      <c r="F1600" s="116">
        <v>778</v>
      </c>
      <c r="G1600" s="108" t="s">
        <v>50</v>
      </c>
      <c r="H1600" s="108" t="str">
        <f t="shared" si="136"/>
        <v>Minter Creek</v>
      </c>
      <c r="I1600" s="108" t="str">
        <f>IFERROR(VLOOKUP(H1600,LUTs!$A$1:$C$73,2,FALSE),"NA")</f>
        <v>Kitsap/Pierce</v>
      </c>
      <c r="J1600" s="108" t="str">
        <f>IFERROR(VLOOKUP(H1600,LUTs!$A$1:$C$73,3,FALSE),"NA")</f>
        <v>3South Puget Sound</v>
      </c>
      <c r="K1600" s="108" t="s">
        <v>21</v>
      </c>
      <c r="L1600" s="108" t="str">
        <f>VLOOKUP(K1600,LUTs!E$2:G$14,3,)</f>
        <v>08Thurston</v>
      </c>
      <c r="M1600" s="108" t="str">
        <f>VLOOKUP($K1600,LUTs!$E$2:$H$14,2,)</f>
        <v>South Puget Sound</v>
      </c>
      <c r="N1600" s="108" t="str">
        <f>VLOOKUP($K1600,LUTs!$E$2:$H$14,4,)</f>
        <v>02South Puget Sound</v>
      </c>
      <c r="O1600" s="108">
        <v>195.47876004592399</v>
      </c>
      <c r="P1600" s="108">
        <v>672.44693455797801</v>
      </c>
      <c r="Q1600" s="108">
        <f>SUMIFS('FW_Salmon_by_Month_2010-2021'!P$2:P$3810,'FW_Salmon_by_Month_2010-2021'!$B$2:$B$3810,'Rec_raw_catch_effort_2010-2021'!$B1600,'FW_Salmon_by_Month_2010-2021'!$H$2:$H$3810,'Rec_raw_catch_effort_2010-2021'!$F1600,'FW_Salmon_by_Month_2010-2021'!$M$2:$M$3810,'Rec_raw_catch_effort_2010-2021'!$K1600)</f>
        <v>201.7467659046608</v>
      </c>
      <c r="R1600" s="109">
        <f>VLOOKUP(B1600,Readme!$A$62:$C$74,2,)*Q1600</f>
        <v>713.98996313191083</v>
      </c>
      <c r="S1600" s="140" t="str">
        <f t="shared" si="137"/>
        <v>Y</v>
      </c>
      <c r="T1600" s="154">
        <f t="shared" si="138"/>
        <v>3.4399999999999973</v>
      </c>
      <c r="U1600" s="154">
        <f t="shared" si="139"/>
        <v>3.5390404397824158</v>
      </c>
    </row>
    <row r="1601" spans="1:21" x14ac:dyDescent="0.35">
      <c r="A1601" s="108">
        <v>327</v>
      </c>
      <c r="B1601" s="108">
        <v>2011</v>
      </c>
      <c r="C1601" s="108" t="s">
        <v>38</v>
      </c>
      <c r="D1601" s="108" t="s">
        <v>143</v>
      </c>
      <c r="E1601" s="108" t="s">
        <v>10</v>
      </c>
      <c r="F1601" s="116">
        <v>778</v>
      </c>
      <c r="G1601" s="108" t="s">
        <v>50</v>
      </c>
      <c r="H1601" s="108" t="str">
        <f t="shared" si="136"/>
        <v>Minter Creek</v>
      </c>
      <c r="I1601" s="108" t="str">
        <f>IFERROR(VLOOKUP(H1601,LUTs!$A$1:$C$73,2,FALSE),"NA")</f>
        <v>Kitsap/Pierce</v>
      </c>
      <c r="J1601" s="108" t="str">
        <f>IFERROR(VLOOKUP(H1601,LUTs!$A$1:$C$73,3,FALSE),"NA")</f>
        <v>3South Puget Sound</v>
      </c>
      <c r="K1601" s="108" t="s">
        <v>13</v>
      </c>
      <c r="L1601" s="108" t="str">
        <f>VLOOKUP(K1601,LUTs!E$2:G$14,3,)</f>
        <v>01Whatcom</v>
      </c>
      <c r="M1601" s="108" t="str">
        <f>VLOOKUP($K1601,LUTs!$E$2:$H$14,2,)</f>
        <v>North Puget Sound</v>
      </c>
      <c r="N1601" s="108" t="str">
        <f>VLOOKUP($K1601,LUTs!$E$2:$H$14,4,)</f>
        <v>01North Puget Sound</v>
      </c>
      <c r="O1601" s="108">
        <v>14.4799081515499</v>
      </c>
      <c r="P1601" s="108">
        <v>49.810884041331697</v>
      </c>
      <c r="Q1601" s="108">
        <f>SUMIFS('FW_Salmon_by_Month_2010-2021'!P$2:P$3810,'FW_Salmon_by_Month_2010-2021'!$B$2:$B$3810,'Rec_raw_catch_effort_2010-2021'!$B1601,'FW_Salmon_by_Month_2010-2021'!$H$2:$H$3810,'Rec_raw_catch_effort_2010-2021'!$F1601,'FW_Salmon_by_Month_2010-2021'!$M$2:$M$3810,'Rec_raw_catch_effort_2010-2021'!$K1601)</f>
        <v>14.9434697855751</v>
      </c>
      <c r="R1601" s="109">
        <f>VLOOKUP(B1601,Readme!$A$62:$C$74,2,)*Q1601</f>
        <v>52.885543881816936</v>
      </c>
      <c r="S1601" s="140" t="str">
        <f t="shared" si="137"/>
        <v>Y</v>
      </c>
      <c r="T1601" s="154">
        <f t="shared" si="138"/>
        <v>3.4400000000000031</v>
      </c>
      <c r="U1601" s="154">
        <f t="shared" si="139"/>
        <v>3.5390404397824153</v>
      </c>
    </row>
    <row r="1602" spans="1:21" x14ac:dyDescent="0.35">
      <c r="A1602" s="108">
        <v>336</v>
      </c>
      <c r="B1602" s="108">
        <v>2012</v>
      </c>
      <c r="C1602" s="108" t="s">
        <v>38</v>
      </c>
      <c r="D1602" s="108" t="s">
        <v>143</v>
      </c>
      <c r="E1602" s="108" t="s">
        <v>10</v>
      </c>
      <c r="F1602" s="116">
        <v>778</v>
      </c>
      <c r="G1602" s="108" t="s">
        <v>50</v>
      </c>
      <c r="H1602" s="108" t="str">
        <f t="shared" ref="H1602:H1665" si="140">G1602</f>
        <v>Minter Creek</v>
      </c>
      <c r="I1602" s="108" t="str">
        <f>IFERROR(VLOOKUP(H1602,LUTs!$A$1:$C$73,2,FALSE),"NA")</f>
        <v>Kitsap/Pierce</v>
      </c>
      <c r="J1602" s="108" t="str">
        <f>IFERROR(VLOOKUP(H1602,LUTs!$A$1:$C$73,3,FALSE),"NA")</f>
        <v>3South Puget Sound</v>
      </c>
      <c r="K1602" s="108" t="s">
        <v>17</v>
      </c>
      <c r="L1602" s="108" t="str">
        <f>VLOOKUP(K1602,LUTs!E$2:G$14,3,)</f>
        <v>04Island</v>
      </c>
      <c r="M1602" s="108" t="str">
        <f>VLOOKUP($K1602,LUTs!$E$2:$H$14,2,)</f>
        <v>North Puget Sound</v>
      </c>
      <c r="N1602" s="108" t="str">
        <f>VLOOKUP($K1602,LUTs!$E$2:$H$14,4,)</f>
        <v>01North Puget Sound</v>
      </c>
      <c r="O1602" s="108">
        <v>88.854961832061093</v>
      </c>
      <c r="P1602" s="108">
        <v>768.595419847328</v>
      </c>
      <c r="Q1602" s="108">
        <f>SUMIFS('FW_Salmon_by_Month_2010-2021'!P$2:P$3810,'FW_Salmon_by_Month_2010-2021'!$B$2:$B$3810,'Rec_raw_catch_effort_2010-2021'!$B1602,'FW_Salmon_by_Month_2010-2021'!$H$2:$H$3810,'Rec_raw_catch_effort_2010-2021'!$F1602,'FW_Salmon_by_Month_2010-2021'!$M$2:$M$3810,'Rec_raw_catch_effort_2010-2021'!$K1602)</f>
        <v>91.517671517671502</v>
      </c>
      <c r="R1602" s="109">
        <f>VLOOKUP(B1602,Readme!$A$62:$C$74,2,)*Q1602</f>
        <v>441.07444257601537</v>
      </c>
      <c r="S1602" s="140" t="str">
        <f t="shared" si="137"/>
        <v>Y</v>
      </c>
      <c r="T1602" s="154">
        <f t="shared" si="138"/>
        <v>8.649999999999995</v>
      </c>
      <c r="U1602" s="154">
        <f t="shared" si="139"/>
        <v>4.8195549041132084</v>
      </c>
    </row>
    <row r="1603" spans="1:21" x14ac:dyDescent="0.35">
      <c r="A1603" s="108">
        <v>337</v>
      </c>
      <c r="B1603" s="108">
        <v>2012</v>
      </c>
      <c r="C1603" s="108" t="s">
        <v>38</v>
      </c>
      <c r="D1603" s="108" t="s">
        <v>143</v>
      </c>
      <c r="E1603" s="108" t="s">
        <v>10</v>
      </c>
      <c r="F1603" s="116">
        <v>778</v>
      </c>
      <c r="G1603" s="108" t="s">
        <v>50</v>
      </c>
      <c r="H1603" s="108" t="str">
        <f t="shared" si="140"/>
        <v>Minter Creek</v>
      </c>
      <c r="I1603" s="108" t="str">
        <f>IFERROR(VLOOKUP(H1603,LUTs!$A$1:$C$73,2,FALSE),"NA")</f>
        <v>Kitsap/Pierce</v>
      </c>
      <c r="J1603" s="108" t="str">
        <f>IFERROR(VLOOKUP(H1603,LUTs!$A$1:$C$73,3,FALSE),"NA")</f>
        <v>3South Puget Sound</v>
      </c>
      <c r="K1603" s="108" t="s">
        <v>18</v>
      </c>
      <c r="L1603" s="108" t="str">
        <f>VLOOKUP(K1603,LUTs!E$2:G$14,3,)</f>
        <v>06King</v>
      </c>
      <c r="M1603" s="108" t="str">
        <f>VLOOKUP($K1603,LUTs!$E$2:$H$14,2,)</f>
        <v>South Puget Sound</v>
      </c>
      <c r="N1603" s="108" t="str">
        <f>VLOOKUP($K1603,LUTs!$E$2:$H$14,4,)</f>
        <v>02South Puget Sound</v>
      </c>
      <c r="O1603" s="108">
        <v>2265.8015267175601</v>
      </c>
      <c r="P1603" s="108">
        <v>19599.1832061069</v>
      </c>
      <c r="Q1603" s="108">
        <f>SUMIFS('FW_Salmon_by_Month_2010-2021'!P$2:P$3810,'FW_Salmon_by_Month_2010-2021'!$B$2:$B$3810,'Rec_raw_catch_effort_2010-2021'!$B1603,'FW_Salmon_by_Month_2010-2021'!$H$2:$H$3810,'Rec_raw_catch_effort_2010-2021'!$F1603,'FW_Salmon_by_Month_2010-2021'!$M$2:$M$3810,'Rec_raw_catch_effort_2010-2021'!$K1603)</f>
        <v>2302.1607761607811</v>
      </c>
      <c r="R1603" s="109">
        <f>VLOOKUP(B1603,Readme!$A$62:$C$74,2,)*Q1603</f>
        <v>11095.390258802763</v>
      </c>
      <c r="S1603" s="140" t="str">
        <f t="shared" ref="S1603:S1666" si="141">IF(B1603&lt;=2019,"Y","N")</f>
        <v>Y</v>
      </c>
      <c r="T1603" s="154">
        <f t="shared" ref="T1603:T1666" si="142">IFERROR(P1603/O1603,"NA")</f>
        <v>8.6500000000000021</v>
      </c>
      <c r="U1603" s="154">
        <f t="shared" ref="U1603:U1666" si="143">IFERROR(R1603/Q1603,"NA")</f>
        <v>4.8195549041132084</v>
      </c>
    </row>
    <row r="1604" spans="1:21" x14ac:dyDescent="0.35">
      <c r="A1604" s="108">
        <v>341</v>
      </c>
      <c r="B1604" s="108">
        <v>2012</v>
      </c>
      <c r="C1604" s="108" t="s">
        <v>38</v>
      </c>
      <c r="D1604" s="108" t="s">
        <v>143</v>
      </c>
      <c r="E1604" s="108" t="s">
        <v>10</v>
      </c>
      <c r="F1604" s="116">
        <v>778</v>
      </c>
      <c r="G1604" s="108" t="s">
        <v>50</v>
      </c>
      <c r="H1604" s="108" t="str">
        <f t="shared" si="140"/>
        <v>Minter Creek</v>
      </c>
      <c r="I1604" s="108" t="str">
        <f>IFERROR(VLOOKUP(H1604,LUTs!$A$1:$C$73,2,FALSE),"NA")</f>
        <v>Kitsap/Pierce</v>
      </c>
      <c r="J1604" s="108" t="str">
        <f>IFERROR(VLOOKUP(H1604,LUTs!$A$1:$C$73,3,FALSE),"NA")</f>
        <v>3South Puget Sound</v>
      </c>
      <c r="K1604" s="108" t="s">
        <v>23</v>
      </c>
      <c r="L1604" s="108" t="str">
        <f>VLOOKUP(K1604,LUTs!E$2:G$14,3,)</f>
        <v>10Kitsap</v>
      </c>
      <c r="M1604" s="108" t="str">
        <f>VLOOKUP($K1604,LUTs!$E$2:$H$14,2,)</f>
        <v>South Puget Sound</v>
      </c>
      <c r="N1604" s="108" t="str">
        <f>VLOOKUP($K1604,LUTs!$E$2:$H$14,4,)</f>
        <v>02South Puget Sound</v>
      </c>
      <c r="O1604" s="108">
        <v>303.58778625954199</v>
      </c>
      <c r="P1604" s="108">
        <v>2626.0343511450401</v>
      </c>
      <c r="Q1604" s="108">
        <f>SUMIFS('FW_Salmon_by_Month_2010-2021'!P$2:P$3810,'FW_Salmon_by_Month_2010-2021'!$B$2:$B$3810,'Rec_raw_catch_effort_2010-2021'!$B1604,'FW_Salmon_by_Month_2010-2021'!$H$2:$H$3810,'Rec_raw_catch_effort_2010-2021'!$F1604,'FW_Salmon_by_Month_2010-2021'!$M$2:$M$3810,'Rec_raw_catch_effort_2010-2021'!$K1604)</f>
        <v>313.4209979209985</v>
      </c>
      <c r="R1604" s="109">
        <f>VLOOKUP(B1604,Readme!$A$62:$C$74,2,)*Q1604</f>
        <v>1510.5497075822041</v>
      </c>
      <c r="S1604" s="140" t="str">
        <f t="shared" si="141"/>
        <v>Y</v>
      </c>
      <c r="T1604" s="154">
        <f t="shared" si="142"/>
        <v>8.6500000000000057</v>
      </c>
      <c r="U1604" s="154">
        <f t="shared" si="143"/>
        <v>4.8195549041132084</v>
      </c>
    </row>
    <row r="1605" spans="1:21" x14ac:dyDescent="0.35">
      <c r="A1605" s="108">
        <v>340</v>
      </c>
      <c r="B1605" s="108">
        <v>2012</v>
      </c>
      <c r="C1605" s="108" t="s">
        <v>38</v>
      </c>
      <c r="D1605" s="108" t="s">
        <v>143</v>
      </c>
      <c r="E1605" s="108" t="s">
        <v>10</v>
      </c>
      <c r="F1605" s="116">
        <v>778</v>
      </c>
      <c r="G1605" s="108" t="s">
        <v>50</v>
      </c>
      <c r="H1605" s="108" t="str">
        <f t="shared" si="140"/>
        <v>Minter Creek</v>
      </c>
      <c r="I1605" s="108" t="str">
        <f>IFERROR(VLOOKUP(H1605,LUTs!$A$1:$C$73,2,FALSE),"NA")</f>
        <v>Kitsap/Pierce</v>
      </c>
      <c r="J1605" s="108" t="str">
        <f>IFERROR(VLOOKUP(H1605,LUTs!$A$1:$C$73,3,FALSE),"NA")</f>
        <v>3South Puget Sound</v>
      </c>
      <c r="K1605" s="108" t="s">
        <v>22</v>
      </c>
      <c r="L1605" s="108" t="str">
        <f>VLOOKUP(K1605,LUTs!E$2:G$14,3,)</f>
        <v>09Mason</v>
      </c>
      <c r="M1605" s="108" t="str">
        <f>VLOOKUP($K1605,LUTs!$E$2:$H$14,2,)</f>
        <v>South Puget Sound</v>
      </c>
      <c r="N1605" s="108" t="str">
        <f>VLOOKUP($K1605,LUTs!$E$2:$H$14,4,)</f>
        <v>02South Puget Sound</v>
      </c>
      <c r="O1605" s="108">
        <v>155.49618320610699</v>
      </c>
      <c r="P1605" s="108">
        <v>1345.0419847328301</v>
      </c>
      <c r="Q1605" s="108">
        <f>SUMIFS('FW_Salmon_by_Month_2010-2021'!P$2:P$3810,'FW_Salmon_by_Month_2010-2021'!$B$2:$B$3810,'Rec_raw_catch_effort_2010-2021'!$B1605,'FW_Salmon_by_Month_2010-2021'!$H$2:$H$3810,'Rec_raw_catch_effort_2010-2021'!$F1605,'FW_Salmon_by_Month_2010-2021'!$M$2:$M$3810,'Rec_raw_catch_effort_2010-2021'!$K1605)</f>
        <v>160.61313236313231</v>
      </c>
      <c r="R1605" s="109">
        <f>VLOOKUP(B1605,Readme!$A$62:$C$74,2,)*Q1605</f>
        <v>774.08380974571821</v>
      </c>
      <c r="S1605" s="140" t="str">
        <f t="shared" si="141"/>
        <v>Y</v>
      </c>
      <c r="T1605" s="154">
        <f t="shared" si="142"/>
        <v>8.6500000000000306</v>
      </c>
      <c r="U1605" s="154">
        <f t="shared" si="143"/>
        <v>4.8195549041132084</v>
      </c>
    </row>
    <row r="1606" spans="1:21" x14ac:dyDescent="0.35">
      <c r="A1606" s="108">
        <v>342</v>
      </c>
      <c r="B1606" s="108">
        <v>2012</v>
      </c>
      <c r="C1606" s="108" t="s">
        <v>38</v>
      </c>
      <c r="D1606" s="108" t="s">
        <v>143</v>
      </c>
      <c r="E1606" s="108" t="s">
        <v>10</v>
      </c>
      <c r="F1606" s="116">
        <v>778</v>
      </c>
      <c r="G1606" s="108" t="s">
        <v>50</v>
      </c>
      <c r="H1606" s="108" t="str">
        <f t="shared" si="140"/>
        <v>Minter Creek</v>
      </c>
      <c r="I1606" s="108" t="str">
        <f>IFERROR(VLOOKUP(H1606,LUTs!$A$1:$C$73,2,FALSE),"NA")</f>
        <v>Kitsap/Pierce</v>
      </c>
      <c r="J1606" s="108" t="str">
        <f>IFERROR(VLOOKUP(H1606,LUTs!$A$1:$C$73,3,FALSE),"NA")</f>
        <v>3South Puget Sound</v>
      </c>
      <c r="K1606" s="108" t="s">
        <v>26</v>
      </c>
      <c r="L1606" s="108" t="str">
        <f>VLOOKUP(K1606,LUTs!E$2:G$14,3,)</f>
        <v>20Other</v>
      </c>
      <c r="M1606" s="108" t="str">
        <f>VLOOKUP($K1606,LUTs!$E$2:$H$14,2,)</f>
        <v>Non Puget Sound</v>
      </c>
      <c r="N1606" s="108" t="str">
        <f>VLOOKUP($K1606,LUTs!$E$2:$H$14,4,)</f>
        <v>07Non Puget Sound</v>
      </c>
      <c r="O1606" s="108">
        <v>273.96946564885502</v>
      </c>
      <c r="P1606" s="108">
        <v>2369.8358778625998</v>
      </c>
      <c r="Q1606" s="108">
        <f>SUMIFS('FW_Salmon_by_Month_2010-2021'!P$2:P$3810,'FW_Salmon_by_Month_2010-2021'!$B$2:$B$3810,'Rec_raw_catch_effort_2010-2021'!$B1606,'FW_Salmon_by_Month_2010-2021'!$H$2:$H$3810,'Rec_raw_catch_effort_2010-2021'!$F1606,'FW_Salmon_by_Month_2010-2021'!$M$2:$M$3810,'Rec_raw_catch_effort_2010-2021'!$K1606)</f>
        <v>267.68087318087299</v>
      </c>
      <c r="R1606" s="109">
        <f>VLOOKUP(B1606,Readme!$A$62:$C$74,2,)*Q1606</f>
        <v>1290.1026650761823</v>
      </c>
      <c r="S1606" s="140" t="str">
        <f t="shared" si="141"/>
        <v>Y</v>
      </c>
      <c r="T1606" s="154">
        <f t="shared" si="142"/>
        <v>8.6500000000000146</v>
      </c>
      <c r="U1606" s="154">
        <f t="shared" si="143"/>
        <v>4.8195549041132084</v>
      </c>
    </row>
    <row r="1607" spans="1:21" x14ac:dyDescent="0.35">
      <c r="A1607" s="108">
        <v>338</v>
      </c>
      <c r="B1607" s="108">
        <v>2012</v>
      </c>
      <c r="C1607" s="108" t="s">
        <v>38</v>
      </c>
      <c r="D1607" s="108" t="s">
        <v>143</v>
      </c>
      <c r="E1607" s="108" t="s">
        <v>10</v>
      </c>
      <c r="F1607" s="116">
        <v>778</v>
      </c>
      <c r="G1607" s="108" t="s">
        <v>50</v>
      </c>
      <c r="H1607" s="108" t="str">
        <f t="shared" si="140"/>
        <v>Minter Creek</v>
      </c>
      <c r="I1607" s="108" t="str">
        <f>IFERROR(VLOOKUP(H1607,LUTs!$A$1:$C$73,2,FALSE),"NA")</f>
        <v>Kitsap/Pierce</v>
      </c>
      <c r="J1607" s="108" t="str">
        <f>IFERROR(VLOOKUP(H1607,LUTs!$A$1:$C$73,3,FALSE),"NA")</f>
        <v>3South Puget Sound</v>
      </c>
      <c r="K1607" s="108" t="s">
        <v>20</v>
      </c>
      <c r="L1607" s="108" t="str">
        <f>VLOOKUP(K1607,LUTs!E$2:G$14,3,)</f>
        <v>07Pierce</v>
      </c>
      <c r="M1607" s="108" t="str">
        <f>VLOOKUP($K1607,LUTs!$E$2:$H$14,2,)</f>
        <v>South Puget Sound</v>
      </c>
      <c r="N1607" s="108" t="str">
        <f>VLOOKUP($K1607,LUTs!$E$2:$H$14,4,)</f>
        <v>02South Puget Sound</v>
      </c>
      <c r="O1607" s="108">
        <v>2421.29770992366</v>
      </c>
      <c r="P1607" s="108">
        <v>20944.225190839701</v>
      </c>
      <c r="Q1607" s="108">
        <f>SUMIFS('FW_Salmon_by_Month_2010-2021'!P$2:P$3810,'FW_Salmon_by_Month_2010-2021'!$B$2:$B$3810,'Rec_raw_catch_effort_2010-2021'!$B1607,'FW_Salmon_by_Month_2010-2021'!$H$2:$H$3810,'Rec_raw_catch_effort_2010-2021'!$F1607,'FW_Salmon_by_Month_2010-2021'!$M$2:$M$3810,'Rec_raw_catch_effort_2010-2021'!$K1607)</f>
        <v>2363.3693693693672</v>
      </c>
      <c r="R1607" s="109">
        <f>VLOOKUP(B1607,Readme!$A$62:$C$74,2,)*Q1607</f>
        <v>11390.388434375074</v>
      </c>
      <c r="S1607" s="140" t="str">
        <f t="shared" si="141"/>
        <v>Y</v>
      </c>
      <c r="T1607" s="154">
        <f t="shared" si="142"/>
        <v>8.6500000000000181</v>
      </c>
      <c r="U1607" s="154">
        <f t="shared" si="143"/>
        <v>4.8195549041132084</v>
      </c>
    </row>
    <row r="1608" spans="1:21" x14ac:dyDescent="0.35">
      <c r="A1608" s="108">
        <v>335</v>
      </c>
      <c r="B1608" s="108">
        <v>2012</v>
      </c>
      <c r="C1608" s="108" t="s">
        <v>38</v>
      </c>
      <c r="D1608" s="108" t="s">
        <v>143</v>
      </c>
      <c r="E1608" s="108" t="s">
        <v>10</v>
      </c>
      <c r="F1608" s="116">
        <v>778</v>
      </c>
      <c r="G1608" s="108" t="s">
        <v>50</v>
      </c>
      <c r="H1608" s="108" t="str">
        <f t="shared" si="140"/>
        <v>Minter Creek</v>
      </c>
      <c r="I1608" s="108" t="str">
        <f>IFERROR(VLOOKUP(H1608,LUTs!$A$1:$C$73,2,FALSE),"NA")</f>
        <v>Kitsap/Pierce</v>
      </c>
      <c r="J1608" s="108" t="str">
        <f>IFERROR(VLOOKUP(H1608,LUTs!$A$1:$C$73,3,FALSE),"NA")</f>
        <v>3South Puget Sound</v>
      </c>
      <c r="K1608" s="108" t="s">
        <v>16</v>
      </c>
      <c r="L1608" s="108" t="str">
        <f>VLOOKUP(K1608,LUTs!E$2:G$14,3,)</f>
        <v>03Snohomish</v>
      </c>
      <c r="M1608" s="108" t="str">
        <f>VLOOKUP($K1608,LUTs!$E$2:$H$14,2,)</f>
        <v>North Puget Sound</v>
      </c>
      <c r="N1608" s="108" t="str">
        <f>VLOOKUP($K1608,LUTs!$E$2:$H$14,4,)</f>
        <v>01North Puget Sound</v>
      </c>
      <c r="O1608" s="108">
        <v>162.90076335877899</v>
      </c>
      <c r="P1608" s="108">
        <v>1409.0916030534399</v>
      </c>
      <c r="Q1608" s="108">
        <f>SUMIFS('FW_Salmon_by_Month_2010-2021'!P$2:P$3810,'FW_Salmon_by_Month_2010-2021'!$B$2:$B$3810,'Rec_raw_catch_effort_2010-2021'!$B1608,'FW_Salmon_by_Month_2010-2021'!$H$2:$H$3810,'Rec_raw_catch_effort_2010-2021'!$F1608,'FW_Salmon_by_Month_2010-2021'!$M$2:$M$3810,'Rec_raw_catch_effort_2010-2021'!$K1608)</f>
        <v>168.27027027027</v>
      </c>
      <c r="R1608" s="109">
        <f>VLOOKUP(B1608,Readme!$A$62:$C$74,2,)*Q1608</f>
        <v>810.9878062975348</v>
      </c>
      <c r="S1608" s="140" t="str">
        <f t="shared" si="141"/>
        <v>Y</v>
      </c>
      <c r="T1608" s="154">
        <f t="shared" si="142"/>
        <v>8.650000000000011</v>
      </c>
      <c r="U1608" s="154">
        <f t="shared" si="143"/>
        <v>4.8195549041132084</v>
      </c>
    </row>
    <row r="1609" spans="1:21" x14ac:dyDescent="0.35">
      <c r="A1609" s="108">
        <v>339</v>
      </c>
      <c r="B1609" s="108">
        <v>2012</v>
      </c>
      <c r="C1609" s="108" t="s">
        <v>38</v>
      </c>
      <c r="D1609" s="108" t="s">
        <v>143</v>
      </c>
      <c r="E1609" s="108" t="s">
        <v>10</v>
      </c>
      <c r="F1609" s="116">
        <v>778</v>
      </c>
      <c r="G1609" s="108" t="s">
        <v>50</v>
      </c>
      <c r="H1609" s="108" t="str">
        <f t="shared" si="140"/>
        <v>Minter Creek</v>
      </c>
      <c r="I1609" s="108" t="str">
        <f>IFERROR(VLOOKUP(H1609,LUTs!$A$1:$C$73,2,FALSE),"NA")</f>
        <v>Kitsap/Pierce</v>
      </c>
      <c r="J1609" s="108" t="str">
        <f>IFERROR(VLOOKUP(H1609,LUTs!$A$1:$C$73,3,FALSE),"NA")</f>
        <v>3South Puget Sound</v>
      </c>
      <c r="K1609" s="108" t="s">
        <v>21</v>
      </c>
      <c r="L1609" s="108" t="str">
        <f>VLOOKUP(K1609,LUTs!E$2:G$14,3,)</f>
        <v>08Thurston</v>
      </c>
      <c r="M1609" s="108" t="str">
        <f>VLOOKUP($K1609,LUTs!$E$2:$H$14,2,)</f>
        <v>South Puget Sound</v>
      </c>
      <c r="N1609" s="108" t="str">
        <f>VLOOKUP($K1609,LUTs!$E$2:$H$14,4,)</f>
        <v>02South Puget Sound</v>
      </c>
      <c r="O1609" s="108">
        <v>148.09160305343499</v>
      </c>
      <c r="P1609" s="108">
        <v>1280.99236641221</v>
      </c>
      <c r="Q1609" s="108">
        <f>SUMIFS('FW_Salmon_by_Month_2010-2021'!P$2:P$3810,'FW_Salmon_by_Month_2010-2021'!$B$2:$B$3810,'Rec_raw_catch_effort_2010-2021'!$B1609,'FW_Salmon_by_Month_2010-2021'!$H$2:$H$3810,'Rec_raw_catch_effort_2010-2021'!$F1609,'FW_Salmon_by_Month_2010-2021'!$M$2:$M$3810,'Rec_raw_catch_effort_2010-2021'!$K1609)</f>
        <v>152.9669092169095</v>
      </c>
      <c r="R1609" s="109">
        <f>VLOOKUP(B1609,Readme!$A$62:$C$74,2,)*Q1609</f>
        <v>737.23241748339615</v>
      </c>
      <c r="S1609" s="140" t="str">
        <f t="shared" si="141"/>
        <v>Y</v>
      </c>
      <c r="T1609" s="154">
        <f t="shared" si="142"/>
        <v>8.6499999999999826</v>
      </c>
      <c r="U1609" s="154">
        <f t="shared" si="143"/>
        <v>4.8195549041132084</v>
      </c>
    </row>
    <row r="1610" spans="1:21" x14ac:dyDescent="0.35">
      <c r="A1610" s="108">
        <v>438</v>
      </c>
      <c r="B1610" s="108">
        <v>2013</v>
      </c>
      <c r="C1610" s="108" t="s">
        <v>38</v>
      </c>
      <c r="D1610" s="108" t="s">
        <v>143</v>
      </c>
      <c r="E1610" s="108" t="s">
        <v>10</v>
      </c>
      <c r="F1610" s="116">
        <v>778</v>
      </c>
      <c r="G1610" s="108" t="s">
        <v>50</v>
      </c>
      <c r="H1610" s="108" t="str">
        <f t="shared" si="140"/>
        <v>Minter Creek</v>
      </c>
      <c r="I1610" s="108" t="str">
        <f>IFERROR(VLOOKUP(H1610,LUTs!$A$1:$C$73,2,FALSE),"NA")</f>
        <v>Kitsap/Pierce</v>
      </c>
      <c r="J1610" s="108" t="str">
        <f>IFERROR(VLOOKUP(H1610,LUTs!$A$1:$C$73,3,FALSE),"NA")</f>
        <v>3South Puget Sound</v>
      </c>
      <c r="K1610" s="108" t="s">
        <v>24</v>
      </c>
      <c r="L1610" s="108" t="str">
        <f>VLOOKUP(K1610,LUTs!E$2:G$14,3,)</f>
        <v>11Clallam</v>
      </c>
      <c r="M1610" s="108" t="str">
        <f>VLOOKUP($K1610,LUTs!$E$2:$H$14,2,)</f>
        <v>Strait of Juan de Fuca</v>
      </c>
      <c r="N1610" s="108" t="str">
        <f>VLOOKUP($K1610,LUTs!$E$2:$H$14,4,)</f>
        <v>03Strait of Juan de Fuca</v>
      </c>
      <c r="O1610" s="108">
        <v>110.31055900621099</v>
      </c>
      <c r="P1610" s="108">
        <v>379.46832298136599</v>
      </c>
      <c r="Q1610" s="108">
        <f>SUMIFS('FW_Salmon_by_Month_2010-2021'!P$2:P$3810,'FW_Salmon_by_Month_2010-2021'!$B$2:$B$3810,'Rec_raw_catch_effort_2010-2021'!$B1610,'FW_Salmon_by_Month_2010-2021'!$H$2:$H$3810,'Rec_raw_catch_effort_2010-2021'!$F1610,'FW_Salmon_by_Month_2010-2021'!$M$2:$M$3810,'Rec_raw_catch_effort_2010-2021'!$K1610)</f>
        <v>110.82593856655301</v>
      </c>
      <c r="R1610" s="109">
        <f>VLOOKUP(B1610,Readme!$A$62:$C$74,2,)*Q1610</f>
        <v>392.21747836387271</v>
      </c>
      <c r="S1610" s="140" t="str">
        <f t="shared" si="141"/>
        <v>Y</v>
      </c>
      <c r="T1610" s="154">
        <f t="shared" si="142"/>
        <v>3.4400000000000017</v>
      </c>
      <c r="U1610" s="154">
        <f t="shared" si="143"/>
        <v>3.5390404397824153</v>
      </c>
    </row>
    <row r="1611" spans="1:21" x14ac:dyDescent="0.35">
      <c r="A1611" s="108">
        <v>344</v>
      </c>
      <c r="B1611" s="108">
        <v>2013</v>
      </c>
      <c r="C1611" s="108" t="s">
        <v>38</v>
      </c>
      <c r="D1611" s="108" t="s">
        <v>143</v>
      </c>
      <c r="E1611" s="108" t="s">
        <v>10</v>
      </c>
      <c r="F1611" s="116">
        <v>778</v>
      </c>
      <c r="G1611" s="108" t="s">
        <v>50</v>
      </c>
      <c r="H1611" s="108" t="str">
        <f t="shared" si="140"/>
        <v>Minter Creek</v>
      </c>
      <c r="I1611" s="108" t="str">
        <f>IFERROR(VLOOKUP(H1611,LUTs!$A$1:$C$73,2,FALSE),"NA")</f>
        <v>Kitsap/Pierce</v>
      </c>
      <c r="J1611" s="108" t="str">
        <f>IFERROR(VLOOKUP(H1611,LUTs!$A$1:$C$73,3,FALSE),"NA")</f>
        <v>3South Puget Sound</v>
      </c>
      <c r="K1611" s="108" t="s">
        <v>18</v>
      </c>
      <c r="L1611" s="108" t="str">
        <f>VLOOKUP(K1611,LUTs!E$2:G$14,3,)</f>
        <v>06King</v>
      </c>
      <c r="M1611" s="108" t="str">
        <f>VLOOKUP($K1611,LUTs!$E$2:$H$14,2,)</f>
        <v>South Puget Sound</v>
      </c>
      <c r="N1611" s="108" t="str">
        <f>VLOOKUP($K1611,LUTs!$E$2:$H$14,4,)</f>
        <v>02South Puget Sound</v>
      </c>
      <c r="O1611" s="108">
        <v>2344.0993788819901</v>
      </c>
      <c r="P1611" s="108">
        <v>8063.7018633540501</v>
      </c>
      <c r="Q1611" s="108">
        <f>SUMIFS('FW_Salmon_by_Month_2010-2021'!P$2:P$3810,'FW_Salmon_by_Month_2010-2021'!$B$2:$B$3810,'Rec_raw_catch_effort_2010-2021'!$B1611,'FW_Salmon_by_Month_2010-2021'!$H$2:$H$3810,'Rec_raw_catch_effort_2010-2021'!$F1611,'FW_Salmon_by_Month_2010-2021'!$M$2:$M$3810,'Rec_raw_catch_effort_2010-2021'!$K1611)</f>
        <v>2355.0581445857893</v>
      </c>
      <c r="R1611" s="109">
        <f>VLOOKUP(B1611,Readme!$A$62:$C$74,2,)*Q1611</f>
        <v>8334.6460117280512</v>
      </c>
      <c r="S1611" s="140" t="str">
        <f t="shared" si="141"/>
        <v>Y</v>
      </c>
      <c r="T1611" s="154">
        <f t="shared" si="142"/>
        <v>3.4400000000000017</v>
      </c>
      <c r="U1611" s="154">
        <f t="shared" si="143"/>
        <v>3.5390404397824158</v>
      </c>
    </row>
    <row r="1612" spans="1:21" x14ac:dyDescent="0.35">
      <c r="A1612" s="108">
        <v>437</v>
      </c>
      <c r="B1612" s="108">
        <v>2013</v>
      </c>
      <c r="C1612" s="108" t="s">
        <v>38</v>
      </c>
      <c r="D1612" s="108" t="s">
        <v>143</v>
      </c>
      <c r="E1612" s="108" t="s">
        <v>10</v>
      </c>
      <c r="F1612" s="116">
        <v>778</v>
      </c>
      <c r="G1612" s="108" t="s">
        <v>50</v>
      </c>
      <c r="H1612" s="108" t="str">
        <f t="shared" si="140"/>
        <v>Minter Creek</v>
      </c>
      <c r="I1612" s="108" t="str">
        <f>IFERROR(VLOOKUP(H1612,LUTs!$A$1:$C$73,2,FALSE),"NA")</f>
        <v>Kitsap/Pierce</v>
      </c>
      <c r="J1612" s="108" t="str">
        <f>IFERROR(VLOOKUP(H1612,LUTs!$A$1:$C$73,3,FALSE),"NA")</f>
        <v>3South Puget Sound</v>
      </c>
      <c r="K1612" s="108" t="s">
        <v>23</v>
      </c>
      <c r="L1612" s="108" t="str">
        <f>VLOOKUP(K1612,LUTs!E$2:G$14,3,)</f>
        <v>10Kitsap</v>
      </c>
      <c r="M1612" s="108" t="str">
        <f>VLOOKUP($K1612,LUTs!$E$2:$H$14,2,)</f>
        <v>South Puget Sound</v>
      </c>
      <c r="N1612" s="108" t="str">
        <f>VLOOKUP($K1612,LUTs!$E$2:$H$14,4,)</f>
        <v>02South Puget Sound</v>
      </c>
      <c r="O1612" s="108">
        <v>514.78260869565202</v>
      </c>
      <c r="P1612" s="108">
        <v>1770.8521739130399</v>
      </c>
      <c r="Q1612" s="108">
        <f>SUMIFS('FW_Salmon_by_Month_2010-2021'!P$2:P$3810,'FW_Salmon_by_Month_2010-2021'!$B$2:$B$3810,'Rec_raw_catch_effort_2010-2021'!$B1612,'FW_Salmon_by_Month_2010-2021'!$H$2:$H$3810,'Rec_raw_catch_effort_2010-2021'!$F1612,'FW_Salmon_by_Month_2010-2021'!$M$2:$M$3810,'Rec_raw_catch_effort_2010-2021'!$K1612)</f>
        <v>489.48644120384779</v>
      </c>
      <c r="R1612" s="109">
        <f>VLOOKUP(B1612,Readme!$A$62:$C$74,2,)*Q1612</f>
        <v>1732.3123101455949</v>
      </c>
      <c r="S1612" s="140" t="str">
        <f t="shared" si="141"/>
        <v>Y</v>
      </c>
      <c r="T1612" s="154">
        <f t="shared" si="142"/>
        <v>3.4399999999999942</v>
      </c>
      <c r="U1612" s="154">
        <f t="shared" si="143"/>
        <v>3.5390404397824153</v>
      </c>
    </row>
    <row r="1613" spans="1:21" x14ac:dyDescent="0.35">
      <c r="A1613" s="108">
        <v>347</v>
      </c>
      <c r="B1613" s="108">
        <v>2013</v>
      </c>
      <c r="C1613" s="108" t="s">
        <v>38</v>
      </c>
      <c r="D1613" s="108" t="s">
        <v>143</v>
      </c>
      <c r="E1613" s="108" t="s">
        <v>10</v>
      </c>
      <c r="F1613" s="116">
        <v>778</v>
      </c>
      <c r="G1613" s="108" t="s">
        <v>50</v>
      </c>
      <c r="H1613" s="108" t="str">
        <f t="shared" si="140"/>
        <v>Minter Creek</v>
      </c>
      <c r="I1613" s="108" t="str">
        <f>IFERROR(VLOOKUP(H1613,LUTs!$A$1:$C$73,2,FALSE),"NA")</f>
        <v>Kitsap/Pierce</v>
      </c>
      <c r="J1613" s="108" t="str">
        <f>IFERROR(VLOOKUP(H1613,LUTs!$A$1:$C$73,3,FALSE),"NA")</f>
        <v>3South Puget Sound</v>
      </c>
      <c r="K1613" s="108" t="s">
        <v>22</v>
      </c>
      <c r="L1613" s="108" t="str">
        <f>VLOOKUP(K1613,LUTs!E$2:G$14,3,)</f>
        <v>09Mason</v>
      </c>
      <c r="M1613" s="108" t="str">
        <f>VLOOKUP($K1613,LUTs!$E$2:$H$14,2,)</f>
        <v>South Puget Sound</v>
      </c>
      <c r="N1613" s="108" t="str">
        <f>VLOOKUP($K1613,LUTs!$E$2:$H$14,4,)</f>
        <v>02South Puget Sound</v>
      </c>
      <c r="O1613" s="108">
        <v>55.155279503105596</v>
      </c>
      <c r="P1613" s="108">
        <v>189.73416149068299</v>
      </c>
      <c r="Q1613" s="108">
        <f>SUMIFS('FW_Salmon_by_Month_2010-2021'!P$2:P$3810,'FW_Salmon_by_Month_2010-2021'!$B$2:$B$3810,'Rec_raw_catch_effort_2010-2021'!$B1613,'FW_Salmon_by_Month_2010-2021'!$H$2:$H$3810,'Rec_raw_catch_effort_2010-2021'!$F1613,'FW_Salmon_by_Month_2010-2021'!$M$2:$M$3810,'Rec_raw_catch_effort_2010-2021'!$K1613)</f>
        <v>55.412969283276503</v>
      </c>
      <c r="R1613" s="109">
        <f>VLOOKUP(B1613,Readme!$A$62:$C$74,2,)*Q1613</f>
        <v>196.10873918193636</v>
      </c>
      <c r="S1613" s="140" t="str">
        <f t="shared" si="141"/>
        <v>Y</v>
      </c>
      <c r="T1613" s="154">
        <f t="shared" si="142"/>
        <v>3.4399999999999955</v>
      </c>
      <c r="U1613" s="154">
        <f t="shared" si="143"/>
        <v>3.5390404397824153</v>
      </c>
    </row>
    <row r="1614" spans="1:21" x14ac:dyDescent="0.35">
      <c r="A1614" s="108">
        <v>439</v>
      </c>
      <c r="B1614" s="108">
        <v>2013</v>
      </c>
      <c r="C1614" s="108" t="s">
        <v>38</v>
      </c>
      <c r="D1614" s="108" t="s">
        <v>143</v>
      </c>
      <c r="E1614" s="108" t="s">
        <v>10</v>
      </c>
      <c r="F1614" s="116">
        <v>778</v>
      </c>
      <c r="G1614" s="108" t="s">
        <v>50</v>
      </c>
      <c r="H1614" s="108" t="str">
        <f t="shared" si="140"/>
        <v>Minter Creek</v>
      </c>
      <c r="I1614" s="108" t="str">
        <f>IFERROR(VLOOKUP(H1614,LUTs!$A$1:$C$73,2,FALSE),"NA")</f>
        <v>Kitsap/Pierce</v>
      </c>
      <c r="J1614" s="108" t="str">
        <f>IFERROR(VLOOKUP(H1614,LUTs!$A$1:$C$73,3,FALSE),"NA")</f>
        <v>3South Puget Sound</v>
      </c>
      <c r="K1614" s="108" t="s">
        <v>26</v>
      </c>
      <c r="L1614" s="108" t="str">
        <f>VLOOKUP(K1614,LUTs!E$2:G$14,3,)</f>
        <v>20Other</v>
      </c>
      <c r="M1614" s="108" t="str">
        <f>VLOOKUP($K1614,LUTs!$E$2:$H$14,2,)</f>
        <v>Non Puget Sound</v>
      </c>
      <c r="N1614" s="108" t="str">
        <f>VLOOKUP($K1614,LUTs!$E$2:$H$14,4,)</f>
        <v>07Non Puget Sound</v>
      </c>
      <c r="O1614" s="108">
        <v>330.93167701863399</v>
      </c>
      <c r="P1614" s="108">
        <v>1138.4049689440999</v>
      </c>
      <c r="Q1614" s="108">
        <f>SUMIFS('FW_Salmon_by_Month_2010-2021'!P$2:P$3810,'FW_Salmon_by_Month_2010-2021'!$B$2:$B$3810,'Rec_raw_catch_effort_2010-2021'!$B1614,'FW_Salmon_by_Month_2010-2021'!$H$2:$H$3810,'Rec_raw_catch_effort_2010-2021'!$F1614,'FW_Salmon_by_Month_2010-2021'!$M$2:$M$3810,'Rec_raw_catch_effort_2010-2021'!$K1614)</f>
        <v>332.48563450201669</v>
      </c>
      <c r="R1614" s="109">
        <f>VLOOKUP(B1614,Readme!$A$62:$C$74,2,)*Q1614</f>
        <v>1176.6801061493525</v>
      </c>
      <c r="S1614" s="140" t="str">
        <f t="shared" si="141"/>
        <v>Y</v>
      </c>
      <c r="T1614" s="154">
        <f t="shared" si="142"/>
        <v>3.4399999999999968</v>
      </c>
      <c r="U1614" s="154">
        <f t="shared" si="143"/>
        <v>3.5390404397824149</v>
      </c>
    </row>
    <row r="1615" spans="1:21" x14ac:dyDescent="0.35">
      <c r="A1615" s="108">
        <v>345</v>
      </c>
      <c r="B1615" s="108">
        <v>2013</v>
      </c>
      <c r="C1615" s="108" t="s">
        <v>38</v>
      </c>
      <c r="D1615" s="108" t="s">
        <v>143</v>
      </c>
      <c r="E1615" s="108" t="s">
        <v>10</v>
      </c>
      <c r="F1615" s="116">
        <v>778</v>
      </c>
      <c r="G1615" s="108" t="s">
        <v>50</v>
      </c>
      <c r="H1615" s="108" t="str">
        <f t="shared" si="140"/>
        <v>Minter Creek</v>
      </c>
      <c r="I1615" s="108" t="str">
        <f>IFERROR(VLOOKUP(H1615,LUTs!$A$1:$C$73,2,FALSE),"NA")</f>
        <v>Kitsap/Pierce</v>
      </c>
      <c r="J1615" s="108" t="str">
        <f>IFERROR(VLOOKUP(H1615,LUTs!$A$1:$C$73,3,FALSE),"NA")</f>
        <v>3South Puget Sound</v>
      </c>
      <c r="K1615" s="108" t="s">
        <v>20</v>
      </c>
      <c r="L1615" s="108" t="str">
        <f>VLOOKUP(K1615,LUTs!E$2:G$14,3,)</f>
        <v>07Pierce</v>
      </c>
      <c r="M1615" s="108" t="str">
        <f>VLOOKUP($K1615,LUTs!$E$2:$H$14,2,)</f>
        <v>South Puget Sound</v>
      </c>
      <c r="N1615" s="108" t="str">
        <f>VLOOKUP($K1615,LUTs!$E$2:$H$14,4,)</f>
        <v>02South Puget Sound</v>
      </c>
      <c r="O1615" s="108">
        <v>2132.6708074534199</v>
      </c>
      <c r="P1615" s="108">
        <v>7336.3875776397599</v>
      </c>
      <c r="Q1615" s="108">
        <f>SUMIFS('FW_Salmon_by_Month_2010-2021'!P$2:P$3810,'FW_Salmon_by_Month_2010-2021'!$B$2:$B$3810,'Rec_raw_catch_effort_2010-2021'!$B1615,'FW_Salmon_by_Month_2010-2021'!$H$2:$H$3810,'Rec_raw_catch_effort_2010-2021'!$F1615,'FW_Salmon_by_Month_2010-2021'!$M$2:$M$3810,'Rec_raw_catch_effort_2010-2021'!$K1615)</f>
        <v>2142.659137449582</v>
      </c>
      <c r="R1615" s="109">
        <f>VLOOKUP(B1615,Readme!$A$62:$C$74,2,)*Q1615</f>
        <v>7582.957336103379</v>
      </c>
      <c r="S1615" s="140" t="str">
        <f t="shared" si="141"/>
        <v>Y</v>
      </c>
      <c r="T1615" s="154">
        <f t="shared" si="142"/>
        <v>3.4399999999999977</v>
      </c>
      <c r="U1615" s="154">
        <f t="shared" si="143"/>
        <v>3.5390404397824153</v>
      </c>
    </row>
    <row r="1616" spans="1:21" x14ac:dyDescent="0.35">
      <c r="A1616" s="108">
        <v>343</v>
      </c>
      <c r="B1616" s="108">
        <v>2013</v>
      </c>
      <c r="C1616" s="108" t="s">
        <v>38</v>
      </c>
      <c r="D1616" s="108" t="s">
        <v>143</v>
      </c>
      <c r="E1616" s="108" t="s">
        <v>10</v>
      </c>
      <c r="F1616" s="116">
        <v>778</v>
      </c>
      <c r="G1616" s="108" t="s">
        <v>50</v>
      </c>
      <c r="H1616" s="108" t="str">
        <f t="shared" si="140"/>
        <v>Minter Creek</v>
      </c>
      <c r="I1616" s="108" t="str">
        <f>IFERROR(VLOOKUP(H1616,LUTs!$A$1:$C$73,2,FALSE),"NA")</f>
        <v>Kitsap/Pierce</v>
      </c>
      <c r="J1616" s="108" t="str">
        <f>IFERROR(VLOOKUP(H1616,LUTs!$A$1:$C$73,3,FALSE),"NA")</f>
        <v>3South Puget Sound</v>
      </c>
      <c r="K1616" s="108" t="s">
        <v>16</v>
      </c>
      <c r="L1616" s="108" t="str">
        <f>VLOOKUP(K1616,LUTs!E$2:G$14,3,)</f>
        <v>03Snohomish</v>
      </c>
      <c r="M1616" s="108" t="str">
        <f>VLOOKUP($K1616,LUTs!$E$2:$H$14,2,)</f>
        <v>North Puget Sound</v>
      </c>
      <c r="N1616" s="108" t="str">
        <f>VLOOKUP($K1616,LUTs!$E$2:$H$14,4,)</f>
        <v>01North Puget Sound</v>
      </c>
      <c r="O1616" s="108">
        <v>239.00621118012401</v>
      </c>
      <c r="P1616" s="108">
        <v>822.18136645962704</v>
      </c>
      <c r="Q1616" s="108">
        <f>SUMIFS('FW_Salmon_by_Month_2010-2021'!P$2:P$3810,'FW_Salmon_by_Month_2010-2021'!$B$2:$B$3810,'Rec_raw_catch_effort_2010-2021'!$B1616,'FW_Salmon_by_Month_2010-2021'!$H$2:$H$3810,'Rec_raw_catch_effort_2010-2021'!$F1616,'FW_Salmon_by_Month_2010-2021'!$M$2:$M$3810,'Rec_raw_catch_effort_2010-2021'!$K1616)</f>
        <v>240.12634191746861</v>
      </c>
      <c r="R1616" s="109">
        <f>VLOOKUP(B1616,Readme!$A$62:$C$74,2,)*Q1616</f>
        <v>849.8168347029407</v>
      </c>
      <c r="S1616" s="140" t="str">
        <f t="shared" si="141"/>
        <v>Y</v>
      </c>
      <c r="T1616" s="154">
        <f t="shared" si="142"/>
        <v>3.4400000000000017</v>
      </c>
      <c r="U1616" s="154">
        <f t="shared" si="143"/>
        <v>3.5390404397824153</v>
      </c>
    </row>
    <row r="1617" spans="1:21" x14ac:dyDescent="0.35">
      <c r="A1617" s="108">
        <v>346</v>
      </c>
      <c r="B1617" s="108">
        <v>2013</v>
      </c>
      <c r="C1617" s="108" t="s">
        <v>38</v>
      </c>
      <c r="D1617" s="108" t="s">
        <v>143</v>
      </c>
      <c r="E1617" s="108" t="s">
        <v>10</v>
      </c>
      <c r="F1617" s="116">
        <v>778</v>
      </c>
      <c r="G1617" s="108" t="s">
        <v>50</v>
      </c>
      <c r="H1617" s="108" t="str">
        <f t="shared" si="140"/>
        <v>Minter Creek</v>
      </c>
      <c r="I1617" s="108" t="str">
        <f>IFERROR(VLOOKUP(H1617,LUTs!$A$1:$C$73,2,FALSE),"NA")</f>
        <v>Kitsap/Pierce</v>
      </c>
      <c r="J1617" s="108" t="str">
        <f>IFERROR(VLOOKUP(H1617,LUTs!$A$1:$C$73,3,FALSE),"NA")</f>
        <v>3South Puget Sound</v>
      </c>
      <c r="K1617" s="108" t="s">
        <v>21</v>
      </c>
      <c r="L1617" s="108" t="str">
        <f>VLOOKUP(K1617,LUTs!E$2:G$14,3,)</f>
        <v>08Thurston</v>
      </c>
      <c r="M1617" s="108" t="str">
        <f>VLOOKUP($K1617,LUTs!$E$2:$H$14,2,)</f>
        <v>South Puget Sound</v>
      </c>
      <c r="N1617" s="108" t="str">
        <f>VLOOKUP($K1617,LUTs!$E$2:$H$14,4,)</f>
        <v>02South Puget Sound</v>
      </c>
      <c r="O1617" s="108">
        <v>193.04347826086999</v>
      </c>
      <c r="P1617" s="108">
        <v>664.06956521739301</v>
      </c>
      <c r="Q1617" s="108">
        <f>SUMIFS('FW_Salmon_by_Month_2010-2021'!P$2:P$3810,'FW_Salmon_by_Month_2010-2021'!$B$2:$B$3810,'Rec_raw_catch_effort_2010-2021'!$B1617,'FW_Salmon_by_Month_2010-2021'!$H$2:$H$3810,'Rec_raw_catch_effort_2010-2021'!$F1617,'FW_Salmon_by_Month_2010-2021'!$M$2:$M$3810,'Rec_raw_catch_effort_2010-2021'!$K1617)</f>
        <v>193.945392491468</v>
      </c>
      <c r="R1617" s="109">
        <f>VLOOKUP(B1617,Readme!$A$62:$C$74,2,)*Q1617</f>
        <v>686.3805871367781</v>
      </c>
      <c r="S1617" s="140" t="str">
        <f t="shared" si="141"/>
        <v>Y</v>
      </c>
      <c r="T1617" s="154">
        <f t="shared" si="142"/>
        <v>3.4400000000000013</v>
      </c>
      <c r="U1617" s="154">
        <f t="shared" si="143"/>
        <v>3.5390404397824158</v>
      </c>
    </row>
    <row r="1618" spans="1:21" x14ac:dyDescent="0.35">
      <c r="A1618" s="108">
        <v>441</v>
      </c>
      <c r="B1618" s="108">
        <v>2014</v>
      </c>
      <c r="C1618" s="108" t="s">
        <v>38</v>
      </c>
      <c r="D1618" s="108" t="s">
        <v>143</v>
      </c>
      <c r="E1618" s="108" t="s">
        <v>10</v>
      </c>
      <c r="F1618" s="116">
        <v>778</v>
      </c>
      <c r="G1618" s="108" t="s">
        <v>50</v>
      </c>
      <c r="H1618" s="108" t="str">
        <f t="shared" si="140"/>
        <v>Minter Creek</v>
      </c>
      <c r="I1618" s="108" t="str">
        <f>IFERROR(VLOOKUP(H1618,LUTs!$A$1:$C$73,2,FALSE),"NA")</f>
        <v>Kitsap/Pierce</v>
      </c>
      <c r="J1618" s="108" t="str">
        <f>IFERROR(VLOOKUP(H1618,LUTs!$A$1:$C$73,3,FALSE),"NA")</f>
        <v>3South Puget Sound</v>
      </c>
      <c r="K1618" s="108" t="s">
        <v>17</v>
      </c>
      <c r="L1618" s="108" t="str">
        <f>VLOOKUP(K1618,LUTs!E$2:G$14,3,)</f>
        <v>04Island</v>
      </c>
      <c r="M1618" s="108" t="str">
        <f>VLOOKUP($K1618,LUTs!$E$2:$H$14,2,)</f>
        <v>North Puget Sound</v>
      </c>
      <c r="N1618" s="108" t="str">
        <f>VLOOKUP($K1618,LUTs!$E$2:$H$14,4,)</f>
        <v>01North Puget Sound</v>
      </c>
      <c r="O1618" s="108">
        <v>48.203252032520297</v>
      </c>
      <c r="P1618" s="108">
        <v>416.95813008130102</v>
      </c>
      <c r="Q1618" s="108">
        <f>SUMIFS('FW_Salmon_by_Month_2010-2021'!P$2:P$3810,'FW_Salmon_by_Month_2010-2021'!$B$2:$B$3810,'Rec_raw_catch_effort_2010-2021'!$B1618,'FW_Salmon_by_Month_2010-2021'!$H$2:$H$3810,'Rec_raw_catch_effort_2010-2021'!$F1618,'FW_Salmon_by_Month_2010-2021'!$M$2:$M$3810,'Rec_raw_catch_effort_2010-2021'!$K1618)</f>
        <v>48.189522342064805</v>
      </c>
      <c r="R1618" s="109">
        <f>VLOOKUP(B1618,Readme!$A$62:$C$74,2,)*Q1618</f>
        <v>232.25204873057146</v>
      </c>
      <c r="S1618" s="140" t="str">
        <f t="shared" si="141"/>
        <v>Y</v>
      </c>
      <c r="T1618" s="154">
        <f t="shared" si="142"/>
        <v>8.6500000000000092</v>
      </c>
      <c r="U1618" s="154">
        <f t="shared" si="143"/>
        <v>4.8195549041132084</v>
      </c>
    </row>
    <row r="1619" spans="1:21" x14ac:dyDescent="0.35">
      <c r="A1619" s="108">
        <v>442</v>
      </c>
      <c r="B1619" s="108">
        <v>2014</v>
      </c>
      <c r="C1619" s="108" t="s">
        <v>38</v>
      </c>
      <c r="D1619" s="108" t="s">
        <v>143</v>
      </c>
      <c r="E1619" s="108" t="s">
        <v>10</v>
      </c>
      <c r="F1619" s="116">
        <v>778</v>
      </c>
      <c r="G1619" s="108" t="s">
        <v>50</v>
      </c>
      <c r="H1619" s="108" t="str">
        <f t="shared" si="140"/>
        <v>Minter Creek</v>
      </c>
      <c r="I1619" s="108" t="str">
        <f>IFERROR(VLOOKUP(H1619,LUTs!$A$1:$C$73,2,FALSE),"NA")</f>
        <v>Kitsap/Pierce</v>
      </c>
      <c r="J1619" s="108" t="str">
        <f>IFERROR(VLOOKUP(H1619,LUTs!$A$1:$C$73,3,FALSE),"NA")</f>
        <v>3South Puget Sound</v>
      </c>
      <c r="K1619" s="108" t="s">
        <v>18</v>
      </c>
      <c r="L1619" s="108" t="str">
        <f>VLOOKUP(K1619,LUTs!E$2:G$14,3,)</f>
        <v>06King</v>
      </c>
      <c r="M1619" s="108" t="str">
        <f>VLOOKUP($K1619,LUTs!$E$2:$H$14,2,)</f>
        <v>South Puget Sound</v>
      </c>
      <c r="N1619" s="108" t="str">
        <f>VLOOKUP($K1619,LUTs!$E$2:$H$14,4,)</f>
        <v>02South Puget Sound</v>
      </c>
      <c r="O1619" s="108">
        <v>991.60975609756099</v>
      </c>
      <c r="P1619" s="108">
        <v>8577.4243902438993</v>
      </c>
      <c r="Q1619" s="108">
        <f>SUMIFS('FW_Salmon_by_Month_2010-2021'!P$2:P$3810,'FW_Salmon_by_Month_2010-2021'!$B$2:$B$3810,'Rec_raw_catch_effort_2010-2021'!$B1619,'FW_Salmon_by_Month_2010-2021'!$H$2:$H$3810,'Rec_raw_catch_effort_2010-2021'!$F1619,'FW_Salmon_by_Month_2010-2021'!$M$2:$M$3810,'Rec_raw_catch_effort_2010-2021'!$K1619)</f>
        <v>991.65986132511591</v>
      </c>
      <c r="R1619" s="109">
        <f>VLOOKUP(B1619,Readme!$A$62:$C$74,2,)*Q1619</f>
        <v>4779.3591478616863</v>
      </c>
      <c r="S1619" s="140" t="str">
        <f t="shared" si="141"/>
        <v>Y</v>
      </c>
      <c r="T1619" s="154">
        <f t="shared" si="142"/>
        <v>8.6499999999999968</v>
      </c>
      <c r="U1619" s="154">
        <f t="shared" si="143"/>
        <v>4.8195549041132084</v>
      </c>
    </row>
    <row r="1620" spans="1:21" x14ac:dyDescent="0.35">
      <c r="A1620" s="108">
        <v>446</v>
      </c>
      <c r="B1620" s="108">
        <v>2014</v>
      </c>
      <c r="C1620" s="108" t="s">
        <v>38</v>
      </c>
      <c r="D1620" s="108" t="s">
        <v>143</v>
      </c>
      <c r="E1620" s="108" t="s">
        <v>10</v>
      </c>
      <c r="F1620" s="116">
        <v>778</v>
      </c>
      <c r="G1620" s="108" t="s">
        <v>50</v>
      </c>
      <c r="H1620" s="108" t="str">
        <f t="shared" si="140"/>
        <v>Minter Creek</v>
      </c>
      <c r="I1620" s="108" t="str">
        <f>IFERROR(VLOOKUP(H1620,LUTs!$A$1:$C$73,2,FALSE),"NA")</f>
        <v>Kitsap/Pierce</v>
      </c>
      <c r="J1620" s="108" t="str">
        <f>IFERROR(VLOOKUP(H1620,LUTs!$A$1:$C$73,3,FALSE),"NA")</f>
        <v>3South Puget Sound</v>
      </c>
      <c r="K1620" s="108" t="s">
        <v>23</v>
      </c>
      <c r="L1620" s="108" t="str">
        <f>VLOOKUP(K1620,LUTs!E$2:G$14,3,)</f>
        <v>10Kitsap</v>
      </c>
      <c r="M1620" s="108" t="str">
        <f>VLOOKUP($K1620,LUTs!$E$2:$H$14,2,)</f>
        <v>South Puget Sound</v>
      </c>
      <c r="N1620" s="108" t="str">
        <f>VLOOKUP($K1620,LUTs!$E$2:$H$14,4,)</f>
        <v>02South Puget Sound</v>
      </c>
      <c r="O1620" s="108">
        <v>309.87804878048797</v>
      </c>
      <c r="P1620" s="108">
        <v>2680.4451219512198</v>
      </c>
      <c r="Q1620" s="108">
        <f>SUMIFS('FW_Salmon_by_Month_2010-2021'!P$2:P$3810,'FW_Salmon_by_Month_2010-2021'!$B$2:$B$3810,'Rec_raw_catch_effort_2010-2021'!$B1620,'FW_Salmon_by_Month_2010-2021'!$H$2:$H$3810,'Rec_raw_catch_effort_2010-2021'!$F1620,'FW_Salmon_by_Month_2010-2021'!$M$2:$M$3810,'Rec_raw_catch_effort_2010-2021'!$K1620)</f>
        <v>309.88636363636402</v>
      </c>
      <c r="R1620" s="109">
        <f>VLOOKUP(B1620,Readme!$A$62:$C$74,2,)*Q1620</f>
        <v>1493.5143435814473</v>
      </c>
      <c r="S1620" s="140" t="str">
        <f t="shared" si="141"/>
        <v>Y</v>
      </c>
      <c r="T1620" s="154">
        <f t="shared" si="142"/>
        <v>8.6499999999999968</v>
      </c>
      <c r="U1620" s="154">
        <f t="shared" si="143"/>
        <v>4.8195549041132084</v>
      </c>
    </row>
    <row r="1621" spans="1:21" x14ac:dyDescent="0.35">
      <c r="A1621" s="108">
        <v>445</v>
      </c>
      <c r="B1621" s="108">
        <v>2014</v>
      </c>
      <c r="C1621" s="108" t="s">
        <v>38</v>
      </c>
      <c r="D1621" s="108" t="s">
        <v>143</v>
      </c>
      <c r="E1621" s="108" t="s">
        <v>10</v>
      </c>
      <c r="F1621" s="116">
        <v>778</v>
      </c>
      <c r="G1621" s="108" t="s">
        <v>50</v>
      </c>
      <c r="H1621" s="108" t="str">
        <f t="shared" si="140"/>
        <v>Minter Creek</v>
      </c>
      <c r="I1621" s="108" t="str">
        <f>IFERROR(VLOOKUP(H1621,LUTs!$A$1:$C$73,2,FALSE),"NA")</f>
        <v>Kitsap/Pierce</v>
      </c>
      <c r="J1621" s="108" t="str">
        <f>IFERROR(VLOOKUP(H1621,LUTs!$A$1:$C$73,3,FALSE),"NA")</f>
        <v>3South Puget Sound</v>
      </c>
      <c r="K1621" s="108" t="s">
        <v>22</v>
      </c>
      <c r="L1621" s="108" t="str">
        <f>VLOOKUP(K1621,LUTs!E$2:G$14,3,)</f>
        <v>09Mason</v>
      </c>
      <c r="M1621" s="108" t="str">
        <f>VLOOKUP($K1621,LUTs!$E$2:$H$14,2,)</f>
        <v>South Puget Sound</v>
      </c>
      <c r="N1621" s="108" t="str">
        <f>VLOOKUP($K1621,LUTs!$E$2:$H$14,4,)</f>
        <v>02South Puget Sound</v>
      </c>
      <c r="O1621" s="108">
        <v>13.772357723577199</v>
      </c>
      <c r="P1621" s="108">
        <v>119.130894308943</v>
      </c>
      <c r="Q1621" s="108">
        <f>SUMIFS('FW_Salmon_by_Month_2010-2021'!P$2:P$3810,'FW_Salmon_by_Month_2010-2021'!$B$2:$B$3810,'Rec_raw_catch_effort_2010-2021'!$B1621,'FW_Salmon_by_Month_2010-2021'!$H$2:$H$3810,'Rec_raw_catch_effort_2010-2021'!$F1621,'FW_Salmon_by_Month_2010-2021'!$M$2:$M$3810,'Rec_raw_catch_effort_2010-2021'!$K1621)</f>
        <v>13.7727272727273</v>
      </c>
      <c r="R1621" s="109">
        <f>VLOOKUP(B1621,Readme!$A$62:$C$74,2,)*Q1621</f>
        <v>66.378415270286595</v>
      </c>
      <c r="S1621" s="140" t="str">
        <f t="shared" si="141"/>
        <v>Y</v>
      </c>
      <c r="T1621" s="154">
        <f t="shared" si="142"/>
        <v>8.6500000000000163</v>
      </c>
      <c r="U1621" s="154">
        <f t="shared" si="143"/>
        <v>4.8195549041132084</v>
      </c>
    </row>
    <row r="1622" spans="1:21" x14ac:dyDescent="0.35">
      <c r="A1622" s="108">
        <v>447</v>
      </c>
      <c r="B1622" s="108">
        <v>2014</v>
      </c>
      <c r="C1622" s="108" t="s">
        <v>38</v>
      </c>
      <c r="D1622" s="108" t="s">
        <v>143</v>
      </c>
      <c r="E1622" s="108" t="s">
        <v>10</v>
      </c>
      <c r="F1622" s="116">
        <v>778</v>
      </c>
      <c r="G1622" s="108" t="s">
        <v>50</v>
      </c>
      <c r="H1622" s="108" t="str">
        <f t="shared" si="140"/>
        <v>Minter Creek</v>
      </c>
      <c r="I1622" s="108" t="str">
        <f>IFERROR(VLOOKUP(H1622,LUTs!$A$1:$C$73,2,FALSE),"NA")</f>
        <v>Kitsap/Pierce</v>
      </c>
      <c r="J1622" s="108" t="str">
        <f>IFERROR(VLOOKUP(H1622,LUTs!$A$1:$C$73,3,FALSE),"NA")</f>
        <v>3South Puget Sound</v>
      </c>
      <c r="K1622" s="108" t="s">
        <v>26</v>
      </c>
      <c r="L1622" s="108" t="str">
        <f>VLOOKUP(K1622,LUTs!E$2:G$14,3,)</f>
        <v>20Other</v>
      </c>
      <c r="M1622" s="108" t="str">
        <f>VLOOKUP($K1622,LUTs!$E$2:$H$14,2,)</f>
        <v>Non Puget Sound</v>
      </c>
      <c r="N1622" s="108" t="str">
        <f>VLOOKUP($K1622,LUTs!$E$2:$H$14,4,)</f>
        <v>07Non Puget Sound</v>
      </c>
      <c r="O1622" s="108">
        <v>55.089430894308997</v>
      </c>
      <c r="P1622" s="108">
        <v>476.52357723577302</v>
      </c>
      <c r="Q1622" s="108">
        <f>SUMIFS('FW_Salmon_by_Month_2010-2021'!P$2:P$3810,'FW_Salmon_by_Month_2010-2021'!$B$2:$B$3810,'Rec_raw_catch_effort_2010-2021'!$B1622,'FW_Salmon_by_Month_2010-2021'!$H$2:$H$3810,'Rec_raw_catch_effort_2010-2021'!$F1622,'FW_Salmon_by_Month_2010-2021'!$M$2:$M$3810,'Rec_raw_catch_effort_2010-2021'!$K1622)</f>
        <v>55.090909090909101</v>
      </c>
      <c r="R1622" s="109">
        <f>VLOOKUP(B1622,Readme!$A$62:$C$74,2,)*Q1622</f>
        <v>265.51366108114587</v>
      </c>
      <c r="S1622" s="140" t="str">
        <f t="shared" si="141"/>
        <v>Y</v>
      </c>
      <c r="T1622" s="154">
        <f t="shared" si="142"/>
        <v>8.6500000000000039</v>
      </c>
      <c r="U1622" s="154">
        <f t="shared" si="143"/>
        <v>4.8195549041132084</v>
      </c>
    </row>
    <row r="1623" spans="1:21" x14ac:dyDescent="0.35">
      <c r="A1623" s="108">
        <v>443</v>
      </c>
      <c r="B1623" s="108">
        <v>2014</v>
      </c>
      <c r="C1623" s="108" t="s">
        <v>38</v>
      </c>
      <c r="D1623" s="108" t="s">
        <v>143</v>
      </c>
      <c r="E1623" s="108" t="s">
        <v>10</v>
      </c>
      <c r="F1623" s="116">
        <v>778</v>
      </c>
      <c r="G1623" s="108" t="s">
        <v>50</v>
      </c>
      <c r="H1623" s="108" t="str">
        <f t="shared" si="140"/>
        <v>Minter Creek</v>
      </c>
      <c r="I1623" s="108" t="str">
        <f>IFERROR(VLOOKUP(H1623,LUTs!$A$1:$C$73,2,FALSE),"NA")</f>
        <v>Kitsap/Pierce</v>
      </c>
      <c r="J1623" s="108" t="str">
        <f>IFERROR(VLOOKUP(H1623,LUTs!$A$1:$C$73,3,FALSE),"NA")</f>
        <v>3South Puget Sound</v>
      </c>
      <c r="K1623" s="108" t="s">
        <v>20</v>
      </c>
      <c r="L1623" s="108" t="str">
        <f>VLOOKUP(K1623,LUTs!E$2:G$14,3,)</f>
        <v>07Pierce</v>
      </c>
      <c r="M1623" s="108" t="str">
        <f>VLOOKUP($K1623,LUTs!$E$2:$H$14,2,)</f>
        <v>South Puget Sound</v>
      </c>
      <c r="N1623" s="108" t="str">
        <f>VLOOKUP($K1623,LUTs!$E$2:$H$14,4,)</f>
        <v>02South Puget Sound</v>
      </c>
      <c r="O1623" s="108">
        <v>943.40650406504096</v>
      </c>
      <c r="P1623" s="108">
        <v>8160.4662601626096</v>
      </c>
      <c r="Q1623" s="108">
        <f>SUMIFS('FW_Salmon_by_Month_2010-2021'!P$2:P$3810,'FW_Salmon_by_Month_2010-2021'!$B$2:$B$3810,'Rec_raw_catch_effort_2010-2021'!$B1623,'FW_Salmon_by_Month_2010-2021'!$H$2:$H$3810,'Rec_raw_catch_effort_2010-2021'!$F1623,'FW_Salmon_by_Month_2010-2021'!$M$2:$M$3810,'Rec_raw_catch_effort_2010-2021'!$K1623)</f>
        <v>943.42526964560807</v>
      </c>
      <c r="R1623" s="109">
        <f>VLOOKUP(B1623,Readme!$A$62:$C$74,2,)*Q1623</f>
        <v>4546.8898849848165</v>
      </c>
      <c r="S1623" s="140" t="str">
        <f t="shared" si="141"/>
        <v>Y</v>
      </c>
      <c r="T1623" s="154">
        <f t="shared" si="142"/>
        <v>8.6500000000000057</v>
      </c>
      <c r="U1623" s="154">
        <f t="shared" si="143"/>
        <v>4.8195549041132084</v>
      </c>
    </row>
    <row r="1624" spans="1:21" x14ac:dyDescent="0.35">
      <c r="A1624" s="108">
        <v>440</v>
      </c>
      <c r="B1624" s="108">
        <v>2014</v>
      </c>
      <c r="C1624" s="108" t="s">
        <v>38</v>
      </c>
      <c r="D1624" s="108" t="s">
        <v>143</v>
      </c>
      <c r="E1624" s="108" t="s">
        <v>10</v>
      </c>
      <c r="F1624" s="116">
        <v>778</v>
      </c>
      <c r="G1624" s="108" t="s">
        <v>50</v>
      </c>
      <c r="H1624" s="108" t="str">
        <f t="shared" si="140"/>
        <v>Minter Creek</v>
      </c>
      <c r="I1624" s="108" t="str">
        <f>IFERROR(VLOOKUP(H1624,LUTs!$A$1:$C$73,2,FALSE),"NA")</f>
        <v>Kitsap/Pierce</v>
      </c>
      <c r="J1624" s="108" t="str">
        <f>IFERROR(VLOOKUP(H1624,LUTs!$A$1:$C$73,3,FALSE),"NA")</f>
        <v>3South Puget Sound</v>
      </c>
      <c r="K1624" s="108" t="s">
        <v>16</v>
      </c>
      <c r="L1624" s="108" t="str">
        <f>VLOOKUP(K1624,LUTs!E$2:G$14,3,)</f>
        <v>03Snohomish</v>
      </c>
      <c r="M1624" s="108" t="str">
        <f>VLOOKUP($K1624,LUTs!$E$2:$H$14,2,)</f>
        <v>North Puget Sound</v>
      </c>
      <c r="N1624" s="108" t="str">
        <f>VLOOKUP($K1624,LUTs!$E$2:$H$14,4,)</f>
        <v>01North Puget Sound</v>
      </c>
      <c r="O1624" s="108">
        <v>130.837398373984</v>
      </c>
      <c r="P1624" s="108">
        <v>1131.74349593496</v>
      </c>
      <c r="Q1624" s="108">
        <f>SUMIFS('FW_Salmon_by_Month_2010-2021'!P$2:P$3810,'FW_Salmon_by_Month_2010-2021'!$B$2:$B$3810,'Rec_raw_catch_effort_2010-2021'!$B1624,'FW_Salmon_by_Month_2010-2021'!$H$2:$H$3810,'Rec_raw_catch_effort_2010-2021'!$F1624,'FW_Salmon_by_Month_2010-2021'!$M$2:$M$3810,'Rec_raw_catch_effort_2010-2021'!$K1624)</f>
        <v>130.77080123266569</v>
      </c>
      <c r="R1624" s="109">
        <f>VLOOKUP(B1624,Readme!$A$62:$C$74,2,)*Q1624</f>
        <v>630.25705639570754</v>
      </c>
      <c r="S1624" s="140" t="str">
        <f t="shared" si="141"/>
        <v>Y</v>
      </c>
      <c r="T1624" s="154">
        <f t="shared" si="142"/>
        <v>8.6499999999999879</v>
      </c>
      <c r="U1624" s="154">
        <f t="shared" si="143"/>
        <v>4.8195549041132084</v>
      </c>
    </row>
    <row r="1625" spans="1:21" x14ac:dyDescent="0.35">
      <c r="A1625" s="108">
        <v>444</v>
      </c>
      <c r="B1625" s="108">
        <v>2014</v>
      </c>
      <c r="C1625" s="108" t="s">
        <v>38</v>
      </c>
      <c r="D1625" s="108" t="s">
        <v>143</v>
      </c>
      <c r="E1625" s="108" t="s">
        <v>10</v>
      </c>
      <c r="F1625" s="116">
        <v>778</v>
      </c>
      <c r="G1625" s="108" t="s">
        <v>50</v>
      </c>
      <c r="H1625" s="108" t="str">
        <f t="shared" si="140"/>
        <v>Minter Creek</v>
      </c>
      <c r="I1625" s="108" t="str">
        <f>IFERROR(VLOOKUP(H1625,LUTs!$A$1:$C$73,2,FALSE),"NA")</f>
        <v>Kitsap/Pierce</v>
      </c>
      <c r="J1625" s="108" t="str">
        <f>IFERROR(VLOOKUP(H1625,LUTs!$A$1:$C$73,3,FALSE),"NA")</f>
        <v>3South Puget Sound</v>
      </c>
      <c r="K1625" s="108" t="s">
        <v>21</v>
      </c>
      <c r="L1625" s="108" t="str">
        <f>VLOOKUP(K1625,LUTs!E$2:G$14,3,)</f>
        <v>08Thurston</v>
      </c>
      <c r="M1625" s="108" t="str">
        <f>VLOOKUP($K1625,LUTs!$E$2:$H$14,2,)</f>
        <v>South Puget Sound</v>
      </c>
      <c r="N1625" s="108" t="str">
        <f>VLOOKUP($K1625,LUTs!$E$2:$H$14,4,)</f>
        <v>02South Puget Sound</v>
      </c>
      <c r="O1625" s="108">
        <v>48.203252032520297</v>
      </c>
      <c r="P1625" s="108">
        <v>416.95813008130102</v>
      </c>
      <c r="Q1625" s="108">
        <f>SUMIFS('FW_Salmon_by_Month_2010-2021'!P$2:P$3810,'FW_Salmon_by_Month_2010-2021'!$B$2:$B$3810,'Rec_raw_catch_effort_2010-2021'!$B1625,'FW_Salmon_by_Month_2010-2021'!$H$2:$H$3810,'Rec_raw_catch_effort_2010-2021'!$F1625,'FW_Salmon_by_Month_2010-2021'!$M$2:$M$3810,'Rec_raw_catch_effort_2010-2021'!$K1625)</f>
        <v>48.204545454545503</v>
      </c>
      <c r="R1625" s="109">
        <f>VLOOKUP(B1625,Readme!$A$62:$C$74,2,)*Q1625</f>
        <v>232.32445344600285</v>
      </c>
      <c r="S1625" s="140" t="str">
        <f t="shared" si="141"/>
        <v>Y</v>
      </c>
      <c r="T1625" s="154">
        <f t="shared" si="142"/>
        <v>8.6500000000000092</v>
      </c>
      <c r="U1625" s="154">
        <f t="shared" si="143"/>
        <v>4.8195549041132084</v>
      </c>
    </row>
    <row r="1626" spans="1:21" x14ac:dyDescent="0.35">
      <c r="A1626" s="108">
        <v>449</v>
      </c>
      <c r="B1626" s="108">
        <v>2015</v>
      </c>
      <c r="C1626" s="108" t="s">
        <v>38</v>
      </c>
      <c r="D1626" s="108" t="s">
        <v>143</v>
      </c>
      <c r="E1626" s="108" t="s">
        <v>10</v>
      </c>
      <c r="F1626" s="116">
        <v>778</v>
      </c>
      <c r="G1626" s="108" t="s">
        <v>50</v>
      </c>
      <c r="H1626" s="108" t="str">
        <f t="shared" si="140"/>
        <v>Minter Creek</v>
      </c>
      <c r="I1626" s="108" t="str">
        <f>IFERROR(VLOOKUP(H1626,LUTs!$A$1:$C$73,2,FALSE),"NA")</f>
        <v>Kitsap/Pierce</v>
      </c>
      <c r="J1626" s="108" t="str">
        <f>IFERROR(VLOOKUP(H1626,LUTs!$A$1:$C$73,3,FALSE),"NA")</f>
        <v>3South Puget Sound</v>
      </c>
      <c r="K1626" s="108" t="s">
        <v>18</v>
      </c>
      <c r="L1626" s="108" t="str">
        <f>VLOOKUP(K1626,LUTs!E$2:G$14,3,)</f>
        <v>06King</v>
      </c>
      <c r="M1626" s="108" t="str">
        <f>VLOOKUP($K1626,LUTs!$E$2:$H$14,2,)</f>
        <v>South Puget Sound</v>
      </c>
      <c r="N1626" s="108" t="str">
        <f>VLOOKUP($K1626,LUTs!$E$2:$H$14,4,)</f>
        <v>02South Puget Sound</v>
      </c>
      <c r="O1626" s="108">
        <v>2276.2358490565998</v>
      </c>
      <c r="P1626" s="108">
        <v>7830.2513207546999</v>
      </c>
      <c r="Q1626" s="108">
        <f>SUMIFS('FW_Salmon_by_Month_2010-2021'!P$2:P$3810,'FW_Salmon_by_Month_2010-2021'!$B$2:$B$3810,'Rec_raw_catch_effort_2010-2021'!$B1626,'FW_Salmon_by_Month_2010-2021'!$H$2:$H$3810,'Rec_raw_catch_effort_2010-2021'!$F1626,'FW_Salmon_by_Month_2010-2021'!$M$2:$M$3810,'Rec_raw_catch_effort_2010-2021'!$K1626)</f>
        <v>2293.4047571054211</v>
      </c>
      <c r="R1626" s="109">
        <f>VLOOKUP(B1626,Readme!$A$62:$C$74,2,)*Q1626</f>
        <v>8116.4521801854535</v>
      </c>
      <c r="S1626" s="140" t="str">
        <f t="shared" si="141"/>
        <v>Y</v>
      </c>
      <c r="T1626" s="154">
        <f t="shared" si="142"/>
        <v>3.4399999999999986</v>
      </c>
      <c r="U1626" s="154">
        <f t="shared" si="143"/>
        <v>3.5390404397824153</v>
      </c>
    </row>
    <row r="1627" spans="1:21" x14ac:dyDescent="0.35">
      <c r="A1627" s="108">
        <v>453</v>
      </c>
      <c r="B1627" s="108">
        <v>2015</v>
      </c>
      <c r="C1627" s="108" t="s">
        <v>38</v>
      </c>
      <c r="D1627" s="108" t="s">
        <v>143</v>
      </c>
      <c r="E1627" s="108" t="s">
        <v>10</v>
      </c>
      <c r="F1627" s="116">
        <v>778</v>
      </c>
      <c r="G1627" s="108" t="s">
        <v>50</v>
      </c>
      <c r="H1627" s="108" t="str">
        <f t="shared" si="140"/>
        <v>Minter Creek</v>
      </c>
      <c r="I1627" s="108" t="str">
        <f>IFERROR(VLOOKUP(H1627,LUTs!$A$1:$C$73,2,FALSE),"NA")</f>
        <v>Kitsap/Pierce</v>
      </c>
      <c r="J1627" s="108" t="str">
        <f>IFERROR(VLOOKUP(H1627,LUTs!$A$1:$C$73,3,FALSE),"NA")</f>
        <v>3South Puget Sound</v>
      </c>
      <c r="K1627" s="108" t="s">
        <v>23</v>
      </c>
      <c r="L1627" s="108" t="str">
        <f>VLOOKUP(K1627,LUTs!E$2:G$14,3,)</f>
        <v>10Kitsap</v>
      </c>
      <c r="M1627" s="108" t="str">
        <f>VLOOKUP($K1627,LUTs!$E$2:$H$14,2,)</f>
        <v>South Puget Sound</v>
      </c>
      <c r="N1627" s="108" t="str">
        <f>VLOOKUP($K1627,LUTs!$E$2:$H$14,4,)</f>
        <v>02South Puget Sound</v>
      </c>
      <c r="O1627" s="108">
        <v>146.264150943396</v>
      </c>
      <c r="P1627" s="108">
        <v>503.14867924528198</v>
      </c>
      <c r="Q1627" s="108">
        <f>SUMIFS('FW_Salmon_by_Month_2010-2021'!P$2:P$3810,'FW_Salmon_by_Month_2010-2021'!$B$2:$B$3810,'Rec_raw_catch_effort_2010-2021'!$B1627,'FW_Salmon_by_Month_2010-2021'!$H$2:$H$3810,'Rec_raw_catch_effort_2010-2021'!$F1627,'FW_Salmon_by_Month_2010-2021'!$M$2:$M$3810,'Rec_raw_catch_effort_2010-2021'!$K1627)</f>
        <v>147.37190082644599</v>
      </c>
      <c r="R1627" s="109">
        <f>VLOOKUP(B1627,Readme!$A$62:$C$74,2,)*Q1627</f>
        <v>521.55511671239594</v>
      </c>
      <c r="S1627" s="140" t="str">
        <f t="shared" si="141"/>
        <v>Y</v>
      </c>
      <c r="T1627" s="154">
        <f t="shared" si="142"/>
        <v>3.4399999999999982</v>
      </c>
      <c r="U1627" s="154">
        <f t="shared" si="143"/>
        <v>3.5390404397824153</v>
      </c>
    </row>
    <row r="1628" spans="1:21" x14ac:dyDescent="0.35">
      <c r="A1628" s="108">
        <v>452</v>
      </c>
      <c r="B1628" s="108">
        <v>2015</v>
      </c>
      <c r="C1628" s="108" t="s">
        <v>38</v>
      </c>
      <c r="D1628" s="108" t="s">
        <v>143</v>
      </c>
      <c r="E1628" s="108" t="s">
        <v>10</v>
      </c>
      <c r="F1628" s="116">
        <v>778</v>
      </c>
      <c r="G1628" s="108" t="s">
        <v>50</v>
      </c>
      <c r="H1628" s="108" t="str">
        <f t="shared" si="140"/>
        <v>Minter Creek</v>
      </c>
      <c r="I1628" s="108" t="str">
        <f>IFERROR(VLOOKUP(H1628,LUTs!$A$1:$C$73,2,FALSE),"NA")</f>
        <v>Kitsap/Pierce</v>
      </c>
      <c r="J1628" s="108" t="str">
        <f>IFERROR(VLOOKUP(H1628,LUTs!$A$1:$C$73,3,FALSE),"NA")</f>
        <v>3South Puget Sound</v>
      </c>
      <c r="K1628" s="108" t="s">
        <v>22</v>
      </c>
      <c r="L1628" s="108" t="str">
        <f>VLOOKUP(K1628,LUTs!E$2:G$14,3,)</f>
        <v>09Mason</v>
      </c>
      <c r="M1628" s="108" t="str">
        <f>VLOOKUP($K1628,LUTs!$E$2:$H$14,2,)</f>
        <v>South Puget Sound</v>
      </c>
      <c r="N1628" s="108" t="str">
        <f>VLOOKUP($K1628,LUTs!$E$2:$H$14,4,)</f>
        <v>02South Puget Sound</v>
      </c>
      <c r="O1628" s="108">
        <v>36.5660377358491</v>
      </c>
      <c r="P1628" s="108">
        <v>125.78716981132099</v>
      </c>
      <c r="Q1628" s="108">
        <f>SUMIFS('FW_Salmon_by_Month_2010-2021'!P$2:P$3810,'FW_Salmon_by_Month_2010-2021'!$B$2:$B$3810,'Rec_raw_catch_effort_2010-2021'!$B1628,'FW_Salmon_by_Month_2010-2021'!$H$2:$H$3810,'Rec_raw_catch_effort_2010-2021'!$F1628,'FW_Salmon_by_Month_2010-2021'!$M$2:$M$3810,'Rec_raw_catch_effort_2010-2021'!$K1628)</f>
        <v>36.842975206611598</v>
      </c>
      <c r="R1628" s="109">
        <f>VLOOKUP(B1628,Readme!$A$62:$C$74,2,)*Q1628</f>
        <v>130.38877917809933</v>
      </c>
      <c r="S1628" s="140" t="str">
        <f t="shared" si="141"/>
        <v>Y</v>
      </c>
      <c r="T1628" s="154">
        <f t="shared" si="142"/>
        <v>3.4400000000000026</v>
      </c>
      <c r="U1628" s="154">
        <f t="shared" si="143"/>
        <v>3.5390404397824153</v>
      </c>
    </row>
    <row r="1629" spans="1:21" x14ac:dyDescent="0.35">
      <c r="A1629" s="108">
        <v>454</v>
      </c>
      <c r="B1629" s="108">
        <v>2015</v>
      </c>
      <c r="C1629" s="108" t="s">
        <v>38</v>
      </c>
      <c r="D1629" s="108" t="s">
        <v>143</v>
      </c>
      <c r="E1629" s="108" t="s">
        <v>10</v>
      </c>
      <c r="F1629" s="116">
        <v>778</v>
      </c>
      <c r="G1629" s="108" t="s">
        <v>50</v>
      </c>
      <c r="H1629" s="108" t="str">
        <f t="shared" si="140"/>
        <v>Minter Creek</v>
      </c>
      <c r="I1629" s="108" t="str">
        <f>IFERROR(VLOOKUP(H1629,LUTs!$A$1:$C$73,2,FALSE),"NA")</f>
        <v>Kitsap/Pierce</v>
      </c>
      <c r="J1629" s="108" t="str">
        <f>IFERROR(VLOOKUP(H1629,LUTs!$A$1:$C$73,3,FALSE),"NA")</f>
        <v>3South Puget Sound</v>
      </c>
      <c r="K1629" s="108" t="s">
        <v>26</v>
      </c>
      <c r="L1629" s="108" t="str">
        <f>VLOOKUP(K1629,LUTs!E$2:G$14,3,)</f>
        <v>20Other</v>
      </c>
      <c r="M1629" s="108" t="str">
        <f>VLOOKUP($K1629,LUTs!$E$2:$H$14,2,)</f>
        <v>Non Puget Sound</v>
      </c>
      <c r="N1629" s="108" t="str">
        <f>VLOOKUP($K1629,LUTs!$E$2:$H$14,4,)</f>
        <v>07Non Puget Sound</v>
      </c>
      <c r="O1629" s="108">
        <v>228.53773584905699</v>
      </c>
      <c r="P1629" s="108">
        <v>786.16981132075603</v>
      </c>
      <c r="Q1629" s="108">
        <f>SUMIFS('FW_Salmon_by_Month_2010-2021'!P$2:P$3810,'FW_Salmon_by_Month_2010-2021'!$B$2:$B$3810,'Rec_raw_catch_effort_2010-2021'!$B1629,'FW_Salmon_by_Month_2010-2021'!$H$2:$H$3810,'Rec_raw_catch_effort_2010-2021'!$F1629,'FW_Salmon_by_Month_2010-2021'!$M$2:$M$3810,'Rec_raw_catch_effort_2010-2021'!$K1629)</f>
        <v>230.37381576295098</v>
      </c>
      <c r="R1629" s="109">
        <f>VLOOKUP(B1629,Readme!$A$62:$C$74,2,)*Q1629</f>
        <v>815.30225025206721</v>
      </c>
      <c r="S1629" s="140" t="str">
        <f t="shared" si="141"/>
        <v>Y</v>
      </c>
      <c r="T1629" s="154">
        <f t="shared" si="142"/>
        <v>3.44</v>
      </c>
      <c r="U1629" s="154">
        <f t="shared" si="143"/>
        <v>3.5390404397824153</v>
      </c>
    </row>
    <row r="1630" spans="1:21" x14ac:dyDescent="0.35">
      <c r="A1630" s="108">
        <v>450</v>
      </c>
      <c r="B1630" s="108">
        <v>2015</v>
      </c>
      <c r="C1630" s="108" t="s">
        <v>38</v>
      </c>
      <c r="D1630" s="108" t="s">
        <v>143</v>
      </c>
      <c r="E1630" s="108" t="s">
        <v>10</v>
      </c>
      <c r="F1630" s="116">
        <v>778</v>
      </c>
      <c r="G1630" s="108" t="s">
        <v>50</v>
      </c>
      <c r="H1630" s="108" t="str">
        <f t="shared" si="140"/>
        <v>Minter Creek</v>
      </c>
      <c r="I1630" s="108" t="str">
        <f>IFERROR(VLOOKUP(H1630,LUTs!$A$1:$C$73,2,FALSE),"NA")</f>
        <v>Kitsap/Pierce</v>
      </c>
      <c r="J1630" s="108" t="str">
        <f>IFERROR(VLOOKUP(H1630,LUTs!$A$1:$C$73,3,FALSE),"NA")</f>
        <v>3South Puget Sound</v>
      </c>
      <c r="K1630" s="108" t="s">
        <v>20</v>
      </c>
      <c r="L1630" s="108" t="str">
        <f>VLOOKUP(K1630,LUTs!E$2:G$14,3,)</f>
        <v>07Pierce</v>
      </c>
      <c r="M1630" s="108" t="str">
        <f>VLOOKUP($K1630,LUTs!$E$2:$H$14,2,)</f>
        <v>South Puget Sound</v>
      </c>
      <c r="N1630" s="108" t="str">
        <f>VLOOKUP($K1630,LUTs!$E$2:$H$14,4,)</f>
        <v>02South Puget Sound</v>
      </c>
      <c r="O1630" s="108">
        <v>2011.1320754717001</v>
      </c>
      <c r="P1630" s="108">
        <v>6918.2943396226501</v>
      </c>
      <c r="Q1630" s="108">
        <f>SUMIFS('FW_Salmon_by_Month_2010-2021'!P$2:P$3810,'FW_Salmon_by_Month_2010-2021'!$B$2:$B$3810,'Rec_raw_catch_effort_2010-2021'!$B1630,'FW_Salmon_by_Month_2010-2021'!$H$2:$H$3810,'Rec_raw_catch_effort_2010-2021'!$F1630,'FW_Salmon_by_Month_2010-2021'!$M$2:$M$3810,'Rec_raw_catch_effort_2010-2021'!$K1630)</f>
        <v>1989.625881878653</v>
      </c>
      <c r="R1630" s="109">
        <f>VLOOKUP(B1630,Readme!$A$62:$C$74,2,)*Q1630</f>
        <v>7041.3664560063044</v>
      </c>
      <c r="S1630" s="140" t="str">
        <f t="shared" si="141"/>
        <v>Y</v>
      </c>
      <c r="T1630" s="154">
        <f t="shared" si="142"/>
        <v>3.4400000000000008</v>
      </c>
      <c r="U1630" s="154">
        <f t="shared" si="143"/>
        <v>3.5390404397824153</v>
      </c>
    </row>
    <row r="1631" spans="1:21" x14ac:dyDescent="0.35">
      <c r="A1631" s="108">
        <v>448</v>
      </c>
      <c r="B1631" s="108">
        <v>2015</v>
      </c>
      <c r="C1631" s="108" t="s">
        <v>38</v>
      </c>
      <c r="D1631" s="108" t="s">
        <v>143</v>
      </c>
      <c r="E1631" s="108" t="s">
        <v>10</v>
      </c>
      <c r="F1631" s="116">
        <v>778</v>
      </c>
      <c r="G1631" s="108" t="s">
        <v>50</v>
      </c>
      <c r="H1631" s="108" t="str">
        <f t="shared" si="140"/>
        <v>Minter Creek</v>
      </c>
      <c r="I1631" s="108" t="str">
        <f>IFERROR(VLOOKUP(H1631,LUTs!$A$1:$C$73,2,FALSE),"NA")</f>
        <v>Kitsap/Pierce</v>
      </c>
      <c r="J1631" s="108" t="str">
        <f>IFERROR(VLOOKUP(H1631,LUTs!$A$1:$C$73,3,FALSE),"NA")</f>
        <v>3South Puget Sound</v>
      </c>
      <c r="K1631" s="108" t="s">
        <v>16</v>
      </c>
      <c r="L1631" s="108" t="str">
        <f>VLOOKUP(K1631,LUTs!E$2:G$14,3,)</f>
        <v>03Snohomish</v>
      </c>
      <c r="M1631" s="108" t="str">
        <f>VLOOKUP($K1631,LUTs!$E$2:$H$14,2,)</f>
        <v>North Puget Sound</v>
      </c>
      <c r="N1631" s="108" t="str">
        <f>VLOOKUP($K1631,LUTs!$E$2:$H$14,4,)</f>
        <v>01North Puget Sound</v>
      </c>
      <c r="O1631" s="108">
        <v>118.839622641509</v>
      </c>
      <c r="P1631" s="108">
        <v>408.80830188679101</v>
      </c>
      <c r="Q1631" s="108">
        <f>SUMIFS('FW_Salmon_by_Month_2010-2021'!P$2:P$3810,'FW_Salmon_by_Month_2010-2021'!$B$2:$B$3810,'Rec_raw_catch_effort_2010-2021'!$B1631,'FW_Salmon_by_Month_2010-2021'!$H$2:$H$3810,'Rec_raw_catch_effort_2010-2021'!$F1631,'FW_Salmon_by_Month_2010-2021'!$M$2:$M$3810,'Rec_raw_catch_effort_2010-2021'!$K1631)</f>
        <v>119.74843781495694</v>
      </c>
      <c r="R1631" s="109">
        <f>VLOOKUP(B1631,Readme!$A$62:$C$74,2,)*Q1631</f>
        <v>423.79456402790242</v>
      </c>
      <c r="S1631" s="140" t="str">
        <f t="shared" si="141"/>
        <v>Y</v>
      </c>
      <c r="T1631" s="154">
        <f t="shared" si="142"/>
        <v>3.4400000000000004</v>
      </c>
      <c r="U1631" s="154">
        <f t="shared" si="143"/>
        <v>3.5390404397824153</v>
      </c>
    </row>
    <row r="1632" spans="1:21" x14ac:dyDescent="0.35">
      <c r="A1632" s="108">
        <v>451</v>
      </c>
      <c r="B1632" s="108">
        <v>2015</v>
      </c>
      <c r="C1632" s="108" t="s">
        <v>38</v>
      </c>
      <c r="D1632" s="108" t="s">
        <v>143</v>
      </c>
      <c r="E1632" s="108" t="s">
        <v>10</v>
      </c>
      <c r="F1632" s="116">
        <v>778</v>
      </c>
      <c r="G1632" s="108" t="s">
        <v>50</v>
      </c>
      <c r="H1632" s="108" t="str">
        <f t="shared" si="140"/>
        <v>Minter Creek</v>
      </c>
      <c r="I1632" s="108" t="str">
        <f>IFERROR(VLOOKUP(H1632,LUTs!$A$1:$C$73,2,FALSE),"NA")</f>
        <v>Kitsap/Pierce</v>
      </c>
      <c r="J1632" s="108" t="str">
        <f>IFERROR(VLOOKUP(H1632,LUTs!$A$1:$C$73,3,FALSE),"NA")</f>
        <v>3South Puget Sound</v>
      </c>
      <c r="K1632" s="108" t="s">
        <v>21</v>
      </c>
      <c r="L1632" s="108" t="str">
        <f>VLOOKUP(K1632,LUTs!E$2:G$14,3,)</f>
        <v>08Thurston</v>
      </c>
      <c r="M1632" s="108" t="str">
        <f>VLOOKUP($K1632,LUTs!$E$2:$H$14,2,)</f>
        <v>South Puget Sound</v>
      </c>
      <c r="N1632" s="108" t="str">
        <f>VLOOKUP($K1632,LUTs!$E$2:$H$14,4,)</f>
        <v>02South Puget Sound</v>
      </c>
      <c r="O1632" s="108">
        <v>27.424528301886799</v>
      </c>
      <c r="P1632" s="108">
        <v>94.340377358490599</v>
      </c>
      <c r="Q1632" s="108">
        <f>SUMIFS('FW_Salmon_by_Month_2010-2021'!P$2:P$3810,'FW_Salmon_by_Month_2010-2021'!$B$2:$B$3810,'Rec_raw_catch_effort_2010-2021'!$B1632,'FW_Salmon_by_Month_2010-2021'!$H$2:$H$3810,'Rec_raw_catch_effort_2010-2021'!$F1632,'FW_Salmon_by_Month_2010-2021'!$M$2:$M$3810,'Rec_raw_catch_effort_2010-2021'!$K1632)</f>
        <v>27.632231404958699</v>
      </c>
      <c r="R1632" s="109">
        <f>VLOOKUP(B1632,Readme!$A$62:$C$74,2,)*Q1632</f>
        <v>97.791584383574502</v>
      </c>
      <c r="S1632" s="140" t="str">
        <f t="shared" si="141"/>
        <v>Y</v>
      </c>
      <c r="T1632" s="154">
        <f t="shared" si="142"/>
        <v>3.4400000000000004</v>
      </c>
      <c r="U1632" s="154">
        <f t="shared" si="143"/>
        <v>3.5390404397824153</v>
      </c>
    </row>
    <row r="1633" spans="1:21" x14ac:dyDescent="0.35">
      <c r="A1633" s="108">
        <v>457</v>
      </c>
      <c r="B1633" s="108">
        <v>2016</v>
      </c>
      <c r="C1633" s="108" t="s">
        <v>38</v>
      </c>
      <c r="D1633" s="108" t="s">
        <v>143</v>
      </c>
      <c r="E1633" s="108" t="s">
        <v>10</v>
      </c>
      <c r="F1633" s="116">
        <v>778</v>
      </c>
      <c r="G1633" s="108" t="s">
        <v>50</v>
      </c>
      <c r="H1633" s="108" t="str">
        <f t="shared" si="140"/>
        <v>Minter Creek</v>
      </c>
      <c r="I1633" s="108" t="str">
        <f>IFERROR(VLOOKUP(H1633,LUTs!$A$1:$C$73,2,FALSE),"NA")</f>
        <v>Kitsap/Pierce</v>
      </c>
      <c r="J1633" s="108" t="str">
        <f>IFERROR(VLOOKUP(H1633,LUTs!$A$1:$C$73,3,FALSE),"NA")</f>
        <v>3South Puget Sound</v>
      </c>
      <c r="K1633" s="108" t="s">
        <v>18</v>
      </c>
      <c r="L1633" s="108" t="str">
        <f>VLOOKUP(K1633,LUTs!E$2:G$14,3,)</f>
        <v>06King</v>
      </c>
      <c r="M1633" s="108" t="str">
        <f>VLOOKUP($K1633,LUTs!$E$2:$H$14,2,)</f>
        <v>South Puget Sound</v>
      </c>
      <c r="N1633" s="108" t="str">
        <f>VLOOKUP($K1633,LUTs!$E$2:$H$14,4,)</f>
        <v>02South Puget Sound</v>
      </c>
      <c r="O1633" s="108">
        <v>2118.6104553119699</v>
      </c>
      <c r="P1633" s="108">
        <v>18325.9804384485</v>
      </c>
      <c r="Q1633" s="108">
        <f>SUMIFS('FW_Salmon_by_Month_2010-2021'!P$2:P$3810,'FW_Salmon_by_Month_2010-2021'!$B$2:$B$3810,'Rec_raw_catch_effort_2010-2021'!$B1633,'FW_Salmon_by_Month_2010-2021'!$H$2:$H$3810,'Rec_raw_catch_effort_2010-2021'!$F1633,'FW_Salmon_by_Month_2010-2021'!$M$2:$M$3810,'Rec_raw_catch_effort_2010-2021'!$K1633)</f>
        <v>2230.3835011147921</v>
      </c>
      <c r="R1633" s="109">
        <f>VLOOKUP(B1633,Readme!$A$62:$C$74,2,)*Q1633</f>
        <v>10749.455740850985</v>
      </c>
      <c r="S1633" s="140" t="str">
        <f t="shared" si="141"/>
        <v>Y</v>
      </c>
      <c r="T1633" s="154">
        <f t="shared" si="142"/>
        <v>8.6499999999999808</v>
      </c>
      <c r="U1633" s="154">
        <f t="shared" si="143"/>
        <v>4.8195549041132084</v>
      </c>
    </row>
    <row r="1634" spans="1:21" x14ac:dyDescent="0.35">
      <c r="A1634" s="108">
        <v>461</v>
      </c>
      <c r="B1634" s="108">
        <v>2016</v>
      </c>
      <c r="C1634" s="108" t="s">
        <v>38</v>
      </c>
      <c r="D1634" s="108" t="s">
        <v>143</v>
      </c>
      <c r="E1634" s="108" t="s">
        <v>10</v>
      </c>
      <c r="F1634" s="116">
        <v>778</v>
      </c>
      <c r="G1634" s="108" t="s">
        <v>50</v>
      </c>
      <c r="H1634" s="108" t="str">
        <f t="shared" si="140"/>
        <v>Minter Creek</v>
      </c>
      <c r="I1634" s="108" t="str">
        <f>IFERROR(VLOOKUP(H1634,LUTs!$A$1:$C$73,2,FALSE),"NA")</f>
        <v>Kitsap/Pierce</v>
      </c>
      <c r="J1634" s="108" t="str">
        <f>IFERROR(VLOOKUP(H1634,LUTs!$A$1:$C$73,3,FALSE),"NA")</f>
        <v>3South Puget Sound</v>
      </c>
      <c r="K1634" s="108" t="s">
        <v>23</v>
      </c>
      <c r="L1634" s="108" t="str">
        <f>VLOOKUP(K1634,LUTs!E$2:G$14,3,)</f>
        <v>10Kitsap</v>
      </c>
      <c r="M1634" s="108" t="str">
        <f>VLOOKUP($K1634,LUTs!$E$2:$H$14,2,)</f>
        <v>South Puget Sound</v>
      </c>
      <c r="N1634" s="108" t="str">
        <f>VLOOKUP($K1634,LUTs!$E$2:$H$14,4,)</f>
        <v>02South Puget Sound</v>
      </c>
      <c r="O1634" s="108">
        <v>318.24620573355799</v>
      </c>
      <c r="P1634" s="108">
        <v>2752.8296795952801</v>
      </c>
      <c r="Q1634" s="108">
        <f>SUMIFS('FW_Salmon_by_Month_2010-2021'!P$2:P$3810,'FW_Salmon_by_Month_2010-2021'!$B$2:$B$3810,'Rec_raw_catch_effort_2010-2021'!$B1634,'FW_Salmon_by_Month_2010-2021'!$H$2:$H$3810,'Rec_raw_catch_effort_2010-2021'!$F1634,'FW_Salmon_by_Month_2010-2021'!$M$2:$M$3810,'Rec_raw_catch_effort_2010-2021'!$K1634)</f>
        <v>170.36078643334918</v>
      </c>
      <c r="R1634" s="109">
        <f>VLOOKUP(B1634,Readme!$A$62:$C$74,2,)*Q1634</f>
        <v>821.06316372343099</v>
      </c>
      <c r="S1634" s="140" t="str">
        <f t="shared" si="141"/>
        <v>Y</v>
      </c>
      <c r="T1634" s="154">
        <f t="shared" si="142"/>
        <v>8.650000000000011</v>
      </c>
      <c r="U1634" s="154">
        <f t="shared" si="143"/>
        <v>4.8195549041132084</v>
      </c>
    </row>
    <row r="1635" spans="1:21" x14ac:dyDescent="0.35">
      <c r="A1635" s="108">
        <v>460</v>
      </c>
      <c r="B1635" s="108">
        <v>2016</v>
      </c>
      <c r="C1635" s="108" t="s">
        <v>38</v>
      </c>
      <c r="D1635" s="108" t="s">
        <v>143</v>
      </c>
      <c r="E1635" s="108" t="s">
        <v>10</v>
      </c>
      <c r="F1635" s="116">
        <v>778</v>
      </c>
      <c r="G1635" s="108" t="s">
        <v>50</v>
      </c>
      <c r="H1635" s="108" t="str">
        <f t="shared" si="140"/>
        <v>Minter Creek</v>
      </c>
      <c r="I1635" s="108" t="str">
        <f>IFERROR(VLOOKUP(H1635,LUTs!$A$1:$C$73,2,FALSE),"NA")</f>
        <v>Kitsap/Pierce</v>
      </c>
      <c r="J1635" s="108" t="str">
        <f>IFERROR(VLOOKUP(H1635,LUTs!$A$1:$C$73,3,FALSE),"NA")</f>
        <v>3South Puget Sound</v>
      </c>
      <c r="K1635" s="108" t="s">
        <v>22</v>
      </c>
      <c r="L1635" s="108" t="str">
        <f>VLOOKUP(K1635,LUTs!E$2:G$14,3,)</f>
        <v>09Mason</v>
      </c>
      <c r="M1635" s="108" t="str">
        <f>VLOOKUP($K1635,LUTs!$E$2:$H$14,2,)</f>
        <v>South Puget Sound</v>
      </c>
      <c r="N1635" s="108" t="str">
        <f>VLOOKUP($K1635,LUTs!$E$2:$H$14,4,)</f>
        <v>02South Puget Sound</v>
      </c>
      <c r="O1635" s="108">
        <v>54.556492411467097</v>
      </c>
      <c r="P1635" s="108">
        <v>471.91365935918998</v>
      </c>
      <c r="Q1635" s="108">
        <f>SUMIFS('FW_Salmon_by_Month_2010-2021'!P$2:P$3810,'FW_Salmon_by_Month_2010-2021'!$B$2:$B$3810,'Rec_raw_catch_effort_2010-2021'!$B1635,'FW_Salmon_by_Month_2010-2021'!$H$2:$H$3810,'Rec_raw_catch_effort_2010-2021'!$F1635,'FW_Salmon_by_Month_2010-2021'!$M$2:$M$3810,'Rec_raw_catch_effort_2010-2021'!$K1635)</f>
        <v>0</v>
      </c>
      <c r="R1635" s="109">
        <f>VLOOKUP(B1635,Readme!$A$62:$C$74,2,)*Q1635</f>
        <v>0</v>
      </c>
      <c r="S1635" s="140" t="str">
        <f t="shared" si="141"/>
        <v>Y</v>
      </c>
      <c r="T1635" s="154">
        <f t="shared" si="142"/>
        <v>8.6499999999999932</v>
      </c>
      <c r="U1635" s="154" t="str">
        <f t="shared" si="143"/>
        <v>NA</v>
      </c>
    </row>
    <row r="1636" spans="1:21" x14ac:dyDescent="0.35">
      <c r="A1636" s="108">
        <v>542</v>
      </c>
      <c r="B1636" s="108">
        <v>2016</v>
      </c>
      <c r="C1636" s="108" t="s">
        <v>38</v>
      </c>
      <c r="D1636" s="108" t="s">
        <v>143</v>
      </c>
      <c r="E1636" s="108" t="s">
        <v>10</v>
      </c>
      <c r="F1636" s="116">
        <v>778</v>
      </c>
      <c r="G1636" s="108" t="s">
        <v>50</v>
      </c>
      <c r="H1636" s="108" t="str">
        <f t="shared" si="140"/>
        <v>Minter Creek</v>
      </c>
      <c r="I1636" s="108" t="str">
        <f>IFERROR(VLOOKUP(H1636,LUTs!$A$1:$C$73,2,FALSE),"NA")</f>
        <v>Kitsap/Pierce</v>
      </c>
      <c r="J1636" s="108" t="str">
        <f>IFERROR(VLOOKUP(H1636,LUTs!$A$1:$C$73,3,FALSE),"NA")</f>
        <v>3South Puget Sound</v>
      </c>
      <c r="K1636" s="108" t="s">
        <v>26</v>
      </c>
      <c r="L1636" s="108" t="str">
        <f>VLOOKUP(K1636,LUTs!E$2:G$14,3,)</f>
        <v>20Other</v>
      </c>
      <c r="M1636" s="108" t="str">
        <f>VLOOKUP($K1636,LUTs!$E$2:$H$14,2,)</f>
        <v>Non Puget Sound</v>
      </c>
      <c r="N1636" s="108" t="str">
        <f>VLOOKUP($K1636,LUTs!$E$2:$H$14,4,)</f>
        <v>07Non Puget Sound</v>
      </c>
      <c r="O1636" s="108">
        <v>518.28667790893803</v>
      </c>
      <c r="P1636" s="108">
        <v>4483.1797639123097</v>
      </c>
      <c r="Q1636" s="108">
        <f>SUMIFS('FW_Salmon_by_Month_2010-2021'!P$2:P$3810,'FW_Salmon_by_Month_2010-2021'!$B$2:$B$3810,'Rec_raw_catch_effort_2010-2021'!$B1636,'FW_Salmon_by_Month_2010-2021'!$H$2:$H$3810,'Rec_raw_catch_effort_2010-2021'!$F1636,'FW_Salmon_by_Month_2010-2021'!$M$2:$M$3810,'Rec_raw_catch_effort_2010-2021'!$K1636)</f>
        <v>546.10379028444004</v>
      </c>
      <c r="R1636" s="109">
        <f>VLOOKUP(B1636,Readme!$A$62:$C$74,2,)*Q1636</f>
        <v>2631.9772006201842</v>
      </c>
      <c r="S1636" s="140" t="str">
        <f t="shared" si="141"/>
        <v>Y</v>
      </c>
      <c r="T1636" s="154">
        <f t="shared" si="142"/>
        <v>8.6499999999999915</v>
      </c>
      <c r="U1636" s="154">
        <f t="shared" si="143"/>
        <v>4.8195549041132084</v>
      </c>
    </row>
    <row r="1637" spans="1:21" x14ac:dyDescent="0.35">
      <c r="A1637" s="108">
        <v>458</v>
      </c>
      <c r="B1637" s="108">
        <v>2016</v>
      </c>
      <c r="C1637" s="108" t="s">
        <v>38</v>
      </c>
      <c r="D1637" s="108" t="s">
        <v>143</v>
      </c>
      <c r="E1637" s="108" t="s">
        <v>10</v>
      </c>
      <c r="F1637" s="116">
        <v>778</v>
      </c>
      <c r="G1637" s="108" t="s">
        <v>50</v>
      </c>
      <c r="H1637" s="108" t="str">
        <f t="shared" si="140"/>
        <v>Minter Creek</v>
      </c>
      <c r="I1637" s="108" t="str">
        <f>IFERROR(VLOOKUP(H1637,LUTs!$A$1:$C$73,2,FALSE),"NA")</f>
        <v>Kitsap/Pierce</v>
      </c>
      <c r="J1637" s="108" t="str">
        <f>IFERROR(VLOOKUP(H1637,LUTs!$A$1:$C$73,3,FALSE),"NA")</f>
        <v>3South Puget Sound</v>
      </c>
      <c r="K1637" s="108" t="s">
        <v>20</v>
      </c>
      <c r="L1637" s="108" t="str">
        <f>VLOOKUP(K1637,LUTs!E$2:G$14,3,)</f>
        <v>07Pierce</v>
      </c>
      <c r="M1637" s="108" t="str">
        <f>VLOOKUP($K1637,LUTs!$E$2:$H$14,2,)</f>
        <v>South Puget Sound</v>
      </c>
      <c r="N1637" s="108" t="str">
        <f>VLOOKUP($K1637,LUTs!$E$2:$H$14,4,)</f>
        <v>02South Puget Sound</v>
      </c>
      <c r="O1637" s="108">
        <v>2218.63069139966</v>
      </c>
      <c r="P1637" s="108">
        <v>19191.1554806071</v>
      </c>
      <c r="Q1637" s="108">
        <f>SUMIFS('FW_Salmon_by_Month_2010-2021'!P$2:P$3810,'FW_Salmon_by_Month_2010-2021'!$B$2:$B$3810,'Rec_raw_catch_effort_2010-2021'!$B1637,'FW_Salmon_by_Month_2010-2021'!$H$2:$H$3810,'Rec_raw_catch_effort_2010-2021'!$F1637,'FW_Salmon_by_Month_2010-2021'!$M$2:$M$3810,'Rec_raw_catch_effort_2010-2021'!$K1637)</f>
        <v>2283.4716708330598</v>
      </c>
      <c r="R1637" s="109">
        <f>VLOOKUP(B1637,Readme!$A$62:$C$74,2,)*Q1637</f>
        <v>11005.317089567056</v>
      </c>
      <c r="S1637" s="140" t="str">
        <f t="shared" si="141"/>
        <v>Y</v>
      </c>
      <c r="T1637" s="154">
        <f t="shared" si="142"/>
        <v>8.6500000000000181</v>
      </c>
      <c r="U1637" s="154">
        <f t="shared" si="143"/>
        <v>4.8195549041132084</v>
      </c>
    </row>
    <row r="1638" spans="1:21" x14ac:dyDescent="0.35">
      <c r="A1638" s="108">
        <v>456</v>
      </c>
      <c r="B1638" s="108">
        <v>2016</v>
      </c>
      <c r="C1638" s="108" t="s">
        <v>38</v>
      </c>
      <c r="D1638" s="108" t="s">
        <v>143</v>
      </c>
      <c r="E1638" s="108" t="s">
        <v>10</v>
      </c>
      <c r="F1638" s="116">
        <v>778</v>
      </c>
      <c r="G1638" s="108" t="s">
        <v>50</v>
      </c>
      <c r="H1638" s="108" t="str">
        <f t="shared" si="140"/>
        <v>Minter Creek</v>
      </c>
      <c r="I1638" s="108" t="str">
        <f>IFERROR(VLOOKUP(H1638,LUTs!$A$1:$C$73,2,FALSE),"NA")</f>
        <v>Kitsap/Pierce</v>
      </c>
      <c r="J1638" s="108" t="str">
        <f>IFERROR(VLOOKUP(H1638,LUTs!$A$1:$C$73,3,FALSE),"NA")</f>
        <v>3South Puget Sound</v>
      </c>
      <c r="K1638" s="108" t="s">
        <v>16</v>
      </c>
      <c r="L1638" s="108" t="str">
        <f>VLOOKUP(K1638,LUTs!E$2:G$14,3,)</f>
        <v>03Snohomish</v>
      </c>
      <c r="M1638" s="108" t="str">
        <f>VLOOKUP($K1638,LUTs!$E$2:$H$14,2,)</f>
        <v>North Puget Sound</v>
      </c>
      <c r="N1638" s="108" t="str">
        <f>VLOOKUP($K1638,LUTs!$E$2:$H$14,4,)</f>
        <v>01North Puget Sound</v>
      </c>
      <c r="O1638" s="108">
        <v>109.112984822934</v>
      </c>
      <c r="P1638" s="108">
        <v>943.82731871837905</v>
      </c>
      <c r="Q1638" s="108">
        <f>SUMIFS('FW_Salmon_by_Month_2010-2021'!P$2:P$3810,'FW_Salmon_by_Month_2010-2021'!$B$2:$B$3810,'Rec_raw_catch_effort_2010-2021'!$B1638,'FW_Salmon_by_Month_2010-2021'!$H$2:$H$3810,'Rec_raw_catch_effort_2010-2021'!$F1638,'FW_Salmon_by_Month_2010-2021'!$M$2:$M$3810,'Rec_raw_catch_effort_2010-2021'!$K1638)</f>
        <v>103.824295655699</v>
      </c>
      <c r="R1638" s="109">
        <f>VLOOKUP(B1638,Readme!$A$62:$C$74,2,)*Q1638</f>
        <v>500.38689329352383</v>
      </c>
      <c r="S1638" s="140" t="str">
        <f t="shared" si="141"/>
        <v>Y</v>
      </c>
      <c r="T1638" s="154">
        <f t="shared" si="142"/>
        <v>8.65</v>
      </c>
      <c r="U1638" s="154">
        <f t="shared" si="143"/>
        <v>4.8195549041132084</v>
      </c>
    </row>
    <row r="1639" spans="1:21" x14ac:dyDescent="0.35">
      <c r="A1639" s="108">
        <v>459</v>
      </c>
      <c r="B1639" s="108">
        <v>2016</v>
      </c>
      <c r="C1639" s="108" t="s">
        <v>38</v>
      </c>
      <c r="D1639" s="108" t="s">
        <v>143</v>
      </c>
      <c r="E1639" s="108" t="s">
        <v>10</v>
      </c>
      <c r="F1639" s="116">
        <v>778</v>
      </c>
      <c r="G1639" s="108" t="s">
        <v>50</v>
      </c>
      <c r="H1639" s="108" t="str">
        <f t="shared" si="140"/>
        <v>Minter Creek</v>
      </c>
      <c r="I1639" s="108" t="str">
        <f>IFERROR(VLOOKUP(H1639,LUTs!$A$1:$C$73,2,FALSE),"NA")</f>
        <v>Kitsap/Pierce</v>
      </c>
      <c r="J1639" s="108" t="str">
        <f>IFERROR(VLOOKUP(H1639,LUTs!$A$1:$C$73,3,FALSE),"NA")</f>
        <v>3South Puget Sound</v>
      </c>
      <c r="K1639" s="108" t="s">
        <v>21</v>
      </c>
      <c r="L1639" s="108" t="str">
        <f>VLOOKUP(K1639,LUTs!E$2:G$14,3,)</f>
        <v>08Thurston</v>
      </c>
      <c r="M1639" s="108" t="str">
        <f>VLOOKUP($K1639,LUTs!$E$2:$H$14,2,)</f>
        <v>South Puget Sound</v>
      </c>
      <c r="N1639" s="108" t="str">
        <f>VLOOKUP($K1639,LUTs!$E$2:$H$14,4,)</f>
        <v>02South Puget Sound</v>
      </c>
      <c r="O1639" s="108">
        <v>36.3709949409781</v>
      </c>
      <c r="P1639" s="108">
        <v>314.60910623946103</v>
      </c>
      <c r="Q1639" s="108">
        <f>SUMIFS('FW_Salmon_by_Month_2010-2021'!P$2:P$3810,'FW_Salmon_by_Month_2010-2021'!$B$2:$B$3810,'Rec_raw_catch_effort_2010-2021'!$B1639,'FW_Salmon_by_Month_2010-2021'!$H$2:$H$3810,'Rec_raw_catch_effort_2010-2021'!$F1639,'FW_Salmon_by_Month_2010-2021'!$M$2:$M$3810,'Rec_raw_catch_effort_2010-2021'!$K1639)</f>
        <v>38.570637119113599</v>
      </c>
      <c r="R1639" s="109">
        <f>VLOOKUP(B1639,Readme!$A$62:$C$74,2,)*Q1639</f>
        <v>185.89330328219489</v>
      </c>
      <c r="S1639" s="140" t="str">
        <f t="shared" si="141"/>
        <v>Y</v>
      </c>
      <c r="T1639" s="154">
        <f t="shared" si="142"/>
        <v>8.6500000000000128</v>
      </c>
      <c r="U1639" s="154">
        <f t="shared" si="143"/>
        <v>4.8195549041132084</v>
      </c>
    </row>
    <row r="1640" spans="1:21" x14ac:dyDescent="0.35">
      <c r="A1640" s="108">
        <v>455</v>
      </c>
      <c r="B1640" s="108">
        <v>2016</v>
      </c>
      <c r="C1640" s="108" t="s">
        <v>38</v>
      </c>
      <c r="D1640" s="108" t="s">
        <v>143</v>
      </c>
      <c r="E1640" s="108" t="s">
        <v>10</v>
      </c>
      <c r="F1640" s="116">
        <v>778</v>
      </c>
      <c r="G1640" s="108" t="s">
        <v>50</v>
      </c>
      <c r="H1640" s="108" t="str">
        <f t="shared" si="140"/>
        <v>Minter Creek</v>
      </c>
      <c r="I1640" s="108" t="str">
        <f>IFERROR(VLOOKUP(H1640,LUTs!$A$1:$C$73,2,FALSE),"NA")</f>
        <v>Kitsap/Pierce</v>
      </c>
      <c r="J1640" s="108" t="str">
        <f>IFERROR(VLOOKUP(H1640,LUTs!$A$1:$C$73,3,FALSE),"NA")</f>
        <v>3South Puget Sound</v>
      </c>
      <c r="K1640" s="108" t="s">
        <v>13</v>
      </c>
      <c r="L1640" s="108" t="str">
        <f>VLOOKUP(K1640,LUTs!E$2:G$14,3,)</f>
        <v>01Whatcom</v>
      </c>
      <c r="M1640" s="108" t="str">
        <f>VLOOKUP($K1640,LUTs!$E$2:$H$14,2,)</f>
        <v>North Puget Sound</v>
      </c>
      <c r="N1640" s="108" t="str">
        <f>VLOOKUP($K1640,LUTs!$E$2:$H$14,4,)</f>
        <v>01North Puget Sound</v>
      </c>
      <c r="O1640" s="108">
        <v>18.185497470489</v>
      </c>
      <c r="P1640" s="108">
        <v>157.30455311973</v>
      </c>
      <c r="Q1640" s="108">
        <f>SUMIFS('FW_Salmon_by_Month_2010-2021'!P$2:P$3810,'FW_Salmon_by_Month_2010-2021'!$B$2:$B$3810,'Rec_raw_catch_effort_2010-2021'!$B1640,'FW_Salmon_by_Month_2010-2021'!$H$2:$H$3810,'Rec_raw_catch_effort_2010-2021'!$F1640,'FW_Salmon_by_Month_2010-2021'!$M$2:$M$3810,'Rec_raw_catch_effort_2010-2021'!$K1640)</f>
        <v>19.285318559556799</v>
      </c>
      <c r="R1640" s="109">
        <f>VLOOKUP(B1640,Readme!$A$62:$C$74,2,)*Q1640</f>
        <v>92.946651641097446</v>
      </c>
      <c r="S1640" s="140" t="str">
        <f t="shared" si="141"/>
        <v>Y</v>
      </c>
      <c r="T1640" s="154">
        <f t="shared" si="142"/>
        <v>8.6500000000000075</v>
      </c>
      <c r="U1640" s="154">
        <f t="shared" si="143"/>
        <v>4.8195549041132084</v>
      </c>
    </row>
    <row r="1641" spans="1:21" x14ac:dyDescent="0.35">
      <c r="A1641" s="108">
        <v>544</v>
      </c>
      <c r="B1641" s="108">
        <v>2017</v>
      </c>
      <c r="C1641" s="108" t="s">
        <v>38</v>
      </c>
      <c r="D1641" s="108" t="s">
        <v>143</v>
      </c>
      <c r="E1641" s="108" t="s">
        <v>10</v>
      </c>
      <c r="F1641" s="116">
        <v>778</v>
      </c>
      <c r="G1641" s="108" t="s">
        <v>50</v>
      </c>
      <c r="H1641" s="108" t="str">
        <f t="shared" si="140"/>
        <v>Minter Creek</v>
      </c>
      <c r="I1641" s="108" t="str">
        <f>IFERROR(VLOOKUP(H1641,LUTs!$A$1:$C$73,2,FALSE),"NA")</f>
        <v>Kitsap/Pierce</v>
      </c>
      <c r="J1641" s="108" t="str">
        <f>IFERROR(VLOOKUP(H1641,LUTs!$A$1:$C$73,3,FALSE),"NA")</f>
        <v>3South Puget Sound</v>
      </c>
      <c r="K1641" s="108" t="s">
        <v>18</v>
      </c>
      <c r="L1641" s="108" t="str">
        <f>VLOOKUP(K1641,LUTs!E$2:G$14,3,)</f>
        <v>06King</v>
      </c>
      <c r="M1641" s="108" t="str">
        <f>VLOOKUP($K1641,LUTs!$E$2:$H$14,2,)</f>
        <v>South Puget Sound</v>
      </c>
      <c r="N1641" s="108" t="str">
        <f>VLOOKUP($K1641,LUTs!$E$2:$H$14,4,)</f>
        <v>02South Puget Sound</v>
      </c>
      <c r="O1641" s="108">
        <v>2678.8479262672799</v>
      </c>
      <c r="P1641" s="108">
        <v>9215.2368663594407</v>
      </c>
      <c r="Q1641" s="108">
        <f>SUMIFS('FW_Salmon_by_Month_2010-2021'!P$2:P$3810,'FW_Salmon_by_Month_2010-2021'!$B$2:$B$3810,'Rec_raw_catch_effort_2010-2021'!$B1641,'FW_Salmon_by_Month_2010-2021'!$H$2:$H$3810,'Rec_raw_catch_effort_2010-2021'!$F1641,'FW_Salmon_by_Month_2010-2021'!$M$2:$M$3810,'Rec_raw_catch_effort_2010-2021'!$K1641)</f>
        <v>2699.0164444444454</v>
      </c>
      <c r="R1641" s="109">
        <f>VLOOKUP(B1641,Readme!$A$62:$C$74,2,)*Q1641</f>
        <v>9551.928344526641</v>
      </c>
      <c r="S1641" s="140" t="str">
        <f t="shared" si="141"/>
        <v>Y</v>
      </c>
      <c r="T1641" s="154">
        <f t="shared" si="142"/>
        <v>3.4399999999999991</v>
      </c>
      <c r="U1641" s="154">
        <f t="shared" si="143"/>
        <v>3.5390404397824153</v>
      </c>
    </row>
    <row r="1642" spans="1:21" x14ac:dyDescent="0.35">
      <c r="A1642" s="108">
        <v>547</v>
      </c>
      <c r="B1642" s="108">
        <v>2017</v>
      </c>
      <c r="C1642" s="108" t="s">
        <v>38</v>
      </c>
      <c r="D1642" s="108" t="s">
        <v>143</v>
      </c>
      <c r="E1642" s="108" t="s">
        <v>10</v>
      </c>
      <c r="F1642" s="116">
        <v>778</v>
      </c>
      <c r="G1642" s="108" t="s">
        <v>50</v>
      </c>
      <c r="H1642" s="108" t="str">
        <f t="shared" si="140"/>
        <v>Minter Creek</v>
      </c>
      <c r="I1642" s="108" t="str">
        <f>IFERROR(VLOOKUP(H1642,LUTs!$A$1:$C$73,2,FALSE),"NA")</f>
        <v>Kitsap/Pierce</v>
      </c>
      <c r="J1642" s="108" t="str">
        <f>IFERROR(VLOOKUP(H1642,LUTs!$A$1:$C$73,3,FALSE),"NA")</f>
        <v>3South Puget Sound</v>
      </c>
      <c r="K1642" s="108" t="s">
        <v>23</v>
      </c>
      <c r="L1642" s="108" t="str">
        <f>VLOOKUP(K1642,LUTs!E$2:G$14,3,)</f>
        <v>10Kitsap</v>
      </c>
      <c r="M1642" s="108" t="str">
        <f>VLOOKUP($K1642,LUTs!$E$2:$H$14,2,)</f>
        <v>South Puget Sound</v>
      </c>
      <c r="N1642" s="108" t="str">
        <f>VLOOKUP($K1642,LUTs!$E$2:$H$14,4,)</f>
        <v>02South Puget Sound</v>
      </c>
      <c r="O1642" s="108">
        <v>347.25806451612902</v>
      </c>
      <c r="P1642" s="108">
        <v>1194.5677419354799</v>
      </c>
      <c r="Q1642" s="108">
        <f>SUMIFS('FW_Salmon_by_Month_2010-2021'!P$2:P$3810,'FW_Salmon_by_Month_2010-2021'!$B$2:$B$3810,'Rec_raw_catch_effort_2010-2021'!$B1642,'FW_Salmon_by_Month_2010-2021'!$H$2:$H$3810,'Rec_raw_catch_effort_2010-2021'!$F1642,'FW_Salmon_by_Month_2010-2021'!$M$2:$M$3810,'Rec_raw_catch_effort_2010-2021'!$K1642)</f>
        <v>353.80488888888891</v>
      </c>
      <c r="R1642" s="109">
        <f>VLOOKUP(B1642,Readme!$A$62:$C$74,2,)*Q1642</f>
        <v>1252.1298095705019</v>
      </c>
      <c r="S1642" s="140" t="str">
        <f t="shared" si="141"/>
        <v>Y</v>
      </c>
      <c r="T1642" s="154">
        <f t="shared" si="142"/>
        <v>3.4399999999999888</v>
      </c>
      <c r="U1642" s="154">
        <f t="shared" si="143"/>
        <v>3.5390404397824153</v>
      </c>
    </row>
    <row r="1643" spans="1:21" x14ac:dyDescent="0.35">
      <c r="A1643" s="108">
        <v>548</v>
      </c>
      <c r="B1643" s="108">
        <v>2017</v>
      </c>
      <c r="C1643" s="108" t="s">
        <v>38</v>
      </c>
      <c r="D1643" s="108" t="s">
        <v>143</v>
      </c>
      <c r="E1643" s="108" t="s">
        <v>10</v>
      </c>
      <c r="F1643" s="116">
        <v>778</v>
      </c>
      <c r="G1643" s="108" t="s">
        <v>50</v>
      </c>
      <c r="H1643" s="108" t="str">
        <f t="shared" si="140"/>
        <v>Minter Creek</v>
      </c>
      <c r="I1643" s="108" t="str">
        <f>IFERROR(VLOOKUP(H1643,LUTs!$A$1:$C$73,2,FALSE),"NA")</f>
        <v>Kitsap/Pierce</v>
      </c>
      <c r="J1643" s="108" t="str">
        <f>IFERROR(VLOOKUP(H1643,LUTs!$A$1:$C$73,3,FALSE),"NA")</f>
        <v>3South Puget Sound</v>
      </c>
      <c r="K1643" s="108" t="s">
        <v>26</v>
      </c>
      <c r="L1643" s="108" t="str">
        <f>VLOOKUP(K1643,LUTs!E$2:G$14,3,)</f>
        <v>20Other</v>
      </c>
      <c r="M1643" s="108" t="str">
        <f>VLOOKUP($K1643,LUTs!$E$2:$H$14,2,)</f>
        <v>Non Puget Sound</v>
      </c>
      <c r="N1643" s="108" t="str">
        <f>VLOOKUP($K1643,LUTs!$E$2:$H$14,4,)</f>
        <v>07Non Puget Sound</v>
      </c>
      <c r="O1643" s="108">
        <v>515.92626728110599</v>
      </c>
      <c r="P1643" s="108">
        <v>1774.786359447</v>
      </c>
      <c r="Q1643" s="108">
        <f>SUMIFS('FW_Salmon_by_Month_2010-2021'!P$2:P$3810,'FW_Salmon_by_Month_2010-2021'!$B$2:$B$3810,'Rec_raw_catch_effort_2010-2021'!$B1643,'FW_Salmon_by_Month_2010-2021'!$H$2:$H$3810,'Rec_raw_catch_effort_2010-2021'!$F1643,'FW_Salmon_by_Month_2010-2021'!$M$2:$M$3810,'Rec_raw_catch_effort_2010-2021'!$K1643)</f>
        <v>525.70622222222198</v>
      </c>
      <c r="R1643" s="109">
        <f>VLOOKUP(B1643,Readme!$A$62:$C$74,2,)*Q1643</f>
        <v>1860.4955798896847</v>
      </c>
      <c r="S1643" s="140" t="str">
        <f t="shared" si="141"/>
        <v>Y</v>
      </c>
      <c r="T1643" s="154">
        <f t="shared" si="142"/>
        <v>3.4399999999999911</v>
      </c>
      <c r="U1643" s="154">
        <f t="shared" si="143"/>
        <v>3.5390404397824153</v>
      </c>
    </row>
    <row r="1644" spans="1:21" x14ac:dyDescent="0.35">
      <c r="A1644" s="108">
        <v>545</v>
      </c>
      <c r="B1644" s="108">
        <v>2017</v>
      </c>
      <c r="C1644" s="108" t="s">
        <v>38</v>
      </c>
      <c r="D1644" s="108" t="s">
        <v>143</v>
      </c>
      <c r="E1644" s="108" t="s">
        <v>10</v>
      </c>
      <c r="F1644" s="116">
        <v>778</v>
      </c>
      <c r="G1644" s="108" t="s">
        <v>50</v>
      </c>
      <c r="H1644" s="108" t="str">
        <f t="shared" si="140"/>
        <v>Minter Creek</v>
      </c>
      <c r="I1644" s="108" t="str">
        <f>IFERROR(VLOOKUP(H1644,LUTs!$A$1:$C$73,2,FALSE),"NA")</f>
        <v>Kitsap/Pierce</v>
      </c>
      <c r="J1644" s="108" t="str">
        <f>IFERROR(VLOOKUP(H1644,LUTs!$A$1:$C$73,3,FALSE),"NA")</f>
        <v>3South Puget Sound</v>
      </c>
      <c r="K1644" s="108" t="s">
        <v>20</v>
      </c>
      <c r="L1644" s="108" t="str">
        <f>VLOOKUP(K1644,LUTs!E$2:G$14,3,)</f>
        <v>07Pierce</v>
      </c>
      <c r="M1644" s="108" t="str">
        <f>VLOOKUP($K1644,LUTs!$E$2:$H$14,2,)</f>
        <v>South Puget Sound</v>
      </c>
      <c r="N1644" s="108" t="str">
        <f>VLOOKUP($K1644,LUTs!$E$2:$H$14,4,)</f>
        <v>02South Puget Sound</v>
      </c>
      <c r="O1644" s="108">
        <v>2500.2580645161302</v>
      </c>
      <c r="P1644" s="108">
        <v>8600.8877419354903</v>
      </c>
      <c r="Q1644" s="108">
        <f>SUMIFS('FW_Salmon_by_Month_2010-2021'!P$2:P$3810,'FW_Salmon_by_Month_2010-2021'!$B$2:$B$3810,'Rec_raw_catch_effort_2010-2021'!$B1644,'FW_Salmon_by_Month_2010-2021'!$H$2:$H$3810,'Rec_raw_catch_effort_2010-2021'!$F1644,'FW_Salmon_by_Month_2010-2021'!$M$2:$M$3810,'Rec_raw_catch_effort_2010-2021'!$K1644)</f>
        <v>2486.6862222222221</v>
      </c>
      <c r="R1644" s="109">
        <f>VLOOKUP(B1644,Readme!$A$62:$C$74,2,)*Q1644</f>
        <v>8800.4831014942065</v>
      </c>
      <c r="S1644" s="140" t="str">
        <f t="shared" si="141"/>
        <v>Y</v>
      </c>
      <c r="T1644" s="154">
        <f t="shared" si="142"/>
        <v>3.4400000000000008</v>
      </c>
      <c r="U1644" s="154">
        <f t="shared" si="143"/>
        <v>3.5390404397824153</v>
      </c>
    </row>
    <row r="1645" spans="1:21" x14ac:dyDescent="0.35">
      <c r="A1645" s="108">
        <v>543</v>
      </c>
      <c r="B1645" s="108">
        <v>2017</v>
      </c>
      <c r="C1645" s="108" t="s">
        <v>38</v>
      </c>
      <c r="D1645" s="108" t="s">
        <v>143</v>
      </c>
      <c r="E1645" s="108" t="s">
        <v>10</v>
      </c>
      <c r="F1645" s="116">
        <v>778</v>
      </c>
      <c r="G1645" s="108" t="s">
        <v>50</v>
      </c>
      <c r="H1645" s="108" t="str">
        <f t="shared" si="140"/>
        <v>Minter Creek</v>
      </c>
      <c r="I1645" s="108" t="str">
        <f>IFERROR(VLOOKUP(H1645,LUTs!$A$1:$C$73,2,FALSE),"NA")</f>
        <v>Kitsap/Pierce</v>
      </c>
      <c r="J1645" s="108" t="str">
        <f>IFERROR(VLOOKUP(H1645,LUTs!$A$1:$C$73,3,FALSE),"NA")</f>
        <v>3South Puget Sound</v>
      </c>
      <c r="K1645" s="108" t="s">
        <v>16</v>
      </c>
      <c r="L1645" s="108" t="str">
        <f>VLOOKUP(K1645,LUTs!E$2:G$14,3,)</f>
        <v>03Snohomish</v>
      </c>
      <c r="M1645" s="108" t="str">
        <f>VLOOKUP($K1645,LUTs!$E$2:$H$14,2,)</f>
        <v>North Puget Sound</v>
      </c>
      <c r="N1645" s="108" t="str">
        <f>VLOOKUP($K1645,LUTs!$E$2:$H$14,4,)</f>
        <v>01North Puget Sound</v>
      </c>
      <c r="O1645" s="108">
        <v>367.10138248847898</v>
      </c>
      <c r="P1645" s="108">
        <v>1262.8287557603701</v>
      </c>
      <c r="Q1645" s="108">
        <f>SUMIFS('FW_Salmon_by_Month_2010-2021'!P$2:P$3810,'FW_Salmon_by_Month_2010-2021'!$B$2:$B$3810,'Rec_raw_catch_effort_2010-2021'!$B1645,'FW_Salmon_by_Month_2010-2021'!$H$2:$H$3810,'Rec_raw_catch_effort_2010-2021'!$F1645,'FW_Salmon_by_Month_2010-2021'!$M$2:$M$3810,'Rec_raw_catch_effort_2010-2021'!$K1645)</f>
        <v>303.24622222222217</v>
      </c>
      <c r="R1645" s="109">
        <f>VLOOKUP(B1645,Readme!$A$62:$C$74,2,)*Q1645</f>
        <v>1073.2006436556892</v>
      </c>
      <c r="S1645" s="140" t="str">
        <f t="shared" si="141"/>
        <v>Y</v>
      </c>
      <c r="T1645" s="154">
        <f t="shared" si="142"/>
        <v>3.4400000000000066</v>
      </c>
      <c r="U1645" s="154">
        <f t="shared" si="143"/>
        <v>3.5390404397824153</v>
      </c>
    </row>
    <row r="1646" spans="1:21" x14ac:dyDescent="0.35">
      <c r="A1646" s="108">
        <v>546</v>
      </c>
      <c r="B1646" s="108">
        <v>2017</v>
      </c>
      <c r="C1646" s="108" t="s">
        <v>38</v>
      </c>
      <c r="D1646" s="108" t="s">
        <v>143</v>
      </c>
      <c r="E1646" s="108" t="s">
        <v>10</v>
      </c>
      <c r="F1646" s="116">
        <v>778</v>
      </c>
      <c r="G1646" s="108" t="s">
        <v>50</v>
      </c>
      <c r="H1646" s="108" t="str">
        <f t="shared" si="140"/>
        <v>Minter Creek</v>
      </c>
      <c r="I1646" s="108" t="str">
        <f>IFERROR(VLOOKUP(H1646,LUTs!$A$1:$C$73,2,FALSE),"NA")</f>
        <v>Kitsap/Pierce</v>
      </c>
      <c r="J1646" s="108" t="str">
        <f>IFERROR(VLOOKUP(H1646,LUTs!$A$1:$C$73,3,FALSE),"NA")</f>
        <v>3South Puget Sound</v>
      </c>
      <c r="K1646" s="108" t="s">
        <v>21</v>
      </c>
      <c r="L1646" s="108" t="str">
        <f>VLOOKUP(K1646,LUTs!E$2:G$14,3,)</f>
        <v>08Thurston</v>
      </c>
      <c r="M1646" s="108" t="str">
        <f>VLOOKUP($K1646,LUTs!$E$2:$H$14,2,)</f>
        <v>South Puget Sound</v>
      </c>
      <c r="N1646" s="108" t="str">
        <f>VLOOKUP($K1646,LUTs!$E$2:$H$14,4,)</f>
        <v>02South Puget Sound</v>
      </c>
      <c r="O1646" s="108">
        <v>49.608294930875601</v>
      </c>
      <c r="P1646" s="108">
        <v>170.652534562212</v>
      </c>
      <c r="Q1646" s="108">
        <f>SUMIFS('FW_Salmon_by_Month_2010-2021'!P$2:P$3810,'FW_Salmon_by_Month_2010-2021'!$B$2:$B$3810,'Rec_raw_catch_effort_2010-2021'!$B1646,'FW_Salmon_by_Month_2010-2021'!$H$2:$H$3810,'Rec_raw_catch_effort_2010-2021'!$F1646,'FW_Salmon_by_Month_2010-2021'!$M$2:$M$3810,'Rec_raw_catch_effort_2010-2021'!$K1646)</f>
        <v>50.54</v>
      </c>
      <c r="R1646" s="109">
        <f>VLOOKUP(B1646,Readme!$A$62:$C$74,2,)*Q1646</f>
        <v>178.86310382660326</v>
      </c>
      <c r="S1646" s="140" t="str">
        <f t="shared" si="141"/>
        <v>Y</v>
      </c>
      <c r="T1646" s="154">
        <f t="shared" si="142"/>
        <v>3.4399999999999986</v>
      </c>
      <c r="U1646" s="154">
        <f t="shared" si="143"/>
        <v>3.5390404397824153</v>
      </c>
    </row>
    <row r="1647" spans="1:21" x14ac:dyDescent="0.35">
      <c r="A1647" s="108">
        <v>550</v>
      </c>
      <c r="B1647" s="108">
        <v>2018</v>
      </c>
      <c r="C1647" s="108" t="s">
        <v>38</v>
      </c>
      <c r="D1647" s="108" t="s">
        <v>143</v>
      </c>
      <c r="E1647" s="108" t="s">
        <v>10</v>
      </c>
      <c r="F1647" s="116">
        <v>778</v>
      </c>
      <c r="G1647" s="108" t="s">
        <v>50</v>
      </c>
      <c r="H1647" s="108" t="str">
        <f t="shared" si="140"/>
        <v>Minter Creek</v>
      </c>
      <c r="I1647" s="108" t="str">
        <f>IFERROR(VLOOKUP(H1647,LUTs!$A$1:$C$73,2,FALSE),"NA")</f>
        <v>Kitsap/Pierce</v>
      </c>
      <c r="J1647" s="108" t="str">
        <f>IFERROR(VLOOKUP(H1647,LUTs!$A$1:$C$73,3,FALSE),"NA")</f>
        <v>3South Puget Sound</v>
      </c>
      <c r="K1647" s="108" t="s">
        <v>18</v>
      </c>
      <c r="L1647" s="108" t="str">
        <f>VLOOKUP(K1647,LUTs!E$2:G$14,3,)</f>
        <v>06King</v>
      </c>
      <c r="M1647" s="108" t="str">
        <f>VLOOKUP($K1647,LUTs!$E$2:$H$14,2,)</f>
        <v>South Puget Sound</v>
      </c>
      <c r="N1647" s="108" t="str">
        <f>VLOOKUP($K1647,LUTs!$E$2:$H$14,4,)</f>
        <v>02South Puget Sound</v>
      </c>
      <c r="O1647" s="108">
        <v>1969.8185840707999</v>
      </c>
      <c r="P1647" s="108">
        <v>17038.9307522124</v>
      </c>
      <c r="Q1647" s="108">
        <f>SUMIFS('FW_Salmon_by_Month_2010-2021'!P$2:P$3810,'FW_Salmon_by_Month_2010-2021'!$B$2:$B$3810,'Rec_raw_catch_effort_2010-2021'!$B1647,'FW_Salmon_by_Month_2010-2021'!$H$2:$H$3810,'Rec_raw_catch_effort_2010-2021'!$F1647,'FW_Salmon_by_Month_2010-2021'!$M$2:$M$3810,'Rec_raw_catch_effort_2010-2021'!$K1647)</f>
        <v>1969.8257233994052</v>
      </c>
      <c r="R1647" s="109">
        <f>VLOOKUP(B1647,Readme!$A$62:$C$74,2,)*Q1647</f>
        <v>9493.6832254579513</v>
      </c>
      <c r="S1647" s="140" t="str">
        <f t="shared" si="141"/>
        <v>Y</v>
      </c>
      <c r="T1647" s="154">
        <f t="shared" si="142"/>
        <v>8.6499999999999897</v>
      </c>
      <c r="U1647" s="154">
        <f t="shared" si="143"/>
        <v>4.8195549041132084</v>
      </c>
    </row>
    <row r="1648" spans="1:21" x14ac:dyDescent="0.35">
      <c r="A1648" s="108">
        <v>554</v>
      </c>
      <c r="B1648" s="108">
        <v>2018</v>
      </c>
      <c r="C1648" s="108" t="s">
        <v>38</v>
      </c>
      <c r="D1648" s="108" t="s">
        <v>143</v>
      </c>
      <c r="E1648" s="108" t="s">
        <v>10</v>
      </c>
      <c r="F1648" s="116">
        <v>778</v>
      </c>
      <c r="G1648" s="108" t="s">
        <v>50</v>
      </c>
      <c r="H1648" s="108" t="str">
        <f t="shared" si="140"/>
        <v>Minter Creek</v>
      </c>
      <c r="I1648" s="108" t="str">
        <f>IFERROR(VLOOKUP(H1648,LUTs!$A$1:$C$73,2,FALSE),"NA")</f>
        <v>Kitsap/Pierce</v>
      </c>
      <c r="J1648" s="108" t="str">
        <f>IFERROR(VLOOKUP(H1648,LUTs!$A$1:$C$73,3,FALSE),"NA")</f>
        <v>3South Puget Sound</v>
      </c>
      <c r="K1648" s="108" t="s">
        <v>23</v>
      </c>
      <c r="L1648" s="108" t="str">
        <f>VLOOKUP(K1648,LUTs!E$2:G$14,3,)</f>
        <v>10Kitsap</v>
      </c>
      <c r="M1648" s="108" t="str">
        <f>VLOOKUP($K1648,LUTs!$E$2:$H$14,2,)</f>
        <v>South Puget Sound</v>
      </c>
      <c r="N1648" s="108" t="str">
        <f>VLOOKUP($K1648,LUTs!$E$2:$H$14,4,)</f>
        <v>02South Puget Sound</v>
      </c>
      <c r="O1648" s="108">
        <v>329.92035398230098</v>
      </c>
      <c r="P1648" s="108">
        <v>2853.8110619468998</v>
      </c>
      <c r="Q1648" s="108">
        <f>SUMIFS('FW_Salmon_by_Month_2010-2021'!P$2:P$3810,'FW_Salmon_by_Month_2010-2021'!$B$2:$B$3810,'Rec_raw_catch_effort_2010-2021'!$B1648,'FW_Salmon_by_Month_2010-2021'!$H$2:$H$3810,'Rec_raw_catch_effort_2010-2021'!$F1648,'FW_Salmon_by_Month_2010-2021'!$M$2:$M$3810,'Rec_raw_catch_effort_2010-2021'!$K1648)</f>
        <v>329.91569833675084</v>
      </c>
      <c r="R1648" s="109">
        <f>VLOOKUP(B1648,Readme!$A$62:$C$74,2,)*Q1648</f>
        <v>1590.0468218628214</v>
      </c>
      <c r="S1648" s="140" t="str">
        <f t="shared" si="141"/>
        <v>Y</v>
      </c>
      <c r="T1648" s="154">
        <f t="shared" si="142"/>
        <v>8.6499999999999897</v>
      </c>
      <c r="U1648" s="154">
        <f t="shared" si="143"/>
        <v>4.8195549041132084</v>
      </c>
    </row>
    <row r="1649" spans="1:21" x14ac:dyDescent="0.35">
      <c r="A1649" s="108">
        <v>553</v>
      </c>
      <c r="B1649" s="108">
        <v>2018</v>
      </c>
      <c r="C1649" s="108" t="s">
        <v>38</v>
      </c>
      <c r="D1649" s="108" t="s">
        <v>143</v>
      </c>
      <c r="E1649" s="108" t="s">
        <v>10</v>
      </c>
      <c r="F1649" s="116">
        <v>778</v>
      </c>
      <c r="G1649" s="108" t="s">
        <v>50</v>
      </c>
      <c r="H1649" s="108" t="str">
        <f t="shared" si="140"/>
        <v>Minter Creek</v>
      </c>
      <c r="I1649" s="108" t="str">
        <f>IFERROR(VLOOKUP(H1649,LUTs!$A$1:$C$73,2,FALSE),"NA")</f>
        <v>Kitsap/Pierce</v>
      </c>
      <c r="J1649" s="108" t="str">
        <f>IFERROR(VLOOKUP(H1649,LUTs!$A$1:$C$73,3,FALSE),"NA")</f>
        <v>3South Puget Sound</v>
      </c>
      <c r="K1649" s="108" t="s">
        <v>22</v>
      </c>
      <c r="L1649" s="108" t="str">
        <f>VLOOKUP(K1649,LUTs!E$2:G$14,3,)</f>
        <v>09Mason</v>
      </c>
      <c r="M1649" s="108" t="str">
        <f>VLOOKUP($K1649,LUTs!$E$2:$H$14,2,)</f>
        <v>South Puget Sound</v>
      </c>
      <c r="N1649" s="108" t="str">
        <f>VLOOKUP($K1649,LUTs!$E$2:$H$14,4,)</f>
        <v>02South Puget Sound</v>
      </c>
      <c r="O1649" s="108">
        <v>67.924778761062001</v>
      </c>
      <c r="P1649" s="108">
        <v>587.54933628318599</v>
      </c>
      <c r="Q1649" s="108">
        <f>SUMIFS('FW_Salmon_by_Month_2010-2021'!P$2:P$3810,'FW_Salmon_by_Month_2010-2021'!$B$2:$B$3810,'Rec_raw_catch_effort_2010-2021'!$B1649,'FW_Salmon_by_Month_2010-2021'!$H$2:$H$3810,'Rec_raw_catch_effort_2010-2021'!$F1649,'FW_Salmon_by_Month_2010-2021'!$M$2:$M$3810,'Rec_raw_catch_effort_2010-2021'!$K1649)</f>
        <v>67.929824561403507</v>
      </c>
      <c r="R1649" s="109">
        <f>VLOOKUP(B1649,Readme!$A$62:$C$74,2,)*Q1649</f>
        <v>327.39151910046218</v>
      </c>
      <c r="S1649" s="140" t="str">
        <f t="shared" si="141"/>
        <v>Y</v>
      </c>
      <c r="T1649" s="154">
        <f t="shared" si="142"/>
        <v>8.649999999999995</v>
      </c>
      <c r="U1649" s="154">
        <f t="shared" si="143"/>
        <v>4.8195549041132084</v>
      </c>
    </row>
    <row r="1650" spans="1:21" x14ac:dyDescent="0.35">
      <c r="A1650" s="108">
        <v>555</v>
      </c>
      <c r="B1650" s="108">
        <v>2018</v>
      </c>
      <c r="C1650" s="108" t="s">
        <v>38</v>
      </c>
      <c r="D1650" s="108" t="s">
        <v>143</v>
      </c>
      <c r="E1650" s="108" t="s">
        <v>10</v>
      </c>
      <c r="F1650" s="116">
        <v>778</v>
      </c>
      <c r="G1650" s="108" t="s">
        <v>50</v>
      </c>
      <c r="H1650" s="108" t="str">
        <f t="shared" si="140"/>
        <v>Minter Creek</v>
      </c>
      <c r="I1650" s="108" t="str">
        <f>IFERROR(VLOOKUP(H1650,LUTs!$A$1:$C$73,2,FALSE),"NA")</f>
        <v>Kitsap/Pierce</v>
      </c>
      <c r="J1650" s="108" t="str">
        <f>IFERROR(VLOOKUP(H1650,LUTs!$A$1:$C$73,3,FALSE),"NA")</f>
        <v>3South Puget Sound</v>
      </c>
      <c r="K1650" s="108" t="s">
        <v>26</v>
      </c>
      <c r="L1650" s="108" t="str">
        <f>VLOOKUP(K1650,LUTs!E$2:G$14,3,)</f>
        <v>20Other</v>
      </c>
      <c r="M1650" s="108" t="str">
        <f>VLOOKUP($K1650,LUTs!$E$2:$H$14,2,)</f>
        <v>Non Puget Sound</v>
      </c>
      <c r="N1650" s="108" t="str">
        <f>VLOOKUP($K1650,LUTs!$E$2:$H$14,4,)</f>
        <v>07Non Puget Sound</v>
      </c>
      <c r="O1650" s="108">
        <v>164.960176991151</v>
      </c>
      <c r="P1650" s="108">
        <v>1426.9055309734599</v>
      </c>
      <c r="Q1650" s="108">
        <f>SUMIFS('FW_Salmon_by_Month_2010-2021'!P$2:P$3810,'FW_Salmon_by_Month_2010-2021'!$B$2:$B$3810,'Rec_raw_catch_effort_2010-2021'!$B1650,'FW_Salmon_by_Month_2010-2021'!$H$2:$H$3810,'Rec_raw_catch_effort_2010-2021'!$F1650,'FW_Salmon_by_Month_2010-2021'!$M$2:$M$3810,'Rec_raw_catch_effort_2010-2021'!$K1650)</f>
        <v>164.968170426065</v>
      </c>
      <c r="R1650" s="109">
        <f>VLOOKUP(B1650,Readme!$A$62:$C$74,2,)*Q1650</f>
        <v>795.07315479952513</v>
      </c>
      <c r="S1650" s="140" t="str">
        <f t="shared" si="141"/>
        <v>Y</v>
      </c>
      <c r="T1650" s="154">
        <f t="shared" si="142"/>
        <v>8.6500000000000234</v>
      </c>
      <c r="U1650" s="154">
        <f t="shared" si="143"/>
        <v>4.8195549041132084</v>
      </c>
    </row>
    <row r="1651" spans="1:21" x14ac:dyDescent="0.35">
      <c r="A1651" s="108">
        <v>551</v>
      </c>
      <c r="B1651" s="108">
        <v>2018</v>
      </c>
      <c r="C1651" s="108" t="s">
        <v>38</v>
      </c>
      <c r="D1651" s="108" t="s">
        <v>143</v>
      </c>
      <c r="E1651" s="108" t="s">
        <v>10</v>
      </c>
      <c r="F1651" s="116">
        <v>778</v>
      </c>
      <c r="G1651" s="108" t="s">
        <v>50</v>
      </c>
      <c r="H1651" s="108" t="str">
        <f t="shared" si="140"/>
        <v>Minter Creek</v>
      </c>
      <c r="I1651" s="108" t="str">
        <f>IFERROR(VLOOKUP(H1651,LUTs!$A$1:$C$73,2,FALSE),"NA")</f>
        <v>Kitsap/Pierce</v>
      </c>
      <c r="J1651" s="108" t="str">
        <f>IFERROR(VLOOKUP(H1651,LUTs!$A$1:$C$73,3,FALSE),"NA")</f>
        <v>3South Puget Sound</v>
      </c>
      <c r="K1651" s="108" t="s">
        <v>20</v>
      </c>
      <c r="L1651" s="108" t="str">
        <f>VLOOKUP(K1651,LUTs!E$2:G$14,3,)</f>
        <v>07Pierce</v>
      </c>
      <c r="M1651" s="108" t="str">
        <f>VLOOKUP($K1651,LUTs!$E$2:$H$14,2,)</f>
        <v>South Puget Sound</v>
      </c>
      <c r="N1651" s="108" t="str">
        <f>VLOOKUP($K1651,LUTs!$E$2:$H$14,4,)</f>
        <v>02South Puget Sound</v>
      </c>
      <c r="O1651" s="108">
        <v>1407.0132743362799</v>
      </c>
      <c r="P1651" s="108">
        <v>12170.664823008799</v>
      </c>
      <c r="Q1651" s="108">
        <f>SUMIFS('FW_Salmon_by_Month_2010-2021'!P$2:P$3810,'FW_Salmon_by_Month_2010-2021'!$B$2:$B$3810,'Rec_raw_catch_effort_2010-2021'!$B1651,'FW_Salmon_by_Month_2010-2021'!$H$2:$H$3810,'Rec_raw_catch_effort_2010-2021'!$F1651,'FW_Salmon_by_Month_2010-2021'!$M$2:$M$3810,'Rec_raw_catch_effort_2010-2021'!$K1651)</f>
        <v>1407.0198906356779</v>
      </c>
      <c r="R1651" s="109">
        <f>VLOOKUP(B1651,Readme!$A$62:$C$74,2,)*Q1651</f>
        <v>6781.209614098012</v>
      </c>
      <c r="S1651" s="140" t="str">
        <f t="shared" si="141"/>
        <v>Y</v>
      </c>
      <c r="T1651" s="154">
        <f t="shared" si="142"/>
        <v>8.6499999999999844</v>
      </c>
      <c r="U1651" s="154">
        <f t="shared" si="143"/>
        <v>4.8195549041132084</v>
      </c>
    </row>
    <row r="1652" spans="1:21" x14ac:dyDescent="0.35">
      <c r="A1652" s="108">
        <v>549</v>
      </c>
      <c r="B1652" s="108">
        <v>2018</v>
      </c>
      <c r="C1652" s="108" t="s">
        <v>38</v>
      </c>
      <c r="D1652" s="108" t="s">
        <v>143</v>
      </c>
      <c r="E1652" s="108" t="s">
        <v>10</v>
      </c>
      <c r="F1652" s="116">
        <v>778</v>
      </c>
      <c r="G1652" s="108" t="s">
        <v>50</v>
      </c>
      <c r="H1652" s="108" t="str">
        <f t="shared" si="140"/>
        <v>Minter Creek</v>
      </c>
      <c r="I1652" s="108" t="str">
        <f>IFERROR(VLOOKUP(H1652,LUTs!$A$1:$C$73,2,FALSE),"NA")</f>
        <v>Kitsap/Pierce</v>
      </c>
      <c r="J1652" s="108" t="str">
        <f>IFERROR(VLOOKUP(H1652,LUTs!$A$1:$C$73,3,FALSE),"NA")</f>
        <v>3South Puget Sound</v>
      </c>
      <c r="K1652" s="108" t="s">
        <v>16</v>
      </c>
      <c r="L1652" s="108" t="str">
        <f>VLOOKUP(K1652,LUTs!E$2:G$14,3,)</f>
        <v>03Snohomish</v>
      </c>
      <c r="M1652" s="108" t="str">
        <f>VLOOKUP($K1652,LUTs!$E$2:$H$14,2,)</f>
        <v>North Puget Sound</v>
      </c>
      <c r="N1652" s="108" t="str">
        <f>VLOOKUP($K1652,LUTs!$E$2:$H$14,4,)</f>
        <v>01North Puget Sound</v>
      </c>
      <c r="O1652" s="108">
        <v>349.327433628319</v>
      </c>
      <c r="P1652" s="108">
        <v>3021.6823008849601</v>
      </c>
      <c r="Q1652" s="108">
        <f>SUMIFS('FW_Salmon_by_Month_2010-2021'!P$2:P$3810,'FW_Salmon_by_Month_2010-2021'!$B$2:$B$3810,'Rec_raw_catch_effort_2010-2021'!$B1652,'FW_Salmon_by_Month_2010-2021'!$H$2:$H$3810,'Rec_raw_catch_effort_2010-2021'!$F1652,'FW_Salmon_by_Month_2010-2021'!$M$2:$M$3810,'Rec_raw_catch_effort_2010-2021'!$K1652)</f>
        <v>389.29808612440195</v>
      </c>
      <c r="R1652" s="109">
        <f>VLOOKUP(B1652,Readme!$A$62:$C$74,2,)*Q1652</f>
        <v>1876.2435001427475</v>
      </c>
      <c r="S1652" s="140" t="str">
        <f t="shared" si="141"/>
        <v>Y</v>
      </c>
      <c r="T1652" s="154">
        <f t="shared" si="142"/>
        <v>8.6500000000000021</v>
      </c>
      <c r="U1652" s="154">
        <f t="shared" si="143"/>
        <v>4.8195549041132084</v>
      </c>
    </row>
    <row r="1653" spans="1:21" x14ac:dyDescent="0.35">
      <c r="A1653" s="108">
        <v>552</v>
      </c>
      <c r="B1653" s="108">
        <v>2018</v>
      </c>
      <c r="C1653" s="108" t="s">
        <v>38</v>
      </c>
      <c r="D1653" s="108" t="s">
        <v>143</v>
      </c>
      <c r="E1653" s="108" t="s">
        <v>10</v>
      </c>
      <c r="F1653" s="116">
        <v>778</v>
      </c>
      <c r="G1653" s="108" t="s">
        <v>50</v>
      </c>
      <c r="H1653" s="108" t="str">
        <f t="shared" si="140"/>
        <v>Minter Creek</v>
      </c>
      <c r="I1653" s="108" t="str">
        <f>IFERROR(VLOOKUP(H1653,LUTs!$A$1:$C$73,2,FALSE),"NA")</f>
        <v>Kitsap/Pierce</v>
      </c>
      <c r="J1653" s="108" t="str">
        <f>IFERROR(VLOOKUP(H1653,LUTs!$A$1:$C$73,3,FALSE),"NA")</f>
        <v>3South Puget Sound</v>
      </c>
      <c r="K1653" s="108" t="s">
        <v>21</v>
      </c>
      <c r="L1653" s="108" t="str">
        <f>VLOOKUP(K1653,LUTs!E$2:G$14,3,)</f>
        <v>08Thurston</v>
      </c>
      <c r="M1653" s="108" t="str">
        <f>VLOOKUP($K1653,LUTs!$E$2:$H$14,2,)</f>
        <v>South Puget Sound</v>
      </c>
      <c r="N1653" s="108" t="str">
        <f>VLOOKUP($K1653,LUTs!$E$2:$H$14,4,)</f>
        <v>02South Puget Sound</v>
      </c>
      <c r="O1653" s="108">
        <v>97.035398230088504</v>
      </c>
      <c r="P1653" s="108">
        <v>839.35619469026597</v>
      </c>
      <c r="Q1653" s="108">
        <f>SUMIFS('FW_Salmon_by_Month_2010-2021'!P$2:P$3810,'FW_Salmon_by_Month_2010-2021'!$B$2:$B$3810,'Rec_raw_catch_effort_2010-2021'!$B1653,'FW_Salmon_by_Month_2010-2021'!$H$2:$H$3810,'Rec_raw_catch_effort_2010-2021'!$F1653,'FW_Salmon_by_Month_2010-2021'!$M$2:$M$3810,'Rec_raw_catch_effort_2010-2021'!$K1653)</f>
        <v>97.042606516290803</v>
      </c>
      <c r="R1653" s="109">
        <f>VLOOKUP(B1653,Readme!$A$62:$C$74,2,)*Q1653</f>
        <v>467.70217014351772</v>
      </c>
      <c r="S1653" s="140" t="str">
        <f t="shared" si="141"/>
        <v>Y</v>
      </c>
      <c r="T1653" s="154">
        <f t="shared" si="142"/>
        <v>8.6500000000000039</v>
      </c>
      <c r="U1653" s="154">
        <f t="shared" si="143"/>
        <v>4.8195549041132084</v>
      </c>
    </row>
    <row r="1654" spans="1:21" x14ac:dyDescent="0.35">
      <c r="A1654" s="108">
        <v>557</v>
      </c>
      <c r="B1654" s="108">
        <v>2019</v>
      </c>
      <c r="C1654" s="108" t="s">
        <v>38</v>
      </c>
      <c r="D1654" s="108" t="s">
        <v>143</v>
      </c>
      <c r="E1654" s="108" t="s">
        <v>10</v>
      </c>
      <c r="F1654" s="116">
        <v>778</v>
      </c>
      <c r="G1654" s="108" t="s">
        <v>50</v>
      </c>
      <c r="H1654" s="108" t="str">
        <f t="shared" si="140"/>
        <v>Minter Creek</v>
      </c>
      <c r="I1654" s="108" t="str">
        <f>IFERROR(VLOOKUP(H1654,LUTs!$A$1:$C$73,2,FALSE),"NA")</f>
        <v>Kitsap/Pierce</v>
      </c>
      <c r="J1654" s="108" t="str">
        <f>IFERROR(VLOOKUP(H1654,LUTs!$A$1:$C$73,3,FALSE),"NA")</f>
        <v>3South Puget Sound</v>
      </c>
      <c r="K1654" s="108" t="s">
        <v>17</v>
      </c>
      <c r="L1654" s="108" t="str">
        <f>VLOOKUP(K1654,LUTs!E$2:G$14,3,)</f>
        <v>04Island</v>
      </c>
      <c r="M1654" s="108" t="str">
        <f>VLOOKUP($K1654,LUTs!$E$2:$H$14,2,)</f>
        <v>North Puget Sound</v>
      </c>
      <c r="N1654" s="108" t="str">
        <f>VLOOKUP($K1654,LUTs!$E$2:$H$14,4,)</f>
        <v>01North Puget Sound</v>
      </c>
      <c r="O1654" s="108">
        <v>10.7590361445783</v>
      </c>
      <c r="P1654" s="108">
        <v>37.011084337349402</v>
      </c>
      <c r="Q1654" s="108">
        <f>SUMIFS('FW_Salmon_by_Month_2010-2021'!P$2:P$3810,'FW_Salmon_by_Month_2010-2021'!$B$2:$B$3810,'Rec_raw_catch_effort_2010-2021'!$B1654,'FW_Salmon_by_Month_2010-2021'!$H$2:$H$3810,'Rec_raw_catch_effort_2010-2021'!$F1654,'FW_Salmon_by_Month_2010-2021'!$M$2:$M$3810,'Rec_raw_catch_effort_2010-2021'!$K1654)</f>
        <v>10.752808988764</v>
      </c>
      <c r="R1654" s="109">
        <f>VLOOKUP(B1654,Readme!$A$62:$C$74,2,)*Q1654</f>
        <v>38.054625852491654</v>
      </c>
      <c r="S1654" s="140" t="str">
        <f t="shared" si="141"/>
        <v>Y</v>
      </c>
      <c r="T1654" s="154">
        <f t="shared" si="142"/>
        <v>3.4400000000000048</v>
      </c>
      <c r="U1654" s="154">
        <f t="shared" si="143"/>
        <v>3.5390404397824149</v>
      </c>
    </row>
    <row r="1655" spans="1:21" x14ac:dyDescent="0.35">
      <c r="A1655" s="108">
        <v>558</v>
      </c>
      <c r="B1655" s="108">
        <v>2019</v>
      </c>
      <c r="C1655" s="108" t="s">
        <v>38</v>
      </c>
      <c r="D1655" s="108" t="s">
        <v>143</v>
      </c>
      <c r="E1655" s="108" t="s">
        <v>10</v>
      </c>
      <c r="F1655" s="116">
        <v>778</v>
      </c>
      <c r="G1655" s="108" t="s">
        <v>50</v>
      </c>
      <c r="H1655" s="108" t="str">
        <f t="shared" si="140"/>
        <v>Minter Creek</v>
      </c>
      <c r="I1655" s="108" t="str">
        <f>IFERROR(VLOOKUP(H1655,LUTs!$A$1:$C$73,2,FALSE),"NA")</f>
        <v>Kitsap/Pierce</v>
      </c>
      <c r="J1655" s="108" t="str">
        <f>IFERROR(VLOOKUP(H1655,LUTs!$A$1:$C$73,3,FALSE),"NA")</f>
        <v>3South Puget Sound</v>
      </c>
      <c r="K1655" s="108" t="s">
        <v>18</v>
      </c>
      <c r="L1655" s="108" t="str">
        <f>VLOOKUP(K1655,LUTs!E$2:G$14,3,)</f>
        <v>06King</v>
      </c>
      <c r="M1655" s="108" t="str">
        <f>VLOOKUP($K1655,LUTs!$E$2:$H$14,2,)</f>
        <v>South Puget Sound</v>
      </c>
      <c r="N1655" s="108" t="str">
        <f>VLOOKUP($K1655,LUTs!$E$2:$H$14,4,)</f>
        <v>02South Puget Sound</v>
      </c>
      <c r="O1655" s="108">
        <v>505.67469879518097</v>
      </c>
      <c r="P1655" s="108">
        <v>1739.52096385542</v>
      </c>
      <c r="Q1655" s="108">
        <f>SUMIFS('FW_Salmon_by_Month_2010-2021'!P$2:P$3810,'FW_Salmon_by_Month_2010-2021'!$B$2:$B$3810,'Rec_raw_catch_effort_2010-2021'!$B1655,'FW_Salmon_by_Month_2010-2021'!$H$2:$H$3810,'Rec_raw_catch_effort_2010-2021'!$F1655,'FW_Salmon_by_Month_2010-2021'!$M$2:$M$3810,'Rec_raw_catch_effort_2010-2021'!$K1655)</f>
        <v>505.45088768909022</v>
      </c>
      <c r="R1655" s="109">
        <f>VLOOKUP(B1655,Readme!$A$62:$C$74,2,)*Q1655</f>
        <v>1788.81113185561</v>
      </c>
      <c r="S1655" s="140" t="str">
        <f t="shared" si="141"/>
        <v>Y</v>
      </c>
      <c r="T1655" s="154">
        <f t="shared" si="142"/>
        <v>3.4399999999999951</v>
      </c>
      <c r="U1655" s="154">
        <f t="shared" si="143"/>
        <v>3.5390404397824153</v>
      </c>
    </row>
    <row r="1656" spans="1:21" x14ac:dyDescent="0.35">
      <c r="A1656" s="108">
        <v>561</v>
      </c>
      <c r="B1656" s="108">
        <v>2019</v>
      </c>
      <c r="C1656" s="108" t="s">
        <v>38</v>
      </c>
      <c r="D1656" s="108" t="s">
        <v>143</v>
      </c>
      <c r="E1656" s="108" t="s">
        <v>10</v>
      </c>
      <c r="F1656" s="116">
        <v>778</v>
      </c>
      <c r="G1656" s="108" t="s">
        <v>50</v>
      </c>
      <c r="H1656" s="108" t="str">
        <f t="shared" si="140"/>
        <v>Minter Creek</v>
      </c>
      <c r="I1656" s="108" t="str">
        <f>IFERROR(VLOOKUP(H1656,LUTs!$A$1:$C$73,2,FALSE),"NA")</f>
        <v>Kitsap/Pierce</v>
      </c>
      <c r="J1656" s="108" t="str">
        <f>IFERROR(VLOOKUP(H1656,LUTs!$A$1:$C$73,3,FALSE),"NA")</f>
        <v>3South Puget Sound</v>
      </c>
      <c r="K1656" s="108" t="s">
        <v>23</v>
      </c>
      <c r="L1656" s="108" t="str">
        <f>VLOOKUP(K1656,LUTs!E$2:G$14,3,)</f>
        <v>10Kitsap</v>
      </c>
      <c r="M1656" s="108" t="str">
        <f>VLOOKUP($K1656,LUTs!$E$2:$H$14,2,)</f>
        <v>South Puget Sound</v>
      </c>
      <c r="N1656" s="108" t="str">
        <f>VLOOKUP($K1656,LUTs!$E$2:$H$14,4,)</f>
        <v>02South Puget Sound</v>
      </c>
      <c r="O1656" s="108">
        <v>419.60240963855398</v>
      </c>
      <c r="P1656" s="108">
        <v>1443.4322891566301</v>
      </c>
      <c r="Q1656" s="108">
        <f>SUMIFS('FW_Salmon_by_Month_2010-2021'!P$2:P$3810,'FW_Salmon_by_Month_2010-2021'!$B$2:$B$3810,'Rec_raw_catch_effort_2010-2021'!$B1656,'FW_Salmon_by_Month_2010-2021'!$H$2:$H$3810,'Rec_raw_catch_effort_2010-2021'!$F1656,'FW_Salmon_by_Month_2010-2021'!$M$2:$M$3810,'Rec_raw_catch_effort_2010-2021'!$K1656)</f>
        <v>419.95236149618216</v>
      </c>
      <c r="R1656" s="109">
        <f>VLOOKUP(B1656,Readme!$A$62:$C$74,2,)*Q1656</f>
        <v>1486.2283901171124</v>
      </c>
      <c r="S1656" s="140" t="str">
        <f t="shared" si="141"/>
        <v>Y</v>
      </c>
      <c r="T1656" s="154">
        <f t="shared" si="142"/>
        <v>3.4400000000000106</v>
      </c>
      <c r="U1656" s="154">
        <f t="shared" si="143"/>
        <v>3.5390404397824153</v>
      </c>
    </row>
    <row r="1657" spans="1:21" x14ac:dyDescent="0.35">
      <c r="A1657" s="108">
        <v>562</v>
      </c>
      <c r="B1657" s="108">
        <v>2019</v>
      </c>
      <c r="C1657" s="108" t="s">
        <v>38</v>
      </c>
      <c r="D1657" s="108" t="s">
        <v>143</v>
      </c>
      <c r="E1657" s="108" t="s">
        <v>10</v>
      </c>
      <c r="F1657" s="116">
        <v>778</v>
      </c>
      <c r="G1657" s="108" t="s">
        <v>50</v>
      </c>
      <c r="H1657" s="108" t="str">
        <f t="shared" si="140"/>
        <v>Minter Creek</v>
      </c>
      <c r="I1657" s="108" t="str">
        <f>IFERROR(VLOOKUP(H1657,LUTs!$A$1:$C$73,2,FALSE),"NA")</f>
        <v>Kitsap/Pierce</v>
      </c>
      <c r="J1657" s="108" t="str">
        <f>IFERROR(VLOOKUP(H1657,LUTs!$A$1:$C$73,3,FALSE),"NA")</f>
        <v>3South Puget Sound</v>
      </c>
      <c r="K1657" s="108" t="s">
        <v>26</v>
      </c>
      <c r="L1657" s="108" t="str">
        <f>VLOOKUP(K1657,LUTs!E$2:G$14,3,)</f>
        <v>20Other</v>
      </c>
      <c r="M1657" s="108" t="str">
        <f>VLOOKUP($K1657,LUTs!$E$2:$H$14,2,)</f>
        <v>Non Puget Sound</v>
      </c>
      <c r="N1657" s="108" t="str">
        <f>VLOOKUP($K1657,LUTs!$E$2:$H$14,4,)</f>
        <v>07Non Puget Sound</v>
      </c>
      <c r="O1657" s="108">
        <v>10.7590361445783</v>
      </c>
      <c r="P1657" s="108">
        <v>37.011084337349402</v>
      </c>
      <c r="Q1657" s="108">
        <f>SUMIFS('FW_Salmon_by_Month_2010-2021'!P$2:P$3810,'FW_Salmon_by_Month_2010-2021'!$B$2:$B$3810,'Rec_raw_catch_effort_2010-2021'!$B1657,'FW_Salmon_by_Month_2010-2021'!$H$2:$H$3810,'Rec_raw_catch_effort_2010-2021'!$F1657,'FW_Salmon_by_Month_2010-2021'!$M$2:$M$3810,'Rec_raw_catch_effort_2010-2021'!$K1657)</f>
        <v>10.752808988764</v>
      </c>
      <c r="R1657" s="109">
        <f>VLOOKUP(B1657,Readme!$A$62:$C$74,2,)*Q1657</f>
        <v>38.054625852491654</v>
      </c>
      <c r="S1657" s="140" t="str">
        <f t="shared" si="141"/>
        <v>Y</v>
      </c>
      <c r="T1657" s="154">
        <f t="shared" si="142"/>
        <v>3.4400000000000048</v>
      </c>
      <c r="U1657" s="154">
        <f t="shared" si="143"/>
        <v>3.5390404397824149</v>
      </c>
    </row>
    <row r="1658" spans="1:21" x14ac:dyDescent="0.35">
      <c r="A1658" s="108">
        <v>559</v>
      </c>
      <c r="B1658" s="108">
        <v>2019</v>
      </c>
      <c r="C1658" s="108" t="s">
        <v>38</v>
      </c>
      <c r="D1658" s="108" t="s">
        <v>143</v>
      </c>
      <c r="E1658" s="108" t="s">
        <v>10</v>
      </c>
      <c r="F1658" s="116">
        <v>778</v>
      </c>
      <c r="G1658" s="108" t="s">
        <v>50</v>
      </c>
      <c r="H1658" s="108" t="str">
        <f t="shared" si="140"/>
        <v>Minter Creek</v>
      </c>
      <c r="I1658" s="108" t="str">
        <f>IFERROR(VLOOKUP(H1658,LUTs!$A$1:$C$73,2,FALSE),"NA")</f>
        <v>Kitsap/Pierce</v>
      </c>
      <c r="J1658" s="108" t="str">
        <f>IFERROR(VLOOKUP(H1658,LUTs!$A$1:$C$73,3,FALSE),"NA")</f>
        <v>3South Puget Sound</v>
      </c>
      <c r="K1658" s="108" t="s">
        <v>20</v>
      </c>
      <c r="L1658" s="108" t="str">
        <f>VLOOKUP(K1658,LUTs!E$2:G$14,3,)</f>
        <v>07Pierce</v>
      </c>
      <c r="M1658" s="108" t="str">
        <f>VLOOKUP($K1658,LUTs!$E$2:$H$14,2,)</f>
        <v>South Puget Sound</v>
      </c>
      <c r="N1658" s="108" t="str">
        <f>VLOOKUP($K1658,LUTs!$E$2:$H$14,4,)</f>
        <v>02South Puget Sound</v>
      </c>
      <c r="O1658" s="108">
        <v>645.54216867469904</v>
      </c>
      <c r="P1658" s="108">
        <v>2220.66506024096</v>
      </c>
      <c r="Q1658" s="108">
        <f>SUMIFS('FW_Salmon_by_Month_2010-2021'!P$2:P$3810,'FW_Salmon_by_Month_2010-2021'!$B$2:$B$3810,'Rec_raw_catch_effort_2010-2021'!$B1658,'FW_Salmon_by_Month_2010-2021'!$H$2:$H$3810,'Rec_raw_catch_effort_2010-2021'!$F1658,'FW_Salmon_by_Month_2010-2021'!$M$2:$M$3810,'Rec_raw_catch_effort_2010-2021'!$K1658)</f>
        <v>645.41064254098012</v>
      </c>
      <c r="R1658" s="109">
        <f>VLOOKUP(B1658,Readme!$A$62:$C$74,2,)*Q1658</f>
        <v>2284.1343642184816</v>
      </c>
      <c r="S1658" s="140" t="str">
        <f t="shared" si="141"/>
        <v>Y</v>
      </c>
      <c r="T1658" s="154">
        <f t="shared" si="142"/>
        <v>3.4399999999999928</v>
      </c>
      <c r="U1658" s="154">
        <f t="shared" si="143"/>
        <v>3.5390404397824153</v>
      </c>
    </row>
    <row r="1659" spans="1:21" x14ac:dyDescent="0.35">
      <c r="A1659" s="108">
        <v>556</v>
      </c>
      <c r="B1659" s="108">
        <v>2019</v>
      </c>
      <c r="C1659" s="108" t="s">
        <v>38</v>
      </c>
      <c r="D1659" s="108" t="s">
        <v>143</v>
      </c>
      <c r="E1659" s="108" t="s">
        <v>10</v>
      </c>
      <c r="F1659" s="116">
        <v>778</v>
      </c>
      <c r="G1659" s="108" t="s">
        <v>50</v>
      </c>
      <c r="H1659" s="108" t="str">
        <f t="shared" si="140"/>
        <v>Minter Creek</v>
      </c>
      <c r="I1659" s="108" t="str">
        <f>IFERROR(VLOOKUP(H1659,LUTs!$A$1:$C$73,2,FALSE),"NA")</f>
        <v>Kitsap/Pierce</v>
      </c>
      <c r="J1659" s="108" t="str">
        <f>IFERROR(VLOOKUP(H1659,LUTs!$A$1:$C$73,3,FALSE),"NA")</f>
        <v>3South Puget Sound</v>
      </c>
      <c r="K1659" s="108" t="s">
        <v>16</v>
      </c>
      <c r="L1659" s="108" t="str">
        <f>VLOOKUP(K1659,LUTs!E$2:G$14,3,)</f>
        <v>03Snohomish</v>
      </c>
      <c r="M1659" s="108" t="str">
        <f>VLOOKUP($K1659,LUTs!$E$2:$H$14,2,)</f>
        <v>North Puget Sound</v>
      </c>
      <c r="N1659" s="108" t="str">
        <f>VLOOKUP($K1659,LUTs!$E$2:$H$14,4,)</f>
        <v>01North Puget Sound</v>
      </c>
      <c r="O1659" s="108">
        <v>75.313253012048193</v>
      </c>
      <c r="P1659" s="108">
        <v>259.07759036144603</v>
      </c>
      <c r="Q1659" s="108">
        <f>SUMIFS('FW_Salmon_by_Month_2010-2021'!P$2:P$3810,'FW_Salmon_by_Month_2010-2021'!$B$2:$B$3810,'Rec_raw_catch_effort_2010-2021'!$B1659,'FW_Salmon_by_Month_2010-2021'!$H$2:$H$3810,'Rec_raw_catch_effort_2010-2021'!$F1659,'FW_Salmon_by_Month_2010-2021'!$M$2:$M$3810,'Rec_raw_catch_effort_2010-2021'!$K1659)</f>
        <v>75.280490296220691</v>
      </c>
      <c r="R1659" s="109">
        <f>VLOOKUP(B1659,Readme!$A$62:$C$74,2,)*Q1659</f>
        <v>266.42069948497272</v>
      </c>
      <c r="S1659" s="140" t="str">
        <f t="shared" si="141"/>
        <v>Y</v>
      </c>
      <c r="T1659" s="154">
        <f t="shared" si="142"/>
        <v>3.4400000000000031</v>
      </c>
      <c r="U1659" s="154">
        <f t="shared" si="143"/>
        <v>3.5390404397824153</v>
      </c>
    </row>
    <row r="1660" spans="1:21" x14ac:dyDescent="0.35">
      <c r="A1660" s="108">
        <v>560</v>
      </c>
      <c r="B1660" s="108">
        <v>2019</v>
      </c>
      <c r="C1660" s="108" t="s">
        <v>38</v>
      </c>
      <c r="D1660" s="108" t="s">
        <v>143</v>
      </c>
      <c r="E1660" s="108" t="s">
        <v>10</v>
      </c>
      <c r="F1660" s="116">
        <v>778</v>
      </c>
      <c r="G1660" s="108" t="s">
        <v>50</v>
      </c>
      <c r="H1660" s="108" t="str">
        <f t="shared" si="140"/>
        <v>Minter Creek</v>
      </c>
      <c r="I1660" s="108" t="str">
        <f>IFERROR(VLOOKUP(H1660,LUTs!$A$1:$C$73,2,FALSE),"NA")</f>
        <v>Kitsap/Pierce</v>
      </c>
      <c r="J1660" s="108" t="str">
        <f>IFERROR(VLOOKUP(H1660,LUTs!$A$1:$C$73,3,FALSE),"NA")</f>
        <v>3South Puget Sound</v>
      </c>
      <c r="K1660" s="108" t="s">
        <v>21</v>
      </c>
      <c r="L1660" s="108" t="str">
        <f>VLOOKUP(K1660,LUTs!E$2:G$14,3,)</f>
        <v>08Thurston</v>
      </c>
      <c r="M1660" s="108" t="str">
        <f>VLOOKUP($K1660,LUTs!$E$2:$H$14,2,)</f>
        <v>South Puget Sound</v>
      </c>
      <c r="N1660" s="108" t="str">
        <f>VLOOKUP($K1660,LUTs!$E$2:$H$14,4,)</f>
        <v>02South Puget Sound</v>
      </c>
      <c r="O1660" s="108">
        <v>118.34939759036099</v>
      </c>
      <c r="P1660" s="108">
        <v>407.12192771084199</v>
      </c>
      <c r="Q1660" s="108">
        <f>SUMIFS('FW_Salmon_by_Month_2010-2021'!P$2:P$3810,'FW_Salmon_by_Month_2010-2021'!$B$2:$B$3810,'Rec_raw_catch_effort_2010-2021'!$B1660,'FW_Salmon_by_Month_2010-2021'!$H$2:$H$3810,'Rec_raw_catch_effort_2010-2021'!$F1660,'FW_Salmon_by_Month_2010-2021'!$M$2:$M$3810,'Rec_raw_catch_effort_2010-2021'!$K1660)</f>
        <v>118.4</v>
      </c>
      <c r="R1660" s="109">
        <f>VLOOKUP(B1660,Readme!$A$62:$C$74,2,)*Q1660</f>
        <v>419.02238807023798</v>
      </c>
      <c r="S1660" s="140" t="str">
        <f t="shared" si="141"/>
        <v>Y</v>
      </c>
      <c r="T1660" s="154">
        <f t="shared" si="142"/>
        <v>3.4400000000000013</v>
      </c>
      <c r="U1660" s="154">
        <f t="shared" si="143"/>
        <v>3.5390404397824153</v>
      </c>
    </row>
    <row r="1661" spans="1:21" x14ac:dyDescent="0.35">
      <c r="A1661" s="108">
        <v>564</v>
      </c>
      <c r="B1661" s="108">
        <v>2020</v>
      </c>
      <c r="C1661" s="108" t="s">
        <v>38</v>
      </c>
      <c r="D1661" s="108" t="s">
        <v>143</v>
      </c>
      <c r="E1661" s="108" t="s">
        <v>10</v>
      </c>
      <c r="F1661" s="116">
        <v>778</v>
      </c>
      <c r="G1661" s="108" t="s">
        <v>50</v>
      </c>
      <c r="H1661" s="108" t="str">
        <f t="shared" si="140"/>
        <v>Minter Creek</v>
      </c>
      <c r="I1661" s="108" t="str">
        <f>IFERROR(VLOOKUP(H1661,LUTs!$A$1:$C$73,2,FALSE),"NA")</f>
        <v>Kitsap/Pierce</v>
      </c>
      <c r="J1661" s="108" t="str">
        <f>IFERROR(VLOOKUP(H1661,LUTs!$A$1:$C$73,3,FALSE),"NA")</f>
        <v>3South Puget Sound</v>
      </c>
      <c r="K1661" s="108" t="s">
        <v>18</v>
      </c>
      <c r="L1661" s="108" t="str">
        <f>VLOOKUP(K1661,LUTs!E$2:G$14,3,)</f>
        <v>06King</v>
      </c>
      <c r="M1661" s="108" t="str">
        <f>VLOOKUP($K1661,LUTs!$E$2:$H$14,2,)</f>
        <v>South Puget Sound</v>
      </c>
      <c r="N1661" s="108" t="str">
        <f>VLOOKUP($K1661,LUTs!$E$2:$H$14,4,)</f>
        <v>02South Puget Sound</v>
      </c>
      <c r="O1661" s="108">
        <v>957.11229946524099</v>
      </c>
      <c r="P1661" s="108">
        <v>8279.0213903743406</v>
      </c>
      <c r="Q1661" s="108">
        <f>SUMIFS('FW_Salmon_by_Month_2010-2021'!P$2:P$3810,'FW_Salmon_by_Month_2010-2021'!$B$2:$B$3810,'Rec_raw_catch_effort_2010-2021'!$B1661,'FW_Salmon_by_Month_2010-2021'!$H$2:$H$3810,'Rec_raw_catch_effort_2010-2021'!$F1661,'FW_Salmon_by_Month_2010-2021'!$M$2:$M$3810,'Rec_raw_catch_effort_2010-2021'!$K1661)</f>
        <v>967.23675952166946</v>
      </c>
      <c r="R1661" s="109">
        <f>VLOOKUP(B1661,Readme!$A$62:$C$74,2,)*Q1661</f>
        <v>4661.6506677912303</v>
      </c>
      <c r="S1661" s="140" t="str">
        <f t="shared" si="141"/>
        <v>N</v>
      </c>
      <c r="T1661" s="154">
        <f t="shared" si="142"/>
        <v>8.6500000000000057</v>
      </c>
      <c r="U1661" s="154">
        <f t="shared" si="143"/>
        <v>4.8195549041132084</v>
      </c>
    </row>
    <row r="1662" spans="1:21" x14ac:dyDescent="0.35">
      <c r="A1662" s="108">
        <v>652</v>
      </c>
      <c r="B1662" s="108">
        <v>2020</v>
      </c>
      <c r="C1662" s="108" t="s">
        <v>38</v>
      </c>
      <c r="D1662" s="108" t="s">
        <v>143</v>
      </c>
      <c r="E1662" s="108" t="s">
        <v>10</v>
      </c>
      <c r="F1662" s="116">
        <v>778</v>
      </c>
      <c r="G1662" s="108" t="s">
        <v>50</v>
      </c>
      <c r="H1662" s="108" t="str">
        <f t="shared" si="140"/>
        <v>Minter Creek</v>
      </c>
      <c r="I1662" s="108" t="str">
        <f>IFERROR(VLOOKUP(H1662,LUTs!$A$1:$C$73,2,FALSE),"NA")</f>
        <v>Kitsap/Pierce</v>
      </c>
      <c r="J1662" s="108" t="str">
        <f>IFERROR(VLOOKUP(H1662,LUTs!$A$1:$C$73,3,FALSE),"NA")</f>
        <v>3South Puget Sound</v>
      </c>
      <c r="K1662" s="108" t="s">
        <v>23</v>
      </c>
      <c r="L1662" s="108" t="str">
        <f>VLOOKUP(K1662,LUTs!E$2:G$14,3,)</f>
        <v>10Kitsap</v>
      </c>
      <c r="M1662" s="108" t="str">
        <f>VLOOKUP($K1662,LUTs!$E$2:$H$14,2,)</f>
        <v>South Puget Sound</v>
      </c>
      <c r="N1662" s="108" t="str">
        <f>VLOOKUP($K1662,LUTs!$E$2:$H$14,4,)</f>
        <v>02South Puget Sound</v>
      </c>
      <c r="O1662" s="108">
        <v>163.71657754010701</v>
      </c>
      <c r="P1662" s="108">
        <v>1416.14839572193</v>
      </c>
      <c r="Q1662" s="108">
        <f>SUMIFS('FW_Salmon_by_Month_2010-2021'!P$2:P$3810,'FW_Salmon_by_Month_2010-2021'!$B$2:$B$3810,'Rec_raw_catch_effort_2010-2021'!$B1662,'FW_Salmon_by_Month_2010-2021'!$H$2:$H$3810,'Rec_raw_catch_effort_2010-2021'!$F1662,'FW_Salmon_by_Month_2010-2021'!$M$2:$M$3810,'Rec_raw_catch_effort_2010-2021'!$K1662)</f>
        <v>167.44654731457771</v>
      </c>
      <c r="R1662" s="109">
        <f>VLOOKUP(B1662,Readme!$A$62:$C$74,2,)*Q1662</f>
        <v>807.01782828679745</v>
      </c>
      <c r="S1662" s="140" t="str">
        <f t="shared" si="141"/>
        <v>N</v>
      </c>
      <c r="T1662" s="154">
        <f t="shared" si="142"/>
        <v>8.650000000000027</v>
      </c>
      <c r="U1662" s="154">
        <f t="shared" si="143"/>
        <v>4.8195549041132084</v>
      </c>
    </row>
    <row r="1663" spans="1:21" x14ac:dyDescent="0.35">
      <c r="A1663" s="108">
        <v>651</v>
      </c>
      <c r="B1663" s="108">
        <v>2020</v>
      </c>
      <c r="C1663" s="108" t="s">
        <v>38</v>
      </c>
      <c r="D1663" s="108" t="s">
        <v>143</v>
      </c>
      <c r="E1663" s="108" t="s">
        <v>10</v>
      </c>
      <c r="F1663" s="116">
        <v>778</v>
      </c>
      <c r="G1663" s="108" t="s">
        <v>50</v>
      </c>
      <c r="H1663" s="108" t="str">
        <f t="shared" si="140"/>
        <v>Minter Creek</v>
      </c>
      <c r="I1663" s="108" t="str">
        <f>IFERROR(VLOOKUP(H1663,LUTs!$A$1:$C$73,2,FALSE),"NA")</f>
        <v>Kitsap/Pierce</v>
      </c>
      <c r="J1663" s="108" t="str">
        <f>IFERROR(VLOOKUP(H1663,LUTs!$A$1:$C$73,3,FALSE),"NA")</f>
        <v>3South Puget Sound</v>
      </c>
      <c r="K1663" s="108" t="s">
        <v>22</v>
      </c>
      <c r="L1663" s="108" t="str">
        <f>VLOOKUP(K1663,LUTs!E$2:G$14,3,)</f>
        <v>09Mason</v>
      </c>
      <c r="M1663" s="108" t="str">
        <f>VLOOKUP($K1663,LUTs!$E$2:$H$14,2,)</f>
        <v>South Puget Sound</v>
      </c>
      <c r="N1663" s="108" t="str">
        <f>VLOOKUP($K1663,LUTs!$E$2:$H$14,4,)</f>
        <v>02South Puget Sound</v>
      </c>
      <c r="O1663" s="108">
        <v>50.374331550802196</v>
      </c>
      <c r="P1663" s="108">
        <v>435.73796791443903</v>
      </c>
      <c r="Q1663" s="108">
        <f>SUMIFS('FW_Salmon_by_Month_2010-2021'!P$2:P$3810,'FW_Salmon_by_Month_2010-2021'!$B$2:$B$3810,'Rec_raw_catch_effort_2010-2021'!$B1663,'FW_Salmon_by_Month_2010-2021'!$H$2:$H$3810,'Rec_raw_catch_effort_2010-2021'!$F1663,'FW_Salmon_by_Month_2010-2021'!$M$2:$M$3810,'Rec_raw_catch_effort_2010-2021'!$K1663)</f>
        <v>51.941176470588204</v>
      </c>
      <c r="R1663" s="109">
        <f>VLOOKUP(B1663,Readme!$A$62:$C$74,2,)*Q1663</f>
        <v>250.33335178423297</v>
      </c>
      <c r="S1663" s="140" t="str">
        <f t="shared" si="141"/>
        <v>N</v>
      </c>
      <c r="T1663" s="154">
        <f t="shared" si="142"/>
        <v>8.65</v>
      </c>
      <c r="U1663" s="154">
        <f t="shared" si="143"/>
        <v>4.8195549041132084</v>
      </c>
    </row>
    <row r="1664" spans="1:21" x14ac:dyDescent="0.35">
      <c r="A1664" s="108">
        <v>653</v>
      </c>
      <c r="B1664" s="108">
        <v>2020</v>
      </c>
      <c r="C1664" s="108" t="s">
        <v>38</v>
      </c>
      <c r="D1664" s="108" t="s">
        <v>143</v>
      </c>
      <c r="E1664" s="108" t="s">
        <v>10</v>
      </c>
      <c r="F1664" s="116">
        <v>778</v>
      </c>
      <c r="G1664" s="108" t="s">
        <v>50</v>
      </c>
      <c r="H1664" s="108" t="str">
        <f t="shared" si="140"/>
        <v>Minter Creek</v>
      </c>
      <c r="I1664" s="108" t="str">
        <f>IFERROR(VLOOKUP(H1664,LUTs!$A$1:$C$73,2,FALSE),"NA")</f>
        <v>Kitsap/Pierce</v>
      </c>
      <c r="J1664" s="108" t="str">
        <f>IFERROR(VLOOKUP(H1664,LUTs!$A$1:$C$73,3,FALSE),"NA")</f>
        <v>3South Puget Sound</v>
      </c>
      <c r="K1664" s="108" t="s">
        <v>26</v>
      </c>
      <c r="L1664" s="108" t="str">
        <f>VLOOKUP(K1664,LUTs!E$2:G$14,3,)</f>
        <v>20Other</v>
      </c>
      <c r="M1664" s="108" t="str">
        <f>VLOOKUP($K1664,LUTs!$E$2:$H$14,2,)</f>
        <v>Non Puget Sound</v>
      </c>
      <c r="N1664" s="108" t="str">
        <f>VLOOKUP($K1664,LUTs!$E$2:$H$14,4,)</f>
        <v>07Non Puget Sound</v>
      </c>
      <c r="O1664" s="108">
        <v>75.561497326203195</v>
      </c>
      <c r="P1664" s="108">
        <v>653.606951871658</v>
      </c>
      <c r="Q1664" s="108">
        <f>SUMIFS('FW_Salmon_by_Month_2010-2021'!P$2:P$3810,'FW_Salmon_by_Month_2010-2021'!$B$2:$B$3810,'Rec_raw_catch_effort_2010-2021'!$B1664,'FW_Salmon_by_Month_2010-2021'!$H$2:$H$3810,'Rec_raw_catch_effort_2010-2021'!$F1664,'FW_Salmon_by_Month_2010-2021'!$M$2:$M$3810,'Rec_raw_catch_effort_2010-2021'!$K1664)</f>
        <v>63.3913043478261</v>
      </c>
      <c r="R1664" s="109">
        <f>VLOOKUP(B1664,Readme!$A$62:$C$74,2,)*Q1664</f>
        <v>305.51787174769822</v>
      </c>
      <c r="S1664" s="140" t="str">
        <f t="shared" si="141"/>
        <v>N</v>
      </c>
      <c r="T1664" s="154">
        <f t="shared" si="142"/>
        <v>8.6500000000000039</v>
      </c>
      <c r="U1664" s="154">
        <f t="shared" si="143"/>
        <v>4.8195549041132084</v>
      </c>
    </row>
    <row r="1665" spans="1:21" x14ac:dyDescent="0.35">
      <c r="A1665" s="108">
        <v>565</v>
      </c>
      <c r="B1665" s="108">
        <v>2020</v>
      </c>
      <c r="C1665" s="108" t="s">
        <v>38</v>
      </c>
      <c r="D1665" s="108" t="s">
        <v>143</v>
      </c>
      <c r="E1665" s="108" t="s">
        <v>10</v>
      </c>
      <c r="F1665" s="116">
        <v>778</v>
      </c>
      <c r="G1665" s="108" t="s">
        <v>50</v>
      </c>
      <c r="H1665" s="108" t="str">
        <f t="shared" si="140"/>
        <v>Minter Creek</v>
      </c>
      <c r="I1665" s="108" t="str">
        <f>IFERROR(VLOOKUP(H1665,LUTs!$A$1:$C$73,2,FALSE),"NA")</f>
        <v>Kitsap/Pierce</v>
      </c>
      <c r="J1665" s="108" t="str">
        <f>IFERROR(VLOOKUP(H1665,LUTs!$A$1:$C$73,3,FALSE),"NA")</f>
        <v>3South Puget Sound</v>
      </c>
      <c r="K1665" s="108" t="s">
        <v>20</v>
      </c>
      <c r="L1665" s="108" t="str">
        <f>VLOOKUP(K1665,LUTs!E$2:G$14,3,)</f>
        <v>07Pierce</v>
      </c>
      <c r="M1665" s="108" t="str">
        <f>VLOOKUP($K1665,LUTs!$E$2:$H$14,2,)</f>
        <v>South Puget Sound</v>
      </c>
      <c r="N1665" s="108" t="str">
        <f>VLOOKUP($K1665,LUTs!$E$2:$H$14,4,)</f>
        <v>02South Puget Sound</v>
      </c>
      <c r="O1665" s="108">
        <v>680.05347593582906</v>
      </c>
      <c r="P1665" s="108">
        <v>5882.4625668449198</v>
      </c>
      <c r="Q1665" s="108">
        <f>SUMIFS('FW_Salmon_by_Month_2010-2021'!P$2:P$3810,'FW_Salmon_by_Month_2010-2021'!$B$2:$B$3810,'Rec_raw_catch_effort_2010-2021'!$B1665,'FW_Salmon_by_Month_2010-2021'!$H$2:$H$3810,'Rec_raw_catch_effort_2010-2021'!$F1665,'FW_Salmon_by_Month_2010-2021'!$M$2:$M$3810,'Rec_raw_catch_effort_2010-2021'!$K1665)</f>
        <v>673.67852353632372</v>
      </c>
      <c r="R1665" s="109">
        <f>VLOOKUP(B1665,Readme!$A$62:$C$74,2,)*Q1665</f>
        <v>3246.8306319052344</v>
      </c>
      <c r="S1665" s="140" t="str">
        <f t="shared" si="141"/>
        <v>N</v>
      </c>
      <c r="T1665" s="154">
        <f t="shared" si="142"/>
        <v>8.6499999999999986</v>
      </c>
      <c r="U1665" s="154">
        <f t="shared" si="143"/>
        <v>4.8195549041132084</v>
      </c>
    </row>
    <row r="1666" spans="1:21" x14ac:dyDescent="0.35">
      <c r="A1666" s="108">
        <v>563</v>
      </c>
      <c r="B1666" s="108">
        <v>2020</v>
      </c>
      <c r="C1666" s="108" t="s">
        <v>38</v>
      </c>
      <c r="D1666" s="108" t="s">
        <v>143</v>
      </c>
      <c r="E1666" s="108" t="s">
        <v>10</v>
      </c>
      <c r="F1666" s="116">
        <v>778</v>
      </c>
      <c r="G1666" s="108" t="s">
        <v>50</v>
      </c>
      <c r="H1666" s="108" t="str">
        <f t="shared" ref="H1666:H1729" si="144">G1666</f>
        <v>Minter Creek</v>
      </c>
      <c r="I1666" s="108" t="str">
        <f>IFERROR(VLOOKUP(H1666,LUTs!$A$1:$C$73,2,FALSE),"NA")</f>
        <v>Kitsap/Pierce</v>
      </c>
      <c r="J1666" s="108" t="str">
        <f>IFERROR(VLOOKUP(H1666,LUTs!$A$1:$C$73,3,FALSE),"NA")</f>
        <v>3South Puget Sound</v>
      </c>
      <c r="K1666" s="108" t="s">
        <v>16</v>
      </c>
      <c r="L1666" s="108" t="str">
        <f>VLOOKUP(K1666,LUTs!E$2:G$14,3,)</f>
        <v>03Snohomish</v>
      </c>
      <c r="M1666" s="108" t="str">
        <f>VLOOKUP($K1666,LUTs!$E$2:$H$14,2,)</f>
        <v>North Puget Sound</v>
      </c>
      <c r="N1666" s="108" t="str">
        <f>VLOOKUP($K1666,LUTs!$E$2:$H$14,4,)</f>
        <v>01North Puget Sound</v>
      </c>
      <c r="O1666" s="108">
        <v>352.62032085561498</v>
      </c>
      <c r="P1666" s="108">
        <v>3050.1657754010698</v>
      </c>
      <c r="Q1666" s="108">
        <f>SUMIFS('FW_Salmon_by_Month_2010-2021'!P$2:P$3810,'FW_Salmon_by_Month_2010-2021'!$B$2:$B$3810,'Rec_raw_catch_effort_2010-2021'!$B1666,'FW_Salmon_by_Month_2010-2021'!$H$2:$H$3810,'Rec_raw_catch_effort_2010-2021'!$F1666,'FW_Salmon_by_Month_2010-2021'!$M$2:$M$3810,'Rec_raw_catch_effort_2010-2021'!$K1666)</f>
        <v>354.98354876615804</v>
      </c>
      <c r="R1666" s="109">
        <f>VLOOKUP(B1666,Readme!$A$62:$C$74,2,)*Q1666</f>
        <v>1710.8627033354473</v>
      </c>
      <c r="S1666" s="140" t="str">
        <f t="shared" si="141"/>
        <v>N</v>
      </c>
      <c r="T1666" s="154">
        <f t="shared" si="142"/>
        <v>8.65</v>
      </c>
      <c r="U1666" s="154">
        <f t="shared" si="143"/>
        <v>4.8195549041132084</v>
      </c>
    </row>
    <row r="1667" spans="1:21" x14ac:dyDescent="0.35">
      <c r="A1667" s="108">
        <v>566</v>
      </c>
      <c r="B1667" s="108">
        <v>2020</v>
      </c>
      <c r="C1667" s="108" t="s">
        <v>38</v>
      </c>
      <c r="D1667" s="108" t="s">
        <v>143</v>
      </c>
      <c r="E1667" s="108" t="s">
        <v>10</v>
      </c>
      <c r="F1667" s="116">
        <v>778</v>
      </c>
      <c r="G1667" s="108" t="s">
        <v>50</v>
      </c>
      <c r="H1667" s="108" t="str">
        <f t="shared" si="144"/>
        <v>Minter Creek</v>
      </c>
      <c r="I1667" s="108" t="str">
        <f>IFERROR(VLOOKUP(H1667,LUTs!$A$1:$C$73,2,FALSE),"NA")</f>
        <v>Kitsap/Pierce</v>
      </c>
      <c r="J1667" s="108" t="str">
        <f>IFERROR(VLOOKUP(H1667,LUTs!$A$1:$C$73,3,FALSE),"NA")</f>
        <v>3South Puget Sound</v>
      </c>
      <c r="K1667" s="108" t="s">
        <v>21</v>
      </c>
      <c r="L1667" s="108" t="str">
        <f>VLOOKUP(K1667,LUTs!E$2:G$14,3,)</f>
        <v>08Thurston</v>
      </c>
      <c r="M1667" s="108" t="str">
        <f>VLOOKUP($K1667,LUTs!$E$2:$H$14,2,)</f>
        <v>South Puget Sound</v>
      </c>
      <c r="N1667" s="108" t="str">
        <f>VLOOKUP($K1667,LUTs!$E$2:$H$14,4,)</f>
        <v>02South Puget Sound</v>
      </c>
      <c r="O1667" s="108">
        <v>75.561497326203195</v>
      </c>
      <c r="P1667" s="108">
        <v>653.606951871658</v>
      </c>
      <c r="Q1667" s="108">
        <f>SUMIFS('FW_Salmon_by_Month_2010-2021'!P$2:P$3810,'FW_Salmon_by_Month_2010-2021'!$B$2:$B$3810,'Rec_raw_catch_effort_2010-2021'!$B1667,'FW_Salmon_by_Month_2010-2021'!$H$2:$H$3810,'Rec_raw_catch_effort_2010-2021'!$F1667,'FW_Salmon_by_Month_2010-2021'!$M$2:$M$3810,'Rec_raw_catch_effort_2010-2021'!$K1667)</f>
        <v>76.322140042856105</v>
      </c>
      <c r="R1667" s="109">
        <f>VLOOKUP(B1667,Readme!$A$62:$C$74,2,)*Q1667</f>
        <v>367.83874433596225</v>
      </c>
      <c r="S1667" s="140" t="str">
        <f t="shared" ref="S1667:S1730" si="145">IF(B1667&lt;=2019,"Y","N")</f>
        <v>N</v>
      </c>
      <c r="T1667" s="154">
        <f t="shared" ref="T1667:T1730" si="146">IFERROR(P1667/O1667,"NA")</f>
        <v>8.6500000000000039</v>
      </c>
      <c r="U1667" s="154">
        <f t="shared" ref="U1667:U1730" si="147">IFERROR(R1667/Q1667,"NA")</f>
        <v>4.8195549041132084</v>
      </c>
    </row>
    <row r="1668" spans="1:21" x14ac:dyDescent="0.35">
      <c r="A1668" s="108">
        <v>655</v>
      </c>
      <c r="B1668" s="108">
        <v>2021</v>
      </c>
      <c r="C1668" s="108" t="s">
        <v>38</v>
      </c>
      <c r="D1668" s="108" t="s">
        <v>143</v>
      </c>
      <c r="E1668" s="108" t="s">
        <v>10</v>
      </c>
      <c r="F1668" s="116">
        <v>778</v>
      </c>
      <c r="G1668" s="108" t="s">
        <v>50</v>
      </c>
      <c r="H1668" s="108" t="str">
        <f t="shared" si="144"/>
        <v>Minter Creek</v>
      </c>
      <c r="I1668" s="108" t="str">
        <f>IFERROR(VLOOKUP(H1668,LUTs!$A$1:$C$73,2,FALSE),"NA")</f>
        <v>Kitsap/Pierce</v>
      </c>
      <c r="J1668" s="108" t="str">
        <f>IFERROR(VLOOKUP(H1668,LUTs!$A$1:$C$73,3,FALSE),"NA")</f>
        <v>3South Puget Sound</v>
      </c>
      <c r="K1668" s="108" t="s">
        <v>18</v>
      </c>
      <c r="L1668" s="108" t="str">
        <f>VLOOKUP(K1668,LUTs!E$2:G$14,3,)</f>
        <v>06King</v>
      </c>
      <c r="M1668" s="108" t="str">
        <f>VLOOKUP($K1668,LUTs!$E$2:$H$14,2,)</f>
        <v>South Puget Sound</v>
      </c>
      <c r="N1668" s="108" t="str">
        <f>VLOOKUP($K1668,LUTs!$E$2:$H$14,4,)</f>
        <v>02South Puget Sound</v>
      </c>
      <c r="O1668" s="108">
        <v>2285.75829383886</v>
      </c>
      <c r="P1668" s="108">
        <v>7863.0085308056796</v>
      </c>
      <c r="Q1668" s="108">
        <f>SUMIFS('FW_Salmon_by_Month_2010-2021'!P$2:P$3810,'FW_Salmon_by_Month_2010-2021'!$B$2:$B$3810,'Rec_raw_catch_effort_2010-2021'!$B1668,'FW_Salmon_by_Month_2010-2021'!$H$2:$H$3810,'Rec_raw_catch_effort_2010-2021'!$F1668,'FW_Salmon_by_Month_2010-2021'!$M$2:$M$3810,'Rec_raw_catch_effort_2010-2021'!$K1668)</f>
        <v>2349.1163974546171</v>
      </c>
      <c r="R1668" s="109">
        <f>VLOOKUP(B1668,Readme!$A$62:$C$74,2,)*Q1668</f>
        <v>8313.6179283478705</v>
      </c>
      <c r="S1668" s="140" t="str">
        <f t="shared" si="145"/>
        <v>N</v>
      </c>
      <c r="T1668" s="154">
        <f t="shared" si="146"/>
        <v>3.4400000000000004</v>
      </c>
      <c r="U1668" s="154">
        <f t="shared" si="147"/>
        <v>3.5390404397824149</v>
      </c>
    </row>
    <row r="1669" spans="1:21" x14ac:dyDescent="0.35">
      <c r="A1669" s="108">
        <v>659</v>
      </c>
      <c r="B1669" s="108">
        <v>2021</v>
      </c>
      <c r="C1669" s="108" t="s">
        <v>38</v>
      </c>
      <c r="D1669" s="108" t="s">
        <v>143</v>
      </c>
      <c r="E1669" s="108" t="s">
        <v>10</v>
      </c>
      <c r="F1669" s="116">
        <v>778</v>
      </c>
      <c r="G1669" s="108" t="s">
        <v>50</v>
      </c>
      <c r="H1669" s="108" t="str">
        <f t="shared" si="144"/>
        <v>Minter Creek</v>
      </c>
      <c r="I1669" s="108" t="str">
        <f>IFERROR(VLOOKUP(H1669,LUTs!$A$1:$C$73,2,FALSE),"NA")</f>
        <v>Kitsap/Pierce</v>
      </c>
      <c r="J1669" s="108" t="str">
        <f>IFERROR(VLOOKUP(H1669,LUTs!$A$1:$C$73,3,FALSE),"NA")</f>
        <v>3South Puget Sound</v>
      </c>
      <c r="K1669" s="108" t="s">
        <v>23</v>
      </c>
      <c r="L1669" s="108" t="str">
        <f>VLOOKUP(K1669,LUTs!E$2:G$14,3,)</f>
        <v>10Kitsap</v>
      </c>
      <c r="M1669" s="108" t="str">
        <f>VLOOKUP($K1669,LUTs!$E$2:$H$14,2,)</f>
        <v>South Puget Sound</v>
      </c>
      <c r="N1669" s="108" t="str">
        <f>VLOOKUP($K1669,LUTs!$E$2:$H$14,4,)</f>
        <v>02South Puget Sound</v>
      </c>
      <c r="O1669" s="108">
        <v>988.43601895734605</v>
      </c>
      <c r="P1669" s="108">
        <v>3400.2199052132701</v>
      </c>
      <c r="Q1669" s="108">
        <f>SUMIFS('FW_Salmon_by_Month_2010-2021'!P$2:P$3810,'FW_Salmon_by_Month_2010-2021'!$B$2:$B$3810,'Rec_raw_catch_effort_2010-2021'!$B1669,'FW_Salmon_by_Month_2010-2021'!$H$2:$H$3810,'Rec_raw_catch_effort_2010-2021'!$F1669,'FW_Salmon_by_Month_2010-2021'!$M$2:$M$3810,'Rec_raw_catch_effort_2010-2021'!$K1669)</f>
        <v>1014.637524566813</v>
      </c>
      <c r="R1669" s="109">
        <f>VLOOKUP(B1669,Readme!$A$62:$C$74,2,)*Q1669</f>
        <v>3590.8432311626752</v>
      </c>
      <c r="S1669" s="140" t="str">
        <f t="shared" si="145"/>
        <v>N</v>
      </c>
      <c r="T1669" s="154">
        <f t="shared" si="146"/>
        <v>3.4399999999999995</v>
      </c>
      <c r="U1669" s="154">
        <f t="shared" si="147"/>
        <v>3.5390404397824153</v>
      </c>
    </row>
    <row r="1670" spans="1:21" x14ac:dyDescent="0.35">
      <c r="A1670" s="108">
        <v>658</v>
      </c>
      <c r="B1670" s="108">
        <v>2021</v>
      </c>
      <c r="C1670" s="108" t="s">
        <v>38</v>
      </c>
      <c r="D1670" s="108" t="s">
        <v>143</v>
      </c>
      <c r="E1670" s="108" t="s">
        <v>10</v>
      </c>
      <c r="F1670" s="116">
        <v>778</v>
      </c>
      <c r="G1670" s="108" t="s">
        <v>50</v>
      </c>
      <c r="H1670" s="108" t="str">
        <f t="shared" si="144"/>
        <v>Minter Creek</v>
      </c>
      <c r="I1670" s="108" t="str">
        <f>IFERROR(VLOOKUP(H1670,LUTs!$A$1:$C$73,2,FALSE),"NA")</f>
        <v>Kitsap/Pierce</v>
      </c>
      <c r="J1670" s="108" t="str">
        <f>IFERROR(VLOOKUP(H1670,LUTs!$A$1:$C$73,3,FALSE),"NA")</f>
        <v>3South Puget Sound</v>
      </c>
      <c r="K1670" s="108" t="s">
        <v>22</v>
      </c>
      <c r="L1670" s="108" t="str">
        <f>VLOOKUP(K1670,LUTs!E$2:G$14,3,)</f>
        <v>09Mason</v>
      </c>
      <c r="M1670" s="108" t="str">
        <f>VLOOKUP($K1670,LUTs!$E$2:$H$14,2,)</f>
        <v>South Puget Sound</v>
      </c>
      <c r="N1670" s="108" t="str">
        <f>VLOOKUP($K1670,LUTs!$E$2:$H$14,4,)</f>
        <v>02South Puget Sound</v>
      </c>
      <c r="O1670" s="108">
        <v>222.39810426540299</v>
      </c>
      <c r="P1670" s="108">
        <v>765.04947867298597</v>
      </c>
      <c r="Q1670" s="108">
        <f>SUMIFS('FW_Salmon_by_Month_2010-2021'!P$2:P$3810,'FW_Salmon_by_Month_2010-2021'!$B$2:$B$3810,'Rec_raw_catch_effort_2010-2021'!$B1670,'FW_Salmon_by_Month_2010-2021'!$H$2:$H$3810,'Rec_raw_catch_effort_2010-2021'!$F1670,'FW_Salmon_by_Month_2010-2021'!$M$2:$M$3810,'Rec_raw_catch_effort_2010-2021'!$K1670)</f>
        <v>229.19810767926998</v>
      </c>
      <c r="R1670" s="109">
        <f>VLOOKUP(B1670,Readme!$A$62:$C$74,2,)*Q1670</f>
        <v>811.14137179854106</v>
      </c>
      <c r="S1670" s="140" t="str">
        <f t="shared" si="145"/>
        <v>N</v>
      </c>
      <c r="T1670" s="154">
        <f t="shared" si="146"/>
        <v>3.4399999999999986</v>
      </c>
      <c r="U1670" s="154">
        <f t="shared" si="147"/>
        <v>3.5390404397824153</v>
      </c>
    </row>
    <row r="1671" spans="1:21" x14ac:dyDescent="0.35">
      <c r="A1671" s="108">
        <v>660</v>
      </c>
      <c r="B1671" s="108">
        <v>2021</v>
      </c>
      <c r="C1671" s="108" t="s">
        <v>38</v>
      </c>
      <c r="D1671" s="108" t="s">
        <v>143</v>
      </c>
      <c r="E1671" s="108" t="s">
        <v>10</v>
      </c>
      <c r="F1671" s="116">
        <v>778</v>
      </c>
      <c r="G1671" s="108" t="s">
        <v>50</v>
      </c>
      <c r="H1671" s="108" t="str">
        <f t="shared" si="144"/>
        <v>Minter Creek</v>
      </c>
      <c r="I1671" s="108" t="str">
        <f>IFERROR(VLOOKUP(H1671,LUTs!$A$1:$C$73,2,FALSE),"NA")</f>
        <v>Kitsap/Pierce</v>
      </c>
      <c r="J1671" s="108" t="str">
        <f>IFERROR(VLOOKUP(H1671,LUTs!$A$1:$C$73,3,FALSE),"NA")</f>
        <v>3South Puget Sound</v>
      </c>
      <c r="K1671" s="108" t="s">
        <v>26</v>
      </c>
      <c r="L1671" s="108" t="str">
        <f>VLOOKUP(K1671,LUTs!E$2:G$14,3,)</f>
        <v>20Other</v>
      </c>
      <c r="M1671" s="108" t="str">
        <f>VLOOKUP($K1671,LUTs!$E$2:$H$14,2,)</f>
        <v>Non Puget Sound</v>
      </c>
      <c r="N1671" s="108" t="str">
        <f>VLOOKUP($K1671,LUTs!$E$2:$H$14,4,)</f>
        <v>07Non Puget Sound</v>
      </c>
      <c r="O1671" s="108">
        <v>420.08530805687201</v>
      </c>
      <c r="P1671" s="108">
        <v>1445.0934597156399</v>
      </c>
      <c r="Q1671" s="108">
        <f>SUMIFS('FW_Salmon_by_Month_2010-2021'!P$2:P$3810,'FW_Salmon_by_Month_2010-2021'!$B$2:$B$3810,'Rec_raw_catch_effort_2010-2021'!$B1671,'FW_Salmon_by_Month_2010-2021'!$H$2:$H$3810,'Rec_raw_catch_effort_2010-2021'!$F1671,'FW_Salmon_by_Month_2010-2021'!$M$2:$M$3810,'Rec_raw_catch_effort_2010-2021'!$K1671)</f>
        <v>435.69120088544514</v>
      </c>
      <c r="R1671" s="109">
        <f>VLOOKUP(B1671,Readme!$A$62:$C$74,2,)*Q1671</f>
        <v>1541.9287791909544</v>
      </c>
      <c r="S1671" s="140" t="str">
        <f t="shared" si="145"/>
        <v>N</v>
      </c>
      <c r="T1671" s="154">
        <f t="shared" si="146"/>
        <v>3.4400000000000004</v>
      </c>
      <c r="U1671" s="154">
        <f t="shared" si="147"/>
        <v>3.5390404397824153</v>
      </c>
    </row>
    <row r="1672" spans="1:21" x14ac:dyDescent="0.35">
      <c r="A1672" s="108">
        <v>656</v>
      </c>
      <c r="B1672" s="108">
        <v>2021</v>
      </c>
      <c r="C1672" s="108" t="s">
        <v>38</v>
      </c>
      <c r="D1672" s="108" t="s">
        <v>143</v>
      </c>
      <c r="E1672" s="108" t="s">
        <v>10</v>
      </c>
      <c r="F1672" s="116">
        <v>778</v>
      </c>
      <c r="G1672" s="108" t="s">
        <v>50</v>
      </c>
      <c r="H1672" s="108" t="str">
        <f t="shared" si="144"/>
        <v>Minter Creek</v>
      </c>
      <c r="I1672" s="108" t="str">
        <f>IFERROR(VLOOKUP(H1672,LUTs!$A$1:$C$73,2,FALSE),"NA")</f>
        <v>Kitsap/Pierce</v>
      </c>
      <c r="J1672" s="108" t="str">
        <f>IFERROR(VLOOKUP(H1672,LUTs!$A$1:$C$73,3,FALSE),"NA")</f>
        <v>3South Puget Sound</v>
      </c>
      <c r="K1672" s="108" t="s">
        <v>20</v>
      </c>
      <c r="L1672" s="108" t="str">
        <f>VLOOKUP(K1672,LUTs!E$2:G$14,3,)</f>
        <v>07Pierce</v>
      </c>
      <c r="M1672" s="108" t="str">
        <f>VLOOKUP($K1672,LUTs!$E$2:$H$14,2,)</f>
        <v>South Puget Sound</v>
      </c>
      <c r="N1672" s="108" t="str">
        <f>VLOOKUP($K1672,LUTs!$E$2:$H$14,4,)</f>
        <v>02South Puget Sound</v>
      </c>
      <c r="O1672" s="108">
        <v>3261.8388625592402</v>
      </c>
      <c r="P1672" s="108">
        <v>11220.7256872038</v>
      </c>
      <c r="Q1672" s="108">
        <f>SUMIFS('FW_Salmon_by_Month_2010-2021'!P$2:P$3810,'FW_Salmon_by_Month_2010-2021'!$B$2:$B$3810,'Rec_raw_catch_effort_2010-2021'!$B1672,'FW_Salmon_by_Month_2010-2021'!$H$2:$H$3810,'Rec_raw_catch_effort_2010-2021'!$F1672,'FW_Salmon_by_Month_2010-2021'!$M$2:$M$3810,'Rec_raw_catch_effort_2010-2021'!$K1672)</f>
        <v>3151.9189253571149</v>
      </c>
      <c r="R1672" s="109">
        <f>VLOOKUP(B1672,Readme!$A$62:$C$74,2,)*Q1672</f>
        <v>11154.768539754361</v>
      </c>
      <c r="S1672" s="140" t="str">
        <f t="shared" si="145"/>
        <v>N</v>
      </c>
      <c r="T1672" s="154">
        <f t="shared" si="146"/>
        <v>3.4400000000000039</v>
      </c>
      <c r="U1672" s="154">
        <f t="shared" si="147"/>
        <v>3.5390404397824149</v>
      </c>
    </row>
    <row r="1673" spans="1:21" x14ac:dyDescent="0.35">
      <c r="A1673" s="108">
        <v>654</v>
      </c>
      <c r="B1673" s="108">
        <v>2021</v>
      </c>
      <c r="C1673" s="108" t="s">
        <v>38</v>
      </c>
      <c r="D1673" s="108" t="s">
        <v>143</v>
      </c>
      <c r="E1673" s="108" t="s">
        <v>10</v>
      </c>
      <c r="F1673" s="116">
        <v>778</v>
      </c>
      <c r="G1673" s="108" t="s">
        <v>50</v>
      </c>
      <c r="H1673" s="108" t="str">
        <f t="shared" si="144"/>
        <v>Minter Creek</v>
      </c>
      <c r="I1673" s="108" t="str">
        <f>IFERROR(VLOOKUP(H1673,LUTs!$A$1:$C$73,2,FALSE),"NA")</f>
        <v>Kitsap/Pierce</v>
      </c>
      <c r="J1673" s="108" t="str">
        <f>IFERROR(VLOOKUP(H1673,LUTs!$A$1:$C$73,3,FALSE),"NA")</f>
        <v>3South Puget Sound</v>
      </c>
      <c r="K1673" s="108" t="s">
        <v>16</v>
      </c>
      <c r="L1673" s="108" t="str">
        <f>VLOOKUP(K1673,LUTs!E$2:G$14,3,)</f>
        <v>03Snohomish</v>
      </c>
      <c r="M1673" s="108" t="str">
        <f>VLOOKUP($K1673,LUTs!$E$2:$H$14,2,)</f>
        <v>North Puget Sound</v>
      </c>
      <c r="N1673" s="108" t="str">
        <f>VLOOKUP($K1673,LUTs!$E$2:$H$14,4,)</f>
        <v>01North Puget Sound</v>
      </c>
      <c r="O1673" s="108">
        <v>593.06161137440802</v>
      </c>
      <c r="P1673" s="108">
        <v>2040.1319431279601</v>
      </c>
      <c r="Q1673" s="108">
        <f>SUMIFS('FW_Salmon_by_Month_2010-2021'!P$2:P$3810,'FW_Salmon_by_Month_2010-2021'!$B$2:$B$3810,'Rec_raw_catch_effort_2010-2021'!$B1673,'FW_Salmon_by_Month_2010-2021'!$H$2:$H$3810,'Rec_raw_catch_effort_2010-2021'!$F1673,'FW_Salmon_by_Month_2010-2021'!$M$2:$M$3810,'Rec_raw_catch_effort_2010-2021'!$K1673)</f>
        <v>615.11372440509092</v>
      </c>
      <c r="R1673" s="109">
        <f>VLOOKUP(B1673,Readme!$A$62:$C$74,2,)*Q1673</f>
        <v>2176.9123457347923</v>
      </c>
      <c r="S1673" s="140" t="str">
        <f t="shared" si="145"/>
        <v>N</v>
      </c>
      <c r="T1673" s="154">
        <f t="shared" si="146"/>
        <v>3.4399999999999942</v>
      </c>
      <c r="U1673" s="154">
        <f t="shared" si="147"/>
        <v>3.5390404397824153</v>
      </c>
    </row>
    <row r="1674" spans="1:21" x14ac:dyDescent="0.35">
      <c r="A1674" s="108">
        <v>657</v>
      </c>
      <c r="B1674" s="108">
        <v>2021</v>
      </c>
      <c r="C1674" s="108" t="s">
        <v>38</v>
      </c>
      <c r="D1674" s="108" t="s">
        <v>143</v>
      </c>
      <c r="E1674" s="108" t="s">
        <v>10</v>
      </c>
      <c r="F1674" s="116">
        <v>778</v>
      </c>
      <c r="G1674" s="108" t="s">
        <v>50</v>
      </c>
      <c r="H1674" s="108" t="str">
        <f t="shared" si="144"/>
        <v>Minter Creek</v>
      </c>
      <c r="I1674" s="108" t="str">
        <f>IFERROR(VLOOKUP(H1674,LUTs!$A$1:$C$73,2,FALSE),"NA")</f>
        <v>Kitsap/Pierce</v>
      </c>
      <c r="J1674" s="108" t="str">
        <f>IFERROR(VLOOKUP(H1674,LUTs!$A$1:$C$73,3,FALSE),"NA")</f>
        <v>3South Puget Sound</v>
      </c>
      <c r="K1674" s="108" t="s">
        <v>21</v>
      </c>
      <c r="L1674" s="108" t="str">
        <f>VLOOKUP(K1674,LUTs!E$2:G$14,3,)</f>
        <v>08Thurston</v>
      </c>
      <c r="M1674" s="108" t="str">
        <f>VLOOKUP($K1674,LUTs!$E$2:$H$14,2,)</f>
        <v>South Puget Sound</v>
      </c>
      <c r="N1674" s="108" t="str">
        <f>VLOOKUP($K1674,LUTs!$E$2:$H$14,4,)</f>
        <v>02South Puget Sound</v>
      </c>
      <c r="O1674" s="108">
        <v>49.421800947867297</v>
      </c>
      <c r="P1674" s="108">
        <v>170.01099526066301</v>
      </c>
      <c r="Q1674" s="108">
        <f>SUMIFS('FW_Salmon_by_Month_2010-2021'!P$2:P$3810,'FW_Salmon_by_Month_2010-2021'!$B$2:$B$3810,'Rec_raw_catch_effort_2010-2021'!$B1674,'FW_Salmon_by_Month_2010-2021'!$H$2:$H$3810,'Rec_raw_catch_effort_2010-2021'!$F1674,'FW_Salmon_by_Month_2010-2021'!$M$2:$M$3810,'Rec_raw_catch_effort_2010-2021'!$K1674)</f>
        <v>25.324119651647102</v>
      </c>
      <c r="R1674" s="109">
        <f>VLOOKUP(B1674,Readme!$A$62:$C$74,2,)*Q1674</f>
        <v>89.623083549067672</v>
      </c>
      <c r="S1674" s="140" t="str">
        <f t="shared" si="145"/>
        <v>N</v>
      </c>
      <c r="T1674" s="154">
        <f t="shared" si="146"/>
        <v>3.4399999999999902</v>
      </c>
      <c r="U1674" s="154">
        <f t="shared" si="147"/>
        <v>3.5390404397824153</v>
      </c>
    </row>
    <row r="1675" spans="1:21" x14ac:dyDescent="0.35">
      <c r="A1675" s="108">
        <v>280</v>
      </c>
      <c r="B1675" s="108">
        <v>2010</v>
      </c>
      <c r="C1675" s="108" t="s">
        <v>38</v>
      </c>
      <c r="D1675" s="108" t="s">
        <v>143</v>
      </c>
      <c r="E1675" s="108" t="s">
        <v>10</v>
      </c>
      <c r="F1675" s="116">
        <v>786</v>
      </c>
      <c r="G1675" s="108" t="s">
        <v>51</v>
      </c>
      <c r="H1675" s="108" t="str">
        <f t="shared" si="144"/>
        <v>Nisqually River</v>
      </c>
      <c r="I1675" s="108" t="str">
        <f>IFERROR(VLOOKUP(H1675,LUTs!$A$1:$C$73,2,FALSE),"NA")</f>
        <v>Thurston/Pierce</v>
      </c>
      <c r="J1675" s="108" t="str">
        <f>IFERROR(VLOOKUP(H1675,LUTs!$A$1:$C$73,3,FALSE),"NA")</f>
        <v>3South Puget Sound</v>
      </c>
      <c r="K1675" s="108" t="s">
        <v>18</v>
      </c>
      <c r="L1675" s="108" t="str">
        <f>VLOOKUP(K1675,LUTs!E$2:G$14,3,)</f>
        <v>06King</v>
      </c>
      <c r="M1675" s="108" t="str">
        <f>VLOOKUP($K1675,LUTs!$E$2:$H$14,2,)</f>
        <v>South Puget Sound</v>
      </c>
      <c r="N1675" s="108" t="str">
        <f>VLOOKUP($K1675,LUTs!$E$2:$H$14,4,)</f>
        <v>02South Puget Sound</v>
      </c>
      <c r="O1675" s="108">
        <v>405.05295566502502</v>
      </c>
      <c r="P1675" s="108">
        <v>3503.70806650247</v>
      </c>
      <c r="Q1675" s="108">
        <f>SUMIFS('FW_Salmon_by_Month_2010-2021'!P$2:P$3810,'FW_Salmon_by_Month_2010-2021'!$B$2:$B$3810,'Rec_raw_catch_effort_2010-2021'!$B1675,'FW_Salmon_by_Month_2010-2021'!$H$2:$H$3810,'Rec_raw_catch_effort_2010-2021'!$F1675,'FW_Salmon_by_Month_2010-2021'!$M$2:$M$3810,'Rec_raw_catch_effort_2010-2021'!$K1675)</f>
        <v>406.41290011731155</v>
      </c>
      <c r="R1675" s="109">
        <f>VLOOKUP(B1675,Readme!$A$62:$C$74,2,)*Q1675</f>
        <v>1958.7292858552605</v>
      </c>
      <c r="S1675" s="140" t="str">
        <f t="shared" si="145"/>
        <v>Y</v>
      </c>
      <c r="T1675" s="154">
        <f t="shared" si="146"/>
        <v>8.6500000000000092</v>
      </c>
      <c r="U1675" s="154">
        <f t="shared" si="147"/>
        <v>4.8195549041132084</v>
      </c>
    </row>
    <row r="1676" spans="1:21" x14ac:dyDescent="0.35">
      <c r="A1676" s="108">
        <v>284</v>
      </c>
      <c r="B1676" s="108">
        <v>2010</v>
      </c>
      <c r="C1676" s="108" t="s">
        <v>38</v>
      </c>
      <c r="D1676" s="108" t="s">
        <v>143</v>
      </c>
      <c r="E1676" s="108" t="s">
        <v>10</v>
      </c>
      <c r="F1676" s="116">
        <v>786</v>
      </c>
      <c r="G1676" s="108" t="s">
        <v>51</v>
      </c>
      <c r="H1676" s="108" t="str">
        <f t="shared" si="144"/>
        <v>Nisqually River</v>
      </c>
      <c r="I1676" s="108" t="str">
        <f>IFERROR(VLOOKUP(H1676,LUTs!$A$1:$C$73,2,FALSE),"NA")</f>
        <v>Thurston/Pierce</v>
      </c>
      <c r="J1676" s="108" t="str">
        <f>IFERROR(VLOOKUP(H1676,LUTs!$A$1:$C$73,3,FALSE),"NA")</f>
        <v>3South Puget Sound</v>
      </c>
      <c r="K1676" s="108" t="s">
        <v>23</v>
      </c>
      <c r="L1676" s="108" t="str">
        <f>VLOOKUP(K1676,LUTs!E$2:G$14,3,)</f>
        <v>10Kitsap</v>
      </c>
      <c r="M1676" s="108" t="str">
        <f>VLOOKUP($K1676,LUTs!$E$2:$H$14,2,)</f>
        <v>South Puget Sound</v>
      </c>
      <c r="N1676" s="108" t="str">
        <f>VLOOKUP($K1676,LUTs!$E$2:$H$14,4,)</f>
        <v>02South Puget Sound</v>
      </c>
      <c r="O1676" s="108">
        <v>90.683497536945794</v>
      </c>
      <c r="P1676" s="108">
        <v>784.41225369458095</v>
      </c>
      <c r="Q1676" s="108">
        <f>SUMIFS('FW_Salmon_by_Month_2010-2021'!P$2:P$3810,'FW_Salmon_by_Month_2010-2021'!$B$2:$B$3810,'Rec_raw_catch_effort_2010-2021'!$B1676,'FW_Salmon_by_Month_2010-2021'!$H$2:$H$3810,'Rec_raw_catch_effort_2010-2021'!$F1676,'FW_Salmon_by_Month_2010-2021'!$M$2:$M$3810,'Rec_raw_catch_effort_2010-2021'!$K1676)</f>
        <v>91.019964103645364</v>
      </c>
      <c r="R1676" s="109">
        <f>VLOOKUP(B1676,Readme!$A$62:$C$74,2,)*Q1676</f>
        <v>438.67571436793219</v>
      </c>
      <c r="S1676" s="140" t="str">
        <f t="shared" si="145"/>
        <v>Y</v>
      </c>
      <c r="T1676" s="154">
        <f t="shared" si="146"/>
        <v>8.6499999999999986</v>
      </c>
      <c r="U1676" s="154">
        <f t="shared" si="147"/>
        <v>4.8195549041132084</v>
      </c>
    </row>
    <row r="1677" spans="1:21" x14ac:dyDescent="0.35">
      <c r="A1677" s="108">
        <v>283</v>
      </c>
      <c r="B1677" s="108">
        <v>2010</v>
      </c>
      <c r="C1677" s="108" t="s">
        <v>38</v>
      </c>
      <c r="D1677" s="108" t="s">
        <v>143</v>
      </c>
      <c r="E1677" s="108" t="s">
        <v>10</v>
      </c>
      <c r="F1677" s="116">
        <v>786</v>
      </c>
      <c r="G1677" s="108" t="s">
        <v>51</v>
      </c>
      <c r="H1677" s="108" t="str">
        <f t="shared" si="144"/>
        <v>Nisqually River</v>
      </c>
      <c r="I1677" s="108" t="str">
        <f>IFERROR(VLOOKUP(H1677,LUTs!$A$1:$C$73,2,FALSE),"NA")</f>
        <v>Thurston/Pierce</v>
      </c>
      <c r="J1677" s="108" t="str">
        <f>IFERROR(VLOOKUP(H1677,LUTs!$A$1:$C$73,3,FALSE),"NA")</f>
        <v>3South Puget Sound</v>
      </c>
      <c r="K1677" s="108" t="s">
        <v>22</v>
      </c>
      <c r="L1677" s="108" t="str">
        <f>VLOOKUP(K1677,LUTs!E$2:G$14,3,)</f>
        <v>09Mason</v>
      </c>
      <c r="M1677" s="108" t="str">
        <f>VLOOKUP($K1677,LUTs!$E$2:$H$14,2,)</f>
        <v>South Puget Sound</v>
      </c>
      <c r="N1677" s="108" t="str">
        <f>VLOOKUP($K1677,LUTs!$E$2:$H$14,4,)</f>
        <v>02South Puget Sound</v>
      </c>
      <c r="O1677" s="108">
        <v>36.273399014778299</v>
      </c>
      <c r="P1677" s="108">
        <v>313.76490147783198</v>
      </c>
      <c r="Q1677" s="108">
        <f>SUMIFS('FW_Salmon_by_Month_2010-2021'!P$2:P$3810,'FW_Salmon_by_Month_2010-2021'!$B$2:$B$3810,'Rec_raw_catch_effort_2010-2021'!$B1677,'FW_Salmon_by_Month_2010-2021'!$H$2:$H$3810,'Rec_raw_catch_effort_2010-2021'!$F1677,'FW_Salmon_by_Month_2010-2021'!$M$2:$M$3810,'Rec_raw_catch_effort_2010-2021'!$K1677)</f>
        <v>24.269975186104261</v>
      </c>
      <c r="R1677" s="109">
        <f>VLOOKUP(B1677,Readme!$A$62:$C$74,2,)*Q1677</f>
        <v>116.97047793089467</v>
      </c>
      <c r="S1677" s="140" t="str">
        <f t="shared" si="145"/>
        <v>Y</v>
      </c>
      <c r="T1677" s="154">
        <f t="shared" si="146"/>
        <v>8.6499999999999915</v>
      </c>
      <c r="U1677" s="154">
        <f t="shared" si="147"/>
        <v>4.8195549041132084</v>
      </c>
    </row>
    <row r="1678" spans="1:21" x14ac:dyDescent="0.35">
      <c r="A1678" s="108">
        <v>361</v>
      </c>
      <c r="B1678" s="108">
        <v>2010</v>
      </c>
      <c r="C1678" s="108" t="s">
        <v>38</v>
      </c>
      <c r="D1678" s="108" t="s">
        <v>143</v>
      </c>
      <c r="E1678" s="108" t="s">
        <v>10</v>
      </c>
      <c r="F1678" s="116">
        <v>786</v>
      </c>
      <c r="G1678" s="108" t="s">
        <v>51</v>
      </c>
      <c r="H1678" s="108" t="str">
        <f t="shared" si="144"/>
        <v>Nisqually River</v>
      </c>
      <c r="I1678" s="108" t="str">
        <f>IFERROR(VLOOKUP(H1678,LUTs!$A$1:$C$73,2,FALSE),"NA")</f>
        <v>Thurston/Pierce</v>
      </c>
      <c r="J1678" s="108" t="str">
        <f>IFERROR(VLOOKUP(H1678,LUTs!$A$1:$C$73,3,FALSE),"NA")</f>
        <v>3South Puget Sound</v>
      </c>
      <c r="K1678" s="108" t="s">
        <v>26</v>
      </c>
      <c r="L1678" s="108" t="str">
        <f>VLOOKUP(K1678,LUTs!E$2:G$14,3,)</f>
        <v>20Other</v>
      </c>
      <c r="M1678" s="108" t="str">
        <f>VLOOKUP($K1678,LUTs!$E$2:$H$14,2,)</f>
        <v>Non Puget Sound</v>
      </c>
      <c r="N1678" s="108" t="str">
        <f>VLOOKUP($K1678,LUTs!$E$2:$H$14,4,)</f>
        <v>07Non Puget Sound</v>
      </c>
      <c r="O1678" s="108">
        <v>308.323891625616</v>
      </c>
      <c r="P1678" s="108">
        <v>2667.0016625615799</v>
      </c>
      <c r="Q1678" s="108">
        <f>SUMIFS('FW_Salmon_by_Month_2010-2021'!P$2:P$3810,'FW_Salmon_by_Month_2010-2021'!$B$2:$B$3810,'Rec_raw_catch_effort_2010-2021'!$B1678,'FW_Salmon_by_Month_2010-2021'!$H$2:$H$3810,'Rec_raw_catch_effort_2010-2021'!$F1678,'FW_Salmon_by_Month_2010-2021'!$M$2:$M$3810,'Rec_raw_catch_effort_2010-2021'!$K1678)</f>
        <v>309.47857193056444</v>
      </c>
      <c r="R1678" s="109">
        <f>VLOOKUP(B1678,Readme!$A$62:$C$74,2,)*Q1678</f>
        <v>1491.5489690659042</v>
      </c>
      <c r="S1678" s="140" t="str">
        <f t="shared" si="145"/>
        <v>Y</v>
      </c>
      <c r="T1678" s="154">
        <f t="shared" si="146"/>
        <v>8.6500000000000057</v>
      </c>
      <c r="U1678" s="154">
        <f t="shared" si="147"/>
        <v>4.8195549041132084</v>
      </c>
    </row>
    <row r="1679" spans="1:21" x14ac:dyDescent="0.35">
      <c r="A1679" s="108">
        <v>281</v>
      </c>
      <c r="B1679" s="108">
        <v>2010</v>
      </c>
      <c r="C1679" s="108" t="s">
        <v>38</v>
      </c>
      <c r="D1679" s="108" t="s">
        <v>143</v>
      </c>
      <c r="E1679" s="108" t="s">
        <v>10</v>
      </c>
      <c r="F1679" s="116">
        <v>786</v>
      </c>
      <c r="G1679" s="108" t="s">
        <v>51</v>
      </c>
      <c r="H1679" s="108" t="str">
        <f t="shared" si="144"/>
        <v>Nisqually River</v>
      </c>
      <c r="I1679" s="108" t="str">
        <f>IFERROR(VLOOKUP(H1679,LUTs!$A$1:$C$73,2,FALSE),"NA")</f>
        <v>Thurston/Pierce</v>
      </c>
      <c r="J1679" s="108" t="str">
        <f>IFERROR(VLOOKUP(H1679,LUTs!$A$1:$C$73,3,FALSE),"NA")</f>
        <v>3South Puget Sound</v>
      </c>
      <c r="K1679" s="108" t="s">
        <v>20</v>
      </c>
      <c r="L1679" s="108" t="str">
        <f>VLOOKUP(K1679,LUTs!E$2:G$14,3,)</f>
        <v>07Pierce</v>
      </c>
      <c r="M1679" s="108" t="str">
        <f>VLOOKUP($K1679,LUTs!$E$2:$H$14,2,)</f>
        <v>South Puget Sound</v>
      </c>
      <c r="N1679" s="108" t="str">
        <f>VLOOKUP($K1679,LUTs!$E$2:$H$14,4,)</f>
        <v>02South Puget Sound</v>
      </c>
      <c r="O1679" s="108">
        <v>1995.03694581281</v>
      </c>
      <c r="P1679" s="108">
        <v>17257.069581280801</v>
      </c>
      <c r="Q1679" s="108">
        <f>SUMIFS('FW_Salmon_by_Month_2010-2021'!P$2:P$3810,'FW_Salmon_by_Month_2010-2021'!$B$2:$B$3810,'Rec_raw_catch_effort_2010-2021'!$B1679,'FW_Salmon_by_Month_2010-2021'!$H$2:$H$3810,'Rec_raw_catch_effort_2010-2021'!$F1679,'FW_Salmon_by_Month_2010-2021'!$M$2:$M$3810,'Rec_raw_catch_effort_2010-2021'!$K1679)</f>
        <v>1959.7835294388001</v>
      </c>
      <c r="R1679" s="109">
        <f>VLOOKUP(B1679,Readme!$A$62:$C$74,2,)*Q1679</f>
        <v>9445.2843203070606</v>
      </c>
      <c r="S1679" s="140" t="str">
        <f t="shared" si="145"/>
        <v>Y</v>
      </c>
      <c r="T1679" s="154">
        <f t="shared" si="146"/>
        <v>8.6499999999999968</v>
      </c>
      <c r="U1679" s="154">
        <f t="shared" si="147"/>
        <v>4.8195549041132084</v>
      </c>
    </row>
    <row r="1680" spans="1:21" x14ac:dyDescent="0.35">
      <c r="A1680" s="108">
        <v>279</v>
      </c>
      <c r="B1680" s="108">
        <v>2010</v>
      </c>
      <c r="C1680" s="108" t="s">
        <v>38</v>
      </c>
      <c r="D1680" s="108" t="s">
        <v>143</v>
      </c>
      <c r="E1680" s="108" t="s">
        <v>10</v>
      </c>
      <c r="F1680" s="116">
        <v>786</v>
      </c>
      <c r="G1680" s="108" t="s">
        <v>51</v>
      </c>
      <c r="H1680" s="108" t="str">
        <f t="shared" si="144"/>
        <v>Nisqually River</v>
      </c>
      <c r="I1680" s="108" t="str">
        <f>IFERROR(VLOOKUP(H1680,LUTs!$A$1:$C$73,2,FALSE),"NA")</f>
        <v>Thurston/Pierce</v>
      </c>
      <c r="J1680" s="108" t="str">
        <f>IFERROR(VLOOKUP(H1680,LUTs!$A$1:$C$73,3,FALSE),"NA")</f>
        <v>3South Puget Sound</v>
      </c>
      <c r="K1680" s="108" t="s">
        <v>16</v>
      </c>
      <c r="L1680" s="108" t="str">
        <f>VLOOKUP(K1680,LUTs!E$2:G$14,3,)</f>
        <v>03Snohomish</v>
      </c>
      <c r="M1680" s="108" t="str">
        <f>VLOOKUP($K1680,LUTs!$E$2:$H$14,2,)</f>
        <v>North Puget Sound</v>
      </c>
      <c r="N1680" s="108" t="str">
        <f>VLOOKUP($K1680,LUTs!$E$2:$H$14,4,)</f>
        <v>01North Puget Sound</v>
      </c>
      <c r="O1680" s="108">
        <v>72.546798029556697</v>
      </c>
      <c r="P1680" s="108">
        <v>627.52980295566499</v>
      </c>
      <c r="Q1680" s="108">
        <f>SUMIFS('FW_Salmon_by_Month_2010-2021'!P$2:P$3810,'FW_Salmon_by_Month_2010-2021'!$B$2:$B$3810,'Rec_raw_catch_effort_2010-2021'!$B1680,'FW_Salmon_by_Month_2010-2021'!$H$2:$H$3810,'Rec_raw_catch_effort_2010-2021'!$F1680,'FW_Salmon_by_Month_2010-2021'!$M$2:$M$3810,'Rec_raw_catch_effort_2010-2021'!$K1680)</f>
        <v>72.931218070354703</v>
      </c>
      <c r="R1680" s="109">
        <f>VLOOKUP(B1680,Readme!$A$62:$C$74,2,)*Q1680</f>
        <v>351.49600971392783</v>
      </c>
      <c r="S1680" s="140" t="str">
        <f t="shared" si="145"/>
        <v>Y</v>
      </c>
      <c r="T1680" s="154">
        <f t="shared" si="146"/>
        <v>8.6499999999999932</v>
      </c>
      <c r="U1680" s="154">
        <f t="shared" si="147"/>
        <v>4.8195549041132084</v>
      </c>
    </row>
    <row r="1681" spans="1:21" x14ac:dyDescent="0.35">
      <c r="A1681" s="108">
        <v>282</v>
      </c>
      <c r="B1681" s="108">
        <v>2010</v>
      </c>
      <c r="C1681" s="108" t="s">
        <v>38</v>
      </c>
      <c r="D1681" s="108" t="s">
        <v>143</v>
      </c>
      <c r="E1681" s="108" t="s">
        <v>10</v>
      </c>
      <c r="F1681" s="116">
        <v>786</v>
      </c>
      <c r="G1681" s="108" t="s">
        <v>51</v>
      </c>
      <c r="H1681" s="108" t="str">
        <f t="shared" si="144"/>
        <v>Nisqually River</v>
      </c>
      <c r="I1681" s="108" t="str">
        <f>IFERROR(VLOOKUP(H1681,LUTs!$A$1:$C$73,2,FALSE),"NA")</f>
        <v>Thurston/Pierce</v>
      </c>
      <c r="J1681" s="108" t="str">
        <f>IFERROR(VLOOKUP(H1681,LUTs!$A$1:$C$73,3,FALSE),"NA")</f>
        <v>3South Puget Sound</v>
      </c>
      <c r="K1681" s="108" t="s">
        <v>21</v>
      </c>
      <c r="L1681" s="108" t="str">
        <f>VLOOKUP(K1681,LUTs!E$2:G$14,3,)</f>
        <v>08Thurston</v>
      </c>
      <c r="M1681" s="108" t="str">
        <f>VLOOKUP($K1681,LUTs!$E$2:$H$14,2,)</f>
        <v>South Puget Sound</v>
      </c>
      <c r="N1681" s="108" t="str">
        <f>VLOOKUP($K1681,LUTs!$E$2:$H$14,4,)</f>
        <v>02South Puget Sound</v>
      </c>
      <c r="O1681" s="108">
        <v>2001.0825123152699</v>
      </c>
      <c r="P1681" s="108">
        <v>17309.363731527101</v>
      </c>
      <c r="Q1681" s="108">
        <f>SUMIFS('FW_Salmon_by_Month_2010-2021'!P$2:P$3810,'FW_Salmon_by_Month_2010-2021'!$B$2:$B$3810,'Rec_raw_catch_effort_2010-2021'!$B1681,'FW_Salmon_by_Month_2010-2021'!$H$2:$H$3810,'Rec_raw_catch_effort_2010-2021'!$F1681,'FW_Salmon_by_Month_2010-2021'!$M$2:$M$3810,'Rec_raw_catch_effort_2010-2021'!$K1681)</f>
        <v>1984.1038411532236</v>
      </c>
      <c r="R1681" s="109">
        <f>VLOOKUP(B1681,Readme!$A$62:$C$74,2,)*Q1681</f>
        <v>9562.4973978998732</v>
      </c>
      <c r="S1681" s="140" t="str">
        <f t="shared" si="145"/>
        <v>Y</v>
      </c>
      <c r="T1681" s="154">
        <f t="shared" si="146"/>
        <v>8.6500000000000075</v>
      </c>
      <c r="U1681" s="154">
        <f t="shared" si="147"/>
        <v>4.8195549041132084</v>
      </c>
    </row>
    <row r="1682" spans="1:21" x14ac:dyDescent="0.35">
      <c r="A1682" s="108">
        <v>364</v>
      </c>
      <c r="B1682" s="108">
        <v>2011</v>
      </c>
      <c r="C1682" s="108" t="s">
        <v>38</v>
      </c>
      <c r="D1682" s="108" t="s">
        <v>143</v>
      </c>
      <c r="E1682" s="108" t="s">
        <v>10</v>
      </c>
      <c r="F1682" s="116">
        <v>786</v>
      </c>
      <c r="G1682" s="108" t="s">
        <v>51</v>
      </c>
      <c r="H1682" s="108" t="str">
        <f t="shared" si="144"/>
        <v>Nisqually River</v>
      </c>
      <c r="I1682" s="108" t="str">
        <f>IFERROR(VLOOKUP(H1682,LUTs!$A$1:$C$73,2,FALSE),"NA")</f>
        <v>Thurston/Pierce</v>
      </c>
      <c r="J1682" s="108" t="str">
        <f>IFERROR(VLOOKUP(H1682,LUTs!$A$1:$C$73,3,FALSE),"NA")</f>
        <v>3South Puget Sound</v>
      </c>
      <c r="K1682" s="108" t="s">
        <v>18</v>
      </c>
      <c r="L1682" s="108" t="str">
        <f>VLOOKUP(K1682,LUTs!E$2:G$14,3,)</f>
        <v>06King</v>
      </c>
      <c r="M1682" s="108" t="str">
        <f>VLOOKUP($K1682,LUTs!$E$2:$H$14,2,)</f>
        <v>South Puget Sound</v>
      </c>
      <c r="N1682" s="108" t="str">
        <f>VLOOKUP($K1682,LUTs!$E$2:$H$14,4,)</f>
        <v>02South Puget Sound</v>
      </c>
      <c r="O1682" s="108">
        <v>784.45244639912096</v>
      </c>
      <c r="P1682" s="108">
        <v>2698.5164156129799</v>
      </c>
      <c r="Q1682" s="108">
        <f>SUMIFS('FW_Salmon_by_Month_2010-2021'!P$2:P$3810,'FW_Salmon_by_Month_2010-2021'!$B$2:$B$3810,'Rec_raw_catch_effort_2010-2021'!$B1682,'FW_Salmon_by_Month_2010-2021'!$H$2:$H$3810,'Rec_raw_catch_effort_2010-2021'!$F1682,'FW_Salmon_by_Month_2010-2021'!$M$2:$M$3810,'Rec_raw_catch_effort_2010-2021'!$K1682)</f>
        <v>799.78045759581812</v>
      </c>
      <c r="R1682" s="109">
        <f>VLOOKUP(B1682,Readme!$A$62:$C$74,2,)*Q1682</f>
        <v>2830.4553823792858</v>
      </c>
      <c r="S1682" s="140" t="str">
        <f t="shared" si="145"/>
        <v>Y</v>
      </c>
      <c r="T1682" s="154">
        <f t="shared" si="146"/>
        <v>3.4400000000000048</v>
      </c>
      <c r="U1682" s="154">
        <f t="shared" si="147"/>
        <v>3.5390404397824158</v>
      </c>
    </row>
    <row r="1683" spans="1:21" x14ac:dyDescent="0.35">
      <c r="A1683" s="108">
        <v>368</v>
      </c>
      <c r="B1683" s="108">
        <v>2011</v>
      </c>
      <c r="C1683" s="108" t="s">
        <v>38</v>
      </c>
      <c r="D1683" s="108" t="s">
        <v>143</v>
      </c>
      <c r="E1683" s="108" t="s">
        <v>10</v>
      </c>
      <c r="F1683" s="116">
        <v>786</v>
      </c>
      <c r="G1683" s="108" t="s">
        <v>51</v>
      </c>
      <c r="H1683" s="108" t="str">
        <f t="shared" si="144"/>
        <v>Nisqually River</v>
      </c>
      <c r="I1683" s="108" t="str">
        <f>IFERROR(VLOOKUP(H1683,LUTs!$A$1:$C$73,2,FALSE),"NA")</f>
        <v>Thurston/Pierce</v>
      </c>
      <c r="J1683" s="108" t="str">
        <f>IFERROR(VLOOKUP(H1683,LUTs!$A$1:$C$73,3,FALSE),"NA")</f>
        <v>3South Puget Sound</v>
      </c>
      <c r="K1683" s="108" t="s">
        <v>23</v>
      </c>
      <c r="L1683" s="108" t="str">
        <f>VLOOKUP(K1683,LUTs!E$2:G$14,3,)</f>
        <v>10Kitsap</v>
      </c>
      <c r="M1683" s="108" t="str">
        <f>VLOOKUP($K1683,LUTs!$E$2:$H$14,2,)</f>
        <v>South Puget Sound</v>
      </c>
      <c r="N1683" s="108" t="str">
        <f>VLOOKUP($K1683,LUTs!$E$2:$H$14,4,)</f>
        <v>02South Puget Sound</v>
      </c>
      <c r="O1683" s="108">
        <v>50.377680043980199</v>
      </c>
      <c r="P1683" s="108">
        <v>173.29921935129201</v>
      </c>
      <c r="Q1683" s="108">
        <f>SUMIFS('FW_Salmon_by_Month_2010-2021'!P$2:P$3810,'FW_Salmon_by_Month_2010-2021'!$B$2:$B$3810,'Rec_raw_catch_effort_2010-2021'!$B1683,'FW_Salmon_by_Month_2010-2021'!$H$2:$H$3810,'Rec_raw_catch_effort_2010-2021'!$F1683,'FW_Salmon_by_Month_2010-2021'!$M$2:$M$3810,'Rec_raw_catch_effort_2010-2021'!$K1683)</f>
        <v>43.885620404778543</v>
      </c>
      <c r="R1683" s="109">
        <f>VLOOKUP(B1683,Readme!$A$62:$C$74,2,)*Q1683</f>
        <v>155.31298533745161</v>
      </c>
      <c r="S1683" s="140" t="str">
        <f t="shared" si="145"/>
        <v>Y</v>
      </c>
      <c r="T1683" s="154">
        <f t="shared" si="146"/>
        <v>3.4400000000000026</v>
      </c>
      <c r="U1683" s="154">
        <f t="shared" si="147"/>
        <v>3.5390404397824158</v>
      </c>
    </row>
    <row r="1684" spans="1:21" x14ac:dyDescent="0.35">
      <c r="A1684" s="108">
        <v>367</v>
      </c>
      <c r="B1684" s="108">
        <v>2011</v>
      </c>
      <c r="C1684" s="108" t="s">
        <v>38</v>
      </c>
      <c r="D1684" s="108" t="s">
        <v>143</v>
      </c>
      <c r="E1684" s="108" t="s">
        <v>10</v>
      </c>
      <c r="F1684" s="116">
        <v>786</v>
      </c>
      <c r="G1684" s="108" t="s">
        <v>51</v>
      </c>
      <c r="H1684" s="108" t="str">
        <f t="shared" si="144"/>
        <v>Nisqually River</v>
      </c>
      <c r="I1684" s="108" t="str">
        <f>IFERROR(VLOOKUP(H1684,LUTs!$A$1:$C$73,2,FALSE),"NA")</f>
        <v>Thurston/Pierce</v>
      </c>
      <c r="J1684" s="108" t="str">
        <f>IFERROR(VLOOKUP(H1684,LUTs!$A$1:$C$73,3,FALSE),"NA")</f>
        <v>3South Puget Sound</v>
      </c>
      <c r="K1684" s="108" t="s">
        <v>22</v>
      </c>
      <c r="L1684" s="108" t="str">
        <f>VLOOKUP(K1684,LUTs!E$2:G$14,3,)</f>
        <v>09Mason</v>
      </c>
      <c r="M1684" s="108" t="str">
        <f>VLOOKUP($K1684,LUTs!$E$2:$H$14,2,)</f>
        <v>South Puget Sound</v>
      </c>
      <c r="N1684" s="108" t="str">
        <f>VLOOKUP($K1684,LUTs!$E$2:$H$14,4,)</f>
        <v>02South Puget Sound</v>
      </c>
      <c r="O1684" s="108">
        <v>43.180868609125902</v>
      </c>
      <c r="P1684" s="108">
        <v>148.54218801539301</v>
      </c>
      <c r="Q1684" s="108">
        <f>SUMIFS('FW_Salmon_by_Month_2010-2021'!P$2:P$3810,'FW_Salmon_by_Month_2010-2021'!$B$2:$B$3810,'Rec_raw_catch_effort_2010-2021'!$B1684,'FW_Salmon_by_Month_2010-2021'!$H$2:$H$3810,'Rec_raw_catch_effort_2010-2021'!$F1684,'FW_Salmon_by_Month_2010-2021'!$M$2:$M$3810,'Rec_raw_catch_effort_2010-2021'!$K1684)</f>
        <v>44.227492739593401</v>
      </c>
      <c r="R1684" s="109">
        <f>VLOOKUP(B1684,Readme!$A$62:$C$74,2,)*Q1684</f>
        <v>156.52288535560422</v>
      </c>
      <c r="S1684" s="140" t="str">
        <f t="shared" si="145"/>
        <v>Y</v>
      </c>
      <c r="T1684" s="154">
        <f t="shared" si="146"/>
        <v>3.4399999999999977</v>
      </c>
      <c r="U1684" s="154">
        <f t="shared" si="147"/>
        <v>3.5390404397824153</v>
      </c>
    </row>
    <row r="1685" spans="1:21" x14ac:dyDescent="0.35">
      <c r="A1685" s="108">
        <v>369</v>
      </c>
      <c r="B1685" s="108">
        <v>2011</v>
      </c>
      <c r="C1685" s="108" t="s">
        <v>38</v>
      </c>
      <c r="D1685" s="108" t="s">
        <v>143</v>
      </c>
      <c r="E1685" s="108" t="s">
        <v>10</v>
      </c>
      <c r="F1685" s="116">
        <v>786</v>
      </c>
      <c r="G1685" s="108" t="s">
        <v>51</v>
      </c>
      <c r="H1685" s="108" t="str">
        <f t="shared" si="144"/>
        <v>Nisqually River</v>
      </c>
      <c r="I1685" s="108" t="str">
        <f>IFERROR(VLOOKUP(H1685,LUTs!$A$1:$C$73,2,FALSE),"NA")</f>
        <v>Thurston/Pierce</v>
      </c>
      <c r="J1685" s="108" t="str">
        <f>IFERROR(VLOOKUP(H1685,LUTs!$A$1:$C$73,3,FALSE),"NA")</f>
        <v>3South Puget Sound</v>
      </c>
      <c r="K1685" s="108" t="s">
        <v>26</v>
      </c>
      <c r="L1685" s="108" t="str">
        <f>VLOOKUP(K1685,LUTs!E$2:G$14,3,)</f>
        <v>20Other</v>
      </c>
      <c r="M1685" s="108" t="str">
        <f>VLOOKUP($K1685,LUTs!$E$2:$H$14,2,)</f>
        <v>Non Puget Sound</v>
      </c>
      <c r="N1685" s="108" t="str">
        <f>VLOOKUP($K1685,LUTs!$E$2:$H$14,4,)</f>
        <v>07Non Puget Sound</v>
      </c>
      <c r="O1685" s="108">
        <v>820.43650357339197</v>
      </c>
      <c r="P1685" s="108">
        <v>2822.3015722924702</v>
      </c>
      <c r="Q1685" s="108">
        <f>SUMIFS('FW_Salmon_by_Month_2010-2021'!P$2:P$3810,'FW_Salmon_by_Month_2010-2021'!$B$2:$B$3810,'Rec_raw_catch_effort_2010-2021'!$B1685,'FW_Salmon_by_Month_2010-2021'!$H$2:$H$3810,'Rec_raw_catch_effort_2010-2021'!$F1685,'FW_Salmon_by_Month_2010-2021'!$M$2:$M$3810,'Rec_raw_catch_effort_2010-2021'!$K1685)</f>
        <v>759.36643114931996</v>
      </c>
      <c r="R1685" s="109">
        <f>VLOOKUP(B1685,Readme!$A$62:$C$74,2,)*Q1685</f>
        <v>2687.4285084506923</v>
      </c>
      <c r="S1685" s="140" t="str">
        <f t="shared" si="145"/>
        <v>Y</v>
      </c>
      <c r="T1685" s="154">
        <f t="shared" si="146"/>
        <v>3.4400000000000022</v>
      </c>
      <c r="U1685" s="154">
        <f t="shared" si="147"/>
        <v>3.5390404397824149</v>
      </c>
    </row>
    <row r="1686" spans="1:21" x14ac:dyDescent="0.35">
      <c r="A1686" s="108">
        <v>365</v>
      </c>
      <c r="B1686" s="108">
        <v>2011</v>
      </c>
      <c r="C1686" s="108" t="s">
        <v>38</v>
      </c>
      <c r="D1686" s="108" t="s">
        <v>143</v>
      </c>
      <c r="E1686" s="108" t="s">
        <v>10</v>
      </c>
      <c r="F1686" s="116">
        <v>786</v>
      </c>
      <c r="G1686" s="108" t="s">
        <v>51</v>
      </c>
      <c r="H1686" s="108" t="str">
        <f t="shared" si="144"/>
        <v>Nisqually River</v>
      </c>
      <c r="I1686" s="108" t="str">
        <f>IFERROR(VLOOKUP(H1686,LUTs!$A$1:$C$73,2,FALSE),"NA")</f>
        <v>Thurston/Pierce</v>
      </c>
      <c r="J1686" s="108" t="str">
        <f>IFERROR(VLOOKUP(H1686,LUTs!$A$1:$C$73,3,FALSE),"NA")</f>
        <v>3South Puget Sound</v>
      </c>
      <c r="K1686" s="108" t="s">
        <v>20</v>
      </c>
      <c r="L1686" s="108" t="str">
        <f>VLOOKUP(K1686,LUTs!E$2:G$14,3,)</f>
        <v>07Pierce</v>
      </c>
      <c r="M1686" s="108" t="str">
        <f>VLOOKUP($K1686,LUTs!$E$2:$H$14,2,)</f>
        <v>South Puget Sound</v>
      </c>
      <c r="N1686" s="108" t="str">
        <f>VLOOKUP($K1686,LUTs!$E$2:$H$14,4,)</f>
        <v>02South Puget Sound</v>
      </c>
      <c r="O1686" s="108">
        <v>4922.6190214403496</v>
      </c>
      <c r="P1686" s="108">
        <v>16933.809433754799</v>
      </c>
      <c r="Q1686" s="108">
        <f>SUMIFS('FW_Salmon_by_Month_2010-2021'!P$2:P$3810,'FW_Salmon_by_Month_2010-2021'!$B$2:$B$3810,'Rec_raw_catch_effort_2010-2021'!$B1686,'FW_Salmon_by_Month_2010-2021'!$H$2:$H$3810,'Rec_raw_catch_effort_2010-2021'!$F1686,'FW_Salmon_by_Month_2010-2021'!$M$2:$M$3810,'Rec_raw_catch_effort_2010-2021'!$K1686)</f>
        <v>4879.8874969646195</v>
      </c>
      <c r="R1686" s="109">
        <f>VLOOKUP(B1686,Readme!$A$62:$C$74,2,)*Q1686</f>
        <v>17270.119193346378</v>
      </c>
      <c r="S1686" s="140" t="str">
        <f t="shared" si="145"/>
        <v>Y</v>
      </c>
      <c r="T1686" s="154">
        <f t="shared" si="146"/>
        <v>3.4399999999999995</v>
      </c>
      <c r="U1686" s="154">
        <f t="shared" si="147"/>
        <v>3.5390404397824153</v>
      </c>
    </row>
    <row r="1687" spans="1:21" x14ac:dyDescent="0.35">
      <c r="A1687" s="108">
        <v>362</v>
      </c>
      <c r="B1687" s="108">
        <v>2011</v>
      </c>
      <c r="C1687" s="108" t="s">
        <v>38</v>
      </c>
      <c r="D1687" s="108" t="s">
        <v>143</v>
      </c>
      <c r="E1687" s="108" t="s">
        <v>10</v>
      </c>
      <c r="F1687" s="116">
        <v>786</v>
      </c>
      <c r="G1687" s="108" t="s">
        <v>51</v>
      </c>
      <c r="H1687" s="108" t="str">
        <f t="shared" si="144"/>
        <v>Nisqually River</v>
      </c>
      <c r="I1687" s="108" t="str">
        <f>IFERROR(VLOOKUP(H1687,LUTs!$A$1:$C$73,2,FALSE),"NA")</f>
        <v>Thurston/Pierce</v>
      </c>
      <c r="J1687" s="108" t="str">
        <f>IFERROR(VLOOKUP(H1687,LUTs!$A$1:$C$73,3,FALSE),"NA")</f>
        <v>3South Puget Sound</v>
      </c>
      <c r="K1687" s="108" t="s">
        <v>15</v>
      </c>
      <c r="L1687" s="108" t="str">
        <f>VLOOKUP(K1687,LUTs!E$2:G$14,3,)</f>
        <v>02Skagit</v>
      </c>
      <c r="M1687" s="108" t="str">
        <f>VLOOKUP($K1687,LUTs!$E$2:$H$14,2,)</f>
        <v>North Puget Sound</v>
      </c>
      <c r="N1687" s="108" t="str">
        <f>VLOOKUP($K1687,LUTs!$E$2:$H$14,4,)</f>
        <v>01North Puget Sound</v>
      </c>
      <c r="O1687" s="108">
        <v>21.590434304563001</v>
      </c>
      <c r="P1687" s="108">
        <v>74.271094007696703</v>
      </c>
      <c r="Q1687" s="108">
        <f>SUMIFS('FW_Salmon_by_Month_2010-2021'!P$2:P$3810,'FW_Salmon_by_Month_2010-2021'!$B$2:$B$3810,'Rec_raw_catch_effort_2010-2021'!$B1687,'FW_Salmon_by_Month_2010-2021'!$H$2:$H$3810,'Rec_raw_catch_effort_2010-2021'!$F1687,'FW_Salmon_by_Month_2010-2021'!$M$2:$M$3810,'Rec_raw_catch_effort_2010-2021'!$K1687)</f>
        <v>21.965000850083442</v>
      </c>
      <c r="R1687" s="109">
        <f>VLOOKUP(B1687,Readme!$A$62:$C$74,2,)*Q1687</f>
        <v>77.73502626830043</v>
      </c>
      <c r="S1687" s="140" t="str">
        <f t="shared" si="145"/>
        <v>Y</v>
      </c>
      <c r="T1687" s="154">
        <f t="shared" si="146"/>
        <v>3.4399999999999991</v>
      </c>
      <c r="U1687" s="154">
        <f t="shared" si="147"/>
        <v>3.5390404397824153</v>
      </c>
    </row>
    <row r="1688" spans="1:21" x14ac:dyDescent="0.35">
      <c r="A1688" s="108">
        <v>363</v>
      </c>
      <c r="B1688" s="108">
        <v>2011</v>
      </c>
      <c r="C1688" s="108" t="s">
        <v>38</v>
      </c>
      <c r="D1688" s="108" t="s">
        <v>143</v>
      </c>
      <c r="E1688" s="108" t="s">
        <v>10</v>
      </c>
      <c r="F1688" s="116">
        <v>786</v>
      </c>
      <c r="G1688" s="108" t="s">
        <v>51</v>
      </c>
      <c r="H1688" s="108" t="str">
        <f t="shared" si="144"/>
        <v>Nisqually River</v>
      </c>
      <c r="I1688" s="108" t="str">
        <f>IFERROR(VLOOKUP(H1688,LUTs!$A$1:$C$73,2,FALSE),"NA")</f>
        <v>Thurston/Pierce</v>
      </c>
      <c r="J1688" s="108" t="str">
        <f>IFERROR(VLOOKUP(H1688,LUTs!$A$1:$C$73,3,FALSE),"NA")</f>
        <v>3South Puget Sound</v>
      </c>
      <c r="K1688" s="108" t="s">
        <v>16</v>
      </c>
      <c r="L1688" s="108" t="str">
        <f>VLOOKUP(K1688,LUTs!E$2:G$14,3,)</f>
        <v>03Snohomish</v>
      </c>
      <c r="M1688" s="108" t="str">
        <f>VLOOKUP($K1688,LUTs!$E$2:$H$14,2,)</f>
        <v>North Puget Sound</v>
      </c>
      <c r="N1688" s="108" t="str">
        <f>VLOOKUP($K1688,LUTs!$E$2:$H$14,4,)</f>
        <v>01North Puget Sound</v>
      </c>
      <c r="O1688" s="108">
        <v>129.542605827378</v>
      </c>
      <c r="P1688" s="108">
        <v>445.62656404618002</v>
      </c>
      <c r="Q1688" s="108">
        <f>SUMIFS('FW_Salmon_by_Month_2010-2021'!P$2:P$3810,'FW_Salmon_by_Month_2010-2021'!$B$2:$B$3810,'Rec_raw_catch_effort_2010-2021'!$B1688,'FW_Salmon_by_Month_2010-2021'!$H$2:$H$3810,'Rec_raw_catch_effort_2010-2021'!$F1688,'FW_Salmon_by_Month_2010-2021'!$M$2:$M$3810,'Rec_raw_catch_effort_2010-2021'!$K1688)</f>
        <v>132.945141457723</v>
      </c>
      <c r="R1688" s="109">
        <f>VLOOKUP(B1688,Readme!$A$62:$C$74,2,)*Q1688</f>
        <v>470.49823189147543</v>
      </c>
      <c r="S1688" s="140" t="str">
        <f t="shared" si="145"/>
        <v>Y</v>
      </c>
      <c r="T1688" s="154">
        <f t="shared" si="146"/>
        <v>3.4399999999999977</v>
      </c>
      <c r="U1688" s="154">
        <f t="shared" si="147"/>
        <v>3.5390404397824153</v>
      </c>
    </row>
    <row r="1689" spans="1:21" x14ac:dyDescent="0.35">
      <c r="A1689" s="108">
        <v>366</v>
      </c>
      <c r="B1689" s="108">
        <v>2011</v>
      </c>
      <c r="C1689" s="108" t="s">
        <v>38</v>
      </c>
      <c r="D1689" s="108" t="s">
        <v>143</v>
      </c>
      <c r="E1689" s="108" t="s">
        <v>10</v>
      </c>
      <c r="F1689" s="116">
        <v>786</v>
      </c>
      <c r="G1689" s="108" t="s">
        <v>51</v>
      </c>
      <c r="H1689" s="108" t="str">
        <f t="shared" si="144"/>
        <v>Nisqually River</v>
      </c>
      <c r="I1689" s="108" t="str">
        <f>IFERROR(VLOOKUP(H1689,LUTs!$A$1:$C$73,2,FALSE),"NA")</f>
        <v>Thurston/Pierce</v>
      </c>
      <c r="J1689" s="108" t="str">
        <f>IFERROR(VLOOKUP(H1689,LUTs!$A$1:$C$73,3,FALSE),"NA")</f>
        <v>3South Puget Sound</v>
      </c>
      <c r="K1689" s="108" t="s">
        <v>21</v>
      </c>
      <c r="L1689" s="108" t="str">
        <f>VLOOKUP(K1689,LUTs!E$2:G$14,3,)</f>
        <v>08Thurston</v>
      </c>
      <c r="M1689" s="108" t="str">
        <f>VLOOKUP($K1689,LUTs!$E$2:$H$14,2,)</f>
        <v>South Puget Sound</v>
      </c>
      <c r="N1689" s="108" t="str">
        <f>VLOOKUP($K1689,LUTs!$E$2:$H$14,4,)</f>
        <v>02South Puget Sound</v>
      </c>
      <c r="O1689" s="108">
        <v>6318.8004398020903</v>
      </c>
      <c r="P1689" s="108">
        <v>21736.673512919198</v>
      </c>
      <c r="Q1689" s="108">
        <f>SUMIFS('FW_Salmon_by_Month_2010-2021'!P$2:P$3810,'FW_Salmon_by_Month_2010-2021'!$B$2:$B$3810,'Rec_raw_catch_effort_2010-2021'!$B1689,'FW_Salmon_by_Month_2010-2021'!$H$2:$H$3810,'Rec_raw_catch_effort_2010-2021'!$F1689,'FW_Salmon_by_Month_2010-2021'!$M$2:$M$3810,'Rec_raw_catch_effort_2010-2021'!$K1689)</f>
        <v>6115.9423588380687</v>
      </c>
      <c r="R1689" s="109">
        <f>VLOOKUP(B1689,Readme!$A$62:$C$74,2,)*Q1689</f>
        <v>21644.567335306183</v>
      </c>
      <c r="S1689" s="140" t="str">
        <f t="shared" si="145"/>
        <v>Y</v>
      </c>
      <c r="T1689" s="154">
        <f t="shared" si="146"/>
        <v>3.4400000000000013</v>
      </c>
      <c r="U1689" s="154">
        <f t="shared" si="147"/>
        <v>3.5390404397824158</v>
      </c>
    </row>
    <row r="1690" spans="1:21" x14ac:dyDescent="0.35">
      <c r="A1690" s="108">
        <v>372</v>
      </c>
      <c r="B1690" s="108">
        <v>2012</v>
      </c>
      <c r="C1690" s="108" t="s">
        <v>38</v>
      </c>
      <c r="D1690" s="108" t="s">
        <v>143</v>
      </c>
      <c r="E1690" s="108" t="s">
        <v>10</v>
      </c>
      <c r="F1690" s="116">
        <v>786</v>
      </c>
      <c r="G1690" s="108" t="s">
        <v>51</v>
      </c>
      <c r="H1690" s="108" t="str">
        <f t="shared" si="144"/>
        <v>Nisqually River</v>
      </c>
      <c r="I1690" s="108" t="str">
        <f>IFERROR(VLOOKUP(H1690,LUTs!$A$1:$C$73,2,FALSE),"NA")</f>
        <v>Thurston/Pierce</v>
      </c>
      <c r="J1690" s="108" t="str">
        <f>IFERROR(VLOOKUP(H1690,LUTs!$A$1:$C$73,3,FALSE),"NA")</f>
        <v>3South Puget Sound</v>
      </c>
      <c r="K1690" s="108" t="s">
        <v>18</v>
      </c>
      <c r="L1690" s="108" t="str">
        <f>VLOOKUP(K1690,LUTs!E$2:G$14,3,)</f>
        <v>06King</v>
      </c>
      <c r="M1690" s="108" t="str">
        <f>VLOOKUP($K1690,LUTs!$E$2:$H$14,2,)</f>
        <v>South Puget Sound</v>
      </c>
      <c r="N1690" s="108" t="str">
        <f>VLOOKUP($K1690,LUTs!$E$2:$H$14,4,)</f>
        <v>02South Puget Sound</v>
      </c>
      <c r="O1690" s="108">
        <v>1036.64485294118</v>
      </c>
      <c r="P1690" s="108">
        <v>8966.9779779412092</v>
      </c>
      <c r="Q1690" s="108">
        <f>SUMIFS('FW_Salmon_by_Month_2010-2021'!P$2:P$3810,'FW_Salmon_by_Month_2010-2021'!$B$2:$B$3810,'Rec_raw_catch_effort_2010-2021'!$B1690,'FW_Salmon_by_Month_2010-2021'!$H$2:$H$3810,'Rec_raw_catch_effort_2010-2021'!$F1690,'FW_Salmon_by_Month_2010-2021'!$M$2:$M$3810,'Rec_raw_catch_effort_2010-2021'!$K1690)</f>
        <v>1027.1631784873955</v>
      </c>
      <c r="R1690" s="109">
        <f>VLOOKUP(B1690,Readme!$A$62:$C$74,2,)*Q1690</f>
        <v>4950.4693342034379</v>
      </c>
      <c r="S1690" s="140" t="str">
        <f t="shared" si="145"/>
        <v>Y</v>
      </c>
      <c r="T1690" s="154">
        <f t="shared" si="146"/>
        <v>8.6500000000000021</v>
      </c>
      <c r="U1690" s="154">
        <f t="shared" si="147"/>
        <v>4.8195549041132084</v>
      </c>
    </row>
    <row r="1691" spans="1:21" x14ac:dyDescent="0.35">
      <c r="A1691" s="108">
        <v>376</v>
      </c>
      <c r="B1691" s="108">
        <v>2012</v>
      </c>
      <c r="C1691" s="108" t="s">
        <v>38</v>
      </c>
      <c r="D1691" s="108" t="s">
        <v>143</v>
      </c>
      <c r="E1691" s="108" t="s">
        <v>10</v>
      </c>
      <c r="F1691" s="116">
        <v>786</v>
      </c>
      <c r="G1691" s="108" t="s">
        <v>51</v>
      </c>
      <c r="H1691" s="108" t="str">
        <f t="shared" si="144"/>
        <v>Nisqually River</v>
      </c>
      <c r="I1691" s="108" t="str">
        <f>IFERROR(VLOOKUP(H1691,LUTs!$A$1:$C$73,2,FALSE),"NA")</f>
        <v>Thurston/Pierce</v>
      </c>
      <c r="J1691" s="108" t="str">
        <f>IFERROR(VLOOKUP(H1691,LUTs!$A$1:$C$73,3,FALSE),"NA")</f>
        <v>3South Puget Sound</v>
      </c>
      <c r="K1691" s="108" t="s">
        <v>23</v>
      </c>
      <c r="L1691" s="108" t="str">
        <f>VLOOKUP(K1691,LUTs!E$2:G$14,3,)</f>
        <v>10Kitsap</v>
      </c>
      <c r="M1691" s="108" t="str">
        <f>VLOOKUP($K1691,LUTs!$E$2:$H$14,2,)</f>
        <v>South Puget Sound</v>
      </c>
      <c r="N1691" s="108" t="str">
        <f>VLOOKUP($K1691,LUTs!$E$2:$H$14,4,)</f>
        <v>02South Puget Sound</v>
      </c>
      <c r="O1691" s="108">
        <v>50.744852941176497</v>
      </c>
      <c r="P1691" s="108">
        <v>438.94297794117699</v>
      </c>
      <c r="Q1691" s="108">
        <f>SUMIFS('FW_Salmon_by_Month_2010-2021'!P$2:P$3810,'FW_Salmon_by_Month_2010-2021'!$B$2:$B$3810,'Rec_raw_catch_effort_2010-2021'!$B1691,'FW_Salmon_by_Month_2010-2021'!$H$2:$H$3810,'Rec_raw_catch_effort_2010-2021'!$F1691,'FW_Salmon_by_Month_2010-2021'!$M$2:$M$3810,'Rec_raw_catch_effort_2010-2021'!$K1691)</f>
        <v>58.490908181397359</v>
      </c>
      <c r="R1691" s="109">
        <f>VLOOKUP(B1691,Readme!$A$62:$C$74,2,)*Q1691</f>
        <v>281.90014337168901</v>
      </c>
      <c r="S1691" s="140" t="str">
        <f t="shared" si="145"/>
        <v>Y</v>
      </c>
      <c r="T1691" s="154">
        <f t="shared" si="146"/>
        <v>8.6500000000000057</v>
      </c>
      <c r="U1691" s="154">
        <f t="shared" si="147"/>
        <v>4.8195549041132084</v>
      </c>
    </row>
    <row r="1692" spans="1:21" x14ac:dyDescent="0.35">
      <c r="A1692" s="108">
        <v>375</v>
      </c>
      <c r="B1692" s="108">
        <v>2012</v>
      </c>
      <c r="C1692" s="108" t="s">
        <v>38</v>
      </c>
      <c r="D1692" s="108" t="s">
        <v>143</v>
      </c>
      <c r="E1692" s="108" t="s">
        <v>10</v>
      </c>
      <c r="F1692" s="116">
        <v>786</v>
      </c>
      <c r="G1692" s="108" t="s">
        <v>51</v>
      </c>
      <c r="H1692" s="108" t="str">
        <f t="shared" si="144"/>
        <v>Nisqually River</v>
      </c>
      <c r="I1692" s="108" t="str">
        <f>IFERROR(VLOOKUP(H1692,LUTs!$A$1:$C$73,2,FALSE),"NA")</f>
        <v>Thurston/Pierce</v>
      </c>
      <c r="J1692" s="108" t="str">
        <f>IFERROR(VLOOKUP(H1692,LUTs!$A$1:$C$73,3,FALSE),"NA")</f>
        <v>3South Puget Sound</v>
      </c>
      <c r="K1692" s="108" t="s">
        <v>22</v>
      </c>
      <c r="L1692" s="108" t="str">
        <f>VLOOKUP(K1692,LUTs!E$2:G$14,3,)</f>
        <v>09Mason</v>
      </c>
      <c r="M1692" s="108" t="str">
        <f>VLOOKUP($K1692,LUTs!$E$2:$H$14,2,)</f>
        <v>South Puget Sound</v>
      </c>
      <c r="N1692" s="108" t="str">
        <f>VLOOKUP($K1692,LUTs!$E$2:$H$14,4,)</f>
        <v>02South Puget Sound</v>
      </c>
      <c r="O1692" s="108">
        <v>108.73897058823501</v>
      </c>
      <c r="P1692" s="108">
        <v>940.59209558823295</v>
      </c>
      <c r="Q1692" s="108">
        <f>SUMIFS('FW_Salmon_by_Month_2010-2021'!P$2:P$3810,'FW_Salmon_by_Month_2010-2021'!$B$2:$B$3810,'Rec_raw_catch_effort_2010-2021'!$B1692,'FW_Salmon_by_Month_2010-2021'!$H$2:$H$3810,'Rec_raw_catch_effort_2010-2021'!$F1692,'FW_Salmon_by_Month_2010-2021'!$M$2:$M$3810,'Rec_raw_catch_effort_2010-2021'!$K1692)</f>
        <v>109.33881763683836</v>
      </c>
      <c r="R1692" s="109">
        <f>VLOOKUP(B1692,Readme!$A$62:$C$74,2,)*Q1692</f>
        <v>526.96443475156411</v>
      </c>
      <c r="S1692" s="140" t="str">
        <f t="shared" si="145"/>
        <v>Y</v>
      </c>
      <c r="T1692" s="154">
        <f t="shared" si="146"/>
        <v>8.6500000000000021</v>
      </c>
      <c r="U1692" s="154">
        <f t="shared" si="147"/>
        <v>4.8195549041132084</v>
      </c>
    </row>
    <row r="1693" spans="1:21" x14ac:dyDescent="0.35">
      <c r="A1693" s="108">
        <v>377</v>
      </c>
      <c r="B1693" s="108">
        <v>2012</v>
      </c>
      <c r="C1693" s="108" t="s">
        <v>38</v>
      </c>
      <c r="D1693" s="108" t="s">
        <v>143</v>
      </c>
      <c r="E1693" s="108" t="s">
        <v>10</v>
      </c>
      <c r="F1693" s="116">
        <v>786</v>
      </c>
      <c r="G1693" s="108" t="s">
        <v>51</v>
      </c>
      <c r="H1693" s="108" t="str">
        <f t="shared" si="144"/>
        <v>Nisqually River</v>
      </c>
      <c r="I1693" s="108" t="str">
        <f>IFERROR(VLOOKUP(H1693,LUTs!$A$1:$C$73,2,FALSE),"NA")</f>
        <v>Thurston/Pierce</v>
      </c>
      <c r="J1693" s="108" t="str">
        <f>IFERROR(VLOOKUP(H1693,LUTs!$A$1:$C$73,3,FALSE),"NA")</f>
        <v>3South Puget Sound</v>
      </c>
      <c r="K1693" s="108" t="s">
        <v>26</v>
      </c>
      <c r="L1693" s="108" t="str">
        <f>VLOOKUP(K1693,LUTs!E$2:G$14,3,)</f>
        <v>20Other</v>
      </c>
      <c r="M1693" s="108" t="str">
        <f>VLOOKUP($K1693,LUTs!$E$2:$H$14,2,)</f>
        <v>Non Puget Sound</v>
      </c>
      <c r="N1693" s="108" t="str">
        <f>VLOOKUP($K1693,LUTs!$E$2:$H$14,4,)</f>
        <v>07Non Puget Sound</v>
      </c>
      <c r="O1693" s="108">
        <v>434.95588235294099</v>
      </c>
      <c r="P1693" s="108">
        <v>3762.36838235294</v>
      </c>
      <c r="Q1693" s="108">
        <f>SUMIFS('FW_Salmon_by_Month_2010-2021'!P$2:P$3810,'FW_Salmon_by_Month_2010-2021'!$B$2:$B$3810,'Rec_raw_catch_effort_2010-2021'!$B1693,'FW_Salmon_by_Month_2010-2021'!$H$2:$H$3810,'Rec_raw_catch_effort_2010-2021'!$F1693,'FW_Salmon_by_Month_2010-2021'!$M$2:$M$3810,'Rec_raw_catch_effort_2010-2021'!$K1693)</f>
        <v>474.85631632964527</v>
      </c>
      <c r="R1693" s="109">
        <f>VLOOKUP(B1693,Readme!$A$62:$C$74,2,)*Q1693</f>
        <v>2288.5960881156748</v>
      </c>
      <c r="S1693" s="140" t="str">
        <f t="shared" si="145"/>
        <v>Y</v>
      </c>
      <c r="T1693" s="154">
        <f t="shared" si="146"/>
        <v>8.65</v>
      </c>
      <c r="U1693" s="154">
        <f t="shared" si="147"/>
        <v>4.8195549041132084</v>
      </c>
    </row>
    <row r="1694" spans="1:21" x14ac:dyDescent="0.35">
      <c r="A1694" s="108">
        <v>373</v>
      </c>
      <c r="B1694" s="108">
        <v>2012</v>
      </c>
      <c r="C1694" s="108" t="s">
        <v>38</v>
      </c>
      <c r="D1694" s="108" t="s">
        <v>143</v>
      </c>
      <c r="E1694" s="108" t="s">
        <v>10</v>
      </c>
      <c r="F1694" s="116">
        <v>786</v>
      </c>
      <c r="G1694" s="108" t="s">
        <v>51</v>
      </c>
      <c r="H1694" s="108" t="str">
        <f t="shared" si="144"/>
        <v>Nisqually River</v>
      </c>
      <c r="I1694" s="108" t="str">
        <f>IFERROR(VLOOKUP(H1694,LUTs!$A$1:$C$73,2,FALSE),"NA")</f>
        <v>Thurston/Pierce</v>
      </c>
      <c r="J1694" s="108" t="str">
        <f>IFERROR(VLOOKUP(H1694,LUTs!$A$1:$C$73,3,FALSE),"NA")</f>
        <v>3South Puget Sound</v>
      </c>
      <c r="K1694" s="108" t="s">
        <v>20</v>
      </c>
      <c r="L1694" s="108" t="str">
        <f>VLOOKUP(K1694,LUTs!E$2:G$14,3,)</f>
        <v>07Pierce</v>
      </c>
      <c r="M1694" s="108" t="str">
        <f>VLOOKUP($K1694,LUTs!$E$2:$H$14,2,)</f>
        <v>South Puget Sound</v>
      </c>
      <c r="N1694" s="108" t="str">
        <f>VLOOKUP($K1694,LUTs!$E$2:$H$14,4,)</f>
        <v>02South Puget Sound</v>
      </c>
      <c r="O1694" s="108">
        <v>4980.2448529411804</v>
      </c>
      <c r="P1694" s="108">
        <v>43079.117977941198</v>
      </c>
      <c r="Q1694" s="108">
        <f>SUMIFS('FW_Salmon_by_Month_2010-2021'!P$2:P$3810,'FW_Salmon_by_Month_2010-2021'!$B$2:$B$3810,'Rec_raw_catch_effort_2010-2021'!$B1694,'FW_Salmon_by_Month_2010-2021'!$H$2:$H$3810,'Rec_raw_catch_effort_2010-2021'!$F1694,'FW_Salmon_by_Month_2010-2021'!$M$2:$M$3810,'Rec_raw_catch_effort_2010-2021'!$K1694)</f>
        <v>5052.8126572141418</v>
      </c>
      <c r="R1694" s="109">
        <f>VLOOKUP(B1694,Readme!$A$62:$C$74,2,)*Q1694</f>
        <v>24352.308021641707</v>
      </c>
      <c r="S1694" s="140" t="str">
        <f t="shared" si="145"/>
        <v>Y</v>
      </c>
      <c r="T1694" s="154">
        <f t="shared" si="146"/>
        <v>8.6499999999999968</v>
      </c>
      <c r="U1694" s="154">
        <f t="shared" si="147"/>
        <v>4.8195549041132084</v>
      </c>
    </row>
    <row r="1695" spans="1:21" x14ac:dyDescent="0.35">
      <c r="A1695" s="108">
        <v>371</v>
      </c>
      <c r="B1695" s="108">
        <v>2012</v>
      </c>
      <c r="C1695" s="108" t="s">
        <v>38</v>
      </c>
      <c r="D1695" s="108" t="s">
        <v>143</v>
      </c>
      <c r="E1695" s="108" t="s">
        <v>10</v>
      </c>
      <c r="F1695" s="116">
        <v>786</v>
      </c>
      <c r="G1695" s="108" t="s">
        <v>51</v>
      </c>
      <c r="H1695" s="108" t="str">
        <f t="shared" si="144"/>
        <v>Nisqually River</v>
      </c>
      <c r="I1695" s="108" t="str">
        <f>IFERROR(VLOOKUP(H1695,LUTs!$A$1:$C$73,2,FALSE),"NA")</f>
        <v>Thurston/Pierce</v>
      </c>
      <c r="J1695" s="108" t="str">
        <f>IFERROR(VLOOKUP(H1695,LUTs!$A$1:$C$73,3,FALSE),"NA")</f>
        <v>3South Puget Sound</v>
      </c>
      <c r="K1695" s="108" t="s">
        <v>16</v>
      </c>
      <c r="L1695" s="108" t="str">
        <f>VLOOKUP(K1695,LUTs!E$2:G$14,3,)</f>
        <v>03Snohomish</v>
      </c>
      <c r="M1695" s="108" t="str">
        <f>VLOOKUP($K1695,LUTs!$E$2:$H$14,2,)</f>
        <v>North Puget Sound</v>
      </c>
      <c r="N1695" s="108" t="str">
        <f>VLOOKUP($K1695,LUTs!$E$2:$H$14,4,)</f>
        <v>01North Puget Sound</v>
      </c>
      <c r="O1695" s="108">
        <v>65.243382352941197</v>
      </c>
      <c r="P1695" s="108">
        <v>564.35525735294095</v>
      </c>
      <c r="Q1695" s="108">
        <f>SUMIFS('FW_Salmon_by_Month_2010-2021'!P$2:P$3810,'FW_Salmon_by_Month_2010-2021'!$B$2:$B$3810,'Rec_raw_catch_effort_2010-2021'!$B1695,'FW_Salmon_by_Month_2010-2021'!$H$2:$H$3810,'Rec_raw_catch_effort_2010-2021'!$F1695,'FW_Salmon_by_Month_2010-2021'!$M$2:$M$3810,'Rec_raw_catch_effort_2010-2021'!$K1695)</f>
        <v>65.623964718672255</v>
      </c>
      <c r="R1695" s="109">
        <f>VLOOKUP(B1695,Readme!$A$62:$C$74,2,)*Q1695</f>
        <v>316.27830098722904</v>
      </c>
      <c r="S1695" s="140" t="str">
        <f t="shared" si="145"/>
        <v>Y</v>
      </c>
      <c r="T1695" s="154">
        <f t="shared" si="146"/>
        <v>8.6499999999999932</v>
      </c>
      <c r="U1695" s="154">
        <f t="shared" si="147"/>
        <v>4.8195549041132084</v>
      </c>
    </row>
    <row r="1696" spans="1:21" x14ac:dyDescent="0.35">
      <c r="A1696" s="108">
        <v>374</v>
      </c>
      <c r="B1696" s="108">
        <v>2012</v>
      </c>
      <c r="C1696" s="108" t="s">
        <v>38</v>
      </c>
      <c r="D1696" s="108" t="s">
        <v>143</v>
      </c>
      <c r="E1696" s="108" t="s">
        <v>10</v>
      </c>
      <c r="F1696" s="116">
        <v>786</v>
      </c>
      <c r="G1696" s="108" t="s">
        <v>51</v>
      </c>
      <c r="H1696" s="108" t="str">
        <f t="shared" si="144"/>
        <v>Nisqually River</v>
      </c>
      <c r="I1696" s="108" t="str">
        <f>IFERROR(VLOOKUP(H1696,LUTs!$A$1:$C$73,2,FALSE),"NA")</f>
        <v>Thurston/Pierce</v>
      </c>
      <c r="J1696" s="108" t="str">
        <f>IFERROR(VLOOKUP(H1696,LUTs!$A$1:$C$73,3,FALSE),"NA")</f>
        <v>3South Puget Sound</v>
      </c>
      <c r="K1696" s="108" t="s">
        <v>21</v>
      </c>
      <c r="L1696" s="108" t="str">
        <f>VLOOKUP(K1696,LUTs!E$2:G$14,3,)</f>
        <v>08Thurston</v>
      </c>
      <c r="M1696" s="108" t="str">
        <f>VLOOKUP($K1696,LUTs!$E$2:$H$14,2,)</f>
        <v>South Puget Sound</v>
      </c>
      <c r="N1696" s="108" t="str">
        <f>VLOOKUP($K1696,LUTs!$E$2:$H$14,4,)</f>
        <v>02South Puget Sound</v>
      </c>
      <c r="O1696" s="108">
        <v>3167.9286764705898</v>
      </c>
      <c r="P1696" s="108">
        <v>27402.583051470599</v>
      </c>
      <c r="Q1696" s="108">
        <f>SUMIFS('FW_Salmon_by_Month_2010-2021'!P$2:P$3810,'FW_Salmon_by_Month_2010-2021'!$B$2:$B$3810,'Rec_raw_catch_effort_2010-2021'!$B1696,'FW_Salmon_by_Month_2010-2021'!$H$2:$H$3810,'Rec_raw_catch_effort_2010-2021'!$F1696,'FW_Salmon_by_Month_2010-2021'!$M$2:$M$3810,'Rec_raw_catch_effort_2010-2021'!$K1696)</f>
        <v>3403.1388562270918</v>
      </c>
      <c r="R1696" s="109">
        <f>VLOOKUP(B1696,Readme!$A$62:$C$74,2,)*Q1696</f>
        <v>16401.614563907497</v>
      </c>
      <c r="S1696" s="140" t="str">
        <f t="shared" si="145"/>
        <v>Y</v>
      </c>
      <c r="T1696" s="154">
        <f t="shared" si="146"/>
        <v>8.6499999999999986</v>
      </c>
      <c r="U1696" s="154">
        <f t="shared" si="147"/>
        <v>4.8195549041132093</v>
      </c>
    </row>
    <row r="1697" spans="1:21" x14ac:dyDescent="0.35">
      <c r="A1697" s="108">
        <v>370</v>
      </c>
      <c r="B1697" s="108">
        <v>2012</v>
      </c>
      <c r="C1697" s="108" t="s">
        <v>38</v>
      </c>
      <c r="D1697" s="108" t="s">
        <v>143</v>
      </c>
      <c r="E1697" s="108" t="s">
        <v>10</v>
      </c>
      <c r="F1697" s="116">
        <v>786</v>
      </c>
      <c r="G1697" s="108" t="s">
        <v>51</v>
      </c>
      <c r="H1697" s="108" t="str">
        <f t="shared" si="144"/>
        <v>Nisqually River</v>
      </c>
      <c r="I1697" s="108" t="str">
        <f>IFERROR(VLOOKUP(H1697,LUTs!$A$1:$C$73,2,FALSE),"NA")</f>
        <v>Thurston/Pierce</v>
      </c>
      <c r="J1697" s="108" t="str">
        <f>IFERROR(VLOOKUP(H1697,LUTs!$A$1:$C$73,3,FALSE),"NA")</f>
        <v>3South Puget Sound</v>
      </c>
      <c r="K1697" s="108" t="s">
        <v>13</v>
      </c>
      <c r="L1697" s="108" t="str">
        <f>VLOOKUP(K1697,LUTs!E$2:G$14,3,)</f>
        <v>01Whatcom</v>
      </c>
      <c r="M1697" s="108" t="str">
        <f>VLOOKUP($K1697,LUTs!$E$2:$H$14,2,)</f>
        <v>North Puget Sound</v>
      </c>
      <c r="N1697" s="108" t="str">
        <f>VLOOKUP($K1697,LUTs!$E$2:$H$14,4,)</f>
        <v>01North Puget Sound</v>
      </c>
      <c r="O1697" s="108">
        <v>14.4985294117647</v>
      </c>
      <c r="P1697" s="108">
        <v>125.412279411765</v>
      </c>
      <c r="Q1697" s="108">
        <f>SUMIFS('FW_Salmon_by_Month_2010-2021'!P$2:P$3810,'FW_Salmon_by_Month_2010-2021'!$B$2:$B$3810,'Rec_raw_catch_effort_2010-2021'!$B1697,'FW_Salmon_by_Month_2010-2021'!$H$2:$H$3810,'Rec_raw_catch_effort_2010-2021'!$F1697,'FW_Salmon_by_Month_2010-2021'!$M$2:$M$3810,'Rec_raw_catch_effort_2010-2021'!$K1697)</f>
        <v>14.575301204819301</v>
      </c>
      <c r="R1697" s="109">
        <f>VLOOKUP(B1697,Readme!$A$62:$C$74,2,)*Q1697</f>
        <v>70.246464400614016</v>
      </c>
      <c r="S1697" s="140" t="str">
        <f t="shared" si="145"/>
        <v>Y</v>
      </c>
      <c r="T1697" s="154">
        <f t="shared" si="146"/>
        <v>8.6500000000000234</v>
      </c>
      <c r="U1697" s="154">
        <f t="shared" si="147"/>
        <v>4.8195549041132084</v>
      </c>
    </row>
    <row r="1698" spans="1:21" x14ac:dyDescent="0.35">
      <c r="A1698" s="108">
        <v>381</v>
      </c>
      <c r="B1698" s="108">
        <v>2013</v>
      </c>
      <c r="C1698" s="108" t="s">
        <v>38</v>
      </c>
      <c r="D1698" s="108" t="s">
        <v>143</v>
      </c>
      <c r="E1698" s="108" t="s">
        <v>10</v>
      </c>
      <c r="F1698" s="116">
        <v>786</v>
      </c>
      <c r="G1698" s="108" t="s">
        <v>51</v>
      </c>
      <c r="H1698" s="108" t="str">
        <f t="shared" si="144"/>
        <v>Nisqually River</v>
      </c>
      <c r="I1698" s="108" t="str">
        <f>IFERROR(VLOOKUP(H1698,LUTs!$A$1:$C$73,2,FALSE),"NA")</f>
        <v>Thurston/Pierce</v>
      </c>
      <c r="J1698" s="108" t="str">
        <f>IFERROR(VLOOKUP(H1698,LUTs!$A$1:$C$73,3,FALSE),"NA")</f>
        <v>3South Puget Sound</v>
      </c>
      <c r="K1698" s="108" t="s">
        <v>18</v>
      </c>
      <c r="L1698" s="108" t="str">
        <f>VLOOKUP(K1698,LUTs!E$2:G$14,3,)</f>
        <v>06King</v>
      </c>
      <c r="M1698" s="108" t="str">
        <f>VLOOKUP($K1698,LUTs!$E$2:$H$14,2,)</f>
        <v>South Puget Sound</v>
      </c>
      <c r="N1698" s="108" t="str">
        <f>VLOOKUP($K1698,LUTs!$E$2:$H$14,4,)</f>
        <v>02South Puget Sound</v>
      </c>
      <c r="O1698" s="108">
        <v>1290.32874109264</v>
      </c>
      <c r="P1698" s="108">
        <v>4438.7308693586801</v>
      </c>
      <c r="Q1698" s="108">
        <f>SUMIFS('FW_Salmon_by_Month_2010-2021'!P$2:P$3810,'FW_Salmon_by_Month_2010-2021'!$B$2:$B$3810,'Rec_raw_catch_effort_2010-2021'!$B1698,'FW_Salmon_by_Month_2010-2021'!$H$2:$H$3810,'Rec_raw_catch_effort_2010-2021'!$F1698,'FW_Salmon_by_Month_2010-2021'!$M$2:$M$3810,'Rec_raw_catch_effort_2010-2021'!$K1698)</f>
        <v>1297.9754322318283</v>
      </c>
      <c r="R1698" s="109">
        <f>VLOOKUP(B1698,Readme!$A$62:$C$74,2,)*Q1698</f>
        <v>4593.5875445125002</v>
      </c>
      <c r="S1698" s="140" t="str">
        <f t="shared" si="145"/>
        <v>Y</v>
      </c>
      <c r="T1698" s="154">
        <f t="shared" si="146"/>
        <v>3.4399999999999986</v>
      </c>
      <c r="U1698" s="154">
        <f t="shared" si="147"/>
        <v>3.5390404397824153</v>
      </c>
    </row>
    <row r="1699" spans="1:21" x14ac:dyDescent="0.35">
      <c r="A1699" s="108">
        <v>385</v>
      </c>
      <c r="B1699" s="108">
        <v>2013</v>
      </c>
      <c r="C1699" s="108" t="s">
        <v>38</v>
      </c>
      <c r="D1699" s="108" t="s">
        <v>143</v>
      </c>
      <c r="E1699" s="108" t="s">
        <v>10</v>
      </c>
      <c r="F1699" s="116">
        <v>786</v>
      </c>
      <c r="G1699" s="108" t="s">
        <v>51</v>
      </c>
      <c r="H1699" s="108" t="str">
        <f t="shared" si="144"/>
        <v>Nisqually River</v>
      </c>
      <c r="I1699" s="108" t="str">
        <f>IFERROR(VLOOKUP(H1699,LUTs!$A$1:$C$73,2,FALSE),"NA")</f>
        <v>Thurston/Pierce</v>
      </c>
      <c r="J1699" s="108" t="str">
        <f>IFERROR(VLOOKUP(H1699,LUTs!$A$1:$C$73,3,FALSE),"NA")</f>
        <v>3South Puget Sound</v>
      </c>
      <c r="K1699" s="108" t="s">
        <v>23</v>
      </c>
      <c r="L1699" s="108" t="str">
        <f>VLOOKUP(K1699,LUTs!E$2:G$14,3,)</f>
        <v>10Kitsap</v>
      </c>
      <c r="M1699" s="108" t="str">
        <f>VLOOKUP($K1699,LUTs!$E$2:$H$14,2,)</f>
        <v>South Puget Sound</v>
      </c>
      <c r="N1699" s="108" t="str">
        <f>VLOOKUP($K1699,LUTs!$E$2:$H$14,4,)</f>
        <v>02South Puget Sound</v>
      </c>
      <c r="O1699" s="108">
        <v>342.88456057007102</v>
      </c>
      <c r="P1699" s="108">
        <v>1179.52288836104</v>
      </c>
      <c r="Q1699" s="108">
        <f>SUMIFS('FW_Salmon_by_Month_2010-2021'!P$2:P$3810,'FW_Salmon_by_Month_2010-2021'!$B$2:$B$3810,'Rec_raw_catch_effort_2010-2021'!$B1699,'FW_Salmon_by_Month_2010-2021'!$H$2:$H$3810,'Rec_raw_catch_effort_2010-2021'!$F1699,'FW_Salmon_by_Month_2010-2021'!$M$2:$M$3810,'Rec_raw_catch_effort_2010-2021'!$K1699)</f>
        <v>346.73786516853926</v>
      </c>
      <c r="R1699" s="109">
        <f>VLOOKUP(B1699,Readme!$A$62:$C$74,2,)*Q1699</f>
        <v>1227.1193268352831</v>
      </c>
      <c r="S1699" s="140" t="str">
        <f t="shared" si="145"/>
        <v>Y</v>
      </c>
      <c r="T1699" s="154">
        <f t="shared" si="146"/>
        <v>3.4399999999999875</v>
      </c>
      <c r="U1699" s="154">
        <f t="shared" si="147"/>
        <v>3.5390404397824158</v>
      </c>
    </row>
    <row r="1700" spans="1:21" x14ac:dyDescent="0.35">
      <c r="A1700" s="108">
        <v>384</v>
      </c>
      <c r="B1700" s="108">
        <v>2013</v>
      </c>
      <c r="C1700" s="108" t="s">
        <v>38</v>
      </c>
      <c r="D1700" s="108" t="s">
        <v>143</v>
      </c>
      <c r="E1700" s="108" t="s">
        <v>10</v>
      </c>
      <c r="F1700" s="116">
        <v>786</v>
      </c>
      <c r="G1700" s="108" t="s">
        <v>51</v>
      </c>
      <c r="H1700" s="108" t="str">
        <f t="shared" si="144"/>
        <v>Nisqually River</v>
      </c>
      <c r="I1700" s="108" t="str">
        <f>IFERROR(VLOOKUP(H1700,LUTs!$A$1:$C$73,2,FALSE),"NA")</f>
        <v>Thurston/Pierce</v>
      </c>
      <c r="J1700" s="108" t="str">
        <f>IFERROR(VLOOKUP(H1700,LUTs!$A$1:$C$73,3,FALSE),"NA")</f>
        <v>3South Puget Sound</v>
      </c>
      <c r="K1700" s="108" t="s">
        <v>22</v>
      </c>
      <c r="L1700" s="108" t="str">
        <f>VLOOKUP(K1700,LUTs!E$2:G$14,3,)</f>
        <v>09Mason</v>
      </c>
      <c r="M1700" s="108" t="str">
        <f>VLOOKUP($K1700,LUTs!$E$2:$H$14,2,)</f>
        <v>South Puget Sound</v>
      </c>
      <c r="N1700" s="108" t="str">
        <f>VLOOKUP($K1700,LUTs!$E$2:$H$14,4,)</f>
        <v>02South Puget Sound</v>
      </c>
      <c r="O1700" s="108">
        <v>108.279334916865</v>
      </c>
      <c r="P1700" s="108">
        <v>372.48091211401601</v>
      </c>
      <c r="Q1700" s="108">
        <f>SUMIFS('FW_Salmon_by_Month_2010-2021'!P$2:P$3810,'FW_Salmon_by_Month_2010-2021'!$B$2:$B$3810,'Rec_raw_catch_effort_2010-2021'!$B1700,'FW_Salmon_by_Month_2010-2021'!$H$2:$H$3810,'Rec_raw_catch_effort_2010-2021'!$F1700,'FW_Salmon_by_Month_2010-2021'!$M$2:$M$3810,'Rec_raw_catch_effort_2010-2021'!$K1700)</f>
        <v>100.43</v>
      </c>
      <c r="R1700" s="109">
        <f>VLOOKUP(B1700,Readme!$A$62:$C$74,2,)*Q1700</f>
        <v>355.425831367348</v>
      </c>
      <c r="S1700" s="140" t="str">
        <f t="shared" si="145"/>
        <v>Y</v>
      </c>
      <c r="T1700" s="154">
        <f t="shared" si="146"/>
        <v>3.4400000000000039</v>
      </c>
      <c r="U1700" s="154">
        <f t="shared" si="147"/>
        <v>3.5390404397824153</v>
      </c>
    </row>
    <row r="1701" spans="1:21" x14ac:dyDescent="0.35">
      <c r="A1701" s="108">
        <v>386</v>
      </c>
      <c r="B1701" s="108">
        <v>2013</v>
      </c>
      <c r="C1701" s="108" t="s">
        <v>38</v>
      </c>
      <c r="D1701" s="108" t="s">
        <v>143</v>
      </c>
      <c r="E1701" s="108" t="s">
        <v>10</v>
      </c>
      <c r="F1701" s="116">
        <v>786</v>
      </c>
      <c r="G1701" s="108" t="s">
        <v>51</v>
      </c>
      <c r="H1701" s="108" t="str">
        <f t="shared" si="144"/>
        <v>Nisqually River</v>
      </c>
      <c r="I1701" s="108" t="str">
        <f>IFERROR(VLOOKUP(H1701,LUTs!$A$1:$C$73,2,FALSE),"NA")</f>
        <v>Thurston/Pierce</v>
      </c>
      <c r="J1701" s="108" t="str">
        <f>IFERROR(VLOOKUP(H1701,LUTs!$A$1:$C$73,3,FALSE),"NA")</f>
        <v>3South Puget Sound</v>
      </c>
      <c r="K1701" s="108" t="s">
        <v>26</v>
      </c>
      <c r="L1701" s="108" t="str">
        <f>VLOOKUP(K1701,LUTs!E$2:G$14,3,)</f>
        <v>20Other</v>
      </c>
      <c r="M1701" s="108" t="str">
        <f>VLOOKUP($K1701,LUTs!$E$2:$H$14,2,)</f>
        <v>Non Puget Sound</v>
      </c>
      <c r="N1701" s="108" t="str">
        <f>VLOOKUP($K1701,LUTs!$E$2:$H$14,4,)</f>
        <v>07Non Puget Sound</v>
      </c>
      <c r="O1701" s="108">
        <v>1254.2356294536801</v>
      </c>
      <c r="P1701" s="108">
        <v>4314.5705653206596</v>
      </c>
      <c r="Q1701" s="108">
        <f>SUMIFS('FW_Salmon_by_Month_2010-2021'!P$2:P$3810,'FW_Salmon_by_Month_2010-2021'!$B$2:$B$3810,'Rec_raw_catch_effort_2010-2021'!$B1701,'FW_Salmon_by_Month_2010-2021'!$H$2:$H$3810,'Rec_raw_catch_effort_2010-2021'!$F1701,'FW_Salmon_by_Month_2010-2021'!$M$2:$M$3810,'Rec_raw_catch_effort_2010-2021'!$K1701)</f>
        <v>1272.1125141436701</v>
      </c>
      <c r="R1701" s="109">
        <f>VLOOKUP(B1701,Readme!$A$62:$C$74,2,)*Q1701</f>
        <v>4502.0576315077278</v>
      </c>
      <c r="S1701" s="140" t="str">
        <f t="shared" si="145"/>
        <v>Y</v>
      </c>
      <c r="T1701" s="154">
        <f t="shared" si="146"/>
        <v>3.44</v>
      </c>
      <c r="U1701" s="154">
        <f t="shared" si="147"/>
        <v>3.5390404397824149</v>
      </c>
    </row>
    <row r="1702" spans="1:21" x14ac:dyDescent="0.35">
      <c r="A1702" s="108">
        <v>382</v>
      </c>
      <c r="B1702" s="108">
        <v>2013</v>
      </c>
      <c r="C1702" s="108" t="s">
        <v>38</v>
      </c>
      <c r="D1702" s="108" t="s">
        <v>143</v>
      </c>
      <c r="E1702" s="108" t="s">
        <v>10</v>
      </c>
      <c r="F1702" s="116">
        <v>786</v>
      </c>
      <c r="G1702" s="108" t="s">
        <v>51</v>
      </c>
      <c r="H1702" s="108" t="str">
        <f t="shared" si="144"/>
        <v>Nisqually River</v>
      </c>
      <c r="I1702" s="108" t="str">
        <f>IFERROR(VLOOKUP(H1702,LUTs!$A$1:$C$73,2,FALSE),"NA")</f>
        <v>Thurston/Pierce</v>
      </c>
      <c r="J1702" s="108" t="str">
        <f>IFERROR(VLOOKUP(H1702,LUTs!$A$1:$C$73,3,FALSE),"NA")</f>
        <v>3South Puget Sound</v>
      </c>
      <c r="K1702" s="108" t="s">
        <v>20</v>
      </c>
      <c r="L1702" s="108" t="str">
        <f>VLOOKUP(K1702,LUTs!E$2:G$14,3,)</f>
        <v>07Pierce</v>
      </c>
      <c r="M1702" s="108" t="str">
        <f>VLOOKUP($K1702,LUTs!$E$2:$H$14,2,)</f>
        <v>South Puget Sound</v>
      </c>
      <c r="N1702" s="108" t="str">
        <f>VLOOKUP($K1702,LUTs!$E$2:$H$14,4,)</f>
        <v>02South Puget Sound</v>
      </c>
      <c r="O1702" s="108">
        <v>7543.4603325415701</v>
      </c>
      <c r="P1702" s="108">
        <v>25949.503543942999</v>
      </c>
      <c r="Q1702" s="108">
        <f>SUMIFS('FW_Salmon_by_Month_2010-2021'!P$2:P$3810,'FW_Salmon_by_Month_2010-2021'!$B$2:$B$3810,'Rec_raw_catch_effort_2010-2021'!$B1702,'FW_Salmon_by_Month_2010-2021'!$H$2:$H$3810,'Rec_raw_catch_effort_2010-2021'!$F1702,'FW_Salmon_by_Month_2010-2021'!$M$2:$M$3810,'Rec_raw_catch_effort_2010-2021'!$K1702)</f>
        <v>7477.5327343629833</v>
      </c>
      <c r="R1702" s="109">
        <f>VLOOKUP(B1702,Readme!$A$62:$C$74,2,)*Q1702</f>
        <v>26463.290736707379</v>
      </c>
      <c r="S1702" s="140" t="str">
        <f t="shared" si="145"/>
        <v>Y</v>
      </c>
      <c r="T1702" s="154">
        <f t="shared" si="146"/>
        <v>3.44</v>
      </c>
      <c r="U1702" s="154">
        <f t="shared" si="147"/>
        <v>3.5390404397824153</v>
      </c>
    </row>
    <row r="1703" spans="1:21" x14ac:dyDescent="0.35">
      <c r="A1703" s="108">
        <v>379</v>
      </c>
      <c r="B1703" s="108">
        <v>2013</v>
      </c>
      <c r="C1703" s="108" t="s">
        <v>38</v>
      </c>
      <c r="D1703" s="108" t="s">
        <v>143</v>
      </c>
      <c r="E1703" s="108" t="s">
        <v>10</v>
      </c>
      <c r="F1703" s="116">
        <v>786</v>
      </c>
      <c r="G1703" s="108" t="s">
        <v>51</v>
      </c>
      <c r="H1703" s="108" t="str">
        <f t="shared" si="144"/>
        <v>Nisqually River</v>
      </c>
      <c r="I1703" s="108" t="str">
        <f>IFERROR(VLOOKUP(H1703,LUTs!$A$1:$C$73,2,FALSE),"NA")</f>
        <v>Thurston/Pierce</v>
      </c>
      <c r="J1703" s="108" t="str">
        <f>IFERROR(VLOOKUP(H1703,LUTs!$A$1:$C$73,3,FALSE),"NA")</f>
        <v>3South Puget Sound</v>
      </c>
      <c r="K1703" s="108" t="s">
        <v>15</v>
      </c>
      <c r="L1703" s="108" t="str">
        <f>VLOOKUP(K1703,LUTs!E$2:G$14,3,)</f>
        <v>02Skagit</v>
      </c>
      <c r="M1703" s="108" t="str">
        <f>VLOOKUP($K1703,LUTs!$E$2:$H$14,2,)</f>
        <v>North Puget Sound</v>
      </c>
      <c r="N1703" s="108" t="str">
        <f>VLOOKUP($K1703,LUTs!$E$2:$H$14,4,)</f>
        <v>01North Puget Sound</v>
      </c>
      <c r="O1703" s="108">
        <v>9.0232779097387201</v>
      </c>
      <c r="P1703" s="108">
        <v>31.040076009501199</v>
      </c>
      <c r="Q1703" s="108">
        <f>SUMIFS('FW_Salmon_by_Month_2010-2021'!P$2:P$3810,'FW_Salmon_by_Month_2010-2021'!$B$2:$B$3810,'Rec_raw_catch_effort_2010-2021'!$B1703,'FW_Salmon_by_Month_2010-2021'!$H$2:$H$3810,'Rec_raw_catch_effort_2010-2021'!$F1703,'FW_Salmon_by_Month_2010-2021'!$M$2:$M$3810,'Rec_raw_catch_effort_2010-2021'!$K1703)</f>
        <v>9.3277310924369807</v>
      </c>
      <c r="R1703" s="109">
        <f>VLOOKUP(B1703,Readme!$A$62:$C$74,2,)*Q1703</f>
        <v>33.011217547550281</v>
      </c>
      <c r="S1703" s="140" t="str">
        <f t="shared" si="145"/>
        <v>Y</v>
      </c>
      <c r="T1703" s="154">
        <f t="shared" si="146"/>
        <v>3.4400000000000004</v>
      </c>
      <c r="U1703" s="154">
        <f t="shared" si="147"/>
        <v>3.5390404397824153</v>
      </c>
    </row>
    <row r="1704" spans="1:21" x14ac:dyDescent="0.35">
      <c r="A1704" s="108">
        <v>380</v>
      </c>
      <c r="B1704" s="108">
        <v>2013</v>
      </c>
      <c r="C1704" s="108" t="s">
        <v>38</v>
      </c>
      <c r="D1704" s="108" t="s">
        <v>143</v>
      </c>
      <c r="E1704" s="108" t="s">
        <v>10</v>
      </c>
      <c r="F1704" s="116">
        <v>786</v>
      </c>
      <c r="G1704" s="108" t="s">
        <v>51</v>
      </c>
      <c r="H1704" s="108" t="str">
        <f t="shared" si="144"/>
        <v>Nisqually River</v>
      </c>
      <c r="I1704" s="108" t="str">
        <f>IFERROR(VLOOKUP(H1704,LUTs!$A$1:$C$73,2,FALSE),"NA")</f>
        <v>Thurston/Pierce</v>
      </c>
      <c r="J1704" s="108" t="str">
        <f>IFERROR(VLOOKUP(H1704,LUTs!$A$1:$C$73,3,FALSE),"NA")</f>
        <v>3South Puget Sound</v>
      </c>
      <c r="K1704" s="108" t="s">
        <v>16</v>
      </c>
      <c r="L1704" s="108" t="str">
        <f>VLOOKUP(K1704,LUTs!E$2:G$14,3,)</f>
        <v>03Snohomish</v>
      </c>
      <c r="M1704" s="108" t="str">
        <f>VLOOKUP($K1704,LUTs!$E$2:$H$14,2,)</f>
        <v>North Puget Sound</v>
      </c>
      <c r="N1704" s="108" t="str">
        <f>VLOOKUP($K1704,LUTs!$E$2:$H$14,4,)</f>
        <v>01North Puget Sound</v>
      </c>
      <c r="O1704" s="108">
        <v>162.419002375297</v>
      </c>
      <c r="P1704" s="108">
        <v>558.72136817102205</v>
      </c>
      <c r="Q1704" s="108">
        <f>SUMIFS('FW_Salmon_by_Month_2010-2021'!P$2:P$3810,'FW_Salmon_by_Month_2010-2021'!$B$2:$B$3810,'Rec_raw_catch_effort_2010-2021'!$B1704,'FW_Salmon_by_Month_2010-2021'!$H$2:$H$3810,'Rec_raw_catch_effort_2010-2021'!$F1704,'FW_Salmon_by_Month_2010-2021'!$M$2:$M$3810,'Rec_raw_catch_effort_2010-2021'!$K1704)</f>
        <v>164.1345777683556</v>
      </c>
      <c r="R1704" s="109">
        <f>VLOOKUP(B1704,Readme!$A$62:$C$74,2,)*Q1704</f>
        <v>580.87890828882223</v>
      </c>
      <c r="S1704" s="140" t="str">
        <f t="shared" si="145"/>
        <v>Y</v>
      </c>
      <c r="T1704" s="154">
        <f t="shared" si="146"/>
        <v>3.4400000000000022</v>
      </c>
      <c r="U1704" s="154">
        <f t="shared" si="147"/>
        <v>3.5390404397824153</v>
      </c>
    </row>
    <row r="1705" spans="1:21" x14ac:dyDescent="0.35">
      <c r="A1705" s="108">
        <v>383</v>
      </c>
      <c r="B1705" s="108">
        <v>2013</v>
      </c>
      <c r="C1705" s="108" t="s">
        <v>38</v>
      </c>
      <c r="D1705" s="108" t="s">
        <v>143</v>
      </c>
      <c r="E1705" s="108" t="s">
        <v>10</v>
      </c>
      <c r="F1705" s="116">
        <v>786</v>
      </c>
      <c r="G1705" s="108" t="s">
        <v>51</v>
      </c>
      <c r="H1705" s="108" t="str">
        <f t="shared" si="144"/>
        <v>Nisqually River</v>
      </c>
      <c r="I1705" s="108" t="str">
        <f>IFERROR(VLOOKUP(H1705,LUTs!$A$1:$C$73,2,FALSE),"NA")</f>
        <v>Thurston/Pierce</v>
      </c>
      <c r="J1705" s="108" t="str">
        <f>IFERROR(VLOOKUP(H1705,LUTs!$A$1:$C$73,3,FALSE),"NA")</f>
        <v>3South Puget Sound</v>
      </c>
      <c r="K1705" s="108" t="s">
        <v>21</v>
      </c>
      <c r="L1705" s="108" t="str">
        <f>VLOOKUP(K1705,LUTs!E$2:G$14,3,)</f>
        <v>08Thurston</v>
      </c>
      <c r="M1705" s="108" t="str">
        <f>VLOOKUP($K1705,LUTs!$E$2:$H$14,2,)</f>
        <v>South Puget Sound</v>
      </c>
      <c r="N1705" s="108" t="str">
        <f>VLOOKUP($K1705,LUTs!$E$2:$H$14,4,)</f>
        <v>02South Puget Sound</v>
      </c>
      <c r="O1705" s="108">
        <v>8265.32256532067</v>
      </c>
      <c r="P1705" s="108">
        <v>28432.7096247031</v>
      </c>
      <c r="Q1705" s="108">
        <f>SUMIFS('FW_Salmon_by_Month_2010-2021'!P$2:P$3810,'FW_Salmon_by_Month_2010-2021'!$B$2:$B$3810,'Rec_raw_catch_effort_2010-2021'!$B1705,'FW_Salmon_by_Month_2010-2021'!$H$2:$H$3810,'Rec_raw_catch_effort_2010-2021'!$F1705,'FW_Salmon_by_Month_2010-2021'!$M$2:$M$3810,'Rec_raw_catch_effort_2010-2021'!$K1705)</f>
        <v>8249.4891452321845</v>
      </c>
      <c r="R1705" s="109">
        <f>VLOOKUP(B1705,Readme!$A$62:$C$74,2,)*Q1705</f>
        <v>29195.275692522773</v>
      </c>
      <c r="S1705" s="140" t="str">
        <f t="shared" si="145"/>
        <v>Y</v>
      </c>
      <c r="T1705" s="154">
        <f t="shared" si="146"/>
        <v>3.4399999999999995</v>
      </c>
      <c r="U1705" s="154">
        <f t="shared" si="147"/>
        <v>3.5390404397824153</v>
      </c>
    </row>
    <row r="1706" spans="1:21" x14ac:dyDescent="0.35">
      <c r="A1706" s="108">
        <v>378</v>
      </c>
      <c r="B1706" s="108">
        <v>2013</v>
      </c>
      <c r="C1706" s="108" t="s">
        <v>38</v>
      </c>
      <c r="D1706" s="108" t="s">
        <v>143</v>
      </c>
      <c r="E1706" s="108" t="s">
        <v>10</v>
      </c>
      <c r="F1706" s="116">
        <v>786</v>
      </c>
      <c r="G1706" s="108" t="s">
        <v>51</v>
      </c>
      <c r="H1706" s="108" t="str">
        <f t="shared" si="144"/>
        <v>Nisqually River</v>
      </c>
      <c r="I1706" s="108" t="str">
        <f>IFERROR(VLOOKUP(H1706,LUTs!$A$1:$C$73,2,FALSE),"NA")</f>
        <v>Thurston/Pierce</v>
      </c>
      <c r="J1706" s="108" t="str">
        <f>IFERROR(VLOOKUP(H1706,LUTs!$A$1:$C$73,3,FALSE),"NA")</f>
        <v>3South Puget Sound</v>
      </c>
      <c r="K1706" s="108" t="s">
        <v>13</v>
      </c>
      <c r="L1706" s="108" t="str">
        <f>VLOOKUP(K1706,LUTs!E$2:G$14,3,)</f>
        <v>01Whatcom</v>
      </c>
      <c r="M1706" s="108" t="str">
        <f>VLOOKUP($K1706,LUTs!$E$2:$H$14,2,)</f>
        <v>North Puget Sound</v>
      </c>
      <c r="N1706" s="108" t="str">
        <f>VLOOKUP($K1706,LUTs!$E$2:$H$14,4,)</f>
        <v>01North Puget Sound</v>
      </c>
      <c r="O1706" s="108">
        <v>18.046555819477401</v>
      </c>
      <c r="P1706" s="108">
        <v>62.080152019002298</v>
      </c>
      <c r="Q1706" s="108">
        <f>SUMIFS('FW_Salmon_by_Month_2010-2021'!P$2:P$3810,'FW_Salmon_by_Month_2010-2021'!$B$2:$B$3810,'Rec_raw_catch_effort_2010-2021'!$B1706,'FW_Salmon_by_Month_2010-2021'!$H$2:$H$3810,'Rec_raw_catch_effort_2010-2021'!$F1706,'FW_Salmon_by_Month_2010-2021'!$M$2:$M$3810,'Rec_raw_catch_effort_2010-2021'!$K1706)</f>
        <v>18.260000000000002</v>
      </c>
      <c r="R1706" s="109">
        <f>VLOOKUP(B1706,Readme!$A$62:$C$74,2,)*Q1706</f>
        <v>64.622878430426908</v>
      </c>
      <c r="S1706" s="140" t="str">
        <f t="shared" si="145"/>
        <v>Y</v>
      </c>
      <c r="T1706" s="154">
        <f t="shared" si="146"/>
        <v>3.4400000000000022</v>
      </c>
      <c r="U1706" s="154">
        <f t="shared" si="147"/>
        <v>3.5390404397824153</v>
      </c>
    </row>
    <row r="1707" spans="1:21" x14ac:dyDescent="0.35">
      <c r="A1707" s="108">
        <v>389</v>
      </c>
      <c r="B1707" s="108">
        <v>2014</v>
      </c>
      <c r="C1707" s="108" t="s">
        <v>38</v>
      </c>
      <c r="D1707" s="108" t="s">
        <v>143</v>
      </c>
      <c r="E1707" s="108" t="s">
        <v>10</v>
      </c>
      <c r="F1707" s="116">
        <v>786</v>
      </c>
      <c r="G1707" s="108" t="s">
        <v>51</v>
      </c>
      <c r="H1707" s="108" t="str">
        <f t="shared" si="144"/>
        <v>Nisqually River</v>
      </c>
      <c r="I1707" s="108" t="str">
        <f>IFERROR(VLOOKUP(H1707,LUTs!$A$1:$C$73,2,FALSE),"NA")</f>
        <v>Thurston/Pierce</v>
      </c>
      <c r="J1707" s="108" t="str">
        <f>IFERROR(VLOOKUP(H1707,LUTs!$A$1:$C$73,3,FALSE),"NA")</f>
        <v>3South Puget Sound</v>
      </c>
      <c r="K1707" s="108" t="s">
        <v>18</v>
      </c>
      <c r="L1707" s="108" t="str">
        <f>VLOOKUP(K1707,LUTs!E$2:G$14,3,)</f>
        <v>06King</v>
      </c>
      <c r="M1707" s="108" t="str">
        <f>VLOOKUP($K1707,LUTs!$E$2:$H$14,2,)</f>
        <v>South Puget Sound</v>
      </c>
      <c r="N1707" s="108" t="str">
        <f>VLOOKUP($K1707,LUTs!$E$2:$H$14,4,)</f>
        <v>02South Puget Sound</v>
      </c>
      <c r="O1707" s="108">
        <v>70.714285714285694</v>
      </c>
      <c r="P1707" s="108">
        <v>611.67857142857099</v>
      </c>
      <c r="Q1707" s="108">
        <f>SUMIFS('FW_Salmon_by_Month_2010-2021'!P$2:P$3810,'FW_Salmon_by_Month_2010-2021'!$B$2:$B$3810,'Rec_raw_catch_effort_2010-2021'!$B1707,'FW_Salmon_by_Month_2010-2021'!$H$2:$H$3810,'Rec_raw_catch_effort_2010-2021'!$F1707,'FW_Salmon_by_Month_2010-2021'!$M$2:$M$3810,'Rec_raw_catch_effort_2010-2021'!$K1707)</f>
        <v>71.375676340383663</v>
      </c>
      <c r="R1707" s="109">
        <f>VLOOKUP(B1707,Readme!$A$62:$C$74,2,)*Q1707</f>
        <v>343.9989909406932</v>
      </c>
      <c r="S1707" s="140" t="str">
        <f t="shared" si="145"/>
        <v>Y</v>
      </c>
      <c r="T1707" s="154">
        <f t="shared" si="146"/>
        <v>8.6499999999999968</v>
      </c>
      <c r="U1707" s="154">
        <f t="shared" si="147"/>
        <v>4.8195549041132084</v>
      </c>
    </row>
    <row r="1708" spans="1:21" x14ac:dyDescent="0.35">
      <c r="A1708" s="108">
        <v>393</v>
      </c>
      <c r="B1708" s="108">
        <v>2014</v>
      </c>
      <c r="C1708" s="108" t="s">
        <v>38</v>
      </c>
      <c r="D1708" s="108" t="s">
        <v>143</v>
      </c>
      <c r="E1708" s="108" t="s">
        <v>10</v>
      </c>
      <c r="F1708" s="116">
        <v>786</v>
      </c>
      <c r="G1708" s="108" t="s">
        <v>51</v>
      </c>
      <c r="H1708" s="108" t="str">
        <f t="shared" si="144"/>
        <v>Nisqually River</v>
      </c>
      <c r="I1708" s="108" t="str">
        <f>IFERROR(VLOOKUP(H1708,LUTs!$A$1:$C$73,2,FALSE),"NA")</f>
        <v>Thurston/Pierce</v>
      </c>
      <c r="J1708" s="108" t="str">
        <f>IFERROR(VLOOKUP(H1708,LUTs!$A$1:$C$73,3,FALSE),"NA")</f>
        <v>3South Puget Sound</v>
      </c>
      <c r="K1708" s="108" t="s">
        <v>23</v>
      </c>
      <c r="L1708" s="108" t="str">
        <f>VLOOKUP(K1708,LUTs!E$2:G$14,3,)</f>
        <v>10Kitsap</v>
      </c>
      <c r="M1708" s="108" t="str">
        <f>VLOOKUP($K1708,LUTs!$E$2:$H$14,2,)</f>
        <v>South Puget Sound</v>
      </c>
      <c r="N1708" s="108" t="str">
        <f>VLOOKUP($K1708,LUTs!$E$2:$H$14,4,)</f>
        <v>02South Puget Sound</v>
      </c>
      <c r="O1708" s="108">
        <v>14.1428571428571</v>
      </c>
      <c r="P1708" s="108">
        <v>122.335714285714</v>
      </c>
      <c r="Q1708" s="108">
        <f>SUMIFS('FW_Salmon_by_Month_2010-2021'!P$2:P$3810,'FW_Salmon_by_Month_2010-2021'!$B$2:$B$3810,'Rec_raw_catch_effort_2010-2021'!$B1708,'FW_Salmon_by_Month_2010-2021'!$H$2:$H$3810,'Rec_raw_catch_effort_2010-2021'!$F1708,'FW_Salmon_by_Month_2010-2021'!$M$2:$M$3810,'Rec_raw_catch_effort_2010-2021'!$K1708)</f>
        <v>14.2990654205607</v>
      </c>
      <c r="R1708" s="109">
        <f>VLOOKUP(B1708,Readme!$A$62:$C$74,2,)*Q1708</f>
        <v>68.915130871898924</v>
      </c>
      <c r="S1708" s="140" t="str">
        <f t="shared" si="145"/>
        <v>Y</v>
      </c>
      <c r="T1708" s="154">
        <f t="shared" si="146"/>
        <v>8.6500000000000057</v>
      </c>
      <c r="U1708" s="154">
        <f t="shared" si="147"/>
        <v>4.8195549041132093</v>
      </c>
    </row>
    <row r="1709" spans="1:21" x14ac:dyDescent="0.35">
      <c r="A1709" s="108">
        <v>392</v>
      </c>
      <c r="B1709" s="108">
        <v>2014</v>
      </c>
      <c r="C1709" s="108" t="s">
        <v>38</v>
      </c>
      <c r="D1709" s="108" t="s">
        <v>143</v>
      </c>
      <c r="E1709" s="108" t="s">
        <v>10</v>
      </c>
      <c r="F1709" s="116">
        <v>786</v>
      </c>
      <c r="G1709" s="108" t="s">
        <v>51</v>
      </c>
      <c r="H1709" s="108" t="str">
        <f t="shared" si="144"/>
        <v>Nisqually River</v>
      </c>
      <c r="I1709" s="108" t="str">
        <f>IFERROR(VLOOKUP(H1709,LUTs!$A$1:$C$73,2,FALSE),"NA")</f>
        <v>Thurston/Pierce</v>
      </c>
      <c r="J1709" s="108" t="str">
        <f>IFERROR(VLOOKUP(H1709,LUTs!$A$1:$C$73,3,FALSE),"NA")</f>
        <v>3South Puget Sound</v>
      </c>
      <c r="K1709" s="108" t="s">
        <v>22</v>
      </c>
      <c r="L1709" s="108" t="str">
        <f>VLOOKUP(K1709,LUTs!E$2:G$14,3,)</f>
        <v>09Mason</v>
      </c>
      <c r="M1709" s="108" t="str">
        <f>VLOOKUP($K1709,LUTs!$E$2:$H$14,2,)</f>
        <v>South Puget Sound</v>
      </c>
      <c r="N1709" s="108" t="str">
        <f>VLOOKUP($K1709,LUTs!$E$2:$H$14,4,)</f>
        <v>02South Puget Sound</v>
      </c>
      <c r="O1709" s="108">
        <v>21.214285714285701</v>
      </c>
      <c r="P1709" s="108">
        <v>183.50357142857101</v>
      </c>
      <c r="Q1709" s="108">
        <f>SUMIFS('FW_Salmon_by_Month_2010-2021'!P$2:P$3810,'FW_Salmon_by_Month_2010-2021'!$B$2:$B$3810,'Rec_raw_catch_effort_2010-2021'!$B1709,'FW_Salmon_by_Month_2010-2021'!$H$2:$H$3810,'Rec_raw_catch_effort_2010-2021'!$F1709,'FW_Salmon_by_Month_2010-2021'!$M$2:$M$3810,'Rec_raw_catch_effort_2010-2021'!$K1709)</f>
        <v>30.660714285714292</v>
      </c>
      <c r="R1709" s="109">
        <f>VLOOKUP(B1709,Readme!$A$62:$C$74,2,)*Q1709</f>
        <v>147.77099589932823</v>
      </c>
      <c r="S1709" s="140" t="str">
        <f t="shared" si="145"/>
        <v>Y</v>
      </c>
      <c r="T1709" s="154">
        <f t="shared" si="146"/>
        <v>8.6499999999999861</v>
      </c>
      <c r="U1709" s="154">
        <f t="shared" si="147"/>
        <v>4.8195549041132084</v>
      </c>
    </row>
    <row r="1710" spans="1:21" x14ac:dyDescent="0.35">
      <c r="A1710" s="108">
        <v>394</v>
      </c>
      <c r="B1710" s="108">
        <v>2014</v>
      </c>
      <c r="C1710" s="108" t="s">
        <v>38</v>
      </c>
      <c r="D1710" s="108" t="s">
        <v>143</v>
      </c>
      <c r="E1710" s="108" t="s">
        <v>10</v>
      </c>
      <c r="F1710" s="116">
        <v>786</v>
      </c>
      <c r="G1710" s="108" t="s">
        <v>51</v>
      </c>
      <c r="H1710" s="108" t="str">
        <f t="shared" si="144"/>
        <v>Nisqually River</v>
      </c>
      <c r="I1710" s="108" t="str">
        <f>IFERROR(VLOOKUP(H1710,LUTs!$A$1:$C$73,2,FALSE),"NA")</f>
        <v>Thurston/Pierce</v>
      </c>
      <c r="J1710" s="108" t="str">
        <f>IFERROR(VLOOKUP(H1710,LUTs!$A$1:$C$73,3,FALSE),"NA")</f>
        <v>3South Puget Sound</v>
      </c>
      <c r="K1710" s="108" t="s">
        <v>26</v>
      </c>
      <c r="L1710" s="108" t="str">
        <f>VLOOKUP(K1710,LUTs!E$2:G$14,3,)</f>
        <v>20Other</v>
      </c>
      <c r="M1710" s="108" t="str">
        <f>VLOOKUP($K1710,LUTs!$E$2:$H$14,2,)</f>
        <v>Non Puget Sound</v>
      </c>
      <c r="N1710" s="108" t="str">
        <f>VLOOKUP($K1710,LUTs!$E$2:$H$14,4,)</f>
        <v>07Non Puget Sound</v>
      </c>
      <c r="O1710" s="108">
        <v>113.142857142857</v>
      </c>
      <c r="P1710" s="108">
        <v>978.68571428571295</v>
      </c>
      <c r="Q1710" s="108">
        <f>SUMIFS('FW_Salmon_by_Month_2010-2021'!P$2:P$3810,'FW_Salmon_by_Month_2010-2021'!$B$2:$B$3810,'Rec_raw_catch_effort_2010-2021'!$B1710,'FW_Salmon_by_Month_2010-2021'!$H$2:$H$3810,'Rec_raw_catch_effort_2010-2021'!$F1710,'FW_Salmon_by_Month_2010-2021'!$M$2:$M$3810,'Rec_raw_catch_effort_2010-2021'!$K1710)</f>
        <v>114.19283898999839</v>
      </c>
      <c r="R1710" s="109">
        <f>VLOOKUP(B1710,Readme!$A$62:$C$74,2,)*Q1710</f>
        <v>550.35865716885678</v>
      </c>
      <c r="S1710" s="140" t="str">
        <f t="shared" si="145"/>
        <v>Y</v>
      </c>
      <c r="T1710" s="154">
        <f t="shared" si="146"/>
        <v>8.6499999999999986</v>
      </c>
      <c r="U1710" s="154">
        <f t="shared" si="147"/>
        <v>4.8195549041132084</v>
      </c>
    </row>
    <row r="1711" spans="1:21" x14ac:dyDescent="0.35">
      <c r="A1711" s="108">
        <v>390</v>
      </c>
      <c r="B1711" s="108">
        <v>2014</v>
      </c>
      <c r="C1711" s="108" t="s">
        <v>38</v>
      </c>
      <c r="D1711" s="108" t="s">
        <v>143</v>
      </c>
      <c r="E1711" s="108" t="s">
        <v>10</v>
      </c>
      <c r="F1711" s="116">
        <v>786</v>
      </c>
      <c r="G1711" s="108" t="s">
        <v>51</v>
      </c>
      <c r="H1711" s="108" t="str">
        <f t="shared" si="144"/>
        <v>Nisqually River</v>
      </c>
      <c r="I1711" s="108" t="str">
        <f>IFERROR(VLOOKUP(H1711,LUTs!$A$1:$C$73,2,FALSE),"NA")</f>
        <v>Thurston/Pierce</v>
      </c>
      <c r="J1711" s="108" t="str">
        <f>IFERROR(VLOOKUP(H1711,LUTs!$A$1:$C$73,3,FALSE),"NA")</f>
        <v>3South Puget Sound</v>
      </c>
      <c r="K1711" s="108" t="s">
        <v>20</v>
      </c>
      <c r="L1711" s="108" t="str">
        <f>VLOOKUP(K1711,LUTs!E$2:G$14,3,)</f>
        <v>07Pierce</v>
      </c>
      <c r="M1711" s="108" t="str">
        <f>VLOOKUP($K1711,LUTs!$E$2:$H$14,2,)</f>
        <v>South Puget Sound</v>
      </c>
      <c r="N1711" s="108" t="str">
        <f>VLOOKUP($K1711,LUTs!$E$2:$H$14,4,)</f>
        <v>02South Puget Sound</v>
      </c>
      <c r="O1711" s="108">
        <v>1089</v>
      </c>
      <c r="P1711" s="108">
        <v>9419.85</v>
      </c>
      <c r="Q1711" s="108">
        <f>SUMIFS('FW_Salmon_by_Month_2010-2021'!P$2:P$3810,'FW_Salmon_by_Month_2010-2021'!$B$2:$B$3810,'Rec_raw_catch_effort_2010-2021'!$B1711,'FW_Salmon_by_Month_2010-2021'!$H$2:$H$3810,'Rec_raw_catch_effort_2010-2021'!$F1711,'FW_Salmon_by_Month_2010-2021'!$M$2:$M$3810,'Rec_raw_catch_effort_2010-2021'!$K1711)</f>
        <v>1101.1924658943753</v>
      </c>
      <c r="R1711" s="109">
        <f>VLOOKUP(B1711,Readme!$A$62:$C$74,2,)*Q1711</f>
        <v>5307.257549373754</v>
      </c>
      <c r="S1711" s="140" t="str">
        <f t="shared" si="145"/>
        <v>Y</v>
      </c>
      <c r="T1711" s="154">
        <f t="shared" si="146"/>
        <v>8.65</v>
      </c>
      <c r="U1711" s="154">
        <f t="shared" si="147"/>
        <v>4.8195549041132084</v>
      </c>
    </row>
    <row r="1712" spans="1:21" x14ac:dyDescent="0.35">
      <c r="A1712" s="108">
        <v>388</v>
      </c>
      <c r="B1712" s="108">
        <v>2014</v>
      </c>
      <c r="C1712" s="108" t="s">
        <v>38</v>
      </c>
      <c r="D1712" s="108" t="s">
        <v>143</v>
      </c>
      <c r="E1712" s="108" t="s">
        <v>10</v>
      </c>
      <c r="F1712" s="116">
        <v>786</v>
      </c>
      <c r="G1712" s="108" t="s">
        <v>51</v>
      </c>
      <c r="H1712" s="108" t="str">
        <f t="shared" si="144"/>
        <v>Nisqually River</v>
      </c>
      <c r="I1712" s="108" t="str">
        <f>IFERROR(VLOOKUP(H1712,LUTs!$A$1:$C$73,2,FALSE),"NA")</f>
        <v>Thurston/Pierce</v>
      </c>
      <c r="J1712" s="108" t="str">
        <f>IFERROR(VLOOKUP(H1712,LUTs!$A$1:$C$73,3,FALSE),"NA")</f>
        <v>3South Puget Sound</v>
      </c>
      <c r="K1712" s="108" t="s">
        <v>16</v>
      </c>
      <c r="L1712" s="108" t="str">
        <f>VLOOKUP(K1712,LUTs!E$2:G$14,3,)</f>
        <v>03Snohomish</v>
      </c>
      <c r="M1712" s="108" t="str">
        <f>VLOOKUP($K1712,LUTs!$E$2:$H$14,2,)</f>
        <v>North Puget Sound</v>
      </c>
      <c r="N1712" s="108" t="str">
        <f>VLOOKUP($K1712,LUTs!$E$2:$H$14,4,)</f>
        <v>01North Puget Sound</v>
      </c>
      <c r="O1712" s="108">
        <v>7.0714285714285703</v>
      </c>
      <c r="P1712" s="108">
        <v>61.167857142857102</v>
      </c>
      <c r="Q1712" s="108">
        <f>SUMIFS('FW_Salmon_by_Month_2010-2021'!P$2:P$3810,'FW_Salmon_by_Month_2010-2021'!$B$2:$B$3810,'Rec_raw_catch_effort_2010-2021'!$B1712,'FW_Salmon_by_Month_2010-2021'!$H$2:$H$3810,'Rec_raw_catch_effort_2010-2021'!$F1712,'FW_Salmon_by_Month_2010-2021'!$M$2:$M$3810,'Rec_raw_catch_effort_2010-2021'!$K1712)</f>
        <v>7.2040816326530601</v>
      </c>
      <c r="R1712" s="109">
        <f>VLOOKUP(B1712,Readme!$A$62:$C$74,2,)*Q1712</f>
        <v>34.720466962284945</v>
      </c>
      <c r="S1712" s="140" t="str">
        <f t="shared" si="145"/>
        <v>Y</v>
      </c>
      <c r="T1712" s="154">
        <f t="shared" si="146"/>
        <v>8.649999999999995</v>
      </c>
      <c r="U1712" s="154">
        <f t="shared" si="147"/>
        <v>4.8195549041132084</v>
      </c>
    </row>
    <row r="1713" spans="1:21" x14ac:dyDescent="0.35">
      <c r="A1713" s="108">
        <v>391</v>
      </c>
      <c r="B1713" s="108">
        <v>2014</v>
      </c>
      <c r="C1713" s="108" t="s">
        <v>38</v>
      </c>
      <c r="D1713" s="108" t="s">
        <v>143</v>
      </c>
      <c r="E1713" s="108" t="s">
        <v>10</v>
      </c>
      <c r="F1713" s="116">
        <v>786</v>
      </c>
      <c r="G1713" s="108" t="s">
        <v>51</v>
      </c>
      <c r="H1713" s="108" t="str">
        <f t="shared" si="144"/>
        <v>Nisqually River</v>
      </c>
      <c r="I1713" s="108" t="str">
        <f>IFERROR(VLOOKUP(H1713,LUTs!$A$1:$C$73,2,FALSE),"NA")</f>
        <v>Thurston/Pierce</v>
      </c>
      <c r="J1713" s="108" t="str">
        <f>IFERROR(VLOOKUP(H1713,LUTs!$A$1:$C$73,3,FALSE),"NA")</f>
        <v>3South Puget Sound</v>
      </c>
      <c r="K1713" s="108" t="s">
        <v>21</v>
      </c>
      <c r="L1713" s="108" t="str">
        <f>VLOOKUP(K1713,LUTs!E$2:G$14,3,)</f>
        <v>08Thurston</v>
      </c>
      <c r="M1713" s="108" t="str">
        <f>VLOOKUP($K1713,LUTs!$E$2:$H$14,2,)</f>
        <v>South Puget Sound</v>
      </c>
      <c r="N1713" s="108" t="str">
        <f>VLOOKUP($K1713,LUTs!$E$2:$H$14,4,)</f>
        <v>02South Puget Sound</v>
      </c>
      <c r="O1713" s="108">
        <v>1541.57142857143</v>
      </c>
      <c r="P1713" s="108">
        <v>13334.592857142899</v>
      </c>
      <c r="Q1713" s="108">
        <f>SUMIFS('FW_Salmon_by_Month_2010-2021'!P$2:P$3810,'FW_Salmon_by_Month_2010-2021'!$B$2:$B$3810,'Rec_raw_catch_effort_2010-2021'!$B1713,'FW_Salmon_by_Month_2010-2021'!$H$2:$H$3810,'Rec_raw_catch_effort_2010-2021'!$F1713,'FW_Salmon_by_Month_2010-2021'!$M$2:$M$3810,'Rec_raw_catch_effort_2010-2021'!$K1713)</f>
        <v>1504.6669941710084</v>
      </c>
      <c r="R1713" s="109">
        <f>VLOOKUP(B1713,Readme!$A$62:$C$74,2,)*Q1713</f>
        <v>7251.8251908141638</v>
      </c>
      <c r="S1713" s="140" t="str">
        <f t="shared" si="145"/>
        <v>Y</v>
      </c>
      <c r="T1713" s="154">
        <f t="shared" si="146"/>
        <v>8.6500000000000199</v>
      </c>
      <c r="U1713" s="154">
        <f t="shared" si="147"/>
        <v>4.8195549041132084</v>
      </c>
    </row>
    <row r="1714" spans="1:21" x14ac:dyDescent="0.35">
      <c r="A1714" s="108">
        <v>387</v>
      </c>
      <c r="B1714" s="108">
        <v>2014</v>
      </c>
      <c r="C1714" s="108" t="s">
        <v>38</v>
      </c>
      <c r="D1714" s="108" t="s">
        <v>143</v>
      </c>
      <c r="E1714" s="108" t="s">
        <v>10</v>
      </c>
      <c r="F1714" s="116">
        <v>786</v>
      </c>
      <c r="G1714" s="108" t="s">
        <v>51</v>
      </c>
      <c r="H1714" s="108" t="str">
        <f t="shared" si="144"/>
        <v>Nisqually River</v>
      </c>
      <c r="I1714" s="108" t="str">
        <f>IFERROR(VLOOKUP(H1714,LUTs!$A$1:$C$73,2,FALSE),"NA")</f>
        <v>Thurston/Pierce</v>
      </c>
      <c r="J1714" s="108" t="str">
        <f>IFERROR(VLOOKUP(H1714,LUTs!$A$1:$C$73,3,FALSE),"NA")</f>
        <v>3South Puget Sound</v>
      </c>
      <c r="K1714" s="108" t="s">
        <v>13</v>
      </c>
      <c r="L1714" s="108" t="str">
        <f>VLOOKUP(K1714,LUTs!E$2:G$14,3,)</f>
        <v>01Whatcom</v>
      </c>
      <c r="M1714" s="108" t="str">
        <f>VLOOKUP($K1714,LUTs!$E$2:$H$14,2,)</f>
        <v>North Puget Sound</v>
      </c>
      <c r="N1714" s="108" t="str">
        <f>VLOOKUP($K1714,LUTs!$E$2:$H$14,4,)</f>
        <v>01North Puget Sound</v>
      </c>
      <c r="O1714" s="108">
        <v>14.1428571428571</v>
      </c>
      <c r="P1714" s="108">
        <v>122.335714285714</v>
      </c>
      <c r="Q1714" s="108">
        <f>SUMIFS('FW_Salmon_by_Month_2010-2021'!P$2:P$3810,'FW_Salmon_by_Month_2010-2021'!$B$2:$B$3810,'Rec_raw_catch_effort_2010-2021'!$B1714,'FW_Salmon_by_Month_2010-2021'!$H$2:$H$3810,'Rec_raw_catch_effort_2010-2021'!$F1714,'FW_Salmon_by_Month_2010-2021'!$M$2:$M$3810,'Rec_raw_catch_effort_2010-2021'!$K1714)</f>
        <v>14.408163265306101</v>
      </c>
      <c r="R1714" s="109">
        <f>VLOOKUP(B1714,Readme!$A$62:$C$74,2,)*Q1714</f>
        <v>69.440933924569791</v>
      </c>
      <c r="S1714" s="140" t="str">
        <f t="shared" si="145"/>
        <v>Y</v>
      </c>
      <c r="T1714" s="154">
        <f t="shared" si="146"/>
        <v>8.6500000000000057</v>
      </c>
      <c r="U1714" s="154">
        <f t="shared" si="147"/>
        <v>4.8195549041132084</v>
      </c>
    </row>
    <row r="1715" spans="1:21" x14ac:dyDescent="0.35">
      <c r="A1715" s="108">
        <v>475</v>
      </c>
      <c r="B1715" s="108">
        <v>2015</v>
      </c>
      <c r="C1715" s="108" t="s">
        <v>38</v>
      </c>
      <c r="D1715" s="108" t="s">
        <v>143</v>
      </c>
      <c r="E1715" s="108" t="s">
        <v>10</v>
      </c>
      <c r="F1715" s="116">
        <v>786</v>
      </c>
      <c r="G1715" s="108" t="s">
        <v>51</v>
      </c>
      <c r="H1715" s="108" t="str">
        <f t="shared" si="144"/>
        <v>Nisqually River</v>
      </c>
      <c r="I1715" s="108" t="str">
        <f>IFERROR(VLOOKUP(H1715,LUTs!$A$1:$C$73,2,FALSE),"NA")</f>
        <v>Thurston/Pierce</v>
      </c>
      <c r="J1715" s="108" t="str">
        <f>IFERROR(VLOOKUP(H1715,LUTs!$A$1:$C$73,3,FALSE),"NA")</f>
        <v>3South Puget Sound</v>
      </c>
      <c r="K1715" s="108" t="s">
        <v>18</v>
      </c>
      <c r="L1715" s="108" t="str">
        <f>VLOOKUP(K1715,LUTs!E$2:G$14,3,)</f>
        <v>06King</v>
      </c>
      <c r="M1715" s="108" t="str">
        <f>VLOOKUP($K1715,LUTs!$E$2:$H$14,2,)</f>
        <v>South Puget Sound</v>
      </c>
      <c r="N1715" s="108" t="str">
        <f>VLOOKUP($K1715,LUTs!$E$2:$H$14,4,)</f>
        <v>02South Puget Sound</v>
      </c>
      <c r="O1715" s="108">
        <v>817.51912123677801</v>
      </c>
      <c r="P1715" s="108">
        <v>2812.2657770545202</v>
      </c>
      <c r="Q1715" s="108">
        <f>SUMIFS('FW_Salmon_by_Month_2010-2021'!P$2:P$3810,'FW_Salmon_by_Month_2010-2021'!$B$2:$B$3810,'Rec_raw_catch_effort_2010-2021'!$B1715,'FW_Salmon_by_Month_2010-2021'!$H$2:$H$3810,'Rec_raw_catch_effort_2010-2021'!$F1715,'FW_Salmon_by_Month_2010-2021'!$M$2:$M$3810,'Rec_raw_catch_effort_2010-2021'!$K1715)</f>
        <v>821.58498111894517</v>
      </c>
      <c r="R1715" s="109">
        <f>VLOOKUP(B1715,Readme!$A$62:$C$74,2,)*Q1715</f>
        <v>2907.6224728978191</v>
      </c>
      <c r="S1715" s="140" t="str">
        <f t="shared" si="145"/>
        <v>Y</v>
      </c>
      <c r="T1715" s="154">
        <f t="shared" si="146"/>
        <v>3.4400000000000048</v>
      </c>
      <c r="U1715" s="154">
        <f t="shared" si="147"/>
        <v>3.5390404397824153</v>
      </c>
    </row>
    <row r="1716" spans="1:21" x14ac:dyDescent="0.35">
      <c r="A1716" s="108">
        <v>479</v>
      </c>
      <c r="B1716" s="108">
        <v>2015</v>
      </c>
      <c r="C1716" s="108" t="s">
        <v>38</v>
      </c>
      <c r="D1716" s="108" t="s">
        <v>143</v>
      </c>
      <c r="E1716" s="108" t="s">
        <v>10</v>
      </c>
      <c r="F1716" s="116">
        <v>786</v>
      </c>
      <c r="G1716" s="108" t="s">
        <v>51</v>
      </c>
      <c r="H1716" s="108" t="str">
        <f t="shared" si="144"/>
        <v>Nisqually River</v>
      </c>
      <c r="I1716" s="108" t="str">
        <f>IFERROR(VLOOKUP(H1716,LUTs!$A$1:$C$73,2,FALSE),"NA")</f>
        <v>Thurston/Pierce</v>
      </c>
      <c r="J1716" s="108" t="str">
        <f>IFERROR(VLOOKUP(H1716,LUTs!$A$1:$C$73,3,FALSE),"NA")</f>
        <v>3South Puget Sound</v>
      </c>
      <c r="K1716" s="108" t="s">
        <v>23</v>
      </c>
      <c r="L1716" s="108" t="str">
        <f>VLOOKUP(K1716,LUTs!E$2:G$14,3,)</f>
        <v>10Kitsap</v>
      </c>
      <c r="M1716" s="108" t="str">
        <f>VLOOKUP($K1716,LUTs!$E$2:$H$14,2,)</f>
        <v>South Puget Sound</v>
      </c>
      <c r="N1716" s="108" t="str">
        <f>VLOOKUP($K1716,LUTs!$E$2:$H$14,4,)</f>
        <v>02South Puget Sound</v>
      </c>
      <c r="O1716" s="108">
        <v>269.51179820992701</v>
      </c>
      <c r="P1716" s="108">
        <v>927.12058584214901</v>
      </c>
      <c r="Q1716" s="108">
        <f>SUMIFS('FW_Salmon_by_Month_2010-2021'!P$2:P$3810,'FW_Salmon_by_Month_2010-2021'!$B$2:$B$3810,'Rec_raw_catch_effort_2010-2021'!$B1716,'FW_Salmon_by_Month_2010-2021'!$H$2:$H$3810,'Rec_raw_catch_effort_2010-2021'!$F1716,'FW_Salmon_by_Month_2010-2021'!$M$2:$M$3810,'Rec_raw_catch_effort_2010-2021'!$K1716)</f>
        <v>270.84462335110544</v>
      </c>
      <c r="R1716" s="109">
        <f>VLOOKUP(B1716,Readme!$A$62:$C$74,2,)*Q1716</f>
        <v>958.53007493719883</v>
      </c>
      <c r="S1716" s="140" t="str">
        <f t="shared" si="145"/>
        <v>Y</v>
      </c>
      <c r="T1716" s="154">
        <f t="shared" si="146"/>
        <v>3.4400000000000004</v>
      </c>
      <c r="U1716" s="154">
        <f t="shared" si="147"/>
        <v>3.5390404397824153</v>
      </c>
    </row>
    <row r="1717" spans="1:21" x14ac:dyDescent="0.35">
      <c r="A1717" s="108">
        <v>478</v>
      </c>
      <c r="B1717" s="108">
        <v>2015</v>
      </c>
      <c r="C1717" s="108" t="s">
        <v>38</v>
      </c>
      <c r="D1717" s="108" t="s">
        <v>143</v>
      </c>
      <c r="E1717" s="108" t="s">
        <v>10</v>
      </c>
      <c r="F1717" s="116">
        <v>786</v>
      </c>
      <c r="G1717" s="108" t="s">
        <v>51</v>
      </c>
      <c r="H1717" s="108" t="str">
        <f t="shared" si="144"/>
        <v>Nisqually River</v>
      </c>
      <c r="I1717" s="108" t="str">
        <f>IFERROR(VLOOKUP(H1717,LUTs!$A$1:$C$73,2,FALSE),"NA")</f>
        <v>Thurston/Pierce</v>
      </c>
      <c r="J1717" s="108" t="str">
        <f>IFERROR(VLOOKUP(H1717,LUTs!$A$1:$C$73,3,FALSE),"NA")</f>
        <v>3South Puget Sound</v>
      </c>
      <c r="K1717" s="108" t="s">
        <v>22</v>
      </c>
      <c r="L1717" s="108" t="str">
        <f>VLOOKUP(K1717,LUTs!E$2:G$14,3,)</f>
        <v>09Mason</v>
      </c>
      <c r="M1717" s="108" t="str">
        <f>VLOOKUP($K1717,LUTs!$E$2:$H$14,2,)</f>
        <v>South Puget Sound</v>
      </c>
      <c r="N1717" s="108" t="str">
        <f>VLOOKUP($K1717,LUTs!$E$2:$H$14,4,)</f>
        <v>02South Puget Sound</v>
      </c>
      <c r="O1717" s="108">
        <v>170.69080553295399</v>
      </c>
      <c r="P1717" s="108">
        <v>587.17637103336199</v>
      </c>
      <c r="Q1717" s="108">
        <f>SUMIFS('FW_Salmon_by_Month_2010-2021'!P$2:P$3810,'FW_Salmon_by_Month_2010-2021'!$B$2:$B$3810,'Rec_raw_catch_effort_2010-2021'!$B1717,'FW_Salmon_by_Month_2010-2021'!$H$2:$H$3810,'Rec_raw_catch_effort_2010-2021'!$F1717,'FW_Salmon_by_Month_2010-2021'!$M$2:$M$3810,'Rec_raw_catch_effort_2010-2021'!$K1717)</f>
        <v>171.5410677773568</v>
      </c>
      <c r="R1717" s="109">
        <f>VLOOKUP(B1717,Readme!$A$62:$C$74,2,)*Q1717</f>
        <v>607.09077594752193</v>
      </c>
      <c r="S1717" s="140" t="str">
        <f t="shared" si="145"/>
        <v>Y</v>
      </c>
      <c r="T1717" s="154">
        <f t="shared" si="146"/>
        <v>3.4400000000000017</v>
      </c>
      <c r="U1717" s="154">
        <f t="shared" si="147"/>
        <v>3.5390404397824153</v>
      </c>
    </row>
    <row r="1718" spans="1:21" x14ac:dyDescent="0.35">
      <c r="A1718" s="108">
        <v>480</v>
      </c>
      <c r="B1718" s="108">
        <v>2015</v>
      </c>
      <c r="C1718" s="108" t="s">
        <v>38</v>
      </c>
      <c r="D1718" s="108" t="s">
        <v>143</v>
      </c>
      <c r="E1718" s="108" t="s">
        <v>10</v>
      </c>
      <c r="F1718" s="116">
        <v>786</v>
      </c>
      <c r="G1718" s="108" t="s">
        <v>51</v>
      </c>
      <c r="H1718" s="108" t="str">
        <f t="shared" si="144"/>
        <v>Nisqually River</v>
      </c>
      <c r="I1718" s="108" t="str">
        <f>IFERROR(VLOOKUP(H1718,LUTs!$A$1:$C$73,2,FALSE),"NA")</f>
        <v>Thurston/Pierce</v>
      </c>
      <c r="J1718" s="108" t="str">
        <f>IFERROR(VLOOKUP(H1718,LUTs!$A$1:$C$73,3,FALSE),"NA")</f>
        <v>3South Puget Sound</v>
      </c>
      <c r="K1718" s="108" t="s">
        <v>26</v>
      </c>
      <c r="L1718" s="108" t="str">
        <f>VLOOKUP(K1718,LUTs!E$2:G$14,3,)</f>
        <v>20Other</v>
      </c>
      <c r="M1718" s="108" t="str">
        <f>VLOOKUP($K1718,LUTs!$E$2:$H$14,2,)</f>
        <v>Non Puget Sound</v>
      </c>
      <c r="N1718" s="108" t="str">
        <f>VLOOKUP($K1718,LUTs!$E$2:$H$14,4,)</f>
        <v>07Non Puget Sound</v>
      </c>
      <c r="O1718" s="108">
        <v>673.77949552481698</v>
      </c>
      <c r="P1718" s="108">
        <v>2317.8014646053698</v>
      </c>
      <c r="Q1718" s="108">
        <f>SUMIFS('FW_Salmon_by_Month_2010-2021'!P$2:P$3810,'FW_Salmon_by_Month_2010-2021'!$B$2:$B$3810,'Rec_raw_catch_effort_2010-2021'!$B1718,'FW_Salmon_by_Month_2010-2021'!$H$2:$H$3810,'Rec_raw_catch_effort_2010-2021'!$F1718,'FW_Salmon_by_Month_2010-2021'!$M$2:$M$3810,'Rec_raw_catch_effort_2010-2021'!$K1718)</f>
        <v>650.03551951042346</v>
      </c>
      <c r="R1718" s="109">
        <f>VLOOKUP(B1718,Readme!$A$62:$C$74,2,)*Q1718</f>
        <v>2300.5019908423596</v>
      </c>
      <c r="S1718" s="140" t="str">
        <f t="shared" si="145"/>
        <v>Y</v>
      </c>
      <c r="T1718" s="154">
        <f t="shared" si="146"/>
        <v>3.4399999999999991</v>
      </c>
      <c r="U1718" s="154">
        <f t="shared" si="147"/>
        <v>3.5390404397824149</v>
      </c>
    </row>
    <row r="1719" spans="1:21" x14ac:dyDescent="0.35">
      <c r="A1719" s="108">
        <v>476</v>
      </c>
      <c r="B1719" s="108">
        <v>2015</v>
      </c>
      <c r="C1719" s="108" t="s">
        <v>38</v>
      </c>
      <c r="D1719" s="108" t="s">
        <v>143</v>
      </c>
      <c r="E1719" s="108" t="s">
        <v>10</v>
      </c>
      <c r="F1719" s="116">
        <v>786</v>
      </c>
      <c r="G1719" s="108" t="s">
        <v>51</v>
      </c>
      <c r="H1719" s="108" t="str">
        <f t="shared" si="144"/>
        <v>Nisqually River</v>
      </c>
      <c r="I1719" s="108" t="str">
        <f>IFERROR(VLOOKUP(H1719,LUTs!$A$1:$C$73,2,FALSE),"NA")</f>
        <v>Thurston/Pierce</v>
      </c>
      <c r="J1719" s="108" t="str">
        <f>IFERROR(VLOOKUP(H1719,LUTs!$A$1:$C$73,3,FALSE),"NA")</f>
        <v>3South Puget Sound</v>
      </c>
      <c r="K1719" s="108" t="s">
        <v>20</v>
      </c>
      <c r="L1719" s="108" t="str">
        <f>VLOOKUP(K1719,LUTs!E$2:G$14,3,)</f>
        <v>07Pierce</v>
      </c>
      <c r="M1719" s="108" t="str">
        <f>VLOOKUP($K1719,LUTs!$E$2:$H$14,2,)</f>
        <v>South Puget Sound</v>
      </c>
      <c r="N1719" s="108" t="str">
        <f>VLOOKUP($K1719,LUTs!$E$2:$H$14,4,)</f>
        <v>02South Puget Sound</v>
      </c>
      <c r="O1719" s="108">
        <v>4393.0423108218101</v>
      </c>
      <c r="P1719" s="108">
        <v>15112.065549227</v>
      </c>
      <c r="Q1719" s="108">
        <f>SUMIFS('FW_Salmon_by_Month_2010-2021'!P$2:P$3810,'FW_Salmon_by_Month_2010-2021'!$B$2:$B$3810,'Rec_raw_catch_effort_2010-2021'!$B1719,'FW_Salmon_by_Month_2010-2021'!$H$2:$H$3810,'Rec_raw_catch_effort_2010-2021'!$F1719,'FW_Salmon_by_Month_2010-2021'!$M$2:$M$3810,'Rec_raw_catch_effort_2010-2021'!$K1719)</f>
        <v>4440.9032039274844</v>
      </c>
      <c r="R1719" s="109">
        <f>VLOOKUP(B1719,Readme!$A$62:$C$74,2,)*Q1719</f>
        <v>15716.536027858661</v>
      </c>
      <c r="S1719" s="140" t="str">
        <f t="shared" si="145"/>
        <v>Y</v>
      </c>
      <c r="T1719" s="154">
        <f t="shared" si="146"/>
        <v>3.4399999999999937</v>
      </c>
      <c r="U1719" s="154">
        <f t="shared" si="147"/>
        <v>3.5390404397824153</v>
      </c>
    </row>
    <row r="1720" spans="1:21" x14ac:dyDescent="0.35">
      <c r="A1720" s="108">
        <v>474</v>
      </c>
      <c r="B1720" s="108">
        <v>2015</v>
      </c>
      <c r="C1720" s="108" t="s">
        <v>38</v>
      </c>
      <c r="D1720" s="108" t="s">
        <v>143</v>
      </c>
      <c r="E1720" s="108" t="s">
        <v>10</v>
      </c>
      <c r="F1720" s="116">
        <v>786</v>
      </c>
      <c r="G1720" s="108" t="s">
        <v>51</v>
      </c>
      <c r="H1720" s="108" t="str">
        <f t="shared" si="144"/>
        <v>Nisqually River</v>
      </c>
      <c r="I1720" s="108" t="str">
        <f>IFERROR(VLOOKUP(H1720,LUTs!$A$1:$C$73,2,FALSE),"NA")</f>
        <v>Thurston/Pierce</v>
      </c>
      <c r="J1720" s="108" t="str">
        <f>IFERROR(VLOOKUP(H1720,LUTs!$A$1:$C$73,3,FALSE),"NA")</f>
        <v>3South Puget Sound</v>
      </c>
      <c r="K1720" s="108" t="s">
        <v>16</v>
      </c>
      <c r="L1720" s="108" t="str">
        <f>VLOOKUP(K1720,LUTs!E$2:G$14,3,)</f>
        <v>03Snohomish</v>
      </c>
      <c r="M1720" s="108" t="str">
        <f>VLOOKUP($K1720,LUTs!$E$2:$H$14,2,)</f>
        <v>North Puget Sound</v>
      </c>
      <c r="N1720" s="108" t="str">
        <f>VLOOKUP($K1720,LUTs!$E$2:$H$14,4,)</f>
        <v>01North Puget Sound</v>
      </c>
      <c r="O1720" s="108">
        <v>89.837266069975598</v>
      </c>
      <c r="P1720" s="108">
        <v>309.04019528071598</v>
      </c>
      <c r="Q1720" s="108">
        <f>SUMIFS('FW_Salmon_by_Month_2010-2021'!P$2:P$3810,'FW_Salmon_by_Month_2010-2021'!$B$2:$B$3810,'Rec_raw_catch_effort_2010-2021'!$B1720,'FW_Salmon_by_Month_2010-2021'!$H$2:$H$3810,'Rec_raw_catch_effort_2010-2021'!$F1720,'FW_Salmon_by_Month_2010-2021'!$M$2:$M$3810,'Rec_raw_catch_effort_2010-2021'!$K1720)</f>
        <v>90.284210526315803</v>
      </c>
      <c r="R1720" s="109">
        <f>VLOOKUP(B1720,Readme!$A$62:$C$74,2,)*Q1720</f>
        <v>319.51947212646087</v>
      </c>
      <c r="S1720" s="140" t="str">
        <f t="shared" si="145"/>
        <v>Y</v>
      </c>
      <c r="T1720" s="154">
        <f t="shared" si="146"/>
        <v>3.4399999999999991</v>
      </c>
      <c r="U1720" s="154">
        <f t="shared" si="147"/>
        <v>3.5390404397824153</v>
      </c>
    </row>
    <row r="1721" spans="1:21" x14ac:dyDescent="0.35">
      <c r="A1721" s="108">
        <v>477</v>
      </c>
      <c r="B1721" s="108">
        <v>2015</v>
      </c>
      <c r="C1721" s="108" t="s">
        <v>38</v>
      </c>
      <c r="D1721" s="108" t="s">
        <v>143</v>
      </c>
      <c r="E1721" s="108" t="s">
        <v>10</v>
      </c>
      <c r="F1721" s="116">
        <v>786</v>
      </c>
      <c r="G1721" s="108" t="s">
        <v>51</v>
      </c>
      <c r="H1721" s="108" t="str">
        <f t="shared" si="144"/>
        <v>Nisqually River</v>
      </c>
      <c r="I1721" s="108" t="str">
        <f>IFERROR(VLOOKUP(H1721,LUTs!$A$1:$C$73,2,FALSE),"NA")</f>
        <v>Thurston/Pierce</v>
      </c>
      <c r="J1721" s="108" t="str">
        <f>IFERROR(VLOOKUP(H1721,LUTs!$A$1:$C$73,3,FALSE),"NA")</f>
        <v>3South Puget Sound</v>
      </c>
      <c r="K1721" s="108" t="s">
        <v>21</v>
      </c>
      <c r="L1721" s="108" t="str">
        <f>VLOOKUP(K1721,LUTs!E$2:G$14,3,)</f>
        <v>08Thurston</v>
      </c>
      <c r="M1721" s="108" t="str">
        <f>VLOOKUP($K1721,LUTs!$E$2:$H$14,2,)</f>
        <v>South Puget Sound</v>
      </c>
      <c r="N1721" s="108" t="str">
        <f>VLOOKUP($K1721,LUTs!$E$2:$H$14,4,)</f>
        <v>02South Puget Sound</v>
      </c>
      <c r="O1721" s="108">
        <v>4599.6680227827501</v>
      </c>
      <c r="P1721" s="108">
        <v>15822.8579983727</v>
      </c>
      <c r="Q1721" s="108">
        <f>SUMIFS('FW_Salmon_by_Month_2010-2021'!P$2:P$3810,'FW_Salmon_by_Month_2010-2021'!$B$2:$B$3810,'Rec_raw_catch_effort_2010-2021'!$B1721,'FW_Salmon_by_Month_2010-2021'!$H$2:$H$3810,'Rec_raw_catch_effort_2010-2021'!$F1721,'FW_Salmon_by_Month_2010-2021'!$M$2:$M$3810,'Rec_raw_catch_effort_2010-2021'!$K1721)</f>
        <v>4655.7776168099545</v>
      </c>
      <c r="R1721" s="109">
        <f>VLOOKUP(B1721,Readme!$A$62:$C$74,2,)*Q1721</f>
        <v>16476.985264524228</v>
      </c>
      <c r="S1721" s="140" t="str">
        <f t="shared" si="145"/>
        <v>Y</v>
      </c>
      <c r="T1721" s="154">
        <f t="shared" si="146"/>
        <v>3.4400000000000084</v>
      </c>
      <c r="U1721" s="154">
        <f t="shared" si="147"/>
        <v>3.5390404397824158</v>
      </c>
    </row>
    <row r="1722" spans="1:21" x14ac:dyDescent="0.35">
      <c r="A1722" s="108">
        <v>395</v>
      </c>
      <c r="B1722" s="108">
        <v>2015</v>
      </c>
      <c r="C1722" s="108" t="s">
        <v>38</v>
      </c>
      <c r="D1722" s="108" t="s">
        <v>143</v>
      </c>
      <c r="E1722" s="108" t="s">
        <v>10</v>
      </c>
      <c r="F1722" s="116">
        <v>786</v>
      </c>
      <c r="G1722" s="108" t="s">
        <v>51</v>
      </c>
      <c r="H1722" s="108" t="str">
        <f t="shared" si="144"/>
        <v>Nisqually River</v>
      </c>
      <c r="I1722" s="108" t="str">
        <f>IFERROR(VLOOKUP(H1722,LUTs!$A$1:$C$73,2,FALSE),"NA")</f>
        <v>Thurston/Pierce</v>
      </c>
      <c r="J1722" s="108" t="str">
        <f>IFERROR(VLOOKUP(H1722,LUTs!$A$1:$C$73,3,FALSE),"NA")</f>
        <v>3South Puget Sound</v>
      </c>
      <c r="K1722" s="108" t="s">
        <v>13</v>
      </c>
      <c r="L1722" s="108" t="str">
        <f>VLOOKUP(K1722,LUTs!E$2:G$14,3,)</f>
        <v>01Whatcom</v>
      </c>
      <c r="M1722" s="108" t="str">
        <f>VLOOKUP($K1722,LUTs!$E$2:$H$14,2,)</f>
        <v>North Puget Sound</v>
      </c>
      <c r="N1722" s="108" t="str">
        <f>VLOOKUP($K1722,LUTs!$E$2:$H$14,4,)</f>
        <v>01North Puget Sound</v>
      </c>
      <c r="O1722" s="108">
        <v>26.951179820992699</v>
      </c>
      <c r="P1722" s="108">
        <v>92.712058584214901</v>
      </c>
      <c r="Q1722" s="108">
        <f>SUMIFS('FW_Salmon_by_Month_2010-2021'!P$2:P$3810,'FW_Salmon_by_Month_2010-2021'!$B$2:$B$3810,'Rec_raw_catch_effort_2010-2021'!$B1722,'FW_Salmon_by_Month_2010-2021'!$H$2:$H$3810,'Rec_raw_catch_effort_2010-2021'!$F1722,'FW_Salmon_by_Month_2010-2021'!$M$2:$M$3810,'Rec_raw_catch_effort_2010-2021'!$K1722)</f>
        <v>9.0287769784172696</v>
      </c>
      <c r="R1722" s="109">
        <f>VLOOKUP(B1722,Readme!$A$62:$C$74,2,)*Q1722</f>
        <v>31.953206848395201</v>
      </c>
      <c r="S1722" s="140" t="str">
        <f t="shared" si="145"/>
        <v>Y</v>
      </c>
      <c r="T1722" s="154">
        <f t="shared" si="146"/>
        <v>3.4400000000000004</v>
      </c>
      <c r="U1722" s="154">
        <f t="shared" si="147"/>
        <v>3.5390404397824153</v>
      </c>
    </row>
    <row r="1723" spans="1:21" x14ac:dyDescent="0.35">
      <c r="A1723" s="108">
        <v>481</v>
      </c>
      <c r="B1723" s="108">
        <v>2016</v>
      </c>
      <c r="C1723" s="108" t="s">
        <v>38</v>
      </c>
      <c r="D1723" s="108" t="s">
        <v>143</v>
      </c>
      <c r="E1723" s="108" t="s">
        <v>10</v>
      </c>
      <c r="F1723" s="116">
        <v>786</v>
      </c>
      <c r="G1723" s="108" t="s">
        <v>51</v>
      </c>
      <c r="H1723" s="108" t="str">
        <f t="shared" si="144"/>
        <v>Nisqually River</v>
      </c>
      <c r="I1723" s="108" t="str">
        <f>IFERROR(VLOOKUP(H1723,LUTs!$A$1:$C$73,2,FALSE),"NA")</f>
        <v>Thurston/Pierce</v>
      </c>
      <c r="J1723" s="108" t="str">
        <f>IFERROR(VLOOKUP(H1723,LUTs!$A$1:$C$73,3,FALSE),"NA")</f>
        <v>3South Puget Sound</v>
      </c>
      <c r="K1723" s="108" t="s">
        <v>18</v>
      </c>
      <c r="L1723" s="108" t="str">
        <f>VLOOKUP(K1723,LUTs!E$2:G$14,3,)</f>
        <v>06King</v>
      </c>
      <c r="M1723" s="108" t="str">
        <f>VLOOKUP($K1723,LUTs!$E$2:$H$14,2,)</f>
        <v>South Puget Sound</v>
      </c>
      <c r="N1723" s="108" t="str">
        <f>VLOOKUP($K1723,LUTs!$E$2:$H$14,4,)</f>
        <v>02South Puget Sound</v>
      </c>
      <c r="O1723" s="108">
        <v>511.85858585858603</v>
      </c>
      <c r="P1723" s="108">
        <v>4427.57676767677</v>
      </c>
      <c r="Q1723" s="108">
        <f>SUMIFS('FW_Salmon_by_Month_2010-2021'!P$2:P$3810,'FW_Salmon_by_Month_2010-2021'!$B$2:$B$3810,'Rec_raw_catch_effort_2010-2021'!$B1723,'FW_Salmon_by_Month_2010-2021'!$H$2:$H$3810,'Rec_raw_catch_effort_2010-2021'!$F1723,'FW_Salmon_by_Month_2010-2021'!$M$2:$M$3810,'Rec_raw_catch_effort_2010-2021'!$K1723)</f>
        <v>425.62342093130502</v>
      </c>
      <c r="R1723" s="109">
        <f>VLOOKUP(B1723,Readme!$A$62:$C$74,2,)*Q1723</f>
        <v>2051.3154456549114</v>
      </c>
      <c r="S1723" s="140" t="str">
        <f t="shared" si="145"/>
        <v>Y</v>
      </c>
      <c r="T1723" s="154">
        <f t="shared" si="146"/>
        <v>8.6500000000000021</v>
      </c>
      <c r="U1723" s="154">
        <f t="shared" si="147"/>
        <v>4.8195549041132084</v>
      </c>
    </row>
    <row r="1724" spans="1:21" x14ac:dyDescent="0.35">
      <c r="A1724" s="108">
        <v>485</v>
      </c>
      <c r="B1724" s="108">
        <v>2016</v>
      </c>
      <c r="C1724" s="108" t="s">
        <v>38</v>
      </c>
      <c r="D1724" s="108" t="s">
        <v>143</v>
      </c>
      <c r="E1724" s="108" t="s">
        <v>10</v>
      </c>
      <c r="F1724" s="116">
        <v>786</v>
      </c>
      <c r="G1724" s="108" t="s">
        <v>51</v>
      </c>
      <c r="H1724" s="108" t="str">
        <f t="shared" si="144"/>
        <v>Nisqually River</v>
      </c>
      <c r="I1724" s="108" t="str">
        <f>IFERROR(VLOOKUP(H1724,LUTs!$A$1:$C$73,2,FALSE),"NA")</f>
        <v>Thurston/Pierce</v>
      </c>
      <c r="J1724" s="108" t="str">
        <f>IFERROR(VLOOKUP(H1724,LUTs!$A$1:$C$73,3,FALSE),"NA")</f>
        <v>3South Puget Sound</v>
      </c>
      <c r="K1724" s="108" t="s">
        <v>23</v>
      </c>
      <c r="L1724" s="108" t="str">
        <f>VLOOKUP(K1724,LUTs!E$2:G$14,3,)</f>
        <v>10Kitsap</v>
      </c>
      <c r="M1724" s="108" t="str">
        <f>VLOOKUP($K1724,LUTs!$E$2:$H$14,2,)</f>
        <v>South Puget Sound</v>
      </c>
      <c r="N1724" s="108" t="str">
        <f>VLOOKUP($K1724,LUTs!$E$2:$H$14,4,)</f>
        <v>02South Puget Sound</v>
      </c>
      <c r="O1724" s="108">
        <v>147.65151515151501</v>
      </c>
      <c r="P1724" s="108">
        <v>1277.1856060606001</v>
      </c>
      <c r="Q1724" s="108">
        <f>SUMIFS('FW_Salmon_by_Month_2010-2021'!P$2:P$3810,'FW_Salmon_by_Month_2010-2021'!$B$2:$B$3810,'Rec_raw_catch_effort_2010-2021'!$B1724,'FW_Salmon_by_Month_2010-2021'!$H$2:$H$3810,'Rec_raw_catch_effort_2010-2021'!$F1724,'FW_Salmon_by_Month_2010-2021'!$M$2:$M$3810,'Rec_raw_catch_effort_2010-2021'!$K1724)</f>
        <v>152.5293683725219</v>
      </c>
      <c r="R1724" s="109">
        <f>VLOOKUP(B1724,Readme!$A$62:$C$74,2,)*Q1724</f>
        <v>735.123665361078</v>
      </c>
      <c r="S1724" s="140" t="str">
        <f t="shared" si="145"/>
        <v>Y</v>
      </c>
      <c r="T1724" s="154">
        <f t="shared" si="146"/>
        <v>8.6499999999999684</v>
      </c>
      <c r="U1724" s="154">
        <f t="shared" si="147"/>
        <v>4.8195549041132084</v>
      </c>
    </row>
    <row r="1725" spans="1:21" x14ac:dyDescent="0.35">
      <c r="A1725" s="108">
        <v>484</v>
      </c>
      <c r="B1725" s="108">
        <v>2016</v>
      </c>
      <c r="C1725" s="108" t="s">
        <v>38</v>
      </c>
      <c r="D1725" s="108" t="s">
        <v>143</v>
      </c>
      <c r="E1725" s="108" t="s">
        <v>10</v>
      </c>
      <c r="F1725" s="116">
        <v>786</v>
      </c>
      <c r="G1725" s="108" t="s">
        <v>51</v>
      </c>
      <c r="H1725" s="108" t="str">
        <f t="shared" si="144"/>
        <v>Nisqually River</v>
      </c>
      <c r="I1725" s="108" t="str">
        <f>IFERROR(VLOOKUP(H1725,LUTs!$A$1:$C$73,2,FALSE),"NA")</f>
        <v>Thurston/Pierce</v>
      </c>
      <c r="J1725" s="108" t="str">
        <f>IFERROR(VLOOKUP(H1725,LUTs!$A$1:$C$73,3,FALSE),"NA")</f>
        <v>3South Puget Sound</v>
      </c>
      <c r="K1725" s="108" t="s">
        <v>22</v>
      </c>
      <c r="L1725" s="108" t="str">
        <f>VLOOKUP(K1725,LUTs!E$2:G$14,3,)</f>
        <v>09Mason</v>
      </c>
      <c r="M1725" s="108" t="str">
        <f>VLOOKUP($K1725,LUTs!$E$2:$H$14,2,)</f>
        <v>South Puget Sound</v>
      </c>
      <c r="N1725" s="108" t="str">
        <f>VLOOKUP($K1725,LUTs!$E$2:$H$14,4,)</f>
        <v>02South Puget Sound</v>
      </c>
      <c r="O1725" s="108">
        <v>68.904040404040401</v>
      </c>
      <c r="P1725" s="108">
        <v>596.01994949494997</v>
      </c>
      <c r="Q1725" s="108">
        <f>SUMIFS('FW_Salmon_by_Month_2010-2021'!P$2:P$3810,'FW_Salmon_by_Month_2010-2021'!$B$2:$B$3810,'Rec_raw_catch_effort_2010-2021'!$B1725,'FW_Salmon_by_Month_2010-2021'!$H$2:$H$3810,'Rec_raw_catch_effort_2010-2021'!$F1725,'FW_Salmon_by_Month_2010-2021'!$M$2:$M$3810,'Rec_raw_catch_effort_2010-2021'!$K1725)</f>
        <v>62.713692946058103</v>
      </c>
      <c r="R1725" s="109">
        <f>VLOOKUP(B1725,Readme!$A$62:$C$74,2,)*Q1725</f>
        <v>302.25208639322426</v>
      </c>
      <c r="S1725" s="140" t="str">
        <f t="shared" si="145"/>
        <v>Y</v>
      </c>
      <c r="T1725" s="154">
        <f t="shared" si="146"/>
        <v>8.6500000000000075</v>
      </c>
      <c r="U1725" s="154">
        <f t="shared" si="147"/>
        <v>4.8195549041132084</v>
      </c>
    </row>
    <row r="1726" spans="1:21" x14ac:dyDescent="0.35">
      <c r="A1726" s="108">
        <v>486</v>
      </c>
      <c r="B1726" s="108">
        <v>2016</v>
      </c>
      <c r="C1726" s="108" t="s">
        <v>38</v>
      </c>
      <c r="D1726" s="108" t="s">
        <v>143</v>
      </c>
      <c r="E1726" s="108" t="s">
        <v>10</v>
      </c>
      <c r="F1726" s="116">
        <v>786</v>
      </c>
      <c r="G1726" s="108" t="s">
        <v>51</v>
      </c>
      <c r="H1726" s="108" t="str">
        <f t="shared" si="144"/>
        <v>Nisqually River</v>
      </c>
      <c r="I1726" s="108" t="str">
        <f>IFERROR(VLOOKUP(H1726,LUTs!$A$1:$C$73,2,FALSE),"NA")</f>
        <v>Thurston/Pierce</v>
      </c>
      <c r="J1726" s="108" t="str">
        <f>IFERROR(VLOOKUP(H1726,LUTs!$A$1:$C$73,3,FALSE),"NA")</f>
        <v>3South Puget Sound</v>
      </c>
      <c r="K1726" s="108" t="s">
        <v>26</v>
      </c>
      <c r="L1726" s="108" t="str">
        <f>VLOOKUP(K1726,LUTs!E$2:G$14,3,)</f>
        <v>20Other</v>
      </c>
      <c r="M1726" s="108" t="str">
        <f>VLOOKUP($K1726,LUTs!$E$2:$H$14,2,)</f>
        <v>Non Puget Sound</v>
      </c>
      <c r="N1726" s="108" t="str">
        <f>VLOOKUP($K1726,LUTs!$E$2:$H$14,4,)</f>
        <v>07Non Puget Sound</v>
      </c>
      <c r="O1726" s="108">
        <v>167.338383838384</v>
      </c>
      <c r="P1726" s="108">
        <v>1447.47702020202</v>
      </c>
      <c r="Q1726" s="108">
        <f>SUMIFS('FW_Salmon_by_Month_2010-2021'!P$2:P$3810,'FW_Salmon_by_Month_2010-2021'!$B$2:$B$3810,'Rec_raw_catch_effort_2010-2021'!$B1726,'FW_Salmon_by_Month_2010-2021'!$H$2:$H$3810,'Rec_raw_catch_effort_2010-2021'!$F1726,'FW_Salmon_by_Month_2010-2021'!$M$2:$M$3810,'Rec_raw_catch_effort_2010-2021'!$K1726)</f>
        <v>176.47312125403388</v>
      </c>
      <c r="R1726" s="109">
        <f>VLOOKUP(B1726,Readme!$A$62:$C$74,2,)*Q1726</f>
        <v>850.52189698404391</v>
      </c>
      <c r="S1726" s="140" t="str">
        <f t="shared" si="145"/>
        <v>Y</v>
      </c>
      <c r="T1726" s="154">
        <f t="shared" si="146"/>
        <v>8.6499999999999897</v>
      </c>
      <c r="U1726" s="154">
        <f t="shared" si="147"/>
        <v>4.8195549041132084</v>
      </c>
    </row>
    <row r="1727" spans="1:21" x14ac:dyDescent="0.35">
      <c r="A1727" s="108">
        <v>482</v>
      </c>
      <c r="B1727" s="108">
        <v>2016</v>
      </c>
      <c r="C1727" s="108" t="s">
        <v>38</v>
      </c>
      <c r="D1727" s="108" t="s">
        <v>143</v>
      </c>
      <c r="E1727" s="108" t="s">
        <v>10</v>
      </c>
      <c r="F1727" s="116">
        <v>786</v>
      </c>
      <c r="G1727" s="108" t="s">
        <v>51</v>
      </c>
      <c r="H1727" s="108" t="str">
        <f t="shared" si="144"/>
        <v>Nisqually River</v>
      </c>
      <c r="I1727" s="108" t="str">
        <f>IFERROR(VLOOKUP(H1727,LUTs!$A$1:$C$73,2,FALSE),"NA")</f>
        <v>Thurston/Pierce</v>
      </c>
      <c r="J1727" s="108" t="str">
        <f>IFERROR(VLOOKUP(H1727,LUTs!$A$1:$C$73,3,FALSE),"NA")</f>
        <v>3South Puget Sound</v>
      </c>
      <c r="K1727" s="108" t="s">
        <v>20</v>
      </c>
      <c r="L1727" s="108" t="str">
        <f>VLOOKUP(K1727,LUTs!E$2:G$14,3,)</f>
        <v>07Pierce</v>
      </c>
      <c r="M1727" s="108" t="str">
        <f>VLOOKUP($K1727,LUTs!$E$2:$H$14,2,)</f>
        <v>South Puget Sound</v>
      </c>
      <c r="N1727" s="108" t="str">
        <f>VLOOKUP($K1727,LUTs!$E$2:$H$14,4,)</f>
        <v>02South Puget Sound</v>
      </c>
      <c r="O1727" s="108">
        <v>1555.26262626263</v>
      </c>
      <c r="P1727" s="108">
        <v>13453.0217171718</v>
      </c>
      <c r="Q1727" s="108">
        <f>SUMIFS('FW_Salmon_by_Month_2010-2021'!P$2:P$3810,'FW_Salmon_by_Month_2010-2021'!$B$2:$B$3810,'Rec_raw_catch_effort_2010-2021'!$B1727,'FW_Salmon_by_Month_2010-2021'!$H$2:$H$3810,'Rec_raw_catch_effort_2010-2021'!$F1727,'FW_Salmon_by_Month_2010-2021'!$M$2:$M$3810,'Rec_raw_catch_effort_2010-2021'!$K1727)</f>
        <v>1608.651728907327</v>
      </c>
      <c r="R1727" s="109">
        <f>VLOOKUP(B1727,Readme!$A$62:$C$74,2,)*Q1727</f>
        <v>7752.9853290654992</v>
      </c>
      <c r="S1727" s="140" t="str">
        <f t="shared" si="145"/>
        <v>Y</v>
      </c>
      <c r="T1727" s="154">
        <f t="shared" si="146"/>
        <v>8.6500000000000323</v>
      </c>
      <c r="U1727" s="154">
        <f t="shared" si="147"/>
        <v>4.8195549041132084</v>
      </c>
    </row>
    <row r="1728" spans="1:21" x14ac:dyDescent="0.35">
      <c r="A1728" s="108">
        <v>483</v>
      </c>
      <c r="B1728" s="108">
        <v>2016</v>
      </c>
      <c r="C1728" s="108" t="s">
        <v>38</v>
      </c>
      <c r="D1728" s="108" t="s">
        <v>143</v>
      </c>
      <c r="E1728" s="108" t="s">
        <v>10</v>
      </c>
      <c r="F1728" s="116">
        <v>786</v>
      </c>
      <c r="G1728" s="108" t="s">
        <v>51</v>
      </c>
      <c r="H1728" s="108" t="str">
        <f t="shared" si="144"/>
        <v>Nisqually River</v>
      </c>
      <c r="I1728" s="108" t="str">
        <f>IFERROR(VLOOKUP(H1728,LUTs!$A$1:$C$73,2,FALSE),"NA")</f>
        <v>Thurston/Pierce</v>
      </c>
      <c r="J1728" s="108" t="str">
        <f>IFERROR(VLOOKUP(H1728,LUTs!$A$1:$C$73,3,FALSE),"NA")</f>
        <v>3South Puget Sound</v>
      </c>
      <c r="K1728" s="108" t="s">
        <v>21</v>
      </c>
      <c r="L1728" s="108" t="str">
        <f>VLOOKUP(K1728,LUTs!E$2:G$14,3,)</f>
        <v>08Thurston</v>
      </c>
      <c r="M1728" s="108" t="str">
        <f>VLOOKUP($K1728,LUTs!$E$2:$H$14,2,)</f>
        <v>South Puget Sound</v>
      </c>
      <c r="N1728" s="108" t="str">
        <f>VLOOKUP($K1728,LUTs!$E$2:$H$14,4,)</f>
        <v>02South Puget Sound</v>
      </c>
      <c r="O1728" s="108">
        <v>1446.9848484848501</v>
      </c>
      <c r="P1728" s="108">
        <v>12516.418939394</v>
      </c>
      <c r="Q1728" s="108">
        <f>SUMIFS('FW_Salmon_by_Month_2010-2021'!P$2:P$3810,'FW_Salmon_by_Month_2010-2021'!$B$2:$B$3810,'Rec_raw_catch_effort_2010-2021'!$B1728,'FW_Salmon_by_Month_2010-2021'!$H$2:$H$3810,'Rec_raw_catch_effort_2010-2021'!$F1728,'FW_Salmon_by_Month_2010-2021'!$M$2:$M$3810,'Rec_raw_catch_effort_2010-2021'!$K1728)</f>
        <v>1481.008667588751</v>
      </c>
      <c r="R1728" s="109">
        <f>VLOOKUP(B1728,Readme!$A$62:$C$74,2,)*Q1728</f>
        <v>7137.8025869115336</v>
      </c>
      <c r="S1728" s="140" t="str">
        <f t="shared" si="145"/>
        <v>Y</v>
      </c>
      <c r="T1728" s="154">
        <f t="shared" si="146"/>
        <v>8.6500000000000323</v>
      </c>
      <c r="U1728" s="154">
        <f t="shared" si="147"/>
        <v>4.8195549041132084</v>
      </c>
    </row>
    <row r="1729" spans="1:21" x14ac:dyDescent="0.35">
      <c r="A1729" s="108">
        <v>489</v>
      </c>
      <c r="B1729" s="108">
        <v>2017</v>
      </c>
      <c r="C1729" s="108" t="s">
        <v>38</v>
      </c>
      <c r="D1729" s="108" t="s">
        <v>143</v>
      </c>
      <c r="E1729" s="108" t="s">
        <v>10</v>
      </c>
      <c r="F1729" s="116">
        <v>786</v>
      </c>
      <c r="G1729" s="108" t="s">
        <v>51</v>
      </c>
      <c r="H1729" s="108" t="str">
        <f t="shared" si="144"/>
        <v>Nisqually River</v>
      </c>
      <c r="I1729" s="108" t="str">
        <f>IFERROR(VLOOKUP(H1729,LUTs!$A$1:$C$73,2,FALSE),"NA")</f>
        <v>Thurston/Pierce</v>
      </c>
      <c r="J1729" s="108" t="str">
        <f>IFERROR(VLOOKUP(H1729,LUTs!$A$1:$C$73,3,FALSE),"NA")</f>
        <v>3South Puget Sound</v>
      </c>
      <c r="K1729" s="108" t="s">
        <v>18</v>
      </c>
      <c r="L1729" s="108" t="str">
        <f>VLOOKUP(K1729,LUTs!E$2:G$14,3,)</f>
        <v>06King</v>
      </c>
      <c r="M1729" s="108" t="str">
        <f>VLOOKUP($K1729,LUTs!$E$2:$H$14,2,)</f>
        <v>South Puget Sound</v>
      </c>
      <c r="N1729" s="108" t="str">
        <f>VLOOKUP($K1729,LUTs!$E$2:$H$14,4,)</f>
        <v>02South Puget Sound</v>
      </c>
      <c r="O1729" s="108">
        <v>2377.13033953998</v>
      </c>
      <c r="P1729" s="108">
        <v>8177.32836801753</v>
      </c>
      <c r="Q1729" s="108">
        <f>SUMIFS('FW_Salmon_by_Month_2010-2021'!P$2:P$3810,'FW_Salmon_by_Month_2010-2021'!$B$2:$B$3810,'Rec_raw_catch_effort_2010-2021'!$B1729,'FW_Salmon_by_Month_2010-2021'!$H$2:$H$3810,'Rec_raw_catch_effort_2010-2021'!$F1729,'FW_Salmon_by_Month_2010-2021'!$M$2:$M$3810,'Rec_raw_catch_effort_2010-2021'!$K1729)</f>
        <v>2413.483342846177</v>
      </c>
      <c r="R1729" s="109">
        <f>VLOOKUP(B1729,Readme!$A$62:$C$74,2,)*Q1729</f>
        <v>8541.4151510738684</v>
      </c>
      <c r="S1729" s="140" t="str">
        <f t="shared" si="145"/>
        <v>Y</v>
      </c>
      <c r="T1729" s="154">
        <f t="shared" si="146"/>
        <v>3.4399999999999995</v>
      </c>
      <c r="U1729" s="154">
        <f t="shared" si="147"/>
        <v>3.5390404397824153</v>
      </c>
    </row>
    <row r="1730" spans="1:21" x14ac:dyDescent="0.35">
      <c r="A1730" s="108">
        <v>493</v>
      </c>
      <c r="B1730" s="108">
        <v>2017</v>
      </c>
      <c r="C1730" s="108" t="s">
        <v>38</v>
      </c>
      <c r="D1730" s="108" t="s">
        <v>143</v>
      </c>
      <c r="E1730" s="108" t="s">
        <v>10</v>
      </c>
      <c r="F1730" s="116">
        <v>786</v>
      </c>
      <c r="G1730" s="108" t="s">
        <v>51</v>
      </c>
      <c r="H1730" s="108" t="str">
        <f t="shared" ref="H1730:H1793" si="148">G1730</f>
        <v>Nisqually River</v>
      </c>
      <c r="I1730" s="108" t="str">
        <f>IFERROR(VLOOKUP(H1730,LUTs!$A$1:$C$73,2,FALSE),"NA")</f>
        <v>Thurston/Pierce</v>
      </c>
      <c r="J1730" s="108" t="str">
        <f>IFERROR(VLOOKUP(H1730,LUTs!$A$1:$C$73,3,FALSE),"NA")</f>
        <v>3South Puget Sound</v>
      </c>
      <c r="K1730" s="108" t="s">
        <v>23</v>
      </c>
      <c r="L1730" s="108" t="str">
        <f>VLOOKUP(K1730,LUTs!E$2:G$14,3,)</f>
        <v>10Kitsap</v>
      </c>
      <c r="M1730" s="108" t="str">
        <f>VLOOKUP($K1730,LUTs!$E$2:$H$14,2,)</f>
        <v>South Puget Sound</v>
      </c>
      <c r="N1730" s="108" t="str">
        <f>VLOOKUP($K1730,LUTs!$E$2:$H$14,4,)</f>
        <v>02South Puget Sound</v>
      </c>
      <c r="O1730" s="108">
        <v>118.856516976999</v>
      </c>
      <c r="P1730" s="108">
        <v>408.86641840087702</v>
      </c>
      <c r="Q1730" s="108">
        <f>SUMIFS('FW_Salmon_by_Month_2010-2021'!P$2:P$3810,'FW_Salmon_by_Month_2010-2021'!$B$2:$B$3810,'Rec_raw_catch_effort_2010-2021'!$B1730,'FW_Salmon_by_Month_2010-2021'!$H$2:$H$3810,'Rec_raw_catch_effort_2010-2021'!$F1730,'FW_Salmon_by_Month_2010-2021'!$M$2:$M$3810,'Rec_raw_catch_effort_2010-2021'!$K1730)</f>
        <v>121.8785128903864</v>
      </c>
      <c r="R1730" s="109">
        <f>VLOOKUP(B1730,Readme!$A$62:$C$74,2,)*Q1730</f>
        <v>431.3329858596199</v>
      </c>
      <c r="S1730" s="140" t="str">
        <f t="shared" si="145"/>
        <v>Y</v>
      </c>
      <c r="T1730" s="154">
        <f t="shared" si="146"/>
        <v>3.4400000000000039</v>
      </c>
      <c r="U1730" s="154">
        <f t="shared" si="147"/>
        <v>3.5390404397824153</v>
      </c>
    </row>
    <row r="1731" spans="1:21" x14ac:dyDescent="0.35">
      <c r="A1731" s="108">
        <v>492</v>
      </c>
      <c r="B1731" s="108">
        <v>2017</v>
      </c>
      <c r="C1731" s="108" t="s">
        <v>38</v>
      </c>
      <c r="D1731" s="108" t="s">
        <v>143</v>
      </c>
      <c r="E1731" s="108" t="s">
        <v>10</v>
      </c>
      <c r="F1731" s="116">
        <v>786</v>
      </c>
      <c r="G1731" s="108" t="s">
        <v>51</v>
      </c>
      <c r="H1731" s="108" t="str">
        <f t="shared" si="148"/>
        <v>Nisqually River</v>
      </c>
      <c r="I1731" s="108" t="str">
        <f>IFERROR(VLOOKUP(H1731,LUTs!$A$1:$C$73,2,FALSE),"NA")</f>
        <v>Thurston/Pierce</v>
      </c>
      <c r="J1731" s="108" t="str">
        <f>IFERROR(VLOOKUP(H1731,LUTs!$A$1:$C$73,3,FALSE),"NA")</f>
        <v>3South Puget Sound</v>
      </c>
      <c r="K1731" s="108" t="s">
        <v>22</v>
      </c>
      <c r="L1731" s="108" t="str">
        <f>VLOOKUP(K1731,LUTs!E$2:G$14,3,)</f>
        <v>09Mason</v>
      </c>
      <c r="M1731" s="108" t="str">
        <f>VLOOKUP($K1731,LUTs!$E$2:$H$14,2,)</f>
        <v>South Puget Sound</v>
      </c>
      <c r="N1731" s="108" t="str">
        <f>VLOOKUP($K1731,LUTs!$E$2:$H$14,4,)</f>
        <v>02South Puget Sound</v>
      </c>
      <c r="O1731" s="108">
        <v>59.428258488499502</v>
      </c>
      <c r="P1731" s="108">
        <v>204.433209200438</v>
      </c>
      <c r="Q1731" s="108">
        <f>SUMIFS('FW_Salmon_by_Month_2010-2021'!P$2:P$3810,'FW_Salmon_by_Month_2010-2021'!$B$2:$B$3810,'Rec_raw_catch_effort_2010-2021'!$B1731,'FW_Salmon_by_Month_2010-2021'!$H$2:$H$3810,'Rec_raw_catch_effort_2010-2021'!$F1731,'FW_Salmon_by_Month_2010-2021'!$M$2:$M$3810,'Rec_raw_catch_effort_2010-2021'!$K1731)</f>
        <v>60.939256445193202</v>
      </c>
      <c r="R1731" s="109">
        <f>VLOOKUP(B1731,Readme!$A$62:$C$74,2,)*Q1731</f>
        <v>215.66649292980995</v>
      </c>
      <c r="S1731" s="140" t="str">
        <f t="shared" ref="S1731:S1794" si="149">IF(B1731&lt;=2019,"Y","N")</f>
        <v>Y</v>
      </c>
      <c r="T1731" s="154">
        <f t="shared" ref="T1731:T1794" si="150">IFERROR(P1731/O1731,"NA")</f>
        <v>3.4399999999999951</v>
      </c>
      <c r="U1731" s="154">
        <f t="shared" ref="U1731:U1794" si="151">IFERROR(R1731/Q1731,"NA")</f>
        <v>3.5390404397824153</v>
      </c>
    </row>
    <row r="1732" spans="1:21" x14ac:dyDescent="0.35">
      <c r="A1732" s="108">
        <v>494</v>
      </c>
      <c r="B1732" s="108">
        <v>2017</v>
      </c>
      <c r="C1732" s="108" t="s">
        <v>38</v>
      </c>
      <c r="D1732" s="108" t="s">
        <v>143</v>
      </c>
      <c r="E1732" s="108" t="s">
        <v>10</v>
      </c>
      <c r="F1732" s="116">
        <v>786</v>
      </c>
      <c r="G1732" s="108" t="s">
        <v>51</v>
      </c>
      <c r="H1732" s="108" t="str">
        <f t="shared" si="148"/>
        <v>Nisqually River</v>
      </c>
      <c r="I1732" s="108" t="str">
        <f>IFERROR(VLOOKUP(H1732,LUTs!$A$1:$C$73,2,FALSE),"NA")</f>
        <v>Thurston/Pierce</v>
      </c>
      <c r="J1732" s="108" t="str">
        <f>IFERROR(VLOOKUP(H1732,LUTs!$A$1:$C$73,3,FALSE),"NA")</f>
        <v>3South Puget Sound</v>
      </c>
      <c r="K1732" s="108" t="s">
        <v>26</v>
      </c>
      <c r="L1732" s="108" t="str">
        <f>VLOOKUP(K1732,LUTs!E$2:G$14,3,)</f>
        <v>20Other</v>
      </c>
      <c r="M1732" s="108" t="str">
        <f>VLOOKUP($K1732,LUTs!$E$2:$H$14,2,)</f>
        <v>Non Puget Sound</v>
      </c>
      <c r="N1732" s="108" t="str">
        <f>VLOOKUP($K1732,LUTs!$E$2:$H$14,4,)</f>
        <v>07Non Puget Sound</v>
      </c>
      <c r="O1732" s="108">
        <v>1030.0898138006601</v>
      </c>
      <c r="P1732" s="108">
        <v>3543.5089594742699</v>
      </c>
      <c r="Q1732" s="108">
        <f>SUMIFS('FW_Salmon_by_Month_2010-2021'!P$2:P$3810,'FW_Salmon_by_Month_2010-2021'!$B$2:$B$3810,'Rec_raw_catch_effort_2010-2021'!$B1732,'FW_Salmon_by_Month_2010-2021'!$H$2:$H$3810,'Rec_raw_catch_effort_2010-2021'!$F1732,'FW_Salmon_by_Month_2010-2021'!$M$2:$M$3810,'Rec_raw_catch_effort_2010-2021'!$K1732)</f>
        <v>1048.8592704057251</v>
      </c>
      <c r="R1732" s="109">
        <f>VLOOKUP(B1732,Readme!$A$62:$C$74,2,)*Q1732</f>
        <v>3711.9553736065404</v>
      </c>
      <c r="S1732" s="140" t="str">
        <f t="shared" si="149"/>
        <v>Y</v>
      </c>
      <c r="T1732" s="154">
        <f t="shared" si="150"/>
        <v>3.4399999999999991</v>
      </c>
      <c r="U1732" s="154">
        <f t="shared" si="151"/>
        <v>3.5390404397824153</v>
      </c>
    </row>
    <row r="1733" spans="1:21" x14ac:dyDescent="0.35">
      <c r="A1733" s="108">
        <v>490</v>
      </c>
      <c r="B1733" s="108">
        <v>2017</v>
      </c>
      <c r="C1733" s="108" t="s">
        <v>38</v>
      </c>
      <c r="D1733" s="108" t="s">
        <v>143</v>
      </c>
      <c r="E1733" s="108" t="s">
        <v>10</v>
      </c>
      <c r="F1733" s="116">
        <v>786</v>
      </c>
      <c r="G1733" s="108" t="s">
        <v>51</v>
      </c>
      <c r="H1733" s="108" t="str">
        <f t="shared" si="148"/>
        <v>Nisqually River</v>
      </c>
      <c r="I1733" s="108" t="str">
        <f>IFERROR(VLOOKUP(H1733,LUTs!$A$1:$C$73,2,FALSE),"NA")</f>
        <v>Thurston/Pierce</v>
      </c>
      <c r="J1733" s="108" t="str">
        <f>IFERROR(VLOOKUP(H1733,LUTs!$A$1:$C$73,3,FALSE),"NA")</f>
        <v>3South Puget Sound</v>
      </c>
      <c r="K1733" s="108" t="s">
        <v>20</v>
      </c>
      <c r="L1733" s="108" t="str">
        <f>VLOOKUP(K1733,LUTs!E$2:G$14,3,)</f>
        <v>07Pierce</v>
      </c>
      <c r="M1733" s="108" t="str">
        <f>VLOOKUP($K1733,LUTs!$E$2:$H$14,2,)</f>
        <v>South Puget Sound</v>
      </c>
      <c r="N1733" s="108" t="str">
        <f>VLOOKUP($K1733,LUTs!$E$2:$H$14,4,)</f>
        <v>02South Puget Sound</v>
      </c>
      <c r="O1733" s="108">
        <v>6626.25082146769</v>
      </c>
      <c r="P1733" s="108">
        <v>22794.302825848899</v>
      </c>
      <c r="Q1733" s="108">
        <f>SUMIFS('FW_Salmon_by_Month_2010-2021'!P$2:P$3810,'FW_Salmon_by_Month_2010-2021'!$B$2:$B$3810,'Rec_raw_catch_effort_2010-2021'!$B1733,'FW_Salmon_by_Month_2010-2021'!$H$2:$H$3810,'Rec_raw_catch_effort_2010-2021'!$F1733,'FW_Salmon_by_Month_2010-2021'!$M$2:$M$3810,'Rec_raw_catch_effort_2010-2021'!$K1733)</f>
        <v>6547.1411427170797</v>
      </c>
      <c r="R1733" s="109">
        <f>VLOOKUP(B1733,Readme!$A$62:$C$74,2,)*Q1733</f>
        <v>23170.597269038997</v>
      </c>
      <c r="S1733" s="140" t="str">
        <f t="shared" si="149"/>
        <v>Y</v>
      </c>
      <c r="T1733" s="154">
        <f t="shared" si="150"/>
        <v>3.4400000000000071</v>
      </c>
      <c r="U1733" s="154">
        <f t="shared" si="151"/>
        <v>3.5390404397824149</v>
      </c>
    </row>
    <row r="1734" spans="1:21" x14ac:dyDescent="0.35">
      <c r="A1734" s="108">
        <v>488</v>
      </c>
      <c r="B1734" s="108">
        <v>2017</v>
      </c>
      <c r="C1734" s="108" t="s">
        <v>38</v>
      </c>
      <c r="D1734" s="108" t="s">
        <v>143</v>
      </c>
      <c r="E1734" s="108" t="s">
        <v>10</v>
      </c>
      <c r="F1734" s="116">
        <v>786</v>
      </c>
      <c r="G1734" s="108" t="s">
        <v>51</v>
      </c>
      <c r="H1734" s="108" t="str">
        <f t="shared" si="148"/>
        <v>Nisqually River</v>
      </c>
      <c r="I1734" s="108" t="str">
        <f>IFERROR(VLOOKUP(H1734,LUTs!$A$1:$C$73,2,FALSE),"NA")</f>
        <v>Thurston/Pierce</v>
      </c>
      <c r="J1734" s="108" t="str">
        <f>IFERROR(VLOOKUP(H1734,LUTs!$A$1:$C$73,3,FALSE),"NA")</f>
        <v>3South Puget Sound</v>
      </c>
      <c r="K1734" s="108" t="s">
        <v>16</v>
      </c>
      <c r="L1734" s="108" t="str">
        <f>VLOOKUP(K1734,LUTs!E$2:G$14,3,)</f>
        <v>03Snohomish</v>
      </c>
      <c r="M1734" s="108" t="str">
        <f>VLOOKUP($K1734,LUTs!$E$2:$H$14,2,)</f>
        <v>North Puget Sound</v>
      </c>
      <c r="N1734" s="108" t="str">
        <f>VLOOKUP($K1734,LUTs!$E$2:$H$14,4,)</f>
        <v>01North Puget Sound</v>
      </c>
      <c r="O1734" s="108">
        <v>188.189485213582</v>
      </c>
      <c r="P1734" s="108">
        <v>647.37182913472202</v>
      </c>
      <c r="Q1734" s="108">
        <f>SUMIFS('FW_Salmon_by_Month_2010-2021'!P$2:P$3810,'FW_Salmon_by_Month_2010-2021'!$B$2:$B$3810,'Rec_raw_catch_effort_2010-2021'!$B1734,'FW_Salmon_by_Month_2010-2021'!$H$2:$H$3810,'Rec_raw_catch_effort_2010-2021'!$F1734,'FW_Salmon_by_Month_2010-2021'!$M$2:$M$3810,'Rec_raw_catch_effort_2010-2021'!$K1734)</f>
        <v>181.84250441721377</v>
      </c>
      <c r="R1734" s="109">
        <f>VLOOKUP(B1734,Readme!$A$62:$C$74,2,)*Q1734</f>
        <v>643.54797680383206</v>
      </c>
      <c r="S1734" s="140" t="str">
        <f t="shared" si="149"/>
        <v>Y</v>
      </c>
      <c r="T1734" s="154">
        <f t="shared" si="150"/>
        <v>3.4399999999999995</v>
      </c>
      <c r="U1734" s="154">
        <f t="shared" si="151"/>
        <v>3.5390404397824153</v>
      </c>
    </row>
    <row r="1735" spans="1:21" x14ac:dyDescent="0.35">
      <c r="A1735" s="108">
        <v>491</v>
      </c>
      <c r="B1735" s="108">
        <v>2017</v>
      </c>
      <c r="C1735" s="108" t="s">
        <v>38</v>
      </c>
      <c r="D1735" s="108" t="s">
        <v>143</v>
      </c>
      <c r="E1735" s="108" t="s">
        <v>10</v>
      </c>
      <c r="F1735" s="116">
        <v>786</v>
      </c>
      <c r="G1735" s="108" t="s">
        <v>51</v>
      </c>
      <c r="H1735" s="108" t="str">
        <f t="shared" si="148"/>
        <v>Nisqually River</v>
      </c>
      <c r="I1735" s="108" t="str">
        <f>IFERROR(VLOOKUP(H1735,LUTs!$A$1:$C$73,2,FALSE),"NA")</f>
        <v>Thurston/Pierce</v>
      </c>
      <c r="J1735" s="108" t="str">
        <f>IFERROR(VLOOKUP(H1735,LUTs!$A$1:$C$73,3,FALSE),"NA")</f>
        <v>3South Puget Sound</v>
      </c>
      <c r="K1735" s="108" t="s">
        <v>21</v>
      </c>
      <c r="L1735" s="108" t="str">
        <f>VLOOKUP(K1735,LUTs!E$2:G$14,3,)</f>
        <v>08Thurston</v>
      </c>
      <c r="M1735" s="108" t="str">
        <f>VLOOKUP($K1735,LUTs!$E$2:$H$14,2,)</f>
        <v>South Puget Sound</v>
      </c>
      <c r="N1735" s="108" t="str">
        <f>VLOOKUP($K1735,LUTs!$E$2:$H$14,4,)</f>
        <v>02South Puget Sound</v>
      </c>
      <c r="O1735" s="108">
        <v>7626.6265060241003</v>
      </c>
      <c r="P1735" s="108">
        <v>26235.595180722899</v>
      </c>
      <c r="Q1735" s="108">
        <f>SUMIFS('FW_Salmon_by_Month_2010-2021'!P$2:P$3810,'FW_Salmon_by_Month_2010-2021'!$B$2:$B$3810,'Rec_raw_catch_effort_2010-2021'!$B1735,'FW_Salmon_by_Month_2010-2021'!$H$2:$H$3810,'Rec_raw_catch_effort_2010-2021'!$F1735,'FW_Salmon_by_Month_2010-2021'!$M$2:$M$3810,'Rec_raw_catch_effort_2010-2021'!$K1735)</f>
        <v>7631.4906233947031</v>
      </c>
      <c r="R1735" s="109">
        <f>VLOOKUP(B1735,Readme!$A$62:$C$74,2,)*Q1735</f>
        <v>27008.153932014167</v>
      </c>
      <c r="S1735" s="140" t="str">
        <f t="shared" si="149"/>
        <v>Y</v>
      </c>
      <c r="T1735" s="154">
        <f t="shared" si="150"/>
        <v>3.4399999999999991</v>
      </c>
      <c r="U1735" s="154">
        <f t="shared" si="151"/>
        <v>3.5390404397824149</v>
      </c>
    </row>
    <row r="1736" spans="1:21" x14ac:dyDescent="0.35">
      <c r="A1736" s="108">
        <v>487</v>
      </c>
      <c r="B1736" s="108">
        <v>2017</v>
      </c>
      <c r="C1736" s="108" t="s">
        <v>38</v>
      </c>
      <c r="D1736" s="108" t="s">
        <v>143</v>
      </c>
      <c r="E1736" s="108" t="s">
        <v>10</v>
      </c>
      <c r="F1736" s="116">
        <v>786</v>
      </c>
      <c r="G1736" s="108" t="s">
        <v>51</v>
      </c>
      <c r="H1736" s="108" t="str">
        <f t="shared" si="148"/>
        <v>Nisqually River</v>
      </c>
      <c r="I1736" s="108" t="str">
        <f>IFERROR(VLOOKUP(H1736,LUTs!$A$1:$C$73,2,FALSE),"NA")</f>
        <v>Thurston/Pierce</v>
      </c>
      <c r="J1736" s="108" t="str">
        <f>IFERROR(VLOOKUP(H1736,LUTs!$A$1:$C$73,3,FALSE),"NA")</f>
        <v>3South Puget Sound</v>
      </c>
      <c r="K1736" s="108" t="s">
        <v>13</v>
      </c>
      <c r="L1736" s="108" t="str">
        <f>VLOOKUP(K1736,LUTs!E$2:G$14,3,)</f>
        <v>01Whatcom</v>
      </c>
      <c r="M1736" s="108" t="str">
        <f>VLOOKUP($K1736,LUTs!$E$2:$H$14,2,)</f>
        <v>North Puget Sound</v>
      </c>
      <c r="N1736" s="108" t="str">
        <f>VLOOKUP($K1736,LUTs!$E$2:$H$14,4,)</f>
        <v>01North Puget Sound</v>
      </c>
      <c r="O1736" s="108">
        <v>59.428258488499502</v>
      </c>
      <c r="P1736" s="108">
        <v>204.433209200438</v>
      </c>
      <c r="Q1736" s="108">
        <f>SUMIFS('FW_Salmon_by_Month_2010-2021'!P$2:P$3810,'FW_Salmon_by_Month_2010-2021'!$B$2:$B$3810,'Rec_raw_catch_effort_2010-2021'!$B1736,'FW_Salmon_by_Month_2010-2021'!$H$2:$H$3810,'Rec_raw_catch_effort_2010-2021'!$F1736,'FW_Salmon_by_Month_2010-2021'!$M$2:$M$3810,'Rec_raw_catch_effort_2010-2021'!$K1736)</f>
        <v>60.365346883534002</v>
      </c>
      <c r="R1736" s="109">
        <f>VLOOKUP(B1736,Readme!$A$62:$C$74,2,)*Q1736</f>
        <v>213.63540378232022</v>
      </c>
      <c r="S1736" s="140" t="str">
        <f t="shared" si="149"/>
        <v>Y</v>
      </c>
      <c r="T1736" s="154">
        <f t="shared" si="150"/>
        <v>3.4399999999999951</v>
      </c>
      <c r="U1736" s="154">
        <f t="shared" si="151"/>
        <v>3.5390404397824153</v>
      </c>
    </row>
    <row r="1737" spans="1:21" x14ac:dyDescent="0.35">
      <c r="A1737" s="108">
        <v>496</v>
      </c>
      <c r="B1737" s="108">
        <v>2018</v>
      </c>
      <c r="C1737" s="108" t="s">
        <v>38</v>
      </c>
      <c r="D1737" s="108" t="s">
        <v>143</v>
      </c>
      <c r="E1737" s="108" t="s">
        <v>10</v>
      </c>
      <c r="F1737" s="116">
        <v>786</v>
      </c>
      <c r="G1737" s="108" t="s">
        <v>51</v>
      </c>
      <c r="H1737" s="108" t="str">
        <f t="shared" si="148"/>
        <v>Nisqually River</v>
      </c>
      <c r="I1737" s="108" t="str">
        <f>IFERROR(VLOOKUP(H1737,LUTs!$A$1:$C$73,2,FALSE),"NA")</f>
        <v>Thurston/Pierce</v>
      </c>
      <c r="J1737" s="108" t="str">
        <f>IFERROR(VLOOKUP(H1737,LUTs!$A$1:$C$73,3,FALSE),"NA")</f>
        <v>3South Puget Sound</v>
      </c>
      <c r="K1737" s="108" t="s">
        <v>18</v>
      </c>
      <c r="L1737" s="108" t="str">
        <f>VLOOKUP(K1737,LUTs!E$2:G$14,3,)</f>
        <v>06King</v>
      </c>
      <c r="M1737" s="108" t="str">
        <f>VLOOKUP($K1737,LUTs!$E$2:$H$14,2,)</f>
        <v>South Puget Sound</v>
      </c>
      <c r="N1737" s="108" t="str">
        <f>VLOOKUP($K1737,LUTs!$E$2:$H$14,4,)</f>
        <v>02South Puget Sound</v>
      </c>
      <c r="O1737" s="108">
        <v>339.81125226860303</v>
      </c>
      <c r="P1737" s="108">
        <v>2939.3673321234201</v>
      </c>
      <c r="Q1737" s="108">
        <f>SUMIFS('FW_Salmon_by_Month_2010-2021'!P$2:P$3810,'FW_Salmon_by_Month_2010-2021'!$B$2:$B$3810,'Rec_raw_catch_effort_2010-2021'!$B1737,'FW_Salmon_by_Month_2010-2021'!$H$2:$H$3810,'Rec_raw_catch_effort_2010-2021'!$F1737,'FW_Salmon_by_Month_2010-2021'!$M$2:$M$3810,'Rec_raw_catch_effort_2010-2021'!$K1737)</f>
        <v>341.142027863777</v>
      </c>
      <c r="R1737" s="109">
        <f>VLOOKUP(B1737,Readme!$A$62:$C$74,2,)*Q1737</f>
        <v>1644.1527333899912</v>
      </c>
      <c r="S1737" s="140" t="str">
        <f t="shared" si="149"/>
        <v>Y</v>
      </c>
      <c r="T1737" s="154">
        <f t="shared" si="150"/>
        <v>8.650000000000011</v>
      </c>
      <c r="U1737" s="154">
        <f t="shared" si="151"/>
        <v>4.8195549041132084</v>
      </c>
    </row>
    <row r="1738" spans="1:21" x14ac:dyDescent="0.35">
      <c r="A1738" s="108">
        <v>500</v>
      </c>
      <c r="B1738" s="108">
        <v>2018</v>
      </c>
      <c r="C1738" s="108" t="s">
        <v>38</v>
      </c>
      <c r="D1738" s="108" t="s">
        <v>143</v>
      </c>
      <c r="E1738" s="108" t="s">
        <v>10</v>
      </c>
      <c r="F1738" s="116">
        <v>786</v>
      </c>
      <c r="G1738" s="108" t="s">
        <v>51</v>
      </c>
      <c r="H1738" s="108" t="str">
        <f t="shared" si="148"/>
        <v>Nisqually River</v>
      </c>
      <c r="I1738" s="108" t="str">
        <f>IFERROR(VLOOKUP(H1738,LUTs!$A$1:$C$73,2,FALSE),"NA")</f>
        <v>Thurston/Pierce</v>
      </c>
      <c r="J1738" s="108" t="str">
        <f>IFERROR(VLOOKUP(H1738,LUTs!$A$1:$C$73,3,FALSE),"NA")</f>
        <v>3South Puget Sound</v>
      </c>
      <c r="K1738" s="108" t="s">
        <v>23</v>
      </c>
      <c r="L1738" s="108" t="str">
        <f>VLOOKUP(K1738,LUTs!E$2:G$14,3,)</f>
        <v>10Kitsap</v>
      </c>
      <c r="M1738" s="108" t="str">
        <f>VLOOKUP($K1738,LUTs!$E$2:$H$14,2,)</f>
        <v>South Puget Sound</v>
      </c>
      <c r="N1738" s="108" t="str">
        <f>VLOOKUP($K1738,LUTs!$E$2:$H$14,4,)</f>
        <v>02South Puget Sound</v>
      </c>
      <c r="O1738" s="108">
        <v>9.43920145190563</v>
      </c>
      <c r="P1738" s="108">
        <v>81.649092558983696</v>
      </c>
      <c r="Q1738" s="108">
        <f>SUMIFS('FW_Salmon_by_Month_2010-2021'!P$2:P$3810,'FW_Salmon_by_Month_2010-2021'!$B$2:$B$3810,'Rec_raw_catch_effort_2010-2021'!$B1738,'FW_Salmon_by_Month_2010-2021'!$H$2:$H$3810,'Rec_raw_catch_effort_2010-2021'!$F1738,'FW_Salmon_by_Month_2010-2021'!$M$2:$M$3810,'Rec_raw_catch_effort_2010-2021'!$K1738)</f>
        <v>9.4736842105263204</v>
      </c>
      <c r="R1738" s="109">
        <f>VLOOKUP(B1738,Readme!$A$62:$C$74,2,)*Q1738</f>
        <v>45.658941196861996</v>
      </c>
      <c r="S1738" s="140" t="str">
        <f t="shared" si="149"/>
        <v>Y</v>
      </c>
      <c r="T1738" s="154">
        <f t="shared" si="150"/>
        <v>8.65</v>
      </c>
      <c r="U1738" s="154">
        <f t="shared" si="151"/>
        <v>4.8195549041132084</v>
      </c>
    </row>
    <row r="1739" spans="1:21" x14ac:dyDescent="0.35">
      <c r="A1739" s="108">
        <v>499</v>
      </c>
      <c r="B1739" s="108">
        <v>2018</v>
      </c>
      <c r="C1739" s="108" t="s">
        <v>38</v>
      </c>
      <c r="D1739" s="108" t="s">
        <v>143</v>
      </c>
      <c r="E1739" s="108" t="s">
        <v>10</v>
      </c>
      <c r="F1739" s="116">
        <v>786</v>
      </c>
      <c r="G1739" s="108" t="s">
        <v>51</v>
      </c>
      <c r="H1739" s="108" t="str">
        <f t="shared" si="148"/>
        <v>Nisqually River</v>
      </c>
      <c r="I1739" s="108" t="str">
        <f>IFERROR(VLOOKUP(H1739,LUTs!$A$1:$C$73,2,FALSE),"NA")</f>
        <v>Thurston/Pierce</v>
      </c>
      <c r="J1739" s="108" t="str">
        <f>IFERROR(VLOOKUP(H1739,LUTs!$A$1:$C$73,3,FALSE),"NA")</f>
        <v>3South Puget Sound</v>
      </c>
      <c r="K1739" s="108" t="s">
        <v>22</v>
      </c>
      <c r="L1739" s="108" t="str">
        <f>VLOOKUP(K1739,LUTs!E$2:G$14,3,)</f>
        <v>09Mason</v>
      </c>
      <c r="M1739" s="108" t="str">
        <f>VLOOKUP($K1739,LUTs!$E$2:$H$14,2,)</f>
        <v>South Puget Sound</v>
      </c>
      <c r="N1739" s="108" t="str">
        <f>VLOOKUP($K1739,LUTs!$E$2:$H$14,4,)</f>
        <v>02South Puget Sound</v>
      </c>
      <c r="O1739" s="108">
        <v>18.878402903811299</v>
      </c>
      <c r="P1739" s="108">
        <v>163.29818511796799</v>
      </c>
      <c r="Q1739" s="108">
        <f>SUMIFS('FW_Salmon_by_Month_2010-2021'!P$2:P$3810,'FW_Salmon_by_Month_2010-2021'!$B$2:$B$3810,'Rec_raw_catch_effort_2010-2021'!$B1739,'FW_Salmon_by_Month_2010-2021'!$H$2:$H$3810,'Rec_raw_catch_effort_2010-2021'!$F1739,'FW_Salmon_by_Month_2010-2021'!$M$2:$M$3810,'Rec_raw_catch_effort_2010-2021'!$K1739)</f>
        <v>18.951625386996909</v>
      </c>
      <c r="R1739" s="109">
        <f>VLOOKUP(B1739,Readme!$A$62:$C$74,2,)*Q1739</f>
        <v>91.338399074817332</v>
      </c>
      <c r="S1739" s="140" t="str">
        <f t="shared" si="149"/>
        <v>Y</v>
      </c>
      <c r="T1739" s="154">
        <f t="shared" si="150"/>
        <v>8.6500000000000128</v>
      </c>
      <c r="U1739" s="154">
        <f t="shared" si="151"/>
        <v>4.8195549041132084</v>
      </c>
    </row>
    <row r="1740" spans="1:21" x14ac:dyDescent="0.35">
      <c r="A1740" s="108">
        <v>501</v>
      </c>
      <c r="B1740" s="108">
        <v>2018</v>
      </c>
      <c r="C1740" s="108" t="s">
        <v>38</v>
      </c>
      <c r="D1740" s="108" t="s">
        <v>143</v>
      </c>
      <c r="E1740" s="108" t="s">
        <v>10</v>
      </c>
      <c r="F1740" s="116">
        <v>786</v>
      </c>
      <c r="G1740" s="108" t="s">
        <v>51</v>
      </c>
      <c r="H1740" s="108" t="str">
        <f t="shared" si="148"/>
        <v>Nisqually River</v>
      </c>
      <c r="I1740" s="108" t="str">
        <f>IFERROR(VLOOKUP(H1740,LUTs!$A$1:$C$73,2,FALSE),"NA")</f>
        <v>Thurston/Pierce</v>
      </c>
      <c r="J1740" s="108" t="str">
        <f>IFERROR(VLOOKUP(H1740,LUTs!$A$1:$C$73,3,FALSE),"NA")</f>
        <v>3South Puget Sound</v>
      </c>
      <c r="K1740" s="108" t="s">
        <v>26</v>
      </c>
      <c r="L1740" s="108" t="str">
        <f>VLOOKUP(K1740,LUTs!E$2:G$14,3,)</f>
        <v>20Other</v>
      </c>
      <c r="M1740" s="108" t="str">
        <f>VLOOKUP($K1740,LUTs!$E$2:$H$14,2,)</f>
        <v>Non Puget Sound</v>
      </c>
      <c r="N1740" s="108" t="str">
        <f>VLOOKUP($K1740,LUTs!$E$2:$H$14,4,)</f>
        <v>07Non Puget Sound</v>
      </c>
      <c r="O1740" s="108">
        <v>217.10163339382899</v>
      </c>
      <c r="P1740" s="108">
        <v>1877.9291288566201</v>
      </c>
      <c r="Q1740" s="108">
        <f>SUMIFS('FW_Salmon_by_Month_2010-2021'!P$2:P$3810,'FW_Salmon_by_Month_2010-2021'!$B$2:$B$3810,'Rec_raw_catch_effort_2010-2021'!$B1740,'FW_Salmon_by_Month_2010-2021'!$H$2:$H$3810,'Rec_raw_catch_effort_2010-2021'!$F1740,'FW_Salmon_by_Month_2010-2021'!$M$2:$M$3810,'Rec_raw_catch_effort_2010-2021'!$K1740)</f>
        <v>217.9713622291026</v>
      </c>
      <c r="R1740" s="109">
        <f>VLOOKUP(B1740,Readme!$A$62:$C$74,2,)*Q1740</f>
        <v>1050.5249477875079</v>
      </c>
      <c r="S1740" s="140" t="str">
        <f t="shared" si="149"/>
        <v>Y</v>
      </c>
      <c r="T1740" s="154">
        <f t="shared" si="150"/>
        <v>8.6499999999999968</v>
      </c>
      <c r="U1740" s="154">
        <f t="shared" si="151"/>
        <v>4.8195549041132084</v>
      </c>
    </row>
    <row r="1741" spans="1:21" x14ac:dyDescent="0.35">
      <c r="A1741" s="108">
        <v>497</v>
      </c>
      <c r="B1741" s="108">
        <v>2018</v>
      </c>
      <c r="C1741" s="108" t="s">
        <v>38</v>
      </c>
      <c r="D1741" s="108" t="s">
        <v>143</v>
      </c>
      <c r="E1741" s="108" t="s">
        <v>10</v>
      </c>
      <c r="F1741" s="116">
        <v>786</v>
      </c>
      <c r="G1741" s="108" t="s">
        <v>51</v>
      </c>
      <c r="H1741" s="108" t="str">
        <f t="shared" si="148"/>
        <v>Nisqually River</v>
      </c>
      <c r="I1741" s="108" t="str">
        <f>IFERROR(VLOOKUP(H1741,LUTs!$A$1:$C$73,2,FALSE),"NA")</f>
        <v>Thurston/Pierce</v>
      </c>
      <c r="J1741" s="108" t="str">
        <f>IFERROR(VLOOKUP(H1741,LUTs!$A$1:$C$73,3,FALSE),"NA")</f>
        <v>3South Puget Sound</v>
      </c>
      <c r="K1741" s="108" t="s">
        <v>20</v>
      </c>
      <c r="L1741" s="108" t="str">
        <f>VLOOKUP(K1741,LUTs!E$2:G$14,3,)</f>
        <v>07Pierce</v>
      </c>
      <c r="M1741" s="108" t="str">
        <f>VLOOKUP($K1741,LUTs!$E$2:$H$14,2,)</f>
        <v>South Puget Sound</v>
      </c>
      <c r="N1741" s="108" t="str">
        <f>VLOOKUP($K1741,LUTs!$E$2:$H$14,4,)</f>
        <v>02South Puget Sound</v>
      </c>
      <c r="O1741" s="108">
        <v>2142.6987295825802</v>
      </c>
      <c r="P1741" s="108">
        <v>18534.344010889301</v>
      </c>
      <c r="Q1741" s="108">
        <f>SUMIFS('FW_Salmon_by_Month_2010-2021'!P$2:P$3810,'FW_Salmon_by_Month_2010-2021'!$B$2:$B$3810,'Rec_raw_catch_effort_2010-2021'!$B1741,'FW_Salmon_by_Month_2010-2021'!$H$2:$H$3810,'Rec_raw_catch_effort_2010-2021'!$F1741,'FW_Salmon_by_Month_2010-2021'!$M$2:$M$3810,'Rec_raw_catch_effort_2010-2021'!$K1741)</f>
        <v>2151.8657894736798</v>
      </c>
      <c r="R1741" s="109">
        <f>VLOOKUP(B1741,Readme!$A$62:$C$74,2,)*Q1741</f>
        <v>10371.035318651315</v>
      </c>
      <c r="S1741" s="140" t="str">
        <f t="shared" si="149"/>
        <v>Y</v>
      </c>
      <c r="T1741" s="154">
        <f t="shared" si="150"/>
        <v>8.6499999999999915</v>
      </c>
      <c r="U1741" s="154">
        <f t="shared" si="151"/>
        <v>4.8195549041132084</v>
      </c>
    </row>
    <row r="1742" spans="1:21" x14ac:dyDescent="0.35">
      <c r="A1742" s="108">
        <v>495</v>
      </c>
      <c r="B1742" s="108">
        <v>2018</v>
      </c>
      <c r="C1742" s="108" t="s">
        <v>38</v>
      </c>
      <c r="D1742" s="108" t="s">
        <v>143</v>
      </c>
      <c r="E1742" s="108" t="s">
        <v>10</v>
      </c>
      <c r="F1742" s="116">
        <v>786</v>
      </c>
      <c r="G1742" s="108" t="s">
        <v>51</v>
      </c>
      <c r="H1742" s="108" t="str">
        <f t="shared" si="148"/>
        <v>Nisqually River</v>
      </c>
      <c r="I1742" s="108" t="str">
        <f>IFERROR(VLOOKUP(H1742,LUTs!$A$1:$C$73,2,FALSE),"NA")</f>
        <v>Thurston/Pierce</v>
      </c>
      <c r="J1742" s="108" t="str">
        <f>IFERROR(VLOOKUP(H1742,LUTs!$A$1:$C$73,3,FALSE),"NA")</f>
        <v>3South Puget Sound</v>
      </c>
      <c r="K1742" s="108" t="s">
        <v>16</v>
      </c>
      <c r="L1742" s="108" t="str">
        <f>VLOOKUP(K1742,LUTs!E$2:G$14,3,)</f>
        <v>03Snohomish</v>
      </c>
      <c r="M1742" s="108" t="str">
        <f>VLOOKUP($K1742,LUTs!$E$2:$H$14,2,)</f>
        <v>North Puget Sound</v>
      </c>
      <c r="N1742" s="108" t="str">
        <f>VLOOKUP($K1742,LUTs!$E$2:$H$14,4,)</f>
        <v>01North Puget Sound</v>
      </c>
      <c r="O1742" s="108">
        <v>9.43920145190563</v>
      </c>
      <c r="P1742" s="108">
        <v>81.649092558983696</v>
      </c>
      <c r="Q1742" s="108">
        <f>SUMIFS('FW_Salmon_by_Month_2010-2021'!P$2:P$3810,'FW_Salmon_by_Month_2010-2021'!$B$2:$B$3810,'Rec_raw_catch_effort_2010-2021'!$B1742,'FW_Salmon_by_Month_2010-2021'!$H$2:$H$3810,'Rec_raw_catch_effort_2010-2021'!$F1742,'FW_Salmon_by_Month_2010-2021'!$M$2:$M$3810,'Rec_raw_catch_effort_2010-2021'!$K1742)</f>
        <v>9.4779411764705905</v>
      </c>
      <c r="R1742" s="109">
        <f>VLOOKUP(B1742,Readme!$A$62:$C$74,2,)*Q1742</f>
        <v>45.679457877955343</v>
      </c>
      <c r="S1742" s="140" t="str">
        <f t="shared" si="149"/>
        <v>Y</v>
      </c>
      <c r="T1742" s="154">
        <f t="shared" si="150"/>
        <v>8.65</v>
      </c>
      <c r="U1742" s="154">
        <f t="shared" si="151"/>
        <v>4.8195549041132084</v>
      </c>
    </row>
    <row r="1743" spans="1:21" x14ac:dyDescent="0.35">
      <c r="A1743" s="108">
        <v>498</v>
      </c>
      <c r="B1743" s="108">
        <v>2018</v>
      </c>
      <c r="C1743" s="108" t="s">
        <v>38</v>
      </c>
      <c r="D1743" s="108" t="s">
        <v>143</v>
      </c>
      <c r="E1743" s="108" t="s">
        <v>10</v>
      </c>
      <c r="F1743" s="116">
        <v>786</v>
      </c>
      <c r="G1743" s="108" t="s">
        <v>51</v>
      </c>
      <c r="H1743" s="108" t="str">
        <f t="shared" si="148"/>
        <v>Nisqually River</v>
      </c>
      <c r="I1743" s="108" t="str">
        <f>IFERROR(VLOOKUP(H1743,LUTs!$A$1:$C$73,2,FALSE),"NA")</f>
        <v>Thurston/Pierce</v>
      </c>
      <c r="J1743" s="108" t="str">
        <f>IFERROR(VLOOKUP(H1743,LUTs!$A$1:$C$73,3,FALSE),"NA")</f>
        <v>3South Puget Sound</v>
      </c>
      <c r="K1743" s="108" t="s">
        <v>21</v>
      </c>
      <c r="L1743" s="108" t="str">
        <f>VLOOKUP(K1743,LUTs!E$2:G$14,3,)</f>
        <v>08Thurston</v>
      </c>
      <c r="M1743" s="108" t="str">
        <f>VLOOKUP($K1743,LUTs!$E$2:$H$14,2,)</f>
        <v>South Puget Sound</v>
      </c>
      <c r="N1743" s="108" t="str">
        <f>VLOOKUP($K1743,LUTs!$E$2:$H$14,4,)</f>
        <v>02South Puget Sound</v>
      </c>
      <c r="O1743" s="108">
        <v>2463.6315789473701</v>
      </c>
      <c r="P1743" s="108">
        <v>21310.4131578948</v>
      </c>
      <c r="Q1743" s="108">
        <f>SUMIFS('FW_Salmon_by_Month_2010-2021'!P$2:P$3810,'FW_Salmon_by_Month_2010-2021'!$B$2:$B$3810,'Rec_raw_catch_effort_2010-2021'!$B1743,'FW_Salmon_by_Month_2010-2021'!$H$2:$H$3810,'Rec_raw_catch_effort_2010-2021'!$F1743,'FW_Salmon_by_Month_2010-2021'!$M$2:$M$3810,'Rec_raw_catch_effort_2010-2021'!$K1743)</f>
        <v>2472.1175696594501</v>
      </c>
      <c r="R1743" s="109">
        <f>VLOOKUP(B1743,Readme!$A$62:$C$74,2,)*Q1743</f>
        <v>11914.506356396629</v>
      </c>
      <c r="S1743" s="140" t="str">
        <f t="shared" si="149"/>
        <v>Y</v>
      </c>
      <c r="T1743" s="154">
        <f t="shared" si="150"/>
        <v>8.6500000000000199</v>
      </c>
      <c r="U1743" s="154">
        <f t="shared" si="151"/>
        <v>4.8195549041132084</v>
      </c>
    </row>
    <row r="1744" spans="1:21" x14ac:dyDescent="0.35">
      <c r="A1744" s="108">
        <v>502</v>
      </c>
      <c r="B1744" s="108">
        <v>2019</v>
      </c>
      <c r="C1744" s="108" t="s">
        <v>38</v>
      </c>
      <c r="D1744" s="108" t="s">
        <v>143</v>
      </c>
      <c r="E1744" s="108" t="s">
        <v>10</v>
      </c>
      <c r="F1744" s="116">
        <v>786</v>
      </c>
      <c r="G1744" s="108" t="s">
        <v>51</v>
      </c>
      <c r="H1744" s="108" t="str">
        <f t="shared" si="148"/>
        <v>Nisqually River</v>
      </c>
      <c r="I1744" s="108" t="str">
        <f>IFERROR(VLOOKUP(H1744,LUTs!$A$1:$C$73,2,FALSE),"NA")</f>
        <v>Thurston/Pierce</v>
      </c>
      <c r="J1744" s="108" t="str">
        <f>IFERROR(VLOOKUP(H1744,LUTs!$A$1:$C$73,3,FALSE),"NA")</f>
        <v>3South Puget Sound</v>
      </c>
      <c r="K1744" s="108" t="s">
        <v>18</v>
      </c>
      <c r="L1744" s="108" t="str">
        <f>VLOOKUP(K1744,LUTs!E$2:G$14,3,)</f>
        <v>06King</v>
      </c>
      <c r="M1744" s="108" t="str">
        <f>VLOOKUP($K1744,LUTs!$E$2:$H$14,2,)</f>
        <v>South Puget Sound</v>
      </c>
      <c r="N1744" s="108" t="str">
        <f>VLOOKUP($K1744,LUTs!$E$2:$H$14,4,)</f>
        <v>02South Puget Sound</v>
      </c>
      <c r="O1744" s="108">
        <v>497.02729044834302</v>
      </c>
      <c r="P1744" s="108">
        <v>1709.7738791423001</v>
      </c>
      <c r="Q1744" s="108">
        <f>SUMIFS('FW_Salmon_by_Month_2010-2021'!P$2:P$3810,'FW_Salmon_by_Month_2010-2021'!$B$2:$B$3810,'Rec_raw_catch_effort_2010-2021'!$B1744,'FW_Salmon_by_Month_2010-2021'!$H$2:$H$3810,'Rec_raw_catch_effort_2010-2021'!$F1744,'FW_Salmon_by_Month_2010-2021'!$M$2:$M$3810,'Rec_raw_catch_effort_2010-2021'!$K1744)</f>
        <v>506.13642981312489</v>
      </c>
      <c r="R1744" s="109">
        <f>VLOOKUP(B1744,Readme!$A$62:$C$74,2,)*Q1744</f>
        <v>1791.2372931557431</v>
      </c>
      <c r="S1744" s="140" t="str">
        <f t="shared" si="149"/>
        <v>Y</v>
      </c>
      <c r="T1744" s="154">
        <f t="shared" si="150"/>
        <v>3.44</v>
      </c>
      <c r="U1744" s="154">
        <f t="shared" si="151"/>
        <v>3.5390404397824153</v>
      </c>
    </row>
    <row r="1745" spans="1:21" x14ac:dyDescent="0.35">
      <c r="A1745" s="108">
        <v>581</v>
      </c>
      <c r="B1745" s="108">
        <v>2019</v>
      </c>
      <c r="C1745" s="108" t="s">
        <v>38</v>
      </c>
      <c r="D1745" s="108" t="s">
        <v>143</v>
      </c>
      <c r="E1745" s="108" t="s">
        <v>10</v>
      </c>
      <c r="F1745" s="116">
        <v>786</v>
      </c>
      <c r="G1745" s="108" t="s">
        <v>51</v>
      </c>
      <c r="H1745" s="108" t="str">
        <f t="shared" si="148"/>
        <v>Nisqually River</v>
      </c>
      <c r="I1745" s="108" t="str">
        <f>IFERROR(VLOOKUP(H1745,LUTs!$A$1:$C$73,2,FALSE),"NA")</f>
        <v>Thurston/Pierce</v>
      </c>
      <c r="J1745" s="108" t="str">
        <f>IFERROR(VLOOKUP(H1745,LUTs!$A$1:$C$73,3,FALSE),"NA")</f>
        <v>3South Puget Sound</v>
      </c>
      <c r="K1745" s="108" t="s">
        <v>22</v>
      </c>
      <c r="L1745" s="108" t="str">
        <f>VLOOKUP(K1745,LUTs!E$2:G$14,3,)</f>
        <v>09Mason</v>
      </c>
      <c r="M1745" s="108" t="str">
        <f>VLOOKUP($K1745,LUTs!$E$2:$H$14,2,)</f>
        <v>South Puget Sound</v>
      </c>
      <c r="N1745" s="108" t="str">
        <f>VLOOKUP($K1745,LUTs!$E$2:$H$14,4,)</f>
        <v>02South Puget Sound</v>
      </c>
      <c r="O1745" s="108">
        <v>31.725146198830402</v>
      </c>
      <c r="P1745" s="108">
        <v>109.134502923977</v>
      </c>
      <c r="Q1745" s="108">
        <f>SUMIFS('FW_Salmon_by_Month_2010-2021'!P$2:P$3810,'FW_Salmon_by_Month_2010-2021'!$B$2:$B$3810,'Rec_raw_catch_effort_2010-2021'!$B1745,'FW_Salmon_by_Month_2010-2021'!$H$2:$H$3810,'Rec_raw_catch_effort_2010-2021'!$F1745,'FW_Salmon_by_Month_2010-2021'!$M$2:$M$3810,'Rec_raw_catch_effort_2010-2021'!$K1745)</f>
        <v>32.259615384615401</v>
      </c>
      <c r="R1745" s="109">
        <f>VLOOKUP(B1745,Readme!$A$62:$C$74,2,)*Q1745</f>
        <v>114.16808341798087</v>
      </c>
      <c r="S1745" s="140" t="str">
        <f t="shared" si="149"/>
        <v>Y</v>
      </c>
      <c r="T1745" s="154">
        <f t="shared" si="150"/>
        <v>3.4400000000000133</v>
      </c>
      <c r="U1745" s="154">
        <f t="shared" si="151"/>
        <v>3.5390404397824153</v>
      </c>
    </row>
    <row r="1746" spans="1:21" x14ac:dyDescent="0.35">
      <c r="A1746" s="108">
        <v>582</v>
      </c>
      <c r="B1746" s="108">
        <v>2019</v>
      </c>
      <c r="C1746" s="108" t="s">
        <v>38</v>
      </c>
      <c r="D1746" s="108" t="s">
        <v>143</v>
      </c>
      <c r="E1746" s="108" t="s">
        <v>10</v>
      </c>
      <c r="F1746" s="116">
        <v>786</v>
      </c>
      <c r="G1746" s="108" t="s">
        <v>51</v>
      </c>
      <c r="H1746" s="108" t="str">
        <f t="shared" si="148"/>
        <v>Nisqually River</v>
      </c>
      <c r="I1746" s="108" t="str">
        <f>IFERROR(VLOOKUP(H1746,LUTs!$A$1:$C$73,2,FALSE),"NA")</f>
        <v>Thurston/Pierce</v>
      </c>
      <c r="J1746" s="108" t="str">
        <f>IFERROR(VLOOKUP(H1746,LUTs!$A$1:$C$73,3,FALSE),"NA")</f>
        <v>3South Puget Sound</v>
      </c>
      <c r="K1746" s="108" t="s">
        <v>26</v>
      </c>
      <c r="L1746" s="108" t="str">
        <f>VLOOKUP(K1746,LUTs!E$2:G$14,3,)</f>
        <v>20Other</v>
      </c>
      <c r="M1746" s="108" t="str">
        <f>VLOOKUP($K1746,LUTs!$E$2:$H$14,2,)</f>
        <v>Non Puget Sound</v>
      </c>
      <c r="N1746" s="108" t="str">
        <f>VLOOKUP($K1746,LUTs!$E$2:$H$14,4,)</f>
        <v>07Non Puget Sound</v>
      </c>
      <c r="O1746" s="108">
        <v>296.10136452241699</v>
      </c>
      <c r="P1746" s="108">
        <v>1018.58869395711</v>
      </c>
      <c r="Q1746" s="108">
        <f>SUMIFS('FW_Salmon_by_Month_2010-2021'!P$2:P$3810,'FW_Salmon_by_Month_2010-2021'!$B$2:$B$3810,'Rec_raw_catch_effort_2010-2021'!$B1746,'FW_Salmon_by_Month_2010-2021'!$H$2:$H$3810,'Rec_raw_catch_effort_2010-2021'!$F1746,'FW_Salmon_by_Month_2010-2021'!$M$2:$M$3810,'Rec_raw_catch_effort_2010-2021'!$K1746)</f>
        <v>302.44958713602779</v>
      </c>
      <c r="R1746" s="109">
        <f>VLOOKUP(B1746,Readme!$A$62:$C$74,2,)*Q1746</f>
        <v>1070.3813198698977</v>
      </c>
      <c r="S1746" s="140" t="str">
        <f t="shared" si="149"/>
        <v>Y</v>
      </c>
      <c r="T1746" s="154">
        <f t="shared" si="150"/>
        <v>3.4399999999999848</v>
      </c>
      <c r="U1746" s="154">
        <f t="shared" si="151"/>
        <v>3.5390404397824149</v>
      </c>
    </row>
    <row r="1747" spans="1:21" x14ac:dyDescent="0.35">
      <c r="A1747" s="108">
        <v>503</v>
      </c>
      <c r="B1747" s="108">
        <v>2019</v>
      </c>
      <c r="C1747" s="108" t="s">
        <v>38</v>
      </c>
      <c r="D1747" s="108" t="s">
        <v>143</v>
      </c>
      <c r="E1747" s="108" t="s">
        <v>10</v>
      </c>
      <c r="F1747" s="116">
        <v>786</v>
      </c>
      <c r="G1747" s="108" t="s">
        <v>51</v>
      </c>
      <c r="H1747" s="108" t="str">
        <f t="shared" si="148"/>
        <v>Nisqually River</v>
      </c>
      <c r="I1747" s="108" t="str">
        <f>IFERROR(VLOOKUP(H1747,LUTs!$A$1:$C$73,2,FALSE),"NA")</f>
        <v>Thurston/Pierce</v>
      </c>
      <c r="J1747" s="108" t="str">
        <f>IFERROR(VLOOKUP(H1747,LUTs!$A$1:$C$73,3,FALSE),"NA")</f>
        <v>3South Puget Sound</v>
      </c>
      <c r="K1747" s="108" t="s">
        <v>20</v>
      </c>
      <c r="L1747" s="108" t="str">
        <f>VLOOKUP(K1747,LUTs!E$2:G$14,3,)</f>
        <v>07Pierce</v>
      </c>
      <c r="M1747" s="108" t="str">
        <f>VLOOKUP($K1747,LUTs!$E$2:$H$14,2,)</f>
        <v>South Puget Sound</v>
      </c>
      <c r="N1747" s="108" t="str">
        <f>VLOOKUP($K1747,LUTs!$E$2:$H$14,4,)</f>
        <v>02South Puget Sound</v>
      </c>
      <c r="O1747" s="108">
        <v>2538.0116959064298</v>
      </c>
      <c r="P1747" s="108">
        <v>8730.7602339181194</v>
      </c>
      <c r="Q1747" s="108">
        <f>SUMIFS('FW_Salmon_by_Month_2010-2021'!P$2:P$3810,'FW_Salmon_by_Month_2010-2021'!$B$2:$B$3810,'Rec_raw_catch_effort_2010-2021'!$B1747,'FW_Salmon_by_Month_2010-2021'!$H$2:$H$3810,'Rec_raw_catch_effort_2010-2021'!$F1747,'FW_Salmon_by_Month_2010-2021'!$M$2:$M$3810,'Rec_raw_catch_effort_2010-2021'!$K1747)</f>
        <v>2490.2722946544991</v>
      </c>
      <c r="R1747" s="109">
        <f>VLOOKUP(B1747,Readme!$A$62:$C$74,2,)*Q1747</f>
        <v>8813.1743568520233</v>
      </c>
      <c r="S1747" s="140" t="str">
        <f t="shared" si="149"/>
        <v>Y</v>
      </c>
      <c r="T1747" s="154">
        <f t="shared" si="150"/>
        <v>3.4400000000000004</v>
      </c>
      <c r="U1747" s="154">
        <f t="shared" si="151"/>
        <v>3.5390404397824153</v>
      </c>
    </row>
    <row r="1748" spans="1:21" x14ac:dyDescent="0.35">
      <c r="A1748" s="108">
        <v>580</v>
      </c>
      <c r="B1748" s="108">
        <v>2019</v>
      </c>
      <c r="C1748" s="108" t="s">
        <v>38</v>
      </c>
      <c r="D1748" s="108" t="s">
        <v>143</v>
      </c>
      <c r="E1748" s="108" t="s">
        <v>10</v>
      </c>
      <c r="F1748" s="116">
        <v>786</v>
      </c>
      <c r="G1748" s="108" t="s">
        <v>51</v>
      </c>
      <c r="H1748" s="108" t="str">
        <f t="shared" si="148"/>
        <v>Nisqually River</v>
      </c>
      <c r="I1748" s="108" t="str">
        <f>IFERROR(VLOOKUP(H1748,LUTs!$A$1:$C$73,2,FALSE),"NA")</f>
        <v>Thurston/Pierce</v>
      </c>
      <c r="J1748" s="108" t="str">
        <f>IFERROR(VLOOKUP(H1748,LUTs!$A$1:$C$73,3,FALSE),"NA")</f>
        <v>3South Puget Sound</v>
      </c>
      <c r="K1748" s="108" t="s">
        <v>21</v>
      </c>
      <c r="L1748" s="108" t="str">
        <f>VLOOKUP(K1748,LUTs!E$2:G$14,3,)</f>
        <v>08Thurston</v>
      </c>
      <c r="M1748" s="108" t="str">
        <f>VLOOKUP($K1748,LUTs!$E$2:$H$14,2,)</f>
        <v>South Puget Sound</v>
      </c>
      <c r="N1748" s="108" t="str">
        <f>VLOOKUP($K1748,LUTs!$E$2:$H$14,4,)</f>
        <v>02South Puget Sound</v>
      </c>
      <c r="O1748" s="108">
        <v>2062.1345029239801</v>
      </c>
      <c r="P1748" s="108">
        <v>7093.7426900584896</v>
      </c>
      <c r="Q1748" s="108">
        <f>SUMIFS('FW_Salmon_by_Month_2010-2021'!P$2:P$3810,'FW_Salmon_by_Month_2010-2021'!$B$2:$B$3810,'Rec_raw_catch_effort_2010-2021'!$B1748,'FW_Salmon_by_Month_2010-2021'!$H$2:$H$3810,'Rec_raw_catch_effort_2010-2021'!$F1748,'FW_Salmon_by_Month_2010-2021'!$M$2:$M$3810,'Rec_raw_catch_effort_2010-2021'!$K1748)</f>
        <v>2093.8820730117391</v>
      </c>
      <c r="R1748" s="109">
        <f>VLOOKUP(B1748,Readme!$A$62:$C$74,2,)*Q1748</f>
        <v>7410.333332523981</v>
      </c>
      <c r="S1748" s="140" t="str">
        <f t="shared" si="149"/>
        <v>Y</v>
      </c>
      <c r="T1748" s="154">
        <f t="shared" si="150"/>
        <v>3.4399999999999991</v>
      </c>
      <c r="U1748" s="154">
        <f t="shared" si="151"/>
        <v>3.5390404397824153</v>
      </c>
    </row>
    <row r="1749" spans="1:21" x14ac:dyDescent="0.35">
      <c r="A1749" s="108">
        <v>583</v>
      </c>
      <c r="B1749" s="108">
        <v>2020</v>
      </c>
      <c r="C1749" s="108" t="s">
        <v>38</v>
      </c>
      <c r="D1749" s="108" t="s">
        <v>143</v>
      </c>
      <c r="E1749" s="108" t="s">
        <v>10</v>
      </c>
      <c r="F1749" s="116">
        <v>786</v>
      </c>
      <c r="G1749" s="108" t="s">
        <v>51</v>
      </c>
      <c r="H1749" s="108" t="str">
        <f t="shared" si="148"/>
        <v>Nisqually River</v>
      </c>
      <c r="I1749" s="108" t="str">
        <f>IFERROR(VLOOKUP(H1749,LUTs!$A$1:$C$73,2,FALSE),"NA")</f>
        <v>Thurston/Pierce</v>
      </c>
      <c r="J1749" s="108" t="str">
        <f>IFERROR(VLOOKUP(H1749,LUTs!$A$1:$C$73,3,FALSE),"NA")</f>
        <v>3South Puget Sound</v>
      </c>
      <c r="K1749" s="108" t="s">
        <v>18</v>
      </c>
      <c r="L1749" s="108" t="str">
        <f>VLOOKUP(K1749,LUTs!E$2:G$14,3,)</f>
        <v>06King</v>
      </c>
      <c r="M1749" s="108" t="str">
        <f>VLOOKUP($K1749,LUTs!$E$2:$H$14,2,)</f>
        <v>South Puget Sound</v>
      </c>
      <c r="N1749" s="108" t="str">
        <f>VLOOKUP($K1749,LUTs!$E$2:$H$14,4,)</f>
        <v>02South Puget Sound</v>
      </c>
      <c r="O1749" s="108">
        <v>217.02439024390199</v>
      </c>
      <c r="P1749" s="108">
        <v>1877.2609756097499</v>
      </c>
      <c r="Q1749" s="108">
        <f>SUMIFS('FW_Salmon_by_Month_2010-2021'!P$2:P$3810,'FW_Salmon_by_Month_2010-2021'!$B$2:$B$3810,'Rec_raw_catch_effort_2010-2021'!$B1749,'FW_Salmon_by_Month_2010-2021'!$H$2:$H$3810,'Rec_raw_catch_effort_2010-2021'!$F1749,'FW_Salmon_by_Month_2010-2021'!$M$2:$M$3810,'Rec_raw_catch_effort_2010-2021'!$K1749)</f>
        <v>217.30994152046799</v>
      </c>
      <c r="R1749" s="109">
        <f>VLOOKUP(B1749,Readme!$A$62:$C$74,2,)*Q1749</f>
        <v>1047.3371943675261</v>
      </c>
      <c r="S1749" s="140" t="str">
        <f t="shared" si="149"/>
        <v>N</v>
      </c>
      <c r="T1749" s="154">
        <f t="shared" si="150"/>
        <v>8.6499999999999897</v>
      </c>
      <c r="U1749" s="154">
        <f t="shared" si="151"/>
        <v>4.8195549041132084</v>
      </c>
    </row>
    <row r="1750" spans="1:21" x14ac:dyDescent="0.35">
      <c r="A1750" s="108">
        <v>586</v>
      </c>
      <c r="B1750" s="108">
        <v>2020</v>
      </c>
      <c r="C1750" s="108" t="s">
        <v>38</v>
      </c>
      <c r="D1750" s="108" t="s">
        <v>143</v>
      </c>
      <c r="E1750" s="108" t="s">
        <v>10</v>
      </c>
      <c r="F1750" s="116">
        <v>786</v>
      </c>
      <c r="G1750" s="108" t="s">
        <v>51</v>
      </c>
      <c r="H1750" s="108" t="str">
        <f t="shared" si="148"/>
        <v>Nisqually River</v>
      </c>
      <c r="I1750" s="108" t="str">
        <f>IFERROR(VLOOKUP(H1750,LUTs!$A$1:$C$73,2,FALSE),"NA")</f>
        <v>Thurston/Pierce</v>
      </c>
      <c r="J1750" s="108" t="str">
        <f>IFERROR(VLOOKUP(H1750,LUTs!$A$1:$C$73,3,FALSE),"NA")</f>
        <v>3South Puget Sound</v>
      </c>
      <c r="K1750" s="108" t="s">
        <v>26</v>
      </c>
      <c r="L1750" s="108" t="str">
        <f>VLOOKUP(K1750,LUTs!E$2:G$14,3,)</f>
        <v>20Other</v>
      </c>
      <c r="M1750" s="108" t="str">
        <f>VLOOKUP($K1750,LUTs!$E$2:$H$14,2,)</f>
        <v>Non Puget Sound</v>
      </c>
      <c r="N1750" s="108" t="str">
        <f>VLOOKUP($K1750,LUTs!$E$2:$H$14,4,)</f>
        <v>07Non Puget Sound</v>
      </c>
      <c r="O1750" s="108">
        <v>180.85365853658499</v>
      </c>
      <c r="P1750" s="108">
        <v>1564.3841463414601</v>
      </c>
      <c r="Q1750" s="108">
        <f>SUMIFS('FW_Salmon_by_Month_2010-2021'!P$2:P$3810,'FW_Salmon_by_Month_2010-2021'!$B$2:$B$3810,'Rec_raw_catch_effort_2010-2021'!$B1750,'FW_Salmon_by_Month_2010-2021'!$H$2:$H$3810,'Rec_raw_catch_effort_2010-2021'!$F1750,'FW_Salmon_by_Month_2010-2021'!$M$2:$M$3810,'Rec_raw_catch_effort_2010-2021'!$K1750)</f>
        <v>168.81871345029199</v>
      </c>
      <c r="R1750" s="109">
        <f>VLOOKUP(B1750,Readme!$A$62:$C$74,2,)*Q1750</f>
        <v>813.63105831543726</v>
      </c>
      <c r="S1750" s="140" t="str">
        <f t="shared" si="149"/>
        <v>N</v>
      </c>
      <c r="T1750" s="154">
        <f t="shared" si="150"/>
        <v>8.65</v>
      </c>
      <c r="U1750" s="154">
        <f t="shared" si="151"/>
        <v>4.8195549041132084</v>
      </c>
    </row>
    <row r="1751" spans="1:21" x14ac:dyDescent="0.35">
      <c r="A1751" s="108">
        <v>584</v>
      </c>
      <c r="B1751" s="108">
        <v>2020</v>
      </c>
      <c r="C1751" s="108" t="s">
        <v>38</v>
      </c>
      <c r="D1751" s="108" t="s">
        <v>143</v>
      </c>
      <c r="E1751" s="108" t="s">
        <v>10</v>
      </c>
      <c r="F1751" s="116">
        <v>786</v>
      </c>
      <c r="G1751" s="108" t="s">
        <v>51</v>
      </c>
      <c r="H1751" s="108" t="str">
        <f t="shared" si="148"/>
        <v>Nisqually River</v>
      </c>
      <c r="I1751" s="108" t="str">
        <f>IFERROR(VLOOKUP(H1751,LUTs!$A$1:$C$73,2,FALSE),"NA")</f>
        <v>Thurston/Pierce</v>
      </c>
      <c r="J1751" s="108" t="str">
        <f>IFERROR(VLOOKUP(H1751,LUTs!$A$1:$C$73,3,FALSE),"NA")</f>
        <v>3South Puget Sound</v>
      </c>
      <c r="K1751" s="108" t="s">
        <v>20</v>
      </c>
      <c r="L1751" s="108" t="str">
        <f>VLOOKUP(K1751,LUTs!E$2:G$14,3,)</f>
        <v>07Pierce</v>
      </c>
      <c r="M1751" s="108" t="str">
        <f>VLOOKUP($K1751,LUTs!$E$2:$H$14,2,)</f>
        <v>South Puget Sound</v>
      </c>
      <c r="N1751" s="108" t="str">
        <f>VLOOKUP($K1751,LUTs!$E$2:$H$14,4,)</f>
        <v>02South Puget Sound</v>
      </c>
      <c r="O1751" s="108">
        <v>1181.5772357723599</v>
      </c>
      <c r="P1751" s="108">
        <v>10220.6430894309</v>
      </c>
      <c r="Q1751" s="108">
        <f>SUMIFS('FW_Salmon_by_Month_2010-2021'!P$2:P$3810,'FW_Salmon_by_Month_2010-2021'!$B$2:$B$3810,'Rec_raw_catch_effort_2010-2021'!$B1751,'FW_Salmon_by_Month_2010-2021'!$H$2:$H$3810,'Rec_raw_catch_effort_2010-2021'!$F1751,'FW_Salmon_by_Month_2010-2021'!$M$2:$M$3810,'Rec_raw_catch_effort_2010-2021'!$K1751)</f>
        <v>1181.567251461988</v>
      </c>
      <c r="R1751" s="109">
        <f>VLOOKUP(B1751,Readme!$A$62:$C$74,2,)*Q1751</f>
        <v>5694.6282413231884</v>
      </c>
      <c r="S1751" s="140" t="str">
        <f t="shared" si="149"/>
        <v>N</v>
      </c>
      <c r="T1751" s="154">
        <f t="shared" si="150"/>
        <v>8.6499999999999879</v>
      </c>
      <c r="U1751" s="154">
        <f t="shared" si="151"/>
        <v>4.8195549041132084</v>
      </c>
    </row>
    <row r="1752" spans="1:21" x14ac:dyDescent="0.35">
      <c r="A1752" s="108">
        <v>585</v>
      </c>
      <c r="B1752" s="108">
        <v>2020</v>
      </c>
      <c r="C1752" s="108" t="s">
        <v>38</v>
      </c>
      <c r="D1752" s="108" t="s">
        <v>143</v>
      </c>
      <c r="E1752" s="108" t="s">
        <v>10</v>
      </c>
      <c r="F1752" s="116">
        <v>786</v>
      </c>
      <c r="G1752" s="108" t="s">
        <v>51</v>
      </c>
      <c r="H1752" s="108" t="str">
        <f t="shared" si="148"/>
        <v>Nisqually River</v>
      </c>
      <c r="I1752" s="108" t="str">
        <f>IFERROR(VLOOKUP(H1752,LUTs!$A$1:$C$73,2,FALSE),"NA")</f>
        <v>Thurston/Pierce</v>
      </c>
      <c r="J1752" s="108" t="str">
        <f>IFERROR(VLOOKUP(H1752,LUTs!$A$1:$C$73,3,FALSE),"NA")</f>
        <v>3South Puget Sound</v>
      </c>
      <c r="K1752" s="108" t="s">
        <v>21</v>
      </c>
      <c r="L1752" s="108" t="str">
        <f>VLOOKUP(K1752,LUTs!E$2:G$14,3,)</f>
        <v>08Thurston</v>
      </c>
      <c r="M1752" s="108" t="str">
        <f>VLOOKUP($K1752,LUTs!$E$2:$H$14,2,)</f>
        <v>South Puget Sound</v>
      </c>
      <c r="N1752" s="108" t="str">
        <f>VLOOKUP($K1752,LUTs!$E$2:$H$14,4,)</f>
        <v>02South Puget Sound</v>
      </c>
      <c r="O1752" s="108">
        <v>1386.5447154471501</v>
      </c>
      <c r="P1752" s="108">
        <v>11993.6117886178</v>
      </c>
      <c r="Q1752" s="108">
        <f>SUMIFS('FW_Salmon_by_Month_2010-2021'!P$2:P$3810,'FW_Salmon_by_Month_2010-2021'!$B$2:$B$3810,'Rec_raw_catch_effort_2010-2021'!$B1752,'FW_Salmon_by_Month_2010-2021'!$H$2:$H$3810,'Rec_raw_catch_effort_2010-2021'!$F1752,'FW_Salmon_by_Month_2010-2021'!$M$2:$M$3810,'Rec_raw_catch_effort_2010-2021'!$K1752)</f>
        <v>1386.304093567252</v>
      </c>
      <c r="R1752" s="109">
        <f>VLOOKUP(B1752,Readme!$A$62:$C$74,2,)*Q1752</f>
        <v>6681.3686927442659</v>
      </c>
      <c r="S1752" s="140" t="str">
        <f t="shared" si="149"/>
        <v>N</v>
      </c>
      <c r="T1752" s="154">
        <f t="shared" si="150"/>
        <v>8.6499999999999648</v>
      </c>
      <c r="U1752" s="154">
        <f t="shared" si="151"/>
        <v>4.8195549041132084</v>
      </c>
    </row>
    <row r="1753" spans="1:21" x14ac:dyDescent="0.35">
      <c r="A1753" s="108">
        <v>587</v>
      </c>
      <c r="B1753" s="108">
        <v>2021</v>
      </c>
      <c r="C1753" s="108" t="s">
        <v>38</v>
      </c>
      <c r="D1753" s="108" t="s">
        <v>143</v>
      </c>
      <c r="E1753" s="108" t="s">
        <v>10</v>
      </c>
      <c r="F1753" s="116">
        <v>786</v>
      </c>
      <c r="G1753" s="108" t="s">
        <v>51</v>
      </c>
      <c r="H1753" s="108" t="str">
        <f t="shared" si="148"/>
        <v>Nisqually River</v>
      </c>
      <c r="I1753" s="108" t="str">
        <f>IFERROR(VLOOKUP(H1753,LUTs!$A$1:$C$73,2,FALSE),"NA")</f>
        <v>Thurston/Pierce</v>
      </c>
      <c r="J1753" s="108" t="str">
        <f>IFERROR(VLOOKUP(H1753,LUTs!$A$1:$C$73,3,FALSE),"NA")</f>
        <v>3South Puget Sound</v>
      </c>
      <c r="K1753" s="108" t="s">
        <v>18</v>
      </c>
      <c r="L1753" s="108" t="str">
        <f>VLOOKUP(K1753,LUTs!E$2:G$14,3,)</f>
        <v>06King</v>
      </c>
      <c r="M1753" s="108" t="str">
        <f>VLOOKUP($K1753,LUTs!$E$2:$H$14,2,)</f>
        <v>South Puget Sound</v>
      </c>
      <c r="N1753" s="108" t="str">
        <f>VLOOKUP($K1753,LUTs!$E$2:$H$14,4,)</f>
        <v>02South Puget Sound</v>
      </c>
      <c r="O1753" s="108">
        <v>985.18909710391802</v>
      </c>
      <c r="P1753" s="108">
        <v>3389.0504940374799</v>
      </c>
      <c r="Q1753" s="108">
        <f>SUMIFS('FW_Salmon_by_Month_2010-2021'!P$2:P$3810,'FW_Salmon_by_Month_2010-2021'!$B$2:$B$3810,'Rec_raw_catch_effort_2010-2021'!$B1753,'FW_Salmon_by_Month_2010-2021'!$H$2:$H$3810,'Rec_raw_catch_effort_2010-2021'!$F1753,'FW_Salmon_by_Month_2010-2021'!$M$2:$M$3810,'Rec_raw_catch_effort_2010-2021'!$K1753)</f>
        <v>899.64273159636082</v>
      </c>
      <c r="R1753" s="109">
        <f>VLOOKUP(B1753,Readme!$A$62:$C$74,2,)*Q1753</f>
        <v>3183.8720084758384</v>
      </c>
      <c r="S1753" s="140" t="str">
        <f t="shared" si="149"/>
        <v>N</v>
      </c>
      <c r="T1753" s="154">
        <f t="shared" si="150"/>
        <v>3.4400000000000022</v>
      </c>
      <c r="U1753" s="154">
        <f t="shared" si="151"/>
        <v>3.5390404397824153</v>
      </c>
    </row>
    <row r="1754" spans="1:21" x14ac:dyDescent="0.35">
      <c r="A1754" s="108">
        <v>590</v>
      </c>
      <c r="B1754" s="108">
        <v>2021</v>
      </c>
      <c r="C1754" s="108" t="s">
        <v>38</v>
      </c>
      <c r="D1754" s="108" t="s">
        <v>143</v>
      </c>
      <c r="E1754" s="108" t="s">
        <v>10</v>
      </c>
      <c r="F1754" s="116">
        <v>786</v>
      </c>
      <c r="G1754" s="108" t="s">
        <v>51</v>
      </c>
      <c r="H1754" s="108" t="str">
        <f t="shared" si="148"/>
        <v>Nisqually River</v>
      </c>
      <c r="I1754" s="108" t="str">
        <f>IFERROR(VLOOKUP(H1754,LUTs!$A$1:$C$73,2,FALSE),"NA")</f>
        <v>Thurston/Pierce</v>
      </c>
      <c r="J1754" s="108" t="str">
        <f>IFERROR(VLOOKUP(H1754,LUTs!$A$1:$C$73,3,FALSE),"NA")</f>
        <v>3South Puget Sound</v>
      </c>
      <c r="K1754" s="108" t="s">
        <v>26</v>
      </c>
      <c r="L1754" s="108" t="str">
        <f>VLOOKUP(K1754,LUTs!E$2:G$14,3,)</f>
        <v>20Other</v>
      </c>
      <c r="M1754" s="108" t="str">
        <f>VLOOKUP($K1754,LUTs!$E$2:$H$14,2,)</f>
        <v>Non Puget Sound</v>
      </c>
      <c r="N1754" s="108" t="str">
        <f>VLOOKUP($K1754,LUTs!$E$2:$H$14,4,)</f>
        <v>07Non Puget Sound</v>
      </c>
      <c r="O1754" s="108">
        <v>445.35945485519602</v>
      </c>
      <c r="P1754" s="108">
        <v>1532.0365247018699</v>
      </c>
      <c r="Q1754" s="108">
        <f>SUMIFS('FW_Salmon_by_Month_2010-2021'!P$2:P$3810,'FW_Salmon_by_Month_2010-2021'!$B$2:$B$3810,'Rec_raw_catch_effort_2010-2021'!$B1754,'FW_Salmon_by_Month_2010-2021'!$H$2:$H$3810,'Rec_raw_catch_effort_2010-2021'!$F1754,'FW_Salmon_by_Month_2010-2021'!$M$2:$M$3810,'Rec_raw_catch_effort_2010-2021'!$K1754)</f>
        <v>462.12445719602988</v>
      </c>
      <c r="R1754" s="109">
        <f>VLOOKUP(B1754,Readme!$A$62:$C$74,2,)*Q1754</f>
        <v>1635.4771422292476</v>
      </c>
      <c r="S1754" s="140" t="str">
        <f t="shared" si="149"/>
        <v>N</v>
      </c>
      <c r="T1754" s="154">
        <f t="shared" si="150"/>
        <v>3.4399999999999902</v>
      </c>
      <c r="U1754" s="154">
        <f t="shared" si="151"/>
        <v>3.5390404397824153</v>
      </c>
    </row>
    <row r="1755" spans="1:21" x14ac:dyDescent="0.35">
      <c r="A1755" s="108">
        <v>588</v>
      </c>
      <c r="B1755" s="108">
        <v>2021</v>
      </c>
      <c r="C1755" s="108" t="s">
        <v>38</v>
      </c>
      <c r="D1755" s="108" t="s">
        <v>143</v>
      </c>
      <c r="E1755" s="108" t="s">
        <v>10</v>
      </c>
      <c r="F1755" s="116">
        <v>786</v>
      </c>
      <c r="G1755" s="108" t="s">
        <v>51</v>
      </c>
      <c r="H1755" s="108" t="str">
        <f t="shared" si="148"/>
        <v>Nisqually River</v>
      </c>
      <c r="I1755" s="108" t="str">
        <f>IFERROR(VLOOKUP(H1755,LUTs!$A$1:$C$73,2,FALSE),"NA")</f>
        <v>Thurston/Pierce</v>
      </c>
      <c r="J1755" s="108" t="str">
        <f>IFERROR(VLOOKUP(H1755,LUTs!$A$1:$C$73,3,FALSE),"NA")</f>
        <v>3South Puget Sound</v>
      </c>
      <c r="K1755" s="108" t="s">
        <v>20</v>
      </c>
      <c r="L1755" s="108" t="str">
        <f>VLOOKUP(K1755,LUTs!E$2:G$14,3,)</f>
        <v>07Pierce</v>
      </c>
      <c r="M1755" s="108" t="str">
        <f>VLOOKUP($K1755,LUTs!$E$2:$H$14,2,)</f>
        <v>South Puget Sound</v>
      </c>
      <c r="N1755" s="108" t="str">
        <f>VLOOKUP($K1755,LUTs!$E$2:$H$14,4,)</f>
        <v>02South Puget Sound</v>
      </c>
      <c r="O1755" s="108">
        <v>3184.9948892674602</v>
      </c>
      <c r="P1755" s="108">
        <v>10956.382419080101</v>
      </c>
      <c r="Q1755" s="108">
        <f>SUMIFS('FW_Salmon_by_Month_2010-2021'!P$2:P$3810,'FW_Salmon_by_Month_2010-2021'!$B$2:$B$3810,'Rec_raw_catch_effort_2010-2021'!$B1755,'FW_Salmon_by_Month_2010-2021'!$H$2:$H$3810,'Rec_raw_catch_effort_2010-2021'!$F1755,'FW_Salmon_by_Month_2010-2021'!$M$2:$M$3810,'Rec_raw_catch_effort_2010-2021'!$K1755)</f>
        <v>3130.0316635649269</v>
      </c>
      <c r="R1755" s="109">
        <f>VLOOKUP(B1755,Readme!$A$62:$C$74,2,)*Q1755</f>
        <v>11077.308635155705</v>
      </c>
      <c r="S1755" s="140" t="str">
        <f t="shared" si="149"/>
        <v>N</v>
      </c>
      <c r="T1755" s="154">
        <f t="shared" si="150"/>
        <v>3.4400000000000119</v>
      </c>
      <c r="U1755" s="154">
        <f t="shared" si="151"/>
        <v>3.5390404397824158</v>
      </c>
    </row>
    <row r="1756" spans="1:21" x14ac:dyDescent="0.35">
      <c r="A1756" s="108">
        <v>589</v>
      </c>
      <c r="B1756" s="108">
        <v>2021</v>
      </c>
      <c r="C1756" s="108" t="s">
        <v>38</v>
      </c>
      <c r="D1756" s="108" t="s">
        <v>143</v>
      </c>
      <c r="E1756" s="108" t="s">
        <v>10</v>
      </c>
      <c r="F1756" s="116">
        <v>786</v>
      </c>
      <c r="G1756" s="108" t="s">
        <v>51</v>
      </c>
      <c r="H1756" s="108" t="str">
        <f t="shared" si="148"/>
        <v>Nisqually River</v>
      </c>
      <c r="I1756" s="108" t="str">
        <f>IFERROR(VLOOKUP(H1756,LUTs!$A$1:$C$73,2,FALSE),"NA")</f>
        <v>Thurston/Pierce</v>
      </c>
      <c r="J1756" s="108" t="str">
        <f>IFERROR(VLOOKUP(H1756,LUTs!$A$1:$C$73,3,FALSE),"NA")</f>
        <v>3South Puget Sound</v>
      </c>
      <c r="K1756" s="108" t="s">
        <v>21</v>
      </c>
      <c r="L1756" s="108" t="str">
        <f>VLOOKUP(K1756,LUTs!E$2:G$14,3,)</f>
        <v>08Thurston</v>
      </c>
      <c r="M1756" s="108" t="str">
        <f>VLOOKUP($K1756,LUTs!$E$2:$H$14,2,)</f>
        <v>South Puget Sound</v>
      </c>
      <c r="N1756" s="108" t="str">
        <f>VLOOKUP($K1756,LUTs!$E$2:$H$14,4,)</f>
        <v>02South Puget Sound</v>
      </c>
      <c r="O1756" s="108">
        <v>3306.4565587734301</v>
      </c>
      <c r="P1756" s="108">
        <v>11374.2105621806</v>
      </c>
      <c r="Q1756" s="108">
        <f>SUMIFS('FW_Salmon_by_Month_2010-2021'!P$2:P$3810,'FW_Salmon_by_Month_2010-2021'!$B$2:$B$3810,'Rec_raw_catch_effort_2010-2021'!$B1756,'FW_Salmon_by_Month_2010-2021'!$H$2:$H$3810,'Rec_raw_catch_effort_2010-2021'!$F1756,'FW_Salmon_by_Month_2010-2021'!$M$2:$M$3810,'Rec_raw_catch_effort_2010-2021'!$K1756)</f>
        <v>3442.2011476426751</v>
      </c>
      <c r="R1756" s="109">
        <f>VLOOKUP(B1756,Readme!$A$62:$C$74,2,)*Q1756</f>
        <v>12182.089063372867</v>
      </c>
      <c r="S1756" s="140" t="str">
        <f t="shared" si="149"/>
        <v>N</v>
      </c>
      <c r="T1756" s="154">
        <f t="shared" si="150"/>
        <v>3.4400000000000004</v>
      </c>
      <c r="U1756" s="154">
        <f t="shared" si="151"/>
        <v>3.5390404397824149</v>
      </c>
    </row>
    <row r="1757" spans="1:21" x14ac:dyDescent="0.35">
      <c r="A1757" s="108">
        <v>1537</v>
      </c>
      <c r="B1757" s="108">
        <v>2010</v>
      </c>
      <c r="C1757" s="108" t="s">
        <v>38</v>
      </c>
      <c r="D1757" s="108" t="s">
        <v>143</v>
      </c>
      <c r="E1757" s="108" t="s">
        <v>10</v>
      </c>
      <c r="F1757" s="116">
        <v>788</v>
      </c>
      <c r="G1757" s="108" t="s">
        <v>52</v>
      </c>
      <c r="H1757" s="108" t="str">
        <f t="shared" si="148"/>
        <v>Nooksack River</v>
      </c>
      <c r="I1757" s="108" t="str">
        <f>IFERROR(VLOOKUP(H1757,LUTs!$A$1:$C$73,2,FALSE),"NA")</f>
        <v>Whatcom</v>
      </c>
      <c r="J1757" s="108" t="str">
        <f>IFERROR(VLOOKUP(H1757,LUTs!$A$1:$C$73,3,FALSE),"NA")</f>
        <v>1North Puget Sound</v>
      </c>
      <c r="K1757" s="108" t="s">
        <v>18</v>
      </c>
      <c r="L1757" s="108" t="str">
        <f>VLOOKUP(K1757,LUTs!E$2:G$14,3,)</f>
        <v>06King</v>
      </c>
      <c r="M1757" s="108" t="str">
        <f>VLOOKUP($K1757,LUTs!$E$2:$H$14,2,)</f>
        <v>South Puget Sound</v>
      </c>
      <c r="N1757" s="108" t="str">
        <f>VLOOKUP($K1757,LUTs!$E$2:$H$14,4,)</f>
        <v>02South Puget Sound</v>
      </c>
      <c r="O1757" s="108">
        <v>18.450867052023099</v>
      </c>
      <c r="P1757" s="108">
        <v>159.6</v>
      </c>
      <c r="Q1757" s="108">
        <f>SUMIFS('FW_Salmon_by_Month_2010-2021'!P$2:P$3810,'FW_Salmon_by_Month_2010-2021'!$B$2:$B$3810,'Rec_raw_catch_effort_2010-2021'!$B1757,'FW_Salmon_by_Month_2010-2021'!$H$2:$H$3810,'Rec_raw_catch_effort_2010-2021'!$F1757,'FW_Salmon_by_Month_2010-2021'!$M$2:$M$3810,'Rec_raw_catch_effort_2010-2021'!$K1757)</f>
        <v>18.863095238095241</v>
      </c>
      <c r="R1757" s="109">
        <f>VLOOKUP(B1757,Readme!$A$62:$C$74,2,)*Q1757</f>
        <v>90.91172316151642</v>
      </c>
      <c r="S1757" s="140" t="str">
        <f t="shared" si="149"/>
        <v>Y</v>
      </c>
      <c r="T1757" s="154">
        <f t="shared" si="150"/>
        <v>8.6500000000000092</v>
      </c>
      <c r="U1757" s="154">
        <f t="shared" si="151"/>
        <v>4.8195549041132084</v>
      </c>
    </row>
    <row r="1758" spans="1:21" x14ac:dyDescent="0.35">
      <c r="A1758" s="108">
        <v>1539</v>
      </c>
      <c r="B1758" s="108">
        <v>2010</v>
      </c>
      <c r="C1758" s="108" t="s">
        <v>38</v>
      </c>
      <c r="D1758" s="108" t="s">
        <v>143</v>
      </c>
      <c r="E1758" s="108" t="s">
        <v>10</v>
      </c>
      <c r="F1758" s="116">
        <v>788</v>
      </c>
      <c r="G1758" s="108" t="s">
        <v>52</v>
      </c>
      <c r="H1758" s="108" t="str">
        <f t="shared" si="148"/>
        <v>Nooksack River</v>
      </c>
      <c r="I1758" s="108" t="str">
        <f>IFERROR(VLOOKUP(H1758,LUTs!$A$1:$C$73,2,FALSE),"NA")</f>
        <v>Whatcom</v>
      </c>
      <c r="J1758" s="108" t="str">
        <f>IFERROR(VLOOKUP(H1758,LUTs!$A$1:$C$73,3,FALSE),"NA")</f>
        <v>1North Puget Sound</v>
      </c>
      <c r="K1758" s="108" t="s">
        <v>26</v>
      </c>
      <c r="L1758" s="108" t="str">
        <f>VLOOKUP(K1758,LUTs!E$2:G$14,3,)</f>
        <v>20Other</v>
      </c>
      <c r="M1758" s="108" t="str">
        <f>VLOOKUP($K1758,LUTs!$E$2:$H$14,2,)</f>
        <v>Non Puget Sound</v>
      </c>
      <c r="N1758" s="108" t="str">
        <f>VLOOKUP($K1758,LUTs!$E$2:$H$14,4,)</f>
        <v>07Non Puget Sound</v>
      </c>
      <c r="O1758" s="108">
        <v>24.601156069364201</v>
      </c>
      <c r="P1758" s="108">
        <v>212.8</v>
      </c>
      <c r="Q1758" s="108">
        <f>SUMIFS('FW_Salmon_by_Month_2010-2021'!P$2:P$3810,'FW_Salmon_by_Month_2010-2021'!$B$2:$B$3810,'Rec_raw_catch_effort_2010-2021'!$B1758,'FW_Salmon_by_Month_2010-2021'!$H$2:$H$3810,'Rec_raw_catch_effort_2010-2021'!$F1758,'FW_Salmon_by_Month_2010-2021'!$M$2:$M$3810,'Rec_raw_catch_effort_2010-2021'!$K1758)</f>
        <v>25.25</v>
      </c>
      <c r="R1758" s="109">
        <f>VLOOKUP(B1758,Readme!$A$62:$C$74,2,)*Q1758</f>
        <v>121.69376132885851</v>
      </c>
      <c r="S1758" s="140" t="str">
        <f t="shared" si="149"/>
        <v>Y</v>
      </c>
      <c r="T1758" s="154">
        <f t="shared" si="150"/>
        <v>8.6499999999999861</v>
      </c>
      <c r="U1758" s="154">
        <f t="shared" si="151"/>
        <v>4.8195549041132084</v>
      </c>
    </row>
    <row r="1759" spans="1:21" x14ac:dyDescent="0.35">
      <c r="A1759" s="108">
        <v>1538</v>
      </c>
      <c r="B1759" s="108">
        <v>2010</v>
      </c>
      <c r="C1759" s="108" t="s">
        <v>38</v>
      </c>
      <c r="D1759" s="108" t="s">
        <v>143</v>
      </c>
      <c r="E1759" s="108" t="s">
        <v>10</v>
      </c>
      <c r="F1759" s="116">
        <v>788</v>
      </c>
      <c r="G1759" s="108" t="s">
        <v>52</v>
      </c>
      <c r="H1759" s="108" t="str">
        <f t="shared" si="148"/>
        <v>Nooksack River</v>
      </c>
      <c r="I1759" s="108" t="str">
        <f>IFERROR(VLOOKUP(H1759,LUTs!$A$1:$C$73,2,FALSE),"NA")</f>
        <v>Whatcom</v>
      </c>
      <c r="J1759" s="108" t="str">
        <f>IFERROR(VLOOKUP(H1759,LUTs!$A$1:$C$73,3,FALSE),"NA")</f>
        <v>1North Puget Sound</v>
      </c>
      <c r="K1759" s="108" t="s">
        <v>20</v>
      </c>
      <c r="L1759" s="108" t="str">
        <f>VLOOKUP(K1759,LUTs!E$2:G$14,3,)</f>
        <v>07Pierce</v>
      </c>
      <c r="M1759" s="108" t="str">
        <f>VLOOKUP($K1759,LUTs!$E$2:$H$14,2,)</f>
        <v>South Puget Sound</v>
      </c>
      <c r="N1759" s="108" t="str">
        <f>VLOOKUP($K1759,LUTs!$E$2:$H$14,4,)</f>
        <v>02South Puget Sound</v>
      </c>
      <c r="O1759" s="108">
        <v>6.1502890173410396</v>
      </c>
      <c r="P1759" s="108">
        <v>53.2</v>
      </c>
      <c r="Q1759" s="108">
        <f>SUMIFS('FW_Salmon_by_Month_2010-2021'!P$2:P$3810,'FW_Salmon_by_Month_2010-2021'!$B$2:$B$3810,'Rec_raw_catch_effort_2010-2021'!$B1759,'FW_Salmon_by_Month_2010-2021'!$H$2:$H$3810,'Rec_raw_catch_effort_2010-2021'!$F1759,'FW_Salmon_by_Month_2010-2021'!$M$2:$M$3810,'Rec_raw_catch_effort_2010-2021'!$K1759)</f>
        <v>6.2380952380952399</v>
      </c>
      <c r="R1759" s="109">
        <f>VLOOKUP(B1759,Readme!$A$62:$C$74,2,)*Q1759</f>
        <v>30.064842497087167</v>
      </c>
      <c r="S1759" s="140" t="str">
        <f t="shared" si="149"/>
        <v>Y</v>
      </c>
      <c r="T1759" s="154">
        <f t="shared" si="150"/>
        <v>8.6500000000000021</v>
      </c>
      <c r="U1759" s="154">
        <f t="shared" si="151"/>
        <v>4.8195549041132084</v>
      </c>
    </row>
    <row r="1760" spans="1:21" x14ac:dyDescent="0.35">
      <c r="A1760" s="108">
        <v>1535</v>
      </c>
      <c r="B1760" s="108">
        <v>2010</v>
      </c>
      <c r="C1760" s="108" t="s">
        <v>38</v>
      </c>
      <c r="D1760" s="108" t="s">
        <v>143</v>
      </c>
      <c r="E1760" s="108" t="s">
        <v>10</v>
      </c>
      <c r="F1760" s="116">
        <v>788</v>
      </c>
      <c r="G1760" s="108" t="s">
        <v>52</v>
      </c>
      <c r="H1760" s="108" t="str">
        <f t="shared" si="148"/>
        <v>Nooksack River</v>
      </c>
      <c r="I1760" s="108" t="str">
        <f>IFERROR(VLOOKUP(H1760,LUTs!$A$1:$C$73,2,FALSE),"NA")</f>
        <v>Whatcom</v>
      </c>
      <c r="J1760" s="108" t="str">
        <f>IFERROR(VLOOKUP(H1760,LUTs!$A$1:$C$73,3,FALSE),"NA")</f>
        <v>1North Puget Sound</v>
      </c>
      <c r="K1760" s="108" t="s">
        <v>15</v>
      </c>
      <c r="L1760" s="108" t="str">
        <f>VLOOKUP(K1760,LUTs!E$2:G$14,3,)</f>
        <v>02Skagit</v>
      </c>
      <c r="M1760" s="108" t="str">
        <f>VLOOKUP($K1760,LUTs!$E$2:$H$14,2,)</f>
        <v>North Puget Sound</v>
      </c>
      <c r="N1760" s="108" t="str">
        <f>VLOOKUP($K1760,LUTs!$E$2:$H$14,4,)</f>
        <v>01North Puget Sound</v>
      </c>
      <c r="O1760" s="108">
        <v>24.601156069364201</v>
      </c>
      <c r="P1760" s="108">
        <v>212.8</v>
      </c>
      <c r="Q1760" s="108">
        <f>SUMIFS('FW_Salmon_by_Month_2010-2021'!P$2:P$3810,'FW_Salmon_by_Month_2010-2021'!$B$2:$B$3810,'Rec_raw_catch_effort_2010-2021'!$B1760,'FW_Salmon_by_Month_2010-2021'!$H$2:$H$3810,'Rec_raw_catch_effort_2010-2021'!$F1760,'FW_Salmon_by_Month_2010-2021'!$M$2:$M$3810,'Rec_raw_catch_effort_2010-2021'!$K1760)</f>
        <v>25.25</v>
      </c>
      <c r="R1760" s="109">
        <f>VLOOKUP(B1760,Readme!$A$62:$C$74,2,)*Q1760</f>
        <v>121.69376132885851</v>
      </c>
      <c r="S1760" s="140" t="str">
        <f t="shared" si="149"/>
        <v>Y</v>
      </c>
      <c r="T1760" s="154">
        <f t="shared" si="150"/>
        <v>8.6499999999999861</v>
      </c>
      <c r="U1760" s="154">
        <f t="shared" si="151"/>
        <v>4.8195549041132084</v>
      </c>
    </row>
    <row r="1761" spans="1:21" x14ac:dyDescent="0.35">
      <c r="A1761" s="108">
        <v>1536</v>
      </c>
      <c r="B1761" s="108">
        <v>2010</v>
      </c>
      <c r="C1761" s="108" t="s">
        <v>38</v>
      </c>
      <c r="D1761" s="108" t="s">
        <v>143</v>
      </c>
      <c r="E1761" s="108" t="s">
        <v>10</v>
      </c>
      <c r="F1761" s="116">
        <v>788</v>
      </c>
      <c r="G1761" s="108" t="s">
        <v>52</v>
      </c>
      <c r="H1761" s="108" t="str">
        <f t="shared" si="148"/>
        <v>Nooksack River</v>
      </c>
      <c r="I1761" s="108" t="str">
        <f>IFERROR(VLOOKUP(H1761,LUTs!$A$1:$C$73,2,FALSE),"NA")</f>
        <v>Whatcom</v>
      </c>
      <c r="J1761" s="108" t="str">
        <f>IFERROR(VLOOKUP(H1761,LUTs!$A$1:$C$73,3,FALSE),"NA")</f>
        <v>1North Puget Sound</v>
      </c>
      <c r="K1761" s="108" t="s">
        <v>16</v>
      </c>
      <c r="L1761" s="108" t="str">
        <f>VLOOKUP(K1761,LUTs!E$2:G$14,3,)</f>
        <v>03Snohomish</v>
      </c>
      <c r="M1761" s="108" t="str">
        <f>VLOOKUP($K1761,LUTs!$E$2:$H$14,2,)</f>
        <v>North Puget Sound</v>
      </c>
      <c r="N1761" s="108" t="str">
        <f>VLOOKUP($K1761,LUTs!$E$2:$H$14,4,)</f>
        <v>01North Puget Sound</v>
      </c>
      <c r="O1761" s="108">
        <v>6.1502890173410396</v>
      </c>
      <c r="P1761" s="108">
        <v>53.2</v>
      </c>
      <c r="Q1761" s="108">
        <f>SUMIFS('FW_Salmon_by_Month_2010-2021'!P$2:P$3810,'FW_Salmon_by_Month_2010-2021'!$B$2:$B$3810,'Rec_raw_catch_effort_2010-2021'!$B1761,'FW_Salmon_by_Month_2010-2021'!$H$2:$H$3810,'Rec_raw_catch_effort_2010-2021'!$F1761,'FW_Salmon_by_Month_2010-2021'!$M$2:$M$3810,'Rec_raw_catch_effort_2010-2021'!$K1761)</f>
        <v>6.3125</v>
      </c>
      <c r="R1761" s="109">
        <f>VLOOKUP(B1761,Readme!$A$62:$C$74,2,)*Q1761</f>
        <v>30.423440332214629</v>
      </c>
      <c r="S1761" s="140" t="str">
        <f t="shared" si="149"/>
        <v>Y</v>
      </c>
      <c r="T1761" s="154">
        <f t="shared" si="150"/>
        <v>8.6500000000000021</v>
      </c>
      <c r="U1761" s="154">
        <f t="shared" si="151"/>
        <v>4.8195549041132084</v>
      </c>
    </row>
    <row r="1762" spans="1:21" x14ac:dyDescent="0.35">
      <c r="A1762" s="108">
        <v>1534</v>
      </c>
      <c r="B1762" s="108">
        <v>2010</v>
      </c>
      <c r="C1762" s="108" t="s">
        <v>38</v>
      </c>
      <c r="D1762" s="108" t="s">
        <v>143</v>
      </c>
      <c r="E1762" s="108" t="s">
        <v>10</v>
      </c>
      <c r="F1762" s="116">
        <v>788</v>
      </c>
      <c r="G1762" s="108" t="s">
        <v>52</v>
      </c>
      <c r="H1762" s="108" t="str">
        <f t="shared" si="148"/>
        <v>Nooksack River</v>
      </c>
      <c r="I1762" s="108" t="str">
        <f>IFERROR(VLOOKUP(H1762,LUTs!$A$1:$C$73,2,FALSE),"NA")</f>
        <v>Whatcom</v>
      </c>
      <c r="J1762" s="108" t="str">
        <f>IFERROR(VLOOKUP(H1762,LUTs!$A$1:$C$73,3,FALSE),"NA")</f>
        <v>1North Puget Sound</v>
      </c>
      <c r="K1762" s="108" t="s">
        <v>13</v>
      </c>
      <c r="L1762" s="108" t="str">
        <f>VLOOKUP(K1762,LUTs!E$2:G$14,3,)</f>
        <v>01Whatcom</v>
      </c>
      <c r="M1762" s="108" t="str">
        <f>VLOOKUP($K1762,LUTs!$E$2:$H$14,2,)</f>
        <v>North Puget Sound</v>
      </c>
      <c r="N1762" s="108" t="str">
        <f>VLOOKUP($K1762,LUTs!$E$2:$H$14,4,)</f>
        <v>01North Puget Sound</v>
      </c>
      <c r="O1762" s="108">
        <v>984.04624277456696</v>
      </c>
      <c r="P1762" s="108">
        <v>8512.0000000000091</v>
      </c>
      <c r="Q1762" s="108">
        <f>SUMIFS('FW_Salmon_by_Month_2010-2021'!P$2:P$3810,'FW_Salmon_by_Month_2010-2021'!$B$2:$B$3810,'Rec_raw_catch_effort_2010-2021'!$B1762,'FW_Salmon_by_Month_2010-2021'!$H$2:$H$3810,'Rec_raw_catch_effort_2010-2021'!$F1762,'FW_Salmon_by_Month_2010-2021'!$M$2:$M$3810,'Rec_raw_catch_effort_2010-2021'!$K1762)</f>
        <v>982.08630952380997</v>
      </c>
      <c r="R1762" s="109">
        <f>VLOOKUP(B1762,Readme!$A$62:$C$74,2,)*Q1762</f>
        <v>4733.2188893279208</v>
      </c>
      <c r="S1762" s="140" t="str">
        <f t="shared" si="149"/>
        <v>Y</v>
      </c>
      <c r="T1762" s="154">
        <f t="shared" si="150"/>
        <v>8.6500000000000057</v>
      </c>
      <c r="U1762" s="154">
        <f t="shared" si="151"/>
        <v>4.8195549041132084</v>
      </c>
    </row>
    <row r="1763" spans="1:21" x14ac:dyDescent="0.35">
      <c r="A1763" s="108">
        <v>1560</v>
      </c>
      <c r="B1763" s="108">
        <v>2011</v>
      </c>
      <c r="C1763" s="108" t="s">
        <v>38</v>
      </c>
      <c r="D1763" s="108" t="s">
        <v>143</v>
      </c>
      <c r="E1763" s="108" t="s">
        <v>10</v>
      </c>
      <c r="F1763" s="116">
        <v>788</v>
      </c>
      <c r="G1763" s="108" t="s">
        <v>52</v>
      </c>
      <c r="H1763" s="108" t="str">
        <f t="shared" si="148"/>
        <v>Nooksack River</v>
      </c>
      <c r="I1763" s="108" t="str">
        <f>IFERROR(VLOOKUP(H1763,LUTs!$A$1:$C$73,2,FALSE),"NA")</f>
        <v>Whatcom</v>
      </c>
      <c r="J1763" s="108" t="str">
        <f>IFERROR(VLOOKUP(H1763,LUTs!$A$1:$C$73,3,FALSE),"NA")</f>
        <v>1North Puget Sound</v>
      </c>
      <c r="K1763" s="108" t="s">
        <v>17</v>
      </c>
      <c r="L1763" s="108" t="str">
        <f>VLOOKUP(K1763,LUTs!E$2:G$14,3,)</f>
        <v>04Island</v>
      </c>
      <c r="M1763" s="108" t="str">
        <f>VLOOKUP($K1763,LUTs!$E$2:$H$14,2,)</f>
        <v>North Puget Sound</v>
      </c>
      <c r="N1763" s="108" t="str">
        <f>VLOOKUP($K1763,LUTs!$E$2:$H$14,4,)</f>
        <v>01North Puget Sound</v>
      </c>
      <c r="O1763" s="108">
        <v>65.025000000000006</v>
      </c>
      <c r="P1763" s="108">
        <v>223.68600000000001</v>
      </c>
      <c r="Q1763" s="108">
        <f>SUMIFS('FW_Salmon_by_Month_2010-2021'!P$2:P$3810,'FW_Salmon_by_Month_2010-2021'!$B$2:$B$3810,'Rec_raw_catch_effort_2010-2021'!$B1763,'FW_Salmon_by_Month_2010-2021'!$H$2:$H$3810,'Rec_raw_catch_effort_2010-2021'!$F1763,'FW_Salmon_by_Month_2010-2021'!$M$2:$M$3810,'Rec_raw_catch_effort_2010-2021'!$K1763)</f>
        <v>64.864361702127695</v>
      </c>
      <c r="R1763" s="109">
        <f>VLOOKUP(B1763,Readme!$A$62:$C$74,2,)*Q1763</f>
        <v>229.55759916450367</v>
      </c>
      <c r="S1763" s="140" t="str">
        <f t="shared" si="149"/>
        <v>Y</v>
      </c>
      <c r="T1763" s="154">
        <f t="shared" si="150"/>
        <v>3.44</v>
      </c>
      <c r="U1763" s="154">
        <f t="shared" si="151"/>
        <v>3.5390404397824153</v>
      </c>
    </row>
    <row r="1764" spans="1:21" x14ac:dyDescent="0.35">
      <c r="A1764" s="108">
        <v>1561</v>
      </c>
      <c r="B1764" s="108">
        <v>2011</v>
      </c>
      <c r="C1764" s="108" t="s">
        <v>38</v>
      </c>
      <c r="D1764" s="108" t="s">
        <v>143</v>
      </c>
      <c r="E1764" s="108" t="s">
        <v>10</v>
      </c>
      <c r="F1764" s="116">
        <v>788</v>
      </c>
      <c r="G1764" s="108" t="s">
        <v>52</v>
      </c>
      <c r="H1764" s="108" t="str">
        <f t="shared" si="148"/>
        <v>Nooksack River</v>
      </c>
      <c r="I1764" s="108" t="str">
        <f>IFERROR(VLOOKUP(H1764,LUTs!$A$1:$C$73,2,FALSE),"NA")</f>
        <v>Whatcom</v>
      </c>
      <c r="J1764" s="108" t="str">
        <f>IFERROR(VLOOKUP(H1764,LUTs!$A$1:$C$73,3,FALSE),"NA")</f>
        <v>1North Puget Sound</v>
      </c>
      <c r="K1764" s="108" t="s">
        <v>18</v>
      </c>
      <c r="L1764" s="108" t="str">
        <f>VLOOKUP(K1764,LUTs!E$2:G$14,3,)</f>
        <v>06King</v>
      </c>
      <c r="M1764" s="108" t="str">
        <f>VLOOKUP($K1764,LUTs!$E$2:$H$14,2,)</f>
        <v>South Puget Sound</v>
      </c>
      <c r="N1764" s="108" t="str">
        <f>VLOOKUP($K1764,LUTs!$E$2:$H$14,4,)</f>
        <v>02South Puget Sound</v>
      </c>
      <c r="O1764" s="108">
        <v>21.675000000000001</v>
      </c>
      <c r="P1764" s="108">
        <v>74.561999999999998</v>
      </c>
      <c r="Q1764" s="108">
        <f>SUMIFS('FW_Salmon_by_Month_2010-2021'!P$2:P$3810,'FW_Salmon_by_Month_2010-2021'!$B$2:$B$3810,'Rec_raw_catch_effort_2010-2021'!$B1764,'FW_Salmon_by_Month_2010-2021'!$H$2:$H$3810,'Rec_raw_catch_effort_2010-2021'!$F1764,'FW_Salmon_by_Month_2010-2021'!$M$2:$M$3810,'Rec_raw_catch_effort_2010-2021'!$K1764)</f>
        <v>21.658625830058309</v>
      </c>
      <c r="R1764" s="109">
        <f>VLOOKUP(B1764,Readme!$A$62:$C$74,2,)*Q1764</f>
        <v>76.650752682692342</v>
      </c>
      <c r="S1764" s="140" t="str">
        <f t="shared" si="149"/>
        <v>Y</v>
      </c>
      <c r="T1764" s="154">
        <f t="shared" si="150"/>
        <v>3.44</v>
      </c>
      <c r="U1764" s="154">
        <f t="shared" si="151"/>
        <v>3.5390404397824153</v>
      </c>
    </row>
    <row r="1765" spans="1:21" x14ac:dyDescent="0.35">
      <c r="A1765" s="108">
        <v>1562</v>
      </c>
      <c r="B1765" s="108">
        <v>2011</v>
      </c>
      <c r="C1765" s="108" t="s">
        <v>38</v>
      </c>
      <c r="D1765" s="108" t="s">
        <v>143</v>
      </c>
      <c r="E1765" s="108" t="s">
        <v>10</v>
      </c>
      <c r="F1765" s="116">
        <v>788</v>
      </c>
      <c r="G1765" s="108" t="s">
        <v>52</v>
      </c>
      <c r="H1765" s="108" t="str">
        <f t="shared" si="148"/>
        <v>Nooksack River</v>
      </c>
      <c r="I1765" s="108" t="str">
        <f>IFERROR(VLOOKUP(H1765,LUTs!$A$1:$C$73,2,FALSE),"NA")</f>
        <v>Whatcom</v>
      </c>
      <c r="J1765" s="108" t="str">
        <f>IFERROR(VLOOKUP(H1765,LUTs!$A$1:$C$73,3,FALSE),"NA")</f>
        <v>1North Puget Sound</v>
      </c>
      <c r="K1765" s="108" t="s">
        <v>26</v>
      </c>
      <c r="L1765" s="108" t="str">
        <f>VLOOKUP(K1765,LUTs!E$2:G$14,3,)</f>
        <v>20Other</v>
      </c>
      <c r="M1765" s="108" t="str">
        <f>VLOOKUP($K1765,LUTs!$E$2:$H$14,2,)</f>
        <v>Non Puget Sound</v>
      </c>
      <c r="N1765" s="108" t="str">
        <f>VLOOKUP($K1765,LUTs!$E$2:$H$14,4,)</f>
        <v>07Non Puget Sound</v>
      </c>
      <c r="O1765" s="108">
        <v>93.924999999999997</v>
      </c>
      <c r="P1765" s="108">
        <v>323.10199999999998</v>
      </c>
      <c r="Q1765" s="108">
        <f>SUMIFS('FW_Salmon_by_Month_2010-2021'!P$2:P$3810,'FW_Salmon_by_Month_2010-2021'!$B$2:$B$3810,'Rec_raw_catch_effort_2010-2021'!$B1765,'FW_Salmon_by_Month_2010-2021'!$H$2:$H$3810,'Rec_raw_catch_effort_2010-2021'!$F1765,'FW_Salmon_by_Month_2010-2021'!$M$2:$M$3810,'Rec_raw_catch_effort_2010-2021'!$K1765)</f>
        <v>93.880237941351297</v>
      </c>
      <c r="R1765" s="109">
        <f>VLOOKUP(B1765,Readme!$A$62:$C$74,2,)*Q1765</f>
        <v>332.24595857083767</v>
      </c>
      <c r="S1765" s="140" t="str">
        <f t="shared" si="149"/>
        <v>Y</v>
      </c>
      <c r="T1765" s="154">
        <f t="shared" si="150"/>
        <v>3.44</v>
      </c>
      <c r="U1765" s="154">
        <f t="shared" si="151"/>
        <v>3.5390404397824153</v>
      </c>
    </row>
    <row r="1766" spans="1:21" x14ac:dyDescent="0.35">
      <c r="A1766" s="108">
        <v>1559</v>
      </c>
      <c r="B1766" s="108">
        <v>2011</v>
      </c>
      <c r="C1766" s="108" t="s">
        <v>38</v>
      </c>
      <c r="D1766" s="108" t="s">
        <v>143</v>
      </c>
      <c r="E1766" s="108" t="s">
        <v>10</v>
      </c>
      <c r="F1766" s="116">
        <v>788</v>
      </c>
      <c r="G1766" s="108" t="s">
        <v>52</v>
      </c>
      <c r="H1766" s="108" t="str">
        <f t="shared" si="148"/>
        <v>Nooksack River</v>
      </c>
      <c r="I1766" s="108" t="str">
        <f>IFERROR(VLOOKUP(H1766,LUTs!$A$1:$C$73,2,FALSE),"NA")</f>
        <v>Whatcom</v>
      </c>
      <c r="J1766" s="108" t="str">
        <f>IFERROR(VLOOKUP(H1766,LUTs!$A$1:$C$73,3,FALSE),"NA")</f>
        <v>1North Puget Sound</v>
      </c>
      <c r="K1766" s="108" t="s">
        <v>13</v>
      </c>
      <c r="L1766" s="108" t="str">
        <f>VLOOKUP(K1766,LUTs!E$2:G$14,3,)</f>
        <v>01Whatcom</v>
      </c>
      <c r="M1766" s="108" t="str">
        <f>VLOOKUP($K1766,LUTs!$E$2:$H$14,2,)</f>
        <v>North Puget Sound</v>
      </c>
      <c r="N1766" s="108" t="str">
        <f>VLOOKUP($K1766,LUTs!$E$2:$H$14,4,)</f>
        <v>01North Puget Sound</v>
      </c>
      <c r="O1766" s="108">
        <v>2420.375</v>
      </c>
      <c r="P1766" s="108">
        <v>8326.09</v>
      </c>
      <c r="Q1766" s="108">
        <f>SUMIFS('FW_Salmon_by_Month_2010-2021'!P$2:P$3810,'FW_Salmon_by_Month_2010-2021'!$B$2:$B$3810,'Rec_raw_catch_effort_2010-2021'!$B1766,'FW_Salmon_by_Month_2010-2021'!$H$2:$H$3810,'Rec_raw_catch_effort_2010-2021'!$F1766,'FW_Salmon_by_Month_2010-2021'!$M$2:$M$3810,'Rec_raw_catch_effort_2010-2021'!$K1766)</f>
        <v>2420.5967745264661</v>
      </c>
      <c r="R1766" s="109">
        <f>VLOOKUP(B1766,Readme!$A$62:$C$74,2,)*Q1766</f>
        <v>8566.5898734560415</v>
      </c>
      <c r="S1766" s="140" t="str">
        <f t="shared" si="149"/>
        <v>Y</v>
      </c>
      <c r="T1766" s="154">
        <f t="shared" si="150"/>
        <v>3.44</v>
      </c>
      <c r="U1766" s="154">
        <f t="shared" si="151"/>
        <v>3.5390404397824158</v>
      </c>
    </row>
    <row r="1767" spans="1:21" x14ac:dyDescent="0.35">
      <c r="A1767" s="108">
        <v>1717</v>
      </c>
      <c r="B1767" s="108">
        <v>2012</v>
      </c>
      <c r="C1767" s="108" t="s">
        <v>38</v>
      </c>
      <c r="D1767" s="108" t="s">
        <v>143</v>
      </c>
      <c r="E1767" s="108" t="s">
        <v>10</v>
      </c>
      <c r="F1767" s="116">
        <v>788</v>
      </c>
      <c r="G1767" s="108" t="s">
        <v>52</v>
      </c>
      <c r="H1767" s="108" t="str">
        <f t="shared" si="148"/>
        <v>Nooksack River</v>
      </c>
      <c r="I1767" s="108" t="str">
        <f>IFERROR(VLOOKUP(H1767,LUTs!$A$1:$C$73,2,FALSE),"NA")</f>
        <v>Whatcom</v>
      </c>
      <c r="J1767" s="108" t="str">
        <f>IFERROR(VLOOKUP(H1767,LUTs!$A$1:$C$73,3,FALSE),"NA")</f>
        <v>1North Puget Sound</v>
      </c>
      <c r="K1767" s="108" t="s">
        <v>17</v>
      </c>
      <c r="L1767" s="108" t="str">
        <f>VLOOKUP(K1767,LUTs!E$2:G$14,3,)</f>
        <v>04Island</v>
      </c>
      <c r="M1767" s="108" t="str">
        <f>VLOOKUP($K1767,LUTs!$E$2:$H$14,2,)</f>
        <v>North Puget Sound</v>
      </c>
      <c r="N1767" s="108" t="str">
        <f>VLOOKUP($K1767,LUTs!$E$2:$H$14,4,)</f>
        <v>01North Puget Sound</v>
      </c>
      <c r="O1767" s="108">
        <v>48.701793721973097</v>
      </c>
      <c r="P1767" s="108">
        <v>421.27051569506699</v>
      </c>
      <c r="Q1767" s="108">
        <f>SUMIFS('FW_Salmon_by_Month_2010-2021'!P$2:P$3810,'FW_Salmon_by_Month_2010-2021'!$B$2:$B$3810,'Rec_raw_catch_effort_2010-2021'!$B1767,'FW_Salmon_by_Month_2010-2021'!$H$2:$H$3810,'Rec_raw_catch_effort_2010-2021'!$F1767,'FW_Salmon_by_Month_2010-2021'!$M$2:$M$3810,'Rec_raw_catch_effort_2010-2021'!$K1767)</f>
        <v>48.6388888888889</v>
      </c>
      <c r="R1767" s="109">
        <f>VLOOKUP(B1767,Readme!$A$62:$C$74,2,)*Q1767</f>
        <v>234.41779547506195</v>
      </c>
      <c r="S1767" s="140" t="str">
        <f t="shared" si="149"/>
        <v>Y</v>
      </c>
      <c r="T1767" s="154">
        <f t="shared" si="150"/>
        <v>8.6499999999999932</v>
      </c>
      <c r="U1767" s="154">
        <f t="shared" si="151"/>
        <v>4.8195549041132084</v>
      </c>
    </row>
    <row r="1768" spans="1:21" x14ac:dyDescent="0.35">
      <c r="A1768" s="108">
        <v>1718</v>
      </c>
      <c r="B1768" s="108">
        <v>2012</v>
      </c>
      <c r="C1768" s="108" t="s">
        <v>38</v>
      </c>
      <c r="D1768" s="108" t="s">
        <v>143</v>
      </c>
      <c r="E1768" s="108" t="s">
        <v>10</v>
      </c>
      <c r="F1768" s="116">
        <v>788</v>
      </c>
      <c r="G1768" s="108" t="s">
        <v>52</v>
      </c>
      <c r="H1768" s="108" t="str">
        <f t="shared" si="148"/>
        <v>Nooksack River</v>
      </c>
      <c r="I1768" s="108" t="str">
        <f>IFERROR(VLOOKUP(H1768,LUTs!$A$1:$C$73,2,FALSE),"NA")</f>
        <v>Whatcom</v>
      </c>
      <c r="J1768" s="108" t="str">
        <f>IFERROR(VLOOKUP(H1768,LUTs!$A$1:$C$73,3,FALSE),"NA")</f>
        <v>1North Puget Sound</v>
      </c>
      <c r="K1768" s="108" t="s">
        <v>18</v>
      </c>
      <c r="L1768" s="108" t="str">
        <f>VLOOKUP(K1768,LUTs!E$2:G$14,3,)</f>
        <v>06King</v>
      </c>
      <c r="M1768" s="108" t="str">
        <f>VLOOKUP($K1768,LUTs!$E$2:$H$14,2,)</f>
        <v>South Puget Sound</v>
      </c>
      <c r="N1768" s="108" t="str">
        <f>VLOOKUP($K1768,LUTs!$E$2:$H$14,4,)</f>
        <v>02South Puget Sound</v>
      </c>
      <c r="O1768" s="108">
        <v>6.9573991031390197</v>
      </c>
      <c r="P1768" s="108">
        <v>60.181502242152497</v>
      </c>
      <c r="Q1768" s="108">
        <f>SUMIFS('FW_Salmon_by_Month_2010-2021'!P$2:P$3810,'FW_Salmon_by_Month_2010-2021'!$B$2:$B$3810,'Rec_raw_catch_effort_2010-2021'!$B1768,'FW_Salmon_by_Month_2010-2021'!$H$2:$H$3810,'Rec_raw_catch_effort_2010-2021'!$F1768,'FW_Salmon_by_Month_2010-2021'!$M$2:$M$3810,'Rec_raw_catch_effort_2010-2021'!$K1768)</f>
        <v>6.9575757575757597</v>
      </c>
      <c r="R1768" s="109">
        <f>VLOOKUP(B1768,Readme!$A$62:$C$74,2,)*Q1768</f>
        <v>33.532418363163423</v>
      </c>
      <c r="S1768" s="140" t="str">
        <f t="shared" si="149"/>
        <v>Y</v>
      </c>
      <c r="T1768" s="154">
        <f t="shared" si="150"/>
        <v>8.6499999999999968</v>
      </c>
      <c r="U1768" s="154">
        <f t="shared" si="151"/>
        <v>4.8195549041132084</v>
      </c>
    </row>
    <row r="1769" spans="1:21" x14ac:dyDescent="0.35">
      <c r="A1769" s="108">
        <v>1712</v>
      </c>
      <c r="B1769" s="108">
        <v>2012</v>
      </c>
      <c r="C1769" s="108" t="s">
        <v>38</v>
      </c>
      <c r="D1769" s="108" t="s">
        <v>143</v>
      </c>
      <c r="E1769" s="108" t="s">
        <v>10</v>
      </c>
      <c r="F1769" s="116">
        <v>788</v>
      </c>
      <c r="G1769" s="108" t="s">
        <v>52</v>
      </c>
      <c r="H1769" s="108" t="str">
        <f t="shared" si="148"/>
        <v>Nooksack River</v>
      </c>
      <c r="I1769" s="108" t="str">
        <f>IFERROR(VLOOKUP(H1769,LUTs!$A$1:$C$73,2,FALSE),"NA")</f>
        <v>Whatcom</v>
      </c>
      <c r="J1769" s="108" t="str">
        <f>IFERROR(VLOOKUP(H1769,LUTs!$A$1:$C$73,3,FALSE),"NA")</f>
        <v>1North Puget Sound</v>
      </c>
      <c r="K1769" s="108" t="s">
        <v>15</v>
      </c>
      <c r="L1769" s="108" t="str">
        <f>VLOOKUP(K1769,LUTs!E$2:G$14,3,)</f>
        <v>02Skagit</v>
      </c>
      <c r="M1769" s="108" t="str">
        <f>VLOOKUP($K1769,LUTs!$E$2:$H$14,2,)</f>
        <v>North Puget Sound</v>
      </c>
      <c r="N1769" s="108" t="str">
        <f>VLOOKUP($K1769,LUTs!$E$2:$H$14,4,)</f>
        <v>01North Puget Sound</v>
      </c>
      <c r="O1769" s="108">
        <v>90.446188340807197</v>
      </c>
      <c r="P1769" s="108">
        <v>782.35952914798202</v>
      </c>
      <c r="Q1769" s="108">
        <f>SUMIFS('FW_Salmon_by_Month_2010-2021'!P$2:P$3810,'FW_Salmon_by_Month_2010-2021'!$B$2:$B$3810,'Rec_raw_catch_effort_2010-2021'!$B1769,'FW_Salmon_by_Month_2010-2021'!$H$2:$H$3810,'Rec_raw_catch_effort_2010-2021'!$F1769,'FW_Salmon_by_Month_2010-2021'!$M$2:$M$3810,'Rec_raw_catch_effort_2010-2021'!$K1769)</f>
        <v>90.459991216512947</v>
      </c>
      <c r="R1769" s="109">
        <f>VLOOKUP(B1769,Readme!$A$62:$C$74,2,)*Q1769</f>
        <v>435.97689429358275</v>
      </c>
      <c r="S1769" s="140" t="str">
        <f t="shared" si="149"/>
        <v>Y</v>
      </c>
      <c r="T1769" s="154">
        <f t="shared" si="150"/>
        <v>8.6499999999999968</v>
      </c>
      <c r="U1769" s="154">
        <f t="shared" si="151"/>
        <v>4.8195549041132084</v>
      </c>
    </row>
    <row r="1770" spans="1:21" x14ac:dyDescent="0.35">
      <c r="A1770" s="108">
        <v>1716</v>
      </c>
      <c r="B1770" s="108">
        <v>2012</v>
      </c>
      <c r="C1770" s="108" t="s">
        <v>38</v>
      </c>
      <c r="D1770" s="108" t="s">
        <v>143</v>
      </c>
      <c r="E1770" s="108" t="s">
        <v>10</v>
      </c>
      <c r="F1770" s="116">
        <v>788</v>
      </c>
      <c r="G1770" s="108" t="s">
        <v>52</v>
      </c>
      <c r="H1770" s="108" t="str">
        <f t="shared" si="148"/>
        <v>Nooksack River</v>
      </c>
      <c r="I1770" s="108" t="str">
        <f>IFERROR(VLOOKUP(H1770,LUTs!$A$1:$C$73,2,FALSE),"NA")</f>
        <v>Whatcom</v>
      </c>
      <c r="J1770" s="108" t="str">
        <f>IFERROR(VLOOKUP(H1770,LUTs!$A$1:$C$73,3,FALSE),"NA")</f>
        <v>1North Puget Sound</v>
      </c>
      <c r="K1770" s="108" t="s">
        <v>16</v>
      </c>
      <c r="L1770" s="108" t="str">
        <f>VLOOKUP(K1770,LUTs!E$2:G$14,3,)</f>
        <v>03Snohomish</v>
      </c>
      <c r="M1770" s="108" t="str">
        <f>VLOOKUP($K1770,LUTs!$E$2:$H$14,2,)</f>
        <v>North Puget Sound</v>
      </c>
      <c r="N1770" s="108" t="str">
        <f>VLOOKUP($K1770,LUTs!$E$2:$H$14,4,)</f>
        <v>01North Puget Sound</v>
      </c>
      <c r="O1770" s="108">
        <v>83.4887892376682</v>
      </c>
      <c r="P1770" s="108">
        <v>722.17802690583005</v>
      </c>
      <c r="Q1770" s="108">
        <f>SUMIFS('FW_Salmon_by_Month_2010-2021'!P$2:P$3810,'FW_Salmon_by_Month_2010-2021'!$B$2:$B$3810,'Rec_raw_catch_effort_2010-2021'!$B1770,'FW_Salmon_by_Month_2010-2021'!$H$2:$H$3810,'Rec_raw_catch_effort_2010-2021'!$F1770,'FW_Salmon_by_Month_2010-2021'!$M$2:$M$3810,'Rec_raw_catch_effort_2010-2021'!$K1770)</f>
        <v>83.370707070707113</v>
      </c>
      <c r="R1770" s="109">
        <f>VLOOKUP(B1770,Readme!$A$62:$C$74,2,)*Q1770</f>
        <v>401.8097001220122</v>
      </c>
      <c r="S1770" s="140" t="str">
        <f t="shared" si="149"/>
        <v>Y</v>
      </c>
      <c r="T1770" s="154">
        <f t="shared" si="150"/>
        <v>8.6500000000000021</v>
      </c>
      <c r="U1770" s="154">
        <f t="shared" si="151"/>
        <v>4.8195549041132084</v>
      </c>
    </row>
    <row r="1771" spans="1:21" x14ac:dyDescent="0.35">
      <c r="A1771" s="108">
        <v>1711</v>
      </c>
      <c r="B1771" s="108">
        <v>2012</v>
      </c>
      <c r="C1771" s="108" t="s">
        <v>38</v>
      </c>
      <c r="D1771" s="108" t="s">
        <v>143</v>
      </c>
      <c r="E1771" s="108" t="s">
        <v>10</v>
      </c>
      <c r="F1771" s="116">
        <v>788</v>
      </c>
      <c r="G1771" s="108" t="s">
        <v>52</v>
      </c>
      <c r="H1771" s="108" t="str">
        <f t="shared" si="148"/>
        <v>Nooksack River</v>
      </c>
      <c r="I1771" s="108" t="str">
        <f>IFERROR(VLOOKUP(H1771,LUTs!$A$1:$C$73,2,FALSE),"NA")</f>
        <v>Whatcom</v>
      </c>
      <c r="J1771" s="108" t="str">
        <f>IFERROR(VLOOKUP(H1771,LUTs!$A$1:$C$73,3,FALSE),"NA")</f>
        <v>1North Puget Sound</v>
      </c>
      <c r="K1771" s="108" t="s">
        <v>13</v>
      </c>
      <c r="L1771" s="108" t="str">
        <f>VLOOKUP(K1771,LUTs!E$2:G$14,3,)</f>
        <v>01Whatcom</v>
      </c>
      <c r="M1771" s="108" t="str">
        <f>VLOOKUP($K1771,LUTs!$E$2:$H$14,2,)</f>
        <v>North Puget Sound</v>
      </c>
      <c r="N1771" s="108" t="str">
        <f>VLOOKUP($K1771,LUTs!$E$2:$H$14,4,)</f>
        <v>01North Puget Sound</v>
      </c>
      <c r="O1771" s="108">
        <v>2873.4058295964101</v>
      </c>
      <c r="P1771" s="108">
        <v>24854.9604260089</v>
      </c>
      <c r="Q1771" s="108">
        <f>SUMIFS('FW_Salmon_by_Month_2010-2021'!P$2:P$3810,'FW_Salmon_by_Month_2010-2021'!$B$2:$B$3810,'Rec_raw_catch_effort_2010-2021'!$B1771,'FW_Salmon_by_Month_2010-2021'!$H$2:$H$3810,'Rec_raw_catch_effort_2010-2021'!$F1771,'FW_Salmon_by_Month_2010-2021'!$M$2:$M$3810,'Rec_raw_catch_effort_2010-2021'!$K1771)</f>
        <v>2873.5728370663169</v>
      </c>
      <c r="R1771" s="109">
        <f>VLOOKUP(B1771,Readme!$A$62:$C$74,2,)*Q1771</f>
        <v>13849.342059209474</v>
      </c>
      <c r="S1771" s="140" t="str">
        <f t="shared" si="149"/>
        <v>Y</v>
      </c>
      <c r="T1771" s="154">
        <f t="shared" si="150"/>
        <v>8.6499999999999844</v>
      </c>
      <c r="U1771" s="154">
        <f t="shared" si="151"/>
        <v>4.8195549041132084</v>
      </c>
    </row>
    <row r="1772" spans="1:21" x14ac:dyDescent="0.35">
      <c r="A1772" s="108">
        <v>1883</v>
      </c>
      <c r="B1772" s="108">
        <v>2013</v>
      </c>
      <c r="C1772" s="108" t="s">
        <v>38</v>
      </c>
      <c r="D1772" s="108" t="s">
        <v>143</v>
      </c>
      <c r="E1772" s="108" t="s">
        <v>10</v>
      </c>
      <c r="F1772" s="116">
        <v>788</v>
      </c>
      <c r="G1772" s="108" t="s">
        <v>52</v>
      </c>
      <c r="H1772" s="108" t="str">
        <f t="shared" si="148"/>
        <v>Nooksack River</v>
      </c>
      <c r="I1772" s="108" t="str">
        <f>IFERROR(VLOOKUP(H1772,LUTs!$A$1:$C$73,2,FALSE),"NA")</f>
        <v>Whatcom</v>
      </c>
      <c r="J1772" s="108" t="str">
        <f>IFERROR(VLOOKUP(H1772,LUTs!$A$1:$C$73,3,FALSE),"NA")</f>
        <v>1North Puget Sound</v>
      </c>
      <c r="K1772" s="108" t="s">
        <v>17</v>
      </c>
      <c r="L1772" s="108" t="str">
        <f>VLOOKUP(K1772,LUTs!E$2:G$14,3,)</f>
        <v>04Island</v>
      </c>
      <c r="M1772" s="108" t="str">
        <f>VLOOKUP($K1772,LUTs!$E$2:$H$14,2,)</f>
        <v>North Puget Sound</v>
      </c>
      <c r="N1772" s="108" t="str">
        <f>VLOOKUP($K1772,LUTs!$E$2:$H$14,4,)</f>
        <v>01North Puget Sound</v>
      </c>
      <c r="O1772" s="108">
        <v>119.52180451127801</v>
      </c>
      <c r="P1772" s="108">
        <v>411.15500751879603</v>
      </c>
      <c r="Q1772" s="108">
        <f>SUMIFS('FW_Salmon_by_Month_2010-2021'!P$2:P$3810,'FW_Salmon_by_Month_2010-2021'!$B$2:$B$3810,'Rec_raw_catch_effort_2010-2021'!$B1772,'FW_Salmon_by_Month_2010-2021'!$H$2:$H$3810,'Rec_raw_catch_effort_2010-2021'!$F1772,'FW_Salmon_by_Month_2010-2021'!$M$2:$M$3810,'Rec_raw_catch_effort_2010-2021'!$K1772)</f>
        <v>117.4</v>
      </c>
      <c r="R1772" s="109">
        <f>VLOOKUP(B1772,Readme!$A$62:$C$74,2,)*Q1772</f>
        <v>415.48334763045557</v>
      </c>
      <c r="S1772" s="140" t="str">
        <f t="shared" si="149"/>
        <v>Y</v>
      </c>
      <c r="T1772" s="154">
        <f t="shared" si="150"/>
        <v>3.4399999999999973</v>
      </c>
      <c r="U1772" s="154">
        <f t="shared" si="151"/>
        <v>3.5390404397824153</v>
      </c>
    </row>
    <row r="1773" spans="1:21" x14ac:dyDescent="0.35">
      <c r="A1773" s="108">
        <v>1885</v>
      </c>
      <c r="B1773" s="108">
        <v>2013</v>
      </c>
      <c r="C1773" s="108" t="s">
        <v>38</v>
      </c>
      <c r="D1773" s="108" t="s">
        <v>143</v>
      </c>
      <c r="E1773" s="108" t="s">
        <v>10</v>
      </c>
      <c r="F1773" s="116">
        <v>788</v>
      </c>
      <c r="G1773" s="108" t="s">
        <v>52</v>
      </c>
      <c r="H1773" s="108" t="str">
        <f t="shared" si="148"/>
        <v>Nooksack River</v>
      </c>
      <c r="I1773" s="108" t="str">
        <f>IFERROR(VLOOKUP(H1773,LUTs!$A$1:$C$73,2,FALSE),"NA")</f>
        <v>Whatcom</v>
      </c>
      <c r="J1773" s="108" t="str">
        <f>IFERROR(VLOOKUP(H1773,LUTs!$A$1:$C$73,3,FALSE),"NA")</f>
        <v>1North Puget Sound</v>
      </c>
      <c r="K1773" s="108" t="s">
        <v>23</v>
      </c>
      <c r="L1773" s="108" t="str">
        <f>VLOOKUP(K1773,LUTs!E$2:G$14,3,)</f>
        <v>10Kitsap</v>
      </c>
      <c r="M1773" s="108" t="str">
        <f>VLOOKUP($K1773,LUTs!$E$2:$H$14,2,)</f>
        <v>South Puget Sound</v>
      </c>
      <c r="N1773" s="108" t="str">
        <f>VLOOKUP($K1773,LUTs!$E$2:$H$14,4,)</f>
        <v>02South Puget Sound</v>
      </c>
      <c r="O1773" s="108">
        <v>9.1939849624060201</v>
      </c>
      <c r="P1773" s="108">
        <v>31.6273082706767</v>
      </c>
      <c r="Q1773" s="108">
        <f>SUMIFS('FW_Salmon_by_Month_2010-2021'!P$2:P$3810,'FW_Salmon_by_Month_2010-2021'!$B$2:$B$3810,'Rec_raw_catch_effort_2010-2021'!$B1773,'FW_Salmon_by_Month_2010-2021'!$H$2:$H$3810,'Rec_raw_catch_effort_2010-2021'!$F1773,'FW_Salmon_by_Month_2010-2021'!$M$2:$M$3810,'Rec_raw_catch_effort_2010-2021'!$K1773)</f>
        <v>9.1917098445595897</v>
      </c>
      <c r="R1773" s="109">
        <f>VLOOKUP(B1773,Readme!$A$62:$C$74,2,)*Q1773</f>
        <v>32.529832850642528</v>
      </c>
      <c r="S1773" s="140" t="str">
        <f t="shared" si="149"/>
        <v>Y</v>
      </c>
      <c r="T1773" s="154">
        <f t="shared" si="150"/>
        <v>3.4399999999999991</v>
      </c>
      <c r="U1773" s="154">
        <f t="shared" si="151"/>
        <v>3.5390404397824153</v>
      </c>
    </row>
    <row r="1774" spans="1:21" x14ac:dyDescent="0.35">
      <c r="A1774" s="108">
        <v>1891</v>
      </c>
      <c r="B1774" s="108">
        <v>2013</v>
      </c>
      <c r="C1774" s="108" t="s">
        <v>38</v>
      </c>
      <c r="D1774" s="108" t="s">
        <v>143</v>
      </c>
      <c r="E1774" s="108" t="s">
        <v>10</v>
      </c>
      <c r="F1774" s="116">
        <v>788</v>
      </c>
      <c r="G1774" s="108" t="s">
        <v>52</v>
      </c>
      <c r="H1774" s="108" t="str">
        <f t="shared" si="148"/>
        <v>Nooksack River</v>
      </c>
      <c r="I1774" s="108" t="str">
        <f>IFERROR(VLOOKUP(H1774,LUTs!$A$1:$C$73,2,FALSE),"NA")</f>
        <v>Whatcom</v>
      </c>
      <c r="J1774" s="108" t="str">
        <f>IFERROR(VLOOKUP(H1774,LUTs!$A$1:$C$73,3,FALSE),"NA")</f>
        <v>1North Puget Sound</v>
      </c>
      <c r="K1774" s="108" t="s">
        <v>26</v>
      </c>
      <c r="L1774" s="108" t="str">
        <f>VLOOKUP(K1774,LUTs!E$2:G$14,3,)</f>
        <v>20Other</v>
      </c>
      <c r="M1774" s="108" t="str">
        <f>VLOOKUP($K1774,LUTs!$E$2:$H$14,2,)</f>
        <v>Non Puget Sound</v>
      </c>
      <c r="N1774" s="108" t="str">
        <f>VLOOKUP($K1774,LUTs!$E$2:$H$14,4,)</f>
        <v>07Non Puget Sound</v>
      </c>
      <c r="O1774" s="108">
        <v>101.13383458646599</v>
      </c>
      <c r="P1774" s="108">
        <v>347.90039097744301</v>
      </c>
      <c r="Q1774" s="108">
        <f>SUMIFS('FW_Salmon_by_Month_2010-2021'!P$2:P$3810,'FW_Salmon_by_Month_2010-2021'!$B$2:$B$3810,'Rec_raw_catch_effort_2010-2021'!$B1774,'FW_Salmon_by_Month_2010-2021'!$H$2:$H$3810,'Rec_raw_catch_effort_2010-2021'!$F1774,'FW_Salmon_by_Month_2010-2021'!$M$2:$M$3810,'Rec_raw_catch_effort_2010-2021'!$K1774)</f>
        <v>101.6490797380638</v>
      </c>
      <c r="R1774" s="109">
        <f>VLOOKUP(B1774,Readme!$A$62:$C$74,2,)*Q1774</f>
        <v>359.74020385967515</v>
      </c>
      <c r="S1774" s="140" t="str">
        <f t="shared" si="149"/>
        <v>Y</v>
      </c>
      <c r="T1774" s="154">
        <f t="shared" si="150"/>
        <v>3.44</v>
      </c>
      <c r="U1774" s="154">
        <f t="shared" si="151"/>
        <v>3.5390404397824153</v>
      </c>
    </row>
    <row r="1775" spans="1:21" x14ac:dyDescent="0.35">
      <c r="A1775" s="108">
        <v>1881</v>
      </c>
      <c r="B1775" s="108">
        <v>2013</v>
      </c>
      <c r="C1775" s="108" t="s">
        <v>38</v>
      </c>
      <c r="D1775" s="108" t="s">
        <v>143</v>
      </c>
      <c r="E1775" s="108" t="s">
        <v>10</v>
      </c>
      <c r="F1775" s="116">
        <v>788</v>
      </c>
      <c r="G1775" s="108" t="s">
        <v>52</v>
      </c>
      <c r="H1775" s="108" t="str">
        <f t="shared" si="148"/>
        <v>Nooksack River</v>
      </c>
      <c r="I1775" s="108" t="str">
        <f>IFERROR(VLOOKUP(H1775,LUTs!$A$1:$C$73,2,FALSE),"NA")</f>
        <v>Whatcom</v>
      </c>
      <c r="J1775" s="108" t="str">
        <f>IFERROR(VLOOKUP(H1775,LUTs!$A$1:$C$73,3,FALSE),"NA")</f>
        <v>1North Puget Sound</v>
      </c>
      <c r="K1775" s="108" t="s">
        <v>15</v>
      </c>
      <c r="L1775" s="108" t="str">
        <f>VLOOKUP(K1775,LUTs!E$2:G$14,3,)</f>
        <v>02Skagit</v>
      </c>
      <c r="M1775" s="108" t="str">
        <f>VLOOKUP($K1775,LUTs!$E$2:$H$14,2,)</f>
        <v>North Puget Sound</v>
      </c>
      <c r="N1775" s="108" t="str">
        <f>VLOOKUP($K1775,LUTs!$E$2:$H$14,4,)</f>
        <v>01North Puget Sound</v>
      </c>
      <c r="O1775" s="108">
        <v>27.5819548872181</v>
      </c>
      <c r="P1775" s="108">
        <v>94.881924812030306</v>
      </c>
      <c r="Q1775" s="108">
        <f>SUMIFS('FW_Salmon_by_Month_2010-2021'!P$2:P$3810,'FW_Salmon_by_Month_2010-2021'!$B$2:$B$3810,'Rec_raw_catch_effort_2010-2021'!$B1775,'FW_Salmon_by_Month_2010-2021'!$H$2:$H$3810,'Rec_raw_catch_effort_2010-2021'!$F1775,'FW_Salmon_by_Month_2010-2021'!$M$2:$M$3810,'Rec_raw_catch_effort_2010-2021'!$K1775)</f>
        <v>27.414188919888431</v>
      </c>
      <c r="R1775" s="109">
        <f>VLOOKUP(B1775,Readme!$A$62:$C$74,2,)*Q1775</f>
        <v>97.019923211320176</v>
      </c>
      <c r="S1775" s="140" t="str">
        <f t="shared" si="149"/>
        <v>Y</v>
      </c>
      <c r="T1775" s="154">
        <f t="shared" si="150"/>
        <v>3.4400000000000017</v>
      </c>
      <c r="U1775" s="154">
        <f t="shared" si="151"/>
        <v>3.5390404397824153</v>
      </c>
    </row>
    <row r="1776" spans="1:21" x14ac:dyDescent="0.35">
      <c r="A1776" s="108">
        <v>1882</v>
      </c>
      <c r="B1776" s="108">
        <v>2013</v>
      </c>
      <c r="C1776" s="108" t="s">
        <v>38</v>
      </c>
      <c r="D1776" s="108" t="s">
        <v>143</v>
      </c>
      <c r="E1776" s="108" t="s">
        <v>10</v>
      </c>
      <c r="F1776" s="116">
        <v>788</v>
      </c>
      <c r="G1776" s="108" t="s">
        <v>52</v>
      </c>
      <c r="H1776" s="108" t="str">
        <f t="shared" si="148"/>
        <v>Nooksack River</v>
      </c>
      <c r="I1776" s="108" t="str">
        <f>IFERROR(VLOOKUP(H1776,LUTs!$A$1:$C$73,2,FALSE),"NA")</f>
        <v>Whatcom</v>
      </c>
      <c r="J1776" s="108" t="str">
        <f>IFERROR(VLOOKUP(H1776,LUTs!$A$1:$C$73,3,FALSE),"NA")</f>
        <v>1North Puget Sound</v>
      </c>
      <c r="K1776" s="108" t="s">
        <v>16</v>
      </c>
      <c r="L1776" s="108" t="str">
        <f>VLOOKUP(K1776,LUTs!E$2:G$14,3,)</f>
        <v>03Snohomish</v>
      </c>
      <c r="M1776" s="108" t="str">
        <f>VLOOKUP($K1776,LUTs!$E$2:$H$14,2,)</f>
        <v>North Puget Sound</v>
      </c>
      <c r="N1776" s="108" t="str">
        <f>VLOOKUP($K1776,LUTs!$E$2:$H$14,4,)</f>
        <v>01North Puget Sound</v>
      </c>
      <c r="O1776" s="108">
        <v>91.939849624060201</v>
      </c>
      <c r="P1776" s="108">
        <v>316.27308270676701</v>
      </c>
      <c r="Q1776" s="108">
        <f>SUMIFS('FW_Salmon_by_Month_2010-2021'!P$2:P$3810,'FW_Salmon_by_Month_2010-2021'!$B$2:$B$3810,'Rec_raw_catch_effort_2010-2021'!$B1776,'FW_Salmon_by_Month_2010-2021'!$H$2:$H$3810,'Rec_raw_catch_effort_2010-2021'!$F1776,'FW_Salmon_by_Month_2010-2021'!$M$2:$M$3810,'Rec_raw_catch_effort_2010-2021'!$K1776)</f>
        <v>90.518518518518505</v>
      </c>
      <c r="R1776" s="109">
        <f>VLOOKUP(B1776,Readme!$A$62:$C$74,2,)*Q1776</f>
        <v>320.34869758623046</v>
      </c>
      <c r="S1776" s="140" t="str">
        <f t="shared" si="149"/>
        <v>Y</v>
      </c>
      <c r="T1776" s="154">
        <f t="shared" si="150"/>
        <v>3.4399999999999991</v>
      </c>
      <c r="U1776" s="154">
        <f t="shared" si="151"/>
        <v>3.5390404397824158</v>
      </c>
    </row>
    <row r="1777" spans="1:21" x14ac:dyDescent="0.35">
      <c r="A1777" s="108">
        <v>1884</v>
      </c>
      <c r="B1777" s="108">
        <v>2013</v>
      </c>
      <c r="C1777" s="108" t="s">
        <v>38</v>
      </c>
      <c r="D1777" s="108" t="s">
        <v>143</v>
      </c>
      <c r="E1777" s="108" t="s">
        <v>10</v>
      </c>
      <c r="F1777" s="116">
        <v>788</v>
      </c>
      <c r="G1777" s="108" t="s">
        <v>52</v>
      </c>
      <c r="H1777" s="108" t="str">
        <f t="shared" si="148"/>
        <v>Nooksack River</v>
      </c>
      <c r="I1777" s="108" t="str">
        <f>IFERROR(VLOOKUP(H1777,LUTs!$A$1:$C$73,2,FALSE),"NA")</f>
        <v>Whatcom</v>
      </c>
      <c r="J1777" s="108" t="str">
        <f>IFERROR(VLOOKUP(H1777,LUTs!$A$1:$C$73,3,FALSE),"NA")</f>
        <v>1North Puget Sound</v>
      </c>
      <c r="K1777" s="108" t="s">
        <v>21</v>
      </c>
      <c r="L1777" s="108" t="str">
        <f>VLOOKUP(K1777,LUTs!E$2:G$14,3,)</f>
        <v>08Thurston</v>
      </c>
      <c r="M1777" s="108" t="str">
        <f>VLOOKUP($K1777,LUTs!$E$2:$H$14,2,)</f>
        <v>South Puget Sound</v>
      </c>
      <c r="N1777" s="108" t="str">
        <f>VLOOKUP($K1777,LUTs!$E$2:$H$14,4,)</f>
        <v>02South Puget Sound</v>
      </c>
      <c r="O1777" s="108">
        <v>91.939849624060201</v>
      </c>
      <c r="P1777" s="108">
        <v>316.27308270676701</v>
      </c>
      <c r="Q1777" s="108">
        <f>SUMIFS('FW_Salmon_by_Month_2010-2021'!P$2:P$3810,'FW_Salmon_by_Month_2010-2021'!$B$2:$B$3810,'Rec_raw_catch_effort_2010-2021'!$B1777,'FW_Salmon_by_Month_2010-2021'!$H$2:$H$3810,'Rec_raw_catch_effort_2010-2021'!$F1777,'FW_Salmon_by_Month_2010-2021'!$M$2:$M$3810,'Rec_raw_catch_effort_2010-2021'!$K1777)</f>
        <v>90.497435897435935</v>
      </c>
      <c r="R1777" s="109">
        <f>VLOOKUP(B1777,Readme!$A$62:$C$74,2,)*Q1777</f>
        <v>320.27408533764259</v>
      </c>
      <c r="S1777" s="140" t="str">
        <f t="shared" si="149"/>
        <v>Y</v>
      </c>
      <c r="T1777" s="154">
        <f t="shared" si="150"/>
        <v>3.4399999999999991</v>
      </c>
      <c r="U1777" s="154">
        <f t="shared" si="151"/>
        <v>3.5390404397824149</v>
      </c>
    </row>
    <row r="1778" spans="1:21" x14ac:dyDescent="0.35">
      <c r="A1778" s="108">
        <v>1880</v>
      </c>
      <c r="B1778" s="108">
        <v>2013</v>
      </c>
      <c r="C1778" s="108" t="s">
        <v>38</v>
      </c>
      <c r="D1778" s="108" t="s">
        <v>143</v>
      </c>
      <c r="E1778" s="108" t="s">
        <v>10</v>
      </c>
      <c r="F1778" s="116">
        <v>788</v>
      </c>
      <c r="G1778" s="108" t="s">
        <v>52</v>
      </c>
      <c r="H1778" s="108" t="str">
        <f t="shared" si="148"/>
        <v>Nooksack River</v>
      </c>
      <c r="I1778" s="108" t="str">
        <f>IFERROR(VLOOKUP(H1778,LUTs!$A$1:$C$73,2,FALSE),"NA")</f>
        <v>Whatcom</v>
      </c>
      <c r="J1778" s="108" t="str">
        <f>IFERROR(VLOOKUP(H1778,LUTs!$A$1:$C$73,3,FALSE),"NA")</f>
        <v>1North Puget Sound</v>
      </c>
      <c r="K1778" s="108" t="s">
        <v>13</v>
      </c>
      <c r="L1778" s="108" t="str">
        <f>VLOOKUP(K1778,LUTs!E$2:G$14,3,)</f>
        <v>01Whatcom</v>
      </c>
      <c r="M1778" s="108" t="str">
        <f>VLOOKUP($K1778,LUTs!$E$2:$H$14,2,)</f>
        <v>North Puget Sound</v>
      </c>
      <c r="N1778" s="108" t="str">
        <f>VLOOKUP($K1778,LUTs!$E$2:$H$14,4,)</f>
        <v>01North Puget Sound</v>
      </c>
      <c r="O1778" s="108">
        <v>5672.6887218045104</v>
      </c>
      <c r="P1778" s="108">
        <v>19514.0492030075</v>
      </c>
      <c r="Q1778" s="108">
        <f>SUMIFS('FW_Salmon_by_Month_2010-2021'!P$2:P$3810,'FW_Salmon_by_Month_2010-2021'!$B$2:$B$3810,'Rec_raw_catch_effort_2010-2021'!$B1778,'FW_Salmon_by_Month_2010-2021'!$H$2:$H$3810,'Rec_raw_catch_effort_2010-2021'!$F1778,'FW_Salmon_by_Month_2010-2021'!$M$2:$M$3810,'Rec_raw_catch_effort_2010-2021'!$K1778)</f>
        <v>5677.3290670815322</v>
      </c>
      <c r="R1778" s="109">
        <f>VLOOKUP(B1778,Readme!$A$62:$C$74,2,)*Q1778</f>
        <v>20092.297158353715</v>
      </c>
      <c r="S1778" s="140" t="str">
        <f t="shared" si="149"/>
        <v>Y</v>
      </c>
      <c r="T1778" s="154">
        <f t="shared" si="150"/>
        <v>3.4399999999999973</v>
      </c>
      <c r="U1778" s="154">
        <f t="shared" si="151"/>
        <v>3.5390404397824153</v>
      </c>
    </row>
    <row r="1779" spans="1:21" x14ac:dyDescent="0.35">
      <c r="A1779" s="108">
        <v>2038</v>
      </c>
      <c r="B1779" s="108">
        <v>2014</v>
      </c>
      <c r="C1779" s="108" t="s">
        <v>38</v>
      </c>
      <c r="D1779" s="108" t="s">
        <v>143</v>
      </c>
      <c r="E1779" s="108" t="s">
        <v>10</v>
      </c>
      <c r="F1779" s="116">
        <v>788</v>
      </c>
      <c r="G1779" s="108" t="s">
        <v>52</v>
      </c>
      <c r="H1779" s="108" t="str">
        <f t="shared" si="148"/>
        <v>Nooksack River</v>
      </c>
      <c r="I1779" s="108" t="str">
        <f>IFERROR(VLOOKUP(H1779,LUTs!$A$1:$C$73,2,FALSE),"NA")</f>
        <v>Whatcom</v>
      </c>
      <c r="J1779" s="108" t="str">
        <f>IFERROR(VLOOKUP(H1779,LUTs!$A$1:$C$73,3,FALSE),"NA")</f>
        <v>1North Puget Sound</v>
      </c>
      <c r="K1779" s="108" t="s">
        <v>17</v>
      </c>
      <c r="L1779" s="108" t="str">
        <f>VLOOKUP(K1779,LUTs!E$2:G$14,3,)</f>
        <v>04Island</v>
      </c>
      <c r="M1779" s="108" t="str">
        <f>VLOOKUP($K1779,LUTs!$E$2:$H$14,2,)</f>
        <v>North Puget Sound</v>
      </c>
      <c r="N1779" s="108" t="str">
        <f>VLOOKUP($K1779,LUTs!$E$2:$H$14,4,)</f>
        <v>01North Puget Sound</v>
      </c>
      <c r="O1779" s="108">
        <v>14.214285714285699</v>
      </c>
      <c r="P1779" s="108">
        <v>122.953571428571</v>
      </c>
      <c r="Q1779" s="108">
        <f>SUMIFS('FW_Salmon_by_Month_2010-2021'!P$2:P$3810,'FW_Salmon_by_Month_2010-2021'!$B$2:$B$3810,'Rec_raw_catch_effort_2010-2021'!$B1779,'FW_Salmon_by_Month_2010-2021'!$H$2:$H$3810,'Rec_raw_catch_effort_2010-2021'!$F1779,'FW_Salmon_by_Month_2010-2021'!$M$2:$M$3810,'Rec_raw_catch_effort_2010-2021'!$K1779)</f>
        <v>14.303030303030299</v>
      </c>
      <c r="R1779" s="109">
        <f>VLOOKUP(B1779,Readme!$A$62:$C$74,2,)*Q1779</f>
        <v>68.934239840649511</v>
      </c>
      <c r="S1779" s="140" t="str">
        <f t="shared" si="149"/>
        <v>Y</v>
      </c>
      <c r="T1779" s="154">
        <f t="shared" si="150"/>
        <v>8.649999999999979</v>
      </c>
      <c r="U1779" s="154">
        <f t="shared" si="151"/>
        <v>4.8195549041132084</v>
      </c>
    </row>
    <row r="1780" spans="1:21" x14ac:dyDescent="0.35">
      <c r="A1780" s="108">
        <v>2039</v>
      </c>
      <c r="B1780" s="108">
        <v>2014</v>
      </c>
      <c r="C1780" s="108" t="s">
        <v>38</v>
      </c>
      <c r="D1780" s="108" t="s">
        <v>143</v>
      </c>
      <c r="E1780" s="108" t="s">
        <v>10</v>
      </c>
      <c r="F1780" s="116">
        <v>788</v>
      </c>
      <c r="G1780" s="108" t="s">
        <v>52</v>
      </c>
      <c r="H1780" s="108" t="str">
        <f t="shared" si="148"/>
        <v>Nooksack River</v>
      </c>
      <c r="I1780" s="108" t="str">
        <f>IFERROR(VLOOKUP(H1780,LUTs!$A$1:$C$73,2,FALSE),"NA")</f>
        <v>Whatcom</v>
      </c>
      <c r="J1780" s="108" t="str">
        <f>IFERROR(VLOOKUP(H1780,LUTs!$A$1:$C$73,3,FALSE),"NA")</f>
        <v>1North Puget Sound</v>
      </c>
      <c r="K1780" s="108" t="s">
        <v>18</v>
      </c>
      <c r="L1780" s="108" t="str">
        <f>VLOOKUP(K1780,LUTs!E$2:G$14,3,)</f>
        <v>06King</v>
      </c>
      <c r="M1780" s="108" t="str">
        <f>VLOOKUP($K1780,LUTs!$E$2:$H$14,2,)</f>
        <v>South Puget Sound</v>
      </c>
      <c r="N1780" s="108" t="str">
        <f>VLOOKUP($K1780,LUTs!$E$2:$H$14,4,)</f>
        <v>02South Puget Sound</v>
      </c>
      <c r="O1780" s="108">
        <v>28.428571428571399</v>
      </c>
      <c r="P1780" s="108">
        <v>245.90714285714299</v>
      </c>
      <c r="Q1780" s="108">
        <f>SUMIFS('FW_Salmon_by_Month_2010-2021'!P$2:P$3810,'FW_Salmon_by_Month_2010-2021'!$B$2:$B$3810,'Rec_raw_catch_effort_2010-2021'!$B1780,'FW_Salmon_by_Month_2010-2021'!$H$2:$H$3810,'Rec_raw_catch_effort_2010-2021'!$F1780,'FW_Salmon_by_Month_2010-2021'!$M$2:$M$3810,'Rec_raw_catch_effort_2010-2021'!$K1780)</f>
        <v>28.606060606060598</v>
      </c>
      <c r="R1780" s="109">
        <f>VLOOKUP(B1780,Readme!$A$62:$C$74,2,)*Q1780</f>
        <v>137.86847968129902</v>
      </c>
      <c r="S1780" s="140" t="str">
        <f t="shared" si="149"/>
        <v>Y</v>
      </c>
      <c r="T1780" s="154">
        <f t="shared" si="150"/>
        <v>8.6500000000000128</v>
      </c>
      <c r="U1780" s="154">
        <f t="shared" si="151"/>
        <v>4.8195549041132084</v>
      </c>
    </row>
    <row r="1781" spans="1:21" x14ac:dyDescent="0.35">
      <c r="A1781" s="108">
        <v>2044</v>
      </c>
      <c r="B1781" s="108">
        <v>2014</v>
      </c>
      <c r="C1781" s="108" t="s">
        <v>38</v>
      </c>
      <c r="D1781" s="108" t="s">
        <v>143</v>
      </c>
      <c r="E1781" s="108" t="s">
        <v>10</v>
      </c>
      <c r="F1781" s="116">
        <v>788</v>
      </c>
      <c r="G1781" s="108" t="s">
        <v>52</v>
      </c>
      <c r="H1781" s="108" t="str">
        <f t="shared" si="148"/>
        <v>Nooksack River</v>
      </c>
      <c r="I1781" s="108" t="str">
        <f>IFERROR(VLOOKUP(H1781,LUTs!$A$1:$C$73,2,FALSE),"NA")</f>
        <v>Whatcom</v>
      </c>
      <c r="J1781" s="108" t="str">
        <f>IFERROR(VLOOKUP(H1781,LUTs!$A$1:$C$73,3,FALSE),"NA")</f>
        <v>1North Puget Sound</v>
      </c>
      <c r="K1781" s="108" t="s">
        <v>26</v>
      </c>
      <c r="L1781" s="108" t="str">
        <f>VLOOKUP(K1781,LUTs!E$2:G$14,3,)</f>
        <v>20Other</v>
      </c>
      <c r="M1781" s="108" t="str">
        <f>VLOOKUP($K1781,LUTs!$E$2:$H$14,2,)</f>
        <v>Non Puget Sound</v>
      </c>
      <c r="N1781" s="108" t="str">
        <f>VLOOKUP($K1781,LUTs!$E$2:$H$14,4,)</f>
        <v>07Non Puget Sound</v>
      </c>
      <c r="O1781" s="108">
        <v>71.071428571428598</v>
      </c>
      <c r="P1781" s="108">
        <v>614.767857142857</v>
      </c>
      <c r="Q1781" s="108">
        <f>SUMIFS('FW_Salmon_by_Month_2010-2021'!P$2:P$3810,'FW_Salmon_by_Month_2010-2021'!$B$2:$B$3810,'Rec_raw_catch_effort_2010-2021'!$B1781,'FW_Salmon_by_Month_2010-2021'!$H$2:$H$3810,'Rec_raw_catch_effort_2010-2021'!$F1781,'FW_Salmon_by_Month_2010-2021'!$M$2:$M$3810,'Rec_raw_catch_effort_2010-2021'!$K1781)</f>
        <v>71.509433962264197</v>
      </c>
      <c r="R1781" s="109">
        <f>VLOOKUP(B1781,Readme!$A$62:$C$74,2,)*Q1781</f>
        <v>344.64364314319005</v>
      </c>
      <c r="S1781" s="140" t="str">
        <f t="shared" si="149"/>
        <v>Y</v>
      </c>
      <c r="T1781" s="154">
        <f t="shared" si="150"/>
        <v>8.649999999999995</v>
      </c>
      <c r="U1781" s="154">
        <f t="shared" si="151"/>
        <v>4.8195549041132084</v>
      </c>
    </row>
    <row r="1782" spans="1:21" x14ac:dyDescent="0.35">
      <c r="A1782" s="108">
        <v>2043</v>
      </c>
      <c r="B1782" s="108">
        <v>2014</v>
      </c>
      <c r="C1782" s="108" t="s">
        <v>38</v>
      </c>
      <c r="D1782" s="108" t="s">
        <v>143</v>
      </c>
      <c r="E1782" s="108" t="s">
        <v>10</v>
      </c>
      <c r="F1782" s="116">
        <v>788</v>
      </c>
      <c r="G1782" s="108" t="s">
        <v>52</v>
      </c>
      <c r="H1782" s="108" t="str">
        <f t="shared" si="148"/>
        <v>Nooksack River</v>
      </c>
      <c r="I1782" s="108" t="str">
        <f>IFERROR(VLOOKUP(H1782,LUTs!$A$1:$C$73,2,FALSE),"NA")</f>
        <v>Whatcom</v>
      </c>
      <c r="J1782" s="108" t="str">
        <f>IFERROR(VLOOKUP(H1782,LUTs!$A$1:$C$73,3,FALSE),"NA")</f>
        <v>1North Puget Sound</v>
      </c>
      <c r="K1782" s="108" t="s">
        <v>20</v>
      </c>
      <c r="L1782" s="108" t="str">
        <f>VLOOKUP(K1782,LUTs!E$2:G$14,3,)</f>
        <v>07Pierce</v>
      </c>
      <c r="M1782" s="108" t="str">
        <f>VLOOKUP($K1782,LUTs!$E$2:$H$14,2,)</f>
        <v>South Puget Sound</v>
      </c>
      <c r="N1782" s="108" t="str">
        <f>VLOOKUP($K1782,LUTs!$E$2:$H$14,4,)</f>
        <v>02South Puget Sound</v>
      </c>
      <c r="O1782" s="108">
        <v>7.1071428571428603</v>
      </c>
      <c r="P1782" s="108">
        <v>61.476785714285697</v>
      </c>
      <c r="Q1782" s="108">
        <f>SUMIFS('FW_Salmon_by_Month_2010-2021'!P$2:P$3810,'FW_Salmon_by_Month_2010-2021'!$B$2:$B$3810,'Rec_raw_catch_effort_2010-2021'!$B1782,'FW_Salmon_by_Month_2010-2021'!$H$2:$H$3810,'Rec_raw_catch_effort_2010-2021'!$F1782,'FW_Salmon_by_Month_2010-2021'!$M$2:$M$3810,'Rec_raw_catch_effort_2010-2021'!$K1782)</f>
        <v>7.1515151515151496</v>
      </c>
      <c r="R1782" s="109">
        <f>VLOOKUP(B1782,Readme!$A$62:$C$74,2,)*Q1782</f>
        <v>34.467119920324755</v>
      </c>
      <c r="S1782" s="140" t="str">
        <f t="shared" si="149"/>
        <v>Y</v>
      </c>
      <c r="T1782" s="154">
        <f t="shared" si="150"/>
        <v>8.6499999999999932</v>
      </c>
      <c r="U1782" s="154">
        <f t="shared" si="151"/>
        <v>4.8195549041132084</v>
      </c>
    </row>
    <row r="1783" spans="1:21" x14ac:dyDescent="0.35">
      <c r="A1783" s="108">
        <v>2037</v>
      </c>
      <c r="B1783" s="108">
        <v>2014</v>
      </c>
      <c r="C1783" s="108" t="s">
        <v>38</v>
      </c>
      <c r="D1783" s="108" t="s">
        <v>143</v>
      </c>
      <c r="E1783" s="108" t="s">
        <v>10</v>
      </c>
      <c r="F1783" s="116">
        <v>788</v>
      </c>
      <c r="G1783" s="108" t="s">
        <v>52</v>
      </c>
      <c r="H1783" s="108" t="str">
        <f t="shared" si="148"/>
        <v>Nooksack River</v>
      </c>
      <c r="I1783" s="108" t="str">
        <f>IFERROR(VLOOKUP(H1783,LUTs!$A$1:$C$73,2,FALSE),"NA")</f>
        <v>Whatcom</v>
      </c>
      <c r="J1783" s="108" t="str">
        <f>IFERROR(VLOOKUP(H1783,LUTs!$A$1:$C$73,3,FALSE),"NA")</f>
        <v>1North Puget Sound</v>
      </c>
      <c r="K1783" s="108" t="s">
        <v>15</v>
      </c>
      <c r="L1783" s="108" t="str">
        <f>VLOOKUP(K1783,LUTs!E$2:G$14,3,)</f>
        <v>02Skagit</v>
      </c>
      <c r="M1783" s="108" t="str">
        <f>VLOOKUP($K1783,LUTs!$E$2:$H$14,2,)</f>
        <v>North Puget Sound</v>
      </c>
      <c r="N1783" s="108" t="str">
        <f>VLOOKUP($K1783,LUTs!$E$2:$H$14,4,)</f>
        <v>01North Puget Sound</v>
      </c>
      <c r="O1783" s="108">
        <v>21.321428571428601</v>
      </c>
      <c r="P1783" s="108">
        <v>184.43035714285699</v>
      </c>
      <c r="Q1783" s="108">
        <f>SUMIFS('FW_Salmon_by_Month_2010-2021'!P$2:P$3810,'FW_Salmon_by_Month_2010-2021'!$B$2:$B$3810,'Rec_raw_catch_effort_2010-2021'!$B1783,'FW_Salmon_by_Month_2010-2021'!$H$2:$H$3810,'Rec_raw_catch_effort_2010-2021'!$F1783,'FW_Salmon_by_Month_2010-2021'!$M$2:$M$3810,'Rec_raw_catch_effort_2010-2021'!$K1783)</f>
        <v>21.4528301886793</v>
      </c>
      <c r="R1783" s="109">
        <f>VLOOKUP(B1783,Readme!$A$62:$C$74,2,)*Q1783</f>
        <v>103.39309294295721</v>
      </c>
      <c r="S1783" s="140" t="str">
        <f t="shared" si="149"/>
        <v>Y</v>
      </c>
      <c r="T1783" s="154">
        <f t="shared" si="150"/>
        <v>8.6499999999999808</v>
      </c>
      <c r="U1783" s="154">
        <f t="shared" si="151"/>
        <v>4.8195549041132084</v>
      </c>
    </row>
    <row r="1784" spans="1:21" x14ac:dyDescent="0.35">
      <c r="A1784" s="108">
        <v>2036</v>
      </c>
      <c r="B1784" s="108">
        <v>2014</v>
      </c>
      <c r="C1784" s="108" t="s">
        <v>38</v>
      </c>
      <c r="D1784" s="108" t="s">
        <v>143</v>
      </c>
      <c r="E1784" s="108" t="s">
        <v>10</v>
      </c>
      <c r="F1784" s="116">
        <v>788</v>
      </c>
      <c r="G1784" s="108" t="s">
        <v>52</v>
      </c>
      <c r="H1784" s="108" t="str">
        <f t="shared" si="148"/>
        <v>Nooksack River</v>
      </c>
      <c r="I1784" s="108" t="str">
        <f>IFERROR(VLOOKUP(H1784,LUTs!$A$1:$C$73,2,FALSE),"NA")</f>
        <v>Whatcom</v>
      </c>
      <c r="J1784" s="108" t="str">
        <f>IFERROR(VLOOKUP(H1784,LUTs!$A$1:$C$73,3,FALSE),"NA")</f>
        <v>1North Puget Sound</v>
      </c>
      <c r="K1784" s="108" t="s">
        <v>13</v>
      </c>
      <c r="L1784" s="108" t="str">
        <f>VLOOKUP(K1784,LUTs!E$2:G$14,3,)</f>
        <v>01Whatcom</v>
      </c>
      <c r="M1784" s="108" t="str">
        <f>VLOOKUP($K1784,LUTs!$E$2:$H$14,2,)</f>
        <v>North Puget Sound</v>
      </c>
      <c r="N1784" s="108" t="str">
        <f>VLOOKUP($K1784,LUTs!$E$2:$H$14,4,)</f>
        <v>01North Puget Sound</v>
      </c>
      <c r="O1784" s="108">
        <v>1051.8571428571399</v>
      </c>
      <c r="P1784" s="108">
        <v>9098.5642857142593</v>
      </c>
      <c r="Q1784" s="108">
        <f>SUMIFS('FW_Salmon_by_Month_2010-2021'!P$2:P$3810,'FW_Salmon_by_Month_2010-2021'!$B$2:$B$3810,'Rec_raw_catch_effort_2010-2021'!$B1784,'FW_Salmon_by_Month_2010-2021'!$H$2:$H$3810,'Rec_raw_catch_effort_2010-2021'!$F1784,'FW_Salmon_by_Month_2010-2021'!$M$2:$M$3810,'Rec_raw_catch_effort_2010-2021'!$K1784)</f>
        <v>1050.9771297884511</v>
      </c>
      <c r="R1784" s="109">
        <f>VLOOKUP(B1784,Readme!$A$62:$C$74,2,)*Q1784</f>
        <v>5065.241979982753</v>
      </c>
      <c r="S1784" s="140" t="str">
        <f t="shared" si="149"/>
        <v>Y</v>
      </c>
      <c r="T1784" s="154">
        <f t="shared" si="150"/>
        <v>8.6499999999999986</v>
      </c>
      <c r="U1784" s="154">
        <f t="shared" si="151"/>
        <v>4.8195549041132084</v>
      </c>
    </row>
    <row r="1785" spans="1:21" x14ac:dyDescent="0.35">
      <c r="A1785" s="108">
        <v>2177</v>
      </c>
      <c r="B1785" s="108">
        <v>2015</v>
      </c>
      <c r="C1785" s="108" t="s">
        <v>38</v>
      </c>
      <c r="D1785" s="108" t="s">
        <v>143</v>
      </c>
      <c r="E1785" s="108" t="s">
        <v>10</v>
      </c>
      <c r="F1785" s="116">
        <v>788</v>
      </c>
      <c r="G1785" s="108" t="s">
        <v>52</v>
      </c>
      <c r="H1785" s="108" t="str">
        <f t="shared" si="148"/>
        <v>Nooksack River</v>
      </c>
      <c r="I1785" s="108" t="str">
        <f>IFERROR(VLOOKUP(H1785,LUTs!$A$1:$C$73,2,FALSE),"NA")</f>
        <v>Whatcom</v>
      </c>
      <c r="J1785" s="108" t="str">
        <f>IFERROR(VLOOKUP(H1785,LUTs!$A$1:$C$73,3,FALSE),"NA")</f>
        <v>1North Puget Sound</v>
      </c>
      <c r="K1785" s="108" t="s">
        <v>17</v>
      </c>
      <c r="L1785" s="108" t="str">
        <f>VLOOKUP(K1785,LUTs!E$2:G$14,3,)</f>
        <v>04Island</v>
      </c>
      <c r="M1785" s="108" t="str">
        <f>VLOOKUP($K1785,LUTs!$E$2:$H$14,2,)</f>
        <v>North Puget Sound</v>
      </c>
      <c r="N1785" s="108" t="str">
        <f>VLOOKUP($K1785,LUTs!$E$2:$H$14,4,)</f>
        <v>01North Puget Sound</v>
      </c>
      <c r="O1785" s="108">
        <v>87.338195077484102</v>
      </c>
      <c r="P1785" s="108">
        <v>300.44339106654502</v>
      </c>
      <c r="Q1785" s="108">
        <f>SUMIFS('FW_Salmon_by_Month_2010-2021'!P$2:P$3810,'FW_Salmon_by_Month_2010-2021'!$B$2:$B$3810,'Rec_raw_catch_effort_2010-2021'!$B1785,'FW_Salmon_by_Month_2010-2021'!$H$2:$H$3810,'Rec_raw_catch_effort_2010-2021'!$F1785,'FW_Salmon_by_Month_2010-2021'!$M$2:$M$3810,'Rec_raw_catch_effort_2010-2021'!$K1785)</f>
        <v>87.75</v>
      </c>
      <c r="R1785" s="109">
        <f>VLOOKUP(B1785,Readme!$A$62:$C$74,2,)*Q1785</f>
        <v>310.55079859090694</v>
      </c>
      <c r="S1785" s="140" t="str">
        <f t="shared" si="149"/>
        <v>Y</v>
      </c>
      <c r="T1785" s="154">
        <f t="shared" si="150"/>
        <v>3.4399999999999968</v>
      </c>
      <c r="U1785" s="154">
        <f t="shared" si="151"/>
        <v>3.5390404397824153</v>
      </c>
    </row>
    <row r="1786" spans="1:21" x14ac:dyDescent="0.35">
      <c r="A1786" s="108">
        <v>2178</v>
      </c>
      <c r="B1786" s="108">
        <v>2015</v>
      </c>
      <c r="C1786" s="108" t="s">
        <v>38</v>
      </c>
      <c r="D1786" s="108" t="s">
        <v>143</v>
      </c>
      <c r="E1786" s="108" t="s">
        <v>10</v>
      </c>
      <c r="F1786" s="116">
        <v>788</v>
      </c>
      <c r="G1786" s="108" t="s">
        <v>52</v>
      </c>
      <c r="H1786" s="108" t="str">
        <f t="shared" si="148"/>
        <v>Nooksack River</v>
      </c>
      <c r="I1786" s="108" t="str">
        <f>IFERROR(VLOOKUP(H1786,LUTs!$A$1:$C$73,2,FALSE),"NA")</f>
        <v>Whatcom</v>
      </c>
      <c r="J1786" s="108" t="str">
        <f>IFERROR(VLOOKUP(H1786,LUTs!$A$1:$C$73,3,FALSE),"NA")</f>
        <v>1North Puget Sound</v>
      </c>
      <c r="K1786" s="108" t="s">
        <v>18</v>
      </c>
      <c r="L1786" s="108" t="str">
        <f>VLOOKUP(K1786,LUTs!E$2:G$14,3,)</f>
        <v>06King</v>
      </c>
      <c r="M1786" s="108" t="str">
        <f>VLOOKUP($K1786,LUTs!$E$2:$H$14,2,)</f>
        <v>South Puget Sound</v>
      </c>
      <c r="N1786" s="108" t="str">
        <f>VLOOKUP($K1786,LUTs!$E$2:$H$14,4,)</f>
        <v>02South Puget Sound</v>
      </c>
      <c r="O1786" s="108">
        <v>17.4676390154968</v>
      </c>
      <c r="P1786" s="108">
        <v>60.088678213309002</v>
      </c>
      <c r="Q1786" s="108">
        <f>SUMIFS('FW_Salmon_by_Month_2010-2021'!P$2:P$3810,'FW_Salmon_by_Month_2010-2021'!$B$2:$B$3810,'Rec_raw_catch_effort_2010-2021'!$B1786,'FW_Salmon_by_Month_2010-2021'!$H$2:$H$3810,'Rec_raw_catch_effort_2010-2021'!$F1786,'FW_Salmon_by_Month_2010-2021'!$M$2:$M$3810,'Rec_raw_catch_effort_2010-2021'!$K1786)</f>
        <v>17.616666666666699</v>
      </c>
      <c r="R1786" s="109">
        <f>VLOOKUP(B1786,Readme!$A$62:$C$74,2,)*Q1786</f>
        <v>62.346095747500328</v>
      </c>
      <c r="S1786" s="140" t="str">
        <f t="shared" si="149"/>
        <v>Y</v>
      </c>
      <c r="T1786" s="154">
        <f t="shared" si="150"/>
        <v>3.4400000000000004</v>
      </c>
      <c r="U1786" s="154">
        <f t="shared" si="151"/>
        <v>3.5390404397824153</v>
      </c>
    </row>
    <row r="1787" spans="1:21" x14ac:dyDescent="0.35">
      <c r="A1787" s="108">
        <v>2181</v>
      </c>
      <c r="B1787" s="108">
        <v>2015</v>
      </c>
      <c r="C1787" s="108" t="s">
        <v>38</v>
      </c>
      <c r="D1787" s="108" t="s">
        <v>143</v>
      </c>
      <c r="E1787" s="108" t="s">
        <v>10</v>
      </c>
      <c r="F1787" s="116">
        <v>788</v>
      </c>
      <c r="G1787" s="108" t="s">
        <v>52</v>
      </c>
      <c r="H1787" s="108" t="str">
        <f t="shared" si="148"/>
        <v>Nooksack River</v>
      </c>
      <c r="I1787" s="108" t="str">
        <f>IFERROR(VLOOKUP(H1787,LUTs!$A$1:$C$73,2,FALSE),"NA")</f>
        <v>Whatcom</v>
      </c>
      <c r="J1787" s="108" t="str">
        <f>IFERROR(VLOOKUP(H1787,LUTs!$A$1:$C$73,3,FALSE),"NA")</f>
        <v>1North Puget Sound</v>
      </c>
      <c r="K1787" s="108" t="s">
        <v>26</v>
      </c>
      <c r="L1787" s="108" t="str">
        <f>VLOOKUP(K1787,LUTs!E$2:G$14,3,)</f>
        <v>20Other</v>
      </c>
      <c r="M1787" s="108" t="str">
        <f>VLOOKUP($K1787,LUTs!$E$2:$H$14,2,)</f>
        <v>Non Puget Sound</v>
      </c>
      <c r="N1787" s="108" t="str">
        <f>VLOOKUP($K1787,LUTs!$E$2:$H$14,4,)</f>
        <v>07Non Puget Sound</v>
      </c>
      <c r="O1787" s="108">
        <v>253.280765724704</v>
      </c>
      <c r="P1787" s="108">
        <v>871.28583409298199</v>
      </c>
      <c r="Q1787" s="108">
        <f>SUMIFS('FW_Salmon_by_Month_2010-2021'!P$2:P$3810,'FW_Salmon_by_Month_2010-2021'!$B$2:$B$3810,'Rec_raw_catch_effort_2010-2021'!$B1787,'FW_Salmon_by_Month_2010-2021'!$H$2:$H$3810,'Rec_raw_catch_effort_2010-2021'!$F1787,'FW_Salmon_by_Month_2010-2021'!$M$2:$M$3810,'Rec_raw_catch_effort_2010-2021'!$K1787)</f>
        <v>247.67465051258156</v>
      </c>
      <c r="R1787" s="109">
        <f>VLOOKUP(B1787,Readme!$A$62:$C$74,2,)*Q1787</f>
        <v>876.53060407300268</v>
      </c>
      <c r="S1787" s="140" t="str">
        <f t="shared" si="149"/>
        <v>Y</v>
      </c>
      <c r="T1787" s="154">
        <f t="shared" si="150"/>
        <v>3.4400000000000008</v>
      </c>
      <c r="U1787" s="154">
        <f t="shared" si="151"/>
        <v>3.5390404397824153</v>
      </c>
    </row>
    <row r="1788" spans="1:21" x14ac:dyDescent="0.35">
      <c r="A1788" s="108">
        <v>2179</v>
      </c>
      <c r="B1788" s="108">
        <v>2015</v>
      </c>
      <c r="C1788" s="108" t="s">
        <v>38</v>
      </c>
      <c r="D1788" s="108" t="s">
        <v>143</v>
      </c>
      <c r="E1788" s="108" t="s">
        <v>10</v>
      </c>
      <c r="F1788" s="116">
        <v>788</v>
      </c>
      <c r="G1788" s="108" t="s">
        <v>52</v>
      </c>
      <c r="H1788" s="108" t="str">
        <f t="shared" si="148"/>
        <v>Nooksack River</v>
      </c>
      <c r="I1788" s="108" t="str">
        <f>IFERROR(VLOOKUP(H1788,LUTs!$A$1:$C$73,2,FALSE),"NA")</f>
        <v>Whatcom</v>
      </c>
      <c r="J1788" s="108" t="str">
        <f>IFERROR(VLOOKUP(H1788,LUTs!$A$1:$C$73,3,FALSE),"NA")</f>
        <v>1North Puget Sound</v>
      </c>
      <c r="K1788" s="108" t="s">
        <v>20</v>
      </c>
      <c r="L1788" s="108" t="str">
        <f>VLOOKUP(K1788,LUTs!E$2:G$14,3,)</f>
        <v>07Pierce</v>
      </c>
      <c r="M1788" s="108" t="str">
        <f>VLOOKUP($K1788,LUTs!$E$2:$H$14,2,)</f>
        <v>South Puget Sound</v>
      </c>
      <c r="N1788" s="108" t="str">
        <f>VLOOKUP($K1788,LUTs!$E$2:$H$14,4,)</f>
        <v>02South Puget Sound</v>
      </c>
      <c r="O1788" s="108">
        <v>34.935278030993601</v>
      </c>
      <c r="P1788" s="108">
        <v>120.177356426618</v>
      </c>
      <c r="Q1788" s="108">
        <f>SUMIFS('FW_Salmon_by_Month_2010-2021'!P$2:P$3810,'FW_Salmon_by_Month_2010-2021'!$B$2:$B$3810,'Rec_raw_catch_effort_2010-2021'!$B1788,'FW_Salmon_by_Month_2010-2021'!$H$2:$H$3810,'Rec_raw_catch_effort_2010-2021'!$F1788,'FW_Salmon_by_Month_2010-2021'!$M$2:$M$3810,'Rec_raw_catch_effort_2010-2021'!$K1788)</f>
        <v>35.407758620689663</v>
      </c>
      <c r="R1788" s="109">
        <f>VLOOKUP(B1788,Readme!$A$62:$C$74,2,)*Q1788</f>
        <v>125.30948964067515</v>
      </c>
      <c r="S1788" s="140" t="str">
        <f t="shared" si="149"/>
        <v>Y</v>
      </c>
      <c r="T1788" s="154">
        <f t="shared" si="150"/>
        <v>3.4400000000000004</v>
      </c>
      <c r="U1788" s="154">
        <f t="shared" si="151"/>
        <v>3.5390404397824153</v>
      </c>
    </row>
    <row r="1789" spans="1:21" x14ac:dyDescent="0.35">
      <c r="A1789" s="108">
        <v>2175</v>
      </c>
      <c r="B1789" s="108">
        <v>2015</v>
      </c>
      <c r="C1789" s="108" t="s">
        <v>38</v>
      </c>
      <c r="D1789" s="108" t="s">
        <v>143</v>
      </c>
      <c r="E1789" s="108" t="s">
        <v>10</v>
      </c>
      <c r="F1789" s="116">
        <v>788</v>
      </c>
      <c r="G1789" s="108" t="s">
        <v>52</v>
      </c>
      <c r="H1789" s="108" t="str">
        <f t="shared" si="148"/>
        <v>Nooksack River</v>
      </c>
      <c r="I1789" s="108" t="str">
        <f>IFERROR(VLOOKUP(H1789,LUTs!$A$1:$C$73,2,FALSE),"NA")</f>
        <v>Whatcom</v>
      </c>
      <c r="J1789" s="108" t="str">
        <f>IFERROR(VLOOKUP(H1789,LUTs!$A$1:$C$73,3,FALSE),"NA")</f>
        <v>1North Puget Sound</v>
      </c>
      <c r="K1789" s="108" t="s">
        <v>15</v>
      </c>
      <c r="L1789" s="108" t="str">
        <f>VLOOKUP(K1789,LUTs!E$2:G$14,3,)</f>
        <v>02Skagit</v>
      </c>
      <c r="M1789" s="108" t="str">
        <f>VLOOKUP($K1789,LUTs!$E$2:$H$14,2,)</f>
        <v>North Puget Sound</v>
      </c>
      <c r="N1789" s="108" t="str">
        <f>VLOOKUP($K1789,LUTs!$E$2:$H$14,4,)</f>
        <v>01North Puget Sound</v>
      </c>
      <c r="O1789" s="108">
        <v>148.474931631723</v>
      </c>
      <c r="P1789" s="108">
        <v>510.75376481312702</v>
      </c>
      <c r="Q1789" s="108">
        <f>SUMIFS('FW_Salmon_by_Month_2010-2021'!P$2:P$3810,'FW_Salmon_by_Month_2010-2021'!$B$2:$B$3810,'Rec_raw_catch_effort_2010-2021'!$B1789,'FW_Salmon_by_Month_2010-2021'!$H$2:$H$3810,'Rec_raw_catch_effort_2010-2021'!$F1789,'FW_Salmon_by_Month_2010-2021'!$M$2:$M$3810,'Rec_raw_catch_effort_2010-2021'!$K1789)</f>
        <v>153.24527027027</v>
      </c>
      <c r="R1789" s="109">
        <f>VLOOKUP(B1789,Readme!$A$62:$C$74,2,)*Q1789</f>
        <v>542.34120869187143</v>
      </c>
      <c r="S1789" s="140" t="str">
        <f t="shared" si="149"/>
        <v>Y</v>
      </c>
      <c r="T1789" s="154">
        <f t="shared" si="150"/>
        <v>3.4399999999999995</v>
      </c>
      <c r="U1789" s="154">
        <f t="shared" si="151"/>
        <v>3.5390404397824153</v>
      </c>
    </row>
    <row r="1790" spans="1:21" x14ac:dyDescent="0.35">
      <c r="A1790" s="108">
        <v>2176</v>
      </c>
      <c r="B1790" s="108">
        <v>2015</v>
      </c>
      <c r="C1790" s="108" t="s">
        <v>38</v>
      </c>
      <c r="D1790" s="108" t="s">
        <v>143</v>
      </c>
      <c r="E1790" s="108" t="s">
        <v>10</v>
      </c>
      <c r="F1790" s="116">
        <v>788</v>
      </c>
      <c r="G1790" s="108" t="s">
        <v>52</v>
      </c>
      <c r="H1790" s="108" t="str">
        <f t="shared" si="148"/>
        <v>Nooksack River</v>
      </c>
      <c r="I1790" s="108" t="str">
        <f>IFERROR(VLOOKUP(H1790,LUTs!$A$1:$C$73,2,FALSE),"NA")</f>
        <v>Whatcom</v>
      </c>
      <c r="J1790" s="108" t="str">
        <f>IFERROR(VLOOKUP(H1790,LUTs!$A$1:$C$73,3,FALSE),"NA")</f>
        <v>1North Puget Sound</v>
      </c>
      <c r="K1790" s="108" t="s">
        <v>16</v>
      </c>
      <c r="L1790" s="108" t="str">
        <f>VLOOKUP(K1790,LUTs!E$2:G$14,3,)</f>
        <v>03Snohomish</v>
      </c>
      <c r="M1790" s="108" t="str">
        <f>VLOOKUP($K1790,LUTs!$E$2:$H$14,2,)</f>
        <v>North Puget Sound</v>
      </c>
      <c r="N1790" s="108" t="str">
        <f>VLOOKUP($K1790,LUTs!$E$2:$H$14,4,)</f>
        <v>01North Puget Sound</v>
      </c>
      <c r="O1790" s="108">
        <v>17.4676390154968</v>
      </c>
      <c r="P1790" s="108">
        <v>60.088678213309002</v>
      </c>
      <c r="Q1790" s="108">
        <f>SUMIFS('FW_Salmon_by_Month_2010-2021'!P$2:P$3810,'FW_Salmon_by_Month_2010-2021'!$B$2:$B$3810,'Rec_raw_catch_effort_2010-2021'!$B1790,'FW_Salmon_by_Month_2010-2021'!$H$2:$H$3810,'Rec_raw_catch_effort_2010-2021'!$F1790,'FW_Salmon_by_Month_2010-2021'!$M$2:$M$3810,'Rec_raw_catch_effort_2010-2021'!$K1790)</f>
        <v>18.080055917986961</v>
      </c>
      <c r="R1790" s="109">
        <f>VLOOKUP(B1790,Readme!$A$62:$C$74,2,)*Q1790</f>
        <v>63.986049047283238</v>
      </c>
      <c r="S1790" s="140" t="str">
        <f t="shared" si="149"/>
        <v>Y</v>
      </c>
      <c r="T1790" s="154">
        <f t="shared" si="150"/>
        <v>3.4400000000000004</v>
      </c>
      <c r="U1790" s="154">
        <f t="shared" si="151"/>
        <v>3.5390404397824153</v>
      </c>
    </row>
    <row r="1791" spans="1:21" x14ac:dyDescent="0.35">
      <c r="A1791" s="108">
        <v>2180</v>
      </c>
      <c r="B1791" s="108">
        <v>2015</v>
      </c>
      <c r="C1791" s="108" t="s">
        <v>38</v>
      </c>
      <c r="D1791" s="108" t="s">
        <v>143</v>
      </c>
      <c r="E1791" s="108" t="s">
        <v>10</v>
      </c>
      <c r="F1791" s="116">
        <v>788</v>
      </c>
      <c r="G1791" s="108" t="s">
        <v>52</v>
      </c>
      <c r="H1791" s="108" t="str">
        <f t="shared" si="148"/>
        <v>Nooksack River</v>
      </c>
      <c r="I1791" s="108" t="str">
        <f>IFERROR(VLOOKUP(H1791,LUTs!$A$1:$C$73,2,FALSE),"NA")</f>
        <v>Whatcom</v>
      </c>
      <c r="J1791" s="108" t="str">
        <f>IFERROR(VLOOKUP(H1791,LUTs!$A$1:$C$73,3,FALSE),"NA")</f>
        <v>1North Puget Sound</v>
      </c>
      <c r="K1791" s="108" t="s">
        <v>21</v>
      </c>
      <c r="L1791" s="108" t="str">
        <f>VLOOKUP(K1791,LUTs!E$2:G$14,3,)</f>
        <v>08Thurston</v>
      </c>
      <c r="M1791" s="108" t="str">
        <f>VLOOKUP($K1791,LUTs!$E$2:$H$14,2,)</f>
        <v>South Puget Sound</v>
      </c>
      <c r="N1791" s="108" t="str">
        <f>VLOOKUP($K1791,LUTs!$E$2:$H$14,4,)</f>
        <v>02South Puget Sound</v>
      </c>
      <c r="O1791" s="108">
        <v>8.7338195077484109</v>
      </c>
      <c r="P1791" s="108">
        <v>30.044339106654501</v>
      </c>
      <c r="Q1791" s="108">
        <f>SUMIFS('FW_Salmon_by_Month_2010-2021'!P$2:P$3810,'FW_Salmon_by_Month_2010-2021'!$B$2:$B$3810,'Rec_raw_catch_effort_2010-2021'!$B1791,'FW_Salmon_by_Month_2010-2021'!$H$2:$H$3810,'Rec_raw_catch_effort_2010-2021'!$F1791,'FW_Salmon_by_Month_2010-2021'!$M$2:$M$3810,'Rec_raw_catch_effort_2010-2021'!$K1791)</f>
        <v>9.0972972972973007</v>
      </c>
      <c r="R1791" s="109">
        <f>VLOOKUP(B1791,Readme!$A$62:$C$74,2,)*Q1791</f>
        <v>32.195703027858414</v>
      </c>
      <c r="S1791" s="140" t="str">
        <f t="shared" si="149"/>
        <v>Y</v>
      </c>
      <c r="T1791" s="154">
        <f t="shared" si="150"/>
        <v>3.4399999999999964</v>
      </c>
      <c r="U1791" s="154">
        <f t="shared" si="151"/>
        <v>3.5390404397824149</v>
      </c>
    </row>
    <row r="1792" spans="1:21" x14ac:dyDescent="0.35">
      <c r="A1792" s="108">
        <v>2174</v>
      </c>
      <c r="B1792" s="108">
        <v>2015</v>
      </c>
      <c r="C1792" s="108" t="s">
        <v>38</v>
      </c>
      <c r="D1792" s="108" t="s">
        <v>143</v>
      </c>
      <c r="E1792" s="108" t="s">
        <v>10</v>
      </c>
      <c r="F1792" s="116">
        <v>788</v>
      </c>
      <c r="G1792" s="108" t="s">
        <v>52</v>
      </c>
      <c r="H1792" s="108" t="str">
        <f t="shared" si="148"/>
        <v>Nooksack River</v>
      </c>
      <c r="I1792" s="108" t="str">
        <f>IFERROR(VLOOKUP(H1792,LUTs!$A$1:$C$73,2,FALSE),"NA")</f>
        <v>Whatcom</v>
      </c>
      <c r="J1792" s="108" t="str">
        <f>IFERROR(VLOOKUP(H1792,LUTs!$A$1:$C$73,3,FALSE),"NA")</f>
        <v>1North Puget Sound</v>
      </c>
      <c r="K1792" s="108" t="s">
        <v>13</v>
      </c>
      <c r="L1792" s="108" t="str">
        <f>VLOOKUP(K1792,LUTs!E$2:G$14,3,)</f>
        <v>01Whatcom</v>
      </c>
      <c r="M1792" s="108" t="str">
        <f>VLOOKUP($K1792,LUTs!$E$2:$H$14,2,)</f>
        <v>North Puget Sound</v>
      </c>
      <c r="N1792" s="108" t="str">
        <f>VLOOKUP($K1792,LUTs!$E$2:$H$14,4,)</f>
        <v>01North Puget Sound</v>
      </c>
      <c r="O1792" s="108">
        <v>9013.3017319963601</v>
      </c>
      <c r="P1792" s="108">
        <v>31005.757958067501</v>
      </c>
      <c r="Q1792" s="108">
        <f>SUMIFS('FW_Salmon_by_Month_2010-2021'!P$2:P$3810,'FW_Salmon_by_Month_2010-2021'!$B$2:$B$3810,'Rec_raw_catch_effort_2010-2021'!$B1792,'FW_Salmon_by_Month_2010-2021'!$H$2:$H$3810,'Rec_raw_catch_effort_2010-2021'!$F1792,'FW_Salmon_by_Month_2010-2021'!$M$2:$M$3810,'Rec_raw_catch_effort_2010-2021'!$K1792)</f>
        <v>9012.1283007144993</v>
      </c>
      <c r="R1792" s="109">
        <f>VLOOKUP(B1792,Readme!$A$62:$C$74,2,)*Q1792</f>
        <v>31894.286504736192</v>
      </c>
      <c r="S1792" s="140" t="str">
        <f t="shared" si="149"/>
        <v>Y</v>
      </c>
      <c r="T1792" s="154">
        <f t="shared" si="150"/>
        <v>3.4400000000000026</v>
      </c>
      <c r="U1792" s="154">
        <f t="shared" si="151"/>
        <v>3.5390404397824153</v>
      </c>
    </row>
    <row r="1793" spans="1:21" x14ac:dyDescent="0.35">
      <c r="A1793" s="108">
        <v>2304</v>
      </c>
      <c r="B1793" s="108">
        <v>2016</v>
      </c>
      <c r="C1793" s="108" t="s">
        <v>38</v>
      </c>
      <c r="D1793" s="108" t="s">
        <v>143</v>
      </c>
      <c r="E1793" s="108" t="s">
        <v>10</v>
      </c>
      <c r="F1793" s="116">
        <v>788</v>
      </c>
      <c r="G1793" s="108" t="s">
        <v>52</v>
      </c>
      <c r="H1793" s="108" t="str">
        <f t="shared" si="148"/>
        <v>Nooksack River</v>
      </c>
      <c r="I1793" s="108" t="str">
        <f>IFERROR(VLOOKUP(H1793,LUTs!$A$1:$C$73,2,FALSE),"NA")</f>
        <v>Whatcom</v>
      </c>
      <c r="J1793" s="108" t="str">
        <f>IFERROR(VLOOKUP(H1793,LUTs!$A$1:$C$73,3,FALSE),"NA")</f>
        <v>1North Puget Sound</v>
      </c>
      <c r="K1793" s="108" t="s">
        <v>17</v>
      </c>
      <c r="L1793" s="108" t="str">
        <f>VLOOKUP(K1793,LUTs!E$2:G$14,3,)</f>
        <v>04Island</v>
      </c>
      <c r="M1793" s="108" t="str">
        <f>VLOOKUP($K1793,LUTs!$E$2:$H$14,2,)</f>
        <v>North Puget Sound</v>
      </c>
      <c r="N1793" s="108" t="str">
        <f>VLOOKUP($K1793,LUTs!$E$2:$H$14,4,)</f>
        <v>01North Puget Sound</v>
      </c>
      <c r="O1793" s="108">
        <v>39.476190476190503</v>
      </c>
      <c r="P1793" s="108">
        <v>341.46904761904801</v>
      </c>
      <c r="Q1793" s="108">
        <f>SUMIFS('FW_Salmon_by_Month_2010-2021'!P$2:P$3810,'FW_Salmon_by_Month_2010-2021'!$B$2:$B$3810,'Rec_raw_catch_effort_2010-2021'!$B1793,'FW_Salmon_by_Month_2010-2021'!$H$2:$H$3810,'Rec_raw_catch_effort_2010-2021'!$F1793,'FW_Salmon_by_Month_2010-2021'!$M$2:$M$3810,'Rec_raw_catch_effort_2010-2021'!$K1793)</f>
        <v>38.580645161290299</v>
      </c>
      <c r="R1793" s="109">
        <f>VLOOKUP(B1793,Readme!$A$62:$C$74,2,)*Q1793</f>
        <v>185.94153759094817</v>
      </c>
      <c r="S1793" s="140" t="str">
        <f t="shared" si="149"/>
        <v>Y</v>
      </c>
      <c r="T1793" s="154">
        <f t="shared" si="150"/>
        <v>8.6500000000000039</v>
      </c>
      <c r="U1793" s="154">
        <f t="shared" si="151"/>
        <v>4.8195549041132084</v>
      </c>
    </row>
    <row r="1794" spans="1:21" x14ac:dyDescent="0.35">
      <c r="A1794" s="108">
        <v>2402</v>
      </c>
      <c r="B1794" s="108">
        <v>2016</v>
      </c>
      <c r="C1794" s="108" t="s">
        <v>38</v>
      </c>
      <c r="D1794" s="108" t="s">
        <v>143</v>
      </c>
      <c r="E1794" s="108" t="s">
        <v>10</v>
      </c>
      <c r="F1794" s="116">
        <v>788</v>
      </c>
      <c r="G1794" s="108" t="s">
        <v>52</v>
      </c>
      <c r="H1794" s="108" t="str">
        <f t="shared" ref="H1794:H1816" si="152">G1794</f>
        <v>Nooksack River</v>
      </c>
      <c r="I1794" s="108" t="str">
        <f>IFERROR(VLOOKUP(H1794,LUTs!$A$1:$C$73,2,FALSE),"NA")</f>
        <v>Whatcom</v>
      </c>
      <c r="J1794" s="108" t="str">
        <f>IFERROR(VLOOKUP(H1794,LUTs!$A$1:$C$73,3,FALSE),"NA")</f>
        <v>1North Puget Sound</v>
      </c>
      <c r="K1794" s="108" t="s">
        <v>18</v>
      </c>
      <c r="L1794" s="108" t="str">
        <f>VLOOKUP(K1794,LUTs!E$2:G$14,3,)</f>
        <v>06King</v>
      </c>
      <c r="M1794" s="108" t="str">
        <f>VLOOKUP($K1794,LUTs!$E$2:$H$14,2,)</f>
        <v>South Puget Sound</v>
      </c>
      <c r="N1794" s="108" t="str">
        <f>VLOOKUP($K1794,LUTs!$E$2:$H$14,4,)</f>
        <v>02South Puget Sound</v>
      </c>
      <c r="O1794" s="108">
        <v>29.6071428571429</v>
      </c>
      <c r="P1794" s="108">
        <v>256.101785714286</v>
      </c>
      <c r="Q1794" s="108">
        <f>SUMIFS('FW_Salmon_by_Month_2010-2021'!P$2:P$3810,'FW_Salmon_by_Month_2010-2021'!$B$2:$B$3810,'Rec_raw_catch_effort_2010-2021'!$B1794,'FW_Salmon_by_Month_2010-2021'!$H$2:$H$3810,'Rec_raw_catch_effort_2010-2021'!$F1794,'FW_Salmon_by_Month_2010-2021'!$M$2:$M$3810,'Rec_raw_catch_effort_2010-2021'!$K1794)</f>
        <v>30.411534701857299</v>
      </c>
      <c r="R1794" s="109">
        <f>VLOOKUP(B1794,Readme!$A$62:$C$74,2,)*Q1794</f>
        <v>146.57006121394537</v>
      </c>
      <c r="S1794" s="140" t="str">
        <f t="shared" si="149"/>
        <v>Y</v>
      </c>
      <c r="T1794" s="154">
        <f t="shared" si="150"/>
        <v>8.6499999999999968</v>
      </c>
      <c r="U1794" s="154">
        <f t="shared" si="151"/>
        <v>4.8195549041132084</v>
      </c>
    </row>
    <row r="1795" spans="1:21" x14ac:dyDescent="0.35">
      <c r="A1795" s="108">
        <v>2403</v>
      </c>
      <c r="B1795" s="108">
        <v>2016</v>
      </c>
      <c r="C1795" s="108" t="s">
        <v>38</v>
      </c>
      <c r="D1795" s="108" t="s">
        <v>143</v>
      </c>
      <c r="E1795" s="108" t="s">
        <v>10</v>
      </c>
      <c r="F1795" s="116">
        <v>788</v>
      </c>
      <c r="G1795" s="108" t="s">
        <v>52</v>
      </c>
      <c r="H1795" s="108" t="str">
        <f t="shared" si="152"/>
        <v>Nooksack River</v>
      </c>
      <c r="I1795" s="108" t="str">
        <f>IFERROR(VLOOKUP(H1795,LUTs!$A$1:$C$73,2,FALSE),"NA")</f>
        <v>Whatcom</v>
      </c>
      <c r="J1795" s="108" t="str">
        <f>IFERROR(VLOOKUP(H1795,LUTs!$A$1:$C$73,3,FALSE),"NA")</f>
        <v>1North Puget Sound</v>
      </c>
      <c r="K1795" s="108" t="s">
        <v>20</v>
      </c>
      <c r="L1795" s="108" t="str">
        <f>VLOOKUP(K1795,LUTs!E$2:G$14,3,)</f>
        <v>07Pierce</v>
      </c>
      <c r="M1795" s="108" t="str">
        <f>VLOOKUP($K1795,LUTs!$E$2:$H$14,2,)</f>
        <v>South Puget Sound</v>
      </c>
      <c r="N1795" s="108" t="str">
        <f>VLOOKUP($K1795,LUTs!$E$2:$H$14,4,)</f>
        <v>02South Puget Sound</v>
      </c>
      <c r="O1795" s="108">
        <v>39.476190476190503</v>
      </c>
      <c r="P1795" s="108">
        <v>341.46904761904801</v>
      </c>
      <c r="Q1795" s="108">
        <f>SUMIFS('FW_Salmon_by_Month_2010-2021'!P$2:P$3810,'FW_Salmon_by_Month_2010-2021'!$B$2:$B$3810,'Rec_raw_catch_effort_2010-2021'!$B1795,'FW_Salmon_by_Month_2010-2021'!$H$2:$H$3810,'Rec_raw_catch_effort_2010-2021'!$F1795,'FW_Salmon_by_Month_2010-2021'!$M$2:$M$3810,'Rec_raw_catch_effort_2010-2021'!$K1795)</f>
        <v>38.200000000000003</v>
      </c>
      <c r="R1795" s="109">
        <f>VLOOKUP(B1795,Readme!$A$62:$C$74,2,)*Q1795</f>
        <v>184.10699733712457</v>
      </c>
      <c r="S1795" s="140" t="str">
        <f t="shared" ref="S1795:S1858" si="153">IF(B1795&lt;=2019,"Y","N")</f>
        <v>Y</v>
      </c>
      <c r="T1795" s="154">
        <f t="shared" ref="T1795:T1858" si="154">IFERROR(P1795/O1795,"NA")</f>
        <v>8.6500000000000039</v>
      </c>
      <c r="U1795" s="154">
        <f t="shared" ref="U1795:U1858" si="155">IFERROR(R1795/Q1795,"NA")</f>
        <v>4.8195549041132084</v>
      </c>
    </row>
    <row r="1796" spans="1:21" x14ac:dyDescent="0.35">
      <c r="A1796" s="108">
        <v>2303</v>
      </c>
      <c r="B1796" s="108">
        <v>2016</v>
      </c>
      <c r="C1796" s="108" t="s">
        <v>38</v>
      </c>
      <c r="D1796" s="108" t="s">
        <v>143</v>
      </c>
      <c r="E1796" s="108" t="s">
        <v>10</v>
      </c>
      <c r="F1796" s="116">
        <v>788</v>
      </c>
      <c r="G1796" s="108" t="s">
        <v>52</v>
      </c>
      <c r="H1796" s="108" t="str">
        <f t="shared" si="152"/>
        <v>Nooksack River</v>
      </c>
      <c r="I1796" s="108" t="str">
        <f>IFERROR(VLOOKUP(H1796,LUTs!$A$1:$C$73,2,FALSE),"NA")</f>
        <v>Whatcom</v>
      </c>
      <c r="J1796" s="108" t="str">
        <f>IFERROR(VLOOKUP(H1796,LUTs!$A$1:$C$73,3,FALSE),"NA")</f>
        <v>1North Puget Sound</v>
      </c>
      <c r="K1796" s="108" t="s">
        <v>15</v>
      </c>
      <c r="L1796" s="108" t="str">
        <f>VLOOKUP(K1796,LUTs!E$2:G$14,3,)</f>
        <v>02Skagit</v>
      </c>
      <c r="M1796" s="108" t="str">
        <f>VLOOKUP($K1796,LUTs!$E$2:$H$14,2,)</f>
        <v>North Puget Sound</v>
      </c>
      <c r="N1796" s="108" t="str">
        <f>VLOOKUP($K1796,LUTs!$E$2:$H$14,4,)</f>
        <v>01North Puget Sound</v>
      </c>
      <c r="O1796" s="108">
        <v>39.476190476190503</v>
      </c>
      <c r="P1796" s="108">
        <v>341.46904761904801</v>
      </c>
      <c r="Q1796" s="108">
        <f>SUMIFS('FW_Salmon_by_Month_2010-2021'!P$2:P$3810,'FW_Salmon_by_Month_2010-2021'!$B$2:$B$3810,'Rec_raw_catch_effort_2010-2021'!$B1796,'FW_Salmon_by_Month_2010-2021'!$H$2:$H$3810,'Rec_raw_catch_effort_2010-2021'!$F1796,'FW_Salmon_by_Month_2010-2021'!$M$2:$M$3810,'Rec_raw_catch_effort_2010-2021'!$K1796)</f>
        <v>41.532746823069402</v>
      </c>
      <c r="R1796" s="109">
        <f>VLOOKUP(B1796,Readme!$A$62:$C$74,2,)*Q1796</f>
        <v>200.1693536324164</v>
      </c>
      <c r="S1796" s="140" t="str">
        <f t="shared" si="153"/>
        <v>Y</v>
      </c>
      <c r="T1796" s="154">
        <f t="shared" si="154"/>
        <v>8.6500000000000039</v>
      </c>
      <c r="U1796" s="154">
        <f t="shared" si="155"/>
        <v>4.8195549041132084</v>
      </c>
    </row>
    <row r="1797" spans="1:21" x14ac:dyDescent="0.35">
      <c r="A1797" s="108">
        <v>2302</v>
      </c>
      <c r="B1797" s="108">
        <v>2016</v>
      </c>
      <c r="C1797" s="108" t="s">
        <v>38</v>
      </c>
      <c r="D1797" s="108" t="s">
        <v>143</v>
      </c>
      <c r="E1797" s="108" t="s">
        <v>10</v>
      </c>
      <c r="F1797" s="116">
        <v>788</v>
      </c>
      <c r="G1797" s="108" t="s">
        <v>52</v>
      </c>
      <c r="H1797" s="108" t="str">
        <f t="shared" si="152"/>
        <v>Nooksack River</v>
      </c>
      <c r="I1797" s="108" t="str">
        <f>IFERROR(VLOOKUP(H1797,LUTs!$A$1:$C$73,2,FALSE),"NA")</f>
        <v>Whatcom</v>
      </c>
      <c r="J1797" s="108" t="str">
        <f>IFERROR(VLOOKUP(H1797,LUTs!$A$1:$C$73,3,FALSE),"NA")</f>
        <v>1North Puget Sound</v>
      </c>
      <c r="K1797" s="108" t="s">
        <v>13</v>
      </c>
      <c r="L1797" s="108" t="str">
        <f>VLOOKUP(K1797,LUTs!E$2:G$14,3,)</f>
        <v>01Whatcom</v>
      </c>
      <c r="M1797" s="108" t="str">
        <f>VLOOKUP($K1797,LUTs!$E$2:$H$14,2,)</f>
        <v>North Puget Sound</v>
      </c>
      <c r="N1797" s="108" t="str">
        <f>VLOOKUP($K1797,LUTs!$E$2:$H$14,4,)</f>
        <v>01North Puget Sound</v>
      </c>
      <c r="O1797" s="108">
        <v>680.96428571428601</v>
      </c>
      <c r="P1797" s="108">
        <v>5890.3410714285701</v>
      </c>
      <c r="Q1797" s="108">
        <f>SUMIFS('FW_Salmon_by_Month_2010-2021'!P$2:P$3810,'FW_Salmon_by_Month_2010-2021'!$B$2:$B$3810,'Rec_raw_catch_effort_2010-2021'!$B1797,'FW_Salmon_by_Month_2010-2021'!$H$2:$H$3810,'Rec_raw_catch_effort_2010-2021'!$F1797,'FW_Salmon_by_Month_2010-2021'!$M$2:$M$3810,'Rec_raw_catch_effort_2010-2021'!$K1797)</f>
        <v>680.27507331378297</v>
      </c>
      <c r="R1797" s="109">
        <f>VLOOKUP(B1797,Readme!$A$62:$C$74,2,)*Q1797</f>
        <v>3278.6230657354149</v>
      </c>
      <c r="S1797" s="140" t="str">
        <f t="shared" si="153"/>
        <v>Y</v>
      </c>
      <c r="T1797" s="154">
        <f t="shared" si="154"/>
        <v>8.649999999999995</v>
      </c>
      <c r="U1797" s="154">
        <f t="shared" si="155"/>
        <v>4.8195549041132084</v>
      </c>
    </row>
    <row r="1798" spans="1:21" x14ac:dyDescent="0.35">
      <c r="A1798" s="108">
        <v>2523</v>
      </c>
      <c r="B1798" s="108">
        <v>2017</v>
      </c>
      <c r="C1798" s="108" t="s">
        <v>38</v>
      </c>
      <c r="D1798" s="108" t="s">
        <v>143</v>
      </c>
      <c r="E1798" s="108" t="s">
        <v>10</v>
      </c>
      <c r="F1798" s="116">
        <v>788</v>
      </c>
      <c r="G1798" s="108" t="s">
        <v>52</v>
      </c>
      <c r="H1798" s="108" t="str">
        <f t="shared" si="152"/>
        <v>Nooksack River</v>
      </c>
      <c r="I1798" s="108" t="str">
        <f>IFERROR(VLOOKUP(H1798,LUTs!$A$1:$C$73,2,FALSE),"NA")</f>
        <v>Whatcom</v>
      </c>
      <c r="J1798" s="108" t="str">
        <f>IFERROR(VLOOKUP(H1798,LUTs!$A$1:$C$73,3,FALSE),"NA")</f>
        <v>1North Puget Sound</v>
      </c>
      <c r="K1798" s="108" t="s">
        <v>17</v>
      </c>
      <c r="L1798" s="108" t="str">
        <f>VLOOKUP(K1798,LUTs!E$2:G$14,3,)</f>
        <v>04Island</v>
      </c>
      <c r="M1798" s="108" t="str">
        <f>VLOOKUP($K1798,LUTs!$E$2:$H$14,2,)</f>
        <v>North Puget Sound</v>
      </c>
      <c r="N1798" s="108" t="str">
        <f>VLOOKUP($K1798,LUTs!$E$2:$H$14,4,)</f>
        <v>01North Puget Sound</v>
      </c>
      <c r="O1798" s="108">
        <v>96.715328467153299</v>
      </c>
      <c r="P1798" s="108">
        <v>332.70072992700699</v>
      </c>
      <c r="Q1798" s="108">
        <f>SUMIFS('FW_Salmon_by_Month_2010-2021'!P$2:P$3810,'FW_Salmon_by_Month_2010-2021'!$B$2:$B$3810,'Rec_raw_catch_effort_2010-2021'!$B1798,'FW_Salmon_by_Month_2010-2021'!$H$2:$H$3810,'Rec_raw_catch_effort_2010-2021'!$F1798,'FW_Salmon_by_Month_2010-2021'!$M$2:$M$3810,'Rec_raw_catch_effort_2010-2021'!$K1798)</f>
        <v>96.718576195773096</v>
      </c>
      <c r="R1798" s="109">
        <f>VLOOKUP(B1798,Readme!$A$62:$C$74,2,)*Q1798</f>
        <v>342.29095243501786</v>
      </c>
      <c r="S1798" s="140" t="str">
        <f t="shared" si="153"/>
        <v>Y</v>
      </c>
      <c r="T1798" s="154">
        <f t="shared" si="154"/>
        <v>3.4399999999999964</v>
      </c>
      <c r="U1798" s="154">
        <f t="shared" si="155"/>
        <v>3.5390404397824153</v>
      </c>
    </row>
    <row r="1799" spans="1:21" x14ac:dyDescent="0.35">
      <c r="A1799" s="108">
        <v>2524</v>
      </c>
      <c r="B1799" s="108">
        <v>2017</v>
      </c>
      <c r="C1799" s="108" t="s">
        <v>38</v>
      </c>
      <c r="D1799" s="108" t="s">
        <v>143</v>
      </c>
      <c r="E1799" s="108" t="s">
        <v>10</v>
      </c>
      <c r="F1799" s="116">
        <v>788</v>
      </c>
      <c r="G1799" s="108" t="s">
        <v>52</v>
      </c>
      <c r="H1799" s="108" t="str">
        <f t="shared" si="152"/>
        <v>Nooksack River</v>
      </c>
      <c r="I1799" s="108" t="str">
        <f>IFERROR(VLOOKUP(H1799,LUTs!$A$1:$C$73,2,FALSE),"NA")</f>
        <v>Whatcom</v>
      </c>
      <c r="J1799" s="108" t="str">
        <f>IFERROR(VLOOKUP(H1799,LUTs!$A$1:$C$73,3,FALSE),"NA")</f>
        <v>1North Puget Sound</v>
      </c>
      <c r="K1799" s="108" t="s">
        <v>18</v>
      </c>
      <c r="L1799" s="108" t="str">
        <f>VLOOKUP(K1799,LUTs!E$2:G$14,3,)</f>
        <v>06King</v>
      </c>
      <c r="M1799" s="108" t="str">
        <f>VLOOKUP($K1799,LUTs!$E$2:$H$14,2,)</f>
        <v>South Puget Sound</v>
      </c>
      <c r="N1799" s="108" t="str">
        <f>VLOOKUP($K1799,LUTs!$E$2:$H$14,4,)</f>
        <v>02South Puget Sound</v>
      </c>
      <c r="O1799" s="108">
        <v>29.014598540146</v>
      </c>
      <c r="P1799" s="108">
        <v>99.810218978102199</v>
      </c>
      <c r="Q1799" s="108">
        <f>SUMIFS('FW_Salmon_by_Month_2010-2021'!P$2:P$3810,'FW_Salmon_by_Month_2010-2021'!$B$2:$B$3810,'Rec_raw_catch_effort_2010-2021'!$B1799,'FW_Salmon_by_Month_2010-2021'!$H$2:$H$3810,'Rec_raw_catch_effort_2010-2021'!$F1799,'FW_Salmon_by_Month_2010-2021'!$M$2:$M$3810,'Rec_raw_catch_effort_2010-2021'!$K1799)</f>
        <v>29.068965517241399</v>
      </c>
      <c r="R1799" s="109">
        <f>VLOOKUP(B1799,Readme!$A$62:$C$74,2,)*Q1799</f>
        <v>102.87624450815787</v>
      </c>
      <c r="S1799" s="140" t="str">
        <f t="shared" si="153"/>
        <v>Y</v>
      </c>
      <c r="T1799" s="154">
        <f t="shared" si="154"/>
        <v>3.4399999999999986</v>
      </c>
      <c r="U1799" s="154">
        <f t="shared" si="155"/>
        <v>3.5390404397824153</v>
      </c>
    </row>
    <row r="1800" spans="1:21" x14ac:dyDescent="0.35">
      <c r="A1800" s="108">
        <v>2526</v>
      </c>
      <c r="B1800" s="108">
        <v>2017</v>
      </c>
      <c r="C1800" s="108" t="s">
        <v>38</v>
      </c>
      <c r="D1800" s="108" t="s">
        <v>143</v>
      </c>
      <c r="E1800" s="108" t="s">
        <v>10</v>
      </c>
      <c r="F1800" s="116">
        <v>788</v>
      </c>
      <c r="G1800" s="108" t="s">
        <v>52</v>
      </c>
      <c r="H1800" s="108" t="str">
        <f t="shared" si="152"/>
        <v>Nooksack River</v>
      </c>
      <c r="I1800" s="108" t="str">
        <f>IFERROR(VLOOKUP(H1800,LUTs!$A$1:$C$73,2,FALSE),"NA")</f>
        <v>Whatcom</v>
      </c>
      <c r="J1800" s="108" t="str">
        <f>IFERROR(VLOOKUP(H1800,LUTs!$A$1:$C$73,3,FALSE),"NA")</f>
        <v>1North Puget Sound</v>
      </c>
      <c r="K1800" s="108" t="s">
        <v>26</v>
      </c>
      <c r="L1800" s="108" t="str">
        <f>VLOOKUP(K1800,LUTs!E$2:G$14,3,)</f>
        <v>20Other</v>
      </c>
      <c r="M1800" s="108" t="str">
        <f>VLOOKUP($K1800,LUTs!$E$2:$H$14,2,)</f>
        <v>Non Puget Sound</v>
      </c>
      <c r="N1800" s="108" t="str">
        <f>VLOOKUP($K1800,LUTs!$E$2:$H$14,4,)</f>
        <v>07Non Puget Sound</v>
      </c>
      <c r="O1800" s="108">
        <v>48.3576642335766</v>
      </c>
      <c r="P1800" s="108">
        <v>166.35036496350301</v>
      </c>
      <c r="Q1800" s="108">
        <f>SUMIFS('FW_Salmon_by_Month_2010-2021'!P$2:P$3810,'FW_Salmon_by_Month_2010-2021'!$B$2:$B$3810,'Rec_raw_catch_effort_2010-2021'!$B1800,'FW_Salmon_by_Month_2010-2021'!$H$2:$H$3810,'Rec_raw_catch_effort_2010-2021'!$F1800,'FW_Salmon_by_Month_2010-2021'!$M$2:$M$3810,'Rec_raw_catch_effort_2010-2021'!$K1800)</f>
        <v>48.314396357710166</v>
      </c>
      <c r="R1800" s="109">
        <f>VLOOKUP(B1800,Readme!$A$62:$C$74,2,)*Q1800</f>
        <v>170.98660253361251</v>
      </c>
      <c r="S1800" s="140" t="str">
        <f t="shared" si="153"/>
        <v>Y</v>
      </c>
      <c r="T1800" s="154">
        <f t="shared" si="154"/>
        <v>3.4399999999999897</v>
      </c>
      <c r="U1800" s="154">
        <f t="shared" si="155"/>
        <v>3.5390404397824153</v>
      </c>
    </row>
    <row r="1801" spans="1:21" x14ac:dyDescent="0.35">
      <c r="A1801" s="108">
        <v>2525</v>
      </c>
      <c r="B1801" s="108">
        <v>2017</v>
      </c>
      <c r="C1801" s="108" t="s">
        <v>38</v>
      </c>
      <c r="D1801" s="108" t="s">
        <v>143</v>
      </c>
      <c r="E1801" s="108" t="s">
        <v>10</v>
      </c>
      <c r="F1801" s="116">
        <v>788</v>
      </c>
      <c r="G1801" s="108" t="s">
        <v>52</v>
      </c>
      <c r="H1801" s="108" t="str">
        <f t="shared" si="152"/>
        <v>Nooksack River</v>
      </c>
      <c r="I1801" s="108" t="str">
        <f>IFERROR(VLOOKUP(H1801,LUTs!$A$1:$C$73,2,FALSE),"NA")</f>
        <v>Whatcom</v>
      </c>
      <c r="J1801" s="108" t="str">
        <f>IFERROR(VLOOKUP(H1801,LUTs!$A$1:$C$73,3,FALSE),"NA")</f>
        <v>1North Puget Sound</v>
      </c>
      <c r="K1801" s="108" t="s">
        <v>20</v>
      </c>
      <c r="L1801" s="108" t="str">
        <f>VLOOKUP(K1801,LUTs!E$2:G$14,3,)</f>
        <v>07Pierce</v>
      </c>
      <c r="M1801" s="108" t="str">
        <f>VLOOKUP($K1801,LUTs!$E$2:$H$14,2,)</f>
        <v>South Puget Sound</v>
      </c>
      <c r="N1801" s="108" t="str">
        <f>VLOOKUP($K1801,LUTs!$E$2:$H$14,4,)</f>
        <v>02South Puget Sound</v>
      </c>
      <c r="O1801" s="108">
        <v>67.700729927007302</v>
      </c>
      <c r="P1801" s="108">
        <v>232.89051094890499</v>
      </c>
      <c r="Q1801" s="108">
        <f>SUMIFS('FW_Salmon_by_Month_2010-2021'!P$2:P$3810,'FW_Salmon_by_Month_2010-2021'!$B$2:$B$3810,'Rec_raw_catch_effort_2010-2021'!$B1801,'FW_Salmon_by_Month_2010-2021'!$H$2:$H$3810,'Rec_raw_catch_effort_2010-2021'!$F1801,'FW_Salmon_by_Month_2010-2021'!$M$2:$M$3810,'Rec_raw_catch_effort_2010-2021'!$K1801)</f>
        <v>67.468965517241401</v>
      </c>
      <c r="R1801" s="109">
        <f>VLOOKUP(B1801,Readme!$A$62:$C$74,2,)*Q1801</f>
        <v>238.77539739580263</v>
      </c>
      <c r="S1801" s="140" t="str">
        <f t="shared" si="153"/>
        <v>Y</v>
      </c>
      <c r="T1801" s="154">
        <f t="shared" si="154"/>
        <v>3.4399999999999982</v>
      </c>
      <c r="U1801" s="154">
        <f t="shared" si="155"/>
        <v>3.5390404397824153</v>
      </c>
    </row>
    <row r="1802" spans="1:21" x14ac:dyDescent="0.35">
      <c r="A1802" s="108">
        <v>2521</v>
      </c>
      <c r="B1802" s="108">
        <v>2017</v>
      </c>
      <c r="C1802" s="108" t="s">
        <v>38</v>
      </c>
      <c r="D1802" s="108" t="s">
        <v>143</v>
      </c>
      <c r="E1802" s="108" t="s">
        <v>10</v>
      </c>
      <c r="F1802" s="116">
        <v>788</v>
      </c>
      <c r="G1802" s="108" t="s">
        <v>52</v>
      </c>
      <c r="H1802" s="108" t="str">
        <f t="shared" si="152"/>
        <v>Nooksack River</v>
      </c>
      <c r="I1802" s="108" t="str">
        <f>IFERROR(VLOOKUP(H1802,LUTs!$A$1:$C$73,2,FALSE),"NA")</f>
        <v>Whatcom</v>
      </c>
      <c r="J1802" s="108" t="str">
        <f>IFERROR(VLOOKUP(H1802,LUTs!$A$1:$C$73,3,FALSE),"NA")</f>
        <v>1North Puget Sound</v>
      </c>
      <c r="K1802" s="108" t="s">
        <v>15</v>
      </c>
      <c r="L1802" s="108" t="str">
        <f>VLOOKUP(K1802,LUTs!E$2:G$14,3,)</f>
        <v>02Skagit</v>
      </c>
      <c r="M1802" s="108" t="str">
        <f>VLOOKUP($K1802,LUTs!$E$2:$H$14,2,)</f>
        <v>North Puget Sound</v>
      </c>
      <c r="N1802" s="108" t="str">
        <f>VLOOKUP($K1802,LUTs!$E$2:$H$14,4,)</f>
        <v>01North Puget Sound</v>
      </c>
      <c r="O1802" s="108">
        <v>96.715328467153299</v>
      </c>
      <c r="P1802" s="108">
        <v>332.70072992700699</v>
      </c>
      <c r="Q1802" s="108">
        <f>SUMIFS('FW_Salmon_by_Month_2010-2021'!P$2:P$3810,'FW_Salmon_by_Month_2010-2021'!$B$2:$B$3810,'Rec_raw_catch_effort_2010-2021'!$B1802,'FW_Salmon_by_Month_2010-2021'!$H$2:$H$3810,'Rec_raw_catch_effort_2010-2021'!$F1802,'FW_Salmon_by_Month_2010-2021'!$M$2:$M$3810,'Rec_raw_catch_effort_2010-2021'!$K1802)</f>
        <v>96.716692966345079</v>
      </c>
      <c r="R1802" s="109">
        <f>VLOOKUP(B1802,Readme!$A$62:$C$74,2,)*Q1802</f>
        <v>342.28428760991471</v>
      </c>
      <c r="S1802" s="140" t="str">
        <f t="shared" si="153"/>
        <v>Y</v>
      </c>
      <c r="T1802" s="154">
        <f t="shared" si="154"/>
        <v>3.4399999999999964</v>
      </c>
      <c r="U1802" s="154">
        <f t="shared" si="155"/>
        <v>3.5390404397824153</v>
      </c>
    </row>
    <row r="1803" spans="1:21" x14ac:dyDescent="0.35">
      <c r="A1803" s="108">
        <v>2522</v>
      </c>
      <c r="B1803" s="108">
        <v>2017</v>
      </c>
      <c r="C1803" s="108" t="s">
        <v>38</v>
      </c>
      <c r="D1803" s="108" t="s">
        <v>143</v>
      </c>
      <c r="E1803" s="108" t="s">
        <v>10</v>
      </c>
      <c r="F1803" s="116">
        <v>788</v>
      </c>
      <c r="G1803" s="108" t="s">
        <v>52</v>
      </c>
      <c r="H1803" s="108" t="str">
        <f t="shared" si="152"/>
        <v>Nooksack River</v>
      </c>
      <c r="I1803" s="108" t="str">
        <f>IFERROR(VLOOKUP(H1803,LUTs!$A$1:$C$73,2,FALSE),"NA")</f>
        <v>Whatcom</v>
      </c>
      <c r="J1803" s="108" t="str">
        <f>IFERROR(VLOOKUP(H1803,LUTs!$A$1:$C$73,3,FALSE),"NA")</f>
        <v>1North Puget Sound</v>
      </c>
      <c r="K1803" s="108" t="s">
        <v>16</v>
      </c>
      <c r="L1803" s="108" t="str">
        <f>VLOOKUP(K1803,LUTs!E$2:G$14,3,)</f>
        <v>03Snohomish</v>
      </c>
      <c r="M1803" s="108" t="str">
        <f>VLOOKUP($K1803,LUTs!$E$2:$H$14,2,)</f>
        <v>North Puget Sound</v>
      </c>
      <c r="N1803" s="108" t="str">
        <f>VLOOKUP($K1803,LUTs!$E$2:$H$14,4,)</f>
        <v>01North Puget Sound</v>
      </c>
      <c r="O1803" s="108">
        <v>135.401459854015</v>
      </c>
      <c r="P1803" s="108">
        <v>465.78102189781202</v>
      </c>
      <c r="Q1803" s="108">
        <f>SUMIFS('FW_Salmon_by_Month_2010-2021'!P$2:P$3810,'FW_Salmon_by_Month_2010-2021'!$B$2:$B$3810,'Rec_raw_catch_effort_2010-2021'!$B1803,'FW_Salmon_by_Month_2010-2021'!$H$2:$H$3810,'Rec_raw_catch_effort_2010-2021'!$F1803,'FW_Salmon_by_Month_2010-2021'!$M$2:$M$3810,'Rec_raw_catch_effort_2010-2021'!$K1803)</f>
        <v>135.2547274749723</v>
      </c>
      <c r="R1803" s="109">
        <f>VLOOKUP(B1803,Readme!$A$62:$C$74,2,)*Q1803</f>
        <v>478.67195020567669</v>
      </c>
      <c r="S1803" s="140" t="str">
        <f t="shared" si="153"/>
        <v>Y</v>
      </c>
      <c r="T1803" s="154">
        <f t="shared" si="154"/>
        <v>3.4400000000000031</v>
      </c>
      <c r="U1803" s="154">
        <f t="shared" si="155"/>
        <v>3.5390404397824153</v>
      </c>
    </row>
    <row r="1804" spans="1:21" x14ac:dyDescent="0.35">
      <c r="A1804" s="108">
        <v>2520</v>
      </c>
      <c r="B1804" s="108">
        <v>2017</v>
      </c>
      <c r="C1804" s="108" t="s">
        <v>38</v>
      </c>
      <c r="D1804" s="108" t="s">
        <v>143</v>
      </c>
      <c r="E1804" s="108" t="s">
        <v>10</v>
      </c>
      <c r="F1804" s="116">
        <v>788</v>
      </c>
      <c r="G1804" s="108" t="s">
        <v>52</v>
      </c>
      <c r="H1804" s="108" t="str">
        <f t="shared" si="152"/>
        <v>Nooksack River</v>
      </c>
      <c r="I1804" s="108" t="str">
        <f>IFERROR(VLOOKUP(H1804,LUTs!$A$1:$C$73,2,FALSE),"NA")</f>
        <v>Whatcom</v>
      </c>
      <c r="J1804" s="108" t="str">
        <f>IFERROR(VLOOKUP(H1804,LUTs!$A$1:$C$73,3,FALSE),"NA")</f>
        <v>1North Puget Sound</v>
      </c>
      <c r="K1804" s="108" t="s">
        <v>13</v>
      </c>
      <c r="L1804" s="108" t="str">
        <f>VLOOKUP(K1804,LUTs!E$2:G$14,3,)</f>
        <v>01Whatcom</v>
      </c>
      <c r="M1804" s="108" t="str">
        <f>VLOOKUP($K1804,LUTs!$E$2:$H$14,2,)</f>
        <v>North Puget Sound</v>
      </c>
      <c r="N1804" s="108" t="str">
        <f>VLOOKUP($K1804,LUTs!$E$2:$H$14,4,)</f>
        <v>01North Puget Sound</v>
      </c>
      <c r="O1804" s="108">
        <v>2176.0948905109499</v>
      </c>
      <c r="P1804" s="108">
        <v>7485.7664233576697</v>
      </c>
      <c r="Q1804" s="108">
        <f>SUMIFS('FW_Salmon_by_Month_2010-2021'!P$2:P$3810,'FW_Salmon_by_Month_2010-2021'!$B$2:$B$3810,'Rec_raw_catch_effort_2010-2021'!$B1804,'FW_Salmon_by_Month_2010-2021'!$H$2:$H$3810,'Rec_raw_catch_effort_2010-2021'!$F1804,'FW_Salmon_by_Month_2010-2021'!$M$2:$M$3810,'Rec_raw_catch_effort_2010-2021'!$K1804)</f>
        <v>2176.457675970722</v>
      </c>
      <c r="R1804" s="109">
        <f>VLOOKUP(B1804,Readme!$A$62:$C$74,2,)*Q1804</f>
        <v>7702.5717307352379</v>
      </c>
      <c r="S1804" s="140" t="str">
        <f t="shared" si="153"/>
        <v>Y</v>
      </c>
      <c r="T1804" s="154">
        <f t="shared" si="154"/>
        <v>3.4400000000000008</v>
      </c>
      <c r="U1804" s="154">
        <f t="shared" si="155"/>
        <v>3.5390404397824153</v>
      </c>
    </row>
    <row r="1805" spans="1:21" x14ac:dyDescent="0.35">
      <c r="A1805" s="108">
        <v>2655</v>
      </c>
      <c r="B1805" s="108">
        <v>2018</v>
      </c>
      <c r="C1805" s="108" t="s">
        <v>38</v>
      </c>
      <c r="D1805" s="108" t="s">
        <v>143</v>
      </c>
      <c r="E1805" s="108" t="s">
        <v>10</v>
      </c>
      <c r="F1805" s="116">
        <v>788</v>
      </c>
      <c r="G1805" s="108" t="s">
        <v>52</v>
      </c>
      <c r="H1805" s="108" t="str">
        <f t="shared" si="152"/>
        <v>Nooksack River</v>
      </c>
      <c r="I1805" s="108" t="str">
        <f>IFERROR(VLOOKUP(H1805,LUTs!$A$1:$C$73,2,FALSE),"NA")</f>
        <v>Whatcom</v>
      </c>
      <c r="J1805" s="108" t="str">
        <f>IFERROR(VLOOKUP(H1805,LUTs!$A$1:$C$73,3,FALSE),"NA")</f>
        <v>1North Puget Sound</v>
      </c>
      <c r="K1805" s="108" t="s">
        <v>17</v>
      </c>
      <c r="L1805" s="108" t="str">
        <f>VLOOKUP(K1805,LUTs!E$2:G$14,3,)</f>
        <v>04Island</v>
      </c>
      <c r="M1805" s="108" t="str">
        <f>VLOOKUP($K1805,LUTs!$E$2:$H$14,2,)</f>
        <v>North Puget Sound</v>
      </c>
      <c r="N1805" s="108" t="str">
        <f>VLOOKUP($K1805,LUTs!$E$2:$H$14,4,)</f>
        <v>01North Puget Sound</v>
      </c>
      <c r="O1805" s="108">
        <v>320.10677618069798</v>
      </c>
      <c r="P1805" s="108">
        <v>2768.9236139630402</v>
      </c>
      <c r="Q1805" s="108">
        <f>SUMIFS('FW_Salmon_by_Month_2010-2021'!P$2:P$3810,'FW_Salmon_by_Month_2010-2021'!$B$2:$B$3810,'Rec_raw_catch_effort_2010-2021'!$B1805,'FW_Salmon_by_Month_2010-2021'!$H$2:$H$3810,'Rec_raw_catch_effort_2010-2021'!$F1805,'FW_Salmon_by_Month_2010-2021'!$M$2:$M$3810,'Rec_raw_catch_effort_2010-2021'!$K1805)</f>
        <v>323.9636835278863</v>
      </c>
      <c r="R1805" s="109">
        <f>VLOOKUP(B1805,Readme!$A$62:$C$74,2,)*Q1805</f>
        <v>1561.3607597014038</v>
      </c>
      <c r="S1805" s="140" t="str">
        <f t="shared" si="153"/>
        <v>Y</v>
      </c>
      <c r="T1805" s="154">
        <f t="shared" si="154"/>
        <v>8.6500000000000092</v>
      </c>
      <c r="U1805" s="154">
        <f t="shared" si="155"/>
        <v>4.8195549041132084</v>
      </c>
    </row>
    <row r="1806" spans="1:21" x14ac:dyDescent="0.35">
      <c r="A1806" s="108">
        <v>2656</v>
      </c>
      <c r="B1806" s="108">
        <v>2018</v>
      </c>
      <c r="C1806" s="108" t="s">
        <v>38</v>
      </c>
      <c r="D1806" s="108" t="s">
        <v>143</v>
      </c>
      <c r="E1806" s="108" t="s">
        <v>10</v>
      </c>
      <c r="F1806" s="116">
        <v>788</v>
      </c>
      <c r="G1806" s="108" t="s">
        <v>52</v>
      </c>
      <c r="H1806" s="108" t="str">
        <f t="shared" si="152"/>
        <v>Nooksack River</v>
      </c>
      <c r="I1806" s="108" t="str">
        <f>IFERROR(VLOOKUP(H1806,LUTs!$A$1:$C$73,2,FALSE),"NA")</f>
        <v>Whatcom</v>
      </c>
      <c r="J1806" s="108" t="str">
        <f>IFERROR(VLOOKUP(H1806,LUTs!$A$1:$C$73,3,FALSE),"NA")</f>
        <v>1North Puget Sound</v>
      </c>
      <c r="K1806" s="108" t="s">
        <v>18</v>
      </c>
      <c r="L1806" s="108" t="str">
        <f>VLOOKUP(K1806,LUTs!E$2:G$14,3,)</f>
        <v>06King</v>
      </c>
      <c r="M1806" s="108" t="str">
        <f>VLOOKUP($K1806,LUTs!$E$2:$H$14,2,)</f>
        <v>South Puget Sound</v>
      </c>
      <c r="N1806" s="108" t="str">
        <f>VLOOKUP($K1806,LUTs!$E$2:$H$14,4,)</f>
        <v>02South Puget Sound</v>
      </c>
      <c r="O1806" s="108">
        <v>174.60369609856301</v>
      </c>
      <c r="P1806" s="108">
        <v>1510.3219712525699</v>
      </c>
      <c r="Q1806" s="108">
        <f>SUMIFS('FW_Salmon_by_Month_2010-2021'!P$2:P$3810,'FW_Salmon_by_Month_2010-2021'!$B$2:$B$3810,'Rec_raw_catch_effort_2010-2021'!$B1806,'FW_Salmon_by_Month_2010-2021'!$H$2:$H$3810,'Rec_raw_catch_effort_2010-2021'!$F1806,'FW_Salmon_by_Month_2010-2021'!$M$2:$M$3810,'Rec_raw_catch_effort_2010-2021'!$K1806)</f>
        <v>176.611327280588</v>
      </c>
      <c r="R1806" s="109">
        <f>VLOOKUP(B1806,Readme!$A$62:$C$74,2,)*Q1806</f>
        <v>851.18798851710073</v>
      </c>
      <c r="S1806" s="140" t="str">
        <f t="shared" si="153"/>
        <v>Y</v>
      </c>
      <c r="T1806" s="154">
        <f t="shared" si="154"/>
        <v>8.65</v>
      </c>
      <c r="U1806" s="154">
        <f t="shared" si="155"/>
        <v>4.8195549041132084</v>
      </c>
    </row>
    <row r="1807" spans="1:21" x14ac:dyDescent="0.35">
      <c r="A1807" s="108">
        <v>2657</v>
      </c>
      <c r="B1807" s="108">
        <v>2018</v>
      </c>
      <c r="C1807" s="108" t="s">
        <v>38</v>
      </c>
      <c r="D1807" s="108" t="s">
        <v>143</v>
      </c>
      <c r="E1807" s="108" t="s">
        <v>10</v>
      </c>
      <c r="F1807" s="116">
        <v>788</v>
      </c>
      <c r="G1807" s="108" t="s">
        <v>52</v>
      </c>
      <c r="H1807" s="108" t="str">
        <f t="shared" si="152"/>
        <v>Nooksack River</v>
      </c>
      <c r="I1807" s="108" t="str">
        <f>IFERROR(VLOOKUP(H1807,LUTs!$A$1:$C$73,2,FALSE),"NA")</f>
        <v>Whatcom</v>
      </c>
      <c r="J1807" s="108" t="str">
        <f>IFERROR(VLOOKUP(H1807,LUTs!$A$1:$C$73,3,FALSE),"NA")</f>
        <v>1North Puget Sound</v>
      </c>
      <c r="K1807" s="108" t="s">
        <v>26</v>
      </c>
      <c r="L1807" s="108" t="str">
        <f>VLOOKUP(K1807,LUTs!E$2:G$14,3,)</f>
        <v>20Other</v>
      </c>
      <c r="M1807" s="108" t="str">
        <f>VLOOKUP($K1807,LUTs!$E$2:$H$14,2,)</f>
        <v>Non Puget Sound</v>
      </c>
      <c r="N1807" s="108" t="str">
        <f>VLOOKUP($K1807,LUTs!$E$2:$H$14,4,)</f>
        <v>07Non Puget Sound</v>
      </c>
      <c r="O1807" s="108">
        <v>126.102669404517</v>
      </c>
      <c r="P1807" s="108">
        <v>1090.78809034907</v>
      </c>
      <c r="Q1807" s="108">
        <f>SUMIFS('FW_Salmon_by_Month_2010-2021'!P$2:P$3810,'FW_Salmon_by_Month_2010-2021'!$B$2:$B$3810,'Rec_raw_catch_effort_2010-2021'!$B1807,'FW_Salmon_by_Month_2010-2021'!$H$2:$H$3810,'Rec_raw_catch_effort_2010-2021'!$F1807,'FW_Salmon_by_Month_2010-2021'!$M$2:$M$3810,'Rec_raw_catch_effort_2010-2021'!$K1807)</f>
        <v>127.32728058798099</v>
      </c>
      <c r="R1807" s="109">
        <f>VLOOKUP(B1807,Readme!$A$62:$C$74,2,)*Q1807</f>
        <v>613.66081958520238</v>
      </c>
      <c r="S1807" s="140" t="str">
        <f t="shared" si="153"/>
        <v>Y</v>
      </c>
      <c r="T1807" s="154">
        <f t="shared" si="154"/>
        <v>8.6499999999999844</v>
      </c>
      <c r="U1807" s="154">
        <f t="shared" si="155"/>
        <v>4.8195549041132084</v>
      </c>
    </row>
    <row r="1808" spans="1:21" x14ac:dyDescent="0.35">
      <c r="A1808" s="108">
        <v>2653</v>
      </c>
      <c r="B1808" s="108">
        <v>2018</v>
      </c>
      <c r="C1808" s="108" t="s">
        <v>38</v>
      </c>
      <c r="D1808" s="108" t="s">
        <v>143</v>
      </c>
      <c r="E1808" s="108" t="s">
        <v>10</v>
      </c>
      <c r="F1808" s="116">
        <v>788</v>
      </c>
      <c r="G1808" s="108" t="s">
        <v>52</v>
      </c>
      <c r="H1808" s="108" t="str">
        <f t="shared" si="152"/>
        <v>Nooksack River</v>
      </c>
      <c r="I1808" s="108" t="str">
        <f>IFERROR(VLOOKUP(H1808,LUTs!$A$1:$C$73,2,FALSE),"NA")</f>
        <v>Whatcom</v>
      </c>
      <c r="J1808" s="108" t="str">
        <f>IFERROR(VLOOKUP(H1808,LUTs!$A$1:$C$73,3,FALSE),"NA")</f>
        <v>1North Puget Sound</v>
      </c>
      <c r="K1808" s="108" t="s">
        <v>15</v>
      </c>
      <c r="L1808" s="108" t="str">
        <f>VLOOKUP(K1808,LUTs!E$2:G$14,3,)</f>
        <v>02Skagit</v>
      </c>
      <c r="M1808" s="108" t="str">
        <f>VLOOKUP($K1808,LUTs!$E$2:$H$14,2,)</f>
        <v>North Puget Sound</v>
      </c>
      <c r="N1808" s="108" t="str">
        <f>VLOOKUP($K1808,LUTs!$E$2:$H$14,4,)</f>
        <v>01North Puget Sound</v>
      </c>
      <c r="O1808" s="108">
        <v>446.20944558521597</v>
      </c>
      <c r="P1808" s="108">
        <v>3859.7117043121202</v>
      </c>
      <c r="Q1808" s="108">
        <f>SUMIFS('FW_Salmon_by_Month_2010-2021'!P$2:P$3810,'FW_Salmon_by_Month_2010-2021'!$B$2:$B$3810,'Rec_raw_catch_effort_2010-2021'!$B1808,'FW_Salmon_by_Month_2010-2021'!$H$2:$H$3810,'Rec_raw_catch_effort_2010-2021'!$F1808,'FW_Salmon_by_Month_2010-2021'!$M$2:$M$3810,'Rec_raw_catch_effort_2010-2021'!$K1808)</f>
        <v>451.29096411586698</v>
      </c>
      <c r="R1808" s="109">
        <f>VLOOKUP(B1808,Readme!$A$62:$C$74,2,)*Q1808</f>
        <v>2175.0215792866047</v>
      </c>
      <c r="S1808" s="140" t="str">
        <f t="shared" si="153"/>
        <v>Y</v>
      </c>
      <c r="T1808" s="154">
        <f t="shared" si="154"/>
        <v>8.6500000000000039</v>
      </c>
      <c r="U1808" s="154">
        <f t="shared" si="155"/>
        <v>4.8195549041132084</v>
      </c>
    </row>
    <row r="1809" spans="1:21" x14ac:dyDescent="0.35">
      <c r="A1809" s="108">
        <v>2654</v>
      </c>
      <c r="B1809" s="108">
        <v>2018</v>
      </c>
      <c r="C1809" s="108" t="s">
        <v>38</v>
      </c>
      <c r="D1809" s="108" t="s">
        <v>143</v>
      </c>
      <c r="E1809" s="108" t="s">
        <v>10</v>
      </c>
      <c r="F1809" s="116">
        <v>788</v>
      </c>
      <c r="G1809" s="108" t="s">
        <v>52</v>
      </c>
      <c r="H1809" s="108" t="str">
        <f t="shared" si="152"/>
        <v>Nooksack River</v>
      </c>
      <c r="I1809" s="108" t="str">
        <f>IFERROR(VLOOKUP(H1809,LUTs!$A$1:$C$73,2,FALSE),"NA")</f>
        <v>Whatcom</v>
      </c>
      <c r="J1809" s="108" t="str">
        <f>IFERROR(VLOOKUP(H1809,LUTs!$A$1:$C$73,3,FALSE),"NA")</f>
        <v>1North Puget Sound</v>
      </c>
      <c r="K1809" s="108" t="s">
        <v>16</v>
      </c>
      <c r="L1809" s="108" t="str">
        <f>VLOOKUP(K1809,LUTs!E$2:G$14,3,)</f>
        <v>03Snohomish</v>
      </c>
      <c r="M1809" s="108" t="str">
        <f>VLOOKUP($K1809,LUTs!$E$2:$H$14,2,)</f>
        <v>North Puget Sound</v>
      </c>
      <c r="N1809" s="108" t="str">
        <f>VLOOKUP($K1809,LUTs!$E$2:$H$14,4,)</f>
        <v>01North Puget Sound</v>
      </c>
      <c r="O1809" s="108">
        <v>281.30595482546198</v>
      </c>
      <c r="P1809" s="108">
        <v>2433.2965092402501</v>
      </c>
      <c r="Q1809" s="108">
        <f>SUMIFS('FW_Salmon_by_Month_2010-2021'!P$2:P$3810,'FW_Salmon_by_Month_2010-2021'!$B$2:$B$3810,'Rec_raw_catch_effort_2010-2021'!$B1809,'FW_Salmon_by_Month_2010-2021'!$H$2:$H$3810,'Rec_raw_catch_effort_2010-2021'!$F1809,'FW_Salmon_by_Month_2010-2021'!$M$2:$M$3810,'Rec_raw_catch_effort_2010-2021'!$K1809)</f>
        <v>284.63640293990511</v>
      </c>
      <c r="R1809" s="109">
        <f>VLOOKUP(B1809,Readme!$A$62:$C$74,2,)*Q1809</f>
        <v>1371.8207716781628</v>
      </c>
      <c r="S1809" s="140" t="str">
        <f t="shared" si="153"/>
        <v>Y</v>
      </c>
      <c r="T1809" s="154">
        <f t="shared" si="154"/>
        <v>8.6500000000000146</v>
      </c>
      <c r="U1809" s="154">
        <f t="shared" si="155"/>
        <v>4.8195549041132084</v>
      </c>
    </row>
    <row r="1810" spans="1:21" x14ac:dyDescent="0.35">
      <c r="A1810" s="108">
        <v>2650</v>
      </c>
      <c r="B1810" s="108">
        <v>2018</v>
      </c>
      <c r="C1810" s="108" t="s">
        <v>38</v>
      </c>
      <c r="D1810" s="108" t="s">
        <v>143</v>
      </c>
      <c r="E1810" s="108" t="s">
        <v>10</v>
      </c>
      <c r="F1810" s="116">
        <v>788</v>
      </c>
      <c r="G1810" s="108" t="s">
        <v>52</v>
      </c>
      <c r="H1810" s="108" t="str">
        <f t="shared" si="152"/>
        <v>Nooksack River</v>
      </c>
      <c r="I1810" s="108" t="str">
        <f>IFERROR(VLOOKUP(H1810,LUTs!$A$1:$C$73,2,FALSE),"NA")</f>
        <v>Whatcom</v>
      </c>
      <c r="J1810" s="108" t="str">
        <f>IFERROR(VLOOKUP(H1810,LUTs!$A$1:$C$73,3,FALSE),"NA")</f>
        <v>1North Puget Sound</v>
      </c>
      <c r="K1810" s="108" t="s">
        <v>13</v>
      </c>
      <c r="L1810" s="108" t="str">
        <f>VLOOKUP(K1810,LUTs!E$2:G$14,3,)</f>
        <v>01Whatcom</v>
      </c>
      <c r="M1810" s="108" t="str">
        <f>VLOOKUP($K1810,LUTs!$E$2:$H$14,2,)</f>
        <v>North Puget Sound</v>
      </c>
      <c r="N1810" s="108" t="str">
        <f>VLOOKUP($K1810,LUTs!$E$2:$H$14,4,)</f>
        <v>01North Puget Sound</v>
      </c>
      <c r="O1810" s="108">
        <v>3375.6714579055501</v>
      </c>
      <c r="P1810" s="108">
        <v>29199.558110883001</v>
      </c>
      <c r="Q1810" s="108">
        <f>SUMIFS('FW_Salmon_by_Month_2010-2021'!P$2:P$3810,'FW_Salmon_by_Month_2010-2021'!$B$2:$B$3810,'Rec_raw_catch_effort_2010-2021'!$B1810,'FW_Salmon_by_Month_2010-2021'!$H$2:$H$3810,'Rec_raw_catch_effort_2010-2021'!$F1810,'FW_Salmon_by_Month_2010-2021'!$M$2:$M$3810,'Rec_raw_catch_effort_2010-2021'!$K1810)</f>
        <v>3360.1703415477764</v>
      </c>
      <c r="R1810" s="109">
        <f>VLOOKUP(B1810,Readme!$A$62:$C$74,2,)*Q1810</f>
        <v>16194.52544826234</v>
      </c>
      <c r="S1810" s="140" t="str">
        <f t="shared" si="153"/>
        <v>Y</v>
      </c>
      <c r="T1810" s="154">
        <f t="shared" si="154"/>
        <v>8.6499999999999986</v>
      </c>
      <c r="U1810" s="154">
        <f t="shared" si="155"/>
        <v>4.8195549041132084</v>
      </c>
    </row>
    <row r="1811" spans="1:21" x14ac:dyDescent="0.35">
      <c r="A1811" s="108">
        <v>2879</v>
      </c>
      <c r="B1811" s="108">
        <v>2019</v>
      </c>
      <c r="C1811" s="108" t="s">
        <v>38</v>
      </c>
      <c r="D1811" s="108" t="s">
        <v>143</v>
      </c>
      <c r="E1811" s="108" t="s">
        <v>10</v>
      </c>
      <c r="F1811" s="116">
        <v>788</v>
      </c>
      <c r="G1811" s="108" t="s">
        <v>52</v>
      </c>
      <c r="H1811" s="108" t="str">
        <f t="shared" si="152"/>
        <v>Nooksack River</v>
      </c>
      <c r="I1811" s="108" t="str">
        <f>IFERROR(VLOOKUP(H1811,LUTs!$A$1:$C$73,2,FALSE),"NA")</f>
        <v>Whatcom</v>
      </c>
      <c r="J1811" s="108" t="str">
        <f>IFERROR(VLOOKUP(H1811,LUTs!$A$1:$C$73,3,FALSE),"NA")</f>
        <v>1North Puget Sound</v>
      </c>
      <c r="K1811" s="108" t="s">
        <v>17</v>
      </c>
      <c r="L1811" s="108" t="str">
        <f>VLOOKUP(K1811,LUTs!E$2:G$14,3,)</f>
        <v>04Island</v>
      </c>
      <c r="M1811" s="108" t="str">
        <f>VLOOKUP($K1811,LUTs!$E$2:$H$14,2,)</f>
        <v>North Puget Sound</v>
      </c>
      <c r="N1811" s="108" t="str">
        <f>VLOOKUP($K1811,LUTs!$E$2:$H$14,4,)</f>
        <v>01North Puget Sound</v>
      </c>
      <c r="O1811" s="108">
        <v>289.48953974895397</v>
      </c>
      <c r="P1811" s="108">
        <v>995.84401673640195</v>
      </c>
      <c r="Q1811" s="108">
        <f>SUMIFS('FW_Salmon_by_Month_2010-2021'!P$2:P$3810,'FW_Salmon_by_Month_2010-2021'!$B$2:$B$3810,'Rec_raw_catch_effort_2010-2021'!$B1811,'FW_Salmon_by_Month_2010-2021'!$H$2:$H$3810,'Rec_raw_catch_effort_2010-2021'!$F1811,'FW_Salmon_by_Month_2010-2021'!$M$2:$M$3810,'Rec_raw_catch_effort_2010-2021'!$K1811)</f>
        <v>297.20408163265313</v>
      </c>
      <c r="R1811" s="109">
        <f>VLOOKUP(B1811,Readme!$A$62:$C$74,2,)*Q1811</f>
        <v>1051.8172637663536</v>
      </c>
      <c r="S1811" s="140" t="str">
        <f t="shared" si="153"/>
        <v>Y</v>
      </c>
      <c r="T1811" s="154">
        <f t="shared" si="154"/>
        <v>3.4400000000000008</v>
      </c>
      <c r="U1811" s="154">
        <f t="shared" si="155"/>
        <v>3.5390404397824153</v>
      </c>
    </row>
    <row r="1812" spans="1:21" x14ac:dyDescent="0.35">
      <c r="A1812" s="108">
        <v>2880</v>
      </c>
      <c r="B1812" s="108">
        <v>2019</v>
      </c>
      <c r="C1812" s="108" t="s">
        <v>38</v>
      </c>
      <c r="D1812" s="108" t="s">
        <v>143</v>
      </c>
      <c r="E1812" s="108" t="s">
        <v>10</v>
      </c>
      <c r="F1812" s="116">
        <v>788</v>
      </c>
      <c r="G1812" s="108" t="s">
        <v>52</v>
      </c>
      <c r="H1812" s="108" t="str">
        <f t="shared" si="152"/>
        <v>Nooksack River</v>
      </c>
      <c r="I1812" s="108" t="str">
        <f>IFERROR(VLOOKUP(H1812,LUTs!$A$1:$C$73,2,FALSE),"NA")</f>
        <v>Whatcom</v>
      </c>
      <c r="J1812" s="108" t="str">
        <f>IFERROR(VLOOKUP(H1812,LUTs!$A$1:$C$73,3,FALSE),"NA")</f>
        <v>1North Puget Sound</v>
      </c>
      <c r="K1812" s="108" t="s">
        <v>18</v>
      </c>
      <c r="L1812" s="108" t="str">
        <f>VLOOKUP(K1812,LUTs!E$2:G$14,3,)</f>
        <v>06King</v>
      </c>
      <c r="M1812" s="108" t="str">
        <f>VLOOKUP($K1812,LUTs!$E$2:$H$14,2,)</f>
        <v>South Puget Sound</v>
      </c>
      <c r="N1812" s="108" t="str">
        <f>VLOOKUP($K1812,LUTs!$E$2:$H$14,4,)</f>
        <v>02South Puget Sound</v>
      </c>
      <c r="O1812" s="108">
        <v>41.355648535564903</v>
      </c>
      <c r="P1812" s="108">
        <v>142.26343096234299</v>
      </c>
      <c r="Q1812" s="108">
        <f>SUMIFS('FW_Salmon_by_Month_2010-2021'!P$2:P$3810,'FW_Salmon_by_Month_2010-2021'!$B$2:$B$3810,'Rec_raw_catch_effort_2010-2021'!$B1812,'FW_Salmon_by_Month_2010-2021'!$H$2:$H$3810,'Rec_raw_catch_effort_2010-2021'!$F1812,'FW_Salmon_by_Month_2010-2021'!$M$2:$M$3810,'Rec_raw_catch_effort_2010-2021'!$K1812)</f>
        <v>42.325000000000003</v>
      </c>
      <c r="R1812" s="109">
        <f>VLOOKUP(B1812,Readme!$A$62:$C$74,2,)*Q1812</f>
        <v>149.78988661379074</v>
      </c>
      <c r="S1812" s="140" t="str">
        <f t="shared" si="153"/>
        <v>Y</v>
      </c>
      <c r="T1812" s="154">
        <f t="shared" si="154"/>
        <v>3.4399999999999933</v>
      </c>
      <c r="U1812" s="154">
        <f t="shared" si="155"/>
        <v>3.5390404397824153</v>
      </c>
    </row>
    <row r="1813" spans="1:21" x14ac:dyDescent="0.35">
      <c r="A1813" s="108">
        <v>2881</v>
      </c>
      <c r="B1813" s="108">
        <v>2019</v>
      </c>
      <c r="C1813" s="108" t="s">
        <v>38</v>
      </c>
      <c r="D1813" s="108" t="s">
        <v>143</v>
      </c>
      <c r="E1813" s="108" t="s">
        <v>10</v>
      </c>
      <c r="F1813" s="116">
        <v>788</v>
      </c>
      <c r="G1813" s="108" t="s">
        <v>52</v>
      </c>
      <c r="H1813" s="108" t="str">
        <f t="shared" si="152"/>
        <v>Nooksack River</v>
      </c>
      <c r="I1813" s="108" t="str">
        <f>IFERROR(VLOOKUP(H1813,LUTs!$A$1:$C$73,2,FALSE),"NA")</f>
        <v>Whatcom</v>
      </c>
      <c r="J1813" s="108" t="str">
        <f>IFERROR(VLOOKUP(H1813,LUTs!$A$1:$C$73,3,FALSE),"NA")</f>
        <v>1North Puget Sound</v>
      </c>
      <c r="K1813" s="108" t="s">
        <v>26</v>
      </c>
      <c r="L1813" s="108" t="str">
        <f>VLOOKUP(K1813,LUTs!E$2:G$14,3,)</f>
        <v>20Other</v>
      </c>
      <c r="M1813" s="108" t="str">
        <f>VLOOKUP($K1813,LUTs!$E$2:$H$14,2,)</f>
        <v>Non Puget Sound</v>
      </c>
      <c r="N1813" s="108" t="str">
        <f>VLOOKUP($K1813,LUTs!$E$2:$H$14,4,)</f>
        <v>07Non Puget Sound</v>
      </c>
      <c r="O1813" s="108">
        <v>72.372384937238493</v>
      </c>
      <c r="P1813" s="108">
        <v>248.96100418410001</v>
      </c>
      <c r="Q1813" s="108">
        <f>SUMIFS('FW_Salmon_by_Month_2010-2021'!P$2:P$3810,'FW_Salmon_by_Month_2010-2021'!$B$2:$B$3810,'Rec_raw_catch_effort_2010-2021'!$B1813,'FW_Salmon_by_Month_2010-2021'!$H$2:$H$3810,'Rec_raw_catch_effort_2010-2021'!$F1813,'FW_Salmon_by_Month_2010-2021'!$M$2:$M$3810,'Rec_raw_catch_effort_2010-2021'!$K1813)</f>
        <v>73.900000000000006</v>
      </c>
      <c r="R1813" s="109">
        <f>VLOOKUP(B1813,Readme!$A$62:$C$74,2,)*Q1813</f>
        <v>261.53508849992051</v>
      </c>
      <c r="S1813" s="140" t="str">
        <f t="shared" si="153"/>
        <v>Y</v>
      </c>
      <c r="T1813" s="154">
        <f t="shared" si="154"/>
        <v>3.4399999999999942</v>
      </c>
      <c r="U1813" s="154">
        <f t="shared" si="155"/>
        <v>3.5390404397824153</v>
      </c>
    </row>
    <row r="1814" spans="1:21" x14ac:dyDescent="0.35">
      <c r="A1814" s="108">
        <v>2877</v>
      </c>
      <c r="B1814" s="108">
        <v>2019</v>
      </c>
      <c r="C1814" s="108" t="s">
        <v>38</v>
      </c>
      <c r="D1814" s="108" t="s">
        <v>143</v>
      </c>
      <c r="E1814" s="108" t="s">
        <v>10</v>
      </c>
      <c r="F1814" s="116">
        <v>788</v>
      </c>
      <c r="G1814" s="108" t="s">
        <v>52</v>
      </c>
      <c r="H1814" s="108" t="str">
        <f t="shared" si="152"/>
        <v>Nooksack River</v>
      </c>
      <c r="I1814" s="108" t="str">
        <f>IFERROR(VLOOKUP(H1814,LUTs!$A$1:$C$73,2,FALSE),"NA")</f>
        <v>Whatcom</v>
      </c>
      <c r="J1814" s="108" t="str">
        <f>IFERROR(VLOOKUP(H1814,LUTs!$A$1:$C$73,3,FALSE),"NA")</f>
        <v>1North Puget Sound</v>
      </c>
      <c r="K1814" s="108" t="s">
        <v>15</v>
      </c>
      <c r="L1814" s="108" t="str">
        <f>VLOOKUP(K1814,LUTs!E$2:G$14,3,)</f>
        <v>02Skagit</v>
      </c>
      <c r="M1814" s="108" t="str">
        <f>VLOOKUP($K1814,LUTs!$E$2:$H$14,2,)</f>
        <v>North Puget Sound</v>
      </c>
      <c r="N1814" s="108" t="str">
        <f>VLOOKUP($K1814,LUTs!$E$2:$H$14,4,)</f>
        <v>01North Puget Sound</v>
      </c>
      <c r="O1814" s="108">
        <v>392.87866108786602</v>
      </c>
      <c r="P1814" s="108">
        <v>1351.50259414226</v>
      </c>
      <c r="Q1814" s="108">
        <f>SUMIFS('FW_Salmon_by_Month_2010-2021'!P$2:P$3810,'FW_Salmon_by_Month_2010-2021'!$B$2:$B$3810,'Rec_raw_catch_effort_2010-2021'!$B1814,'FW_Salmon_by_Month_2010-2021'!$H$2:$H$3810,'Rec_raw_catch_effort_2010-2021'!$F1814,'FW_Salmon_by_Month_2010-2021'!$M$2:$M$3810,'Rec_raw_catch_effort_2010-2021'!$K1814)</f>
        <v>340.15306122448982</v>
      </c>
      <c r="R1814" s="109">
        <f>VLOOKUP(B1814,Readme!$A$62:$C$74,2,)*Q1814</f>
        <v>1203.8154393892532</v>
      </c>
      <c r="S1814" s="140" t="str">
        <f t="shared" si="153"/>
        <v>Y</v>
      </c>
      <c r="T1814" s="154">
        <f t="shared" si="154"/>
        <v>3.4400000000000022</v>
      </c>
      <c r="U1814" s="154">
        <f t="shared" si="155"/>
        <v>3.5390404397824153</v>
      </c>
    </row>
    <row r="1815" spans="1:21" x14ac:dyDescent="0.35">
      <c r="A1815" s="108">
        <v>2878</v>
      </c>
      <c r="B1815" s="108">
        <v>2019</v>
      </c>
      <c r="C1815" s="108" t="s">
        <v>38</v>
      </c>
      <c r="D1815" s="108" t="s">
        <v>143</v>
      </c>
      <c r="E1815" s="108" t="s">
        <v>10</v>
      </c>
      <c r="F1815" s="116">
        <v>788</v>
      </c>
      <c r="G1815" s="108" t="s">
        <v>52</v>
      </c>
      <c r="H1815" s="108" t="str">
        <f t="shared" si="152"/>
        <v>Nooksack River</v>
      </c>
      <c r="I1815" s="108" t="str">
        <f>IFERROR(VLOOKUP(H1815,LUTs!$A$1:$C$73,2,FALSE),"NA")</f>
        <v>Whatcom</v>
      </c>
      <c r="J1815" s="108" t="str">
        <f>IFERROR(VLOOKUP(H1815,LUTs!$A$1:$C$73,3,FALSE),"NA")</f>
        <v>1North Puget Sound</v>
      </c>
      <c r="K1815" s="108" t="s">
        <v>16</v>
      </c>
      <c r="L1815" s="108" t="str">
        <f>VLOOKUP(K1815,LUTs!E$2:G$14,3,)</f>
        <v>03Snohomish</v>
      </c>
      <c r="M1815" s="108" t="str">
        <f>VLOOKUP($K1815,LUTs!$E$2:$H$14,2,)</f>
        <v>North Puget Sound</v>
      </c>
      <c r="N1815" s="108" t="str">
        <f>VLOOKUP($K1815,LUTs!$E$2:$H$14,4,)</f>
        <v>01North Puget Sound</v>
      </c>
      <c r="O1815" s="108">
        <v>175.76150627615101</v>
      </c>
      <c r="P1815" s="108">
        <v>604.61958158995901</v>
      </c>
      <c r="Q1815" s="108">
        <f>SUMIFS('FW_Salmon_by_Month_2010-2021'!P$2:P$3810,'FW_Salmon_by_Month_2010-2021'!$B$2:$B$3810,'Rec_raw_catch_effort_2010-2021'!$B1815,'FW_Salmon_by_Month_2010-2021'!$H$2:$H$3810,'Rec_raw_catch_effort_2010-2021'!$F1815,'FW_Salmon_by_Month_2010-2021'!$M$2:$M$3810,'Rec_raw_catch_effort_2010-2021'!$K1815)</f>
        <v>180.625</v>
      </c>
      <c r="R1815" s="109">
        <f>VLOOKUP(B1815,Readme!$A$62:$C$74,2,)*Q1815</f>
        <v>639.23917943569882</v>
      </c>
      <c r="S1815" s="140" t="str">
        <f t="shared" si="153"/>
        <v>Y</v>
      </c>
      <c r="T1815" s="154">
        <f t="shared" si="154"/>
        <v>3.4399999999999973</v>
      </c>
      <c r="U1815" s="154">
        <f t="shared" si="155"/>
        <v>3.5390404397824158</v>
      </c>
    </row>
    <row r="1816" spans="1:21" x14ac:dyDescent="0.35">
      <c r="A1816" s="108">
        <v>2876</v>
      </c>
      <c r="B1816" s="108">
        <v>2019</v>
      </c>
      <c r="C1816" s="108" t="s">
        <v>38</v>
      </c>
      <c r="D1816" s="108" t="s">
        <v>143</v>
      </c>
      <c r="E1816" s="108" t="s">
        <v>10</v>
      </c>
      <c r="F1816" s="116">
        <v>788</v>
      </c>
      <c r="G1816" s="108" t="s">
        <v>52</v>
      </c>
      <c r="H1816" s="108" t="str">
        <f t="shared" si="152"/>
        <v>Nooksack River</v>
      </c>
      <c r="I1816" s="108" t="str">
        <f>IFERROR(VLOOKUP(H1816,LUTs!$A$1:$C$73,2,FALSE),"NA")</f>
        <v>Whatcom</v>
      </c>
      <c r="J1816" s="108" t="str">
        <f>IFERROR(VLOOKUP(H1816,LUTs!$A$1:$C$73,3,FALSE),"NA")</f>
        <v>1North Puget Sound</v>
      </c>
      <c r="K1816" s="108" t="s">
        <v>13</v>
      </c>
      <c r="L1816" s="108" t="str">
        <f>VLOOKUP(K1816,LUTs!E$2:G$14,3,)</f>
        <v>01Whatcom</v>
      </c>
      <c r="M1816" s="108" t="str">
        <f>VLOOKUP($K1816,LUTs!$E$2:$H$14,2,)</f>
        <v>North Puget Sound</v>
      </c>
      <c r="N1816" s="108" t="str">
        <f>VLOOKUP($K1816,LUTs!$E$2:$H$14,4,)</f>
        <v>01North Puget Sound</v>
      </c>
      <c r="O1816" s="108">
        <v>1499.14225941423</v>
      </c>
      <c r="P1816" s="108">
        <v>5157.0493723849504</v>
      </c>
      <c r="Q1816" s="108">
        <f>SUMIFS('FW_Salmon_by_Month_2010-2021'!P$2:P$3810,'FW_Salmon_by_Month_2010-2021'!$B$2:$B$3810,'Rec_raw_catch_effort_2010-2021'!$B1816,'FW_Salmon_by_Month_2010-2021'!$H$2:$H$3810,'Rec_raw_catch_effort_2010-2021'!$F1816,'FW_Salmon_by_Month_2010-2021'!$M$2:$M$3810,'Rec_raw_catch_effort_2010-2021'!$K1816)</f>
        <v>1536.792857142857</v>
      </c>
      <c r="R1816" s="109">
        <f>VLOOKUP(B1816,Readme!$A$62:$C$74,2,)*Q1816</f>
        <v>5438.7720689973312</v>
      </c>
      <c r="S1816" s="140" t="str">
        <f t="shared" si="153"/>
        <v>Y</v>
      </c>
      <c r="T1816" s="154">
        <f t="shared" si="154"/>
        <v>3.4399999999999995</v>
      </c>
      <c r="U1816" s="154">
        <f t="shared" si="155"/>
        <v>3.5390404397824153</v>
      </c>
    </row>
    <row r="1817" spans="1:21" x14ac:dyDescent="0.35">
      <c r="A1817" s="108">
        <v>3105</v>
      </c>
      <c r="B1817" s="108">
        <v>2020</v>
      </c>
      <c r="C1817" s="108" t="s">
        <v>38</v>
      </c>
      <c r="D1817" s="108" t="s">
        <v>143</v>
      </c>
      <c r="E1817" s="108" t="s">
        <v>10</v>
      </c>
      <c r="F1817" s="116">
        <v>788</v>
      </c>
      <c r="G1817" s="108" t="s">
        <v>80</v>
      </c>
      <c r="H1817" s="108" t="s">
        <v>52</v>
      </c>
      <c r="I1817" s="108" t="str">
        <f>IFERROR(VLOOKUP(H1817,LUTs!$A$1:$C$73,2,FALSE),"NA")</f>
        <v>Whatcom</v>
      </c>
      <c r="J1817" s="108" t="str">
        <f>IFERROR(VLOOKUP(H1817,LUTs!$A$1:$C$73,3,FALSE),"NA")</f>
        <v>1North Puget Sound</v>
      </c>
      <c r="K1817" s="108" t="s">
        <v>13</v>
      </c>
      <c r="L1817" s="108" t="str">
        <f>VLOOKUP(K1817,LUTs!E$2:G$14,3,)</f>
        <v>01Whatcom</v>
      </c>
      <c r="M1817" s="108" t="str">
        <f>VLOOKUP($K1817,LUTs!$E$2:$H$14,2,)</f>
        <v>North Puget Sound</v>
      </c>
      <c r="N1817" s="108" t="str">
        <f>VLOOKUP($K1817,LUTs!$E$2:$H$14,4,)</f>
        <v>01North Puget Sound</v>
      </c>
      <c r="O1817" s="108">
        <v>0</v>
      </c>
      <c r="P1817" s="108">
        <v>0</v>
      </c>
      <c r="Q1817" s="108">
        <f>SUMIFS('FW_Salmon_by_Month_2010-2021'!P$2:P$3810,'FW_Salmon_by_Month_2010-2021'!$B$2:$B$3810,'Rec_raw_catch_effort_2010-2021'!$B1817,'FW_Salmon_by_Month_2010-2021'!$H$2:$H$3810,'Rec_raw_catch_effort_2010-2021'!$F1817,'FW_Salmon_by_Month_2010-2021'!$M$2:$M$3810,'Rec_raw_catch_effort_2010-2021'!$K1817)</f>
        <v>0</v>
      </c>
      <c r="R1817" s="109">
        <f>VLOOKUP(B1817,Readme!$A$62:$C$74,2,)*Q1817</f>
        <v>0</v>
      </c>
      <c r="S1817" s="140" t="str">
        <f t="shared" si="153"/>
        <v>N</v>
      </c>
      <c r="T1817" s="154" t="str">
        <f t="shared" si="154"/>
        <v>NA</v>
      </c>
      <c r="U1817" s="154" t="str">
        <f t="shared" si="155"/>
        <v>NA</v>
      </c>
    </row>
    <row r="1818" spans="1:21" x14ac:dyDescent="0.35">
      <c r="A1818" s="108">
        <v>3127</v>
      </c>
      <c r="B1818" s="108">
        <v>2021</v>
      </c>
      <c r="C1818" s="108" t="s">
        <v>38</v>
      </c>
      <c r="D1818" s="108" t="s">
        <v>143</v>
      </c>
      <c r="E1818" s="108" t="s">
        <v>10</v>
      </c>
      <c r="F1818" s="116">
        <v>788</v>
      </c>
      <c r="G1818" s="108" t="s">
        <v>80</v>
      </c>
      <c r="H1818" s="108" t="s">
        <v>52</v>
      </c>
      <c r="I1818" s="108" t="str">
        <f>IFERROR(VLOOKUP(H1818,LUTs!$A$1:$C$73,2,FALSE),"NA")</f>
        <v>Whatcom</v>
      </c>
      <c r="J1818" s="108" t="str">
        <f>IFERROR(VLOOKUP(H1818,LUTs!$A$1:$C$73,3,FALSE),"NA")</f>
        <v>1North Puget Sound</v>
      </c>
      <c r="K1818" s="108" t="s">
        <v>13</v>
      </c>
      <c r="L1818" s="108" t="str">
        <f>VLOOKUP(K1818,LUTs!E$2:G$14,3,)</f>
        <v>01Whatcom</v>
      </c>
      <c r="M1818" s="108" t="str">
        <f>VLOOKUP($K1818,LUTs!$E$2:$H$14,2,)</f>
        <v>North Puget Sound</v>
      </c>
      <c r="N1818" s="108" t="str">
        <f>VLOOKUP($K1818,LUTs!$E$2:$H$14,4,)</f>
        <v>01North Puget Sound</v>
      </c>
      <c r="O1818" s="108">
        <v>14</v>
      </c>
      <c r="P1818" s="108">
        <v>48.16</v>
      </c>
      <c r="Q1818" s="108">
        <f>SUMIFS('FW_Salmon_by_Month_2010-2021'!P$2:P$3810,'FW_Salmon_by_Month_2010-2021'!$B$2:$B$3810,'Rec_raw_catch_effort_2010-2021'!$B1818,'FW_Salmon_by_Month_2010-2021'!$H$2:$H$3810,'Rec_raw_catch_effort_2010-2021'!$F1818,'FW_Salmon_by_Month_2010-2021'!$M$2:$M$3810,'Rec_raw_catch_effort_2010-2021'!$K1818)</f>
        <v>14</v>
      </c>
      <c r="R1818" s="109">
        <f>VLOOKUP(B1818,Readme!$A$62:$C$74,2,)*Q1818</f>
        <v>49.546566156953816</v>
      </c>
      <c r="S1818" s="140" t="str">
        <f t="shared" si="153"/>
        <v>N</v>
      </c>
      <c r="T1818" s="154">
        <f t="shared" si="154"/>
        <v>3.44</v>
      </c>
      <c r="U1818" s="154">
        <f t="shared" si="155"/>
        <v>3.5390404397824153</v>
      </c>
    </row>
    <row r="1819" spans="1:21" x14ac:dyDescent="0.35">
      <c r="A1819" s="108">
        <v>3107</v>
      </c>
      <c r="B1819" s="108">
        <v>2020</v>
      </c>
      <c r="C1819" s="108" t="s">
        <v>38</v>
      </c>
      <c r="D1819" s="108" t="s">
        <v>143</v>
      </c>
      <c r="E1819" s="108" t="s">
        <v>10</v>
      </c>
      <c r="F1819" s="116">
        <v>790</v>
      </c>
      <c r="G1819" s="108" t="s">
        <v>81</v>
      </c>
      <c r="H1819" s="108" t="s">
        <v>92</v>
      </c>
      <c r="I1819" s="108" t="str">
        <f>IFERROR(VLOOKUP(H1819,LUTs!$A$1:$C$73,2,FALSE),"NA")</f>
        <v>Whatcom</v>
      </c>
      <c r="J1819" s="108" t="str">
        <f>IFERROR(VLOOKUP(H1819,LUTs!$A$1:$C$73,3,FALSE),"NA")</f>
        <v>1North Puget Sound</v>
      </c>
      <c r="K1819" s="108" t="s">
        <v>15</v>
      </c>
      <c r="L1819" s="108" t="str">
        <f>VLOOKUP(K1819,LUTs!E$2:G$14,3,)</f>
        <v>02Skagit</v>
      </c>
      <c r="M1819" s="108" t="str">
        <f>VLOOKUP($K1819,LUTs!$E$2:$H$14,2,)</f>
        <v>North Puget Sound</v>
      </c>
      <c r="N1819" s="108" t="str">
        <f>VLOOKUP($K1819,LUTs!$E$2:$H$14,4,)</f>
        <v>01North Puget Sound</v>
      </c>
      <c r="O1819" s="108">
        <v>47.382352941176499</v>
      </c>
      <c r="P1819" s="108">
        <v>409.857352941177</v>
      </c>
      <c r="Q1819" s="108">
        <f>SUMIFS('FW_Salmon_by_Month_2010-2021'!P$2:P$3810,'FW_Salmon_by_Month_2010-2021'!$B$2:$B$3810,'Rec_raw_catch_effort_2010-2021'!$B1819,'FW_Salmon_by_Month_2010-2021'!$H$2:$H$3810,'Rec_raw_catch_effort_2010-2021'!$F1819,'FW_Salmon_by_Month_2010-2021'!$M$2:$M$3810,'Rec_raw_catch_effort_2010-2021'!$K1819)</f>
        <v>36.809523809523796</v>
      </c>
      <c r="R1819" s="109">
        <f>VLOOKUP(B1819,Readme!$A$62:$C$74,2,)*Q1819</f>
        <v>177.40552099426233</v>
      </c>
      <c r="S1819" s="140" t="str">
        <f t="shared" si="153"/>
        <v>N</v>
      </c>
      <c r="T1819" s="154">
        <f t="shared" si="154"/>
        <v>8.6500000000000057</v>
      </c>
      <c r="U1819" s="154">
        <f t="shared" si="155"/>
        <v>4.8195549041132084</v>
      </c>
    </row>
    <row r="1820" spans="1:21" x14ac:dyDescent="0.35">
      <c r="A1820" s="108">
        <v>3115</v>
      </c>
      <c r="B1820" s="108">
        <v>2020</v>
      </c>
      <c r="C1820" s="108" t="s">
        <v>38</v>
      </c>
      <c r="D1820" s="108" t="s">
        <v>143</v>
      </c>
      <c r="E1820" s="108" t="s">
        <v>10</v>
      </c>
      <c r="F1820" s="116">
        <v>790</v>
      </c>
      <c r="G1820" s="108" t="s">
        <v>81</v>
      </c>
      <c r="H1820" s="108" t="s">
        <v>92</v>
      </c>
      <c r="I1820" s="108" t="str">
        <f>IFERROR(VLOOKUP(H1820,LUTs!$A$1:$C$73,2,FALSE),"NA")</f>
        <v>Whatcom</v>
      </c>
      <c r="J1820" s="108" t="str">
        <f>IFERROR(VLOOKUP(H1820,LUTs!$A$1:$C$73,3,FALSE),"NA")</f>
        <v>1North Puget Sound</v>
      </c>
      <c r="K1820" s="108" t="s">
        <v>16</v>
      </c>
      <c r="L1820" s="108" t="str">
        <f>VLOOKUP(K1820,LUTs!E$2:G$14,3,)</f>
        <v>03Snohomish</v>
      </c>
      <c r="M1820" s="108" t="str">
        <f>VLOOKUP($K1820,LUTs!$E$2:$H$14,2,)</f>
        <v>North Puget Sound</v>
      </c>
      <c r="N1820" s="108" t="str">
        <f>VLOOKUP($K1820,LUTs!$E$2:$H$14,4,)</f>
        <v>01North Puget Sound</v>
      </c>
      <c r="O1820" s="108">
        <v>78.970588235294102</v>
      </c>
      <c r="P1820" s="108">
        <v>683.09558823529403</v>
      </c>
      <c r="Q1820" s="108">
        <f>SUMIFS('FW_Salmon_by_Month_2010-2021'!P$2:P$3810,'FW_Salmon_by_Month_2010-2021'!$B$2:$B$3810,'Rec_raw_catch_effort_2010-2021'!$B1820,'FW_Salmon_by_Month_2010-2021'!$H$2:$H$3810,'Rec_raw_catch_effort_2010-2021'!$F1820,'FW_Salmon_by_Month_2010-2021'!$M$2:$M$3810,'Rec_raw_catch_effort_2010-2021'!$K1820)</f>
        <v>131.19047619047632</v>
      </c>
      <c r="R1820" s="109">
        <f>VLOOKUP(B1820,Readme!$A$62:$C$74,2,)*Q1820</f>
        <v>632.27970289675727</v>
      </c>
      <c r="S1820" s="140" t="str">
        <f t="shared" si="153"/>
        <v>N</v>
      </c>
      <c r="T1820" s="154">
        <f t="shared" si="154"/>
        <v>8.65</v>
      </c>
      <c r="U1820" s="154">
        <f t="shared" si="155"/>
        <v>4.8195549041132084</v>
      </c>
    </row>
    <row r="1821" spans="1:21" x14ac:dyDescent="0.35">
      <c r="A1821" s="108">
        <v>3106</v>
      </c>
      <c r="B1821" s="108">
        <v>2020</v>
      </c>
      <c r="C1821" s="108" t="s">
        <v>38</v>
      </c>
      <c r="D1821" s="108" t="s">
        <v>143</v>
      </c>
      <c r="E1821" s="108" t="s">
        <v>10</v>
      </c>
      <c r="F1821" s="116">
        <v>790</v>
      </c>
      <c r="G1821" s="108" t="s">
        <v>81</v>
      </c>
      <c r="H1821" s="108" t="s">
        <v>92</v>
      </c>
      <c r="I1821" s="108" t="str">
        <f>IFERROR(VLOOKUP(H1821,LUTs!$A$1:$C$73,2,FALSE),"NA")</f>
        <v>Whatcom</v>
      </c>
      <c r="J1821" s="108" t="str">
        <f>IFERROR(VLOOKUP(H1821,LUTs!$A$1:$C$73,3,FALSE),"NA")</f>
        <v>1North Puget Sound</v>
      </c>
      <c r="K1821" s="108" t="s">
        <v>13</v>
      </c>
      <c r="L1821" s="108" t="str">
        <f>VLOOKUP(K1821,LUTs!E$2:G$14,3,)</f>
        <v>01Whatcom</v>
      </c>
      <c r="M1821" s="108" t="str">
        <f>VLOOKUP($K1821,LUTs!$E$2:$H$14,2,)</f>
        <v>North Puget Sound</v>
      </c>
      <c r="N1821" s="108" t="str">
        <f>VLOOKUP($K1821,LUTs!$E$2:$H$14,4,)</f>
        <v>01North Puget Sound</v>
      </c>
      <c r="O1821" s="108">
        <v>410.64705882353002</v>
      </c>
      <c r="P1821" s="108">
        <v>3552.09705882354</v>
      </c>
      <c r="Q1821" s="108">
        <f>SUMIFS('FW_Salmon_by_Month_2010-2021'!P$2:P$3810,'FW_Salmon_by_Month_2010-2021'!$B$2:$B$3810,'Rec_raw_catch_effort_2010-2021'!$B1821,'FW_Salmon_by_Month_2010-2021'!$H$2:$H$3810,'Rec_raw_catch_effort_2010-2021'!$F1821,'FW_Salmon_by_Month_2010-2021'!$M$2:$M$3810,'Rec_raw_catch_effort_2010-2021'!$K1821)</f>
        <v>369.00000000000023</v>
      </c>
      <c r="R1821" s="109">
        <f>VLOOKUP(B1821,Readme!$A$62:$C$74,2,)*Q1821</f>
        <v>1778.4157596177749</v>
      </c>
      <c r="S1821" s="140" t="str">
        <f t="shared" si="153"/>
        <v>N</v>
      </c>
      <c r="T1821" s="154">
        <f t="shared" si="154"/>
        <v>8.6500000000000128</v>
      </c>
      <c r="U1821" s="154">
        <f t="shared" si="155"/>
        <v>4.8195549041132084</v>
      </c>
    </row>
    <row r="1822" spans="1:21" x14ac:dyDescent="0.35">
      <c r="A1822" s="108">
        <v>3129</v>
      </c>
      <c r="B1822" s="108">
        <v>2021</v>
      </c>
      <c r="C1822" s="108" t="s">
        <v>38</v>
      </c>
      <c r="D1822" s="108" t="s">
        <v>143</v>
      </c>
      <c r="E1822" s="108" t="s">
        <v>10</v>
      </c>
      <c r="F1822" s="116">
        <v>790</v>
      </c>
      <c r="G1822" s="108" t="s">
        <v>81</v>
      </c>
      <c r="H1822" s="108" t="s">
        <v>92</v>
      </c>
      <c r="I1822" s="108" t="str">
        <f>IFERROR(VLOOKUP(H1822,LUTs!$A$1:$C$73,2,FALSE),"NA")</f>
        <v>Whatcom</v>
      </c>
      <c r="J1822" s="108" t="str">
        <f>IFERROR(VLOOKUP(H1822,LUTs!$A$1:$C$73,3,FALSE),"NA")</f>
        <v>1North Puget Sound</v>
      </c>
      <c r="K1822" s="108" t="s">
        <v>17</v>
      </c>
      <c r="L1822" s="108" t="str">
        <f>VLOOKUP(K1822,LUTs!E$2:G$14,3,)</f>
        <v>04Island</v>
      </c>
      <c r="M1822" s="108" t="str">
        <f>VLOOKUP($K1822,LUTs!$E$2:$H$14,2,)</f>
        <v>North Puget Sound</v>
      </c>
      <c r="N1822" s="108" t="str">
        <f>VLOOKUP($K1822,LUTs!$E$2:$H$14,4,)</f>
        <v>01North Puget Sound</v>
      </c>
      <c r="O1822" s="108">
        <v>14.85</v>
      </c>
      <c r="P1822" s="108">
        <v>51.084000000000003</v>
      </c>
      <c r="Q1822" s="108">
        <f>SUMIFS('FW_Salmon_by_Month_2010-2021'!P$2:P$3810,'FW_Salmon_by_Month_2010-2021'!$B$2:$B$3810,'Rec_raw_catch_effort_2010-2021'!$B1822,'FW_Salmon_by_Month_2010-2021'!$H$2:$H$3810,'Rec_raw_catch_effort_2010-2021'!$F1822,'FW_Salmon_by_Month_2010-2021'!$M$2:$M$3810,'Rec_raw_catch_effort_2010-2021'!$K1822)</f>
        <v>17.2222222222222</v>
      </c>
      <c r="R1822" s="109">
        <f>VLOOKUP(B1822,Readme!$A$62:$C$74,2,)*Q1822</f>
        <v>60.950140907363739</v>
      </c>
      <c r="S1822" s="140" t="str">
        <f t="shared" si="153"/>
        <v>N</v>
      </c>
      <c r="T1822" s="154">
        <f t="shared" si="154"/>
        <v>3.4400000000000004</v>
      </c>
      <c r="U1822" s="154">
        <f t="shared" si="155"/>
        <v>3.5390404397824153</v>
      </c>
    </row>
    <row r="1823" spans="1:21" x14ac:dyDescent="0.35">
      <c r="A1823" s="108">
        <v>3130</v>
      </c>
      <c r="B1823" s="108">
        <v>2021</v>
      </c>
      <c r="C1823" s="108" t="s">
        <v>38</v>
      </c>
      <c r="D1823" s="108" t="s">
        <v>143</v>
      </c>
      <c r="E1823" s="108" t="s">
        <v>10</v>
      </c>
      <c r="F1823" s="116">
        <v>790</v>
      </c>
      <c r="G1823" s="108" t="s">
        <v>81</v>
      </c>
      <c r="H1823" s="108" t="s">
        <v>92</v>
      </c>
      <c r="I1823" s="108" t="str">
        <f>IFERROR(VLOOKUP(H1823,LUTs!$A$1:$C$73,2,FALSE),"NA")</f>
        <v>Whatcom</v>
      </c>
      <c r="J1823" s="108" t="str">
        <f>IFERROR(VLOOKUP(H1823,LUTs!$A$1:$C$73,3,FALSE),"NA")</f>
        <v>1North Puget Sound</v>
      </c>
      <c r="K1823" s="108" t="s">
        <v>18</v>
      </c>
      <c r="L1823" s="108" t="str">
        <f>VLOOKUP(K1823,LUTs!E$2:G$14,3,)</f>
        <v>06King</v>
      </c>
      <c r="M1823" s="108" t="str">
        <f>VLOOKUP($K1823,LUTs!$E$2:$H$14,2,)</f>
        <v>South Puget Sound</v>
      </c>
      <c r="N1823" s="108" t="str">
        <f>VLOOKUP($K1823,LUTs!$E$2:$H$14,4,)</f>
        <v>02South Puget Sound</v>
      </c>
      <c r="O1823" s="108">
        <v>14.85</v>
      </c>
      <c r="P1823" s="108">
        <v>51.084000000000003</v>
      </c>
      <c r="Q1823" s="108">
        <f>SUMIFS('FW_Salmon_by_Month_2010-2021'!P$2:P$3810,'FW_Salmon_by_Month_2010-2021'!$B$2:$B$3810,'Rec_raw_catch_effort_2010-2021'!$B1823,'FW_Salmon_by_Month_2010-2021'!$H$2:$H$3810,'Rec_raw_catch_effort_2010-2021'!$F1823,'FW_Salmon_by_Month_2010-2021'!$M$2:$M$3810,'Rec_raw_catch_effort_2010-2021'!$K1823)</f>
        <v>27</v>
      </c>
      <c r="R1823" s="109">
        <f>VLOOKUP(B1823,Readme!$A$62:$C$74,2,)*Q1823</f>
        <v>95.55409187412522</v>
      </c>
      <c r="S1823" s="140" t="str">
        <f t="shared" si="153"/>
        <v>N</v>
      </c>
      <c r="T1823" s="154">
        <f t="shared" si="154"/>
        <v>3.4400000000000004</v>
      </c>
      <c r="U1823" s="154">
        <f t="shared" si="155"/>
        <v>3.5390404397824153</v>
      </c>
    </row>
    <row r="1824" spans="1:21" x14ac:dyDescent="0.35">
      <c r="A1824" s="108">
        <v>3128</v>
      </c>
      <c r="B1824" s="108">
        <v>2021</v>
      </c>
      <c r="C1824" s="108" t="s">
        <v>38</v>
      </c>
      <c r="D1824" s="108" t="s">
        <v>143</v>
      </c>
      <c r="E1824" s="108" t="s">
        <v>10</v>
      </c>
      <c r="F1824" s="116">
        <v>790</v>
      </c>
      <c r="G1824" s="108" t="s">
        <v>81</v>
      </c>
      <c r="H1824" s="108" t="s">
        <v>92</v>
      </c>
      <c r="I1824" s="108" t="str">
        <f>IFERROR(VLOOKUP(H1824,LUTs!$A$1:$C$73,2,FALSE),"NA")</f>
        <v>Whatcom</v>
      </c>
      <c r="J1824" s="108" t="str">
        <f>IFERROR(VLOOKUP(H1824,LUTs!$A$1:$C$73,3,FALSE),"NA")</f>
        <v>1North Puget Sound</v>
      </c>
      <c r="K1824" s="108" t="s">
        <v>13</v>
      </c>
      <c r="L1824" s="108" t="str">
        <f>VLOOKUP(K1824,LUTs!E$2:G$14,3,)</f>
        <v>01Whatcom</v>
      </c>
      <c r="M1824" s="108" t="str">
        <f>VLOOKUP($K1824,LUTs!$E$2:$H$14,2,)</f>
        <v>North Puget Sound</v>
      </c>
      <c r="N1824" s="108" t="str">
        <f>VLOOKUP($K1824,LUTs!$E$2:$H$14,4,)</f>
        <v>01North Puget Sound</v>
      </c>
      <c r="O1824" s="108">
        <v>267.3</v>
      </c>
      <c r="P1824" s="108">
        <v>919.51199999999994</v>
      </c>
      <c r="Q1824" s="108">
        <f>SUMIFS('FW_Salmon_by_Month_2010-2021'!P$2:P$3810,'FW_Salmon_by_Month_2010-2021'!$B$2:$B$3810,'Rec_raw_catch_effort_2010-2021'!$B1824,'FW_Salmon_by_Month_2010-2021'!$H$2:$H$3810,'Rec_raw_catch_effort_2010-2021'!$F1824,'FW_Salmon_by_Month_2010-2021'!$M$2:$M$3810,'Rec_raw_catch_effort_2010-2021'!$K1824)</f>
        <v>236.777777777778</v>
      </c>
      <c r="R1824" s="109">
        <f>VLOOKUP(B1824,Readme!$A$62:$C$74,2,)*Q1824</f>
        <v>837.96613079737051</v>
      </c>
      <c r="S1824" s="140" t="str">
        <f t="shared" si="153"/>
        <v>N</v>
      </c>
      <c r="T1824" s="154">
        <f t="shared" si="154"/>
        <v>3.4399999999999995</v>
      </c>
      <c r="U1824" s="154">
        <f t="shared" si="155"/>
        <v>3.5390404397824153</v>
      </c>
    </row>
    <row r="1825" spans="1:21" x14ac:dyDescent="0.35">
      <c r="A1825" s="108">
        <v>3125</v>
      </c>
      <c r="B1825" s="108">
        <v>2020</v>
      </c>
      <c r="C1825" s="108" t="s">
        <v>38</v>
      </c>
      <c r="D1825" s="108" t="s">
        <v>143</v>
      </c>
      <c r="E1825" s="108" t="s">
        <v>10</v>
      </c>
      <c r="F1825" s="116">
        <v>792</v>
      </c>
      <c r="G1825" s="108" t="s">
        <v>82</v>
      </c>
      <c r="H1825" s="108" t="s">
        <v>93</v>
      </c>
      <c r="I1825" s="108" t="str">
        <f>IFERROR(VLOOKUP(H1825,LUTs!$A$1:$C$73,2,FALSE),"NA")</f>
        <v>Whatcom</v>
      </c>
      <c r="J1825" s="108" t="str">
        <f>IFERROR(VLOOKUP(H1825,LUTs!$A$1:$C$73,3,FALSE),"NA")</f>
        <v>1North Puget Sound</v>
      </c>
      <c r="K1825" s="108" t="s">
        <v>17</v>
      </c>
      <c r="L1825" s="108" t="str">
        <f>VLOOKUP(K1825,LUTs!E$2:G$14,3,)</f>
        <v>04Island</v>
      </c>
      <c r="M1825" s="108" t="str">
        <f>VLOOKUP($K1825,LUTs!$E$2:$H$14,2,)</f>
        <v>North Puget Sound</v>
      </c>
      <c r="N1825" s="108" t="str">
        <f>VLOOKUP($K1825,LUTs!$E$2:$H$14,4,)</f>
        <v>01North Puget Sound</v>
      </c>
      <c r="O1825" s="108">
        <v>36.538461538461497</v>
      </c>
      <c r="P1825" s="108">
        <v>316.05769230769198</v>
      </c>
      <c r="Q1825" s="108">
        <f>SUMIFS('FW_Salmon_by_Month_2010-2021'!P$2:P$3810,'FW_Salmon_by_Month_2010-2021'!$B$2:$B$3810,'Rec_raw_catch_effort_2010-2021'!$B1825,'FW_Salmon_by_Month_2010-2021'!$H$2:$H$3810,'Rec_raw_catch_effort_2010-2021'!$F1825,'FW_Salmon_by_Month_2010-2021'!$M$2:$M$3810,'Rec_raw_catch_effort_2010-2021'!$K1825)</f>
        <v>36.5675675675676</v>
      </c>
      <c r="R1825" s="109">
        <f>VLOOKUP(B1825,Readme!$A$62:$C$74,2,)*Q1825</f>
        <v>176.23939960176153</v>
      </c>
      <c r="S1825" s="140" t="str">
        <f t="shared" si="153"/>
        <v>N</v>
      </c>
      <c r="T1825" s="154">
        <f t="shared" si="154"/>
        <v>8.65</v>
      </c>
      <c r="U1825" s="154">
        <f t="shared" si="155"/>
        <v>4.8195549041132084</v>
      </c>
    </row>
    <row r="1826" spans="1:21" x14ac:dyDescent="0.35">
      <c r="A1826" s="108">
        <v>3126</v>
      </c>
      <c r="B1826" s="108">
        <v>2020</v>
      </c>
      <c r="C1826" s="108" t="s">
        <v>38</v>
      </c>
      <c r="D1826" s="108" t="s">
        <v>143</v>
      </c>
      <c r="E1826" s="108" t="s">
        <v>10</v>
      </c>
      <c r="F1826" s="116">
        <v>792</v>
      </c>
      <c r="G1826" s="108" t="s">
        <v>82</v>
      </c>
      <c r="H1826" s="108" t="s">
        <v>93</v>
      </c>
      <c r="I1826" s="108" t="str">
        <f>IFERROR(VLOOKUP(H1826,LUTs!$A$1:$C$73,2,FALSE),"NA")</f>
        <v>Whatcom</v>
      </c>
      <c r="J1826" s="108" t="str">
        <f>IFERROR(VLOOKUP(H1826,LUTs!$A$1:$C$73,3,FALSE),"NA")</f>
        <v>1North Puget Sound</v>
      </c>
      <c r="K1826" s="108" t="s">
        <v>18</v>
      </c>
      <c r="L1826" s="108" t="str">
        <f>VLOOKUP(K1826,LUTs!E$2:G$14,3,)</f>
        <v>06King</v>
      </c>
      <c r="M1826" s="108" t="str">
        <f>VLOOKUP($K1826,LUTs!$E$2:$H$14,2,)</f>
        <v>South Puget Sound</v>
      </c>
      <c r="N1826" s="108" t="str">
        <f>VLOOKUP($K1826,LUTs!$E$2:$H$14,4,)</f>
        <v>02South Puget Sound</v>
      </c>
      <c r="O1826" s="108">
        <v>36.538461538461497</v>
      </c>
      <c r="P1826" s="108">
        <v>316.05769230769198</v>
      </c>
      <c r="Q1826" s="108">
        <f>SUMIFS('FW_Salmon_by_Month_2010-2021'!P$2:P$3810,'FW_Salmon_by_Month_2010-2021'!$B$2:$B$3810,'Rec_raw_catch_effort_2010-2021'!$B1826,'FW_Salmon_by_Month_2010-2021'!$H$2:$H$3810,'Rec_raw_catch_effort_2010-2021'!$F1826,'FW_Salmon_by_Month_2010-2021'!$M$2:$M$3810,'Rec_raw_catch_effort_2010-2021'!$K1826)</f>
        <v>36.5675675675676</v>
      </c>
      <c r="R1826" s="109">
        <f>VLOOKUP(B1826,Readme!$A$62:$C$74,2,)*Q1826</f>
        <v>176.23939960176153</v>
      </c>
      <c r="S1826" s="140" t="str">
        <f t="shared" si="153"/>
        <v>N</v>
      </c>
      <c r="T1826" s="154">
        <f t="shared" si="154"/>
        <v>8.65</v>
      </c>
      <c r="U1826" s="154">
        <f t="shared" si="155"/>
        <v>4.8195549041132084</v>
      </c>
    </row>
    <row r="1827" spans="1:21" x14ac:dyDescent="0.35">
      <c r="A1827" s="108">
        <v>3117</v>
      </c>
      <c r="B1827" s="108">
        <v>2020</v>
      </c>
      <c r="C1827" s="108" t="s">
        <v>38</v>
      </c>
      <c r="D1827" s="108" t="s">
        <v>143</v>
      </c>
      <c r="E1827" s="108" t="s">
        <v>10</v>
      </c>
      <c r="F1827" s="116">
        <v>792</v>
      </c>
      <c r="G1827" s="108" t="s">
        <v>82</v>
      </c>
      <c r="H1827" s="108" t="s">
        <v>93</v>
      </c>
      <c r="I1827" s="108" t="str">
        <f>IFERROR(VLOOKUP(H1827,LUTs!$A$1:$C$73,2,FALSE),"NA")</f>
        <v>Whatcom</v>
      </c>
      <c r="J1827" s="108" t="str">
        <f>IFERROR(VLOOKUP(H1827,LUTs!$A$1:$C$73,3,FALSE),"NA")</f>
        <v>1North Puget Sound</v>
      </c>
      <c r="K1827" s="108" t="s">
        <v>15</v>
      </c>
      <c r="L1827" s="108" t="str">
        <f>VLOOKUP(K1827,LUTs!E$2:G$14,3,)</f>
        <v>02Skagit</v>
      </c>
      <c r="M1827" s="108" t="str">
        <f>VLOOKUP($K1827,LUTs!$E$2:$H$14,2,)</f>
        <v>North Puget Sound</v>
      </c>
      <c r="N1827" s="108" t="str">
        <f>VLOOKUP($K1827,LUTs!$E$2:$H$14,4,)</f>
        <v>01North Puget Sound</v>
      </c>
      <c r="O1827" s="108">
        <v>36.538461538461497</v>
      </c>
      <c r="P1827" s="108">
        <v>316.05769230769198</v>
      </c>
      <c r="Q1827" s="108">
        <f>SUMIFS('FW_Salmon_by_Month_2010-2021'!P$2:P$3810,'FW_Salmon_by_Month_2010-2021'!$B$2:$B$3810,'Rec_raw_catch_effort_2010-2021'!$B1827,'FW_Salmon_by_Month_2010-2021'!$H$2:$H$3810,'Rec_raw_catch_effort_2010-2021'!$F1827,'FW_Salmon_by_Month_2010-2021'!$M$2:$M$3810,'Rec_raw_catch_effort_2010-2021'!$K1827)</f>
        <v>36.5675675675676</v>
      </c>
      <c r="R1827" s="109">
        <f>VLOOKUP(B1827,Readme!$A$62:$C$74,2,)*Q1827</f>
        <v>176.23939960176153</v>
      </c>
      <c r="S1827" s="140" t="str">
        <f t="shared" si="153"/>
        <v>N</v>
      </c>
      <c r="T1827" s="154">
        <f t="shared" si="154"/>
        <v>8.65</v>
      </c>
      <c r="U1827" s="154">
        <f t="shared" si="155"/>
        <v>4.8195549041132084</v>
      </c>
    </row>
    <row r="1828" spans="1:21" x14ac:dyDescent="0.35">
      <c r="A1828" s="108">
        <v>3124</v>
      </c>
      <c r="B1828" s="108">
        <v>2020</v>
      </c>
      <c r="C1828" s="108" t="s">
        <v>38</v>
      </c>
      <c r="D1828" s="108" t="s">
        <v>143</v>
      </c>
      <c r="E1828" s="108" t="s">
        <v>10</v>
      </c>
      <c r="F1828" s="116">
        <v>792</v>
      </c>
      <c r="G1828" s="108" t="s">
        <v>82</v>
      </c>
      <c r="H1828" s="108" t="s">
        <v>93</v>
      </c>
      <c r="I1828" s="108" t="str">
        <f>IFERROR(VLOOKUP(H1828,LUTs!$A$1:$C$73,2,FALSE),"NA")</f>
        <v>Whatcom</v>
      </c>
      <c r="J1828" s="108" t="str">
        <f>IFERROR(VLOOKUP(H1828,LUTs!$A$1:$C$73,3,FALSE),"NA")</f>
        <v>1North Puget Sound</v>
      </c>
      <c r="K1828" s="108" t="s">
        <v>16</v>
      </c>
      <c r="L1828" s="108" t="str">
        <f>VLOOKUP(K1828,LUTs!E$2:G$14,3,)</f>
        <v>03Snohomish</v>
      </c>
      <c r="M1828" s="108" t="str">
        <f>VLOOKUP($K1828,LUTs!$E$2:$H$14,2,)</f>
        <v>North Puget Sound</v>
      </c>
      <c r="N1828" s="108" t="str">
        <f>VLOOKUP($K1828,LUTs!$E$2:$H$14,4,)</f>
        <v>01North Puget Sound</v>
      </c>
      <c r="O1828" s="108">
        <v>73.076923076923094</v>
      </c>
      <c r="P1828" s="108">
        <v>632.11538461538498</v>
      </c>
      <c r="Q1828" s="108">
        <f>SUMIFS('FW_Salmon_by_Month_2010-2021'!P$2:P$3810,'FW_Salmon_by_Month_2010-2021'!$B$2:$B$3810,'Rec_raw_catch_effort_2010-2021'!$B1828,'FW_Salmon_by_Month_2010-2021'!$H$2:$H$3810,'Rec_raw_catch_effort_2010-2021'!$F1828,'FW_Salmon_by_Month_2010-2021'!$M$2:$M$3810,'Rec_raw_catch_effort_2010-2021'!$K1828)</f>
        <v>72.756756756756801</v>
      </c>
      <c r="R1828" s="109">
        <f>VLOOKUP(B1828,Readme!$A$62:$C$74,2,)*Q1828</f>
        <v>350.65518383439905</v>
      </c>
      <c r="S1828" s="140" t="str">
        <f t="shared" si="153"/>
        <v>N</v>
      </c>
      <c r="T1828" s="154">
        <f t="shared" si="154"/>
        <v>8.6500000000000021</v>
      </c>
      <c r="U1828" s="154">
        <f t="shared" si="155"/>
        <v>4.8195549041132084</v>
      </c>
    </row>
    <row r="1829" spans="1:21" x14ac:dyDescent="0.35">
      <c r="A1829" s="108">
        <v>3116</v>
      </c>
      <c r="B1829" s="108">
        <v>2020</v>
      </c>
      <c r="C1829" s="108" t="s">
        <v>38</v>
      </c>
      <c r="D1829" s="108" t="s">
        <v>143</v>
      </c>
      <c r="E1829" s="108" t="s">
        <v>10</v>
      </c>
      <c r="F1829" s="116">
        <v>792</v>
      </c>
      <c r="G1829" s="108" t="s">
        <v>82</v>
      </c>
      <c r="H1829" s="108" t="s">
        <v>93</v>
      </c>
      <c r="I1829" s="108" t="str">
        <f>IFERROR(VLOOKUP(H1829,LUTs!$A$1:$C$73,2,FALSE),"NA")</f>
        <v>Whatcom</v>
      </c>
      <c r="J1829" s="108" t="str">
        <f>IFERROR(VLOOKUP(H1829,LUTs!$A$1:$C$73,3,FALSE),"NA")</f>
        <v>1North Puget Sound</v>
      </c>
      <c r="K1829" s="108" t="s">
        <v>13</v>
      </c>
      <c r="L1829" s="108" t="str">
        <f>VLOOKUP(K1829,LUTs!E$2:G$14,3,)</f>
        <v>01Whatcom</v>
      </c>
      <c r="M1829" s="108" t="str">
        <f>VLOOKUP($K1829,LUTs!$E$2:$H$14,2,)</f>
        <v>North Puget Sound</v>
      </c>
      <c r="N1829" s="108" t="str">
        <f>VLOOKUP($K1829,LUTs!$E$2:$H$14,4,)</f>
        <v>01North Puget Sound</v>
      </c>
      <c r="O1829" s="108">
        <v>292.30769230769198</v>
      </c>
      <c r="P1829" s="108">
        <v>2528.4615384615399</v>
      </c>
      <c r="Q1829" s="108">
        <f>SUMIFS('FW_Salmon_by_Month_2010-2021'!P$2:P$3810,'FW_Salmon_by_Month_2010-2021'!$B$2:$B$3810,'Rec_raw_catch_effort_2010-2021'!$B1829,'FW_Salmon_by_Month_2010-2021'!$H$2:$H$3810,'Rec_raw_catch_effort_2010-2021'!$F1829,'FW_Salmon_by_Month_2010-2021'!$M$2:$M$3810,'Rec_raw_catch_effort_2010-2021'!$K1829)</f>
        <v>292.54054054054097</v>
      </c>
      <c r="R1829" s="109">
        <f>VLOOKUP(B1829,Readme!$A$62:$C$74,2,)*Q1829</f>
        <v>1409.9151968140932</v>
      </c>
      <c r="S1829" s="140" t="str">
        <f t="shared" si="153"/>
        <v>N</v>
      </c>
      <c r="T1829" s="154">
        <f t="shared" si="154"/>
        <v>8.6500000000000146</v>
      </c>
      <c r="U1829" s="154">
        <f t="shared" si="155"/>
        <v>4.8195549041132084</v>
      </c>
    </row>
    <row r="1830" spans="1:21" x14ac:dyDescent="0.35">
      <c r="A1830" s="108">
        <v>3133</v>
      </c>
      <c r="B1830" s="108">
        <v>2021</v>
      </c>
      <c r="C1830" s="108" t="s">
        <v>38</v>
      </c>
      <c r="D1830" s="108" t="s">
        <v>143</v>
      </c>
      <c r="E1830" s="108" t="s">
        <v>10</v>
      </c>
      <c r="F1830" s="116">
        <v>792</v>
      </c>
      <c r="G1830" s="108" t="s">
        <v>82</v>
      </c>
      <c r="H1830" s="108" t="s">
        <v>93</v>
      </c>
      <c r="I1830" s="108" t="str">
        <f>IFERROR(VLOOKUP(H1830,LUTs!$A$1:$C$73,2,FALSE),"NA")</f>
        <v>Whatcom</v>
      </c>
      <c r="J1830" s="108" t="str">
        <f>IFERROR(VLOOKUP(H1830,LUTs!$A$1:$C$73,3,FALSE),"NA")</f>
        <v>1North Puget Sound</v>
      </c>
      <c r="K1830" s="108" t="s">
        <v>17</v>
      </c>
      <c r="L1830" s="108" t="str">
        <f>VLOOKUP(K1830,LUTs!E$2:G$14,3,)</f>
        <v>04Island</v>
      </c>
      <c r="M1830" s="108" t="str">
        <f>VLOOKUP($K1830,LUTs!$E$2:$H$14,2,)</f>
        <v>North Puget Sound</v>
      </c>
      <c r="N1830" s="108" t="str">
        <f>VLOOKUP($K1830,LUTs!$E$2:$H$14,4,)</f>
        <v>01North Puget Sound</v>
      </c>
      <c r="O1830" s="108">
        <v>81.75</v>
      </c>
      <c r="P1830" s="108">
        <v>281.22000000000003</v>
      </c>
      <c r="Q1830" s="108">
        <f>SUMIFS('FW_Salmon_by_Month_2010-2021'!P$2:P$3810,'FW_Salmon_by_Month_2010-2021'!$B$2:$B$3810,'Rec_raw_catch_effort_2010-2021'!$B1830,'FW_Salmon_by_Month_2010-2021'!$H$2:$H$3810,'Rec_raw_catch_effort_2010-2021'!$F1830,'FW_Salmon_by_Month_2010-2021'!$M$2:$M$3810,'Rec_raw_catch_effort_2010-2021'!$K1830)</f>
        <v>81.75</v>
      </c>
      <c r="R1830" s="109">
        <f>VLOOKUP(B1830,Readme!$A$62:$C$74,2,)*Q1830</f>
        <v>289.31655595221247</v>
      </c>
      <c r="S1830" s="140" t="str">
        <f t="shared" si="153"/>
        <v>N</v>
      </c>
      <c r="T1830" s="154">
        <f t="shared" si="154"/>
        <v>3.4400000000000004</v>
      </c>
      <c r="U1830" s="154">
        <f t="shared" si="155"/>
        <v>3.5390404397824153</v>
      </c>
    </row>
    <row r="1831" spans="1:21" x14ac:dyDescent="0.35">
      <c r="A1831" s="108">
        <v>3134</v>
      </c>
      <c r="B1831" s="108">
        <v>2021</v>
      </c>
      <c r="C1831" s="108" t="s">
        <v>38</v>
      </c>
      <c r="D1831" s="108" t="s">
        <v>143</v>
      </c>
      <c r="E1831" s="108" t="s">
        <v>10</v>
      </c>
      <c r="F1831" s="116">
        <v>792</v>
      </c>
      <c r="G1831" s="108" t="s">
        <v>82</v>
      </c>
      <c r="H1831" s="108" t="s">
        <v>93</v>
      </c>
      <c r="I1831" s="108" t="str">
        <f>IFERROR(VLOOKUP(H1831,LUTs!$A$1:$C$73,2,FALSE),"NA")</f>
        <v>Whatcom</v>
      </c>
      <c r="J1831" s="108" t="str">
        <f>IFERROR(VLOOKUP(H1831,LUTs!$A$1:$C$73,3,FALSE),"NA")</f>
        <v>1North Puget Sound</v>
      </c>
      <c r="K1831" s="108" t="s">
        <v>18</v>
      </c>
      <c r="L1831" s="108" t="str">
        <f>VLOOKUP(K1831,LUTs!E$2:G$14,3,)</f>
        <v>06King</v>
      </c>
      <c r="M1831" s="108" t="str">
        <f>VLOOKUP($K1831,LUTs!$E$2:$H$14,2,)</f>
        <v>South Puget Sound</v>
      </c>
      <c r="N1831" s="108" t="str">
        <f>VLOOKUP($K1831,LUTs!$E$2:$H$14,4,)</f>
        <v>02South Puget Sound</v>
      </c>
      <c r="O1831" s="108">
        <v>81.75</v>
      </c>
      <c r="P1831" s="108">
        <v>281.22000000000003</v>
      </c>
      <c r="Q1831" s="108">
        <f>SUMIFS('FW_Salmon_by_Month_2010-2021'!P$2:P$3810,'FW_Salmon_by_Month_2010-2021'!$B$2:$B$3810,'Rec_raw_catch_effort_2010-2021'!$B1831,'FW_Salmon_by_Month_2010-2021'!$H$2:$H$3810,'Rec_raw_catch_effort_2010-2021'!$F1831,'FW_Salmon_by_Month_2010-2021'!$M$2:$M$3810,'Rec_raw_catch_effort_2010-2021'!$K1831)</f>
        <v>81.75</v>
      </c>
      <c r="R1831" s="109">
        <f>VLOOKUP(B1831,Readme!$A$62:$C$74,2,)*Q1831</f>
        <v>289.31655595221247</v>
      </c>
      <c r="S1831" s="140" t="str">
        <f t="shared" si="153"/>
        <v>N</v>
      </c>
      <c r="T1831" s="154">
        <f t="shared" si="154"/>
        <v>3.4400000000000004</v>
      </c>
      <c r="U1831" s="154">
        <f t="shared" si="155"/>
        <v>3.5390404397824153</v>
      </c>
    </row>
    <row r="1832" spans="1:21" x14ac:dyDescent="0.35">
      <c r="A1832" s="108">
        <v>3132</v>
      </c>
      <c r="B1832" s="108">
        <v>2021</v>
      </c>
      <c r="C1832" s="108" t="s">
        <v>38</v>
      </c>
      <c r="D1832" s="108" t="s">
        <v>143</v>
      </c>
      <c r="E1832" s="108" t="s">
        <v>10</v>
      </c>
      <c r="F1832" s="116">
        <v>792</v>
      </c>
      <c r="G1832" s="108" t="s">
        <v>82</v>
      </c>
      <c r="H1832" s="108" t="s">
        <v>93</v>
      </c>
      <c r="I1832" s="108" t="str">
        <f>IFERROR(VLOOKUP(H1832,LUTs!$A$1:$C$73,2,FALSE),"NA")</f>
        <v>Whatcom</v>
      </c>
      <c r="J1832" s="108" t="str">
        <f>IFERROR(VLOOKUP(H1832,LUTs!$A$1:$C$73,3,FALSE),"NA")</f>
        <v>1North Puget Sound</v>
      </c>
      <c r="K1832" s="108" t="s">
        <v>15</v>
      </c>
      <c r="L1832" s="108" t="str">
        <f>VLOOKUP(K1832,LUTs!E$2:G$14,3,)</f>
        <v>02Skagit</v>
      </c>
      <c r="M1832" s="108" t="str">
        <f>VLOOKUP($K1832,LUTs!$E$2:$H$14,2,)</f>
        <v>North Puget Sound</v>
      </c>
      <c r="N1832" s="108" t="str">
        <f>VLOOKUP($K1832,LUTs!$E$2:$H$14,4,)</f>
        <v>01North Puget Sound</v>
      </c>
      <c r="O1832" s="108">
        <v>177.125</v>
      </c>
      <c r="P1832" s="108">
        <v>609.30999999999995</v>
      </c>
      <c r="Q1832" s="108">
        <f>SUMIFS('FW_Salmon_by_Month_2010-2021'!P$2:P$3810,'FW_Salmon_by_Month_2010-2021'!$B$2:$B$3810,'Rec_raw_catch_effort_2010-2021'!$B1832,'FW_Salmon_by_Month_2010-2021'!$H$2:$H$3810,'Rec_raw_catch_effort_2010-2021'!$F1832,'FW_Salmon_by_Month_2010-2021'!$M$2:$M$3810,'Rec_raw_catch_effort_2010-2021'!$K1832)</f>
        <v>177.125</v>
      </c>
      <c r="R1832" s="109">
        <f>VLOOKUP(B1832,Readme!$A$62:$C$74,2,)*Q1832</f>
        <v>626.85253789646026</v>
      </c>
      <c r="S1832" s="140" t="str">
        <f t="shared" si="153"/>
        <v>N</v>
      </c>
      <c r="T1832" s="154">
        <f t="shared" si="154"/>
        <v>3.4399999999999995</v>
      </c>
      <c r="U1832" s="154">
        <f t="shared" si="155"/>
        <v>3.5390404397824149</v>
      </c>
    </row>
    <row r="1833" spans="1:21" x14ac:dyDescent="0.35">
      <c r="A1833" s="108">
        <v>3131</v>
      </c>
      <c r="B1833" s="108">
        <v>2021</v>
      </c>
      <c r="C1833" s="108" t="s">
        <v>38</v>
      </c>
      <c r="D1833" s="108" t="s">
        <v>143</v>
      </c>
      <c r="E1833" s="108" t="s">
        <v>10</v>
      </c>
      <c r="F1833" s="116">
        <v>792</v>
      </c>
      <c r="G1833" s="108" t="s">
        <v>82</v>
      </c>
      <c r="H1833" s="108" t="s">
        <v>93</v>
      </c>
      <c r="I1833" s="108" t="str">
        <f>IFERROR(VLOOKUP(H1833,LUTs!$A$1:$C$73,2,FALSE),"NA")</f>
        <v>Whatcom</v>
      </c>
      <c r="J1833" s="108" t="str">
        <f>IFERROR(VLOOKUP(H1833,LUTs!$A$1:$C$73,3,FALSE),"NA")</f>
        <v>1North Puget Sound</v>
      </c>
      <c r="K1833" s="108" t="s">
        <v>13</v>
      </c>
      <c r="L1833" s="108" t="str">
        <f>VLOOKUP(K1833,LUTs!E$2:G$14,3,)</f>
        <v>01Whatcom</v>
      </c>
      <c r="M1833" s="108" t="str">
        <f>VLOOKUP($K1833,LUTs!$E$2:$H$14,2,)</f>
        <v>North Puget Sound</v>
      </c>
      <c r="N1833" s="108" t="str">
        <f>VLOOKUP($K1833,LUTs!$E$2:$H$14,4,)</f>
        <v>01North Puget Sound</v>
      </c>
      <c r="O1833" s="108">
        <v>422.375</v>
      </c>
      <c r="P1833" s="108">
        <v>1452.97</v>
      </c>
      <c r="Q1833" s="108">
        <f>SUMIFS('FW_Salmon_by_Month_2010-2021'!P$2:P$3810,'FW_Salmon_by_Month_2010-2021'!$B$2:$B$3810,'Rec_raw_catch_effort_2010-2021'!$B1833,'FW_Salmon_by_Month_2010-2021'!$H$2:$H$3810,'Rec_raw_catch_effort_2010-2021'!$F1833,'FW_Salmon_by_Month_2010-2021'!$M$2:$M$3810,'Rec_raw_catch_effort_2010-2021'!$K1833)</f>
        <v>422.375</v>
      </c>
      <c r="R1833" s="109">
        <f>VLOOKUP(B1833,Readme!$A$62:$C$74,2,)*Q1833</f>
        <v>1494.8022057530977</v>
      </c>
      <c r="S1833" s="140" t="str">
        <f t="shared" si="153"/>
        <v>N</v>
      </c>
      <c r="T1833" s="154">
        <f t="shared" si="154"/>
        <v>3.44</v>
      </c>
      <c r="U1833" s="154">
        <f t="shared" si="155"/>
        <v>3.5390404397824153</v>
      </c>
    </row>
    <row r="1834" spans="1:21" x14ac:dyDescent="0.35">
      <c r="A1834" s="108">
        <v>2894</v>
      </c>
      <c r="B1834" s="108">
        <v>2020</v>
      </c>
      <c r="C1834" s="108" t="s">
        <v>38</v>
      </c>
      <c r="D1834" s="108" t="s">
        <v>143</v>
      </c>
      <c r="E1834" s="108" t="s">
        <v>10</v>
      </c>
      <c r="F1834" s="116">
        <v>794</v>
      </c>
      <c r="G1834" s="108" t="s">
        <v>83</v>
      </c>
      <c r="H1834" s="108" t="str">
        <f t="shared" ref="H1834:H1897" si="156">G1834</f>
        <v>Nooksack River, below North Fork</v>
      </c>
      <c r="I1834" s="108" t="str">
        <f>IFERROR(VLOOKUP(H1834,LUTs!$A$1:$C$73,2,FALSE),"NA")</f>
        <v>Whatcom</v>
      </c>
      <c r="J1834" s="108" t="str">
        <f>IFERROR(VLOOKUP(H1834,LUTs!$A$1:$C$73,3,FALSE),"NA")</f>
        <v>1North Puget Sound</v>
      </c>
      <c r="K1834" s="108" t="s">
        <v>13</v>
      </c>
      <c r="L1834" s="108" t="str">
        <f>VLOOKUP(K1834,LUTs!E$2:G$14,3,)</f>
        <v>01Whatcom</v>
      </c>
      <c r="M1834" s="108" t="str">
        <f>VLOOKUP($K1834,LUTs!$E$2:$H$14,2,)</f>
        <v>North Puget Sound</v>
      </c>
      <c r="N1834" s="108" t="str">
        <f>VLOOKUP($K1834,LUTs!$E$2:$H$14,4,)</f>
        <v>01North Puget Sound</v>
      </c>
      <c r="O1834" s="108">
        <v>670</v>
      </c>
      <c r="P1834" s="108">
        <v>5795.5</v>
      </c>
      <c r="Q1834" s="108">
        <f>SUMIFS('FW_Salmon_by_Month_2010-2021'!P$2:P$3810,'FW_Salmon_by_Month_2010-2021'!$B$2:$B$3810,'Rec_raw_catch_effort_2010-2021'!$B1834,'FW_Salmon_by_Month_2010-2021'!$H$2:$H$3810,'Rec_raw_catch_effort_2010-2021'!$F1834,'FW_Salmon_by_Month_2010-2021'!$M$2:$M$3810,'Rec_raw_catch_effort_2010-2021'!$K1834)</f>
        <v>670</v>
      </c>
      <c r="R1834" s="109">
        <f>VLOOKUP(B1834,Readme!$A$62:$C$74,2,)*Q1834</f>
        <v>3229.1017857558495</v>
      </c>
      <c r="S1834" s="140" t="str">
        <f t="shared" si="153"/>
        <v>N</v>
      </c>
      <c r="T1834" s="154">
        <f t="shared" si="154"/>
        <v>8.65</v>
      </c>
      <c r="U1834" s="154">
        <f t="shared" si="155"/>
        <v>4.8195549041132084</v>
      </c>
    </row>
    <row r="1835" spans="1:21" x14ac:dyDescent="0.35">
      <c r="A1835" s="108">
        <v>2975</v>
      </c>
      <c r="B1835" s="108">
        <v>2021</v>
      </c>
      <c r="C1835" s="108" t="s">
        <v>38</v>
      </c>
      <c r="D1835" s="108" t="s">
        <v>143</v>
      </c>
      <c r="E1835" s="108" t="s">
        <v>10</v>
      </c>
      <c r="F1835" s="116">
        <v>794</v>
      </c>
      <c r="G1835" s="108" t="s">
        <v>83</v>
      </c>
      <c r="H1835" s="108" t="str">
        <f t="shared" si="156"/>
        <v>Nooksack River, below North Fork</v>
      </c>
      <c r="I1835" s="108" t="str">
        <f>IFERROR(VLOOKUP(H1835,LUTs!$A$1:$C$73,2,FALSE),"NA")</f>
        <v>Whatcom</v>
      </c>
      <c r="J1835" s="108" t="str">
        <f>IFERROR(VLOOKUP(H1835,LUTs!$A$1:$C$73,3,FALSE),"NA")</f>
        <v>1North Puget Sound</v>
      </c>
      <c r="K1835" s="108" t="s">
        <v>26</v>
      </c>
      <c r="L1835" s="108" t="str">
        <f>VLOOKUP(K1835,LUTs!E$2:G$14,3,)</f>
        <v>20Other</v>
      </c>
      <c r="M1835" s="108" t="str">
        <f>VLOOKUP($K1835,LUTs!$E$2:$H$14,2,)</f>
        <v>Non Puget Sound</v>
      </c>
      <c r="N1835" s="108" t="str">
        <f>VLOOKUP($K1835,LUTs!$E$2:$H$14,4,)</f>
        <v>07Non Puget Sound</v>
      </c>
      <c r="O1835" s="108">
        <v>13.6272727272727</v>
      </c>
      <c r="P1835" s="108">
        <v>46.8778181818181</v>
      </c>
      <c r="Q1835" s="108">
        <f>SUMIFS('FW_Salmon_by_Month_2010-2021'!P$2:P$3810,'FW_Salmon_by_Month_2010-2021'!$B$2:$B$3810,'Rec_raw_catch_effort_2010-2021'!$B1835,'FW_Salmon_by_Month_2010-2021'!$H$2:$H$3810,'Rec_raw_catch_effort_2010-2021'!$F1835,'FW_Salmon_by_Month_2010-2021'!$M$2:$M$3810,'Rec_raw_catch_effort_2010-2021'!$K1835)</f>
        <v>13.838983050847499</v>
      </c>
      <c r="R1835" s="109">
        <f>VLOOKUP(B1835,Readme!$A$62:$C$74,2,)*Q1835</f>
        <v>48.976720662412724</v>
      </c>
      <c r="S1835" s="140" t="str">
        <f t="shared" si="153"/>
        <v>N</v>
      </c>
      <c r="T1835" s="154">
        <f t="shared" si="154"/>
        <v>3.4400000000000008</v>
      </c>
      <c r="U1835" s="154">
        <f t="shared" si="155"/>
        <v>3.5390404397824153</v>
      </c>
    </row>
    <row r="1836" spans="1:21" x14ac:dyDescent="0.35">
      <c r="A1836" s="108">
        <v>2974</v>
      </c>
      <c r="B1836" s="108">
        <v>2021</v>
      </c>
      <c r="C1836" s="108" t="s">
        <v>38</v>
      </c>
      <c r="D1836" s="108" t="s">
        <v>143</v>
      </c>
      <c r="E1836" s="108" t="s">
        <v>10</v>
      </c>
      <c r="F1836" s="116">
        <v>794</v>
      </c>
      <c r="G1836" s="108" t="s">
        <v>83</v>
      </c>
      <c r="H1836" s="108" t="str">
        <f t="shared" si="156"/>
        <v>Nooksack River, below North Fork</v>
      </c>
      <c r="I1836" s="108" t="str">
        <f>IFERROR(VLOOKUP(H1836,LUTs!$A$1:$C$73,2,FALSE),"NA")</f>
        <v>Whatcom</v>
      </c>
      <c r="J1836" s="108" t="str">
        <f>IFERROR(VLOOKUP(H1836,LUTs!$A$1:$C$73,3,FALSE),"NA")</f>
        <v>1North Puget Sound</v>
      </c>
      <c r="K1836" s="108" t="s">
        <v>20</v>
      </c>
      <c r="L1836" s="108" t="str">
        <f>VLOOKUP(K1836,LUTs!E$2:G$14,3,)</f>
        <v>07Pierce</v>
      </c>
      <c r="M1836" s="108" t="str">
        <f>VLOOKUP($K1836,LUTs!$E$2:$H$14,2,)</f>
        <v>South Puget Sound</v>
      </c>
      <c r="N1836" s="108" t="str">
        <f>VLOOKUP($K1836,LUTs!$E$2:$H$14,4,)</f>
        <v>02South Puget Sound</v>
      </c>
      <c r="O1836" s="108">
        <v>13.6272727272727</v>
      </c>
      <c r="P1836" s="108">
        <v>46.8778181818181</v>
      </c>
      <c r="Q1836" s="108">
        <f>SUMIFS('FW_Salmon_by_Month_2010-2021'!P$2:P$3810,'FW_Salmon_by_Month_2010-2021'!$B$2:$B$3810,'Rec_raw_catch_effort_2010-2021'!$B1836,'FW_Salmon_by_Month_2010-2021'!$H$2:$H$3810,'Rec_raw_catch_effort_2010-2021'!$F1836,'FW_Salmon_by_Month_2010-2021'!$M$2:$M$3810,'Rec_raw_catch_effort_2010-2021'!$K1836)</f>
        <v>13.838983050847499</v>
      </c>
      <c r="R1836" s="109">
        <f>VLOOKUP(B1836,Readme!$A$62:$C$74,2,)*Q1836</f>
        <v>48.976720662412724</v>
      </c>
      <c r="S1836" s="140" t="str">
        <f t="shared" si="153"/>
        <v>N</v>
      </c>
      <c r="T1836" s="154">
        <f t="shared" si="154"/>
        <v>3.4400000000000008</v>
      </c>
      <c r="U1836" s="154">
        <f t="shared" si="155"/>
        <v>3.5390404397824153</v>
      </c>
    </row>
    <row r="1837" spans="1:21" x14ac:dyDescent="0.35">
      <c r="A1837" s="108">
        <v>2973</v>
      </c>
      <c r="B1837" s="108">
        <v>2021</v>
      </c>
      <c r="C1837" s="108" t="s">
        <v>38</v>
      </c>
      <c r="D1837" s="108" t="s">
        <v>143</v>
      </c>
      <c r="E1837" s="108" t="s">
        <v>10</v>
      </c>
      <c r="F1837" s="116">
        <v>794</v>
      </c>
      <c r="G1837" s="108" t="s">
        <v>83</v>
      </c>
      <c r="H1837" s="108" t="str">
        <f t="shared" si="156"/>
        <v>Nooksack River, below North Fork</v>
      </c>
      <c r="I1837" s="108" t="str">
        <f>IFERROR(VLOOKUP(H1837,LUTs!$A$1:$C$73,2,FALSE),"NA")</f>
        <v>Whatcom</v>
      </c>
      <c r="J1837" s="108" t="str">
        <f>IFERROR(VLOOKUP(H1837,LUTs!$A$1:$C$73,3,FALSE),"NA")</f>
        <v>1North Puget Sound</v>
      </c>
      <c r="K1837" s="108" t="s">
        <v>15</v>
      </c>
      <c r="L1837" s="108" t="str">
        <f>VLOOKUP(K1837,LUTs!E$2:G$14,3,)</f>
        <v>02Skagit</v>
      </c>
      <c r="M1837" s="108" t="str">
        <f>VLOOKUP($K1837,LUTs!$E$2:$H$14,2,)</f>
        <v>North Puget Sound</v>
      </c>
      <c r="N1837" s="108" t="str">
        <f>VLOOKUP($K1837,LUTs!$E$2:$H$14,4,)</f>
        <v>01North Puget Sound</v>
      </c>
      <c r="O1837" s="108">
        <v>68.136363636363697</v>
      </c>
      <c r="P1837" s="108">
        <v>234.38909090909101</v>
      </c>
      <c r="Q1837" s="108">
        <f>SUMIFS('FW_Salmon_by_Month_2010-2021'!P$2:P$3810,'FW_Salmon_by_Month_2010-2021'!$B$2:$B$3810,'Rec_raw_catch_effort_2010-2021'!$B1837,'FW_Salmon_by_Month_2010-2021'!$H$2:$H$3810,'Rec_raw_catch_effort_2010-2021'!$F1837,'FW_Salmon_by_Month_2010-2021'!$M$2:$M$3810,'Rec_raw_catch_effort_2010-2021'!$K1837)</f>
        <v>69.194915254237301</v>
      </c>
      <c r="R1837" s="109">
        <f>VLOOKUP(B1837,Readme!$A$62:$C$74,2,)*Q1837</f>
        <v>244.88360331206295</v>
      </c>
      <c r="S1837" s="140" t="str">
        <f t="shared" si="153"/>
        <v>N</v>
      </c>
      <c r="T1837" s="154">
        <f t="shared" si="154"/>
        <v>3.4399999999999986</v>
      </c>
      <c r="U1837" s="154">
        <f t="shared" si="155"/>
        <v>3.5390404397824153</v>
      </c>
    </row>
    <row r="1838" spans="1:21" x14ac:dyDescent="0.35">
      <c r="A1838" s="108">
        <v>2972</v>
      </c>
      <c r="B1838" s="108">
        <v>2021</v>
      </c>
      <c r="C1838" s="108" t="s">
        <v>38</v>
      </c>
      <c r="D1838" s="108" t="s">
        <v>143</v>
      </c>
      <c r="E1838" s="108" t="s">
        <v>10</v>
      </c>
      <c r="F1838" s="116">
        <v>794</v>
      </c>
      <c r="G1838" s="108" t="s">
        <v>83</v>
      </c>
      <c r="H1838" s="108" t="str">
        <f t="shared" si="156"/>
        <v>Nooksack River, below North Fork</v>
      </c>
      <c r="I1838" s="108" t="str">
        <f>IFERROR(VLOOKUP(H1838,LUTs!$A$1:$C$73,2,FALSE),"NA")</f>
        <v>Whatcom</v>
      </c>
      <c r="J1838" s="108" t="str">
        <f>IFERROR(VLOOKUP(H1838,LUTs!$A$1:$C$73,3,FALSE),"NA")</f>
        <v>1North Puget Sound</v>
      </c>
      <c r="K1838" s="108" t="s">
        <v>13</v>
      </c>
      <c r="L1838" s="108" t="str">
        <f>VLOOKUP(K1838,LUTs!E$2:G$14,3,)</f>
        <v>01Whatcom</v>
      </c>
      <c r="M1838" s="108" t="str">
        <f>VLOOKUP($K1838,LUTs!$E$2:$H$14,2,)</f>
        <v>North Puget Sound</v>
      </c>
      <c r="N1838" s="108" t="str">
        <f>VLOOKUP($K1838,LUTs!$E$2:$H$14,4,)</f>
        <v>01North Puget Sound</v>
      </c>
      <c r="O1838" s="108">
        <v>2902.6090909090899</v>
      </c>
      <c r="P1838" s="108">
        <v>9984.9752727272698</v>
      </c>
      <c r="Q1838" s="108">
        <f>SUMIFS('FW_Salmon_by_Month_2010-2021'!P$2:P$3810,'FW_Salmon_by_Month_2010-2021'!$B$2:$B$3810,'Rec_raw_catch_effort_2010-2021'!$B1838,'FW_Salmon_by_Month_2010-2021'!$H$2:$H$3810,'Rec_raw_catch_effort_2010-2021'!$F1838,'FW_Salmon_by_Month_2010-2021'!$M$2:$M$3810,'Rec_raw_catch_effort_2010-2021'!$K1838)</f>
        <v>2901.1271186440699</v>
      </c>
      <c r="R1838" s="109">
        <f>VLOOKUP(B1838,Readme!$A$62:$C$74,2,)*Q1838</f>
        <v>10267.206193830802</v>
      </c>
      <c r="S1838" s="140" t="str">
        <f t="shared" si="153"/>
        <v>N</v>
      </c>
      <c r="T1838" s="154">
        <f t="shared" si="154"/>
        <v>3.4400000000000004</v>
      </c>
      <c r="U1838" s="154">
        <f t="shared" si="155"/>
        <v>3.5390404397824158</v>
      </c>
    </row>
    <row r="1839" spans="1:21" x14ac:dyDescent="0.35">
      <c r="A1839" s="108">
        <v>971</v>
      </c>
      <c r="B1839" s="108">
        <v>2010</v>
      </c>
      <c r="C1839" s="108" t="s">
        <v>38</v>
      </c>
      <c r="D1839" s="108" t="s">
        <v>143</v>
      </c>
      <c r="E1839" s="108" t="s">
        <v>10</v>
      </c>
      <c r="F1839" s="116">
        <v>802</v>
      </c>
      <c r="G1839" s="108" t="s">
        <v>53</v>
      </c>
      <c r="H1839" s="108" t="str">
        <f t="shared" si="156"/>
        <v>Carbon River</v>
      </c>
      <c r="I1839" s="108" t="str">
        <f>IFERROR(VLOOKUP(H1839,LUTs!$A$1:$C$73,2,FALSE),"NA")</f>
        <v>Pierce</v>
      </c>
      <c r="J1839" s="108" t="str">
        <f>IFERROR(VLOOKUP(H1839,LUTs!$A$1:$C$73,3,FALSE),"NA")</f>
        <v>3South Puget Sound</v>
      </c>
      <c r="K1839" s="108" t="s">
        <v>18</v>
      </c>
      <c r="L1839" s="108" t="str">
        <f>VLOOKUP(K1839,LUTs!E$2:G$14,3,)</f>
        <v>06King</v>
      </c>
      <c r="M1839" s="108" t="str">
        <f>VLOOKUP($K1839,LUTs!$E$2:$H$14,2,)</f>
        <v>South Puget Sound</v>
      </c>
      <c r="N1839" s="108" t="str">
        <f>VLOOKUP($K1839,LUTs!$E$2:$H$14,4,)</f>
        <v>02South Puget Sound</v>
      </c>
      <c r="O1839" s="108">
        <v>27.521739130434799</v>
      </c>
      <c r="P1839" s="108">
        <v>238.06304347826099</v>
      </c>
      <c r="Q1839" s="108">
        <f>SUMIFS('FW_Salmon_by_Month_2010-2021'!P$2:P$3810,'FW_Salmon_by_Month_2010-2021'!$B$2:$B$3810,'Rec_raw_catch_effort_2010-2021'!$B1839,'FW_Salmon_by_Month_2010-2021'!$H$2:$H$3810,'Rec_raw_catch_effort_2010-2021'!$F1839,'FW_Salmon_by_Month_2010-2021'!$M$2:$M$3810,'Rec_raw_catch_effort_2010-2021'!$K1839)</f>
        <v>36.2068965517241</v>
      </c>
      <c r="R1839" s="109">
        <f>VLOOKUP(B1839,Readme!$A$62:$C$74,2,)*Q1839</f>
        <v>174.50112583858149</v>
      </c>
      <c r="S1839" s="140" t="str">
        <f t="shared" si="153"/>
        <v>Y</v>
      </c>
      <c r="T1839" s="154">
        <f t="shared" si="154"/>
        <v>8.6499999999999986</v>
      </c>
      <c r="U1839" s="154">
        <f t="shared" si="155"/>
        <v>4.8195549041132084</v>
      </c>
    </row>
    <row r="1840" spans="1:21" x14ac:dyDescent="0.35">
      <c r="A1840" s="108">
        <v>973</v>
      </c>
      <c r="B1840" s="108">
        <v>2010</v>
      </c>
      <c r="C1840" s="108" t="s">
        <v>38</v>
      </c>
      <c r="D1840" s="108" t="s">
        <v>143</v>
      </c>
      <c r="E1840" s="108" t="s">
        <v>10</v>
      </c>
      <c r="F1840" s="116">
        <v>802</v>
      </c>
      <c r="G1840" s="108" t="s">
        <v>53</v>
      </c>
      <c r="H1840" s="108" t="str">
        <f t="shared" si="156"/>
        <v>Carbon River</v>
      </c>
      <c r="I1840" s="108" t="str">
        <f>IFERROR(VLOOKUP(H1840,LUTs!$A$1:$C$73,2,FALSE),"NA")</f>
        <v>Pierce</v>
      </c>
      <c r="J1840" s="108" t="str">
        <f>IFERROR(VLOOKUP(H1840,LUTs!$A$1:$C$73,3,FALSE),"NA")</f>
        <v>3South Puget Sound</v>
      </c>
      <c r="K1840" s="108" t="s">
        <v>26</v>
      </c>
      <c r="L1840" s="108" t="str">
        <f>VLOOKUP(K1840,LUTs!E$2:G$14,3,)</f>
        <v>20Other</v>
      </c>
      <c r="M1840" s="108" t="str">
        <f>VLOOKUP($K1840,LUTs!$E$2:$H$14,2,)</f>
        <v>Non Puget Sound</v>
      </c>
      <c r="N1840" s="108" t="str">
        <f>VLOOKUP($K1840,LUTs!$E$2:$H$14,4,)</f>
        <v>07Non Puget Sound</v>
      </c>
      <c r="O1840" s="108">
        <v>4.5869565217391299</v>
      </c>
      <c r="P1840" s="108">
        <v>39.677173913043497</v>
      </c>
      <c r="Q1840" s="108">
        <f>SUMIFS('FW_Salmon_by_Month_2010-2021'!P$2:P$3810,'FW_Salmon_by_Month_2010-2021'!$B$2:$B$3810,'Rec_raw_catch_effort_2010-2021'!$B1840,'FW_Salmon_by_Month_2010-2021'!$H$2:$H$3810,'Rec_raw_catch_effort_2010-2021'!$F1840,'FW_Salmon_by_Month_2010-2021'!$M$2:$M$3810,'Rec_raw_catch_effort_2010-2021'!$K1840)</f>
        <v>6.0344827586206904</v>
      </c>
      <c r="R1840" s="109">
        <f>VLOOKUP(B1840,Readme!$A$62:$C$74,2,)*Q1840</f>
        <v>29.083520973096952</v>
      </c>
      <c r="S1840" s="140" t="str">
        <f t="shared" si="153"/>
        <v>Y</v>
      </c>
      <c r="T1840" s="154">
        <f t="shared" si="154"/>
        <v>8.6500000000000057</v>
      </c>
      <c r="U1840" s="154">
        <f t="shared" si="155"/>
        <v>4.8195549041132084</v>
      </c>
    </row>
    <row r="1841" spans="1:21" x14ac:dyDescent="0.35">
      <c r="A1841" s="108">
        <v>972</v>
      </c>
      <c r="B1841" s="108">
        <v>2010</v>
      </c>
      <c r="C1841" s="108" t="s">
        <v>38</v>
      </c>
      <c r="D1841" s="108" t="s">
        <v>143</v>
      </c>
      <c r="E1841" s="108" t="s">
        <v>10</v>
      </c>
      <c r="F1841" s="116">
        <v>802</v>
      </c>
      <c r="G1841" s="108" t="s">
        <v>53</v>
      </c>
      <c r="H1841" s="108" t="str">
        <f t="shared" si="156"/>
        <v>Carbon River</v>
      </c>
      <c r="I1841" s="108" t="str">
        <f>IFERROR(VLOOKUP(H1841,LUTs!$A$1:$C$73,2,FALSE),"NA")</f>
        <v>Pierce</v>
      </c>
      <c r="J1841" s="108" t="str">
        <f>IFERROR(VLOOKUP(H1841,LUTs!$A$1:$C$73,3,FALSE),"NA")</f>
        <v>3South Puget Sound</v>
      </c>
      <c r="K1841" s="108" t="s">
        <v>20</v>
      </c>
      <c r="L1841" s="108" t="str">
        <f>VLOOKUP(K1841,LUTs!E$2:G$14,3,)</f>
        <v>07Pierce</v>
      </c>
      <c r="M1841" s="108" t="str">
        <f>VLOOKUP($K1841,LUTs!$E$2:$H$14,2,)</f>
        <v>South Puget Sound</v>
      </c>
      <c r="N1841" s="108" t="str">
        <f>VLOOKUP($K1841,LUTs!$E$2:$H$14,4,)</f>
        <v>02South Puget Sound</v>
      </c>
      <c r="O1841" s="108">
        <v>174.304347826087</v>
      </c>
      <c r="P1841" s="108">
        <v>1507.73260869565</v>
      </c>
      <c r="Q1841" s="108">
        <f>SUMIFS('FW_Salmon_by_Month_2010-2021'!P$2:P$3810,'FW_Salmon_by_Month_2010-2021'!$B$2:$B$3810,'Rec_raw_catch_effort_2010-2021'!$B1841,'FW_Salmon_by_Month_2010-2021'!$H$2:$H$3810,'Rec_raw_catch_effort_2010-2021'!$F1841,'FW_Salmon_by_Month_2010-2021'!$M$2:$M$3810,'Rec_raw_catch_effort_2010-2021'!$K1841)</f>
        <v>162.758620689655</v>
      </c>
      <c r="R1841" s="109">
        <f>VLOOKUP(B1841,Readme!$A$62:$C$74,2,)*Q1841</f>
        <v>784.4241085315283</v>
      </c>
      <c r="S1841" s="140" t="str">
        <f t="shared" si="153"/>
        <v>Y</v>
      </c>
      <c r="T1841" s="154">
        <f t="shared" si="154"/>
        <v>8.6499999999999861</v>
      </c>
      <c r="U1841" s="154">
        <f t="shared" si="155"/>
        <v>4.8195549041132084</v>
      </c>
    </row>
    <row r="1842" spans="1:21" x14ac:dyDescent="0.35">
      <c r="A1842" s="108">
        <v>970</v>
      </c>
      <c r="B1842" s="108">
        <v>2010</v>
      </c>
      <c r="C1842" s="108" t="s">
        <v>38</v>
      </c>
      <c r="D1842" s="108" t="s">
        <v>143</v>
      </c>
      <c r="E1842" s="108" t="s">
        <v>10</v>
      </c>
      <c r="F1842" s="116">
        <v>802</v>
      </c>
      <c r="G1842" s="108" t="s">
        <v>53</v>
      </c>
      <c r="H1842" s="108" t="str">
        <f t="shared" si="156"/>
        <v>Carbon River</v>
      </c>
      <c r="I1842" s="108" t="str">
        <f>IFERROR(VLOOKUP(H1842,LUTs!$A$1:$C$73,2,FALSE),"NA")</f>
        <v>Pierce</v>
      </c>
      <c r="J1842" s="108" t="str">
        <f>IFERROR(VLOOKUP(H1842,LUTs!$A$1:$C$73,3,FALSE),"NA")</f>
        <v>3South Puget Sound</v>
      </c>
      <c r="K1842" s="108" t="s">
        <v>15</v>
      </c>
      <c r="L1842" s="108" t="str">
        <f>VLOOKUP(K1842,LUTs!E$2:G$14,3,)</f>
        <v>02Skagit</v>
      </c>
      <c r="M1842" s="108" t="str">
        <f>VLOOKUP($K1842,LUTs!$E$2:$H$14,2,)</f>
        <v>North Puget Sound</v>
      </c>
      <c r="N1842" s="108" t="str">
        <f>VLOOKUP($K1842,LUTs!$E$2:$H$14,4,)</f>
        <v>01North Puget Sound</v>
      </c>
      <c r="O1842" s="108">
        <v>4.5869565217391299</v>
      </c>
      <c r="P1842" s="108">
        <v>39.677173913043497</v>
      </c>
      <c r="Q1842" s="108">
        <f>SUMIFS('FW_Salmon_by_Month_2010-2021'!P$2:P$3810,'FW_Salmon_by_Month_2010-2021'!$B$2:$B$3810,'Rec_raw_catch_effort_2010-2021'!$B1842,'FW_Salmon_by_Month_2010-2021'!$H$2:$H$3810,'Rec_raw_catch_effort_2010-2021'!$F1842,'FW_Salmon_by_Month_2010-2021'!$M$2:$M$3810,'Rec_raw_catch_effort_2010-2021'!$K1842)</f>
        <v>6</v>
      </c>
      <c r="R1842" s="109">
        <f>VLOOKUP(B1842,Readme!$A$62:$C$74,2,)*Q1842</f>
        <v>28.917329424679252</v>
      </c>
      <c r="S1842" s="140" t="str">
        <f t="shared" si="153"/>
        <v>Y</v>
      </c>
      <c r="T1842" s="154">
        <f t="shared" si="154"/>
        <v>8.6500000000000057</v>
      </c>
      <c r="U1842" s="154">
        <f t="shared" si="155"/>
        <v>4.8195549041132084</v>
      </c>
    </row>
    <row r="1843" spans="1:21" x14ac:dyDescent="0.35">
      <c r="A1843" s="108">
        <v>1067</v>
      </c>
      <c r="B1843" s="108">
        <v>2011</v>
      </c>
      <c r="C1843" s="108" t="s">
        <v>38</v>
      </c>
      <c r="D1843" s="108" t="s">
        <v>143</v>
      </c>
      <c r="E1843" s="108" t="s">
        <v>10</v>
      </c>
      <c r="F1843" s="116">
        <v>802</v>
      </c>
      <c r="G1843" s="108" t="s">
        <v>53</v>
      </c>
      <c r="H1843" s="108" t="str">
        <f t="shared" si="156"/>
        <v>Carbon River</v>
      </c>
      <c r="I1843" s="108" t="str">
        <f>IFERROR(VLOOKUP(H1843,LUTs!$A$1:$C$73,2,FALSE),"NA")</f>
        <v>Pierce</v>
      </c>
      <c r="J1843" s="108" t="str">
        <f>IFERROR(VLOOKUP(H1843,LUTs!$A$1:$C$73,3,FALSE),"NA")</f>
        <v>3South Puget Sound</v>
      </c>
      <c r="K1843" s="108" t="s">
        <v>18</v>
      </c>
      <c r="L1843" s="108" t="str">
        <f>VLOOKUP(K1843,LUTs!E$2:G$14,3,)</f>
        <v>06King</v>
      </c>
      <c r="M1843" s="108" t="str">
        <f>VLOOKUP($K1843,LUTs!$E$2:$H$14,2,)</f>
        <v>South Puget Sound</v>
      </c>
      <c r="N1843" s="108" t="str">
        <f>VLOOKUP($K1843,LUTs!$E$2:$H$14,4,)</f>
        <v>02South Puget Sound</v>
      </c>
      <c r="O1843" s="108">
        <v>612.33211233211205</v>
      </c>
      <c r="P1843" s="108">
        <v>2106.4224664224698</v>
      </c>
      <c r="Q1843" s="108">
        <f>SUMIFS('FW_Salmon_by_Month_2010-2021'!P$2:P$3810,'FW_Salmon_by_Month_2010-2021'!$B$2:$B$3810,'Rec_raw_catch_effort_2010-2021'!$B1843,'FW_Salmon_by_Month_2010-2021'!$H$2:$H$3810,'Rec_raw_catch_effort_2010-2021'!$F1843,'FW_Salmon_by_Month_2010-2021'!$M$2:$M$3810,'Rec_raw_catch_effort_2010-2021'!$K1843)</f>
        <v>616.44067672046401</v>
      </c>
      <c r="R1843" s="109">
        <f>VLOOKUP(B1843,Readme!$A$62:$C$74,2,)*Q1843</f>
        <v>2181.6084836405607</v>
      </c>
      <c r="S1843" s="140" t="str">
        <f t="shared" si="153"/>
        <v>Y</v>
      </c>
      <c r="T1843" s="154">
        <f t="shared" si="154"/>
        <v>3.4400000000000071</v>
      </c>
      <c r="U1843" s="154">
        <f t="shared" si="155"/>
        <v>3.5390404397824153</v>
      </c>
    </row>
    <row r="1844" spans="1:21" x14ac:dyDescent="0.35">
      <c r="A1844" s="108">
        <v>1071</v>
      </c>
      <c r="B1844" s="108">
        <v>2011</v>
      </c>
      <c r="C1844" s="108" t="s">
        <v>38</v>
      </c>
      <c r="D1844" s="108" t="s">
        <v>143</v>
      </c>
      <c r="E1844" s="108" t="s">
        <v>10</v>
      </c>
      <c r="F1844" s="116">
        <v>802</v>
      </c>
      <c r="G1844" s="108" t="s">
        <v>53</v>
      </c>
      <c r="H1844" s="108" t="str">
        <f t="shared" si="156"/>
        <v>Carbon River</v>
      </c>
      <c r="I1844" s="108" t="str">
        <f>IFERROR(VLOOKUP(H1844,LUTs!$A$1:$C$73,2,FALSE),"NA")</f>
        <v>Pierce</v>
      </c>
      <c r="J1844" s="108" t="str">
        <f>IFERROR(VLOOKUP(H1844,LUTs!$A$1:$C$73,3,FALSE),"NA")</f>
        <v>3South Puget Sound</v>
      </c>
      <c r="K1844" s="108" t="s">
        <v>23</v>
      </c>
      <c r="L1844" s="108" t="str">
        <f>VLOOKUP(K1844,LUTs!E$2:G$14,3,)</f>
        <v>10Kitsap</v>
      </c>
      <c r="M1844" s="108" t="str">
        <f>VLOOKUP($K1844,LUTs!$E$2:$H$14,2,)</f>
        <v>South Puget Sound</v>
      </c>
      <c r="N1844" s="108" t="str">
        <f>VLOOKUP($K1844,LUTs!$E$2:$H$14,4,)</f>
        <v>02South Puget Sound</v>
      </c>
      <c r="O1844" s="108">
        <v>93.650793650793702</v>
      </c>
      <c r="P1844" s="108">
        <v>322.15873015873001</v>
      </c>
      <c r="Q1844" s="108">
        <f>SUMIFS('FW_Salmon_by_Month_2010-2021'!P$2:P$3810,'FW_Salmon_by_Month_2010-2021'!$B$2:$B$3810,'Rec_raw_catch_effort_2010-2021'!$B1844,'FW_Salmon_by_Month_2010-2021'!$H$2:$H$3810,'Rec_raw_catch_effort_2010-2021'!$F1844,'FW_Salmon_by_Month_2010-2021'!$M$2:$M$3810,'Rec_raw_catch_effort_2010-2021'!$K1844)</f>
        <v>97.74627392186261</v>
      </c>
      <c r="R1844" s="109">
        <f>VLOOKUP(B1844,Readme!$A$62:$C$74,2,)*Q1844</f>
        <v>345.9280162475211</v>
      </c>
      <c r="S1844" s="140" t="str">
        <f t="shared" si="153"/>
        <v>Y</v>
      </c>
      <c r="T1844" s="154">
        <f t="shared" si="154"/>
        <v>3.4399999999999964</v>
      </c>
      <c r="U1844" s="154">
        <f t="shared" si="155"/>
        <v>3.5390404397824153</v>
      </c>
    </row>
    <row r="1845" spans="1:21" x14ac:dyDescent="0.35">
      <c r="A1845" s="108">
        <v>1070</v>
      </c>
      <c r="B1845" s="108">
        <v>2011</v>
      </c>
      <c r="C1845" s="108" t="s">
        <v>38</v>
      </c>
      <c r="D1845" s="108" t="s">
        <v>143</v>
      </c>
      <c r="E1845" s="108" t="s">
        <v>10</v>
      </c>
      <c r="F1845" s="116">
        <v>802</v>
      </c>
      <c r="G1845" s="108" t="s">
        <v>53</v>
      </c>
      <c r="H1845" s="108" t="str">
        <f t="shared" si="156"/>
        <v>Carbon River</v>
      </c>
      <c r="I1845" s="108" t="str">
        <f>IFERROR(VLOOKUP(H1845,LUTs!$A$1:$C$73,2,FALSE),"NA")</f>
        <v>Pierce</v>
      </c>
      <c r="J1845" s="108" t="str">
        <f>IFERROR(VLOOKUP(H1845,LUTs!$A$1:$C$73,3,FALSE),"NA")</f>
        <v>3South Puget Sound</v>
      </c>
      <c r="K1845" s="108" t="s">
        <v>22</v>
      </c>
      <c r="L1845" s="108" t="str">
        <f>VLOOKUP(K1845,LUTs!E$2:G$14,3,)</f>
        <v>09Mason</v>
      </c>
      <c r="M1845" s="108" t="str">
        <f>VLOOKUP($K1845,LUTs!$E$2:$H$14,2,)</f>
        <v>South Puget Sound</v>
      </c>
      <c r="N1845" s="108" t="str">
        <f>VLOOKUP($K1845,LUTs!$E$2:$H$14,4,)</f>
        <v>02South Puget Sound</v>
      </c>
      <c r="O1845" s="108">
        <v>7.2039072039072103</v>
      </c>
      <c r="P1845" s="108">
        <v>24.7814407814408</v>
      </c>
      <c r="Q1845" s="108">
        <f>SUMIFS('FW_Salmon_by_Month_2010-2021'!P$2:P$3810,'FW_Salmon_by_Month_2010-2021'!$B$2:$B$3810,'Rec_raw_catch_effort_2010-2021'!$B1845,'FW_Salmon_by_Month_2010-2021'!$H$2:$H$3810,'Rec_raw_catch_effort_2010-2021'!$F1845,'FW_Salmon_by_Month_2010-2021'!$M$2:$M$3810,'Rec_raw_catch_effort_2010-2021'!$K1845)</f>
        <v>7.5354969574036499</v>
      </c>
      <c r="R1845" s="109">
        <f>VLOOKUP(B1845,Readme!$A$62:$C$74,2,)*Q1845</f>
        <v>26.668428466108868</v>
      </c>
      <c r="S1845" s="140" t="str">
        <f t="shared" si="153"/>
        <v>Y</v>
      </c>
      <c r="T1845" s="154">
        <f t="shared" si="154"/>
        <v>3.4399999999999995</v>
      </c>
      <c r="U1845" s="154">
        <f t="shared" si="155"/>
        <v>3.5390404397824158</v>
      </c>
    </row>
    <row r="1846" spans="1:21" x14ac:dyDescent="0.35">
      <c r="A1846" s="108">
        <v>1072</v>
      </c>
      <c r="B1846" s="108">
        <v>2011</v>
      </c>
      <c r="C1846" s="108" t="s">
        <v>38</v>
      </c>
      <c r="D1846" s="108" t="s">
        <v>143</v>
      </c>
      <c r="E1846" s="108" t="s">
        <v>10</v>
      </c>
      <c r="F1846" s="116">
        <v>802</v>
      </c>
      <c r="G1846" s="108" t="s">
        <v>53</v>
      </c>
      <c r="H1846" s="108" t="str">
        <f t="shared" si="156"/>
        <v>Carbon River</v>
      </c>
      <c r="I1846" s="108" t="str">
        <f>IFERROR(VLOOKUP(H1846,LUTs!$A$1:$C$73,2,FALSE),"NA")</f>
        <v>Pierce</v>
      </c>
      <c r="J1846" s="108" t="str">
        <f>IFERROR(VLOOKUP(H1846,LUTs!$A$1:$C$73,3,FALSE),"NA")</f>
        <v>3South Puget Sound</v>
      </c>
      <c r="K1846" s="108" t="s">
        <v>26</v>
      </c>
      <c r="L1846" s="108" t="str">
        <f>VLOOKUP(K1846,LUTs!E$2:G$14,3,)</f>
        <v>20Other</v>
      </c>
      <c r="M1846" s="108" t="str">
        <f>VLOOKUP($K1846,LUTs!$E$2:$H$14,2,)</f>
        <v>Non Puget Sound</v>
      </c>
      <c r="N1846" s="108" t="str">
        <f>VLOOKUP($K1846,LUTs!$E$2:$H$14,4,)</f>
        <v>07Non Puget Sound</v>
      </c>
      <c r="O1846" s="108">
        <v>266.54456654456698</v>
      </c>
      <c r="P1846" s="108">
        <v>916.91330891330995</v>
      </c>
      <c r="Q1846" s="108">
        <f>SUMIFS('FW_Salmon_by_Month_2010-2021'!P$2:P$3810,'FW_Salmon_by_Month_2010-2021'!$B$2:$B$3810,'Rec_raw_catch_effort_2010-2021'!$B1846,'FW_Salmon_by_Month_2010-2021'!$H$2:$H$3810,'Rec_raw_catch_effort_2010-2021'!$F1846,'FW_Salmon_by_Month_2010-2021'!$M$2:$M$3810,'Rec_raw_catch_effort_2010-2021'!$K1846)</f>
        <v>278.81338742393501</v>
      </c>
      <c r="R1846" s="109">
        <f>VLOOKUP(B1846,Readme!$A$62:$C$74,2,)*Q1846</f>
        <v>986.73185324602787</v>
      </c>
      <c r="S1846" s="140" t="str">
        <f t="shared" si="153"/>
        <v>Y</v>
      </c>
      <c r="T1846" s="154">
        <f t="shared" si="154"/>
        <v>3.4399999999999982</v>
      </c>
      <c r="U1846" s="154">
        <f t="shared" si="155"/>
        <v>3.5390404397824153</v>
      </c>
    </row>
    <row r="1847" spans="1:21" x14ac:dyDescent="0.35">
      <c r="A1847" s="108">
        <v>1068</v>
      </c>
      <c r="B1847" s="108">
        <v>2011</v>
      </c>
      <c r="C1847" s="108" t="s">
        <v>38</v>
      </c>
      <c r="D1847" s="108" t="s">
        <v>143</v>
      </c>
      <c r="E1847" s="108" t="s">
        <v>10</v>
      </c>
      <c r="F1847" s="116">
        <v>802</v>
      </c>
      <c r="G1847" s="108" t="s">
        <v>53</v>
      </c>
      <c r="H1847" s="108" t="str">
        <f t="shared" si="156"/>
        <v>Carbon River</v>
      </c>
      <c r="I1847" s="108" t="str">
        <f>IFERROR(VLOOKUP(H1847,LUTs!$A$1:$C$73,2,FALSE),"NA")</f>
        <v>Pierce</v>
      </c>
      <c r="J1847" s="108" t="str">
        <f>IFERROR(VLOOKUP(H1847,LUTs!$A$1:$C$73,3,FALSE),"NA")</f>
        <v>3South Puget Sound</v>
      </c>
      <c r="K1847" s="108" t="s">
        <v>20</v>
      </c>
      <c r="L1847" s="108" t="str">
        <f>VLOOKUP(K1847,LUTs!E$2:G$14,3,)</f>
        <v>07Pierce</v>
      </c>
      <c r="M1847" s="108" t="str">
        <f>VLOOKUP($K1847,LUTs!$E$2:$H$14,2,)</f>
        <v>South Puget Sound</v>
      </c>
      <c r="N1847" s="108" t="str">
        <f>VLOOKUP($K1847,LUTs!$E$2:$H$14,4,)</f>
        <v>02South Puget Sound</v>
      </c>
      <c r="O1847" s="108">
        <v>4783.3943833943804</v>
      </c>
      <c r="P1847" s="108">
        <v>16454.876678876699</v>
      </c>
      <c r="Q1847" s="108">
        <f>SUMIFS('FW_Salmon_by_Month_2010-2021'!P$2:P$3810,'FW_Salmon_by_Month_2010-2021'!$B$2:$B$3810,'Rec_raw_catch_effort_2010-2021'!$B1847,'FW_Salmon_by_Month_2010-2021'!$H$2:$H$3810,'Rec_raw_catch_effort_2010-2021'!$F1847,'FW_Salmon_by_Month_2010-2021'!$M$2:$M$3810,'Rec_raw_catch_effort_2010-2021'!$K1847)</f>
        <v>4771.4317106152803</v>
      </c>
      <c r="R1847" s="109">
        <f>VLOOKUP(B1847,Readme!$A$62:$C$74,2,)*Q1847</f>
        <v>16886.289779527662</v>
      </c>
      <c r="S1847" s="140" t="str">
        <f t="shared" si="153"/>
        <v>Y</v>
      </c>
      <c r="T1847" s="154">
        <f t="shared" si="154"/>
        <v>3.4400000000000062</v>
      </c>
      <c r="U1847" s="154">
        <f t="shared" si="155"/>
        <v>3.5390404397824149</v>
      </c>
    </row>
    <row r="1848" spans="1:21" x14ac:dyDescent="0.35">
      <c r="A1848" s="108">
        <v>981</v>
      </c>
      <c r="B1848" s="108">
        <v>2011</v>
      </c>
      <c r="C1848" s="108" t="s">
        <v>38</v>
      </c>
      <c r="D1848" s="108" t="s">
        <v>143</v>
      </c>
      <c r="E1848" s="108" t="s">
        <v>10</v>
      </c>
      <c r="F1848" s="116">
        <v>802</v>
      </c>
      <c r="G1848" s="108" t="s">
        <v>53</v>
      </c>
      <c r="H1848" s="108" t="str">
        <f t="shared" si="156"/>
        <v>Carbon River</v>
      </c>
      <c r="I1848" s="108" t="str">
        <f>IFERROR(VLOOKUP(H1848,LUTs!$A$1:$C$73,2,FALSE),"NA")</f>
        <v>Pierce</v>
      </c>
      <c r="J1848" s="108" t="str">
        <f>IFERROR(VLOOKUP(H1848,LUTs!$A$1:$C$73,3,FALSE),"NA")</f>
        <v>3South Puget Sound</v>
      </c>
      <c r="K1848" s="108" t="s">
        <v>15</v>
      </c>
      <c r="L1848" s="108" t="str">
        <f>VLOOKUP(K1848,LUTs!E$2:G$14,3,)</f>
        <v>02Skagit</v>
      </c>
      <c r="M1848" s="108" t="str">
        <f>VLOOKUP($K1848,LUTs!$E$2:$H$14,2,)</f>
        <v>North Puget Sound</v>
      </c>
      <c r="N1848" s="108" t="str">
        <f>VLOOKUP($K1848,LUTs!$E$2:$H$14,4,)</f>
        <v>01North Puget Sound</v>
      </c>
      <c r="O1848" s="108">
        <v>14.407814407814399</v>
      </c>
      <c r="P1848" s="108">
        <v>49.5628815628815</v>
      </c>
      <c r="Q1848" s="108">
        <f>SUMIFS('FW_Salmon_by_Month_2010-2021'!P$2:P$3810,'FW_Salmon_by_Month_2010-2021'!$B$2:$B$3810,'Rec_raw_catch_effort_2010-2021'!$B1848,'FW_Salmon_by_Month_2010-2021'!$H$2:$H$3810,'Rec_raw_catch_effort_2010-2021'!$F1848,'FW_Salmon_by_Month_2010-2021'!$M$2:$M$3810,'Rec_raw_catch_effort_2010-2021'!$K1848)</f>
        <v>0</v>
      </c>
      <c r="R1848" s="109">
        <f>VLOOKUP(B1848,Readme!$A$62:$C$74,2,)*Q1848</f>
        <v>0</v>
      </c>
      <c r="S1848" s="140" t="str">
        <f t="shared" si="153"/>
        <v>Y</v>
      </c>
      <c r="T1848" s="154">
        <f t="shared" si="154"/>
        <v>3.4399999999999977</v>
      </c>
      <c r="U1848" s="154" t="str">
        <f t="shared" si="155"/>
        <v>NA</v>
      </c>
    </row>
    <row r="1849" spans="1:21" x14ac:dyDescent="0.35">
      <c r="A1849" s="108">
        <v>1066</v>
      </c>
      <c r="B1849" s="108">
        <v>2011</v>
      </c>
      <c r="C1849" s="108" t="s">
        <v>38</v>
      </c>
      <c r="D1849" s="108" t="s">
        <v>143</v>
      </c>
      <c r="E1849" s="108" t="s">
        <v>10</v>
      </c>
      <c r="F1849" s="116">
        <v>802</v>
      </c>
      <c r="G1849" s="108" t="s">
        <v>53</v>
      </c>
      <c r="H1849" s="108" t="str">
        <f t="shared" si="156"/>
        <v>Carbon River</v>
      </c>
      <c r="I1849" s="108" t="str">
        <f>IFERROR(VLOOKUP(H1849,LUTs!$A$1:$C$73,2,FALSE),"NA")</f>
        <v>Pierce</v>
      </c>
      <c r="J1849" s="108" t="str">
        <f>IFERROR(VLOOKUP(H1849,LUTs!$A$1:$C$73,3,FALSE),"NA")</f>
        <v>3South Puget Sound</v>
      </c>
      <c r="K1849" s="108" t="s">
        <v>16</v>
      </c>
      <c r="L1849" s="108" t="str">
        <f>VLOOKUP(K1849,LUTs!E$2:G$14,3,)</f>
        <v>03Snohomish</v>
      </c>
      <c r="M1849" s="108" t="str">
        <f>VLOOKUP($K1849,LUTs!$E$2:$H$14,2,)</f>
        <v>North Puget Sound</v>
      </c>
      <c r="N1849" s="108" t="str">
        <f>VLOOKUP($K1849,LUTs!$E$2:$H$14,4,)</f>
        <v>01North Puget Sound</v>
      </c>
      <c r="O1849" s="108">
        <v>43.223443223443198</v>
      </c>
      <c r="P1849" s="108">
        <v>148.68864468864501</v>
      </c>
      <c r="Q1849" s="108">
        <f>SUMIFS('FW_Salmon_by_Month_2010-2021'!P$2:P$3810,'FW_Salmon_by_Month_2010-2021'!$B$2:$B$3810,'Rec_raw_catch_effort_2010-2021'!$B1849,'FW_Salmon_by_Month_2010-2021'!$H$2:$H$3810,'Rec_raw_catch_effort_2010-2021'!$F1849,'FW_Salmon_by_Month_2010-2021'!$M$2:$M$3810,'Rec_raw_catch_effort_2010-2021'!$K1849)</f>
        <v>45.1419878296146</v>
      </c>
      <c r="R1849" s="109">
        <f>VLOOKUP(B1849,Readme!$A$62:$C$74,2,)*Q1849</f>
        <v>159.75932046117168</v>
      </c>
      <c r="S1849" s="140" t="str">
        <f t="shared" si="153"/>
        <v>Y</v>
      </c>
      <c r="T1849" s="154">
        <f t="shared" si="154"/>
        <v>3.4400000000000097</v>
      </c>
      <c r="U1849" s="154">
        <f t="shared" si="155"/>
        <v>3.5390404397824149</v>
      </c>
    </row>
    <row r="1850" spans="1:21" x14ac:dyDescent="0.35">
      <c r="A1850" s="108">
        <v>1069</v>
      </c>
      <c r="B1850" s="108">
        <v>2011</v>
      </c>
      <c r="C1850" s="108" t="s">
        <v>38</v>
      </c>
      <c r="D1850" s="108" t="s">
        <v>143</v>
      </c>
      <c r="E1850" s="108" t="s">
        <v>10</v>
      </c>
      <c r="F1850" s="116">
        <v>802</v>
      </c>
      <c r="G1850" s="108" t="s">
        <v>53</v>
      </c>
      <c r="H1850" s="108" t="str">
        <f t="shared" si="156"/>
        <v>Carbon River</v>
      </c>
      <c r="I1850" s="108" t="str">
        <f>IFERROR(VLOOKUP(H1850,LUTs!$A$1:$C$73,2,FALSE),"NA")</f>
        <v>Pierce</v>
      </c>
      <c r="J1850" s="108" t="str">
        <f>IFERROR(VLOOKUP(H1850,LUTs!$A$1:$C$73,3,FALSE),"NA")</f>
        <v>3South Puget Sound</v>
      </c>
      <c r="K1850" s="108" t="s">
        <v>21</v>
      </c>
      <c r="L1850" s="108" t="str">
        <f>VLOOKUP(K1850,LUTs!E$2:G$14,3,)</f>
        <v>08Thurston</v>
      </c>
      <c r="M1850" s="108" t="str">
        <f>VLOOKUP($K1850,LUTs!$E$2:$H$14,2,)</f>
        <v>South Puget Sound</v>
      </c>
      <c r="N1850" s="108" t="str">
        <f>VLOOKUP($K1850,LUTs!$E$2:$H$14,4,)</f>
        <v>02South Puget Sound</v>
      </c>
      <c r="O1850" s="108">
        <v>36.019536019535998</v>
      </c>
      <c r="P1850" s="108">
        <v>123.90720390720401</v>
      </c>
      <c r="Q1850" s="108">
        <f>SUMIFS('FW_Salmon_by_Month_2010-2021'!P$2:P$3810,'FW_Salmon_by_Month_2010-2021'!$B$2:$B$3810,'Rec_raw_catch_effort_2010-2021'!$B1850,'FW_Salmon_by_Month_2010-2021'!$H$2:$H$3810,'Rec_raw_catch_effort_2010-2021'!$F1850,'FW_Salmon_by_Month_2010-2021'!$M$2:$M$3810,'Rec_raw_catch_effort_2010-2021'!$K1850)</f>
        <v>37.677484787018301</v>
      </c>
      <c r="R1850" s="109">
        <f>VLOOKUP(B1850,Readme!$A$62:$C$74,2,)*Q1850</f>
        <v>133.3421423305445</v>
      </c>
      <c r="S1850" s="140" t="str">
        <f t="shared" si="153"/>
        <v>Y</v>
      </c>
      <c r="T1850" s="154">
        <f t="shared" si="154"/>
        <v>3.4400000000000048</v>
      </c>
      <c r="U1850" s="154">
        <f t="shared" si="155"/>
        <v>3.5390404397824153</v>
      </c>
    </row>
    <row r="1851" spans="1:21" x14ac:dyDescent="0.35">
      <c r="A1851" s="108">
        <v>980</v>
      </c>
      <c r="B1851" s="108">
        <v>2011</v>
      </c>
      <c r="C1851" s="108" t="s">
        <v>38</v>
      </c>
      <c r="D1851" s="108" t="s">
        <v>143</v>
      </c>
      <c r="E1851" s="108" t="s">
        <v>10</v>
      </c>
      <c r="F1851" s="116">
        <v>802</v>
      </c>
      <c r="G1851" s="108" t="s">
        <v>53</v>
      </c>
      <c r="H1851" s="108" t="str">
        <f t="shared" si="156"/>
        <v>Carbon River</v>
      </c>
      <c r="I1851" s="108" t="str">
        <f>IFERROR(VLOOKUP(H1851,LUTs!$A$1:$C$73,2,FALSE),"NA")</f>
        <v>Pierce</v>
      </c>
      <c r="J1851" s="108" t="str">
        <f>IFERROR(VLOOKUP(H1851,LUTs!$A$1:$C$73,3,FALSE),"NA")</f>
        <v>3South Puget Sound</v>
      </c>
      <c r="K1851" s="108" t="s">
        <v>13</v>
      </c>
      <c r="L1851" s="108" t="str">
        <f>VLOOKUP(K1851,LUTs!E$2:G$14,3,)</f>
        <v>01Whatcom</v>
      </c>
      <c r="M1851" s="108" t="str">
        <f>VLOOKUP($K1851,LUTs!$E$2:$H$14,2,)</f>
        <v>North Puget Sound</v>
      </c>
      <c r="N1851" s="108" t="str">
        <f>VLOOKUP($K1851,LUTs!$E$2:$H$14,4,)</f>
        <v>01North Puget Sound</v>
      </c>
      <c r="O1851" s="108">
        <v>43.223443223443198</v>
      </c>
      <c r="P1851" s="108">
        <v>148.68864468864501</v>
      </c>
      <c r="Q1851" s="108">
        <f>SUMIFS('FW_Salmon_by_Month_2010-2021'!P$2:P$3810,'FW_Salmon_by_Month_2010-2021'!$B$2:$B$3810,'Rec_raw_catch_effort_2010-2021'!$B1851,'FW_Salmon_by_Month_2010-2021'!$H$2:$H$3810,'Rec_raw_catch_effort_2010-2021'!$F1851,'FW_Salmon_by_Month_2010-2021'!$M$2:$M$3810,'Rec_raw_catch_effort_2010-2021'!$K1851)</f>
        <v>45.212981744421903</v>
      </c>
      <c r="R1851" s="109">
        <f>VLOOKUP(B1851,Readme!$A$62:$C$74,2,)*Q1851</f>
        <v>160.01057079665321</v>
      </c>
      <c r="S1851" s="140" t="str">
        <f t="shared" si="153"/>
        <v>Y</v>
      </c>
      <c r="T1851" s="154">
        <f t="shared" si="154"/>
        <v>3.4400000000000097</v>
      </c>
      <c r="U1851" s="154">
        <f t="shared" si="155"/>
        <v>3.5390404397824153</v>
      </c>
    </row>
    <row r="1852" spans="1:21" x14ac:dyDescent="0.35">
      <c r="A1852" s="108">
        <v>1151</v>
      </c>
      <c r="B1852" s="108">
        <v>2012</v>
      </c>
      <c r="C1852" s="108" t="s">
        <v>38</v>
      </c>
      <c r="D1852" s="108" t="s">
        <v>143</v>
      </c>
      <c r="E1852" s="108" t="s">
        <v>10</v>
      </c>
      <c r="F1852" s="116">
        <v>802</v>
      </c>
      <c r="G1852" s="108" t="s">
        <v>53</v>
      </c>
      <c r="H1852" s="108" t="str">
        <f t="shared" si="156"/>
        <v>Carbon River</v>
      </c>
      <c r="I1852" s="108" t="str">
        <f>IFERROR(VLOOKUP(H1852,LUTs!$A$1:$C$73,2,FALSE),"NA")</f>
        <v>Pierce</v>
      </c>
      <c r="J1852" s="108" t="str">
        <f>IFERROR(VLOOKUP(H1852,LUTs!$A$1:$C$73,3,FALSE),"NA")</f>
        <v>3South Puget Sound</v>
      </c>
      <c r="K1852" s="108" t="s">
        <v>18</v>
      </c>
      <c r="L1852" s="108" t="str">
        <f>VLOOKUP(K1852,LUTs!E$2:G$14,3,)</f>
        <v>06King</v>
      </c>
      <c r="M1852" s="108" t="str">
        <f>VLOOKUP($K1852,LUTs!$E$2:$H$14,2,)</f>
        <v>South Puget Sound</v>
      </c>
      <c r="N1852" s="108" t="str">
        <f>VLOOKUP($K1852,LUTs!$E$2:$H$14,4,)</f>
        <v>02South Puget Sound</v>
      </c>
      <c r="O1852" s="108">
        <v>56.425531914893597</v>
      </c>
      <c r="P1852" s="108">
        <v>488.08085106382998</v>
      </c>
      <c r="Q1852" s="108">
        <f>SUMIFS('FW_Salmon_by_Month_2010-2021'!P$2:P$3810,'FW_Salmon_by_Month_2010-2021'!$B$2:$B$3810,'Rec_raw_catch_effort_2010-2021'!$B1852,'FW_Salmon_by_Month_2010-2021'!$H$2:$H$3810,'Rec_raw_catch_effort_2010-2021'!$F1852,'FW_Salmon_by_Month_2010-2021'!$M$2:$M$3810,'Rec_raw_catch_effort_2010-2021'!$K1852)</f>
        <v>56.381635581061701</v>
      </c>
      <c r="R1852" s="109">
        <f>VLOOKUP(B1852,Readme!$A$62:$C$74,2,)*Q1852</f>
        <v>271.73438826662971</v>
      </c>
      <c r="S1852" s="140" t="str">
        <f t="shared" si="153"/>
        <v>Y</v>
      </c>
      <c r="T1852" s="154">
        <f t="shared" si="154"/>
        <v>8.6500000000000057</v>
      </c>
      <c r="U1852" s="154">
        <f t="shared" si="155"/>
        <v>4.8195549041132084</v>
      </c>
    </row>
    <row r="1853" spans="1:21" x14ac:dyDescent="0.35">
      <c r="A1853" s="108">
        <v>1153</v>
      </c>
      <c r="B1853" s="108">
        <v>2012</v>
      </c>
      <c r="C1853" s="108" t="s">
        <v>38</v>
      </c>
      <c r="D1853" s="108" t="s">
        <v>143</v>
      </c>
      <c r="E1853" s="108" t="s">
        <v>10</v>
      </c>
      <c r="F1853" s="116">
        <v>802</v>
      </c>
      <c r="G1853" s="108" t="s">
        <v>53</v>
      </c>
      <c r="H1853" s="108" t="str">
        <f t="shared" si="156"/>
        <v>Carbon River</v>
      </c>
      <c r="I1853" s="108" t="str">
        <f>IFERROR(VLOOKUP(H1853,LUTs!$A$1:$C$73,2,FALSE),"NA")</f>
        <v>Pierce</v>
      </c>
      <c r="J1853" s="108" t="str">
        <f>IFERROR(VLOOKUP(H1853,LUTs!$A$1:$C$73,3,FALSE),"NA")</f>
        <v>3South Puget Sound</v>
      </c>
      <c r="K1853" s="108" t="s">
        <v>26</v>
      </c>
      <c r="L1853" s="108" t="str">
        <f>VLOOKUP(K1853,LUTs!E$2:G$14,3,)</f>
        <v>20Other</v>
      </c>
      <c r="M1853" s="108" t="str">
        <f>VLOOKUP($K1853,LUTs!$E$2:$H$14,2,)</f>
        <v>Non Puget Sound</v>
      </c>
      <c r="N1853" s="108" t="str">
        <f>VLOOKUP($K1853,LUTs!$E$2:$H$14,4,)</f>
        <v>07Non Puget Sound</v>
      </c>
      <c r="O1853" s="108">
        <v>28.212765957446798</v>
      </c>
      <c r="P1853" s="108">
        <v>244.04042553191499</v>
      </c>
      <c r="Q1853" s="108">
        <f>SUMIFS('FW_Salmon_by_Month_2010-2021'!P$2:P$3810,'FW_Salmon_by_Month_2010-2021'!$B$2:$B$3810,'Rec_raw_catch_effort_2010-2021'!$B1853,'FW_Salmon_by_Month_2010-2021'!$H$2:$H$3810,'Rec_raw_catch_effort_2010-2021'!$F1853,'FW_Salmon_by_Month_2010-2021'!$M$2:$M$3810,'Rec_raw_catch_effort_2010-2021'!$K1853)</f>
        <v>28.195121951219502</v>
      </c>
      <c r="R1853" s="109">
        <f>VLOOKUP(B1853,Readme!$A$62:$C$74,2,)*Q1853</f>
        <v>135.88793827206993</v>
      </c>
      <c r="S1853" s="140" t="str">
        <f t="shared" si="153"/>
        <v>Y</v>
      </c>
      <c r="T1853" s="154">
        <f t="shared" si="154"/>
        <v>8.6500000000000057</v>
      </c>
      <c r="U1853" s="154">
        <f t="shared" si="155"/>
        <v>4.8195549041132084</v>
      </c>
    </row>
    <row r="1854" spans="1:21" x14ac:dyDescent="0.35">
      <c r="A1854" s="108">
        <v>1152</v>
      </c>
      <c r="B1854" s="108">
        <v>2012</v>
      </c>
      <c r="C1854" s="108" t="s">
        <v>38</v>
      </c>
      <c r="D1854" s="108" t="s">
        <v>143</v>
      </c>
      <c r="E1854" s="108" t="s">
        <v>10</v>
      </c>
      <c r="F1854" s="116">
        <v>802</v>
      </c>
      <c r="G1854" s="108" t="s">
        <v>53</v>
      </c>
      <c r="H1854" s="108" t="str">
        <f t="shared" si="156"/>
        <v>Carbon River</v>
      </c>
      <c r="I1854" s="108" t="str">
        <f>IFERROR(VLOOKUP(H1854,LUTs!$A$1:$C$73,2,FALSE),"NA")</f>
        <v>Pierce</v>
      </c>
      <c r="J1854" s="108" t="str">
        <f>IFERROR(VLOOKUP(H1854,LUTs!$A$1:$C$73,3,FALSE),"NA")</f>
        <v>3South Puget Sound</v>
      </c>
      <c r="K1854" s="108" t="s">
        <v>20</v>
      </c>
      <c r="L1854" s="108" t="str">
        <f>VLOOKUP(K1854,LUTs!E$2:G$14,3,)</f>
        <v>07Pierce</v>
      </c>
      <c r="M1854" s="108" t="str">
        <f>VLOOKUP($K1854,LUTs!$E$2:$H$14,2,)</f>
        <v>South Puget Sound</v>
      </c>
      <c r="N1854" s="108" t="str">
        <f>VLOOKUP($K1854,LUTs!$E$2:$H$14,4,)</f>
        <v>02South Puget Sound</v>
      </c>
      <c r="O1854" s="108">
        <v>578.36170212766001</v>
      </c>
      <c r="P1854" s="108">
        <v>5002.82872340426</v>
      </c>
      <c r="Q1854" s="108">
        <f>SUMIFS('FW_Salmon_by_Month_2010-2021'!P$2:P$3810,'FW_Salmon_by_Month_2010-2021'!$B$2:$B$3810,'Rec_raw_catch_effort_2010-2021'!$B1854,'FW_Salmon_by_Month_2010-2021'!$H$2:$H$3810,'Rec_raw_catch_effort_2010-2021'!$F1854,'FW_Salmon_by_Month_2010-2021'!$M$2:$M$3810,'Rec_raw_catch_effort_2010-2021'!$K1854)</f>
        <v>578.42324246771898</v>
      </c>
      <c r="R1854" s="109">
        <f>VLOOKUP(B1854,Readme!$A$62:$C$74,2,)*Q1854</f>
        <v>2787.7425748883584</v>
      </c>
      <c r="S1854" s="140" t="str">
        <f t="shared" si="153"/>
        <v>Y</v>
      </c>
      <c r="T1854" s="154">
        <f t="shared" si="154"/>
        <v>8.6500000000000021</v>
      </c>
      <c r="U1854" s="154">
        <f t="shared" si="155"/>
        <v>4.8195549041132084</v>
      </c>
    </row>
    <row r="1855" spans="1:21" x14ac:dyDescent="0.35">
      <c r="A1855" s="108">
        <v>1166</v>
      </c>
      <c r="B1855" s="108">
        <v>2013</v>
      </c>
      <c r="C1855" s="108" t="s">
        <v>38</v>
      </c>
      <c r="D1855" s="108" t="s">
        <v>143</v>
      </c>
      <c r="E1855" s="108" t="s">
        <v>10</v>
      </c>
      <c r="F1855" s="116">
        <v>802</v>
      </c>
      <c r="G1855" s="108" t="s">
        <v>53</v>
      </c>
      <c r="H1855" s="108" t="str">
        <f t="shared" si="156"/>
        <v>Carbon River</v>
      </c>
      <c r="I1855" s="108" t="str">
        <f>IFERROR(VLOOKUP(H1855,LUTs!$A$1:$C$73,2,FALSE),"NA")</f>
        <v>Pierce</v>
      </c>
      <c r="J1855" s="108" t="str">
        <f>IFERROR(VLOOKUP(H1855,LUTs!$A$1:$C$73,3,FALSE),"NA")</f>
        <v>3South Puget Sound</v>
      </c>
      <c r="K1855" s="108" t="s">
        <v>17</v>
      </c>
      <c r="L1855" s="108" t="str">
        <f>VLOOKUP(K1855,LUTs!E$2:G$14,3,)</f>
        <v>04Island</v>
      </c>
      <c r="M1855" s="108" t="str">
        <f>VLOOKUP($K1855,LUTs!$E$2:$H$14,2,)</f>
        <v>North Puget Sound</v>
      </c>
      <c r="N1855" s="108" t="str">
        <f>VLOOKUP($K1855,LUTs!$E$2:$H$14,4,)</f>
        <v>01North Puget Sound</v>
      </c>
      <c r="O1855" s="108">
        <v>18.0715421303657</v>
      </c>
      <c r="P1855" s="108">
        <v>62.166104928457997</v>
      </c>
      <c r="Q1855" s="108">
        <f>SUMIFS('FW_Salmon_by_Month_2010-2021'!P$2:P$3810,'FW_Salmon_by_Month_2010-2021'!$B$2:$B$3810,'Rec_raw_catch_effort_2010-2021'!$B1855,'FW_Salmon_by_Month_2010-2021'!$H$2:$H$3810,'Rec_raw_catch_effort_2010-2021'!$F1855,'FW_Salmon_by_Month_2010-2021'!$M$2:$M$3810,'Rec_raw_catch_effort_2010-2021'!$K1855)</f>
        <v>18.283822138126801</v>
      </c>
      <c r="R1855" s="109">
        <f>VLOOKUP(B1855,Readme!$A$62:$C$74,2,)*Q1855</f>
        <v>64.707185940619738</v>
      </c>
      <c r="S1855" s="140" t="str">
        <f t="shared" si="153"/>
        <v>Y</v>
      </c>
      <c r="T1855" s="154">
        <f t="shared" si="154"/>
        <v>3.4399999999999995</v>
      </c>
      <c r="U1855" s="154">
        <f t="shared" si="155"/>
        <v>3.5390404397824153</v>
      </c>
    </row>
    <row r="1856" spans="1:21" x14ac:dyDescent="0.35">
      <c r="A1856" s="108">
        <v>1167</v>
      </c>
      <c r="B1856" s="108">
        <v>2013</v>
      </c>
      <c r="C1856" s="108" t="s">
        <v>38</v>
      </c>
      <c r="D1856" s="108" t="s">
        <v>143</v>
      </c>
      <c r="E1856" s="108" t="s">
        <v>10</v>
      </c>
      <c r="F1856" s="116">
        <v>802</v>
      </c>
      <c r="G1856" s="108" t="s">
        <v>53</v>
      </c>
      <c r="H1856" s="108" t="str">
        <f t="shared" si="156"/>
        <v>Carbon River</v>
      </c>
      <c r="I1856" s="108" t="str">
        <f>IFERROR(VLOOKUP(H1856,LUTs!$A$1:$C$73,2,FALSE),"NA")</f>
        <v>Pierce</v>
      </c>
      <c r="J1856" s="108" t="str">
        <f>IFERROR(VLOOKUP(H1856,LUTs!$A$1:$C$73,3,FALSE),"NA")</f>
        <v>3South Puget Sound</v>
      </c>
      <c r="K1856" s="108" t="s">
        <v>18</v>
      </c>
      <c r="L1856" s="108" t="str">
        <f>VLOOKUP(K1856,LUTs!E$2:G$14,3,)</f>
        <v>06King</v>
      </c>
      <c r="M1856" s="108" t="str">
        <f>VLOOKUP($K1856,LUTs!$E$2:$H$14,2,)</f>
        <v>South Puget Sound</v>
      </c>
      <c r="N1856" s="108" t="str">
        <f>VLOOKUP($K1856,LUTs!$E$2:$H$14,4,)</f>
        <v>02South Puget Sound</v>
      </c>
      <c r="O1856" s="108">
        <v>813.21939586645499</v>
      </c>
      <c r="P1856" s="108">
        <v>2797.4747217806098</v>
      </c>
      <c r="Q1856" s="108">
        <f>SUMIFS('FW_Salmon_by_Month_2010-2021'!P$2:P$3810,'FW_Salmon_by_Month_2010-2021'!$B$2:$B$3810,'Rec_raw_catch_effort_2010-2021'!$B1856,'FW_Salmon_by_Month_2010-2021'!$H$2:$H$3810,'Rec_raw_catch_effort_2010-2021'!$F1856,'FW_Salmon_by_Month_2010-2021'!$M$2:$M$3810,'Rec_raw_catch_effort_2010-2021'!$K1856)</f>
        <v>822.03551415471941</v>
      </c>
      <c r="R1856" s="109">
        <f>VLOOKUP(B1856,Readme!$A$62:$C$74,2,)*Q1856</f>
        <v>2909.216927530882</v>
      </c>
      <c r="S1856" s="140" t="str">
        <f t="shared" si="153"/>
        <v>Y</v>
      </c>
      <c r="T1856" s="154">
        <f t="shared" si="154"/>
        <v>3.4400000000000057</v>
      </c>
      <c r="U1856" s="154">
        <f t="shared" si="155"/>
        <v>3.5390404397824153</v>
      </c>
    </row>
    <row r="1857" spans="1:21" x14ac:dyDescent="0.35">
      <c r="A1857" s="108">
        <v>1170</v>
      </c>
      <c r="B1857" s="108">
        <v>2013</v>
      </c>
      <c r="C1857" s="108" t="s">
        <v>38</v>
      </c>
      <c r="D1857" s="108" t="s">
        <v>143</v>
      </c>
      <c r="E1857" s="108" t="s">
        <v>10</v>
      </c>
      <c r="F1857" s="116">
        <v>802</v>
      </c>
      <c r="G1857" s="108" t="s">
        <v>53</v>
      </c>
      <c r="H1857" s="108" t="str">
        <f t="shared" si="156"/>
        <v>Carbon River</v>
      </c>
      <c r="I1857" s="108" t="str">
        <f>IFERROR(VLOOKUP(H1857,LUTs!$A$1:$C$73,2,FALSE),"NA")</f>
        <v>Pierce</v>
      </c>
      <c r="J1857" s="108" t="str">
        <f>IFERROR(VLOOKUP(H1857,LUTs!$A$1:$C$73,3,FALSE),"NA")</f>
        <v>3South Puget Sound</v>
      </c>
      <c r="K1857" s="108" t="s">
        <v>23</v>
      </c>
      <c r="L1857" s="108" t="str">
        <f>VLOOKUP(K1857,LUTs!E$2:G$14,3,)</f>
        <v>10Kitsap</v>
      </c>
      <c r="M1857" s="108" t="str">
        <f>VLOOKUP($K1857,LUTs!$E$2:$H$14,2,)</f>
        <v>South Puget Sound</v>
      </c>
      <c r="N1857" s="108" t="str">
        <f>VLOOKUP($K1857,LUTs!$E$2:$H$14,4,)</f>
        <v>02South Puget Sound</v>
      </c>
      <c r="O1857" s="108">
        <v>171.67965023847401</v>
      </c>
      <c r="P1857" s="108">
        <v>590.57799682035102</v>
      </c>
      <c r="Q1857" s="108">
        <f>SUMIFS('FW_Salmon_by_Month_2010-2021'!P$2:P$3810,'FW_Salmon_by_Month_2010-2021'!$B$2:$B$3810,'Rec_raw_catch_effort_2010-2021'!$B1857,'FW_Salmon_by_Month_2010-2021'!$H$2:$H$3810,'Rec_raw_catch_effort_2010-2021'!$F1857,'FW_Salmon_by_Month_2010-2021'!$M$2:$M$3810,'Rec_raw_catch_effort_2010-2021'!$K1857)</f>
        <v>173.43635834364329</v>
      </c>
      <c r="R1857" s="109">
        <f>VLOOKUP(B1857,Readme!$A$62:$C$74,2,)*Q1857</f>
        <v>613.79828590674788</v>
      </c>
      <c r="S1857" s="140" t="str">
        <f t="shared" si="153"/>
        <v>Y</v>
      </c>
      <c r="T1857" s="154">
        <f t="shared" si="154"/>
        <v>3.4400000000000026</v>
      </c>
      <c r="U1857" s="154">
        <f t="shared" si="155"/>
        <v>3.5390404397824149</v>
      </c>
    </row>
    <row r="1858" spans="1:21" x14ac:dyDescent="0.35">
      <c r="A1858" s="108">
        <v>1171</v>
      </c>
      <c r="B1858" s="108">
        <v>2013</v>
      </c>
      <c r="C1858" s="108" t="s">
        <v>38</v>
      </c>
      <c r="D1858" s="108" t="s">
        <v>143</v>
      </c>
      <c r="E1858" s="108" t="s">
        <v>10</v>
      </c>
      <c r="F1858" s="116">
        <v>802</v>
      </c>
      <c r="G1858" s="108" t="s">
        <v>53</v>
      </c>
      <c r="H1858" s="108" t="str">
        <f t="shared" si="156"/>
        <v>Carbon River</v>
      </c>
      <c r="I1858" s="108" t="str">
        <f>IFERROR(VLOOKUP(H1858,LUTs!$A$1:$C$73,2,FALSE),"NA")</f>
        <v>Pierce</v>
      </c>
      <c r="J1858" s="108" t="str">
        <f>IFERROR(VLOOKUP(H1858,LUTs!$A$1:$C$73,3,FALSE),"NA")</f>
        <v>3South Puget Sound</v>
      </c>
      <c r="K1858" s="108" t="s">
        <v>26</v>
      </c>
      <c r="L1858" s="108" t="str">
        <f>VLOOKUP(K1858,LUTs!E$2:G$14,3,)</f>
        <v>20Other</v>
      </c>
      <c r="M1858" s="108" t="str">
        <f>VLOOKUP($K1858,LUTs!$E$2:$H$14,2,)</f>
        <v>Non Puget Sound</v>
      </c>
      <c r="N1858" s="108" t="str">
        <f>VLOOKUP($K1858,LUTs!$E$2:$H$14,4,)</f>
        <v>07Non Puget Sound</v>
      </c>
      <c r="O1858" s="108">
        <v>578.28934817170102</v>
      </c>
      <c r="P1858" s="108">
        <v>1989.31535771065</v>
      </c>
      <c r="Q1858" s="108">
        <f>SUMIFS('FW_Salmon_by_Month_2010-2021'!P$2:P$3810,'FW_Salmon_by_Month_2010-2021'!$B$2:$B$3810,'Rec_raw_catch_effort_2010-2021'!$B1858,'FW_Salmon_by_Month_2010-2021'!$H$2:$H$3810,'Rec_raw_catch_effort_2010-2021'!$F1858,'FW_Salmon_by_Month_2010-2021'!$M$2:$M$3810,'Rec_raw_catch_effort_2010-2021'!$K1858)</f>
        <v>584.71164155932354</v>
      </c>
      <c r="R1858" s="109">
        <f>VLOOKUP(B1858,Readme!$A$62:$C$74,2,)*Q1858</f>
        <v>2069.3181450900065</v>
      </c>
      <c r="S1858" s="140" t="str">
        <f t="shared" si="153"/>
        <v>Y</v>
      </c>
      <c r="T1858" s="154">
        <f t="shared" si="154"/>
        <v>3.4399999999999973</v>
      </c>
      <c r="U1858" s="154">
        <f t="shared" si="155"/>
        <v>3.5390404397824158</v>
      </c>
    </row>
    <row r="1859" spans="1:21" x14ac:dyDescent="0.35">
      <c r="A1859" s="108">
        <v>1168</v>
      </c>
      <c r="B1859" s="108">
        <v>2013</v>
      </c>
      <c r="C1859" s="108" t="s">
        <v>38</v>
      </c>
      <c r="D1859" s="108" t="s">
        <v>143</v>
      </c>
      <c r="E1859" s="108" t="s">
        <v>10</v>
      </c>
      <c r="F1859" s="116">
        <v>802</v>
      </c>
      <c r="G1859" s="108" t="s">
        <v>53</v>
      </c>
      <c r="H1859" s="108" t="str">
        <f t="shared" si="156"/>
        <v>Carbon River</v>
      </c>
      <c r="I1859" s="108" t="str">
        <f>IFERROR(VLOOKUP(H1859,LUTs!$A$1:$C$73,2,FALSE),"NA")</f>
        <v>Pierce</v>
      </c>
      <c r="J1859" s="108" t="str">
        <f>IFERROR(VLOOKUP(H1859,LUTs!$A$1:$C$73,3,FALSE),"NA")</f>
        <v>3South Puget Sound</v>
      </c>
      <c r="K1859" s="108" t="s">
        <v>20</v>
      </c>
      <c r="L1859" s="108" t="str">
        <f>VLOOKUP(K1859,LUTs!E$2:G$14,3,)</f>
        <v>07Pierce</v>
      </c>
      <c r="M1859" s="108" t="str">
        <f>VLOOKUP($K1859,LUTs!$E$2:$H$14,2,)</f>
        <v>South Puget Sound</v>
      </c>
      <c r="N1859" s="108" t="str">
        <f>VLOOKUP($K1859,LUTs!$E$2:$H$14,4,)</f>
        <v>02South Puget Sound</v>
      </c>
      <c r="O1859" s="108">
        <v>9342.9872813990496</v>
      </c>
      <c r="P1859" s="108">
        <v>32139.876248012701</v>
      </c>
      <c r="Q1859" s="108">
        <f>SUMIFS('FW_Salmon_by_Month_2010-2021'!P$2:P$3810,'FW_Salmon_by_Month_2010-2021'!$B$2:$B$3810,'Rec_raw_catch_effort_2010-2021'!$B1859,'FW_Salmon_by_Month_2010-2021'!$H$2:$H$3810,'Rec_raw_catch_effort_2010-2021'!$F1859,'FW_Salmon_by_Month_2010-2021'!$M$2:$M$3810,'Rec_raw_catch_effort_2010-2021'!$K1859)</f>
        <v>9320.6476117701313</v>
      </c>
      <c r="R1859" s="109">
        <f>VLOOKUP(B1859,Readme!$A$62:$C$74,2,)*Q1859</f>
        <v>32986.148823015887</v>
      </c>
      <c r="S1859" s="140" t="str">
        <f t="shared" ref="S1859:S1922" si="157">IF(B1859&lt;=2019,"Y","N")</f>
        <v>Y</v>
      </c>
      <c r="T1859" s="154">
        <f t="shared" ref="T1859:T1922" si="158">IFERROR(P1859/O1859,"NA")</f>
        <v>3.4399999999999968</v>
      </c>
      <c r="U1859" s="154">
        <f t="shared" ref="U1859:U1922" si="159">IFERROR(R1859/Q1859,"NA")</f>
        <v>3.5390404397824153</v>
      </c>
    </row>
    <row r="1860" spans="1:21" x14ac:dyDescent="0.35">
      <c r="A1860" s="108">
        <v>1165</v>
      </c>
      <c r="B1860" s="108">
        <v>2013</v>
      </c>
      <c r="C1860" s="108" t="s">
        <v>38</v>
      </c>
      <c r="D1860" s="108" t="s">
        <v>143</v>
      </c>
      <c r="E1860" s="108" t="s">
        <v>10</v>
      </c>
      <c r="F1860" s="116">
        <v>802</v>
      </c>
      <c r="G1860" s="108" t="s">
        <v>53</v>
      </c>
      <c r="H1860" s="108" t="str">
        <f t="shared" si="156"/>
        <v>Carbon River</v>
      </c>
      <c r="I1860" s="108" t="str">
        <f>IFERROR(VLOOKUP(H1860,LUTs!$A$1:$C$73,2,FALSE),"NA")</f>
        <v>Pierce</v>
      </c>
      <c r="J1860" s="108" t="str">
        <f>IFERROR(VLOOKUP(H1860,LUTs!$A$1:$C$73,3,FALSE),"NA")</f>
        <v>3South Puget Sound</v>
      </c>
      <c r="K1860" s="108" t="s">
        <v>16</v>
      </c>
      <c r="L1860" s="108" t="str">
        <f>VLOOKUP(K1860,LUTs!E$2:G$14,3,)</f>
        <v>03Snohomish</v>
      </c>
      <c r="M1860" s="108" t="str">
        <f>VLOOKUP($K1860,LUTs!$E$2:$H$14,2,)</f>
        <v>North Puget Sound</v>
      </c>
      <c r="N1860" s="108" t="str">
        <f>VLOOKUP($K1860,LUTs!$E$2:$H$14,4,)</f>
        <v>01North Puget Sound</v>
      </c>
      <c r="O1860" s="108">
        <v>234.93004769475399</v>
      </c>
      <c r="P1860" s="108">
        <v>808.15936406995399</v>
      </c>
      <c r="Q1860" s="108">
        <f>SUMIFS('FW_Salmon_by_Month_2010-2021'!P$2:P$3810,'FW_Salmon_by_Month_2010-2021'!$B$2:$B$3810,'Rec_raw_catch_effort_2010-2021'!$B1860,'FW_Salmon_by_Month_2010-2021'!$H$2:$H$3810,'Rec_raw_catch_effort_2010-2021'!$F1860,'FW_Salmon_by_Month_2010-2021'!$M$2:$M$3810,'Rec_raw_catch_effort_2010-2021'!$K1860)</f>
        <v>237.6210974456009</v>
      </c>
      <c r="R1860" s="109">
        <f>VLOOKUP(B1860,Readme!$A$62:$C$74,2,)*Q1860</f>
        <v>840.95067320545957</v>
      </c>
      <c r="S1860" s="140" t="str">
        <f t="shared" si="157"/>
        <v>Y</v>
      </c>
      <c r="T1860" s="154">
        <f t="shared" si="158"/>
        <v>3.4400000000000013</v>
      </c>
      <c r="U1860" s="154">
        <f t="shared" si="159"/>
        <v>3.5390404397824153</v>
      </c>
    </row>
    <row r="1861" spans="1:21" x14ac:dyDescent="0.35">
      <c r="A1861" s="108">
        <v>1169</v>
      </c>
      <c r="B1861" s="108">
        <v>2013</v>
      </c>
      <c r="C1861" s="108" t="s">
        <v>38</v>
      </c>
      <c r="D1861" s="108" t="s">
        <v>143</v>
      </c>
      <c r="E1861" s="108" t="s">
        <v>10</v>
      </c>
      <c r="F1861" s="116">
        <v>802</v>
      </c>
      <c r="G1861" s="108" t="s">
        <v>53</v>
      </c>
      <c r="H1861" s="108" t="str">
        <f t="shared" si="156"/>
        <v>Carbon River</v>
      </c>
      <c r="I1861" s="108" t="str">
        <f>IFERROR(VLOOKUP(H1861,LUTs!$A$1:$C$73,2,FALSE),"NA")</f>
        <v>Pierce</v>
      </c>
      <c r="J1861" s="108" t="str">
        <f>IFERROR(VLOOKUP(H1861,LUTs!$A$1:$C$73,3,FALSE),"NA")</f>
        <v>3South Puget Sound</v>
      </c>
      <c r="K1861" s="108" t="s">
        <v>21</v>
      </c>
      <c r="L1861" s="108" t="str">
        <f>VLOOKUP(K1861,LUTs!E$2:G$14,3,)</f>
        <v>08Thurston</v>
      </c>
      <c r="M1861" s="108" t="str">
        <f>VLOOKUP($K1861,LUTs!$E$2:$H$14,2,)</f>
        <v>South Puget Sound</v>
      </c>
      <c r="N1861" s="108" t="str">
        <f>VLOOKUP($K1861,LUTs!$E$2:$H$14,4,)</f>
        <v>02South Puget Sound</v>
      </c>
      <c r="O1861" s="108">
        <v>162.643879173291</v>
      </c>
      <c r="P1861" s="108">
        <v>559.49494435612098</v>
      </c>
      <c r="Q1861" s="108">
        <f>SUMIFS('FW_Salmon_by_Month_2010-2021'!P$2:P$3810,'FW_Salmon_by_Month_2010-2021'!$B$2:$B$3810,'Rec_raw_catch_effort_2010-2021'!$B1861,'FW_Salmon_by_Month_2010-2021'!$H$2:$H$3810,'Rec_raw_catch_effort_2010-2021'!$F1861,'FW_Salmon_by_Month_2010-2021'!$M$2:$M$3810,'Rec_raw_catch_effort_2010-2021'!$K1861)</f>
        <v>164.55439924314101</v>
      </c>
      <c r="R1861" s="109">
        <f>VLOOKUP(B1861,Readme!$A$62:$C$74,2,)*Q1861</f>
        <v>582.36467346557686</v>
      </c>
      <c r="S1861" s="140" t="str">
        <f t="shared" si="157"/>
        <v>Y</v>
      </c>
      <c r="T1861" s="154">
        <f t="shared" si="158"/>
        <v>3.4399999999999995</v>
      </c>
      <c r="U1861" s="154">
        <f t="shared" si="159"/>
        <v>3.5390404397824149</v>
      </c>
    </row>
    <row r="1862" spans="1:21" x14ac:dyDescent="0.35">
      <c r="A1862" s="108">
        <v>1164</v>
      </c>
      <c r="B1862" s="108">
        <v>2013</v>
      </c>
      <c r="C1862" s="108" t="s">
        <v>38</v>
      </c>
      <c r="D1862" s="108" t="s">
        <v>143</v>
      </c>
      <c r="E1862" s="108" t="s">
        <v>10</v>
      </c>
      <c r="F1862" s="116">
        <v>802</v>
      </c>
      <c r="G1862" s="108" t="s">
        <v>53</v>
      </c>
      <c r="H1862" s="108" t="str">
        <f t="shared" si="156"/>
        <v>Carbon River</v>
      </c>
      <c r="I1862" s="108" t="str">
        <f>IFERROR(VLOOKUP(H1862,LUTs!$A$1:$C$73,2,FALSE),"NA")</f>
        <v>Pierce</v>
      </c>
      <c r="J1862" s="108" t="str">
        <f>IFERROR(VLOOKUP(H1862,LUTs!$A$1:$C$73,3,FALSE),"NA")</f>
        <v>3South Puget Sound</v>
      </c>
      <c r="K1862" s="108" t="s">
        <v>13</v>
      </c>
      <c r="L1862" s="108" t="str">
        <f>VLOOKUP(K1862,LUTs!E$2:G$14,3,)</f>
        <v>01Whatcom</v>
      </c>
      <c r="M1862" s="108" t="str">
        <f>VLOOKUP($K1862,LUTs!$E$2:$H$14,2,)</f>
        <v>North Puget Sound</v>
      </c>
      <c r="N1862" s="108" t="str">
        <f>VLOOKUP($K1862,LUTs!$E$2:$H$14,4,)</f>
        <v>01North Puget Sound</v>
      </c>
      <c r="O1862" s="108">
        <v>45.178855325914199</v>
      </c>
      <c r="P1862" s="108">
        <v>155.41526232114501</v>
      </c>
      <c r="Q1862" s="108">
        <f>SUMIFS('FW_Salmon_by_Month_2010-2021'!P$2:P$3810,'FW_Salmon_by_Month_2010-2021'!$B$2:$B$3810,'Rec_raw_catch_effort_2010-2021'!$B1862,'FW_Salmon_by_Month_2010-2021'!$H$2:$H$3810,'Rec_raw_catch_effort_2010-2021'!$F1862,'FW_Salmon_by_Month_2010-2021'!$M$2:$M$3810,'Rec_raw_catch_effort_2010-2021'!$K1862)</f>
        <v>45.7095553453169</v>
      </c>
      <c r="R1862" s="109">
        <f>VLOOKUP(B1862,Readme!$A$62:$C$74,2,)*Q1862</f>
        <v>161.76796485154898</v>
      </c>
      <c r="S1862" s="140" t="str">
        <f t="shared" si="157"/>
        <v>Y</v>
      </c>
      <c r="T1862" s="154">
        <f t="shared" si="158"/>
        <v>3.4400000000000035</v>
      </c>
      <c r="U1862" s="154">
        <f t="shared" si="159"/>
        <v>3.5390404397824153</v>
      </c>
    </row>
    <row r="1863" spans="1:21" x14ac:dyDescent="0.35">
      <c r="A1863" s="108">
        <v>36</v>
      </c>
      <c r="B1863" s="108">
        <v>2014</v>
      </c>
      <c r="C1863" s="108" t="s">
        <v>38</v>
      </c>
      <c r="D1863" s="108" t="s">
        <v>143</v>
      </c>
      <c r="E1863" s="108" t="s">
        <v>10</v>
      </c>
      <c r="F1863" s="116">
        <v>802</v>
      </c>
      <c r="G1863" s="108" t="s">
        <v>53</v>
      </c>
      <c r="H1863" s="108" t="str">
        <f t="shared" si="156"/>
        <v>Carbon River</v>
      </c>
      <c r="I1863" s="108" t="str">
        <f>IFERROR(VLOOKUP(H1863,LUTs!$A$1:$C$73,2,FALSE),"NA")</f>
        <v>Pierce</v>
      </c>
      <c r="J1863" s="108" t="str">
        <f>IFERROR(VLOOKUP(H1863,LUTs!$A$1:$C$73,3,FALSE),"NA")</f>
        <v>3South Puget Sound</v>
      </c>
      <c r="K1863" s="108" t="s">
        <v>18</v>
      </c>
      <c r="L1863" s="108" t="str">
        <f>VLOOKUP(K1863,LUTs!E$2:G$14,3,)</f>
        <v>06King</v>
      </c>
      <c r="M1863" s="108" t="str">
        <f>VLOOKUP($K1863,LUTs!$E$2:$H$14,2,)</f>
        <v>South Puget Sound</v>
      </c>
      <c r="N1863" s="108" t="str">
        <f>VLOOKUP($K1863,LUTs!$E$2:$H$14,4,)</f>
        <v>02South Puget Sound</v>
      </c>
      <c r="O1863" s="108">
        <v>276.58914728682203</v>
      </c>
      <c r="P1863" s="108">
        <v>2392.4961240310099</v>
      </c>
      <c r="Q1863" s="108">
        <f>SUMIFS('FW_Salmon_by_Month_2010-2021'!P$2:P$3810,'FW_Salmon_by_Month_2010-2021'!$B$2:$B$3810,'Rec_raw_catch_effort_2010-2021'!$B1863,'FW_Salmon_by_Month_2010-2021'!$H$2:$H$3810,'Rec_raw_catch_effort_2010-2021'!$F1863,'FW_Salmon_by_Month_2010-2021'!$M$2:$M$3810,'Rec_raw_catch_effort_2010-2021'!$K1863)</f>
        <v>278.506024096386</v>
      </c>
      <c r="R1863" s="109">
        <f>VLOOKUP(B1863,Readme!$A$62:$C$74,2,)*Q1863</f>
        <v>1342.2750742588084</v>
      </c>
      <c r="S1863" s="140" t="str">
        <f t="shared" si="157"/>
        <v>Y</v>
      </c>
      <c r="T1863" s="154">
        <f t="shared" si="158"/>
        <v>8.6499999999999986</v>
      </c>
      <c r="U1863" s="154">
        <f t="shared" si="159"/>
        <v>4.8195549041132084</v>
      </c>
    </row>
    <row r="1864" spans="1:21" x14ac:dyDescent="0.35">
      <c r="A1864" s="108">
        <v>132</v>
      </c>
      <c r="B1864" s="108">
        <v>2014</v>
      </c>
      <c r="C1864" s="108" t="s">
        <v>38</v>
      </c>
      <c r="D1864" s="108" t="s">
        <v>143</v>
      </c>
      <c r="E1864" s="108" t="s">
        <v>10</v>
      </c>
      <c r="F1864" s="116">
        <v>802</v>
      </c>
      <c r="G1864" s="108" t="s">
        <v>53</v>
      </c>
      <c r="H1864" s="108" t="str">
        <f t="shared" si="156"/>
        <v>Carbon River</v>
      </c>
      <c r="I1864" s="108" t="str">
        <f>IFERROR(VLOOKUP(H1864,LUTs!$A$1:$C$73,2,FALSE),"NA")</f>
        <v>Pierce</v>
      </c>
      <c r="J1864" s="108" t="str">
        <f>IFERROR(VLOOKUP(H1864,LUTs!$A$1:$C$73,3,FALSE),"NA")</f>
        <v>3South Puget Sound</v>
      </c>
      <c r="K1864" s="108" t="s">
        <v>23</v>
      </c>
      <c r="L1864" s="108" t="str">
        <f>VLOOKUP(K1864,LUTs!E$2:G$14,3,)</f>
        <v>10Kitsap</v>
      </c>
      <c r="M1864" s="108" t="str">
        <f>VLOOKUP($K1864,LUTs!$E$2:$H$14,2,)</f>
        <v>South Puget Sound</v>
      </c>
      <c r="N1864" s="108" t="str">
        <f>VLOOKUP($K1864,LUTs!$E$2:$H$14,4,)</f>
        <v>02South Puget Sound</v>
      </c>
      <c r="O1864" s="108">
        <v>13.829457364341099</v>
      </c>
      <c r="P1864" s="108">
        <v>119.624806201551</v>
      </c>
      <c r="Q1864" s="108">
        <f>SUMIFS('FW_Salmon_by_Month_2010-2021'!P$2:P$3810,'FW_Salmon_by_Month_2010-2021'!$B$2:$B$3810,'Rec_raw_catch_effort_2010-2021'!$B1864,'FW_Salmon_by_Month_2010-2021'!$H$2:$H$3810,'Rec_raw_catch_effort_2010-2021'!$F1864,'FW_Salmon_by_Month_2010-2021'!$M$2:$M$3810,'Rec_raw_catch_effort_2010-2021'!$K1864)</f>
        <v>13.903614457831299</v>
      </c>
      <c r="R1864" s="109">
        <f>VLOOKUP(B1864,Readme!$A$62:$C$74,2,)*Q1864</f>
        <v>67.009233245140152</v>
      </c>
      <c r="S1864" s="140" t="str">
        <f t="shared" si="157"/>
        <v>Y</v>
      </c>
      <c r="T1864" s="154">
        <f t="shared" si="158"/>
        <v>8.6500000000000359</v>
      </c>
      <c r="U1864" s="154">
        <f t="shared" si="159"/>
        <v>4.8195549041132093</v>
      </c>
    </row>
    <row r="1865" spans="1:21" x14ac:dyDescent="0.35">
      <c r="A1865" s="108">
        <v>133</v>
      </c>
      <c r="B1865" s="108">
        <v>2014</v>
      </c>
      <c r="C1865" s="108" t="s">
        <v>38</v>
      </c>
      <c r="D1865" s="108" t="s">
        <v>143</v>
      </c>
      <c r="E1865" s="108" t="s">
        <v>10</v>
      </c>
      <c r="F1865" s="116">
        <v>802</v>
      </c>
      <c r="G1865" s="108" t="s">
        <v>53</v>
      </c>
      <c r="H1865" s="108" t="str">
        <f t="shared" si="156"/>
        <v>Carbon River</v>
      </c>
      <c r="I1865" s="108" t="str">
        <f>IFERROR(VLOOKUP(H1865,LUTs!$A$1:$C$73,2,FALSE),"NA")</f>
        <v>Pierce</v>
      </c>
      <c r="J1865" s="108" t="str">
        <f>IFERROR(VLOOKUP(H1865,LUTs!$A$1:$C$73,3,FALSE),"NA")</f>
        <v>3South Puget Sound</v>
      </c>
      <c r="K1865" s="108" t="s">
        <v>26</v>
      </c>
      <c r="L1865" s="108" t="str">
        <f>VLOOKUP(K1865,LUTs!E$2:G$14,3,)</f>
        <v>20Other</v>
      </c>
      <c r="M1865" s="108" t="str">
        <f>VLOOKUP($K1865,LUTs!$E$2:$H$14,2,)</f>
        <v>Non Puget Sound</v>
      </c>
      <c r="N1865" s="108" t="str">
        <f>VLOOKUP($K1865,LUTs!$E$2:$H$14,4,)</f>
        <v>07Non Puget Sound</v>
      </c>
      <c r="O1865" s="108">
        <v>13.829457364341099</v>
      </c>
      <c r="P1865" s="108">
        <v>119.624806201551</v>
      </c>
      <c r="Q1865" s="108">
        <f>SUMIFS('FW_Salmon_by_Month_2010-2021'!P$2:P$3810,'FW_Salmon_by_Month_2010-2021'!$B$2:$B$3810,'Rec_raw_catch_effort_2010-2021'!$B1865,'FW_Salmon_by_Month_2010-2021'!$H$2:$H$3810,'Rec_raw_catch_effort_2010-2021'!$F1865,'FW_Salmon_by_Month_2010-2021'!$M$2:$M$3810,'Rec_raw_catch_effort_2010-2021'!$K1865)</f>
        <v>13.903614457831299</v>
      </c>
      <c r="R1865" s="109">
        <f>VLOOKUP(B1865,Readme!$A$62:$C$74,2,)*Q1865</f>
        <v>67.009233245140152</v>
      </c>
      <c r="S1865" s="140" t="str">
        <f t="shared" si="157"/>
        <v>Y</v>
      </c>
      <c r="T1865" s="154">
        <f t="shared" si="158"/>
        <v>8.6500000000000359</v>
      </c>
      <c r="U1865" s="154">
        <f t="shared" si="159"/>
        <v>4.8195549041132093</v>
      </c>
    </row>
    <row r="1866" spans="1:21" x14ac:dyDescent="0.35">
      <c r="A1866" s="108">
        <v>37</v>
      </c>
      <c r="B1866" s="108">
        <v>2014</v>
      </c>
      <c r="C1866" s="108" t="s">
        <v>38</v>
      </c>
      <c r="D1866" s="108" t="s">
        <v>143</v>
      </c>
      <c r="E1866" s="108" t="s">
        <v>10</v>
      </c>
      <c r="F1866" s="116">
        <v>802</v>
      </c>
      <c r="G1866" s="108" t="s">
        <v>53</v>
      </c>
      <c r="H1866" s="108" t="str">
        <f t="shared" si="156"/>
        <v>Carbon River</v>
      </c>
      <c r="I1866" s="108" t="str">
        <f>IFERROR(VLOOKUP(H1866,LUTs!$A$1:$C$73,2,FALSE),"NA")</f>
        <v>Pierce</v>
      </c>
      <c r="J1866" s="108" t="str">
        <f>IFERROR(VLOOKUP(H1866,LUTs!$A$1:$C$73,3,FALSE),"NA")</f>
        <v>3South Puget Sound</v>
      </c>
      <c r="K1866" s="108" t="s">
        <v>20</v>
      </c>
      <c r="L1866" s="108" t="str">
        <f>VLOOKUP(K1866,LUTs!E$2:G$14,3,)</f>
        <v>07Pierce</v>
      </c>
      <c r="M1866" s="108" t="str">
        <f>VLOOKUP($K1866,LUTs!$E$2:$H$14,2,)</f>
        <v>South Puget Sound</v>
      </c>
      <c r="N1866" s="108" t="str">
        <f>VLOOKUP($K1866,LUTs!$E$2:$H$14,4,)</f>
        <v>02South Puget Sound</v>
      </c>
      <c r="O1866" s="108">
        <v>532.43410852713203</v>
      </c>
      <c r="P1866" s="108">
        <v>4605.5550387596904</v>
      </c>
      <c r="Q1866" s="108">
        <f>SUMIFS('FW_Salmon_by_Month_2010-2021'!P$2:P$3810,'FW_Salmon_by_Month_2010-2021'!$B$2:$B$3810,'Rec_raw_catch_effort_2010-2021'!$B1866,'FW_Salmon_by_Month_2010-2021'!$H$2:$H$3810,'Rec_raw_catch_effort_2010-2021'!$F1866,'FW_Salmon_by_Month_2010-2021'!$M$2:$M$3810,'Rec_raw_catch_effort_2010-2021'!$K1866)</f>
        <v>529.83132530120497</v>
      </c>
      <c r="R1866" s="109">
        <f>VLOOKUP(B1866,Readme!$A$62:$C$74,2,)*Q1866</f>
        <v>2553.5511622082231</v>
      </c>
      <c r="S1866" s="140" t="str">
        <f t="shared" si="157"/>
        <v>Y</v>
      </c>
      <c r="T1866" s="154">
        <f t="shared" si="158"/>
        <v>8.6499999999999968</v>
      </c>
      <c r="U1866" s="154">
        <f t="shared" si="159"/>
        <v>4.8195549041132084</v>
      </c>
    </row>
    <row r="1867" spans="1:21" x14ac:dyDescent="0.35">
      <c r="A1867" s="108">
        <v>35</v>
      </c>
      <c r="B1867" s="108">
        <v>2014</v>
      </c>
      <c r="C1867" s="108" t="s">
        <v>38</v>
      </c>
      <c r="D1867" s="108" t="s">
        <v>143</v>
      </c>
      <c r="E1867" s="108" t="s">
        <v>10</v>
      </c>
      <c r="F1867" s="116">
        <v>802</v>
      </c>
      <c r="G1867" s="108" t="s">
        <v>53</v>
      </c>
      <c r="H1867" s="108" t="str">
        <f t="shared" si="156"/>
        <v>Carbon River</v>
      </c>
      <c r="I1867" s="108" t="str">
        <f>IFERROR(VLOOKUP(H1867,LUTs!$A$1:$C$73,2,FALSE),"NA")</f>
        <v>Pierce</v>
      </c>
      <c r="J1867" s="108" t="str">
        <f>IFERROR(VLOOKUP(H1867,LUTs!$A$1:$C$73,3,FALSE),"NA")</f>
        <v>3South Puget Sound</v>
      </c>
      <c r="K1867" s="108" t="s">
        <v>16</v>
      </c>
      <c r="L1867" s="108" t="str">
        <f>VLOOKUP(K1867,LUTs!E$2:G$14,3,)</f>
        <v>03Snohomish</v>
      </c>
      <c r="M1867" s="108" t="str">
        <f>VLOOKUP($K1867,LUTs!$E$2:$H$14,2,)</f>
        <v>North Puget Sound</v>
      </c>
      <c r="N1867" s="108" t="str">
        <f>VLOOKUP($K1867,LUTs!$E$2:$H$14,4,)</f>
        <v>01North Puget Sound</v>
      </c>
      <c r="O1867" s="108">
        <v>48.403100775193799</v>
      </c>
      <c r="P1867" s="108">
        <v>418.68682170542598</v>
      </c>
      <c r="Q1867" s="108">
        <f>SUMIFS('FW_Salmon_by_Month_2010-2021'!P$2:P$3810,'FW_Salmon_by_Month_2010-2021'!$B$2:$B$3810,'Rec_raw_catch_effort_2010-2021'!$B1867,'FW_Salmon_by_Month_2010-2021'!$H$2:$H$3810,'Rec_raw_catch_effort_2010-2021'!$F1867,'FW_Salmon_by_Month_2010-2021'!$M$2:$M$3810,'Rec_raw_catch_effort_2010-2021'!$K1867)</f>
        <v>48.855421686747</v>
      </c>
      <c r="R1867" s="109">
        <f>VLOOKUP(B1867,Readme!$A$62:$C$74,2,)*Q1867</f>
        <v>235.46138718288032</v>
      </c>
      <c r="S1867" s="140" t="str">
        <f t="shared" si="157"/>
        <v>Y</v>
      </c>
      <c r="T1867" s="154">
        <f t="shared" si="158"/>
        <v>8.6499999999999915</v>
      </c>
      <c r="U1867" s="154">
        <f t="shared" si="159"/>
        <v>4.8195549041132084</v>
      </c>
    </row>
    <row r="1868" spans="1:21" x14ac:dyDescent="0.35">
      <c r="A1868" s="108">
        <v>131</v>
      </c>
      <c r="B1868" s="108">
        <v>2014</v>
      </c>
      <c r="C1868" s="108" t="s">
        <v>38</v>
      </c>
      <c r="D1868" s="108" t="s">
        <v>143</v>
      </c>
      <c r="E1868" s="108" t="s">
        <v>10</v>
      </c>
      <c r="F1868" s="116">
        <v>802</v>
      </c>
      <c r="G1868" s="108" t="s">
        <v>53</v>
      </c>
      <c r="H1868" s="108" t="str">
        <f t="shared" si="156"/>
        <v>Carbon River</v>
      </c>
      <c r="I1868" s="108" t="str">
        <f>IFERROR(VLOOKUP(H1868,LUTs!$A$1:$C$73,2,FALSE),"NA")</f>
        <v>Pierce</v>
      </c>
      <c r="J1868" s="108" t="str">
        <f>IFERROR(VLOOKUP(H1868,LUTs!$A$1:$C$73,3,FALSE),"NA")</f>
        <v>3South Puget Sound</v>
      </c>
      <c r="K1868" s="108" t="s">
        <v>21</v>
      </c>
      <c r="L1868" s="108" t="str">
        <f>VLOOKUP(K1868,LUTs!E$2:G$14,3,)</f>
        <v>08Thurston</v>
      </c>
      <c r="M1868" s="108" t="str">
        <f>VLOOKUP($K1868,LUTs!$E$2:$H$14,2,)</f>
        <v>South Puget Sound</v>
      </c>
      <c r="N1868" s="108" t="str">
        <f>VLOOKUP($K1868,LUTs!$E$2:$H$14,4,)</f>
        <v>02South Puget Sound</v>
      </c>
      <c r="O1868" s="108">
        <v>6.9147286821705398</v>
      </c>
      <c r="P1868" s="108">
        <v>59.8124031007752</v>
      </c>
      <c r="Q1868" s="108">
        <f>SUMIFS('FW_Salmon_by_Month_2010-2021'!P$2:P$3810,'FW_Salmon_by_Month_2010-2021'!$B$2:$B$3810,'Rec_raw_catch_effort_2010-2021'!$B1868,'FW_Salmon_by_Month_2010-2021'!$H$2:$H$3810,'Rec_raw_catch_effort_2010-2021'!$F1868,'FW_Salmon_by_Month_2010-2021'!$M$2:$M$3810,'Rec_raw_catch_effort_2010-2021'!$K1868)</f>
        <v>7</v>
      </c>
      <c r="R1868" s="109">
        <f>VLOOKUP(B1868,Readme!$A$62:$C$74,2,)*Q1868</f>
        <v>33.736884328792456</v>
      </c>
      <c r="S1868" s="140" t="str">
        <f t="shared" si="157"/>
        <v>Y</v>
      </c>
      <c r="T1868" s="154">
        <f t="shared" si="158"/>
        <v>8.6500000000000039</v>
      </c>
      <c r="U1868" s="154">
        <f t="shared" si="159"/>
        <v>4.8195549041132084</v>
      </c>
    </row>
    <row r="1869" spans="1:21" x14ac:dyDescent="0.35">
      <c r="A1869" s="108">
        <v>143</v>
      </c>
      <c r="B1869" s="108">
        <v>2015</v>
      </c>
      <c r="C1869" s="108" t="s">
        <v>38</v>
      </c>
      <c r="D1869" s="108" t="s">
        <v>143</v>
      </c>
      <c r="E1869" s="108" t="s">
        <v>10</v>
      </c>
      <c r="F1869" s="116">
        <v>802</v>
      </c>
      <c r="G1869" s="108" t="s">
        <v>53</v>
      </c>
      <c r="H1869" s="108" t="str">
        <f t="shared" si="156"/>
        <v>Carbon River</v>
      </c>
      <c r="I1869" s="108" t="str">
        <f>IFERROR(VLOOKUP(H1869,LUTs!$A$1:$C$73,2,FALSE),"NA")</f>
        <v>Pierce</v>
      </c>
      <c r="J1869" s="108" t="str">
        <f>IFERROR(VLOOKUP(H1869,LUTs!$A$1:$C$73,3,FALSE),"NA")</f>
        <v>3South Puget Sound</v>
      </c>
      <c r="K1869" s="108" t="s">
        <v>18</v>
      </c>
      <c r="L1869" s="108" t="str">
        <f>VLOOKUP(K1869,LUTs!E$2:G$14,3,)</f>
        <v>06King</v>
      </c>
      <c r="M1869" s="108" t="str">
        <f>VLOOKUP($K1869,LUTs!$E$2:$H$14,2,)</f>
        <v>South Puget Sound</v>
      </c>
      <c r="N1869" s="108" t="str">
        <f>VLOOKUP($K1869,LUTs!$E$2:$H$14,4,)</f>
        <v>02South Puget Sound</v>
      </c>
      <c r="O1869" s="108">
        <v>1709.9534883720901</v>
      </c>
      <c r="P1869" s="108">
        <v>5882.2399999999898</v>
      </c>
      <c r="Q1869" s="108">
        <f>SUMIFS('FW_Salmon_by_Month_2010-2021'!P$2:P$3810,'FW_Salmon_by_Month_2010-2021'!$B$2:$B$3810,'Rec_raw_catch_effort_2010-2021'!$B1869,'FW_Salmon_by_Month_2010-2021'!$H$2:$H$3810,'Rec_raw_catch_effort_2010-2021'!$F1869,'FW_Salmon_by_Month_2010-2021'!$M$2:$M$3810,'Rec_raw_catch_effort_2010-2021'!$K1869)</f>
        <v>1709.8694048268551</v>
      </c>
      <c r="R1869" s="109">
        <f>VLOOKUP(B1869,Readme!$A$62:$C$74,2,)*Q1869</f>
        <v>6051.2969704289299</v>
      </c>
      <c r="S1869" s="140" t="str">
        <f t="shared" si="157"/>
        <v>Y</v>
      </c>
      <c r="T1869" s="154">
        <f t="shared" si="158"/>
        <v>3.44</v>
      </c>
      <c r="U1869" s="154">
        <f t="shared" si="159"/>
        <v>3.5390404397824153</v>
      </c>
    </row>
    <row r="1870" spans="1:21" x14ac:dyDescent="0.35">
      <c r="A1870" s="108">
        <v>242</v>
      </c>
      <c r="B1870" s="108">
        <v>2015</v>
      </c>
      <c r="C1870" s="108" t="s">
        <v>38</v>
      </c>
      <c r="D1870" s="108" t="s">
        <v>143</v>
      </c>
      <c r="E1870" s="108" t="s">
        <v>10</v>
      </c>
      <c r="F1870" s="116">
        <v>802</v>
      </c>
      <c r="G1870" s="108" t="s">
        <v>53</v>
      </c>
      <c r="H1870" s="108" t="str">
        <f t="shared" si="156"/>
        <v>Carbon River</v>
      </c>
      <c r="I1870" s="108" t="str">
        <f>IFERROR(VLOOKUP(H1870,LUTs!$A$1:$C$73,2,FALSE),"NA")</f>
        <v>Pierce</v>
      </c>
      <c r="J1870" s="108" t="str">
        <f>IFERROR(VLOOKUP(H1870,LUTs!$A$1:$C$73,3,FALSE),"NA")</f>
        <v>3South Puget Sound</v>
      </c>
      <c r="K1870" s="108" t="s">
        <v>23</v>
      </c>
      <c r="L1870" s="108" t="str">
        <f>VLOOKUP(K1870,LUTs!E$2:G$14,3,)</f>
        <v>10Kitsap</v>
      </c>
      <c r="M1870" s="108" t="str">
        <f>VLOOKUP($K1870,LUTs!$E$2:$H$14,2,)</f>
        <v>South Puget Sound</v>
      </c>
      <c r="N1870" s="108" t="str">
        <f>VLOOKUP($K1870,LUTs!$E$2:$H$14,4,)</f>
        <v>02South Puget Sound</v>
      </c>
      <c r="O1870" s="108">
        <v>62.342054263565899</v>
      </c>
      <c r="P1870" s="108">
        <v>214.45666666666699</v>
      </c>
      <c r="Q1870" s="108">
        <f>SUMIFS('FW_Salmon_by_Month_2010-2021'!P$2:P$3810,'FW_Salmon_by_Month_2010-2021'!$B$2:$B$3810,'Rec_raw_catch_effort_2010-2021'!$B1870,'FW_Salmon_by_Month_2010-2021'!$H$2:$H$3810,'Rec_raw_catch_effort_2010-2021'!$F1870,'FW_Salmon_by_Month_2010-2021'!$M$2:$M$3810,'Rec_raw_catch_effort_2010-2021'!$K1870)</f>
        <v>62.339217520068608</v>
      </c>
      <c r="R1870" s="109">
        <f>VLOOKUP(B1870,Readme!$A$62:$C$74,2,)*Q1870</f>
        <v>220.62101178791525</v>
      </c>
      <c r="S1870" s="140" t="str">
        <f t="shared" si="157"/>
        <v>Y</v>
      </c>
      <c r="T1870" s="154">
        <f t="shared" si="158"/>
        <v>3.4400000000000048</v>
      </c>
      <c r="U1870" s="154">
        <f t="shared" si="159"/>
        <v>3.5390404397824153</v>
      </c>
    </row>
    <row r="1871" spans="1:21" x14ac:dyDescent="0.35">
      <c r="A1871" s="108">
        <v>241</v>
      </c>
      <c r="B1871" s="108">
        <v>2015</v>
      </c>
      <c r="C1871" s="108" t="s">
        <v>38</v>
      </c>
      <c r="D1871" s="108" t="s">
        <v>143</v>
      </c>
      <c r="E1871" s="108" t="s">
        <v>10</v>
      </c>
      <c r="F1871" s="116">
        <v>802</v>
      </c>
      <c r="G1871" s="108" t="s">
        <v>53</v>
      </c>
      <c r="H1871" s="108" t="str">
        <f t="shared" si="156"/>
        <v>Carbon River</v>
      </c>
      <c r="I1871" s="108" t="str">
        <f>IFERROR(VLOOKUP(H1871,LUTs!$A$1:$C$73,2,FALSE),"NA")</f>
        <v>Pierce</v>
      </c>
      <c r="J1871" s="108" t="str">
        <f>IFERROR(VLOOKUP(H1871,LUTs!$A$1:$C$73,3,FALSE),"NA")</f>
        <v>3South Puget Sound</v>
      </c>
      <c r="K1871" s="108" t="s">
        <v>22</v>
      </c>
      <c r="L1871" s="108" t="str">
        <f>VLOOKUP(K1871,LUTs!E$2:G$14,3,)</f>
        <v>09Mason</v>
      </c>
      <c r="M1871" s="108" t="str">
        <f>VLOOKUP($K1871,LUTs!$E$2:$H$14,2,)</f>
        <v>South Puget Sound</v>
      </c>
      <c r="N1871" s="108" t="str">
        <f>VLOOKUP($K1871,LUTs!$E$2:$H$14,4,)</f>
        <v>02South Puget Sound</v>
      </c>
      <c r="O1871" s="108">
        <v>133.59011627907</v>
      </c>
      <c r="P1871" s="108">
        <v>459.55000000000098</v>
      </c>
      <c r="Q1871" s="108">
        <f>SUMIFS('FW_Salmon_by_Month_2010-2021'!P$2:P$3810,'FW_Salmon_by_Month_2010-2021'!$B$2:$B$3810,'Rec_raw_catch_effort_2010-2021'!$B1871,'FW_Salmon_by_Month_2010-2021'!$H$2:$H$3810,'Rec_raw_catch_effort_2010-2021'!$F1871,'FW_Salmon_by_Month_2010-2021'!$M$2:$M$3810,'Rec_raw_catch_effort_2010-2021'!$K1871)</f>
        <v>133.5873405554257</v>
      </c>
      <c r="R1871" s="109">
        <f>VLOOKUP(B1871,Readme!$A$62:$C$74,2,)*Q1871</f>
        <v>472.77100046863706</v>
      </c>
      <c r="S1871" s="140" t="str">
        <f t="shared" si="157"/>
        <v>Y</v>
      </c>
      <c r="T1871" s="154">
        <f t="shared" si="158"/>
        <v>3.4400000000000013</v>
      </c>
      <c r="U1871" s="154">
        <f t="shared" si="159"/>
        <v>3.5390404397824153</v>
      </c>
    </row>
    <row r="1872" spans="1:21" x14ac:dyDescent="0.35">
      <c r="A1872" s="108">
        <v>243</v>
      </c>
      <c r="B1872" s="108">
        <v>2015</v>
      </c>
      <c r="C1872" s="108" t="s">
        <v>38</v>
      </c>
      <c r="D1872" s="108" t="s">
        <v>143</v>
      </c>
      <c r="E1872" s="108" t="s">
        <v>10</v>
      </c>
      <c r="F1872" s="116">
        <v>802</v>
      </c>
      <c r="G1872" s="108" t="s">
        <v>53</v>
      </c>
      <c r="H1872" s="108" t="str">
        <f t="shared" si="156"/>
        <v>Carbon River</v>
      </c>
      <c r="I1872" s="108" t="str">
        <f>IFERROR(VLOOKUP(H1872,LUTs!$A$1:$C$73,2,FALSE),"NA")</f>
        <v>Pierce</v>
      </c>
      <c r="J1872" s="108" t="str">
        <f>IFERROR(VLOOKUP(H1872,LUTs!$A$1:$C$73,3,FALSE),"NA")</f>
        <v>3South Puget Sound</v>
      </c>
      <c r="K1872" s="108" t="s">
        <v>26</v>
      </c>
      <c r="L1872" s="108" t="str">
        <f>VLOOKUP(K1872,LUTs!E$2:G$14,3,)</f>
        <v>20Other</v>
      </c>
      <c r="M1872" s="108" t="str">
        <f>VLOOKUP($K1872,LUTs!$E$2:$H$14,2,)</f>
        <v>Non Puget Sound</v>
      </c>
      <c r="N1872" s="108" t="str">
        <f>VLOOKUP($K1872,LUTs!$E$2:$H$14,4,)</f>
        <v>07Non Puget Sound</v>
      </c>
      <c r="O1872" s="108">
        <v>418.582364341085</v>
      </c>
      <c r="P1872" s="108">
        <v>1439.92333333333</v>
      </c>
      <c r="Q1872" s="108">
        <f>SUMIFS('FW_Salmon_by_Month_2010-2021'!P$2:P$3810,'FW_Salmon_by_Month_2010-2021'!$B$2:$B$3810,'Rec_raw_catch_effort_2010-2021'!$B1872,'FW_Salmon_by_Month_2010-2021'!$H$2:$H$3810,'Rec_raw_catch_effort_2010-2021'!$F1872,'FW_Salmon_by_Month_2010-2021'!$M$2:$M$3810,'Rec_raw_catch_effort_2010-2021'!$K1872)</f>
        <v>418.55902371859821</v>
      </c>
      <c r="R1872" s="109">
        <f>VLOOKUP(B1872,Readme!$A$62:$C$74,2,)*Q1872</f>
        <v>1481.2973113759663</v>
      </c>
      <c r="S1872" s="140" t="str">
        <f t="shared" si="157"/>
        <v>Y</v>
      </c>
      <c r="T1872" s="154">
        <f t="shared" si="158"/>
        <v>3.4399999999999942</v>
      </c>
      <c r="U1872" s="154">
        <f t="shared" si="159"/>
        <v>3.5390404397824153</v>
      </c>
    </row>
    <row r="1873" spans="1:21" x14ac:dyDescent="0.35">
      <c r="A1873" s="108">
        <v>239</v>
      </c>
      <c r="B1873" s="108">
        <v>2015</v>
      </c>
      <c r="C1873" s="108" t="s">
        <v>38</v>
      </c>
      <c r="D1873" s="108" t="s">
        <v>143</v>
      </c>
      <c r="E1873" s="108" t="s">
        <v>10</v>
      </c>
      <c r="F1873" s="116">
        <v>802</v>
      </c>
      <c r="G1873" s="108" t="s">
        <v>53</v>
      </c>
      <c r="H1873" s="108" t="str">
        <f t="shared" si="156"/>
        <v>Carbon River</v>
      </c>
      <c r="I1873" s="108" t="str">
        <f>IFERROR(VLOOKUP(H1873,LUTs!$A$1:$C$73,2,FALSE),"NA")</f>
        <v>Pierce</v>
      </c>
      <c r="J1873" s="108" t="str">
        <f>IFERROR(VLOOKUP(H1873,LUTs!$A$1:$C$73,3,FALSE),"NA")</f>
        <v>3South Puget Sound</v>
      </c>
      <c r="K1873" s="108" t="s">
        <v>20</v>
      </c>
      <c r="L1873" s="108" t="str">
        <f>VLOOKUP(K1873,LUTs!E$2:G$14,3,)</f>
        <v>07Pierce</v>
      </c>
      <c r="M1873" s="108" t="str">
        <f>VLOOKUP($K1873,LUTs!$E$2:$H$14,2,)</f>
        <v>South Puget Sound</v>
      </c>
      <c r="N1873" s="108" t="str">
        <f>VLOOKUP($K1873,LUTs!$E$2:$H$14,4,)</f>
        <v>02South Puget Sound</v>
      </c>
      <c r="O1873" s="108">
        <v>6750.7538759689896</v>
      </c>
      <c r="P1873" s="108">
        <v>23222.593333333301</v>
      </c>
      <c r="Q1873" s="108">
        <f>SUMIFS('FW_Salmon_by_Month_2010-2021'!P$2:P$3810,'FW_Salmon_by_Month_2010-2021'!$B$2:$B$3810,'Rec_raw_catch_effort_2010-2021'!$B1873,'FW_Salmon_by_Month_2010-2021'!$H$2:$H$3810,'Rec_raw_catch_effort_2010-2021'!$F1873,'FW_Salmon_by_Month_2010-2021'!$M$2:$M$3810,'Rec_raw_catch_effort_2010-2021'!$K1873)</f>
        <v>6750.8743277998601</v>
      </c>
      <c r="R1873" s="109">
        <f>VLOOKUP(B1873,Readme!$A$62:$C$74,2,)*Q1873</f>
        <v>23891.617249972634</v>
      </c>
      <c r="S1873" s="140" t="str">
        <f t="shared" si="157"/>
        <v>Y</v>
      </c>
      <c r="T1873" s="154">
        <f t="shared" si="158"/>
        <v>3.4399999999999964</v>
      </c>
      <c r="U1873" s="154">
        <f t="shared" si="159"/>
        <v>3.5390404397824153</v>
      </c>
    </row>
    <row r="1874" spans="1:21" x14ac:dyDescent="0.35">
      <c r="A1874" s="108">
        <v>141</v>
      </c>
      <c r="B1874" s="108">
        <v>2015</v>
      </c>
      <c r="C1874" s="108" t="s">
        <v>38</v>
      </c>
      <c r="D1874" s="108" t="s">
        <v>143</v>
      </c>
      <c r="E1874" s="108" t="s">
        <v>10</v>
      </c>
      <c r="F1874" s="116">
        <v>802</v>
      </c>
      <c r="G1874" s="108" t="s">
        <v>53</v>
      </c>
      <c r="H1874" s="108" t="str">
        <f t="shared" si="156"/>
        <v>Carbon River</v>
      </c>
      <c r="I1874" s="108" t="str">
        <f>IFERROR(VLOOKUP(H1874,LUTs!$A$1:$C$73,2,FALSE),"NA")</f>
        <v>Pierce</v>
      </c>
      <c r="J1874" s="108" t="str">
        <f>IFERROR(VLOOKUP(H1874,LUTs!$A$1:$C$73,3,FALSE),"NA")</f>
        <v>3South Puget Sound</v>
      </c>
      <c r="K1874" s="108" t="s">
        <v>15</v>
      </c>
      <c r="L1874" s="108" t="str">
        <f>VLOOKUP(K1874,LUTs!E$2:G$14,3,)</f>
        <v>02Skagit</v>
      </c>
      <c r="M1874" s="108" t="str">
        <f>VLOOKUP($K1874,LUTs!$E$2:$H$14,2,)</f>
        <v>North Puget Sound</v>
      </c>
      <c r="N1874" s="108" t="str">
        <f>VLOOKUP($K1874,LUTs!$E$2:$H$14,4,)</f>
        <v>01North Puget Sound</v>
      </c>
      <c r="O1874" s="108">
        <v>8.9060077519379899</v>
      </c>
      <c r="P1874" s="108">
        <v>30.636666666666699</v>
      </c>
      <c r="Q1874" s="108">
        <f>SUMIFS('FW_Salmon_by_Month_2010-2021'!P$2:P$3810,'FW_Salmon_by_Month_2010-2021'!$B$2:$B$3810,'Rec_raw_catch_effort_2010-2021'!$B1874,'FW_Salmon_by_Month_2010-2021'!$H$2:$H$3810,'Rec_raw_catch_effort_2010-2021'!$F1874,'FW_Salmon_by_Month_2010-2021'!$M$2:$M$3810,'Rec_raw_catch_effort_2010-2021'!$K1874)</f>
        <v>8.9054373522458601</v>
      </c>
      <c r="R1874" s="109">
        <f>VLOOKUP(B1874,Readme!$A$62:$C$74,2,)*Q1874</f>
        <v>31.516702923546937</v>
      </c>
      <c r="S1874" s="140" t="str">
        <f t="shared" si="157"/>
        <v>Y</v>
      </c>
      <c r="T1874" s="154">
        <f t="shared" si="158"/>
        <v>3.4400000000000017</v>
      </c>
      <c r="U1874" s="154">
        <f t="shared" si="159"/>
        <v>3.5390404397824153</v>
      </c>
    </row>
    <row r="1875" spans="1:21" x14ac:dyDescent="0.35">
      <c r="A1875" s="108">
        <v>142</v>
      </c>
      <c r="B1875" s="108">
        <v>2015</v>
      </c>
      <c r="C1875" s="108" t="s">
        <v>38</v>
      </c>
      <c r="D1875" s="108" t="s">
        <v>143</v>
      </c>
      <c r="E1875" s="108" t="s">
        <v>10</v>
      </c>
      <c r="F1875" s="116">
        <v>802</v>
      </c>
      <c r="G1875" s="108" t="s">
        <v>53</v>
      </c>
      <c r="H1875" s="108" t="str">
        <f t="shared" si="156"/>
        <v>Carbon River</v>
      </c>
      <c r="I1875" s="108" t="str">
        <f>IFERROR(VLOOKUP(H1875,LUTs!$A$1:$C$73,2,FALSE),"NA")</f>
        <v>Pierce</v>
      </c>
      <c r="J1875" s="108" t="str">
        <f>IFERROR(VLOOKUP(H1875,LUTs!$A$1:$C$73,3,FALSE),"NA")</f>
        <v>3South Puget Sound</v>
      </c>
      <c r="K1875" s="108" t="s">
        <v>16</v>
      </c>
      <c r="L1875" s="108" t="str">
        <f>VLOOKUP(K1875,LUTs!E$2:G$14,3,)</f>
        <v>03Snohomish</v>
      </c>
      <c r="M1875" s="108" t="str">
        <f>VLOOKUP($K1875,LUTs!$E$2:$H$14,2,)</f>
        <v>North Puget Sound</v>
      </c>
      <c r="N1875" s="108" t="str">
        <f>VLOOKUP($K1875,LUTs!$E$2:$H$14,4,)</f>
        <v>01North Puget Sound</v>
      </c>
      <c r="O1875" s="108">
        <v>71.248062015503905</v>
      </c>
      <c r="P1875" s="108">
        <v>245.09333333333299</v>
      </c>
      <c r="Q1875" s="108">
        <f>SUMIFS('FW_Salmon_by_Month_2010-2021'!P$2:P$3810,'FW_Salmon_by_Month_2010-2021'!$B$2:$B$3810,'Rec_raw_catch_effort_2010-2021'!$B1875,'FW_Salmon_by_Month_2010-2021'!$H$2:$H$3810,'Rec_raw_catch_effort_2010-2021'!$F1875,'FW_Salmon_by_Month_2010-2021'!$M$2:$M$3810,'Rec_raw_catch_effort_2010-2021'!$K1875)</f>
        <v>71.243498817966895</v>
      </c>
      <c r="R1875" s="109">
        <f>VLOOKUP(B1875,Readme!$A$62:$C$74,2,)*Q1875</f>
        <v>252.13362338837555</v>
      </c>
      <c r="S1875" s="140" t="str">
        <f t="shared" si="157"/>
        <v>Y</v>
      </c>
      <c r="T1875" s="154">
        <f t="shared" si="158"/>
        <v>3.4399999999999937</v>
      </c>
      <c r="U1875" s="154">
        <f t="shared" si="159"/>
        <v>3.5390404397824153</v>
      </c>
    </row>
    <row r="1876" spans="1:21" x14ac:dyDescent="0.35">
      <c r="A1876" s="108">
        <v>240</v>
      </c>
      <c r="B1876" s="108">
        <v>2015</v>
      </c>
      <c r="C1876" s="108" t="s">
        <v>38</v>
      </c>
      <c r="D1876" s="108" t="s">
        <v>143</v>
      </c>
      <c r="E1876" s="108" t="s">
        <v>10</v>
      </c>
      <c r="F1876" s="116">
        <v>802</v>
      </c>
      <c r="G1876" s="108" t="s">
        <v>53</v>
      </c>
      <c r="H1876" s="108" t="str">
        <f t="shared" si="156"/>
        <v>Carbon River</v>
      </c>
      <c r="I1876" s="108" t="str">
        <f>IFERROR(VLOOKUP(H1876,LUTs!$A$1:$C$73,2,FALSE),"NA")</f>
        <v>Pierce</v>
      </c>
      <c r="J1876" s="108" t="str">
        <f>IFERROR(VLOOKUP(H1876,LUTs!$A$1:$C$73,3,FALSE),"NA")</f>
        <v>3South Puget Sound</v>
      </c>
      <c r="K1876" s="108" t="s">
        <v>21</v>
      </c>
      <c r="L1876" s="108" t="str">
        <f>VLOOKUP(K1876,LUTs!E$2:G$14,3,)</f>
        <v>08Thurston</v>
      </c>
      <c r="M1876" s="108" t="str">
        <f>VLOOKUP($K1876,LUTs!$E$2:$H$14,2,)</f>
        <v>South Puget Sound</v>
      </c>
      <c r="N1876" s="108" t="str">
        <f>VLOOKUP($K1876,LUTs!$E$2:$H$14,4,)</f>
        <v>02South Puget Sound</v>
      </c>
      <c r="O1876" s="108">
        <v>35.624031007751903</v>
      </c>
      <c r="P1876" s="108">
        <v>122.54666666666699</v>
      </c>
      <c r="Q1876" s="108">
        <f>SUMIFS('FW_Salmon_by_Month_2010-2021'!P$2:P$3810,'FW_Salmon_by_Month_2010-2021'!$B$2:$B$3810,'Rec_raw_catch_effort_2010-2021'!$B1876,'FW_Salmon_by_Month_2010-2021'!$H$2:$H$3810,'Rec_raw_catch_effort_2010-2021'!$F1876,'FW_Salmon_by_Month_2010-2021'!$M$2:$M$3810,'Rec_raw_catch_effort_2010-2021'!$K1876)</f>
        <v>35.621749408983497</v>
      </c>
      <c r="R1876" s="109">
        <f>VLOOKUP(B1876,Readme!$A$62:$C$74,2,)*Q1876</f>
        <v>126.06681169418795</v>
      </c>
      <c r="S1876" s="140" t="str">
        <f t="shared" si="157"/>
        <v>Y</v>
      </c>
      <c r="T1876" s="154">
        <f t="shared" si="158"/>
        <v>3.4400000000000124</v>
      </c>
      <c r="U1876" s="154">
        <f t="shared" si="159"/>
        <v>3.5390404397824153</v>
      </c>
    </row>
    <row r="1877" spans="1:21" x14ac:dyDescent="0.35">
      <c r="A1877" s="108">
        <v>350</v>
      </c>
      <c r="B1877" s="108">
        <v>2016</v>
      </c>
      <c r="C1877" s="108" t="s">
        <v>38</v>
      </c>
      <c r="D1877" s="108" t="s">
        <v>143</v>
      </c>
      <c r="E1877" s="108" t="s">
        <v>10</v>
      </c>
      <c r="F1877" s="116">
        <v>802</v>
      </c>
      <c r="G1877" s="108" t="s">
        <v>53</v>
      </c>
      <c r="H1877" s="108" t="str">
        <f t="shared" si="156"/>
        <v>Carbon River</v>
      </c>
      <c r="I1877" s="108" t="str">
        <f>IFERROR(VLOOKUP(H1877,LUTs!$A$1:$C$73,2,FALSE),"NA")</f>
        <v>Pierce</v>
      </c>
      <c r="J1877" s="108" t="str">
        <f>IFERROR(VLOOKUP(H1877,LUTs!$A$1:$C$73,3,FALSE),"NA")</f>
        <v>3South Puget Sound</v>
      </c>
      <c r="K1877" s="108" t="s">
        <v>18</v>
      </c>
      <c r="L1877" s="108" t="str">
        <f>VLOOKUP(K1877,LUTs!E$2:G$14,3,)</f>
        <v>06King</v>
      </c>
      <c r="M1877" s="108" t="str">
        <f>VLOOKUP($K1877,LUTs!$E$2:$H$14,2,)</f>
        <v>South Puget Sound</v>
      </c>
      <c r="N1877" s="108" t="str">
        <f>VLOOKUP($K1877,LUTs!$E$2:$H$14,4,)</f>
        <v>02South Puget Sound</v>
      </c>
      <c r="O1877" s="108">
        <v>165.15384615384599</v>
      </c>
      <c r="P1877" s="108">
        <v>1428.5807692307701</v>
      </c>
      <c r="Q1877" s="108">
        <f>SUMIFS('FW_Salmon_by_Month_2010-2021'!P$2:P$3810,'FW_Salmon_by_Month_2010-2021'!$B$2:$B$3810,'Rec_raw_catch_effort_2010-2021'!$B1877,'FW_Salmon_by_Month_2010-2021'!$H$2:$H$3810,'Rec_raw_catch_effort_2010-2021'!$F1877,'FW_Salmon_by_Month_2010-2021'!$M$2:$M$3810,'Rec_raw_catch_effort_2010-2021'!$K1877)</f>
        <v>161.79545454545499</v>
      </c>
      <c r="R1877" s="109">
        <f>VLOOKUP(B1877,Readme!$A$62:$C$74,2,)*Q1877</f>
        <v>779.78207641777328</v>
      </c>
      <c r="S1877" s="140" t="str">
        <f t="shared" si="157"/>
        <v>Y</v>
      </c>
      <c r="T1877" s="154">
        <f t="shared" si="158"/>
        <v>8.6500000000000146</v>
      </c>
      <c r="U1877" s="154">
        <f t="shared" si="159"/>
        <v>4.8195549041132084</v>
      </c>
    </row>
    <row r="1878" spans="1:21" x14ac:dyDescent="0.35">
      <c r="A1878" s="108">
        <v>351</v>
      </c>
      <c r="B1878" s="108">
        <v>2016</v>
      </c>
      <c r="C1878" s="108" t="s">
        <v>38</v>
      </c>
      <c r="D1878" s="108" t="s">
        <v>143</v>
      </c>
      <c r="E1878" s="108" t="s">
        <v>10</v>
      </c>
      <c r="F1878" s="116">
        <v>802</v>
      </c>
      <c r="G1878" s="108" t="s">
        <v>53</v>
      </c>
      <c r="H1878" s="108" t="str">
        <f t="shared" si="156"/>
        <v>Carbon River</v>
      </c>
      <c r="I1878" s="108" t="str">
        <f>IFERROR(VLOOKUP(H1878,LUTs!$A$1:$C$73,2,FALSE),"NA")</f>
        <v>Pierce</v>
      </c>
      <c r="J1878" s="108" t="str">
        <f>IFERROR(VLOOKUP(H1878,LUTs!$A$1:$C$73,3,FALSE),"NA")</f>
        <v>3South Puget Sound</v>
      </c>
      <c r="K1878" s="108" t="s">
        <v>20</v>
      </c>
      <c r="L1878" s="108" t="str">
        <f>VLOOKUP(K1878,LUTs!E$2:G$14,3,)</f>
        <v>07Pierce</v>
      </c>
      <c r="M1878" s="108" t="str">
        <f>VLOOKUP($K1878,LUTs!$E$2:$H$14,2,)</f>
        <v>South Puget Sound</v>
      </c>
      <c r="N1878" s="108" t="str">
        <f>VLOOKUP($K1878,LUTs!$E$2:$H$14,4,)</f>
        <v>02South Puget Sound</v>
      </c>
      <c r="O1878" s="108">
        <v>556.30769230769204</v>
      </c>
      <c r="P1878" s="108">
        <v>4812.0615384615403</v>
      </c>
      <c r="Q1878" s="108">
        <f>SUMIFS('FW_Salmon_by_Month_2010-2021'!P$2:P$3810,'FW_Salmon_by_Month_2010-2021'!$B$2:$B$3810,'Rec_raw_catch_effort_2010-2021'!$B1878,'FW_Salmon_by_Month_2010-2021'!$H$2:$H$3810,'Rec_raw_catch_effort_2010-2021'!$F1878,'FW_Salmon_by_Month_2010-2021'!$M$2:$M$3810,'Rec_raw_catch_effort_2010-2021'!$K1878)</f>
        <v>566.28409090909099</v>
      </c>
      <c r="R1878" s="109">
        <f>VLOOKUP(B1878,Readme!$A$62:$C$74,2,)*Q1878</f>
        <v>2729.2372674621993</v>
      </c>
      <c r="S1878" s="140" t="str">
        <f t="shared" si="157"/>
        <v>Y</v>
      </c>
      <c r="T1878" s="154">
        <f t="shared" si="158"/>
        <v>8.6500000000000075</v>
      </c>
      <c r="U1878" s="154">
        <f t="shared" si="159"/>
        <v>4.8195549041132084</v>
      </c>
    </row>
    <row r="1879" spans="1:21" x14ac:dyDescent="0.35">
      <c r="A1879" s="108">
        <v>349</v>
      </c>
      <c r="B1879" s="108">
        <v>2016</v>
      </c>
      <c r="C1879" s="108" t="s">
        <v>38</v>
      </c>
      <c r="D1879" s="108" t="s">
        <v>143</v>
      </c>
      <c r="E1879" s="108" t="s">
        <v>10</v>
      </c>
      <c r="F1879" s="116">
        <v>802</v>
      </c>
      <c r="G1879" s="108" t="s">
        <v>53</v>
      </c>
      <c r="H1879" s="108" t="str">
        <f t="shared" si="156"/>
        <v>Carbon River</v>
      </c>
      <c r="I1879" s="108" t="str">
        <f>IFERROR(VLOOKUP(H1879,LUTs!$A$1:$C$73,2,FALSE),"NA")</f>
        <v>Pierce</v>
      </c>
      <c r="J1879" s="108" t="str">
        <f>IFERROR(VLOOKUP(H1879,LUTs!$A$1:$C$73,3,FALSE),"NA")</f>
        <v>3South Puget Sound</v>
      </c>
      <c r="K1879" s="108" t="s">
        <v>16</v>
      </c>
      <c r="L1879" s="108" t="str">
        <f>VLOOKUP(K1879,LUTs!E$2:G$14,3,)</f>
        <v>03Snohomish</v>
      </c>
      <c r="M1879" s="108" t="str">
        <f>VLOOKUP($K1879,LUTs!$E$2:$H$14,2,)</f>
        <v>North Puget Sound</v>
      </c>
      <c r="N1879" s="108" t="str">
        <f>VLOOKUP($K1879,LUTs!$E$2:$H$14,4,)</f>
        <v>01North Puget Sound</v>
      </c>
      <c r="O1879" s="108">
        <v>8.6923076923077005</v>
      </c>
      <c r="P1879" s="108">
        <v>75.188461538461596</v>
      </c>
      <c r="Q1879" s="108">
        <f>SUMIFS('FW_Salmon_by_Month_2010-2021'!P$2:P$3810,'FW_Salmon_by_Month_2010-2021'!$B$2:$B$3810,'Rec_raw_catch_effort_2010-2021'!$B1879,'FW_Salmon_by_Month_2010-2021'!$H$2:$H$3810,'Rec_raw_catch_effort_2010-2021'!$F1879,'FW_Salmon_by_Month_2010-2021'!$M$2:$M$3810,'Rec_raw_catch_effort_2010-2021'!$K1879)</f>
        <v>0</v>
      </c>
      <c r="R1879" s="109">
        <f>VLOOKUP(B1879,Readme!$A$62:$C$74,2,)*Q1879</f>
        <v>0</v>
      </c>
      <c r="S1879" s="140" t="str">
        <f t="shared" si="157"/>
        <v>Y</v>
      </c>
      <c r="T1879" s="154">
        <f t="shared" si="158"/>
        <v>8.6499999999999986</v>
      </c>
      <c r="U1879" s="154" t="str">
        <f t="shared" si="159"/>
        <v>NA</v>
      </c>
    </row>
    <row r="1880" spans="1:21" x14ac:dyDescent="0.35">
      <c r="A1880" s="108">
        <v>352</v>
      </c>
      <c r="B1880" s="108">
        <v>2016</v>
      </c>
      <c r="C1880" s="108" t="s">
        <v>38</v>
      </c>
      <c r="D1880" s="108" t="s">
        <v>143</v>
      </c>
      <c r="E1880" s="108" t="s">
        <v>10</v>
      </c>
      <c r="F1880" s="116">
        <v>802</v>
      </c>
      <c r="G1880" s="108" t="s">
        <v>53</v>
      </c>
      <c r="H1880" s="108" t="str">
        <f t="shared" si="156"/>
        <v>Carbon River</v>
      </c>
      <c r="I1880" s="108" t="str">
        <f>IFERROR(VLOOKUP(H1880,LUTs!$A$1:$C$73,2,FALSE),"NA")</f>
        <v>Pierce</v>
      </c>
      <c r="J1880" s="108" t="str">
        <f>IFERROR(VLOOKUP(H1880,LUTs!$A$1:$C$73,3,FALSE),"NA")</f>
        <v>3South Puget Sound</v>
      </c>
      <c r="K1880" s="108" t="s">
        <v>21</v>
      </c>
      <c r="L1880" s="108" t="str">
        <f>VLOOKUP(K1880,LUTs!E$2:G$14,3,)</f>
        <v>08Thurston</v>
      </c>
      <c r="M1880" s="108" t="str">
        <f>VLOOKUP($K1880,LUTs!$E$2:$H$14,2,)</f>
        <v>South Puget Sound</v>
      </c>
      <c r="N1880" s="108" t="str">
        <f>VLOOKUP($K1880,LUTs!$E$2:$H$14,4,)</f>
        <v>02South Puget Sound</v>
      </c>
      <c r="O1880" s="108">
        <v>60.846153846153904</v>
      </c>
      <c r="P1880" s="108">
        <v>526.31923076923101</v>
      </c>
      <c r="Q1880" s="108">
        <f>SUMIFS('FW_Salmon_by_Month_2010-2021'!P$2:P$3810,'FW_Salmon_by_Month_2010-2021'!$B$2:$B$3810,'Rec_raw_catch_effort_2010-2021'!$B1880,'FW_Salmon_by_Month_2010-2021'!$H$2:$H$3810,'Rec_raw_catch_effort_2010-2021'!$F1880,'FW_Salmon_by_Month_2010-2021'!$M$2:$M$3810,'Rec_raw_catch_effort_2010-2021'!$K1880)</f>
        <v>62.920454545454596</v>
      </c>
      <c r="R1880" s="109">
        <f>VLOOKUP(B1880,Readme!$A$62:$C$74,2,)*Q1880</f>
        <v>303.24858527357793</v>
      </c>
      <c r="S1880" s="140" t="str">
        <f t="shared" si="157"/>
        <v>Y</v>
      </c>
      <c r="T1880" s="154">
        <f t="shared" si="158"/>
        <v>8.649999999999995</v>
      </c>
      <c r="U1880" s="154">
        <f t="shared" si="159"/>
        <v>4.8195549041132084</v>
      </c>
    </row>
    <row r="1881" spans="1:21" x14ac:dyDescent="0.35">
      <c r="A1881" s="108">
        <v>355</v>
      </c>
      <c r="B1881" s="108">
        <v>2017</v>
      </c>
      <c r="C1881" s="108" t="s">
        <v>38</v>
      </c>
      <c r="D1881" s="108" t="s">
        <v>143</v>
      </c>
      <c r="E1881" s="108" t="s">
        <v>10</v>
      </c>
      <c r="F1881" s="116">
        <v>802</v>
      </c>
      <c r="G1881" s="108" t="s">
        <v>53</v>
      </c>
      <c r="H1881" s="108" t="str">
        <f t="shared" si="156"/>
        <v>Carbon River</v>
      </c>
      <c r="I1881" s="108" t="str">
        <f>IFERROR(VLOOKUP(H1881,LUTs!$A$1:$C$73,2,FALSE),"NA")</f>
        <v>Pierce</v>
      </c>
      <c r="J1881" s="108" t="str">
        <f>IFERROR(VLOOKUP(H1881,LUTs!$A$1:$C$73,3,FALSE),"NA")</f>
        <v>3South Puget Sound</v>
      </c>
      <c r="K1881" s="108" t="s">
        <v>18</v>
      </c>
      <c r="L1881" s="108" t="str">
        <f>VLOOKUP(K1881,LUTs!E$2:G$14,3,)</f>
        <v>06King</v>
      </c>
      <c r="M1881" s="108" t="str">
        <f>VLOOKUP($K1881,LUTs!$E$2:$H$14,2,)</f>
        <v>South Puget Sound</v>
      </c>
      <c r="N1881" s="108" t="str">
        <f>VLOOKUP($K1881,LUTs!$E$2:$H$14,4,)</f>
        <v>02South Puget Sound</v>
      </c>
      <c r="O1881" s="108">
        <v>362.503267973856</v>
      </c>
      <c r="P1881" s="108">
        <v>1247.01124183006</v>
      </c>
      <c r="Q1881" s="108">
        <f>SUMIFS('FW_Salmon_by_Month_2010-2021'!P$2:P$3810,'FW_Salmon_by_Month_2010-2021'!$B$2:$B$3810,'Rec_raw_catch_effort_2010-2021'!$B1881,'FW_Salmon_by_Month_2010-2021'!$H$2:$H$3810,'Rec_raw_catch_effort_2010-2021'!$F1881,'FW_Salmon_by_Month_2010-2021'!$M$2:$M$3810,'Rec_raw_catch_effort_2010-2021'!$K1881)</f>
        <v>376.00448143405936</v>
      </c>
      <c r="R1881" s="109">
        <f>VLOOKUP(B1881,Readme!$A$62:$C$74,2,)*Q1881</f>
        <v>1330.6950653345525</v>
      </c>
      <c r="S1881" s="140" t="str">
        <f t="shared" si="157"/>
        <v>Y</v>
      </c>
      <c r="T1881" s="154">
        <f t="shared" si="158"/>
        <v>3.4399999999999875</v>
      </c>
      <c r="U1881" s="154">
        <f t="shared" si="159"/>
        <v>3.5390404397824153</v>
      </c>
    </row>
    <row r="1882" spans="1:21" x14ac:dyDescent="0.35">
      <c r="A1882" s="108">
        <v>357</v>
      </c>
      <c r="B1882" s="108">
        <v>2017</v>
      </c>
      <c r="C1882" s="108" t="s">
        <v>38</v>
      </c>
      <c r="D1882" s="108" t="s">
        <v>143</v>
      </c>
      <c r="E1882" s="108" t="s">
        <v>10</v>
      </c>
      <c r="F1882" s="116">
        <v>802</v>
      </c>
      <c r="G1882" s="108" t="s">
        <v>53</v>
      </c>
      <c r="H1882" s="108" t="str">
        <f t="shared" si="156"/>
        <v>Carbon River</v>
      </c>
      <c r="I1882" s="108" t="str">
        <f>IFERROR(VLOOKUP(H1882,LUTs!$A$1:$C$73,2,FALSE),"NA")</f>
        <v>Pierce</v>
      </c>
      <c r="J1882" s="108" t="str">
        <f>IFERROR(VLOOKUP(H1882,LUTs!$A$1:$C$73,3,FALSE),"NA")</f>
        <v>3South Puget Sound</v>
      </c>
      <c r="K1882" s="108" t="s">
        <v>23</v>
      </c>
      <c r="L1882" s="108" t="str">
        <f>VLOOKUP(K1882,LUTs!E$2:G$14,3,)</f>
        <v>10Kitsap</v>
      </c>
      <c r="M1882" s="108" t="str">
        <f>VLOOKUP($K1882,LUTs!$E$2:$H$14,2,)</f>
        <v>South Puget Sound</v>
      </c>
      <c r="N1882" s="108" t="str">
        <f>VLOOKUP($K1882,LUTs!$E$2:$H$14,4,)</f>
        <v>02South Puget Sound</v>
      </c>
      <c r="O1882" s="108">
        <v>58.7843137254902</v>
      </c>
      <c r="P1882" s="108">
        <v>202.21803921568599</v>
      </c>
      <c r="Q1882" s="108">
        <f>SUMIFS('FW_Salmon_by_Month_2010-2021'!P$2:P$3810,'FW_Salmon_by_Month_2010-2021'!$B$2:$B$3810,'Rec_raw_catch_effort_2010-2021'!$B1882,'FW_Salmon_by_Month_2010-2021'!$H$2:$H$3810,'Rec_raw_catch_effort_2010-2021'!$F1882,'FW_Salmon_by_Month_2010-2021'!$M$2:$M$3810,'Rec_raw_catch_effort_2010-2021'!$K1882)</f>
        <v>64.647887323943706</v>
      </c>
      <c r="R1882" s="109">
        <f>VLOOKUP(B1882,Readme!$A$62:$C$74,2,)*Q1882</f>
        <v>228.79148758593377</v>
      </c>
      <c r="S1882" s="140" t="str">
        <f t="shared" si="157"/>
        <v>Y</v>
      </c>
      <c r="T1882" s="154">
        <f t="shared" si="158"/>
        <v>3.4399999999999951</v>
      </c>
      <c r="U1882" s="154">
        <f t="shared" si="159"/>
        <v>3.5390404397824153</v>
      </c>
    </row>
    <row r="1883" spans="1:21" x14ac:dyDescent="0.35">
      <c r="A1883" s="108">
        <v>356</v>
      </c>
      <c r="B1883" s="108">
        <v>2017</v>
      </c>
      <c r="C1883" s="108" t="s">
        <v>38</v>
      </c>
      <c r="D1883" s="108" t="s">
        <v>143</v>
      </c>
      <c r="E1883" s="108" t="s">
        <v>10</v>
      </c>
      <c r="F1883" s="116">
        <v>802</v>
      </c>
      <c r="G1883" s="108" t="s">
        <v>53</v>
      </c>
      <c r="H1883" s="108" t="str">
        <f t="shared" si="156"/>
        <v>Carbon River</v>
      </c>
      <c r="I1883" s="108" t="str">
        <f>IFERROR(VLOOKUP(H1883,LUTs!$A$1:$C$73,2,FALSE),"NA")</f>
        <v>Pierce</v>
      </c>
      <c r="J1883" s="108" t="str">
        <f>IFERROR(VLOOKUP(H1883,LUTs!$A$1:$C$73,3,FALSE),"NA")</f>
        <v>3South Puget Sound</v>
      </c>
      <c r="K1883" s="108" t="s">
        <v>20</v>
      </c>
      <c r="L1883" s="108" t="str">
        <f>VLOOKUP(K1883,LUTs!E$2:G$14,3,)</f>
        <v>07Pierce</v>
      </c>
      <c r="M1883" s="108" t="str">
        <f>VLOOKUP($K1883,LUTs!$E$2:$H$14,2,)</f>
        <v>South Puget Sound</v>
      </c>
      <c r="N1883" s="108" t="str">
        <f>VLOOKUP($K1883,LUTs!$E$2:$H$14,4,)</f>
        <v>02South Puget Sound</v>
      </c>
      <c r="O1883" s="108">
        <v>1077.7124183006499</v>
      </c>
      <c r="P1883" s="108">
        <v>3707.3307189542402</v>
      </c>
      <c r="Q1883" s="108">
        <f>SUMIFS('FW_Salmon_by_Month_2010-2021'!P$2:P$3810,'FW_Salmon_by_Month_2010-2021'!$B$2:$B$3810,'Rec_raw_catch_effort_2010-2021'!$B1883,'FW_Salmon_by_Month_2010-2021'!$H$2:$H$3810,'Rec_raw_catch_effort_2010-2021'!$F1883,'FW_Salmon_by_Month_2010-2021'!$M$2:$M$3810,'Rec_raw_catch_effort_2010-2021'!$K1883)</f>
        <v>1058.347631241998</v>
      </c>
      <c r="R1883" s="109">
        <f>VLOOKUP(B1883,Readme!$A$62:$C$74,2,)*Q1883</f>
        <v>3745.5350663133581</v>
      </c>
      <c r="S1883" s="140" t="str">
        <f t="shared" si="157"/>
        <v>Y</v>
      </c>
      <c r="T1883" s="154">
        <f t="shared" si="158"/>
        <v>3.4400000000000039</v>
      </c>
      <c r="U1883" s="154">
        <f t="shared" si="159"/>
        <v>3.5390404397824153</v>
      </c>
    </row>
    <row r="1884" spans="1:21" x14ac:dyDescent="0.35">
      <c r="A1884" s="108">
        <v>469</v>
      </c>
      <c r="B1884" s="108">
        <v>2018</v>
      </c>
      <c r="C1884" s="108" t="s">
        <v>38</v>
      </c>
      <c r="D1884" s="108" t="s">
        <v>143</v>
      </c>
      <c r="E1884" s="108" t="s">
        <v>10</v>
      </c>
      <c r="F1884" s="116">
        <v>802</v>
      </c>
      <c r="G1884" s="108" t="s">
        <v>53</v>
      </c>
      <c r="H1884" s="108" t="str">
        <f t="shared" si="156"/>
        <v>Carbon River</v>
      </c>
      <c r="I1884" s="108" t="str">
        <f>IFERROR(VLOOKUP(H1884,LUTs!$A$1:$C$73,2,FALSE),"NA")</f>
        <v>Pierce</v>
      </c>
      <c r="J1884" s="108" t="str">
        <f>IFERROR(VLOOKUP(H1884,LUTs!$A$1:$C$73,3,FALSE),"NA")</f>
        <v>3South Puget Sound</v>
      </c>
      <c r="K1884" s="108" t="s">
        <v>18</v>
      </c>
      <c r="L1884" s="108" t="str">
        <f>VLOOKUP(K1884,LUTs!E$2:G$14,3,)</f>
        <v>06King</v>
      </c>
      <c r="M1884" s="108" t="str">
        <f>VLOOKUP($K1884,LUTs!$E$2:$H$14,2,)</f>
        <v>South Puget Sound</v>
      </c>
      <c r="N1884" s="108" t="str">
        <f>VLOOKUP($K1884,LUTs!$E$2:$H$14,4,)</f>
        <v>02South Puget Sound</v>
      </c>
      <c r="O1884" s="108">
        <v>821.932075471698</v>
      </c>
      <c r="P1884" s="108">
        <v>7109.7124528301902</v>
      </c>
      <c r="Q1884" s="108">
        <f>SUMIFS('FW_Salmon_by_Month_2010-2021'!P$2:P$3810,'FW_Salmon_by_Month_2010-2021'!$B$2:$B$3810,'Rec_raw_catch_effort_2010-2021'!$B1884,'FW_Salmon_by_Month_2010-2021'!$H$2:$H$3810,'Rec_raw_catch_effort_2010-2021'!$F1884,'FW_Salmon_by_Month_2010-2021'!$M$2:$M$3810,'Rec_raw_catch_effort_2010-2021'!$K1884)</f>
        <v>829.03654485049901</v>
      </c>
      <c r="R1884" s="109">
        <f>VLOOKUP(B1884,Readme!$A$62:$C$74,2,)*Q1884</f>
        <v>3995.5871454232924</v>
      </c>
      <c r="S1884" s="140" t="str">
        <f t="shared" si="157"/>
        <v>Y</v>
      </c>
      <c r="T1884" s="154">
        <f t="shared" si="158"/>
        <v>8.6500000000000021</v>
      </c>
      <c r="U1884" s="154">
        <f t="shared" si="159"/>
        <v>4.8195549041132084</v>
      </c>
    </row>
    <row r="1885" spans="1:21" x14ac:dyDescent="0.35">
      <c r="A1885" s="108">
        <v>470</v>
      </c>
      <c r="B1885" s="108">
        <v>2018</v>
      </c>
      <c r="C1885" s="108" t="s">
        <v>38</v>
      </c>
      <c r="D1885" s="108" t="s">
        <v>143</v>
      </c>
      <c r="E1885" s="108" t="s">
        <v>10</v>
      </c>
      <c r="F1885" s="116">
        <v>802</v>
      </c>
      <c r="G1885" s="108" t="s">
        <v>53</v>
      </c>
      <c r="H1885" s="108" t="str">
        <f t="shared" si="156"/>
        <v>Carbon River</v>
      </c>
      <c r="I1885" s="108" t="str">
        <f>IFERROR(VLOOKUP(H1885,LUTs!$A$1:$C$73,2,FALSE),"NA")</f>
        <v>Pierce</v>
      </c>
      <c r="J1885" s="108" t="str">
        <f>IFERROR(VLOOKUP(H1885,LUTs!$A$1:$C$73,3,FALSE),"NA")</f>
        <v>3South Puget Sound</v>
      </c>
      <c r="K1885" s="108" t="s">
        <v>20</v>
      </c>
      <c r="L1885" s="108" t="str">
        <f>VLOOKUP(K1885,LUTs!E$2:G$14,3,)</f>
        <v>07Pierce</v>
      </c>
      <c r="M1885" s="108" t="str">
        <f>VLOOKUP($K1885,LUTs!$E$2:$H$14,2,)</f>
        <v>South Puget Sound</v>
      </c>
      <c r="N1885" s="108" t="str">
        <f>VLOOKUP($K1885,LUTs!$E$2:$H$14,4,)</f>
        <v>02South Puget Sound</v>
      </c>
      <c r="O1885" s="108">
        <v>1731.92830188679</v>
      </c>
      <c r="P1885" s="108">
        <v>14981.179811320701</v>
      </c>
      <c r="Q1885" s="108">
        <f>SUMIFS('FW_Salmon_by_Month_2010-2021'!P$2:P$3810,'FW_Salmon_by_Month_2010-2021'!$B$2:$B$3810,'Rec_raw_catch_effort_2010-2021'!$B1885,'FW_Salmon_by_Month_2010-2021'!$H$2:$H$3810,'Rec_raw_catch_effort_2010-2021'!$F1885,'FW_Salmon_by_Month_2010-2021'!$M$2:$M$3810,'Rec_raw_catch_effort_2010-2021'!$K1885)</f>
        <v>1724.358803986712</v>
      </c>
      <c r="R1885" s="109">
        <f>VLOOKUP(B1885,Readme!$A$62:$C$74,2,)*Q1885</f>
        <v>8310.6419302049453</v>
      </c>
      <c r="S1885" s="140" t="str">
        <f t="shared" si="157"/>
        <v>Y</v>
      </c>
      <c r="T1885" s="154">
        <f t="shared" si="158"/>
        <v>8.6499999999999808</v>
      </c>
      <c r="U1885" s="154">
        <f t="shared" si="159"/>
        <v>4.8195549041132084</v>
      </c>
    </row>
    <row r="1886" spans="1:21" x14ac:dyDescent="0.35">
      <c r="A1886" s="108">
        <v>468</v>
      </c>
      <c r="B1886" s="108">
        <v>2018</v>
      </c>
      <c r="C1886" s="108" t="s">
        <v>38</v>
      </c>
      <c r="D1886" s="108" t="s">
        <v>143</v>
      </c>
      <c r="E1886" s="108" t="s">
        <v>10</v>
      </c>
      <c r="F1886" s="116">
        <v>802</v>
      </c>
      <c r="G1886" s="108" t="s">
        <v>53</v>
      </c>
      <c r="H1886" s="108" t="str">
        <f t="shared" si="156"/>
        <v>Carbon River</v>
      </c>
      <c r="I1886" s="108" t="str">
        <f>IFERROR(VLOOKUP(H1886,LUTs!$A$1:$C$73,2,FALSE),"NA")</f>
        <v>Pierce</v>
      </c>
      <c r="J1886" s="108" t="str">
        <f>IFERROR(VLOOKUP(H1886,LUTs!$A$1:$C$73,3,FALSE),"NA")</f>
        <v>3South Puget Sound</v>
      </c>
      <c r="K1886" s="108" t="s">
        <v>16</v>
      </c>
      <c r="L1886" s="108" t="str">
        <f>VLOOKUP(K1886,LUTs!E$2:G$14,3,)</f>
        <v>03Snohomish</v>
      </c>
      <c r="M1886" s="108" t="str">
        <f>VLOOKUP($K1886,LUTs!$E$2:$H$14,2,)</f>
        <v>North Puget Sound</v>
      </c>
      <c r="N1886" s="108" t="str">
        <f>VLOOKUP($K1886,LUTs!$E$2:$H$14,4,)</f>
        <v>01North Puget Sound</v>
      </c>
      <c r="O1886" s="108">
        <v>19.569811320754699</v>
      </c>
      <c r="P1886" s="108">
        <v>169.27886792452799</v>
      </c>
      <c r="Q1886" s="108">
        <f>SUMIFS('FW_Salmon_by_Month_2010-2021'!P$2:P$3810,'FW_Salmon_by_Month_2010-2021'!$B$2:$B$3810,'Rec_raw_catch_effort_2010-2021'!$B1886,'FW_Salmon_by_Month_2010-2021'!$H$2:$H$3810,'Rec_raw_catch_effort_2010-2021'!$F1886,'FW_Salmon_by_Month_2010-2021'!$M$2:$M$3810,'Rec_raw_catch_effort_2010-2021'!$K1886)</f>
        <v>19.802325581395401</v>
      </c>
      <c r="R1886" s="109">
        <f>VLOOKUP(B1886,Readme!$A$62:$C$74,2,)*Q1886</f>
        <v>95.43839536866065</v>
      </c>
      <c r="S1886" s="140" t="str">
        <f t="shared" si="157"/>
        <v>Y</v>
      </c>
      <c r="T1886" s="154">
        <f t="shared" si="158"/>
        <v>8.6499999999999915</v>
      </c>
      <c r="U1886" s="154">
        <f t="shared" si="159"/>
        <v>4.8195549041132084</v>
      </c>
    </row>
    <row r="1887" spans="1:21" x14ac:dyDescent="0.35">
      <c r="A1887" s="108">
        <v>471</v>
      </c>
      <c r="B1887" s="108">
        <v>2018</v>
      </c>
      <c r="C1887" s="108" t="s">
        <v>38</v>
      </c>
      <c r="D1887" s="108" t="s">
        <v>143</v>
      </c>
      <c r="E1887" s="108" t="s">
        <v>10</v>
      </c>
      <c r="F1887" s="116">
        <v>802</v>
      </c>
      <c r="G1887" s="108" t="s">
        <v>53</v>
      </c>
      <c r="H1887" s="108" t="str">
        <f t="shared" si="156"/>
        <v>Carbon River</v>
      </c>
      <c r="I1887" s="108" t="str">
        <f>IFERROR(VLOOKUP(H1887,LUTs!$A$1:$C$73,2,FALSE),"NA")</f>
        <v>Pierce</v>
      </c>
      <c r="J1887" s="108" t="str">
        <f>IFERROR(VLOOKUP(H1887,LUTs!$A$1:$C$73,3,FALSE),"NA")</f>
        <v>3South Puget Sound</v>
      </c>
      <c r="K1887" s="108" t="s">
        <v>21</v>
      </c>
      <c r="L1887" s="108" t="str">
        <f>VLOOKUP(K1887,LUTs!E$2:G$14,3,)</f>
        <v>08Thurston</v>
      </c>
      <c r="M1887" s="108" t="str">
        <f>VLOOKUP($K1887,LUTs!$E$2:$H$14,2,)</f>
        <v>South Puget Sound</v>
      </c>
      <c r="N1887" s="108" t="str">
        <f>VLOOKUP($K1887,LUTs!$E$2:$H$14,4,)</f>
        <v>02South Puget Sound</v>
      </c>
      <c r="O1887" s="108">
        <v>19.569811320754699</v>
      </c>
      <c r="P1887" s="108">
        <v>169.27886792452799</v>
      </c>
      <c r="Q1887" s="108">
        <f>SUMIFS('FW_Salmon_by_Month_2010-2021'!P$2:P$3810,'FW_Salmon_by_Month_2010-2021'!$B$2:$B$3810,'Rec_raw_catch_effort_2010-2021'!$B1887,'FW_Salmon_by_Month_2010-2021'!$H$2:$H$3810,'Rec_raw_catch_effort_2010-2021'!$F1887,'FW_Salmon_by_Month_2010-2021'!$M$2:$M$3810,'Rec_raw_catch_effort_2010-2021'!$K1887)</f>
        <v>19.802325581395401</v>
      </c>
      <c r="R1887" s="109">
        <f>VLOOKUP(B1887,Readme!$A$62:$C$74,2,)*Q1887</f>
        <v>95.43839536866065</v>
      </c>
      <c r="S1887" s="140" t="str">
        <f t="shared" si="157"/>
        <v>Y</v>
      </c>
      <c r="T1887" s="154">
        <f t="shared" si="158"/>
        <v>8.6499999999999915</v>
      </c>
      <c r="U1887" s="154">
        <f t="shared" si="159"/>
        <v>4.8195549041132084</v>
      </c>
    </row>
    <row r="1888" spans="1:21" x14ac:dyDescent="0.35">
      <c r="A1888" s="108">
        <v>579</v>
      </c>
      <c r="B1888" s="108">
        <v>2019</v>
      </c>
      <c r="C1888" s="108" t="s">
        <v>38</v>
      </c>
      <c r="D1888" s="108" t="s">
        <v>143</v>
      </c>
      <c r="E1888" s="108" t="s">
        <v>10</v>
      </c>
      <c r="F1888" s="116">
        <v>802</v>
      </c>
      <c r="G1888" s="108" t="s">
        <v>53</v>
      </c>
      <c r="H1888" s="108" t="str">
        <f t="shared" si="156"/>
        <v>Carbon River</v>
      </c>
      <c r="I1888" s="108" t="str">
        <f>IFERROR(VLOOKUP(H1888,LUTs!$A$1:$C$73,2,FALSE),"NA")</f>
        <v>Pierce</v>
      </c>
      <c r="J1888" s="108" t="str">
        <f>IFERROR(VLOOKUP(H1888,LUTs!$A$1:$C$73,3,FALSE),"NA")</f>
        <v>3South Puget Sound</v>
      </c>
      <c r="K1888" s="108" t="s">
        <v>24</v>
      </c>
      <c r="L1888" s="108" t="str">
        <f>VLOOKUP(K1888,LUTs!E$2:G$14,3,)</f>
        <v>11Clallam</v>
      </c>
      <c r="M1888" s="108" t="str">
        <f>VLOOKUP($K1888,LUTs!$E$2:$H$14,2,)</f>
        <v>Strait of Juan de Fuca</v>
      </c>
      <c r="N1888" s="108" t="str">
        <f>VLOOKUP($K1888,LUTs!$E$2:$H$14,4,)</f>
        <v>03Strait of Juan de Fuca</v>
      </c>
      <c r="O1888" s="108">
        <v>21.174603174603199</v>
      </c>
      <c r="P1888" s="108">
        <v>72.840634920634997</v>
      </c>
      <c r="Q1888" s="108">
        <f>SUMIFS('FW_Salmon_by_Month_2010-2021'!P$2:P$3810,'FW_Salmon_by_Month_2010-2021'!$B$2:$B$3810,'Rec_raw_catch_effort_2010-2021'!$B1888,'FW_Salmon_by_Month_2010-2021'!$H$2:$H$3810,'Rec_raw_catch_effort_2010-2021'!$F1888,'FW_Salmon_by_Month_2010-2021'!$M$2:$M$3810,'Rec_raw_catch_effort_2010-2021'!$K1888)</f>
        <v>22.3150183150183</v>
      </c>
      <c r="R1888" s="109">
        <f>VLOOKUP(B1888,Readme!$A$62:$C$74,2,)*Q1888</f>
        <v>78.973752231335013</v>
      </c>
      <c r="S1888" s="140" t="str">
        <f t="shared" si="157"/>
        <v>Y</v>
      </c>
      <c r="T1888" s="154">
        <f t="shared" si="158"/>
        <v>3.4399999999999995</v>
      </c>
      <c r="U1888" s="154">
        <f t="shared" si="159"/>
        <v>3.5390404397824153</v>
      </c>
    </row>
    <row r="1889" spans="1:21" x14ac:dyDescent="0.35">
      <c r="A1889" s="108">
        <v>574</v>
      </c>
      <c r="B1889" s="108">
        <v>2019</v>
      </c>
      <c r="C1889" s="108" t="s">
        <v>38</v>
      </c>
      <c r="D1889" s="108" t="s">
        <v>143</v>
      </c>
      <c r="E1889" s="108" t="s">
        <v>10</v>
      </c>
      <c r="F1889" s="116">
        <v>802</v>
      </c>
      <c r="G1889" s="108" t="s">
        <v>53</v>
      </c>
      <c r="H1889" s="108" t="str">
        <f t="shared" si="156"/>
        <v>Carbon River</v>
      </c>
      <c r="I1889" s="108" t="str">
        <f>IFERROR(VLOOKUP(H1889,LUTs!$A$1:$C$73,2,FALSE),"NA")</f>
        <v>Pierce</v>
      </c>
      <c r="J1889" s="108" t="str">
        <f>IFERROR(VLOOKUP(H1889,LUTs!$A$1:$C$73,3,FALSE),"NA")</f>
        <v>3South Puget Sound</v>
      </c>
      <c r="K1889" s="108" t="s">
        <v>18</v>
      </c>
      <c r="L1889" s="108" t="str">
        <f>VLOOKUP(K1889,LUTs!E$2:G$14,3,)</f>
        <v>06King</v>
      </c>
      <c r="M1889" s="108" t="str">
        <f>VLOOKUP($K1889,LUTs!$E$2:$H$14,2,)</f>
        <v>South Puget Sound</v>
      </c>
      <c r="N1889" s="108" t="str">
        <f>VLOOKUP($K1889,LUTs!$E$2:$H$14,4,)</f>
        <v>02South Puget Sound</v>
      </c>
      <c r="O1889" s="108">
        <v>719.93650793650795</v>
      </c>
      <c r="P1889" s="108">
        <v>2476.5815873015899</v>
      </c>
      <c r="Q1889" s="108">
        <f>SUMIFS('FW_Salmon_by_Month_2010-2021'!P$2:P$3810,'FW_Salmon_by_Month_2010-2021'!$B$2:$B$3810,'Rec_raw_catch_effort_2010-2021'!$B1889,'FW_Salmon_by_Month_2010-2021'!$H$2:$H$3810,'Rec_raw_catch_effort_2010-2021'!$F1889,'FW_Salmon_by_Month_2010-2021'!$M$2:$M$3810,'Rec_raw_catch_effort_2010-2021'!$K1889)</f>
        <v>740.92336996336996</v>
      </c>
      <c r="R1889" s="109">
        <f>VLOOKUP(B1889,Readme!$A$62:$C$74,2,)*Q1889</f>
        <v>2622.1577690802342</v>
      </c>
      <c r="S1889" s="140" t="str">
        <f t="shared" si="157"/>
        <v>Y</v>
      </c>
      <c r="T1889" s="154">
        <f t="shared" si="158"/>
        <v>3.4400000000000035</v>
      </c>
      <c r="U1889" s="154">
        <f t="shared" si="159"/>
        <v>3.5390404397824153</v>
      </c>
    </row>
    <row r="1890" spans="1:21" x14ac:dyDescent="0.35">
      <c r="A1890" s="108">
        <v>578</v>
      </c>
      <c r="B1890" s="108">
        <v>2019</v>
      </c>
      <c r="C1890" s="108" t="s">
        <v>38</v>
      </c>
      <c r="D1890" s="108" t="s">
        <v>143</v>
      </c>
      <c r="E1890" s="108" t="s">
        <v>10</v>
      </c>
      <c r="F1890" s="116">
        <v>802</v>
      </c>
      <c r="G1890" s="108" t="s">
        <v>53</v>
      </c>
      <c r="H1890" s="108" t="str">
        <f t="shared" si="156"/>
        <v>Carbon River</v>
      </c>
      <c r="I1890" s="108" t="str">
        <f>IFERROR(VLOOKUP(H1890,LUTs!$A$1:$C$73,2,FALSE),"NA")</f>
        <v>Pierce</v>
      </c>
      <c r="J1890" s="108" t="str">
        <f>IFERROR(VLOOKUP(H1890,LUTs!$A$1:$C$73,3,FALSE),"NA")</f>
        <v>3South Puget Sound</v>
      </c>
      <c r="K1890" s="108" t="s">
        <v>23</v>
      </c>
      <c r="L1890" s="108" t="str">
        <f>VLOOKUP(K1890,LUTs!E$2:G$14,3,)</f>
        <v>10Kitsap</v>
      </c>
      <c r="M1890" s="108" t="str">
        <f>VLOOKUP($K1890,LUTs!$E$2:$H$14,2,)</f>
        <v>South Puget Sound</v>
      </c>
      <c r="N1890" s="108" t="str">
        <f>VLOOKUP($K1890,LUTs!$E$2:$H$14,4,)</f>
        <v>02South Puget Sound</v>
      </c>
      <c r="O1890" s="108">
        <v>74.1111111111111</v>
      </c>
      <c r="P1890" s="108">
        <v>254.942222222222</v>
      </c>
      <c r="Q1890" s="108">
        <f>SUMIFS('FW_Salmon_by_Month_2010-2021'!P$2:P$3810,'FW_Salmon_by_Month_2010-2021'!$B$2:$B$3810,'Rec_raw_catch_effort_2010-2021'!$B1890,'FW_Salmon_by_Month_2010-2021'!$H$2:$H$3810,'Rec_raw_catch_effort_2010-2021'!$F1890,'FW_Salmon_by_Month_2010-2021'!$M$2:$M$3810,'Rec_raw_catch_effort_2010-2021'!$K1890)</f>
        <v>78.102564102564102</v>
      </c>
      <c r="R1890" s="109">
        <f>VLOOKUP(B1890,Readme!$A$62:$C$74,2,)*Q1890</f>
        <v>276.40813280967274</v>
      </c>
      <c r="S1890" s="140" t="str">
        <f t="shared" si="157"/>
        <v>Y</v>
      </c>
      <c r="T1890" s="154">
        <f t="shared" si="158"/>
        <v>3.4399999999999977</v>
      </c>
      <c r="U1890" s="154">
        <f t="shared" si="159"/>
        <v>3.5390404397824153</v>
      </c>
    </row>
    <row r="1891" spans="1:21" x14ac:dyDescent="0.35">
      <c r="A1891" s="108">
        <v>577</v>
      </c>
      <c r="B1891" s="108">
        <v>2019</v>
      </c>
      <c r="C1891" s="108" t="s">
        <v>38</v>
      </c>
      <c r="D1891" s="108" t="s">
        <v>143</v>
      </c>
      <c r="E1891" s="108" t="s">
        <v>10</v>
      </c>
      <c r="F1891" s="116">
        <v>802</v>
      </c>
      <c r="G1891" s="108" t="s">
        <v>53</v>
      </c>
      <c r="H1891" s="108" t="str">
        <f t="shared" si="156"/>
        <v>Carbon River</v>
      </c>
      <c r="I1891" s="108" t="str">
        <f>IFERROR(VLOOKUP(H1891,LUTs!$A$1:$C$73,2,FALSE),"NA")</f>
        <v>Pierce</v>
      </c>
      <c r="J1891" s="108" t="str">
        <f>IFERROR(VLOOKUP(H1891,LUTs!$A$1:$C$73,3,FALSE),"NA")</f>
        <v>3South Puget Sound</v>
      </c>
      <c r="K1891" s="108" t="s">
        <v>22</v>
      </c>
      <c r="L1891" s="108" t="str">
        <f>VLOOKUP(K1891,LUTs!E$2:G$14,3,)</f>
        <v>09Mason</v>
      </c>
      <c r="M1891" s="108" t="str">
        <f>VLOOKUP($K1891,LUTs!$E$2:$H$14,2,)</f>
        <v>South Puget Sound</v>
      </c>
      <c r="N1891" s="108" t="str">
        <f>VLOOKUP($K1891,LUTs!$E$2:$H$14,4,)</f>
        <v>02South Puget Sound</v>
      </c>
      <c r="O1891" s="108">
        <v>10.587301587301599</v>
      </c>
      <c r="P1891" s="108">
        <v>36.420317460317499</v>
      </c>
      <c r="Q1891" s="108">
        <f>SUMIFS('FW_Salmon_by_Month_2010-2021'!P$2:P$3810,'FW_Salmon_by_Month_2010-2021'!$B$2:$B$3810,'Rec_raw_catch_effort_2010-2021'!$B1891,'FW_Salmon_by_Month_2010-2021'!$H$2:$H$3810,'Rec_raw_catch_effort_2010-2021'!$F1891,'FW_Salmon_by_Month_2010-2021'!$M$2:$M$3810,'Rec_raw_catch_effort_2010-2021'!$K1891)</f>
        <v>9.92</v>
      </c>
      <c r="R1891" s="109">
        <f>VLOOKUP(B1891,Readme!$A$62:$C$74,2,)*Q1891</f>
        <v>35.107281162641563</v>
      </c>
      <c r="S1891" s="140" t="str">
        <f t="shared" si="157"/>
        <v>Y</v>
      </c>
      <c r="T1891" s="154">
        <f t="shared" si="158"/>
        <v>3.4399999999999995</v>
      </c>
      <c r="U1891" s="154">
        <f t="shared" si="159"/>
        <v>3.5390404397824158</v>
      </c>
    </row>
    <row r="1892" spans="1:21" x14ac:dyDescent="0.35">
      <c r="A1892" s="108">
        <v>675</v>
      </c>
      <c r="B1892" s="108">
        <v>2019</v>
      </c>
      <c r="C1892" s="108" t="s">
        <v>38</v>
      </c>
      <c r="D1892" s="108" t="s">
        <v>143</v>
      </c>
      <c r="E1892" s="108" t="s">
        <v>10</v>
      </c>
      <c r="F1892" s="116">
        <v>802</v>
      </c>
      <c r="G1892" s="108" t="s">
        <v>53</v>
      </c>
      <c r="H1892" s="108" t="str">
        <f t="shared" si="156"/>
        <v>Carbon River</v>
      </c>
      <c r="I1892" s="108" t="str">
        <f>IFERROR(VLOOKUP(H1892,LUTs!$A$1:$C$73,2,FALSE),"NA")</f>
        <v>Pierce</v>
      </c>
      <c r="J1892" s="108" t="str">
        <f>IFERROR(VLOOKUP(H1892,LUTs!$A$1:$C$73,3,FALSE),"NA")</f>
        <v>3South Puget Sound</v>
      </c>
      <c r="K1892" s="108" t="s">
        <v>26</v>
      </c>
      <c r="L1892" s="108" t="str">
        <f>VLOOKUP(K1892,LUTs!E$2:G$14,3,)</f>
        <v>20Other</v>
      </c>
      <c r="M1892" s="108" t="str">
        <f>VLOOKUP($K1892,LUTs!$E$2:$H$14,2,)</f>
        <v>Non Puget Sound</v>
      </c>
      <c r="N1892" s="108" t="str">
        <f>VLOOKUP($K1892,LUTs!$E$2:$H$14,4,)</f>
        <v>07Non Puget Sound</v>
      </c>
      <c r="O1892" s="108">
        <v>275.26984126984098</v>
      </c>
      <c r="P1892" s="108">
        <v>946.92825396825299</v>
      </c>
      <c r="Q1892" s="108">
        <f>SUMIFS('FW_Salmon_by_Month_2010-2021'!P$2:P$3810,'FW_Salmon_by_Month_2010-2021'!$B$2:$B$3810,'Rec_raw_catch_effort_2010-2021'!$B1892,'FW_Salmon_by_Month_2010-2021'!$H$2:$H$3810,'Rec_raw_catch_effort_2010-2021'!$F1892,'FW_Salmon_by_Month_2010-2021'!$M$2:$M$3810,'Rec_raw_catch_effort_2010-2021'!$K1892)</f>
        <v>289.29963369963411</v>
      </c>
      <c r="R1892" s="109">
        <f>VLOOKUP(B1892,Readme!$A$62:$C$74,2,)*Q1892</f>
        <v>1023.8431028772447</v>
      </c>
      <c r="S1892" s="140" t="str">
        <f t="shared" si="157"/>
        <v>Y</v>
      </c>
      <c r="T1892" s="154">
        <f t="shared" si="158"/>
        <v>3.44</v>
      </c>
      <c r="U1892" s="154">
        <f t="shared" si="159"/>
        <v>3.5390404397824153</v>
      </c>
    </row>
    <row r="1893" spans="1:21" x14ac:dyDescent="0.35">
      <c r="A1893" s="108">
        <v>575</v>
      </c>
      <c r="B1893" s="108">
        <v>2019</v>
      </c>
      <c r="C1893" s="108" t="s">
        <v>38</v>
      </c>
      <c r="D1893" s="108" t="s">
        <v>143</v>
      </c>
      <c r="E1893" s="108" t="s">
        <v>10</v>
      </c>
      <c r="F1893" s="116">
        <v>802</v>
      </c>
      <c r="G1893" s="108" t="s">
        <v>53</v>
      </c>
      <c r="H1893" s="108" t="str">
        <f t="shared" si="156"/>
        <v>Carbon River</v>
      </c>
      <c r="I1893" s="108" t="str">
        <f>IFERROR(VLOOKUP(H1893,LUTs!$A$1:$C$73,2,FALSE),"NA")</f>
        <v>Pierce</v>
      </c>
      <c r="J1893" s="108" t="str">
        <f>IFERROR(VLOOKUP(H1893,LUTs!$A$1:$C$73,3,FALSE),"NA")</f>
        <v>3South Puget Sound</v>
      </c>
      <c r="K1893" s="108" t="s">
        <v>20</v>
      </c>
      <c r="L1893" s="108" t="str">
        <f>VLOOKUP(K1893,LUTs!E$2:G$14,3,)</f>
        <v>07Pierce</v>
      </c>
      <c r="M1893" s="108" t="str">
        <f>VLOOKUP($K1893,LUTs!$E$2:$H$14,2,)</f>
        <v>South Puget Sound</v>
      </c>
      <c r="N1893" s="108" t="str">
        <f>VLOOKUP($K1893,LUTs!$E$2:$H$14,4,)</f>
        <v>02South Puget Sound</v>
      </c>
      <c r="O1893" s="108">
        <v>2805.63492063492</v>
      </c>
      <c r="P1893" s="108">
        <v>9651.3841269841305</v>
      </c>
      <c r="Q1893" s="108">
        <f>SUMIFS('FW_Salmon_by_Month_2010-2021'!P$2:P$3810,'FW_Salmon_by_Month_2010-2021'!$B$2:$B$3810,'Rec_raw_catch_effort_2010-2021'!$B1893,'FW_Salmon_by_Month_2010-2021'!$H$2:$H$3810,'Rec_raw_catch_effort_2010-2021'!$F1893,'FW_Salmon_by_Month_2010-2021'!$M$2:$M$3810,'Rec_raw_catch_effort_2010-2021'!$K1893)</f>
        <v>2806.8893772893816</v>
      </c>
      <c r="R1893" s="109">
        <f>VLOOKUP(B1893,Readme!$A$62:$C$74,2,)*Q1893</f>
        <v>9933.6950162228022</v>
      </c>
      <c r="S1893" s="140" t="str">
        <f t="shared" si="157"/>
        <v>Y</v>
      </c>
      <c r="T1893" s="154">
        <f t="shared" si="158"/>
        <v>3.4400000000000022</v>
      </c>
      <c r="U1893" s="154">
        <f t="shared" si="159"/>
        <v>3.5390404397824149</v>
      </c>
    </row>
    <row r="1894" spans="1:21" x14ac:dyDescent="0.35">
      <c r="A1894" s="108">
        <v>573</v>
      </c>
      <c r="B1894" s="108">
        <v>2019</v>
      </c>
      <c r="C1894" s="108" t="s">
        <v>38</v>
      </c>
      <c r="D1894" s="108" t="s">
        <v>143</v>
      </c>
      <c r="E1894" s="108" t="s">
        <v>10</v>
      </c>
      <c r="F1894" s="116">
        <v>802</v>
      </c>
      <c r="G1894" s="108" t="s">
        <v>53</v>
      </c>
      <c r="H1894" s="108" t="str">
        <f t="shared" si="156"/>
        <v>Carbon River</v>
      </c>
      <c r="I1894" s="108" t="str">
        <f>IFERROR(VLOOKUP(H1894,LUTs!$A$1:$C$73,2,FALSE),"NA")</f>
        <v>Pierce</v>
      </c>
      <c r="J1894" s="108" t="str">
        <f>IFERROR(VLOOKUP(H1894,LUTs!$A$1:$C$73,3,FALSE),"NA")</f>
        <v>3South Puget Sound</v>
      </c>
      <c r="K1894" s="108" t="s">
        <v>16</v>
      </c>
      <c r="L1894" s="108" t="str">
        <f>VLOOKUP(K1894,LUTs!E$2:G$14,3,)</f>
        <v>03Snohomish</v>
      </c>
      <c r="M1894" s="108" t="str">
        <f>VLOOKUP($K1894,LUTs!$E$2:$H$14,2,)</f>
        <v>North Puget Sound</v>
      </c>
      <c r="N1894" s="108" t="str">
        <f>VLOOKUP($K1894,LUTs!$E$2:$H$14,4,)</f>
        <v>01North Puget Sound</v>
      </c>
      <c r="O1894" s="108">
        <v>42.349206349206398</v>
      </c>
      <c r="P1894" s="108">
        <v>145.68126984126999</v>
      </c>
      <c r="Q1894" s="108">
        <f>SUMIFS('FW_Salmon_by_Month_2010-2021'!P$2:P$3810,'FW_Salmon_by_Month_2010-2021'!$B$2:$B$3810,'Rec_raw_catch_effort_2010-2021'!$B1894,'FW_Salmon_by_Month_2010-2021'!$H$2:$H$3810,'Rec_raw_catch_effort_2010-2021'!$F1894,'FW_Salmon_by_Month_2010-2021'!$M$2:$M$3810,'Rec_raw_catch_effort_2010-2021'!$K1894)</f>
        <v>43.392527472527505</v>
      </c>
      <c r="R1894" s="109">
        <f>VLOOKUP(B1894,Readme!$A$62:$C$74,2,)*Q1894</f>
        <v>153.56790950964427</v>
      </c>
      <c r="S1894" s="140" t="str">
        <f t="shared" si="157"/>
        <v>Y</v>
      </c>
      <c r="T1894" s="154">
        <f t="shared" si="158"/>
        <v>3.4399999999999995</v>
      </c>
      <c r="U1894" s="154">
        <f t="shared" si="159"/>
        <v>3.5390404397824149</v>
      </c>
    </row>
    <row r="1895" spans="1:21" x14ac:dyDescent="0.35">
      <c r="A1895" s="108">
        <v>576</v>
      </c>
      <c r="B1895" s="108">
        <v>2019</v>
      </c>
      <c r="C1895" s="108" t="s">
        <v>38</v>
      </c>
      <c r="D1895" s="108" t="s">
        <v>143</v>
      </c>
      <c r="E1895" s="108" t="s">
        <v>10</v>
      </c>
      <c r="F1895" s="116">
        <v>802</v>
      </c>
      <c r="G1895" s="108" t="s">
        <v>53</v>
      </c>
      <c r="H1895" s="108" t="str">
        <f t="shared" si="156"/>
        <v>Carbon River</v>
      </c>
      <c r="I1895" s="108" t="str">
        <f>IFERROR(VLOOKUP(H1895,LUTs!$A$1:$C$73,2,FALSE),"NA")</f>
        <v>Pierce</v>
      </c>
      <c r="J1895" s="108" t="str">
        <f>IFERROR(VLOOKUP(H1895,LUTs!$A$1:$C$73,3,FALSE),"NA")</f>
        <v>3South Puget Sound</v>
      </c>
      <c r="K1895" s="108" t="s">
        <v>21</v>
      </c>
      <c r="L1895" s="108" t="str">
        <f>VLOOKUP(K1895,LUTs!E$2:G$14,3,)</f>
        <v>08Thurston</v>
      </c>
      <c r="M1895" s="108" t="str">
        <f>VLOOKUP($K1895,LUTs!$E$2:$H$14,2,)</f>
        <v>South Puget Sound</v>
      </c>
      <c r="N1895" s="108" t="str">
        <f>VLOOKUP($K1895,LUTs!$E$2:$H$14,4,)</f>
        <v>02South Puget Sound</v>
      </c>
      <c r="O1895" s="108">
        <v>52.936507936508001</v>
      </c>
      <c r="P1895" s="108">
        <v>182.10158730158801</v>
      </c>
      <c r="Q1895" s="108">
        <f>SUMIFS('FW_Salmon_by_Month_2010-2021'!P$2:P$3810,'FW_Salmon_by_Month_2010-2021'!$B$2:$B$3810,'Rec_raw_catch_effort_2010-2021'!$B1895,'FW_Salmon_by_Month_2010-2021'!$H$2:$H$3810,'Rec_raw_catch_effort_2010-2021'!$F1895,'FW_Salmon_by_Month_2010-2021'!$M$2:$M$3810,'Rec_raw_catch_effort_2010-2021'!$K1895)</f>
        <v>11.1575091575092</v>
      </c>
      <c r="R1895" s="109">
        <f>VLOOKUP(B1895,Readme!$A$62:$C$74,2,)*Q1895</f>
        <v>39.486876115667684</v>
      </c>
      <c r="S1895" s="140" t="str">
        <f t="shared" si="157"/>
        <v>Y</v>
      </c>
      <c r="T1895" s="154">
        <f t="shared" si="158"/>
        <v>3.4400000000000093</v>
      </c>
      <c r="U1895" s="154">
        <f t="shared" si="159"/>
        <v>3.5390404397824153</v>
      </c>
    </row>
    <row r="1896" spans="1:21" x14ac:dyDescent="0.35">
      <c r="A1896" s="108">
        <v>776</v>
      </c>
      <c r="B1896" s="108">
        <v>2020</v>
      </c>
      <c r="C1896" s="108" t="s">
        <v>38</v>
      </c>
      <c r="D1896" s="108" t="s">
        <v>143</v>
      </c>
      <c r="E1896" s="108" t="s">
        <v>10</v>
      </c>
      <c r="F1896" s="116">
        <v>802</v>
      </c>
      <c r="G1896" s="108" t="s">
        <v>53</v>
      </c>
      <c r="H1896" s="108" t="str">
        <f t="shared" si="156"/>
        <v>Carbon River</v>
      </c>
      <c r="I1896" s="108" t="str">
        <f>IFERROR(VLOOKUP(H1896,LUTs!$A$1:$C$73,2,FALSE),"NA")</f>
        <v>Pierce</v>
      </c>
      <c r="J1896" s="108" t="str">
        <f>IFERROR(VLOOKUP(H1896,LUTs!$A$1:$C$73,3,FALSE),"NA")</f>
        <v>3South Puget Sound</v>
      </c>
      <c r="K1896" s="108" t="s">
        <v>18</v>
      </c>
      <c r="L1896" s="108" t="str">
        <f>VLOOKUP(K1896,LUTs!E$2:G$14,3,)</f>
        <v>06King</v>
      </c>
      <c r="M1896" s="108" t="str">
        <f>VLOOKUP($K1896,LUTs!$E$2:$H$14,2,)</f>
        <v>South Puget Sound</v>
      </c>
      <c r="N1896" s="108" t="str">
        <f>VLOOKUP($K1896,LUTs!$E$2:$H$14,4,)</f>
        <v>02South Puget Sound</v>
      </c>
      <c r="O1896" s="108">
        <v>371.538461538462</v>
      </c>
      <c r="P1896" s="108">
        <v>3213.8076923077001</v>
      </c>
      <c r="Q1896" s="108">
        <f>SUMIFS('FW_Salmon_by_Month_2010-2021'!P$2:P$3810,'FW_Salmon_by_Month_2010-2021'!$B$2:$B$3810,'Rec_raw_catch_effort_2010-2021'!$B1896,'FW_Salmon_by_Month_2010-2021'!$H$2:$H$3810,'Rec_raw_catch_effort_2010-2021'!$F1896,'FW_Salmon_by_Month_2010-2021'!$M$2:$M$3810,'Rec_raw_catch_effort_2010-2021'!$K1896)</f>
        <v>371.61818181818199</v>
      </c>
      <c r="R1896" s="109">
        <f>VLOOKUP(B1896,Readme!$A$62:$C$74,2,)*Q1896</f>
        <v>1791.034230639453</v>
      </c>
      <c r="S1896" s="140" t="str">
        <f t="shared" si="157"/>
        <v>N</v>
      </c>
      <c r="T1896" s="154">
        <f t="shared" si="158"/>
        <v>8.650000000000011</v>
      </c>
      <c r="U1896" s="154">
        <f t="shared" si="159"/>
        <v>4.8195549041132084</v>
      </c>
    </row>
    <row r="1897" spans="1:21" x14ac:dyDescent="0.35">
      <c r="A1897" s="108">
        <v>778</v>
      </c>
      <c r="B1897" s="108">
        <v>2020</v>
      </c>
      <c r="C1897" s="108" t="s">
        <v>38</v>
      </c>
      <c r="D1897" s="108" t="s">
        <v>143</v>
      </c>
      <c r="E1897" s="108" t="s">
        <v>10</v>
      </c>
      <c r="F1897" s="116">
        <v>802</v>
      </c>
      <c r="G1897" s="108" t="s">
        <v>53</v>
      </c>
      <c r="H1897" s="108" t="str">
        <f t="shared" si="156"/>
        <v>Carbon River</v>
      </c>
      <c r="I1897" s="108" t="str">
        <f>IFERROR(VLOOKUP(H1897,LUTs!$A$1:$C$73,2,FALSE),"NA")</f>
        <v>Pierce</v>
      </c>
      <c r="J1897" s="108" t="str">
        <f>IFERROR(VLOOKUP(H1897,LUTs!$A$1:$C$73,3,FALSE),"NA")</f>
        <v>3South Puget Sound</v>
      </c>
      <c r="K1897" s="108" t="s">
        <v>22</v>
      </c>
      <c r="L1897" s="108" t="str">
        <f>VLOOKUP(K1897,LUTs!E$2:G$14,3,)</f>
        <v>09Mason</v>
      </c>
      <c r="M1897" s="108" t="str">
        <f>VLOOKUP($K1897,LUTs!$E$2:$H$14,2,)</f>
        <v>South Puget Sound</v>
      </c>
      <c r="N1897" s="108" t="str">
        <f>VLOOKUP($K1897,LUTs!$E$2:$H$14,4,)</f>
        <v>02South Puget Sound</v>
      </c>
      <c r="O1897" s="108">
        <v>49.538461538461597</v>
      </c>
      <c r="P1897" s="108">
        <v>428.50769230769299</v>
      </c>
      <c r="Q1897" s="108">
        <f>SUMIFS('FW_Salmon_by_Month_2010-2021'!P$2:P$3810,'FW_Salmon_by_Month_2010-2021'!$B$2:$B$3810,'Rec_raw_catch_effort_2010-2021'!$B1897,'FW_Salmon_by_Month_2010-2021'!$H$2:$H$3810,'Rec_raw_catch_effort_2010-2021'!$F1897,'FW_Salmon_by_Month_2010-2021'!$M$2:$M$3810,'Rec_raw_catch_effort_2010-2021'!$K1897)</f>
        <v>49.6</v>
      </c>
      <c r="R1897" s="109">
        <f>VLOOKUP(B1897,Readme!$A$62:$C$74,2,)*Q1897</f>
        <v>239.04992324401513</v>
      </c>
      <c r="S1897" s="140" t="str">
        <f t="shared" si="157"/>
        <v>N</v>
      </c>
      <c r="T1897" s="154">
        <f t="shared" si="158"/>
        <v>8.6500000000000039</v>
      </c>
      <c r="U1897" s="154">
        <f t="shared" si="159"/>
        <v>4.8195549041132084</v>
      </c>
    </row>
    <row r="1898" spans="1:21" x14ac:dyDescent="0.35">
      <c r="A1898" s="108">
        <v>779</v>
      </c>
      <c r="B1898" s="108">
        <v>2020</v>
      </c>
      <c r="C1898" s="108" t="s">
        <v>38</v>
      </c>
      <c r="D1898" s="108" t="s">
        <v>143</v>
      </c>
      <c r="E1898" s="108" t="s">
        <v>10</v>
      </c>
      <c r="F1898" s="116">
        <v>802</v>
      </c>
      <c r="G1898" s="108" t="s">
        <v>53</v>
      </c>
      <c r="H1898" s="108" t="str">
        <f t="shared" ref="H1898:H1961" si="160">G1898</f>
        <v>Carbon River</v>
      </c>
      <c r="I1898" s="108" t="str">
        <f>IFERROR(VLOOKUP(H1898,LUTs!$A$1:$C$73,2,FALSE),"NA")</f>
        <v>Pierce</v>
      </c>
      <c r="J1898" s="108" t="str">
        <f>IFERROR(VLOOKUP(H1898,LUTs!$A$1:$C$73,3,FALSE),"NA")</f>
        <v>3South Puget Sound</v>
      </c>
      <c r="K1898" s="108" t="s">
        <v>26</v>
      </c>
      <c r="L1898" s="108" t="str">
        <f>VLOOKUP(K1898,LUTs!E$2:G$14,3,)</f>
        <v>20Other</v>
      </c>
      <c r="M1898" s="108" t="str">
        <f>VLOOKUP($K1898,LUTs!$E$2:$H$14,2,)</f>
        <v>Non Puget Sound</v>
      </c>
      <c r="N1898" s="108" t="str">
        <f>VLOOKUP($K1898,LUTs!$E$2:$H$14,4,)</f>
        <v>07Non Puget Sound</v>
      </c>
      <c r="O1898" s="108">
        <v>86.692307692307693</v>
      </c>
      <c r="P1898" s="108">
        <v>749.88846153846202</v>
      </c>
      <c r="Q1898" s="108">
        <f>SUMIFS('FW_Salmon_by_Month_2010-2021'!P$2:P$3810,'FW_Salmon_by_Month_2010-2021'!$B$2:$B$3810,'Rec_raw_catch_effort_2010-2021'!$B1898,'FW_Salmon_by_Month_2010-2021'!$H$2:$H$3810,'Rec_raw_catch_effort_2010-2021'!$F1898,'FW_Salmon_by_Month_2010-2021'!$M$2:$M$3810,'Rec_raw_catch_effort_2010-2021'!$K1898)</f>
        <v>86.331818181818207</v>
      </c>
      <c r="R1898" s="109">
        <f>VLOOKUP(B1898,Readme!$A$62:$C$74,2,)*Q1898</f>
        <v>416.08093769919179</v>
      </c>
      <c r="S1898" s="140" t="str">
        <f t="shared" si="157"/>
        <v>N</v>
      </c>
      <c r="T1898" s="154">
        <f t="shared" si="158"/>
        <v>8.6500000000000057</v>
      </c>
      <c r="U1898" s="154">
        <f t="shared" si="159"/>
        <v>4.8195549041132084</v>
      </c>
    </row>
    <row r="1899" spans="1:21" x14ac:dyDescent="0.35">
      <c r="A1899" s="108">
        <v>777</v>
      </c>
      <c r="B1899" s="108">
        <v>2020</v>
      </c>
      <c r="C1899" s="108" t="s">
        <v>38</v>
      </c>
      <c r="D1899" s="108" t="s">
        <v>143</v>
      </c>
      <c r="E1899" s="108" t="s">
        <v>10</v>
      </c>
      <c r="F1899" s="116">
        <v>802</v>
      </c>
      <c r="G1899" s="108" t="s">
        <v>53</v>
      </c>
      <c r="H1899" s="108" t="str">
        <f t="shared" si="160"/>
        <v>Carbon River</v>
      </c>
      <c r="I1899" s="108" t="str">
        <f>IFERROR(VLOOKUP(H1899,LUTs!$A$1:$C$73,2,FALSE),"NA")</f>
        <v>Pierce</v>
      </c>
      <c r="J1899" s="108" t="str">
        <f>IFERROR(VLOOKUP(H1899,LUTs!$A$1:$C$73,3,FALSE),"NA")</f>
        <v>3South Puget Sound</v>
      </c>
      <c r="K1899" s="108" t="s">
        <v>20</v>
      </c>
      <c r="L1899" s="108" t="str">
        <f>VLOOKUP(K1899,LUTs!E$2:G$14,3,)</f>
        <v>07Pierce</v>
      </c>
      <c r="M1899" s="108" t="str">
        <f>VLOOKUP($K1899,LUTs!$E$2:$H$14,2,)</f>
        <v>South Puget Sound</v>
      </c>
      <c r="N1899" s="108" t="str">
        <f>VLOOKUP($K1899,LUTs!$E$2:$H$14,4,)</f>
        <v>02South Puget Sound</v>
      </c>
      <c r="O1899" s="108">
        <v>780.23076923076906</v>
      </c>
      <c r="P1899" s="108">
        <v>6748.9961538461503</v>
      </c>
      <c r="Q1899" s="108">
        <f>SUMIFS('FW_Salmon_by_Month_2010-2021'!P$2:P$3810,'FW_Salmon_by_Month_2010-2021'!$B$2:$B$3810,'Rec_raw_catch_effort_2010-2021'!$B1899,'FW_Salmon_by_Month_2010-2021'!$H$2:$H$3810,'Rec_raw_catch_effort_2010-2021'!$F1899,'FW_Salmon_by_Month_2010-2021'!$M$2:$M$3810,'Rec_raw_catch_effort_2010-2021'!$K1899)</f>
        <v>780.45</v>
      </c>
      <c r="R1899" s="109">
        <f>VLOOKUP(B1899,Readme!$A$62:$C$74,2,)*Q1899</f>
        <v>3761.4216249151536</v>
      </c>
      <c r="S1899" s="140" t="str">
        <f t="shared" si="157"/>
        <v>N</v>
      </c>
      <c r="T1899" s="154">
        <f t="shared" si="158"/>
        <v>8.6499999999999968</v>
      </c>
      <c r="U1899" s="154">
        <f t="shared" si="159"/>
        <v>4.8195549041132084</v>
      </c>
    </row>
    <row r="1900" spans="1:21" x14ac:dyDescent="0.35">
      <c r="A1900" s="108">
        <v>878</v>
      </c>
      <c r="B1900" s="108">
        <v>2021</v>
      </c>
      <c r="C1900" s="108" t="s">
        <v>38</v>
      </c>
      <c r="D1900" s="108" t="s">
        <v>143</v>
      </c>
      <c r="E1900" s="108" t="s">
        <v>10</v>
      </c>
      <c r="F1900" s="116">
        <v>802</v>
      </c>
      <c r="G1900" s="108" t="s">
        <v>53</v>
      </c>
      <c r="H1900" s="108" t="str">
        <f t="shared" si="160"/>
        <v>Carbon River</v>
      </c>
      <c r="I1900" s="108" t="str">
        <f>IFERROR(VLOOKUP(H1900,LUTs!$A$1:$C$73,2,FALSE),"NA")</f>
        <v>Pierce</v>
      </c>
      <c r="J1900" s="108" t="str">
        <f>IFERROR(VLOOKUP(H1900,LUTs!$A$1:$C$73,3,FALSE),"NA")</f>
        <v>3South Puget Sound</v>
      </c>
      <c r="K1900" s="108" t="s">
        <v>18</v>
      </c>
      <c r="L1900" s="108" t="str">
        <f>VLOOKUP(K1900,LUTs!E$2:G$14,3,)</f>
        <v>06King</v>
      </c>
      <c r="M1900" s="108" t="str">
        <f>VLOOKUP($K1900,LUTs!$E$2:$H$14,2,)</f>
        <v>South Puget Sound</v>
      </c>
      <c r="N1900" s="108" t="str">
        <f>VLOOKUP($K1900,LUTs!$E$2:$H$14,4,)</f>
        <v>02South Puget Sound</v>
      </c>
      <c r="O1900" s="108">
        <v>644.81122448979602</v>
      </c>
      <c r="P1900" s="108">
        <v>2218.1506122449</v>
      </c>
      <c r="Q1900" s="108">
        <f>SUMIFS('FW_Salmon_by_Month_2010-2021'!P$2:P$3810,'FW_Salmon_by_Month_2010-2021'!$B$2:$B$3810,'Rec_raw_catch_effort_2010-2021'!$B1900,'FW_Salmon_by_Month_2010-2021'!$H$2:$H$3810,'Rec_raw_catch_effort_2010-2021'!$F1900,'FW_Salmon_by_Month_2010-2021'!$M$2:$M$3810,'Rec_raw_catch_effort_2010-2021'!$K1900)</f>
        <v>648.25</v>
      </c>
      <c r="R1900" s="109">
        <f>VLOOKUP(B1900,Readme!$A$62:$C$74,2,)*Q1900</f>
        <v>2294.1829650889508</v>
      </c>
      <c r="S1900" s="140" t="str">
        <f t="shared" si="157"/>
        <v>N</v>
      </c>
      <c r="T1900" s="154">
        <f t="shared" si="158"/>
        <v>3.4400000000000026</v>
      </c>
      <c r="U1900" s="154">
        <f t="shared" si="159"/>
        <v>3.5390404397824153</v>
      </c>
    </row>
    <row r="1901" spans="1:21" x14ac:dyDescent="0.35">
      <c r="A1901" s="108">
        <v>880</v>
      </c>
      <c r="B1901" s="108">
        <v>2021</v>
      </c>
      <c r="C1901" s="108" t="s">
        <v>38</v>
      </c>
      <c r="D1901" s="108" t="s">
        <v>143</v>
      </c>
      <c r="E1901" s="108" t="s">
        <v>10</v>
      </c>
      <c r="F1901" s="116">
        <v>802</v>
      </c>
      <c r="G1901" s="108" t="s">
        <v>53</v>
      </c>
      <c r="H1901" s="108" t="str">
        <f t="shared" si="160"/>
        <v>Carbon River</v>
      </c>
      <c r="I1901" s="108" t="str">
        <f>IFERROR(VLOOKUP(H1901,LUTs!$A$1:$C$73,2,FALSE),"NA")</f>
        <v>Pierce</v>
      </c>
      <c r="J1901" s="108" t="str">
        <f>IFERROR(VLOOKUP(H1901,LUTs!$A$1:$C$73,3,FALSE),"NA")</f>
        <v>3South Puget Sound</v>
      </c>
      <c r="K1901" s="108" t="s">
        <v>26</v>
      </c>
      <c r="L1901" s="108" t="str">
        <f>VLOOKUP(K1901,LUTs!E$2:G$14,3,)</f>
        <v>20Other</v>
      </c>
      <c r="M1901" s="108" t="str">
        <f>VLOOKUP($K1901,LUTs!$E$2:$H$14,2,)</f>
        <v>Non Puget Sound</v>
      </c>
      <c r="N1901" s="108" t="str">
        <f>VLOOKUP($K1901,LUTs!$E$2:$H$14,4,)</f>
        <v>07Non Puget Sound</v>
      </c>
      <c r="O1901" s="108">
        <v>164.632653061225</v>
      </c>
      <c r="P1901" s="108">
        <v>566.33632653061397</v>
      </c>
      <c r="Q1901" s="108">
        <f>SUMIFS('FW_Salmon_by_Month_2010-2021'!P$2:P$3810,'FW_Salmon_by_Month_2010-2021'!$B$2:$B$3810,'Rec_raw_catch_effort_2010-2021'!$B1901,'FW_Salmon_by_Month_2010-2021'!$H$2:$H$3810,'Rec_raw_catch_effort_2010-2021'!$F1901,'FW_Salmon_by_Month_2010-2021'!$M$2:$M$3810,'Rec_raw_catch_effort_2010-2021'!$K1901)</f>
        <v>172.15909090909099</v>
      </c>
      <c r="R1901" s="109">
        <f>VLOOKUP(B1901,Readme!$A$62:$C$74,2,)*Q1901</f>
        <v>609.27798480345018</v>
      </c>
      <c r="S1901" s="140" t="str">
        <f t="shared" si="157"/>
        <v>N</v>
      </c>
      <c r="T1901" s="154">
        <f t="shared" si="158"/>
        <v>3.44</v>
      </c>
      <c r="U1901" s="154">
        <f t="shared" si="159"/>
        <v>3.5390404397824153</v>
      </c>
    </row>
    <row r="1902" spans="1:21" x14ac:dyDescent="0.35">
      <c r="A1902" s="108">
        <v>879</v>
      </c>
      <c r="B1902" s="108">
        <v>2021</v>
      </c>
      <c r="C1902" s="108" t="s">
        <v>38</v>
      </c>
      <c r="D1902" s="108" t="s">
        <v>143</v>
      </c>
      <c r="E1902" s="108" t="s">
        <v>10</v>
      </c>
      <c r="F1902" s="116">
        <v>802</v>
      </c>
      <c r="G1902" s="108" t="s">
        <v>53</v>
      </c>
      <c r="H1902" s="108" t="str">
        <f t="shared" si="160"/>
        <v>Carbon River</v>
      </c>
      <c r="I1902" s="108" t="str">
        <f>IFERROR(VLOOKUP(H1902,LUTs!$A$1:$C$73,2,FALSE),"NA")</f>
        <v>Pierce</v>
      </c>
      <c r="J1902" s="108" t="str">
        <f>IFERROR(VLOOKUP(H1902,LUTs!$A$1:$C$73,3,FALSE),"NA")</f>
        <v>3South Puget Sound</v>
      </c>
      <c r="K1902" s="108" t="s">
        <v>20</v>
      </c>
      <c r="L1902" s="108" t="str">
        <f>VLOOKUP(K1902,LUTs!E$2:G$14,3,)</f>
        <v>07Pierce</v>
      </c>
      <c r="M1902" s="108" t="str">
        <f>VLOOKUP($K1902,LUTs!$E$2:$H$14,2,)</f>
        <v>South Puget Sound</v>
      </c>
      <c r="N1902" s="108" t="str">
        <f>VLOOKUP($K1902,LUTs!$E$2:$H$14,4,)</f>
        <v>02South Puget Sound</v>
      </c>
      <c r="O1902" s="108">
        <v>1769.80102040816</v>
      </c>
      <c r="P1902" s="108">
        <v>6088.1155102040702</v>
      </c>
      <c r="Q1902" s="108">
        <f>SUMIFS('FW_Salmon_by_Month_2010-2021'!P$2:P$3810,'FW_Salmon_by_Month_2010-2021'!$B$2:$B$3810,'Rec_raw_catch_effort_2010-2021'!$B1902,'FW_Salmon_by_Month_2010-2021'!$H$2:$H$3810,'Rec_raw_catch_effort_2010-2021'!$F1902,'FW_Salmon_by_Month_2010-2021'!$M$2:$M$3810,'Rec_raw_catch_effort_2010-2021'!$K1902)</f>
        <v>1785.8181818181799</v>
      </c>
      <c r="R1902" s="109">
        <f>VLOOKUP(B1902,Readme!$A$62:$C$74,2,)*Q1902</f>
        <v>6320.0827635532451</v>
      </c>
      <c r="S1902" s="140" t="str">
        <f t="shared" si="157"/>
        <v>N</v>
      </c>
      <c r="T1902" s="154">
        <f t="shared" si="158"/>
        <v>3.44</v>
      </c>
      <c r="U1902" s="154">
        <f t="shared" si="159"/>
        <v>3.5390404397824153</v>
      </c>
    </row>
    <row r="1903" spans="1:21" x14ac:dyDescent="0.35">
      <c r="A1903" s="108">
        <v>877</v>
      </c>
      <c r="B1903" s="108">
        <v>2021</v>
      </c>
      <c r="C1903" s="108" t="s">
        <v>38</v>
      </c>
      <c r="D1903" s="108" t="s">
        <v>143</v>
      </c>
      <c r="E1903" s="108" t="s">
        <v>10</v>
      </c>
      <c r="F1903" s="116">
        <v>802</v>
      </c>
      <c r="G1903" s="108" t="s">
        <v>53</v>
      </c>
      <c r="H1903" s="108" t="str">
        <f t="shared" si="160"/>
        <v>Carbon River</v>
      </c>
      <c r="I1903" s="108" t="str">
        <f>IFERROR(VLOOKUP(H1903,LUTs!$A$1:$C$73,2,FALSE),"NA")</f>
        <v>Pierce</v>
      </c>
      <c r="J1903" s="108" t="str">
        <f>IFERROR(VLOOKUP(H1903,LUTs!$A$1:$C$73,3,FALSE),"NA")</f>
        <v>3South Puget Sound</v>
      </c>
      <c r="K1903" s="108" t="s">
        <v>16</v>
      </c>
      <c r="L1903" s="108" t="str">
        <f>VLOOKUP(K1903,LUTs!E$2:G$14,3,)</f>
        <v>03Snohomish</v>
      </c>
      <c r="M1903" s="108" t="str">
        <f>VLOOKUP($K1903,LUTs!$E$2:$H$14,2,)</f>
        <v>North Puget Sound</v>
      </c>
      <c r="N1903" s="108" t="str">
        <f>VLOOKUP($K1903,LUTs!$E$2:$H$14,4,)</f>
        <v>01North Puget Sound</v>
      </c>
      <c r="O1903" s="108">
        <v>54.877551020408198</v>
      </c>
      <c r="P1903" s="108">
        <v>188.77877551020401</v>
      </c>
      <c r="Q1903" s="108">
        <f>SUMIFS('FW_Salmon_by_Month_2010-2021'!P$2:P$3810,'FW_Salmon_by_Month_2010-2021'!$B$2:$B$3810,'Rec_raw_catch_effort_2010-2021'!$B1903,'FW_Salmon_by_Month_2010-2021'!$H$2:$H$3810,'Rec_raw_catch_effort_2010-2021'!$F1903,'FW_Salmon_by_Month_2010-2021'!$M$2:$M$3810,'Rec_raw_catch_effort_2010-2021'!$K1903)</f>
        <v>27.590909090909101</v>
      </c>
      <c r="R1903" s="109">
        <f>VLOOKUP(B1903,Readme!$A$62:$C$74,2,)*Q1903</f>
        <v>97.645343043087578</v>
      </c>
      <c r="S1903" s="140" t="str">
        <f t="shared" si="157"/>
        <v>N</v>
      </c>
      <c r="T1903" s="154">
        <f t="shared" si="158"/>
        <v>3.4399999999999964</v>
      </c>
      <c r="U1903" s="154">
        <f t="shared" si="159"/>
        <v>3.5390404397824149</v>
      </c>
    </row>
    <row r="1904" spans="1:21" x14ac:dyDescent="0.35">
      <c r="A1904" s="108">
        <v>786</v>
      </c>
      <c r="B1904" s="108">
        <v>2021</v>
      </c>
      <c r="C1904" s="108" t="s">
        <v>38</v>
      </c>
      <c r="D1904" s="108" t="s">
        <v>143</v>
      </c>
      <c r="E1904" s="108" t="s">
        <v>10</v>
      </c>
      <c r="F1904" s="116">
        <v>802</v>
      </c>
      <c r="G1904" s="108" t="s">
        <v>53</v>
      </c>
      <c r="H1904" s="108" t="str">
        <f t="shared" si="160"/>
        <v>Carbon River</v>
      </c>
      <c r="I1904" s="108" t="str">
        <f>IFERROR(VLOOKUP(H1904,LUTs!$A$1:$C$73,2,FALSE),"NA")</f>
        <v>Pierce</v>
      </c>
      <c r="J1904" s="108" t="str">
        <f>IFERROR(VLOOKUP(H1904,LUTs!$A$1:$C$73,3,FALSE),"NA")</f>
        <v>3South Puget Sound</v>
      </c>
      <c r="K1904" s="108" t="s">
        <v>13</v>
      </c>
      <c r="L1904" s="108" t="str">
        <f>VLOOKUP(K1904,LUTs!E$2:G$14,3,)</f>
        <v>01Whatcom</v>
      </c>
      <c r="M1904" s="108" t="str">
        <f>VLOOKUP($K1904,LUTs!$E$2:$H$14,2,)</f>
        <v>North Puget Sound</v>
      </c>
      <c r="N1904" s="108" t="str">
        <f>VLOOKUP($K1904,LUTs!$E$2:$H$14,4,)</f>
        <v>01North Puget Sound</v>
      </c>
      <c r="O1904" s="108">
        <v>54.877551020408198</v>
      </c>
      <c r="P1904" s="108">
        <v>188.77877551020401</v>
      </c>
      <c r="Q1904" s="108">
        <f>SUMIFS('FW_Salmon_by_Month_2010-2021'!P$2:P$3810,'FW_Salmon_by_Month_2010-2021'!$B$2:$B$3810,'Rec_raw_catch_effort_2010-2021'!$B1904,'FW_Salmon_by_Month_2010-2021'!$H$2:$H$3810,'Rec_raw_catch_effort_2010-2021'!$F1904,'FW_Salmon_by_Month_2010-2021'!$M$2:$M$3810,'Rec_raw_catch_effort_2010-2021'!$K1904)</f>
        <v>55.181818181818201</v>
      </c>
      <c r="R1904" s="109">
        <f>VLOOKUP(B1904,Readme!$A$62:$C$74,2,)*Q1904</f>
        <v>195.29068608617516</v>
      </c>
      <c r="S1904" s="140" t="str">
        <f t="shared" si="157"/>
        <v>N</v>
      </c>
      <c r="T1904" s="154">
        <f t="shared" si="158"/>
        <v>3.4399999999999964</v>
      </c>
      <c r="U1904" s="154">
        <f t="shared" si="159"/>
        <v>3.5390404397824149</v>
      </c>
    </row>
    <row r="1905" spans="1:21" x14ac:dyDescent="0.35">
      <c r="A1905" s="108">
        <v>974</v>
      </c>
      <c r="B1905" s="108">
        <v>2010</v>
      </c>
      <c r="C1905" s="108" t="s">
        <v>38</v>
      </c>
      <c r="D1905" s="108" t="s">
        <v>143</v>
      </c>
      <c r="E1905" s="108" t="s">
        <v>10</v>
      </c>
      <c r="F1905" s="116">
        <v>804</v>
      </c>
      <c r="G1905" s="108" t="s">
        <v>54</v>
      </c>
      <c r="H1905" s="108" t="str">
        <f t="shared" si="160"/>
        <v>Puyallup River</v>
      </c>
      <c r="I1905" s="108" t="str">
        <f>IFERROR(VLOOKUP(H1905,LUTs!$A$1:$C$73,2,FALSE),"NA")</f>
        <v>Pierce</v>
      </c>
      <c r="J1905" s="108" t="str">
        <f>IFERROR(VLOOKUP(H1905,LUTs!$A$1:$C$73,3,FALSE),"NA")</f>
        <v>3South Puget Sound</v>
      </c>
      <c r="K1905" s="108" t="s">
        <v>18</v>
      </c>
      <c r="L1905" s="108" t="str">
        <f>VLOOKUP(K1905,LUTs!E$2:G$14,3,)</f>
        <v>06King</v>
      </c>
      <c r="M1905" s="108" t="str">
        <f>VLOOKUP($K1905,LUTs!$E$2:$H$14,2,)</f>
        <v>South Puget Sound</v>
      </c>
      <c r="N1905" s="108" t="str">
        <f>VLOOKUP($K1905,LUTs!$E$2:$H$14,4,)</f>
        <v>02South Puget Sound</v>
      </c>
      <c r="O1905" s="108">
        <v>244.73008849557499</v>
      </c>
      <c r="P1905" s="108">
        <v>2116.9152654867198</v>
      </c>
      <c r="Q1905" s="108">
        <f>SUMIFS('FW_Salmon_by_Month_2010-2021'!P$2:P$3810,'FW_Salmon_by_Month_2010-2021'!$B$2:$B$3810,'Rec_raw_catch_effort_2010-2021'!$B1905,'FW_Salmon_by_Month_2010-2021'!$H$2:$H$3810,'Rec_raw_catch_effort_2010-2021'!$F1905,'FW_Salmon_by_Month_2010-2021'!$M$2:$M$3810,'Rec_raw_catch_effort_2010-2021'!$K1905)</f>
        <v>251.23045361294771</v>
      </c>
      <c r="R1905" s="109">
        <f>VLOOKUP(B1905,Readme!$A$62:$C$74,2,)*Q1905</f>
        <v>1210.818964772868</v>
      </c>
      <c r="S1905" s="140" t="str">
        <f t="shared" si="157"/>
        <v>Y</v>
      </c>
      <c r="T1905" s="154">
        <f t="shared" si="158"/>
        <v>8.6499999999999844</v>
      </c>
      <c r="U1905" s="154">
        <f t="shared" si="159"/>
        <v>4.8195549041132084</v>
      </c>
    </row>
    <row r="1906" spans="1:21" x14ac:dyDescent="0.35">
      <c r="A1906" s="108">
        <v>977</v>
      </c>
      <c r="B1906" s="108">
        <v>2010</v>
      </c>
      <c r="C1906" s="108" t="s">
        <v>38</v>
      </c>
      <c r="D1906" s="108" t="s">
        <v>143</v>
      </c>
      <c r="E1906" s="108" t="s">
        <v>10</v>
      </c>
      <c r="F1906" s="116">
        <v>804</v>
      </c>
      <c r="G1906" s="108" t="s">
        <v>54</v>
      </c>
      <c r="H1906" s="108" t="str">
        <f t="shared" si="160"/>
        <v>Puyallup River</v>
      </c>
      <c r="I1906" s="108" t="str">
        <f>IFERROR(VLOOKUP(H1906,LUTs!$A$1:$C$73,2,FALSE),"NA")</f>
        <v>Pierce</v>
      </c>
      <c r="J1906" s="108" t="str">
        <f>IFERROR(VLOOKUP(H1906,LUTs!$A$1:$C$73,3,FALSE),"NA")</f>
        <v>3South Puget Sound</v>
      </c>
      <c r="K1906" s="108" t="s">
        <v>26</v>
      </c>
      <c r="L1906" s="108" t="str">
        <f>VLOOKUP(K1906,LUTs!E$2:G$14,3,)</f>
        <v>20Other</v>
      </c>
      <c r="M1906" s="108" t="str">
        <f>VLOOKUP($K1906,LUTs!$E$2:$H$14,2,)</f>
        <v>Non Puget Sound</v>
      </c>
      <c r="N1906" s="108" t="str">
        <f>VLOOKUP($K1906,LUTs!$E$2:$H$14,4,)</f>
        <v>07Non Puget Sound</v>
      </c>
      <c r="O1906" s="108">
        <v>23.876106194690301</v>
      </c>
      <c r="P1906" s="108">
        <v>206.528318584071</v>
      </c>
      <c r="Q1906" s="108">
        <f>SUMIFS('FW_Salmon_by_Month_2010-2021'!P$2:P$3810,'FW_Salmon_by_Month_2010-2021'!$B$2:$B$3810,'Rec_raw_catch_effort_2010-2021'!$B1906,'FW_Salmon_by_Month_2010-2021'!$H$2:$H$3810,'Rec_raw_catch_effort_2010-2021'!$F1906,'FW_Salmon_by_Month_2010-2021'!$M$2:$M$3810,'Rec_raw_catch_effort_2010-2021'!$K1906)</f>
        <v>24.43999016232172</v>
      </c>
      <c r="R1906" s="109">
        <f>VLOOKUP(B1906,Readme!$A$62:$C$74,2,)*Q1906</f>
        <v>117.78987444329621</v>
      </c>
      <c r="S1906" s="140" t="str">
        <f t="shared" si="157"/>
        <v>Y</v>
      </c>
      <c r="T1906" s="154">
        <f t="shared" si="158"/>
        <v>8.649999999999995</v>
      </c>
      <c r="U1906" s="154">
        <f t="shared" si="159"/>
        <v>4.8195549041132084</v>
      </c>
    </row>
    <row r="1907" spans="1:21" x14ac:dyDescent="0.35">
      <c r="A1907" s="108">
        <v>975</v>
      </c>
      <c r="B1907" s="108">
        <v>2010</v>
      </c>
      <c r="C1907" s="108" t="s">
        <v>38</v>
      </c>
      <c r="D1907" s="108" t="s">
        <v>143</v>
      </c>
      <c r="E1907" s="108" t="s">
        <v>10</v>
      </c>
      <c r="F1907" s="116">
        <v>804</v>
      </c>
      <c r="G1907" s="108" t="s">
        <v>54</v>
      </c>
      <c r="H1907" s="108" t="str">
        <f t="shared" si="160"/>
        <v>Puyallup River</v>
      </c>
      <c r="I1907" s="108" t="str">
        <f>IFERROR(VLOOKUP(H1907,LUTs!$A$1:$C$73,2,FALSE),"NA")</f>
        <v>Pierce</v>
      </c>
      <c r="J1907" s="108" t="str">
        <f>IFERROR(VLOOKUP(H1907,LUTs!$A$1:$C$73,3,FALSE),"NA")</f>
        <v>3South Puget Sound</v>
      </c>
      <c r="K1907" s="108" t="s">
        <v>20</v>
      </c>
      <c r="L1907" s="108" t="str">
        <f>VLOOKUP(K1907,LUTs!E$2:G$14,3,)</f>
        <v>07Pierce</v>
      </c>
      <c r="M1907" s="108" t="str">
        <f>VLOOKUP($K1907,LUTs!$E$2:$H$14,2,)</f>
        <v>South Puget Sound</v>
      </c>
      <c r="N1907" s="108" t="str">
        <f>VLOOKUP($K1907,LUTs!$E$2:$H$14,4,)</f>
        <v>02South Puget Sound</v>
      </c>
      <c r="O1907" s="108">
        <v>1056.5176991150399</v>
      </c>
      <c r="P1907" s="108">
        <v>9138.8780973450994</v>
      </c>
      <c r="Q1907" s="108">
        <f>SUMIFS('FW_Salmon_by_Month_2010-2021'!P$2:P$3810,'FW_Salmon_by_Month_2010-2021'!$B$2:$B$3810,'Rec_raw_catch_effort_2010-2021'!$B1907,'FW_Salmon_by_Month_2010-2021'!$H$2:$H$3810,'Rec_raw_catch_effort_2010-2021'!$F1907,'FW_Salmon_by_Month_2010-2021'!$M$2:$M$3810,'Rec_raw_catch_effort_2010-2021'!$K1907)</f>
        <v>1048.9183412714601</v>
      </c>
      <c r="R1907" s="109">
        <f>VLOOKUP(B1907,Readme!$A$62:$C$74,2,)*Q1907</f>
        <v>5055.3195356891574</v>
      </c>
      <c r="S1907" s="140" t="str">
        <f t="shared" si="157"/>
        <v>Y</v>
      </c>
      <c r="T1907" s="154">
        <f t="shared" si="158"/>
        <v>8.6500000000000039</v>
      </c>
      <c r="U1907" s="154">
        <f t="shared" si="159"/>
        <v>4.8195549041132084</v>
      </c>
    </row>
    <row r="1908" spans="1:21" x14ac:dyDescent="0.35">
      <c r="A1908" s="108">
        <v>976</v>
      </c>
      <c r="B1908" s="108">
        <v>2010</v>
      </c>
      <c r="C1908" s="108" t="s">
        <v>38</v>
      </c>
      <c r="D1908" s="108" t="s">
        <v>143</v>
      </c>
      <c r="E1908" s="108" t="s">
        <v>10</v>
      </c>
      <c r="F1908" s="116">
        <v>804</v>
      </c>
      <c r="G1908" s="108" t="s">
        <v>54</v>
      </c>
      <c r="H1908" s="108" t="str">
        <f t="shared" si="160"/>
        <v>Puyallup River</v>
      </c>
      <c r="I1908" s="108" t="str">
        <f>IFERROR(VLOOKUP(H1908,LUTs!$A$1:$C$73,2,FALSE),"NA")</f>
        <v>Pierce</v>
      </c>
      <c r="J1908" s="108" t="str">
        <f>IFERROR(VLOOKUP(H1908,LUTs!$A$1:$C$73,3,FALSE),"NA")</f>
        <v>3South Puget Sound</v>
      </c>
      <c r="K1908" s="108" t="s">
        <v>21</v>
      </c>
      <c r="L1908" s="108" t="str">
        <f>VLOOKUP(K1908,LUTs!E$2:G$14,3,)</f>
        <v>08Thurston</v>
      </c>
      <c r="M1908" s="108" t="str">
        <f>VLOOKUP($K1908,LUTs!$E$2:$H$14,2,)</f>
        <v>South Puget Sound</v>
      </c>
      <c r="N1908" s="108" t="str">
        <f>VLOOKUP($K1908,LUTs!$E$2:$H$14,4,)</f>
        <v>02South Puget Sound</v>
      </c>
      <c r="O1908" s="108">
        <v>23.876106194690301</v>
      </c>
      <c r="P1908" s="108">
        <v>206.528318584071</v>
      </c>
      <c r="Q1908" s="108">
        <f>SUMIFS('FW_Salmon_by_Month_2010-2021'!P$2:P$3810,'FW_Salmon_by_Month_2010-2021'!$B$2:$B$3810,'Rec_raw_catch_effort_2010-2021'!$B1908,'FW_Salmon_by_Month_2010-2021'!$H$2:$H$3810,'Rec_raw_catch_effort_2010-2021'!$F1908,'FW_Salmon_by_Month_2010-2021'!$M$2:$M$3810,'Rec_raw_catch_effort_2010-2021'!$K1908)</f>
        <v>24.411214953270999</v>
      </c>
      <c r="R1908" s="109">
        <f>VLOOKUP(B1908,Readme!$A$62:$C$74,2,)*Q1908</f>
        <v>117.65119074339893</v>
      </c>
      <c r="S1908" s="140" t="str">
        <f t="shared" si="157"/>
        <v>Y</v>
      </c>
      <c r="T1908" s="154">
        <f t="shared" si="158"/>
        <v>8.649999999999995</v>
      </c>
      <c r="U1908" s="154">
        <f t="shared" si="159"/>
        <v>4.8195549041132084</v>
      </c>
    </row>
    <row r="1909" spans="1:21" x14ac:dyDescent="0.35">
      <c r="A1909" s="108">
        <v>1082</v>
      </c>
      <c r="B1909" s="108">
        <v>2011</v>
      </c>
      <c r="C1909" s="108" t="s">
        <v>38</v>
      </c>
      <c r="D1909" s="108" t="s">
        <v>143</v>
      </c>
      <c r="E1909" s="108" t="s">
        <v>10</v>
      </c>
      <c r="F1909" s="116">
        <v>804</v>
      </c>
      <c r="G1909" s="108" t="s">
        <v>54</v>
      </c>
      <c r="H1909" s="108" t="str">
        <f t="shared" si="160"/>
        <v>Puyallup River</v>
      </c>
      <c r="I1909" s="108" t="str">
        <f>IFERROR(VLOOKUP(H1909,LUTs!$A$1:$C$73,2,FALSE),"NA")</f>
        <v>Pierce</v>
      </c>
      <c r="J1909" s="108" t="str">
        <f>IFERROR(VLOOKUP(H1909,LUTs!$A$1:$C$73,3,FALSE),"NA")</f>
        <v>3South Puget Sound</v>
      </c>
      <c r="K1909" s="108" t="s">
        <v>24</v>
      </c>
      <c r="L1909" s="108" t="str">
        <f>VLOOKUP(K1909,LUTs!E$2:G$14,3,)</f>
        <v>11Clallam</v>
      </c>
      <c r="M1909" s="108" t="str">
        <f>VLOOKUP($K1909,LUTs!$E$2:$H$14,2,)</f>
        <v>Strait of Juan de Fuca</v>
      </c>
      <c r="N1909" s="108" t="str">
        <f>VLOOKUP($K1909,LUTs!$E$2:$H$14,4,)</f>
        <v>03Strait of Juan de Fuca</v>
      </c>
      <c r="O1909" s="108">
        <v>79.238223709059497</v>
      </c>
      <c r="P1909" s="108">
        <v>272.57948955916498</v>
      </c>
      <c r="Q1909" s="108">
        <f>SUMIFS('FW_Salmon_by_Month_2010-2021'!P$2:P$3810,'FW_Salmon_by_Month_2010-2021'!$B$2:$B$3810,'Rec_raw_catch_effort_2010-2021'!$B1909,'FW_Salmon_by_Month_2010-2021'!$H$2:$H$3810,'Rec_raw_catch_effort_2010-2021'!$F1909,'FW_Salmon_by_Month_2010-2021'!$M$2:$M$3810,'Rec_raw_catch_effort_2010-2021'!$K1909)</f>
        <v>75.632107023411393</v>
      </c>
      <c r="R1909" s="109">
        <f>VLOOKUP(B1909,Readme!$A$62:$C$74,2,)*Q1909</f>
        <v>267.66508530180454</v>
      </c>
      <c r="S1909" s="140" t="str">
        <f t="shared" si="157"/>
        <v>Y</v>
      </c>
      <c r="T1909" s="154">
        <f t="shared" si="158"/>
        <v>3.4400000000000039</v>
      </c>
      <c r="U1909" s="154">
        <f t="shared" si="159"/>
        <v>3.5390404397824149</v>
      </c>
    </row>
    <row r="1910" spans="1:21" x14ac:dyDescent="0.35">
      <c r="A1910" s="108">
        <v>1076</v>
      </c>
      <c r="B1910" s="108">
        <v>2011</v>
      </c>
      <c r="C1910" s="108" t="s">
        <v>38</v>
      </c>
      <c r="D1910" s="108" t="s">
        <v>143</v>
      </c>
      <c r="E1910" s="108" t="s">
        <v>10</v>
      </c>
      <c r="F1910" s="116">
        <v>804</v>
      </c>
      <c r="G1910" s="108" t="s">
        <v>54</v>
      </c>
      <c r="H1910" s="108" t="str">
        <f t="shared" si="160"/>
        <v>Puyallup River</v>
      </c>
      <c r="I1910" s="108" t="str">
        <f>IFERROR(VLOOKUP(H1910,LUTs!$A$1:$C$73,2,FALSE),"NA")</f>
        <v>Pierce</v>
      </c>
      <c r="J1910" s="108" t="str">
        <f>IFERROR(VLOOKUP(H1910,LUTs!$A$1:$C$73,3,FALSE),"NA")</f>
        <v>3South Puget Sound</v>
      </c>
      <c r="K1910" s="108" t="s">
        <v>17</v>
      </c>
      <c r="L1910" s="108" t="str">
        <f>VLOOKUP(K1910,LUTs!E$2:G$14,3,)</f>
        <v>04Island</v>
      </c>
      <c r="M1910" s="108" t="str">
        <f>VLOOKUP($K1910,LUTs!$E$2:$H$14,2,)</f>
        <v>North Puget Sound</v>
      </c>
      <c r="N1910" s="108" t="str">
        <f>VLOOKUP($K1910,LUTs!$E$2:$H$14,4,)</f>
        <v>01North Puget Sound</v>
      </c>
      <c r="O1910" s="108">
        <v>21.610424647925299</v>
      </c>
      <c r="P1910" s="108">
        <v>74.339860788863007</v>
      </c>
      <c r="Q1910" s="108">
        <f>SUMIFS('FW_Salmon_by_Month_2010-2021'!P$2:P$3810,'FW_Salmon_by_Month_2010-2021'!$B$2:$B$3810,'Rec_raw_catch_effort_2010-2021'!$B1910,'FW_Salmon_by_Month_2010-2021'!$H$2:$H$3810,'Rec_raw_catch_effort_2010-2021'!$F1910,'FW_Salmon_by_Month_2010-2021'!$M$2:$M$3810,'Rec_raw_catch_effort_2010-2021'!$K1910)</f>
        <v>15.129344026321199</v>
      </c>
      <c r="R1910" s="109">
        <f>VLOOKUP(B1910,Readme!$A$62:$C$74,2,)*Q1910</f>
        <v>53.543360336531236</v>
      </c>
      <c r="S1910" s="140" t="str">
        <f t="shared" si="157"/>
        <v>Y</v>
      </c>
      <c r="T1910" s="154">
        <f t="shared" si="158"/>
        <v>3.4399999999999991</v>
      </c>
      <c r="U1910" s="154">
        <f t="shared" si="159"/>
        <v>3.5390404397824153</v>
      </c>
    </row>
    <row r="1911" spans="1:21" x14ac:dyDescent="0.35">
      <c r="A1911" s="108">
        <v>1083</v>
      </c>
      <c r="B1911" s="108">
        <v>2011</v>
      </c>
      <c r="C1911" s="108" t="s">
        <v>38</v>
      </c>
      <c r="D1911" s="108" t="s">
        <v>143</v>
      </c>
      <c r="E1911" s="108" t="s">
        <v>10</v>
      </c>
      <c r="F1911" s="116">
        <v>804</v>
      </c>
      <c r="G1911" s="108" t="s">
        <v>54</v>
      </c>
      <c r="H1911" s="108" t="str">
        <f t="shared" si="160"/>
        <v>Puyallup River</v>
      </c>
      <c r="I1911" s="108" t="str">
        <f>IFERROR(VLOOKUP(H1911,LUTs!$A$1:$C$73,2,FALSE),"NA")</f>
        <v>Pierce</v>
      </c>
      <c r="J1911" s="108" t="str">
        <f>IFERROR(VLOOKUP(H1911,LUTs!$A$1:$C$73,3,FALSE),"NA")</f>
        <v>3South Puget Sound</v>
      </c>
      <c r="K1911" s="108" t="s">
        <v>25</v>
      </c>
      <c r="L1911" s="108" t="str">
        <f>VLOOKUP(K1911,LUTs!E$2:G$14,3,)</f>
        <v>12Jefferson</v>
      </c>
      <c r="M1911" s="108" t="str">
        <f>VLOOKUP($K1911,LUTs!$E$2:$H$14,2,)</f>
        <v>Strait of Juan de Fuca</v>
      </c>
      <c r="N1911" s="108" t="str">
        <f>VLOOKUP($K1911,LUTs!$E$2:$H$14,4,)</f>
        <v>03Strait of Juan de Fuca</v>
      </c>
      <c r="O1911" s="108">
        <v>7.20347488264178</v>
      </c>
      <c r="P1911" s="108">
        <v>24.779953596287701</v>
      </c>
      <c r="Q1911" s="108">
        <f>SUMIFS('FW_Salmon_by_Month_2010-2021'!P$2:P$3810,'FW_Salmon_by_Month_2010-2021'!$B$2:$B$3810,'Rec_raw_catch_effort_2010-2021'!$B1911,'FW_Salmon_by_Month_2010-2021'!$H$2:$H$3810,'Rec_raw_catch_effort_2010-2021'!$F1911,'FW_Salmon_by_Month_2010-2021'!$M$2:$M$3810,'Rec_raw_catch_effort_2010-2021'!$K1911)</f>
        <v>7.5632107023411397</v>
      </c>
      <c r="R1911" s="109">
        <f>VLOOKUP(B1911,Readme!$A$62:$C$74,2,)*Q1911</f>
        <v>26.766508530180456</v>
      </c>
      <c r="S1911" s="140" t="str">
        <f t="shared" si="157"/>
        <v>Y</v>
      </c>
      <c r="T1911" s="154">
        <f t="shared" si="158"/>
        <v>3.4399999999999968</v>
      </c>
      <c r="U1911" s="154">
        <f t="shared" si="159"/>
        <v>3.5390404397824153</v>
      </c>
    </row>
    <row r="1912" spans="1:21" x14ac:dyDescent="0.35">
      <c r="A1912" s="108">
        <v>1077</v>
      </c>
      <c r="B1912" s="108">
        <v>2011</v>
      </c>
      <c r="C1912" s="108" t="s">
        <v>38</v>
      </c>
      <c r="D1912" s="108" t="s">
        <v>143</v>
      </c>
      <c r="E1912" s="108" t="s">
        <v>10</v>
      </c>
      <c r="F1912" s="116">
        <v>804</v>
      </c>
      <c r="G1912" s="108" t="s">
        <v>54</v>
      </c>
      <c r="H1912" s="108" t="str">
        <f t="shared" si="160"/>
        <v>Puyallup River</v>
      </c>
      <c r="I1912" s="108" t="str">
        <f>IFERROR(VLOOKUP(H1912,LUTs!$A$1:$C$73,2,FALSE),"NA")</f>
        <v>Pierce</v>
      </c>
      <c r="J1912" s="108" t="str">
        <f>IFERROR(VLOOKUP(H1912,LUTs!$A$1:$C$73,3,FALSE),"NA")</f>
        <v>3South Puget Sound</v>
      </c>
      <c r="K1912" s="108" t="s">
        <v>18</v>
      </c>
      <c r="L1912" s="108" t="str">
        <f>VLOOKUP(K1912,LUTs!E$2:G$14,3,)</f>
        <v>06King</v>
      </c>
      <c r="M1912" s="108" t="str">
        <f>VLOOKUP($K1912,LUTs!$E$2:$H$14,2,)</f>
        <v>South Puget Sound</v>
      </c>
      <c r="N1912" s="108" t="str">
        <f>VLOOKUP($K1912,LUTs!$E$2:$H$14,4,)</f>
        <v>02South Puget Sound</v>
      </c>
      <c r="O1912" s="108">
        <v>41881.002967679298</v>
      </c>
      <c r="P1912" s="108">
        <v>144070.65020881701</v>
      </c>
      <c r="Q1912" s="108">
        <f>SUMIFS('FW_Salmon_by_Month_2010-2021'!P$2:P$3810,'FW_Salmon_by_Month_2010-2021'!$B$2:$B$3810,'Rec_raw_catch_effort_2010-2021'!$B1912,'FW_Salmon_by_Month_2010-2021'!$H$2:$H$3810,'Rec_raw_catch_effort_2010-2021'!$F1912,'FW_Salmon_by_Month_2010-2021'!$M$2:$M$3810,'Rec_raw_catch_effort_2010-2021'!$K1912)</f>
        <v>42380.307386197623</v>
      </c>
      <c r="R1912" s="109">
        <f>VLOOKUP(B1912,Readme!$A$62:$C$74,2,)*Q1912</f>
        <v>149985.62169016278</v>
      </c>
      <c r="S1912" s="140" t="str">
        <f t="shared" si="157"/>
        <v>Y</v>
      </c>
      <c r="T1912" s="154">
        <f t="shared" si="158"/>
        <v>3.4400000000000053</v>
      </c>
      <c r="U1912" s="154">
        <f t="shared" si="159"/>
        <v>3.5390404397824153</v>
      </c>
    </row>
    <row r="1913" spans="1:21" x14ac:dyDescent="0.35">
      <c r="A1913" s="108">
        <v>1081</v>
      </c>
      <c r="B1913" s="108">
        <v>2011</v>
      </c>
      <c r="C1913" s="108" t="s">
        <v>38</v>
      </c>
      <c r="D1913" s="108" t="s">
        <v>143</v>
      </c>
      <c r="E1913" s="108" t="s">
        <v>10</v>
      </c>
      <c r="F1913" s="116">
        <v>804</v>
      </c>
      <c r="G1913" s="108" t="s">
        <v>54</v>
      </c>
      <c r="H1913" s="108" t="str">
        <f t="shared" si="160"/>
        <v>Puyallup River</v>
      </c>
      <c r="I1913" s="108" t="str">
        <f>IFERROR(VLOOKUP(H1913,LUTs!$A$1:$C$73,2,FALSE),"NA")</f>
        <v>Pierce</v>
      </c>
      <c r="J1913" s="108" t="str">
        <f>IFERROR(VLOOKUP(H1913,LUTs!$A$1:$C$73,3,FALSE),"NA")</f>
        <v>3South Puget Sound</v>
      </c>
      <c r="K1913" s="108" t="s">
        <v>23</v>
      </c>
      <c r="L1913" s="108" t="str">
        <f>VLOOKUP(K1913,LUTs!E$2:G$14,3,)</f>
        <v>10Kitsap</v>
      </c>
      <c r="M1913" s="108" t="str">
        <f>VLOOKUP($K1913,LUTs!$E$2:$H$14,2,)</f>
        <v>South Puget Sound</v>
      </c>
      <c r="N1913" s="108" t="str">
        <f>VLOOKUP($K1913,LUTs!$E$2:$H$14,4,)</f>
        <v>02South Puget Sound</v>
      </c>
      <c r="O1913" s="108">
        <v>1707.2235471860999</v>
      </c>
      <c r="P1913" s="108">
        <v>5872.8490023201803</v>
      </c>
      <c r="Q1913" s="108">
        <f>SUMIFS('FW_Salmon_by_Month_2010-2021'!P$2:P$3810,'FW_Salmon_by_Month_2010-2021'!$B$2:$B$3810,'Rec_raw_catch_effort_2010-2021'!$B1913,'FW_Salmon_by_Month_2010-2021'!$H$2:$H$3810,'Rec_raw_catch_effort_2010-2021'!$F1913,'FW_Salmon_by_Month_2010-2021'!$M$2:$M$3810,'Rec_raw_catch_effort_2010-2021'!$K1913)</f>
        <v>1633.8449434230361</v>
      </c>
      <c r="R1913" s="109">
        <f>VLOOKUP(B1913,Readme!$A$62:$C$74,2,)*Q1913</f>
        <v>5782.2433271081372</v>
      </c>
      <c r="S1913" s="140" t="str">
        <f t="shared" si="157"/>
        <v>Y</v>
      </c>
      <c r="T1913" s="154">
        <f t="shared" si="158"/>
        <v>3.4399999999999977</v>
      </c>
      <c r="U1913" s="154">
        <f t="shared" si="159"/>
        <v>3.5390404397824153</v>
      </c>
    </row>
    <row r="1914" spans="1:21" x14ac:dyDescent="0.35">
      <c r="A1914" s="108">
        <v>1080</v>
      </c>
      <c r="B1914" s="108">
        <v>2011</v>
      </c>
      <c r="C1914" s="108" t="s">
        <v>38</v>
      </c>
      <c r="D1914" s="108" t="s">
        <v>143</v>
      </c>
      <c r="E1914" s="108" t="s">
        <v>10</v>
      </c>
      <c r="F1914" s="116">
        <v>804</v>
      </c>
      <c r="G1914" s="108" t="s">
        <v>54</v>
      </c>
      <c r="H1914" s="108" t="str">
        <f t="shared" si="160"/>
        <v>Puyallup River</v>
      </c>
      <c r="I1914" s="108" t="str">
        <f>IFERROR(VLOOKUP(H1914,LUTs!$A$1:$C$73,2,FALSE),"NA")</f>
        <v>Pierce</v>
      </c>
      <c r="J1914" s="108" t="str">
        <f>IFERROR(VLOOKUP(H1914,LUTs!$A$1:$C$73,3,FALSE),"NA")</f>
        <v>3South Puget Sound</v>
      </c>
      <c r="K1914" s="108" t="s">
        <v>22</v>
      </c>
      <c r="L1914" s="108" t="str">
        <f>VLOOKUP(K1914,LUTs!E$2:G$14,3,)</f>
        <v>09Mason</v>
      </c>
      <c r="M1914" s="108" t="str">
        <f>VLOOKUP($K1914,LUTs!$E$2:$H$14,2,)</f>
        <v>South Puget Sound</v>
      </c>
      <c r="N1914" s="108" t="str">
        <f>VLOOKUP($K1914,LUTs!$E$2:$H$14,4,)</f>
        <v>02South Puget Sound</v>
      </c>
      <c r="O1914" s="108">
        <v>475.42934225435698</v>
      </c>
      <c r="P1914" s="108">
        <v>1635.47693735499</v>
      </c>
      <c r="Q1914" s="108">
        <f>SUMIFS('FW_Salmon_by_Month_2010-2021'!P$2:P$3810,'FW_Salmon_by_Month_2010-2021'!$B$2:$B$3810,'Rec_raw_catch_effort_2010-2021'!$B1914,'FW_Salmon_by_Month_2010-2021'!$H$2:$H$3810,'Rec_raw_catch_effort_2010-2021'!$F1914,'FW_Salmon_by_Month_2010-2021'!$M$2:$M$3810,'Rec_raw_catch_effort_2010-2021'!$K1914)</f>
        <v>499.2245702909002</v>
      </c>
      <c r="R1914" s="109">
        <f>VLOOKUP(B1914,Readme!$A$62:$C$74,2,)*Q1914</f>
        <v>1766.7759427924948</v>
      </c>
      <c r="S1914" s="140" t="str">
        <f t="shared" si="157"/>
        <v>Y</v>
      </c>
      <c r="T1914" s="154">
        <f t="shared" si="158"/>
        <v>3.4400000000000044</v>
      </c>
      <c r="U1914" s="154">
        <f t="shared" si="159"/>
        <v>3.5390404397824153</v>
      </c>
    </row>
    <row r="1915" spans="1:21" x14ac:dyDescent="0.35">
      <c r="A1915" s="108">
        <v>1084</v>
      </c>
      <c r="B1915" s="108">
        <v>2011</v>
      </c>
      <c r="C1915" s="108" t="s">
        <v>38</v>
      </c>
      <c r="D1915" s="108" t="s">
        <v>143</v>
      </c>
      <c r="E1915" s="108" t="s">
        <v>10</v>
      </c>
      <c r="F1915" s="116">
        <v>804</v>
      </c>
      <c r="G1915" s="108" t="s">
        <v>54</v>
      </c>
      <c r="H1915" s="108" t="str">
        <f t="shared" si="160"/>
        <v>Puyallup River</v>
      </c>
      <c r="I1915" s="108" t="str">
        <f>IFERROR(VLOOKUP(H1915,LUTs!$A$1:$C$73,2,FALSE),"NA")</f>
        <v>Pierce</v>
      </c>
      <c r="J1915" s="108" t="str">
        <f>IFERROR(VLOOKUP(H1915,LUTs!$A$1:$C$73,3,FALSE),"NA")</f>
        <v>3South Puget Sound</v>
      </c>
      <c r="K1915" s="108" t="s">
        <v>26</v>
      </c>
      <c r="L1915" s="108" t="str">
        <f>VLOOKUP(K1915,LUTs!E$2:G$14,3,)</f>
        <v>20Other</v>
      </c>
      <c r="M1915" s="108" t="str">
        <f>VLOOKUP($K1915,LUTs!$E$2:$H$14,2,)</f>
        <v>Non Puget Sound</v>
      </c>
      <c r="N1915" s="108" t="str">
        <f>VLOOKUP($K1915,LUTs!$E$2:$H$14,4,)</f>
        <v>07Non Puget Sound</v>
      </c>
      <c r="O1915" s="108">
        <v>7498.8173528300904</v>
      </c>
      <c r="P1915" s="108">
        <v>25795.9316937355</v>
      </c>
      <c r="Q1915" s="108">
        <f>SUMIFS('FW_Salmon_by_Month_2010-2021'!P$2:P$3810,'FW_Salmon_by_Month_2010-2021'!$B$2:$B$3810,'Rec_raw_catch_effort_2010-2021'!$B1915,'FW_Salmon_by_Month_2010-2021'!$H$2:$H$3810,'Rec_raw_catch_effort_2010-2021'!$F1915,'FW_Salmon_by_Month_2010-2021'!$M$2:$M$3810,'Rec_raw_catch_effort_2010-2021'!$K1915)</f>
        <v>7571.559431409908</v>
      </c>
      <c r="R1915" s="109">
        <f>VLOOKUP(B1915,Readme!$A$62:$C$74,2,)*Q1915</f>
        <v>26796.055019975614</v>
      </c>
      <c r="S1915" s="140" t="str">
        <f t="shared" si="157"/>
        <v>Y</v>
      </c>
      <c r="T1915" s="154">
        <f t="shared" si="158"/>
        <v>3.4399999999999986</v>
      </c>
      <c r="U1915" s="154">
        <f t="shared" si="159"/>
        <v>3.5390404397824153</v>
      </c>
    </row>
    <row r="1916" spans="1:21" x14ac:dyDescent="0.35">
      <c r="A1916" s="108">
        <v>1078</v>
      </c>
      <c r="B1916" s="108">
        <v>2011</v>
      </c>
      <c r="C1916" s="108" t="s">
        <v>38</v>
      </c>
      <c r="D1916" s="108" t="s">
        <v>143</v>
      </c>
      <c r="E1916" s="108" t="s">
        <v>10</v>
      </c>
      <c r="F1916" s="116">
        <v>804</v>
      </c>
      <c r="G1916" s="108" t="s">
        <v>54</v>
      </c>
      <c r="H1916" s="108" t="str">
        <f t="shared" si="160"/>
        <v>Puyallup River</v>
      </c>
      <c r="I1916" s="108" t="str">
        <f>IFERROR(VLOOKUP(H1916,LUTs!$A$1:$C$73,2,FALSE),"NA")</f>
        <v>Pierce</v>
      </c>
      <c r="J1916" s="108" t="str">
        <f>IFERROR(VLOOKUP(H1916,LUTs!$A$1:$C$73,3,FALSE),"NA")</f>
        <v>3South Puget Sound</v>
      </c>
      <c r="K1916" s="108" t="s">
        <v>20</v>
      </c>
      <c r="L1916" s="108" t="str">
        <f>VLOOKUP(K1916,LUTs!E$2:G$14,3,)</f>
        <v>07Pierce</v>
      </c>
      <c r="M1916" s="108" t="str">
        <f>VLOOKUP($K1916,LUTs!$E$2:$H$14,2,)</f>
        <v>South Puget Sound</v>
      </c>
      <c r="N1916" s="108" t="str">
        <f>VLOOKUP($K1916,LUTs!$E$2:$H$14,4,)</f>
        <v>02South Puget Sound</v>
      </c>
      <c r="O1916" s="108">
        <v>72589.416392381201</v>
      </c>
      <c r="P1916" s="108">
        <v>249707.59238979101</v>
      </c>
      <c r="Q1916" s="108">
        <f>SUMIFS('FW_Salmon_by_Month_2010-2021'!P$2:P$3810,'FW_Salmon_by_Month_2010-2021'!$B$2:$B$3810,'Rec_raw_catch_effort_2010-2021'!$B1916,'FW_Salmon_by_Month_2010-2021'!$H$2:$H$3810,'Rec_raw_catch_effort_2010-2021'!$F1916,'FW_Salmon_by_Month_2010-2021'!$M$2:$M$3810,'Rec_raw_catch_effort_2010-2021'!$K1916)</f>
        <v>71954.577523357686</v>
      </c>
      <c r="R1916" s="109">
        <f>VLOOKUP(B1916,Readme!$A$62:$C$74,2,)*Q1916</f>
        <v>254650.15968262168</v>
      </c>
      <c r="S1916" s="140" t="str">
        <f t="shared" si="157"/>
        <v>Y</v>
      </c>
      <c r="T1916" s="154">
        <f t="shared" si="158"/>
        <v>3.4399999999999955</v>
      </c>
      <c r="U1916" s="154">
        <f t="shared" si="159"/>
        <v>3.5390404397824153</v>
      </c>
    </row>
    <row r="1917" spans="1:21" x14ac:dyDescent="0.35">
      <c r="A1917" s="108">
        <v>1074</v>
      </c>
      <c r="B1917" s="108">
        <v>2011</v>
      </c>
      <c r="C1917" s="108" t="s">
        <v>38</v>
      </c>
      <c r="D1917" s="108" t="s">
        <v>143</v>
      </c>
      <c r="E1917" s="108" t="s">
        <v>10</v>
      </c>
      <c r="F1917" s="116">
        <v>804</v>
      </c>
      <c r="G1917" s="108" t="s">
        <v>54</v>
      </c>
      <c r="H1917" s="108" t="str">
        <f t="shared" si="160"/>
        <v>Puyallup River</v>
      </c>
      <c r="I1917" s="108" t="str">
        <f>IFERROR(VLOOKUP(H1917,LUTs!$A$1:$C$73,2,FALSE),"NA")</f>
        <v>Pierce</v>
      </c>
      <c r="J1917" s="108" t="str">
        <f>IFERROR(VLOOKUP(H1917,LUTs!$A$1:$C$73,3,FALSE),"NA")</f>
        <v>3South Puget Sound</v>
      </c>
      <c r="K1917" s="108" t="s">
        <v>15</v>
      </c>
      <c r="L1917" s="108" t="str">
        <f>VLOOKUP(K1917,LUTs!E$2:G$14,3,)</f>
        <v>02Skagit</v>
      </c>
      <c r="M1917" s="108" t="str">
        <f>VLOOKUP($K1917,LUTs!$E$2:$H$14,2,)</f>
        <v>North Puget Sound</v>
      </c>
      <c r="N1917" s="108" t="str">
        <f>VLOOKUP($K1917,LUTs!$E$2:$H$14,4,)</f>
        <v>01North Puget Sound</v>
      </c>
      <c r="O1917" s="108">
        <v>14.406949765283599</v>
      </c>
      <c r="P1917" s="108">
        <v>49.559907192575601</v>
      </c>
      <c r="Q1917" s="108">
        <f>SUMIFS('FW_Salmon_by_Month_2010-2021'!P$2:P$3810,'FW_Salmon_by_Month_2010-2021'!$B$2:$B$3810,'Rec_raw_catch_effort_2010-2021'!$B1917,'FW_Salmon_by_Month_2010-2021'!$H$2:$H$3810,'Rec_raw_catch_effort_2010-2021'!$F1917,'FW_Salmon_by_Month_2010-2021'!$M$2:$M$3810,'Rec_raw_catch_effort_2010-2021'!$K1917)</f>
        <v>15.129344026321199</v>
      </c>
      <c r="R1917" s="109">
        <f>VLOOKUP(B1917,Readme!$A$62:$C$74,2,)*Q1917</f>
        <v>53.543360336531236</v>
      </c>
      <c r="S1917" s="140" t="str">
        <f t="shared" si="157"/>
        <v>Y</v>
      </c>
      <c r="T1917" s="154">
        <f t="shared" si="158"/>
        <v>3.4400000000000013</v>
      </c>
      <c r="U1917" s="154">
        <f t="shared" si="159"/>
        <v>3.5390404397824153</v>
      </c>
    </row>
    <row r="1918" spans="1:21" x14ac:dyDescent="0.35">
      <c r="A1918" s="108">
        <v>1075</v>
      </c>
      <c r="B1918" s="108">
        <v>2011</v>
      </c>
      <c r="C1918" s="108" t="s">
        <v>38</v>
      </c>
      <c r="D1918" s="108" t="s">
        <v>143</v>
      </c>
      <c r="E1918" s="108" t="s">
        <v>10</v>
      </c>
      <c r="F1918" s="116">
        <v>804</v>
      </c>
      <c r="G1918" s="108" t="s">
        <v>54</v>
      </c>
      <c r="H1918" s="108" t="str">
        <f t="shared" si="160"/>
        <v>Puyallup River</v>
      </c>
      <c r="I1918" s="108" t="str">
        <f>IFERROR(VLOOKUP(H1918,LUTs!$A$1:$C$73,2,FALSE),"NA")</f>
        <v>Pierce</v>
      </c>
      <c r="J1918" s="108" t="str">
        <f>IFERROR(VLOOKUP(H1918,LUTs!$A$1:$C$73,3,FALSE),"NA")</f>
        <v>3South Puget Sound</v>
      </c>
      <c r="K1918" s="108" t="s">
        <v>16</v>
      </c>
      <c r="L1918" s="108" t="str">
        <f>VLOOKUP(K1918,LUTs!E$2:G$14,3,)</f>
        <v>03Snohomish</v>
      </c>
      <c r="M1918" s="108" t="str">
        <f>VLOOKUP($K1918,LUTs!$E$2:$H$14,2,)</f>
        <v>North Puget Sound</v>
      </c>
      <c r="N1918" s="108" t="str">
        <f>VLOOKUP($K1918,LUTs!$E$2:$H$14,4,)</f>
        <v>01North Puget Sound</v>
      </c>
      <c r="O1918" s="108">
        <v>1743.24092159931</v>
      </c>
      <c r="P1918" s="108">
        <v>5996.7487703016304</v>
      </c>
      <c r="Q1918" s="108">
        <f>SUMIFS('FW_Salmon_by_Month_2010-2021'!P$2:P$3810,'FW_Salmon_by_Month_2010-2021'!$B$2:$B$3810,'Rec_raw_catch_effort_2010-2021'!$B1918,'FW_Salmon_by_Month_2010-2021'!$H$2:$H$3810,'Rec_raw_catch_effort_2010-2021'!$F1918,'FW_Salmon_by_Month_2010-2021'!$M$2:$M$3810,'Rec_raw_catch_effort_2010-2021'!$K1918)</f>
        <v>1830.5294518806204</v>
      </c>
      <c r="R1918" s="109">
        <f>VLOOKUP(B1918,Readme!$A$62:$C$74,2,)*Q1918</f>
        <v>6478.3177564182542</v>
      </c>
      <c r="S1918" s="140" t="str">
        <f t="shared" si="157"/>
        <v>Y</v>
      </c>
      <c r="T1918" s="154">
        <f t="shared" si="158"/>
        <v>3.4400000000000022</v>
      </c>
      <c r="U1918" s="154">
        <f t="shared" si="159"/>
        <v>3.5390404397824153</v>
      </c>
    </row>
    <row r="1919" spans="1:21" x14ac:dyDescent="0.35">
      <c r="A1919" s="108">
        <v>1079</v>
      </c>
      <c r="B1919" s="108">
        <v>2011</v>
      </c>
      <c r="C1919" s="108" t="s">
        <v>38</v>
      </c>
      <c r="D1919" s="108" t="s">
        <v>143</v>
      </c>
      <c r="E1919" s="108" t="s">
        <v>10</v>
      </c>
      <c r="F1919" s="116">
        <v>804</v>
      </c>
      <c r="G1919" s="108" t="s">
        <v>54</v>
      </c>
      <c r="H1919" s="108" t="str">
        <f t="shared" si="160"/>
        <v>Puyallup River</v>
      </c>
      <c r="I1919" s="108" t="str">
        <f>IFERROR(VLOOKUP(H1919,LUTs!$A$1:$C$73,2,FALSE),"NA")</f>
        <v>Pierce</v>
      </c>
      <c r="J1919" s="108" t="str">
        <f>IFERROR(VLOOKUP(H1919,LUTs!$A$1:$C$73,3,FALSE),"NA")</f>
        <v>3South Puget Sound</v>
      </c>
      <c r="K1919" s="108" t="s">
        <v>21</v>
      </c>
      <c r="L1919" s="108" t="str">
        <f>VLOOKUP(K1919,LUTs!E$2:G$14,3,)</f>
        <v>08Thurston</v>
      </c>
      <c r="M1919" s="108" t="str">
        <f>VLOOKUP($K1919,LUTs!$E$2:$H$14,2,)</f>
        <v>South Puget Sound</v>
      </c>
      <c r="N1919" s="108" t="str">
        <f>VLOOKUP($K1919,LUTs!$E$2:$H$14,4,)</f>
        <v>02South Puget Sound</v>
      </c>
      <c r="O1919" s="108">
        <v>7412.3756542383899</v>
      </c>
      <c r="P1919" s="108">
        <v>25498.572250580099</v>
      </c>
      <c r="Q1919" s="108">
        <f>SUMIFS('FW_Salmon_by_Month_2010-2021'!P$2:P$3810,'FW_Salmon_by_Month_2010-2021'!$B$2:$B$3810,'Rec_raw_catch_effort_2010-2021'!$B1919,'FW_Salmon_by_Month_2010-2021'!$H$2:$H$3810,'Rec_raw_catch_effort_2010-2021'!$F1919,'FW_Salmon_by_Month_2010-2021'!$M$2:$M$3810,'Rec_raw_catch_effort_2010-2021'!$K1919)</f>
        <v>7442.993503841255</v>
      </c>
      <c r="R1919" s="109">
        <f>VLOOKUP(B1919,Readme!$A$62:$C$74,2,)*Q1919</f>
        <v>26341.055003132016</v>
      </c>
      <c r="S1919" s="140" t="str">
        <f t="shared" si="157"/>
        <v>Y</v>
      </c>
      <c r="T1919" s="154">
        <f t="shared" si="158"/>
        <v>3.4400000000000053</v>
      </c>
      <c r="U1919" s="154">
        <f t="shared" si="159"/>
        <v>3.5390404397824153</v>
      </c>
    </row>
    <row r="1920" spans="1:21" x14ac:dyDescent="0.35">
      <c r="A1920" s="108">
        <v>1073</v>
      </c>
      <c r="B1920" s="108">
        <v>2011</v>
      </c>
      <c r="C1920" s="108" t="s">
        <v>38</v>
      </c>
      <c r="D1920" s="108" t="s">
        <v>143</v>
      </c>
      <c r="E1920" s="108" t="s">
        <v>10</v>
      </c>
      <c r="F1920" s="116">
        <v>804</v>
      </c>
      <c r="G1920" s="108" t="s">
        <v>54</v>
      </c>
      <c r="H1920" s="108" t="str">
        <f t="shared" si="160"/>
        <v>Puyallup River</v>
      </c>
      <c r="I1920" s="108" t="str">
        <f>IFERROR(VLOOKUP(H1920,LUTs!$A$1:$C$73,2,FALSE),"NA")</f>
        <v>Pierce</v>
      </c>
      <c r="J1920" s="108" t="str">
        <f>IFERROR(VLOOKUP(H1920,LUTs!$A$1:$C$73,3,FALSE),"NA")</f>
        <v>3South Puget Sound</v>
      </c>
      <c r="K1920" s="108" t="s">
        <v>13</v>
      </c>
      <c r="L1920" s="108" t="str">
        <f>VLOOKUP(K1920,LUTs!E$2:G$14,3,)</f>
        <v>01Whatcom</v>
      </c>
      <c r="M1920" s="108" t="str">
        <f>VLOOKUP($K1920,LUTs!$E$2:$H$14,2,)</f>
        <v>North Puget Sound</v>
      </c>
      <c r="N1920" s="108" t="str">
        <f>VLOOKUP($K1920,LUTs!$E$2:$H$14,4,)</f>
        <v>01North Puget Sound</v>
      </c>
      <c r="O1920" s="108">
        <v>72.034748826417797</v>
      </c>
      <c r="P1920" s="108">
        <v>247.799535962877</v>
      </c>
      <c r="Q1920" s="108">
        <f>SUMIFS('FW_Salmon_by_Month_2010-2021'!P$2:P$3810,'FW_Salmon_by_Month_2010-2021'!$B$2:$B$3810,'Rec_raw_catch_effort_2010-2021'!$B1920,'FW_Salmon_by_Month_2010-2021'!$H$2:$H$3810,'Rec_raw_catch_effort_2010-2021'!$F1920,'FW_Salmon_by_Month_2010-2021'!$M$2:$M$3810,'Rec_raw_catch_effort_2010-2021'!$K1920)</f>
        <v>75.509183820592256</v>
      </c>
      <c r="R1920" s="109">
        <f>VLOOKUP(B1920,Readme!$A$62:$C$74,2,)*Q1920</f>
        <v>267.23005511604003</v>
      </c>
      <c r="S1920" s="140" t="str">
        <f t="shared" si="157"/>
        <v>Y</v>
      </c>
      <c r="T1920" s="154">
        <f t="shared" si="158"/>
        <v>3.4399999999999968</v>
      </c>
      <c r="U1920" s="154">
        <f t="shared" si="159"/>
        <v>3.5390404397824149</v>
      </c>
    </row>
    <row r="1921" spans="1:21" x14ac:dyDescent="0.35">
      <c r="A1921" s="108">
        <v>1156</v>
      </c>
      <c r="B1921" s="108">
        <v>2012</v>
      </c>
      <c r="C1921" s="108" t="s">
        <v>38</v>
      </c>
      <c r="D1921" s="108" t="s">
        <v>143</v>
      </c>
      <c r="E1921" s="108" t="s">
        <v>10</v>
      </c>
      <c r="F1921" s="116">
        <v>804</v>
      </c>
      <c r="G1921" s="108" t="s">
        <v>54</v>
      </c>
      <c r="H1921" s="108" t="str">
        <f t="shared" si="160"/>
        <v>Puyallup River</v>
      </c>
      <c r="I1921" s="108" t="str">
        <f>IFERROR(VLOOKUP(H1921,LUTs!$A$1:$C$73,2,FALSE),"NA")</f>
        <v>Pierce</v>
      </c>
      <c r="J1921" s="108" t="str">
        <f>IFERROR(VLOOKUP(H1921,LUTs!$A$1:$C$73,3,FALSE),"NA")</f>
        <v>3South Puget Sound</v>
      </c>
      <c r="K1921" s="108" t="s">
        <v>18</v>
      </c>
      <c r="L1921" s="108" t="str">
        <f>VLOOKUP(K1921,LUTs!E$2:G$14,3,)</f>
        <v>06King</v>
      </c>
      <c r="M1921" s="108" t="str">
        <f>VLOOKUP($K1921,LUTs!$E$2:$H$14,2,)</f>
        <v>South Puget Sound</v>
      </c>
      <c r="N1921" s="108" t="str">
        <f>VLOOKUP($K1921,LUTs!$E$2:$H$14,4,)</f>
        <v>02South Puget Sound</v>
      </c>
      <c r="O1921" s="108">
        <v>2863.61574074074</v>
      </c>
      <c r="P1921" s="108">
        <v>24770.276157407399</v>
      </c>
      <c r="Q1921" s="108">
        <f>SUMIFS('FW_Salmon_by_Month_2010-2021'!P$2:P$3810,'FW_Salmon_by_Month_2010-2021'!$B$2:$B$3810,'Rec_raw_catch_effort_2010-2021'!$B1921,'FW_Salmon_by_Month_2010-2021'!$H$2:$H$3810,'Rec_raw_catch_effort_2010-2021'!$F1921,'FW_Salmon_by_Month_2010-2021'!$M$2:$M$3810,'Rec_raw_catch_effort_2010-2021'!$K1921)</f>
        <v>2903.5316813164263</v>
      </c>
      <c r="R1921" s="109">
        <f>VLOOKUP(B1921,Readme!$A$62:$C$74,2,)*Q1921</f>
        <v>13993.730353936651</v>
      </c>
      <c r="S1921" s="140" t="str">
        <f t="shared" si="157"/>
        <v>Y</v>
      </c>
      <c r="T1921" s="154">
        <f t="shared" si="158"/>
        <v>8.65</v>
      </c>
      <c r="U1921" s="154">
        <f t="shared" si="159"/>
        <v>4.8195549041132084</v>
      </c>
    </row>
    <row r="1922" spans="1:21" x14ac:dyDescent="0.35">
      <c r="A1922" s="108">
        <v>1160</v>
      </c>
      <c r="B1922" s="108">
        <v>2012</v>
      </c>
      <c r="C1922" s="108" t="s">
        <v>38</v>
      </c>
      <c r="D1922" s="108" t="s">
        <v>143</v>
      </c>
      <c r="E1922" s="108" t="s">
        <v>10</v>
      </c>
      <c r="F1922" s="116">
        <v>804</v>
      </c>
      <c r="G1922" s="108" t="s">
        <v>54</v>
      </c>
      <c r="H1922" s="108" t="str">
        <f t="shared" si="160"/>
        <v>Puyallup River</v>
      </c>
      <c r="I1922" s="108" t="str">
        <f>IFERROR(VLOOKUP(H1922,LUTs!$A$1:$C$73,2,FALSE),"NA")</f>
        <v>Pierce</v>
      </c>
      <c r="J1922" s="108" t="str">
        <f>IFERROR(VLOOKUP(H1922,LUTs!$A$1:$C$73,3,FALSE),"NA")</f>
        <v>3South Puget Sound</v>
      </c>
      <c r="K1922" s="108" t="s">
        <v>23</v>
      </c>
      <c r="L1922" s="108" t="str">
        <f>VLOOKUP(K1922,LUTs!E$2:G$14,3,)</f>
        <v>10Kitsap</v>
      </c>
      <c r="M1922" s="108" t="str">
        <f>VLOOKUP($K1922,LUTs!$E$2:$H$14,2,)</f>
        <v>South Puget Sound</v>
      </c>
      <c r="N1922" s="108" t="str">
        <f>VLOOKUP($K1922,LUTs!$E$2:$H$14,4,)</f>
        <v>02South Puget Sound</v>
      </c>
      <c r="O1922" s="108">
        <v>141.06481481481501</v>
      </c>
      <c r="P1922" s="108">
        <v>1220.2106481481501</v>
      </c>
      <c r="Q1922" s="108">
        <f>SUMIFS('FW_Salmon_by_Month_2010-2021'!P$2:P$3810,'FW_Salmon_by_Month_2010-2021'!$B$2:$B$3810,'Rec_raw_catch_effort_2010-2021'!$B1922,'FW_Salmon_by_Month_2010-2021'!$H$2:$H$3810,'Rec_raw_catch_effort_2010-2021'!$F1922,'FW_Salmon_by_Month_2010-2021'!$M$2:$M$3810,'Rec_raw_catch_effort_2010-2021'!$K1922)</f>
        <v>144.74576271186399</v>
      </c>
      <c r="R1922" s="109">
        <f>VLOOKUP(B1922,Readme!$A$62:$C$74,2,)*Q1922</f>
        <v>697.61015052757091</v>
      </c>
      <c r="S1922" s="140" t="str">
        <f t="shared" si="157"/>
        <v>Y</v>
      </c>
      <c r="T1922" s="154">
        <f t="shared" si="158"/>
        <v>8.6500000000000021</v>
      </c>
      <c r="U1922" s="154">
        <f t="shared" si="159"/>
        <v>4.8195549041132084</v>
      </c>
    </row>
    <row r="1923" spans="1:21" x14ac:dyDescent="0.35">
      <c r="A1923" s="108">
        <v>1159</v>
      </c>
      <c r="B1923" s="108">
        <v>2012</v>
      </c>
      <c r="C1923" s="108" t="s">
        <v>38</v>
      </c>
      <c r="D1923" s="108" t="s">
        <v>143</v>
      </c>
      <c r="E1923" s="108" t="s">
        <v>10</v>
      </c>
      <c r="F1923" s="116">
        <v>804</v>
      </c>
      <c r="G1923" s="108" t="s">
        <v>54</v>
      </c>
      <c r="H1923" s="108" t="str">
        <f t="shared" si="160"/>
        <v>Puyallup River</v>
      </c>
      <c r="I1923" s="108" t="str">
        <f>IFERROR(VLOOKUP(H1923,LUTs!$A$1:$C$73,2,FALSE),"NA")</f>
        <v>Pierce</v>
      </c>
      <c r="J1923" s="108" t="str">
        <f>IFERROR(VLOOKUP(H1923,LUTs!$A$1:$C$73,3,FALSE),"NA")</f>
        <v>3South Puget Sound</v>
      </c>
      <c r="K1923" s="108" t="s">
        <v>22</v>
      </c>
      <c r="L1923" s="108" t="str">
        <f>VLOOKUP(K1923,LUTs!E$2:G$14,3,)</f>
        <v>09Mason</v>
      </c>
      <c r="M1923" s="108" t="str">
        <f>VLOOKUP($K1923,LUTs!$E$2:$H$14,2,)</f>
        <v>South Puget Sound</v>
      </c>
      <c r="N1923" s="108" t="str">
        <f>VLOOKUP($K1923,LUTs!$E$2:$H$14,4,)</f>
        <v>02South Puget Sound</v>
      </c>
      <c r="O1923" s="108">
        <v>21.1597222222222</v>
      </c>
      <c r="P1923" s="108">
        <v>183.03159722222199</v>
      </c>
      <c r="Q1923" s="108">
        <f>SUMIFS('FW_Salmon_by_Month_2010-2021'!P$2:P$3810,'FW_Salmon_by_Month_2010-2021'!$B$2:$B$3810,'Rec_raw_catch_effort_2010-2021'!$B1923,'FW_Salmon_by_Month_2010-2021'!$H$2:$H$3810,'Rec_raw_catch_effort_2010-2021'!$F1923,'FW_Salmon_by_Month_2010-2021'!$M$2:$M$3810,'Rec_raw_catch_effort_2010-2021'!$K1923)</f>
        <v>14.4745762711864</v>
      </c>
      <c r="R1923" s="109">
        <f>VLOOKUP(B1923,Readme!$A$62:$C$74,2,)*Q1923</f>
        <v>69.761015052757088</v>
      </c>
      <c r="S1923" s="140" t="str">
        <f t="shared" ref="S1923:S1986" si="161">IF(B1923&lt;=2019,"Y","N")</f>
        <v>Y</v>
      </c>
      <c r="T1923" s="154">
        <f t="shared" ref="T1923:T1986" si="162">IFERROR(P1923/O1923,"NA")</f>
        <v>8.6499999999999986</v>
      </c>
      <c r="U1923" s="154">
        <f t="shared" ref="U1923:U1986" si="163">IFERROR(R1923/Q1923,"NA")</f>
        <v>4.8195549041132084</v>
      </c>
    </row>
    <row r="1924" spans="1:21" x14ac:dyDescent="0.35">
      <c r="A1924" s="108">
        <v>1161</v>
      </c>
      <c r="B1924" s="108">
        <v>2012</v>
      </c>
      <c r="C1924" s="108" t="s">
        <v>38</v>
      </c>
      <c r="D1924" s="108" t="s">
        <v>143</v>
      </c>
      <c r="E1924" s="108" t="s">
        <v>10</v>
      </c>
      <c r="F1924" s="116">
        <v>804</v>
      </c>
      <c r="G1924" s="108" t="s">
        <v>54</v>
      </c>
      <c r="H1924" s="108" t="str">
        <f t="shared" si="160"/>
        <v>Puyallup River</v>
      </c>
      <c r="I1924" s="108" t="str">
        <f>IFERROR(VLOOKUP(H1924,LUTs!$A$1:$C$73,2,FALSE),"NA")</f>
        <v>Pierce</v>
      </c>
      <c r="J1924" s="108" t="str">
        <f>IFERROR(VLOOKUP(H1924,LUTs!$A$1:$C$73,3,FALSE),"NA")</f>
        <v>3South Puget Sound</v>
      </c>
      <c r="K1924" s="108" t="s">
        <v>26</v>
      </c>
      <c r="L1924" s="108" t="str">
        <f>VLOOKUP(K1924,LUTs!E$2:G$14,3,)</f>
        <v>20Other</v>
      </c>
      <c r="M1924" s="108" t="str">
        <f>VLOOKUP($K1924,LUTs!$E$2:$H$14,2,)</f>
        <v>Non Puget Sound</v>
      </c>
      <c r="N1924" s="108" t="str">
        <f>VLOOKUP($K1924,LUTs!$E$2:$H$14,4,)</f>
        <v>07Non Puget Sound</v>
      </c>
      <c r="O1924" s="108">
        <v>112.851851851852</v>
      </c>
      <c r="P1924" s="108">
        <v>976.16851851852005</v>
      </c>
      <c r="Q1924" s="108">
        <f>SUMIFS('FW_Salmon_by_Month_2010-2021'!P$2:P$3810,'FW_Salmon_by_Month_2010-2021'!$B$2:$B$3810,'Rec_raw_catch_effort_2010-2021'!$B1924,'FW_Salmon_by_Month_2010-2021'!$H$2:$H$3810,'Rec_raw_catch_effort_2010-2021'!$F1924,'FW_Salmon_by_Month_2010-2021'!$M$2:$M$3810,'Rec_raw_catch_effort_2010-2021'!$K1924)</f>
        <v>115.796610169492</v>
      </c>
      <c r="R1924" s="109">
        <f>VLOOKUP(B1924,Readme!$A$62:$C$74,2,)*Q1924</f>
        <v>558.08812042206057</v>
      </c>
      <c r="S1924" s="140" t="str">
        <f t="shared" si="161"/>
        <v>Y</v>
      </c>
      <c r="T1924" s="154">
        <f t="shared" si="162"/>
        <v>8.6500000000000021</v>
      </c>
      <c r="U1924" s="154">
        <f t="shared" si="163"/>
        <v>4.8195549041132084</v>
      </c>
    </row>
    <row r="1925" spans="1:21" x14ac:dyDescent="0.35">
      <c r="A1925" s="108">
        <v>1157</v>
      </c>
      <c r="B1925" s="108">
        <v>2012</v>
      </c>
      <c r="C1925" s="108" t="s">
        <v>38</v>
      </c>
      <c r="D1925" s="108" t="s">
        <v>143</v>
      </c>
      <c r="E1925" s="108" t="s">
        <v>10</v>
      </c>
      <c r="F1925" s="116">
        <v>804</v>
      </c>
      <c r="G1925" s="108" t="s">
        <v>54</v>
      </c>
      <c r="H1925" s="108" t="str">
        <f t="shared" si="160"/>
        <v>Puyallup River</v>
      </c>
      <c r="I1925" s="108" t="str">
        <f>IFERROR(VLOOKUP(H1925,LUTs!$A$1:$C$73,2,FALSE),"NA")</f>
        <v>Pierce</v>
      </c>
      <c r="J1925" s="108" t="str">
        <f>IFERROR(VLOOKUP(H1925,LUTs!$A$1:$C$73,3,FALSE),"NA")</f>
        <v>3South Puget Sound</v>
      </c>
      <c r="K1925" s="108" t="s">
        <v>20</v>
      </c>
      <c r="L1925" s="108" t="str">
        <f>VLOOKUP(K1925,LUTs!E$2:G$14,3,)</f>
        <v>07Pierce</v>
      </c>
      <c r="M1925" s="108" t="str">
        <f>VLOOKUP($K1925,LUTs!$E$2:$H$14,2,)</f>
        <v>South Puget Sound</v>
      </c>
      <c r="N1925" s="108" t="str">
        <f>VLOOKUP($K1925,LUTs!$E$2:$H$14,4,)</f>
        <v>02South Puget Sound</v>
      </c>
      <c r="O1925" s="108">
        <v>5762.4976851851898</v>
      </c>
      <c r="P1925" s="108">
        <v>49845.604976851901</v>
      </c>
      <c r="Q1925" s="108">
        <f>SUMIFS('FW_Salmon_by_Month_2010-2021'!P$2:P$3810,'FW_Salmon_by_Month_2010-2021'!$B$2:$B$3810,'Rec_raw_catch_effort_2010-2021'!$B1925,'FW_Salmon_by_Month_2010-2021'!$H$2:$H$3810,'Rec_raw_catch_effort_2010-2021'!$F1925,'FW_Salmon_by_Month_2010-2021'!$M$2:$M$3810,'Rec_raw_catch_effort_2010-2021'!$K1925)</f>
        <v>5717.1344041037892</v>
      </c>
      <c r="R1925" s="109">
        <f>VLOOKUP(B1925,Readme!$A$62:$C$74,2,)*Q1925</f>
        <v>27554.043154772764</v>
      </c>
      <c r="S1925" s="140" t="str">
        <f t="shared" si="161"/>
        <v>Y</v>
      </c>
      <c r="T1925" s="154">
        <f t="shared" si="162"/>
        <v>8.6500000000000021</v>
      </c>
      <c r="U1925" s="154">
        <f t="shared" si="163"/>
        <v>4.8195549041132084</v>
      </c>
    </row>
    <row r="1926" spans="1:21" x14ac:dyDescent="0.35">
      <c r="A1926" s="108">
        <v>1155</v>
      </c>
      <c r="B1926" s="108">
        <v>2012</v>
      </c>
      <c r="C1926" s="108" t="s">
        <v>38</v>
      </c>
      <c r="D1926" s="108" t="s">
        <v>143</v>
      </c>
      <c r="E1926" s="108" t="s">
        <v>10</v>
      </c>
      <c r="F1926" s="116">
        <v>804</v>
      </c>
      <c r="G1926" s="108" t="s">
        <v>54</v>
      </c>
      <c r="H1926" s="108" t="str">
        <f t="shared" si="160"/>
        <v>Puyallup River</v>
      </c>
      <c r="I1926" s="108" t="str">
        <f>IFERROR(VLOOKUP(H1926,LUTs!$A$1:$C$73,2,FALSE),"NA")</f>
        <v>Pierce</v>
      </c>
      <c r="J1926" s="108" t="str">
        <f>IFERROR(VLOOKUP(H1926,LUTs!$A$1:$C$73,3,FALSE),"NA")</f>
        <v>3South Puget Sound</v>
      </c>
      <c r="K1926" s="108" t="s">
        <v>16</v>
      </c>
      <c r="L1926" s="108" t="str">
        <f>VLOOKUP(K1926,LUTs!E$2:G$14,3,)</f>
        <v>03Snohomish</v>
      </c>
      <c r="M1926" s="108" t="str">
        <f>VLOOKUP($K1926,LUTs!$E$2:$H$14,2,)</f>
        <v>North Puget Sound</v>
      </c>
      <c r="N1926" s="108" t="str">
        <f>VLOOKUP($K1926,LUTs!$E$2:$H$14,4,)</f>
        <v>01North Puget Sound</v>
      </c>
      <c r="O1926" s="108">
        <v>35.266203703703702</v>
      </c>
      <c r="P1926" s="108">
        <v>305.05266203703701</v>
      </c>
      <c r="Q1926" s="108">
        <f>SUMIFS('FW_Salmon_by_Month_2010-2021'!P$2:P$3810,'FW_Salmon_by_Month_2010-2021'!$B$2:$B$3810,'Rec_raw_catch_effort_2010-2021'!$B1926,'FW_Salmon_by_Month_2010-2021'!$H$2:$H$3810,'Rec_raw_catch_effort_2010-2021'!$F1926,'FW_Salmon_by_Month_2010-2021'!$M$2:$M$3810,'Rec_raw_catch_effort_2010-2021'!$K1926)</f>
        <v>36.229152542372901</v>
      </c>
      <c r="R1926" s="109">
        <f>VLOOKUP(B1926,Readme!$A$62:$C$74,2,)*Q1926</f>
        <v>174.60838980745882</v>
      </c>
      <c r="S1926" s="140" t="str">
        <f t="shared" si="161"/>
        <v>Y</v>
      </c>
      <c r="T1926" s="154">
        <f t="shared" si="162"/>
        <v>8.65</v>
      </c>
      <c r="U1926" s="154">
        <f t="shared" si="163"/>
        <v>4.8195549041132084</v>
      </c>
    </row>
    <row r="1927" spans="1:21" x14ac:dyDescent="0.35">
      <c r="A1927" s="108">
        <v>1158</v>
      </c>
      <c r="B1927" s="108">
        <v>2012</v>
      </c>
      <c r="C1927" s="108" t="s">
        <v>38</v>
      </c>
      <c r="D1927" s="108" t="s">
        <v>143</v>
      </c>
      <c r="E1927" s="108" t="s">
        <v>10</v>
      </c>
      <c r="F1927" s="116">
        <v>804</v>
      </c>
      <c r="G1927" s="108" t="s">
        <v>54</v>
      </c>
      <c r="H1927" s="108" t="str">
        <f t="shared" si="160"/>
        <v>Puyallup River</v>
      </c>
      <c r="I1927" s="108" t="str">
        <f>IFERROR(VLOOKUP(H1927,LUTs!$A$1:$C$73,2,FALSE),"NA")</f>
        <v>Pierce</v>
      </c>
      <c r="J1927" s="108" t="str">
        <f>IFERROR(VLOOKUP(H1927,LUTs!$A$1:$C$73,3,FALSE),"NA")</f>
        <v>3South Puget Sound</v>
      </c>
      <c r="K1927" s="108" t="s">
        <v>21</v>
      </c>
      <c r="L1927" s="108" t="str">
        <f>VLOOKUP(K1927,LUTs!E$2:G$14,3,)</f>
        <v>08Thurston</v>
      </c>
      <c r="M1927" s="108" t="str">
        <f>VLOOKUP($K1927,LUTs!$E$2:$H$14,2,)</f>
        <v>South Puget Sound</v>
      </c>
      <c r="N1927" s="108" t="str">
        <f>VLOOKUP($K1927,LUTs!$E$2:$H$14,4,)</f>
        <v>02South Puget Sound</v>
      </c>
      <c r="O1927" s="108">
        <v>169.277777777778</v>
      </c>
      <c r="P1927" s="108">
        <v>1464.25277777778</v>
      </c>
      <c r="Q1927" s="108">
        <f>SUMIFS('FW_Salmon_by_Month_2010-2021'!P$2:P$3810,'FW_Salmon_by_Month_2010-2021'!$B$2:$B$3810,'Rec_raw_catch_effort_2010-2021'!$B1927,'FW_Salmon_by_Month_2010-2021'!$H$2:$H$3810,'Rec_raw_catch_effort_2010-2021'!$F1927,'FW_Salmon_by_Month_2010-2021'!$M$2:$M$3810,'Rec_raw_catch_effort_2010-2021'!$K1927)</f>
        <v>173.54458364038314</v>
      </c>
      <c r="R1927" s="109">
        <f>VLOOKUP(B1927,Readme!$A$62:$C$74,2,)*Q1927</f>
        <v>836.40764916629348</v>
      </c>
      <c r="S1927" s="140" t="str">
        <f t="shared" si="161"/>
        <v>Y</v>
      </c>
      <c r="T1927" s="154">
        <f t="shared" si="162"/>
        <v>8.6500000000000021</v>
      </c>
      <c r="U1927" s="154">
        <f t="shared" si="163"/>
        <v>4.8195549041132084</v>
      </c>
    </row>
    <row r="1928" spans="1:21" x14ac:dyDescent="0.35">
      <c r="A1928" s="108">
        <v>1154</v>
      </c>
      <c r="B1928" s="108">
        <v>2012</v>
      </c>
      <c r="C1928" s="108" t="s">
        <v>38</v>
      </c>
      <c r="D1928" s="108" t="s">
        <v>143</v>
      </c>
      <c r="E1928" s="108" t="s">
        <v>10</v>
      </c>
      <c r="F1928" s="116">
        <v>804</v>
      </c>
      <c r="G1928" s="108" t="s">
        <v>54</v>
      </c>
      <c r="H1928" s="108" t="str">
        <f t="shared" si="160"/>
        <v>Puyallup River</v>
      </c>
      <c r="I1928" s="108" t="str">
        <f>IFERROR(VLOOKUP(H1928,LUTs!$A$1:$C$73,2,FALSE),"NA")</f>
        <v>Pierce</v>
      </c>
      <c r="J1928" s="108" t="str">
        <f>IFERROR(VLOOKUP(H1928,LUTs!$A$1:$C$73,3,FALSE),"NA")</f>
        <v>3South Puget Sound</v>
      </c>
      <c r="K1928" s="108" t="s">
        <v>13</v>
      </c>
      <c r="L1928" s="108" t="str">
        <f>VLOOKUP(K1928,LUTs!E$2:G$14,3,)</f>
        <v>01Whatcom</v>
      </c>
      <c r="M1928" s="108" t="str">
        <f>VLOOKUP($K1928,LUTs!$E$2:$H$14,2,)</f>
        <v>North Puget Sound</v>
      </c>
      <c r="N1928" s="108" t="str">
        <f>VLOOKUP($K1928,LUTs!$E$2:$H$14,4,)</f>
        <v>01North Puget Sound</v>
      </c>
      <c r="O1928" s="108">
        <v>35.266203703703702</v>
      </c>
      <c r="P1928" s="108">
        <v>305.05266203703701</v>
      </c>
      <c r="Q1928" s="108">
        <f>SUMIFS('FW_Salmon_by_Month_2010-2021'!P$2:P$3810,'FW_Salmon_by_Month_2010-2021'!$B$2:$B$3810,'Rec_raw_catch_effort_2010-2021'!$B1928,'FW_Salmon_by_Month_2010-2021'!$H$2:$H$3810,'Rec_raw_catch_effort_2010-2021'!$F1928,'FW_Salmon_by_Month_2010-2021'!$M$2:$M$3810,'Rec_raw_catch_effort_2010-2021'!$K1928)</f>
        <v>35.543229244484301</v>
      </c>
      <c r="R1928" s="109">
        <f>VLOOKUP(B1928,Readme!$A$62:$C$74,2,)*Q1928</f>
        <v>171.30254481327432</v>
      </c>
      <c r="S1928" s="140" t="str">
        <f t="shared" si="161"/>
        <v>Y</v>
      </c>
      <c r="T1928" s="154">
        <f t="shared" si="162"/>
        <v>8.65</v>
      </c>
      <c r="U1928" s="154">
        <f t="shared" si="163"/>
        <v>4.8195549041132084</v>
      </c>
    </row>
    <row r="1929" spans="1:21" x14ac:dyDescent="0.35">
      <c r="A1929" s="108">
        <v>25</v>
      </c>
      <c r="B1929" s="108">
        <v>2013</v>
      </c>
      <c r="C1929" s="108" t="s">
        <v>38</v>
      </c>
      <c r="D1929" s="108" t="s">
        <v>143</v>
      </c>
      <c r="E1929" s="108" t="s">
        <v>10</v>
      </c>
      <c r="F1929" s="116">
        <v>804</v>
      </c>
      <c r="G1929" s="108" t="s">
        <v>54</v>
      </c>
      <c r="H1929" s="108" t="str">
        <f t="shared" si="160"/>
        <v>Puyallup River</v>
      </c>
      <c r="I1929" s="108" t="str">
        <f>IFERROR(VLOOKUP(H1929,LUTs!$A$1:$C$73,2,FALSE),"NA")</f>
        <v>Pierce</v>
      </c>
      <c r="J1929" s="108" t="str">
        <f>IFERROR(VLOOKUP(H1929,LUTs!$A$1:$C$73,3,FALSE),"NA")</f>
        <v>3South Puget Sound</v>
      </c>
      <c r="K1929" s="108" t="s">
        <v>17</v>
      </c>
      <c r="L1929" s="108" t="str">
        <f>VLOOKUP(K1929,LUTs!E$2:G$14,3,)</f>
        <v>04Island</v>
      </c>
      <c r="M1929" s="108" t="str">
        <f>VLOOKUP($K1929,LUTs!$E$2:$H$14,2,)</f>
        <v>North Puget Sound</v>
      </c>
      <c r="N1929" s="108" t="str">
        <f>VLOOKUP($K1929,LUTs!$E$2:$H$14,4,)</f>
        <v>01North Puget Sound</v>
      </c>
      <c r="O1929" s="108">
        <v>206.545281367451</v>
      </c>
      <c r="P1929" s="108">
        <v>710.51576790403101</v>
      </c>
      <c r="Q1929" s="108">
        <f>SUMIFS('FW_Salmon_by_Month_2010-2021'!P$2:P$3810,'FW_Salmon_by_Month_2010-2021'!$B$2:$B$3810,'Rec_raw_catch_effort_2010-2021'!$B1929,'FW_Salmon_by_Month_2010-2021'!$H$2:$H$3810,'Rec_raw_catch_effort_2010-2021'!$F1929,'FW_Salmon_by_Month_2010-2021'!$M$2:$M$3810,'Rec_raw_catch_effort_2010-2021'!$K1929)</f>
        <v>200.53808568431802</v>
      </c>
      <c r="R1929" s="109">
        <f>VLOOKUP(B1929,Readme!$A$62:$C$74,2,)*Q1929</f>
        <v>709.71239495335249</v>
      </c>
      <c r="S1929" s="140" t="str">
        <f t="shared" si="161"/>
        <v>Y</v>
      </c>
      <c r="T1929" s="154">
        <f t="shared" si="162"/>
        <v>3.4399999999999982</v>
      </c>
      <c r="U1929" s="154">
        <f t="shared" si="163"/>
        <v>3.5390404397824149</v>
      </c>
    </row>
    <row r="1930" spans="1:21" x14ac:dyDescent="0.35">
      <c r="A1930" s="108">
        <v>31</v>
      </c>
      <c r="B1930" s="108">
        <v>2013</v>
      </c>
      <c r="C1930" s="108" t="s">
        <v>38</v>
      </c>
      <c r="D1930" s="108" t="s">
        <v>143</v>
      </c>
      <c r="E1930" s="108" t="s">
        <v>10</v>
      </c>
      <c r="F1930" s="116">
        <v>804</v>
      </c>
      <c r="G1930" s="108" t="s">
        <v>54</v>
      </c>
      <c r="H1930" s="108" t="str">
        <f t="shared" si="160"/>
        <v>Puyallup River</v>
      </c>
      <c r="I1930" s="108" t="str">
        <f>IFERROR(VLOOKUP(H1930,LUTs!$A$1:$C$73,2,FALSE),"NA")</f>
        <v>Pierce</v>
      </c>
      <c r="J1930" s="108" t="str">
        <f>IFERROR(VLOOKUP(H1930,LUTs!$A$1:$C$73,3,FALSE),"NA")</f>
        <v>3South Puget Sound</v>
      </c>
      <c r="K1930" s="108" t="s">
        <v>25</v>
      </c>
      <c r="L1930" s="108" t="str">
        <f>VLOOKUP(K1930,LUTs!E$2:G$14,3,)</f>
        <v>12Jefferson</v>
      </c>
      <c r="M1930" s="108" t="str">
        <f>VLOOKUP($K1930,LUTs!$E$2:$H$14,2,)</f>
        <v>Strait of Juan de Fuca</v>
      </c>
      <c r="N1930" s="108" t="str">
        <f>VLOOKUP($K1930,LUTs!$E$2:$H$14,4,)</f>
        <v>03Strait of Juan de Fuca</v>
      </c>
      <c r="O1930" s="108">
        <v>44.901148123358901</v>
      </c>
      <c r="P1930" s="108">
        <v>154.459949544355</v>
      </c>
      <c r="Q1930" s="108">
        <f>SUMIFS('FW_Salmon_by_Month_2010-2021'!P$2:P$3810,'FW_Salmon_by_Month_2010-2021'!$B$2:$B$3810,'Rec_raw_catch_effort_2010-2021'!$B1930,'FW_Salmon_by_Month_2010-2021'!$H$2:$H$3810,'Rec_raw_catch_effort_2010-2021'!$F1930,'FW_Salmon_by_Month_2010-2021'!$M$2:$M$3810,'Rec_raw_catch_effort_2010-2021'!$K1930)</f>
        <v>45.584381087303001</v>
      </c>
      <c r="R1930" s="109">
        <f>VLOOKUP(B1930,Readme!$A$62:$C$74,2,)*Q1930</f>
        <v>161.32496809041803</v>
      </c>
      <c r="S1930" s="140" t="str">
        <f t="shared" si="161"/>
        <v>Y</v>
      </c>
      <c r="T1930" s="154">
        <f t="shared" si="162"/>
        <v>3.4400000000000084</v>
      </c>
      <c r="U1930" s="154">
        <f t="shared" si="163"/>
        <v>3.5390404397824153</v>
      </c>
    </row>
    <row r="1931" spans="1:21" x14ac:dyDescent="0.35">
      <c r="A1931" s="108">
        <v>26</v>
      </c>
      <c r="B1931" s="108">
        <v>2013</v>
      </c>
      <c r="C1931" s="108" t="s">
        <v>38</v>
      </c>
      <c r="D1931" s="108" t="s">
        <v>143</v>
      </c>
      <c r="E1931" s="108" t="s">
        <v>10</v>
      </c>
      <c r="F1931" s="116">
        <v>804</v>
      </c>
      <c r="G1931" s="108" t="s">
        <v>54</v>
      </c>
      <c r="H1931" s="108" t="str">
        <f t="shared" si="160"/>
        <v>Puyallup River</v>
      </c>
      <c r="I1931" s="108" t="str">
        <f>IFERROR(VLOOKUP(H1931,LUTs!$A$1:$C$73,2,FALSE),"NA")</f>
        <v>Pierce</v>
      </c>
      <c r="J1931" s="108" t="str">
        <f>IFERROR(VLOOKUP(H1931,LUTs!$A$1:$C$73,3,FALSE),"NA")</f>
        <v>3South Puget Sound</v>
      </c>
      <c r="K1931" s="108" t="s">
        <v>18</v>
      </c>
      <c r="L1931" s="108" t="str">
        <f>VLOOKUP(K1931,LUTs!E$2:G$14,3,)</f>
        <v>06King</v>
      </c>
      <c r="M1931" s="108" t="str">
        <f>VLOOKUP($K1931,LUTs!$E$2:$H$14,2,)</f>
        <v>South Puget Sound</v>
      </c>
      <c r="N1931" s="108" t="str">
        <f>VLOOKUP($K1931,LUTs!$E$2:$H$14,4,)</f>
        <v>02South Puget Sound</v>
      </c>
      <c r="O1931" s="108">
        <v>54797.361169747201</v>
      </c>
      <c r="P1931" s="108">
        <v>188502.92242392999</v>
      </c>
      <c r="Q1931" s="108">
        <f>SUMIFS('FW_Salmon_by_Month_2010-2021'!P$2:P$3810,'FW_Salmon_by_Month_2010-2021'!$B$2:$B$3810,'Rec_raw_catch_effort_2010-2021'!$B1931,'FW_Salmon_by_Month_2010-2021'!$H$2:$H$3810,'Rec_raw_catch_effort_2010-2021'!$F1931,'FW_Salmon_by_Month_2010-2021'!$M$2:$M$3810,'Rec_raw_catch_effort_2010-2021'!$K1931)</f>
        <v>55034.103521346515</v>
      </c>
      <c r="R1931" s="109">
        <f>VLOOKUP(B1931,Readme!$A$62:$C$74,2,)*Q1931</f>
        <v>194767.91792921713</v>
      </c>
      <c r="S1931" s="140" t="str">
        <f t="shared" si="161"/>
        <v>Y</v>
      </c>
      <c r="T1931" s="154">
        <f t="shared" si="162"/>
        <v>3.4399999999999933</v>
      </c>
      <c r="U1931" s="154">
        <f t="shared" si="163"/>
        <v>3.5390404397824153</v>
      </c>
    </row>
    <row r="1932" spans="1:21" x14ac:dyDescent="0.35">
      <c r="A1932" s="108">
        <v>30</v>
      </c>
      <c r="B1932" s="108">
        <v>2013</v>
      </c>
      <c r="C1932" s="108" t="s">
        <v>38</v>
      </c>
      <c r="D1932" s="108" t="s">
        <v>143</v>
      </c>
      <c r="E1932" s="108" t="s">
        <v>10</v>
      </c>
      <c r="F1932" s="116">
        <v>804</v>
      </c>
      <c r="G1932" s="108" t="s">
        <v>54</v>
      </c>
      <c r="H1932" s="108" t="str">
        <f t="shared" si="160"/>
        <v>Puyallup River</v>
      </c>
      <c r="I1932" s="108" t="str">
        <f>IFERROR(VLOOKUP(H1932,LUTs!$A$1:$C$73,2,FALSE),"NA")</f>
        <v>Pierce</v>
      </c>
      <c r="J1932" s="108" t="str">
        <f>IFERROR(VLOOKUP(H1932,LUTs!$A$1:$C$73,3,FALSE),"NA")</f>
        <v>3South Puget Sound</v>
      </c>
      <c r="K1932" s="108" t="s">
        <v>23</v>
      </c>
      <c r="L1932" s="108" t="str">
        <f>VLOOKUP(K1932,LUTs!E$2:G$14,3,)</f>
        <v>10Kitsap</v>
      </c>
      <c r="M1932" s="108" t="str">
        <f>VLOOKUP($K1932,LUTs!$E$2:$H$14,2,)</f>
        <v>South Puget Sound</v>
      </c>
      <c r="N1932" s="108" t="str">
        <f>VLOOKUP($K1932,LUTs!$E$2:$H$14,4,)</f>
        <v>02South Puget Sound</v>
      </c>
      <c r="O1932" s="108">
        <v>2496.5038356587602</v>
      </c>
      <c r="P1932" s="108">
        <v>8587.9731946661304</v>
      </c>
      <c r="Q1932" s="108">
        <f>SUMIFS('FW_Salmon_by_Month_2010-2021'!P$2:P$3810,'FW_Salmon_by_Month_2010-2021'!$B$2:$B$3810,'Rec_raw_catch_effort_2010-2021'!$B1932,'FW_Salmon_by_Month_2010-2021'!$H$2:$H$3810,'Rec_raw_catch_effort_2010-2021'!$F1932,'FW_Salmon_by_Month_2010-2021'!$M$2:$M$3810,'Rec_raw_catch_effort_2010-2021'!$K1932)</f>
        <v>2533.0054644002503</v>
      </c>
      <c r="R1932" s="109">
        <f>VLOOKUP(B1932,Readme!$A$62:$C$74,2,)*Q1932</f>
        <v>8964.4087727023234</v>
      </c>
      <c r="S1932" s="140" t="str">
        <f t="shared" si="161"/>
        <v>Y</v>
      </c>
      <c r="T1932" s="154">
        <f t="shared" si="162"/>
        <v>3.4399999999999982</v>
      </c>
      <c r="U1932" s="154">
        <f t="shared" si="163"/>
        <v>3.5390404397824153</v>
      </c>
    </row>
    <row r="1933" spans="1:21" x14ac:dyDescent="0.35">
      <c r="A1933" s="108">
        <v>29</v>
      </c>
      <c r="B1933" s="108">
        <v>2013</v>
      </c>
      <c r="C1933" s="108" t="s">
        <v>38</v>
      </c>
      <c r="D1933" s="108" t="s">
        <v>143</v>
      </c>
      <c r="E1933" s="108" t="s">
        <v>10</v>
      </c>
      <c r="F1933" s="116">
        <v>804</v>
      </c>
      <c r="G1933" s="108" t="s">
        <v>54</v>
      </c>
      <c r="H1933" s="108" t="str">
        <f t="shared" si="160"/>
        <v>Puyallup River</v>
      </c>
      <c r="I1933" s="108" t="str">
        <f>IFERROR(VLOOKUP(H1933,LUTs!$A$1:$C$73,2,FALSE),"NA")</f>
        <v>Pierce</v>
      </c>
      <c r="J1933" s="108" t="str">
        <f>IFERROR(VLOOKUP(H1933,LUTs!$A$1:$C$73,3,FALSE),"NA")</f>
        <v>3South Puget Sound</v>
      </c>
      <c r="K1933" s="108" t="s">
        <v>22</v>
      </c>
      <c r="L1933" s="108" t="str">
        <f>VLOOKUP(K1933,LUTs!E$2:G$14,3,)</f>
        <v>09Mason</v>
      </c>
      <c r="M1933" s="108" t="str">
        <f>VLOOKUP($K1933,LUTs!$E$2:$H$14,2,)</f>
        <v>South Puget Sound</v>
      </c>
      <c r="N1933" s="108" t="str">
        <f>VLOOKUP($K1933,LUTs!$E$2:$H$14,4,)</f>
        <v>02South Puget Sound</v>
      </c>
      <c r="O1933" s="108">
        <v>790.26020697111699</v>
      </c>
      <c r="P1933" s="108">
        <v>2718.4951119806401</v>
      </c>
      <c r="Q1933" s="108">
        <f>SUMIFS('FW_Salmon_by_Month_2010-2021'!P$2:P$3810,'FW_Salmon_by_Month_2010-2021'!$B$2:$B$3810,'Rec_raw_catch_effort_2010-2021'!$B1933,'FW_Salmon_by_Month_2010-2021'!$H$2:$H$3810,'Rec_raw_catch_effort_2010-2021'!$F1933,'FW_Salmon_by_Month_2010-2021'!$M$2:$M$3810,'Rec_raw_catch_effort_2010-2021'!$K1933)</f>
        <v>801.92355634165267</v>
      </c>
      <c r="R1933" s="109">
        <f>VLOOKUP(B1933,Readme!$A$62:$C$74,2,)*Q1933</f>
        <v>2838.039895507241</v>
      </c>
      <c r="S1933" s="140" t="str">
        <f t="shared" si="161"/>
        <v>Y</v>
      </c>
      <c r="T1933" s="154">
        <f t="shared" si="162"/>
        <v>3.4399999999999968</v>
      </c>
      <c r="U1933" s="154">
        <f t="shared" si="163"/>
        <v>3.5390404397824153</v>
      </c>
    </row>
    <row r="1934" spans="1:21" x14ac:dyDescent="0.35">
      <c r="A1934" s="108">
        <v>32</v>
      </c>
      <c r="B1934" s="108">
        <v>2013</v>
      </c>
      <c r="C1934" s="108" t="s">
        <v>38</v>
      </c>
      <c r="D1934" s="108" t="s">
        <v>143</v>
      </c>
      <c r="E1934" s="108" t="s">
        <v>10</v>
      </c>
      <c r="F1934" s="116">
        <v>804</v>
      </c>
      <c r="G1934" s="108" t="s">
        <v>54</v>
      </c>
      <c r="H1934" s="108" t="str">
        <f t="shared" si="160"/>
        <v>Puyallup River</v>
      </c>
      <c r="I1934" s="108" t="str">
        <f>IFERROR(VLOOKUP(H1934,LUTs!$A$1:$C$73,2,FALSE),"NA")</f>
        <v>Pierce</v>
      </c>
      <c r="J1934" s="108" t="str">
        <f>IFERROR(VLOOKUP(H1934,LUTs!$A$1:$C$73,3,FALSE),"NA")</f>
        <v>3South Puget Sound</v>
      </c>
      <c r="K1934" s="108" t="s">
        <v>26</v>
      </c>
      <c r="L1934" s="108" t="str">
        <f>VLOOKUP(K1934,LUTs!E$2:G$14,3,)</f>
        <v>20Other</v>
      </c>
      <c r="M1934" s="108" t="str">
        <f>VLOOKUP($K1934,LUTs!$E$2:$H$14,2,)</f>
        <v>Non Puget Sound</v>
      </c>
      <c r="N1934" s="108" t="str">
        <f>VLOOKUP($K1934,LUTs!$E$2:$H$14,4,)</f>
        <v>07Non Puget Sound</v>
      </c>
      <c r="O1934" s="108">
        <v>8647.9611285589308</v>
      </c>
      <c r="P1934" s="108">
        <v>29748.986282242699</v>
      </c>
      <c r="Q1934" s="108">
        <f>SUMIFS('FW_Salmon_by_Month_2010-2021'!P$2:P$3810,'FW_Salmon_by_Month_2010-2021'!$B$2:$B$3810,'Rec_raw_catch_effort_2010-2021'!$B1934,'FW_Salmon_by_Month_2010-2021'!$H$2:$H$3810,'Rec_raw_catch_effort_2010-2021'!$F1934,'FW_Salmon_by_Month_2010-2021'!$M$2:$M$3810,'Rec_raw_catch_effort_2010-2021'!$K1934)</f>
        <v>8648.7500908579132</v>
      </c>
      <c r="R1934" s="109">
        <f>VLOOKUP(B1934,Readme!$A$62:$C$74,2,)*Q1934</f>
        <v>30608.276325117993</v>
      </c>
      <c r="S1934" s="140" t="str">
        <f t="shared" si="161"/>
        <v>Y</v>
      </c>
      <c r="T1934" s="154">
        <f t="shared" si="162"/>
        <v>3.4399999999999973</v>
      </c>
      <c r="U1934" s="154">
        <f t="shared" si="163"/>
        <v>3.5390404397824153</v>
      </c>
    </row>
    <row r="1935" spans="1:21" x14ac:dyDescent="0.35">
      <c r="A1935" s="108">
        <v>27</v>
      </c>
      <c r="B1935" s="108">
        <v>2013</v>
      </c>
      <c r="C1935" s="108" t="s">
        <v>38</v>
      </c>
      <c r="D1935" s="108" t="s">
        <v>143</v>
      </c>
      <c r="E1935" s="108" t="s">
        <v>10</v>
      </c>
      <c r="F1935" s="116">
        <v>804</v>
      </c>
      <c r="G1935" s="108" t="s">
        <v>54</v>
      </c>
      <c r="H1935" s="108" t="str">
        <f t="shared" si="160"/>
        <v>Puyallup River</v>
      </c>
      <c r="I1935" s="108" t="str">
        <f>IFERROR(VLOOKUP(H1935,LUTs!$A$1:$C$73,2,FALSE),"NA")</f>
        <v>Pierce</v>
      </c>
      <c r="J1935" s="108" t="str">
        <f>IFERROR(VLOOKUP(H1935,LUTs!$A$1:$C$73,3,FALSE),"NA")</f>
        <v>3South Puget Sound</v>
      </c>
      <c r="K1935" s="108" t="s">
        <v>20</v>
      </c>
      <c r="L1935" s="108" t="str">
        <f>VLOOKUP(K1935,LUTs!E$2:G$14,3,)</f>
        <v>07Pierce</v>
      </c>
      <c r="M1935" s="108" t="str">
        <f>VLOOKUP($K1935,LUTs!$E$2:$H$14,2,)</f>
        <v>South Puget Sound</v>
      </c>
      <c r="N1935" s="108" t="str">
        <f>VLOOKUP($K1935,LUTs!$E$2:$H$14,4,)</f>
        <v>02South Puget Sound</v>
      </c>
      <c r="O1935" s="108">
        <v>96932.598568707195</v>
      </c>
      <c r="P1935" s="108">
        <v>333448.13907635299</v>
      </c>
      <c r="Q1935" s="108">
        <f>SUMIFS('FW_Salmon_by_Month_2010-2021'!P$2:P$3810,'FW_Salmon_by_Month_2010-2021'!$B$2:$B$3810,'Rec_raw_catch_effort_2010-2021'!$B1935,'FW_Salmon_by_Month_2010-2021'!$H$2:$H$3810,'Rec_raw_catch_effort_2010-2021'!$F1935,'FW_Salmon_by_Month_2010-2021'!$M$2:$M$3810,'Rec_raw_catch_effort_2010-2021'!$K1935)</f>
        <v>96633.269154634472</v>
      </c>
      <c r="R1935" s="109">
        <f>VLOOKUP(B1935,Readme!$A$62:$C$74,2,)*Q1935</f>
        <v>341989.04736663011</v>
      </c>
      <c r="S1935" s="140" t="str">
        <f t="shared" si="161"/>
        <v>Y</v>
      </c>
      <c r="T1935" s="154">
        <f t="shared" si="162"/>
        <v>3.4400000000000026</v>
      </c>
      <c r="U1935" s="154">
        <f t="shared" si="163"/>
        <v>3.5390404397824153</v>
      </c>
    </row>
    <row r="1936" spans="1:21" x14ac:dyDescent="0.35">
      <c r="A1936" s="108">
        <v>1173</v>
      </c>
      <c r="B1936" s="108">
        <v>2013</v>
      </c>
      <c r="C1936" s="108" t="s">
        <v>38</v>
      </c>
      <c r="D1936" s="108" t="s">
        <v>143</v>
      </c>
      <c r="E1936" s="108" t="s">
        <v>10</v>
      </c>
      <c r="F1936" s="116">
        <v>804</v>
      </c>
      <c r="G1936" s="108" t="s">
        <v>54</v>
      </c>
      <c r="H1936" s="108" t="str">
        <f t="shared" si="160"/>
        <v>Puyallup River</v>
      </c>
      <c r="I1936" s="108" t="str">
        <f>IFERROR(VLOOKUP(H1936,LUTs!$A$1:$C$73,2,FALSE),"NA")</f>
        <v>Pierce</v>
      </c>
      <c r="J1936" s="108" t="str">
        <f>IFERROR(VLOOKUP(H1936,LUTs!$A$1:$C$73,3,FALSE),"NA")</f>
        <v>3South Puget Sound</v>
      </c>
      <c r="K1936" s="108" t="s">
        <v>16</v>
      </c>
      <c r="L1936" s="108" t="str">
        <f>VLOOKUP(K1936,LUTs!E$2:G$14,3,)</f>
        <v>03Snohomish</v>
      </c>
      <c r="M1936" s="108" t="str">
        <f>VLOOKUP($K1936,LUTs!$E$2:$H$14,2,)</f>
        <v>North Puget Sound</v>
      </c>
      <c r="N1936" s="108" t="str">
        <f>VLOOKUP($K1936,LUTs!$E$2:$H$14,4,)</f>
        <v>01North Puget Sound</v>
      </c>
      <c r="O1936" s="108">
        <v>2128.3144210472101</v>
      </c>
      <c r="P1936" s="108">
        <v>7321.4016084023997</v>
      </c>
      <c r="Q1936" s="108">
        <f>SUMIFS('FW_Salmon_by_Month_2010-2021'!P$2:P$3810,'FW_Salmon_by_Month_2010-2021'!$B$2:$B$3810,'Rec_raw_catch_effort_2010-2021'!$B1936,'FW_Salmon_by_Month_2010-2021'!$H$2:$H$3810,'Rec_raw_catch_effort_2010-2021'!$F1936,'FW_Salmon_by_Month_2010-2021'!$M$2:$M$3810,'Rec_raw_catch_effort_2010-2021'!$K1936)</f>
        <v>2159.7144671815895</v>
      </c>
      <c r="R1936" s="109">
        <f>VLOOKUP(B1936,Readme!$A$62:$C$74,2,)*Q1936</f>
        <v>7643.3168377387774</v>
      </c>
      <c r="S1936" s="140" t="str">
        <f t="shared" si="161"/>
        <v>Y</v>
      </c>
      <c r="T1936" s="154">
        <f t="shared" si="162"/>
        <v>3.4399999999999986</v>
      </c>
      <c r="U1936" s="154">
        <f t="shared" si="163"/>
        <v>3.5390404397824153</v>
      </c>
    </row>
    <row r="1937" spans="1:21" x14ac:dyDescent="0.35">
      <c r="A1937" s="108">
        <v>28</v>
      </c>
      <c r="B1937" s="108">
        <v>2013</v>
      </c>
      <c r="C1937" s="108" t="s">
        <v>38</v>
      </c>
      <c r="D1937" s="108" t="s">
        <v>143</v>
      </c>
      <c r="E1937" s="108" t="s">
        <v>10</v>
      </c>
      <c r="F1937" s="116">
        <v>804</v>
      </c>
      <c r="G1937" s="108" t="s">
        <v>54</v>
      </c>
      <c r="H1937" s="108" t="str">
        <f t="shared" si="160"/>
        <v>Puyallup River</v>
      </c>
      <c r="I1937" s="108" t="str">
        <f>IFERROR(VLOOKUP(H1937,LUTs!$A$1:$C$73,2,FALSE),"NA")</f>
        <v>Pierce</v>
      </c>
      <c r="J1937" s="108" t="str">
        <f>IFERROR(VLOOKUP(H1937,LUTs!$A$1:$C$73,3,FALSE),"NA")</f>
        <v>3South Puget Sound</v>
      </c>
      <c r="K1937" s="108" t="s">
        <v>21</v>
      </c>
      <c r="L1937" s="108" t="str">
        <f>VLOOKUP(K1937,LUTs!E$2:G$14,3,)</f>
        <v>08Thurston</v>
      </c>
      <c r="M1937" s="108" t="str">
        <f>VLOOKUP($K1937,LUTs!$E$2:$H$14,2,)</f>
        <v>South Puget Sound</v>
      </c>
      <c r="N1937" s="108" t="str">
        <f>VLOOKUP($K1937,LUTs!$E$2:$H$14,4,)</f>
        <v>02South Puget Sound</v>
      </c>
      <c r="O1937" s="108">
        <v>8369.5740101940992</v>
      </c>
      <c r="P1937" s="108">
        <v>28791.334595067699</v>
      </c>
      <c r="Q1937" s="108">
        <f>SUMIFS('FW_Salmon_by_Month_2010-2021'!P$2:P$3810,'FW_Salmon_by_Month_2010-2021'!$B$2:$B$3810,'Rec_raw_catch_effort_2010-2021'!$B1937,'FW_Salmon_by_Month_2010-2021'!$H$2:$H$3810,'Rec_raw_catch_effort_2010-2021'!$F1937,'FW_Salmon_by_Month_2010-2021'!$M$2:$M$3810,'Rec_raw_catch_effort_2010-2021'!$K1937)</f>
        <v>8356.9944022485015</v>
      </c>
      <c r="R1937" s="109">
        <f>VLOOKUP(B1937,Readme!$A$62:$C$74,2,)*Q1937</f>
        <v>29575.741144592721</v>
      </c>
      <c r="S1937" s="140" t="str">
        <f t="shared" si="161"/>
        <v>Y</v>
      </c>
      <c r="T1937" s="154">
        <f t="shared" si="162"/>
        <v>3.44</v>
      </c>
      <c r="U1937" s="154">
        <f t="shared" si="163"/>
        <v>3.5390404397824153</v>
      </c>
    </row>
    <row r="1938" spans="1:21" x14ac:dyDescent="0.35">
      <c r="A1938" s="108">
        <v>1172</v>
      </c>
      <c r="B1938" s="108">
        <v>2013</v>
      </c>
      <c r="C1938" s="108" t="s">
        <v>38</v>
      </c>
      <c r="D1938" s="108" t="s">
        <v>143</v>
      </c>
      <c r="E1938" s="108" t="s">
        <v>10</v>
      </c>
      <c r="F1938" s="116">
        <v>804</v>
      </c>
      <c r="G1938" s="108" t="s">
        <v>54</v>
      </c>
      <c r="H1938" s="108" t="str">
        <f t="shared" si="160"/>
        <v>Puyallup River</v>
      </c>
      <c r="I1938" s="108" t="str">
        <f>IFERROR(VLOOKUP(H1938,LUTs!$A$1:$C$73,2,FALSE),"NA")</f>
        <v>Pierce</v>
      </c>
      <c r="J1938" s="108" t="str">
        <f>IFERROR(VLOOKUP(H1938,LUTs!$A$1:$C$73,3,FALSE),"NA")</f>
        <v>3South Puget Sound</v>
      </c>
      <c r="K1938" s="108" t="s">
        <v>13</v>
      </c>
      <c r="L1938" s="108" t="str">
        <f>VLOOKUP(K1938,LUTs!E$2:G$14,3,)</f>
        <v>01Whatcom</v>
      </c>
      <c r="M1938" s="108" t="str">
        <f>VLOOKUP($K1938,LUTs!$E$2:$H$14,2,)</f>
        <v>North Puget Sound</v>
      </c>
      <c r="N1938" s="108" t="str">
        <f>VLOOKUP($K1938,LUTs!$E$2:$H$14,4,)</f>
        <v>01North Puget Sound</v>
      </c>
      <c r="O1938" s="108">
        <v>8.9802296246717805</v>
      </c>
      <c r="P1938" s="108">
        <v>30.891989908870901</v>
      </c>
      <c r="Q1938" s="108">
        <f>SUMIFS('FW_Salmon_by_Month_2010-2021'!P$2:P$3810,'FW_Salmon_by_Month_2010-2021'!$B$2:$B$3810,'Rec_raw_catch_effort_2010-2021'!$B1938,'FW_Salmon_by_Month_2010-2021'!$H$2:$H$3810,'Rec_raw_catch_effort_2010-2021'!$F1938,'FW_Salmon_by_Month_2010-2021'!$M$2:$M$3810,'Rec_raw_catch_effort_2010-2021'!$K1938)</f>
        <v>9.1168762174606002</v>
      </c>
      <c r="R1938" s="109">
        <f>VLOOKUP(B1938,Readme!$A$62:$C$74,2,)*Q1938</f>
        <v>32.264993618083608</v>
      </c>
      <c r="S1938" s="140" t="str">
        <f t="shared" si="161"/>
        <v>Y</v>
      </c>
      <c r="T1938" s="154">
        <f t="shared" si="162"/>
        <v>3.4399999999999973</v>
      </c>
      <c r="U1938" s="154">
        <f t="shared" si="163"/>
        <v>3.5390404397824158</v>
      </c>
    </row>
    <row r="1939" spans="1:21" x14ac:dyDescent="0.35">
      <c r="A1939" s="108">
        <v>136</v>
      </c>
      <c r="B1939" s="108">
        <v>2014</v>
      </c>
      <c r="C1939" s="108" t="s">
        <v>38</v>
      </c>
      <c r="D1939" s="108" t="s">
        <v>143</v>
      </c>
      <c r="E1939" s="108" t="s">
        <v>10</v>
      </c>
      <c r="F1939" s="116">
        <v>804</v>
      </c>
      <c r="G1939" s="108" t="s">
        <v>54</v>
      </c>
      <c r="H1939" s="108" t="str">
        <f t="shared" si="160"/>
        <v>Puyallup River</v>
      </c>
      <c r="I1939" s="108" t="str">
        <f>IFERROR(VLOOKUP(H1939,LUTs!$A$1:$C$73,2,FALSE),"NA")</f>
        <v>Pierce</v>
      </c>
      <c r="J1939" s="108" t="str">
        <f>IFERROR(VLOOKUP(H1939,LUTs!$A$1:$C$73,3,FALSE),"NA")</f>
        <v>3South Puget Sound</v>
      </c>
      <c r="K1939" s="108" t="s">
        <v>18</v>
      </c>
      <c r="L1939" s="108" t="str">
        <f>VLOOKUP(K1939,LUTs!E$2:G$14,3,)</f>
        <v>06King</v>
      </c>
      <c r="M1939" s="108" t="str">
        <f>VLOOKUP($K1939,LUTs!$E$2:$H$14,2,)</f>
        <v>South Puget Sound</v>
      </c>
      <c r="N1939" s="108" t="str">
        <f>VLOOKUP($K1939,LUTs!$E$2:$H$14,4,)</f>
        <v>02South Puget Sound</v>
      </c>
      <c r="O1939" s="108">
        <v>1559.5516778523499</v>
      </c>
      <c r="P1939" s="108">
        <v>13490.122013422801</v>
      </c>
      <c r="Q1939" s="108">
        <f>SUMIFS('FW_Salmon_by_Month_2010-2021'!P$2:P$3810,'FW_Salmon_by_Month_2010-2021'!$B$2:$B$3810,'Rec_raw_catch_effort_2010-2021'!$B1939,'FW_Salmon_by_Month_2010-2021'!$H$2:$H$3810,'Rec_raw_catch_effort_2010-2021'!$F1939,'FW_Salmon_by_Month_2010-2021'!$M$2:$M$3810,'Rec_raw_catch_effort_2010-2021'!$K1939)</f>
        <v>1568.8315669250821</v>
      </c>
      <c r="R1939" s="109">
        <f>VLOOKUP(B1939,Readme!$A$62:$C$74,2,)*Q1939</f>
        <v>7561.0698721013887</v>
      </c>
      <c r="S1939" s="140" t="str">
        <f t="shared" si="161"/>
        <v>Y</v>
      </c>
      <c r="T1939" s="154">
        <f t="shared" si="162"/>
        <v>8.6499999999999826</v>
      </c>
      <c r="U1939" s="154">
        <f t="shared" si="163"/>
        <v>4.8195549041132084</v>
      </c>
    </row>
    <row r="1940" spans="1:21" x14ac:dyDescent="0.35">
      <c r="A1940" s="108">
        <v>139</v>
      </c>
      <c r="B1940" s="108">
        <v>2014</v>
      </c>
      <c r="C1940" s="108" t="s">
        <v>38</v>
      </c>
      <c r="D1940" s="108" t="s">
        <v>143</v>
      </c>
      <c r="E1940" s="108" t="s">
        <v>10</v>
      </c>
      <c r="F1940" s="116">
        <v>804</v>
      </c>
      <c r="G1940" s="108" t="s">
        <v>54</v>
      </c>
      <c r="H1940" s="108" t="str">
        <f t="shared" si="160"/>
        <v>Puyallup River</v>
      </c>
      <c r="I1940" s="108" t="str">
        <f>IFERROR(VLOOKUP(H1940,LUTs!$A$1:$C$73,2,FALSE),"NA")</f>
        <v>Pierce</v>
      </c>
      <c r="J1940" s="108" t="str">
        <f>IFERROR(VLOOKUP(H1940,LUTs!$A$1:$C$73,3,FALSE),"NA")</f>
        <v>3South Puget Sound</v>
      </c>
      <c r="K1940" s="108" t="s">
        <v>23</v>
      </c>
      <c r="L1940" s="108" t="str">
        <f>VLOOKUP(K1940,LUTs!E$2:G$14,3,)</f>
        <v>10Kitsap</v>
      </c>
      <c r="M1940" s="108" t="str">
        <f>VLOOKUP($K1940,LUTs!$E$2:$H$14,2,)</f>
        <v>South Puget Sound</v>
      </c>
      <c r="N1940" s="108" t="str">
        <f>VLOOKUP($K1940,LUTs!$E$2:$H$14,4,)</f>
        <v>02South Puget Sound</v>
      </c>
      <c r="O1940" s="108">
        <v>124.21208053691301</v>
      </c>
      <c r="P1940" s="108">
        <v>1074.4344966443</v>
      </c>
      <c r="Q1940" s="108">
        <f>SUMIFS('FW_Salmon_by_Month_2010-2021'!P$2:P$3810,'FW_Salmon_by_Month_2010-2021'!$B$2:$B$3810,'Rec_raw_catch_effort_2010-2021'!$B1940,'FW_Salmon_by_Month_2010-2021'!$H$2:$H$3810,'Rec_raw_catch_effort_2010-2021'!$F1940,'FW_Salmon_by_Month_2010-2021'!$M$2:$M$3810,'Rec_raw_catch_effort_2010-2021'!$K1940)</f>
        <v>125.76372637263731</v>
      </c>
      <c r="R1940" s="109">
        <f>VLOOKUP(B1940,Readme!$A$62:$C$74,2,)*Q1940</f>
        <v>606.12518419879575</v>
      </c>
      <c r="S1940" s="140" t="str">
        <f t="shared" si="161"/>
        <v>Y</v>
      </c>
      <c r="T1940" s="154">
        <f t="shared" si="162"/>
        <v>8.6500000000000199</v>
      </c>
      <c r="U1940" s="154">
        <f t="shared" si="163"/>
        <v>4.8195549041132084</v>
      </c>
    </row>
    <row r="1941" spans="1:21" x14ac:dyDescent="0.35">
      <c r="A1941" s="108">
        <v>140</v>
      </c>
      <c r="B1941" s="108">
        <v>2014</v>
      </c>
      <c r="C1941" s="108" t="s">
        <v>38</v>
      </c>
      <c r="D1941" s="108" t="s">
        <v>143</v>
      </c>
      <c r="E1941" s="108" t="s">
        <v>10</v>
      </c>
      <c r="F1941" s="116">
        <v>804</v>
      </c>
      <c r="G1941" s="108" t="s">
        <v>54</v>
      </c>
      <c r="H1941" s="108" t="str">
        <f t="shared" si="160"/>
        <v>Puyallup River</v>
      </c>
      <c r="I1941" s="108" t="str">
        <f>IFERROR(VLOOKUP(H1941,LUTs!$A$1:$C$73,2,FALSE),"NA")</f>
        <v>Pierce</v>
      </c>
      <c r="J1941" s="108" t="str">
        <f>IFERROR(VLOOKUP(H1941,LUTs!$A$1:$C$73,3,FALSE),"NA")</f>
        <v>3South Puget Sound</v>
      </c>
      <c r="K1941" s="108" t="s">
        <v>26</v>
      </c>
      <c r="L1941" s="108" t="str">
        <f>VLOOKUP(K1941,LUTs!E$2:G$14,3,)</f>
        <v>20Other</v>
      </c>
      <c r="M1941" s="108" t="str">
        <f>VLOOKUP($K1941,LUTs!$E$2:$H$14,2,)</f>
        <v>Non Puget Sound</v>
      </c>
      <c r="N1941" s="108" t="str">
        <f>VLOOKUP($K1941,LUTs!$E$2:$H$14,4,)</f>
        <v>07Non Puget Sound</v>
      </c>
      <c r="O1941" s="108">
        <v>138.01342281879201</v>
      </c>
      <c r="P1941" s="108">
        <v>1193.8161073825499</v>
      </c>
      <c r="Q1941" s="108">
        <f>SUMIFS('FW_Salmon_by_Month_2010-2021'!P$2:P$3810,'FW_Salmon_by_Month_2010-2021'!$B$2:$B$3810,'Rec_raw_catch_effort_2010-2021'!$B1941,'FW_Salmon_by_Month_2010-2021'!$H$2:$H$3810,'Rec_raw_catch_effort_2010-2021'!$F1941,'FW_Salmon_by_Month_2010-2021'!$M$2:$M$3810,'Rec_raw_catch_effort_2010-2021'!$K1941)</f>
        <v>140.03295143344133</v>
      </c>
      <c r="R1941" s="109">
        <f>VLOOKUP(B1941,Readme!$A$62:$C$74,2,)*Q1941</f>
        <v>674.89649781848891</v>
      </c>
      <c r="S1941" s="140" t="str">
        <f t="shared" si="161"/>
        <v>Y</v>
      </c>
      <c r="T1941" s="154">
        <f t="shared" si="162"/>
        <v>8.6499999999999932</v>
      </c>
      <c r="U1941" s="154">
        <f t="shared" si="163"/>
        <v>4.8195549041132084</v>
      </c>
    </row>
    <row r="1942" spans="1:21" x14ac:dyDescent="0.35">
      <c r="A1942" s="108">
        <v>137</v>
      </c>
      <c r="B1942" s="108">
        <v>2014</v>
      </c>
      <c r="C1942" s="108" t="s">
        <v>38</v>
      </c>
      <c r="D1942" s="108" t="s">
        <v>143</v>
      </c>
      <c r="E1942" s="108" t="s">
        <v>10</v>
      </c>
      <c r="F1942" s="116">
        <v>804</v>
      </c>
      <c r="G1942" s="108" t="s">
        <v>54</v>
      </c>
      <c r="H1942" s="108" t="str">
        <f t="shared" si="160"/>
        <v>Puyallup River</v>
      </c>
      <c r="I1942" s="108" t="str">
        <f>IFERROR(VLOOKUP(H1942,LUTs!$A$1:$C$73,2,FALSE),"NA")</f>
        <v>Pierce</v>
      </c>
      <c r="J1942" s="108" t="str">
        <f>IFERROR(VLOOKUP(H1942,LUTs!$A$1:$C$73,3,FALSE),"NA")</f>
        <v>3South Puget Sound</v>
      </c>
      <c r="K1942" s="108" t="s">
        <v>20</v>
      </c>
      <c r="L1942" s="108" t="str">
        <f>VLOOKUP(K1942,LUTs!E$2:G$14,3,)</f>
        <v>07Pierce</v>
      </c>
      <c r="M1942" s="108" t="str">
        <f>VLOOKUP($K1942,LUTs!$E$2:$H$14,2,)</f>
        <v>South Puget Sound</v>
      </c>
      <c r="N1942" s="108" t="str">
        <f>VLOOKUP($K1942,LUTs!$E$2:$H$14,4,)</f>
        <v>02South Puget Sound</v>
      </c>
      <c r="O1942" s="108">
        <v>3043.1959731543602</v>
      </c>
      <c r="P1942" s="108">
        <v>26323.645167785198</v>
      </c>
      <c r="Q1942" s="108">
        <f>SUMIFS('FW_Salmon_by_Month_2010-2021'!P$2:P$3810,'FW_Salmon_by_Month_2010-2021'!$B$2:$B$3810,'Rec_raw_catch_effort_2010-2021'!$B1942,'FW_Salmon_by_Month_2010-2021'!$H$2:$H$3810,'Rec_raw_catch_effort_2010-2021'!$F1942,'FW_Salmon_by_Month_2010-2021'!$M$2:$M$3810,'Rec_raw_catch_effort_2010-2021'!$K1942)</f>
        <v>3028.1389073759897</v>
      </c>
      <c r="R1942" s="109">
        <f>VLOOKUP(B1942,Readme!$A$62:$C$74,2,)*Q1942</f>
        <v>14594.281721379964</v>
      </c>
      <c r="S1942" s="140" t="str">
        <f t="shared" si="161"/>
        <v>Y</v>
      </c>
      <c r="T1942" s="154">
        <f t="shared" si="162"/>
        <v>8.649999999999995</v>
      </c>
      <c r="U1942" s="154">
        <f t="shared" si="163"/>
        <v>4.8195549041132084</v>
      </c>
    </row>
    <row r="1943" spans="1:21" x14ac:dyDescent="0.35">
      <c r="A1943" s="108">
        <v>135</v>
      </c>
      <c r="B1943" s="108">
        <v>2014</v>
      </c>
      <c r="C1943" s="108" t="s">
        <v>38</v>
      </c>
      <c r="D1943" s="108" t="s">
        <v>143</v>
      </c>
      <c r="E1943" s="108" t="s">
        <v>10</v>
      </c>
      <c r="F1943" s="116">
        <v>804</v>
      </c>
      <c r="G1943" s="108" t="s">
        <v>54</v>
      </c>
      <c r="H1943" s="108" t="str">
        <f t="shared" si="160"/>
        <v>Puyallup River</v>
      </c>
      <c r="I1943" s="108" t="str">
        <f>IFERROR(VLOOKUP(H1943,LUTs!$A$1:$C$73,2,FALSE),"NA")</f>
        <v>Pierce</v>
      </c>
      <c r="J1943" s="108" t="str">
        <f>IFERROR(VLOOKUP(H1943,LUTs!$A$1:$C$73,3,FALSE),"NA")</f>
        <v>3South Puget Sound</v>
      </c>
      <c r="K1943" s="108" t="s">
        <v>16</v>
      </c>
      <c r="L1943" s="108" t="str">
        <f>VLOOKUP(K1943,LUTs!E$2:G$14,3,)</f>
        <v>03Snohomish</v>
      </c>
      <c r="M1943" s="108" t="str">
        <f>VLOOKUP($K1943,LUTs!$E$2:$H$14,2,)</f>
        <v>North Puget Sound</v>
      </c>
      <c r="N1943" s="108" t="str">
        <f>VLOOKUP($K1943,LUTs!$E$2:$H$14,4,)</f>
        <v>01North Puget Sound</v>
      </c>
      <c r="O1943" s="108">
        <v>34.503355704698002</v>
      </c>
      <c r="P1943" s="108">
        <v>298.454026845638</v>
      </c>
      <c r="Q1943" s="108">
        <f>SUMIFS('FW_Salmon_by_Month_2010-2021'!P$2:P$3810,'FW_Salmon_by_Month_2010-2021'!$B$2:$B$3810,'Rec_raw_catch_effort_2010-2021'!$B1943,'FW_Salmon_by_Month_2010-2021'!$H$2:$H$3810,'Rec_raw_catch_effort_2010-2021'!$F1943,'FW_Salmon_by_Month_2010-2021'!$M$2:$M$3810,'Rec_raw_catch_effort_2010-2021'!$K1943)</f>
        <v>34.715909090909101</v>
      </c>
      <c r="R1943" s="109">
        <f>VLOOKUP(B1943,Readme!$A$62:$C$74,2,)*Q1943</f>
        <v>167.31522990983927</v>
      </c>
      <c r="S1943" s="140" t="str">
        <f t="shared" si="161"/>
        <v>Y</v>
      </c>
      <c r="T1943" s="154">
        <f t="shared" si="162"/>
        <v>8.6500000000000075</v>
      </c>
      <c r="U1943" s="154">
        <f t="shared" si="163"/>
        <v>4.8195549041132084</v>
      </c>
    </row>
    <row r="1944" spans="1:21" x14ac:dyDescent="0.35">
      <c r="A1944" s="108">
        <v>138</v>
      </c>
      <c r="B1944" s="108">
        <v>2014</v>
      </c>
      <c r="C1944" s="108" t="s">
        <v>38</v>
      </c>
      <c r="D1944" s="108" t="s">
        <v>143</v>
      </c>
      <c r="E1944" s="108" t="s">
        <v>10</v>
      </c>
      <c r="F1944" s="116">
        <v>804</v>
      </c>
      <c r="G1944" s="108" t="s">
        <v>54</v>
      </c>
      <c r="H1944" s="108" t="str">
        <f t="shared" si="160"/>
        <v>Puyallup River</v>
      </c>
      <c r="I1944" s="108" t="str">
        <f>IFERROR(VLOOKUP(H1944,LUTs!$A$1:$C$73,2,FALSE),"NA")</f>
        <v>Pierce</v>
      </c>
      <c r="J1944" s="108" t="str">
        <f>IFERROR(VLOOKUP(H1944,LUTs!$A$1:$C$73,3,FALSE),"NA")</f>
        <v>3South Puget Sound</v>
      </c>
      <c r="K1944" s="108" t="s">
        <v>21</v>
      </c>
      <c r="L1944" s="108" t="str">
        <f>VLOOKUP(K1944,LUTs!E$2:G$14,3,)</f>
        <v>08Thurston</v>
      </c>
      <c r="M1944" s="108" t="str">
        <f>VLOOKUP($K1944,LUTs!$E$2:$H$14,2,)</f>
        <v>South Puget Sound</v>
      </c>
      <c r="N1944" s="108" t="str">
        <f>VLOOKUP($K1944,LUTs!$E$2:$H$14,4,)</f>
        <v>02South Puget Sound</v>
      </c>
      <c r="O1944" s="108">
        <v>213.920805369128</v>
      </c>
      <c r="P1944" s="108">
        <v>1850.4149664429599</v>
      </c>
      <c r="Q1944" s="108">
        <f>SUMIFS('FW_Salmon_by_Month_2010-2021'!P$2:P$3810,'FW_Salmon_by_Month_2010-2021'!$B$2:$B$3810,'Rec_raw_catch_effort_2010-2021'!$B1944,'FW_Salmon_by_Month_2010-2021'!$H$2:$H$3810,'Rec_raw_catch_effort_2010-2021'!$F1944,'FW_Salmon_by_Month_2010-2021'!$M$2:$M$3810,'Rec_raw_catch_effort_2010-2021'!$K1944)</f>
        <v>215.74421152921568</v>
      </c>
      <c r="R1944" s="109">
        <f>VLOOKUP(B1944,Readme!$A$62:$C$74,2,)*Q1944</f>
        <v>1039.7910727096687</v>
      </c>
      <c r="S1944" s="140" t="str">
        <f t="shared" si="161"/>
        <v>Y</v>
      </c>
      <c r="T1944" s="154">
        <f t="shared" si="162"/>
        <v>8.6500000000000128</v>
      </c>
      <c r="U1944" s="154">
        <f t="shared" si="163"/>
        <v>4.8195549041132075</v>
      </c>
    </row>
    <row r="1945" spans="1:21" x14ac:dyDescent="0.35">
      <c r="A1945" s="108">
        <v>134</v>
      </c>
      <c r="B1945" s="108">
        <v>2014</v>
      </c>
      <c r="C1945" s="108" t="s">
        <v>38</v>
      </c>
      <c r="D1945" s="108" t="s">
        <v>143</v>
      </c>
      <c r="E1945" s="108" t="s">
        <v>10</v>
      </c>
      <c r="F1945" s="116">
        <v>804</v>
      </c>
      <c r="G1945" s="108" t="s">
        <v>54</v>
      </c>
      <c r="H1945" s="108" t="str">
        <f t="shared" si="160"/>
        <v>Puyallup River</v>
      </c>
      <c r="I1945" s="108" t="str">
        <f>IFERROR(VLOOKUP(H1945,LUTs!$A$1:$C$73,2,FALSE),"NA")</f>
        <v>Pierce</v>
      </c>
      <c r="J1945" s="108" t="str">
        <f>IFERROR(VLOOKUP(H1945,LUTs!$A$1:$C$73,3,FALSE),"NA")</f>
        <v>3South Puget Sound</v>
      </c>
      <c r="K1945" s="108" t="s">
        <v>13</v>
      </c>
      <c r="L1945" s="108" t="str">
        <f>VLOOKUP(K1945,LUTs!E$2:G$14,3,)</f>
        <v>01Whatcom</v>
      </c>
      <c r="M1945" s="108" t="str">
        <f>VLOOKUP($K1945,LUTs!$E$2:$H$14,2,)</f>
        <v>North Puget Sound</v>
      </c>
      <c r="N1945" s="108" t="str">
        <f>VLOOKUP($K1945,LUTs!$E$2:$H$14,4,)</f>
        <v>01North Puget Sound</v>
      </c>
      <c r="O1945" s="108">
        <v>27.602684563758402</v>
      </c>
      <c r="P1945" s="108">
        <v>238.76322147651001</v>
      </c>
      <c r="Q1945" s="108">
        <f>SUMIFS('FW_Salmon_by_Month_2010-2021'!P$2:P$3810,'FW_Salmon_by_Month_2010-2021'!$B$2:$B$3810,'Rec_raw_catch_effort_2010-2021'!$B1945,'FW_Salmon_by_Month_2010-2021'!$H$2:$H$3810,'Rec_raw_catch_effort_2010-2021'!$F1945,'FW_Salmon_by_Month_2010-2021'!$M$2:$M$3810,'Rec_raw_catch_effort_2010-2021'!$K1945)</f>
        <v>27.772727272727298</v>
      </c>
      <c r="R1945" s="109">
        <f>VLOOKUP(B1945,Readme!$A$62:$C$74,2,)*Q1945</f>
        <v>133.85218392787149</v>
      </c>
      <c r="S1945" s="140" t="str">
        <f t="shared" si="161"/>
        <v>Y</v>
      </c>
      <c r="T1945" s="154">
        <f t="shared" si="162"/>
        <v>8.6499999999999932</v>
      </c>
      <c r="U1945" s="154">
        <f t="shared" si="163"/>
        <v>4.8195549041132084</v>
      </c>
    </row>
    <row r="1946" spans="1:21" x14ac:dyDescent="0.35">
      <c r="A1946" s="108">
        <v>246</v>
      </c>
      <c r="B1946" s="108">
        <v>2015</v>
      </c>
      <c r="C1946" s="108" t="s">
        <v>38</v>
      </c>
      <c r="D1946" s="108" t="s">
        <v>143</v>
      </c>
      <c r="E1946" s="108" t="s">
        <v>10</v>
      </c>
      <c r="F1946" s="116">
        <v>804</v>
      </c>
      <c r="G1946" s="108" t="s">
        <v>54</v>
      </c>
      <c r="H1946" s="108" t="str">
        <f t="shared" si="160"/>
        <v>Puyallup River</v>
      </c>
      <c r="I1946" s="108" t="str">
        <f>IFERROR(VLOOKUP(H1946,LUTs!$A$1:$C$73,2,FALSE),"NA")</f>
        <v>Pierce</v>
      </c>
      <c r="J1946" s="108" t="str">
        <f>IFERROR(VLOOKUP(H1946,LUTs!$A$1:$C$73,3,FALSE),"NA")</f>
        <v>3South Puget Sound</v>
      </c>
      <c r="K1946" s="108" t="s">
        <v>18</v>
      </c>
      <c r="L1946" s="108" t="str">
        <f>VLOOKUP(K1946,LUTs!E$2:G$14,3,)</f>
        <v>06King</v>
      </c>
      <c r="M1946" s="108" t="str">
        <f>VLOOKUP($K1946,LUTs!$E$2:$H$14,2,)</f>
        <v>South Puget Sound</v>
      </c>
      <c r="N1946" s="108" t="str">
        <f>VLOOKUP($K1946,LUTs!$E$2:$H$14,4,)</f>
        <v>02South Puget Sound</v>
      </c>
      <c r="O1946" s="108">
        <v>29400.628254492101</v>
      </c>
      <c r="P1946" s="108">
        <v>101138.16119545299</v>
      </c>
      <c r="Q1946" s="108">
        <f>SUMIFS('FW_Salmon_by_Month_2010-2021'!P$2:P$3810,'FW_Salmon_by_Month_2010-2021'!$B$2:$B$3810,'Rec_raw_catch_effort_2010-2021'!$B1946,'FW_Salmon_by_Month_2010-2021'!$H$2:$H$3810,'Rec_raw_catch_effort_2010-2021'!$F1946,'FW_Salmon_by_Month_2010-2021'!$M$2:$M$3810,'Rec_raw_catch_effort_2010-2021'!$K1946)</f>
        <v>29577.517836235325</v>
      </c>
      <c r="R1946" s="109">
        <f>VLOOKUP(B1946,Readme!$A$62:$C$74,2,)*Q1946</f>
        <v>104676.03173082251</v>
      </c>
      <c r="S1946" s="140" t="str">
        <f t="shared" si="161"/>
        <v>Y</v>
      </c>
      <c r="T1946" s="154">
        <f t="shared" si="162"/>
        <v>3.4400000000000057</v>
      </c>
      <c r="U1946" s="154">
        <f t="shared" si="163"/>
        <v>3.5390404397824153</v>
      </c>
    </row>
    <row r="1947" spans="1:21" x14ac:dyDescent="0.35">
      <c r="A1947" s="108">
        <v>250</v>
      </c>
      <c r="B1947" s="108">
        <v>2015</v>
      </c>
      <c r="C1947" s="108" t="s">
        <v>38</v>
      </c>
      <c r="D1947" s="108" t="s">
        <v>143</v>
      </c>
      <c r="E1947" s="108" t="s">
        <v>10</v>
      </c>
      <c r="F1947" s="116">
        <v>804</v>
      </c>
      <c r="G1947" s="108" t="s">
        <v>54</v>
      </c>
      <c r="H1947" s="108" t="str">
        <f t="shared" si="160"/>
        <v>Puyallup River</v>
      </c>
      <c r="I1947" s="108" t="str">
        <f>IFERROR(VLOOKUP(H1947,LUTs!$A$1:$C$73,2,FALSE),"NA")</f>
        <v>Pierce</v>
      </c>
      <c r="J1947" s="108" t="str">
        <f>IFERROR(VLOOKUP(H1947,LUTs!$A$1:$C$73,3,FALSE),"NA")</f>
        <v>3South Puget Sound</v>
      </c>
      <c r="K1947" s="108" t="s">
        <v>23</v>
      </c>
      <c r="L1947" s="108" t="str">
        <f>VLOOKUP(K1947,LUTs!E$2:G$14,3,)</f>
        <v>10Kitsap</v>
      </c>
      <c r="M1947" s="108" t="str">
        <f>VLOOKUP($K1947,LUTs!$E$2:$H$14,2,)</f>
        <v>South Puget Sound</v>
      </c>
      <c r="N1947" s="108" t="str">
        <f>VLOOKUP($K1947,LUTs!$E$2:$H$14,4,)</f>
        <v>02South Puget Sound</v>
      </c>
      <c r="O1947" s="108">
        <v>2155.3929226256</v>
      </c>
      <c r="P1947" s="108">
        <v>7414.5516538320599</v>
      </c>
      <c r="Q1947" s="108">
        <f>SUMIFS('FW_Salmon_by_Month_2010-2021'!P$2:P$3810,'FW_Salmon_by_Month_2010-2021'!$B$2:$B$3810,'Rec_raw_catch_effort_2010-2021'!$B1947,'FW_Salmon_by_Month_2010-2021'!$H$2:$H$3810,'Rec_raw_catch_effort_2010-2021'!$F1947,'FW_Salmon_by_Month_2010-2021'!$M$2:$M$3810,'Rec_raw_catch_effort_2010-2021'!$K1947)</f>
        <v>2176.904209911821</v>
      </c>
      <c r="R1947" s="109">
        <f>VLOOKUP(B1947,Readme!$A$62:$C$74,2,)*Q1947</f>
        <v>7704.1520324105222</v>
      </c>
      <c r="S1947" s="140" t="str">
        <f t="shared" si="161"/>
        <v>Y</v>
      </c>
      <c r="T1947" s="154">
        <f t="shared" si="162"/>
        <v>3.4399999999999982</v>
      </c>
      <c r="U1947" s="154">
        <f t="shared" si="163"/>
        <v>3.5390404397824153</v>
      </c>
    </row>
    <row r="1948" spans="1:21" x14ac:dyDescent="0.35">
      <c r="A1948" s="108">
        <v>249</v>
      </c>
      <c r="B1948" s="108">
        <v>2015</v>
      </c>
      <c r="C1948" s="108" t="s">
        <v>38</v>
      </c>
      <c r="D1948" s="108" t="s">
        <v>143</v>
      </c>
      <c r="E1948" s="108" t="s">
        <v>10</v>
      </c>
      <c r="F1948" s="116">
        <v>804</v>
      </c>
      <c r="G1948" s="108" t="s">
        <v>54</v>
      </c>
      <c r="H1948" s="108" t="str">
        <f t="shared" si="160"/>
        <v>Puyallup River</v>
      </c>
      <c r="I1948" s="108" t="str">
        <f>IFERROR(VLOOKUP(H1948,LUTs!$A$1:$C$73,2,FALSE),"NA")</f>
        <v>Pierce</v>
      </c>
      <c r="J1948" s="108" t="str">
        <f>IFERROR(VLOOKUP(H1948,LUTs!$A$1:$C$73,3,FALSE),"NA")</f>
        <v>3South Puget Sound</v>
      </c>
      <c r="K1948" s="108" t="s">
        <v>22</v>
      </c>
      <c r="L1948" s="108" t="str">
        <f>VLOOKUP(K1948,LUTs!E$2:G$14,3,)</f>
        <v>09Mason</v>
      </c>
      <c r="M1948" s="108" t="str">
        <f>VLOOKUP($K1948,LUTs!$E$2:$H$14,2,)</f>
        <v>South Puget Sound</v>
      </c>
      <c r="N1948" s="108" t="str">
        <f>VLOOKUP($K1948,LUTs!$E$2:$H$14,4,)</f>
        <v>02South Puget Sound</v>
      </c>
      <c r="O1948" s="108">
        <v>570.02126879354603</v>
      </c>
      <c r="P1948" s="108">
        <v>1960.8731646497999</v>
      </c>
      <c r="Q1948" s="108">
        <f>SUMIFS('FW_Salmon_by_Month_2010-2021'!P$2:P$3810,'FW_Salmon_by_Month_2010-2021'!$B$2:$B$3810,'Rec_raw_catch_effort_2010-2021'!$B1948,'FW_Salmon_by_Month_2010-2021'!$H$2:$H$3810,'Rec_raw_catch_effort_2010-2021'!$F1948,'FW_Salmon_by_Month_2010-2021'!$M$2:$M$3810,'Rec_raw_catch_effort_2010-2021'!$K1948)</f>
        <v>575.70515459082196</v>
      </c>
      <c r="R1948" s="109">
        <f>VLOOKUP(B1948,Readme!$A$62:$C$74,2,)*Q1948</f>
        <v>2037.4438234881059</v>
      </c>
      <c r="S1948" s="140" t="str">
        <f t="shared" si="161"/>
        <v>Y</v>
      </c>
      <c r="T1948" s="154">
        <f t="shared" si="162"/>
        <v>3.4400000000000026</v>
      </c>
      <c r="U1948" s="154">
        <f t="shared" si="163"/>
        <v>3.5390404397824153</v>
      </c>
    </row>
    <row r="1949" spans="1:21" x14ac:dyDescent="0.35">
      <c r="A1949" s="108">
        <v>348</v>
      </c>
      <c r="B1949" s="108">
        <v>2015</v>
      </c>
      <c r="C1949" s="108" t="s">
        <v>38</v>
      </c>
      <c r="D1949" s="108" t="s">
        <v>143</v>
      </c>
      <c r="E1949" s="108" t="s">
        <v>10</v>
      </c>
      <c r="F1949" s="116">
        <v>804</v>
      </c>
      <c r="G1949" s="108" t="s">
        <v>54</v>
      </c>
      <c r="H1949" s="108" t="str">
        <f t="shared" si="160"/>
        <v>Puyallup River</v>
      </c>
      <c r="I1949" s="108" t="str">
        <f>IFERROR(VLOOKUP(H1949,LUTs!$A$1:$C$73,2,FALSE),"NA")</f>
        <v>Pierce</v>
      </c>
      <c r="J1949" s="108" t="str">
        <f>IFERROR(VLOOKUP(H1949,LUTs!$A$1:$C$73,3,FALSE),"NA")</f>
        <v>3South Puget Sound</v>
      </c>
      <c r="K1949" s="108" t="s">
        <v>26</v>
      </c>
      <c r="L1949" s="108" t="str">
        <f>VLOOKUP(K1949,LUTs!E$2:G$14,3,)</f>
        <v>20Other</v>
      </c>
      <c r="M1949" s="108" t="str">
        <f>VLOOKUP($K1949,LUTs!$E$2:$H$14,2,)</f>
        <v>Non Puget Sound</v>
      </c>
      <c r="N1949" s="108" t="str">
        <f>VLOOKUP($K1949,LUTs!$E$2:$H$14,4,)</f>
        <v>07Non Puget Sound</v>
      </c>
      <c r="O1949" s="108">
        <v>5343.94939493949</v>
      </c>
      <c r="P1949" s="108">
        <v>18383.1859185918</v>
      </c>
      <c r="Q1949" s="108">
        <f>SUMIFS('FW_Salmon_by_Month_2010-2021'!P$2:P$3810,'FW_Salmon_by_Month_2010-2021'!$B$2:$B$3810,'Rec_raw_catch_effort_2010-2021'!$B1949,'FW_Salmon_by_Month_2010-2021'!$H$2:$H$3810,'Rec_raw_catch_effort_2010-2021'!$F1949,'FW_Salmon_by_Month_2010-2021'!$M$2:$M$3810,'Rec_raw_catch_effort_2010-2021'!$K1949)</f>
        <v>5379.2434978965002</v>
      </c>
      <c r="R1949" s="109">
        <f>VLOOKUP(B1949,Readme!$A$62:$C$74,2,)*Q1949</f>
        <v>19037.36027449233</v>
      </c>
      <c r="S1949" s="140" t="str">
        <f t="shared" si="161"/>
        <v>Y</v>
      </c>
      <c r="T1949" s="154">
        <f t="shared" si="162"/>
        <v>3.4399999999999915</v>
      </c>
      <c r="U1949" s="154">
        <f t="shared" si="163"/>
        <v>3.5390404397824158</v>
      </c>
    </row>
    <row r="1950" spans="1:21" x14ac:dyDescent="0.35">
      <c r="A1950" s="108">
        <v>247</v>
      </c>
      <c r="B1950" s="108">
        <v>2015</v>
      </c>
      <c r="C1950" s="108" t="s">
        <v>38</v>
      </c>
      <c r="D1950" s="108" t="s">
        <v>143</v>
      </c>
      <c r="E1950" s="108" t="s">
        <v>10</v>
      </c>
      <c r="F1950" s="116">
        <v>804</v>
      </c>
      <c r="G1950" s="108" t="s">
        <v>54</v>
      </c>
      <c r="H1950" s="108" t="str">
        <f t="shared" si="160"/>
        <v>Puyallup River</v>
      </c>
      <c r="I1950" s="108" t="str">
        <f>IFERROR(VLOOKUP(H1950,LUTs!$A$1:$C$73,2,FALSE),"NA")</f>
        <v>Pierce</v>
      </c>
      <c r="J1950" s="108" t="str">
        <f>IFERROR(VLOOKUP(H1950,LUTs!$A$1:$C$73,3,FALSE),"NA")</f>
        <v>3South Puget Sound</v>
      </c>
      <c r="K1950" s="108" t="s">
        <v>20</v>
      </c>
      <c r="L1950" s="108" t="str">
        <f>VLOOKUP(K1950,LUTs!E$2:G$14,3,)</f>
        <v>07Pierce</v>
      </c>
      <c r="M1950" s="108" t="str">
        <f>VLOOKUP($K1950,LUTs!$E$2:$H$14,2,)</f>
        <v>South Puget Sound</v>
      </c>
      <c r="N1950" s="108" t="str">
        <f>VLOOKUP($K1950,LUTs!$E$2:$H$14,4,)</f>
        <v>02South Puget Sound</v>
      </c>
      <c r="O1950" s="108">
        <v>53911.5428126146</v>
      </c>
      <c r="P1950" s="108">
        <v>185455.707275394</v>
      </c>
      <c r="Q1950" s="108">
        <f>SUMIFS('FW_Salmon_by_Month_2010-2021'!P$2:P$3810,'FW_Salmon_by_Month_2010-2021'!$B$2:$B$3810,'Rec_raw_catch_effort_2010-2021'!$B1950,'FW_Salmon_by_Month_2010-2021'!$H$2:$H$3810,'Rec_raw_catch_effort_2010-2021'!$F1950,'FW_Salmon_by_Month_2010-2021'!$M$2:$M$3810,'Rec_raw_catch_effort_2010-2021'!$K1950)</f>
        <v>53635.70339621068</v>
      </c>
      <c r="R1950" s="109">
        <f>VLOOKUP(B1950,Readme!$A$62:$C$74,2,)*Q1950</f>
        <v>189818.92333536464</v>
      </c>
      <c r="S1950" s="140" t="str">
        <f t="shared" si="161"/>
        <v>Y</v>
      </c>
      <c r="T1950" s="154">
        <f t="shared" si="162"/>
        <v>3.4399999999999959</v>
      </c>
      <c r="U1950" s="154">
        <f t="shared" si="163"/>
        <v>3.5390404397824153</v>
      </c>
    </row>
    <row r="1951" spans="1:21" x14ac:dyDescent="0.35">
      <c r="A1951" s="108">
        <v>244</v>
      </c>
      <c r="B1951" s="108">
        <v>2015</v>
      </c>
      <c r="C1951" s="108" t="s">
        <v>38</v>
      </c>
      <c r="D1951" s="108" t="s">
        <v>143</v>
      </c>
      <c r="E1951" s="108" t="s">
        <v>10</v>
      </c>
      <c r="F1951" s="116">
        <v>804</v>
      </c>
      <c r="G1951" s="108" t="s">
        <v>54</v>
      </c>
      <c r="H1951" s="108" t="str">
        <f t="shared" si="160"/>
        <v>Puyallup River</v>
      </c>
      <c r="I1951" s="108" t="str">
        <f>IFERROR(VLOOKUP(H1951,LUTs!$A$1:$C$73,2,FALSE),"NA")</f>
        <v>Pierce</v>
      </c>
      <c r="J1951" s="108" t="str">
        <f>IFERROR(VLOOKUP(H1951,LUTs!$A$1:$C$73,3,FALSE),"NA")</f>
        <v>3South Puget Sound</v>
      </c>
      <c r="K1951" s="108" t="s">
        <v>15</v>
      </c>
      <c r="L1951" s="108" t="str">
        <f>VLOOKUP(K1951,LUTs!E$2:G$14,3,)</f>
        <v>02Skagit</v>
      </c>
      <c r="M1951" s="108" t="str">
        <f>VLOOKUP($K1951,LUTs!$E$2:$H$14,2,)</f>
        <v>North Puget Sound</v>
      </c>
      <c r="N1951" s="108" t="str">
        <f>VLOOKUP($K1951,LUTs!$E$2:$H$14,4,)</f>
        <v>01North Puget Sound</v>
      </c>
      <c r="O1951" s="108">
        <v>258.29088742207603</v>
      </c>
      <c r="P1951" s="108">
        <v>888.52065273194103</v>
      </c>
      <c r="Q1951" s="108">
        <f>SUMIFS('FW_Salmon_by_Month_2010-2021'!P$2:P$3810,'FW_Salmon_by_Month_2010-2021'!$B$2:$B$3810,'Rec_raw_catch_effort_2010-2021'!$B1951,'FW_Salmon_by_Month_2010-2021'!$H$2:$H$3810,'Rec_raw_catch_effort_2010-2021'!$F1951,'FW_Salmon_by_Month_2010-2021'!$M$2:$M$3810,'Rec_raw_catch_effort_2010-2021'!$K1951)</f>
        <v>262.04583812811671</v>
      </c>
      <c r="R1951" s="109">
        <f>VLOOKUP(B1951,Readme!$A$62:$C$74,2,)*Q1951</f>
        <v>927.39081821208174</v>
      </c>
      <c r="S1951" s="140" t="str">
        <f t="shared" si="161"/>
        <v>Y</v>
      </c>
      <c r="T1951" s="154">
        <f t="shared" si="162"/>
        <v>3.4399999999999982</v>
      </c>
      <c r="U1951" s="154">
        <f t="shared" si="163"/>
        <v>3.5390404397824153</v>
      </c>
    </row>
    <row r="1952" spans="1:21" x14ac:dyDescent="0.35">
      <c r="A1952" s="108">
        <v>245</v>
      </c>
      <c r="B1952" s="108">
        <v>2015</v>
      </c>
      <c r="C1952" s="108" t="s">
        <v>38</v>
      </c>
      <c r="D1952" s="108" t="s">
        <v>143</v>
      </c>
      <c r="E1952" s="108" t="s">
        <v>10</v>
      </c>
      <c r="F1952" s="116">
        <v>804</v>
      </c>
      <c r="G1952" s="108" t="s">
        <v>54</v>
      </c>
      <c r="H1952" s="108" t="str">
        <f t="shared" si="160"/>
        <v>Puyallup River</v>
      </c>
      <c r="I1952" s="108" t="str">
        <f>IFERROR(VLOOKUP(H1952,LUTs!$A$1:$C$73,2,FALSE),"NA")</f>
        <v>Pierce</v>
      </c>
      <c r="J1952" s="108" t="str">
        <f>IFERROR(VLOOKUP(H1952,LUTs!$A$1:$C$73,3,FALSE),"NA")</f>
        <v>3South Puget Sound</v>
      </c>
      <c r="K1952" s="108" t="s">
        <v>16</v>
      </c>
      <c r="L1952" s="108" t="str">
        <f>VLOOKUP(K1952,LUTs!E$2:G$14,3,)</f>
        <v>03Snohomish</v>
      </c>
      <c r="M1952" s="108" t="str">
        <f>VLOOKUP($K1952,LUTs!$E$2:$H$14,2,)</f>
        <v>North Puget Sound</v>
      </c>
      <c r="N1952" s="108" t="str">
        <f>VLOOKUP($K1952,LUTs!$E$2:$H$14,4,)</f>
        <v>01North Puget Sound</v>
      </c>
      <c r="O1952" s="108">
        <v>757.05949761642796</v>
      </c>
      <c r="P1952" s="108">
        <v>2604.2846718005098</v>
      </c>
      <c r="Q1952" s="108">
        <f>SUMIFS('FW_Salmon_by_Month_2010-2021'!P$2:P$3810,'FW_Salmon_by_Month_2010-2021'!$B$2:$B$3810,'Rec_raw_catch_effort_2010-2021'!$B1952,'FW_Salmon_by_Month_2010-2021'!$H$2:$H$3810,'Rec_raw_catch_effort_2010-2021'!$F1952,'FW_Salmon_by_Month_2010-2021'!$M$2:$M$3810,'Rec_raw_catch_effort_2010-2021'!$K1952)</f>
        <v>742.32351751680676</v>
      </c>
      <c r="R1952" s="109">
        <f>VLOOKUP(B1952,Readme!$A$62:$C$74,2,)*Q1952</f>
        <v>2627.1129478935095</v>
      </c>
      <c r="S1952" s="140" t="str">
        <f t="shared" si="161"/>
        <v>Y</v>
      </c>
      <c r="T1952" s="154">
        <f t="shared" si="162"/>
        <v>3.4399999999999968</v>
      </c>
      <c r="U1952" s="154">
        <f t="shared" si="163"/>
        <v>3.5390404397824158</v>
      </c>
    </row>
    <row r="1953" spans="1:21" x14ac:dyDescent="0.35">
      <c r="A1953" s="108">
        <v>248</v>
      </c>
      <c r="B1953" s="108">
        <v>2015</v>
      </c>
      <c r="C1953" s="108" t="s">
        <v>38</v>
      </c>
      <c r="D1953" s="108" t="s">
        <v>143</v>
      </c>
      <c r="E1953" s="108" t="s">
        <v>10</v>
      </c>
      <c r="F1953" s="116">
        <v>804</v>
      </c>
      <c r="G1953" s="108" t="s">
        <v>54</v>
      </c>
      <c r="H1953" s="108" t="str">
        <f t="shared" si="160"/>
        <v>Puyallup River</v>
      </c>
      <c r="I1953" s="108" t="str">
        <f>IFERROR(VLOOKUP(H1953,LUTs!$A$1:$C$73,2,FALSE),"NA")</f>
        <v>Pierce</v>
      </c>
      <c r="J1953" s="108" t="str">
        <f>IFERROR(VLOOKUP(H1953,LUTs!$A$1:$C$73,3,FALSE),"NA")</f>
        <v>3South Puget Sound</v>
      </c>
      <c r="K1953" s="108" t="s">
        <v>21</v>
      </c>
      <c r="L1953" s="108" t="str">
        <f>VLOOKUP(K1953,LUTs!E$2:G$14,3,)</f>
        <v>08Thurston</v>
      </c>
      <c r="M1953" s="108" t="str">
        <f>VLOOKUP($K1953,LUTs!$E$2:$H$14,2,)</f>
        <v>South Puget Sound</v>
      </c>
      <c r="N1953" s="108" t="str">
        <f>VLOOKUP($K1953,LUTs!$E$2:$H$14,4,)</f>
        <v>02South Puget Sound</v>
      </c>
      <c r="O1953" s="108">
        <v>4756.1149614961496</v>
      </c>
      <c r="P1953" s="108">
        <v>16361.035467546801</v>
      </c>
      <c r="Q1953" s="108">
        <f>SUMIFS('FW_Salmon_by_Month_2010-2021'!P$2:P$3810,'FW_Salmon_by_Month_2010-2021'!$B$2:$B$3810,'Rec_raw_catch_effort_2010-2021'!$B1953,'FW_Salmon_by_Month_2010-2021'!$H$2:$H$3810,'Rec_raw_catch_effort_2010-2021'!$F1953,'FW_Salmon_by_Month_2010-2021'!$M$2:$M$3810,'Rec_raw_catch_effort_2010-2021'!$K1953)</f>
        <v>4803.55654950997</v>
      </c>
      <c r="R1953" s="109">
        <f>VLOOKUP(B1953,Readme!$A$62:$C$74,2,)*Q1953</f>
        <v>16999.980883497465</v>
      </c>
      <c r="S1953" s="140" t="str">
        <f t="shared" si="161"/>
        <v>Y</v>
      </c>
      <c r="T1953" s="154">
        <f t="shared" si="162"/>
        <v>3.4400000000000097</v>
      </c>
      <c r="U1953" s="154">
        <f t="shared" si="163"/>
        <v>3.5390404397824153</v>
      </c>
    </row>
    <row r="1954" spans="1:21" x14ac:dyDescent="0.35">
      <c r="A1954" s="108">
        <v>354</v>
      </c>
      <c r="B1954" s="108">
        <v>2016</v>
      </c>
      <c r="C1954" s="108" t="s">
        <v>38</v>
      </c>
      <c r="D1954" s="108" t="s">
        <v>143</v>
      </c>
      <c r="E1954" s="108" t="s">
        <v>10</v>
      </c>
      <c r="F1954" s="116">
        <v>804</v>
      </c>
      <c r="G1954" s="108" t="s">
        <v>54</v>
      </c>
      <c r="H1954" s="108" t="str">
        <f t="shared" si="160"/>
        <v>Puyallup River</v>
      </c>
      <c r="I1954" s="108" t="str">
        <f>IFERROR(VLOOKUP(H1954,LUTs!$A$1:$C$73,2,FALSE),"NA")</f>
        <v>Pierce</v>
      </c>
      <c r="J1954" s="108" t="str">
        <f>IFERROR(VLOOKUP(H1954,LUTs!$A$1:$C$73,3,FALSE),"NA")</f>
        <v>3South Puget Sound</v>
      </c>
      <c r="K1954" s="108" t="s">
        <v>26</v>
      </c>
      <c r="L1954" s="108" t="str">
        <f>VLOOKUP(K1954,LUTs!E$2:G$14,3,)</f>
        <v>20Other</v>
      </c>
      <c r="M1954" s="108" t="str">
        <f>VLOOKUP($K1954,LUTs!$E$2:$H$14,2,)</f>
        <v>Non Puget Sound</v>
      </c>
      <c r="N1954" s="108" t="str">
        <f>VLOOKUP($K1954,LUTs!$E$2:$H$14,4,)</f>
        <v>07Non Puget Sound</v>
      </c>
      <c r="O1954" s="108">
        <v>19.090909090909101</v>
      </c>
      <c r="P1954" s="108">
        <v>165.136363636364</v>
      </c>
      <c r="Q1954" s="108">
        <f>SUMIFS('FW_Salmon_by_Month_2010-2021'!P$2:P$3810,'FW_Salmon_by_Month_2010-2021'!$B$2:$B$3810,'Rec_raw_catch_effort_2010-2021'!$B1954,'FW_Salmon_by_Month_2010-2021'!$H$2:$H$3810,'Rec_raw_catch_effort_2010-2021'!$F1954,'FW_Salmon_by_Month_2010-2021'!$M$2:$M$3810,'Rec_raw_catch_effort_2010-2021'!$K1954)</f>
        <v>35</v>
      </c>
      <c r="R1954" s="109">
        <f>VLOOKUP(B1954,Readme!$A$62:$C$74,2,)*Q1954</f>
        <v>168.68442164396228</v>
      </c>
      <c r="S1954" s="140" t="str">
        <f t="shared" si="161"/>
        <v>Y</v>
      </c>
      <c r="T1954" s="154">
        <f t="shared" si="162"/>
        <v>8.6500000000000146</v>
      </c>
      <c r="U1954" s="154">
        <f t="shared" si="163"/>
        <v>4.8195549041132084</v>
      </c>
    </row>
    <row r="1955" spans="1:21" x14ac:dyDescent="0.35">
      <c r="A1955" s="108">
        <v>353</v>
      </c>
      <c r="B1955" s="108">
        <v>2016</v>
      </c>
      <c r="C1955" s="108" t="s">
        <v>38</v>
      </c>
      <c r="D1955" s="108" t="s">
        <v>143</v>
      </c>
      <c r="E1955" s="108" t="s">
        <v>10</v>
      </c>
      <c r="F1955" s="116">
        <v>804</v>
      </c>
      <c r="G1955" s="108" t="s">
        <v>54</v>
      </c>
      <c r="H1955" s="108" t="str">
        <f t="shared" si="160"/>
        <v>Puyallup River</v>
      </c>
      <c r="I1955" s="108" t="str">
        <f>IFERROR(VLOOKUP(H1955,LUTs!$A$1:$C$73,2,FALSE),"NA")</f>
        <v>Pierce</v>
      </c>
      <c r="J1955" s="108" t="str">
        <f>IFERROR(VLOOKUP(H1955,LUTs!$A$1:$C$73,3,FALSE),"NA")</f>
        <v>3South Puget Sound</v>
      </c>
      <c r="K1955" s="108" t="s">
        <v>20</v>
      </c>
      <c r="L1955" s="108" t="str">
        <f>VLOOKUP(K1955,LUTs!E$2:G$14,3,)</f>
        <v>07Pierce</v>
      </c>
      <c r="M1955" s="108" t="str">
        <f>VLOOKUP($K1955,LUTs!$E$2:$H$14,2,)</f>
        <v>South Puget Sound</v>
      </c>
      <c r="N1955" s="108" t="str">
        <f>VLOOKUP($K1955,LUTs!$E$2:$H$14,4,)</f>
        <v>02South Puget Sound</v>
      </c>
      <c r="O1955" s="108">
        <v>50.909090909090899</v>
      </c>
      <c r="P1955" s="108">
        <v>440.36363636363598</v>
      </c>
      <c r="Q1955" s="108">
        <f>SUMIFS('FW_Salmon_by_Month_2010-2021'!P$2:P$3810,'FW_Salmon_by_Month_2010-2021'!$B$2:$B$3810,'Rec_raw_catch_effort_2010-2021'!$B1955,'FW_Salmon_by_Month_2010-2021'!$H$2:$H$3810,'Rec_raw_catch_effort_2010-2021'!$F1955,'FW_Salmon_by_Month_2010-2021'!$M$2:$M$3810,'Rec_raw_catch_effort_2010-2021'!$K1955)</f>
        <v>35</v>
      </c>
      <c r="R1955" s="109">
        <f>VLOOKUP(B1955,Readme!$A$62:$C$74,2,)*Q1955</f>
        <v>168.68442164396228</v>
      </c>
      <c r="S1955" s="140" t="str">
        <f t="shared" si="161"/>
        <v>Y</v>
      </c>
      <c r="T1955" s="154">
        <f t="shared" si="162"/>
        <v>8.6499999999999932</v>
      </c>
      <c r="U1955" s="154">
        <f t="shared" si="163"/>
        <v>4.8195549041132084</v>
      </c>
    </row>
    <row r="1956" spans="1:21" x14ac:dyDescent="0.35">
      <c r="A1956" s="108">
        <v>462</v>
      </c>
      <c r="B1956" s="108">
        <v>2017</v>
      </c>
      <c r="C1956" s="108" t="s">
        <v>38</v>
      </c>
      <c r="D1956" s="108" t="s">
        <v>143</v>
      </c>
      <c r="E1956" s="108" t="s">
        <v>10</v>
      </c>
      <c r="F1956" s="116">
        <v>804</v>
      </c>
      <c r="G1956" s="108" t="s">
        <v>54</v>
      </c>
      <c r="H1956" s="108" t="str">
        <f t="shared" si="160"/>
        <v>Puyallup River</v>
      </c>
      <c r="I1956" s="108" t="str">
        <f>IFERROR(VLOOKUP(H1956,LUTs!$A$1:$C$73,2,FALSE),"NA")</f>
        <v>Pierce</v>
      </c>
      <c r="J1956" s="108" t="str">
        <f>IFERROR(VLOOKUP(H1956,LUTs!$A$1:$C$73,3,FALSE),"NA")</f>
        <v>3South Puget Sound</v>
      </c>
      <c r="K1956" s="108" t="s">
        <v>18</v>
      </c>
      <c r="L1956" s="108" t="str">
        <f>VLOOKUP(K1956,LUTs!E$2:G$14,3,)</f>
        <v>06King</v>
      </c>
      <c r="M1956" s="108" t="str">
        <f>VLOOKUP($K1956,LUTs!$E$2:$H$14,2,)</f>
        <v>South Puget Sound</v>
      </c>
      <c r="N1956" s="108" t="str">
        <f>VLOOKUP($K1956,LUTs!$E$2:$H$14,4,)</f>
        <v>02South Puget Sound</v>
      </c>
      <c r="O1956" s="108">
        <v>5486.1074230537097</v>
      </c>
      <c r="P1956" s="108">
        <v>18872.209535304799</v>
      </c>
      <c r="Q1956" s="108">
        <f>SUMIFS('FW_Salmon_by_Month_2010-2021'!P$2:P$3810,'FW_Salmon_by_Month_2010-2021'!$B$2:$B$3810,'Rec_raw_catch_effort_2010-2021'!$B1956,'FW_Salmon_by_Month_2010-2021'!$H$2:$H$3810,'Rec_raw_catch_effort_2010-2021'!$F1956,'FW_Salmon_by_Month_2010-2021'!$M$2:$M$3810,'Rec_raw_catch_effort_2010-2021'!$K1956)</f>
        <v>5502.9823293747286</v>
      </c>
      <c r="R1956" s="109">
        <f>VLOOKUP(B1956,Readme!$A$62:$C$74,2,)*Q1956</f>
        <v>19475.277003065199</v>
      </c>
      <c r="S1956" s="140" t="str">
        <f t="shared" si="161"/>
        <v>Y</v>
      </c>
      <c r="T1956" s="154">
        <f t="shared" si="162"/>
        <v>3.4400000000000071</v>
      </c>
      <c r="U1956" s="154">
        <f t="shared" si="163"/>
        <v>3.5390404397824153</v>
      </c>
    </row>
    <row r="1957" spans="1:21" x14ac:dyDescent="0.35">
      <c r="A1957" s="108">
        <v>465</v>
      </c>
      <c r="B1957" s="108">
        <v>2017</v>
      </c>
      <c r="C1957" s="108" t="s">
        <v>38</v>
      </c>
      <c r="D1957" s="108" t="s">
        <v>143</v>
      </c>
      <c r="E1957" s="108" t="s">
        <v>10</v>
      </c>
      <c r="F1957" s="116">
        <v>804</v>
      </c>
      <c r="G1957" s="108" t="s">
        <v>54</v>
      </c>
      <c r="H1957" s="108" t="str">
        <f t="shared" si="160"/>
        <v>Puyallup River</v>
      </c>
      <c r="I1957" s="108" t="str">
        <f>IFERROR(VLOOKUP(H1957,LUTs!$A$1:$C$73,2,FALSE),"NA")</f>
        <v>Pierce</v>
      </c>
      <c r="J1957" s="108" t="str">
        <f>IFERROR(VLOOKUP(H1957,LUTs!$A$1:$C$73,3,FALSE),"NA")</f>
        <v>3South Puget Sound</v>
      </c>
      <c r="K1957" s="108" t="s">
        <v>23</v>
      </c>
      <c r="L1957" s="108" t="str">
        <f>VLOOKUP(K1957,LUTs!E$2:G$14,3,)</f>
        <v>10Kitsap</v>
      </c>
      <c r="M1957" s="108" t="str">
        <f>VLOOKUP($K1957,LUTs!$E$2:$H$14,2,)</f>
        <v>South Puget Sound</v>
      </c>
      <c r="N1957" s="108" t="str">
        <f>VLOOKUP($K1957,LUTs!$E$2:$H$14,4,)</f>
        <v>02South Puget Sound</v>
      </c>
      <c r="O1957" s="108">
        <v>254.71213035606499</v>
      </c>
      <c r="P1957" s="108">
        <v>876.20972842486401</v>
      </c>
      <c r="Q1957" s="108">
        <f>SUMIFS('FW_Salmon_by_Month_2010-2021'!P$2:P$3810,'FW_Salmon_by_Month_2010-2021'!$B$2:$B$3810,'Rec_raw_catch_effort_2010-2021'!$B1957,'FW_Salmon_by_Month_2010-2021'!$H$2:$H$3810,'Rec_raw_catch_effort_2010-2021'!$F1957,'FW_Salmon_by_Month_2010-2021'!$M$2:$M$3810,'Rec_raw_catch_effort_2010-2021'!$K1957)</f>
        <v>258.31984785615532</v>
      </c>
      <c r="R1957" s="109">
        <f>VLOOKUP(B1957,Readme!$A$62:$C$74,2,)*Q1957</f>
        <v>914.20438796137455</v>
      </c>
      <c r="S1957" s="140" t="str">
        <f t="shared" si="161"/>
        <v>Y</v>
      </c>
      <c r="T1957" s="154">
        <f t="shared" si="162"/>
        <v>3.4400000000000017</v>
      </c>
      <c r="U1957" s="154">
        <f t="shared" si="163"/>
        <v>3.5390404397824153</v>
      </c>
    </row>
    <row r="1958" spans="1:21" x14ac:dyDescent="0.35">
      <c r="A1958" s="108">
        <v>466</v>
      </c>
      <c r="B1958" s="108">
        <v>2017</v>
      </c>
      <c r="C1958" s="108" t="s">
        <v>38</v>
      </c>
      <c r="D1958" s="108" t="s">
        <v>143</v>
      </c>
      <c r="E1958" s="108" t="s">
        <v>10</v>
      </c>
      <c r="F1958" s="116">
        <v>804</v>
      </c>
      <c r="G1958" s="108" t="s">
        <v>54</v>
      </c>
      <c r="H1958" s="108" t="str">
        <f t="shared" si="160"/>
        <v>Puyallup River</v>
      </c>
      <c r="I1958" s="108" t="str">
        <f>IFERROR(VLOOKUP(H1958,LUTs!$A$1:$C$73,2,FALSE),"NA")</f>
        <v>Pierce</v>
      </c>
      <c r="J1958" s="108" t="str">
        <f>IFERROR(VLOOKUP(H1958,LUTs!$A$1:$C$73,3,FALSE),"NA")</f>
        <v>3South Puget Sound</v>
      </c>
      <c r="K1958" s="108" t="s">
        <v>26</v>
      </c>
      <c r="L1958" s="108" t="str">
        <f>VLOOKUP(K1958,LUTs!E$2:G$14,3,)</f>
        <v>20Other</v>
      </c>
      <c r="M1958" s="108" t="str">
        <f>VLOOKUP($K1958,LUTs!$E$2:$H$14,2,)</f>
        <v>Non Puget Sound</v>
      </c>
      <c r="N1958" s="108" t="str">
        <f>VLOOKUP($K1958,LUTs!$E$2:$H$14,4,)</f>
        <v>07Non Puget Sound</v>
      </c>
      <c r="O1958" s="108">
        <v>871.89921544960805</v>
      </c>
      <c r="P1958" s="108">
        <v>2999.3333011466498</v>
      </c>
      <c r="Q1958" s="108">
        <f>SUMIFS('FW_Salmon_by_Month_2010-2021'!P$2:P$3810,'FW_Salmon_by_Month_2010-2021'!$B$2:$B$3810,'Rec_raw_catch_effort_2010-2021'!$B1958,'FW_Salmon_by_Month_2010-2021'!$H$2:$H$3810,'Rec_raw_catch_effort_2010-2021'!$F1958,'FW_Salmon_by_Month_2010-2021'!$M$2:$M$3810,'Rec_raw_catch_effort_2010-2021'!$K1958)</f>
        <v>864.14705251108933</v>
      </c>
      <c r="R1958" s="109">
        <f>VLOOKUP(B1958,Readme!$A$62:$C$74,2,)*Q1958</f>
        <v>3058.2513647555234</v>
      </c>
      <c r="S1958" s="140" t="str">
        <f t="shared" si="161"/>
        <v>Y</v>
      </c>
      <c r="T1958" s="154">
        <f t="shared" si="162"/>
        <v>3.4399999999999977</v>
      </c>
      <c r="U1958" s="154">
        <f t="shared" si="163"/>
        <v>3.5390404397824153</v>
      </c>
    </row>
    <row r="1959" spans="1:21" x14ac:dyDescent="0.35">
      <c r="A1959" s="108">
        <v>463</v>
      </c>
      <c r="B1959" s="108">
        <v>2017</v>
      </c>
      <c r="C1959" s="108" t="s">
        <v>38</v>
      </c>
      <c r="D1959" s="108" t="s">
        <v>143</v>
      </c>
      <c r="E1959" s="108" t="s">
        <v>10</v>
      </c>
      <c r="F1959" s="116">
        <v>804</v>
      </c>
      <c r="G1959" s="108" t="s">
        <v>54</v>
      </c>
      <c r="H1959" s="108" t="str">
        <f t="shared" si="160"/>
        <v>Puyallup River</v>
      </c>
      <c r="I1959" s="108" t="str">
        <f>IFERROR(VLOOKUP(H1959,LUTs!$A$1:$C$73,2,FALSE),"NA")</f>
        <v>Pierce</v>
      </c>
      <c r="J1959" s="108" t="str">
        <f>IFERROR(VLOOKUP(H1959,LUTs!$A$1:$C$73,3,FALSE),"NA")</f>
        <v>3South Puget Sound</v>
      </c>
      <c r="K1959" s="108" t="s">
        <v>20</v>
      </c>
      <c r="L1959" s="108" t="str">
        <f>VLOOKUP(K1959,LUTs!E$2:G$14,3,)</f>
        <v>07Pierce</v>
      </c>
      <c r="M1959" s="108" t="str">
        <f>VLOOKUP($K1959,LUTs!$E$2:$H$14,2,)</f>
        <v>South Puget Sound</v>
      </c>
      <c r="N1959" s="108" t="str">
        <f>VLOOKUP($K1959,LUTs!$E$2:$H$14,4,)</f>
        <v>02South Puget Sound</v>
      </c>
      <c r="O1959" s="108">
        <v>9159.8400724200401</v>
      </c>
      <c r="P1959" s="108">
        <v>31509.849849124901</v>
      </c>
      <c r="Q1959" s="108">
        <f>SUMIFS('FW_Salmon_by_Month_2010-2021'!P$2:P$3810,'FW_Salmon_by_Month_2010-2021'!$B$2:$B$3810,'Rec_raw_catch_effort_2010-2021'!$B1959,'FW_Salmon_by_Month_2010-2021'!$H$2:$H$3810,'Rec_raw_catch_effort_2010-2021'!$F1959,'FW_Salmon_by_Month_2010-2021'!$M$2:$M$3810,'Rec_raw_catch_effort_2010-2021'!$K1959)</f>
        <v>9160.6520842276022</v>
      </c>
      <c r="R1959" s="109">
        <f>VLOOKUP(B1959,Readme!$A$62:$C$74,2,)*Q1959</f>
        <v>32419.918180858553</v>
      </c>
      <c r="S1959" s="140" t="str">
        <f t="shared" si="161"/>
        <v>Y</v>
      </c>
      <c r="T1959" s="154">
        <f t="shared" si="162"/>
        <v>3.4399999999999959</v>
      </c>
      <c r="U1959" s="154">
        <f t="shared" si="163"/>
        <v>3.5390404397824153</v>
      </c>
    </row>
    <row r="1960" spans="1:21" x14ac:dyDescent="0.35">
      <c r="A1960" s="108">
        <v>359</v>
      </c>
      <c r="B1960" s="108">
        <v>2017</v>
      </c>
      <c r="C1960" s="108" t="s">
        <v>38</v>
      </c>
      <c r="D1960" s="108" t="s">
        <v>143</v>
      </c>
      <c r="E1960" s="108" t="s">
        <v>10</v>
      </c>
      <c r="F1960" s="116">
        <v>804</v>
      </c>
      <c r="G1960" s="108" t="s">
        <v>54</v>
      </c>
      <c r="H1960" s="108" t="str">
        <f t="shared" si="160"/>
        <v>Puyallup River</v>
      </c>
      <c r="I1960" s="108" t="str">
        <f>IFERROR(VLOOKUP(H1960,LUTs!$A$1:$C$73,2,FALSE),"NA")</f>
        <v>Pierce</v>
      </c>
      <c r="J1960" s="108" t="str">
        <f>IFERROR(VLOOKUP(H1960,LUTs!$A$1:$C$73,3,FALSE),"NA")</f>
        <v>3South Puget Sound</v>
      </c>
      <c r="K1960" s="108" t="s">
        <v>15</v>
      </c>
      <c r="L1960" s="108" t="str">
        <f>VLOOKUP(K1960,LUTs!E$2:G$14,3,)</f>
        <v>02Skagit</v>
      </c>
      <c r="M1960" s="108" t="str">
        <f>VLOOKUP($K1960,LUTs!$E$2:$H$14,2,)</f>
        <v>North Puget Sound</v>
      </c>
      <c r="N1960" s="108" t="str">
        <f>VLOOKUP($K1960,LUTs!$E$2:$H$14,4,)</f>
        <v>01North Puget Sound</v>
      </c>
      <c r="O1960" s="108">
        <v>9.7966203983101998</v>
      </c>
      <c r="P1960" s="108">
        <v>33.700374170187096</v>
      </c>
      <c r="Q1960" s="108">
        <f>SUMIFS('FW_Salmon_by_Month_2010-2021'!P$2:P$3810,'FW_Salmon_by_Month_2010-2021'!$B$2:$B$3810,'Rec_raw_catch_effort_2010-2021'!$B1960,'FW_Salmon_by_Month_2010-2021'!$H$2:$H$3810,'Rec_raw_catch_effort_2010-2021'!$F1960,'FW_Salmon_by_Month_2010-2021'!$M$2:$M$3810,'Rec_raw_catch_effort_2010-2021'!$K1960)</f>
        <v>9.9398340248962693</v>
      </c>
      <c r="R1960" s="109">
        <f>VLOOKUP(B1960,Readme!$A$62:$C$74,2,)*Q1960</f>
        <v>35.177474578833106</v>
      </c>
      <c r="S1960" s="140" t="str">
        <f t="shared" si="161"/>
        <v>Y</v>
      </c>
      <c r="T1960" s="154">
        <f t="shared" si="162"/>
        <v>3.4400000000000008</v>
      </c>
      <c r="U1960" s="154">
        <f t="shared" si="163"/>
        <v>3.5390404397824149</v>
      </c>
    </row>
    <row r="1961" spans="1:21" x14ac:dyDescent="0.35">
      <c r="A1961" s="108">
        <v>360</v>
      </c>
      <c r="B1961" s="108">
        <v>2017</v>
      </c>
      <c r="C1961" s="108" t="s">
        <v>38</v>
      </c>
      <c r="D1961" s="108" t="s">
        <v>143</v>
      </c>
      <c r="E1961" s="108" t="s">
        <v>10</v>
      </c>
      <c r="F1961" s="116">
        <v>804</v>
      </c>
      <c r="G1961" s="108" t="s">
        <v>54</v>
      </c>
      <c r="H1961" s="108" t="str">
        <f t="shared" si="160"/>
        <v>Puyallup River</v>
      </c>
      <c r="I1961" s="108" t="str">
        <f>IFERROR(VLOOKUP(H1961,LUTs!$A$1:$C$73,2,FALSE),"NA")</f>
        <v>Pierce</v>
      </c>
      <c r="J1961" s="108" t="str">
        <f>IFERROR(VLOOKUP(H1961,LUTs!$A$1:$C$73,3,FALSE),"NA")</f>
        <v>3South Puget Sound</v>
      </c>
      <c r="K1961" s="108" t="s">
        <v>16</v>
      </c>
      <c r="L1961" s="108" t="str">
        <f>VLOOKUP(K1961,LUTs!E$2:G$14,3,)</f>
        <v>03Snohomish</v>
      </c>
      <c r="M1961" s="108" t="str">
        <f>VLOOKUP($K1961,LUTs!$E$2:$H$14,2,)</f>
        <v>North Puget Sound</v>
      </c>
      <c r="N1961" s="108" t="str">
        <f>VLOOKUP($K1961,LUTs!$E$2:$H$14,4,)</f>
        <v>01North Puget Sound</v>
      </c>
      <c r="O1961" s="108">
        <v>78.372963186481599</v>
      </c>
      <c r="P1961" s="108">
        <v>269.602993361497</v>
      </c>
      <c r="Q1961" s="108">
        <f>SUMIFS('FW_Salmon_by_Month_2010-2021'!P$2:P$3810,'FW_Salmon_by_Month_2010-2021'!$B$2:$B$3810,'Rec_raw_catch_effort_2010-2021'!$B1961,'FW_Salmon_by_Month_2010-2021'!$H$2:$H$3810,'Rec_raw_catch_effort_2010-2021'!$F1961,'FW_Salmon_by_Month_2010-2021'!$M$2:$M$3810,'Rec_raw_catch_effort_2010-2021'!$K1961)</f>
        <v>79.518672199170098</v>
      </c>
      <c r="R1961" s="109">
        <f>VLOOKUP(B1961,Readme!$A$62:$C$74,2,)*Q1961</f>
        <v>281.41979663066468</v>
      </c>
      <c r="S1961" s="140" t="str">
        <f t="shared" si="161"/>
        <v>Y</v>
      </c>
      <c r="T1961" s="154">
        <f t="shared" si="162"/>
        <v>3.4400000000000039</v>
      </c>
      <c r="U1961" s="154">
        <f t="shared" si="163"/>
        <v>3.5390404397824153</v>
      </c>
    </row>
    <row r="1962" spans="1:21" x14ac:dyDescent="0.35">
      <c r="A1962" s="108">
        <v>464</v>
      </c>
      <c r="B1962" s="108">
        <v>2017</v>
      </c>
      <c r="C1962" s="108" t="s">
        <v>38</v>
      </c>
      <c r="D1962" s="108" t="s">
        <v>143</v>
      </c>
      <c r="E1962" s="108" t="s">
        <v>10</v>
      </c>
      <c r="F1962" s="116">
        <v>804</v>
      </c>
      <c r="G1962" s="108" t="s">
        <v>54</v>
      </c>
      <c r="H1962" s="108" t="str">
        <f t="shared" ref="H1962:H2025" si="164">G1962</f>
        <v>Puyallup River</v>
      </c>
      <c r="I1962" s="108" t="str">
        <f>IFERROR(VLOOKUP(H1962,LUTs!$A$1:$C$73,2,FALSE),"NA")</f>
        <v>Pierce</v>
      </c>
      <c r="J1962" s="108" t="str">
        <f>IFERROR(VLOOKUP(H1962,LUTs!$A$1:$C$73,3,FALSE),"NA")</f>
        <v>3South Puget Sound</v>
      </c>
      <c r="K1962" s="108" t="s">
        <v>21</v>
      </c>
      <c r="L1962" s="108" t="str">
        <f>VLOOKUP(K1962,LUTs!E$2:G$14,3,)</f>
        <v>08Thurston</v>
      </c>
      <c r="M1962" s="108" t="str">
        <f>VLOOKUP($K1962,LUTs!$E$2:$H$14,2,)</f>
        <v>South Puget Sound</v>
      </c>
      <c r="N1962" s="108" t="str">
        <f>VLOOKUP($K1962,LUTs!$E$2:$H$14,4,)</f>
        <v>02South Puget Sound</v>
      </c>
      <c r="O1962" s="108">
        <v>362.47495473747699</v>
      </c>
      <c r="P1962" s="108">
        <v>1246.9138442969199</v>
      </c>
      <c r="Q1962" s="108">
        <f>SUMIFS('FW_Salmon_by_Month_2010-2021'!P$2:P$3810,'FW_Salmon_by_Month_2010-2021'!$B$2:$B$3810,'Rec_raw_catch_effort_2010-2021'!$B1962,'FW_Salmon_by_Month_2010-2021'!$H$2:$H$3810,'Rec_raw_catch_effort_2010-2021'!$F1962,'FW_Salmon_by_Month_2010-2021'!$M$2:$M$3810,'Rec_raw_catch_effort_2010-2021'!$K1962)</f>
        <v>347.52351313969598</v>
      </c>
      <c r="R1962" s="109">
        <f>VLOOKUP(B1962,Readme!$A$62:$C$74,2,)*Q1962</f>
        <v>1229.8997667766396</v>
      </c>
      <c r="S1962" s="140" t="str">
        <f t="shared" si="161"/>
        <v>Y</v>
      </c>
      <c r="T1962" s="154">
        <f t="shared" si="162"/>
        <v>3.4399999999999973</v>
      </c>
      <c r="U1962" s="154">
        <f t="shared" si="163"/>
        <v>3.5390404397824153</v>
      </c>
    </row>
    <row r="1963" spans="1:21" x14ac:dyDescent="0.35">
      <c r="A1963" s="108">
        <v>358</v>
      </c>
      <c r="B1963" s="108">
        <v>2017</v>
      </c>
      <c r="C1963" s="108" t="s">
        <v>38</v>
      </c>
      <c r="D1963" s="108" t="s">
        <v>143</v>
      </c>
      <c r="E1963" s="108" t="s">
        <v>10</v>
      </c>
      <c r="F1963" s="116">
        <v>804</v>
      </c>
      <c r="G1963" s="108" t="s">
        <v>54</v>
      </c>
      <c r="H1963" s="108" t="str">
        <f t="shared" si="164"/>
        <v>Puyallup River</v>
      </c>
      <c r="I1963" s="108" t="str">
        <f>IFERROR(VLOOKUP(H1963,LUTs!$A$1:$C$73,2,FALSE),"NA")</f>
        <v>Pierce</v>
      </c>
      <c r="J1963" s="108" t="str">
        <f>IFERROR(VLOOKUP(H1963,LUTs!$A$1:$C$73,3,FALSE),"NA")</f>
        <v>3South Puget Sound</v>
      </c>
      <c r="K1963" s="108" t="s">
        <v>13</v>
      </c>
      <c r="L1963" s="108" t="str">
        <f>VLOOKUP(K1963,LUTs!E$2:G$14,3,)</f>
        <v>01Whatcom</v>
      </c>
      <c r="M1963" s="108" t="str">
        <f>VLOOKUP($K1963,LUTs!$E$2:$H$14,2,)</f>
        <v>North Puget Sound</v>
      </c>
      <c r="N1963" s="108" t="str">
        <f>VLOOKUP($K1963,LUTs!$E$2:$H$14,4,)</f>
        <v>01North Puget Sound</v>
      </c>
      <c r="O1963" s="108">
        <v>9.7966203983101998</v>
      </c>
      <c r="P1963" s="108">
        <v>33.700374170187096</v>
      </c>
      <c r="Q1963" s="108">
        <f>SUMIFS('FW_Salmon_by_Month_2010-2021'!P$2:P$3810,'FW_Salmon_by_Month_2010-2021'!$B$2:$B$3810,'Rec_raw_catch_effort_2010-2021'!$B1963,'FW_Salmon_by_Month_2010-2021'!$H$2:$H$3810,'Rec_raw_catch_effort_2010-2021'!$F1963,'FW_Salmon_by_Month_2010-2021'!$M$2:$M$3810,'Rec_raw_catch_effort_2010-2021'!$K1963)</f>
        <v>9.9166666666666696</v>
      </c>
      <c r="R1963" s="109">
        <f>VLOOKUP(B1963,Readme!$A$62:$C$74,2,)*Q1963</f>
        <v>35.095484361175629</v>
      </c>
      <c r="S1963" s="140" t="str">
        <f t="shared" si="161"/>
        <v>Y</v>
      </c>
      <c r="T1963" s="154">
        <f t="shared" si="162"/>
        <v>3.4400000000000008</v>
      </c>
      <c r="U1963" s="154">
        <f t="shared" si="163"/>
        <v>3.5390404397824153</v>
      </c>
    </row>
    <row r="1964" spans="1:21" x14ac:dyDescent="0.35">
      <c r="A1964" s="108">
        <v>570</v>
      </c>
      <c r="B1964" s="108">
        <v>2018</v>
      </c>
      <c r="C1964" s="108" t="s">
        <v>38</v>
      </c>
      <c r="D1964" s="108" t="s">
        <v>143</v>
      </c>
      <c r="E1964" s="108" t="s">
        <v>10</v>
      </c>
      <c r="F1964" s="116">
        <v>804</v>
      </c>
      <c r="G1964" s="108" t="s">
        <v>54</v>
      </c>
      <c r="H1964" s="108" t="str">
        <f t="shared" si="164"/>
        <v>Puyallup River</v>
      </c>
      <c r="I1964" s="108" t="str">
        <f>IFERROR(VLOOKUP(H1964,LUTs!$A$1:$C$73,2,FALSE),"NA")</f>
        <v>Pierce</v>
      </c>
      <c r="J1964" s="108" t="str">
        <f>IFERROR(VLOOKUP(H1964,LUTs!$A$1:$C$73,3,FALSE),"NA")</f>
        <v>3South Puget Sound</v>
      </c>
      <c r="K1964" s="108" t="s">
        <v>25</v>
      </c>
      <c r="L1964" s="108" t="str">
        <f>VLOOKUP(K1964,LUTs!E$2:G$14,3,)</f>
        <v>12Jefferson</v>
      </c>
      <c r="M1964" s="108" t="str">
        <f>VLOOKUP($K1964,LUTs!$E$2:$H$14,2,)</f>
        <v>Strait of Juan de Fuca</v>
      </c>
      <c r="N1964" s="108" t="str">
        <f>VLOOKUP($K1964,LUTs!$E$2:$H$14,4,)</f>
        <v>03Strait of Juan de Fuca</v>
      </c>
      <c r="O1964" s="108">
        <v>9.8397085610200392</v>
      </c>
      <c r="P1964" s="108">
        <v>85.113479052823294</v>
      </c>
      <c r="Q1964" s="108">
        <f>SUMIFS('FW_Salmon_by_Month_2010-2021'!P$2:P$3810,'FW_Salmon_by_Month_2010-2021'!$B$2:$B$3810,'Rec_raw_catch_effort_2010-2021'!$B1964,'FW_Salmon_by_Month_2010-2021'!$H$2:$H$3810,'Rec_raw_catch_effort_2010-2021'!$F1964,'FW_Salmon_by_Month_2010-2021'!$M$2:$M$3810,'Rec_raw_catch_effort_2010-2021'!$K1964)</f>
        <v>10.025477707006401</v>
      </c>
      <c r="R1964" s="109">
        <f>VLOOKUP(B1964,Readme!$A$62:$C$74,2,)*Q1964</f>
        <v>48.31834024888034</v>
      </c>
      <c r="S1964" s="140" t="str">
        <f t="shared" si="161"/>
        <v>Y</v>
      </c>
      <c r="T1964" s="154">
        <f t="shared" si="162"/>
        <v>8.649999999999995</v>
      </c>
      <c r="U1964" s="154">
        <f t="shared" si="163"/>
        <v>4.8195549041132084</v>
      </c>
    </row>
    <row r="1965" spans="1:21" x14ac:dyDescent="0.35">
      <c r="A1965" s="108">
        <v>473</v>
      </c>
      <c r="B1965" s="108">
        <v>2018</v>
      </c>
      <c r="C1965" s="108" t="s">
        <v>38</v>
      </c>
      <c r="D1965" s="108" t="s">
        <v>143</v>
      </c>
      <c r="E1965" s="108" t="s">
        <v>10</v>
      </c>
      <c r="F1965" s="116">
        <v>804</v>
      </c>
      <c r="G1965" s="108" t="s">
        <v>54</v>
      </c>
      <c r="H1965" s="108" t="str">
        <f t="shared" si="164"/>
        <v>Puyallup River</v>
      </c>
      <c r="I1965" s="108" t="str">
        <f>IFERROR(VLOOKUP(H1965,LUTs!$A$1:$C$73,2,FALSE),"NA")</f>
        <v>Pierce</v>
      </c>
      <c r="J1965" s="108" t="str">
        <f>IFERROR(VLOOKUP(H1965,LUTs!$A$1:$C$73,3,FALSE),"NA")</f>
        <v>3South Puget Sound</v>
      </c>
      <c r="K1965" s="108" t="s">
        <v>18</v>
      </c>
      <c r="L1965" s="108" t="str">
        <f>VLOOKUP(K1965,LUTs!E$2:G$14,3,)</f>
        <v>06King</v>
      </c>
      <c r="M1965" s="108" t="str">
        <f>VLOOKUP($K1965,LUTs!$E$2:$H$14,2,)</f>
        <v>South Puget Sound</v>
      </c>
      <c r="N1965" s="108" t="str">
        <f>VLOOKUP($K1965,LUTs!$E$2:$H$14,4,)</f>
        <v>02South Puget Sound</v>
      </c>
      <c r="O1965" s="108">
        <v>1220.1238615664799</v>
      </c>
      <c r="P1965" s="108">
        <v>10554.0714025501</v>
      </c>
      <c r="Q1965" s="108">
        <f>SUMIFS('FW_Salmon_by_Month_2010-2021'!P$2:P$3810,'FW_Salmon_by_Month_2010-2021'!$B$2:$B$3810,'Rec_raw_catch_effort_2010-2021'!$B1965,'FW_Salmon_by_Month_2010-2021'!$H$2:$H$3810,'Rec_raw_catch_effort_2010-2021'!$F1965,'FW_Salmon_by_Month_2010-2021'!$M$2:$M$3810,'Rec_raw_catch_effort_2010-2021'!$K1965)</f>
        <v>1232.6093898224697</v>
      </c>
      <c r="R1965" s="109">
        <f>VLOOKUP(B1965,Readme!$A$62:$C$74,2,)*Q1965</f>
        <v>5940.6286295748732</v>
      </c>
      <c r="S1965" s="140" t="str">
        <f t="shared" si="161"/>
        <v>Y</v>
      </c>
      <c r="T1965" s="154">
        <f t="shared" si="162"/>
        <v>8.6500000000000394</v>
      </c>
      <c r="U1965" s="154">
        <f t="shared" si="163"/>
        <v>4.8195549041132084</v>
      </c>
    </row>
    <row r="1966" spans="1:21" x14ac:dyDescent="0.35">
      <c r="A1966" s="108">
        <v>569</v>
      </c>
      <c r="B1966" s="108">
        <v>2018</v>
      </c>
      <c r="C1966" s="108" t="s">
        <v>38</v>
      </c>
      <c r="D1966" s="108" t="s">
        <v>143</v>
      </c>
      <c r="E1966" s="108" t="s">
        <v>10</v>
      </c>
      <c r="F1966" s="116">
        <v>804</v>
      </c>
      <c r="G1966" s="108" t="s">
        <v>54</v>
      </c>
      <c r="H1966" s="108" t="str">
        <f t="shared" si="164"/>
        <v>Puyallup River</v>
      </c>
      <c r="I1966" s="108" t="str">
        <f>IFERROR(VLOOKUP(H1966,LUTs!$A$1:$C$73,2,FALSE),"NA")</f>
        <v>Pierce</v>
      </c>
      <c r="J1966" s="108" t="str">
        <f>IFERROR(VLOOKUP(H1966,LUTs!$A$1:$C$73,3,FALSE),"NA")</f>
        <v>3South Puget Sound</v>
      </c>
      <c r="K1966" s="108" t="s">
        <v>23</v>
      </c>
      <c r="L1966" s="108" t="str">
        <f>VLOOKUP(K1966,LUTs!E$2:G$14,3,)</f>
        <v>10Kitsap</v>
      </c>
      <c r="M1966" s="108" t="str">
        <f>VLOOKUP($K1966,LUTs!$E$2:$H$14,2,)</f>
        <v>South Puget Sound</v>
      </c>
      <c r="N1966" s="108" t="str">
        <f>VLOOKUP($K1966,LUTs!$E$2:$H$14,4,)</f>
        <v>02South Puget Sound</v>
      </c>
      <c r="O1966" s="108">
        <v>9.8397085610200392</v>
      </c>
      <c r="P1966" s="108">
        <v>85.113479052823294</v>
      </c>
      <c r="Q1966" s="108">
        <f>SUMIFS('FW_Salmon_by_Month_2010-2021'!P$2:P$3810,'FW_Salmon_by_Month_2010-2021'!$B$2:$B$3810,'Rec_raw_catch_effort_2010-2021'!$B1966,'FW_Salmon_by_Month_2010-2021'!$H$2:$H$3810,'Rec_raw_catch_effort_2010-2021'!$F1966,'FW_Salmon_by_Month_2010-2021'!$M$2:$M$3810,'Rec_raw_catch_effort_2010-2021'!$K1966)</f>
        <v>10.012499999999999</v>
      </c>
      <c r="R1966" s="109">
        <f>VLOOKUP(B1966,Readme!$A$62:$C$74,2,)*Q1966</f>
        <v>48.255793477433492</v>
      </c>
      <c r="S1966" s="140" t="str">
        <f t="shared" si="161"/>
        <v>Y</v>
      </c>
      <c r="T1966" s="154">
        <f t="shared" si="162"/>
        <v>8.649999999999995</v>
      </c>
      <c r="U1966" s="154">
        <f t="shared" si="163"/>
        <v>4.8195549041132084</v>
      </c>
    </row>
    <row r="1967" spans="1:21" x14ac:dyDescent="0.35">
      <c r="A1967" s="108">
        <v>571</v>
      </c>
      <c r="B1967" s="108">
        <v>2018</v>
      </c>
      <c r="C1967" s="108" t="s">
        <v>38</v>
      </c>
      <c r="D1967" s="108" t="s">
        <v>143</v>
      </c>
      <c r="E1967" s="108" t="s">
        <v>10</v>
      </c>
      <c r="F1967" s="116">
        <v>804</v>
      </c>
      <c r="G1967" s="108" t="s">
        <v>54</v>
      </c>
      <c r="H1967" s="108" t="str">
        <f t="shared" si="164"/>
        <v>Puyallup River</v>
      </c>
      <c r="I1967" s="108" t="str">
        <f>IFERROR(VLOOKUP(H1967,LUTs!$A$1:$C$73,2,FALSE),"NA")</f>
        <v>Pierce</v>
      </c>
      <c r="J1967" s="108" t="str">
        <f>IFERROR(VLOOKUP(H1967,LUTs!$A$1:$C$73,3,FALSE),"NA")</f>
        <v>3South Puget Sound</v>
      </c>
      <c r="K1967" s="108" t="s">
        <v>26</v>
      </c>
      <c r="L1967" s="108" t="str">
        <f>VLOOKUP(K1967,LUTs!E$2:G$14,3,)</f>
        <v>20Other</v>
      </c>
      <c r="M1967" s="108" t="str">
        <f>VLOOKUP($K1967,LUTs!$E$2:$H$14,2,)</f>
        <v>Non Puget Sound</v>
      </c>
      <c r="N1967" s="108" t="str">
        <f>VLOOKUP($K1967,LUTs!$E$2:$H$14,4,)</f>
        <v>07Non Puget Sound</v>
      </c>
      <c r="O1967" s="108">
        <v>98.397085610200406</v>
      </c>
      <c r="P1967" s="108">
        <v>851.13479052823402</v>
      </c>
      <c r="Q1967" s="108">
        <f>SUMIFS('FW_Salmon_by_Month_2010-2021'!P$2:P$3810,'FW_Salmon_by_Month_2010-2021'!$B$2:$B$3810,'Rec_raw_catch_effort_2010-2021'!$B1967,'FW_Salmon_by_Month_2010-2021'!$H$2:$H$3810,'Rec_raw_catch_effort_2010-2021'!$F1967,'FW_Salmon_by_Month_2010-2021'!$M$2:$M$3810,'Rec_raw_catch_effort_2010-2021'!$K1967)</f>
        <v>100.31440574603599</v>
      </c>
      <c r="R1967" s="109">
        <f>VLOOKUP(B1967,Readme!$A$62:$C$74,2,)*Q1967</f>
        <v>483.47078616650998</v>
      </c>
      <c r="S1967" s="140" t="str">
        <f t="shared" si="161"/>
        <v>Y</v>
      </c>
      <c r="T1967" s="154">
        <f t="shared" si="162"/>
        <v>8.6500000000000057</v>
      </c>
      <c r="U1967" s="154">
        <f t="shared" si="163"/>
        <v>4.8195549041132084</v>
      </c>
    </row>
    <row r="1968" spans="1:21" x14ac:dyDescent="0.35">
      <c r="A1968" s="108">
        <v>567</v>
      </c>
      <c r="B1968" s="108">
        <v>2018</v>
      </c>
      <c r="C1968" s="108" t="s">
        <v>38</v>
      </c>
      <c r="D1968" s="108" t="s">
        <v>143</v>
      </c>
      <c r="E1968" s="108" t="s">
        <v>10</v>
      </c>
      <c r="F1968" s="116">
        <v>804</v>
      </c>
      <c r="G1968" s="108" t="s">
        <v>54</v>
      </c>
      <c r="H1968" s="108" t="str">
        <f t="shared" si="164"/>
        <v>Puyallup River</v>
      </c>
      <c r="I1968" s="108" t="str">
        <f>IFERROR(VLOOKUP(H1968,LUTs!$A$1:$C$73,2,FALSE),"NA")</f>
        <v>Pierce</v>
      </c>
      <c r="J1968" s="108" t="str">
        <f>IFERROR(VLOOKUP(H1968,LUTs!$A$1:$C$73,3,FALSE),"NA")</f>
        <v>3South Puget Sound</v>
      </c>
      <c r="K1968" s="108" t="s">
        <v>20</v>
      </c>
      <c r="L1968" s="108" t="str">
        <f>VLOOKUP(K1968,LUTs!E$2:G$14,3,)</f>
        <v>07Pierce</v>
      </c>
      <c r="M1968" s="108" t="str">
        <f>VLOOKUP($K1968,LUTs!$E$2:$H$14,2,)</f>
        <v>South Puget Sound</v>
      </c>
      <c r="N1968" s="108" t="str">
        <f>VLOOKUP($K1968,LUTs!$E$2:$H$14,4,)</f>
        <v>02South Puget Sound</v>
      </c>
      <c r="O1968" s="108">
        <v>3975.2422586521002</v>
      </c>
      <c r="P1968" s="108">
        <v>34385.845537340698</v>
      </c>
      <c r="Q1968" s="108">
        <f>SUMIFS('FW_Salmon_by_Month_2010-2021'!P$2:P$3810,'FW_Salmon_by_Month_2010-2021'!$B$2:$B$3810,'Rec_raw_catch_effort_2010-2021'!$B1968,'FW_Salmon_by_Month_2010-2021'!$H$2:$H$3810,'Rec_raw_catch_effort_2010-2021'!$F1968,'FW_Salmon_by_Month_2010-2021'!$M$2:$M$3810,'Rec_raw_catch_effort_2010-2021'!$K1968)</f>
        <v>3958.8060568074038</v>
      </c>
      <c r="R1968" s="109">
        <f>VLOOKUP(B1968,Readme!$A$62:$C$74,2,)*Q1968</f>
        <v>19079.683145519197</v>
      </c>
      <c r="S1968" s="140" t="str">
        <f t="shared" si="161"/>
        <v>Y</v>
      </c>
      <c r="T1968" s="154">
        <f t="shared" si="162"/>
        <v>8.6500000000000075</v>
      </c>
      <c r="U1968" s="154">
        <f t="shared" si="163"/>
        <v>4.8195549041132084</v>
      </c>
    </row>
    <row r="1969" spans="1:21" x14ac:dyDescent="0.35">
      <c r="A1969" s="108">
        <v>472</v>
      </c>
      <c r="B1969" s="108">
        <v>2018</v>
      </c>
      <c r="C1969" s="108" t="s">
        <v>38</v>
      </c>
      <c r="D1969" s="108" t="s">
        <v>143</v>
      </c>
      <c r="E1969" s="108" t="s">
        <v>10</v>
      </c>
      <c r="F1969" s="116">
        <v>804</v>
      </c>
      <c r="G1969" s="108" t="s">
        <v>54</v>
      </c>
      <c r="H1969" s="108" t="str">
        <f t="shared" si="164"/>
        <v>Puyallup River</v>
      </c>
      <c r="I1969" s="108" t="str">
        <f>IFERROR(VLOOKUP(H1969,LUTs!$A$1:$C$73,2,FALSE),"NA")</f>
        <v>Pierce</v>
      </c>
      <c r="J1969" s="108" t="str">
        <f>IFERROR(VLOOKUP(H1969,LUTs!$A$1:$C$73,3,FALSE),"NA")</f>
        <v>3South Puget Sound</v>
      </c>
      <c r="K1969" s="108" t="s">
        <v>16</v>
      </c>
      <c r="L1969" s="108" t="str">
        <f>VLOOKUP(K1969,LUTs!E$2:G$14,3,)</f>
        <v>03Snohomish</v>
      </c>
      <c r="M1969" s="108" t="str">
        <f>VLOOKUP($K1969,LUTs!$E$2:$H$14,2,)</f>
        <v>North Puget Sound</v>
      </c>
      <c r="N1969" s="108" t="str">
        <f>VLOOKUP($K1969,LUTs!$E$2:$H$14,4,)</f>
        <v>01North Puget Sound</v>
      </c>
      <c r="O1969" s="108">
        <v>19.6794171220401</v>
      </c>
      <c r="P1969" s="108">
        <v>170.22695810564699</v>
      </c>
      <c r="Q1969" s="108">
        <f>SUMIFS('FW_Salmon_by_Month_2010-2021'!P$2:P$3810,'FW_Salmon_by_Month_2010-2021'!$B$2:$B$3810,'Rec_raw_catch_effort_2010-2021'!$B1969,'FW_Salmon_by_Month_2010-2021'!$H$2:$H$3810,'Rec_raw_catch_effort_2010-2021'!$F1969,'FW_Salmon_by_Month_2010-2021'!$M$2:$M$3810,'Rec_raw_catch_effort_2010-2021'!$K1969)</f>
        <v>20.170212765957501</v>
      </c>
      <c r="R1969" s="109">
        <f>VLOOKUP(B1969,Readme!$A$62:$C$74,2,)*Q1969</f>
        <v>97.211447853177319</v>
      </c>
      <c r="S1969" s="140" t="str">
        <f t="shared" si="161"/>
        <v>Y</v>
      </c>
      <c r="T1969" s="154">
        <f t="shared" si="162"/>
        <v>8.6500000000000057</v>
      </c>
      <c r="U1969" s="154">
        <f t="shared" si="163"/>
        <v>4.8195549041132084</v>
      </c>
    </row>
    <row r="1970" spans="1:21" x14ac:dyDescent="0.35">
      <c r="A1970" s="108">
        <v>568</v>
      </c>
      <c r="B1970" s="108">
        <v>2018</v>
      </c>
      <c r="C1970" s="108" t="s">
        <v>38</v>
      </c>
      <c r="D1970" s="108" t="s">
        <v>143</v>
      </c>
      <c r="E1970" s="108" t="s">
        <v>10</v>
      </c>
      <c r="F1970" s="116">
        <v>804</v>
      </c>
      <c r="G1970" s="108" t="s">
        <v>54</v>
      </c>
      <c r="H1970" s="108" t="str">
        <f t="shared" si="164"/>
        <v>Puyallup River</v>
      </c>
      <c r="I1970" s="108" t="str">
        <f>IFERROR(VLOOKUP(H1970,LUTs!$A$1:$C$73,2,FALSE),"NA")</f>
        <v>Pierce</v>
      </c>
      <c r="J1970" s="108" t="str">
        <f>IFERROR(VLOOKUP(H1970,LUTs!$A$1:$C$73,3,FALSE),"NA")</f>
        <v>3South Puget Sound</v>
      </c>
      <c r="K1970" s="108" t="s">
        <v>21</v>
      </c>
      <c r="L1970" s="108" t="str">
        <f>VLOOKUP(K1970,LUTs!E$2:G$14,3,)</f>
        <v>08Thurston</v>
      </c>
      <c r="M1970" s="108" t="str">
        <f>VLOOKUP($K1970,LUTs!$E$2:$H$14,2,)</f>
        <v>South Puget Sound</v>
      </c>
      <c r="N1970" s="108" t="str">
        <f>VLOOKUP($K1970,LUTs!$E$2:$H$14,4,)</f>
        <v>02South Puget Sound</v>
      </c>
      <c r="O1970" s="108">
        <v>68.877959927140296</v>
      </c>
      <c r="P1970" s="108">
        <v>595.79435336976405</v>
      </c>
      <c r="Q1970" s="108">
        <f>SUMIFS('FW_Salmon_by_Month_2010-2021'!P$2:P$3810,'FW_Salmon_by_Month_2010-2021'!$B$2:$B$3810,'Rec_raw_catch_effort_2010-2021'!$B1970,'FW_Salmon_by_Month_2010-2021'!$H$2:$H$3810,'Rec_raw_catch_effort_2010-2021'!$F1970,'FW_Salmon_by_Month_2010-2021'!$M$2:$M$3810,'Rec_raw_catch_effort_2010-2021'!$K1970)</f>
        <v>70.061957151129107</v>
      </c>
      <c r="R1970" s="109">
        <f>VLOOKUP(B1970,Readme!$A$62:$C$74,2,)*Q1970</f>
        <v>337.66744917949376</v>
      </c>
      <c r="S1970" s="140" t="str">
        <f t="shared" si="161"/>
        <v>Y</v>
      </c>
      <c r="T1970" s="154">
        <f t="shared" si="162"/>
        <v>8.6500000000000075</v>
      </c>
      <c r="U1970" s="154">
        <f t="shared" si="163"/>
        <v>4.8195549041132084</v>
      </c>
    </row>
    <row r="1971" spans="1:21" x14ac:dyDescent="0.35">
      <c r="A1971" s="108">
        <v>683</v>
      </c>
      <c r="B1971" s="108">
        <v>2019</v>
      </c>
      <c r="C1971" s="108" t="s">
        <v>38</v>
      </c>
      <c r="D1971" s="108" t="s">
        <v>143</v>
      </c>
      <c r="E1971" s="108" t="s">
        <v>10</v>
      </c>
      <c r="F1971" s="116">
        <v>804</v>
      </c>
      <c r="G1971" s="108" t="s">
        <v>54</v>
      </c>
      <c r="H1971" s="108" t="str">
        <f t="shared" si="164"/>
        <v>Puyallup River</v>
      </c>
      <c r="I1971" s="108" t="str">
        <f>IFERROR(VLOOKUP(H1971,LUTs!$A$1:$C$73,2,FALSE),"NA")</f>
        <v>Pierce</v>
      </c>
      <c r="J1971" s="108" t="str">
        <f>IFERROR(VLOOKUP(H1971,LUTs!$A$1:$C$73,3,FALSE),"NA")</f>
        <v>3South Puget Sound</v>
      </c>
      <c r="K1971" s="108" t="s">
        <v>24</v>
      </c>
      <c r="L1971" s="108" t="str">
        <f>VLOOKUP(K1971,LUTs!E$2:G$14,3,)</f>
        <v>11Clallam</v>
      </c>
      <c r="M1971" s="108" t="str">
        <f>VLOOKUP($K1971,LUTs!$E$2:$H$14,2,)</f>
        <v>Strait of Juan de Fuca</v>
      </c>
      <c r="N1971" s="108" t="str">
        <f>VLOOKUP($K1971,LUTs!$E$2:$H$14,4,)</f>
        <v>03Strait of Juan de Fuca</v>
      </c>
      <c r="O1971" s="108">
        <v>31.84375</v>
      </c>
      <c r="P1971" s="108">
        <v>109.5425</v>
      </c>
      <c r="Q1971" s="108">
        <f>SUMIFS('FW_Salmon_by_Month_2010-2021'!P$2:P$3810,'FW_Salmon_by_Month_2010-2021'!$B$2:$B$3810,'Rec_raw_catch_effort_2010-2021'!$B1971,'FW_Salmon_by_Month_2010-2021'!$H$2:$H$3810,'Rec_raw_catch_effort_2010-2021'!$F1971,'FW_Salmon_by_Month_2010-2021'!$M$2:$M$3810,'Rec_raw_catch_effort_2010-2021'!$K1971)</f>
        <v>32.381158537331004</v>
      </c>
      <c r="R1971" s="109">
        <f>VLOOKUP(B1971,Readme!$A$62:$C$74,2,)*Q1971</f>
        <v>114.59822955062003</v>
      </c>
      <c r="S1971" s="140" t="str">
        <f t="shared" si="161"/>
        <v>Y</v>
      </c>
      <c r="T1971" s="154">
        <f t="shared" si="162"/>
        <v>3.44</v>
      </c>
      <c r="U1971" s="154">
        <f t="shared" si="163"/>
        <v>3.5390404397824153</v>
      </c>
    </row>
    <row r="1972" spans="1:21" x14ac:dyDescent="0.35">
      <c r="A1972" s="108">
        <v>684</v>
      </c>
      <c r="B1972" s="108">
        <v>2019</v>
      </c>
      <c r="C1972" s="108" t="s">
        <v>38</v>
      </c>
      <c r="D1972" s="108" t="s">
        <v>143</v>
      </c>
      <c r="E1972" s="108" t="s">
        <v>10</v>
      </c>
      <c r="F1972" s="116">
        <v>804</v>
      </c>
      <c r="G1972" s="108" t="s">
        <v>54</v>
      </c>
      <c r="H1972" s="108" t="str">
        <f t="shared" si="164"/>
        <v>Puyallup River</v>
      </c>
      <c r="I1972" s="108" t="str">
        <f>IFERROR(VLOOKUP(H1972,LUTs!$A$1:$C$73,2,FALSE),"NA")</f>
        <v>Pierce</v>
      </c>
      <c r="J1972" s="108" t="str">
        <f>IFERROR(VLOOKUP(H1972,LUTs!$A$1:$C$73,3,FALSE),"NA")</f>
        <v>3South Puget Sound</v>
      </c>
      <c r="K1972" s="108" t="s">
        <v>25</v>
      </c>
      <c r="L1972" s="108" t="str">
        <f>VLOOKUP(K1972,LUTs!E$2:G$14,3,)</f>
        <v>12Jefferson</v>
      </c>
      <c r="M1972" s="108" t="str">
        <f>VLOOKUP($K1972,LUTs!$E$2:$H$14,2,)</f>
        <v>Strait of Juan de Fuca</v>
      </c>
      <c r="N1972" s="108" t="str">
        <f>VLOOKUP($K1972,LUTs!$E$2:$H$14,4,)</f>
        <v>03Strait of Juan de Fuca</v>
      </c>
      <c r="O1972" s="108">
        <v>127.375</v>
      </c>
      <c r="P1972" s="108">
        <v>438.17</v>
      </c>
      <c r="Q1972" s="108">
        <f>SUMIFS('FW_Salmon_by_Month_2010-2021'!P$2:P$3810,'FW_Salmon_by_Month_2010-2021'!$B$2:$B$3810,'Rec_raw_catch_effort_2010-2021'!$B1972,'FW_Salmon_by_Month_2010-2021'!$H$2:$H$3810,'Rec_raw_catch_effort_2010-2021'!$F1972,'FW_Salmon_by_Month_2010-2021'!$M$2:$M$3810,'Rec_raw_catch_effort_2010-2021'!$K1972)</f>
        <v>129.49826712625787</v>
      </c>
      <c r="R1972" s="109">
        <f>VLOOKUP(B1972,Readme!$A$62:$C$74,2,)*Q1972</f>
        <v>458.29960424157235</v>
      </c>
      <c r="S1972" s="140" t="str">
        <f t="shared" si="161"/>
        <v>Y</v>
      </c>
      <c r="T1972" s="154">
        <f t="shared" si="162"/>
        <v>3.44</v>
      </c>
      <c r="U1972" s="154">
        <f t="shared" si="163"/>
        <v>3.5390404397824153</v>
      </c>
    </row>
    <row r="1973" spans="1:21" x14ac:dyDescent="0.35">
      <c r="A1973" s="108">
        <v>678</v>
      </c>
      <c r="B1973" s="108">
        <v>2019</v>
      </c>
      <c r="C1973" s="108" t="s">
        <v>38</v>
      </c>
      <c r="D1973" s="108" t="s">
        <v>143</v>
      </c>
      <c r="E1973" s="108" t="s">
        <v>10</v>
      </c>
      <c r="F1973" s="116">
        <v>804</v>
      </c>
      <c r="G1973" s="108" t="s">
        <v>54</v>
      </c>
      <c r="H1973" s="108" t="str">
        <f t="shared" si="164"/>
        <v>Puyallup River</v>
      </c>
      <c r="I1973" s="108" t="str">
        <f>IFERROR(VLOOKUP(H1973,LUTs!$A$1:$C$73,2,FALSE),"NA")</f>
        <v>Pierce</v>
      </c>
      <c r="J1973" s="108" t="str">
        <f>IFERROR(VLOOKUP(H1973,LUTs!$A$1:$C$73,3,FALSE),"NA")</f>
        <v>3South Puget Sound</v>
      </c>
      <c r="K1973" s="108" t="s">
        <v>18</v>
      </c>
      <c r="L1973" s="108" t="str">
        <f>VLOOKUP(K1973,LUTs!E$2:G$14,3,)</f>
        <v>06King</v>
      </c>
      <c r="M1973" s="108" t="str">
        <f>VLOOKUP($K1973,LUTs!$E$2:$H$14,2,)</f>
        <v>South Puget Sound</v>
      </c>
      <c r="N1973" s="108" t="str">
        <f>VLOOKUP($K1973,LUTs!$E$2:$H$14,4,)</f>
        <v>02South Puget Sound</v>
      </c>
      <c r="O1973" s="108">
        <v>12450.90625</v>
      </c>
      <c r="P1973" s="108">
        <v>42831.1175</v>
      </c>
      <c r="Q1973" s="108">
        <f>SUMIFS('FW_Salmon_by_Month_2010-2021'!P$2:P$3810,'FW_Salmon_by_Month_2010-2021'!$B$2:$B$3810,'Rec_raw_catch_effort_2010-2021'!$B1973,'FW_Salmon_by_Month_2010-2021'!$H$2:$H$3810,'Rec_raw_catch_effort_2010-2021'!$F1973,'FW_Salmon_by_Month_2010-2021'!$M$2:$M$3810,'Rec_raw_catch_effort_2010-2021'!$K1973)</f>
        <v>12596.78961371637</v>
      </c>
      <c r="R1973" s="109">
        <f>VLOOKUP(B1973,Readme!$A$62:$C$74,2,)*Q1973</f>
        <v>44580.547854373341</v>
      </c>
      <c r="S1973" s="140" t="str">
        <f t="shared" si="161"/>
        <v>Y</v>
      </c>
      <c r="T1973" s="154">
        <f t="shared" si="162"/>
        <v>3.44</v>
      </c>
      <c r="U1973" s="154">
        <f t="shared" si="163"/>
        <v>3.5390404397824153</v>
      </c>
    </row>
    <row r="1974" spans="1:21" x14ac:dyDescent="0.35">
      <c r="A1974" s="108">
        <v>682</v>
      </c>
      <c r="B1974" s="108">
        <v>2019</v>
      </c>
      <c r="C1974" s="108" t="s">
        <v>38</v>
      </c>
      <c r="D1974" s="108" t="s">
        <v>143</v>
      </c>
      <c r="E1974" s="108" t="s">
        <v>10</v>
      </c>
      <c r="F1974" s="116">
        <v>804</v>
      </c>
      <c r="G1974" s="108" t="s">
        <v>54</v>
      </c>
      <c r="H1974" s="108" t="str">
        <f t="shared" si="164"/>
        <v>Puyallup River</v>
      </c>
      <c r="I1974" s="108" t="str">
        <f>IFERROR(VLOOKUP(H1974,LUTs!$A$1:$C$73,2,FALSE),"NA")</f>
        <v>Pierce</v>
      </c>
      <c r="J1974" s="108" t="str">
        <f>IFERROR(VLOOKUP(H1974,LUTs!$A$1:$C$73,3,FALSE),"NA")</f>
        <v>3South Puget Sound</v>
      </c>
      <c r="K1974" s="108" t="s">
        <v>23</v>
      </c>
      <c r="L1974" s="108" t="str">
        <f>VLOOKUP(K1974,LUTs!E$2:G$14,3,)</f>
        <v>10Kitsap</v>
      </c>
      <c r="M1974" s="108" t="str">
        <f>VLOOKUP($K1974,LUTs!$E$2:$H$14,2,)</f>
        <v>South Puget Sound</v>
      </c>
      <c r="N1974" s="108" t="str">
        <f>VLOOKUP($K1974,LUTs!$E$2:$H$14,4,)</f>
        <v>02South Puget Sound</v>
      </c>
      <c r="O1974" s="108">
        <v>583.80208333333303</v>
      </c>
      <c r="P1974" s="108">
        <v>2008.2791666666701</v>
      </c>
      <c r="Q1974" s="108">
        <f>SUMIFS('FW_Salmon_by_Month_2010-2021'!P$2:P$3810,'FW_Salmon_by_Month_2010-2021'!$B$2:$B$3810,'Rec_raw_catch_effort_2010-2021'!$B1974,'FW_Salmon_by_Month_2010-2021'!$H$2:$H$3810,'Rec_raw_catch_effort_2010-2021'!$F1974,'FW_Salmon_by_Month_2010-2021'!$M$2:$M$3810,'Rec_raw_catch_effort_2010-2021'!$K1974)</f>
        <v>593.68533471131298</v>
      </c>
      <c r="R1974" s="109">
        <f>VLOOKUP(B1974,Readme!$A$62:$C$74,2,)*Q1974</f>
        <v>2101.0764080490953</v>
      </c>
      <c r="S1974" s="140" t="str">
        <f t="shared" si="161"/>
        <v>Y</v>
      </c>
      <c r="T1974" s="154">
        <f t="shared" si="162"/>
        <v>3.4400000000000075</v>
      </c>
      <c r="U1974" s="154">
        <f t="shared" si="163"/>
        <v>3.5390404397824149</v>
      </c>
    </row>
    <row r="1975" spans="1:21" x14ac:dyDescent="0.35">
      <c r="A1975" s="108">
        <v>681</v>
      </c>
      <c r="B1975" s="108">
        <v>2019</v>
      </c>
      <c r="C1975" s="108" t="s">
        <v>38</v>
      </c>
      <c r="D1975" s="108" t="s">
        <v>143</v>
      </c>
      <c r="E1975" s="108" t="s">
        <v>10</v>
      </c>
      <c r="F1975" s="116">
        <v>804</v>
      </c>
      <c r="G1975" s="108" t="s">
        <v>54</v>
      </c>
      <c r="H1975" s="108" t="str">
        <f t="shared" si="164"/>
        <v>Puyallup River</v>
      </c>
      <c r="I1975" s="108" t="str">
        <f>IFERROR(VLOOKUP(H1975,LUTs!$A$1:$C$73,2,FALSE),"NA")</f>
        <v>Pierce</v>
      </c>
      <c r="J1975" s="108" t="str">
        <f>IFERROR(VLOOKUP(H1975,LUTs!$A$1:$C$73,3,FALSE),"NA")</f>
        <v>3South Puget Sound</v>
      </c>
      <c r="K1975" s="108" t="s">
        <v>22</v>
      </c>
      <c r="L1975" s="108" t="str">
        <f>VLOOKUP(K1975,LUTs!E$2:G$14,3,)</f>
        <v>09Mason</v>
      </c>
      <c r="M1975" s="108" t="str">
        <f>VLOOKUP($K1975,LUTs!$E$2:$H$14,2,)</f>
        <v>South Puget Sound</v>
      </c>
      <c r="N1975" s="108" t="str">
        <f>VLOOKUP($K1975,LUTs!$E$2:$H$14,4,)</f>
        <v>02South Puget Sound</v>
      </c>
      <c r="O1975" s="108">
        <v>488.27083333333297</v>
      </c>
      <c r="P1975" s="108">
        <v>1679.6516666666701</v>
      </c>
      <c r="Q1975" s="108">
        <f>SUMIFS('FW_Salmon_by_Month_2010-2021'!P$2:P$3810,'FW_Salmon_by_Month_2010-2021'!$B$2:$B$3810,'Rec_raw_catch_effort_2010-2021'!$B1975,'FW_Salmon_by_Month_2010-2021'!$H$2:$H$3810,'Rec_raw_catch_effort_2010-2021'!$F1975,'FW_Salmon_by_Month_2010-2021'!$M$2:$M$3810,'Rec_raw_catch_effort_2010-2021'!$K1975)</f>
        <v>474.90608053214396</v>
      </c>
      <c r="R1975" s="109">
        <f>VLOOKUP(B1975,Readme!$A$62:$C$74,2,)*Q1975</f>
        <v>1680.711824101822</v>
      </c>
      <c r="S1975" s="140" t="str">
        <f t="shared" si="161"/>
        <v>Y</v>
      </c>
      <c r="T1975" s="154">
        <f t="shared" si="162"/>
        <v>3.4400000000000093</v>
      </c>
      <c r="U1975" s="154">
        <f t="shared" si="163"/>
        <v>3.5390404397824153</v>
      </c>
    </row>
    <row r="1976" spans="1:21" x14ac:dyDescent="0.35">
      <c r="A1976" s="108">
        <v>685</v>
      </c>
      <c r="B1976" s="108">
        <v>2019</v>
      </c>
      <c r="C1976" s="108" t="s">
        <v>38</v>
      </c>
      <c r="D1976" s="108" t="s">
        <v>143</v>
      </c>
      <c r="E1976" s="108" t="s">
        <v>10</v>
      </c>
      <c r="F1976" s="116">
        <v>804</v>
      </c>
      <c r="G1976" s="108" t="s">
        <v>54</v>
      </c>
      <c r="H1976" s="108" t="str">
        <f t="shared" si="164"/>
        <v>Puyallup River</v>
      </c>
      <c r="I1976" s="108" t="str">
        <f>IFERROR(VLOOKUP(H1976,LUTs!$A$1:$C$73,2,FALSE),"NA")</f>
        <v>Pierce</v>
      </c>
      <c r="J1976" s="108" t="str">
        <f>IFERROR(VLOOKUP(H1976,LUTs!$A$1:$C$73,3,FALSE),"NA")</f>
        <v>3South Puget Sound</v>
      </c>
      <c r="K1976" s="108" t="s">
        <v>26</v>
      </c>
      <c r="L1976" s="108" t="str">
        <f>VLOOKUP(K1976,LUTs!E$2:G$14,3,)</f>
        <v>20Other</v>
      </c>
      <c r="M1976" s="108" t="str">
        <f>VLOOKUP($K1976,LUTs!$E$2:$H$14,2,)</f>
        <v>Non Puget Sound</v>
      </c>
      <c r="N1976" s="108" t="str">
        <f>VLOOKUP($K1976,LUTs!$E$2:$H$14,4,)</f>
        <v>07Non Puget Sound</v>
      </c>
      <c r="O1976" s="108">
        <v>1050.84375</v>
      </c>
      <c r="P1976" s="108">
        <v>3614.9025000000001</v>
      </c>
      <c r="Q1976" s="108">
        <f>SUMIFS('FW_Salmon_by_Month_2010-2021'!P$2:P$3810,'FW_Salmon_by_Month_2010-2021'!$B$2:$B$3810,'Rec_raw_catch_effort_2010-2021'!$B1976,'FW_Salmon_by_Month_2010-2021'!$H$2:$H$3810,'Rec_raw_catch_effort_2010-2021'!$F1976,'FW_Salmon_by_Month_2010-2021'!$M$2:$M$3810,'Rec_raw_catch_effort_2010-2021'!$K1976)</f>
        <v>1068.446396616592</v>
      </c>
      <c r="R1976" s="109">
        <f>VLOOKUP(B1976,Readme!$A$62:$C$74,2,)*Q1976</f>
        <v>3781.2750053659206</v>
      </c>
      <c r="S1976" s="140" t="str">
        <f t="shared" si="161"/>
        <v>Y</v>
      </c>
      <c r="T1976" s="154">
        <f t="shared" si="162"/>
        <v>3.44</v>
      </c>
      <c r="U1976" s="154">
        <f t="shared" si="163"/>
        <v>3.5390404397824153</v>
      </c>
    </row>
    <row r="1977" spans="1:21" x14ac:dyDescent="0.35">
      <c r="A1977" s="108">
        <v>679</v>
      </c>
      <c r="B1977" s="108">
        <v>2019</v>
      </c>
      <c r="C1977" s="108" t="s">
        <v>38</v>
      </c>
      <c r="D1977" s="108" t="s">
        <v>143</v>
      </c>
      <c r="E1977" s="108" t="s">
        <v>10</v>
      </c>
      <c r="F1977" s="116">
        <v>804</v>
      </c>
      <c r="G1977" s="108" t="s">
        <v>54</v>
      </c>
      <c r="H1977" s="108" t="str">
        <f t="shared" si="164"/>
        <v>Puyallup River</v>
      </c>
      <c r="I1977" s="108" t="str">
        <f>IFERROR(VLOOKUP(H1977,LUTs!$A$1:$C$73,2,FALSE),"NA")</f>
        <v>Pierce</v>
      </c>
      <c r="J1977" s="108" t="str">
        <f>IFERROR(VLOOKUP(H1977,LUTs!$A$1:$C$73,3,FALSE),"NA")</f>
        <v>3South Puget Sound</v>
      </c>
      <c r="K1977" s="108" t="s">
        <v>20</v>
      </c>
      <c r="L1977" s="108" t="str">
        <f>VLOOKUP(K1977,LUTs!E$2:G$14,3,)</f>
        <v>07Pierce</v>
      </c>
      <c r="M1977" s="108" t="str">
        <f>VLOOKUP($K1977,LUTs!$E$2:$H$14,2,)</f>
        <v>South Puget Sound</v>
      </c>
      <c r="N1977" s="108" t="str">
        <f>VLOOKUP($K1977,LUTs!$E$2:$H$14,4,)</f>
        <v>02South Puget Sound</v>
      </c>
      <c r="O1977" s="108">
        <v>23681.135416666701</v>
      </c>
      <c r="P1977" s="108">
        <v>81463.105833333495</v>
      </c>
      <c r="Q1977" s="108">
        <f>SUMIFS('FW_Salmon_by_Month_2010-2021'!P$2:P$3810,'FW_Salmon_by_Month_2010-2021'!$B$2:$B$3810,'Rec_raw_catch_effort_2010-2021'!$B1977,'FW_Salmon_by_Month_2010-2021'!$H$2:$H$3810,'Rec_raw_catch_effort_2010-2021'!$F1977,'FW_Salmon_by_Month_2010-2021'!$M$2:$M$3810,'Rec_raw_catch_effort_2010-2021'!$K1977)</f>
        <v>23597.453341537908</v>
      </c>
      <c r="R1977" s="109">
        <f>VLOOKUP(B1977,Readme!$A$62:$C$74,2,)*Q1977</f>
        <v>83512.341651581344</v>
      </c>
      <c r="S1977" s="140" t="str">
        <f t="shared" si="161"/>
        <v>Y</v>
      </c>
      <c r="T1977" s="154">
        <f t="shared" si="162"/>
        <v>3.4400000000000017</v>
      </c>
      <c r="U1977" s="154">
        <f t="shared" si="163"/>
        <v>3.5390404397824153</v>
      </c>
    </row>
    <row r="1978" spans="1:21" x14ac:dyDescent="0.35">
      <c r="A1978" s="108">
        <v>676</v>
      </c>
      <c r="B1978" s="108">
        <v>2019</v>
      </c>
      <c r="C1978" s="108" t="s">
        <v>38</v>
      </c>
      <c r="D1978" s="108" t="s">
        <v>143</v>
      </c>
      <c r="E1978" s="108" t="s">
        <v>10</v>
      </c>
      <c r="F1978" s="116">
        <v>804</v>
      </c>
      <c r="G1978" s="108" t="s">
        <v>54</v>
      </c>
      <c r="H1978" s="108" t="str">
        <f t="shared" si="164"/>
        <v>Puyallup River</v>
      </c>
      <c r="I1978" s="108" t="str">
        <f>IFERROR(VLOOKUP(H1978,LUTs!$A$1:$C$73,2,FALSE),"NA")</f>
        <v>Pierce</v>
      </c>
      <c r="J1978" s="108" t="str">
        <f>IFERROR(VLOOKUP(H1978,LUTs!$A$1:$C$73,3,FALSE),"NA")</f>
        <v>3South Puget Sound</v>
      </c>
      <c r="K1978" s="108" t="s">
        <v>15</v>
      </c>
      <c r="L1978" s="108" t="str">
        <f>VLOOKUP(K1978,LUTs!E$2:G$14,3,)</f>
        <v>02Skagit</v>
      </c>
      <c r="M1978" s="108" t="str">
        <f>VLOOKUP($K1978,LUTs!$E$2:$H$14,2,)</f>
        <v>North Puget Sound</v>
      </c>
      <c r="N1978" s="108" t="str">
        <f>VLOOKUP($K1978,LUTs!$E$2:$H$14,4,)</f>
        <v>01North Puget Sound</v>
      </c>
      <c r="O1978" s="108">
        <v>10.6145833333333</v>
      </c>
      <c r="P1978" s="108">
        <v>36.514166666666597</v>
      </c>
      <c r="Q1978" s="108">
        <f>SUMIFS('FW_Salmon_by_Month_2010-2021'!P$2:P$3810,'FW_Salmon_by_Month_2010-2021'!$B$2:$B$3810,'Rec_raw_catch_effort_2010-2021'!$B1978,'FW_Salmon_by_Month_2010-2021'!$H$2:$H$3810,'Rec_raw_catch_effort_2010-2021'!$F1978,'FW_Salmon_by_Month_2010-2021'!$M$2:$M$3810,'Rec_raw_catch_effort_2010-2021'!$K1978)</f>
        <v>10.8472222222222</v>
      </c>
      <c r="R1978" s="109">
        <f>VLOOKUP(B1978,Readme!$A$62:$C$74,2,)*Q1978</f>
        <v>38.388758103750845</v>
      </c>
      <c r="S1978" s="140" t="str">
        <f t="shared" si="161"/>
        <v>Y</v>
      </c>
      <c r="T1978" s="154">
        <f t="shared" si="162"/>
        <v>3.4400000000000044</v>
      </c>
      <c r="U1978" s="154">
        <f t="shared" si="163"/>
        <v>3.5390404397824153</v>
      </c>
    </row>
    <row r="1979" spans="1:21" x14ac:dyDescent="0.35">
      <c r="A1979" s="108">
        <v>677</v>
      </c>
      <c r="B1979" s="108">
        <v>2019</v>
      </c>
      <c r="C1979" s="108" t="s">
        <v>38</v>
      </c>
      <c r="D1979" s="108" t="s">
        <v>143</v>
      </c>
      <c r="E1979" s="108" t="s">
        <v>10</v>
      </c>
      <c r="F1979" s="116">
        <v>804</v>
      </c>
      <c r="G1979" s="108" t="s">
        <v>54</v>
      </c>
      <c r="H1979" s="108" t="str">
        <f t="shared" si="164"/>
        <v>Puyallup River</v>
      </c>
      <c r="I1979" s="108" t="str">
        <f>IFERROR(VLOOKUP(H1979,LUTs!$A$1:$C$73,2,FALSE),"NA")</f>
        <v>Pierce</v>
      </c>
      <c r="J1979" s="108" t="str">
        <f>IFERROR(VLOOKUP(H1979,LUTs!$A$1:$C$73,3,FALSE),"NA")</f>
        <v>3South Puget Sound</v>
      </c>
      <c r="K1979" s="108" t="s">
        <v>16</v>
      </c>
      <c r="L1979" s="108" t="str">
        <f>VLOOKUP(K1979,LUTs!E$2:G$14,3,)</f>
        <v>03Snohomish</v>
      </c>
      <c r="M1979" s="108" t="str">
        <f>VLOOKUP($K1979,LUTs!$E$2:$H$14,2,)</f>
        <v>North Puget Sound</v>
      </c>
      <c r="N1979" s="108" t="str">
        <f>VLOOKUP($K1979,LUTs!$E$2:$H$14,4,)</f>
        <v>01North Puget Sound</v>
      </c>
      <c r="O1979" s="108">
        <v>467.04166666666703</v>
      </c>
      <c r="P1979" s="108">
        <v>1606.62333333333</v>
      </c>
      <c r="Q1979" s="108">
        <f>SUMIFS('FW_Salmon_by_Month_2010-2021'!P$2:P$3810,'FW_Salmon_by_Month_2010-2021'!$B$2:$B$3810,'Rec_raw_catch_effort_2010-2021'!$B1979,'FW_Salmon_by_Month_2010-2021'!$H$2:$H$3810,'Rec_raw_catch_effort_2010-2021'!$F1979,'FW_Salmon_by_Month_2010-2021'!$M$2:$M$3810,'Rec_raw_catch_effort_2010-2021'!$K1979)</f>
        <v>474.86652999754506</v>
      </c>
      <c r="R1979" s="109">
        <f>VLOOKUP(B1979,Readme!$A$62:$C$74,2,)*Q1979</f>
        <v>1680.5718531604614</v>
      </c>
      <c r="S1979" s="140" t="str">
        <f t="shared" si="161"/>
        <v>Y</v>
      </c>
      <c r="T1979" s="154">
        <f t="shared" si="162"/>
        <v>3.4399999999999902</v>
      </c>
      <c r="U1979" s="154">
        <f t="shared" si="163"/>
        <v>3.5390404397824153</v>
      </c>
    </row>
    <row r="1980" spans="1:21" x14ac:dyDescent="0.35">
      <c r="A1980" s="108">
        <v>680</v>
      </c>
      <c r="B1980" s="108">
        <v>2019</v>
      </c>
      <c r="C1980" s="108" t="s">
        <v>38</v>
      </c>
      <c r="D1980" s="108" t="s">
        <v>143</v>
      </c>
      <c r="E1980" s="108" t="s">
        <v>10</v>
      </c>
      <c r="F1980" s="116">
        <v>804</v>
      </c>
      <c r="G1980" s="108" t="s">
        <v>54</v>
      </c>
      <c r="H1980" s="108" t="str">
        <f t="shared" si="164"/>
        <v>Puyallup River</v>
      </c>
      <c r="I1980" s="108" t="str">
        <f>IFERROR(VLOOKUP(H1980,LUTs!$A$1:$C$73,2,FALSE),"NA")</f>
        <v>Pierce</v>
      </c>
      <c r="J1980" s="108" t="str">
        <f>IFERROR(VLOOKUP(H1980,LUTs!$A$1:$C$73,3,FALSE),"NA")</f>
        <v>3South Puget Sound</v>
      </c>
      <c r="K1980" s="108" t="s">
        <v>21</v>
      </c>
      <c r="L1980" s="108" t="str">
        <f>VLOOKUP(K1980,LUTs!E$2:G$14,3,)</f>
        <v>08Thurston</v>
      </c>
      <c r="M1980" s="108" t="str">
        <f>VLOOKUP($K1980,LUTs!$E$2:$H$14,2,)</f>
        <v>South Puget Sound</v>
      </c>
      <c r="N1980" s="108" t="str">
        <f>VLOOKUP($K1980,LUTs!$E$2:$H$14,4,)</f>
        <v>02South Puget Sound</v>
      </c>
      <c r="O1980" s="108">
        <v>1868.1666666666699</v>
      </c>
      <c r="P1980" s="108">
        <v>6426.4933333333402</v>
      </c>
      <c r="Q1980" s="108">
        <f>SUMIFS('FW_Salmon_by_Month_2010-2021'!P$2:P$3810,'FW_Salmon_by_Month_2010-2021'!$B$2:$B$3810,'Rec_raw_catch_effort_2010-2021'!$B1980,'FW_Salmon_by_Month_2010-2021'!$H$2:$H$3810,'Rec_raw_catch_effort_2010-2021'!$F1980,'FW_Salmon_by_Month_2010-2021'!$M$2:$M$3810,'Rec_raw_catch_effort_2010-2021'!$K1980)</f>
        <v>1781.1260550023162</v>
      </c>
      <c r="R1980" s="109">
        <f>VLOOKUP(B1980,Readme!$A$62:$C$74,2,)*Q1980</f>
        <v>6303.4771370033159</v>
      </c>
      <c r="S1980" s="140" t="str">
        <f t="shared" si="161"/>
        <v>Y</v>
      </c>
      <c r="T1980" s="154">
        <f t="shared" si="162"/>
        <v>3.4399999999999977</v>
      </c>
      <c r="U1980" s="154">
        <f t="shared" si="163"/>
        <v>3.5390404397824153</v>
      </c>
    </row>
    <row r="1981" spans="1:21" x14ac:dyDescent="0.35">
      <c r="A1981" s="108">
        <v>781</v>
      </c>
      <c r="B1981" s="108">
        <v>2020</v>
      </c>
      <c r="C1981" s="108" t="s">
        <v>38</v>
      </c>
      <c r="D1981" s="108" t="s">
        <v>143</v>
      </c>
      <c r="E1981" s="108" t="s">
        <v>10</v>
      </c>
      <c r="F1981" s="116">
        <v>804</v>
      </c>
      <c r="G1981" s="108" t="s">
        <v>54</v>
      </c>
      <c r="H1981" s="108" t="str">
        <f t="shared" si="164"/>
        <v>Puyallup River</v>
      </c>
      <c r="I1981" s="108" t="str">
        <f>IFERROR(VLOOKUP(H1981,LUTs!$A$1:$C$73,2,FALSE),"NA")</f>
        <v>Pierce</v>
      </c>
      <c r="J1981" s="108" t="str">
        <f>IFERROR(VLOOKUP(H1981,LUTs!$A$1:$C$73,3,FALSE),"NA")</f>
        <v>3South Puget Sound</v>
      </c>
      <c r="K1981" s="108" t="s">
        <v>18</v>
      </c>
      <c r="L1981" s="108" t="str">
        <f>VLOOKUP(K1981,LUTs!E$2:G$14,3,)</f>
        <v>06King</v>
      </c>
      <c r="M1981" s="108" t="str">
        <f>VLOOKUP($K1981,LUTs!$E$2:$H$14,2,)</f>
        <v>South Puget Sound</v>
      </c>
      <c r="N1981" s="108" t="str">
        <f>VLOOKUP($K1981,LUTs!$E$2:$H$14,4,)</f>
        <v>02South Puget Sound</v>
      </c>
      <c r="O1981" s="108">
        <v>1955.3874709976801</v>
      </c>
      <c r="P1981" s="108">
        <v>16914.1016241299</v>
      </c>
      <c r="Q1981" s="108">
        <f>SUMIFS('FW_Salmon_by_Month_2010-2021'!P$2:P$3810,'FW_Salmon_by_Month_2010-2021'!$B$2:$B$3810,'Rec_raw_catch_effort_2010-2021'!$B1981,'FW_Salmon_by_Month_2010-2021'!$H$2:$H$3810,'Rec_raw_catch_effort_2010-2021'!$F1981,'FW_Salmon_by_Month_2010-2021'!$M$2:$M$3810,'Rec_raw_catch_effort_2010-2021'!$K1981)</f>
        <v>1955.720057136059</v>
      </c>
      <c r="R1981" s="109">
        <f>VLOOKUP(B1981,Readme!$A$62:$C$74,2,)*Q1981</f>
        <v>9425.7001924426568</v>
      </c>
      <c r="S1981" s="140" t="str">
        <f t="shared" si="161"/>
        <v>N</v>
      </c>
      <c r="T1981" s="154">
        <f t="shared" si="162"/>
        <v>8.6499999999999826</v>
      </c>
      <c r="U1981" s="154">
        <f t="shared" si="163"/>
        <v>4.8195549041132084</v>
      </c>
    </row>
    <row r="1982" spans="1:21" x14ac:dyDescent="0.35">
      <c r="A1982" s="108">
        <v>784</v>
      </c>
      <c r="B1982" s="108">
        <v>2020</v>
      </c>
      <c r="C1982" s="108" t="s">
        <v>38</v>
      </c>
      <c r="D1982" s="108" t="s">
        <v>143</v>
      </c>
      <c r="E1982" s="108" t="s">
        <v>10</v>
      </c>
      <c r="F1982" s="116">
        <v>804</v>
      </c>
      <c r="G1982" s="108" t="s">
        <v>54</v>
      </c>
      <c r="H1982" s="108" t="str">
        <f t="shared" si="164"/>
        <v>Puyallup River</v>
      </c>
      <c r="I1982" s="108" t="str">
        <f>IFERROR(VLOOKUP(H1982,LUTs!$A$1:$C$73,2,FALSE),"NA")</f>
        <v>Pierce</v>
      </c>
      <c r="J1982" s="108" t="str">
        <f>IFERROR(VLOOKUP(H1982,LUTs!$A$1:$C$73,3,FALSE),"NA")</f>
        <v>3South Puget Sound</v>
      </c>
      <c r="K1982" s="108" t="s">
        <v>22</v>
      </c>
      <c r="L1982" s="108" t="str">
        <f>VLOOKUP(K1982,LUTs!E$2:G$14,3,)</f>
        <v>09Mason</v>
      </c>
      <c r="M1982" s="108" t="str">
        <f>VLOOKUP($K1982,LUTs!$E$2:$H$14,2,)</f>
        <v>South Puget Sound</v>
      </c>
      <c r="N1982" s="108" t="str">
        <f>VLOOKUP($K1982,LUTs!$E$2:$H$14,4,)</f>
        <v>02South Puget Sound</v>
      </c>
      <c r="O1982" s="108">
        <v>12.3758700696056</v>
      </c>
      <c r="P1982" s="108">
        <v>107.051276102088</v>
      </c>
      <c r="Q1982" s="108">
        <f>SUMIFS('FW_Salmon_by_Month_2010-2021'!P$2:P$3810,'FW_Salmon_by_Month_2010-2021'!$B$2:$B$3810,'Rec_raw_catch_effort_2010-2021'!$B1982,'FW_Salmon_by_Month_2010-2021'!$H$2:$H$3810,'Rec_raw_catch_effort_2010-2021'!$F1982,'FW_Salmon_by_Month_2010-2021'!$M$2:$M$3810,'Rec_raw_catch_effort_2010-2021'!$K1982)</f>
        <v>12.3806451612903</v>
      </c>
      <c r="R1982" s="109">
        <f>VLOOKUP(B1982,Readme!$A$62:$C$74,2,)*Q1982</f>
        <v>59.66919910318213</v>
      </c>
      <c r="S1982" s="140" t="str">
        <f t="shared" si="161"/>
        <v>N</v>
      </c>
      <c r="T1982" s="154">
        <f t="shared" si="162"/>
        <v>8.6499999999999631</v>
      </c>
      <c r="U1982" s="154">
        <f t="shared" si="163"/>
        <v>4.8195549041132084</v>
      </c>
    </row>
    <row r="1983" spans="1:21" x14ac:dyDescent="0.35">
      <c r="A1983" s="108">
        <v>785</v>
      </c>
      <c r="B1983" s="108">
        <v>2020</v>
      </c>
      <c r="C1983" s="108" t="s">
        <v>38</v>
      </c>
      <c r="D1983" s="108" t="s">
        <v>143</v>
      </c>
      <c r="E1983" s="108" t="s">
        <v>10</v>
      </c>
      <c r="F1983" s="116">
        <v>804</v>
      </c>
      <c r="G1983" s="108" t="s">
        <v>54</v>
      </c>
      <c r="H1983" s="108" t="str">
        <f t="shared" si="164"/>
        <v>Puyallup River</v>
      </c>
      <c r="I1983" s="108" t="str">
        <f>IFERROR(VLOOKUP(H1983,LUTs!$A$1:$C$73,2,FALSE),"NA")</f>
        <v>Pierce</v>
      </c>
      <c r="J1983" s="108" t="str">
        <f>IFERROR(VLOOKUP(H1983,LUTs!$A$1:$C$73,3,FALSE),"NA")</f>
        <v>3South Puget Sound</v>
      </c>
      <c r="K1983" s="108" t="s">
        <v>26</v>
      </c>
      <c r="L1983" s="108" t="str">
        <f>VLOOKUP(K1983,LUTs!E$2:G$14,3,)</f>
        <v>20Other</v>
      </c>
      <c r="M1983" s="108" t="str">
        <f>VLOOKUP($K1983,LUTs!$E$2:$H$14,2,)</f>
        <v>Non Puget Sound</v>
      </c>
      <c r="N1983" s="108" t="str">
        <f>VLOOKUP($K1983,LUTs!$E$2:$H$14,4,)</f>
        <v>07Non Puget Sound</v>
      </c>
      <c r="O1983" s="108">
        <v>297.02088167053398</v>
      </c>
      <c r="P1983" s="108">
        <v>2569.2306264501199</v>
      </c>
      <c r="Q1983" s="108">
        <f>SUMIFS('FW_Salmon_by_Month_2010-2021'!P$2:P$3810,'FW_Salmon_by_Month_2010-2021'!$B$2:$B$3810,'Rec_raw_catch_effort_2010-2021'!$B1983,'FW_Salmon_by_Month_2010-2021'!$H$2:$H$3810,'Rec_raw_catch_effort_2010-2021'!$F1983,'FW_Salmon_by_Month_2010-2021'!$M$2:$M$3810,'Rec_raw_catch_effort_2010-2021'!$K1983)</f>
        <v>296.882394952982</v>
      </c>
      <c r="R1983" s="109">
        <f>VLOOKUP(B1983,Readme!$A$62:$C$74,2,)*Q1983</f>
        <v>1430.8410025405187</v>
      </c>
      <c r="S1983" s="140" t="str">
        <f t="shared" si="161"/>
        <v>N</v>
      </c>
      <c r="T1983" s="154">
        <f t="shared" si="162"/>
        <v>8.6500000000000039</v>
      </c>
      <c r="U1983" s="154">
        <f t="shared" si="163"/>
        <v>4.8195549041132084</v>
      </c>
    </row>
    <row r="1984" spans="1:21" x14ac:dyDescent="0.35">
      <c r="A1984" s="108">
        <v>782</v>
      </c>
      <c r="B1984" s="108">
        <v>2020</v>
      </c>
      <c r="C1984" s="108" t="s">
        <v>38</v>
      </c>
      <c r="D1984" s="108" t="s">
        <v>143</v>
      </c>
      <c r="E1984" s="108" t="s">
        <v>10</v>
      </c>
      <c r="F1984" s="116">
        <v>804</v>
      </c>
      <c r="G1984" s="108" t="s">
        <v>54</v>
      </c>
      <c r="H1984" s="108" t="str">
        <f t="shared" si="164"/>
        <v>Puyallup River</v>
      </c>
      <c r="I1984" s="108" t="str">
        <f>IFERROR(VLOOKUP(H1984,LUTs!$A$1:$C$73,2,FALSE),"NA")</f>
        <v>Pierce</v>
      </c>
      <c r="J1984" s="108" t="str">
        <f>IFERROR(VLOOKUP(H1984,LUTs!$A$1:$C$73,3,FALSE),"NA")</f>
        <v>3South Puget Sound</v>
      </c>
      <c r="K1984" s="108" t="s">
        <v>20</v>
      </c>
      <c r="L1984" s="108" t="str">
        <f>VLOOKUP(K1984,LUTs!E$2:G$14,3,)</f>
        <v>07Pierce</v>
      </c>
      <c r="M1984" s="108" t="str">
        <f>VLOOKUP($K1984,LUTs!$E$2:$H$14,2,)</f>
        <v>South Puget Sound</v>
      </c>
      <c r="N1984" s="108" t="str">
        <f>VLOOKUP($K1984,LUTs!$E$2:$H$14,4,)</f>
        <v>02South Puget Sound</v>
      </c>
      <c r="O1984" s="108">
        <v>2834.0742459396802</v>
      </c>
      <c r="P1984" s="108">
        <v>24514.742227378199</v>
      </c>
      <c r="Q1984" s="108">
        <f>SUMIFS('FW_Salmon_by_Month_2010-2021'!P$2:P$3810,'FW_Salmon_by_Month_2010-2021'!$B$2:$B$3810,'Rec_raw_catch_effort_2010-2021'!$B1984,'FW_Salmon_by_Month_2010-2021'!$H$2:$H$3810,'Rec_raw_catch_effort_2010-2021'!$F1984,'FW_Salmon_by_Month_2010-2021'!$M$2:$M$3810,'Rec_raw_catch_effort_2010-2021'!$K1984)</f>
        <v>2833.8357814545902</v>
      </c>
      <c r="R1984" s="109">
        <f>VLOOKUP(B1984,Readme!$A$62:$C$74,2,)*Q1984</f>
        <v>13657.827137960956</v>
      </c>
      <c r="S1984" s="140" t="str">
        <f t="shared" si="161"/>
        <v>N</v>
      </c>
      <c r="T1984" s="154">
        <f t="shared" si="162"/>
        <v>8.6499999999999879</v>
      </c>
      <c r="U1984" s="154">
        <f t="shared" si="163"/>
        <v>4.8195549041132084</v>
      </c>
    </row>
    <row r="1985" spans="1:21" x14ac:dyDescent="0.35">
      <c r="A1985" s="108">
        <v>780</v>
      </c>
      <c r="B1985" s="108">
        <v>2020</v>
      </c>
      <c r="C1985" s="108" t="s">
        <v>38</v>
      </c>
      <c r="D1985" s="108" t="s">
        <v>143</v>
      </c>
      <c r="E1985" s="108" t="s">
        <v>10</v>
      </c>
      <c r="F1985" s="116">
        <v>804</v>
      </c>
      <c r="G1985" s="108" t="s">
        <v>54</v>
      </c>
      <c r="H1985" s="108" t="str">
        <f t="shared" si="164"/>
        <v>Puyallup River</v>
      </c>
      <c r="I1985" s="108" t="str">
        <f>IFERROR(VLOOKUP(H1985,LUTs!$A$1:$C$73,2,FALSE),"NA")</f>
        <v>Pierce</v>
      </c>
      <c r="J1985" s="108" t="str">
        <f>IFERROR(VLOOKUP(H1985,LUTs!$A$1:$C$73,3,FALSE),"NA")</f>
        <v>3South Puget Sound</v>
      </c>
      <c r="K1985" s="108" t="s">
        <v>16</v>
      </c>
      <c r="L1985" s="108" t="str">
        <f>VLOOKUP(K1985,LUTs!E$2:G$14,3,)</f>
        <v>03Snohomish</v>
      </c>
      <c r="M1985" s="108" t="str">
        <f>VLOOKUP($K1985,LUTs!$E$2:$H$14,2,)</f>
        <v>North Puget Sound</v>
      </c>
      <c r="N1985" s="108" t="str">
        <f>VLOOKUP($K1985,LUTs!$E$2:$H$14,4,)</f>
        <v>01North Puget Sound</v>
      </c>
      <c r="O1985" s="108">
        <v>136.13457076566101</v>
      </c>
      <c r="P1985" s="108">
        <v>1177.5640371229699</v>
      </c>
      <c r="Q1985" s="108">
        <f>SUMIFS('FW_Salmon_by_Month_2010-2021'!P$2:P$3810,'FW_Salmon_by_Month_2010-2021'!$B$2:$B$3810,'Rec_raw_catch_effort_2010-2021'!$B1985,'FW_Salmon_by_Month_2010-2021'!$H$2:$H$3810,'Rec_raw_catch_effort_2010-2021'!$F1985,'FW_Salmon_by_Month_2010-2021'!$M$2:$M$3810,'Rec_raw_catch_effort_2010-2021'!$K1985)</f>
        <v>136.15300559457211</v>
      </c>
      <c r="R1985" s="109">
        <f>VLOOKUP(B1985,Readme!$A$62:$C$74,2,)*Q1985</f>
        <v>656.1968858230731</v>
      </c>
      <c r="S1985" s="140" t="str">
        <f t="shared" si="161"/>
        <v>N</v>
      </c>
      <c r="T1985" s="154">
        <f t="shared" si="162"/>
        <v>8.6500000000000163</v>
      </c>
      <c r="U1985" s="154">
        <f t="shared" si="163"/>
        <v>4.8195549041132084</v>
      </c>
    </row>
    <row r="1986" spans="1:21" x14ac:dyDescent="0.35">
      <c r="A1986" s="108">
        <v>783</v>
      </c>
      <c r="B1986" s="108">
        <v>2020</v>
      </c>
      <c r="C1986" s="108" t="s">
        <v>38</v>
      </c>
      <c r="D1986" s="108" t="s">
        <v>143</v>
      </c>
      <c r="E1986" s="108" t="s">
        <v>10</v>
      </c>
      <c r="F1986" s="116">
        <v>804</v>
      </c>
      <c r="G1986" s="108" t="s">
        <v>54</v>
      </c>
      <c r="H1986" s="108" t="str">
        <f t="shared" si="164"/>
        <v>Puyallup River</v>
      </c>
      <c r="I1986" s="108" t="str">
        <f>IFERROR(VLOOKUP(H1986,LUTs!$A$1:$C$73,2,FALSE),"NA")</f>
        <v>Pierce</v>
      </c>
      <c r="J1986" s="108" t="str">
        <f>IFERROR(VLOOKUP(H1986,LUTs!$A$1:$C$73,3,FALSE),"NA")</f>
        <v>3South Puget Sound</v>
      </c>
      <c r="K1986" s="108" t="s">
        <v>21</v>
      </c>
      <c r="L1986" s="108" t="str">
        <f>VLOOKUP(K1986,LUTs!E$2:G$14,3,)</f>
        <v>08Thurston</v>
      </c>
      <c r="M1986" s="108" t="str">
        <f>VLOOKUP($K1986,LUTs!$E$2:$H$14,2,)</f>
        <v>South Puget Sound</v>
      </c>
      <c r="N1986" s="108" t="str">
        <f>VLOOKUP($K1986,LUTs!$E$2:$H$14,4,)</f>
        <v>02South Puget Sound</v>
      </c>
      <c r="O1986" s="108">
        <v>99.006960556844604</v>
      </c>
      <c r="P1986" s="108">
        <v>856.41020881670602</v>
      </c>
      <c r="Q1986" s="108">
        <f>SUMIFS('FW_Salmon_by_Month_2010-2021'!P$2:P$3810,'FW_Salmon_by_Month_2010-2021'!$B$2:$B$3810,'Rec_raw_catch_effort_2010-2021'!$B1986,'FW_Salmon_by_Month_2010-2021'!$H$2:$H$3810,'Rec_raw_catch_effort_2010-2021'!$F1986,'FW_Salmon_by_Month_2010-2021'!$M$2:$M$3810,'Rec_raw_catch_effort_2010-2021'!$K1986)</f>
        <v>99.028115700511904</v>
      </c>
      <c r="R1986" s="109">
        <f>VLOOKUP(B1986,Readme!$A$62:$C$74,2,)*Q1986</f>
        <v>477.27144066949234</v>
      </c>
      <c r="S1986" s="140" t="str">
        <f t="shared" si="161"/>
        <v>N</v>
      </c>
      <c r="T1986" s="154">
        <f t="shared" si="162"/>
        <v>8.6500000000000021</v>
      </c>
      <c r="U1986" s="154">
        <f t="shared" si="163"/>
        <v>4.8195549041132084</v>
      </c>
    </row>
    <row r="1987" spans="1:21" x14ac:dyDescent="0.35">
      <c r="A1987" s="108">
        <v>882</v>
      </c>
      <c r="B1987" s="108">
        <v>2021</v>
      </c>
      <c r="C1987" s="108" t="s">
        <v>38</v>
      </c>
      <c r="D1987" s="108" t="s">
        <v>143</v>
      </c>
      <c r="E1987" s="108" t="s">
        <v>10</v>
      </c>
      <c r="F1987" s="116">
        <v>804</v>
      </c>
      <c r="G1987" s="108" t="s">
        <v>54</v>
      </c>
      <c r="H1987" s="108" t="str">
        <f t="shared" si="164"/>
        <v>Puyallup River</v>
      </c>
      <c r="I1987" s="108" t="str">
        <f>IFERROR(VLOOKUP(H1987,LUTs!$A$1:$C$73,2,FALSE),"NA")</f>
        <v>Pierce</v>
      </c>
      <c r="J1987" s="108" t="str">
        <f>IFERROR(VLOOKUP(H1987,LUTs!$A$1:$C$73,3,FALSE),"NA")</f>
        <v>3South Puget Sound</v>
      </c>
      <c r="K1987" s="108" t="s">
        <v>18</v>
      </c>
      <c r="L1987" s="108" t="str">
        <f>VLOOKUP(K1987,LUTs!E$2:G$14,3,)</f>
        <v>06King</v>
      </c>
      <c r="M1987" s="108" t="str">
        <f>VLOOKUP($K1987,LUTs!$E$2:$H$14,2,)</f>
        <v>South Puget Sound</v>
      </c>
      <c r="N1987" s="108" t="str">
        <f>VLOOKUP($K1987,LUTs!$E$2:$H$14,4,)</f>
        <v>02South Puget Sound</v>
      </c>
      <c r="O1987" s="108">
        <v>17108.2216358839</v>
      </c>
      <c r="P1987" s="108">
        <v>58852.282427440601</v>
      </c>
      <c r="Q1987" s="108">
        <f>SUMIFS('FW_Salmon_by_Month_2010-2021'!P$2:P$3810,'FW_Salmon_by_Month_2010-2021'!$B$2:$B$3810,'Rec_raw_catch_effort_2010-2021'!$B1987,'FW_Salmon_by_Month_2010-2021'!$H$2:$H$3810,'Rec_raw_catch_effort_2010-2021'!$F1987,'FW_Salmon_by_Month_2010-2021'!$M$2:$M$3810,'Rec_raw_catch_effort_2010-2021'!$K1987)</f>
        <v>17131.073787513804</v>
      </c>
      <c r="R1987" s="109">
        <f>VLOOKUP(B1987,Readme!$A$62:$C$74,2,)*Q1987</f>
        <v>60627.562910907858</v>
      </c>
      <c r="S1987" s="140" t="str">
        <f t="shared" ref="S1987:S2050" si="165">IF(B1987&lt;=2019,"Y","N")</f>
        <v>N</v>
      </c>
      <c r="T1987" s="154">
        <f t="shared" ref="T1987:T2050" si="166">IFERROR(P1987/O1987,"NA")</f>
        <v>3.4399999999999991</v>
      </c>
      <c r="U1987" s="154">
        <f t="shared" ref="U1987:U2050" si="167">IFERROR(R1987/Q1987,"NA")</f>
        <v>3.5390404397824153</v>
      </c>
    </row>
    <row r="1988" spans="1:21" x14ac:dyDescent="0.35">
      <c r="A1988" s="108">
        <v>886</v>
      </c>
      <c r="B1988" s="108">
        <v>2021</v>
      </c>
      <c r="C1988" s="108" t="s">
        <v>38</v>
      </c>
      <c r="D1988" s="108" t="s">
        <v>143</v>
      </c>
      <c r="E1988" s="108" t="s">
        <v>10</v>
      </c>
      <c r="F1988" s="116">
        <v>804</v>
      </c>
      <c r="G1988" s="108" t="s">
        <v>54</v>
      </c>
      <c r="H1988" s="108" t="str">
        <f t="shared" si="164"/>
        <v>Puyallup River</v>
      </c>
      <c r="I1988" s="108" t="str">
        <f>IFERROR(VLOOKUP(H1988,LUTs!$A$1:$C$73,2,FALSE),"NA")</f>
        <v>Pierce</v>
      </c>
      <c r="J1988" s="108" t="str">
        <f>IFERROR(VLOOKUP(H1988,LUTs!$A$1:$C$73,3,FALSE),"NA")</f>
        <v>3South Puget Sound</v>
      </c>
      <c r="K1988" s="108" t="s">
        <v>23</v>
      </c>
      <c r="L1988" s="108" t="str">
        <f>VLOOKUP(K1988,LUTs!E$2:G$14,3,)</f>
        <v>10Kitsap</v>
      </c>
      <c r="M1988" s="108" t="str">
        <f>VLOOKUP($K1988,LUTs!$E$2:$H$14,2,)</f>
        <v>South Puget Sound</v>
      </c>
      <c r="N1988" s="108" t="str">
        <f>VLOOKUP($K1988,LUTs!$E$2:$H$14,4,)</f>
        <v>02South Puget Sound</v>
      </c>
      <c r="O1988" s="108">
        <v>422.93051890941098</v>
      </c>
      <c r="P1988" s="108">
        <v>1454.8809850483699</v>
      </c>
      <c r="Q1988" s="108">
        <f>SUMIFS('FW_Salmon_by_Month_2010-2021'!P$2:P$3810,'FW_Salmon_by_Month_2010-2021'!$B$2:$B$3810,'Rec_raw_catch_effort_2010-2021'!$B1988,'FW_Salmon_by_Month_2010-2021'!$H$2:$H$3810,'Rec_raw_catch_effort_2010-2021'!$F1988,'FW_Salmon_by_Month_2010-2021'!$M$2:$M$3810,'Rec_raw_catch_effort_2010-2021'!$K1988)</f>
        <v>401.17412957711775</v>
      </c>
      <c r="R1988" s="109">
        <f>VLOOKUP(B1988,Readme!$A$62:$C$74,2,)*Q1988</f>
        <v>1419.7714679679304</v>
      </c>
      <c r="S1988" s="140" t="str">
        <f t="shared" si="165"/>
        <v>N</v>
      </c>
      <c r="T1988" s="154">
        <f t="shared" si="166"/>
        <v>3.4399999999999911</v>
      </c>
      <c r="U1988" s="154">
        <f t="shared" si="167"/>
        <v>3.5390404397824153</v>
      </c>
    </row>
    <row r="1989" spans="1:21" x14ac:dyDescent="0.35">
      <c r="A1989" s="108">
        <v>885</v>
      </c>
      <c r="B1989" s="108">
        <v>2021</v>
      </c>
      <c r="C1989" s="108" t="s">
        <v>38</v>
      </c>
      <c r="D1989" s="108" t="s">
        <v>143</v>
      </c>
      <c r="E1989" s="108" t="s">
        <v>10</v>
      </c>
      <c r="F1989" s="116">
        <v>804</v>
      </c>
      <c r="G1989" s="108" t="s">
        <v>54</v>
      </c>
      <c r="H1989" s="108" t="str">
        <f t="shared" si="164"/>
        <v>Puyallup River</v>
      </c>
      <c r="I1989" s="108" t="str">
        <f>IFERROR(VLOOKUP(H1989,LUTs!$A$1:$C$73,2,FALSE),"NA")</f>
        <v>Pierce</v>
      </c>
      <c r="J1989" s="108" t="str">
        <f>IFERROR(VLOOKUP(H1989,LUTs!$A$1:$C$73,3,FALSE),"NA")</f>
        <v>3South Puget Sound</v>
      </c>
      <c r="K1989" s="108" t="s">
        <v>22</v>
      </c>
      <c r="L1989" s="108" t="str">
        <f>VLOOKUP(K1989,LUTs!E$2:G$14,3,)</f>
        <v>09Mason</v>
      </c>
      <c r="M1989" s="108" t="str">
        <f>VLOOKUP($K1989,LUTs!$E$2:$H$14,2,)</f>
        <v>South Puget Sound</v>
      </c>
      <c r="N1989" s="108" t="str">
        <f>VLOOKUP($K1989,LUTs!$E$2:$H$14,4,)</f>
        <v>02South Puget Sound</v>
      </c>
      <c r="O1989" s="108">
        <v>54.571679859278802</v>
      </c>
      <c r="P1989" s="108">
        <v>187.726578715919</v>
      </c>
      <c r="Q1989" s="108">
        <f>SUMIFS('FW_Salmon_by_Month_2010-2021'!P$2:P$3810,'FW_Salmon_by_Month_2010-2021'!$B$2:$B$3810,'Rec_raw_catch_effort_2010-2021'!$B1989,'FW_Salmon_by_Month_2010-2021'!$H$2:$H$3810,'Rec_raw_catch_effort_2010-2021'!$F1989,'FW_Salmon_by_Month_2010-2021'!$M$2:$M$3810,'Rec_raw_catch_effort_2010-2021'!$K1989)</f>
        <v>55.304038004750602</v>
      </c>
      <c r="R1989" s="109">
        <f>VLOOKUP(B1989,Readme!$A$62:$C$74,2,)*Q1989</f>
        <v>195.72322698207597</v>
      </c>
      <c r="S1989" s="140" t="str">
        <f t="shared" si="165"/>
        <v>N</v>
      </c>
      <c r="T1989" s="154">
        <f t="shared" si="166"/>
        <v>3.4399999999999986</v>
      </c>
      <c r="U1989" s="154">
        <f t="shared" si="167"/>
        <v>3.5390404397824153</v>
      </c>
    </row>
    <row r="1990" spans="1:21" x14ac:dyDescent="0.35">
      <c r="A1990" s="108">
        <v>887</v>
      </c>
      <c r="B1990" s="108">
        <v>2021</v>
      </c>
      <c r="C1990" s="108" t="s">
        <v>38</v>
      </c>
      <c r="D1990" s="108" t="s">
        <v>143</v>
      </c>
      <c r="E1990" s="108" t="s">
        <v>10</v>
      </c>
      <c r="F1990" s="116">
        <v>804</v>
      </c>
      <c r="G1990" s="108" t="s">
        <v>54</v>
      </c>
      <c r="H1990" s="108" t="str">
        <f t="shared" si="164"/>
        <v>Puyallup River</v>
      </c>
      <c r="I1990" s="108" t="str">
        <f>IFERROR(VLOOKUP(H1990,LUTs!$A$1:$C$73,2,FALSE),"NA")</f>
        <v>Pierce</v>
      </c>
      <c r="J1990" s="108" t="str">
        <f>IFERROR(VLOOKUP(H1990,LUTs!$A$1:$C$73,3,FALSE),"NA")</f>
        <v>3South Puget Sound</v>
      </c>
      <c r="K1990" s="108" t="s">
        <v>26</v>
      </c>
      <c r="L1990" s="108" t="str">
        <f>VLOOKUP(K1990,LUTs!E$2:G$14,3,)</f>
        <v>20Other</v>
      </c>
      <c r="M1990" s="108" t="str">
        <f>VLOOKUP($K1990,LUTs!$E$2:$H$14,2,)</f>
        <v>Non Puget Sound</v>
      </c>
      <c r="N1990" s="108" t="str">
        <f>VLOOKUP($K1990,LUTs!$E$2:$H$14,4,)</f>
        <v>07Non Puget Sound</v>
      </c>
      <c r="O1990" s="108">
        <v>2182.8671943711502</v>
      </c>
      <c r="P1990" s="108">
        <v>7509.0631486367602</v>
      </c>
      <c r="Q1990" s="108">
        <f>SUMIFS('FW_Salmon_by_Month_2010-2021'!P$2:P$3810,'FW_Salmon_by_Month_2010-2021'!$B$2:$B$3810,'Rec_raw_catch_effort_2010-2021'!$B1990,'FW_Salmon_by_Month_2010-2021'!$H$2:$H$3810,'Rec_raw_catch_effort_2010-2021'!$F1990,'FW_Salmon_by_Month_2010-2021'!$M$2:$M$3810,'Rec_raw_catch_effort_2010-2021'!$K1990)</f>
        <v>2169.3153020201826</v>
      </c>
      <c r="R1990" s="109">
        <f>VLOOKUP(B1990,Readme!$A$62:$C$74,2,)*Q1990</f>
        <v>7677.2945804882302</v>
      </c>
      <c r="S1990" s="140" t="str">
        <f t="shared" si="165"/>
        <v>N</v>
      </c>
      <c r="T1990" s="154">
        <f t="shared" si="166"/>
        <v>3.4400000000000017</v>
      </c>
      <c r="U1990" s="154">
        <f t="shared" si="167"/>
        <v>3.5390404397824153</v>
      </c>
    </row>
    <row r="1991" spans="1:21" x14ac:dyDescent="0.35">
      <c r="A1991" s="108">
        <v>883</v>
      </c>
      <c r="B1991" s="108">
        <v>2021</v>
      </c>
      <c r="C1991" s="108" t="s">
        <v>38</v>
      </c>
      <c r="D1991" s="108" t="s">
        <v>143</v>
      </c>
      <c r="E1991" s="108" t="s">
        <v>10</v>
      </c>
      <c r="F1991" s="116">
        <v>804</v>
      </c>
      <c r="G1991" s="108" t="s">
        <v>54</v>
      </c>
      <c r="H1991" s="108" t="str">
        <f t="shared" si="164"/>
        <v>Puyallup River</v>
      </c>
      <c r="I1991" s="108" t="str">
        <f>IFERROR(VLOOKUP(H1991,LUTs!$A$1:$C$73,2,FALSE),"NA")</f>
        <v>Pierce</v>
      </c>
      <c r="J1991" s="108" t="str">
        <f>IFERROR(VLOOKUP(H1991,LUTs!$A$1:$C$73,3,FALSE),"NA")</f>
        <v>3South Puget Sound</v>
      </c>
      <c r="K1991" s="108" t="s">
        <v>20</v>
      </c>
      <c r="L1991" s="108" t="str">
        <f>VLOOKUP(K1991,LUTs!E$2:G$14,3,)</f>
        <v>07Pierce</v>
      </c>
      <c r="M1991" s="108" t="str">
        <f>VLOOKUP($K1991,LUTs!$E$2:$H$14,2,)</f>
        <v>South Puget Sound</v>
      </c>
      <c r="N1991" s="108" t="str">
        <f>VLOOKUP($K1991,LUTs!$E$2:$H$14,4,)</f>
        <v>02South Puget Sound</v>
      </c>
      <c r="O1991" s="108">
        <v>23697.7519788918</v>
      </c>
      <c r="P1991" s="108">
        <v>81520.266807387801</v>
      </c>
      <c r="Q1991" s="108">
        <f>SUMIFS('FW_Salmon_by_Month_2010-2021'!P$2:P$3810,'FW_Salmon_by_Month_2010-2021'!$B$2:$B$3810,'Rec_raw_catch_effort_2010-2021'!$B1991,'FW_Salmon_by_Month_2010-2021'!$H$2:$H$3810,'Rec_raw_catch_effort_2010-2021'!$F1991,'FW_Salmon_by_Month_2010-2021'!$M$2:$M$3810,'Rec_raw_catch_effort_2010-2021'!$K1991)</f>
        <v>23698.407497431883</v>
      </c>
      <c r="R1991" s="109">
        <f>VLOOKUP(B1991,Readme!$A$62:$C$74,2,)*Q1991</f>
        <v>83869.622491854214</v>
      </c>
      <c r="S1991" s="140" t="str">
        <f t="shared" si="165"/>
        <v>N</v>
      </c>
      <c r="T1991" s="154">
        <f t="shared" si="166"/>
        <v>3.4400000000000004</v>
      </c>
      <c r="U1991" s="154">
        <f t="shared" si="167"/>
        <v>3.5390404397824149</v>
      </c>
    </row>
    <row r="1992" spans="1:21" x14ac:dyDescent="0.35">
      <c r="A1992" s="108">
        <v>881</v>
      </c>
      <c r="B1992" s="108">
        <v>2021</v>
      </c>
      <c r="C1992" s="108" t="s">
        <v>38</v>
      </c>
      <c r="D1992" s="108" t="s">
        <v>143</v>
      </c>
      <c r="E1992" s="108" t="s">
        <v>10</v>
      </c>
      <c r="F1992" s="116">
        <v>804</v>
      </c>
      <c r="G1992" s="108" t="s">
        <v>54</v>
      </c>
      <c r="H1992" s="108" t="str">
        <f t="shared" si="164"/>
        <v>Puyallup River</v>
      </c>
      <c r="I1992" s="108" t="str">
        <f>IFERROR(VLOOKUP(H1992,LUTs!$A$1:$C$73,2,FALSE),"NA")</f>
        <v>Pierce</v>
      </c>
      <c r="J1992" s="108" t="str">
        <f>IFERROR(VLOOKUP(H1992,LUTs!$A$1:$C$73,3,FALSE),"NA")</f>
        <v>3South Puget Sound</v>
      </c>
      <c r="K1992" s="108" t="s">
        <v>16</v>
      </c>
      <c r="L1992" s="108" t="str">
        <f>VLOOKUP(K1992,LUTs!E$2:G$14,3,)</f>
        <v>03Snohomish</v>
      </c>
      <c r="M1992" s="108" t="str">
        <f>VLOOKUP($K1992,LUTs!$E$2:$H$14,2,)</f>
        <v>North Puget Sound</v>
      </c>
      <c r="N1992" s="108" t="str">
        <f>VLOOKUP($K1992,LUTs!$E$2:$H$14,4,)</f>
        <v>01North Puget Sound</v>
      </c>
      <c r="O1992" s="108">
        <v>941.36147757256003</v>
      </c>
      <c r="P1992" s="108">
        <v>3238.2834828496102</v>
      </c>
      <c r="Q1992" s="108">
        <f>SUMIFS('FW_Salmon_by_Month_2010-2021'!P$2:P$3810,'FW_Salmon_by_Month_2010-2021'!$B$2:$B$3810,'Rec_raw_catch_effort_2010-2021'!$B1992,'FW_Salmon_by_Month_2010-2021'!$H$2:$H$3810,'Rec_raw_catch_effort_2010-2021'!$F1992,'FW_Salmon_by_Month_2010-2021'!$M$2:$M$3810,'Rec_raw_catch_effort_2010-2021'!$K1992)</f>
        <v>952.96345836834189</v>
      </c>
      <c r="R1992" s="109">
        <f>VLOOKUP(B1992,Readme!$A$62:$C$74,2,)*Q1992</f>
        <v>3372.576216800468</v>
      </c>
      <c r="S1992" s="140" t="str">
        <f t="shared" si="165"/>
        <v>N</v>
      </c>
      <c r="T1992" s="154">
        <f t="shared" si="166"/>
        <v>3.4400000000000039</v>
      </c>
      <c r="U1992" s="154">
        <f t="shared" si="167"/>
        <v>3.5390404397824153</v>
      </c>
    </row>
    <row r="1993" spans="1:21" x14ac:dyDescent="0.35">
      <c r="A1993" s="108">
        <v>884</v>
      </c>
      <c r="B1993" s="108">
        <v>2021</v>
      </c>
      <c r="C1993" s="108" t="s">
        <v>38</v>
      </c>
      <c r="D1993" s="108" t="s">
        <v>143</v>
      </c>
      <c r="E1993" s="108" t="s">
        <v>10</v>
      </c>
      <c r="F1993" s="116">
        <v>804</v>
      </c>
      <c r="G1993" s="108" t="s">
        <v>54</v>
      </c>
      <c r="H1993" s="108" t="str">
        <f t="shared" si="164"/>
        <v>Puyallup River</v>
      </c>
      <c r="I1993" s="108" t="str">
        <f>IFERROR(VLOOKUP(H1993,LUTs!$A$1:$C$73,2,FALSE),"NA")</f>
        <v>Pierce</v>
      </c>
      <c r="J1993" s="108" t="str">
        <f>IFERROR(VLOOKUP(H1993,LUTs!$A$1:$C$73,3,FALSE),"NA")</f>
        <v>3South Puget Sound</v>
      </c>
      <c r="K1993" s="108" t="s">
        <v>21</v>
      </c>
      <c r="L1993" s="108" t="str">
        <f>VLOOKUP(K1993,LUTs!E$2:G$14,3,)</f>
        <v>08Thurston</v>
      </c>
      <c r="M1993" s="108" t="str">
        <f>VLOOKUP($K1993,LUTs!$E$2:$H$14,2,)</f>
        <v>South Puget Sound</v>
      </c>
      <c r="N1993" s="108" t="str">
        <f>VLOOKUP($K1993,LUTs!$E$2:$H$14,4,)</f>
        <v>02South Puget Sound</v>
      </c>
      <c r="O1993" s="108">
        <v>2128.2955145118699</v>
      </c>
      <c r="P1993" s="108">
        <v>7321.3365699208298</v>
      </c>
      <c r="Q1993" s="108">
        <f>SUMIFS('FW_Salmon_by_Month_2010-2021'!P$2:P$3810,'FW_Salmon_by_Month_2010-2021'!$B$2:$B$3810,'Rec_raw_catch_effort_2010-2021'!$B1993,'FW_Salmon_by_Month_2010-2021'!$H$2:$H$3810,'Rec_raw_catch_effort_2010-2021'!$F1993,'FW_Salmon_by_Month_2010-2021'!$M$2:$M$3810,'Rec_raw_catch_effort_2010-2021'!$K1993)</f>
        <v>2127.761787083848</v>
      </c>
      <c r="R1993" s="109">
        <f>VLOOKUP(B1993,Readme!$A$62:$C$74,2,)*Q1993</f>
        <v>7530.2350107134398</v>
      </c>
      <c r="S1993" s="140" t="str">
        <f t="shared" si="165"/>
        <v>N</v>
      </c>
      <c r="T1993" s="154">
        <f t="shared" si="166"/>
        <v>3.4399999999999986</v>
      </c>
      <c r="U1993" s="154">
        <f t="shared" si="167"/>
        <v>3.5390404397824153</v>
      </c>
    </row>
    <row r="1994" spans="1:21" x14ac:dyDescent="0.35">
      <c r="A1994" s="108">
        <v>982</v>
      </c>
      <c r="B1994" s="108">
        <v>2021</v>
      </c>
      <c r="C1994" s="108" t="s">
        <v>38</v>
      </c>
      <c r="D1994" s="108" t="s">
        <v>143</v>
      </c>
      <c r="E1994" s="108" t="s">
        <v>10</v>
      </c>
      <c r="F1994" s="116">
        <v>808</v>
      </c>
      <c r="G1994" s="108" t="s">
        <v>85</v>
      </c>
      <c r="H1994" s="108" t="str">
        <f t="shared" si="164"/>
        <v>White (Stuck) River</v>
      </c>
      <c r="I1994" s="108" t="str">
        <f>IFERROR(VLOOKUP(H1994,LUTs!$A$1:$C$73,2,FALSE),"NA")</f>
        <v>Pierce</v>
      </c>
      <c r="J1994" s="108" t="str">
        <f>IFERROR(VLOOKUP(H1994,LUTs!$A$1:$C$73,3,FALSE),"NA")</f>
        <v>3South Puget Sound</v>
      </c>
      <c r="K1994" s="108" t="s">
        <v>18</v>
      </c>
      <c r="L1994" s="108" t="str">
        <f>VLOOKUP(K1994,LUTs!E$2:G$14,3,)</f>
        <v>06King</v>
      </c>
      <c r="M1994" s="108" t="str">
        <f>VLOOKUP($K1994,LUTs!$E$2:$H$14,2,)</f>
        <v>South Puget Sound</v>
      </c>
      <c r="N1994" s="108" t="str">
        <f>VLOOKUP($K1994,LUTs!$E$2:$H$14,4,)</f>
        <v>02South Puget Sound</v>
      </c>
      <c r="O1994" s="108">
        <v>3</v>
      </c>
      <c r="P1994" s="108">
        <v>10.32</v>
      </c>
      <c r="Q1994" s="108">
        <f>SUMIFS('FW_Salmon_by_Month_2010-2021'!P$2:P$3810,'FW_Salmon_by_Month_2010-2021'!$B$2:$B$3810,'Rec_raw_catch_effort_2010-2021'!$B1994,'FW_Salmon_by_Month_2010-2021'!$H$2:$H$3810,'Rec_raw_catch_effort_2010-2021'!$F1994,'FW_Salmon_by_Month_2010-2021'!$M$2:$M$3810,'Rec_raw_catch_effort_2010-2021'!$K1994)</f>
        <v>3</v>
      </c>
      <c r="R1994" s="109">
        <f>VLOOKUP(B1994,Readme!$A$62:$C$74,2,)*Q1994</f>
        <v>10.617121319347246</v>
      </c>
      <c r="S1994" s="140" t="str">
        <f t="shared" si="165"/>
        <v>N</v>
      </c>
      <c r="T1994" s="154">
        <f t="shared" si="166"/>
        <v>3.44</v>
      </c>
      <c r="U1994" s="154">
        <f t="shared" si="167"/>
        <v>3.5390404397824153</v>
      </c>
    </row>
    <row r="1995" spans="1:21" x14ac:dyDescent="0.35">
      <c r="A1995" s="108">
        <v>1468</v>
      </c>
      <c r="B1995" s="108">
        <v>2011</v>
      </c>
      <c r="C1995" s="108" t="s">
        <v>38</v>
      </c>
      <c r="D1995" s="108" t="s">
        <v>143</v>
      </c>
      <c r="E1995" s="108" t="s">
        <v>10</v>
      </c>
      <c r="F1995" s="116">
        <v>810</v>
      </c>
      <c r="G1995" s="108" t="s">
        <v>69</v>
      </c>
      <c r="H1995" s="108" t="str">
        <f t="shared" si="164"/>
        <v>Pysht River</v>
      </c>
      <c r="I1995" s="108" t="str">
        <f>IFERROR(VLOOKUP(H1995,LUTs!$A$1:$C$73,2,FALSE),"NA")</f>
        <v>Clallam</v>
      </c>
      <c r="J1995" s="108" t="str">
        <f>IFERROR(VLOOKUP(H1995,LUTs!$A$1:$C$73,3,FALSE),"NA")</f>
        <v>0Strait of Juan de Fuca</v>
      </c>
      <c r="K1995" s="108" t="s">
        <v>23</v>
      </c>
      <c r="L1995" s="108" t="str">
        <f>VLOOKUP(K1995,LUTs!E$2:G$14,3,)</f>
        <v>10Kitsap</v>
      </c>
      <c r="M1995" s="108" t="str">
        <f>VLOOKUP($K1995,LUTs!$E$2:$H$14,2,)</f>
        <v>South Puget Sound</v>
      </c>
      <c r="N1995" s="108" t="str">
        <f>VLOOKUP($K1995,LUTs!$E$2:$H$14,4,)</f>
        <v>02South Puget Sound</v>
      </c>
      <c r="O1995" s="108">
        <v>27</v>
      </c>
      <c r="P1995" s="108">
        <v>92.88</v>
      </c>
      <c r="Q1995" s="108">
        <f>SUMIFS('FW_Salmon_by_Month_2010-2021'!P$2:P$3810,'FW_Salmon_by_Month_2010-2021'!$B$2:$B$3810,'Rec_raw_catch_effort_2010-2021'!$B1995,'FW_Salmon_by_Month_2010-2021'!$H$2:$H$3810,'Rec_raw_catch_effort_2010-2021'!$F1995,'FW_Salmon_by_Month_2010-2021'!$M$2:$M$3810,'Rec_raw_catch_effort_2010-2021'!$K1995)</f>
        <v>27</v>
      </c>
      <c r="R1995" s="109">
        <f>VLOOKUP(B1995,Readme!$A$62:$C$74,2,)*Q1995</f>
        <v>95.55409187412522</v>
      </c>
      <c r="S1995" s="140" t="str">
        <f t="shared" si="165"/>
        <v>Y</v>
      </c>
      <c r="T1995" s="154">
        <f t="shared" si="166"/>
        <v>3.44</v>
      </c>
      <c r="U1995" s="154">
        <f t="shared" si="167"/>
        <v>3.5390404397824153</v>
      </c>
    </row>
    <row r="1996" spans="1:21" x14ac:dyDescent="0.35">
      <c r="A1996" s="108">
        <v>647</v>
      </c>
      <c r="B1996" s="108">
        <v>2010</v>
      </c>
      <c r="C1996" s="108" t="s">
        <v>38</v>
      </c>
      <c r="D1996" s="108" t="s">
        <v>143</v>
      </c>
      <c r="E1996" s="108" t="s">
        <v>10</v>
      </c>
      <c r="F1996" s="116">
        <v>812</v>
      </c>
      <c r="G1996" s="108" t="s">
        <v>55</v>
      </c>
      <c r="H1996" s="108" t="str">
        <f t="shared" si="164"/>
        <v>Quilcene River</v>
      </c>
      <c r="I1996" s="108" t="str">
        <f>IFERROR(VLOOKUP(H1996,LUTs!$A$1:$C$73,2,FALSE),"NA")</f>
        <v>Jefferson</v>
      </c>
      <c r="J1996" s="108" t="str">
        <f>IFERROR(VLOOKUP(H1996,LUTs!$A$1:$C$73,3,FALSE),"NA")</f>
        <v>4 Hood Canal</v>
      </c>
      <c r="K1996" s="108" t="s">
        <v>24</v>
      </c>
      <c r="L1996" s="108" t="str">
        <f>VLOOKUP(K1996,LUTs!E$2:G$14,3,)</f>
        <v>11Clallam</v>
      </c>
      <c r="M1996" s="108" t="str">
        <f>VLOOKUP($K1996,LUTs!$E$2:$H$14,2,)</f>
        <v>Strait of Juan de Fuca</v>
      </c>
      <c r="N1996" s="108" t="str">
        <f>VLOOKUP($K1996,LUTs!$E$2:$H$14,4,)</f>
        <v>03Strait of Juan de Fuca</v>
      </c>
      <c r="O1996" s="108">
        <v>119.352112676056</v>
      </c>
      <c r="P1996" s="108">
        <v>1032.39577464788</v>
      </c>
      <c r="Q1996" s="108">
        <f>SUMIFS('FW_Salmon_by_Month_2010-2021'!P$2:P$3810,'FW_Salmon_by_Month_2010-2021'!$B$2:$B$3810,'Rec_raw_catch_effort_2010-2021'!$B1996,'FW_Salmon_by_Month_2010-2021'!$H$2:$H$3810,'Rec_raw_catch_effort_2010-2021'!$F1996,'FW_Salmon_by_Month_2010-2021'!$M$2:$M$3810,'Rec_raw_catch_effort_2010-2021'!$K1996)</f>
        <v>119.4209558823529</v>
      </c>
      <c r="R1996" s="109">
        <f>VLOOKUP(B1996,Readme!$A$62:$C$74,2,)*Q1996</f>
        <v>575.55585357668099</v>
      </c>
      <c r="S1996" s="140" t="str">
        <f t="shared" si="165"/>
        <v>Y</v>
      </c>
      <c r="T1996" s="154">
        <f t="shared" si="166"/>
        <v>8.6499999999999631</v>
      </c>
      <c r="U1996" s="154">
        <f t="shared" si="167"/>
        <v>4.8195549041132084</v>
      </c>
    </row>
    <row r="1997" spans="1:21" x14ac:dyDescent="0.35">
      <c r="A1997" s="108">
        <v>648</v>
      </c>
      <c r="B1997" s="108">
        <v>2010</v>
      </c>
      <c r="C1997" s="108" t="s">
        <v>38</v>
      </c>
      <c r="D1997" s="108" t="s">
        <v>143</v>
      </c>
      <c r="E1997" s="108" t="s">
        <v>10</v>
      </c>
      <c r="F1997" s="116">
        <v>812</v>
      </c>
      <c r="G1997" s="108" t="s">
        <v>55</v>
      </c>
      <c r="H1997" s="108" t="str">
        <f t="shared" si="164"/>
        <v>Quilcene River</v>
      </c>
      <c r="I1997" s="108" t="str">
        <f>IFERROR(VLOOKUP(H1997,LUTs!$A$1:$C$73,2,FALSE),"NA")</f>
        <v>Jefferson</v>
      </c>
      <c r="J1997" s="108" t="str">
        <f>IFERROR(VLOOKUP(H1997,LUTs!$A$1:$C$73,3,FALSE),"NA")</f>
        <v>4 Hood Canal</v>
      </c>
      <c r="K1997" s="108" t="s">
        <v>25</v>
      </c>
      <c r="L1997" s="108" t="str">
        <f>VLOOKUP(K1997,LUTs!E$2:G$14,3,)</f>
        <v>12Jefferson</v>
      </c>
      <c r="M1997" s="108" t="str">
        <f>VLOOKUP($K1997,LUTs!$E$2:$H$14,2,)</f>
        <v>Strait of Juan de Fuca</v>
      </c>
      <c r="N1997" s="108" t="str">
        <f>VLOOKUP($K1997,LUTs!$E$2:$H$14,4,)</f>
        <v>03Strait of Juan de Fuca</v>
      </c>
      <c r="O1997" s="108">
        <v>87.943661971831006</v>
      </c>
      <c r="P1997" s="108">
        <v>760.71267605633795</v>
      </c>
      <c r="Q1997" s="108">
        <f>SUMIFS('FW_Salmon_by_Month_2010-2021'!P$2:P$3810,'FW_Salmon_by_Month_2010-2021'!$B$2:$B$3810,'Rec_raw_catch_effort_2010-2021'!$B1997,'FW_Salmon_by_Month_2010-2021'!$H$2:$H$3810,'Rec_raw_catch_effort_2010-2021'!$F1997,'FW_Salmon_by_Month_2010-2021'!$M$2:$M$3810,'Rec_raw_catch_effort_2010-2021'!$K1997)</f>
        <v>87.984926470588306</v>
      </c>
      <c r="R1997" s="109">
        <f>VLOOKUP(B1997,Readme!$A$62:$C$74,2,)*Q1997</f>
        <v>424.04818385936392</v>
      </c>
      <c r="S1997" s="140" t="str">
        <f t="shared" si="165"/>
        <v>Y</v>
      </c>
      <c r="T1997" s="154">
        <f t="shared" si="166"/>
        <v>8.6499999999999968</v>
      </c>
      <c r="U1997" s="154">
        <f t="shared" si="167"/>
        <v>4.8195549041132084</v>
      </c>
    </row>
    <row r="1998" spans="1:21" x14ac:dyDescent="0.35">
      <c r="A1998" s="108">
        <v>633</v>
      </c>
      <c r="B1998" s="108">
        <v>2010</v>
      </c>
      <c r="C1998" s="108" t="s">
        <v>38</v>
      </c>
      <c r="D1998" s="108" t="s">
        <v>143</v>
      </c>
      <c r="E1998" s="108" t="s">
        <v>10</v>
      </c>
      <c r="F1998" s="116">
        <v>812</v>
      </c>
      <c r="G1998" s="108" t="s">
        <v>55</v>
      </c>
      <c r="H1998" s="108" t="str">
        <f t="shared" si="164"/>
        <v>Quilcene River</v>
      </c>
      <c r="I1998" s="108" t="str">
        <f>IFERROR(VLOOKUP(H1998,LUTs!$A$1:$C$73,2,FALSE),"NA")</f>
        <v>Jefferson</v>
      </c>
      <c r="J1998" s="108" t="str">
        <f>IFERROR(VLOOKUP(H1998,LUTs!$A$1:$C$73,3,FALSE),"NA")</f>
        <v>4 Hood Canal</v>
      </c>
      <c r="K1998" s="108" t="s">
        <v>18</v>
      </c>
      <c r="L1998" s="108" t="str">
        <f>VLOOKUP(K1998,LUTs!E$2:G$14,3,)</f>
        <v>06King</v>
      </c>
      <c r="M1998" s="108" t="str">
        <f>VLOOKUP($K1998,LUTs!$E$2:$H$14,2,)</f>
        <v>South Puget Sound</v>
      </c>
      <c r="N1998" s="108" t="str">
        <f>VLOOKUP($K1998,LUTs!$E$2:$H$14,4,)</f>
        <v>02South Puget Sound</v>
      </c>
      <c r="O1998" s="108">
        <v>6.28169014084507</v>
      </c>
      <c r="P1998" s="108">
        <v>54.336619718309898</v>
      </c>
      <c r="Q1998" s="108">
        <f>SUMIFS('FW_Salmon_by_Month_2010-2021'!P$2:P$3810,'FW_Salmon_by_Month_2010-2021'!$B$2:$B$3810,'Rec_raw_catch_effort_2010-2021'!$B1998,'FW_Salmon_by_Month_2010-2021'!$H$2:$H$3810,'Rec_raw_catch_effort_2010-2021'!$F1998,'FW_Salmon_by_Month_2010-2021'!$M$2:$M$3810,'Rec_raw_catch_effort_2010-2021'!$K1998)</f>
        <v>6.2941176470588296</v>
      </c>
      <c r="R1998" s="109">
        <f>VLOOKUP(B1998,Readme!$A$62:$C$74,2,)*Q1998</f>
        <v>30.33484557294787</v>
      </c>
      <c r="S1998" s="140" t="str">
        <f t="shared" si="165"/>
        <v>Y</v>
      </c>
      <c r="T1998" s="154">
        <f t="shared" si="166"/>
        <v>8.6500000000000075</v>
      </c>
      <c r="U1998" s="154">
        <f t="shared" si="167"/>
        <v>4.8195549041132084</v>
      </c>
    </row>
    <row r="1999" spans="1:21" x14ac:dyDescent="0.35">
      <c r="A1999" s="108">
        <v>646</v>
      </c>
      <c r="B1999" s="108">
        <v>2010</v>
      </c>
      <c r="C1999" s="108" t="s">
        <v>38</v>
      </c>
      <c r="D1999" s="108" t="s">
        <v>143</v>
      </c>
      <c r="E1999" s="108" t="s">
        <v>10</v>
      </c>
      <c r="F1999" s="116">
        <v>812</v>
      </c>
      <c r="G1999" s="108" t="s">
        <v>55</v>
      </c>
      <c r="H1999" s="108" t="str">
        <f t="shared" si="164"/>
        <v>Quilcene River</v>
      </c>
      <c r="I1999" s="108" t="str">
        <f>IFERROR(VLOOKUP(H1999,LUTs!$A$1:$C$73,2,FALSE),"NA")</f>
        <v>Jefferson</v>
      </c>
      <c r="J1999" s="108" t="str">
        <f>IFERROR(VLOOKUP(H1999,LUTs!$A$1:$C$73,3,FALSE),"NA")</f>
        <v>4 Hood Canal</v>
      </c>
      <c r="K1999" s="108" t="s">
        <v>23</v>
      </c>
      <c r="L1999" s="108" t="str">
        <f>VLOOKUP(K1999,LUTs!E$2:G$14,3,)</f>
        <v>10Kitsap</v>
      </c>
      <c r="M1999" s="108" t="str">
        <f>VLOOKUP($K1999,LUTs!$E$2:$H$14,2,)</f>
        <v>South Puget Sound</v>
      </c>
      <c r="N1999" s="108" t="str">
        <f>VLOOKUP($K1999,LUTs!$E$2:$H$14,4,)</f>
        <v>02South Puget Sound</v>
      </c>
      <c r="O1999" s="108">
        <v>18.845070422535201</v>
      </c>
      <c r="P1999" s="108">
        <v>163.00985915493001</v>
      </c>
      <c r="Q1999" s="108">
        <f>SUMIFS('FW_Salmon_by_Month_2010-2021'!P$2:P$3810,'FW_Salmon_by_Month_2010-2021'!$B$2:$B$3810,'Rec_raw_catch_effort_2010-2021'!$B1999,'FW_Salmon_by_Month_2010-2021'!$H$2:$H$3810,'Rec_raw_catch_effort_2010-2021'!$F1999,'FW_Salmon_by_Month_2010-2021'!$M$2:$M$3810,'Rec_raw_catch_effort_2010-2021'!$K1999)</f>
        <v>18.694117647058832</v>
      </c>
      <c r="R1999" s="109">
        <f>VLOOKUP(B1999,Readme!$A$62:$C$74,2,)*Q1999</f>
        <v>90.097326383951668</v>
      </c>
      <c r="S1999" s="140" t="str">
        <f t="shared" si="165"/>
        <v>Y</v>
      </c>
      <c r="T1999" s="154">
        <f t="shared" si="166"/>
        <v>8.650000000000027</v>
      </c>
      <c r="U1999" s="154">
        <f t="shared" si="167"/>
        <v>4.8195549041132084</v>
      </c>
    </row>
    <row r="2000" spans="1:21" x14ac:dyDescent="0.35">
      <c r="A2000" s="108">
        <v>645</v>
      </c>
      <c r="B2000" s="108">
        <v>2010</v>
      </c>
      <c r="C2000" s="108" t="s">
        <v>38</v>
      </c>
      <c r="D2000" s="108" t="s">
        <v>143</v>
      </c>
      <c r="E2000" s="108" t="s">
        <v>10</v>
      </c>
      <c r="F2000" s="116">
        <v>812</v>
      </c>
      <c r="G2000" s="108" t="s">
        <v>55</v>
      </c>
      <c r="H2000" s="108" t="str">
        <f t="shared" si="164"/>
        <v>Quilcene River</v>
      </c>
      <c r="I2000" s="108" t="str">
        <f>IFERROR(VLOOKUP(H2000,LUTs!$A$1:$C$73,2,FALSE),"NA")</f>
        <v>Jefferson</v>
      </c>
      <c r="J2000" s="108" t="str">
        <f>IFERROR(VLOOKUP(H2000,LUTs!$A$1:$C$73,3,FALSE),"NA")</f>
        <v>4 Hood Canal</v>
      </c>
      <c r="K2000" s="108" t="s">
        <v>22</v>
      </c>
      <c r="L2000" s="108" t="str">
        <f>VLOOKUP(K2000,LUTs!E$2:G$14,3,)</f>
        <v>09Mason</v>
      </c>
      <c r="M2000" s="108" t="str">
        <f>VLOOKUP($K2000,LUTs!$E$2:$H$14,2,)</f>
        <v>South Puget Sound</v>
      </c>
      <c r="N2000" s="108" t="str">
        <f>VLOOKUP($K2000,LUTs!$E$2:$H$14,4,)</f>
        <v>02South Puget Sound</v>
      </c>
      <c r="O2000" s="108">
        <v>81.661971830985905</v>
      </c>
      <c r="P2000" s="108">
        <v>706.37605633802798</v>
      </c>
      <c r="Q2000" s="108">
        <f>SUMIFS('FW_Salmon_by_Month_2010-2021'!P$2:P$3810,'FW_Salmon_by_Month_2010-2021'!$B$2:$B$3810,'Rec_raw_catch_effort_2010-2021'!$B2000,'FW_Salmon_by_Month_2010-2021'!$H$2:$H$3810,'Rec_raw_catch_effort_2010-2021'!$F2000,'FW_Salmon_by_Month_2010-2021'!$M$2:$M$3810,'Rec_raw_catch_effort_2010-2021'!$K2000)</f>
        <v>81.784926470588303</v>
      </c>
      <c r="R2000" s="109">
        <f>VLOOKUP(B2000,Readme!$A$62:$C$74,2,)*Q2000</f>
        <v>394.16694345386202</v>
      </c>
      <c r="S2000" s="140" t="str">
        <f t="shared" si="165"/>
        <v>Y</v>
      </c>
      <c r="T2000" s="154">
        <f t="shared" si="166"/>
        <v>8.6499999999999986</v>
      </c>
      <c r="U2000" s="154">
        <f t="shared" si="167"/>
        <v>4.8195549041132084</v>
      </c>
    </row>
    <row r="2001" spans="1:21" x14ac:dyDescent="0.35">
      <c r="A2001" s="108">
        <v>632</v>
      </c>
      <c r="B2001" s="108">
        <v>2010</v>
      </c>
      <c r="C2001" s="108" t="s">
        <v>38</v>
      </c>
      <c r="D2001" s="108" t="s">
        <v>143</v>
      </c>
      <c r="E2001" s="108" t="s">
        <v>10</v>
      </c>
      <c r="F2001" s="116">
        <v>812</v>
      </c>
      <c r="G2001" s="108" t="s">
        <v>55</v>
      </c>
      <c r="H2001" s="108" t="str">
        <f t="shared" si="164"/>
        <v>Quilcene River</v>
      </c>
      <c r="I2001" s="108" t="str">
        <f>IFERROR(VLOOKUP(H2001,LUTs!$A$1:$C$73,2,FALSE),"NA")</f>
        <v>Jefferson</v>
      </c>
      <c r="J2001" s="108" t="str">
        <f>IFERROR(VLOOKUP(H2001,LUTs!$A$1:$C$73,3,FALSE),"NA")</f>
        <v>4 Hood Canal</v>
      </c>
      <c r="K2001" s="108" t="s">
        <v>16</v>
      </c>
      <c r="L2001" s="108" t="str">
        <f>VLOOKUP(K2001,LUTs!E$2:G$14,3,)</f>
        <v>03Snohomish</v>
      </c>
      <c r="M2001" s="108" t="str">
        <f>VLOOKUP($K2001,LUTs!$E$2:$H$14,2,)</f>
        <v>North Puget Sound</v>
      </c>
      <c r="N2001" s="108" t="str">
        <f>VLOOKUP($K2001,LUTs!$E$2:$H$14,4,)</f>
        <v>01North Puget Sound</v>
      </c>
      <c r="O2001" s="108">
        <v>50.253521126760603</v>
      </c>
      <c r="P2001" s="108">
        <v>434.69295774647901</v>
      </c>
      <c r="Q2001" s="108">
        <f>SUMIFS('FW_Salmon_by_Month_2010-2021'!P$2:P$3810,'FW_Salmon_by_Month_2010-2021'!$B$2:$B$3810,'Rec_raw_catch_effort_2010-2021'!$B2001,'FW_Salmon_by_Month_2010-2021'!$H$2:$H$3810,'Rec_raw_catch_effort_2010-2021'!$F2001,'FW_Salmon_by_Month_2010-2021'!$M$2:$M$3810,'Rec_raw_catch_effort_2010-2021'!$K2001)</f>
        <v>50.1132352941177</v>
      </c>
      <c r="R2001" s="109">
        <f>VLOOKUP(B2001,Readme!$A$62:$C$74,2,)*Q2001</f>
        <v>241.52348892274409</v>
      </c>
      <c r="S2001" s="140" t="str">
        <f t="shared" si="165"/>
        <v>Y</v>
      </c>
      <c r="T2001" s="154">
        <f t="shared" si="166"/>
        <v>8.649999999999995</v>
      </c>
      <c r="U2001" s="154">
        <f t="shared" si="167"/>
        <v>4.8195549041132084</v>
      </c>
    </row>
    <row r="2002" spans="1:21" x14ac:dyDescent="0.35">
      <c r="A2002" s="108">
        <v>634</v>
      </c>
      <c r="B2002" s="108">
        <v>2010</v>
      </c>
      <c r="C2002" s="108" t="s">
        <v>38</v>
      </c>
      <c r="D2002" s="108" t="s">
        <v>143</v>
      </c>
      <c r="E2002" s="108" t="s">
        <v>10</v>
      </c>
      <c r="F2002" s="116">
        <v>812</v>
      </c>
      <c r="G2002" s="108" t="s">
        <v>55</v>
      </c>
      <c r="H2002" s="108" t="str">
        <f t="shared" si="164"/>
        <v>Quilcene River</v>
      </c>
      <c r="I2002" s="108" t="str">
        <f>IFERROR(VLOOKUP(H2002,LUTs!$A$1:$C$73,2,FALSE),"NA")</f>
        <v>Jefferson</v>
      </c>
      <c r="J2002" s="108" t="str">
        <f>IFERROR(VLOOKUP(H2002,LUTs!$A$1:$C$73,3,FALSE),"NA")</f>
        <v>4 Hood Canal</v>
      </c>
      <c r="K2002" s="108" t="s">
        <v>21</v>
      </c>
      <c r="L2002" s="108" t="str">
        <f>VLOOKUP(K2002,LUTs!E$2:G$14,3,)</f>
        <v>08Thurston</v>
      </c>
      <c r="M2002" s="108" t="str">
        <f>VLOOKUP($K2002,LUTs!$E$2:$H$14,2,)</f>
        <v>South Puget Sound</v>
      </c>
      <c r="N2002" s="108" t="str">
        <f>VLOOKUP($K2002,LUTs!$E$2:$H$14,4,)</f>
        <v>02South Puget Sound</v>
      </c>
      <c r="O2002" s="108">
        <v>81.661971830985905</v>
      </c>
      <c r="P2002" s="108">
        <v>706.37605633802798</v>
      </c>
      <c r="Q2002" s="108">
        <f>SUMIFS('FW_Salmon_by_Month_2010-2021'!P$2:P$3810,'FW_Salmon_by_Month_2010-2021'!$B$2:$B$3810,'Rec_raw_catch_effort_2010-2021'!$B2002,'FW_Salmon_by_Month_2010-2021'!$H$2:$H$3810,'Rec_raw_catch_effort_2010-2021'!$F2002,'FW_Salmon_by_Month_2010-2021'!$M$2:$M$3810,'Rec_raw_catch_effort_2010-2021'!$K2002)</f>
        <v>81.707720588235304</v>
      </c>
      <c r="R2002" s="109">
        <f>VLOOKUP(B2002,Readme!$A$62:$C$74,2,)*Q2002</f>
        <v>393.7948454649412</v>
      </c>
      <c r="S2002" s="140" t="str">
        <f t="shared" si="165"/>
        <v>Y</v>
      </c>
      <c r="T2002" s="154">
        <f t="shared" si="166"/>
        <v>8.6499999999999986</v>
      </c>
      <c r="U2002" s="154">
        <f t="shared" si="167"/>
        <v>4.8195549041132084</v>
      </c>
    </row>
    <row r="2003" spans="1:21" x14ac:dyDescent="0.35">
      <c r="A2003" s="108">
        <v>723</v>
      </c>
      <c r="B2003" s="108">
        <v>2011</v>
      </c>
      <c r="C2003" s="108" t="s">
        <v>38</v>
      </c>
      <c r="D2003" s="108" t="s">
        <v>143</v>
      </c>
      <c r="E2003" s="108" t="s">
        <v>10</v>
      </c>
      <c r="F2003" s="116">
        <v>812</v>
      </c>
      <c r="G2003" s="108" t="s">
        <v>55</v>
      </c>
      <c r="H2003" s="108" t="str">
        <f t="shared" si="164"/>
        <v>Quilcene River</v>
      </c>
      <c r="I2003" s="108" t="str">
        <f>IFERROR(VLOOKUP(H2003,LUTs!$A$1:$C$73,2,FALSE),"NA")</f>
        <v>Jefferson</v>
      </c>
      <c r="J2003" s="108" t="str">
        <f>IFERROR(VLOOKUP(H2003,LUTs!$A$1:$C$73,3,FALSE),"NA")</f>
        <v>4 Hood Canal</v>
      </c>
      <c r="K2003" s="108" t="s">
        <v>24</v>
      </c>
      <c r="L2003" s="108" t="str">
        <f>VLOOKUP(K2003,LUTs!E$2:G$14,3,)</f>
        <v>11Clallam</v>
      </c>
      <c r="M2003" s="108" t="str">
        <f>VLOOKUP($K2003,LUTs!$E$2:$H$14,2,)</f>
        <v>Strait of Juan de Fuca</v>
      </c>
      <c r="N2003" s="108" t="str">
        <f>VLOOKUP($K2003,LUTs!$E$2:$H$14,4,)</f>
        <v>03Strait of Juan de Fuca</v>
      </c>
      <c r="O2003" s="108">
        <v>1068.1699716713899</v>
      </c>
      <c r="P2003" s="108">
        <v>3674.5047025495801</v>
      </c>
      <c r="Q2003" s="108">
        <f>SUMIFS('FW_Salmon_by_Month_2010-2021'!P$2:P$3810,'FW_Salmon_by_Month_2010-2021'!$B$2:$B$3810,'Rec_raw_catch_effort_2010-2021'!$B2003,'FW_Salmon_by_Month_2010-2021'!$H$2:$H$3810,'Rec_raw_catch_effort_2010-2021'!$F2003,'FW_Salmon_by_Month_2010-2021'!$M$2:$M$3810,'Rec_raw_catch_effort_2010-2021'!$K2003)</f>
        <v>1080.4834710743798</v>
      </c>
      <c r="R2003" s="109">
        <f>VLOOKUP(B2003,Readme!$A$62:$C$74,2,)*Q2003</f>
        <v>3823.874698648704</v>
      </c>
      <c r="S2003" s="140" t="str">
        <f t="shared" si="165"/>
        <v>Y</v>
      </c>
      <c r="T2003" s="154">
        <f t="shared" si="166"/>
        <v>3.4399999999999986</v>
      </c>
      <c r="U2003" s="154">
        <f t="shared" si="167"/>
        <v>3.5390404397824153</v>
      </c>
    </row>
    <row r="2004" spans="1:21" x14ac:dyDescent="0.35">
      <c r="A2004" s="108">
        <v>717</v>
      </c>
      <c r="B2004" s="108">
        <v>2011</v>
      </c>
      <c r="C2004" s="108" t="s">
        <v>38</v>
      </c>
      <c r="D2004" s="108" t="s">
        <v>143</v>
      </c>
      <c r="E2004" s="108" t="s">
        <v>10</v>
      </c>
      <c r="F2004" s="116">
        <v>812</v>
      </c>
      <c r="G2004" s="108" t="s">
        <v>55</v>
      </c>
      <c r="H2004" s="108" t="str">
        <f t="shared" si="164"/>
        <v>Quilcene River</v>
      </c>
      <c r="I2004" s="108" t="str">
        <f>IFERROR(VLOOKUP(H2004,LUTs!$A$1:$C$73,2,FALSE),"NA")</f>
        <v>Jefferson</v>
      </c>
      <c r="J2004" s="108" t="str">
        <f>IFERROR(VLOOKUP(H2004,LUTs!$A$1:$C$73,3,FALSE),"NA")</f>
        <v>4 Hood Canal</v>
      </c>
      <c r="K2004" s="108" t="s">
        <v>17</v>
      </c>
      <c r="L2004" s="108" t="str">
        <f>VLOOKUP(K2004,LUTs!E$2:G$14,3,)</f>
        <v>04Island</v>
      </c>
      <c r="M2004" s="108" t="str">
        <f>VLOOKUP($K2004,LUTs!$E$2:$H$14,2,)</f>
        <v>North Puget Sound</v>
      </c>
      <c r="N2004" s="108" t="str">
        <f>VLOOKUP($K2004,LUTs!$E$2:$H$14,4,)</f>
        <v>01North Puget Sound</v>
      </c>
      <c r="O2004" s="108">
        <v>170.61048158640199</v>
      </c>
      <c r="P2004" s="108">
        <v>586.90005665722299</v>
      </c>
      <c r="Q2004" s="108">
        <f>SUMIFS('FW_Salmon_by_Month_2010-2021'!P$2:P$3810,'FW_Salmon_by_Month_2010-2021'!$B$2:$B$3810,'Rec_raw_catch_effort_2010-2021'!$B2004,'FW_Salmon_by_Month_2010-2021'!$H$2:$H$3810,'Rec_raw_catch_effort_2010-2021'!$F2004,'FW_Salmon_by_Month_2010-2021'!$M$2:$M$3810,'Rec_raw_catch_effort_2010-2021'!$K2004)</f>
        <v>172.5371900826446</v>
      </c>
      <c r="R2004" s="109">
        <f>VLOOKUP(B2004,Readme!$A$62:$C$74,2,)*Q2004</f>
        <v>610.61609306890477</v>
      </c>
      <c r="S2004" s="140" t="str">
        <f t="shared" si="165"/>
        <v>Y</v>
      </c>
      <c r="T2004" s="154">
        <f t="shared" si="166"/>
        <v>3.4400000000000008</v>
      </c>
      <c r="U2004" s="154">
        <f t="shared" si="167"/>
        <v>3.5390404397824158</v>
      </c>
    </row>
    <row r="2005" spans="1:21" x14ac:dyDescent="0.35">
      <c r="A2005" s="108">
        <v>724</v>
      </c>
      <c r="B2005" s="108">
        <v>2011</v>
      </c>
      <c r="C2005" s="108" t="s">
        <v>38</v>
      </c>
      <c r="D2005" s="108" t="s">
        <v>143</v>
      </c>
      <c r="E2005" s="108" t="s">
        <v>10</v>
      </c>
      <c r="F2005" s="116">
        <v>812</v>
      </c>
      <c r="G2005" s="108" t="s">
        <v>55</v>
      </c>
      <c r="H2005" s="108" t="str">
        <f t="shared" si="164"/>
        <v>Quilcene River</v>
      </c>
      <c r="I2005" s="108" t="str">
        <f>IFERROR(VLOOKUP(H2005,LUTs!$A$1:$C$73,2,FALSE),"NA")</f>
        <v>Jefferson</v>
      </c>
      <c r="J2005" s="108" t="str">
        <f>IFERROR(VLOOKUP(H2005,LUTs!$A$1:$C$73,3,FALSE),"NA")</f>
        <v>4 Hood Canal</v>
      </c>
      <c r="K2005" s="108" t="s">
        <v>25</v>
      </c>
      <c r="L2005" s="108" t="str">
        <f>VLOOKUP(K2005,LUTs!E$2:G$14,3,)</f>
        <v>12Jefferson</v>
      </c>
      <c r="M2005" s="108" t="str">
        <f>VLOOKUP($K2005,LUTs!$E$2:$H$14,2,)</f>
        <v>Strait of Juan de Fuca</v>
      </c>
      <c r="N2005" s="108" t="str">
        <f>VLOOKUP($K2005,LUTs!$E$2:$H$14,4,)</f>
        <v>03Strait of Juan de Fuca</v>
      </c>
      <c r="O2005" s="108">
        <v>1624.5084985835699</v>
      </c>
      <c r="P2005" s="108">
        <v>5588.30923512748</v>
      </c>
      <c r="Q2005" s="108">
        <f>SUMIFS('FW_Salmon_by_Month_2010-2021'!P$2:P$3810,'FW_Salmon_by_Month_2010-2021'!$B$2:$B$3810,'Rec_raw_catch_effort_2010-2021'!$B2005,'FW_Salmon_by_Month_2010-2021'!$H$2:$H$3810,'Rec_raw_catch_effort_2010-2021'!$F2005,'FW_Salmon_by_Month_2010-2021'!$M$2:$M$3810,'Rec_raw_catch_effort_2010-2021'!$K2005)</f>
        <v>1643.0909090909099</v>
      </c>
      <c r="R2005" s="109">
        <f>VLOOKUP(B2005,Readme!$A$62:$C$74,2,)*Q2005</f>
        <v>5814.9651735115822</v>
      </c>
      <c r="S2005" s="140" t="str">
        <f t="shared" si="165"/>
        <v>Y</v>
      </c>
      <c r="T2005" s="154">
        <f t="shared" si="166"/>
        <v>3.4399999999999995</v>
      </c>
      <c r="U2005" s="154">
        <f t="shared" si="167"/>
        <v>3.5390404397824153</v>
      </c>
    </row>
    <row r="2006" spans="1:21" x14ac:dyDescent="0.35">
      <c r="A2006" s="108">
        <v>718</v>
      </c>
      <c r="B2006" s="108">
        <v>2011</v>
      </c>
      <c r="C2006" s="108" t="s">
        <v>38</v>
      </c>
      <c r="D2006" s="108" t="s">
        <v>143</v>
      </c>
      <c r="E2006" s="108" t="s">
        <v>10</v>
      </c>
      <c r="F2006" s="116">
        <v>812</v>
      </c>
      <c r="G2006" s="108" t="s">
        <v>55</v>
      </c>
      <c r="H2006" s="108" t="str">
        <f t="shared" si="164"/>
        <v>Quilcene River</v>
      </c>
      <c r="I2006" s="108" t="str">
        <f>IFERROR(VLOOKUP(H2006,LUTs!$A$1:$C$73,2,FALSE),"NA")</f>
        <v>Jefferson</v>
      </c>
      <c r="J2006" s="108" t="str">
        <f>IFERROR(VLOOKUP(H2006,LUTs!$A$1:$C$73,3,FALSE),"NA")</f>
        <v>4 Hood Canal</v>
      </c>
      <c r="K2006" s="108" t="s">
        <v>18</v>
      </c>
      <c r="L2006" s="108" t="str">
        <f>VLOOKUP(K2006,LUTs!E$2:G$14,3,)</f>
        <v>06King</v>
      </c>
      <c r="M2006" s="108" t="str">
        <f>VLOOKUP($K2006,LUTs!$E$2:$H$14,2,)</f>
        <v>South Puget Sound</v>
      </c>
      <c r="N2006" s="108" t="str">
        <f>VLOOKUP($K2006,LUTs!$E$2:$H$14,4,)</f>
        <v>02South Puget Sound</v>
      </c>
      <c r="O2006" s="108">
        <v>482.160056657224</v>
      </c>
      <c r="P2006" s="108">
        <v>1658.6305949008499</v>
      </c>
      <c r="Q2006" s="108">
        <f>SUMIFS('FW_Salmon_by_Month_2010-2021'!P$2:P$3810,'FW_Salmon_by_Month_2010-2021'!$B$2:$B$3810,'Rec_raw_catch_effort_2010-2021'!$B2006,'FW_Salmon_by_Month_2010-2021'!$H$2:$H$3810,'Rec_raw_catch_effort_2010-2021'!$F2006,'FW_Salmon_by_Month_2010-2021'!$M$2:$M$3810,'Rec_raw_catch_effort_2010-2021'!$K2006)</f>
        <v>465.140495867769</v>
      </c>
      <c r="R2006" s="109">
        <f>VLOOKUP(B2006,Readme!$A$62:$C$74,2,)*Q2006</f>
        <v>1646.15102505648</v>
      </c>
      <c r="S2006" s="140" t="str">
        <f t="shared" si="165"/>
        <v>Y</v>
      </c>
      <c r="T2006" s="154">
        <f t="shared" si="166"/>
        <v>3.4399999999999986</v>
      </c>
      <c r="U2006" s="154">
        <f t="shared" si="167"/>
        <v>3.5390404397824153</v>
      </c>
    </row>
    <row r="2007" spans="1:21" x14ac:dyDescent="0.35">
      <c r="A2007" s="108">
        <v>722</v>
      </c>
      <c r="B2007" s="108">
        <v>2011</v>
      </c>
      <c r="C2007" s="108" t="s">
        <v>38</v>
      </c>
      <c r="D2007" s="108" t="s">
        <v>143</v>
      </c>
      <c r="E2007" s="108" t="s">
        <v>10</v>
      </c>
      <c r="F2007" s="116">
        <v>812</v>
      </c>
      <c r="G2007" s="108" t="s">
        <v>55</v>
      </c>
      <c r="H2007" s="108" t="str">
        <f t="shared" si="164"/>
        <v>Quilcene River</v>
      </c>
      <c r="I2007" s="108" t="str">
        <f>IFERROR(VLOOKUP(H2007,LUTs!$A$1:$C$73,2,FALSE),"NA")</f>
        <v>Jefferson</v>
      </c>
      <c r="J2007" s="108" t="str">
        <f>IFERROR(VLOOKUP(H2007,LUTs!$A$1:$C$73,3,FALSE),"NA")</f>
        <v>4 Hood Canal</v>
      </c>
      <c r="K2007" s="108" t="s">
        <v>23</v>
      </c>
      <c r="L2007" s="108" t="str">
        <f>VLOOKUP(K2007,LUTs!E$2:G$14,3,)</f>
        <v>10Kitsap</v>
      </c>
      <c r="M2007" s="108" t="str">
        <f>VLOOKUP($K2007,LUTs!$E$2:$H$14,2,)</f>
        <v>South Puget Sound</v>
      </c>
      <c r="N2007" s="108" t="str">
        <f>VLOOKUP($K2007,LUTs!$E$2:$H$14,4,)</f>
        <v>02South Puget Sound</v>
      </c>
      <c r="O2007" s="108">
        <v>912.39518413597705</v>
      </c>
      <c r="P2007" s="108">
        <v>3138.6394334277602</v>
      </c>
      <c r="Q2007" s="108">
        <f>SUMIFS('FW_Salmon_by_Month_2010-2021'!P$2:P$3810,'FW_Salmon_by_Month_2010-2021'!$B$2:$B$3810,'Rec_raw_catch_effort_2010-2021'!$B2007,'FW_Salmon_by_Month_2010-2021'!$H$2:$H$3810,'Rec_raw_catch_effort_2010-2021'!$F2007,'FW_Salmon_by_Month_2010-2021'!$M$2:$M$3810,'Rec_raw_catch_effort_2010-2021'!$K2007)</f>
        <v>915.34297520661198</v>
      </c>
      <c r="R2007" s="109">
        <f>VLOOKUP(B2007,Readme!$A$62:$C$74,2,)*Q2007</f>
        <v>3239.4358055269527</v>
      </c>
      <c r="S2007" s="140" t="str">
        <f t="shared" si="165"/>
        <v>Y</v>
      </c>
      <c r="T2007" s="154">
        <f t="shared" si="166"/>
        <v>3.4399999999999991</v>
      </c>
      <c r="U2007" s="154">
        <f t="shared" si="167"/>
        <v>3.5390404397824153</v>
      </c>
    </row>
    <row r="2008" spans="1:21" x14ac:dyDescent="0.35">
      <c r="A2008" s="108">
        <v>721</v>
      </c>
      <c r="B2008" s="108">
        <v>2011</v>
      </c>
      <c r="C2008" s="108" t="s">
        <v>38</v>
      </c>
      <c r="D2008" s="108" t="s">
        <v>143</v>
      </c>
      <c r="E2008" s="108" t="s">
        <v>10</v>
      </c>
      <c r="F2008" s="116">
        <v>812</v>
      </c>
      <c r="G2008" s="108" t="s">
        <v>55</v>
      </c>
      <c r="H2008" s="108" t="str">
        <f t="shared" si="164"/>
        <v>Quilcene River</v>
      </c>
      <c r="I2008" s="108" t="str">
        <f>IFERROR(VLOOKUP(H2008,LUTs!$A$1:$C$73,2,FALSE),"NA")</f>
        <v>Jefferson</v>
      </c>
      <c r="J2008" s="108" t="str">
        <f>IFERROR(VLOOKUP(H2008,LUTs!$A$1:$C$73,3,FALSE),"NA")</f>
        <v>4 Hood Canal</v>
      </c>
      <c r="K2008" s="108" t="s">
        <v>22</v>
      </c>
      <c r="L2008" s="108" t="str">
        <f>VLOOKUP(K2008,LUTs!E$2:G$14,3,)</f>
        <v>09Mason</v>
      </c>
      <c r="M2008" s="108" t="str">
        <f>VLOOKUP($K2008,LUTs!$E$2:$H$14,2,)</f>
        <v>South Puget Sound</v>
      </c>
      <c r="N2008" s="108" t="str">
        <f>VLOOKUP($K2008,LUTs!$E$2:$H$14,4,)</f>
        <v>02South Puget Sound</v>
      </c>
      <c r="O2008" s="108">
        <v>370.89235127478798</v>
      </c>
      <c r="P2008" s="108">
        <v>1275.8696883852699</v>
      </c>
      <c r="Q2008" s="108">
        <f>SUMIFS('FW_Salmon_by_Month_2010-2021'!P$2:P$3810,'FW_Salmon_by_Month_2010-2021'!$B$2:$B$3810,'Rec_raw_catch_effort_2010-2021'!$B2008,'FW_Salmon_by_Month_2010-2021'!$H$2:$H$3810,'Rec_raw_catch_effort_2010-2021'!$F2008,'FW_Salmon_by_Month_2010-2021'!$M$2:$M$3810,'Rec_raw_catch_effort_2010-2021'!$K2008)</f>
        <v>375.13636363636397</v>
      </c>
      <c r="R2008" s="109">
        <f>VLOOKUP(B2008,Readme!$A$62:$C$74,2,)*Q2008</f>
        <v>1327.6227613420135</v>
      </c>
      <c r="S2008" s="140" t="str">
        <f t="shared" si="165"/>
        <v>Y</v>
      </c>
      <c r="T2008" s="154">
        <f t="shared" si="166"/>
        <v>3.4399999999999982</v>
      </c>
      <c r="U2008" s="154">
        <f t="shared" si="167"/>
        <v>3.5390404397824149</v>
      </c>
    </row>
    <row r="2009" spans="1:21" x14ac:dyDescent="0.35">
      <c r="A2009" s="108">
        <v>725</v>
      </c>
      <c r="B2009" s="108">
        <v>2011</v>
      </c>
      <c r="C2009" s="108" t="s">
        <v>38</v>
      </c>
      <c r="D2009" s="108" t="s">
        <v>143</v>
      </c>
      <c r="E2009" s="108" t="s">
        <v>10</v>
      </c>
      <c r="F2009" s="116">
        <v>812</v>
      </c>
      <c r="G2009" s="108" t="s">
        <v>55</v>
      </c>
      <c r="H2009" s="108" t="str">
        <f t="shared" si="164"/>
        <v>Quilcene River</v>
      </c>
      <c r="I2009" s="108" t="str">
        <f>IFERROR(VLOOKUP(H2009,LUTs!$A$1:$C$73,2,FALSE),"NA")</f>
        <v>Jefferson</v>
      </c>
      <c r="J2009" s="108" t="str">
        <f>IFERROR(VLOOKUP(H2009,LUTs!$A$1:$C$73,3,FALSE),"NA")</f>
        <v>4 Hood Canal</v>
      </c>
      <c r="K2009" s="108" t="s">
        <v>26</v>
      </c>
      <c r="L2009" s="108" t="str">
        <f>VLOOKUP(K2009,LUTs!E$2:G$14,3,)</f>
        <v>20Other</v>
      </c>
      <c r="M2009" s="108" t="str">
        <f>VLOOKUP($K2009,LUTs!$E$2:$H$14,2,)</f>
        <v>Non Puget Sound</v>
      </c>
      <c r="N2009" s="108" t="str">
        <f>VLOOKUP($K2009,LUTs!$E$2:$H$14,4,)</f>
        <v>07Non Puget Sound</v>
      </c>
      <c r="O2009" s="108">
        <v>163.19263456090701</v>
      </c>
      <c r="P2009" s="108">
        <v>561.38266288952002</v>
      </c>
      <c r="Q2009" s="108">
        <f>SUMIFS('FW_Salmon_by_Month_2010-2021'!P$2:P$3810,'FW_Salmon_by_Month_2010-2021'!$B$2:$B$3810,'Rec_raw_catch_effort_2010-2021'!$B2009,'FW_Salmon_by_Month_2010-2021'!$H$2:$H$3810,'Rec_raw_catch_effort_2010-2021'!$F2009,'FW_Salmon_by_Month_2010-2021'!$M$2:$M$3810,'Rec_raw_catch_effort_2010-2021'!$K2009)</f>
        <v>135.07024793388399</v>
      </c>
      <c r="R2009" s="109">
        <f>VLOOKUP(B2009,Readme!$A$62:$C$74,2,)*Q2009</f>
        <v>478.01906964945266</v>
      </c>
      <c r="S2009" s="140" t="str">
        <f t="shared" si="165"/>
        <v>Y</v>
      </c>
      <c r="T2009" s="154">
        <f t="shared" si="166"/>
        <v>3.4399999999999995</v>
      </c>
      <c r="U2009" s="154">
        <f t="shared" si="167"/>
        <v>3.5390404397824153</v>
      </c>
    </row>
    <row r="2010" spans="1:21" x14ac:dyDescent="0.35">
      <c r="A2010" s="108">
        <v>719</v>
      </c>
      <c r="B2010" s="108">
        <v>2011</v>
      </c>
      <c r="C2010" s="108" t="s">
        <v>38</v>
      </c>
      <c r="D2010" s="108" t="s">
        <v>143</v>
      </c>
      <c r="E2010" s="108" t="s">
        <v>10</v>
      </c>
      <c r="F2010" s="116">
        <v>812</v>
      </c>
      <c r="G2010" s="108" t="s">
        <v>55</v>
      </c>
      <c r="H2010" s="108" t="str">
        <f t="shared" si="164"/>
        <v>Quilcene River</v>
      </c>
      <c r="I2010" s="108" t="str">
        <f>IFERROR(VLOOKUP(H2010,LUTs!$A$1:$C$73,2,FALSE),"NA")</f>
        <v>Jefferson</v>
      </c>
      <c r="J2010" s="108" t="str">
        <f>IFERROR(VLOOKUP(H2010,LUTs!$A$1:$C$73,3,FALSE),"NA")</f>
        <v>4 Hood Canal</v>
      </c>
      <c r="K2010" s="108" t="s">
        <v>20</v>
      </c>
      <c r="L2010" s="108" t="str">
        <f>VLOOKUP(K2010,LUTs!E$2:G$14,3,)</f>
        <v>07Pierce</v>
      </c>
      <c r="M2010" s="108" t="str">
        <f>VLOOKUP($K2010,LUTs!$E$2:$H$14,2,)</f>
        <v>South Puget Sound</v>
      </c>
      <c r="N2010" s="108" t="str">
        <f>VLOOKUP($K2010,LUTs!$E$2:$H$14,4,)</f>
        <v>02South Puget Sound</v>
      </c>
      <c r="O2010" s="108">
        <v>185.44617563739399</v>
      </c>
      <c r="P2010" s="108">
        <v>637.93484419263496</v>
      </c>
      <c r="Q2010" s="108">
        <f>SUMIFS('FW_Salmon_by_Month_2010-2021'!P$2:P$3810,'FW_Salmon_by_Month_2010-2021'!$B$2:$B$3810,'Rec_raw_catch_effort_2010-2021'!$B2010,'FW_Salmon_by_Month_2010-2021'!$H$2:$H$3810,'Rec_raw_catch_effort_2010-2021'!$F2010,'FW_Salmon_by_Month_2010-2021'!$M$2:$M$3810,'Rec_raw_catch_effort_2010-2021'!$K2010)</f>
        <v>187.59504132231399</v>
      </c>
      <c r="R2010" s="109">
        <f>VLOOKUP(B2010,Readme!$A$62:$C$74,2,)*Q2010</f>
        <v>663.90643754232246</v>
      </c>
      <c r="S2010" s="140" t="str">
        <f t="shared" si="165"/>
        <v>Y</v>
      </c>
      <c r="T2010" s="154">
        <f t="shared" si="166"/>
        <v>3.4399999999999982</v>
      </c>
      <c r="U2010" s="154">
        <f t="shared" si="167"/>
        <v>3.5390404397824153</v>
      </c>
    </row>
    <row r="2011" spans="1:21" x14ac:dyDescent="0.35">
      <c r="A2011" s="108">
        <v>716</v>
      </c>
      <c r="B2011" s="108">
        <v>2011</v>
      </c>
      <c r="C2011" s="108" t="s">
        <v>38</v>
      </c>
      <c r="D2011" s="108" t="s">
        <v>143</v>
      </c>
      <c r="E2011" s="108" t="s">
        <v>10</v>
      </c>
      <c r="F2011" s="116">
        <v>812</v>
      </c>
      <c r="G2011" s="108" t="s">
        <v>55</v>
      </c>
      <c r="H2011" s="108" t="str">
        <f t="shared" si="164"/>
        <v>Quilcene River</v>
      </c>
      <c r="I2011" s="108" t="str">
        <f>IFERROR(VLOOKUP(H2011,LUTs!$A$1:$C$73,2,FALSE),"NA")</f>
        <v>Jefferson</v>
      </c>
      <c r="J2011" s="108" t="str">
        <f>IFERROR(VLOOKUP(H2011,LUTs!$A$1:$C$73,3,FALSE),"NA")</f>
        <v>4 Hood Canal</v>
      </c>
      <c r="K2011" s="108" t="s">
        <v>16</v>
      </c>
      <c r="L2011" s="108" t="str">
        <f>VLOOKUP(K2011,LUTs!E$2:G$14,3,)</f>
        <v>03Snohomish</v>
      </c>
      <c r="M2011" s="108" t="str">
        <f>VLOOKUP($K2011,LUTs!$E$2:$H$14,2,)</f>
        <v>North Puget Sound</v>
      </c>
      <c r="N2011" s="108" t="str">
        <f>VLOOKUP($K2011,LUTs!$E$2:$H$14,4,)</f>
        <v>01North Puget Sound</v>
      </c>
      <c r="O2011" s="108">
        <v>81.596317280453306</v>
      </c>
      <c r="P2011" s="108">
        <v>280.69133144475899</v>
      </c>
      <c r="Q2011" s="108">
        <f>SUMIFS('FW_Salmon_by_Month_2010-2021'!P$2:P$3810,'FW_Salmon_by_Month_2010-2021'!$B$2:$B$3810,'Rec_raw_catch_effort_2010-2021'!$B2011,'FW_Salmon_by_Month_2010-2021'!$H$2:$H$3810,'Rec_raw_catch_effort_2010-2021'!$F2011,'FW_Salmon_by_Month_2010-2021'!$M$2:$M$3810,'Rec_raw_catch_effort_2010-2021'!$K2011)</f>
        <v>82.524793388429799</v>
      </c>
      <c r="R2011" s="109">
        <f>VLOOKUP(B2011,Readme!$A$62:$C$74,2,)*Q2011</f>
        <v>292.05858108634158</v>
      </c>
      <c r="S2011" s="140" t="str">
        <f t="shared" si="165"/>
        <v>Y</v>
      </c>
      <c r="T2011" s="154">
        <f t="shared" si="166"/>
        <v>3.4399999999999951</v>
      </c>
      <c r="U2011" s="154">
        <f t="shared" si="167"/>
        <v>3.5390404397824153</v>
      </c>
    </row>
    <row r="2012" spans="1:21" x14ac:dyDescent="0.35">
      <c r="A2012" s="108">
        <v>720</v>
      </c>
      <c r="B2012" s="108">
        <v>2011</v>
      </c>
      <c r="C2012" s="108" t="s">
        <v>38</v>
      </c>
      <c r="D2012" s="108" t="s">
        <v>143</v>
      </c>
      <c r="E2012" s="108" t="s">
        <v>10</v>
      </c>
      <c r="F2012" s="116">
        <v>812</v>
      </c>
      <c r="G2012" s="108" t="s">
        <v>55</v>
      </c>
      <c r="H2012" s="108" t="str">
        <f t="shared" si="164"/>
        <v>Quilcene River</v>
      </c>
      <c r="I2012" s="108" t="str">
        <f>IFERROR(VLOOKUP(H2012,LUTs!$A$1:$C$73,2,FALSE),"NA")</f>
        <v>Jefferson</v>
      </c>
      <c r="J2012" s="108" t="str">
        <f>IFERROR(VLOOKUP(H2012,LUTs!$A$1:$C$73,3,FALSE),"NA")</f>
        <v>4 Hood Canal</v>
      </c>
      <c r="K2012" s="108" t="s">
        <v>21</v>
      </c>
      <c r="L2012" s="108" t="str">
        <f>VLOOKUP(K2012,LUTs!E$2:G$14,3,)</f>
        <v>08Thurston</v>
      </c>
      <c r="M2012" s="108" t="str">
        <f>VLOOKUP($K2012,LUTs!$E$2:$H$14,2,)</f>
        <v>South Puget Sound</v>
      </c>
      <c r="N2012" s="108" t="str">
        <f>VLOOKUP($K2012,LUTs!$E$2:$H$14,4,)</f>
        <v>02South Puget Sound</v>
      </c>
      <c r="O2012" s="108">
        <v>178.02832861189799</v>
      </c>
      <c r="P2012" s="108">
        <v>612.41745042492903</v>
      </c>
      <c r="Q2012" s="108">
        <f>SUMIFS('FW_Salmon_by_Month_2010-2021'!P$2:P$3810,'FW_Salmon_by_Month_2010-2021'!$B$2:$B$3810,'Rec_raw_catch_effort_2010-2021'!$B2012,'FW_Salmon_by_Month_2010-2021'!$H$2:$H$3810,'Rec_raw_catch_effort_2010-2021'!$F2012,'FW_Salmon_by_Month_2010-2021'!$M$2:$M$3810,'Rec_raw_catch_effort_2010-2021'!$K2012)</f>
        <v>180.07851239669401</v>
      </c>
      <c r="R2012" s="109">
        <f>VLOOKUP(B2012,Readme!$A$62:$C$74,2,)*Q2012</f>
        <v>637.30513770775906</v>
      </c>
      <c r="S2012" s="140" t="str">
        <f t="shared" si="165"/>
        <v>Y</v>
      </c>
      <c r="T2012" s="154">
        <f t="shared" si="166"/>
        <v>3.4399999999999995</v>
      </c>
      <c r="U2012" s="154">
        <f t="shared" si="167"/>
        <v>3.5390404397824153</v>
      </c>
    </row>
    <row r="2013" spans="1:21" x14ac:dyDescent="0.35">
      <c r="A2013" s="108">
        <v>743</v>
      </c>
      <c r="B2013" s="108">
        <v>2012</v>
      </c>
      <c r="C2013" s="108" t="s">
        <v>38</v>
      </c>
      <c r="D2013" s="108" t="s">
        <v>143</v>
      </c>
      <c r="E2013" s="108" t="s">
        <v>10</v>
      </c>
      <c r="F2013" s="116">
        <v>812</v>
      </c>
      <c r="G2013" s="108" t="s">
        <v>55</v>
      </c>
      <c r="H2013" s="108" t="str">
        <f t="shared" si="164"/>
        <v>Quilcene River</v>
      </c>
      <c r="I2013" s="108" t="str">
        <f>IFERROR(VLOOKUP(H2013,LUTs!$A$1:$C$73,2,FALSE),"NA")</f>
        <v>Jefferson</v>
      </c>
      <c r="J2013" s="108" t="str">
        <f>IFERROR(VLOOKUP(H2013,LUTs!$A$1:$C$73,3,FALSE),"NA")</f>
        <v>4 Hood Canal</v>
      </c>
      <c r="K2013" s="108" t="s">
        <v>24</v>
      </c>
      <c r="L2013" s="108" t="str">
        <f>VLOOKUP(K2013,LUTs!E$2:G$14,3,)</f>
        <v>11Clallam</v>
      </c>
      <c r="M2013" s="108" t="str">
        <f>VLOOKUP($K2013,LUTs!$E$2:$H$14,2,)</f>
        <v>Strait of Juan de Fuca</v>
      </c>
      <c r="N2013" s="108" t="str">
        <f>VLOOKUP($K2013,LUTs!$E$2:$H$14,4,)</f>
        <v>03Strait of Juan de Fuca</v>
      </c>
      <c r="O2013" s="108">
        <v>681.70152761457098</v>
      </c>
      <c r="P2013" s="108">
        <v>5896.7182138660401</v>
      </c>
      <c r="Q2013" s="108">
        <f>SUMIFS('FW_Salmon_by_Month_2010-2021'!P$2:P$3810,'FW_Salmon_by_Month_2010-2021'!$B$2:$B$3810,'Rec_raw_catch_effort_2010-2021'!$B2013,'FW_Salmon_by_Month_2010-2021'!$H$2:$H$3810,'Rec_raw_catch_effort_2010-2021'!$F2013,'FW_Salmon_by_Month_2010-2021'!$M$2:$M$3810,'Rec_raw_catch_effort_2010-2021'!$K2013)</f>
        <v>719.78006335623536</v>
      </c>
      <c r="R2013" s="109">
        <f>VLOOKUP(B2013,Readme!$A$62:$C$74,2,)*Q2013</f>
        <v>3469.0195342314601</v>
      </c>
      <c r="S2013" s="140" t="str">
        <f t="shared" si="165"/>
        <v>Y</v>
      </c>
      <c r="T2013" s="154">
        <f t="shared" si="166"/>
        <v>8.6500000000000021</v>
      </c>
      <c r="U2013" s="154">
        <f t="shared" si="167"/>
        <v>4.8195549041132084</v>
      </c>
    </row>
    <row r="2014" spans="1:21" x14ac:dyDescent="0.35">
      <c r="A2014" s="108">
        <v>744</v>
      </c>
      <c r="B2014" s="108">
        <v>2012</v>
      </c>
      <c r="C2014" s="108" t="s">
        <v>38</v>
      </c>
      <c r="D2014" s="108" t="s">
        <v>143</v>
      </c>
      <c r="E2014" s="108" t="s">
        <v>10</v>
      </c>
      <c r="F2014" s="116">
        <v>812</v>
      </c>
      <c r="G2014" s="108" t="s">
        <v>55</v>
      </c>
      <c r="H2014" s="108" t="str">
        <f t="shared" si="164"/>
        <v>Quilcene River</v>
      </c>
      <c r="I2014" s="108" t="str">
        <f>IFERROR(VLOOKUP(H2014,LUTs!$A$1:$C$73,2,FALSE),"NA")</f>
        <v>Jefferson</v>
      </c>
      <c r="J2014" s="108" t="str">
        <f>IFERROR(VLOOKUP(H2014,LUTs!$A$1:$C$73,3,FALSE),"NA")</f>
        <v>4 Hood Canal</v>
      </c>
      <c r="K2014" s="108" t="s">
        <v>25</v>
      </c>
      <c r="L2014" s="108" t="str">
        <f>VLOOKUP(K2014,LUTs!E$2:G$14,3,)</f>
        <v>12Jefferson</v>
      </c>
      <c r="M2014" s="108" t="str">
        <f>VLOOKUP($K2014,LUTs!$E$2:$H$14,2,)</f>
        <v>Strait of Juan de Fuca</v>
      </c>
      <c r="N2014" s="108" t="str">
        <f>VLOOKUP($K2014,LUTs!$E$2:$H$14,4,)</f>
        <v>03Strait of Juan de Fuca</v>
      </c>
      <c r="O2014" s="108">
        <v>1363.4030552291399</v>
      </c>
      <c r="P2014" s="108">
        <v>11793.4364277321</v>
      </c>
      <c r="Q2014" s="108">
        <f>SUMIFS('FW_Salmon_by_Month_2010-2021'!P$2:P$3810,'FW_Salmon_by_Month_2010-2021'!$B$2:$B$3810,'Rec_raw_catch_effort_2010-2021'!$B2014,'FW_Salmon_by_Month_2010-2021'!$H$2:$H$3810,'Rec_raw_catch_effort_2010-2021'!$F2014,'FW_Salmon_by_Month_2010-2021'!$M$2:$M$3810,'Rec_raw_catch_effort_2010-2021'!$K2014)</f>
        <v>1139.5525363064139</v>
      </c>
      <c r="R2014" s="109">
        <f>VLOOKUP(B2014,Readme!$A$62:$C$74,2,)*Q2014</f>
        <v>5492.1360148502217</v>
      </c>
      <c r="S2014" s="140" t="str">
        <f t="shared" si="165"/>
        <v>Y</v>
      </c>
      <c r="T2014" s="154">
        <f t="shared" si="166"/>
        <v>8.6500000000000288</v>
      </c>
      <c r="U2014" s="154">
        <f t="shared" si="167"/>
        <v>4.8195549041132084</v>
      </c>
    </row>
    <row r="2015" spans="1:21" x14ac:dyDescent="0.35">
      <c r="A2015" s="108">
        <v>728</v>
      </c>
      <c r="B2015" s="108">
        <v>2012</v>
      </c>
      <c r="C2015" s="108" t="s">
        <v>38</v>
      </c>
      <c r="D2015" s="108" t="s">
        <v>143</v>
      </c>
      <c r="E2015" s="108" t="s">
        <v>10</v>
      </c>
      <c r="F2015" s="116">
        <v>812</v>
      </c>
      <c r="G2015" s="108" t="s">
        <v>55</v>
      </c>
      <c r="H2015" s="108" t="str">
        <f t="shared" si="164"/>
        <v>Quilcene River</v>
      </c>
      <c r="I2015" s="108" t="str">
        <f>IFERROR(VLOOKUP(H2015,LUTs!$A$1:$C$73,2,FALSE),"NA")</f>
        <v>Jefferson</v>
      </c>
      <c r="J2015" s="108" t="str">
        <f>IFERROR(VLOOKUP(H2015,LUTs!$A$1:$C$73,3,FALSE),"NA")</f>
        <v>4 Hood Canal</v>
      </c>
      <c r="K2015" s="108" t="s">
        <v>18</v>
      </c>
      <c r="L2015" s="108" t="str">
        <f>VLOOKUP(K2015,LUTs!E$2:G$14,3,)</f>
        <v>06King</v>
      </c>
      <c r="M2015" s="108" t="str">
        <f>VLOOKUP($K2015,LUTs!$E$2:$H$14,2,)</f>
        <v>South Puget Sound</v>
      </c>
      <c r="N2015" s="108" t="str">
        <f>VLOOKUP($K2015,LUTs!$E$2:$H$14,4,)</f>
        <v>02South Puget Sound</v>
      </c>
      <c r="O2015" s="108">
        <v>766.91421856639295</v>
      </c>
      <c r="P2015" s="108">
        <v>6633.8079905993</v>
      </c>
      <c r="Q2015" s="108">
        <f>SUMIFS('FW_Salmon_by_Month_2010-2021'!P$2:P$3810,'FW_Salmon_by_Month_2010-2021'!$B$2:$B$3810,'Rec_raw_catch_effort_2010-2021'!$B2015,'FW_Salmon_by_Month_2010-2021'!$H$2:$H$3810,'Rec_raw_catch_effort_2010-2021'!$F2015,'FW_Salmon_by_Month_2010-2021'!$M$2:$M$3810,'Rec_raw_catch_effort_2010-2021'!$K2015)</f>
        <v>779.76171473238219</v>
      </c>
      <c r="R2015" s="109">
        <f>VLOOKUP(B2015,Readme!$A$62:$C$74,2,)*Q2015</f>
        <v>3758.1043962781773</v>
      </c>
      <c r="S2015" s="140" t="str">
        <f t="shared" si="165"/>
        <v>Y</v>
      </c>
      <c r="T2015" s="154">
        <f t="shared" si="166"/>
        <v>8.6500000000000021</v>
      </c>
      <c r="U2015" s="154">
        <f t="shared" si="167"/>
        <v>4.8195549041132084</v>
      </c>
    </row>
    <row r="2016" spans="1:21" x14ac:dyDescent="0.35">
      <c r="A2016" s="108">
        <v>742</v>
      </c>
      <c r="B2016" s="108">
        <v>2012</v>
      </c>
      <c r="C2016" s="108" t="s">
        <v>38</v>
      </c>
      <c r="D2016" s="108" t="s">
        <v>143</v>
      </c>
      <c r="E2016" s="108" t="s">
        <v>10</v>
      </c>
      <c r="F2016" s="116">
        <v>812</v>
      </c>
      <c r="G2016" s="108" t="s">
        <v>55</v>
      </c>
      <c r="H2016" s="108" t="str">
        <f t="shared" si="164"/>
        <v>Quilcene River</v>
      </c>
      <c r="I2016" s="108" t="str">
        <f>IFERROR(VLOOKUP(H2016,LUTs!$A$1:$C$73,2,FALSE),"NA")</f>
        <v>Jefferson</v>
      </c>
      <c r="J2016" s="108" t="str">
        <f>IFERROR(VLOOKUP(H2016,LUTs!$A$1:$C$73,3,FALSE),"NA")</f>
        <v>4 Hood Canal</v>
      </c>
      <c r="K2016" s="108" t="s">
        <v>23</v>
      </c>
      <c r="L2016" s="108" t="str">
        <f>VLOOKUP(K2016,LUTs!E$2:G$14,3,)</f>
        <v>10Kitsap</v>
      </c>
      <c r="M2016" s="108" t="str">
        <f>VLOOKUP($K2016,LUTs!$E$2:$H$14,2,)</f>
        <v>South Puget Sound</v>
      </c>
      <c r="N2016" s="108" t="str">
        <f>VLOOKUP($K2016,LUTs!$E$2:$H$14,4,)</f>
        <v>02South Puget Sound</v>
      </c>
      <c r="O2016" s="108">
        <v>1114.8660399529999</v>
      </c>
      <c r="P2016" s="108">
        <v>9643.5912455934504</v>
      </c>
      <c r="Q2016" s="108">
        <f>SUMIFS('FW_Salmon_by_Month_2010-2021'!P$2:P$3810,'FW_Salmon_by_Month_2010-2021'!$B$2:$B$3810,'Rec_raw_catch_effort_2010-2021'!$B2016,'FW_Salmon_by_Month_2010-2021'!$H$2:$H$3810,'Rec_raw_catch_effort_2010-2021'!$F2016,'FW_Salmon_by_Month_2010-2021'!$M$2:$M$3810,'Rec_raw_catch_effort_2010-2021'!$K2016)</f>
        <v>1169.6195334677302</v>
      </c>
      <c r="R2016" s="109">
        <f>VLOOKUP(B2016,Readme!$A$62:$C$74,2,)*Q2016</f>
        <v>5637.0455584710016</v>
      </c>
      <c r="S2016" s="140" t="str">
        <f t="shared" si="165"/>
        <v>Y</v>
      </c>
      <c r="T2016" s="154">
        <f t="shared" si="166"/>
        <v>8.65</v>
      </c>
      <c r="U2016" s="154">
        <f t="shared" si="167"/>
        <v>4.8195549041132084</v>
      </c>
    </row>
    <row r="2017" spans="1:21" x14ac:dyDescent="0.35">
      <c r="A2017" s="108">
        <v>731</v>
      </c>
      <c r="B2017" s="108">
        <v>2012</v>
      </c>
      <c r="C2017" s="108" t="s">
        <v>38</v>
      </c>
      <c r="D2017" s="108" t="s">
        <v>143</v>
      </c>
      <c r="E2017" s="108" t="s">
        <v>10</v>
      </c>
      <c r="F2017" s="116">
        <v>812</v>
      </c>
      <c r="G2017" s="108" t="s">
        <v>55</v>
      </c>
      <c r="H2017" s="108" t="str">
        <f t="shared" si="164"/>
        <v>Quilcene River</v>
      </c>
      <c r="I2017" s="108" t="str">
        <f>IFERROR(VLOOKUP(H2017,LUTs!$A$1:$C$73,2,FALSE),"NA")</f>
        <v>Jefferson</v>
      </c>
      <c r="J2017" s="108" t="str">
        <f>IFERROR(VLOOKUP(H2017,LUTs!$A$1:$C$73,3,FALSE),"NA")</f>
        <v>4 Hood Canal</v>
      </c>
      <c r="K2017" s="108" t="s">
        <v>22</v>
      </c>
      <c r="L2017" s="108" t="str">
        <f>VLOOKUP(K2017,LUTs!E$2:G$14,3,)</f>
        <v>09Mason</v>
      </c>
      <c r="M2017" s="108" t="str">
        <f>VLOOKUP($K2017,LUTs!$E$2:$H$14,2,)</f>
        <v>South Puget Sound</v>
      </c>
      <c r="N2017" s="108" t="str">
        <f>VLOOKUP($K2017,LUTs!$E$2:$H$14,4,)</f>
        <v>02South Puget Sound</v>
      </c>
      <c r="O2017" s="108">
        <v>468.66980023501799</v>
      </c>
      <c r="P2017" s="108">
        <v>4053.9937720329099</v>
      </c>
      <c r="Q2017" s="108">
        <f>SUMIFS('FW_Salmon_by_Month_2010-2021'!P$2:P$3810,'FW_Salmon_by_Month_2010-2021'!$B$2:$B$3810,'Rec_raw_catch_effort_2010-2021'!$B2017,'FW_Salmon_by_Month_2010-2021'!$H$2:$H$3810,'Rec_raw_catch_effort_2010-2021'!$F2017,'FW_Salmon_by_Month_2010-2021'!$M$2:$M$3810,'Rec_raw_catch_effort_2010-2021'!$K2017)</f>
        <v>494.856502242153</v>
      </c>
      <c r="R2017" s="109">
        <f>VLOOKUP(B2017,Readme!$A$62:$C$74,2,)*Q2017</f>
        <v>2384.9880822134774</v>
      </c>
      <c r="S2017" s="140" t="str">
        <f t="shared" si="165"/>
        <v>Y</v>
      </c>
      <c r="T2017" s="154">
        <f t="shared" si="166"/>
        <v>8.6500000000000092</v>
      </c>
      <c r="U2017" s="154">
        <f t="shared" si="167"/>
        <v>4.8195549041132084</v>
      </c>
    </row>
    <row r="2018" spans="1:21" x14ac:dyDescent="0.35">
      <c r="A2018" s="108">
        <v>745</v>
      </c>
      <c r="B2018" s="108">
        <v>2012</v>
      </c>
      <c r="C2018" s="108" t="s">
        <v>38</v>
      </c>
      <c r="D2018" s="108" t="s">
        <v>143</v>
      </c>
      <c r="E2018" s="108" t="s">
        <v>10</v>
      </c>
      <c r="F2018" s="116">
        <v>812</v>
      </c>
      <c r="G2018" s="108" t="s">
        <v>55</v>
      </c>
      <c r="H2018" s="108" t="str">
        <f t="shared" si="164"/>
        <v>Quilcene River</v>
      </c>
      <c r="I2018" s="108" t="str">
        <f>IFERROR(VLOOKUP(H2018,LUTs!$A$1:$C$73,2,FALSE),"NA")</f>
        <v>Jefferson</v>
      </c>
      <c r="J2018" s="108" t="str">
        <f>IFERROR(VLOOKUP(H2018,LUTs!$A$1:$C$73,3,FALSE),"NA")</f>
        <v>4 Hood Canal</v>
      </c>
      <c r="K2018" s="108" t="s">
        <v>26</v>
      </c>
      <c r="L2018" s="108" t="str">
        <f>VLOOKUP(K2018,LUTs!E$2:G$14,3,)</f>
        <v>20Other</v>
      </c>
      <c r="M2018" s="108" t="str">
        <f>VLOOKUP($K2018,LUTs!$E$2:$H$14,2,)</f>
        <v>Non Puget Sound</v>
      </c>
      <c r="N2018" s="108" t="str">
        <f>VLOOKUP($K2018,LUTs!$E$2:$H$14,4,)</f>
        <v>07Non Puget Sound</v>
      </c>
      <c r="O2018" s="108">
        <v>511.27614571092801</v>
      </c>
      <c r="P2018" s="108">
        <v>4422.5386603995303</v>
      </c>
      <c r="Q2018" s="108">
        <f>SUMIFS('FW_Salmon_by_Month_2010-2021'!P$2:P$3810,'FW_Salmon_by_Month_2010-2021'!$B$2:$B$3810,'Rec_raw_catch_effort_2010-2021'!$B2018,'FW_Salmon_by_Month_2010-2021'!$H$2:$H$3810,'Rec_raw_catch_effort_2010-2021'!$F2018,'FW_Salmon_by_Month_2010-2021'!$M$2:$M$3810,'Rec_raw_catch_effort_2010-2021'!$K2018)</f>
        <v>539.78931994898596</v>
      </c>
      <c r="R2018" s="109">
        <f>VLOOKUP(B2018,Readme!$A$62:$C$74,2,)*Q2018</f>
        <v>2601.544264148069</v>
      </c>
      <c r="S2018" s="140" t="str">
        <f t="shared" si="165"/>
        <v>Y</v>
      </c>
      <c r="T2018" s="154">
        <f t="shared" si="166"/>
        <v>8.6500000000000057</v>
      </c>
      <c r="U2018" s="154">
        <f t="shared" si="167"/>
        <v>4.8195549041132084</v>
      </c>
    </row>
    <row r="2019" spans="1:21" x14ac:dyDescent="0.35">
      <c r="A2019" s="108">
        <v>729</v>
      </c>
      <c r="B2019" s="108">
        <v>2012</v>
      </c>
      <c r="C2019" s="108" t="s">
        <v>38</v>
      </c>
      <c r="D2019" s="108" t="s">
        <v>143</v>
      </c>
      <c r="E2019" s="108" t="s">
        <v>10</v>
      </c>
      <c r="F2019" s="116">
        <v>812</v>
      </c>
      <c r="G2019" s="108" t="s">
        <v>55</v>
      </c>
      <c r="H2019" s="108" t="str">
        <f t="shared" si="164"/>
        <v>Quilcene River</v>
      </c>
      <c r="I2019" s="108" t="str">
        <f>IFERROR(VLOOKUP(H2019,LUTs!$A$1:$C$73,2,FALSE),"NA")</f>
        <v>Jefferson</v>
      </c>
      <c r="J2019" s="108" t="str">
        <f>IFERROR(VLOOKUP(H2019,LUTs!$A$1:$C$73,3,FALSE),"NA")</f>
        <v>4 Hood Canal</v>
      </c>
      <c r="K2019" s="108" t="s">
        <v>20</v>
      </c>
      <c r="L2019" s="108" t="str">
        <f>VLOOKUP(K2019,LUTs!E$2:G$14,3,)</f>
        <v>07Pierce</v>
      </c>
      <c r="M2019" s="108" t="str">
        <f>VLOOKUP($K2019,LUTs!$E$2:$H$14,2,)</f>
        <v>South Puget Sound</v>
      </c>
      <c r="N2019" s="108" t="str">
        <f>VLOOKUP($K2019,LUTs!$E$2:$H$14,4,)</f>
        <v>02South Puget Sound</v>
      </c>
      <c r="O2019" s="108">
        <v>397.65922444183298</v>
      </c>
      <c r="P2019" s="108">
        <v>3439.7522914218598</v>
      </c>
      <c r="Q2019" s="108">
        <f>SUMIFS('FW_Salmon_by_Month_2010-2021'!P$2:P$3810,'FW_Salmon_by_Month_2010-2021'!$B$2:$B$3810,'Rec_raw_catch_effort_2010-2021'!$B2019,'FW_Salmon_by_Month_2010-2021'!$H$2:$H$3810,'Rec_raw_catch_effort_2010-2021'!$F2019,'FW_Salmon_by_Month_2010-2021'!$M$2:$M$3810,'Rec_raw_catch_effort_2010-2021'!$K2019)</f>
        <v>419.86944090179747</v>
      </c>
      <c r="R2019" s="109">
        <f>VLOOKUP(B2019,Readme!$A$62:$C$74,2,)*Q2019</f>
        <v>2023.583822985529</v>
      </c>
      <c r="S2019" s="140" t="str">
        <f t="shared" si="165"/>
        <v>Y</v>
      </c>
      <c r="T2019" s="154">
        <f t="shared" si="166"/>
        <v>8.650000000000011</v>
      </c>
      <c r="U2019" s="154">
        <f t="shared" si="167"/>
        <v>4.8195549041132084</v>
      </c>
    </row>
    <row r="2020" spans="1:21" x14ac:dyDescent="0.35">
      <c r="A2020" s="108">
        <v>726</v>
      </c>
      <c r="B2020" s="108">
        <v>2012</v>
      </c>
      <c r="C2020" s="108" t="s">
        <v>38</v>
      </c>
      <c r="D2020" s="108" t="s">
        <v>143</v>
      </c>
      <c r="E2020" s="108" t="s">
        <v>10</v>
      </c>
      <c r="F2020" s="116">
        <v>812</v>
      </c>
      <c r="G2020" s="108" t="s">
        <v>55</v>
      </c>
      <c r="H2020" s="108" t="str">
        <f t="shared" si="164"/>
        <v>Quilcene River</v>
      </c>
      <c r="I2020" s="108" t="str">
        <f>IFERROR(VLOOKUP(H2020,LUTs!$A$1:$C$73,2,FALSE),"NA")</f>
        <v>Jefferson</v>
      </c>
      <c r="J2020" s="108" t="str">
        <f>IFERROR(VLOOKUP(H2020,LUTs!$A$1:$C$73,3,FALSE),"NA")</f>
        <v>4 Hood Canal</v>
      </c>
      <c r="K2020" s="108" t="s">
        <v>15</v>
      </c>
      <c r="L2020" s="108" t="str">
        <f>VLOOKUP(K2020,LUTs!E$2:G$14,3,)</f>
        <v>02Skagit</v>
      </c>
      <c r="M2020" s="108" t="str">
        <f>VLOOKUP($K2020,LUTs!$E$2:$H$14,2,)</f>
        <v>North Puget Sound</v>
      </c>
      <c r="N2020" s="108" t="str">
        <f>VLOOKUP($K2020,LUTs!$E$2:$H$14,4,)</f>
        <v>01North Puget Sound</v>
      </c>
      <c r="O2020" s="108">
        <v>7.1010575793184501</v>
      </c>
      <c r="P2020" s="108">
        <v>61.424148061104603</v>
      </c>
      <c r="Q2020" s="108">
        <f>SUMIFS('FW_Salmon_by_Month_2010-2021'!P$2:P$3810,'FW_Salmon_by_Month_2010-2021'!$B$2:$B$3810,'Rec_raw_catch_effort_2010-2021'!$B2020,'FW_Salmon_by_Month_2010-2021'!$H$2:$H$3810,'Rec_raw_catch_effort_2010-2021'!$F2020,'FW_Salmon_by_Month_2010-2021'!$M$2:$M$3810,'Rec_raw_catch_effort_2010-2021'!$K2020)</f>
        <v>7.5</v>
      </c>
      <c r="R2020" s="109">
        <f>VLOOKUP(B2020,Readme!$A$62:$C$74,2,)*Q2020</f>
        <v>36.146661780849065</v>
      </c>
      <c r="S2020" s="140" t="str">
        <f t="shared" si="165"/>
        <v>Y</v>
      </c>
      <c r="T2020" s="154">
        <f t="shared" si="166"/>
        <v>8.6500000000000021</v>
      </c>
      <c r="U2020" s="154">
        <f t="shared" si="167"/>
        <v>4.8195549041132084</v>
      </c>
    </row>
    <row r="2021" spans="1:21" x14ac:dyDescent="0.35">
      <c r="A2021" s="108">
        <v>727</v>
      </c>
      <c r="B2021" s="108">
        <v>2012</v>
      </c>
      <c r="C2021" s="108" t="s">
        <v>38</v>
      </c>
      <c r="D2021" s="108" t="s">
        <v>143</v>
      </c>
      <c r="E2021" s="108" t="s">
        <v>10</v>
      </c>
      <c r="F2021" s="116">
        <v>812</v>
      </c>
      <c r="G2021" s="108" t="s">
        <v>55</v>
      </c>
      <c r="H2021" s="108" t="str">
        <f t="shared" si="164"/>
        <v>Quilcene River</v>
      </c>
      <c r="I2021" s="108" t="str">
        <f>IFERROR(VLOOKUP(H2021,LUTs!$A$1:$C$73,2,FALSE),"NA")</f>
        <v>Jefferson</v>
      </c>
      <c r="J2021" s="108" t="str">
        <f>IFERROR(VLOOKUP(H2021,LUTs!$A$1:$C$73,3,FALSE),"NA")</f>
        <v>4 Hood Canal</v>
      </c>
      <c r="K2021" s="108" t="s">
        <v>16</v>
      </c>
      <c r="L2021" s="108" t="str">
        <f>VLOOKUP(K2021,LUTs!E$2:G$14,3,)</f>
        <v>03Snohomish</v>
      </c>
      <c r="M2021" s="108" t="str">
        <f>VLOOKUP($K2021,LUTs!$E$2:$H$14,2,)</f>
        <v>North Puget Sound</v>
      </c>
      <c r="N2021" s="108" t="str">
        <f>VLOOKUP($K2021,LUTs!$E$2:$H$14,4,)</f>
        <v>01North Puget Sound</v>
      </c>
      <c r="O2021" s="108">
        <v>440.26556991774402</v>
      </c>
      <c r="P2021" s="108">
        <v>3808.2971797884902</v>
      </c>
      <c r="Q2021" s="108">
        <f>SUMIFS('FW_Salmon_by_Month_2010-2021'!P$2:P$3810,'FW_Salmon_by_Month_2010-2021'!$B$2:$B$3810,'Rec_raw_catch_effort_2010-2021'!$B2021,'FW_Salmon_by_Month_2010-2021'!$H$2:$H$3810,'Rec_raw_catch_effort_2010-2021'!$F2021,'FW_Salmon_by_Month_2010-2021'!$M$2:$M$3810,'Rec_raw_catch_effort_2010-2021'!$K2021)</f>
        <v>464.85609083803081</v>
      </c>
      <c r="R2021" s="109">
        <f>VLOOKUP(B2021,Readme!$A$62:$C$74,2,)*Q2021</f>
        <v>2240.3994523053266</v>
      </c>
      <c r="S2021" s="140" t="str">
        <f t="shared" si="165"/>
        <v>Y</v>
      </c>
      <c r="T2021" s="154">
        <f t="shared" si="166"/>
        <v>8.650000000000011</v>
      </c>
      <c r="U2021" s="154">
        <f t="shared" si="167"/>
        <v>4.8195549041132084</v>
      </c>
    </row>
    <row r="2022" spans="1:21" x14ac:dyDescent="0.35">
      <c r="A2022" s="108">
        <v>730</v>
      </c>
      <c r="B2022" s="108">
        <v>2012</v>
      </c>
      <c r="C2022" s="108" t="s">
        <v>38</v>
      </c>
      <c r="D2022" s="108" t="s">
        <v>143</v>
      </c>
      <c r="E2022" s="108" t="s">
        <v>10</v>
      </c>
      <c r="F2022" s="116">
        <v>812</v>
      </c>
      <c r="G2022" s="108" t="s">
        <v>55</v>
      </c>
      <c r="H2022" s="108" t="str">
        <f t="shared" si="164"/>
        <v>Quilcene River</v>
      </c>
      <c r="I2022" s="108" t="str">
        <f>IFERROR(VLOOKUP(H2022,LUTs!$A$1:$C$73,2,FALSE),"NA")</f>
        <v>Jefferson</v>
      </c>
      <c r="J2022" s="108" t="str">
        <f>IFERROR(VLOOKUP(H2022,LUTs!$A$1:$C$73,3,FALSE),"NA")</f>
        <v>4 Hood Canal</v>
      </c>
      <c r="K2022" s="108" t="s">
        <v>21</v>
      </c>
      <c r="L2022" s="108" t="str">
        <f>VLOOKUP(K2022,LUTs!E$2:G$14,3,)</f>
        <v>08Thurston</v>
      </c>
      <c r="M2022" s="108" t="str">
        <f>VLOOKUP($K2022,LUTs!$E$2:$H$14,2,)</f>
        <v>South Puget Sound</v>
      </c>
      <c r="N2022" s="108" t="str">
        <f>VLOOKUP($K2022,LUTs!$E$2:$H$14,4,)</f>
        <v>02South Puget Sound</v>
      </c>
      <c r="O2022" s="108">
        <v>291.14336075205603</v>
      </c>
      <c r="P2022" s="108">
        <v>2518.3900705052802</v>
      </c>
      <c r="Q2022" s="108">
        <f>SUMIFS('FW_Salmon_by_Month_2010-2021'!P$2:P$3810,'FW_Salmon_by_Month_2010-2021'!$B$2:$B$3810,'Rec_raw_catch_effort_2010-2021'!$B2022,'FW_Salmon_by_Month_2010-2021'!$H$2:$H$3810,'Rec_raw_catch_effort_2010-2021'!$F2022,'FW_Salmon_by_Month_2010-2021'!$M$2:$M$3810,'Rec_raw_catch_effort_2010-2021'!$K2022)</f>
        <v>307.41479820627802</v>
      </c>
      <c r="R2022" s="109">
        <f>VLOOKUP(B2022,Readme!$A$62:$C$74,2,)*Q2022</f>
        <v>1481.6024982920396</v>
      </c>
      <c r="S2022" s="140" t="str">
        <f t="shared" si="165"/>
        <v>Y</v>
      </c>
      <c r="T2022" s="154">
        <f t="shared" si="166"/>
        <v>8.6499999999999844</v>
      </c>
      <c r="U2022" s="154">
        <f t="shared" si="167"/>
        <v>4.8195549041132084</v>
      </c>
    </row>
    <row r="2023" spans="1:21" x14ac:dyDescent="0.35">
      <c r="A2023" s="108">
        <v>817</v>
      </c>
      <c r="B2023" s="108">
        <v>2013</v>
      </c>
      <c r="C2023" s="108" t="s">
        <v>38</v>
      </c>
      <c r="D2023" s="108" t="s">
        <v>143</v>
      </c>
      <c r="E2023" s="108" t="s">
        <v>10</v>
      </c>
      <c r="F2023" s="116">
        <v>812</v>
      </c>
      <c r="G2023" s="108" t="s">
        <v>55</v>
      </c>
      <c r="H2023" s="108" t="str">
        <f t="shared" si="164"/>
        <v>Quilcene River</v>
      </c>
      <c r="I2023" s="108" t="str">
        <f>IFERROR(VLOOKUP(H2023,LUTs!$A$1:$C$73,2,FALSE),"NA")</f>
        <v>Jefferson</v>
      </c>
      <c r="J2023" s="108" t="str">
        <f>IFERROR(VLOOKUP(H2023,LUTs!$A$1:$C$73,3,FALSE),"NA")</f>
        <v>4 Hood Canal</v>
      </c>
      <c r="K2023" s="108" t="s">
        <v>24</v>
      </c>
      <c r="L2023" s="108" t="str">
        <f>VLOOKUP(K2023,LUTs!E$2:G$14,3,)</f>
        <v>11Clallam</v>
      </c>
      <c r="M2023" s="108" t="str">
        <f>VLOOKUP($K2023,LUTs!$E$2:$H$14,2,)</f>
        <v>Strait of Juan de Fuca</v>
      </c>
      <c r="N2023" s="108" t="str">
        <f>VLOOKUP($K2023,LUTs!$E$2:$H$14,4,)</f>
        <v>03Strait of Juan de Fuca</v>
      </c>
      <c r="O2023" s="108">
        <v>428.22641509433998</v>
      </c>
      <c r="P2023" s="108">
        <v>1473.0988679245299</v>
      </c>
      <c r="Q2023" s="108">
        <f>SUMIFS('FW_Salmon_by_Month_2010-2021'!P$2:P$3810,'FW_Salmon_by_Month_2010-2021'!$B$2:$B$3810,'Rec_raw_catch_effort_2010-2021'!$B2023,'FW_Salmon_by_Month_2010-2021'!$H$2:$H$3810,'Rec_raw_catch_effort_2010-2021'!$F2023,'FW_Salmon_by_Month_2010-2021'!$M$2:$M$3810,'Rec_raw_catch_effort_2010-2021'!$K2023)</f>
        <v>433.70258538142389</v>
      </c>
      <c r="R2023" s="109">
        <f>VLOOKUP(B2023,Readme!$A$62:$C$74,2,)*Q2023</f>
        <v>1534.890988503045</v>
      </c>
      <c r="S2023" s="140" t="str">
        <f t="shared" si="165"/>
        <v>Y</v>
      </c>
      <c r="T2023" s="154">
        <f t="shared" si="166"/>
        <v>3.4400000000000008</v>
      </c>
      <c r="U2023" s="154">
        <f t="shared" si="167"/>
        <v>3.5390404397824158</v>
      </c>
    </row>
    <row r="2024" spans="1:21" x14ac:dyDescent="0.35">
      <c r="A2024" s="108">
        <v>818</v>
      </c>
      <c r="B2024" s="108">
        <v>2013</v>
      </c>
      <c r="C2024" s="108" t="s">
        <v>38</v>
      </c>
      <c r="D2024" s="108" t="s">
        <v>143</v>
      </c>
      <c r="E2024" s="108" t="s">
        <v>10</v>
      </c>
      <c r="F2024" s="116">
        <v>812</v>
      </c>
      <c r="G2024" s="108" t="s">
        <v>55</v>
      </c>
      <c r="H2024" s="108" t="str">
        <f t="shared" si="164"/>
        <v>Quilcene River</v>
      </c>
      <c r="I2024" s="108" t="str">
        <f>IFERROR(VLOOKUP(H2024,LUTs!$A$1:$C$73,2,FALSE),"NA")</f>
        <v>Jefferson</v>
      </c>
      <c r="J2024" s="108" t="str">
        <f>IFERROR(VLOOKUP(H2024,LUTs!$A$1:$C$73,3,FALSE),"NA")</f>
        <v>4 Hood Canal</v>
      </c>
      <c r="K2024" s="108" t="s">
        <v>25</v>
      </c>
      <c r="L2024" s="108" t="str">
        <f>VLOOKUP(K2024,LUTs!E$2:G$14,3,)</f>
        <v>12Jefferson</v>
      </c>
      <c r="M2024" s="108" t="str">
        <f>VLOOKUP($K2024,LUTs!$E$2:$H$14,2,)</f>
        <v>Strait of Juan de Fuca</v>
      </c>
      <c r="N2024" s="108" t="str">
        <f>VLOOKUP($K2024,LUTs!$E$2:$H$14,4,)</f>
        <v>03Strait of Juan de Fuca</v>
      </c>
      <c r="O2024" s="108">
        <v>588.81132075471703</v>
      </c>
      <c r="P2024" s="108">
        <v>2025.51094339623</v>
      </c>
      <c r="Q2024" s="108">
        <f>SUMIFS('FW_Salmon_by_Month_2010-2021'!P$2:P$3810,'FW_Salmon_by_Month_2010-2021'!$B$2:$B$3810,'Rec_raw_catch_effort_2010-2021'!$B2024,'FW_Salmon_by_Month_2010-2021'!$H$2:$H$3810,'Rec_raw_catch_effort_2010-2021'!$F2024,'FW_Salmon_by_Month_2010-2021'!$M$2:$M$3810,'Rec_raw_catch_effort_2010-2021'!$K2024)</f>
        <v>569.28247685924021</v>
      </c>
      <c r="R2024" s="109">
        <f>VLOOKUP(B2024,Readme!$A$62:$C$74,2,)*Q2024</f>
        <v>2014.7137072643482</v>
      </c>
      <c r="S2024" s="140" t="str">
        <f t="shared" si="165"/>
        <v>Y</v>
      </c>
      <c r="T2024" s="154">
        <f t="shared" si="166"/>
        <v>3.4400000000000057</v>
      </c>
      <c r="U2024" s="154">
        <f t="shared" si="167"/>
        <v>3.5390404397824153</v>
      </c>
    </row>
    <row r="2025" spans="1:21" x14ac:dyDescent="0.35">
      <c r="A2025" s="108">
        <v>812</v>
      </c>
      <c r="B2025" s="108">
        <v>2013</v>
      </c>
      <c r="C2025" s="108" t="s">
        <v>38</v>
      </c>
      <c r="D2025" s="108" t="s">
        <v>143</v>
      </c>
      <c r="E2025" s="108" t="s">
        <v>10</v>
      </c>
      <c r="F2025" s="116">
        <v>812</v>
      </c>
      <c r="G2025" s="108" t="s">
        <v>55</v>
      </c>
      <c r="H2025" s="108" t="str">
        <f t="shared" si="164"/>
        <v>Quilcene River</v>
      </c>
      <c r="I2025" s="108" t="str">
        <f>IFERROR(VLOOKUP(H2025,LUTs!$A$1:$C$73,2,FALSE),"NA")</f>
        <v>Jefferson</v>
      </c>
      <c r="J2025" s="108" t="str">
        <f>IFERROR(VLOOKUP(H2025,LUTs!$A$1:$C$73,3,FALSE),"NA")</f>
        <v>4 Hood Canal</v>
      </c>
      <c r="K2025" s="108" t="s">
        <v>18</v>
      </c>
      <c r="L2025" s="108" t="str">
        <f>VLOOKUP(K2025,LUTs!E$2:G$14,3,)</f>
        <v>06King</v>
      </c>
      <c r="M2025" s="108" t="str">
        <f>VLOOKUP($K2025,LUTs!$E$2:$H$14,2,)</f>
        <v>South Puget Sound</v>
      </c>
      <c r="N2025" s="108" t="str">
        <f>VLOOKUP($K2025,LUTs!$E$2:$H$14,4,)</f>
        <v>02South Puget Sound</v>
      </c>
      <c r="O2025" s="108">
        <v>276.56289308176099</v>
      </c>
      <c r="P2025" s="108">
        <v>951.37635220125799</v>
      </c>
      <c r="Q2025" s="108">
        <f>SUMIFS('FW_Salmon_by_Month_2010-2021'!P$2:P$3810,'FW_Salmon_by_Month_2010-2021'!$B$2:$B$3810,'Rec_raw_catch_effort_2010-2021'!$B2025,'FW_Salmon_by_Month_2010-2021'!$H$2:$H$3810,'Rec_raw_catch_effort_2010-2021'!$F2025,'FW_Salmon_by_Month_2010-2021'!$M$2:$M$3810,'Rec_raw_catch_effort_2010-2021'!$K2025)</f>
        <v>280.059048834983</v>
      </c>
      <c r="R2025" s="109">
        <f>VLOOKUP(B2025,Readme!$A$62:$C$74,2,)*Q2025</f>
        <v>991.14029935400322</v>
      </c>
      <c r="S2025" s="140" t="str">
        <f t="shared" si="165"/>
        <v>Y</v>
      </c>
      <c r="T2025" s="154">
        <f t="shared" si="166"/>
        <v>3.4400000000000008</v>
      </c>
      <c r="U2025" s="154">
        <f t="shared" si="167"/>
        <v>3.5390404397824153</v>
      </c>
    </row>
    <row r="2026" spans="1:21" x14ac:dyDescent="0.35">
      <c r="A2026" s="108">
        <v>816</v>
      </c>
      <c r="B2026" s="108">
        <v>2013</v>
      </c>
      <c r="C2026" s="108" t="s">
        <v>38</v>
      </c>
      <c r="D2026" s="108" t="s">
        <v>143</v>
      </c>
      <c r="E2026" s="108" t="s">
        <v>10</v>
      </c>
      <c r="F2026" s="116">
        <v>812</v>
      </c>
      <c r="G2026" s="108" t="s">
        <v>55</v>
      </c>
      <c r="H2026" s="108" t="str">
        <f t="shared" ref="H2026:H2089" si="168">G2026</f>
        <v>Quilcene River</v>
      </c>
      <c r="I2026" s="108" t="str">
        <f>IFERROR(VLOOKUP(H2026,LUTs!$A$1:$C$73,2,FALSE),"NA")</f>
        <v>Jefferson</v>
      </c>
      <c r="J2026" s="108" t="str">
        <f>IFERROR(VLOOKUP(H2026,LUTs!$A$1:$C$73,3,FALSE),"NA")</f>
        <v>4 Hood Canal</v>
      </c>
      <c r="K2026" s="108" t="s">
        <v>23</v>
      </c>
      <c r="L2026" s="108" t="str">
        <f>VLOOKUP(K2026,LUTs!E$2:G$14,3,)</f>
        <v>10Kitsap</v>
      </c>
      <c r="M2026" s="108" t="str">
        <f>VLOOKUP($K2026,LUTs!$E$2:$H$14,2,)</f>
        <v>South Puget Sound</v>
      </c>
      <c r="N2026" s="108" t="str">
        <f>VLOOKUP($K2026,LUTs!$E$2:$H$14,4,)</f>
        <v>02South Puget Sound</v>
      </c>
      <c r="O2026" s="108">
        <v>713.71069182389897</v>
      </c>
      <c r="P2026" s="108">
        <v>2455.1647798742101</v>
      </c>
      <c r="Q2026" s="108">
        <f>SUMIFS('FW_Salmon_by_Month_2010-2021'!P$2:P$3810,'FW_Salmon_by_Month_2010-2021'!$B$2:$B$3810,'Rec_raw_catch_effort_2010-2021'!$B2026,'FW_Salmon_by_Month_2010-2021'!$H$2:$H$3810,'Rec_raw_catch_effort_2010-2021'!$F2026,'FW_Salmon_by_Month_2010-2021'!$M$2:$M$3810,'Rec_raw_catch_effort_2010-2021'!$K2026)</f>
        <v>722.73954676029405</v>
      </c>
      <c r="R2026" s="109">
        <f>VLOOKUP(B2026,Readme!$A$62:$C$74,2,)*Q2026</f>
        <v>2557.8044834146945</v>
      </c>
      <c r="S2026" s="140" t="str">
        <f t="shared" si="165"/>
        <v>Y</v>
      </c>
      <c r="T2026" s="154">
        <f t="shared" si="166"/>
        <v>3.4399999999999968</v>
      </c>
      <c r="U2026" s="154">
        <f t="shared" si="167"/>
        <v>3.5390404397824153</v>
      </c>
    </row>
    <row r="2027" spans="1:21" x14ac:dyDescent="0.35">
      <c r="A2027" s="108">
        <v>815</v>
      </c>
      <c r="B2027" s="108">
        <v>2013</v>
      </c>
      <c r="C2027" s="108" t="s">
        <v>38</v>
      </c>
      <c r="D2027" s="108" t="s">
        <v>143</v>
      </c>
      <c r="E2027" s="108" t="s">
        <v>10</v>
      </c>
      <c r="F2027" s="116">
        <v>812</v>
      </c>
      <c r="G2027" s="108" t="s">
        <v>55</v>
      </c>
      <c r="H2027" s="108" t="str">
        <f t="shared" si="168"/>
        <v>Quilcene River</v>
      </c>
      <c r="I2027" s="108" t="str">
        <f>IFERROR(VLOOKUP(H2027,LUTs!$A$1:$C$73,2,FALSE),"NA")</f>
        <v>Jefferson</v>
      </c>
      <c r="J2027" s="108" t="str">
        <f>IFERROR(VLOOKUP(H2027,LUTs!$A$1:$C$73,3,FALSE),"NA")</f>
        <v>4 Hood Canal</v>
      </c>
      <c r="K2027" s="108" t="s">
        <v>22</v>
      </c>
      <c r="L2027" s="108" t="str">
        <f>VLOOKUP(K2027,LUTs!E$2:G$14,3,)</f>
        <v>09Mason</v>
      </c>
      <c r="M2027" s="108" t="str">
        <f>VLOOKUP($K2027,LUTs!$E$2:$H$14,2,)</f>
        <v>South Puget Sound</v>
      </c>
      <c r="N2027" s="108" t="str">
        <f>VLOOKUP($K2027,LUTs!$E$2:$H$14,4,)</f>
        <v>02South Puget Sound</v>
      </c>
      <c r="O2027" s="108">
        <v>294.40566037735903</v>
      </c>
      <c r="P2027" s="108">
        <v>1012.75547169812</v>
      </c>
      <c r="Q2027" s="108">
        <f>SUMIFS('FW_Salmon_by_Month_2010-2021'!P$2:P$3810,'FW_Salmon_by_Month_2010-2021'!$B$2:$B$3810,'Rec_raw_catch_effort_2010-2021'!$B2027,'FW_Salmon_by_Month_2010-2021'!$H$2:$H$3810,'Rec_raw_catch_effort_2010-2021'!$F2027,'FW_Salmon_by_Month_2010-2021'!$M$2:$M$3810,'Rec_raw_catch_effort_2010-2021'!$K2027)</f>
        <v>289.12926907117833</v>
      </c>
      <c r="R2027" s="109">
        <f>VLOOKUP(B2027,Readme!$A$62:$C$74,2,)*Q2027</f>
        <v>1023.2401755676312</v>
      </c>
      <c r="S2027" s="140" t="str">
        <f t="shared" si="165"/>
        <v>Y</v>
      </c>
      <c r="T2027" s="154">
        <f t="shared" si="166"/>
        <v>3.4400000000000168</v>
      </c>
      <c r="U2027" s="154">
        <f t="shared" si="167"/>
        <v>3.5390404397824153</v>
      </c>
    </row>
    <row r="2028" spans="1:21" x14ac:dyDescent="0.35">
      <c r="A2028" s="108">
        <v>819</v>
      </c>
      <c r="B2028" s="108">
        <v>2013</v>
      </c>
      <c r="C2028" s="108" t="s">
        <v>38</v>
      </c>
      <c r="D2028" s="108" t="s">
        <v>143</v>
      </c>
      <c r="E2028" s="108" t="s">
        <v>10</v>
      </c>
      <c r="F2028" s="116">
        <v>812</v>
      </c>
      <c r="G2028" s="108" t="s">
        <v>55</v>
      </c>
      <c r="H2028" s="108" t="str">
        <f t="shared" si="168"/>
        <v>Quilcene River</v>
      </c>
      <c r="I2028" s="108" t="str">
        <f>IFERROR(VLOOKUP(H2028,LUTs!$A$1:$C$73,2,FALSE),"NA")</f>
        <v>Jefferson</v>
      </c>
      <c r="J2028" s="108" t="str">
        <f>IFERROR(VLOOKUP(H2028,LUTs!$A$1:$C$73,3,FALSE),"NA")</f>
        <v>4 Hood Canal</v>
      </c>
      <c r="K2028" s="108" t="s">
        <v>26</v>
      </c>
      <c r="L2028" s="108" t="str">
        <f>VLOOKUP(K2028,LUTs!E$2:G$14,3,)</f>
        <v>20Other</v>
      </c>
      <c r="M2028" s="108" t="str">
        <f>VLOOKUP($K2028,LUTs!$E$2:$H$14,2,)</f>
        <v>Non Puget Sound</v>
      </c>
      <c r="N2028" s="108" t="str">
        <f>VLOOKUP($K2028,LUTs!$E$2:$H$14,4,)</f>
        <v>07Non Puget Sound</v>
      </c>
      <c r="O2028" s="108">
        <v>160.58490566037699</v>
      </c>
      <c r="P2028" s="108">
        <v>552.41207547169699</v>
      </c>
      <c r="Q2028" s="108">
        <f>SUMIFS('FW_Salmon_by_Month_2010-2021'!P$2:P$3810,'FW_Salmon_by_Month_2010-2021'!$B$2:$B$3810,'Rec_raw_catch_effort_2010-2021'!$B2028,'FW_Salmon_by_Month_2010-2021'!$H$2:$H$3810,'Rec_raw_catch_effort_2010-2021'!$F2028,'FW_Salmon_by_Month_2010-2021'!$M$2:$M$3810,'Rec_raw_catch_effort_2010-2021'!$K2028)</f>
        <v>162.62617299712741</v>
      </c>
      <c r="R2028" s="109">
        <f>VLOOKUP(B2028,Readme!$A$62:$C$74,2,)*Q2028</f>
        <v>575.54060280388501</v>
      </c>
      <c r="S2028" s="140" t="str">
        <f t="shared" si="165"/>
        <v>Y</v>
      </c>
      <c r="T2028" s="154">
        <f t="shared" si="166"/>
        <v>3.4400000000000008</v>
      </c>
      <c r="U2028" s="154">
        <f t="shared" si="167"/>
        <v>3.5390404397824158</v>
      </c>
    </row>
    <row r="2029" spans="1:21" x14ac:dyDescent="0.35">
      <c r="A2029" s="108">
        <v>813</v>
      </c>
      <c r="B2029" s="108">
        <v>2013</v>
      </c>
      <c r="C2029" s="108" t="s">
        <v>38</v>
      </c>
      <c r="D2029" s="108" t="s">
        <v>143</v>
      </c>
      <c r="E2029" s="108" t="s">
        <v>10</v>
      </c>
      <c r="F2029" s="116">
        <v>812</v>
      </c>
      <c r="G2029" s="108" t="s">
        <v>55</v>
      </c>
      <c r="H2029" s="108" t="str">
        <f t="shared" si="168"/>
        <v>Quilcene River</v>
      </c>
      <c r="I2029" s="108" t="str">
        <f>IFERROR(VLOOKUP(H2029,LUTs!$A$1:$C$73,2,FALSE),"NA")</f>
        <v>Jefferson</v>
      </c>
      <c r="J2029" s="108" t="str">
        <f>IFERROR(VLOOKUP(H2029,LUTs!$A$1:$C$73,3,FALSE),"NA")</f>
        <v>4 Hood Canal</v>
      </c>
      <c r="K2029" s="108" t="s">
        <v>20</v>
      </c>
      <c r="L2029" s="108" t="str">
        <f>VLOOKUP(K2029,LUTs!E$2:G$14,3,)</f>
        <v>07Pierce</v>
      </c>
      <c r="M2029" s="108" t="str">
        <f>VLOOKUP($K2029,LUTs!$E$2:$H$14,2,)</f>
        <v>South Puget Sound</v>
      </c>
      <c r="N2029" s="108" t="str">
        <f>VLOOKUP($K2029,LUTs!$E$2:$H$14,4,)</f>
        <v>02South Puget Sound</v>
      </c>
      <c r="O2029" s="108">
        <v>214.11320754716999</v>
      </c>
      <c r="P2029" s="108">
        <v>736.54943396226497</v>
      </c>
      <c r="Q2029" s="108">
        <f>SUMIFS('FW_Salmon_by_Month_2010-2021'!P$2:P$3810,'FW_Salmon_by_Month_2010-2021'!$B$2:$B$3810,'Rec_raw_catch_effort_2010-2021'!$B2029,'FW_Salmon_by_Month_2010-2021'!$H$2:$H$3810,'Rec_raw_catch_effort_2010-2021'!$F2029,'FW_Salmon_by_Month_2010-2021'!$M$2:$M$3810,'Rec_raw_catch_effort_2010-2021'!$K2029)</f>
        <v>216.896265560166</v>
      </c>
      <c r="R2029" s="109">
        <f>VLOOKUP(B2029,Readme!$A$62:$C$74,2,)*Q2029</f>
        <v>767.60465505521347</v>
      </c>
      <c r="S2029" s="140" t="str">
        <f t="shared" si="165"/>
        <v>Y</v>
      </c>
      <c r="T2029" s="154">
        <f t="shared" si="166"/>
        <v>3.4400000000000008</v>
      </c>
      <c r="U2029" s="154">
        <f t="shared" si="167"/>
        <v>3.5390404397824153</v>
      </c>
    </row>
    <row r="2030" spans="1:21" x14ac:dyDescent="0.35">
      <c r="A2030" s="108">
        <v>748</v>
      </c>
      <c r="B2030" s="108">
        <v>2013</v>
      </c>
      <c r="C2030" s="108" t="s">
        <v>38</v>
      </c>
      <c r="D2030" s="108" t="s">
        <v>143</v>
      </c>
      <c r="E2030" s="108" t="s">
        <v>10</v>
      </c>
      <c r="F2030" s="116">
        <v>812</v>
      </c>
      <c r="G2030" s="108" t="s">
        <v>55</v>
      </c>
      <c r="H2030" s="108" t="str">
        <f t="shared" si="168"/>
        <v>Quilcene River</v>
      </c>
      <c r="I2030" s="108" t="str">
        <f>IFERROR(VLOOKUP(H2030,LUTs!$A$1:$C$73,2,FALSE),"NA")</f>
        <v>Jefferson</v>
      </c>
      <c r="J2030" s="108" t="str">
        <f>IFERROR(VLOOKUP(H2030,LUTs!$A$1:$C$73,3,FALSE),"NA")</f>
        <v>4 Hood Canal</v>
      </c>
      <c r="K2030" s="108" t="s">
        <v>15</v>
      </c>
      <c r="L2030" s="108" t="str">
        <f>VLOOKUP(K2030,LUTs!E$2:G$14,3,)</f>
        <v>02Skagit</v>
      </c>
      <c r="M2030" s="108" t="str">
        <f>VLOOKUP($K2030,LUTs!$E$2:$H$14,2,)</f>
        <v>North Puget Sound</v>
      </c>
      <c r="N2030" s="108" t="str">
        <f>VLOOKUP($K2030,LUTs!$E$2:$H$14,4,)</f>
        <v>01North Puget Sound</v>
      </c>
      <c r="O2030" s="108">
        <v>26.764150943396199</v>
      </c>
      <c r="P2030" s="108">
        <v>92.068679245282894</v>
      </c>
      <c r="Q2030" s="108">
        <f>SUMIFS('FW_Salmon_by_Month_2010-2021'!P$2:P$3810,'FW_Salmon_by_Month_2010-2021'!$B$2:$B$3810,'Rec_raw_catch_effort_2010-2021'!$B2030,'FW_Salmon_by_Month_2010-2021'!$H$2:$H$3810,'Rec_raw_catch_effort_2010-2021'!$F2030,'FW_Salmon_by_Month_2010-2021'!$M$2:$M$3810,'Rec_raw_catch_effort_2010-2021'!$K2030)</f>
        <v>27.092307692307699</v>
      </c>
      <c r="R2030" s="109">
        <f>VLOOKUP(B2030,Readme!$A$62:$C$74,2,)*Q2030</f>
        <v>95.880772530105148</v>
      </c>
      <c r="S2030" s="140" t="str">
        <f t="shared" si="165"/>
        <v>Y</v>
      </c>
      <c r="T2030" s="154">
        <f t="shared" si="166"/>
        <v>3.4399999999999986</v>
      </c>
      <c r="U2030" s="154">
        <f t="shared" si="167"/>
        <v>3.5390404397824153</v>
      </c>
    </row>
    <row r="2031" spans="1:21" x14ac:dyDescent="0.35">
      <c r="A2031" s="108">
        <v>811</v>
      </c>
      <c r="B2031" s="108">
        <v>2013</v>
      </c>
      <c r="C2031" s="108" t="s">
        <v>38</v>
      </c>
      <c r="D2031" s="108" t="s">
        <v>143</v>
      </c>
      <c r="E2031" s="108" t="s">
        <v>10</v>
      </c>
      <c r="F2031" s="116">
        <v>812</v>
      </c>
      <c r="G2031" s="108" t="s">
        <v>55</v>
      </c>
      <c r="H2031" s="108" t="str">
        <f t="shared" si="168"/>
        <v>Quilcene River</v>
      </c>
      <c r="I2031" s="108" t="str">
        <f>IFERROR(VLOOKUP(H2031,LUTs!$A$1:$C$73,2,FALSE),"NA")</f>
        <v>Jefferson</v>
      </c>
      <c r="J2031" s="108" t="str">
        <f>IFERROR(VLOOKUP(H2031,LUTs!$A$1:$C$73,3,FALSE),"NA")</f>
        <v>4 Hood Canal</v>
      </c>
      <c r="K2031" s="108" t="s">
        <v>16</v>
      </c>
      <c r="L2031" s="108" t="str">
        <f>VLOOKUP(K2031,LUTs!E$2:G$14,3,)</f>
        <v>03Snohomish</v>
      </c>
      <c r="M2031" s="108" t="str">
        <f>VLOOKUP($K2031,LUTs!$E$2:$H$14,2,)</f>
        <v>North Puget Sound</v>
      </c>
      <c r="N2031" s="108" t="str">
        <f>VLOOKUP($K2031,LUTs!$E$2:$H$14,4,)</f>
        <v>01North Puget Sound</v>
      </c>
      <c r="O2031" s="108">
        <v>35.685534591195001</v>
      </c>
      <c r="P2031" s="108">
        <v>122.758238993711</v>
      </c>
      <c r="Q2031" s="108">
        <f>SUMIFS('FW_Salmon_by_Month_2010-2021'!P$2:P$3810,'FW_Salmon_by_Month_2010-2021'!$B$2:$B$3810,'Rec_raw_catch_effort_2010-2021'!$B2031,'FW_Salmon_by_Month_2010-2021'!$H$2:$H$3810,'Rec_raw_catch_effort_2010-2021'!$F2031,'FW_Salmon_by_Month_2010-2021'!$M$2:$M$3810,'Rec_raw_catch_effort_2010-2021'!$K2031)</f>
        <v>36.061538461538504</v>
      </c>
      <c r="R2031" s="109">
        <f>VLOOKUP(B2031,Readme!$A$62:$C$74,2,)*Q2031</f>
        <v>127.62324293615372</v>
      </c>
      <c r="S2031" s="140" t="str">
        <f t="shared" si="165"/>
        <v>Y</v>
      </c>
      <c r="T2031" s="154">
        <f t="shared" si="166"/>
        <v>3.4400000000000057</v>
      </c>
      <c r="U2031" s="154">
        <f t="shared" si="167"/>
        <v>3.5390404397824153</v>
      </c>
    </row>
    <row r="2032" spans="1:21" x14ac:dyDescent="0.35">
      <c r="A2032" s="108">
        <v>814</v>
      </c>
      <c r="B2032" s="108">
        <v>2013</v>
      </c>
      <c r="C2032" s="108" t="s">
        <v>38</v>
      </c>
      <c r="D2032" s="108" t="s">
        <v>143</v>
      </c>
      <c r="E2032" s="108" t="s">
        <v>10</v>
      </c>
      <c r="F2032" s="116">
        <v>812</v>
      </c>
      <c r="G2032" s="108" t="s">
        <v>55</v>
      </c>
      <c r="H2032" s="108" t="str">
        <f t="shared" si="168"/>
        <v>Quilcene River</v>
      </c>
      <c r="I2032" s="108" t="str">
        <f>IFERROR(VLOOKUP(H2032,LUTs!$A$1:$C$73,2,FALSE),"NA")</f>
        <v>Jefferson</v>
      </c>
      <c r="J2032" s="108" t="str">
        <f>IFERROR(VLOOKUP(H2032,LUTs!$A$1:$C$73,3,FALSE),"NA")</f>
        <v>4 Hood Canal</v>
      </c>
      <c r="K2032" s="108" t="s">
        <v>21</v>
      </c>
      <c r="L2032" s="108" t="str">
        <f>VLOOKUP(K2032,LUTs!E$2:G$14,3,)</f>
        <v>08Thurston</v>
      </c>
      <c r="M2032" s="108" t="str">
        <f>VLOOKUP($K2032,LUTs!$E$2:$H$14,2,)</f>
        <v>South Puget Sound</v>
      </c>
      <c r="N2032" s="108" t="str">
        <f>VLOOKUP($K2032,LUTs!$E$2:$H$14,4,)</f>
        <v>02South Puget Sound</v>
      </c>
      <c r="O2032" s="108">
        <v>98.135220125786205</v>
      </c>
      <c r="P2032" s="108">
        <v>337.585157232705</v>
      </c>
      <c r="Q2032" s="108">
        <f>SUMIFS('FW_Salmon_by_Month_2010-2021'!P$2:P$3810,'FW_Salmon_by_Month_2010-2021'!$B$2:$B$3810,'Rec_raw_catch_effort_2010-2021'!$B2032,'FW_Salmon_by_Month_2010-2021'!$H$2:$H$3810,'Rec_raw_catch_effort_2010-2021'!$F2032,'FW_Salmon_by_Month_2010-2021'!$M$2:$M$3810,'Rec_raw_catch_effort_2010-2021'!$K2032)</f>
        <v>99.410788381742805</v>
      </c>
      <c r="R2032" s="109">
        <f>VLOOKUP(B2032,Readme!$A$62:$C$74,2,)*Q2032</f>
        <v>351.81880023363971</v>
      </c>
      <c r="S2032" s="140" t="str">
        <f t="shared" si="165"/>
        <v>Y</v>
      </c>
      <c r="T2032" s="154">
        <f t="shared" si="166"/>
        <v>3.4400000000000048</v>
      </c>
      <c r="U2032" s="154">
        <f t="shared" si="167"/>
        <v>3.5390404397824158</v>
      </c>
    </row>
    <row r="2033" spans="1:21" x14ac:dyDescent="0.35">
      <c r="A2033" s="108">
        <v>828</v>
      </c>
      <c r="B2033" s="108">
        <v>2014</v>
      </c>
      <c r="C2033" s="108" t="s">
        <v>38</v>
      </c>
      <c r="D2033" s="108" t="s">
        <v>143</v>
      </c>
      <c r="E2033" s="108" t="s">
        <v>10</v>
      </c>
      <c r="F2033" s="116">
        <v>812</v>
      </c>
      <c r="G2033" s="108" t="s">
        <v>55</v>
      </c>
      <c r="H2033" s="108" t="str">
        <f t="shared" si="168"/>
        <v>Quilcene River</v>
      </c>
      <c r="I2033" s="108" t="str">
        <f>IFERROR(VLOOKUP(H2033,LUTs!$A$1:$C$73,2,FALSE),"NA")</f>
        <v>Jefferson</v>
      </c>
      <c r="J2033" s="108" t="str">
        <f>IFERROR(VLOOKUP(H2033,LUTs!$A$1:$C$73,3,FALSE),"NA")</f>
        <v>4 Hood Canal</v>
      </c>
      <c r="K2033" s="108" t="s">
        <v>24</v>
      </c>
      <c r="L2033" s="108" t="str">
        <f>VLOOKUP(K2033,LUTs!E$2:G$14,3,)</f>
        <v>11Clallam</v>
      </c>
      <c r="M2033" s="108" t="str">
        <f>VLOOKUP($K2033,LUTs!$E$2:$H$14,2,)</f>
        <v>Strait of Juan de Fuca</v>
      </c>
      <c r="N2033" s="108" t="str">
        <f>VLOOKUP($K2033,LUTs!$E$2:$H$14,4,)</f>
        <v>03Strait of Juan de Fuca</v>
      </c>
      <c r="O2033" s="108">
        <v>331.14619883040899</v>
      </c>
      <c r="P2033" s="108">
        <v>2864.4146198830399</v>
      </c>
      <c r="Q2033" s="108">
        <f>SUMIFS('FW_Salmon_by_Month_2010-2021'!P$2:P$3810,'FW_Salmon_by_Month_2010-2021'!$B$2:$B$3810,'Rec_raw_catch_effort_2010-2021'!$B2033,'FW_Salmon_by_Month_2010-2021'!$H$2:$H$3810,'Rec_raw_catch_effort_2010-2021'!$F2033,'FW_Salmon_by_Month_2010-2021'!$M$2:$M$3810,'Rec_raw_catch_effort_2010-2021'!$K2033)</f>
        <v>331.17500000000001</v>
      </c>
      <c r="R2033" s="109">
        <f>VLOOKUP(B2033,Readme!$A$62:$C$74,2,)*Q2033</f>
        <v>1596.1160953696919</v>
      </c>
      <c r="S2033" s="140" t="str">
        <f t="shared" si="165"/>
        <v>Y</v>
      </c>
      <c r="T2033" s="154">
        <f t="shared" si="166"/>
        <v>8.6500000000000057</v>
      </c>
      <c r="U2033" s="154">
        <f t="shared" si="167"/>
        <v>4.8195549041132084</v>
      </c>
    </row>
    <row r="2034" spans="1:21" x14ac:dyDescent="0.35">
      <c r="A2034" s="108">
        <v>829</v>
      </c>
      <c r="B2034" s="108">
        <v>2014</v>
      </c>
      <c r="C2034" s="108" t="s">
        <v>38</v>
      </c>
      <c r="D2034" s="108" t="s">
        <v>143</v>
      </c>
      <c r="E2034" s="108" t="s">
        <v>10</v>
      </c>
      <c r="F2034" s="116">
        <v>812</v>
      </c>
      <c r="G2034" s="108" t="s">
        <v>55</v>
      </c>
      <c r="H2034" s="108" t="str">
        <f t="shared" si="168"/>
        <v>Quilcene River</v>
      </c>
      <c r="I2034" s="108" t="str">
        <f>IFERROR(VLOOKUP(H2034,LUTs!$A$1:$C$73,2,FALSE),"NA")</f>
        <v>Jefferson</v>
      </c>
      <c r="J2034" s="108" t="str">
        <f>IFERROR(VLOOKUP(H2034,LUTs!$A$1:$C$73,3,FALSE),"NA")</f>
        <v>4 Hood Canal</v>
      </c>
      <c r="K2034" s="108" t="s">
        <v>25</v>
      </c>
      <c r="L2034" s="108" t="str">
        <f>VLOOKUP(K2034,LUTs!E$2:G$14,3,)</f>
        <v>12Jefferson</v>
      </c>
      <c r="M2034" s="108" t="str">
        <f>VLOOKUP($K2034,LUTs!$E$2:$H$14,2,)</f>
        <v>Strait of Juan de Fuca</v>
      </c>
      <c r="N2034" s="108" t="str">
        <f>VLOOKUP($K2034,LUTs!$E$2:$H$14,4,)</f>
        <v>03Strait of Juan de Fuca</v>
      </c>
      <c r="O2034" s="108">
        <v>79.187134502923996</v>
      </c>
      <c r="P2034" s="108">
        <v>684.96871345029297</v>
      </c>
      <c r="Q2034" s="108">
        <f>SUMIFS('FW_Salmon_by_Month_2010-2021'!P$2:P$3810,'FW_Salmon_by_Month_2010-2021'!$B$2:$B$3810,'Rec_raw_catch_effort_2010-2021'!$B2034,'FW_Salmon_by_Month_2010-2021'!$H$2:$H$3810,'Rec_raw_catch_effort_2010-2021'!$F2034,'FW_Salmon_by_Month_2010-2021'!$M$2:$M$3810,'Rec_raw_catch_effort_2010-2021'!$K2034)</f>
        <v>79.2</v>
      </c>
      <c r="R2034" s="109">
        <f>VLOOKUP(B2034,Readme!$A$62:$C$74,2,)*Q2034</f>
        <v>381.70874840576613</v>
      </c>
      <c r="S2034" s="140" t="str">
        <f t="shared" si="165"/>
        <v>Y</v>
      </c>
      <c r="T2034" s="154">
        <f t="shared" si="166"/>
        <v>8.6500000000000057</v>
      </c>
      <c r="U2034" s="154">
        <f t="shared" si="167"/>
        <v>4.8195549041132084</v>
      </c>
    </row>
    <row r="2035" spans="1:21" x14ac:dyDescent="0.35">
      <c r="A2035" s="108">
        <v>824</v>
      </c>
      <c r="B2035" s="108">
        <v>2014</v>
      </c>
      <c r="C2035" s="108" t="s">
        <v>38</v>
      </c>
      <c r="D2035" s="108" t="s">
        <v>143</v>
      </c>
      <c r="E2035" s="108" t="s">
        <v>10</v>
      </c>
      <c r="F2035" s="116">
        <v>812</v>
      </c>
      <c r="G2035" s="108" t="s">
        <v>55</v>
      </c>
      <c r="H2035" s="108" t="str">
        <f t="shared" si="168"/>
        <v>Quilcene River</v>
      </c>
      <c r="I2035" s="108" t="str">
        <f>IFERROR(VLOOKUP(H2035,LUTs!$A$1:$C$73,2,FALSE),"NA")</f>
        <v>Jefferson</v>
      </c>
      <c r="J2035" s="108" t="str">
        <f>IFERROR(VLOOKUP(H2035,LUTs!$A$1:$C$73,3,FALSE),"NA")</f>
        <v>4 Hood Canal</v>
      </c>
      <c r="K2035" s="108" t="s">
        <v>18</v>
      </c>
      <c r="L2035" s="108" t="str">
        <f>VLOOKUP(K2035,LUTs!E$2:G$14,3,)</f>
        <v>06King</v>
      </c>
      <c r="M2035" s="108" t="str">
        <f>VLOOKUP($K2035,LUTs!$E$2:$H$14,2,)</f>
        <v>South Puget Sound</v>
      </c>
      <c r="N2035" s="108" t="str">
        <f>VLOOKUP($K2035,LUTs!$E$2:$H$14,4,)</f>
        <v>02South Puget Sound</v>
      </c>
      <c r="O2035" s="108">
        <v>86.385964912280699</v>
      </c>
      <c r="P2035" s="108">
        <v>747.23859649122801</v>
      </c>
      <c r="Q2035" s="108">
        <f>SUMIFS('FW_Salmon_by_Month_2010-2021'!P$2:P$3810,'FW_Salmon_by_Month_2010-2021'!$B$2:$B$3810,'Rec_raw_catch_effort_2010-2021'!$B2035,'FW_Salmon_by_Month_2010-2021'!$H$2:$H$3810,'Rec_raw_catch_effort_2010-2021'!$F2035,'FW_Salmon_by_Month_2010-2021'!$M$2:$M$3810,'Rec_raw_catch_effort_2010-2021'!$K2035)</f>
        <v>86.387500000000003</v>
      </c>
      <c r="R2035" s="109">
        <f>VLOOKUP(B2035,Readme!$A$62:$C$74,2,)*Q2035</f>
        <v>416.34929927907979</v>
      </c>
      <c r="S2035" s="140" t="str">
        <f t="shared" si="165"/>
        <v>Y</v>
      </c>
      <c r="T2035" s="154">
        <f t="shared" si="166"/>
        <v>8.65</v>
      </c>
      <c r="U2035" s="154">
        <f t="shared" si="167"/>
        <v>4.8195549041132084</v>
      </c>
    </row>
    <row r="2036" spans="1:21" x14ac:dyDescent="0.35">
      <c r="A2036" s="108">
        <v>827</v>
      </c>
      <c r="B2036" s="108">
        <v>2014</v>
      </c>
      <c r="C2036" s="108" t="s">
        <v>38</v>
      </c>
      <c r="D2036" s="108" t="s">
        <v>143</v>
      </c>
      <c r="E2036" s="108" t="s">
        <v>10</v>
      </c>
      <c r="F2036" s="116">
        <v>812</v>
      </c>
      <c r="G2036" s="108" t="s">
        <v>55</v>
      </c>
      <c r="H2036" s="108" t="str">
        <f t="shared" si="168"/>
        <v>Quilcene River</v>
      </c>
      <c r="I2036" s="108" t="str">
        <f>IFERROR(VLOOKUP(H2036,LUTs!$A$1:$C$73,2,FALSE),"NA")</f>
        <v>Jefferson</v>
      </c>
      <c r="J2036" s="108" t="str">
        <f>IFERROR(VLOOKUP(H2036,LUTs!$A$1:$C$73,3,FALSE),"NA")</f>
        <v>4 Hood Canal</v>
      </c>
      <c r="K2036" s="108" t="s">
        <v>23</v>
      </c>
      <c r="L2036" s="108" t="str">
        <f>VLOOKUP(K2036,LUTs!E$2:G$14,3,)</f>
        <v>10Kitsap</v>
      </c>
      <c r="M2036" s="108" t="str">
        <f>VLOOKUP($K2036,LUTs!$E$2:$H$14,2,)</f>
        <v>South Puget Sound</v>
      </c>
      <c r="N2036" s="108" t="str">
        <f>VLOOKUP($K2036,LUTs!$E$2:$H$14,4,)</f>
        <v>02South Puget Sound</v>
      </c>
      <c r="O2036" s="108">
        <v>424.730994152047</v>
      </c>
      <c r="P2036" s="108">
        <v>3673.9230994152099</v>
      </c>
      <c r="Q2036" s="108">
        <f>SUMIFS('FW_Salmon_by_Month_2010-2021'!P$2:P$3810,'FW_Salmon_by_Month_2010-2021'!$B$2:$B$3810,'Rec_raw_catch_effort_2010-2021'!$B2036,'FW_Salmon_by_Month_2010-2021'!$H$2:$H$3810,'Rec_raw_catch_effort_2010-2021'!$F2036,'FW_Salmon_by_Month_2010-2021'!$M$2:$M$3810,'Rec_raw_catch_effort_2010-2021'!$K2036)</f>
        <v>424.65</v>
      </c>
      <c r="R2036" s="109">
        <f>VLOOKUP(B2036,Readme!$A$62:$C$74,2,)*Q2036</f>
        <v>2046.6239900316739</v>
      </c>
      <c r="S2036" s="140" t="str">
        <f t="shared" si="165"/>
        <v>Y</v>
      </c>
      <c r="T2036" s="154">
        <f t="shared" si="166"/>
        <v>8.6500000000000075</v>
      </c>
      <c r="U2036" s="154">
        <f t="shared" si="167"/>
        <v>4.8195549041132084</v>
      </c>
    </row>
    <row r="2037" spans="1:21" x14ac:dyDescent="0.35">
      <c r="A2037" s="108">
        <v>830</v>
      </c>
      <c r="B2037" s="108">
        <v>2014</v>
      </c>
      <c r="C2037" s="108" t="s">
        <v>38</v>
      </c>
      <c r="D2037" s="108" t="s">
        <v>143</v>
      </c>
      <c r="E2037" s="108" t="s">
        <v>10</v>
      </c>
      <c r="F2037" s="116">
        <v>812</v>
      </c>
      <c r="G2037" s="108" t="s">
        <v>55</v>
      </c>
      <c r="H2037" s="108" t="str">
        <f t="shared" si="168"/>
        <v>Quilcene River</v>
      </c>
      <c r="I2037" s="108" t="str">
        <f>IFERROR(VLOOKUP(H2037,LUTs!$A$1:$C$73,2,FALSE),"NA")</f>
        <v>Jefferson</v>
      </c>
      <c r="J2037" s="108" t="str">
        <f>IFERROR(VLOOKUP(H2037,LUTs!$A$1:$C$73,3,FALSE),"NA")</f>
        <v>4 Hood Canal</v>
      </c>
      <c r="K2037" s="108" t="s">
        <v>26</v>
      </c>
      <c r="L2037" s="108" t="str">
        <f>VLOOKUP(K2037,LUTs!E$2:G$14,3,)</f>
        <v>20Other</v>
      </c>
      <c r="M2037" s="108" t="str">
        <f>VLOOKUP($K2037,LUTs!$E$2:$H$14,2,)</f>
        <v>Non Puget Sound</v>
      </c>
      <c r="N2037" s="108" t="str">
        <f>VLOOKUP($K2037,LUTs!$E$2:$H$14,4,)</f>
        <v>07Non Puget Sound</v>
      </c>
      <c r="O2037" s="108">
        <v>100.783625730994</v>
      </c>
      <c r="P2037" s="108">
        <v>871.77836257309798</v>
      </c>
      <c r="Q2037" s="108">
        <f>SUMIFS('FW_Salmon_by_Month_2010-2021'!P$2:P$3810,'FW_Salmon_by_Month_2010-2021'!$B$2:$B$3810,'Rec_raw_catch_effort_2010-2021'!$B2037,'FW_Salmon_by_Month_2010-2021'!$H$2:$H$3810,'Rec_raw_catch_effort_2010-2021'!$F2037,'FW_Salmon_by_Month_2010-2021'!$M$2:$M$3810,'Rec_raw_catch_effort_2010-2021'!$K2037)</f>
        <v>100.80000000000001</v>
      </c>
      <c r="R2037" s="109">
        <f>VLOOKUP(B2037,Readme!$A$62:$C$74,2,)*Q2037</f>
        <v>485.81113433461144</v>
      </c>
      <c r="S2037" s="140" t="str">
        <f t="shared" si="165"/>
        <v>Y</v>
      </c>
      <c r="T2037" s="154">
        <f t="shared" si="166"/>
        <v>8.6499999999999986</v>
      </c>
      <c r="U2037" s="154">
        <f t="shared" si="167"/>
        <v>4.8195549041132084</v>
      </c>
    </row>
    <row r="2038" spans="1:21" x14ac:dyDescent="0.35">
      <c r="A2038" s="108">
        <v>825</v>
      </c>
      <c r="B2038" s="108">
        <v>2014</v>
      </c>
      <c r="C2038" s="108" t="s">
        <v>38</v>
      </c>
      <c r="D2038" s="108" t="s">
        <v>143</v>
      </c>
      <c r="E2038" s="108" t="s">
        <v>10</v>
      </c>
      <c r="F2038" s="116">
        <v>812</v>
      </c>
      <c r="G2038" s="108" t="s">
        <v>55</v>
      </c>
      <c r="H2038" s="108" t="str">
        <f t="shared" si="168"/>
        <v>Quilcene River</v>
      </c>
      <c r="I2038" s="108" t="str">
        <f>IFERROR(VLOOKUP(H2038,LUTs!$A$1:$C$73,2,FALSE),"NA")</f>
        <v>Jefferson</v>
      </c>
      <c r="J2038" s="108" t="str">
        <f>IFERROR(VLOOKUP(H2038,LUTs!$A$1:$C$73,3,FALSE),"NA")</f>
        <v>4 Hood Canal</v>
      </c>
      <c r="K2038" s="108" t="s">
        <v>20</v>
      </c>
      <c r="L2038" s="108" t="str">
        <f>VLOOKUP(K2038,LUTs!E$2:G$14,3,)</f>
        <v>07Pierce</v>
      </c>
      <c r="M2038" s="108" t="str">
        <f>VLOOKUP($K2038,LUTs!$E$2:$H$14,2,)</f>
        <v>South Puget Sound</v>
      </c>
      <c r="N2038" s="108" t="str">
        <f>VLOOKUP($K2038,LUTs!$E$2:$H$14,4,)</f>
        <v>02South Puget Sound</v>
      </c>
      <c r="O2038" s="108">
        <v>107.982456140351</v>
      </c>
      <c r="P2038" s="108">
        <v>934.04824561403598</v>
      </c>
      <c r="Q2038" s="108">
        <f>SUMIFS('FW_Salmon_by_Month_2010-2021'!P$2:P$3810,'FW_Salmon_by_Month_2010-2021'!$B$2:$B$3810,'Rec_raw_catch_effort_2010-2021'!$B2038,'FW_Salmon_by_Month_2010-2021'!$H$2:$H$3810,'Rec_raw_catch_effort_2010-2021'!$F2038,'FW_Salmon_by_Month_2010-2021'!$M$2:$M$3810,'Rec_raw_catch_effort_2010-2021'!$K2038)</f>
        <v>107.9875</v>
      </c>
      <c r="R2038" s="109">
        <f>VLOOKUP(B2038,Readme!$A$62:$C$74,2,)*Q2038</f>
        <v>520.45168520792504</v>
      </c>
      <c r="S2038" s="140" t="str">
        <f t="shared" si="165"/>
        <v>Y</v>
      </c>
      <c r="T2038" s="154">
        <f t="shared" si="166"/>
        <v>8.6499999999999986</v>
      </c>
      <c r="U2038" s="154">
        <f t="shared" si="167"/>
        <v>4.8195549041132084</v>
      </c>
    </row>
    <row r="2039" spans="1:21" x14ac:dyDescent="0.35">
      <c r="A2039" s="108">
        <v>822</v>
      </c>
      <c r="B2039" s="108">
        <v>2014</v>
      </c>
      <c r="C2039" s="108" t="s">
        <v>38</v>
      </c>
      <c r="D2039" s="108" t="s">
        <v>143</v>
      </c>
      <c r="E2039" s="108" t="s">
        <v>10</v>
      </c>
      <c r="F2039" s="116">
        <v>812</v>
      </c>
      <c r="G2039" s="108" t="s">
        <v>55</v>
      </c>
      <c r="H2039" s="108" t="str">
        <f t="shared" si="168"/>
        <v>Quilcene River</v>
      </c>
      <c r="I2039" s="108" t="str">
        <f>IFERROR(VLOOKUP(H2039,LUTs!$A$1:$C$73,2,FALSE),"NA")</f>
        <v>Jefferson</v>
      </c>
      <c r="J2039" s="108" t="str">
        <f>IFERROR(VLOOKUP(H2039,LUTs!$A$1:$C$73,3,FALSE),"NA")</f>
        <v>4 Hood Canal</v>
      </c>
      <c r="K2039" s="108" t="s">
        <v>15</v>
      </c>
      <c r="L2039" s="108" t="str">
        <f>VLOOKUP(K2039,LUTs!E$2:G$14,3,)</f>
        <v>02Skagit</v>
      </c>
      <c r="M2039" s="108" t="str">
        <f>VLOOKUP($K2039,LUTs!$E$2:$H$14,2,)</f>
        <v>North Puget Sound</v>
      </c>
      <c r="N2039" s="108" t="str">
        <f>VLOOKUP($K2039,LUTs!$E$2:$H$14,4,)</f>
        <v>01North Puget Sound</v>
      </c>
      <c r="O2039" s="108">
        <v>14.397660818713501</v>
      </c>
      <c r="P2039" s="108">
        <v>124.539766081872</v>
      </c>
      <c r="Q2039" s="108">
        <f>SUMIFS('FW_Salmon_by_Month_2010-2021'!P$2:P$3810,'FW_Salmon_by_Month_2010-2021'!$B$2:$B$3810,'Rec_raw_catch_effort_2010-2021'!$B2039,'FW_Salmon_by_Month_2010-2021'!$H$2:$H$3810,'Rec_raw_catch_effort_2010-2021'!$F2039,'FW_Salmon_by_Month_2010-2021'!$M$2:$M$3810,'Rec_raw_catch_effort_2010-2021'!$K2039)</f>
        <v>14.4</v>
      </c>
      <c r="R2039" s="109">
        <f>VLOOKUP(B2039,Readme!$A$62:$C$74,2,)*Q2039</f>
        <v>69.401590619230205</v>
      </c>
      <c r="S2039" s="140" t="str">
        <f t="shared" si="165"/>
        <v>Y</v>
      </c>
      <c r="T2039" s="154">
        <f t="shared" si="166"/>
        <v>8.6500000000000146</v>
      </c>
      <c r="U2039" s="154">
        <f t="shared" si="167"/>
        <v>4.8195549041132084</v>
      </c>
    </row>
    <row r="2040" spans="1:21" x14ac:dyDescent="0.35">
      <c r="A2040" s="108">
        <v>823</v>
      </c>
      <c r="B2040" s="108">
        <v>2014</v>
      </c>
      <c r="C2040" s="108" t="s">
        <v>38</v>
      </c>
      <c r="D2040" s="108" t="s">
        <v>143</v>
      </c>
      <c r="E2040" s="108" t="s">
        <v>10</v>
      </c>
      <c r="F2040" s="116">
        <v>812</v>
      </c>
      <c r="G2040" s="108" t="s">
        <v>55</v>
      </c>
      <c r="H2040" s="108" t="str">
        <f t="shared" si="168"/>
        <v>Quilcene River</v>
      </c>
      <c r="I2040" s="108" t="str">
        <f>IFERROR(VLOOKUP(H2040,LUTs!$A$1:$C$73,2,FALSE),"NA")</f>
        <v>Jefferson</v>
      </c>
      <c r="J2040" s="108" t="str">
        <f>IFERROR(VLOOKUP(H2040,LUTs!$A$1:$C$73,3,FALSE),"NA")</f>
        <v>4 Hood Canal</v>
      </c>
      <c r="K2040" s="108" t="s">
        <v>16</v>
      </c>
      <c r="L2040" s="108" t="str">
        <f>VLOOKUP(K2040,LUTs!E$2:G$14,3,)</f>
        <v>03Snohomish</v>
      </c>
      <c r="M2040" s="108" t="str">
        <f>VLOOKUP($K2040,LUTs!$E$2:$H$14,2,)</f>
        <v>North Puget Sound</v>
      </c>
      <c r="N2040" s="108" t="str">
        <f>VLOOKUP($K2040,LUTs!$E$2:$H$14,4,)</f>
        <v>01North Puget Sound</v>
      </c>
      <c r="O2040" s="108">
        <v>57.590643274853797</v>
      </c>
      <c r="P2040" s="108">
        <v>498.159064327485</v>
      </c>
      <c r="Q2040" s="108">
        <f>SUMIFS('FW_Salmon_by_Month_2010-2021'!P$2:P$3810,'FW_Salmon_by_Month_2010-2021'!$B$2:$B$3810,'Rec_raw_catch_effort_2010-2021'!$B2040,'FW_Salmon_by_Month_2010-2021'!$H$2:$H$3810,'Rec_raw_catch_effort_2010-2021'!$F2040,'FW_Salmon_by_Month_2010-2021'!$M$2:$M$3810,'Rec_raw_catch_effort_2010-2021'!$K2040)</f>
        <v>57.6</v>
      </c>
      <c r="R2040" s="109">
        <f>VLOOKUP(B2040,Readme!$A$62:$C$74,2,)*Q2040</f>
        <v>277.60636247692082</v>
      </c>
      <c r="S2040" s="140" t="str">
        <f t="shared" si="165"/>
        <v>Y</v>
      </c>
      <c r="T2040" s="154">
        <f t="shared" si="166"/>
        <v>8.6499999999999932</v>
      </c>
      <c r="U2040" s="154">
        <f t="shared" si="167"/>
        <v>4.8195549041132084</v>
      </c>
    </row>
    <row r="2041" spans="1:21" x14ac:dyDescent="0.35">
      <c r="A2041" s="108">
        <v>826</v>
      </c>
      <c r="B2041" s="108">
        <v>2014</v>
      </c>
      <c r="C2041" s="108" t="s">
        <v>38</v>
      </c>
      <c r="D2041" s="108" t="s">
        <v>143</v>
      </c>
      <c r="E2041" s="108" t="s">
        <v>10</v>
      </c>
      <c r="F2041" s="116">
        <v>812</v>
      </c>
      <c r="G2041" s="108" t="s">
        <v>55</v>
      </c>
      <c r="H2041" s="108" t="str">
        <f t="shared" si="168"/>
        <v>Quilcene River</v>
      </c>
      <c r="I2041" s="108" t="str">
        <f>IFERROR(VLOOKUP(H2041,LUTs!$A$1:$C$73,2,FALSE),"NA")</f>
        <v>Jefferson</v>
      </c>
      <c r="J2041" s="108" t="str">
        <f>IFERROR(VLOOKUP(H2041,LUTs!$A$1:$C$73,3,FALSE),"NA")</f>
        <v>4 Hood Canal</v>
      </c>
      <c r="K2041" s="108" t="s">
        <v>21</v>
      </c>
      <c r="L2041" s="108" t="str">
        <f>VLOOKUP(K2041,LUTs!E$2:G$14,3,)</f>
        <v>08Thurston</v>
      </c>
      <c r="M2041" s="108" t="str">
        <f>VLOOKUP($K2041,LUTs!$E$2:$H$14,2,)</f>
        <v>South Puget Sound</v>
      </c>
      <c r="N2041" s="108" t="str">
        <f>VLOOKUP($K2041,LUTs!$E$2:$H$14,4,)</f>
        <v>02South Puget Sound</v>
      </c>
      <c r="O2041" s="108">
        <v>28.795321637426898</v>
      </c>
      <c r="P2041" s="108">
        <v>249.07953216374301</v>
      </c>
      <c r="Q2041" s="108">
        <f>SUMIFS('FW_Salmon_by_Month_2010-2021'!P$2:P$3810,'FW_Salmon_by_Month_2010-2021'!$B$2:$B$3810,'Rec_raw_catch_effort_2010-2021'!$B2041,'FW_Salmon_by_Month_2010-2021'!$H$2:$H$3810,'Rec_raw_catch_effort_2010-2021'!$F2041,'FW_Salmon_by_Month_2010-2021'!$M$2:$M$3810,'Rec_raw_catch_effort_2010-2021'!$K2041)</f>
        <v>28.8</v>
      </c>
      <c r="R2041" s="109">
        <f>VLOOKUP(B2041,Readme!$A$62:$C$74,2,)*Q2041</f>
        <v>138.80318123846041</v>
      </c>
      <c r="S2041" s="140" t="str">
        <f t="shared" si="165"/>
        <v>Y</v>
      </c>
      <c r="T2041" s="154">
        <f t="shared" si="166"/>
        <v>8.650000000000011</v>
      </c>
      <c r="U2041" s="154">
        <f t="shared" si="167"/>
        <v>4.8195549041132084</v>
      </c>
    </row>
    <row r="2042" spans="1:21" x14ac:dyDescent="0.35">
      <c r="A2042" s="108">
        <v>842</v>
      </c>
      <c r="B2042" s="108">
        <v>2015</v>
      </c>
      <c r="C2042" s="108" t="s">
        <v>38</v>
      </c>
      <c r="D2042" s="108" t="s">
        <v>143</v>
      </c>
      <c r="E2042" s="108" t="s">
        <v>10</v>
      </c>
      <c r="F2042" s="116">
        <v>812</v>
      </c>
      <c r="G2042" s="108" t="s">
        <v>55</v>
      </c>
      <c r="H2042" s="108" t="str">
        <f t="shared" si="168"/>
        <v>Quilcene River</v>
      </c>
      <c r="I2042" s="108" t="str">
        <f>IFERROR(VLOOKUP(H2042,LUTs!$A$1:$C$73,2,FALSE),"NA")</f>
        <v>Jefferson</v>
      </c>
      <c r="J2042" s="108" t="str">
        <f>IFERROR(VLOOKUP(H2042,LUTs!$A$1:$C$73,3,FALSE),"NA")</f>
        <v>4 Hood Canal</v>
      </c>
      <c r="K2042" s="108" t="s">
        <v>17</v>
      </c>
      <c r="L2042" s="108" t="str">
        <f>VLOOKUP(K2042,LUTs!E$2:G$14,3,)</f>
        <v>04Island</v>
      </c>
      <c r="M2042" s="108" t="str">
        <f>VLOOKUP($K2042,LUTs!$E$2:$H$14,2,)</f>
        <v>North Puget Sound</v>
      </c>
      <c r="N2042" s="108" t="str">
        <f>VLOOKUP($K2042,LUTs!$E$2:$H$14,4,)</f>
        <v>01North Puget Sound</v>
      </c>
      <c r="O2042" s="108">
        <v>9.2098765432098801</v>
      </c>
      <c r="P2042" s="108">
        <v>31.681975308641999</v>
      </c>
      <c r="Q2042" s="108">
        <f>SUMIFS('FW_Salmon_by_Month_2010-2021'!P$2:P$3810,'FW_Salmon_by_Month_2010-2021'!$B$2:$B$3810,'Rec_raw_catch_effort_2010-2021'!$B2042,'FW_Salmon_by_Month_2010-2021'!$H$2:$H$3810,'Rec_raw_catch_effort_2010-2021'!$F2042,'FW_Salmon_by_Month_2010-2021'!$M$2:$M$3810,'Rec_raw_catch_effort_2010-2021'!$K2042)</f>
        <v>9.25</v>
      </c>
      <c r="R2042" s="109">
        <f>VLOOKUP(B2042,Readme!$A$62:$C$74,2,)*Q2042</f>
        <v>32.73612406798734</v>
      </c>
      <c r="S2042" s="140" t="str">
        <f t="shared" si="165"/>
        <v>Y</v>
      </c>
      <c r="T2042" s="154">
        <f t="shared" si="166"/>
        <v>3.4400000000000013</v>
      </c>
      <c r="U2042" s="154">
        <f t="shared" si="167"/>
        <v>3.5390404397824153</v>
      </c>
    </row>
    <row r="2043" spans="1:21" x14ac:dyDescent="0.35">
      <c r="A2043" s="108">
        <v>846</v>
      </c>
      <c r="B2043" s="108">
        <v>2015</v>
      </c>
      <c r="C2043" s="108" t="s">
        <v>38</v>
      </c>
      <c r="D2043" s="108" t="s">
        <v>143</v>
      </c>
      <c r="E2043" s="108" t="s">
        <v>10</v>
      </c>
      <c r="F2043" s="116">
        <v>812</v>
      </c>
      <c r="G2043" s="108" t="s">
        <v>55</v>
      </c>
      <c r="H2043" s="108" t="str">
        <f t="shared" si="168"/>
        <v>Quilcene River</v>
      </c>
      <c r="I2043" s="108" t="str">
        <f>IFERROR(VLOOKUP(H2043,LUTs!$A$1:$C$73,2,FALSE),"NA")</f>
        <v>Jefferson</v>
      </c>
      <c r="J2043" s="108" t="str">
        <f>IFERROR(VLOOKUP(H2043,LUTs!$A$1:$C$73,3,FALSE),"NA")</f>
        <v>4 Hood Canal</v>
      </c>
      <c r="K2043" s="108" t="s">
        <v>25</v>
      </c>
      <c r="L2043" s="108" t="str">
        <f>VLOOKUP(K2043,LUTs!E$2:G$14,3,)</f>
        <v>12Jefferson</v>
      </c>
      <c r="M2043" s="108" t="str">
        <f>VLOOKUP($K2043,LUTs!$E$2:$H$14,2,)</f>
        <v>Strait of Juan de Fuca</v>
      </c>
      <c r="N2043" s="108" t="str">
        <f>VLOOKUP($K2043,LUTs!$E$2:$H$14,4,)</f>
        <v>03Strait of Juan de Fuca</v>
      </c>
      <c r="O2043" s="108">
        <v>119.72839506172799</v>
      </c>
      <c r="P2043" s="108">
        <v>411.865679012344</v>
      </c>
      <c r="Q2043" s="108">
        <f>SUMIFS('FW_Salmon_by_Month_2010-2021'!P$2:P$3810,'FW_Salmon_by_Month_2010-2021'!$B$2:$B$3810,'Rec_raw_catch_effort_2010-2021'!$B2043,'FW_Salmon_by_Month_2010-2021'!$H$2:$H$3810,'Rec_raw_catch_effort_2010-2021'!$F2043,'FW_Salmon_by_Month_2010-2021'!$M$2:$M$3810,'Rec_raw_catch_effort_2010-2021'!$K2043)</f>
        <v>119.875</v>
      </c>
      <c r="R2043" s="109">
        <f>VLOOKUP(B2043,Readme!$A$62:$C$74,2,)*Q2043</f>
        <v>424.24247271891704</v>
      </c>
      <c r="S2043" s="140" t="str">
        <f t="shared" si="165"/>
        <v>Y</v>
      </c>
      <c r="T2043" s="154">
        <f t="shared" si="166"/>
        <v>3.4399999999999977</v>
      </c>
      <c r="U2043" s="154">
        <f t="shared" si="167"/>
        <v>3.5390404397824153</v>
      </c>
    </row>
    <row r="2044" spans="1:21" x14ac:dyDescent="0.35">
      <c r="A2044" s="108">
        <v>843</v>
      </c>
      <c r="B2044" s="108">
        <v>2015</v>
      </c>
      <c r="C2044" s="108" t="s">
        <v>38</v>
      </c>
      <c r="D2044" s="108" t="s">
        <v>143</v>
      </c>
      <c r="E2044" s="108" t="s">
        <v>10</v>
      </c>
      <c r="F2044" s="116">
        <v>812</v>
      </c>
      <c r="G2044" s="108" t="s">
        <v>55</v>
      </c>
      <c r="H2044" s="108" t="str">
        <f t="shared" si="168"/>
        <v>Quilcene River</v>
      </c>
      <c r="I2044" s="108" t="str">
        <f>IFERROR(VLOOKUP(H2044,LUTs!$A$1:$C$73,2,FALSE),"NA")</f>
        <v>Jefferson</v>
      </c>
      <c r="J2044" s="108" t="str">
        <f>IFERROR(VLOOKUP(H2044,LUTs!$A$1:$C$73,3,FALSE),"NA")</f>
        <v>4 Hood Canal</v>
      </c>
      <c r="K2044" s="108" t="s">
        <v>18</v>
      </c>
      <c r="L2044" s="108" t="str">
        <f>VLOOKUP(K2044,LUTs!E$2:G$14,3,)</f>
        <v>06King</v>
      </c>
      <c r="M2044" s="108" t="str">
        <f>VLOOKUP($K2044,LUTs!$E$2:$H$14,2,)</f>
        <v>South Puget Sound</v>
      </c>
      <c r="N2044" s="108" t="str">
        <f>VLOOKUP($K2044,LUTs!$E$2:$H$14,4,)</f>
        <v>02South Puget Sound</v>
      </c>
      <c r="O2044" s="108">
        <v>73.679012345678998</v>
      </c>
      <c r="P2044" s="108">
        <v>253.45580246913599</v>
      </c>
      <c r="Q2044" s="108">
        <f>SUMIFS('FW_Salmon_by_Month_2010-2021'!P$2:P$3810,'FW_Salmon_by_Month_2010-2021'!$B$2:$B$3810,'Rec_raw_catch_effort_2010-2021'!$B2044,'FW_Salmon_by_Month_2010-2021'!$H$2:$H$3810,'Rec_raw_catch_effort_2010-2021'!$F2044,'FW_Salmon_by_Month_2010-2021'!$M$2:$M$3810,'Rec_raw_catch_effort_2010-2021'!$K2044)</f>
        <v>73.6666666666667</v>
      </c>
      <c r="R2044" s="109">
        <f>VLOOKUP(B2044,Readme!$A$62:$C$74,2,)*Q2044</f>
        <v>260.7093123973047</v>
      </c>
      <c r="S2044" s="140" t="str">
        <f t="shared" si="165"/>
        <v>Y</v>
      </c>
      <c r="T2044" s="154">
        <f t="shared" si="166"/>
        <v>3.4400000000000031</v>
      </c>
      <c r="U2044" s="154">
        <f t="shared" si="167"/>
        <v>3.5390404397824153</v>
      </c>
    </row>
    <row r="2045" spans="1:21" x14ac:dyDescent="0.35">
      <c r="A2045" s="108">
        <v>845</v>
      </c>
      <c r="B2045" s="108">
        <v>2015</v>
      </c>
      <c r="C2045" s="108" t="s">
        <v>38</v>
      </c>
      <c r="D2045" s="108" t="s">
        <v>143</v>
      </c>
      <c r="E2045" s="108" t="s">
        <v>10</v>
      </c>
      <c r="F2045" s="116">
        <v>812</v>
      </c>
      <c r="G2045" s="108" t="s">
        <v>55</v>
      </c>
      <c r="H2045" s="108" t="str">
        <f t="shared" si="168"/>
        <v>Quilcene River</v>
      </c>
      <c r="I2045" s="108" t="str">
        <f>IFERROR(VLOOKUP(H2045,LUTs!$A$1:$C$73,2,FALSE),"NA")</f>
        <v>Jefferson</v>
      </c>
      <c r="J2045" s="108" t="str">
        <f>IFERROR(VLOOKUP(H2045,LUTs!$A$1:$C$73,3,FALSE),"NA")</f>
        <v>4 Hood Canal</v>
      </c>
      <c r="K2045" s="108" t="s">
        <v>23</v>
      </c>
      <c r="L2045" s="108" t="str">
        <f>VLOOKUP(K2045,LUTs!E$2:G$14,3,)</f>
        <v>10Kitsap</v>
      </c>
      <c r="M2045" s="108" t="str">
        <f>VLOOKUP($K2045,LUTs!$E$2:$H$14,2,)</f>
        <v>South Puget Sound</v>
      </c>
      <c r="N2045" s="108" t="str">
        <f>VLOOKUP($K2045,LUTs!$E$2:$H$14,4,)</f>
        <v>02South Puget Sound</v>
      </c>
      <c r="O2045" s="108">
        <v>368.39506172839498</v>
      </c>
      <c r="P2045" s="108">
        <v>1267.27901234568</v>
      </c>
      <c r="Q2045" s="108">
        <f>SUMIFS('FW_Salmon_by_Month_2010-2021'!P$2:P$3810,'FW_Salmon_by_Month_2010-2021'!$B$2:$B$3810,'Rec_raw_catch_effort_2010-2021'!$B2045,'FW_Salmon_by_Month_2010-2021'!$H$2:$H$3810,'Rec_raw_catch_effort_2010-2021'!$F2045,'FW_Salmon_by_Month_2010-2021'!$M$2:$M$3810,'Rec_raw_catch_effort_2010-2021'!$K2045)</f>
        <v>368.375</v>
      </c>
      <c r="R2045" s="109">
        <f>VLOOKUP(B2045,Readme!$A$62:$C$74,2,)*Q2045</f>
        <v>1303.6940220048473</v>
      </c>
      <c r="S2045" s="140" t="str">
        <f t="shared" si="165"/>
        <v>Y</v>
      </c>
      <c r="T2045" s="154">
        <f t="shared" si="166"/>
        <v>3.4400000000000035</v>
      </c>
      <c r="U2045" s="154">
        <f t="shared" si="167"/>
        <v>3.5390404397824153</v>
      </c>
    </row>
    <row r="2046" spans="1:21" x14ac:dyDescent="0.35">
      <c r="A2046" s="108">
        <v>847</v>
      </c>
      <c r="B2046" s="108">
        <v>2015</v>
      </c>
      <c r="C2046" s="108" t="s">
        <v>38</v>
      </c>
      <c r="D2046" s="108" t="s">
        <v>143</v>
      </c>
      <c r="E2046" s="108" t="s">
        <v>10</v>
      </c>
      <c r="F2046" s="116">
        <v>812</v>
      </c>
      <c r="G2046" s="108" t="s">
        <v>55</v>
      </c>
      <c r="H2046" s="108" t="str">
        <f t="shared" si="168"/>
        <v>Quilcene River</v>
      </c>
      <c r="I2046" s="108" t="str">
        <f>IFERROR(VLOOKUP(H2046,LUTs!$A$1:$C$73,2,FALSE),"NA")</f>
        <v>Jefferson</v>
      </c>
      <c r="J2046" s="108" t="str">
        <f>IFERROR(VLOOKUP(H2046,LUTs!$A$1:$C$73,3,FALSE),"NA")</f>
        <v>4 Hood Canal</v>
      </c>
      <c r="K2046" s="108" t="s">
        <v>26</v>
      </c>
      <c r="L2046" s="108" t="str">
        <f>VLOOKUP(K2046,LUTs!E$2:G$14,3,)</f>
        <v>20Other</v>
      </c>
      <c r="M2046" s="108" t="str">
        <f>VLOOKUP($K2046,LUTs!$E$2:$H$14,2,)</f>
        <v>Non Puget Sound</v>
      </c>
      <c r="N2046" s="108" t="str">
        <f>VLOOKUP($K2046,LUTs!$E$2:$H$14,4,)</f>
        <v>07Non Puget Sound</v>
      </c>
      <c r="O2046" s="108">
        <v>128.938271604938</v>
      </c>
      <c r="P2046" s="108">
        <v>443.54765432098702</v>
      </c>
      <c r="Q2046" s="108">
        <f>SUMIFS('FW_Salmon_by_Month_2010-2021'!P$2:P$3810,'FW_Salmon_by_Month_2010-2021'!$B$2:$B$3810,'Rec_raw_catch_effort_2010-2021'!$B2046,'FW_Salmon_by_Month_2010-2021'!$H$2:$H$3810,'Rec_raw_catch_effort_2010-2021'!$F2046,'FW_Salmon_by_Month_2010-2021'!$M$2:$M$3810,'Rec_raw_catch_effort_2010-2021'!$K2046)</f>
        <v>129</v>
      </c>
      <c r="R2046" s="109">
        <f>VLOOKUP(B2046,Readme!$A$62:$C$74,2,)*Q2046</f>
        <v>456.53621673193157</v>
      </c>
      <c r="S2046" s="140" t="str">
        <f t="shared" si="165"/>
        <v>Y</v>
      </c>
      <c r="T2046" s="154">
        <f t="shared" si="166"/>
        <v>3.4400000000000026</v>
      </c>
      <c r="U2046" s="154">
        <f t="shared" si="167"/>
        <v>3.5390404397824153</v>
      </c>
    </row>
    <row r="2047" spans="1:21" x14ac:dyDescent="0.35">
      <c r="A2047" s="108">
        <v>844</v>
      </c>
      <c r="B2047" s="108">
        <v>2015</v>
      </c>
      <c r="C2047" s="108" t="s">
        <v>38</v>
      </c>
      <c r="D2047" s="108" t="s">
        <v>143</v>
      </c>
      <c r="E2047" s="108" t="s">
        <v>10</v>
      </c>
      <c r="F2047" s="116">
        <v>812</v>
      </c>
      <c r="G2047" s="108" t="s">
        <v>55</v>
      </c>
      <c r="H2047" s="108" t="str">
        <f t="shared" si="168"/>
        <v>Quilcene River</v>
      </c>
      <c r="I2047" s="108" t="str">
        <f>IFERROR(VLOOKUP(H2047,LUTs!$A$1:$C$73,2,FALSE),"NA")</f>
        <v>Jefferson</v>
      </c>
      <c r="J2047" s="108" t="str">
        <f>IFERROR(VLOOKUP(H2047,LUTs!$A$1:$C$73,3,FALSE),"NA")</f>
        <v>4 Hood Canal</v>
      </c>
      <c r="K2047" s="108" t="s">
        <v>20</v>
      </c>
      <c r="L2047" s="108" t="str">
        <f>VLOOKUP(K2047,LUTs!E$2:G$14,3,)</f>
        <v>07Pierce</v>
      </c>
      <c r="M2047" s="108" t="str">
        <f>VLOOKUP($K2047,LUTs!$E$2:$H$14,2,)</f>
        <v>South Puget Sound</v>
      </c>
      <c r="N2047" s="108" t="str">
        <f>VLOOKUP($K2047,LUTs!$E$2:$H$14,4,)</f>
        <v>02South Puget Sound</v>
      </c>
      <c r="O2047" s="108">
        <v>36.839506172839499</v>
      </c>
      <c r="P2047" s="108">
        <v>126.72790123456799</v>
      </c>
      <c r="Q2047" s="108">
        <f>SUMIFS('FW_Salmon_by_Month_2010-2021'!P$2:P$3810,'FW_Salmon_by_Month_2010-2021'!$B$2:$B$3810,'Rec_raw_catch_effort_2010-2021'!$B2047,'FW_Salmon_by_Month_2010-2021'!$H$2:$H$3810,'Rec_raw_catch_effort_2010-2021'!$F2047,'FW_Salmon_by_Month_2010-2021'!$M$2:$M$3810,'Rec_raw_catch_effort_2010-2021'!$K2047)</f>
        <v>36.625</v>
      </c>
      <c r="R2047" s="109">
        <f>VLOOKUP(B2047,Readme!$A$62:$C$74,2,)*Q2047</f>
        <v>129.61735610703096</v>
      </c>
      <c r="S2047" s="140" t="str">
        <f t="shared" si="165"/>
        <v>Y</v>
      </c>
      <c r="T2047" s="154">
        <f t="shared" si="166"/>
        <v>3.4400000000000031</v>
      </c>
      <c r="U2047" s="154">
        <f t="shared" si="167"/>
        <v>3.5390404397824153</v>
      </c>
    </row>
    <row r="2048" spans="1:21" x14ac:dyDescent="0.35">
      <c r="A2048" s="108">
        <v>832</v>
      </c>
      <c r="B2048" s="108">
        <v>2015</v>
      </c>
      <c r="C2048" s="108" t="s">
        <v>38</v>
      </c>
      <c r="D2048" s="108" t="s">
        <v>143</v>
      </c>
      <c r="E2048" s="108" t="s">
        <v>10</v>
      </c>
      <c r="F2048" s="116">
        <v>812</v>
      </c>
      <c r="G2048" s="108" t="s">
        <v>55</v>
      </c>
      <c r="H2048" s="108" t="str">
        <f t="shared" si="168"/>
        <v>Quilcene River</v>
      </c>
      <c r="I2048" s="108" t="str">
        <f>IFERROR(VLOOKUP(H2048,LUTs!$A$1:$C$73,2,FALSE),"NA")</f>
        <v>Jefferson</v>
      </c>
      <c r="J2048" s="108" t="str">
        <f>IFERROR(VLOOKUP(H2048,LUTs!$A$1:$C$73,3,FALSE),"NA")</f>
        <v>4 Hood Canal</v>
      </c>
      <c r="K2048" s="108" t="s">
        <v>15</v>
      </c>
      <c r="L2048" s="108" t="str">
        <f>VLOOKUP(K2048,LUTs!E$2:G$14,3,)</f>
        <v>02Skagit</v>
      </c>
      <c r="M2048" s="108" t="str">
        <f>VLOOKUP($K2048,LUTs!$E$2:$H$14,2,)</f>
        <v>North Puget Sound</v>
      </c>
      <c r="N2048" s="108" t="str">
        <f>VLOOKUP($K2048,LUTs!$E$2:$H$14,4,)</f>
        <v>01North Puget Sound</v>
      </c>
      <c r="O2048" s="108">
        <v>9.2098765432098801</v>
      </c>
      <c r="P2048" s="108">
        <v>31.681975308641999</v>
      </c>
      <c r="Q2048" s="108">
        <f>SUMIFS('FW_Salmon_by_Month_2010-2021'!P$2:P$3810,'FW_Salmon_by_Month_2010-2021'!$B$2:$B$3810,'Rec_raw_catch_effort_2010-2021'!$B2048,'FW_Salmon_by_Month_2010-2021'!$H$2:$H$3810,'Rec_raw_catch_effort_2010-2021'!$F2048,'FW_Salmon_by_Month_2010-2021'!$M$2:$M$3810,'Rec_raw_catch_effort_2010-2021'!$K2048)</f>
        <v>9.2083333333333304</v>
      </c>
      <c r="R2048" s="109">
        <f>VLOOKUP(B2048,Readme!$A$62:$C$74,2,)*Q2048</f>
        <v>32.588664049663066</v>
      </c>
      <c r="S2048" s="140" t="str">
        <f t="shared" si="165"/>
        <v>Y</v>
      </c>
      <c r="T2048" s="154">
        <f t="shared" si="166"/>
        <v>3.4400000000000013</v>
      </c>
      <c r="U2048" s="154">
        <f t="shared" si="167"/>
        <v>3.5390404397824158</v>
      </c>
    </row>
    <row r="2049" spans="1:21" x14ac:dyDescent="0.35">
      <c r="A2049" s="108">
        <v>923</v>
      </c>
      <c r="B2049" s="108">
        <v>2016</v>
      </c>
      <c r="C2049" s="108" t="s">
        <v>38</v>
      </c>
      <c r="D2049" s="108" t="s">
        <v>143</v>
      </c>
      <c r="E2049" s="108" t="s">
        <v>10</v>
      </c>
      <c r="F2049" s="116">
        <v>812</v>
      </c>
      <c r="G2049" s="108" t="s">
        <v>55</v>
      </c>
      <c r="H2049" s="108" t="str">
        <f t="shared" si="168"/>
        <v>Quilcene River</v>
      </c>
      <c r="I2049" s="108" t="str">
        <f>IFERROR(VLOOKUP(H2049,LUTs!$A$1:$C$73,2,FALSE),"NA")</f>
        <v>Jefferson</v>
      </c>
      <c r="J2049" s="108" t="str">
        <f>IFERROR(VLOOKUP(H2049,LUTs!$A$1:$C$73,3,FALSE),"NA")</f>
        <v>4 Hood Canal</v>
      </c>
      <c r="K2049" s="108" t="s">
        <v>24</v>
      </c>
      <c r="L2049" s="108" t="str">
        <f>VLOOKUP(K2049,LUTs!E$2:G$14,3,)</f>
        <v>11Clallam</v>
      </c>
      <c r="M2049" s="108" t="str">
        <f>VLOOKUP($K2049,LUTs!$E$2:$H$14,2,)</f>
        <v>Strait of Juan de Fuca</v>
      </c>
      <c r="N2049" s="108" t="str">
        <f>VLOOKUP($K2049,LUTs!$E$2:$H$14,4,)</f>
        <v>03Strait of Juan de Fuca</v>
      </c>
      <c r="O2049" s="108">
        <v>951.75925925926003</v>
      </c>
      <c r="P2049" s="108">
        <v>8232.7175925926003</v>
      </c>
      <c r="Q2049" s="108">
        <f>SUMIFS('FW_Salmon_by_Month_2010-2021'!P$2:P$3810,'FW_Salmon_by_Month_2010-2021'!$B$2:$B$3810,'Rec_raw_catch_effort_2010-2021'!$B2049,'FW_Salmon_by_Month_2010-2021'!$H$2:$H$3810,'Rec_raw_catch_effort_2010-2021'!$F2049,'FW_Salmon_by_Month_2010-2021'!$M$2:$M$3810,'Rec_raw_catch_effort_2010-2021'!$K2049)</f>
        <v>950.15837339456198</v>
      </c>
      <c r="R2049" s="109">
        <f>VLOOKUP(B2049,Readme!$A$62:$C$74,2,)*Q2049</f>
        <v>4579.3404481779899</v>
      </c>
      <c r="S2049" s="140" t="str">
        <f t="shared" si="165"/>
        <v>Y</v>
      </c>
      <c r="T2049" s="154">
        <f t="shared" si="166"/>
        <v>8.65</v>
      </c>
      <c r="U2049" s="154">
        <f t="shared" si="167"/>
        <v>4.8195549041132084</v>
      </c>
    </row>
    <row r="2050" spans="1:21" x14ac:dyDescent="0.35">
      <c r="A2050" s="108">
        <v>849</v>
      </c>
      <c r="B2050" s="108">
        <v>2016</v>
      </c>
      <c r="C2050" s="108" t="s">
        <v>38</v>
      </c>
      <c r="D2050" s="108" t="s">
        <v>143</v>
      </c>
      <c r="E2050" s="108" t="s">
        <v>10</v>
      </c>
      <c r="F2050" s="116">
        <v>812</v>
      </c>
      <c r="G2050" s="108" t="s">
        <v>55</v>
      </c>
      <c r="H2050" s="108" t="str">
        <f t="shared" si="168"/>
        <v>Quilcene River</v>
      </c>
      <c r="I2050" s="108" t="str">
        <f>IFERROR(VLOOKUP(H2050,LUTs!$A$1:$C$73,2,FALSE),"NA")</f>
        <v>Jefferson</v>
      </c>
      <c r="J2050" s="108" t="str">
        <f>IFERROR(VLOOKUP(H2050,LUTs!$A$1:$C$73,3,FALSE),"NA")</f>
        <v>4 Hood Canal</v>
      </c>
      <c r="K2050" s="108" t="s">
        <v>17</v>
      </c>
      <c r="L2050" s="108" t="str">
        <f>VLOOKUP(K2050,LUTs!E$2:G$14,3,)</f>
        <v>04Island</v>
      </c>
      <c r="M2050" s="108" t="str">
        <f>VLOOKUP($K2050,LUTs!$E$2:$H$14,2,)</f>
        <v>North Puget Sound</v>
      </c>
      <c r="N2050" s="108" t="str">
        <f>VLOOKUP($K2050,LUTs!$E$2:$H$14,4,)</f>
        <v>01North Puget Sound</v>
      </c>
      <c r="O2050" s="108">
        <v>10.0185185185185</v>
      </c>
      <c r="P2050" s="108">
        <v>86.660185185185</v>
      </c>
      <c r="Q2050" s="108">
        <f>SUMIFS('FW_Salmon_by_Month_2010-2021'!P$2:P$3810,'FW_Salmon_by_Month_2010-2021'!$B$2:$B$3810,'Rec_raw_catch_effort_2010-2021'!$B2050,'FW_Salmon_by_Month_2010-2021'!$H$2:$H$3810,'Rec_raw_catch_effort_2010-2021'!$F2050,'FW_Salmon_by_Month_2010-2021'!$M$2:$M$3810,'Rec_raw_catch_effort_2010-2021'!$K2050)</f>
        <v>10.1436464088398</v>
      </c>
      <c r="R2050" s="109">
        <f>VLOOKUP(B2050,Readme!$A$62:$C$74,2,)*Q2050</f>
        <v>48.887860795314189</v>
      </c>
      <c r="S2050" s="140" t="str">
        <f t="shared" si="165"/>
        <v>Y</v>
      </c>
      <c r="T2050" s="154">
        <f t="shared" si="166"/>
        <v>8.6499999999999986</v>
      </c>
      <c r="U2050" s="154">
        <f t="shared" si="167"/>
        <v>4.8195549041132084</v>
      </c>
    </row>
    <row r="2051" spans="1:21" x14ac:dyDescent="0.35">
      <c r="A2051" s="108">
        <v>924</v>
      </c>
      <c r="B2051" s="108">
        <v>2016</v>
      </c>
      <c r="C2051" s="108" t="s">
        <v>38</v>
      </c>
      <c r="D2051" s="108" t="s">
        <v>143</v>
      </c>
      <c r="E2051" s="108" t="s">
        <v>10</v>
      </c>
      <c r="F2051" s="116">
        <v>812</v>
      </c>
      <c r="G2051" s="108" t="s">
        <v>55</v>
      </c>
      <c r="H2051" s="108" t="str">
        <f t="shared" si="168"/>
        <v>Quilcene River</v>
      </c>
      <c r="I2051" s="108" t="str">
        <f>IFERROR(VLOOKUP(H2051,LUTs!$A$1:$C$73,2,FALSE),"NA")</f>
        <v>Jefferson</v>
      </c>
      <c r="J2051" s="108" t="str">
        <f>IFERROR(VLOOKUP(H2051,LUTs!$A$1:$C$73,3,FALSE),"NA")</f>
        <v>4 Hood Canal</v>
      </c>
      <c r="K2051" s="108" t="s">
        <v>25</v>
      </c>
      <c r="L2051" s="108" t="str">
        <f>VLOOKUP(K2051,LUTs!E$2:G$14,3,)</f>
        <v>12Jefferson</v>
      </c>
      <c r="M2051" s="108" t="str">
        <f>VLOOKUP($K2051,LUTs!$E$2:$H$14,2,)</f>
        <v>Strait of Juan de Fuca</v>
      </c>
      <c r="N2051" s="108" t="str">
        <f>VLOOKUP($K2051,LUTs!$E$2:$H$14,4,)</f>
        <v>03Strait of Juan de Fuca</v>
      </c>
      <c r="O2051" s="108">
        <v>260.48148148148198</v>
      </c>
      <c r="P2051" s="108">
        <v>2253.1648148148201</v>
      </c>
      <c r="Q2051" s="108">
        <f>SUMIFS('FW_Salmon_by_Month_2010-2021'!P$2:P$3810,'FW_Salmon_by_Month_2010-2021'!$B$2:$B$3810,'Rec_raw_catch_effort_2010-2021'!$B2051,'FW_Salmon_by_Month_2010-2021'!$H$2:$H$3810,'Rec_raw_catch_effort_2010-2021'!$F2051,'FW_Salmon_by_Month_2010-2021'!$M$2:$M$3810,'Rec_raw_catch_effort_2010-2021'!$K2051)</f>
        <v>262.01745354093418</v>
      </c>
      <c r="R2051" s="109">
        <f>VLOOKUP(B2051,Readme!$A$62:$C$74,2,)*Q2051</f>
        <v>1262.807503176464</v>
      </c>
      <c r="S2051" s="140" t="str">
        <f t="shared" ref="S2051:S2114" si="169">IF(B2051&lt;=2019,"Y","N")</f>
        <v>Y</v>
      </c>
      <c r="T2051" s="154">
        <f t="shared" ref="T2051:T2114" si="170">IFERROR(P2051/O2051,"NA")</f>
        <v>8.6500000000000039</v>
      </c>
      <c r="U2051" s="154">
        <f t="shared" ref="U2051:U2114" si="171">IFERROR(R2051/Q2051,"NA")</f>
        <v>4.8195549041132084</v>
      </c>
    </row>
    <row r="2052" spans="1:21" x14ac:dyDescent="0.35">
      <c r="A2052" s="108">
        <v>850</v>
      </c>
      <c r="B2052" s="108">
        <v>2016</v>
      </c>
      <c r="C2052" s="108" t="s">
        <v>38</v>
      </c>
      <c r="D2052" s="108" t="s">
        <v>143</v>
      </c>
      <c r="E2052" s="108" t="s">
        <v>10</v>
      </c>
      <c r="F2052" s="116">
        <v>812</v>
      </c>
      <c r="G2052" s="108" t="s">
        <v>55</v>
      </c>
      <c r="H2052" s="108" t="str">
        <f t="shared" si="168"/>
        <v>Quilcene River</v>
      </c>
      <c r="I2052" s="108" t="str">
        <f>IFERROR(VLOOKUP(H2052,LUTs!$A$1:$C$73,2,FALSE),"NA")</f>
        <v>Jefferson</v>
      </c>
      <c r="J2052" s="108" t="str">
        <f>IFERROR(VLOOKUP(H2052,LUTs!$A$1:$C$73,3,FALSE),"NA")</f>
        <v>4 Hood Canal</v>
      </c>
      <c r="K2052" s="108" t="s">
        <v>18</v>
      </c>
      <c r="L2052" s="108" t="str">
        <f>VLOOKUP(K2052,LUTs!E$2:G$14,3,)</f>
        <v>06King</v>
      </c>
      <c r="M2052" s="108" t="str">
        <f>VLOOKUP($K2052,LUTs!$E$2:$H$14,2,)</f>
        <v>South Puget Sound</v>
      </c>
      <c r="N2052" s="108" t="str">
        <f>VLOOKUP($K2052,LUTs!$E$2:$H$14,4,)</f>
        <v>02South Puget Sound</v>
      </c>
      <c r="O2052" s="108">
        <v>50.092592592592602</v>
      </c>
      <c r="P2052" s="108">
        <v>433.30092592592598</v>
      </c>
      <c r="Q2052" s="108">
        <f>SUMIFS('FW_Salmon_by_Month_2010-2021'!P$2:P$3810,'FW_Salmon_by_Month_2010-2021'!$B$2:$B$3810,'Rec_raw_catch_effort_2010-2021'!$B2052,'FW_Salmon_by_Month_2010-2021'!$H$2:$H$3810,'Rec_raw_catch_effort_2010-2021'!$F2052,'FW_Salmon_by_Month_2010-2021'!$M$2:$M$3810,'Rec_raw_catch_effort_2010-2021'!$K2052)</f>
        <v>50.718232044198899</v>
      </c>
      <c r="R2052" s="109">
        <f>VLOOKUP(B2052,Readme!$A$62:$C$74,2,)*Q2052</f>
        <v>244.43930397657047</v>
      </c>
      <c r="S2052" s="140" t="str">
        <f t="shared" si="169"/>
        <v>Y</v>
      </c>
      <c r="T2052" s="154">
        <f t="shared" si="170"/>
        <v>8.6499999999999986</v>
      </c>
      <c r="U2052" s="154">
        <f t="shared" si="171"/>
        <v>4.8195549041132084</v>
      </c>
    </row>
    <row r="2053" spans="1:21" x14ac:dyDescent="0.35">
      <c r="A2053" s="108">
        <v>922</v>
      </c>
      <c r="B2053" s="108">
        <v>2016</v>
      </c>
      <c r="C2053" s="108" t="s">
        <v>38</v>
      </c>
      <c r="D2053" s="108" t="s">
        <v>143</v>
      </c>
      <c r="E2053" s="108" t="s">
        <v>10</v>
      </c>
      <c r="F2053" s="116">
        <v>812</v>
      </c>
      <c r="G2053" s="108" t="s">
        <v>55</v>
      </c>
      <c r="H2053" s="108" t="str">
        <f t="shared" si="168"/>
        <v>Quilcene River</v>
      </c>
      <c r="I2053" s="108" t="str">
        <f>IFERROR(VLOOKUP(H2053,LUTs!$A$1:$C$73,2,FALSE),"NA")</f>
        <v>Jefferson</v>
      </c>
      <c r="J2053" s="108" t="str">
        <f>IFERROR(VLOOKUP(H2053,LUTs!$A$1:$C$73,3,FALSE),"NA")</f>
        <v>4 Hood Canal</v>
      </c>
      <c r="K2053" s="108" t="s">
        <v>23</v>
      </c>
      <c r="L2053" s="108" t="str">
        <f>VLOOKUP(K2053,LUTs!E$2:G$14,3,)</f>
        <v>10Kitsap</v>
      </c>
      <c r="M2053" s="108" t="str">
        <f>VLOOKUP($K2053,LUTs!$E$2:$H$14,2,)</f>
        <v>South Puget Sound</v>
      </c>
      <c r="N2053" s="108" t="str">
        <f>VLOOKUP($K2053,LUTs!$E$2:$H$14,4,)</f>
        <v>02South Puget Sound</v>
      </c>
      <c r="O2053" s="108">
        <v>941.74074074074099</v>
      </c>
      <c r="P2053" s="108">
        <v>8146.0574074074102</v>
      </c>
      <c r="Q2053" s="108">
        <f>SUMIFS('FW_Salmon_by_Month_2010-2021'!P$2:P$3810,'FW_Salmon_by_Month_2010-2021'!$B$2:$B$3810,'Rec_raw_catch_effort_2010-2021'!$B2053,'FW_Salmon_by_Month_2010-2021'!$H$2:$H$3810,'Rec_raw_catch_effort_2010-2021'!$F2053,'FW_Salmon_by_Month_2010-2021'!$M$2:$M$3810,'Rec_raw_catch_effort_2010-2021'!$K2053)</f>
        <v>935.02963335007507</v>
      </c>
      <c r="R2053" s="109">
        <f>VLOOKUP(B2053,Readme!$A$62:$C$74,2,)*Q2053</f>
        <v>4506.4266549035292</v>
      </c>
      <c r="S2053" s="140" t="str">
        <f t="shared" si="169"/>
        <v>Y</v>
      </c>
      <c r="T2053" s="154">
        <f t="shared" si="170"/>
        <v>8.65</v>
      </c>
      <c r="U2053" s="154">
        <f t="shared" si="171"/>
        <v>4.8195549041132084</v>
      </c>
    </row>
    <row r="2054" spans="1:21" x14ac:dyDescent="0.35">
      <c r="A2054" s="108">
        <v>921</v>
      </c>
      <c r="B2054" s="108">
        <v>2016</v>
      </c>
      <c r="C2054" s="108" t="s">
        <v>38</v>
      </c>
      <c r="D2054" s="108" t="s">
        <v>143</v>
      </c>
      <c r="E2054" s="108" t="s">
        <v>10</v>
      </c>
      <c r="F2054" s="116">
        <v>812</v>
      </c>
      <c r="G2054" s="108" t="s">
        <v>55</v>
      </c>
      <c r="H2054" s="108" t="str">
        <f t="shared" si="168"/>
        <v>Quilcene River</v>
      </c>
      <c r="I2054" s="108" t="str">
        <f>IFERROR(VLOOKUP(H2054,LUTs!$A$1:$C$73,2,FALSE),"NA")</f>
        <v>Jefferson</v>
      </c>
      <c r="J2054" s="108" t="str">
        <f>IFERROR(VLOOKUP(H2054,LUTs!$A$1:$C$73,3,FALSE),"NA")</f>
        <v>4 Hood Canal</v>
      </c>
      <c r="K2054" s="108" t="s">
        <v>22</v>
      </c>
      <c r="L2054" s="108" t="str">
        <f>VLOOKUP(K2054,LUTs!E$2:G$14,3,)</f>
        <v>09Mason</v>
      </c>
      <c r="M2054" s="108" t="str">
        <f>VLOOKUP($K2054,LUTs!$E$2:$H$14,2,)</f>
        <v>South Puget Sound</v>
      </c>
      <c r="N2054" s="108" t="str">
        <f>VLOOKUP($K2054,LUTs!$E$2:$H$14,4,)</f>
        <v>02South Puget Sound</v>
      </c>
      <c r="O2054" s="108">
        <v>190.35185185185199</v>
      </c>
      <c r="P2054" s="108">
        <v>1646.5435185185199</v>
      </c>
      <c r="Q2054" s="108">
        <f>SUMIFS('FW_Salmon_by_Month_2010-2021'!P$2:P$3810,'FW_Salmon_by_Month_2010-2021'!$B$2:$B$3810,'Rec_raw_catch_effort_2010-2021'!$B2054,'FW_Salmon_by_Month_2010-2021'!$H$2:$H$3810,'Rec_raw_catch_effort_2010-2021'!$F2054,'FW_Salmon_by_Month_2010-2021'!$M$2:$M$3810,'Rec_raw_catch_effort_2010-2021'!$K2054)</f>
        <v>191.00868192580941</v>
      </c>
      <c r="R2054" s="109">
        <f>VLOOKUP(B2054,Readme!$A$62:$C$74,2,)*Q2054</f>
        <v>920.57682970373469</v>
      </c>
      <c r="S2054" s="140" t="str">
        <f t="shared" si="169"/>
        <v>Y</v>
      </c>
      <c r="T2054" s="154">
        <f t="shared" si="170"/>
        <v>8.65</v>
      </c>
      <c r="U2054" s="154">
        <f t="shared" si="171"/>
        <v>4.8195549041132084</v>
      </c>
    </row>
    <row r="2055" spans="1:21" x14ac:dyDescent="0.35">
      <c r="A2055" s="108">
        <v>925</v>
      </c>
      <c r="B2055" s="108">
        <v>2016</v>
      </c>
      <c r="C2055" s="108" t="s">
        <v>38</v>
      </c>
      <c r="D2055" s="108" t="s">
        <v>143</v>
      </c>
      <c r="E2055" s="108" t="s">
        <v>10</v>
      </c>
      <c r="F2055" s="116">
        <v>812</v>
      </c>
      <c r="G2055" s="108" t="s">
        <v>55</v>
      </c>
      <c r="H2055" s="108" t="str">
        <f t="shared" si="168"/>
        <v>Quilcene River</v>
      </c>
      <c r="I2055" s="108" t="str">
        <f>IFERROR(VLOOKUP(H2055,LUTs!$A$1:$C$73,2,FALSE),"NA")</f>
        <v>Jefferson</v>
      </c>
      <c r="J2055" s="108" t="str">
        <f>IFERROR(VLOOKUP(H2055,LUTs!$A$1:$C$73,3,FALSE),"NA")</f>
        <v>4 Hood Canal</v>
      </c>
      <c r="K2055" s="108" t="s">
        <v>26</v>
      </c>
      <c r="L2055" s="108" t="str">
        <f>VLOOKUP(K2055,LUTs!E$2:G$14,3,)</f>
        <v>20Other</v>
      </c>
      <c r="M2055" s="108" t="str">
        <f>VLOOKUP($K2055,LUTs!$E$2:$H$14,2,)</f>
        <v>Non Puget Sound</v>
      </c>
      <c r="N2055" s="108" t="str">
        <f>VLOOKUP($K2055,LUTs!$E$2:$H$14,4,)</f>
        <v>07Non Puget Sound</v>
      </c>
      <c r="O2055" s="108">
        <v>220.40740740740699</v>
      </c>
      <c r="P2055" s="108">
        <v>1906.5240740740701</v>
      </c>
      <c r="Q2055" s="108">
        <f>SUMIFS('FW_Salmon_by_Month_2010-2021'!P$2:P$3810,'FW_Salmon_by_Month_2010-2021'!$B$2:$B$3810,'Rec_raw_catch_effort_2010-2021'!$B2055,'FW_Salmon_by_Month_2010-2021'!$H$2:$H$3810,'Rec_raw_catch_effort_2010-2021'!$F2055,'FW_Salmon_by_Month_2010-2021'!$M$2:$M$3810,'Rec_raw_catch_effort_2010-2021'!$K2055)</f>
        <v>222.10107985936691</v>
      </c>
      <c r="R2055" s="109">
        <f>VLOOKUP(B2055,Readme!$A$62:$C$74,2,)*Q2055</f>
        <v>1070.4283486450511</v>
      </c>
      <c r="S2055" s="140" t="str">
        <f t="shared" si="169"/>
        <v>Y</v>
      </c>
      <c r="T2055" s="154">
        <f t="shared" si="170"/>
        <v>8.6499999999999986</v>
      </c>
      <c r="U2055" s="154">
        <f t="shared" si="171"/>
        <v>4.8195549041132084</v>
      </c>
    </row>
    <row r="2056" spans="1:21" x14ac:dyDescent="0.35">
      <c r="A2056" s="108">
        <v>919</v>
      </c>
      <c r="B2056" s="108">
        <v>2016</v>
      </c>
      <c r="C2056" s="108" t="s">
        <v>38</v>
      </c>
      <c r="D2056" s="108" t="s">
        <v>143</v>
      </c>
      <c r="E2056" s="108" t="s">
        <v>10</v>
      </c>
      <c r="F2056" s="116">
        <v>812</v>
      </c>
      <c r="G2056" s="108" t="s">
        <v>55</v>
      </c>
      <c r="H2056" s="108" t="str">
        <f t="shared" si="168"/>
        <v>Quilcene River</v>
      </c>
      <c r="I2056" s="108" t="str">
        <f>IFERROR(VLOOKUP(H2056,LUTs!$A$1:$C$73,2,FALSE),"NA")</f>
        <v>Jefferson</v>
      </c>
      <c r="J2056" s="108" t="str">
        <f>IFERROR(VLOOKUP(H2056,LUTs!$A$1:$C$73,3,FALSE),"NA")</f>
        <v>4 Hood Canal</v>
      </c>
      <c r="K2056" s="108" t="s">
        <v>20</v>
      </c>
      <c r="L2056" s="108" t="str">
        <f>VLOOKUP(K2056,LUTs!E$2:G$14,3,)</f>
        <v>07Pierce</v>
      </c>
      <c r="M2056" s="108" t="str">
        <f>VLOOKUP($K2056,LUTs!$E$2:$H$14,2,)</f>
        <v>South Puget Sound</v>
      </c>
      <c r="N2056" s="108" t="str">
        <f>VLOOKUP($K2056,LUTs!$E$2:$H$14,4,)</f>
        <v>02South Puget Sound</v>
      </c>
      <c r="O2056" s="108">
        <v>400.74074074074099</v>
      </c>
      <c r="P2056" s="108">
        <v>3466.4074074074101</v>
      </c>
      <c r="Q2056" s="108">
        <f>SUMIFS('FW_Salmon_by_Month_2010-2021'!P$2:P$3810,'FW_Salmon_by_Month_2010-2021'!$B$2:$B$3810,'Rec_raw_catch_effort_2010-2021'!$B2056,'FW_Salmon_by_Month_2010-2021'!$H$2:$H$3810,'Rec_raw_catch_effort_2010-2021'!$F2056,'FW_Salmon_by_Month_2010-2021'!$M$2:$M$3810,'Rec_raw_catch_effort_2010-2021'!$K2056)</f>
        <v>402.94988161010303</v>
      </c>
      <c r="R2056" s="109">
        <f>VLOOKUP(B2056,Readme!$A$62:$C$74,2,)*Q2056</f>
        <v>1942.0390780258087</v>
      </c>
      <c r="S2056" s="140" t="str">
        <f t="shared" si="169"/>
        <v>Y</v>
      </c>
      <c r="T2056" s="154">
        <f t="shared" si="170"/>
        <v>8.6500000000000021</v>
      </c>
      <c r="U2056" s="154">
        <f t="shared" si="171"/>
        <v>4.8195549041132084</v>
      </c>
    </row>
    <row r="2057" spans="1:21" x14ac:dyDescent="0.35">
      <c r="A2057" s="108">
        <v>848</v>
      </c>
      <c r="B2057" s="108">
        <v>2016</v>
      </c>
      <c r="C2057" s="108" t="s">
        <v>38</v>
      </c>
      <c r="D2057" s="108" t="s">
        <v>143</v>
      </c>
      <c r="E2057" s="108" t="s">
        <v>10</v>
      </c>
      <c r="F2057" s="116">
        <v>812</v>
      </c>
      <c r="G2057" s="108" t="s">
        <v>55</v>
      </c>
      <c r="H2057" s="108" t="str">
        <f t="shared" si="168"/>
        <v>Quilcene River</v>
      </c>
      <c r="I2057" s="108" t="str">
        <f>IFERROR(VLOOKUP(H2057,LUTs!$A$1:$C$73,2,FALSE),"NA")</f>
        <v>Jefferson</v>
      </c>
      <c r="J2057" s="108" t="str">
        <f>IFERROR(VLOOKUP(H2057,LUTs!$A$1:$C$73,3,FALSE),"NA")</f>
        <v>4 Hood Canal</v>
      </c>
      <c r="K2057" s="108" t="s">
        <v>16</v>
      </c>
      <c r="L2057" s="108" t="str">
        <f>VLOOKUP(K2057,LUTs!E$2:G$14,3,)</f>
        <v>03Snohomish</v>
      </c>
      <c r="M2057" s="108" t="str">
        <f>VLOOKUP($K2057,LUTs!$E$2:$H$14,2,)</f>
        <v>North Puget Sound</v>
      </c>
      <c r="N2057" s="108" t="str">
        <f>VLOOKUP($K2057,LUTs!$E$2:$H$14,4,)</f>
        <v>01North Puget Sound</v>
      </c>
      <c r="O2057" s="108">
        <v>40.074074074074097</v>
      </c>
      <c r="P2057" s="108">
        <v>346.64074074074102</v>
      </c>
      <c r="Q2057" s="108">
        <f>SUMIFS('FW_Salmon_by_Month_2010-2021'!P$2:P$3810,'FW_Salmon_by_Month_2010-2021'!$B$2:$B$3810,'Rec_raw_catch_effort_2010-2021'!$B2057,'FW_Salmon_by_Month_2010-2021'!$H$2:$H$3810,'Rec_raw_catch_effort_2010-2021'!$F2057,'FW_Salmon_by_Month_2010-2021'!$M$2:$M$3810,'Rec_raw_catch_effort_2010-2021'!$K2057)</f>
        <v>39.714285714285701</v>
      </c>
      <c r="R2057" s="109">
        <f>VLOOKUP(B2057,Readme!$A$62:$C$74,2,)*Q2057</f>
        <v>191.40518047763879</v>
      </c>
      <c r="S2057" s="140" t="str">
        <f t="shared" si="169"/>
        <v>Y</v>
      </c>
      <c r="T2057" s="154">
        <f t="shared" si="170"/>
        <v>8.6500000000000021</v>
      </c>
      <c r="U2057" s="154">
        <f t="shared" si="171"/>
        <v>4.8195549041132084</v>
      </c>
    </row>
    <row r="2058" spans="1:21" x14ac:dyDescent="0.35">
      <c r="A2058" s="108">
        <v>920</v>
      </c>
      <c r="B2058" s="108">
        <v>2016</v>
      </c>
      <c r="C2058" s="108" t="s">
        <v>38</v>
      </c>
      <c r="D2058" s="108" t="s">
        <v>143</v>
      </c>
      <c r="E2058" s="108" t="s">
        <v>10</v>
      </c>
      <c r="F2058" s="116">
        <v>812</v>
      </c>
      <c r="G2058" s="108" t="s">
        <v>55</v>
      </c>
      <c r="H2058" s="108" t="str">
        <f t="shared" si="168"/>
        <v>Quilcene River</v>
      </c>
      <c r="I2058" s="108" t="str">
        <f>IFERROR(VLOOKUP(H2058,LUTs!$A$1:$C$73,2,FALSE),"NA")</f>
        <v>Jefferson</v>
      </c>
      <c r="J2058" s="108" t="str">
        <f>IFERROR(VLOOKUP(H2058,LUTs!$A$1:$C$73,3,FALSE),"NA")</f>
        <v>4 Hood Canal</v>
      </c>
      <c r="K2058" s="108" t="s">
        <v>21</v>
      </c>
      <c r="L2058" s="108" t="str">
        <f>VLOOKUP(K2058,LUTs!E$2:G$14,3,)</f>
        <v>08Thurston</v>
      </c>
      <c r="M2058" s="108" t="str">
        <f>VLOOKUP($K2058,LUTs!$E$2:$H$14,2,)</f>
        <v>South Puget Sound</v>
      </c>
      <c r="N2058" s="108" t="str">
        <f>VLOOKUP($K2058,LUTs!$E$2:$H$14,4,)</f>
        <v>02South Puget Sound</v>
      </c>
      <c r="O2058" s="108">
        <v>180.333333333333</v>
      </c>
      <c r="P2058" s="108">
        <v>1559.88333333333</v>
      </c>
      <c r="Q2058" s="108">
        <f>SUMIFS('FW_Salmon_by_Month_2010-2021'!P$2:P$3810,'FW_Salmon_by_Month_2010-2021'!$B$2:$B$3810,'Rec_raw_catch_effort_2010-2021'!$B2058,'FW_Salmon_by_Month_2010-2021'!$H$2:$H$3810,'Rec_raw_catch_effort_2010-2021'!$F2058,'FW_Salmon_by_Month_2010-2021'!$M$2:$M$3810,'Rec_raw_catch_effort_2010-2021'!$K2058)</f>
        <v>182.15873215182563</v>
      </c>
      <c r="R2058" s="109">
        <f>VLOOKUP(B2058,Readme!$A$62:$C$74,2,)*Q2058</f>
        <v>877.92401086937559</v>
      </c>
      <c r="S2058" s="140" t="str">
        <f t="shared" si="169"/>
        <v>Y</v>
      </c>
      <c r="T2058" s="154">
        <f t="shared" si="170"/>
        <v>8.6499999999999968</v>
      </c>
      <c r="U2058" s="154">
        <f t="shared" si="171"/>
        <v>4.8195549041132084</v>
      </c>
    </row>
    <row r="2059" spans="1:21" x14ac:dyDescent="0.35">
      <c r="A2059" s="108">
        <v>932</v>
      </c>
      <c r="B2059" s="108">
        <v>2017</v>
      </c>
      <c r="C2059" s="108" t="s">
        <v>38</v>
      </c>
      <c r="D2059" s="108" t="s">
        <v>143</v>
      </c>
      <c r="E2059" s="108" t="s">
        <v>10</v>
      </c>
      <c r="F2059" s="116">
        <v>812</v>
      </c>
      <c r="G2059" s="108" t="s">
        <v>55</v>
      </c>
      <c r="H2059" s="108" t="str">
        <f t="shared" si="168"/>
        <v>Quilcene River</v>
      </c>
      <c r="I2059" s="108" t="str">
        <f>IFERROR(VLOOKUP(H2059,LUTs!$A$1:$C$73,2,FALSE),"NA")</f>
        <v>Jefferson</v>
      </c>
      <c r="J2059" s="108" t="str">
        <f>IFERROR(VLOOKUP(H2059,LUTs!$A$1:$C$73,3,FALSE),"NA")</f>
        <v>4 Hood Canal</v>
      </c>
      <c r="K2059" s="108" t="s">
        <v>24</v>
      </c>
      <c r="L2059" s="108" t="str">
        <f>VLOOKUP(K2059,LUTs!E$2:G$14,3,)</f>
        <v>11Clallam</v>
      </c>
      <c r="M2059" s="108" t="str">
        <f>VLOOKUP($K2059,LUTs!$E$2:$H$14,2,)</f>
        <v>Strait of Juan de Fuca</v>
      </c>
      <c r="N2059" s="108" t="str">
        <f>VLOOKUP($K2059,LUTs!$E$2:$H$14,4,)</f>
        <v>03Strait of Juan de Fuca</v>
      </c>
      <c r="O2059" s="108">
        <v>50.882352941176499</v>
      </c>
      <c r="P2059" s="108">
        <v>175.035294117647</v>
      </c>
      <c r="Q2059" s="108">
        <f>SUMIFS('FW_Salmon_by_Month_2010-2021'!P$2:P$3810,'FW_Salmon_by_Month_2010-2021'!$B$2:$B$3810,'Rec_raw_catch_effort_2010-2021'!$B2059,'FW_Salmon_by_Month_2010-2021'!$H$2:$H$3810,'Rec_raw_catch_effort_2010-2021'!$F2059,'FW_Salmon_by_Month_2010-2021'!$M$2:$M$3810,'Rec_raw_catch_effort_2010-2021'!$K2059)</f>
        <v>51.126712328767098</v>
      </c>
      <c r="R2059" s="109">
        <f>VLOOKUP(B2059,Readme!$A$62:$C$74,2,)*Q2059</f>
        <v>180.93950248462895</v>
      </c>
      <c r="S2059" s="140" t="str">
        <f t="shared" si="169"/>
        <v>Y</v>
      </c>
      <c r="T2059" s="154">
        <f t="shared" si="170"/>
        <v>3.4399999999999968</v>
      </c>
      <c r="U2059" s="154">
        <f t="shared" si="171"/>
        <v>3.5390404397824153</v>
      </c>
    </row>
    <row r="2060" spans="1:21" x14ac:dyDescent="0.35">
      <c r="A2060" s="108">
        <v>933</v>
      </c>
      <c r="B2060" s="108">
        <v>2017</v>
      </c>
      <c r="C2060" s="108" t="s">
        <v>38</v>
      </c>
      <c r="D2060" s="108" t="s">
        <v>143</v>
      </c>
      <c r="E2060" s="108" t="s">
        <v>10</v>
      </c>
      <c r="F2060" s="116">
        <v>812</v>
      </c>
      <c r="G2060" s="108" t="s">
        <v>55</v>
      </c>
      <c r="H2060" s="108" t="str">
        <f t="shared" si="168"/>
        <v>Quilcene River</v>
      </c>
      <c r="I2060" s="108" t="str">
        <f>IFERROR(VLOOKUP(H2060,LUTs!$A$1:$C$73,2,FALSE),"NA")</f>
        <v>Jefferson</v>
      </c>
      <c r="J2060" s="108" t="str">
        <f>IFERROR(VLOOKUP(H2060,LUTs!$A$1:$C$73,3,FALSE),"NA")</f>
        <v>4 Hood Canal</v>
      </c>
      <c r="K2060" s="108" t="s">
        <v>25</v>
      </c>
      <c r="L2060" s="108" t="str">
        <f>VLOOKUP(K2060,LUTs!E$2:G$14,3,)</f>
        <v>12Jefferson</v>
      </c>
      <c r="M2060" s="108" t="str">
        <f>VLOOKUP($K2060,LUTs!$E$2:$H$14,2,)</f>
        <v>Strait of Juan de Fuca</v>
      </c>
      <c r="N2060" s="108" t="str">
        <f>VLOOKUP($K2060,LUTs!$E$2:$H$14,4,)</f>
        <v>03Strait of Juan de Fuca</v>
      </c>
      <c r="O2060" s="108">
        <v>40.705882352941202</v>
      </c>
      <c r="P2060" s="108">
        <v>140.02823529411799</v>
      </c>
      <c r="Q2060" s="108">
        <f>SUMIFS('FW_Salmon_by_Month_2010-2021'!P$2:P$3810,'FW_Salmon_by_Month_2010-2021'!$B$2:$B$3810,'Rec_raw_catch_effort_2010-2021'!$B2060,'FW_Salmon_by_Month_2010-2021'!$H$2:$H$3810,'Rec_raw_catch_effort_2010-2021'!$F2060,'FW_Salmon_by_Month_2010-2021'!$M$2:$M$3810,'Rec_raw_catch_effort_2010-2021'!$K2060)</f>
        <v>30.665221247659399</v>
      </c>
      <c r="R2060" s="109">
        <f>VLOOKUP(B2060,Readme!$A$62:$C$74,2,)*Q2060</f>
        <v>108.52545809034159</v>
      </c>
      <c r="S2060" s="140" t="str">
        <f t="shared" si="169"/>
        <v>Y</v>
      </c>
      <c r="T2060" s="154">
        <f t="shared" si="170"/>
        <v>3.4400000000000062</v>
      </c>
      <c r="U2060" s="154">
        <f t="shared" si="171"/>
        <v>3.5390404397824153</v>
      </c>
    </row>
    <row r="2061" spans="1:21" x14ac:dyDescent="0.35">
      <c r="A2061" s="108">
        <v>927</v>
      </c>
      <c r="B2061" s="108">
        <v>2017</v>
      </c>
      <c r="C2061" s="108" t="s">
        <v>38</v>
      </c>
      <c r="D2061" s="108" t="s">
        <v>143</v>
      </c>
      <c r="E2061" s="108" t="s">
        <v>10</v>
      </c>
      <c r="F2061" s="116">
        <v>812</v>
      </c>
      <c r="G2061" s="108" t="s">
        <v>55</v>
      </c>
      <c r="H2061" s="108" t="str">
        <f t="shared" si="168"/>
        <v>Quilcene River</v>
      </c>
      <c r="I2061" s="108" t="str">
        <f>IFERROR(VLOOKUP(H2061,LUTs!$A$1:$C$73,2,FALSE),"NA")</f>
        <v>Jefferson</v>
      </c>
      <c r="J2061" s="108" t="str">
        <f>IFERROR(VLOOKUP(H2061,LUTs!$A$1:$C$73,3,FALSE),"NA")</f>
        <v>4 Hood Canal</v>
      </c>
      <c r="K2061" s="108" t="s">
        <v>18</v>
      </c>
      <c r="L2061" s="108" t="str">
        <f>VLOOKUP(K2061,LUTs!E$2:G$14,3,)</f>
        <v>06King</v>
      </c>
      <c r="M2061" s="108" t="str">
        <f>VLOOKUP($K2061,LUTs!$E$2:$H$14,2,)</f>
        <v>South Puget Sound</v>
      </c>
      <c r="N2061" s="108" t="str">
        <f>VLOOKUP($K2061,LUTs!$E$2:$H$14,4,)</f>
        <v>02South Puget Sound</v>
      </c>
      <c r="O2061" s="108">
        <v>468.11764705882399</v>
      </c>
      <c r="P2061" s="108">
        <v>1610.3247058823499</v>
      </c>
      <c r="Q2061" s="108">
        <f>SUMIFS('FW_Salmon_by_Month_2010-2021'!P$2:P$3810,'FW_Salmon_by_Month_2010-2021'!$B$2:$B$3810,'Rec_raw_catch_effort_2010-2021'!$B2061,'FW_Salmon_by_Month_2010-2021'!$H$2:$H$3810,'Rec_raw_catch_effort_2010-2021'!$F2061,'FW_Salmon_by_Month_2010-2021'!$M$2:$M$3810,'Rec_raw_catch_effort_2010-2021'!$K2061)</f>
        <v>470.20134029762494</v>
      </c>
      <c r="R2061" s="109">
        <f>VLOOKUP(B2061,Readme!$A$62:$C$74,2,)*Q2061</f>
        <v>1664.0615581531877</v>
      </c>
      <c r="S2061" s="140" t="str">
        <f t="shared" si="169"/>
        <v>Y</v>
      </c>
      <c r="T2061" s="154">
        <f t="shared" si="170"/>
        <v>3.4399999999999902</v>
      </c>
      <c r="U2061" s="154">
        <f t="shared" si="171"/>
        <v>3.5390404397824153</v>
      </c>
    </row>
    <row r="2062" spans="1:21" x14ac:dyDescent="0.35">
      <c r="A2062" s="108">
        <v>931</v>
      </c>
      <c r="B2062" s="108">
        <v>2017</v>
      </c>
      <c r="C2062" s="108" t="s">
        <v>38</v>
      </c>
      <c r="D2062" s="108" t="s">
        <v>143</v>
      </c>
      <c r="E2062" s="108" t="s">
        <v>10</v>
      </c>
      <c r="F2062" s="116">
        <v>812</v>
      </c>
      <c r="G2062" s="108" t="s">
        <v>55</v>
      </c>
      <c r="H2062" s="108" t="str">
        <f t="shared" si="168"/>
        <v>Quilcene River</v>
      </c>
      <c r="I2062" s="108" t="str">
        <f>IFERROR(VLOOKUP(H2062,LUTs!$A$1:$C$73,2,FALSE),"NA")</f>
        <v>Jefferson</v>
      </c>
      <c r="J2062" s="108" t="str">
        <f>IFERROR(VLOOKUP(H2062,LUTs!$A$1:$C$73,3,FALSE),"NA")</f>
        <v>4 Hood Canal</v>
      </c>
      <c r="K2062" s="108" t="s">
        <v>23</v>
      </c>
      <c r="L2062" s="108" t="str">
        <f>VLOOKUP(K2062,LUTs!E$2:G$14,3,)</f>
        <v>10Kitsap</v>
      </c>
      <c r="M2062" s="108" t="str">
        <f>VLOOKUP($K2062,LUTs!$E$2:$H$14,2,)</f>
        <v>South Puget Sound</v>
      </c>
      <c r="N2062" s="108" t="str">
        <f>VLOOKUP($K2062,LUTs!$E$2:$H$14,4,)</f>
        <v>02South Puget Sound</v>
      </c>
      <c r="O2062" s="108">
        <v>661.47058823529403</v>
      </c>
      <c r="P2062" s="108">
        <v>2275.45882352941</v>
      </c>
      <c r="Q2062" s="108">
        <f>SUMIFS('FW_Salmon_by_Month_2010-2021'!P$2:P$3810,'FW_Salmon_by_Month_2010-2021'!$B$2:$B$3810,'Rec_raw_catch_effort_2010-2021'!$B2062,'FW_Salmon_by_Month_2010-2021'!$H$2:$H$3810,'Rec_raw_catch_effort_2010-2021'!$F2062,'FW_Salmon_by_Month_2010-2021'!$M$2:$M$3810,'Rec_raw_catch_effort_2010-2021'!$K2062)</f>
        <v>664.565955454814</v>
      </c>
      <c r="R2062" s="109">
        <f>VLOOKUP(B2062,Readme!$A$62:$C$74,2,)*Q2062</f>
        <v>2351.9257912572261</v>
      </c>
      <c r="S2062" s="140" t="str">
        <f t="shared" si="169"/>
        <v>Y</v>
      </c>
      <c r="T2062" s="154">
        <f t="shared" si="170"/>
        <v>3.4399999999999977</v>
      </c>
      <c r="U2062" s="154">
        <f t="shared" si="171"/>
        <v>3.5390404397824158</v>
      </c>
    </row>
    <row r="2063" spans="1:21" x14ac:dyDescent="0.35">
      <c r="A2063" s="108">
        <v>930</v>
      </c>
      <c r="B2063" s="108">
        <v>2017</v>
      </c>
      <c r="C2063" s="108" t="s">
        <v>38</v>
      </c>
      <c r="D2063" s="108" t="s">
        <v>143</v>
      </c>
      <c r="E2063" s="108" t="s">
        <v>10</v>
      </c>
      <c r="F2063" s="116">
        <v>812</v>
      </c>
      <c r="G2063" s="108" t="s">
        <v>55</v>
      </c>
      <c r="H2063" s="108" t="str">
        <f t="shared" si="168"/>
        <v>Quilcene River</v>
      </c>
      <c r="I2063" s="108" t="str">
        <f>IFERROR(VLOOKUP(H2063,LUTs!$A$1:$C$73,2,FALSE),"NA")</f>
        <v>Jefferson</v>
      </c>
      <c r="J2063" s="108" t="str">
        <f>IFERROR(VLOOKUP(H2063,LUTs!$A$1:$C$73,3,FALSE),"NA")</f>
        <v>4 Hood Canal</v>
      </c>
      <c r="K2063" s="108" t="s">
        <v>22</v>
      </c>
      <c r="L2063" s="108" t="str">
        <f>VLOOKUP(K2063,LUTs!E$2:G$14,3,)</f>
        <v>09Mason</v>
      </c>
      <c r="M2063" s="108" t="str">
        <f>VLOOKUP($K2063,LUTs!$E$2:$H$14,2,)</f>
        <v>South Puget Sound</v>
      </c>
      <c r="N2063" s="108" t="str">
        <f>VLOOKUP($K2063,LUTs!$E$2:$H$14,4,)</f>
        <v>02South Puget Sound</v>
      </c>
      <c r="O2063" s="108">
        <v>213.70588235294099</v>
      </c>
      <c r="P2063" s="108">
        <v>735.14823529411694</v>
      </c>
      <c r="Q2063" s="108">
        <f>SUMIFS('FW_Salmon_by_Month_2010-2021'!P$2:P$3810,'FW_Salmon_by_Month_2010-2021'!$B$2:$B$3810,'Rec_raw_catch_effort_2010-2021'!$B2063,'FW_Salmon_by_Month_2010-2021'!$H$2:$H$3810,'Rec_raw_catch_effort_2010-2021'!$F2063,'FW_Salmon_by_Month_2010-2021'!$M$2:$M$3810,'Rec_raw_catch_effort_2010-2021'!$K2063)</f>
        <v>214.68345323740999</v>
      </c>
      <c r="R2063" s="109">
        <f>VLOOKUP(B2063,Readme!$A$62:$C$74,2,)*Q2063</f>
        <v>759.77342275933108</v>
      </c>
      <c r="S2063" s="140" t="str">
        <f t="shared" si="169"/>
        <v>Y</v>
      </c>
      <c r="T2063" s="154">
        <f t="shared" si="170"/>
        <v>3.4399999999999995</v>
      </c>
      <c r="U2063" s="154">
        <f t="shared" si="171"/>
        <v>3.5390404397824153</v>
      </c>
    </row>
    <row r="2064" spans="1:21" x14ac:dyDescent="0.35">
      <c r="A2064" s="108">
        <v>934</v>
      </c>
      <c r="B2064" s="108">
        <v>2017</v>
      </c>
      <c r="C2064" s="108" t="s">
        <v>38</v>
      </c>
      <c r="D2064" s="108" t="s">
        <v>143</v>
      </c>
      <c r="E2064" s="108" t="s">
        <v>10</v>
      </c>
      <c r="F2064" s="116">
        <v>812</v>
      </c>
      <c r="G2064" s="108" t="s">
        <v>55</v>
      </c>
      <c r="H2064" s="108" t="str">
        <f t="shared" si="168"/>
        <v>Quilcene River</v>
      </c>
      <c r="I2064" s="108" t="str">
        <f>IFERROR(VLOOKUP(H2064,LUTs!$A$1:$C$73,2,FALSE),"NA")</f>
        <v>Jefferson</v>
      </c>
      <c r="J2064" s="108" t="str">
        <f>IFERROR(VLOOKUP(H2064,LUTs!$A$1:$C$73,3,FALSE),"NA")</f>
        <v>4 Hood Canal</v>
      </c>
      <c r="K2064" s="108" t="s">
        <v>26</v>
      </c>
      <c r="L2064" s="108" t="str">
        <f>VLOOKUP(K2064,LUTs!E$2:G$14,3,)</f>
        <v>20Other</v>
      </c>
      <c r="M2064" s="108" t="str">
        <f>VLOOKUP($K2064,LUTs!$E$2:$H$14,2,)</f>
        <v>Non Puget Sound</v>
      </c>
      <c r="N2064" s="108" t="str">
        <f>VLOOKUP($K2064,LUTs!$E$2:$H$14,4,)</f>
        <v>07Non Puget Sound</v>
      </c>
      <c r="O2064" s="108">
        <v>274.76470588235298</v>
      </c>
      <c r="P2064" s="108">
        <v>945.19058823529394</v>
      </c>
      <c r="Q2064" s="108">
        <f>SUMIFS('FW_Salmon_by_Month_2010-2021'!P$2:P$3810,'FW_Salmon_by_Month_2010-2021'!$B$2:$B$3810,'Rec_raw_catch_effort_2010-2021'!$B2064,'FW_Salmon_by_Month_2010-2021'!$H$2:$H$3810,'Rec_raw_catch_effort_2010-2021'!$F2064,'FW_Salmon_by_Month_2010-2021'!$M$2:$M$3810,'Rec_raw_catch_effort_2010-2021'!$K2064)</f>
        <v>275.94471272297272</v>
      </c>
      <c r="R2064" s="109">
        <f>VLOOKUP(B2064,Readme!$A$62:$C$74,2,)*Q2064</f>
        <v>976.57949747074167</v>
      </c>
      <c r="S2064" s="140" t="str">
        <f t="shared" si="169"/>
        <v>Y</v>
      </c>
      <c r="T2064" s="154">
        <f t="shared" si="170"/>
        <v>3.4399999999999986</v>
      </c>
      <c r="U2064" s="154">
        <f t="shared" si="171"/>
        <v>3.5390404397824153</v>
      </c>
    </row>
    <row r="2065" spans="1:21" x14ac:dyDescent="0.35">
      <c r="A2065" s="108">
        <v>928</v>
      </c>
      <c r="B2065" s="108">
        <v>2017</v>
      </c>
      <c r="C2065" s="108" t="s">
        <v>38</v>
      </c>
      <c r="D2065" s="108" t="s">
        <v>143</v>
      </c>
      <c r="E2065" s="108" t="s">
        <v>10</v>
      </c>
      <c r="F2065" s="116">
        <v>812</v>
      </c>
      <c r="G2065" s="108" t="s">
        <v>55</v>
      </c>
      <c r="H2065" s="108" t="str">
        <f t="shared" si="168"/>
        <v>Quilcene River</v>
      </c>
      <c r="I2065" s="108" t="str">
        <f>IFERROR(VLOOKUP(H2065,LUTs!$A$1:$C$73,2,FALSE),"NA")</f>
        <v>Jefferson</v>
      </c>
      <c r="J2065" s="108" t="str">
        <f>IFERROR(VLOOKUP(H2065,LUTs!$A$1:$C$73,3,FALSE),"NA")</f>
        <v>4 Hood Canal</v>
      </c>
      <c r="K2065" s="108" t="s">
        <v>20</v>
      </c>
      <c r="L2065" s="108" t="str">
        <f>VLOOKUP(K2065,LUTs!E$2:G$14,3,)</f>
        <v>07Pierce</v>
      </c>
      <c r="M2065" s="108" t="str">
        <f>VLOOKUP($K2065,LUTs!$E$2:$H$14,2,)</f>
        <v>South Puget Sound</v>
      </c>
      <c r="N2065" s="108" t="str">
        <f>VLOOKUP($K2065,LUTs!$E$2:$H$14,4,)</f>
        <v>02South Puget Sound</v>
      </c>
      <c r="O2065" s="108">
        <v>386.70588235294099</v>
      </c>
      <c r="P2065" s="108">
        <v>1330.2682352941199</v>
      </c>
      <c r="Q2065" s="108">
        <f>SUMIFS('FW_Salmon_by_Month_2010-2021'!P$2:P$3810,'FW_Salmon_by_Month_2010-2021'!$B$2:$B$3810,'Rec_raw_catch_effort_2010-2021'!$B2065,'FW_Salmon_by_Month_2010-2021'!$H$2:$H$3810,'Rec_raw_catch_effort_2010-2021'!$F2065,'FW_Salmon_by_Month_2010-2021'!$M$2:$M$3810,'Rec_raw_catch_effort_2010-2021'!$K2065)</f>
        <v>388.49034197299704</v>
      </c>
      <c r="R2065" s="109">
        <f>VLOOKUP(B2065,Readme!$A$62:$C$74,2,)*Q2065</f>
        <v>1374.8830307073363</v>
      </c>
      <c r="S2065" s="140" t="str">
        <f t="shared" si="169"/>
        <v>Y</v>
      </c>
      <c r="T2065" s="154">
        <f t="shared" si="170"/>
        <v>3.4400000000000075</v>
      </c>
      <c r="U2065" s="154">
        <f t="shared" si="171"/>
        <v>3.5390404397824149</v>
      </c>
    </row>
    <row r="2066" spans="1:21" x14ac:dyDescent="0.35">
      <c r="A2066" s="108">
        <v>929</v>
      </c>
      <c r="B2066" s="108">
        <v>2017</v>
      </c>
      <c r="C2066" s="108" t="s">
        <v>38</v>
      </c>
      <c r="D2066" s="108" t="s">
        <v>143</v>
      </c>
      <c r="E2066" s="108" t="s">
        <v>10</v>
      </c>
      <c r="F2066" s="116">
        <v>812</v>
      </c>
      <c r="G2066" s="108" t="s">
        <v>55</v>
      </c>
      <c r="H2066" s="108" t="str">
        <f t="shared" si="168"/>
        <v>Quilcene River</v>
      </c>
      <c r="I2066" s="108" t="str">
        <f>IFERROR(VLOOKUP(H2066,LUTs!$A$1:$C$73,2,FALSE),"NA")</f>
        <v>Jefferson</v>
      </c>
      <c r="J2066" s="108" t="str">
        <f>IFERROR(VLOOKUP(H2066,LUTs!$A$1:$C$73,3,FALSE),"NA")</f>
        <v>4 Hood Canal</v>
      </c>
      <c r="K2066" s="108" t="s">
        <v>21</v>
      </c>
      <c r="L2066" s="108" t="str">
        <f>VLOOKUP(K2066,LUTs!E$2:G$14,3,)</f>
        <v>08Thurston</v>
      </c>
      <c r="M2066" s="108" t="str">
        <f>VLOOKUP($K2066,LUTs!$E$2:$H$14,2,)</f>
        <v>South Puget Sound</v>
      </c>
      <c r="N2066" s="108" t="str">
        <f>VLOOKUP($K2066,LUTs!$E$2:$H$14,4,)</f>
        <v>02South Puget Sound</v>
      </c>
      <c r="O2066" s="108">
        <v>152.64705882352899</v>
      </c>
      <c r="P2066" s="108">
        <v>525.10588235293994</v>
      </c>
      <c r="Q2066" s="108">
        <f>SUMIFS('FW_Salmon_by_Month_2010-2021'!P$2:P$3810,'FW_Salmon_by_Month_2010-2021'!$B$2:$B$3810,'Rec_raw_catch_effort_2010-2021'!$B2066,'FW_Salmon_by_Month_2010-2021'!$H$2:$H$3810,'Rec_raw_catch_effort_2010-2021'!$F2066,'FW_Salmon_by_Month_2010-2021'!$M$2:$M$3810,'Rec_raw_catch_effort_2010-2021'!$K2066)</f>
        <v>153.32226273775501</v>
      </c>
      <c r="R2066" s="109">
        <f>VLOOKUP(B2066,Readme!$A$62:$C$74,2,)*Q2066</f>
        <v>542.61368814785953</v>
      </c>
      <c r="S2066" s="140" t="str">
        <f t="shared" si="169"/>
        <v>Y</v>
      </c>
      <c r="T2066" s="154">
        <f t="shared" si="170"/>
        <v>3.4400000000000013</v>
      </c>
      <c r="U2066" s="154">
        <f t="shared" si="171"/>
        <v>3.5390404397824153</v>
      </c>
    </row>
    <row r="2067" spans="1:21" x14ac:dyDescent="0.35">
      <c r="A2067" s="108">
        <v>950</v>
      </c>
      <c r="B2067" s="108">
        <v>2018</v>
      </c>
      <c r="C2067" s="108" t="s">
        <v>38</v>
      </c>
      <c r="D2067" s="108" t="s">
        <v>143</v>
      </c>
      <c r="E2067" s="108" t="s">
        <v>10</v>
      </c>
      <c r="F2067" s="116">
        <v>812</v>
      </c>
      <c r="G2067" s="108" t="s">
        <v>55</v>
      </c>
      <c r="H2067" s="108" t="str">
        <f t="shared" si="168"/>
        <v>Quilcene River</v>
      </c>
      <c r="I2067" s="108" t="str">
        <f>IFERROR(VLOOKUP(H2067,LUTs!$A$1:$C$73,2,FALSE),"NA")</f>
        <v>Jefferson</v>
      </c>
      <c r="J2067" s="108" t="str">
        <f>IFERROR(VLOOKUP(H2067,LUTs!$A$1:$C$73,3,FALSE),"NA")</f>
        <v>4 Hood Canal</v>
      </c>
      <c r="K2067" s="108" t="s">
        <v>24</v>
      </c>
      <c r="L2067" s="108" t="str">
        <f>VLOOKUP(K2067,LUTs!E$2:G$14,3,)</f>
        <v>11Clallam</v>
      </c>
      <c r="M2067" s="108" t="str">
        <f>VLOOKUP($K2067,LUTs!$E$2:$H$14,2,)</f>
        <v>Strait of Juan de Fuca</v>
      </c>
      <c r="N2067" s="108" t="str">
        <f>VLOOKUP($K2067,LUTs!$E$2:$H$14,4,)</f>
        <v>03Strait of Juan de Fuca</v>
      </c>
      <c r="O2067" s="108">
        <v>200.78431372548999</v>
      </c>
      <c r="P2067" s="108">
        <v>1736.7843137254899</v>
      </c>
      <c r="Q2067" s="108">
        <f>SUMIFS('FW_Salmon_by_Month_2010-2021'!P$2:P$3810,'FW_Salmon_by_Month_2010-2021'!$B$2:$B$3810,'Rec_raw_catch_effort_2010-2021'!$B2067,'FW_Salmon_by_Month_2010-2021'!$H$2:$H$3810,'Rec_raw_catch_effort_2010-2021'!$F2067,'FW_Salmon_by_Month_2010-2021'!$M$2:$M$3810,'Rec_raw_catch_effort_2010-2021'!$K2067)</f>
        <v>200.80429732868791</v>
      </c>
      <c r="R2067" s="109">
        <f>VLOOKUP(B2067,Readme!$A$62:$C$74,2,)*Q2067</f>
        <v>967.78733595748463</v>
      </c>
      <c r="S2067" s="140" t="str">
        <f t="shared" si="169"/>
        <v>Y</v>
      </c>
      <c r="T2067" s="154">
        <f t="shared" si="170"/>
        <v>8.6500000000000075</v>
      </c>
      <c r="U2067" s="154">
        <f t="shared" si="171"/>
        <v>4.8195549041132084</v>
      </c>
    </row>
    <row r="2068" spans="1:21" x14ac:dyDescent="0.35">
      <c r="A2068" s="108">
        <v>951</v>
      </c>
      <c r="B2068" s="108">
        <v>2018</v>
      </c>
      <c r="C2068" s="108" t="s">
        <v>38</v>
      </c>
      <c r="D2068" s="108" t="s">
        <v>143</v>
      </c>
      <c r="E2068" s="108" t="s">
        <v>10</v>
      </c>
      <c r="F2068" s="116">
        <v>812</v>
      </c>
      <c r="G2068" s="108" t="s">
        <v>55</v>
      </c>
      <c r="H2068" s="108" t="str">
        <f t="shared" si="168"/>
        <v>Quilcene River</v>
      </c>
      <c r="I2068" s="108" t="str">
        <f>IFERROR(VLOOKUP(H2068,LUTs!$A$1:$C$73,2,FALSE),"NA")</f>
        <v>Jefferson</v>
      </c>
      <c r="J2068" s="108" t="str">
        <f>IFERROR(VLOOKUP(H2068,LUTs!$A$1:$C$73,3,FALSE),"NA")</f>
        <v>4 Hood Canal</v>
      </c>
      <c r="K2068" s="108" t="s">
        <v>25</v>
      </c>
      <c r="L2068" s="108" t="str">
        <f>VLOOKUP(K2068,LUTs!E$2:G$14,3,)</f>
        <v>12Jefferson</v>
      </c>
      <c r="M2068" s="108" t="str">
        <f>VLOOKUP($K2068,LUTs!$E$2:$H$14,2,)</f>
        <v>Strait of Juan de Fuca</v>
      </c>
      <c r="N2068" s="108" t="str">
        <f>VLOOKUP($K2068,LUTs!$E$2:$H$14,4,)</f>
        <v>03Strait of Juan de Fuca</v>
      </c>
      <c r="O2068" s="108">
        <v>542.11764705882399</v>
      </c>
      <c r="P2068" s="108">
        <v>4689.3176470588296</v>
      </c>
      <c r="Q2068" s="108">
        <f>SUMIFS('FW_Salmon_by_Month_2010-2021'!P$2:P$3810,'FW_Salmon_by_Month_2010-2021'!$B$2:$B$3810,'Rec_raw_catch_effort_2010-2021'!$B2068,'FW_Salmon_by_Month_2010-2021'!$H$2:$H$3810,'Rec_raw_catch_effort_2010-2021'!$F2068,'FW_Salmon_by_Month_2010-2021'!$M$2:$M$3810,'Rec_raw_catch_effort_2010-2021'!$K2068)</f>
        <v>542.16995741385995</v>
      </c>
      <c r="R2068" s="109">
        <f>VLOOKUP(B2068,Readme!$A$62:$C$74,2,)*Q2068</f>
        <v>2613.017877116818</v>
      </c>
      <c r="S2068" s="140" t="str">
        <f t="shared" si="169"/>
        <v>Y</v>
      </c>
      <c r="T2068" s="154">
        <f t="shared" si="170"/>
        <v>8.6500000000000039</v>
      </c>
      <c r="U2068" s="154">
        <f t="shared" si="171"/>
        <v>4.8195549041132084</v>
      </c>
    </row>
    <row r="2069" spans="1:21" x14ac:dyDescent="0.35">
      <c r="A2069" s="108">
        <v>937</v>
      </c>
      <c r="B2069" s="108">
        <v>2018</v>
      </c>
      <c r="C2069" s="108" t="s">
        <v>38</v>
      </c>
      <c r="D2069" s="108" t="s">
        <v>143</v>
      </c>
      <c r="E2069" s="108" t="s">
        <v>10</v>
      </c>
      <c r="F2069" s="116">
        <v>812</v>
      </c>
      <c r="G2069" s="108" t="s">
        <v>55</v>
      </c>
      <c r="H2069" s="108" t="str">
        <f t="shared" si="168"/>
        <v>Quilcene River</v>
      </c>
      <c r="I2069" s="108" t="str">
        <f>IFERROR(VLOOKUP(H2069,LUTs!$A$1:$C$73,2,FALSE),"NA")</f>
        <v>Jefferson</v>
      </c>
      <c r="J2069" s="108" t="str">
        <f>IFERROR(VLOOKUP(H2069,LUTs!$A$1:$C$73,3,FALSE),"NA")</f>
        <v>4 Hood Canal</v>
      </c>
      <c r="K2069" s="108" t="s">
        <v>18</v>
      </c>
      <c r="L2069" s="108" t="str">
        <f>VLOOKUP(K2069,LUTs!E$2:G$14,3,)</f>
        <v>06King</v>
      </c>
      <c r="M2069" s="108" t="str">
        <f>VLOOKUP($K2069,LUTs!$E$2:$H$14,2,)</f>
        <v>South Puget Sound</v>
      </c>
      <c r="N2069" s="108" t="str">
        <f>VLOOKUP($K2069,LUTs!$E$2:$H$14,4,)</f>
        <v>02South Puget Sound</v>
      </c>
      <c r="O2069" s="108">
        <v>401.56862745098101</v>
      </c>
      <c r="P2069" s="108">
        <v>3473.5686274509899</v>
      </c>
      <c r="Q2069" s="108">
        <f>SUMIFS('FW_Salmon_by_Month_2010-2021'!P$2:P$3810,'FW_Salmon_by_Month_2010-2021'!$B$2:$B$3810,'Rec_raw_catch_effort_2010-2021'!$B2069,'FW_Salmon_by_Month_2010-2021'!$H$2:$H$3810,'Rec_raw_catch_effort_2010-2021'!$F2069,'FW_Salmon_by_Month_2010-2021'!$M$2:$M$3810,'Rec_raw_catch_effort_2010-2021'!$K2069)</f>
        <v>401.60085172280299</v>
      </c>
      <c r="R2069" s="109">
        <f>VLOOKUP(B2069,Readme!$A$62:$C$74,2,)*Q2069</f>
        <v>1935.5373544166766</v>
      </c>
      <c r="S2069" s="140" t="str">
        <f t="shared" si="169"/>
        <v>Y</v>
      </c>
      <c r="T2069" s="154">
        <f t="shared" si="170"/>
        <v>8.650000000000011</v>
      </c>
      <c r="U2069" s="154">
        <f t="shared" si="171"/>
        <v>4.8195549041132084</v>
      </c>
    </row>
    <row r="2070" spans="1:21" x14ac:dyDescent="0.35">
      <c r="A2070" s="108">
        <v>940</v>
      </c>
      <c r="B2070" s="108">
        <v>2018</v>
      </c>
      <c r="C2070" s="108" t="s">
        <v>38</v>
      </c>
      <c r="D2070" s="108" t="s">
        <v>143</v>
      </c>
      <c r="E2070" s="108" t="s">
        <v>10</v>
      </c>
      <c r="F2070" s="116">
        <v>812</v>
      </c>
      <c r="G2070" s="108" t="s">
        <v>55</v>
      </c>
      <c r="H2070" s="108" t="str">
        <f t="shared" si="168"/>
        <v>Quilcene River</v>
      </c>
      <c r="I2070" s="108" t="str">
        <f>IFERROR(VLOOKUP(H2070,LUTs!$A$1:$C$73,2,FALSE),"NA")</f>
        <v>Jefferson</v>
      </c>
      <c r="J2070" s="108" t="str">
        <f>IFERROR(VLOOKUP(H2070,LUTs!$A$1:$C$73,3,FALSE),"NA")</f>
        <v>4 Hood Canal</v>
      </c>
      <c r="K2070" s="108" t="s">
        <v>23</v>
      </c>
      <c r="L2070" s="108" t="str">
        <f>VLOOKUP(K2070,LUTs!E$2:G$14,3,)</f>
        <v>10Kitsap</v>
      </c>
      <c r="M2070" s="108" t="str">
        <f>VLOOKUP($K2070,LUTs!$E$2:$H$14,2,)</f>
        <v>South Puget Sound</v>
      </c>
      <c r="N2070" s="108" t="str">
        <f>VLOOKUP($K2070,LUTs!$E$2:$H$14,4,)</f>
        <v>02South Puget Sound</v>
      </c>
      <c r="O2070" s="108">
        <v>913.56862745098101</v>
      </c>
      <c r="P2070" s="108">
        <v>7902.3686274509901</v>
      </c>
      <c r="Q2070" s="108">
        <f>SUMIFS('FW_Salmon_by_Month_2010-2021'!P$2:P$3810,'FW_Salmon_by_Month_2010-2021'!$B$2:$B$3810,'Rec_raw_catch_effort_2010-2021'!$B2070,'FW_Salmon_by_Month_2010-2021'!$H$2:$H$3810,'Rec_raw_catch_effort_2010-2021'!$F2070,'FW_Salmon_by_Month_2010-2021'!$M$2:$M$3810,'Rec_raw_catch_effort_2010-2021'!$K2070)</f>
        <v>913.53368176538902</v>
      </c>
      <c r="R2070" s="109">
        <f>VLOOKUP(B2070,Readme!$A$62:$C$74,2,)*Q2070</f>
        <v>4402.8257360249754</v>
      </c>
      <c r="S2070" s="140" t="str">
        <f t="shared" si="169"/>
        <v>Y</v>
      </c>
      <c r="T2070" s="154">
        <f t="shared" si="170"/>
        <v>8.6500000000000039</v>
      </c>
      <c r="U2070" s="154">
        <f t="shared" si="171"/>
        <v>4.8195549041132084</v>
      </c>
    </row>
    <row r="2071" spans="1:21" x14ac:dyDescent="0.35">
      <c r="A2071" s="108">
        <v>939</v>
      </c>
      <c r="B2071" s="108">
        <v>2018</v>
      </c>
      <c r="C2071" s="108" t="s">
        <v>38</v>
      </c>
      <c r="D2071" s="108" t="s">
        <v>143</v>
      </c>
      <c r="E2071" s="108" t="s">
        <v>10</v>
      </c>
      <c r="F2071" s="116">
        <v>812</v>
      </c>
      <c r="G2071" s="108" t="s">
        <v>55</v>
      </c>
      <c r="H2071" s="108" t="str">
        <f t="shared" si="168"/>
        <v>Quilcene River</v>
      </c>
      <c r="I2071" s="108" t="str">
        <f>IFERROR(VLOOKUP(H2071,LUTs!$A$1:$C$73,2,FALSE),"NA")</f>
        <v>Jefferson</v>
      </c>
      <c r="J2071" s="108" t="str">
        <f>IFERROR(VLOOKUP(H2071,LUTs!$A$1:$C$73,3,FALSE),"NA")</f>
        <v>4 Hood Canal</v>
      </c>
      <c r="K2071" s="108" t="s">
        <v>22</v>
      </c>
      <c r="L2071" s="108" t="str">
        <f>VLOOKUP(K2071,LUTs!E$2:G$14,3,)</f>
        <v>09Mason</v>
      </c>
      <c r="M2071" s="108" t="str">
        <f>VLOOKUP($K2071,LUTs!$E$2:$H$14,2,)</f>
        <v>South Puget Sound</v>
      </c>
      <c r="N2071" s="108" t="str">
        <f>VLOOKUP($K2071,LUTs!$E$2:$H$14,4,)</f>
        <v>02South Puget Sound</v>
      </c>
      <c r="O2071" s="108">
        <v>70.274509803921603</v>
      </c>
      <c r="P2071" s="108">
        <v>607.87450980392202</v>
      </c>
      <c r="Q2071" s="108">
        <f>SUMIFS('FW_Salmon_by_Month_2010-2021'!P$2:P$3810,'FW_Salmon_by_Month_2010-2021'!$B$2:$B$3810,'Rec_raw_catch_effort_2010-2021'!$B2071,'FW_Salmon_by_Month_2010-2021'!$H$2:$H$3810,'Rec_raw_catch_effort_2010-2021'!$F2071,'FW_Salmon_by_Month_2010-2021'!$M$2:$M$3810,'Rec_raw_catch_effort_2010-2021'!$K2071)</f>
        <v>70.282617111885401</v>
      </c>
      <c r="R2071" s="109">
        <f>VLOOKUP(B2071,Readme!$A$62:$C$74,2,)*Q2071</f>
        <v>338.73093197549821</v>
      </c>
      <c r="S2071" s="140" t="str">
        <f t="shared" si="169"/>
        <v>Y</v>
      </c>
      <c r="T2071" s="154">
        <f t="shared" si="170"/>
        <v>8.6500000000000021</v>
      </c>
      <c r="U2071" s="154">
        <f t="shared" si="171"/>
        <v>4.8195549041132084</v>
      </c>
    </row>
    <row r="2072" spans="1:21" x14ac:dyDescent="0.35">
      <c r="A2072" s="108">
        <v>952</v>
      </c>
      <c r="B2072" s="108">
        <v>2018</v>
      </c>
      <c r="C2072" s="108" t="s">
        <v>38</v>
      </c>
      <c r="D2072" s="108" t="s">
        <v>143</v>
      </c>
      <c r="E2072" s="108" t="s">
        <v>10</v>
      </c>
      <c r="F2072" s="116">
        <v>812</v>
      </c>
      <c r="G2072" s="108" t="s">
        <v>55</v>
      </c>
      <c r="H2072" s="108" t="str">
        <f t="shared" si="168"/>
        <v>Quilcene River</v>
      </c>
      <c r="I2072" s="108" t="str">
        <f>IFERROR(VLOOKUP(H2072,LUTs!$A$1:$C$73,2,FALSE),"NA")</f>
        <v>Jefferson</v>
      </c>
      <c r="J2072" s="108" t="str">
        <f>IFERROR(VLOOKUP(H2072,LUTs!$A$1:$C$73,3,FALSE),"NA")</f>
        <v>4 Hood Canal</v>
      </c>
      <c r="K2072" s="108" t="s">
        <v>26</v>
      </c>
      <c r="L2072" s="108" t="str">
        <f>VLOOKUP(K2072,LUTs!E$2:G$14,3,)</f>
        <v>20Other</v>
      </c>
      <c r="M2072" s="108" t="str">
        <f>VLOOKUP($K2072,LUTs!$E$2:$H$14,2,)</f>
        <v>Non Puget Sound</v>
      </c>
      <c r="N2072" s="108" t="str">
        <f>VLOOKUP($K2072,LUTs!$E$2:$H$14,4,)</f>
        <v>07Non Puget Sound</v>
      </c>
      <c r="O2072" s="108">
        <v>230.90196078431401</v>
      </c>
      <c r="P2072" s="108">
        <v>1997.30196078432</v>
      </c>
      <c r="Q2072" s="108">
        <f>SUMIFS('FW_Salmon_by_Month_2010-2021'!P$2:P$3810,'FW_Salmon_by_Month_2010-2021'!$B$2:$B$3810,'Rec_raw_catch_effort_2010-2021'!$B2072,'FW_Salmon_by_Month_2010-2021'!$H$2:$H$3810,'Rec_raw_catch_effort_2010-2021'!$F2072,'FW_Salmon_by_Month_2010-2021'!$M$2:$M$3810,'Rec_raw_catch_effort_2010-2021'!$K2072)</f>
        <v>230.80429732868791</v>
      </c>
      <c r="R2072" s="109">
        <f>VLOOKUP(B2072,Readme!$A$62:$C$74,2,)*Q2072</f>
        <v>1112.3739830808809</v>
      </c>
      <c r="S2072" s="140" t="str">
        <f t="shared" si="169"/>
        <v>Y</v>
      </c>
      <c r="T2072" s="154">
        <f t="shared" si="170"/>
        <v>8.6500000000000163</v>
      </c>
      <c r="U2072" s="154">
        <f t="shared" si="171"/>
        <v>4.8195549041132084</v>
      </c>
    </row>
    <row r="2073" spans="1:21" x14ac:dyDescent="0.35">
      <c r="A2073" s="108">
        <v>938</v>
      </c>
      <c r="B2073" s="108">
        <v>2018</v>
      </c>
      <c r="C2073" s="108" t="s">
        <v>38</v>
      </c>
      <c r="D2073" s="108" t="s">
        <v>143</v>
      </c>
      <c r="E2073" s="108" t="s">
        <v>10</v>
      </c>
      <c r="F2073" s="116">
        <v>812</v>
      </c>
      <c r="G2073" s="108" t="s">
        <v>55</v>
      </c>
      <c r="H2073" s="108" t="str">
        <f t="shared" si="168"/>
        <v>Quilcene River</v>
      </c>
      <c r="I2073" s="108" t="str">
        <f>IFERROR(VLOOKUP(H2073,LUTs!$A$1:$C$73,2,FALSE),"NA")</f>
        <v>Jefferson</v>
      </c>
      <c r="J2073" s="108" t="str">
        <f>IFERROR(VLOOKUP(H2073,LUTs!$A$1:$C$73,3,FALSE),"NA")</f>
        <v>4 Hood Canal</v>
      </c>
      <c r="K2073" s="108" t="s">
        <v>20</v>
      </c>
      <c r="L2073" s="108" t="str">
        <f>VLOOKUP(K2073,LUTs!E$2:G$14,3,)</f>
        <v>07Pierce</v>
      </c>
      <c r="M2073" s="108" t="str">
        <f>VLOOKUP($K2073,LUTs!$E$2:$H$14,2,)</f>
        <v>South Puget Sound</v>
      </c>
      <c r="N2073" s="108" t="str">
        <f>VLOOKUP($K2073,LUTs!$E$2:$H$14,4,)</f>
        <v>02South Puget Sound</v>
      </c>
      <c r="O2073" s="108">
        <v>150.58823529411799</v>
      </c>
      <c r="P2073" s="108">
        <v>1302.5882352941201</v>
      </c>
      <c r="Q2073" s="108">
        <f>SUMIFS('FW_Salmon_by_Month_2010-2021'!P$2:P$3810,'FW_Salmon_by_Month_2010-2021'!$B$2:$B$3810,'Rec_raw_catch_effort_2010-2021'!$B2073,'FW_Salmon_by_Month_2010-2021'!$H$2:$H$3810,'Rec_raw_catch_effort_2010-2021'!$F2073,'FW_Salmon_by_Month_2010-2021'!$M$2:$M$3810,'Rec_raw_catch_effort_2010-2021'!$K2073)</f>
        <v>150.60201316298878</v>
      </c>
      <c r="R2073" s="109">
        <f>VLOOKUP(B2073,Readme!$A$62:$C$74,2,)*Q2073</f>
        <v>725.8346711090046</v>
      </c>
      <c r="S2073" s="140" t="str">
        <f t="shared" si="169"/>
        <v>Y</v>
      </c>
      <c r="T2073" s="154">
        <f t="shared" si="170"/>
        <v>8.6499999999999968</v>
      </c>
      <c r="U2073" s="154">
        <f t="shared" si="171"/>
        <v>4.8195549041132084</v>
      </c>
    </row>
    <row r="2074" spans="1:21" x14ac:dyDescent="0.35">
      <c r="A2074" s="108">
        <v>935</v>
      </c>
      <c r="B2074" s="108">
        <v>2018</v>
      </c>
      <c r="C2074" s="108" t="s">
        <v>38</v>
      </c>
      <c r="D2074" s="108" t="s">
        <v>143</v>
      </c>
      <c r="E2074" s="108" t="s">
        <v>10</v>
      </c>
      <c r="F2074" s="116">
        <v>812</v>
      </c>
      <c r="G2074" s="108" t="s">
        <v>55</v>
      </c>
      <c r="H2074" s="108" t="str">
        <f t="shared" si="168"/>
        <v>Quilcene River</v>
      </c>
      <c r="I2074" s="108" t="str">
        <f>IFERROR(VLOOKUP(H2074,LUTs!$A$1:$C$73,2,FALSE),"NA")</f>
        <v>Jefferson</v>
      </c>
      <c r="J2074" s="108" t="str">
        <f>IFERROR(VLOOKUP(H2074,LUTs!$A$1:$C$73,3,FALSE),"NA")</f>
        <v>4 Hood Canal</v>
      </c>
      <c r="K2074" s="108" t="s">
        <v>15</v>
      </c>
      <c r="L2074" s="108" t="str">
        <f>VLOOKUP(K2074,LUTs!E$2:G$14,3,)</f>
        <v>02Skagit</v>
      </c>
      <c r="M2074" s="108" t="str">
        <f>VLOOKUP($K2074,LUTs!$E$2:$H$14,2,)</f>
        <v>North Puget Sound</v>
      </c>
      <c r="N2074" s="108" t="str">
        <f>VLOOKUP($K2074,LUTs!$E$2:$H$14,4,)</f>
        <v>01North Puget Sound</v>
      </c>
      <c r="O2074" s="108">
        <v>10.039215686274501</v>
      </c>
      <c r="P2074" s="108">
        <v>86.8392156862744</v>
      </c>
      <c r="Q2074" s="108">
        <f>SUMIFS('FW_Salmon_by_Month_2010-2021'!P$2:P$3810,'FW_Salmon_by_Month_2010-2021'!$B$2:$B$3810,'Rec_raw_catch_effort_2010-2021'!$B2074,'FW_Salmon_by_Month_2010-2021'!$H$2:$H$3810,'Rec_raw_catch_effort_2010-2021'!$F2074,'FW_Salmon_by_Month_2010-2021'!$M$2:$M$3810,'Rec_raw_catch_effort_2010-2021'!$K2074)</f>
        <v>10.040650406504099</v>
      </c>
      <c r="R2074" s="109">
        <f>VLOOKUP(B2074,Readme!$A$62:$C$74,2,)*Q2074</f>
        <v>48.391465907153112</v>
      </c>
      <c r="S2074" s="140" t="str">
        <f t="shared" si="169"/>
        <v>Y</v>
      </c>
      <c r="T2074" s="154">
        <f t="shared" si="170"/>
        <v>8.6499999999999968</v>
      </c>
      <c r="U2074" s="154">
        <f t="shared" si="171"/>
        <v>4.8195549041132084</v>
      </c>
    </row>
    <row r="2075" spans="1:21" x14ac:dyDescent="0.35">
      <c r="A2075" s="108">
        <v>936</v>
      </c>
      <c r="B2075" s="108">
        <v>2018</v>
      </c>
      <c r="C2075" s="108" t="s">
        <v>38</v>
      </c>
      <c r="D2075" s="108" t="s">
        <v>143</v>
      </c>
      <c r="E2075" s="108" t="s">
        <v>10</v>
      </c>
      <c r="F2075" s="116">
        <v>812</v>
      </c>
      <c r="G2075" s="108" t="s">
        <v>55</v>
      </c>
      <c r="H2075" s="108" t="str">
        <f t="shared" si="168"/>
        <v>Quilcene River</v>
      </c>
      <c r="I2075" s="108" t="str">
        <f>IFERROR(VLOOKUP(H2075,LUTs!$A$1:$C$73,2,FALSE),"NA")</f>
        <v>Jefferson</v>
      </c>
      <c r="J2075" s="108" t="str">
        <f>IFERROR(VLOOKUP(H2075,LUTs!$A$1:$C$73,3,FALSE),"NA")</f>
        <v>4 Hood Canal</v>
      </c>
      <c r="K2075" s="108" t="s">
        <v>16</v>
      </c>
      <c r="L2075" s="108" t="str">
        <f>VLOOKUP(K2075,LUTs!E$2:G$14,3,)</f>
        <v>03Snohomish</v>
      </c>
      <c r="M2075" s="108" t="str">
        <f>VLOOKUP($K2075,LUTs!$E$2:$H$14,2,)</f>
        <v>North Puget Sound</v>
      </c>
      <c r="N2075" s="108" t="str">
        <f>VLOOKUP($K2075,LUTs!$E$2:$H$14,4,)</f>
        <v>01North Puget Sound</v>
      </c>
      <c r="O2075" s="108">
        <v>40.156862745098003</v>
      </c>
      <c r="P2075" s="108">
        <v>347.356862745098</v>
      </c>
      <c r="Q2075" s="108">
        <f>SUMIFS('FW_Salmon_by_Month_2010-2021'!P$2:P$3810,'FW_Salmon_by_Month_2010-2021'!$B$2:$B$3810,'Rec_raw_catch_effort_2010-2021'!$B2075,'FW_Salmon_by_Month_2010-2021'!$H$2:$H$3810,'Rec_raw_catch_effort_2010-2021'!$F2075,'FW_Salmon_by_Month_2010-2021'!$M$2:$M$3810,'Rec_raw_catch_effort_2010-2021'!$K2075)</f>
        <v>40.1616337591947</v>
      </c>
      <c r="R2075" s="109">
        <f>VLOOKUP(B2075,Readme!$A$62:$C$74,2,)*Q2075</f>
        <v>193.56119894132542</v>
      </c>
      <c r="S2075" s="140" t="str">
        <f t="shared" si="169"/>
        <v>Y</v>
      </c>
      <c r="T2075" s="154">
        <f t="shared" si="170"/>
        <v>8.6500000000000075</v>
      </c>
      <c r="U2075" s="154">
        <f t="shared" si="171"/>
        <v>4.8195549041132084</v>
      </c>
    </row>
    <row r="2076" spans="1:21" x14ac:dyDescent="0.35">
      <c r="A2076" s="108">
        <v>1030</v>
      </c>
      <c r="B2076" s="108">
        <v>2019</v>
      </c>
      <c r="C2076" s="108" t="s">
        <v>38</v>
      </c>
      <c r="D2076" s="108" t="s">
        <v>143</v>
      </c>
      <c r="E2076" s="108" t="s">
        <v>10</v>
      </c>
      <c r="F2076" s="116">
        <v>812</v>
      </c>
      <c r="G2076" s="108" t="s">
        <v>55</v>
      </c>
      <c r="H2076" s="108" t="str">
        <f t="shared" si="168"/>
        <v>Quilcene River</v>
      </c>
      <c r="I2076" s="108" t="str">
        <f>IFERROR(VLOOKUP(H2076,LUTs!$A$1:$C$73,2,FALSE),"NA")</f>
        <v>Jefferson</v>
      </c>
      <c r="J2076" s="108" t="str">
        <f>IFERROR(VLOOKUP(H2076,LUTs!$A$1:$C$73,3,FALSE),"NA")</f>
        <v>4 Hood Canal</v>
      </c>
      <c r="K2076" s="108" t="s">
        <v>24</v>
      </c>
      <c r="L2076" s="108" t="str">
        <f>VLOOKUP(K2076,LUTs!E$2:G$14,3,)</f>
        <v>11Clallam</v>
      </c>
      <c r="M2076" s="108" t="str">
        <f>VLOOKUP($K2076,LUTs!$E$2:$H$14,2,)</f>
        <v>Strait of Juan de Fuca</v>
      </c>
      <c r="N2076" s="108" t="str">
        <f>VLOOKUP($K2076,LUTs!$E$2:$H$14,4,)</f>
        <v>03Strait of Juan de Fuca</v>
      </c>
      <c r="O2076" s="108">
        <v>33.075949367088597</v>
      </c>
      <c r="P2076" s="108">
        <v>113.781265822785</v>
      </c>
      <c r="Q2076" s="108">
        <f>SUMIFS('FW_Salmon_by_Month_2010-2021'!P$2:P$3810,'FW_Salmon_by_Month_2010-2021'!$B$2:$B$3810,'Rec_raw_catch_effort_2010-2021'!$B2076,'FW_Salmon_by_Month_2010-2021'!$H$2:$H$3810,'Rec_raw_catch_effort_2010-2021'!$F2076,'FW_Salmon_by_Month_2010-2021'!$M$2:$M$3810,'Rec_raw_catch_effort_2010-2021'!$K2076)</f>
        <v>33.072000000000003</v>
      </c>
      <c r="R2076" s="109">
        <f>VLOOKUP(B2076,Readme!$A$62:$C$74,2,)*Q2076</f>
        <v>117.04314542448405</v>
      </c>
      <c r="S2076" s="140" t="str">
        <f t="shared" si="169"/>
        <v>Y</v>
      </c>
      <c r="T2076" s="154">
        <f t="shared" si="170"/>
        <v>3.4400000000000071</v>
      </c>
      <c r="U2076" s="154">
        <f t="shared" si="171"/>
        <v>3.5390404397824153</v>
      </c>
    </row>
    <row r="2077" spans="1:21" x14ac:dyDescent="0.35">
      <c r="A2077" s="108">
        <v>1031</v>
      </c>
      <c r="B2077" s="108">
        <v>2019</v>
      </c>
      <c r="C2077" s="108" t="s">
        <v>38</v>
      </c>
      <c r="D2077" s="108" t="s">
        <v>143</v>
      </c>
      <c r="E2077" s="108" t="s">
        <v>10</v>
      </c>
      <c r="F2077" s="116">
        <v>812</v>
      </c>
      <c r="G2077" s="108" t="s">
        <v>55</v>
      </c>
      <c r="H2077" s="108" t="str">
        <f t="shared" si="168"/>
        <v>Quilcene River</v>
      </c>
      <c r="I2077" s="108" t="str">
        <f>IFERROR(VLOOKUP(H2077,LUTs!$A$1:$C$73,2,FALSE),"NA")</f>
        <v>Jefferson</v>
      </c>
      <c r="J2077" s="108" t="str">
        <f>IFERROR(VLOOKUP(H2077,LUTs!$A$1:$C$73,3,FALSE),"NA")</f>
        <v>4 Hood Canal</v>
      </c>
      <c r="K2077" s="108" t="s">
        <v>25</v>
      </c>
      <c r="L2077" s="108" t="str">
        <f>VLOOKUP(K2077,LUTs!E$2:G$14,3,)</f>
        <v>12Jefferson</v>
      </c>
      <c r="M2077" s="108" t="str">
        <f>VLOOKUP($K2077,LUTs!$E$2:$H$14,2,)</f>
        <v>Strait of Juan de Fuca</v>
      </c>
      <c r="N2077" s="108" t="str">
        <f>VLOOKUP($K2077,LUTs!$E$2:$H$14,4,)</f>
        <v>03Strait of Juan de Fuca</v>
      </c>
      <c r="O2077" s="108">
        <v>275.63291139240499</v>
      </c>
      <c r="P2077" s="108">
        <v>948.17721518987298</v>
      </c>
      <c r="Q2077" s="108">
        <f>SUMIFS('FW_Salmon_by_Month_2010-2021'!P$2:P$3810,'FW_Salmon_by_Month_2010-2021'!$B$2:$B$3810,'Rec_raw_catch_effort_2010-2021'!$B2077,'FW_Salmon_by_Month_2010-2021'!$H$2:$H$3810,'Rec_raw_catch_effort_2010-2021'!$F2077,'FW_Salmon_by_Month_2010-2021'!$M$2:$M$3810,'Rec_raw_catch_effort_2010-2021'!$K2077)</f>
        <v>275.72579310344804</v>
      </c>
      <c r="R2077" s="109">
        <f>VLOOKUP(B2077,Readme!$A$62:$C$74,2,)*Q2077</f>
        <v>975.80473208418198</v>
      </c>
      <c r="S2077" s="140" t="str">
        <f t="shared" si="169"/>
        <v>Y</v>
      </c>
      <c r="T2077" s="154">
        <f t="shared" si="170"/>
        <v>3.4399999999999995</v>
      </c>
      <c r="U2077" s="154">
        <f t="shared" si="171"/>
        <v>3.5390404397824153</v>
      </c>
    </row>
    <row r="2078" spans="1:21" x14ac:dyDescent="0.35">
      <c r="A2078" s="108">
        <v>956</v>
      </c>
      <c r="B2078" s="108">
        <v>2019</v>
      </c>
      <c r="C2078" s="108" t="s">
        <v>38</v>
      </c>
      <c r="D2078" s="108" t="s">
        <v>143</v>
      </c>
      <c r="E2078" s="108" t="s">
        <v>10</v>
      </c>
      <c r="F2078" s="116">
        <v>812</v>
      </c>
      <c r="G2078" s="108" t="s">
        <v>55</v>
      </c>
      <c r="H2078" s="108" t="str">
        <f t="shared" si="168"/>
        <v>Quilcene River</v>
      </c>
      <c r="I2078" s="108" t="str">
        <f>IFERROR(VLOOKUP(H2078,LUTs!$A$1:$C$73,2,FALSE),"NA")</f>
        <v>Jefferson</v>
      </c>
      <c r="J2078" s="108" t="str">
        <f>IFERROR(VLOOKUP(H2078,LUTs!$A$1:$C$73,3,FALSE),"NA")</f>
        <v>4 Hood Canal</v>
      </c>
      <c r="K2078" s="108" t="s">
        <v>18</v>
      </c>
      <c r="L2078" s="108" t="str">
        <f>VLOOKUP(K2078,LUTs!E$2:G$14,3,)</f>
        <v>06King</v>
      </c>
      <c r="M2078" s="108" t="str">
        <f>VLOOKUP($K2078,LUTs!$E$2:$H$14,2,)</f>
        <v>South Puget Sound</v>
      </c>
      <c r="N2078" s="108" t="str">
        <f>VLOOKUP($K2078,LUTs!$E$2:$H$14,4,)</f>
        <v>02South Puget Sound</v>
      </c>
      <c r="O2078" s="108">
        <v>209.481012658228</v>
      </c>
      <c r="P2078" s="108">
        <v>720.61468354430394</v>
      </c>
      <c r="Q2078" s="108">
        <f>SUMIFS('FW_Salmon_by_Month_2010-2021'!P$2:P$3810,'FW_Salmon_by_Month_2010-2021'!$B$2:$B$3810,'Rec_raw_catch_effort_2010-2021'!$B2078,'FW_Salmon_by_Month_2010-2021'!$H$2:$H$3810,'Rec_raw_catch_effort_2010-2021'!$F2078,'FW_Salmon_by_Month_2010-2021'!$M$2:$M$3810,'Rec_raw_catch_effort_2010-2021'!$K2078)</f>
        <v>209.45599999999999</v>
      </c>
      <c r="R2078" s="109">
        <f>VLOOKUP(B2078,Readme!$A$62:$C$74,2,)*Q2078</f>
        <v>741.27325435506555</v>
      </c>
      <c r="S2078" s="140" t="str">
        <f t="shared" si="169"/>
        <v>Y</v>
      </c>
      <c r="T2078" s="154">
        <f t="shared" si="170"/>
        <v>3.4399999999999982</v>
      </c>
      <c r="U2078" s="154">
        <f t="shared" si="171"/>
        <v>3.5390404397824153</v>
      </c>
    </row>
    <row r="2079" spans="1:21" x14ac:dyDescent="0.35">
      <c r="A2079" s="108">
        <v>1029</v>
      </c>
      <c r="B2079" s="108">
        <v>2019</v>
      </c>
      <c r="C2079" s="108" t="s">
        <v>38</v>
      </c>
      <c r="D2079" s="108" t="s">
        <v>143</v>
      </c>
      <c r="E2079" s="108" t="s">
        <v>10</v>
      </c>
      <c r="F2079" s="116">
        <v>812</v>
      </c>
      <c r="G2079" s="108" t="s">
        <v>55</v>
      </c>
      <c r="H2079" s="108" t="str">
        <f t="shared" si="168"/>
        <v>Quilcene River</v>
      </c>
      <c r="I2079" s="108" t="str">
        <f>IFERROR(VLOOKUP(H2079,LUTs!$A$1:$C$73,2,FALSE),"NA")</f>
        <v>Jefferson</v>
      </c>
      <c r="J2079" s="108" t="str">
        <f>IFERROR(VLOOKUP(H2079,LUTs!$A$1:$C$73,3,FALSE),"NA")</f>
        <v>4 Hood Canal</v>
      </c>
      <c r="K2079" s="108" t="s">
        <v>23</v>
      </c>
      <c r="L2079" s="108" t="str">
        <f>VLOOKUP(K2079,LUTs!E$2:G$14,3,)</f>
        <v>10Kitsap</v>
      </c>
      <c r="M2079" s="108" t="str">
        <f>VLOOKUP($K2079,LUTs!$E$2:$H$14,2,)</f>
        <v>South Puget Sound</v>
      </c>
      <c r="N2079" s="108" t="str">
        <f>VLOOKUP($K2079,LUTs!$E$2:$H$14,4,)</f>
        <v>02South Puget Sound</v>
      </c>
      <c r="O2079" s="108">
        <v>683.569620253165</v>
      </c>
      <c r="P2079" s="108">
        <v>2351.47949367089</v>
      </c>
      <c r="Q2079" s="108">
        <f>SUMIFS('FW_Salmon_by_Month_2010-2021'!P$2:P$3810,'FW_Salmon_by_Month_2010-2021'!$B$2:$B$3810,'Rec_raw_catch_effort_2010-2021'!$B2079,'FW_Salmon_by_Month_2010-2021'!$H$2:$H$3810,'Rec_raw_catch_effort_2010-2021'!$F2079,'FW_Salmon_by_Month_2010-2021'!$M$2:$M$3810,'Rec_raw_catch_effort_2010-2021'!$K2079)</f>
        <v>683.63475862069004</v>
      </c>
      <c r="R2079" s="109">
        <f>VLOOKUP(B2079,Readme!$A$62:$C$74,2,)*Q2079</f>
        <v>2419.4110567995122</v>
      </c>
      <c r="S2079" s="140" t="str">
        <f t="shared" si="169"/>
        <v>Y</v>
      </c>
      <c r="T2079" s="154">
        <f t="shared" si="170"/>
        <v>3.4400000000000035</v>
      </c>
      <c r="U2079" s="154">
        <f t="shared" si="171"/>
        <v>3.5390404397824153</v>
      </c>
    </row>
    <row r="2080" spans="1:21" x14ac:dyDescent="0.35">
      <c r="A2080" s="108">
        <v>1028</v>
      </c>
      <c r="B2080" s="108">
        <v>2019</v>
      </c>
      <c r="C2080" s="108" t="s">
        <v>38</v>
      </c>
      <c r="D2080" s="108" t="s">
        <v>143</v>
      </c>
      <c r="E2080" s="108" t="s">
        <v>10</v>
      </c>
      <c r="F2080" s="116">
        <v>812</v>
      </c>
      <c r="G2080" s="108" t="s">
        <v>55</v>
      </c>
      <c r="H2080" s="108" t="str">
        <f t="shared" si="168"/>
        <v>Quilcene River</v>
      </c>
      <c r="I2080" s="108" t="str">
        <f>IFERROR(VLOOKUP(H2080,LUTs!$A$1:$C$73,2,FALSE),"NA")</f>
        <v>Jefferson</v>
      </c>
      <c r="J2080" s="108" t="str">
        <f>IFERROR(VLOOKUP(H2080,LUTs!$A$1:$C$73,3,FALSE),"NA")</f>
        <v>4 Hood Canal</v>
      </c>
      <c r="K2080" s="108" t="s">
        <v>22</v>
      </c>
      <c r="L2080" s="108" t="str">
        <f>VLOOKUP(K2080,LUTs!E$2:G$14,3,)</f>
        <v>09Mason</v>
      </c>
      <c r="M2080" s="108" t="str">
        <f>VLOOKUP($K2080,LUTs!$E$2:$H$14,2,)</f>
        <v>South Puget Sound</v>
      </c>
      <c r="N2080" s="108" t="str">
        <f>VLOOKUP($K2080,LUTs!$E$2:$H$14,4,)</f>
        <v>02South Puget Sound</v>
      </c>
      <c r="O2080" s="108">
        <v>143.329113924051</v>
      </c>
      <c r="P2080" s="108">
        <v>493.05215189873502</v>
      </c>
      <c r="Q2080" s="108">
        <f>SUMIFS('FW_Salmon_by_Month_2010-2021'!P$2:P$3810,'FW_Salmon_by_Month_2010-2021'!$B$2:$B$3810,'Rec_raw_catch_effort_2010-2021'!$B2080,'FW_Salmon_by_Month_2010-2021'!$H$2:$H$3810,'Rec_raw_catch_effort_2010-2021'!$F2080,'FW_Salmon_by_Month_2010-2021'!$M$2:$M$3810,'Rec_raw_catch_effort_2010-2021'!$K2080)</f>
        <v>143.31200000000001</v>
      </c>
      <c r="R2080" s="109">
        <f>VLOOKUP(B2080,Readme!$A$62:$C$74,2,)*Q2080</f>
        <v>507.18696350609753</v>
      </c>
      <c r="S2080" s="140" t="str">
        <f t="shared" si="169"/>
        <v>Y</v>
      </c>
      <c r="T2080" s="154">
        <f t="shared" si="170"/>
        <v>3.4399999999999968</v>
      </c>
      <c r="U2080" s="154">
        <f t="shared" si="171"/>
        <v>3.5390404397824153</v>
      </c>
    </row>
    <row r="2081" spans="1:21" x14ac:dyDescent="0.35">
      <c r="A2081" s="108">
        <v>1032</v>
      </c>
      <c r="B2081" s="108">
        <v>2019</v>
      </c>
      <c r="C2081" s="108" t="s">
        <v>38</v>
      </c>
      <c r="D2081" s="108" t="s">
        <v>143</v>
      </c>
      <c r="E2081" s="108" t="s">
        <v>10</v>
      </c>
      <c r="F2081" s="116">
        <v>812</v>
      </c>
      <c r="G2081" s="108" t="s">
        <v>55</v>
      </c>
      <c r="H2081" s="108" t="str">
        <f t="shared" si="168"/>
        <v>Quilcene River</v>
      </c>
      <c r="I2081" s="108" t="str">
        <f>IFERROR(VLOOKUP(H2081,LUTs!$A$1:$C$73,2,FALSE),"NA")</f>
        <v>Jefferson</v>
      </c>
      <c r="J2081" s="108" t="str">
        <f>IFERROR(VLOOKUP(H2081,LUTs!$A$1:$C$73,3,FALSE),"NA")</f>
        <v>4 Hood Canal</v>
      </c>
      <c r="K2081" s="108" t="s">
        <v>26</v>
      </c>
      <c r="L2081" s="108" t="str">
        <f>VLOOKUP(K2081,LUTs!E$2:G$14,3,)</f>
        <v>20Other</v>
      </c>
      <c r="M2081" s="108" t="str">
        <f>VLOOKUP($K2081,LUTs!$E$2:$H$14,2,)</f>
        <v>Non Puget Sound</v>
      </c>
      <c r="N2081" s="108" t="str">
        <f>VLOOKUP($K2081,LUTs!$E$2:$H$14,4,)</f>
        <v>07Non Puget Sound</v>
      </c>
      <c r="O2081" s="108">
        <v>88.202531645569593</v>
      </c>
      <c r="P2081" s="108">
        <v>303.416708860759</v>
      </c>
      <c r="Q2081" s="108">
        <f>SUMIFS('FW_Salmon_by_Month_2010-2021'!P$2:P$3810,'FW_Salmon_by_Month_2010-2021'!$B$2:$B$3810,'Rec_raw_catch_effort_2010-2021'!$B2081,'FW_Salmon_by_Month_2010-2021'!$H$2:$H$3810,'Rec_raw_catch_effort_2010-2021'!$F2081,'FW_Salmon_by_Month_2010-2021'!$M$2:$M$3810,'Rec_raw_catch_effort_2010-2021'!$K2081)</f>
        <v>88.096000000000004</v>
      </c>
      <c r="R2081" s="109">
        <f>VLOOKUP(B2081,Readme!$A$62:$C$74,2,)*Q2081</f>
        <v>311.77530658307165</v>
      </c>
      <c r="S2081" s="140" t="str">
        <f t="shared" si="169"/>
        <v>Y</v>
      </c>
      <c r="T2081" s="154">
        <f t="shared" si="170"/>
        <v>3.4399999999999955</v>
      </c>
      <c r="U2081" s="154">
        <f t="shared" si="171"/>
        <v>3.5390404397824149</v>
      </c>
    </row>
    <row r="2082" spans="1:21" x14ac:dyDescent="0.35">
      <c r="A2082" s="108">
        <v>1026</v>
      </c>
      <c r="B2082" s="108">
        <v>2019</v>
      </c>
      <c r="C2082" s="108" t="s">
        <v>38</v>
      </c>
      <c r="D2082" s="108" t="s">
        <v>143</v>
      </c>
      <c r="E2082" s="108" t="s">
        <v>10</v>
      </c>
      <c r="F2082" s="116">
        <v>812</v>
      </c>
      <c r="G2082" s="108" t="s">
        <v>55</v>
      </c>
      <c r="H2082" s="108" t="str">
        <f t="shared" si="168"/>
        <v>Quilcene River</v>
      </c>
      <c r="I2082" s="108" t="str">
        <f>IFERROR(VLOOKUP(H2082,LUTs!$A$1:$C$73,2,FALSE),"NA")</f>
        <v>Jefferson</v>
      </c>
      <c r="J2082" s="108" t="str">
        <f>IFERROR(VLOOKUP(H2082,LUTs!$A$1:$C$73,3,FALSE),"NA")</f>
        <v>4 Hood Canal</v>
      </c>
      <c r="K2082" s="108" t="s">
        <v>20</v>
      </c>
      <c r="L2082" s="108" t="str">
        <f>VLOOKUP(K2082,LUTs!E$2:G$14,3,)</f>
        <v>07Pierce</v>
      </c>
      <c r="M2082" s="108" t="str">
        <f>VLOOKUP($K2082,LUTs!$E$2:$H$14,2,)</f>
        <v>South Puget Sound</v>
      </c>
      <c r="N2082" s="108" t="str">
        <f>VLOOKUP($K2082,LUTs!$E$2:$H$14,4,)</f>
        <v>02South Puget Sound</v>
      </c>
      <c r="O2082" s="108">
        <v>198.45569620253201</v>
      </c>
      <c r="P2082" s="108">
        <v>682.68759493670996</v>
      </c>
      <c r="Q2082" s="108">
        <f>SUMIFS('FW_Salmon_by_Month_2010-2021'!P$2:P$3810,'FW_Salmon_by_Month_2010-2021'!$B$2:$B$3810,'Rec_raw_catch_effort_2010-2021'!$B2082,'FW_Salmon_by_Month_2010-2021'!$H$2:$H$3810,'Rec_raw_catch_effort_2010-2021'!$F2082,'FW_Salmon_by_Month_2010-2021'!$M$2:$M$3810,'Rec_raw_catch_effort_2010-2021'!$K2082)</f>
        <v>198.44248275862068</v>
      </c>
      <c r="R2082" s="109">
        <f>VLOOKUP(B2082,Readme!$A$62:$C$74,2,)*Q2082</f>
        <v>702.29597145358332</v>
      </c>
      <c r="S2082" s="140" t="str">
        <f t="shared" si="169"/>
        <v>Y</v>
      </c>
      <c r="T2082" s="154">
        <f t="shared" si="170"/>
        <v>3.4399999999999991</v>
      </c>
      <c r="U2082" s="154">
        <f t="shared" si="171"/>
        <v>3.5390404397824153</v>
      </c>
    </row>
    <row r="2083" spans="1:21" x14ac:dyDescent="0.35">
      <c r="A2083" s="108">
        <v>955</v>
      </c>
      <c r="B2083" s="108">
        <v>2019</v>
      </c>
      <c r="C2083" s="108" t="s">
        <v>38</v>
      </c>
      <c r="D2083" s="108" t="s">
        <v>143</v>
      </c>
      <c r="E2083" s="108" t="s">
        <v>10</v>
      </c>
      <c r="F2083" s="116">
        <v>812</v>
      </c>
      <c r="G2083" s="108" t="s">
        <v>55</v>
      </c>
      <c r="H2083" s="108" t="str">
        <f t="shared" si="168"/>
        <v>Quilcene River</v>
      </c>
      <c r="I2083" s="108" t="str">
        <f>IFERROR(VLOOKUP(H2083,LUTs!$A$1:$C$73,2,FALSE),"NA")</f>
        <v>Jefferson</v>
      </c>
      <c r="J2083" s="108" t="str">
        <f>IFERROR(VLOOKUP(H2083,LUTs!$A$1:$C$73,3,FALSE),"NA")</f>
        <v>4 Hood Canal</v>
      </c>
      <c r="K2083" s="108" t="s">
        <v>16</v>
      </c>
      <c r="L2083" s="108" t="str">
        <f>VLOOKUP(K2083,LUTs!E$2:G$14,3,)</f>
        <v>03Snohomish</v>
      </c>
      <c r="M2083" s="108" t="str">
        <f>VLOOKUP($K2083,LUTs!$E$2:$H$14,2,)</f>
        <v>North Puget Sound</v>
      </c>
      <c r="N2083" s="108" t="str">
        <f>VLOOKUP($K2083,LUTs!$E$2:$H$14,4,)</f>
        <v>01North Puget Sound</v>
      </c>
      <c r="O2083" s="108">
        <v>44.101265822784796</v>
      </c>
      <c r="P2083" s="108">
        <v>151.70835443038001</v>
      </c>
      <c r="Q2083" s="108">
        <f>SUMIFS('FW_Salmon_by_Month_2010-2021'!P$2:P$3810,'FW_Salmon_by_Month_2010-2021'!$B$2:$B$3810,'Rec_raw_catch_effort_2010-2021'!$B2083,'FW_Salmon_by_Month_2010-2021'!$H$2:$H$3810,'Rec_raw_catch_effort_2010-2021'!$F2083,'FW_Salmon_by_Month_2010-2021'!$M$2:$M$3810,'Rec_raw_catch_effort_2010-2021'!$K2083)</f>
        <v>44.095999999999997</v>
      </c>
      <c r="R2083" s="109">
        <f>VLOOKUP(B2083,Readme!$A$62:$C$74,2,)*Q2083</f>
        <v>156.05752723264538</v>
      </c>
      <c r="S2083" s="140" t="str">
        <f t="shared" si="169"/>
        <v>Y</v>
      </c>
      <c r="T2083" s="154">
        <f t="shared" si="170"/>
        <v>3.4400000000000071</v>
      </c>
      <c r="U2083" s="154">
        <f t="shared" si="171"/>
        <v>3.5390404397824153</v>
      </c>
    </row>
    <row r="2084" spans="1:21" x14ac:dyDescent="0.35">
      <c r="A2084" s="108">
        <v>1027</v>
      </c>
      <c r="B2084" s="108">
        <v>2019</v>
      </c>
      <c r="C2084" s="108" t="s">
        <v>38</v>
      </c>
      <c r="D2084" s="108" t="s">
        <v>143</v>
      </c>
      <c r="E2084" s="108" t="s">
        <v>10</v>
      </c>
      <c r="F2084" s="116">
        <v>812</v>
      </c>
      <c r="G2084" s="108" t="s">
        <v>55</v>
      </c>
      <c r="H2084" s="108" t="str">
        <f t="shared" si="168"/>
        <v>Quilcene River</v>
      </c>
      <c r="I2084" s="108" t="str">
        <f>IFERROR(VLOOKUP(H2084,LUTs!$A$1:$C$73,2,FALSE),"NA")</f>
        <v>Jefferson</v>
      </c>
      <c r="J2084" s="108" t="str">
        <f>IFERROR(VLOOKUP(H2084,LUTs!$A$1:$C$73,3,FALSE),"NA")</f>
        <v>4 Hood Canal</v>
      </c>
      <c r="K2084" s="108" t="s">
        <v>21</v>
      </c>
      <c r="L2084" s="108" t="str">
        <f>VLOOKUP(K2084,LUTs!E$2:G$14,3,)</f>
        <v>08Thurston</v>
      </c>
      <c r="M2084" s="108" t="str">
        <f>VLOOKUP($K2084,LUTs!$E$2:$H$14,2,)</f>
        <v>South Puget Sound</v>
      </c>
      <c r="N2084" s="108" t="str">
        <f>VLOOKUP($K2084,LUTs!$E$2:$H$14,4,)</f>
        <v>02South Puget Sound</v>
      </c>
      <c r="O2084" s="108">
        <v>44.101265822784796</v>
      </c>
      <c r="P2084" s="108">
        <v>151.70835443038001</v>
      </c>
      <c r="Q2084" s="108">
        <f>SUMIFS('FW_Salmon_by_Month_2010-2021'!P$2:P$3810,'FW_Salmon_by_Month_2010-2021'!$B$2:$B$3810,'Rec_raw_catch_effort_2010-2021'!$B2084,'FW_Salmon_by_Month_2010-2021'!$H$2:$H$3810,'Rec_raw_catch_effort_2010-2021'!$F2084,'FW_Salmon_by_Month_2010-2021'!$M$2:$M$3810,'Rec_raw_catch_effort_2010-2021'!$K2084)</f>
        <v>44.095999999999997</v>
      </c>
      <c r="R2084" s="109">
        <f>VLOOKUP(B2084,Readme!$A$62:$C$74,2,)*Q2084</f>
        <v>156.05752723264538</v>
      </c>
      <c r="S2084" s="140" t="str">
        <f t="shared" si="169"/>
        <v>Y</v>
      </c>
      <c r="T2084" s="154">
        <f t="shared" si="170"/>
        <v>3.4400000000000071</v>
      </c>
      <c r="U2084" s="154">
        <f t="shared" si="171"/>
        <v>3.5390404397824153</v>
      </c>
    </row>
    <row r="2085" spans="1:21" x14ac:dyDescent="0.35">
      <c r="A2085" s="108">
        <v>954</v>
      </c>
      <c r="B2085" s="108">
        <v>2019</v>
      </c>
      <c r="C2085" s="108" t="s">
        <v>38</v>
      </c>
      <c r="D2085" s="108" t="s">
        <v>143</v>
      </c>
      <c r="E2085" s="108" t="s">
        <v>10</v>
      </c>
      <c r="F2085" s="116">
        <v>812</v>
      </c>
      <c r="G2085" s="108" t="s">
        <v>55</v>
      </c>
      <c r="H2085" s="108" t="str">
        <f t="shared" si="168"/>
        <v>Quilcene River</v>
      </c>
      <c r="I2085" s="108" t="str">
        <f>IFERROR(VLOOKUP(H2085,LUTs!$A$1:$C$73,2,FALSE),"NA")</f>
        <v>Jefferson</v>
      </c>
      <c r="J2085" s="108" t="str">
        <f>IFERROR(VLOOKUP(H2085,LUTs!$A$1:$C$73,3,FALSE),"NA")</f>
        <v>4 Hood Canal</v>
      </c>
      <c r="K2085" s="108" t="s">
        <v>13</v>
      </c>
      <c r="L2085" s="108" t="str">
        <f>VLOOKUP(K2085,LUTs!E$2:G$14,3,)</f>
        <v>01Whatcom</v>
      </c>
      <c r="M2085" s="108" t="str">
        <f>VLOOKUP($K2085,LUTs!$E$2:$H$14,2,)</f>
        <v>North Puget Sound</v>
      </c>
      <c r="N2085" s="108" t="str">
        <f>VLOOKUP($K2085,LUTs!$E$2:$H$14,4,)</f>
        <v>01North Puget Sound</v>
      </c>
      <c r="O2085" s="108">
        <v>22.050632911392398</v>
      </c>
      <c r="P2085" s="108">
        <v>75.854177215189793</v>
      </c>
      <c r="Q2085" s="108">
        <f>SUMIFS('FW_Salmon_by_Month_2010-2021'!P$2:P$3810,'FW_Salmon_by_Month_2010-2021'!$B$2:$B$3810,'Rec_raw_catch_effort_2010-2021'!$B2085,'FW_Salmon_by_Month_2010-2021'!$H$2:$H$3810,'Rec_raw_catch_effort_2010-2021'!$F2085,'FW_Salmon_by_Month_2010-2021'!$M$2:$M$3810,'Rec_raw_catch_effort_2010-2021'!$K2085)</f>
        <v>22.068965517241399</v>
      </c>
      <c r="R2085" s="109">
        <f>VLOOKUP(B2085,Readme!$A$62:$C$74,2,)*Q2085</f>
        <v>78.10296142968096</v>
      </c>
      <c r="S2085" s="140" t="str">
        <f t="shared" si="169"/>
        <v>Y</v>
      </c>
      <c r="T2085" s="154">
        <f t="shared" si="170"/>
        <v>3.4399999999999973</v>
      </c>
      <c r="U2085" s="154">
        <f t="shared" si="171"/>
        <v>3.5390404397824153</v>
      </c>
    </row>
    <row r="2086" spans="1:21" x14ac:dyDescent="0.35">
      <c r="A2086" s="108">
        <v>1040</v>
      </c>
      <c r="B2086" s="108">
        <v>2020</v>
      </c>
      <c r="C2086" s="108" t="s">
        <v>38</v>
      </c>
      <c r="D2086" s="108" t="s">
        <v>143</v>
      </c>
      <c r="E2086" s="108" t="s">
        <v>10</v>
      </c>
      <c r="F2086" s="116">
        <v>812</v>
      </c>
      <c r="G2086" s="108" t="s">
        <v>55</v>
      </c>
      <c r="H2086" s="108" t="str">
        <f t="shared" si="168"/>
        <v>Quilcene River</v>
      </c>
      <c r="I2086" s="108" t="str">
        <f>IFERROR(VLOOKUP(H2086,LUTs!$A$1:$C$73,2,FALSE),"NA")</f>
        <v>Jefferson</v>
      </c>
      <c r="J2086" s="108" t="str">
        <f>IFERROR(VLOOKUP(H2086,LUTs!$A$1:$C$73,3,FALSE),"NA")</f>
        <v>4 Hood Canal</v>
      </c>
      <c r="K2086" s="108" t="s">
        <v>24</v>
      </c>
      <c r="L2086" s="108" t="str">
        <f>VLOOKUP(K2086,LUTs!E$2:G$14,3,)</f>
        <v>11Clallam</v>
      </c>
      <c r="M2086" s="108" t="str">
        <f>VLOOKUP($K2086,LUTs!$E$2:$H$14,2,)</f>
        <v>Strait of Juan de Fuca</v>
      </c>
      <c r="N2086" s="108" t="str">
        <f>VLOOKUP($K2086,LUTs!$E$2:$H$14,4,)</f>
        <v>03Strait of Juan de Fuca</v>
      </c>
      <c r="O2086" s="108">
        <v>732.53968253968299</v>
      </c>
      <c r="P2086" s="108">
        <v>6336.4682539682599</v>
      </c>
      <c r="Q2086" s="108">
        <f>SUMIFS('FW_Salmon_by_Month_2010-2021'!P$2:P$3810,'FW_Salmon_by_Month_2010-2021'!$B$2:$B$3810,'Rec_raw_catch_effort_2010-2021'!$B2086,'FW_Salmon_by_Month_2010-2021'!$H$2:$H$3810,'Rec_raw_catch_effort_2010-2021'!$F2086,'FW_Salmon_by_Month_2010-2021'!$M$2:$M$3810,'Rec_raw_catch_effort_2010-2021'!$K2086)</f>
        <v>732.60109890109902</v>
      </c>
      <c r="R2086" s="109">
        <f>VLOOKUP(B2086,Readme!$A$62:$C$74,2,)*Q2086</f>
        <v>3530.8112189675176</v>
      </c>
      <c r="S2086" s="140" t="str">
        <f t="shared" si="169"/>
        <v>N</v>
      </c>
      <c r="T2086" s="154">
        <f t="shared" si="170"/>
        <v>8.6500000000000021</v>
      </c>
      <c r="U2086" s="154">
        <f t="shared" si="171"/>
        <v>4.8195549041132084</v>
      </c>
    </row>
    <row r="2087" spans="1:21" x14ac:dyDescent="0.35">
      <c r="A2087" s="108">
        <v>1041</v>
      </c>
      <c r="B2087" s="108">
        <v>2020</v>
      </c>
      <c r="C2087" s="108" t="s">
        <v>38</v>
      </c>
      <c r="D2087" s="108" t="s">
        <v>143</v>
      </c>
      <c r="E2087" s="108" t="s">
        <v>10</v>
      </c>
      <c r="F2087" s="116">
        <v>812</v>
      </c>
      <c r="G2087" s="108" t="s">
        <v>55</v>
      </c>
      <c r="H2087" s="108" t="str">
        <f t="shared" si="168"/>
        <v>Quilcene River</v>
      </c>
      <c r="I2087" s="108" t="str">
        <f>IFERROR(VLOOKUP(H2087,LUTs!$A$1:$C$73,2,FALSE),"NA")</f>
        <v>Jefferson</v>
      </c>
      <c r="J2087" s="108" t="str">
        <f>IFERROR(VLOOKUP(H2087,LUTs!$A$1:$C$73,3,FALSE),"NA")</f>
        <v>4 Hood Canal</v>
      </c>
      <c r="K2087" s="108" t="s">
        <v>25</v>
      </c>
      <c r="L2087" s="108" t="str">
        <f>VLOOKUP(K2087,LUTs!E$2:G$14,3,)</f>
        <v>12Jefferson</v>
      </c>
      <c r="M2087" s="108" t="str">
        <f>VLOOKUP($K2087,LUTs!$E$2:$H$14,2,)</f>
        <v>Strait of Juan de Fuca</v>
      </c>
      <c r="N2087" s="108" t="str">
        <f>VLOOKUP($K2087,LUTs!$E$2:$H$14,4,)</f>
        <v>03Strait of Juan de Fuca</v>
      </c>
      <c r="O2087" s="108">
        <v>394.44444444444503</v>
      </c>
      <c r="P2087" s="108">
        <v>3411.9444444444498</v>
      </c>
      <c r="Q2087" s="108">
        <f>SUMIFS('FW_Salmon_by_Month_2010-2021'!P$2:P$3810,'FW_Salmon_by_Month_2010-2021'!$B$2:$B$3810,'Rec_raw_catch_effort_2010-2021'!$B2087,'FW_Salmon_by_Month_2010-2021'!$H$2:$H$3810,'Rec_raw_catch_effort_2010-2021'!$F2087,'FW_Salmon_by_Month_2010-2021'!$M$2:$M$3810,'Rec_raw_catch_effort_2010-2021'!$K2087)</f>
        <v>394.42362637362601</v>
      </c>
      <c r="R2087" s="109">
        <f>VLOOKUP(B2087,Readme!$A$62:$C$74,2,)*Q2087</f>
        <v>1900.9463227871249</v>
      </c>
      <c r="S2087" s="140" t="str">
        <f t="shared" si="169"/>
        <v>N</v>
      </c>
      <c r="T2087" s="154">
        <f t="shared" si="170"/>
        <v>8.65</v>
      </c>
      <c r="U2087" s="154">
        <f t="shared" si="171"/>
        <v>4.8195549041132084</v>
      </c>
    </row>
    <row r="2088" spans="1:21" x14ac:dyDescent="0.35">
      <c r="A2088" s="108">
        <v>1035</v>
      </c>
      <c r="B2088" s="108">
        <v>2020</v>
      </c>
      <c r="C2088" s="108" t="s">
        <v>38</v>
      </c>
      <c r="D2088" s="108" t="s">
        <v>143</v>
      </c>
      <c r="E2088" s="108" t="s">
        <v>10</v>
      </c>
      <c r="F2088" s="116">
        <v>812</v>
      </c>
      <c r="G2088" s="108" t="s">
        <v>55</v>
      </c>
      <c r="H2088" s="108" t="str">
        <f t="shared" si="168"/>
        <v>Quilcene River</v>
      </c>
      <c r="I2088" s="108" t="str">
        <f>IFERROR(VLOOKUP(H2088,LUTs!$A$1:$C$73,2,FALSE),"NA")</f>
        <v>Jefferson</v>
      </c>
      <c r="J2088" s="108" t="str">
        <f>IFERROR(VLOOKUP(H2088,LUTs!$A$1:$C$73,3,FALSE),"NA")</f>
        <v>4 Hood Canal</v>
      </c>
      <c r="K2088" s="108" t="s">
        <v>18</v>
      </c>
      <c r="L2088" s="108" t="str">
        <f>VLOOKUP(K2088,LUTs!E$2:G$14,3,)</f>
        <v>06King</v>
      </c>
      <c r="M2088" s="108" t="str">
        <f>VLOOKUP($K2088,LUTs!$E$2:$H$14,2,)</f>
        <v>South Puget Sound</v>
      </c>
      <c r="N2088" s="108" t="str">
        <f>VLOOKUP($K2088,LUTs!$E$2:$H$14,4,)</f>
        <v>02South Puget Sound</v>
      </c>
      <c r="O2088" s="108">
        <v>146.50793650793699</v>
      </c>
      <c r="P2088" s="108">
        <v>1267.2936507936499</v>
      </c>
      <c r="Q2088" s="108">
        <f>SUMIFS('FW_Salmon_by_Month_2010-2021'!P$2:P$3810,'FW_Salmon_by_Month_2010-2021'!$B$2:$B$3810,'Rec_raw_catch_effort_2010-2021'!$B2088,'FW_Salmon_by_Month_2010-2021'!$H$2:$H$3810,'Rec_raw_catch_effort_2010-2021'!$F2088,'FW_Salmon_by_Month_2010-2021'!$M$2:$M$3810,'Rec_raw_catch_effort_2010-2021'!$K2088)</f>
        <v>146.51098901098911</v>
      </c>
      <c r="R2088" s="109">
        <f>VLOOKUP(B2088,Readme!$A$62:$C$74,2,)*Q2088</f>
        <v>706.11775559438888</v>
      </c>
      <c r="S2088" s="140" t="str">
        <f t="shared" si="169"/>
        <v>N</v>
      </c>
      <c r="T2088" s="154">
        <f t="shared" si="170"/>
        <v>8.6499999999999648</v>
      </c>
      <c r="U2088" s="154">
        <f t="shared" si="171"/>
        <v>4.8195549041132084</v>
      </c>
    </row>
    <row r="2089" spans="1:21" x14ac:dyDescent="0.35">
      <c r="A2089" s="108">
        <v>1039</v>
      </c>
      <c r="B2089" s="108">
        <v>2020</v>
      </c>
      <c r="C2089" s="108" t="s">
        <v>38</v>
      </c>
      <c r="D2089" s="108" t="s">
        <v>143</v>
      </c>
      <c r="E2089" s="108" t="s">
        <v>10</v>
      </c>
      <c r="F2089" s="116">
        <v>812</v>
      </c>
      <c r="G2089" s="108" t="s">
        <v>55</v>
      </c>
      <c r="H2089" s="108" t="str">
        <f t="shared" si="168"/>
        <v>Quilcene River</v>
      </c>
      <c r="I2089" s="108" t="str">
        <f>IFERROR(VLOOKUP(H2089,LUTs!$A$1:$C$73,2,FALSE),"NA")</f>
        <v>Jefferson</v>
      </c>
      <c r="J2089" s="108" t="str">
        <f>IFERROR(VLOOKUP(H2089,LUTs!$A$1:$C$73,3,FALSE),"NA")</f>
        <v>4 Hood Canal</v>
      </c>
      <c r="K2089" s="108" t="s">
        <v>23</v>
      </c>
      <c r="L2089" s="108" t="str">
        <f>VLOOKUP(K2089,LUTs!E$2:G$14,3,)</f>
        <v>10Kitsap</v>
      </c>
      <c r="M2089" s="108" t="str">
        <f>VLOOKUP($K2089,LUTs!$E$2:$H$14,2,)</f>
        <v>South Puget Sound</v>
      </c>
      <c r="N2089" s="108" t="str">
        <f>VLOOKUP($K2089,LUTs!$E$2:$H$14,4,)</f>
        <v>02South Puget Sound</v>
      </c>
      <c r="O2089" s="108">
        <v>833.96825396825398</v>
      </c>
      <c r="P2089" s="108">
        <v>7213.8253968254003</v>
      </c>
      <c r="Q2089" s="108">
        <f>SUMIFS('FW_Salmon_by_Month_2010-2021'!P$2:P$3810,'FW_Salmon_by_Month_2010-2021'!$B$2:$B$3810,'Rec_raw_catch_effort_2010-2021'!$B2089,'FW_Salmon_by_Month_2010-2021'!$H$2:$H$3810,'Rec_raw_catch_effort_2010-2021'!$F2089,'FW_Salmon_by_Month_2010-2021'!$M$2:$M$3810,'Rec_raw_catch_effort_2010-2021'!$K2089)</f>
        <v>833.90714285714296</v>
      </c>
      <c r="R2089" s="109">
        <f>VLOOKUP(B2089,Readme!$A$62:$C$74,2,)*Q2089</f>
        <v>4019.0612599321771</v>
      </c>
      <c r="S2089" s="140" t="str">
        <f t="shared" si="169"/>
        <v>N</v>
      </c>
      <c r="T2089" s="154">
        <f t="shared" si="170"/>
        <v>8.6500000000000039</v>
      </c>
      <c r="U2089" s="154">
        <f t="shared" si="171"/>
        <v>4.8195549041132084</v>
      </c>
    </row>
    <row r="2090" spans="1:21" x14ac:dyDescent="0.35">
      <c r="A2090" s="108">
        <v>1038</v>
      </c>
      <c r="B2090" s="108">
        <v>2020</v>
      </c>
      <c r="C2090" s="108" t="s">
        <v>38</v>
      </c>
      <c r="D2090" s="108" t="s">
        <v>143</v>
      </c>
      <c r="E2090" s="108" t="s">
        <v>10</v>
      </c>
      <c r="F2090" s="116">
        <v>812</v>
      </c>
      <c r="G2090" s="108" t="s">
        <v>55</v>
      </c>
      <c r="H2090" s="108" t="str">
        <f t="shared" ref="H2090:H2153" si="172">G2090</f>
        <v>Quilcene River</v>
      </c>
      <c r="I2090" s="108" t="str">
        <f>IFERROR(VLOOKUP(H2090,LUTs!$A$1:$C$73,2,FALSE),"NA")</f>
        <v>Jefferson</v>
      </c>
      <c r="J2090" s="108" t="str">
        <f>IFERROR(VLOOKUP(H2090,LUTs!$A$1:$C$73,3,FALSE),"NA")</f>
        <v>4 Hood Canal</v>
      </c>
      <c r="K2090" s="108" t="s">
        <v>22</v>
      </c>
      <c r="L2090" s="108" t="str">
        <f>VLOOKUP(K2090,LUTs!E$2:G$14,3,)</f>
        <v>09Mason</v>
      </c>
      <c r="M2090" s="108" t="str">
        <f>VLOOKUP($K2090,LUTs!$E$2:$H$14,2,)</f>
        <v>South Puget Sound</v>
      </c>
      <c r="N2090" s="108" t="str">
        <f>VLOOKUP($K2090,LUTs!$E$2:$H$14,4,)</f>
        <v>02South Puget Sound</v>
      </c>
      <c r="O2090" s="108">
        <v>552.22222222222194</v>
      </c>
      <c r="P2090" s="108">
        <v>4776.7222222222199</v>
      </c>
      <c r="Q2090" s="108">
        <f>SUMIFS('FW_Salmon_by_Month_2010-2021'!P$2:P$3810,'FW_Salmon_by_Month_2010-2021'!$B$2:$B$3810,'Rec_raw_catch_effort_2010-2021'!$B2090,'FW_Salmon_by_Month_2010-2021'!$H$2:$H$3810,'Rec_raw_catch_effort_2010-2021'!$F2090,'FW_Salmon_by_Month_2010-2021'!$M$2:$M$3810,'Rec_raw_catch_effort_2010-2021'!$K2090)</f>
        <v>552.22967032967097</v>
      </c>
      <c r="R2090" s="109">
        <f>VLOOKUP(B2090,Readme!$A$62:$C$74,2,)*Q2090</f>
        <v>2661.501215834186</v>
      </c>
      <c r="S2090" s="140" t="str">
        <f t="shared" si="169"/>
        <v>N</v>
      </c>
      <c r="T2090" s="154">
        <f t="shared" si="170"/>
        <v>8.65</v>
      </c>
      <c r="U2090" s="154">
        <f t="shared" si="171"/>
        <v>4.8195549041132084</v>
      </c>
    </row>
    <row r="2091" spans="1:21" x14ac:dyDescent="0.35">
      <c r="A2091" s="108">
        <v>1042</v>
      </c>
      <c r="B2091" s="108">
        <v>2020</v>
      </c>
      <c r="C2091" s="108" t="s">
        <v>38</v>
      </c>
      <c r="D2091" s="108" t="s">
        <v>143</v>
      </c>
      <c r="E2091" s="108" t="s">
        <v>10</v>
      </c>
      <c r="F2091" s="116">
        <v>812</v>
      </c>
      <c r="G2091" s="108" t="s">
        <v>55</v>
      </c>
      <c r="H2091" s="108" t="str">
        <f t="shared" si="172"/>
        <v>Quilcene River</v>
      </c>
      <c r="I2091" s="108" t="str">
        <f>IFERROR(VLOOKUP(H2091,LUTs!$A$1:$C$73,2,FALSE),"NA")</f>
        <v>Jefferson</v>
      </c>
      <c r="J2091" s="108" t="str">
        <f>IFERROR(VLOOKUP(H2091,LUTs!$A$1:$C$73,3,FALSE),"NA")</f>
        <v>4 Hood Canal</v>
      </c>
      <c r="K2091" s="108" t="s">
        <v>26</v>
      </c>
      <c r="L2091" s="108" t="str">
        <f>VLOOKUP(K2091,LUTs!E$2:G$14,3,)</f>
        <v>20Other</v>
      </c>
      <c r="M2091" s="108" t="str">
        <f>VLOOKUP($K2091,LUTs!$E$2:$H$14,2,)</f>
        <v>Non Puget Sound</v>
      </c>
      <c r="N2091" s="108" t="str">
        <f>VLOOKUP($K2091,LUTs!$E$2:$H$14,4,)</f>
        <v>07Non Puget Sound</v>
      </c>
      <c r="O2091" s="108">
        <v>22.539682539682499</v>
      </c>
      <c r="P2091" s="108">
        <v>194.968253968254</v>
      </c>
      <c r="Q2091" s="108">
        <f>SUMIFS('FW_Salmon_by_Month_2010-2021'!P$2:P$3810,'FW_Salmon_by_Month_2010-2021'!$B$2:$B$3810,'Rec_raw_catch_effort_2010-2021'!$B2091,'FW_Salmon_by_Month_2010-2021'!$H$2:$H$3810,'Rec_raw_catch_effort_2010-2021'!$F2091,'FW_Salmon_by_Month_2010-2021'!$M$2:$M$3810,'Rec_raw_catch_effort_2010-2021'!$K2091)</f>
        <v>22.538461538461501</v>
      </c>
      <c r="R2091" s="109">
        <f>VLOOKUP(B2091,Readme!$A$62:$C$74,2,)*Q2091</f>
        <v>108.62535283885906</v>
      </c>
      <c r="S2091" s="140" t="str">
        <f t="shared" si="169"/>
        <v>N</v>
      </c>
      <c r="T2091" s="154">
        <f t="shared" si="170"/>
        <v>8.6500000000000181</v>
      </c>
      <c r="U2091" s="154">
        <f t="shared" si="171"/>
        <v>4.8195549041132084</v>
      </c>
    </row>
    <row r="2092" spans="1:21" x14ac:dyDescent="0.35">
      <c r="A2092" s="108">
        <v>1036</v>
      </c>
      <c r="B2092" s="108">
        <v>2020</v>
      </c>
      <c r="C2092" s="108" t="s">
        <v>38</v>
      </c>
      <c r="D2092" s="108" t="s">
        <v>143</v>
      </c>
      <c r="E2092" s="108" t="s">
        <v>10</v>
      </c>
      <c r="F2092" s="116">
        <v>812</v>
      </c>
      <c r="G2092" s="108" t="s">
        <v>55</v>
      </c>
      <c r="H2092" s="108" t="str">
        <f t="shared" si="172"/>
        <v>Quilcene River</v>
      </c>
      <c r="I2092" s="108" t="str">
        <f>IFERROR(VLOOKUP(H2092,LUTs!$A$1:$C$73,2,FALSE),"NA")</f>
        <v>Jefferson</v>
      </c>
      <c r="J2092" s="108" t="str">
        <f>IFERROR(VLOOKUP(H2092,LUTs!$A$1:$C$73,3,FALSE),"NA")</f>
        <v>4 Hood Canal</v>
      </c>
      <c r="K2092" s="108" t="s">
        <v>20</v>
      </c>
      <c r="L2092" s="108" t="str">
        <f>VLOOKUP(K2092,LUTs!E$2:G$14,3,)</f>
        <v>07Pierce</v>
      </c>
      <c r="M2092" s="108" t="str">
        <f>VLOOKUP($K2092,LUTs!$E$2:$H$14,2,)</f>
        <v>South Puget Sound</v>
      </c>
      <c r="N2092" s="108" t="str">
        <f>VLOOKUP($K2092,LUTs!$E$2:$H$14,4,)</f>
        <v>02South Puget Sound</v>
      </c>
      <c r="O2092" s="108">
        <v>101.428571428571</v>
      </c>
      <c r="P2092" s="108">
        <v>877.35714285713902</v>
      </c>
      <c r="Q2092" s="108">
        <f>SUMIFS('FW_Salmon_by_Month_2010-2021'!P$2:P$3810,'FW_Salmon_by_Month_2010-2021'!$B$2:$B$3810,'Rec_raw_catch_effort_2010-2021'!$B2092,'FW_Salmon_by_Month_2010-2021'!$H$2:$H$3810,'Rec_raw_catch_effort_2010-2021'!$F2092,'FW_Salmon_by_Month_2010-2021'!$M$2:$M$3810,'Rec_raw_catch_effort_2010-2021'!$K2092)</f>
        <v>101.434065934066</v>
      </c>
      <c r="R2092" s="109">
        <f>VLOOKUP(B2092,Readme!$A$62:$C$74,2,)*Q2092</f>
        <v>488.86704991667034</v>
      </c>
      <c r="S2092" s="140" t="str">
        <f t="shared" si="169"/>
        <v>N</v>
      </c>
      <c r="T2092" s="154">
        <f t="shared" si="170"/>
        <v>8.6499999999999986</v>
      </c>
      <c r="U2092" s="154">
        <f t="shared" si="171"/>
        <v>4.8195549041132084</v>
      </c>
    </row>
    <row r="2093" spans="1:21" x14ac:dyDescent="0.35">
      <c r="A2093" s="108">
        <v>1034</v>
      </c>
      <c r="B2093" s="108">
        <v>2020</v>
      </c>
      <c r="C2093" s="108" t="s">
        <v>38</v>
      </c>
      <c r="D2093" s="108" t="s">
        <v>143</v>
      </c>
      <c r="E2093" s="108" t="s">
        <v>10</v>
      </c>
      <c r="F2093" s="116">
        <v>812</v>
      </c>
      <c r="G2093" s="108" t="s">
        <v>55</v>
      </c>
      <c r="H2093" s="108" t="str">
        <f t="shared" si="172"/>
        <v>Quilcene River</v>
      </c>
      <c r="I2093" s="108" t="str">
        <f>IFERROR(VLOOKUP(H2093,LUTs!$A$1:$C$73,2,FALSE),"NA")</f>
        <v>Jefferson</v>
      </c>
      <c r="J2093" s="108" t="str">
        <f>IFERROR(VLOOKUP(H2093,LUTs!$A$1:$C$73,3,FALSE),"NA")</f>
        <v>4 Hood Canal</v>
      </c>
      <c r="K2093" s="108" t="s">
        <v>16</v>
      </c>
      <c r="L2093" s="108" t="str">
        <f>VLOOKUP(K2093,LUTs!E$2:G$14,3,)</f>
        <v>03Snohomish</v>
      </c>
      <c r="M2093" s="108" t="str">
        <f>VLOOKUP($K2093,LUTs!$E$2:$H$14,2,)</f>
        <v>North Puget Sound</v>
      </c>
      <c r="N2093" s="108" t="str">
        <f>VLOOKUP($K2093,LUTs!$E$2:$H$14,4,)</f>
        <v>01North Puget Sound</v>
      </c>
      <c r="O2093" s="108">
        <v>45.079365079365097</v>
      </c>
      <c r="P2093" s="108">
        <v>389.93650793650801</v>
      </c>
      <c r="Q2093" s="108">
        <f>SUMIFS('FW_Salmon_by_Month_2010-2021'!P$2:P$3810,'FW_Salmon_by_Month_2010-2021'!$B$2:$B$3810,'Rec_raw_catch_effort_2010-2021'!$B2093,'FW_Salmon_by_Month_2010-2021'!$H$2:$H$3810,'Rec_raw_catch_effort_2010-2021'!$F2093,'FW_Salmon_by_Month_2010-2021'!$M$2:$M$3810,'Rec_raw_catch_effort_2010-2021'!$K2093)</f>
        <v>45.085714285714303</v>
      </c>
      <c r="R2093" s="109">
        <f>VLOOKUP(B2093,Readme!$A$62:$C$74,2,)*Q2093</f>
        <v>217.2930753911613</v>
      </c>
      <c r="S2093" s="140" t="str">
        <f t="shared" si="169"/>
        <v>N</v>
      </c>
      <c r="T2093" s="154">
        <f t="shared" si="170"/>
        <v>8.6499999999999986</v>
      </c>
      <c r="U2093" s="154">
        <f t="shared" si="171"/>
        <v>4.8195549041132084</v>
      </c>
    </row>
    <row r="2094" spans="1:21" x14ac:dyDescent="0.35">
      <c r="A2094" s="108">
        <v>1037</v>
      </c>
      <c r="B2094" s="108">
        <v>2020</v>
      </c>
      <c r="C2094" s="108" t="s">
        <v>38</v>
      </c>
      <c r="D2094" s="108" t="s">
        <v>143</v>
      </c>
      <c r="E2094" s="108" t="s">
        <v>10</v>
      </c>
      <c r="F2094" s="116">
        <v>812</v>
      </c>
      <c r="G2094" s="108" t="s">
        <v>55</v>
      </c>
      <c r="H2094" s="108" t="str">
        <f t="shared" si="172"/>
        <v>Quilcene River</v>
      </c>
      <c r="I2094" s="108" t="str">
        <f>IFERROR(VLOOKUP(H2094,LUTs!$A$1:$C$73,2,FALSE),"NA")</f>
        <v>Jefferson</v>
      </c>
      <c r="J2094" s="108" t="str">
        <f>IFERROR(VLOOKUP(H2094,LUTs!$A$1:$C$73,3,FALSE),"NA")</f>
        <v>4 Hood Canal</v>
      </c>
      <c r="K2094" s="108" t="s">
        <v>21</v>
      </c>
      <c r="L2094" s="108" t="str">
        <f>VLOOKUP(K2094,LUTs!E$2:G$14,3,)</f>
        <v>08Thurston</v>
      </c>
      <c r="M2094" s="108" t="str">
        <f>VLOOKUP($K2094,LUTs!$E$2:$H$14,2,)</f>
        <v>South Puget Sound</v>
      </c>
      <c r="N2094" s="108" t="str">
        <f>VLOOKUP($K2094,LUTs!$E$2:$H$14,4,)</f>
        <v>02South Puget Sound</v>
      </c>
      <c r="O2094" s="108">
        <v>11.269841269841301</v>
      </c>
      <c r="P2094" s="108">
        <v>97.4841269841273</v>
      </c>
      <c r="Q2094" s="108">
        <f>SUMIFS('FW_Salmon_by_Month_2010-2021'!P$2:P$3810,'FW_Salmon_by_Month_2010-2021'!$B$2:$B$3810,'Rec_raw_catch_effort_2010-2021'!$B2094,'FW_Salmon_by_Month_2010-2021'!$H$2:$H$3810,'Rec_raw_catch_effort_2010-2021'!$F2094,'FW_Salmon_by_Month_2010-2021'!$M$2:$M$3810,'Rec_raw_catch_effort_2010-2021'!$K2094)</f>
        <v>11.2692307692308</v>
      </c>
      <c r="R2094" s="109">
        <f>VLOOKUP(B2094,Readme!$A$62:$C$74,2,)*Q2094</f>
        <v>54.312676419429771</v>
      </c>
      <c r="S2094" s="140" t="str">
        <f t="shared" si="169"/>
        <v>N</v>
      </c>
      <c r="T2094" s="154">
        <f t="shared" si="170"/>
        <v>8.6500000000000039</v>
      </c>
      <c r="U2094" s="154">
        <f t="shared" si="171"/>
        <v>4.8195549041132084</v>
      </c>
    </row>
    <row r="2095" spans="1:21" x14ac:dyDescent="0.35">
      <c r="A2095" s="108">
        <v>1048</v>
      </c>
      <c r="B2095" s="108">
        <v>2021</v>
      </c>
      <c r="C2095" s="108" t="s">
        <v>38</v>
      </c>
      <c r="D2095" s="108" t="s">
        <v>143</v>
      </c>
      <c r="E2095" s="108" t="s">
        <v>10</v>
      </c>
      <c r="F2095" s="116">
        <v>812</v>
      </c>
      <c r="G2095" s="108" t="s">
        <v>55</v>
      </c>
      <c r="H2095" s="108" t="str">
        <f t="shared" si="172"/>
        <v>Quilcene River</v>
      </c>
      <c r="I2095" s="108" t="str">
        <f>IFERROR(VLOOKUP(H2095,LUTs!$A$1:$C$73,2,FALSE),"NA")</f>
        <v>Jefferson</v>
      </c>
      <c r="J2095" s="108" t="str">
        <f>IFERROR(VLOOKUP(H2095,LUTs!$A$1:$C$73,3,FALSE),"NA")</f>
        <v>4 Hood Canal</v>
      </c>
      <c r="K2095" s="108" t="s">
        <v>24</v>
      </c>
      <c r="L2095" s="108" t="str">
        <f>VLOOKUP(K2095,LUTs!E$2:G$14,3,)</f>
        <v>11Clallam</v>
      </c>
      <c r="M2095" s="108" t="str">
        <f>VLOOKUP($K2095,LUTs!$E$2:$H$14,2,)</f>
        <v>Strait of Juan de Fuca</v>
      </c>
      <c r="N2095" s="108" t="str">
        <f>VLOOKUP($K2095,LUTs!$E$2:$H$14,4,)</f>
        <v>03Strait of Juan de Fuca</v>
      </c>
      <c r="O2095" s="108">
        <v>759.46799999999996</v>
      </c>
      <c r="P2095" s="108">
        <v>2612.5699199999999</v>
      </c>
      <c r="Q2095" s="108">
        <f>SUMIFS('FW_Salmon_by_Month_2010-2021'!P$2:P$3810,'FW_Salmon_by_Month_2010-2021'!$B$2:$B$3810,'Rec_raw_catch_effort_2010-2021'!$B2095,'FW_Salmon_by_Month_2010-2021'!$H$2:$H$3810,'Rec_raw_catch_effort_2010-2021'!$F2095,'FW_Salmon_by_Month_2010-2021'!$M$2:$M$3810,'Rec_raw_catch_effort_2010-2021'!$K2095)</f>
        <v>775.07458652682556</v>
      </c>
      <c r="R2095" s="109">
        <f>VLOOKUP(B2095,Readme!$A$62:$C$74,2,)*Q2095</f>
        <v>2743.0203055660704</v>
      </c>
      <c r="S2095" s="140" t="str">
        <f t="shared" si="169"/>
        <v>N</v>
      </c>
      <c r="T2095" s="154">
        <f t="shared" si="170"/>
        <v>3.44</v>
      </c>
      <c r="U2095" s="154">
        <f t="shared" si="171"/>
        <v>3.5390404397824153</v>
      </c>
    </row>
    <row r="2096" spans="1:21" x14ac:dyDescent="0.35">
      <c r="A2096" s="108">
        <v>1058</v>
      </c>
      <c r="B2096" s="108">
        <v>2021</v>
      </c>
      <c r="C2096" s="108" t="s">
        <v>38</v>
      </c>
      <c r="D2096" s="108" t="s">
        <v>143</v>
      </c>
      <c r="E2096" s="108" t="s">
        <v>10</v>
      </c>
      <c r="F2096" s="116">
        <v>812</v>
      </c>
      <c r="G2096" s="108" t="s">
        <v>55</v>
      </c>
      <c r="H2096" s="108" t="str">
        <f t="shared" si="172"/>
        <v>Quilcene River</v>
      </c>
      <c r="I2096" s="108" t="str">
        <f>IFERROR(VLOOKUP(H2096,LUTs!$A$1:$C$73,2,FALSE),"NA")</f>
        <v>Jefferson</v>
      </c>
      <c r="J2096" s="108" t="str">
        <f>IFERROR(VLOOKUP(H2096,LUTs!$A$1:$C$73,3,FALSE),"NA")</f>
        <v>4 Hood Canal</v>
      </c>
      <c r="K2096" s="108" t="s">
        <v>25</v>
      </c>
      <c r="L2096" s="108" t="str">
        <f>VLOOKUP(K2096,LUTs!E$2:G$14,3,)</f>
        <v>12Jefferson</v>
      </c>
      <c r="M2096" s="108" t="str">
        <f>VLOOKUP($K2096,LUTs!$E$2:$H$14,2,)</f>
        <v>Strait of Juan de Fuca</v>
      </c>
      <c r="N2096" s="108" t="str">
        <f>VLOOKUP($K2096,LUTs!$E$2:$H$14,4,)</f>
        <v>03Strait of Juan de Fuca</v>
      </c>
      <c r="O2096" s="108">
        <v>1532.26</v>
      </c>
      <c r="P2096" s="108">
        <v>5270.9744000000001</v>
      </c>
      <c r="Q2096" s="108">
        <f>SUMIFS('FW_Salmon_by_Month_2010-2021'!P$2:P$3810,'FW_Salmon_by_Month_2010-2021'!$B$2:$B$3810,'Rec_raw_catch_effort_2010-2021'!$B2096,'FW_Salmon_by_Month_2010-2021'!$H$2:$H$3810,'Rec_raw_catch_effort_2010-2021'!$F2096,'FW_Salmon_by_Month_2010-2021'!$M$2:$M$3810,'Rec_raw_catch_effort_2010-2021'!$K2096)</f>
        <v>1563.552884227511</v>
      </c>
      <c r="R2096" s="109">
        <f>VLOOKUP(B2096,Readme!$A$62:$C$74,2,)*Q2096</f>
        <v>5533.476887019594</v>
      </c>
      <c r="S2096" s="140" t="str">
        <f t="shared" si="169"/>
        <v>N</v>
      </c>
      <c r="T2096" s="154">
        <f t="shared" si="170"/>
        <v>3.44</v>
      </c>
      <c r="U2096" s="154">
        <f t="shared" si="171"/>
        <v>3.5390404397824149</v>
      </c>
    </row>
    <row r="2097" spans="1:21" x14ac:dyDescent="0.35">
      <c r="A2097" s="108">
        <v>1043</v>
      </c>
      <c r="B2097" s="108">
        <v>2021</v>
      </c>
      <c r="C2097" s="108" t="s">
        <v>38</v>
      </c>
      <c r="D2097" s="108" t="s">
        <v>143</v>
      </c>
      <c r="E2097" s="108" t="s">
        <v>10</v>
      </c>
      <c r="F2097" s="116">
        <v>812</v>
      </c>
      <c r="G2097" s="108" t="s">
        <v>55</v>
      </c>
      <c r="H2097" s="108" t="str">
        <f t="shared" si="172"/>
        <v>Quilcene River</v>
      </c>
      <c r="I2097" s="108" t="str">
        <f>IFERROR(VLOOKUP(H2097,LUTs!$A$1:$C$73,2,FALSE),"NA")</f>
        <v>Jefferson</v>
      </c>
      <c r="J2097" s="108" t="str">
        <f>IFERROR(VLOOKUP(H2097,LUTs!$A$1:$C$73,3,FALSE),"NA")</f>
        <v>4 Hood Canal</v>
      </c>
      <c r="K2097" s="108" t="s">
        <v>18</v>
      </c>
      <c r="L2097" s="108" t="str">
        <f>VLOOKUP(K2097,LUTs!E$2:G$14,3,)</f>
        <v>06King</v>
      </c>
      <c r="M2097" s="108" t="str">
        <f>VLOOKUP($K2097,LUTs!$E$2:$H$14,2,)</f>
        <v>South Puget Sound</v>
      </c>
      <c r="N2097" s="108" t="str">
        <f>VLOOKUP($K2097,LUTs!$E$2:$H$14,4,)</f>
        <v>02South Puget Sound</v>
      </c>
      <c r="O2097" s="108">
        <v>572.93200000000002</v>
      </c>
      <c r="P2097" s="108">
        <v>1970.88608</v>
      </c>
      <c r="Q2097" s="108">
        <f>SUMIFS('FW_Salmon_by_Month_2010-2021'!P$2:P$3810,'FW_Salmon_by_Month_2010-2021'!$B$2:$B$3810,'Rec_raw_catch_effort_2010-2021'!$B2097,'FW_Salmon_by_Month_2010-2021'!$H$2:$H$3810,'Rec_raw_catch_effort_2010-2021'!$F2097,'FW_Salmon_by_Month_2010-2021'!$M$2:$M$3810,'Rec_raw_catch_effort_2010-2021'!$K2097)</f>
        <v>448.70141185962098</v>
      </c>
      <c r="R2097" s="109">
        <f>VLOOKUP(B2097,Readme!$A$62:$C$74,2,)*Q2097</f>
        <v>1587.9724419586637</v>
      </c>
      <c r="S2097" s="140" t="str">
        <f t="shared" si="169"/>
        <v>N</v>
      </c>
      <c r="T2097" s="154">
        <f t="shared" si="170"/>
        <v>3.44</v>
      </c>
      <c r="U2097" s="154">
        <f t="shared" si="171"/>
        <v>3.5390404397824153</v>
      </c>
    </row>
    <row r="2098" spans="1:21" x14ac:dyDescent="0.35">
      <c r="A2098" s="108">
        <v>1047</v>
      </c>
      <c r="B2098" s="108">
        <v>2021</v>
      </c>
      <c r="C2098" s="108" t="s">
        <v>38</v>
      </c>
      <c r="D2098" s="108" t="s">
        <v>143</v>
      </c>
      <c r="E2098" s="108" t="s">
        <v>10</v>
      </c>
      <c r="F2098" s="116">
        <v>812</v>
      </c>
      <c r="G2098" s="108" t="s">
        <v>55</v>
      </c>
      <c r="H2098" s="108" t="str">
        <f t="shared" si="172"/>
        <v>Quilcene River</v>
      </c>
      <c r="I2098" s="108" t="str">
        <f>IFERROR(VLOOKUP(H2098,LUTs!$A$1:$C$73,2,FALSE),"NA")</f>
        <v>Jefferson</v>
      </c>
      <c r="J2098" s="108" t="str">
        <f>IFERROR(VLOOKUP(H2098,LUTs!$A$1:$C$73,3,FALSE),"NA")</f>
        <v>4 Hood Canal</v>
      </c>
      <c r="K2098" s="108" t="s">
        <v>23</v>
      </c>
      <c r="L2098" s="108" t="str">
        <f>VLOOKUP(K2098,LUTs!E$2:G$14,3,)</f>
        <v>10Kitsap</v>
      </c>
      <c r="M2098" s="108" t="str">
        <f>VLOOKUP($K2098,LUTs!$E$2:$H$14,2,)</f>
        <v>South Puget Sound</v>
      </c>
      <c r="N2098" s="108" t="str">
        <f>VLOOKUP($K2098,LUTs!$E$2:$H$14,4,)</f>
        <v>02South Puget Sound</v>
      </c>
      <c r="O2098" s="108">
        <v>1212.4839999999999</v>
      </c>
      <c r="P2098" s="108">
        <v>4170.9449599999998</v>
      </c>
      <c r="Q2098" s="108">
        <f>SUMIFS('FW_Salmon_by_Month_2010-2021'!P$2:P$3810,'FW_Salmon_by_Month_2010-2021'!$B$2:$B$3810,'Rec_raw_catch_effort_2010-2021'!$B2098,'FW_Salmon_by_Month_2010-2021'!$H$2:$H$3810,'Rec_raw_catch_effort_2010-2021'!$F2098,'FW_Salmon_by_Month_2010-2021'!$M$2:$M$3810,'Rec_raw_catch_effort_2010-2021'!$K2098)</f>
        <v>1237.4190601048817</v>
      </c>
      <c r="R2098" s="109">
        <f>VLOOKUP(B2098,Readme!$A$62:$C$74,2,)*Q2098</f>
        <v>4379.276094668724</v>
      </c>
      <c r="S2098" s="140" t="str">
        <f t="shared" si="169"/>
        <v>N</v>
      </c>
      <c r="T2098" s="154">
        <f t="shared" si="170"/>
        <v>3.44</v>
      </c>
      <c r="U2098" s="154">
        <f t="shared" si="171"/>
        <v>3.5390404397824158</v>
      </c>
    </row>
    <row r="2099" spans="1:21" x14ac:dyDescent="0.35">
      <c r="A2099" s="108">
        <v>1046</v>
      </c>
      <c r="B2099" s="108">
        <v>2021</v>
      </c>
      <c r="C2099" s="108" t="s">
        <v>38</v>
      </c>
      <c r="D2099" s="108" t="s">
        <v>143</v>
      </c>
      <c r="E2099" s="108" t="s">
        <v>10</v>
      </c>
      <c r="F2099" s="116">
        <v>812</v>
      </c>
      <c r="G2099" s="108" t="s">
        <v>55</v>
      </c>
      <c r="H2099" s="108" t="str">
        <f t="shared" si="172"/>
        <v>Quilcene River</v>
      </c>
      <c r="I2099" s="108" t="str">
        <f>IFERROR(VLOOKUP(H2099,LUTs!$A$1:$C$73,2,FALSE),"NA")</f>
        <v>Jefferson</v>
      </c>
      <c r="J2099" s="108" t="str">
        <f>IFERROR(VLOOKUP(H2099,LUTs!$A$1:$C$73,3,FALSE),"NA")</f>
        <v>4 Hood Canal</v>
      </c>
      <c r="K2099" s="108" t="s">
        <v>22</v>
      </c>
      <c r="L2099" s="108" t="str">
        <f>VLOOKUP(K2099,LUTs!E$2:G$14,3,)</f>
        <v>09Mason</v>
      </c>
      <c r="M2099" s="108" t="str">
        <f>VLOOKUP($K2099,LUTs!$E$2:$H$14,2,)</f>
        <v>South Puget Sound</v>
      </c>
      <c r="N2099" s="108" t="str">
        <f>VLOOKUP($K2099,LUTs!$E$2:$H$14,4,)</f>
        <v>02South Puget Sound</v>
      </c>
      <c r="O2099" s="108">
        <v>453.01600000000002</v>
      </c>
      <c r="P2099" s="108">
        <v>1558.3750399999999</v>
      </c>
      <c r="Q2099" s="108">
        <f>SUMIFS('FW_Salmon_by_Month_2010-2021'!P$2:P$3810,'FW_Salmon_by_Month_2010-2021'!$B$2:$B$3810,'Rec_raw_catch_effort_2010-2021'!$B2099,'FW_Salmon_by_Month_2010-2021'!$H$2:$H$3810,'Rec_raw_catch_effort_2010-2021'!$F2099,'FW_Salmon_by_Month_2010-2021'!$M$2:$M$3810,'Rec_raw_catch_effort_2010-2021'!$K2099)</f>
        <v>462.28053650665555</v>
      </c>
      <c r="R2099" s="109">
        <f>VLOOKUP(B2099,Readme!$A$62:$C$74,2,)*Q2099</f>
        <v>1636.0295132213653</v>
      </c>
      <c r="S2099" s="140" t="str">
        <f t="shared" si="169"/>
        <v>N</v>
      </c>
      <c r="T2099" s="154">
        <f t="shared" si="170"/>
        <v>3.4399999999999995</v>
      </c>
      <c r="U2099" s="154">
        <f t="shared" si="171"/>
        <v>3.5390404397824158</v>
      </c>
    </row>
    <row r="2100" spans="1:21" x14ac:dyDescent="0.35">
      <c r="A2100" s="108">
        <v>1059</v>
      </c>
      <c r="B2100" s="108">
        <v>2021</v>
      </c>
      <c r="C2100" s="108" t="s">
        <v>38</v>
      </c>
      <c r="D2100" s="108" t="s">
        <v>143</v>
      </c>
      <c r="E2100" s="108" t="s">
        <v>10</v>
      </c>
      <c r="F2100" s="116">
        <v>812</v>
      </c>
      <c r="G2100" s="108" t="s">
        <v>55</v>
      </c>
      <c r="H2100" s="108" t="str">
        <f t="shared" si="172"/>
        <v>Quilcene River</v>
      </c>
      <c r="I2100" s="108" t="str">
        <f>IFERROR(VLOOKUP(H2100,LUTs!$A$1:$C$73,2,FALSE),"NA")</f>
        <v>Jefferson</v>
      </c>
      <c r="J2100" s="108" t="str">
        <f>IFERROR(VLOOKUP(H2100,LUTs!$A$1:$C$73,3,FALSE),"NA")</f>
        <v>4 Hood Canal</v>
      </c>
      <c r="K2100" s="108" t="s">
        <v>26</v>
      </c>
      <c r="L2100" s="108" t="str">
        <f>VLOOKUP(K2100,LUTs!E$2:G$14,3,)</f>
        <v>20Other</v>
      </c>
      <c r="M2100" s="108" t="str">
        <f>VLOOKUP($K2100,LUTs!$E$2:$H$14,2,)</f>
        <v>Non Puget Sound</v>
      </c>
      <c r="N2100" s="108" t="str">
        <f>VLOOKUP($K2100,LUTs!$E$2:$H$14,4,)</f>
        <v>07Non Puget Sound</v>
      </c>
      <c r="O2100" s="108">
        <v>559.60799999999995</v>
      </c>
      <c r="P2100" s="108">
        <v>1925.05152</v>
      </c>
      <c r="Q2100" s="108">
        <f>SUMIFS('FW_Salmon_by_Month_2010-2021'!P$2:P$3810,'FW_Salmon_by_Month_2010-2021'!$B$2:$B$3810,'Rec_raw_catch_effort_2010-2021'!$B2100,'FW_Salmon_by_Month_2010-2021'!$H$2:$H$3810,'Rec_raw_catch_effort_2010-2021'!$F2100,'FW_Salmon_by_Month_2010-2021'!$M$2:$M$3810,'Rec_raw_catch_effort_2010-2021'!$K2100)</f>
        <v>570.78061718434822</v>
      </c>
      <c r="R2100" s="109">
        <f>VLOOKUP(B2100,Readme!$A$62:$C$74,2,)*Q2100</f>
        <v>2020.0156864593741</v>
      </c>
      <c r="S2100" s="140" t="str">
        <f t="shared" si="169"/>
        <v>N</v>
      </c>
      <c r="T2100" s="154">
        <f t="shared" si="170"/>
        <v>3.4400000000000004</v>
      </c>
      <c r="U2100" s="154">
        <f t="shared" si="171"/>
        <v>3.5390404397824153</v>
      </c>
    </row>
    <row r="2101" spans="1:21" x14ac:dyDescent="0.35">
      <c r="A2101" s="108">
        <v>1044</v>
      </c>
      <c r="B2101" s="108">
        <v>2021</v>
      </c>
      <c r="C2101" s="108" t="s">
        <v>38</v>
      </c>
      <c r="D2101" s="108" t="s">
        <v>143</v>
      </c>
      <c r="E2101" s="108" t="s">
        <v>10</v>
      </c>
      <c r="F2101" s="116">
        <v>812</v>
      </c>
      <c r="G2101" s="108" t="s">
        <v>55</v>
      </c>
      <c r="H2101" s="108" t="str">
        <f t="shared" si="172"/>
        <v>Quilcene River</v>
      </c>
      <c r="I2101" s="108" t="str">
        <f>IFERROR(VLOOKUP(H2101,LUTs!$A$1:$C$73,2,FALSE),"NA")</f>
        <v>Jefferson</v>
      </c>
      <c r="J2101" s="108" t="str">
        <f>IFERROR(VLOOKUP(H2101,LUTs!$A$1:$C$73,3,FALSE),"NA")</f>
        <v>4 Hood Canal</v>
      </c>
      <c r="K2101" s="108" t="s">
        <v>20</v>
      </c>
      <c r="L2101" s="108" t="str">
        <f>VLOOKUP(K2101,LUTs!E$2:G$14,3,)</f>
        <v>07Pierce</v>
      </c>
      <c r="M2101" s="108" t="str">
        <f>VLOOKUP($K2101,LUTs!$E$2:$H$14,2,)</f>
        <v>South Puget Sound</v>
      </c>
      <c r="N2101" s="108" t="str">
        <f>VLOOKUP($K2101,LUTs!$E$2:$H$14,4,)</f>
        <v>02South Puget Sound</v>
      </c>
      <c r="O2101" s="108">
        <v>1399.02</v>
      </c>
      <c r="P2101" s="108">
        <v>4812.6288000000004</v>
      </c>
      <c r="Q2101" s="108">
        <f>SUMIFS('FW_Salmon_by_Month_2010-2021'!P$2:P$3810,'FW_Salmon_by_Month_2010-2021'!$B$2:$B$3810,'Rec_raw_catch_effort_2010-2021'!$B2101,'FW_Salmon_by_Month_2010-2021'!$H$2:$H$3810,'Rec_raw_catch_effort_2010-2021'!$F2101,'FW_Salmon_by_Month_2010-2021'!$M$2:$M$3810,'Rec_raw_catch_effort_2010-2021'!$K2101)</f>
        <v>1427.427430415491</v>
      </c>
      <c r="R2101" s="109">
        <f>VLOOKUP(B2101,Readme!$A$62:$C$74,2,)*Q2101</f>
        <v>5051.7234010951224</v>
      </c>
      <c r="S2101" s="140" t="str">
        <f t="shared" si="169"/>
        <v>N</v>
      </c>
      <c r="T2101" s="154">
        <f t="shared" si="170"/>
        <v>3.4400000000000004</v>
      </c>
      <c r="U2101" s="154">
        <f t="shared" si="171"/>
        <v>3.5390404397824153</v>
      </c>
    </row>
    <row r="2102" spans="1:21" x14ac:dyDescent="0.35">
      <c r="A2102" s="108">
        <v>1045</v>
      </c>
      <c r="B2102" s="108">
        <v>2021</v>
      </c>
      <c r="C2102" s="108" t="s">
        <v>38</v>
      </c>
      <c r="D2102" s="108" t="s">
        <v>143</v>
      </c>
      <c r="E2102" s="108" t="s">
        <v>10</v>
      </c>
      <c r="F2102" s="116">
        <v>812</v>
      </c>
      <c r="G2102" s="108" t="s">
        <v>55</v>
      </c>
      <c r="H2102" s="108" t="str">
        <f t="shared" si="172"/>
        <v>Quilcene River</v>
      </c>
      <c r="I2102" s="108" t="str">
        <f>IFERROR(VLOOKUP(H2102,LUTs!$A$1:$C$73,2,FALSE),"NA")</f>
        <v>Jefferson</v>
      </c>
      <c r="J2102" s="108" t="str">
        <f>IFERROR(VLOOKUP(H2102,LUTs!$A$1:$C$73,3,FALSE),"NA")</f>
        <v>4 Hood Canal</v>
      </c>
      <c r="K2102" s="108" t="s">
        <v>21</v>
      </c>
      <c r="L2102" s="108" t="str">
        <f>VLOOKUP(K2102,LUTs!E$2:G$14,3,)</f>
        <v>08Thurston</v>
      </c>
      <c r="M2102" s="108" t="str">
        <f>VLOOKUP($K2102,LUTs!$E$2:$H$14,2,)</f>
        <v>South Puget Sound</v>
      </c>
      <c r="N2102" s="108" t="str">
        <f>VLOOKUP($K2102,LUTs!$E$2:$H$14,4,)</f>
        <v>02South Puget Sound</v>
      </c>
      <c r="O2102" s="108">
        <v>173.21199999999999</v>
      </c>
      <c r="P2102" s="108">
        <v>595.84928000000002</v>
      </c>
      <c r="Q2102" s="108">
        <f>SUMIFS('FW_Salmon_by_Month_2010-2021'!P$2:P$3810,'FW_Salmon_by_Month_2010-2021'!$B$2:$B$3810,'Rec_raw_catch_effort_2010-2021'!$B2102,'FW_Salmon_by_Month_2010-2021'!$H$2:$H$3810,'Rec_raw_catch_effort_2010-2021'!$F2102,'FW_Salmon_by_Month_2010-2021'!$M$2:$M$3810,'Rec_raw_catch_effort_2010-2021'!$K2102)</f>
        <v>176.76347317466681</v>
      </c>
      <c r="R2102" s="109">
        <f>VLOOKUP(B2102,Readme!$A$62:$C$74,2,)*Q2102</f>
        <v>625.57307984153999</v>
      </c>
      <c r="S2102" s="140" t="str">
        <f t="shared" si="169"/>
        <v>N</v>
      </c>
      <c r="T2102" s="154">
        <f t="shared" si="170"/>
        <v>3.4400000000000004</v>
      </c>
      <c r="U2102" s="154">
        <f t="shared" si="171"/>
        <v>3.5390404397824153</v>
      </c>
    </row>
    <row r="2103" spans="1:21" x14ac:dyDescent="0.35">
      <c r="A2103" s="108">
        <v>2154</v>
      </c>
      <c r="B2103" s="108">
        <v>2010</v>
      </c>
      <c r="C2103" s="108" t="s">
        <v>38</v>
      </c>
      <c r="D2103" s="108" t="s">
        <v>143</v>
      </c>
      <c r="E2103" s="108" t="s">
        <v>10</v>
      </c>
      <c r="F2103" s="116">
        <v>816</v>
      </c>
      <c r="G2103" s="108" t="s">
        <v>56</v>
      </c>
      <c r="H2103" s="108" t="str">
        <f t="shared" si="172"/>
        <v>Samish River</v>
      </c>
      <c r="I2103" s="108" t="str">
        <f>IFERROR(VLOOKUP(H2103,LUTs!$A$1:$C$73,2,FALSE),"NA")</f>
        <v>Skagit</v>
      </c>
      <c r="J2103" s="108" t="str">
        <f>IFERROR(VLOOKUP(H2103,LUTs!$A$1:$C$73,3,FALSE),"NA")</f>
        <v>1North Puget Sound</v>
      </c>
      <c r="K2103" s="108" t="s">
        <v>17</v>
      </c>
      <c r="L2103" s="108" t="str">
        <f>VLOOKUP(K2103,LUTs!E$2:G$14,3,)</f>
        <v>04Island</v>
      </c>
      <c r="M2103" s="108" t="str">
        <f>VLOOKUP($K2103,LUTs!$E$2:$H$14,2,)</f>
        <v>North Puget Sound</v>
      </c>
      <c r="N2103" s="108" t="str">
        <f>VLOOKUP($K2103,LUTs!$E$2:$H$14,4,)</f>
        <v>01North Puget Sound</v>
      </c>
      <c r="O2103" s="108">
        <v>467.07385229540898</v>
      </c>
      <c r="P2103" s="108">
        <v>4040.1888223552901</v>
      </c>
      <c r="Q2103" s="108">
        <f>SUMIFS('FW_Salmon_by_Month_2010-2021'!P$2:P$3810,'FW_Salmon_by_Month_2010-2021'!$B$2:$B$3810,'Rec_raw_catch_effort_2010-2021'!$B2103,'FW_Salmon_by_Month_2010-2021'!$H$2:$H$3810,'Rec_raw_catch_effort_2010-2021'!$F2103,'FW_Salmon_by_Month_2010-2021'!$M$2:$M$3810,'Rec_raw_catch_effort_2010-2021'!$K2103)</f>
        <v>475.34526937118261</v>
      </c>
      <c r="R2103" s="109">
        <f>VLOOKUP(B2103,Readme!$A$62:$C$74,2,)*Q2103</f>
        <v>2290.9526241448971</v>
      </c>
      <c r="S2103" s="140" t="str">
        <f t="shared" si="169"/>
        <v>Y</v>
      </c>
      <c r="T2103" s="154">
        <f t="shared" si="170"/>
        <v>8.6500000000000057</v>
      </c>
      <c r="U2103" s="154">
        <f t="shared" si="171"/>
        <v>4.8195549041132084</v>
      </c>
    </row>
    <row r="2104" spans="1:21" x14ac:dyDescent="0.35">
      <c r="A2104" s="108">
        <v>2286</v>
      </c>
      <c r="B2104" s="108">
        <v>2010</v>
      </c>
      <c r="C2104" s="108" t="s">
        <v>38</v>
      </c>
      <c r="D2104" s="108" t="s">
        <v>143</v>
      </c>
      <c r="E2104" s="108" t="s">
        <v>10</v>
      </c>
      <c r="F2104" s="116">
        <v>816</v>
      </c>
      <c r="G2104" s="108" t="s">
        <v>56</v>
      </c>
      <c r="H2104" s="108" t="str">
        <f t="shared" si="172"/>
        <v>Samish River</v>
      </c>
      <c r="I2104" s="108" t="str">
        <f>IFERROR(VLOOKUP(H2104,LUTs!$A$1:$C$73,2,FALSE),"NA")</f>
        <v>Skagit</v>
      </c>
      <c r="J2104" s="108" t="str">
        <f>IFERROR(VLOOKUP(H2104,LUTs!$A$1:$C$73,3,FALSE),"NA")</f>
        <v>1North Puget Sound</v>
      </c>
      <c r="K2104" s="108" t="s">
        <v>18</v>
      </c>
      <c r="L2104" s="108" t="str">
        <f>VLOOKUP(K2104,LUTs!E$2:G$14,3,)</f>
        <v>06King</v>
      </c>
      <c r="M2104" s="108" t="str">
        <f>VLOOKUP($K2104,LUTs!$E$2:$H$14,2,)</f>
        <v>South Puget Sound</v>
      </c>
      <c r="N2104" s="108" t="str">
        <f>VLOOKUP($K2104,LUTs!$E$2:$H$14,4,)</f>
        <v>02South Puget Sound</v>
      </c>
      <c r="O2104" s="108">
        <v>258.11976047904199</v>
      </c>
      <c r="P2104" s="108">
        <v>2232.7359281437102</v>
      </c>
      <c r="Q2104" s="108">
        <f>SUMIFS('FW_Salmon_by_Month_2010-2021'!P$2:P$3810,'FW_Salmon_by_Month_2010-2021'!$B$2:$B$3810,'Rec_raw_catch_effort_2010-2021'!$B2104,'FW_Salmon_by_Month_2010-2021'!$H$2:$H$3810,'Rec_raw_catch_effort_2010-2021'!$F2104,'FW_Salmon_by_Month_2010-2021'!$M$2:$M$3810,'Rec_raw_catch_effort_2010-2021'!$K2104)</f>
        <v>262.55137784753225</v>
      </c>
      <c r="R2104" s="109">
        <f>VLOOKUP(B2104,Readme!$A$62:$C$74,2,)*Q2104</f>
        <v>1265.380780686754</v>
      </c>
      <c r="S2104" s="140" t="str">
        <f t="shared" si="169"/>
        <v>Y</v>
      </c>
      <c r="T2104" s="154">
        <f t="shared" si="170"/>
        <v>8.6499999999999879</v>
      </c>
      <c r="U2104" s="154">
        <f t="shared" si="171"/>
        <v>4.8195549041132084</v>
      </c>
    </row>
    <row r="2105" spans="1:21" x14ac:dyDescent="0.35">
      <c r="A2105" s="108">
        <v>2287</v>
      </c>
      <c r="B2105" s="108">
        <v>2010</v>
      </c>
      <c r="C2105" s="108" t="s">
        <v>38</v>
      </c>
      <c r="D2105" s="108" t="s">
        <v>143</v>
      </c>
      <c r="E2105" s="108" t="s">
        <v>10</v>
      </c>
      <c r="F2105" s="116">
        <v>816</v>
      </c>
      <c r="G2105" s="108" t="s">
        <v>56</v>
      </c>
      <c r="H2105" s="108" t="str">
        <f t="shared" si="172"/>
        <v>Samish River</v>
      </c>
      <c r="I2105" s="108" t="str">
        <f>IFERROR(VLOOKUP(H2105,LUTs!$A$1:$C$73,2,FALSE),"NA")</f>
        <v>Skagit</v>
      </c>
      <c r="J2105" s="108" t="str">
        <f>IFERROR(VLOOKUP(H2105,LUTs!$A$1:$C$73,3,FALSE),"NA")</f>
        <v>1North Puget Sound</v>
      </c>
      <c r="K2105" s="108" t="s">
        <v>23</v>
      </c>
      <c r="L2105" s="108" t="str">
        <f>VLOOKUP(K2105,LUTs!E$2:G$14,3,)</f>
        <v>10Kitsap</v>
      </c>
      <c r="M2105" s="108" t="str">
        <f>VLOOKUP($K2105,LUTs!$E$2:$H$14,2,)</f>
        <v>South Puget Sound</v>
      </c>
      <c r="N2105" s="108" t="str">
        <f>VLOOKUP($K2105,LUTs!$E$2:$H$14,4,)</f>
        <v>02South Puget Sound</v>
      </c>
      <c r="O2105" s="108">
        <v>6.1457085828343301</v>
      </c>
      <c r="P2105" s="108">
        <v>53.160379241516999</v>
      </c>
      <c r="Q2105" s="108">
        <f>SUMIFS('FW_Salmon_by_Month_2010-2021'!P$2:P$3810,'FW_Salmon_by_Month_2010-2021'!$B$2:$B$3810,'Rec_raw_catch_effort_2010-2021'!$B2105,'FW_Salmon_by_Month_2010-2021'!$H$2:$H$3810,'Rec_raw_catch_effort_2010-2021'!$F2105,'FW_Salmon_by_Month_2010-2021'!$M$2:$M$3810,'Rec_raw_catch_effort_2010-2021'!$K2105)</f>
        <v>6.2578616352201299</v>
      </c>
      <c r="R2105" s="109">
        <f>VLOOKUP(B2105,Readme!$A$62:$C$74,2,)*Q2105</f>
        <v>30.160107733287077</v>
      </c>
      <c r="S2105" s="140" t="str">
        <f t="shared" si="169"/>
        <v>Y</v>
      </c>
      <c r="T2105" s="154">
        <f t="shared" si="170"/>
        <v>8.6500000000000075</v>
      </c>
      <c r="U2105" s="154">
        <f t="shared" si="171"/>
        <v>4.8195549041132084</v>
      </c>
    </row>
    <row r="2106" spans="1:21" x14ac:dyDescent="0.35">
      <c r="A2106" s="108">
        <v>2288</v>
      </c>
      <c r="B2106" s="108">
        <v>2010</v>
      </c>
      <c r="C2106" s="108" t="s">
        <v>38</v>
      </c>
      <c r="D2106" s="108" t="s">
        <v>143</v>
      </c>
      <c r="E2106" s="108" t="s">
        <v>10</v>
      </c>
      <c r="F2106" s="116">
        <v>816</v>
      </c>
      <c r="G2106" s="108" t="s">
        <v>56</v>
      </c>
      <c r="H2106" s="108" t="str">
        <f t="shared" si="172"/>
        <v>Samish River</v>
      </c>
      <c r="I2106" s="108" t="str">
        <f>IFERROR(VLOOKUP(H2106,LUTs!$A$1:$C$73,2,FALSE),"NA")</f>
        <v>Skagit</v>
      </c>
      <c r="J2106" s="108" t="str">
        <f>IFERROR(VLOOKUP(H2106,LUTs!$A$1:$C$73,3,FALSE),"NA")</f>
        <v>1North Puget Sound</v>
      </c>
      <c r="K2106" s="108" t="s">
        <v>26</v>
      </c>
      <c r="L2106" s="108" t="str">
        <f>VLOOKUP(K2106,LUTs!E$2:G$14,3,)</f>
        <v>20Other</v>
      </c>
      <c r="M2106" s="108" t="str">
        <f>VLOOKUP($K2106,LUTs!$E$2:$H$14,2,)</f>
        <v>Non Puget Sound</v>
      </c>
      <c r="N2106" s="108" t="str">
        <f>VLOOKUP($K2106,LUTs!$E$2:$H$14,4,)</f>
        <v>07Non Puget Sound</v>
      </c>
      <c r="O2106" s="108">
        <v>362.59680638722602</v>
      </c>
      <c r="P2106" s="108">
        <v>3136.4623752495099</v>
      </c>
      <c r="Q2106" s="108">
        <f>SUMIFS('FW_Salmon_by_Month_2010-2021'!P$2:P$3810,'FW_Salmon_by_Month_2010-2021'!$B$2:$B$3810,'Rec_raw_catch_effort_2010-2021'!$B2106,'FW_Salmon_by_Month_2010-2021'!$H$2:$H$3810,'Rec_raw_catch_effort_2010-2021'!$F2106,'FW_Salmon_by_Month_2010-2021'!$M$2:$M$3810,'Rec_raw_catch_effort_2010-2021'!$K2106)</f>
        <v>356.63718198050668</v>
      </c>
      <c r="R2106" s="109">
        <f>VLOOKUP(B2106,Readme!$A$62:$C$74,2,)*Q2106</f>
        <v>1718.8324794032658</v>
      </c>
      <c r="S2106" s="140" t="str">
        <f t="shared" si="169"/>
        <v>Y</v>
      </c>
      <c r="T2106" s="154">
        <f t="shared" si="170"/>
        <v>8.6500000000000128</v>
      </c>
      <c r="U2106" s="154">
        <f t="shared" si="171"/>
        <v>4.8195549041132084</v>
      </c>
    </row>
    <row r="2107" spans="1:21" x14ac:dyDescent="0.35">
      <c r="A2107" s="108">
        <v>2155</v>
      </c>
      <c r="B2107" s="108">
        <v>2010</v>
      </c>
      <c r="C2107" s="108" t="s">
        <v>38</v>
      </c>
      <c r="D2107" s="108" t="s">
        <v>143</v>
      </c>
      <c r="E2107" s="108" t="s">
        <v>10</v>
      </c>
      <c r="F2107" s="116">
        <v>816</v>
      </c>
      <c r="G2107" s="108" t="s">
        <v>56</v>
      </c>
      <c r="H2107" s="108" t="str">
        <f t="shared" si="172"/>
        <v>Samish River</v>
      </c>
      <c r="I2107" s="108" t="str">
        <f>IFERROR(VLOOKUP(H2107,LUTs!$A$1:$C$73,2,FALSE),"NA")</f>
        <v>Skagit</v>
      </c>
      <c r="J2107" s="108" t="str">
        <f>IFERROR(VLOOKUP(H2107,LUTs!$A$1:$C$73,3,FALSE),"NA")</f>
        <v>1North Puget Sound</v>
      </c>
      <c r="K2107" s="108" t="s">
        <v>30</v>
      </c>
      <c r="L2107" s="108" t="str">
        <f>VLOOKUP(K2107,LUTs!E$2:G$14,3,)</f>
        <v>05San Juan</v>
      </c>
      <c r="M2107" s="108" t="str">
        <f>VLOOKUP($K2107,LUTs!$E$2:$H$14,2,)</f>
        <v>North Puget Sound</v>
      </c>
      <c r="N2107" s="108" t="str">
        <f>VLOOKUP($K2107,LUTs!$E$2:$H$14,4,)</f>
        <v>01North Puget Sound</v>
      </c>
      <c r="O2107" s="108">
        <v>73.748502994012</v>
      </c>
      <c r="P2107" s="108">
        <v>637.92455089820396</v>
      </c>
      <c r="Q2107" s="108">
        <f>SUMIFS('FW_Salmon_by_Month_2010-2021'!P$2:P$3810,'FW_Salmon_by_Month_2010-2021'!$B$2:$B$3810,'Rec_raw_catch_effort_2010-2021'!$B2107,'FW_Salmon_by_Month_2010-2021'!$H$2:$H$3810,'Rec_raw_catch_effort_2010-2021'!$F2107,'FW_Salmon_by_Month_2010-2021'!$M$2:$M$3810,'Rec_raw_catch_effort_2010-2021'!$K2107)</f>
        <v>75.208285385500602</v>
      </c>
      <c r="R2107" s="109">
        <f>VLOOKUP(B2107,Readme!$A$62:$C$74,2,)*Q2107</f>
        <v>362.47046065963519</v>
      </c>
      <c r="S2107" s="140" t="str">
        <f t="shared" si="169"/>
        <v>Y</v>
      </c>
      <c r="T2107" s="154">
        <f t="shared" si="170"/>
        <v>8.6500000000000021</v>
      </c>
      <c r="U2107" s="154">
        <f t="shared" si="171"/>
        <v>4.8195549041132084</v>
      </c>
    </row>
    <row r="2108" spans="1:21" x14ac:dyDescent="0.35">
      <c r="A2108" s="108">
        <v>2152</v>
      </c>
      <c r="B2108" s="108">
        <v>2010</v>
      </c>
      <c r="C2108" s="108" t="s">
        <v>38</v>
      </c>
      <c r="D2108" s="108" t="s">
        <v>143</v>
      </c>
      <c r="E2108" s="108" t="s">
        <v>10</v>
      </c>
      <c r="F2108" s="116">
        <v>816</v>
      </c>
      <c r="G2108" s="108" t="s">
        <v>56</v>
      </c>
      <c r="H2108" s="108" t="str">
        <f t="shared" si="172"/>
        <v>Samish River</v>
      </c>
      <c r="I2108" s="108" t="str">
        <f>IFERROR(VLOOKUP(H2108,LUTs!$A$1:$C$73,2,FALSE),"NA")</f>
        <v>Skagit</v>
      </c>
      <c r="J2108" s="108" t="str">
        <f>IFERROR(VLOOKUP(H2108,LUTs!$A$1:$C$73,3,FALSE),"NA")</f>
        <v>1North Puget Sound</v>
      </c>
      <c r="K2108" s="108" t="s">
        <v>15</v>
      </c>
      <c r="L2108" s="108" t="str">
        <f>VLOOKUP(K2108,LUTs!E$2:G$14,3,)</f>
        <v>02Skagit</v>
      </c>
      <c r="M2108" s="108" t="str">
        <f>VLOOKUP($K2108,LUTs!$E$2:$H$14,2,)</f>
        <v>North Puget Sound</v>
      </c>
      <c r="N2108" s="108" t="str">
        <f>VLOOKUP($K2108,LUTs!$E$2:$H$14,4,)</f>
        <v>01North Puget Sound</v>
      </c>
      <c r="O2108" s="108">
        <v>2144.85229540918</v>
      </c>
      <c r="P2108" s="108">
        <v>18552.972355289399</v>
      </c>
      <c r="Q2108" s="108">
        <f>SUMIFS('FW_Salmon_by_Month_2010-2021'!P$2:P$3810,'FW_Salmon_by_Month_2010-2021'!$B$2:$B$3810,'Rec_raw_catch_effort_2010-2021'!$B2108,'FW_Salmon_by_Month_2010-2021'!$H$2:$H$3810,'Rec_raw_catch_effort_2010-2021'!$F2108,'FW_Salmon_by_Month_2010-2021'!$M$2:$M$3810,'Rec_raw_catch_effort_2010-2021'!$K2108)</f>
        <v>2093.1079133826906</v>
      </c>
      <c r="R2108" s="109">
        <f>VLOOKUP(B2108,Readme!$A$62:$C$74,2,)*Q2108</f>
        <v>10087.848508781712</v>
      </c>
      <c r="S2108" s="140" t="str">
        <f t="shared" si="169"/>
        <v>Y</v>
      </c>
      <c r="T2108" s="154">
        <f t="shared" si="170"/>
        <v>8.6499999999999968</v>
      </c>
      <c r="U2108" s="154">
        <f t="shared" si="171"/>
        <v>4.8195549041132084</v>
      </c>
    </row>
    <row r="2109" spans="1:21" x14ac:dyDescent="0.35">
      <c r="A2109" s="108">
        <v>2153</v>
      </c>
      <c r="B2109" s="108">
        <v>2010</v>
      </c>
      <c r="C2109" s="108" t="s">
        <v>38</v>
      </c>
      <c r="D2109" s="108" t="s">
        <v>143</v>
      </c>
      <c r="E2109" s="108" t="s">
        <v>10</v>
      </c>
      <c r="F2109" s="116">
        <v>816</v>
      </c>
      <c r="G2109" s="108" t="s">
        <v>56</v>
      </c>
      <c r="H2109" s="108" t="str">
        <f t="shared" si="172"/>
        <v>Samish River</v>
      </c>
      <c r="I2109" s="108" t="str">
        <f>IFERROR(VLOOKUP(H2109,LUTs!$A$1:$C$73,2,FALSE),"NA")</f>
        <v>Skagit</v>
      </c>
      <c r="J2109" s="108" t="str">
        <f>IFERROR(VLOOKUP(H2109,LUTs!$A$1:$C$73,3,FALSE),"NA")</f>
        <v>1North Puget Sound</v>
      </c>
      <c r="K2109" s="108" t="s">
        <v>16</v>
      </c>
      <c r="L2109" s="108" t="str">
        <f>VLOOKUP(K2109,LUTs!E$2:G$14,3,)</f>
        <v>03Snohomish</v>
      </c>
      <c r="M2109" s="108" t="str">
        <f>VLOOKUP($K2109,LUTs!$E$2:$H$14,2,)</f>
        <v>North Puget Sound</v>
      </c>
      <c r="N2109" s="108" t="str">
        <f>VLOOKUP($K2109,LUTs!$E$2:$H$14,4,)</f>
        <v>01North Puget Sound</v>
      </c>
      <c r="O2109" s="108">
        <v>1856.00399201597</v>
      </c>
      <c r="P2109" s="108">
        <v>16054.434530938101</v>
      </c>
      <c r="Q2109" s="108">
        <f>SUMIFS('FW_Salmon_by_Month_2010-2021'!P$2:P$3810,'FW_Salmon_by_Month_2010-2021'!$B$2:$B$3810,'Rec_raw_catch_effort_2010-2021'!$B2109,'FW_Salmon_by_Month_2010-2021'!$H$2:$H$3810,'Rec_raw_catch_effort_2010-2021'!$F2109,'FW_Salmon_by_Month_2010-2021'!$M$2:$M$3810,'Rec_raw_catch_effort_2010-2021'!$K2109)</f>
        <v>1888.2350710351652</v>
      </c>
      <c r="R2109" s="109">
        <f>VLOOKUP(B2109,Readme!$A$62:$C$74,2,)*Q2109</f>
        <v>9100.4525967260834</v>
      </c>
      <c r="S2109" s="140" t="str">
        <f t="shared" si="169"/>
        <v>Y</v>
      </c>
      <c r="T2109" s="154">
        <f t="shared" si="170"/>
        <v>8.649999999999979</v>
      </c>
      <c r="U2109" s="154">
        <f t="shared" si="171"/>
        <v>4.8195549041132084</v>
      </c>
    </row>
    <row r="2110" spans="1:21" x14ac:dyDescent="0.35">
      <c r="A2110" s="108">
        <v>2151</v>
      </c>
      <c r="B2110" s="108">
        <v>2010</v>
      </c>
      <c r="C2110" s="108" t="s">
        <v>38</v>
      </c>
      <c r="D2110" s="108" t="s">
        <v>143</v>
      </c>
      <c r="E2110" s="108" t="s">
        <v>10</v>
      </c>
      <c r="F2110" s="116">
        <v>816</v>
      </c>
      <c r="G2110" s="108" t="s">
        <v>56</v>
      </c>
      <c r="H2110" s="108" t="str">
        <f t="shared" si="172"/>
        <v>Samish River</v>
      </c>
      <c r="I2110" s="108" t="str">
        <f>IFERROR(VLOOKUP(H2110,LUTs!$A$1:$C$73,2,FALSE),"NA")</f>
        <v>Skagit</v>
      </c>
      <c r="J2110" s="108" t="str">
        <f>IFERROR(VLOOKUP(H2110,LUTs!$A$1:$C$73,3,FALSE),"NA")</f>
        <v>1North Puget Sound</v>
      </c>
      <c r="K2110" s="108" t="s">
        <v>13</v>
      </c>
      <c r="L2110" s="108" t="str">
        <f>VLOOKUP(K2110,LUTs!E$2:G$14,3,)</f>
        <v>01Whatcom</v>
      </c>
      <c r="M2110" s="108" t="str">
        <f>VLOOKUP($K2110,LUTs!$E$2:$H$14,2,)</f>
        <v>North Puget Sound</v>
      </c>
      <c r="N2110" s="108" t="str">
        <f>VLOOKUP($K2110,LUTs!$E$2:$H$14,4,)</f>
        <v>01North Puget Sound</v>
      </c>
      <c r="O2110" s="108">
        <v>989.45908183632696</v>
      </c>
      <c r="P2110" s="108">
        <v>8558.82105788423</v>
      </c>
      <c r="Q2110" s="108">
        <f>SUMIFS('FW_Salmon_by_Month_2010-2021'!P$2:P$3810,'FW_Salmon_by_Month_2010-2021'!$B$2:$B$3810,'Rec_raw_catch_effort_2010-2021'!$B2110,'FW_Salmon_by_Month_2010-2021'!$H$2:$H$3810,'Rec_raw_catch_effort_2010-2021'!$F2110,'FW_Salmon_by_Month_2010-2021'!$M$2:$M$3810,'Rec_raw_catch_effort_2010-2021'!$K2110)</f>
        <v>1000.6570393621984</v>
      </c>
      <c r="R2110" s="109">
        <f>VLOOKUP(B2110,Readme!$A$62:$C$74,2,)*Q2110</f>
        <v>4822.7215413934873</v>
      </c>
      <c r="S2110" s="140" t="str">
        <f t="shared" si="169"/>
        <v>Y</v>
      </c>
      <c r="T2110" s="154">
        <f t="shared" si="170"/>
        <v>8.6500000000000021</v>
      </c>
      <c r="U2110" s="154">
        <f t="shared" si="171"/>
        <v>4.8195549041132084</v>
      </c>
    </row>
    <row r="2111" spans="1:21" x14ac:dyDescent="0.35">
      <c r="A2111" s="108">
        <v>2516</v>
      </c>
      <c r="B2111" s="108">
        <v>2011</v>
      </c>
      <c r="C2111" s="108" t="s">
        <v>38</v>
      </c>
      <c r="D2111" s="108" t="s">
        <v>143</v>
      </c>
      <c r="E2111" s="108" t="s">
        <v>10</v>
      </c>
      <c r="F2111" s="116">
        <v>816</v>
      </c>
      <c r="G2111" s="108" t="s">
        <v>56</v>
      </c>
      <c r="H2111" s="108" t="str">
        <f t="shared" si="172"/>
        <v>Samish River</v>
      </c>
      <c r="I2111" s="108" t="str">
        <f>IFERROR(VLOOKUP(H2111,LUTs!$A$1:$C$73,2,FALSE),"NA")</f>
        <v>Skagit</v>
      </c>
      <c r="J2111" s="108" t="str">
        <f>IFERROR(VLOOKUP(H2111,LUTs!$A$1:$C$73,3,FALSE),"NA")</f>
        <v>1North Puget Sound</v>
      </c>
      <c r="K2111" s="108" t="s">
        <v>24</v>
      </c>
      <c r="L2111" s="108" t="str">
        <f>VLOOKUP(K2111,LUTs!E$2:G$14,3,)</f>
        <v>11Clallam</v>
      </c>
      <c r="M2111" s="108" t="str">
        <f>VLOOKUP($K2111,LUTs!$E$2:$H$14,2,)</f>
        <v>Strait of Juan de Fuca</v>
      </c>
      <c r="N2111" s="108" t="str">
        <f>VLOOKUP($K2111,LUTs!$E$2:$H$14,4,)</f>
        <v>03Strait of Juan de Fuca</v>
      </c>
      <c r="O2111" s="108">
        <v>28.901771336553999</v>
      </c>
      <c r="P2111" s="108">
        <v>99.422093397745797</v>
      </c>
      <c r="Q2111" s="108">
        <f>SUMIFS('FW_Salmon_by_Month_2010-2021'!P$2:P$3810,'FW_Salmon_by_Month_2010-2021'!$B$2:$B$3810,'Rec_raw_catch_effort_2010-2021'!$B2111,'FW_Salmon_by_Month_2010-2021'!$H$2:$H$3810,'Rec_raw_catch_effort_2010-2021'!$F2111,'FW_Salmon_by_Month_2010-2021'!$M$2:$M$3810,'Rec_raw_catch_effort_2010-2021'!$K2111)</f>
        <v>29.481481481481499</v>
      </c>
      <c r="R2111" s="109">
        <f>VLOOKUP(B2111,Readme!$A$62:$C$74,2,)*Q2111</f>
        <v>104.33615518765941</v>
      </c>
      <c r="S2111" s="140" t="str">
        <f t="shared" si="169"/>
        <v>Y</v>
      </c>
      <c r="T2111" s="154">
        <f t="shared" si="170"/>
        <v>3.4400000000000013</v>
      </c>
      <c r="U2111" s="154">
        <f t="shared" si="171"/>
        <v>3.5390404397824153</v>
      </c>
    </row>
    <row r="2112" spans="1:21" x14ac:dyDescent="0.35">
      <c r="A2112" s="108">
        <v>2512</v>
      </c>
      <c r="B2112" s="108">
        <v>2011</v>
      </c>
      <c r="C2112" s="108" t="s">
        <v>38</v>
      </c>
      <c r="D2112" s="108" t="s">
        <v>143</v>
      </c>
      <c r="E2112" s="108" t="s">
        <v>10</v>
      </c>
      <c r="F2112" s="116">
        <v>816</v>
      </c>
      <c r="G2112" s="108" t="s">
        <v>56</v>
      </c>
      <c r="H2112" s="108" t="str">
        <f t="shared" si="172"/>
        <v>Samish River</v>
      </c>
      <c r="I2112" s="108" t="str">
        <f>IFERROR(VLOOKUP(H2112,LUTs!$A$1:$C$73,2,FALSE),"NA")</f>
        <v>Skagit</v>
      </c>
      <c r="J2112" s="108" t="str">
        <f>IFERROR(VLOOKUP(H2112,LUTs!$A$1:$C$73,3,FALSE),"NA")</f>
        <v>1North Puget Sound</v>
      </c>
      <c r="K2112" s="108" t="s">
        <v>17</v>
      </c>
      <c r="L2112" s="108" t="str">
        <f>VLOOKUP(K2112,LUTs!E$2:G$14,3,)</f>
        <v>04Island</v>
      </c>
      <c r="M2112" s="108" t="str">
        <f>VLOOKUP($K2112,LUTs!$E$2:$H$14,2,)</f>
        <v>North Puget Sound</v>
      </c>
      <c r="N2112" s="108" t="str">
        <f>VLOOKUP($K2112,LUTs!$E$2:$H$14,4,)</f>
        <v>01North Puget Sound</v>
      </c>
      <c r="O2112" s="108">
        <v>903.18035426731103</v>
      </c>
      <c r="P2112" s="108">
        <v>3106.94041867955</v>
      </c>
      <c r="Q2112" s="108">
        <f>SUMIFS('FW_Salmon_by_Month_2010-2021'!P$2:P$3810,'FW_Salmon_by_Month_2010-2021'!$B$2:$B$3810,'Rec_raw_catch_effort_2010-2021'!$B2112,'FW_Salmon_by_Month_2010-2021'!$H$2:$H$3810,'Rec_raw_catch_effort_2010-2021'!$F2112,'FW_Salmon_by_Month_2010-2021'!$M$2:$M$3810,'Rec_raw_catch_effort_2010-2021'!$K2112)</f>
        <v>921.86734370240674</v>
      </c>
      <c r="R2112" s="109">
        <f>VLOOKUP(B2112,Readme!$A$62:$C$74,2,)*Q2112</f>
        <v>3262.5258094776127</v>
      </c>
      <c r="S2112" s="140" t="str">
        <f t="shared" si="169"/>
        <v>Y</v>
      </c>
      <c r="T2112" s="154">
        <f t="shared" si="170"/>
        <v>3.44</v>
      </c>
      <c r="U2112" s="154">
        <f t="shared" si="171"/>
        <v>3.5390404397824153</v>
      </c>
    </row>
    <row r="2113" spans="1:21" x14ac:dyDescent="0.35">
      <c r="A2113" s="108">
        <v>2513</v>
      </c>
      <c r="B2113" s="108">
        <v>2011</v>
      </c>
      <c r="C2113" s="108" t="s">
        <v>38</v>
      </c>
      <c r="D2113" s="108" t="s">
        <v>143</v>
      </c>
      <c r="E2113" s="108" t="s">
        <v>10</v>
      </c>
      <c r="F2113" s="116">
        <v>816</v>
      </c>
      <c r="G2113" s="108" t="s">
        <v>56</v>
      </c>
      <c r="H2113" s="108" t="str">
        <f t="shared" si="172"/>
        <v>Samish River</v>
      </c>
      <c r="I2113" s="108" t="str">
        <f>IFERROR(VLOOKUP(H2113,LUTs!$A$1:$C$73,2,FALSE),"NA")</f>
        <v>Skagit</v>
      </c>
      <c r="J2113" s="108" t="str">
        <f>IFERROR(VLOOKUP(H2113,LUTs!$A$1:$C$73,3,FALSE),"NA")</f>
        <v>1North Puget Sound</v>
      </c>
      <c r="K2113" s="108" t="s">
        <v>18</v>
      </c>
      <c r="L2113" s="108" t="str">
        <f>VLOOKUP(K2113,LUTs!E$2:G$14,3,)</f>
        <v>06King</v>
      </c>
      <c r="M2113" s="108" t="str">
        <f>VLOOKUP($K2113,LUTs!$E$2:$H$14,2,)</f>
        <v>South Puget Sound</v>
      </c>
      <c r="N2113" s="108" t="str">
        <f>VLOOKUP($K2113,LUTs!$E$2:$H$14,4,)</f>
        <v>02South Puget Sound</v>
      </c>
      <c r="O2113" s="108">
        <v>498.555555555556</v>
      </c>
      <c r="P2113" s="108">
        <v>1715.03111111111</v>
      </c>
      <c r="Q2113" s="108">
        <f>SUMIFS('FW_Salmon_by_Month_2010-2021'!P$2:P$3810,'FW_Salmon_by_Month_2010-2021'!$B$2:$B$3810,'Rec_raw_catch_effort_2010-2021'!$B2113,'FW_Salmon_by_Month_2010-2021'!$H$2:$H$3810,'Rec_raw_catch_effort_2010-2021'!$F2113,'FW_Salmon_by_Month_2010-2021'!$M$2:$M$3810,'Rec_raw_catch_effort_2010-2021'!$K2113)</f>
        <v>501.40775859091156</v>
      </c>
      <c r="R2113" s="109">
        <f>VLOOKUP(B2113,Readme!$A$62:$C$74,2,)*Q2113</f>
        <v>1774.5023344738947</v>
      </c>
      <c r="S2113" s="140" t="str">
        <f t="shared" si="169"/>
        <v>Y</v>
      </c>
      <c r="T2113" s="154">
        <f t="shared" si="170"/>
        <v>3.4399999999999946</v>
      </c>
      <c r="U2113" s="154">
        <f t="shared" si="171"/>
        <v>3.5390404397824153</v>
      </c>
    </row>
    <row r="2114" spans="1:21" x14ac:dyDescent="0.35">
      <c r="A2114" s="108">
        <v>2517</v>
      </c>
      <c r="B2114" s="108">
        <v>2011</v>
      </c>
      <c r="C2114" s="108" t="s">
        <v>38</v>
      </c>
      <c r="D2114" s="108" t="s">
        <v>143</v>
      </c>
      <c r="E2114" s="108" t="s">
        <v>10</v>
      </c>
      <c r="F2114" s="116">
        <v>816</v>
      </c>
      <c r="G2114" s="108" t="s">
        <v>56</v>
      </c>
      <c r="H2114" s="108" t="str">
        <f t="shared" si="172"/>
        <v>Samish River</v>
      </c>
      <c r="I2114" s="108" t="str">
        <f>IFERROR(VLOOKUP(H2114,LUTs!$A$1:$C$73,2,FALSE),"NA")</f>
        <v>Skagit</v>
      </c>
      <c r="J2114" s="108" t="str">
        <f>IFERROR(VLOOKUP(H2114,LUTs!$A$1:$C$73,3,FALSE),"NA")</f>
        <v>1North Puget Sound</v>
      </c>
      <c r="K2114" s="108" t="s">
        <v>26</v>
      </c>
      <c r="L2114" s="108" t="str">
        <f>VLOOKUP(K2114,LUTs!E$2:G$14,3,)</f>
        <v>20Other</v>
      </c>
      <c r="M2114" s="108" t="str">
        <f>VLOOKUP($K2114,LUTs!$E$2:$H$14,2,)</f>
        <v>Non Puget Sound</v>
      </c>
      <c r="N2114" s="108" t="str">
        <f>VLOOKUP($K2114,LUTs!$E$2:$H$14,4,)</f>
        <v>07Non Puget Sound</v>
      </c>
      <c r="O2114" s="108">
        <v>332.37037037036998</v>
      </c>
      <c r="P2114" s="108">
        <v>1143.35407407407</v>
      </c>
      <c r="Q2114" s="108">
        <f>SUMIFS('FW_Salmon_by_Month_2010-2021'!P$2:P$3810,'FW_Salmon_by_Month_2010-2021'!$B$2:$B$3810,'Rec_raw_catch_effort_2010-2021'!$B2114,'FW_Salmon_by_Month_2010-2021'!$H$2:$H$3810,'Rec_raw_catch_effort_2010-2021'!$F2114,'FW_Salmon_by_Month_2010-2021'!$M$2:$M$3810,'Rec_raw_catch_effort_2010-2021'!$K2114)</f>
        <v>338.94327261156008</v>
      </c>
      <c r="R2114" s="109">
        <f>VLOOKUP(B2114,Readme!$A$62:$C$74,2,)*Q2114</f>
        <v>1199.5339485645068</v>
      </c>
      <c r="S2114" s="140" t="str">
        <f t="shared" si="169"/>
        <v>Y</v>
      </c>
      <c r="T2114" s="154">
        <f t="shared" si="170"/>
        <v>3.439999999999992</v>
      </c>
      <c r="U2114" s="154">
        <f t="shared" si="171"/>
        <v>3.5390404397824158</v>
      </c>
    </row>
    <row r="2115" spans="1:21" x14ac:dyDescent="0.35">
      <c r="A2115" s="108">
        <v>2514</v>
      </c>
      <c r="B2115" s="108">
        <v>2011</v>
      </c>
      <c r="C2115" s="108" t="s">
        <v>38</v>
      </c>
      <c r="D2115" s="108" t="s">
        <v>143</v>
      </c>
      <c r="E2115" s="108" t="s">
        <v>10</v>
      </c>
      <c r="F2115" s="116">
        <v>816</v>
      </c>
      <c r="G2115" s="108" t="s">
        <v>56</v>
      </c>
      <c r="H2115" s="108" t="str">
        <f t="shared" si="172"/>
        <v>Samish River</v>
      </c>
      <c r="I2115" s="108" t="str">
        <f>IFERROR(VLOOKUP(H2115,LUTs!$A$1:$C$73,2,FALSE),"NA")</f>
        <v>Skagit</v>
      </c>
      <c r="J2115" s="108" t="str">
        <f>IFERROR(VLOOKUP(H2115,LUTs!$A$1:$C$73,3,FALSE),"NA")</f>
        <v>1North Puget Sound</v>
      </c>
      <c r="K2115" s="108" t="s">
        <v>20</v>
      </c>
      <c r="L2115" s="108" t="str">
        <f>VLOOKUP(K2115,LUTs!E$2:G$14,3,)</f>
        <v>07Pierce</v>
      </c>
      <c r="M2115" s="108" t="str">
        <f>VLOOKUP($K2115,LUTs!$E$2:$H$14,2,)</f>
        <v>South Puget Sound</v>
      </c>
      <c r="N2115" s="108" t="str">
        <f>VLOOKUP($K2115,LUTs!$E$2:$H$14,4,)</f>
        <v>02South Puget Sound</v>
      </c>
      <c r="O2115" s="108">
        <v>115.607085346216</v>
      </c>
      <c r="P2115" s="108">
        <v>397.68837359098302</v>
      </c>
      <c r="Q2115" s="108">
        <f>SUMIFS('FW_Salmon_by_Month_2010-2021'!P$2:P$3810,'FW_Salmon_by_Month_2010-2021'!$B$2:$B$3810,'Rec_raw_catch_effort_2010-2021'!$B2115,'FW_Salmon_by_Month_2010-2021'!$H$2:$H$3810,'Rec_raw_catch_effort_2010-2021'!$F2115,'FW_Salmon_by_Month_2010-2021'!$M$2:$M$3810,'Rec_raw_catch_effort_2010-2021'!$K2115)</f>
        <v>117.96437031384606</v>
      </c>
      <c r="R2115" s="109">
        <f>VLOOKUP(B2115,Readme!$A$62:$C$74,2,)*Q2115</f>
        <v>417.48067699416947</v>
      </c>
      <c r="S2115" s="140" t="str">
        <f t="shared" ref="S2115:S2178" si="173">IF(B2115&lt;=2019,"Y","N")</f>
        <v>Y</v>
      </c>
      <c r="T2115" s="154">
        <f t="shared" ref="T2115:T2178" si="174">IFERROR(P2115/O2115,"NA")</f>
        <v>3.44</v>
      </c>
      <c r="U2115" s="154">
        <f t="shared" ref="U2115:U2178" si="175">IFERROR(R2115/Q2115,"NA")</f>
        <v>3.5390404397824153</v>
      </c>
    </row>
    <row r="2116" spans="1:21" x14ac:dyDescent="0.35">
      <c r="A2116" s="108">
        <v>2510</v>
      </c>
      <c r="B2116" s="108">
        <v>2011</v>
      </c>
      <c r="C2116" s="108" t="s">
        <v>38</v>
      </c>
      <c r="D2116" s="108" t="s">
        <v>143</v>
      </c>
      <c r="E2116" s="108" t="s">
        <v>10</v>
      </c>
      <c r="F2116" s="116">
        <v>816</v>
      </c>
      <c r="G2116" s="108" t="s">
        <v>56</v>
      </c>
      <c r="H2116" s="108" t="str">
        <f t="shared" si="172"/>
        <v>Samish River</v>
      </c>
      <c r="I2116" s="108" t="str">
        <f>IFERROR(VLOOKUP(H2116,LUTs!$A$1:$C$73,2,FALSE),"NA")</f>
        <v>Skagit</v>
      </c>
      <c r="J2116" s="108" t="str">
        <f>IFERROR(VLOOKUP(H2116,LUTs!$A$1:$C$73,3,FALSE),"NA")</f>
        <v>1North Puget Sound</v>
      </c>
      <c r="K2116" s="108" t="s">
        <v>15</v>
      </c>
      <c r="L2116" s="108" t="str">
        <f>VLOOKUP(K2116,LUTs!E$2:G$14,3,)</f>
        <v>02Skagit</v>
      </c>
      <c r="M2116" s="108" t="str">
        <f>VLOOKUP($K2116,LUTs!$E$2:$H$14,2,)</f>
        <v>North Puget Sound</v>
      </c>
      <c r="N2116" s="108" t="str">
        <f>VLOOKUP($K2116,LUTs!$E$2:$H$14,4,)</f>
        <v>01North Puget Sound</v>
      </c>
      <c r="O2116" s="108">
        <v>3049.1368760064402</v>
      </c>
      <c r="P2116" s="108">
        <v>10489.0308534622</v>
      </c>
      <c r="Q2116" s="108">
        <f>SUMIFS('FW_Salmon_by_Month_2010-2021'!P$2:P$3810,'FW_Salmon_by_Month_2010-2021'!$B$2:$B$3810,'Rec_raw_catch_effort_2010-2021'!$B2116,'FW_Salmon_by_Month_2010-2021'!$H$2:$H$3810,'Rec_raw_catch_effort_2010-2021'!$F2116,'FW_Salmon_by_Month_2010-2021'!$M$2:$M$3810,'Rec_raw_catch_effort_2010-2021'!$K2116)</f>
        <v>3030.411102946488</v>
      </c>
      <c r="R2116" s="109">
        <f>VLOOKUP(B2116,Readme!$A$62:$C$74,2,)*Q2116</f>
        <v>10724.747442493253</v>
      </c>
      <c r="S2116" s="140" t="str">
        <f t="shared" si="173"/>
        <v>Y</v>
      </c>
      <c r="T2116" s="154">
        <f t="shared" si="174"/>
        <v>3.440000000000015</v>
      </c>
      <c r="U2116" s="154">
        <f t="shared" si="175"/>
        <v>3.5390404397824153</v>
      </c>
    </row>
    <row r="2117" spans="1:21" x14ac:dyDescent="0.35">
      <c r="A2117" s="108">
        <v>2511</v>
      </c>
      <c r="B2117" s="108">
        <v>2011</v>
      </c>
      <c r="C2117" s="108" t="s">
        <v>38</v>
      </c>
      <c r="D2117" s="108" t="s">
        <v>143</v>
      </c>
      <c r="E2117" s="108" t="s">
        <v>10</v>
      </c>
      <c r="F2117" s="116">
        <v>816</v>
      </c>
      <c r="G2117" s="108" t="s">
        <v>56</v>
      </c>
      <c r="H2117" s="108" t="str">
        <f t="shared" si="172"/>
        <v>Samish River</v>
      </c>
      <c r="I2117" s="108" t="str">
        <f>IFERROR(VLOOKUP(H2117,LUTs!$A$1:$C$73,2,FALSE),"NA")</f>
        <v>Skagit</v>
      </c>
      <c r="J2117" s="108" t="str">
        <f>IFERROR(VLOOKUP(H2117,LUTs!$A$1:$C$73,3,FALSE),"NA")</f>
        <v>1North Puget Sound</v>
      </c>
      <c r="K2117" s="108" t="s">
        <v>16</v>
      </c>
      <c r="L2117" s="108" t="str">
        <f>VLOOKUP(K2117,LUTs!E$2:G$14,3,)</f>
        <v>03Snohomish</v>
      </c>
      <c r="M2117" s="108" t="str">
        <f>VLOOKUP($K2117,LUTs!$E$2:$H$14,2,)</f>
        <v>North Puget Sound</v>
      </c>
      <c r="N2117" s="108" t="str">
        <f>VLOOKUP($K2117,LUTs!$E$2:$H$14,4,)</f>
        <v>01North Puget Sound</v>
      </c>
      <c r="O2117" s="108">
        <v>2478.3268921095</v>
      </c>
      <c r="P2117" s="108">
        <v>8525.4445088566808</v>
      </c>
      <c r="Q2117" s="108">
        <f>SUMIFS('FW_Salmon_by_Month_2010-2021'!P$2:P$3810,'FW_Salmon_by_Month_2010-2021'!$B$2:$B$3810,'Rec_raw_catch_effort_2010-2021'!$B2117,'FW_Salmon_by_Month_2010-2021'!$H$2:$H$3810,'Rec_raw_catch_effort_2010-2021'!$F2117,'FW_Salmon_by_Month_2010-2021'!$M$2:$M$3810,'Rec_raw_catch_effort_2010-2021'!$K2117)</f>
        <v>2448.471068445715</v>
      </c>
      <c r="R2117" s="109">
        <f>VLOOKUP(B2117,Readme!$A$62:$C$74,2,)*Q2117</f>
        <v>8665.2381268666431</v>
      </c>
      <c r="S2117" s="140" t="str">
        <f t="shared" si="173"/>
        <v>Y</v>
      </c>
      <c r="T2117" s="154">
        <f t="shared" si="174"/>
        <v>3.4400000000000004</v>
      </c>
      <c r="U2117" s="154">
        <f t="shared" si="175"/>
        <v>3.5390404397824153</v>
      </c>
    </row>
    <row r="2118" spans="1:21" x14ac:dyDescent="0.35">
      <c r="A2118" s="108">
        <v>2515</v>
      </c>
      <c r="B2118" s="108">
        <v>2011</v>
      </c>
      <c r="C2118" s="108" t="s">
        <v>38</v>
      </c>
      <c r="D2118" s="108" t="s">
        <v>143</v>
      </c>
      <c r="E2118" s="108" t="s">
        <v>10</v>
      </c>
      <c r="F2118" s="116">
        <v>816</v>
      </c>
      <c r="G2118" s="108" t="s">
        <v>56</v>
      </c>
      <c r="H2118" s="108" t="str">
        <f t="shared" si="172"/>
        <v>Samish River</v>
      </c>
      <c r="I2118" s="108" t="str">
        <f>IFERROR(VLOOKUP(H2118,LUTs!$A$1:$C$73,2,FALSE),"NA")</f>
        <v>Skagit</v>
      </c>
      <c r="J2118" s="108" t="str">
        <f>IFERROR(VLOOKUP(H2118,LUTs!$A$1:$C$73,3,FALSE),"NA")</f>
        <v>1North Puget Sound</v>
      </c>
      <c r="K2118" s="108" t="s">
        <v>21</v>
      </c>
      <c r="L2118" s="108" t="str">
        <f>VLOOKUP(K2118,LUTs!E$2:G$14,3,)</f>
        <v>08Thurston</v>
      </c>
      <c r="M2118" s="108" t="str">
        <f>VLOOKUP($K2118,LUTs!$E$2:$H$14,2,)</f>
        <v>South Puget Sound</v>
      </c>
      <c r="N2118" s="108" t="str">
        <f>VLOOKUP($K2118,LUTs!$E$2:$H$14,4,)</f>
        <v>02South Puget Sound</v>
      </c>
      <c r="O2118" s="108">
        <v>14.450885668276999</v>
      </c>
      <c r="P2118" s="108">
        <v>49.711046698872899</v>
      </c>
      <c r="Q2118" s="108">
        <f>SUMIFS('FW_Salmon_by_Month_2010-2021'!P$2:P$3810,'FW_Salmon_by_Month_2010-2021'!$B$2:$B$3810,'Rec_raw_catch_effort_2010-2021'!$B2118,'FW_Salmon_by_Month_2010-2021'!$H$2:$H$3810,'Rec_raw_catch_effort_2010-2021'!$F2118,'FW_Salmon_by_Month_2010-2021'!$M$2:$M$3810,'Rec_raw_catch_effort_2010-2021'!$K2118)</f>
        <v>14.7555040556199</v>
      </c>
      <c r="R2118" s="109">
        <f>VLOOKUP(B2118,Readme!$A$62:$C$74,2,)*Q2118</f>
        <v>52.220325562212267</v>
      </c>
      <c r="S2118" s="140" t="str">
        <f t="shared" si="173"/>
        <v>Y</v>
      </c>
      <c r="T2118" s="154">
        <f t="shared" si="174"/>
        <v>3.4400000000000013</v>
      </c>
      <c r="U2118" s="154">
        <f t="shared" si="175"/>
        <v>3.5390404397824153</v>
      </c>
    </row>
    <row r="2119" spans="1:21" x14ac:dyDescent="0.35">
      <c r="A2119" s="108">
        <v>2401</v>
      </c>
      <c r="B2119" s="108">
        <v>2011</v>
      </c>
      <c r="C2119" s="108" t="s">
        <v>38</v>
      </c>
      <c r="D2119" s="108" t="s">
        <v>143</v>
      </c>
      <c r="E2119" s="108" t="s">
        <v>10</v>
      </c>
      <c r="F2119" s="116">
        <v>816</v>
      </c>
      <c r="G2119" s="108" t="s">
        <v>56</v>
      </c>
      <c r="H2119" s="108" t="str">
        <f t="shared" si="172"/>
        <v>Samish River</v>
      </c>
      <c r="I2119" s="108" t="str">
        <f>IFERROR(VLOOKUP(H2119,LUTs!$A$1:$C$73,2,FALSE),"NA")</f>
        <v>Skagit</v>
      </c>
      <c r="J2119" s="108" t="str">
        <f>IFERROR(VLOOKUP(H2119,LUTs!$A$1:$C$73,3,FALSE),"NA")</f>
        <v>1North Puget Sound</v>
      </c>
      <c r="K2119" s="108" t="s">
        <v>13</v>
      </c>
      <c r="L2119" s="108" t="str">
        <f>VLOOKUP(K2119,LUTs!E$2:G$14,3,)</f>
        <v>01Whatcom</v>
      </c>
      <c r="M2119" s="108" t="str">
        <f>VLOOKUP($K2119,LUTs!$E$2:$H$14,2,)</f>
        <v>North Puget Sound</v>
      </c>
      <c r="N2119" s="108" t="str">
        <f>VLOOKUP($K2119,LUTs!$E$2:$H$14,4,)</f>
        <v>01North Puget Sound</v>
      </c>
      <c r="O2119" s="108">
        <v>1553.47020933978</v>
      </c>
      <c r="P2119" s="108">
        <v>5343.9375201288403</v>
      </c>
      <c r="Q2119" s="108">
        <f>SUMIFS('FW_Salmon_by_Month_2010-2021'!P$2:P$3810,'FW_Salmon_by_Month_2010-2021'!$B$2:$B$3810,'Rec_raw_catch_effort_2010-2021'!$B2119,'FW_Salmon_by_Month_2010-2021'!$H$2:$H$3810,'Rec_raw_catch_effort_2010-2021'!$F2119,'FW_Salmon_by_Month_2010-2021'!$M$2:$M$3810,'Rec_raw_catch_effort_2010-2021'!$K2119)</f>
        <v>1570.6980978519714</v>
      </c>
      <c r="R2119" s="109">
        <f>VLOOKUP(B2119,Readme!$A$62:$C$74,2,)*Q2119</f>
        <v>5558.764086987444</v>
      </c>
      <c r="S2119" s="140" t="str">
        <f t="shared" si="173"/>
        <v>Y</v>
      </c>
      <c r="T2119" s="154">
        <f t="shared" si="174"/>
        <v>3.4399999999999982</v>
      </c>
      <c r="U2119" s="154">
        <f t="shared" si="175"/>
        <v>3.5390404397824153</v>
      </c>
    </row>
    <row r="2120" spans="1:21" x14ac:dyDescent="0.35">
      <c r="A2120" s="108">
        <v>2762</v>
      </c>
      <c r="B2120" s="108">
        <v>2012</v>
      </c>
      <c r="C2120" s="108" t="s">
        <v>38</v>
      </c>
      <c r="D2120" s="108" t="s">
        <v>143</v>
      </c>
      <c r="E2120" s="108" t="s">
        <v>10</v>
      </c>
      <c r="F2120" s="116">
        <v>816</v>
      </c>
      <c r="G2120" s="108" t="s">
        <v>56</v>
      </c>
      <c r="H2120" s="108" t="str">
        <f t="shared" si="172"/>
        <v>Samish River</v>
      </c>
      <c r="I2120" s="108" t="str">
        <f>IFERROR(VLOOKUP(H2120,LUTs!$A$1:$C$73,2,FALSE),"NA")</f>
        <v>Skagit</v>
      </c>
      <c r="J2120" s="108" t="str">
        <f>IFERROR(VLOOKUP(H2120,LUTs!$A$1:$C$73,3,FALSE),"NA")</f>
        <v>1North Puget Sound</v>
      </c>
      <c r="K2120" s="108" t="s">
        <v>24</v>
      </c>
      <c r="L2120" s="108" t="str">
        <f>VLOOKUP(K2120,LUTs!E$2:G$14,3,)</f>
        <v>11Clallam</v>
      </c>
      <c r="M2120" s="108" t="str">
        <f>VLOOKUP($K2120,LUTs!$E$2:$H$14,2,)</f>
        <v>Strait of Juan de Fuca</v>
      </c>
      <c r="N2120" s="108" t="str">
        <f>VLOOKUP($K2120,LUTs!$E$2:$H$14,4,)</f>
        <v>03Strait of Juan de Fuca</v>
      </c>
      <c r="O2120" s="108">
        <v>13.9142461964039</v>
      </c>
      <c r="P2120" s="108">
        <v>120.358229598894</v>
      </c>
      <c r="Q2120" s="108">
        <f>SUMIFS('FW_Salmon_by_Month_2010-2021'!P$2:P$3810,'FW_Salmon_by_Month_2010-2021'!$B$2:$B$3810,'Rec_raw_catch_effort_2010-2021'!$B2120,'FW_Salmon_by_Month_2010-2021'!$H$2:$H$3810,'Rec_raw_catch_effort_2010-2021'!$F2120,'FW_Salmon_by_Month_2010-2021'!$M$2:$M$3810,'Rec_raw_catch_effort_2010-2021'!$K2120)</f>
        <v>14.251063829787199</v>
      </c>
      <c r="R2120" s="109">
        <f>VLOOKUP(B2120,Readme!$A$62:$C$74,2,)*Q2120</f>
        <v>68.683784569681251</v>
      </c>
      <c r="S2120" s="140" t="str">
        <f t="shared" si="173"/>
        <v>Y</v>
      </c>
      <c r="T2120" s="154">
        <f t="shared" si="174"/>
        <v>8.6500000000000199</v>
      </c>
      <c r="U2120" s="154">
        <f t="shared" si="175"/>
        <v>4.8195549041132075</v>
      </c>
    </row>
    <row r="2121" spans="1:21" x14ac:dyDescent="0.35">
      <c r="A2121" s="108">
        <v>2758</v>
      </c>
      <c r="B2121" s="108">
        <v>2012</v>
      </c>
      <c r="C2121" s="108" t="s">
        <v>38</v>
      </c>
      <c r="D2121" s="108" t="s">
        <v>143</v>
      </c>
      <c r="E2121" s="108" t="s">
        <v>10</v>
      </c>
      <c r="F2121" s="116">
        <v>816</v>
      </c>
      <c r="G2121" s="108" t="s">
        <v>56</v>
      </c>
      <c r="H2121" s="108" t="str">
        <f t="shared" si="172"/>
        <v>Samish River</v>
      </c>
      <c r="I2121" s="108" t="str">
        <f>IFERROR(VLOOKUP(H2121,LUTs!$A$1:$C$73,2,FALSE),"NA")</f>
        <v>Skagit</v>
      </c>
      <c r="J2121" s="108" t="str">
        <f>IFERROR(VLOOKUP(H2121,LUTs!$A$1:$C$73,3,FALSE),"NA")</f>
        <v>1North Puget Sound</v>
      </c>
      <c r="K2121" s="108" t="s">
        <v>17</v>
      </c>
      <c r="L2121" s="108" t="str">
        <f>VLOOKUP(K2121,LUTs!E$2:G$14,3,)</f>
        <v>04Island</v>
      </c>
      <c r="M2121" s="108" t="str">
        <f>VLOOKUP($K2121,LUTs!$E$2:$H$14,2,)</f>
        <v>North Puget Sound</v>
      </c>
      <c r="N2121" s="108" t="str">
        <f>VLOOKUP($K2121,LUTs!$E$2:$H$14,4,)</f>
        <v>01North Puget Sound</v>
      </c>
      <c r="O2121" s="108">
        <v>500.91286307054003</v>
      </c>
      <c r="P2121" s="108">
        <v>4332.8962655601699</v>
      </c>
      <c r="Q2121" s="108">
        <f>SUMIFS('FW_Salmon_by_Month_2010-2021'!P$2:P$3810,'FW_Salmon_by_Month_2010-2021'!$B$2:$B$3810,'Rec_raw_catch_effort_2010-2021'!$B2121,'FW_Salmon_by_Month_2010-2021'!$H$2:$H$3810,'Rec_raw_catch_effort_2010-2021'!$F2121,'FW_Salmon_by_Month_2010-2021'!$M$2:$M$3810,'Rec_raw_catch_effort_2010-2021'!$K2121)</f>
        <v>513.28342164531591</v>
      </c>
      <c r="R2121" s="109">
        <f>VLOOKUP(B2121,Readme!$A$62:$C$74,2,)*Q2121</f>
        <v>2473.7976319906902</v>
      </c>
      <c r="S2121" s="140" t="str">
        <f t="shared" si="173"/>
        <v>Y</v>
      </c>
      <c r="T2121" s="154">
        <f t="shared" si="174"/>
        <v>8.6499999999999968</v>
      </c>
      <c r="U2121" s="154">
        <f t="shared" si="175"/>
        <v>4.8195549041132084</v>
      </c>
    </row>
    <row r="2122" spans="1:21" x14ac:dyDescent="0.35">
      <c r="A2122" s="108">
        <v>2759</v>
      </c>
      <c r="B2122" s="108">
        <v>2012</v>
      </c>
      <c r="C2122" s="108" t="s">
        <v>38</v>
      </c>
      <c r="D2122" s="108" t="s">
        <v>143</v>
      </c>
      <c r="E2122" s="108" t="s">
        <v>10</v>
      </c>
      <c r="F2122" s="116">
        <v>816</v>
      </c>
      <c r="G2122" s="108" t="s">
        <v>56</v>
      </c>
      <c r="H2122" s="108" t="str">
        <f t="shared" si="172"/>
        <v>Samish River</v>
      </c>
      <c r="I2122" s="108" t="str">
        <f>IFERROR(VLOOKUP(H2122,LUTs!$A$1:$C$73,2,FALSE),"NA")</f>
        <v>Skagit</v>
      </c>
      <c r="J2122" s="108" t="str">
        <f>IFERROR(VLOOKUP(H2122,LUTs!$A$1:$C$73,3,FALSE),"NA")</f>
        <v>1North Puget Sound</v>
      </c>
      <c r="K2122" s="108" t="s">
        <v>18</v>
      </c>
      <c r="L2122" s="108" t="str">
        <f>VLOOKUP(K2122,LUTs!E$2:G$14,3,)</f>
        <v>06King</v>
      </c>
      <c r="M2122" s="108" t="str">
        <f>VLOOKUP($K2122,LUTs!$E$2:$H$14,2,)</f>
        <v>South Puget Sound</v>
      </c>
      <c r="N2122" s="108" t="str">
        <f>VLOOKUP($K2122,LUTs!$E$2:$H$14,4,)</f>
        <v>02South Puget Sound</v>
      </c>
      <c r="O2122" s="108">
        <v>855.72614107883805</v>
      </c>
      <c r="P2122" s="108">
        <v>7402.0311203319498</v>
      </c>
      <c r="Q2122" s="108">
        <f>SUMIFS('FW_Salmon_by_Month_2010-2021'!P$2:P$3810,'FW_Salmon_by_Month_2010-2021'!$B$2:$B$3810,'Rec_raw_catch_effort_2010-2021'!$B2122,'FW_Salmon_by_Month_2010-2021'!$H$2:$H$3810,'Rec_raw_catch_effort_2010-2021'!$F2122,'FW_Salmon_by_Month_2010-2021'!$M$2:$M$3810,'Rec_raw_catch_effort_2010-2021'!$K2122)</f>
        <v>877.05605277580685</v>
      </c>
      <c r="R2122" s="109">
        <f>VLOOKUP(B2122,Readme!$A$62:$C$74,2,)*Q2122</f>
        <v>4227.0198003378127</v>
      </c>
      <c r="S2122" s="140" t="str">
        <f t="shared" si="173"/>
        <v>Y</v>
      </c>
      <c r="T2122" s="154">
        <f t="shared" si="174"/>
        <v>8.65</v>
      </c>
      <c r="U2122" s="154">
        <f t="shared" si="175"/>
        <v>4.8195549041132084</v>
      </c>
    </row>
    <row r="2123" spans="1:21" x14ac:dyDescent="0.35">
      <c r="A2123" s="108">
        <v>2761</v>
      </c>
      <c r="B2123" s="108">
        <v>2012</v>
      </c>
      <c r="C2123" s="108" t="s">
        <v>38</v>
      </c>
      <c r="D2123" s="108" t="s">
        <v>143</v>
      </c>
      <c r="E2123" s="108" t="s">
        <v>10</v>
      </c>
      <c r="F2123" s="116">
        <v>816</v>
      </c>
      <c r="G2123" s="108" t="s">
        <v>56</v>
      </c>
      <c r="H2123" s="108" t="str">
        <f t="shared" si="172"/>
        <v>Samish River</v>
      </c>
      <c r="I2123" s="108" t="str">
        <f>IFERROR(VLOOKUP(H2123,LUTs!$A$1:$C$73,2,FALSE),"NA")</f>
        <v>Skagit</v>
      </c>
      <c r="J2123" s="108" t="str">
        <f>IFERROR(VLOOKUP(H2123,LUTs!$A$1:$C$73,3,FALSE),"NA")</f>
        <v>1North Puget Sound</v>
      </c>
      <c r="K2123" s="108" t="s">
        <v>23</v>
      </c>
      <c r="L2123" s="108" t="str">
        <f>VLOOKUP(K2123,LUTs!E$2:G$14,3,)</f>
        <v>10Kitsap</v>
      </c>
      <c r="M2123" s="108" t="str">
        <f>VLOOKUP($K2123,LUTs!$E$2:$H$14,2,)</f>
        <v>South Puget Sound</v>
      </c>
      <c r="N2123" s="108" t="str">
        <f>VLOOKUP($K2123,LUTs!$E$2:$H$14,4,)</f>
        <v>02South Puget Sound</v>
      </c>
      <c r="O2123" s="108">
        <v>13.9142461964039</v>
      </c>
      <c r="P2123" s="108">
        <v>120.358229598894</v>
      </c>
      <c r="Q2123" s="108">
        <f>SUMIFS('FW_Salmon_by_Month_2010-2021'!P$2:P$3810,'FW_Salmon_by_Month_2010-2021'!$B$2:$B$3810,'Rec_raw_catch_effort_2010-2021'!$B2123,'FW_Salmon_by_Month_2010-2021'!$H$2:$H$3810,'Rec_raw_catch_effort_2010-2021'!$F2123,'FW_Salmon_by_Month_2010-2021'!$M$2:$M$3810,'Rec_raw_catch_effort_2010-2021'!$K2123)</f>
        <v>14.263839811543001</v>
      </c>
      <c r="R2123" s="109">
        <f>VLOOKUP(B2123,Readme!$A$62:$C$74,2,)*Q2123</f>
        <v>68.745359115207293</v>
      </c>
      <c r="S2123" s="140" t="str">
        <f t="shared" si="173"/>
        <v>Y</v>
      </c>
      <c r="T2123" s="154">
        <f t="shared" si="174"/>
        <v>8.6500000000000199</v>
      </c>
      <c r="U2123" s="154">
        <f t="shared" si="175"/>
        <v>4.8195549041132084</v>
      </c>
    </row>
    <row r="2124" spans="1:21" x14ac:dyDescent="0.35">
      <c r="A2124" s="108">
        <v>2763</v>
      </c>
      <c r="B2124" s="108">
        <v>2012</v>
      </c>
      <c r="C2124" s="108" t="s">
        <v>38</v>
      </c>
      <c r="D2124" s="108" t="s">
        <v>143</v>
      </c>
      <c r="E2124" s="108" t="s">
        <v>10</v>
      </c>
      <c r="F2124" s="116">
        <v>816</v>
      </c>
      <c r="G2124" s="108" t="s">
        <v>56</v>
      </c>
      <c r="H2124" s="108" t="str">
        <f t="shared" si="172"/>
        <v>Samish River</v>
      </c>
      <c r="I2124" s="108" t="str">
        <f>IFERROR(VLOOKUP(H2124,LUTs!$A$1:$C$73,2,FALSE),"NA")</f>
        <v>Skagit</v>
      </c>
      <c r="J2124" s="108" t="str">
        <f>IFERROR(VLOOKUP(H2124,LUTs!$A$1:$C$73,3,FALSE),"NA")</f>
        <v>1North Puget Sound</v>
      </c>
      <c r="K2124" s="108" t="s">
        <v>26</v>
      </c>
      <c r="L2124" s="108" t="str">
        <f>VLOOKUP(K2124,LUTs!E$2:G$14,3,)</f>
        <v>20Other</v>
      </c>
      <c r="M2124" s="108" t="str">
        <f>VLOOKUP($K2124,LUTs!$E$2:$H$14,2,)</f>
        <v>Non Puget Sound</v>
      </c>
      <c r="N2124" s="108" t="str">
        <f>VLOOKUP($K2124,LUTs!$E$2:$H$14,4,)</f>
        <v>07Non Puget Sound</v>
      </c>
      <c r="O2124" s="108">
        <v>438.29875518672202</v>
      </c>
      <c r="P2124" s="108">
        <v>3791.2842323651498</v>
      </c>
      <c r="Q2124" s="108">
        <f>SUMIFS('FW_Salmon_by_Month_2010-2021'!P$2:P$3810,'FW_Salmon_by_Month_2010-2021'!$B$2:$B$3810,'Rec_raw_catch_effort_2010-2021'!$B2124,'FW_Salmon_by_Month_2010-2021'!$H$2:$H$3810,'Rec_raw_catch_effort_2010-2021'!$F2124,'FW_Salmon_by_Month_2010-2021'!$M$2:$M$3810,'Rec_raw_catch_effort_2010-2021'!$K2124)</f>
        <v>449.26713312391274</v>
      </c>
      <c r="R2124" s="109">
        <f>VLOOKUP(B2124,Readme!$A$62:$C$74,2,)*Q2124</f>
        <v>2165.2676147042353</v>
      </c>
      <c r="S2124" s="140" t="str">
        <f t="shared" si="173"/>
        <v>Y</v>
      </c>
      <c r="T2124" s="154">
        <f t="shared" si="174"/>
        <v>8.6500000000000092</v>
      </c>
      <c r="U2124" s="154">
        <f t="shared" si="175"/>
        <v>4.8195549041132084</v>
      </c>
    </row>
    <row r="2125" spans="1:21" x14ac:dyDescent="0.35">
      <c r="A2125" s="108">
        <v>2760</v>
      </c>
      <c r="B2125" s="108">
        <v>2012</v>
      </c>
      <c r="C2125" s="108" t="s">
        <v>38</v>
      </c>
      <c r="D2125" s="108" t="s">
        <v>143</v>
      </c>
      <c r="E2125" s="108" t="s">
        <v>10</v>
      </c>
      <c r="F2125" s="116">
        <v>816</v>
      </c>
      <c r="G2125" s="108" t="s">
        <v>56</v>
      </c>
      <c r="H2125" s="108" t="str">
        <f t="shared" si="172"/>
        <v>Samish River</v>
      </c>
      <c r="I2125" s="108" t="str">
        <f>IFERROR(VLOOKUP(H2125,LUTs!$A$1:$C$73,2,FALSE),"NA")</f>
        <v>Skagit</v>
      </c>
      <c r="J2125" s="108" t="str">
        <f>IFERROR(VLOOKUP(H2125,LUTs!$A$1:$C$73,3,FALSE),"NA")</f>
        <v>1North Puget Sound</v>
      </c>
      <c r="K2125" s="108" t="s">
        <v>20</v>
      </c>
      <c r="L2125" s="108" t="str">
        <f>VLOOKUP(K2125,LUTs!E$2:G$14,3,)</f>
        <v>07Pierce</v>
      </c>
      <c r="M2125" s="108" t="str">
        <f>VLOOKUP($K2125,LUTs!$E$2:$H$14,2,)</f>
        <v>South Puget Sound</v>
      </c>
      <c r="N2125" s="108" t="str">
        <f>VLOOKUP($K2125,LUTs!$E$2:$H$14,4,)</f>
        <v>02South Puget Sound</v>
      </c>
      <c r="O2125" s="108">
        <v>69.571230982019401</v>
      </c>
      <c r="P2125" s="108">
        <v>601.79114799446802</v>
      </c>
      <c r="Q2125" s="108">
        <f>SUMIFS('FW_Salmon_by_Month_2010-2021'!P$2:P$3810,'FW_Salmon_by_Month_2010-2021'!$B$2:$B$3810,'Rec_raw_catch_effort_2010-2021'!$B2125,'FW_Salmon_by_Month_2010-2021'!$H$2:$H$3810,'Rec_raw_catch_effort_2010-2021'!$F2125,'FW_Salmon_by_Month_2010-2021'!$M$2:$M$3810,'Rec_raw_catch_effort_2010-2021'!$K2125)</f>
        <v>71.306423075959202</v>
      </c>
      <c r="R2125" s="109">
        <f>VLOOKUP(B2125,Readme!$A$62:$C$74,2,)*Q2125</f>
        <v>343.66522103051045</v>
      </c>
      <c r="S2125" s="140" t="str">
        <f t="shared" si="173"/>
        <v>Y</v>
      </c>
      <c r="T2125" s="154">
        <f t="shared" si="174"/>
        <v>8.6500000000000021</v>
      </c>
      <c r="U2125" s="154">
        <f t="shared" si="175"/>
        <v>4.8195549041132084</v>
      </c>
    </row>
    <row r="2126" spans="1:21" x14ac:dyDescent="0.35">
      <c r="A2126" s="108">
        <v>2756</v>
      </c>
      <c r="B2126" s="108">
        <v>2012</v>
      </c>
      <c r="C2126" s="108" t="s">
        <v>38</v>
      </c>
      <c r="D2126" s="108" t="s">
        <v>143</v>
      </c>
      <c r="E2126" s="108" t="s">
        <v>10</v>
      </c>
      <c r="F2126" s="116">
        <v>816</v>
      </c>
      <c r="G2126" s="108" t="s">
        <v>56</v>
      </c>
      <c r="H2126" s="108" t="str">
        <f t="shared" si="172"/>
        <v>Samish River</v>
      </c>
      <c r="I2126" s="108" t="str">
        <f>IFERROR(VLOOKUP(H2126,LUTs!$A$1:$C$73,2,FALSE),"NA")</f>
        <v>Skagit</v>
      </c>
      <c r="J2126" s="108" t="str">
        <f>IFERROR(VLOOKUP(H2126,LUTs!$A$1:$C$73,3,FALSE),"NA")</f>
        <v>1North Puget Sound</v>
      </c>
      <c r="K2126" s="108" t="s">
        <v>15</v>
      </c>
      <c r="L2126" s="108" t="str">
        <f>VLOOKUP(K2126,LUTs!E$2:G$14,3,)</f>
        <v>02Skagit</v>
      </c>
      <c r="M2126" s="108" t="str">
        <f>VLOOKUP($K2126,LUTs!$E$2:$H$14,2,)</f>
        <v>North Puget Sound</v>
      </c>
      <c r="N2126" s="108" t="str">
        <f>VLOOKUP($K2126,LUTs!$E$2:$H$14,4,)</f>
        <v>01North Puget Sound</v>
      </c>
      <c r="O2126" s="108">
        <v>3123.7482710926702</v>
      </c>
      <c r="P2126" s="108">
        <v>27020.422544951602</v>
      </c>
      <c r="Q2126" s="108">
        <f>SUMIFS('FW_Salmon_by_Month_2010-2021'!P$2:P$3810,'FW_Salmon_by_Month_2010-2021'!$B$2:$B$3810,'Rec_raw_catch_effort_2010-2021'!$B2126,'FW_Salmon_by_Month_2010-2021'!$H$2:$H$3810,'Rec_raw_catch_effort_2010-2021'!$F2126,'FW_Salmon_by_Month_2010-2021'!$M$2:$M$3810,'Rec_raw_catch_effort_2010-2021'!$K2126)</f>
        <v>3008.6531868040902</v>
      </c>
      <c r="R2126" s="109">
        <f>VLOOKUP(B2126,Readme!$A$62:$C$74,2,)*Q2126</f>
        <v>14500.369221237486</v>
      </c>
      <c r="S2126" s="140" t="str">
        <f t="shared" si="173"/>
        <v>Y</v>
      </c>
      <c r="T2126" s="154">
        <f t="shared" si="174"/>
        <v>8.6500000000000021</v>
      </c>
      <c r="U2126" s="154">
        <f t="shared" si="175"/>
        <v>4.8195549041132084</v>
      </c>
    </row>
    <row r="2127" spans="1:21" x14ac:dyDescent="0.35">
      <c r="A2127" s="108">
        <v>2757</v>
      </c>
      <c r="B2127" s="108">
        <v>2012</v>
      </c>
      <c r="C2127" s="108" t="s">
        <v>38</v>
      </c>
      <c r="D2127" s="108" t="s">
        <v>143</v>
      </c>
      <c r="E2127" s="108" t="s">
        <v>10</v>
      </c>
      <c r="F2127" s="116">
        <v>816</v>
      </c>
      <c r="G2127" s="108" t="s">
        <v>56</v>
      </c>
      <c r="H2127" s="108" t="str">
        <f t="shared" si="172"/>
        <v>Samish River</v>
      </c>
      <c r="I2127" s="108" t="str">
        <f>IFERROR(VLOOKUP(H2127,LUTs!$A$1:$C$73,2,FALSE),"NA")</f>
        <v>Skagit</v>
      </c>
      <c r="J2127" s="108" t="str">
        <f>IFERROR(VLOOKUP(H2127,LUTs!$A$1:$C$73,3,FALSE),"NA")</f>
        <v>1North Puget Sound</v>
      </c>
      <c r="K2127" s="108" t="s">
        <v>16</v>
      </c>
      <c r="L2127" s="108" t="str">
        <f>VLOOKUP(K2127,LUTs!E$2:G$14,3,)</f>
        <v>03Snohomish</v>
      </c>
      <c r="M2127" s="108" t="str">
        <f>VLOOKUP($K2127,LUTs!$E$2:$H$14,2,)</f>
        <v>North Puget Sound</v>
      </c>
      <c r="N2127" s="108" t="str">
        <f>VLOOKUP($K2127,LUTs!$E$2:$H$14,4,)</f>
        <v>01North Puget Sound</v>
      </c>
      <c r="O2127" s="108">
        <v>4139.4882434301499</v>
      </c>
      <c r="P2127" s="108">
        <v>35806.573305670798</v>
      </c>
      <c r="Q2127" s="108">
        <f>SUMIFS('FW_Salmon_by_Month_2010-2021'!P$2:P$3810,'FW_Salmon_by_Month_2010-2021'!$B$2:$B$3810,'Rec_raw_catch_effort_2010-2021'!$B2127,'FW_Salmon_by_Month_2010-2021'!$H$2:$H$3810,'Rec_raw_catch_effort_2010-2021'!$F2127,'FW_Salmon_by_Month_2010-2021'!$M$2:$M$3810,'Rec_raw_catch_effort_2010-2021'!$K2127)</f>
        <v>4199.2415545741878</v>
      </c>
      <c r="R2127" s="109">
        <f>VLOOKUP(B2127,Readme!$A$62:$C$74,2,)*Q2127</f>
        <v>20238.475227904</v>
      </c>
      <c r="S2127" s="140" t="str">
        <f t="shared" si="173"/>
        <v>Y</v>
      </c>
      <c r="T2127" s="154">
        <f t="shared" si="174"/>
        <v>8.65</v>
      </c>
      <c r="U2127" s="154">
        <f t="shared" si="175"/>
        <v>4.8195549041132084</v>
      </c>
    </row>
    <row r="2128" spans="1:21" x14ac:dyDescent="0.35">
      <c r="A2128" s="108">
        <v>2755</v>
      </c>
      <c r="B2128" s="108">
        <v>2012</v>
      </c>
      <c r="C2128" s="108" t="s">
        <v>38</v>
      </c>
      <c r="D2128" s="108" t="s">
        <v>143</v>
      </c>
      <c r="E2128" s="108" t="s">
        <v>10</v>
      </c>
      <c r="F2128" s="116">
        <v>816</v>
      </c>
      <c r="G2128" s="108" t="s">
        <v>56</v>
      </c>
      <c r="H2128" s="108" t="str">
        <f t="shared" si="172"/>
        <v>Samish River</v>
      </c>
      <c r="I2128" s="108" t="str">
        <f>IFERROR(VLOOKUP(H2128,LUTs!$A$1:$C$73,2,FALSE),"NA")</f>
        <v>Skagit</v>
      </c>
      <c r="J2128" s="108" t="str">
        <f>IFERROR(VLOOKUP(H2128,LUTs!$A$1:$C$73,3,FALSE),"NA")</f>
        <v>1North Puget Sound</v>
      </c>
      <c r="K2128" s="108" t="s">
        <v>13</v>
      </c>
      <c r="L2128" s="108" t="str">
        <f>VLOOKUP(K2128,LUTs!E$2:G$14,3,)</f>
        <v>01Whatcom</v>
      </c>
      <c r="M2128" s="108" t="str">
        <f>VLOOKUP($K2128,LUTs!$E$2:$H$14,2,)</f>
        <v>North Puget Sound</v>
      </c>
      <c r="N2128" s="108" t="str">
        <f>VLOOKUP($K2128,LUTs!$E$2:$H$14,4,)</f>
        <v>01North Puget Sound</v>
      </c>
      <c r="O2128" s="108">
        <v>904.42600276625205</v>
      </c>
      <c r="P2128" s="108">
        <v>7823.2849239280804</v>
      </c>
      <c r="Q2128" s="108">
        <f>SUMIFS('FW_Salmon_by_Month_2010-2021'!P$2:P$3810,'FW_Salmon_by_Month_2010-2021'!$B$2:$B$3810,'Rec_raw_catch_effort_2010-2021'!$B2128,'FW_Salmon_by_Month_2010-2021'!$H$2:$H$3810,'Rec_raw_catch_effort_2010-2021'!$F2128,'FW_Salmon_by_Month_2010-2021'!$M$2:$M$3810,'Rec_raw_catch_effort_2010-2021'!$K2128)</f>
        <v>912.67732435939797</v>
      </c>
      <c r="R2128" s="109">
        <f>VLOOKUP(B2128,Readme!$A$62:$C$74,2,)*Q2128</f>
        <v>4398.6984744892579</v>
      </c>
      <c r="S2128" s="140" t="str">
        <f t="shared" si="173"/>
        <v>Y</v>
      </c>
      <c r="T2128" s="154">
        <f t="shared" si="174"/>
        <v>8.65</v>
      </c>
      <c r="U2128" s="154">
        <f t="shared" si="175"/>
        <v>4.8195549041132084</v>
      </c>
    </row>
    <row r="2129" spans="1:21" x14ac:dyDescent="0.35">
      <c r="A2129" s="108">
        <v>2963</v>
      </c>
      <c r="B2129" s="108">
        <v>2013</v>
      </c>
      <c r="C2129" s="108" t="s">
        <v>38</v>
      </c>
      <c r="D2129" s="108" t="s">
        <v>143</v>
      </c>
      <c r="E2129" s="108" t="s">
        <v>10</v>
      </c>
      <c r="F2129" s="116">
        <v>816</v>
      </c>
      <c r="G2129" s="108" t="s">
        <v>56</v>
      </c>
      <c r="H2129" s="108" t="str">
        <f t="shared" si="172"/>
        <v>Samish River</v>
      </c>
      <c r="I2129" s="108" t="str">
        <f>IFERROR(VLOOKUP(H2129,LUTs!$A$1:$C$73,2,FALSE),"NA")</f>
        <v>Skagit</v>
      </c>
      <c r="J2129" s="108" t="str">
        <f>IFERROR(VLOOKUP(H2129,LUTs!$A$1:$C$73,3,FALSE),"NA")</f>
        <v>1North Puget Sound</v>
      </c>
      <c r="K2129" s="108" t="s">
        <v>17</v>
      </c>
      <c r="L2129" s="108" t="str">
        <f>VLOOKUP(K2129,LUTs!E$2:G$14,3,)</f>
        <v>04Island</v>
      </c>
      <c r="M2129" s="108" t="str">
        <f>VLOOKUP($K2129,LUTs!$E$2:$H$14,2,)</f>
        <v>North Puget Sound</v>
      </c>
      <c r="N2129" s="108" t="str">
        <f>VLOOKUP($K2129,LUTs!$E$2:$H$14,4,)</f>
        <v>01North Puget Sound</v>
      </c>
      <c r="O2129" s="108">
        <v>514.02702702702697</v>
      </c>
      <c r="P2129" s="108">
        <v>1768.2529729729699</v>
      </c>
      <c r="Q2129" s="108">
        <f>SUMIFS('FW_Salmon_by_Month_2010-2021'!P$2:P$3810,'FW_Salmon_by_Month_2010-2021'!$B$2:$B$3810,'Rec_raw_catch_effort_2010-2021'!$B2129,'FW_Salmon_by_Month_2010-2021'!$H$2:$H$3810,'Rec_raw_catch_effort_2010-2021'!$F2129,'FW_Salmon_by_Month_2010-2021'!$M$2:$M$3810,'Rec_raw_catch_effort_2010-2021'!$K2129)</f>
        <v>520.48958965029294</v>
      </c>
      <c r="R2129" s="109">
        <f>VLOOKUP(B2129,Readme!$A$62:$C$74,2,)*Q2129</f>
        <v>1842.0337062581416</v>
      </c>
      <c r="S2129" s="140" t="str">
        <f t="shared" si="173"/>
        <v>Y</v>
      </c>
      <c r="T2129" s="154">
        <f t="shared" si="174"/>
        <v>3.4399999999999946</v>
      </c>
      <c r="U2129" s="154">
        <f t="shared" si="175"/>
        <v>3.5390404397824153</v>
      </c>
    </row>
    <row r="2130" spans="1:21" x14ac:dyDescent="0.35">
      <c r="A2130" s="108">
        <v>2964</v>
      </c>
      <c r="B2130" s="108">
        <v>2013</v>
      </c>
      <c r="C2130" s="108" t="s">
        <v>38</v>
      </c>
      <c r="D2130" s="108" t="s">
        <v>143</v>
      </c>
      <c r="E2130" s="108" t="s">
        <v>10</v>
      </c>
      <c r="F2130" s="116">
        <v>816</v>
      </c>
      <c r="G2130" s="108" t="s">
        <v>56</v>
      </c>
      <c r="H2130" s="108" t="str">
        <f t="shared" si="172"/>
        <v>Samish River</v>
      </c>
      <c r="I2130" s="108" t="str">
        <f>IFERROR(VLOOKUP(H2130,LUTs!$A$1:$C$73,2,FALSE),"NA")</f>
        <v>Skagit</v>
      </c>
      <c r="J2130" s="108" t="str">
        <f>IFERROR(VLOOKUP(H2130,LUTs!$A$1:$C$73,3,FALSE),"NA")</f>
        <v>1North Puget Sound</v>
      </c>
      <c r="K2130" s="108" t="s">
        <v>18</v>
      </c>
      <c r="L2130" s="108" t="str">
        <f>VLOOKUP(K2130,LUTs!E$2:G$14,3,)</f>
        <v>06King</v>
      </c>
      <c r="M2130" s="108" t="str">
        <f>VLOOKUP($K2130,LUTs!$E$2:$H$14,2,)</f>
        <v>South Puget Sound</v>
      </c>
      <c r="N2130" s="108" t="str">
        <f>VLOOKUP($K2130,LUTs!$E$2:$H$14,4,)</f>
        <v>02South Puget Sound</v>
      </c>
      <c r="O2130" s="108">
        <v>928.85585585585602</v>
      </c>
      <c r="P2130" s="108">
        <v>3195.2641441441401</v>
      </c>
      <c r="Q2130" s="108">
        <f>SUMIFS('FW_Salmon_by_Month_2010-2021'!P$2:P$3810,'FW_Salmon_by_Month_2010-2021'!$B$2:$B$3810,'Rec_raw_catch_effort_2010-2021'!$B2130,'FW_Salmon_by_Month_2010-2021'!$H$2:$H$3810,'Rec_raw_catch_effort_2010-2021'!$F2130,'FW_Salmon_by_Month_2010-2021'!$M$2:$M$3810,'Rec_raw_catch_effort_2010-2021'!$K2130)</f>
        <v>868.28302736277283</v>
      </c>
      <c r="R2130" s="109">
        <f>VLOOKUP(B2130,Readme!$A$62:$C$74,2,)*Q2130</f>
        <v>3072.8887470135546</v>
      </c>
      <c r="S2130" s="140" t="str">
        <f t="shared" si="173"/>
        <v>Y</v>
      </c>
      <c r="T2130" s="154">
        <f t="shared" si="174"/>
        <v>3.4399999999999951</v>
      </c>
      <c r="U2130" s="154">
        <f t="shared" si="175"/>
        <v>3.5390404397824153</v>
      </c>
    </row>
    <row r="2131" spans="1:21" x14ac:dyDescent="0.35">
      <c r="A2131" s="108">
        <v>3080</v>
      </c>
      <c r="B2131" s="108">
        <v>2013</v>
      </c>
      <c r="C2131" s="108" t="s">
        <v>38</v>
      </c>
      <c r="D2131" s="108" t="s">
        <v>143</v>
      </c>
      <c r="E2131" s="108" t="s">
        <v>10</v>
      </c>
      <c r="F2131" s="116">
        <v>816</v>
      </c>
      <c r="G2131" s="108" t="s">
        <v>56</v>
      </c>
      <c r="H2131" s="108" t="str">
        <f t="shared" si="172"/>
        <v>Samish River</v>
      </c>
      <c r="I2131" s="108" t="str">
        <f>IFERROR(VLOOKUP(H2131,LUTs!$A$1:$C$73,2,FALSE),"NA")</f>
        <v>Skagit</v>
      </c>
      <c r="J2131" s="108" t="str">
        <f>IFERROR(VLOOKUP(H2131,LUTs!$A$1:$C$73,3,FALSE),"NA")</f>
        <v>1North Puget Sound</v>
      </c>
      <c r="K2131" s="108" t="s">
        <v>26</v>
      </c>
      <c r="L2131" s="108" t="str">
        <f>VLOOKUP(K2131,LUTs!E$2:G$14,3,)</f>
        <v>20Other</v>
      </c>
      <c r="M2131" s="108" t="str">
        <f>VLOOKUP($K2131,LUTs!$E$2:$H$14,2,)</f>
        <v>Non Puget Sound</v>
      </c>
      <c r="N2131" s="108" t="str">
        <f>VLOOKUP($K2131,LUTs!$E$2:$H$14,4,)</f>
        <v>07Non Puget Sound</v>
      </c>
      <c r="O2131" s="108">
        <v>252.50450450450501</v>
      </c>
      <c r="P2131" s="108">
        <v>868.61549549549704</v>
      </c>
      <c r="Q2131" s="108">
        <f>SUMIFS('FW_Salmon_by_Month_2010-2021'!P$2:P$3810,'FW_Salmon_by_Month_2010-2021'!$B$2:$B$3810,'Rec_raw_catch_effort_2010-2021'!$B2131,'FW_Salmon_by_Month_2010-2021'!$H$2:$H$3810,'Rec_raw_catch_effort_2010-2021'!$F2131,'FW_Salmon_by_Month_2010-2021'!$M$2:$M$3810,'Rec_raw_catch_effort_2010-2021'!$K2131)</f>
        <v>255.84313725490199</v>
      </c>
      <c r="R2131" s="109">
        <f>VLOOKUP(B2131,Readme!$A$62:$C$74,2,)*Q2131</f>
        <v>905.43920898590113</v>
      </c>
      <c r="S2131" s="140" t="str">
        <f t="shared" si="173"/>
        <v>Y</v>
      </c>
      <c r="T2131" s="154">
        <f t="shared" si="174"/>
        <v>3.4399999999999991</v>
      </c>
      <c r="U2131" s="154">
        <f t="shared" si="175"/>
        <v>3.5390404397824153</v>
      </c>
    </row>
    <row r="2132" spans="1:21" x14ac:dyDescent="0.35">
      <c r="A2132" s="108">
        <v>2965</v>
      </c>
      <c r="B2132" s="108">
        <v>2013</v>
      </c>
      <c r="C2132" s="108" t="s">
        <v>38</v>
      </c>
      <c r="D2132" s="108" t="s">
        <v>143</v>
      </c>
      <c r="E2132" s="108" t="s">
        <v>10</v>
      </c>
      <c r="F2132" s="116">
        <v>816</v>
      </c>
      <c r="G2132" s="108" t="s">
        <v>56</v>
      </c>
      <c r="H2132" s="108" t="str">
        <f t="shared" si="172"/>
        <v>Samish River</v>
      </c>
      <c r="I2132" s="108" t="str">
        <f>IFERROR(VLOOKUP(H2132,LUTs!$A$1:$C$73,2,FALSE),"NA")</f>
        <v>Skagit</v>
      </c>
      <c r="J2132" s="108" t="str">
        <f>IFERROR(VLOOKUP(H2132,LUTs!$A$1:$C$73,3,FALSE),"NA")</f>
        <v>1North Puget Sound</v>
      </c>
      <c r="K2132" s="108" t="s">
        <v>20</v>
      </c>
      <c r="L2132" s="108" t="str">
        <f>VLOOKUP(K2132,LUTs!E$2:G$14,3,)</f>
        <v>07Pierce</v>
      </c>
      <c r="M2132" s="108" t="str">
        <f>VLOOKUP($K2132,LUTs!$E$2:$H$14,2,)</f>
        <v>South Puget Sound</v>
      </c>
      <c r="N2132" s="108" t="str">
        <f>VLOOKUP($K2132,LUTs!$E$2:$H$14,4,)</f>
        <v>02South Puget Sound</v>
      </c>
      <c r="O2132" s="108">
        <v>45.090090090090101</v>
      </c>
      <c r="P2132" s="108">
        <v>155.10990990990999</v>
      </c>
      <c r="Q2132" s="108">
        <f>SUMIFS('FW_Salmon_by_Month_2010-2021'!P$2:P$3810,'FW_Salmon_by_Month_2010-2021'!$B$2:$B$3810,'Rec_raw_catch_effort_2010-2021'!$B2132,'FW_Salmon_by_Month_2010-2021'!$H$2:$H$3810,'Rec_raw_catch_effort_2010-2021'!$F2132,'FW_Salmon_by_Month_2010-2021'!$M$2:$M$3810,'Rec_raw_catch_effort_2010-2021'!$K2132)</f>
        <v>45.686274509803901</v>
      </c>
      <c r="R2132" s="109">
        <f>VLOOKUP(B2132,Readme!$A$62:$C$74,2,)*Q2132</f>
        <v>161.68557303319656</v>
      </c>
      <c r="S2132" s="140" t="str">
        <f t="shared" si="173"/>
        <v>Y</v>
      </c>
      <c r="T2132" s="154">
        <f t="shared" si="174"/>
        <v>3.4400000000000008</v>
      </c>
      <c r="U2132" s="154">
        <f t="shared" si="175"/>
        <v>3.5390404397824158</v>
      </c>
    </row>
    <row r="2133" spans="1:21" x14ac:dyDescent="0.35">
      <c r="A2133" s="108">
        <v>2961</v>
      </c>
      <c r="B2133" s="108">
        <v>2013</v>
      </c>
      <c r="C2133" s="108" t="s">
        <v>38</v>
      </c>
      <c r="D2133" s="108" t="s">
        <v>143</v>
      </c>
      <c r="E2133" s="108" t="s">
        <v>10</v>
      </c>
      <c r="F2133" s="116">
        <v>816</v>
      </c>
      <c r="G2133" s="108" t="s">
        <v>56</v>
      </c>
      <c r="H2133" s="108" t="str">
        <f t="shared" si="172"/>
        <v>Samish River</v>
      </c>
      <c r="I2133" s="108" t="str">
        <f>IFERROR(VLOOKUP(H2133,LUTs!$A$1:$C$73,2,FALSE),"NA")</f>
        <v>Skagit</v>
      </c>
      <c r="J2133" s="108" t="str">
        <f>IFERROR(VLOOKUP(H2133,LUTs!$A$1:$C$73,3,FALSE),"NA")</f>
        <v>1North Puget Sound</v>
      </c>
      <c r="K2133" s="108" t="s">
        <v>15</v>
      </c>
      <c r="L2133" s="108" t="str">
        <f>VLOOKUP(K2133,LUTs!E$2:G$14,3,)</f>
        <v>02Skagit</v>
      </c>
      <c r="M2133" s="108" t="str">
        <f>VLOOKUP($K2133,LUTs!$E$2:$H$14,2,)</f>
        <v>North Puget Sound</v>
      </c>
      <c r="N2133" s="108" t="str">
        <f>VLOOKUP($K2133,LUTs!$E$2:$H$14,4,)</f>
        <v>01North Puget Sound</v>
      </c>
      <c r="O2133" s="108">
        <v>2128.2522522522499</v>
      </c>
      <c r="P2133" s="108">
        <v>7321.1877477477401</v>
      </c>
      <c r="Q2133" s="108">
        <f>SUMIFS('FW_Salmon_by_Month_2010-2021'!P$2:P$3810,'FW_Salmon_by_Month_2010-2021'!$B$2:$B$3810,'Rec_raw_catch_effort_2010-2021'!$B2133,'FW_Salmon_by_Month_2010-2021'!$H$2:$H$3810,'Rec_raw_catch_effort_2010-2021'!$F2133,'FW_Salmon_by_Month_2010-2021'!$M$2:$M$3810,'Rec_raw_catch_effort_2010-2021'!$K2133)</f>
        <v>2150.5379844533909</v>
      </c>
      <c r="R2133" s="109">
        <f>VLOOKUP(B2133,Readme!$A$62:$C$74,2,)*Q2133</f>
        <v>7610.8408942687174</v>
      </c>
      <c r="S2133" s="140" t="str">
        <f t="shared" si="173"/>
        <v>Y</v>
      </c>
      <c r="T2133" s="154">
        <f t="shared" si="174"/>
        <v>3.44</v>
      </c>
      <c r="U2133" s="154">
        <f t="shared" si="175"/>
        <v>3.5390404397824153</v>
      </c>
    </row>
    <row r="2134" spans="1:21" x14ac:dyDescent="0.35">
      <c r="A2134" s="108">
        <v>2962</v>
      </c>
      <c r="B2134" s="108">
        <v>2013</v>
      </c>
      <c r="C2134" s="108" t="s">
        <v>38</v>
      </c>
      <c r="D2134" s="108" t="s">
        <v>143</v>
      </c>
      <c r="E2134" s="108" t="s">
        <v>10</v>
      </c>
      <c r="F2134" s="116">
        <v>816</v>
      </c>
      <c r="G2134" s="108" t="s">
        <v>56</v>
      </c>
      <c r="H2134" s="108" t="str">
        <f t="shared" si="172"/>
        <v>Samish River</v>
      </c>
      <c r="I2134" s="108" t="str">
        <f>IFERROR(VLOOKUP(H2134,LUTs!$A$1:$C$73,2,FALSE),"NA")</f>
        <v>Skagit</v>
      </c>
      <c r="J2134" s="108" t="str">
        <f>IFERROR(VLOOKUP(H2134,LUTs!$A$1:$C$73,3,FALSE),"NA")</f>
        <v>1North Puget Sound</v>
      </c>
      <c r="K2134" s="108" t="s">
        <v>16</v>
      </c>
      <c r="L2134" s="108" t="str">
        <f>VLOOKUP(K2134,LUTs!E$2:G$14,3,)</f>
        <v>03Snohomish</v>
      </c>
      <c r="M2134" s="108" t="str">
        <f>VLOOKUP($K2134,LUTs!$E$2:$H$14,2,)</f>
        <v>North Puget Sound</v>
      </c>
      <c r="N2134" s="108" t="str">
        <f>VLOOKUP($K2134,LUTs!$E$2:$H$14,4,)</f>
        <v>01North Puget Sound</v>
      </c>
      <c r="O2134" s="108">
        <v>2867.72972972973</v>
      </c>
      <c r="P2134" s="108">
        <v>9864.9902702702693</v>
      </c>
      <c r="Q2134" s="108">
        <f>SUMIFS('FW_Salmon_by_Month_2010-2021'!P$2:P$3810,'FW_Salmon_by_Month_2010-2021'!$B$2:$B$3810,'Rec_raw_catch_effort_2010-2021'!$B2134,'FW_Salmon_by_Month_2010-2021'!$H$2:$H$3810,'Rec_raw_catch_effort_2010-2021'!$F2134,'FW_Salmon_by_Month_2010-2021'!$M$2:$M$3810,'Rec_raw_catch_effort_2010-2021'!$K2134)</f>
        <v>2888.4236497785582</v>
      </c>
      <c r="R2134" s="109">
        <f>VLOOKUP(B2134,Readme!$A$62:$C$74,2,)*Q2134</f>
        <v>10222.248103790238</v>
      </c>
      <c r="S2134" s="140" t="str">
        <f t="shared" si="173"/>
        <v>Y</v>
      </c>
      <c r="T2134" s="154">
        <f t="shared" si="174"/>
        <v>3.4399999999999995</v>
      </c>
      <c r="U2134" s="154">
        <f t="shared" si="175"/>
        <v>3.5390404397824153</v>
      </c>
    </row>
    <row r="2135" spans="1:21" x14ac:dyDescent="0.35">
      <c r="A2135" s="108">
        <v>3079</v>
      </c>
      <c r="B2135" s="108">
        <v>2013</v>
      </c>
      <c r="C2135" s="108" t="s">
        <v>38</v>
      </c>
      <c r="D2135" s="108" t="s">
        <v>143</v>
      </c>
      <c r="E2135" s="108" t="s">
        <v>10</v>
      </c>
      <c r="F2135" s="116">
        <v>816</v>
      </c>
      <c r="G2135" s="108" t="s">
        <v>56</v>
      </c>
      <c r="H2135" s="108" t="str">
        <f t="shared" si="172"/>
        <v>Samish River</v>
      </c>
      <c r="I2135" s="108" t="str">
        <f>IFERROR(VLOOKUP(H2135,LUTs!$A$1:$C$73,2,FALSE),"NA")</f>
        <v>Skagit</v>
      </c>
      <c r="J2135" s="108" t="str">
        <f>IFERROR(VLOOKUP(H2135,LUTs!$A$1:$C$73,3,FALSE),"NA")</f>
        <v>1North Puget Sound</v>
      </c>
      <c r="K2135" s="108" t="s">
        <v>21</v>
      </c>
      <c r="L2135" s="108" t="str">
        <f>VLOOKUP(K2135,LUTs!E$2:G$14,3,)</f>
        <v>08Thurston</v>
      </c>
      <c r="M2135" s="108" t="str">
        <f>VLOOKUP($K2135,LUTs!$E$2:$H$14,2,)</f>
        <v>South Puget Sound</v>
      </c>
      <c r="N2135" s="108" t="str">
        <f>VLOOKUP($K2135,LUTs!$E$2:$H$14,4,)</f>
        <v>02South Puget Sound</v>
      </c>
      <c r="O2135" s="108">
        <v>18.036036036035998</v>
      </c>
      <c r="P2135" s="108">
        <v>62.043963963963797</v>
      </c>
      <c r="Q2135" s="108">
        <f>SUMIFS('FW_Salmon_by_Month_2010-2021'!P$2:P$3810,'FW_Salmon_by_Month_2010-2021'!$B$2:$B$3810,'Rec_raw_catch_effort_2010-2021'!$B2135,'FW_Salmon_by_Month_2010-2021'!$H$2:$H$3810,'Rec_raw_catch_effort_2010-2021'!$F2135,'FW_Salmon_by_Month_2010-2021'!$M$2:$M$3810,'Rec_raw_catch_effort_2010-2021'!$K2135)</f>
        <v>18.2745098039216</v>
      </c>
      <c r="R2135" s="109">
        <f>VLOOKUP(B2135,Readme!$A$62:$C$74,2,)*Q2135</f>
        <v>64.674229213278764</v>
      </c>
      <c r="S2135" s="140" t="str">
        <f t="shared" si="173"/>
        <v>Y</v>
      </c>
      <c r="T2135" s="154">
        <f t="shared" si="174"/>
        <v>3.4399999999999982</v>
      </c>
      <c r="U2135" s="154">
        <f t="shared" si="175"/>
        <v>3.5390404397824158</v>
      </c>
    </row>
    <row r="2136" spans="1:21" x14ac:dyDescent="0.35">
      <c r="A2136" s="108">
        <v>2874</v>
      </c>
      <c r="B2136" s="108">
        <v>2013</v>
      </c>
      <c r="C2136" s="108" t="s">
        <v>38</v>
      </c>
      <c r="D2136" s="108" t="s">
        <v>143</v>
      </c>
      <c r="E2136" s="108" t="s">
        <v>10</v>
      </c>
      <c r="F2136" s="116">
        <v>816</v>
      </c>
      <c r="G2136" s="108" t="s">
        <v>56</v>
      </c>
      <c r="H2136" s="108" t="str">
        <f t="shared" si="172"/>
        <v>Samish River</v>
      </c>
      <c r="I2136" s="108" t="str">
        <f>IFERROR(VLOOKUP(H2136,LUTs!$A$1:$C$73,2,FALSE),"NA")</f>
        <v>Skagit</v>
      </c>
      <c r="J2136" s="108" t="str">
        <f>IFERROR(VLOOKUP(H2136,LUTs!$A$1:$C$73,3,FALSE),"NA")</f>
        <v>1North Puget Sound</v>
      </c>
      <c r="K2136" s="108" t="s">
        <v>13</v>
      </c>
      <c r="L2136" s="108" t="str">
        <f>VLOOKUP(K2136,LUTs!E$2:G$14,3,)</f>
        <v>01Whatcom</v>
      </c>
      <c r="M2136" s="108" t="str">
        <f>VLOOKUP($K2136,LUTs!$E$2:$H$14,2,)</f>
        <v>North Puget Sound</v>
      </c>
      <c r="N2136" s="108" t="str">
        <f>VLOOKUP($K2136,LUTs!$E$2:$H$14,4,)</f>
        <v>01North Puget Sound</v>
      </c>
      <c r="O2136" s="108">
        <v>1253.5045045044999</v>
      </c>
      <c r="P2136" s="108">
        <v>4312.0554954954796</v>
      </c>
      <c r="Q2136" s="108">
        <f>SUMIFS('FW_Salmon_by_Month_2010-2021'!P$2:P$3810,'FW_Salmon_by_Month_2010-2021'!$B$2:$B$3810,'Rec_raw_catch_effort_2010-2021'!$B2136,'FW_Salmon_by_Month_2010-2021'!$H$2:$H$3810,'Rec_raw_catch_effort_2010-2021'!$F2136,'FW_Salmon_by_Month_2010-2021'!$M$2:$M$3810,'Rec_raw_catch_effort_2010-2021'!$K2136)</f>
        <v>1260.4618271863569</v>
      </c>
      <c r="R2136" s="109">
        <f>VLOOKUP(B2136,Readme!$A$62:$C$74,2,)*Q2136</f>
        <v>4460.8253792145515</v>
      </c>
      <c r="S2136" s="140" t="str">
        <f t="shared" si="173"/>
        <v>Y</v>
      </c>
      <c r="T2136" s="154">
        <f t="shared" si="174"/>
        <v>3.44</v>
      </c>
      <c r="U2136" s="154">
        <f t="shared" si="175"/>
        <v>3.5390404397824153</v>
      </c>
    </row>
    <row r="2137" spans="1:21" x14ac:dyDescent="0.35">
      <c r="A2137" s="108">
        <v>3194</v>
      </c>
      <c r="B2137" s="108">
        <v>2014</v>
      </c>
      <c r="C2137" s="108" t="s">
        <v>38</v>
      </c>
      <c r="D2137" s="108" t="s">
        <v>143</v>
      </c>
      <c r="E2137" s="108" t="s">
        <v>10</v>
      </c>
      <c r="F2137" s="116">
        <v>816</v>
      </c>
      <c r="G2137" s="108" t="s">
        <v>56</v>
      </c>
      <c r="H2137" s="108" t="str">
        <f t="shared" si="172"/>
        <v>Samish River</v>
      </c>
      <c r="I2137" s="108" t="str">
        <f>IFERROR(VLOOKUP(H2137,LUTs!$A$1:$C$73,2,FALSE),"NA")</f>
        <v>Skagit</v>
      </c>
      <c r="J2137" s="108" t="str">
        <f>IFERROR(VLOOKUP(H2137,LUTs!$A$1:$C$73,3,FALSE),"NA")</f>
        <v>1North Puget Sound</v>
      </c>
      <c r="K2137" s="108" t="s">
        <v>17</v>
      </c>
      <c r="L2137" s="108" t="str">
        <f>VLOOKUP(K2137,LUTs!E$2:G$14,3,)</f>
        <v>04Island</v>
      </c>
      <c r="M2137" s="108" t="str">
        <f>VLOOKUP($K2137,LUTs!$E$2:$H$14,2,)</f>
        <v>North Puget Sound</v>
      </c>
      <c r="N2137" s="108" t="str">
        <f>VLOOKUP($K2137,LUTs!$E$2:$H$14,4,)</f>
        <v>01North Puget Sound</v>
      </c>
      <c r="O2137" s="108">
        <v>472.83483483483502</v>
      </c>
      <c r="P2137" s="108">
        <v>4090.0213213213201</v>
      </c>
      <c r="Q2137" s="108">
        <f>SUMIFS('FW_Salmon_by_Month_2010-2021'!P$2:P$3810,'FW_Salmon_by_Month_2010-2021'!$B$2:$B$3810,'Rec_raw_catch_effort_2010-2021'!$B2137,'FW_Salmon_by_Month_2010-2021'!$H$2:$H$3810,'Rec_raw_catch_effort_2010-2021'!$F2137,'FW_Salmon_by_Month_2010-2021'!$M$2:$M$3810,'Rec_raw_catch_effort_2010-2021'!$K2137)</f>
        <v>477.14710776688514</v>
      </c>
      <c r="R2137" s="109">
        <f>VLOOKUP(B2137,Readme!$A$62:$C$74,2,)*Q2137</f>
        <v>2299.6366832213248</v>
      </c>
      <c r="S2137" s="140" t="str">
        <f t="shared" si="173"/>
        <v>Y</v>
      </c>
      <c r="T2137" s="154">
        <f t="shared" si="174"/>
        <v>8.6499999999999932</v>
      </c>
      <c r="U2137" s="154">
        <f t="shared" si="175"/>
        <v>4.8195549041132084</v>
      </c>
    </row>
    <row r="2138" spans="1:21" x14ac:dyDescent="0.35">
      <c r="A2138" s="108">
        <v>3294</v>
      </c>
      <c r="B2138" s="108">
        <v>2014</v>
      </c>
      <c r="C2138" s="108" t="s">
        <v>38</v>
      </c>
      <c r="D2138" s="108" t="s">
        <v>143</v>
      </c>
      <c r="E2138" s="108" t="s">
        <v>10</v>
      </c>
      <c r="F2138" s="116">
        <v>816</v>
      </c>
      <c r="G2138" s="108" t="s">
        <v>56</v>
      </c>
      <c r="H2138" s="108" t="str">
        <f t="shared" si="172"/>
        <v>Samish River</v>
      </c>
      <c r="I2138" s="108" t="str">
        <f>IFERROR(VLOOKUP(H2138,LUTs!$A$1:$C$73,2,FALSE),"NA")</f>
        <v>Skagit</v>
      </c>
      <c r="J2138" s="108" t="str">
        <f>IFERROR(VLOOKUP(H2138,LUTs!$A$1:$C$73,3,FALSE),"NA")</f>
        <v>1North Puget Sound</v>
      </c>
      <c r="K2138" s="108" t="s">
        <v>18</v>
      </c>
      <c r="L2138" s="108" t="str">
        <f>VLOOKUP(K2138,LUTs!E$2:G$14,3,)</f>
        <v>06King</v>
      </c>
      <c r="M2138" s="108" t="str">
        <f>VLOOKUP($K2138,LUTs!$E$2:$H$14,2,)</f>
        <v>South Puget Sound</v>
      </c>
      <c r="N2138" s="108" t="str">
        <f>VLOOKUP($K2138,LUTs!$E$2:$H$14,4,)</f>
        <v>02South Puget Sound</v>
      </c>
      <c r="O2138" s="108">
        <v>501.49149149149201</v>
      </c>
      <c r="P2138" s="108">
        <v>4337.9014014014101</v>
      </c>
      <c r="Q2138" s="108">
        <f>SUMIFS('FW_Salmon_by_Month_2010-2021'!P$2:P$3810,'FW_Salmon_by_Month_2010-2021'!$B$2:$B$3810,'Rec_raw_catch_effort_2010-2021'!$B2138,'FW_Salmon_by_Month_2010-2021'!$H$2:$H$3810,'Rec_raw_catch_effort_2010-2021'!$F2138,'FW_Salmon_by_Month_2010-2021'!$M$2:$M$3810,'Rec_raw_catch_effort_2010-2021'!$K2138)</f>
        <v>506.66459863256568</v>
      </c>
      <c r="R2138" s="109">
        <f>VLOOKUP(B2138,Readme!$A$62:$C$74,2,)*Q2138</f>
        <v>2441.8978510801321</v>
      </c>
      <c r="S2138" s="140" t="str">
        <f t="shared" si="173"/>
        <v>Y</v>
      </c>
      <c r="T2138" s="154">
        <f t="shared" si="174"/>
        <v>8.6500000000000092</v>
      </c>
      <c r="U2138" s="154">
        <f t="shared" si="175"/>
        <v>4.8195549041132084</v>
      </c>
    </row>
    <row r="2139" spans="1:21" x14ac:dyDescent="0.35">
      <c r="A2139" s="108">
        <v>3295</v>
      </c>
      <c r="B2139" s="108">
        <v>2014</v>
      </c>
      <c r="C2139" s="108" t="s">
        <v>38</v>
      </c>
      <c r="D2139" s="108" t="s">
        <v>143</v>
      </c>
      <c r="E2139" s="108" t="s">
        <v>10</v>
      </c>
      <c r="F2139" s="116">
        <v>816</v>
      </c>
      <c r="G2139" s="108" t="s">
        <v>56</v>
      </c>
      <c r="H2139" s="108" t="str">
        <f t="shared" si="172"/>
        <v>Samish River</v>
      </c>
      <c r="I2139" s="108" t="str">
        <f>IFERROR(VLOOKUP(H2139,LUTs!$A$1:$C$73,2,FALSE),"NA")</f>
        <v>Skagit</v>
      </c>
      <c r="J2139" s="108" t="str">
        <f>IFERROR(VLOOKUP(H2139,LUTs!$A$1:$C$73,3,FALSE),"NA")</f>
        <v>1North Puget Sound</v>
      </c>
      <c r="K2139" s="108" t="s">
        <v>26</v>
      </c>
      <c r="L2139" s="108" t="str">
        <f>VLOOKUP(K2139,LUTs!E$2:G$14,3,)</f>
        <v>20Other</v>
      </c>
      <c r="M2139" s="108" t="str">
        <f>VLOOKUP($K2139,LUTs!$E$2:$H$14,2,)</f>
        <v>Non Puget Sound</v>
      </c>
      <c r="N2139" s="108" t="str">
        <f>VLOOKUP($K2139,LUTs!$E$2:$H$14,4,)</f>
        <v>07Non Puget Sound</v>
      </c>
      <c r="O2139" s="108">
        <v>343.87987987987998</v>
      </c>
      <c r="P2139" s="108">
        <v>2974.5609609609601</v>
      </c>
      <c r="Q2139" s="108">
        <f>SUMIFS('FW_Salmon_by_Month_2010-2021'!P$2:P$3810,'FW_Salmon_by_Month_2010-2021'!$B$2:$B$3810,'Rec_raw_catch_effort_2010-2021'!$B2139,'FW_Salmon_by_Month_2010-2021'!$H$2:$H$3810,'Rec_raw_catch_effort_2010-2021'!$F2139,'FW_Salmon_by_Month_2010-2021'!$M$2:$M$3810,'Rec_raw_catch_effort_2010-2021'!$K2139)</f>
        <v>346.29466772781512</v>
      </c>
      <c r="R2139" s="109">
        <f>VLOOKUP(B2139,Readme!$A$62:$C$74,2,)*Q2139</f>
        <v>1668.9861641158454</v>
      </c>
      <c r="S2139" s="140" t="str">
        <f t="shared" si="173"/>
        <v>Y</v>
      </c>
      <c r="T2139" s="154">
        <f t="shared" si="174"/>
        <v>8.649999999999995</v>
      </c>
      <c r="U2139" s="154">
        <f t="shared" si="175"/>
        <v>4.8195549041132084</v>
      </c>
    </row>
    <row r="2140" spans="1:21" x14ac:dyDescent="0.35">
      <c r="A2140" s="108">
        <v>3192</v>
      </c>
      <c r="B2140" s="108">
        <v>2014</v>
      </c>
      <c r="C2140" s="108" t="s">
        <v>38</v>
      </c>
      <c r="D2140" s="108" t="s">
        <v>143</v>
      </c>
      <c r="E2140" s="108" t="s">
        <v>10</v>
      </c>
      <c r="F2140" s="116">
        <v>816</v>
      </c>
      <c r="G2140" s="108" t="s">
        <v>56</v>
      </c>
      <c r="H2140" s="108" t="str">
        <f t="shared" si="172"/>
        <v>Samish River</v>
      </c>
      <c r="I2140" s="108" t="str">
        <f>IFERROR(VLOOKUP(H2140,LUTs!$A$1:$C$73,2,FALSE),"NA")</f>
        <v>Skagit</v>
      </c>
      <c r="J2140" s="108" t="str">
        <f>IFERROR(VLOOKUP(H2140,LUTs!$A$1:$C$73,3,FALSE),"NA")</f>
        <v>1North Puget Sound</v>
      </c>
      <c r="K2140" s="108" t="s">
        <v>15</v>
      </c>
      <c r="L2140" s="108" t="str">
        <f>VLOOKUP(K2140,LUTs!E$2:G$14,3,)</f>
        <v>02Skagit</v>
      </c>
      <c r="M2140" s="108" t="str">
        <f>VLOOKUP($K2140,LUTs!$E$2:$H$14,2,)</f>
        <v>North Puget Sound</v>
      </c>
      <c r="N2140" s="108" t="str">
        <f>VLOOKUP($K2140,LUTs!$E$2:$H$14,4,)</f>
        <v>01North Puget Sound</v>
      </c>
      <c r="O2140" s="108">
        <v>1762.3843843843799</v>
      </c>
      <c r="P2140" s="108">
        <v>15244.624924924899</v>
      </c>
      <c r="Q2140" s="108">
        <f>SUMIFS('FW_Salmon_by_Month_2010-2021'!P$2:P$3810,'FW_Salmon_by_Month_2010-2021'!$B$2:$B$3810,'Rec_raw_catch_effort_2010-2021'!$B2140,'FW_Salmon_by_Month_2010-2021'!$H$2:$H$3810,'Rec_raw_catch_effort_2010-2021'!$F2140,'FW_Salmon_by_Month_2010-2021'!$M$2:$M$3810,'Rec_raw_catch_effort_2010-2021'!$K2140)</f>
        <v>1722.0027493398011</v>
      </c>
      <c r="R2140" s="109">
        <f>VLOOKUP(B2140,Readme!$A$62:$C$74,2,)*Q2140</f>
        <v>8299.2867954770663</v>
      </c>
      <c r="S2140" s="140" t="str">
        <f t="shared" si="173"/>
        <v>Y</v>
      </c>
      <c r="T2140" s="154">
        <f t="shared" si="174"/>
        <v>8.6500000000000075</v>
      </c>
      <c r="U2140" s="154">
        <f t="shared" si="175"/>
        <v>4.8195549041132084</v>
      </c>
    </row>
    <row r="2141" spans="1:21" x14ac:dyDescent="0.35">
      <c r="A2141" s="108">
        <v>3193</v>
      </c>
      <c r="B2141" s="108">
        <v>2014</v>
      </c>
      <c r="C2141" s="108" t="s">
        <v>38</v>
      </c>
      <c r="D2141" s="108" t="s">
        <v>143</v>
      </c>
      <c r="E2141" s="108" t="s">
        <v>10</v>
      </c>
      <c r="F2141" s="116">
        <v>816</v>
      </c>
      <c r="G2141" s="108" t="s">
        <v>56</v>
      </c>
      <c r="H2141" s="108" t="str">
        <f t="shared" si="172"/>
        <v>Samish River</v>
      </c>
      <c r="I2141" s="108" t="str">
        <f>IFERROR(VLOOKUP(H2141,LUTs!$A$1:$C$73,2,FALSE),"NA")</f>
        <v>Skagit</v>
      </c>
      <c r="J2141" s="108" t="str">
        <f>IFERROR(VLOOKUP(H2141,LUTs!$A$1:$C$73,3,FALSE),"NA")</f>
        <v>1North Puget Sound</v>
      </c>
      <c r="K2141" s="108" t="s">
        <v>16</v>
      </c>
      <c r="L2141" s="108" t="str">
        <f>VLOOKUP(K2141,LUTs!E$2:G$14,3,)</f>
        <v>03Snohomish</v>
      </c>
      <c r="M2141" s="108" t="str">
        <f>VLOOKUP($K2141,LUTs!$E$2:$H$14,2,)</f>
        <v>North Puget Sound</v>
      </c>
      <c r="N2141" s="108" t="str">
        <f>VLOOKUP($K2141,LUTs!$E$2:$H$14,4,)</f>
        <v>01North Puget Sound</v>
      </c>
      <c r="O2141" s="108">
        <v>3180.8888888888901</v>
      </c>
      <c r="P2141" s="108">
        <v>27514.688888888901</v>
      </c>
      <c r="Q2141" s="108">
        <f>SUMIFS('FW_Salmon_by_Month_2010-2021'!P$2:P$3810,'FW_Salmon_by_Month_2010-2021'!$B$2:$B$3810,'Rec_raw_catch_effort_2010-2021'!$B2141,'FW_Salmon_by_Month_2010-2021'!$H$2:$H$3810,'Rec_raw_catch_effort_2010-2021'!$F2141,'FW_Salmon_by_Month_2010-2021'!$M$2:$M$3810,'Rec_raw_catch_effort_2010-2021'!$K2141)</f>
        <v>3201.6215135839102</v>
      </c>
      <c r="R2141" s="109">
        <f>VLOOKUP(B2141,Readme!$A$62:$C$74,2,)*Q2141</f>
        <v>15430.390666907688</v>
      </c>
      <c r="S2141" s="140" t="str">
        <f t="shared" si="173"/>
        <v>Y</v>
      </c>
      <c r="T2141" s="154">
        <f t="shared" si="174"/>
        <v>8.65</v>
      </c>
      <c r="U2141" s="154">
        <f t="shared" si="175"/>
        <v>4.8195549041132084</v>
      </c>
    </row>
    <row r="2142" spans="1:21" x14ac:dyDescent="0.35">
      <c r="A2142" s="108">
        <v>3191</v>
      </c>
      <c r="B2142" s="108">
        <v>2014</v>
      </c>
      <c r="C2142" s="108" t="s">
        <v>38</v>
      </c>
      <c r="D2142" s="108" t="s">
        <v>143</v>
      </c>
      <c r="E2142" s="108" t="s">
        <v>10</v>
      </c>
      <c r="F2142" s="116">
        <v>816</v>
      </c>
      <c r="G2142" s="108" t="s">
        <v>56</v>
      </c>
      <c r="H2142" s="108" t="str">
        <f t="shared" si="172"/>
        <v>Samish River</v>
      </c>
      <c r="I2142" s="108" t="str">
        <f>IFERROR(VLOOKUP(H2142,LUTs!$A$1:$C$73,2,FALSE),"NA")</f>
        <v>Skagit</v>
      </c>
      <c r="J2142" s="108" t="str">
        <f>IFERROR(VLOOKUP(H2142,LUTs!$A$1:$C$73,3,FALSE),"NA")</f>
        <v>1North Puget Sound</v>
      </c>
      <c r="K2142" s="108" t="s">
        <v>13</v>
      </c>
      <c r="L2142" s="108" t="str">
        <f>VLOOKUP(K2142,LUTs!E$2:G$14,3,)</f>
        <v>01Whatcom</v>
      </c>
      <c r="M2142" s="108" t="str">
        <f>VLOOKUP($K2142,LUTs!$E$2:$H$14,2,)</f>
        <v>North Puget Sound</v>
      </c>
      <c r="N2142" s="108" t="str">
        <f>VLOOKUP($K2142,LUTs!$E$2:$H$14,4,)</f>
        <v>01North Puget Sound</v>
      </c>
      <c r="O2142" s="108">
        <v>895.52052052052102</v>
      </c>
      <c r="P2142" s="108">
        <v>7746.2525025025097</v>
      </c>
      <c r="Q2142" s="108">
        <f>SUMIFS('FW_Salmon_by_Month_2010-2021'!P$2:P$3810,'FW_Salmon_by_Month_2010-2021'!$B$2:$B$3810,'Rec_raw_catch_effort_2010-2021'!$B2142,'FW_Salmon_by_Month_2010-2021'!$H$2:$H$3810,'Rec_raw_catch_effort_2010-2021'!$F2142,'FW_Salmon_by_Month_2010-2021'!$M$2:$M$3810,'Rec_raw_catch_effort_2010-2021'!$K2142)</f>
        <v>903.2693629490293</v>
      </c>
      <c r="R2142" s="109">
        <f>VLOOKUP(B2142,Readme!$A$62:$C$74,2,)*Q2142</f>
        <v>4353.356287936208</v>
      </c>
      <c r="S2142" s="140" t="str">
        <f t="shared" si="173"/>
        <v>Y</v>
      </c>
      <c r="T2142" s="154">
        <f t="shared" si="174"/>
        <v>8.6500000000000039</v>
      </c>
      <c r="U2142" s="154">
        <f t="shared" si="175"/>
        <v>4.8195549041132084</v>
      </c>
    </row>
    <row r="2143" spans="1:21" x14ac:dyDescent="0.35">
      <c r="A2143" s="108">
        <v>3510</v>
      </c>
      <c r="B2143" s="108">
        <v>2015</v>
      </c>
      <c r="C2143" s="108" t="s">
        <v>38</v>
      </c>
      <c r="D2143" s="108" t="s">
        <v>143</v>
      </c>
      <c r="E2143" s="108" t="s">
        <v>10</v>
      </c>
      <c r="F2143" s="116">
        <v>816</v>
      </c>
      <c r="G2143" s="108" t="s">
        <v>56</v>
      </c>
      <c r="H2143" s="108" t="str">
        <f t="shared" si="172"/>
        <v>Samish River</v>
      </c>
      <c r="I2143" s="108" t="str">
        <f>IFERROR(VLOOKUP(H2143,LUTs!$A$1:$C$73,2,FALSE),"NA")</f>
        <v>Skagit</v>
      </c>
      <c r="J2143" s="108" t="str">
        <f>IFERROR(VLOOKUP(H2143,LUTs!$A$1:$C$73,3,FALSE),"NA")</f>
        <v>1North Puget Sound</v>
      </c>
      <c r="K2143" s="108" t="s">
        <v>17</v>
      </c>
      <c r="L2143" s="108" t="str">
        <f>VLOOKUP(K2143,LUTs!E$2:G$14,3,)</f>
        <v>04Island</v>
      </c>
      <c r="M2143" s="108" t="str">
        <f>VLOOKUP($K2143,LUTs!$E$2:$H$14,2,)</f>
        <v>North Puget Sound</v>
      </c>
      <c r="N2143" s="108" t="str">
        <f>VLOOKUP($K2143,LUTs!$E$2:$H$14,4,)</f>
        <v>01North Puget Sound</v>
      </c>
      <c r="O2143" s="108">
        <v>157.226666666667</v>
      </c>
      <c r="P2143" s="108">
        <v>540.85973333333402</v>
      </c>
      <c r="Q2143" s="108">
        <f>SUMIFS('FW_Salmon_by_Month_2010-2021'!P$2:P$3810,'FW_Salmon_by_Month_2010-2021'!$B$2:$B$3810,'Rec_raw_catch_effort_2010-2021'!$B2143,'FW_Salmon_by_Month_2010-2021'!$H$2:$H$3810,'Rec_raw_catch_effort_2010-2021'!$F2143,'FW_Salmon_by_Month_2010-2021'!$M$2:$M$3810,'Rec_raw_catch_effort_2010-2021'!$K2143)</f>
        <v>157.92258311775382</v>
      </c>
      <c r="R2143" s="109">
        <f>VLOOKUP(B2143,Readme!$A$62:$C$74,2,)*Q2143</f>
        <v>558.89440800863053</v>
      </c>
      <c r="S2143" s="140" t="str">
        <f t="shared" si="173"/>
        <v>Y</v>
      </c>
      <c r="T2143" s="154">
        <f t="shared" si="174"/>
        <v>3.4399999999999973</v>
      </c>
      <c r="U2143" s="154">
        <f t="shared" si="175"/>
        <v>3.5390404397824153</v>
      </c>
    </row>
    <row r="2144" spans="1:21" x14ac:dyDescent="0.35">
      <c r="A2144" s="108">
        <v>3512</v>
      </c>
      <c r="B2144" s="108">
        <v>2015</v>
      </c>
      <c r="C2144" s="108" t="s">
        <v>38</v>
      </c>
      <c r="D2144" s="108" t="s">
        <v>143</v>
      </c>
      <c r="E2144" s="108" t="s">
        <v>10</v>
      </c>
      <c r="F2144" s="116">
        <v>816</v>
      </c>
      <c r="G2144" s="108" t="s">
        <v>56</v>
      </c>
      <c r="H2144" s="108" t="str">
        <f t="shared" si="172"/>
        <v>Samish River</v>
      </c>
      <c r="I2144" s="108" t="str">
        <f>IFERROR(VLOOKUP(H2144,LUTs!$A$1:$C$73,2,FALSE),"NA")</f>
        <v>Skagit</v>
      </c>
      <c r="J2144" s="108" t="str">
        <f>IFERROR(VLOOKUP(H2144,LUTs!$A$1:$C$73,3,FALSE),"NA")</f>
        <v>1North Puget Sound</v>
      </c>
      <c r="K2144" s="108" t="s">
        <v>25</v>
      </c>
      <c r="L2144" s="108" t="str">
        <f>VLOOKUP(K2144,LUTs!E$2:G$14,3,)</f>
        <v>12Jefferson</v>
      </c>
      <c r="M2144" s="108" t="str">
        <f>VLOOKUP($K2144,LUTs!$E$2:$H$14,2,)</f>
        <v>Strait of Juan de Fuca</v>
      </c>
      <c r="N2144" s="108" t="str">
        <f>VLOOKUP($K2144,LUTs!$E$2:$H$14,4,)</f>
        <v>03Strait of Juan de Fuca</v>
      </c>
      <c r="O2144" s="108">
        <v>17.469629629629601</v>
      </c>
      <c r="P2144" s="108">
        <v>60.095525925925799</v>
      </c>
      <c r="Q2144" s="108">
        <f>SUMIFS('FW_Salmon_by_Month_2010-2021'!P$2:P$3810,'FW_Salmon_by_Month_2010-2021'!$B$2:$B$3810,'Rec_raw_catch_effort_2010-2021'!$B2144,'FW_Salmon_by_Month_2010-2021'!$H$2:$H$3810,'Rec_raw_catch_effort_2010-2021'!$F2144,'FW_Salmon_by_Month_2010-2021'!$M$2:$M$3810,'Rec_raw_catch_effort_2010-2021'!$K2144)</f>
        <v>17.549295774647899</v>
      </c>
      <c r="R2144" s="109">
        <f>VLOOKUP(B2144,Readme!$A$62:$C$74,2,)*Q2144</f>
        <v>62.107667436181579</v>
      </c>
      <c r="S2144" s="140" t="str">
        <f t="shared" si="173"/>
        <v>Y</v>
      </c>
      <c r="T2144" s="154">
        <f t="shared" si="174"/>
        <v>3.4399999999999982</v>
      </c>
      <c r="U2144" s="154">
        <f t="shared" si="175"/>
        <v>3.5390404397824153</v>
      </c>
    </row>
    <row r="2145" spans="1:21" x14ac:dyDescent="0.35">
      <c r="A2145" s="108">
        <v>3511</v>
      </c>
      <c r="B2145" s="108">
        <v>2015</v>
      </c>
      <c r="C2145" s="108" t="s">
        <v>38</v>
      </c>
      <c r="D2145" s="108" t="s">
        <v>143</v>
      </c>
      <c r="E2145" s="108" t="s">
        <v>10</v>
      </c>
      <c r="F2145" s="116">
        <v>816</v>
      </c>
      <c r="G2145" s="108" t="s">
        <v>56</v>
      </c>
      <c r="H2145" s="108" t="str">
        <f t="shared" si="172"/>
        <v>Samish River</v>
      </c>
      <c r="I2145" s="108" t="str">
        <f>IFERROR(VLOOKUP(H2145,LUTs!$A$1:$C$73,2,FALSE),"NA")</f>
        <v>Skagit</v>
      </c>
      <c r="J2145" s="108" t="str">
        <f>IFERROR(VLOOKUP(H2145,LUTs!$A$1:$C$73,3,FALSE),"NA")</f>
        <v>1North Puget Sound</v>
      </c>
      <c r="K2145" s="108" t="s">
        <v>18</v>
      </c>
      <c r="L2145" s="108" t="str">
        <f>VLOOKUP(K2145,LUTs!E$2:G$14,3,)</f>
        <v>06King</v>
      </c>
      <c r="M2145" s="108" t="str">
        <f>VLOOKUP($K2145,LUTs!$E$2:$H$14,2,)</f>
        <v>South Puget Sound</v>
      </c>
      <c r="N2145" s="108" t="str">
        <f>VLOOKUP($K2145,LUTs!$E$2:$H$14,4,)</f>
        <v>02South Puget Sound</v>
      </c>
      <c r="O2145" s="108">
        <v>663.84592592592605</v>
      </c>
      <c r="P2145" s="108">
        <v>2283.62998518519</v>
      </c>
      <c r="Q2145" s="108">
        <f>SUMIFS('FW_Salmon_by_Month_2010-2021'!P$2:P$3810,'FW_Salmon_by_Month_2010-2021'!$B$2:$B$3810,'Rec_raw_catch_effort_2010-2021'!$B2145,'FW_Salmon_by_Month_2010-2021'!$H$2:$H$3810,'Rec_raw_catch_effort_2010-2021'!$F2145,'FW_Salmon_by_Month_2010-2021'!$M$2:$M$3810,'Rec_raw_catch_effort_2010-2021'!$K2145)</f>
        <v>666.80839522600149</v>
      </c>
      <c r="R2145" s="109">
        <f>VLOOKUP(B2145,Readme!$A$62:$C$74,2,)*Q2145</f>
        <v>2359.8618762912351</v>
      </c>
      <c r="S2145" s="140" t="str">
        <f t="shared" si="173"/>
        <v>Y</v>
      </c>
      <c r="T2145" s="154">
        <f t="shared" si="174"/>
        <v>3.4400000000000066</v>
      </c>
      <c r="U2145" s="154">
        <f t="shared" si="175"/>
        <v>3.5390404397824158</v>
      </c>
    </row>
    <row r="2146" spans="1:21" x14ac:dyDescent="0.35">
      <c r="A2146" s="108">
        <v>3513</v>
      </c>
      <c r="B2146" s="108">
        <v>2015</v>
      </c>
      <c r="C2146" s="108" t="s">
        <v>38</v>
      </c>
      <c r="D2146" s="108" t="s">
        <v>143</v>
      </c>
      <c r="E2146" s="108" t="s">
        <v>10</v>
      </c>
      <c r="F2146" s="116">
        <v>816</v>
      </c>
      <c r="G2146" s="108" t="s">
        <v>56</v>
      </c>
      <c r="H2146" s="108" t="str">
        <f t="shared" si="172"/>
        <v>Samish River</v>
      </c>
      <c r="I2146" s="108" t="str">
        <f>IFERROR(VLOOKUP(H2146,LUTs!$A$1:$C$73,2,FALSE),"NA")</f>
        <v>Skagit</v>
      </c>
      <c r="J2146" s="108" t="str">
        <f>IFERROR(VLOOKUP(H2146,LUTs!$A$1:$C$73,3,FALSE),"NA")</f>
        <v>1North Puget Sound</v>
      </c>
      <c r="K2146" s="108" t="s">
        <v>26</v>
      </c>
      <c r="L2146" s="108" t="str">
        <f>VLOOKUP(K2146,LUTs!E$2:G$14,3,)</f>
        <v>20Other</v>
      </c>
      <c r="M2146" s="108" t="str">
        <f>VLOOKUP($K2146,LUTs!$E$2:$H$14,2,)</f>
        <v>Non Puget Sound</v>
      </c>
      <c r="N2146" s="108" t="str">
        <f>VLOOKUP($K2146,LUTs!$E$2:$H$14,4,)</f>
        <v>07Non Puget Sound</v>
      </c>
      <c r="O2146" s="108">
        <v>323.188148148148</v>
      </c>
      <c r="P2146" s="108">
        <v>1111.76722962963</v>
      </c>
      <c r="Q2146" s="108">
        <f>SUMIFS('FW_Salmon_by_Month_2010-2021'!P$2:P$3810,'FW_Salmon_by_Month_2010-2021'!$B$2:$B$3810,'Rec_raw_catch_effort_2010-2021'!$B2146,'FW_Salmon_by_Month_2010-2021'!$H$2:$H$3810,'Rec_raw_catch_effort_2010-2021'!$F2146,'FW_Salmon_by_Month_2010-2021'!$M$2:$M$3810,'Rec_raw_catch_effort_2010-2021'!$K2146)</f>
        <v>324.63239827766347</v>
      </c>
      <c r="R2146" s="109">
        <f>VLOOKUP(B2146,Readme!$A$62:$C$74,2,)*Q2146</f>
        <v>1148.8871855682023</v>
      </c>
      <c r="S2146" s="140" t="str">
        <f t="shared" si="173"/>
        <v>Y</v>
      </c>
      <c r="T2146" s="154">
        <f t="shared" si="174"/>
        <v>3.4400000000000026</v>
      </c>
      <c r="U2146" s="154">
        <f t="shared" si="175"/>
        <v>3.5390404397824153</v>
      </c>
    </row>
    <row r="2147" spans="1:21" x14ac:dyDescent="0.35">
      <c r="A2147" s="108">
        <v>3399</v>
      </c>
      <c r="B2147" s="108">
        <v>2015</v>
      </c>
      <c r="C2147" s="108" t="s">
        <v>38</v>
      </c>
      <c r="D2147" s="108" t="s">
        <v>143</v>
      </c>
      <c r="E2147" s="108" t="s">
        <v>10</v>
      </c>
      <c r="F2147" s="116">
        <v>816</v>
      </c>
      <c r="G2147" s="108" t="s">
        <v>56</v>
      </c>
      <c r="H2147" s="108" t="str">
        <f t="shared" si="172"/>
        <v>Samish River</v>
      </c>
      <c r="I2147" s="108" t="str">
        <f>IFERROR(VLOOKUP(H2147,LUTs!$A$1:$C$73,2,FALSE),"NA")</f>
        <v>Skagit</v>
      </c>
      <c r="J2147" s="108" t="str">
        <f>IFERROR(VLOOKUP(H2147,LUTs!$A$1:$C$73,3,FALSE),"NA")</f>
        <v>1North Puget Sound</v>
      </c>
      <c r="K2147" s="108" t="s">
        <v>15</v>
      </c>
      <c r="L2147" s="108" t="str">
        <f>VLOOKUP(K2147,LUTs!E$2:G$14,3,)</f>
        <v>02Skagit</v>
      </c>
      <c r="M2147" s="108" t="str">
        <f>VLOOKUP($K2147,LUTs!$E$2:$H$14,2,)</f>
        <v>North Puget Sound</v>
      </c>
      <c r="N2147" s="108" t="str">
        <f>VLOOKUP($K2147,LUTs!$E$2:$H$14,4,)</f>
        <v>01North Puget Sound</v>
      </c>
      <c r="O2147" s="108">
        <v>1502.3881481481501</v>
      </c>
      <c r="P2147" s="108">
        <v>5168.2152296296399</v>
      </c>
      <c r="Q2147" s="108">
        <f>SUMIFS('FW_Salmon_by_Month_2010-2021'!P$2:P$3810,'FW_Salmon_by_Month_2010-2021'!$B$2:$B$3810,'Rec_raw_catch_effort_2010-2021'!$B2147,'FW_Salmon_by_Month_2010-2021'!$H$2:$H$3810,'Rec_raw_catch_effort_2010-2021'!$F2147,'FW_Salmon_by_Month_2010-2021'!$M$2:$M$3810,'Rec_raw_catch_effort_2010-2021'!$K2147)</f>
        <v>1500.3205539640549</v>
      </c>
      <c r="R2147" s="109">
        <f>VLOOKUP(B2147,Readme!$A$62:$C$74,2,)*Q2147</f>
        <v>5309.6951131155456</v>
      </c>
      <c r="S2147" s="140" t="str">
        <f t="shared" si="173"/>
        <v>Y</v>
      </c>
      <c r="T2147" s="154">
        <f t="shared" si="174"/>
        <v>3.4400000000000022</v>
      </c>
      <c r="U2147" s="154">
        <f t="shared" si="175"/>
        <v>3.5390404397824153</v>
      </c>
    </row>
    <row r="2148" spans="1:21" x14ac:dyDescent="0.35">
      <c r="A2148" s="108">
        <v>3467</v>
      </c>
      <c r="B2148" s="108">
        <v>2015</v>
      </c>
      <c r="C2148" s="108" t="s">
        <v>38</v>
      </c>
      <c r="D2148" s="108" t="s">
        <v>143</v>
      </c>
      <c r="E2148" s="108" t="s">
        <v>10</v>
      </c>
      <c r="F2148" s="116">
        <v>816</v>
      </c>
      <c r="G2148" s="108" t="s">
        <v>56</v>
      </c>
      <c r="H2148" s="108" t="str">
        <f t="shared" si="172"/>
        <v>Samish River</v>
      </c>
      <c r="I2148" s="108" t="str">
        <f>IFERROR(VLOOKUP(H2148,LUTs!$A$1:$C$73,2,FALSE),"NA")</f>
        <v>Skagit</v>
      </c>
      <c r="J2148" s="108" t="str">
        <f>IFERROR(VLOOKUP(H2148,LUTs!$A$1:$C$73,3,FALSE),"NA")</f>
        <v>1North Puget Sound</v>
      </c>
      <c r="K2148" s="108" t="s">
        <v>16</v>
      </c>
      <c r="L2148" s="108" t="str">
        <f>VLOOKUP(K2148,LUTs!E$2:G$14,3,)</f>
        <v>03Snohomish</v>
      </c>
      <c r="M2148" s="108" t="str">
        <f>VLOOKUP($K2148,LUTs!$E$2:$H$14,2,)</f>
        <v>North Puget Sound</v>
      </c>
      <c r="N2148" s="108" t="str">
        <f>VLOOKUP($K2148,LUTs!$E$2:$H$14,4,)</f>
        <v>01North Puget Sound</v>
      </c>
      <c r="O2148" s="108">
        <v>2305.9911111111101</v>
      </c>
      <c r="P2148" s="108">
        <v>7932.60942222222</v>
      </c>
      <c r="Q2148" s="108">
        <f>SUMIFS('FW_Salmon_by_Month_2010-2021'!P$2:P$3810,'FW_Salmon_by_Month_2010-2021'!$B$2:$B$3810,'Rec_raw_catch_effort_2010-2021'!$B2148,'FW_Salmon_by_Month_2010-2021'!$H$2:$H$3810,'Rec_raw_catch_effort_2010-2021'!$F2148,'FW_Salmon_by_Month_2010-2021'!$M$2:$M$3810,'Rec_raw_catch_effort_2010-2021'!$K2148)</f>
        <v>2316.2938106613601</v>
      </c>
      <c r="R2148" s="109">
        <f>VLOOKUP(B2148,Readme!$A$62:$C$74,2,)*Q2148</f>
        <v>8197.4574663482672</v>
      </c>
      <c r="S2148" s="140" t="str">
        <f t="shared" si="173"/>
        <v>Y</v>
      </c>
      <c r="T2148" s="154">
        <f t="shared" si="174"/>
        <v>3.4400000000000008</v>
      </c>
      <c r="U2148" s="154">
        <f t="shared" si="175"/>
        <v>3.5390404397824158</v>
      </c>
    </row>
    <row r="2149" spans="1:21" x14ac:dyDescent="0.35">
      <c r="A2149" s="108">
        <v>3398</v>
      </c>
      <c r="B2149" s="108">
        <v>2015</v>
      </c>
      <c r="C2149" s="108" t="s">
        <v>38</v>
      </c>
      <c r="D2149" s="108" t="s">
        <v>143</v>
      </c>
      <c r="E2149" s="108" t="s">
        <v>10</v>
      </c>
      <c r="F2149" s="116">
        <v>816</v>
      </c>
      <c r="G2149" s="108" t="s">
        <v>56</v>
      </c>
      <c r="H2149" s="108" t="str">
        <f t="shared" si="172"/>
        <v>Samish River</v>
      </c>
      <c r="I2149" s="108" t="str">
        <f>IFERROR(VLOOKUP(H2149,LUTs!$A$1:$C$73,2,FALSE),"NA")</f>
        <v>Skagit</v>
      </c>
      <c r="J2149" s="108" t="str">
        <f>IFERROR(VLOOKUP(H2149,LUTs!$A$1:$C$73,3,FALSE),"NA")</f>
        <v>1North Puget Sound</v>
      </c>
      <c r="K2149" s="108" t="s">
        <v>13</v>
      </c>
      <c r="L2149" s="108" t="str">
        <f>VLOOKUP(K2149,LUTs!E$2:G$14,3,)</f>
        <v>01Whatcom</v>
      </c>
      <c r="M2149" s="108" t="str">
        <f>VLOOKUP($K2149,LUTs!$E$2:$H$14,2,)</f>
        <v>North Puget Sound</v>
      </c>
      <c r="N2149" s="108" t="str">
        <f>VLOOKUP($K2149,LUTs!$E$2:$H$14,4,)</f>
        <v>01North Puget Sound</v>
      </c>
      <c r="O2149" s="108">
        <v>925.89037037036996</v>
      </c>
      <c r="P2149" s="108">
        <v>3185.0628740740699</v>
      </c>
      <c r="Q2149" s="108">
        <f>SUMIFS('FW_Salmon_by_Month_2010-2021'!P$2:P$3810,'FW_Salmon_by_Month_2010-2021'!$B$2:$B$3810,'Rec_raw_catch_effort_2010-2021'!$B2149,'FW_Salmon_by_Month_2010-2021'!$H$2:$H$3810,'Rec_raw_catch_effort_2010-2021'!$F2149,'FW_Salmon_by_Month_2010-2021'!$M$2:$M$3810,'Rec_raw_catch_effort_2010-2021'!$K2149)</f>
        <v>912.4729629785129</v>
      </c>
      <c r="R2149" s="109">
        <f>VLOOKUP(B2149,Readme!$A$62:$C$74,2,)*Q2149</f>
        <v>3229.2787161890401</v>
      </c>
      <c r="S2149" s="140" t="str">
        <f t="shared" si="173"/>
        <v>Y</v>
      </c>
      <c r="T2149" s="154">
        <f t="shared" si="174"/>
        <v>3.4399999999999968</v>
      </c>
      <c r="U2149" s="154">
        <f t="shared" si="175"/>
        <v>3.5390404397824158</v>
      </c>
    </row>
    <row r="2150" spans="1:21" x14ac:dyDescent="0.35">
      <c r="A2150" s="108">
        <v>3653</v>
      </c>
      <c r="B2150" s="108">
        <v>2016</v>
      </c>
      <c r="C2150" s="108" t="s">
        <v>38</v>
      </c>
      <c r="D2150" s="108" t="s">
        <v>143</v>
      </c>
      <c r="E2150" s="108" t="s">
        <v>10</v>
      </c>
      <c r="F2150" s="116">
        <v>816</v>
      </c>
      <c r="G2150" s="108" t="s">
        <v>56</v>
      </c>
      <c r="H2150" s="108" t="str">
        <f t="shared" si="172"/>
        <v>Samish River</v>
      </c>
      <c r="I2150" s="108" t="str">
        <f>IFERROR(VLOOKUP(H2150,LUTs!$A$1:$C$73,2,FALSE),"NA")</f>
        <v>Skagit</v>
      </c>
      <c r="J2150" s="108" t="str">
        <f>IFERROR(VLOOKUP(H2150,LUTs!$A$1:$C$73,3,FALSE),"NA")</f>
        <v>1North Puget Sound</v>
      </c>
      <c r="K2150" s="108" t="s">
        <v>17</v>
      </c>
      <c r="L2150" s="108" t="str">
        <f>VLOOKUP(K2150,LUTs!E$2:G$14,3,)</f>
        <v>04Island</v>
      </c>
      <c r="M2150" s="108" t="str">
        <f>VLOOKUP($K2150,LUTs!$E$2:$H$14,2,)</f>
        <v>North Puget Sound</v>
      </c>
      <c r="N2150" s="108" t="str">
        <f>VLOOKUP($K2150,LUTs!$E$2:$H$14,4,)</f>
        <v>01North Puget Sound</v>
      </c>
      <c r="O2150" s="108">
        <v>633.18253968253998</v>
      </c>
      <c r="P2150" s="108">
        <v>5477.0289682539697</v>
      </c>
      <c r="Q2150" s="108">
        <f>SUMIFS('FW_Salmon_by_Month_2010-2021'!P$2:P$3810,'FW_Salmon_by_Month_2010-2021'!$B$2:$B$3810,'Rec_raw_catch_effort_2010-2021'!$B2150,'FW_Salmon_by_Month_2010-2021'!$H$2:$H$3810,'Rec_raw_catch_effort_2010-2021'!$F2150,'FW_Salmon_by_Month_2010-2021'!$M$2:$M$3810,'Rec_raw_catch_effort_2010-2021'!$K2150)</f>
        <v>632.82332911925869</v>
      </c>
      <c r="R2150" s="109">
        <f>VLOOKUP(B2150,Readme!$A$62:$C$74,2,)*Q2150</f>
        <v>3049.92677929397</v>
      </c>
      <c r="S2150" s="140" t="str">
        <f t="shared" si="173"/>
        <v>Y</v>
      </c>
      <c r="T2150" s="154">
        <f t="shared" si="174"/>
        <v>8.6499999999999986</v>
      </c>
      <c r="U2150" s="154">
        <f t="shared" si="175"/>
        <v>4.8195549041132084</v>
      </c>
    </row>
    <row r="2151" spans="1:21" x14ac:dyDescent="0.35">
      <c r="A2151" s="108">
        <v>3654</v>
      </c>
      <c r="B2151" s="108">
        <v>2016</v>
      </c>
      <c r="C2151" s="108" t="s">
        <v>38</v>
      </c>
      <c r="D2151" s="108" t="s">
        <v>143</v>
      </c>
      <c r="E2151" s="108" t="s">
        <v>10</v>
      </c>
      <c r="F2151" s="116">
        <v>816</v>
      </c>
      <c r="G2151" s="108" t="s">
        <v>56</v>
      </c>
      <c r="H2151" s="108" t="str">
        <f t="shared" si="172"/>
        <v>Samish River</v>
      </c>
      <c r="I2151" s="108" t="str">
        <f>IFERROR(VLOOKUP(H2151,LUTs!$A$1:$C$73,2,FALSE),"NA")</f>
        <v>Skagit</v>
      </c>
      <c r="J2151" s="108" t="str">
        <f>IFERROR(VLOOKUP(H2151,LUTs!$A$1:$C$73,3,FALSE),"NA")</f>
        <v>1North Puget Sound</v>
      </c>
      <c r="K2151" s="108" t="s">
        <v>18</v>
      </c>
      <c r="L2151" s="108" t="str">
        <f>VLOOKUP(K2151,LUTs!E$2:G$14,3,)</f>
        <v>06King</v>
      </c>
      <c r="M2151" s="108" t="str">
        <f>VLOOKUP($K2151,LUTs!$E$2:$H$14,2,)</f>
        <v>South Puget Sound</v>
      </c>
      <c r="N2151" s="108" t="str">
        <f>VLOOKUP($K2151,LUTs!$E$2:$H$14,4,)</f>
        <v>02South Puget Sound</v>
      </c>
      <c r="O2151" s="108">
        <v>457.839682539683</v>
      </c>
      <c r="P2151" s="108">
        <v>3960.3132539682601</v>
      </c>
      <c r="Q2151" s="108">
        <f>SUMIFS('FW_Salmon_by_Month_2010-2021'!P$2:P$3810,'FW_Salmon_by_Month_2010-2021'!$B$2:$B$3810,'Rec_raw_catch_effort_2010-2021'!$B2151,'FW_Salmon_by_Month_2010-2021'!$H$2:$H$3810,'Rec_raw_catch_effort_2010-2021'!$F2151,'FW_Salmon_by_Month_2010-2021'!$M$2:$M$3810,'Rec_raw_catch_effort_2010-2021'!$K2151)</f>
        <v>448.45431942688583</v>
      </c>
      <c r="R2151" s="109">
        <f>VLOOKUP(B2151,Readme!$A$62:$C$74,2,)*Q2151</f>
        <v>2161.350214464599</v>
      </c>
      <c r="S2151" s="140" t="str">
        <f t="shared" si="173"/>
        <v>Y</v>
      </c>
      <c r="T2151" s="154">
        <f t="shared" si="174"/>
        <v>8.6500000000000057</v>
      </c>
      <c r="U2151" s="154">
        <f t="shared" si="175"/>
        <v>4.8195549041132084</v>
      </c>
    </row>
    <row r="2152" spans="1:21" x14ac:dyDescent="0.35">
      <c r="A2152" s="108">
        <v>3681</v>
      </c>
      <c r="B2152" s="108">
        <v>2016</v>
      </c>
      <c r="C2152" s="108" t="s">
        <v>38</v>
      </c>
      <c r="D2152" s="108" t="s">
        <v>143</v>
      </c>
      <c r="E2152" s="108" t="s">
        <v>10</v>
      </c>
      <c r="F2152" s="116">
        <v>816</v>
      </c>
      <c r="G2152" s="108" t="s">
        <v>56</v>
      </c>
      <c r="H2152" s="108" t="str">
        <f t="shared" si="172"/>
        <v>Samish River</v>
      </c>
      <c r="I2152" s="108" t="str">
        <f>IFERROR(VLOOKUP(H2152,LUTs!$A$1:$C$73,2,FALSE),"NA")</f>
        <v>Skagit</v>
      </c>
      <c r="J2152" s="108" t="str">
        <f>IFERROR(VLOOKUP(H2152,LUTs!$A$1:$C$73,3,FALSE),"NA")</f>
        <v>1North Puget Sound</v>
      </c>
      <c r="K2152" s="108" t="s">
        <v>26</v>
      </c>
      <c r="L2152" s="108" t="str">
        <f>VLOOKUP(K2152,LUTs!E$2:G$14,3,)</f>
        <v>20Other</v>
      </c>
      <c r="M2152" s="108" t="str">
        <f>VLOOKUP($K2152,LUTs!$E$2:$H$14,2,)</f>
        <v>Non Puget Sound</v>
      </c>
      <c r="N2152" s="108" t="str">
        <f>VLOOKUP($K2152,LUTs!$E$2:$H$14,4,)</f>
        <v>07Non Puget Sound</v>
      </c>
      <c r="O2152" s="108">
        <v>516.28730158730195</v>
      </c>
      <c r="P2152" s="108">
        <v>4465.8851587301597</v>
      </c>
      <c r="Q2152" s="108">
        <f>SUMIFS('FW_Salmon_by_Month_2010-2021'!P$2:P$3810,'FW_Salmon_by_Month_2010-2021'!$B$2:$B$3810,'Rec_raw_catch_effort_2010-2021'!$B2152,'FW_Salmon_by_Month_2010-2021'!$H$2:$H$3810,'Rec_raw_catch_effort_2010-2021'!$F2152,'FW_Salmon_by_Month_2010-2021'!$M$2:$M$3810,'Rec_raw_catch_effort_2010-2021'!$K2152)</f>
        <v>516.25368731563401</v>
      </c>
      <c r="R2152" s="109">
        <f>VLOOKUP(B2152,Readme!$A$62:$C$74,2,)*Q2152</f>
        <v>2488.1129904685909</v>
      </c>
      <c r="S2152" s="140" t="str">
        <f t="shared" si="173"/>
        <v>Y</v>
      </c>
      <c r="T2152" s="154">
        <f t="shared" si="174"/>
        <v>8.649999999999995</v>
      </c>
      <c r="U2152" s="154">
        <f t="shared" si="175"/>
        <v>4.8195549041132084</v>
      </c>
    </row>
    <row r="2153" spans="1:21" x14ac:dyDescent="0.35">
      <c r="A2153" s="108">
        <v>3680</v>
      </c>
      <c r="B2153" s="108">
        <v>2016</v>
      </c>
      <c r="C2153" s="108" t="s">
        <v>38</v>
      </c>
      <c r="D2153" s="108" t="s">
        <v>143</v>
      </c>
      <c r="E2153" s="108" t="s">
        <v>10</v>
      </c>
      <c r="F2153" s="116">
        <v>816</v>
      </c>
      <c r="G2153" s="108" t="s">
        <v>56</v>
      </c>
      <c r="H2153" s="108" t="str">
        <f t="shared" si="172"/>
        <v>Samish River</v>
      </c>
      <c r="I2153" s="108" t="str">
        <f>IFERROR(VLOOKUP(H2153,LUTs!$A$1:$C$73,2,FALSE),"NA")</f>
        <v>Skagit</v>
      </c>
      <c r="J2153" s="108" t="str">
        <f>IFERROR(VLOOKUP(H2153,LUTs!$A$1:$C$73,3,FALSE),"NA")</f>
        <v>1North Puget Sound</v>
      </c>
      <c r="K2153" s="108" t="s">
        <v>20</v>
      </c>
      <c r="L2153" s="108" t="str">
        <f>VLOOKUP(K2153,LUTs!E$2:G$14,3,)</f>
        <v>07Pierce</v>
      </c>
      <c r="M2153" s="108" t="str">
        <f>VLOOKUP($K2153,LUTs!$E$2:$H$14,2,)</f>
        <v>South Puget Sound</v>
      </c>
      <c r="N2153" s="108" t="str">
        <f>VLOOKUP($K2153,LUTs!$E$2:$H$14,4,)</f>
        <v>02South Puget Sound</v>
      </c>
      <c r="O2153" s="108">
        <v>175.34285714285701</v>
      </c>
      <c r="P2153" s="108">
        <v>1516.71571428571</v>
      </c>
      <c r="Q2153" s="108">
        <f>SUMIFS('FW_Salmon_by_Month_2010-2021'!P$2:P$3810,'FW_Salmon_by_Month_2010-2021'!$B$2:$B$3810,'Rec_raw_catch_effort_2010-2021'!$B2153,'FW_Salmon_by_Month_2010-2021'!$H$2:$H$3810,'Rec_raw_catch_effort_2010-2021'!$F2153,'FW_Salmon_by_Month_2010-2021'!$M$2:$M$3810,'Rec_raw_catch_effort_2010-2021'!$K2153)</f>
        <v>175.5372608512435</v>
      </c>
      <c r="R2153" s="109">
        <f>VLOOKUP(B2153,Readme!$A$62:$C$74,2,)*Q2153</f>
        <v>846.0114663902101</v>
      </c>
      <c r="S2153" s="140" t="str">
        <f t="shared" si="173"/>
        <v>Y</v>
      </c>
      <c r="T2153" s="154">
        <f t="shared" si="174"/>
        <v>8.6499999999999826</v>
      </c>
      <c r="U2153" s="154">
        <f t="shared" si="175"/>
        <v>4.8195549041132084</v>
      </c>
    </row>
    <row r="2154" spans="1:21" x14ac:dyDescent="0.35">
      <c r="A2154" s="108">
        <v>3615</v>
      </c>
      <c r="B2154" s="108">
        <v>2016</v>
      </c>
      <c r="C2154" s="108" t="s">
        <v>38</v>
      </c>
      <c r="D2154" s="108" t="s">
        <v>143</v>
      </c>
      <c r="E2154" s="108" t="s">
        <v>10</v>
      </c>
      <c r="F2154" s="116">
        <v>816</v>
      </c>
      <c r="G2154" s="108" t="s">
        <v>56</v>
      </c>
      <c r="H2154" s="108" t="str">
        <f t="shared" ref="H2154:H2217" si="176">G2154</f>
        <v>Samish River</v>
      </c>
      <c r="I2154" s="108" t="str">
        <f>IFERROR(VLOOKUP(H2154,LUTs!$A$1:$C$73,2,FALSE),"NA")</f>
        <v>Skagit</v>
      </c>
      <c r="J2154" s="108" t="str">
        <f>IFERROR(VLOOKUP(H2154,LUTs!$A$1:$C$73,3,FALSE),"NA")</f>
        <v>1North Puget Sound</v>
      </c>
      <c r="K2154" s="108" t="s">
        <v>15</v>
      </c>
      <c r="L2154" s="108" t="str">
        <f>VLOOKUP(K2154,LUTs!E$2:G$14,3,)</f>
        <v>02Skagit</v>
      </c>
      <c r="M2154" s="108" t="str">
        <f>VLOOKUP($K2154,LUTs!$E$2:$H$14,2,)</f>
        <v>North Puget Sound</v>
      </c>
      <c r="N2154" s="108" t="str">
        <f>VLOOKUP($K2154,LUTs!$E$2:$H$14,4,)</f>
        <v>01North Puget Sound</v>
      </c>
      <c r="O2154" s="108">
        <v>866.97301587301604</v>
      </c>
      <c r="P2154" s="108">
        <v>7499.3165873015896</v>
      </c>
      <c r="Q2154" s="108">
        <f>SUMIFS('FW_Salmon_by_Month_2010-2021'!P$2:P$3810,'FW_Salmon_by_Month_2010-2021'!$B$2:$B$3810,'Rec_raw_catch_effort_2010-2021'!$B2154,'FW_Salmon_by_Month_2010-2021'!$H$2:$H$3810,'Rec_raw_catch_effort_2010-2021'!$F2154,'FW_Salmon_by_Month_2010-2021'!$M$2:$M$3810,'Rec_raw_catch_effort_2010-2021'!$K2154)</f>
        <v>869.87126843657893</v>
      </c>
      <c r="R2154" s="109">
        <f>VLOOKUP(B2154,Readme!$A$62:$C$74,2,)*Q2154</f>
        <v>4192.3923377406909</v>
      </c>
      <c r="S2154" s="140" t="str">
        <f t="shared" si="173"/>
        <v>Y</v>
      </c>
      <c r="T2154" s="154">
        <f t="shared" si="174"/>
        <v>8.65</v>
      </c>
      <c r="U2154" s="154">
        <f t="shared" si="175"/>
        <v>4.8195549041132084</v>
      </c>
    </row>
    <row r="2155" spans="1:21" x14ac:dyDescent="0.35">
      <c r="A2155" s="108">
        <v>3652</v>
      </c>
      <c r="B2155" s="108">
        <v>2016</v>
      </c>
      <c r="C2155" s="108" t="s">
        <v>38</v>
      </c>
      <c r="D2155" s="108" t="s">
        <v>143</v>
      </c>
      <c r="E2155" s="108" t="s">
        <v>10</v>
      </c>
      <c r="F2155" s="116">
        <v>816</v>
      </c>
      <c r="G2155" s="108" t="s">
        <v>56</v>
      </c>
      <c r="H2155" s="108" t="str">
        <f t="shared" si="176"/>
        <v>Samish River</v>
      </c>
      <c r="I2155" s="108" t="str">
        <f>IFERROR(VLOOKUP(H2155,LUTs!$A$1:$C$73,2,FALSE),"NA")</f>
        <v>Skagit</v>
      </c>
      <c r="J2155" s="108" t="str">
        <f>IFERROR(VLOOKUP(H2155,LUTs!$A$1:$C$73,3,FALSE),"NA")</f>
        <v>1North Puget Sound</v>
      </c>
      <c r="K2155" s="108" t="s">
        <v>16</v>
      </c>
      <c r="L2155" s="108" t="str">
        <f>VLOOKUP(K2155,LUTs!E$2:G$14,3,)</f>
        <v>03Snohomish</v>
      </c>
      <c r="M2155" s="108" t="str">
        <f>VLOOKUP($K2155,LUTs!$E$2:$H$14,2,)</f>
        <v>North Puget Sound</v>
      </c>
      <c r="N2155" s="108" t="str">
        <f>VLOOKUP($K2155,LUTs!$E$2:$H$14,4,)</f>
        <v>01North Puget Sound</v>
      </c>
      <c r="O2155" s="108">
        <v>2591.1777777777802</v>
      </c>
      <c r="P2155" s="108">
        <v>22413.687777777799</v>
      </c>
      <c r="Q2155" s="108">
        <f>SUMIFS('FW_Salmon_by_Month_2010-2021'!P$2:P$3810,'FW_Salmon_by_Month_2010-2021'!$B$2:$B$3810,'Rec_raw_catch_effort_2010-2021'!$B2155,'FW_Salmon_by_Month_2010-2021'!$H$2:$H$3810,'Rec_raw_catch_effort_2010-2021'!$F2155,'FW_Salmon_by_Month_2010-2021'!$M$2:$M$3810,'Rec_raw_catch_effort_2010-2021'!$K2155)</f>
        <v>2597.1831352718063</v>
      </c>
      <c r="R2155" s="109">
        <f>VLOOKUP(B2155,Readme!$A$62:$C$74,2,)*Q2155</f>
        <v>12517.266716479353</v>
      </c>
      <c r="S2155" s="140" t="str">
        <f t="shared" si="173"/>
        <v>Y</v>
      </c>
      <c r="T2155" s="154">
        <f t="shared" si="174"/>
        <v>8.65</v>
      </c>
      <c r="U2155" s="154">
        <f t="shared" si="175"/>
        <v>4.8195549041132084</v>
      </c>
    </row>
    <row r="2156" spans="1:21" x14ac:dyDescent="0.35">
      <c r="A2156" s="108">
        <v>3614</v>
      </c>
      <c r="B2156" s="108">
        <v>2016</v>
      </c>
      <c r="C2156" s="108" t="s">
        <v>38</v>
      </c>
      <c r="D2156" s="108" t="s">
        <v>143</v>
      </c>
      <c r="E2156" s="108" t="s">
        <v>10</v>
      </c>
      <c r="F2156" s="116">
        <v>816</v>
      </c>
      <c r="G2156" s="108" t="s">
        <v>56</v>
      </c>
      <c r="H2156" s="108" t="str">
        <f t="shared" si="176"/>
        <v>Samish River</v>
      </c>
      <c r="I2156" s="108" t="str">
        <f>IFERROR(VLOOKUP(H2156,LUTs!$A$1:$C$73,2,FALSE),"NA")</f>
        <v>Skagit</v>
      </c>
      <c r="J2156" s="108" t="str">
        <f>IFERROR(VLOOKUP(H2156,LUTs!$A$1:$C$73,3,FALSE),"NA")</f>
        <v>1North Puget Sound</v>
      </c>
      <c r="K2156" s="108" t="s">
        <v>13</v>
      </c>
      <c r="L2156" s="108" t="str">
        <f>VLOOKUP(K2156,LUTs!E$2:G$14,3,)</f>
        <v>01Whatcom</v>
      </c>
      <c r="M2156" s="108" t="str">
        <f>VLOOKUP($K2156,LUTs!$E$2:$H$14,2,)</f>
        <v>North Puget Sound</v>
      </c>
      <c r="N2156" s="108" t="str">
        <f>VLOOKUP($K2156,LUTs!$E$2:$H$14,4,)</f>
        <v>01North Puget Sound</v>
      </c>
      <c r="O2156" s="108">
        <v>896.19682539682594</v>
      </c>
      <c r="P2156" s="108">
        <v>7752.1025396825398</v>
      </c>
      <c r="Q2156" s="108">
        <f>SUMIFS('FW_Salmon_by_Month_2010-2021'!P$2:P$3810,'FW_Salmon_by_Month_2010-2021'!$B$2:$B$3810,'Rec_raw_catch_effort_2010-2021'!$B2156,'FW_Salmon_by_Month_2010-2021'!$H$2:$H$3810,'Rec_raw_catch_effort_2010-2021'!$F2156,'FW_Salmon_by_Month_2010-2021'!$M$2:$M$3810,'Rec_raw_catch_effort_2010-2021'!$K2156)</f>
        <v>896.87699957859195</v>
      </c>
      <c r="R2156" s="109">
        <f>VLOOKUP(B2156,Readme!$A$62:$C$74,2,)*Q2156</f>
        <v>4322.547941705343</v>
      </c>
      <c r="S2156" s="140" t="str">
        <f t="shared" si="173"/>
        <v>Y</v>
      </c>
      <c r="T2156" s="154">
        <f t="shared" si="174"/>
        <v>8.649999999999995</v>
      </c>
      <c r="U2156" s="154">
        <f t="shared" si="175"/>
        <v>4.8195549041132084</v>
      </c>
    </row>
    <row r="2157" spans="1:21" x14ac:dyDescent="0.35">
      <c r="A2157" s="108">
        <v>1333</v>
      </c>
      <c r="B2157" s="108">
        <v>2017</v>
      </c>
      <c r="C2157" s="108" t="s">
        <v>38</v>
      </c>
      <c r="D2157" s="108" t="s">
        <v>143</v>
      </c>
      <c r="E2157" s="108" t="s">
        <v>10</v>
      </c>
      <c r="F2157" s="116">
        <v>816</v>
      </c>
      <c r="G2157" s="108" t="s">
        <v>56</v>
      </c>
      <c r="H2157" s="108" t="str">
        <f t="shared" si="176"/>
        <v>Samish River</v>
      </c>
      <c r="I2157" s="108" t="str">
        <f>IFERROR(VLOOKUP(H2157,LUTs!$A$1:$C$73,2,FALSE),"NA")</f>
        <v>Skagit</v>
      </c>
      <c r="J2157" s="108" t="str">
        <f>IFERROR(VLOOKUP(H2157,LUTs!$A$1:$C$73,3,FALSE),"NA")</f>
        <v>1North Puget Sound</v>
      </c>
      <c r="K2157" s="108" t="s">
        <v>17</v>
      </c>
      <c r="L2157" s="108" t="str">
        <f>VLOOKUP(K2157,LUTs!E$2:G$14,3,)</f>
        <v>04Island</v>
      </c>
      <c r="M2157" s="108" t="str">
        <f>VLOOKUP($K2157,LUTs!$E$2:$H$14,2,)</f>
        <v>North Puget Sound</v>
      </c>
      <c r="N2157" s="108" t="str">
        <f>VLOOKUP($K2157,LUTs!$E$2:$H$14,4,)</f>
        <v>01North Puget Sound</v>
      </c>
      <c r="O2157" s="108">
        <v>261.11353211009202</v>
      </c>
      <c r="P2157" s="108">
        <v>898.23055045871604</v>
      </c>
      <c r="Q2157" s="108">
        <f>SUMIFS('FW_Salmon_by_Month_2010-2021'!P$2:P$3810,'FW_Salmon_by_Month_2010-2021'!$B$2:$B$3810,'Rec_raw_catch_effort_2010-2021'!$B2157,'FW_Salmon_by_Month_2010-2021'!$H$2:$H$3810,'Rec_raw_catch_effort_2010-2021'!$F2157,'FW_Salmon_by_Month_2010-2021'!$M$2:$M$3810,'Rec_raw_catch_effort_2010-2021'!$K2157)</f>
        <v>261.13864205969458</v>
      </c>
      <c r="R2157" s="109">
        <f>VLOOKUP(B2157,Readme!$A$62:$C$74,2,)*Q2157</f>
        <v>924.18021463912419</v>
      </c>
      <c r="S2157" s="140" t="str">
        <f t="shared" si="173"/>
        <v>Y</v>
      </c>
      <c r="T2157" s="154">
        <f t="shared" si="174"/>
        <v>3.4399999999999982</v>
      </c>
      <c r="U2157" s="154">
        <f t="shared" si="175"/>
        <v>3.5390404397824153</v>
      </c>
    </row>
    <row r="2158" spans="1:21" x14ac:dyDescent="0.35">
      <c r="A2158" s="108">
        <v>1334</v>
      </c>
      <c r="B2158" s="108">
        <v>2017</v>
      </c>
      <c r="C2158" s="108" t="s">
        <v>38</v>
      </c>
      <c r="D2158" s="108" t="s">
        <v>143</v>
      </c>
      <c r="E2158" s="108" t="s">
        <v>10</v>
      </c>
      <c r="F2158" s="116">
        <v>816</v>
      </c>
      <c r="G2158" s="108" t="s">
        <v>56</v>
      </c>
      <c r="H2158" s="108" t="str">
        <f t="shared" si="176"/>
        <v>Samish River</v>
      </c>
      <c r="I2158" s="108" t="str">
        <f>IFERROR(VLOOKUP(H2158,LUTs!$A$1:$C$73,2,FALSE),"NA")</f>
        <v>Skagit</v>
      </c>
      <c r="J2158" s="108" t="str">
        <f>IFERROR(VLOOKUP(H2158,LUTs!$A$1:$C$73,3,FALSE),"NA")</f>
        <v>1North Puget Sound</v>
      </c>
      <c r="K2158" s="108" t="s">
        <v>18</v>
      </c>
      <c r="L2158" s="108" t="str">
        <f>VLOOKUP(K2158,LUTs!E$2:G$14,3,)</f>
        <v>06King</v>
      </c>
      <c r="M2158" s="108" t="str">
        <f>VLOOKUP($K2158,LUTs!$E$2:$H$14,2,)</f>
        <v>South Puget Sound</v>
      </c>
      <c r="N2158" s="108" t="str">
        <f>VLOOKUP($K2158,LUTs!$E$2:$H$14,4,)</f>
        <v>02South Puget Sound</v>
      </c>
      <c r="O2158" s="108">
        <v>1460.30160550459</v>
      </c>
      <c r="P2158" s="108">
        <v>5023.4375229357902</v>
      </c>
      <c r="Q2158" s="108">
        <f>SUMIFS('FW_Salmon_by_Month_2010-2021'!P$2:P$3810,'FW_Salmon_by_Month_2010-2021'!$B$2:$B$3810,'Rec_raw_catch_effort_2010-2021'!$B2158,'FW_Salmon_by_Month_2010-2021'!$H$2:$H$3810,'Rec_raw_catch_effort_2010-2021'!$F2158,'FW_Salmon_by_Month_2010-2021'!$M$2:$M$3810,'Rec_raw_catch_effort_2010-2021'!$K2158)</f>
        <v>1460.283094098884</v>
      </c>
      <c r="R2158" s="109">
        <f>VLOOKUP(B2158,Readme!$A$62:$C$74,2,)*Q2158</f>
        <v>5168.0009235465404</v>
      </c>
      <c r="S2158" s="140" t="str">
        <f t="shared" si="173"/>
        <v>Y</v>
      </c>
      <c r="T2158" s="154">
        <f t="shared" si="174"/>
        <v>3.4400000000000004</v>
      </c>
      <c r="U2158" s="154">
        <f t="shared" si="175"/>
        <v>3.5390404397824153</v>
      </c>
    </row>
    <row r="2159" spans="1:21" x14ac:dyDescent="0.35">
      <c r="A2159" s="108">
        <v>1336</v>
      </c>
      <c r="B2159" s="108">
        <v>2017</v>
      </c>
      <c r="C2159" s="108" t="s">
        <v>38</v>
      </c>
      <c r="D2159" s="108" t="s">
        <v>143</v>
      </c>
      <c r="E2159" s="108" t="s">
        <v>10</v>
      </c>
      <c r="F2159" s="116">
        <v>816</v>
      </c>
      <c r="G2159" s="108" t="s">
        <v>56</v>
      </c>
      <c r="H2159" s="108" t="str">
        <f t="shared" si="176"/>
        <v>Samish River</v>
      </c>
      <c r="I2159" s="108" t="str">
        <f>IFERROR(VLOOKUP(H2159,LUTs!$A$1:$C$73,2,FALSE),"NA")</f>
        <v>Skagit</v>
      </c>
      <c r="J2159" s="108" t="str">
        <f>IFERROR(VLOOKUP(H2159,LUTs!$A$1:$C$73,3,FALSE),"NA")</f>
        <v>1North Puget Sound</v>
      </c>
      <c r="K2159" s="108" t="s">
        <v>26</v>
      </c>
      <c r="L2159" s="108" t="str">
        <f>VLOOKUP(K2159,LUTs!E$2:G$14,3,)</f>
        <v>20Other</v>
      </c>
      <c r="M2159" s="108" t="str">
        <f>VLOOKUP($K2159,LUTs!$E$2:$H$14,2,)</f>
        <v>Non Puget Sound</v>
      </c>
      <c r="N2159" s="108" t="str">
        <f>VLOOKUP($K2159,LUTs!$E$2:$H$14,4,)</f>
        <v>07Non Puget Sound</v>
      </c>
      <c r="O2159" s="108">
        <v>444.86009174311903</v>
      </c>
      <c r="P2159" s="108">
        <v>1530.3187155963301</v>
      </c>
      <c r="Q2159" s="108">
        <f>SUMIFS('FW_Salmon_by_Month_2010-2021'!P$2:P$3810,'FW_Salmon_by_Month_2010-2021'!$B$2:$B$3810,'Rec_raw_catch_effort_2010-2021'!$B2159,'FW_Salmon_by_Month_2010-2021'!$H$2:$H$3810,'Rec_raw_catch_effort_2010-2021'!$F2159,'FW_Salmon_by_Month_2010-2021'!$M$2:$M$3810,'Rec_raw_catch_effort_2010-2021'!$K2159)</f>
        <v>444.87240829346098</v>
      </c>
      <c r="R2159" s="109">
        <f>VLOOKUP(B2159,Readme!$A$62:$C$74,2,)*Q2159</f>
        <v>1574.4214434939524</v>
      </c>
      <c r="S2159" s="140" t="str">
        <f t="shared" si="173"/>
        <v>Y</v>
      </c>
      <c r="T2159" s="154">
        <f t="shared" si="174"/>
        <v>3.4400000000000013</v>
      </c>
      <c r="U2159" s="154">
        <f t="shared" si="175"/>
        <v>3.5390404397824153</v>
      </c>
    </row>
    <row r="2160" spans="1:21" x14ac:dyDescent="0.35">
      <c r="A2160" s="108">
        <v>1335</v>
      </c>
      <c r="B2160" s="108">
        <v>2017</v>
      </c>
      <c r="C2160" s="108" t="s">
        <v>38</v>
      </c>
      <c r="D2160" s="108" t="s">
        <v>143</v>
      </c>
      <c r="E2160" s="108" t="s">
        <v>10</v>
      </c>
      <c r="F2160" s="116">
        <v>816</v>
      </c>
      <c r="G2160" s="108" t="s">
        <v>56</v>
      </c>
      <c r="H2160" s="108" t="str">
        <f t="shared" si="176"/>
        <v>Samish River</v>
      </c>
      <c r="I2160" s="108" t="str">
        <f>IFERROR(VLOOKUP(H2160,LUTs!$A$1:$C$73,2,FALSE),"NA")</f>
        <v>Skagit</v>
      </c>
      <c r="J2160" s="108" t="str">
        <f>IFERROR(VLOOKUP(H2160,LUTs!$A$1:$C$73,3,FALSE),"NA")</f>
        <v>1North Puget Sound</v>
      </c>
      <c r="K2160" s="108" t="s">
        <v>20</v>
      </c>
      <c r="L2160" s="108" t="str">
        <f>VLOOKUP(K2160,LUTs!E$2:G$14,3,)</f>
        <v>07Pierce</v>
      </c>
      <c r="M2160" s="108" t="str">
        <f>VLOOKUP($K2160,LUTs!$E$2:$H$14,2,)</f>
        <v>South Puget Sound</v>
      </c>
      <c r="N2160" s="108" t="str">
        <f>VLOOKUP($K2160,LUTs!$E$2:$H$14,4,)</f>
        <v>02South Puget Sound</v>
      </c>
      <c r="O2160" s="108">
        <v>19.341743119266098</v>
      </c>
      <c r="P2160" s="108">
        <v>66.535596330275396</v>
      </c>
      <c r="Q2160" s="108">
        <f>SUMIFS('FW_Salmon_by_Month_2010-2021'!P$2:P$3810,'FW_Salmon_by_Month_2010-2021'!$B$2:$B$3810,'Rec_raw_catch_effort_2010-2021'!$B2160,'FW_Salmon_by_Month_2010-2021'!$H$2:$H$3810,'Rec_raw_catch_effort_2010-2021'!$F2160,'FW_Salmon_by_Month_2010-2021'!$M$2:$M$3810,'Rec_raw_catch_effort_2010-2021'!$K2160)</f>
        <v>19.342902711323799</v>
      </c>
      <c r="R2160" s="109">
        <f>VLOOKUP(B2160,Readme!$A$62:$C$74,2,)*Q2160</f>
        <v>68.455314918151856</v>
      </c>
      <c r="S2160" s="140" t="str">
        <f t="shared" si="173"/>
        <v>Y</v>
      </c>
      <c r="T2160" s="154">
        <f t="shared" si="174"/>
        <v>3.4400000000000008</v>
      </c>
      <c r="U2160" s="154">
        <f t="shared" si="175"/>
        <v>3.5390404397824158</v>
      </c>
    </row>
    <row r="2161" spans="1:21" x14ac:dyDescent="0.35">
      <c r="A2161" s="108">
        <v>1304</v>
      </c>
      <c r="B2161" s="108">
        <v>2017</v>
      </c>
      <c r="C2161" s="108" t="s">
        <v>38</v>
      </c>
      <c r="D2161" s="108" t="s">
        <v>143</v>
      </c>
      <c r="E2161" s="108" t="s">
        <v>10</v>
      </c>
      <c r="F2161" s="116">
        <v>816</v>
      </c>
      <c r="G2161" s="108" t="s">
        <v>56</v>
      </c>
      <c r="H2161" s="108" t="str">
        <f t="shared" si="176"/>
        <v>Samish River</v>
      </c>
      <c r="I2161" s="108" t="str">
        <f>IFERROR(VLOOKUP(H2161,LUTs!$A$1:$C$73,2,FALSE),"NA")</f>
        <v>Skagit</v>
      </c>
      <c r="J2161" s="108" t="str">
        <f>IFERROR(VLOOKUP(H2161,LUTs!$A$1:$C$73,3,FALSE),"NA")</f>
        <v>1North Puget Sound</v>
      </c>
      <c r="K2161" s="108" t="s">
        <v>15</v>
      </c>
      <c r="L2161" s="108" t="str">
        <f>VLOOKUP(K2161,LUTs!E$2:G$14,3,)</f>
        <v>02Skagit</v>
      </c>
      <c r="M2161" s="108" t="str">
        <f>VLOOKUP($K2161,LUTs!$E$2:$H$14,2,)</f>
        <v>North Puget Sound</v>
      </c>
      <c r="N2161" s="108" t="str">
        <f>VLOOKUP($K2161,LUTs!$E$2:$H$14,4,)</f>
        <v>01North Puget Sound</v>
      </c>
      <c r="O2161" s="108">
        <v>1276.55504587156</v>
      </c>
      <c r="P2161" s="108">
        <v>4391.3493577981699</v>
      </c>
      <c r="Q2161" s="108">
        <f>SUMIFS('FW_Salmon_by_Month_2010-2021'!P$2:P$3810,'FW_Salmon_by_Month_2010-2021'!$B$2:$B$3810,'Rec_raw_catch_effort_2010-2021'!$B2161,'FW_Salmon_by_Month_2010-2021'!$H$2:$H$3810,'Rec_raw_catch_effort_2010-2021'!$F2161,'FW_Salmon_by_Month_2010-2021'!$M$2:$M$3810,'Rec_raw_catch_effort_2010-2021'!$K2161)</f>
        <v>1276.5738209159285</v>
      </c>
      <c r="R2161" s="109">
        <f>VLOOKUP(B2161,Readme!$A$62:$C$74,2,)*Q2161</f>
        <v>4517.8463765890265</v>
      </c>
      <c r="S2161" s="140" t="str">
        <f t="shared" si="173"/>
        <v>Y</v>
      </c>
      <c r="T2161" s="154">
        <f t="shared" si="174"/>
        <v>3.4400000000000026</v>
      </c>
      <c r="U2161" s="154">
        <f t="shared" si="175"/>
        <v>3.5390404397824158</v>
      </c>
    </row>
    <row r="2162" spans="1:21" x14ac:dyDescent="0.35">
      <c r="A2162" s="108">
        <v>1332</v>
      </c>
      <c r="B2162" s="108">
        <v>2017</v>
      </c>
      <c r="C2162" s="108" t="s">
        <v>38</v>
      </c>
      <c r="D2162" s="108" t="s">
        <v>143</v>
      </c>
      <c r="E2162" s="108" t="s">
        <v>10</v>
      </c>
      <c r="F2162" s="116">
        <v>816</v>
      </c>
      <c r="G2162" s="108" t="s">
        <v>56</v>
      </c>
      <c r="H2162" s="108" t="str">
        <f t="shared" si="176"/>
        <v>Samish River</v>
      </c>
      <c r="I2162" s="108" t="str">
        <f>IFERROR(VLOOKUP(H2162,LUTs!$A$1:$C$73,2,FALSE),"NA")</f>
        <v>Skagit</v>
      </c>
      <c r="J2162" s="108" t="str">
        <f>IFERROR(VLOOKUP(H2162,LUTs!$A$1:$C$73,3,FALSE),"NA")</f>
        <v>1North Puget Sound</v>
      </c>
      <c r="K2162" s="108" t="s">
        <v>16</v>
      </c>
      <c r="L2162" s="108" t="str">
        <f>VLOOKUP(K2162,LUTs!E$2:G$14,3,)</f>
        <v>03Snohomish</v>
      </c>
      <c r="M2162" s="108" t="str">
        <f>VLOOKUP($K2162,LUTs!$E$2:$H$14,2,)</f>
        <v>North Puget Sound</v>
      </c>
      <c r="N2162" s="108" t="str">
        <f>VLOOKUP($K2162,LUTs!$E$2:$H$14,4,)</f>
        <v>01North Puget Sound</v>
      </c>
      <c r="O2162" s="108">
        <v>4071.4369266055101</v>
      </c>
      <c r="P2162" s="108">
        <v>14005.743027523</v>
      </c>
      <c r="Q2162" s="108">
        <f>SUMIFS('FW_Salmon_by_Month_2010-2021'!P$2:P$3810,'FW_Salmon_by_Month_2010-2021'!$B$2:$B$3810,'Rec_raw_catch_effort_2010-2021'!$B2162,'FW_Salmon_by_Month_2010-2021'!$H$2:$H$3810,'Rec_raw_catch_effort_2010-2021'!$F2162,'FW_Salmon_by_Month_2010-2021'!$M$2:$M$3810,'Rec_raw_catch_effort_2010-2021'!$K2162)</f>
        <v>4071.3088972431133</v>
      </c>
      <c r="R2162" s="109">
        <f>VLOOKUP(B2162,Readme!$A$62:$C$74,2,)*Q2162</f>
        <v>14408.526830189328</v>
      </c>
      <c r="S2162" s="140" t="str">
        <f t="shared" si="173"/>
        <v>Y</v>
      </c>
      <c r="T2162" s="154">
        <f t="shared" si="174"/>
        <v>3.440000000000011</v>
      </c>
      <c r="U2162" s="154">
        <f t="shared" si="175"/>
        <v>3.5390404397824153</v>
      </c>
    </row>
    <row r="2163" spans="1:21" x14ac:dyDescent="0.35">
      <c r="A2163" s="108">
        <v>1303</v>
      </c>
      <c r="B2163" s="108">
        <v>2017</v>
      </c>
      <c r="C2163" s="108" t="s">
        <v>38</v>
      </c>
      <c r="D2163" s="108" t="s">
        <v>143</v>
      </c>
      <c r="E2163" s="108" t="s">
        <v>10</v>
      </c>
      <c r="F2163" s="116">
        <v>816</v>
      </c>
      <c r="G2163" s="108" t="s">
        <v>56</v>
      </c>
      <c r="H2163" s="108" t="str">
        <f t="shared" si="176"/>
        <v>Samish River</v>
      </c>
      <c r="I2163" s="108" t="str">
        <f>IFERROR(VLOOKUP(H2163,LUTs!$A$1:$C$73,2,FALSE),"NA")</f>
        <v>Skagit</v>
      </c>
      <c r="J2163" s="108" t="str">
        <f>IFERROR(VLOOKUP(H2163,LUTs!$A$1:$C$73,3,FALSE),"NA")</f>
        <v>1North Puget Sound</v>
      </c>
      <c r="K2163" s="108" t="s">
        <v>13</v>
      </c>
      <c r="L2163" s="108" t="str">
        <f>VLOOKUP(K2163,LUTs!E$2:G$14,3,)</f>
        <v>01Whatcom</v>
      </c>
      <c r="M2163" s="108" t="str">
        <f>VLOOKUP($K2163,LUTs!$E$2:$H$14,2,)</f>
        <v>North Puget Sound</v>
      </c>
      <c r="N2163" s="108" t="str">
        <f>VLOOKUP($K2163,LUTs!$E$2:$H$14,4,)</f>
        <v>01North Puget Sound</v>
      </c>
      <c r="O2163" s="108">
        <v>899.39105504587201</v>
      </c>
      <c r="P2163" s="108">
        <v>3093.9052293578002</v>
      </c>
      <c r="Q2163" s="108">
        <f>SUMIFS('FW_Salmon_by_Month_2010-2021'!P$2:P$3810,'FW_Salmon_by_Month_2010-2021'!$B$2:$B$3810,'Rec_raw_catch_effort_2010-2021'!$B2163,'FW_Salmon_by_Month_2010-2021'!$H$2:$H$3810,'Rec_raw_catch_effort_2010-2021'!$F2163,'FW_Salmon_by_Month_2010-2021'!$M$2:$M$3810,'Rec_raw_catch_effort_2010-2021'!$K2163)</f>
        <v>899.48023467760402</v>
      </c>
      <c r="R2163" s="109">
        <f>VLOOKUP(B2163,Readme!$A$62:$C$74,2,)*Q2163</f>
        <v>3183.2969253090178</v>
      </c>
      <c r="S2163" s="140" t="str">
        <f t="shared" si="173"/>
        <v>Y</v>
      </c>
      <c r="T2163" s="154">
        <f t="shared" si="174"/>
        <v>3.4400000000000004</v>
      </c>
      <c r="U2163" s="154">
        <f t="shared" si="175"/>
        <v>3.5390404397824153</v>
      </c>
    </row>
    <row r="2164" spans="1:21" x14ac:dyDescent="0.35">
      <c r="A2164" s="108">
        <v>1387</v>
      </c>
      <c r="B2164" s="108">
        <v>2018</v>
      </c>
      <c r="C2164" s="108" t="s">
        <v>38</v>
      </c>
      <c r="D2164" s="108" t="s">
        <v>143</v>
      </c>
      <c r="E2164" s="108" t="s">
        <v>10</v>
      </c>
      <c r="F2164" s="116">
        <v>816</v>
      </c>
      <c r="G2164" s="108" t="s">
        <v>56</v>
      </c>
      <c r="H2164" s="108" t="str">
        <f t="shared" si="176"/>
        <v>Samish River</v>
      </c>
      <c r="I2164" s="108" t="str">
        <f>IFERROR(VLOOKUP(H2164,LUTs!$A$1:$C$73,2,FALSE),"NA")</f>
        <v>Skagit</v>
      </c>
      <c r="J2164" s="108" t="str">
        <f>IFERROR(VLOOKUP(H2164,LUTs!$A$1:$C$73,3,FALSE),"NA")</f>
        <v>1North Puget Sound</v>
      </c>
      <c r="K2164" s="108" t="s">
        <v>17</v>
      </c>
      <c r="L2164" s="108" t="str">
        <f>VLOOKUP(K2164,LUTs!E$2:G$14,3,)</f>
        <v>04Island</v>
      </c>
      <c r="M2164" s="108" t="str">
        <f>VLOOKUP($K2164,LUTs!$E$2:$H$14,2,)</f>
        <v>North Puget Sound</v>
      </c>
      <c r="N2164" s="108" t="str">
        <f>VLOOKUP($K2164,LUTs!$E$2:$H$14,4,)</f>
        <v>01North Puget Sound</v>
      </c>
      <c r="O2164" s="108">
        <v>329.62306610407899</v>
      </c>
      <c r="P2164" s="108">
        <v>2851.2395218002798</v>
      </c>
      <c r="Q2164" s="108">
        <f>SUMIFS('FW_Salmon_by_Month_2010-2021'!P$2:P$3810,'FW_Salmon_by_Month_2010-2021'!$B$2:$B$3810,'Rec_raw_catch_effort_2010-2021'!$B2164,'FW_Salmon_by_Month_2010-2021'!$H$2:$H$3810,'Rec_raw_catch_effort_2010-2021'!$F2164,'FW_Salmon_by_Month_2010-2021'!$M$2:$M$3810,'Rec_raw_catch_effort_2010-2021'!$K2164)</f>
        <v>330.16637408234999</v>
      </c>
      <c r="R2164" s="109">
        <f>VLOOKUP(B2164,Readme!$A$62:$C$74,2,)*Q2164</f>
        <v>1591.254967381866</v>
      </c>
      <c r="S2164" s="140" t="str">
        <f t="shared" si="173"/>
        <v>Y</v>
      </c>
      <c r="T2164" s="154">
        <f t="shared" si="174"/>
        <v>8.6499999999999897</v>
      </c>
      <c r="U2164" s="154">
        <f t="shared" si="175"/>
        <v>4.8195549041132084</v>
      </c>
    </row>
    <row r="2165" spans="1:21" x14ac:dyDescent="0.35">
      <c r="A2165" s="108">
        <v>1388</v>
      </c>
      <c r="B2165" s="108">
        <v>2018</v>
      </c>
      <c r="C2165" s="108" t="s">
        <v>38</v>
      </c>
      <c r="D2165" s="108" t="s">
        <v>143</v>
      </c>
      <c r="E2165" s="108" t="s">
        <v>10</v>
      </c>
      <c r="F2165" s="116">
        <v>816</v>
      </c>
      <c r="G2165" s="108" t="s">
        <v>56</v>
      </c>
      <c r="H2165" s="108" t="str">
        <f t="shared" si="176"/>
        <v>Samish River</v>
      </c>
      <c r="I2165" s="108" t="str">
        <f>IFERROR(VLOOKUP(H2165,LUTs!$A$1:$C$73,2,FALSE),"NA")</f>
        <v>Skagit</v>
      </c>
      <c r="J2165" s="108" t="str">
        <f>IFERROR(VLOOKUP(H2165,LUTs!$A$1:$C$73,3,FALSE),"NA")</f>
        <v>1North Puget Sound</v>
      </c>
      <c r="K2165" s="108" t="s">
        <v>18</v>
      </c>
      <c r="L2165" s="108" t="str">
        <f>VLOOKUP(K2165,LUTs!E$2:G$14,3,)</f>
        <v>06King</v>
      </c>
      <c r="M2165" s="108" t="str">
        <f>VLOOKUP($K2165,LUTs!$E$2:$H$14,2,)</f>
        <v>South Puget Sound</v>
      </c>
      <c r="N2165" s="108" t="str">
        <f>VLOOKUP($K2165,LUTs!$E$2:$H$14,4,)</f>
        <v>02South Puget Sound</v>
      </c>
      <c r="O2165" s="108">
        <v>688.33052039381198</v>
      </c>
      <c r="P2165" s="108">
        <v>5954.0590014064701</v>
      </c>
      <c r="Q2165" s="108">
        <f>SUMIFS('FW_Salmon_by_Month_2010-2021'!P$2:P$3810,'FW_Salmon_by_Month_2010-2021'!$B$2:$B$3810,'Rec_raw_catch_effort_2010-2021'!$B2165,'FW_Salmon_by_Month_2010-2021'!$H$2:$H$3810,'Rec_raw_catch_effort_2010-2021'!$F2165,'FW_Salmon_by_Month_2010-2021'!$M$2:$M$3810,'Rec_raw_catch_effort_2010-2021'!$K2165)</f>
        <v>689.41408769061479</v>
      </c>
      <c r="R2165" s="109">
        <f>VLOOKUP(B2165,Readme!$A$62:$C$74,2,)*Q2165</f>
        <v>3322.6690472940359</v>
      </c>
      <c r="S2165" s="140" t="str">
        <f t="shared" si="173"/>
        <v>Y</v>
      </c>
      <c r="T2165" s="154">
        <f t="shared" si="174"/>
        <v>8.649999999999995</v>
      </c>
      <c r="U2165" s="154">
        <f t="shared" si="175"/>
        <v>4.8195549041132084</v>
      </c>
    </row>
    <row r="2166" spans="1:21" x14ac:dyDescent="0.35">
      <c r="A2166" s="108">
        <v>1444</v>
      </c>
      <c r="B2166" s="108">
        <v>2018</v>
      </c>
      <c r="C2166" s="108" t="s">
        <v>38</v>
      </c>
      <c r="D2166" s="108" t="s">
        <v>143</v>
      </c>
      <c r="E2166" s="108" t="s">
        <v>10</v>
      </c>
      <c r="F2166" s="116">
        <v>816</v>
      </c>
      <c r="G2166" s="108" t="s">
        <v>56</v>
      </c>
      <c r="H2166" s="108" t="str">
        <f t="shared" si="176"/>
        <v>Samish River</v>
      </c>
      <c r="I2166" s="108" t="str">
        <f>IFERROR(VLOOKUP(H2166,LUTs!$A$1:$C$73,2,FALSE),"NA")</f>
        <v>Skagit</v>
      </c>
      <c r="J2166" s="108" t="str">
        <f>IFERROR(VLOOKUP(H2166,LUTs!$A$1:$C$73,3,FALSE),"NA")</f>
        <v>1North Puget Sound</v>
      </c>
      <c r="K2166" s="108" t="s">
        <v>26</v>
      </c>
      <c r="L2166" s="108" t="str">
        <f>VLOOKUP(K2166,LUTs!E$2:G$14,3,)</f>
        <v>20Other</v>
      </c>
      <c r="M2166" s="108" t="str">
        <f>VLOOKUP($K2166,LUTs!$E$2:$H$14,2,)</f>
        <v>Non Puget Sound</v>
      </c>
      <c r="N2166" s="108" t="str">
        <f>VLOOKUP($K2166,LUTs!$E$2:$H$14,4,)</f>
        <v>07Non Puget Sound</v>
      </c>
      <c r="O2166" s="108">
        <v>339.31786216596299</v>
      </c>
      <c r="P2166" s="108">
        <v>2935.0995077355801</v>
      </c>
      <c r="Q2166" s="108">
        <f>SUMIFS('FW_Salmon_by_Month_2010-2021'!P$2:P$3810,'FW_Salmon_by_Month_2010-2021'!$B$2:$B$3810,'Rec_raw_catch_effort_2010-2021'!$B2166,'FW_Salmon_by_Month_2010-2021'!$H$2:$H$3810,'Rec_raw_catch_effort_2010-2021'!$F2166,'FW_Salmon_by_Month_2010-2021'!$M$2:$M$3810,'Rec_raw_catch_effort_2010-2021'!$K2166)</f>
        <v>339.8898819023301</v>
      </c>
      <c r="R2166" s="109">
        <f>VLOOKUP(B2166,Readme!$A$62:$C$74,2,)*Q2166</f>
        <v>1638.1179471808343</v>
      </c>
      <c r="S2166" s="140" t="str">
        <f t="shared" si="173"/>
        <v>Y</v>
      </c>
      <c r="T2166" s="154">
        <f t="shared" si="174"/>
        <v>8.65</v>
      </c>
      <c r="U2166" s="154">
        <f t="shared" si="175"/>
        <v>4.8195549041132084</v>
      </c>
    </row>
    <row r="2167" spans="1:21" x14ac:dyDescent="0.35">
      <c r="A2167" s="108">
        <v>1391</v>
      </c>
      <c r="B2167" s="108">
        <v>2018</v>
      </c>
      <c r="C2167" s="108" t="s">
        <v>38</v>
      </c>
      <c r="D2167" s="108" t="s">
        <v>143</v>
      </c>
      <c r="E2167" s="108" t="s">
        <v>10</v>
      </c>
      <c r="F2167" s="116">
        <v>816</v>
      </c>
      <c r="G2167" s="108" t="s">
        <v>56</v>
      </c>
      <c r="H2167" s="108" t="str">
        <f t="shared" si="176"/>
        <v>Samish River</v>
      </c>
      <c r="I2167" s="108" t="str">
        <f>IFERROR(VLOOKUP(H2167,LUTs!$A$1:$C$73,2,FALSE),"NA")</f>
        <v>Skagit</v>
      </c>
      <c r="J2167" s="108" t="str">
        <f>IFERROR(VLOOKUP(H2167,LUTs!$A$1:$C$73,3,FALSE),"NA")</f>
        <v>1North Puget Sound</v>
      </c>
      <c r="K2167" s="108" t="s">
        <v>20</v>
      </c>
      <c r="L2167" s="108" t="str">
        <f>VLOOKUP(K2167,LUTs!E$2:G$14,3,)</f>
        <v>07Pierce</v>
      </c>
      <c r="M2167" s="108" t="str">
        <f>VLOOKUP($K2167,LUTs!$E$2:$H$14,2,)</f>
        <v>South Puget Sound</v>
      </c>
      <c r="N2167" s="108" t="str">
        <f>VLOOKUP($K2167,LUTs!$E$2:$H$14,4,)</f>
        <v>02South Puget Sound</v>
      </c>
      <c r="O2167" s="108">
        <v>48.473980309423403</v>
      </c>
      <c r="P2167" s="108">
        <v>419.29992967651202</v>
      </c>
      <c r="Q2167" s="108">
        <f>SUMIFS('FW_Salmon_by_Month_2010-2021'!P$2:P$3810,'FW_Salmon_by_Month_2010-2021'!$B$2:$B$3810,'Rec_raw_catch_effort_2010-2021'!$B2167,'FW_Salmon_by_Month_2010-2021'!$H$2:$H$3810,'Rec_raw_catch_effort_2010-2021'!$F2167,'FW_Salmon_by_Month_2010-2021'!$M$2:$M$3810,'Rec_raw_catch_effort_2010-2021'!$K2167)</f>
        <v>48.557692307692299</v>
      </c>
      <c r="R2167" s="109">
        <f>VLOOKUP(B2167,Readme!$A$62:$C$74,2,)*Q2167</f>
        <v>234.02646409395865</v>
      </c>
      <c r="S2167" s="140" t="str">
        <f t="shared" si="173"/>
        <v>Y</v>
      </c>
      <c r="T2167" s="154">
        <f t="shared" si="174"/>
        <v>8.6499999999999915</v>
      </c>
      <c r="U2167" s="154">
        <f t="shared" si="175"/>
        <v>4.8195549041132084</v>
      </c>
    </row>
    <row r="2168" spans="1:21" x14ac:dyDescent="0.35">
      <c r="A2168" s="108">
        <v>1385</v>
      </c>
      <c r="B2168" s="108">
        <v>2018</v>
      </c>
      <c r="C2168" s="108" t="s">
        <v>38</v>
      </c>
      <c r="D2168" s="108" t="s">
        <v>143</v>
      </c>
      <c r="E2168" s="108" t="s">
        <v>10</v>
      </c>
      <c r="F2168" s="116">
        <v>816</v>
      </c>
      <c r="G2168" s="108" t="s">
        <v>56</v>
      </c>
      <c r="H2168" s="108" t="str">
        <f t="shared" si="176"/>
        <v>Samish River</v>
      </c>
      <c r="I2168" s="108" t="str">
        <f>IFERROR(VLOOKUP(H2168,LUTs!$A$1:$C$73,2,FALSE),"NA")</f>
        <v>Skagit</v>
      </c>
      <c r="J2168" s="108" t="str">
        <f>IFERROR(VLOOKUP(H2168,LUTs!$A$1:$C$73,3,FALSE),"NA")</f>
        <v>1North Puget Sound</v>
      </c>
      <c r="K2168" s="108" t="s">
        <v>15</v>
      </c>
      <c r="L2168" s="108" t="str">
        <f>VLOOKUP(K2168,LUTs!E$2:G$14,3,)</f>
        <v>02Skagit</v>
      </c>
      <c r="M2168" s="108" t="str">
        <f>VLOOKUP($K2168,LUTs!$E$2:$H$14,2,)</f>
        <v>North Puget Sound</v>
      </c>
      <c r="N2168" s="108" t="str">
        <f>VLOOKUP($K2168,LUTs!$E$2:$H$14,4,)</f>
        <v>01North Puget Sound</v>
      </c>
      <c r="O2168" s="108">
        <v>891.92123769339003</v>
      </c>
      <c r="P2168" s="108">
        <v>7715.1187060478196</v>
      </c>
      <c r="Q2168" s="108">
        <f>SUMIFS('FW_Salmon_by_Month_2010-2021'!P$2:P$3810,'FW_Salmon_by_Month_2010-2021'!$B$2:$B$3810,'Rec_raw_catch_effort_2010-2021'!$B2168,'FW_Salmon_by_Month_2010-2021'!$H$2:$H$3810,'Rec_raw_catch_effort_2010-2021'!$F2168,'FW_Salmon_by_Month_2010-2021'!$M$2:$M$3810,'Rec_raw_catch_effort_2010-2021'!$K2168)</f>
        <v>893.3267651139613</v>
      </c>
      <c r="R2168" s="109">
        <f>VLOOKUP(B2168,Readme!$A$62:$C$74,2,)*Q2168</f>
        <v>4305.4373917805806</v>
      </c>
      <c r="S2168" s="140" t="str">
        <f t="shared" si="173"/>
        <v>Y</v>
      </c>
      <c r="T2168" s="154">
        <f t="shared" si="174"/>
        <v>8.649999999999995</v>
      </c>
      <c r="U2168" s="154">
        <f t="shared" si="175"/>
        <v>4.8195549041132084</v>
      </c>
    </row>
    <row r="2169" spans="1:21" x14ac:dyDescent="0.35">
      <c r="A2169" s="108">
        <v>1386</v>
      </c>
      <c r="B2169" s="108">
        <v>2018</v>
      </c>
      <c r="C2169" s="108" t="s">
        <v>38</v>
      </c>
      <c r="D2169" s="108" t="s">
        <v>143</v>
      </c>
      <c r="E2169" s="108" t="s">
        <v>10</v>
      </c>
      <c r="F2169" s="116">
        <v>816</v>
      </c>
      <c r="G2169" s="108" t="s">
        <v>56</v>
      </c>
      <c r="H2169" s="108" t="str">
        <f t="shared" si="176"/>
        <v>Samish River</v>
      </c>
      <c r="I2169" s="108" t="str">
        <f>IFERROR(VLOOKUP(H2169,LUTs!$A$1:$C$73,2,FALSE),"NA")</f>
        <v>Skagit</v>
      </c>
      <c r="J2169" s="108" t="str">
        <f>IFERROR(VLOOKUP(H2169,LUTs!$A$1:$C$73,3,FALSE),"NA")</f>
        <v>1North Puget Sound</v>
      </c>
      <c r="K2169" s="108" t="s">
        <v>16</v>
      </c>
      <c r="L2169" s="108" t="str">
        <f>VLOOKUP(K2169,LUTs!E$2:G$14,3,)</f>
        <v>03Snohomish</v>
      </c>
      <c r="M2169" s="108" t="str">
        <f>VLOOKUP($K2169,LUTs!$E$2:$H$14,2,)</f>
        <v>North Puget Sound</v>
      </c>
      <c r="N2169" s="108" t="str">
        <f>VLOOKUP($K2169,LUTs!$E$2:$H$14,4,)</f>
        <v>01North Puget Sound</v>
      </c>
      <c r="O2169" s="108">
        <v>3470.7369901547099</v>
      </c>
      <c r="P2169" s="108">
        <v>30021.8749648382</v>
      </c>
      <c r="Q2169" s="108">
        <f>SUMIFS('FW_Salmon_by_Month_2010-2021'!P$2:P$3810,'FW_Salmon_by_Month_2010-2021'!$B$2:$B$3810,'Rec_raw_catch_effort_2010-2021'!$B2169,'FW_Salmon_by_Month_2010-2021'!$H$2:$H$3810,'Rec_raw_catch_effort_2010-2021'!$F2169,'FW_Salmon_by_Month_2010-2021'!$M$2:$M$3810,'Rec_raw_catch_effort_2010-2021'!$K2169)</f>
        <v>3466.2753636405109</v>
      </c>
      <c r="R2169" s="109">
        <f>VLOOKUP(B2169,Readme!$A$62:$C$74,2,)*Q2169</f>
        <v>16705.904427840418</v>
      </c>
      <c r="S2169" s="140" t="str">
        <f t="shared" si="173"/>
        <v>Y</v>
      </c>
      <c r="T2169" s="154">
        <f t="shared" si="174"/>
        <v>8.6499999999999879</v>
      </c>
      <c r="U2169" s="154">
        <f t="shared" si="175"/>
        <v>4.8195549041132084</v>
      </c>
    </row>
    <row r="2170" spans="1:21" x14ac:dyDescent="0.35">
      <c r="A2170" s="108">
        <v>1443</v>
      </c>
      <c r="B2170" s="108">
        <v>2018</v>
      </c>
      <c r="C2170" s="108" t="s">
        <v>38</v>
      </c>
      <c r="D2170" s="108" t="s">
        <v>143</v>
      </c>
      <c r="E2170" s="108" t="s">
        <v>10</v>
      </c>
      <c r="F2170" s="116">
        <v>816</v>
      </c>
      <c r="G2170" s="108" t="s">
        <v>56</v>
      </c>
      <c r="H2170" s="108" t="str">
        <f t="shared" si="176"/>
        <v>Samish River</v>
      </c>
      <c r="I2170" s="108" t="str">
        <f>IFERROR(VLOOKUP(H2170,LUTs!$A$1:$C$73,2,FALSE),"NA")</f>
        <v>Skagit</v>
      </c>
      <c r="J2170" s="108" t="str">
        <f>IFERROR(VLOOKUP(H2170,LUTs!$A$1:$C$73,3,FALSE),"NA")</f>
        <v>1North Puget Sound</v>
      </c>
      <c r="K2170" s="108" t="s">
        <v>21</v>
      </c>
      <c r="L2170" s="108" t="str">
        <f>VLOOKUP(K2170,LUTs!E$2:G$14,3,)</f>
        <v>08Thurston</v>
      </c>
      <c r="M2170" s="108" t="str">
        <f>VLOOKUP($K2170,LUTs!$E$2:$H$14,2,)</f>
        <v>South Puget Sound</v>
      </c>
      <c r="N2170" s="108" t="str">
        <f>VLOOKUP($K2170,LUTs!$E$2:$H$14,4,)</f>
        <v>02South Puget Sound</v>
      </c>
      <c r="O2170" s="108">
        <v>29.084388185653999</v>
      </c>
      <c r="P2170" s="108">
        <v>251.57995780590699</v>
      </c>
      <c r="Q2170" s="108">
        <f>SUMIFS('FW_Salmon_by_Month_2010-2021'!P$2:P$3810,'FW_Salmon_by_Month_2010-2021'!$B$2:$B$3810,'Rec_raw_catch_effort_2010-2021'!$B2170,'FW_Salmon_by_Month_2010-2021'!$H$2:$H$3810,'Rec_raw_catch_effort_2010-2021'!$F2170,'FW_Salmon_by_Month_2010-2021'!$M$2:$M$3810,'Rec_raw_catch_effort_2010-2021'!$K2170)</f>
        <v>29.116954474097309</v>
      </c>
      <c r="R2170" s="109">
        <f>VLOOKUP(B2170,Readme!$A$62:$C$74,2,)*Q2170</f>
        <v>140.33076072847672</v>
      </c>
      <c r="S2170" s="140" t="str">
        <f t="shared" si="173"/>
        <v>Y</v>
      </c>
      <c r="T2170" s="154">
        <f t="shared" si="174"/>
        <v>8.6499999999999968</v>
      </c>
      <c r="U2170" s="154">
        <f t="shared" si="175"/>
        <v>4.8195549041132084</v>
      </c>
    </row>
    <row r="2171" spans="1:21" x14ac:dyDescent="0.35">
      <c r="A2171" s="108">
        <v>1384</v>
      </c>
      <c r="B2171" s="108">
        <v>2018</v>
      </c>
      <c r="C2171" s="108" t="s">
        <v>38</v>
      </c>
      <c r="D2171" s="108" t="s">
        <v>143</v>
      </c>
      <c r="E2171" s="108" t="s">
        <v>10</v>
      </c>
      <c r="F2171" s="116">
        <v>816</v>
      </c>
      <c r="G2171" s="108" t="s">
        <v>56</v>
      </c>
      <c r="H2171" s="108" t="str">
        <f t="shared" si="176"/>
        <v>Samish River</v>
      </c>
      <c r="I2171" s="108" t="str">
        <f>IFERROR(VLOOKUP(H2171,LUTs!$A$1:$C$73,2,FALSE),"NA")</f>
        <v>Skagit</v>
      </c>
      <c r="J2171" s="108" t="str">
        <f>IFERROR(VLOOKUP(H2171,LUTs!$A$1:$C$73,3,FALSE),"NA")</f>
        <v>1North Puget Sound</v>
      </c>
      <c r="K2171" s="108" t="s">
        <v>13</v>
      </c>
      <c r="L2171" s="108" t="str">
        <f>VLOOKUP(K2171,LUTs!E$2:G$14,3,)</f>
        <v>01Whatcom</v>
      </c>
      <c r="M2171" s="108" t="str">
        <f>VLOOKUP($K2171,LUTs!$E$2:$H$14,2,)</f>
        <v>North Puget Sound</v>
      </c>
      <c r="N2171" s="108" t="str">
        <f>VLOOKUP($K2171,LUTs!$E$2:$H$14,4,)</f>
        <v>01North Puget Sound</v>
      </c>
      <c r="O2171" s="108">
        <v>1095.51195499297</v>
      </c>
      <c r="P2171" s="108">
        <v>9476.1784106891901</v>
      </c>
      <c r="Q2171" s="108">
        <f>SUMIFS('FW_Salmon_by_Month_2010-2021'!P$2:P$3810,'FW_Salmon_by_Month_2010-2021'!$B$2:$B$3810,'Rec_raw_catch_effort_2010-2021'!$B2171,'FW_Salmon_by_Month_2010-2021'!$H$2:$H$3810,'Rec_raw_catch_effort_2010-2021'!$F2171,'FW_Salmon_by_Month_2010-2021'!$M$2:$M$3810,'Rec_raw_catch_effort_2010-2021'!$K2171)</f>
        <v>1096.2528807884469</v>
      </c>
      <c r="R2171" s="109">
        <f>VLOOKUP(B2171,Readme!$A$62:$C$74,2,)*Q2171</f>
        <v>5283.4509477521915</v>
      </c>
      <c r="S2171" s="140" t="str">
        <f t="shared" si="173"/>
        <v>Y</v>
      </c>
      <c r="T2171" s="154">
        <f t="shared" si="174"/>
        <v>8.65</v>
      </c>
      <c r="U2171" s="154">
        <f t="shared" si="175"/>
        <v>4.8195549041132084</v>
      </c>
    </row>
    <row r="2172" spans="1:21" x14ac:dyDescent="0.35">
      <c r="A2172" s="108">
        <v>1497</v>
      </c>
      <c r="B2172" s="108">
        <v>2019</v>
      </c>
      <c r="C2172" s="108" t="s">
        <v>38</v>
      </c>
      <c r="D2172" s="108" t="s">
        <v>143</v>
      </c>
      <c r="E2172" s="108" t="s">
        <v>10</v>
      </c>
      <c r="F2172" s="116">
        <v>816</v>
      </c>
      <c r="G2172" s="108" t="s">
        <v>56</v>
      </c>
      <c r="H2172" s="108" t="str">
        <f t="shared" si="176"/>
        <v>Samish River</v>
      </c>
      <c r="I2172" s="108" t="str">
        <f>IFERROR(VLOOKUP(H2172,LUTs!$A$1:$C$73,2,FALSE),"NA")</f>
        <v>Skagit</v>
      </c>
      <c r="J2172" s="108" t="str">
        <f>IFERROR(VLOOKUP(H2172,LUTs!$A$1:$C$73,3,FALSE),"NA")</f>
        <v>1North Puget Sound</v>
      </c>
      <c r="K2172" s="108" t="s">
        <v>17</v>
      </c>
      <c r="L2172" s="108" t="str">
        <f>VLOOKUP(K2172,LUTs!E$2:G$14,3,)</f>
        <v>04Island</v>
      </c>
      <c r="M2172" s="108" t="str">
        <f>VLOOKUP($K2172,LUTs!$E$2:$H$14,2,)</f>
        <v>North Puget Sound</v>
      </c>
      <c r="N2172" s="108" t="str">
        <f>VLOOKUP($K2172,LUTs!$E$2:$H$14,4,)</f>
        <v>01North Puget Sound</v>
      </c>
      <c r="O2172" s="108">
        <v>41.369978858350997</v>
      </c>
      <c r="P2172" s="108">
        <v>142.31272727272699</v>
      </c>
      <c r="Q2172" s="108">
        <f>SUMIFS('FW_Salmon_by_Month_2010-2021'!P$2:P$3810,'FW_Salmon_by_Month_2010-2021'!$B$2:$B$3810,'Rec_raw_catch_effort_2010-2021'!$B2172,'FW_Salmon_by_Month_2010-2021'!$H$2:$H$3810,'Rec_raw_catch_effort_2010-2021'!$F2172,'FW_Salmon_by_Month_2010-2021'!$M$2:$M$3810,'Rec_raw_catch_effort_2010-2021'!$K2172)</f>
        <v>41.374239684366202</v>
      </c>
      <c r="R2172" s="109">
        <f>VLOOKUP(B2172,Readme!$A$62:$C$74,2,)*Q2172</f>
        <v>146.42510740822243</v>
      </c>
      <c r="S2172" s="140" t="str">
        <f t="shared" si="173"/>
        <v>Y</v>
      </c>
      <c r="T2172" s="154">
        <f t="shared" si="174"/>
        <v>3.4399999999999893</v>
      </c>
      <c r="U2172" s="154">
        <f t="shared" si="175"/>
        <v>3.5390404397824153</v>
      </c>
    </row>
    <row r="2173" spans="1:21" x14ac:dyDescent="0.35">
      <c r="A2173" s="108">
        <v>1498</v>
      </c>
      <c r="B2173" s="108">
        <v>2019</v>
      </c>
      <c r="C2173" s="108" t="s">
        <v>38</v>
      </c>
      <c r="D2173" s="108" t="s">
        <v>143</v>
      </c>
      <c r="E2173" s="108" t="s">
        <v>10</v>
      </c>
      <c r="F2173" s="116">
        <v>816</v>
      </c>
      <c r="G2173" s="108" t="s">
        <v>56</v>
      </c>
      <c r="H2173" s="108" t="str">
        <f t="shared" si="176"/>
        <v>Samish River</v>
      </c>
      <c r="I2173" s="108" t="str">
        <f>IFERROR(VLOOKUP(H2173,LUTs!$A$1:$C$73,2,FALSE),"NA")</f>
        <v>Skagit</v>
      </c>
      <c r="J2173" s="108" t="str">
        <f>IFERROR(VLOOKUP(H2173,LUTs!$A$1:$C$73,3,FALSE),"NA")</f>
        <v>1North Puget Sound</v>
      </c>
      <c r="K2173" s="108" t="s">
        <v>18</v>
      </c>
      <c r="L2173" s="108" t="str">
        <f>VLOOKUP(K2173,LUTs!E$2:G$14,3,)</f>
        <v>06King</v>
      </c>
      <c r="M2173" s="108" t="str">
        <f>VLOOKUP($K2173,LUTs!$E$2:$H$14,2,)</f>
        <v>South Puget Sound</v>
      </c>
      <c r="N2173" s="108" t="str">
        <f>VLOOKUP($K2173,LUTs!$E$2:$H$14,4,)</f>
        <v>02South Puget Sound</v>
      </c>
      <c r="O2173" s="108">
        <v>475.75475687103602</v>
      </c>
      <c r="P2173" s="108">
        <v>1636.5963636363599</v>
      </c>
      <c r="Q2173" s="108">
        <f>SUMIFS('FW_Salmon_by_Month_2010-2021'!P$2:P$3810,'FW_Salmon_by_Month_2010-2021'!$B$2:$B$3810,'Rec_raw_catch_effort_2010-2021'!$B2173,'FW_Salmon_by_Month_2010-2021'!$H$2:$H$3810,'Rec_raw_catch_effort_2010-2021'!$F2173,'FW_Salmon_by_Month_2010-2021'!$M$2:$M$3810,'Rec_raw_catch_effort_2010-2021'!$K2173)</f>
        <v>475.76919283248401</v>
      </c>
      <c r="R2173" s="109">
        <f>VLOOKUP(B2173,Readme!$A$62:$C$74,2,)*Q2173</f>
        <v>1683.766413436799</v>
      </c>
      <c r="S2173" s="140" t="str">
        <f t="shared" si="173"/>
        <v>Y</v>
      </c>
      <c r="T2173" s="154">
        <f t="shared" si="174"/>
        <v>3.4399999999999915</v>
      </c>
      <c r="U2173" s="154">
        <f t="shared" si="175"/>
        <v>3.5390404397824153</v>
      </c>
    </row>
    <row r="2174" spans="1:21" x14ac:dyDescent="0.35">
      <c r="A2174" s="108">
        <v>1572</v>
      </c>
      <c r="B2174" s="108">
        <v>2019</v>
      </c>
      <c r="C2174" s="108" t="s">
        <v>38</v>
      </c>
      <c r="D2174" s="108" t="s">
        <v>143</v>
      </c>
      <c r="E2174" s="108" t="s">
        <v>10</v>
      </c>
      <c r="F2174" s="116">
        <v>816</v>
      </c>
      <c r="G2174" s="108" t="s">
        <v>56</v>
      </c>
      <c r="H2174" s="108" t="str">
        <f t="shared" si="176"/>
        <v>Samish River</v>
      </c>
      <c r="I2174" s="108" t="str">
        <f>IFERROR(VLOOKUP(H2174,LUTs!$A$1:$C$73,2,FALSE),"NA")</f>
        <v>Skagit</v>
      </c>
      <c r="J2174" s="108" t="str">
        <f>IFERROR(VLOOKUP(H2174,LUTs!$A$1:$C$73,3,FALSE),"NA")</f>
        <v>1North Puget Sound</v>
      </c>
      <c r="K2174" s="108" t="s">
        <v>26</v>
      </c>
      <c r="L2174" s="108" t="str">
        <f>VLOOKUP(K2174,LUTs!E$2:G$14,3,)</f>
        <v>20Other</v>
      </c>
      <c r="M2174" s="108" t="str">
        <f>VLOOKUP($K2174,LUTs!$E$2:$H$14,2,)</f>
        <v>Non Puget Sound</v>
      </c>
      <c r="N2174" s="108" t="str">
        <f>VLOOKUP($K2174,LUTs!$E$2:$H$14,4,)</f>
        <v>07Non Puget Sound</v>
      </c>
      <c r="O2174" s="108">
        <v>268.90486257928097</v>
      </c>
      <c r="P2174" s="108">
        <v>925.03272727272702</v>
      </c>
      <c r="Q2174" s="108">
        <f>SUMIFS('FW_Salmon_by_Month_2010-2021'!P$2:P$3810,'FW_Salmon_by_Month_2010-2021'!$B$2:$B$3810,'Rec_raw_catch_effort_2010-2021'!$B2174,'FW_Salmon_by_Month_2010-2021'!$H$2:$H$3810,'Rec_raw_catch_effort_2010-2021'!$F2174,'FW_Salmon_by_Month_2010-2021'!$M$2:$M$3810,'Rec_raw_catch_effort_2010-2021'!$K2174)</f>
        <v>268.8932270261385</v>
      </c>
      <c r="R2174" s="109">
        <f>VLOOKUP(B2174,Readme!$A$62:$C$74,2,)*Q2174</f>
        <v>951.62400442909802</v>
      </c>
      <c r="S2174" s="140" t="str">
        <f t="shared" si="173"/>
        <v>Y</v>
      </c>
      <c r="T2174" s="154">
        <f t="shared" si="174"/>
        <v>3.4400000000000017</v>
      </c>
      <c r="U2174" s="154">
        <f t="shared" si="175"/>
        <v>3.5390404397824153</v>
      </c>
    </row>
    <row r="2175" spans="1:21" x14ac:dyDescent="0.35">
      <c r="A2175" s="108">
        <v>1571</v>
      </c>
      <c r="B2175" s="108">
        <v>2019</v>
      </c>
      <c r="C2175" s="108" t="s">
        <v>38</v>
      </c>
      <c r="D2175" s="108" t="s">
        <v>143</v>
      </c>
      <c r="E2175" s="108" t="s">
        <v>10</v>
      </c>
      <c r="F2175" s="116">
        <v>816</v>
      </c>
      <c r="G2175" s="108" t="s">
        <v>56</v>
      </c>
      <c r="H2175" s="108" t="str">
        <f t="shared" si="176"/>
        <v>Samish River</v>
      </c>
      <c r="I2175" s="108" t="str">
        <f>IFERROR(VLOOKUP(H2175,LUTs!$A$1:$C$73,2,FALSE),"NA")</f>
        <v>Skagit</v>
      </c>
      <c r="J2175" s="108" t="str">
        <f>IFERROR(VLOOKUP(H2175,LUTs!$A$1:$C$73,3,FALSE),"NA")</f>
        <v>1North Puget Sound</v>
      </c>
      <c r="K2175" s="108" t="s">
        <v>20</v>
      </c>
      <c r="L2175" s="108" t="str">
        <f>VLOOKUP(K2175,LUTs!E$2:G$14,3,)</f>
        <v>07Pierce</v>
      </c>
      <c r="M2175" s="108" t="str">
        <f>VLOOKUP($K2175,LUTs!$E$2:$H$14,2,)</f>
        <v>South Puget Sound</v>
      </c>
      <c r="N2175" s="108" t="str">
        <f>VLOOKUP($K2175,LUTs!$E$2:$H$14,4,)</f>
        <v>02South Puget Sound</v>
      </c>
      <c r="O2175" s="108">
        <v>20.684989429175499</v>
      </c>
      <c r="P2175" s="108">
        <v>71.156363636363693</v>
      </c>
      <c r="Q2175" s="108">
        <f>SUMIFS('FW_Salmon_by_Month_2010-2021'!P$2:P$3810,'FW_Salmon_by_Month_2010-2021'!$B$2:$B$3810,'Rec_raw_catch_effort_2010-2021'!$B2175,'FW_Salmon_by_Month_2010-2021'!$H$2:$H$3810,'Rec_raw_catch_effort_2010-2021'!$F2175,'FW_Salmon_by_Month_2010-2021'!$M$2:$M$3810,'Rec_raw_catch_effort_2010-2021'!$K2175)</f>
        <v>20.685927996054502</v>
      </c>
      <c r="R2175" s="109">
        <f>VLOOKUP(B2175,Readme!$A$62:$C$74,2,)*Q2175</f>
        <v>73.208335712464105</v>
      </c>
      <c r="S2175" s="140" t="str">
        <f t="shared" si="173"/>
        <v>Y</v>
      </c>
      <c r="T2175" s="154">
        <f t="shared" si="174"/>
        <v>3.4399999999999991</v>
      </c>
      <c r="U2175" s="154">
        <f t="shared" si="175"/>
        <v>3.5390404397824153</v>
      </c>
    </row>
    <row r="2176" spans="1:21" x14ac:dyDescent="0.35">
      <c r="A2176" s="108">
        <v>1495</v>
      </c>
      <c r="B2176" s="108">
        <v>2019</v>
      </c>
      <c r="C2176" s="108" t="s">
        <v>38</v>
      </c>
      <c r="D2176" s="108" t="s">
        <v>143</v>
      </c>
      <c r="E2176" s="108" t="s">
        <v>10</v>
      </c>
      <c r="F2176" s="116">
        <v>816</v>
      </c>
      <c r="G2176" s="108" t="s">
        <v>56</v>
      </c>
      <c r="H2176" s="108" t="str">
        <f t="shared" si="176"/>
        <v>Samish River</v>
      </c>
      <c r="I2176" s="108" t="str">
        <f>IFERROR(VLOOKUP(H2176,LUTs!$A$1:$C$73,2,FALSE),"NA")</f>
        <v>Skagit</v>
      </c>
      <c r="J2176" s="108" t="str">
        <f>IFERROR(VLOOKUP(H2176,LUTs!$A$1:$C$73,3,FALSE),"NA")</f>
        <v>1North Puget Sound</v>
      </c>
      <c r="K2176" s="108" t="s">
        <v>15</v>
      </c>
      <c r="L2176" s="108" t="str">
        <f>VLOOKUP(K2176,LUTs!E$2:G$14,3,)</f>
        <v>02Skagit</v>
      </c>
      <c r="M2176" s="108" t="str">
        <f>VLOOKUP($K2176,LUTs!$E$2:$H$14,2,)</f>
        <v>North Puget Sound</v>
      </c>
      <c r="N2176" s="108" t="str">
        <f>VLOOKUP($K2176,LUTs!$E$2:$H$14,4,)</f>
        <v>01North Puget Sound</v>
      </c>
      <c r="O2176" s="108">
        <v>486.09725158562401</v>
      </c>
      <c r="P2176" s="108">
        <v>1672.1745454545501</v>
      </c>
      <c r="Q2176" s="108">
        <f>SUMIFS('FW_Salmon_by_Month_2010-2021'!P$2:P$3810,'FW_Salmon_by_Month_2010-2021'!$B$2:$B$3810,'Rec_raw_catch_effort_2010-2021'!$B2176,'FW_Salmon_by_Month_2010-2021'!$H$2:$H$3810,'Rec_raw_catch_effort_2010-2021'!$F2176,'FW_Salmon_by_Month_2010-2021'!$M$2:$M$3810,'Rec_raw_catch_effort_2010-2021'!$K2176)</f>
        <v>486.0630993479096</v>
      </c>
      <c r="R2176" s="109">
        <f>VLOOKUP(B2176,Readme!$A$62:$C$74,2,)*Q2176</f>
        <v>1720.1969648782299</v>
      </c>
      <c r="S2176" s="140" t="str">
        <f t="shared" si="173"/>
        <v>Y</v>
      </c>
      <c r="T2176" s="154">
        <f t="shared" si="174"/>
        <v>3.4400000000000071</v>
      </c>
      <c r="U2176" s="154">
        <f t="shared" si="175"/>
        <v>3.5390404397824153</v>
      </c>
    </row>
    <row r="2177" spans="1:21" x14ac:dyDescent="0.35">
      <c r="A2177" s="108">
        <v>1496</v>
      </c>
      <c r="B2177" s="108">
        <v>2019</v>
      </c>
      <c r="C2177" s="108" t="s">
        <v>38</v>
      </c>
      <c r="D2177" s="108" t="s">
        <v>143</v>
      </c>
      <c r="E2177" s="108" t="s">
        <v>10</v>
      </c>
      <c r="F2177" s="116">
        <v>816</v>
      </c>
      <c r="G2177" s="108" t="s">
        <v>56</v>
      </c>
      <c r="H2177" s="108" t="str">
        <f t="shared" si="176"/>
        <v>Samish River</v>
      </c>
      <c r="I2177" s="108" t="str">
        <f>IFERROR(VLOOKUP(H2177,LUTs!$A$1:$C$73,2,FALSE),"NA")</f>
        <v>Skagit</v>
      </c>
      <c r="J2177" s="108" t="str">
        <f>IFERROR(VLOOKUP(H2177,LUTs!$A$1:$C$73,3,FALSE),"NA")</f>
        <v>1North Puget Sound</v>
      </c>
      <c r="K2177" s="108" t="s">
        <v>16</v>
      </c>
      <c r="L2177" s="108" t="str">
        <f>VLOOKUP(K2177,LUTs!E$2:G$14,3,)</f>
        <v>03Snohomish</v>
      </c>
      <c r="M2177" s="108" t="str">
        <f>VLOOKUP($K2177,LUTs!$E$2:$H$14,2,)</f>
        <v>North Puget Sound</v>
      </c>
      <c r="N2177" s="108" t="str">
        <f>VLOOKUP($K2177,LUTs!$E$2:$H$14,4,)</f>
        <v>01North Puget Sound</v>
      </c>
      <c r="O2177" s="108">
        <v>3113.0909090909099</v>
      </c>
      <c r="P2177" s="108">
        <v>10709.032727272701</v>
      </c>
      <c r="Q2177" s="108">
        <f>SUMIFS('FW_Salmon_by_Month_2010-2021'!P$2:P$3810,'FW_Salmon_by_Month_2010-2021'!$B$2:$B$3810,'Rec_raw_catch_effort_2010-2021'!$B2177,'FW_Salmon_by_Month_2010-2021'!$H$2:$H$3810,'Rec_raw_catch_effort_2010-2021'!$F2177,'FW_Salmon_by_Month_2010-2021'!$M$2:$M$3810,'Rec_raw_catch_effort_2010-2021'!$K2177)</f>
        <v>3113.1009644364135</v>
      </c>
      <c r="R2177" s="109">
        <f>VLOOKUP(B2177,Readme!$A$62:$C$74,2,)*Q2177</f>
        <v>11017.390206266105</v>
      </c>
      <c r="S2177" s="140" t="str">
        <f t="shared" si="173"/>
        <v>Y</v>
      </c>
      <c r="T2177" s="154">
        <f t="shared" si="174"/>
        <v>3.4399999999999906</v>
      </c>
      <c r="U2177" s="154">
        <f t="shared" si="175"/>
        <v>3.5390404397824149</v>
      </c>
    </row>
    <row r="2178" spans="1:21" x14ac:dyDescent="0.35">
      <c r="A2178" s="108">
        <v>1494</v>
      </c>
      <c r="B2178" s="108">
        <v>2019</v>
      </c>
      <c r="C2178" s="108" t="s">
        <v>38</v>
      </c>
      <c r="D2178" s="108" t="s">
        <v>143</v>
      </c>
      <c r="E2178" s="108" t="s">
        <v>10</v>
      </c>
      <c r="F2178" s="116">
        <v>816</v>
      </c>
      <c r="G2178" s="108" t="s">
        <v>56</v>
      </c>
      <c r="H2178" s="108" t="str">
        <f t="shared" si="176"/>
        <v>Samish River</v>
      </c>
      <c r="I2178" s="108" t="str">
        <f>IFERROR(VLOOKUP(H2178,LUTs!$A$1:$C$73,2,FALSE),"NA")</f>
        <v>Skagit</v>
      </c>
      <c r="J2178" s="108" t="str">
        <f>IFERROR(VLOOKUP(H2178,LUTs!$A$1:$C$73,3,FALSE),"NA")</f>
        <v>1North Puget Sound</v>
      </c>
      <c r="K2178" s="108" t="s">
        <v>13</v>
      </c>
      <c r="L2178" s="108" t="str">
        <f>VLOOKUP(K2178,LUTs!E$2:G$14,3,)</f>
        <v>01Whatcom</v>
      </c>
      <c r="M2178" s="108" t="str">
        <f>VLOOKUP($K2178,LUTs!$E$2:$H$14,2,)</f>
        <v>North Puget Sound</v>
      </c>
      <c r="N2178" s="108" t="str">
        <f>VLOOKUP($K2178,LUTs!$E$2:$H$14,4,)</f>
        <v>01North Puget Sound</v>
      </c>
      <c r="O2178" s="108">
        <v>486.09725158562401</v>
      </c>
      <c r="P2178" s="108">
        <v>1672.1745454545501</v>
      </c>
      <c r="Q2178" s="108">
        <f>SUMIFS('FW_Salmon_by_Month_2010-2021'!P$2:P$3810,'FW_Salmon_by_Month_2010-2021'!$B$2:$B$3810,'Rec_raw_catch_effort_2010-2021'!$B2178,'FW_Salmon_by_Month_2010-2021'!$H$2:$H$3810,'Rec_raw_catch_effort_2010-2021'!$F2178,'FW_Salmon_by_Month_2010-2021'!$M$2:$M$3810,'Rec_raw_catch_effort_2010-2021'!$K2178)</f>
        <v>486.11334867664004</v>
      </c>
      <c r="R2178" s="109">
        <f>VLOOKUP(B2178,Readme!$A$62:$C$74,2,)*Q2178</f>
        <v>1720.3747992846788</v>
      </c>
      <c r="S2178" s="140" t="str">
        <f t="shared" si="173"/>
        <v>Y</v>
      </c>
      <c r="T2178" s="154">
        <f t="shared" si="174"/>
        <v>3.4400000000000071</v>
      </c>
      <c r="U2178" s="154">
        <f t="shared" si="175"/>
        <v>3.5390404397824153</v>
      </c>
    </row>
    <row r="2179" spans="1:21" x14ac:dyDescent="0.35">
      <c r="A2179" s="108">
        <v>1660</v>
      </c>
      <c r="B2179" s="108">
        <v>2020</v>
      </c>
      <c r="C2179" s="108" t="s">
        <v>38</v>
      </c>
      <c r="D2179" s="108" t="s">
        <v>143</v>
      </c>
      <c r="E2179" s="108" t="s">
        <v>10</v>
      </c>
      <c r="F2179" s="116">
        <v>816</v>
      </c>
      <c r="G2179" s="108" t="s">
        <v>56</v>
      </c>
      <c r="H2179" s="108" t="str">
        <f t="shared" si="176"/>
        <v>Samish River</v>
      </c>
      <c r="I2179" s="108" t="str">
        <f>IFERROR(VLOOKUP(H2179,LUTs!$A$1:$C$73,2,FALSE),"NA")</f>
        <v>Skagit</v>
      </c>
      <c r="J2179" s="108" t="str">
        <f>IFERROR(VLOOKUP(H2179,LUTs!$A$1:$C$73,3,FALSE),"NA")</f>
        <v>1North Puget Sound</v>
      </c>
      <c r="K2179" s="108" t="s">
        <v>17</v>
      </c>
      <c r="L2179" s="108" t="str">
        <f>VLOOKUP(K2179,LUTs!E$2:G$14,3,)</f>
        <v>04Island</v>
      </c>
      <c r="M2179" s="108" t="str">
        <f>VLOOKUP($K2179,LUTs!$E$2:$H$14,2,)</f>
        <v>North Puget Sound</v>
      </c>
      <c r="N2179" s="108" t="str">
        <f>VLOOKUP($K2179,LUTs!$E$2:$H$14,4,)</f>
        <v>01North Puget Sound</v>
      </c>
      <c r="O2179" s="108">
        <v>292.76279069767401</v>
      </c>
      <c r="P2179" s="108">
        <v>2532.3981395348801</v>
      </c>
      <c r="Q2179" s="108">
        <f>SUMIFS('FW_Salmon_by_Month_2010-2021'!P$2:P$3810,'FW_Salmon_by_Month_2010-2021'!$B$2:$B$3810,'Rec_raw_catch_effort_2010-2021'!$B2179,'FW_Salmon_by_Month_2010-2021'!$H$2:$H$3810,'Rec_raw_catch_effort_2010-2021'!$F2179,'FW_Salmon_by_Month_2010-2021'!$M$2:$M$3810,'Rec_raw_catch_effort_2010-2021'!$K2179)</f>
        <v>292.74957174144004</v>
      </c>
      <c r="R2179" s="109">
        <f>VLOOKUP(B2179,Readme!$A$62:$C$74,2,)*Q2179</f>
        <v>1410.922634163499</v>
      </c>
      <c r="S2179" s="140" t="str">
        <f t="shared" ref="S2179:S2242" si="177">IF(B2179&lt;=2019,"Y","N")</f>
        <v>N</v>
      </c>
      <c r="T2179" s="154">
        <f t="shared" ref="T2179:T2242" si="178">IFERROR(P2179/O2179,"NA")</f>
        <v>8.65</v>
      </c>
      <c r="U2179" s="154">
        <f t="shared" ref="U2179:U2242" si="179">IFERROR(R2179/Q2179,"NA")</f>
        <v>4.8195549041132084</v>
      </c>
    </row>
    <row r="2180" spans="1:21" x14ac:dyDescent="0.35">
      <c r="A2180" s="108">
        <v>1661</v>
      </c>
      <c r="B2180" s="108">
        <v>2020</v>
      </c>
      <c r="C2180" s="108" t="s">
        <v>38</v>
      </c>
      <c r="D2180" s="108" t="s">
        <v>143</v>
      </c>
      <c r="E2180" s="108" t="s">
        <v>10</v>
      </c>
      <c r="F2180" s="116">
        <v>816</v>
      </c>
      <c r="G2180" s="108" t="s">
        <v>56</v>
      </c>
      <c r="H2180" s="108" t="str">
        <f t="shared" si="176"/>
        <v>Samish River</v>
      </c>
      <c r="I2180" s="108" t="str">
        <f>IFERROR(VLOOKUP(H2180,LUTs!$A$1:$C$73,2,FALSE),"NA")</f>
        <v>Skagit</v>
      </c>
      <c r="J2180" s="108" t="str">
        <f>IFERROR(VLOOKUP(H2180,LUTs!$A$1:$C$73,3,FALSE),"NA")</f>
        <v>1North Puget Sound</v>
      </c>
      <c r="K2180" s="108" t="s">
        <v>18</v>
      </c>
      <c r="L2180" s="108" t="str">
        <f>VLOOKUP(K2180,LUTs!E$2:G$14,3,)</f>
        <v>06King</v>
      </c>
      <c r="M2180" s="108" t="str">
        <f>VLOOKUP($K2180,LUTs!$E$2:$H$14,2,)</f>
        <v>South Puget Sound</v>
      </c>
      <c r="N2180" s="108" t="str">
        <f>VLOOKUP($K2180,LUTs!$E$2:$H$14,4,)</f>
        <v>02South Puget Sound</v>
      </c>
      <c r="O2180" s="108">
        <v>1097.86046511628</v>
      </c>
      <c r="P2180" s="108">
        <v>9496.4930232558199</v>
      </c>
      <c r="Q2180" s="108">
        <f>SUMIFS('FW_Salmon_by_Month_2010-2021'!P$2:P$3810,'FW_Salmon_by_Month_2010-2021'!$B$2:$B$3810,'Rec_raw_catch_effort_2010-2021'!$B2180,'FW_Salmon_by_Month_2010-2021'!$H$2:$H$3810,'Rec_raw_catch_effort_2010-2021'!$F2180,'FW_Salmon_by_Month_2010-2021'!$M$2:$M$3810,'Rec_raw_catch_effort_2010-2021'!$K2180)</f>
        <v>1097.8665568011802</v>
      </c>
      <c r="R2180" s="109">
        <f>VLOOKUP(B2180,Readme!$A$62:$C$74,2,)*Q2180</f>
        <v>5291.2281478930099</v>
      </c>
      <c r="S2180" s="140" t="str">
        <f t="shared" si="177"/>
        <v>N</v>
      </c>
      <c r="T2180" s="154">
        <f t="shared" si="178"/>
        <v>8.6499999999999986</v>
      </c>
      <c r="U2180" s="154">
        <f t="shared" si="179"/>
        <v>4.8195549041132084</v>
      </c>
    </row>
    <row r="2181" spans="1:21" x14ac:dyDescent="0.35">
      <c r="A2181" s="108">
        <v>1662</v>
      </c>
      <c r="B2181" s="108">
        <v>2020</v>
      </c>
      <c r="C2181" s="108" t="s">
        <v>38</v>
      </c>
      <c r="D2181" s="108" t="s">
        <v>143</v>
      </c>
      <c r="E2181" s="108" t="s">
        <v>10</v>
      </c>
      <c r="F2181" s="116">
        <v>816</v>
      </c>
      <c r="G2181" s="108" t="s">
        <v>56</v>
      </c>
      <c r="H2181" s="108" t="str">
        <f t="shared" si="176"/>
        <v>Samish River</v>
      </c>
      <c r="I2181" s="108" t="str">
        <f>IFERROR(VLOOKUP(H2181,LUTs!$A$1:$C$73,2,FALSE),"NA")</f>
        <v>Skagit</v>
      </c>
      <c r="J2181" s="108" t="str">
        <f>IFERROR(VLOOKUP(H2181,LUTs!$A$1:$C$73,3,FALSE),"NA")</f>
        <v>1North Puget Sound</v>
      </c>
      <c r="K2181" s="108" t="s">
        <v>23</v>
      </c>
      <c r="L2181" s="108" t="str">
        <f>VLOOKUP(K2181,LUTs!E$2:G$14,3,)</f>
        <v>10Kitsap</v>
      </c>
      <c r="M2181" s="108" t="str">
        <f>VLOOKUP($K2181,LUTs!$E$2:$H$14,2,)</f>
        <v>South Puget Sound</v>
      </c>
      <c r="N2181" s="108" t="str">
        <f>VLOOKUP($K2181,LUTs!$E$2:$H$14,4,)</f>
        <v>02South Puget Sound</v>
      </c>
      <c r="O2181" s="108">
        <v>85.389147286821697</v>
      </c>
      <c r="P2181" s="108">
        <v>738.61612403100798</v>
      </c>
      <c r="Q2181" s="108">
        <f>SUMIFS('FW_Salmon_by_Month_2010-2021'!P$2:P$3810,'FW_Salmon_by_Month_2010-2021'!$B$2:$B$3810,'Rec_raw_catch_effort_2010-2021'!$B2181,'FW_Salmon_by_Month_2010-2021'!$H$2:$H$3810,'Rec_raw_catch_effort_2010-2021'!$F2181,'FW_Salmon_by_Month_2010-2021'!$M$2:$M$3810,'Rec_raw_catch_effort_2010-2021'!$K2181)</f>
        <v>85.386928898237102</v>
      </c>
      <c r="R2181" s="109">
        <f>VLOOKUP(B2181,Readme!$A$62:$C$74,2,)*Q2181</f>
        <v>411.52699191866446</v>
      </c>
      <c r="S2181" s="140" t="str">
        <f t="shared" si="177"/>
        <v>N</v>
      </c>
      <c r="T2181" s="154">
        <f t="shared" si="178"/>
        <v>8.6500000000000039</v>
      </c>
      <c r="U2181" s="154">
        <f t="shared" si="179"/>
        <v>4.8195549041132084</v>
      </c>
    </row>
    <row r="2182" spans="1:21" x14ac:dyDescent="0.35">
      <c r="A2182" s="108">
        <v>1663</v>
      </c>
      <c r="B2182" s="108">
        <v>2020</v>
      </c>
      <c r="C2182" s="108" t="s">
        <v>38</v>
      </c>
      <c r="D2182" s="108" t="s">
        <v>143</v>
      </c>
      <c r="E2182" s="108" t="s">
        <v>10</v>
      </c>
      <c r="F2182" s="116">
        <v>816</v>
      </c>
      <c r="G2182" s="108" t="s">
        <v>56</v>
      </c>
      <c r="H2182" s="108" t="str">
        <f t="shared" si="176"/>
        <v>Samish River</v>
      </c>
      <c r="I2182" s="108" t="str">
        <f>IFERROR(VLOOKUP(H2182,LUTs!$A$1:$C$73,2,FALSE),"NA")</f>
        <v>Skagit</v>
      </c>
      <c r="J2182" s="108" t="str">
        <f>IFERROR(VLOOKUP(H2182,LUTs!$A$1:$C$73,3,FALSE),"NA")</f>
        <v>1North Puget Sound</v>
      </c>
      <c r="K2182" s="108" t="s">
        <v>26</v>
      </c>
      <c r="L2182" s="108" t="str">
        <f>VLOOKUP(K2182,LUTs!E$2:G$14,3,)</f>
        <v>20Other</v>
      </c>
      <c r="M2182" s="108" t="str">
        <f>VLOOKUP($K2182,LUTs!$E$2:$H$14,2,)</f>
        <v>Non Puget Sound</v>
      </c>
      <c r="N2182" s="108" t="str">
        <f>VLOOKUP($K2182,LUTs!$E$2:$H$14,4,)</f>
        <v>07Non Puget Sound</v>
      </c>
      <c r="O2182" s="108">
        <v>231.77054263565901</v>
      </c>
      <c r="P2182" s="108">
        <v>2004.8151937984501</v>
      </c>
      <c r="Q2182" s="108">
        <f>SUMIFS('FW_Salmon_by_Month_2010-2021'!P$2:P$3810,'FW_Salmon_by_Month_2010-2021'!$B$2:$B$3810,'Rec_raw_catch_effort_2010-2021'!$B2182,'FW_Salmon_by_Month_2010-2021'!$H$2:$H$3810,'Rec_raw_catch_effort_2010-2021'!$F2182,'FW_Salmon_by_Month_2010-2021'!$M$2:$M$3810,'Rec_raw_catch_effort_2010-2021'!$K2182)</f>
        <v>231.77153761085901</v>
      </c>
      <c r="R2182" s="109">
        <f>VLOOKUP(B2182,Readme!$A$62:$C$74,2,)*Q2182</f>
        <v>1117.0356507262745</v>
      </c>
      <c r="S2182" s="140" t="str">
        <f t="shared" si="177"/>
        <v>N</v>
      </c>
      <c r="T2182" s="154">
        <f t="shared" si="178"/>
        <v>8.6499999999999986</v>
      </c>
      <c r="U2182" s="154">
        <f t="shared" si="179"/>
        <v>4.8195549041132084</v>
      </c>
    </row>
    <row r="2183" spans="1:21" x14ac:dyDescent="0.35">
      <c r="A2183" s="108">
        <v>1627</v>
      </c>
      <c r="B2183" s="108">
        <v>2020</v>
      </c>
      <c r="C2183" s="108" t="s">
        <v>38</v>
      </c>
      <c r="D2183" s="108" t="s">
        <v>143</v>
      </c>
      <c r="E2183" s="108" t="s">
        <v>10</v>
      </c>
      <c r="F2183" s="116">
        <v>816</v>
      </c>
      <c r="G2183" s="108" t="s">
        <v>56</v>
      </c>
      <c r="H2183" s="108" t="str">
        <f t="shared" si="176"/>
        <v>Samish River</v>
      </c>
      <c r="I2183" s="108" t="str">
        <f>IFERROR(VLOOKUP(H2183,LUTs!$A$1:$C$73,2,FALSE),"NA")</f>
        <v>Skagit</v>
      </c>
      <c r="J2183" s="108" t="str">
        <f>IFERROR(VLOOKUP(H2183,LUTs!$A$1:$C$73,3,FALSE),"NA")</f>
        <v>1North Puget Sound</v>
      </c>
      <c r="K2183" s="108" t="s">
        <v>15</v>
      </c>
      <c r="L2183" s="108" t="str">
        <f>VLOOKUP(K2183,LUTs!E$2:G$14,3,)</f>
        <v>02Skagit</v>
      </c>
      <c r="M2183" s="108" t="str">
        <f>VLOOKUP($K2183,LUTs!$E$2:$H$14,2,)</f>
        <v>North Puget Sound</v>
      </c>
      <c r="N2183" s="108" t="str">
        <f>VLOOKUP($K2183,LUTs!$E$2:$H$14,4,)</f>
        <v>01North Puget Sound</v>
      </c>
      <c r="O2183" s="108">
        <v>1646.79069767442</v>
      </c>
      <c r="P2183" s="108">
        <v>14244.7395348837</v>
      </c>
      <c r="Q2183" s="108">
        <f>SUMIFS('FW_Salmon_by_Month_2010-2021'!P$2:P$3810,'FW_Salmon_by_Month_2010-2021'!$B$2:$B$3810,'Rec_raw_catch_effort_2010-2021'!$B2183,'FW_Salmon_by_Month_2010-2021'!$H$2:$H$3810,'Rec_raw_catch_effort_2010-2021'!$F2183,'FW_Salmon_by_Month_2010-2021'!$M$2:$M$3810,'Rec_raw_catch_effort_2010-2021'!$K2183)</f>
        <v>1646.7867380792381</v>
      </c>
      <c r="R2183" s="109">
        <f>VLOOKUP(B2183,Readme!$A$62:$C$74,2,)*Q2183</f>
        <v>7936.7790995383857</v>
      </c>
      <c r="S2183" s="140" t="str">
        <f t="shared" si="177"/>
        <v>N</v>
      </c>
      <c r="T2183" s="154">
        <f t="shared" si="178"/>
        <v>8.649999999999979</v>
      </c>
      <c r="U2183" s="154">
        <f t="shared" si="179"/>
        <v>4.8195549041132084</v>
      </c>
    </row>
    <row r="2184" spans="1:21" x14ac:dyDescent="0.35">
      <c r="A2184" s="108">
        <v>1659</v>
      </c>
      <c r="B2184" s="108">
        <v>2020</v>
      </c>
      <c r="C2184" s="108" t="s">
        <v>38</v>
      </c>
      <c r="D2184" s="108" t="s">
        <v>143</v>
      </c>
      <c r="E2184" s="108" t="s">
        <v>10</v>
      </c>
      <c r="F2184" s="116">
        <v>816</v>
      </c>
      <c r="G2184" s="108" t="s">
        <v>56</v>
      </c>
      <c r="H2184" s="108" t="str">
        <f t="shared" si="176"/>
        <v>Samish River</v>
      </c>
      <c r="I2184" s="108" t="str">
        <f>IFERROR(VLOOKUP(H2184,LUTs!$A$1:$C$73,2,FALSE),"NA")</f>
        <v>Skagit</v>
      </c>
      <c r="J2184" s="108" t="str">
        <f>IFERROR(VLOOKUP(H2184,LUTs!$A$1:$C$73,3,FALSE),"NA")</f>
        <v>1North Puget Sound</v>
      </c>
      <c r="K2184" s="108" t="s">
        <v>16</v>
      </c>
      <c r="L2184" s="108" t="str">
        <f>VLOOKUP(K2184,LUTs!E$2:G$14,3,)</f>
        <v>03Snohomish</v>
      </c>
      <c r="M2184" s="108" t="str">
        <f>VLOOKUP($K2184,LUTs!$E$2:$H$14,2,)</f>
        <v>North Puget Sound</v>
      </c>
      <c r="N2184" s="108" t="str">
        <f>VLOOKUP($K2184,LUTs!$E$2:$H$14,4,)</f>
        <v>01North Puget Sound</v>
      </c>
      <c r="O2184" s="108">
        <v>3342.3751937984498</v>
      </c>
      <c r="P2184" s="108">
        <v>28911.545426356599</v>
      </c>
      <c r="Q2184" s="108">
        <f>SUMIFS('FW_Salmon_by_Month_2010-2021'!P$2:P$3810,'FW_Salmon_by_Month_2010-2021'!$B$2:$B$3810,'Rec_raw_catch_effort_2010-2021'!$B2184,'FW_Salmon_by_Month_2010-2021'!$H$2:$H$3810,'Rec_raw_catch_effort_2010-2021'!$F2184,'FW_Salmon_by_Month_2010-2021'!$M$2:$M$3810,'Rec_raw_catch_effort_2010-2021'!$K2184)</f>
        <v>3342.39126569378</v>
      </c>
      <c r="R2184" s="109">
        <f>VLOOKUP(B2184,Readme!$A$62:$C$74,2,)*Q2184</f>
        <v>16108.838216039612</v>
      </c>
      <c r="S2184" s="140" t="str">
        <f t="shared" si="177"/>
        <v>N</v>
      </c>
      <c r="T2184" s="154">
        <f t="shared" si="178"/>
        <v>8.6500000000000021</v>
      </c>
      <c r="U2184" s="154">
        <f t="shared" si="179"/>
        <v>4.8195549041132084</v>
      </c>
    </row>
    <row r="2185" spans="1:21" x14ac:dyDescent="0.35">
      <c r="A2185" s="108">
        <v>1626</v>
      </c>
      <c r="B2185" s="108">
        <v>2020</v>
      </c>
      <c r="C2185" s="108" t="s">
        <v>38</v>
      </c>
      <c r="D2185" s="108" t="s">
        <v>143</v>
      </c>
      <c r="E2185" s="108" t="s">
        <v>10</v>
      </c>
      <c r="F2185" s="116">
        <v>816</v>
      </c>
      <c r="G2185" s="108" t="s">
        <v>56</v>
      </c>
      <c r="H2185" s="108" t="str">
        <f t="shared" si="176"/>
        <v>Samish River</v>
      </c>
      <c r="I2185" s="108" t="str">
        <f>IFERROR(VLOOKUP(H2185,LUTs!$A$1:$C$73,2,FALSE),"NA")</f>
        <v>Skagit</v>
      </c>
      <c r="J2185" s="108" t="str">
        <f>IFERROR(VLOOKUP(H2185,LUTs!$A$1:$C$73,3,FALSE),"NA")</f>
        <v>1North Puget Sound</v>
      </c>
      <c r="K2185" s="108" t="s">
        <v>13</v>
      </c>
      <c r="L2185" s="108" t="str">
        <f>VLOOKUP(K2185,LUTs!E$2:G$14,3,)</f>
        <v>01Whatcom</v>
      </c>
      <c r="M2185" s="108" t="str">
        <f>VLOOKUP($K2185,LUTs!$E$2:$H$14,2,)</f>
        <v>North Puget Sound</v>
      </c>
      <c r="N2185" s="108" t="str">
        <f>VLOOKUP($K2185,LUTs!$E$2:$H$14,4,)</f>
        <v>01North Puget Sound</v>
      </c>
      <c r="O2185" s="108">
        <v>1171.0511627906999</v>
      </c>
      <c r="P2185" s="108">
        <v>10129.5925581396</v>
      </c>
      <c r="Q2185" s="108">
        <f>SUMIFS('FW_Salmon_by_Month_2010-2021'!P$2:P$3810,'FW_Salmon_by_Month_2010-2021'!$B$2:$B$3810,'Rec_raw_catch_effort_2010-2021'!$B2185,'FW_Salmon_by_Month_2010-2021'!$H$2:$H$3810,'Rec_raw_catch_effort_2010-2021'!$F2185,'FW_Salmon_by_Month_2010-2021'!$M$2:$M$3810,'Rec_raw_catch_effort_2010-2021'!$K2185)</f>
        <v>1171.0474011752719</v>
      </c>
      <c r="R2185" s="109">
        <f>VLOOKUP(B2185,Readme!$A$62:$C$74,2,)*Q2185</f>
        <v>5643.9272452833093</v>
      </c>
      <c r="S2185" s="140" t="str">
        <f t="shared" si="177"/>
        <v>N</v>
      </c>
      <c r="T2185" s="154">
        <f t="shared" si="178"/>
        <v>8.6500000000000394</v>
      </c>
      <c r="U2185" s="154">
        <f t="shared" si="179"/>
        <v>4.8195549041132084</v>
      </c>
    </row>
    <row r="2186" spans="1:21" x14ac:dyDescent="0.35">
      <c r="A2186" s="108">
        <v>1732</v>
      </c>
      <c r="B2186" s="108">
        <v>2021</v>
      </c>
      <c r="C2186" s="108" t="s">
        <v>38</v>
      </c>
      <c r="D2186" s="108" t="s">
        <v>143</v>
      </c>
      <c r="E2186" s="108" t="s">
        <v>10</v>
      </c>
      <c r="F2186" s="116">
        <v>816</v>
      </c>
      <c r="G2186" s="108" t="s">
        <v>56</v>
      </c>
      <c r="H2186" s="108" t="str">
        <f t="shared" si="176"/>
        <v>Samish River</v>
      </c>
      <c r="I2186" s="108" t="str">
        <f>IFERROR(VLOOKUP(H2186,LUTs!$A$1:$C$73,2,FALSE),"NA")</f>
        <v>Skagit</v>
      </c>
      <c r="J2186" s="108" t="str">
        <f>IFERROR(VLOOKUP(H2186,LUTs!$A$1:$C$73,3,FALSE),"NA")</f>
        <v>1North Puget Sound</v>
      </c>
      <c r="K2186" s="108" t="s">
        <v>17</v>
      </c>
      <c r="L2186" s="108" t="str">
        <f>VLOOKUP(K2186,LUTs!E$2:G$14,3,)</f>
        <v>04Island</v>
      </c>
      <c r="M2186" s="108" t="str">
        <f>VLOOKUP($K2186,LUTs!$E$2:$H$14,2,)</f>
        <v>North Puget Sound</v>
      </c>
      <c r="N2186" s="108" t="str">
        <f>VLOOKUP($K2186,LUTs!$E$2:$H$14,4,)</f>
        <v>01North Puget Sound</v>
      </c>
      <c r="O2186" s="108">
        <v>700.73479318734803</v>
      </c>
      <c r="P2186" s="108">
        <v>2410.5276885644798</v>
      </c>
      <c r="Q2186" s="108">
        <f>SUMIFS('FW_Salmon_by_Month_2010-2021'!P$2:P$3810,'FW_Salmon_by_Month_2010-2021'!$B$2:$B$3810,'Rec_raw_catch_effort_2010-2021'!$B2186,'FW_Salmon_by_Month_2010-2021'!$H$2:$H$3810,'Rec_raw_catch_effort_2010-2021'!$F2186,'FW_Salmon_by_Month_2010-2021'!$M$2:$M$3810,'Rec_raw_catch_effort_2010-2021'!$K2186)</f>
        <v>705.59243458475601</v>
      </c>
      <c r="R2186" s="109">
        <f>VLOOKUP(B2186,Readme!$A$62:$C$74,2,)*Q2186</f>
        <v>2497.1201599999799</v>
      </c>
      <c r="S2186" s="140" t="str">
        <f t="shared" si="177"/>
        <v>N</v>
      </c>
      <c r="T2186" s="154">
        <f t="shared" si="178"/>
        <v>3.4400000000000035</v>
      </c>
      <c r="U2186" s="154">
        <f t="shared" si="179"/>
        <v>3.5390404397824153</v>
      </c>
    </row>
    <row r="2187" spans="1:21" x14ac:dyDescent="0.35">
      <c r="A2187" s="108">
        <v>1736</v>
      </c>
      <c r="B2187" s="108">
        <v>2021</v>
      </c>
      <c r="C2187" s="108" t="s">
        <v>38</v>
      </c>
      <c r="D2187" s="108" t="s">
        <v>143</v>
      </c>
      <c r="E2187" s="108" t="s">
        <v>10</v>
      </c>
      <c r="F2187" s="116">
        <v>816</v>
      </c>
      <c r="G2187" s="108" t="s">
        <v>56</v>
      </c>
      <c r="H2187" s="108" t="str">
        <f t="shared" si="176"/>
        <v>Samish River</v>
      </c>
      <c r="I2187" s="108" t="str">
        <f>IFERROR(VLOOKUP(H2187,LUTs!$A$1:$C$73,2,FALSE),"NA")</f>
        <v>Skagit</v>
      </c>
      <c r="J2187" s="108" t="str">
        <f>IFERROR(VLOOKUP(H2187,LUTs!$A$1:$C$73,3,FALSE),"NA")</f>
        <v>1North Puget Sound</v>
      </c>
      <c r="K2187" s="108" t="s">
        <v>18</v>
      </c>
      <c r="L2187" s="108" t="str">
        <f>VLOOKUP(K2187,LUTs!E$2:G$14,3,)</f>
        <v>06King</v>
      </c>
      <c r="M2187" s="108" t="str">
        <f>VLOOKUP($K2187,LUTs!$E$2:$H$14,2,)</f>
        <v>South Puget Sound</v>
      </c>
      <c r="N2187" s="108" t="str">
        <f>VLOOKUP($K2187,LUTs!$E$2:$H$14,4,)</f>
        <v>02South Puget Sound</v>
      </c>
      <c r="O2187" s="108">
        <v>943.29683698296901</v>
      </c>
      <c r="P2187" s="108">
        <v>3244.9411192214102</v>
      </c>
      <c r="Q2187" s="108">
        <f>SUMIFS('FW_Salmon_by_Month_2010-2021'!P$2:P$3810,'FW_Salmon_by_Month_2010-2021'!$B$2:$B$3810,'Rec_raw_catch_effort_2010-2021'!$B2187,'FW_Salmon_by_Month_2010-2021'!$H$2:$H$3810,'Rec_raw_catch_effort_2010-2021'!$F2187,'FW_Salmon_by_Month_2010-2021'!$M$2:$M$3810,'Rec_raw_catch_effort_2010-2021'!$K2187)</f>
        <v>948.29588048619894</v>
      </c>
      <c r="R2187" s="109">
        <f>VLOOKUP(B2187,Readme!$A$62:$C$74,2,)*Q2187</f>
        <v>3356.0574699197305</v>
      </c>
      <c r="S2187" s="140" t="str">
        <f t="shared" si="177"/>
        <v>N</v>
      </c>
      <c r="T2187" s="154">
        <f t="shared" si="178"/>
        <v>3.4399999999999964</v>
      </c>
      <c r="U2187" s="154">
        <f t="shared" si="179"/>
        <v>3.5390404397824153</v>
      </c>
    </row>
    <row r="2188" spans="1:21" x14ac:dyDescent="0.35">
      <c r="A2188" s="108">
        <v>1785</v>
      </c>
      <c r="B2188" s="108">
        <v>2021</v>
      </c>
      <c r="C2188" s="108" t="s">
        <v>38</v>
      </c>
      <c r="D2188" s="108" t="s">
        <v>143</v>
      </c>
      <c r="E2188" s="108" t="s">
        <v>10</v>
      </c>
      <c r="F2188" s="116">
        <v>816</v>
      </c>
      <c r="G2188" s="108" t="s">
        <v>56</v>
      </c>
      <c r="H2188" s="108" t="str">
        <f t="shared" si="176"/>
        <v>Samish River</v>
      </c>
      <c r="I2188" s="108" t="str">
        <f>IFERROR(VLOOKUP(H2188,LUTs!$A$1:$C$73,2,FALSE),"NA")</f>
        <v>Skagit</v>
      </c>
      <c r="J2188" s="108" t="str">
        <f>IFERROR(VLOOKUP(H2188,LUTs!$A$1:$C$73,3,FALSE),"NA")</f>
        <v>1North Puget Sound</v>
      </c>
      <c r="K2188" s="108" t="s">
        <v>26</v>
      </c>
      <c r="L2188" s="108" t="str">
        <f>VLOOKUP(K2188,LUTs!E$2:G$14,3,)</f>
        <v>20Other</v>
      </c>
      <c r="M2188" s="108" t="str">
        <f>VLOOKUP($K2188,LUTs!$E$2:$H$14,2,)</f>
        <v>Non Puget Sound</v>
      </c>
      <c r="N2188" s="108" t="str">
        <f>VLOOKUP($K2188,LUTs!$E$2:$H$14,4,)</f>
        <v>07Non Puget Sound</v>
      </c>
      <c r="O2188" s="108">
        <v>808.54014598540198</v>
      </c>
      <c r="P2188" s="108">
        <v>2781.3781021897798</v>
      </c>
      <c r="Q2188" s="108">
        <f>SUMIFS('FW_Salmon_by_Month_2010-2021'!P$2:P$3810,'FW_Salmon_by_Month_2010-2021'!$B$2:$B$3810,'Rec_raw_catch_effort_2010-2021'!$B2188,'FW_Salmon_by_Month_2010-2021'!$H$2:$H$3810,'Rec_raw_catch_effort_2010-2021'!$F2188,'FW_Salmon_by_Month_2010-2021'!$M$2:$M$3810,'Rec_raw_catch_effort_2010-2021'!$K2188)</f>
        <v>813.63638404885978</v>
      </c>
      <c r="R2188" s="109">
        <f>VLOOKUP(B2188,Readme!$A$62:$C$74,2,)*Q2188</f>
        <v>2879.4920664272508</v>
      </c>
      <c r="S2188" s="140" t="str">
        <f t="shared" si="177"/>
        <v>N</v>
      </c>
      <c r="T2188" s="154">
        <f t="shared" si="178"/>
        <v>3.4399999999999964</v>
      </c>
      <c r="U2188" s="154">
        <f t="shared" si="179"/>
        <v>3.5390404397824153</v>
      </c>
    </row>
    <row r="2189" spans="1:21" x14ac:dyDescent="0.35">
      <c r="A2189" s="108">
        <v>1737</v>
      </c>
      <c r="B2189" s="108">
        <v>2021</v>
      </c>
      <c r="C2189" s="108" t="s">
        <v>38</v>
      </c>
      <c r="D2189" s="108" t="s">
        <v>143</v>
      </c>
      <c r="E2189" s="108" t="s">
        <v>10</v>
      </c>
      <c r="F2189" s="116">
        <v>816</v>
      </c>
      <c r="G2189" s="108" t="s">
        <v>56</v>
      </c>
      <c r="H2189" s="108" t="str">
        <f t="shared" si="176"/>
        <v>Samish River</v>
      </c>
      <c r="I2189" s="108" t="str">
        <f>IFERROR(VLOOKUP(H2189,LUTs!$A$1:$C$73,2,FALSE),"NA")</f>
        <v>Skagit</v>
      </c>
      <c r="J2189" s="108" t="str">
        <f>IFERROR(VLOOKUP(H2189,LUTs!$A$1:$C$73,3,FALSE),"NA")</f>
        <v>1North Puget Sound</v>
      </c>
      <c r="K2189" s="108" t="s">
        <v>20</v>
      </c>
      <c r="L2189" s="108" t="str">
        <f>VLOOKUP(K2189,LUTs!E$2:G$14,3,)</f>
        <v>07Pierce</v>
      </c>
      <c r="M2189" s="108" t="str">
        <f>VLOOKUP($K2189,LUTs!$E$2:$H$14,2,)</f>
        <v>South Puget Sound</v>
      </c>
      <c r="N2189" s="108" t="str">
        <f>VLOOKUP($K2189,LUTs!$E$2:$H$14,4,)</f>
        <v>02South Puget Sound</v>
      </c>
      <c r="O2189" s="108">
        <v>269.51338199513401</v>
      </c>
      <c r="P2189" s="108">
        <v>927.12603406326105</v>
      </c>
      <c r="Q2189" s="108">
        <f>SUMIFS('FW_Salmon_by_Month_2010-2021'!P$2:P$3810,'FW_Salmon_by_Month_2010-2021'!$B$2:$B$3810,'Rec_raw_catch_effort_2010-2021'!$B2189,'FW_Salmon_by_Month_2010-2021'!$H$2:$H$3810,'Rec_raw_catch_effort_2010-2021'!$F2189,'FW_Salmon_by_Month_2010-2021'!$M$2:$M$3810,'Rec_raw_catch_effort_2010-2021'!$K2189)</f>
        <v>257.687264235675</v>
      </c>
      <c r="R2189" s="109">
        <f>VLOOKUP(B2189,Readme!$A$62:$C$74,2,)*Q2189</f>
        <v>911.96564894695075</v>
      </c>
      <c r="S2189" s="140" t="str">
        <f t="shared" si="177"/>
        <v>N</v>
      </c>
      <c r="T2189" s="154">
        <f t="shared" si="178"/>
        <v>3.4400000000000004</v>
      </c>
      <c r="U2189" s="154">
        <f t="shared" si="179"/>
        <v>3.5390404397824153</v>
      </c>
    </row>
    <row r="2190" spans="1:21" x14ac:dyDescent="0.35">
      <c r="A2190" s="108">
        <v>1730</v>
      </c>
      <c r="B2190" s="108">
        <v>2021</v>
      </c>
      <c r="C2190" s="108" t="s">
        <v>38</v>
      </c>
      <c r="D2190" s="108" t="s">
        <v>143</v>
      </c>
      <c r="E2190" s="108" t="s">
        <v>10</v>
      </c>
      <c r="F2190" s="116">
        <v>816</v>
      </c>
      <c r="G2190" s="108" t="s">
        <v>56</v>
      </c>
      <c r="H2190" s="108" t="str">
        <f t="shared" si="176"/>
        <v>Samish River</v>
      </c>
      <c r="I2190" s="108" t="str">
        <f>IFERROR(VLOOKUP(H2190,LUTs!$A$1:$C$73,2,FALSE),"NA")</f>
        <v>Skagit</v>
      </c>
      <c r="J2190" s="108" t="str">
        <f>IFERROR(VLOOKUP(H2190,LUTs!$A$1:$C$73,3,FALSE),"NA")</f>
        <v>1North Puget Sound</v>
      </c>
      <c r="K2190" s="108" t="s">
        <v>15</v>
      </c>
      <c r="L2190" s="108" t="str">
        <f>VLOOKUP(K2190,LUTs!E$2:G$14,3,)</f>
        <v>02Skagit</v>
      </c>
      <c r="M2190" s="108" t="str">
        <f>VLOOKUP($K2190,LUTs!$E$2:$H$14,2,)</f>
        <v>North Puget Sound</v>
      </c>
      <c r="N2190" s="108" t="str">
        <f>VLOOKUP($K2190,LUTs!$E$2:$H$14,4,)</f>
        <v>01North Puget Sound</v>
      </c>
      <c r="O2190" s="108">
        <v>2290.8637469586401</v>
      </c>
      <c r="P2190" s="108">
        <v>7880.5712895377201</v>
      </c>
      <c r="Q2190" s="108">
        <f>SUMIFS('FW_Salmon_by_Month_2010-2021'!P$2:P$3810,'FW_Salmon_by_Month_2010-2021'!$B$2:$B$3810,'Rec_raw_catch_effort_2010-2021'!$B2190,'FW_Salmon_by_Month_2010-2021'!$H$2:$H$3810,'Rec_raw_catch_effort_2010-2021'!$F2190,'FW_Salmon_by_Month_2010-2021'!$M$2:$M$3810,'Rec_raw_catch_effort_2010-2021'!$K2190)</f>
        <v>2278.3578827615111</v>
      </c>
      <c r="R2190" s="109">
        <f>VLOOKUP(B2190,Readme!$A$62:$C$74,2,)*Q2190</f>
        <v>8063.2006833900305</v>
      </c>
      <c r="S2190" s="140" t="str">
        <f t="shared" si="177"/>
        <v>N</v>
      </c>
      <c r="T2190" s="154">
        <f t="shared" si="178"/>
        <v>3.4399999999999991</v>
      </c>
      <c r="U2190" s="154">
        <f t="shared" si="179"/>
        <v>3.5390404397824153</v>
      </c>
    </row>
    <row r="2191" spans="1:21" x14ac:dyDescent="0.35">
      <c r="A2191" s="108">
        <v>1731</v>
      </c>
      <c r="B2191" s="108">
        <v>2021</v>
      </c>
      <c r="C2191" s="108" t="s">
        <v>38</v>
      </c>
      <c r="D2191" s="108" t="s">
        <v>143</v>
      </c>
      <c r="E2191" s="108" t="s">
        <v>10</v>
      </c>
      <c r="F2191" s="116">
        <v>816</v>
      </c>
      <c r="G2191" s="108" t="s">
        <v>56</v>
      </c>
      <c r="H2191" s="108" t="str">
        <f t="shared" si="176"/>
        <v>Samish River</v>
      </c>
      <c r="I2191" s="108" t="str">
        <f>IFERROR(VLOOKUP(H2191,LUTs!$A$1:$C$73,2,FALSE),"NA")</f>
        <v>Skagit</v>
      </c>
      <c r="J2191" s="108" t="str">
        <f>IFERROR(VLOOKUP(H2191,LUTs!$A$1:$C$73,3,FALSE),"NA")</f>
        <v>1North Puget Sound</v>
      </c>
      <c r="K2191" s="108" t="s">
        <v>16</v>
      </c>
      <c r="L2191" s="108" t="str">
        <f>VLOOKUP(K2191,LUTs!E$2:G$14,3,)</f>
        <v>03Snohomish</v>
      </c>
      <c r="M2191" s="108" t="str">
        <f>VLOOKUP($K2191,LUTs!$E$2:$H$14,2,)</f>
        <v>North Puget Sound</v>
      </c>
      <c r="N2191" s="108" t="str">
        <f>VLOOKUP($K2191,LUTs!$E$2:$H$14,4,)</f>
        <v>01North Puget Sound</v>
      </c>
      <c r="O2191" s="108">
        <v>5242.03527980535</v>
      </c>
      <c r="P2191" s="108">
        <v>18032.6013625304</v>
      </c>
      <c r="Q2191" s="108">
        <f>SUMIFS('FW_Salmon_by_Month_2010-2021'!P$2:P$3810,'FW_Salmon_by_Month_2010-2021'!$B$2:$B$3810,'Rec_raw_catch_effort_2010-2021'!$B2191,'FW_Salmon_by_Month_2010-2021'!$H$2:$H$3810,'Rec_raw_catch_effort_2010-2021'!$F2191,'FW_Salmon_by_Month_2010-2021'!$M$2:$M$3810,'Rec_raw_catch_effort_2010-2021'!$K2191)</f>
        <v>5246.5525118256337</v>
      </c>
      <c r="R2191" s="109">
        <f>VLOOKUP(B2191,Readme!$A$62:$C$74,2,)*Q2191</f>
        <v>18567.761508792926</v>
      </c>
      <c r="S2191" s="140" t="str">
        <f t="shared" si="177"/>
        <v>N</v>
      </c>
      <c r="T2191" s="154">
        <f t="shared" si="178"/>
        <v>3.4399999999999995</v>
      </c>
      <c r="U2191" s="154">
        <f t="shared" si="179"/>
        <v>3.5390404397824153</v>
      </c>
    </row>
    <row r="2192" spans="1:21" x14ac:dyDescent="0.35">
      <c r="A2192" s="108">
        <v>1729</v>
      </c>
      <c r="B2192" s="108">
        <v>2021</v>
      </c>
      <c r="C2192" s="108" t="s">
        <v>38</v>
      </c>
      <c r="D2192" s="108" t="s">
        <v>143</v>
      </c>
      <c r="E2192" s="108" t="s">
        <v>10</v>
      </c>
      <c r="F2192" s="116">
        <v>816</v>
      </c>
      <c r="G2192" s="108" t="s">
        <v>56</v>
      </c>
      <c r="H2192" s="108" t="str">
        <f t="shared" si="176"/>
        <v>Samish River</v>
      </c>
      <c r="I2192" s="108" t="str">
        <f>IFERROR(VLOOKUP(H2192,LUTs!$A$1:$C$73,2,FALSE),"NA")</f>
        <v>Skagit</v>
      </c>
      <c r="J2192" s="108" t="str">
        <f>IFERROR(VLOOKUP(H2192,LUTs!$A$1:$C$73,3,FALSE),"NA")</f>
        <v>1North Puget Sound</v>
      </c>
      <c r="K2192" s="108" t="s">
        <v>13</v>
      </c>
      <c r="L2192" s="108" t="str">
        <f>VLOOKUP(K2192,LUTs!E$2:G$14,3,)</f>
        <v>01Whatcom</v>
      </c>
      <c r="M2192" s="108" t="str">
        <f>VLOOKUP($K2192,LUTs!$E$2:$H$14,2,)</f>
        <v>North Puget Sound</v>
      </c>
      <c r="N2192" s="108" t="str">
        <f>VLOOKUP($K2192,LUTs!$E$2:$H$14,4,)</f>
        <v>01North Puget Sound</v>
      </c>
      <c r="O2192" s="108">
        <v>822.01581508515801</v>
      </c>
      <c r="P2192" s="108">
        <v>2827.73440389294</v>
      </c>
      <c r="Q2192" s="108">
        <f>SUMIFS('FW_Salmon_by_Month_2010-2021'!P$2:P$3810,'FW_Salmon_by_Month_2010-2021'!$B$2:$B$3810,'Rec_raw_catch_effort_2010-2021'!$B2192,'FW_Salmon_by_Month_2010-2021'!$H$2:$H$3810,'Rec_raw_catch_effort_2010-2021'!$F2192,'FW_Salmon_by_Month_2010-2021'!$M$2:$M$3810,'Rec_raw_catch_effort_2010-2021'!$K2192)</f>
        <v>826.87764205736198</v>
      </c>
      <c r="R2192" s="109">
        <f>VLOOKUP(B2192,Readme!$A$62:$C$74,2,)*Q2192</f>
        <v>2926.3534139929329</v>
      </c>
      <c r="S2192" s="140" t="str">
        <f t="shared" si="177"/>
        <v>N</v>
      </c>
      <c r="T2192" s="154">
        <f t="shared" si="178"/>
        <v>3.4399999999999955</v>
      </c>
      <c r="U2192" s="154">
        <f t="shared" si="179"/>
        <v>3.5390404397824153</v>
      </c>
    </row>
    <row r="2193" spans="1:21" x14ac:dyDescent="0.35">
      <c r="A2193" s="108">
        <v>2198</v>
      </c>
      <c r="B2193" s="108">
        <v>2010</v>
      </c>
      <c r="C2193" s="108" t="s">
        <v>38</v>
      </c>
      <c r="D2193" s="108" t="s">
        <v>143</v>
      </c>
      <c r="E2193" s="108" t="s">
        <v>10</v>
      </c>
      <c r="F2193" s="116">
        <v>824</v>
      </c>
      <c r="G2193" s="108" t="s">
        <v>57</v>
      </c>
      <c r="H2193" s="108" t="str">
        <f t="shared" si="176"/>
        <v>Baker River</v>
      </c>
      <c r="I2193" s="108" t="str">
        <f>IFERROR(VLOOKUP(H2193,LUTs!$A$1:$C$73,2,FALSE),"NA")</f>
        <v>Skagit/Whatcom</v>
      </c>
      <c r="J2193" s="108" t="str">
        <f>IFERROR(VLOOKUP(H2193,LUTs!$A$1:$C$73,3,FALSE),"NA")</f>
        <v>1North Puget Sound</v>
      </c>
      <c r="K2193" s="108" t="s">
        <v>20</v>
      </c>
      <c r="L2193" s="108" t="str">
        <f>VLOOKUP(K2193,LUTs!E$2:G$14,3,)</f>
        <v>07Pierce</v>
      </c>
      <c r="M2193" s="108" t="str">
        <f>VLOOKUP($K2193,LUTs!$E$2:$H$14,2,)</f>
        <v>South Puget Sound</v>
      </c>
      <c r="N2193" s="108" t="str">
        <f>VLOOKUP($K2193,LUTs!$E$2:$H$14,4,)</f>
        <v>02South Puget Sound</v>
      </c>
      <c r="O2193" s="108">
        <v>5.9230769230769198</v>
      </c>
      <c r="P2193" s="108">
        <v>51.234615384615402</v>
      </c>
      <c r="Q2193" s="108">
        <f>SUMIFS('FW_Salmon_by_Month_2010-2021'!P$2:P$3810,'FW_Salmon_by_Month_2010-2021'!$B$2:$B$3810,'Rec_raw_catch_effort_2010-2021'!$B2193,'FW_Salmon_by_Month_2010-2021'!$H$2:$H$3810,'Rec_raw_catch_effort_2010-2021'!$F2193,'FW_Salmon_by_Month_2010-2021'!$M$2:$M$3810,'Rec_raw_catch_effort_2010-2021'!$K2193)</f>
        <v>5.9230769230769198</v>
      </c>
      <c r="R2193" s="109">
        <f>VLOOKUP(B2193,Readme!$A$62:$C$74,2,)*Q2193</f>
        <v>28.546594432055141</v>
      </c>
      <c r="S2193" s="140" t="str">
        <f t="shared" si="177"/>
        <v>Y</v>
      </c>
      <c r="T2193" s="154">
        <f t="shared" si="178"/>
        <v>8.6500000000000075</v>
      </c>
      <c r="U2193" s="154">
        <f t="shared" si="179"/>
        <v>4.8195549041132084</v>
      </c>
    </row>
    <row r="2194" spans="1:21" x14ac:dyDescent="0.35">
      <c r="A2194" s="108">
        <v>2196</v>
      </c>
      <c r="B2194" s="108">
        <v>2010</v>
      </c>
      <c r="C2194" s="108" t="s">
        <v>38</v>
      </c>
      <c r="D2194" s="108" t="s">
        <v>143</v>
      </c>
      <c r="E2194" s="108" t="s">
        <v>10</v>
      </c>
      <c r="F2194" s="116">
        <v>824</v>
      </c>
      <c r="G2194" s="108" t="s">
        <v>57</v>
      </c>
      <c r="H2194" s="108" t="str">
        <f t="shared" si="176"/>
        <v>Baker River</v>
      </c>
      <c r="I2194" s="108" t="str">
        <f>IFERROR(VLOOKUP(H2194,LUTs!$A$1:$C$73,2,FALSE),"NA")</f>
        <v>Skagit/Whatcom</v>
      </c>
      <c r="J2194" s="108" t="str">
        <f>IFERROR(VLOOKUP(H2194,LUTs!$A$1:$C$73,3,FALSE),"NA")</f>
        <v>1North Puget Sound</v>
      </c>
      <c r="K2194" s="108" t="s">
        <v>15</v>
      </c>
      <c r="L2194" s="108" t="str">
        <f>VLOOKUP(K2194,LUTs!E$2:G$14,3,)</f>
        <v>02Skagit</v>
      </c>
      <c r="M2194" s="108" t="str">
        <f>VLOOKUP($K2194,LUTs!$E$2:$H$14,2,)</f>
        <v>North Puget Sound</v>
      </c>
      <c r="N2194" s="108" t="str">
        <f>VLOOKUP($K2194,LUTs!$E$2:$H$14,4,)</f>
        <v>01North Puget Sound</v>
      </c>
      <c r="O2194" s="108">
        <v>136.230769230769</v>
      </c>
      <c r="P2194" s="108">
        <v>1178.3961538461499</v>
      </c>
      <c r="Q2194" s="108">
        <f>SUMIFS('FW_Salmon_by_Month_2010-2021'!P$2:P$3810,'FW_Salmon_by_Month_2010-2021'!$B$2:$B$3810,'Rec_raw_catch_effort_2010-2021'!$B2194,'FW_Salmon_by_Month_2010-2021'!$H$2:$H$3810,'Rec_raw_catch_effort_2010-2021'!$F2194,'FW_Salmon_by_Month_2010-2021'!$M$2:$M$3810,'Rec_raw_catch_effort_2010-2021'!$K2194)</f>
        <v>136.230769230769</v>
      </c>
      <c r="R2194" s="109">
        <f>VLOOKUP(B2194,Readme!$A$62:$C$74,2,)*Q2194</f>
        <v>656.57167193726752</v>
      </c>
      <c r="S2194" s="140" t="str">
        <f t="shared" si="177"/>
        <v>Y</v>
      </c>
      <c r="T2194" s="154">
        <f t="shared" si="178"/>
        <v>8.6499999999999861</v>
      </c>
      <c r="U2194" s="154">
        <f t="shared" si="179"/>
        <v>4.8195549041132084</v>
      </c>
    </row>
    <row r="2195" spans="1:21" x14ac:dyDescent="0.35">
      <c r="A2195" s="108">
        <v>2197</v>
      </c>
      <c r="B2195" s="108">
        <v>2010</v>
      </c>
      <c r="C2195" s="108" t="s">
        <v>38</v>
      </c>
      <c r="D2195" s="108" t="s">
        <v>143</v>
      </c>
      <c r="E2195" s="108" t="s">
        <v>10</v>
      </c>
      <c r="F2195" s="116">
        <v>824</v>
      </c>
      <c r="G2195" s="108" t="s">
        <v>57</v>
      </c>
      <c r="H2195" s="108" t="str">
        <f t="shared" si="176"/>
        <v>Baker River</v>
      </c>
      <c r="I2195" s="108" t="str">
        <f>IFERROR(VLOOKUP(H2195,LUTs!$A$1:$C$73,2,FALSE),"NA")</f>
        <v>Skagit/Whatcom</v>
      </c>
      <c r="J2195" s="108" t="str">
        <f>IFERROR(VLOOKUP(H2195,LUTs!$A$1:$C$73,3,FALSE),"NA")</f>
        <v>1North Puget Sound</v>
      </c>
      <c r="K2195" s="108" t="s">
        <v>16</v>
      </c>
      <c r="L2195" s="108" t="str">
        <f>VLOOKUP(K2195,LUTs!E$2:G$14,3,)</f>
        <v>03Snohomish</v>
      </c>
      <c r="M2195" s="108" t="str">
        <f>VLOOKUP($K2195,LUTs!$E$2:$H$14,2,)</f>
        <v>North Puget Sound</v>
      </c>
      <c r="N2195" s="108" t="str">
        <f>VLOOKUP($K2195,LUTs!$E$2:$H$14,4,)</f>
        <v>01North Puget Sound</v>
      </c>
      <c r="O2195" s="108">
        <v>5.9230769230769198</v>
      </c>
      <c r="P2195" s="108">
        <v>51.234615384615402</v>
      </c>
      <c r="Q2195" s="108">
        <f>SUMIFS('FW_Salmon_by_Month_2010-2021'!P$2:P$3810,'FW_Salmon_by_Month_2010-2021'!$B$2:$B$3810,'Rec_raw_catch_effort_2010-2021'!$B2195,'FW_Salmon_by_Month_2010-2021'!$H$2:$H$3810,'Rec_raw_catch_effort_2010-2021'!$F2195,'FW_Salmon_by_Month_2010-2021'!$M$2:$M$3810,'Rec_raw_catch_effort_2010-2021'!$K2195)</f>
        <v>5.9230769230769198</v>
      </c>
      <c r="R2195" s="109">
        <f>VLOOKUP(B2195,Readme!$A$62:$C$74,2,)*Q2195</f>
        <v>28.546594432055141</v>
      </c>
      <c r="S2195" s="140" t="str">
        <f t="shared" si="177"/>
        <v>Y</v>
      </c>
      <c r="T2195" s="154">
        <f t="shared" si="178"/>
        <v>8.6500000000000075</v>
      </c>
      <c r="U2195" s="154">
        <f t="shared" si="179"/>
        <v>4.8195549041132084</v>
      </c>
    </row>
    <row r="2196" spans="1:21" x14ac:dyDescent="0.35">
      <c r="A2196" s="108">
        <v>2195</v>
      </c>
      <c r="B2196" s="108">
        <v>2010</v>
      </c>
      <c r="C2196" s="108" t="s">
        <v>38</v>
      </c>
      <c r="D2196" s="108" t="s">
        <v>143</v>
      </c>
      <c r="E2196" s="108" t="s">
        <v>10</v>
      </c>
      <c r="F2196" s="116">
        <v>824</v>
      </c>
      <c r="G2196" s="108" t="s">
        <v>57</v>
      </c>
      <c r="H2196" s="108" t="str">
        <f t="shared" si="176"/>
        <v>Baker River</v>
      </c>
      <c r="I2196" s="108" t="str">
        <f>IFERROR(VLOOKUP(H2196,LUTs!$A$1:$C$73,2,FALSE),"NA")</f>
        <v>Skagit/Whatcom</v>
      </c>
      <c r="J2196" s="108" t="str">
        <f>IFERROR(VLOOKUP(H2196,LUTs!$A$1:$C$73,3,FALSE),"NA")</f>
        <v>1North Puget Sound</v>
      </c>
      <c r="K2196" s="108" t="s">
        <v>13</v>
      </c>
      <c r="L2196" s="108" t="str">
        <f>VLOOKUP(K2196,LUTs!E$2:G$14,3,)</f>
        <v>01Whatcom</v>
      </c>
      <c r="M2196" s="108" t="str">
        <f>VLOOKUP($K2196,LUTs!$E$2:$H$14,2,)</f>
        <v>North Puget Sound</v>
      </c>
      <c r="N2196" s="108" t="str">
        <f>VLOOKUP($K2196,LUTs!$E$2:$H$14,4,)</f>
        <v>01North Puget Sound</v>
      </c>
      <c r="O2196" s="108">
        <v>5.9230769230769198</v>
      </c>
      <c r="P2196" s="108">
        <v>51.234615384615402</v>
      </c>
      <c r="Q2196" s="108">
        <f>SUMIFS('FW_Salmon_by_Month_2010-2021'!P$2:P$3810,'FW_Salmon_by_Month_2010-2021'!$B$2:$B$3810,'Rec_raw_catch_effort_2010-2021'!$B2196,'FW_Salmon_by_Month_2010-2021'!$H$2:$H$3810,'Rec_raw_catch_effort_2010-2021'!$F2196,'FW_Salmon_by_Month_2010-2021'!$M$2:$M$3810,'Rec_raw_catch_effort_2010-2021'!$K2196)</f>
        <v>5.9230769230769198</v>
      </c>
      <c r="R2196" s="109">
        <f>VLOOKUP(B2196,Readme!$A$62:$C$74,2,)*Q2196</f>
        <v>28.546594432055141</v>
      </c>
      <c r="S2196" s="140" t="str">
        <f t="shared" si="177"/>
        <v>Y</v>
      </c>
      <c r="T2196" s="154">
        <f t="shared" si="178"/>
        <v>8.6500000000000075</v>
      </c>
      <c r="U2196" s="154">
        <f t="shared" si="179"/>
        <v>4.8195549041132084</v>
      </c>
    </row>
    <row r="2197" spans="1:21" x14ac:dyDescent="0.35">
      <c r="A2197" s="108">
        <v>2270</v>
      </c>
      <c r="B2197" s="108">
        <v>2011</v>
      </c>
      <c r="C2197" s="108" t="s">
        <v>38</v>
      </c>
      <c r="D2197" s="108" t="s">
        <v>143</v>
      </c>
      <c r="E2197" s="108" t="s">
        <v>10</v>
      </c>
      <c r="F2197" s="116">
        <v>824</v>
      </c>
      <c r="G2197" s="108" t="s">
        <v>57</v>
      </c>
      <c r="H2197" s="108" t="str">
        <f t="shared" si="176"/>
        <v>Baker River</v>
      </c>
      <c r="I2197" s="108" t="str">
        <f>IFERROR(VLOOKUP(H2197,LUTs!$A$1:$C$73,2,FALSE),"NA")</f>
        <v>Skagit/Whatcom</v>
      </c>
      <c r="J2197" s="108" t="str">
        <f>IFERROR(VLOOKUP(H2197,LUTs!$A$1:$C$73,3,FALSE),"NA")</f>
        <v>1North Puget Sound</v>
      </c>
      <c r="K2197" s="108" t="s">
        <v>15</v>
      </c>
      <c r="L2197" s="108" t="str">
        <f>VLOOKUP(K2197,LUTs!E$2:G$14,3,)</f>
        <v>02Skagit</v>
      </c>
      <c r="M2197" s="108" t="str">
        <f>VLOOKUP($K2197,LUTs!$E$2:$H$14,2,)</f>
        <v>North Puget Sound</v>
      </c>
      <c r="N2197" s="108" t="str">
        <f>VLOOKUP($K2197,LUTs!$E$2:$H$14,4,)</f>
        <v>01North Puget Sound</v>
      </c>
      <c r="O2197" s="108">
        <v>7</v>
      </c>
      <c r="P2197" s="108">
        <v>24.08</v>
      </c>
      <c r="Q2197" s="108">
        <f>SUMIFS('FW_Salmon_by_Month_2010-2021'!P$2:P$3810,'FW_Salmon_by_Month_2010-2021'!$B$2:$B$3810,'Rec_raw_catch_effort_2010-2021'!$B2197,'FW_Salmon_by_Month_2010-2021'!$H$2:$H$3810,'Rec_raw_catch_effort_2010-2021'!$F2197,'FW_Salmon_by_Month_2010-2021'!$M$2:$M$3810,'Rec_raw_catch_effort_2010-2021'!$K2197)</f>
        <v>7</v>
      </c>
      <c r="R2197" s="109">
        <f>VLOOKUP(B2197,Readme!$A$62:$C$74,2,)*Q2197</f>
        <v>24.773283078476908</v>
      </c>
      <c r="S2197" s="140" t="str">
        <f t="shared" si="177"/>
        <v>Y</v>
      </c>
      <c r="T2197" s="154">
        <f t="shared" si="178"/>
        <v>3.44</v>
      </c>
      <c r="U2197" s="154">
        <f t="shared" si="179"/>
        <v>3.5390404397824153</v>
      </c>
    </row>
    <row r="2198" spans="1:21" x14ac:dyDescent="0.35">
      <c r="A2198" s="108">
        <v>1543</v>
      </c>
      <c r="B2198" s="108">
        <v>2010</v>
      </c>
      <c r="C2198" s="108" t="s">
        <v>38</v>
      </c>
      <c r="D2198" s="108" t="s">
        <v>143</v>
      </c>
      <c r="E2198" s="108" t="s">
        <v>10</v>
      </c>
      <c r="F2198" s="116">
        <v>825</v>
      </c>
      <c r="G2198" s="108" t="s">
        <v>58</v>
      </c>
      <c r="H2198" s="108" t="str">
        <f t="shared" si="176"/>
        <v>Baker Lake</v>
      </c>
      <c r="I2198" s="108" t="str">
        <f>IFERROR(VLOOKUP(H2198,LUTs!$A$1:$C$73,2,FALSE),"NA")</f>
        <v>Whatcom</v>
      </c>
      <c r="J2198" s="108" t="str">
        <f>IFERROR(VLOOKUP(H2198,LUTs!$A$1:$C$73,3,FALSE),"NA")</f>
        <v>1North Puget Sound</v>
      </c>
      <c r="K2198" s="108" t="s">
        <v>17</v>
      </c>
      <c r="L2198" s="108" t="str">
        <f>VLOOKUP(K2198,LUTs!E$2:G$14,3,)</f>
        <v>04Island</v>
      </c>
      <c r="M2198" s="108" t="str">
        <f>VLOOKUP($K2198,LUTs!$E$2:$H$14,2,)</f>
        <v>North Puget Sound</v>
      </c>
      <c r="N2198" s="108" t="str">
        <f>VLOOKUP($K2198,LUTs!$E$2:$H$14,4,)</f>
        <v>01North Puget Sound</v>
      </c>
      <c r="O2198" s="108">
        <v>177.75757575757601</v>
      </c>
      <c r="P2198" s="108">
        <v>1537.60303030303</v>
      </c>
      <c r="Q2198" s="108">
        <f>SUMIFS('FW_Salmon_by_Month_2010-2021'!P$2:P$3810,'FW_Salmon_by_Month_2010-2021'!$B$2:$B$3810,'Rec_raw_catch_effort_2010-2021'!$B2198,'FW_Salmon_by_Month_2010-2021'!$H$2:$H$3810,'Rec_raw_catch_effort_2010-2021'!$F2198,'FW_Salmon_by_Month_2010-2021'!$M$2:$M$3810,'Rec_raw_catch_effort_2010-2021'!$K2198)</f>
        <v>180.70647321428569</v>
      </c>
      <c r="R2198" s="109">
        <f>VLOOKUP(B2198,Readme!$A$62:$C$74,2,)*Q2198</f>
        <v>870.92476918491275</v>
      </c>
      <c r="S2198" s="140" t="str">
        <f t="shared" si="177"/>
        <v>Y</v>
      </c>
      <c r="T2198" s="154">
        <f t="shared" si="178"/>
        <v>8.6499999999999861</v>
      </c>
      <c r="U2198" s="154">
        <f t="shared" si="179"/>
        <v>4.8195549041132084</v>
      </c>
    </row>
    <row r="2199" spans="1:21" x14ac:dyDescent="0.35">
      <c r="A2199" s="108">
        <v>1544</v>
      </c>
      <c r="B2199" s="108">
        <v>2010</v>
      </c>
      <c r="C2199" s="108" t="s">
        <v>38</v>
      </c>
      <c r="D2199" s="108" t="s">
        <v>143</v>
      </c>
      <c r="E2199" s="108" t="s">
        <v>10</v>
      </c>
      <c r="F2199" s="116">
        <v>825</v>
      </c>
      <c r="G2199" s="108" t="s">
        <v>58</v>
      </c>
      <c r="H2199" s="108" t="str">
        <f t="shared" si="176"/>
        <v>Baker Lake</v>
      </c>
      <c r="I2199" s="108" t="str">
        <f>IFERROR(VLOOKUP(H2199,LUTs!$A$1:$C$73,2,FALSE),"NA")</f>
        <v>Whatcom</v>
      </c>
      <c r="J2199" s="108" t="str">
        <f>IFERROR(VLOOKUP(H2199,LUTs!$A$1:$C$73,3,FALSE),"NA")</f>
        <v>1North Puget Sound</v>
      </c>
      <c r="K2199" s="108" t="s">
        <v>18</v>
      </c>
      <c r="L2199" s="108" t="str">
        <f>VLOOKUP(K2199,LUTs!E$2:G$14,3,)</f>
        <v>06King</v>
      </c>
      <c r="M2199" s="108" t="str">
        <f>VLOOKUP($K2199,LUTs!$E$2:$H$14,2,)</f>
        <v>South Puget Sound</v>
      </c>
      <c r="N2199" s="108" t="str">
        <f>VLOOKUP($K2199,LUTs!$E$2:$H$14,4,)</f>
        <v>02South Puget Sound</v>
      </c>
      <c r="O2199" s="108">
        <v>432.543434343434</v>
      </c>
      <c r="P2199" s="108">
        <v>3741.5007070707002</v>
      </c>
      <c r="Q2199" s="108">
        <f>SUMIFS('FW_Salmon_by_Month_2010-2021'!P$2:P$3810,'FW_Salmon_by_Month_2010-2021'!$B$2:$B$3810,'Rec_raw_catch_effort_2010-2021'!$B2199,'FW_Salmon_by_Month_2010-2021'!$H$2:$H$3810,'Rec_raw_catch_effort_2010-2021'!$F2199,'FW_Salmon_by_Month_2010-2021'!$M$2:$M$3810,'Rec_raw_catch_effort_2010-2021'!$K2199)</f>
        <v>439.609375</v>
      </c>
      <c r="R2199" s="109">
        <f>VLOOKUP(B2199,Readme!$A$62:$C$74,2,)*Q2199</f>
        <v>2118.7215191753926</v>
      </c>
      <c r="S2199" s="140" t="str">
        <f t="shared" si="177"/>
        <v>Y</v>
      </c>
      <c r="T2199" s="154">
        <f t="shared" si="178"/>
        <v>8.6499999999999915</v>
      </c>
      <c r="U2199" s="154">
        <f t="shared" si="179"/>
        <v>4.8195549041132084</v>
      </c>
    </row>
    <row r="2200" spans="1:21" x14ac:dyDescent="0.35">
      <c r="A2200" s="108">
        <v>1546</v>
      </c>
      <c r="B2200" s="108">
        <v>2010</v>
      </c>
      <c r="C2200" s="108" t="s">
        <v>38</v>
      </c>
      <c r="D2200" s="108" t="s">
        <v>143</v>
      </c>
      <c r="E2200" s="108" t="s">
        <v>10</v>
      </c>
      <c r="F2200" s="116">
        <v>825</v>
      </c>
      <c r="G2200" s="108" t="s">
        <v>58</v>
      </c>
      <c r="H2200" s="108" t="str">
        <f t="shared" si="176"/>
        <v>Baker Lake</v>
      </c>
      <c r="I2200" s="108" t="str">
        <f>IFERROR(VLOOKUP(H2200,LUTs!$A$1:$C$73,2,FALSE),"NA")</f>
        <v>Whatcom</v>
      </c>
      <c r="J2200" s="108" t="str">
        <f>IFERROR(VLOOKUP(H2200,LUTs!$A$1:$C$73,3,FALSE),"NA")</f>
        <v>1North Puget Sound</v>
      </c>
      <c r="K2200" s="108" t="s">
        <v>26</v>
      </c>
      <c r="L2200" s="108" t="str">
        <f>VLOOKUP(K2200,LUTs!E$2:G$14,3,)</f>
        <v>20Other</v>
      </c>
      <c r="M2200" s="108" t="str">
        <f>VLOOKUP($K2200,LUTs!$E$2:$H$14,2,)</f>
        <v>Non Puget Sound</v>
      </c>
      <c r="N2200" s="108" t="str">
        <f>VLOOKUP($K2200,LUTs!$E$2:$H$14,4,)</f>
        <v>07Non Puget Sound</v>
      </c>
      <c r="O2200" s="108">
        <v>82.953535353535401</v>
      </c>
      <c r="P2200" s="108">
        <v>717.54808080808095</v>
      </c>
      <c r="Q2200" s="108">
        <f>SUMIFS('FW_Salmon_by_Month_2010-2021'!P$2:P$3810,'FW_Salmon_by_Month_2010-2021'!$B$2:$B$3810,'Rec_raw_catch_effort_2010-2021'!$B2200,'FW_Salmon_by_Month_2010-2021'!$H$2:$H$3810,'Rec_raw_catch_effort_2010-2021'!$F2200,'FW_Salmon_by_Month_2010-2021'!$M$2:$M$3810,'Rec_raw_catch_effort_2010-2021'!$K2200)</f>
        <v>84.329985119047592</v>
      </c>
      <c r="R2200" s="109">
        <f>VLOOKUP(B2200,Readme!$A$62:$C$74,2,)*Q2200</f>
        <v>406.43299334429969</v>
      </c>
      <c r="S2200" s="140" t="str">
        <f t="shared" si="177"/>
        <v>Y</v>
      </c>
      <c r="T2200" s="154">
        <f t="shared" si="178"/>
        <v>8.6499999999999968</v>
      </c>
      <c r="U2200" s="154">
        <f t="shared" si="179"/>
        <v>4.8195549041132084</v>
      </c>
    </row>
    <row r="2201" spans="1:21" x14ac:dyDescent="0.35">
      <c r="A2201" s="108">
        <v>1545</v>
      </c>
      <c r="B2201" s="108">
        <v>2010</v>
      </c>
      <c r="C2201" s="108" t="s">
        <v>38</v>
      </c>
      <c r="D2201" s="108" t="s">
        <v>143</v>
      </c>
      <c r="E2201" s="108" t="s">
        <v>10</v>
      </c>
      <c r="F2201" s="116">
        <v>825</v>
      </c>
      <c r="G2201" s="108" t="s">
        <v>58</v>
      </c>
      <c r="H2201" s="108" t="str">
        <f t="shared" si="176"/>
        <v>Baker Lake</v>
      </c>
      <c r="I2201" s="108" t="str">
        <f>IFERROR(VLOOKUP(H2201,LUTs!$A$1:$C$73,2,FALSE),"NA")</f>
        <v>Whatcom</v>
      </c>
      <c r="J2201" s="108" t="str">
        <f>IFERROR(VLOOKUP(H2201,LUTs!$A$1:$C$73,3,FALSE),"NA")</f>
        <v>1North Puget Sound</v>
      </c>
      <c r="K2201" s="108" t="s">
        <v>20</v>
      </c>
      <c r="L2201" s="108" t="str">
        <f>VLOOKUP(K2201,LUTs!E$2:G$14,3,)</f>
        <v>07Pierce</v>
      </c>
      <c r="M2201" s="108" t="str">
        <f>VLOOKUP($K2201,LUTs!$E$2:$H$14,2,)</f>
        <v>South Puget Sound</v>
      </c>
      <c r="N2201" s="108" t="str">
        <f>VLOOKUP($K2201,LUTs!$E$2:$H$14,4,)</f>
        <v>02South Puget Sound</v>
      </c>
      <c r="O2201" s="108">
        <v>29.626262626262601</v>
      </c>
      <c r="P2201" s="108">
        <v>256.26717171717098</v>
      </c>
      <c r="Q2201" s="108">
        <f>SUMIFS('FW_Salmon_by_Month_2010-2021'!P$2:P$3810,'FW_Salmon_by_Month_2010-2021'!$B$2:$B$3810,'Rec_raw_catch_effort_2010-2021'!$B2201,'FW_Salmon_by_Month_2010-2021'!$H$2:$H$3810,'Rec_raw_catch_effort_2010-2021'!$F2201,'FW_Salmon_by_Month_2010-2021'!$M$2:$M$3810,'Rec_raw_catch_effort_2010-2021'!$K2201)</f>
        <v>30.118303571428601</v>
      </c>
      <c r="R2201" s="109">
        <f>VLOOKUP(B2201,Readme!$A$62:$C$74,2,)*Q2201</f>
        <v>145.15681768124907</v>
      </c>
      <c r="S2201" s="140" t="str">
        <f t="shared" si="177"/>
        <v>Y</v>
      </c>
      <c r="T2201" s="154">
        <f t="shared" si="178"/>
        <v>8.6499999999999826</v>
      </c>
      <c r="U2201" s="154">
        <f t="shared" si="179"/>
        <v>4.8195549041132084</v>
      </c>
    </row>
    <row r="2202" spans="1:21" x14ac:dyDescent="0.35">
      <c r="A2202" s="108">
        <v>1541</v>
      </c>
      <c r="B2202" s="108">
        <v>2010</v>
      </c>
      <c r="C2202" s="108" t="s">
        <v>38</v>
      </c>
      <c r="D2202" s="108" t="s">
        <v>143</v>
      </c>
      <c r="E2202" s="108" t="s">
        <v>10</v>
      </c>
      <c r="F2202" s="116">
        <v>825</v>
      </c>
      <c r="G2202" s="108" t="s">
        <v>58</v>
      </c>
      <c r="H2202" s="108" t="str">
        <f t="shared" si="176"/>
        <v>Baker Lake</v>
      </c>
      <c r="I2202" s="108" t="str">
        <f>IFERROR(VLOOKUP(H2202,LUTs!$A$1:$C$73,2,FALSE),"NA")</f>
        <v>Whatcom</v>
      </c>
      <c r="J2202" s="108" t="str">
        <f>IFERROR(VLOOKUP(H2202,LUTs!$A$1:$C$73,3,FALSE),"NA")</f>
        <v>1North Puget Sound</v>
      </c>
      <c r="K2202" s="108" t="s">
        <v>15</v>
      </c>
      <c r="L2202" s="108" t="str">
        <f>VLOOKUP(K2202,LUTs!E$2:G$14,3,)</f>
        <v>02Skagit</v>
      </c>
      <c r="M2202" s="108" t="str">
        <f>VLOOKUP($K2202,LUTs!$E$2:$H$14,2,)</f>
        <v>North Puget Sound</v>
      </c>
      <c r="N2202" s="108" t="str">
        <f>VLOOKUP($K2202,LUTs!$E$2:$H$14,4,)</f>
        <v>01North Puget Sound</v>
      </c>
      <c r="O2202" s="108">
        <v>1007.29292929293</v>
      </c>
      <c r="P2202" s="108">
        <v>8713.0838383838509</v>
      </c>
      <c r="Q2202" s="108">
        <f>SUMIFS('FW_Salmon_by_Month_2010-2021'!P$2:P$3810,'FW_Salmon_by_Month_2010-2021'!$B$2:$B$3810,'Rec_raw_catch_effort_2010-2021'!$B2202,'FW_Salmon_by_Month_2010-2021'!$H$2:$H$3810,'Rec_raw_catch_effort_2010-2021'!$F2202,'FW_Salmon_by_Month_2010-2021'!$M$2:$M$3810,'Rec_raw_catch_effort_2010-2021'!$K2202)</f>
        <v>987.72842261904793</v>
      </c>
      <c r="R2202" s="109">
        <f>VLOOKUP(B2202,Readme!$A$62:$C$74,2,)*Q2202</f>
        <v>4760.4113631656364</v>
      </c>
      <c r="S2202" s="140" t="str">
        <f t="shared" si="177"/>
        <v>Y</v>
      </c>
      <c r="T2202" s="154">
        <f t="shared" si="178"/>
        <v>8.6500000000000057</v>
      </c>
      <c r="U2202" s="154">
        <f t="shared" si="179"/>
        <v>4.8195549041132084</v>
      </c>
    </row>
    <row r="2203" spans="1:21" x14ac:dyDescent="0.35">
      <c r="A2203" s="108">
        <v>1542</v>
      </c>
      <c r="B2203" s="108">
        <v>2010</v>
      </c>
      <c r="C2203" s="108" t="s">
        <v>38</v>
      </c>
      <c r="D2203" s="108" t="s">
        <v>143</v>
      </c>
      <c r="E2203" s="108" t="s">
        <v>10</v>
      </c>
      <c r="F2203" s="116">
        <v>825</v>
      </c>
      <c r="G2203" s="108" t="s">
        <v>58</v>
      </c>
      <c r="H2203" s="108" t="str">
        <f t="shared" si="176"/>
        <v>Baker Lake</v>
      </c>
      <c r="I2203" s="108" t="str">
        <f>IFERROR(VLOOKUP(H2203,LUTs!$A$1:$C$73,2,FALSE),"NA")</f>
        <v>Whatcom</v>
      </c>
      <c r="J2203" s="108" t="str">
        <f>IFERROR(VLOOKUP(H2203,LUTs!$A$1:$C$73,3,FALSE),"NA")</f>
        <v>1North Puget Sound</v>
      </c>
      <c r="K2203" s="108" t="s">
        <v>16</v>
      </c>
      <c r="L2203" s="108" t="str">
        <f>VLOOKUP(K2203,LUTs!E$2:G$14,3,)</f>
        <v>03Snohomish</v>
      </c>
      <c r="M2203" s="108" t="str">
        <f>VLOOKUP($K2203,LUTs!$E$2:$H$14,2,)</f>
        <v>North Puget Sound</v>
      </c>
      <c r="N2203" s="108" t="str">
        <f>VLOOKUP($K2203,LUTs!$E$2:$H$14,4,)</f>
        <v>01North Puget Sound</v>
      </c>
      <c r="O2203" s="108">
        <v>930.26464646464694</v>
      </c>
      <c r="P2203" s="108">
        <v>8046.7891919191998</v>
      </c>
      <c r="Q2203" s="108">
        <f>SUMIFS('FW_Salmon_by_Month_2010-2021'!P$2:P$3810,'FW_Salmon_by_Month_2010-2021'!$B$2:$B$3810,'Rec_raw_catch_effort_2010-2021'!$B2203,'FW_Salmon_by_Month_2010-2021'!$H$2:$H$3810,'Rec_raw_catch_effort_2010-2021'!$F2203,'FW_Salmon_by_Month_2010-2021'!$M$2:$M$3810,'Rec_raw_catch_effort_2010-2021'!$K2203)</f>
        <v>933.41852678571399</v>
      </c>
      <c r="R2203" s="109">
        <f>VLOOKUP(B2203,Readme!$A$62:$C$74,2,)*Q2203</f>
        <v>4498.6618383602145</v>
      </c>
      <c r="S2203" s="140" t="str">
        <f t="shared" si="177"/>
        <v>Y</v>
      </c>
      <c r="T2203" s="154">
        <f t="shared" si="178"/>
        <v>8.6500000000000039</v>
      </c>
      <c r="U2203" s="154">
        <f t="shared" si="179"/>
        <v>4.8195549041132084</v>
      </c>
    </row>
    <row r="2204" spans="1:21" x14ac:dyDescent="0.35">
      <c r="A2204" s="108">
        <v>1540</v>
      </c>
      <c r="B2204" s="108">
        <v>2010</v>
      </c>
      <c r="C2204" s="108" t="s">
        <v>38</v>
      </c>
      <c r="D2204" s="108" t="s">
        <v>143</v>
      </c>
      <c r="E2204" s="108" t="s">
        <v>10</v>
      </c>
      <c r="F2204" s="116">
        <v>825</v>
      </c>
      <c r="G2204" s="108" t="s">
        <v>58</v>
      </c>
      <c r="H2204" s="108" t="str">
        <f t="shared" si="176"/>
        <v>Baker Lake</v>
      </c>
      <c r="I2204" s="108" t="str">
        <f>IFERROR(VLOOKUP(H2204,LUTs!$A$1:$C$73,2,FALSE),"NA")</f>
        <v>Whatcom</v>
      </c>
      <c r="J2204" s="108" t="str">
        <f>IFERROR(VLOOKUP(H2204,LUTs!$A$1:$C$73,3,FALSE),"NA")</f>
        <v>1North Puget Sound</v>
      </c>
      <c r="K2204" s="108" t="s">
        <v>13</v>
      </c>
      <c r="L2204" s="108" t="str">
        <f>VLOOKUP(K2204,LUTs!E$2:G$14,3,)</f>
        <v>01Whatcom</v>
      </c>
      <c r="M2204" s="108" t="str">
        <f>VLOOKUP($K2204,LUTs!$E$2:$H$14,2,)</f>
        <v>North Puget Sound</v>
      </c>
      <c r="N2204" s="108" t="str">
        <f>VLOOKUP($K2204,LUTs!$E$2:$H$14,4,)</f>
        <v>01North Puget Sound</v>
      </c>
      <c r="O2204" s="108">
        <v>272.56161616161597</v>
      </c>
      <c r="P2204" s="108">
        <v>2357.6579797979798</v>
      </c>
      <c r="Q2204" s="108">
        <f>SUMIFS('FW_Salmon_by_Month_2010-2021'!P$2:P$3810,'FW_Salmon_by_Month_2010-2021'!$B$2:$B$3810,'Rec_raw_catch_effort_2010-2021'!$B2204,'FW_Salmon_by_Month_2010-2021'!$H$2:$H$3810,'Rec_raw_catch_effort_2010-2021'!$F2204,'FW_Salmon_by_Month_2010-2021'!$M$2:$M$3810,'Rec_raw_catch_effort_2010-2021'!$K2204)</f>
        <v>277.08891369047603</v>
      </c>
      <c r="R2204" s="109">
        <f>VLOOKUP(B2204,Readme!$A$62:$C$74,2,)*Q2204</f>
        <v>1335.4452328523353</v>
      </c>
      <c r="S2204" s="140" t="str">
        <f t="shared" si="177"/>
        <v>Y</v>
      </c>
      <c r="T2204" s="154">
        <f t="shared" si="178"/>
        <v>8.6500000000000057</v>
      </c>
      <c r="U2204" s="154">
        <f t="shared" si="179"/>
        <v>4.8195549041132084</v>
      </c>
    </row>
    <row r="2205" spans="1:21" x14ac:dyDescent="0.35">
      <c r="A2205" s="108">
        <v>1702</v>
      </c>
      <c r="B2205" s="108">
        <v>2011</v>
      </c>
      <c r="C2205" s="108" t="s">
        <v>38</v>
      </c>
      <c r="D2205" s="108" t="s">
        <v>143</v>
      </c>
      <c r="E2205" s="108" t="s">
        <v>10</v>
      </c>
      <c r="F2205" s="116">
        <v>825</v>
      </c>
      <c r="G2205" s="108" t="s">
        <v>58</v>
      </c>
      <c r="H2205" s="108" t="str">
        <f t="shared" si="176"/>
        <v>Baker Lake</v>
      </c>
      <c r="I2205" s="108" t="str">
        <f>IFERROR(VLOOKUP(H2205,LUTs!$A$1:$C$73,2,FALSE),"NA")</f>
        <v>Whatcom</v>
      </c>
      <c r="J2205" s="108" t="str">
        <f>IFERROR(VLOOKUP(H2205,LUTs!$A$1:$C$73,3,FALSE),"NA")</f>
        <v>1North Puget Sound</v>
      </c>
      <c r="K2205" s="108" t="s">
        <v>24</v>
      </c>
      <c r="L2205" s="108" t="str">
        <f>VLOOKUP(K2205,LUTs!E$2:G$14,3,)</f>
        <v>11Clallam</v>
      </c>
      <c r="M2205" s="108" t="str">
        <f>VLOOKUP($K2205,LUTs!$E$2:$H$14,2,)</f>
        <v>Strait of Juan de Fuca</v>
      </c>
      <c r="N2205" s="108" t="str">
        <f>VLOOKUP($K2205,LUTs!$E$2:$H$14,4,)</f>
        <v>03Strait of Juan de Fuca</v>
      </c>
      <c r="O2205" s="108">
        <v>14.5699300699301</v>
      </c>
      <c r="P2205" s="108">
        <v>50.120559440559497</v>
      </c>
      <c r="Q2205" s="108">
        <f>SUMIFS('FW_Salmon_by_Month_2010-2021'!P$2:P$3810,'FW_Salmon_by_Month_2010-2021'!$B$2:$B$3810,'Rec_raw_catch_effort_2010-2021'!$B2205,'FW_Salmon_by_Month_2010-2021'!$H$2:$H$3810,'Rec_raw_catch_effort_2010-2021'!$F2205,'FW_Salmon_by_Month_2010-2021'!$M$2:$M$3810,'Rec_raw_catch_effort_2010-2021'!$K2205)</f>
        <v>14.7246376811594</v>
      </c>
      <c r="R2205" s="109">
        <f>VLOOKUP(B2205,Readme!$A$62:$C$74,2,)*Q2205</f>
        <v>52.111088214767086</v>
      </c>
      <c r="S2205" s="140" t="str">
        <f t="shared" si="177"/>
        <v>Y</v>
      </c>
      <c r="T2205" s="154">
        <f t="shared" si="178"/>
        <v>3.4399999999999968</v>
      </c>
      <c r="U2205" s="154">
        <f t="shared" si="179"/>
        <v>3.5390404397824153</v>
      </c>
    </row>
    <row r="2206" spans="1:21" x14ac:dyDescent="0.35">
      <c r="A2206" s="108">
        <v>1697</v>
      </c>
      <c r="B2206" s="108">
        <v>2011</v>
      </c>
      <c r="C2206" s="108" t="s">
        <v>38</v>
      </c>
      <c r="D2206" s="108" t="s">
        <v>143</v>
      </c>
      <c r="E2206" s="108" t="s">
        <v>10</v>
      </c>
      <c r="F2206" s="116">
        <v>825</v>
      </c>
      <c r="G2206" s="108" t="s">
        <v>58</v>
      </c>
      <c r="H2206" s="108" t="str">
        <f t="shared" si="176"/>
        <v>Baker Lake</v>
      </c>
      <c r="I2206" s="108" t="str">
        <f>IFERROR(VLOOKUP(H2206,LUTs!$A$1:$C$73,2,FALSE),"NA")</f>
        <v>Whatcom</v>
      </c>
      <c r="J2206" s="108" t="str">
        <f>IFERROR(VLOOKUP(H2206,LUTs!$A$1:$C$73,3,FALSE),"NA")</f>
        <v>1North Puget Sound</v>
      </c>
      <c r="K2206" s="108" t="s">
        <v>17</v>
      </c>
      <c r="L2206" s="108" t="str">
        <f>VLOOKUP(K2206,LUTs!E$2:G$14,3,)</f>
        <v>04Island</v>
      </c>
      <c r="M2206" s="108" t="str">
        <f>VLOOKUP($K2206,LUTs!$E$2:$H$14,2,)</f>
        <v>North Puget Sound</v>
      </c>
      <c r="N2206" s="108" t="str">
        <f>VLOOKUP($K2206,LUTs!$E$2:$H$14,4,)</f>
        <v>01North Puget Sound</v>
      </c>
      <c r="O2206" s="108">
        <v>225.83391608391599</v>
      </c>
      <c r="P2206" s="108">
        <v>776.86867132867098</v>
      </c>
      <c r="Q2206" s="108">
        <f>SUMIFS('FW_Salmon_by_Month_2010-2021'!P$2:P$3810,'FW_Salmon_by_Month_2010-2021'!$B$2:$B$3810,'Rec_raw_catch_effort_2010-2021'!$B2206,'FW_Salmon_by_Month_2010-2021'!$H$2:$H$3810,'Rec_raw_catch_effort_2010-2021'!$F2206,'FW_Salmon_by_Month_2010-2021'!$M$2:$M$3810,'Rec_raw_catch_effort_2010-2021'!$K2206)</f>
        <v>228.23351449275401</v>
      </c>
      <c r="R2206" s="109">
        <f>VLOOKUP(B2206,Readme!$A$62:$C$74,2,)*Q2206</f>
        <v>807.72763750352237</v>
      </c>
      <c r="S2206" s="140" t="str">
        <f t="shared" si="177"/>
        <v>Y</v>
      </c>
      <c r="T2206" s="154">
        <f t="shared" si="178"/>
        <v>3.44</v>
      </c>
      <c r="U2206" s="154">
        <f t="shared" si="179"/>
        <v>3.5390404397824153</v>
      </c>
    </row>
    <row r="2207" spans="1:21" x14ac:dyDescent="0.35">
      <c r="A2207" s="108">
        <v>1699</v>
      </c>
      <c r="B2207" s="108">
        <v>2011</v>
      </c>
      <c r="C2207" s="108" t="s">
        <v>38</v>
      </c>
      <c r="D2207" s="108" t="s">
        <v>143</v>
      </c>
      <c r="E2207" s="108" t="s">
        <v>10</v>
      </c>
      <c r="F2207" s="116">
        <v>825</v>
      </c>
      <c r="G2207" s="108" t="s">
        <v>58</v>
      </c>
      <c r="H2207" s="108" t="str">
        <f t="shared" si="176"/>
        <v>Baker Lake</v>
      </c>
      <c r="I2207" s="108" t="str">
        <f>IFERROR(VLOOKUP(H2207,LUTs!$A$1:$C$73,2,FALSE),"NA")</f>
        <v>Whatcom</v>
      </c>
      <c r="J2207" s="108" t="str">
        <f>IFERROR(VLOOKUP(H2207,LUTs!$A$1:$C$73,3,FALSE),"NA")</f>
        <v>1North Puget Sound</v>
      </c>
      <c r="K2207" s="108" t="s">
        <v>18</v>
      </c>
      <c r="L2207" s="108" t="str">
        <f>VLOOKUP(K2207,LUTs!E$2:G$14,3,)</f>
        <v>06King</v>
      </c>
      <c r="M2207" s="108" t="str">
        <f>VLOOKUP($K2207,LUTs!$E$2:$H$14,2,)</f>
        <v>South Puget Sound</v>
      </c>
      <c r="N2207" s="108" t="str">
        <f>VLOOKUP($K2207,LUTs!$E$2:$H$14,4,)</f>
        <v>02South Puget Sound</v>
      </c>
      <c r="O2207" s="108">
        <v>1143.7395104895099</v>
      </c>
      <c r="P2207" s="108">
        <v>3934.4639160839101</v>
      </c>
      <c r="Q2207" s="108">
        <f>SUMIFS('FW_Salmon_by_Month_2010-2021'!P$2:P$3810,'FW_Salmon_by_Month_2010-2021'!$B$2:$B$3810,'Rec_raw_catch_effort_2010-2021'!$B2207,'FW_Salmon_by_Month_2010-2021'!$H$2:$H$3810,'Rec_raw_catch_effort_2010-2021'!$F2207,'FW_Salmon_by_Month_2010-2021'!$M$2:$M$3810,'Rec_raw_catch_effort_2010-2021'!$K2207)</f>
        <v>1155.8989130434779</v>
      </c>
      <c r="R2207" s="109">
        <f>VLOOKUP(B2207,Readme!$A$62:$C$74,2,)*Q2207</f>
        <v>4090.7729975614061</v>
      </c>
      <c r="S2207" s="140" t="str">
        <f t="shared" si="177"/>
        <v>Y</v>
      </c>
      <c r="T2207" s="154">
        <f t="shared" si="178"/>
        <v>3.4399999999999964</v>
      </c>
      <c r="U2207" s="154">
        <f t="shared" si="179"/>
        <v>3.5390404397824153</v>
      </c>
    </row>
    <row r="2208" spans="1:21" x14ac:dyDescent="0.35">
      <c r="A2208" s="108">
        <v>1703</v>
      </c>
      <c r="B2208" s="108">
        <v>2011</v>
      </c>
      <c r="C2208" s="108" t="s">
        <v>38</v>
      </c>
      <c r="D2208" s="108" t="s">
        <v>143</v>
      </c>
      <c r="E2208" s="108" t="s">
        <v>10</v>
      </c>
      <c r="F2208" s="116">
        <v>825</v>
      </c>
      <c r="G2208" s="108" t="s">
        <v>58</v>
      </c>
      <c r="H2208" s="108" t="str">
        <f t="shared" si="176"/>
        <v>Baker Lake</v>
      </c>
      <c r="I2208" s="108" t="str">
        <f>IFERROR(VLOOKUP(H2208,LUTs!$A$1:$C$73,2,FALSE),"NA")</f>
        <v>Whatcom</v>
      </c>
      <c r="J2208" s="108" t="str">
        <f>IFERROR(VLOOKUP(H2208,LUTs!$A$1:$C$73,3,FALSE),"NA")</f>
        <v>1North Puget Sound</v>
      </c>
      <c r="K2208" s="108" t="s">
        <v>26</v>
      </c>
      <c r="L2208" s="108" t="str">
        <f>VLOOKUP(K2208,LUTs!E$2:G$14,3,)</f>
        <v>20Other</v>
      </c>
      <c r="M2208" s="108" t="str">
        <f>VLOOKUP($K2208,LUTs!$E$2:$H$14,2,)</f>
        <v>Non Puget Sound</v>
      </c>
      <c r="N2208" s="108" t="str">
        <f>VLOOKUP($K2208,LUTs!$E$2:$H$14,4,)</f>
        <v>07Non Puget Sound</v>
      </c>
      <c r="O2208" s="108">
        <v>699.35664335664296</v>
      </c>
      <c r="P2208" s="108">
        <v>2405.7868531468498</v>
      </c>
      <c r="Q2208" s="108">
        <f>SUMIFS('FW_Salmon_by_Month_2010-2021'!P$2:P$3810,'FW_Salmon_by_Month_2010-2021'!$B$2:$B$3810,'Rec_raw_catch_effort_2010-2021'!$B2208,'FW_Salmon_by_Month_2010-2021'!$H$2:$H$3810,'Rec_raw_catch_effort_2010-2021'!$F2208,'FW_Salmon_by_Month_2010-2021'!$M$2:$M$3810,'Rec_raw_catch_effort_2010-2021'!$K2208)</f>
        <v>633.14880785413777</v>
      </c>
      <c r="R2208" s="109">
        <f>VLOOKUP(B2208,Readme!$A$62:$C$74,2,)*Q2208</f>
        <v>2240.7392353958198</v>
      </c>
      <c r="S2208" s="140" t="str">
        <f t="shared" si="177"/>
        <v>Y</v>
      </c>
      <c r="T2208" s="154">
        <f t="shared" si="178"/>
        <v>3.4399999999999973</v>
      </c>
      <c r="U2208" s="154">
        <f t="shared" si="179"/>
        <v>3.5390404397824153</v>
      </c>
    </row>
    <row r="2209" spans="1:21" x14ac:dyDescent="0.35">
      <c r="A2209" s="108">
        <v>1700</v>
      </c>
      <c r="B2209" s="108">
        <v>2011</v>
      </c>
      <c r="C2209" s="108" t="s">
        <v>38</v>
      </c>
      <c r="D2209" s="108" t="s">
        <v>143</v>
      </c>
      <c r="E2209" s="108" t="s">
        <v>10</v>
      </c>
      <c r="F2209" s="116">
        <v>825</v>
      </c>
      <c r="G2209" s="108" t="s">
        <v>58</v>
      </c>
      <c r="H2209" s="108" t="str">
        <f t="shared" si="176"/>
        <v>Baker Lake</v>
      </c>
      <c r="I2209" s="108" t="str">
        <f>IFERROR(VLOOKUP(H2209,LUTs!$A$1:$C$73,2,FALSE),"NA")</f>
        <v>Whatcom</v>
      </c>
      <c r="J2209" s="108" t="str">
        <f>IFERROR(VLOOKUP(H2209,LUTs!$A$1:$C$73,3,FALSE),"NA")</f>
        <v>1North Puget Sound</v>
      </c>
      <c r="K2209" s="108" t="s">
        <v>20</v>
      </c>
      <c r="L2209" s="108" t="str">
        <f>VLOOKUP(K2209,LUTs!E$2:G$14,3,)</f>
        <v>07Pierce</v>
      </c>
      <c r="M2209" s="108" t="str">
        <f>VLOOKUP($K2209,LUTs!$E$2:$H$14,2,)</f>
        <v>South Puget Sound</v>
      </c>
      <c r="N2209" s="108" t="str">
        <f>VLOOKUP($K2209,LUTs!$E$2:$H$14,4,)</f>
        <v>02South Puget Sound</v>
      </c>
      <c r="O2209" s="108">
        <v>131.12937062937101</v>
      </c>
      <c r="P2209" s="108">
        <v>451.08503496503602</v>
      </c>
      <c r="Q2209" s="108">
        <f>SUMIFS('FW_Salmon_by_Month_2010-2021'!P$2:P$3810,'FW_Salmon_by_Month_2010-2021'!$B$2:$B$3810,'Rec_raw_catch_effort_2010-2021'!$B2209,'FW_Salmon_by_Month_2010-2021'!$H$2:$H$3810,'Rec_raw_catch_effort_2010-2021'!$F2209,'FW_Salmon_by_Month_2010-2021'!$M$2:$M$3810,'Rec_raw_catch_effort_2010-2021'!$K2209)</f>
        <v>132.52336956521742</v>
      </c>
      <c r="R2209" s="109">
        <f>VLOOKUP(B2209,Readme!$A$62:$C$74,2,)*Q2209</f>
        <v>469.00556410753461</v>
      </c>
      <c r="S2209" s="140" t="str">
        <f t="shared" si="177"/>
        <v>Y</v>
      </c>
      <c r="T2209" s="154">
        <f t="shared" si="178"/>
        <v>3.4399999999999982</v>
      </c>
      <c r="U2209" s="154">
        <f t="shared" si="179"/>
        <v>3.5390404397824153</v>
      </c>
    </row>
    <row r="2210" spans="1:21" x14ac:dyDescent="0.35">
      <c r="A2210" s="108">
        <v>1698</v>
      </c>
      <c r="B2210" s="108">
        <v>2011</v>
      </c>
      <c r="C2210" s="108" t="s">
        <v>38</v>
      </c>
      <c r="D2210" s="108" t="s">
        <v>143</v>
      </c>
      <c r="E2210" s="108" t="s">
        <v>10</v>
      </c>
      <c r="F2210" s="116">
        <v>825</v>
      </c>
      <c r="G2210" s="108" t="s">
        <v>58</v>
      </c>
      <c r="H2210" s="108" t="str">
        <f t="shared" si="176"/>
        <v>Baker Lake</v>
      </c>
      <c r="I2210" s="108" t="str">
        <f>IFERROR(VLOOKUP(H2210,LUTs!$A$1:$C$73,2,FALSE),"NA")</f>
        <v>Whatcom</v>
      </c>
      <c r="J2210" s="108" t="str">
        <f>IFERROR(VLOOKUP(H2210,LUTs!$A$1:$C$73,3,FALSE),"NA")</f>
        <v>1North Puget Sound</v>
      </c>
      <c r="K2210" s="108" t="s">
        <v>30</v>
      </c>
      <c r="L2210" s="108" t="str">
        <f>VLOOKUP(K2210,LUTs!E$2:G$14,3,)</f>
        <v>05San Juan</v>
      </c>
      <c r="M2210" s="108" t="str">
        <f>VLOOKUP($K2210,LUTs!$E$2:$H$14,2,)</f>
        <v>North Puget Sound</v>
      </c>
      <c r="N2210" s="108" t="str">
        <f>VLOOKUP($K2210,LUTs!$E$2:$H$14,4,)</f>
        <v>01North Puget Sound</v>
      </c>
      <c r="O2210" s="108">
        <v>36.424825174825202</v>
      </c>
      <c r="P2210" s="108">
        <v>125.301398601399</v>
      </c>
      <c r="Q2210" s="108">
        <f>SUMIFS('FW_Salmon_by_Month_2010-2021'!P$2:P$3810,'FW_Salmon_by_Month_2010-2021'!$B$2:$B$3810,'Rec_raw_catch_effort_2010-2021'!$B2210,'FW_Salmon_by_Month_2010-2021'!$H$2:$H$3810,'Rec_raw_catch_effort_2010-2021'!$F2210,'FW_Salmon_by_Month_2010-2021'!$M$2:$M$3810,'Rec_raw_catch_effort_2010-2021'!$K2210)</f>
        <v>36.8125</v>
      </c>
      <c r="R2210" s="109">
        <f>VLOOKUP(B2210,Readme!$A$62:$C$74,2,)*Q2210</f>
        <v>130.28092618949017</v>
      </c>
      <c r="S2210" s="140" t="str">
        <f t="shared" si="177"/>
        <v>Y</v>
      </c>
      <c r="T2210" s="154">
        <f t="shared" si="178"/>
        <v>3.4400000000000084</v>
      </c>
      <c r="U2210" s="154">
        <f t="shared" si="179"/>
        <v>3.5390404397824158</v>
      </c>
    </row>
    <row r="2211" spans="1:21" x14ac:dyDescent="0.35">
      <c r="A2211" s="108">
        <v>1564</v>
      </c>
      <c r="B2211" s="108">
        <v>2011</v>
      </c>
      <c r="C2211" s="108" t="s">
        <v>38</v>
      </c>
      <c r="D2211" s="108" t="s">
        <v>143</v>
      </c>
      <c r="E2211" s="108" t="s">
        <v>10</v>
      </c>
      <c r="F2211" s="116">
        <v>825</v>
      </c>
      <c r="G2211" s="108" t="s">
        <v>58</v>
      </c>
      <c r="H2211" s="108" t="str">
        <f t="shared" si="176"/>
        <v>Baker Lake</v>
      </c>
      <c r="I2211" s="108" t="str">
        <f>IFERROR(VLOOKUP(H2211,LUTs!$A$1:$C$73,2,FALSE),"NA")</f>
        <v>Whatcom</v>
      </c>
      <c r="J2211" s="108" t="str">
        <f>IFERROR(VLOOKUP(H2211,LUTs!$A$1:$C$73,3,FALSE),"NA")</f>
        <v>1North Puget Sound</v>
      </c>
      <c r="K2211" s="108" t="s">
        <v>15</v>
      </c>
      <c r="L2211" s="108" t="str">
        <f>VLOOKUP(K2211,LUTs!E$2:G$14,3,)</f>
        <v>02Skagit</v>
      </c>
      <c r="M2211" s="108" t="str">
        <f>VLOOKUP($K2211,LUTs!$E$2:$H$14,2,)</f>
        <v>North Puget Sound</v>
      </c>
      <c r="N2211" s="108" t="str">
        <f>VLOOKUP($K2211,LUTs!$E$2:$H$14,4,)</f>
        <v>01North Puget Sound</v>
      </c>
      <c r="O2211" s="108">
        <v>1988.79545454546</v>
      </c>
      <c r="P2211" s="108">
        <v>6841.45636363638</v>
      </c>
      <c r="Q2211" s="108">
        <f>SUMIFS('FW_Salmon_by_Month_2010-2021'!P$2:P$3810,'FW_Salmon_by_Month_2010-2021'!$B$2:$B$3810,'Rec_raw_catch_effort_2010-2021'!$B2211,'FW_Salmon_by_Month_2010-2021'!$H$2:$H$3810,'Rec_raw_catch_effort_2010-2021'!$F2211,'FW_Salmon_by_Month_2010-2021'!$M$2:$M$3810,'Rec_raw_catch_effort_2010-2021'!$K2211)</f>
        <v>2009.822761804581</v>
      </c>
      <c r="R2211" s="109">
        <f>VLOOKUP(B2211,Readme!$A$62:$C$74,2,)*Q2211</f>
        <v>7112.8440308215932</v>
      </c>
      <c r="S2211" s="140" t="str">
        <f t="shared" si="177"/>
        <v>Y</v>
      </c>
      <c r="T2211" s="154">
        <f t="shared" si="178"/>
        <v>3.4399999999999991</v>
      </c>
      <c r="U2211" s="154">
        <f t="shared" si="179"/>
        <v>3.5390404397824153</v>
      </c>
    </row>
    <row r="2212" spans="1:21" x14ac:dyDescent="0.35">
      <c r="A2212" s="108">
        <v>1565</v>
      </c>
      <c r="B2212" s="108">
        <v>2011</v>
      </c>
      <c r="C2212" s="108" t="s">
        <v>38</v>
      </c>
      <c r="D2212" s="108" t="s">
        <v>143</v>
      </c>
      <c r="E2212" s="108" t="s">
        <v>10</v>
      </c>
      <c r="F2212" s="116">
        <v>825</v>
      </c>
      <c r="G2212" s="108" t="s">
        <v>58</v>
      </c>
      <c r="H2212" s="108" t="str">
        <f t="shared" si="176"/>
        <v>Baker Lake</v>
      </c>
      <c r="I2212" s="108" t="str">
        <f>IFERROR(VLOOKUP(H2212,LUTs!$A$1:$C$73,2,FALSE),"NA")</f>
        <v>Whatcom</v>
      </c>
      <c r="J2212" s="108" t="str">
        <f>IFERROR(VLOOKUP(H2212,LUTs!$A$1:$C$73,3,FALSE),"NA")</f>
        <v>1North Puget Sound</v>
      </c>
      <c r="K2212" s="108" t="s">
        <v>16</v>
      </c>
      <c r="L2212" s="108" t="str">
        <f>VLOOKUP(K2212,LUTs!E$2:G$14,3,)</f>
        <v>03Snohomish</v>
      </c>
      <c r="M2212" s="108" t="str">
        <f>VLOOKUP($K2212,LUTs!$E$2:$H$14,2,)</f>
        <v>North Puget Sound</v>
      </c>
      <c r="N2212" s="108" t="str">
        <f>VLOOKUP($K2212,LUTs!$E$2:$H$14,4,)</f>
        <v>01North Puget Sound</v>
      </c>
      <c r="O2212" s="108">
        <v>2287.4790209790199</v>
      </c>
      <c r="P2212" s="108">
        <v>7868.9278321678303</v>
      </c>
      <c r="Q2212" s="108">
        <f>SUMIFS('FW_Salmon_by_Month_2010-2021'!P$2:P$3810,'FW_Salmon_by_Month_2010-2021'!$B$2:$B$3810,'Rec_raw_catch_effort_2010-2021'!$B2212,'FW_Salmon_by_Month_2010-2021'!$H$2:$H$3810,'Rec_raw_catch_effort_2010-2021'!$F2212,'FW_Salmon_by_Month_2010-2021'!$M$2:$M$3810,'Rec_raw_catch_effort_2010-2021'!$K2212)</f>
        <v>2296.9759992987388</v>
      </c>
      <c r="R2212" s="109">
        <f>VLOOKUP(B2212,Readme!$A$62:$C$74,2,)*Q2212</f>
        <v>8129.0909507278611</v>
      </c>
      <c r="S2212" s="140" t="str">
        <f t="shared" si="177"/>
        <v>Y</v>
      </c>
      <c r="T2212" s="154">
        <f t="shared" si="178"/>
        <v>3.4400000000000008</v>
      </c>
      <c r="U2212" s="154">
        <f t="shared" si="179"/>
        <v>3.5390404397824153</v>
      </c>
    </row>
    <row r="2213" spans="1:21" x14ac:dyDescent="0.35">
      <c r="A2213" s="108">
        <v>1701</v>
      </c>
      <c r="B2213" s="108">
        <v>2011</v>
      </c>
      <c r="C2213" s="108" t="s">
        <v>38</v>
      </c>
      <c r="D2213" s="108" t="s">
        <v>143</v>
      </c>
      <c r="E2213" s="108" t="s">
        <v>10</v>
      </c>
      <c r="F2213" s="116">
        <v>825</v>
      </c>
      <c r="G2213" s="108" t="s">
        <v>58</v>
      </c>
      <c r="H2213" s="108" t="str">
        <f t="shared" si="176"/>
        <v>Baker Lake</v>
      </c>
      <c r="I2213" s="108" t="str">
        <f>IFERROR(VLOOKUP(H2213,LUTs!$A$1:$C$73,2,FALSE),"NA")</f>
        <v>Whatcom</v>
      </c>
      <c r="J2213" s="108" t="str">
        <f>IFERROR(VLOOKUP(H2213,LUTs!$A$1:$C$73,3,FALSE),"NA")</f>
        <v>1North Puget Sound</v>
      </c>
      <c r="K2213" s="108" t="s">
        <v>21</v>
      </c>
      <c r="L2213" s="108" t="str">
        <f>VLOOKUP(K2213,LUTs!E$2:G$14,3,)</f>
        <v>08Thurston</v>
      </c>
      <c r="M2213" s="108" t="str">
        <f>VLOOKUP($K2213,LUTs!$E$2:$H$14,2,)</f>
        <v>South Puget Sound</v>
      </c>
      <c r="N2213" s="108" t="str">
        <f>VLOOKUP($K2213,LUTs!$E$2:$H$14,4,)</f>
        <v>02South Puget Sound</v>
      </c>
      <c r="O2213" s="108">
        <v>80.134615384615401</v>
      </c>
      <c r="P2213" s="108">
        <v>275.66307692307703</v>
      </c>
      <c r="Q2213" s="108">
        <f>SUMIFS('FW_Salmon_by_Month_2010-2021'!P$2:P$3810,'FW_Salmon_by_Month_2010-2021'!$B$2:$B$3810,'Rec_raw_catch_effort_2010-2021'!$B2213,'FW_Salmon_by_Month_2010-2021'!$H$2:$H$3810,'Rec_raw_catch_effort_2010-2021'!$F2213,'FW_Salmon_by_Month_2010-2021'!$M$2:$M$3810,'Rec_raw_catch_effort_2010-2021'!$K2213)</f>
        <v>80.985688405797092</v>
      </c>
      <c r="R2213" s="109">
        <f>VLOOKUP(B2213,Readme!$A$62:$C$74,2,)*Q2213</f>
        <v>286.6116263117338</v>
      </c>
      <c r="S2213" s="140" t="str">
        <f t="shared" si="177"/>
        <v>Y</v>
      </c>
      <c r="T2213" s="154">
        <f t="shared" si="178"/>
        <v>3.4400000000000004</v>
      </c>
      <c r="U2213" s="154">
        <f t="shared" si="179"/>
        <v>3.5390404397824153</v>
      </c>
    </row>
    <row r="2214" spans="1:21" x14ac:dyDescent="0.35">
      <c r="A2214" s="108">
        <v>1563</v>
      </c>
      <c r="B2214" s="108">
        <v>2011</v>
      </c>
      <c r="C2214" s="108" t="s">
        <v>38</v>
      </c>
      <c r="D2214" s="108" t="s">
        <v>143</v>
      </c>
      <c r="E2214" s="108" t="s">
        <v>10</v>
      </c>
      <c r="F2214" s="116">
        <v>825</v>
      </c>
      <c r="G2214" s="108" t="s">
        <v>58</v>
      </c>
      <c r="H2214" s="108" t="str">
        <f t="shared" si="176"/>
        <v>Baker Lake</v>
      </c>
      <c r="I2214" s="108" t="str">
        <f>IFERROR(VLOOKUP(H2214,LUTs!$A$1:$C$73,2,FALSE),"NA")</f>
        <v>Whatcom</v>
      </c>
      <c r="J2214" s="108" t="str">
        <f>IFERROR(VLOOKUP(H2214,LUTs!$A$1:$C$73,3,FALSE),"NA")</f>
        <v>1North Puget Sound</v>
      </c>
      <c r="K2214" s="108" t="s">
        <v>13</v>
      </c>
      <c r="L2214" s="108" t="str">
        <f>VLOOKUP(K2214,LUTs!E$2:G$14,3,)</f>
        <v>01Whatcom</v>
      </c>
      <c r="M2214" s="108" t="str">
        <f>VLOOKUP($K2214,LUTs!$E$2:$H$14,2,)</f>
        <v>North Puget Sound</v>
      </c>
      <c r="N2214" s="108" t="str">
        <f>VLOOKUP($K2214,LUTs!$E$2:$H$14,4,)</f>
        <v>01North Puget Sound</v>
      </c>
      <c r="O2214" s="108">
        <v>1726.53671328671</v>
      </c>
      <c r="P2214" s="108">
        <v>5939.28629370628</v>
      </c>
      <c r="Q2214" s="108">
        <f>SUMIFS('FW_Salmon_by_Month_2010-2021'!P$2:P$3810,'FW_Salmon_by_Month_2010-2021'!$B$2:$B$3810,'Rec_raw_catch_effort_2010-2021'!$B2214,'FW_Salmon_by_Month_2010-2021'!$H$2:$H$3810,'Rec_raw_catch_effort_2010-2021'!$F2214,'FW_Salmon_by_Month_2010-2021'!$M$2:$M$3810,'Rec_raw_catch_effort_2010-2021'!$K2214)</f>
        <v>1744.8738078541378</v>
      </c>
      <c r="R2214" s="109">
        <f>VLOOKUP(B2214,Readme!$A$62:$C$74,2,)*Q2214</f>
        <v>6175.1789683129255</v>
      </c>
      <c r="S2214" s="140" t="str">
        <f t="shared" si="177"/>
        <v>Y</v>
      </c>
      <c r="T2214" s="154">
        <f t="shared" si="178"/>
        <v>3.4399999999999986</v>
      </c>
      <c r="U2214" s="154">
        <f t="shared" si="179"/>
        <v>3.5390404397824153</v>
      </c>
    </row>
    <row r="2215" spans="1:21" x14ac:dyDescent="0.35">
      <c r="A2215" s="108">
        <v>1871</v>
      </c>
      <c r="B2215" s="108">
        <v>2012</v>
      </c>
      <c r="C2215" s="108" t="s">
        <v>38</v>
      </c>
      <c r="D2215" s="108" t="s">
        <v>143</v>
      </c>
      <c r="E2215" s="108" t="s">
        <v>10</v>
      </c>
      <c r="F2215" s="116">
        <v>825</v>
      </c>
      <c r="G2215" s="108" t="s">
        <v>58</v>
      </c>
      <c r="H2215" s="108" t="str">
        <f t="shared" si="176"/>
        <v>Baker Lake</v>
      </c>
      <c r="I2215" s="108" t="str">
        <f>IFERROR(VLOOKUP(H2215,LUTs!$A$1:$C$73,2,FALSE),"NA")</f>
        <v>Whatcom</v>
      </c>
      <c r="J2215" s="108" t="str">
        <f>IFERROR(VLOOKUP(H2215,LUTs!$A$1:$C$73,3,FALSE),"NA")</f>
        <v>1North Puget Sound</v>
      </c>
      <c r="K2215" s="108" t="s">
        <v>24</v>
      </c>
      <c r="L2215" s="108" t="str">
        <f>VLOOKUP(K2215,LUTs!E$2:G$14,3,)</f>
        <v>11Clallam</v>
      </c>
      <c r="M2215" s="108" t="str">
        <f>VLOOKUP($K2215,LUTs!$E$2:$H$14,2,)</f>
        <v>Strait of Juan de Fuca</v>
      </c>
      <c r="N2215" s="108" t="str">
        <f>VLOOKUP($K2215,LUTs!$E$2:$H$14,4,)</f>
        <v>03Strait of Juan de Fuca</v>
      </c>
      <c r="O2215" s="108">
        <v>14.556868537666199</v>
      </c>
      <c r="P2215" s="108">
        <v>125.91691285081301</v>
      </c>
      <c r="Q2215" s="108">
        <f>SUMIFS('FW_Salmon_by_Month_2010-2021'!P$2:P$3810,'FW_Salmon_by_Month_2010-2021'!$B$2:$B$3810,'Rec_raw_catch_effort_2010-2021'!$B2215,'FW_Salmon_by_Month_2010-2021'!$H$2:$H$3810,'Rec_raw_catch_effort_2010-2021'!$F2215,'FW_Salmon_by_Month_2010-2021'!$M$2:$M$3810,'Rec_raw_catch_effort_2010-2021'!$K2215)</f>
        <v>15.11509460805236</v>
      </c>
      <c r="R2215" s="109">
        <f>VLOOKUP(B2215,Readme!$A$62:$C$74,2,)*Q2215</f>
        <v>72.848028344373859</v>
      </c>
      <c r="S2215" s="140" t="str">
        <f t="shared" si="177"/>
        <v>Y</v>
      </c>
      <c r="T2215" s="154">
        <f t="shared" si="178"/>
        <v>8.650000000000027</v>
      </c>
      <c r="U2215" s="154">
        <f t="shared" si="179"/>
        <v>4.8195549041132084</v>
      </c>
    </row>
    <row r="2216" spans="1:21" x14ac:dyDescent="0.35">
      <c r="A2216" s="108">
        <v>1865</v>
      </c>
      <c r="B2216" s="108">
        <v>2012</v>
      </c>
      <c r="C2216" s="108" t="s">
        <v>38</v>
      </c>
      <c r="D2216" s="108" t="s">
        <v>143</v>
      </c>
      <c r="E2216" s="108" t="s">
        <v>10</v>
      </c>
      <c r="F2216" s="116">
        <v>825</v>
      </c>
      <c r="G2216" s="108" t="s">
        <v>58</v>
      </c>
      <c r="H2216" s="108" t="str">
        <f t="shared" si="176"/>
        <v>Baker Lake</v>
      </c>
      <c r="I2216" s="108" t="str">
        <f>IFERROR(VLOOKUP(H2216,LUTs!$A$1:$C$73,2,FALSE),"NA")</f>
        <v>Whatcom</v>
      </c>
      <c r="J2216" s="108" t="str">
        <f>IFERROR(VLOOKUP(H2216,LUTs!$A$1:$C$73,3,FALSE),"NA")</f>
        <v>1North Puget Sound</v>
      </c>
      <c r="K2216" s="108" t="s">
        <v>17</v>
      </c>
      <c r="L2216" s="108" t="str">
        <f>VLOOKUP(K2216,LUTs!E$2:G$14,3,)</f>
        <v>04Island</v>
      </c>
      <c r="M2216" s="108" t="str">
        <f>VLOOKUP($K2216,LUTs!$E$2:$H$14,2,)</f>
        <v>North Puget Sound</v>
      </c>
      <c r="N2216" s="108" t="str">
        <f>VLOOKUP($K2216,LUTs!$E$2:$H$14,4,)</f>
        <v>01North Puget Sound</v>
      </c>
      <c r="O2216" s="108">
        <v>189.23929098965999</v>
      </c>
      <c r="P2216" s="108">
        <v>1636.9198670605599</v>
      </c>
      <c r="Q2216" s="108">
        <f>SUMIFS('FW_Salmon_by_Month_2010-2021'!P$2:P$3810,'FW_Salmon_by_Month_2010-2021'!$B$2:$B$3810,'Rec_raw_catch_effort_2010-2021'!$B2216,'FW_Salmon_by_Month_2010-2021'!$H$2:$H$3810,'Rec_raw_catch_effort_2010-2021'!$F2216,'FW_Salmon_by_Month_2010-2021'!$M$2:$M$3810,'Rec_raw_catch_effort_2010-2021'!$K2216)</f>
        <v>196.55177797245986</v>
      </c>
      <c r="R2216" s="109">
        <f>VLOOKUP(B2216,Readme!$A$62:$C$74,2,)*Q2216</f>
        <v>947.29208543933942</v>
      </c>
      <c r="S2216" s="140" t="str">
        <f t="shared" si="177"/>
        <v>Y</v>
      </c>
      <c r="T2216" s="154">
        <f t="shared" si="178"/>
        <v>8.6500000000000057</v>
      </c>
      <c r="U2216" s="154">
        <f t="shared" si="179"/>
        <v>4.8195549041132084</v>
      </c>
    </row>
    <row r="2217" spans="1:21" x14ac:dyDescent="0.35">
      <c r="A2217" s="108">
        <v>1867</v>
      </c>
      <c r="B2217" s="108">
        <v>2012</v>
      </c>
      <c r="C2217" s="108" t="s">
        <v>38</v>
      </c>
      <c r="D2217" s="108" t="s">
        <v>143</v>
      </c>
      <c r="E2217" s="108" t="s">
        <v>10</v>
      </c>
      <c r="F2217" s="116">
        <v>825</v>
      </c>
      <c r="G2217" s="108" t="s">
        <v>58</v>
      </c>
      <c r="H2217" s="108" t="str">
        <f t="shared" si="176"/>
        <v>Baker Lake</v>
      </c>
      <c r="I2217" s="108" t="str">
        <f>IFERROR(VLOOKUP(H2217,LUTs!$A$1:$C$73,2,FALSE),"NA")</f>
        <v>Whatcom</v>
      </c>
      <c r="J2217" s="108" t="str">
        <f>IFERROR(VLOOKUP(H2217,LUTs!$A$1:$C$73,3,FALSE),"NA")</f>
        <v>1North Puget Sound</v>
      </c>
      <c r="K2217" s="108" t="s">
        <v>18</v>
      </c>
      <c r="L2217" s="108" t="str">
        <f>VLOOKUP(K2217,LUTs!E$2:G$14,3,)</f>
        <v>06King</v>
      </c>
      <c r="M2217" s="108" t="str">
        <f>VLOOKUP($K2217,LUTs!$E$2:$H$14,2,)</f>
        <v>South Puget Sound</v>
      </c>
      <c r="N2217" s="108" t="str">
        <f>VLOOKUP($K2217,LUTs!$E$2:$H$14,4,)</f>
        <v>02South Puget Sound</v>
      </c>
      <c r="O2217" s="108">
        <v>1375.6240768094499</v>
      </c>
      <c r="P2217" s="108">
        <v>11899.1482644017</v>
      </c>
      <c r="Q2217" s="108">
        <f>SUMIFS('FW_Salmon_by_Month_2010-2021'!P$2:P$3810,'FW_Salmon_by_Month_2010-2021'!$B$2:$B$3810,'Rec_raw_catch_effort_2010-2021'!$B2217,'FW_Salmon_by_Month_2010-2021'!$H$2:$H$3810,'Rec_raw_catch_effort_2010-2021'!$F2217,'FW_Salmon_by_Month_2010-2021'!$M$2:$M$3810,'Rec_raw_catch_effort_2010-2021'!$K2217)</f>
        <v>1413.2008820600372</v>
      </c>
      <c r="R2217" s="109">
        <f>VLOOKUP(B2217,Readme!$A$62:$C$74,2,)*Q2217</f>
        <v>6810.9992416295645</v>
      </c>
      <c r="S2217" s="140" t="str">
        <f t="shared" si="177"/>
        <v>Y</v>
      </c>
      <c r="T2217" s="154">
        <f t="shared" si="178"/>
        <v>8.6499999999999702</v>
      </c>
      <c r="U2217" s="154">
        <f t="shared" si="179"/>
        <v>4.8195549041132084</v>
      </c>
    </row>
    <row r="2218" spans="1:21" x14ac:dyDescent="0.35">
      <c r="A2218" s="108">
        <v>1870</v>
      </c>
      <c r="B2218" s="108">
        <v>2012</v>
      </c>
      <c r="C2218" s="108" t="s">
        <v>38</v>
      </c>
      <c r="D2218" s="108" t="s">
        <v>143</v>
      </c>
      <c r="E2218" s="108" t="s">
        <v>10</v>
      </c>
      <c r="F2218" s="116">
        <v>825</v>
      </c>
      <c r="G2218" s="108" t="s">
        <v>58</v>
      </c>
      <c r="H2218" s="108" t="str">
        <f t="shared" ref="H2218:H2281" si="180">G2218</f>
        <v>Baker Lake</v>
      </c>
      <c r="I2218" s="108" t="str">
        <f>IFERROR(VLOOKUP(H2218,LUTs!$A$1:$C$73,2,FALSE),"NA")</f>
        <v>Whatcom</v>
      </c>
      <c r="J2218" s="108" t="str">
        <f>IFERROR(VLOOKUP(H2218,LUTs!$A$1:$C$73,3,FALSE),"NA")</f>
        <v>1North Puget Sound</v>
      </c>
      <c r="K2218" s="108" t="s">
        <v>23</v>
      </c>
      <c r="L2218" s="108" t="str">
        <f>VLOOKUP(K2218,LUTs!E$2:G$14,3,)</f>
        <v>10Kitsap</v>
      </c>
      <c r="M2218" s="108" t="str">
        <f>VLOOKUP($K2218,LUTs!$E$2:$H$14,2,)</f>
        <v>South Puget Sound</v>
      </c>
      <c r="N2218" s="108" t="str">
        <f>VLOOKUP($K2218,LUTs!$E$2:$H$14,4,)</f>
        <v>02South Puget Sound</v>
      </c>
      <c r="O2218" s="108">
        <v>7.2784342688330899</v>
      </c>
      <c r="P2218" s="108">
        <v>62.958456425406197</v>
      </c>
      <c r="Q2218" s="108">
        <f>SUMIFS('FW_Salmon_by_Month_2010-2021'!P$2:P$3810,'FW_Salmon_by_Month_2010-2021'!$B$2:$B$3810,'Rec_raw_catch_effort_2010-2021'!$B2218,'FW_Salmon_by_Month_2010-2021'!$H$2:$H$3810,'Rec_raw_catch_effort_2010-2021'!$F2218,'FW_Salmon_by_Month_2010-2021'!$M$2:$M$3810,'Rec_raw_catch_effort_2010-2021'!$K2218)</f>
        <v>7.5526315789473699</v>
      </c>
      <c r="R2218" s="109">
        <f>VLOOKUP(B2218,Readme!$A$62:$C$74,2,)*Q2218</f>
        <v>36.400322565276085</v>
      </c>
      <c r="S2218" s="140" t="str">
        <f t="shared" si="177"/>
        <v>Y</v>
      </c>
      <c r="T2218" s="154">
        <f t="shared" si="178"/>
        <v>8.649999999999995</v>
      </c>
      <c r="U2218" s="154">
        <f t="shared" si="179"/>
        <v>4.8195549041132093</v>
      </c>
    </row>
    <row r="2219" spans="1:21" x14ac:dyDescent="0.35">
      <c r="A2219" s="108">
        <v>1872</v>
      </c>
      <c r="B2219" s="108">
        <v>2012</v>
      </c>
      <c r="C2219" s="108" t="s">
        <v>38</v>
      </c>
      <c r="D2219" s="108" t="s">
        <v>143</v>
      </c>
      <c r="E2219" s="108" t="s">
        <v>10</v>
      </c>
      <c r="F2219" s="116">
        <v>825</v>
      </c>
      <c r="G2219" s="108" t="s">
        <v>58</v>
      </c>
      <c r="H2219" s="108" t="str">
        <f t="shared" si="180"/>
        <v>Baker Lake</v>
      </c>
      <c r="I2219" s="108" t="str">
        <f>IFERROR(VLOOKUP(H2219,LUTs!$A$1:$C$73,2,FALSE),"NA")</f>
        <v>Whatcom</v>
      </c>
      <c r="J2219" s="108" t="str">
        <f>IFERROR(VLOOKUP(H2219,LUTs!$A$1:$C$73,3,FALSE),"NA")</f>
        <v>1North Puget Sound</v>
      </c>
      <c r="K2219" s="108" t="s">
        <v>26</v>
      </c>
      <c r="L2219" s="108" t="str">
        <f>VLOOKUP(K2219,LUTs!E$2:G$14,3,)</f>
        <v>20Other</v>
      </c>
      <c r="M2219" s="108" t="str">
        <f>VLOOKUP($K2219,LUTs!$E$2:$H$14,2,)</f>
        <v>Non Puget Sound</v>
      </c>
      <c r="N2219" s="108" t="str">
        <f>VLOOKUP($K2219,LUTs!$E$2:$H$14,4,)</f>
        <v>07Non Puget Sound</v>
      </c>
      <c r="O2219" s="108">
        <v>524.04726735598194</v>
      </c>
      <c r="P2219" s="108">
        <v>4533.00886262924</v>
      </c>
      <c r="Q2219" s="108">
        <f>SUMIFS('FW_Salmon_by_Month_2010-2021'!P$2:P$3810,'FW_Salmon_by_Month_2010-2021'!$B$2:$B$3810,'Rec_raw_catch_effort_2010-2021'!$B2219,'FW_Salmon_by_Month_2010-2021'!$H$2:$H$3810,'Rec_raw_catch_effort_2010-2021'!$F2219,'FW_Salmon_by_Month_2010-2021'!$M$2:$M$3810,'Rec_raw_catch_effort_2010-2021'!$K2219)</f>
        <v>528.89037521246644</v>
      </c>
      <c r="R2219" s="109">
        <f>VLOOKUP(B2219,Readme!$A$62:$C$74,2,)*Q2219</f>
        <v>2549.0162015935175</v>
      </c>
      <c r="S2219" s="140" t="str">
        <f t="shared" si="177"/>
        <v>Y</v>
      </c>
      <c r="T2219" s="154">
        <f t="shared" si="178"/>
        <v>8.6499999999999932</v>
      </c>
      <c r="U2219" s="154">
        <f t="shared" si="179"/>
        <v>4.8195549041132084</v>
      </c>
    </row>
    <row r="2220" spans="1:21" x14ac:dyDescent="0.35">
      <c r="A2220" s="108">
        <v>1868</v>
      </c>
      <c r="B2220" s="108">
        <v>2012</v>
      </c>
      <c r="C2220" s="108" t="s">
        <v>38</v>
      </c>
      <c r="D2220" s="108" t="s">
        <v>143</v>
      </c>
      <c r="E2220" s="108" t="s">
        <v>10</v>
      </c>
      <c r="F2220" s="116">
        <v>825</v>
      </c>
      <c r="G2220" s="108" t="s">
        <v>58</v>
      </c>
      <c r="H2220" s="108" t="str">
        <f t="shared" si="180"/>
        <v>Baker Lake</v>
      </c>
      <c r="I2220" s="108" t="str">
        <f>IFERROR(VLOOKUP(H2220,LUTs!$A$1:$C$73,2,FALSE),"NA")</f>
        <v>Whatcom</v>
      </c>
      <c r="J2220" s="108" t="str">
        <f>IFERROR(VLOOKUP(H2220,LUTs!$A$1:$C$73,3,FALSE),"NA")</f>
        <v>1North Puget Sound</v>
      </c>
      <c r="K2220" s="108" t="s">
        <v>20</v>
      </c>
      <c r="L2220" s="108" t="str">
        <f>VLOOKUP(K2220,LUTs!E$2:G$14,3,)</f>
        <v>07Pierce</v>
      </c>
      <c r="M2220" s="108" t="str">
        <f>VLOOKUP($K2220,LUTs!$E$2:$H$14,2,)</f>
        <v>South Puget Sound</v>
      </c>
      <c r="N2220" s="108" t="str">
        <f>VLOOKUP($K2220,LUTs!$E$2:$H$14,4,)</f>
        <v>02South Puget Sound</v>
      </c>
      <c r="O2220" s="108">
        <v>138.29025110782899</v>
      </c>
      <c r="P2220" s="108">
        <v>1196.2106720827201</v>
      </c>
      <c r="Q2220" s="108">
        <f>SUMIFS('FW_Salmon_by_Month_2010-2021'!P$2:P$3810,'FW_Salmon_by_Month_2010-2021'!$B$2:$B$3810,'Rec_raw_catch_effort_2010-2021'!$B2220,'FW_Salmon_by_Month_2010-2021'!$H$2:$H$3810,'Rec_raw_catch_effort_2010-2021'!$F2220,'FW_Salmon_by_Month_2010-2021'!$M$2:$M$3810,'Rec_raw_catch_effort_2010-2021'!$K2220)</f>
        <v>143.65386256935551</v>
      </c>
      <c r="R2220" s="109">
        <f>VLOOKUP(B2220,Readme!$A$62:$C$74,2,)*Q2220</f>
        <v>692.3476778409422</v>
      </c>
      <c r="S2220" s="140" t="str">
        <f t="shared" si="177"/>
        <v>Y</v>
      </c>
      <c r="T2220" s="154">
        <f t="shared" si="178"/>
        <v>8.649999999999995</v>
      </c>
      <c r="U2220" s="154">
        <f t="shared" si="179"/>
        <v>4.8195549041132084</v>
      </c>
    </row>
    <row r="2221" spans="1:21" x14ac:dyDescent="0.35">
      <c r="A2221" s="108">
        <v>1866</v>
      </c>
      <c r="B2221" s="108">
        <v>2012</v>
      </c>
      <c r="C2221" s="108" t="s">
        <v>38</v>
      </c>
      <c r="D2221" s="108" t="s">
        <v>143</v>
      </c>
      <c r="E2221" s="108" t="s">
        <v>10</v>
      </c>
      <c r="F2221" s="116">
        <v>825</v>
      </c>
      <c r="G2221" s="108" t="s">
        <v>58</v>
      </c>
      <c r="H2221" s="108" t="str">
        <f t="shared" si="180"/>
        <v>Baker Lake</v>
      </c>
      <c r="I2221" s="108" t="str">
        <f>IFERROR(VLOOKUP(H2221,LUTs!$A$1:$C$73,2,FALSE),"NA")</f>
        <v>Whatcom</v>
      </c>
      <c r="J2221" s="108" t="str">
        <f>IFERROR(VLOOKUP(H2221,LUTs!$A$1:$C$73,3,FALSE),"NA")</f>
        <v>1North Puget Sound</v>
      </c>
      <c r="K2221" s="108" t="s">
        <v>30</v>
      </c>
      <c r="L2221" s="108" t="str">
        <f>VLOOKUP(K2221,LUTs!E$2:G$14,3,)</f>
        <v>05San Juan</v>
      </c>
      <c r="M2221" s="108" t="str">
        <f>VLOOKUP($K2221,LUTs!$E$2:$H$14,2,)</f>
        <v>North Puget Sound</v>
      </c>
      <c r="N2221" s="108" t="str">
        <f>VLOOKUP($K2221,LUTs!$E$2:$H$14,4,)</f>
        <v>01North Puget Sound</v>
      </c>
      <c r="O2221" s="108">
        <v>14.556868537666199</v>
      </c>
      <c r="P2221" s="108">
        <v>125.91691285081301</v>
      </c>
      <c r="Q2221" s="108">
        <f>SUMIFS('FW_Salmon_by_Month_2010-2021'!P$2:P$3810,'FW_Salmon_by_Month_2010-2021'!$B$2:$B$3810,'Rec_raw_catch_effort_2010-2021'!$B2221,'FW_Salmon_by_Month_2010-2021'!$H$2:$H$3810,'Rec_raw_catch_effort_2010-2021'!$F2221,'FW_Salmon_by_Month_2010-2021'!$M$2:$M$3810,'Rec_raw_catch_effort_2010-2021'!$K2221)</f>
        <v>15.139280125195601</v>
      </c>
      <c r="R2221" s="109">
        <f>VLOOKUP(B2221,Readme!$A$62:$C$74,2,)*Q2221</f>
        <v>72.964591772130092</v>
      </c>
      <c r="S2221" s="140" t="str">
        <f t="shared" si="177"/>
        <v>Y</v>
      </c>
      <c r="T2221" s="154">
        <f t="shared" si="178"/>
        <v>8.650000000000027</v>
      </c>
      <c r="U2221" s="154">
        <f t="shared" si="179"/>
        <v>4.8195549041132084</v>
      </c>
    </row>
    <row r="2222" spans="1:21" x14ac:dyDescent="0.35">
      <c r="A2222" s="108">
        <v>1720</v>
      </c>
      <c r="B2222" s="108">
        <v>2012</v>
      </c>
      <c r="C2222" s="108" t="s">
        <v>38</v>
      </c>
      <c r="D2222" s="108" t="s">
        <v>143</v>
      </c>
      <c r="E2222" s="108" t="s">
        <v>10</v>
      </c>
      <c r="F2222" s="116">
        <v>825</v>
      </c>
      <c r="G2222" s="108" t="s">
        <v>58</v>
      </c>
      <c r="H2222" s="108" t="str">
        <f t="shared" si="180"/>
        <v>Baker Lake</v>
      </c>
      <c r="I2222" s="108" t="str">
        <f>IFERROR(VLOOKUP(H2222,LUTs!$A$1:$C$73,2,FALSE),"NA")</f>
        <v>Whatcom</v>
      </c>
      <c r="J2222" s="108" t="str">
        <f>IFERROR(VLOOKUP(H2222,LUTs!$A$1:$C$73,3,FALSE),"NA")</f>
        <v>1North Puget Sound</v>
      </c>
      <c r="K2222" s="108" t="s">
        <v>15</v>
      </c>
      <c r="L2222" s="108" t="str">
        <f>VLOOKUP(K2222,LUTs!E$2:G$14,3,)</f>
        <v>02Skagit</v>
      </c>
      <c r="M2222" s="108" t="str">
        <f>VLOOKUP($K2222,LUTs!$E$2:$H$14,2,)</f>
        <v>North Puget Sound</v>
      </c>
      <c r="N2222" s="108" t="str">
        <f>VLOOKUP($K2222,LUTs!$E$2:$H$14,4,)</f>
        <v>01North Puget Sound</v>
      </c>
      <c r="O2222" s="108">
        <v>3013.2717872969001</v>
      </c>
      <c r="P2222" s="108">
        <v>26064.800960118198</v>
      </c>
      <c r="Q2222" s="108">
        <f>SUMIFS('FW_Salmon_by_Month_2010-2021'!P$2:P$3810,'FW_Salmon_by_Month_2010-2021'!$B$2:$B$3810,'Rec_raw_catch_effort_2010-2021'!$B2222,'FW_Salmon_by_Month_2010-2021'!$H$2:$H$3810,'Rec_raw_catch_effort_2010-2021'!$F2222,'FW_Salmon_by_Month_2010-2021'!$M$2:$M$3810,'Rec_raw_catch_effort_2010-2021'!$K2222)</f>
        <v>3075.7539292105685</v>
      </c>
      <c r="R2222" s="109">
        <f>VLOOKUP(B2222,Readme!$A$62:$C$74,2,)*Q2222</f>
        <v>14823.764933372266</v>
      </c>
      <c r="S2222" s="140" t="str">
        <f t="shared" si="177"/>
        <v>Y</v>
      </c>
      <c r="T2222" s="154">
        <f t="shared" si="178"/>
        <v>8.6500000000000039</v>
      </c>
      <c r="U2222" s="154">
        <f t="shared" si="179"/>
        <v>4.8195549041132084</v>
      </c>
    </row>
    <row r="2223" spans="1:21" x14ac:dyDescent="0.35">
      <c r="A2223" s="108">
        <v>1721</v>
      </c>
      <c r="B2223" s="108">
        <v>2012</v>
      </c>
      <c r="C2223" s="108" t="s">
        <v>38</v>
      </c>
      <c r="D2223" s="108" t="s">
        <v>143</v>
      </c>
      <c r="E2223" s="108" t="s">
        <v>10</v>
      </c>
      <c r="F2223" s="116">
        <v>825</v>
      </c>
      <c r="G2223" s="108" t="s">
        <v>58</v>
      </c>
      <c r="H2223" s="108" t="str">
        <f t="shared" si="180"/>
        <v>Baker Lake</v>
      </c>
      <c r="I2223" s="108" t="str">
        <f>IFERROR(VLOOKUP(H2223,LUTs!$A$1:$C$73,2,FALSE),"NA")</f>
        <v>Whatcom</v>
      </c>
      <c r="J2223" s="108" t="str">
        <f>IFERROR(VLOOKUP(H2223,LUTs!$A$1:$C$73,3,FALSE),"NA")</f>
        <v>1North Puget Sound</v>
      </c>
      <c r="K2223" s="108" t="s">
        <v>16</v>
      </c>
      <c r="L2223" s="108" t="str">
        <f>VLOOKUP(K2223,LUTs!E$2:G$14,3,)</f>
        <v>03Snohomish</v>
      </c>
      <c r="M2223" s="108" t="str">
        <f>VLOOKUP($K2223,LUTs!$E$2:$H$14,2,)</f>
        <v>North Puget Sound</v>
      </c>
      <c r="N2223" s="108" t="str">
        <f>VLOOKUP($K2223,LUTs!$E$2:$H$14,4,)</f>
        <v>01North Puget Sound</v>
      </c>
      <c r="O2223" s="108">
        <v>2984.1580502215702</v>
      </c>
      <c r="P2223" s="108">
        <v>25812.967134416602</v>
      </c>
      <c r="Q2223" s="108">
        <f>SUMIFS('FW_Salmon_by_Month_2010-2021'!P$2:P$3810,'FW_Salmon_by_Month_2010-2021'!$B$2:$B$3810,'Rec_raw_catch_effort_2010-2021'!$B2223,'FW_Salmon_by_Month_2010-2021'!$H$2:$H$3810,'Rec_raw_catch_effort_2010-2021'!$F2223,'FW_Salmon_by_Month_2010-2021'!$M$2:$M$3810,'Rec_raw_catch_effort_2010-2021'!$K2223)</f>
        <v>2910.2814879708894</v>
      </c>
      <c r="R2223" s="109">
        <f>VLOOKUP(B2223,Readme!$A$62:$C$74,2,)*Q2223</f>
        <v>14026.261417699985</v>
      </c>
      <c r="S2223" s="140" t="str">
        <f t="shared" si="177"/>
        <v>Y</v>
      </c>
      <c r="T2223" s="154">
        <f t="shared" si="178"/>
        <v>8.6500000000000057</v>
      </c>
      <c r="U2223" s="154">
        <f t="shared" si="179"/>
        <v>4.8195549041132084</v>
      </c>
    </row>
    <row r="2224" spans="1:21" x14ac:dyDescent="0.35">
      <c r="A2224" s="108">
        <v>1869</v>
      </c>
      <c r="B2224" s="108">
        <v>2012</v>
      </c>
      <c r="C2224" s="108" t="s">
        <v>38</v>
      </c>
      <c r="D2224" s="108" t="s">
        <v>143</v>
      </c>
      <c r="E2224" s="108" t="s">
        <v>10</v>
      </c>
      <c r="F2224" s="116">
        <v>825</v>
      </c>
      <c r="G2224" s="108" t="s">
        <v>58</v>
      </c>
      <c r="H2224" s="108" t="str">
        <f t="shared" si="180"/>
        <v>Baker Lake</v>
      </c>
      <c r="I2224" s="108" t="str">
        <f>IFERROR(VLOOKUP(H2224,LUTs!$A$1:$C$73,2,FALSE),"NA")</f>
        <v>Whatcom</v>
      </c>
      <c r="J2224" s="108" t="str">
        <f>IFERROR(VLOOKUP(H2224,LUTs!$A$1:$C$73,3,FALSE),"NA")</f>
        <v>1North Puget Sound</v>
      </c>
      <c r="K2224" s="108" t="s">
        <v>21</v>
      </c>
      <c r="L2224" s="108" t="str">
        <f>VLOOKUP(K2224,LUTs!E$2:G$14,3,)</f>
        <v>08Thurston</v>
      </c>
      <c r="M2224" s="108" t="str">
        <f>VLOOKUP($K2224,LUTs!$E$2:$H$14,2,)</f>
        <v>South Puget Sound</v>
      </c>
      <c r="N2224" s="108" t="str">
        <f>VLOOKUP($K2224,LUTs!$E$2:$H$14,4,)</f>
        <v>02South Puget Sound</v>
      </c>
      <c r="O2224" s="108">
        <v>58.227474150664698</v>
      </c>
      <c r="P2224" s="108">
        <v>503.66765140324998</v>
      </c>
      <c r="Q2224" s="108">
        <f>SUMIFS('FW_Salmon_by_Month_2010-2021'!P$2:P$3810,'FW_Salmon_by_Month_2010-2021'!$B$2:$B$3810,'Rec_raw_catch_effort_2010-2021'!$B2224,'FW_Salmon_by_Month_2010-2021'!$H$2:$H$3810,'Rec_raw_catch_effort_2010-2021'!$F2224,'FW_Salmon_by_Month_2010-2021'!$M$2:$M$3810,'Rec_raw_catch_effort_2010-2021'!$K2224)</f>
        <v>60.508749466495999</v>
      </c>
      <c r="R2224" s="109">
        <f>VLOOKUP(B2224,Readme!$A$62:$C$74,2,)*Q2224</f>
        <v>291.6252402330083</v>
      </c>
      <c r="S2224" s="140" t="str">
        <f t="shared" si="177"/>
        <v>Y</v>
      </c>
      <c r="T2224" s="154">
        <f t="shared" si="178"/>
        <v>8.6500000000000057</v>
      </c>
      <c r="U2224" s="154">
        <f t="shared" si="179"/>
        <v>4.8195549041132084</v>
      </c>
    </row>
    <row r="2225" spans="1:21" x14ac:dyDescent="0.35">
      <c r="A2225" s="108">
        <v>1719</v>
      </c>
      <c r="B2225" s="108">
        <v>2012</v>
      </c>
      <c r="C2225" s="108" t="s">
        <v>38</v>
      </c>
      <c r="D2225" s="108" t="s">
        <v>143</v>
      </c>
      <c r="E2225" s="108" t="s">
        <v>10</v>
      </c>
      <c r="F2225" s="116">
        <v>825</v>
      </c>
      <c r="G2225" s="108" t="s">
        <v>58</v>
      </c>
      <c r="H2225" s="108" t="str">
        <f t="shared" si="180"/>
        <v>Baker Lake</v>
      </c>
      <c r="I2225" s="108" t="str">
        <f>IFERROR(VLOOKUP(H2225,LUTs!$A$1:$C$73,2,FALSE),"NA")</f>
        <v>Whatcom</v>
      </c>
      <c r="J2225" s="108" t="str">
        <f>IFERROR(VLOOKUP(H2225,LUTs!$A$1:$C$73,3,FALSE),"NA")</f>
        <v>1North Puget Sound</v>
      </c>
      <c r="K2225" s="108" t="s">
        <v>13</v>
      </c>
      <c r="L2225" s="108" t="str">
        <f>VLOOKUP(K2225,LUTs!E$2:G$14,3,)</f>
        <v>01Whatcom</v>
      </c>
      <c r="M2225" s="108" t="str">
        <f>VLOOKUP($K2225,LUTs!$E$2:$H$14,2,)</f>
        <v>North Puget Sound</v>
      </c>
      <c r="N2225" s="108" t="str">
        <f>VLOOKUP($K2225,LUTs!$E$2:$H$14,4,)</f>
        <v>01North Puget Sound</v>
      </c>
      <c r="O2225" s="108">
        <v>1535.74963072378</v>
      </c>
      <c r="P2225" s="108">
        <v>13284.234305760699</v>
      </c>
      <c r="Q2225" s="108">
        <f>SUMIFS('FW_Salmon_by_Month_2010-2021'!P$2:P$3810,'FW_Salmon_by_Month_2010-2021'!$B$2:$B$3810,'Rec_raw_catch_effort_2010-2021'!$B2225,'FW_Salmon_by_Month_2010-2021'!$H$2:$H$3810,'Rec_raw_catch_effort_2010-2021'!$F2225,'FW_Salmon_by_Month_2010-2021'!$M$2:$M$3810,'Rec_raw_catch_effort_2010-2021'!$K2225)</f>
        <v>1488.3519292255401</v>
      </c>
      <c r="R2225" s="109">
        <f>VLOOKUP(B2225,Readme!$A$62:$C$74,2,)*Q2225</f>
        <v>7173.1938395453062</v>
      </c>
      <c r="S2225" s="140" t="str">
        <f t="shared" si="177"/>
        <v>Y</v>
      </c>
      <c r="T2225" s="154">
        <f t="shared" si="178"/>
        <v>8.6500000000000021</v>
      </c>
      <c r="U2225" s="154">
        <f t="shared" si="179"/>
        <v>4.8195549041132084</v>
      </c>
    </row>
    <row r="2226" spans="1:21" x14ac:dyDescent="0.35">
      <c r="A2226" s="108">
        <v>1899</v>
      </c>
      <c r="B2226" s="108">
        <v>2013</v>
      </c>
      <c r="C2226" s="108" t="s">
        <v>38</v>
      </c>
      <c r="D2226" s="108" t="s">
        <v>143</v>
      </c>
      <c r="E2226" s="108" t="s">
        <v>10</v>
      </c>
      <c r="F2226" s="116">
        <v>825</v>
      </c>
      <c r="G2226" s="108" t="s">
        <v>58</v>
      </c>
      <c r="H2226" s="108" t="str">
        <f t="shared" si="180"/>
        <v>Baker Lake</v>
      </c>
      <c r="I2226" s="108" t="str">
        <f>IFERROR(VLOOKUP(H2226,LUTs!$A$1:$C$73,2,FALSE),"NA")</f>
        <v>Whatcom</v>
      </c>
      <c r="J2226" s="108" t="str">
        <f>IFERROR(VLOOKUP(H2226,LUTs!$A$1:$C$73,3,FALSE),"NA")</f>
        <v>1North Puget Sound</v>
      </c>
      <c r="K2226" s="108" t="s">
        <v>24</v>
      </c>
      <c r="L2226" s="108" t="str">
        <f>VLOOKUP(K2226,LUTs!E$2:G$14,3,)</f>
        <v>11Clallam</v>
      </c>
      <c r="M2226" s="108" t="str">
        <f>VLOOKUP($K2226,LUTs!$E$2:$H$14,2,)</f>
        <v>Strait of Juan de Fuca</v>
      </c>
      <c r="N2226" s="108" t="str">
        <f>VLOOKUP($K2226,LUTs!$E$2:$H$14,4,)</f>
        <v>03Strait of Juan de Fuca</v>
      </c>
      <c r="O2226" s="108">
        <v>17.827464788732399</v>
      </c>
      <c r="P2226" s="108">
        <v>61.326478873239502</v>
      </c>
      <c r="Q2226" s="108">
        <f>SUMIFS('FW_Salmon_by_Month_2010-2021'!P$2:P$3810,'FW_Salmon_by_Month_2010-2021'!$B$2:$B$3810,'Rec_raw_catch_effort_2010-2021'!$B2226,'FW_Salmon_by_Month_2010-2021'!$H$2:$H$3810,'Rec_raw_catch_effort_2010-2021'!$F2226,'FW_Salmon_by_Month_2010-2021'!$M$2:$M$3810,'Rec_raw_catch_effort_2010-2021'!$K2226)</f>
        <v>17.921375921375901</v>
      </c>
      <c r="R2226" s="109">
        <f>VLOOKUP(B2226,Readme!$A$62:$C$74,2,)*Q2226</f>
        <v>63.42447412229216</v>
      </c>
      <c r="S2226" s="140" t="str">
        <f t="shared" si="177"/>
        <v>Y</v>
      </c>
      <c r="T2226" s="154">
        <f t="shared" si="178"/>
        <v>3.4400000000000026</v>
      </c>
      <c r="U2226" s="154">
        <f t="shared" si="179"/>
        <v>3.5390404397824153</v>
      </c>
    </row>
    <row r="2227" spans="1:21" x14ac:dyDescent="0.35">
      <c r="A2227" s="108">
        <v>1895</v>
      </c>
      <c r="B2227" s="108">
        <v>2013</v>
      </c>
      <c r="C2227" s="108" t="s">
        <v>38</v>
      </c>
      <c r="D2227" s="108" t="s">
        <v>143</v>
      </c>
      <c r="E2227" s="108" t="s">
        <v>10</v>
      </c>
      <c r="F2227" s="116">
        <v>825</v>
      </c>
      <c r="G2227" s="108" t="s">
        <v>58</v>
      </c>
      <c r="H2227" s="108" t="str">
        <f t="shared" si="180"/>
        <v>Baker Lake</v>
      </c>
      <c r="I2227" s="108" t="str">
        <f>IFERROR(VLOOKUP(H2227,LUTs!$A$1:$C$73,2,FALSE),"NA")</f>
        <v>Whatcom</v>
      </c>
      <c r="J2227" s="108" t="str">
        <f>IFERROR(VLOOKUP(H2227,LUTs!$A$1:$C$73,3,FALSE),"NA")</f>
        <v>1North Puget Sound</v>
      </c>
      <c r="K2227" s="108" t="s">
        <v>17</v>
      </c>
      <c r="L2227" s="108" t="str">
        <f>VLOOKUP(K2227,LUTs!E$2:G$14,3,)</f>
        <v>04Island</v>
      </c>
      <c r="M2227" s="108" t="str">
        <f>VLOOKUP($K2227,LUTs!$E$2:$H$14,2,)</f>
        <v>North Puget Sound</v>
      </c>
      <c r="N2227" s="108" t="str">
        <f>VLOOKUP($K2227,LUTs!$E$2:$H$14,4,)</f>
        <v>01North Puget Sound</v>
      </c>
      <c r="O2227" s="108">
        <v>71.309859154929597</v>
      </c>
      <c r="P2227" s="108">
        <v>245.30591549295801</v>
      </c>
      <c r="Q2227" s="108">
        <f>SUMIFS('FW_Salmon_by_Month_2010-2021'!P$2:P$3810,'FW_Salmon_by_Month_2010-2021'!$B$2:$B$3810,'Rec_raw_catch_effort_2010-2021'!$B2227,'FW_Salmon_by_Month_2010-2021'!$H$2:$H$3810,'Rec_raw_catch_effort_2010-2021'!$F2227,'FW_Salmon_by_Month_2010-2021'!$M$2:$M$3810,'Rec_raw_catch_effort_2010-2021'!$K2227)</f>
        <v>71.685503685503704</v>
      </c>
      <c r="R2227" s="109">
        <f>VLOOKUP(B2227,Readme!$A$62:$C$74,2,)*Q2227</f>
        <v>253.69789648916898</v>
      </c>
      <c r="S2227" s="140" t="str">
        <f t="shared" si="177"/>
        <v>Y</v>
      </c>
      <c r="T2227" s="154">
        <f t="shared" si="178"/>
        <v>3.4400000000000026</v>
      </c>
      <c r="U2227" s="154">
        <f t="shared" si="179"/>
        <v>3.5390404397824153</v>
      </c>
    </row>
    <row r="2228" spans="1:21" x14ac:dyDescent="0.35">
      <c r="A2228" s="108">
        <v>1896</v>
      </c>
      <c r="B2228" s="108">
        <v>2013</v>
      </c>
      <c r="C2228" s="108" t="s">
        <v>38</v>
      </c>
      <c r="D2228" s="108" t="s">
        <v>143</v>
      </c>
      <c r="E2228" s="108" t="s">
        <v>10</v>
      </c>
      <c r="F2228" s="116">
        <v>825</v>
      </c>
      <c r="G2228" s="108" t="s">
        <v>58</v>
      </c>
      <c r="H2228" s="108" t="str">
        <f t="shared" si="180"/>
        <v>Baker Lake</v>
      </c>
      <c r="I2228" s="108" t="str">
        <f>IFERROR(VLOOKUP(H2228,LUTs!$A$1:$C$73,2,FALSE),"NA")</f>
        <v>Whatcom</v>
      </c>
      <c r="J2228" s="108" t="str">
        <f>IFERROR(VLOOKUP(H2228,LUTs!$A$1:$C$73,3,FALSE),"NA")</f>
        <v>1North Puget Sound</v>
      </c>
      <c r="K2228" s="108" t="s">
        <v>18</v>
      </c>
      <c r="L2228" s="108" t="str">
        <f>VLOOKUP(K2228,LUTs!E$2:G$14,3,)</f>
        <v>06King</v>
      </c>
      <c r="M2228" s="108" t="str">
        <f>VLOOKUP($K2228,LUTs!$E$2:$H$14,2,)</f>
        <v>South Puget Sound</v>
      </c>
      <c r="N2228" s="108" t="str">
        <f>VLOOKUP($K2228,LUTs!$E$2:$H$14,4,)</f>
        <v>02South Puget Sound</v>
      </c>
      <c r="O2228" s="108">
        <v>570.47887323943701</v>
      </c>
      <c r="P2228" s="108">
        <v>1962.44732394366</v>
      </c>
      <c r="Q2228" s="108">
        <f>SUMIFS('FW_Salmon_by_Month_2010-2021'!P$2:P$3810,'FW_Salmon_by_Month_2010-2021'!$B$2:$B$3810,'Rec_raw_catch_effort_2010-2021'!$B2228,'FW_Salmon_by_Month_2010-2021'!$H$2:$H$3810,'Rec_raw_catch_effort_2010-2021'!$F2228,'FW_Salmon_by_Month_2010-2021'!$M$2:$M$3810,'Rec_raw_catch_effort_2010-2021'!$K2228)</f>
        <v>573.60919394467805</v>
      </c>
      <c r="R2228" s="109">
        <f>VLOOKUP(B2228,Readme!$A$62:$C$74,2,)*Q2228</f>
        <v>2030.0261340012103</v>
      </c>
      <c r="S2228" s="140" t="str">
        <f t="shared" si="177"/>
        <v>Y</v>
      </c>
      <c r="T2228" s="154">
        <f t="shared" si="178"/>
        <v>3.4399999999999942</v>
      </c>
      <c r="U2228" s="154">
        <f t="shared" si="179"/>
        <v>3.5390404397824153</v>
      </c>
    </row>
    <row r="2229" spans="1:21" x14ac:dyDescent="0.35">
      <c r="A2229" s="108">
        <v>2023</v>
      </c>
      <c r="B2229" s="108">
        <v>2013</v>
      </c>
      <c r="C2229" s="108" t="s">
        <v>38</v>
      </c>
      <c r="D2229" s="108" t="s">
        <v>143</v>
      </c>
      <c r="E2229" s="108" t="s">
        <v>10</v>
      </c>
      <c r="F2229" s="116">
        <v>825</v>
      </c>
      <c r="G2229" s="108" t="s">
        <v>58</v>
      </c>
      <c r="H2229" s="108" t="str">
        <f t="shared" si="180"/>
        <v>Baker Lake</v>
      </c>
      <c r="I2229" s="108" t="str">
        <f>IFERROR(VLOOKUP(H2229,LUTs!$A$1:$C$73,2,FALSE),"NA")</f>
        <v>Whatcom</v>
      </c>
      <c r="J2229" s="108" t="str">
        <f>IFERROR(VLOOKUP(H2229,LUTs!$A$1:$C$73,3,FALSE),"NA")</f>
        <v>1North Puget Sound</v>
      </c>
      <c r="K2229" s="108" t="s">
        <v>26</v>
      </c>
      <c r="L2229" s="108" t="str">
        <f>VLOOKUP(K2229,LUTs!E$2:G$14,3,)</f>
        <v>20Other</v>
      </c>
      <c r="M2229" s="108" t="str">
        <f>VLOOKUP($K2229,LUTs!$E$2:$H$14,2,)</f>
        <v>Non Puget Sound</v>
      </c>
      <c r="N2229" s="108" t="str">
        <f>VLOOKUP($K2229,LUTs!$E$2:$H$14,4,)</f>
        <v>07Non Puget Sound</v>
      </c>
      <c r="O2229" s="108">
        <v>320.89436619718299</v>
      </c>
      <c r="P2229" s="108">
        <v>1103.8766197183099</v>
      </c>
      <c r="Q2229" s="108">
        <f>SUMIFS('FW_Salmon_by_Month_2010-2021'!P$2:P$3810,'FW_Salmon_by_Month_2010-2021'!$B$2:$B$3810,'Rec_raw_catch_effort_2010-2021'!$B2229,'FW_Salmon_by_Month_2010-2021'!$H$2:$H$3810,'Rec_raw_catch_effort_2010-2021'!$F2229,'FW_Salmon_by_Month_2010-2021'!$M$2:$M$3810,'Rec_raw_catch_effort_2010-2021'!$K2229)</f>
        <v>295.71294285487801</v>
      </c>
      <c r="R2229" s="109">
        <f>VLOOKUP(B2229,Readme!$A$62:$C$74,2,)*Q2229</f>
        <v>1046.5400633304798</v>
      </c>
      <c r="S2229" s="140" t="str">
        <f t="shared" si="177"/>
        <v>Y</v>
      </c>
      <c r="T2229" s="154">
        <f t="shared" si="178"/>
        <v>3.4400000000000013</v>
      </c>
      <c r="U2229" s="154">
        <f t="shared" si="179"/>
        <v>3.5390404397824158</v>
      </c>
    </row>
    <row r="2230" spans="1:21" x14ac:dyDescent="0.35">
      <c r="A2230" s="108">
        <v>1897</v>
      </c>
      <c r="B2230" s="108">
        <v>2013</v>
      </c>
      <c r="C2230" s="108" t="s">
        <v>38</v>
      </c>
      <c r="D2230" s="108" t="s">
        <v>143</v>
      </c>
      <c r="E2230" s="108" t="s">
        <v>10</v>
      </c>
      <c r="F2230" s="116">
        <v>825</v>
      </c>
      <c r="G2230" s="108" t="s">
        <v>58</v>
      </c>
      <c r="H2230" s="108" t="str">
        <f t="shared" si="180"/>
        <v>Baker Lake</v>
      </c>
      <c r="I2230" s="108" t="str">
        <f>IFERROR(VLOOKUP(H2230,LUTs!$A$1:$C$73,2,FALSE),"NA")</f>
        <v>Whatcom</v>
      </c>
      <c r="J2230" s="108" t="str">
        <f>IFERROR(VLOOKUP(H2230,LUTs!$A$1:$C$73,3,FALSE),"NA")</f>
        <v>1North Puget Sound</v>
      </c>
      <c r="K2230" s="108" t="s">
        <v>20</v>
      </c>
      <c r="L2230" s="108" t="str">
        <f>VLOOKUP(K2230,LUTs!E$2:G$14,3,)</f>
        <v>07Pierce</v>
      </c>
      <c r="M2230" s="108" t="str">
        <f>VLOOKUP($K2230,LUTs!$E$2:$H$14,2,)</f>
        <v>South Puget Sound</v>
      </c>
      <c r="N2230" s="108" t="str">
        <f>VLOOKUP($K2230,LUTs!$E$2:$H$14,4,)</f>
        <v>02South Puget Sound</v>
      </c>
      <c r="O2230" s="108">
        <v>160.44718309859201</v>
      </c>
      <c r="P2230" s="108">
        <v>551.93830985915599</v>
      </c>
      <c r="Q2230" s="108">
        <f>SUMIFS('FW_Salmon_by_Month_2010-2021'!P$2:P$3810,'FW_Salmon_by_Month_2010-2021'!$B$2:$B$3810,'Rec_raw_catch_effort_2010-2021'!$B2230,'FW_Salmon_by_Month_2010-2021'!$H$2:$H$3810,'Rec_raw_catch_effort_2010-2021'!$F2230,'FW_Salmon_by_Month_2010-2021'!$M$2:$M$3810,'Rec_raw_catch_effort_2010-2021'!$K2230)</f>
        <v>161.29358801616831</v>
      </c>
      <c r="R2230" s="109">
        <f>VLOOKUP(B2230,Readme!$A$62:$C$74,2,)*Q2230</f>
        <v>570.82453066682399</v>
      </c>
      <c r="S2230" s="140" t="str">
        <f t="shared" si="177"/>
        <v>Y</v>
      </c>
      <c r="T2230" s="154">
        <f t="shared" si="178"/>
        <v>3.4399999999999968</v>
      </c>
      <c r="U2230" s="154">
        <f t="shared" si="179"/>
        <v>3.5390404397824149</v>
      </c>
    </row>
    <row r="2231" spans="1:21" x14ac:dyDescent="0.35">
      <c r="A2231" s="108">
        <v>1893</v>
      </c>
      <c r="B2231" s="108">
        <v>2013</v>
      </c>
      <c r="C2231" s="108" t="s">
        <v>38</v>
      </c>
      <c r="D2231" s="108" t="s">
        <v>143</v>
      </c>
      <c r="E2231" s="108" t="s">
        <v>10</v>
      </c>
      <c r="F2231" s="116">
        <v>825</v>
      </c>
      <c r="G2231" s="108" t="s">
        <v>58</v>
      </c>
      <c r="H2231" s="108" t="str">
        <f t="shared" si="180"/>
        <v>Baker Lake</v>
      </c>
      <c r="I2231" s="108" t="str">
        <f>IFERROR(VLOOKUP(H2231,LUTs!$A$1:$C$73,2,FALSE),"NA")</f>
        <v>Whatcom</v>
      </c>
      <c r="J2231" s="108" t="str">
        <f>IFERROR(VLOOKUP(H2231,LUTs!$A$1:$C$73,3,FALSE),"NA")</f>
        <v>1North Puget Sound</v>
      </c>
      <c r="K2231" s="108" t="s">
        <v>15</v>
      </c>
      <c r="L2231" s="108" t="str">
        <f>VLOOKUP(K2231,LUTs!E$2:G$14,3,)</f>
        <v>02Skagit</v>
      </c>
      <c r="M2231" s="108" t="str">
        <f>VLOOKUP($K2231,LUTs!$E$2:$H$14,2,)</f>
        <v>North Puget Sound</v>
      </c>
      <c r="N2231" s="108" t="str">
        <f>VLOOKUP($K2231,LUTs!$E$2:$H$14,4,)</f>
        <v>01North Puget Sound</v>
      </c>
      <c r="O2231" s="108">
        <v>1773.8327464788699</v>
      </c>
      <c r="P2231" s="108">
        <v>6101.9846478873096</v>
      </c>
      <c r="Q2231" s="108">
        <f>SUMIFS('FW_Salmon_by_Month_2010-2021'!P$2:P$3810,'FW_Salmon_by_Month_2010-2021'!$B$2:$B$3810,'Rec_raw_catch_effort_2010-2021'!$B2231,'FW_Salmon_by_Month_2010-2021'!$H$2:$H$3810,'Rec_raw_catch_effort_2010-2021'!$F2231,'FW_Salmon_by_Month_2010-2021'!$M$2:$M$3810,'Rec_raw_catch_effort_2010-2021'!$K2231)</f>
        <v>1783.2100340810061</v>
      </c>
      <c r="R2231" s="109">
        <f>VLOOKUP(B2231,Readme!$A$62:$C$74,2,)*Q2231</f>
        <v>6310.8524232384598</v>
      </c>
      <c r="S2231" s="140" t="str">
        <f t="shared" si="177"/>
        <v>Y</v>
      </c>
      <c r="T2231" s="154">
        <f t="shared" si="178"/>
        <v>3.4399999999999982</v>
      </c>
      <c r="U2231" s="154">
        <f t="shared" si="179"/>
        <v>3.5390404397824153</v>
      </c>
    </row>
    <row r="2232" spans="1:21" x14ac:dyDescent="0.35">
      <c r="A2232" s="108">
        <v>1894</v>
      </c>
      <c r="B2232" s="108">
        <v>2013</v>
      </c>
      <c r="C2232" s="108" t="s">
        <v>38</v>
      </c>
      <c r="D2232" s="108" t="s">
        <v>143</v>
      </c>
      <c r="E2232" s="108" t="s">
        <v>10</v>
      </c>
      <c r="F2232" s="116">
        <v>825</v>
      </c>
      <c r="G2232" s="108" t="s">
        <v>58</v>
      </c>
      <c r="H2232" s="108" t="str">
        <f t="shared" si="180"/>
        <v>Baker Lake</v>
      </c>
      <c r="I2232" s="108" t="str">
        <f>IFERROR(VLOOKUP(H2232,LUTs!$A$1:$C$73,2,FALSE),"NA")</f>
        <v>Whatcom</v>
      </c>
      <c r="J2232" s="108" t="str">
        <f>IFERROR(VLOOKUP(H2232,LUTs!$A$1:$C$73,3,FALSE),"NA")</f>
        <v>1North Puget Sound</v>
      </c>
      <c r="K2232" s="108" t="s">
        <v>16</v>
      </c>
      <c r="L2232" s="108" t="str">
        <f>VLOOKUP(K2232,LUTs!E$2:G$14,3,)</f>
        <v>03Snohomish</v>
      </c>
      <c r="M2232" s="108" t="str">
        <f>VLOOKUP($K2232,LUTs!$E$2:$H$14,2,)</f>
        <v>North Puget Sound</v>
      </c>
      <c r="N2232" s="108" t="str">
        <f>VLOOKUP($K2232,LUTs!$E$2:$H$14,4,)</f>
        <v>01North Puget Sound</v>
      </c>
      <c r="O2232" s="108">
        <v>1426.1971830985899</v>
      </c>
      <c r="P2232" s="108">
        <v>4906.11830985915</v>
      </c>
      <c r="Q2232" s="108">
        <f>SUMIFS('FW_Salmon_by_Month_2010-2021'!P$2:P$3810,'FW_Salmon_by_Month_2010-2021'!$B$2:$B$3810,'Rec_raw_catch_effort_2010-2021'!$B2232,'FW_Salmon_by_Month_2010-2021'!$H$2:$H$3810,'Rec_raw_catch_effort_2010-2021'!$F2232,'FW_Salmon_by_Month_2010-2021'!$M$2:$M$3810,'Rec_raw_catch_effort_2010-2021'!$K2232)</f>
        <v>1433.7407941666011</v>
      </c>
      <c r="R2232" s="109">
        <f>VLOOKUP(B2232,Readme!$A$62:$C$74,2,)*Q2232</f>
        <v>5074.0666507213573</v>
      </c>
      <c r="S2232" s="140" t="str">
        <f t="shared" si="177"/>
        <v>Y</v>
      </c>
      <c r="T2232" s="154">
        <f t="shared" si="178"/>
        <v>3.4400000000000004</v>
      </c>
      <c r="U2232" s="154">
        <f t="shared" si="179"/>
        <v>3.5390404397824153</v>
      </c>
    </row>
    <row r="2233" spans="1:21" x14ac:dyDescent="0.35">
      <c r="A2233" s="108">
        <v>1898</v>
      </c>
      <c r="B2233" s="108">
        <v>2013</v>
      </c>
      <c r="C2233" s="108" t="s">
        <v>38</v>
      </c>
      <c r="D2233" s="108" t="s">
        <v>143</v>
      </c>
      <c r="E2233" s="108" t="s">
        <v>10</v>
      </c>
      <c r="F2233" s="116">
        <v>825</v>
      </c>
      <c r="G2233" s="108" t="s">
        <v>58</v>
      </c>
      <c r="H2233" s="108" t="str">
        <f t="shared" si="180"/>
        <v>Baker Lake</v>
      </c>
      <c r="I2233" s="108" t="str">
        <f>IFERROR(VLOOKUP(H2233,LUTs!$A$1:$C$73,2,FALSE),"NA")</f>
        <v>Whatcom</v>
      </c>
      <c r="J2233" s="108" t="str">
        <f>IFERROR(VLOOKUP(H2233,LUTs!$A$1:$C$73,3,FALSE),"NA")</f>
        <v>1North Puget Sound</v>
      </c>
      <c r="K2233" s="108" t="s">
        <v>21</v>
      </c>
      <c r="L2233" s="108" t="str">
        <f>VLOOKUP(K2233,LUTs!E$2:G$14,3,)</f>
        <v>08Thurston</v>
      </c>
      <c r="M2233" s="108" t="str">
        <f>VLOOKUP($K2233,LUTs!$E$2:$H$14,2,)</f>
        <v>South Puget Sound</v>
      </c>
      <c r="N2233" s="108" t="str">
        <f>VLOOKUP($K2233,LUTs!$E$2:$H$14,4,)</f>
        <v>02South Puget Sound</v>
      </c>
      <c r="O2233" s="108">
        <v>35.654929577464799</v>
      </c>
      <c r="P2233" s="108">
        <v>122.652957746479</v>
      </c>
      <c r="Q2233" s="108">
        <f>SUMIFS('FW_Salmon_by_Month_2010-2021'!P$2:P$3810,'FW_Salmon_by_Month_2010-2021'!$B$2:$B$3810,'Rec_raw_catch_effort_2010-2021'!$B2233,'FW_Salmon_by_Month_2010-2021'!$H$2:$H$3810,'Rec_raw_catch_effort_2010-2021'!$F2233,'FW_Salmon_by_Month_2010-2021'!$M$2:$M$3810,'Rec_raw_catch_effort_2010-2021'!$K2233)</f>
        <v>35.842751842751902</v>
      </c>
      <c r="R2233" s="109">
        <f>VLOOKUP(B2233,Readme!$A$62:$C$74,2,)*Q2233</f>
        <v>126.84894824458466</v>
      </c>
      <c r="S2233" s="140" t="str">
        <f t="shared" si="177"/>
        <v>Y</v>
      </c>
      <c r="T2233" s="154">
        <f t="shared" si="178"/>
        <v>3.4400000000000026</v>
      </c>
      <c r="U2233" s="154">
        <f t="shared" si="179"/>
        <v>3.5390404397824153</v>
      </c>
    </row>
    <row r="2234" spans="1:21" x14ac:dyDescent="0.35">
      <c r="A2234" s="108">
        <v>1892</v>
      </c>
      <c r="B2234" s="108">
        <v>2013</v>
      </c>
      <c r="C2234" s="108" t="s">
        <v>38</v>
      </c>
      <c r="D2234" s="108" t="s">
        <v>143</v>
      </c>
      <c r="E2234" s="108" t="s">
        <v>10</v>
      </c>
      <c r="F2234" s="116">
        <v>825</v>
      </c>
      <c r="G2234" s="108" t="s">
        <v>58</v>
      </c>
      <c r="H2234" s="108" t="str">
        <f t="shared" si="180"/>
        <v>Baker Lake</v>
      </c>
      <c r="I2234" s="108" t="str">
        <f>IFERROR(VLOOKUP(H2234,LUTs!$A$1:$C$73,2,FALSE),"NA")</f>
        <v>Whatcom</v>
      </c>
      <c r="J2234" s="108" t="str">
        <f>IFERROR(VLOOKUP(H2234,LUTs!$A$1:$C$73,3,FALSE),"NA")</f>
        <v>1North Puget Sound</v>
      </c>
      <c r="K2234" s="108" t="s">
        <v>13</v>
      </c>
      <c r="L2234" s="108" t="str">
        <f>VLOOKUP(K2234,LUTs!E$2:G$14,3,)</f>
        <v>01Whatcom</v>
      </c>
      <c r="M2234" s="108" t="str">
        <f>VLOOKUP($K2234,LUTs!$E$2:$H$14,2,)</f>
        <v>North Puget Sound</v>
      </c>
      <c r="N2234" s="108" t="str">
        <f>VLOOKUP($K2234,LUTs!$E$2:$H$14,4,)</f>
        <v>01North Puget Sound</v>
      </c>
      <c r="O2234" s="108">
        <v>686.35739436619701</v>
      </c>
      <c r="P2234" s="108">
        <v>2361.0694366197199</v>
      </c>
      <c r="Q2234" s="108">
        <f>SUMIFS('FW_Salmon_by_Month_2010-2021'!P$2:P$3810,'FW_Salmon_by_Month_2010-2021'!$B$2:$B$3810,'Rec_raw_catch_effort_2010-2021'!$B2234,'FW_Salmon_by_Month_2010-2021'!$H$2:$H$3810,'Rec_raw_catch_effort_2010-2021'!$F2234,'FW_Salmon_by_Month_2010-2021'!$M$2:$M$3810,'Rec_raw_catch_effort_2010-2021'!$K2234)</f>
        <v>689.98381548704197</v>
      </c>
      <c r="R2234" s="109">
        <f>VLOOKUP(B2234,Readme!$A$62:$C$74,2,)*Q2234</f>
        <v>2441.8806258040099</v>
      </c>
      <c r="S2234" s="140" t="str">
        <f t="shared" si="177"/>
        <v>Y</v>
      </c>
      <c r="T2234" s="154">
        <f t="shared" si="178"/>
        <v>3.4400000000000031</v>
      </c>
      <c r="U2234" s="154">
        <f t="shared" si="179"/>
        <v>3.5390404397824153</v>
      </c>
    </row>
    <row r="2235" spans="1:21" x14ac:dyDescent="0.35">
      <c r="A2235" s="108">
        <v>2164</v>
      </c>
      <c r="B2235" s="108">
        <v>2014</v>
      </c>
      <c r="C2235" s="108" t="s">
        <v>38</v>
      </c>
      <c r="D2235" s="108" t="s">
        <v>143</v>
      </c>
      <c r="E2235" s="108" t="s">
        <v>10</v>
      </c>
      <c r="F2235" s="116">
        <v>825</v>
      </c>
      <c r="G2235" s="108" t="s">
        <v>58</v>
      </c>
      <c r="H2235" s="108" t="str">
        <f t="shared" si="180"/>
        <v>Baker Lake</v>
      </c>
      <c r="I2235" s="108" t="str">
        <f>IFERROR(VLOOKUP(H2235,LUTs!$A$1:$C$73,2,FALSE),"NA")</f>
        <v>Whatcom</v>
      </c>
      <c r="J2235" s="108" t="str">
        <f>IFERROR(VLOOKUP(H2235,LUTs!$A$1:$C$73,3,FALSE),"NA")</f>
        <v>1North Puget Sound</v>
      </c>
      <c r="K2235" s="108" t="s">
        <v>17</v>
      </c>
      <c r="L2235" s="108" t="str">
        <f>VLOOKUP(K2235,LUTs!E$2:G$14,3,)</f>
        <v>04Island</v>
      </c>
      <c r="M2235" s="108" t="str">
        <f>VLOOKUP($K2235,LUTs!$E$2:$H$14,2,)</f>
        <v>North Puget Sound</v>
      </c>
      <c r="N2235" s="108" t="str">
        <f>VLOOKUP($K2235,LUTs!$E$2:$H$14,4,)</f>
        <v>01North Puget Sound</v>
      </c>
      <c r="O2235" s="108">
        <v>115.022222222222</v>
      </c>
      <c r="P2235" s="108">
        <v>994.94222222222004</v>
      </c>
      <c r="Q2235" s="108">
        <f>SUMIFS('FW_Salmon_by_Month_2010-2021'!P$2:P$3810,'FW_Salmon_by_Month_2010-2021'!$B$2:$B$3810,'Rec_raw_catch_effort_2010-2021'!$B2235,'FW_Salmon_by_Month_2010-2021'!$H$2:$H$3810,'Rec_raw_catch_effort_2010-2021'!$F2235,'FW_Salmon_by_Month_2010-2021'!$M$2:$M$3810,'Rec_raw_catch_effort_2010-2021'!$K2235)</f>
        <v>116.0382954218255</v>
      </c>
      <c r="R2235" s="109">
        <f>VLOOKUP(B2235,Readme!$A$62:$C$74,2,)*Q2235</f>
        <v>559.2529357651963</v>
      </c>
      <c r="S2235" s="140" t="str">
        <f t="shared" si="177"/>
        <v>Y</v>
      </c>
      <c r="T2235" s="154">
        <f t="shared" si="178"/>
        <v>8.6499999999999986</v>
      </c>
      <c r="U2235" s="154">
        <f t="shared" si="179"/>
        <v>4.8195549041132084</v>
      </c>
    </row>
    <row r="2236" spans="1:21" x14ac:dyDescent="0.35">
      <c r="A2236" s="108">
        <v>2165</v>
      </c>
      <c r="B2236" s="108">
        <v>2014</v>
      </c>
      <c r="C2236" s="108" t="s">
        <v>38</v>
      </c>
      <c r="D2236" s="108" t="s">
        <v>143</v>
      </c>
      <c r="E2236" s="108" t="s">
        <v>10</v>
      </c>
      <c r="F2236" s="116">
        <v>825</v>
      </c>
      <c r="G2236" s="108" t="s">
        <v>58</v>
      </c>
      <c r="H2236" s="108" t="str">
        <f t="shared" si="180"/>
        <v>Baker Lake</v>
      </c>
      <c r="I2236" s="108" t="str">
        <f>IFERROR(VLOOKUP(H2236,LUTs!$A$1:$C$73,2,FALSE),"NA")</f>
        <v>Whatcom</v>
      </c>
      <c r="J2236" s="108" t="str">
        <f>IFERROR(VLOOKUP(H2236,LUTs!$A$1:$C$73,3,FALSE),"NA")</f>
        <v>1North Puget Sound</v>
      </c>
      <c r="K2236" s="108" t="s">
        <v>18</v>
      </c>
      <c r="L2236" s="108" t="str">
        <f>VLOOKUP(K2236,LUTs!E$2:G$14,3,)</f>
        <v>06King</v>
      </c>
      <c r="M2236" s="108" t="str">
        <f>VLOOKUP($K2236,LUTs!$E$2:$H$14,2,)</f>
        <v>South Puget Sound</v>
      </c>
      <c r="N2236" s="108" t="str">
        <f>VLOOKUP($K2236,LUTs!$E$2:$H$14,4,)</f>
        <v>02South Puget Sound</v>
      </c>
      <c r="O2236" s="108">
        <v>330.68888888888898</v>
      </c>
      <c r="P2236" s="108">
        <v>2860.4588888888902</v>
      </c>
      <c r="Q2236" s="108">
        <f>SUMIFS('FW_Salmon_by_Month_2010-2021'!P$2:P$3810,'FW_Salmon_by_Month_2010-2021'!$B$2:$B$3810,'Rec_raw_catch_effort_2010-2021'!$B2236,'FW_Salmon_by_Month_2010-2021'!$H$2:$H$3810,'Rec_raw_catch_effort_2010-2021'!$F2236,'FW_Salmon_by_Month_2010-2021'!$M$2:$M$3810,'Rec_raw_catch_effort_2010-2021'!$K2236)</f>
        <v>333.58993185526464</v>
      </c>
      <c r="R2236" s="109">
        <f>VLOOKUP(B2236,Readme!$A$62:$C$74,2,)*Q2236</f>
        <v>1607.7549920358317</v>
      </c>
      <c r="S2236" s="140" t="str">
        <f t="shared" si="177"/>
        <v>Y</v>
      </c>
      <c r="T2236" s="154">
        <f t="shared" si="178"/>
        <v>8.6500000000000021</v>
      </c>
      <c r="U2236" s="154">
        <f t="shared" si="179"/>
        <v>4.8195549041132084</v>
      </c>
    </row>
    <row r="2237" spans="1:21" x14ac:dyDescent="0.35">
      <c r="A2237" s="108">
        <v>2167</v>
      </c>
      <c r="B2237" s="108">
        <v>2014</v>
      </c>
      <c r="C2237" s="108" t="s">
        <v>38</v>
      </c>
      <c r="D2237" s="108" t="s">
        <v>143</v>
      </c>
      <c r="E2237" s="108" t="s">
        <v>10</v>
      </c>
      <c r="F2237" s="116">
        <v>825</v>
      </c>
      <c r="G2237" s="108" t="s">
        <v>58</v>
      </c>
      <c r="H2237" s="108" t="str">
        <f t="shared" si="180"/>
        <v>Baker Lake</v>
      </c>
      <c r="I2237" s="108" t="str">
        <f>IFERROR(VLOOKUP(H2237,LUTs!$A$1:$C$73,2,FALSE),"NA")</f>
        <v>Whatcom</v>
      </c>
      <c r="J2237" s="108" t="str">
        <f>IFERROR(VLOOKUP(H2237,LUTs!$A$1:$C$73,3,FALSE),"NA")</f>
        <v>1North Puget Sound</v>
      </c>
      <c r="K2237" s="108" t="s">
        <v>26</v>
      </c>
      <c r="L2237" s="108" t="str">
        <f>VLOOKUP(K2237,LUTs!E$2:G$14,3,)</f>
        <v>20Other</v>
      </c>
      <c r="M2237" s="108" t="str">
        <f>VLOOKUP($K2237,LUTs!$E$2:$H$14,2,)</f>
        <v>Non Puget Sound</v>
      </c>
      <c r="N2237" s="108" t="str">
        <f>VLOOKUP($K2237,LUTs!$E$2:$H$14,4,)</f>
        <v>07Non Puget Sound</v>
      </c>
      <c r="O2237" s="108">
        <v>129.4</v>
      </c>
      <c r="P2237" s="108">
        <v>1119.31</v>
      </c>
      <c r="Q2237" s="108">
        <f>SUMIFS('FW_Salmon_by_Month_2010-2021'!P$2:P$3810,'FW_Salmon_by_Month_2010-2021'!$B$2:$B$3810,'Rec_raw_catch_effort_2010-2021'!$B2237,'FW_Salmon_by_Month_2010-2021'!$H$2:$H$3810,'Rec_raw_catch_effort_2010-2021'!$F2237,'FW_Salmon_by_Month_2010-2021'!$M$2:$M$3810,'Rec_raw_catch_effort_2010-2021'!$K2237)</f>
        <v>130.53373644303659</v>
      </c>
      <c r="R2237" s="109">
        <f>VLOOKUP(B2237,Readme!$A$62:$C$74,2,)*Q2237</f>
        <v>629.11450962625804</v>
      </c>
      <c r="S2237" s="140" t="str">
        <f t="shared" si="177"/>
        <v>Y</v>
      </c>
      <c r="T2237" s="154">
        <f t="shared" si="178"/>
        <v>8.6499999999999986</v>
      </c>
      <c r="U2237" s="154">
        <f t="shared" si="179"/>
        <v>4.8195549041132084</v>
      </c>
    </row>
    <row r="2238" spans="1:21" x14ac:dyDescent="0.35">
      <c r="A2238" s="108">
        <v>2166</v>
      </c>
      <c r="B2238" s="108">
        <v>2014</v>
      </c>
      <c r="C2238" s="108" t="s">
        <v>38</v>
      </c>
      <c r="D2238" s="108" t="s">
        <v>143</v>
      </c>
      <c r="E2238" s="108" t="s">
        <v>10</v>
      </c>
      <c r="F2238" s="116">
        <v>825</v>
      </c>
      <c r="G2238" s="108" t="s">
        <v>58</v>
      </c>
      <c r="H2238" s="108" t="str">
        <f t="shared" si="180"/>
        <v>Baker Lake</v>
      </c>
      <c r="I2238" s="108" t="str">
        <f>IFERROR(VLOOKUP(H2238,LUTs!$A$1:$C$73,2,FALSE),"NA")</f>
        <v>Whatcom</v>
      </c>
      <c r="J2238" s="108" t="str">
        <f>IFERROR(VLOOKUP(H2238,LUTs!$A$1:$C$73,3,FALSE),"NA")</f>
        <v>1North Puget Sound</v>
      </c>
      <c r="K2238" s="108" t="s">
        <v>20</v>
      </c>
      <c r="L2238" s="108" t="str">
        <f>VLOOKUP(K2238,LUTs!E$2:G$14,3,)</f>
        <v>07Pierce</v>
      </c>
      <c r="M2238" s="108" t="str">
        <f>VLOOKUP($K2238,LUTs!$E$2:$H$14,2,)</f>
        <v>South Puget Sound</v>
      </c>
      <c r="N2238" s="108" t="str">
        <f>VLOOKUP($K2238,LUTs!$E$2:$H$14,4,)</f>
        <v>02South Puget Sound</v>
      </c>
      <c r="O2238" s="108">
        <v>35.9444444444444</v>
      </c>
      <c r="P2238" s="108">
        <v>310.91944444444403</v>
      </c>
      <c r="Q2238" s="108">
        <f>SUMIFS('FW_Salmon_by_Month_2010-2021'!P$2:P$3810,'FW_Salmon_by_Month_2010-2021'!$B$2:$B$3810,'Rec_raw_catch_effort_2010-2021'!$B2238,'FW_Salmon_by_Month_2010-2021'!$H$2:$H$3810,'Rec_raw_catch_effort_2010-2021'!$F2238,'FW_Salmon_by_Month_2010-2021'!$M$2:$M$3810,'Rec_raw_catch_effort_2010-2021'!$K2238)</f>
        <v>36.260245704962095</v>
      </c>
      <c r="R2238" s="109">
        <f>VLOOKUP(B2238,Readme!$A$62:$C$74,2,)*Q2238</f>
        <v>174.75824501169996</v>
      </c>
      <c r="S2238" s="140" t="str">
        <f t="shared" si="177"/>
        <v>Y</v>
      </c>
      <c r="T2238" s="154">
        <f t="shared" si="178"/>
        <v>8.6499999999999986</v>
      </c>
      <c r="U2238" s="154">
        <f t="shared" si="179"/>
        <v>4.8195549041132084</v>
      </c>
    </row>
    <row r="2239" spans="1:21" x14ac:dyDescent="0.35">
      <c r="A2239" s="108">
        <v>2046</v>
      </c>
      <c r="B2239" s="108">
        <v>2014</v>
      </c>
      <c r="C2239" s="108" t="s">
        <v>38</v>
      </c>
      <c r="D2239" s="108" t="s">
        <v>143</v>
      </c>
      <c r="E2239" s="108" t="s">
        <v>10</v>
      </c>
      <c r="F2239" s="116">
        <v>825</v>
      </c>
      <c r="G2239" s="108" t="s">
        <v>58</v>
      </c>
      <c r="H2239" s="108" t="str">
        <f t="shared" si="180"/>
        <v>Baker Lake</v>
      </c>
      <c r="I2239" s="108" t="str">
        <f>IFERROR(VLOOKUP(H2239,LUTs!$A$1:$C$73,2,FALSE),"NA")</f>
        <v>Whatcom</v>
      </c>
      <c r="J2239" s="108" t="str">
        <f>IFERROR(VLOOKUP(H2239,LUTs!$A$1:$C$73,3,FALSE),"NA")</f>
        <v>1North Puget Sound</v>
      </c>
      <c r="K2239" s="108" t="s">
        <v>15</v>
      </c>
      <c r="L2239" s="108" t="str">
        <f>VLOOKUP(K2239,LUTs!E$2:G$14,3,)</f>
        <v>02Skagit</v>
      </c>
      <c r="M2239" s="108" t="str">
        <f>VLOOKUP($K2239,LUTs!$E$2:$H$14,2,)</f>
        <v>North Puget Sound</v>
      </c>
      <c r="N2239" s="108" t="str">
        <f>VLOOKUP($K2239,LUTs!$E$2:$H$14,4,)</f>
        <v>01North Puget Sound</v>
      </c>
      <c r="O2239" s="108">
        <v>1171.7888888888899</v>
      </c>
      <c r="P2239" s="108">
        <v>10135.973888888901</v>
      </c>
      <c r="Q2239" s="108">
        <f>SUMIFS('FW_Salmon_by_Month_2010-2021'!P$2:P$3810,'FW_Salmon_by_Month_2010-2021'!$B$2:$B$3810,'Rec_raw_catch_effort_2010-2021'!$B2239,'FW_Salmon_by_Month_2010-2021'!$H$2:$H$3810,'Rec_raw_catch_effort_2010-2021'!$F2239,'FW_Salmon_by_Month_2010-2021'!$M$2:$M$3810,'Rec_raw_catch_effort_2010-2021'!$K2239)</f>
        <v>1160.614214415971</v>
      </c>
      <c r="R2239" s="109">
        <f>VLOOKUP(B2239,Readme!$A$62:$C$74,2,)*Q2239</f>
        <v>5593.6439288719921</v>
      </c>
      <c r="S2239" s="140" t="str">
        <f t="shared" si="177"/>
        <v>Y</v>
      </c>
      <c r="T2239" s="154">
        <f t="shared" si="178"/>
        <v>8.6500000000000021</v>
      </c>
      <c r="U2239" s="154">
        <f t="shared" si="179"/>
        <v>4.8195549041132084</v>
      </c>
    </row>
    <row r="2240" spans="1:21" x14ac:dyDescent="0.35">
      <c r="A2240" s="108">
        <v>2047</v>
      </c>
      <c r="B2240" s="108">
        <v>2014</v>
      </c>
      <c r="C2240" s="108" t="s">
        <v>38</v>
      </c>
      <c r="D2240" s="108" t="s">
        <v>143</v>
      </c>
      <c r="E2240" s="108" t="s">
        <v>10</v>
      </c>
      <c r="F2240" s="116">
        <v>825</v>
      </c>
      <c r="G2240" s="108" t="s">
        <v>58</v>
      </c>
      <c r="H2240" s="108" t="str">
        <f t="shared" si="180"/>
        <v>Baker Lake</v>
      </c>
      <c r="I2240" s="108" t="str">
        <f>IFERROR(VLOOKUP(H2240,LUTs!$A$1:$C$73,2,FALSE),"NA")</f>
        <v>Whatcom</v>
      </c>
      <c r="J2240" s="108" t="str">
        <f>IFERROR(VLOOKUP(H2240,LUTs!$A$1:$C$73,3,FALSE),"NA")</f>
        <v>1North Puget Sound</v>
      </c>
      <c r="K2240" s="108" t="s">
        <v>16</v>
      </c>
      <c r="L2240" s="108" t="str">
        <f>VLOOKUP(K2240,LUTs!E$2:G$14,3,)</f>
        <v>03Snohomish</v>
      </c>
      <c r="M2240" s="108" t="str">
        <f>VLOOKUP($K2240,LUTs!$E$2:$H$14,2,)</f>
        <v>North Puget Sound</v>
      </c>
      <c r="N2240" s="108" t="str">
        <f>VLOOKUP($K2240,LUTs!$E$2:$H$14,4,)</f>
        <v>01North Puget Sound</v>
      </c>
      <c r="O2240" s="108">
        <v>1056.7666666666701</v>
      </c>
      <c r="P2240" s="108">
        <v>9141.0316666667004</v>
      </c>
      <c r="Q2240" s="108">
        <f>SUMIFS('FW_Salmon_by_Month_2010-2021'!P$2:P$3810,'FW_Salmon_by_Month_2010-2021'!$B$2:$B$3810,'Rec_raw_catch_effort_2010-2021'!$B2240,'FW_Salmon_by_Month_2010-2021'!$H$2:$H$3810,'Rec_raw_catch_effort_2010-2021'!$F2240,'FW_Salmon_by_Month_2010-2021'!$M$2:$M$3810,'Rec_raw_catch_effort_2010-2021'!$K2240)</f>
        <v>1066.1015932431139</v>
      </c>
      <c r="R2240" s="109">
        <f>VLOOKUP(B2240,Readme!$A$62:$C$74,2,)*Q2240</f>
        <v>5138.1351619977549</v>
      </c>
      <c r="S2240" s="140" t="str">
        <f t="shared" si="177"/>
        <v>Y</v>
      </c>
      <c r="T2240" s="154">
        <f t="shared" si="178"/>
        <v>8.6500000000000039</v>
      </c>
      <c r="U2240" s="154">
        <f t="shared" si="179"/>
        <v>4.8195549041132084</v>
      </c>
    </row>
    <row r="2241" spans="1:21" x14ac:dyDescent="0.35">
      <c r="A2241" s="108">
        <v>2045</v>
      </c>
      <c r="B2241" s="108">
        <v>2014</v>
      </c>
      <c r="C2241" s="108" t="s">
        <v>38</v>
      </c>
      <c r="D2241" s="108" t="s">
        <v>143</v>
      </c>
      <c r="E2241" s="108" t="s">
        <v>10</v>
      </c>
      <c r="F2241" s="116">
        <v>825</v>
      </c>
      <c r="G2241" s="108" t="s">
        <v>58</v>
      </c>
      <c r="H2241" s="108" t="str">
        <f t="shared" si="180"/>
        <v>Baker Lake</v>
      </c>
      <c r="I2241" s="108" t="str">
        <f>IFERROR(VLOOKUP(H2241,LUTs!$A$1:$C$73,2,FALSE),"NA")</f>
        <v>Whatcom</v>
      </c>
      <c r="J2241" s="108" t="str">
        <f>IFERROR(VLOOKUP(H2241,LUTs!$A$1:$C$73,3,FALSE),"NA")</f>
        <v>1North Puget Sound</v>
      </c>
      <c r="K2241" s="108" t="s">
        <v>13</v>
      </c>
      <c r="L2241" s="108" t="str">
        <f>VLOOKUP(K2241,LUTs!E$2:G$14,3,)</f>
        <v>01Whatcom</v>
      </c>
      <c r="M2241" s="108" t="str">
        <f>VLOOKUP($K2241,LUTs!$E$2:$H$14,2,)</f>
        <v>North Puget Sound</v>
      </c>
      <c r="N2241" s="108" t="str">
        <f>VLOOKUP($K2241,LUTs!$E$2:$H$14,4,)</f>
        <v>01North Puget Sound</v>
      </c>
      <c r="O2241" s="108">
        <v>395.38888888888903</v>
      </c>
      <c r="P2241" s="108">
        <v>3420.11388888889</v>
      </c>
      <c r="Q2241" s="108">
        <f>SUMIFS('FW_Salmon_by_Month_2010-2021'!P$2:P$3810,'FW_Salmon_by_Month_2010-2021'!$B$2:$B$3810,'Rec_raw_catch_effort_2010-2021'!$B2241,'FW_Salmon_by_Month_2010-2021'!$H$2:$H$3810,'Rec_raw_catch_effort_2010-2021'!$F2241,'FW_Salmon_by_Month_2010-2021'!$M$2:$M$3810,'Rec_raw_catch_effort_2010-2021'!$K2241)</f>
        <v>391.86198291582701</v>
      </c>
      <c r="R2241" s="109">
        <f>VLOOKUP(B2241,Readme!$A$62:$C$74,2,)*Q2241</f>
        <v>1888.6003414975003</v>
      </c>
      <c r="S2241" s="140" t="str">
        <f t="shared" si="177"/>
        <v>Y</v>
      </c>
      <c r="T2241" s="154">
        <f t="shared" si="178"/>
        <v>8.65</v>
      </c>
      <c r="U2241" s="154">
        <f t="shared" si="179"/>
        <v>4.8195549041132084</v>
      </c>
    </row>
    <row r="2242" spans="1:21" x14ac:dyDescent="0.35">
      <c r="A2242" s="108">
        <v>2192</v>
      </c>
      <c r="B2242" s="108">
        <v>2015</v>
      </c>
      <c r="C2242" s="108" t="s">
        <v>38</v>
      </c>
      <c r="D2242" s="108" t="s">
        <v>143</v>
      </c>
      <c r="E2242" s="108" t="s">
        <v>10</v>
      </c>
      <c r="F2242" s="116">
        <v>825</v>
      </c>
      <c r="G2242" s="108" t="s">
        <v>58</v>
      </c>
      <c r="H2242" s="108" t="str">
        <f t="shared" si="180"/>
        <v>Baker Lake</v>
      </c>
      <c r="I2242" s="108" t="str">
        <f>IFERROR(VLOOKUP(H2242,LUTs!$A$1:$C$73,2,FALSE),"NA")</f>
        <v>Whatcom</v>
      </c>
      <c r="J2242" s="108" t="str">
        <f>IFERROR(VLOOKUP(H2242,LUTs!$A$1:$C$73,3,FALSE),"NA")</f>
        <v>1North Puget Sound</v>
      </c>
      <c r="K2242" s="108" t="s">
        <v>24</v>
      </c>
      <c r="L2242" s="108" t="str">
        <f>VLOOKUP(K2242,LUTs!E$2:G$14,3,)</f>
        <v>11Clallam</v>
      </c>
      <c r="M2242" s="108" t="str">
        <f>VLOOKUP($K2242,LUTs!$E$2:$H$14,2,)</f>
        <v>Strait of Juan de Fuca</v>
      </c>
      <c r="N2242" s="108" t="str">
        <f>VLOOKUP($K2242,LUTs!$E$2:$H$14,4,)</f>
        <v>03Strait of Juan de Fuca</v>
      </c>
      <c r="O2242" s="108">
        <v>35.183246073298399</v>
      </c>
      <c r="P2242" s="108">
        <v>121.030366492146</v>
      </c>
      <c r="Q2242" s="108">
        <f>SUMIFS('FW_Salmon_by_Month_2010-2021'!P$2:P$3810,'FW_Salmon_by_Month_2010-2021'!$B$2:$B$3810,'Rec_raw_catch_effort_2010-2021'!$B2242,'FW_Salmon_by_Month_2010-2021'!$H$2:$H$3810,'Rec_raw_catch_effort_2010-2021'!$F2242,'FW_Salmon_by_Month_2010-2021'!$M$2:$M$3810,'Rec_raw_catch_effort_2010-2021'!$K2242)</f>
        <v>35.369127516778498</v>
      </c>
      <c r="R2242" s="109">
        <f>VLOOKUP(B2242,Readme!$A$62:$C$74,2,)*Q2242</f>
        <v>125.1727726017001</v>
      </c>
      <c r="S2242" s="140" t="str">
        <f t="shared" si="177"/>
        <v>Y</v>
      </c>
      <c r="T2242" s="154">
        <f t="shared" si="178"/>
        <v>3.4399999999999862</v>
      </c>
      <c r="U2242" s="154">
        <f t="shared" si="179"/>
        <v>3.5390404397824153</v>
      </c>
    </row>
    <row r="2243" spans="1:21" x14ac:dyDescent="0.35">
      <c r="A2243" s="108">
        <v>2187</v>
      </c>
      <c r="B2243" s="108">
        <v>2015</v>
      </c>
      <c r="C2243" s="108" t="s">
        <v>38</v>
      </c>
      <c r="D2243" s="108" t="s">
        <v>143</v>
      </c>
      <c r="E2243" s="108" t="s">
        <v>10</v>
      </c>
      <c r="F2243" s="116">
        <v>825</v>
      </c>
      <c r="G2243" s="108" t="s">
        <v>58</v>
      </c>
      <c r="H2243" s="108" t="str">
        <f t="shared" si="180"/>
        <v>Baker Lake</v>
      </c>
      <c r="I2243" s="108" t="str">
        <f>IFERROR(VLOOKUP(H2243,LUTs!$A$1:$C$73,2,FALSE),"NA")</f>
        <v>Whatcom</v>
      </c>
      <c r="J2243" s="108" t="str">
        <f>IFERROR(VLOOKUP(H2243,LUTs!$A$1:$C$73,3,FALSE),"NA")</f>
        <v>1North Puget Sound</v>
      </c>
      <c r="K2243" s="108" t="s">
        <v>17</v>
      </c>
      <c r="L2243" s="108" t="str">
        <f>VLOOKUP(K2243,LUTs!E$2:G$14,3,)</f>
        <v>04Island</v>
      </c>
      <c r="M2243" s="108" t="str">
        <f>VLOOKUP($K2243,LUTs!$E$2:$H$14,2,)</f>
        <v>North Puget Sound</v>
      </c>
      <c r="N2243" s="108" t="str">
        <f>VLOOKUP($K2243,LUTs!$E$2:$H$14,4,)</f>
        <v>01North Puget Sound</v>
      </c>
      <c r="O2243" s="108">
        <v>387.01570680628299</v>
      </c>
      <c r="P2243" s="108">
        <v>1331.3340314136101</v>
      </c>
      <c r="Q2243" s="108">
        <f>SUMIFS('FW_Salmon_by_Month_2010-2021'!P$2:P$3810,'FW_Salmon_by_Month_2010-2021'!$B$2:$B$3810,'Rec_raw_catch_effort_2010-2021'!$B2243,'FW_Salmon_by_Month_2010-2021'!$H$2:$H$3810,'Rec_raw_catch_effort_2010-2021'!$F2243,'FW_Salmon_by_Month_2010-2021'!$M$2:$M$3810,'Rec_raw_catch_effort_2010-2021'!$K2243)</f>
        <v>389.04634803852758</v>
      </c>
      <c r="R2243" s="109">
        <f>VLOOKUP(B2243,Readme!$A$62:$C$74,2,)*Q2243</f>
        <v>1376.8507586580133</v>
      </c>
      <c r="S2243" s="140" t="str">
        <f t="shared" ref="S2243:S2306" si="181">IF(B2243&lt;=2019,"Y","N")</f>
        <v>Y</v>
      </c>
      <c r="T2243" s="154">
        <f t="shared" ref="T2243:T2306" si="182">IFERROR(P2243/O2243,"NA")</f>
        <v>3.4399999999999911</v>
      </c>
      <c r="U2243" s="154">
        <f t="shared" ref="U2243:U2306" si="183">IFERROR(R2243/Q2243,"NA")</f>
        <v>3.5390404397824153</v>
      </c>
    </row>
    <row r="2244" spans="1:21" x14ac:dyDescent="0.35">
      <c r="A2244" s="108">
        <v>2188</v>
      </c>
      <c r="B2244" s="108">
        <v>2015</v>
      </c>
      <c r="C2244" s="108" t="s">
        <v>38</v>
      </c>
      <c r="D2244" s="108" t="s">
        <v>143</v>
      </c>
      <c r="E2244" s="108" t="s">
        <v>10</v>
      </c>
      <c r="F2244" s="116">
        <v>825</v>
      </c>
      <c r="G2244" s="108" t="s">
        <v>58</v>
      </c>
      <c r="H2244" s="108" t="str">
        <f t="shared" si="180"/>
        <v>Baker Lake</v>
      </c>
      <c r="I2244" s="108" t="str">
        <f>IFERROR(VLOOKUP(H2244,LUTs!$A$1:$C$73,2,FALSE),"NA")</f>
        <v>Whatcom</v>
      </c>
      <c r="J2244" s="108" t="str">
        <f>IFERROR(VLOOKUP(H2244,LUTs!$A$1:$C$73,3,FALSE),"NA")</f>
        <v>1North Puget Sound</v>
      </c>
      <c r="K2244" s="108" t="s">
        <v>18</v>
      </c>
      <c r="L2244" s="108" t="str">
        <f>VLOOKUP(K2244,LUTs!E$2:G$14,3,)</f>
        <v>06King</v>
      </c>
      <c r="M2244" s="108" t="str">
        <f>VLOOKUP($K2244,LUTs!$E$2:$H$14,2,)</f>
        <v>South Puget Sound</v>
      </c>
      <c r="N2244" s="108" t="str">
        <f>VLOOKUP($K2244,LUTs!$E$2:$H$14,4,)</f>
        <v>02South Puget Sound</v>
      </c>
      <c r="O2244" s="108">
        <v>730.05235602094206</v>
      </c>
      <c r="P2244" s="108">
        <v>2511.3801047120401</v>
      </c>
      <c r="Q2244" s="108">
        <f>SUMIFS('FW_Salmon_by_Month_2010-2021'!P$2:P$3810,'FW_Salmon_by_Month_2010-2021'!$B$2:$B$3810,'Rec_raw_catch_effort_2010-2021'!$B2244,'FW_Salmon_by_Month_2010-2021'!$H$2:$H$3810,'Rec_raw_catch_effort_2010-2021'!$F2244,'FW_Salmon_by_Month_2010-2021'!$M$2:$M$3810,'Rec_raw_catch_effort_2010-2021'!$K2244)</f>
        <v>733.89661902221212</v>
      </c>
      <c r="R2244" s="109">
        <f>VLOOKUP(B2244,Readme!$A$62:$C$74,2,)*Q2244</f>
        <v>2597.2898133391973</v>
      </c>
      <c r="S2244" s="140" t="str">
        <f t="shared" si="181"/>
        <v>Y</v>
      </c>
      <c r="T2244" s="154">
        <f t="shared" si="182"/>
        <v>3.4399999999999991</v>
      </c>
      <c r="U2244" s="154">
        <f t="shared" si="183"/>
        <v>3.5390404397824153</v>
      </c>
    </row>
    <row r="2245" spans="1:21" x14ac:dyDescent="0.35">
      <c r="A2245" s="108">
        <v>2191</v>
      </c>
      <c r="B2245" s="108">
        <v>2015</v>
      </c>
      <c r="C2245" s="108" t="s">
        <v>38</v>
      </c>
      <c r="D2245" s="108" t="s">
        <v>143</v>
      </c>
      <c r="E2245" s="108" t="s">
        <v>10</v>
      </c>
      <c r="F2245" s="116">
        <v>825</v>
      </c>
      <c r="G2245" s="108" t="s">
        <v>58</v>
      </c>
      <c r="H2245" s="108" t="str">
        <f t="shared" si="180"/>
        <v>Baker Lake</v>
      </c>
      <c r="I2245" s="108" t="str">
        <f>IFERROR(VLOOKUP(H2245,LUTs!$A$1:$C$73,2,FALSE),"NA")</f>
        <v>Whatcom</v>
      </c>
      <c r="J2245" s="108" t="str">
        <f>IFERROR(VLOOKUP(H2245,LUTs!$A$1:$C$73,3,FALSE),"NA")</f>
        <v>1North Puget Sound</v>
      </c>
      <c r="K2245" s="108" t="s">
        <v>22</v>
      </c>
      <c r="L2245" s="108" t="str">
        <f>VLOOKUP(K2245,LUTs!E$2:G$14,3,)</f>
        <v>09Mason</v>
      </c>
      <c r="M2245" s="108" t="str">
        <f>VLOOKUP($K2245,LUTs!$E$2:$H$14,2,)</f>
        <v>South Puget Sound</v>
      </c>
      <c r="N2245" s="108" t="str">
        <f>VLOOKUP($K2245,LUTs!$E$2:$H$14,4,)</f>
        <v>02South Puget Sound</v>
      </c>
      <c r="O2245" s="108">
        <v>8.7958115183246104</v>
      </c>
      <c r="P2245" s="108">
        <v>30.257591623036699</v>
      </c>
      <c r="Q2245" s="108">
        <f>SUMIFS('FW_Salmon_by_Month_2010-2021'!P$2:P$3810,'FW_Salmon_by_Month_2010-2021'!$B$2:$B$3810,'Rec_raw_catch_effort_2010-2021'!$B2245,'FW_Salmon_by_Month_2010-2021'!$H$2:$H$3810,'Rec_raw_catch_effort_2010-2021'!$F2245,'FW_Salmon_by_Month_2010-2021'!$M$2:$M$3810,'Rec_raw_catch_effort_2010-2021'!$K2245)</f>
        <v>8.8422818791946298</v>
      </c>
      <c r="R2245" s="109">
        <f>VLOOKUP(B2245,Readme!$A$62:$C$74,2,)*Q2245</f>
        <v>31.293193150425044</v>
      </c>
      <c r="S2245" s="140" t="str">
        <f t="shared" si="181"/>
        <v>Y</v>
      </c>
      <c r="T2245" s="154">
        <f t="shared" si="182"/>
        <v>3.4400000000000044</v>
      </c>
      <c r="U2245" s="154">
        <f t="shared" si="183"/>
        <v>3.5390404397824153</v>
      </c>
    </row>
    <row r="2246" spans="1:21" x14ac:dyDescent="0.35">
      <c r="A2246" s="108">
        <v>2292</v>
      </c>
      <c r="B2246" s="108">
        <v>2015</v>
      </c>
      <c r="C2246" s="108" t="s">
        <v>38</v>
      </c>
      <c r="D2246" s="108" t="s">
        <v>143</v>
      </c>
      <c r="E2246" s="108" t="s">
        <v>10</v>
      </c>
      <c r="F2246" s="116">
        <v>825</v>
      </c>
      <c r="G2246" s="108" t="s">
        <v>58</v>
      </c>
      <c r="H2246" s="108" t="str">
        <f t="shared" si="180"/>
        <v>Baker Lake</v>
      </c>
      <c r="I2246" s="108" t="str">
        <f>IFERROR(VLOOKUP(H2246,LUTs!$A$1:$C$73,2,FALSE),"NA")</f>
        <v>Whatcom</v>
      </c>
      <c r="J2246" s="108" t="str">
        <f>IFERROR(VLOOKUP(H2246,LUTs!$A$1:$C$73,3,FALSE),"NA")</f>
        <v>1North Puget Sound</v>
      </c>
      <c r="K2246" s="108" t="s">
        <v>26</v>
      </c>
      <c r="L2246" s="108" t="str">
        <f>VLOOKUP(K2246,LUTs!E$2:G$14,3,)</f>
        <v>20Other</v>
      </c>
      <c r="M2246" s="108" t="str">
        <f>VLOOKUP($K2246,LUTs!$E$2:$H$14,2,)</f>
        <v>Non Puget Sound</v>
      </c>
      <c r="N2246" s="108" t="str">
        <f>VLOOKUP($K2246,LUTs!$E$2:$H$14,4,)</f>
        <v>07Non Puget Sound</v>
      </c>
      <c r="O2246" s="108">
        <v>809.21465968586404</v>
      </c>
      <c r="P2246" s="108">
        <v>2783.69842931937</v>
      </c>
      <c r="Q2246" s="108">
        <f>SUMIFS('FW_Salmon_by_Month_2010-2021'!P$2:P$3810,'FW_Salmon_by_Month_2010-2021'!$B$2:$B$3810,'Rec_raw_catch_effort_2010-2021'!$B2246,'FW_Salmon_by_Month_2010-2021'!$H$2:$H$3810,'Rec_raw_catch_effort_2010-2021'!$F2246,'FW_Salmon_by_Month_2010-2021'!$M$2:$M$3810,'Rec_raw_catch_effort_2010-2021'!$K2246)</f>
        <v>813.46821206930395</v>
      </c>
      <c r="R2246" s="109">
        <f>VLOOKUP(B2246,Readme!$A$62:$C$74,2,)*Q2246</f>
        <v>2878.8968989907644</v>
      </c>
      <c r="S2246" s="140" t="str">
        <f t="shared" si="181"/>
        <v>Y</v>
      </c>
      <c r="T2246" s="154">
        <f t="shared" si="182"/>
        <v>3.4399999999999973</v>
      </c>
      <c r="U2246" s="154">
        <f t="shared" si="183"/>
        <v>3.5390404397824153</v>
      </c>
    </row>
    <row r="2247" spans="1:21" x14ac:dyDescent="0.35">
      <c r="A2247" s="108">
        <v>2189</v>
      </c>
      <c r="B2247" s="108">
        <v>2015</v>
      </c>
      <c r="C2247" s="108" t="s">
        <v>38</v>
      </c>
      <c r="D2247" s="108" t="s">
        <v>143</v>
      </c>
      <c r="E2247" s="108" t="s">
        <v>10</v>
      </c>
      <c r="F2247" s="116">
        <v>825</v>
      </c>
      <c r="G2247" s="108" t="s">
        <v>58</v>
      </c>
      <c r="H2247" s="108" t="str">
        <f t="shared" si="180"/>
        <v>Baker Lake</v>
      </c>
      <c r="I2247" s="108" t="str">
        <f>IFERROR(VLOOKUP(H2247,LUTs!$A$1:$C$73,2,FALSE),"NA")</f>
        <v>Whatcom</v>
      </c>
      <c r="J2247" s="108" t="str">
        <f>IFERROR(VLOOKUP(H2247,LUTs!$A$1:$C$73,3,FALSE),"NA")</f>
        <v>1North Puget Sound</v>
      </c>
      <c r="K2247" s="108" t="s">
        <v>20</v>
      </c>
      <c r="L2247" s="108" t="str">
        <f>VLOOKUP(K2247,LUTs!E$2:G$14,3,)</f>
        <v>07Pierce</v>
      </c>
      <c r="M2247" s="108" t="str">
        <f>VLOOKUP($K2247,LUTs!$E$2:$H$14,2,)</f>
        <v>South Puget Sound</v>
      </c>
      <c r="N2247" s="108" t="str">
        <f>VLOOKUP($K2247,LUTs!$E$2:$H$14,4,)</f>
        <v>02South Puget Sound</v>
      </c>
      <c r="O2247" s="108">
        <v>316.64921465968598</v>
      </c>
      <c r="P2247" s="108">
        <v>1089.27329842932</v>
      </c>
      <c r="Q2247" s="108">
        <f>SUMIFS('FW_Salmon_by_Month_2010-2021'!P$2:P$3810,'FW_Salmon_by_Month_2010-2021'!$B$2:$B$3810,'Rec_raw_catch_effort_2010-2021'!$B2247,'FW_Salmon_by_Month_2010-2021'!$H$2:$H$3810,'Rec_raw_catch_effort_2010-2021'!$F2247,'FW_Salmon_by_Month_2010-2021'!$M$2:$M$3810,'Rec_raw_catch_effort_2010-2021'!$K2247)</f>
        <v>318.32214765100701</v>
      </c>
      <c r="R2247" s="109">
        <f>VLOOKUP(B2247,Readme!$A$62:$C$74,2,)*Q2247</f>
        <v>1126.5549534153029</v>
      </c>
      <c r="S2247" s="140" t="str">
        <f t="shared" si="181"/>
        <v>Y</v>
      </c>
      <c r="T2247" s="154">
        <f t="shared" si="182"/>
        <v>3.4400000000000008</v>
      </c>
      <c r="U2247" s="154">
        <f t="shared" si="183"/>
        <v>3.5390404397824153</v>
      </c>
    </row>
    <row r="2248" spans="1:21" x14ac:dyDescent="0.35">
      <c r="A2248" s="108">
        <v>2185</v>
      </c>
      <c r="B2248" s="108">
        <v>2015</v>
      </c>
      <c r="C2248" s="108" t="s">
        <v>38</v>
      </c>
      <c r="D2248" s="108" t="s">
        <v>143</v>
      </c>
      <c r="E2248" s="108" t="s">
        <v>10</v>
      </c>
      <c r="F2248" s="116">
        <v>825</v>
      </c>
      <c r="G2248" s="108" t="s">
        <v>58</v>
      </c>
      <c r="H2248" s="108" t="str">
        <f t="shared" si="180"/>
        <v>Baker Lake</v>
      </c>
      <c r="I2248" s="108" t="str">
        <f>IFERROR(VLOOKUP(H2248,LUTs!$A$1:$C$73,2,FALSE),"NA")</f>
        <v>Whatcom</v>
      </c>
      <c r="J2248" s="108" t="str">
        <f>IFERROR(VLOOKUP(H2248,LUTs!$A$1:$C$73,3,FALSE),"NA")</f>
        <v>1North Puget Sound</v>
      </c>
      <c r="K2248" s="108" t="s">
        <v>15</v>
      </c>
      <c r="L2248" s="108" t="str">
        <f>VLOOKUP(K2248,LUTs!E$2:G$14,3,)</f>
        <v>02Skagit</v>
      </c>
      <c r="M2248" s="108" t="str">
        <f>VLOOKUP($K2248,LUTs!$E$2:$H$14,2,)</f>
        <v>North Puget Sound</v>
      </c>
      <c r="N2248" s="108" t="str">
        <f>VLOOKUP($K2248,LUTs!$E$2:$H$14,4,)</f>
        <v>01North Puget Sound</v>
      </c>
      <c r="O2248" s="108">
        <v>2656.3350785340299</v>
      </c>
      <c r="P2248" s="108">
        <v>9137.7926701570595</v>
      </c>
      <c r="Q2248" s="108">
        <f>SUMIFS('FW_Salmon_by_Month_2010-2021'!P$2:P$3810,'FW_Salmon_by_Month_2010-2021'!$B$2:$B$3810,'Rec_raw_catch_effort_2010-2021'!$B2248,'FW_Salmon_by_Month_2010-2021'!$H$2:$H$3810,'Rec_raw_catch_effort_2010-2021'!$F2248,'FW_Salmon_by_Month_2010-2021'!$M$2:$M$3810,'Rec_raw_catch_effort_2010-2021'!$K2248)</f>
        <v>2635.0145881890389</v>
      </c>
      <c r="R2248" s="109">
        <f>VLOOKUP(B2248,Readme!$A$62:$C$74,2,)*Q2248</f>
        <v>9325.4231870176172</v>
      </c>
      <c r="S2248" s="140" t="str">
        <f t="shared" si="181"/>
        <v>Y</v>
      </c>
      <c r="T2248" s="154">
        <f t="shared" si="182"/>
        <v>3.4399999999999986</v>
      </c>
      <c r="U2248" s="154">
        <f t="shared" si="183"/>
        <v>3.5390404397824158</v>
      </c>
    </row>
    <row r="2249" spans="1:21" x14ac:dyDescent="0.35">
      <c r="A2249" s="108">
        <v>2186</v>
      </c>
      <c r="B2249" s="108">
        <v>2015</v>
      </c>
      <c r="C2249" s="108" t="s">
        <v>38</v>
      </c>
      <c r="D2249" s="108" t="s">
        <v>143</v>
      </c>
      <c r="E2249" s="108" t="s">
        <v>10</v>
      </c>
      <c r="F2249" s="116">
        <v>825</v>
      </c>
      <c r="G2249" s="108" t="s">
        <v>58</v>
      </c>
      <c r="H2249" s="108" t="str">
        <f t="shared" si="180"/>
        <v>Baker Lake</v>
      </c>
      <c r="I2249" s="108" t="str">
        <f>IFERROR(VLOOKUP(H2249,LUTs!$A$1:$C$73,2,FALSE),"NA")</f>
        <v>Whatcom</v>
      </c>
      <c r="J2249" s="108" t="str">
        <f>IFERROR(VLOOKUP(H2249,LUTs!$A$1:$C$73,3,FALSE),"NA")</f>
        <v>1North Puget Sound</v>
      </c>
      <c r="K2249" s="108" t="s">
        <v>16</v>
      </c>
      <c r="L2249" s="108" t="str">
        <f>VLOOKUP(K2249,LUTs!E$2:G$14,3,)</f>
        <v>03Snohomish</v>
      </c>
      <c r="M2249" s="108" t="str">
        <f>VLOOKUP($K2249,LUTs!$E$2:$H$14,2,)</f>
        <v>North Puget Sound</v>
      </c>
      <c r="N2249" s="108" t="str">
        <f>VLOOKUP($K2249,LUTs!$E$2:$H$14,4,)</f>
        <v>01North Puget Sound</v>
      </c>
      <c r="O2249" s="108">
        <v>3439.1623036649198</v>
      </c>
      <c r="P2249" s="108">
        <v>11830.7183246073</v>
      </c>
      <c r="Q2249" s="108">
        <f>SUMIFS('FW_Salmon_by_Month_2010-2021'!P$2:P$3810,'FW_Salmon_by_Month_2010-2021'!$B$2:$B$3810,'Rec_raw_catch_effort_2010-2021'!$B2249,'FW_Salmon_by_Month_2010-2021'!$H$2:$H$3810,'Rec_raw_catch_effort_2010-2021'!$F2249,'FW_Salmon_by_Month_2010-2021'!$M$2:$M$3810,'Rec_raw_catch_effort_2010-2021'!$K2249)</f>
        <v>3439.5211591923817</v>
      </c>
      <c r="R2249" s="109">
        <f>VLOOKUP(B2249,Readme!$A$62:$C$74,2,)*Q2249</f>
        <v>12172.60447586913</v>
      </c>
      <c r="S2249" s="140" t="str">
        <f t="shared" si="181"/>
        <v>Y</v>
      </c>
      <c r="T2249" s="154">
        <f t="shared" si="182"/>
        <v>3.4399999999999928</v>
      </c>
      <c r="U2249" s="154">
        <f t="shared" si="183"/>
        <v>3.5390404397824153</v>
      </c>
    </row>
    <row r="2250" spans="1:21" x14ac:dyDescent="0.35">
      <c r="A2250" s="108">
        <v>2190</v>
      </c>
      <c r="B2250" s="108">
        <v>2015</v>
      </c>
      <c r="C2250" s="108" t="s">
        <v>38</v>
      </c>
      <c r="D2250" s="108" t="s">
        <v>143</v>
      </c>
      <c r="E2250" s="108" t="s">
        <v>10</v>
      </c>
      <c r="F2250" s="116">
        <v>825</v>
      </c>
      <c r="G2250" s="108" t="s">
        <v>58</v>
      </c>
      <c r="H2250" s="108" t="str">
        <f t="shared" si="180"/>
        <v>Baker Lake</v>
      </c>
      <c r="I2250" s="108" t="str">
        <f>IFERROR(VLOOKUP(H2250,LUTs!$A$1:$C$73,2,FALSE),"NA")</f>
        <v>Whatcom</v>
      </c>
      <c r="J2250" s="108" t="str">
        <f>IFERROR(VLOOKUP(H2250,LUTs!$A$1:$C$73,3,FALSE),"NA")</f>
        <v>1North Puget Sound</v>
      </c>
      <c r="K2250" s="108" t="s">
        <v>21</v>
      </c>
      <c r="L2250" s="108" t="str">
        <f>VLOOKUP(K2250,LUTs!E$2:G$14,3,)</f>
        <v>08Thurston</v>
      </c>
      <c r="M2250" s="108" t="str">
        <f>VLOOKUP($K2250,LUTs!$E$2:$H$14,2,)</f>
        <v>South Puget Sound</v>
      </c>
      <c r="N2250" s="108" t="str">
        <f>VLOOKUP($K2250,LUTs!$E$2:$H$14,4,)</f>
        <v>02South Puget Sound</v>
      </c>
      <c r="O2250" s="108">
        <v>8.7958115183246104</v>
      </c>
      <c r="P2250" s="108">
        <v>30.257591623036699</v>
      </c>
      <c r="Q2250" s="108">
        <f>SUMIFS('FW_Salmon_by_Month_2010-2021'!P$2:P$3810,'FW_Salmon_by_Month_2010-2021'!$B$2:$B$3810,'Rec_raw_catch_effort_2010-2021'!$B2250,'FW_Salmon_by_Month_2010-2021'!$H$2:$H$3810,'Rec_raw_catch_effort_2010-2021'!$F2250,'FW_Salmon_by_Month_2010-2021'!$M$2:$M$3810,'Rec_raw_catch_effort_2010-2021'!$K2250)</f>
        <v>8.8422818791946298</v>
      </c>
      <c r="R2250" s="109">
        <f>VLOOKUP(B2250,Readme!$A$62:$C$74,2,)*Q2250</f>
        <v>31.293193150425044</v>
      </c>
      <c r="S2250" s="140" t="str">
        <f t="shared" si="181"/>
        <v>Y</v>
      </c>
      <c r="T2250" s="154">
        <f t="shared" si="182"/>
        <v>3.4400000000000044</v>
      </c>
      <c r="U2250" s="154">
        <f t="shared" si="183"/>
        <v>3.5390404397824153</v>
      </c>
    </row>
    <row r="2251" spans="1:21" x14ac:dyDescent="0.35">
      <c r="A2251" s="108">
        <v>2184</v>
      </c>
      <c r="B2251" s="108">
        <v>2015</v>
      </c>
      <c r="C2251" s="108" t="s">
        <v>38</v>
      </c>
      <c r="D2251" s="108" t="s">
        <v>143</v>
      </c>
      <c r="E2251" s="108" t="s">
        <v>10</v>
      </c>
      <c r="F2251" s="116">
        <v>825</v>
      </c>
      <c r="G2251" s="108" t="s">
        <v>58</v>
      </c>
      <c r="H2251" s="108" t="str">
        <f t="shared" si="180"/>
        <v>Baker Lake</v>
      </c>
      <c r="I2251" s="108" t="str">
        <f>IFERROR(VLOOKUP(H2251,LUTs!$A$1:$C$73,2,FALSE),"NA")</f>
        <v>Whatcom</v>
      </c>
      <c r="J2251" s="108" t="str">
        <f>IFERROR(VLOOKUP(H2251,LUTs!$A$1:$C$73,3,FALSE),"NA")</f>
        <v>1North Puget Sound</v>
      </c>
      <c r="K2251" s="108" t="s">
        <v>13</v>
      </c>
      <c r="L2251" s="108" t="str">
        <f>VLOOKUP(K2251,LUTs!E$2:G$14,3,)</f>
        <v>01Whatcom</v>
      </c>
      <c r="M2251" s="108" t="str">
        <f>VLOOKUP($K2251,LUTs!$E$2:$H$14,2,)</f>
        <v>North Puget Sound</v>
      </c>
      <c r="N2251" s="108" t="str">
        <f>VLOOKUP($K2251,LUTs!$E$2:$H$14,4,)</f>
        <v>01North Puget Sound</v>
      </c>
      <c r="O2251" s="108">
        <v>1688.7958115183301</v>
      </c>
      <c r="P2251" s="108">
        <v>5809.4575916230597</v>
      </c>
      <c r="Q2251" s="108">
        <f>SUMIFS('FW_Salmon_by_Month_2010-2021'!P$2:P$3810,'FW_Salmon_by_Month_2010-2021'!$B$2:$B$3810,'Rec_raw_catch_effort_2010-2021'!$B2251,'FW_Salmon_by_Month_2010-2021'!$H$2:$H$3810,'Rec_raw_catch_effort_2010-2021'!$F2251,'FW_Salmon_by_Month_2010-2021'!$M$2:$M$3810,'Rec_raw_catch_effort_2010-2021'!$K2251)</f>
        <v>1697.6772345623531</v>
      </c>
      <c r="R2251" s="109">
        <f>VLOOKUP(B2251,Readme!$A$62:$C$74,2,)*Q2251</f>
        <v>6008.1483868141449</v>
      </c>
      <c r="S2251" s="140" t="str">
        <f t="shared" si="181"/>
        <v>Y</v>
      </c>
      <c r="T2251" s="154">
        <f t="shared" si="182"/>
        <v>3.4400000000000026</v>
      </c>
      <c r="U2251" s="154">
        <f t="shared" si="183"/>
        <v>3.5390404397824153</v>
      </c>
    </row>
    <row r="2252" spans="1:21" x14ac:dyDescent="0.35">
      <c r="A2252" s="108">
        <v>2411</v>
      </c>
      <c r="B2252" s="108">
        <v>2016</v>
      </c>
      <c r="C2252" s="108" t="s">
        <v>38</v>
      </c>
      <c r="D2252" s="108" t="s">
        <v>143</v>
      </c>
      <c r="E2252" s="108" t="s">
        <v>10</v>
      </c>
      <c r="F2252" s="116">
        <v>825</v>
      </c>
      <c r="G2252" s="108" t="s">
        <v>58</v>
      </c>
      <c r="H2252" s="108" t="str">
        <f t="shared" si="180"/>
        <v>Baker Lake</v>
      </c>
      <c r="I2252" s="108" t="str">
        <f>IFERROR(VLOOKUP(H2252,LUTs!$A$1:$C$73,2,FALSE),"NA")</f>
        <v>Whatcom</v>
      </c>
      <c r="J2252" s="108" t="str">
        <f>IFERROR(VLOOKUP(H2252,LUTs!$A$1:$C$73,3,FALSE),"NA")</f>
        <v>1North Puget Sound</v>
      </c>
      <c r="K2252" s="108" t="s">
        <v>24</v>
      </c>
      <c r="L2252" s="108" t="str">
        <f>VLOOKUP(K2252,LUTs!E$2:G$14,3,)</f>
        <v>11Clallam</v>
      </c>
      <c r="M2252" s="108" t="str">
        <f>VLOOKUP($K2252,LUTs!$E$2:$H$14,2,)</f>
        <v>Strait of Juan de Fuca</v>
      </c>
      <c r="N2252" s="108" t="str">
        <f>VLOOKUP($K2252,LUTs!$E$2:$H$14,4,)</f>
        <v>03Strait of Juan de Fuca</v>
      </c>
      <c r="O2252" s="108">
        <v>9.6879049676026003</v>
      </c>
      <c r="P2252" s="108">
        <v>83.800377969762494</v>
      </c>
      <c r="Q2252" s="108">
        <f>SUMIFS('FW_Salmon_by_Month_2010-2021'!P$2:P$3810,'FW_Salmon_by_Month_2010-2021'!$B$2:$B$3810,'Rec_raw_catch_effort_2010-2021'!$B2252,'FW_Salmon_by_Month_2010-2021'!$H$2:$H$3810,'Rec_raw_catch_effort_2010-2021'!$F2252,'FW_Salmon_by_Month_2010-2021'!$M$2:$M$3810,'Rec_raw_catch_effort_2010-2021'!$K2252)</f>
        <v>10.227544910179599</v>
      </c>
      <c r="R2252" s="109">
        <f>VLOOKUP(B2252,Readme!$A$62:$C$74,2,)*Q2252</f>
        <v>49.292214228894174</v>
      </c>
      <c r="S2252" s="140" t="str">
        <f t="shared" si="181"/>
        <v>Y</v>
      </c>
      <c r="T2252" s="154">
        <f t="shared" si="182"/>
        <v>8.65</v>
      </c>
      <c r="U2252" s="154">
        <f t="shared" si="183"/>
        <v>4.8195549041132084</v>
      </c>
    </row>
    <row r="2253" spans="1:21" x14ac:dyDescent="0.35">
      <c r="A2253" s="108">
        <v>2407</v>
      </c>
      <c r="B2253" s="108">
        <v>2016</v>
      </c>
      <c r="C2253" s="108" t="s">
        <v>38</v>
      </c>
      <c r="D2253" s="108" t="s">
        <v>143</v>
      </c>
      <c r="E2253" s="108" t="s">
        <v>10</v>
      </c>
      <c r="F2253" s="116">
        <v>825</v>
      </c>
      <c r="G2253" s="108" t="s">
        <v>58</v>
      </c>
      <c r="H2253" s="108" t="str">
        <f t="shared" si="180"/>
        <v>Baker Lake</v>
      </c>
      <c r="I2253" s="108" t="str">
        <f>IFERROR(VLOOKUP(H2253,LUTs!$A$1:$C$73,2,FALSE),"NA")</f>
        <v>Whatcom</v>
      </c>
      <c r="J2253" s="108" t="str">
        <f>IFERROR(VLOOKUP(H2253,LUTs!$A$1:$C$73,3,FALSE),"NA")</f>
        <v>1North Puget Sound</v>
      </c>
      <c r="K2253" s="108" t="s">
        <v>17</v>
      </c>
      <c r="L2253" s="108" t="str">
        <f>VLOOKUP(K2253,LUTs!E$2:G$14,3,)</f>
        <v>04Island</v>
      </c>
      <c r="M2253" s="108" t="str">
        <f>VLOOKUP($K2253,LUTs!$E$2:$H$14,2,)</f>
        <v>North Puget Sound</v>
      </c>
      <c r="N2253" s="108" t="str">
        <f>VLOOKUP($K2253,LUTs!$E$2:$H$14,4,)</f>
        <v>01North Puget Sound</v>
      </c>
      <c r="O2253" s="108">
        <v>329.38876889848802</v>
      </c>
      <c r="P2253" s="108">
        <v>2849.21285097192</v>
      </c>
      <c r="Q2253" s="108">
        <f>SUMIFS('FW_Salmon_by_Month_2010-2021'!P$2:P$3810,'FW_Salmon_by_Month_2010-2021'!$B$2:$B$3810,'Rec_raw_catch_effort_2010-2021'!$B2253,'FW_Salmon_by_Month_2010-2021'!$H$2:$H$3810,'Rec_raw_catch_effort_2010-2021'!$F2253,'FW_Salmon_by_Month_2010-2021'!$M$2:$M$3810,'Rec_raw_catch_effort_2010-2021'!$K2253)</f>
        <v>339.81878039153099</v>
      </c>
      <c r="R2253" s="109">
        <f>VLOOKUP(B2253,Readme!$A$62:$C$74,2,)*Q2253</f>
        <v>1637.7752695457725</v>
      </c>
      <c r="S2253" s="140" t="str">
        <f t="shared" si="181"/>
        <v>Y</v>
      </c>
      <c r="T2253" s="154">
        <f t="shared" si="182"/>
        <v>8.649999999999995</v>
      </c>
      <c r="U2253" s="154">
        <f t="shared" si="183"/>
        <v>4.8195549041132084</v>
      </c>
    </row>
    <row r="2254" spans="1:21" x14ac:dyDescent="0.35">
      <c r="A2254" s="108">
        <v>2408</v>
      </c>
      <c r="B2254" s="108">
        <v>2016</v>
      </c>
      <c r="C2254" s="108" t="s">
        <v>38</v>
      </c>
      <c r="D2254" s="108" t="s">
        <v>143</v>
      </c>
      <c r="E2254" s="108" t="s">
        <v>10</v>
      </c>
      <c r="F2254" s="116">
        <v>825</v>
      </c>
      <c r="G2254" s="108" t="s">
        <v>58</v>
      </c>
      <c r="H2254" s="108" t="str">
        <f t="shared" si="180"/>
        <v>Baker Lake</v>
      </c>
      <c r="I2254" s="108" t="str">
        <f>IFERROR(VLOOKUP(H2254,LUTs!$A$1:$C$73,2,FALSE),"NA")</f>
        <v>Whatcom</v>
      </c>
      <c r="J2254" s="108" t="str">
        <f>IFERROR(VLOOKUP(H2254,LUTs!$A$1:$C$73,3,FALSE),"NA")</f>
        <v>1North Puget Sound</v>
      </c>
      <c r="K2254" s="108" t="s">
        <v>18</v>
      </c>
      <c r="L2254" s="108" t="str">
        <f>VLOOKUP(K2254,LUTs!E$2:G$14,3,)</f>
        <v>06King</v>
      </c>
      <c r="M2254" s="108" t="str">
        <f>VLOOKUP($K2254,LUTs!$E$2:$H$14,2,)</f>
        <v>South Puget Sound</v>
      </c>
      <c r="N2254" s="108" t="str">
        <f>VLOOKUP($K2254,LUTs!$E$2:$H$14,4,)</f>
        <v>02South Puget Sound</v>
      </c>
      <c r="O2254" s="108">
        <v>1365.99460043197</v>
      </c>
      <c r="P2254" s="108">
        <v>11815.8532937365</v>
      </c>
      <c r="Q2254" s="108">
        <f>SUMIFS('FW_Salmon_by_Month_2010-2021'!P$2:P$3810,'FW_Salmon_by_Month_2010-2021'!$B$2:$B$3810,'Rec_raw_catch_effort_2010-2021'!$B2254,'FW_Salmon_by_Month_2010-2021'!$H$2:$H$3810,'Rec_raw_catch_effort_2010-2021'!$F2254,'FW_Salmon_by_Month_2010-2021'!$M$2:$M$3810,'Rec_raw_catch_effort_2010-2021'!$K2254)</f>
        <v>1369.6930066934849</v>
      </c>
      <c r="R2254" s="109">
        <f>VLOOKUP(B2254,Readme!$A$62:$C$74,2,)*Q2254</f>
        <v>6601.3106475391505</v>
      </c>
      <c r="S2254" s="140" t="str">
        <f t="shared" si="181"/>
        <v>Y</v>
      </c>
      <c r="T2254" s="154">
        <f t="shared" si="182"/>
        <v>8.6499999999999702</v>
      </c>
      <c r="U2254" s="154">
        <f t="shared" si="183"/>
        <v>4.8195549041132084</v>
      </c>
    </row>
    <row r="2255" spans="1:21" x14ac:dyDescent="0.35">
      <c r="A2255" s="108">
        <v>2412</v>
      </c>
      <c r="B2255" s="108">
        <v>2016</v>
      </c>
      <c r="C2255" s="108" t="s">
        <v>38</v>
      </c>
      <c r="D2255" s="108" t="s">
        <v>143</v>
      </c>
      <c r="E2255" s="108" t="s">
        <v>10</v>
      </c>
      <c r="F2255" s="116">
        <v>825</v>
      </c>
      <c r="G2255" s="108" t="s">
        <v>58</v>
      </c>
      <c r="H2255" s="108" t="str">
        <f t="shared" si="180"/>
        <v>Baker Lake</v>
      </c>
      <c r="I2255" s="108" t="str">
        <f>IFERROR(VLOOKUP(H2255,LUTs!$A$1:$C$73,2,FALSE),"NA")</f>
        <v>Whatcom</v>
      </c>
      <c r="J2255" s="108" t="str">
        <f>IFERROR(VLOOKUP(H2255,LUTs!$A$1:$C$73,3,FALSE),"NA")</f>
        <v>1North Puget Sound</v>
      </c>
      <c r="K2255" s="108" t="s">
        <v>26</v>
      </c>
      <c r="L2255" s="108" t="str">
        <f>VLOOKUP(K2255,LUTs!E$2:G$14,3,)</f>
        <v>20Other</v>
      </c>
      <c r="M2255" s="108" t="str">
        <f>VLOOKUP($K2255,LUTs!$E$2:$H$14,2,)</f>
        <v>Non Puget Sound</v>
      </c>
      <c r="N2255" s="108" t="str">
        <f>VLOOKUP($K2255,LUTs!$E$2:$H$14,4,)</f>
        <v>07Non Puget Sound</v>
      </c>
      <c r="O2255" s="108">
        <v>445.64362850971901</v>
      </c>
      <c r="P2255" s="108">
        <v>3854.8173866090701</v>
      </c>
      <c r="Q2255" s="108">
        <f>SUMIFS('FW_Salmon_by_Month_2010-2021'!P$2:P$3810,'FW_Salmon_by_Month_2010-2021'!$B$2:$B$3810,'Rec_raw_catch_effort_2010-2021'!$B2255,'FW_Salmon_by_Month_2010-2021'!$H$2:$H$3810,'Rec_raw_catch_effort_2010-2021'!$F2255,'FW_Salmon_by_Month_2010-2021'!$M$2:$M$3810,'Rec_raw_catch_effort_2010-2021'!$K2255)</f>
        <v>451.65931014225714</v>
      </c>
      <c r="R2255" s="109">
        <f>VLOOKUP(B2255,Readme!$A$62:$C$74,2,)*Q2255</f>
        <v>2176.7968431845038</v>
      </c>
      <c r="S2255" s="140" t="str">
        <f t="shared" si="181"/>
        <v>Y</v>
      </c>
      <c r="T2255" s="154">
        <f t="shared" si="182"/>
        <v>8.6500000000000021</v>
      </c>
      <c r="U2255" s="154">
        <f t="shared" si="183"/>
        <v>4.8195549041132084</v>
      </c>
    </row>
    <row r="2256" spans="1:21" x14ac:dyDescent="0.35">
      <c r="A2256" s="108">
        <v>2409</v>
      </c>
      <c r="B2256" s="108">
        <v>2016</v>
      </c>
      <c r="C2256" s="108" t="s">
        <v>38</v>
      </c>
      <c r="D2256" s="108" t="s">
        <v>143</v>
      </c>
      <c r="E2256" s="108" t="s">
        <v>10</v>
      </c>
      <c r="F2256" s="116">
        <v>825</v>
      </c>
      <c r="G2256" s="108" t="s">
        <v>58</v>
      </c>
      <c r="H2256" s="108" t="str">
        <f t="shared" si="180"/>
        <v>Baker Lake</v>
      </c>
      <c r="I2256" s="108" t="str">
        <f>IFERROR(VLOOKUP(H2256,LUTs!$A$1:$C$73,2,FALSE),"NA")</f>
        <v>Whatcom</v>
      </c>
      <c r="J2256" s="108" t="str">
        <f>IFERROR(VLOOKUP(H2256,LUTs!$A$1:$C$73,3,FALSE),"NA")</f>
        <v>1North Puget Sound</v>
      </c>
      <c r="K2256" s="108" t="s">
        <v>20</v>
      </c>
      <c r="L2256" s="108" t="str">
        <f>VLOOKUP(K2256,LUTs!E$2:G$14,3,)</f>
        <v>07Pierce</v>
      </c>
      <c r="M2256" s="108" t="str">
        <f>VLOOKUP($K2256,LUTs!$E$2:$H$14,2,)</f>
        <v>South Puget Sound</v>
      </c>
      <c r="N2256" s="108" t="str">
        <f>VLOOKUP($K2256,LUTs!$E$2:$H$14,4,)</f>
        <v>02South Puget Sound</v>
      </c>
      <c r="O2256" s="108">
        <v>435.95572354211703</v>
      </c>
      <c r="P2256" s="108">
        <v>3771.01700863931</v>
      </c>
      <c r="Q2256" s="108">
        <f>SUMIFS('FW_Salmon_by_Month_2010-2021'!P$2:P$3810,'FW_Salmon_by_Month_2010-2021'!$B$2:$B$3810,'Rec_raw_catch_effort_2010-2021'!$B2256,'FW_Salmon_by_Month_2010-2021'!$H$2:$H$3810,'Rec_raw_catch_effort_2010-2021'!$F2256,'FW_Salmon_by_Month_2010-2021'!$M$2:$M$3810,'Rec_raw_catch_effort_2010-2021'!$K2256)</f>
        <v>438.17051063478823</v>
      </c>
      <c r="R2256" s="109">
        <f>VLOOKUP(B2256,Readme!$A$62:$C$74,2,)*Q2256</f>
        <v>2111.7868333676824</v>
      </c>
      <c r="S2256" s="140" t="str">
        <f t="shared" si="181"/>
        <v>Y</v>
      </c>
      <c r="T2256" s="154">
        <f t="shared" si="182"/>
        <v>8.649999999999995</v>
      </c>
      <c r="U2256" s="154">
        <f t="shared" si="183"/>
        <v>4.8195549041132084</v>
      </c>
    </row>
    <row r="2257" spans="1:21" x14ac:dyDescent="0.35">
      <c r="A2257" s="108">
        <v>2405</v>
      </c>
      <c r="B2257" s="108">
        <v>2016</v>
      </c>
      <c r="C2257" s="108" t="s">
        <v>38</v>
      </c>
      <c r="D2257" s="108" t="s">
        <v>143</v>
      </c>
      <c r="E2257" s="108" t="s">
        <v>10</v>
      </c>
      <c r="F2257" s="116">
        <v>825</v>
      </c>
      <c r="G2257" s="108" t="s">
        <v>58</v>
      </c>
      <c r="H2257" s="108" t="str">
        <f t="shared" si="180"/>
        <v>Baker Lake</v>
      </c>
      <c r="I2257" s="108" t="str">
        <f>IFERROR(VLOOKUP(H2257,LUTs!$A$1:$C$73,2,FALSE),"NA")</f>
        <v>Whatcom</v>
      </c>
      <c r="J2257" s="108" t="str">
        <f>IFERROR(VLOOKUP(H2257,LUTs!$A$1:$C$73,3,FALSE),"NA")</f>
        <v>1North Puget Sound</v>
      </c>
      <c r="K2257" s="108" t="s">
        <v>15</v>
      </c>
      <c r="L2257" s="108" t="str">
        <f>VLOOKUP(K2257,LUTs!E$2:G$14,3,)</f>
        <v>02Skagit</v>
      </c>
      <c r="M2257" s="108" t="str">
        <f>VLOOKUP($K2257,LUTs!$E$2:$H$14,2,)</f>
        <v>North Puget Sound</v>
      </c>
      <c r="N2257" s="108" t="str">
        <f>VLOOKUP($K2257,LUTs!$E$2:$H$14,4,)</f>
        <v>01North Puget Sound</v>
      </c>
      <c r="O2257" s="108">
        <v>2509.16738660907</v>
      </c>
      <c r="P2257" s="108">
        <v>21704.2978941685</v>
      </c>
      <c r="Q2257" s="108">
        <f>SUMIFS('FW_Salmon_by_Month_2010-2021'!P$2:P$3810,'FW_Salmon_by_Month_2010-2021'!$B$2:$B$3810,'Rec_raw_catch_effort_2010-2021'!$B2257,'FW_Salmon_by_Month_2010-2021'!$H$2:$H$3810,'Rec_raw_catch_effort_2010-2021'!$F2257,'FW_Salmon_by_Month_2010-2021'!$M$2:$M$3810,'Rec_raw_catch_effort_2010-2021'!$K2257)</f>
        <v>2508.1482489762052</v>
      </c>
      <c r="R2257" s="109">
        <f>VLOOKUP(B2257,Readme!$A$62:$C$74,2,)*Q2257</f>
        <v>12088.158193596226</v>
      </c>
      <c r="S2257" s="140" t="str">
        <f t="shared" si="181"/>
        <v>Y</v>
      </c>
      <c r="T2257" s="154">
        <f t="shared" si="182"/>
        <v>8.6500000000000181</v>
      </c>
      <c r="U2257" s="154">
        <f t="shared" si="183"/>
        <v>4.8195549041132084</v>
      </c>
    </row>
    <row r="2258" spans="1:21" x14ac:dyDescent="0.35">
      <c r="A2258" s="108">
        <v>2406</v>
      </c>
      <c r="B2258" s="108">
        <v>2016</v>
      </c>
      <c r="C2258" s="108" t="s">
        <v>38</v>
      </c>
      <c r="D2258" s="108" t="s">
        <v>143</v>
      </c>
      <c r="E2258" s="108" t="s">
        <v>10</v>
      </c>
      <c r="F2258" s="116">
        <v>825</v>
      </c>
      <c r="G2258" s="108" t="s">
        <v>58</v>
      </c>
      <c r="H2258" s="108" t="str">
        <f t="shared" si="180"/>
        <v>Baker Lake</v>
      </c>
      <c r="I2258" s="108" t="str">
        <f>IFERROR(VLOOKUP(H2258,LUTs!$A$1:$C$73,2,FALSE),"NA")</f>
        <v>Whatcom</v>
      </c>
      <c r="J2258" s="108" t="str">
        <f>IFERROR(VLOOKUP(H2258,LUTs!$A$1:$C$73,3,FALSE),"NA")</f>
        <v>1North Puget Sound</v>
      </c>
      <c r="K2258" s="108" t="s">
        <v>16</v>
      </c>
      <c r="L2258" s="108" t="str">
        <f>VLOOKUP(K2258,LUTs!E$2:G$14,3,)</f>
        <v>03Snohomish</v>
      </c>
      <c r="M2258" s="108" t="str">
        <f>VLOOKUP($K2258,LUTs!$E$2:$H$14,2,)</f>
        <v>North Puget Sound</v>
      </c>
      <c r="N2258" s="108" t="str">
        <f>VLOOKUP($K2258,LUTs!$E$2:$H$14,4,)</f>
        <v>01North Puget Sound</v>
      </c>
      <c r="O2258" s="108">
        <v>2848.24406047516</v>
      </c>
      <c r="P2258" s="108">
        <v>24637.311123110099</v>
      </c>
      <c r="Q2258" s="108">
        <f>SUMIFS('FW_Salmon_by_Month_2010-2021'!P$2:P$3810,'FW_Salmon_by_Month_2010-2021'!$B$2:$B$3810,'Rec_raw_catch_effort_2010-2021'!$B2258,'FW_Salmon_by_Month_2010-2021'!$H$2:$H$3810,'Rec_raw_catch_effort_2010-2021'!$F2258,'FW_Salmon_by_Month_2010-2021'!$M$2:$M$3810,'Rec_raw_catch_effort_2010-2021'!$K2258)</f>
        <v>2847.2198864758343</v>
      </c>
      <c r="R2258" s="109">
        <f>VLOOKUP(B2258,Readme!$A$62:$C$74,2,)*Q2258</f>
        <v>13722.332566953261</v>
      </c>
      <c r="S2258" s="140" t="str">
        <f t="shared" si="181"/>
        <v>Y</v>
      </c>
      <c r="T2258" s="154">
        <f t="shared" si="182"/>
        <v>8.6499999999999879</v>
      </c>
      <c r="U2258" s="154">
        <f t="shared" si="183"/>
        <v>4.8195549041132084</v>
      </c>
    </row>
    <row r="2259" spans="1:21" x14ac:dyDescent="0.35">
      <c r="A2259" s="108">
        <v>2410</v>
      </c>
      <c r="B2259" s="108">
        <v>2016</v>
      </c>
      <c r="C2259" s="108" t="s">
        <v>38</v>
      </c>
      <c r="D2259" s="108" t="s">
        <v>143</v>
      </c>
      <c r="E2259" s="108" t="s">
        <v>10</v>
      </c>
      <c r="F2259" s="116">
        <v>825</v>
      </c>
      <c r="G2259" s="108" t="s">
        <v>58</v>
      </c>
      <c r="H2259" s="108" t="str">
        <f t="shared" si="180"/>
        <v>Baker Lake</v>
      </c>
      <c r="I2259" s="108" t="str">
        <f>IFERROR(VLOOKUP(H2259,LUTs!$A$1:$C$73,2,FALSE),"NA")</f>
        <v>Whatcom</v>
      </c>
      <c r="J2259" s="108" t="str">
        <f>IFERROR(VLOOKUP(H2259,LUTs!$A$1:$C$73,3,FALSE),"NA")</f>
        <v>1North Puget Sound</v>
      </c>
      <c r="K2259" s="108" t="s">
        <v>21</v>
      </c>
      <c r="L2259" s="108" t="str">
        <f>VLOOKUP(K2259,LUTs!E$2:G$14,3,)</f>
        <v>08Thurston</v>
      </c>
      <c r="M2259" s="108" t="str">
        <f>VLOOKUP($K2259,LUTs!$E$2:$H$14,2,)</f>
        <v>South Puget Sound</v>
      </c>
      <c r="N2259" s="108" t="str">
        <f>VLOOKUP($K2259,LUTs!$E$2:$H$14,4,)</f>
        <v>02South Puget Sound</v>
      </c>
      <c r="O2259" s="108">
        <v>58.127429805615598</v>
      </c>
      <c r="P2259" s="108">
        <v>502.80226781857499</v>
      </c>
      <c r="Q2259" s="108">
        <f>SUMIFS('FW_Salmon_by_Month_2010-2021'!P$2:P$3810,'FW_Salmon_by_Month_2010-2021'!$B$2:$B$3810,'Rec_raw_catch_effort_2010-2021'!$B2259,'FW_Salmon_by_Month_2010-2021'!$H$2:$H$3810,'Rec_raw_catch_effort_2010-2021'!$F2259,'FW_Salmon_by_Month_2010-2021'!$M$2:$M$3810,'Rec_raw_catch_effort_2010-2021'!$K2259)</f>
        <v>58.537502834443302</v>
      </c>
      <c r="R2259" s="109">
        <f>VLOOKUP(B2259,Readme!$A$62:$C$74,2,)*Q2259</f>
        <v>282.12470886028206</v>
      </c>
      <c r="S2259" s="140" t="str">
        <f t="shared" si="181"/>
        <v>Y</v>
      </c>
      <c r="T2259" s="154">
        <f t="shared" si="182"/>
        <v>8.65</v>
      </c>
      <c r="U2259" s="154">
        <f t="shared" si="183"/>
        <v>4.8195549041132084</v>
      </c>
    </row>
    <row r="2260" spans="1:21" x14ac:dyDescent="0.35">
      <c r="A2260" s="108">
        <v>2404</v>
      </c>
      <c r="B2260" s="108">
        <v>2016</v>
      </c>
      <c r="C2260" s="108" t="s">
        <v>38</v>
      </c>
      <c r="D2260" s="108" t="s">
        <v>143</v>
      </c>
      <c r="E2260" s="108" t="s">
        <v>10</v>
      </c>
      <c r="F2260" s="116">
        <v>825</v>
      </c>
      <c r="G2260" s="108" t="s">
        <v>58</v>
      </c>
      <c r="H2260" s="108" t="str">
        <f t="shared" si="180"/>
        <v>Baker Lake</v>
      </c>
      <c r="I2260" s="108" t="str">
        <f>IFERROR(VLOOKUP(H2260,LUTs!$A$1:$C$73,2,FALSE),"NA")</f>
        <v>Whatcom</v>
      </c>
      <c r="J2260" s="108" t="str">
        <f>IFERROR(VLOOKUP(H2260,LUTs!$A$1:$C$73,3,FALSE),"NA")</f>
        <v>1North Puget Sound</v>
      </c>
      <c r="K2260" s="108" t="s">
        <v>13</v>
      </c>
      <c r="L2260" s="108" t="str">
        <f>VLOOKUP(K2260,LUTs!E$2:G$14,3,)</f>
        <v>01Whatcom</v>
      </c>
      <c r="M2260" s="108" t="str">
        <f>VLOOKUP($K2260,LUTs!$E$2:$H$14,2,)</f>
        <v>North Puget Sound</v>
      </c>
      <c r="N2260" s="108" t="str">
        <f>VLOOKUP($K2260,LUTs!$E$2:$H$14,4,)</f>
        <v>01North Puget Sound</v>
      </c>
      <c r="O2260" s="108">
        <v>968.79049676025897</v>
      </c>
      <c r="P2260" s="108">
        <v>8380.0377969762394</v>
      </c>
      <c r="Q2260" s="108">
        <f>SUMIFS('FW_Salmon_by_Month_2010-2021'!P$2:P$3810,'FW_Salmon_by_Month_2010-2021'!$B$2:$B$3810,'Rec_raw_catch_effort_2010-2021'!$B2260,'FW_Salmon_by_Month_2010-2021'!$H$2:$H$3810,'Rec_raw_catch_effort_2010-2021'!$F2260,'FW_Salmon_by_Month_2010-2021'!$M$2:$M$3810,'Rec_raw_catch_effort_2010-2021'!$K2260)</f>
        <v>947.52520894127156</v>
      </c>
      <c r="R2260" s="109">
        <f>VLOOKUP(B2260,Readme!$A$62:$C$74,2,)*Q2260</f>
        <v>4566.6497675237979</v>
      </c>
      <c r="S2260" s="140" t="str">
        <f t="shared" si="181"/>
        <v>Y</v>
      </c>
      <c r="T2260" s="154">
        <f t="shared" si="182"/>
        <v>8.6499999999999986</v>
      </c>
      <c r="U2260" s="154">
        <f t="shared" si="183"/>
        <v>4.8195549041132084</v>
      </c>
    </row>
    <row r="2261" spans="1:21" x14ac:dyDescent="0.35">
      <c r="A2261" s="108">
        <v>2642</v>
      </c>
      <c r="B2261" s="108">
        <v>2017</v>
      </c>
      <c r="C2261" s="108" t="s">
        <v>38</v>
      </c>
      <c r="D2261" s="108" t="s">
        <v>143</v>
      </c>
      <c r="E2261" s="108" t="s">
        <v>10</v>
      </c>
      <c r="F2261" s="116">
        <v>825</v>
      </c>
      <c r="G2261" s="108" t="s">
        <v>58</v>
      </c>
      <c r="H2261" s="108" t="str">
        <f t="shared" si="180"/>
        <v>Baker Lake</v>
      </c>
      <c r="I2261" s="108" t="str">
        <f>IFERROR(VLOOKUP(H2261,LUTs!$A$1:$C$73,2,FALSE),"NA")</f>
        <v>Whatcom</v>
      </c>
      <c r="J2261" s="108" t="str">
        <f>IFERROR(VLOOKUP(H2261,LUTs!$A$1:$C$73,3,FALSE),"NA")</f>
        <v>1North Puget Sound</v>
      </c>
      <c r="K2261" s="108" t="s">
        <v>24</v>
      </c>
      <c r="L2261" s="108" t="str">
        <f>VLOOKUP(K2261,LUTs!E$2:G$14,3,)</f>
        <v>11Clallam</v>
      </c>
      <c r="M2261" s="108" t="str">
        <f>VLOOKUP($K2261,LUTs!$E$2:$H$14,2,)</f>
        <v>Strait of Juan de Fuca</v>
      </c>
      <c r="N2261" s="108" t="str">
        <f>VLOOKUP($K2261,LUTs!$E$2:$H$14,4,)</f>
        <v>03Strait of Juan de Fuca</v>
      </c>
      <c r="O2261" s="108">
        <v>9.9750519750519793</v>
      </c>
      <c r="P2261" s="108">
        <v>34.314178794178801</v>
      </c>
      <c r="Q2261" s="108">
        <f>SUMIFS('FW_Salmon_by_Month_2010-2021'!P$2:P$3810,'FW_Salmon_by_Month_2010-2021'!$B$2:$B$3810,'Rec_raw_catch_effort_2010-2021'!$B2261,'FW_Salmon_by_Month_2010-2021'!$H$2:$H$3810,'Rec_raw_catch_effort_2010-2021'!$F2261,'FW_Salmon_by_Month_2010-2021'!$M$2:$M$3810,'Rec_raw_catch_effort_2010-2021'!$K2261)</f>
        <v>9.99457994579946</v>
      </c>
      <c r="R2261" s="109">
        <f>VLOOKUP(B2261,Readme!$A$62:$C$74,2,)*Q2261</f>
        <v>35.371222606822627</v>
      </c>
      <c r="S2261" s="140" t="str">
        <f t="shared" si="181"/>
        <v>Y</v>
      </c>
      <c r="T2261" s="154">
        <f t="shared" si="182"/>
        <v>3.4399999999999991</v>
      </c>
      <c r="U2261" s="154">
        <f t="shared" si="183"/>
        <v>3.5390404397824149</v>
      </c>
    </row>
    <row r="2262" spans="1:21" x14ac:dyDescent="0.35">
      <c r="A2262" s="108">
        <v>2530</v>
      </c>
      <c r="B2262" s="108">
        <v>2017</v>
      </c>
      <c r="C2262" s="108" t="s">
        <v>38</v>
      </c>
      <c r="D2262" s="108" t="s">
        <v>143</v>
      </c>
      <c r="E2262" s="108" t="s">
        <v>10</v>
      </c>
      <c r="F2262" s="116">
        <v>825</v>
      </c>
      <c r="G2262" s="108" t="s">
        <v>58</v>
      </c>
      <c r="H2262" s="108" t="str">
        <f t="shared" si="180"/>
        <v>Baker Lake</v>
      </c>
      <c r="I2262" s="108" t="str">
        <f>IFERROR(VLOOKUP(H2262,LUTs!$A$1:$C$73,2,FALSE),"NA")</f>
        <v>Whatcom</v>
      </c>
      <c r="J2262" s="108" t="str">
        <f>IFERROR(VLOOKUP(H2262,LUTs!$A$1:$C$73,3,FALSE),"NA")</f>
        <v>1North Puget Sound</v>
      </c>
      <c r="K2262" s="108" t="s">
        <v>17</v>
      </c>
      <c r="L2262" s="108" t="str">
        <f>VLOOKUP(K2262,LUTs!E$2:G$14,3,)</f>
        <v>04Island</v>
      </c>
      <c r="M2262" s="108" t="str">
        <f>VLOOKUP($K2262,LUTs!$E$2:$H$14,2,)</f>
        <v>North Puget Sound</v>
      </c>
      <c r="N2262" s="108" t="str">
        <f>VLOOKUP($K2262,LUTs!$E$2:$H$14,4,)</f>
        <v>01North Puget Sound</v>
      </c>
      <c r="O2262" s="108">
        <v>169.57588357588401</v>
      </c>
      <c r="P2262" s="108">
        <v>583.341039501041</v>
      </c>
      <c r="Q2262" s="108">
        <f>SUMIFS('FW_Salmon_by_Month_2010-2021'!P$2:P$3810,'FW_Salmon_by_Month_2010-2021'!$B$2:$B$3810,'Rec_raw_catch_effort_2010-2021'!$B2262,'FW_Salmon_by_Month_2010-2021'!$H$2:$H$3810,'Rec_raw_catch_effort_2010-2021'!$F2262,'FW_Salmon_by_Month_2010-2021'!$M$2:$M$3810,'Rec_raw_catch_effort_2010-2021'!$K2262)</f>
        <v>169.93495934959401</v>
      </c>
      <c r="R2262" s="109">
        <f>VLOOKUP(B2262,Readme!$A$62:$C$74,2,)*Q2262</f>
        <v>601.40669327099408</v>
      </c>
      <c r="S2262" s="140" t="str">
        <f t="shared" si="181"/>
        <v>Y</v>
      </c>
      <c r="T2262" s="154">
        <f t="shared" si="182"/>
        <v>3.44</v>
      </c>
      <c r="U2262" s="154">
        <f t="shared" si="183"/>
        <v>3.5390404397824153</v>
      </c>
    </row>
    <row r="2263" spans="1:21" x14ac:dyDescent="0.35">
      <c r="A2263" s="108">
        <v>2533</v>
      </c>
      <c r="B2263" s="108">
        <v>2017</v>
      </c>
      <c r="C2263" s="108" t="s">
        <v>38</v>
      </c>
      <c r="D2263" s="108" t="s">
        <v>143</v>
      </c>
      <c r="E2263" s="108" t="s">
        <v>10</v>
      </c>
      <c r="F2263" s="116">
        <v>825</v>
      </c>
      <c r="G2263" s="108" t="s">
        <v>58</v>
      </c>
      <c r="H2263" s="108" t="str">
        <f t="shared" si="180"/>
        <v>Baker Lake</v>
      </c>
      <c r="I2263" s="108" t="str">
        <f>IFERROR(VLOOKUP(H2263,LUTs!$A$1:$C$73,2,FALSE),"NA")</f>
        <v>Whatcom</v>
      </c>
      <c r="J2263" s="108" t="str">
        <f>IFERROR(VLOOKUP(H2263,LUTs!$A$1:$C$73,3,FALSE),"NA")</f>
        <v>1North Puget Sound</v>
      </c>
      <c r="K2263" s="108" t="s">
        <v>18</v>
      </c>
      <c r="L2263" s="108" t="str">
        <f>VLOOKUP(K2263,LUTs!E$2:G$14,3,)</f>
        <v>06King</v>
      </c>
      <c r="M2263" s="108" t="str">
        <f>VLOOKUP($K2263,LUTs!$E$2:$H$14,2,)</f>
        <v>South Puget Sound</v>
      </c>
      <c r="N2263" s="108" t="str">
        <f>VLOOKUP($K2263,LUTs!$E$2:$H$14,4,)</f>
        <v>02South Puget Sound</v>
      </c>
      <c r="O2263" s="108">
        <v>488.777546777547</v>
      </c>
      <c r="P2263" s="108">
        <v>1681.3947609147599</v>
      </c>
      <c r="Q2263" s="108">
        <f>SUMIFS('FW_Salmon_by_Month_2010-2021'!P$2:P$3810,'FW_Salmon_by_Month_2010-2021'!$B$2:$B$3810,'Rec_raw_catch_effort_2010-2021'!$B2263,'FW_Salmon_by_Month_2010-2021'!$H$2:$H$3810,'Rec_raw_catch_effort_2010-2021'!$F2263,'FW_Salmon_by_Month_2010-2021'!$M$2:$M$3810,'Rec_raw_catch_effort_2010-2021'!$K2263)</f>
        <v>479.81029810298099</v>
      </c>
      <c r="R2263" s="109">
        <f>VLOOKUP(B2263,Readme!$A$62:$C$74,2,)*Q2263</f>
        <v>1698.0680484105058</v>
      </c>
      <c r="S2263" s="140" t="str">
        <f t="shared" si="181"/>
        <v>Y</v>
      </c>
      <c r="T2263" s="154">
        <f t="shared" si="182"/>
        <v>3.4399999999999964</v>
      </c>
      <c r="U2263" s="154">
        <f t="shared" si="183"/>
        <v>3.5390404397824153</v>
      </c>
    </row>
    <row r="2264" spans="1:21" x14ac:dyDescent="0.35">
      <c r="A2264" s="108">
        <v>2641</v>
      </c>
      <c r="B2264" s="108">
        <v>2017</v>
      </c>
      <c r="C2264" s="108" t="s">
        <v>38</v>
      </c>
      <c r="D2264" s="108" t="s">
        <v>143</v>
      </c>
      <c r="E2264" s="108" t="s">
        <v>10</v>
      </c>
      <c r="F2264" s="116">
        <v>825</v>
      </c>
      <c r="G2264" s="108" t="s">
        <v>58</v>
      </c>
      <c r="H2264" s="108" t="str">
        <f t="shared" si="180"/>
        <v>Baker Lake</v>
      </c>
      <c r="I2264" s="108" t="str">
        <f>IFERROR(VLOOKUP(H2264,LUTs!$A$1:$C$73,2,FALSE),"NA")</f>
        <v>Whatcom</v>
      </c>
      <c r="J2264" s="108" t="str">
        <f>IFERROR(VLOOKUP(H2264,LUTs!$A$1:$C$73,3,FALSE),"NA")</f>
        <v>1North Puget Sound</v>
      </c>
      <c r="K2264" s="108" t="s">
        <v>22</v>
      </c>
      <c r="L2264" s="108" t="str">
        <f>VLOOKUP(K2264,LUTs!E$2:G$14,3,)</f>
        <v>09Mason</v>
      </c>
      <c r="M2264" s="108" t="str">
        <f>VLOOKUP($K2264,LUTs!$E$2:$H$14,2,)</f>
        <v>South Puget Sound</v>
      </c>
      <c r="N2264" s="108" t="str">
        <f>VLOOKUP($K2264,LUTs!$E$2:$H$14,4,)</f>
        <v>02South Puget Sound</v>
      </c>
      <c r="O2264" s="108">
        <v>59.850311850311897</v>
      </c>
      <c r="P2264" s="108">
        <v>205.88507276507301</v>
      </c>
      <c r="Q2264" s="108">
        <f>SUMIFS('FW_Salmon_by_Month_2010-2021'!P$2:P$3810,'FW_Salmon_by_Month_2010-2021'!$B$2:$B$3810,'Rec_raw_catch_effort_2010-2021'!$B2264,'FW_Salmon_by_Month_2010-2021'!$H$2:$H$3810,'Rec_raw_catch_effort_2010-2021'!$F2264,'FW_Salmon_by_Month_2010-2021'!$M$2:$M$3810,'Rec_raw_catch_effort_2010-2021'!$K2264)</f>
        <v>59.967479674796799</v>
      </c>
      <c r="R2264" s="109">
        <f>VLOOKUP(B2264,Readme!$A$62:$C$74,2,)*Q2264</f>
        <v>212.22733564093591</v>
      </c>
      <c r="S2264" s="140" t="str">
        <f t="shared" si="181"/>
        <v>Y</v>
      </c>
      <c r="T2264" s="154">
        <f t="shared" si="182"/>
        <v>3.4400000000000013</v>
      </c>
      <c r="U2264" s="154">
        <f t="shared" si="183"/>
        <v>3.5390404397824153</v>
      </c>
    </row>
    <row r="2265" spans="1:21" x14ac:dyDescent="0.35">
      <c r="A2265" s="108">
        <v>2643</v>
      </c>
      <c r="B2265" s="108">
        <v>2017</v>
      </c>
      <c r="C2265" s="108" t="s">
        <v>38</v>
      </c>
      <c r="D2265" s="108" t="s">
        <v>143</v>
      </c>
      <c r="E2265" s="108" t="s">
        <v>10</v>
      </c>
      <c r="F2265" s="116">
        <v>825</v>
      </c>
      <c r="G2265" s="108" t="s">
        <v>58</v>
      </c>
      <c r="H2265" s="108" t="str">
        <f t="shared" si="180"/>
        <v>Baker Lake</v>
      </c>
      <c r="I2265" s="108" t="str">
        <f>IFERROR(VLOOKUP(H2265,LUTs!$A$1:$C$73,2,FALSE),"NA")</f>
        <v>Whatcom</v>
      </c>
      <c r="J2265" s="108" t="str">
        <f>IFERROR(VLOOKUP(H2265,LUTs!$A$1:$C$73,3,FALSE),"NA")</f>
        <v>1North Puget Sound</v>
      </c>
      <c r="K2265" s="108" t="s">
        <v>26</v>
      </c>
      <c r="L2265" s="108" t="str">
        <f>VLOOKUP(K2265,LUTs!E$2:G$14,3,)</f>
        <v>20Other</v>
      </c>
      <c r="M2265" s="108" t="str">
        <f>VLOOKUP($K2265,LUTs!$E$2:$H$14,2,)</f>
        <v>Non Puget Sound</v>
      </c>
      <c r="N2265" s="108" t="str">
        <f>VLOOKUP($K2265,LUTs!$E$2:$H$14,4,)</f>
        <v>07Non Puget Sound</v>
      </c>
      <c r="O2265" s="108">
        <v>249.37629937629899</v>
      </c>
      <c r="P2265" s="108">
        <v>857.85446985446902</v>
      </c>
      <c r="Q2265" s="108">
        <f>SUMIFS('FW_Salmon_by_Month_2010-2021'!P$2:P$3810,'FW_Salmon_by_Month_2010-2021'!$B$2:$B$3810,'Rec_raw_catch_effort_2010-2021'!$B2265,'FW_Salmon_by_Month_2010-2021'!$H$2:$H$3810,'Rec_raw_catch_effort_2010-2021'!$F2265,'FW_Salmon_by_Month_2010-2021'!$M$2:$M$3810,'Rec_raw_catch_effort_2010-2021'!$K2265)</f>
        <v>249.907859078591</v>
      </c>
      <c r="R2265" s="109">
        <f>VLOOKUP(B2265,Readme!$A$62:$C$74,2,)*Q2265</f>
        <v>884.43401949857855</v>
      </c>
      <c r="S2265" s="140" t="str">
        <f t="shared" si="181"/>
        <v>Y</v>
      </c>
      <c r="T2265" s="154">
        <f t="shared" si="182"/>
        <v>3.4400000000000022</v>
      </c>
      <c r="U2265" s="154">
        <f t="shared" si="183"/>
        <v>3.5390404397824153</v>
      </c>
    </row>
    <row r="2266" spans="1:21" x14ac:dyDescent="0.35">
      <c r="A2266" s="108">
        <v>2534</v>
      </c>
      <c r="B2266" s="108">
        <v>2017</v>
      </c>
      <c r="C2266" s="108" t="s">
        <v>38</v>
      </c>
      <c r="D2266" s="108" t="s">
        <v>143</v>
      </c>
      <c r="E2266" s="108" t="s">
        <v>10</v>
      </c>
      <c r="F2266" s="116">
        <v>825</v>
      </c>
      <c r="G2266" s="108" t="s">
        <v>58</v>
      </c>
      <c r="H2266" s="108" t="str">
        <f t="shared" si="180"/>
        <v>Baker Lake</v>
      </c>
      <c r="I2266" s="108" t="str">
        <f>IFERROR(VLOOKUP(H2266,LUTs!$A$1:$C$73,2,FALSE),"NA")</f>
        <v>Whatcom</v>
      </c>
      <c r="J2266" s="108" t="str">
        <f>IFERROR(VLOOKUP(H2266,LUTs!$A$1:$C$73,3,FALSE),"NA")</f>
        <v>1North Puget Sound</v>
      </c>
      <c r="K2266" s="108" t="s">
        <v>20</v>
      </c>
      <c r="L2266" s="108" t="str">
        <f>VLOOKUP(K2266,LUTs!E$2:G$14,3,)</f>
        <v>07Pierce</v>
      </c>
      <c r="M2266" s="108" t="str">
        <f>VLOOKUP($K2266,LUTs!$E$2:$H$14,2,)</f>
        <v>South Puget Sound</v>
      </c>
      <c r="N2266" s="108" t="str">
        <f>VLOOKUP($K2266,LUTs!$E$2:$H$14,4,)</f>
        <v>02South Puget Sound</v>
      </c>
      <c r="O2266" s="108">
        <v>269.32640332640301</v>
      </c>
      <c r="P2266" s="108">
        <v>926.48282744282596</v>
      </c>
      <c r="Q2266" s="108">
        <f>SUMIFS('FW_Salmon_by_Month_2010-2021'!P$2:P$3810,'FW_Salmon_by_Month_2010-2021'!$B$2:$B$3810,'Rec_raw_catch_effort_2010-2021'!$B2266,'FW_Salmon_by_Month_2010-2021'!$H$2:$H$3810,'Rec_raw_catch_effort_2010-2021'!$F2266,'FW_Salmon_by_Month_2010-2021'!$M$2:$M$3810,'Rec_raw_catch_effort_2010-2021'!$K2266)</f>
        <v>269.918699186992</v>
      </c>
      <c r="R2266" s="109">
        <f>VLOOKUP(B2266,Readme!$A$62:$C$74,2,)*Q2266</f>
        <v>955.25319187622961</v>
      </c>
      <c r="S2266" s="140" t="str">
        <f t="shared" si="181"/>
        <v>Y</v>
      </c>
      <c r="T2266" s="154">
        <f t="shared" si="182"/>
        <v>3.4399999999999986</v>
      </c>
      <c r="U2266" s="154">
        <f t="shared" si="183"/>
        <v>3.5390404397824153</v>
      </c>
    </row>
    <row r="2267" spans="1:21" x14ac:dyDescent="0.35">
      <c r="A2267" s="108">
        <v>2528</v>
      </c>
      <c r="B2267" s="108">
        <v>2017</v>
      </c>
      <c r="C2267" s="108" t="s">
        <v>38</v>
      </c>
      <c r="D2267" s="108" t="s">
        <v>143</v>
      </c>
      <c r="E2267" s="108" t="s">
        <v>10</v>
      </c>
      <c r="F2267" s="116">
        <v>825</v>
      </c>
      <c r="G2267" s="108" t="s">
        <v>58</v>
      </c>
      <c r="H2267" s="108" t="str">
        <f t="shared" si="180"/>
        <v>Baker Lake</v>
      </c>
      <c r="I2267" s="108" t="str">
        <f>IFERROR(VLOOKUP(H2267,LUTs!$A$1:$C$73,2,FALSE),"NA")</f>
        <v>Whatcom</v>
      </c>
      <c r="J2267" s="108" t="str">
        <f>IFERROR(VLOOKUP(H2267,LUTs!$A$1:$C$73,3,FALSE),"NA")</f>
        <v>1North Puget Sound</v>
      </c>
      <c r="K2267" s="108" t="s">
        <v>15</v>
      </c>
      <c r="L2267" s="108" t="str">
        <f>VLOOKUP(K2267,LUTs!E$2:G$14,3,)</f>
        <v>02Skagit</v>
      </c>
      <c r="M2267" s="108" t="str">
        <f>VLOOKUP($K2267,LUTs!$E$2:$H$14,2,)</f>
        <v>North Puget Sound</v>
      </c>
      <c r="N2267" s="108" t="str">
        <f>VLOOKUP($K2267,LUTs!$E$2:$H$14,4,)</f>
        <v>01North Puget Sound</v>
      </c>
      <c r="O2267" s="108">
        <v>1735.65904365904</v>
      </c>
      <c r="P2267" s="108">
        <v>5970.6671101870998</v>
      </c>
      <c r="Q2267" s="108">
        <f>SUMIFS('FW_Salmon_by_Month_2010-2021'!P$2:P$3810,'FW_Salmon_by_Month_2010-2021'!$B$2:$B$3810,'Rec_raw_catch_effort_2010-2021'!$B2267,'FW_Salmon_by_Month_2010-2021'!$H$2:$H$3810,'Rec_raw_catch_effort_2010-2021'!$F2267,'FW_Salmon_by_Month_2010-2021'!$M$2:$M$3810,'Rec_raw_catch_effort_2010-2021'!$K2267)</f>
        <v>1739.3116531165299</v>
      </c>
      <c r="R2267" s="109">
        <f>VLOOKUP(B2267,Readme!$A$62:$C$74,2,)*Q2267</f>
        <v>6155.4942777642036</v>
      </c>
      <c r="S2267" s="140" t="str">
        <f t="shared" si="181"/>
        <v>Y</v>
      </c>
      <c r="T2267" s="154">
        <f t="shared" si="182"/>
        <v>3.4400000000000013</v>
      </c>
      <c r="U2267" s="154">
        <f t="shared" si="183"/>
        <v>3.5390404397824153</v>
      </c>
    </row>
    <row r="2268" spans="1:21" x14ac:dyDescent="0.35">
      <c r="A2268" s="108">
        <v>2529</v>
      </c>
      <c r="B2268" s="108">
        <v>2017</v>
      </c>
      <c r="C2268" s="108" t="s">
        <v>38</v>
      </c>
      <c r="D2268" s="108" t="s">
        <v>143</v>
      </c>
      <c r="E2268" s="108" t="s">
        <v>10</v>
      </c>
      <c r="F2268" s="116">
        <v>825</v>
      </c>
      <c r="G2268" s="108" t="s">
        <v>58</v>
      </c>
      <c r="H2268" s="108" t="str">
        <f t="shared" si="180"/>
        <v>Baker Lake</v>
      </c>
      <c r="I2268" s="108" t="str">
        <f>IFERROR(VLOOKUP(H2268,LUTs!$A$1:$C$73,2,FALSE),"NA")</f>
        <v>Whatcom</v>
      </c>
      <c r="J2268" s="108" t="str">
        <f>IFERROR(VLOOKUP(H2268,LUTs!$A$1:$C$73,3,FALSE),"NA")</f>
        <v>1North Puget Sound</v>
      </c>
      <c r="K2268" s="108" t="s">
        <v>16</v>
      </c>
      <c r="L2268" s="108" t="str">
        <f>VLOOKUP(K2268,LUTs!E$2:G$14,3,)</f>
        <v>03Snohomish</v>
      </c>
      <c r="M2268" s="108" t="str">
        <f>VLOOKUP($K2268,LUTs!$E$2:$H$14,2,)</f>
        <v>North Puget Sound</v>
      </c>
      <c r="N2268" s="108" t="str">
        <f>VLOOKUP($K2268,LUTs!$E$2:$H$14,4,)</f>
        <v>01North Puget Sound</v>
      </c>
      <c r="O2268" s="108">
        <v>1326.68191268191</v>
      </c>
      <c r="P2268" s="108">
        <v>4563.7857796257704</v>
      </c>
      <c r="Q2268" s="108">
        <f>SUMIFS('FW_Salmon_by_Month_2010-2021'!P$2:P$3810,'FW_Salmon_by_Month_2010-2021'!$B$2:$B$3810,'Rec_raw_catch_effort_2010-2021'!$B2268,'FW_Salmon_by_Month_2010-2021'!$H$2:$H$3810,'Rec_raw_catch_effort_2010-2021'!$F2268,'FW_Salmon_by_Month_2010-2021'!$M$2:$M$3810,'Rec_raw_catch_effort_2010-2021'!$K2268)</f>
        <v>1329.3821138211399</v>
      </c>
      <c r="R2268" s="109">
        <f>VLOOKUP(B2268,Readme!$A$62:$C$74,2,)*Q2268</f>
        <v>4704.7370607364437</v>
      </c>
      <c r="S2268" s="140" t="str">
        <f t="shared" si="181"/>
        <v>Y</v>
      </c>
      <c r="T2268" s="154">
        <f t="shared" si="182"/>
        <v>3.44</v>
      </c>
      <c r="U2268" s="154">
        <f t="shared" si="183"/>
        <v>3.5390404397824153</v>
      </c>
    </row>
    <row r="2269" spans="1:21" x14ac:dyDescent="0.35">
      <c r="A2269" s="108">
        <v>2640</v>
      </c>
      <c r="B2269" s="108">
        <v>2017</v>
      </c>
      <c r="C2269" s="108" t="s">
        <v>38</v>
      </c>
      <c r="D2269" s="108" t="s">
        <v>143</v>
      </c>
      <c r="E2269" s="108" t="s">
        <v>10</v>
      </c>
      <c r="F2269" s="116">
        <v>825</v>
      </c>
      <c r="G2269" s="108" t="s">
        <v>58</v>
      </c>
      <c r="H2269" s="108" t="str">
        <f t="shared" si="180"/>
        <v>Baker Lake</v>
      </c>
      <c r="I2269" s="108" t="str">
        <f>IFERROR(VLOOKUP(H2269,LUTs!$A$1:$C$73,2,FALSE),"NA")</f>
        <v>Whatcom</v>
      </c>
      <c r="J2269" s="108" t="str">
        <f>IFERROR(VLOOKUP(H2269,LUTs!$A$1:$C$73,3,FALSE),"NA")</f>
        <v>1North Puget Sound</v>
      </c>
      <c r="K2269" s="108" t="s">
        <v>21</v>
      </c>
      <c r="L2269" s="108" t="str">
        <f>VLOOKUP(K2269,LUTs!E$2:G$14,3,)</f>
        <v>08Thurston</v>
      </c>
      <c r="M2269" s="108" t="str">
        <f>VLOOKUP($K2269,LUTs!$E$2:$H$14,2,)</f>
        <v>South Puget Sound</v>
      </c>
      <c r="N2269" s="108" t="str">
        <f>VLOOKUP($K2269,LUTs!$E$2:$H$14,4,)</f>
        <v>02South Puget Sound</v>
      </c>
      <c r="O2269" s="108">
        <v>29.925155925155899</v>
      </c>
      <c r="P2269" s="108">
        <v>102.94253638253601</v>
      </c>
      <c r="Q2269" s="108">
        <f>SUMIFS('FW_Salmon_by_Month_2010-2021'!P$2:P$3810,'FW_Salmon_by_Month_2010-2021'!$B$2:$B$3810,'Rec_raw_catch_effort_2010-2021'!$B2269,'FW_Salmon_by_Month_2010-2021'!$H$2:$H$3810,'Rec_raw_catch_effort_2010-2021'!$F2269,'FW_Salmon_by_Month_2010-2021'!$M$2:$M$3810,'Rec_raw_catch_effort_2010-2021'!$K2269)</f>
        <v>29.983739837398399</v>
      </c>
      <c r="R2269" s="109">
        <f>VLOOKUP(B2269,Readme!$A$62:$C$74,2,)*Q2269</f>
        <v>106.11366782046795</v>
      </c>
      <c r="S2269" s="140" t="str">
        <f t="shared" si="181"/>
        <v>Y</v>
      </c>
      <c r="T2269" s="154">
        <f t="shared" si="182"/>
        <v>3.4399999999999906</v>
      </c>
      <c r="U2269" s="154">
        <f t="shared" si="183"/>
        <v>3.5390404397824153</v>
      </c>
    </row>
    <row r="2270" spans="1:21" x14ac:dyDescent="0.35">
      <c r="A2270" s="108">
        <v>2527</v>
      </c>
      <c r="B2270" s="108">
        <v>2017</v>
      </c>
      <c r="C2270" s="108" t="s">
        <v>38</v>
      </c>
      <c r="D2270" s="108" t="s">
        <v>143</v>
      </c>
      <c r="E2270" s="108" t="s">
        <v>10</v>
      </c>
      <c r="F2270" s="116">
        <v>825</v>
      </c>
      <c r="G2270" s="108" t="s">
        <v>58</v>
      </c>
      <c r="H2270" s="108" t="str">
        <f t="shared" si="180"/>
        <v>Baker Lake</v>
      </c>
      <c r="I2270" s="108" t="str">
        <f>IFERROR(VLOOKUP(H2270,LUTs!$A$1:$C$73,2,FALSE),"NA")</f>
        <v>Whatcom</v>
      </c>
      <c r="J2270" s="108" t="str">
        <f>IFERROR(VLOOKUP(H2270,LUTs!$A$1:$C$73,3,FALSE),"NA")</f>
        <v>1North Puget Sound</v>
      </c>
      <c r="K2270" s="108" t="s">
        <v>13</v>
      </c>
      <c r="L2270" s="108" t="str">
        <f>VLOOKUP(K2270,LUTs!E$2:G$14,3,)</f>
        <v>01Whatcom</v>
      </c>
      <c r="M2270" s="108" t="str">
        <f>VLOOKUP($K2270,LUTs!$E$2:$H$14,2,)</f>
        <v>North Puget Sound</v>
      </c>
      <c r="N2270" s="108" t="str">
        <f>VLOOKUP($K2270,LUTs!$E$2:$H$14,4,)</f>
        <v>01North Puget Sound</v>
      </c>
      <c r="O2270" s="108">
        <v>458.85239085239101</v>
      </c>
      <c r="P2270" s="108">
        <v>1578.45222453223</v>
      </c>
      <c r="Q2270" s="108">
        <f>SUMIFS('FW_Salmon_by_Month_2010-2021'!P$2:P$3810,'FW_Salmon_by_Month_2010-2021'!$B$2:$B$3810,'Rec_raw_catch_effort_2010-2021'!$B2270,'FW_Salmon_by_Month_2010-2021'!$H$2:$H$3810,'Rec_raw_catch_effort_2010-2021'!$F2270,'FW_Salmon_by_Month_2010-2021'!$M$2:$M$3810,'Rec_raw_catch_effort_2010-2021'!$K2270)</f>
        <v>459.788617886179</v>
      </c>
      <c r="R2270" s="109">
        <f>VLOOKUP(B2270,Readme!$A$62:$C$74,2,)*Q2270</f>
        <v>1627.2105124508519</v>
      </c>
      <c r="S2270" s="140" t="str">
        <f t="shared" si="181"/>
        <v>Y</v>
      </c>
      <c r="T2270" s="154">
        <f t="shared" si="182"/>
        <v>3.440000000000011</v>
      </c>
      <c r="U2270" s="154">
        <f t="shared" si="183"/>
        <v>3.5390404397824153</v>
      </c>
    </row>
    <row r="2271" spans="1:21" x14ac:dyDescent="0.35">
      <c r="A2271" s="108">
        <v>2764</v>
      </c>
      <c r="B2271" s="108">
        <v>2018</v>
      </c>
      <c r="C2271" s="108" t="s">
        <v>38</v>
      </c>
      <c r="D2271" s="108" t="s">
        <v>143</v>
      </c>
      <c r="E2271" s="108" t="s">
        <v>10</v>
      </c>
      <c r="F2271" s="116">
        <v>825</v>
      </c>
      <c r="G2271" s="108" t="s">
        <v>58</v>
      </c>
      <c r="H2271" s="108" t="str">
        <f t="shared" si="180"/>
        <v>Baker Lake</v>
      </c>
      <c r="I2271" s="108" t="str">
        <f>IFERROR(VLOOKUP(H2271,LUTs!$A$1:$C$73,2,FALSE),"NA")</f>
        <v>Whatcom</v>
      </c>
      <c r="J2271" s="108" t="str">
        <f>IFERROR(VLOOKUP(H2271,LUTs!$A$1:$C$73,3,FALSE),"NA")</f>
        <v>1North Puget Sound</v>
      </c>
      <c r="K2271" s="108" t="s">
        <v>17</v>
      </c>
      <c r="L2271" s="108" t="str">
        <f>VLOOKUP(K2271,LUTs!E$2:G$14,3,)</f>
        <v>04Island</v>
      </c>
      <c r="M2271" s="108" t="str">
        <f>VLOOKUP($K2271,LUTs!$E$2:$H$14,2,)</f>
        <v>North Puget Sound</v>
      </c>
      <c r="N2271" s="108" t="str">
        <f>VLOOKUP($K2271,LUTs!$E$2:$H$14,4,)</f>
        <v>01North Puget Sound</v>
      </c>
      <c r="O2271" s="108">
        <v>162.90571870170001</v>
      </c>
      <c r="P2271" s="108">
        <v>1409.1344667697099</v>
      </c>
      <c r="Q2271" s="108">
        <f>SUMIFS('FW_Salmon_by_Month_2010-2021'!P$2:P$3810,'FW_Salmon_by_Month_2010-2021'!$B$2:$B$3810,'Rec_raw_catch_effort_2010-2021'!$B2271,'FW_Salmon_by_Month_2010-2021'!$H$2:$H$3810,'Rec_raw_catch_effort_2010-2021'!$F2271,'FW_Salmon_by_Month_2010-2021'!$M$2:$M$3810,'Rec_raw_catch_effort_2010-2021'!$K2271)</f>
        <v>164.00042129824669</v>
      </c>
      <c r="R2271" s="109">
        <f>VLOOKUP(B2271,Readme!$A$62:$C$74,2,)*Q2271</f>
        <v>790.40903474459708</v>
      </c>
      <c r="S2271" s="140" t="str">
        <f t="shared" si="181"/>
        <v>Y</v>
      </c>
      <c r="T2271" s="154">
        <f t="shared" si="182"/>
        <v>8.6500000000000288</v>
      </c>
      <c r="U2271" s="154">
        <f t="shared" si="183"/>
        <v>4.8195549041132084</v>
      </c>
    </row>
    <row r="2272" spans="1:21" x14ac:dyDescent="0.35">
      <c r="A2272" s="108">
        <v>2766</v>
      </c>
      <c r="B2272" s="108">
        <v>2018</v>
      </c>
      <c r="C2272" s="108" t="s">
        <v>38</v>
      </c>
      <c r="D2272" s="108" t="s">
        <v>143</v>
      </c>
      <c r="E2272" s="108" t="s">
        <v>10</v>
      </c>
      <c r="F2272" s="116">
        <v>825</v>
      </c>
      <c r="G2272" s="108" t="s">
        <v>58</v>
      </c>
      <c r="H2272" s="108" t="str">
        <f t="shared" si="180"/>
        <v>Baker Lake</v>
      </c>
      <c r="I2272" s="108" t="str">
        <f>IFERROR(VLOOKUP(H2272,LUTs!$A$1:$C$73,2,FALSE),"NA")</f>
        <v>Whatcom</v>
      </c>
      <c r="J2272" s="108" t="str">
        <f>IFERROR(VLOOKUP(H2272,LUTs!$A$1:$C$73,3,FALSE),"NA")</f>
        <v>1North Puget Sound</v>
      </c>
      <c r="K2272" s="108" t="s">
        <v>18</v>
      </c>
      <c r="L2272" s="108" t="str">
        <f>VLOOKUP(K2272,LUTs!E$2:G$14,3,)</f>
        <v>06King</v>
      </c>
      <c r="M2272" s="108" t="str">
        <f>VLOOKUP($K2272,LUTs!$E$2:$H$14,2,)</f>
        <v>South Puget Sound</v>
      </c>
      <c r="N2272" s="108" t="str">
        <f>VLOOKUP($K2272,LUTs!$E$2:$H$14,4,)</f>
        <v>02South Puget Sound</v>
      </c>
      <c r="O2272" s="108">
        <v>536.63060278207104</v>
      </c>
      <c r="P2272" s="108">
        <v>4641.8547140649098</v>
      </c>
      <c r="Q2272" s="108">
        <f>SUMIFS('FW_Salmon_by_Month_2010-2021'!P$2:P$3810,'FW_Salmon_by_Month_2010-2021'!$B$2:$B$3810,'Rec_raw_catch_effort_2010-2021'!$B2272,'FW_Salmon_by_Month_2010-2021'!$H$2:$H$3810,'Rec_raw_catch_effort_2010-2021'!$F2272,'FW_Salmon_by_Month_2010-2021'!$M$2:$M$3810,'Rec_raw_catch_effort_2010-2021'!$K2272)</f>
        <v>530.00158797031497</v>
      </c>
      <c r="R2272" s="109">
        <f>VLOOKUP(B2272,Readme!$A$62:$C$74,2,)*Q2272</f>
        <v>2554.3717524901194</v>
      </c>
      <c r="S2272" s="140" t="str">
        <f t="shared" si="181"/>
        <v>Y</v>
      </c>
      <c r="T2272" s="154">
        <f t="shared" si="182"/>
        <v>8.6499999999999915</v>
      </c>
      <c r="U2272" s="154">
        <f t="shared" si="183"/>
        <v>4.8195549041132084</v>
      </c>
    </row>
    <row r="2273" spans="1:21" x14ac:dyDescent="0.35">
      <c r="A2273" s="108">
        <v>2769</v>
      </c>
      <c r="B2273" s="108">
        <v>2018</v>
      </c>
      <c r="C2273" s="108" t="s">
        <v>38</v>
      </c>
      <c r="D2273" s="108" t="s">
        <v>143</v>
      </c>
      <c r="E2273" s="108" t="s">
        <v>10</v>
      </c>
      <c r="F2273" s="116">
        <v>825</v>
      </c>
      <c r="G2273" s="108" t="s">
        <v>58</v>
      </c>
      <c r="H2273" s="108" t="str">
        <f t="shared" si="180"/>
        <v>Baker Lake</v>
      </c>
      <c r="I2273" s="108" t="str">
        <f>IFERROR(VLOOKUP(H2273,LUTs!$A$1:$C$73,2,FALSE),"NA")</f>
        <v>Whatcom</v>
      </c>
      <c r="J2273" s="108" t="str">
        <f>IFERROR(VLOOKUP(H2273,LUTs!$A$1:$C$73,3,FALSE),"NA")</f>
        <v>1North Puget Sound</v>
      </c>
      <c r="K2273" s="108" t="s">
        <v>23</v>
      </c>
      <c r="L2273" s="108" t="str">
        <f>VLOOKUP(K2273,LUTs!E$2:G$14,3,)</f>
        <v>10Kitsap</v>
      </c>
      <c r="M2273" s="108" t="str">
        <f>VLOOKUP($K2273,LUTs!$E$2:$H$14,2,)</f>
        <v>South Puget Sound</v>
      </c>
      <c r="N2273" s="108" t="str">
        <f>VLOOKUP($K2273,LUTs!$E$2:$H$14,4,)</f>
        <v>02South Puget Sound</v>
      </c>
      <c r="O2273" s="108">
        <v>9.5826893353941305</v>
      </c>
      <c r="P2273" s="108">
        <v>82.890262751159199</v>
      </c>
      <c r="Q2273" s="108">
        <f>SUMIFS('FW_Salmon_by_Month_2010-2021'!P$2:P$3810,'FW_Salmon_by_Month_2010-2021'!$B$2:$B$3810,'Rec_raw_catch_effort_2010-2021'!$B2273,'FW_Salmon_by_Month_2010-2021'!$H$2:$H$3810,'Rec_raw_catch_effort_2010-2021'!$F2273,'FW_Salmon_by_Month_2010-2021'!$M$2:$M$3810,'Rec_raw_catch_effort_2010-2021'!$K2273)</f>
        <v>9.6271510516252405</v>
      </c>
      <c r="R2273" s="109">
        <f>VLOOKUP(B2273,Readme!$A$62:$C$74,2,)*Q2273</f>
        <v>46.398583063499061</v>
      </c>
      <c r="S2273" s="140" t="str">
        <f t="shared" si="181"/>
        <v>Y</v>
      </c>
      <c r="T2273" s="154">
        <f t="shared" si="182"/>
        <v>8.6499999999999968</v>
      </c>
      <c r="U2273" s="154">
        <f t="shared" si="183"/>
        <v>4.8195549041132084</v>
      </c>
    </row>
    <row r="2274" spans="1:21" x14ac:dyDescent="0.35">
      <c r="A2274" s="108">
        <v>2770</v>
      </c>
      <c r="B2274" s="108">
        <v>2018</v>
      </c>
      <c r="C2274" s="108" t="s">
        <v>38</v>
      </c>
      <c r="D2274" s="108" t="s">
        <v>143</v>
      </c>
      <c r="E2274" s="108" t="s">
        <v>10</v>
      </c>
      <c r="F2274" s="116">
        <v>825</v>
      </c>
      <c r="G2274" s="108" t="s">
        <v>58</v>
      </c>
      <c r="H2274" s="108" t="str">
        <f t="shared" si="180"/>
        <v>Baker Lake</v>
      </c>
      <c r="I2274" s="108" t="str">
        <f>IFERROR(VLOOKUP(H2274,LUTs!$A$1:$C$73,2,FALSE),"NA")</f>
        <v>Whatcom</v>
      </c>
      <c r="J2274" s="108" t="str">
        <f>IFERROR(VLOOKUP(H2274,LUTs!$A$1:$C$73,3,FALSE),"NA")</f>
        <v>1North Puget Sound</v>
      </c>
      <c r="K2274" s="108" t="s">
        <v>26</v>
      </c>
      <c r="L2274" s="108" t="str">
        <f>VLOOKUP(K2274,LUTs!E$2:G$14,3,)</f>
        <v>20Other</v>
      </c>
      <c r="M2274" s="108" t="str">
        <f>VLOOKUP($K2274,LUTs!$E$2:$H$14,2,)</f>
        <v>Non Puget Sound</v>
      </c>
      <c r="N2274" s="108" t="str">
        <f>VLOOKUP($K2274,LUTs!$E$2:$H$14,4,)</f>
        <v>07Non Puget Sound</v>
      </c>
      <c r="O2274" s="108">
        <v>814.52859350850099</v>
      </c>
      <c r="P2274" s="108">
        <v>7045.6723338485299</v>
      </c>
      <c r="Q2274" s="108">
        <f>SUMIFS('FW_Salmon_by_Month_2010-2021'!P$2:P$3810,'FW_Salmon_by_Month_2010-2021'!$B$2:$B$3810,'Rec_raw_catch_effort_2010-2021'!$B2274,'FW_Salmon_by_Month_2010-2021'!$H$2:$H$3810,'Rec_raw_catch_effort_2010-2021'!$F2274,'FW_Salmon_by_Month_2010-2021'!$M$2:$M$3810,'Rec_raw_catch_effort_2010-2021'!$K2274)</f>
        <v>820.17153320154296</v>
      </c>
      <c r="R2274" s="109">
        <f>VLOOKUP(B2274,Readme!$A$62:$C$74,2,)*Q2274</f>
        <v>3952.8617350555455</v>
      </c>
      <c r="S2274" s="140" t="str">
        <f t="shared" si="181"/>
        <v>Y</v>
      </c>
      <c r="T2274" s="154">
        <f t="shared" si="182"/>
        <v>8.649999999999995</v>
      </c>
      <c r="U2274" s="154">
        <f t="shared" si="183"/>
        <v>4.8195549041132084</v>
      </c>
    </row>
    <row r="2275" spans="1:21" x14ac:dyDescent="0.35">
      <c r="A2275" s="108">
        <v>2767</v>
      </c>
      <c r="B2275" s="108">
        <v>2018</v>
      </c>
      <c r="C2275" s="108" t="s">
        <v>38</v>
      </c>
      <c r="D2275" s="108" t="s">
        <v>143</v>
      </c>
      <c r="E2275" s="108" t="s">
        <v>10</v>
      </c>
      <c r="F2275" s="116">
        <v>825</v>
      </c>
      <c r="G2275" s="108" t="s">
        <v>58</v>
      </c>
      <c r="H2275" s="108" t="str">
        <f t="shared" si="180"/>
        <v>Baker Lake</v>
      </c>
      <c r="I2275" s="108" t="str">
        <f>IFERROR(VLOOKUP(H2275,LUTs!$A$1:$C$73,2,FALSE),"NA")</f>
        <v>Whatcom</v>
      </c>
      <c r="J2275" s="108" t="str">
        <f>IFERROR(VLOOKUP(H2275,LUTs!$A$1:$C$73,3,FALSE),"NA")</f>
        <v>1North Puget Sound</v>
      </c>
      <c r="K2275" s="108" t="s">
        <v>20</v>
      </c>
      <c r="L2275" s="108" t="str">
        <f>VLOOKUP(K2275,LUTs!E$2:G$14,3,)</f>
        <v>07Pierce</v>
      </c>
      <c r="M2275" s="108" t="str">
        <f>VLOOKUP($K2275,LUTs!$E$2:$H$14,2,)</f>
        <v>South Puget Sound</v>
      </c>
      <c r="N2275" s="108" t="str">
        <f>VLOOKUP($K2275,LUTs!$E$2:$H$14,4,)</f>
        <v>02South Puget Sound</v>
      </c>
      <c r="O2275" s="108">
        <v>153.323029366306</v>
      </c>
      <c r="P2275" s="108">
        <v>1326.2442040185499</v>
      </c>
      <c r="Q2275" s="108">
        <f>SUMIFS('FW_Salmon_by_Month_2010-2021'!P$2:P$3810,'FW_Salmon_by_Month_2010-2021'!$B$2:$B$3810,'Rec_raw_catch_effort_2010-2021'!$B2275,'FW_Salmon_by_Month_2010-2021'!$H$2:$H$3810,'Rec_raw_catch_effort_2010-2021'!$F2275,'FW_Salmon_by_Month_2010-2021'!$M$2:$M$3810,'Rec_raw_catch_effort_2010-2021'!$K2275)</f>
        <v>154.03441682600399</v>
      </c>
      <c r="R2275" s="109">
        <f>VLOOKUP(B2275,Readme!$A$62:$C$74,2,)*Q2275</f>
        <v>742.37732901598565</v>
      </c>
      <c r="S2275" s="140" t="str">
        <f t="shared" si="181"/>
        <v>Y</v>
      </c>
      <c r="T2275" s="154">
        <f t="shared" si="182"/>
        <v>8.6500000000000199</v>
      </c>
      <c r="U2275" s="154">
        <f t="shared" si="183"/>
        <v>4.8195549041132084</v>
      </c>
    </row>
    <row r="2276" spans="1:21" x14ac:dyDescent="0.35">
      <c r="A2276" s="108">
        <v>2765</v>
      </c>
      <c r="B2276" s="108">
        <v>2018</v>
      </c>
      <c r="C2276" s="108" t="s">
        <v>38</v>
      </c>
      <c r="D2276" s="108" t="s">
        <v>143</v>
      </c>
      <c r="E2276" s="108" t="s">
        <v>10</v>
      </c>
      <c r="F2276" s="116">
        <v>825</v>
      </c>
      <c r="G2276" s="108" t="s">
        <v>58</v>
      </c>
      <c r="H2276" s="108" t="str">
        <f t="shared" si="180"/>
        <v>Baker Lake</v>
      </c>
      <c r="I2276" s="108" t="str">
        <f>IFERROR(VLOOKUP(H2276,LUTs!$A$1:$C$73,2,FALSE),"NA")</f>
        <v>Whatcom</v>
      </c>
      <c r="J2276" s="108" t="str">
        <f>IFERROR(VLOOKUP(H2276,LUTs!$A$1:$C$73,3,FALSE),"NA")</f>
        <v>1North Puget Sound</v>
      </c>
      <c r="K2276" s="108" t="s">
        <v>30</v>
      </c>
      <c r="L2276" s="108" t="str">
        <f>VLOOKUP(K2276,LUTs!E$2:G$14,3,)</f>
        <v>05San Juan</v>
      </c>
      <c r="M2276" s="108" t="str">
        <f>VLOOKUP($K2276,LUTs!$E$2:$H$14,2,)</f>
        <v>North Puget Sound</v>
      </c>
      <c r="N2276" s="108" t="str">
        <f>VLOOKUP($K2276,LUTs!$E$2:$H$14,4,)</f>
        <v>01North Puget Sound</v>
      </c>
      <c r="O2276" s="108">
        <v>9.5826893353941305</v>
      </c>
      <c r="P2276" s="108">
        <v>82.890262751159199</v>
      </c>
      <c r="Q2276" s="108">
        <f>SUMIFS('FW_Salmon_by_Month_2010-2021'!P$2:P$3810,'FW_Salmon_by_Month_2010-2021'!$B$2:$B$3810,'Rec_raw_catch_effort_2010-2021'!$B2276,'FW_Salmon_by_Month_2010-2021'!$H$2:$H$3810,'Rec_raw_catch_effort_2010-2021'!$F2276,'FW_Salmon_by_Month_2010-2021'!$M$2:$M$3810,'Rec_raw_catch_effort_2010-2021'!$K2276)</f>
        <v>9.6271510516252405</v>
      </c>
      <c r="R2276" s="109">
        <f>VLOOKUP(B2276,Readme!$A$62:$C$74,2,)*Q2276</f>
        <v>46.398583063499061</v>
      </c>
      <c r="S2276" s="140" t="str">
        <f t="shared" si="181"/>
        <v>Y</v>
      </c>
      <c r="T2276" s="154">
        <f t="shared" si="182"/>
        <v>8.6499999999999968</v>
      </c>
      <c r="U2276" s="154">
        <f t="shared" si="183"/>
        <v>4.8195549041132084</v>
      </c>
    </row>
    <row r="2277" spans="1:21" x14ac:dyDescent="0.35">
      <c r="A2277" s="108">
        <v>2659</v>
      </c>
      <c r="B2277" s="108">
        <v>2018</v>
      </c>
      <c r="C2277" s="108" t="s">
        <v>38</v>
      </c>
      <c r="D2277" s="108" t="s">
        <v>143</v>
      </c>
      <c r="E2277" s="108" t="s">
        <v>10</v>
      </c>
      <c r="F2277" s="116">
        <v>825</v>
      </c>
      <c r="G2277" s="108" t="s">
        <v>58</v>
      </c>
      <c r="H2277" s="108" t="str">
        <f t="shared" si="180"/>
        <v>Baker Lake</v>
      </c>
      <c r="I2277" s="108" t="str">
        <f>IFERROR(VLOOKUP(H2277,LUTs!$A$1:$C$73,2,FALSE),"NA")</f>
        <v>Whatcom</v>
      </c>
      <c r="J2277" s="108" t="str">
        <f>IFERROR(VLOOKUP(H2277,LUTs!$A$1:$C$73,3,FALSE),"NA")</f>
        <v>1North Puget Sound</v>
      </c>
      <c r="K2277" s="108" t="s">
        <v>15</v>
      </c>
      <c r="L2277" s="108" t="str">
        <f>VLOOKUP(K2277,LUTs!E$2:G$14,3,)</f>
        <v>02Skagit</v>
      </c>
      <c r="M2277" s="108" t="str">
        <f>VLOOKUP($K2277,LUTs!$E$2:$H$14,2,)</f>
        <v>North Puget Sound</v>
      </c>
      <c r="N2277" s="108" t="str">
        <f>VLOOKUP($K2277,LUTs!$E$2:$H$14,4,)</f>
        <v>01North Puget Sound</v>
      </c>
      <c r="O2277" s="108">
        <v>1935.70324574961</v>
      </c>
      <c r="P2277" s="108">
        <v>16743.833075734099</v>
      </c>
      <c r="Q2277" s="108">
        <f>SUMIFS('FW_Salmon_by_Month_2010-2021'!P$2:P$3810,'FW_Salmon_by_Month_2010-2021'!$B$2:$B$3810,'Rec_raw_catch_effort_2010-2021'!$B2277,'FW_Salmon_by_Month_2010-2021'!$H$2:$H$3810,'Rec_raw_catch_effort_2010-2021'!$F2277,'FW_Salmon_by_Month_2010-2021'!$M$2:$M$3810,'Rec_raw_catch_effort_2010-2021'!$K2277)</f>
        <v>1918.2597465729</v>
      </c>
      <c r="R2277" s="109">
        <f>VLOOKUP(B2277,Readme!$A$62:$C$74,2,)*Q2277</f>
        <v>9245.15816895838</v>
      </c>
      <c r="S2277" s="140" t="str">
        <f t="shared" si="181"/>
        <v>Y</v>
      </c>
      <c r="T2277" s="154">
        <f t="shared" si="182"/>
        <v>8.6499999999999861</v>
      </c>
      <c r="U2277" s="154">
        <f t="shared" si="183"/>
        <v>4.8195549041132084</v>
      </c>
    </row>
    <row r="2278" spans="1:21" x14ac:dyDescent="0.35">
      <c r="A2278" s="108">
        <v>2660</v>
      </c>
      <c r="B2278" s="108">
        <v>2018</v>
      </c>
      <c r="C2278" s="108" t="s">
        <v>38</v>
      </c>
      <c r="D2278" s="108" t="s">
        <v>143</v>
      </c>
      <c r="E2278" s="108" t="s">
        <v>10</v>
      </c>
      <c r="F2278" s="116">
        <v>825</v>
      </c>
      <c r="G2278" s="108" t="s">
        <v>58</v>
      </c>
      <c r="H2278" s="108" t="str">
        <f t="shared" si="180"/>
        <v>Baker Lake</v>
      </c>
      <c r="I2278" s="108" t="str">
        <f>IFERROR(VLOOKUP(H2278,LUTs!$A$1:$C$73,2,FALSE),"NA")</f>
        <v>Whatcom</v>
      </c>
      <c r="J2278" s="108" t="str">
        <f>IFERROR(VLOOKUP(H2278,LUTs!$A$1:$C$73,3,FALSE),"NA")</f>
        <v>1North Puget Sound</v>
      </c>
      <c r="K2278" s="108" t="s">
        <v>16</v>
      </c>
      <c r="L2278" s="108" t="str">
        <f>VLOOKUP(K2278,LUTs!E$2:G$14,3,)</f>
        <v>03Snohomish</v>
      </c>
      <c r="M2278" s="108" t="str">
        <f>VLOOKUP($K2278,LUTs!$E$2:$H$14,2,)</f>
        <v>North Puget Sound</v>
      </c>
      <c r="N2278" s="108" t="str">
        <f>VLOOKUP($K2278,LUTs!$E$2:$H$14,4,)</f>
        <v>01North Puget Sound</v>
      </c>
      <c r="O2278" s="108">
        <v>2002.7820710973699</v>
      </c>
      <c r="P2278" s="108">
        <v>17324.064914992301</v>
      </c>
      <c r="Q2278" s="108">
        <f>SUMIFS('FW_Salmon_by_Month_2010-2021'!P$2:P$3810,'FW_Salmon_by_Month_2010-2021'!$B$2:$B$3810,'Rec_raw_catch_effort_2010-2021'!$B2278,'FW_Salmon_by_Month_2010-2021'!$H$2:$H$3810,'Rec_raw_catch_effort_2010-2021'!$F2278,'FW_Salmon_by_Month_2010-2021'!$M$2:$M$3810,'Rec_raw_catch_effort_2010-2021'!$K2278)</f>
        <v>2015.7170820235249</v>
      </c>
      <c r="R2278" s="109">
        <f>VLOOKUP(B2278,Readme!$A$62:$C$74,2,)*Q2278</f>
        <v>9714.859147971245</v>
      </c>
      <c r="S2278" s="140" t="str">
        <f t="shared" si="181"/>
        <v>Y</v>
      </c>
      <c r="T2278" s="154">
        <f t="shared" si="182"/>
        <v>8.6500000000000252</v>
      </c>
      <c r="U2278" s="154">
        <f t="shared" si="183"/>
        <v>4.8195549041132084</v>
      </c>
    </row>
    <row r="2279" spans="1:21" x14ac:dyDescent="0.35">
      <c r="A2279" s="108">
        <v>2768</v>
      </c>
      <c r="B2279" s="108">
        <v>2018</v>
      </c>
      <c r="C2279" s="108" t="s">
        <v>38</v>
      </c>
      <c r="D2279" s="108" t="s">
        <v>143</v>
      </c>
      <c r="E2279" s="108" t="s">
        <v>10</v>
      </c>
      <c r="F2279" s="116">
        <v>825</v>
      </c>
      <c r="G2279" s="108" t="s">
        <v>58</v>
      </c>
      <c r="H2279" s="108" t="str">
        <f t="shared" si="180"/>
        <v>Baker Lake</v>
      </c>
      <c r="I2279" s="108" t="str">
        <f>IFERROR(VLOOKUP(H2279,LUTs!$A$1:$C$73,2,FALSE),"NA")</f>
        <v>Whatcom</v>
      </c>
      <c r="J2279" s="108" t="str">
        <f>IFERROR(VLOOKUP(H2279,LUTs!$A$1:$C$73,3,FALSE),"NA")</f>
        <v>1North Puget Sound</v>
      </c>
      <c r="K2279" s="108" t="s">
        <v>21</v>
      </c>
      <c r="L2279" s="108" t="str">
        <f>VLOOKUP(K2279,LUTs!E$2:G$14,3,)</f>
        <v>08Thurston</v>
      </c>
      <c r="M2279" s="108" t="str">
        <f>VLOOKUP($K2279,LUTs!$E$2:$H$14,2,)</f>
        <v>South Puget Sound</v>
      </c>
      <c r="N2279" s="108" t="str">
        <f>VLOOKUP($K2279,LUTs!$E$2:$H$14,4,)</f>
        <v>02South Puget Sound</v>
      </c>
      <c r="O2279" s="108">
        <v>38.330757341576501</v>
      </c>
      <c r="P2279" s="108">
        <v>331.56105100463702</v>
      </c>
      <c r="Q2279" s="108">
        <f>SUMIFS('FW_Salmon_by_Month_2010-2021'!P$2:P$3810,'FW_Salmon_by_Month_2010-2021'!$B$2:$B$3810,'Rec_raw_catch_effort_2010-2021'!$B2279,'FW_Salmon_by_Month_2010-2021'!$H$2:$H$3810,'Rec_raw_catch_effort_2010-2021'!$F2279,'FW_Salmon_by_Month_2010-2021'!$M$2:$M$3810,'Rec_raw_catch_effort_2010-2021'!$K2279)</f>
        <v>38.508604206500998</v>
      </c>
      <c r="R2279" s="109">
        <f>VLOOKUP(B2279,Readme!$A$62:$C$74,2,)*Q2279</f>
        <v>185.59433225399641</v>
      </c>
      <c r="S2279" s="140" t="str">
        <f t="shared" si="181"/>
        <v>Y</v>
      </c>
      <c r="T2279" s="154">
        <f t="shared" si="182"/>
        <v>8.6500000000000075</v>
      </c>
      <c r="U2279" s="154">
        <f t="shared" si="183"/>
        <v>4.8195549041132084</v>
      </c>
    </row>
    <row r="2280" spans="1:21" x14ac:dyDescent="0.35">
      <c r="A2280" s="108">
        <v>2658</v>
      </c>
      <c r="B2280" s="108">
        <v>2018</v>
      </c>
      <c r="C2280" s="108" t="s">
        <v>38</v>
      </c>
      <c r="D2280" s="108" t="s">
        <v>143</v>
      </c>
      <c r="E2280" s="108" t="s">
        <v>10</v>
      </c>
      <c r="F2280" s="116">
        <v>825</v>
      </c>
      <c r="G2280" s="108" t="s">
        <v>58</v>
      </c>
      <c r="H2280" s="108" t="str">
        <f t="shared" si="180"/>
        <v>Baker Lake</v>
      </c>
      <c r="I2280" s="108" t="str">
        <f>IFERROR(VLOOKUP(H2280,LUTs!$A$1:$C$73,2,FALSE),"NA")</f>
        <v>Whatcom</v>
      </c>
      <c r="J2280" s="108" t="str">
        <f>IFERROR(VLOOKUP(H2280,LUTs!$A$1:$C$73,3,FALSE),"NA")</f>
        <v>1North Puget Sound</v>
      </c>
      <c r="K2280" s="108" t="s">
        <v>13</v>
      </c>
      <c r="L2280" s="108" t="str">
        <f>VLOOKUP(K2280,LUTs!E$2:G$14,3,)</f>
        <v>01Whatcom</v>
      </c>
      <c r="M2280" s="108" t="str">
        <f>VLOOKUP($K2280,LUTs!$E$2:$H$14,2,)</f>
        <v>North Puget Sound</v>
      </c>
      <c r="N2280" s="108" t="str">
        <f>VLOOKUP($K2280,LUTs!$E$2:$H$14,4,)</f>
        <v>01North Puget Sound</v>
      </c>
      <c r="O2280" s="108">
        <v>536.63060278207104</v>
      </c>
      <c r="P2280" s="108">
        <v>4641.8547140649098</v>
      </c>
      <c r="Q2280" s="108">
        <f>SUMIFS('FW_Salmon_by_Month_2010-2021'!P$2:P$3810,'FW_Salmon_by_Month_2010-2021'!$B$2:$B$3810,'Rec_raw_catch_effort_2010-2021'!$B2280,'FW_Salmon_by_Month_2010-2021'!$H$2:$H$3810,'Rec_raw_catch_effort_2010-2021'!$F2280,'FW_Salmon_by_Month_2010-2021'!$M$2:$M$3810,'Rec_raw_catch_effort_2010-2021'!$K2280)</f>
        <v>540.05230579771205</v>
      </c>
      <c r="R2280" s="109">
        <f>VLOOKUP(B2280,Readme!$A$62:$C$74,2,)*Q2280</f>
        <v>2602.8117388850092</v>
      </c>
      <c r="S2280" s="140" t="str">
        <f t="shared" si="181"/>
        <v>Y</v>
      </c>
      <c r="T2280" s="154">
        <f t="shared" si="182"/>
        <v>8.6499999999999915</v>
      </c>
      <c r="U2280" s="154">
        <f t="shared" si="183"/>
        <v>4.8195549041132084</v>
      </c>
    </row>
    <row r="2281" spans="1:21" x14ac:dyDescent="0.35">
      <c r="A2281" s="108">
        <v>2885</v>
      </c>
      <c r="B2281" s="108">
        <v>2019</v>
      </c>
      <c r="C2281" s="108" t="s">
        <v>38</v>
      </c>
      <c r="D2281" s="108" t="s">
        <v>143</v>
      </c>
      <c r="E2281" s="108" t="s">
        <v>10</v>
      </c>
      <c r="F2281" s="116">
        <v>825</v>
      </c>
      <c r="G2281" s="108" t="s">
        <v>58</v>
      </c>
      <c r="H2281" s="108" t="str">
        <f t="shared" si="180"/>
        <v>Baker Lake</v>
      </c>
      <c r="I2281" s="108" t="str">
        <f>IFERROR(VLOOKUP(H2281,LUTs!$A$1:$C$73,2,FALSE),"NA")</f>
        <v>Whatcom</v>
      </c>
      <c r="J2281" s="108" t="str">
        <f>IFERROR(VLOOKUP(H2281,LUTs!$A$1:$C$73,3,FALSE),"NA")</f>
        <v>1North Puget Sound</v>
      </c>
      <c r="K2281" s="108" t="s">
        <v>17</v>
      </c>
      <c r="L2281" s="108" t="str">
        <f>VLOOKUP(K2281,LUTs!E$2:G$14,3,)</f>
        <v>04Island</v>
      </c>
      <c r="M2281" s="108" t="str">
        <f>VLOOKUP($K2281,LUTs!$E$2:$H$14,2,)</f>
        <v>North Puget Sound</v>
      </c>
      <c r="N2281" s="108" t="str">
        <f>VLOOKUP($K2281,LUTs!$E$2:$H$14,4,)</f>
        <v>01North Puget Sound</v>
      </c>
      <c r="O2281" s="108">
        <v>270.04545454545502</v>
      </c>
      <c r="P2281" s="108">
        <v>928.95636363636504</v>
      </c>
      <c r="Q2281" s="108">
        <f>SUMIFS('FW_Salmon_by_Month_2010-2021'!P$2:P$3810,'FW_Salmon_by_Month_2010-2021'!$B$2:$B$3810,'Rec_raw_catch_effort_2010-2021'!$B2281,'FW_Salmon_by_Month_2010-2021'!$H$2:$H$3810,'Rec_raw_catch_effort_2010-2021'!$F2281,'FW_Salmon_by_Month_2010-2021'!$M$2:$M$3810,'Rec_raw_catch_effort_2010-2021'!$K2281)</f>
        <v>261.66666666666703</v>
      </c>
      <c r="R2281" s="109">
        <f>VLOOKUP(B2281,Readme!$A$62:$C$74,2,)*Q2281</f>
        <v>926.04891507639991</v>
      </c>
      <c r="S2281" s="140" t="str">
        <f t="shared" si="181"/>
        <v>Y</v>
      </c>
      <c r="T2281" s="154">
        <f t="shared" si="182"/>
        <v>3.4399999999999991</v>
      </c>
      <c r="U2281" s="154">
        <f t="shared" si="183"/>
        <v>3.5390404397824153</v>
      </c>
    </row>
    <row r="2282" spans="1:21" x14ac:dyDescent="0.35">
      <c r="A2282" s="108">
        <v>2886</v>
      </c>
      <c r="B2282" s="108">
        <v>2019</v>
      </c>
      <c r="C2282" s="108" t="s">
        <v>38</v>
      </c>
      <c r="D2282" s="108" t="s">
        <v>143</v>
      </c>
      <c r="E2282" s="108" t="s">
        <v>10</v>
      </c>
      <c r="F2282" s="116">
        <v>825</v>
      </c>
      <c r="G2282" s="108" t="s">
        <v>58</v>
      </c>
      <c r="H2282" s="108" t="str">
        <f t="shared" ref="H2282:H2345" si="184">G2282</f>
        <v>Baker Lake</v>
      </c>
      <c r="I2282" s="108" t="str">
        <f>IFERROR(VLOOKUP(H2282,LUTs!$A$1:$C$73,2,FALSE),"NA")</f>
        <v>Whatcom</v>
      </c>
      <c r="J2282" s="108" t="str">
        <f>IFERROR(VLOOKUP(H2282,LUTs!$A$1:$C$73,3,FALSE),"NA")</f>
        <v>1North Puget Sound</v>
      </c>
      <c r="K2282" s="108" t="s">
        <v>18</v>
      </c>
      <c r="L2282" s="108" t="str">
        <f>VLOOKUP(K2282,LUTs!E$2:G$14,3,)</f>
        <v>06King</v>
      </c>
      <c r="M2282" s="108" t="str">
        <f>VLOOKUP($K2282,LUTs!$E$2:$H$14,2,)</f>
        <v>South Puget Sound</v>
      </c>
      <c r="N2282" s="108" t="str">
        <f>VLOOKUP($K2282,LUTs!$E$2:$H$14,4,)</f>
        <v>02South Puget Sound</v>
      </c>
      <c r="O2282" s="108">
        <v>519.31818181818198</v>
      </c>
      <c r="P2282" s="108">
        <v>1786.45454545455</v>
      </c>
      <c r="Q2282" s="108">
        <f>SUMIFS('FW_Salmon_by_Month_2010-2021'!P$2:P$3810,'FW_Salmon_by_Month_2010-2021'!$B$2:$B$3810,'Rec_raw_catch_effort_2010-2021'!$B2282,'FW_Salmon_by_Month_2010-2021'!$H$2:$H$3810,'Rec_raw_catch_effort_2010-2021'!$F2282,'FW_Salmon_by_Month_2010-2021'!$M$2:$M$3810,'Rec_raw_catch_effort_2010-2021'!$K2282)</f>
        <v>523.33333333333303</v>
      </c>
      <c r="R2282" s="109">
        <f>VLOOKUP(B2282,Readme!$A$62:$C$74,2,)*Q2282</f>
        <v>1852.0978301527962</v>
      </c>
      <c r="S2282" s="140" t="str">
        <f t="shared" si="181"/>
        <v>Y</v>
      </c>
      <c r="T2282" s="154">
        <f t="shared" si="182"/>
        <v>3.4400000000000079</v>
      </c>
      <c r="U2282" s="154">
        <f t="shared" si="183"/>
        <v>3.5390404397824153</v>
      </c>
    </row>
    <row r="2283" spans="1:21" x14ac:dyDescent="0.35">
      <c r="A2283" s="108">
        <v>2888</v>
      </c>
      <c r="B2283" s="108">
        <v>2019</v>
      </c>
      <c r="C2283" s="108" t="s">
        <v>38</v>
      </c>
      <c r="D2283" s="108" t="s">
        <v>143</v>
      </c>
      <c r="E2283" s="108" t="s">
        <v>10</v>
      </c>
      <c r="F2283" s="116">
        <v>825</v>
      </c>
      <c r="G2283" s="108" t="s">
        <v>58</v>
      </c>
      <c r="H2283" s="108" t="str">
        <f t="shared" si="184"/>
        <v>Baker Lake</v>
      </c>
      <c r="I2283" s="108" t="str">
        <f>IFERROR(VLOOKUP(H2283,LUTs!$A$1:$C$73,2,FALSE),"NA")</f>
        <v>Whatcom</v>
      </c>
      <c r="J2283" s="108" t="str">
        <f>IFERROR(VLOOKUP(H2283,LUTs!$A$1:$C$73,3,FALSE),"NA")</f>
        <v>1North Puget Sound</v>
      </c>
      <c r="K2283" s="108" t="s">
        <v>26</v>
      </c>
      <c r="L2283" s="108" t="str">
        <f>VLOOKUP(K2283,LUTs!E$2:G$14,3,)</f>
        <v>20Other</v>
      </c>
      <c r="M2283" s="108" t="str">
        <f>VLOOKUP($K2283,LUTs!$E$2:$H$14,2,)</f>
        <v>Non Puget Sound</v>
      </c>
      <c r="N2283" s="108" t="str">
        <f>VLOOKUP($K2283,LUTs!$E$2:$H$14,4,)</f>
        <v>07Non Puget Sound</v>
      </c>
      <c r="O2283" s="108">
        <v>228.5</v>
      </c>
      <c r="P2283" s="108">
        <v>786.04</v>
      </c>
      <c r="Q2283" s="108">
        <f>SUMIFS('FW_Salmon_by_Month_2010-2021'!P$2:P$3810,'FW_Salmon_by_Month_2010-2021'!$B$2:$B$3810,'Rec_raw_catch_effort_2010-2021'!$B2283,'FW_Salmon_by_Month_2010-2021'!$H$2:$H$3810,'Rec_raw_catch_effort_2010-2021'!$F2283,'FW_Salmon_by_Month_2010-2021'!$M$2:$M$3810,'Rec_raw_catch_effort_2010-2021'!$K2283)</f>
        <v>230.19047619047629</v>
      </c>
      <c r="R2283" s="109">
        <f>VLOOKUP(B2283,Readme!$A$62:$C$74,2,)*Q2283</f>
        <v>814.65340409086684</v>
      </c>
      <c r="S2283" s="140" t="str">
        <f t="shared" si="181"/>
        <v>Y</v>
      </c>
      <c r="T2283" s="154">
        <f t="shared" si="182"/>
        <v>3.44</v>
      </c>
      <c r="U2283" s="154">
        <f t="shared" si="183"/>
        <v>3.5390404397824153</v>
      </c>
    </row>
    <row r="2284" spans="1:21" x14ac:dyDescent="0.35">
      <c r="A2284" s="108">
        <v>2883</v>
      </c>
      <c r="B2284" s="108">
        <v>2019</v>
      </c>
      <c r="C2284" s="108" t="s">
        <v>38</v>
      </c>
      <c r="D2284" s="108" t="s">
        <v>143</v>
      </c>
      <c r="E2284" s="108" t="s">
        <v>10</v>
      </c>
      <c r="F2284" s="116">
        <v>825</v>
      </c>
      <c r="G2284" s="108" t="s">
        <v>58</v>
      </c>
      <c r="H2284" s="108" t="str">
        <f t="shared" si="184"/>
        <v>Baker Lake</v>
      </c>
      <c r="I2284" s="108" t="str">
        <f>IFERROR(VLOOKUP(H2284,LUTs!$A$1:$C$73,2,FALSE),"NA")</f>
        <v>Whatcom</v>
      </c>
      <c r="J2284" s="108" t="str">
        <f>IFERROR(VLOOKUP(H2284,LUTs!$A$1:$C$73,3,FALSE),"NA")</f>
        <v>1North Puget Sound</v>
      </c>
      <c r="K2284" s="108" t="s">
        <v>15</v>
      </c>
      <c r="L2284" s="108" t="str">
        <f>VLOOKUP(K2284,LUTs!E$2:G$14,3,)</f>
        <v>02Skagit</v>
      </c>
      <c r="M2284" s="108" t="str">
        <f>VLOOKUP($K2284,LUTs!$E$2:$H$14,2,)</f>
        <v>North Puget Sound</v>
      </c>
      <c r="N2284" s="108" t="str">
        <f>VLOOKUP($K2284,LUTs!$E$2:$H$14,4,)</f>
        <v>01North Puget Sound</v>
      </c>
      <c r="O2284" s="108">
        <v>602.40909090909099</v>
      </c>
      <c r="P2284" s="108">
        <v>2072.2872727272702</v>
      </c>
      <c r="Q2284" s="108">
        <f>SUMIFS('FW_Salmon_by_Month_2010-2021'!P$2:P$3810,'FW_Salmon_by_Month_2010-2021'!$B$2:$B$3810,'Rec_raw_catch_effort_2010-2021'!$B2284,'FW_Salmon_by_Month_2010-2021'!$H$2:$H$3810,'Rec_raw_catch_effort_2010-2021'!$F2284,'FW_Salmon_by_Month_2010-2021'!$M$2:$M$3810,'Rec_raw_catch_effort_2010-2021'!$K2284)</f>
        <v>596.52380952380963</v>
      </c>
      <c r="R2284" s="109">
        <f>VLOOKUP(B2284,Readme!$A$62:$C$74,2,)*Q2284</f>
        <v>2111.1218851978251</v>
      </c>
      <c r="S2284" s="140" t="str">
        <f t="shared" si="181"/>
        <v>Y</v>
      </c>
      <c r="T2284" s="154">
        <f t="shared" si="182"/>
        <v>3.4399999999999955</v>
      </c>
      <c r="U2284" s="154">
        <f t="shared" si="183"/>
        <v>3.5390404397824153</v>
      </c>
    </row>
    <row r="2285" spans="1:21" x14ac:dyDescent="0.35">
      <c r="A2285" s="108">
        <v>2884</v>
      </c>
      <c r="B2285" s="108">
        <v>2019</v>
      </c>
      <c r="C2285" s="108" t="s">
        <v>38</v>
      </c>
      <c r="D2285" s="108" t="s">
        <v>143</v>
      </c>
      <c r="E2285" s="108" t="s">
        <v>10</v>
      </c>
      <c r="F2285" s="116">
        <v>825</v>
      </c>
      <c r="G2285" s="108" t="s">
        <v>58</v>
      </c>
      <c r="H2285" s="108" t="str">
        <f t="shared" si="184"/>
        <v>Baker Lake</v>
      </c>
      <c r="I2285" s="108" t="str">
        <f>IFERROR(VLOOKUP(H2285,LUTs!$A$1:$C$73,2,FALSE),"NA")</f>
        <v>Whatcom</v>
      </c>
      <c r="J2285" s="108" t="str">
        <f>IFERROR(VLOOKUP(H2285,LUTs!$A$1:$C$73,3,FALSE),"NA")</f>
        <v>1North Puget Sound</v>
      </c>
      <c r="K2285" s="108" t="s">
        <v>16</v>
      </c>
      <c r="L2285" s="108" t="str">
        <f>VLOOKUP(K2285,LUTs!E$2:G$14,3,)</f>
        <v>03Snohomish</v>
      </c>
      <c r="M2285" s="108" t="str">
        <f>VLOOKUP($K2285,LUTs!$E$2:$H$14,2,)</f>
        <v>North Puget Sound</v>
      </c>
      <c r="N2285" s="108" t="str">
        <f>VLOOKUP($K2285,LUTs!$E$2:$H$14,4,)</f>
        <v>01North Puget Sound</v>
      </c>
      <c r="O2285" s="108">
        <v>612.79545454545496</v>
      </c>
      <c r="P2285" s="108">
        <v>2108.01636363636</v>
      </c>
      <c r="Q2285" s="108">
        <f>SUMIFS('FW_Salmon_by_Month_2010-2021'!P$2:P$3810,'FW_Salmon_by_Month_2010-2021'!$B$2:$B$3810,'Rec_raw_catch_effort_2010-2021'!$B2285,'FW_Salmon_by_Month_2010-2021'!$H$2:$H$3810,'Rec_raw_catch_effort_2010-2021'!$F2285,'FW_Salmon_by_Month_2010-2021'!$M$2:$M$3810,'Rec_raw_catch_effort_2010-2021'!$K2285)</f>
        <v>617.49523809523771</v>
      </c>
      <c r="R2285" s="109">
        <f>VLOOKUP(B2285,Readme!$A$62:$C$74,2,)*Q2285</f>
        <v>2185.3406189921175</v>
      </c>
      <c r="S2285" s="140" t="str">
        <f t="shared" si="181"/>
        <v>Y</v>
      </c>
      <c r="T2285" s="154">
        <f t="shared" si="182"/>
        <v>3.4399999999999915</v>
      </c>
      <c r="U2285" s="154">
        <f t="shared" si="183"/>
        <v>3.5390404397824153</v>
      </c>
    </row>
    <row r="2286" spans="1:21" x14ac:dyDescent="0.35">
      <c r="A2286" s="108">
        <v>2887</v>
      </c>
      <c r="B2286" s="108">
        <v>2019</v>
      </c>
      <c r="C2286" s="108" t="s">
        <v>38</v>
      </c>
      <c r="D2286" s="108" t="s">
        <v>143</v>
      </c>
      <c r="E2286" s="108" t="s">
        <v>10</v>
      </c>
      <c r="F2286" s="116">
        <v>825</v>
      </c>
      <c r="G2286" s="108" t="s">
        <v>58</v>
      </c>
      <c r="H2286" s="108" t="str">
        <f t="shared" si="184"/>
        <v>Baker Lake</v>
      </c>
      <c r="I2286" s="108" t="str">
        <f>IFERROR(VLOOKUP(H2286,LUTs!$A$1:$C$73,2,FALSE),"NA")</f>
        <v>Whatcom</v>
      </c>
      <c r="J2286" s="108" t="str">
        <f>IFERROR(VLOOKUP(H2286,LUTs!$A$1:$C$73,3,FALSE),"NA")</f>
        <v>1North Puget Sound</v>
      </c>
      <c r="K2286" s="108" t="s">
        <v>21</v>
      </c>
      <c r="L2286" s="108" t="str">
        <f>VLOOKUP(K2286,LUTs!E$2:G$14,3,)</f>
        <v>08Thurston</v>
      </c>
      <c r="M2286" s="108" t="str">
        <f>VLOOKUP($K2286,LUTs!$E$2:$H$14,2,)</f>
        <v>South Puget Sound</v>
      </c>
      <c r="N2286" s="108" t="str">
        <f>VLOOKUP($K2286,LUTs!$E$2:$H$14,4,)</f>
        <v>02South Puget Sound</v>
      </c>
      <c r="O2286" s="108">
        <v>51.931818181818201</v>
      </c>
      <c r="P2286" s="108">
        <v>178.64545454545501</v>
      </c>
      <c r="Q2286" s="108">
        <f>SUMIFS('FW_Salmon_by_Month_2010-2021'!P$2:P$3810,'FW_Salmon_by_Month_2010-2021'!$B$2:$B$3810,'Rec_raw_catch_effort_2010-2021'!$B2286,'FW_Salmon_by_Month_2010-2021'!$H$2:$H$3810,'Rec_raw_catch_effort_2010-2021'!$F2286,'FW_Salmon_by_Month_2010-2021'!$M$2:$M$3810,'Rec_raw_catch_effort_2010-2021'!$K2286)</f>
        <v>52.3333333333333</v>
      </c>
      <c r="R2286" s="109">
        <f>VLOOKUP(B2286,Readme!$A$62:$C$74,2,)*Q2286</f>
        <v>185.20978301527961</v>
      </c>
      <c r="S2286" s="140" t="str">
        <f t="shared" si="181"/>
        <v>Y</v>
      </c>
      <c r="T2286" s="154">
        <f t="shared" si="182"/>
        <v>3.4400000000000075</v>
      </c>
      <c r="U2286" s="154">
        <f t="shared" si="183"/>
        <v>3.5390404397824153</v>
      </c>
    </row>
    <row r="2287" spans="1:21" x14ac:dyDescent="0.35">
      <c r="A2287" s="108">
        <v>2882</v>
      </c>
      <c r="B2287" s="108">
        <v>2019</v>
      </c>
      <c r="C2287" s="108" t="s">
        <v>38</v>
      </c>
      <c r="D2287" s="108" t="s">
        <v>143</v>
      </c>
      <c r="E2287" s="108" t="s">
        <v>10</v>
      </c>
      <c r="F2287" s="116">
        <v>825</v>
      </c>
      <c r="G2287" s="108" t="s">
        <v>58</v>
      </c>
      <c r="H2287" s="108" t="str">
        <f t="shared" si="184"/>
        <v>Baker Lake</v>
      </c>
      <c r="I2287" s="108" t="str">
        <f>IFERROR(VLOOKUP(H2287,LUTs!$A$1:$C$73,2,FALSE),"NA")</f>
        <v>Whatcom</v>
      </c>
      <c r="J2287" s="108" t="str">
        <f>IFERROR(VLOOKUP(H2287,LUTs!$A$1:$C$73,3,FALSE),"NA")</f>
        <v>1North Puget Sound</v>
      </c>
      <c r="K2287" s="108" t="s">
        <v>13</v>
      </c>
      <c r="L2287" s="108" t="str">
        <f>VLOOKUP(K2287,LUTs!E$2:G$14,3,)</f>
        <v>01Whatcom</v>
      </c>
      <c r="M2287" s="108" t="str">
        <f>VLOOKUP($K2287,LUTs!$E$2:$H$14,2,)</f>
        <v>North Puget Sound</v>
      </c>
      <c r="N2287" s="108" t="str">
        <f>VLOOKUP($K2287,LUTs!$E$2:$H$14,4,)</f>
        <v>01North Puget Sound</v>
      </c>
      <c r="O2287" s="108">
        <v>457</v>
      </c>
      <c r="P2287" s="108">
        <v>1572.08</v>
      </c>
      <c r="Q2287" s="108">
        <f>SUMIFS('FW_Salmon_by_Month_2010-2021'!P$2:P$3810,'FW_Salmon_by_Month_2010-2021'!$B$2:$B$3810,'Rec_raw_catch_effort_2010-2021'!$B2287,'FW_Salmon_by_Month_2010-2021'!$H$2:$H$3810,'Rec_raw_catch_effort_2010-2021'!$F2287,'FW_Salmon_by_Month_2010-2021'!$M$2:$M$3810,'Rec_raw_catch_effort_2010-2021'!$K2287)</f>
        <v>460.45714285714257</v>
      </c>
      <c r="R2287" s="109">
        <f>VLOOKUP(B2287,Readme!$A$62:$C$74,2,)*Q2287</f>
        <v>1629.5764493580964</v>
      </c>
      <c r="S2287" s="140" t="str">
        <f t="shared" si="181"/>
        <v>Y</v>
      </c>
      <c r="T2287" s="154">
        <f t="shared" si="182"/>
        <v>3.44</v>
      </c>
      <c r="U2287" s="154">
        <f t="shared" si="183"/>
        <v>3.5390404397824158</v>
      </c>
    </row>
    <row r="2288" spans="1:21" x14ac:dyDescent="0.35">
      <c r="A2288" s="108">
        <v>2899</v>
      </c>
      <c r="B2288" s="108">
        <v>2020</v>
      </c>
      <c r="C2288" s="108" t="s">
        <v>38</v>
      </c>
      <c r="D2288" s="108" t="s">
        <v>143</v>
      </c>
      <c r="E2288" s="108" t="s">
        <v>10</v>
      </c>
      <c r="F2288" s="116">
        <v>825</v>
      </c>
      <c r="G2288" s="108" t="s">
        <v>58</v>
      </c>
      <c r="H2288" s="108" t="str">
        <f t="shared" si="184"/>
        <v>Baker Lake</v>
      </c>
      <c r="I2288" s="108" t="str">
        <f>IFERROR(VLOOKUP(H2288,LUTs!$A$1:$C$73,2,FALSE),"NA")</f>
        <v>Whatcom</v>
      </c>
      <c r="J2288" s="108" t="str">
        <f>IFERROR(VLOOKUP(H2288,LUTs!$A$1:$C$73,3,FALSE),"NA")</f>
        <v>1North Puget Sound</v>
      </c>
      <c r="K2288" s="108" t="s">
        <v>17</v>
      </c>
      <c r="L2288" s="108" t="str">
        <f>VLOOKUP(K2288,LUTs!E$2:G$14,3,)</f>
        <v>04Island</v>
      </c>
      <c r="M2288" s="108" t="str">
        <f>VLOOKUP($K2288,LUTs!$E$2:$H$14,2,)</f>
        <v>North Puget Sound</v>
      </c>
      <c r="N2288" s="108" t="str">
        <f>VLOOKUP($K2288,LUTs!$E$2:$H$14,4,)</f>
        <v>01North Puget Sound</v>
      </c>
      <c r="O2288" s="108">
        <v>106.964856230032</v>
      </c>
      <c r="P2288" s="108">
        <v>925.24600638977699</v>
      </c>
      <c r="Q2288" s="108">
        <f>SUMIFS('FW_Salmon_by_Month_2010-2021'!P$2:P$3810,'FW_Salmon_by_Month_2010-2021'!$B$2:$B$3810,'Rec_raw_catch_effort_2010-2021'!$B2288,'FW_Salmon_by_Month_2010-2021'!$H$2:$H$3810,'Rec_raw_catch_effort_2010-2021'!$F2288,'FW_Salmon_by_Month_2010-2021'!$M$2:$M$3810,'Rec_raw_catch_effort_2010-2021'!$K2288)</f>
        <v>107.10299003322299</v>
      </c>
      <c r="R2288" s="109">
        <f>VLOOKUP(B2288,Readme!$A$62:$C$74,2,)*Q2288</f>
        <v>516.18874085980792</v>
      </c>
      <c r="S2288" s="140" t="str">
        <f t="shared" si="181"/>
        <v>N</v>
      </c>
      <c r="T2288" s="154">
        <f t="shared" si="182"/>
        <v>8.6500000000000021</v>
      </c>
      <c r="U2288" s="154">
        <f t="shared" si="183"/>
        <v>4.8195549041132084</v>
      </c>
    </row>
    <row r="2289" spans="1:21" x14ac:dyDescent="0.35">
      <c r="A2289" s="108">
        <v>2900</v>
      </c>
      <c r="B2289" s="108">
        <v>2020</v>
      </c>
      <c r="C2289" s="108" t="s">
        <v>38</v>
      </c>
      <c r="D2289" s="108" t="s">
        <v>143</v>
      </c>
      <c r="E2289" s="108" t="s">
        <v>10</v>
      </c>
      <c r="F2289" s="116">
        <v>825</v>
      </c>
      <c r="G2289" s="108" t="s">
        <v>58</v>
      </c>
      <c r="H2289" s="108" t="str">
        <f t="shared" si="184"/>
        <v>Baker Lake</v>
      </c>
      <c r="I2289" s="108" t="str">
        <f>IFERROR(VLOOKUP(H2289,LUTs!$A$1:$C$73,2,FALSE),"NA")</f>
        <v>Whatcom</v>
      </c>
      <c r="J2289" s="108" t="str">
        <f>IFERROR(VLOOKUP(H2289,LUTs!$A$1:$C$73,3,FALSE),"NA")</f>
        <v>1North Puget Sound</v>
      </c>
      <c r="K2289" s="108" t="s">
        <v>18</v>
      </c>
      <c r="L2289" s="108" t="str">
        <f>VLOOKUP(K2289,LUTs!E$2:G$14,3,)</f>
        <v>06King</v>
      </c>
      <c r="M2289" s="108" t="str">
        <f>VLOOKUP($K2289,LUTs!$E$2:$H$14,2,)</f>
        <v>South Puget Sound</v>
      </c>
      <c r="N2289" s="108" t="str">
        <f>VLOOKUP($K2289,LUTs!$E$2:$H$14,4,)</f>
        <v>02South Puget Sound</v>
      </c>
      <c r="O2289" s="108">
        <v>1051.8210862619801</v>
      </c>
      <c r="P2289" s="108">
        <v>9098.25239616613</v>
      </c>
      <c r="Q2289" s="108">
        <f>SUMIFS('FW_Salmon_by_Month_2010-2021'!P$2:P$3810,'FW_Salmon_by_Month_2010-2021'!$B$2:$B$3810,'Rec_raw_catch_effort_2010-2021'!$B2289,'FW_Salmon_by_Month_2010-2021'!$H$2:$H$3810,'Rec_raw_catch_effort_2010-2021'!$F2289,'FW_Salmon_by_Month_2010-2021'!$M$2:$M$3810,'Rec_raw_catch_effort_2010-2021'!$K2289)</f>
        <v>1053.17940199336</v>
      </c>
      <c r="R2289" s="109">
        <f>VLOOKUP(B2289,Readme!$A$62:$C$74,2,)*Q2289</f>
        <v>5075.855951788114</v>
      </c>
      <c r="S2289" s="140" t="str">
        <f t="shared" si="181"/>
        <v>N</v>
      </c>
      <c r="T2289" s="154">
        <f t="shared" si="182"/>
        <v>8.6500000000000021</v>
      </c>
      <c r="U2289" s="154">
        <f t="shared" si="183"/>
        <v>4.8195549041132084</v>
      </c>
    </row>
    <row r="2290" spans="1:21" x14ac:dyDescent="0.35">
      <c r="A2290" s="108">
        <v>2966</v>
      </c>
      <c r="B2290" s="108">
        <v>2020</v>
      </c>
      <c r="C2290" s="108" t="s">
        <v>38</v>
      </c>
      <c r="D2290" s="108" t="s">
        <v>143</v>
      </c>
      <c r="E2290" s="108" t="s">
        <v>10</v>
      </c>
      <c r="F2290" s="116">
        <v>825</v>
      </c>
      <c r="G2290" s="108" t="s">
        <v>58</v>
      </c>
      <c r="H2290" s="108" t="str">
        <f t="shared" si="184"/>
        <v>Baker Lake</v>
      </c>
      <c r="I2290" s="108" t="str">
        <f>IFERROR(VLOOKUP(H2290,LUTs!$A$1:$C$73,2,FALSE),"NA")</f>
        <v>Whatcom</v>
      </c>
      <c r="J2290" s="108" t="str">
        <f>IFERROR(VLOOKUP(H2290,LUTs!$A$1:$C$73,3,FALSE),"NA")</f>
        <v>1North Puget Sound</v>
      </c>
      <c r="K2290" s="108" t="s">
        <v>23</v>
      </c>
      <c r="L2290" s="108" t="str">
        <f>VLOOKUP(K2290,LUTs!E$2:G$14,3,)</f>
        <v>10Kitsap</v>
      </c>
      <c r="M2290" s="108" t="str">
        <f>VLOOKUP($K2290,LUTs!$E$2:$H$14,2,)</f>
        <v>South Puget Sound</v>
      </c>
      <c r="N2290" s="108" t="str">
        <f>VLOOKUP($K2290,LUTs!$E$2:$H$14,4,)</f>
        <v>02South Puget Sound</v>
      </c>
      <c r="O2290" s="108">
        <v>35.654952076677297</v>
      </c>
      <c r="P2290" s="108">
        <v>308.415335463259</v>
      </c>
      <c r="Q2290" s="108">
        <f>SUMIFS('FW_Salmon_by_Month_2010-2021'!P$2:P$3810,'FW_Salmon_by_Month_2010-2021'!$B$2:$B$3810,'Rec_raw_catch_effort_2010-2021'!$B2290,'FW_Salmon_by_Month_2010-2021'!$H$2:$H$3810,'Rec_raw_catch_effort_2010-2021'!$F2290,'FW_Salmon_by_Month_2010-2021'!$M$2:$M$3810,'Rec_raw_catch_effort_2010-2021'!$K2290)</f>
        <v>35.700996677740903</v>
      </c>
      <c r="R2290" s="109">
        <f>VLOOKUP(B2290,Readme!$A$62:$C$74,2,)*Q2290</f>
        <v>172.06291361993553</v>
      </c>
      <c r="S2290" s="140" t="str">
        <f t="shared" si="181"/>
        <v>N</v>
      </c>
      <c r="T2290" s="154">
        <f t="shared" si="182"/>
        <v>8.650000000000011</v>
      </c>
      <c r="U2290" s="154">
        <f t="shared" si="183"/>
        <v>4.8195549041132084</v>
      </c>
    </row>
    <row r="2291" spans="1:21" x14ac:dyDescent="0.35">
      <c r="A2291" s="108">
        <v>2967</v>
      </c>
      <c r="B2291" s="108">
        <v>2020</v>
      </c>
      <c r="C2291" s="108" t="s">
        <v>38</v>
      </c>
      <c r="D2291" s="108" t="s">
        <v>143</v>
      </c>
      <c r="E2291" s="108" t="s">
        <v>10</v>
      </c>
      <c r="F2291" s="116">
        <v>825</v>
      </c>
      <c r="G2291" s="108" t="s">
        <v>58</v>
      </c>
      <c r="H2291" s="108" t="str">
        <f t="shared" si="184"/>
        <v>Baker Lake</v>
      </c>
      <c r="I2291" s="108" t="str">
        <f>IFERROR(VLOOKUP(H2291,LUTs!$A$1:$C$73,2,FALSE),"NA")</f>
        <v>Whatcom</v>
      </c>
      <c r="J2291" s="108" t="str">
        <f>IFERROR(VLOOKUP(H2291,LUTs!$A$1:$C$73,3,FALSE),"NA")</f>
        <v>1North Puget Sound</v>
      </c>
      <c r="K2291" s="108" t="s">
        <v>26</v>
      </c>
      <c r="L2291" s="108" t="str">
        <f>VLOOKUP(K2291,LUTs!E$2:G$14,3,)</f>
        <v>20Other</v>
      </c>
      <c r="M2291" s="108" t="str">
        <f>VLOOKUP($K2291,LUTs!$E$2:$H$14,2,)</f>
        <v>Non Puget Sound</v>
      </c>
      <c r="N2291" s="108" t="str">
        <f>VLOOKUP($K2291,LUTs!$E$2:$H$14,4,)</f>
        <v>07Non Puget Sound</v>
      </c>
      <c r="O2291" s="108">
        <v>231.757188498403</v>
      </c>
      <c r="P2291" s="108">
        <v>2004.6996805111901</v>
      </c>
      <c r="Q2291" s="108">
        <f>SUMIFS('FW_Salmon_by_Month_2010-2021'!P$2:P$3810,'FW_Salmon_by_Month_2010-2021'!$B$2:$B$3810,'Rec_raw_catch_effort_2010-2021'!$B2291,'FW_Salmon_by_Month_2010-2021'!$H$2:$H$3810,'Rec_raw_catch_effort_2010-2021'!$F2291,'FW_Salmon_by_Month_2010-2021'!$M$2:$M$3810,'Rec_raw_catch_effort_2010-2021'!$K2291)</f>
        <v>232.056478405316</v>
      </c>
      <c r="R2291" s="109">
        <f>VLOOKUP(B2291,Readme!$A$62:$C$74,2,)*Q2291</f>
        <v>1118.4089385295815</v>
      </c>
      <c r="S2291" s="140" t="str">
        <f t="shared" si="181"/>
        <v>N</v>
      </c>
      <c r="T2291" s="154">
        <f t="shared" si="182"/>
        <v>8.6500000000000181</v>
      </c>
      <c r="U2291" s="154">
        <f t="shared" si="183"/>
        <v>4.8195549041132084</v>
      </c>
    </row>
    <row r="2292" spans="1:21" x14ac:dyDescent="0.35">
      <c r="A2292" s="108">
        <v>2901</v>
      </c>
      <c r="B2292" s="108">
        <v>2020</v>
      </c>
      <c r="C2292" s="108" t="s">
        <v>38</v>
      </c>
      <c r="D2292" s="108" t="s">
        <v>143</v>
      </c>
      <c r="E2292" s="108" t="s">
        <v>10</v>
      </c>
      <c r="F2292" s="116">
        <v>825</v>
      </c>
      <c r="G2292" s="108" t="s">
        <v>58</v>
      </c>
      <c r="H2292" s="108" t="str">
        <f t="shared" si="184"/>
        <v>Baker Lake</v>
      </c>
      <c r="I2292" s="108" t="str">
        <f>IFERROR(VLOOKUP(H2292,LUTs!$A$1:$C$73,2,FALSE),"NA")</f>
        <v>Whatcom</v>
      </c>
      <c r="J2292" s="108" t="str">
        <f>IFERROR(VLOOKUP(H2292,LUTs!$A$1:$C$73,3,FALSE),"NA")</f>
        <v>1North Puget Sound</v>
      </c>
      <c r="K2292" s="108" t="s">
        <v>20</v>
      </c>
      <c r="L2292" s="108" t="str">
        <f>VLOOKUP(K2292,LUTs!E$2:G$14,3,)</f>
        <v>07Pierce</v>
      </c>
      <c r="M2292" s="108" t="str">
        <f>VLOOKUP($K2292,LUTs!$E$2:$H$14,2,)</f>
        <v>South Puget Sound</v>
      </c>
      <c r="N2292" s="108" t="str">
        <f>VLOOKUP($K2292,LUTs!$E$2:$H$14,4,)</f>
        <v>02South Puget Sound</v>
      </c>
      <c r="O2292" s="108">
        <v>35.654952076677297</v>
      </c>
      <c r="P2292" s="108">
        <v>308.415335463259</v>
      </c>
      <c r="Q2292" s="108">
        <f>SUMIFS('FW_Salmon_by_Month_2010-2021'!P$2:P$3810,'FW_Salmon_by_Month_2010-2021'!$B$2:$B$3810,'Rec_raw_catch_effort_2010-2021'!$B2292,'FW_Salmon_by_Month_2010-2021'!$H$2:$H$3810,'Rec_raw_catch_effort_2010-2021'!$F2292,'FW_Salmon_by_Month_2010-2021'!$M$2:$M$3810,'Rec_raw_catch_effort_2010-2021'!$K2292)</f>
        <v>35.700996677740903</v>
      </c>
      <c r="R2292" s="109">
        <f>VLOOKUP(B2292,Readme!$A$62:$C$74,2,)*Q2292</f>
        <v>172.06291361993553</v>
      </c>
      <c r="S2292" s="140" t="str">
        <f t="shared" si="181"/>
        <v>N</v>
      </c>
      <c r="T2292" s="154">
        <f t="shared" si="182"/>
        <v>8.650000000000011</v>
      </c>
      <c r="U2292" s="154">
        <f t="shared" si="183"/>
        <v>4.8195549041132084</v>
      </c>
    </row>
    <row r="2293" spans="1:21" x14ac:dyDescent="0.35">
      <c r="A2293" s="108">
        <v>2897</v>
      </c>
      <c r="B2293" s="108">
        <v>2020</v>
      </c>
      <c r="C2293" s="108" t="s">
        <v>38</v>
      </c>
      <c r="D2293" s="108" t="s">
        <v>143</v>
      </c>
      <c r="E2293" s="108" t="s">
        <v>10</v>
      </c>
      <c r="F2293" s="116">
        <v>825</v>
      </c>
      <c r="G2293" s="108" t="s">
        <v>58</v>
      </c>
      <c r="H2293" s="108" t="str">
        <f t="shared" si="184"/>
        <v>Baker Lake</v>
      </c>
      <c r="I2293" s="108" t="str">
        <f>IFERROR(VLOOKUP(H2293,LUTs!$A$1:$C$73,2,FALSE),"NA")</f>
        <v>Whatcom</v>
      </c>
      <c r="J2293" s="108" t="str">
        <f>IFERROR(VLOOKUP(H2293,LUTs!$A$1:$C$73,3,FALSE),"NA")</f>
        <v>1North Puget Sound</v>
      </c>
      <c r="K2293" s="108" t="s">
        <v>15</v>
      </c>
      <c r="L2293" s="108" t="str">
        <f>VLOOKUP(K2293,LUTs!E$2:G$14,3,)</f>
        <v>02Skagit</v>
      </c>
      <c r="M2293" s="108" t="str">
        <f>VLOOKUP($K2293,LUTs!$E$2:$H$14,2,)</f>
        <v>North Puget Sound</v>
      </c>
      <c r="N2293" s="108" t="str">
        <f>VLOOKUP($K2293,LUTs!$E$2:$H$14,4,)</f>
        <v>01North Puget Sound</v>
      </c>
      <c r="O2293" s="108">
        <v>1640.1277955271601</v>
      </c>
      <c r="P2293" s="108">
        <v>14187.105431309899</v>
      </c>
      <c r="Q2293" s="108">
        <f>SUMIFS('FW_Salmon_by_Month_2010-2021'!P$2:P$3810,'FW_Salmon_by_Month_2010-2021'!$B$2:$B$3810,'Rec_raw_catch_effort_2010-2021'!$B2293,'FW_Salmon_by_Month_2010-2021'!$H$2:$H$3810,'Rec_raw_catch_effort_2010-2021'!$F2293,'FW_Salmon_by_Month_2010-2021'!$M$2:$M$3810,'Rec_raw_catch_effort_2010-2021'!$K2293)</f>
        <v>1638.6428571428601</v>
      </c>
      <c r="R2293" s="109">
        <f>VLOOKUP(B2293,Readme!$A$62:$C$74,2,)*Q2293</f>
        <v>7897.5292182329504</v>
      </c>
      <c r="S2293" s="140" t="str">
        <f t="shared" si="181"/>
        <v>N</v>
      </c>
      <c r="T2293" s="154">
        <f t="shared" si="182"/>
        <v>8.649999999999979</v>
      </c>
      <c r="U2293" s="154">
        <f t="shared" si="183"/>
        <v>4.8195549041132084</v>
      </c>
    </row>
    <row r="2294" spans="1:21" x14ac:dyDescent="0.35">
      <c r="A2294" s="108">
        <v>2898</v>
      </c>
      <c r="B2294" s="108">
        <v>2020</v>
      </c>
      <c r="C2294" s="108" t="s">
        <v>38</v>
      </c>
      <c r="D2294" s="108" t="s">
        <v>143</v>
      </c>
      <c r="E2294" s="108" t="s">
        <v>10</v>
      </c>
      <c r="F2294" s="116">
        <v>825</v>
      </c>
      <c r="G2294" s="108" t="s">
        <v>58</v>
      </c>
      <c r="H2294" s="108" t="str">
        <f t="shared" si="184"/>
        <v>Baker Lake</v>
      </c>
      <c r="I2294" s="108" t="str">
        <f>IFERROR(VLOOKUP(H2294,LUTs!$A$1:$C$73,2,FALSE),"NA")</f>
        <v>Whatcom</v>
      </c>
      <c r="J2294" s="108" t="str">
        <f>IFERROR(VLOOKUP(H2294,LUTs!$A$1:$C$73,3,FALSE),"NA")</f>
        <v>1North Puget Sound</v>
      </c>
      <c r="K2294" s="108" t="s">
        <v>16</v>
      </c>
      <c r="L2294" s="108" t="str">
        <f>VLOOKUP(K2294,LUTs!E$2:G$14,3,)</f>
        <v>03Snohomish</v>
      </c>
      <c r="M2294" s="108" t="str">
        <f>VLOOKUP($K2294,LUTs!$E$2:$H$14,2,)</f>
        <v>North Puget Sound</v>
      </c>
      <c r="N2294" s="108" t="str">
        <f>VLOOKUP($K2294,LUTs!$E$2:$H$14,4,)</f>
        <v>01North Puget Sound</v>
      </c>
      <c r="O2294" s="108">
        <v>1604.47284345048</v>
      </c>
      <c r="P2294" s="108">
        <v>13878.690095846699</v>
      </c>
      <c r="Q2294" s="108">
        <f>SUMIFS('FW_Salmon_by_Month_2010-2021'!P$2:P$3810,'FW_Salmon_by_Month_2010-2021'!$B$2:$B$3810,'Rec_raw_catch_effort_2010-2021'!$B2294,'FW_Salmon_by_Month_2010-2021'!$H$2:$H$3810,'Rec_raw_catch_effort_2010-2021'!$F2294,'FW_Salmon_by_Month_2010-2021'!$M$2:$M$3810,'Rec_raw_catch_effort_2010-2021'!$K2294)</f>
        <v>1603.5423588039901</v>
      </c>
      <c r="R2294" s="109">
        <f>VLOOKUP(B2294,Readme!$A$62:$C$74,2,)*Q2294</f>
        <v>7728.3604393270325</v>
      </c>
      <c r="S2294" s="140" t="str">
        <f t="shared" si="181"/>
        <v>N</v>
      </c>
      <c r="T2294" s="154">
        <f t="shared" si="182"/>
        <v>8.6500000000000288</v>
      </c>
      <c r="U2294" s="154">
        <f t="shared" si="183"/>
        <v>4.8195549041132084</v>
      </c>
    </row>
    <row r="2295" spans="1:21" x14ac:dyDescent="0.35">
      <c r="A2295" s="108">
        <v>2896</v>
      </c>
      <c r="B2295" s="108">
        <v>2020</v>
      </c>
      <c r="C2295" s="108" t="s">
        <v>38</v>
      </c>
      <c r="D2295" s="108" t="s">
        <v>143</v>
      </c>
      <c r="E2295" s="108" t="s">
        <v>10</v>
      </c>
      <c r="F2295" s="116">
        <v>825</v>
      </c>
      <c r="G2295" s="108" t="s">
        <v>58</v>
      </c>
      <c r="H2295" s="108" t="str">
        <f t="shared" si="184"/>
        <v>Baker Lake</v>
      </c>
      <c r="I2295" s="108" t="str">
        <f>IFERROR(VLOOKUP(H2295,LUTs!$A$1:$C$73,2,FALSE),"NA")</f>
        <v>Whatcom</v>
      </c>
      <c r="J2295" s="108" t="str">
        <f>IFERROR(VLOOKUP(H2295,LUTs!$A$1:$C$73,3,FALSE),"NA")</f>
        <v>1North Puget Sound</v>
      </c>
      <c r="K2295" s="108" t="s">
        <v>13</v>
      </c>
      <c r="L2295" s="108" t="str">
        <f>VLOOKUP(K2295,LUTs!E$2:G$14,3,)</f>
        <v>01Whatcom</v>
      </c>
      <c r="M2295" s="108" t="str">
        <f>VLOOKUP($K2295,LUTs!$E$2:$H$14,2,)</f>
        <v>North Puget Sound</v>
      </c>
      <c r="N2295" s="108" t="str">
        <f>VLOOKUP($K2295,LUTs!$E$2:$H$14,4,)</f>
        <v>01North Puget Sound</v>
      </c>
      <c r="O2295" s="108">
        <v>873.54632587859396</v>
      </c>
      <c r="P2295" s="108">
        <v>7556.1757188498405</v>
      </c>
      <c r="Q2295" s="108">
        <f>SUMIFS('FW_Salmon_by_Month_2010-2021'!P$2:P$3810,'FW_Salmon_by_Month_2010-2021'!$B$2:$B$3810,'Rec_raw_catch_effort_2010-2021'!$B2295,'FW_Salmon_by_Month_2010-2021'!$H$2:$H$3810,'Rec_raw_catch_effort_2010-2021'!$F2295,'FW_Salmon_by_Month_2010-2021'!$M$2:$M$3810,'Rec_raw_catch_effort_2010-2021'!$K2295)</f>
        <v>874.073920265781</v>
      </c>
      <c r="R2295" s="109">
        <f>VLOOKUP(B2295,Readme!$A$62:$C$74,2,)*Q2295</f>
        <v>4212.6472489744019</v>
      </c>
      <c r="S2295" s="140" t="str">
        <f t="shared" si="181"/>
        <v>N</v>
      </c>
      <c r="T2295" s="154">
        <f t="shared" si="182"/>
        <v>8.6500000000000039</v>
      </c>
      <c r="U2295" s="154">
        <f t="shared" si="183"/>
        <v>4.8195549041132075</v>
      </c>
    </row>
    <row r="2296" spans="1:21" x14ac:dyDescent="0.35">
      <c r="A2296" s="108">
        <v>2979</v>
      </c>
      <c r="B2296" s="108">
        <v>2021</v>
      </c>
      <c r="C2296" s="108" t="s">
        <v>38</v>
      </c>
      <c r="D2296" s="108" t="s">
        <v>143</v>
      </c>
      <c r="E2296" s="108" t="s">
        <v>10</v>
      </c>
      <c r="F2296" s="116">
        <v>825</v>
      </c>
      <c r="G2296" s="108" t="s">
        <v>58</v>
      </c>
      <c r="H2296" s="108" t="str">
        <f t="shared" si="184"/>
        <v>Baker Lake</v>
      </c>
      <c r="I2296" s="108" t="str">
        <f>IFERROR(VLOOKUP(H2296,LUTs!$A$1:$C$73,2,FALSE),"NA")</f>
        <v>Whatcom</v>
      </c>
      <c r="J2296" s="108" t="str">
        <f>IFERROR(VLOOKUP(H2296,LUTs!$A$1:$C$73,3,FALSE),"NA")</f>
        <v>1North Puget Sound</v>
      </c>
      <c r="K2296" s="108" t="s">
        <v>17</v>
      </c>
      <c r="L2296" s="108" t="str">
        <f>VLOOKUP(K2296,LUTs!E$2:G$14,3,)</f>
        <v>04Island</v>
      </c>
      <c r="M2296" s="108" t="str">
        <f>VLOOKUP($K2296,LUTs!$E$2:$H$14,2,)</f>
        <v>North Puget Sound</v>
      </c>
      <c r="N2296" s="108" t="str">
        <f>VLOOKUP($K2296,LUTs!$E$2:$H$14,4,)</f>
        <v>01North Puget Sound</v>
      </c>
      <c r="O2296" s="108">
        <v>434.173719376392</v>
      </c>
      <c r="P2296" s="108">
        <v>1493.5575946547899</v>
      </c>
      <c r="Q2296" s="108">
        <f>SUMIFS('FW_Salmon_by_Month_2010-2021'!P$2:P$3810,'FW_Salmon_by_Month_2010-2021'!$B$2:$B$3810,'Rec_raw_catch_effort_2010-2021'!$B2296,'FW_Salmon_by_Month_2010-2021'!$H$2:$H$3810,'Rec_raw_catch_effort_2010-2021'!$F2296,'FW_Salmon_by_Month_2010-2021'!$M$2:$M$3810,'Rec_raw_catch_effort_2010-2021'!$K2296)</f>
        <v>436.10140845070401</v>
      </c>
      <c r="R2296" s="109">
        <f>VLOOKUP(B2296,Readme!$A$62:$C$74,2,)*Q2296</f>
        <v>1543.3805203531103</v>
      </c>
      <c r="S2296" s="140" t="str">
        <f t="shared" si="181"/>
        <v>N</v>
      </c>
      <c r="T2296" s="154">
        <f t="shared" si="182"/>
        <v>3.4400000000000035</v>
      </c>
      <c r="U2296" s="154">
        <f t="shared" si="183"/>
        <v>3.5390404397824153</v>
      </c>
    </row>
    <row r="2297" spans="1:21" x14ac:dyDescent="0.35">
      <c r="A2297" s="108">
        <v>2981</v>
      </c>
      <c r="B2297" s="108">
        <v>2021</v>
      </c>
      <c r="C2297" s="108" t="s">
        <v>38</v>
      </c>
      <c r="D2297" s="108" t="s">
        <v>143</v>
      </c>
      <c r="E2297" s="108" t="s">
        <v>10</v>
      </c>
      <c r="F2297" s="116">
        <v>825</v>
      </c>
      <c r="G2297" s="108" t="s">
        <v>58</v>
      </c>
      <c r="H2297" s="108" t="str">
        <f t="shared" si="184"/>
        <v>Baker Lake</v>
      </c>
      <c r="I2297" s="108" t="str">
        <f>IFERROR(VLOOKUP(H2297,LUTs!$A$1:$C$73,2,FALSE),"NA")</f>
        <v>Whatcom</v>
      </c>
      <c r="J2297" s="108" t="str">
        <f>IFERROR(VLOOKUP(H2297,LUTs!$A$1:$C$73,3,FALSE),"NA")</f>
        <v>1North Puget Sound</v>
      </c>
      <c r="K2297" s="108" t="s">
        <v>18</v>
      </c>
      <c r="L2297" s="108" t="str">
        <f>VLOOKUP(K2297,LUTs!E$2:G$14,3,)</f>
        <v>06King</v>
      </c>
      <c r="M2297" s="108" t="str">
        <f>VLOOKUP($K2297,LUTs!$E$2:$H$14,2,)</f>
        <v>South Puget Sound</v>
      </c>
      <c r="N2297" s="108" t="str">
        <f>VLOOKUP($K2297,LUTs!$E$2:$H$14,4,)</f>
        <v>02South Puget Sound</v>
      </c>
      <c r="O2297" s="108">
        <v>624.12472160356401</v>
      </c>
      <c r="P2297" s="108">
        <v>2146.9890423162601</v>
      </c>
      <c r="Q2297" s="108">
        <f>SUMIFS('FW_Salmon_by_Month_2010-2021'!P$2:P$3810,'FW_Salmon_by_Month_2010-2021'!$B$2:$B$3810,'Rec_raw_catch_effort_2010-2021'!$B2297,'FW_Salmon_by_Month_2010-2021'!$H$2:$H$3810,'Rec_raw_catch_effort_2010-2021'!$F2297,'FW_Salmon_by_Month_2010-2021'!$M$2:$M$3810,'Rec_raw_catch_effort_2010-2021'!$K2297)</f>
        <v>626.87961615848997</v>
      </c>
      <c r="R2297" s="109">
        <f>VLOOKUP(B2297,Readme!$A$62:$C$74,2,)*Q2297</f>
        <v>2218.5523124601741</v>
      </c>
      <c r="S2297" s="140" t="str">
        <f t="shared" si="181"/>
        <v>N</v>
      </c>
      <c r="T2297" s="154">
        <f t="shared" si="182"/>
        <v>3.44</v>
      </c>
      <c r="U2297" s="154">
        <f t="shared" si="183"/>
        <v>3.5390404397824153</v>
      </c>
    </row>
    <row r="2298" spans="1:21" x14ac:dyDescent="0.35">
      <c r="A2298" s="108">
        <v>2988</v>
      </c>
      <c r="B2298" s="108">
        <v>2021</v>
      </c>
      <c r="C2298" s="108" t="s">
        <v>38</v>
      </c>
      <c r="D2298" s="108" t="s">
        <v>143</v>
      </c>
      <c r="E2298" s="108" t="s">
        <v>10</v>
      </c>
      <c r="F2298" s="116">
        <v>825</v>
      </c>
      <c r="G2298" s="108" t="s">
        <v>58</v>
      </c>
      <c r="H2298" s="108" t="str">
        <f t="shared" si="184"/>
        <v>Baker Lake</v>
      </c>
      <c r="I2298" s="108" t="str">
        <f>IFERROR(VLOOKUP(H2298,LUTs!$A$1:$C$73,2,FALSE),"NA")</f>
        <v>Whatcom</v>
      </c>
      <c r="J2298" s="108" t="str">
        <f>IFERROR(VLOOKUP(H2298,LUTs!$A$1:$C$73,3,FALSE),"NA")</f>
        <v>1North Puget Sound</v>
      </c>
      <c r="K2298" s="108" t="s">
        <v>26</v>
      </c>
      <c r="L2298" s="108" t="str">
        <f>VLOOKUP(K2298,LUTs!E$2:G$14,3,)</f>
        <v>20Other</v>
      </c>
      <c r="M2298" s="108" t="str">
        <f>VLOOKUP($K2298,LUTs!$E$2:$H$14,2,)</f>
        <v>Non Puget Sound</v>
      </c>
      <c r="N2298" s="108" t="str">
        <f>VLOOKUP($K2298,LUTs!$E$2:$H$14,4,)</f>
        <v>07Non Puget Sound</v>
      </c>
      <c r="O2298" s="108">
        <v>502.01336302895299</v>
      </c>
      <c r="P2298" s="108">
        <v>1726.9259688196</v>
      </c>
      <c r="Q2298" s="108">
        <f>SUMIFS('FW_Salmon_by_Month_2010-2021'!P$2:P$3810,'FW_Salmon_by_Month_2010-2021'!$B$2:$B$3810,'Rec_raw_catch_effort_2010-2021'!$B2298,'FW_Salmon_by_Month_2010-2021'!$H$2:$H$3810,'Rec_raw_catch_effort_2010-2021'!$F2298,'FW_Salmon_by_Month_2010-2021'!$M$2:$M$3810,'Rec_raw_catch_effort_2010-2021'!$K2298)</f>
        <v>504.23866274570531</v>
      </c>
      <c r="R2298" s="109">
        <f>VLOOKUP(B2298,Readme!$A$62:$C$74,2,)*Q2298</f>
        <v>1784.521018758858</v>
      </c>
      <c r="S2298" s="140" t="str">
        <f t="shared" si="181"/>
        <v>N</v>
      </c>
      <c r="T2298" s="154">
        <f t="shared" si="182"/>
        <v>3.4400000000000035</v>
      </c>
      <c r="U2298" s="154">
        <f t="shared" si="183"/>
        <v>3.5390404397824153</v>
      </c>
    </row>
    <row r="2299" spans="1:21" x14ac:dyDescent="0.35">
      <c r="A2299" s="108">
        <v>2982</v>
      </c>
      <c r="B2299" s="108">
        <v>2021</v>
      </c>
      <c r="C2299" s="108" t="s">
        <v>38</v>
      </c>
      <c r="D2299" s="108" t="s">
        <v>143</v>
      </c>
      <c r="E2299" s="108" t="s">
        <v>10</v>
      </c>
      <c r="F2299" s="116">
        <v>825</v>
      </c>
      <c r="G2299" s="108" t="s">
        <v>58</v>
      </c>
      <c r="H2299" s="108" t="str">
        <f t="shared" si="184"/>
        <v>Baker Lake</v>
      </c>
      <c r="I2299" s="108" t="str">
        <f>IFERROR(VLOOKUP(H2299,LUTs!$A$1:$C$73,2,FALSE),"NA")</f>
        <v>Whatcom</v>
      </c>
      <c r="J2299" s="108" t="str">
        <f>IFERROR(VLOOKUP(H2299,LUTs!$A$1:$C$73,3,FALSE),"NA")</f>
        <v>1North Puget Sound</v>
      </c>
      <c r="K2299" s="108" t="s">
        <v>20</v>
      </c>
      <c r="L2299" s="108" t="str">
        <f>VLOOKUP(K2299,LUTs!E$2:G$14,3,)</f>
        <v>07Pierce</v>
      </c>
      <c r="M2299" s="108" t="str">
        <f>VLOOKUP($K2299,LUTs!$E$2:$H$14,2,)</f>
        <v>South Puget Sound</v>
      </c>
      <c r="N2299" s="108" t="str">
        <f>VLOOKUP($K2299,LUTs!$E$2:$H$14,4,)</f>
        <v>02South Puget Sound</v>
      </c>
      <c r="O2299" s="108">
        <v>54.271714922049</v>
      </c>
      <c r="P2299" s="108">
        <v>186.69469933184899</v>
      </c>
      <c r="Q2299" s="108">
        <f>SUMIFS('FW_Salmon_by_Month_2010-2021'!P$2:P$3810,'FW_Salmon_by_Month_2010-2021'!$B$2:$B$3810,'Rec_raw_catch_effort_2010-2021'!$B2299,'FW_Salmon_by_Month_2010-2021'!$H$2:$H$3810,'Rec_raw_catch_effort_2010-2021'!$F2299,'FW_Salmon_by_Month_2010-2021'!$M$2:$M$3810,'Rec_raw_catch_effort_2010-2021'!$K2299)</f>
        <v>54.509085280916302</v>
      </c>
      <c r="R2299" s="109">
        <f>VLOOKUP(B2299,Readme!$A$62:$C$74,2,)*Q2299</f>
        <v>192.90985714471122</v>
      </c>
      <c r="S2299" s="140" t="str">
        <f t="shared" si="181"/>
        <v>N</v>
      </c>
      <c r="T2299" s="154">
        <f t="shared" si="182"/>
        <v>3.4400000000000079</v>
      </c>
      <c r="U2299" s="154">
        <f t="shared" si="183"/>
        <v>3.5390404397824153</v>
      </c>
    </row>
    <row r="2300" spans="1:21" x14ac:dyDescent="0.35">
      <c r="A2300" s="108">
        <v>2980</v>
      </c>
      <c r="B2300" s="108">
        <v>2021</v>
      </c>
      <c r="C2300" s="108" t="s">
        <v>38</v>
      </c>
      <c r="D2300" s="108" t="s">
        <v>143</v>
      </c>
      <c r="E2300" s="108" t="s">
        <v>10</v>
      </c>
      <c r="F2300" s="116">
        <v>825</v>
      </c>
      <c r="G2300" s="108" t="s">
        <v>58</v>
      </c>
      <c r="H2300" s="108" t="str">
        <f t="shared" si="184"/>
        <v>Baker Lake</v>
      </c>
      <c r="I2300" s="108" t="str">
        <f>IFERROR(VLOOKUP(H2300,LUTs!$A$1:$C$73,2,FALSE),"NA")</f>
        <v>Whatcom</v>
      </c>
      <c r="J2300" s="108" t="str">
        <f>IFERROR(VLOOKUP(H2300,LUTs!$A$1:$C$73,3,FALSE),"NA")</f>
        <v>1North Puget Sound</v>
      </c>
      <c r="K2300" s="108" t="s">
        <v>30</v>
      </c>
      <c r="L2300" s="108" t="str">
        <f>VLOOKUP(K2300,LUTs!E$2:G$14,3,)</f>
        <v>05San Juan</v>
      </c>
      <c r="M2300" s="108" t="str">
        <f>VLOOKUP($K2300,LUTs!$E$2:$H$14,2,)</f>
        <v>North Puget Sound</v>
      </c>
      <c r="N2300" s="108" t="str">
        <f>VLOOKUP($K2300,LUTs!$E$2:$H$14,4,)</f>
        <v>01North Puget Sound</v>
      </c>
      <c r="O2300" s="108">
        <v>67.839643652561307</v>
      </c>
      <c r="P2300" s="108">
        <v>233.368374164811</v>
      </c>
      <c r="Q2300" s="108">
        <f>SUMIFS('FW_Salmon_by_Month_2010-2021'!P$2:P$3810,'FW_Salmon_by_Month_2010-2021'!$B$2:$B$3810,'Rec_raw_catch_effort_2010-2021'!$B2300,'FW_Salmon_by_Month_2010-2021'!$H$2:$H$3810,'Rec_raw_catch_effort_2010-2021'!$F2300,'FW_Salmon_by_Month_2010-2021'!$M$2:$M$3810,'Rec_raw_catch_effort_2010-2021'!$K2300)</f>
        <v>68.1408450704226</v>
      </c>
      <c r="R2300" s="109">
        <f>VLOOKUP(B2300,Readme!$A$62:$C$74,2,)*Q2300</f>
        <v>241.15320630517382</v>
      </c>
      <c r="S2300" s="140" t="str">
        <f t="shared" si="181"/>
        <v>N</v>
      </c>
      <c r="T2300" s="154">
        <f t="shared" si="182"/>
        <v>3.4400000000000017</v>
      </c>
      <c r="U2300" s="154">
        <f t="shared" si="183"/>
        <v>3.5390404397824153</v>
      </c>
    </row>
    <row r="2301" spans="1:21" x14ac:dyDescent="0.35">
      <c r="A2301" s="108">
        <v>2977</v>
      </c>
      <c r="B2301" s="108">
        <v>2021</v>
      </c>
      <c r="C2301" s="108" t="s">
        <v>38</v>
      </c>
      <c r="D2301" s="108" t="s">
        <v>143</v>
      </c>
      <c r="E2301" s="108" t="s">
        <v>10</v>
      </c>
      <c r="F2301" s="116">
        <v>825</v>
      </c>
      <c r="G2301" s="108" t="s">
        <v>58</v>
      </c>
      <c r="H2301" s="108" t="str">
        <f t="shared" si="184"/>
        <v>Baker Lake</v>
      </c>
      <c r="I2301" s="108" t="str">
        <f>IFERROR(VLOOKUP(H2301,LUTs!$A$1:$C$73,2,FALSE),"NA")</f>
        <v>Whatcom</v>
      </c>
      <c r="J2301" s="108" t="str">
        <f>IFERROR(VLOOKUP(H2301,LUTs!$A$1:$C$73,3,FALSE),"NA")</f>
        <v>1North Puget Sound</v>
      </c>
      <c r="K2301" s="108" t="s">
        <v>15</v>
      </c>
      <c r="L2301" s="108" t="str">
        <f>VLOOKUP(K2301,LUTs!E$2:G$14,3,)</f>
        <v>02Skagit</v>
      </c>
      <c r="M2301" s="108" t="str">
        <f>VLOOKUP($K2301,LUTs!$E$2:$H$14,2,)</f>
        <v>North Puget Sound</v>
      </c>
      <c r="N2301" s="108" t="str">
        <f>VLOOKUP($K2301,LUTs!$E$2:$H$14,4,)</f>
        <v>01North Puget Sound</v>
      </c>
      <c r="O2301" s="108">
        <v>2103.0289532294</v>
      </c>
      <c r="P2301" s="108">
        <v>7234.4195991091401</v>
      </c>
      <c r="Q2301" s="108">
        <f>SUMIFS('FW_Salmon_by_Month_2010-2021'!P$2:P$3810,'FW_Salmon_by_Month_2010-2021'!$B$2:$B$3810,'Rec_raw_catch_effort_2010-2021'!$B2301,'FW_Salmon_by_Month_2010-2021'!$H$2:$H$3810,'Rec_raw_catch_effort_2010-2021'!$F2301,'FW_Salmon_by_Month_2010-2021'!$M$2:$M$3810,'Rec_raw_catch_effort_2010-2021'!$K2301)</f>
        <v>2112.639281844919</v>
      </c>
      <c r="R2301" s="109">
        <f>VLOOKUP(B2301,Readme!$A$62:$C$74,2,)*Q2301</f>
        <v>7476.7158531220484</v>
      </c>
      <c r="S2301" s="140" t="str">
        <f t="shared" si="181"/>
        <v>N</v>
      </c>
      <c r="T2301" s="154">
        <f t="shared" si="182"/>
        <v>3.4400000000000017</v>
      </c>
      <c r="U2301" s="154">
        <f t="shared" si="183"/>
        <v>3.5390404397824153</v>
      </c>
    </row>
    <row r="2302" spans="1:21" x14ac:dyDescent="0.35">
      <c r="A2302" s="108">
        <v>2978</v>
      </c>
      <c r="B2302" s="108">
        <v>2021</v>
      </c>
      <c r="C2302" s="108" t="s">
        <v>38</v>
      </c>
      <c r="D2302" s="108" t="s">
        <v>143</v>
      </c>
      <c r="E2302" s="108" t="s">
        <v>10</v>
      </c>
      <c r="F2302" s="116">
        <v>825</v>
      </c>
      <c r="G2302" s="108" t="s">
        <v>58</v>
      </c>
      <c r="H2302" s="108" t="str">
        <f t="shared" si="184"/>
        <v>Baker Lake</v>
      </c>
      <c r="I2302" s="108" t="str">
        <f>IFERROR(VLOOKUP(H2302,LUTs!$A$1:$C$73,2,FALSE),"NA")</f>
        <v>Whatcom</v>
      </c>
      <c r="J2302" s="108" t="str">
        <f>IFERROR(VLOOKUP(H2302,LUTs!$A$1:$C$73,3,FALSE),"NA")</f>
        <v>1North Puget Sound</v>
      </c>
      <c r="K2302" s="108" t="s">
        <v>16</v>
      </c>
      <c r="L2302" s="108" t="str">
        <f>VLOOKUP(K2302,LUTs!E$2:G$14,3,)</f>
        <v>03Snohomish</v>
      </c>
      <c r="M2302" s="108" t="str">
        <f>VLOOKUP($K2302,LUTs!$E$2:$H$14,2,)</f>
        <v>North Puget Sound</v>
      </c>
      <c r="N2302" s="108" t="str">
        <f>VLOOKUP($K2302,LUTs!$E$2:$H$14,4,)</f>
        <v>01North Puget Sound</v>
      </c>
      <c r="O2302" s="108">
        <v>1628.15144766147</v>
      </c>
      <c r="P2302" s="108">
        <v>5600.8409799554602</v>
      </c>
      <c r="Q2302" s="108">
        <f>SUMIFS('FW_Salmon_by_Month_2010-2021'!P$2:P$3810,'FW_Salmon_by_Month_2010-2021'!$B$2:$B$3810,'Rec_raw_catch_effort_2010-2021'!$B2302,'FW_Salmon_by_Month_2010-2021'!$H$2:$H$3810,'Rec_raw_catch_effort_2010-2021'!$F2302,'FW_Salmon_by_Month_2010-2021'!$M$2:$M$3810,'Rec_raw_catch_effort_2010-2021'!$K2302)</f>
        <v>1635.3515554867679</v>
      </c>
      <c r="R2302" s="109">
        <f>VLOOKUP(B2302,Readme!$A$62:$C$74,2,)*Q2302</f>
        <v>5787.5752881287481</v>
      </c>
      <c r="S2302" s="140" t="str">
        <f t="shared" si="181"/>
        <v>N</v>
      </c>
      <c r="T2302" s="154">
        <f t="shared" si="182"/>
        <v>3.4400000000000022</v>
      </c>
      <c r="U2302" s="154">
        <f t="shared" si="183"/>
        <v>3.5390404397824153</v>
      </c>
    </row>
    <row r="2303" spans="1:21" x14ac:dyDescent="0.35">
      <c r="A2303" s="108">
        <v>2983</v>
      </c>
      <c r="B2303" s="108">
        <v>2021</v>
      </c>
      <c r="C2303" s="108" t="s">
        <v>38</v>
      </c>
      <c r="D2303" s="108" t="s">
        <v>143</v>
      </c>
      <c r="E2303" s="108" t="s">
        <v>10</v>
      </c>
      <c r="F2303" s="116">
        <v>825</v>
      </c>
      <c r="G2303" s="108" t="s">
        <v>58</v>
      </c>
      <c r="H2303" s="108" t="str">
        <f t="shared" si="184"/>
        <v>Baker Lake</v>
      </c>
      <c r="I2303" s="108" t="str">
        <f>IFERROR(VLOOKUP(H2303,LUTs!$A$1:$C$73,2,FALSE),"NA")</f>
        <v>Whatcom</v>
      </c>
      <c r="J2303" s="108" t="str">
        <f>IFERROR(VLOOKUP(H2303,LUTs!$A$1:$C$73,3,FALSE),"NA")</f>
        <v>1North Puget Sound</v>
      </c>
      <c r="K2303" s="108" t="s">
        <v>21</v>
      </c>
      <c r="L2303" s="108" t="str">
        <f>VLOOKUP(K2303,LUTs!E$2:G$14,3,)</f>
        <v>08Thurston</v>
      </c>
      <c r="M2303" s="108" t="str">
        <f>VLOOKUP($K2303,LUTs!$E$2:$H$14,2,)</f>
        <v>South Puget Sound</v>
      </c>
      <c r="N2303" s="108" t="str">
        <f>VLOOKUP($K2303,LUTs!$E$2:$H$14,4,)</f>
        <v>02South Puget Sound</v>
      </c>
      <c r="O2303" s="108">
        <v>13.5679287305123</v>
      </c>
      <c r="P2303" s="108">
        <v>46.673674832962298</v>
      </c>
      <c r="Q2303" s="108">
        <f>SUMIFS('FW_Salmon_by_Month_2010-2021'!P$2:P$3810,'FW_Salmon_by_Month_2010-2021'!$B$2:$B$3810,'Rec_raw_catch_effort_2010-2021'!$B2303,'FW_Salmon_by_Month_2010-2021'!$H$2:$H$3810,'Rec_raw_catch_effort_2010-2021'!$F2303,'FW_Salmon_by_Month_2010-2021'!$M$2:$M$3810,'Rec_raw_catch_effort_2010-2021'!$K2303)</f>
        <v>13.626373626373599</v>
      </c>
      <c r="R2303" s="109">
        <f>VLOOKUP(B2303,Readme!$A$62:$C$74,2,)*Q2303</f>
        <v>48.22428731132073</v>
      </c>
      <c r="S2303" s="140" t="str">
        <f t="shared" si="181"/>
        <v>N</v>
      </c>
      <c r="T2303" s="154">
        <f t="shared" si="182"/>
        <v>3.4399999999999991</v>
      </c>
      <c r="U2303" s="154">
        <f t="shared" si="183"/>
        <v>3.5390404397824153</v>
      </c>
    </row>
    <row r="2304" spans="1:21" x14ac:dyDescent="0.35">
      <c r="A2304" s="108">
        <v>2976</v>
      </c>
      <c r="B2304" s="108">
        <v>2021</v>
      </c>
      <c r="C2304" s="108" t="s">
        <v>38</v>
      </c>
      <c r="D2304" s="108" t="s">
        <v>143</v>
      </c>
      <c r="E2304" s="108" t="s">
        <v>10</v>
      </c>
      <c r="F2304" s="116">
        <v>825</v>
      </c>
      <c r="G2304" s="108" t="s">
        <v>58</v>
      </c>
      <c r="H2304" s="108" t="str">
        <f t="shared" si="184"/>
        <v>Baker Lake</v>
      </c>
      <c r="I2304" s="108" t="str">
        <f>IFERROR(VLOOKUP(H2304,LUTs!$A$1:$C$73,2,FALSE),"NA")</f>
        <v>Whatcom</v>
      </c>
      <c r="J2304" s="108" t="str">
        <f>IFERROR(VLOOKUP(H2304,LUTs!$A$1:$C$73,3,FALSE),"NA")</f>
        <v>1North Puget Sound</v>
      </c>
      <c r="K2304" s="108" t="s">
        <v>13</v>
      </c>
      <c r="L2304" s="108" t="str">
        <f>VLOOKUP(K2304,LUTs!E$2:G$14,3,)</f>
        <v>01Whatcom</v>
      </c>
      <c r="M2304" s="108" t="str">
        <f>VLOOKUP($K2304,LUTs!$E$2:$H$14,2,)</f>
        <v>North Puget Sound</v>
      </c>
      <c r="N2304" s="108" t="str">
        <f>VLOOKUP($K2304,LUTs!$E$2:$H$14,4,)</f>
        <v>01North Puget Sound</v>
      </c>
      <c r="O2304" s="108">
        <v>664.82850779509999</v>
      </c>
      <c r="P2304" s="108">
        <v>2287.0100668151399</v>
      </c>
      <c r="Q2304" s="108">
        <f>SUMIFS('FW_Salmon_by_Month_2010-2021'!P$2:P$3810,'FW_Salmon_by_Month_2010-2021'!$B$2:$B$3810,'Rec_raw_catch_effort_2010-2021'!$B2304,'FW_Salmon_by_Month_2010-2021'!$H$2:$H$3810,'Rec_raw_catch_effort_2010-2021'!$F2304,'FW_Salmon_by_Month_2010-2021'!$M$2:$M$3810,'Rec_raw_catch_effort_2010-2021'!$K2304)</f>
        <v>640.51317133570672</v>
      </c>
      <c r="R2304" s="109">
        <f>VLOOKUP(B2304,Readme!$A$62:$C$74,2,)*Q2304</f>
        <v>2266.8020155703489</v>
      </c>
      <c r="S2304" s="140" t="str">
        <f t="shared" si="181"/>
        <v>N</v>
      </c>
      <c r="T2304" s="154">
        <f t="shared" si="182"/>
        <v>3.4399999999999937</v>
      </c>
      <c r="U2304" s="154">
        <f t="shared" si="183"/>
        <v>3.5390404397824149</v>
      </c>
    </row>
    <row r="2305" spans="1:21" x14ac:dyDescent="0.35">
      <c r="A2305" s="108">
        <v>2397</v>
      </c>
      <c r="B2305" s="108">
        <v>2010</v>
      </c>
      <c r="C2305" s="108" t="s">
        <v>38</v>
      </c>
      <c r="D2305" s="108" t="s">
        <v>143</v>
      </c>
      <c r="E2305" s="108" t="s">
        <v>10</v>
      </c>
      <c r="F2305" s="116">
        <v>826</v>
      </c>
      <c r="G2305" s="108" t="s">
        <v>59</v>
      </c>
      <c r="H2305" s="108" t="str">
        <f t="shared" si="184"/>
        <v>Cascade River</v>
      </c>
      <c r="I2305" s="108" t="str">
        <f>IFERROR(VLOOKUP(H2305,LUTs!$A$1:$C$73,2,FALSE),"NA")</f>
        <v>Skagit</v>
      </c>
      <c r="J2305" s="108" t="str">
        <f>IFERROR(VLOOKUP(H2305,LUTs!$A$1:$C$73,3,FALSE),"NA")</f>
        <v>1North Puget Sound</v>
      </c>
      <c r="K2305" s="108" t="s">
        <v>17</v>
      </c>
      <c r="L2305" s="108" t="str">
        <f>VLOOKUP(K2305,LUTs!E$2:G$14,3,)</f>
        <v>04Island</v>
      </c>
      <c r="M2305" s="108" t="str">
        <f>VLOOKUP($K2305,LUTs!$E$2:$H$14,2,)</f>
        <v>North Puget Sound</v>
      </c>
      <c r="N2305" s="108" t="str">
        <f>VLOOKUP($K2305,LUTs!$E$2:$H$14,4,)</f>
        <v>01North Puget Sound</v>
      </c>
      <c r="O2305" s="108">
        <v>35.517241379310299</v>
      </c>
      <c r="P2305" s="108">
        <v>307.22413793103402</v>
      </c>
      <c r="Q2305" s="108">
        <f>SUMIFS('FW_Salmon_by_Month_2010-2021'!P$2:P$3810,'FW_Salmon_by_Month_2010-2021'!$B$2:$B$3810,'Rec_raw_catch_effort_2010-2021'!$B2305,'FW_Salmon_by_Month_2010-2021'!$H$2:$H$3810,'Rec_raw_catch_effort_2010-2021'!$F2305,'FW_Salmon_by_Month_2010-2021'!$M$2:$M$3810,'Rec_raw_catch_effort_2010-2021'!$K2305)</f>
        <v>35.692307692307701</v>
      </c>
      <c r="R2305" s="109">
        <f>VLOOKUP(B2305,Readme!$A$62:$C$74,2,)*Q2305</f>
        <v>172.02103657757917</v>
      </c>
      <c r="S2305" s="140" t="str">
        <f t="shared" si="181"/>
        <v>Y</v>
      </c>
      <c r="T2305" s="154">
        <f t="shared" si="182"/>
        <v>8.6499999999999986</v>
      </c>
      <c r="U2305" s="154">
        <f t="shared" si="183"/>
        <v>4.8195549041132084</v>
      </c>
    </row>
    <row r="2306" spans="1:21" x14ac:dyDescent="0.35">
      <c r="A2306" s="108">
        <v>2399</v>
      </c>
      <c r="B2306" s="108">
        <v>2010</v>
      </c>
      <c r="C2306" s="108" t="s">
        <v>38</v>
      </c>
      <c r="D2306" s="108" t="s">
        <v>143</v>
      </c>
      <c r="E2306" s="108" t="s">
        <v>10</v>
      </c>
      <c r="F2306" s="116">
        <v>826</v>
      </c>
      <c r="G2306" s="108" t="s">
        <v>59</v>
      </c>
      <c r="H2306" s="108" t="str">
        <f t="shared" si="184"/>
        <v>Cascade River</v>
      </c>
      <c r="I2306" s="108" t="str">
        <f>IFERROR(VLOOKUP(H2306,LUTs!$A$1:$C$73,2,FALSE),"NA")</f>
        <v>Skagit</v>
      </c>
      <c r="J2306" s="108" t="str">
        <f>IFERROR(VLOOKUP(H2306,LUTs!$A$1:$C$73,3,FALSE),"NA")</f>
        <v>1North Puget Sound</v>
      </c>
      <c r="K2306" s="108" t="s">
        <v>23</v>
      </c>
      <c r="L2306" s="108" t="str">
        <f>VLOOKUP(K2306,LUTs!E$2:G$14,3,)</f>
        <v>10Kitsap</v>
      </c>
      <c r="M2306" s="108" t="str">
        <f>VLOOKUP($K2306,LUTs!$E$2:$H$14,2,)</f>
        <v>South Puget Sound</v>
      </c>
      <c r="N2306" s="108" t="str">
        <f>VLOOKUP($K2306,LUTs!$E$2:$H$14,4,)</f>
        <v>02South Puget Sound</v>
      </c>
      <c r="O2306" s="108">
        <v>11.8390804597701</v>
      </c>
      <c r="P2306" s="108">
        <v>102.408045977011</v>
      </c>
      <c r="Q2306" s="108">
        <f>SUMIFS('FW_Salmon_by_Month_2010-2021'!P$2:P$3810,'FW_Salmon_by_Month_2010-2021'!$B$2:$B$3810,'Rec_raw_catch_effort_2010-2021'!$B2306,'FW_Salmon_by_Month_2010-2021'!$H$2:$H$3810,'Rec_raw_catch_effort_2010-2021'!$F2306,'FW_Salmon_by_Month_2010-2021'!$M$2:$M$3810,'Rec_raw_catch_effort_2010-2021'!$K2306)</f>
        <v>11.75</v>
      </c>
      <c r="R2306" s="109">
        <f>VLOOKUP(B2306,Readme!$A$62:$C$74,2,)*Q2306</f>
        <v>56.629770123330196</v>
      </c>
      <c r="S2306" s="140" t="str">
        <f t="shared" si="181"/>
        <v>Y</v>
      </c>
      <c r="T2306" s="154">
        <f t="shared" si="182"/>
        <v>8.6499999999999684</v>
      </c>
      <c r="U2306" s="154">
        <f t="shared" si="183"/>
        <v>4.8195549041132084</v>
      </c>
    </row>
    <row r="2307" spans="1:21" x14ac:dyDescent="0.35">
      <c r="A2307" s="108">
        <v>2400</v>
      </c>
      <c r="B2307" s="108">
        <v>2010</v>
      </c>
      <c r="C2307" s="108" t="s">
        <v>38</v>
      </c>
      <c r="D2307" s="108" t="s">
        <v>143</v>
      </c>
      <c r="E2307" s="108" t="s">
        <v>10</v>
      </c>
      <c r="F2307" s="116">
        <v>826</v>
      </c>
      <c r="G2307" s="108" t="s">
        <v>59</v>
      </c>
      <c r="H2307" s="108" t="str">
        <f t="shared" si="184"/>
        <v>Cascade River</v>
      </c>
      <c r="I2307" s="108" t="str">
        <f>IFERROR(VLOOKUP(H2307,LUTs!$A$1:$C$73,2,FALSE),"NA")</f>
        <v>Skagit</v>
      </c>
      <c r="J2307" s="108" t="str">
        <f>IFERROR(VLOOKUP(H2307,LUTs!$A$1:$C$73,3,FALSE),"NA")</f>
        <v>1North Puget Sound</v>
      </c>
      <c r="K2307" s="108" t="s">
        <v>26</v>
      </c>
      <c r="L2307" s="108" t="str">
        <f>VLOOKUP(K2307,LUTs!E$2:G$14,3,)</f>
        <v>20Other</v>
      </c>
      <c r="M2307" s="108" t="str">
        <f>VLOOKUP($K2307,LUTs!$E$2:$H$14,2,)</f>
        <v>Non Puget Sound</v>
      </c>
      <c r="N2307" s="108" t="str">
        <f>VLOOKUP($K2307,LUTs!$E$2:$H$14,4,)</f>
        <v>07Non Puget Sound</v>
      </c>
      <c r="O2307" s="108">
        <v>5.9195402298850599</v>
      </c>
      <c r="P2307" s="108">
        <v>51.204022988505798</v>
      </c>
      <c r="Q2307" s="108">
        <f>SUMIFS('FW_Salmon_by_Month_2010-2021'!P$2:P$3810,'FW_Salmon_by_Month_2010-2021'!$B$2:$B$3810,'Rec_raw_catch_effort_2010-2021'!$B2307,'FW_Salmon_by_Month_2010-2021'!$H$2:$H$3810,'Rec_raw_catch_effort_2010-2021'!$F2307,'FW_Salmon_by_Month_2010-2021'!$M$2:$M$3810,'Rec_raw_catch_effort_2010-2021'!$K2307)</f>
        <v>5.9230769230769198</v>
      </c>
      <c r="R2307" s="109">
        <f>VLOOKUP(B2307,Readme!$A$62:$C$74,2,)*Q2307</f>
        <v>28.546594432055141</v>
      </c>
      <c r="S2307" s="140" t="str">
        <f t="shared" ref="S2307:S2370" si="185">IF(B2307&lt;=2019,"Y","N")</f>
        <v>Y</v>
      </c>
      <c r="T2307" s="154">
        <f t="shared" ref="T2307:T2370" si="186">IFERROR(P2307/O2307,"NA")</f>
        <v>8.6500000000000057</v>
      </c>
      <c r="U2307" s="154">
        <f t="shared" ref="U2307:U2370" si="187">IFERROR(R2307/Q2307,"NA")</f>
        <v>4.8195549041132084</v>
      </c>
    </row>
    <row r="2308" spans="1:21" x14ac:dyDescent="0.35">
      <c r="A2308" s="108">
        <v>2398</v>
      </c>
      <c r="B2308" s="108">
        <v>2010</v>
      </c>
      <c r="C2308" s="108" t="s">
        <v>38</v>
      </c>
      <c r="D2308" s="108" t="s">
        <v>143</v>
      </c>
      <c r="E2308" s="108" t="s">
        <v>10</v>
      </c>
      <c r="F2308" s="116">
        <v>826</v>
      </c>
      <c r="G2308" s="108" t="s">
        <v>59</v>
      </c>
      <c r="H2308" s="108" t="str">
        <f t="shared" si="184"/>
        <v>Cascade River</v>
      </c>
      <c r="I2308" s="108" t="str">
        <f>IFERROR(VLOOKUP(H2308,LUTs!$A$1:$C$73,2,FALSE),"NA")</f>
        <v>Skagit</v>
      </c>
      <c r="J2308" s="108" t="str">
        <f>IFERROR(VLOOKUP(H2308,LUTs!$A$1:$C$73,3,FALSE),"NA")</f>
        <v>1North Puget Sound</v>
      </c>
      <c r="K2308" s="108" t="s">
        <v>20</v>
      </c>
      <c r="L2308" s="108" t="str">
        <f>VLOOKUP(K2308,LUTs!E$2:G$14,3,)</f>
        <v>07Pierce</v>
      </c>
      <c r="M2308" s="108" t="str">
        <f>VLOOKUP($K2308,LUTs!$E$2:$H$14,2,)</f>
        <v>South Puget Sound</v>
      </c>
      <c r="N2308" s="108" t="str">
        <f>VLOOKUP($K2308,LUTs!$E$2:$H$14,4,)</f>
        <v>02South Puget Sound</v>
      </c>
      <c r="O2308" s="108">
        <v>5.9195402298850599</v>
      </c>
      <c r="P2308" s="108">
        <v>51.204022988505798</v>
      </c>
      <c r="Q2308" s="108">
        <f>SUMIFS('FW_Salmon_by_Month_2010-2021'!P$2:P$3810,'FW_Salmon_by_Month_2010-2021'!$B$2:$B$3810,'Rec_raw_catch_effort_2010-2021'!$B2308,'FW_Salmon_by_Month_2010-2021'!$H$2:$H$3810,'Rec_raw_catch_effort_2010-2021'!$F2308,'FW_Salmon_by_Month_2010-2021'!$M$2:$M$3810,'Rec_raw_catch_effort_2010-2021'!$K2308)</f>
        <v>5.9230769230769198</v>
      </c>
      <c r="R2308" s="109">
        <f>VLOOKUP(B2308,Readme!$A$62:$C$74,2,)*Q2308</f>
        <v>28.546594432055141</v>
      </c>
      <c r="S2308" s="140" t="str">
        <f t="shared" si="185"/>
        <v>Y</v>
      </c>
      <c r="T2308" s="154">
        <f t="shared" si="186"/>
        <v>8.6500000000000057</v>
      </c>
      <c r="U2308" s="154">
        <f t="shared" si="187"/>
        <v>4.8195549041132084</v>
      </c>
    </row>
    <row r="2309" spans="1:21" x14ac:dyDescent="0.35">
      <c r="A2309" s="108">
        <v>2290</v>
      </c>
      <c r="B2309" s="108">
        <v>2010</v>
      </c>
      <c r="C2309" s="108" t="s">
        <v>38</v>
      </c>
      <c r="D2309" s="108" t="s">
        <v>143</v>
      </c>
      <c r="E2309" s="108" t="s">
        <v>10</v>
      </c>
      <c r="F2309" s="116">
        <v>826</v>
      </c>
      <c r="G2309" s="108" t="s">
        <v>59</v>
      </c>
      <c r="H2309" s="108" t="str">
        <f t="shared" si="184"/>
        <v>Cascade River</v>
      </c>
      <c r="I2309" s="108" t="str">
        <f>IFERROR(VLOOKUP(H2309,LUTs!$A$1:$C$73,2,FALSE),"NA")</f>
        <v>Skagit</v>
      </c>
      <c r="J2309" s="108" t="str">
        <f>IFERROR(VLOOKUP(H2309,LUTs!$A$1:$C$73,3,FALSE),"NA")</f>
        <v>1North Puget Sound</v>
      </c>
      <c r="K2309" s="108" t="s">
        <v>15</v>
      </c>
      <c r="L2309" s="108" t="str">
        <f>VLOOKUP(K2309,LUTs!E$2:G$14,3,)</f>
        <v>02Skagit</v>
      </c>
      <c r="M2309" s="108" t="str">
        <f>VLOOKUP($K2309,LUTs!$E$2:$H$14,2,)</f>
        <v>North Puget Sound</v>
      </c>
      <c r="N2309" s="108" t="str">
        <f>VLOOKUP($K2309,LUTs!$E$2:$H$14,4,)</f>
        <v>01North Puget Sound</v>
      </c>
      <c r="O2309" s="108">
        <v>76.954022988505798</v>
      </c>
      <c r="P2309" s="108">
        <v>665.65229885057499</v>
      </c>
      <c r="Q2309" s="108">
        <f>SUMIFS('FW_Salmon_by_Month_2010-2021'!P$2:P$3810,'FW_Salmon_by_Month_2010-2021'!$B$2:$B$3810,'Rec_raw_catch_effort_2010-2021'!$B2309,'FW_Salmon_by_Month_2010-2021'!$H$2:$H$3810,'Rec_raw_catch_effort_2010-2021'!$F2309,'FW_Salmon_by_Month_2010-2021'!$M$2:$M$3810,'Rec_raw_catch_effort_2010-2021'!$K2309)</f>
        <v>76.9211538461538</v>
      </c>
      <c r="R2309" s="109">
        <f>VLOOKUP(B2309,Readme!$A$62:$C$74,2,)*Q2309</f>
        <v>370.72572424927711</v>
      </c>
      <c r="S2309" s="140" t="str">
        <f t="shared" si="185"/>
        <v>Y</v>
      </c>
      <c r="T2309" s="154">
        <f t="shared" si="186"/>
        <v>8.6499999999999986</v>
      </c>
      <c r="U2309" s="154">
        <f t="shared" si="187"/>
        <v>4.8195549041132084</v>
      </c>
    </row>
    <row r="2310" spans="1:21" x14ac:dyDescent="0.35">
      <c r="A2310" s="108">
        <v>2291</v>
      </c>
      <c r="B2310" s="108">
        <v>2010</v>
      </c>
      <c r="C2310" s="108" t="s">
        <v>38</v>
      </c>
      <c r="D2310" s="108" t="s">
        <v>143</v>
      </c>
      <c r="E2310" s="108" t="s">
        <v>10</v>
      </c>
      <c r="F2310" s="116">
        <v>826</v>
      </c>
      <c r="G2310" s="108" t="s">
        <v>59</v>
      </c>
      <c r="H2310" s="108" t="str">
        <f t="shared" si="184"/>
        <v>Cascade River</v>
      </c>
      <c r="I2310" s="108" t="str">
        <f>IFERROR(VLOOKUP(H2310,LUTs!$A$1:$C$73,2,FALSE),"NA")</f>
        <v>Skagit</v>
      </c>
      <c r="J2310" s="108" t="str">
        <f>IFERROR(VLOOKUP(H2310,LUTs!$A$1:$C$73,3,FALSE),"NA")</f>
        <v>1North Puget Sound</v>
      </c>
      <c r="K2310" s="108" t="s">
        <v>16</v>
      </c>
      <c r="L2310" s="108" t="str">
        <f>VLOOKUP(K2310,LUTs!E$2:G$14,3,)</f>
        <v>03Snohomish</v>
      </c>
      <c r="M2310" s="108" t="str">
        <f>VLOOKUP($K2310,LUTs!$E$2:$H$14,2,)</f>
        <v>North Puget Sound</v>
      </c>
      <c r="N2310" s="108" t="str">
        <f>VLOOKUP($K2310,LUTs!$E$2:$H$14,4,)</f>
        <v>01North Puget Sound</v>
      </c>
      <c r="O2310" s="108">
        <v>372.931034482759</v>
      </c>
      <c r="P2310" s="108">
        <v>3225.8534482758701</v>
      </c>
      <c r="Q2310" s="108">
        <f>SUMIFS('FW_Salmon_by_Month_2010-2021'!P$2:P$3810,'FW_Salmon_by_Month_2010-2021'!$B$2:$B$3810,'Rec_raw_catch_effort_2010-2021'!$B2310,'FW_Salmon_by_Month_2010-2021'!$H$2:$H$3810,'Rec_raw_catch_effort_2010-2021'!$F2310,'FW_Salmon_by_Month_2010-2021'!$M$2:$M$3810,'Rec_raw_catch_effort_2010-2021'!$K2310)</f>
        <v>372.86538461538458</v>
      </c>
      <c r="R2310" s="109">
        <f>VLOOKUP(B2310,Readme!$A$62:$C$74,2,)*Q2310</f>
        <v>1797.0451929971343</v>
      </c>
      <c r="S2310" s="140" t="str">
        <f t="shared" si="185"/>
        <v>Y</v>
      </c>
      <c r="T2310" s="154">
        <f t="shared" si="186"/>
        <v>8.6500000000000128</v>
      </c>
      <c r="U2310" s="154">
        <f t="shared" si="187"/>
        <v>4.8195549041132084</v>
      </c>
    </row>
    <row r="2311" spans="1:21" x14ac:dyDescent="0.35">
      <c r="A2311" s="108">
        <v>2289</v>
      </c>
      <c r="B2311" s="108">
        <v>2010</v>
      </c>
      <c r="C2311" s="108" t="s">
        <v>38</v>
      </c>
      <c r="D2311" s="108" t="s">
        <v>143</v>
      </c>
      <c r="E2311" s="108" t="s">
        <v>10</v>
      </c>
      <c r="F2311" s="116">
        <v>826</v>
      </c>
      <c r="G2311" s="108" t="s">
        <v>59</v>
      </c>
      <c r="H2311" s="108" t="str">
        <f t="shared" si="184"/>
        <v>Cascade River</v>
      </c>
      <c r="I2311" s="108" t="str">
        <f>IFERROR(VLOOKUP(H2311,LUTs!$A$1:$C$73,2,FALSE),"NA")</f>
        <v>Skagit</v>
      </c>
      <c r="J2311" s="108" t="str">
        <f>IFERROR(VLOOKUP(H2311,LUTs!$A$1:$C$73,3,FALSE),"NA")</f>
        <v>1North Puget Sound</v>
      </c>
      <c r="K2311" s="108" t="s">
        <v>13</v>
      </c>
      <c r="L2311" s="108" t="str">
        <f>VLOOKUP(K2311,LUTs!E$2:G$14,3,)</f>
        <v>01Whatcom</v>
      </c>
      <c r="M2311" s="108" t="str">
        <f>VLOOKUP($K2311,LUTs!$E$2:$H$14,2,)</f>
        <v>North Puget Sound</v>
      </c>
      <c r="N2311" s="108" t="str">
        <f>VLOOKUP($K2311,LUTs!$E$2:$H$14,4,)</f>
        <v>01North Puget Sound</v>
      </c>
      <c r="O2311" s="108">
        <v>5.9195402298850599</v>
      </c>
      <c r="P2311" s="108">
        <v>51.204022988505798</v>
      </c>
      <c r="Q2311" s="108">
        <f>SUMIFS('FW_Salmon_by_Month_2010-2021'!P$2:P$3810,'FW_Salmon_by_Month_2010-2021'!$B$2:$B$3810,'Rec_raw_catch_effort_2010-2021'!$B2311,'FW_Salmon_by_Month_2010-2021'!$H$2:$H$3810,'Rec_raw_catch_effort_2010-2021'!$F2311,'FW_Salmon_by_Month_2010-2021'!$M$2:$M$3810,'Rec_raw_catch_effort_2010-2021'!$K2311)</f>
        <v>5.9249999999999998</v>
      </c>
      <c r="R2311" s="109">
        <f>VLOOKUP(B2311,Readme!$A$62:$C$74,2,)*Q2311</f>
        <v>28.55586280687076</v>
      </c>
      <c r="S2311" s="140" t="str">
        <f t="shared" si="185"/>
        <v>Y</v>
      </c>
      <c r="T2311" s="154">
        <f t="shared" si="186"/>
        <v>8.6500000000000057</v>
      </c>
      <c r="U2311" s="154">
        <f t="shared" si="187"/>
        <v>4.8195549041132084</v>
      </c>
    </row>
    <row r="2312" spans="1:21" x14ac:dyDescent="0.35">
      <c r="A2312" s="108">
        <v>2635</v>
      </c>
      <c r="B2312" s="108">
        <v>2011</v>
      </c>
      <c r="C2312" s="108" t="s">
        <v>38</v>
      </c>
      <c r="D2312" s="108" t="s">
        <v>143</v>
      </c>
      <c r="E2312" s="108" t="s">
        <v>10</v>
      </c>
      <c r="F2312" s="116">
        <v>826</v>
      </c>
      <c r="G2312" s="108" t="s">
        <v>59</v>
      </c>
      <c r="H2312" s="108" t="str">
        <f t="shared" si="184"/>
        <v>Cascade River</v>
      </c>
      <c r="I2312" s="108" t="str">
        <f>IFERROR(VLOOKUP(H2312,LUTs!$A$1:$C$73,2,FALSE),"NA")</f>
        <v>Skagit</v>
      </c>
      <c r="J2312" s="108" t="str">
        <f>IFERROR(VLOOKUP(H2312,LUTs!$A$1:$C$73,3,FALSE),"NA")</f>
        <v>1North Puget Sound</v>
      </c>
      <c r="K2312" s="108" t="s">
        <v>17</v>
      </c>
      <c r="L2312" s="108" t="str">
        <f>VLOOKUP(K2312,LUTs!E$2:G$14,3,)</f>
        <v>04Island</v>
      </c>
      <c r="M2312" s="108" t="str">
        <f>VLOOKUP($K2312,LUTs!$E$2:$H$14,2,)</f>
        <v>North Puget Sound</v>
      </c>
      <c r="N2312" s="108" t="str">
        <f>VLOOKUP($K2312,LUTs!$E$2:$H$14,4,)</f>
        <v>01North Puget Sound</v>
      </c>
      <c r="O2312" s="108">
        <v>72.819148936170194</v>
      </c>
      <c r="P2312" s="108">
        <v>250.497872340425</v>
      </c>
      <c r="Q2312" s="108">
        <f>SUMIFS('FW_Salmon_by_Month_2010-2021'!P$2:P$3810,'FW_Salmon_by_Month_2010-2021'!$B$2:$B$3810,'Rec_raw_catch_effort_2010-2021'!$B2312,'FW_Salmon_by_Month_2010-2021'!$H$2:$H$3810,'Rec_raw_catch_effort_2010-2021'!$F2312,'FW_Salmon_by_Month_2010-2021'!$M$2:$M$3810,'Rec_raw_catch_effort_2010-2021'!$K2312)</f>
        <v>74.947553921005266</v>
      </c>
      <c r="R2312" s="109">
        <f>VLOOKUP(B2312,Readme!$A$62:$C$74,2,)*Q2312</f>
        <v>265.24242418921074</v>
      </c>
      <c r="S2312" s="140" t="str">
        <f t="shared" si="185"/>
        <v>Y</v>
      </c>
      <c r="T2312" s="154">
        <f t="shared" si="186"/>
        <v>3.4399999999999937</v>
      </c>
      <c r="U2312" s="154">
        <f t="shared" si="187"/>
        <v>3.5390404397824149</v>
      </c>
    </row>
    <row r="2313" spans="1:21" x14ac:dyDescent="0.35">
      <c r="A2313" s="108">
        <v>2637</v>
      </c>
      <c r="B2313" s="108">
        <v>2011</v>
      </c>
      <c r="C2313" s="108" t="s">
        <v>38</v>
      </c>
      <c r="D2313" s="108" t="s">
        <v>143</v>
      </c>
      <c r="E2313" s="108" t="s">
        <v>10</v>
      </c>
      <c r="F2313" s="116">
        <v>826</v>
      </c>
      <c r="G2313" s="108" t="s">
        <v>59</v>
      </c>
      <c r="H2313" s="108" t="str">
        <f t="shared" si="184"/>
        <v>Cascade River</v>
      </c>
      <c r="I2313" s="108" t="str">
        <f>IFERROR(VLOOKUP(H2313,LUTs!$A$1:$C$73,2,FALSE),"NA")</f>
        <v>Skagit</v>
      </c>
      <c r="J2313" s="108" t="str">
        <f>IFERROR(VLOOKUP(H2313,LUTs!$A$1:$C$73,3,FALSE),"NA")</f>
        <v>1North Puget Sound</v>
      </c>
      <c r="K2313" s="108" t="s">
        <v>18</v>
      </c>
      <c r="L2313" s="108" t="str">
        <f>VLOOKUP(K2313,LUTs!E$2:G$14,3,)</f>
        <v>06King</v>
      </c>
      <c r="M2313" s="108" t="str">
        <f>VLOOKUP($K2313,LUTs!$E$2:$H$14,2,)</f>
        <v>South Puget Sound</v>
      </c>
      <c r="N2313" s="108" t="str">
        <f>VLOOKUP($K2313,LUTs!$E$2:$H$14,4,)</f>
        <v>02South Puget Sound</v>
      </c>
      <c r="O2313" s="108">
        <v>276.712765957447</v>
      </c>
      <c r="P2313" s="108">
        <v>951.89191489361804</v>
      </c>
      <c r="Q2313" s="108">
        <f>SUMIFS('FW_Salmon_by_Month_2010-2021'!P$2:P$3810,'FW_Salmon_by_Month_2010-2021'!$B$2:$B$3810,'Rec_raw_catch_effort_2010-2021'!$B2313,'FW_Salmon_by_Month_2010-2021'!$H$2:$H$3810,'Rec_raw_catch_effort_2010-2021'!$F2313,'FW_Salmon_by_Month_2010-2021'!$M$2:$M$3810,'Rec_raw_catch_effort_2010-2021'!$K2313)</f>
        <v>277.49909014289557</v>
      </c>
      <c r="R2313" s="109">
        <f>VLOOKUP(B2313,Readme!$A$62:$C$74,2,)*Q2313</f>
        <v>982.08050201853325</v>
      </c>
      <c r="S2313" s="140" t="str">
        <f t="shared" si="185"/>
        <v>Y</v>
      </c>
      <c r="T2313" s="154">
        <f t="shared" si="186"/>
        <v>3.4400000000000013</v>
      </c>
      <c r="U2313" s="154">
        <f t="shared" si="187"/>
        <v>3.5390404397824153</v>
      </c>
    </row>
    <row r="2314" spans="1:21" x14ac:dyDescent="0.35">
      <c r="A2314" s="108">
        <v>2639</v>
      </c>
      <c r="B2314" s="108">
        <v>2011</v>
      </c>
      <c r="C2314" s="108" t="s">
        <v>38</v>
      </c>
      <c r="D2314" s="108" t="s">
        <v>143</v>
      </c>
      <c r="E2314" s="108" t="s">
        <v>10</v>
      </c>
      <c r="F2314" s="116">
        <v>826</v>
      </c>
      <c r="G2314" s="108" t="s">
        <v>59</v>
      </c>
      <c r="H2314" s="108" t="str">
        <f t="shared" si="184"/>
        <v>Cascade River</v>
      </c>
      <c r="I2314" s="108" t="str">
        <f>IFERROR(VLOOKUP(H2314,LUTs!$A$1:$C$73,2,FALSE),"NA")</f>
        <v>Skagit</v>
      </c>
      <c r="J2314" s="108" t="str">
        <f>IFERROR(VLOOKUP(H2314,LUTs!$A$1:$C$73,3,FALSE),"NA")</f>
        <v>1North Puget Sound</v>
      </c>
      <c r="K2314" s="108" t="s">
        <v>23</v>
      </c>
      <c r="L2314" s="108" t="str">
        <f>VLOOKUP(K2314,LUTs!E$2:G$14,3,)</f>
        <v>10Kitsap</v>
      </c>
      <c r="M2314" s="108" t="str">
        <f>VLOOKUP($K2314,LUTs!$E$2:$H$14,2,)</f>
        <v>South Puget Sound</v>
      </c>
      <c r="N2314" s="108" t="str">
        <f>VLOOKUP($K2314,LUTs!$E$2:$H$14,4,)</f>
        <v>02South Puget Sound</v>
      </c>
      <c r="O2314" s="108">
        <v>65.537234042553195</v>
      </c>
      <c r="P2314" s="108">
        <v>225.44808510638299</v>
      </c>
      <c r="Q2314" s="108">
        <f>SUMIFS('FW_Salmon_by_Month_2010-2021'!P$2:P$3810,'FW_Salmon_by_Month_2010-2021'!$B$2:$B$3810,'Rec_raw_catch_effort_2010-2021'!$B2314,'FW_Salmon_by_Month_2010-2021'!$H$2:$H$3810,'Rec_raw_catch_effort_2010-2021'!$F2314,'FW_Salmon_by_Month_2010-2021'!$M$2:$M$3810,'Rec_raw_catch_effort_2010-2021'!$K2314)</f>
        <v>67.624564226334201</v>
      </c>
      <c r="R2314" s="109">
        <f>VLOOKUP(B2314,Readme!$A$62:$C$74,2,)*Q2314</f>
        <v>239.32606751965997</v>
      </c>
      <c r="S2314" s="140" t="str">
        <f t="shared" si="185"/>
        <v>Y</v>
      </c>
      <c r="T2314" s="154">
        <f t="shared" si="186"/>
        <v>3.44</v>
      </c>
      <c r="U2314" s="154">
        <f t="shared" si="187"/>
        <v>3.5390404397824153</v>
      </c>
    </row>
    <row r="2315" spans="1:21" x14ac:dyDescent="0.35">
      <c r="A2315" s="108">
        <v>2754</v>
      </c>
      <c r="B2315" s="108">
        <v>2011</v>
      </c>
      <c r="C2315" s="108" t="s">
        <v>38</v>
      </c>
      <c r="D2315" s="108" t="s">
        <v>143</v>
      </c>
      <c r="E2315" s="108" t="s">
        <v>10</v>
      </c>
      <c r="F2315" s="116">
        <v>826</v>
      </c>
      <c r="G2315" s="108" t="s">
        <v>59</v>
      </c>
      <c r="H2315" s="108" t="str">
        <f t="shared" si="184"/>
        <v>Cascade River</v>
      </c>
      <c r="I2315" s="108" t="str">
        <f>IFERROR(VLOOKUP(H2315,LUTs!$A$1:$C$73,2,FALSE),"NA")</f>
        <v>Skagit</v>
      </c>
      <c r="J2315" s="108" t="str">
        <f>IFERROR(VLOOKUP(H2315,LUTs!$A$1:$C$73,3,FALSE),"NA")</f>
        <v>1North Puget Sound</v>
      </c>
      <c r="K2315" s="108" t="s">
        <v>26</v>
      </c>
      <c r="L2315" s="108" t="str">
        <f>VLOOKUP(K2315,LUTs!E$2:G$14,3,)</f>
        <v>20Other</v>
      </c>
      <c r="M2315" s="108" t="str">
        <f>VLOOKUP($K2315,LUTs!$E$2:$H$14,2,)</f>
        <v>Non Puget Sound</v>
      </c>
      <c r="N2315" s="108" t="str">
        <f>VLOOKUP($K2315,LUTs!$E$2:$H$14,4,)</f>
        <v>07Non Puget Sound</v>
      </c>
      <c r="O2315" s="108">
        <v>80.101063829787293</v>
      </c>
      <c r="P2315" s="108">
        <v>275.54765957446801</v>
      </c>
      <c r="Q2315" s="108">
        <f>SUMIFS('FW_Salmon_by_Month_2010-2021'!P$2:P$3810,'FW_Salmon_by_Month_2010-2021'!$B$2:$B$3810,'Rec_raw_catch_effort_2010-2021'!$B2315,'FW_Salmon_by_Month_2010-2021'!$H$2:$H$3810,'Rec_raw_catch_effort_2010-2021'!$F2315,'FW_Salmon_by_Month_2010-2021'!$M$2:$M$3810,'Rec_raw_catch_effort_2010-2021'!$K2315)</f>
        <v>80.704545454545496</v>
      </c>
      <c r="R2315" s="109">
        <f>VLOOKUP(B2315,Readme!$A$62:$C$74,2,)*Q2315</f>
        <v>285.6166500378946</v>
      </c>
      <c r="S2315" s="140" t="str">
        <f t="shared" si="185"/>
        <v>Y</v>
      </c>
      <c r="T2315" s="154">
        <f t="shared" si="186"/>
        <v>3.4399999999999964</v>
      </c>
      <c r="U2315" s="154">
        <f t="shared" si="187"/>
        <v>3.5390404397824149</v>
      </c>
    </row>
    <row r="2316" spans="1:21" x14ac:dyDescent="0.35">
      <c r="A2316" s="108">
        <v>2638</v>
      </c>
      <c r="B2316" s="108">
        <v>2011</v>
      </c>
      <c r="C2316" s="108" t="s">
        <v>38</v>
      </c>
      <c r="D2316" s="108" t="s">
        <v>143</v>
      </c>
      <c r="E2316" s="108" t="s">
        <v>10</v>
      </c>
      <c r="F2316" s="116">
        <v>826</v>
      </c>
      <c r="G2316" s="108" t="s">
        <v>59</v>
      </c>
      <c r="H2316" s="108" t="str">
        <f t="shared" si="184"/>
        <v>Cascade River</v>
      </c>
      <c r="I2316" s="108" t="str">
        <f>IFERROR(VLOOKUP(H2316,LUTs!$A$1:$C$73,2,FALSE),"NA")</f>
        <v>Skagit</v>
      </c>
      <c r="J2316" s="108" t="str">
        <f>IFERROR(VLOOKUP(H2316,LUTs!$A$1:$C$73,3,FALSE),"NA")</f>
        <v>1North Puget Sound</v>
      </c>
      <c r="K2316" s="108" t="s">
        <v>20</v>
      </c>
      <c r="L2316" s="108" t="str">
        <f>VLOOKUP(K2316,LUTs!E$2:G$14,3,)</f>
        <v>07Pierce</v>
      </c>
      <c r="M2316" s="108" t="str">
        <f>VLOOKUP($K2316,LUTs!$E$2:$H$14,2,)</f>
        <v>South Puget Sound</v>
      </c>
      <c r="N2316" s="108" t="str">
        <f>VLOOKUP($K2316,LUTs!$E$2:$H$14,4,)</f>
        <v>02South Puget Sound</v>
      </c>
      <c r="O2316" s="108">
        <v>7.2819148936170199</v>
      </c>
      <c r="P2316" s="108">
        <v>25.049787234042501</v>
      </c>
      <c r="Q2316" s="108">
        <f>SUMIFS('FW_Salmon_by_Month_2010-2021'!P$2:P$3810,'FW_Salmon_by_Month_2010-2021'!$B$2:$B$3810,'Rec_raw_catch_effort_2010-2021'!$B2316,'FW_Salmon_by_Month_2010-2021'!$H$2:$H$3810,'Rec_raw_catch_effort_2010-2021'!$F2316,'FW_Salmon_by_Month_2010-2021'!$M$2:$M$3810,'Rec_raw_catch_effort_2010-2021'!$K2316)</f>
        <v>7.28571428571429</v>
      </c>
      <c r="R2316" s="109">
        <f>VLOOKUP(B2316,Readme!$A$62:$C$74,2,)*Q2316</f>
        <v>25.784437489843327</v>
      </c>
      <c r="S2316" s="140" t="str">
        <f t="shared" si="185"/>
        <v>Y</v>
      </c>
      <c r="T2316" s="154">
        <f t="shared" si="186"/>
        <v>3.4399999999999933</v>
      </c>
      <c r="U2316" s="154">
        <f t="shared" si="187"/>
        <v>3.5390404397824153</v>
      </c>
    </row>
    <row r="2317" spans="1:21" x14ac:dyDescent="0.35">
      <c r="A2317" s="108">
        <v>2636</v>
      </c>
      <c r="B2317" s="108">
        <v>2011</v>
      </c>
      <c r="C2317" s="108" t="s">
        <v>38</v>
      </c>
      <c r="D2317" s="108" t="s">
        <v>143</v>
      </c>
      <c r="E2317" s="108" t="s">
        <v>10</v>
      </c>
      <c r="F2317" s="116">
        <v>826</v>
      </c>
      <c r="G2317" s="108" t="s">
        <v>59</v>
      </c>
      <c r="H2317" s="108" t="str">
        <f t="shared" si="184"/>
        <v>Cascade River</v>
      </c>
      <c r="I2317" s="108" t="str">
        <f>IFERROR(VLOOKUP(H2317,LUTs!$A$1:$C$73,2,FALSE),"NA")</f>
        <v>Skagit</v>
      </c>
      <c r="J2317" s="108" t="str">
        <f>IFERROR(VLOOKUP(H2317,LUTs!$A$1:$C$73,3,FALSE),"NA")</f>
        <v>1North Puget Sound</v>
      </c>
      <c r="K2317" s="108" t="s">
        <v>30</v>
      </c>
      <c r="L2317" s="108" t="str">
        <f>VLOOKUP(K2317,LUTs!E$2:G$14,3,)</f>
        <v>05San Juan</v>
      </c>
      <c r="M2317" s="108" t="str">
        <f>VLOOKUP($K2317,LUTs!$E$2:$H$14,2,)</f>
        <v>North Puget Sound</v>
      </c>
      <c r="N2317" s="108" t="str">
        <f>VLOOKUP($K2317,LUTs!$E$2:$H$14,4,)</f>
        <v>01North Puget Sound</v>
      </c>
      <c r="O2317" s="108">
        <v>36.409574468085097</v>
      </c>
      <c r="P2317" s="108">
        <v>125.248936170213</v>
      </c>
      <c r="Q2317" s="108">
        <f>SUMIFS('FW_Salmon_by_Month_2010-2021'!P$2:P$3810,'FW_Salmon_by_Month_2010-2021'!$B$2:$B$3810,'Rec_raw_catch_effort_2010-2021'!$B2317,'FW_Salmon_by_Month_2010-2021'!$H$2:$H$3810,'Rec_raw_catch_effort_2010-2021'!$F2317,'FW_Salmon_by_Month_2010-2021'!$M$2:$M$3810,'Rec_raw_catch_effort_2010-2021'!$K2317)</f>
        <v>37.610619469026602</v>
      </c>
      <c r="R2317" s="109">
        <f>VLOOKUP(B2317,Readme!$A$62:$C$74,2,)*Q2317</f>
        <v>133.10550326615297</v>
      </c>
      <c r="S2317" s="140" t="str">
        <f t="shared" si="185"/>
        <v>Y</v>
      </c>
      <c r="T2317" s="154">
        <f t="shared" si="186"/>
        <v>3.4400000000000075</v>
      </c>
      <c r="U2317" s="154">
        <f t="shared" si="187"/>
        <v>3.5390404397824149</v>
      </c>
    </row>
    <row r="2318" spans="1:21" x14ac:dyDescent="0.35">
      <c r="A2318" s="108">
        <v>2633</v>
      </c>
      <c r="B2318" s="108">
        <v>2011</v>
      </c>
      <c r="C2318" s="108" t="s">
        <v>38</v>
      </c>
      <c r="D2318" s="108" t="s">
        <v>143</v>
      </c>
      <c r="E2318" s="108" t="s">
        <v>10</v>
      </c>
      <c r="F2318" s="116">
        <v>826</v>
      </c>
      <c r="G2318" s="108" t="s">
        <v>59</v>
      </c>
      <c r="H2318" s="108" t="str">
        <f t="shared" si="184"/>
        <v>Cascade River</v>
      </c>
      <c r="I2318" s="108" t="str">
        <f>IFERROR(VLOOKUP(H2318,LUTs!$A$1:$C$73,2,FALSE),"NA")</f>
        <v>Skagit</v>
      </c>
      <c r="J2318" s="108" t="str">
        <f>IFERROR(VLOOKUP(H2318,LUTs!$A$1:$C$73,3,FALSE),"NA")</f>
        <v>1North Puget Sound</v>
      </c>
      <c r="K2318" s="108" t="s">
        <v>15</v>
      </c>
      <c r="L2318" s="108" t="str">
        <f>VLOOKUP(K2318,LUTs!E$2:G$14,3,)</f>
        <v>02Skagit</v>
      </c>
      <c r="M2318" s="108" t="str">
        <f>VLOOKUP($K2318,LUTs!$E$2:$H$14,2,)</f>
        <v>North Puget Sound</v>
      </c>
      <c r="N2318" s="108" t="str">
        <f>VLOOKUP($K2318,LUTs!$E$2:$H$14,4,)</f>
        <v>01North Puget Sound</v>
      </c>
      <c r="O2318" s="108">
        <v>276.712765957447</v>
      </c>
      <c r="P2318" s="108">
        <v>951.89191489361804</v>
      </c>
      <c r="Q2318" s="108">
        <f>SUMIFS('FW_Salmon_by_Month_2010-2021'!P$2:P$3810,'FW_Salmon_by_Month_2010-2021'!$B$2:$B$3810,'Rec_raw_catch_effort_2010-2021'!$B2318,'FW_Salmon_by_Month_2010-2021'!$H$2:$H$3810,'Rec_raw_catch_effort_2010-2021'!$F2318,'FW_Salmon_by_Month_2010-2021'!$M$2:$M$3810,'Rec_raw_catch_effort_2010-2021'!$K2318)</f>
        <v>284.34807301842648</v>
      </c>
      <c r="R2318" s="109">
        <f>VLOOKUP(B2318,Readme!$A$62:$C$74,2,)*Q2318</f>
        <v>1006.3193293864144</v>
      </c>
      <c r="S2318" s="140" t="str">
        <f t="shared" si="185"/>
        <v>Y</v>
      </c>
      <c r="T2318" s="154">
        <f t="shared" si="186"/>
        <v>3.4400000000000013</v>
      </c>
      <c r="U2318" s="154">
        <f t="shared" si="187"/>
        <v>3.5390404397824153</v>
      </c>
    </row>
    <row r="2319" spans="1:21" x14ac:dyDescent="0.35">
      <c r="A2319" s="108">
        <v>2634</v>
      </c>
      <c r="B2319" s="108">
        <v>2011</v>
      </c>
      <c r="C2319" s="108" t="s">
        <v>38</v>
      </c>
      <c r="D2319" s="108" t="s">
        <v>143</v>
      </c>
      <c r="E2319" s="108" t="s">
        <v>10</v>
      </c>
      <c r="F2319" s="116">
        <v>826</v>
      </c>
      <c r="G2319" s="108" t="s">
        <v>59</v>
      </c>
      <c r="H2319" s="108" t="str">
        <f t="shared" si="184"/>
        <v>Cascade River</v>
      </c>
      <c r="I2319" s="108" t="str">
        <f>IFERROR(VLOOKUP(H2319,LUTs!$A$1:$C$73,2,FALSE),"NA")</f>
        <v>Skagit</v>
      </c>
      <c r="J2319" s="108" t="str">
        <f>IFERROR(VLOOKUP(H2319,LUTs!$A$1:$C$73,3,FALSE),"NA")</f>
        <v>1North Puget Sound</v>
      </c>
      <c r="K2319" s="108" t="s">
        <v>16</v>
      </c>
      <c r="L2319" s="108" t="str">
        <f>VLOOKUP(K2319,LUTs!E$2:G$14,3,)</f>
        <v>03Snohomish</v>
      </c>
      <c r="M2319" s="108" t="str">
        <f>VLOOKUP($K2319,LUTs!$E$2:$H$14,2,)</f>
        <v>North Puget Sound</v>
      </c>
      <c r="N2319" s="108" t="str">
        <f>VLOOKUP($K2319,LUTs!$E$2:$H$14,4,)</f>
        <v>01North Puget Sound</v>
      </c>
      <c r="O2319" s="108">
        <v>517.01595744680901</v>
      </c>
      <c r="P2319" s="108">
        <v>1778.5348936170201</v>
      </c>
      <c r="Q2319" s="108">
        <f>SUMIFS('FW_Salmon_by_Month_2010-2021'!P$2:P$3810,'FW_Salmon_by_Month_2010-2021'!$B$2:$B$3810,'Rec_raw_catch_effort_2010-2021'!$B2319,'FW_Salmon_by_Month_2010-2021'!$H$2:$H$3810,'Rec_raw_catch_effort_2010-2021'!$F2319,'FW_Salmon_by_Month_2010-2021'!$M$2:$M$3810,'Rec_raw_catch_effort_2010-2021'!$K2319)</f>
        <v>531.6941251963384</v>
      </c>
      <c r="R2319" s="109">
        <f>VLOOKUP(B2319,Readme!$A$62:$C$74,2,)*Q2319</f>
        <v>1881.6870106645761</v>
      </c>
      <c r="S2319" s="140" t="str">
        <f t="shared" si="185"/>
        <v>Y</v>
      </c>
      <c r="T2319" s="154">
        <f t="shared" si="186"/>
        <v>3.4399999999999942</v>
      </c>
      <c r="U2319" s="154">
        <f t="shared" si="187"/>
        <v>3.5390404397824153</v>
      </c>
    </row>
    <row r="2320" spans="1:21" x14ac:dyDescent="0.35">
      <c r="A2320" s="108">
        <v>2632</v>
      </c>
      <c r="B2320" s="108">
        <v>2011</v>
      </c>
      <c r="C2320" s="108" t="s">
        <v>38</v>
      </c>
      <c r="D2320" s="108" t="s">
        <v>143</v>
      </c>
      <c r="E2320" s="108" t="s">
        <v>10</v>
      </c>
      <c r="F2320" s="116">
        <v>826</v>
      </c>
      <c r="G2320" s="108" t="s">
        <v>59</v>
      </c>
      <c r="H2320" s="108" t="str">
        <f t="shared" si="184"/>
        <v>Cascade River</v>
      </c>
      <c r="I2320" s="108" t="str">
        <f>IFERROR(VLOOKUP(H2320,LUTs!$A$1:$C$73,2,FALSE),"NA")</f>
        <v>Skagit</v>
      </c>
      <c r="J2320" s="108" t="str">
        <f>IFERROR(VLOOKUP(H2320,LUTs!$A$1:$C$73,3,FALSE),"NA")</f>
        <v>1North Puget Sound</v>
      </c>
      <c r="K2320" s="108" t="s">
        <v>13</v>
      </c>
      <c r="L2320" s="108" t="str">
        <f>VLOOKUP(K2320,LUTs!E$2:G$14,3,)</f>
        <v>01Whatcom</v>
      </c>
      <c r="M2320" s="108" t="str">
        <f>VLOOKUP($K2320,LUTs!$E$2:$H$14,2,)</f>
        <v>North Puget Sound</v>
      </c>
      <c r="N2320" s="108" t="str">
        <f>VLOOKUP($K2320,LUTs!$E$2:$H$14,4,)</f>
        <v>01North Puget Sound</v>
      </c>
      <c r="O2320" s="108">
        <v>36.409574468085097</v>
      </c>
      <c r="P2320" s="108">
        <v>125.248936170213</v>
      </c>
      <c r="Q2320" s="108">
        <f>SUMIFS('FW_Salmon_by_Month_2010-2021'!P$2:P$3810,'FW_Salmon_by_Month_2010-2021'!$B$2:$B$3810,'Rec_raw_catch_effort_2010-2021'!$B2320,'FW_Salmon_by_Month_2010-2021'!$H$2:$H$3810,'Rec_raw_catch_effort_2010-2021'!$F2320,'FW_Salmon_by_Month_2010-2021'!$M$2:$M$3810,'Rec_raw_catch_effort_2010-2021'!$K2320)</f>
        <v>7.28571428571429</v>
      </c>
      <c r="R2320" s="109">
        <f>VLOOKUP(B2320,Readme!$A$62:$C$74,2,)*Q2320</f>
        <v>25.784437489843327</v>
      </c>
      <c r="S2320" s="140" t="str">
        <f t="shared" si="185"/>
        <v>Y</v>
      </c>
      <c r="T2320" s="154">
        <f t="shared" si="186"/>
        <v>3.4400000000000075</v>
      </c>
      <c r="U2320" s="154">
        <f t="shared" si="187"/>
        <v>3.5390404397824153</v>
      </c>
    </row>
    <row r="2321" spans="1:21" x14ac:dyDescent="0.35">
      <c r="A2321" s="108">
        <v>2872</v>
      </c>
      <c r="B2321" s="108">
        <v>2012</v>
      </c>
      <c r="C2321" s="108" t="s">
        <v>38</v>
      </c>
      <c r="D2321" s="108" t="s">
        <v>143</v>
      </c>
      <c r="E2321" s="108" t="s">
        <v>10</v>
      </c>
      <c r="F2321" s="116">
        <v>826</v>
      </c>
      <c r="G2321" s="108" t="s">
        <v>59</v>
      </c>
      <c r="H2321" s="108" t="str">
        <f t="shared" si="184"/>
        <v>Cascade River</v>
      </c>
      <c r="I2321" s="108" t="str">
        <f>IFERROR(VLOOKUP(H2321,LUTs!$A$1:$C$73,2,FALSE),"NA")</f>
        <v>Skagit</v>
      </c>
      <c r="J2321" s="108" t="str">
        <f>IFERROR(VLOOKUP(H2321,LUTs!$A$1:$C$73,3,FALSE),"NA")</f>
        <v>1North Puget Sound</v>
      </c>
      <c r="K2321" s="108" t="s">
        <v>24</v>
      </c>
      <c r="L2321" s="108" t="str">
        <f>VLOOKUP(K2321,LUTs!E$2:G$14,3,)</f>
        <v>11Clallam</v>
      </c>
      <c r="M2321" s="108" t="str">
        <f>VLOOKUP($K2321,LUTs!$E$2:$H$14,2,)</f>
        <v>Strait of Juan de Fuca</v>
      </c>
      <c r="N2321" s="108" t="str">
        <f>VLOOKUP($K2321,LUTs!$E$2:$H$14,4,)</f>
        <v>03Strait of Juan de Fuca</v>
      </c>
      <c r="O2321" s="108">
        <v>7.30941704035875</v>
      </c>
      <c r="P2321" s="108">
        <v>63.226457399103197</v>
      </c>
      <c r="Q2321" s="108">
        <f>SUMIFS('FW_Salmon_by_Month_2010-2021'!P$2:P$3810,'FW_Salmon_by_Month_2010-2021'!$B$2:$B$3810,'Rec_raw_catch_effort_2010-2021'!$B2321,'FW_Salmon_by_Month_2010-2021'!$H$2:$H$3810,'Rec_raw_catch_effort_2010-2021'!$F2321,'FW_Salmon_by_Month_2010-2021'!$M$2:$M$3810,'Rec_raw_catch_effort_2010-2021'!$K2321)</f>
        <v>7.3783783783783798</v>
      </c>
      <c r="R2321" s="109">
        <f>VLOOKUP(B2321,Readme!$A$62:$C$74,2,)*Q2321</f>
        <v>35.560499697916384</v>
      </c>
      <c r="S2321" s="140" t="str">
        <f t="shared" si="185"/>
        <v>Y</v>
      </c>
      <c r="T2321" s="154">
        <f t="shared" si="186"/>
        <v>8.6500000000000021</v>
      </c>
      <c r="U2321" s="154">
        <f t="shared" si="187"/>
        <v>4.8195549041132084</v>
      </c>
    </row>
    <row r="2322" spans="1:21" x14ac:dyDescent="0.35">
      <c r="A2322" s="108">
        <v>2868</v>
      </c>
      <c r="B2322" s="108">
        <v>2012</v>
      </c>
      <c r="C2322" s="108" t="s">
        <v>38</v>
      </c>
      <c r="D2322" s="108" t="s">
        <v>143</v>
      </c>
      <c r="E2322" s="108" t="s">
        <v>10</v>
      </c>
      <c r="F2322" s="116">
        <v>826</v>
      </c>
      <c r="G2322" s="108" t="s">
        <v>59</v>
      </c>
      <c r="H2322" s="108" t="str">
        <f t="shared" si="184"/>
        <v>Cascade River</v>
      </c>
      <c r="I2322" s="108" t="str">
        <f>IFERROR(VLOOKUP(H2322,LUTs!$A$1:$C$73,2,FALSE),"NA")</f>
        <v>Skagit</v>
      </c>
      <c r="J2322" s="108" t="str">
        <f>IFERROR(VLOOKUP(H2322,LUTs!$A$1:$C$73,3,FALSE),"NA")</f>
        <v>1North Puget Sound</v>
      </c>
      <c r="K2322" s="108" t="s">
        <v>17</v>
      </c>
      <c r="L2322" s="108" t="str">
        <f>VLOOKUP(K2322,LUTs!E$2:G$14,3,)</f>
        <v>04Island</v>
      </c>
      <c r="M2322" s="108" t="str">
        <f>VLOOKUP($K2322,LUTs!$E$2:$H$14,2,)</f>
        <v>North Puget Sound</v>
      </c>
      <c r="N2322" s="108" t="str">
        <f>VLOOKUP($K2322,LUTs!$E$2:$H$14,4,)</f>
        <v>01North Puget Sound</v>
      </c>
      <c r="O2322" s="108">
        <v>124.26008968609899</v>
      </c>
      <c r="P2322" s="108">
        <v>1074.8497757847599</v>
      </c>
      <c r="Q2322" s="108">
        <f>SUMIFS('FW_Salmon_by_Month_2010-2021'!P$2:P$3810,'FW_Salmon_by_Month_2010-2021'!$B$2:$B$3810,'Rec_raw_catch_effort_2010-2021'!$B2322,'FW_Salmon_by_Month_2010-2021'!$H$2:$H$3810,'Rec_raw_catch_effort_2010-2021'!$F2322,'FW_Salmon_by_Month_2010-2021'!$M$2:$M$3810,'Rec_raw_catch_effort_2010-2021'!$K2322)</f>
        <v>125.53302245907881</v>
      </c>
      <c r="R2322" s="109">
        <f>VLOOKUP(B2322,Readme!$A$62:$C$74,2,)*Q2322</f>
        <v>605.01329402080682</v>
      </c>
      <c r="S2322" s="140" t="str">
        <f t="shared" si="185"/>
        <v>Y</v>
      </c>
      <c r="T2322" s="154">
        <f t="shared" si="186"/>
        <v>8.6500000000000288</v>
      </c>
      <c r="U2322" s="154">
        <f t="shared" si="187"/>
        <v>4.8195549041132084</v>
      </c>
    </row>
    <row r="2323" spans="1:21" x14ac:dyDescent="0.35">
      <c r="A2323" s="108">
        <v>2869</v>
      </c>
      <c r="B2323" s="108">
        <v>2012</v>
      </c>
      <c r="C2323" s="108" t="s">
        <v>38</v>
      </c>
      <c r="D2323" s="108" t="s">
        <v>143</v>
      </c>
      <c r="E2323" s="108" t="s">
        <v>10</v>
      </c>
      <c r="F2323" s="116">
        <v>826</v>
      </c>
      <c r="G2323" s="108" t="s">
        <v>59</v>
      </c>
      <c r="H2323" s="108" t="str">
        <f t="shared" si="184"/>
        <v>Cascade River</v>
      </c>
      <c r="I2323" s="108" t="str">
        <f>IFERROR(VLOOKUP(H2323,LUTs!$A$1:$C$73,2,FALSE),"NA")</f>
        <v>Skagit</v>
      </c>
      <c r="J2323" s="108" t="str">
        <f>IFERROR(VLOOKUP(H2323,LUTs!$A$1:$C$73,3,FALSE),"NA")</f>
        <v>1North Puget Sound</v>
      </c>
      <c r="K2323" s="108" t="s">
        <v>18</v>
      </c>
      <c r="L2323" s="108" t="str">
        <f>VLOOKUP(K2323,LUTs!E$2:G$14,3,)</f>
        <v>06King</v>
      </c>
      <c r="M2323" s="108" t="str">
        <f>VLOOKUP($K2323,LUTs!$E$2:$H$14,2,)</f>
        <v>South Puget Sound</v>
      </c>
      <c r="N2323" s="108" t="str">
        <f>VLOOKUP($K2323,LUTs!$E$2:$H$14,4,)</f>
        <v>02South Puget Sound</v>
      </c>
      <c r="O2323" s="108">
        <v>124.26008968609899</v>
      </c>
      <c r="P2323" s="108">
        <v>1074.8497757847599</v>
      </c>
      <c r="Q2323" s="108">
        <f>SUMIFS('FW_Salmon_by_Month_2010-2021'!P$2:P$3810,'FW_Salmon_by_Month_2010-2021'!$B$2:$B$3810,'Rec_raw_catch_effort_2010-2021'!$B2323,'FW_Salmon_by_Month_2010-2021'!$H$2:$H$3810,'Rec_raw_catch_effort_2010-2021'!$F2323,'FW_Salmon_by_Month_2010-2021'!$M$2:$M$3810,'Rec_raw_catch_effort_2010-2021'!$K2323)</f>
        <v>118.172535211268</v>
      </c>
      <c r="R2323" s="109">
        <f>VLOOKUP(B2323,Readme!$A$62:$C$74,2,)*Q2323</f>
        <v>569.53902160895746</v>
      </c>
      <c r="S2323" s="140" t="str">
        <f t="shared" si="185"/>
        <v>Y</v>
      </c>
      <c r="T2323" s="154">
        <f t="shared" si="186"/>
        <v>8.6500000000000288</v>
      </c>
      <c r="U2323" s="154">
        <f t="shared" si="187"/>
        <v>4.8195549041132084</v>
      </c>
    </row>
    <row r="2324" spans="1:21" x14ac:dyDescent="0.35">
      <c r="A2324" s="108">
        <v>2871</v>
      </c>
      <c r="B2324" s="108">
        <v>2012</v>
      </c>
      <c r="C2324" s="108" t="s">
        <v>38</v>
      </c>
      <c r="D2324" s="108" t="s">
        <v>143</v>
      </c>
      <c r="E2324" s="108" t="s">
        <v>10</v>
      </c>
      <c r="F2324" s="116">
        <v>826</v>
      </c>
      <c r="G2324" s="108" t="s">
        <v>59</v>
      </c>
      <c r="H2324" s="108" t="str">
        <f t="shared" si="184"/>
        <v>Cascade River</v>
      </c>
      <c r="I2324" s="108" t="str">
        <f>IFERROR(VLOOKUP(H2324,LUTs!$A$1:$C$73,2,FALSE),"NA")</f>
        <v>Skagit</v>
      </c>
      <c r="J2324" s="108" t="str">
        <f>IFERROR(VLOOKUP(H2324,LUTs!$A$1:$C$73,3,FALSE),"NA")</f>
        <v>1North Puget Sound</v>
      </c>
      <c r="K2324" s="108" t="s">
        <v>23</v>
      </c>
      <c r="L2324" s="108" t="str">
        <f>VLOOKUP(K2324,LUTs!E$2:G$14,3,)</f>
        <v>10Kitsap</v>
      </c>
      <c r="M2324" s="108" t="str">
        <f>VLOOKUP($K2324,LUTs!$E$2:$H$14,2,)</f>
        <v>South Puget Sound</v>
      </c>
      <c r="N2324" s="108" t="str">
        <f>VLOOKUP($K2324,LUTs!$E$2:$H$14,4,)</f>
        <v>02South Puget Sound</v>
      </c>
      <c r="O2324" s="108">
        <v>14.6188340807175</v>
      </c>
      <c r="P2324" s="108">
        <v>126.452914798206</v>
      </c>
      <c r="Q2324" s="108">
        <f>SUMIFS('FW_Salmon_by_Month_2010-2021'!P$2:P$3810,'FW_Salmon_by_Month_2010-2021'!$B$2:$B$3810,'Rec_raw_catch_effort_2010-2021'!$B2324,'FW_Salmon_by_Month_2010-2021'!$H$2:$H$3810,'Rec_raw_catch_effort_2010-2021'!$F2324,'FW_Salmon_by_Month_2010-2021'!$M$2:$M$3810,'Rec_raw_catch_effort_2010-2021'!$K2324)</f>
        <v>14.7746478873239</v>
      </c>
      <c r="R2324" s="109">
        <f>VLOOKUP(B2324,Readme!$A$62:$C$74,2,)*Q2324</f>
        <v>71.207226681897751</v>
      </c>
      <c r="S2324" s="140" t="str">
        <f t="shared" si="185"/>
        <v>Y</v>
      </c>
      <c r="T2324" s="154">
        <f t="shared" si="186"/>
        <v>8.6499999999999737</v>
      </c>
      <c r="U2324" s="154">
        <f t="shared" si="187"/>
        <v>4.8195549041132084</v>
      </c>
    </row>
    <row r="2325" spans="1:21" x14ac:dyDescent="0.35">
      <c r="A2325" s="108">
        <v>2873</v>
      </c>
      <c r="B2325" s="108">
        <v>2012</v>
      </c>
      <c r="C2325" s="108" t="s">
        <v>38</v>
      </c>
      <c r="D2325" s="108" t="s">
        <v>143</v>
      </c>
      <c r="E2325" s="108" t="s">
        <v>10</v>
      </c>
      <c r="F2325" s="116">
        <v>826</v>
      </c>
      <c r="G2325" s="108" t="s">
        <v>59</v>
      </c>
      <c r="H2325" s="108" t="str">
        <f t="shared" si="184"/>
        <v>Cascade River</v>
      </c>
      <c r="I2325" s="108" t="str">
        <f>IFERROR(VLOOKUP(H2325,LUTs!$A$1:$C$73,2,FALSE),"NA")</f>
        <v>Skagit</v>
      </c>
      <c r="J2325" s="108" t="str">
        <f>IFERROR(VLOOKUP(H2325,LUTs!$A$1:$C$73,3,FALSE),"NA")</f>
        <v>1North Puget Sound</v>
      </c>
      <c r="K2325" s="108" t="s">
        <v>26</v>
      </c>
      <c r="L2325" s="108" t="str">
        <f>VLOOKUP(K2325,LUTs!E$2:G$14,3,)</f>
        <v>20Other</v>
      </c>
      <c r="M2325" s="108" t="str">
        <f>VLOOKUP($K2325,LUTs!$E$2:$H$14,2,)</f>
        <v>Non Puget Sound</v>
      </c>
      <c r="N2325" s="108" t="str">
        <f>VLOOKUP($K2325,LUTs!$E$2:$H$14,4,)</f>
        <v>07Non Puget Sound</v>
      </c>
      <c r="O2325" s="108">
        <v>65.784753363228702</v>
      </c>
      <c r="P2325" s="108">
        <v>569.03811659192797</v>
      </c>
      <c r="Q2325" s="108">
        <f>SUMIFS('FW_Salmon_by_Month_2010-2021'!P$2:P$3810,'FW_Salmon_by_Month_2010-2021'!$B$2:$B$3810,'Rec_raw_catch_effort_2010-2021'!$B2325,'FW_Salmon_by_Month_2010-2021'!$H$2:$H$3810,'Rec_raw_catch_effort_2010-2021'!$F2325,'FW_Salmon_by_Month_2010-2021'!$M$2:$M$3810,'Rec_raw_catch_effort_2010-2021'!$K2325)</f>
        <v>66.405405405405403</v>
      </c>
      <c r="R2325" s="109">
        <f>VLOOKUP(B2325,Readme!$A$62:$C$74,2,)*Q2325</f>
        <v>320.04449728124735</v>
      </c>
      <c r="S2325" s="140" t="str">
        <f t="shared" si="185"/>
        <v>Y</v>
      </c>
      <c r="T2325" s="154">
        <f t="shared" si="186"/>
        <v>8.649999999999995</v>
      </c>
      <c r="U2325" s="154">
        <f t="shared" si="187"/>
        <v>4.8195549041132084</v>
      </c>
    </row>
    <row r="2326" spans="1:21" x14ac:dyDescent="0.35">
      <c r="A2326" s="108">
        <v>2870</v>
      </c>
      <c r="B2326" s="108">
        <v>2012</v>
      </c>
      <c r="C2326" s="108" t="s">
        <v>38</v>
      </c>
      <c r="D2326" s="108" t="s">
        <v>143</v>
      </c>
      <c r="E2326" s="108" t="s">
        <v>10</v>
      </c>
      <c r="F2326" s="116">
        <v>826</v>
      </c>
      <c r="G2326" s="108" t="s">
        <v>59</v>
      </c>
      <c r="H2326" s="108" t="str">
        <f t="shared" si="184"/>
        <v>Cascade River</v>
      </c>
      <c r="I2326" s="108" t="str">
        <f>IFERROR(VLOOKUP(H2326,LUTs!$A$1:$C$73,2,FALSE),"NA")</f>
        <v>Skagit</v>
      </c>
      <c r="J2326" s="108" t="str">
        <f>IFERROR(VLOOKUP(H2326,LUTs!$A$1:$C$73,3,FALSE),"NA")</f>
        <v>1North Puget Sound</v>
      </c>
      <c r="K2326" s="108" t="s">
        <v>20</v>
      </c>
      <c r="L2326" s="108" t="str">
        <f>VLOOKUP(K2326,LUTs!E$2:G$14,3,)</f>
        <v>07Pierce</v>
      </c>
      <c r="M2326" s="108" t="str">
        <f>VLOOKUP($K2326,LUTs!$E$2:$H$14,2,)</f>
        <v>South Puget Sound</v>
      </c>
      <c r="N2326" s="108" t="str">
        <f>VLOOKUP($K2326,LUTs!$E$2:$H$14,4,)</f>
        <v>02South Puget Sound</v>
      </c>
      <c r="O2326" s="108">
        <v>36.547085201793699</v>
      </c>
      <c r="P2326" s="108">
        <v>316.13228699551598</v>
      </c>
      <c r="Q2326" s="108">
        <f>SUMIFS('FW_Salmon_by_Month_2010-2021'!P$2:P$3810,'FW_Salmon_by_Month_2010-2021'!$B$2:$B$3810,'Rec_raw_catch_effort_2010-2021'!$B2326,'FW_Salmon_by_Month_2010-2021'!$H$2:$H$3810,'Rec_raw_catch_effort_2010-2021'!$F2326,'FW_Salmon_by_Month_2010-2021'!$M$2:$M$3810,'Rec_raw_catch_effort_2010-2021'!$K2326)</f>
        <v>36.936619718309899</v>
      </c>
      <c r="R2326" s="109">
        <f>VLOOKUP(B2326,Readme!$A$62:$C$74,2,)*Q2326</f>
        <v>178.01806670474511</v>
      </c>
      <c r="S2326" s="140" t="str">
        <f t="shared" si="185"/>
        <v>Y</v>
      </c>
      <c r="T2326" s="154">
        <f t="shared" si="186"/>
        <v>8.6500000000000128</v>
      </c>
      <c r="U2326" s="154">
        <f t="shared" si="187"/>
        <v>4.8195549041132084</v>
      </c>
    </row>
    <row r="2327" spans="1:21" x14ac:dyDescent="0.35">
      <c r="A2327" s="108">
        <v>2866</v>
      </c>
      <c r="B2327" s="108">
        <v>2012</v>
      </c>
      <c r="C2327" s="108" t="s">
        <v>38</v>
      </c>
      <c r="D2327" s="108" t="s">
        <v>143</v>
      </c>
      <c r="E2327" s="108" t="s">
        <v>10</v>
      </c>
      <c r="F2327" s="116">
        <v>826</v>
      </c>
      <c r="G2327" s="108" t="s">
        <v>59</v>
      </c>
      <c r="H2327" s="108" t="str">
        <f t="shared" si="184"/>
        <v>Cascade River</v>
      </c>
      <c r="I2327" s="108" t="str">
        <f>IFERROR(VLOOKUP(H2327,LUTs!$A$1:$C$73,2,FALSE),"NA")</f>
        <v>Skagit</v>
      </c>
      <c r="J2327" s="108" t="str">
        <f>IFERROR(VLOOKUP(H2327,LUTs!$A$1:$C$73,3,FALSE),"NA")</f>
        <v>1North Puget Sound</v>
      </c>
      <c r="K2327" s="108" t="s">
        <v>15</v>
      </c>
      <c r="L2327" s="108" t="str">
        <f>VLOOKUP(K2327,LUTs!E$2:G$14,3,)</f>
        <v>02Skagit</v>
      </c>
      <c r="M2327" s="108" t="str">
        <f>VLOOKUP($K2327,LUTs!$E$2:$H$14,2,)</f>
        <v>North Puget Sound</v>
      </c>
      <c r="N2327" s="108" t="str">
        <f>VLOOKUP($K2327,LUTs!$E$2:$H$14,4,)</f>
        <v>01North Puget Sound</v>
      </c>
      <c r="O2327" s="108">
        <v>372.78026905829603</v>
      </c>
      <c r="P2327" s="108">
        <v>3224.5493273542602</v>
      </c>
      <c r="Q2327" s="108">
        <f>SUMIFS('FW_Salmon_by_Month_2010-2021'!P$2:P$3810,'FW_Salmon_by_Month_2010-2021'!$B$2:$B$3810,'Rec_raw_catch_effort_2010-2021'!$B2327,'FW_Salmon_by_Month_2010-2021'!$H$2:$H$3810,'Rec_raw_catch_effort_2010-2021'!$F2327,'FW_Salmon_by_Month_2010-2021'!$M$2:$M$3810,'Rec_raw_catch_effort_2010-2021'!$K2327)</f>
        <v>378.21988568933472</v>
      </c>
      <c r="R2327" s="109">
        <f>VLOOKUP(B2327,Readme!$A$62:$C$74,2,)*Q2327</f>
        <v>1822.8515049071702</v>
      </c>
      <c r="S2327" s="140" t="str">
        <f t="shared" si="185"/>
        <v>Y</v>
      </c>
      <c r="T2327" s="154">
        <f t="shared" si="186"/>
        <v>8.6499999999999986</v>
      </c>
      <c r="U2327" s="154">
        <f t="shared" si="187"/>
        <v>4.8195549041132084</v>
      </c>
    </row>
    <row r="2328" spans="1:21" x14ac:dyDescent="0.35">
      <c r="A2328" s="108">
        <v>2867</v>
      </c>
      <c r="B2328" s="108">
        <v>2012</v>
      </c>
      <c r="C2328" s="108" t="s">
        <v>38</v>
      </c>
      <c r="D2328" s="108" t="s">
        <v>143</v>
      </c>
      <c r="E2328" s="108" t="s">
        <v>10</v>
      </c>
      <c r="F2328" s="116">
        <v>826</v>
      </c>
      <c r="G2328" s="108" t="s">
        <v>59</v>
      </c>
      <c r="H2328" s="108" t="str">
        <f t="shared" si="184"/>
        <v>Cascade River</v>
      </c>
      <c r="I2328" s="108" t="str">
        <f>IFERROR(VLOOKUP(H2328,LUTs!$A$1:$C$73,2,FALSE),"NA")</f>
        <v>Skagit</v>
      </c>
      <c r="J2328" s="108" t="str">
        <f>IFERROR(VLOOKUP(H2328,LUTs!$A$1:$C$73,3,FALSE),"NA")</f>
        <v>1North Puget Sound</v>
      </c>
      <c r="K2328" s="108" t="s">
        <v>16</v>
      </c>
      <c r="L2328" s="108" t="str">
        <f>VLOOKUP(K2328,LUTs!E$2:G$14,3,)</f>
        <v>03Snohomish</v>
      </c>
      <c r="M2328" s="108" t="str">
        <f>VLOOKUP($K2328,LUTs!$E$2:$H$14,2,)</f>
        <v>North Puget Sound</v>
      </c>
      <c r="N2328" s="108" t="str">
        <f>VLOOKUP($K2328,LUTs!$E$2:$H$14,4,)</f>
        <v>01North Puget Sound</v>
      </c>
      <c r="O2328" s="108">
        <v>599.37219730941695</v>
      </c>
      <c r="P2328" s="108">
        <v>5184.5695067264596</v>
      </c>
      <c r="Q2328" s="108">
        <f>SUMIFS('FW_Salmon_by_Month_2010-2021'!P$2:P$3810,'FW_Salmon_by_Month_2010-2021'!$B$2:$B$3810,'Rec_raw_catch_effort_2010-2021'!$B2328,'FW_Salmon_by_Month_2010-2021'!$H$2:$H$3810,'Rec_raw_catch_effort_2010-2021'!$F2328,'FW_Salmon_by_Month_2010-2021'!$M$2:$M$3810,'Rec_raw_catch_effort_2010-2021'!$K2328)</f>
        <v>594.25947177500655</v>
      </c>
      <c r="R2328" s="109">
        <f>VLOOKUP(B2328,Readme!$A$62:$C$74,2,)*Q2328</f>
        <v>2864.0661515089578</v>
      </c>
      <c r="S2328" s="140" t="str">
        <f t="shared" si="185"/>
        <v>Y</v>
      </c>
      <c r="T2328" s="154">
        <f t="shared" si="186"/>
        <v>8.6500000000000057</v>
      </c>
      <c r="U2328" s="154">
        <f t="shared" si="187"/>
        <v>4.8195549041132084</v>
      </c>
    </row>
    <row r="2329" spans="1:21" x14ac:dyDescent="0.35">
      <c r="A2329" s="108">
        <v>2865</v>
      </c>
      <c r="B2329" s="108">
        <v>2012</v>
      </c>
      <c r="C2329" s="108" t="s">
        <v>38</v>
      </c>
      <c r="D2329" s="108" t="s">
        <v>143</v>
      </c>
      <c r="E2329" s="108" t="s">
        <v>10</v>
      </c>
      <c r="F2329" s="116">
        <v>826</v>
      </c>
      <c r="G2329" s="108" t="s">
        <v>59</v>
      </c>
      <c r="H2329" s="108" t="str">
        <f t="shared" si="184"/>
        <v>Cascade River</v>
      </c>
      <c r="I2329" s="108" t="str">
        <f>IFERROR(VLOOKUP(H2329,LUTs!$A$1:$C$73,2,FALSE),"NA")</f>
        <v>Skagit</v>
      </c>
      <c r="J2329" s="108" t="str">
        <f>IFERROR(VLOOKUP(H2329,LUTs!$A$1:$C$73,3,FALSE),"NA")</f>
        <v>1North Puget Sound</v>
      </c>
      <c r="K2329" s="108" t="s">
        <v>13</v>
      </c>
      <c r="L2329" s="108" t="str">
        <f>VLOOKUP(K2329,LUTs!E$2:G$14,3,)</f>
        <v>01Whatcom</v>
      </c>
      <c r="M2329" s="108" t="str">
        <f>VLOOKUP($K2329,LUTs!$E$2:$H$14,2,)</f>
        <v>North Puget Sound</v>
      </c>
      <c r="N2329" s="108" t="str">
        <f>VLOOKUP($K2329,LUTs!$E$2:$H$14,4,)</f>
        <v>01North Puget Sound</v>
      </c>
      <c r="O2329" s="108">
        <v>285.067264573991</v>
      </c>
      <c r="P2329" s="108">
        <v>2465.83183856502</v>
      </c>
      <c r="Q2329" s="108">
        <f>SUMIFS('FW_Salmon_by_Month_2010-2021'!P$2:P$3810,'FW_Salmon_by_Month_2010-2021'!$B$2:$B$3810,'Rec_raw_catch_effort_2010-2021'!$B2329,'FW_Salmon_by_Month_2010-2021'!$H$2:$H$3810,'Rec_raw_catch_effort_2010-2021'!$F2329,'FW_Salmon_by_Month_2010-2021'!$M$2:$M$3810,'Rec_raw_catch_effort_2010-2021'!$K2329)</f>
        <v>288.320033475895</v>
      </c>
      <c r="R2329" s="109">
        <f>VLOOKUP(B2329,Readme!$A$62:$C$74,2,)*Q2329</f>
        <v>1389.5742312928342</v>
      </c>
      <c r="S2329" s="140" t="str">
        <f t="shared" si="185"/>
        <v>Y</v>
      </c>
      <c r="T2329" s="154">
        <f t="shared" si="186"/>
        <v>8.6499999999999932</v>
      </c>
      <c r="U2329" s="154">
        <f t="shared" si="187"/>
        <v>4.8195549041132084</v>
      </c>
    </row>
    <row r="2330" spans="1:21" x14ac:dyDescent="0.35">
      <c r="A2330" s="108">
        <v>3084</v>
      </c>
      <c r="B2330" s="108">
        <v>2013</v>
      </c>
      <c r="C2330" s="108" t="s">
        <v>38</v>
      </c>
      <c r="D2330" s="108" t="s">
        <v>143</v>
      </c>
      <c r="E2330" s="108" t="s">
        <v>10</v>
      </c>
      <c r="F2330" s="116">
        <v>826</v>
      </c>
      <c r="G2330" s="108" t="s">
        <v>59</v>
      </c>
      <c r="H2330" s="108" t="str">
        <f t="shared" si="184"/>
        <v>Cascade River</v>
      </c>
      <c r="I2330" s="108" t="str">
        <f>IFERROR(VLOOKUP(H2330,LUTs!$A$1:$C$73,2,FALSE),"NA")</f>
        <v>Skagit</v>
      </c>
      <c r="J2330" s="108" t="str">
        <f>IFERROR(VLOOKUP(H2330,LUTs!$A$1:$C$73,3,FALSE),"NA")</f>
        <v>1North Puget Sound</v>
      </c>
      <c r="K2330" s="108" t="s">
        <v>17</v>
      </c>
      <c r="L2330" s="108" t="str">
        <f>VLOOKUP(K2330,LUTs!E$2:G$14,3,)</f>
        <v>04Island</v>
      </c>
      <c r="M2330" s="108" t="str">
        <f>VLOOKUP($K2330,LUTs!$E$2:$H$14,2,)</f>
        <v>North Puget Sound</v>
      </c>
      <c r="N2330" s="108" t="str">
        <f>VLOOKUP($K2330,LUTs!$E$2:$H$14,4,)</f>
        <v>01North Puget Sound</v>
      </c>
      <c r="O2330" s="108">
        <v>106.996904024768</v>
      </c>
      <c r="P2330" s="108">
        <v>368.069349845202</v>
      </c>
      <c r="Q2330" s="108">
        <f>SUMIFS('FW_Salmon_by_Month_2010-2021'!P$2:P$3810,'FW_Salmon_by_Month_2010-2021'!$B$2:$B$3810,'Rec_raw_catch_effort_2010-2021'!$B2330,'FW_Salmon_by_Month_2010-2021'!$H$2:$H$3810,'Rec_raw_catch_effort_2010-2021'!$F2330,'FW_Salmon_by_Month_2010-2021'!$M$2:$M$3810,'Rec_raw_catch_effort_2010-2021'!$K2330)</f>
        <v>108.45143540669861</v>
      </c>
      <c r="R2330" s="109">
        <f>VLOOKUP(B2330,Readme!$A$62:$C$74,2,)*Q2330</f>
        <v>383.81401565675685</v>
      </c>
      <c r="S2330" s="140" t="str">
        <f t="shared" si="185"/>
        <v>Y</v>
      </c>
      <c r="T2330" s="154">
        <f t="shared" si="186"/>
        <v>3.4400000000000008</v>
      </c>
      <c r="U2330" s="154">
        <f t="shared" si="187"/>
        <v>3.5390404397824153</v>
      </c>
    </row>
    <row r="2331" spans="1:21" x14ac:dyDescent="0.35">
      <c r="A2331" s="108">
        <v>3189</v>
      </c>
      <c r="B2331" s="108">
        <v>2013</v>
      </c>
      <c r="C2331" s="108" t="s">
        <v>38</v>
      </c>
      <c r="D2331" s="108" t="s">
        <v>143</v>
      </c>
      <c r="E2331" s="108" t="s">
        <v>10</v>
      </c>
      <c r="F2331" s="116">
        <v>826</v>
      </c>
      <c r="G2331" s="108" t="s">
        <v>59</v>
      </c>
      <c r="H2331" s="108" t="str">
        <f t="shared" si="184"/>
        <v>Cascade River</v>
      </c>
      <c r="I2331" s="108" t="str">
        <f>IFERROR(VLOOKUP(H2331,LUTs!$A$1:$C$73,2,FALSE),"NA")</f>
        <v>Skagit</v>
      </c>
      <c r="J2331" s="108" t="str">
        <f>IFERROR(VLOOKUP(H2331,LUTs!$A$1:$C$73,3,FALSE),"NA")</f>
        <v>1North Puget Sound</v>
      </c>
      <c r="K2331" s="108" t="s">
        <v>18</v>
      </c>
      <c r="L2331" s="108" t="str">
        <f>VLOOKUP(K2331,LUTs!E$2:G$14,3,)</f>
        <v>06King</v>
      </c>
      <c r="M2331" s="108" t="str">
        <f>VLOOKUP($K2331,LUTs!$E$2:$H$14,2,)</f>
        <v>South Puget Sound</v>
      </c>
      <c r="N2331" s="108" t="str">
        <f>VLOOKUP($K2331,LUTs!$E$2:$H$14,4,)</f>
        <v>02South Puget Sound</v>
      </c>
      <c r="O2331" s="108">
        <v>196.16099071207401</v>
      </c>
      <c r="P2331" s="108">
        <v>674.79380804953496</v>
      </c>
      <c r="Q2331" s="108">
        <f>SUMIFS('FW_Salmon_by_Month_2010-2021'!P$2:P$3810,'FW_Salmon_by_Month_2010-2021'!$B$2:$B$3810,'Rec_raw_catch_effort_2010-2021'!$B2331,'FW_Salmon_by_Month_2010-2021'!$H$2:$H$3810,'Rec_raw_catch_effort_2010-2021'!$F2331,'FW_Salmon_by_Month_2010-2021'!$M$2:$M$3810,'Rec_raw_catch_effort_2010-2021'!$K2331)</f>
        <v>198.7025518341307</v>
      </c>
      <c r="R2331" s="109">
        <f>VLOOKUP(B2331,Readme!$A$62:$C$74,2,)*Q2331</f>
        <v>703.2163664289501</v>
      </c>
      <c r="S2331" s="140" t="str">
        <f t="shared" si="185"/>
        <v>Y</v>
      </c>
      <c r="T2331" s="154">
        <f t="shared" si="186"/>
        <v>3.4400000000000017</v>
      </c>
      <c r="U2331" s="154">
        <f t="shared" si="187"/>
        <v>3.5390404397824153</v>
      </c>
    </row>
    <row r="2332" spans="1:21" x14ac:dyDescent="0.35">
      <c r="A2332" s="108">
        <v>3190</v>
      </c>
      <c r="B2332" s="108">
        <v>2013</v>
      </c>
      <c r="C2332" s="108" t="s">
        <v>38</v>
      </c>
      <c r="D2332" s="108" t="s">
        <v>143</v>
      </c>
      <c r="E2332" s="108" t="s">
        <v>10</v>
      </c>
      <c r="F2332" s="116">
        <v>826</v>
      </c>
      <c r="G2332" s="108" t="s">
        <v>59</v>
      </c>
      <c r="H2332" s="108" t="str">
        <f t="shared" si="184"/>
        <v>Cascade River</v>
      </c>
      <c r="I2332" s="108" t="str">
        <f>IFERROR(VLOOKUP(H2332,LUTs!$A$1:$C$73,2,FALSE),"NA")</f>
        <v>Skagit</v>
      </c>
      <c r="J2332" s="108" t="str">
        <f>IFERROR(VLOOKUP(H2332,LUTs!$A$1:$C$73,3,FALSE),"NA")</f>
        <v>1North Puget Sound</v>
      </c>
      <c r="K2332" s="108" t="s">
        <v>26</v>
      </c>
      <c r="L2332" s="108" t="str">
        <f>VLOOKUP(K2332,LUTs!E$2:G$14,3,)</f>
        <v>20Other</v>
      </c>
      <c r="M2332" s="108" t="str">
        <f>VLOOKUP($K2332,LUTs!$E$2:$H$14,2,)</f>
        <v>Non Puget Sound</v>
      </c>
      <c r="N2332" s="108" t="str">
        <f>VLOOKUP($K2332,LUTs!$E$2:$H$14,4,)</f>
        <v>07Non Puget Sound</v>
      </c>
      <c r="O2332" s="108">
        <v>124.82972136222899</v>
      </c>
      <c r="P2332" s="108">
        <v>429.41424148606802</v>
      </c>
      <c r="Q2332" s="108">
        <f>SUMIFS('FW_Salmon_by_Month_2010-2021'!P$2:P$3810,'FW_Salmon_by_Month_2010-2021'!$B$2:$B$3810,'Rec_raw_catch_effort_2010-2021'!$B2332,'FW_Salmon_by_Month_2010-2021'!$H$2:$H$3810,'Rec_raw_catch_effort_2010-2021'!$F2332,'FW_Salmon_by_Month_2010-2021'!$M$2:$M$3810,'Rec_raw_catch_effort_2010-2021'!$K2332)</f>
        <v>126.43460925039879</v>
      </c>
      <c r="R2332" s="109">
        <f>VLOOKUP(B2332,Readme!$A$62:$C$74,2,)*Q2332</f>
        <v>447.4571951252492</v>
      </c>
      <c r="S2332" s="140" t="str">
        <f t="shared" si="185"/>
        <v>Y</v>
      </c>
      <c r="T2332" s="154">
        <f t="shared" si="186"/>
        <v>3.4400000000000022</v>
      </c>
      <c r="U2332" s="154">
        <f t="shared" si="187"/>
        <v>3.5390404397824153</v>
      </c>
    </row>
    <row r="2333" spans="1:21" x14ac:dyDescent="0.35">
      <c r="A2333" s="108">
        <v>3188</v>
      </c>
      <c r="B2333" s="108">
        <v>2013</v>
      </c>
      <c r="C2333" s="108" t="s">
        <v>38</v>
      </c>
      <c r="D2333" s="108" t="s">
        <v>143</v>
      </c>
      <c r="E2333" s="108" t="s">
        <v>10</v>
      </c>
      <c r="F2333" s="116">
        <v>826</v>
      </c>
      <c r="G2333" s="108" t="s">
        <v>59</v>
      </c>
      <c r="H2333" s="108" t="str">
        <f t="shared" si="184"/>
        <v>Cascade River</v>
      </c>
      <c r="I2333" s="108" t="str">
        <f>IFERROR(VLOOKUP(H2333,LUTs!$A$1:$C$73,2,FALSE),"NA")</f>
        <v>Skagit</v>
      </c>
      <c r="J2333" s="108" t="str">
        <f>IFERROR(VLOOKUP(H2333,LUTs!$A$1:$C$73,3,FALSE),"NA")</f>
        <v>1North Puget Sound</v>
      </c>
      <c r="K2333" s="108" t="s">
        <v>30</v>
      </c>
      <c r="L2333" s="108" t="str">
        <f>VLOOKUP(K2333,LUTs!E$2:G$14,3,)</f>
        <v>05San Juan</v>
      </c>
      <c r="M2333" s="108" t="str">
        <f>VLOOKUP($K2333,LUTs!$E$2:$H$14,2,)</f>
        <v>North Puget Sound</v>
      </c>
      <c r="N2333" s="108" t="str">
        <f>VLOOKUP($K2333,LUTs!$E$2:$H$14,4,)</f>
        <v>01North Puget Sound</v>
      </c>
      <c r="O2333" s="108">
        <v>53.4984520123839</v>
      </c>
      <c r="P2333" s="108">
        <v>184.034674922601</v>
      </c>
      <c r="Q2333" s="108">
        <f>SUMIFS('FW_Salmon_by_Month_2010-2021'!P$2:P$3810,'FW_Salmon_by_Month_2010-2021'!$B$2:$B$3810,'Rec_raw_catch_effort_2010-2021'!$B2333,'FW_Salmon_by_Month_2010-2021'!$H$2:$H$3810,'Rec_raw_catch_effort_2010-2021'!$F2333,'FW_Salmon_by_Month_2010-2021'!$M$2:$M$3810,'Rec_raw_catch_effort_2010-2021'!$K2333)</f>
        <v>54.200956937799099</v>
      </c>
      <c r="R2333" s="109">
        <f>VLOOKUP(B2333,Readme!$A$62:$C$74,2,)*Q2333</f>
        <v>191.81937847777627</v>
      </c>
      <c r="S2333" s="140" t="str">
        <f t="shared" si="185"/>
        <v>Y</v>
      </c>
      <c r="T2333" s="154">
        <f t="shared" si="186"/>
        <v>3.4400000000000071</v>
      </c>
      <c r="U2333" s="154">
        <f t="shared" si="187"/>
        <v>3.5390404397824153</v>
      </c>
    </row>
    <row r="2334" spans="1:21" x14ac:dyDescent="0.35">
      <c r="A2334" s="108">
        <v>3082</v>
      </c>
      <c r="B2334" s="108">
        <v>2013</v>
      </c>
      <c r="C2334" s="108" t="s">
        <v>38</v>
      </c>
      <c r="D2334" s="108" t="s">
        <v>143</v>
      </c>
      <c r="E2334" s="108" t="s">
        <v>10</v>
      </c>
      <c r="F2334" s="116">
        <v>826</v>
      </c>
      <c r="G2334" s="108" t="s">
        <v>59</v>
      </c>
      <c r="H2334" s="108" t="str">
        <f t="shared" si="184"/>
        <v>Cascade River</v>
      </c>
      <c r="I2334" s="108" t="str">
        <f>IFERROR(VLOOKUP(H2334,LUTs!$A$1:$C$73,2,FALSE),"NA")</f>
        <v>Skagit</v>
      </c>
      <c r="J2334" s="108" t="str">
        <f>IFERROR(VLOOKUP(H2334,LUTs!$A$1:$C$73,3,FALSE),"NA")</f>
        <v>1North Puget Sound</v>
      </c>
      <c r="K2334" s="108" t="s">
        <v>15</v>
      </c>
      <c r="L2334" s="108" t="str">
        <f>VLOOKUP(K2334,LUTs!E$2:G$14,3,)</f>
        <v>02Skagit</v>
      </c>
      <c r="M2334" s="108" t="str">
        <f>VLOOKUP($K2334,LUTs!$E$2:$H$14,2,)</f>
        <v>North Puget Sound</v>
      </c>
      <c r="N2334" s="108" t="str">
        <f>VLOOKUP($K2334,LUTs!$E$2:$H$14,4,)</f>
        <v>01North Puget Sound</v>
      </c>
      <c r="O2334" s="108">
        <v>989.72136222910206</v>
      </c>
      <c r="P2334" s="108">
        <v>3404.6414860681102</v>
      </c>
      <c r="Q2334" s="108">
        <f>SUMIFS('FW_Salmon_by_Month_2010-2021'!P$2:P$3810,'FW_Salmon_by_Month_2010-2021'!$B$2:$B$3810,'Rec_raw_catch_effort_2010-2021'!$B2334,'FW_Salmon_by_Month_2010-2021'!$H$2:$H$3810,'Rec_raw_catch_effort_2010-2021'!$F2334,'FW_Salmon_by_Month_2010-2021'!$M$2:$M$3810,'Rec_raw_catch_effort_2010-2021'!$K2334)</f>
        <v>1002.4127141863988</v>
      </c>
      <c r="R2334" s="109">
        <f>VLOOKUP(B2334,Readme!$A$62:$C$74,2,)*Q2334</f>
        <v>3547.5791328577175</v>
      </c>
      <c r="S2334" s="140" t="str">
        <f t="shared" si="185"/>
        <v>Y</v>
      </c>
      <c r="T2334" s="154">
        <f t="shared" si="186"/>
        <v>3.4399999999999991</v>
      </c>
      <c r="U2334" s="154">
        <f t="shared" si="187"/>
        <v>3.5390404397824153</v>
      </c>
    </row>
    <row r="2335" spans="1:21" x14ac:dyDescent="0.35">
      <c r="A2335" s="108">
        <v>3083</v>
      </c>
      <c r="B2335" s="108">
        <v>2013</v>
      </c>
      <c r="C2335" s="108" t="s">
        <v>38</v>
      </c>
      <c r="D2335" s="108" t="s">
        <v>143</v>
      </c>
      <c r="E2335" s="108" t="s">
        <v>10</v>
      </c>
      <c r="F2335" s="116">
        <v>826</v>
      </c>
      <c r="G2335" s="108" t="s">
        <v>59</v>
      </c>
      <c r="H2335" s="108" t="str">
        <f t="shared" si="184"/>
        <v>Cascade River</v>
      </c>
      <c r="I2335" s="108" t="str">
        <f>IFERROR(VLOOKUP(H2335,LUTs!$A$1:$C$73,2,FALSE),"NA")</f>
        <v>Skagit</v>
      </c>
      <c r="J2335" s="108" t="str">
        <f>IFERROR(VLOOKUP(H2335,LUTs!$A$1:$C$73,3,FALSE),"NA")</f>
        <v>1North Puget Sound</v>
      </c>
      <c r="K2335" s="108" t="s">
        <v>16</v>
      </c>
      <c r="L2335" s="108" t="str">
        <f>VLOOKUP(K2335,LUTs!E$2:G$14,3,)</f>
        <v>03Snohomish</v>
      </c>
      <c r="M2335" s="108" t="str">
        <f>VLOOKUP($K2335,LUTs!$E$2:$H$14,2,)</f>
        <v>North Puget Sound</v>
      </c>
      <c r="N2335" s="108" t="str">
        <f>VLOOKUP($K2335,LUTs!$E$2:$H$14,4,)</f>
        <v>01North Puget Sound</v>
      </c>
      <c r="O2335" s="108">
        <v>936.22291021671799</v>
      </c>
      <c r="P2335" s="108">
        <v>3220.6068111455102</v>
      </c>
      <c r="Q2335" s="108">
        <f>SUMIFS('FW_Salmon_by_Month_2010-2021'!P$2:P$3810,'FW_Salmon_by_Month_2010-2021'!$B$2:$B$3810,'Rec_raw_catch_effort_2010-2021'!$B2335,'FW_Salmon_by_Month_2010-2021'!$H$2:$H$3810,'Rec_raw_catch_effort_2010-2021'!$F2335,'FW_Salmon_by_Month_2010-2021'!$M$2:$M$3810,'Rec_raw_catch_effort_2010-2021'!$K2335)</f>
        <v>911.77734633787247</v>
      </c>
      <c r="R2335" s="109">
        <f>VLOOKUP(B2335,Readme!$A$62:$C$74,2,)*Q2335</f>
        <v>3226.8169007672277</v>
      </c>
      <c r="S2335" s="140" t="str">
        <f t="shared" si="185"/>
        <v>Y</v>
      </c>
      <c r="T2335" s="154">
        <f t="shared" si="186"/>
        <v>3.4400000000000004</v>
      </c>
      <c r="U2335" s="154">
        <f t="shared" si="187"/>
        <v>3.5390404397824153</v>
      </c>
    </row>
    <row r="2336" spans="1:21" x14ac:dyDescent="0.35">
      <c r="A2336" s="108">
        <v>3081</v>
      </c>
      <c r="B2336" s="108">
        <v>2013</v>
      </c>
      <c r="C2336" s="108" t="s">
        <v>38</v>
      </c>
      <c r="D2336" s="108" t="s">
        <v>143</v>
      </c>
      <c r="E2336" s="108" t="s">
        <v>10</v>
      </c>
      <c r="F2336" s="116">
        <v>826</v>
      </c>
      <c r="G2336" s="108" t="s">
        <v>59</v>
      </c>
      <c r="H2336" s="108" t="str">
        <f t="shared" si="184"/>
        <v>Cascade River</v>
      </c>
      <c r="I2336" s="108" t="str">
        <f>IFERROR(VLOOKUP(H2336,LUTs!$A$1:$C$73,2,FALSE),"NA")</f>
        <v>Skagit</v>
      </c>
      <c r="J2336" s="108" t="str">
        <f>IFERROR(VLOOKUP(H2336,LUTs!$A$1:$C$73,3,FALSE),"NA")</f>
        <v>1North Puget Sound</v>
      </c>
      <c r="K2336" s="108" t="s">
        <v>13</v>
      </c>
      <c r="L2336" s="108" t="str">
        <f>VLOOKUP(K2336,LUTs!E$2:G$14,3,)</f>
        <v>01Whatcom</v>
      </c>
      <c r="M2336" s="108" t="str">
        <f>VLOOKUP($K2336,LUTs!$E$2:$H$14,2,)</f>
        <v>North Puget Sound</v>
      </c>
      <c r="N2336" s="108" t="str">
        <f>VLOOKUP($K2336,LUTs!$E$2:$H$14,4,)</f>
        <v>01North Puget Sound</v>
      </c>
      <c r="O2336" s="108">
        <v>472.56965944272503</v>
      </c>
      <c r="P2336" s="108">
        <v>1625.63962848297</v>
      </c>
      <c r="Q2336" s="108">
        <f>SUMIFS('FW_Salmon_by_Month_2010-2021'!P$2:P$3810,'FW_Salmon_by_Month_2010-2021'!$B$2:$B$3810,'Rec_raw_catch_effort_2010-2021'!$B2336,'FW_Salmon_by_Month_2010-2021'!$H$2:$H$3810,'Rec_raw_catch_effort_2010-2021'!$F2336,'FW_Salmon_by_Month_2010-2021'!$M$2:$M$3810,'Rec_raw_catch_effort_2010-2021'!$K2336)</f>
        <v>478.02038604670162</v>
      </c>
      <c r="R2336" s="109">
        <f>VLOOKUP(B2336,Readme!$A$62:$C$74,2,)*Q2336</f>
        <v>1691.7334772596789</v>
      </c>
      <c r="S2336" s="140" t="str">
        <f t="shared" si="185"/>
        <v>Y</v>
      </c>
      <c r="T2336" s="154">
        <f t="shared" si="186"/>
        <v>3.4399999999999915</v>
      </c>
      <c r="U2336" s="154">
        <f t="shared" si="187"/>
        <v>3.5390404397824153</v>
      </c>
    </row>
    <row r="2337" spans="1:21" x14ac:dyDescent="0.35">
      <c r="A2337" s="108">
        <v>3395</v>
      </c>
      <c r="B2337" s="108">
        <v>2014</v>
      </c>
      <c r="C2337" s="108" t="s">
        <v>38</v>
      </c>
      <c r="D2337" s="108" t="s">
        <v>143</v>
      </c>
      <c r="E2337" s="108" t="s">
        <v>10</v>
      </c>
      <c r="F2337" s="116">
        <v>826</v>
      </c>
      <c r="G2337" s="108" t="s">
        <v>59</v>
      </c>
      <c r="H2337" s="108" t="str">
        <f t="shared" si="184"/>
        <v>Cascade River</v>
      </c>
      <c r="I2337" s="108" t="str">
        <f>IFERROR(VLOOKUP(H2337,LUTs!$A$1:$C$73,2,FALSE),"NA")</f>
        <v>Skagit</v>
      </c>
      <c r="J2337" s="108" t="str">
        <f>IFERROR(VLOOKUP(H2337,LUTs!$A$1:$C$73,3,FALSE),"NA")</f>
        <v>1North Puget Sound</v>
      </c>
      <c r="K2337" s="108" t="s">
        <v>17</v>
      </c>
      <c r="L2337" s="108" t="str">
        <f>VLOOKUP(K2337,LUTs!E$2:G$14,3,)</f>
        <v>04Island</v>
      </c>
      <c r="M2337" s="108" t="str">
        <f>VLOOKUP($K2337,LUTs!$E$2:$H$14,2,)</f>
        <v>North Puget Sound</v>
      </c>
      <c r="N2337" s="108" t="str">
        <f>VLOOKUP($K2337,LUTs!$E$2:$H$14,4,)</f>
        <v>01North Puget Sound</v>
      </c>
      <c r="O2337" s="108">
        <v>35.865384615384599</v>
      </c>
      <c r="P2337" s="108">
        <v>310.23557692307702</v>
      </c>
      <c r="Q2337" s="108">
        <f>SUMIFS('FW_Salmon_by_Month_2010-2021'!P$2:P$3810,'FW_Salmon_by_Month_2010-2021'!$B$2:$B$3810,'Rec_raw_catch_effort_2010-2021'!$B2337,'FW_Salmon_by_Month_2010-2021'!$H$2:$H$3810,'Rec_raw_catch_effort_2010-2021'!$F2337,'FW_Salmon_by_Month_2010-2021'!$M$2:$M$3810,'Rec_raw_catch_effort_2010-2021'!$K2337)</f>
        <v>35.9027777777778</v>
      </c>
      <c r="R2337" s="109">
        <f>VLOOKUP(B2337,Readme!$A$62:$C$74,2,)*Q2337</f>
        <v>173.03540871017572</v>
      </c>
      <c r="S2337" s="140" t="str">
        <f t="shared" si="185"/>
        <v>Y</v>
      </c>
      <c r="T2337" s="154">
        <f t="shared" si="186"/>
        <v>8.6500000000000075</v>
      </c>
      <c r="U2337" s="154">
        <f t="shared" si="187"/>
        <v>4.8195549041132084</v>
      </c>
    </row>
    <row r="2338" spans="1:21" x14ac:dyDescent="0.35">
      <c r="A2338" s="108">
        <v>3396</v>
      </c>
      <c r="B2338" s="108">
        <v>2014</v>
      </c>
      <c r="C2338" s="108" t="s">
        <v>38</v>
      </c>
      <c r="D2338" s="108" t="s">
        <v>143</v>
      </c>
      <c r="E2338" s="108" t="s">
        <v>10</v>
      </c>
      <c r="F2338" s="116">
        <v>826</v>
      </c>
      <c r="G2338" s="108" t="s">
        <v>59</v>
      </c>
      <c r="H2338" s="108" t="str">
        <f t="shared" si="184"/>
        <v>Cascade River</v>
      </c>
      <c r="I2338" s="108" t="str">
        <f>IFERROR(VLOOKUP(H2338,LUTs!$A$1:$C$73,2,FALSE),"NA")</f>
        <v>Skagit</v>
      </c>
      <c r="J2338" s="108" t="str">
        <f>IFERROR(VLOOKUP(H2338,LUTs!$A$1:$C$73,3,FALSE),"NA")</f>
        <v>1North Puget Sound</v>
      </c>
      <c r="K2338" s="108" t="s">
        <v>18</v>
      </c>
      <c r="L2338" s="108" t="str">
        <f>VLOOKUP(K2338,LUTs!E$2:G$14,3,)</f>
        <v>06King</v>
      </c>
      <c r="M2338" s="108" t="str">
        <f>VLOOKUP($K2338,LUTs!$E$2:$H$14,2,)</f>
        <v>South Puget Sound</v>
      </c>
      <c r="N2338" s="108" t="str">
        <f>VLOOKUP($K2338,LUTs!$E$2:$H$14,4,)</f>
        <v>02South Puget Sound</v>
      </c>
      <c r="O2338" s="108">
        <v>57.384615384615401</v>
      </c>
      <c r="P2338" s="108">
        <v>496.37692307692299</v>
      </c>
      <c r="Q2338" s="108">
        <f>SUMIFS('FW_Salmon_by_Month_2010-2021'!P$2:P$3810,'FW_Salmon_by_Month_2010-2021'!$B$2:$B$3810,'Rec_raw_catch_effort_2010-2021'!$B2338,'FW_Salmon_by_Month_2010-2021'!$H$2:$H$3810,'Rec_raw_catch_effort_2010-2021'!$F2338,'FW_Salmon_by_Month_2010-2021'!$M$2:$M$3810,'Rec_raw_catch_effort_2010-2021'!$K2338)</f>
        <v>57.4444444444445</v>
      </c>
      <c r="R2338" s="109">
        <f>VLOOKUP(B2338,Readme!$A$62:$C$74,2,)*Q2338</f>
        <v>276.85665393628125</v>
      </c>
      <c r="S2338" s="140" t="str">
        <f t="shared" si="185"/>
        <v>Y</v>
      </c>
      <c r="T2338" s="154">
        <f t="shared" si="186"/>
        <v>8.6499999999999968</v>
      </c>
      <c r="U2338" s="154">
        <f t="shared" si="187"/>
        <v>4.8195549041132084</v>
      </c>
    </row>
    <row r="2339" spans="1:21" x14ac:dyDescent="0.35">
      <c r="A2339" s="108">
        <v>3397</v>
      </c>
      <c r="B2339" s="108">
        <v>2014</v>
      </c>
      <c r="C2339" s="108" t="s">
        <v>38</v>
      </c>
      <c r="D2339" s="108" t="s">
        <v>143</v>
      </c>
      <c r="E2339" s="108" t="s">
        <v>10</v>
      </c>
      <c r="F2339" s="116">
        <v>826</v>
      </c>
      <c r="G2339" s="108" t="s">
        <v>59</v>
      </c>
      <c r="H2339" s="108" t="str">
        <f t="shared" si="184"/>
        <v>Cascade River</v>
      </c>
      <c r="I2339" s="108" t="str">
        <f>IFERROR(VLOOKUP(H2339,LUTs!$A$1:$C$73,2,FALSE),"NA")</f>
        <v>Skagit</v>
      </c>
      <c r="J2339" s="108" t="str">
        <f>IFERROR(VLOOKUP(H2339,LUTs!$A$1:$C$73,3,FALSE),"NA")</f>
        <v>1North Puget Sound</v>
      </c>
      <c r="K2339" s="108" t="s">
        <v>26</v>
      </c>
      <c r="L2339" s="108" t="str">
        <f>VLOOKUP(K2339,LUTs!E$2:G$14,3,)</f>
        <v>20Other</v>
      </c>
      <c r="M2339" s="108" t="str">
        <f>VLOOKUP($K2339,LUTs!$E$2:$H$14,2,)</f>
        <v>Non Puget Sound</v>
      </c>
      <c r="N2339" s="108" t="str">
        <f>VLOOKUP($K2339,LUTs!$E$2:$H$14,4,)</f>
        <v>07Non Puget Sound</v>
      </c>
      <c r="O2339" s="108">
        <v>50.211538461538503</v>
      </c>
      <c r="P2339" s="108">
        <v>434.32980769230801</v>
      </c>
      <c r="Q2339" s="108">
        <f>SUMIFS('FW_Salmon_by_Month_2010-2021'!P$2:P$3810,'FW_Salmon_by_Month_2010-2021'!$B$2:$B$3810,'Rec_raw_catch_effort_2010-2021'!$B2339,'FW_Salmon_by_Month_2010-2021'!$H$2:$H$3810,'Rec_raw_catch_effort_2010-2021'!$F2339,'FW_Salmon_by_Month_2010-2021'!$M$2:$M$3810,'Rec_raw_catch_effort_2010-2021'!$K2339)</f>
        <v>50.2708333333333</v>
      </c>
      <c r="R2339" s="109">
        <f>VLOOKUP(B2339,Readme!$A$62:$C$74,2,)*Q2339</f>
        <v>242.28304132552427</v>
      </c>
      <c r="S2339" s="140" t="str">
        <f t="shared" si="185"/>
        <v>Y</v>
      </c>
      <c r="T2339" s="154">
        <f t="shared" si="186"/>
        <v>8.6499999999999986</v>
      </c>
      <c r="U2339" s="154">
        <f t="shared" si="187"/>
        <v>4.8195549041132084</v>
      </c>
    </row>
    <row r="2340" spans="1:21" x14ac:dyDescent="0.35">
      <c r="A2340" s="108">
        <v>3297</v>
      </c>
      <c r="B2340" s="108">
        <v>2014</v>
      </c>
      <c r="C2340" s="108" t="s">
        <v>38</v>
      </c>
      <c r="D2340" s="108" t="s">
        <v>143</v>
      </c>
      <c r="E2340" s="108" t="s">
        <v>10</v>
      </c>
      <c r="F2340" s="116">
        <v>826</v>
      </c>
      <c r="G2340" s="108" t="s">
        <v>59</v>
      </c>
      <c r="H2340" s="108" t="str">
        <f t="shared" si="184"/>
        <v>Cascade River</v>
      </c>
      <c r="I2340" s="108" t="str">
        <f>IFERROR(VLOOKUP(H2340,LUTs!$A$1:$C$73,2,FALSE),"NA")</f>
        <v>Skagit</v>
      </c>
      <c r="J2340" s="108" t="str">
        <f>IFERROR(VLOOKUP(H2340,LUTs!$A$1:$C$73,3,FALSE),"NA")</f>
        <v>1North Puget Sound</v>
      </c>
      <c r="K2340" s="108" t="s">
        <v>15</v>
      </c>
      <c r="L2340" s="108" t="str">
        <f>VLOOKUP(K2340,LUTs!E$2:G$14,3,)</f>
        <v>02Skagit</v>
      </c>
      <c r="M2340" s="108" t="str">
        <f>VLOOKUP($K2340,LUTs!$E$2:$H$14,2,)</f>
        <v>North Puget Sound</v>
      </c>
      <c r="N2340" s="108" t="str">
        <f>VLOOKUP($K2340,LUTs!$E$2:$H$14,4,)</f>
        <v>01North Puget Sound</v>
      </c>
      <c r="O2340" s="108">
        <v>222.36538461538501</v>
      </c>
      <c r="P2340" s="108">
        <v>1923.46057692308</v>
      </c>
      <c r="Q2340" s="108">
        <f>SUMIFS('FW_Salmon_by_Month_2010-2021'!P$2:P$3810,'FW_Salmon_by_Month_2010-2021'!$B$2:$B$3810,'Rec_raw_catch_effort_2010-2021'!$B2340,'FW_Salmon_by_Month_2010-2021'!$H$2:$H$3810,'Rec_raw_catch_effort_2010-2021'!$F2340,'FW_Salmon_by_Month_2010-2021'!$M$2:$M$3810,'Rec_raw_catch_effort_2010-2021'!$K2340)</f>
        <v>222.40277777777766</v>
      </c>
      <c r="R2340" s="109">
        <f>VLOOKUP(B2340,Readme!$A$62:$C$74,2,)*Q2340</f>
        <v>1071.8823983272885</v>
      </c>
      <c r="S2340" s="140" t="str">
        <f t="shared" si="185"/>
        <v>Y</v>
      </c>
      <c r="T2340" s="154">
        <f t="shared" si="186"/>
        <v>8.6499999999999986</v>
      </c>
      <c r="U2340" s="154">
        <f t="shared" si="187"/>
        <v>4.8195549041132084</v>
      </c>
    </row>
    <row r="2341" spans="1:21" x14ac:dyDescent="0.35">
      <c r="A2341" s="108">
        <v>3394</v>
      </c>
      <c r="B2341" s="108">
        <v>2014</v>
      </c>
      <c r="C2341" s="108" t="s">
        <v>38</v>
      </c>
      <c r="D2341" s="108" t="s">
        <v>143</v>
      </c>
      <c r="E2341" s="108" t="s">
        <v>10</v>
      </c>
      <c r="F2341" s="116">
        <v>826</v>
      </c>
      <c r="G2341" s="108" t="s">
        <v>59</v>
      </c>
      <c r="H2341" s="108" t="str">
        <f t="shared" si="184"/>
        <v>Cascade River</v>
      </c>
      <c r="I2341" s="108" t="str">
        <f>IFERROR(VLOOKUP(H2341,LUTs!$A$1:$C$73,2,FALSE),"NA")</f>
        <v>Skagit</v>
      </c>
      <c r="J2341" s="108" t="str">
        <f>IFERROR(VLOOKUP(H2341,LUTs!$A$1:$C$73,3,FALSE),"NA")</f>
        <v>1North Puget Sound</v>
      </c>
      <c r="K2341" s="108" t="s">
        <v>16</v>
      </c>
      <c r="L2341" s="108" t="str">
        <f>VLOOKUP(K2341,LUTs!E$2:G$14,3,)</f>
        <v>03Snohomish</v>
      </c>
      <c r="M2341" s="108" t="str">
        <f>VLOOKUP($K2341,LUTs!$E$2:$H$14,2,)</f>
        <v>North Puget Sound</v>
      </c>
      <c r="N2341" s="108" t="str">
        <f>VLOOKUP($K2341,LUTs!$E$2:$H$14,4,)</f>
        <v>01North Puget Sound</v>
      </c>
      <c r="O2341" s="108">
        <v>373</v>
      </c>
      <c r="P2341" s="108">
        <v>3226.45</v>
      </c>
      <c r="Q2341" s="108">
        <f>SUMIFS('FW_Salmon_by_Month_2010-2021'!P$2:P$3810,'FW_Salmon_by_Month_2010-2021'!$B$2:$B$3810,'Rec_raw_catch_effort_2010-2021'!$B2341,'FW_Salmon_by_Month_2010-2021'!$H$2:$H$3810,'Rec_raw_catch_effort_2010-2021'!$F2341,'FW_Salmon_by_Month_2010-2021'!$M$2:$M$3810,'Rec_raw_catch_effort_2010-2021'!$K2341)</f>
        <v>372.81249999999972</v>
      </c>
      <c r="R2341" s="109">
        <f>VLOOKUP(B2341,Readme!$A$62:$C$74,2,)*Q2341</f>
        <v>1796.7903126897043</v>
      </c>
      <c r="S2341" s="140" t="str">
        <f t="shared" si="185"/>
        <v>Y</v>
      </c>
      <c r="T2341" s="154">
        <f t="shared" si="186"/>
        <v>8.65</v>
      </c>
      <c r="U2341" s="154">
        <f t="shared" si="187"/>
        <v>4.8195549041132084</v>
      </c>
    </row>
    <row r="2342" spans="1:21" x14ac:dyDescent="0.35">
      <c r="A2342" s="108">
        <v>3296</v>
      </c>
      <c r="B2342" s="108">
        <v>2014</v>
      </c>
      <c r="C2342" s="108" t="s">
        <v>38</v>
      </c>
      <c r="D2342" s="108" t="s">
        <v>143</v>
      </c>
      <c r="E2342" s="108" t="s">
        <v>10</v>
      </c>
      <c r="F2342" s="116">
        <v>826</v>
      </c>
      <c r="G2342" s="108" t="s">
        <v>59</v>
      </c>
      <c r="H2342" s="108" t="str">
        <f t="shared" si="184"/>
        <v>Cascade River</v>
      </c>
      <c r="I2342" s="108" t="str">
        <f>IFERROR(VLOOKUP(H2342,LUTs!$A$1:$C$73,2,FALSE),"NA")</f>
        <v>Skagit</v>
      </c>
      <c r="J2342" s="108" t="str">
        <f>IFERROR(VLOOKUP(H2342,LUTs!$A$1:$C$73,3,FALSE),"NA")</f>
        <v>1North Puget Sound</v>
      </c>
      <c r="K2342" s="108" t="s">
        <v>13</v>
      </c>
      <c r="L2342" s="108" t="str">
        <f>VLOOKUP(K2342,LUTs!E$2:G$14,3,)</f>
        <v>01Whatcom</v>
      </c>
      <c r="M2342" s="108" t="str">
        <f>VLOOKUP($K2342,LUTs!$E$2:$H$14,2,)</f>
        <v>North Puget Sound</v>
      </c>
      <c r="N2342" s="108" t="str">
        <f>VLOOKUP($K2342,LUTs!$E$2:$H$14,4,)</f>
        <v>01North Puget Sound</v>
      </c>
      <c r="O2342" s="108">
        <v>7.1730769230769296</v>
      </c>
      <c r="P2342" s="108">
        <v>62.047115384615402</v>
      </c>
      <c r="Q2342" s="108">
        <f>SUMIFS('FW_Salmon_by_Month_2010-2021'!P$2:P$3810,'FW_Salmon_by_Month_2010-2021'!$B$2:$B$3810,'Rec_raw_catch_effort_2010-2021'!$B2342,'FW_Salmon_by_Month_2010-2021'!$H$2:$H$3810,'Rec_raw_catch_effort_2010-2021'!$F2342,'FW_Salmon_by_Month_2010-2021'!$M$2:$M$3810,'Rec_raw_catch_effort_2010-2021'!$K2342)</f>
        <v>7.1666666666666696</v>
      </c>
      <c r="R2342" s="109">
        <f>VLOOKUP(B2342,Readme!$A$62:$C$74,2,)*Q2342</f>
        <v>34.540143479478004</v>
      </c>
      <c r="S2342" s="140" t="str">
        <f t="shared" si="185"/>
        <v>Y</v>
      </c>
      <c r="T2342" s="154">
        <f t="shared" si="186"/>
        <v>8.649999999999995</v>
      </c>
      <c r="U2342" s="154">
        <f t="shared" si="187"/>
        <v>4.8195549041132075</v>
      </c>
    </row>
    <row r="2343" spans="1:21" x14ac:dyDescent="0.35">
      <c r="A2343" s="108">
        <v>3558</v>
      </c>
      <c r="B2343" s="108">
        <v>2015</v>
      </c>
      <c r="C2343" s="108" t="s">
        <v>38</v>
      </c>
      <c r="D2343" s="108" t="s">
        <v>143</v>
      </c>
      <c r="E2343" s="108" t="s">
        <v>10</v>
      </c>
      <c r="F2343" s="116">
        <v>826</v>
      </c>
      <c r="G2343" s="108" t="s">
        <v>59</v>
      </c>
      <c r="H2343" s="108" t="str">
        <f t="shared" si="184"/>
        <v>Cascade River</v>
      </c>
      <c r="I2343" s="108" t="str">
        <f>IFERROR(VLOOKUP(H2343,LUTs!$A$1:$C$73,2,FALSE),"NA")</f>
        <v>Skagit</v>
      </c>
      <c r="J2343" s="108" t="str">
        <f>IFERROR(VLOOKUP(H2343,LUTs!$A$1:$C$73,3,FALSE),"NA")</f>
        <v>1North Puget Sound</v>
      </c>
      <c r="K2343" s="108" t="s">
        <v>17</v>
      </c>
      <c r="L2343" s="108" t="str">
        <f>VLOOKUP(K2343,LUTs!E$2:G$14,3,)</f>
        <v>04Island</v>
      </c>
      <c r="M2343" s="108" t="str">
        <f>VLOOKUP($K2343,LUTs!$E$2:$H$14,2,)</f>
        <v>North Puget Sound</v>
      </c>
      <c r="N2343" s="108" t="str">
        <f>VLOOKUP($K2343,LUTs!$E$2:$H$14,4,)</f>
        <v>01North Puget Sound</v>
      </c>
      <c r="O2343" s="108">
        <v>96.847826086956601</v>
      </c>
      <c r="P2343" s="108">
        <v>333.15652173913099</v>
      </c>
      <c r="Q2343" s="108">
        <f>SUMIFS('FW_Salmon_by_Month_2010-2021'!P$2:P$3810,'FW_Salmon_by_Month_2010-2021'!$B$2:$B$3810,'Rec_raw_catch_effort_2010-2021'!$B2343,'FW_Salmon_by_Month_2010-2021'!$H$2:$H$3810,'Rec_raw_catch_effort_2010-2021'!$F2343,'FW_Salmon_by_Month_2010-2021'!$M$2:$M$3810,'Rec_raw_catch_effort_2010-2021'!$K2343)</f>
        <v>96.684210526315795</v>
      </c>
      <c r="R2343" s="109">
        <f>VLOOKUP(B2343,Readme!$A$62:$C$74,2,)*Q2343</f>
        <v>342.16933094106827</v>
      </c>
      <c r="S2343" s="140" t="str">
        <f t="shared" si="185"/>
        <v>Y</v>
      </c>
      <c r="T2343" s="154">
        <f t="shared" si="186"/>
        <v>3.4400000000000031</v>
      </c>
      <c r="U2343" s="154">
        <f t="shared" si="187"/>
        <v>3.5390404397824153</v>
      </c>
    </row>
    <row r="2344" spans="1:21" x14ac:dyDescent="0.35">
      <c r="A2344" s="108">
        <v>3613</v>
      </c>
      <c r="B2344" s="108">
        <v>2015</v>
      </c>
      <c r="C2344" s="108" t="s">
        <v>38</v>
      </c>
      <c r="D2344" s="108" t="s">
        <v>143</v>
      </c>
      <c r="E2344" s="108" t="s">
        <v>10</v>
      </c>
      <c r="F2344" s="116">
        <v>826</v>
      </c>
      <c r="G2344" s="108" t="s">
        <v>59</v>
      </c>
      <c r="H2344" s="108" t="str">
        <f t="shared" si="184"/>
        <v>Cascade River</v>
      </c>
      <c r="I2344" s="108" t="str">
        <f>IFERROR(VLOOKUP(H2344,LUTs!$A$1:$C$73,2,FALSE),"NA")</f>
        <v>Skagit</v>
      </c>
      <c r="J2344" s="108" t="str">
        <f>IFERROR(VLOOKUP(H2344,LUTs!$A$1:$C$73,3,FALSE),"NA")</f>
        <v>1North Puget Sound</v>
      </c>
      <c r="K2344" s="108" t="s">
        <v>18</v>
      </c>
      <c r="L2344" s="108" t="str">
        <f>VLOOKUP(K2344,LUTs!E$2:G$14,3,)</f>
        <v>06King</v>
      </c>
      <c r="M2344" s="108" t="str">
        <f>VLOOKUP($K2344,LUTs!$E$2:$H$14,2,)</f>
        <v>South Puget Sound</v>
      </c>
      <c r="N2344" s="108" t="str">
        <f>VLOOKUP($K2344,LUTs!$E$2:$H$14,4,)</f>
        <v>02South Puget Sound</v>
      </c>
      <c r="O2344" s="108">
        <v>26.413043478260899</v>
      </c>
      <c r="P2344" s="108">
        <v>90.860869565217499</v>
      </c>
      <c r="Q2344" s="108">
        <f>SUMIFS('FW_Salmon_by_Month_2010-2021'!P$2:P$3810,'FW_Salmon_by_Month_2010-2021'!$B$2:$B$3810,'Rec_raw_catch_effort_2010-2021'!$B2344,'FW_Salmon_by_Month_2010-2021'!$H$2:$H$3810,'Rec_raw_catch_effort_2010-2021'!$F2344,'FW_Salmon_by_Month_2010-2021'!$M$2:$M$3810,'Rec_raw_catch_effort_2010-2021'!$K2344)</f>
        <v>26.3684210526316</v>
      </c>
      <c r="R2344" s="109">
        <f>VLOOKUP(B2344,Readme!$A$62:$C$74,2,)*Q2344</f>
        <v>93.318908438473244</v>
      </c>
      <c r="S2344" s="140" t="str">
        <f t="shared" si="185"/>
        <v>Y</v>
      </c>
      <c r="T2344" s="154">
        <f t="shared" si="186"/>
        <v>3.4400000000000004</v>
      </c>
      <c r="U2344" s="154">
        <f t="shared" si="187"/>
        <v>3.5390404397824158</v>
      </c>
    </row>
    <row r="2345" spans="1:21" x14ac:dyDescent="0.35">
      <c r="A2345" s="108">
        <v>3556</v>
      </c>
      <c r="B2345" s="108">
        <v>2015</v>
      </c>
      <c r="C2345" s="108" t="s">
        <v>38</v>
      </c>
      <c r="D2345" s="108" t="s">
        <v>143</v>
      </c>
      <c r="E2345" s="108" t="s">
        <v>10</v>
      </c>
      <c r="F2345" s="116">
        <v>826</v>
      </c>
      <c r="G2345" s="108" t="s">
        <v>59</v>
      </c>
      <c r="H2345" s="108" t="str">
        <f t="shared" si="184"/>
        <v>Cascade River</v>
      </c>
      <c r="I2345" s="108" t="str">
        <f>IFERROR(VLOOKUP(H2345,LUTs!$A$1:$C$73,2,FALSE),"NA")</f>
        <v>Skagit</v>
      </c>
      <c r="J2345" s="108" t="str">
        <f>IFERROR(VLOOKUP(H2345,LUTs!$A$1:$C$73,3,FALSE),"NA")</f>
        <v>1North Puget Sound</v>
      </c>
      <c r="K2345" s="108" t="s">
        <v>15</v>
      </c>
      <c r="L2345" s="108" t="str">
        <f>VLOOKUP(K2345,LUTs!E$2:G$14,3,)</f>
        <v>02Skagit</v>
      </c>
      <c r="M2345" s="108" t="str">
        <f>VLOOKUP($K2345,LUTs!$E$2:$H$14,2,)</f>
        <v>North Puget Sound</v>
      </c>
      <c r="N2345" s="108" t="str">
        <f>VLOOKUP($K2345,LUTs!$E$2:$H$14,4,)</f>
        <v>01North Puget Sound</v>
      </c>
      <c r="O2345" s="108">
        <v>123.26086956521701</v>
      </c>
      <c r="P2345" s="108">
        <v>424.01739130434697</v>
      </c>
      <c r="Q2345" s="108">
        <f>SUMIFS('FW_Salmon_by_Month_2010-2021'!P$2:P$3810,'FW_Salmon_by_Month_2010-2021'!$B$2:$B$3810,'Rec_raw_catch_effort_2010-2021'!$B2345,'FW_Salmon_by_Month_2010-2021'!$H$2:$H$3810,'Rec_raw_catch_effort_2010-2021'!$F2345,'FW_Salmon_by_Month_2010-2021'!$M$2:$M$3810,'Rec_raw_catch_effort_2010-2021'!$K2345)</f>
        <v>123.48421052631579</v>
      </c>
      <c r="R2345" s="109">
        <f>VLOOKUP(B2345,Readme!$A$62:$C$74,2,)*Q2345</f>
        <v>437.01561472723699</v>
      </c>
      <c r="S2345" s="140" t="str">
        <f t="shared" si="185"/>
        <v>Y</v>
      </c>
      <c r="T2345" s="154">
        <f t="shared" si="186"/>
        <v>3.4400000000000039</v>
      </c>
      <c r="U2345" s="154">
        <f t="shared" si="187"/>
        <v>3.5390404397824153</v>
      </c>
    </row>
    <row r="2346" spans="1:21" x14ac:dyDescent="0.35">
      <c r="A2346" s="108">
        <v>3557</v>
      </c>
      <c r="B2346" s="108">
        <v>2015</v>
      </c>
      <c r="C2346" s="108" t="s">
        <v>38</v>
      </c>
      <c r="D2346" s="108" t="s">
        <v>143</v>
      </c>
      <c r="E2346" s="108" t="s">
        <v>10</v>
      </c>
      <c r="F2346" s="116">
        <v>826</v>
      </c>
      <c r="G2346" s="108" t="s">
        <v>59</v>
      </c>
      <c r="H2346" s="108" t="str">
        <f t="shared" ref="H2346:H2409" si="188">G2346</f>
        <v>Cascade River</v>
      </c>
      <c r="I2346" s="108" t="str">
        <f>IFERROR(VLOOKUP(H2346,LUTs!$A$1:$C$73,2,FALSE),"NA")</f>
        <v>Skagit</v>
      </c>
      <c r="J2346" s="108" t="str">
        <f>IFERROR(VLOOKUP(H2346,LUTs!$A$1:$C$73,3,FALSE),"NA")</f>
        <v>1North Puget Sound</v>
      </c>
      <c r="K2346" s="108" t="s">
        <v>16</v>
      </c>
      <c r="L2346" s="108" t="str">
        <f>VLOOKUP(K2346,LUTs!E$2:G$14,3,)</f>
        <v>03Snohomish</v>
      </c>
      <c r="M2346" s="108" t="str">
        <f>VLOOKUP($K2346,LUTs!$E$2:$H$14,2,)</f>
        <v>North Puget Sound</v>
      </c>
      <c r="N2346" s="108" t="str">
        <f>VLOOKUP($K2346,LUTs!$E$2:$H$14,4,)</f>
        <v>01North Puget Sound</v>
      </c>
      <c r="O2346" s="108">
        <v>158.47826086956499</v>
      </c>
      <c r="P2346" s="108">
        <v>545.16521739130405</v>
      </c>
      <c r="Q2346" s="108">
        <f>SUMIFS('FW_Salmon_by_Month_2010-2021'!P$2:P$3810,'FW_Salmon_by_Month_2010-2021'!$B$2:$B$3810,'Rec_raw_catch_effort_2010-2021'!$B2346,'FW_Salmon_by_Month_2010-2021'!$H$2:$H$3810,'Rec_raw_catch_effort_2010-2021'!$F2346,'FW_Salmon_by_Month_2010-2021'!$M$2:$M$3810,'Rec_raw_catch_effort_2010-2021'!$K2346)</f>
        <v>158.46315789473701</v>
      </c>
      <c r="R2346" s="109">
        <f>VLOOKUP(B2346,Readme!$A$62:$C$74,2,)*Q2346</f>
        <v>560.80752400510039</v>
      </c>
      <c r="S2346" s="140" t="str">
        <f t="shared" si="185"/>
        <v>Y</v>
      </c>
      <c r="T2346" s="154">
        <f t="shared" si="186"/>
        <v>3.4400000000000031</v>
      </c>
      <c r="U2346" s="154">
        <f t="shared" si="187"/>
        <v>3.5390404397824153</v>
      </c>
    </row>
    <row r="2347" spans="1:21" x14ac:dyDescent="0.35">
      <c r="A2347" s="108">
        <v>1299</v>
      </c>
      <c r="B2347" s="108">
        <v>2016</v>
      </c>
      <c r="C2347" s="108" t="s">
        <v>38</v>
      </c>
      <c r="D2347" s="108" t="s">
        <v>143</v>
      </c>
      <c r="E2347" s="108" t="s">
        <v>10</v>
      </c>
      <c r="F2347" s="116">
        <v>826</v>
      </c>
      <c r="G2347" s="108" t="s">
        <v>59</v>
      </c>
      <c r="H2347" s="108" t="str">
        <f t="shared" si="188"/>
        <v>Cascade River</v>
      </c>
      <c r="I2347" s="108" t="str">
        <f>IFERROR(VLOOKUP(H2347,LUTs!$A$1:$C$73,2,FALSE),"NA")</f>
        <v>Skagit</v>
      </c>
      <c r="J2347" s="108" t="str">
        <f>IFERROR(VLOOKUP(H2347,LUTs!$A$1:$C$73,3,FALSE),"NA")</f>
        <v>1North Puget Sound</v>
      </c>
      <c r="K2347" s="108" t="s">
        <v>17</v>
      </c>
      <c r="L2347" s="108" t="str">
        <f>VLOOKUP(K2347,LUTs!E$2:G$14,3,)</f>
        <v>04Island</v>
      </c>
      <c r="M2347" s="108" t="str">
        <f>VLOOKUP($K2347,LUTs!$E$2:$H$14,2,)</f>
        <v>North Puget Sound</v>
      </c>
      <c r="N2347" s="108" t="str">
        <f>VLOOKUP($K2347,LUTs!$E$2:$H$14,4,)</f>
        <v>01North Puget Sound</v>
      </c>
      <c r="O2347" s="108">
        <v>27.302325581395401</v>
      </c>
      <c r="P2347" s="108">
        <v>236.16511627906999</v>
      </c>
      <c r="Q2347" s="108">
        <f>SUMIFS('FW_Salmon_by_Month_2010-2021'!P$2:P$3810,'FW_Salmon_by_Month_2010-2021'!$B$2:$B$3810,'Rec_raw_catch_effort_2010-2021'!$B2347,'FW_Salmon_by_Month_2010-2021'!$H$2:$H$3810,'Rec_raw_catch_effort_2010-2021'!$F2347,'FW_Salmon_by_Month_2010-2021'!$M$2:$M$3810,'Rec_raw_catch_effort_2010-2021'!$K2347)</f>
        <v>29.342857142857099</v>
      </c>
      <c r="R2347" s="109">
        <f>VLOOKUP(B2347,Readme!$A$62:$C$74,2,)*Q2347</f>
        <v>141.41951104355022</v>
      </c>
      <c r="S2347" s="140" t="str">
        <f t="shared" si="185"/>
        <v>Y</v>
      </c>
      <c r="T2347" s="154">
        <f t="shared" si="186"/>
        <v>8.6499999999999915</v>
      </c>
      <c r="U2347" s="154">
        <f t="shared" si="187"/>
        <v>4.8195549041132084</v>
      </c>
    </row>
    <row r="2348" spans="1:21" x14ac:dyDescent="0.35">
      <c r="A2348" s="108">
        <v>1300</v>
      </c>
      <c r="B2348" s="108">
        <v>2016</v>
      </c>
      <c r="C2348" s="108" t="s">
        <v>38</v>
      </c>
      <c r="D2348" s="108" t="s">
        <v>143</v>
      </c>
      <c r="E2348" s="108" t="s">
        <v>10</v>
      </c>
      <c r="F2348" s="116">
        <v>826</v>
      </c>
      <c r="G2348" s="108" t="s">
        <v>59</v>
      </c>
      <c r="H2348" s="108" t="str">
        <f t="shared" si="188"/>
        <v>Cascade River</v>
      </c>
      <c r="I2348" s="108" t="str">
        <f>IFERROR(VLOOKUP(H2348,LUTs!$A$1:$C$73,2,FALSE),"NA")</f>
        <v>Skagit</v>
      </c>
      <c r="J2348" s="108" t="str">
        <f>IFERROR(VLOOKUP(H2348,LUTs!$A$1:$C$73,3,FALSE),"NA")</f>
        <v>1North Puget Sound</v>
      </c>
      <c r="K2348" s="108" t="s">
        <v>18</v>
      </c>
      <c r="L2348" s="108" t="str">
        <f>VLOOKUP(K2348,LUTs!E$2:G$14,3,)</f>
        <v>06King</v>
      </c>
      <c r="M2348" s="108" t="str">
        <f>VLOOKUP($K2348,LUTs!$E$2:$H$14,2,)</f>
        <v>South Puget Sound</v>
      </c>
      <c r="N2348" s="108" t="str">
        <f>VLOOKUP($K2348,LUTs!$E$2:$H$14,4,)</f>
        <v>02South Puget Sound</v>
      </c>
      <c r="O2348" s="108">
        <v>209.31782945736401</v>
      </c>
      <c r="P2348" s="108">
        <v>1810.5992248062</v>
      </c>
      <c r="Q2348" s="108">
        <f>SUMIFS('FW_Salmon_by_Month_2010-2021'!P$2:P$3810,'FW_Salmon_by_Month_2010-2021'!$B$2:$B$3810,'Rec_raw_catch_effort_2010-2021'!$B2348,'FW_Salmon_by_Month_2010-2021'!$H$2:$H$3810,'Rec_raw_catch_effort_2010-2021'!$F2348,'FW_Salmon_by_Month_2010-2021'!$M$2:$M$3810,'Rec_raw_catch_effort_2010-2021'!$K2348)</f>
        <v>224.96666666666667</v>
      </c>
      <c r="R2348" s="109">
        <f>VLOOKUP(B2348,Readme!$A$62:$C$74,2,)*Q2348</f>
        <v>1084.2392015953349</v>
      </c>
      <c r="S2348" s="140" t="str">
        <f t="shared" si="185"/>
        <v>Y</v>
      </c>
      <c r="T2348" s="154">
        <f t="shared" si="186"/>
        <v>8.6500000000000057</v>
      </c>
      <c r="U2348" s="154">
        <f t="shared" si="187"/>
        <v>4.8195549041132084</v>
      </c>
    </row>
    <row r="2349" spans="1:21" x14ac:dyDescent="0.35">
      <c r="A2349" s="108">
        <v>1301</v>
      </c>
      <c r="B2349" s="108">
        <v>2016</v>
      </c>
      <c r="C2349" s="108" t="s">
        <v>38</v>
      </c>
      <c r="D2349" s="108" t="s">
        <v>143</v>
      </c>
      <c r="E2349" s="108" t="s">
        <v>10</v>
      </c>
      <c r="F2349" s="116">
        <v>826</v>
      </c>
      <c r="G2349" s="108" t="s">
        <v>59</v>
      </c>
      <c r="H2349" s="108" t="str">
        <f t="shared" si="188"/>
        <v>Cascade River</v>
      </c>
      <c r="I2349" s="108" t="str">
        <f>IFERROR(VLOOKUP(H2349,LUTs!$A$1:$C$73,2,FALSE),"NA")</f>
        <v>Skagit</v>
      </c>
      <c r="J2349" s="108" t="str">
        <f>IFERROR(VLOOKUP(H2349,LUTs!$A$1:$C$73,3,FALSE),"NA")</f>
        <v>1North Puget Sound</v>
      </c>
      <c r="K2349" s="108" t="s">
        <v>23</v>
      </c>
      <c r="L2349" s="108" t="str">
        <f>VLOOKUP(K2349,LUTs!E$2:G$14,3,)</f>
        <v>10Kitsap</v>
      </c>
      <c r="M2349" s="108" t="str">
        <f>VLOOKUP($K2349,LUTs!$E$2:$H$14,2,)</f>
        <v>South Puget Sound</v>
      </c>
      <c r="N2349" s="108" t="str">
        <f>VLOOKUP($K2349,LUTs!$E$2:$H$14,4,)</f>
        <v>02South Puget Sound</v>
      </c>
      <c r="O2349" s="108">
        <v>63.7054263565892</v>
      </c>
      <c r="P2349" s="108">
        <v>551.05193798449704</v>
      </c>
      <c r="Q2349" s="108">
        <f>SUMIFS('FW_Salmon_by_Month_2010-2021'!P$2:P$3810,'FW_Salmon_by_Month_2010-2021'!$B$2:$B$3810,'Rec_raw_catch_effort_2010-2021'!$B2349,'FW_Salmon_by_Month_2010-2021'!$H$2:$H$3810,'Rec_raw_catch_effort_2010-2021'!$F2349,'FW_Salmon_by_Month_2010-2021'!$M$2:$M$3810,'Rec_raw_catch_effort_2010-2021'!$K2349)</f>
        <v>68.466666666666697</v>
      </c>
      <c r="R2349" s="109">
        <f>VLOOKUP(B2349,Readme!$A$62:$C$74,2,)*Q2349</f>
        <v>329.97885910161784</v>
      </c>
      <c r="S2349" s="140" t="str">
        <f t="shared" si="185"/>
        <v>Y</v>
      </c>
      <c r="T2349" s="154">
        <f t="shared" si="186"/>
        <v>8.6500000000000075</v>
      </c>
      <c r="U2349" s="154">
        <f t="shared" si="187"/>
        <v>4.8195549041132084</v>
      </c>
    </row>
    <row r="2350" spans="1:21" x14ac:dyDescent="0.35">
      <c r="A2350" s="108">
        <v>1302</v>
      </c>
      <c r="B2350" s="108">
        <v>2016</v>
      </c>
      <c r="C2350" s="108" t="s">
        <v>38</v>
      </c>
      <c r="D2350" s="108" t="s">
        <v>143</v>
      </c>
      <c r="E2350" s="108" t="s">
        <v>10</v>
      </c>
      <c r="F2350" s="116">
        <v>826</v>
      </c>
      <c r="G2350" s="108" t="s">
        <v>59</v>
      </c>
      <c r="H2350" s="108" t="str">
        <f t="shared" si="188"/>
        <v>Cascade River</v>
      </c>
      <c r="I2350" s="108" t="str">
        <f>IFERROR(VLOOKUP(H2350,LUTs!$A$1:$C$73,2,FALSE),"NA")</f>
        <v>Skagit</v>
      </c>
      <c r="J2350" s="108" t="str">
        <f>IFERROR(VLOOKUP(H2350,LUTs!$A$1:$C$73,3,FALSE),"NA")</f>
        <v>1North Puget Sound</v>
      </c>
      <c r="K2350" s="108" t="s">
        <v>26</v>
      </c>
      <c r="L2350" s="108" t="str">
        <f>VLOOKUP(K2350,LUTs!E$2:G$14,3,)</f>
        <v>20Other</v>
      </c>
      <c r="M2350" s="108" t="str">
        <f>VLOOKUP($K2350,LUTs!$E$2:$H$14,2,)</f>
        <v>Non Puget Sound</v>
      </c>
      <c r="N2350" s="108" t="str">
        <f>VLOOKUP($K2350,LUTs!$E$2:$H$14,4,)</f>
        <v>07Non Puget Sound</v>
      </c>
      <c r="O2350" s="108">
        <v>27.302325581395401</v>
      </c>
      <c r="P2350" s="108">
        <v>236.16511627906999</v>
      </c>
      <c r="Q2350" s="108">
        <f>SUMIFS('FW_Salmon_by_Month_2010-2021'!P$2:P$3810,'FW_Salmon_by_Month_2010-2021'!$B$2:$B$3810,'Rec_raw_catch_effort_2010-2021'!$B2350,'FW_Salmon_by_Month_2010-2021'!$H$2:$H$3810,'Rec_raw_catch_effort_2010-2021'!$F2350,'FW_Salmon_by_Month_2010-2021'!$M$2:$M$3810,'Rec_raw_catch_effort_2010-2021'!$K2350)</f>
        <v>29.342857142857099</v>
      </c>
      <c r="R2350" s="109">
        <f>VLOOKUP(B2350,Readme!$A$62:$C$74,2,)*Q2350</f>
        <v>141.41951104355022</v>
      </c>
      <c r="S2350" s="140" t="str">
        <f t="shared" si="185"/>
        <v>Y</v>
      </c>
      <c r="T2350" s="154">
        <f t="shared" si="186"/>
        <v>8.6499999999999915</v>
      </c>
      <c r="U2350" s="154">
        <f t="shared" si="187"/>
        <v>4.8195549041132084</v>
      </c>
    </row>
    <row r="2351" spans="1:21" x14ac:dyDescent="0.35">
      <c r="A2351" s="108">
        <v>1259</v>
      </c>
      <c r="B2351" s="108">
        <v>2016</v>
      </c>
      <c r="C2351" s="108" t="s">
        <v>38</v>
      </c>
      <c r="D2351" s="108" t="s">
        <v>143</v>
      </c>
      <c r="E2351" s="108" t="s">
        <v>10</v>
      </c>
      <c r="F2351" s="116">
        <v>826</v>
      </c>
      <c r="G2351" s="108" t="s">
        <v>59</v>
      </c>
      <c r="H2351" s="108" t="str">
        <f t="shared" si="188"/>
        <v>Cascade River</v>
      </c>
      <c r="I2351" s="108" t="str">
        <f>IFERROR(VLOOKUP(H2351,LUTs!$A$1:$C$73,2,FALSE),"NA")</f>
        <v>Skagit</v>
      </c>
      <c r="J2351" s="108" t="str">
        <f>IFERROR(VLOOKUP(H2351,LUTs!$A$1:$C$73,3,FALSE),"NA")</f>
        <v>1North Puget Sound</v>
      </c>
      <c r="K2351" s="108" t="s">
        <v>15</v>
      </c>
      <c r="L2351" s="108" t="str">
        <f>VLOOKUP(K2351,LUTs!E$2:G$14,3,)</f>
        <v>02Skagit</v>
      </c>
      <c r="M2351" s="108" t="str">
        <f>VLOOKUP($K2351,LUTs!$E$2:$H$14,2,)</f>
        <v>North Puget Sound</v>
      </c>
      <c r="N2351" s="108" t="str">
        <f>VLOOKUP($K2351,LUTs!$E$2:$H$14,4,)</f>
        <v>01North Puget Sound</v>
      </c>
      <c r="O2351" s="108">
        <v>236.62015503876</v>
      </c>
      <c r="P2351" s="108">
        <v>2046.76434108527</v>
      </c>
      <c r="Q2351" s="108">
        <f>SUMIFS('FW_Salmon_by_Month_2010-2021'!P$2:P$3810,'FW_Salmon_by_Month_2010-2021'!$B$2:$B$3810,'Rec_raw_catch_effort_2010-2021'!$B2351,'FW_Salmon_by_Month_2010-2021'!$H$2:$H$3810,'Rec_raw_catch_effort_2010-2021'!$F2351,'FW_Salmon_by_Month_2010-2021'!$M$2:$M$3810,'Rec_raw_catch_effort_2010-2021'!$K2351)</f>
        <v>254.78571428571465</v>
      </c>
      <c r="R2351" s="109">
        <f>VLOOKUP(B2351,Readme!$A$62:$C$74,2,)*Q2351</f>
        <v>1227.9537387837029</v>
      </c>
      <c r="S2351" s="140" t="str">
        <f t="shared" si="185"/>
        <v>Y</v>
      </c>
      <c r="T2351" s="154">
        <f t="shared" si="186"/>
        <v>8.6499999999999826</v>
      </c>
      <c r="U2351" s="154">
        <f t="shared" si="187"/>
        <v>4.8195549041132084</v>
      </c>
    </row>
    <row r="2352" spans="1:21" x14ac:dyDescent="0.35">
      <c r="A2352" s="108">
        <v>1260</v>
      </c>
      <c r="B2352" s="108">
        <v>2016</v>
      </c>
      <c r="C2352" s="108" t="s">
        <v>38</v>
      </c>
      <c r="D2352" s="108" t="s">
        <v>143</v>
      </c>
      <c r="E2352" s="108" t="s">
        <v>10</v>
      </c>
      <c r="F2352" s="116">
        <v>826</v>
      </c>
      <c r="G2352" s="108" t="s">
        <v>59</v>
      </c>
      <c r="H2352" s="108" t="str">
        <f t="shared" si="188"/>
        <v>Cascade River</v>
      </c>
      <c r="I2352" s="108" t="str">
        <f>IFERROR(VLOOKUP(H2352,LUTs!$A$1:$C$73,2,FALSE),"NA")</f>
        <v>Skagit</v>
      </c>
      <c r="J2352" s="108" t="str">
        <f>IFERROR(VLOOKUP(H2352,LUTs!$A$1:$C$73,3,FALSE),"NA")</f>
        <v>1North Puget Sound</v>
      </c>
      <c r="K2352" s="108" t="s">
        <v>16</v>
      </c>
      <c r="L2352" s="108" t="str">
        <f>VLOOKUP(K2352,LUTs!E$2:G$14,3,)</f>
        <v>03Snohomish</v>
      </c>
      <c r="M2352" s="108" t="str">
        <f>VLOOKUP($K2352,LUTs!$E$2:$H$14,2,)</f>
        <v>North Puget Sound</v>
      </c>
      <c r="N2352" s="108" t="str">
        <f>VLOOKUP($K2352,LUTs!$E$2:$H$14,4,)</f>
        <v>01North Puget Sound</v>
      </c>
      <c r="O2352" s="108">
        <v>491.44186046511601</v>
      </c>
      <c r="P2352" s="108">
        <v>4250.9720930232497</v>
      </c>
      <c r="Q2352" s="108">
        <f>SUMIFS('FW_Salmon_by_Month_2010-2021'!P$2:P$3810,'FW_Salmon_by_Month_2010-2021'!$B$2:$B$3810,'Rec_raw_catch_effort_2010-2021'!$B2352,'FW_Salmon_by_Month_2010-2021'!$H$2:$H$3810,'Rec_raw_catch_effort_2010-2021'!$F2352,'FW_Salmon_by_Month_2010-2021'!$M$2:$M$3810,'Rec_raw_catch_effort_2010-2021'!$K2352)</f>
        <v>479.18095238095304</v>
      </c>
      <c r="R2352" s="109">
        <f>VLOOKUP(B2352,Readme!$A$62:$C$74,2,)*Q2352</f>
        <v>2309.43890900526</v>
      </c>
      <c r="S2352" s="140" t="str">
        <f t="shared" si="185"/>
        <v>Y</v>
      </c>
      <c r="T2352" s="154">
        <f t="shared" si="186"/>
        <v>8.6499999999999932</v>
      </c>
      <c r="U2352" s="154">
        <f t="shared" si="187"/>
        <v>4.8195549041132084</v>
      </c>
    </row>
    <row r="2353" spans="1:21" x14ac:dyDescent="0.35">
      <c r="A2353" s="108">
        <v>3682</v>
      </c>
      <c r="B2353" s="108">
        <v>2016</v>
      </c>
      <c r="C2353" s="108" t="s">
        <v>38</v>
      </c>
      <c r="D2353" s="108" t="s">
        <v>143</v>
      </c>
      <c r="E2353" s="108" t="s">
        <v>10</v>
      </c>
      <c r="F2353" s="116">
        <v>826</v>
      </c>
      <c r="G2353" s="108" t="s">
        <v>59</v>
      </c>
      <c r="H2353" s="108" t="str">
        <f t="shared" si="188"/>
        <v>Cascade River</v>
      </c>
      <c r="I2353" s="108" t="str">
        <f>IFERROR(VLOOKUP(H2353,LUTs!$A$1:$C$73,2,FALSE),"NA")</f>
        <v>Skagit</v>
      </c>
      <c r="J2353" s="108" t="str">
        <f>IFERROR(VLOOKUP(H2353,LUTs!$A$1:$C$73,3,FALSE),"NA")</f>
        <v>1North Puget Sound</v>
      </c>
      <c r="K2353" s="108" t="s">
        <v>13</v>
      </c>
      <c r="L2353" s="108" t="str">
        <f>VLOOKUP(K2353,LUTs!E$2:G$14,3,)</f>
        <v>01Whatcom</v>
      </c>
      <c r="M2353" s="108" t="str">
        <f>VLOOKUP($K2353,LUTs!$E$2:$H$14,2,)</f>
        <v>North Puget Sound</v>
      </c>
      <c r="N2353" s="108" t="str">
        <f>VLOOKUP($K2353,LUTs!$E$2:$H$14,4,)</f>
        <v>01North Puget Sound</v>
      </c>
      <c r="O2353" s="108">
        <v>118.31007751938</v>
      </c>
      <c r="P2353" s="108">
        <v>1023.38217054264</v>
      </c>
      <c r="Q2353" s="108">
        <f>SUMIFS('FW_Salmon_by_Month_2010-2021'!P$2:P$3810,'FW_Salmon_by_Month_2010-2021'!$B$2:$B$3810,'Rec_raw_catch_effort_2010-2021'!$B2353,'FW_Salmon_by_Month_2010-2021'!$H$2:$H$3810,'Rec_raw_catch_effort_2010-2021'!$F2353,'FW_Salmon_by_Month_2010-2021'!$M$2:$M$3810,'Rec_raw_catch_effort_2010-2021'!$K2353)</f>
        <v>87.914285714285768</v>
      </c>
      <c r="R2353" s="109">
        <f>VLOOKUP(B2353,Readme!$A$62:$C$74,2,)*Q2353</f>
        <v>423.70772685589577</v>
      </c>
      <c r="S2353" s="140" t="str">
        <f t="shared" si="185"/>
        <v>Y</v>
      </c>
      <c r="T2353" s="154">
        <f t="shared" si="186"/>
        <v>8.6500000000000252</v>
      </c>
      <c r="U2353" s="154">
        <f t="shared" si="187"/>
        <v>4.8195549041132084</v>
      </c>
    </row>
    <row r="2354" spans="1:21" x14ac:dyDescent="0.35">
      <c r="A2354" s="108">
        <v>1383</v>
      </c>
      <c r="B2354" s="108">
        <v>2017</v>
      </c>
      <c r="C2354" s="108" t="s">
        <v>38</v>
      </c>
      <c r="D2354" s="108" t="s">
        <v>143</v>
      </c>
      <c r="E2354" s="108" t="s">
        <v>10</v>
      </c>
      <c r="F2354" s="116">
        <v>826</v>
      </c>
      <c r="G2354" s="108" t="s">
        <v>59</v>
      </c>
      <c r="H2354" s="108" t="str">
        <f t="shared" si="188"/>
        <v>Cascade River</v>
      </c>
      <c r="I2354" s="108" t="str">
        <f>IFERROR(VLOOKUP(H2354,LUTs!$A$1:$C$73,2,FALSE),"NA")</f>
        <v>Skagit</v>
      </c>
      <c r="J2354" s="108" t="str">
        <f>IFERROR(VLOOKUP(H2354,LUTs!$A$1:$C$73,3,FALSE),"NA")</f>
        <v>1North Puget Sound</v>
      </c>
      <c r="K2354" s="108" t="s">
        <v>18</v>
      </c>
      <c r="L2354" s="108" t="str">
        <f>VLOOKUP(K2354,LUTs!E$2:G$14,3,)</f>
        <v>06King</v>
      </c>
      <c r="M2354" s="108" t="str">
        <f>VLOOKUP($K2354,LUTs!$E$2:$H$14,2,)</f>
        <v>South Puget Sound</v>
      </c>
      <c r="N2354" s="108" t="str">
        <f>VLOOKUP($K2354,LUTs!$E$2:$H$14,4,)</f>
        <v>02South Puget Sound</v>
      </c>
      <c r="O2354" s="108">
        <v>20</v>
      </c>
      <c r="P2354" s="108">
        <v>68.8</v>
      </c>
      <c r="Q2354" s="108">
        <f>SUMIFS('FW_Salmon_by_Month_2010-2021'!P$2:P$3810,'FW_Salmon_by_Month_2010-2021'!$B$2:$B$3810,'Rec_raw_catch_effort_2010-2021'!$B2354,'FW_Salmon_by_Month_2010-2021'!$H$2:$H$3810,'Rec_raw_catch_effort_2010-2021'!$F2354,'FW_Salmon_by_Month_2010-2021'!$M$2:$M$3810,'Rec_raw_catch_effort_2010-2021'!$K2354)</f>
        <v>20</v>
      </c>
      <c r="R2354" s="109">
        <f>VLOOKUP(B2354,Readme!$A$62:$C$74,2,)*Q2354</f>
        <v>70.780808795648312</v>
      </c>
      <c r="S2354" s="140" t="str">
        <f t="shared" si="185"/>
        <v>Y</v>
      </c>
      <c r="T2354" s="154">
        <f t="shared" si="186"/>
        <v>3.44</v>
      </c>
      <c r="U2354" s="154">
        <f t="shared" si="187"/>
        <v>3.5390404397824158</v>
      </c>
    </row>
    <row r="2355" spans="1:21" x14ac:dyDescent="0.35">
      <c r="A2355" s="108">
        <v>1338</v>
      </c>
      <c r="B2355" s="108">
        <v>2017</v>
      </c>
      <c r="C2355" s="108" t="s">
        <v>38</v>
      </c>
      <c r="D2355" s="108" t="s">
        <v>143</v>
      </c>
      <c r="E2355" s="108" t="s">
        <v>10</v>
      </c>
      <c r="F2355" s="116">
        <v>826</v>
      </c>
      <c r="G2355" s="108" t="s">
        <v>59</v>
      </c>
      <c r="H2355" s="108" t="str">
        <f t="shared" si="188"/>
        <v>Cascade River</v>
      </c>
      <c r="I2355" s="108" t="str">
        <f>IFERROR(VLOOKUP(H2355,LUTs!$A$1:$C$73,2,FALSE),"NA")</f>
        <v>Skagit</v>
      </c>
      <c r="J2355" s="108" t="str">
        <f>IFERROR(VLOOKUP(H2355,LUTs!$A$1:$C$73,3,FALSE),"NA")</f>
        <v>1North Puget Sound</v>
      </c>
      <c r="K2355" s="108" t="s">
        <v>15</v>
      </c>
      <c r="L2355" s="108" t="str">
        <f>VLOOKUP(K2355,LUTs!E$2:G$14,3,)</f>
        <v>02Skagit</v>
      </c>
      <c r="M2355" s="108" t="str">
        <f>VLOOKUP($K2355,LUTs!$E$2:$H$14,2,)</f>
        <v>North Puget Sound</v>
      </c>
      <c r="N2355" s="108" t="str">
        <f>VLOOKUP($K2355,LUTs!$E$2:$H$14,4,)</f>
        <v>01North Puget Sound</v>
      </c>
      <c r="O2355" s="108">
        <v>100</v>
      </c>
      <c r="P2355" s="108">
        <v>344</v>
      </c>
      <c r="Q2355" s="108">
        <f>SUMIFS('FW_Salmon_by_Month_2010-2021'!P$2:P$3810,'FW_Salmon_by_Month_2010-2021'!$B$2:$B$3810,'Rec_raw_catch_effort_2010-2021'!$B2355,'FW_Salmon_by_Month_2010-2021'!$H$2:$H$3810,'Rec_raw_catch_effort_2010-2021'!$F2355,'FW_Salmon_by_Month_2010-2021'!$M$2:$M$3810,'Rec_raw_catch_effort_2010-2021'!$K2355)</f>
        <v>100</v>
      </c>
      <c r="R2355" s="109">
        <f>VLOOKUP(B2355,Readme!$A$62:$C$74,2,)*Q2355</f>
        <v>353.90404397824153</v>
      </c>
      <c r="S2355" s="140" t="str">
        <f t="shared" si="185"/>
        <v>Y</v>
      </c>
      <c r="T2355" s="154">
        <f t="shared" si="186"/>
        <v>3.44</v>
      </c>
      <c r="U2355" s="154">
        <f t="shared" si="187"/>
        <v>3.5390404397824153</v>
      </c>
    </row>
    <row r="2356" spans="1:21" x14ac:dyDescent="0.35">
      <c r="A2356" s="108">
        <v>1382</v>
      </c>
      <c r="B2356" s="108">
        <v>2017</v>
      </c>
      <c r="C2356" s="108" t="s">
        <v>38</v>
      </c>
      <c r="D2356" s="108" t="s">
        <v>143</v>
      </c>
      <c r="E2356" s="108" t="s">
        <v>10</v>
      </c>
      <c r="F2356" s="116">
        <v>826</v>
      </c>
      <c r="G2356" s="108" t="s">
        <v>59</v>
      </c>
      <c r="H2356" s="108" t="str">
        <f t="shared" si="188"/>
        <v>Cascade River</v>
      </c>
      <c r="I2356" s="108" t="str">
        <f>IFERROR(VLOOKUP(H2356,LUTs!$A$1:$C$73,2,FALSE),"NA")</f>
        <v>Skagit</v>
      </c>
      <c r="J2356" s="108" t="str">
        <f>IFERROR(VLOOKUP(H2356,LUTs!$A$1:$C$73,3,FALSE),"NA")</f>
        <v>1North Puget Sound</v>
      </c>
      <c r="K2356" s="108" t="s">
        <v>16</v>
      </c>
      <c r="L2356" s="108" t="str">
        <f>VLOOKUP(K2356,LUTs!E$2:G$14,3,)</f>
        <v>03Snohomish</v>
      </c>
      <c r="M2356" s="108" t="str">
        <f>VLOOKUP($K2356,LUTs!$E$2:$H$14,2,)</f>
        <v>North Puget Sound</v>
      </c>
      <c r="N2356" s="108" t="str">
        <f>VLOOKUP($K2356,LUTs!$E$2:$H$14,4,)</f>
        <v>01North Puget Sound</v>
      </c>
      <c r="O2356" s="108">
        <v>120</v>
      </c>
      <c r="P2356" s="108">
        <v>412.8</v>
      </c>
      <c r="Q2356" s="108">
        <f>SUMIFS('FW_Salmon_by_Month_2010-2021'!P$2:P$3810,'FW_Salmon_by_Month_2010-2021'!$B$2:$B$3810,'Rec_raw_catch_effort_2010-2021'!$B2356,'FW_Salmon_by_Month_2010-2021'!$H$2:$H$3810,'Rec_raw_catch_effort_2010-2021'!$F2356,'FW_Salmon_by_Month_2010-2021'!$M$2:$M$3810,'Rec_raw_catch_effort_2010-2021'!$K2356)</f>
        <v>120</v>
      </c>
      <c r="R2356" s="109">
        <f>VLOOKUP(B2356,Readme!$A$62:$C$74,2,)*Q2356</f>
        <v>424.68485277388982</v>
      </c>
      <c r="S2356" s="140" t="str">
        <f t="shared" si="185"/>
        <v>Y</v>
      </c>
      <c r="T2356" s="154">
        <f t="shared" si="186"/>
        <v>3.44</v>
      </c>
      <c r="U2356" s="154">
        <f t="shared" si="187"/>
        <v>3.5390404397824153</v>
      </c>
    </row>
    <row r="2357" spans="1:21" x14ac:dyDescent="0.35">
      <c r="A2357" s="108">
        <v>1337</v>
      </c>
      <c r="B2357" s="108">
        <v>2017</v>
      </c>
      <c r="C2357" s="108" t="s">
        <v>38</v>
      </c>
      <c r="D2357" s="108" t="s">
        <v>143</v>
      </c>
      <c r="E2357" s="108" t="s">
        <v>10</v>
      </c>
      <c r="F2357" s="116">
        <v>826</v>
      </c>
      <c r="G2357" s="108" t="s">
        <v>59</v>
      </c>
      <c r="H2357" s="108" t="str">
        <f t="shared" si="188"/>
        <v>Cascade River</v>
      </c>
      <c r="I2357" s="108" t="str">
        <f>IFERROR(VLOOKUP(H2357,LUTs!$A$1:$C$73,2,FALSE),"NA")</f>
        <v>Skagit</v>
      </c>
      <c r="J2357" s="108" t="str">
        <f>IFERROR(VLOOKUP(H2357,LUTs!$A$1:$C$73,3,FALSE),"NA")</f>
        <v>1North Puget Sound</v>
      </c>
      <c r="K2357" s="108" t="s">
        <v>13</v>
      </c>
      <c r="L2357" s="108" t="str">
        <f>VLOOKUP(K2357,LUTs!E$2:G$14,3,)</f>
        <v>01Whatcom</v>
      </c>
      <c r="M2357" s="108" t="str">
        <f>VLOOKUP($K2357,LUTs!$E$2:$H$14,2,)</f>
        <v>North Puget Sound</v>
      </c>
      <c r="N2357" s="108" t="str">
        <f>VLOOKUP($K2357,LUTs!$E$2:$H$14,4,)</f>
        <v>01North Puget Sound</v>
      </c>
      <c r="O2357" s="108">
        <v>120</v>
      </c>
      <c r="P2357" s="108">
        <v>412.8</v>
      </c>
      <c r="Q2357" s="108">
        <f>SUMIFS('FW_Salmon_by_Month_2010-2021'!P$2:P$3810,'FW_Salmon_by_Month_2010-2021'!$B$2:$B$3810,'Rec_raw_catch_effort_2010-2021'!$B2357,'FW_Salmon_by_Month_2010-2021'!$H$2:$H$3810,'Rec_raw_catch_effort_2010-2021'!$F2357,'FW_Salmon_by_Month_2010-2021'!$M$2:$M$3810,'Rec_raw_catch_effort_2010-2021'!$K2357)</f>
        <v>120</v>
      </c>
      <c r="R2357" s="109">
        <f>VLOOKUP(B2357,Readme!$A$62:$C$74,2,)*Q2357</f>
        <v>424.68485277388982</v>
      </c>
      <c r="S2357" s="140" t="str">
        <f t="shared" si="185"/>
        <v>Y</v>
      </c>
      <c r="T2357" s="154">
        <f t="shared" si="186"/>
        <v>3.44</v>
      </c>
      <c r="U2357" s="154">
        <f t="shared" si="187"/>
        <v>3.5390404397824153</v>
      </c>
    </row>
    <row r="2358" spans="1:21" x14ac:dyDescent="0.35">
      <c r="A2358" s="108">
        <v>1490</v>
      </c>
      <c r="B2358" s="108">
        <v>2018</v>
      </c>
      <c r="C2358" s="108" t="s">
        <v>38</v>
      </c>
      <c r="D2358" s="108" t="s">
        <v>143</v>
      </c>
      <c r="E2358" s="108" t="s">
        <v>10</v>
      </c>
      <c r="F2358" s="116">
        <v>826</v>
      </c>
      <c r="G2358" s="108" t="s">
        <v>59</v>
      </c>
      <c r="H2358" s="108" t="str">
        <f t="shared" si="188"/>
        <v>Cascade River</v>
      </c>
      <c r="I2358" s="108" t="str">
        <f>IFERROR(VLOOKUP(H2358,LUTs!$A$1:$C$73,2,FALSE),"NA")</f>
        <v>Skagit</v>
      </c>
      <c r="J2358" s="108" t="str">
        <f>IFERROR(VLOOKUP(H2358,LUTs!$A$1:$C$73,3,FALSE),"NA")</f>
        <v>1North Puget Sound</v>
      </c>
      <c r="K2358" s="108" t="s">
        <v>17</v>
      </c>
      <c r="L2358" s="108" t="str">
        <f>VLOOKUP(K2358,LUTs!E$2:G$14,3,)</f>
        <v>04Island</v>
      </c>
      <c r="M2358" s="108" t="str">
        <f>VLOOKUP($K2358,LUTs!$E$2:$H$14,2,)</f>
        <v>North Puget Sound</v>
      </c>
      <c r="N2358" s="108" t="str">
        <f>VLOOKUP($K2358,LUTs!$E$2:$H$14,4,)</f>
        <v>01North Puget Sound</v>
      </c>
      <c r="O2358" s="108">
        <v>19.155080213903702</v>
      </c>
      <c r="P2358" s="108">
        <v>165.69144385026701</v>
      </c>
      <c r="Q2358" s="108">
        <f>SUMIFS('FW_Salmon_by_Month_2010-2021'!P$2:P$3810,'FW_Salmon_by_Month_2010-2021'!$B$2:$B$3810,'Rec_raw_catch_effort_2010-2021'!$B2358,'FW_Salmon_by_Month_2010-2021'!$H$2:$H$3810,'Rec_raw_catch_effort_2010-2021'!$F2358,'FW_Salmon_by_Month_2010-2021'!$M$2:$M$3810,'Rec_raw_catch_effort_2010-2021'!$K2358)</f>
        <v>19.078947368421048</v>
      </c>
      <c r="R2358" s="109">
        <f>VLOOKUP(B2358,Readme!$A$62:$C$74,2,)*Q2358</f>
        <v>91.952034354791451</v>
      </c>
      <c r="S2358" s="140" t="str">
        <f t="shared" si="185"/>
        <v>Y</v>
      </c>
      <c r="T2358" s="154">
        <f t="shared" si="186"/>
        <v>8.6499999999999986</v>
      </c>
      <c r="U2358" s="154">
        <f t="shared" si="187"/>
        <v>4.8195549041132084</v>
      </c>
    </row>
    <row r="2359" spans="1:21" x14ac:dyDescent="0.35">
      <c r="A2359" s="108">
        <v>1491</v>
      </c>
      <c r="B2359" s="108">
        <v>2018</v>
      </c>
      <c r="C2359" s="108" t="s">
        <v>38</v>
      </c>
      <c r="D2359" s="108" t="s">
        <v>143</v>
      </c>
      <c r="E2359" s="108" t="s">
        <v>10</v>
      </c>
      <c r="F2359" s="116">
        <v>826</v>
      </c>
      <c r="G2359" s="108" t="s">
        <v>59</v>
      </c>
      <c r="H2359" s="108" t="str">
        <f t="shared" si="188"/>
        <v>Cascade River</v>
      </c>
      <c r="I2359" s="108" t="str">
        <f>IFERROR(VLOOKUP(H2359,LUTs!$A$1:$C$73,2,FALSE),"NA")</f>
        <v>Skagit</v>
      </c>
      <c r="J2359" s="108" t="str">
        <f>IFERROR(VLOOKUP(H2359,LUTs!$A$1:$C$73,3,FALSE),"NA")</f>
        <v>1North Puget Sound</v>
      </c>
      <c r="K2359" s="108" t="s">
        <v>18</v>
      </c>
      <c r="L2359" s="108" t="str">
        <f>VLOOKUP(K2359,LUTs!E$2:G$14,3,)</f>
        <v>06King</v>
      </c>
      <c r="M2359" s="108" t="str">
        <f>VLOOKUP($K2359,LUTs!$E$2:$H$14,2,)</f>
        <v>South Puget Sound</v>
      </c>
      <c r="N2359" s="108" t="str">
        <f>VLOOKUP($K2359,LUTs!$E$2:$H$14,4,)</f>
        <v>02South Puget Sound</v>
      </c>
      <c r="O2359" s="108">
        <v>229.86096256684499</v>
      </c>
      <c r="P2359" s="108">
        <v>1988.2973262032101</v>
      </c>
      <c r="Q2359" s="108">
        <f>SUMIFS('FW_Salmon_by_Month_2010-2021'!P$2:P$3810,'FW_Salmon_by_Month_2010-2021'!$B$2:$B$3810,'Rec_raw_catch_effort_2010-2021'!$B2359,'FW_Salmon_by_Month_2010-2021'!$H$2:$H$3810,'Rec_raw_catch_effort_2010-2021'!$F2359,'FW_Salmon_by_Month_2010-2021'!$M$2:$M$3810,'Rec_raw_catch_effort_2010-2021'!$K2359)</f>
        <v>229.6113761173693</v>
      </c>
      <c r="R2359" s="109">
        <f>VLOOKUP(B2359,Readme!$A$62:$C$74,2,)*Q2359</f>
        <v>1106.6246338066496</v>
      </c>
      <c r="S2359" s="140" t="str">
        <f t="shared" si="185"/>
        <v>Y</v>
      </c>
      <c r="T2359" s="154">
        <f t="shared" si="186"/>
        <v>8.6500000000000039</v>
      </c>
      <c r="U2359" s="154">
        <f t="shared" si="187"/>
        <v>4.8195549041132084</v>
      </c>
    </row>
    <row r="2360" spans="1:21" x14ac:dyDescent="0.35">
      <c r="A2360" s="108">
        <v>1493</v>
      </c>
      <c r="B2360" s="108">
        <v>2018</v>
      </c>
      <c r="C2360" s="108" t="s">
        <v>38</v>
      </c>
      <c r="D2360" s="108" t="s">
        <v>143</v>
      </c>
      <c r="E2360" s="108" t="s">
        <v>10</v>
      </c>
      <c r="F2360" s="116">
        <v>826</v>
      </c>
      <c r="G2360" s="108" t="s">
        <v>59</v>
      </c>
      <c r="H2360" s="108" t="str">
        <f t="shared" si="188"/>
        <v>Cascade River</v>
      </c>
      <c r="I2360" s="108" t="str">
        <f>IFERROR(VLOOKUP(H2360,LUTs!$A$1:$C$73,2,FALSE),"NA")</f>
        <v>Skagit</v>
      </c>
      <c r="J2360" s="108" t="str">
        <f>IFERROR(VLOOKUP(H2360,LUTs!$A$1:$C$73,3,FALSE),"NA")</f>
        <v>1North Puget Sound</v>
      </c>
      <c r="K2360" s="108" t="s">
        <v>26</v>
      </c>
      <c r="L2360" s="108" t="str">
        <f>VLOOKUP(K2360,LUTs!E$2:G$14,3,)</f>
        <v>20Other</v>
      </c>
      <c r="M2360" s="108" t="str">
        <f>VLOOKUP($K2360,LUTs!$E$2:$H$14,2,)</f>
        <v>Non Puget Sound</v>
      </c>
      <c r="N2360" s="108" t="str">
        <f>VLOOKUP($K2360,LUTs!$E$2:$H$14,4,)</f>
        <v>07Non Puget Sound</v>
      </c>
      <c r="O2360" s="108">
        <v>114.930481283422</v>
      </c>
      <c r="P2360" s="108">
        <v>994.14866310160005</v>
      </c>
      <c r="Q2360" s="108">
        <f>SUMIFS('FW_Salmon_by_Month_2010-2021'!P$2:P$3810,'FW_Salmon_by_Month_2010-2021'!$B$2:$B$3810,'Rec_raw_catch_effort_2010-2021'!$B2360,'FW_Salmon_by_Month_2010-2021'!$H$2:$H$3810,'Rec_raw_catch_effort_2010-2021'!$F2360,'FW_Salmon_by_Month_2010-2021'!$M$2:$M$3810,'Rec_raw_catch_effort_2010-2021'!$K2360)</f>
        <v>114.9954303122621</v>
      </c>
      <c r="R2360" s="109">
        <f>VLOOKUP(B2360,Readme!$A$62:$C$74,2,)*Q2360</f>
        <v>554.22679011207151</v>
      </c>
      <c r="S2360" s="140" t="str">
        <f t="shared" si="185"/>
        <v>Y</v>
      </c>
      <c r="T2360" s="154">
        <f t="shared" si="186"/>
        <v>8.6499999999999986</v>
      </c>
      <c r="U2360" s="154">
        <f t="shared" si="187"/>
        <v>4.8195549041132084</v>
      </c>
    </row>
    <row r="2361" spans="1:21" x14ac:dyDescent="0.35">
      <c r="A2361" s="108">
        <v>1446</v>
      </c>
      <c r="B2361" s="108">
        <v>2018</v>
      </c>
      <c r="C2361" s="108" t="s">
        <v>38</v>
      </c>
      <c r="D2361" s="108" t="s">
        <v>143</v>
      </c>
      <c r="E2361" s="108" t="s">
        <v>10</v>
      </c>
      <c r="F2361" s="116">
        <v>826</v>
      </c>
      <c r="G2361" s="108" t="s">
        <v>59</v>
      </c>
      <c r="H2361" s="108" t="str">
        <f t="shared" si="188"/>
        <v>Cascade River</v>
      </c>
      <c r="I2361" s="108" t="str">
        <f>IFERROR(VLOOKUP(H2361,LUTs!$A$1:$C$73,2,FALSE),"NA")</f>
        <v>Skagit</v>
      </c>
      <c r="J2361" s="108" t="str">
        <f>IFERROR(VLOOKUP(H2361,LUTs!$A$1:$C$73,3,FALSE),"NA")</f>
        <v>1North Puget Sound</v>
      </c>
      <c r="K2361" s="108" t="s">
        <v>15</v>
      </c>
      <c r="L2361" s="108" t="str">
        <f>VLOOKUP(K2361,LUTs!E$2:G$14,3,)</f>
        <v>02Skagit</v>
      </c>
      <c r="M2361" s="108" t="str">
        <f>VLOOKUP($K2361,LUTs!$E$2:$H$14,2,)</f>
        <v>North Puget Sound</v>
      </c>
      <c r="N2361" s="108" t="str">
        <f>VLOOKUP($K2361,LUTs!$E$2:$H$14,4,)</f>
        <v>01North Puget Sound</v>
      </c>
      <c r="O2361" s="108">
        <v>775.78074866310203</v>
      </c>
      <c r="P2361" s="108">
        <v>6710.5034759358296</v>
      </c>
      <c r="Q2361" s="108">
        <f>SUMIFS('FW_Salmon_by_Month_2010-2021'!P$2:P$3810,'FW_Salmon_by_Month_2010-2021'!$B$2:$B$3810,'Rec_raw_catch_effort_2010-2021'!$B2361,'FW_Salmon_by_Month_2010-2021'!$H$2:$H$3810,'Rec_raw_catch_effort_2010-2021'!$F2361,'FW_Salmon_by_Month_2010-2021'!$M$2:$M$3810,'Rec_raw_catch_effort_2010-2021'!$K2361)</f>
        <v>775.80857417725611</v>
      </c>
      <c r="R2361" s="109">
        <f>VLOOKUP(B2361,Readme!$A$62:$C$74,2,)*Q2361</f>
        <v>3739.0520183290705</v>
      </c>
      <c r="S2361" s="140" t="str">
        <f t="shared" si="185"/>
        <v>Y</v>
      </c>
      <c r="T2361" s="154">
        <f t="shared" si="186"/>
        <v>8.6499999999999968</v>
      </c>
      <c r="U2361" s="154">
        <f t="shared" si="187"/>
        <v>4.8195549041132084</v>
      </c>
    </row>
    <row r="2362" spans="1:21" x14ac:dyDescent="0.35">
      <c r="A2362" s="108">
        <v>1489</v>
      </c>
      <c r="B2362" s="108">
        <v>2018</v>
      </c>
      <c r="C2362" s="108" t="s">
        <v>38</v>
      </c>
      <c r="D2362" s="108" t="s">
        <v>143</v>
      </c>
      <c r="E2362" s="108" t="s">
        <v>10</v>
      </c>
      <c r="F2362" s="116">
        <v>826</v>
      </c>
      <c r="G2362" s="108" t="s">
        <v>59</v>
      </c>
      <c r="H2362" s="108" t="str">
        <f t="shared" si="188"/>
        <v>Cascade River</v>
      </c>
      <c r="I2362" s="108" t="str">
        <f>IFERROR(VLOOKUP(H2362,LUTs!$A$1:$C$73,2,FALSE),"NA")</f>
        <v>Skagit</v>
      </c>
      <c r="J2362" s="108" t="str">
        <f>IFERROR(VLOOKUP(H2362,LUTs!$A$1:$C$73,3,FALSE),"NA")</f>
        <v>1North Puget Sound</v>
      </c>
      <c r="K2362" s="108" t="s">
        <v>16</v>
      </c>
      <c r="L2362" s="108" t="str">
        <f>VLOOKUP(K2362,LUTs!E$2:G$14,3,)</f>
        <v>03Snohomish</v>
      </c>
      <c r="M2362" s="108" t="str">
        <f>VLOOKUP($K2362,LUTs!$E$2:$H$14,2,)</f>
        <v>North Puget Sound</v>
      </c>
      <c r="N2362" s="108" t="str">
        <f>VLOOKUP($K2362,LUTs!$E$2:$H$14,4,)</f>
        <v>01North Puget Sound</v>
      </c>
      <c r="O2362" s="108">
        <v>478.87700534759398</v>
      </c>
      <c r="P2362" s="108">
        <v>4142.2860962566901</v>
      </c>
      <c r="Q2362" s="108">
        <f>SUMIFS('FW_Salmon_by_Month_2010-2021'!P$2:P$3810,'FW_Salmon_by_Month_2010-2021'!$B$2:$B$3810,'Rec_raw_catch_effort_2010-2021'!$B2362,'FW_Salmon_by_Month_2010-2021'!$H$2:$H$3810,'Rec_raw_catch_effort_2010-2021'!$F2362,'FW_Salmon_by_Month_2010-2021'!$M$2:$M$3810,'Rec_raw_catch_effort_2010-2021'!$K2362)</f>
        <v>478.94374073034919</v>
      </c>
      <c r="R2362" s="109">
        <f>VLOOKUP(B2362,Readme!$A$62:$C$74,2,)*Q2362</f>
        <v>2308.2956544312797</v>
      </c>
      <c r="S2362" s="140" t="str">
        <f t="shared" si="185"/>
        <v>Y</v>
      </c>
      <c r="T2362" s="154">
        <f t="shared" si="186"/>
        <v>8.6500000000000039</v>
      </c>
      <c r="U2362" s="154">
        <f t="shared" si="187"/>
        <v>4.8195549041132093</v>
      </c>
    </row>
    <row r="2363" spans="1:21" x14ac:dyDescent="0.35">
      <c r="A2363" s="108">
        <v>1492</v>
      </c>
      <c r="B2363" s="108">
        <v>2018</v>
      </c>
      <c r="C2363" s="108" t="s">
        <v>38</v>
      </c>
      <c r="D2363" s="108" t="s">
        <v>143</v>
      </c>
      <c r="E2363" s="108" t="s">
        <v>10</v>
      </c>
      <c r="F2363" s="116">
        <v>826</v>
      </c>
      <c r="G2363" s="108" t="s">
        <v>59</v>
      </c>
      <c r="H2363" s="108" t="str">
        <f t="shared" si="188"/>
        <v>Cascade River</v>
      </c>
      <c r="I2363" s="108" t="str">
        <f>IFERROR(VLOOKUP(H2363,LUTs!$A$1:$C$73,2,FALSE),"NA")</f>
        <v>Skagit</v>
      </c>
      <c r="J2363" s="108" t="str">
        <f>IFERROR(VLOOKUP(H2363,LUTs!$A$1:$C$73,3,FALSE),"NA")</f>
        <v>1North Puget Sound</v>
      </c>
      <c r="K2363" s="108" t="s">
        <v>21</v>
      </c>
      <c r="L2363" s="108" t="str">
        <f>VLOOKUP(K2363,LUTs!E$2:G$14,3,)</f>
        <v>08Thurston</v>
      </c>
      <c r="M2363" s="108" t="str">
        <f>VLOOKUP($K2363,LUTs!$E$2:$H$14,2,)</f>
        <v>South Puget Sound</v>
      </c>
      <c r="N2363" s="108" t="str">
        <f>VLOOKUP($K2363,LUTs!$E$2:$H$14,4,)</f>
        <v>02South Puget Sound</v>
      </c>
      <c r="O2363" s="108">
        <v>19.155080213903702</v>
      </c>
      <c r="P2363" s="108">
        <v>165.69144385026701</v>
      </c>
      <c r="Q2363" s="108">
        <f>SUMIFS('FW_Salmon_by_Month_2010-2021'!P$2:P$3810,'FW_Salmon_by_Month_2010-2021'!$B$2:$B$3810,'Rec_raw_catch_effort_2010-2021'!$B2363,'FW_Salmon_by_Month_2010-2021'!$H$2:$H$3810,'Rec_raw_catch_effort_2010-2021'!$F2363,'FW_Salmon_by_Month_2010-2021'!$M$2:$M$3810,'Rec_raw_catch_effort_2010-2021'!$K2363)</f>
        <v>19.1683168316832</v>
      </c>
      <c r="R2363" s="109">
        <f>VLOOKUP(B2363,Readme!$A$62:$C$74,2,)*Q2363</f>
        <v>92.382755389734527</v>
      </c>
      <c r="S2363" s="140" t="str">
        <f t="shared" si="185"/>
        <v>Y</v>
      </c>
      <c r="T2363" s="154">
        <f t="shared" si="186"/>
        <v>8.6499999999999986</v>
      </c>
      <c r="U2363" s="154">
        <f t="shared" si="187"/>
        <v>4.8195549041132084</v>
      </c>
    </row>
    <row r="2364" spans="1:21" x14ac:dyDescent="0.35">
      <c r="A2364" s="108">
        <v>1445</v>
      </c>
      <c r="B2364" s="108">
        <v>2018</v>
      </c>
      <c r="C2364" s="108" t="s">
        <v>38</v>
      </c>
      <c r="D2364" s="108" t="s">
        <v>143</v>
      </c>
      <c r="E2364" s="108" t="s">
        <v>10</v>
      </c>
      <c r="F2364" s="116">
        <v>826</v>
      </c>
      <c r="G2364" s="108" t="s">
        <v>59</v>
      </c>
      <c r="H2364" s="108" t="str">
        <f t="shared" si="188"/>
        <v>Cascade River</v>
      </c>
      <c r="I2364" s="108" t="str">
        <f>IFERROR(VLOOKUP(H2364,LUTs!$A$1:$C$73,2,FALSE),"NA")</f>
        <v>Skagit</v>
      </c>
      <c r="J2364" s="108" t="str">
        <f>IFERROR(VLOOKUP(H2364,LUTs!$A$1:$C$73,3,FALSE),"NA")</f>
        <v>1North Puget Sound</v>
      </c>
      <c r="K2364" s="108" t="s">
        <v>13</v>
      </c>
      <c r="L2364" s="108" t="str">
        <f>VLOOKUP(K2364,LUTs!E$2:G$14,3,)</f>
        <v>01Whatcom</v>
      </c>
      <c r="M2364" s="108" t="str">
        <f>VLOOKUP($K2364,LUTs!$E$2:$H$14,2,)</f>
        <v>North Puget Sound</v>
      </c>
      <c r="N2364" s="108" t="str">
        <f>VLOOKUP($K2364,LUTs!$E$2:$H$14,4,)</f>
        <v>01North Puget Sound</v>
      </c>
      <c r="O2364" s="108">
        <v>153.24064171123001</v>
      </c>
      <c r="P2364" s="108">
        <v>1325.5315508021399</v>
      </c>
      <c r="Q2364" s="108">
        <f>SUMIFS('FW_Salmon_by_Month_2010-2021'!P$2:P$3810,'FW_Salmon_by_Month_2010-2021'!$B$2:$B$3810,'Rec_raw_catch_effort_2010-2021'!$B2364,'FW_Salmon_by_Month_2010-2021'!$H$2:$H$3810,'Rec_raw_catch_effort_2010-2021'!$F2364,'FW_Salmon_by_Month_2010-2021'!$M$2:$M$3810,'Rec_raw_catch_effort_2010-2021'!$K2364)</f>
        <v>153.39361446266079</v>
      </c>
      <c r="R2364" s="109">
        <f>VLOOKUP(B2364,Readme!$A$62:$C$74,2,)*Q2364</f>
        <v>739.28894684316765</v>
      </c>
      <c r="S2364" s="140" t="str">
        <f t="shared" si="185"/>
        <v>Y</v>
      </c>
      <c r="T2364" s="154">
        <f t="shared" si="186"/>
        <v>8.6500000000000021</v>
      </c>
      <c r="U2364" s="154">
        <f t="shared" si="187"/>
        <v>4.8195549041132084</v>
      </c>
    </row>
    <row r="2365" spans="1:21" x14ac:dyDescent="0.35">
      <c r="A2365" s="108">
        <v>1580</v>
      </c>
      <c r="B2365" s="108">
        <v>2019</v>
      </c>
      <c r="C2365" s="108" t="s">
        <v>38</v>
      </c>
      <c r="D2365" s="108" t="s">
        <v>143</v>
      </c>
      <c r="E2365" s="108" t="s">
        <v>10</v>
      </c>
      <c r="F2365" s="116">
        <v>826</v>
      </c>
      <c r="G2365" s="108" t="s">
        <v>59</v>
      </c>
      <c r="H2365" s="108" t="str">
        <f t="shared" si="188"/>
        <v>Cascade River</v>
      </c>
      <c r="I2365" s="108" t="str">
        <f>IFERROR(VLOOKUP(H2365,LUTs!$A$1:$C$73,2,FALSE),"NA")</f>
        <v>Skagit</v>
      </c>
      <c r="J2365" s="108" t="str">
        <f>IFERROR(VLOOKUP(H2365,LUTs!$A$1:$C$73,3,FALSE),"NA")</f>
        <v>1North Puget Sound</v>
      </c>
      <c r="K2365" s="108" t="s">
        <v>17</v>
      </c>
      <c r="L2365" s="108" t="str">
        <f>VLOOKUP(K2365,LUTs!E$2:G$14,3,)</f>
        <v>04Island</v>
      </c>
      <c r="M2365" s="108" t="str">
        <f>VLOOKUP($K2365,LUTs!$E$2:$H$14,2,)</f>
        <v>North Puget Sound</v>
      </c>
      <c r="N2365" s="108" t="str">
        <f>VLOOKUP($K2365,LUTs!$E$2:$H$14,4,)</f>
        <v>01North Puget Sound</v>
      </c>
      <c r="O2365" s="108">
        <v>62.531645569620302</v>
      </c>
      <c r="P2365" s="108">
        <v>215.10886075949401</v>
      </c>
      <c r="Q2365" s="108">
        <f>SUMIFS('FW_Salmon_by_Month_2010-2021'!P$2:P$3810,'FW_Salmon_by_Month_2010-2021'!$B$2:$B$3810,'Rec_raw_catch_effort_2010-2021'!$B2365,'FW_Salmon_by_Month_2010-2021'!$H$2:$H$3810,'Rec_raw_catch_effort_2010-2021'!$F2365,'FW_Salmon_by_Month_2010-2021'!$M$2:$M$3810,'Rec_raw_catch_effort_2010-2021'!$K2365)</f>
        <v>62.580475998386397</v>
      </c>
      <c r="R2365" s="109">
        <f>VLOOKUP(B2365,Readme!$A$62:$C$74,2,)*Q2365</f>
        <v>221.47483529912228</v>
      </c>
      <c r="S2365" s="140" t="str">
        <f t="shared" si="185"/>
        <v>Y</v>
      </c>
      <c r="T2365" s="154">
        <f t="shared" si="186"/>
        <v>3.4400000000000026</v>
      </c>
      <c r="U2365" s="154">
        <f t="shared" si="187"/>
        <v>3.5390404397824153</v>
      </c>
    </row>
    <row r="2366" spans="1:21" x14ac:dyDescent="0.35">
      <c r="A2366" s="108">
        <v>1623</v>
      </c>
      <c r="B2366" s="108">
        <v>2019</v>
      </c>
      <c r="C2366" s="108" t="s">
        <v>38</v>
      </c>
      <c r="D2366" s="108" t="s">
        <v>143</v>
      </c>
      <c r="E2366" s="108" t="s">
        <v>10</v>
      </c>
      <c r="F2366" s="116">
        <v>826</v>
      </c>
      <c r="G2366" s="108" t="s">
        <v>59</v>
      </c>
      <c r="H2366" s="108" t="str">
        <f t="shared" si="188"/>
        <v>Cascade River</v>
      </c>
      <c r="I2366" s="108" t="str">
        <f>IFERROR(VLOOKUP(H2366,LUTs!$A$1:$C$73,2,FALSE),"NA")</f>
        <v>Skagit</v>
      </c>
      <c r="J2366" s="108" t="str">
        <f>IFERROR(VLOOKUP(H2366,LUTs!$A$1:$C$73,3,FALSE),"NA")</f>
        <v>1North Puget Sound</v>
      </c>
      <c r="K2366" s="108" t="s">
        <v>18</v>
      </c>
      <c r="L2366" s="108" t="str">
        <f>VLOOKUP(K2366,LUTs!E$2:G$14,3,)</f>
        <v>06King</v>
      </c>
      <c r="M2366" s="108" t="str">
        <f>VLOOKUP($K2366,LUTs!$E$2:$H$14,2,)</f>
        <v>South Puget Sound</v>
      </c>
      <c r="N2366" s="108" t="str">
        <f>VLOOKUP($K2366,LUTs!$E$2:$H$14,4,)</f>
        <v>02South Puget Sound</v>
      </c>
      <c r="O2366" s="108">
        <v>562.78481012658199</v>
      </c>
      <c r="P2366" s="108">
        <v>1935.97974683544</v>
      </c>
      <c r="Q2366" s="108">
        <f>SUMIFS('FW_Salmon_by_Month_2010-2021'!P$2:P$3810,'FW_Salmon_by_Month_2010-2021'!$B$2:$B$3810,'Rec_raw_catch_effort_2010-2021'!$B2366,'FW_Salmon_by_Month_2010-2021'!$H$2:$H$3810,'Rec_raw_catch_effort_2010-2021'!$F2366,'FW_Salmon_by_Month_2010-2021'!$M$2:$M$3810,'Rec_raw_catch_effort_2010-2021'!$K2366)</f>
        <v>562.148517547398</v>
      </c>
      <c r="R2366" s="109">
        <f>VLOOKUP(B2366,Readme!$A$62:$C$74,2,)*Q2366</f>
        <v>1989.4663367639762</v>
      </c>
      <c r="S2366" s="140" t="str">
        <f t="shared" si="185"/>
        <v>Y</v>
      </c>
      <c r="T2366" s="154">
        <f t="shared" si="186"/>
        <v>3.4399999999999964</v>
      </c>
      <c r="U2366" s="154">
        <f t="shared" si="187"/>
        <v>3.5390404397824153</v>
      </c>
    </row>
    <row r="2367" spans="1:21" x14ac:dyDescent="0.35">
      <c r="A2367" s="108">
        <v>1625</v>
      </c>
      <c r="B2367" s="108">
        <v>2019</v>
      </c>
      <c r="C2367" s="108" t="s">
        <v>38</v>
      </c>
      <c r="D2367" s="108" t="s">
        <v>143</v>
      </c>
      <c r="E2367" s="108" t="s">
        <v>10</v>
      </c>
      <c r="F2367" s="116">
        <v>826</v>
      </c>
      <c r="G2367" s="108" t="s">
        <v>59</v>
      </c>
      <c r="H2367" s="108" t="str">
        <f t="shared" si="188"/>
        <v>Cascade River</v>
      </c>
      <c r="I2367" s="108" t="str">
        <f>IFERROR(VLOOKUP(H2367,LUTs!$A$1:$C$73,2,FALSE),"NA")</f>
        <v>Skagit</v>
      </c>
      <c r="J2367" s="108" t="str">
        <f>IFERROR(VLOOKUP(H2367,LUTs!$A$1:$C$73,3,FALSE),"NA")</f>
        <v>1North Puget Sound</v>
      </c>
      <c r="K2367" s="108" t="s">
        <v>26</v>
      </c>
      <c r="L2367" s="108" t="str">
        <f>VLOOKUP(K2367,LUTs!E$2:G$14,3,)</f>
        <v>20Other</v>
      </c>
      <c r="M2367" s="108" t="str">
        <f>VLOOKUP($K2367,LUTs!$E$2:$H$14,2,)</f>
        <v>Non Puget Sound</v>
      </c>
      <c r="N2367" s="108" t="str">
        <f>VLOOKUP($K2367,LUTs!$E$2:$H$14,4,)</f>
        <v>07Non Puget Sound</v>
      </c>
      <c r="O2367" s="108">
        <v>156.329113924051</v>
      </c>
      <c r="P2367" s="108">
        <v>537.77215189873505</v>
      </c>
      <c r="Q2367" s="108">
        <f>SUMIFS('FW_Salmon_by_Month_2010-2021'!P$2:P$3810,'FW_Salmon_by_Month_2010-2021'!$B$2:$B$3810,'Rec_raw_catch_effort_2010-2021'!$B2367,'FW_Salmon_by_Month_2010-2021'!$H$2:$H$3810,'Rec_raw_catch_effort_2010-2021'!$F2367,'FW_Salmon_by_Month_2010-2021'!$M$2:$M$3810,'Rec_raw_catch_effort_2010-2021'!$K2367)</f>
        <v>156.22947761194001</v>
      </c>
      <c r="R2367" s="109">
        <f>VLOOKUP(B2367,Readme!$A$62:$C$74,2,)*Q2367</f>
        <v>552.90243915473718</v>
      </c>
      <c r="S2367" s="140" t="str">
        <f t="shared" si="185"/>
        <v>Y</v>
      </c>
      <c r="T2367" s="154">
        <f t="shared" si="186"/>
        <v>3.4399999999999973</v>
      </c>
      <c r="U2367" s="154">
        <f t="shared" si="187"/>
        <v>3.5390404397824153</v>
      </c>
    </row>
    <row r="2368" spans="1:21" x14ac:dyDescent="0.35">
      <c r="A2368" s="108">
        <v>1624</v>
      </c>
      <c r="B2368" s="108">
        <v>2019</v>
      </c>
      <c r="C2368" s="108" t="s">
        <v>38</v>
      </c>
      <c r="D2368" s="108" t="s">
        <v>143</v>
      </c>
      <c r="E2368" s="108" t="s">
        <v>10</v>
      </c>
      <c r="F2368" s="116">
        <v>826</v>
      </c>
      <c r="G2368" s="108" t="s">
        <v>59</v>
      </c>
      <c r="H2368" s="108" t="str">
        <f t="shared" si="188"/>
        <v>Cascade River</v>
      </c>
      <c r="I2368" s="108" t="str">
        <f>IFERROR(VLOOKUP(H2368,LUTs!$A$1:$C$73,2,FALSE),"NA")</f>
        <v>Skagit</v>
      </c>
      <c r="J2368" s="108" t="str">
        <f>IFERROR(VLOOKUP(H2368,LUTs!$A$1:$C$73,3,FALSE),"NA")</f>
        <v>1North Puget Sound</v>
      </c>
      <c r="K2368" s="108" t="s">
        <v>20</v>
      </c>
      <c r="L2368" s="108" t="str">
        <f>VLOOKUP(K2368,LUTs!E$2:G$14,3,)</f>
        <v>07Pierce</v>
      </c>
      <c r="M2368" s="108" t="str">
        <f>VLOOKUP($K2368,LUTs!$E$2:$H$14,2,)</f>
        <v>South Puget Sound</v>
      </c>
      <c r="N2368" s="108" t="str">
        <f>VLOOKUP($K2368,LUTs!$E$2:$H$14,4,)</f>
        <v>02South Puget Sound</v>
      </c>
      <c r="O2368" s="108">
        <v>31.265822784810101</v>
      </c>
      <c r="P2368" s="108">
        <v>107.554430379747</v>
      </c>
      <c r="Q2368" s="108">
        <f>SUMIFS('FW_Salmon_by_Month_2010-2021'!P$2:P$3810,'FW_Salmon_by_Month_2010-2021'!$B$2:$B$3810,'Rec_raw_catch_effort_2010-2021'!$B2368,'FW_Salmon_by_Month_2010-2021'!$H$2:$H$3810,'Rec_raw_catch_effort_2010-2021'!$F2368,'FW_Salmon_by_Month_2010-2021'!$M$2:$M$3810,'Rec_raw_catch_effort_2010-2021'!$K2368)</f>
        <v>31.283178701089099</v>
      </c>
      <c r="R2368" s="109">
        <f>VLOOKUP(B2368,Readme!$A$62:$C$74,2,)*Q2368</f>
        <v>110.71243450809425</v>
      </c>
      <c r="S2368" s="140" t="str">
        <f t="shared" si="185"/>
        <v>Y</v>
      </c>
      <c r="T2368" s="154">
        <f t="shared" si="186"/>
        <v>3.4400000000000079</v>
      </c>
      <c r="U2368" s="154">
        <f t="shared" si="187"/>
        <v>3.5390404397824153</v>
      </c>
    </row>
    <row r="2369" spans="1:21" x14ac:dyDescent="0.35">
      <c r="A2369" s="108">
        <v>1581</v>
      </c>
      <c r="B2369" s="108">
        <v>2019</v>
      </c>
      <c r="C2369" s="108" t="s">
        <v>38</v>
      </c>
      <c r="D2369" s="108" t="s">
        <v>143</v>
      </c>
      <c r="E2369" s="108" t="s">
        <v>10</v>
      </c>
      <c r="F2369" s="116">
        <v>826</v>
      </c>
      <c r="G2369" s="108" t="s">
        <v>59</v>
      </c>
      <c r="H2369" s="108" t="str">
        <f t="shared" si="188"/>
        <v>Cascade River</v>
      </c>
      <c r="I2369" s="108" t="str">
        <f>IFERROR(VLOOKUP(H2369,LUTs!$A$1:$C$73,2,FALSE),"NA")</f>
        <v>Skagit</v>
      </c>
      <c r="J2369" s="108" t="str">
        <f>IFERROR(VLOOKUP(H2369,LUTs!$A$1:$C$73,3,FALSE),"NA")</f>
        <v>1North Puget Sound</v>
      </c>
      <c r="K2369" s="108" t="s">
        <v>30</v>
      </c>
      <c r="L2369" s="108" t="str">
        <f>VLOOKUP(K2369,LUTs!E$2:G$14,3,)</f>
        <v>05San Juan</v>
      </c>
      <c r="M2369" s="108" t="str">
        <f>VLOOKUP($K2369,LUTs!$E$2:$H$14,2,)</f>
        <v>North Puget Sound</v>
      </c>
      <c r="N2369" s="108" t="str">
        <f>VLOOKUP($K2369,LUTs!$E$2:$H$14,4,)</f>
        <v>01North Puget Sound</v>
      </c>
      <c r="O2369" s="108">
        <v>20.843881856540101</v>
      </c>
      <c r="P2369" s="108">
        <v>71.702953586497898</v>
      </c>
      <c r="Q2369" s="108">
        <f>SUMIFS('FW_Salmon_by_Month_2010-2021'!P$2:P$3810,'FW_Salmon_by_Month_2010-2021'!$B$2:$B$3810,'Rec_raw_catch_effort_2010-2021'!$B2369,'FW_Salmon_by_Month_2010-2021'!$H$2:$H$3810,'Rec_raw_catch_effort_2010-2021'!$F2369,'FW_Salmon_by_Month_2010-2021'!$M$2:$M$3810,'Rec_raw_catch_effort_2010-2021'!$K2369)</f>
        <v>20.8507462686567</v>
      </c>
      <c r="R2369" s="109">
        <f>VLOOKUP(B2369,Readme!$A$62:$C$74,2,)*Q2369</f>
        <v>73.791634244418361</v>
      </c>
      <c r="S2369" s="140" t="str">
        <f t="shared" si="185"/>
        <v>Y</v>
      </c>
      <c r="T2369" s="154">
        <f t="shared" si="186"/>
        <v>3.4399999999999977</v>
      </c>
      <c r="U2369" s="154">
        <f t="shared" si="187"/>
        <v>3.5390404397824153</v>
      </c>
    </row>
    <row r="2370" spans="1:21" x14ac:dyDescent="0.35">
      <c r="A2370" s="108">
        <v>1574</v>
      </c>
      <c r="B2370" s="108">
        <v>2019</v>
      </c>
      <c r="C2370" s="108" t="s">
        <v>38</v>
      </c>
      <c r="D2370" s="108" t="s">
        <v>143</v>
      </c>
      <c r="E2370" s="108" t="s">
        <v>10</v>
      </c>
      <c r="F2370" s="116">
        <v>826</v>
      </c>
      <c r="G2370" s="108" t="s">
        <v>59</v>
      </c>
      <c r="H2370" s="108" t="str">
        <f t="shared" si="188"/>
        <v>Cascade River</v>
      </c>
      <c r="I2370" s="108" t="str">
        <f>IFERROR(VLOOKUP(H2370,LUTs!$A$1:$C$73,2,FALSE),"NA")</f>
        <v>Skagit</v>
      </c>
      <c r="J2370" s="108" t="str">
        <f>IFERROR(VLOOKUP(H2370,LUTs!$A$1:$C$73,3,FALSE),"NA")</f>
        <v>1North Puget Sound</v>
      </c>
      <c r="K2370" s="108" t="s">
        <v>15</v>
      </c>
      <c r="L2370" s="108" t="str">
        <f>VLOOKUP(K2370,LUTs!E$2:G$14,3,)</f>
        <v>02Skagit</v>
      </c>
      <c r="M2370" s="108" t="str">
        <f>VLOOKUP($K2370,LUTs!$E$2:$H$14,2,)</f>
        <v>North Puget Sound</v>
      </c>
      <c r="N2370" s="108" t="str">
        <f>VLOOKUP($K2370,LUTs!$E$2:$H$14,4,)</f>
        <v>01North Puget Sound</v>
      </c>
      <c r="O2370" s="108">
        <v>1063.0379746835399</v>
      </c>
      <c r="P2370" s="108">
        <v>3656.8506329113802</v>
      </c>
      <c r="Q2370" s="108">
        <f>SUMIFS('FW_Salmon_by_Month_2010-2021'!P$2:P$3810,'FW_Salmon_by_Month_2010-2021'!$B$2:$B$3810,'Rec_raw_catch_effort_2010-2021'!$B2370,'FW_Salmon_by_Month_2010-2021'!$H$2:$H$3810,'Rec_raw_catch_effort_2010-2021'!$F2370,'FW_Salmon_by_Month_2010-2021'!$M$2:$M$3810,'Rec_raw_catch_effort_2010-2021'!$K2370)</f>
        <v>1063.426583299718</v>
      </c>
      <c r="R2370" s="109">
        <f>VLOOKUP(B2370,Readme!$A$62:$C$74,2,)*Q2370</f>
        <v>3763.5096830373454</v>
      </c>
      <c r="S2370" s="140" t="str">
        <f t="shared" si="185"/>
        <v>Y</v>
      </c>
      <c r="T2370" s="154">
        <f t="shared" si="186"/>
        <v>3.4400000000000026</v>
      </c>
      <c r="U2370" s="154">
        <f t="shared" si="187"/>
        <v>3.5390404397824153</v>
      </c>
    </row>
    <row r="2371" spans="1:21" x14ac:dyDescent="0.35">
      <c r="A2371" s="108">
        <v>1575</v>
      </c>
      <c r="B2371" s="108">
        <v>2019</v>
      </c>
      <c r="C2371" s="108" t="s">
        <v>38</v>
      </c>
      <c r="D2371" s="108" t="s">
        <v>143</v>
      </c>
      <c r="E2371" s="108" t="s">
        <v>10</v>
      </c>
      <c r="F2371" s="116">
        <v>826</v>
      </c>
      <c r="G2371" s="108" t="s">
        <v>59</v>
      </c>
      <c r="H2371" s="108" t="str">
        <f t="shared" si="188"/>
        <v>Cascade River</v>
      </c>
      <c r="I2371" s="108" t="str">
        <f>IFERROR(VLOOKUP(H2371,LUTs!$A$1:$C$73,2,FALSE),"NA")</f>
        <v>Skagit</v>
      </c>
      <c r="J2371" s="108" t="str">
        <f>IFERROR(VLOOKUP(H2371,LUTs!$A$1:$C$73,3,FALSE),"NA")</f>
        <v>1North Puget Sound</v>
      </c>
      <c r="K2371" s="108" t="s">
        <v>16</v>
      </c>
      <c r="L2371" s="108" t="str">
        <f>VLOOKUP(K2371,LUTs!E$2:G$14,3,)</f>
        <v>03Snohomish</v>
      </c>
      <c r="M2371" s="108" t="str">
        <f>VLOOKUP($K2371,LUTs!$E$2:$H$14,2,)</f>
        <v>North Puget Sound</v>
      </c>
      <c r="N2371" s="108" t="str">
        <f>VLOOKUP($K2371,LUTs!$E$2:$H$14,4,)</f>
        <v>01North Puget Sound</v>
      </c>
      <c r="O2371" s="108">
        <v>531.518987341772</v>
      </c>
      <c r="P2371" s="108">
        <v>1828.4253164557001</v>
      </c>
      <c r="Q2371" s="108">
        <f>SUMIFS('FW_Salmon_by_Month_2010-2021'!P$2:P$3810,'FW_Salmon_by_Month_2010-2021'!$B$2:$B$3810,'Rec_raw_catch_effort_2010-2021'!$B2371,'FW_Salmon_by_Month_2010-2021'!$H$2:$H$3810,'Rec_raw_catch_effort_2010-2021'!$F2371,'FW_Salmon_by_Month_2010-2021'!$M$2:$M$3810,'Rec_raw_catch_effort_2010-2021'!$K2371)</f>
        <v>531.93102057281203</v>
      </c>
      <c r="R2371" s="109">
        <f>VLOOKUP(B2371,Readme!$A$62:$C$74,2,)*Q2371</f>
        <v>1882.5253929819137</v>
      </c>
      <c r="S2371" s="140" t="str">
        <f t="shared" ref="S2371:S2434" si="189">IF(B2371&lt;=2019,"Y","N")</f>
        <v>Y</v>
      </c>
      <c r="T2371" s="154">
        <f t="shared" ref="T2371:T2434" si="190">IFERROR(P2371/O2371,"NA")</f>
        <v>3.4400000000000084</v>
      </c>
      <c r="U2371" s="154">
        <f t="shared" ref="U2371:U2434" si="191">IFERROR(R2371/Q2371,"NA")</f>
        <v>3.5390404397824153</v>
      </c>
    </row>
    <row r="2372" spans="1:21" x14ac:dyDescent="0.35">
      <c r="A2372" s="108">
        <v>1573</v>
      </c>
      <c r="B2372" s="108">
        <v>2019</v>
      </c>
      <c r="C2372" s="108" t="s">
        <v>38</v>
      </c>
      <c r="D2372" s="108" t="s">
        <v>143</v>
      </c>
      <c r="E2372" s="108" t="s">
        <v>10</v>
      </c>
      <c r="F2372" s="116">
        <v>826</v>
      </c>
      <c r="G2372" s="108" t="s">
        <v>59</v>
      </c>
      <c r="H2372" s="108" t="str">
        <f t="shared" si="188"/>
        <v>Cascade River</v>
      </c>
      <c r="I2372" s="108" t="str">
        <f>IFERROR(VLOOKUP(H2372,LUTs!$A$1:$C$73,2,FALSE),"NA")</f>
        <v>Skagit</v>
      </c>
      <c r="J2372" s="108" t="str">
        <f>IFERROR(VLOOKUP(H2372,LUTs!$A$1:$C$73,3,FALSE),"NA")</f>
        <v>1North Puget Sound</v>
      </c>
      <c r="K2372" s="108" t="s">
        <v>13</v>
      </c>
      <c r="L2372" s="108" t="str">
        <f>VLOOKUP(K2372,LUTs!E$2:G$14,3,)</f>
        <v>01Whatcom</v>
      </c>
      <c r="M2372" s="108" t="str">
        <f>VLOOKUP($K2372,LUTs!$E$2:$H$14,2,)</f>
        <v>North Puget Sound</v>
      </c>
      <c r="N2372" s="108" t="str">
        <f>VLOOKUP($K2372,LUTs!$E$2:$H$14,4,)</f>
        <v>01North Puget Sound</v>
      </c>
      <c r="O2372" s="108">
        <v>41.687763713080201</v>
      </c>
      <c r="P2372" s="108">
        <v>143.405907172996</v>
      </c>
      <c r="Q2372" s="108">
        <f>SUMIFS('FW_Salmon_by_Month_2010-2021'!P$2:P$3810,'FW_Salmon_by_Month_2010-2021'!$B$2:$B$3810,'Rec_raw_catch_effort_2010-2021'!$B2372,'FW_Salmon_by_Month_2010-2021'!$H$2:$H$3810,'Rec_raw_catch_effort_2010-2021'!$F2372,'FW_Salmon_by_Month_2010-2021'!$M$2:$M$3810,'Rec_raw_catch_effort_2010-2021'!$K2372)</f>
        <v>41.55</v>
      </c>
      <c r="R2372" s="109">
        <f>VLOOKUP(B2372,Readme!$A$62:$C$74,2,)*Q2372</f>
        <v>147.04713027295935</v>
      </c>
      <c r="S2372" s="140" t="str">
        <f t="shared" si="189"/>
        <v>Y</v>
      </c>
      <c r="T2372" s="154">
        <f t="shared" si="190"/>
        <v>3.4400000000000026</v>
      </c>
      <c r="U2372" s="154">
        <f t="shared" si="191"/>
        <v>3.5390404397824153</v>
      </c>
    </row>
    <row r="2373" spans="1:21" x14ac:dyDescent="0.35">
      <c r="A2373" s="108">
        <v>1667</v>
      </c>
      <c r="B2373" s="108">
        <v>2020</v>
      </c>
      <c r="C2373" s="108" t="s">
        <v>38</v>
      </c>
      <c r="D2373" s="108" t="s">
        <v>143</v>
      </c>
      <c r="E2373" s="108" t="s">
        <v>10</v>
      </c>
      <c r="F2373" s="116">
        <v>826</v>
      </c>
      <c r="G2373" s="108" t="s">
        <v>59</v>
      </c>
      <c r="H2373" s="108" t="str">
        <f t="shared" si="188"/>
        <v>Cascade River</v>
      </c>
      <c r="I2373" s="108" t="str">
        <f>IFERROR(VLOOKUP(H2373,LUTs!$A$1:$C$73,2,FALSE),"NA")</f>
        <v>Skagit</v>
      </c>
      <c r="J2373" s="108" t="str">
        <f>IFERROR(VLOOKUP(H2373,LUTs!$A$1:$C$73,3,FALSE),"NA")</f>
        <v>1North Puget Sound</v>
      </c>
      <c r="K2373" s="108" t="s">
        <v>17</v>
      </c>
      <c r="L2373" s="108" t="str">
        <f>VLOOKUP(K2373,LUTs!E$2:G$14,3,)</f>
        <v>04Island</v>
      </c>
      <c r="M2373" s="108" t="str">
        <f>VLOOKUP($K2373,LUTs!$E$2:$H$14,2,)</f>
        <v>North Puget Sound</v>
      </c>
      <c r="N2373" s="108" t="str">
        <f>VLOOKUP($K2373,LUTs!$E$2:$H$14,4,)</f>
        <v>01North Puget Sound</v>
      </c>
      <c r="O2373" s="108">
        <v>374.30405405405401</v>
      </c>
      <c r="P2373" s="108">
        <v>3237.7300675675701</v>
      </c>
      <c r="Q2373" s="108">
        <f>SUMIFS('FW_Salmon_by_Month_2010-2021'!P$2:P$3810,'FW_Salmon_by_Month_2010-2021'!$B$2:$B$3810,'Rec_raw_catch_effort_2010-2021'!$B2373,'FW_Salmon_by_Month_2010-2021'!$H$2:$H$3810,'Rec_raw_catch_effort_2010-2021'!$F2373,'FW_Salmon_by_Month_2010-2021'!$M$2:$M$3810,'Rec_raw_catch_effort_2010-2021'!$K2373)</f>
        <v>374.35279374907799</v>
      </c>
      <c r="R2373" s="109">
        <f>VLOOKUP(B2373,Readme!$A$62:$C$74,2,)*Q2373</f>
        <v>1804.2138429818492</v>
      </c>
      <c r="S2373" s="140" t="str">
        <f t="shared" si="189"/>
        <v>N</v>
      </c>
      <c r="T2373" s="154">
        <f t="shared" si="190"/>
        <v>8.6500000000000075</v>
      </c>
      <c r="U2373" s="154">
        <f t="shared" si="191"/>
        <v>4.8195549041132084</v>
      </c>
    </row>
    <row r="2374" spans="1:21" x14ac:dyDescent="0.35">
      <c r="A2374" s="108">
        <v>1668</v>
      </c>
      <c r="B2374" s="108">
        <v>2020</v>
      </c>
      <c r="C2374" s="108" t="s">
        <v>38</v>
      </c>
      <c r="D2374" s="108" t="s">
        <v>143</v>
      </c>
      <c r="E2374" s="108" t="s">
        <v>10</v>
      </c>
      <c r="F2374" s="116">
        <v>826</v>
      </c>
      <c r="G2374" s="108" t="s">
        <v>59</v>
      </c>
      <c r="H2374" s="108" t="str">
        <f t="shared" si="188"/>
        <v>Cascade River</v>
      </c>
      <c r="I2374" s="108" t="str">
        <f>IFERROR(VLOOKUP(H2374,LUTs!$A$1:$C$73,2,FALSE),"NA")</f>
        <v>Skagit</v>
      </c>
      <c r="J2374" s="108" t="str">
        <f>IFERROR(VLOOKUP(H2374,LUTs!$A$1:$C$73,3,FALSE),"NA")</f>
        <v>1North Puget Sound</v>
      </c>
      <c r="K2374" s="108" t="s">
        <v>18</v>
      </c>
      <c r="L2374" s="108" t="str">
        <f>VLOOKUP(K2374,LUTs!E$2:G$14,3,)</f>
        <v>06King</v>
      </c>
      <c r="M2374" s="108" t="str">
        <f>VLOOKUP($K2374,LUTs!$E$2:$H$14,2,)</f>
        <v>South Puget Sound</v>
      </c>
      <c r="N2374" s="108" t="str">
        <f>VLOOKUP($K2374,LUTs!$E$2:$H$14,4,)</f>
        <v>02South Puget Sound</v>
      </c>
      <c r="O2374" s="108">
        <v>736.53378378378397</v>
      </c>
      <c r="P2374" s="108">
        <v>6371.0172297297304</v>
      </c>
      <c r="Q2374" s="108">
        <f>SUMIFS('FW_Salmon_by_Month_2010-2021'!P$2:P$3810,'FW_Salmon_by_Month_2010-2021'!$B$2:$B$3810,'Rec_raw_catch_effort_2010-2021'!$B2374,'FW_Salmon_by_Month_2010-2021'!$H$2:$H$3810,'Rec_raw_catch_effort_2010-2021'!$F2374,'FW_Salmon_by_Month_2010-2021'!$M$2:$M$3810,'Rec_raw_catch_effort_2010-2021'!$K2374)</f>
        <v>736.55118187625999</v>
      </c>
      <c r="R2374" s="109">
        <f>VLOOKUP(B2374,Readme!$A$62:$C$74,2,)*Q2374</f>
        <v>3549.8488607421086</v>
      </c>
      <c r="S2374" s="140" t="str">
        <f t="shared" si="189"/>
        <v>N</v>
      </c>
      <c r="T2374" s="154">
        <f t="shared" si="190"/>
        <v>8.6499999999999986</v>
      </c>
      <c r="U2374" s="154">
        <f t="shared" si="191"/>
        <v>4.8195549041132084</v>
      </c>
    </row>
    <row r="2375" spans="1:21" x14ac:dyDescent="0.35">
      <c r="A2375" s="108">
        <v>1728</v>
      </c>
      <c r="B2375" s="108">
        <v>2020</v>
      </c>
      <c r="C2375" s="108" t="s">
        <v>38</v>
      </c>
      <c r="D2375" s="108" t="s">
        <v>143</v>
      </c>
      <c r="E2375" s="108" t="s">
        <v>10</v>
      </c>
      <c r="F2375" s="116">
        <v>826</v>
      </c>
      <c r="G2375" s="108" t="s">
        <v>59</v>
      </c>
      <c r="H2375" s="108" t="str">
        <f t="shared" si="188"/>
        <v>Cascade River</v>
      </c>
      <c r="I2375" s="108" t="str">
        <f>IFERROR(VLOOKUP(H2375,LUTs!$A$1:$C$73,2,FALSE),"NA")</f>
        <v>Skagit</v>
      </c>
      <c r="J2375" s="108" t="str">
        <f>IFERROR(VLOOKUP(H2375,LUTs!$A$1:$C$73,3,FALSE),"NA")</f>
        <v>1North Puget Sound</v>
      </c>
      <c r="K2375" s="108" t="s">
        <v>26</v>
      </c>
      <c r="L2375" s="108" t="str">
        <f>VLOOKUP(K2375,LUTs!E$2:G$14,3,)</f>
        <v>20Other</v>
      </c>
      <c r="M2375" s="108" t="str">
        <f>VLOOKUP($K2375,LUTs!$E$2:$H$14,2,)</f>
        <v>Non Puget Sound</v>
      </c>
      <c r="N2375" s="108" t="str">
        <f>VLOOKUP($K2375,LUTs!$E$2:$H$14,4,)</f>
        <v>07Non Puget Sound</v>
      </c>
      <c r="O2375" s="108">
        <v>12.0743243243243</v>
      </c>
      <c r="P2375" s="108">
        <v>104.442905405405</v>
      </c>
      <c r="Q2375" s="108">
        <f>SUMIFS('FW_Salmon_by_Month_2010-2021'!P$2:P$3810,'FW_Salmon_by_Month_2010-2021'!$B$2:$B$3810,'Rec_raw_catch_effort_2010-2021'!$B2375,'FW_Salmon_by_Month_2010-2021'!$H$2:$H$3810,'Rec_raw_catch_effort_2010-2021'!$F2375,'FW_Salmon_by_Month_2010-2021'!$M$2:$M$3810,'Rec_raw_catch_effort_2010-2021'!$K2375)</f>
        <v>12.0760233918129</v>
      </c>
      <c r="R2375" s="109">
        <f>VLOOKUP(B2375,Readme!$A$62:$C$74,2,)*Q2375</f>
        <v>58.201057760197685</v>
      </c>
      <c r="S2375" s="140" t="str">
        <f t="shared" si="189"/>
        <v>N</v>
      </c>
      <c r="T2375" s="154">
        <f t="shared" si="190"/>
        <v>8.6499999999999844</v>
      </c>
      <c r="U2375" s="154">
        <f t="shared" si="191"/>
        <v>4.8195549041132084</v>
      </c>
    </row>
    <row r="2376" spans="1:21" x14ac:dyDescent="0.35">
      <c r="A2376" s="108">
        <v>1669</v>
      </c>
      <c r="B2376" s="108">
        <v>2020</v>
      </c>
      <c r="C2376" s="108" t="s">
        <v>38</v>
      </c>
      <c r="D2376" s="108" t="s">
        <v>143</v>
      </c>
      <c r="E2376" s="108" t="s">
        <v>10</v>
      </c>
      <c r="F2376" s="116">
        <v>826</v>
      </c>
      <c r="G2376" s="108" t="s">
        <v>59</v>
      </c>
      <c r="H2376" s="108" t="str">
        <f t="shared" si="188"/>
        <v>Cascade River</v>
      </c>
      <c r="I2376" s="108" t="str">
        <f>IFERROR(VLOOKUP(H2376,LUTs!$A$1:$C$73,2,FALSE),"NA")</f>
        <v>Skagit</v>
      </c>
      <c r="J2376" s="108" t="str">
        <f>IFERROR(VLOOKUP(H2376,LUTs!$A$1:$C$73,3,FALSE),"NA")</f>
        <v>1North Puget Sound</v>
      </c>
      <c r="K2376" s="108" t="s">
        <v>20</v>
      </c>
      <c r="L2376" s="108" t="str">
        <f>VLOOKUP(K2376,LUTs!E$2:G$14,3,)</f>
        <v>07Pierce</v>
      </c>
      <c r="M2376" s="108" t="str">
        <f>VLOOKUP($K2376,LUTs!$E$2:$H$14,2,)</f>
        <v>South Puget Sound</v>
      </c>
      <c r="N2376" s="108" t="str">
        <f>VLOOKUP($K2376,LUTs!$E$2:$H$14,4,)</f>
        <v>02South Puget Sound</v>
      </c>
      <c r="O2376" s="108">
        <v>12.0743243243243</v>
      </c>
      <c r="P2376" s="108">
        <v>104.442905405405</v>
      </c>
      <c r="Q2376" s="108">
        <f>SUMIFS('FW_Salmon_by_Month_2010-2021'!P$2:P$3810,'FW_Salmon_by_Month_2010-2021'!$B$2:$B$3810,'Rec_raw_catch_effort_2010-2021'!$B2376,'FW_Salmon_by_Month_2010-2021'!$H$2:$H$3810,'Rec_raw_catch_effort_2010-2021'!$F2376,'FW_Salmon_by_Month_2010-2021'!$M$2:$M$3810,'Rec_raw_catch_effort_2010-2021'!$K2376)</f>
        <v>12.075630252100799</v>
      </c>
      <c r="R2376" s="109">
        <f>VLOOKUP(B2376,Readme!$A$62:$C$74,2,)*Q2376</f>
        <v>58.199163001770224</v>
      </c>
      <c r="S2376" s="140" t="str">
        <f t="shared" si="189"/>
        <v>N</v>
      </c>
      <c r="T2376" s="154">
        <f t="shared" si="190"/>
        <v>8.6499999999999844</v>
      </c>
      <c r="U2376" s="154">
        <f t="shared" si="191"/>
        <v>4.8195549041132084</v>
      </c>
    </row>
    <row r="2377" spans="1:21" x14ac:dyDescent="0.35">
      <c r="A2377" s="108">
        <v>1665</v>
      </c>
      <c r="B2377" s="108">
        <v>2020</v>
      </c>
      <c r="C2377" s="108" t="s">
        <v>38</v>
      </c>
      <c r="D2377" s="108" t="s">
        <v>143</v>
      </c>
      <c r="E2377" s="108" t="s">
        <v>10</v>
      </c>
      <c r="F2377" s="116">
        <v>826</v>
      </c>
      <c r="G2377" s="108" t="s">
        <v>59</v>
      </c>
      <c r="H2377" s="108" t="str">
        <f t="shared" si="188"/>
        <v>Cascade River</v>
      </c>
      <c r="I2377" s="108" t="str">
        <f>IFERROR(VLOOKUP(H2377,LUTs!$A$1:$C$73,2,FALSE),"NA")</f>
        <v>Skagit</v>
      </c>
      <c r="J2377" s="108" t="str">
        <f>IFERROR(VLOOKUP(H2377,LUTs!$A$1:$C$73,3,FALSE),"NA")</f>
        <v>1North Puget Sound</v>
      </c>
      <c r="K2377" s="108" t="s">
        <v>15</v>
      </c>
      <c r="L2377" s="108" t="str">
        <f>VLOOKUP(K2377,LUTs!E$2:G$14,3,)</f>
        <v>02Skagit</v>
      </c>
      <c r="M2377" s="108" t="str">
        <f>VLOOKUP($K2377,LUTs!$E$2:$H$14,2,)</f>
        <v>North Puget Sound</v>
      </c>
      <c r="N2377" s="108" t="str">
        <f>VLOOKUP($K2377,LUTs!$E$2:$H$14,4,)</f>
        <v>01North Puget Sound</v>
      </c>
      <c r="O2377" s="108">
        <v>422.60135135135101</v>
      </c>
      <c r="P2377" s="108">
        <v>3655.5016891891901</v>
      </c>
      <c r="Q2377" s="108">
        <f>SUMIFS('FW_Salmon_by_Month_2010-2021'!P$2:P$3810,'FW_Salmon_by_Month_2010-2021'!$B$2:$B$3810,'Rec_raw_catch_effort_2010-2021'!$B2377,'FW_Salmon_by_Month_2010-2021'!$H$2:$H$3810,'Rec_raw_catch_effort_2010-2021'!$F2377,'FW_Salmon_by_Month_2010-2021'!$M$2:$M$3810,'Rec_raw_catch_effort_2010-2021'!$K2377)</f>
        <v>422.65570789719396</v>
      </c>
      <c r="R2377" s="109">
        <f>VLOOKUP(B2377,Readme!$A$62:$C$74,2,)*Q2377</f>
        <v>2037.0123897473609</v>
      </c>
      <c r="S2377" s="140" t="str">
        <f t="shared" si="189"/>
        <v>N</v>
      </c>
      <c r="T2377" s="154">
        <f t="shared" si="190"/>
        <v>8.6500000000000092</v>
      </c>
      <c r="U2377" s="154">
        <f t="shared" si="191"/>
        <v>4.8195549041132084</v>
      </c>
    </row>
    <row r="2378" spans="1:21" x14ac:dyDescent="0.35">
      <c r="A2378" s="108">
        <v>1666</v>
      </c>
      <c r="B2378" s="108">
        <v>2020</v>
      </c>
      <c r="C2378" s="108" t="s">
        <v>38</v>
      </c>
      <c r="D2378" s="108" t="s">
        <v>143</v>
      </c>
      <c r="E2378" s="108" t="s">
        <v>10</v>
      </c>
      <c r="F2378" s="116">
        <v>826</v>
      </c>
      <c r="G2378" s="108" t="s">
        <v>59</v>
      </c>
      <c r="H2378" s="108" t="str">
        <f t="shared" si="188"/>
        <v>Cascade River</v>
      </c>
      <c r="I2378" s="108" t="str">
        <f>IFERROR(VLOOKUP(H2378,LUTs!$A$1:$C$73,2,FALSE),"NA")</f>
        <v>Skagit</v>
      </c>
      <c r="J2378" s="108" t="str">
        <f>IFERROR(VLOOKUP(H2378,LUTs!$A$1:$C$73,3,FALSE),"NA")</f>
        <v>1North Puget Sound</v>
      </c>
      <c r="K2378" s="108" t="s">
        <v>16</v>
      </c>
      <c r="L2378" s="108" t="str">
        <f>VLOOKUP(K2378,LUTs!E$2:G$14,3,)</f>
        <v>03Snohomish</v>
      </c>
      <c r="M2378" s="108" t="str">
        <f>VLOOKUP($K2378,LUTs!$E$2:$H$14,2,)</f>
        <v>North Puget Sound</v>
      </c>
      <c r="N2378" s="108" t="str">
        <f>VLOOKUP($K2378,LUTs!$E$2:$H$14,4,)</f>
        <v>01North Puget Sound</v>
      </c>
      <c r="O2378" s="108">
        <v>1883.59459459459</v>
      </c>
      <c r="P2378" s="108">
        <v>16293.0932432432</v>
      </c>
      <c r="Q2378" s="108">
        <f>SUMIFS('FW_Salmon_by_Month_2010-2021'!P$2:P$3810,'FW_Salmon_by_Month_2010-2021'!$B$2:$B$3810,'Rec_raw_catch_effort_2010-2021'!$B2378,'FW_Salmon_by_Month_2010-2021'!$H$2:$H$3810,'Rec_raw_catch_effort_2010-2021'!$F2378,'FW_Salmon_by_Month_2010-2021'!$M$2:$M$3810,'Rec_raw_catch_effort_2010-2021'!$K2378)</f>
        <v>1883.452798663327</v>
      </c>
      <c r="R2378" s="109">
        <f>VLOOKUP(B2378,Readme!$A$62:$C$74,2,)*Q2378</f>
        <v>9077.4041724635845</v>
      </c>
      <c r="S2378" s="140" t="str">
        <f t="shared" si="189"/>
        <v>N</v>
      </c>
      <c r="T2378" s="154">
        <f t="shared" si="190"/>
        <v>8.6499999999999986</v>
      </c>
      <c r="U2378" s="154">
        <f t="shared" si="191"/>
        <v>4.8195549041132084</v>
      </c>
    </row>
    <row r="2379" spans="1:21" x14ac:dyDescent="0.35">
      <c r="A2379" s="108">
        <v>1664</v>
      </c>
      <c r="B2379" s="108">
        <v>2020</v>
      </c>
      <c r="C2379" s="108" t="s">
        <v>38</v>
      </c>
      <c r="D2379" s="108" t="s">
        <v>143</v>
      </c>
      <c r="E2379" s="108" t="s">
        <v>10</v>
      </c>
      <c r="F2379" s="116">
        <v>826</v>
      </c>
      <c r="G2379" s="108" t="s">
        <v>59</v>
      </c>
      <c r="H2379" s="108" t="str">
        <f t="shared" si="188"/>
        <v>Cascade River</v>
      </c>
      <c r="I2379" s="108" t="str">
        <f>IFERROR(VLOOKUP(H2379,LUTs!$A$1:$C$73,2,FALSE),"NA")</f>
        <v>Skagit</v>
      </c>
      <c r="J2379" s="108" t="str">
        <f>IFERROR(VLOOKUP(H2379,LUTs!$A$1:$C$73,3,FALSE),"NA")</f>
        <v>1North Puget Sound</v>
      </c>
      <c r="K2379" s="108" t="s">
        <v>13</v>
      </c>
      <c r="L2379" s="108" t="str">
        <f>VLOOKUP(K2379,LUTs!E$2:G$14,3,)</f>
        <v>01Whatcom</v>
      </c>
      <c r="M2379" s="108" t="str">
        <f>VLOOKUP($K2379,LUTs!$E$2:$H$14,2,)</f>
        <v>North Puget Sound</v>
      </c>
      <c r="N2379" s="108" t="str">
        <f>VLOOKUP($K2379,LUTs!$E$2:$H$14,4,)</f>
        <v>01North Puget Sound</v>
      </c>
      <c r="O2379" s="108">
        <v>132.81756756756801</v>
      </c>
      <c r="P2379" s="108">
        <v>1148.87195945946</v>
      </c>
      <c r="Q2379" s="108">
        <f>SUMIFS('FW_Salmon_by_Month_2010-2021'!P$2:P$3810,'FW_Salmon_by_Month_2010-2021'!$B$2:$B$3810,'Rec_raw_catch_effort_2010-2021'!$B2379,'FW_Salmon_by_Month_2010-2021'!$H$2:$H$3810,'Rec_raw_catch_effort_2010-2021'!$F2379,'FW_Salmon_by_Month_2010-2021'!$M$2:$M$3810,'Rec_raw_catch_effort_2010-2021'!$K2379)</f>
        <v>132.8358641702298</v>
      </c>
      <c r="R2379" s="109">
        <f>VLOOKUP(B2379,Readme!$A$62:$C$74,2,)*Q2379</f>
        <v>640.20974060374704</v>
      </c>
      <c r="S2379" s="140" t="str">
        <f t="shared" si="189"/>
        <v>N</v>
      </c>
      <c r="T2379" s="154">
        <f t="shared" si="190"/>
        <v>8.6499999999999755</v>
      </c>
      <c r="U2379" s="154">
        <f t="shared" si="191"/>
        <v>4.8195549041132084</v>
      </c>
    </row>
    <row r="2380" spans="1:21" x14ac:dyDescent="0.35">
      <c r="A2380" s="108">
        <v>1789</v>
      </c>
      <c r="B2380" s="108">
        <v>2021</v>
      </c>
      <c r="C2380" s="108" t="s">
        <v>38</v>
      </c>
      <c r="D2380" s="108" t="s">
        <v>143</v>
      </c>
      <c r="E2380" s="108" t="s">
        <v>10</v>
      </c>
      <c r="F2380" s="116">
        <v>826</v>
      </c>
      <c r="G2380" s="108" t="s">
        <v>59</v>
      </c>
      <c r="H2380" s="108" t="str">
        <f t="shared" si="188"/>
        <v>Cascade River</v>
      </c>
      <c r="I2380" s="108" t="str">
        <f>IFERROR(VLOOKUP(H2380,LUTs!$A$1:$C$73,2,FALSE),"NA")</f>
        <v>Skagit</v>
      </c>
      <c r="J2380" s="108" t="str">
        <f>IFERROR(VLOOKUP(H2380,LUTs!$A$1:$C$73,3,FALSE),"NA")</f>
        <v>1North Puget Sound</v>
      </c>
      <c r="K2380" s="108" t="s">
        <v>17</v>
      </c>
      <c r="L2380" s="108" t="str">
        <f>VLOOKUP(K2380,LUTs!E$2:G$14,3,)</f>
        <v>04Island</v>
      </c>
      <c r="M2380" s="108" t="str">
        <f>VLOOKUP($K2380,LUTs!$E$2:$H$14,2,)</f>
        <v>North Puget Sound</v>
      </c>
      <c r="N2380" s="108" t="str">
        <f>VLOOKUP($K2380,LUTs!$E$2:$H$14,4,)</f>
        <v>01North Puget Sound</v>
      </c>
      <c r="O2380" s="108">
        <v>542.36440677966095</v>
      </c>
      <c r="P2380" s="108">
        <v>1865.73355932203</v>
      </c>
      <c r="Q2380" s="108">
        <f>SUMIFS('FW_Salmon_by_Month_2010-2021'!P$2:P$3810,'FW_Salmon_by_Month_2010-2021'!$B$2:$B$3810,'Rec_raw_catch_effort_2010-2021'!$B2380,'FW_Salmon_by_Month_2010-2021'!$H$2:$H$3810,'Rec_raw_catch_effort_2010-2021'!$F2380,'FW_Salmon_by_Month_2010-2021'!$M$2:$M$3810,'Rec_raw_catch_effort_2010-2021'!$K2380)</f>
        <v>529.07329776422807</v>
      </c>
      <c r="R2380" s="109">
        <f>VLOOKUP(B2380,Readme!$A$62:$C$74,2,)*Q2380</f>
        <v>1872.4117963966464</v>
      </c>
      <c r="S2380" s="140" t="str">
        <f t="shared" si="189"/>
        <v>N</v>
      </c>
      <c r="T2380" s="154">
        <f t="shared" si="190"/>
        <v>3.4399999999999933</v>
      </c>
      <c r="U2380" s="154">
        <f t="shared" si="191"/>
        <v>3.5390404397824153</v>
      </c>
    </row>
    <row r="2381" spans="1:21" x14ac:dyDescent="0.35">
      <c r="A2381" s="108">
        <v>1790</v>
      </c>
      <c r="B2381" s="108">
        <v>2021</v>
      </c>
      <c r="C2381" s="108" t="s">
        <v>38</v>
      </c>
      <c r="D2381" s="108" t="s">
        <v>143</v>
      </c>
      <c r="E2381" s="108" t="s">
        <v>10</v>
      </c>
      <c r="F2381" s="116">
        <v>826</v>
      </c>
      <c r="G2381" s="108" t="s">
        <v>59</v>
      </c>
      <c r="H2381" s="108" t="str">
        <f t="shared" si="188"/>
        <v>Cascade River</v>
      </c>
      <c r="I2381" s="108" t="str">
        <f>IFERROR(VLOOKUP(H2381,LUTs!$A$1:$C$73,2,FALSE),"NA")</f>
        <v>Skagit</v>
      </c>
      <c r="J2381" s="108" t="str">
        <f>IFERROR(VLOOKUP(H2381,LUTs!$A$1:$C$73,3,FALSE),"NA")</f>
        <v>1North Puget Sound</v>
      </c>
      <c r="K2381" s="108" t="s">
        <v>18</v>
      </c>
      <c r="L2381" s="108" t="str">
        <f>VLOOKUP(K2381,LUTs!E$2:G$14,3,)</f>
        <v>06King</v>
      </c>
      <c r="M2381" s="108" t="str">
        <f>VLOOKUP($K2381,LUTs!$E$2:$H$14,2,)</f>
        <v>South Puget Sound</v>
      </c>
      <c r="N2381" s="108" t="str">
        <f>VLOOKUP($K2381,LUTs!$E$2:$H$14,4,)</f>
        <v>02South Puget Sound</v>
      </c>
      <c r="O2381" s="108">
        <v>403.296610169492</v>
      </c>
      <c r="P2381" s="108">
        <v>1387.3403389830501</v>
      </c>
      <c r="Q2381" s="108">
        <f>SUMIFS('FW_Salmon_by_Month_2010-2021'!P$2:P$3810,'FW_Salmon_by_Month_2010-2021'!$B$2:$B$3810,'Rec_raw_catch_effort_2010-2021'!$B2381,'FW_Salmon_by_Month_2010-2021'!$H$2:$H$3810,'Rec_raw_catch_effort_2010-2021'!$F2381,'FW_Salmon_by_Month_2010-2021'!$M$2:$M$3810,'Rec_raw_catch_effort_2010-2021'!$K2381)</f>
        <v>393.41641260162567</v>
      </c>
      <c r="R2381" s="109">
        <f>VLOOKUP(B2381,Readme!$A$62:$C$74,2,)*Q2381</f>
        <v>1392.3165938712775</v>
      </c>
      <c r="S2381" s="140" t="str">
        <f t="shared" si="189"/>
        <v>N</v>
      </c>
      <c r="T2381" s="154">
        <f t="shared" si="190"/>
        <v>3.4399999999999942</v>
      </c>
      <c r="U2381" s="154">
        <f t="shared" si="191"/>
        <v>3.5390404397824153</v>
      </c>
    </row>
    <row r="2382" spans="1:21" x14ac:dyDescent="0.35">
      <c r="A2382" s="108">
        <v>1791</v>
      </c>
      <c r="B2382" s="108">
        <v>2021</v>
      </c>
      <c r="C2382" s="108" t="s">
        <v>38</v>
      </c>
      <c r="D2382" s="108" t="s">
        <v>143</v>
      </c>
      <c r="E2382" s="108" t="s">
        <v>10</v>
      </c>
      <c r="F2382" s="116">
        <v>826</v>
      </c>
      <c r="G2382" s="108" t="s">
        <v>59</v>
      </c>
      <c r="H2382" s="108" t="str">
        <f t="shared" si="188"/>
        <v>Cascade River</v>
      </c>
      <c r="I2382" s="108" t="str">
        <f>IFERROR(VLOOKUP(H2382,LUTs!$A$1:$C$73,2,FALSE),"NA")</f>
        <v>Skagit</v>
      </c>
      <c r="J2382" s="108" t="str">
        <f>IFERROR(VLOOKUP(H2382,LUTs!$A$1:$C$73,3,FALSE),"NA")</f>
        <v>1North Puget Sound</v>
      </c>
      <c r="K2382" s="108" t="s">
        <v>26</v>
      </c>
      <c r="L2382" s="108" t="str">
        <f>VLOOKUP(K2382,LUTs!E$2:G$14,3,)</f>
        <v>20Other</v>
      </c>
      <c r="M2382" s="108" t="str">
        <f>VLOOKUP($K2382,LUTs!$E$2:$H$14,2,)</f>
        <v>Non Puget Sound</v>
      </c>
      <c r="N2382" s="108" t="str">
        <f>VLOOKUP($K2382,LUTs!$E$2:$H$14,4,)</f>
        <v>07Non Puget Sound</v>
      </c>
      <c r="O2382" s="108">
        <v>333.76271186440698</v>
      </c>
      <c r="P2382" s="108">
        <v>1148.1437288135601</v>
      </c>
      <c r="Q2382" s="108">
        <f>SUMIFS('FW_Salmon_by_Month_2010-2021'!P$2:P$3810,'FW_Salmon_by_Month_2010-2021'!$B$2:$B$3810,'Rec_raw_catch_effort_2010-2021'!$B2382,'FW_Salmon_by_Month_2010-2021'!$H$2:$H$3810,'Rec_raw_catch_effort_2010-2021'!$F2382,'FW_Salmon_by_Month_2010-2021'!$M$2:$M$3810,'Rec_raw_catch_effort_2010-2021'!$K2382)</f>
        <v>325.625</v>
      </c>
      <c r="R2382" s="109">
        <f>VLOOKUP(B2382,Readme!$A$62:$C$74,2,)*Q2382</f>
        <v>1152.4000432041489</v>
      </c>
      <c r="S2382" s="140" t="str">
        <f t="shared" si="189"/>
        <v>N</v>
      </c>
      <c r="T2382" s="154">
        <f t="shared" si="190"/>
        <v>3.4400000000000004</v>
      </c>
      <c r="U2382" s="154">
        <f t="shared" si="191"/>
        <v>3.5390404397824149</v>
      </c>
    </row>
    <row r="2383" spans="1:21" x14ac:dyDescent="0.35">
      <c r="A2383" s="108">
        <v>1787</v>
      </c>
      <c r="B2383" s="108">
        <v>2021</v>
      </c>
      <c r="C2383" s="108" t="s">
        <v>38</v>
      </c>
      <c r="D2383" s="108" t="s">
        <v>143</v>
      </c>
      <c r="E2383" s="108" t="s">
        <v>10</v>
      </c>
      <c r="F2383" s="116">
        <v>826</v>
      </c>
      <c r="G2383" s="108" t="s">
        <v>59</v>
      </c>
      <c r="H2383" s="108" t="str">
        <f t="shared" si="188"/>
        <v>Cascade River</v>
      </c>
      <c r="I2383" s="108" t="str">
        <f>IFERROR(VLOOKUP(H2383,LUTs!$A$1:$C$73,2,FALSE),"NA")</f>
        <v>Skagit</v>
      </c>
      <c r="J2383" s="108" t="str">
        <f>IFERROR(VLOOKUP(H2383,LUTs!$A$1:$C$73,3,FALSE),"NA")</f>
        <v>1North Puget Sound</v>
      </c>
      <c r="K2383" s="108" t="s">
        <v>15</v>
      </c>
      <c r="L2383" s="108" t="str">
        <f>VLOOKUP(K2383,LUTs!E$2:G$14,3,)</f>
        <v>02Skagit</v>
      </c>
      <c r="M2383" s="108" t="str">
        <f>VLOOKUP($K2383,LUTs!$E$2:$H$14,2,)</f>
        <v>North Puget Sound</v>
      </c>
      <c r="N2383" s="108" t="str">
        <f>VLOOKUP($K2383,LUTs!$E$2:$H$14,4,)</f>
        <v>01North Puget Sound</v>
      </c>
      <c r="O2383" s="108">
        <v>959.56779661017003</v>
      </c>
      <c r="P2383" s="108">
        <v>3300.91322033898</v>
      </c>
      <c r="Q2383" s="108">
        <f>SUMIFS('FW_Salmon_by_Month_2010-2021'!P$2:P$3810,'FW_Salmon_by_Month_2010-2021'!$B$2:$B$3810,'Rec_raw_catch_effort_2010-2021'!$B2383,'FW_Salmon_by_Month_2010-2021'!$H$2:$H$3810,'Rec_raw_catch_effort_2010-2021'!$F2383,'FW_Salmon_by_Month_2010-2021'!$M$2:$M$3810,'Rec_raw_catch_effort_2010-2021'!$K2383)</f>
        <v>936.10454776422796</v>
      </c>
      <c r="R2383" s="109">
        <f>VLOOKUP(B2383,Readme!$A$62:$C$74,2,)*Q2383</f>
        <v>3312.9118504018325</v>
      </c>
      <c r="S2383" s="140" t="str">
        <f t="shared" si="189"/>
        <v>N</v>
      </c>
      <c r="T2383" s="154">
        <f t="shared" si="190"/>
        <v>3.4399999999999946</v>
      </c>
      <c r="U2383" s="154">
        <f t="shared" si="191"/>
        <v>3.5390404397824153</v>
      </c>
    </row>
    <row r="2384" spans="1:21" x14ac:dyDescent="0.35">
      <c r="A2384" s="108">
        <v>1788</v>
      </c>
      <c r="B2384" s="108">
        <v>2021</v>
      </c>
      <c r="C2384" s="108" t="s">
        <v>38</v>
      </c>
      <c r="D2384" s="108" t="s">
        <v>143</v>
      </c>
      <c r="E2384" s="108" t="s">
        <v>10</v>
      </c>
      <c r="F2384" s="116">
        <v>826</v>
      </c>
      <c r="G2384" s="108" t="s">
        <v>59</v>
      </c>
      <c r="H2384" s="108" t="str">
        <f t="shared" si="188"/>
        <v>Cascade River</v>
      </c>
      <c r="I2384" s="108" t="str">
        <f>IFERROR(VLOOKUP(H2384,LUTs!$A$1:$C$73,2,FALSE),"NA")</f>
        <v>Skagit</v>
      </c>
      <c r="J2384" s="108" t="str">
        <f>IFERROR(VLOOKUP(H2384,LUTs!$A$1:$C$73,3,FALSE),"NA")</f>
        <v>1North Puget Sound</v>
      </c>
      <c r="K2384" s="108" t="s">
        <v>16</v>
      </c>
      <c r="L2384" s="108" t="str">
        <f>VLOOKUP(K2384,LUTs!E$2:G$14,3,)</f>
        <v>03Snohomish</v>
      </c>
      <c r="M2384" s="108" t="str">
        <f>VLOOKUP($K2384,LUTs!$E$2:$H$14,2,)</f>
        <v>North Puget Sound</v>
      </c>
      <c r="N2384" s="108" t="str">
        <f>VLOOKUP($K2384,LUTs!$E$2:$H$14,4,)</f>
        <v>01North Puget Sound</v>
      </c>
      <c r="O2384" s="108">
        <v>862.22033898305096</v>
      </c>
      <c r="P2384" s="108">
        <v>2966.0379661017</v>
      </c>
      <c r="Q2384" s="108">
        <f>SUMIFS('FW_Salmon_by_Month_2010-2021'!P$2:P$3810,'FW_Salmon_by_Month_2010-2021'!$B$2:$B$3810,'Rec_raw_catch_effort_2010-2021'!$B2384,'FW_Salmon_by_Month_2010-2021'!$H$2:$H$3810,'Rec_raw_catch_effort_2010-2021'!$F2384,'FW_Salmon_by_Month_2010-2021'!$M$2:$M$3810,'Rec_raw_catch_effort_2010-2021'!$K2384)</f>
        <v>903.46824186991807</v>
      </c>
      <c r="R2384" s="109">
        <f>VLOOKUP(B2384,Readme!$A$62:$C$74,2,)*Q2384</f>
        <v>3197.4106440367605</v>
      </c>
      <c r="S2384" s="140" t="str">
        <f t="shared" si="189"/>
        <v>N</v>
      </c>
      <c r="T2384" s="154">
        <f t="shared" si="190"/>
        <v>3.4400000000000053</v>
      </c>
      <c r="U2384" s="154">
        <f t="shared" si="191"/>
        <v>3.5390404397824153</v>
      </c>
    </row>
    <row r="2385" spans="1:21" x14ac:dyDescent="0.35">
      <c r="A2385" s="108">
        <v>1786</v>
      </c>
      <c r="B2385" s="108">
        <v>2021</v>
      </c>
      <c r="C2385" s="108" t="s">
        <v>38</v>
      </c>
      <c r="D2385" s="108" t="s">
        <v>143</v>
      </c>
      <c r="E2385" s="108" t="s">
        <v>10</v>
      </c>
      <c r="F2385" s="116">
        <v>826</v>
      </c>
      <c r="G2385" s="108" t="s">
        <v>59</v>
      </c>
      <c r="H2385" s="108" t="str">
        <f t="shared" si="188"/>
        <v>Cascade River</v>
      </c>
      <c r="I2385" s="108" t="str">
        <f>IFERROR(VLOOKUP(H2385,LUTs!$A$1:$C$73,2,FALSE),"NA")</f>
        <v>Skagit</v>
      </c>
      <c r="J2385" s="108" t="str">
        <f>IFERROR(VLOOKUP(H2385,LUTs!$A$1:$C$73,3,FALSE),"NA")</f>
        <v>1North Puget Sound</v>
      </c>
      <c r="K2385" s="108" t="s">
        <v>13</v>
      </c>
      <c r="L2385" s="108" t="str">
        <f>VLOOKUP(K2385,LUTs!E$2:G$14,3,)</f>
        <v>01Whatcom</v>
      </c>
      <c r="M2385" s="108" t="str">
        <f>VLOOKUP($K2385,LUTs!$E$2:$H$14,2,)</f>
        <v>North Puget Sound</v>
      </c>
      <c r="N2385" s="108" t="str">
        <f>VLOOKUP($K2385,LUTs!$E$2:$H$14,4,)</f>
        <v>01North Puget Sound</v>
      </c>
      <c r="O2385" s="108">
        <v>180.78813559322001</v>
      </c>
      <c r="P2385" s="108">
        <v>621.91118644067706</v>
      </c>
      <c r="Q2385" s="108">
        <f>SUMIFS('FW_Salmon_by_Month_2010-2021'!P$2:P$3810,'FW_Salmon_by_Month_2010-2021'!$B$2:$B$3810,'Rec_raw_catch_effort_2010-2021'!$B2385,'FW_Salmon_by_Month_2010-2021'!$H$2:$H$3810,'Rec_raw_catch_effort_2010-2021'!$F2385,'FW_Salmon_by_Month_2010-2021'!$M$2:$M$3810,'Rec_raw_catch_effort_2010-2021'!$K2385)</f>
        <v>176.3125</v>
      </c>
      <c r="R2385" s="109">
        <f>VLOOKUP(B2385,Readme!$A$62:$C$74,2,)*Q2385</f>
        <v>623.97706753913712</v>
      </c>
      <c r="S2385" s="140" t="str">
        <f t="shared" si="189"/>
        <v>N</v>
      </c>
      <c r="T2385" s="154">
        <f t="shared" si="190"/>
        <v>3.4400000000000013</v>
      </c>
      <c r="U2385" s="154">
        <f t="shared" si="191"/>
        <v>3.5390404397824153</v>
      </c>
    </row>
    <row r="2386" spans="1:21" x14ac:dyDescent="0.35">
      <c r="A2386" s="108">
        <v>2242</v>
      </c>
      <c r="B2386" s="108">
        <v>2010</v>
      </c>
      <c r="C2386" s="108" t="s">
        <v>38</v>
      </c>
      <c r="D2386" s="108" t="s">
        <v>143</v>
      </c>
      <c r="E2386" s="108" t="s">
        <v>10</v>
      </c>
      <c r="F2386" s="116">
        <v>830</v>
      </c>
      <c r="G2386" s="108" t="s">
        <v>60</v>
      </c>
      <c r="H2386" s="108" t="str">
        <f t="shared" si="188"/>
        <v>Skagit River</v>
      </c>
      <c r="I2386" s="108" t="str">
        <f>IFERROR(VLOOKUP(H2386,LUTs!$A$1:$C$73,2,FALSE),"NA")</f>
        <v>Skagit/Whatcom</v>
      </c>
      <c r="J2386" s="108" t="str">
        <f>IFERROR(VLOOKUP(H2386,LUTs!$A$1:$C$73,3,FALSE),"NA")</f>
        <v>2Central Puget Sound</v>
      </c>
      <c r="K2386" s="108" t="s">
        <v>17</v>
      </c>
      <c r="L2386" s="108" t="str">
        <f>VLOOKUP(K2386,LUTs!E$2:G$14,3,)</f>
        <v>04Island</v>
      </c>
      <c r="M2386" s="108" t="str">
        <f>VLOOKUP($K2386,LUTs!$E$2:$H$14,2,)</f>
        <v>North Puget Sound</v>
      </c>
      <c r="N2386" s="108" t="str">
        <f>VLOOKUP($K2386,LUTs!$E$2:$H$14,4,)</f>
        <v>01North Puget Sound</v>
      </c>
      <c r="O2386" s="108">
        <v>41.4166666666667</v>
      </c>
      <c r="P2386" s="108">
        <v>358.254166666667</v>
      </c>
      <c r="Q2386" s="108">
        <f>SUMIFS('FW_Salmon_by_Month_2010-2021'!P$2:P$3810,'FW_Salmon_by_Month_2010-2021'!$B$2:$B$3810,'Rec_raw_catch_effort_2010-2021'!$B2386,'FW_Salmon_by_Month_2010-2021'!$H$2:$H$3810,'Rec_raw_catch_effort_2010-2021'!$F2386,'FW_Salmon_by_Month_2010-2021'!$M$2:$M$3810,'Rec_raw_catch_effort_2010-2021'!$K2386)</f>
        <v>41.75405340963276</v>
      </c>
      <c r="R2386" s="109">
        <f>VLOOKUP(B2386,Readme!$A$62:$C$74,2,)*Q2386</f>
        <v>201.23595287700041</v>
      </c>
      <c r="S2386" s="140" t="str">
        <f t="shared" si="189"/>
        <v>Y</v>
      </c>
      <c r="T2386" s="154">
        <f t="shared" si="190"/>
        <v>8.65</v>
      </c>
      <c r="U2386" s="154">
        <f t="shared" si="191"/>
        <v>4.8195549041132084</v>
      </c>
    </row>
    <row r="2387" spans="1:21" x14ac:dyDescent="0.35">
      <c r="A2387" s="108">
        <v>2243</v>
      </c>
      <c r="B2387" s="108">
        <v>2010</v>
      </c>
      <c r="C2387" s="108" t="s">
        <v>38</v>
      </c>
      <c r="D2387" s="108" t="s">
        <v>143</v>
      </c>
      <c r="E2387" s="108" t="s">
        <v>10</v>
      </c>
      <c r="F2387" s="116">
        <v>830</v>
      </c>
      <c r="G2387" s="108" t="s">
        <v>60</v>
      </c>
      <c r="H2387" s="108" t="str">
        <f t="shared" si="188"/>
        <v>Skagit River</v>
      </c>
      <c r="I2387" s="108" t="str">
        <f>IFERROR(VLOOKUP(H2387,LUTs!$A$1:$C$73,2,FALSE),"NA")</f>
        <v>Skagit/Whatcom</v>
      </c>
      <c r="J2387" s="108" t="str">
        <f>IFERROR(VLOOKUP(H2387,LUTs!$A$1:$C$73,3,FALSE),"NA")</f>
        <v>2Central Puget Sound</v>
      </c>
      <c r="K2387" s="108" t="s">
        <v>18</v>
      </c>
      <c r="L2387" s="108" t="str">
        <f>VLOOKUP(K2387,LUTs!E$2:G$14,3,)</f>
        <v>06King</v>
      </c>
      <c r="M2387" s="108" t="str">
        <f>VLOOKUP($K2387,LUTs!$E$2:$H$14,2,)</f>
        <v>South Puget Sound</v>
      </c>
      <c r="N2387" s="108" t="str">
        <f>VLOOKUP($K2387,LUTs!$E$2:$H$14,4,)</f>
        <v>02South Puget Sound</v>
      </c>
      <c r="O2387" s="108">
        <v>41.4166666666667</v>
      </c>
      <c r="P2387" s="108">
        <v>358.254166666667</v>
      </c>
      <c r="Q2387" s="108">
        <f>SUMIFS('FW_Salmon_by_Month_2010-2021'!P$2:P$3810,'FW_Salmon_by_Month_2010-2021'!$B$2:$B$3810,'Rec_raw_catch_effort_2010-2021'!$B2387,'FW_Salmon_by_Month_2010-2021'!$H$2:$H$3810,'Rec_raw_catch_effort_2010-2021'!$F2387,'FW_Salmon_by_Month_2010-2021'!$M$2:$M$3810,'Rec_raw_catch_effort_2010-2021'!$K2387)</f>
        <v>41.651219429116452</v>
      </c>
      <c r="R2387" s="109">
        <f>VLOOKUP(B2387,Readme!$A$62:$C$74,2,)*Q2387</f>
        <v>200.74033886189355</v>
      </c>
      <c r="S2387" s="140" t="str">
        <f t="shared" si="189"/>
        <v>Y</v>
      </c>
      <c r="T2387" s="154">
        <f t="shared" si="190"/>
        <v>8.65</v>
      </c>
      <c r="U2387" s="154">
        <f t="shared" si="191"/>
        <v>4.8195549041132084</v>
      </c>
    </row>
    <row r="2388" spans="1:21" x14ac:dyDescent="0.35">
      <c r="A2388" s="108">
        <v>2246</v>
      </c>
      <c r="B2388" s="108">
        <v>2010</v>
      </c>
      <c r="C2388" s="108" t="s">
        <v>38</v>
      </c>
      <c r="D2388" s="108" t="s">
        <v>143</v>
      </c>
      <c r="E2388" s="108" t="s">
        <v>10</v>
      </c>
      <c r="F2388" s="116">
        <v>830</v>
      </c>
      <c r="G2388" s="108" t="s">
        <v>60</v>
      </c>
      <c r="H2388" s="108" t="str">
        <f t="shared" si="188"/>
        <v>Skagit River</v>
      </c>
      <c r="I2388" s="108" t="str">
        <f>IFERROR(VLOOKUP(H2388,LUTs!$A$1:$C$73,2,FALSE),"NA")</f>
        <v>Skagit/Whatcom</v>
      </c>
      <c r="J2388" s="108" t="str">
        <f>IFERROR(VLOOKUP(H2388,LUTs!$A$1:$C$73,3,FALSE),"NA")</f>
        <v>2Central Puget Sound</v>
      </c>
      <c r="K2388" s="108" t="s">
        <v>26</v>
      </c>
      <c r="L2388" s="108" t="str">
        <f>VLOOKUP(K2388,LUTs!E$2:G$14,3,)</f>
        <v>20Other</v>
      </c>
      <c r="M2388" s="108" t="str">
        <f>VLOOKUP($K2388,LUTs!$E$2:$H$14,2,)</f>
        <v>Non Puget Sound</v>
      </c>
      <c r="N2388" s="108" t="str">
        <f>VLOOKUP($K2388,LUTs!$E$2:$H$14,4,)</f>
        <v>07Non Puget Sound</v>
      </c>
      <c r="O2388" s="108">
        <v>82.8333333333333</v>
      </c>
      <c r="P2388" s="108">
        <v>716.50833333333298</v>
      </c>
      <c r="Q2388" s="108">
        <f>SUMIFS('FW_Salmon_by_Month_2010-2021'!P$2:P$3810,'FW_Salmon_by_Month_2010-2021'!$B$2:$B$3810,'Rec_raw_catch_effort_2010-2021'!$B2388,'FW_Salmon_by_Month_2010-2021'!$H$2:$H$3810,'Rec_raw_catch_effort_2010-2021'!$F2388,'FW_Salmon_by_Month_2010-2021'!$M$2:$M$3810,'Rec_raw_catch_effort_2010-2021'!$K2388)</f>
        <v>83.409326248382001</v>
      </c>
      <c r="R2388" s="109">
        <f>VLOOKUP(B2388,Readme!$A$62:$C$74,2,)*Q2388</f>
        <v>401.99582736916801</v>
      </c>
      <c r="S2388" s="140" t="str">
        <f t="shared" si="189"/>
        <v>Y</v>
      </c>
      <c r="T2388" s="154">
        <f t="shared" si="190"/>
        <v>8.6499999999999986</v>
      </c>
      <c r="U2388" s="154">
        <f t="shared" si="191"/>
        <v>4.8195549041132084</v>
      </c>
    </row>
    <row r="2389" spans="1:21" x14ac:dyDescent="0.35">
      <c r="A2389" s="108">
        <v>2244</v>
      </c>
      <c r="B2389" s="108">
        <v>2010</v>
      </c>
      <c r="C2389" s="108" t="s">
        <v>38</v>
      </c>
      <c r="D2389" s="108" t="s">
        <v>143</v>
      </c>
      <c r="E2389" s="108" t="s">
        <v>10</v>
      </c>
      <c r="F2389" s="116">
        <v>830</v>
      </c>
      <c r="G2389" s="108" t="s">
        <v>60</v>
      </c>
      <c r="H2389" s="108" t="str">
        <f t="shared" si="188"/>
        <v>Skagit River</v>
      </c>
      <c r="I2389" s="108" t="str">
        <f>IFERROR(VLOOKUP(H2389,LUTs!$A$1:$C$73,2,FALSE),"NA")</f>
        <v>Skagit/Whatcom</v>
      </c>
      <c r="J2389" s="108" t="str">
        <f>IFERROR(VLOOKUP(H2389,LUTs!$A$1:$C$73,3,FALSE),"NA")</f>
        <v>2Central Puget Sound</v>
      </c>
      <c r="K2389" s="108" t="s">
        <v>20</v>
      </c>
      <c r="L2389" s="108" t="str">
        <f>VLOOKUP(K2389,LUTs!E$2:G$14,3,)</f>
        <v>07Pierce</v>
      </c>
      <c r="M2389" s="108" t="str">
        <f>VLOOKUP($K2389,LUTs!$E$2:$H$14,2,)</f>
        <v>South Puget Sound</v>
      </c>
      <c r="N2389" s="108" t="str">
        <f>VLOOKUP($K2389,LUTs!$E$2:$H$14,4,)</f>
        <v>02South Puget Sound</v>
      </c>
      <c r="O2389" s="108">
        <v>76.9166666666667</v>
      </c>
      <c r="P2389" s="108">
        <v>665.32916666666699</v>
      </c>
      <c r="Q2389" s="108">
        <f>SUMIFS('FW_Salmon_by_Month_2010-2021'!P$2:P$3810,'FW_Salmon_by_Month_2010-2021'!$B$2:$B$3810,'Rec_raw_catch_effort_2010-2021'!$B2389,'FW_Salmon_by_Month_2010-2021'!$H$2:$H$3810,'Rec_raw_catch_effort_2010-2021'!$F2389,'FW_Salmon_by_Month_2010-2021'!$M$2:$M$3810,'Rec_raw_catch_effort_2010-2021'!$K2389)</f>
        <v>77.381974248927094</v>
      </c>
      <c r="R2389" s="109">
        <f>VLOOKUP(B2389,Readme!$A$62:$C$74,2,)*Q2389</f>
        <v>372.94667348137858</v>
      </c>
      <c r="S2389" s="140" t="str">
        <f t="shared" si="189"/>
        <v>Y</v>
      </c>
      <c r="T2389" s="154">
        <f t="shared" si="190"/>
        <v>8.65</v>
      </c>
      <c r="U2389" s="154">
        <f t="shared" si="191"/>
        <v>4.8195549041132084</v>
      </c>
    </row>
    <row r="2390" spans="1:21" x14ac:dyDescent="0.35">
      <c r="A2390" s="108">
        <v>2200</v>
      </c>
      <c r="B2390" s="108">
        <v>2010</v>
      </c>
      <c r="C2390" s="108" t="s">
        <v>38</v>
      </c>
      <c r="D2390" s="108" t="s">
        <v>143</v>
      </c>
      <c r="E2390" s="108" t="s">
        <v>10</v>
      </c>
      <c r="F2390" s="116">
        <v>830</v>
      </c>
      <c r="G2390" s="108" t="s">
        <v>60</v>
      </c>
      <c r="H2390" s="108" t="str">
        <f t="shared" si="188"/>
        <v>Skagit River</v>
      </c>
      <c r="I2390" s="108" t="str">
        <f>IFERROR(VLOOKUP(H2390,LUTs!$A$1:$C$73,2,FALSE),"NA")</f>
        <v>Skagit/Whatcom</v>
      </c>
      <c r="J2390" s="108" t="str">
        <f>IFERROR(VLOOKUP(H2390,LUTs!$A$1:$C$73,3,FALSE),"NA")</f>
        <v>2Central Puget Sound</v>
      </c>
      <c r="K2390" s="108" t="s">
        <v>15</v>
      </c>
      <c r="L2390" s="108" t="str">
        <f>VLOOKUP(K2390,LUTs!E$2:G$14,3,)</f>
        <v>02Skagit</v>
      </c>
      <c r="M2390" s="108" t="str">
        <f>VLOOKUP($K2390,LUTs!$E$2:$H$14,2,)</f>
        <v>North Puget Sound</v>
      </c>
      <c r="N2390" s="108" t="str">
        <f>VLOOKUP($K2390,LUTs!$E$2:$H$14,4,)</f>
        <v>01North Puget Sound</v>
      </c>
      <c r="O2390" s="108">
        <v>1757.25</v>
      </c>
      <c r="P2390" s="108">
        <v>15200.2125</v>
      </c>
      <c r="Q2390" s="108">
        <f>SUMIFS('FW_Salmon_by_Month_2010-2021'!P$2:P$3810,'FW_Salmon_by_Month_2010-2021'!$B$2:$B$3810,'Rec_raw_catch_effort_2010-2021'!$B2390,'FW_Salmon_by_Month_2010-2021'!$H$2:$H$3810,'Rec_raw_catch_effort_2010-2021'!$F2390,'FW_Salmon_by_Month_2010-2021'!$M$2:$M$3810,'Rec_raw_catch_effort_2010-2021'!$K2390)</f>
        <v>1751.6960794332031</v>
      </c>
      <c r="R2390" s="109">
        <f>VLOOKUP(B2390,Readme!$A$62:$C$74,2,)*Q2390</f>
        <v>8442.3954301481735</v>
      </c>
      <c r="S2390" s="140" t="str">
        <f t="shared" si="189"/>
        <v>Y</v>
      </c>
      <c r="T2390" s="154">
        <f t="shared" si="190"/>
        <v>8.65</v>
      </c>
      <c r="U2390" s="154">
        <f t="shared" si="191"/>
        <v>4.8195549041132084</v>
      </c>
    </row>
    <row r="2391" spans="1:21" x14ac:dyDescent="0.35">
      <c r="A2391" s="108">
        <v>2201</v>
      </c>
      <c r="B2391" s="108">
        <v>2010</v>
      </c>
      <c r="C2391" s="108" t="s">
        <v>38</v>
      </c>
      <c r="D2391" s="108" t="s">
        <v>143</v>
      </c>
      <c r="E2391" s="108" t="s">
        <v>10</v>
      </c>
      <c r="F2391" s="116">
        <v>830</v>
      </c>
      <c r="G2391" s="108" t="s">
        <v>60</v>
      </c>
      <c r="H2391" s="108" t="str">
        <f t="shared" si="188"/>
        <v>Skagit River</v>
      </c>
      <c r="I2391" s="108" t="str">
        <f>IFERROR(VLOOKUP(H2391,LUTs!$A$1:$C$73,2,FALSE),"NA")</f>
        <v>Skagit/Whatcom</v>
      </c>
      <c r="J2391" s="108" t="str">
        <f>IFERROR(VLOOKUP(H2391,LUTs!$A$1:$C$73,3,FALSE),"NA")</f>
        <v>2Central Puget Sound</v>
      </c>
      <c r="K2391" s="108" t="s">
        <v>16</v>
      </c>
      <c r="L2391" s="108" t="str">
        <f>VLOOKUP(K2391,LUTs!E$2:G$14,3,)</f>
        <v>03Snohomish</v>
      </c>
      <c r="M2391" s="108" t="str">
        <f>VLOOKUP($K2391,LUTs!$E$2:$H$14,2,)</f>
        <v>North Puget Sound</v>
      </c>
      <c r="N2391" s="108" t="str">
        <f>VLOOKUP($K2391,LUTs!$E$2:$H$14,4,)</f>
        <v>01North Puget Sound</v>
      </c>
      <c r="O2391" s="108">
        <v>171.583333333333</v>
      </c>
      <c r="P2391" s="108">
        <v>1484.19583333333</v>
      </c>
      <c r="Q2391" s="108">
        <f>SUMIFS('FW_Salmon_by_Month_2010-2021'!P$2:P$3810,'FW_Salmon_by_Month_2010-2021'!$B$2:$B$3810,'Rec_raw_catch_effort_2010-2021'!$B2391,'FW_Salmon_by_Month_2010-2021'!$H$2:$H$3810,'Rec_raw_catch_effort_2010-2021'!$F2391,'FW_Salmon_by_Month_2010-2021'!$M$2:$M$3810,'Rec_raw_catch_effort_2010-2021'!$K2391)</f>
        <v>172.94546631241917</v>
      </c>
      <c r="R2391" s="109">
        <f>VLOOKUP(B2391,Readme!$A$62:$C$74,2,)*Q2391</f>
        <v>833.52017031016544</v>
      </c>
      <c r="S2391" s="140" t="str">
        <f t="shared" si="189"/>
        <v>Y</v>
      </c>
      <c r="T2391" s="154">
        <f t="shared" si="190"/>
        <v>8.6499999999999968</v>
      </c>
      <c r="U2391" s="154">
        <f t="shared" si="191"/>
        <v>4.8195549041132084</v>
      </c>
    </row>
    <row r="2392" spans="1:21" x14ac:dyDescent="0.35">
      <c r="A2392" s="108">
        <v>2245</v>
      </c>
      <c r="B2392" s="108">
        <v>2010</v>
      </c>
      <c r="C2392" s="108" t="s">
        <v>38</v>
      </c>
      <c r="D2392" s="108" t="s">
        <v>143</v>
      </c>
      <c r="E2392" s="108" t="s">
        <v>10</v>
      </c>
      <c r="F2392" s="116">
        <v>830</v>
      </c>
      <c r="G2392" s="108" t="s">
        <v>60</v>
      </c>
      <c r="H2392" s="108" t="str">
        <f t="shared" si="188"/>
        <v>Skagit River</v>
      </c>
      <c r="I2392" s="108" t="str">
        <f>IFERROR(VLOOKUP(H2392,LUTs!$A$1:$C$73,2,FALSE),"NA")</f>
        <v>Skagit/Whatcom</v>
      </c>
      <c r="J2392" s="108" t="str">
        <f>IFERROR(VLOOKUP(H2392,LUTs!$A$1:$C$73,3,FALSE),"NA")</f>
        <v>2Central Puget Sound</v>
      </c>
      <c r="K2392" s="108" t="s">
        <v>21</v>
      </c>
      <c r="L2392" s="108" t="str">
        <f>VLOOKUP(K2392,LUTs!E$2:G$14,3,)</f>
        <v>08Thurston</v>
      </c>
      <c r="M2392" s="108" t="str">
        <f>VLOOKUP($K2392,LUTs!$E$2:$H$14,2,)</f>
        <v>South Puget Sound</v>
      </c>
      <c r="N2392" s="108" t="str">
        <f>VLOOKUP($K2392,LUTs!$E$2:$H$14,4,)</f>
        <v>02South Puget Sound</v>
      </c>
      <c r="O2392" s="108">
        <v>5.9166666666666696</v>
      </c>
      <c r="P2392" s="108">
        <v>51.179166666666703</v>
      </c>
      <c r="Q2392" s="108">
        <f>SUMIFS('FW_Salmon_by_Month_2010-2021'!P$2:P$3810,'FW_Salmon_by_Month_2010-2021'!$B$2:$B$3810,'Rec_raw_catch_effort_2010-2021'!$B2392,'FW_Salmon_by_Month_2010-2021'!$H$2:$H$3810,'Rec_raw_catch_effort_2010-2021'!$F2392,'FW_Salmon_by_Month_2010-2021'!$M$2:$M$3810,'Rec_raw_catch_effort_2010-2021'!$K2392)</f>
        <v>5.9484978540772504</v>
      </c>
      <c r="R2392" s="109">
        <f>VLOOKUP(B2392,Readme!$A$62:$C$74,2,)*Q2392</f>
        <v>28.669112004724909</v>
      </c>
      <c r="S2392" s="140" t="str">
        <f t="shared" si="189"/>
        <v>Y</v>
      </c>
      <c r="T2392" s="154">
        <f t="shared" si="190"/>
        <v>8.6500000000000021</v>
      </c>
      <c r="U2392" s="154">
        <f t="shared" si="191"/>
        <v>4.8195549041132084</v>
      </c>
    </row>
    <row r="2393" spans="1:21" x14ac:dyDescent="0.35">
      <c r="A2393" s="108">
        <v>2199</v>
      </c>
      <c r="B2393" s="108">
        <v>2010</v>
      </c>
      <c r="C2393" s="108" t="s">
        <v>38</v>
      </c>
      <c r="D2393" s="108" t="s">
        <v>143</v>
      </c>
      <c r="E2393" s="108" t="s">
        <v>10</v>
      </c>
      <c r="F2393" s="116">
        <v>830</v>
      </c>
      <c r="G2393" s="108" t="s">
        <v>60</v>
      </c>
      <c r="H2393" s="108" t="str">
        <f t="shared" si="188"/>
        <v>Skagit River</v>
      </c>
      <c r="I2393" s="108" t="str">
        <f>IFERROR(VLOOKUP(H2393,LUTs!$A$1:$C$73,2,FALSE),"NA")</f>
        <v>Skagit/Whatcom</v>
      </c>
      <c r="J2393" s="108" t="str">
        <f>IFERROR(VLOOKUP(H2393,LUTs!$A$1:$C$73,3,FALSE),"NA")</f>
        <v>2Central Puget Sound</v>
      </c>
      <c r="K2393" s="108" t="s">
        <v>13</v>
      </c>
      <c r="L2393" s="108" t="str">
        <f>VLOOKUP(K2393,LUTs!E$2:G$14,3,)</f>
        <v>01Whatcom</v>
      </c>
      <c r="M2393" s="108" t="str">
        <f>VLOOKUP($K2393,LUTs!$E$2:$H$14,2,)</f>
        <v>North Puget Sound</v>
      </c>
      <c r="N2393" s="108" t="str">
        <f>VLOOKUP($K2393,LUTs!$E$2:$H$14,4,)</f>
        <v>01North Puget Sound</v>
      </c>
      <c r="O2393" s="108">
        <v>378.66666666666703</v>
      </c>
      <c r="P2393" s="108">
        <v>3275.4666666666699</v>
      </c>
      <c r="Q2393" s="108">
        <f>SUMIFS('FW_Salmon_by_Month_2010-2021'!P$2:P$3810,'FW_Salmon_by_Month_2010-2021'!$B$2:$B$3810,'Rec_raw_catch_effort_2010-2021'!$B2393,'FW_Salmon_by_Month_2010-2021'!$H$2:$H$3810,'Rec_raw_catch_effort_2010-2021'!$F2393,'FW_Salmon_by_Month_2010-2021'!$M$2:$M$3810,'Rec_raw_catch_effort_2010-2021'!$K2393)</f>
        <v>381.21338306424104</v>
      </c>
      <c r="R2393" s="109">
        <f>VLOOKUP(B2393,Readme!$A$62:$C$74,2,)*Q2393</f>
        <v>1837.27882986085</v>
      </c>
      <c r="S2393" s="140" t="str">
        <f t="shared" si="189"/>
        <v>Y</v>
      </c>
      <c r="T2393" s="154">
        <f t="shared" si="190"/>
        <v>8.65</v>
      </c>
      <c r="U2393" s="154">
        <f t="shared" si="191"/>
        <v>4.8195549041132084</v>
      </c>
    </row>
    <row r="2394" spans="1:21" x14ac:dyDescent="0.35">
      <c r="A2394" s="108">
        <v>2307</v>
      </c>
      <c r="B2394" s="108">
        <v>2011</v>
      </c>
      <c r="C2394" s="108" t="s">
        <v>38</v>
      </c>
      <c r="D2394" s="108" t="s">
        <v>143</v>
      </c>
      <c r="E2394" s="108" t="s">
        <v>10</v>
      </c>
      <c r="F2394" s="116">
        <v>830</v>
      </c>
      <c r="G2394" s="108" t="s">
        <v>60</v>
      </c>
      <c r="H2394" s="108" t="str">
        <f t="shared" si="188"/>
        <v>Skagit River</v>
      </c>
      <c r="I2394" s="108" t="str">
        <f>IFERROR(VLOOKUP(H2394,LUTs!$A$1:$C$73,2,FALSE),"NA")</f>
        <v>Skagit/Whatcom</v>
      </c>
      <c r="J2394" s="108" t="str">
        <f>IFERROR(VLOOKUP(H2394,LUTs!$A$1:$C$73,3,FALSE),"NA")</f>
        <v>2Central Puget Sound</v>
      </c>
      <c r="K2394" s="108" t="s">
        <v>24</v>
      </c>
      <c r="L2394" s="108" t="str">
        <f>VLOOKUP(K2394,LUTs!E$2:G$14,3,)</f>
        <v>11Clallam</v>
      </c>
      <c r="M2394" s="108" t="str">
        <f>VLOOKUP($K2394,LUTs!$E$2:$H$14,2,)</f>
        <v>Strait of Juan de Fuca</v>
      </c>
      <c r="N2394" s="108" t="str">
        <f>VLOOKUP($K2394,LUTs!$E$2:$H$14,4,)</f>
        <v>03Strait of Juan de Fuca</v>
      </c>
      <c r="O2394" s="108">
        <v>29.138772398017501</v>
      </c>
      <c r="P2394" s="108">
        <v>100.23737704918</v>
      </c>
      <c r="Q2394" s="108">
        <f>SUMIFS('FW_Salmon_by_Month_2010-2021'!P$2:P$3810,'FW_Salmon_by_Month_2010-2021'!$B$2:$B$3810,'Rec_raw_catch_effort_2010-2021'!$B2394,'FW_Salmon_by_Month_2010-2021'!$H$2:$H$3810,'Rec_raw_catch_effort_2010-2021'!$F2394,'FW_Salmon_by_Month_2010-2021'!$M$2:$M$3810,'Rec_raw_catch_effort_2010-2021'!$K2394)</f>
        <v>30.3738087918844</v>
      </c>
      <c r="R2394" s="109">
        <f>VLOOKUP(B2394,Readme!$A$62:$C$74,2,)*Q2394</f>
        <v>107.49413762469756</v>
      </c>
      <c r="S2394" s="140" t="str">
        <f t="shared" si="189"/>
        <v>Y</v>
      </c>
      <c r="T2394" s="154">
        <f t="shared" si="190"/>
        <v>3.4399999999999928</v>
      </c>
      <c r="U2394" s="154">
        <f t="shared" si="191"/>
        <v>3.5390404397824153</v>
      </c>
    </row>
    <row r="2395" spans="1:21" x14ac:dyDescent="0.35">
      <c r="A2395" s="108">
        <v>2274</v>
      </c>
      <c r="B2395" s="108">
        <v>2011</v>
      </c>
      <c r="C2395" s="108" t="s">
        <v>38</v>
      </c>
      <c r="D2395" s="108" t="s">
        <v>143</v>
      </c>
      <c r="E2395" s="108" t="s">
        <v>10</v>
      </c>
      <c r="F2395" s="116">
        <v>830</v>
      </c>
      <c r="G2395" s="108" t="s">
        <v>60</v>
      </c>
      <c r="H2395" s="108" t="str">
        <f t="shared" si="188"/>
        <v>Skagit River</v>
      </c>
      <c r="I2395" s="108" t="str">
        <f>IFERROR(VLOOKUP(H2395,LUTs!$A$1:$C$73,2,FALSE),"NA")</f>
        <v>Skagit/Whatcom</v>
      </c>
      <c r="J2395" s="108" t="str">
        <f>IFERROR(VLOOKUP(H2395,LUTs!$A$1:$C$73,3,FALSE),"NA")</f>
        <v>2Central Puget Sound</v>
      </c>
      <c r="K2395" s="108" t="s">
        <v>17</v>
      </c>
      <c r="L2395" s="108" t="str">
        <f>VLOOKUP(K2395,LUTs!E$2:G$14,3,)</f>
        <v>04Island</v>
      </c>
      <c r="M2395" s="108" t="str">
        <f>VLOOKUP($K2395,LUTs!$E$2:$H$14,2,)</f>
        <v>North Puget Sound</v>
      </c>
      <c r="N2395" s="108" t="str">
        <f>VLOOKUP($K2395,LUTs!$E$2:$H$14,4,)</f>
        <v>01North Puget Sound</v>
      </c>
      <c r="O2395" s="108">
        <v>2855.5996950057202</v>
      </c>
      <c r="P2395" s="108">
        <v>9823.2629508196806</v>
      </c>
      <c r="Q2395" s="108">
        <f>SUMIFS('FW_Salmon_by_Month_2010-2021'!P$2:P$3810,'FW_Salmon_by_Month_2010-2021'!$B$2:$B$3810,'Rec_raw_catch_effort_2010-2021'!$B2395,'FW_Salmon_by_Month_2010-2021'!$H$2:$H$3810,'Rec_raw_catch_effort_2010-2021'!$F2395,'FW_Salmon_by_Month_2010-2021'!$M$2:$M$3810,'Rec_raw_catch_effort_2010-2021'!$K2395)</f>
        <v>2888.3351785503082</v>
      </c>
      <c r="R2395" s="109">
        <f>VLOOKUP(B2395,Readme!$A$62:$C$74,2,)*Q2395</f>
        <v>10221.935000535705</v>
      </c>
      <c r="S2395" s="140" t="str">
        <f t="shared" si="189"/>
        <v>Y</v>
      </c>
      <c r="T2395" s="154">
        <f t="shared" si="190"/>
        <v>3.4400000000000013</v>
      </c>
      <c r="U2395" s="154">
        <f t="shared" si="191"/>
        <v>3.5390404397824158</v>
      </c>
    </row>
    <row r="2396" spans="1:21" x14ac:dyDescent="0.35">
      <c r="A2396" s="108">
        <v>2308</v>
      </c>
      <c r="B2396" s="108">
        <v>2011</v>
      </c>
      <c r="C2396" s="108" t="s">
        <v>38</v>
      </c>
      <c r="D2396" s="108" t="s">
        <v>143</v>
      </c>
      <c r="E2396" s="108" t="s">
        <v>10</v>
      </c>
      <c r="F2396" s="116">
        <v>830</v>
      </c>
      <c r="G2396" s="108" t="s">
        <v>60</v>
      </c>
      <c r="H2396" s="108" t="str">
        <f t="shared" si="188"/>
        <v>Skagit River</v>
      </c>
      <c r="I2396" s="108" t="str">
        <f>IFERROR(VLOOKUP(H2396,LUTs!$A$1:$C$73,2,FALSE),"NA")</f>
        <v>Skagit/Whatcom</v>
      </c>
      <c r="J2396" s="108" t="str">
        <f>IFERROR(VLOOKUP(H2396,LUTs!$A$1:$C$73,3,FALSE),"NA")</f>
        <v>2Central Puget Sound</v>
      </c>
      <c r="K2396" s="108" t="s">
        <v>25</v>
      </c>
      <c r="L2396" s="108" t="str">
        <f>VLOOKUP(K2396,LUTs!E$2:G$14,3,)</f>
        <v>12Jefferson</v>
      </c>
      <c r="M2396" s="108" t="str">
        <f>VLOOKUP($K2396,LUTs!$E$2:$H$14,2,)</f>
        <v>Strait of Juan de Fuca</v>
      </c>
      <c r="N2396" s="108" t="str">
        <f>VLOOKUP($K2396,LUTs!$E$2:$H$14,4,)</f>
        <v>03Strait of Juan de Fuca</v>
      </c>
      <c r="O2396" s="108">
        <v>7.2846930995043904</v>
      </c>
      <c r="P2396" s="108">
        <v>25.059344262295099</v>
      </c>
      <c r="Q2396" s="108">
        <f>SUMIFS('FW_Salmon_by_Month_2010-2021'!P$2:P$3810,'FW_Salmon_by_Month_2010-2021'!$B$2:$B$3810,'Rec_raw_catch_effort_2010-2021'!$B2396,'FW_Salmon_by_Month_2010-2021'!$H$2:$H$3810,'Rec_raw_catch_effort_2010-2021'!$F2396,'FW_Salmon_by_Month_2010-2021'!$M$2:$M$3810,'Rec_raw_catch_effort_2010-2021'!$K2396)</f>
        <v>7.6810730253353201</v>
      </c>
      <c r="R2396" s="109">
        <f>VLOOKUP(B2396,Readme!$A$62:$C$74,2,)*Q2396</f>
        <v>27.183628057583558</v>
      </c>
      <c r="S2396" s="140" t="str">
        <f t="shared" si="189"/>
        <v>Y</v>
      </c>
      <c r="T2396" s="154">
        <f t="shared" si="190"/>
        <v>3.4399999999999995</v>
      </c>
      <c r="U2396" s="154">
        <f t="shared" si="191"/>
        <v>3.5390404397824153</v>
      </c>
    </row>
    <row r="2397" spans="1:21" x14ac:dyDescent="0.35">
      <c r="A2397" s="108">
        <v>2276</v>
      </c>
      <c r="B2397" s="108">
        <v>2011</v>
      </c>
      <c r="C2397" s="108" t="s">
        <v>38</v>
      </c>
      <c r="D2397" s="108" t="s">
        <v>143</v>
      </c>
      <c r="E2397" s="108" t="s">
        <v>10</v>
      </c>
      <c r="F2397" s="116">
        <v>830</v>
      </c>
      <c r="G2397" s="108" t="s">
        <v>60</v>
      </c>
      <c r="H2397" s="108" t="str">
        <f t="shared" si="188"/>
        <v>Skagit River</v>
      </c>
      <c r="I2397" s="108" t="str">
        <f>IFERROR(VLOOKUP(H2397,LUTs!$A$1:$C$73,2,FALSE),"NA")</f>
        <v>Skagit/Whatcom</v>
      </c>
      <c r="J2397" s="108" t="str">
        <f>IFERROR(VLOOKUP(H2397,LUTs!$A$1:$C$73,3,FALSE),"NA")</f>
        <v>2Central Puget Sound</v>
      </c>
      <c r="K2397" s="108" t="s">
        <v>18</v>
      </c>
      <c r="L2397" s="108" t="str">
        <f>VLOOKUP(K2397,LUTs!E$2:G$14,3,)</f>
        <v>06King</v>
      </c>
      <c r="M2397" s="108" t="str">
        <f>VLOOKUP($K2397,LUTs!$E$2:$H$14,2,)</f>
        <v>South Puget Sound</v>
      </c>
      <c r="N2397" s="108" t="str">
        <f>VLOOKUP($K2397,LUTs!$E$2:$H$14,4,)</f>
        <v>02South Puget Sound</v>
      </c>
      <c r="O2397" s="108">
        <v>2739.0446054136501</v>
      </c>
      <c r="P2397" s="108">
        <v>9422.3134426229608</v>
      </c>
      <c r="Q2397" s="108">
        <f>SUMIFS('FW_Salmon_by_Month_2010-2021'!P$2:P$3810,'FW_Salmon_by_Month_2010-2021'!$B$2:$B$3810,'Rec_raw_catch_effort_2010-2021'!$B2397,'FW_Salmon_by_Month_2010-2021'!$H$2:$H$3810,'Rec_raw_catch_effort_2010-2021'!$F2397,'FW_Salmon_by_Month_2010-2021'!$M$2:$M$3810,'Rec_raw_catch_effort_2010-2021'!$K2397)</f>
        <v>2699.0058566821817</v>
      </c>
      <c r="R2397" s="109">
        <f>VLOOKUP(B2397,Readme!$A$62:$C$74,2,)*Q2397</f>
        <v>9551.8908740078223</v>
      </c>
      <c r="S2397" s="140" t="str">
        <f t="shared" si="189"/>
        <v>Y</v>
      </c>
      <c r="T2397" s="154">
        <f t="shared" si="190"/>
        <v>3.4400000000000017</v>
      </c>
      <c r="U2397" s="154">
        <f t="shared" si="191"/>
        <v>3.5390404397824149</v>
      </c>
    </row>
    <row r="2398" spans="1:21" x14ac:dyDescent="0.35">
      <c r="A2398" s="108">
        <v>2306</v>
      </c>
      <c r="B2398" s="108">
        <v>2011</v>
      </c>
      <c r="C2398" s="108" t="s">
        <v>38</v>
      </c>
      <c r="D2398" s="108" t="s">
        <v>143</v>
      </c>
      <c r="E2398" s="108" t="s">
        <v>10</v>
      </c>
      <c r="F2398" s="116">
        <v>830</v>
      </c>
      <c r="G2398" s="108" t="s">
        <v>60</v>
      </c>
      <c r="H2398" s="108" t="str">
        <f t="shared" si="188"/>
        <v>Skagit River</v>
      </c>
      <c r="I2398" s="108" t="str">
        <f>IFERROR(VLOOKUP(H2398,LUTs!$A$1:$C$73,2,FALSE),"NA")</f>
        <v>Skagit/Whatcom</v>
      </c>
      <c r="J2398" s="108" t="str">
        <f>IFERROR(VLOOKUP(H2398,LUTs!$A$1:$C$73,3,FALSE),"NA")</f>
        <v>2Central Puget Sound</v>
      </c>
      <c r="K2398" s="108" t="s">
        <v>23</v>
      </c>
      <c r="L2398" s="108" t="str">
        <f>VLOOKUP(K2398,LUTs!E$2:G$14,3,)</f>
        <v>10Kitsap</v>
      </c>
      <c r="M2398" s="108" t="str">
        <f>VLOOKUP($K2398,LUTs!$E$2:$H$14,2,)</f>
        <v>South Puget Sound</v>
      </c>
      <c r="N2398" s="108" t="str">
        <f>VLOOKUP($K2398,LUTs!$E$2:$H$14,4,)</f>
        <v>02South Puget Sound</v>
      </c>
      <c r="O2398" s="108">
        <v>123.839782691575</v>
      </c>
      <c r="P2398" s="108">
        <v>426.00885245901799</v>
      </c>
      <c r="Q2398" s="108">
        <f>SUMIFS('FW_Salmon_by_Month_2010-2021'!P$2:P$3810,'FW_Salmon_by_Month_2010-2021'!$B$2:$B$3810,'Rec_raw_catch_effort_2010-2021'!$B2398,'FW_Salmon_by_Month_2010-2021'!$H$2:$H$3810,'Rec_raw_catch_effort_2010-2021'!$F2398,'FW_Salmon_by_Month_2010-2021'!$M$2:$M$3810,'Rec_raw_catch_effort_2010-2021'!$K2398)</f>
        <v>129.25485311200759</v>
      </c>
      <c r="R2398" s="109">
        <f>VLOOKUP(B2398,Readme!$A$62:$C$74,2,)*Q2398</f>
        <v>457.43815220153084</v>
      </c>
      <c r="S2398" s="140" t="str">
        <f t="shared" si="189"/>
        <v>Y</v>
      </c>
      <c r="T2398" s="154">
        <f t="shared" si="190"/>
        <v>3.44</v>
      </c>
      <c r="U2398" s="154">
        <f t="shared" si="191"/>
        <v>3.5390404397824153</v>
      </c>
    </row>
    <row r="2399" spans="1:21" x14ac:dyDescent="0.35">
      <c r="A2399" s="108">
        <v>2305</v>
      </c>
      <c r="B2399" s="108">
        <v>2011</v>
      </c>
      <c r="C2399" s="108" t="s">
        <v>38</v>
      </c>
      <c r="D2399" s="108" t="s">
        <v>143</v>
      </c>
      <c r="E2399" s="108" t="s">
        <v>10</v>
      </c>
      <c r="F2399" s="116">
        <v>830</v>
      </c>
      <c r="G2399" s="108" t="s">
        <v>60</v>
      </c>
      <c r="H2399" s="108" t="str">
        <f t="shared" si="188"/>
        <v>Skagit River</v>
      </c>
      <c r="I2399" s="108" t="str">
        <f>IFERROR(VLOOKUP(H2399,LUTs!$A$1:$C$73,2,FALSE),"NA")</f>
        <v>Skagit/Whatcom</v>
      </c>
      <c r="J2399" s="108" t="str">
        <f>IFERROR(VLOOKUP(H2399,LUTs!$A$1:$C$73,3,FALSE),"NA")</f>
        <v>2Central Puget Sound</v>
      </c>
      <c r="K2399" s="108" t="s">
        <v>22</v>
      </c>
      <c r="L2399" s="108" t="str">
        <f>VLOOKUP(K2399,LUTs!E$2:G$14,3,)</f>
        <v>09Mason</v>
      </c>
      <c r="M2399" s="108" t="str">
        <f>VLOOKUP($K2399,LUTs!$E$2:$H$14,2,)</f>
        <v>South Puget Sound</v>
      </c>
      <c r="N2399" s="108" t="str">
        <f>VLOOKUP($K2399,LUTs!$E$2:$H$14,4,)</f>
        <v>02South Puget Sound</v>
      </c>
      <c r="O2399" s="108">
        <v>87.416317194052596</v>
      </c>
      <c r="P2399" s="108">
        <v>300.71213114754102</v>
      </c>
      <c r="Q2399" s="108">
        <f>SUMIFS('FW_Salmon_by_Month_2010-2021'!P$2:P$3810,'FW_Salmon_by_Month_2010-2021'!$B$2:$B$3810,'Rec_raw_catch_effort_2010-2021'!$B2399,'FW_Salmon_by_Month_2010-2021'!$H$2:$H$3810,'Rec_raw_catch_effort_2010-2021'!$F2399,'FW_Salmon_by_Month_2010-2021'!$M$2:$M$3810,'Rec_raw_catch_effort_2010-2021'!$K2399)</f>
        <v>91.1214263756533</v>
      </c>
      <c r="R2399" s="109">
        <f>VLOOKUP(B2399,Readme!$A$62:$C$74,2,)*Q2399</f>
        <v>322.48241287409303</v>
      </c>
      <c r="S2399" s="140" t="str">
        <f t="shared" si="189"/>
        <v>Y</v>
      </c>
      <c r="T2399" s="154">
        <f t="shared" si="190"/>
        <v>3.4400000000000008</v>
      </c>
      <c r="U2399" s="154">
        <f t="shared" si="191"/>
        <v>3.5390404397824153</v>
      </c>
    </row>
    <row r="2400" spans="1:21" x14ac:dyDescent="0.35">
      <c r="A2400" s="108">
        <v>2309</v>
      </c>
      <c r="B2400" s="108">
        <v>2011</v>
      </c>
      <c r="C2400" s="108" t="s">
        <v>38</v>
      </c>
      <c r="D2400" s="108" t="s">
        <v>143</v>
      </c>
      <c r="E2400" s="108" t="s">
        <v>10</v>
      </c>
      <c r="F2400" s="116">
        <v>830</v>
      </c>
      <c r="G2400" s="108" t="s">
        <v>60</v>
      </c>
      <c r="H2400" s="108" t="str">
        <f t="shared" si="188"/>
        <v>Skagit River</v>
      </c>
      <c r="I2400" s="108" t="str">
        <f>IFERROR(VLOOKUP(H2400,LUTs!$A$1:$C$73,2,FALSE),"NA")</f>
        <v>Skagit/Whatcom</v>
      </c>
      <c r="J2400" s="108" t="str">
        <f>IFERROR(VLOOKUP(H2400,LUTs!$A$1:$C$73,3,FALSE),"NA")</f>
        <v>2Central Puget Sound</v>
      </c>
      <c r="K2400" s="108" t="s">
        <v>26</v>
      </c>
      <c r="L2400" s="108" t="str">
        <f>VLOOKUP(K2400,LUTs!E$2:G$14,3,)</f>
        <v>20Other</v>
      </c>
      <c r="M2400" s="108" t="str">
        <f>VLOOKUP($K2400,LUTs!$E$2:$H$14,2,)</f>
        <v>Non Puget Sound</v>
      </c>
      <c r="N2400" s="108" t="str">
        <f>VLOOKUP($K2400,LUTs!$E$2:$H$14,4,)</f>
        <v>07Non Puget Sound</v>
      </c>
      <c r="O2400" s="108">
        <v>4603.9260388867697</v>
      </c>
      <c r="P2400" s="108">
        <v>15837.505573770501</v>
      </c>
      <c r="Q2400" s="108">
        <f>SUMIFS('FW_Salmon_by_Month_2010-2021'!P$2:P$3810,'FW_Salmon_by_Month_2010-2021'!$B$2:$B$3810,'Rec_raw_catch_effort_2010-2021'!$B2400,'FW_Salmon_by_Month_2010-2021'!$H$2:$H$3810,'Rec_raw_catch_effort_2010-2021'!$F2400,'FW_Salmon_by_Month_2010-2021'!$M$2:$M$3810,'Rec_raw_catch_effort_2010-2021'!$K2400)</f>
        <v>4503.0082514824517</v>
      </c>
      <c r="R2400" s="109">
        <f>VLOOKUP(B2400,Readme!$A$62:$C$74,2,)*Q2400</f>
        <v>15936.328302670301</v>
      </c>
      <c r="S2400" s="140" t="str">
        <f t="shared" si="189"/>
        <v>Y</v>
      </c>
      <c r="T2400" s="154">
        <f t="shared" si="190"/>
        <v>3.4400000000000026</v>
      </c>
      <c r="U2400" s="154">
        <f t="shared" si="191"/>
        <v>3.5390404397824153</v>
      </c>
    </row>
    <row r="2401" spans="1:21" x14ac:dyDescent="0.35">
      <c r="A2401" s="108">
        <v>2277</v>
      </c>
      <c r="B2401" s="108">
        <v>2011</v>
      </c>
      <c r="C2401" s="108" t="s">
        <v>38</v>
      </c>
      <c r="D2401" s="108" t="s">
        <v>143</v>
      </c>
      <c r="E2401" s="108" t="s">
        <v>10</v>
      </c>
      <c r="F2401" s="116">
        <v>830</v>
      </c>
      <c r="G2401" s="108" t="s">
        <v>60</v>
      </c>
      <c r="H2401" s="108" t="str">
        <f t="shared" si="188"/>
        <v>Skagit River</v>
      </c>
      <c r="I2401" s="108" t="str">
        <f>IFERROR(VLOOKUP(H2401,LUTs!$A$1:$C$73,2,FALSE),"NA")</f>
        <v>Skagit/Whatcom</v>
      </c>
      <c r="J2401" s="108" t="str">
        <f>IFERROR(VLOOKUP(H2401,LUTs!$A$1:$C$73,3,FALSE),"NA")</f>
        <v>2Central Puget Sound</v>
      </c>
      <c r="K2401" s="108" t="s">
        <v>20</v>
      </c>
      <c r="L2401" s="108" t="str">
        <f>VLOOKUP(K2401,LUTs!E$2:G$14,3,)</f>
        <v>07Pierce</v>
      </c>
      <c r="M2401" s="108" t="str">
        <f>VLOOKUP($K2401,LUTs!$E$2:$H$14,2,)</f>
        <v>South Puget Sound</v>
      </c>
      <c r="N2401" s="108" t="str">
        <f>VLOOKUP($K2401,LUTs!$E$2:$H$14,4,)</f>
        <v>02South Puget Sound</v>
      </c>
      <c r="O2401" s="108">
        <v>568.20606176134197</v>
      </c>
      <c r="P2401" s="108">
        <v>1954.62885245902</v>
      </c>
      <c r="Q2401" s="108">
        <f>SUMIFS('FW_Salmon_by_Month_2010-2021'!P$2:P$3810,'FW_Salmon_by_Month_2010-2021'!$B$2:$B$3810,'Rec_raw_catch_effort_2010-2021'!$B2401,'FW_Salmon_by_Month_2010-2021'!$H$2:$H$3810,'Rec_raw_catch_effort_2010-2021'!$F2401,'FW_Salmon_by_Month_2010-2021'!$M$2:$M$3810,'Rec_raw_catch_effort_2010-2021'!$K2401)</f>
        <v>411.61451767476603</v>
      </c>
      <c r="R2401" s="109">
        <f>VLOOKUP(B2401,Readme!$A$62:$C$74,2,)*Q2401</f>
        <v>1456.7204236525308</v>
      </c>
      <c r="S2401" s="140" t="str">
        <f t="shared" si="189"/>
        <v>Y</v>
      </c>
      <c r="T2401" s="154">
        <f t="shared" si="190"/>
        <v>3.4400000000000062</v>
      </c>
      <c r="U2401" s="154">
        <f t="shared" si="191"/>
        <v>3.5390404397824153</v>
      </c>
    </row>
    <row r="2402" spans="1:21" x14ac:dyDescent="0.35">
      <c r="A2402" s="108">
        <v>2275</v>
      </c>
      <c r="B2402" s="108">
        <v>2011</v>
      </c>
      <c r="C2402" s="108" t="s">
        <v>38</v>
      </c>
      <c r="D2402" s="108" t="s">
        <v>143</v>
      </c>
      <c r="E2402" s="108" t="s">
        <v>10</v>
      </c>
      <c r="F2402" s="116">
        <v>830</v>
      </c>
      <c r="G2402" s="108" t="s">
        <v>60</v>
      </c>
      <c r="H2402" s="108" t="str">
        <f t="shared" si="188"/>
        <v>Skagit River</v>
      </c>
      <c r="I2402" s="108" t="str">
        <f>IFERROR(VLOOKUP(H2402,LUTs!$A$1:$C$73,2,FALSE),"NA")</f>
        <v>Skagit/Whatcom</v>
      </c>
      <c r="J2402" s="108" t="str">
        <f>IFERROR(VLOOKUP(H2402,LUTs!$A$1:$C$73,3,FALSE),"NA")</f>
        <v>2Central Puget Sound</v>
      </c>
      <c r="K2402" s="108" t="s">
        <v>30</v>
      </c>
      <c r="L2402" s="108" t="str">
        <f>VLOOKUP(K2402,LUTs!E$2:G$14,3,)</f>
        <v>05San Juan</v>
      </c>
      <c r="M2402" s="108" t="str">
        <f>VLOOKUP($K2402,LUTs!$E$2:$H$14,2,)</f>
        <v>North Puget Sound</v>
      </c>
      <c r="N2402" s="108" t="str">
        <f>VLOOKUP($K2402,LUTs!$E$2:$H$14,4,)</f>
        <v>01North Puget Sound</v>
      </c>
      <c r="O2402" s="108">
        <v>36.423465497521903</v>
      </c>
      <c r="P2402" s="108">
        <v>125.296721311475</v>
      </c>
      <c r="Q2402" s="108">
        <f>SUMIFS('FW_Salmon_by_Month_2010-2021'!P$2:P$3810,'FW_Salmon_by_Month_2010-2021'!$B$2:$B$3810,'Rec_raw_catch_effort_2010-2021'!$B2402,'FW_Salmon_by_Month_2010-2021'!$H$2:$H$3810,'Rec_raw_catch_effort_2010-2021'!$F2402,'FW_Salmon_by_Month_2010-2021'!$M$2:$M$3810,'Rec_raw_catch_effort_2010-2021'!$K2402)</f>
        <v>15.362146050670599</v>
      </c>
      <c r="R2402" s="109">
        <f>VLOOKUP(B2402,Readme!$A$62:$C$74,2,)*Q2402</f>
        <v>54.367256115166974</v>
      </c>
      <c r="S2402" s="140" t="str">
        <f t="shared" si="189"/>
        <v>Y</v>
      </c>
      <c r="T2402" s="154">
        <f t="shared" si="190"/>
        <v>3.4399999999999906</v>
      </c>
      <c r="U2402" s="154">
        <f t="shared" si="191"/>
        <v>3.5390404397824153</v>
      </c>
    </row>
    <row r="2403" spans="1:21" x14ac:dyDescent="0.35">
      <c r="A2403" s="108">
        <v>2272</v>
      </c>
      <c r="B2403" s="108">
        <v>2011</v>
      </c>
      <c r="C2403" s="108" t="s">
        <v>38</v>
      </c>
      <c r="D2403" s="108" t="s">
        <v>143</v>
      </c>
      <c r="E2403" s="108" t="s">
        <v>10</v>
      </c>
      <c r="F2403" s="116">
        <v>830</v>
      </c>
      <c r="G2403" s="108" t="s">
        <v>60</v>
      </c>
      <c r="H2403" s="108" t="str">
        <f t="shared" si="188"/>
        <v>Skagit River</v>
      </c>
      <c r="I2403" s="108" t="str">
        <f>IFERROR(VLOOKUP(H2403,LUTs!$A$1:$C$73,2,FALSE),"NA")</f>
        <v>Skagit/Whatcom</v>
      </c>
      <c r="J2403" s="108" t="str">
        <f>IFERROR(VLOOKUP(H2403,LUTs!$A$1:$C$73,3,FALSE),"NA")</f>
        <v>2Central Puget Sound</v>
      </c>
      <c r="K2403" s="108" t="s">
        <v>15</v>
      </c>
      <c r="L2403" s="108" t="str">
        <f>VLOOKUP(K2403,LUTs!E$2:G$14,3,)</f>
        <v>02Skagit</v>
      </c>
      <c r="M2403" s="108" t="str">
        <f>VLOOKUP($K2403,LUTs!$E$2:$H$14,2,)</f>
        <v>North Puget Sound</v>
      </c>
      <c r="N2403" s="108" t="str">
        <f>VLOOKUP($K2403,LUTs!$E$2:$H$14,4,)</f>
        <v>01North Puget Sound</v>
      </c>
      <c r="O2403" s="108">
        <v>38441.325486084599</v>
      </c>
      <c r="P2403" s="108">
        <v>132238.15967213101</v>
      </c>
      <c r="Q2403" s="108">
        <f>SUMIFS('FW_Salmon_by_Month_2010-2021'!P$2:P$3810,'FW_Salmon_by_Month_2010-2021'!$B$2:$B$3810,'Rec_raw_catch_effort_2010-2021'!$B2403,'FW_Salmon_by_Month_2010-2021'!$H$2:$H$3810,'Rec_raw_catch_effort_2010-2021'!$F2403,'FW_Salmon_by_Month_2010-2021'!$M$2:$M$3810,'Rec_raw_catch_effort_2010-2021'!$K2403)</f>
        <v>38446.862071742624</v>
      </c>
      <c r="R2403" s="109">
        <f>VLOOKUP(B2403,Readme!$A$62:$C$74,2,)*Q2403</f>
        <v>136064.99965463387</v>
      </c>
      <c r="S2403" s="140" t="str">
        <f t="shared" si="189"/>
        <v>Y</v>
      </c>
      <c r="T2403" s="154">
        <f t="shared" si="190"/>
        <v>3.4399999999999995</v>
      </c>
      <c r="U2403" s="154">
        <f t="shared" si="191"/>
        <v>3.5390404397824149</v>
      </c>
    </row>
    <row r="2404" spans="1:21" x14ac:dyDescent="0.35">
      <c r="A2404" s="108">
        <v>2273</v>
      </c>
      <c r="B2404" s="108">
        <v>2011</v>
      </c>
      <c r="C2404" s="108" t="s">
        <v>38</v>
      </c>
      <c r="D2404" s="108" t="s">
        <v>143</v>
      </c>
      <c r="E2404" s="108" t="s">
        <v>10</v>
      </c>
      <c r="F2404" s="116">
        <v>830</v>
      </c>
      <c r="G2404" s="108" t="s">
        <v>60</v>
      </c>
      <c r="H2404" s="108" t="str">
        <f t="shared" si="188"/>
        <v>Skagit River</v>
      </c>
      <c r="I2404" s="108" t="str">
        <f>IFERROR(VLOOKUP(H2404,LUTs!$A$1:$C$73,2,FALSE),"NA")</f>
        <v>Skagit/Whatcom</v>
      </c>
      <c r="J2404" s="108" t="str">
        <f>IFERROR(VLOOKUP(H2404,LUTs!$A$1:$C$73,3,FALSE),"NA")</f>
        <v>2Central Puget Sound</v>
      </c>
      <c r="K2404" s="108" t="s">
        <v>16</v>
      </c>
      <c r="L2404" s="108" t="str">
        <f>VLOOKUP(K2404,LUTs!E$2:G$14,3,)</f>
        <v>03Snohomish</v>
      </c>
      <c r="M2404" s="108" t="str">
        <f>VLOOKUP($K2404,LUTs!$E$2:$H$14,2,)</f>
        <v>North Puget Sound</v>
      </c>
      <c r="N2404" s="108" t="str">
        <f>VLOOKUP($K2404,LUTs!$E$2:$H$14,4,)</f>
        <v>01North Puget Sound</v>
      </c>
      <c r="O2404" s="108">
        <v>12354.839496759399</v>
      </c>
      <c r="P2404" s="108">
        <v>42500.647868852298</v>
      </c>
      <c r="Q2404" s="108">
        <f>SUMIFS('FW_Salmon_by_Month_2010-2021'!P$2:P$3810,'FW_Salmon_by_Month_2010-2021'!$B$2:$B$3810,'Rec_raw_catch_effort_2010-2021'!$B2404,'FW_Salmon_by_Month_2010-2021'!$H$2:$H$3810,'Rec_raw_catch_effort_2010-2021'!$F2404,'FW_Salmon_by_Month_2010-2021'!$M$2:$M$3810,'Rec_raw_catch_effort_2010-2021'!$K2404)</f>
        <v>12464.018047917863</v>
      </c>
      <c r="R2404" s="109">
        <f>VLOOKUP(B2404,Readme!$A$62:$C$74,2,)*Q2404</f>
        <v>44110.663913759199</v>
      </c>
      <c r="S2404" s="140" t="str">
        <f t="shared" si="189"/>
        <v>Y</v>
      </c>
      <c r="T2404" s="154">
        <f t="shared" si="190"/>
        <v>3.4399999999999973</v>
      </c>
      <c r="U2404" s="154">
        <f t="shared" si="191"/>
        <v>3.5390404397824153</v>
      </c>
    </row>
    <row r="2405" spans="1:21" x14ac:dyDescent="0.35">
      <c r="A2405" s="108">
        <v>2278</v>
      </c>
      <c r="B2405" s="108">
        <v>2011</v>
      </c>
      <c r="C2405" s="108" t="s">
        <v>38</v>
      </c>
      <c r="D2405" s="108" t="s">
        <v>143</v>
      </c>
      <c r="E2405" s="108" t="s">
        <v>10</v>
      </c>
      <c r="F2405" s="116">
        <v>830</v>
      </c>
      <c r="G2405" s="108" t="s">
        <v>60</v>
      </c>
      <c r="H2405" s="108" t="str">
        <f t="shared" si="188"/>
        <v>Skagit River</v>
      </c>
      <c r="I2405" s="108" t="str">
        <f>IFERROR(VLOOKUP(H2405,LUTs!$A$1:$C$73,2,FALSE),"NA")</f>
        <v>Skagit/Whatcom</v>
      </c>
      <c r="J2405" s="108" t="str">
        <f>IFERROR(VLOOKUP(H2405,LUTs!$A$1:$C$73,3,FALSE),"NA")</f>
        <v>2Central Puget Sound</v>
      </c>
      <c r="K2405" s="108" t="s">
        <v>21</v>
      </c>
      <c r="L2405" s="108" t="str">
        <f>VLOOKUP(K2405,LUTs!E$2:G$14,3,)</f>
        <v>08Thurston</v>
      </c>
      <c r="M2405" s="108" t="str">
        <f>VLOOKUP($K2405,LUTs!$E$2:$H$14,2,)</f>
        <v>South Puget Sound</v>
      </c>
      <c r="N2405" s="108" t="str">
        <f>VLOOKUP($K2405,LUTs!$E$2:$H$14,4,)</f>
        <v>02South Puget Sound</v>
      </c>
      <c r="O2405" s="108">
        <v>160.263248189096</v>
      </c>
      <c r="P2405" s="108">
        <v>551.30557377049001</v>
      </c>
      <c r="Q2405" s="108">
        <f>SUMIFS('FW_Salmon_by_Month_2010-2021'!P$2:P$3810,'FW_Salmon_by_Month_2010-2021'!$B$2:$B$3810,'Rec_raw_catch_effort_2010-2021'!$B2405,'FW_Salmon_by_Month_2010-2021'!$H$2:$H$3810,'Rec_raw_catch_effort_2010-2021'!$F2405,'FW_Salmon_by_Month_2010-2021'!$M$2:$M$3810,'Rec_raw_catch_effort_2010-2021'!$K2405)</f>
        <v>152.48087709960009</v>
      </c>
      <c r="R2405" s="109">
        <f>VLOOKUP(B2405,Readme!$A$62:$C$74,2,)*Q2405</f>
        <v>539.63599034897709</v>
      </c>
      <c r="S2405" s="140" t="str">
        <f t="shared" si="189"/>
        <v>Y</v>
      </c>
      <c r="T2405" s="154">
        <f t="shared" si="190"/>
        <v>3.4399999999999986</v>
      </c>
      <c r="U2405" s="154">
        <f t="shared" si="191"/>
        <v>3.5390404397824149</v>
      </c>
    </row>
    <row r="2406" spans="1:21" x14ac:dyDescent="0.35">
      <c r="A2406" s="108">
        <v>2271</v>
      </c>
      <c r="B2406" s="108">
        <v>2011</v>
      </c>
      <c r="C2406" s="108" t="s">
        <v>38</v>
      </c>
      <c r="D2406" s="108" t="s">
        <v>143</v>
      </c>
      <c r="E2406" s="108" t="s">
        <v>10</v>
      </c>
      <c r="F2406" s="116">
        <v>830</v>
      </c>
      <c r="G2406" s="108" t="s">
        <v>60</v>
      </c>
      <c r="H2406" s="108" t="str">
        <f t="shared" si="188"/>
        <v>Skagit River</v>
      </c>
      <c r="I2406" s="108" t="str">
        <f>IFERROR(VLOOKUP(H2406,LUTs!$A$1:$C$73,2,FALSE),"NA")</f>
        <v>Skagit/Whatcom</v>
      </c>
      <c r="J2406" s="108" t="str">
        <f>IFERROR(VLOOKUP(H2406,LUTs!$A$1:$C$73,3,FALSE),"NA")</f>
        <v>2Central Puget Sound</v>
      </c>
      <c r="K2406" s="108" t="s">
        <v>13</v>
      </c>
      <c r="L2406" s="108" t="str">
        <f>VLOOKUP(K2406,LUTs!E$2:G$14,3,)</f>
        <v>01Whatcom</v>
      </c>
      <c r="M2406" s="108" t="str">
        <f>VLOOKUP($K2406,LUTs!$E$2:$H$14,2,)</f>
        <v>North Puget Sound</v>
      </c>
      <c r="N2406" s="108" t="str">
        <f>VLOOKUP($K2406,LUTs!$E$2:$H$14,4,)</f>
        <v>01North Puget Sound</v>
      </c>
      <c r="O2406" s="108">
        <v>14423.6923370187</v>
      </c>
      <c r="P2406" s="108">
        <v>49617.5016393443</v>
      </c>
      <c r="Q2406" s="108">
        <f>SUMIFS('FW_Salmon_by_Month_2010-2021'!P$2:P$3810,'FW_Salmon_by_Month_2010-2021'!$B$2:$B$3810,'Rec_raw_catch_effort_2010-2021'!$B2406,'FW_Salmon_by_Month_2010-2021'!$H$2:$H$3810,'Rec_raw_catch_effort_2010-2021'!$F2406,'FW_Salmon_by_Month_2010-2021'!$M$2:$M$3810,'Rec_raw_catch_effort_2010-2021'!$K2406)</f>
        <v>14591.881891494628</v>
      </c>
      <c r="R2406" s="109">
        <f>VLOOKUP(B2406,Readme!$A$62:$C$74,2,)*Q2406</f>
        <v>51641.260106528207</v>
      </c>
      <c r="S2406" s="140" t="str">
        <f t="shared" si="189"/>
        <v>Y</v>
      </c>
      <c r="T2406" s="154">
        <f t="shared" si="190"/>
        <v>3.4399999999999982</v>
      </c>
      <c r="U2406" s="154">
        <f t="shared" si="191"/>
        <v>3.5390404397824153</v>
      </c>
    </row>
    <row r="2407" spans="1:21" x14ac:dyDescent="0.35">
      <c r="A2407" s="108">
        <v>2350</v>
      </c>
      <c r="B2407" s="108">
        <v>2012</v>
      </c>
      <c r="C2407" s="108" t="s">
        <v>38</v>
      </c>
      <c r="D2407" s="108" t="s">
        <v>143</v>
      </c>
      <c r="E2407" s="108" t="s">
        <v>10</v>
      </c>
      <c r="F2407" s="116">
        <v>830</v>
      </c>
      <c r="G2407" s="108" t="s">
        <v>60</v>
      </c>
      <c r="H2407" s="108" t="str">
        <f t="shared" si="188"/>
        <v>Skagit River</v>
      </c>
      <c r="I2407" s="108" t="str">
        <f>IFERROR(VLOOKUP(H2407,LUTs!$A$1:$C$73,2,FALSE),"NA")</f>
        <v>Skagit/Whatcom</v>
      </c>
      <c r="J2407" s="108" t="str">
        <f>IFERROR(VLOOKUP(H2407,LUTs!$A$1:$C$73,3,FALSE),"NA")</f>
        <v>2Central Puget Sound</v>
      </c>
      <c r="K2407" s="108" t="s">
        <v>17</v>
      </c>
      <c r="L2407" s="108" t="str">
        <f>VLOOKUP(K2407,LUTs!E$2:G$14,3,)</f>
        <v>04Island</v>
      </c>
      <c r="M2407" s="108" t="str">
        <f>VLOOKUP($K2407,LUTs!$E$2:$H$14,2,)</f>
        <v>North Puget Sound</v>
      </c>
      <c r="N2407" s="108" t="str">
        <f>VLOOKUP($K2407,LUTs!$E$2:$H$14,4,)</f>
        <v>01North Puget Sound</v>
      </c>
      <c r="O2407" s="108">
        <v>131.032080659945</v>
      </c>
      <c r="P2407" s="108">
        <v>1133.4274977085199</v>
      </c>
      <c r="Q2407" s="108">
        <f>SUMIFS('FW_Salmon_by_Month_2010-2021'!P$2:P$3810,'FW_Salmon_by_Month_2010-2021'!$B$2:$B$3810,'Rec_raw_catch_effort_2010-2021'!$B2407,'FW_Salmon_by_Month_2010-2021'!$H$2:$H$3810,'Rec_raw_catch_effort_2010-2021'!$F2407,'FW_Salmon_by_Month_2010-2021'!$M$2:$M$3810,'Rec_raw_catch_effort_2010-2021'!$K2407)</f>
        <v>133.79137380819202</v>
      </c>
      <c r="R2407" s="109">
        <f>VLOOKUP(B2407,Readme!$A$62:$C$74,2,)*Q2407</f>
        <v>644.81487176531527</v>
      </c>
      <c r="S2407" s="140" t="str">
        <f t="shared" si="189"/>
        <v>Y</v>
      </c>
      <c r="T2407" s="154">
        <f t="shared" si="190"/>
        <v>8.6499999999999666</v>
      </c>
      <c r="U2407" s="154">
        <f t="shared" si="191"/>
        <v>4.8195549041132084</v>
      </c>
    </row>
    <row r="2408" spans="1:21" x14ac:dyDescent="0.35">
      <c r="A2408" s="108">
        <v>2352</v>
      </c>
      <c r="B2408" s="108">
        <v>2012</v>
      </c>
      <c r="C2408" s="108" t="s">
        <v>38</v>
      </c>
      <c r="D2408" s="108" t="s">
        <v>143</v>
      </c>
      <c r="E2408" s="108" t="s">
        <v>10</v>
      </c>
      <c r="F2408" s="116">
        <v>830</v>
      </c>
      <c r="G2408" s="108" t="s">
        <v>60</v>
      </c>
      <c r="H2408" s="108" t="str">
        <f t="shared" si="188"/>
        <v>Skagit River</v>
      </c>
      <c r="I2408" s="108" t="str">
        <f>IFERROR(VLOOKUP(H2408,LUTs!$A$1:$C$73,2,FALSE),"NA")</f>
        <v>Skagit/Whatcom</v>
      </c>
      <c r="J2408" s="108" t="str">
        <f>IFERROR(VLOOKUP(H2408,LUTs!$A$1:$C$73,3,FALSE),"NA")</f>
        <v>2Central Puget Sound</v>
      </c>
      <c r="K2408" s="108" t="s">
        <v>18</v>
      </c>
      <c r="L2408" s="108" t="str">
        <f>VLOOKUP(K2408,LUTs!E$2:G$14,3,)</f>
        <v>06King</v>
      </c>
      <c r="M2408" s="108" t="str">
        <f>VLOOKUP($K2408,LUTs!$E$2:$H$14,2,)</f>
        <v>South Puget Sound</v>
      </c>
      <c r="N2408" s="108" t="str">
        <f>VLOOKUP($K2408,LUTs!$E$2:$H$14,4,)</f>
        <v>02South Puget Sound</v>
      </c>
      <c r="O2408" s="108">
        <v>363.978001833181</v>
      </c>
      <c r="P2408" s="108">
        <v>3148.4097158570198</v>
      </c>
      <c r="Q2408" s="108">
        <f>SUMIFS('FW_Salmon_by_Month_2010-2021'!P$2:P$3810,'FW_Salmon_by_Month_2010-2021'!$B$2:$B$3810,'Rec_raw_catch_effort_2010-2021'!$B2408,'FW_Salmon_by_Month_2010-2021'!$H$2:$H$3810,'Rec_raw_catch_effort_2010-2021'!$F2408,'FW_Salmon_by_Month_2010-2021'!$M$2:$M$3810,'Rec_raw_catch_effort_2010-2021'!$K2408)</f>
        <v>363.5235229892894</v>
      </c>
      <c r="R2408" s="109">
        <f>VLOOKUP(B2408,Readme!$A$62:$C$74,2,)*Q2408</f>
        <v>1752.0215779835405</v>
      </c>
      <c r="S2408" s="140" t="str">
        <f t="shared" si="189"/>
        <v>Y</v>
      </c>
      <c r="T2408" s="154">
        <f t="shared" si="190"/>
        <v>8.650000000000011</v>
      </c>
      <c r="U2408" s="154">
        <f t="shared" si="191"/>
        <v>4.8195549041132084</v>
      </c>
    </row>
    <row r="2409" spans="1:21" x14ac:dyDescent="0.35">
      <c r="A2409" s="108">
        <v>2354</v>
      </c>
      <c r="B2409" s="108">
        <v>2012</v>
      </c>
      <c r="C2409" s="108" t="s">
        <v>38</v>
      </c>
      <c r="D2409" s="108" t="s">
        <v>143</v>
      </c>
      <c r="E2409" s="108" t="s">
        <v>10</v>
      </c>
      <c r="F2409" s="116">
        <v>830</v>
      </c>
      <c r="G2409" s="108" t="s">
        <v>60</v>
      </c>
      <c r="H2409" s="108" t="str">
        <f t="shared" si="188"/>
        <v>Skagit River</v>
      </c>
      <c r="I2409" s="108" t="str">
        <f>IFERROR(VLOOKUP(H2409,LUTs!$A$1:$C$73,2,FALSE),"NA")</f>
        <v>Skagit/Whatcom</v>
      </c>
      <c r="J2409" s="108" t="str">
        <f>IFERROR(VLOOKUP(H2409,LUTs!$A$1:$C$73,3,FALSE),"NA")</f>
        <v>2Central Puget Sound</v>
      </c>
      <c r="K2409" s="108" t="s">
        <v>23</v>
      </c>
      <c r="L2409" s="108" t="str">
        <f>VLOOKUP(K2409,LUTs!E$2:G$14,3,)</f>
        <v>10Kitsap</v>
      </c>
      <c r="M2409" s="108" t="str">
        <f>VLOOKUP($K2409,LUTs!$E$2:$H$14,2,)</f>
        <v>South Puget Sound</v>
      </c>
      <c r="N2409" s="108" t="str">
        <f>VLOOKUP($K2409,LUTs!$E$2:$H$14,4,)</f>
        <v>02South Puget Sound</v>
      </c>
      <c r="O2409" s="108">
        <v>58.236480293308901</v>
      </c>
      <c r="P2409" s="108">
        <v>503.74555453712202</v>
      </c>
      <c r="Q2409" s="108">
        <f>SUMIFS('FW_Salmon_by_Month_2010-2021'!P$2:P$3810,'FW_Salmon_by_Month_2010-2021'!$B$2:$B$3810,'Rec_raw_catch_effort_2010-2021'!$B2409,'FW_Salmon_by_Month_2010-2021'!$H$2:$H$3810,'Rec_raw_catch_effort_2010-2021'!$F2409,'FW_Salmon_by_Month_2010-2021'!$M$2:$M$3810,'Rec_raw_catch_effort_2010-2021'!$K2409)</f>
        <v>58.5906735751295</v>
      </c>
      <c r="R2409" s="109">
        <f>VLOOKUP(B2409,Readme!$A$62:$C$74,2,)*Q2409</f>
        <v>282.38096816431153</v>
      </c>
      <c r="S2409" s="140" t="str">
        <f t="shared" si="189"/>
        <v>Y</v>
      </c>
      <c r="T2409" s="154">
        <f t="shared" si="190"/>
        <v>8.65</v>
      </c>
      <c r="U2409" s="154">
        <f t="shared" si="191"/>
        <v>4.8195549041132075</v>
      </c>
    </row>
    <row r="2410" spans="1:21" x14ac:dyDescent="0.35">
      <c r="A2410" s="108">
        <v>2355</v>
      </c>
      <c r="B2410" s="108">
        <v>2012</v>
      </c>
      <c r="C2410" s="108" t="s">
        <v>38</v>
      </c>
      <c r="D2410" s="108" t="s">
        <v>143</v>
      </c>
      <c r="E2410" s="108" t="s">
        <v>10</v>
      </c>
      <c r="F2410" s="116">
        <v>830</v>
      </c>
      <c r="G2410" s="108" t="s">
        <v>60</v>
      </c>
      <c r="H2410" s="108" t="str">
        <f t="shared" ref="H2410:H2473" si="192">G2410</f>
        <v>Skagit River</v>
      </c>
      <c r="I2410" s="108" t="str">
        <f>IFERROR(VLOOKUP(H2410,LUTs!$A$1:$C$73,2,FALSE),"NA")</f>
        <v>Skagit/Whatcom</v>
      </c>
      <c r="J2410" s="108" t="str">
        <f>IFERROR(VLOOKUP(H2410,LUTs!$A$1:$C$73,3,FALSE),"NA")</f>
        <v>2Central Puget Sound</v>
      </c>
      <c r="K2410" s="108" t="s">
        <v>26</v>
      </c>
      <c r="L2410" s="108" t="str">
        <f>VLOOKUP(K2410,LUTs!E$2:G$14,3,)</f>
        <v>20Other</v>
      </c>
      <c r="M2410" s="108" t="str">
        <f>VLOOKUP($K2410,LUTs!$E$2:$H$14,2,)</f>
        <v>Non Puget Sound</v>
      </c>
      <c r="N2410" s="108" t="str">
        <f>VLOOKUP($K2410,LUTs!$E$2:$H$14,4,)</f>
        <v>07Non Puget Sound</v>
      </c>
      <c r="O2410" s="108">
        <v>262.06416131988999</v>
      </c>
      <c r="P2410" s="108">
        <v>2266.8549954170498</v>
      </c>
      <c r="Q2410" s="108">
        <f>SUMIFS('FW_Salmon_by_Month_2010-2021'!P$2:P$3810,'FW_Salmon_by_Month_2010-2021'!$B$2:$B$3810,'Rec_raw_catch_effort_2010-2021'!$B2410,'FW_Salmon_by_Month_2010-2021'!$H$2:$H$3810,'Rec_raw_catch_effort_2010-2021'!$F2410,'FW_Salmon_by_Month_2010-2021'!$M$2:$M$3810,'Rec_raw_catch_effort_2010-2021'!$K2410)</f>
        <v>243.00166216132445</v>
      </c>
      <c r="R2410" s="109">
        <f>VLOOKUP(B2410,Readme!$A$62:$C$74,2,)*Q2410</f>
        <v>1171.1598525772722</v>
      </c>
      <c r="S2410" s="140" t="str">
        <f t="shared" si="189"/>
        <v>Y</v>
      </c>
      <c r="T2410" s="154">
        <f t="shared" si="190"/>
        <v>8.6500000000000057</v>
      </c>
      <c r="U2410" s="154">
        <f t="shared" si="191"/>
        <v>4.8195549041132084</v>
      </c>
    </row>
    <row r="2411" spans="1:21" x14ac:dyDescent="0.35">
      <c r="A2411" s="108">
        <v>2353</v>
      </c>
      <c r="B2411" s="108">
        <v>2012</v>
      </c>
      <c r="C2411" s="108" t="s">
        <v>38</v>
      </c>
      <c r="D2411" s="108" t="s">
        <v>143</v>
      </c>
      <c r="E2411" s="108" t="s">
        <v>10</v>
      </c>
      <c r="F2411" s="116">
        <v>830</v>
      </c>
      <c r="G2411" s="108" t="s">
        <v>60</v>
      </c>
      <c r="H2411" s="108" t="str">
        <f t="shared" si="192"/>
        <v>Skagit River</v>
      </c>
      <c r="I2411" s="108" t="str">
        <f>IFERROR(VLOOKUP(H2411,LUTs!$A$1:$C$73,2,FALSE),"NA")</f>
        <v>Skagit/Whatcom</v>
      </c>
      <c r="J2411" s="108" t="str">
        <f>IFERROR(VLOOKUP(H2411,LUTs!$A$1:$C$73,3,FALSE),"NA")</f>
        <v>2Central Puget Sound</v>
      </c>
      <c r="K2411" s="108" t="s">
        <v>20</v>
      </c>
      <c r="L2411" s="108" t="str">
        <f>VLOOKUP(K2411,LUTs!E$2:G$14,3,)</f>
        <v>07Pierce</v>
      </c>
      <c r="M2411" s="108" t="str">
        <f>VLOOKUP($K2411,LUTs!$E$2:$H$14,2,)</f>
        <v>South Puget Sound</v>
      </c>
      <c r="N2411" s="108" t="str">
        <f>VLOOKUP($K2411,LUTs!$E$2:$H$14,4,)</f>
        <v>02South Puget Sound</v>
      </c>
      <c r="O2411" s="108">
        <v>65.516040329972498</v>
      </c>
      <c r="P2411" s="108">
        <v>566.71374885426201</v>
      </c>
      <c r="Q2411" s="108">
        <f>SUMIFS('FW_Salmon_by_Month_2010-2021'!P$2:P$3810,'FW_Salmon_by_Month_2010-2021'!$B$2:$B$3810,'Rec_raw_catch_effort_2010-2021'!$B2411,'FW_Salmon_by_Month_2010-2021'!$H$2:$H$3810,'Rec_raw_catch_effort_2010-2021'!$F2411,'FW_Salmon_by_Month_2010-2021'!$M$2:$M$3810,'Rec_raw_catch_effort_2010-2021'!$K2411)</f>
        <v>66.81834943752051</v>
      </c>
      <c r="R2411" s="109">
        <f>VLOOKUP(B2411,Readme!$A$62:$C$74,2,)*Q2411</f>
        <v>322.034703716352</v>
      </c>
      <c r="S2411" s="140" t="str">
        <f t="shared" si="189"/>
        <v>Y</v>
      </c>
      <c r="T2411" s="154">
        <f t="shared" si="190"/>
        <v>8.6499999999999986</v>
      </c>
      <c r="U2411" s="154">
        <f t="shared" si="191"/>
        <v>4.8195549041132084</v>
      </c>
    </row>
    <row r="2412" spans="1:21" x14ac:dyDescent="0.35">
      <c r="A2412" s="108">
        <v>2351</v>
      </c>
      <c r="B2412" s="108">
        <v>2012</v>
      </c>
      <c r="C2412" s="108" t="s">
        <v>38</v>
      </c>
      <c r="D2412" s="108" t="s">
        <v>143</v>
      </c>
      <c r="E2412" s="108" t="s">
        <v>10</v>
      </c>
      <c r="F2412" s="116">
        <v>830</v>
      </c>
      <c r="G2412" s="108" t="s">
        <v>60</v>
      </c>
      <c r="H2412" s="108" t="str">
        <f t="shared" si="192"/>
        <v>Skagit River</v>
      </c>
      <c r="I2412" s="108" t="str">
        <f>IFERROR(VLOOKUP(H2412,LUTs!$A$1:$C$73,2,FALSE),"NA")</f>
        <v>Skagit/Whatcom</v>
      </c>
      <c r="J2412" s="108" t="str">
        <f>IFERROR(VLOOKUP(H2412,LUTs!$A$1:$C$73,3,FALSE),"NA")</f>
        <v>2Central Puget Sound</v>
      </c>
      <c r="K2412" s="108" t="s">
        <v>30</v>
      </c>
      <c r="L2412" s="108" t="str">
        <f>VLOOKUP(K2412,LUTs!E$2:G$14,3,)</f>
        <v>05San Juan</v>
      </c>
      <c r="M2412" s="108" t="str">
        <f>VLOOKUP($K2412,LUTs!$E$2:$H$14,2,)</f>
        <v>North Puget Sound</v>
      </c>
      <c r="N2412" s="108" t="str">
        <f>VLOOKUP($K2412,LUTs!$E$2:$H$14,4,)</f>
        <v>01North Puget Sound</v>
      </c>
      <c r="O2412" s="108">
        <v>14.5591200733272</v>
      </c>
      <c r="P2412" s="108">
        <v>125.93638863427999</v>
      </c>
      <c r="Q2412" s="108">
        <f>SUMIFS('FW_Salmon_by_Month_2010-2021'!P$2:P$3810,'FW_Salmon_by_Month_2010-2021'!$B$2:$B$3810,'Rec_raw_catch_effort_2010-2021'!$B2412,'FW_Salmon_by_Month_2010-2021'!$H$2:$H$3810,'Rec_raw_catch_effort_2010-2021'!$F2412,'FW_Salmon_by_Month_2010-2021'!$M$2:$M$3810,'Rec_raw_catch_effort_2010-2021'!$K2412)</f>
        <v>14.6476683937824</v>
      </c>
      <c r="R2412" s="109">
        <f>VLOOKUP(B2412,Readme!$A$62:$C$74,2,)*Q2412</f>
        <v>70.595242041078009</v>
      </c>
      <c r="S2412" s="140" t="str">
        <f t="shared" si="189"/>
        <v>Y</v>
      </c>
      <c r="T2412" s="154">
        <f t="shared" si="190"/>
        <v>8.6499999999999808</v>
      </c>
      <c r="U2412" s="154">
        <f t="shared" si="191"/>
        <v>4.8195549041132084</v>
      </c>
    </row>
    <row r="2413" spans="1:21" x14ac:dyDescent="0.35">
      <c r="A2413" s="108">
        <v>2311</v>
      </c>
      <c r="B2413" s="108">
        <v>2012</v>
      </c>
      <c r="C2413" s="108" t="s">
        <v>38</v>
      </c>
      <c r="D2413" s="108" t="s">
        <v>143</v>
      </c>
      <c r="E2413" s="108" t="s">
        <v>10</v>
      </c>
      <c r="F2413" s="116">
        <v>830</v>
      </c>
      <c r="G2413" s="108" t="s">
        <v>60</v>
      </c>
      <c r="H2413" s="108" t="str">
        <f t="shared" si="192"/>
        <v>Skagit River</v>
      </c>
      <c r="I2413" s="108" t="str">
        <f>IFERROR(VLOOKUP(H2413,LUTs!$A$1:$C$73,2,FALSE),"NA")</f>
        <v>Skagit/Whatcom</v>
      </c>
      <c r="J2413" s="108" t="str">
        <f>IFERROR(VLOOKUP(H2413,LUTs!$A$1:$C$73,3,FALSE),"NA")</f>
        <v>2Central Puget Sound</v>
      </c>
      <c r="K2413" s="108" t="s">
        <v>15</v>
      </c>
      <c r="L2413" s="108" t="str">
        <f>VLOOKUP(K2413,LUTs!E$2:G$14,3,)</f>
        <v>02Skagit</v>
      </c>
      <c r="M2413" s="108" t="str">
        <f>VLOOKUP($K2413,LUTs!$E$2:$H$14,2,)</f>
        <v>North Puget Sound</v>
      </c>
      <c r="N2413" s="108" t="str">
        <f>VLOOKUP($K2413,LUTs!$E$2:$H$14,4,)</f>
        <v>01North Puget Sound</v>
      </c>
      <c r="O2413" s="108">
        <v>5590.7021081576504</v>
      </c>
      <c r="P2413" s="108">
        <v>48359.573235563701</v>
      </c>
      <c r="Q2413" s="108">
        <f>SUMIFS('FW_Salmon_by_Month_2010-2021'!P$2:P$3810,'FW_Salmon_by_Month_2010-2021'!$B$2:$B$3810,'Rec_raw_catch_effort_2010-2021'!$B2413,'FW_Salmon_by_Month_2010-2021'!$H$2:$H$3810,'Rec_raw_catch_effort_2010-2021'!$F2413,'FW_Salmon_by_Month_2010-2021'!$M$2:$M$3810,'Rec_raw_catch_effort_2010-2021'!$K2413)</f>
        <v>5591.6551917901079</v>
      </c>
      <c r="R2413" s="109">
        <f>VLOOKUP(B2413,Readme!$A$62:$C$74,2,)*Q2413</f>
        <v>26949.289201702097</v>
      </c>
      <c r="S2413" s="140" t="str">
        <f t="shared" si="189"/>
        <v>Y</v>
      </c>
      <c r="T2413" s="154">
        <f t="shared" si="190"/>
        <v>8.6500000000000039</v>
      </c>
      <c r="U2413" s="154">
        <f t="shared" si="191"/>
        <v>4.8195549041132084</v>
      </c>
    </row>
    <row r="2414" spans="1:21" x14ac:dyDescent="0.35">
      <c r="A2414" s="108">
        <v>2312</v>
      </c>
      <c r="B2414" s="108">
        <v>2012</v>
      </c>
      <c r="C2414" s="108" t="s">
        <v>38</v>
      </c>
      <c r="D2414" s="108" t="s">
        <v>143</v>
      </c>
      <c r="E2414" s="108" t="s">
        <v>10</v>
      </c>
      <c r="F2414" s="116">
        <v>830</v>
      </c>
      <c r="G2414" s="108" t="s">
        <v>60</v>
      </c>
      <c r="H2414" s="108" t="str">
        <f t="shared" si="192"/>
        <v>Skagit River</v>
      </c>
      <c r="I2414" s="108" t="str">
        <f>IFERROR(VLOOKUP(H2414,LUTs!$A$1:$C$73,2,FALSE),"NA")</f>
        <v>Skagit/Whatcom</v>
      </c>
      <c r="J2414" s="108" t="str">
        <f>IFERROR(VLOOKUP(H2414,LUTs!$A$1:$C$73,3,FALSE),"NA")</f>
        <v>2Central Puget Sound</v>
      </c>
      <c r="K2414" s="108" t="s">
        <v>16</v>
      </c>
      <c r="L2414" s="108" t="str">
        <f>VLOOKUP(K2414,LUTs!E$2:G$14,3,)</f>
        <v>03Snohomish</v>
      </c>
      <c r="M2414" s="108" t="str">
        <f>VLOOKUP($K2414,LUTs!$E$2:$H$14,2,)</f>
        <v>North Puget Sound</v>
      </c>
      <c r="N2414" s="108" t="str">
        <f>VLOOKUP($K2414,LUTs!$E$2:$H$14,4,)</f>
        <v>01North Puget Sound</v>
      </c>
      <c r="O2414" s="108">
        <v>1011.85884509624</v>
      </c>
      <c r="P2414" s="108">
        <v>8752.5790100824797</v>
      </c>
      <c r="Q2414" s="108">
        <f>SUMIFS('FW_Salmon_by_Month_2010-2021'!P$2:P$3810,'FW_Salmon_by_Month_2010-2021'!$B$2:$B$3810,'Rec_raw_catch_effort_2010-2021'!$B2414,'FW_Salmon_by_Month_2010-2021'!$H$2:$H$3810,'Rec_raw_catch_effort_2010-2021'!$F2414,'FW_Salmon_by_Month_2010-2021'!$M$2:$M$3810,'Rec_raw_catch_effort_2010-2021'!$K2414)</f>
        <v>1021.1714474417336</v>
      </c>
      <c r="R2414" s="109">
        <f>VLOOKUP(B2414,Readme!$A$62:$C$74,2,)*Q2414</f>
        <v>4921.5918574581901</v>
      </c>
      <c r="S2414" s="140" t="str">
        <f t="shared" si="189"/>
        <v>Y</v>
      </c>
      <c r="T2414" s="154">
        <f t="shared" si="190"/>
        <v>8.6500000000000039</v>
      </c>
      <c r="U2414" s="154">
        <f t="shared" si="191"/>
        <v>4.8195549041132084</v>
      </c>
    </row>
    <row r="2415" spans="1:21" x14ac:dyDescent="0.35">
      <c r="A2415" s="108">
        <v>2310</v>
      </c>
      <c r="B2415" s="108">
        <v>2012</v>
      </c>
      <c r="C2415" s="108" t="s">
        <v>38</v>
      </c>
      <c r="D2415" s="108" t="s">
        <v>143</v>
      </c>
      <c r="E2415" s="108" t="s">
        <v>10</v>
      </c>
      <c r="F2415" s="116">
        <v>830</v>
      </c>
      <c r="G2415" s="108" t="s">
        <v>60</v>
      </c>
      <c r="H2415" s="108" t="str">
        <f t="shared" si="192"/>
        <v>Skagit River</v>
      </c>
      <c r="I2415" s="108" t="str">
        <f>IFERROR(VLOOKUP(H2415,LUTs!$A$1:$C$73,2,FALSE),"NA")</f>
        <v>Skagit/Whatcom</v>
      </c>
      <c r="J2415" s="108" t="str">
        <f>IFERROR(VLOOKUP(H2415,LUTs!$A$1:$C$73,3,FALSE),"NA")</f>
        <v>2Central Puget Sound</v>
      </c>
      <c r="K2415" s="108" t="s">
        <v>13</v>
      </c>
      <c r="L2415" s="108" t="str">
        <f>VLOOKUP(K2415,LUTs!E$2:G$14,3,)</f>
        <v>01Whatcom</v>
      </c>
      <c r="M2415" s="108" t="str">
        <f>VLOOKUP($K2415,LUTs!$E$2:$H$14,2,)</f>
        <v>North Puget Sound</v>
      </c>
      <c r="N2415" s="108" t="str">
        <f>VLOOKUP($K2415,LUTs!$E$2:$H$14,4,)</f>
        <v>01North Puget Sound</v>
      </c>
      <c r="O2415" s="108">
        <v>444.05316223647998</v>
      </c>
      <c r="P2415" s="108">
        <v>3841.05985334555</v>
      </c>
      <c r="Q2415" s="108">
        <f>SUMIFS('FW_Salmon_by_Month_2010-2021'!P$2:P$3810,'FW_Salmon_by_Month_2010-2021'!$B$2:$B$3810,'Rec_raw_catch_effort_2010-2021'!$B2415,'FW_Salmon_by_Month_2010-2021'!$H$2:$H$3810,'Rec_raw_catch_effort_2010-2021'!$F2415,'FW_Salmon_by_Month_2010-2021'!$M$2:$M$3810,'Rec_raw_catch_effort_2010-2021'!$K2415)</f>
        <v>448.80011040292732</v>
      </c>
      <c r="R2415" s="109">
        <f>VLOOKUP(B2415,Readme!$A$62:$C$74,2,)*Q2415</f>
        <v>2163.0167730589778</v>
      </c>
      <c r="S2415" s="140" t="str">
        <f t="shared" si="189"/>
        <v>Y</v>
      </c>
      <c r="T2415" s="154">
        <f t="shared" si="190"/>
        <v>8.649999999999995</v>
      </c>
      <c r="U2415" s="154">
        <f t="shared" si="191"/>
        <v>4.8195549041132084</v>
      </c>
    </row>
    <row r="2416" spans="1:21" x14ac:dyDescent="0.35">
      <c r="A2416" s="108">
        <v>2392</v>
      </c>
      <c r="B2416" s="108">
        <v>2013</v>
      </c>
      <c r="C2416" s="108" t="s">
        <v>38</v>
      </c>
      <c r="D2416" s="108" t="s">
        <v>143</v>
      </c>
      <c r="E2416" s="108" t="s">
        <v>10</v>
      </c>
      <c r="F2416" s="116">
        <v>830</v>
      </c>
      <c r="G2416" s="108" t="s">
        <v>60</v>
      </c>
      <c r="H2416" s="108" t="str">
        <f t="shared" si="192"/>
        <v>Skagit River</v>
      </c>
      <c r="I2416" s="108" t="str">
        <f>IFERROR(VLOOKUP(H2416,LUTs!$A$1:$C$73,2,FALSE),"NA")</f>
        <v>Skagit/Whatcom</v>
      </c>
      <c r="J2416" s="108" t="str">
        <f>IFERROR(VLOOKUP(H2416,LUTs!$A$1:$C$73,3,FALSE),"NA")</f>
        <v>2Central Puget Sound</v>
      </c>
      <c r="K2416" s="108" t="s">
        <v>24</v>
      </c>
      <c r="L2416" s="108" t="str">
        <f>VLOOKUP(K2416,LUTs!E$2:G$14,3,)</f>
        <v>11Clallam</v>
      </c>
      <c r="M2416" s="108" t="str">
        <f>VLOOKUP($K2416,LUTs!$E$2:$H$14,2,)</f>
        <v>Strait of Juan de Fuca</v>
      </c>
      <c r="N2416" s="108" t="str">
        <f>VLOOKUP($K2416,LUTs!$E$2:$H$14,4,)</f>
        <v>03Strait of Juan de Fuca</v>
      </c>
      <c r="O2416" s="108">
        <v>178.283582089552</v>
      </c>
      <c r="P2416" s="108">
        <v>613.295522388059</v>
      </c>
      <c r="Q2416" s="108">
        <f>SUMIFS('FW_Salmon_by_Month_2010-2021'!P$2:P$3810,'FW_Salmon_by_Month_2010-2021'!$B$2:$B$3810,'Rec_raw_catch_effort_2010-2021'!$B2416,'FW_Salmon_by_Month_2010-2021'!$H$2:$H$3810,'Rec_raw_catch_effort_2010-2021'!$F2416,'FW_Salmon_by_Month_2010-2021'!$M$2:$M$3810,'Rec_raw_catch_effort_2010-2021'!$K2416)</f>
        <v>179.69963519928581</v>
      </c>
      <c r="R2416" s="109">
        <f>VLOOKUP(B2416,Readme!$A$62:$C$74,2,)*Q2416</f>
        <v>635.96427598442006</v>
      </c>
      <c r="S2416" s="140" t="str">
        <f t="shared" si="189"/>
        <v>Y</v>
      </c>
      <c r="T2416" s="154">
        <f t="shared" si="190"/>
        <v>3.4400000000000008</v>
      </c>
      <c r="U2416" s="154">
        <f t="shared" si="191"/>
        <v>3.5390404397824153</v>
      </c>
    </row>
    <row r="2417" spans="1:21" x14ac:dyDescent="0.35">
      <c r="A2417" s="108">
        <v>2385</v>
      </c>
      <c r="B2417" s="108">
        <v>2013</v>
      </c>
      <c r="C2417" s="108" t="s">
        <v>38</v>
      </c>
      <c r="D2417" s="108" t="s">
        <v>143</v>
      </c>
      <c r="E2417" s="108" t="s">
        <v>10</v>
      </c>
      <c r="F2417" s="116">
        <v>830</v>
      </c>
      <c r="G2417" s="108" t="s">
        <v>60</v>
      </c>
      <c r="H2417" s="108" t="str">
        <f t="shared" si="192"/>
        <v>Skagit River</v>
      </c>
      <c r="I2417" s="108" t="str">
        <f>IFERROR(VLOOKUP(H2417,LUTs!$A$1:$C$73,2,FALSE),"NA")</f>
        <v>Skagit/Whatcom</v>
      </c>
      <c r="J2417" s="108" t="str">
        <f>IFERROR(VLOOKUP(H2417,LUTs!$A$1:$C$73,3,FALSE),"NA")</f>
        <v>2Central Puget Sound</v>
      </c>
      <c r="K2417" s="108" t="s">
        <v>17</v>
      </c>
      <c r="L2417" s="108" t="str">
        <f>VLOOKUP(K2417,LUTs!E$2:G$14,3,)</f>
        <v>04Island</v>
      </c>
      <c r="M2417" s="108" t="str">
        <f>VLOOKUP($K2417,LUTs!$E$2:$H$14,2,)</f>
        <v>North Puget Sound</v>
      </c>
      <c r="N2417" s="108" t="str">
        <f>VLOOKUP($K2417,LUTs!$E$2:$H$14,4,)</f>
        <v>01North Puget Sound</v>
      </c>
      <c r="O2417" s="108">
        <v>3993.5522388059699</v>
      </c>
      <c r="P2417" s="108">
        <v>13737.819701492501</v>
      </c>
      <c r="Q2417" s="108">
        <f>SUMIFS('FW_Salmon_by_Month_2010-2021'!P$2:P$3810,'FW_Salmon_by_Month_2010-2021'!$B$2:$B$3810,'Rec_raw_catch_effort_2010-2021'!$B2417,'FW_Salmon_by_Month_2010-2021'!$H$2:$H$3810,'Rec_raw_catch_effort_2010-2021'!$F2417,'FW_Salmon_by_Month_2010-2021'!$M$2:$M$3810,'Rec_raw_catch_effort_2010-2021'!$K2417)</f>
        <v>4025.1424325621506</v>
      </c>
      <c r="R2417" s="109">
        <f>VLOOKUP(B2417,Readme!$A$62:$C$74,2,)*Q2417</f>
        <v>14245.141844721615</v>
      </c>
      <c r="S2417" s="140" t="str">
        <f t="shared" si="189"/>
        <v>Y</v>
      </c>
      <c r="T2417" s="154">
        <f t="shared" si="190"/>
        <v>3.4399999999999911</v>
      </c>
      <c r="U2417" s="154">
        <f t="shared" si="191"/>
        <v>3.5390404397824153</v>
      </c>
    </row>
    <row r="2418" spans="1:21" x14ac:dyDescent="0.35">
      <c r="A2418" s="108">
        <v>2387</v>
      </c>
      <c r="B2418" s="108">
        <v>2013</v>
      </c>
      <c r="C2418" s="108" t="s">
        <v>38</v>
      </c>
      <c r="D2418" s="108" t="s">
        <v>143</v>
      </c>
      <c r="E2418" s="108" t="s">
        <v>10</v>
      </c>
      <c r="F2418" s="116">
        <v>830</v>
      </c>
      <c r="G2418" s="108" t="s">
        <v>60</v>
      </c>
      <c r="H2418" s="108" t="str">
        <f t="shared" si="192"/>
        <v>Skagit River</v>
      </c>
      <c r="I2418" s="108" t="str">
        <f>IFERROR(VLOOKUP(H2418,LUTs!$A$1:$C$73,2,FALSE),"NA")</f>
        <v>Skagit/Whatcom</v>
      </c>
      <c r="J2418" s="108" t="str">
        <f>IFERROR(VLOOKUP(H2418,LUTs!$A$1:$C$73,3,FALSE),"NA")</f>
        <v>2Central Puget Sound</v>
      </c>
      <c r="K2418" s="108" t="s">
        <v>18</v>
      </c>
      <c r="L2418" s="108" t="str">
        <f>VLOOKUP(K2418,LUTs!E$2:G$14,3,)</f>
        <v>06King</v>
      </c>
      <c r="M2418" s="108" t="str">
        <f>VLOOKUP($K2418,LUTs!$E$2:$H$14,2,)</f>
        <v>South Puget Sound</v>
      </c>
      <c r="N2418" s="108" t="str">
        <f>VLOOKUP($K2418,LUTs!$E$2:$H$14,4,)</f>
        <v>02South Puget Sound</v>
      </c>
      <c r="O2418" s="108">
        <v>3619.15671641791</v>
      </c>
      <c r="P2418" s="108">
        <v>12449.899104477599</v>
      </c>
      <c r="Q2418" s="108">
        <f>SUMIFS('FW_Salmon_by_Month_2010-2021'!P$2:P$3810,'FW_Salmon_by_Month_2010-2021'!$B$2:$B$3810,'Rec_raw_catch_effort_2010-2021'!$B2418,'FW_Salmon_by_Month_2010-2021'!$H$2:$H$3810,'Rec_raw_catch_effort_2010-2021'!$F2418,'FW_Salmon_by_Month_2010-2021'!$M$2:$M$3810,'Rec_raw_catch_effort_2010-2021'!$K2418)</f>
        <v>3593.8592141326449</v>
      </c>
      <c r="R2418" s="109">
        <f>VLOOKUP(B2418,Readme!$A$62:$C$74,2,)*Q2418</f>
        <v>12718.813093700081</v>
      </c>
      <c r="S2418" s="140" t="str">
        <f t="shared" si="189"/>
        <v>Y</v>
      </c>
      <c r="T2418" s="154">
        <f t="shared" si="190"/>
        <v>3.4399999999999968</v>
      </c>
      <c r="U2418" s="154">
        <f t="shared" si="191"/>
        <v>3.5390404397824153</v>
      </c>
    </row>
    <row r="2419" spans="1:21" x14ac:dyDescent="0.35">
      <c r="A2419" s="108">
        <v>2391</v>
      </c>
      <c r="B2419" s="108">
        <v>2013</v>
      </c>
      <c r="C2419" s="108" t="s">
        <v>38</v>
      </c>
      <c r="D2419" s="108" t="s">
        <v>143</v>
      </c>
      <c r="E2419" s="108" t="s">
        <v>10</v>
      </c>
      <c r="F2419" s="116">
        <v>830</v>
      </c>
      <c r="G2419" s="108" t="s">
        <v>60</v>
      </c>
      <c r="H2419" s="108" t="str">
        <f t="shared" si="192"/>
        <v>Skagit River</v>
      </c>
      <c r="I2419" s="108" t="str">
        <f>IFERROR(VLOOKUP(H2419,LUTs!$A$1:$C$73,2,FALSE),"NA")</f>
        <v>Skagit/Whatcom</v>
      </c>
      <c r="J2419" s="108" t="str">
        <f>IFERROR(VLOOKUP(H2419,LUTs!$A$1:$C$73,3,FALSE),"NA")</f>
        <v>2Central Puget Sound</v>
      </c>
      <c r="K2419" s="108" t="s">
        <v>23</v>
      </c>
      <c r="L2419" s="108" t="str">
        <f>VLOOKUP(K2419,LUTs!E$2:G$14,3,)</f>
        <v>10Kitsap</v>
      </c>
      <c r="M2419" s="108" t="str">
        <f>VLOOKUP($K2419,LUTs!$E$2:$H$14,2,)</f>
        <v>South Puget Sound</v>
      </c>
      <c r="N2419" s="108" t="str">
        <f>VLOOKUP($K2419,LUTs!$E$2:$H$14,4,)</f>
        <v>02South Puget Sound</v>
      </c>
      <c r="O2419" s="108">
        <v>115.884328358209</v>
      </c>
      <c r="P2419" s="108">
        <v>398.64208955223899</v>
      </c>
      <c r="Q2419" s="108">
        <f>SUMIFS('FW_Salmon_by_Month_2010-2021'!P$2:P$3810,'FW_Salmon_by_Month_2010-2021'!$B$2:$B$3810,'Rec_raw_catch_effort_2010-2021'!$B2419,'FW_Salmon_by_Month_2010-2021'!$H$2:$H$3810,'Rec_raw_catch_effort_2010-2021'!$F2419,'FW_Salmon_by_Month_2010-2021'!$M$2:$M$3810,'Rec_raw_catch_effort_2010-2021'!$K2419)</f>
        <v>89.879428540504691</v>
      </c>
      <c r="R2419" s="109">
        <f>VLOOKUP(B2419,Readme!$A$62:$C$74,2,)*Q2419</f>
        <v>318.0869323093799</v>
      </c>
      <c r="S2419" s="140" t="str">
        <f t="shared" si="189"/>
        <v>Y</v>
      </c>
      <c r="T2419" s="154">
        <f t="shared" si="190"/>
        <v>3.44</v>
      </c>
      <c r="U2419" s="154">
        <f t="shared" si="191"/>
        <v>3.5390404397824153</v>
      </c>
    </row>
    <row r="2420" spans="1:21" x14ac:dyDescent="0.35">
      <c r="A2420" s="108">
        <v>2390</v>
      </c>
      <c r="B2420" s="108">
        <v>2013</v>
      </c>
      <c r="C2420" s="108" t="s">
        <v>38</v>
      </c>
      <c r="D2420" s="108" t="s">
        <v>143</v>
      </c>
      <c r="E2420" s="108" t="s">
        <v>10</v>
      </c>
      <c r="F2420" s="116">
        <v>830</v>
      </c>
      <c r="G2420" s="108" t="s">
        <v>60</v>
      </c>
      <c r="H2420" s="108" t="str">
        <f t="shared" si="192"/>
        <v>Skagit River</v>
      </c>
      <c r="I2420" s="108" t="str">
        <f>IFERROR(VLOOKUP(H2420,LUTs!$A$1:$C$73,2,FALSE),"NA")</f>
        <v>Skagit/Whatcom</v>
      </c>
      <c r="J2420" s="108" t="str">
        <f>IFERROR(VLOOKUP(H2420,LUTs!$A$1:$C$73,3,FALSE),"NA")</f>
        <v>2Central Puget Sound</v>
      </c>
      <c r="K2420" s="108" t="s">
        <v>22</v>
      </c>
      <c r="L2420" s="108" t="str">
        <f>VLOOKUP(K2420,LUTs!E$2:G$14,3,)</f>
        <v>09Mason</v>
      </c>
      <c r="M2420" s="108" t="str">
        <f>VLOOKUP($K2420,LUTs!$E$2:$H$14,2,)</f>
        <v>South Puget Sound</v>
      </c>
      <c r="N2420" s="108" t="str">
        <f>VLOOKUP($K2420,LUTs!$E$2:$H$14,4,)</f>
        <v>02South Puget Sound</v>
      </c>
      <c r="O2420" s="108">
        <v>356.56716417910502</v>
      </c>
      <c r="P2420" s="108">
        <v>1226.59104477612</v>
      </c>
      <c r="Q2420" s="108">
        <f>SUMIFS('FW_Salmon_by_Month_2010-2021'!P$2:P$3810,'FW_Salmon_by_Month_2010-2021'!$B$2:$B$3810,'Rec_raw_catch_effort_2010-2021'!$B2420,'FW_Salmon_by_Month_2010-2021'!$H$2:$H$3810,'Rec_raw_catch_effort_2010-2021'!$F2420,'FW_Salmon_by_Month_2010-2021'!$M$2:$M$3810,'Rec_raw_catch_effort_2010-2021'!$K2420)</f>
        <v>359.38940092516799</v>
      </c>
      <c r="R2420" s="109">
        <f>VLOOKUP(B2420,Readme!$A$62:$C$74,2,)*Q2420</f>
        <v>1271.8936235033452</v>
      </c>
      <c r="S2420" s="140" t="str">
        <f t="shared" si="189"/>
        <v>Y</v>
      </c>
      <c r="T2420" s="154">
        <f t="shared" si="190"/>
        <v>3.4399999999999964</v>
      </c>
      <c r="U2420" s="154">
        <f t="shared" si="191"/>
        <v>3.5390404397824149</v>
      </c>
    </row>
    <row r="2421" spans="1:21" x14ac:dyDescent="0.35">
      <c r="A2421" s="108">
        <v>2422</v>
      </c>
      <c r="B2421" s="108">
        <v>2013</v>
      </c>
      <c r="C2421" s="108" t="s">
        <v>38</v>
      </c>
      <c r="D2421" s="108" t="s">
        <v>143</v>
      </c>
      <c r="E2421" s="108" t="s">
        <v>10</v>
      </c>
      <c r="F2421" s="116">
        <v>830</v>
      </c>
      <c r="G2421" s="108" t="s">
        <v>60</v>
      </c>
      <c r="H2421" s="108" t="str">
        <f t="shared" si="192"/>
        <v>Skagit River</v>
      </c>
      <c r="I2421" s="108" t="str">
        <f>IFERROR(VLOOKUP(H2421,LUTs!$A$1:$C$73,2,FALSE),"NA")</f>
        <v>Skagit/Whatcom</v>
      </c>
      <c r="J2421" s="108" t="str">
        <f>IFERROR(VLOOKUP(H2421,LUTs!$A$1:$C$73,3,FALSE),"NA")</f>
        <v>2Central Puget Sound</v>
      </c>
      <c r="K2421" s="108" t="s">
        <v>26</v>
      </c>
      <c r="L2421" s="108" t="str">
        <f>VLOOKUP(K2421,LUTs!E$2:G$14,3,)</f>
        <v>20Other</v>
      </c>
      <c r="M2421" s="108" t="str">
        <f>VLOOKUP($K2421,LUTs!$E$2:$H$14,2,)</f>
        <v>Non Puget Sound</v>
      </c>
      <c r="N2421" s="108" t="str">
        <f>VLOOKUP($K2421,LUTs!$E$2:$H$14,4,)</f>
        <v>07Non Puget Sound</v>
      </c>
      <c r="O2421" s="108">
        <v>6578.6641791044804</v>
      </c>
      <c r="P2421" s="108">
        <v>22630.604776119399</v>
      </c>
      <c r="Q2421" s="108">
        <f>SUMIFS('FW_Salmon_by_Month_2010-2021'!P$2:P$3810,'FW_Salmon_by_Month_2010-2021'!$B$2:$B$3810,'Rec_raw_catch_effort_2010-2021'!$B2421,'FW_Salmon_by_Month_2010-2021'!$H$2:$H$3810,'Rec_raw_catch_effort_2010-2021'!$F2421,'FW_Salmon_by_Month_2010-2021'!$M$2:$M$3810,'Rec_raw_catch_effort_2010-2021'!$K2421)</f>
        <v>6621.7678102433965</v>
      </c>
      <c r="R2421" s="109">
        <f>VLOOKUP(B2421,Readme!$A$62:$C$74,2,)*Q2421</f>
        <v>23434.704063300833</v>
      </c>
      <c r="S2421" s="140" t="str">
        <f t="shared" si="189"/>
        <v>Y</v>
      </c>
      <c r="T2421" s="154">
        <f t="shared" si="190"/>
        <v>3.4399999999999977</v>
      </c>
      <c r="U2421" s="154">
        <f t="shared" si="191"/>
        <v>3.5390404397824153</v>
      </c>
    </row>
    <row r="2422" spans="1:21" x14ac:dyDescent="0.35">
      <c r="A2422" s="108">
        <v>2388</v>
      </c>
      <c r="B2422" s="108">
        <v>2013</v>
      </c>
      <c r="C2422" s="108" t="s">
        <v>38</v>
      </c>
      <c r="D2422" s="108" t="s">
        <v>143</v>
      </c>
      <c r="E2422" s="108" t="s">
        <v>10</v>
      </c>
      <c r="F2422" s="116">
        <v>830</v>
      </c>
      <c r="G2422" s="108" t="s">
        <v>60</v>
      </c>
      <c r="H2422" s="108" t="str">
        <f t="shared" si="192"/>
        <v>Skagit River</v>
      </c>
      <c r="I2422" s="108" t="str">
        <f>IFERROR(VLOOKUP(H2422,LUTs!$A$1:$C$73,2,FALSE),"NA")</f>
        <v>Skagit/Whatcom</v>
      </c>
      <c r="J2422" s="108" t="str">
        <f>IFERROR(VLOOKUP(H2422,LUTs!$A$1:$C$73,3,FALSE),"NA")</f>
        <v>2Central Puget Sound</v>
      </c>
      <c r="K2422" s="108" t="s">
        <v>20</v>
      </c>
      <c r="L2422" s="108" t="str">
        <f>VLOOKUP(K2422,LUTs!E$2:G$14,3,)</f>
        <v>07Pierce</v>
      </c>
      <c r="M2422" s="108" t="str">
        <f>VLOOKUP($K2422,LUTs!$E$2:$H$14,2,)</f>
        <v>South Puget Sound</v>
      </c>
      <c r="N2422" s="108" t="str">
        <f>VLOOKUP($K2422,LUTs!$E$2:$H$14,4,)</f>
        <v>02South Puget Sound</v>
      </c>
      <c r="O2422" s="108">
        <v>623.99253731343299</v>
      </c>
      <c r="P2422" s="108">
        <v>2146.5343283582101</v>
      </c>
      <c r="Q2422" s="108">
        <f>SUMIFS('FW_Salmon_by_Month_2010-2021'!P$2:P$3810,'FW_Salmon_by_Month_2010-2021'!$B$2:$B$3810,'Rec_raw_catch_effort_2010-2021'!$B2422,'FW_Salmon_by_Month_2010-2021'!$H$2:$H$3810,'Rec_raw_catch_effort_2010-2021'!$F2422,'FW_Salmon_by_Month_2010-2021'!$M$2:$M$3810,'Rec_raw_catch_effort_2010-2021'!$K2422)</f>
        <v>628.94045306931559</v>
      </c>
      <c r="R2422" s="109">
        <f>VLOOKUP(B2422,Readme!$A$62:$C$74,2,)*Q2422</f>
        <v>2225.8456976273824</v>
      </c>
      <c r="S2422" s="140" t="str">
        <f t="shared" si="189"/>
        <v>Y</v>
      </c>
      <c r="T2422" s="154">
        <f t="shared" si="190"/>
        <v>3.4400000000000008</v>
      </c>
      <c r="U2422" s="154">
        <f t="shared" si="191"/>
        <v>3.5390404397824158</v>
      </c>
    </row>
    <row r="2423" spans="1:21" x14ac:dyDescent="0.35">
      <c r="A2423" s="108">
        <v>2386</v>
      </c>
      <c r="B2423" s="108">
        <v>2013</v>
      </c>
      <c r="C2423" s="108" t="s">
        <v>38</v>
      </c>
      <c r="D2423" s="108" t="s">
        <v>143</v>
      </c>
      <c r="E2423" s="108" t="s">
        <v>10</v>
      </c>
      <c r="F2423" s="116">
        <v>830</v>
      </c>
      <c r="G2423" s="108" t="s">
        <v>60</v>
      </c>
      <c r="H2423" s="108" t="str">
        <f t="shared" si="192"/>
        <v>Skagit River</v>
      </c>
      <c r="I2423" s="108" t="str">
        <f>IFERROR(VLOOKUP(H2423,LUTs!$A$1:$C$73,2,FALSE),"NA")</f>
        <v>Skagit/Whatcom</v>
      </c>
      <c r="J2423" s="108" t="str">
        <f>IFERROR(VLOOKUP(H2423,LUTs!$A$1:$C$73,3,FALSE),"NA")</f>
        <v>2Central Puget Sound</v>
      </c>
      <c r="K2423" s="108" t="s">
        <v>30</v>
      </c>
      <c r="L2423" s="108" t="str">
        <f>VLOOKUP(K2423,LUTs!E$2:G$14,3,)</f>
        <v>05San Juan</v>
      </c>
      <c r="M2423" s="108" t="str">
        <f>VLOOKUP($K2423,LUTs!$E$2:$H$14,2,)</f>
        <v>North Puget Sound</v>
      </c>
      <c r="N2423" s="108" t="str">
        <f>VLOOKUP($K2423,LUTs!$E$2:$H$14,4,)</f>
        <v>01North Puget Sound</v>
      </c>
      <c r="O2423" s="108">
        <v>8.9141791044776202</v>
      </c>
      <c r="P2423" s="108">
        <v>30.664776119403001</v>
      </c>
      <c r="Q2423" s="108">
        <f>SUMIFS('FW_Salmon_by_Month_2010-2021'!P$2:P$3810,'FW_Salmon_by_Month_2010-2021'!$B$2:$B$3810,'Rec_raw_catch_effort_2010-2021'!$B2423,'FW_Salmon_by_Month_2010-2021'!$H$2:$H$3810,'Rec_raw_catch_effort_2010-2021'!$F2423,'FW_Salmon_by_Month_2010-2021'!$M$2:$M$3810,'Rec_raw_catch_effort_2010-2021'!$K2423)</f>
        <v>8.9849108367626904</v>
      </c>
      <c r="R2423" s="109">
        <f>VLOOKUP(B2423,Readme!$A$62:$C$74,2,)*Q2423</f>
        <v>31.797962799142422</v>
      </c>
      <c r="S2423" s="140" t="str">
        <f t="shared" si="189"/>
        <v>Y</v>
      </c>
      <c r="T2423" s="154">
        <f t="shared" si="190"/>
        <v>3.4399999999999986</v>
      </c>
      <c r="U2423" s="154">
        <f t="shared" si="191"/>
        <v>3.5390404397824153</v>
      </c>
    </row>
    <row r="2424" spans="1:21" x14ac:dyDescent="0.35">
      <c r="A2424" s="108">
        <v>2383</v>
      </c>
      <c r="B2424" s="108">
        <v>2013</v>
      </c>
      <c r="C2424" s="108" t="s">
        <v>38</v>
      </c>
      <c r="D2424" s="108" t="s">
        <v>143</v>
      </c>
      <c r="E2424" s="108" t="s">
        <v>10</v>
      </c>
      <c r="F2424" s="116">
        <v>830</v>
      </c>
      <c r="G2424" s="108" t="s">
        <v>60</v>
      </c>
      <c r="H2424" s="108" t="str">
        <f t="shared" si="192"/>
        <v>Skagit River</v>
      </c>
      <c r="I2424" s="108" t="str">
        <f>IFERROR(VLOOKUP(H2424,LUTs!$A$1:$C$73,2,FALSE),"NA")</f>
        <v>Skagit/Whatcom</v>
      </c>
      <c r="J2424" s="108" t="str">
        <f>IFERROR(VLOOKUP(H2424,LUTs!$A$1:$C$73,3,FALSE),"NA")</f>
        <v>2Central Puget Sound</v>
      </c>
      <c r="K2424" s="108" t="s">
        <v>15</v>
      </c>
      <c r="L2424" s="108" t="str">
        <f>VLOOKUP(K2424,LUTs!E$2:G$14,3,)</f>
        <v>02Skagit</v>
      </c>
      <c r="M2424" s="108" t="str">
        <f>VLOOKUP($K2424,LUTs!$E$2:$H$14,2,)</f>
        <v>North Puget Sound</v>
      </c>
      <c r="N2424" s="108" t="str">
        <f>VLOOKUP($K2424,LUTs!$E$2:$H$14,4,)</f>
        <v>01North Puget Sound</v>
      </c>
      <c r="O2424" s="108">
        <v>46487.444029850798</v>
      </c>
      <c r="P2424" s="108">
        <v>159916.80746268699</v>
      </c>
      <c r="Q2424" s="108">
        <f>SUMIFS('FW_Salmon_by_Month_2010-2021'!P$2:P$3810,'FW_Salmon_by_Month_2010-2021'!$B$2:$B$3810,'Rec_raw_catch_effort_2010-2021'!$B2424,'FW_Salmon_by_Month_2010-2021'!$H$2:$H$3810,'Rec_raw_catch_effort_2010-2021'!$F2424,'FW_Salmon_by_Month_2010-2021'!$M$2:$M$3810,'Rec_raw_catch_effort_2010-2021'!$K2424)</f>
        <v>46504.804745326772</v>
      </c>
      <c r="R2424" s="109">
        <f>VLOOKUP(B2424,Readme!$A$62:$C$74,2,)*Q2424</f>
        <v>164582.38463789661</v>
      </c>
      <c r="S2424" s="140" t="str">
        <f t="shared" si="189"/>
        <v>Y</v>
      </c>
      <c r="T2424" s="154">
        <f t="shared" si="190"/>
        <v>3.4400000000000053</v>
      </c>
      <c r="U2424" s="154">
        <f t="shared" si="191"/>
        <v>3.5390404397824153</v>
      </c>
    </row>
    <row r="2425" spans="1:21" x14ac:dyDescent="0.35">
      <c r="A2425" s="108">
        <v>2384</v>
      </c>
      <c r="B2425" s="108">
        <v>2013</v>
      </c>
      <c r="C2425" s="108" t="s">
        <v>38</v>
      </c>
      <c r="D2425" s="108" t="s">
        <v>143</v>
      </c>
      <c r="E2425" s="108" t="s">
        <v>10</v>
      </c>
      <c r="F2425" s="116">
        <v>830</v>
      </c>
      <c r="G2425" s="108" t="s">
        <v>60</v>
      </c>
      <c r="H2425" s="108" t="str">
        <f t="shared" si="192"/>
        <v>Skagit River</v>
      </c>
      <c r="I2425" s="108" t="str">
        <f>IFERROR(VLOOKUP(H2425,LUTs!$A$1:$C$73,2,FALSE),"NA")</f>
        <v>Skagit/Whatcom</v>
      </c>
      <c r="J2425" s="108" t="str">
        <f>IFERROR(VLOOKUP(H2425,LUTs!$A$1:$C$73,3,FALSE),"NA")</f>
        <v>2Central Puget Sound</v>
      </c>
      <c r="K2425" s="108" t="s">
        <v>16</v>
      </c>
      <c r="L2425" s="108" t="str">
        <f>VLOOKUP(K2425,LUTs!E$2:G$14,3,)</f>
        <v>03Snohomish</v>
      </c>
      <c r="M2425" s="108" t="str">
        <f>VLOOKUP($K2425,LUTs!$E$2:$H$14,2,)</f>
        <v>North Puget Sound</v>
      </c>
      <c r="N2425" s="108" t="str">
        <f>VLOOKUP($K2425,LUTs!$E$2:$H$14,4,)</f>
        <v>01North Puget Sound</v>
      </c>
      <c r="O2425" s="108">
        <v>14022.0037313433</v>
      </c>
      <c r="P2425" s="108">
        <v>48235.692835820999</v>
      </c>
      <c r="Q2425" s="108">
        <f>SUMIFS('FW_Salmon_by_Month_2010-2021'!P$2:P$3810,'FW_Salmon_by_Month_2010-2021'!$B$2:$B$3810,'Rec_raw_catch_effort_2010-2021'!$B2425,'FW_Salmon_by_Month_2010-2021'!$H$2:$H$3810,'Rec_raw_catch_effort_2010-2021'!$F2425,'FW_Salmon_by_Month_2010-2021'!$M$2:$M$3810,'Rec_raw_catch_effort_2010-2021'!$K2425)</f>
        <v>13989.477720951778</v>
      </c>
      <c r="R2425" s="109">
        <f>VLOOKUP(B2425,Readme!$A$62:$C$74,2,)*Q2425</f>
        <v>49509.32738588348</v>
      </c>
      <c r="S2425" s="140" t="str">
        <f t="shared" si="189"/>
        <v>Y</v>
      </c>
      <c r="T2425" s="154">
        <f t="shared" si="190"/>
        <v>3.4400000000000031</v>
      </c>
      <c r="U2425" s="154">
        <f t="shared" si="191"/>
        <v>3.5390404397824153</v>
      </c>
    </row>
    <row r="2426" spans="1:21" x14ac:dyDescent="0.35">
      <c r="A2426" s="108">
        <v>2389</v>
      </c>
      <c r="B2426" s="108">
        <v>2013</v>
      </c>
      <c r="C2426" s="108" t="s">
        <v>38</v>
      </c>
      <c r="D2426" s="108" t="s">
        <v>143</v>
      </c>
      <c r="E2426" s="108" t="s">
        <v>10</v>
      </c>
      <c r="F2426" s="116">
        <v>830</v>
      </c>
      <c r="G2426" s="108" t="s">
        <v>60</v>
      </c>
      <c r="H2426" s="108" t="str">
        <f t="shared" si="192"/>
        <v>Skagit River</v>
      </c>
      <c r="I2426" s="108" t="str">
        <f>IFERROR(VLOOKUP(H2426,LUTs!$A$1:$C$73,2,FALSE),"NA")</f>
        <v>Skagit/Whatcom</v>
      </c>
      <c r="J2426" s="108" t="str">
        <f>IFERROR(VLOOKUP(H2426,LUTs!$A$1:$C$73,3,FALSE),"NA")</f>
        <v>2Central Puget Sound</v>
      </c>
      <c r="K2426" s="108" t="s">
        <v>21</v>
      </c>
      <c r="L2426" s="108" t="str">
        <f>VLOOKUP(K2426,LUTs!E$2:G$14,3,)</f>
        <v>08Thurston</v>
      </c>
      <c r="M2426" s="108" t="str">
        <f>VLOOKUP($K2426,LUTs!$E$2:$H$14,2,)</f>
        <v>South Puget Sound</v>
      </c>
      <c r="N2426" s="108" t="str">
        <f>VLOOKUP($K2426,LUTs!$E$2:$H$14,4,)</f>
        <v>02South Puget Sound</v>
      </c>
      <c r="O2426" s="108">
        <v>115.884328358209</v>
      </c>
      <c r="P2426" s="108">
        <v>398.64208955223899</v>
      </c>
      <c r="Q2426" s="108">
        <f>SUMIFS('FW_Salmon_by_Month_2010-2021'!P$2:P$3810,'FW_Salmon_by_Month_2010-2021'!$B$2:$B$3810,'Rec_raw_catch_effort_2010-2021'!$B2426,'FW_Salmon_by_Month_2010-2021'!$H$2:$H$3810,'Rec_raw_catch_effort_2010-2021'!$F2426,'FW_Salmon_by_Month_2010-2021'!$M$2:$M$3810,'Rec_raw_catch_effort_2010-2021'!$K2426)</f>
        <v>116.80469195633421</v>
      </c>
      <c r="R2426" s="109">
        <f>VLOOKUP(B2426,Readme!$A$62:$C$74,2,)*Q2426</f>
        <v>413.3765283897946</v>
      </c>
      <c r="S2426" s="140" t="str">
        <f t="shared" si="189"/>
        <v>Y</v>
      </c>
      <c r="T2426" s="154">
        <f t="shared" si="190"/>
        <v>3.44</v>
      </c>
      <c r="U2426" s="154">
        <f t="shared" si="191"/>
        <v>3.5390404397824158</v>
      </c>
    </row>
    <row r="2427" spans="1:21" x14ac:dyDescent="0.35">
      <c r="A2427" s="108">
        <v>2356</v>
      </c>
      <c r="B2427" s="108">
        <v>2013</v>
      </c>
      <c r="C2427" s="108" t="s">
        <v>38</v>
      </c>
      <c r="D2427" s="108" t="s">
        <v>143</v>
      </c>
      <c r="E2427" s="108" t="s">
        <v>10</v>
      </c>
      <c r="F2427" s="116">
        <v>830</v>
      </c>
      <c r="G2427" s="108" t="s">
        <v>60</v>
      </c>
      <c r="H2427" s="108" t="str">
        <f t="shared" si="192"/>
        <v>Skagit River</v>
      </c>
      <c r="I2427" s="108" t="str">
        <f>IFERROR(VLOOKUP(H2427,LUTs!$A$1:$C$73,2,FALSE),"NA")</f>
        <v>Skagit/Whatcom</v>
      </c>
      <c r="J2427" s="108" t="str">
        <f>IFERROR(VLOOKUP(H2427,LUTs!$A$1:$C$73,3,FALSE),"NA")</f>
        <v>2Central Puget Sound</v>
      </c>
      <c r="K2427" s="108" t="s">
        <v>13</v>
      </c>
      <c r="L2427" s="108" t="str">
        <f>VLOOKUP(K2427,LUTs!E$2:G$14,3,)</f>
        <v>01Whatcom</v>
      </c>
      <c r="M2427" s="108" t="str">
        <f>VLOOKUP($K2427,LUTs!$E$2:$H$14,2,)</f>
        <v>North Puget Sound</v>
      </c>
      <c r="N2427" s="108" t="str">
        <f>VLOOKUP($K2427,LUTs!$E$2:$H$14,4,)</f>
        <v>01North Puget Sound</v>
      </c>
      <c r="O2427" s="108">
        <v>14681.652985074599</v>
      </c>
      <c r="P2427" s="108">
        <v>50504.886268656599</v>
      </c>
      <c r="Q2427" s="108">
        <f>SUMIFS('FW_Salmon_by_Month_2010-2021'!P$2:P$3810,'FW_Salmon_by_Month_2010-2021'!$B$2:$B$3810,'Rec_raw_catch_effort_2010-2021'!$B2427,'FW_Salmon_by_Month_2010-2021'!$H$2:$H$3810,'Rec_raw_catch_effort_2010-2021'!$F2427,'FW_Salmon_by_Month_2010-2021'!$M$2:$M$3810,'Rec_raw_catch_effort_2010-2021'!$K2427)</f>
        <v>14663.249556255954</v>
      </c>
      <c r="R2427" s="109">
        <f>VLOOKUP(B2427,Readme!$A$62:$C$74,2,)*Q2427</f>
        <v>51893.833158211382</v>
      </c>
      <c r="S2427" s="140" t="str">
        <f t="shared" si="189"/>
        <v>Y</v>
      </c>
      <c r="T2427" s="154">
        <f t="shared" si="190"/>
        <v>3.4399999999999986</v>
      </c>
      <c r="U2427" s="154">
        <f t="shared" si="191"/>
        <v>3.5390404397824158</v>
      </c>
    </row>
    <row r="2428" spans="1:21" x14ac:dyDescent="0.35">
      <c r="A2428" s="108">
        <v>2461</v>
      </c>
      <c r="B2428" s="108">
        <v>2014</v>
      </c>
      <c r="C2428" s="108" t="s">
        <v>38</v>
      </c>
      <c r="D2428" s="108" t="s">
        <v>143</v>
      </c>
      <c r="E2428" s="108" t="s">
        <v>10</v>
      </c>
      <c r="F2428" s="116">
        <v>830</v>
      </c>
      <c r="G2428" s="108" t="s">
        <v>60</v>
      </c>
      <c r="H2428" s="108" t="str">
        <f t="shared" si="192"/>
        <v>Skagit River</v>
      </c>
      <c r="I2428" s="108" t="str">
        <f>IFERROR(VLOOKUP(H2428,LUTs!$A$1:$C$73,2,FALSE),"NA")</f>
        <v>Skagit/Whatcom</v>
      </c>
      <c r="J2428" s="108" t="str">
        <f>IFERROR(VLOOKUP(H2428,LUTs!$A$1:$C$73,3,FALSE),"NA")</f>
        <v>2Central Puget Sound</v>
      </c>
      <c r="K2428" s="108" t="s">
        <v>24</v>
      </c>
      <c r="L2428" s="108" t="str">
        <f>VLOOKUP(K2428,LUTs!E$2:G$14,3,)</f>
        <v>11Clallam</v>
      </c>
      <c r="M2428" s="108" t="str">
        <f>VLOOKUP($K2428,LUTs!$E$2:$H$14,2,)</f>
        <v>Strait of Juan de Fuca</v>
      </c>
      <c r="N2428" s="108" t="str">
        <f>VLOOKUP($K2428,LUTs!$E$2:$H$14,4,)</f>
        <v>03Strait of Juan de Fuca</v>
      </c>
      <c r="O2428" s="108">
        <v>14.334047109207701</v>
      </c>
      <c r="P2428" s="108">
        <v>123.989507494647</v>
      </c>
      <c r="Q2428" s="108">
        <f>SUMIFS('FW_Salmon_by_Month_2010-2021'!P$2:P$3810,'FW_Salmon_by_Month_2010-2021'!$B$2:$B$3810,'Rec_raw_catch_effort_2010-2021'!$B2428,'FW_Salmon_by_Month_2010-2021'!$H$2:$H$3810,'Rec_raw_catch_effort_2010-2021'!$F2428,'FW_Salmon_by_Month_2010-2021'!$M$2:$M$3810,'Rec_raw_catch_effort_2010-2021'!$K2428)</f>
        <v>14.4505494505495</v>
      </c>
      <c r="R2428" s="109">
        <f>VLOOKUP(B2428,Readme!$A$62:$C$74,2,)*Q2428</f>
        <v>69.645216471526268</v>
      </c>
      <c r="S2428" s="140" t="str">
        <f t="shared" si="189"/>
        <v>Y</v>
      </c>
      <c r="T2428" s="154">
        <f t="shared" si="190"/>
        <v>8.650000000000027</v>
      </c>
      <c r="U2428" s="154">
        <f t="shared" si="191"/>
        <v>4.8195549041132084</v>
      </c>
    </row>
    <row r="2429" spans="1:21" x14ac:dyDescent="0.35">
      <c r="A2429" s="108">
        <v>2426</v>
      </c>
      <c r="B2429" s="108">
        <v>2014</v>
      </c>
      <c r="C2429" s="108" t="s">
        <v>38</v>
      </c>
      <c r="D2429" s="108" t="s">
        <v>143</v>
      </c>
      <c r="E2429" s="108" t="s">
        <v>10</v>
      </c>
      <c r="F2429" s="116">
        <v>830</v>
      </c>
      <c r="G2429" s="108" t="s">
        <v>60</v>
      </c>
      <c r="H2429" s="108" t="str">
        <f t="shared" si="192"/>
        <v>Skagit River</v>
      </c>
      <c r="I2429" s="108" t="str">
        <f>IFERROR(VLOOKUP(H2429,LUTs!$A$1:$C$73,2,FALSE),"NA")</f>
        <v>Skagit/Whatcom</v>
      </c>
      <c r="J2429" s="108" t="str">
        <f>IFERROR(VLOOKUP(H2429,LUTs!$A$1:$C$73,3,FALSE),"NA")</f>
        <v>2Central Puget Sound</v>
      </c>
      <c r="K2429" s="108" t="s">
        <v>17</v>
      </c>
      <c r="L2429" s="108" t="str">
        <f>VLOOKUP(K2429,LUTs!E$2:G$14,3,)</f>
        <v>04Island</v>
      </c>
      <c r="M2429" s="108" t="str">
        <f>VLOOKUP($K2429,LUTs!$E$2:$H$14,2,)</f>
        <v>North Puget Sound</v>
      </c>
      <c r="N2429" s="108" t="str">
        <f>VLOOKUP($K2429,LUTs!$E$2:$H$14,4,)</f>
        <v>01North Puget Sound</v>
      </c>
      <c r="O2429" s="108">
        <v>21.5010706638116</v>
      </c>
      <c r="P2429" s="108">
        <v>185.98426124196999</v>
      </c>
      <c r="Q2429" s="108">
        <f>SUMIFS('FW_Salmon_by_Month_2010-2021'!P$2:P$3810,'FW_Salmon_by_Month_2010-2021'!$B$2:$B$3810,'Rec_raw_catch_effort_2010-2021'!$B2429,'FW_Salmon_by_Month_2010-2021'!$H$2:$H$3810,'Rec_raw_catch_effort_2010-2021'!$F2429,'FW_Salmon_by_Month_2010-2021'!$M$2:$M$3810,'Rec_raw_catch_effort_2010-2021'!$K2429)</f>
        <v>21.66573932396722</v>
      </c>
      <c r="R2429" s="109">
        <f>VLOOKUP(B2429,Readme!$A$62:$C$74,2,)*Q2429</f>
        <v>104.41922021006461</v>
      </c>
      <c r="S2429" s="140" t="str">
        <f t="shared" si="189"/>
        <v>Y</v>
      </c>
      <c r="T2429" s="154">
        <f t="shared" si="190"/>
        <v>8.6499999999999844</v>
      </c>
      <c r="U2429" s="154">
        <f t="shared" si="191"/>
        <v>4.8195549041132084</v>
      </c>
    </row>
    <row r="2430" spans="1:21" x14ac:dyDescent="0.35">
      <c r="A2430" s="108">
        <v>2428</v>
      </c>
      <c r="B2430" s="108">
        <v>2014</v>
      </c>
      <c r="C2430" s="108" t="s">
        <v>38</v>
      </c>
      <c r="D2430" s="108" t="s">
        <v>143</v>
      </c>
      <c r="E2430" s="108" t="s">
        <v>10</v>
      </c>
      <c r="F2430" s="116">
        <v>830</v>
      </c>
      <c r="G2430" s="108" t="s">
        <v>60</v>
      </c>
      <c r="H2430" s="108" t="str">
        <f t="shared" si="192"/>
        <v>Skagit River</v>
      </c>
      <c r="I2430" s="108" t="str">
        <f>IFERROR(VLOOKUP(H2430,LUTs!$A$1:$C$73,2,FALSE),"NA")</f>
        <v>Skagit/Whatcom</v>
      </c>
      <c r="J2430" s="108" t="str">
        <f>IFERROR(VLOOKUP(H2430,LUTs!$A$1:$C$73,3,FALSE),"NA")</f>
        <v>2Central Puget Sound</v>
      </c>
      <c r="K2430" s="108" t="s">
        <v>18</v>
      </c>
      <c r="L2430" s="108" t="str">
        <f>VLOOKUP(K2430,LUTs!E$2:G$14,3,)</f>
        <v>06King</v>
      </c>
      <c r="M2430" s="108" t="str">
        <f>VLOOKUP($K2430,LUTs!$E$2:$H$14,2,)</f>
        <v>South Puget Sound</v>
      </c>
      <c r="N2430" s="108" t="str">
        <f>VLOOKUP($K2430,LUTs!$E$2:$H$14,4,)</f>
        <v>02South Puget Sound</v>
      </c>
      <c r="O2430" s="108">
        <v>71.670235546038597</v>
      </c>
      <c r="P2430" s="108">
        <v>619.94753747323398</v>
      </c>
      <c r="Q2430" s="108">
        <f>SUMIFS('FW_Salmon_by_Month_2010-2021'!P$2:P$3810,'FW_Salmon_by_Month_2010-2021'!$B$2:$B$3810,'Rec_raw_catch_effort_2010-2021'!$B2430,'FW_Salmon_by_Month_2010-2021'!$H$2:$H$3810,'Rec_raw_catch_effort_2010-2021'!$F2430,'FW_Salmon_by_Month_2010-2021'!$M$2:$M$3810,'Rec_raw_catch_effort_2010-2021'!$K2430)</f>
        <v>72.197827488966709</v>
      </c>
      <c r="R2430" s="109">
        <f>VLOOKUP(B2430,Readme!$A$62:$C$74,2,)*Q2430</f>
        <v>347.96139354076894</v>
      </c>
      <c r="S2430" s="140" t="str">
        <f t="shared" si="189"/>
        <v>Y</v>
      </c>
      <c r="T2430" s="154">
        <f t="shared" si="190"/>
        <v>8.6500000000000021</v>
      </c>
      <c r="U2430" s="154">
        <f t="shared" si="191"/>
        <v>4.8195549041132084</v>
      </c>
    </row>
    <row r="2431" spans="1:21" x14ac:dyDescent="0.35">
      <c r="A2431" s="108">
        <v>2460</v>
      </c>
      <c r="B2431" s="108">
        <v>2014</v>
      </c>
      <c r="C2431" s="108" t="s">
        <v>38</v>
      </c>
      <c r="D2431" s="108" t="s">
        <v>143</v>
      </c>
      <c r="E2431" s="108" t="s">
        <v>10</v>
      </c>
      <c r="F2431" s="116">
        <v>830</v>
      </c>
      <c r="G2431" s="108" t="s">
        <v>60</v>
      </c>
      <c r="H2431" s="108" t="str">
        <f t="shared" si="192"/>
        <v>Skagit River</v>
      </c>
      <c r="I2431" s="108" t="str">
        <f>IFERROR(VLOOKUP(H2431,LUTs!$A$1:$C$73,2,FALSE),"NA")</f>
        <v>Skagit/Whatcom</v>
      </c>
      <c r="J2431" s="108" t="str">
        <f>IFERROR(VLOOKUP(H2431,LUTs!$A$1:$C$73,3,FALSE),"NA")</f>
        <v>2Central Puget Sound</v>
      </c>
      <c r="K2431" s="108" t="s">
        <v>23</v>
      </c>
      <c r="L2431" s="108" t="str">
        <f>VLOOKUP(K2431,LUTs!E$2:G$14,3,)</f>
        <v>10Kitsap</v>
      </c>
      <c r="M2431" s="108" t="str">
        <f>VLOOKUP($K2431,LUTs!$E$2:$H$14,2,)</f>
        <v>South Puget Sound</v>
      </c>
      <c r="N2431" s="108" t="str">
        <f>VLOOKUP($K2431,LUTs!$E$2:$H$14,4,)</f>
        <v>02South Puget Sound</v>
      </c>
      <c r="O2431" s="108">
        <v>14.334047109207701</v>
      </c>
      <c r="P2431" s="108">
        <v>123.989507494647</v>
      </c>
      <c r="Q2431" s="108">
        <f>SUMIFS('FW_Salmon_by_Month_2010-2021'!P$2:P$3810,'FW_Salmon_by_Month_2010-2021'!$B$2:$B$3810,'Rec_raw_catch_effort_2010-2021'!$B2431,'FW_Salmon_by_Month_2010-2021'!$H$2:$H$3810,'Rec_raw_catch_effort_2010-2021'!$F2431,'FW_Salmon_by_Month_2010-2021'!$M$2:$M$3810,'Rec_raw_catch_effort_2010-2021'!$K2431)</f>
        <v>14.430379746835399</v>
      </c>
      <c r="R2431" s="109">
        <f>VLOOKUP(B2431,Readme!$A$62:$C$74,2,)*Q2431</f>
        <v>69.548007477076467</v>
      </c>
      <c r="S2431" s="140" t="str">
        <f t="shared" si="189"/>
        <v>Y</v>
      </c>
      <c r="T2431" s="154">
        <f t="shared" si="190"/>
        <v>8.650000000000027</v>
      </c>
      <c r="U2431" s="154">
        <f t="shared" si="191"/>
        <v>4.8195549041132084</v>
      </c>
    </row>
    <row r="2432" spans="1:21" x14ac:dyDescent="0.35">
      <c r="A2432" s="108">
        <v>2462</v>
      </c>
      <c r="B2432" s="108">
        <v>2014</v>
      </c>
      <c r="C2432" s="108" t="s">
        <v>38</v>
      </c>
      <c r="D2432" s="108" t="s">
        <v>143</v>
      </c>
      <c r="E2432" s="108" t="s">
        <v>10</v>
      </c>
      <c r="F2432" s="116">
        <v>830</v>
      </c>
      <c r="G2432" s="108" t="s">
        <v>60</v>
      </c>
      <c r="H2432" s="108" t="str">
        <f t="shared" si="192"/>
        <v>Skagit River</v>
      </c>
      <c r="I2432" s="108" t="str">
        <f>IFERROR(VLOOKUP(H2432,LUTs!$A$1:$C$73,2,FALSE),"NA")</f>
        <v>Skagit/Whatcom</v>
      </c>
      <c r="J2432" s="108" t="str">
        <f>IFERROR(VLOOKUP(H2432,LUTs!$A$1:$C$73,3,FALSE),"NA")</f>
        <v>2Central Puget Sound</v>
      </c>
      <c r="K2432" s="108" t="s">
        <v>26</v>
      </c>
      <c r="L2432" s="108" t="str">
        <f>VLOOKUP(K2432,LUTs!E$2:G$14,3,)</f>
        <v>20Other</v>
      </c>
      <c r="M2432" s="108" t="str">
        <f>VLOOKUP($K2432,LUTs!$E$2:$H$14,2,)</f>
        <v>Non Puget Sound</v>
      </c>
      <c r="N2432" s="108" t="str">
        <f>VLOOKUP($K2432,LUTs!$E$2:$H$14,4,)</f>
        <v>07Non Puget Sound</v>
      </c>
      <c r="O2432" s="108">
        <v>93.171306209850101</v>
      </c>
      <c r="P2432" s="108">
        <v>805.93179871520294</v>
      </c>
      <c r="Q2432" s="108">
        <f>SUMIFS('FW_Salmon_by_Month_2010-2021'!P$2:P$3810,'FW_Salmon_by_Month_2010-2021'!$B$2:$B$3810,'Rec_raw_catch_effort_2010-2021'!$B2432,'FW_Salmon_by_Month_2010-2021'!$H$2:$H$3810,'Rec_raw_catch_effort_2010-2021'!$F2432,'FW_Salmon_by_Month_2010-2021'!$M$2:$M$3810,'Rec_raw_catch_effort_2010-2021'!$K2432)</f>
        <v>94.382478632478652</v>
      </c>
      <c r="R2432" s="109">
        <f>VLOOKUP(B2432,Readme!$A$62:$C$74,2,)*Q2432</f>
        <v>454.88153775552257</v>
      </c>
      <c r="S2432" s="140" t="str">
        <f t="shared" si="189"/>
        <v>Y</v>
      </c>
      <c r="T2432" s="154">
        <f t="shared" si="190"/>
        <v>8.649999999999995</v>
      </c>
      <c r="U2432" s="154">
        <f t="shared" si="191"/>
        <v>4.8195549041132084</v>
      </c>
    </row>
    <row r="2433" spans="1:21" x14ac:dyDescent="0.35">
      <c r="A2433" s="108">
        <v>2424</v>
      </c>
      <c r="B2433" s="108">
        <v>2014</v>
      </c>
      <c r="C2433" s="108" t="s">
        <v>38</v>
      </c>
      <c r="D2433" s="108" t="s">
        <v>143</v>
      </c>
      <c r="E2433" s="108" t="s">
        <v>10</v>
      </c>
      <c r="F2433" s="116">
        <v>830</v>
      </c>
      <c r="G2433" s="108" t="s">
        <v>60</v>
      </c>
      <c r="H2433" s="108" t="str">
        <f t="shared" si="192"/>
        <v>Skagit River</v>
      </c>
      <c r="I2433" s="108" t="str">
        <f>IFERROR(VLOOKUP(H2433,LUTs!$A$1:$C$73,2,FALSE),"NA")</f>
        <v>Skagit/Whatcom</v>
      </c>
      <c r="J2433" s="108" t="str">
        <f>IFERROR(VLOOKUP(H2433,LUTs!$A$1:$C$73,3,FALSE),"NA")</f>
        <v>2Central Puget Sound</v>
      </c>
      <c r="K2433" s="108" t="s">
        <v>15</v>
      </c>
      <c r="L2433" s="108" t="str">
        <f>VLOOKUP(K2433,LUTs!E$2:G$14,3,)</f>
        <v>02Skagit</v>
      </c>
      <c r="M2433" s="108" t="str">
        <f>VLOOKUP($K2433,LUTs!$E$2:$H$14,2,)</f>
        <v>North Puget Sound</v>
      </c>
      <c r="N2433" s="108" t="str">
        <f>VLOOKUP($K2433,LUTs!$E$2:$H$14,4,)</f>
        <v>01North Puget Sound</v>
      </c>
      <c r="O2433" s="108">
        <v>2078.43683083512</v>
      </c>
      <c r="P2433" s="108">
        <v>17978.478586723799</v>
      </c>
      <c r="Q2433" s="108">
        <f>SUMIFS('FW_Salmon_by_Month_2010-2021'!P$2:P$3810,'FW_Salmon_by_Month_2010-2021'!$B$2:$B$3810,'Rec_raw_catch_effort_2010-2021'!$B2433,'FW_Salmon_by_Month_2010-2021'!$H$2:$H$3810,'Rec_raw_catch_effort_2010-2021'!$F2433,'FW_Salmon_by_Month_2010-2021'!$M$2:$M$3810,'Rec_raw_catch_effort_2010-2021'!$K2433)</f>
        <v>2097.0175692802277</v>
      </c>
      <c r="R2433" s="109">
        <f>VLOOKUP(B2433,Readme!$A$62:$C$74,2,)*Q2433</f>
        <v>10106.691310036082</v>
      </c>
      <c r="S2433" s="140" t="str">
        <f t="shared" si="189"/>
        <v>Y</v>
      </c>
      <c r="T2433" s="154">
        <f t="shared" si="190"/>
        <v>8.6500000000000057</v>
      </c>
      <c r="U2433" s="154">
        <f t="shared" si="191"/>
        <v>4.8195549041132084</v>
      </c>
    </row>
    <row r="2434" spans="1:21" x14ac:dyDescent="0.35">
      <c r="A2434" s="108">
        <v>2425</v>
      </c>
      <c r="B2434" s="108">
        <v>2014</v>
      </c>
      <c r="C2434" s="108" t="s">
        <v>38</v>
      </c>
      <c r="D2434" s="108" t="s">
        <v>143</v>
      </c>
      <c r="E2434" s="108" t="s">
        <v>10</v>
      </c>
      <c r="F2434" s="116">
        <v>830</v>
      </c>
      <c r="G2434" s="108" t="s">
        <v>60</v>
      </c>
      <c r="H2434" s="108" t="str">
        <f t="shared" si="192"/>
        <v>Skagit River</v>
      </c>
      <c r="I2434" s="108" t="str">
        <f>IFERROR(VLOOKUP(H2434,LUTs!$A$1:$C$73,2,FALSE),"NA")</f>
        <v>Skagit/Whatcom</v>
      </c>
      <c r="J2434" s="108" t="str">
        <f>IFERROR(VLOOKUP(H2434,LUTs!$A$1:$C$73,3,FALSE),"NA")</f>
        <v>2Central Puget Sound</v>
      </c>
      <c r="K2434" s="108" t="s">
        <v>16</v>
      </c>
      <c r="L2434" s="108" t="str">
        <f>VLOOKUP(K2434,LUTs!E$2:G$14,3,)</f>
        <v>03Snohomish</v>
      </c>
      <c r="M2434" s="108" t="str">
        <f>VLOOKUP($K2434,LUTs!$E$2:$H$14,2,)</f>
        <v>North Puget Sound</v>
      </c>
      <c r="N2434" s="108" t="str">
        <f>VLOOKUP($K2434,LUTs!$E$2:$H$14,4,)</f>
        <v>01North Puget Sound</v>
      </c>
      <c r="O2434" s="108">
        <v>458.68950749464699</v>
      </c>
      <c r="P2434" s="108">
        <v>3967.6642398286999</v>
      </c>
      <c r="Q2434" s="108">
        <f>SUMIFS('FW_Salmon_by_Month_2010-2021'!P$2:P$3810,'FW_Salmon_by_Month_2010-2021'!$B$2:$B$3810,'Rec_raw_catch_effort_2010-2021'!$B2434,'FW_Salmon_by_Month_2010-2021'!$H$2:$H$3810,'Rec_raw_catch_effort_2010-2021'!$F2434,'FW_Salmon_by_Month_2010-2021'!$M$2:$M$3810,'Rec_raw_catch_effort_2010-2021'!$K2434)</f>
        <v>446.98710993647762</v>
      </c>
      <c r="R2434" s="109">
        <f>VLOOKUP(B2434,Readme!$A$62:$C$74,2,)*Q2434</f>
        <v>2154.2789177697405</v>
      </c>
      <c r="S2434" s="140" t="str">
        <f t="shared" si="189"/>
        <v>Y</v>
      </c>
      <c r="T2434" s="154">
        <f t="shared" si="190"/>
        <v>8.6500000000000075</v>
      </c>
      <c r="U2434" s="154">
        <f t="shared" si="191"/>
        <v>4.8195549041132084</v>
      </c>
    </row>
    <row r="2435" spans="1:21" x14ac:dyDescent="0.35">
      <c r="A2435" s="108">
        <v>2459</v>
      </c>
      <c r="B2435" s="108">
        <v>2014</v>
      </c>
      <c r="C2435" s="108" t="s">
        <v>38</v>
      </c>
      <c r="D2435" s="108" t="s">
        <v>143</v>
      </c>
      <c r="E2435" s="108" t="s">
        <v>10</v>
      </c>
      <c r="F2435" s="116">
        <v>830</v>
      </c>
      <c r="G2435" s="108" t="s">
        <v>60</v>
      </c>
      <c r="H2435" s="108" t="str">
        <f t="shared" si="192"/>
        <v>Skagit River</v>
      </c>
      <c r="I2435" s="108" t="str">
        <f>IFERROR(VLOOKUP(H2435,LUTs!$A$1:$C$73,2,FALSE),"NA")</f>
        <v>Skagit/Whatcom</v>
      </c>
      <c r="J2435" s="108" t="str">
        <f>IFERROR(VLOOKUP(H2435,LUTs!$A$1:$C$73,3,FALSE),"NA")</f>
        <v>2Central Puget Sound</v>
      </c>
      <c r="K2435" s="108" t="s">
        <v>21</v>
      </c>
      <c r="L2435" s="108" t="str">
        <f>VLOOKUP(K2435,LUTs!E$2:G$14,3,)</f>
        <v>08Thurston</v>
      </c>
      <c r="M2435" s="108" t="str">
        <f>VLOOKUP($K2435,LUTs!$E$2:$H$14,2,)</f>
        <v>South Puget Sound</v>
      </c>
      <c r="N2435" s="108" t="str">
        <f>VLOOKUP($K2435,LUTs!$E$2:$H$14,4,)</f>
        <v>02South Puget Sound</v>
      </c>
      <c r="O2435" s="108">
        <v>14.334047109207701</v>
      </c>
      <c r="P2435" s="108">
        <v>123.989507494647</v>
      </c>
      <c r="Q2435" s="108">
        <f>SUMIFS('FW_Salmon_by_Month_2010-2021'!P$2:P$3810,'FW_Salmon_by_Month_2010-2021'!$B$2:$B$3810,'Rec_raw_catch_effort_2010-2021'!$B2435,'FW_Salmon_by_Month_2010-2021'!$H$2:$H$3810,'Rec_raw_catch_effort_2010-2021'!$F2435,'FW_Salmon_by_Month_2010-2021'!$M$2:$M$3810,'Rec_raw_catch_effort_2010-2021'!$K2435)</f>
        <v>0</v>
      </c>
      <c r="R2435" s="109">
        <f>VLOOKUP(B2435,Readme!$A$62:$C$74,2,)*Q2435</f>
        <v>0</v>
      </c>
      <c r="S2435" s="140" t="str">
        <f t="shared" ref="S2435:S2498" si="193">IF(B2435&lt;=2019,"Y","N")</f>
        <v>Y</v>
      </c>
      <c r="T2435" s="154">
        <f t="shared" ref="T2435:T2498" si="194">IFERROR(P2435/O2435,"NA")</f>
        <v>8.650000000000027</v>
      </c>
      <c r="U2435" s="154" t="str">
        <f t="shared" ref="U2435:U2498" si="195">IFERROR(R2435/Q2435,"NA")</f>
        <v>NA</v>
      </c>
    </row>
    <row r="2436" spans="1:21" x14ac:dyDescent="0.35">
      <c r="A2436" s="108">
        <v>2423</v>
      </c>
      <c r="B2436" s="108">
        <v>2014</v>
      </c>
      <c r="C2436" s="108" t="s">
        <v>38</v>
      </c>
      <c r="D2436" s="108" t="s">
        <v>143</v>
      </c>
      <c r="E2436" s="108" t="s">
        <v>10</v>
      </c>
      <c r="F2436" s="116">
        <v>830</v>
      </c>
      <c r="G2436" s="108" t="s">
        <v>60</v>
      </c>
      <c r="H2436" s="108" t="str">
        <f t="shared" si="192"/>
        <v>Skagit River</v>
      </c>
      <c r="I2436" s="108" t="str">
        <f>IFERROR(VLOOKUP(H2436,LUTs!$A$1:$C$73,2,FALSE),"NA")</f>
        <v>Skagit/Whatcom</v>
      </c>
      <c r="J2436" s="108" t="str">
        <f>IFERROR(VLOOKUP(H2436,LUTs!$A$1:$C$73,3,FALSE),"NA")</f>
        <v>2Central Puget Sound</v>
      </c>
      <c r="K2436" s="108" t="s">
        <v>13</v>
      </c>
      <c r="L2436" s="108" t="str">
        <f>VLOOKUP(K2436,LUTs!E$2:G$14,3,)</f>
        <v>01Whatcom</v>
      </c>
      <c r="M2436" s="108" t="str">
        <f>VLOOKUP($K2436,LUTs!$E$2:$H$14,2,)</f>
        <v>North Puget Sound</v>
      </c>
      <c r="N2436" s="108" t="str">
        <f>VLOOKUP($K2436,LUTs!$E$2:$H$14,4,)</f>
        <v>01North Puget Sound</v>
      </c>
      <c r="O2436" s="108">
        <v>580.52890792291203</v>
      </c>
      <c r="P2436" s="108">
        <v>5021.5750535331899</v>
      </c>
      <c r="Q2436" s="108">
        <f>SUMIFS('FW_Salmon_by_Month_2010-2021'!P$2:P$3810,'FW_Salmon_by_Month_2010-2021'!$B$2:$B$3810,'Rec_raw_catch_effort_2010-2021'!$B2436,'FW_Salmon_by_Month_2010-2021'!$H$2:$H$3810,'Rec_raw_catch_effort_2010-2021'!$F2436,'FW_Salmon_by_Month_2010-2021'!$M$2:$M$3810,'Rec_raw_catch_effort_2010-2021'!$K2436)</f>
        <v>585.86834614049917</v>
      </c>
      <c r="R2436" s="109">
        <f>VLOOKUP(B2436,Readme!$A$62:$C$74,2,)*Q2436</f>
        <v>2823.6246608061374</v>
      </c>
      <c r="S2436" s="140" t="str">
        <f t="shared" si="193"/>
        <v>Y</v>
      </c>
      <c r="T2436" s="154">
        <f t="shared" si="194"/>
        <v>8.6500000000000021</v>
      </c>
      <c r="U2436" s="154">
        <f t="shared" si="195"/>
        <v>4.8195549041132084</v>
      </c>
    </row>
    <row r="2437" spans="1:21" x14ac:dyDescent="0.35">
      <c r="A2437" s="108">
        <v>2501</v>
      </c>
      <c r="B2437" s="108">
        <v>2015</v>
      </c>
      <c r="C2437" s="108" t="s">
        <v>38</v>
      </c>
      <c r="D2437" s="108" t="s">
        <v>143</v>
      </c>
      <c r="E2437" s="108" t="s">
        <v>10</v>
      </c>
      <c r="F2437" s="116">
        <v>830</v>
      </c>
      <c r="G2437" s="108" t="s">
        <v>60</v>
      </c>
      <c r="H2437" s="108" t="str">
        <f t="shared" si="192"/>
        <v>Skagit River</v>
      </c>
      <c r="I2437" s="108" t="str">
        <f>IFERROR(VLOOKUP(H2437,LUTs!$A$1:$C$73,2,FALSE),"NA")</f>
        <v>Skagit/Whatcom</v>
      </c>
      <c r="J2437" s="108" t="str">
        <f>IFERROR(VLOOKUP(H2437,LUTs!$A$1:$C$73,3,FALSE),"NA")</f>
        <v>2Central Puget Sound</v>
      </c>
      <c r="K2437" s="108" t="s">
        <v>24</v>
      </c>
      <c r="L2437" s="108" t="str">
        <f>VLOOKUP(K2437,LUTs!E$2:G$14,3,)</f>
        <v>11Clallam</v>
      </c>
      <c r="M2437" s="108" t="str">
        <f>VLOOKUP($K2437,LUTs!$E$2:$H$14,2,)</f>
        <v>Strait of Juan de Fuca</v>
      </c>
      <c r="N2437" s="108" t="str">
        <f>VLOOKUP($K2437,LUTs!$E$2:$H$14,4,)</f>
        <v>03Strait of Juan de Fuca</v>
      </c>
      <c r="O2437" s="108">
        <v>43.974358974358999</v>
      </c>
      <c r="P2437" s="108">
        <v>151.27179487179501</v>
      </c>
      <c r="Q2437" s="108">
        <f>SUMIFS('FW_Salmon_by_Month_2010-2021'!P$2:P$3810,'FW_Salmon_by_Month_2010-2021'!$B$2:$B$3810,'Rec_raw_catch_effort_2010-2021'!$B2437,'FW_Salmon_by_Month_2010-2021'!$H$2:$H$3810,'Rec_raw_catch_effort_2010-2021'!$F2437,'FW_Salmon_by_Month_2010-2021'!$M$2:$M$3810,'Rec_raw_catch_effort_2010-2021'!$K2437)</f>
        <v>44.206088029617398</v>
      </c>
      <c r="R2437" s="109">
        <f>VLOOKUP(B2437,Readme!$A$62:$C$74,2,)*Q2437</f>
        <v>156.44713322139731</v>
      </c>
      <c r="S2437" s="140" t="str">
        <f t="shared" si="193"/>
        <v>Y</v>
      </c>
      <c r="T2437" s="154">
        <f t="shared" si="194"/>
        <v>3.4400000000000013</v>
      </c>
      <c r="U2437" s="154">
        <f t="shared" si="195"/>
        <v>3.5390404397824149</v>
      </c>
    </row>
    <row r="2438" spans="1:21" x14ac:dyDescent="0.35">
      <c r="A2438" s="108">
        <v>2494</v>
      </c>
      <c r="B2438" s="108">
        <v>2015</v>
      </c>
      <c r="C2438" s="108" t="s">
        <v>38</v>
      </c>
      <c r="D2438" s="108" t="s">
        <v>143</v>
      </c>
      <c r="E2438" s="108" t="s">
        <v>10</v>
      </c>
      <c r="F2438" s="116">
        <v>830</v>
      </c>
      <c r="G2438" s="108" t="s">
        <v>60</v>
      </c>
      <c r="H2438" s="108" t="str">
        <f t="shared" si="192"/>
        <v>Skagit River</v>
      </c>
      <c r="I2438" s="108" t="str">
        <f>IFERROR(VLOOKUP(H2438,LUTs!$A$1:$C$73,2,FALSE),"NA")</f>
        <v>Skagit/Whatcom</v>
      </c>
      <c r="J2438" s="108" t="str">
        <f>IFERROR(VLOOKUP(H2438,LUTs!$A$1:$C$73,3,FALSE),"NA")</f>
        <v>2Central Puget Sound</v>
      </c>
      <c r="K2438" s="108" t="s">
        <v>17</v>
      </c>
      <c r="L2438" s="108" t="str">
        <f>VLOOKUP(K2438,LUTs!E$2:G$14,3,)</f>
        <v>04Island</v>
      </c>
      <c r="M2438" s="108" t="str">
        <f>VLOOKUP($K2438,LUTs!$E$2:$H$14,2,)</f>
        <v>North Puget Sound</v>
      </c>
      <c r="N2438" s="108" t="str">
        <f>VLOOKUP($K2438,LUTs!$E$2:$H$14,4,)</f>
        <v>01North Puget Sound</v>
      </c>
      <c r="O2438" s="108">
        <v>536.48717948718001</v>
      </c>
      <c r="P2438" s="108">
        <v>1845.5158974358999</v>
      </c>
      <c r="Q2438" s="108">
        <f>SUMIFS('FW_Salmon_by_Month_2010-2021'!P$2:P$3810,'FW_Salmon_by_Month_2010-2021'!$B$2:$B$3810,'Rec_raw_catch_effort_2010-2021'!$B2438,'FW_Salmon_by_Month_2010-2021'!$H$2:$H$3810,'Rec_raw_catch_effort_2010-2021'!$F2438,'FW_Salmon_by_Month_2010-2021'!$M$2:$M$3810,'Rec_raw_catch_effort_2010-2021'!$K2438)</f>
        <v>538.99442874930276</v>
      </c>
      <c r="R2438" s="109">
        <f>VLOOKUP(B2438,Readme!$A$62:$C$74,2,)*Q2438</f>
        <v>1907.5230801612042</v>
      </c>
      <c r="S2438" s="140" t="str">
        <f t="shared" si="193"/>
        <v>Y</v>
      </c>
      <c r="T2438" s="154">
        <f t="shared" si="194"/>
        <v>3.4400000000000013</v>
      </c>
      <c r="U2438" s="154">
        <f t="shared" si="195"/>
        <v>3.5390404397824153</v>
      </c>
    </row>
    <row r="2439" spans="1:21" x14ac:dyDescent="0.35">
      <c r="A2439" s="108">
        <v>2496</v>
      </c>
      <c r="B2439" s="108">
        <v>2015</v>
      </c>
      <c r="C2439" s="108" t="s">
        <v>38</v>
      </c>
      <c r="D2439" s="108" t="s">
        <v>143</v>
      </c>
      <c r="E2439" s="108" t="s">
        <v>10</v>
      </c>
      <c r="F2439" s="116">
        <v>830</v>
      </c>
      <c r="G2439" s="108" t="s">
        <v>60</v>
      </c>
      <c r="H2439" s="108" t="str">
        <f t="shared" si="192"/>
        <v>Skagit River</v>
      </c>
      <c r="I2439" s="108" t="str">
        <f>IFERROR(VLOOKUP(H2439,LUTs!$A$1:$C$73,2,FALSE),"NA")</f>
        <v>Skagit/Whatcom</v>
      </c>
      <c r="J2439" s="108" t="str">
        <f>IFERROR(VLOOKUP(H2439,LUTs!$A$1:$C$73,3,FALSE),"NA")</f>
        <v>2Central Puget Sound</v>
      </c>
      <c r="K2439" s="108" t="s">
        <v>18</v>
      </c>
      <c r="L2439" s="108" t="str">
        <f>VLOOKUP(K2439,LUTs!E$2:G$14,3,)</f>
        <v>06King</v>
      </c>
      <c r="M2439" s="108" t="str">
        <f>VLOOKUP($K2439,LUTs!$E$2:$H$14,2,)</f>
        <v>South Puget Sound</v>
      </c>
      <c r="N2439" s="108" t="str">
        <f>VLOOKUP($K2439,LUTs!$E$2:$H$14,4,)</f>
        <v>02South Puget Sound</v>
      </c>
      <c r="O2439" s="108">
        <v>712.38461538461502</v>
      </c>
      <c r="P2439" s="108">
        <v>2450.6030769230802</v>
      </c>
      <c r="Q2439" s="108">
        <f>SUMIFS('FW_Salmon_by_Month_2010-2021'!P$2:P$3810,'FW_Salmon_by_Month_2010-2021'!$B$2:$B$3810,'Rec_raw_catch_effort_2010-2021'!$B2439,'FW_Salmon_by_Month_2010-2021'!$H$2:$H$3810,'Rec_raw_catch_effort_2010-2021'!$F2439,'FW_Salmon_by_Month_2010-2021'!$M$2:$M$3810,'Rec_raw_catch_effort_2010-2021'!$K2439)</f>
        <v>707.06139177205694</v>
      </c>
      <c r="R2439" s="109">
        <f>VLOOKUP(B2439,Readme!$A$62:$C$74,2,)*Q2439</f>
        <v>2502.3188588901471</v>
      </c>
      <c r="S2439" s="140" t="str">
        <f t="shared" si="193"/>
        <v>Y</v>
      </c>
      <c r="T2439" s="154">
        <f t="shared" si="194"/>
        <v>3.4400000000000062</v>
      </c>
      <c r="U2439" s="154">
        <f t="shared" si="195"/>
        <v>3.5390404397824153</v>
      </c>
    </row>
    <row r="2440" spans="1:21" x14ac:dyDescent="0.35">
      <c r="A2440" s="108">
        <v>2500</v>
      </c>
      <c r="B2440" s="108">
        <v>2015</v>
      </c>
      <c r="C2440" s="108" t="s">
        <v>38</v>
      </c>
      <c r="D2440" s="108" t="s">
        <v>143</v>
      </c>
      <c r="E2440" s="108" t="s">
        <v>10</v>
      </c>
      <c r="F2440" s="116">
        <v>830</v>
      </c>
      <c r="G2440" s="108" t="s">
        <v>60</v>
      </c>
      <c r="H2440" s="108" t="str">
        <f t="shared" si="192"/>
        <v>Skagit River</v>
      </c>
      <c r="I2440" s="108" t="str">
        <f>IFERROR(VLOOKUP(H2440,LUTs!$A$1:$C$73,2,FALSE),"NA")</f>
        <v>Skagit/Whatcom</v>
      </c>
      <c r="J2440" s="108" t="str">
        <f>IFERROR(VLOOKUP(H2440,LUTs!$A$1:$C$73,3,FALSE),"NA")</f>
        <v>2Central Puget Sound</v>
      </c>
      <c r="K2440" s="108" t="s">
        <v>23</v>
      </c>
      <c r="L2440" s="108" t="str">
        <f>VLOOKUP(K2440,LUTs!E$2:G$14,3,)</f>
        <v>10Kitsap</v>
      </c>
      <c r="M2440" s="108" t="str">
        <f>VLOOKUP($K2440,LUTs!$E$2:$H$14,2,)</f>
        <v>South Puget Sound</v>
      </c>
      <c r="N2440" s="108" t="str">
        <f>VLOOKUP($K2440,LUTs!$E$2:$H$14,4,)</f>
        <v>02South Puget Sound</v>
      </c>
      <c r="O2440" s="108">
        <v>87.948717948717999</v>
      </c>
      <c r="P2440" s="108">
        <v>302.54358974359002</v>
      </c>
      <c r="Q2440" s="108">
        <f>SUMIFS('FW_Salmon_by_Month_2010-2021'!P$2:P$3810,'FW_Salmon_by_Month_2010-2021'!$B$2:$B$3810,'Rec_raw_catch_effort_2010-2021'!$B2440,'FW_Salmon_by_Month_2010-2021'!$H$2:$H$3810,'Rec_raw_catch_effort_2010-2021'!$F2440,'FW_Salmon_by_Month_2010-2021'!$M$2:$M$3810,'Rec_raw_catch_effort_2010-2021'!$K2440)</f>
        <v>88.385773268126229</v>
      </c>
      <c r="R2440" s="109">
        <f>VLOOKUP(B2440,Readme!$A$62:$C$74,2,)*Q2440</f>
        <v>312.80082589733831</v>
      </c>
      <c r="S2440" s="140" t="str">
        <f t="shared" si="193"/>
        <v>Y</v>
      </c>
      <c r="T2440" s="154">
        <f t="shared" si="194"/>
        <v>3.4400000000000013</v>
      </c>
      <c r="U2440" s="154">
        <f t="shared" si="195"/>
        <v>3.5390404397824153</v>
      </c>
    </row>
    <row r="2441" spans="1:21" x14ac:dyDescent="0.35">
      <c r="A2441" s="108">
        <v>2499</v>
      </c>
      <c r="B2441" s="108">
        <v>2015</v>
      </c>
      <c r="C2441" s="108" t="s">
        <v>38</v>
      </c>
      <c r="D2441" s="108" t="s">
        <v>143</v>
      </c>
      <c r="E2441" s="108" t="s">
        <v>10</v>
      </c>
      <c r="F2441" s="116">
        <v>830</v>
      </c>
      <c r="G2441" s="108" t="s">
        <v>60</v>
      </c>
      <c r="H2441" s="108" t="str">
        <f t="shared" si="192"/>
        <v>Skagit River</v>
      </c>
      <c r="I2441" s="108" t="str">
        <f>IFERROR(VLOOKUP(H2441,LUTs!$A$1:$C$73,2,FALSE),"NA")</f>
        <v>Skagit/Whatcom</v>
      </c>
      <c r="J2441" s="108" t="str">
        <f>IFERROR(VLOOKUP(H2441,LUTs!$A$1:$C$73,3,FALSE),"NA")</f>
        <v>2Central Puget Sound</v>
      </c>
      <c r="K2441" s="108" t="s">
        <v>22</v>
      </c>
      <c r="L2441" s="108" t="str">
        <f>VLOOKUP(K2441,LUTs!E$2:G$14,3,)</f>
        <v>09Mason</v>
      </c>
      <c r="M2441" s="108" t="str">
        <f>VLOOKUP($K2441,LUTs!$E$2:$H$14,2,)</f>
        <v>South Puget Sound</v>
      </c>
      <c r="N2441" s="108" t="str">
        <f>VLOOKUP($K2441,LUTs!$E$2:$H$14,4,)</f>
        <v>02South Puget Sound</v>
      </c>
      <c r="O2441" s="108">
        <v>114.333333333333</v>
      </c>
      <c r="P2441" s="108">
        <v>393.30666666666599</v>
      </c>
      <c r="Q2441" s="108">
        <f>SUMIFS('FW_Salmon_by_Month_2010-2021'!P$2:P$3810,'FW_Salmon_by_Month_2010-2021'!$B$2:$B$3810,'Rec_raw_catch_effort_2010-2021'!$B2441,'FW_Salmon_by_Month_2010-2021'!$H$2:$H$3810,'Rec_raw_catch_effort_2010-2021'!$F2441,'FW_Salmon_by_Month_2010-2021'!$M$2:$M$3810,'Rec_raw_catch_effort_2010-2021'!$K2441)</f>
        <v>114.93582887700499</v>
      </c>
      <c r="R2441" s="109">
        <f>VLOOKUP(B2441,Readme!$A$62:$C$74,2,)*Q2441</f>
        <v>406.76254637563221</v>
      </c>
      <c r="S2441" s="140" t="str">
        <f t="shared" si="193"/>
        <v>Y</v>
      </c>
      <c r="T2441" s="154">
        <f t="shared" si="194"/>
        <v>3.4400000000000039</v>
      </c>
      <c r="U2441" s="154">
        <f t="shared" si="195"/>
        <v>3.5390404397824158</v>
      </c>
    </row>
    <row r="2442" spans="1:21" x14ac:dyDescent="0.35">
      <c r="A2442" s="108">
        <v>2502</v>
      </c>
      <c r="B2442" s="108">
        <v>2015</v>
      </c>
      <c r="C2442" s="108" t="s">
        <v>38</v>
      </c>
      <c r="D2442" s="108" t="s">
        <v>143</v>
      </c>
      <c r="E2442" s="108" t="s">
        <v>10</v>
      </c>
      <c r="F2442" s="116">
        <v>830</v>
      </c>
      <c r="G2442" s="108" t="s">
        <v>60</v>
      </c>
      <c r="H2442" s="108" t="str">
        <f t="shared" si="192"/>
        <v>Skagit River</v>
      </c>
      <c r="I2442" s="108" t="str">
        <f>IFERROR(VLOOKUP(H2442,LUTs!$A$1:$C$73,2,FALSE),"NA")</f>
        <v>Skagit/Whatcom</v>
      </c>
      <c r="J2442" s="108" t="str">
        <f>IFERROR(VLOOKUP(H2442,LUTs!$A$1:$C$73,3,FALSE),"NA")</f>
        <v>2Central Puget Sound</v>
      </c>
      <c r="K2442" s="108" t="s">
        <v>26</v>
      </c>
      <c r="L2442" s="108" t="str">
        <f>VLOOKUP(K2442,LUTs!E$2:G$14,3,)</f>
        <v>20Other</v>
      </c>
      <c r="M2442" s="108" t="str">
        <f>VLOOKUP($K2442,LUTs!$E$2:$H$14,2,)</f>
        <v>Non Puget Sound</v>
      </c>
      <c r="N2442" s="108" t="str">
        <f>VLOOKUP($K2442,LUTs!$E$2:$H$14,4,)</f>
        <v>07Non Puget Sound</v>
      </c>
      <c r="O2442" s="108">
        <v>3078.2051282051302</v>
      </c>
      <c r="P2442" s="108">
        <v>10589.025641025601</v>
      </c>
      <c r="Q2442" s="108">
        <f>SUMIFS('FW_Salmon_by_Month_2010-2021'!P$2:P$3810,'FW_Salmon_by_Month_2010-2021'!$B$2:$B$3810,'Rec_raw_catch_effort_2010-2021'!$B2442,'FW_Salmon_by_Month_2010-2021'!$H$2:$H$3810,'Rec_raw_catch_effort_2010-2021'!$F2442,'FW_Salmon_by_Month_2010-2021'!$M$2:$M$3810,'Rec_raw_catch_effort_2010-2021'!$K2442)</f>
        <v>3093.476605119869</v>
      </c>
      <c r="R2442" s="109">
        <f>VLOOKUP(B2442,Readme!$A$62:$C$74,2,)*Q2442</f>
        <v>10947.938805040034</v>
      </c>
      <c r="S2442" s="140" t="str">
        <f t="shared" si="193"/>
        <v>Y</v>
      </c>
      <c r="T2442" s="154">
        <f t="shared" si="194"/>
        <v>3.4399999999999844</v>
      </c>
      <c r="U2442" s="154">
        <f t="shared" si="195"/>
        <v>3.5390404397824153</v>
      </c>
    </row>
    <row r="2443" spans="1:21" x14ac:dyDescent="0.35">
      <c r="A2443" s="108">
        <v>2497</v>
      </c>
      <c r="B2443" s="108">
        <v>2015</v>
      </c>
      <c r="C2443" s="108" t="s">
        <v>38</v>
      </c>
      <c r="D2443" s="108" t="s">
        <v>143</v>
      </c>
      <c r="E2443" s="108" t="s">
        <v>10</v>
      </c>
      <c r="F2443" s="116">
        <v>830</v>
      </c>
      <c r="G2443" s="108" t="s">
        <v>60</v>
      </c>
      <c r="H2443" s="108" t="str">
        <f t="shared" si="192"/>
        <v>Skagit River</v>
      </c>
      <c r="I2443" s="108" t="str">
        <f>IFERROR(VLOOKUP(H2443,LUTs!$A$1:$C$73,2,FALSE),"NA")</f>
        <v>Skagit/Whatcom</v>
      </c>
      <c r="J2443" s="108" t="str">
        <f>IFERROR(VLOOKUP(H2443,LUTs!$A$1:$C$73,3,FALSE),"NA")</f>
        <v>2Central Puget Sound</v>
      </c>
      <c r="K2443" s="108" t="s">
        <v>20</v>
      </c>
      <c r="L2443" s="108" t="str">
        <f>VLOOKUP(K2443,LUTs!E$2:G$14,3,)</f>
        <v>07Pierce</v>
      </c>
      <c r="M2443" s="108" t="str">
        <f>VLOOKUP($K2443,LUTs!$E$2:$H$14,2,)</f>
        <v>South Puget Sound</v>
      </c>
      <c r="N2443" s="108" t="str">
        <f>VLOOKUP($K2443,LUTs!$E$2:$H$14,4,)</f>
        <v>02South Puget Sound</v>
      </c>
      <c r="O2443" s="108">
        <v>140.71794871794901</v>
      </c>
      <c r="P2443" s="108">
        <v>484.06974358974497</v>
      </c>
      <c r="Q2443" s="108">
        <f>SUMIFS('FW_Salmon_by_Month_2010-2021'!P$2:P$3810,'FW_Salmon_by_Month_2010-2021'!$B$2:$B$3810,'Rec_raw_catch_effort_2010-2021'!$B2443,'FW_Salmon_by_Month_2010-2021'!$H$2:$H$3810,'Rec_raw_catch_effort_2010-2021'!$F2443,'FW_Salmon_by_Month_2010-2021'!$M$2:$M$3810,'Rec_raw_catch_effort_2010-2021'!$K2443)</f>
        <v>141.459481694776</v>
      </c>
      <c r="R2443" s="109">
        <f>VLOOKUP(B2443,Readme!$A$62:$C$74,2,)*Q2443</f>
        <v>500.63082630847259</v>
      </c>
      <c r="S2443" s="140" t="str">
        <f t="shared" si="193"/>
        <v>Y</v>
      </c>
      <c r="T2443" s="154">
        <f t="shared" si="194"/>
        <v>3.4400000000000026</v>
      </c>
      <c r="U2443" s="154">
        <f t="shared" si="195"/>
        <v>3.5390404397824153</v>
      </c>
    </row>
    <row r="2444" spans="1:21" x14ac:dyDescent="0.35">
      <c r="A2444" s="108">
        <v>2495</v>
      </c>
      <c r="B2444" s="108">
        <v>2015</v>
      </c>
      <c r="C2444" s="108" t="s">
        <v>38</v>
      </c>
      <c r="D2444" s="108" t="s">
        <v>143</v>
      </c>
      <c r="E2444" s="108" t="s">
        <v>10</v>
      </c>
      <c r="F2444" s="116">
        <v>830</v>
      </c>
      <c r="G2444" s="108" t="s">
        <v>60</v>
      </c>
      <c r="H2444" s="108" t="str">
        <f t="shared" si="192"/>
        <v>Skagit River</v>
      </c>
      <c r="I2444" s="108" t="str">
        <f>IFERROR(VLOOKUP(H2444,LUTs!$A$1:$C$73,2,FALSE),"NA")</f>
        <v>Skagit/Whatcom</v>
      </c>
      <c r="J2444" s="108" t="str">
        <f>IFERROR(VLOOKUP(H2444,LUTs!$A$1:$C$73,3,FALSE),"NA")</f>
        <v>2Central Puget Sound</v>
      </c>
      <c r="K2444" s="108" t="s">
        <v>30</v>
      </c>
      <c r="L2444" s="108" t="str">
        <f>VLOOKUP(K2444,LUTs!E$2:G$14,3,)</f>
        <v>05San Juan</v>
      </c>
      <c r="M2444" s="108" t="str">
        <f>VLOOKUP($K2444,LUTs!$E$2:$H$14,2,)</f>
        <v>North Puget Sound</v>
      </c>
      <c r="N2444" s="108" t="str">
        <f>VLOOKUP($K2444,LUTs!$E$2:$H$14,4,)</f>
        <v>01North Puget Sound</v>
      </c>
      <c r="O2444" s="108">
        <v>35.179487179487197</v>
      </c>
      <c r="P2444" s="108">
        <v>121.017435897436</v>
      </c>
      <c r="Q2444" s="108">
        <f>SUMIFS('FW_Salmon_by_Month_2010-2021'!P$2:P$3810,'FW_Salmon_by_Month_2010-2021'!$B$2:$B$3810,'Rec_raw_catch_effort_2010-2021'!$B2444,'FW_Salmon_by_Month_2010-2021'!$H$2:$H$3810,'Rec_raw_catch_effort_2010-2021'!$F2444,'FW_Salmon_by_Month_2010-2021'!$M$2:$M$3810,'Rec_raw_catch_effort_2010-2021'!$K2444)</f>
        <v>35.260869565217398</v>
      </c>
      <c r="R2444" s="109">
        <f>VLOOKUP(B2444,Readme!$A$62:$C$74,2,)*Q2444</f>
        <v>124.78964333319736</v>
      </c>
      <c r="S2444" s="140" t="str">
        <f t="shared" si="193"/>
        <v>Y</v>
      </c>
      <c r="T2444" s="154">
        <f t="shared" si="194"/>
        <v>3.4400000000000013</v>
      </c>
      <c r="U2444" s="154">
        <f t="shared" si="195"/>
        <v>3.5390404397824153</v>
      </c>
    </row>
    <row r="2445" spans="1:21" x14ac:dyDescent="0.35">
      <c r="A2445" s="108">
        <v>2464</v>
      </c>
      <c r="B2445" s="108">
        <v>2015</v>
      </c>
      <c r="C2445" s="108" t="s">
        <v>38</v>
      </c>
      <c r="D2445" s="108" t="s">
        <v>143</v>
      </c>
      <c r="E2445" s="108" t="s">
        <v>10</v>
      </c>
      <c r="F2445" s="116">
        <v>830</v>
      </c>
      <c r="G2445" s="108" t="s">
        <v>60</v>
      </c>
      <c r="H2445" s="108" t="str">
        <f t="shared" si="192"/>
        <v>Skagit River</v>
      </c>
      <c r="I2445" s="108" t="str">
        <f>IFERROR(VLOOKUP(H2445,LUTs!$A$1:$C$73,2,FALSE),"NA")</f>
        <v>Skagit/Whatcom</v>
      </c>
      <c r="J2445" s="108" t="str">
        <f>IFERROR(VLOOKUP(H2445,LUTs!$A$1:$C$73,3,FALSE),"NA")</f>
        <v>2Central Puget Sound</v>
      </c>
      <c r="K2445" s="108" t="s">
        <v>15</v>
      </c>
      <c r="L2445" s="108" t="str">
        <f>VLOOKUP(K2445,LUTs!E$2:G$14,3,)</f>
        <v>02Skagit</v>
      </c>
      <c r="M2445" s="108" t="str">
        <f>VLOOKUP($K2445,LUTs!$E$2:$H$14,2,)</f>
        <v>North Puget Sound</v>
      </c>
      <c r="N2445" s="108" t="str">
        <f>VLOOKUP($K2445,LUTs!$E$2:$H$14,4,)</f>
        <v>01North Puget Sound</v>
      </c>
      <c r="O2445" s="108">
        <v>18750.666666666701</v>
      </c>
      <c r="P2445" s="108">
        <v>64502.293333333502</v>
      </c>
      <c r="Q2445" s="108">
        <f>SUMIFS('FW_Salmon_by_Month_2010-2021'!P$2:P$3810,'FW_Salmon_by_Month_2010-2021'!$B$2:$B$3810,'Rec_raw_catch_effort_2010-2021'!$B2445,'FW_Salmon_by_Month_2010-2021'!$H$2:$H$3810,'Rec_raw_catch_effort_2010-2021'!$F2445,'FW_Salmon_by_Month_2010-2021'!$M$2:$M$3810,'Rec_raw_catch_effort_2010-2021'!$K2445)</f>
        <v>18754.10124046111</v>
      </c>
      <c r="R2445" s="109">
        <f>VLOOKUP(B2445,Readme!$A$62:$C$74,2,)*Q2445</f>
        <v>66371.522701765425</v>
      </c>
      <c r="S2445" s="140" t="str">
        <f t="shared" si="193"/>
        <v>Y</v>
      </c>
      <c r="T2445" s="154">
        <f t="shared" si="194"/>
        <v>3.4400000000000026</v>
      </c>
      <c r="U2445" s="154">
        <f t="shared" si="195"/>
        <v>3.5390404397824153</v>
      </c>
    </row>
    <row r="2446" spans="1:21" x14ac:dyDescent="0.35">
      <c r="A2446" s="108">
        <v>2493</v>
      </c>
      <c r="B2446" s="108">
        <v>2015</v>
      </c>
      <c r="C2446" s="108" t="s">
        <v>38</v>
      </c>
      <c r="D2446" s="108" t="s">
        <v>143</v>
      </c>
      <c r="E2446" s="108" t="s">
        <v>10</v>
      </c>
      <c r="F2446" s="116">
        <v>830</v>
      </c>
      <c r="G2446" s="108" t="s">
        <v>60</v>
      </c>
      <c r="H2446" s="108" t="str">
        <f t="shared" si="192"/>
        <v>Skagit River</v>
      </c>
      <c r="I2446" s="108" t="str">
        <f>IFERROR(VLOOKUP(H2446,LUTs!$A$1:$C$73,2,FALSE),"NA")</f>
        <v>Skagit/Whatcom</v>
      </c>
      <c r="J2446" s="108" t="str">
        <f>IFERROR(VLOOKUP(H2446,LUTs!$A$1:$C$73,3,FALSE),"NA")</f>
        <v>2Central Puget Sound</v>
      </c>
      <c r="K2446" s="108" t="s">
        <v>16</v>
      </c>
      <c r="L2446" s="108" t="str">
        <f>VLOOKUP(K2446,LUTs!E$2:G$14,3,)</f>
        <v>03Snohomish</v>
      </c>
      <c r="M2446" s="108" t="str">
        <f>VLOOKUP($K2446,LUTs!$E$2:$H$14,2,)</f>
        <v>North Puget Sound</v>
      </c>
      <c r="N2446" s="108" t="str">
        <f>VLOOKUP($K2446,LUTs!$E$2:$H$14,4,)</f>
        <v>01North Puget Sound</v>
      </c>
      <c r="O2446" s="108">
        <v>3992.8717948717999</v>
      </c>
      <c r="P2446" s="108">
        <v>13735.478974359001</v>
      </c>
      <c r="Q2446" s="108">
        <f>SUMIFS('FW_Salmon_by_Month_2010-2021'!P$2:P$3810,'FW_Salmon_by_Month_2010-2021'!$B$2:$B$3810,'Rec_raw_catch_effort_2010-2021'!$B2446,'FW_Salmon_by_Month_2010-2021'!$H$2:$H$3810,'Rec_raw_catch_effort_2010-2021'!$F2446,'FW_Salmon_by_Month_2010-2021'!$M$2:$M$3810,'Rec_raw_catch_effort_2010-2021'!$K2446)</f>
        <v>4012.3016268381634</v>
      </c>
      <c r="R2446" s="109">
        <f>VLOOKUP(B2446,Readme!$A$62:$C$74,2,)*Q2446</f>
        <v>14199.697713985035</v>
      </c>
      <c r="S2446" s="140" t="str">
        <f t="shared" si="193"/>
        <v>Y</v>
      </c>
      <c r="T2446" s="154">
        <f t="shared" si="194"/>
        <v>3.4400000000000022</v>
      </c>
      <c r="U2446" s="154">
        <f t="shared" si="195"/>
        <v>3.5390404397824153</v>
      </c>
    </row>
    <row r="2447" spans="1:21" x14ac:dyDescent="0.35">
      <c r="A2447" s="108">
        <v>2498</v>
      </c>
      <c r="B2447" s="108">
        <v>2015</v>
      </c>
      <c r="C2447" s="108" t="s">
        <v>38</v>
      </c>
      <c r="D2447" s="108" t="s">
        <v>143</v>
      </c>
      <c r="E2447" s="108" t="s">
        <v>10</v>
      </c>
      <c r="F2447" s="116">
        <v>830</v>
      </c>
      <c r="G2447" s="108" t="s">
        <v>60</v>
      </c>
      <c r="H2447" s="108" t="str">
        <f t="shared" si="192"/>
        <v>Skagit River</v>
      </c>
      <c r="I2447" s="108" t="str">
        <f>IFERROR(VLOOKUP(H2447,LUTs!$A$1:$C$73,2,FALSE),"NA")</f>
        <v>Skagit/Whatcom</v>
      </c>
      <c r="J2447" s="108" t="str">
        <f>IFERROR(VLOOKUP(H2447,LUTs!$A$1:$C$73,3,FALSE),"NA")</f>
        <v>2Central Puget Sound</v>
      </c>
      <c r="K2447" s="108" t="s">
        <v>21</v>
      </c>
      <c r="L2447" s="108" t="str">
        <f>VLOOKUP(K2447,LUTs!E$2:G$14,3,)</f>
        <v>08Thurston</v>
      </c>
      <c r="M2447" s="108" t="str">
        <f>VLOOKUP($K2447,LUTs!$E$2:$H$14,2,)</f>
        <v>South Puget Sound</v>
      </c>
      <c r="N2447" s="108" t="str">
        <f>VLOOKUP($K2447,LUTs!$E$2:$H$14,4,)</f>
        <v>02South Puget Sound</v>
      </c>
      <c r="O2447" s="108">
        <v>281.435897435897</v>
      </c>
      <c r="P2447" s="108">
        <v>968.13948717948597</v>
      </c>
      <c r="Q2447" s="108">
        <f>SUMIFS('FW_Salmon_by_Month_2010-2021'!P$2:P$3810,'FW_Salmon_by_Month_2010-2021'!$B$2:$B$3810,'Rec_raw_catch_effort_2010-2021'!$B2447,'FW_Salmon_by_Month_2010-2021'!$H$2:$H$3810,'Rec_raw_catch_effort_2010-2021'!$F2447,'FW_Salmon_by_Month_2010-2021'!$M$2:$M$3810,'Rec_raw_catch_effort_2010-2021'!$K2447)</f>
        <v>282.86615780733462</v>
      </c>
      <c r="R2447" s="109">
        <f>VLOOKUP(B2447,Readme!$A$62:$C$74,2,)*Q2447</f>
        <v>1001.0747715260316</v>
      </c>
      <c r="S2447" s="140" t="str">
        <f t="shared" si="193"/>
        <v>Y</v>
      </c>
      <c r="T2447" s="154">
        <f t="shared" si="194"/>
        <v>3.4400000000000008</v>
      </c>
      <c r="U2447" s="154">
        <f t="shared" si="195"/>
        <v>3.5390404397824153</v>
      </c>
    </row>
    <row r="2448" spans="1:21" x14ac:dyDescent="0.35">
      <c r="A2448" s="108">
        <v>2463</v>
      </c>
      <c r="B2448" s="108">
        <v>2015</v>
      </c>
      <c r="C2448" s="108" t="s">
        <v>38</v>
      </c>
      <c r="D2448" s="108" t="s">
        <v>143</v>
      </c>
      <c r="E2448" s="108" t="s">
        <v>10</v>
      </c>
      <c r="F2448" s="116">
        <v>830</v>
      </c>
      <c r="G2448" s="108" t="s">
        <v>60</v>
      </c>
      <c r="H2448" s="108" t="str">
        <f t="shared" si="192"/>
        <v>Skagit River</v>
      </c>
      <c r="I2448" s="108" t="str">
        <f>IFERROR(VLOOKUP(H2448,LUTs!$A$1:$C$73,2,FALSE),"NA")</f>
        <v>Skagit/Whatcom</v>
      </c>
      <c r="J2448" s="108" t="str">
        <f>IFERROR(VLOOKUP(H2448,LUTs!$A$1:$C$73,3,FALSE),"NA")</f>
        <v>2Central Puget Sound</v>
      </c>
      <c r="K2448" s="108" t="s">
        <v>13</v>
      </c>
      <c r="L2448" s="108" t="str">
        <f>VLOOKUP(K2448,LUTs!E$2:G$14,3,)</f>
        <v>01Whatcom</v>
      </c>
      <c r="M2448" s="108" t="str">
        <f>VLOOKUP($K2448,LUTs!$E$2:$H$14,2,)</f>
        <v>North Puget Sound</v>
      </c>
      <c r="N2448" s="108" t="str">
        <f>VLOOKUP($K2448,LUTs!$E$2:$H$14,4,)</f>
        <v>01North Puget Sound</v>
      </c>
      <c r="O2448" s="108">
        <v>4467.7948717948702</v>
      </c>
      <c r="P2448" s="108">
        <v>15369.214358974399</v>
      </c>
      <c r="Q2448" s="108">
        <f>SUMIFS('FW_Salmon_by_Month_2010-2021'!P$2:P$3810,'FW_Salmon_by_Month_2010-2021'!$B$2:$B$3810,'Rec_raw_catch_effort_2010-2021'!$B2448,'FW_Salmon_by_Month_2010-2021'!$H$2:$H$3810,'Rec_raw_catch_effort_2010-2021'!$F2448,'FW_Salmon_by_Month_2010-2021'!$M$2:$M$3810,'Rec_raw_catch_effort_2010-2021'!$K2448)</f>
        <v>4428.9505078174616</v>
      </c>
      <c r="R2448" s="109">
        <f>VLOOKUP(B2448,Readme!$A$62:$C$74,2,)*Q2448</f>
        <v>15674.234952960862</v>
      </c>
      <c r="S2448" s="140" t="str">
        <f t="shared" si="193"/>
        <v>Y</v>
      </c>
      <c r="T2448" s="154">
        <f t="shared" si="194"/>
        <v>3.4400000000000102</v>
      </c>
      <c r="U2448" s="154">
        <f t="shared" si="195"/>
        <v>3.5390404397824153</v>
      </c>
    </row>
    <row r="2449" spans="1:21" x14ac:dyDescent="0.35">
      <c r="A2449" s="108">
        <v>2541</v>
      </c>
      <c r="B2449" s="108">
        <v>2016</v>
      </c>
      <c r="C2449" s="108" t="s">
        <v>38</v>
      </c>
      <c r="D2449" s="108" t="s">
        <v>143</v>
      </c>
      <c r="E2449" s="108" t="s">
        <v>10</v>
      </c>
      <c r="F2449" s="116">
        <v>830</v>
      </c>
      <c r="G2449" s="108" t="s">
        <v>60</v>
      </c>
      <c r="H2449" s="108" t="str">
        <f t="shared" si="192"/>
        <v>Skagit River</v>
      </c>
      <c r="I2449" s="108" t="str">
        <f>IFERROR(VLOOKUP(H2449,LUTs!$A$1:$C$73,2,FALSE),"NA")</f>
        <v>Skagit/Whatcom</v>
      </c>
      <c r="J2449" s="108" t="str">
        <f>IFERROR(VLOOKUP(H2449,LUTs!$A$1:$C$73,3,FALSE),"NA")</f>
        <v>2Central Puget Sound</v>
      </c>
      <c r="K2449" s="108" t="s">
        <v>17</v>
      </c>
      <c r="L2449" s="108" t="str">
        <f>VLOOKUP(K2449,LUTs!E$2:G$14,3,)</f>
        <v>04Island</v>
      </c>
      <c r="M2449" s="108" t="str">
        <f>VLOOKUP($K2449,LUTs!$E$2:$H$14,2,)</f>
        <v>North Puget Sound</v>
      </c>
      <c r="N2449" s="108" t="str">
        <f>VLOOKUP($K2449,LUTs!$E$2:$H$14,4,)</f>
        <v>01North Puget Sound</v>
      </c>
      <c r="O2449" s="108">
        <v>57.518796992481199</v>
      </c>
      <c r="P2449" s="108">
        <v>497.53759398496197</v>
      </c>
      <c r="Q2449" s="108">
        <f>SUMIFS('FW_Salmon_by_Month_2010-2021'!P$2:P$3810,'FW_Salmon_by_Month_2010-2021'!$B$2:$B$3810,'Rec_raw_catch_effort_2010-2021'!$B2449,'FW_Salmon_by_Month_2010-2021'!$H$2:$H$3810,'Rec_raw_catch_effort_2010-2021'!$F2449,'FW_Salmon_by_Month_2010-2021'!$M$2:$M$3810,'Rec_raw_catch_effort_2010-2021'!$K2449)</f>
        <v>57.762838468720851</v>
      </c>
      <c r="R2449" s="109">
        <f>VLOOKUP(B2449,Readme!$A$62:$C$74,2,)*Q2449</f>
        <v>278.39117141742264</v>
      </c>
      <c r="S2449" s="140" t="str">
        <f t="shared" si="193"/>
        <v>Y</v>
      </c>
      <c r="T2449" s="154">
        <f t="shared" si="194"/>
        <v>8.6499999999999932</v>
      </c>
      <c r="U2449" s="154">
        <f t="shared" si="195"/>
        <v>4.8195549041132075</v>
      </c>
    </row>
    <row r="2450" spans="1:21" x14ac:dyDescent="0.35">
      <c r="A2450" s="108">
        <v>2576</v>
      </c>
      <c r="B2450" s="108">
        <v>2016</v>
      </c>
      <c r="C2450" s="108" t="s">
        <v>38</v>
      </c>
      <c r="D2450" s="108" t="s">
        <v>143</v>
      </c>
      <c r="E2450" s="108" t="s">
        <v>10</v>
      </c>
      <c r="F2450" s="116">
        <v>830</v>
      </c>
      <c r="G2450" s="108" t="s">
        <v>60</v>
      </c>
      <c r="H2450" s="108" t="str">
        <f t="shared" si="192"/>
        <v>Skagit River</v>
      </c>
      <c r="I2450" s="108" t="str">
        <f>IFERROR(VLOOKUP(H2450,LUTs!$A$1:$C$73,2,FALSE),"NA")</f>
        <v>Skagit/Whatcom</v>
      </c>
      <c r="J2450" s="108" t="str">
        <f>IFERROR(VLOOKUP(H2450,LUTs!$A$1:$C$73,3,FALSE),"NA")</f>
        <v>2Central Puget Sound</v>
      </c>
      <c r="K2450" s="108" t="s">
        <v>18</v>
      </c>
      <c r="L2450" s="108" t="str">
        <f>VLOOKUP(K2450,LUTs!E$2:G$14,3,)</f>
        <v>06King</v>
      </c>
      <c r="M2450" s="108" t="str">
        <f>VLOOKUP($K2450,LUTs!$E$2:$H$14,2,)</f>
        <v>South Puget Sound</v>
      </c>
      <c r="N2450" s="108" t="str">
        <f>VLOOKUP($K2450,LUTs!$E$2:$H$14,4,)</f>
        <v>02South Puget Sound</v>
      </c>
      <c r="O2450" s="108">
        <v>67.105263157894797</v>
      </c>
      <c r="P2450" s="108">
        <v>580.46052631579005</v>
      </c>
      <c r="Q2450" s="108">
        <f>SUMIFS('FW_Salmon_by_Month_2010-2021'!P$2:P$3810,'FW_Salmon_by_Month_2010-2021'!$B$2:$B$3810,'Rec_raw_catch_effort_2010-2021'!$B2450,'FW_Salmon_by_Month_2010-2021'!$H$2:$H$3810,'Rec_raw_catch_effort_2010-2021'!$F2450,'FW_Salmon_by_Month_2010-2021'!$M$2:$M$3810,'Rec_raw_catch_effort_2010-2021'!$K2450)</f>
        <v>57.7746031746032</v>
      </c>
      <c r="R2450" s="109">
        <f>VLOOKUP(B2450,Readme!$A$62:$C$74,2,)*Q2450</f>
        <v>278.44787206335337</v>
      </c>
      <c r="S2450" s="140" t="str">
        <f t="shared" si="193"/>
        <v>Y</v>
      </c>
      <c r="T2450" s="154">
        <f t="shared" si="194"/>
        <v>8.65</v>
      </c>
      <c r="U2450" s="154">
        <f t="shared" si="195"/>
        <v>4.8195549041132084</v>
      </c>
    </row>
    <row r="2451" spans="1:21" x14ac:dyDescent="0.35">
      <c r="A2451" s="108">
        <v>2577</v>
      </c>
      <c r="B2451" s="108">
        <v>2016</v>
      </c>
      <c r="C2451" s="108" t="s">
        <v>38</v>
      </c>
      <c r="D2451" s="108" t="s">
        <v>143</v>
      </c>
      <c r="E2451" s="108" t="s">
        <v>10</v>
      </c>
      <c r="F2451" s="116">
        <v>830</v>
      </c>
      <c r="G2451" s="108" t="s">
        <v>60</v>
      </c>
      <c r="H2451" s="108" t="str">
        <f t="shared" si="192"/>
        <v>Skagit River</v>
      </c>
      <c r="I2451" s="108" t="str">
        <f>IFERROR(VLOOKUP(H2451,LUTs!$A$1:$C$73,2,FALSE),"NA")</f>
        <v>Skagit/Whatcom</v>
      </c>
      <c r="J2451" s="108" t="str">
        <f>IFERROR(VLOOKUP(H2451,LUTs!$A$1:$C$73,3,FALSE),"NA")</f>
        <v>2Central Puget Sound</v>
      </c>
      <c r="K2451" s="108" t="s">
        <v>26</v>
      </c>
      <c r="L2451" s="108" t="str">
        <f>VLOOKUP(K2451,LUTs!E$2:G$14,3,)</f>
        <v>20Other</v>
      </c>
      <c r="M2451" s="108" t="str">
        <f>VLOOKUP($K2451,LUTs!$E$2:$H$14,2,)</f>
        <v>Non Puget Sound</v>
      </c>
      <c r="N2451" s="108" t="str">
        <f>VLOOKUP($K2451,LUTs!$E$2:$H$14,4,)</f>
        <v>07Non Puget Sound</v>
      </c>
      <c r="O2451" s="108">
        <v>86.278195488721806</v>
      </c>
      <c r="P2451" s="108">
        <v>746.30639097744404</v>
      </c>
      <c r="Q2451" s="108">
        <f>SUMIFS('FW_Salmon_by_Month_2010-2021'!P$2:P$3810,'FW_Salmon_by_Month_2010-2021'!$B$2:$B$3810,'Rec_raw_catch_effort_2010-2021'!$B2451,'FW_Salmon_by_Month_2010-2021'!$H$2:$H$3810,'Rec_raw_catch_effort_2010-2021'!$F2451,'FW_Salmon_by_Month_2010-2021'!$M$2:$M$3810,'Rec_raw_catch_effort_2010-2021'!$K2451)</f>
        <v>86.574603174603197</v>
      </c>
      <c r="R2451" s="109">
        <f>VLOOKUP(B2451,Readme!$A$62:$C$74,2,)*Q2451</f>
        <v>417.25105330181378</v>
      </c>
      <c r="S2451" s="140" t="str">
        <f t="shared" si="193"/>
        <v>Y</v>
      </c>
      <c r="T2451" s="154">
        <f t="shared" si="194"/>
        <v>8.6500000000000057</v>
      </c>
      <c r="U2451" s="154">
        <f t="shared" si="195"/>
        <v>4.8195549041132084</v>
      </c>
    </row>
    <row r="2452" spans="1:21" x14ac:dyDescent="0.35">
      <c r="A2452" s="108">
        <v>2536</v>
      </c>
      <c r="B2452" s="108">
        <v>2016</v>
      </c>
      <c r="C2452" s="108" t="s">
        <v>38</v>
      </c>
      <c r="D2452" s="108" t="s">
        <v>143</v>
      </c>
      <c r="E2452" s="108" t="s">
        <v>10</v>
      </c>
      <c r="F2452" s="116">
        <v>830</v>
      </c>
      <c r="G2452" s="108" t="s">
        <v>60</v>
      </c>
      <c r="H2452" s="108" t="str">
        <f t="shared" si="192"/>
        <v>Skagit River</v>
      </c>
      <c r="I2452" s="108" t="str">
        <f>IFERROR(VLOOKUP(H2452,LUTs!$A$1:$C$73,2,FALSE),"NA")</f>
        <v>Skagit/Whatcom</v>
      </c>
      <c r="J2452" s="108" t="str">
        <f>IFERROR(VLOOKUP(H2452,LUTs!$A$1:$C$73,3,FALSE),"NA")</f>
        <v>2Central Puget Sound</v>
      </c>
      <c r="K2452" s="108" t="s">
        <v>15</v>
      </c>
      <c r="L2452" s="108" t="str">
        <f>VLOOKUP(K2452,LUTs!E$2:G$14,3,)</f>
        <v>02Skagit</v>
      </c>
      <c r="M2452" s="108" t="str">
        <f>VLOOKUP($K2452,LUTs!$E$2:$H$14,2,)</f>
        <v>North Puget Sound</v>
      </c>
      <c r="N2452" s="108" t="str">
        <f>VLOOKUP($K2452,LUTs!$E$2:$H$14,4,)</f>
        <v>01North Puget Sound</v>
      </c>
      <c r="O2452" s="108">
        <v>1687.2180451127799</v>
      </c>
      <c r="P2452" s="108">
        <v>14594.436090225499</v>
      </c>
      <c r="Q2452" s="108">
        <f>SUMIFS('FW_Salmon_by_Month_2010-2021'!P$2:P$3810,'FW_Salmon_by_Month_2010-2021'!$B$2:$B$3810,'Rec_raw_catch_effort_2010-2021'!$B2452,'FW_Salmon_by_Month_2010-2021'!$H$2:$H$3810,'Rec_raw_catch_effort_2010-2021'!$F2452,'FW_Salmon_by_Month_2010-2021'!$M$2:$M$3810,'Rec_raw_catch_effort_2010-2021'!$K2452)</f>
        <v>1693.6887021475231</v>
      </c>
      <c r="R2452" s="109">
        <f>VLOOKUP(B2452,Readme!$A$62:$C$74,2,)*Q2452</f>
        <v>8162.8256904762302</v>
      </c>
      <c r="S2452" s="140" t="str">
        <f t="shared" si="193"/>
        <v>Y</v>
      </c>
      <c r="T2452" s="154">
        <f t="shared" si="194"/>
        <v>8.6499999999999719</v>
      </c>
      <c r="U2452" s="154">
        <f t="shared" si="195"/>
        <v>4.8195549041132084</v>
      </c>
    </row>
    <row r="2453" spans="1:21" x14ac:dyDescent="0.35">
      <c r="A2453" s="108">
        <v>2540</v>
      </c>
      <c r="B2453" s="108">
        <v>2016</v>
      </c>
      <c r="C2453" s="108" t="s">
        <v>38</v>
      </c>
      <c r="D2453" s="108" t="s">
        <v>143</v>
      </c>
      <c r="E2453" s="108" t="s">
        <v>10</v>
      </c>
      <c r="F2453" s="116">
        <v>830</v>
      </c>
      <c r="G2453" s="108" t="s">
        <v>60</v>
      </c>
      <c r="H2453" s="108" t="str">
        <f t="shared" si="192"/>
        <v>Skagit River</v>
      </c>
      <c r="I2453" s="108" t="str">
        <f>IFERROR(VLOOKUP(H2453,LUTs!$A$1:$C$73,2,FALSE),"NA")</f>
        <v>Skagit/Whatcom</v>
      </c>
      <c r="J2453" s="108" t="str">
        <f>IFERROR(VLOOKUP(H2453,LUTs!$A$1:$C$73,3,FALSE),"NA")</f>
        <v>2Central Puget Sound</v>
      </c>
      <c r="K2453" s="108" t="s">
        <v>16</v>
      </c>
      <c r="L2453" s="108" t="str">
        <f>VLOOKUP(K2453,LUTs!E$2:G$14,3,)</f>
        <v>03Snohomish</v>
      </c>
      <c r="M2453" s="108" t="str">
        <f>VLOOKUP($K2453,LUTs!$E$2:$H$14,2,)</f>
        <v>North Puget Sound</v>
      </c>
      <c r="N2453" s="108" t="str">
        <f>VLOOKUP($K2453,LUTs!$E$2:$H$14,4,)</f>
        <v>01North Puget Sound</v>
      </c>
      <c r="O2453" s="108">
        <v>153.38345864661699</v>
      </c>
      <c r="P2453" s="108">
        <v>1326.7669172932401</v>
      </c>
      <c r="Q2453" s="108">
        <f>SUMIFS('FW_Salmon_by_Month_2010-2021'!P$2:P$3810,'FW_Salmon_by_Month_2010-2021'!$B$2:$B$3810,'Rec_raw_catch_effort_2010-2021'!$B2453,'FW_Salmon_by_Month_2010-2021'!$H$2:$H$3810,'Rec_raw_catch_effort_2010-2021'!$F2453,'FW_Salmon_by_Month_2010-2021'!$M$2:$M$3810,'Rec_raw_catch_effort_2010-2021'!$K2453)</f>
        <v>153.6554621848739</v>
      </c>
      <c r="R2453" s="109">
        <f>VLOOKUP(B2453,Readme!$A$62:$C$74,2,)*Q2453</f>
        <v>740.55093631689067</v>
      </c>
      <c r="S2453" s="140" t="str">
        <f t="shared" si="193"/>
        <v>Y</v>
      </c>
      <c r="T2453" s="154">
        <f t="shared" si="194"/>
        <v>8.6500000000000199</v>
      </c>
      <c r="U2453" s="154">
        <f t="shared" si="195"/>
        <v>4.8195549041132084</v>
      </c>
    </row>
    <row r="2454" spans="1:21" x14ac:dyDescent="0.35">
      <c r="A2454" s="108">
        <v>2535</v>
      </c>
      <c r="B2454" s="108">
        <v>2016</v>
      </c>
      <c r="C2454" s="108" t="s">
        <v>38</v>
      </c>
      <c r="D2454" s="108" t="s">
        <v>143</v>
      </c>
      <c r="E2454" s="108" t="s">
        <v>10</v>
      </c>
      <c r="F2454" s="116">
        <v>830</v>
      </c>
      <c r="G2454" s="108" t="s">
        <v>60</v>
      </c>
      <c r="H2454" s="108" t="str">
        <f t="shared" si="192"/>
        <v>Skagit River</v>
      </c>
      <c r="I2454" s="108" t="str">
        <f>IFERROR(VLOOKUP(H2454,LUTs!$A$1:$C$73,2,FALSE),"NA")</f>
        <v>Skagit/Whatcom</v>
      </c>
      <c r="J2454" s="108" t="str">
        <f>IFERROR(VLOOKUP(H2454,LUTs!$A$1:$C$73,3,FALSE),"NA")</f>
        <v>2Central Puget Sound</v>
      </c>
      <c r="K2454" s="108" t="s">
        <v>13</v>
      </c>
      <c r="L2454" s="108" t="str">
        <f>VLOOKUP(K2454,LUTs!E$2:G$14,3,)</f>
        <v>01Whatcom</v>
      </c>
      <c r="M2454" s="108" t="str">
        <f>VLOOKUP($K2454,LUTs!$E$2:$H$14,2,)</f>
        <v>North Puget Sound</v>
      </c>
      <c r="N2454" s="108" t="str">
        <f>VLOOKUP($K2454,LUTs!$E$2:$H$14,4,)</f>
        <v>01North Puget Sound</v>
      </c>
      <c r="O2454" s="108">
        <v>498.49624060150398</v>
      </c>
      <c r="P2454" s="108">
        <v>4311.9924812030104</v>
      </c>
      <c r="Q2454" s="108">
        <f>SUMIFS('FW_Salmon_by_Month_2010-2021'!P$2:P$3810,'FW_Salmon_by_Month_2010-2021'!$B$2:$B$3810,'Rec_raw_catch_effort_2010-2021'!$B2454,'FW_Salmon_by_Month_2010-2021'!$H$2:$H$3810,'Rec_raw_catch_effort_2010-2021'!$F2454,'FW_Salmon_by_Month_2010-2021'!$M$2:$M$3810,'Rec_raw_catch_effort_2010-2021'!$K2454)</f>
        <v>500.54379084967297</v>
      </c>
      <c r="R2454" s="109">
        <f>VLOOKUP(B2454,Readme!$A$62:$C$74,2,)*Q2454</f>
        <v>2412.3982819129574</v>
      </c>
      <c r="S2454" s="140" t="str">
        <f t="shared" si="193"/>
        <v>Y</v>
      </c>
      <c r="T2454" s="154">
        <f t="shared" si="194"/>
        <v>8.6500000000000021</v>
      </c>
      <c r="U2454" s="154">
        <f t="shared" si="195"/>
        <v>4.8195549041132084</v>
      </c>
    </row>
    <row r="2455" spans="1:21" x14ac:dyDescent="0.35">
      <c r="A2455" s="108">
        <v>2581</v>
      </c>
      <c r="B2455" s="108">
        <v>2017</v>
      </c>
      <c r="C2455" s="108" t="s">
        <v>38</v>
      </c>
      <c r="D2455" s="108" t="s">
        <v>143</v>
      </c>
      <c r="E2455" s="108" t="s">
        <v>10</v>
      </c>
      <c r="F2455" s="116">
        <v>830</v>
      </c>
      <c r="G2455" s="108" t="s">
        <v>60</v>
      </c>
      <c r="H2455" s="108" t="str">
        <f t="shared" si="192"/>
        <v>Skagit River</v>
      </c>
      <c r="I2455" s="108" t="str">
        <f>IFERROR(VLOOKUP(H2455,LUTs!$A$1:$C$73,2,FALSE),"NA")</f>
        <v>Skagit/Whatcom</v>
      </c>
      <c r="J2455" s="108" t="str">
        <f>IFERROR(VLOOKUP(H2455,LUTs!$A$1:$C$73,3,FALSE),"NA")</f>
        <v>2Central Puget Sound</v>
      </c>
      <c r="K2455" s="108" t="s">
        <v>18</v>
      </c>
      <c r="L2455" s="108" t="str">
        <f>VLOOKUP(K2455,LUTs!E$2:G$14,3,)</f>
        <v>06King</v>
      </c>
      <c r="M2455" s="108" t="str">
        <f>VLOOKUP($K2455,LUTs!$E$2:$H$14,2,)</f>
        <v>South Puget Sound</v>
      </c>
      <c r="N2455" s="108" t="str">
        <f>VLOOKUP($K2455,LUTs!$E$2:$H$14,4,)</f>
        <v>02South Puget Sound</v>
      </c>
      <c r="O2455" s="108">
        <v>70</v>
      </c>
      <c r="P2455" s="108">
        <v>240.8</v>
      </c>
      <c r="Q2455" s="108">
        <f>SUMIFS('FW_Salmon_by_Month_2010-2021'!P$2:P$3810,'FW_Salmon_by_Month_2010-2021'!$B$2:$B$3810,'Rec_raw_catch_effort_2010-2021'!$B2455,'FW_Salmon_by_Month_2010-2021'!$H$2:$H$3810,'Rec_raw_catch_effort_2010-2021'!$F2455,'FW_Salmon_by_Month_2010-2021'!$M$2:$M$3810,'Rec_raw_catch_effort_2010-2021'!$K2455)</f>
        <v>70</v>
      </c>
      <c r="R2455" s="109">
        <f>VLOOKUP(B2455,Readme!$A$62:$C$74,2,)*Q2455</f>
        <v>247.73283078476908</v>
      </c>
      <c r="S2455" s="140" t="str">
        <f t="shared" si="193"/>
        <v>Y</v>
      </c>
      <c r="T2455" s="154">
        <f t="shared" si="194"/>
        <v>3.44</v>
      </c>
      <c r="U2455" s="154">
        <f t="shared" si="195"/>
        <v>3.5390404397824153</v>
      </c>
    </row>
    <row r="2456" spans="1:21" x14ac:dyDescent="0.35">
      <c r="A2456" s="108">
        <v>2617</v>
      </c>
      <c r="B2456" s="108">
        <v>2017</v>
      </c>
      <c r="C2456" s="108" t="s">
        <v>38</v>
      </c>
      <c r="D2456" s="108" t="s">
        <v>143</v>
      </c>
      <c r="E2456" s="108" t="s">
        <v>10</v>
      </c>
      <c r="F2456" s="116">
        <v>830</v>
      </c>
      <c r="G2456" s="108" t="s">
        <v>60</v>
      </c>
      <c r="H2456" s="108" t="str">
        <f t="shared" si="192"/>
        <v>Skagit River</v>
      </c>
      <c r="I2456" s="108" t="str">
        <f>IFERROR(VLOOKUP(H2456,LUTs!$A$1:$C$73,2,FALSE),"NA")</f>
        <v>Skagit/Whatcom</v>
      </c>
      <c r="J2456" s="108" t="str">
        <f>IFERROR(VLOOKUP(H2456,LUTs!$A$1:$C$73,3,FALSE),"NA")</f>
        <v>2Central Puget Sound</v>
      </c>
      <c r="K2456" s="108" t="s">
        <v>26</v>
      </c>
      <c r="L2456" s="108" t="str">
        <f>VLOOKUP(K2456,LUTs!E$2:G$14,3,)</f>
        <v>20Other</v>
      </c>
      <c r="M2456" s="108" t="str">
        <f>VLOOKUP($K2456,LUTs!$E$2:$H$14,2,)</f>
        <v>Non Puget Sound</v>
      </c>
      <c r="N2456" s="108" t="str">
        <f>VLOOKUP($K2456,LUTs!$E$2:$H$14,4,)</f>
        <v>07Non Puget Sound</v>
      </c>
      <c r="O2456" s="108">
        <v>30</v>
      </c>
      <c r="P2456" s="108">
        <v>103.2</v>
      </c>
      <c r="Q2456" s="108">
        <f>SUMIFS('FW_Salmon_by_Month_2010-2021'!P$2:P$3810,'FW_Salmon_by_Month_2010-2021'!$B$2:$B$3810,'Rec_raw_catch_effort_2010-2021'!$B2456,'FW_Salmon_by_Month_2010-2021'!$H$2:$H$3810,'Rec_raw_catch_effort_2010-2021'!$F2456,'FW_Salmon_by_Month_2010-2021'!$M$2:$M$3810,'Rec_raw_catch_effort_2010-2021'!$K2456)</f>
        <v>30</v>
      </c>
      <c r="R2456" s="109">
        <f>VLOOKUP(B2456,Readme!$A$62:$C$74,2,)*Q2456</f>
        <v>106.17121319347245</v>
      </c>
      <c r="S2456" s="140" t="str">
        <f t="shared" si="193"/>
        <v>Y</v>
      </c>
      <c r="T2456" s="154">
        <f t="shared" si="194"/>
        <v>3.44</v>
      </c>
      <c r="U2456" s="154">
        <f t="shared" si="195"/>
        <v>3.5390404397824153</v>
      </c>
    </row>
    <row r="2457" spans="1:21" x14ac:dyDescent="0.35">
      <c r="A2457" s="108">
        <v>2579</v>
      </c>
      <c r="B2457" s="108">
        <v>2017</v>
      </c>
      <c r="C2457" s="108" t="s">
        <v>38</v>
      </c>
      <c r="D2457" s="108" t="s">
        <v>143</v>
      </c>
      <c r="E2457" s="108" t="s">
        <v>10</v>
      </c>
      <c r="F2457" s="116">
        <v>830</v>
      </c>
      <c r="G2457" s="108" t="s">
        <v>60</v>
      </c>
      <c r="H2457" s="108" t="str">
        <f t="shared" si="192"/>
        <v>Skagit River</v>
      </c>
      <c r="I2457" s="108" t="str">
        <f>IFERROR(VLOOKUP(H2457,LUTs!$A$1:$C$73,2,FALSE),"NA")</f>
        <v>Skagit/Whatcom</v>
      </c>
      <c r="J2457" s="108" t="str">
        <f>IFERROR(VLOOKUP(H2457,LUTs!$A$1:$C$73,3,FALSE),"NA")</f>
        <v>2Central Puget Sound</v>
      </c>
      <c r="K2457" s="108" t="s">
        <v>15</v>
      </c>
      <c r="L2457" s="108" t="str">
        <f>VLOOKUP(K2457,LUTs!E$2:G$14,3,)</f>
        <v>02Skagit</v>
      </c>
      <c r="M2457" s="108" t="str">
        <f>VLOOKUP($K2457,LUTs!$E$2:$H$14,2,)</f>
        <v>North Puget Sound</v>
      </c>
      <c r="N2457" s="108" t="str">
        <f>VLOOKUP($K2457,LUTs!$E$2:$H$14,4,)</f>
        <v>01North Puget Sound</v>
      </c>
      <c r="O2457" s="108">
        <v>180</v>
      </c>
      <c r="P2457" s="108">
        <v>619.20000000000005</v>
      </c>
      <c r="Q2457" s="108">
        <f>SUMIFS('FW_Salmon_by_Month_2010-2021'!P$2:P$3810,'FW_Salmon_by_Month_2010-2021'!$B$2:$B$3810,'Rec_raw_catch_effort_2010-2021'!$B2457,'FW_Salmon_by_Month_2010-2021'!$H$2:$H$3810,'Rec_raw_catch_effort_2010-2021'!$F2457,'FW_Salmon_by_Month_2010-2021'!$M$2:$M$3810,'Rec_raw_catch_effort_2010-2021'!$K2457)</f>
        <v>180</v>
      </c>
      <c r="R2457" s="109">
        <f>VLOOKUP(B2457,Readme!$A$62:$C$74,2,)*Q2457</f>
        <v>637.02727916083472</v>
      </c>
      <c r="S2457" s="140" t="str">
        <f t="shared" si="193"/>
        <v>Y</v>
      </c>
      <c r="T2457" s="154">
        <f t="shared" si="194"/>
        <v>3.4400000000000004</v>
      </c>
      <c r="U2457" s="154">
        <f t="shared" si="195"/>
        <v>3.5390404397824153</v>
      </c>
    </row>
    <row r="2458" spans="1:21" x14ac:dyDescent="0.35">
      <c r="A2458" s="108">
        <v>2580</v>
      </c>
      <c r="B2458" s="108">
        <v>2017</v>
      </c>
      <c r="C2458" s="108" t="s">
        <v>38</v>
      </c>
      <c r="D2458" s="108" t="s">
        <v>143</v>
      </c>
      <c r="E2458" s="108" t="s">
        <v>10</v>
      </c>
      <c r="F2458" s="116">
        <v>830</v>
      </c>
      <c r="G2458" s="108" t="s">
        <v>60</v>
      </c>
      <c r="H2458" s="108" t="str">
        <f t="shared" si="192"/>
        <v>Skagit River</v>
      </c>
      <c r="I2458" s="108" t="str">
        <f>IFERROR(VLOOKUP(H2458,LUTs!$A$1:$C$73,2,FALSE),"NA")</f>
        <v>Skagit/Whatcom</v>
      </c>
      <c r="J2458" s="108" t="str">
        <f>IFERROR(VLOOKUP(H2458,LUTs!$A$1:$C$73,3,FALSE),"NA")</f>
        <v>2Central Puget Sound</v>
      </c>
      <c r="K2458" s="108" t="s">
        <v>16</v>
      </c>
      <c r="L2458" s="108" t="str">
        <f>VLOOKUP(K2458,LUTs!E$2:G$14,3,)</f>
        <v>03Snohomish</v>
      </c>
      <c r="M2458" s="108" t="str">
        <f>VLOOKUP($K2458,LUTs!$E$2:$H$14,2,)</f>
        <v>North Puget Sound</v>
      </c>
      <c r="N2458" s="108" t="str">
        <f>VLOOKUP($K2458,LUTs!$E$2:$H$14,4,)</f>
        <v>01North Puget Sound</v>
      </c>
      <c r="O2458" s="108">
        <v>130</v>
      </c>
      <c r="P2458" s="108">
        <v>447.2</v>
      </c>
      <c r="Q2458" s="108">
        <f>SUMIFS('FW_Salmon_by_Month_2010-2021'!P$2:P$3810,'FW_Salmon_by_Month_2010-2021'!$B$2:$B$3810,'Rec_raw_catch_effort_2010-2021'!$B2458,'FW_Salmon_by_Month_2010-2021'!$H$2:$H$3810,'Rec_raw_catch_effort_2010-2021'!$F2458,'FW_Salmon_by_Month_2010-2021'!$M$2:$M$3810,'Rec_raw_catch_effort_2010-2021'!$K2458)</f>
        <v>130</v>
      </c>
      <c r="R2458" s="109">
        <f>VLOOKUP(B2458,Readme!$A$62:$C$74,2,)*Q2458</f>
        <v>460.07525717171399</v>
      </c>
      <c r="S2458" s="140" t="str">
        <f t="shared" si="193"/>
        <v>Y</v>
      </c>
      <c r="T2458" s="154">
        <f t="shared" si="194"/>
        <v>3.44</v>
      </c>
      <c r="U2458" s="154">
        <f t="shared" si="195"/>
        <v>3.5390404397824153</v>
      </c>
    </row>
    <row r="2459" spans="1:21" x14ac:dyDescent="0.35">
      <c r="A2459" s="108">
        <v>2578</v>
      </c>
      <c r="B2459" s="108">
        <v>2017</v>
      </c>
      <c r="C2459" s="108" t="s">
        <v>38</v>
      </c>
      <c r="D2459" s="108" t="s">
        <v>143</v>
      </c>
      <c r="E2459" s="108" t="s">
        <v>10</v>
      </c>
      <c r="F2459" s="116">
        <v>830</v>
      </c>
      <c r="G2459" s="108" t="s">
        <v>60</v>
      </c>
      <c r="H2459" s="108" t="str">
        <f t="shared" si="192"/>
        <v>Skagit River</v>
      </c>
      <c r="I2459" s="108" t="str">
        <f>IFERROR(VLOOKUP(H2459,LUTs!$A$1:$C$73,2,FALSE),"NA")</f>
        <v>Skagit/Whatcom</v>
      </c>
      <c r="J2459" s="108" t="str">
        <f>IFERROR(VLOOKUP(H2459,LUTs!$A$1:$C$73,3,FALSE),"NA")</f>
        <v>2Central Puget Sound</v>
      </c>
      <c r="K2459" s="108" t="s">
        <v>13</v>
      </c>
      <c r="L2459" s="108" t="str">
        <f>VLOOKUP(K2459,LUTs!E$2:G$14,3,)</f>
        <v>01Whatcom</v>
      </c>
      <c r="M2459" s="108" t="str">
        <f>VLOOKUP($K2459,LUTs!$E$2:$H$14,2,)</f>
        <v>North Puget Sound</v>
      </c>
      <c r="N2459" s="108" t="str">
        <f>VLOOKUP($K2459,LUTs!$E$2:$H$14,4,)</f>
        <v>01North Puget Sound</v>
      </c>
      <c r="O2459" s="108">
        <v>170</v>
      </c>
      <c r="P2459" s="108">
        <v>584.79999999999995</v>
      </c>
      <c r="Q2459" s="108">
        <f>SUMIFS('FW_Salmon_by_Month_2010-2021'!P$2:P$3810,'FW_Salmon_by_Month_2010-2021'!$B$2:$B$3810,'Rec_raw_catch_effort_2010-2021'!$B2459,'FW_Salmon_by_Month_2010-2021'!$H$2:$H$3810,'Rec_raw_catch_effort_2010-2021'!$F2459,'FW_Salmon_by_Month_2010-2021'!$M$2:$M$3810,'Rec_raw_catch_effort_2010-2021'!$K2459)</f>
        <v>170</v>
      </c>
      <c r="R2459" s="109">
        <f>VLOOKUP(B2459,Readme!$A$62:$C$74,2,)*Q2459</f>
        <v>601.63687476301061</v>
      </c>
      <c r="S2459" s="140" t="str">
        <f t="shared" si="193"/>
        <v>Y</v>
      </c>
      <c r="T2459" s="154">
        <f t="shared" si="194"/>
        <v>3.44</v>
      </c>
      <c r="U2459" s="154">
        <f t="shared" si="195"/>
        <v>3.5390404397824153</v>
      </c>
    </row>
    <row r="2460" spans="1:21" x14ac:dyDescent="0.35">
      <c r="A2460" s="108">
        <v>2621</v>
      </c>
      <c r="B2460" s="108">
        <v>2018</v>
      </c>
      <c r="C2460" s="108" t="s">
        <v>38</v>
      </c>
      <c r="D2460" s="108" t="s">
        <v>143</v>
      </c>
      <c r="E2460" s="108" t="s">
        <v>10</v>
      </c>
      <c r="F2460" s="116">
        <v>830</v>
      </c>
      <c r="G2460" s="108" t="s">
        <v>60</v>
      </c>
      <c r="H2460" s="108" t="str">
        <f t="shared" si="192"/>
        <v>Skagit River</v>
      </c>
      <c r="I2460" s="108" t="str">
        <f>IFERROR(VLOOKUP(H2460,LUTs!$A$1:$C$73,2,FALSE),"NA")</f>
        <v>Skagit/Whatcom</v>
      </c>
      <c r="J2460" s="108" t="str">
        <f>IFERROR(VLOOKUP(H2460,LUTs!$A$1:$C$73,3,FALSE),"NA")</f>
        <v>2Central Puget Sound</v>
      </c>
      <c r="K2460" s="108" t="s">
        <v>17</v>
      </c>
      <c r="L2460" s="108" t="str">
        <f>VLOOKUP(K2460,LUTs!E$2:G$14,3,)</f>
        <v>04Island</v>
      </c>
      <c r="M2460" s="108" t="str">
        <f>VLOOKUP($K2460,LUTs!$E$2:$H$14,2,)</f>
        <v>North Puget Sound</v>
      </c>
      <c r="N2460" s="108" t="str">
        <f>VLOOKUP($K2460,LUTs!$E$2:$H$14,4,)</f>
        <v>01North Puget Sound</v>
      </c>
      <c r="O2460" s="108">
        <v>47.911184210526301</v>
      </c>
      <c r="P2460" s="108">
        <v>414.431743421053</v>
      </c>
      <c r="Q2460" s="108">
        <f>SUMIFS('FW_Salmon_by_Month_2010-2021'!P$2:P$3810,'FW_Salmon_by_Month_2010-2021'!$B$2:$B$3810,'Rec_raw_catch_effort_2010-2021'!$B2460,'FW_Salmon_by_Month_2010-2021'!$H$2:$H$3810,'Rec_raw_catch_effort_2010-2021'!$F2460,'FW_Salmon_by_Month_2010-2021'!$M$2:$M$3810,'Rec_raw_catch_effort_2010-2021'!$K2460)</f>
        <v>48.175635876840715</v>
      </c>
      <c r="R2460" s="109">
        <f>VLOOKUP(B2460,Readme!$A$62:$C$74,2,)*Q2460</f>
        <v>232.18512214899991</v>
      </c>
      <c r="S2460" s="140" t="str">
        <f t="shared" si="193"/>
        <v>Y</v>
      </c>
      <c r="T2460" s="154">
        <f t="shared" si="194"/>
        <v>8.650000000000011</v>
      </c>
      <c r="U2460" s="154">
        <f t="shared" si="195"/>
        <v>4.8195549041132084</v>
      </c>
    </row>
    <row r="2461" spans="1:21" x14ac:dyDescent="0.35">
      <c r="A2461" s="108">
        <v>2622</v>
      </c>
      <c r="B2461" s="108">
        <v>2018</v>
      </c>
      <c r="C2461" s="108" t="s">
        <v>38</v>
      </c>
      <c r="D2461" s="108" t="s">
        <v>143</v>
      </c>
      <c r="E2461" s="108" t="s">
        <v>10</v>
      </c>
      <c r="F2461" s="116">
        <v>830</v>
      </c>
      <c r="G2461" s="108" t="s">
        <v>60</v>
      </c>
      <c r="H2461" s="108" t="str">
        <f t="shared" si="192"/>
        <v>Skagit River</v>
      </c>
      <c r="I2461" s="108" t="str">
        <f>IFERROR(VLOOKUP(H2461,LUTs!$A$1:$C$73,2,FALSE),"NA")</f>
        <v>Skagit/Whatcom</v>
      </c>
      <c r="J2461" s="108" t="str">
        <f>IFERROR(VLOOKUP(H2461,LUTs!$A$1:$C$73,3,FALSE),"NA")</f>
        <v>2Central Puget Sound</v>
      </c>
      <c r="K2461" s="108" t="s">
        <v>18</v>
      </c>
      <c r="L2461" s="108" t="str">
        <f>VLOOKUP(K2461,LUTs!E$2:G$14,3,)</f>
        <v>06King</v>
      </c>
      <c r="M2461" s="108" t="str">
        <f>VLOOKUP($K2461,LUTs!$E$2:$H$14,2,)</f>
        <v>South Puget Sound</v>
      </c>
      <c r="N2461" s="108" t="str">
        <f>VLOOKUP($K2461,LUTs!$E$2:$H$14,4,)</f>
        <v>02South Puget Sound</v>
      </c>
      <c r="O2461" s="108">
        <v>105.404605263158</v>
      </c>
      <c r="P2461" s="108">
        <v>911.74983552631704</v>
      </c>
      <c r="Q2461" s="108">
        <f>SUMIFS('FW_Salmon_by_Month_2010-2021'!P$2:P$3810,'FW_Salmon_by_Month_2010-2021'!$B$2:$B$3810,'Rec_raw_catch_effort_2010-2021'!$B2461,'FW_Salmon_by_Month_2010-2021'!$H$2:$H$3810,'Rec_raw_catch_effort_2010-2021'!$F2461,'FW_Salmon_by_Month_2010-2021'!$M$2:$M$3810,'Rec_raw_catch_effort_2010-2021'!$K2461)</f>
        <v>106.55341365461848</v>
      </c>
      <c r="R2461" s="109">
        <f>VLOOKUP(B2461,Readme!$A$62:$C$74,2,)*Q2461</f>
        <v>513.54002732911977</v>
      </c>
      <c r="S2461" s="140" t="str">
        <f t="shared" si="193"/>
        <v>Y</v>
      </c>
      <c r="T2461" s="154">
        <f t="shared" si="194"/>
        <v>8.6500000000000021</v>
      </c>
      <c r="U2461" s="154">
        <f t="shared" si="195"/>
        <v>4.8195549041132084</v>
      </c>
    </row>
    <row r="2462" spans="1:21" x14ac:dyDescent="0.35">
      <c r="A2462" s="108">
        <v>2661</v>
      </c>
      <c r="B2462" s="108">
        <v>2018</v>
      </c>
      <c r="C2462" s="108" t="s">
        <v>38</v>
      </c>
      <c r="D2462" s="108" t="s">
        <v>143</v>
      </c>
      <c r="E2462" s="108" t="s">
        <v>10</v>
      </c>
      <c r="F2462" s="116">
        <v>830</v>
      </c>
      <c r="G2462" s="108" t="s">
        <v>60</v>
      </c>
      <c r="H2462" s="108" t="str">
        <f t="shared" si="192"/>
        <v>Skagit River</v>
      </c>
      <c r="I2462" s="108" t="str">
        <f>IFERROR(VLOOKUP(H2462,LUTs!$A$1:$C$73,2,FALSE),"NA")</f>
        <v>Skagit/Whatcom</v>
      </c>
      <c r="J2462" s="108" t="str">
        <f>IFERROR(VLOOKUP(H2462,LUTs!$A$1:$C$73,3,FALSE),"NA")</f>
        <v>2Central Puget Sound</v>
      </c>
      <c r="K2462" s="108" t="s">
        <v>22</v>
      </c>
      <c r="L2462" s="108" t="str">
        <f>VLOOKUP(K2462,LUTs!E$2:G$14,3,)</f>
        <v>09Mason</v>
      </c>
      <c r="M2462" s="108" t="str">
        <f>VLOOKUP($K2462,LUTs!$E$2:$H$14,2,)</f>
        <v>South Puget Sound</v>
      </c>
      <c r="N2462" s="108" t="str">
        <f>VLOOKUP($K2462,LUTs!$E$2:$H$14,4,)</f>
        <v>02South Puget Sound</v>
      </c>
      <c r="O2462" s="108">
        <v>47.911184210526301</v>
      </c>
      <c r="P2462" s="108">
        <v>414.431743421053</v>
      </c>
      <c r="Q2462" s="108">
        <f>SUMIFS('FW_Salmon_by_Month_2010-2021'!P$2:P$3810,'FW_Salmon_by_Month_2010-2021'!$B$2:$B$3810,'Rec_raw_catch_effort_2010-2021'!$B2462,'FW_Salmon_by_Month_2010-2021'!$H$2:$H$3810,'Rec_raw_catch_effort_2010-2021'!$F2462,'FW_Salmon_by_Month_2010-2021'!$M$2:$M$3810,'Rec_raw_catch_effort_2010-2021'!$K2462)</f>
        <v>48.4444444444445</v>
      </c>
      <c r="R2462" s="109">
        <f>VLOOKUP(B2462,Readme!$A$62:$C$74,2,)*Q2462</f>
        <v>233.48065979926236</v>
      </c>
      <c r="S2462" s="140" t="str">
        <f t="shared" si="193"/>
        <v>Y</v>
      </c>
      <c r="T2462" s="154">
        <f t="shared" si="194"/>
        <v>8.650000000000011</v>
      </c>
      <c r="U2462" s="154">
        <f t="shared" si="195"/>
        <v>4.8195549041132084</v>
      </c>
    </row>
    <row r="2463" spans="1:21" x14ac:dyDescent="0.35">
      <c r="A2463" s="108">
        <v>2662</v>
      </c>
      <c r="B2463" s="108">
        <v>2018</v>
      </c>
      <c r="C2463" s="108" t="s">
        <v>38</v>
      </c>
      <c r="D2463" s="108" t="s">
        <v>143</v>
      </c>
      <c r="E2463" s="108" t="s">
        <v>10</v>
      </c>
      <c r="F2463" s="116">
        <v>830</v>
      </c>
      <c r="G2463" s="108" t="s">
        <v>60</v>
      </c>
      <c r="H2463" s="108" t="str">
        <f t="shared" si="192"/>
        <v>Skagit River</v>
      </c>
      <c r="I2463" s="108" t="str">
        <f>IFERROR(VLOOKUP(H2463,LUTs!$A$1:$C$73,2,FALSE),"NA")</f>
        <v>Skagit/Whatcom</v>
      </c>
      <c r="J2463" s="108" t="str">
        <f>IFERROR(VLOOKUP(H2463,LUTs!$A$1:$C$73,3,FALSE),"NA")</f>
        <v>2Central Puget Sound</v>
      </c>
      <c r="K2463" s="108" t="s">
        <v>26</v>
      </c>
      <c r="L2463" s="108" t="str">
        <f>VLOOKUP(K2463,LUTs!E$2:G$14,3,)</f>
        <v>20Other</v>
      </c>
      <c r="M2463" s="108" t="str">
        <f>VLOOKUP($K2463,LUTs!$E$2:$H$14,2,)</f>
        <v>Non Puget Sound</v>
      </c>
      <c r="N2463" s="108" t="str">
        <f>VLOOKUP($K2463,LUTs!$E$2:$H$14,4,)</f>
        <v>07Non Puget Sound</v>
      </c>
      <c r="O2463" s="108">
        <v>67.075657894736906</v>
      </c>
      <c r="P2463" s="108">
        <v>580.20444078947401</v>
      </c>
      <c r="Q2463" s="108">
        <f>SUMIFS('FW_Salmon_by_Month_2010-2021'!P$2:P$3810,'FW_Salmon_by_Month_2010-2021'!$B$2:$B$3810,'Rec_raw_catch_effort_2010-2021'!$B2463,'FW_Salmon_by_Month_2010-2021'!$H$2:$H$3810,'Rec_raw_catch_effort_2010-2021'!$F2463,'FW_Salmon_by_Month_2010-2021'!$M$2:$M$3810,'Rec_raw_catch_effort_2010-2021'!$K2463)</f>
        <v>67.600401606425663</v>
      </c>
      <c r="R2463" s="109">
        <f>VLOOKUP(B2463,Readme!$A$62:$C$74,2,)*Q2463</f>
        <v>325.8038470822712</v>
      </c>
      <c r="S2463" s="140" t="str">
        <f t="shared" si="193"/>
        <v>Y</v>
      </c>
      <c r="T2463" s="154">
        <f t="shared" si="194"/>
        <v>8.6499999999999968</v>
      </c>
      <c r="U2463" s="154">
        <f t="shared" si="195"/>
        <v>4.8195549041132084</v>
      </c>
    </row>
    <row r="2464" spans="1:21" x14ac:dyDescent="0.35">
      <c r="A2464" s="108">
        <v>2623</v>
      </c>
      <c r="B2464" s="108">
        <v>2018</v>
      </c>
      <c r="C2464" s="108" t="s">
        <v>38</v>
      </c>
      <c r="D2464" s="108" t="s">
        <v>143</v>
      </c>
      <c r="E2464" s="108" t="s">
        <v>10</v>
      </c>
      <c r="F2464" s="116">
        <v>830</v>
      </c>
      <c r="G2464" s="108" t="s">
        <v>60</v>
      </c>
      <c r="H2464" s="108" t="str">
        <f t="shared" si="192"/>
        <v>Skagit River</v>
      </c>
      <c r="I2464" s="108" t="str">
        <f>IFERROR(VLOOKUP(H2464,LUTs!$A$1:$C$73,2,FALSE),"NA")</f>
        <v>Skagit/Whatcom</v>
      </c>
      <c r="J2464" s="108" t="str">
        <f>IFERROR(VLOOKUP(H2464,LUTs!$A$1:$C$73,3,FALSE),"NA")</f>
        <v>2Central Puget Sound</v>
      </c>
      <c r="K2464" s="108" t="s">
        <v>20</v>
      </c>
      <c r="L2464" s="108" t="str">
        <f>VLOOKUP(K2464,LUTs!E$2:G$14,3,)</f>
        <v>07Pierce</v>
      </c>
      <c r="M2464" s="108" t="str">
        <f>VLOOKUP($K2464,LUTs!$E$2:$H$14,2,)</f>
        <v>South Puget Sound</v>
      </c>
      <c r="N2464" s="108" t="str">
        <f>VLOOKUP($K2464,LUTs!$E$2:$H$14,4,)</f>
        <v>02South Puget Sound</v>
      </c>
      <c r="O2464" s="108">
        <v>28.746710526315798</v>
      </c>
      <c r="P2464" s="108">
        <v>248.65904605263199</v>
      </c>
      <c r="Q2464" s="108">
        <f>SUMIFS('FW_Salmon_by_Month_2010-2021'!P$2:P$3810,'FW_Salmon_by_Month_2010-2021'!$B$2:$B$3810,'Rec_raw_catch_effort_2010-2021'!$B2464,'FW_Salmon_by_Month_2010-2021'!$H$2:$H$3810,'Rec_raw_catch_effort_2010-2021'!$F2464,'FW_Salmon_by_Month_2010-2021'!$M$2:$M$3810,'Rec_raw_catch_effort_2010-2021'!$K2464)</f>
        <v>29.044444444444473</v>
      </c>
      <c r="R2464" s="109">
        <f>VLOOKUP(B2464,Readme!$A$62:$C$74,2,)*Q2464</f>
        <v>139.98129465946599</v>
      </c>
      <c r="S2464" s="140" t="str">
        <f t="shared" si="193"/>
        <v>Y</v>
      </c>
      <c r="T2464" s="154">
        <f t="shared" si="194"/>
        <v>8.650000000000011</v>
      </c>
      <c r="U2464" s="154">
        <f t="shared" si="195"/>
        <v>4.8195549041132084</v>
      </c>
    </row>
    <row r="2465" spans="1:21" x14ac:dyDescent="0.35">
      <c r="A2465" s="108">
        <v>2619</v>
      </c>
      <c r="B2465" s="108">
        <v>2018</v>
      </c>
      <c r="C2465" s="108" t="s">
        <v>38</v>
      </c>
      <c r="D2465" s="108" t="s">
        <v>143</v>
      </c>
      <c r="E2465" s="108" t="s">
        <v>10</v>
      </c>
      <c r="F2465" s="116">
        <v>830</v>
      </c>
      <c r="G2465" s="108" t="s">
        <v>60</v>
      </c>
      <c r="H2465" s="108" t="str">
        <f t="shared" si="192"/>
        <v>Skagit River</v>
      </c>
      <c r="I2465" s="108" t="str">
        <f>IFERROR(VLOOKUP(H2465,LUTs!$A$1:$C$73,2,FALSE),"NA")</f>
        <v>Skagit/Whatcom</v>
      </c>
      <c r="J2465" s="108" t="str">
        <f>IFERROR(VLOOKUP(H2465,LUTs!$A$1:$C$73,3,FALSE),"NA")</f>
        <v>2Central Puget Sound</v>
      </c>
      <c r="K2465" s="108" t="s">
        <v>15</v>
      </c>
      <c r="L2465" s="108" t="str">
        <f>VLOOKUP(K2465,LUTs!E$2:G$14,3,)</f>
        <v>02Skagit</v>
      </c>
      <c r="M2465" s="108" t="str">
        <f>VLOOKUP($K2465,LUTs!$E$2:$H$14,2,)</f>
        <v>North Puget Sound</v>
      </c>
      <c r="N2465" s="108" t="str">
        <f>VLOOKUP($K2465,LUTs!$E$2:$H$14,4,)</f>
        <v>01North Puget Sound</v>
      </c>
      <c r="O2465" s="108">
        <v>1858.9539473684199</v>
      </c>
      <c r="P2465" s="108">
        <v>16079.951644736801</v>
      </c>
      <c r="Q2465" s="108">
        <f>SUMIFS('FW_Salmon_by_Month_2010-2021'!P$2:P$3810,'FW_Salmon_by_Month_2010-2021'!$B$2:$B$3810,'Rec_raw_catch_effort_2010-2021'!$B2465,'FW_Salmon_by_Month_2010-2021'!$H$2:$H$3810,'Rec_raw_catch_effort_2010-2021'!$F2465,'FW_Salmon_by_Month_2010-2021'!$M$2:$M$3810,'Rec_raw_catch_effort_2010-2021'!$K2465)</f>
        <v>1868.2963855421704</v>
      </c>
      <c r="R2465" s="109">
        <f>VLOOKUP(B2465,Readme!$A$62:$C$74,2,)*Q2465</f>
        <v>9004.3570072767488</v>
      </c>
      <c r="S2465" s="140" t="str">
        <f t="shared" si="193"/>
        <v>Y</v>
      </c>
      <c r="T2465" s="154">
        <f t="shared" si="194"/>
        <v>8.6499999999999826</v>
      </c>
      <c r="U2465" s="154">
        <f t="shared" si="195"/>
        <v>4.8195549041132084</v>
      </c>
    </row>
    <row r="2466" spans="1:21" x14ac:dyDescent="0.35">
      <c r="A2466" s="108">
        <v>2620</v>
      </c>
      <c r="B2466" s="108">
        <v>2018</v>
      </c>
      <c r="C2466" s="108" t="s">
        <v>38</v>
      </c>
      <c r="D2466" s="108" t="s">
        <v>143</v>
      </c>
      <c r="E2466" s="108" t="s">
        <v>10</v>
      </c>
      <c r="F2466" s="116">
        <v>830</v>
      </c>
      <c r="G2466" s="108" t="s">
        <v>60</v>
      </c>
      <c r="H2466" s="108" t="str">
        <f t="shared" si="192"/>
        <v>Skagit River</v>
      </c>
      <c r="I2466" s="108" t="str">
        <f>IFERROR(VLOOKUP(H2466,LUTs!$A$1:$C$73,2,FALSE),"NA")</f>
        <v>Skagit/Whatcom</v>
      </c>
      <c r="J2466" s="108" t="str">
        <f>IFERROR(VLOOKUP(H2466,LUTs!$A$1:$C$73,3,FALSE),"NA")</f>
        <v>2Central Puget Sound</v>
      </c>
      <c r="K2466" s="108" t="s">
        <v>16</v>
      </c>
      <c r="L2466" s="108" t="str">
        <f>VLOOKUP(K2466,LUTs!E$2:G$14,3,)</f>
        <v>03Snohomish</v>
      </c>
      <c r="M2466" s="108" t="str">
        <f>VLOOKUP($K2466,LUTs!$E$2:$H$14,2,)</f>
        <v>North Puget Sound</v>
      </c>
      <c r="N2466" s="108" t="str">
        <f>VLOOKUP($K2466,LUTs!$E$2:$H$14,4,)</f>
        <v>01North Puget Sound</v>
      </c>
      <c r="O2466" s="108">
        <v>354.54276315789502</v>
      </c>
      <c r="P2466" s="108">
        <v>3066.79490131579</v>
      </c>
      <c r="Q2466" s="108">
        <f>SUMIFS('FW_Salmon_by_Month_2010-2021'!P$2:P$3810,'FW_Salmon_by_Month_2010-2021'!$B$2:$B$3810,'Rec_raw_catch_effort_2010-2021'!$B2466,'FW_Salmon_by_Month_2010-2021'!$H$2:$H$3810,'Rec_raw_catch_effort_2010-2021'!$F2466,'FW_Salmon_by_Month_2010-2021'!$M$2:$M$3810,'Rec_raw_catch_effort_2010-2021'!$K2466)</f>
        <v>338.23453815261036</v>
      </c>
      <c r="R2466" s="109">
        <f>VLOOKUP(B2466,Readme!$A$62:$C$74,2,)*Q2466</f>
        <v>1630.1399270938794</v>
      </c>
      <c r="S2466" s="140" t="str">
        <f t="shared" si="193"/>
        <v>Y</v>
      </c>
      <c r="T2466" s="154">
        <f t="shared" si="194"/>
        <v>8.649999999999995</v>
      </c>
      <c r="U2466" s="154">
        <f t="shared" si="195"/>
        <v>4.8195549041132084</v>
      </c>
    </row>
    <row r="2467" spans="1:21" x14ac:dyDescent="0.35">
      <c r="A2467" s="108">
        <v>2618</v>
      </c>
      <c r="B2467" s="108">
        <v>2018</v>
      </c>
      <c r="C2467" s="108" t="s">
        <v>38</v>
      </c>
      <c r="D2467" s="108" t="s">
        <v>143</v>
      </c>
      <c r="E2467" s="108" t="s">
        <v>10</v>
      </c>
      <c r="F2467" s="116">
        <v>830</v>
      </c>
      <c r="G2467" s="108" t="s">
        <v>60</v>
      </c>
      <c r="H2467" s="108" t="str">
        <f t="shared" si="192"/>
        <v>Skagit River</v>
      </c>
      <c r="I2467" s="108" t="str">
        <f>IFERROR(VLOOKUP(H2467,LUTs!$A$1:$C$73,2,FALSE),"NA")</f>
        <v>Skagit/Whatcom</v>
      </c>
      <c r="J2467" s="108" t="str">
        <f>IFERROR(VLOOKUP(H2467,LUTs!$A$1:$C$73,3,FALSE),"NA")</f>
        <v>2Central Puget Sound</v>
      </c>
      <c r="K2467" s="108" t="s">
        <v>13</v>
      </c>
      <c r="L2467" s="108" t="str">
        <f>VLOOKUP(K2467,LUTs!E$2:G$14,3,)</f>
        <v>01Whatcom</v>
      </c>
      <c r="M2467" s="108" t="str">
        <f>VLOOKUP($K2467,LUTs!$E$2:$H$14,2,)</f>
        <v>North Puget Sound</v>
      </c>
      <c r="N2467" s="108" t="str">
        <f>VLOOKUP($K2467,LUTs!$E$2:$H$14,4,)</f>
        <v>01North Puget Sound</v>
      </c>
      <c r="O2467" s="108">
        <v>402.45394736842098</v>
      </c>
      <c r="P2467" s="108">
        <v>3481.2266447368402</v>
      </c>
      <c r="Q2467" s="108">
        <f>SUMIFS('FW_Salmon_by_Month_2010-2021'!P$2:P$3810,'FW_Salmon_by_Month_2010-2021'!$B$2:$B$3810,'Rec_raw_catch_effort_2010-2021'!$B2467,'FW_Salmon_by_Month_2010-2021'!$H$2:$H$3810,'Rec_raw_catch_effort_2010-2021'!$F2467,'FW_Salmon_by_Month_2010-2021'!$M$2:$M$3810,'Rec_raw_catch_effort_2010-2021'!$K2467)</f>
        <v>406.65073627844737</v>
      </c>
      <c r="R2467" s="109">
        <f>VLOOKUP(B2467,Readme!$A$62:$C$74,2,)*Q2467</f>
        <v>1959.875550292038</v>
      </c>
      <c r="S2467" s="140" t="str">
        <f t="shared" si="193"/>
        <v>Y</v>
      </c>
      <c r="T2467" s="154">
        <f t="shared" si="194"/>
        <v>8.6499999999999968</v>
      </c>
      <c r="U2467" s="154">
        <f t="shared" si="195"/>
        <v>4.8195549041132084</v>
      </c>
    </row>
    <row r="2468" spans="1:21" x14ac:dyDescent="0.35">
      <c r="A2468" s="108">
        <v>2712</v>
      </c>
      <c r="B2468" s="108">
        <v>2019</v>
      </c>
      <c r="C2468" s="108" t="s">
        <v>38</v>
      </c>
      <c r="D2468" s="108" t="s">
        <v>143</v>
      </c>
      <c r="E2468" s="108" t="s">
        <v>10</v>
      </c>
      <c r="F2468" s="116">
        <v>830</v>
      </c>
      <c r="G2468" s="108" t="s">
        <v>60</v>
      </c>
      <c r="H2468" s="108" t="str">
        <f t="shared" si="192"/>
        <v>Skagit River</v>
      </c>
      <c r="I2468" s="108" t="str">
        <f>IFERROR(VLOOKUP(H2468,LUTs!$A$1:$C$73,2,FALSE),"NA")</f>
        <v>Skagit/Whatcom</v>
      </c>
      <c r="J2468" s="108" t="str">
        <f>IFERROR(VLOOKUP(H2468,LUTs!$A$1:$C$73,3,FALSE),"NA")</f>
        <v>2Central Puget Sound</v>
      </c>
      <c r="K2468" s="108" t="s">
        <v>17</v>
      </c>
      <c r="L2468" s="108" t="str">
        <f>VLOOKUP(K2468,LUTs!E$2:G$14,3,)</f>
        <v>04Island</v>
      </c>
      <c r="M2468" s="108" t="str">
        <f>VLOOKUP($K2468,LUTs!$E$2:$H$14,2,)</f>
        <v>North Puget Sound</v>
      </c>
      <c r="N2468" s="108" t="str">
        <f>VLOOKUP($K2468,LUTs!$E$2:$H$14,4,)</f>
        <v>01North Puget Sound</v>
      </c>
      <c r="O2468" s="108">
        <v>156.99056603773599</v>
      </c>
      <c r="P2468" s="108">
        <v>540.04754716981199</v>
      </c>
      <c r="Q2468" s="108">
        <f>SUMIFS('FW_Salmon_by_Month_2010-2021'!P$2:P$3810,'FW_Salmon_by_Month_2010-2021'!$B$2:$B$3810,'Rec_raw_catch_effort_2010-2021'!$B2468,'FW_Salmon_by_Month_2010-2021'!$H$2:$H$3810,'Rec_raw_catch_effort_2010-2021'!$F2468,'FW_Salmon_by_Month_2010-2021'!$M$2:$M$3810,'Rec_raw_catch_effort_2010-2021'!$K2468)</f>
        <v>156.99572322825838</v>
      </c>
      <c r="R2468" s="109">
        <f>VLOOKUP(B2468,Readme!$A$62:$C$74,2,)*Q2468</f>
        <v>555.61421337769389</v>
      </c>
      <c r="S2468" s="140" t="str">
        <f t="shared" si="193"/>
        <v>Y</v>
      </c>
      <c r="T2468" s="154">
        <f t="shared" si="194"/>
        <v>3.4400000000000013</v>
      </c>
      <c r="U2468" s="154">
        <f t="shared" si="195"/>
        <v>3.5390404397824153</v>
      </c>
    </row>
    <row r="2469" spans="1:21" x14ac:dyDescent="0.35">
      <c r="A2469" s="108">
        <v>2739</v>
      </c>
      <c r="B2469" s="108">
        <v>2019</v>
      </c>
      <c r="C2469" s="108" t="s">
        <v>38</v>
      </c>
      <c r="D2469" s="108" t="s">
        <v>143</v>
      </c>
      <c r="E2469" s="108" t="s">
        <v>10</v>
      </c>
      <c r="F2469" s="116">
        <v>830</v>
      </c>
      <c r="G2469" s="108" t="s">
        <v>60</v>
      </c>
      <c r="H2469" s="108" t="str">
        <f t="shared" si="192"/>
        <v>Skagit River</v>
      </c>
      <c r="I2469" s="108" t="str">
        <f>IFERROR(VLOOKUP(H2469,LUTs!$A$1:$C$73,2,FALSE),"NA")</f>
        <v>Skagit/Whatcom</v>
      </c>
      <c r="J2469" s="108" t="str">
        <f>IFERROR(VLOOKUP(H2469,LUTs!$A$1:$C$73,3,FALSE),"NA")</f>
        <v>2Central Puget Sound</v>
      </c>
      <c r="K2469" s="108" t="s">
        <v>18</v>
      </c>
      <c r="L2469" s="108" t="str">
        <f>VLOOKUP(K2469,LUTs!E$2:G$14,3,)</f>
        <v>06King</v>
      </c>
      <c r="M2469" s="108" t="str">
        <f>VLOOKUP($K2469,LUTs!$E$2:$H$14,2,)</f>
        <v>South Puget Sound</v>
      </c>
      <c r="N2469" s="108" t="str">
        <f>VLOOKUP($K2469,LUTs!$E$2:$H$14,4,)</f>
        <v>02South Puget Sound</v>
      </c>
      <c r="O2469" s="108">
        <v>397.70943396226397</v>
      </c>
      <c r="P2469" s="108">
        <v>1368.1204528301901</v>
      </c>
      <c r="Q2469" s="108">
        <f>SUMIFS('FW_Salmon_by_Month_2010-2021'!P$2:P$3810,'FW_Salmon_by_Month_2010-2021'!$B$2:$B$3810,'Rec_raw_catch_effort_2010-2021'!$B2469,'FW_Salmon_by_Month_2010-2021'!$H$2:$H$3810,'Rec_raw_catch_effort_2010-2021'!$F2469,'FW_Salmon_by_Month_2010-2021'!$M$2:$M$3810,'Rec_raw_catch_effort_2010-2021'!$K2469)</f>
        <v>397.9118801699089</v>
      </c>
      <c r="R2469" s="109">
        <f>VLOOKUP(B2469,Readme!$A$62:$C$74,2,)*Q2469</f>
        <v>1408.2262353911622</v>
      </c>
      <c r="S2469" s="140" t="str">
        <f t="shared" si="193"/>
        <v>Y</v>
      </c>
      <c r="T2469" s="154">
        <f t="shared" si="194"/>
        <v>3.4400000000000048</v>
      </c>
      <c r="U2469" s="154">
        <f t="shared" si="195"/>
        <v>3.5390404397824153</v>
      </c>
    </row>
    <row r="2470" spans="1:21" x14ac:dyDescent="0.35">
      <c r="A2470" s="108">
        <v>2742</v>
      </c>
      <c r="B2470" s="108">
        <v>2019</v>
      </c>
      <c r="C2470" s="108" t="s">
        <v>38</v>
      </c>
      <c r="D2470" s="108" t="s">
        <v>143</v>
      </c>
      <c r="E2470" s="108" t="s">
        <v>10</v>
      </c>
      <c r="F2470" s="116">
        <v>830</v>
      </c>
      <c r="G2470" s="108" t="s">
        <v>60</v>
      </c>
      <c r="H2470" s="108" t="str">
        <f t="shared" si="192"/>
        <v>Skagit River</v>
      </c>
      <c r="I2470" s="108" t="str">
        <f>IFERROR(VLOOKUP(H2470,LUTs!$A$1:$C$73,2,FALSE),"NA")</f>
        <v>Skagit/Whatcom</v>
      </c>
      <c r="J2470" s="108" t="str">
        <f>IFERROR(VLOOKUP(H2470,LUTs!$A$1:$C$73,3,FALSE),"NA")</f>
        <v>2Central Puget Sound</v>
      </c>
      <c r="K2470" s="108" t="s">
        <v>26</v>
      </c>
      <c r="L2470" s="108" t="str">
        <f>VLOOKUP(K2470,LUTs!E$2:G$14,3,)</f>
        <v>20Other</v>
      </c>
      <c r="M2470" s="108" t="str">
        <f>VLOOKUP($K2470,LUTs!$E$2:$H$14,2,)</f>
        <v>Non Puget Sound</v>
      </c>
      <c r="N2470" s="108" t="str">
        <f>VLOOKUP($K2470,LUTs!$E$2:$H$14,4,)</f>
        <v>07Non Puget Sound</v>
      </c>
      <c r="O2470" s="108">
        <v>52.330188679245303</v>
      </c>
      <c r="P2470" s="108">
        <v>180.015849056604</v>
      </c>
      <c r="Q2470" s="108">
        <f>SUMIFS('FW_Salmon_by_Month_2010-2021'!P$2:P$3810,'FW_Salmon_by_Month_2010-2021'!$B$2:$B$3810,'Rec_raw_catch_effort_2010-2021'!$B2470,'FW_Salmon_by_Month_2010-2021'!$H$2:$H$3810,'Rec_raw_catch_effort_2010-2021'!$F2470,'FW_Salmon_by_Month_2010-2021'!$M$2:$M$3810,'Rec_raw_catch_effort_2010-2021'!$K2470)</f>
        <v>52.333389224234402</v>
      </c>
      <c r="R2470" s="109">
        <f>VLOOKUP(B2470,Readme!$A$62:$C$74,2,)*Q2470</f>
        <v>185.20998081543883</v>
      </c>
      <c r="S2470" s="140" t="str">
        <f t="shared" si="193"/>
        <v>Y</v>
      </c>
      <c r="T2470" s="154">
        <f t="shared" si="194"/>
        <v>3.4400000000000031</v>
      </c>
      <c r="U2470" s="154">
        <f t="shared" si="195"/>
        <v>3.5390404397824153</v>
      </c>
    </row>
    <row r="2471" spans="1:21" x14ac:dyDescent="0.35">
      <c r="A2471" s="108">
        <v>2740</v>
      </c>
      <c r="B2471" s="108">
        <v>2019</v>
      </c>
      <c r="C2471" s="108" t="s">
        <v>38</v>
      </c>
      <c r="D2471" s="108" t="s">
        <v>143</v>
      </c>
      <c r="E2471" s="108" t="s">
        <v>10</v>
      </c>
      <c r="F2471" s="116">
        <v>830</v>
      </c>
      <c r="G2471" s="108" t="s">
        <v>60</v>
      </c>
      <c r="H2471" s="108" t="str">
        <f t="shared" si="192"/>
        <v>Skagit River</v>
      </c>
      <c r="I2471" s="108" t="str">
        <f>IFERROR(VLOOKUP(H2471,LUTs!$A$1:$C$73,2,FALSE),"NA")</f>
        <v>Skagit/Whatcom</v>
      </c>
      <c r="J2471" s="108" t="str">
        <f>IFERROR(VLOOKUP(H2471,LUTs!$A$1:$C$73,3,FALSE),"NA")</f>
        <v>2Central Puget Sound</v>
      </c>
      <c r="K2471" s="108" t="s">
        <v>20</v>
      </c>
      <c r="L2471" s="108" t="str">
        <f>VLOOKUP(K2471,LUTs!E$2:G$14,3,)</f>
        <v>07Pierce</v>
      </c>
      <c r="M2471" s="108" t="str">
        <f>VLOOKUP($K2471,LUTs!$E$2:$H$14,2,)</f>
        <v>South Puget Sound</v>
      </c>
      <c r="N2471" s="108" t="str">
        <f>VLOOKUP($K2471,LUTs!$E$2:$H$14,4,)</f>
        <v>02South Puget Sound</v>
      </c>
      <c r="O2471" s="108">
        <v>31.398113207547201</v>
      </c>
      <c r="P2471" s="108">
        <v>108.00950943396199</v>
      </c>
      <c r="Q2471" s="108">
        <f>SUMIFS('FW_Salmon_by_Month_2010-2021'!P$2:P$3810,'FW_Salmon_by_Month_2010-2021'!$B$2:$B$3810,'Rec_raw_catch_effort_2010-2021'!$B2471,'FW_Salmon_by_Month_2010-2021'!$H$2:$H$3810,'Rec_raw_catch_effort_2010-2021'!$F2471,'FW_Salmon_by_Month_2010-2021'!$M$2:$M$3810,'Rec_raw_catch_effort_2010-2021'!$K2471)</f>
        <v>31.577464788732399</v>
      </c>
      <c r="R2471" s="109">
        <f>VLOOKUP(B2471,Readme!$A$62:$C$74,2,)*Q2471</f>
        <v>111.75392487312925</v>
      </c>
      <c r="S2471" s="140" t="str">
        <f t="shared" si="193"/>
        <v>Y</v>
      </c>
      <c r="T2471" s="154">
        <f t="shared" si="194"/>
        <v>3.439999999999988</v>
      </c>
      <c r="U2471" s="154">
        <f t="shared" si="195"/>
        <v>3.5390404397824153</v>
      </c>
    </row>
    <row r="2472" spans="1:21" x14ac:dyDescent="0.35">
      <c r="A2472" s="108">
        <v>2664</v>
      </c>
      <c r="B2472" s="108">
        <v>2019</v>
      </c>
      <c r="C2472" s="108" t="s">
        <v>38</v>
      </c>
      <c r="D2472" s="108" t="s">
        <v>143</v>
      </c>
      <c r="E2472" s="108" t="s">
        <v>10</v>
      </c>
      <c r="F2472" s="116">
        <v>830</v>
      </c>
      <c r="G2472" s="108" t="s">
        <v>60</v>
      </c>
      <c r="H2472" s="108" t="str">
        <f t="shared" si="192"/>
        <v>Skagit River</v>
      </c>
      <c r="I2472" s="108" t="str">
        <f>IFERROR(VLOOKUP(H2472,LUTs!$A$1:$C$73,2,FALSE),"NA")</f>
        <v>Skagit/Whatcom</v>
      </c>
      <c r="J2472" s="108" t="str">
        <f>IFERROR(VLOOKUP(H2472,LUTs!$A$1:$C$73,3,FALSE),"NA")</f>
        <v>2Central Puget Sound</v>
      </c>
      <c r="K2472" s="108" t="s">
        <v>15</v>
      </c>
      <c r="L2472" s="108" t="str">
        <f>VLOOKUP(K2472,LUTs!E$2:G$14,3,)</f>
        <v>02Skagit</v>
      </c>
      <c r="M2472" s="108" t="str">
        <f>VLOOKUP($K2472,LUTs!$E$2:$H$14,2,)</f>
        <v>North Puget Sound</v>
      </c>
      <c r="N2472" s="108" t="str">
        <f>VLOOKUP($K2472,LUTs!$E$2:$H$14,4,)</f>
        <v>01North Puget Sound</v>
      </c>
      <c r="O2472" s="108">
        <v>3767.7735849056598</v>
      </c>
      <c r="P2472" s="108">
        <v>12961.1411320755</v>
      </c>
      <c r="Q2472" s="108">
        <f>SUMIFS('FW_Salmon_by_Month_2010-2021'!P$2:P$3810,'FW_Salmon_by_Month_2010-2021'!$B$2:$B$3810,'Rec_raw_catch_effort_2010-2021'!$B2472,'FW_Salmon_by_Month_2010-2021'!$H$2:$H$3810,'Rec_raw_catch_effort_2010-2021'!$F2472,'FW_Salmon_by_Month_2010-2021'!$M$2:$M$3810,'Rec_raw_catch_effort_2010-2021'!$K2472)</f>
        <v>3766.4507757657129</v>
      </c>
      <c r="R2472" s="109">
        <f>VLOOKUP(B2472,Readme!$A$62:$C$74,2,)*Q2472</f>
        <v>13329.621609884709</v>
      </c>
      <c r="S2472" s="140" t="str">
        <f t="shared" si="193"/>
        <v>Y</v>
      </c>
      <c r="T2472" s="154">
        <f t="shared" si="194"/>
        <v>3.4400000000000079</v>
      </c>
      <c r="U2472" s="154">
        <f t="shared" si="195"/>
        <v>3.5390404397824158</v>
      </c>
    </row>
    <row r="2473" spans="1:21" x14ac:dyDescent="0.35">
      <c r="A2473" s="108">
        <v>2667</v>
      </c>
      <c r="B2473" s="108">
        <v>2019</v>
      </c>
      <c r="C2473" s="108" t="s">
        <v>38</v>
      </c>
      <c r="D2473" s="108" t="s">
        <v>143</v>
      </c>
      <c r="E2473" s="108" t="s">
        <v>10</v>
      </c>
      <c r="F2473" s="116">
        <v>830</v>
      </c>
      <c r="G2473" s="108" t="s">
        <v>60</v>
      </c>
      <c r="H2473" s="108" t="str">
        <f t="shared" si="192"/>
        <v>Skagit River</v>
      </c>
      <c r="I2473" s="108" t="str">
        <f>IFERROR(VLOOKUP(H2473,LUTs!$A$1:$C$73,2,FALSE),"NA")</f>
        <v>Skagit/Whatcom</v>
      </c>
      <c r="J2473" s="108" t="str">
        <f>IFERROR(VLOOKUP(H2473,LUTs!$A$1:$C$73,3,FALSE),"NA")</f>
        <v>2Central Puget Sound</v>
      </c>
      <c r="K2473" s="108" t="s">
        <v>16</v>
      </c>
      <c r="L2473" s="108" t="str">
        <f>VLOOKUP(K2473,LUTs!E$2:G$14,3,)</f>
        <v>03Snohomish</v>
      </c>
      <c r="M2473" s="108" t="str">
        <f>VLOOKUP($K2473,LUTs!$E$2:$H$14,2,)</f>
        <v>North Puget Sound</v>
      </c>
      <c r="N2473" s="108" t="str">
        <f>VLOOKUP($K2473,LUTs!$E$2:$H$14,4,)</f>
        <v>01North Puget Sound</v>
      </c>
      <c r="O2473" s="108">
        <v>575.63207547169804</v>
      </c>
      <c r="P2473" s="108">
        <v>1980.17433962264</v>
      </c>
      <c r="Q2473" s="108">
        <f>SUMIFS('FW_Salmon_by_Month_2010-2021'!P$2:P$3810,'FW_Salmon_by_Month_2010-2021'!$B$2:$B$3810,'Rec_raw_catch_effort_2010-2021'!$B2473,'FW_Salmon_by_Month_2010-2021'!$H$2:$H$3810,'Rec_raw_catch_effort_2010-2021'!$F2473,'FW_Salmon_by_Month_2010-2021'!$M$2:$M$3810,'Rec_raw_catch_effort_2010-2021'!$K2473)</f>
        <v>575.57352336239637</v>
      </c>
      <c r="R2473" s="109">
        <f>VLOOKUP(B2473,Readme!$A$62:$C$74,2,)*Q2473</f>
        <v>2036.9779752475695</v>
      </c>
      <c r="S2473" s="140" t="str">
        <f t="shared" si="193"/>
        <v>Y</v>
      </c>
      <c r="T2473" s="154">
        <f t="shared" si="194"/>
        <v>3.4399999999999977</v>
      </c>
      <c r="U2473" s="154">
        <f t="shared" si="195"/>
        <v>3.5390404397824153</v>
      </c>
    </row>
    <row r="2474" spans="1:21" x14ac:dyDescent="0.35">
      <c r="A2474" s="108">
        <v>2741</v>
      </c>
      <c r="B2474" s="108">
        <v>2019</v>
      </c>
      <c r="C2474" s="108" t="s">
        <v>38</v>
      </c>
      <c r="D2474" s="108" t="s">
        <v>143</v>
      </c>
      <c r="E2474" s="108" t="s">
        <v>10</v>
      </c>
      <c r="F2474" s="116">
        <v>830</v>
      </c>
      <c r="G2474" s="108" t="s">
        <v>60</v>
      </c>
      <c r="H2474" s="108" t="str">
        <f t="shared" ref="H2474:H2537" si="196">G2474</f>
        <v>Skagit River</v>
      </c>
      <c r="I2474" s="108" t="str">
        <f>IFERROR(VLOOKUP(H2474,LUTs!$A$1:$C$73,2,FALSE),"NA")</f>
        <v>Skagit/Whatcom</v>
      </c>
      <c r="J2474" s="108" t="str">
        <f>IFERROR(VLOOKUP(H2474,LUTs!$A$1:$C$73,3,FALSE),"NA")</f>
        <v>2Central Puget Sound</v>
      </c>
      <c r="K2474" s="108" t="s">
        <v>21</v>
      </c>
      <c r="L2474" s="108" t="str">
        <f>VLOOKUP(K2474,LUTs!E$2:G$14,3,)</f>
        <v>08Thurston</v>
      </c>
      <c r="M2474" s="108" t="str">
        <f>VLOOKUP($K2474,LUTs!$E$2:$H$14,2,)</f>
        <v>South Puget Sound</v>
      </c>
      <c r="N2474" s="108" t="str">
        <f>VLOOKUP($K2474,LUTs!$E$2:$H$14,4,)</f>
        <v>02South Puget Sound</v>
      </c>
      <c r="O2474" s="108">
        <v>31.398113207547201</v>
      </c>
      <c r="P2474" s="108">
        <v>108.00950943396199</v>
      </c>
      <c r="Q2474" s="108">
        <f>SUMIFS('FW_Salmon_by_Month_2010-2021'!P$2:P$3810,'FW_Salmon_by_Month_2010-2021'!$B$2:$B$3810,'Rec_raw_catch_effort_2010-2021'!$B2474,'FW_Salmon_by_Month_2010-2021'!$H$2:$H$3810,'Rec_raw_catch_effort_2010-2021'!$F2474,'FW_Salmon_by_Month_2010-2021'!$M$2:$M$3810,'Rec_raw_catch_effort_2010-2021'!$K2474)</f>
        <v>31.577464788732399</v>
      </c>
      <c r="R2474" s="109">
        <f>VLOOKUP(B2474,Readme!$A$62:$C$74,2,)*Q2474</f>
        <v>111.75392487312925</v>
      </c>
      <c r="S2474" s="140" t="str">
        <f t="shared" si="193"/>
        <v>Y</v>
      </c>
      <c r="T2474" s="154">
        <f t="shared" si="194"/>
        <v>3.439999999999988</v>
      </c>
      <c r="U2474" s="154">
        <f t="shared" si="195"/>
        <v>3.5390404397824153</v>
      </c>
    </row>
    <row r="2475" spans="1:21" x14ac:dyDescent="0.35">
      <c r="A2475" s="108">
        <v>2663</v>
      </c>
      <c r="B2475" s="108">
        <v>2019</v>
      </c>
      <c r="C2475" s="108" t="s">
        <v>38</v>
      </c>
      <c r="D2475" s="108" t="s">
        <v>143</v>
      </c>
      <c r="E2475" s="108" t="s">
        <v>10</v>
      </c>
      <c r="F2475" s="116">
        <v>830</v>
      </c>
      <c r="G2475" s="108" t="s">
        <v>60</v>
      </c>
      <c r="H2475" s="108" t="str">
        <f t="shared" si="196"/>
        <v>Skagit River</v>
      </c>
      <c r="I2475" s="108" t="str">
        <f>IFERROR(VLOOKUP(H2475,LUTs!$A$1:$C$73,2,FALSE),"NA")</f>
        <v>Skagit/Whatcom</v>
      </c>
      <c r="J2475" s="108" t="str">
        <f>IFERROR(VLOOKUP(H2475,LUTs!$A$1:$C$73,3,FALSE),"NA")</f>
        <v>2Central Puget Sound</v>
      </c>
      <c r="K2475" s="108" t="s">
        <v>13</v>
      </c>
      <c r="L2475" s="108" t="str">
        <f>VLOOKUP(K2475,LUTs!E$2:G$14,3,)</f>
        <v>01Whatcom</v>
      </c>
      <c r="M2475" s="108" t="str">
        <f>VLOOKUP($K2475,LUTs!$E$2:$H$14,2,)</f>
        <v>North Puget Sound</v>
      </c>
      <c r="N2475" s="108" t="str">
        <f>VLOOKUP($K2475,LUTs!$E$2:$H$14,4,)</f>
        <v>01North Puget Sound</v>
      </c>
      <c r="O2475" s="108">
        <v>533.76792452830205</v>
      </c>
      <c r="P2475" s="108">
        <v>1836.16166037736</v>
      </c>
      <c r="Q2475" s="108">
        <f>SUMIFS('FW_Salmon_by_Month_2010-2021'!P$2:P$3810,'FW_Salmon_by_Month_2010-2021'!$B$2:$B$3810,'Rec_raw_catch_effort_2010-2021'!$B2475,'FW_Salmon_by_Month_2010-2021'!$H$2:$H$3810,'Rec_raw_catch_effort_2010-2021'!$F2475,'FW_Salmon_by_Month_2010-2021'!$M$2:$M$3810,'Rec_raw_catch_effort_2010-2021'!$K2475)</f>
        <v>534.57977867203272</v>
      </c>
      <c r="R2475" s="109">
        <f>VLOOKUP(B2475,Readme!$A$62:$C$74,2,)*Q2475</f>
        <v>1891.8994550102568</v>
      </c>
      <c r="S2475" s="140" t="str">
        <f t="shared" si="193"/>
        <v>Y</v>
      </c>
      <c r="T2475" s="154">
        <f t="shared" si="194"/>
        <v>3.4400000000000017</v>
      </c>
      <c r="U2475" s="154">
        <f t="shared" si="195"/>
        <v>3.5390404397824153</v>
      </c>
    </row>
    <row r="2476" spans="1:21" x14ac:dyDescent="0.35">
      <c r="A2476" s="108">
        <v>2820</v>
      </c>
      <c r="B2476" s="108">
        <v>2020</v>
      </c>
      <c r="C2476" s="108" t="s">
        <v>38</v>
      </c>
      <c r="D2476" s="108" t="s">
        <v>143</v>
      </c>
      <c r="E2476" s="108" t="s">
        <v>10</v>
      </c>
      <c r="F2476" s="116">
        <v>830</v>
      </c>
      <c r="G2476" s="108" t="s">
        <v>60</v>
      </c>
      <c r="H2476" s="108" t="str">
        <f t="shared" si="196"/>
        <v>Skagit River</v>
      </c>
      <c r="I2476" s="108" t="str">
        <f>IFERROR(VLOOKUP(H2476,LUTs!$A$1:$C$73,2,FALSE),"NA")</f>
        <v>Skagit/Whatcom</v>
      </c>
      <c r="J2476" s="108" t="str">
        <f>IFERROR(VLOOKUP(H2476,LUTs!$A$1:$C$73,3,FALSE),"NA")</f>
        <v>2Central Puget Sound</v>
      </c>
      <c r="K2476" s="108" t="s">
        <v>24</v>
      </c>
      <c r="L2476" s="108" t="str">
        <f>VLOOKUP(K2476,LUTs!E$2:G$14,3,)</f>
        <v>11Clallam</v>
      </c>
      <c r="M2476" s="108" t="str">
        <f>VLOOKUP($K2476,LUTs!$E$2:$H$14,2,)</f>
        <v>Strait of Juan de Fuca</v>
      </c>
      <c r="N2476" s="108" t="str">
        <f>VLOOKUP($K2476,LUTs!$E$2:$H$14,4,)</f>
        <v>03Strait of Juan de Fuca</v>
      </c>
      <c r="O2476" s="108">
        <v>12.073319755600799</v>
      </c>
      <c r="P2476" s="108">
        <v>104.434215885947</v>
      </c>
      <c r="Q2476" s="108">
        <f>SUMIFS('FW_Salmon_by_Month_2010-2021'!P$2:P$3810,'FW_Salmon_by_Month_2010-2021'!$B$2:$B$3810,'Rec_raw_catch_effort_2010-2021'!$B2476,'FW_Salmon_by_Month_2010-2021'!$H$2:$H$3810,'Rec_raw_catch_effort_2010-2021'!$F2476,'FW_Salmon_by_Month_2010-2021'!$M$2:$M$3810,'Rec_raw_catch_effort_2010-2021'!$K2476)</f>
        <v>12.0746268656716</v>
      </c>
      <c r="R2476" s="109">
        <f>VLOOKUP(B2476,Readme!$A$62:$C$74,2,)*Q2476</f>
        <v>58.19432712578466</v>
      </c>
      <c r="S2476" s="140" t="str">
        <f t="shared" si="193"/>
        <v>N</v>
      </c>
      <c r="T2476" s="154">
        <f t="shared" si="194"/>
        <v>8.6500000000000075</v>
      </c>
      <c r="U2476" s="154">
        <f t="shared" si="195"/>
        <v>4.8195549041132084</v>
      </c>
    </row>
    <row r="2477" spans="1:21" x14ac:dyDescent="0.35">
      <c r="A2477" s="108">
        <v>2746</v>
      </c>
      <c r="B2477" s="108">
        <v>2020</v>
      </c>
      <c r="C2477" s="108" t="s">
        <v>38</v>
      </c>
      <c r="D2477" s="108" t="s">
        <v>143</v>
      </c>
      <c r="E2477" s="108" t="s">
        <v>10</v>
      </c>
      <c r="F2477" s="116">
        <v>830</v>
      </c>
      <c r="G2477" s="108" t="s">
        <v>60</v>
      </c>
      <c r="H2477" s="108" t="str">
        <f t="shared" si="196"/>
        <v>Skagit River</v>
      </c>
      <c r="I2477" s="108" t="str">
        <f>IFERROR(VLOOKUP(H2477,LUTs!$A$1:$C$73,2,FALSE),"NA")</f>
        <v>Skagit/Whatcom</v>
      </c>
      <c r="J2477" s="108" t="str">
        <f>IFERROR(VLOOKUP(H2477,LUTs!$A$1:$C$73,3,FALSE),"NA")</f>
        <v>2Central Puget Sound</v>
      </c>
      <c r="K2477" s="108" t="s">
        <v>17</v>
      </c>
      <c r="L2477" s="108" t="str">
        <f>VLOOKUP(K2477,LUTs!E$2:G$14,3,)</f>
        <v>04Island</v>
      </c>
      <c r="M2477" s="108" t="str">
        <f>VLOOKUP($K2477,LUTs!$E$2:$H$14,2,)</f>
        <v>North Puget Sound</v>
      </c>
      <c r="N2477" s="108" t="str">
        <f>VLOOKUP($K2477,LUTs!$E$2:$H$14,4,)</f>
        <v>01North Puget Sound</v>
      </c>
      <c r="O2477" s="108">
        <v>12.073319755600799</v>
      </c>
      <c r="P2477" s="108">
        <v>104.434215885947</v>
      </c>
      <c r="Q2477" s="108">
        <f>SUMIFS('FW_Salmon_by_Month_2010-2021'!P$2:P$3810,'FW_Salmon_by_Month_2010-2021'!$B$2:$B$3810,'Rec_raw_catch_effort_2010-2021'!$B2477,'FW_Salmon_by_Month_2010-2021'!$H$2:$H$3810,'Rec_raw_catch_effort_2010-2021'!$F2477,'FW_Salmon_by_Month_2010-2021'!$M$2:$M$3810,'Rec_raw_catch_effort_2010-2021'!$K2477)</f>
        <v>12.0746268656716</v>
      </c>
      <c r="R2477" s="109">
        <f>VLOOKUP(B2477,Readme!$A$62:$C$74,2,)*Q2477</f>
        <v>58.19432712578466</v>
      </c>
      <c r="S2477" s="140" t="str">
        <f t="shared" si="193"/>
        <v>N</v>
      </c>
      <c r="T2477" s="154">
        <f t="shared" si="194"/>
        <v>8.6500000000000075</v>
      </c>
      <c r="U2477" s="154">
        <f t="shared" si="195"/>
        <v>4.8195549041132084</v>
      </c>
    </row>
    <row r="2478" spans="1:21" x14ac:dyDescent="0.35">
      <c r="A2478" s="108">
        <v>2821</v>
      </c>
      <c r="B2478" s="108">
        <v>2020</v>
      </c>
      <c r="C2478" s="108" t="s">
        <v>38</v>
      </c>
      <c r="D2478" s="108" t="s">
        <v>143</v>
      </c>
      <c r="E2478" s="108" t="s">
        <v>10</v>
      </c>
      <c r="F2478" s="116">
        <v>830</v>
      </c>
      <c r="G2478" s="108" t="s">
        <v>60</v>
      </c>
      <c r="H2478" s="108" t="str">
        <f t="shared" si="196"/>
        <v>Skagit River</v>
      </c>
      <c r="I2478" s="108" t="str">
        <f>IFERROR(VLOOKUP(H2478,LUTs!$A$1:$C$73,2,FALSE),"NA")</f>
        <v>Skagit/Whatcom</v>
      </c>
      <c r="J2478" s="108" t="str">
        <f>IFERROR(VLOOKUP(H2478,LUTs!$A$1:$C$73,3,FALSE),"NA")</f>
        <v>2Central Puget Sound</v>
      </c>
      <c r="K2478" s="108" t="s">
        <v>25</v>
      </c>
      <c r="L2478" s="108" t="str">
        <f>VLOOKUP(K2478,LUTs!E$2:G$14,3,)</f>
        <v>12Jefferson</v>
      </c>
      <c r="M2478" s="108" t="str">
        <f>VLOOKUP($K2478,LUTs!$E$2:$H$14,2,)</f>
        <v>Strait of Juan de Fuca</v>
      </c>
      <c r="N2478" s="108" t="str">
        <f>VLOOKUP($K2478,LUTs!$E$2:$H$14,4,)</f>
        <v>03Strait of Juan de Fuca</v>
      </c>
      <c r="O2478" s="108">
        <v>24.146639511201599</v>
      </c>
      <c r="P2478" s="108">
        <v>208.868431771894</v>
      </c>
      <c r="Q2478" s="108">
        <f>SUMIFS('FW_Salmon_by_Month_2010-2021'!P$2:P$3810,'FW_Salmon_by_Month_2010-2021'!$B$2:$B$3810,'Rec_raw_catch_effort_2010-2021'!$B2478,'FW_Salmon_by_Month_2010-2021'!$H$2:$H$3810,'Rec_raw_catch_effort_2010-2021'!$F2478,'FW_Salmon_by_Month_2010-2021'!$M$2:$M$3810,'Rec_raw_catch_effort_2010-2021'!$K2478)</f>
        <v>24.1492537313433</v>
      </c>
      <c r="R2478" s="109">
        <f>VLOOKUP(B2478,Readme!$A$62:$C$74,2,)*Q2478</f>
        <v>116.3886542515698</v>
      </c>
      <c r="S2478" s="140" t="str">
        <f t="shared" si="193"/>
        <v>N</v>
      </c>
      <c r="T2478" s="154">
        <f t="shared" si="194"/>
        <v>8.6500000000000075</v>
      </c>
      <c r="U2478" s="154">
        <f t="shared" si="195"/>
        <v>4.8195549041132084</v>
      </c>
    </row>
    <row r="2479" spans="1:21" x14ac:dyDescent="0.35">
      <c r="A2479" s="108">
        <v>2775</v>
      </c>
      <c r="B2479" s="108">
        <v>2020</v>
      </c>
      <c r="C2479" s="108" t="s">
        <v>38</v>
      </c>
      <c r="D2479" s="108" t="s">
        <v>143</v>
      </c>
      <c r="E2479" s="108" t="s">
        <v>10</v>
      </c>
      <c r="F2479" s="116">
        <v>830</v>
      </c>
      <c r="G2479" s="108" t="s">
        <v>60</v>
      </c>
      <c r="H2479" s="108" t="str">
        <f t="shared" si="196"/>
        <v>Skagit River</v>
      </c>
      <c r="I2479" s="108" t="str">
        <f>IFERROR(VLOOKUP(H2479,LUTs!$A$1:$C$73,2,FALSE),"NA")</f>
        <v>Skagit/Whatcom</v>
      </c>
      <c r="J2479" s="108" t="str">
        <f>IFERROR(VLOOKUP(H2479,LUTs!$A$1:$C$73,3,FALSE),"NA")</f>
        <v>2Central Puget Sound</v>
      </c>
      <c r="K2479" s="108" t="s">
        <v>18</v>
      </c>
      <c r="L2479" s="108" t="str">
        <f>VLOOKUP(K2479,LUTs!E$2:G$14,3,)</f>
        <v>06King</v>
      </c>
      <c r="M2479" s="108" t="str">
        <f>VLOOKUP($K2479,LUTs!$E$2:$H$14,2,)</f>
        <v>South Puget Sound</v>
      </c>
      <c r="N2479" s="108" t="str">
        <f>VLOOKUP($K2479,LUTs!$E$2:$H$14,4,)</f>
        <v>02South Puget Sound</v>
      </c>
      <c r="O2479" s="108">
        <v>664.03258655804495</v>
      </c>
      <c r="P2479" s="108">
        <v>5743.8818737270904</v>
      </c>
      <c r="Q2479" s="108">
        <f>SUMIFS('FW_Salmon_by_Month_2010-2021'!P$2:P$3810,'FW_Salmon_by_Month_2010-2021'!$B$2:$B$3810,'Rec_raw_catch_effort_2010-2021'!$B2479,'FW_Salmon_by_Month_2010-2021'!$H$2:$H$3810,'Rec_raw_catch_effort_2010-2021'!$F2479,'FW_Salmon_by_Month_2010-2021'!$M$2:$M$3810,'Rec_raw_catch_effort_2010-2021'!$K2479)</f>
        <v>664.62679844023103</v>
      </c>
      <c r="R2479" s="109">
        <f>VLOOKUP(B2479,Readme!$A$62:$C$74,2,)*Q2479</f>
        <v>3203.2053458276764</v>
      </c>
      <c r="S2479" s="140" t="str">
        <f t="shared" si="193"/>
        <v>N</v>
      </c>
      <c r="T2479" s="154">
        <f t="shared" si="194"/>
        <v>8.6500000000000021</v>
      </c>
      <c r="U2479" s="154">
        <f t="shared" si="195"/>
        <v>4.8195549041132084</v>
      </c>
    </row>
    <row r="2480" spans="1:21" x14ac:dyDescent="0.35">
      <c r="A2480" s="108">
        <v>2819</v>
      </c>
      <c r="B2480" s="108">
        <v>2020</v>
      </c>
      <c r="C2480" s="108" t="s">
        <v>38</v>
      </c>
      <c r="D2480" s="108" t="s">
        <v>143</v>
      </c>
      <c r="E2480" s="108" t="s">
        <v>10</v>
      </c>
      <c r="F2480" s="116">
        <v>830</v>
      </c>
      <c r="G2480" s="108" t="s">
        <v>60</v>
      </c>
      <c r="H2480" s="108" t="str">
        <f t="shared" si="196"/>
        <v>Skagit River</v>
      </c>
      <c r="I2480" s="108" t="str">
        <f>IFERROR(VLOOKUP(H2480,LUTs!$A$1:$C$73,2,FALSE),"NA")</f>
        <v>Skagit/Whatcom</v>
      </c>
      <c r="J2480" s="108" t="str">
        <f>IFERROR(VLOOKUP(H2480,LUTs!$A$1:$C$73,3,FALSE),"NA")</f>
        <v>2Central Puget Sound</v>
      </c>
      <c r="K2480" s="108" t="s">
        <v>23</v>
      </c>
      <c r="L2480" s="108" t="str">
        <f>VLOOKUP(K2480,LUTs!E$2:G$14,3,)</f>
        <v>10Kitsap</v>
      </c>
      <c r="M2480" s="108" t="str">
        <f>VLOOKUP($K2480,LUTs!$E$2:$H$14,2,)</f>
        <v>South Puget Sound</v>
      </c>
      <c r="N2480" s="108" t="str">
        <f>VLOOKUP($K2480,LUTs!$E$2:$H$14,4,)</f>
        <v>02South Puget Sound</v>
      </c>
      <c r="O2480" s="108">
        <v>72.439918533604896</v>
      </c>
      <c r="P2480" s="108">
        <v>626.60529531568204</v>
      </c>
      <c r="Q2480" s="108">
        <f>SUMIFS('FW_Salmon_by_Month_2010-2021'!P$2:P$3810,'FW_Salmon_by_Month_2010-2021'!$B$2:$B$3810,'Rec_raw_catch_effort_2010-2021'!$B2480,'FW_Salmon_by_Month_2010-2021'!$H$2:$H$3810,'Rec_raw_catch_effort_2010-2021'!$F2480,'FW_Salmon_by_Month_2010-2021'!$M$2:$M$3810,'Rec_raw_catch_effort_2010-2021'!$K2480)</f>
        <v>72.514723678902797</v>
      </c>
      <c r="R2480" s="109">
        <f>VLOOKUP(B2480,Readme!$A$62:$C$74,2,)*Q2480</f>
        <v>349.48869212707018</v>
      </c>
      <c r="S2480" s="140" t="str">
        <f t="shared" si="193"/>
        <v>N</v>
      </c>
      <c r="T2480" s="154">
        <f t="shared" si="194"/>
        <v>8.649999999999995</v>
      </c>
      <c r="U2480" s="154">
        <f t="shared" si="195"/>
        <v>4.8195549041132084</v>
      </c>
    </row>
    <row r="2481" spans="1:21" x14ac:dyDescent="0.35">
      <c r="A2481" s="108">
        <v>2850</v>
      </c>
      <c r="B2481" s="108">
        <v>2020</v>
      </c>
      <c r="C2481" s="108" t="s">
        <v>38</v>
      </c>
      <c r="D2481" s="108" t="s">
        <v>143</v>
      </c>
      <c r="E2481" s="108" t="s">
        <v>10</v>
      </c>
      <c r="F2481" s="116">
        <v>830</v>
      </c>
      <c r="G2481" s="108" t="s">
        <v>60</v>
      </c>
      <c r="H2481" s="108" t="str">
        <f t="shared" si="196"/>
        <v>Skagit River</v>
      </c>
      <c r="I2481" s="108" t="str">
        <f>IFERROR(VLOOKUP(H2481,LUTs!$A$1:$C$73,2,FALSE),"NA")</f>
        <v>Skagit/Whatcom</v>
      </c>
      <c r="J2481" s="108" t="str">
        <f>IFERROR(VLOOKUP(H2481,LUTs!$A$1:$C$73,3,FALSE),"NA")</f>
        <v>2Central Puget Sound</v>
      </c>
      <c r="K2481" s="108" t="s">
        <v>26</v>
      </c>
      <c r="L2481" s="108" t="str">
        <f>VLOOKUP(K2481,LUTs!E$2:G$14,3,)</f>
        <v>20Other</v>
      </c>
      <c r="M2481" s="108" t="str">
        <f>VLOOKUP($K2481,LUTs!$E$2:$H$14,2,)</f>
        <v>Non Puget Sound</v>
      </c>
      <c r="N2481" s="108" t="str">
        <f>VLOOKUP($K2481,LUTs!$E$2:$H$14,4,)</f>
        <v>07Non Puget Sound</v>
      </c>
      <c r="O2481" s="108">
        <v>193.17311608961299</v>
      </c>
      <c r="P2481" s="108">
        <v>1670.9474541751499</v>
      </c>
      <c r="Q2481" s="108">
        <f>SUMIFS('FW_Salmon_by_Month_2010-2021'!P$2:P$3810,'FW_Salmon_by_Month_2010-2021'!$B$2:$B$3810,'Rec_raw_catch_effort_2010-2021'!$B2481,'FW_Salmon_by_Month_2010-2021'!$H$2:$H$3810,'Rec_raw_catch_effort_2010-2021'!$F2481,'FW_Salmon_by_Month_2010-2021'!$M$2:$M$3810,'Rec_raw_catch_effort_2010-2021'!$K2481)</f>
        <v>193.56232351754718</v>
      </c>
      <c r="R2481" s="109">
        <f>VLOOKUP(B2481,Readme!$A$62:$C$74,2,)*Q2481</f>
        <v>932.8842455605419</v>
      </c>
      <c r="S2481" s="140" t="str">
        <f t="shared" si="193"/>
        <v>N</v>
      </c>
      <c r="T2481" s="154">
        <f t="shared" si="194"/>
        <v>8.6499999999999879</v>
      </c>
      <c r="U2481" s="154">
        <f t="shared" si="195"/>
        <v>4.8195549041132084</v>
      </c>
    </row>
    <row r="2482" spans="1:21" x14ac:dyDescent="0.35">
      <c r="A2482" s="108">
        <v>2818</v>
      </c>
      <c r="B2482" s="108">
        <v>2020</v>
      </c>
      <c r="C2482" s="108" t="s">
        <v>38</v>
      </c>
      <c r="D2482" s="108" t="s">
        <v>143</v>
      </c>
      <c r="E2482" s="108" t="s">
        <v>10</v>
      </c>
      <c r="F2482" s="116">
        <v>830</v>
      </c>
      <c r="G2482" s="108" t="s">
        <v>60</v>
      </c>
      <c r="H2482" s="108" t="str">
        <f t="shared" si="196"/>
        <v>Skagit River</v>
      </c>
      <c r="I2482" s="108" t="str">
        <f>IFERROR(VLOOKUP(H2482,LUTs!$A$1:$C$73,2,FALSE),"NA")</f>
        <v>Skagit/Whatcom</v>
      </c>
      <c r="J2482" s="108" t="str">
        <f>IFERROR(VLOOKUP(H2482,LUTs!$A$1:$C$73,3,FALSE),"NA")</f>
        <v>2Central Puget Sound</v>
      </c>
      <c r="K2482" s="108" t="s">
        <v>20</v>
      </c>
      <c r="L2482" s="108" t="str">
        <f>VLOOKUP(K2482,LUTs!E$2:G$14,3,)</f>
        <v>07Pierce</v>
      </c>
      <c r="M2482" s="108" t="str">
        <f>VLOOKUP($K2482,LUTs!$E$2:$H$14,2,)</f>
        <v>South Puget Sound</v>
      </c>
      <c r="N2482" s="108" t="str">
        <f>VLOOKUP($K2482,LUTs!$E$2:$H$14,4,)</f>
        <v>02South Puget Sound</v>
      </c>
      <c r="O2482" s="108">
        <v>60.366598778004096</v>
      </c>
      <c r="P2482" s="108">
        <v>522.17107942973496</v>
      </c>
      <c r="Q2482" s="108">
        <f>SUMIFS('FW_Salmon_by_Month_2010-2021'!P$2:P$3810,'FW_Salmon_by_Month_2010-2021'!$B$2:$B$3810,'Rec_raw_catch_effort_2010-2021'!$B2482,'FW_Salmon_by_Month_2010-2021'!$H$2:$H$3810,'Rec_raw_catch_effort_2010-2021'!$F2482,'FW_Salmon_by_Month_2010-2021'!$M$2:$M$3810,'Rec_raw_catch_effort_2010-2021'!$K2482)</f>
        <v>60.440096813231094</v>
      </c>
      <c r="R2482" s="109">
        <f>VLOOKUP(B2482,Readme!$A$62:$C$74,2,)*Q2482</f>
        <v>291.29436500128503</v>
      </c>
      <c r="S2482" s="140" t="str">
        <f t="shared" si="193"/>
        <v>N</v>
      </c>
      <c r="T2482" s="154">
        <f t="shared" si="194"/>
        <v>8.6499999999999915</v>
      </c>
      <c r="U2482" s="154">
        <f t="shared" si="195"/>
        <v>4.8195549041132084</v>
      </c>
    </row>
    <row r="2483" spans="1:21" x14ac:dyDescent="0.35">
      <c r="A2483" s="108">
        <v>2744</v>
      </c>
      <c r="B2483" s="108">
        <v>2020</v>
      </c>
      <c r="C2483" s="108" t="s">
        <v>38</v>
      </c>
      <c r="D2483" s="108" t="s">
        <v>143</v>
      </c>
      <c r="E2483" s="108" t="s">
        <v>10</v>
      </c>
      <c r="F2483" s="116">
        <v>830</v>
      </c>
      <c r="G2483" s="108" t="s">
        <v>60</v>
      </c>
      <c r="H2483" s="108" t="str">
        <f t="shared" si="196"/>
        <v>Skagit River</v>
      </c>
      <c r="I2483" s="108" t="str">
        <f>IFERROR(VLOOKUP(H2483,LUTs!$A$1:$C$73,2,FALSE),"NA")</f>
        <v>Skagit/Whatcom</v>
      </c>
      <c r="J2483" s="108" t="str">
        <f>IFERROR(VLOOKUP(H2483,LUTs!$A$1:$C$73,3,FALSE),"NA")</f>
        <v>2Central Puget Sound</v>
      </c>
      <c r="K2483" s="108" t="s">
        <v>15</v>
      </c>
      <c r="L2483" s="108" t="str">
        <f>VLOOKUP(K2483,LUTs!E$2:G$14,3,)</f>
        <v>02Skagit</v>
      </c>
      <c r="M2483" s="108" t="str">
        <f>VLOOKUP($K2483,LUTs!$E$2:$H$14,2,)</f>
        <v>North Puget Sound</v>
      </c>
      <c r="N2483" s="108" t="str">
        <f>VLOOKUP($K2483,LUTs!$E$2:$H$14,4,)</f>
        <v>01North Puget Sound</v>
      </c>
      <c r="O2483" s="108">
        <v>3803.0957230142599</v>
      </c>
      <c r="P2483" s="108">
        <v>32896.778004073298</v>
      </c>
      <c r="Q2483" s="108">
        <f>SUMIFS('FW_Salmon_by_Month_2010-2021'!P$2:P$3810,'FW_Salmon_by_Month_2010-2021'!$B$2:$B$3810,'Rec_raw_catch_effort_2010-2021'!$B2483,'FW_Salmon_by_Month_2010-2021'!$H$2:$H$3810,'Rec_raw_catch_effort_2010-2021'!$F2483,'FW_Salmon_by_Month_2010-2021'!$M$2:$M$3810,'Rec_raw_catch_effort_2010-2021'!$K2483)</f>
        <v>3807.9769396261931</v>
      </c>
      <c r="R2483" s="109">
        <f>VLOOKUP(B2483,Readme!$A$62:$C$74,2,)*Q2483</f>
        <v>18352.753934125427</v>
      </c>
      <c r="S2483" s="140" t="str">
        <f t="shared" si="193"/>
        <v>N</v>
      </c>
      <c r="T2483" s="154">
        <f t="shared" si="194"/>
        <v>8.6499999999999861</v>
      </c>
      <c r="U2483" s="154">
        <f t="shared" si="195"/>
        <v>4.8195549041132084</v>
      </c>
    </row>
    <row r="2484" spans="1:21" x14ac:dyDescent="0.35">
      <c r="A2484" s="108">
        <v>2745</v>
      </c>
      <c r="B2484" s="108">
        <v>2020</v>
      </c>
      <c r="C2484" s="108" t="s">
        <v>38</v>
      </c>
      <c r="D2484" s="108" t="s">
        <v>143</v>
      </c>
      <c r="E2484" s="108" t="s">
        <v>10</v>
      </c>
      <c r="F2484" s="116">
        <v>830</v>
      </c>
      <c r="G2484" s="108" t="s">
        <v>60</v>
      </c>
      <c r="H2484" s="108" t="str">
        <f t="shared" si="196"/>
        <v>Skagit River</v>
      </c>
      <c r="I2484" s="108" t="str">
        <f>IFERROR(VLOOKUP(H2484,LUTs!$A$1:$C$73,2,FALSE),"NA")</f>
        <v>Skagit/Whatcom</v>
      </c>
      <c r="J2484" s="108" t="str">
        <f>IFERROR(VLOOKUP(H2484,LUTs!$A$1:$C$73,3,FALSE),"NA")</f>
        <v>2Central Puget Sound</v>
      </c>
      <c r="K2484" s="108" t="s">
        <v>16</v>
      </c>
      <c r="L2484" s="108" t="str">
        <f>VLOOKUP(K2484,LUTs!E$2:G$14,3,)</f>
        <v>03Snohomish</v>
      </c>
      <c r="M2484" s="108" t="str">
        <f>VLOOKUP($K2484,LUTs!$E$2:$H$14,2,)</f>
        <v>North Puget Sound</v>
      </c>
      <c r="N2484" s="108" t="str">
        <f>VLOOKUP($K2484,LUTs!$E$2:$H$14,4,)</f>
        <v>01North Puget Sound</v>
      </c>
      <c r="O2484" s="108">
        <v>495.006109979634</v>
      </c>
      <c r="P2484" s="108">
        <v>4281.8028513238296</v>
      </c>
      <c r="Q2484" s="108">
        <f>SUMIFS('FW_Salmon_by_Month_2010-2021'!P$2:P$3810,'FW_Salmon_by_Month_2010-2021'!$B$2:$B$3810,'Rec_raw_catch_effort_2010-2021'!$B2484,'FW_Salmon_by_Month_2010-2021'!$H$2:$H$3810,'Rec_raw_catch_effort_2010-2021'!$F2484,'FW_Salmon_by_Month_2010-2021'!$M$2:$M$3810,'Rec_raw_catch_effort_2010-2021'!$K2484)</f>
        <v>483.42033077853898</v>
      </c>
      <c r="R2484" s="109">
        <f>VLOOKUP(B2484,Readme!$A$62:$C$74,2,)*Q2484</f>
        <v>2329.8708259517371</v>
      </c>
      <c r="S2484" s="140" t="str">
        <f t="shared" si="193"/>
        <v>N</v>
      </c>
      <c r="T2484" s="154">
        <f t="shared" si="194"/>
        <v>8.6499999999999915</v>
      </c>
      <c r="U2484" s="154">
        <f t="shared" si="195"/>
        <v>4.8195549041132084</v>
      </c>
    </row>
    <row r="2485" spans="1:21" x14ac:dyDescent="0.35">
      <c r="A2485" s="108">
        <v>2743</v>
      </c>
      <c r="B2485" s="108">
        <v>2020</v>
      </c>
      <c r="C2485" s="108" t="s">
        <v>38</v>
      </c>
      <c r="D2485" s="108" t="s">
        <v>143</v>
      </c>
      <c r="E2485" s="108" t="s">
        <v>10</v>
      </c>
      <c r="F2485" s="116">
        <v>830</v>
      </c>
      <c r="G2485" s="108" t="s">
        <v>60</v>
      </c>
      <c r="H2485" s="108" t="str">
        <f t="shared" si="196"/>
        <v>Skagit River</v>
      </c>
      <c r="I2485" s="108" t="str">
        <f>IFERROR(VLOOKUP(H2485,LUTs!$A$1:$C$73,2,FALSE),"NA")</f>
        <v>Skagit/Whatcom</v>
      </c>
      <c r="J2485" s="108" t="str">
        <f>IFERROR(VLOOKUP(H2485,LUTs!$A$1:$C$73,3,FALSE),"NA")</f>
        <v>2Central Puget Sound</v>
      </c>
      <c r="K2485" s="108" t="s">
        <v>13</v>
      </c>
      <c r="L2485" s="108" t="str">
        <f>VLOOKUP(K2485,LUTs!E$2:G$14,3,)</f>
        <v>01Whatcom</v>
      </c>
      <c r="M2485" s="108" t="str">
        <f>VLOOKUP($K2485,LUTs!$E$2:$H$14,2,)</f>
        <v>North Puget Sound</v>
      </c>
      <c r="N2485" s="108" t="str">
        <f>VLOOKUP($K2485,LUTs!$E$2:$H$14,4,)</f>
        <v>01North Puget Sound</v>
      </c>
      <c r="O2485" s="108">
        <v>591.59266802443994</v>
      </c>
      <c r="P2485" s="108">
        <v>5117.2765784114099</v>
      </c>
      <c r="Q2485" s="108">
        <f>SUMIFS('FW_Salmon_by_Month_2010-2021'!P$2:P$3810,'FW_Salmon_by_Month_2010-2021'!$B$2:$B$3810,'Rec_raw_catch_effort_2010-2021'!$B2485,'FW_Salmon_by_Month_2010-2021'!$H$2:$H$3810,'Rec_raw_catch_effort_2010-2021'!$F2485,'FW_Salmon_by_Month_2010-2021'!$M$2:$M$3810,'Rec_raw_catch_effort_2010-2021'!$K2485)</f>
        <v>592.16027968266826</v>
      </c>
      <c r="R2485" s="109">
        <f>VLOOKUP(B2485,Readme!$A$62:$C$74,2,)*Q2485</f>
        <v>2853.9489799656531</v>
      </c>
      <c r="S2485" s="140" t="str">
        <f t="shared" si="193"/>
        <v>N</v>
      </c>
      <c r="T2485" s="154">
        <f t="shared" si="194"/>
        <v>8.6500000000000075</v>
      </c>
      <c r="U2485" s="154">
        <f t="shared" si="195"/>
        <v>4.8195549041132084</v>
      </c>
    </row>
    <row r="2486" spans="1:21" x14ac:dyDescent="0.35">
      <c r="A2486" s="108">
        <v>2854</v>
      </c>
      <c r="B2486" s="108">
        <v>2021</v>
      </c>
      <c r="C2486" s="108" t="s">
        <v>38</v>
      </c>
      <c r="D2486" s="108" t="s">
        <v>143</v>
      </c>
      <c r="E2486" s="108" t="s">
        <v>10</v>
      </c>
      <c r="F2486" s="116">
        <v>830</v>
      </c>
      <c r="G2486" s="108" t="s">
        <v>60</v>
      </c>
      <c r="H2486" s="108" t="str">
        <f t="shared" si="196"/>
        <v>Skagit River</v>
      </c>
      <c r="I2486" s="108" t="str">
        <f>IFERROR(VLOOKUP(H2486,LUTs!$A$1:$C$73,2,FALSE),"NA")</f>
        <v>Skagit/Whatcom</v>
      </c>
      <c r="J2486" s="108" t="str">
        <f>IFERROR(VLOOKUP(H2486,LUTs!$A$1:$C$73,3,FALSE),"NA")</f>
        <v>2Central Puget Sound</v>
      </c>
      <c r="K2486" s="108" t="s">
        <v>17</v>
      </c>
      <c r="L2486" s="108" t="str">
        <f>VLOOKUP(K2486,LUTs!E$2:G$14,3,)</f>
        <v>04Island</v>
      </c>
      <c r="M2486" s="108" t="str">
        <f>VLOOKUP($K2486,LUTs!$E$2:$H$14,2,)</f>
        <v>North Puget Sound</v>
      </c>
      <c r="N2486" s="108" t="str">
        <f>VLOOKUP($K2486,LUTs!$E$2:$H$14,4,)</f>
        <v>01North Puget Sound</v>
      </c>
      <c r="O2486" s="108">
        <v>1891.4548845884799</v>
      </c>
      <c r="P2486" s="108">
        <v>6506.6048029843696</v>
      </c>
      <c r="Q2486" s="108">
        <f>SUMIFS('FW_Salmon_by_Month_2010-2021'!P$2:P$3810,'FW_Salmon_by_Month_2010-2021'!$B$2:$B$3810,'Rec_raw_catch_effort_2010-2021'!$B2486,'FW_Salmon_by_Month_2010-2021'!$H$2:$H$3810,'Rec_raw_catch_effort_2010-2021'!$F2486,'FW_Salmon_by_Month_2010-2021'!$M$2:$M$3810,'Rec_raw_catch_effort_2010-2021'!$K2486)</f>
        <v>1907.8686299672481</v>
      </c>
      <c r="R2486" s="109">
        <f>VLOOKUP(B2486,Readme!$A$62:$C$74,2,)*Q2486</f>
        <v>6752.0242352463638</v>
      </c>
      <c r="S2486" s="140" t="str">
        <f t="shared" si="193"/>
        <v>N</v>
      </c>
      <c r="T2486" s="154">
        <f t="shared" si="194"/>
        <v>3.4399999999999995</v>
      </c>
      <c r="U2486" s="154">
        <f t="shared" si="195"/>
        <v>3.5390404397824153</v>
      </c>
    </row>
    <row r="2487" spans="1:21" x14ac:dyDescent="0.35">
      <c r="A2487" s="108">
        <v>2856</v>
      </c>
      <c r="B2487" s="108">
        <v>2021</v>
      </c>
      <c r="C2487" s="108" t="s">
        <v>38</v>
      </c>
      <c r="D2487" s="108" t="s">
        <v>143</v>
      </c>
      <c r="E2487" s="108" t="s">
        <v>10</v>
      </c>
      <c r="F2487" s="116">
        <v>830</v>
      </c>
      <c r="G2487" s="108" t="s">
        <v>60</v>
      </c>
      <c r="H2487" s="108" t="str">
        <f t="shared" si="196"/>
        <v>Skagit River</v>
      </c>
      <c r="I2487" s="108" t="str">
        <f>IFERROR(VLOOKUP(H2487,LUTs!$A$1:$C$73,2,FALSE),"NA")</f>
        <v>Skagit/Whatcom</v>
      </c>
      <c r="J2487" s="108" t="str">
        <f>IFERROR(VLOOKUP(H2487,LUTs!$A$1:$C$73,3,FALSE),"NA")</f>
        <v>2Central Puget Sound</v>
      </c>
      <c r="K2487" s="108" t="s">
        <v>18</v>
      </c>
      <c r="L2487" s="108" t="str">
        <f>VLOOKUP(K2487,LUTs!E$2:G$14,3,)</f>
        <v>06King</v>
      </c>
      <c r="M2487" s="108" t="str">
        <f>VLOOKUP($K2487,LUTs!$E$2:$H$14,2,)</f>
        <v>South Puget Sound</v>
      </c>
      <c r="N2487" s="108" t="str">
        <f>VLOOKUP($K2487,LUTs!$E$2:$H$14,4,)</f>
        <v>02South Puget Sound</v>
      </c>
      <c r="O2487" s="108">
        <v>2786.7435299603599</v>
      </c>
      <c r="P2487" s="108">
        <v>9586.3977430636405</v>
      </c>
      <c r="Q2487" s="108">
        <f>SUMIFS('FW_Salmon_by_Month_2010-2021'!P$2:P$3810,'FW_Salmon_by_Month_2010-2021'!$B$2:$B$3810,'Rec_raw_catch_effort_2010-2021'!$B2487,'FW_Salmon_by_Month_2010-2021'!$H$2:$H$3810,'Rec_raw_catch_effort_2010-2021'!$F2487,'FW_Salmon_by_Month_2010-2021'!$M$2:$M$3810,'Rec_raw_catch_effort_2010-2021'!$K2487)</f>
        <v>3042.7785227318795</v>
      </c>
      <c r="R2487" s="109">
        <f>VLOOKUP(B2487,Readme!$A$62:$C$74,2,)*Q2487</f>
        <v>10768.516241249519</v>
      </c>
      <c r="S2487" s="140" t="str">
        <f t="shared" si="193"/>
        <v>N</v>
      </c>
      <c r="T2487" s="154">
        <f t="shared" si="194"/>
        <v>3.4400000000000008</v>
      </c>
      <c r="U2487" s="154">
        <f t="shared" si="195"/>
        <v>3.5390404397824153</v>
      </c>
    </row>
    <row r="2488" spans="1:21" x14ac:dyDescent="0.35">
      <c r="A2488" s="108">
        <v>2902</v>
      </c>
      <c r="B2488" s="108">
        <v>2021</v>
      </c>
      <c r="C2488" s="108" t="s">
        <v>38</v>
      </c>
      <c r="D2488" s="108" t="s">
        <v>143</v>
      </c>
      <c r="E2488" s="108" t="s">
        <v>10</v>
      </c>
      <c r="F2488" s="116">
        <v>830</v>
      </c>
      <c r="G2488" s="108" t="s">
        <v>60</v>
      </c>
      <c r="H2488" s="108" t="str">
        <f t="shared" si="196"/>
        <v>Skagit River</v>
      </c>
      <c r="I2488" s="108" t="str">
        <f>IFERROR(VLOOKUP(H2488,LUTs!$A$1:$C$73,2,FALSE),"NA")</f>
        <v>Skagit/Whatcom</v>
      </c>
      <c r="J2488" s="108" t="str">
        <f>IFERROR(VLOOKUP(H2488,LUTs!$A$1:$C$73,3,FALSE),"NA")</f>
        <v>2Central Puget Sound</v>
      </c>
      <c r="K2488" s="108" t="s">
        <v>23</v>
      </c>
      <c r="L2488" s="108" t="str">
        <f>VLOOKUP(K2488,LUTs!E$2:G$14,3,)</f>
        <v>10Kitsap</v>
      </c>
      <c r="M2488" s="108" t="str">
        <f>VLOOKUP($K2488,LUTs!$E$2:$H$14,2,)</f>
        <v>South Puget Sound</v>
      </c>
      <c r="N2488" s="108" t="str">
        <f>VLOOKUP($K2488,LUTs!$E$2:$H$14,4,)</f>
        <v>02South Puget Sound</v>
      </c>
      <c r="O2488" s="108">
        <v>176.53578922825801</v>
      </c>
      <c r="P2488" s="108">
        <v>607.28311494520801</v>
      </c>
      <c r="Q2488" s="108">
        <f>SUMIFS('FW_Salmon_by_Month_2010-2021'!P$2:P$3810,'FW_Salmon_by_Month_2010-2021'!$B$2:$B$3810,'Rec_raw_catch_effort_2010-2021'!$B2488,'FW_Salmon_by_Month_2010-2021'!$H$2:$H$3810,'Rec_raw_catch_effort_2010-2021'!$F2488,'FW_Salmon_by_Month_2010-2021'!$M$2:$M$3810,'Rec_raw_catch_effort_2010-2021'!$K2488)</f>
        <v>158.53811688206662</v>
      </c>
      <c r="R2488" s="109">
        <f>VLOOKUP(B2488,Readme!$A$62:$C$74,2,)*Q2488</f>
        <v>561.07280689258505</v>
      </c>
      <c r="S2488" s="140" t="str">
        <f t="shared" si="193"/>
        <v>N</v>
      </c>
      <c r="T2488" s="154">
        <f t="shared" si="194"/>
        <v>3.4400000000000026</v>
      </c>
      <c r="U2488" s="154">
        <f t="shared" si="195"/>
        <v>3.5390404397824158</v>
      </c>
    </row>
    <row r="2489" spans="1:21" x14ac:dyDescent="0.35">
      <c r="A2489" s="108">
        <v>2937</v>
      </c>
      <c r="B2489" s="108">
        <v>2021</v>
      </c>
      <c r="C2489" s="108" t="s">
        <v>38</v>
      </c>
      <c r="D2489" s="108" t="s">
        <v>143</v>
      </c>
      <c r="E2489" s="108" t="s">
        <v>10</v>
      </c>
      <c r="F2489" s="116">
        <v>830</v>
      </c>
      <c r="G2489" s="108" t="s">
        <v>60</v>
      </c>
      <c r="H2489" s="108" t="str">
        <f t="shared" si="196"/>
        <v>Skagit River</v>
      </c>
      <c r="I2489" s="108" t="str">
        <f>IFERROR(VLOOKUP(H2489,LUTs!$A$1:$C$73,2,FALSE),"NA")</f>
        <v>Skagit/Whatcom</v>
      </c>
      <c r="J2489" s="108" t="str">
        <f>IFERROR(VLOOKUP(H2489,LUTs!$A$1:$C$73,3,FALSE),"NA")</f>
        <v>2Central Puget Sound</v>
      </c>
      <c r="K2489" s="108" t="s">
        <v>26</v>
      </c>
      <c r="L2489" s="108" t="str">
        <f>VLOOKUP(K2489,LUTs!E$2:G$14,3,)</f>
        <v>20Other</v>
      </c>
      <c r="M2489" s="108" t="str">
        <f>VLOOKUP($K2489,LUTs!$E$2:$H$14,2,)</f>
        <v>Non Puget Sound</v>
      </c>
      <c r="N2489" s="108" t="str">
        <f>VLOOKUP($K2489,LUTs!$E$2:$H$14,4,)</f>
        <v>07Non Puget Sound</v>
      </c>
      <c r="O2489" s="108">
        <v>3909.0067614828599</v>
      </c>
      <c r="P2489" s="108">
        <v>13446.983259500999</v>
      </c>
      <c r="Q2489" s="108">
        <f>SUMIFS('FW_Salmon_by_Month_2010-2021'!P$2:P$3810,'FW_Salmon_by_Month_2010-2021'!$B$2:$B$3810,'Rec_raw_catch_effort_2010-2021'!$B2489,'FW_Salmon_by_Month_2010-2021'!$H$2:$H$3810,'Rec_raw_catch_effort_2010-2021'!$F2489,'FW_Salmon_by_Month_2010-2021'!$M$2:$M$3810,'Rec_raw_catch_effort_2010-2021'!$K2489)</f>
        <v>3932.4628243333391</v>
      </c>
      <c r="R2489" s="109">
        <f>VLOOKUP(B2489,Readme!$A$62:$C$74,2,)*Q2489</f>
        <v>13917.14496325666</v>
      </c>
      <c r="S2489" s="140" t="str">
        <f t="shared" si="193"/>
        <v>N</v>
      </c>
      <c r="T2489" s="154">
        <f t="shared" si="194"/>
        <v>3.4399999999999902</v>
      </c>
      <c r="U2489" s="154">
        <f t="shared" si="195"/>
        <v>3.5390404397824153</v>
      </c>
    </row>
    <row r="2490" spans="1:21" x14ac:dyDescent="0.35">
      <c r="A2490" s="108">
        <v>2857</v>
      </c>
      <c r="B2490" s="108">
        <v>2021</v>
      </c>
      <c r="C2490" s="108" t="s">
        <v>38</v>
      </c>
      <c r="D2490" s="108" t="s">
        <v>143</v>
      </c>
      <c r="E2490" s="108" t="s">
        <v>10</v>
      </c>
      <c r="F2490" s="116">
        <v>830</v>
      </c>
      <c r="G2490" s="108" t="s">
        <v>60</v>
      </c>
      <c r="H2490" s="108" t="str">
        <f t="shared" si="196"/>
        <v>Skagit River</v>
      </c>
      <c r="I2490" s="108" t="str">
        <f>IFERROR(VLOOKUP(H2490,LUTs!$A$1:$C$73,2,FALSE),"NA")</f>
        <v>Skagit/Whatcom</v>
      </c>
      <c r="J2490" s="108" t="str">
        <f>IFERROR(VLOOKUP(H2490,LUTs!$A$1:$C$73,3,FALSE),"NA")</f>
        <v>2Central Puget Sound</v>
      </c>
      <c r="K2490" s="108" t="s">
        <v>20</v>
      </c>
      <c r="L2490" s="108" t="str">
        <f>VLOOKUP(K2490,LUTs!E$2:G$14,3,)</f>
        <v>07Pierce</v>
      </c>
      <c r="M2490" s="108" t="str">
        <f>VLOOKUP($K2490,LUTs!$E$2:$H$14,2,)</f>
        <v>South Puget Sound</v>
      </c>
      <c r="N2490" s="108" t="str">
        <f>VLOOKUP($K2490,LUTs!$E$2:$H$14,4,)</f>
        <v>02South Puget Sound</v>
      </c>
      <c r="O2490" s="108">
        <v>327.852179995337</v>
      </c>
      <c r="P2490" s="108">
        <v>1127.81149918396</v>
      </c>
      <c r="Q2490" s="108">
        <f>SUMIFS('FW_Salmon_by_Month_2010-2021'!P$2:P$3810,'FW_Salmon_by_Month_2010-2021'!$B$2:$B$3810,'Rec_raw_catch_effort_2010-2021'!$B2490,'FW_Salmon_by_Month_2010-2021'!$H$2:$H$3810,'Rec_raw_catch_effort_2010-2021'!$F2490,'FW_Salmon_by_Month_2010-2021'!$M$2:$M$3810,'Rec_raw_catch_effort_2010-2021'!$K2490)</f>
        <v>337.3469819503469</v>
      </c>
      <c r="R2490" s="109">
        <f>VLOOKUP(B2490,Readme!$A$62:$C$74,2,)*Q2490</f>
        <v>1193.8846113608263</v>
      </c>
      <c r="S2490" s="140" t="str">
        <f t="shared" si="193"/>
        <v>N</v>
      </c>
      <c r="T2490" s="154">
        <f t="shared" si="194"/>
        <v>3.4400000000000022</v>
      </c>
      <c r="U2490" s="154">
        <f t="shared" si="195"/>
        <v>3.5390404397824153</v>
      </c>
    </row>
    <row r="2491" spans="1:21" x14ac:dyDescent="0.35">
      <c r="A2491" s="108">
        <v>2855</v>
      </c>
      <c r="B2491" s="108">
        <v>2021</v>
      </c>
      <c r="C2491" s="108" t="s">
        <v>38</v>
      </c>
      <c r="D2491" s="108" t="s">
        <v>143</v>
      </c>
      <c r="E2491" s="108" t="s">
        <v>10</v>
      </c>
      <c r="F2491" s="116">
        <v>830</v>
      </c>
      <c r="G2491" s="108" t="s">
        <v>60</v>
      </c>
      <c r="H2491" s="108" t="str">
        <f t="shared" si="196"/>
        <v>Skagit River</v>
      </c>
      <c r="I2491" s="108" t="str">
        <f>IFERROR(VLOOKUP(H2491,LUTs!$A$1:$C$73,2,FALSE),"NA")</f>
        <v>Skagit/Whatcom</v>
      </c>
      <c r="J2491" s="108" t="str">
        <f>IFERROR(VLOOKUP(H2491,LUTs!$A$1:$C$73,3,FALSE),"NA")</f>
        <v>2Central Puget Sound</v>
      </c>
      <c r="K2491" s="108" t="s">
        <v>30</v>
      </c>
      <c r="L2491" s="108" t="str">
        <f>VLOOKUP(K2491,LUTs!E$2:G$14,3,)</f>
        <v>05San Juan</v>
      </c>
      <c r="M2491" s="108" t="str">
        <f>VLOOKUP($K2491,LUTs!$E$2:$H$14,2,)</f>
        <v>North Puget Sound</v>
      </c>
      <c r="N2491" s="108" t="str">
        <f>VLOOKUP($K2491,LUTs!$E$2:$H$14,4,)</f>
        <v>01North Puget Sound</v>
      </c>
      <c r="O2491" s="108">
        <v>25.2193984611798</v>
      </c>
      <c r="P2491" s="108">
        <v>86.754730706458503</v>
      </c>
      <c r="Q2491" s="108">
        <f>SUMIFS('FW_Salmon_by_Month_2010-2021'!P$2:P$3810,'FW_Salmon_by_Month_2010-2021'!$B$2:$B$3810,'Rec_raw_catch_effort_2010-2021'!$B2491,'FW_Salmon_by_Month_2010-2021'!$H$2:$H$3810,'Rec_raw_catch_effort_2010-2021'!$F2491,'FW_Salmon_by_Month_2010-2021'!$M$2:$M$3810,'Rec_raw_catch_effort_2010-2021'!$K2491)</f>
        <v>29.9905213270142</v>
      </c>
      <c r="R2491" s="109">
        <f>VLOOKUP(B2491,Readme!$A$62:$C$74,2,)*Q2491</f>
        <v>106.13766778646024</v>
      </c>
      <c r="S2491" s="140" t="str">
        <f t="shared" si="193"/>
        <v>N</v>
      </c>
      <c r="T2491" s="154">
        <f t="shared" si="194"/>
        <v>3.4399999999999995</v>
      </c>
      <c r="U2491" s="154">
        <f t="shared" si="195"/>
        <v>3.5390404397824153</v>
      </c>
    </row>
    <row r="2492" spans="1:21" x14ac:dyDescent="0.35">
      <c r="A2492" s="108">
        <v>2852</v>
      </c>
      <c r="B2492" s="108">
        <v>2021</v>
      </c>
      <c r="C2492" s="108" t="s">
        <v>38</v>
      </c>
      <c r="D2492" s="108" t="s">
        <v>143</v>
      </c>
      <c r="E2492" s="108" t="s">
        <v>10</v>
      </c>
      <c r="F2492" s="116">
        <v>830</v>
      </c>
      <c r="G2492" s="108" t="s">
        <v>60</v>
      </c>
      <c r="H2492" s="108" t="str">
        <f t="shared" si="196"/>
        <v>Skagit River</v>
      </c>
      <c r="I2492" s="108" t="str">
        <f>IFERROR(VLOOKUP(H2492,LUTs!$A$1:$C$73,2,FALSE),"NA")</f>
        <v>Skagit/Whatcom</v>
      </c>
      <c r="J2492" s="108" t="str">
        <f>IFERROR(VLOOKUP(H2492,LUTs!$A$1:$C$73,3,FALSE),"NA")</f>
        <v>2Central Puget Sound</v>
      </c>
      <c r="K2492" s="108" t="s">
        <v>15</v>
      </c>
      <c r="L2492" s="108" t="str">
        <f>VLOOKUP(K2492,LUTs!E$2:G$14,3,)</f>
        <v>02Skagit</v>
      </c>
      <c r="M2492" s="108" t="str">
        <f>VLOOKUP($K2492,LUTs!$E$2:$H$14,2,)</f>
        <v>North Puget Sound</v>
      </c>
      <c r="N2492" s="108" t="str">
        <f>VLOOKUP($K2492,LUTs!$E$2:$H$14,4,)</f>
        <v>01North Puget Sound</v>
      </c>
      <c r="O2492" s="108">
        <v>26934.317556540002</v>
      </c>
      <c r="P2492" s="108">
        <v>92654.052394497601</v>
      </c>
      <c r="Q2492" s="108">
        <f>SUMIFS('FW_Salmon_by_Month_2010-2021'!P$2:P$3810,'FW_Salmon_by_Month_2010-2021'!$B$2:$B$3810,'Rec_raw_catch_effort_2010-2021'!$B2492,'FW_Salmon_by_Month_2010-2021'!$H$2:$H$3810,'Rec_raw_catch_effort_2010-2021'!$F2492,'FW_Salmon_by_Month_2010-2021'!$M$2:$M$3810,'Rec_raw_catch_effort_2010-2021'!$K2492)</f>
        <v>26548.863231321699</v>
      </c>
      <c r="R2492" s="109">
        <f>VLOOKUP(B2492,Readme!$A$62:$C$74,2,)*Q2492</f>
        <v>93957.500605899942</v>
      </c>
      <c r="S2492" s="140" t="str">
        <f t="shared" si="193"/>
        <v>N</v>
      </c>
      <c r="T2492" s="154">
        <f t="shared" si="194"/>
        <v>3.44</v>
      </c>
      <c r="U2492" s="154">
        <f t="shared" si="195"/>
        <v>3.5390404397824153</v>
      </c>
    </row>
    <row r="2493" spans="1:21" x14ac:dyDescent="0.35">
      <c r="A2493" s="108">
        <v>2853</v>
      </c>
      <c r="B2493" s="108">
        <v>2021</v>
      </c>
      <c r="C2493" s="108" t="s">
        <v>38</v>
      </c>
      <c r="D2493" s="108" t="s">
        <v>143</v>
      </c>
      <c r="E2493" s="108" t="s">
        <v>10</v>
      </c>
      <c r="F2493" s="116">
        <v>830</v>
      </c>
      <c r="G2493" s="108" t="s">
        <v>60</v>
      </c>
      <c r="H2493" s="108" t="str">
        <f t="shared" si="196"/>
        <v>Skagit River</v>
      </c>
      <c r="I2493" s="108" t="str">
        <f>IFERROR(VLOOKUP(H2493,LUTs!$A$1:$C$73,2,FALSE),"NA")</f>
        <v>Skagit/Whatcom</v>
      </c>
      <c r="J2493" s="108" t="str">
        <f>IFERROR(VLOOKUP(H2493,LUTs!$A$1:$C$73,3,FALSE),"NA")</f>
        <v>2Central Puget Sound</v>
      </c>
      <c r="K2493" s="108" t="s">
        <v>16</v>
      </c>
      <c r="L2493" s="108" t="str">
        <f>VLOOKUP(K2493,LUTs!E$2:G$14,3,)</f>
        <v>03Snohomish</v>
      </c>
      <c r="M2493" s="108" t="str">
        <f>VLOOKUP($K2493,LUTs!$E$2:$H$14,2,)</f>
        <v>North Puget Sound</v>
      </c>
      <c r="N2493" s="108" t="str">
        <f>VLOOKUP($K2493,LUTs!$E$2:$H$14,4,)</f>
        <v>01North Puget Sound</v>
      </c>
      <c r="O2493" s="108">
        <v>8171.0851014222399</v>
      </c>
      <c r="P2493" s="108">
        <v>28108.5327488925</v>
      </c>
      <c r="Q2493" s="108">
        <f>SUMIFS('FW_Salmon_by_Month_2010-2021'!P$2:P$3810,'FW_Salmon_by_Month_2010-2021'!$B$2:$B$3810,'Rec_raw_catch_effort_2010-2021'!$B2493,'FW_Salmon_by_Month_2010-2021'!$H$2:$H$3810,'Rec_raw_catch_effort_2010-2021'!$F2493,'FW_Salmon_by_Month_2010-2021'!$M$2:$M$3810,'Rec_raw_catch_effort_2010-2021'!$K2493)</f>
        <v>8143.3553199262096</v>
      </c>
      <c r="R2493" s="109">
        <f>VLOOKUP(B2493,Readme!$A$62:$C$74,2,)*Q2493</f>
        <v>28819.663792736126</v>
      </c>
      <c r="S2493" s="140" t="str">
        <f t="shared" si="193"/>
        <v>N</v>
      </c>
      <c r="T2493" s="154">
        <f t="shared" si="194"/>
        <v>3.4399999999999995</v>
      </c>
      <c r="U2493" s="154">
        <f t="shared" si="195"/>
        <v>3.5390404397824153</v>
      </c>
    </row>
    <row r="2494" spans="1:21" x14ac:dyDescent="0.35">
      <c r="A2494" s="108">
        <v>2858</v>
      </c>
      <c r="B2494" s="108">
        <v>2021</v>
      </c>
      <c r="C2494" s="108" t="s">
        <v>38</v>
      </c>
      <c r="D2494" s="108" t="s">
        <v>143</v>
      </c>
      <c r="E2494" s="108" t="s">
        <v>10</v>
      </c>
      <c r="F2494" s="116">
        <v>830</v>
      </c>
      <c r="G2494" s="108" t="s">
        <v>60</v>
      </c>
      <c r="H2494" s="108" t="str">
        <f t="shared" si="196"/>
        <v>Skagit River</v>
      </c>
      <c r="I2494" s="108" t="str">
        <f>IFERROR(VLOOKUP(H2494,LUTs!$A$1:$C$73,2,FALSE),"NA")</f>
        <v>Skagit/Whatcom</v>
      </c>
      <c r="J2494" s="108" t="str">
        <f>IFERROR(VLOOKUP(H2494,LUTs!$A$1:$C$73,3,FALSE),"NA")</f>
        <v>2Central Puget Sound</v>
      </c>
      <c r="K2494" s="108" t="s">
        <v>21</v>
      </c>
      <c r="L2494" s="108" t="str">
        <f>VLOOKUP(K2494,LUTs!E$2:G$14,3,)</f>
        <v>08Thurston</v>
      </c>
      <c r="M2494" s="108" t="str">
        <f>VLOOKUP($K2494,LUTs!$E$2:$H$14,2,)</f>
        <v>South Puget Sound</v>
      </c>
      <c r="N2494" s="108" t="str">
        <f>VLOOKUP($K2494,LUTs!$E$2:$H$14,4,)</f>
        <v>02South Puget Sound</v>
      </c>
      <c r="O2494" s="108">
        <v>277.41338307297701</v>
      </c>
      <c r="P2494" s="108">
        <v>954.302037771041</v>
      </c>
      <c r="Q2494" s="108">
        <f>SUMIFS('FW_Salmon_by_Month_2010-2021'!P$2:P$3810,'FW_Salmon_by_Month_2010-2021'!$B$2:$B$3810,'Rec_raw_catch_effort_2010-2021'!$B2494,'FW_Salmon_by_Month_2010-2021'!$H$2:$H$3810,'Rec_raw_catch_effort_2010-2021'!$F2494,'FW_Salmon_by_Month_2010-2021'!$M$2:$M$3810,'Rec_raw_catch_effort_2010-2021'!$K2494)</f>
        <v>291.34908529188192</v>
      </c>
      <c r="R2494" s="109">
        <f>VLOOKUP(B2494,Readme!$A$62:$C$74,2,)*Q2494</f>
        <v>1031.0961949415862</v>
      </c>
      <c r="S2494" s="140" t="str">
        <f t="shared" si="193"/>
        <v>N</v>
      </c>
      <c r="T2494" s="154">
        <f t="shared" si="194"/>
        <v>3.4400000000000004</v>
      </c>
      <c r="U2494" s="154">
        <f t="shared" si="195"/>
        <v>3.5390404397824153</v>
      </c>
    </row>
    <row r="2495" spans="1:21" x14ac:dyDescent="0.35">
      <c r="A2495" s="108">
        <v>2851</v>
      </c>
      <c r="B2495" s="108">
        <v>2021</v>
      </c>
      <c r="C2495" s="108" t="s">
        <v>38</v>
      </c>
      <c r="D2495" s="108" t="s">
        <v>143</v>
      </c>
      <c r="E2495" s="108" t="s">
        <v>10</v>
      </c>
      <c r="F2495" s="116">
        <v>830</v>
      </c>
      <c r="G2495" s="108" t="s">
        <v>60</v>
      </c>
      <c r="H2495" s="108" t="str">
        <f t="shared" si="196"/>
        <v>Skagit River</v>
      </c>
      <c r="I2495" s="108" t="str">
        <f>IFERROR(VLOOKUP(H2495,LUTs!$A$1:$C$73,2,FALSE),"NA")</f>
        <v>Skagit/Whatcom</v>
      </c>
      <c r="J2495" s="108" t="str">
        <f>IFERROR(VLOOKUP(H2495,LUTs!$A$1:$C$73,3,FALSE),"NA")</f>
        <v>2Central Puget Sound</v>
      </c>
      <c r="K2495" s="108" t="s">
        <v>13</v>
      </c>
      <c r="L2495" s="108" t="str">
        <f>VLOOKUP(K2495,LUTs!E$2:G$14,3,)</f>
        <v>01Whatcom</v>
      </c>
      <c r="M2495" s="108" t="str">
        <f>VLOOKUP($K2495,LUTs!$E$2:$H$14,2,)</f>
        <v>North Puget Sound</v>
      </c>
      <c r="N2495" s="108" t="str">
        <f>VLOOKUP($K2495,LUTs!$E$2:$H$14,4,)</f>
        <v>01North Puget Sound</v>
      </c>
      <c r="O2495" s="108">
        <v>9583.3714152483099</v>
      </c>
      <c r="P2495" s="108">
        <v>32966.797668454201</v>
      </c>
      <c r="Q2495" s="108">
        <f>SUMIFS('FW_Salmon_by_Month_2010-2021'!P$2:P$3810,'FW_Salmon_by_Month_2010-2021'!$B$2:$B$3810,'Rec_raw_catch_effort_2010-2021'!$B2495,'FW_Salmon_by_Month_2010-2021'!$H$2:$H$3810,'Rec_raw_catch_effort_2010-2021'!$F2495,'FW_Salmon_by_Month_2010-2021'!$M$2:$M$3810,'Rec_raw_catch_effort_2010-2021'!$K2495)</f>
        <v>9668.4467662683492</v>
      </c>
      <c r="R2495" s="109">
        <f>VLOOKUP(B2495,Readme!$A$62:$C$74,2,)*Q2495</f>
        <v>34217.024095707209</v>
      </c>
      <c r="S2495" s="140" t="str">
        <f t="shared" si="193"/>
        <v>N</v>
      </c>
      <c r="T2495" s="154">
        <f t="shared" si="194"/>
        <v>3.4400000000000017</v>
      </c>
      <c r="U2495" s="154">
        <f t="shared" si="195"/>
        <v>3.5390404397824153</v>
      </c>
    </row>
    <row r="2496" spans="1:21" x14ac:dyDescent="0.35">
      <c r="A2496" s="108">
        <v>1119</v>
      </c>
      <c r="B2496" s="108">
        <v>2010</v>
      </c>
      <c r="C2496" s="108" t="s">
        <v>38</v>
      </c>
      <c r="D2496" s="108" t="s">
        <v>143</v>
      </c>
      <c r="E2496" s="108" t="s">
        <v>10</v>
      </c>
      <c r="F2496" s="116">
        <v>834</v>
      </c>
      <c r="G2496" s="108" t="s">
        <v>61</v>
      </c>
      <c r="H2496" s="108" t="str">
        <f t="shared" si="196"/>
        <v>Skokomish River</v>
      </c>
      <c r="I2496" s="108" t="str">
        <f>IFERROR(VLOOKUP(H2496,LUTs!$A$1:$C$73,2,FALSE),"NA")</f>
        <v>Mason</v>
      </c>
      <c r="J2496" s="108" t="str">
        <f>IFERROR(VLOOKUP(H2496,LUTs!$A$1:$C$73,3,FALSE),"NA")</f>
        <v>4 Hood Canal</v>
      </c>
      <c r="K2496" s="108" t="s">
        <v>24</v>
      </c>
      <c r="L2496" s="108" t="str">
        <f>VLOOKUP(K2496,LUTs!E$2:G$14,3,)</f>
        <v>11Clallam</v>
      </c>
      <c r="M2496" s="108" t="str">
        <f>VLOOKUP($K2496,LUTs!$E$2:$H$14,2,)</f>
        <v>Strait of Juan de Fuca</v>
      </c>
      <c r="N2496" s="108" t="str">
        <f>VLOOKUP($K2496,LUTs!$E$2:$H$14,4,)</f>
        <v>03Strait of Juan de Fuca</v>
      </c>
      <c r="O2496" s="108">
        <v>41.576549663928297</v>
      </c>
      <c r="P2496" s="108">
        <v>359.63715459297998</v>
      </c>
      <c r="Q2496" s="108">
        <f>SUMIFS('FW_Salmon_by_Month_2010-2021'!P$2:P$3810,'FW_Salmon_by_Month_2010-2021'!$B$2:$B$3810,'Rec_raw_catch_effort_2010-2021'!$B2496,'FW_Salmon_by_Month_2010-2021'!$H$2:$H$3810,'Rec_raw_catch_effort_2010-2021'!$F2496,'FW_Salmon_by_Month_2010-2021'!$M$2:$M$3810,'Rec_raw_catch_effort_2010-2021'!$K2496)</f>
        <v>41.871552313654</v>
      </c>
      <c r="R2496" s="109">
        <f>VLOOKUP(B2496,Readme!$A$62:$C$74,2,)*Q2496</f>
        <v>201.80224529610391</v>
      </c>
      <c r="S2496" s="140" t="str">
        <f t="shared" si="193"/>
        <v>Y</v>
      </c>
      <c r="T2496" s="154">
        <f t="shared" si="194"/>
        <v>8.6500000000000057</v>
      </c>
      <c r="U2496" s="154">
        <f t="shared" si="195"/>
        <v>4.8195549041132084</v>
      </c>
    </row>
    <row r="2497" spans="1:21" x14ac:dyDescent="0.35">
      <c r="A2497" s="108">
        <v>1063</v>
      </c>
      <c r="B2497" s="108">
        <v>2010</v>
      </c>
      <c r="C2497" s="108" t="s">
        <v>38</v>
      </c>
      <c r="D2497" s="108" t="s">
        <v>143</v>
      </c>
      <c r="E2497" s="108" t="s">
        <v>10</v>
      </c>
      <c r="F2497" s="116">
        <v>834</v>
      </c>
      <c r="G2497" s="108" t="s">
        <v>61</v>
      </c>
      <c r="H2497" s="108" t="str">
        <f t="shared" si="196"/>
        <v>Skokomish River</v>
      </c>
      <c r="I2497" s="108" t="str">
        <f>IFERROR(VLOOKUP(H2497,LUTs!$A$1:$C$73,2,FALSE),"NA")</f>
        <v>Mason</v>
      </c>
      <c r="J2497" s="108" t="str">
        <f>IFERROR(VLOOKUP(H2497,LUTs!$A$1:$C$73,3,FALSE),"NA")</f>
        <v>4 Hood Canal</v>
      </c>
      <c r="K2497" s="108" t="s">
        <v>17</v>
      </c>
      <c r="L2497" s="108" t="str">
        <f>VLOOKUP(K2497,LUTs!E$2:G$14,3,)</f>
        <v>04Island</v>
      </c>
      <c r="M2497" s="108" t="str">
        <f>VLOOKUP($K2497,LUTs!$E$2:$H$14,2,)</f>
        <v>North Puget Sound</v>
      </c>
      <c r="N2497" s="108" t="str">
        <f>VLOOKUP($K2497,LUTs!$E$2:$H$14,4,)</f>
        <v>01North Puget Sound</v>
      </c>
      <c r="O2497" s="108">
        <v>59.395070948468998</v>
      </c>
      <c r="P2497" s="108">
        <v>513.76736370425704</v>
      </c>
      <c r="Q2497" s="108">
        <f>SUMIFS('FW_Salmon_by_Month_2010-2021'!P$2:P$3810,'FW_Salmon_by_Month_2010-2021'!$B$2:$B$3810,'Rec_raw_catch_effort_2010-2021'!$B2497,'FW_Salmon_by_Month_2010-2021'!$H$2:$H$3810,'Rec_raw_catch_effort_2010-2021'!$F2497,'FW_Salmon_by_Month_2010-2021'!$M$2:$M$3810,'Rec_raw_catch_effort_2010-2021'!$K2497)</f>
        <v>59.889446090722601</v>
      </c>
      <c r="R2497" s="109">
        <f>VLOOKUP(B2497,Readme!$A$62:$C$74,2,)*Q2497</f>
        <v>288.6404736111657</v>
      </c>
      <c r="S2497" s="140" t="str">
        <f t="shared" si="193"/>
        <v>Y</v>
      </c>
      <c r="T2497" s="154">
        <f t="shared" si="194"/>
        <v>8.6500000000000039</v>
      </c>
      <c r="U2497" s="154">
        <f t="shared" si="195"/>
        <v>4.8195549041132084</v>
      </c>
    </row>
    <row r="2498" spans="1:21" x14ac:dyDescent="0.35">
      <c r="A2498" s="108">
        <v>1064</v>
      </c>
      <c r="B2498" s="108">
        <v>2010</v>
      </c>
      <c r="C2498" s="108" t="s">
        <v>38</v>
      </c>
      <c r="D2498" s="108" t="s">
        <v>143</v>
      </c>
      <c r="E2498" s="108" t="s">
        <v>10</v>
      </c>
      <c r="F2498" s="116">
        <v>834</v>
      </c>
      <c r="G2498" s="108" t="s">
        <v>61</v>
      </c>
      <c r="H2498" s="108" t="str">
        <f t="shared" si="196"/>
        <v>Skokomish River</v>
      </c>
      <c r="I2498" s="108" t="str">
        <f>IFERROR(VLOOKUP(H2498,LUTs!$A$1:$C$73,2,FALSE),"NA")</f>
        <v>Mason</v>
      </c>
      <c r="J2498" s="108" t="str">
        <f>IFERROR(VLOOKUP(H2498,LUTs!$A$1:$C$73,3,FALSE),"NA")</f>
        <v>4 Hood Canal</v>
      </c>
      <c r="K2498" s="108" t="s">
        <v>18</v>
      </c>
      <c r="L2498" s="108" t="str">
        <f>VLOOKUP(K2498,LUTs!E$2:G$14,3,)</f>
        <v>06King</v>
      </c>
      <c r="M2498" s="108" t="str">
        <f>VLOOKUP($K2498,LUTs!$E$2:$H$14,2,)</f>
        <v>South Puget Sound</v>
      </c>
      <c r="N2498" s="108" t="str">
        <f>VLOOKUP($K2498,LUTs!$E$2:$H$14,4,)</f>
        <v>02South Puget Sound</v>
      </c>
      <c r="O2498" s="108">
        <v>1550.2113517550399</v>
      </c>
      <c r="P2498" s="108">
        <v>13409.3281926811</v>
      </c>
      <c r="Q2498" s="108">
        <f>SUMIFS('FW_Salmon_by_Month_2010-2021'!P$2:P$3810,'FW_Salmon_by_Month_2010-2021'!$B$2:$B$3810,'Rec_raw_catch_effort_2010-2021'!$B2498,'FW_Salmon_by_Month_2010-2021'!$H$2:$H$3810,'Rec_raw_catch_effort_2010-2021'!$F2498,'FW_Salmon_by_Month_2010-2021'!$M$2:$M$3810,'Rec_raw_catch_effort_2010-2021'!$K2498)</f>
        <v>1551.2469516083659</v>
      </c>
      <c r="R2498" s="109">
        <f>VLOOKUP(B2498,Readme!$A$62:$C$74,2,)*Q2498</f>
        <v>7476.3198531147646</v>
      </c>
      <c r="S2498" s="140" t="str">
        <f t="shared" si="193"/>
        <v>Y</v>
      </c>
      <c r="T2498" s="154">
        <f t="shared" si="194"/>
        <v>8.6500000000000021</v>
      </c>
      <c r="U2498" s="154">
        <f t="shared" si="195"/>
        <v>4.8195549041132084</v>
      </c>
    </row>
    <row r="2499" spans="1:21" x14ac:dyDescent="0.35">
      <c r="A2499" s="108">
        <v>1118</v>
      </c>
      <c r="B2499" s="108">
        <v>2010</v>
      </c>
      <c r="C2499" s="108" t="s">
        <v>38</v>
      </c>
      <c r="D2499" s="108" t="s">
        <v>143</v>
      </c>
      <c r="E2499" s="108" t="s">
        <v>10</v>
      </c>
      <c r="F2499" s="116">
        <v>834</v>
      </c>
      <c r="G2499" s="108" t="s">
        <v>61</v>
      </c>
      <c r="H2499" s="108" t="str">
        <f t="shared" si="196"/>
        <v>Skokomish River</v>
      </c>
      <c r="I2499" s="108" t="str">
        <f>IFERROR(VLOOKUP(H2499,LUTs!$A$1:$C$73,2,FALSE),"NA")</f>
        <v>Mason</v>
      </c>
      <c r="J2499" s="108" t="str">
        <f>IFERROR(VLOOKUP(H2499,LUTs!$A$1:$C$73,3,FALSE),"NA")</f>
        <v>4 Hood Canal</v>
      </c>
      <c r="K2499" s="108" t="s">
        <v>23</v>
      </c>
      <c r="L2499" s="108" t="str">
        <f>VLOOKUP(K2499,LUTs!E$2:G$14,3,)</f>
        <v>10Kitsap</v>
      </c>
      <c r="M2499" s="108" t="str">
        <f>VLOOKUP($K2499,LUTs!$E$2:$H$14,2,)</f>
        <v>South Puget Sound</v>
      </c>
      <c r="N2499" s="108" t="str">
        <f>VLOOKUP($K2499,LUTs!$E$2:$H$14,4,)</f>
        <v>02South Puget Sound</v>
      </c>
      <c r="O2499" s="108">
        <v>576.13218820014902</v>
      </c>
      <c r="P2499" s="108">
        <v>4983.5434279312904</v>
      </c>
      <c r="Q2499" s="108">
        <f>SUMIFS('FW_Salmon_by_Month_2010-2021'!P$2:P$3810,'FW_Salmon_by_Month_2010-2021'!$B$2:$B$3810,'Rec_raw_catch_effort_2010-2021'!$B2499,'FW_Salmon_by_Month_2010-2021'!$H$2:$H$3810,'Rec_raw_catch_effort_2010-2021'!$F2499,'FW_Salmon_by_Month_2010-2021'!$M$2:$M$3810,'Rec_raw_catch_effort_2010-2021'!$K2499)</f>
        <v>568.74705646022596</v>
      </c>
      <c r="R2499" s="109">
        <f>VLOOKUP(B2499,Readme!$A$62:$C$74,2,)*Q2499</f>
        <v>2741.1076651628337</v>
      </c>
      <c r="S2499" s="140" t="str">
        <f t="shared" ref="S2499:S2562" si="197">IF(B2499&lt;=2019,"Y","N")</f>
        <v>Y</v>
      </c>
      <c r="T2499" s="154">
        <f t="shared" ref="T2499:T2562" si="198">IFERROR(P2499/O2499,"NA")</f>
        <v>8.6500000000000021</v>
      </c>
      <c r="U2499" s="154">
        <f t="shared" ref="U2499:U2562" si="199">IFERROR(R2499/Q2499,"NA")</f>
        <v>4.8195549041132084</v>
      </c>
    </row>
    <row r="2500" spans="1:21" x14ac:dyDescent="0.35">
      <c r="A2500" s="108">
        <v>1117</v>
      </c>
      <c r="B2500" s="108">
        <v>2010</v>
      </c>
      <c r="C2500" s="108" t="s">
        <v>38</v>
      </c>
      <c r="D2500" s="108" t="s">
        <v>143</v>
      </c>
      <c r="E2500" s="108" t="s">
        <v>10</v>
      </c>
      <c r="F2500" s="116">
        <v>834</v>
      </c>
      <c r="G2500" s="108" t="s">
        <v>61</v>
      </c>
      <c r="H2500" s="108" t="str">
        <f t="shared" si="196"/>
        <v>Skokomish River</v>
      </c>
      <c r="I2500" s="108" t="str">
        <f>IFERROR(VLOOKUP(H2500,LUTs!$A$1:$C$73,2,FALSE),"NA")</f>
        <v>Mason</v>
      </c>
      <c r="J2500" s="108" t="str">
        <f>IFERROR(VLOOKUP(H2500,LUTs!$A$1:$C$73,3,FALSE),"NA")</f>
        <v>4 Hood Canal</v>
      </c>
      <c r="K2500" s="108" t="s">
        <v>22</v>
      </c>
      <c r="L2500" s="108" t="str">
        <f>VLOOKUP(K2500,LUTs!E$2:G$14,3,)</f>
        <v>09Mason</v>
      </c>
      <c r="M2500" s="108" t="str">
        <f>VLOOKUP($K2500,LUTs!$E$2:$H$14,2,)</f>
        <v>South Puget Sound</v>
      </c>
      <c r="N2500" s="108" t="str">
        <f>VLOOKUP($K2500,LUTs!$E$2:$H$14,4,)</f>
        <v>02South Puget Sound</v>
      </c>
      <c r="O2500" s="108">
        <v>617.70873786407799</v>
      </c>
      <c r="P2500" s="108">
        <v>5343.18058252427</v>
      </c>
      <c r="Q2500" s="108">
        <f>SUMIFS('FW_Salmon_by_Month_2010-2021'!P$2:P$3810,'FW_Salmon_by_Month_2010-2021'!$B$2:$B$3810,'Rec_raw_catch_effort_2010-2021'!$B2500,'FW_Salmon_by_Month_2010-2021'!$H$2:$H$3810,'Rec_raw_catch_effort_2010-2021'!$F2500,'FW_Salmon_by_Month_2010-2021'!$M$2:$M$3810,'Rec_raw_catch_effort_2010-2021'!$K2500)</f>
        <v>598.95103738778641</v>
      </c>
      <c r="R2500" s="109">
        <f>VLOOKUP(B2500,Readme!$A$62:$C$74,2,)*Q2500</f>
        <v>2886.6774095659998</v>
      </c>
      <c r="S2500" s="140" t="str">
        <f t="shared" si="197"/>
        <v>Y</v>
      </c>
      <c r="T2500" s="154">
        <f t="shared" si="198"/>
        <v>8.6499999999999932</v>
      </c>
      <c r="U2500" s="154">
        <f t="shared" si="199"/>
        <v>4.8195549041132084</v>
      </c>
    </row>
    <row r="2501" spans="1:21" x14ac:dyDescent="0.35">
      <c r="A2501" s="108">
        <v>1120</v>
      </c>
      <c r="B2501" s="108">
        <v>2010</v>
      </c>
      <c r="C2501" s="108" t="s">
        <v>38</v>
      </c>
      <c r="D2501" s="108" t="s">
        <v>143</v>
      </c>
      <c r="E2501" s="108" t="s">
        <v>10</v>
      </c>
      <c r="F2501" s="116">
        <v>834</v>
      </c>
      <c r="G2501" s="108" t="s">
        <v>61</v>
      </c>
      <c r="H2501" s="108" t="str">
        <f t="shared" si="196"/>
        <v>Skokomish River</v>
      </c>
      <c r="I2501" s="108" t="str">
        <f>IFERROR(VLOOKUP(H2501,LUTs!$A$1:$C$73,2,FALSE),"NA")</f>
        <v>Mason</v>
      </c>
      <c r="J2501" s="108" t="str">
        <f>IFERROR(VLOOKUP(H2501,LUTs!$A$1:$C$73,3,FALSE),"NA")</f>
        <v>4 Hood Canal</v>
      </c>
      <c r="K2501" s="108" t="s">
        <v>26</v>
      </c>
      <c r="L2501" s="108" t="str">
        <f>VLOOKUP(K2501,LUTs!E$2:G$14,3,)</f>
        <v>20Other</v>
      </c>
      <c r="M2501" s="108" t="str">
        <f>VLOOKUP($K2501,LUTs!$E$2:$H$14,2,)</f>
        <v>Non Puget Sound</v>
      </c>
      <c r="N2501" s="108" t="str">
        <f>VLOOKUP($K2501,LUTs!$E$2:$H$14,4,)</f>
        <v>07Non Puget Sound</v>
      </c>
      <c r="O2501" s="108">
        <v>481.10007468259897</v>
      </c>
      <c r="P2501" s="108">
        <v>4161.51564600448</v>
      </c>
      <c r="Q2501" s="108">
        <f>SUMIFS('FW_Salmon_by_Month_2010-2021'!P$2:P$3810,'FW_Salmon_by_Month_2010-2021'!$B$2:$B$3810,'Rec_raw_catch_effort_2010-2021'!$B2501,'FW_Salmon_by_Month_2010-2021'!$H$2:$H$3810,'Rec_raw_catch_effort_2010-2021'!$F2501,'FW_Salmon_by_Month_2010-2021'!$M$2:$M$3810,'Rec_raw_catch_effort_2010-2021'!$K2501)</f>
        <v>485.15598205141777</v>
      </c>
      <c r="R2501" s="109">
        <f>VLOOKUP(B2501,Readme!$A$62:$C$74,2,)*Q2501</f>
        <v>2338.2358925557701</v>
      </c>
      <c r="S2501" s="140" t="str">
        <f t="shared" si="197"/>
        <v>Y</v>
      </c>
      <c r="T2501" s="154">
        <f t="shared" si="198"/>
        <v>8.6499999999999986</v>
      </c>
      <c r="U2501" s="154">
        <f t="shared" si="199"/>
        <v>4.8195549041132084</v>
      </c>
    </row>
    <row r="2502" spans="1:21" x14ac:dyDescent="0.35">
      <c r="A2502" s="108">
        <v>1065</v>
      </c>
      <c r="B2502" s="108">
        <v>2010</v>
      </c>
      <c r="C2502" s="108" t="s">
        <v>38</v>
      </c>
      <c r="D2502" s="108" t="s">
        <v>143</v>
      </c>
      <c r="E2502" s="108" t="s">
        <v>10</v>
      </c>
      <c r="F2502" s="116">
        <v>834</v>
      </c>
      <c r="G2502" s="108" t="s">
        <v>61</v>
      </c>
      <c r="H2502" s="108" t="str">
        <f t="shared" si="196"/>
        <v>Skokomish River</v>
      </c>
      <c r="I2502" s="108" t="str">
        <f>IFERROR(VLOOKUP(H2502,LUTs!$A$1:$C$73,2,FALSE),"NA")</f>
        <v>Mason</v>
      </c>
      <c r="J2502" s="108" t="str">
        <f>IFERROR(VLOOKUP(H2502,LUTs!$A$1:$C$73,3,FALSE),"NA")</f>
        <v>4 Hood Canal</v>
      </c>
      <c r="K2502" s="108" t="s">
        <v>20</v>
      </c>
      <c r="L2502" s="108" t="str">
        <f>VLOOKUP(K2502,LUTs!E$2:G$14,3,)</f>
        <v>07Pierce</v>
      </c>
      <c r="M2502" s="108" t="str">
        <f>VLOOKUP($K2502,LUTs!$E$2:$H$14,2,)</f>
        <v>South Puget Sound</v>
      </c>
      <c r="N2502" s="108" t="str">
        <f>VLOOKUP($K2502,LUTs!$E$2:$H$14,4,)</f>
        <v>02South Puget Sound</v>
      </c>
      <c r="O2502" s="108">
        <v>2797.5078416728902</v>
      </c>
      <c r="P2502" s="108">
        <v>24198.4428304705</v>
      </c>
      <c r="Q2502" s="108">
        <f>SUMIFS('FW_Salmon_by_Month_2010-2021'!P$2:P$3810,'FW_Salmon_by_Month_2010-2021'!$B$2:$B$3810,'Rec_raw_catch_effort_2010-2021'!$B2502,'FW_Salmon_by_Month_2010-2021'!$H$2:$H$3810,'Rec_raw_catch_effort_2010-2021'!$F2502,'FW_Salmon_by_Month_2010-2021'!$M$2:$M$3810,'Rec_raw_catch_effort_2010-2021'!$K2502)</f>
        <v>2797.1720450060084</v>
      </c>
      <c r="R2502" s="109">
        <f>VLOOKUP(B2502,Readme!$A$62:$C$74,2,)*Q2502</f>
        <v>13481.12424715708</v>
      </c>
      <c r="S2502" s="140" t="str">
        <f t="shared" si="197"/>
        <v>Y</v>
      </c>
      <c r="T2502" s="154">
        <f t="shared" si="198"/>
        <v>8.65</v>
      </c>
      <c r="U2502" s="154">
        <f t="shared" si="199"/>
        <v>4.8195549041132084</v>
      </c>
    </row>
    <row r="2503" spans="1:21" x14ac:dyDescent="0.35">
      <c r="A2503" s="108">
        <v>1061</v>
      </c>
      <c r="B2503" s="108">
        <v>2010</v>
      </c>
      <c r="C2503" s="108" t="s">
        <v>38</v>
      </c>
      <c r="D2503" s="108" t="s">
        <v>143</v>
      </c>
      <c r="E2503" s="108" t="s">
        <v>10</v>
      </c>
      <c r="F2503" s="116">
        <v>834</v>
      </c>
      <c r="G2503" s="108" t="s">
        <v>61</v>
      </c>
      <c r="H2503" s="108" t="str">
        <f t="shared" si="196"/>
        <v>Skokomish River</v>
      </c>
      <c r="I2503" s="108" t="str">
        <f>IFERROR(VLOOKUP(H2503,LUTs!$A$1:$C$73,2,FALSE),"NA")</f>
        <v>Mason</v>
      </c>
      <c r="J2503" s="108" t="str">
        <f>IFERROR(VLOOKUP(H2503,LUTs!$A$1:$C$73,3,FALSE),"NA")</f>
        <v>4 Hood Canal</v>
      </c>
      <c r="K2503" s="108" t="s">
        <v>15</v>
      </c>
      <c r="L2503" s="108" t="str">
        <f>VLOOKUP(K2503,LUTs!E$2:G$14,3,)</f>
        <v>02Skagit</v>
      </c>
      <c r="M2503" s="108" t="str">
        <f>VLOOKUP($K2503,LUTs!$E$2:$H$14,2,)</f>
        <v>North Puget Sound</v>
      </c>
      <c r="N2503" s="108" t="str">
        <f>VLOOKUP($K2503,LUTs!$E$2:$H$14,4,)</f>
        <v>01North Puget Sound</v>
      </c>
      <c r="O2503" s="108">
        <v>59.395070948468998</v>
      </c>
      <c r="P2503" s="108">
        <v>513.76736370425704</v>
      </c>
      <c r="Q2503" s="108">
        <f>SUMIFS('FW_Salmon_by_Month_2010-2021'!P$2:P$3810,'FW_Salmon_by_Month_2010-2021'!$B$2:$B$3810,'Rec_raw_catch_effort_2010-2021'!$B2503,'FW_Salmon_by_Month_2010-2021'!$H$2:$H$3810,'Rec_raw_catch_effort_2010-2021'!$F2503,'FW_Salmon_by_Month_2010-2021'!$M$2:$M$3810,'Rec_raw_catch_effort_2010-2021'!$K2503)</f>
        <v>59.763563962170302</v>
      </c>
      <c r="R2503" s="109">
        <f>VLOOKUP(B2503,Readme!$A$62:$C$74,2,)*Q2503</f>
        <v>288.03377778116129</v>
      </c>
      <c r="S2503" s="140" t="str">
        <f t="shared" si="197"/>
        <v>Y</v>
      </c>
      <c r="T2503" s="154">
        <f t="shared" si="198"/>
        <v>8.6500000000000039</v>
      </c>
      <c r="U2503" s="154">
        <f t="shared" si="199"/>
        <v>4.8195549041132084</v>
      </c>
    </row>
    <row r="2504" spans="1:21" x14ac:dyDescent="0.35">
      <c r="A2504" s="108">
        <v>1062</v>
      </c>
      <c r="B2504" s="108">
        <v>2010</v>
      </c>
      <c r="C2504" s="108" t="s">
        <v>38</v>
      </c>
      <c r="D2504" s="108" t="s">
        <v>143</v>
      </c>
      <c r="E2504" s="108" t="s">
        <v>10</v>
      </c>
      <c r="F2504" s="116">
        <v>834</v>
      </c>
      <c r="G2504" s="108" t="s">
        <v>61</v>
      </c>
      <c r="H2504" s="108" t="str">
        <f t="shared" si="196"/>
        <v>Skokomish River</v>
      </c>
      <c r="I2504" s="108" t="str">
        <f>IFERROR(VLOOKUP(H2504,LUTs!$A$1:$C$73,2,FALSE),"NA")</f>
        <v>Mason</v>
      </c>
      <c r="J2504" s="108" t="str">
        <f>IFERROR(VLOOKUP(H2504,LUTs!$A$1:$C$73,3,FALSE),"NA")</f>
        <v>4 Hood Canal</v>
      </c>
      <c r="K2504" s="108" t="s">
        <v>16</v>
      </c>
      <c r="L2504" s="108" t="str">
        <f>VLOOKUP(K2504,LUTs!E$2:G$14,3,)</f>
        <v>03Snohomish</v>
      </c>
      <c r="M2504" s="108" t="str">
        <f>VLOOKUP($K2504,LUTs!$E$2:$H$14,2,)</f>
        <v>North Puget Sound</v>
      </c>
      <c r="N2504" s="108" t="str">
        <f>VLOOKUP($K2504,LUTs!$E$2:$H$14,4,)</f>
        <v>01North Puget Sound</v>
      </c>
      <c r="O2504" s="108">
        <v>142.548170276326</v>
      </c>
      <c r="P2504" s="108">
        <v>1233.0416728902201</v>
      </c>
      <c r="Q2504" s="108">
        <f>SUMIFS('FW_Salmon_by_Month_2010-2021'!P$2:P$3810,'FW_Salmon_by_Month_2010-2021'!$B$2:$B$3810,'Rec_raw_catch_effort_2010-2021'!$B2504,'FW_Salmon_by_Month_2010-2021'!$H$2:$H$3810,'Rec_raw_catch_effort_2010-2021'!$F2504,'FW_Salmon_by_Month_2010-2021'!$M$2:$M$3810,'Rec_raw_catch_effort_2010-2021'!$K2504)</f>
        <v>143.7713081019412</v>
      </c>
      <c r="R2504" s="109">
        <f>VLOOKUP(B2504,Readme!$A$62:$C$74,2,)*Q2504</f>
        <v>692.91371303348183</v>
      </c>
      <c r="S2504" s="140" t="str">
        <f t="shared" si="197"/>
        <v>Y</v>
      </c>
      <c r="T2504" s="154">
        <f t="shared" si="198"/>
        <v>8.65</v>
      </c>
      <c r="U2504" s="154">
        <f t="shared" si="199"/>
        <v>4.8195549041132084</v>
      </c>
    </row>
    <row r="2505" spans="1:21" x14ac:dyDescent="0.35">
      <c r="A2505" s="108">
        <v>1116</v>
      </c>
      <c r="B2505" s="108">
        <v>2010</v>
      </c>
      <c r="C2505" s="108" t="s">
        <v>38</v>
      </c>
      <c r="D2505" s="108" t="s">
        <v>143</v>
      </c>
      <c r="E2505" s="108" t="s">
        <v>10</v>
      </c>
      <c r="F2505" s="116">
        <v>834</v>
      </c>
      <c r="G2505" s="108" t="s">
        <v>61</v>
      </c>
      <c r="H2505" s="108" t="str">
        <f t="shared" si="196"/>
        <v>Skokomish River</v>
      </c>
      <c r="I2505" s="108" t="str">
        <f>IFERROR(VLOOKUP(H2505,LUTs!$A$1:$C$73,2,FALSE),"NA")</f>
        <v>Mason</v>
      </c>
      <c r="J2505" s="108" t="str">
        <f>IFERROR(VLOOKUP(H2505,LUTs!$A$1:$C$73,3,FALSE),"NA")</f>
        <v>4 Hood Canal</v>
      </c>
      <c r="K2505" s="108" t="s">
        <v>21</v>
      </c>
      <c r="L2505" s="108" t="str">
        <f>VLOOKUP(K2505,LUTs!E$2:G$14,3,)</f>
        <v>08Thurston</v>
      </c>
      <c r="M2505" s="108" t="str">
        <f>VLOOKUP($K2505,LUTs!$E$2:$H$14,2,)</f>
        <v>South Puget Sound</v>
      </c>
      <c r="N2505" s="108" t="str">
        <f>VLOOKUP($K2505,LUTs!$E$2:$H$14,4,)</f>
        <v>02South Puget Sound</v>
      </c>
      <c r="O2505" s="108">
        <v>1597.7274085138199</v>
      </c>
      <c r="P2505" s="108">
        <v>13820.3420836445</v>
      </c>
      <c r="Q2505" s="108">
        <f>SUMIFS('FW_Salmon_by_Month_2010-2021'!P$2:P$3810,'FW_Salmon_by_Month_2010-2021'!$B$2:$B$3810,'Rec_raw_catch_effort_2010-2021'!$B2505,'FW_Salmon_by_Month_2010-2021'!$H$2:$H$3810,'Rec_raw_catch_effort_2010-2021'!$F2505,'FW_Salmon_by_Month_2010-2021'!$M$2:$M$3810,'Rec_raw_catch_effort_2010-2021'!$K2505)</f>
        <v>1610.4701567697543</v>
      </c>
      <c r="R2505" s="109">
        <f>VLOOKUP(B2505,Readme!$A$62:$C$74,2,)*Q2505</f>
        <v>7761.7493419876373</v>
      </c>
      <c r="S2505" s="140" t="str">
        <f t="shared" si="197"/>
        <v>Y</v>
      </c>
      <c r="T2505" s="154">
        <f t="shared" si="198"/>
        <v>8.6499999999999737</v>
      </c>
      <c r="U2505" s="154">
        <f t="shared" si="199"/>
        <v>4.8195549041132084</v>
      </c>
    </row>
    <row r="2506" spans="1:21" x14ac:dyDescent="0.35">
      <c r="A2506" s="108">
        <v>1060</v>
      </c>
      <c r="B2506" s="108">
        <v>2010</v>
      </c>
      <c r="C2506" s="108" t="s">
        <v>38</v>
      </c>
      <c r="D2506" s="108" t="s">
        <v>143</v>
      </c>
      <c r="E2506" s="108" t="s">
        <v>10</v>
      </c>
      <c r="F2506" s="116">
        <v>834</v>
      </c>
      <c r="G2506" s="108" t="s">
        <v>61</v>
      </c>
      <c r="H2506" s="108" t="str">
        <f t="shared" si="196"/>
        <v>Skokomish River</v>
      </c>
      <c r="I2506" s="108" t="str">
        <f>IFERROR(VLOOKUP(H2506,LUTs!$A$1:$C$73,2,FALSE),"NA")</f>
        <v>Mason</v>
      </c>
      <c r="J2506" s="108" t="str">
        <f>IFERROR(VLOOKUP(H2506,LUTs!$A$1:$C$73,3,FALSE),"NA")</f>
        <v>4 Hood Canal</v>
      </c>
      <c r="K2506" s="108" t="s">
        <v>13</v>
      </c>
      <c r="L2506" s="108" t="str">
        <f>VLOOKUP(K2506,LUTs!E$2:G$14,3,)</f>
        <v>01Whatcom</v>
      </c>
      <c r="M2506" s="108" t="str">
        <f>VLOOKUP($K2506,LUTs!$E$2:$H$14,2,)</f>
        <v>North Puget Sound</v>
      </c>
      <c r="N2506" s="108" t="str">
        <f>VLOOKUP($K2506,LUTs!$E$2:$H$14,4,)</f>
        <v>01North Puget Sound</v>
      </c>
      <c r="O2506" s="108">
        <v>29.697535474234499</v>
      </c>
      <c r="P2506" s="108">
        <v>256.88368185212801</v>
      </c>
      <c r="Q2506" s="108">
        <f>SUMIFS('FW_Salmon_by_Month_2010-2021'!P$2:P$3810,'FW_Salmon_by_Month_2010-2021'!$B$2:$B$3810,'Rec_raw_catch_effort_2010-2021'!$B2506,'FW_Salmon_by_Month_2010-2021'!$H$2:$H$3810,'Rec_raw_catch_effort_2010-2021'!$F2506,'FW_Salmon_by_Month_2010-2021'!$M$2:$M$3810,'Rec_raw_catch_effort_2010-2021'!$K2506)</f>
        <v>29.960900247949688</v>
      </c>
      <c r="R2506" s="109">
        <f>VLOOKUP(B2506,Readme!$A$62:$C$74,2,)*Q2506</f>
        <v>144.39820372165255</v>
      </c>
      <c r="S2506" s="140" t="str">
        <f t="shared" si="197"/>
        <v>Y</v>
      </c>
      <c r="T2506" s="154">
        <f t="shared" si="198"/>
        <v>8.6499999999999861</v>
      </c>
      <c r="U2506" s="154">
        <f t="shared" si="199"/>
        <v>4.8195549041132084</v>
      </c>
    </row>
    <row r="2507" spans="1:21" x14ac:dyDescent="0.35">
      <c r="A2507" s="108">
        <v>1129</v>
      </c>
      <c r="B2507" s="108">
        <v>2011</v>
      </c>
      <c r="C2507" s="108" t="s">
        <v>38</v>
      </c>
      <c r="D2507" s="108" t="s">
        <v>143</v>
      </c>
      <c r="E2507" s="108" t="s">
        <v>10</v>
      </c>
      <c r="F2507" s="116">
        <v>834</v>
      </c>
      <c r="G2507" s="108" t="s">
        <v>61</v>
      </c>
      <c r="H2507" s="108" t="str">
        <f t="shared" si="196"/>
        <v>Skokomish River</v>
      </c>
      <c r="I2507" s="108" t="str">
        <f>IFERROR(VLOOKUP(H2507,LUTs!$A$1:$C$73,2,FALSE),"NA")</f>
        <v>Mason</v>
      </c>
      <c r="J2507" s="108" t="str">
        <f>IFERROR(VLOOKUP(H2507,LUTs!$A$1:$C$73,3,FALSE),"NA")</f>
        <v>4 Hood Canal</v>
      </c>
      <c r="K2507" s="108" t="s">
        <v>24</v>
      </c>
      <c r="L2507" s="108" t="str">
        <f>VLOOKUP(K2507,LUTs!E$2:G$14,3,)</f>
        <v>11Clallam</v>
      </c>
      <c r="M2507" s="108" t="str">
        <f>VLOOKUP($K2507,LUTs!$E$2:$H$14,2,)</f>
        <v>Strait of Juan de Fuca</v>
      </c>
      <c r="N2507" s="108" t="str">
        <f>VLOOKUP($K2507,LUTs!$E$2:$H$14,4,)</f>
        <v>03Strait of Juan de Fuca</v>
      </c>
      <c r="O2507" s="108">
        <v>49.934272300469502</v>
      </c>
      <c r="P2507" s="108">
        <v>171.77389671361499</v>
      </c>
      <c r="Q2507" s="108">
        <f>SUMIFS('FW_Salmon_by_Month_2010-2021'!P$2:P$3810,'FW_Salmon_by_Month_2010-2021'!$B$2:$B$3810,'Rec_raw_catch_effort_2010-2021'!$B2507,'FW_Salmon_by_Month_2010-2021'!$H$2:$H$3810,'Rec_raw_catch_effort_2010-2021'!$F2507,'FW_Salmon_by_Month_2010-2021'!$M$2:$M$3810,'Rec_raw_catch_effort_2010-2021'!$K2507)</f>
        <v>52.215406562054199</v>
      </c>
      <c r="R2507" s="109">
        <f>VLOOKUP(B2507,Readme!$A$62:$C$74,2,)*Q2507</f>
        <v>184.79243540278992</v>
      </c>
      <c r="S2507" s="140" t="str">
        <f t="shared" si="197"/>
        <v>Y</v>
      </c>
      <c r="T2507" s="154">
        <f t="shared" si="198"/>
        <v>3.4399999999999982</v>
      </c>
      <c r="U2507" s="154">
        <f t="shared" si="199"/>
        <v>3.5390404397824158</v>
      </c>
    </row>
    <row r="2508" spans="1:21" x14ac:dyDescent="0.35">
      <c r="A2508" s="108">
        <v>1123</v>
      </c>
      <c r="B2508" s="108">
        <v>2011</v>
      </c>
      <c r="C2508" s="108" t="s">
        <v>38</v>
      </c>
      <c r="D2508" s="108" t="s">
        <v>143</v>
      </c>
      <c r="E2508" s="108" t="s">
        <v>10</v>
      </c>
      <c r="F2508" s="116">
        <v>834</v>
      </c>
      <c r="G2508" s="108" t="s">
        <v>61</v>
      </c>
      <c r="H2508" s="108" t="str">
        <f t="shared" si="196"/>
        <v>Skokomish River</v>
      </c>
      <c r="I2508" s="108" t="str">
        <f>IFERROR(VLOOKUP(H2508,LUTs!$A$1:$C$73,2,FALSE),"NA")</f>
        <v>Mason</v>
      </c>
      <c r="J2508" s="108" t="str">
        <f>IFERROR(VLOOKUP(H2508,LUTs!$A$1:$C$73,3,FALSE),"NA")</f>
        <v>4 Hood Canal</v>
      </c>
      <c r="K2508" s="108" t="s">
        <v>17</v>
      </c>
      <c r="L2508" s="108" t="str">
        <f>VLOOKUP(K2508,LUTs!E$2:G$14,3,)</f>
        <v>04Island</v>
      </c>
      <c r="M2508" s="108" t="str">
        <f>VLOOKUP($K2508,LUTs!$E$2:$H$14,2,)</f>
        <v>North Puget Sound</v>
      </c>
      <c r="N2508" s="108" t="str">
        <f>VLOOKUP($K2508,LUTs!$E$2:$H$14,4,)</f>
        <v>01North Puget Sound</v>
      </c>
      <c r="O2508" s="108">
        <v>42.800804828973902</v>
      </c>
      <c r="P2508" s="108">
        <v>147.23476861167001</v>
      </c>
      <c r="Q2508" s="108">
        <f>SUMIFS('FW_Salmon_by_Month_2010-2021'!P$2:P$3810,'FW_Salmon_by_Month_2010-2021'!$B$2:$B$3810,'Rec_raw_catch_effort_2010-2021'!$B2508,'FW_Salmon_by_Month_2010-2021'!$H$2:$H$3810,'Rec_raw_catch_effort_2010-2021'!$F2508,'FW_Salmon_by_Month_2010-2021'!$M$2:$M$3810,'Rec_raw_catch_effort_2010-2021'!$K2508)</f>
        <v>44.756062767475001</v>
      </c>
      <c r="R2508" s="109">
        <f>VLOOKUP(B2508,Readme!$A$62:$C$74,2,)*Q2508</f>
        <v>158.39351605953411</v>
      </c>
      <c r="S2508" s="140" t="str">
        <f t="shared" si="197"/>
        <v>Y</v>
      </c>
      <c r="T2508" s="154">
        <f t="shared" si="198"/>
        <v>3.4399999999999951</v>
      </c>
      <c r="U2508" s="154">
        <f t="shared" si="199"/>
        <v>3.5390404397824153</v>
      </c>
    </row>
    <row r="2509" spans="1:21" x14ac:dyDescent="0.35">
      <c r="A2509" s="108">
        <v>1130</v>
      </c>
      <c r="B2509" s="108">
        <v>2011</v>
      </c>
      <c r="C2509" s="108" t="s">
        <v>38</v>
      </c>
      <c r="D2509" s="108" t="s">
        <v>143</v>
      </c>
      <c r="E2509" s="108" t="s">
        <v>10</v>
      </c>
      <c r="F2509" s="116">
        <v>834</v>
      </c>
      <c r="G2509" s="108" t="s">
        <v>61</v>
      </c>
      <c r="H2509" s="108" t="str">
        <f t="shared" si="196"/>
        <v>Skokomish River</v>
      </c>
      <c r="I2509" s="108" t="str">
        <f>IFERROR(VLOOKUP(H2509,LUTs!$A$1:$C$73,2,FALSE),"NA")</f>
        <v>Mason</v>
      </c>
      <c r="J2509" s="108" t="str">
        <f>IFERROR(VLOOKUP(H2509,LUTs!$A$1:$C$73,3,FALSE),"NA")</f>
        <v>4 Hood Canal</v>
      </c>
      <c r="K2509" s="108" t="s">
        <v>25</v>
      </c>
      <c r="L2509" s="108" t="str">
        <f>VLOOKUP(K2509,LUTs!E$2:G$14,3,)</f>
        <v>12Jefferson</v>
      </c>
      <c r="M2509" s="108" t="str">
        <f>VLOOKUP($K2509,LUTs!$E$2:$H$14,2,)</f>
        <v>Strait of Juan de Fuca</v>
      </c>
      <c r="N2509" s="108" t="str">
        <f>VLOOKUP($K2509,LUTs!$E$2:$H$14,4,)</f>
        <v>03Strait of Juan de Fuca</v>
      </c>
      <c r="O2509" s="108">
        <v>7.1334674714956403</v>
      </c>
      <c r="P2509" s="108">
        <v>24.539128101945</v>
      </c>
      <c r="Q2509" s="108">
        <f>SUMIFS('FW_Salmon_by_Month_2010-2021'!P$2:P$3810,'FW_Salmon_by_Month_2010-2021'!$B$2:$B$3810,'Rec_raw_catch_effort_2010-2021'!$B2509,'FW_Salmon_by_Month_2010-2021'!$H$2:$H$3810,'Rec_raw_catch_effort_2010-2021'!$F2509,'FW_Salmon_by_Month_2010-2021'!$M$2:$M$3810,'Rec_raw_catch_effort_2010-2021'!$K2509)</f>
        <v>7.4593437945791701</v>
      </c>
      <c r="R2509" s="109">
        <f>VLOOKUP(B2509,Readme!$A$62:$C$74,2,)*Q2509</f>
        <v>26.398919343255695</v>
      </c>
      <c r="S2509" s="140" t="str">
        <f t="shared" si="197"/>
        <v>Y</v>
      </c>
      <c r="T2509" s="154">
        <f t="shared" si="198"/>
        <v>3.4399999999999995</v>
      </c>
      <c r="U2509" s="154">
        <f t="shared" si="199"/>
        <v>3.5390404397824153</v>
      </c>
    </row>
    <row r="2510" spans="1:21" x14ac:dyDescent="0.35">
      <c r="A2510" s="108">
        <v>1124</v>
      </c>
      <c r="B2510" s="108">
        <v>2011</v>
      </c>
      <c r="C2510" s="108" t="s">
        <v>38</v>
      </c>
      <c r="D2510" s="108" t="s">
        <v>143</v>
      </c>
      <c r="E2510" s="108" t="s">
        <v>10</v>
      </c>
      <c r="F2510" s="116">
        <v>834</v>
      </c>
      <c r="G2510" s="108" t="s">
        <v>61</v>
      </c>
      <c r="H2510" s="108" t="str">
        <f t="shared" si="196"/>
        <v>Skokomish River</v>
      </c>
      <c r="I2510" s="108" t="str">
        <f>IFERROR(VLOOKUP(H2510,LUTs!$A$1:$C$73,2,FALSE),"NA")</f>
        <v>Mason</v>
      </c>
      <c r="J2510" s="108" t="str">
        <f>IFERROR(VLOOKUP(H2510,LUTs!$A$1:$C$73,3,FALSE),"NA")</f>
        <v>4 Hood Canal</v>
      </c>
      <c r="K2510" s="108" t="s">
        <v>18</v>
      </c>
      <c r="L2510" s="108" t="str">
        <f>VLOOKUP(K2510,LUTs!E$2:G$14,3,)</f>
        <v>06King</v>
      </c>
      <c r="M2510" s="108" t="str">
        <f>VLOOKUP($K2510,LUTs!$E$2:$H$14,2,)</f>
        <v>South Puget Sound</v>
      </c>
      <c r="N2510" s="108" t="str">
        <f>VLOOKUP($K2510,LUTs!$E$2:$H$14,4,)</f>
        <v>02South Puget Sound</v>
      </c>
      <c r="O2510" s="108">
        <v>1897.5023474178399</v>
      </c>
      <c r="P2510" s="108">
        <v>6527.4080751173697</v>
      </c>
      <c r="Q2510" s="108">
        <f>SUMIFS('FW_Salmon_by_Month_2010-2021'!P$2:P$3810,'FW_Salmon_by_Month_2010-2021'!$B$2:$B$3810,'Rec_raw_catch_effort_2010-2021'!$B2510,'FW_Salmon_by_Month_2010-2021'!$H$2:$H$3810,'Rec_raw_catch_effort_2010-2021'!$F2510,'FW_Salmon_by_Month_2010-2021'!$M$2:$M$3810,'Rec_raw_catch_effort_2010-2021'!$K2510)</f>
        <v>1839.8995528950231</v>
      </c>
      <c r="R2510" s="109">
        <f>VLOOKUP(B2510,Readme!$A$62:$C$74,2,)*Q2510</f>
        <v>6511.4789228330719</v>
      </c>
      <c r="S2510" s="140" t="str">
        <f t="shared" si="197"/>
        <v>Y</v>
      </c>
      <c r="T2510" s="154">
        <f t="shared" si="198"/>
        <v>3.44</v>
      </c>
      <c r="U2510" s="154">
        <f t="shared" si="199"/>
        <v>3.5390404397824153</v>
      </c>
    </row>
    <row r="2511" spans="1:21" x14ac:dyDescent="0.35">
      <c r="A2511" s="108">
        <v>1128</v>
      </c>
      <c r="B2511" s="108">
        <v>2011</v>
      </c>
      <c r="C2511" s="108" t="s">
        <v>38</v>
      </c>
      <c r="D2511" s="108" t="s">
        <v>143</v>
      </c>
      <c r="E2511" s="108" t="s">
        <v>10</v>
      </c>
      <c r="F2511" s="116">
        <v>834</v>
      </c>
      <c r="G2511" s="108" t="s">
        <v>61</v>
      </c>
      <c r="H2511" s="108" t="str">
        <f t="shared" si="196"/>
        <v>Skokomish River</v>
      </c>
      <c r="I2511" s="108" t="str">
        <f>IFERROR(VLOOKUP(H2511,LUTs!$A$1:$C$73,2,FALSE),"NA")</f>
        <v>Mason</v>
      </c>
      <c r="J2511" s="108" t="str">
        <f>IFERROR(VLOOKUP(H2511,LUTs!$A$1:$C$73,3,FALSE),"NA")</f>
        <v>4 Hood Canal</v>
      </c>
      <c r="K2511" s="108" t="s">
        <v>23</v>
      </c>
      <c r="L2511" s="108" t="str">
        <f>VLOOKUP(K2511,LUTs!E$2:G$14,3,)</f>
        <v>10Kitsap</v>
      </c>
      <c r="M2511" s="108" t="str">
        <f>VLOOKUP($K2511,LUTs!$E$2:$H$14,2,)</f>
        <v>South Puget Sound</v>
      </c>
      <c r="N2511" s="108" t="str">
        <f>VLOOKUP($K2511,LUTs!$E$2:$H$14,4,)</f>
        <v>02South Puget Sound</v>
      </c>
      <c r="O2511" s="108">
        <v>1697.7652582159601</v>
      </c>
      <c r="P2511" s="108">
        <v>5840.3124882628999</v>
      </c>
      <c r="Q2511" s="108">
        <f>SUMIFS('FW_Salmon_by_Month_2010-2021'!P$2:P$3810,'FW_Salmon_by_Month_2010-2021'!$B$2:$B$3810,'Rec_raw_catch_effort_2010-2021'!$B2511,'FW_Salmon_by_Month_2010-2021'!$H$2:$H$3810,'Rec_raw_catch_effort_2010-2021'!$F2511,'FW_Salmon_by_Month_2010-2021'!$M$2:$M$3810,'Rec_raw_catch_effort_2010-2021'!$K2511)</f>
        <v>1690.451271892829</v>
      </c>
      <c r="R2511" s="109">
        <f>VLOOKUP(B2511,Readme!$A$62:$C$74,2,)*Q2511</f>
        <v>5982.575412710341</v>
      </c>
      <c r="S2511" s="140" t="str">
        <f t="shared" si="197"/>
        <v>Y</v>
      </c>
      <c r="T2511" s="154">
        <f t="shared" si="198"/>
        <v>3.4399999999999982</v>
      </c>
      <c r="U2511" s="154">
        <f t="shared" si="199"/>
        <v>3.5390404397824153</v>
      </c>
    </row>
    <row r="2512" spans="1:21" x14ac:dyDescent="0.35">
      <c r="A2512" s="108">
        <v>1127</v>
      </c>
      <c r="B2512" s="108">
        <v>2011</v>
      </c>
      <c r="C2512" s="108" t="s">
        <v>38</v>
      </c>
      <c r="D2512" s="108" t="s">
        <v>143</v>
      </c>
      <c r="E2512" s="108" t="s">
        <v>10</v>
      </c>
      <c r="F2512" s="116">
        <v>834</v>
      </c>
      <c r="G2512" s="108" t="s">
        <v>61</v>
      </c>
      <c r="H2512" s="108" t="str">
        <f t="shared" si="196"/>
        <v>Skokomish River</v>
      </c>
      <c r="I2512" s="108" t="str">
        <f>IFERROR(VLOOKUP(H2512,LUTs!$A$1:$C$73,2,FALSE),"NA")</f>
        <v>Mason</v>
      </c>
      <c r="J2512" s="108" t="str">
        <f>IFERROR(VLOOKUP(H2512,LUTs!$A$1:$C$73,3,FALSE),"NA")</f>
        <v>4 Hood Canal</v>
      </c>
      <c r="K2512" s="108" t="s">
        <v>22</v>
      </c>
      <c r="L2512" s="108" t="str">
        <f>VLOOKUP(K2512,LUTs!E$2:G$14,3,)</f>
        <v>09Mason</v>
      </c>
      <c r="M2512" s="108" t="str">
        <f>VLOOKUP($K2512,LUTs!$E$2:$H$14,2,)</f>
        <v>South Puget Sound</v>
      </c>
      <c r="N2512" s="108" t="str">
        <f>VLOOKUP($K2512,LUTs!$E$2:$H$14,4,)</f>
        <v>02South Puget Sound</v>
      </c>
      <c r="O2512" s="108">
        <v>1783.36686787391</v>
      </c>
      <c r="P2512" s="108">
        <v>6134.7820254862499</v>
      </c>
      <c r="Q2512" s="108">
        <f>SUMIFS('FW_Salmon_by_Month_2010-2021'!P$2:P$3810,'FW_Salmon_by_Month_2010-2021'!$B$2:$B$3810,'Rec_raw_catch_effort_2010-2021'!$B2512,'FW_Salmon_by_Month_2010-2021'!$H$2:$H$3810,'Rec_raw_catch_effort_2010-2021'!$F2512,'FW_Salmon_by_Month_2010-2021'!$M$2:$M$3810,'Rec_raw_catch_effort_2010-2021'!$K2512)</f>
        <v>1841.4179421441622</v>
      </c>
      <c r="R2512" s="109">
        <f>VLOOKUP(B2512,Readme!$A$62:$C$74,2,)*Q2512</f>
        <v>6516.8525637891062</v>
      </c>
      <c r="S2512" s="140" t="str">
        <f t="shared" si="197"/>
        <v>Y</v>
      </c>
      <c r="T2512" s="154">
        <f t="shared" si="198"/>
        <v>3.44</v>
      </c>
      <c r="U2512" s="154">
        <f t="shared" si="199"/>
        <v>3.5390404397824153</v>
      </c>
    </row>
    <row r="2513" spans="1:21" x14ac:dyDescent="0.35">
      <c r="A2513" s="108">
        <v>1131</v>
      </c>
      <c r="B2513" s="108">
        <v>2011</v>
      </c>
      <c r="C2513" s="108" t="s">
        <v>38</v>
      </c>
      <c r="D2513" s="108" t="s">
        <v>143</v>
      </c>
      <c r="E2513" s="108" t="s">
        <v>10</v>
      </c>
      <c r="F2513" s="116">
        <v>834</v>
      </c>
      <c r="G2513" s="108" t="s">
        <v>61</v>
      </c>
      <c r="H2513" s="108" t="str">
        <f t="shared" si="196"/>
        <v>Skokomish River</v>
      </c>
      <c r="I2513" s="108" t="str">
        <f>IFERROR(VLOOKUP(H2513,LUTs!$A$1:$C$73,2,FALSE),"NA")</f>
        <v>Mason</v>
      </c>
      <c r="J2513" s="108" t="str">
        <f>IFERROR(VLOOKUP(H2513,LUTs!$A$1:$C$73,3,FALSE),"NA")</f>
        <v>4 Hood Canal</v>
      </c>
      <c r="K2513" s="108" t="s">
        <v>26</v>
      </c>
      <c r="L2513" s="108" t="str">
        <f>VLOOKUP(K2513,LUTs!E$2:G$14,3,)</f>
        <v>20Other</v>
      </c>
      <c r="M2513" s="108" t="str">
        <f>VLOOKUP($K2513,LUTs!$E$2:$H$14,2,)</f>
        <v>Non Puget Sound</v>
      </c>
      <c r="N2513" s="108" t="str">
        <f>VLOOKUP($K2513,LUTs!$E$2:$H$14,4,)</f>
        <v>07Non Puget Sound</v>
      </c>
      <c r="O2513" s="108">
        <v>920.21730382293799</v>
      </c>
      <c r="P2513" s="108">
        <v>3165.5475251509101</v>
      </c>
      <c r="Q2513" s="108">
        <f>SUMIFS('FW_Salmon_by_Month_2010-2021'!P$2:P$3810,'FW_Salmon_by_Month_2010-2021'!$B$2:$B$3810,'Rec_raw_catch_effort_2010-2021'!$B2513,'FW_Salmon_by_Month_2010-2021'!$H$2:$H$3810,'Rec_raw_catch_effort_2010-2021'!$F2513,'FW_Salmon_by_Month_2010-2021'!$M$2:$M$3810,'Rec_raw_catch_effort_2010-2021'!$K2513)</f>
        <v>922.15027716377608</v>
      </c>
      <c r="R2513" s="109">
        <f>VLOOKUP(B2513,Readme!$A$62:$C$74,2,)*Q2513</f>
        <v>3263.5271224391663</v>
      </c>
      <c r="S2513" s="140" t="str">
        <f t="shared" si="197"/>
        <v>Y</v>
      </c>
      <c r="T2513" s="154">
        <f t="shared" si="198"/>
        <v>3.4400000000000039</v>
      </c>
      <c r="U2513" s="154">
        <f t="shared" si="199"/>
        <v>3.5390404397824153</v>
      </c>
    </row>
    <row r="2514" spans="1:21" x14ac:dyDescent="0.35">
      <c r="A2514" s="108">
        <v>1125</v>
      </c>
      <c r="B2514" s="108">
        <v>2011</v>
      </c>
      <c r="C2514" s="108" t="s">
        <v>38</v>
      </c>
      <c r="D2514" s="108" t="s">
        <v>143</v>
      </c>
      <c r="E2514" s="108" t="s">
        <v>10</v>
      </c>
      <c r="F2514" s="116">
        <v>834</v>
      </c>
      <c r="G2514" s="108" t="s">
        <v>61</v>
      </c>
      <c r="H2514" s="108" t="str">
        <f t="shared" si="196"/>
        <v>Skokomish River</v>
      </c>
      <c r="I2514" s="108" t="str">
        <f>IFERROR(VLOOKUP(H2514,LUTs!$A$1:$C$73,2,FALSE),"NA")</f>
        <v>Mason</v>
      </c>
      <c r="J2514" s="108" t="str">
        <f>IFERROR(VLOOKUP(H2514,LUTs!$A$1:$C$73,3,FALSE),"NA")</f>
        <v>4 Hood Canal</v>
      </c>
      <c r="K2514" s="108" t="s">
        <v>20</v>
      </c>
      <c r="L2514" s="108" t="str">
        <f>VLOOKUP(K2514,LUTs!E$2:G$14,3,)</f>
        <v>07Pierce</v>
      </c>
      <c r="M2514" s="108" t="str">
        <f>VLOOKUP($K2514,LUTs!$E$2:$H$14,2,)</f>
        <v>South Puget Sound</v>
      </c>
      <c r="N2514" s="108" t="str">
        <f>VLOOKUP($K2514,LUTs!$E$2:$H$14,4,)</f>
        <v>02South Puget Sound</v>
      </c>
      <c r="O2514" s="108">
        <v>1712.0321931589499</v>
      </c>
      <c r="P2514" s="108">
        <v>5889.3907444667902</v>
      </c>
      <c r="Q2514" s="108">
        <f>SUMIFS('FW_Salmon_by_Month_2010-2021'!P$2:P$3810,'FW_Salmon_by_Month_2010-2021'!$B$2:$B$3810,'Rec_raw_catch_effort_2010-2021'!$B2514,'FW_Salmon_by_Month_2010-2021'!$H$2:$H$3810,'Rec_raw_catch_effort_2010-2021'!$F2514,'FW_Salmon_by_Month_2010-2021'!$M$2:$M$3810,'Rec_raw_catch_effort_2010-2021'!$K2514)</f>
        <v>1682.7225340516159</v>
      </c>
      <c r="R2514" s="109">
        <f>VLOOKUP(B2514,Readme!$A$62:$C$74,2,)*Q2514</f>
        <v>5955.2230969418106</v>
      </c>
      <c r="S2514" s="140" t="str">
        <f t="shared" si="197"/>
        <v>Y</v>
      </c>
      <c r="T2514" s="154">
        <f t="shared" si="198"/>
        <v>3.4400000000000017</v>
      </c>
      <c r="U2514" s="154">
        <f t="shared" si="199"/>
        <v>3.5390404397824149</v>
      </c>
    </row>
    <row r="2515" spans="1:21" x14ac:dyDescent="0.35">
      <c r="A2515" s="108">
        <v>1122</v>
      </c>
      <c r="B2515" s="108">
        <v>2011</v>
      </c>
      <c r="C2515" s="108" t="s">
        <v>38</v>
      </c>
      <c r="D2515" s="108" t="s">
        <v>143</v>
      </c>
      <c r="E2515" s="108" t="s">
        <v>10</v>
      </c>
      <c r="F2515" s="116">
        <v>834</v>
      </c>
      <c r="G2515" s="108" t="s">
        <v>61</v>
      </c>
      <c r="H2515" s="108" t="str">
        <f t="shared" si="196"/>
        <v>Skokomish River</v>
      </c>
      <c r="I2515" s="108" t="str">
        <f>IFERROR(VLOOKUP(H2515,LUTs!$A$1:$C$73,2,FALSE),"NA")</f>
        <v>Mason</v>
      </c>
      <c r="J2515" s="108" t="str">
        <f>IFERROR(VLOOKUP(H2515,LUTs!$A$1:$C$73,3,FALSE),"NA")</f>
        <v>4 Hood Canal</v>
      </c>
      <c r="K2515" s="108" t="s">
        <v>16</v>
      </c>
      <c r="L2515" s="108" t="str">
        <f>VLOOKUP(K2515,LUTs!E$2:G$14,3,)</f>
        <v>03Snohomish</v>
      </c>
      <c r="M2515" s="108" t="str">
        <f>VLOOKUP($K2515,LUTs!$E$2:$H$14,2,)</f>
        <v>North Puget Sound</v>
      </c>
      <c r="N2515" s="108" t="str">
        <f>VLOOKUP($K2515,LUTs!$E$2:$H$14,4,)</f>
        <v>01North Puget Sound</v>
      </c>
      <c r="O2515" s="108">
        <v>271.07176391683402</v>
      </c>
      <c r="P2515" s="108">
        <v>932.48686787390898</v>
      </c>
      <c r="Q2515" s="108">
        <f>SUMIFS('FW_Salmon_by_Month_2010-2021'!P$2:P$3810,'FW_Salmon_by_Month_2010-2021'!$B$2:$B$3810,'Rec_raw_catch_effort_2010-2021'!$B2515,'FW_Salmon_by_Month_2010-2021'!$H$2:$H$3810,'Rec_raw_catch_effort_2010-2021'!$F2515,'FW_Salmon_by_Month_2010-2021'!$M$2:$M$3810,'Rec_raw_catch_effort_2010-2021'!$K2515)</f>
        <v>279.2897930097966</v>
      </c>
      <c r="R2515" s="109">
        <f>VLOOKUP(B2515,Readme!$A$62:$C$74,2,)*Q2515</f>
        <v>988.41787188013029</v>
      </c>
      <c r="S2515" s="140" t="str">
        <f t="shared" si="197"/>
        <v>Y</v>
      </c>
      <c r="T2515" s="154">
        <f t="shared" si="198"/>
        <v>3.44</v>
      </c>
      <c r="U2515" s="154">
        <f t="shared" si="199"/>
        <v>3.5390404397824153</v>
      </c>
    </row>
    <row r="2516" spans="1:21" x14ac:dyDescent="0.35">
      <c r="A2516" s="108">
        <v>1126</v>
      </c>
      <c r="B2516" s="108">
        <v>2011</v>
      </c>
      <c r="C2516" s="108" t="s">
        <v>38</v>
      </c>
      <c r="D2516" s="108" t="s">
        <v>143</v>
      </c>
      <c r="E2516" s="108" t="s">
        <v>10</v>
      </c>
      <c r="F2516" s="116">
        <v>834</v>
      </c>
      <c r="G2516" s="108" t="s">
        <v>61</v>
      </c>
      <c r="H2516" s="108" t="str">
        <f t="shared" si="196"/>
        <v>Skokomish River</v>
      </c>
      <c r="I2516" s="108" t="str">
        <f>IFERROR(VLOOKUP(H2516,LUTs!$A$1:$C$73,2,FALSE),"NA")</f>
        <v>Mason</v>
      </c>
      <c r="J2516" s="108" t="str">
        <f>IFERROR(VLOOKUP(H2516,LUTs!$A$1:$C$73,3,FALSE),"NA")</f>
        <v>4 Hood Canal</v>
      </c>
      <c r="K2516" s="108" t="s">
        <v>21</v>
      </c>
      <c r="L2516" s="108" t="str">
        <f>VLOOKUP(K2516,LUTs!E$2:G$14,3,)</f>
        <v>08Thurston</v>
      </c>
      <c r="M2516" s="108" t="str">
        <f>VLOOKUP($K2516,LUTs!$E$2:$H$14,2,)</f>
        <v>South Puget Sound</v>
      </c>
      <c r="N2516" s="108" t="str">
        <f>VLOOKUP($K2516,LUTs!$E$2:$H$14,4,)</f>
        <v>02South Puget Sound</v>
      </c>
      <c r="O2516" s="108">
        <v>2225.6418511066399</v>
      </c>
      <c r="P2516" s="108">
        <v>7656.2079678068403</v>
      </c>
      <c r="Q2516" s="108">
        <f>SUMIFS('FW_Salmon_by_Month_2010-2021'!P$2:P$3810,'FW_Salmon_by_Month_2010-2021'!$B$2:$B$3810,'Rec_raw_catch_effort_2010-2021'!$B2516,'FW_Salmon_by_Month_2010-2021'!$H$2:$H$3810,'Rec_raw_catch_effort_2010-2021'!$F2516,'FW_Salmon_by_Month_2010-2021'!$M$2:$M$3810,'Rec_raw_catch_effort_2010-2021'!$K2516)</f>
        <v>2251.9762772571589</v>
      </c>
      <c r="R2516" s="109">
        <f>VLOOKUP(B2516,Readme!$A$62:$C$74,2,)*Q2516</f>
        <v>7969.8351146437426</v>
      </c>
      <c r="S2516" s="140" t="str">
        <f t="shared" si="197"/>
        <v>Y</v>
      </c>
      <c r="T2516" s="154">
        <f t="shared" si="198"/>
        <v>3.4399999999999995</v>
      </c>
      <c r="U2516" s="154">
        <f t="shared" si="199"/>
        <v>3.5390404397824153</v>
      </c>
    </row>
    <row r="2517" spans="1:21" x14ac:dyDescent="0.35">
      <c r="A2517" s="108">
        <v>1121</v>
      </c>
      <c r="B2517" s="108">
        <v>2011</v>
      </c>
      <c r="C2517" s="108" t="s">
        <v>38</v>
      </c>
      <c r="D2517" s="108" t="s">
        <v>143</v>
      </c>
      <c r="E2517" s="108" t="s">
        <v>10</v>
      </c>
      <c r="F2517" s="116">
        <v>834</v>
      </c>
      <c r="G2517" s="108" t="s">
        <v>61</v>
      </c>
      <c r="H2517" s="108" t="str">
        <f t="shared" si="196"/>
        <v>Skokomish River</v>
      </c>
      <c r="I2517" s="108" t="str">
        <f>IFERROR(VLOOKUP(H2517,LUTs!$A$1:$C$73,2,FALSE),"NA")</f>
        <v>Mason</v>
      </c>
      <c r="J2517" s="108" t="str">
        <f>IFERROR(VLOOKUP(H2517,LUTs!$A$1:$C$73,3,FALSE),"NA")</f>
        <v>4 Hood Canal</v>
      </c>
      <c r="K2517" s="108" t="s">
        <v>13</v>
      </c>
      <c r="L2517" s="108" t="str">
        <f>VLOOKUP(K2517,LUTs!E$2:G$14,3,)</f>
        <v>01Whatcom</v>
      </c>
      <c r="M2517" s="108" t="str">
        <f>VLOOKUP($K2517,LUTs!$E$2:$H$14,2,)</f>
        <v>North Puget Sound</v>
      </c>
      <c r="N2517" s="108" t="str">
        <f>VLOOKUP($K2517,LUTs!$E$2:$H$14,4,)</f>
        <v>01North Puget Sound</v>
      </c>
      <c r="O2517" s="108">
        <v>28.5338698859826</v>
      </c>
      <c r="P2517" s="108">
        <v>98.156512407780099</v>
      </c>
      <c r="Q2517" s="108">
        <f>SUMIFS('FW_Salmon_by_Month_2010-2021'!P$2:P$3810,'FW_Salmon_by_Month_2010-2021'!$B$2:$B$3810,'Rec_raw_catch_effort_2010-2021'!$B2517,'FW_Salmon_by_Month_2010-2021'!$H$2:$H$3810,'Rec_raw_catch_effort_2010-2021'!$F2517,'FW_Salmon_by_Month_2010-2021'!$M$2:$M$3810,'Rec_raw_catch_effort_2010-2021'!$K2517)</f>
        <v>29.661538461538498</v>
      </c>
      <c r="R2517" s="109">
        <f>VLOOKUP(B2517,Readme!$A$62:$C$74,2,)*Q2517</f>
        <v>104.97338412154623</v>
      </c>
      <c r="S2517" s="140" t="str">
        <f t="shared" si="197"/>
        <v>Y</v>
      </c>
      <c r="T2517" s="154">
        <f t="shared" si="198"/>
        <v>3.4399999999999982</v>
      </c>
      <c r="U2517" s="154">
        <f t="shared" si="199"/>
        <v>3.5390404397824153</v>
      </c>
    </row>
    <row r="2518" spans="1:21" x14ac:dyDescent="0.35">
      <c r="A2518" s="108">
        <v>1133</v>
      </c>
      <c r="B2518" s="108">
        <v>2012</v>
      </c>
      <c r="C2518" s="108" t="s">
        <v>38</v>
      </c>
      <c r="D2518" s="108" t="s">
        <v>143</v>
      </c>
      <c r="E2518" s="108" t="s">
        <v>10</v>
      </c>
      <c r="F2518" s="116">
        <v>834</v>
      </c>
      <c r="G2518" s="108" t="s">
        <v>61</v>
      </c>
      <c r="H2518" s="108" t="str">
        <f t="shared" si="196"/>
        <v>Skokomish River</v>
      </c>
      <c r="I2518" s="108" t="str">
        <f>IFERROR(VLOOKUP(H2518,LUTs!$A$1:$C$73,2,FALSE),"NA")</f>
        <v>Mason</v>
      </c>
      <c r="J2518" s="108" t="str">
        <f>IFERROR(VLOOKUP(H2518,LUTs!$A$1:$C$73,3,FALSE),"NA")</f>
        <v>4 Hood Canal</v>
      </c>
      <c r="K2518" s="108" t="s">
        <v>17</v>
      </c>
      <c r="L2518" s="108" t="str">
        <f>VLOOKUP(K2518,LUTs!E$2:G$14,3,)</f>
        <v>04Island</v>
      </c>
      <c r="M2518" s="108" t="str">
        <f>VLOOKUP($K2518,LUTs!$E$2:$H$14,2,)</f>
        <v>North Puget Sound</v>
      </c>
      <c r="N2518" s="108" t="str">
        <f>VLOOKUP($K2518,LUTs!$E$2:$H$14,4,)</f>
        <v>01North Puget Sound</v>
      </c>
      <c r="O2518" s="108">
        <v>64.727626459144005</v>
      </c>
      <c r="P2518" s="108">
        <v>559.89396887159603</v>
      </c>
      <c r="Q2518" s="108">
        <f>SUMIFS('FW_Salmon_by_Month_2010-2021'!P$2:P$3810,'FW_Salmon_by_Month_2010-2021'!$B$2:$B$3810,'Rec_raw_catch_effort_2010-2021'!$B2518,'FW_Salmon_by_Month_2010-2021'!$H$2:$H$3810,'Rec_raw_catch_effort_2010-2021'!$F2518,'FW_Salmon_by_Month_2010-2021'!$M$2:$M$3810,'Rec_raw_catch_effort_2010-2021'!$K2518)</f>
        <v>65.1851876944271</v>
      </c>
      <c r="R2518" s="109">
        <f>VLOOKUP(B2518,Readme!$A$62:$C$74,2,)*Q2518</f>
        <v>314.1635910282161</v>
      </c>
      <c r="S2518" s="140" t="str">
        <f t="shared" si="197"/>
        <v>Y</v>
      </c>
      <c r="T2518" s="154">
        <f t="shared" si="198"/>
        <v>8.6500000000000057</v>
      </c>
      <c r="U2518" s="154">
        <f t="shared" si="199"/>
        <v>4.8195549041132084</v>
      </c>
    </row>
    <row r="2519" spans="1:21" x14ac:dyDescent="0.35">
      <c r="A2519" s="108">
        <v>1148</v>
      </c>
      <c r="B2519" s="108">
        <v>2012</v>
      </c>
      <c r="C2519" s="108" t="s">
        <v>38</v>
      </c>
      <c r="D2519" s="108" t="s">
        <v>143</v>
      </c>
      <c r="E2519" s="108" t="s">
        <v>10</v>
      </c>
      <c r="F2519" s="116">
        <v>834</v>
      </c>
      <c r="G2519" s="108" t="s">
        <v>61</v>
      </c>
      <c r="H2519" s="108" t="str">
        <f t="shared" si="196"/>
        <v>Skokomish River</v>
      </c>
      <c r="I2519" s="108" t="str">
        <f>IFERROR(VLOOKUP(H2519,LUTs!$A$1:$C$73,2,FALSE),"NA")</f>
        <v>Mason</v>
      </c>
      <c r="J2519" s="108" t="str">
        <f>IFERROR(VLOOKUP(H2519,LUTs!$A$1:$C$73,3,FALSE),"NA")</f>
        <v>4 Hood Canal</v>
      </c>
      <c r="K2519" s="108" t="s">
        <v>25</v>
      </c>
      <c r="L2519" s="108" t="str">
        <f>VLOOKUP(K2519,LUTs!E$2:G$14,3,)</f>
        <v>12Jefferson</v>
      </c>
      <c r="M2519" s="108" t="str">
        <f>VLOOKUP($K2519,LUTs!$E$2:$H$14,2,)</f>
        <v>Strait of Juan de Fuca</v>
      </c>
      <c r="N2519" s="108" t="str">
        <f>VLOOKUP($K2519,LUTs!$E$2:$H$14,4,)</f>
        <v>03Strait of Juan de Fuca</v>
      </c>
      <c r="O2519" s="108">
        <v>7.1919584954604403</v>
      </c>
      <c r="P2519" s="108">
        <v>62.210440985732802</v>
      </c>
      <c r="Q2519" s="108">
        <f>SUMIFS('FW_Salmon_by_Month_2010-2021'!P$2:P$3810,'FW_Salmon_by_Month_2010-2021'!$B$2:$B$3810,'Rec_raw_catch_effort_2010-2021'!$B2519,'FW_Salmon_by_Month_2010-2021'!$H$2:$H$3810,'Rec_raw_catch_effort_2010-2021'!$F2519,'FW_Salmon_by_Month_2010-2021'!$M$2:$M$3810,'Rec_raw_catch_effort_2010-2021'!$K2519)</f>
        <v>7.2455242966751898</v>
      </c>
      <c r="R2519" s="109">
        <f>VLOOKUP(B2519,Readme!$A$62:$C$74,2,)*Q2519</f>
        <v>34.920202156912318</v>
      </c>
      <c r="S2519" s="140" t="str">
        <f t="shared" si="197"/>
        <v>Y</v>
      </c>
      <c r="T2519" s="154">
        <f t="shared" si="198"/>
        <v>8.6499999999999986</v>
      </c>
      <c r="U2519" s="154">
        <f t="shared" si="199"/>
        <v>4.8195549041132084</v>
      </c>
    </row>
    <row r="2520" spans="1:21" x14ac:dyDescent="0.35">
      <c r="A2520" s="108">
        <v>1143</v>
      </c>
      <c r="B2520" s="108">
        <v>2012</v>
      </c>
      <c r="C2520" s="108" t="s">
        <v>38</v>
      </c>
      <c r="D2520" s="108" t="s">
        <v>143</v>
      </c>
      <c r="E2520" s="108" t="s">
        <v>10</v>
      </c>
      <c r="F2520" s="116">
        <v>834</v>
      </c>
      <c r="G2520" s="108" t="s">
        <v>61</v>
      </c>
      <c r="H2520" s="108" t="str">
        <f t="shared" si="196"/>
        <v>Skokomish River</v>
      </c>
      <c r="I2520" s="108" t="str">
        <f>IFERROR(VLOOKUP(H2520,LUTs!$A$1:$C$73,2,FALSE),"NA")</f>
        <v>Mason</v>
      </c>
      <c r="J2520" s="108" t="str">
        <f>IFERROR(VLOOKUP(H2520,LUTs!$A$1:$C$73,3,FALSE),"NA")</f>
        <v>4 Hood Canal</v>
      </c>
      <c r="K2520" s="108" t="s">
        <v>18</v>
      </c>
      <c r="L2520" s="108" t="str">
        <f>VLOOKUP(K2520,LUTs!E$2:G$14,3,)</f>
        <v>06King</v>
      </c>
      <c r="M2520" s="108" t="str">
        <f>VLOOKUP($K2520,LUTs!$E$2:$H$14,2,)</f>
        <v>South Puget Sound</v>
      </c>
      <c r="N2520" s="108" t="str">
        <f>VLOOKUP($K2520,LUTs!$E$2:$H$14,4,)</f>
        <v>02South Puget Sound</v>
      </c>
      <c r="O2520" s="108">
        <v>2502.8015564202301</v>
      </c>
      <c r="P2520" s="108">
        <v>21649.233463035001</v>
      </c>
      <c r="Q2520" s="108">
        <f>SUMIFS('FW_Salmon_by_Month_2010-2021'!P$2:P$3810,'FW_Salmon_by_Month_2010-2021'!$B$2:$B$3810,'Rec_raw_catch_effort_2010-2021'!$B2520,'FW_Salmon_by_Month_2010-2021'!$H$2:$H$3810,'Rec_raw_catch_effort_2010-2021'!$F2520,'FW_Salmon_by_Month_2010-2021'!$M$2:$M$3810,'Rec_raw_catch_effort_2010-2021'!$K2520)</f>
        <v>2512.9291253763004</v>
      </c>
      <c r="R2520" s="109">
        <f>VLOOKUP(B2520,Readme!$A$62:$C$74,2,)*Q2520</f>
        <v>12111.199889896265</v>
      </c>
      <c r="S2520" s="140" t="str">
        <f t="shared" si="197"/>
        <v>Y</v>
      </c>
      <c r="T2520" s="154">
        <f t="shared" si="198"/>
        <v>8.6500000000000039</v>
      </c>
      <c r="U2520" s="154">
        <f t="shared" si="199"/>
        <v>4.8195549041132084</v>
      </c>
    </row>
    <row r="2521" spans="1:21" x14ac:dyDescent="0.35">
      <c r="A2521" s="108">
        <v>1147</v>
      </c>
      <c r="B2521" s="108">
        <v>2012</v>
      </c>
      <c r="C2521" s="108" t="s">
        <v>38</v>
      </c>
      <c r="D2521" s="108" t="s">
        <v>143</v>
      </c>
      <c r="E2521" s="108" t="s">
        <v>10</v>
      </c>
      <c r="F2521" s="116">
        <v>834</v>
      </c>
      <c r="G2521" s="108" t="s">
        <v>61</v>
      </c>
      <c r="H2521" s="108" t="str">
        <f t="shared" si="196"/>
        <v>Skokomish River</v>
      </c>
      <c r="I2521" s="108" t="str">
        <f>IFERROR(VLOOKUP(H2521,LUTs!$A$1:$C$73,2,FALSE),"NA")</f>
        <v>Mason</v>
      </c>
      <c r="J2521" s="108" t="str">
        <f>IFERROR(VLOOKUP(H2521,LUTs!$A$1:$C$73,3,FALSE),"NA")</f>
        <v>4 Hood Canal</v>
      </c>
      <c r="K2521" s="108" t="s">
        <v>23</v>
      </c>
      <c r="L2521" s="108" t="str">
        <f>VLOOKUP(K2521,LUTs!E$2:G$14,3,)</f>
        <v>10Kitsap</v>
      </c>
      <c r="M2521" s="108" t="str">
        <f>VLOOKUP($K2521,LUTs!$E$2:$H$14,2,)</f>
        <v>South Puget Sound</v>
      </c>
      <c r="N2521" s="108" t="str">
        <f>VLOOKUP($K2521,LUTs!$E$2:$H$14,4,)</f>
        <v>02South Puget Sound</v>
      </c>
      <c r="O2521" s="108">
        <v>733.57976653696505</v>
      </c>
      <c r="P2521" s="108">
        <v>6345.4649805447498</v>
      </c>
      <c r="Q2521" s="108">
        <f>SUMIFS('FW_Salmon_by_Month_2010-2021'!P$2:P$3810,'FW_Salmon_by_Month_2010-2021'!$B$2:$B$3810,'Rec_raw_catch_effort_2010-2021'!$B2521,'FW_Salmon_by_Month_2010-2021'!$H$2:$H$3810,'Rec_raw_catch_effort_2010-2021'!$F2521,'FW_Salmon_by_Month_2010-2021'!$M$2:$M$3810,'Rec_raw_catch_effort_2010-2021'!$K2521)</f>
        <v>724.2834556380991</v>
      </c>
      <c r="R2521" s="109">
        <f>VLOOKUP(B2521,Readme!$A$62:$C$74,2,)*Q2521</f>
        <v>3490.7238805886618</v>
      </c>
      <c r="S2521" s="140" t="str">
        <f t="shared" si="197"/>
        <v>Y</v>
      </c>
      <c r="T2521" s="154">
        <f t="shared" si="198"/>
        <v>8.6500000000000021</v>
      </c>
      <c r="U2521" s="154">
        <f t="shared" si="199"/>
        <v>4.8195549041132084</v>
      </c>
    </row>
    <row r="2522" spans="1:21" x14ac:dyDescent="0.35">
      <c r="A2522" s="108">
        <v>1146</v>
      </c>
      <c r="B2522" s="108">
        <v>2012</v>
      </c>
      <c r="C2522" s="108" t="s">
        <v>38</v>
      </c>
      <c r="D2522" s="108" t="s">
        <v>143</v>
      </c>
      <c r="E2522" s="108" t="s">
        <v>10</v>
      </c>
      <c r="F2522" s="116">
        <v>834</v>
      </c>
      <c r="G2522" s="108" t="s">
        <v>61</v>
      </c>
      <c r="H2522" s="108" t="str">
        <f t="shared" si="196"/>
        <v>Skokomish River</v>
      </c>
      <c r="I2522" s="108" t="str">
        <f>IFERROR(VLOOKUP(H2522,LUTs!$A$1:$C$73,2,FALSE),"NA")</f>
        <v>Mason</v>
      </c>
      <c r="J2522" s="108" t="str">
        <f>IFERROR(VLOOKUP(H2522,LUTs!$A$1:$C$73,3,FALSE),"NA")</f>
        <v>4 Hood Canal</v>
      </c>
      <c r="K2522" s="108" t="s">
        <v>22</v>
      </c>
      <c r="L2522" s="108" t="str">
        <f>VLOOKUP(K2522,LUTs!E$2:G$14,3,)</f>
        <v>09Mason</v>
      </c>
      <c r="M2522" s="108" t="str">
        <f>VLOOKUP($K2522,LUTs!$E$2:$H$14,2,)</f>
        <v>South Puget Sound</v>
      </c>
      <c r="N2522" s="108" t="str">
        <f>VLOOKUP($K2522,LUTs!$E$2:$H$14,4,)</f>
        <v>02South Puget Sound</v>
      </c>
      <c r="O2522" s="108">
        <v>1762.02983138781</v>
      </c>
      <c r="P2522" s="108">
        <v>15241.558041504601</v>
      </c>
      <c r="Q2522" s="108">
        <f>SUMIFS('FW_Salmon_by_Month_2010-2021'!P$2:P$3810,'FW_Salmon_by_Month_2010-2021'!$B$2:$B$3810,'Rec_raw_catch_effort_2010-2021'!$B2522,'FW_Salmon_by_Month_2010-2021'!$H$2:$H$3810,'Rec_raw_catch_effort_2010-2021'!$F2522,'FW_Salmon_by_Month_2010-2021'!$M$2:$M$3810,'Rec_raw_catch_effort_2010-2021'!$K2522)</f>
        <v>1730.902873643241</v>
      </c>
      <c r="R2522" s="109">
        <f>VLOOKUP(B2522,Readme!$A$62:$C$74,2,)*Q2522</f>
        <v>8342.1814332109279</v>
      </c>
      <c r="S2522" s="140" t="str">
        <f t="shared" si="197"/>
        <v>Y</v>
      </c>
      <c r="T2522" s="154">
        <f t="shared" si="198"/>
        <v>8.6500000000000252</v>
      </c>
      <c r="U2522" s="154">
        <f t="shared" si="199"/>
        <v>4.8195549041132084</v>
      </c>
    </row>
    <row r="2523" spans="1:21" x14ac:dyDescent="0.35">
      <c r="A2523" s="108">
        <v>1149</v>
      </c>
      <c r="B2523" s="108">
        <v>2012</v>
      </c>
      <c r="C2523" s="108" t="s">
        <v>38</v>
      </c>
      <c r="D2523" s="108" t="s">
        <v>143</v>
      </c>
      <c r="E2523" s="108" t="s">
        <v>10</v>
      </c>
      <c r="F2523" s="116">
        <v>834</v>
      </c>
      <c r="G2523" s="108" t="s">
        <v>61</v>
      </c>
      <c r="H2523" s="108" t="str">
        <f t="shared" si="196"/>
        <v>Skokomish River</v>
      </c>
      <c r="I2523" s="108" t="str">
        <f>IFERROR(VLOOKUP(H2523,LUTs!$A$1:$C$73,2,FALSE),"NA")</f>
        <v>Mason</v>
      </c>
      <c r="J2523" s="108" t="str">
        <f>IFERROR(VLOOKUP(H2523,LUTs!$A$1:$C$73,3,FALSE),"NA")</f>
        <v>4 Hood Canal</v>
      </c>
      <c r="K2523" s="108" t="s">
        <v>26</v>
      </c>
      <c r="L2523" s="108" t="str">
        <f>VLOOKUP(K2523,LUTs!E$2:G$14,3,)</f>
        <v>20Other</v>
      </c>
      <c r="M2523" s="108" t="str">
        <f>VLOOKUP($K2523,LUTs!$E$2:$H$14,2,)</f>
        <v>Non Puget Sound</v>
      </c>
      <c r="N2523" s="108" t="str">
        <f>VLOOKUP($K2523,LUTs!$E$2:$H$14,4,)</f>
        <v>07Non Puget Sound</v>
      </c>
      <c r="O2523" s="108">
        <v>1035.6420233463</v>
      </c>
      <c r="P2523" s="108">
        <v>8958.3035019454892</v>
      </c>
      <c r="Q2523" s="108">
        <f>SUMIFS('FW_Salmon_by_Month_2010-2021'!P$2:P$3810,'FW_Salmon_by_Month_2010-2021'!$B$2:$B$3810,'Rec_raw_catch_effort_2010-2021'!$B2523,'FW_Salmon_by_Month_2010-2021'!$H$2:$H$3810,'Rec_raw_catch_effort_2010-2021'!$F2523,'FW_Salmon_by_Month_2010-2021'!$M$2:$M$3810,'Rec_raw_catch_effort_2010-2021'!$K2523)</f>
        <v>1035.6246196879406</v>
      </c>
      <c r="R2523" s="109">
        <f>VLOOKUP(B2523,Readme!$A$62:$C$74,2,)*Q2523</f>
        <v>4991.2497146373908</v>
      </c>
      <c r="S2523" s="140" t="str">
        <f t="shared" si="197"/>
        <v>Y</v>
      </c>
      <c r="T2523" s="154">
        <f t="shared" si="198"/>
        <v>8.649999999999995</v>
      </c>
      <c r="U2523" s="154">
        <f t="shared" si="199"/>
        <v>4.8195549041132084</v>
      </c>
    </row>
    <row r="2524" spans="1:21" x14ac:dyDescent="0.35">
      <c r="A2524" s="108">
        <v>1144</v>
      </c>
      <c r="B2524" s="108">
        <v>2012</v>
      </c>
      <c r="C2524" s="108" t="s">
        <v>38</v>
      </c>
      <c r="D2524" s="108" t="s">
        <v>143</v>
      </c>
      <c r="E2524" s="108" t="s">
        <v>10</v>
      </c>
      <c r="F2524" s="116">
        <v>834</v>
      </c>
      <c r="G2524" s="108" t="s">
        <v>61</v>
      </c>
      <c r="H2524" s="108" t="str">
        <f t="shared" si="196"/>
        <v>Skokomish River</v>
      </c>
      <c r="I2524" s="108" t="str">
        <f>IFERROR(VLOOKUP(H2524,LUTs!$A$1:$C$73,2,FALSE),"NA")</f>
        <v>Mason</v>
      </c>
      <c r="J2524" s="108" t="str">
        <f>IFERROR(VLOOKUP(H2524,LUTs!$A$1:$C$73,3,FALSE),"NA")</f>
        <v>4 Hood Canal</v>
      </c>
      <c r="K2524" s="108" t="s">
        <v>20</v>
      </c>
      <c r="L2524" s="108" t="str">
        <f>VLOOKUP(K2524,LUTs!E$2:G$14,3,)</f>
        <v>07Pierce</v>
      </c>
      <c r="M2524" s="108" t="str">
        <f>VLOOKUP($K2524,LUTs!$E$2:$H$14,2,)</f>
        <v>South Puget Sound</v>
      </c>
      <c r="N2524" s="108" t="str">
        <f>VLOOKUP($K2524,LUTs!$E$2:$H$14,4,)</f>
        <v>02South Puget Sound</v>
      </c>
      <c r="O2524" s="108">
        <v>2999.0466926069998</v>
      </c>
      <c r="P2524" s="108">
        <v>25941.753891050601</v>
      </c>
      <c r="Q2524" s="108">
        <f>SUMIFS('FW_Salmon_by_Month_2010-2021'!P$2:P$3810,'FW_Salmon_by_Month_2010-2021'!$B$2:$B$3810,'Rec_raw_catch_effort_2010-2021'!$B2524,'FW_Salmon_by_Month_2010-2021'!$H$2:$H$3810,'Rec_raw_catch_effort_2010-2021'!$F2524,'FW_Salmon_by_Month_2010-2021'!$M$2:$M$3810,'Rec_raw_catch_effort_2010-2021'!$K2524)</f>
        <v>3014.4659048107364</v>
      </c>
      <c r="R2524" s="109">
        <f>VLOOKUP(B2524,Readme!$A$62:$C$74,2,)*Q2524</f>
        <v>14528.383934812646</v>
      </c>
      <c r="S2524" s="140" t="str">
        <f t="shared" si="197"/>
        <v>Y</v>
      </c>
      <c r="T2524" s="154">
        <f t="shared" si="198"/>
        <v>8.6500000000000181</v>
      </c>
      <c r="U2524" s="154">
        <f t="shared" si="199"/>
        <v>4.8195549041132084</v>
      </c>
    </row>
    <row r="2525" spans="1:21" x14ac:dyDescent="0.35">
      <c r="A2525" s="108">
        <v>1132</v>
      </c>
      <c r="B2525" s="108">
        <v>2012</v>
      </c>
      <c r="C2525" s="108" t="s">
        <v>38</v>
      </c>
      <c r="D2525" s="108" t="s">
        <v>143</v>
      </c>
      <c r="E2525" s="108" t="s">
        <v>10</v>
      </c>
      <c r="F2525" s="116">
        <v>834</v>
      </c>
      <c r="G2525" s="108" t="s">
        <v>61</v>
      </c>
      <c r="H2525" s="108" t="str">
        <f t="shared" si="196"/>
        <v>Skokomish River</v>
      </c>
      <c r="I2525" s="108" t="str">
        <f>IFERROR(VLOOKUP(H2525,LUTs!$A$1:$C$73,2,FALSE),"NA")</f>
        <v>Mason</v>
      </c>
      <c r="J2525" s="108" t="str">
        <f>IFERROR(VLOOKUP(H2525,LUTs!$A$1:$C$73,3,FALSE),"NA")</f>
        <v>4 Hood Canal</v>
      </c>
      <c r="K2525" s="108" t="s">
        <v>16</v>
      </c>
      <c r="L2525" s="108" t="str">
        <f>VLOOKUP(K2525,LUTs!E$2:G$14,3,)</f>
        <v>03Snohomish</v>
      </c>
      <c r="M2525" s="108" t="str">
        <f>VLOOKUP($K2525,LUTs!$E$2:$H$14,2,)</f>
        <v>North Puget Sound</v>
      </c>
      <c r="N2525" s="108" t="str">
        <f>VLOOKUP($K2525,LUTs!$E$2:$H$14,4,)</f>
        <v>01North Puget Sound</v>
      </c>
      <c r="O2525" s="108">
        <v>273.29442282749699</v>
      </c>
      <c r="P2525" s="108">
        <v>2363.99675745785</v>
      </c>
      <c r="Q2525" s="108">
        <f>SUMIFS('FW_Salmon_by_Month_2010-2021'!P$2:P$3810,'FW_Salmon_by_Month_2010-2021'!$B$2:$B$3810,'Rec_raw_catch_effort_2010-2021'!$B2525,'FW_Salmon_by_Month_2010-2021'!$H$2:$H$3810,'Rec_raw_catch_effort_2010-2021'!$F2525,'FW_Salmon_by_Month_2010-2021'!$M$2:$M$3810,'Rec_raw_catch_effort_2010-2021'!$K2525)</f>
        <v>275.47437977101669</v>
      </c>
      <c r="R2525" s="109">
        <f>VLOOKUP(B2525,Readme!$A$62:$C$74,2,)*Q2525</f>
        <v>1327.6638979829479</v>
      </c>
      <c r="S2525" s="140" t="str">
        <f t="shared" si="197"/>
        <v>Y</v>
      </c>
      <c r="T2525" s="154">
        <f t="shared" si="198"/>
        <v>8.6500000000000039</v>
      </c>
      <c r="U2525" s="154">
        <f t="shared" si="199"/>
        <v>4.8195549041132084</v>
      </c>
    </row>
    <row r="2526" spans="1:21" x14ac:dyDescent="0.35">
      <c r="A2526" s="108">
        <v>1145</v>
      </c>
      <c r="B2526" s="108">
        <v>2012</v>
      </c>
      <c r="C2526" s="108" t="s">
        <v>38</v>
      </c>
      <c r="D2526" s="108" t="s">
        <v>143</v>
      </c>
      <c r="E2526" s="108" t="s">
        <v>10</v>
      </c>
      <c r="F2526" s="116">
        <v>834</v>
      </c>
      <c r="G2526" s="108" t="s">
        <v>61</v>
      </c>
      <c r="H2526" s="108" t="str">
        <f t="shared" si="196"/>
        <v>Skokomish River</v>
      </c>
      <c r="I2526" s="108" t="str">
        <f>IFERROR(VLOOKUP(H2526,LUTs!$A$1:$C$73,2,FALSE),"NA")</f>
        <v>Mason</v>
      </c>
      <c r="J2526" s="108" t="str">
        <f>IFERROR(VLOOKUP(H2526,LUTs!$A$1:$C$73,3,FALSE),"NA")</f>
        <v>4 Hood Canal</v>
      </c>
      <c r="K2526" s="108" t="s">
        <v>21</v>
      </c>
      <c r="L2526" s="108" t="str">
        <f>VLOOKUP(K2526,LUTs!E$2:G$14,3,)</f>
        <v>08Thurston</v>
      </c>
      <c r="M2526" s="108" t="str">
        <f>VLOOKUP($K2526,LUTs!$E$2:$H$14,2,)</f>
        <v>South Puget Sound</v>
      </c>
      <c r="N2526" s="108" t="str">
        <f>VLOOKUP($K2526,LUTs!$E$2:$H$14,4,)</f>
        <v>02South Puget Sound</v>
      </c>
      <c r="O2526" s="108">
        <v>1711.6861219195901</v>
      </c>
      <c r="P2526" s="108">
        <v>14806.084954604499</v>
      </c>
      <c r="Q2526" s="108">
        <f>SUMIFS('FW_Salmon_by_Month_2010-2021'!P$2:P$3810,'FW_Salmon_by_Month_2010-2021'!$B$2:$B$3810,'Rec_raw_catch_effort_2010-2021'!$B2526,'FW_Salmon_by_Month_2010-2021'!$H$2:$H$3810,'Rec_raw_catch_effort_2010-2021'!$F2526,'FW_Salmon_by_Month_2010-2021'!$M$2:$M$3810,'Rec_raw_catch_effort_2010-2021'!$K2526)</f>
        <v>1723.8889290815669</v>
      </c>
      <c r="R2526" s="109">
        <f>VLOOKUP(B2526,Readme!$A$62:$C$74,2,)*Q2526</f>
        <v>8308.3773423015318</v>
      </c>
      <c r="S2526" s="140" t="str">
        <f t="shared" si="197"/>
        <v>Y</v>
      </c>
      <c r="T2526" s="154">
        <f t="shared" si="198"/>
        <v>8.650000000000027</v>
      </c>
      <c r="U2526" s="154">
        <f t="shared" si="199"/>
        <v>4.8195549041132084</v>
      </c>
    </row>
    <row r="2527" spans="1:21" x14ac:dyDescent="0.35">
      <c r="A2527" s="108">
        <v>1221</v>
      </c>
      <c r="B2527" s="108">
        <v>2013</v>
      </c>
      <c r="C2527" s="108" t="s">
        <v>38</v>
      </c>
      <c r="D2527" s="108" t="s">
        <v>143</v>
      </c>
      <c r="E2527" s="108" t="s">
        <v>10</v>
      </c>
      <c r="F2527" s="116">
        <v>834</v>
      </c>
      <c r="G2527" s="108" t="s">
        <v>61</v>
      </c>
      <c r="H2527" s="108" t="str">
        <f t="shared" si="196"/>
        <v>Skokomish River</v>
      </c>
      <c r="I2527" s="108" t="str">
        <f>IFERROR(VLOOKUP(H2527,LUTs!$A$1:$C$73,2,FALSE),"NA")</f>
        <v>Mason</v>
      </c>
      <c r="J2527" s="108" t="str">
        <f>IFERROR(VLOOKUP(H2527,LUTs!$A$1:$C$73,3,FALSE),"NA")</f>
        <v>4 Hood Canal</v>
      </c>
      <c r="K2527" s="108" t="s">
        <v>25</v>
      </c>
      <c r="L2527" s="108" t="str">
        <f>VLOOKUP(K2527,LUTs!E$2:G$14,3,)</f>
        <v>12Jefferson</v>
      </c>
      <c r="M2527" s="108" t="str">
        <f>VLOOKUP($K2527,LUTs!$E$2:$H$14,2,)</f>
        <v>Strait of Juan de Fuca</v>
      </c>
      <c r="N2527" s="108" t="str">
        <f>VLOOKUP($K2527,LUTs!$E$2:$H$14,4,)</f>
        <v>03Strait of Juan de Fuca</v>
      </c>
      <c r="O2527" s="108">
        <v>54.193150684931503</v>
      </c>
      <c r="P2527" s="108">
        <v>186.42443835616399</v>
      </c>
      <c r="Q2527" s="108">
        <f>SUMIFS('FW_Salmon_by_Month_2010-2021'!P$2:P$3810,'FW_Salmon_by_Month_2010-2021'!$B$2:$B$3810,'Rec_raw_catch_effort_2010-2021'!$B2527,'FW_Salmon_by_Month_2010-2021'!$H$2:$H$3810,'Rec_raw_catch_effort_2010-2021'!$F2527,'FW_Salmon_by_Month_2010-2021'!$M$2:$M$3810,'Rec_raw_catch_effort_2010-2021'!$K2527)</f>
        <v>54.908011869436201</v>
      </c>
      <c r="R2527" s="109">
        <f>VLOOKUP(B2527,Readme!$A$62:$C$74,2,)*Q2527</f>
        <v>194.32167447398757</v>
      </c>
      <c r="S2527" s="140" t="str">
        <f t="shared" si="197"/>
        <v>Y</v>
      </c>
      <c r="T2527" s="154">
        <f t="shared" si="198"/>
        <v>3.4399999999999928</v>
      </c>
      <c r="U2527" s="154">
        <f t="shared" si="199"/>
        <v>3.5390404397824153</v>
      </c>
    </row>
    <row r="2528" spans="1:21" x14ac:dyDescent="0.35">
      <c r="A2528" s="108">
        <v>1216</v>
      </c>
      <c r="B2528" s="108">
        <v>2013</v>
      </c>
      <c r="C2528" s="108" t="s">
        <v>38</v>
      </c>
      <c r="D2528" s="108" t="s">
        <v>143</v>
      </c>
      <c r="E2528" s="108" t="s">
        <v>10</v>
      </c>
      <c r="F2528" s="116">
        <v>834</v>
      </c>
      <c r="G2528" s="108" t="s">
        <v>61</v>
      </c>
      <c r="H2528" s="108" t="str">
        <f t="shared" si="196"/>
        <v>Skokomish River</v>
      </c>
      <c r="I2528" s="108" t="str">
        <f>IFERROR(VLOOKUP(H2528,LUTs!$A$1:$C$73,2,FALSE),"NA")</f>
        <v>Mason</v>
      </c>
      <c r="J2528" s="108" t="str">
        <f>IFERROR(VLOOKUP(H2528,LUTs!$A$1:$C$73,3,FALSE),"NA")</f>
        <v>4 Hood Canal</v>
      </c>
      <c r="K2528" s="108" t="s">
        <v>18</v>
      </c>
      <c r="L2528" s="108" t="str">
        <f>VLOOKUP(K2528,LUTs!E$2:G$14,3,)</f>
        <v>06King</v>
      </c>
      <c r="M2528" s="108" t="str">
        <f>VLOOKUP($K2528,LUTs!$E$2:$H$14,2,)</f>
        <v>South Puget Sound</v>
      </c>
      <c r="N2528" s="108" t="str">
        <f>VLOOKUP($K2528,LUTs!$E$2:$H$14,4,)</f>
        <v>02South Puget Sound</v>
      </c>
      <c r="O2528" s="108">
        <v>3359.9753424657501</v>
      </c>
      <c r="P2528" s="108">
        <v>11558.315178082201</v>
      </c>
      <c r="Q2528" s="108">
        <f>SUMIFS('FW_Salmon_by_Month_2010-2021'!P$2:P$3810,'FW_Salmon_by_Month_2010-2021'!$B$2:$B$3810,'Rec_raw_catch_effort_2010-2021'!$B2528,'FW_Salmon_by_Month_2010-2021'!$H$2:$H$3810,'Rec_raw_catch_effort_2010-2021'!$F2528,'FW_Salmon_by_Month_2010-2021'!$M$2:$M$3810,'Rec_raw_catch_effort_2010-2021'!$K2528)</f>
        <v>3297.0459325138027</v>
      </c>
      <c r="R2528" s="109">
        <f>VLOOKUP(B2528,Readme!$A$62:$C$74,2,)*Q2528</f>
        <v>11668.378886986471</v>
      </c>
      <c r="S2528" s="140" t="str">
        <f t="shared" si="197"/>
        <v>Y</v>
      </c>
      <c r="T2528" s="154">
        <f t="shared" si="198"/>
        <v>3.4400000000000062</v>
      </c>
      <c r="U2528" s="154">
        <f t="shared" si="199"/>
        <v>3.5390404397824153</v>
      </c>
    </row>
    <row r="2529" spans="1:21" x14ac:dyDescent="0.35">
      <c r="A2529" s="108">
        <v>1220</v>
      </c>
      <c r="B2529" s="108">
        <v>2013</v>
      </c>
      <c r="C2529" s="108" t="s">
        <v>38</v>
      </c>
      <c r="D2529" s="108" t="s">
        <v>143</v>
      </c>
      <c r="E2529" s="108" t="s">
        <v>10</v>
      </c>
      <c r="F2529" s="116">
        <v>834</v>
      </c>
      <c r="G2529" s="108" t="s">
        <v>61</v>
      </c>
      <c r="H2529" s="108" t="str">
        <f t="shared" si="196"/>
        <v>Skokomish River</v>
      </c>
      <c r="I2529" s="108" t="str">
        <f>IFERROR(VLOOKUP(H2529,LUTs!$A$1:$C$73,2,FALSE),"NA")</f>
        <v>Mason</v>
      </c>
      <c r="J2529" s="108" t="str">
        <f>IFERROR(VLOOKUP(H2529,LUTs!$A$1:$C$73,3,FALSE),"NA")</f>
        <v>4 Hood Canal</v>
      </c>
      <c r="K2529" s="108" t="s">
        <v>23</v>
      </c>
      <c r="L2529" s="108" t="str">
        <f>VLOOKUP(K2529,LUTs!E$2:G$14,3,)</f>
        <v>10Kitsap</v>
      </c>
      <c r="M2529" s="108" t="str">
        <f>VLOOKUP($K2529,LUTs!$E$2:$H$14,2,)</f>
        <v>South Puget Sound</v>
      </c>
      <c r="N2529" s="108" t="str">
        <f>VLOOKUP($K2529,LUTs!$E$2:$H$14,4,)</f>
        <v>02South Puget Sound</v>
      </c>
      <c r="O2529" s="108">
        <v>668.38219178082204</v>
      </c>
      <c r="P2529" s="108">
        <v>2299.2347397260301</v>
      </c>
      <c r="Q2529" s="108">
        <f>SUMIFS('FW_Salmon_by_Month_2010-2021'!P$2:P$3810,'FW_Salmon_by_Month_2010-2021'!$B$2:$B$3810,'Rec_raw_catch_effort_2010-2021'!$B2529,'FW_Salmon_by_Month_2010-2021'!$H$2:$H$3810,'Rec_raw_catch_effort_2010-2021'!$F2529,'FW_Salmon_by_Month_2010-2021'!$M$2:$M$3810,'Rec_raw_catch_effort_2010-2021'!$K2529)</f>
        <v>674.91641886606249</v>
      </c>
      <c r="R2529" s="109">
        <f>VLOOKUP(B2529,Readme!$A$62:$C$74,2,)*Q2529</f>
        <v>2388.5564998401228</v>
      </c>
      <c r="S2529" s="140" t="str">
        <f t="shared" si="197"/>
        <v>Y</v>
      </c>
      <c r="T2529" s="154">
        <f t="shared" si="198"/>
        <v>3.4400000000000035</v>
      </c>
      <c r="U2529" s="154">
        <f t="shared" si="199"/>
        <v>3.5390404397824158</v>
      </c>
    </row>
    <row r="2530" spans="1:21" x14ac:dyDescent="0.35">
      <c r="A2530" s="108">
        <v>1219</v>
      </c>
      <c r="B2530" s="108">
        <v>2013</v>
      </c>
      <c r="C2530" s="108" t="s">
        <v>38</v>
      </c>
      <c r="D2530" s="108" t="s">
        <v>143</v>
      </c>
      <c r="E2530" s="108" t="s">
        <v>10</v>
      </c>
      <c r="F2530" s="116">
        <v>834</v>
      </c>
      <c r="G2530" s="108" t="s">
        <v>61</v>
      </c>
      <c r="H2530" s="108" t="str">
        <f t="shared" si="196"/>
        <v>Skokomish River</v>
      </c>
      <c r="I2530" s="108" t="str">
        <f>IFERROR(VLOOKUP(H2530,LUTs!$A$1:$C$73,2,FALSE),"NA")</f>
        <v>Mason</v>
      </c>
      <c r="J2530" s="108" t="str">
        <f>IFERROR(VLOOKUP(H2530,LUTs!$A$1:$C$73,3,FALSE),"NA")</f>
        <v>4 Hood Canal</v>
      </c>
      <c r="K2530" s="108" t="s">
        <v>22</v>
      </c>
      <c r="L2530" s="108" t="str">
        <f>VLOOKUP(K2530,LUTs!E$2:G$14,3,)</f>
        <v>09Mason</v>
      </c>
      <c r="M2530" s="108" t="str">
        <f>VLOOKUP($K2530,LUTs!$E$2:$H$14,2,)</f>
        <v>South Puget Sound</v>
      </c>
      <c r="N2530" s="108" t="str">
        <f>VLOOKUP($K2530,LUTs!$E$2:$H$14,4,)</f>
        <v>02South Puget Sound</v>
      </c>
      <c r="O2530" s="108">
        <v>1463.2150684931501</v>
      </c>
      <c r="P2530" s="108">
        <v>5033.4598356164397</v>
      </c>
      <c r="Q2530" s="108">
        <f>SUMIFS('FW_Salmon_by_Month_2010-2021'!P$2:P$3810,'FW_Salmon_by_Month_2010-2021'!$B$2:$B$3810,'Rec_raw_catch_effort_2010-2021'!$B2530,'FW_Salmon_by_Month_2010-2021'!$H$2:$H$3810,'Rec_raw_catch_effort_2010-2021'!$F2530,'FW_Salmon_by_Month_2010-2021'!$M$2:$M$3810,'Rec_raw_catch_effort_2010-2021'!$K2530)</f>
        <v>1452.9562841192289</v>
      </c>
      <c r="R2530" s="109">
        <f>VLOOKUP(B2530,Readme!$A$62:$C$74,2,)*Q2530</f>
        <v>5142.0710467339404</v>
      </c>
      <c r="S2530" s="140" t="str">
        <f t="shared" si="197"/>
        <v>Y</v>
      </c>
      <c r="T2530" s="154">
        <f t="shared" si="198"/>
        <v>3.4400000000000026</v>
      </c>
      <c r="U2530" s="154">
        <f t="shared" si="199"/>
        <v>3.5390404397824158</v>
      </c>
    </row>
    <row r="2531" spans="1:21" x14ac:dyDescent="0.35">
      <c r="A2531" s="108">
        <v>1222</v>
      </c>
      <c r="B2531" s="108">
        <v>2013</v>
      </c>
      <c r="C2531" s="108" t="s">
        <v>38</v>
      </c>
      <c r="D2531" s="108" t="s">
        <v>143</v>
      </c>
      <c r="E2531" s="108" t="s">
        <v>10</v>
      </c>
      <c r="F2531" s="116">
        <v>834</v>
      </c>
      <c r="G2531" s="108" t="s">
        <v>61</v>
      </c>
      <c r="H2531" s="108" t="str">
        <f t="shared" si="196"/>
        <v>Skokomish River</v>
      </c>
      <c r="I2531" s="108" t="str">
        <f>IFERROR(VLOOKUP(H2531,LUTs!$A$1:$C$73,2,FALSE),"NA")</f>
        <v>Mason</v>
      </c>
      <c r="J2531" s="108" t="str">
        <f>IFERROR(VLOOKUP(H2531,LUTs!$A$1:$C$73,3,FALSE),"NA")</f>
        <v>4 Hood Canal</v>
      </c>
      <c r="K2531" s="108" t="s">
        <v>26</v>
      </c>
      <c r="L2531" s="108" t="str">
        <f>VLOOKUP(K2531,LUTs!E$2:G$14,3,)</f>
        <v>20Other</v>
      </c>
      <c r="M2531" s="108" t="str">
        <f>VLOOKUP($K2531,LUTs!$E$2:$H$14,2,)</f>
        <v>Non Puget Sound</v>
      </c>
      <c r="N2531" s="108" t="str">
        <f>VLOOKUP($K2531,LUTs!$E$2:$H$14,4,)</f>
        <v>07Non Puget Sound</v>
      </c>
      <c r="O2531" s="108">
        <v>1508.37602739726</v>
      </c>
      <c r="P2531" s="108">
        <v>5188.8135342465703</v>
      </c>
      <c r="Q2531" s="108">
        <f>SUMIFS('FW_Salmon_by_Month_2010-2021'!P$2:P$3810,'FW_Salmon_by_Month_2010-2021'!$B$2:$B$3810,'Rec_raw_catch_effort_2010-2021'!$B2531,'FW_Salmon_by_Month_2010-2021'!$H$2:$H$3810,'Rec_raw_catch_effort_2010-2021'!$F2531,'FW_Salmon_by_Month_2010-2021'!$M$2:$M$3810,'Rec_raw_catch_effort_2010-2021'!$K2531)</f>
        <v>1526.1665866601284</v>
      </c>
      <c r="R2531" s="109">
        <f>VLOOKUP(B2531,Readme!$A$62:$C$74,2,)*Q2531</f>
        <v>5401.165268034888</v>
      </c>
      <c r="S2531" s="140" t="str">
        <f t="shared" si="197"/>
        <v>Y</v>
      </c>
      <c r="T2531" s="154">
        <f t="shared" si="198"/>
        <v>3.4399999999999973</v>
      </c>
      <c r="U2531" s="154">
        <f t="shared" si="199"/>
        <v>3.5390404397824149</v>
      </c>
    </row>
    <row r="2532" spans="1:21" x14ac:dyDescent="0.35">
      <c r="A2532" s="108">
        <v>1217</v>
      </c>
      <c r="B2532" s="108">
        <v>2013</v>
      </c>
      <c r="C2532" s="108" t="s">
        <v>38</v>
      </c>
      <c r="D2532" s="108" t="s">
        <v>143</v>
      </c>
      <c r="E2532" s="108" t="s">
        <v>10</v>
      </c>
      <c r="F2532" s="116">
        <v>834</v>
      </c>
      <c r="G2532" s="108" t="s">
        <v>61</v>
      </c>
      <c r="H2532" s="108" t="str">
        <f t="shared" si="196"/>
        <v>Skokomish River</v>
      </c>
      <c r="I2532" s="108" t="str">
        <f>IFERROR(VLOOKUP(H2532,LUTs!$A$1:$C$73,2,FALSE),"NA")</f>
        <v>Mason</v>
      </c>
      <c r="J2532" s="108" t="str">
        <f>IFERROR(VLOOKUP(H2532,LUTs!$A$1:$C$73,3,FALSE),"NA")</f>
        <v>4 Hood Canal</v>
      </c>
      <c r="K2532" s="108" t="s">
        <v>20</v>
      </c>
      <c r="L2532" s="108" t="str">
        <f>VLOOKUP(K2532,LUTs!E$2:G$14,3,)</f>
        <v>07Pierce</v>
      </c>
      <c r="M2532" s="108" t="str">
        <f>VLOOKUP($K2532,LUTs!$E$2:$H$14,2,)</f>
        <v>South Puget Sound</v>
      </c>
      <c r="N2532" s="108" t="str">
        <f>VLOOKUP($K2532,LUTs!$E$2:$H$14,4,)</f>
        <v>02South Puget Sound</v>
      </c>
      <c r="O2532" s="108">
        <v>3116.1061643835601</v>
      </c>
      <c r="P2532" s="108">
        <v>10719.405205479399</v>
      </c>
      <c r="Q2532" s="108">
        <f>SUMIFS('FW_Salmon_by_Month_2010-2021'!P$2:P$3810,'FW_Salmon_by_Month_2010-2021'!$B$2:$B$3810,'Rec_raw_catch_effort_2010-2021'!$B2532,'FW_Salmon_by_Month_2010-2021'!$H$2:$H$3810,'Rec_raw_catch_effort_2010-2021'!$F2532,'FW_Salmon_by_Month_2010-2021'!$M$2:$M$3810,'Rec_raw_catch_effort_2010-2021'!$K2532)</f>
        <v>3140.9043923740442</v>
      </c>
      <c r="R2532" s="109">
        <f>VLOOKUP(B2532,Readme!$A$62:$C$74,2,)*Q2532</f>
        <v>11115.787662101957</v>
      </c>
      <c r="S2532" s="140" t="str">
        <f t="shared" si="197"/>
        <v>Y</v>
      </c>
      <c r="T2532" s="154">
        <f t="shared" si="198"/>
        <v>3.4399999999999848</v>
      </c>
      <c r="U2532" s="154">
        <f t="shared" si="199"/>
        <v>3.5390404397824153</v>
      </c>
    </row>
    <row r="2533" spans="1:21" x14ac:dyDescent="0.35">
      <c r="A2533" s="108">
        <v>1215</v>
      </c>
      <c r="B2533" s="108">
        <v>2013</v>
      </c>
      <c r="C2533" s="108" t="s">
        <v>38</v>
      </c>
      <c r="D2533" s="108" t="s">
        <v>143</v>
      </c>
      <c r="E2533" s="108" t="s">
        <v>10</v>
      </c>
      <c r="F2533" s="116">
        <v>834</v>
      </c>
      <c r="G2533" s="108" t="s">
        <v>61</v>
      </c>
      <c r="H2533" s="108" t="str">
        <f t="shared" si="196"/>
        <v>Skokomish River</v>
      </c>
      <c r="I2533" s="108" t="str">
        <f>IFERROR(VLOOKUP(H2533,LUTs!$A$1:$C$73,2,FALSE),"NA")</f>
        <v>Mason</v>
      </c>
      <c r="J2533" s="108" t="str">
        <f>IFERROR(VLOOKUP(H2533,LUTs!$A$1:$C$73,3,FALSE),"NA")</f>
        <v>4 Hood Canal</v>
      </c>
      <c r="K2533" s="108" t="s">
        <v>16</v>
      </c>
      <c r="L2533" s="108" t="str">
        <f>VLOOKUP(K2533,LUTs!E$2:G$14,3,)</f>
        <v>03Snohomish</v>
      </c>
      <c r="M2533" s="108" t="str">
        <f>VLOOKUP($K2533,LUTs!$E$2:$H$14,2,)</f>
        <v>North Puget Sound</v>
      </c>
      <c r="N2533" s="108" t="str">
        <f>VLOOKUP($K2533,LUTs!$E$2:$H$14,4,)</f>
        <v>01North Puget Sound</v>
      </c>
      <c r="O2533" s="108">
        <v>650.317808219178</v>
      </c>
      <c r="P2533" s="108">
        <v>2237.0932602739699</v>
      </c>
      <c r="Q2533" s="108">
        <f>SUMIFS('FW_Salmon_by_Month_2010-2021'!P$2:P$3810,'FW_Salmon_by_Month_2010-2021'!$B$2:$B$3810,'Rec_raw_catch_effort_2010-2021'!$B2533,'FW_Salmon_by_Month_2010-2021'!$H$2:$H$3810,'Rec_raw_catch_effort_2010-2021'!$F2533,'FW_Salmon_by_Month_2010-2021'!$M$2:$M$3810,'Rec_raw_catch_effort_2010-2021'!$K2533)</f>
        <v>657.40721965195951</v>
      </c>
      <c r="R2533" s="109">
        <f>VLOOKUP(B2533,Readme!$A$62:$C$74,2,)*Q2533</f>
        <v>2326.5907357532055</v>
      </c>
      <c r="S2533" s="140" t="str">
        <f t="shared" si="197"/>
        <v>Y</v>
      </c>
      <c r="T2533" s="154">
        <f t="shared" si="198"/>
        <v>3.4399999999999964</v>
      </c>
      <c r="U2533" s="154">
        <f t="shared" si="199"/>
        <v>3.5390404397824149</v>
      </c>
    </row>
    <row r="2534" spans="1:21" x14ac:dyDescent="0.35">
      <c r="A2534" s="108">
        <v>1218</v>
      </c>
      <c r="B2534" s="108">
        <v>2013</v>
      </c>
      <c r="C2534" s="108" t="s">
        <v>38</v>
      </c>
      <c r="D2534" s="108" t="s">
        <v>143</v>
      </c>
      <c r="E2534" s="108" t="s">
        <v>10</v>
      </c>
      <c r="F2534" s="116">
        <v>834</v>
      </c>
      <c r="G2534" s="108" t="s">
        <v>61</v>
      </c>
      <c r="H2534" s="108" t="str">
        <f t="shared" si="196"/>
        <v>Skokomish River</v>
      </c>
      <c r="I2534" s="108" t="str">
        <f>IFERROR(VLOOKUP(H2534,LUTs!$A$1:$C$73,2,FALSE),"NA")</f>
        <v>Mason</v>
      </c>
      <c r="J2534" s="108" t="str">
        <f>IFERROR(VLOOKUP(H2534,LUTs!$A$1:$C$73,3,FALSE),"NA")</f>
        <v>4 Hood Canal</v>
      </c>
      <c r="K2534" s="108" t="s">
        <v>21</v>
      </c>
      <c r="L2534" s="108" t="str">
        <f>VLOOKUP(K2534,LUTs!E$2:G$14,3,)</f>
        <v>08Thurston</v>
      </c>
      <c r="M2534" s="108" t="str">
        <f>VLOOKUP($K2534,LUTs!$E$2:$H$14,2,)</f>
        <v>South Puget Sound</v>
      </c>
      <c r="N2534" s="108" t="str">
        <f>VLOOKUP($K2534,LUTs!$E$2:$H$14,4,)</f>
        <v>02South Puget Sound</v>
      </c>
      <c r="O2534" s="108">
        <v>2366.4342465753398</v>
      </c>
      <c r="P2534" s="108">
        <v>8140.5338082191702</v>
      </c>
      <c r="Q2534" s="108">
        <f>SUMIFS('FW_Salmon_by_Month_2010-2021'!P$2:P$3810,'FW_Salmon_by_Month_2010-2021'!$B$2:$B$3810,'Rec_raw_catch_effort_2010-2021'!$B2534,'FW_Salmon_by_Month_2010-2021'!$H$2:$H$3810,'Rec_raw_catch_effort_2010-2021'!$F2534,'FW_Salmon_by_Month_2010-2021'!$M$2:$M$3810,'Rec_raw_catch_effort_2010-2021'!$K2534)</f>
        <v>2382.6951539453394</v>
      </c>
      <c r="R2534" s="109">
        <f>VLOOKUP(B2534,Readme!$A$62:$C$74,2,)*Q2534</f>
        <v>8432.4545054861428</v>
      </c>
      <c r="S2534" s="140" t="str">
        <f t="shared" si="197"/>
        <v>Y</v>
      </c>
      <c r="T2534" s="154">
        <f t="shared" si="198"/>
        <v>3.4400000000000004</v>
      </c>
      <c r="U2534" s="154">
        <f t="shared" si="199"/>
        <v>3.5390404397824149</v>
      </c>
    </row>
    <row r="2535" spans="1:21" x14ac:dyDescent="0.35">
      <c r="A2535" s="108">
        <v>1230</v>
      </c>
      <c r="B2535" s="108">
        <v>2014</v>
      </c>
      <c r="C2535" s="108" t="s">
        <v>38</v>
      </c>
      <c r="D2535" s="108" t="s">
        <v>143</v>
      </c>
      <c r="E2535" s="108" t="s">
        <v>10</v>
      </c>
      <c r="F2535" s="116">
        <v>834</v>
      </c>
      <c r="G2535" s="108" t="s">
        <v>61</v>
      </c>
      <c r="H2535" s="108" t="str">
        <f t="shared" si="196"/>
        <v>Skokomish River</v>
      </c>
      <c r="I2535" s="108" t="str">
        <f>IFERROR(VLOOKUP(H2535,LUTs!$A$1:$C$73,2,FALSE),"NA")</f>
        <v>Mason</v>
      </c>
      <c r="J2535" s="108" t="str">
        <f>IFERROR(VLOOKUP(H2535,LUTs!$A$1:$C$73,3,FALSE),"NA")</f>
        <v>4 Hood Canal</v>
      </c>
      <c r="K2535" s="108" t="s">
        <v>25</v>
      </c>
      <c r="L2535" s="108" t="str">
        <f>VLOOKUP(K2535,LUTs!E$2:G$14,3,)</f>
        <v>12Jefferson</v>
      </c>
      <c r="M2535" s="108" t="str">
        <f>VLOOKUP($K2535,LUTs!$E$2:$H$14,2,)</f>
        <v>Strait of Juan de Fuca</v>
      </c>
      <c r="N2535" s="108" t="str">
        <f>VLOOKUP($K2535,LUTs!$E$2:$H$14,4,)</f>
        <v>03Strait of Juan de Fuca</v>
      </c>
      <c r="O2535" s="108">
        <v>6.8271604938271597</v>
      </c>
      <c r="P2535" s="108">
        <v>59.054938271604897</v>
      </c>
      <c r="Q2535" s="108">
        <f>SUMIFS('FW_Salmon_by_Month_2010-2021'!P$2:P$3810,'FW_Salmon_by_Month_2010-2021'!$B$2:$B$3810,'Rec_raw_catch_effort_2010-2021'!$B2535,'FW_Salmon_by_Month_2010-2021'!$H$2:$H$3810,'Rec_raw_catch_effort_2010-2021'!$F2535,'FW_Salmon_by_Month_2010-2021'!$M$2:$M$3810,'Rec_raw_catch_effort_2010-2021'!$K2535)</f>
        <v>6.8275862068965498</v>
      </c>
      <c r="R2535" s="109">
        <f>VLOOKUP(B2535,Readme!$A$62:$C$74,2,)*Q2535</f>
        <v>32.905926586703963</v>
      </c>
      <c r="S2535" s="140" t="str">
        <f t="shared" si="197"/>
        <v>Y</v>
      </c>
      <c r="T2535" s="154">
        <f t="shared" si="198"/>
        <v>8.649999999999995</v>
      </c>
      <c r="U2535" s="154">
        <f t="shared" si="199"/>
        <v>4.8195549041132084</v>
      </c>
    </row>
    <row r="2536" spans="1:21" x14ac:dyDescent="0.35">
      <c r="A2536" s="108">
        <v>1225</v>
      </c>
      <c r="B2536" s="108">
        <v>2014</v>
      </c>
      <c r="C2536" s="108" t="s">
        <v>38</v>
      </c>
      <c r="D2536" s="108" t="s">
        <v>143</v>
      </c>
      <c r="E2536" s="108" t="s">
        <v>10</v>
      </c>
      <c r="F2536" s="116">
        <v>834</v>
      </c>
      <c r="G2536" s="108" t="s">
        <v>61</v>
      </c>
      <c r="H2536" s="108" t="str">
        <f t="shared" si="196"/>
        <v>Skokomish River</v>
      </c>
      <c r="I2536" s="108" t="str">
        <f>IFERROR(VLOOKUP(H2536,LUTs!$A$1:$C$73,2,FALSE),"NA")</f>
        <v>Mason</v>
      </c>
      <c r="J2536" s="108" t="str">
        <f>IFERROR(VLOOKUP(H2536,LUTs!$A$1:$C$73,3,FALSE),"NA")</f>
        <v>4 Hood Canal</v>
      </c>
      <c r="K2536" s="108" t="s">
        <v>18</v>
      </c>
      <c r="L2536" s="108" t="str">
        <f>VLOOKUP(K2536,LUTs!E$2:G$14,3,)</f>
        <v>06King</v>
      </c>
      <c r="M2536" s="108" t="str">
        <f>VLOOKUP($K2536,LUTs!$E$2:$H$14,2,)</f>
        <v>South Puget Sound</v>
      </c>
      <c r="N2536" s="108" t="str">
        <f>VLOOKUP($K2536,LUTs!$E$2:$H$14,4,)</f>
        <v>02South Puget Sound</v>
      </c>
      <c r="O2536" s="108">
        <v>935.32098765432102</v>
      </c>
      <c r="P2536" s="108">
        <v>8090.5265432098804</v>
      </c>
      <c r="Q2536" s="108">
        <f>SUMIFS('FW_Salmon_by_Month_2010-2021'!P$2:P$3810,'FW_Salmon_by_Month_2010-2021'!$B$2:$B$3810,'Rec_raw_catch_effort_2010-2021'!$B2536,'FW_Salmon_by_Month_2010-2021'!$H$2:$H$3810,'Rec_raw_catch_effort_2010-2021'!$F2536,'FW_Salmon_by_Month_2010-2021'!$M$2:$M$3810,'Rec_raw_catch_effort_2010-2021'!$K2536)</f>
        <v>951.18454053144637</v>
      </c>
      <c r="R2536" s="109">
        <f>VLOOKUP(B2536,Readme!$A$62:$C$74,2,)*Q2536</f>
        <v>4584.2861170350016</v>
      </c>
      <c r="S2536" s="140" t="str">
        <f t="shared" si="197"/>
        <v>Y</v>
      </c>
      <c r="T2536" s="154">
        <f t="shared" si="198"/>
        <v>8.6500000000000039</v>
      </c>
      <c r="U2536" s="154">
        <f t="shared" si="199"/>
        <v>4.8195549041132084</v>
      </c>
    </row>
    <row r="2537" spans="1:21" x14ac:dyDescent="0.35">
      <c r="A2537" s="108">
        <v>1229</v>
      </c>
      <c r="B2537" s="108">
        <v>2014</v>
      </c>
      <c r="C2537" s="108" t="s">
        <v>38</v>
      </c>
      <c r="D2537" s="108" t="s">
        <v>143</v>
      </c>
      <c r="E2537" s="108" t="s">
        <v>10</v>
      </c>
      <c r="F2537" s="116">
        <v>834</v>
      </c>
      <c r="G2537" s="108" t="s">
        <v>61</v>
      </c>
      <c r="H2537" s="108" t="str">
        <f t="shared" si="196"/>
        <v>Skokomish River</v>
      </c>
      <c r="I2537" s="108" t="str">
        <f>IFERROR(VLOOKUP(H2537,LUTs!$A$1:$C$73,2,FALSE),"NA")</f>
        <v>Mason</v>
      </c>
      <c r="J2537" s="108" t="str">
        <f>IFERROR(VLOOKUP(H2537,LUTs!$A$1:$C$73,3,FALSE),"NA")</f>
        <v>4 Hood Canal</v>
      </c>
      <c r="K2537" s="108" t="s">
        <v>23</v>
      </c>
      <c r="L2537" s="108" t="str">
        <f>VLOOKUP(K2537,LUTs!E$2:G$14,3,)</f>
        <v>10Kitsap</v>
      </c>
      <c r="M2537" s="108" t="str">
        <f>VLOOKUP($K2537,LUTs!$E$2:$H$14,2,)</f>
        <v>South Puget Sound</v>
      </c>
      <c r="N2537" s="108" t="str">
        <f>VLOOKUP($K2537,LUTs!$E$2:$H$14,4,)</f>
        <v>02South Puget Sound</v>
      </c>
      <c r="O2537" s="108">
        <v>286.74074074074099</v>
      </c>
      <c r="P2537" s="108">
        <v>2480.3074074074102</v>
      </c>
      <c r="Q2537" s="108">
        <f>SUMIFS('FW_Salmon_by_Month_2010-2021'!P$2:P$3810,'FW_Salmon_by_Month_2010-2021'!$B$2:$B$3810,'Rec_raw_catch_effort_2010-2021'!$B2537,'FW_Salmon_by_Month_2010-2021'!$H$2:$H$3810,'Rec_raw_catch_effort_2010-2021'!$F2537,'FW_Salmon_by_Month_2010-2021'!$M$2:$M$3810,'Rec_raw_catch_effort_2010-2021'!$K2537)</f>
        <v>285.06604592622193</v>
      </c>
      <c r="R2537" s="109">
        <f>VLOOKUP(B2537,Readme!$A$62:$C$74,2,)*Q2537</f>
        <v>1373.891459639884</v>
      </c>
      <c r="S2537" s="140" t="str">
        <f t="shared" si="197"/>
        <v>Y</v>
      </c>
      <c r="T2537" s="154">
        <f t="shared" si="198"/>
        <v>8.6500000000000021</v>
      </c>
      <c r="U2537" s="154">
        <f t="shared" si="199"/>
        <v>4.8195549041132084</v>
      </c>
    </row>
    <row r="2538" spans="1:21" x14ac:dyDescent="0.35">
      <c r="A2538" s="108">
        <v>1228</v>
      </c>
      <c r="B2538" s="108">
        <v>2014</v>
      </c>
      <c r="C2538" s="108" t="s">
        <v>38</v>
      </c>
      <c r="D2538" s="108" t="s">
        <v>143</v>
      </c>
      <c r="E2538" s="108" t="s">
        <v>10</v>
      </c>
      <c r="F2538" s="116">
        <v>834</v>
      </c>
      <c r="G2538" s="108" t="s">
        <v>61</v>
      </c>
      <c r="H2538" s="108" t="str">
        <f t="shared" ref="H2538:H2601" si="200">G2538</f>
        <v>Skokomish River</v>
      </c>
      <c r="I2538" s="108" t="str">
        <f>IFERROR(VLOOKUP(H2538,LUTs!$A$1:$C$73,2,FALSE),"NA")</f>
        <v>Mason</v>
      </c>
      <c r="J2538" s="108" t="str">
        <f>IFERROR(VLOOKUP(H2538,LUTs!$A$1:$C$73,3,FALSE),"NA")</f>
        <v>4 Hood Canal</v>
      </c>
      <c r="K2538" s="108" t="s">
        <v>22</v>
      </c>
      <c r="L2538" s="108" t="str">
        <f>VLOOKUP(K2538,LUTs!E$2:G$14,3,)</f>
        <v>09Mason</v>
      </c>
      <c r="M2538" s="108" t="str">
        <f>VLOOKUP($K2538,LUTs!$E$2:$H$14,2,)</f>
        <v>South Puget Sound</v>
      </c>
      <c r="N2538" s="108" t="str">
        <f>VLOOKUP($K2538,LUTs!$E$2:$H$14,4,)</f>
        <v>02South Puget Sound</v>
      </c>
      <c r="O2538" s="108">
        <v>382.32098765432102</v>
      </c>
      <c r="P2538" s="108">
        <v>3307.0765432098801</v>
      </c>
      <c r="Q2538" s="108">
        <f>SUMIFS('FW_Salmon_by_Month_2010-2021'!P$2:P$3810,'FW_Salmon_by_Month_2010-2021'!$B$2:$B$3810,'Rec_raw_catch_effort_2010-2021'!$B2538,'FW_Salmon_by_Month_2010-2021'!$H$2:$H$3810,'Rec_raw_catch_effort_2010-2021'!$F2538,'FW_Salmon_by_Month_2010-2021'!$M$2:$M$3810,'Rec_raw_catch_effort_2010-2021'!$K2538)</f>
        <v>390.74858361346833</v>
      </c>
      <c r="R2538" s="109">
        <f>VLOOKUP(B2538,Readme!$A$62:$C$74,2,)*Q2538</f>
        <v>1883.2342524295814</v>
      </c>
      <c r="S2538" s="140" t="str">
        <f t="shared" si="197"/>
        <v>Y</v>
      </c>
      <c r="T2538" s="154">
        <f t="shared" si="198"/>
        <v>8.6500000000000092</v>
      </c>
      <c r="U2538" s="154">
        <f t="shared" si="199"/>
        <v>4.8195549041132084</v>
      </c>
    </row>
    <row r="2539" spans="1:21" x14ac:dyDescent="0.35">
      <c r="A2539" s="108">
        <v>1231</v>
      </c>
      <c r="B2539" s="108">
        <v>2014</v>
      </c>
      <c r="C2539" s="108" t="s">
        <v>38</v>
      </c>
      <c r="D2539" s="108" t="s">
        <v>143</v>
      </c>
      <c r="E2539" s="108" t="s">
        <v>10</v>
      </c>
      <c r="F2539" s="116">
        <v>834</v>
      </c>
      <c r="G2539" s="108" t="s">
        <v>61</v>
      </c>
      <c r="H2539" s="108" t="str">
        <f t="shared" si="200"/>
        <v>Skokomish River</v>
      </c>
      <c r="I2539" s="108" t="str">
        <f>IFERROR(VLOOKUP(H2539,LUTs!$A$1:$C$73,2,FALSE),"NA")</f>
        <v>Mason</v>
      </c>
      <c r="J2539" s="108" t="str">
        <f>IFERROR(VLOOKUP(H2539,LUTs!$A$1:$C$73,3,FALSE),"NA")</f>
        <v>4 Hood Canal</v>
      </c>
      <c r="K2539" s="108" t="s">
        <v>26</v>
      </c>
      <c r="L2539" s="108" t="str">
        <f>VLOOKUP(K2539,LUTs!E$2:G$14,3,)</f>
        <v>20Other</v>
      </c>
      <c r="M2539" s="108" t="str">
        <f>VLOOKUP($K2539,LUTs!$E$2:$H$14,2,)</f>
        <v>Non Puget Sound</v>
      </c>
      <c r="N2539" s="108" t="str">
        <f>VLOOKUP($K2539,LUTs!$E$2:$H$14,4,)</f>
        <v>07Non Puget Sound</v>
      </c>
      <c r="O2539" s="108">
        <v>273.086419753087</v>
      </c>
      <c r="P2539" s="108">
        <v>2362.1975308642</v>
      </c>
      <c r="Q2539" s="108">
        <f>SUMIFS('FW_Salmon_by_Month_2010-2021'!P$2:P$3810,'FW_Salmon_by_Month_2010-2021'!$B$2:$B$3810,'Rec_raw_catch_effort_2010-2021'!$B2539,'FW_Salmon_by_Month_2010-2021'!$H$2:$H$3810,'Rec_raw_catch_effort_2010-2021'!$F2539,'FW_Salmon_by_Month_2010-2021'!$M$2:$M$3810,'Rec_raw_catch_effort_2010-2021'!$K2539)</f>
        <v>253.43710475610015</v>
      </c>
      <c r="R2539" s="109">
        <f>VLOOKUP(B2539,Readme!$A$62:$C$74,2,)*Q2539</f>
        <v>1221.4540411115154</v>
      </c>
      <c r="S2539" s="140" t="str">
        <f t="shared" si="197"/>
        <v>Y</v>
      </c>
      <c r="T2539" s="154">
        <f t="shared" si="198"/>
        <v>8.6499999999999897</v>
      </c>
      <c r="U2539" s="154">
        <f t="shared" si="199"/>
        <v>4.8195549041132084</v>
      </c>
    </row>
    <row r="2540" spans="1:21" x14ac:dyDescent="0.35">
      <c r="A2540" s="108">
        <v>1226</v>
      </c>
      <c r="B2540" s="108">
        <v>2014</v>
      </c>
      <c r="C2540" s="108" t="s">
        <v>38</v>
      </c>
      <c r="D2540" s="108" t="s">
        <v>143</v>
      </c>
      <c r="E2540" s="108" t="s">
        <v>10</v>
      </c>
      <c r="F2540" s="116">
        <v>834</v>
      </c>
      <c r="G2540" s="108" t="s">
        <v>61</v>
      </c>
      <c r="H2540" s="108" t="str">
        <f t="shared" si="200"/>
        <v>Skokomish River</v>
      </c>
      <c r="I2540" s="108" t="str">
        <f>IFERROR(VLOOKUP(H2540,LUTs!$A$1:$C$73,2,FALSE),"NA")</f>
        <v>Mason</v>
      </c>
      <c r="J2540" s="108" t="str">
        <f>IFERROR(VLOOKUP(H2540,LUTs!$A$1:$C$73,3,FALSE),"NA")</f>
        <v>4 Hood Canal</v>
      </c>
      <c r="K2540" s="108" t="s">
        <v>20</v>
      </c>
      <c r="L2540" s="108" t="str">
        <f>VLOOKUP(K2540,LUTs!E$2:G$14,3,)</f>
        <v>07Pierce</v>
      </c>
      <c r="M2540" s="108" t="str">
        <f>VLOOKUP($K2540,LUTs!$E$2:$H$14,2,)</f>
        <v>South Puget Sound</v>
      </c>
      <c r="N2540" s="108" t="str">
        <f>VLOOKUP($K2540,LUTs!$E$2:$H$14,4,)</f>
        <v>02South Puget Sound</v>
      </c>
      <c r="O2540" s="108">
        <v>1310.81481481482</v>
      </c>
      <c r="P2540" s="108">
        <v>11338.5481481482</v>
      </c>
      <c r="Q2540" s="108">
        <f>SUMIFS('FW_Salmon_by_Month_2010-2021'!P$2:P$3810,'FW_Salmon_by_Month_2010-2021'!$B$2:$B$3810,'Rec_raw_catch_effort_2010-2021'!$B2540,'FW_Salmon_by_Month_2010-2021'!$H$2:$H$3810,'Rec_raw_catch_effort_2010-2021'!$F2540,'FW_Salmon_by_Month_2010-2021'!$M$2:$M$3810,'Rec_raw_catch_effort_2010-2021'!$K2540)</f>
        <v>1305.9589841505654</v>
      </c>
      <c r="R2540" s="109">
        <f>VLOOKUP(B2540,Readme!$A$62:$C$74,2,)*Q2540</f>
        <v>6294.1410266335615</v>
      </c>
      <c r="S2540" s="140" t="str">
        <f t="shared" si="197"/>
        <v>Y</v>
      </c>
      <c r="T2540" s="154">
        <f t="shared" si="198"/>
        <v>8.6500000000000057</v>
      </c>
      <c r="U2540" s="154">
        <f t="shared" si="199"/>
        <v>4.8195549041132084</v>
      </c>
    </row>
    <row r="2541" spans="1:21" x14ac:dyDescent="0.35">
      <c r="A2541" s="108">
        <v>1224</v>
      </c>
      <c r="B2541" s="108">
        <v>2014</v>
      </c>
      <c r="C2541" s="108" t="s">
        <v>38</v>
      </c>
      <c r="D2541" s="108" t="s">
        <v>143</v>
      </c>
      <c r="E2541" s="108" t="s">
        <v>10</v>
      </c>
      <c r="F2541" s="116">
        <v>834</v>
      </c>
      <c r="G2541" s="108" t="s">
        <v>61</v>
      </c>
      <c r="H2541" s="108" t="str">
        <f t="shared" si="200"/>
        <v>Skokomish River</v>
      </c>
      <c r="I2541" s="108" t="str">
        <f>IFERROR(VLOOKUP(H2541,LUTs!$A$1:$C$73,2,FALSE),"NA")</f>
        <v>Mason</v>
      </c>
      <c r="J2541" s="108" t="str">
        <f>IFERROR(VLOOKUP(H2541,LUTs!$A$1:$C$73,3,FALSE),"NA")</f>
        <v>4 Hood Canal</v>
      </c>
      <c r="K2541" s="108" t="s">
        <v>16</v>
      </c>
      <c r="L2541" s="108" t="str">
        <f>VLOOKUP(K2541,LUTs!E$2:G$14,3,)</f>
        <v>03Snohomish</v>
      </c>
      <c r="M2541" s="108" t="str">
        <f>VLOOKUP($K2541,LUTs!$E$2:$H$14,2,)</f>
        <v>North Puget Sound</v>
      </c>
      <c r="N2541" s="108" t="str">
        <f>VLOOKUP($K2541,LUTs!$E$2:$H$14,4,)</f>
        <v>01North Puget Sound</v>
      </c>
      <c r="O2541" s="108">
        <v>68.271604938271594</v>
      </c>
      <c r="P2541" s="108">
        <v>590.54938271604897</v>
      </c>
      <c r="Q2541" s="108">
        <f>SUMIFS('FW_Salmon_by_Month_2010-2021'!P$2:P$3810,'FW_Salmon_by_Month_2010-2021'!$B$2:$B$3810,'Rec_raw_catch_effort_2010-2021'!$B2541,'FW_Salmon_by_Month_2010-2021'!$H$2:$H$3810,'Rec_raw_catch_effort_2010-2021'!$F2541,'FW_Salmon_by_Month_2010-2021'!$M$2:$M$3810,'Rec_raw_catch_effort_2010-2021'!$K2541)</f>
        <v>69.886348154285159</v>
      </c>
      <c r="R2541" s="109">
        <f>VLOOKUP(B2541,Readme!$A$62:$C$74,2,)*Q2541</f>
        <v>336.82109197754812</v>
      </c>
      <c r="S2541" s="140" t="str">
        <f t="shared" si="197"/>
        <v>Y</v>
      </c>
      <c r="T2541" s="154">
        <f t="shared" si="198"/>
        <v>8.649999999999995</v>
      </c>
      <c r="U2541" s="154">
        <f t="shared" si="199"/>
        <v>4.8195549041132084</v>
      </c>
    </row>
    <row r="2542" spans="1:21" x14ac:dyDescent="0.35">
      <c r="A2542" s="108">
        <v>1227</v>
      </c>
      <c r="B2542" s="108">
        <v>2014</v>
      </c>
      <c r="C2542" s="108" t="s">
        <v>38</v>
      </c>
      <c r="D2542" s="108" t="s">
        <v>143</v>
      </c>
      <c r="E2542" s="108" t="s">
        <v>10</v>
      </c>
      <c r="F2542" s="116">
        <v>834</v>
      </c>
      <c r="G2542" s="108" t="s">
        <v>61</v>
      </c>
      <c r="H2542" s="108" t="str">
        <f t="shared" si="200"/>
        <v>Skokomish River</v>
      </c>
      <c r="I2542" s="108" t="str">
        <f>IFERROR(VLOOKUP(H2542,LUTs!$A$1:$C$73,2,FALSE),"NA")</f>
        <v>Mason</v>
      </c>
      <c r="J2542" s="108" t="str">
        <f>IFERROR(VLOOKUP(H2542,LUTs!$A$1:$C$73,3,FALSE),"NA")</f>
        <v>4 Hood Canal</v>
      </c>
      <c r="K2542" s="108" t="s">
        <v>21</v>
      </c>
      <c r="L2542" s="108" t="str">
        <f>VLOOKUP(K2542,LUTs!E$2:G$14,3,)</f>
        <v>08Thurston</v>
      </c>
      <c r="M2542" s="108" t="str">
        <f>VLOOKUP($K2542,LUTs!$E$2:$H$14,2,)</f>
        <v>South Puget Sound</v>
      </c>
      <c r="N2542" s="108" t="str">
        <f>VLOOKUP($K2542,LUTs!$E$2:$H$14,4,)</f>
        <v>02South Puget Sound</v>
      </c>
      <c r="O2542" s="108">
        <v>580.308641975309</v>
      </c>
      <c r="P2542" s="108">
        <v>5019.6697530864203</v>
      </c>
      <c r="Q2542" s="108">
        <f>SUMIFS('FW_Salmon_by_Month_2010-2021'!P$2:P$3810,'FW_Salmon_by_Month_2010-2021'!$B$2:$B$3810,'Rec_raw_catch_effort_2010-2021'!$B2542,'FW_Salmon_by_Month_2010-2021'!$H$2:$H$3810,'Rec_raw_catch_effort_2010-2021'!$F2542,'FW_Salmon_by_Month_2010-2021'!$M$2:$M$3810,'Rec_raw_catch_effort_2010-2021'!$K2542)</f>
        <v>580.45551254336954</v>
      </c>
      <c r="R2542" s="109">
        <f>VLOOKUP(B2542,Readme!$A$62:$C$74,2,)*Q2542</f>
        <v>2797.5372120979428</v>
      </c>
      <c r="S2542" s="140" t="str">
        <f t="shared" si="197"/>
        <v>Y</v>
      </c>
      <c r="T2542" s="154">
        <f t="shared" si="198"/>
        <v>8.649999999999995</v>
      </c>
      <c r="U2542" s="154">
        <f t="shared" si="199"/>
        <v>4.8195549041132084</v>
      </c>
    </row>
    <row r="2543" spans="1:21" x14ac:dyDescent="0.35">
      <c r="A2543" s="108">
        <v>1223</v>
      </c>
      <c r="B2543" s="108">
        <v>2014</v>
      </c>
      <c r="C2543" s="108" t="s">
        <v>38</v>
      </c>
      <c r="D2543" s="108" t="s">
        <v>143</v>
      </c>
      <c r="E2543" s="108" t="s">
        <v>10</v>
      </c>
      <c r="F2543" s="116">
        <v>834</v>
      </c>
      <c r="G2543" s="108" t="s">
        <v>61</v>
      </c>
      <c r="H2543" s="108" t="str">
        <f t="shared" si="200"/>
        <v>Skokomish River</v>
      </c>
      <c r="I2543" s="108" t="str">
        <f>IFERROR(VLOOKUP(H2543,LUTs!$A$1:$C$73,2,FALSE),"NA")</f>
        <v>Mason</v>
      </c>
      <c r="J2543" s="108" t="str">
        <f>IFERROR(VLOOKUP(H2543,LUTs!$A$1:$C$73,3,FALSE),"NA")</f>
        <v>4 Hood Canal</v>
      </c>
      <c r="K2543" s="108" t="s">
        <v>13</v>
      </c>
      <c r="L2543" s="108" t="str">
        <f>VLOOKUP(K2543,LUTs!E$2:G$14,3,)</f>
        <v>01Whatcom</v>
      </c>
      <c r="M2543" s="108" t="str">
        <f>VLOOKUP($K2543,LUTs!$E$2:$H$14,2,)</f>
        <v>North Puget Sound</v>
      </c>
      <c r="N2543" s="108" t="str">
        <f>VLOOKUP($K2543,LUTs!$E$2:$H$14,4,)</f>
        <v>01North Puget Sound</v>
      </c>
      <c r="O2543" s="108">
        <v>27.3086419753086</v>
      </c>
      <c r="P2543" s="108">
        <v>236.21975308641899</v>
      </c>
      <c r="Q2543" s="108">
        <f>SUMIFS('FW_Salmon_by_Month_2010-2021'!P$2:P$3810,'FW_Salmon_by_Month_2010-2021'!$B$2:$B$3810,'Rec_raw_catch_effort_2010-2021'!$B2543,'FW_Salmon_by_Month_2010-2021'!$H$2:$H$3810,'Rec_raw_catch_effort_2010-2021'!$F2543,'FW_Salmon_by_Month_2010-2021'!$M$2:$M$3810,'Rec_raw_catch_effort_2010-2021'!$K2543)</f>
        <v>27.4352941176471</v>
      </c>
      <c r="R2543" s="109">
        <f>VLOOKUP(B2543,Readme!$A$62:$C$74,2,)*Q2543</f>
        <v>132.22590631049434</v>
      </c>
      <c r="S2543" s="140" t="str">
        <f t="shared" si="197"/>
        <v>Y</v>
      </c>
      <c r="T2543" s="154">
        <f t="shared" si="198"/>
        <v>8.6499999999999861</v>
      </c>
      <c r="U2543" s="154">
        <f t="shared" si="199"/>
        <v>4.8195549041132084</v>
      </c>
    </row>
    <row r="2544" spans="1:21" x14ac:dyDescent="0.35">
      <c r="A2544" s="108">
        <v>1238</v>
      </c>
      <c r="B2544" s="108">
        <v>2015</v>
      </c>
      <c r="C2544" s="108" t="s">
        <v>38</v>
      </c>
      <c r="D2544" s="108" t="s">
        <v>143</v>
      </c>
      <c r="E2544" s="108" t="s">
        <v>10</v>
      </c>
      <c r="F2544" s="116">
        <v>834</v>
      </c>
      <c r="G2544" s="108" t="s">
        <v>61</v>
      </c>
      <c r="H2544" s="108" t="str">
        <f t="shared" si="200"/>
        <v>Skokomish River</v>
      </c>
      <c r="I2544" s="108" t="str">
        <f>IFERROR(VLOOKUP(H2544,LUTs!$A$1:$C$73,2,FALSE),"NA")</f>
        <v>Mason</v>
      </c>
      <c r="J2544" s="108" t="str">
        <f>IFERROR(VLOOKUP(H2544,LUTs!$A$1:$C$73,3,FALSE),"NA")</f>
        <v>4 Hood Canal</v>
      </c>
      <c r="K2544" s="108" t="s">
        <v>25</v>
      </c>
      <c r="L2544" s="108" t="str">
        <f>VLOOKUP(K2544,LUTs!E$2:G$14,3,)</f>
        <v>12Jefferson</v>
      </c>
      <c r="M2544" s="108" t="str">
        <f>VLOOKUP($K2544,LUTs!$E$2:$H$14,2,)</f>
        <v>Strait of Juan de Fuca</v>
      </c>
      <c r="N2544" s="108" t="str">
        <f>VLOOKUP($K2544,LUTs!$E$2:$H$14,4,)</f>
        <v>03Strait of Juan de Fuca</v>
      </c>
      <c r="O2544" s="108">
        <v>9.0317679558011097</v>
      </c>
      <c r="P2544" s="108">
        <v>31.0692817679558</v>
      </c>
      <c r="Q2544" s="108">
        <f>SUMIFS('FW_Salmon_by_Month_2010-2021'!P$2:P$3810,'FW_Salmon_by_Month_2010-2021'!$B$2:$B$3810,'Rec_raw_catch_effort_2010-2021'!$B2544,'FW_Salmon_by_Month_2010-2021'!$H$2:$H$3810,'Rec_raw_catch_effort_2010-2021'!$F2544,'FW_Salmon_by_Month_2010-2021'!$M$2:$M$3810,'Rec_raw_catch_effort_2010-2021'!$K2544)</f>
        <v>9.1645962732919308</v>
      </c>
      <c r="R2544" s="109">
        <f>VLOOKUP(B2544,Readme!$A$62:$C$74,2,)*Q2544</f>
        <v>32.433876825459357</v>
      </c>
      <c r="S2544" s="140" t="str">
        <f t="shared" si="197"/>
        <v>Y</v>
      </c>
      <c r="T2544" s="154">
        <f t="shared" si="198"/>
        <v>3.4399999999999982</v>
      </c>
      <c r="U2544" s="154">
        <f t="shared" si="199"/>
        <v>3.5390404397824149</v>
      </c>
    </row>
    <row r="2545" spans="1:21" x14ac:dyDescent="0.35">
      <c r="A2545" s="108">
        <v>1233</v>
      </c>
      <c r="B2545" s="108">
        <v>2015</v>
      </c>
      <c r="C2545" s="108" t="s">
        <v>38</v>
      </c>
      <c r="D2545" s="108" t="s">
        <v>143</v>
      </c>
      <c r="E2545" s="108" t="s">
        <v>10</v>
      </c>
      <c r="F2545" s="116">
        <v>834</v>
      </c>
      <c r="G2545" s="108" t="s">
        <v>61</v>
      </c>
      <c r="H2545" s="108" t="str">
        <f t="shared" si="200"/>
        <v>Skokomish River</v>
      </c>
      <c r="I2545" s="108" t="str">
        <f>IFERROR(VLOOKUP(H2545,LUTs!$A$1:$C$73,2,FALSE),"NA")</f>
        <v>Mason</v>
      </c>
      <c r="J2545" s="108" t="str">
        <f>IFERROR(VLOOKUP(H2545,LUTs!$A$1:$C$73,3,FALSE),"NA")</f>
        <v>4 Hood Canal</v>
      </c>
      <c r="K2545" s="108" t="s">
        <v>18</v>
      </c>
      <c r="L2545" s="108" t="str">
        <f>VLOOKUP(K2545,LUTs!E$2:G$14,3,)</f>
        <v>06King</v>
      </c>
      <c r="M2545" s="108" t="str">
        <f>VLOOKUP($K2545,LUTs!$E$2:$H$14,2,)</f>
        <v>South Puget Sound</v>
      </c>
      <c r="N2545" s="108" t="str">
        <f>VLOOKUP($K2545,LUTs!$E$2:$H$14,4,)</f>
        <v>02South Puget Sound</v>
      </c>
      <c r="O2545" s="108">
        <v>975.43093922651997</v>
      </c>
      <c r="P2545" s="108">
        <v>3355.4824309392302</v>
      </c>
      <c r="Q2545" s="108">
        <f>SUMIFS('FW_Salmon_by_Month_2010-2021'!P$2:P$3810,'FW_Salmon_by_Month_2010-2021'!$B$2:$B$3810,'Rec_raw_catch_effort_2010-2021'!$B2545,'FW_Salmon_by_Month_2010-2021'!$H$2:$H$3810,'Rec_raw_catch_effort_2010-2021'!$F2545,'FW_Salmon_by_Month_2010-2021'!$M$2:$M$3810,'Rec_raw_catch_effort_2010-2021'!$K2545)</f>
        <v>955.70938108842006</v>
      </c>
      <c r="R2545" s="109">
        <f>VLOOKUP(B2545,Readme!$A$62:$C$74,2,)*Q2545</f>
        <v>3382.2941483513423</v>
      </c>
      <c r="S2545" s="140" t="str">
        <f t="shared" si="197"/>
        <v>Y</v>
      </c>
      <c r="T2545" s="154">
        <f t="shared" si="198"/>
        <v>3.4400000000000017</v>
      </c>
      <c r="U2545" s="154">
        <f t="shared" si="199"/>
        <v>3.5390404397824153</v>
      </c>
    </row>
    <row r="2546" spans="1:21" x14ac:dyDescent="0.35">
      <c r="A2546" s="108">
        <v>1237</v>
      </c>
      <c r="B2546" s="108">
        <v>2015</v>
      </c>
      <c r="C2546" s="108" t="s">
        <v>38</v>
      </c>
      <c r="D2546" s="108" t="s">
        <v>143</v>
      </c>
      <c r="E2546" s="108" t="s">
        <v>10</v>
      </c>
      <c r="F2546" s="116">
        <v>834</v>
      </c>
      <c r="G2546" s="108" t="s">
        <v>61</v>
      </c>
      <c r="H2546" s="108" t="str">
        <f t="shared" si="200"/>
        <v>Skokomish River</v>
      </c>
      <c r="I2546" s="108" t="str">
        <f>IFERROR(VLOOKUP(H2546,LUTs!$A$1:$C$73,2,FALSE),"NA")</f>
        <v>Mason</v>
      </c>
      <c r="J2546" s="108" t="str">
        <f>IFERROR(VLOOKUP(H2546,LUTs!$A$1:$C$73,3,FALSE),"NA")</f>
        <v>4 Hood Canal</v>
      </c>
      <c r="K2546" s="108" t="s">
        <v>23</v>
      </c>
      <c r="L2546" s="108" t="str">
        <f>VLOOKUP(K2546,LUTs!E$2:G$14,3,)</f>
        <v>10Kitsap</v>
      </c>
      <c r="M2546" s="108" t="str">
        <f>VLOOKUP($K2546,LUTs!$E$2:$H$14,2,)</f>
        <v>South Puget Sound</v>
      </c>
      <c r="N2546" s="108" t="str">
        <f>VLOOKUP($K2546,LUTs!$E$2:$H$14,4,)</f>
        <v>02South Puget Sound</v>
      </c>
      <c r="O2546" s="108">
        <v>650.28729281768005</v>
      </c>
      <c r="P2546" s="108">
        <v>2236.9882872928201</v>
      </c>
      <c r="Q2546" s="108">
        <f>SUMIFS('FW_Salmon_by_Month_2010-2021'!P$2:P$3810,'FW_Salmon_by_Month_2010-2021'!$B$2:$B$3810,'Rec_raw_catch_effort_2010-2021'!$B2546,'FW_Salmon_by_Month_2010-2021'!$H$2:$H$3810,'Rec_raw_catch_effort_2010-2021'!$F2546,'FW_Salmon_by_Month_2010-2021'!$M$2:$M$3810,'Rec_raw_catch_effort_2010-2021'!$K2546)</f>
        <v>658.88906069059885</v>
      </c>
      <c r="R2546" s="109">
        <f>VLOOKUP(B2546,Readme!$A$62:$C$74,2,)*Q2546</f>
        <v>2331.8350311142794</v>
      </c>
      <c r="S2546" s="140" t="str">
        <f t="shared" si="197"/>
        <v>Y</v>
      </c>
      <c r="T2546" s="154">
        <f t="shared" si="198"/>
        <v>3.4400000000000013</v>
      </c>
      <c r="U2546" s="154">
        <f t="shared" si="199"/>
        <v>3.5390404397824153</v>
      </c>
    </row>
    <row r="2547" spans="1:21" x14ac:dyDescent="0.35">
      <c r="A2547" s="108">
        <v>1236</v>
      </c>
      <c r="B2547" s="108">
        <v>2015</v>
      </c>
      <c r="C2547" s="108" t="s">
        <v>38</v>
      </c>
      <c r="D2547" s="108" t="s">
        <v>143</v>
      </c>
      <c r="E2547" s="108" t="s">
        <v>10</v>
      </c>
      <c r="F2547" s="116">
        <v>834</v>
      </c>
      <c r="G2547" s="108" t="s">
        <v>61</v>
      </c>
      <c r="H2547" s="108" t="str">
        <f t="shared" si="200"/>
        <v>Skokomish River</v>
      </c>
      <c r="I2547" s="108" t="str">
        <f>IFERROR(VLOOKUP(H2547,LUTs!$A$1:$C$73,2,FALSE),"NA")</f>
        <v>Mason</v>
      </c>
      <c r="J2547" s="108" t="str">
        <f>IFERROR(VLOOKUP(H2547,LUTs!$A$1:$C$73,3,FALSE),"NA")</f>
        <v>4 Hood Canal</v>
      </c>
      <c r="K2547" s="108" t="s">
        <v>22</v>
      </c>
      <c r="L2547" s="108" t="str">
        <f>VLOOKUP(K2547,LUTs!E$2:G$14,3,)</f>
        <v>09Mason</v>
      </c>
      <c r="M2547" s="108" t="str">
        <f>VLOOKUP($K2547,LUTs!$E$2:$H$14,2,)</f>
        <v>South Puget Sound</v>
      </c>
      <c r="N2547" s="108" t="str">
        <f>VLOOKUP($K2547,LUTs!$E$2:$H$14,4,)</f>
        <v>02South Puget Sound</v>
      </c>
      <c r="O2547" s="108">
        <v>894.14502762431005</v>
      </c>
      <c r="P2547" s="108">
        <v>3075.8588950276298</v>
      </c>
      <c r="Q2547" s="108">
        <f>SUMIFS('FW_Salmon_by_Month_2010-2021'!P$2:P$3810,'FW_Salmon_by_Month_2010-2021'!$B$2:$B$3810,'Rec_raw_catch_effort_2010-2021'!$B2547,'FW_Salmon_by_Month_2010-2021'!$H$2:$H$3810,'Rec_raw_catch_effort_2010-2021'!$F2547,'FW_Salmon_by_Month_2010-2021'!$M$2:$M$3810,'Rec_raw_catch_effort_2010-2021'!$K2547)</f>
        <v>903.43689512378376</v>
      </c>
      <c r="R2547" s="109">
        <f>VLOOKUP(B2547,Readme!$A$62:$C$74,2,)*Q2547</f>
        <v>3197.2997066345356</v>
      </c>
      <c r="S2547" s="140" t="str">
        <f t="shared" si="197"/>
        <v>Y</v>
      </c>
      <c r="T2547" s="154">
        <f t="shared" si="198"/>
        <v>3.4400000000000035</v>
      </c>
      <c r="U2547" s="154">
        <f t="shared" si="199"/>
        <v>3.5390404397824153</v>
      </c>
    </row>
    <row r="2548" spans="1:21" x14ac:dyDescent="0.35">
      <c r="A2548" s="108">
        <v>1250</v>
      </c>
      <c r="B2548" s="108">
        <v>2015</v>
      </c>
      <c r="C2548" s="108" t="s">
        <v>38</v>
      </c>
      <c r="D2548" s="108" t="s">
        <v>143</v>
      </c>
      <c r="E2548" s="108" t="s">
        <v>10</v>
      </c>
      <c r="F2548" s="116">
        <v>834</v>
      </c>
      <c r="G2548" s="108" t="s">
        <v>61</v>
      </c>
      <c r="H2548" s="108" t="str">
        <f t="shared" si="200"/>
        <v>Skokomish River</v>
      </c>
      <c r="I2548" s="108" t="str">
        <f>IFERROR(VLOOKUP(H2548,LUTs!$A$1:$C$73,2,FALSE),"NA")</f>
        <v>Mason</v>
      </c>
      <c r="J2548" s="108" t="str">
        <f>IFERROR(VLOOKUP(H2548,LUTs!$A$1:$C$73,3,FALSE),"NA")</f>
        <v>4 Hood Canal</v>
      </c>
      <c r="K2548" s="108" t="s">
        <v>26</v>
      </c>
      <c r="L2548" s="108" t="str">
        <f>VLOOKUP(K2548,LUTs!E$2:G$14,3,)</f>
        <v>20Other</v>
      </c>
      <c r="M2548" s="108" t="str">
        <f>VLOOKUP($K2548,LUTs!$E$2:$H$14,2,)</f>
        <v>Non Puget Sound</v>
      </c>
      <c r="N2548" s="108" t="str">
        <f>VLOOKUP($K2548,LUTs!$E$2:$H$14,4,)</f>
        <v>07Non Puget Sound</v>
      </c>
      <c r="O2548" s="108">
        <v>803.82734806629901</v>
      </c>
      <c r="P2548" s="108">
        <v>2765.1660773480698</v>
      </c>
      <c r="Q2548" s="108">
        <f>SUMIFS('FW_Salmon_by_Month_2010-2021'!P$2:P$3810,'FW_Salmon_by_Month_2010-2021'!$B$2:$B$3810,'Rec_raw_catch_effort_2010-2021'!$B2548,'FW_Salmon_by_Month_2010-2021'!$H$2:$H$3810,'Rec_raw_catch_effort_2010-2021'!$F2548,'FW_Salmon_by_Month_2010-2021'!$M$2:$M$3810,'Rec_raw_catch_effort_2010-2021'!$K2548)</f>
        <v>810.3034334363964</v>
      </c>
      <c r="R2548" s="109">
        <f>VLOOKUP(B2548,Readme!$A$62:$C$74,2,)*Q2548</f>
        <v>2867.6966194259453</v>
      </c>
      <c r="S2548" s="140" t="str">
        <f t="shared" si="197"/>
        <v>Y</v>
      </c>
      <c r="T2548" s="154">
        <f t="shared" si="198"/>
        <v>3.4400000000000017</v>
      </c>
      <c r="U2548" s="154">
        <f t="shared" si="199"/>
        <v>3.5390404397824153</v>
      </c>
    </row>
    <row r="2549" spans="1:21" x14ac:dyDescent="0.35">
      <c r="A2549" s="108">
        <v>1234</v>
      </c>
      <c r="B2549" s="108">
        <v>2015</v>
      </c>
      <c r="C2549" s="108" t="s">
        <v>38</v>
      </c>
      <c r="D2549" s="108" t="s">
        <v>143</v>
      </c>
      <c r="E2549" s="108" t="s">
        <v>10</v>
      </c>
      <c r="F2549" s="116">
        <v>834</v>
      </c>
      <c r="G2549" s="108" t="s">
        <v>61</v>
      </c>
      <c r="H2549" s="108" t="str">
        <f t="shared" si="200"/>
        <v>Skokomish River</v>
      </c>
      <c r="I2549" s="108" t="str">
        <f>IFERROR(VLOOKUP(H2549,LUTs!$A$1:$C$73,2,FALSE),"NA")</f>
        <v>Mason</v>
      </c>
      <c r="J2549" s="108" t="str">
        <f>IFERROR(VLOOKUP(H2549,LUTs!$A$1:$C$73,3,FALSE),"NA")</f>
        <v>4 Hood Canal</v>
      </c>
      <c r="K2549" s="108" t="s">
        <v>20</v>
      </c>
      <c r="L2549" s="108" t="str">
        <f>VLOOKUP(K2549,LUTs!E$2:G$14,3,)</f>
        <v>07Pierce</v>
      </c>
      <c r="M2549" s="108" t="str">
        <f>VLOOKUP($K2549,LUTs!$E$2:$H$14,2,)</f>
        <v>South Puget Sound</v>
      </c>
      <c r="N2549" s="108" t="str">
        <f>VLOOKUP($K2549,LUTs!$E$2:$H$14,4,)</f>
        <v>02South Puget Sound</v>
      </c>
      <c r="O2549" s="108">
        <v>2086.3383977900598</v>
      </c>
      <c r="P2549" s="108">
        <v>7177.0040883978099</v>
      </c>
      <c r="Q2549" s="108">
        <f>SUMIFS('FW_Salmon_by_Month_2010-2021'!P$2:P$3810,'FW_Salmon_by_Month_2010-2021'!$B$2:$B$3810,'Rec_raw_catch_effort_2010-2021'!$B2549,'FW_Salmon_by_Month_2010-2021'!$H$2:$H$3810,'Rec_raw_catch_effort_2010-2021'!$F2549,'FW_Salmon_by_Month_2010-2021'!$M$2:$M$3810,'Rec_raw_catch_effort_2010-2021'!$K2549)</f>
        <v>2069.6405658057724</v>
      </c>
      <c r="R2549" s="109">
        <f>VLOOKUP(B2549,Readme!$A$62:$C$74,2,)*Q2549</f>
        <v>7324.5416582007874</v>
      </c>
      <c r="S2549" s="140" t="str">
        <f t="shared" si="197"/>
        <v>Y</v>
      </c>
      <c r="T2549" s="154">
        <f t="shared" si="198"/>
        <v>3.4400000000000022</v>
      </c>
      <c r="U2549" s="154">
        <f t="shared" si="199"/>
        <v>3.5390404397824153</v>
      </c>
    </row>
    <row r="2550" spans="1:21" x14ac:dyDescent="0.35">
      <c r="A2550" s="108">
        <v>1232</v>
      </c>
      <c r="B2550" s="108">
        <v>2015</v>
      </c>
      <c r="C2550" s="108" t="s">
        <v>38</v>
      </c>
      <c r="D2550" s="108" t="s">
        <v>143</v>
      </c>
      <c r="E2550" s="108" t="s">
        <v>10</v>
      </c>
      <c r="F2550" s="116">
        <v>834</v>
      </c>
      <c r="G2550" s="108" t="s">
        <v>61</v>
      </c>
      <c r="H2550" s="108" t="str">
        <f t="shared" si="200"/>
        <v>Skokomish River</v>
      </c>
      <c r="I2550" s="108" t="str">
        <f>IFERROR(VLOOKUP(H2550,LUTs!$A$1:$C$73,2,FALSE),"NA")</f>
        <v>Mason</v>
      </c>
      <c r="J2550" s="108" t="str">
        <f>IFERROR(VLOOKUP(H2550,LUTs!$A$1:$C$73,3,FALSE),"NA")</f>
        <v>4 Hood Canal</v>
      </c>
      <c r="K2550" s="108" t="s">
        <v>16</v>
      </c>
      <c r="L2550" s="108" t="str">
        <f>VLOOKUP(K2550,LUTs!E$2:G$14,3,)</f>
        <v>03Snohomish</v>
      </c>
      <c r="M2550" s="108" t="str">
        <f>VLOOKUP($K2550,LUTs!$E$2:$H$14,2,)</f>
        <v>North Puget Sound</v>
      </c>
      <c r="N2550" s="108" t="str">
        <f>VLOOKUP($K2550,LUTs!$E$2:$H$14,4,)</f>
        <v>01North Puget Sound</v>
      </c>
      <c r="O2550" s="108">
        <v>45.158839779005497</v>
      </c>
      <c r="P2550" s="108">
        <v>155.346408839779</v>
      </c>
      <c r="Q2550" s="108">
        <f>SUMIFS('FW_Salmon_by_Month_2010-2021'!P$2:P$3810,'FW_Salmon_by_Month_2010-2021'!$B$2:$B$3810,'Rec_raw_catch_effort_2010-2021'!$B2550,'FW_Salmon_by_Month_2010-2021'!$H$2:$H$3810,'Rec_raw_catch_effort_2010-2021'!$F2550,'FW_Salmon_by_Month_2010-2021'!$M$2:$M$3810,'Rec_raw_catch_effort_2010-2021'!$K2550)</f>
        <v>45.561585430045298</v>
      </c>
      <c r="R2550" s="109">
        <f>VLOOKUP(B2550,Readme!$A$62:$C$74,2,)*Q2550</f>
        <v>161.24429333753159</v>
      </c>
      <c r="S2550" s="140" t="str">
        <f t="shared" si="197"/>
        <v>Y</v>
      </c>
      <c r="T2550" s="154">
        <f t="shared" si="198"/>
        <v>3.4400000000000022</v>
      </c>
      <c r="U2550" s="154">
        <f t="shared" si="199"/>
        <v>3.5390404397824149</v>
      </c>
    </row>
    <row r="2551" spans="1:21" x14ac:dyDescent="0.35">
      <c r="A2551" s="108">
        <v>1235</v>
      </c>
      <c r="B2551" s="108">
        <v>2015</v>
      </c>
      <c r="C2551" s="108" t="s">
        <v>38</v>
      </c>
      <c r="D2551" s="108" t="s">
        <v>143</v>
      </c>
      <c r="E2551" s="108" t="s">
        <v>10</v>
      </c>
      <c r="F2551" s="116">
        <v>834</v>
      </c>
      <c r="G2551" s="108" t="s">
        <v>61</v>
      </c>
      <c r="H2551" s="108" t="str">
        <f t="shared" si="200"/>
        <v>Skokomish River</v>
      </c>
      <c r="I2551" s="108" t="str">
        <f>IFERROR(VLOOKUP(H2551,LUTs!$A$1:$C$73,2,FALSE),"NA")</f>
        <v>Mason</v>
      </c>
      <c r="J2551" s="108" t="str">
        <f>IFERROR(VLOOKUP(H2551,LUTs!$A$1:$C$73,3,FALSE),"NA")</f>
        <v>4 Hood Canal</v>
      </c>
      <c r="K2551" s="108" t="s">
        <v>21</v>
      </c>
      <c r="L2551" s="108" t="str">
        <f>VLOOKUP(K2551,LUTs!E$2:G$14,3,)</f>
        <v>08Thurston</v>
      </c>
      <c r="M2551" s="108" t="str">
        <f>VLOOKUP($K2551,LUTs!$E$2:$H$14,2,)</f>
        <v>South Puget Sound</v>
      </c>
      <c r="N2551" s="108" t="str">
        <f>VLOOKUP($K2551,LUTs!$E$2:$H$14,4,)</f>
        <v>02South Puget Sound</v>
      </c>
      <c r="O2551" s="108">
        <v>1074.78038674033</v>
      </c>
      <c r="P2551" s="108">
        <v>3697.2445303867298</v>
      </c>
      <c r="Q2551" s="108">
        <f>SUMIFS('FW_Salmon_by_Month_2010-2021'!P$2:P$3810,'FW_Salmon_by_Month_2010-2021'!$B$2:$B$3810,'Rec_raw_catch_effort_2010-2021'!$B2551,'FW_Salmon_by_Month_2010-2021'!$H$2:$H$3810,'Rec_raw_catch_effort_2010-2021'!$F2551,'FW_Salmon_by_Month_2010-2021'!$M$2:$M$3810,'Rec_raw_catch_effort_2010-2021'!$K2551)</f>
        <v>1086.2944821516903</v>
      </c>
      <c r="R2551" s="109">
        <f>VLOOKUP(B2551,Readme!$A$62:$C$74,2,)*Q2551</f>
        <v>3844.4401018473291</v>
      </c>
      <c r="S2551" s="140" t="str">
        <f t="shared" si="197"/>
        <v>Y</v>
      </c>
      <c r="T2551" s="154">
        <f t="shared" si="198"/>
        <v>3.4399999999999951</v>
      </c>
      <c r="U2551" s="154">
        <f t="shared" si="199"/>
        <v>3.5390404397824153</v>
      </c>
    </row>
    <row r="2552" spans="1:21" x14ac:dyDescent="0.35">
      <c r="A2552" s="108">
        <v>1251</v>
      </c>
      <c r="B2552" s="108">
        <v>2018</v>
      </c>
      <c r="C2552" s="108" t="s">
        <v>38</v>
      </c>
      <c r="D2552" s="108" t="s">
        <v>143</v>
      </c>
      <c r="E2552" s="108" t="s">
        <v>10</v>
      </c>
      <c r="F2552" s="116">
        <v>834</v>
      </c>
      <c r="G2552" s="108" t="s">
        <v>61</v>
      </c>
      <c r="H2552" s="108" t="str">
        <f t="shared" si="200"/>
        <v>Skokomish River</v>
      </c>
      <c r="I2552" s="108" t="str">
        <f>IFERROR(VLOOKUP(H2552,LUTs!$A$1:$C$73,2,FALSE),"NA")</f>
        <v>Mason</v>
      </c>
      <c r="J2552" s="108" t="str">
        <f>IFERROR(VLOOKUP(H2552,LUTs!$A$1:$C$73,3,FALSE),"NA")</f>
        <v>4 Hood Canal</v>
      </c>
      <c r="K2552" s="108" t="s">
        <v>18</v>
      </c>
      <c r="L2552" s="108" t="str">
        <f>VLOOKUP(K2552,LUTs!E$2:G$14,3,)</f>
        <v>06King</v>
      </c>
      <c r="M2552" s="108" t="str">
        <f>VLOOKUP($K2552,LUTs!$E$2:$H$14,2,)</f>
        <v>South Puget Sound</v>
      </c>
      <c r="N2552" s="108" t="str">
        <f>VLOOKUP($K2552,LUTs!$E$2:$H$14,4,)</f>
        <v>02South Puget Sound</v>
      </c>
      <c r="O2552" s="108">
        <v>2</v>
      </c>
      <c r="P2552" s="108">
        <v>17.3</v>
      </c>
      <c r="Q2552" s="108">
        <f>SUMIFS('FW_Salmon_by_Month_2010-2021'!P$2:P$3810,'FW_Salmon_by_Month_2010-2021'!$B$2:$B$3810,'Rec_raw_catch_effort_2010-2021'!$B2552,'FW_Salmon_by_Month_2010-2021'!$H$2:$H$3810,'Rec_raw_catch_effort_2010-2021'!$F2552,'FW_Salmon_by_Month_2010-2021'!$M$2:$M$3810,'Rec_raw_catch_effort_2010-2021'!$K2552)</f>
        <v>2</v>
      </c>
      <c r="R2552" s="109">
        <f>VLOOKUP(B2552,Readme!$A$62:$C$74,2,)*Q2552</f>
        <v>9.6391098082264168</v>
      </c>
      <c r="S2552" s="140" t="str">
        <f t="shared" si="197"/>
        <v>Y</v>
      </c>
      <c r="T2552" s="154">
        <f t="shared" si="198"/>
        <v>8.65</v>
      </c>
      <c r="U2552" s="154">
        <f t="shared" si="199"/>
        <v>4.8195549041132084</v>
      </c>
    </row>
    <row r="2553" spans="1:21" x14ac:dyDescent="0.35">
      <c r="A2553" s="108">
        <v>1252</v>
      </c>
      <c r="B2553" s="108">
        <v>2021</v>
      </c>
      <c r="C2553" s="108" t="s">
        <v>38</v>
      </c>
      <c r="D2553" s="108" t="s">
        <v>143</v>
      </c>
      <c r="E2553" s="108" t="s">
        <v>10</v>
      </c>
      <c r="F2553" s="116">
        <v>834</v>
      </c>
      <c r="G2553" s="108" t="s">
        <v>61</v>
      </c>
      <c r="H2553" s="108" t="str">
        <f t="shared" si="200"/>
        <v>Skokomish River</v>
      </c>
      <c r="I2553" s="108" t="str">
        <f>IFERROR(VLOOKUP(H2553,LUTs!$A$1:$C$73,2,FALSE),"NA")</f>
        <v>Mason</v>
      </c>
      <c r="J2553" s="108" t="str">
        <f>IFERROR(VLOOKUP(H2553,LUTs!$A$1:$C$73,3,FALSE),"NA")</f>
        <v>4 Hood Canal</v>
      </c>
      <c r="K2553" s="108" t="s">
        <v>21</v>
      </c>
      <c r="L2553" s="108" t="str">
        <f>VLOOKUP(K2553,LUTs!E$2:G$14,3,)</f>
        <v>08Thurston</v>
      </c>
      <c r="M2553" s="108" t="str">
        <f>VLOOKUP($K2553,LUTs!$E$2:$H$14,2,)</f>
        <v>South Puget Sound</v>
      </c>
      <c r="N2553" s="108" t="str">
        <f>VLOOKUP($K2553,LUTs!$E$2:$H$14,4,)</f>
        <v>02South Puget Sound</v>
      </c>
      <c r="O2553" s="108">
        <v>1</v>
      </c>
      <c r="P2553" s="108">
        <v>3.44</v>
      </c>
      <c r="Q2553" s="108">
        <f>SUMIFS('FW_Salmon_by_Month_2010-2021'!P$2:P$3810,'FW_Salmon_by_Month_2010-2021'!$B$2:$B$3810,'Rec_raw_catch_effort_2010-2021'!$B2553,'FW_Salmon_by_Month_2010-2021'!$H$2:$H$3810,'Rec_raw_catch_effort_2010-2021'!$F2553,'FW_Salmon_by_Month_2010-2021'!$M$2:$M$3810,'Rec_raw_catch_effort_2010-2021'!$K2553)</f>
        <v>1</v>
      </c>
      <c r="R2553" s="109">
        <f>VLOOKUP(B2553,Readme!$A$62:$C$74,2,)*Q2553</f>
        <v>3.5390404397824153</v>
      </c>
      <c r="S2553" s="140" t="str">
        <f t="shared" si="197"/>
        <v>N</v>
      </c>
      <c r="T2553" s="154">
        <f t="shared" si="198"/>
        <v>3.44</v>
      </c>
      <c r="U2553" s="154">
        <f t="shared" si="199"/>
        <v>3.5390404397824153</v>
      </c>
    </row>
    <row r="2554" spans="1:21" x14ac:dyDescent="0.35">
      <c r="A2554" s="108">
        <v>3617</v>
      </c>
      <c r="B2554" s="108">
        <v>2011</v>
      </c>
      <c r="C2554" s="108" t="s">
        <v>38</v>
      </c>
      <c r="D2554" s="108" t="s">
        <v>143</v>
      </c>
      <c r="E2554" s="108" t="s">
        <v>10</v>
      </c>
      <c r="F2554" s="116">
        <v>840</v>
      </c>
      <c r="G2554" s="108" t="s">
        <v>70</v>
      </c>
      <c r="H2554" s="108" t="str">
        <f t="shared" si="200"/>
        <v>Pilchuck River (Snohomish System)</v>
      </c>
      <c r="I2554" s="108" t="str">
        <f>IFERROR(VLOOKUP(H2554,LUTs!$A$1:$C$73,2,FALSE),"NA")</f>
        <v>Snohomish</v>
      </c>
      <c r="J2554" s="108" t="str">
        <f>IFERROR(VLOOKUP(H2554,LUTs!$A$1:$C$73,3,FALSE),"NA")</f>
        <v>2Central Puget Sound</v>
      </c>
      <c r="K2554" s="108" t="s">
        <v>18</v>
      </c>
      <c r="L2554" s="108" t="str">
        <f>VLOOKUP(K2554,LUTs!E$2:G$14,3,)</f>
        <v>06King</v>
      </c>
      <c r="M2554" s="108" t="str">
        <f>VLOOKUP($K2554,LUTs!$E$2:$H$14,2,)</f>
        <v>South Puget Sound</v>
      </c>
      <c r="N2554" s="108" t="str">
        <f>VLOOKUP($K2554,LUTs!$E$2:$H$14,4,)</f>
        <v>02South Puget Sound</v>
      </c>
      <c r="O2554" s="108">
        <v>4</v>
      </c>
      <c r="P2554" s="108">
        <v>13.76</v>
      </c>
      <c r="Q2554" s="108">
        <f>SUMIFS('FW_Salmon_by_Month_2010-2021'!P$2:P$3810,'FW_Salmon_by_Month_2010-2021'!$B$2:$B$3810,'Rec_raw_catch_effort_2010-2021'!$B2554,'FW_Salmon_by_Month_2010-2021'!$H$2:$H$3810,'Rec_raw_catch_effort_2010-2021'!$F2554,'FW_Salmon_by_Month_2010-2021'!$M$2:$M$3810,'Rec_raw_catch_effort_2010-2021'!$K2554)</f>
        <v>4</v>
      </c>
      <c r="R2554" s="109">
        <f>VLOOKUP(B2554,Readme!$A$62:$C$74,2,)*Q2554</f>
        <v>14.156161759129661</v>
      </c>
      <c r="S2554" s="140" t="str">
        <f t="shared" si="197"/>
        <v>Y</v>
      </c>
      <c r="T2554" s="154">
        <f t="shared" si="198"/>
        <v>3.44</v>
      </c>
      <c r="U2554" s="154">
        <f t="shared" si="199"/>
        <v>3.5390404397824153</v>
      </c>
    </row>
    <row r="2555" spans="1:21" x14ac:dyDescent="0.35">
      <c r="A2555" s="108">
        <v>3616</v>
      </c>
      <c r="B2555" s="108">
        <v>2011</v>
      </c>
      <c r="C2555" s="108" t="s">
        <v>38</v>
      </c>
      <c r="D2555" s="108" t="s">
        <v>143</v>
      </c>
      <c r="E2555" s="108" t="s">
        <v>10</v>
      </c>
      <c r="F2555" s="116">
        <v>840</v>
      </c>
      <c r="G2555" s="108" t="s">
        <v>70</v>
      </c>
      <c r="H2555" s="108" t="str">
        <f t="shared" si="200"/>
        <v>Pilchuck River (Snohomish System)</v>
      </c>
      <c r="I2555" s="108" t="str">
        <f>IFERROR(VLOOKUP(H2555,LUTs!$A$1:$C$73,2,FALSE),"NA")</f>
        <v>Snohomish</v>
      </c>
      <c r="J2555" s="108" t="str">
        <f>IFERROR(VLOOKUP(H2555,LUTs!$A$1:$C$73,3,FALSE),"NA")</f>
        <v>2Central Puget Sound</v>
      </c>
      <c r="K2555" s="108" t="s">
        <v>16</v>
      </c>
      <c r="L2555" s="108" t="str">
        <f>VLOOKUP(K2555,LUTs!E$2:G$14,3,)</f>
        <v>03Snohomish</v>
      </c>
      <c r="M2555" s="108" t="str">
        <f>VLOOKUP($K2555,LUTs!$E$2:$H$14,2,)</f>
        <v>North Puget Sound</v>
      </c>
      <c r="N2555" s="108" t="str">
        <f>VLOOKUP($K2555,LUTs!$E$2:$H$14,4,)</f>
        <v>01North Puget Sound</v>
      </c>
      <c r="O2555" s="108">
        <v>4</v>
      </c>
      <c r="P2555" s="108">
        <v>13.76</v>
      </c>
      <c r="Q2555" s="108">
        <f>SUMIFS('FW_Salmon_by_Month_2010-2021'!P$2:P$3810,'FW_Salmon_by_Month_2010-2021'!$B$2:$B$3810,'Rec_raw_catch_effort_2010-2021'!$B2555,'FW_Salmon_by_Month_2010-2021'!$H$2:$H$3810,'Rec_raw_catch_effort_2010-2021'!$F2555,'FW_Salmon_by_Month_2010-2021'!$M$2:$M$3810,'Rec_raw_catch_effort_2010-2021'!$K2555)</f>
        <v>4</v>
      </c>
      <c r="R2555" s="109">
        <f>VLOOKUP(B2555,Readme!$A$62:$C$74,2,)*Q2555</f>
        <v>14.156161759129661</v>
      </c>
      <c r="S2555" s="140" t="str">
        <f t="shared" si="197"/>
        <v>Y</v>
      </c>
      <c r="T2555" s="154">
        <f t="shared" si="198"/>
        <v>3.44</v>
      </c>
      <c r="U2555" s="154">
        <f t="shared" si="199"/>
        <v>3.5390404397824153</v>
      </c>
    </row>
    <row r="2556" spans="1:21" x14ac:dyDescent="0.35">
      <c r="A2556" s="108">
        <v>2681</v>
      </c>
      <c r="B2556" s="108">
        <v>2019</v>
      </c>
      <c r="C2556" s="108" t="s">
        <v>38</v>
      </c>
      <c r="D2556" s="108" t="s">
        <v>143</v>
      </c>
      <c r="E2556" s="108" t="s">
        <v>10</v>
      </c>
      <c r="F2556" s="116">
        <v>840</v>
      </c>
      <c r="G2556" s="108" t="s">
        <v>70</v>
      </c>
      <c r="H2556" s="108" t="str">
        <f t="shared" si="200"/>
        <v>Pilchuck River (Snohomish System)</v>
      </c>
      <c r="I2556" s="108" t="str">
        <f>IFERROR(VLOOKUP(H2556,LUTs!$A$1:$C$73,2,FALSE),"NA")</f>
        <v>Snohomish</v>
      </c>
      <c r="J2556" s="108" t="str">
        <f>IFERROR(VLOOKUP(H2556,LUTs!$A$1:$C$73,3,FALSE),"NA")</f>
        <v>2Central Puget Sound</v>
      </c>
      <c r="K2556" s="108" t="s">
        <v>26</v>
      </c>
      <c r="L2556" s="108" t="str">
        <f>VLOOKUP(K2556,LUTs!E$2:G$14,3,)</f>
        <v>20Other</v>
      </c>
      <c r="M2556" s="108" t="str">
        <f>VLOOKUP($K2556,LUTs!$E$2:$H$14,2,)</f>
        <v>Non Puget Sound</v>
      </c>
      <c r="N2556" s="108" t="str">
        <f>VLOOKUP($K2556,LUTs!$E$2:$H$14,4,)</f>
        <v>07Non Puget Sound</v>
      </c>
      <c r="O2556" s="108">
        <v>0</v>
      </c>
      <c r="P2556" s="108">
        <v>0</v>
      </c>
      <c r="Q2556" s="108">
        <f>SUMIFS('FW_Salmon_by_Month_2010-2021'!P$2:P$3810,'FW_Salmon_by_Month_2010-2021'!$B$2:$B$3810,'Rec_raw_catch_effort_2010-2021'!$B2556,'FW_Salmon_by_Month_2010-2021'!$H$2:$H$3810,'Rec_raw_catch_effort_2010-2021'!$F2556,'FW_Salmon_by_Month_2010-2021'!$M$2:$M$3810,'Rec_raw_catch_effort_2010-2021'!$K2556)</f>
        <v>0</v>
      </c>
      <c r="R2556" s="109">
        <f>VLOOKUP(B2556,Readme!$A$62:$C$74,2,)*Q2556</f>
        <v>0</v>
      </c>
      <c r="S2556" s="140" t="str">
        <f t="shared" si="197"/>
        <v>Y</v>
      </c>
      <c r="T2556" s="154" t="str">
        <f t="shared" si="198"/>
        <v>NA</v>
      </c>
      <c r="U2556" s="154" t="str">
        <f t="shared" si="199"/>
        <v>NA</v>
      </c>
    </row>
    <row r="2557" spans="1:21" x14ac:dyDescent="0.35">
      <c r="A2557" s="108">
        <v>3566</v>
      </c>
      <c r="B2557" s="108">
        <v>2010</v>
      </c>
      <c r="C2557" s="108" t="s">
        <v>38</v>
      </c>
      <c r="D2557" s="108" t="s">
        <v>143</v>
      </c>
      <c r="E2557" s="108" t="s">
        <v>10</v>
      </c>
      <c r="F2557" s="116">
        <v>844</v>
      </c>
      <c r="G2557" s="108" t="s">
        <v>62</v>
      </c>
      <c r="H2557" s="108" t="str">
        <f t="shared" si="200"/>
        <v>Skykomish River</v>
      </c>
      <c r="I2557" s="108" t="str">
        <f>IFERROR(VLOOKUP(H2557,LUTs!$A$1:$C$73,2,FALSE),"NA")</f>
        <v>Snohomish</v>
      </c>
      <c r="J2557" s="108" t="str">
        <f>IFERROR(VLOOKUP(H2557,LUTs!$A$1:$C$73,3,FALSE),"NA")</f>
        <v>2Central Puget Sound</v>
      </c>
      <c r="K2557" s="108" t="s">
        <v>18</v>
      </c>
      <c r="L2557" s="108" t="str">
        <f>VLOOKUP(K2557,LUTs!E$2:G$14,3,)</f>
        <v>06King</v>
      </c>
      <c r="M2557" s="108" t="str">
        <f>VLOOKUP($K2557,LUTs!$E$2:$H$14,2,)</f>
        <v>South Puget Sound</v>
      </c>
      <c r="N2557" s="108" t="str">
        <f>VLOOKUP($K2557,LUTs!$E$2:$H$14,4,)</f>
        <v>02South Puget Sound</v>
      </c>
      <c r="O2557" s="108">
        <v>291.50364963503699</v>
      </c>
      <c r="P2557" s="108">
        <v>2521.5065693430702</v>
      </c>
      <c r="Q2557" s="108">
        <f>SUMIFS('FW_Salmon_by_Month_2010-2021'!P$2:P$3810,'FW_Salmon_by_Month_2010-2021'!$B$2:$B$3810,'Rec_raw_catch_effort_2010-2021'!$B2557,'FW_Salmon_by_Month_2010-2021'!$H$2:$H$3810,'Rec_raw_catch_effort_2010-2021'!$F2557,'FW_Salmon_by_Month_2010-2021'!$M$2:$M$3810,'Rec_raw_catch_effort_2010-2021'!$K2557)</f>
        <v>296.61040290330004</v>
      </c>
      <c r="R2557" s="109">
        <f>VLOOKUP(B2557,Readme!$A$62:$C$74,2,)*Q2557</f>
        <v>1429.5301219235944</v>
      </c>
      <c r="S2557" s="140" t="str">
        <f t="shared" si="197"/>
        <v>Y</v>
      </c>
      <c r="T2557" s="154">
        <f t="shared" si="198"/>
        <v>8.65</v>
      </c>
      <c r="U2557" s="154">
        <f t="shared" si="199"/>
        <v>4.8195549041132084</v>
      </c>
    </row>
    <row r="2558" spans="1:21" x14ac:dyDescent="0.35">
      <c r="A2558" s="108">
        <v>3568</v>
      </c>
      <c r="B2558" s="108">
        <v>2010</v>
      </c>
      <c r="C2558" s="108" t="s">
        <v>38</v>
      </c>
      <c r="D2558" s="108" t="s">
        <v>143</v>
      </c>
      <c r="E2558" s="108" t="s">
        <v>10</v>
      </c>
      <c r="F2558" s="116">
        <v>844</v>
      </c>
      <c r="G2558" s="108" t="s">
        <v>62</v>
      </c>
      <c r="H2558" s="108" t="str">
        <f t="shared" si="200"/>
        <v>Skykomish River</v>
      </c>
      <c r="I2558" s="108" t="str">
        <f>IFERROR(VLOOKUP(H2558,LUTs!$A$1:$C$73,2,FALSE),"NA")</f>
        <v>Snohomish</v>
      </c>
      <c r="J2558" s="108" t="str">
        <f>IFERROR(VLOOKUP(H2558,LUTs!$A$1:$C$73,3,FALSE),"NA")</f>
        <v>2Central Puget Sound</v>
      </c>
      <c r="K2558" s="108" t="s">
        <v>26</v>
      </c>
      <c r="L2558" s="108" t="str">
        <f>VLOOKUP(K2558,LUTs!E$2:G$14,3,)</f>
        <v>20Other</v>
      </c>
      <c r="M2558" s="108" t="str">
        <f>VLOOKUP($K2558,LUTs!$E$2:$H$14,2,)</f>
        <v>Non Puget Sound</v>
      </c>
      <c r="N2558" s="108" t="str">
        <f>VLOOKUP($K2558,LUTs!$E$2:$H$14,4,)</f>
        <v>07Non Puget Sound</v>
      </c>
      <c r="O2558" s="108">
        <v>6.0729927007299302</v>
      </c>
      <c r="P2558" s="108">
        <v>52.531386861313898</v>
      </c>
      <c r="Q2558" s="108">
        <f>SUMIFS('FW_Salmon_by_Month_2010-2021'!P$2:P$3810,'FW_Salmon_by_Month_2010-2021'!$B$2:$B$3810,'Rec_raw_catch_effort_2010-2021'!$B2558,'FW_Salmon_by_Month_2010-2021'!$H$2:$H$3810,'Rec_raw_catch_effort_2010-2021'!$F2558,'FW_Salmon_by_Month_2010-2021'!$M$2:$M$3810,'Rec_raw_catch_effort_2010-2021'!$K2558)</f>
        <v>6.44444444444445</v>
      </c>
      <c r="R2558" s="109">
        <f>VLOOKUP(B2558,Readme!$A$62:$C$74,2,)*Q2558</f>
        <v>31.059353826507369</v>
      </c>
      <c r="S2558" s="140" t="str">
        <f t="shared" si="197"/>
        <v>Y</v>
      </c>
      <c r="T2558" s="154">
        <f t="shared" si="198"/>
        <v>8.65</v>
      </c>
      <c r="U2558" s="154">
        <f t="shared" si="199"/>
        <v>4.8195549041132084</v>
      </c>
    </row>
    <row r="2559" spans="1:21" x14ac:dyDescent="0.35">
      <c r="A2559" s="108">
        <v>3567</v>
      </c>
      <c r="B2559" s="108">
        <v>2010</v>
      </c>
      <c r="C2559" s="108" t="s">
        <v>38</v>
      </c>
      <c r="D2559" s="108" t="s">
        <v>143</v>
      </c>
      <c r="E2559" s="108" t="s">
        <v>10</v>
      </c>
      <c r="F2559" s="116">
        <v>844</v>
      </c>
      <c r="G2559" s="108" t="s">
        <v>62</v>
      </c>
      <c r="H2559" s="108" t="str">
        <f t="shared" si="200"/>
        <v>Skykomish River</v>
      </c>
      <c r="I2559" s="108" t="str">
        <f>IFERROR(VLOOKUP(H2559,LUTs!$A$1:$C$73,2,FALSE),"NA")</f>
        <v>Snohomish</v>
      </c>
      <c r="J2559" s="108" t="str">
        <f>IFERROR(VLOOKUP(H2559,LUTs!$A$1:$C$73,3,FALSE),"NA")</f>
        <v>2Central Puget Sound</v>
      </c>
      <c r="K2559" s="108" t="s">
        <v>20</v>
      </c>
      <c r="L2559" s="108" t="str">
        <f>VLOOKUP(K2559,LUTs!E$2:G$14,3,)</f>
        <v>07Pierce</v>
      </c>
      <c r="M2559" s="108" t="str">
        <f>VLOOKUP($K2559,LUTs!$E$2:$H$14,2,)</f>
        <v>South Puget Sound</v>
      </c>
      <c r="N2559" s="108" t="str">
        <f>VLOOKUP($K2559,LUTs!$E$2:$H$14,4,)</f>
        <v>02South Puget Sound</v>
      </c>
      <c r="O2559" s="108">
        <v>54.656934306569397</v>
      </c>
      <c r="P2559" s="108">
        <v>472.782481751825</v>
      </c>
      <c r="Q2559" s="108">
        <f>SUMIFS('FW_Salmon_by_Month_2010-2021'!P$2:P$3810,'FW_Salmon_by_Month_2010-2021'!$B$2:$B$3810,'Rec_raw_catch_effort_2010-2021'!$B2559,'FW_Salmon_by_Month_2010-2021'!$H$2:$H$3810,'Rec_raw_catch_effort_2010-2021'!$F2559,'FW_Salmon_by_Month_2010-2021'!$M$2:$M$3810,'Rec_raw_catch_effort_2010-2021'!$K2559)</f>
        <v>57.911111111111097</v>
      </c>
      <c r="R2559" s="109">
        <f>VLOOKUP(B2559,Readme!$A$62:$C$74,2,)*Q2559</f>
        <v>279.10577955820042</v>
      </c>
      <c r="S2559" s="140" t="str">
        <f t="shared" si="197"/>
        <v>Y</v>
      </c>
      <c r="T2559" s="154">
        <f t="shared" si="198"/>
        <v>8.649999999999995</v>
      </c>
      <c r="U2559" s="154">
        <f t="shared" si="199"/>
        <v>4.8195549041132084</v>
      </c>
    </row>
    <row r="2560" spans="1:21" x14ac:dyDescent="0.35">
      <c r="A2560" s="108">
        <v>3564</v>
      </c>
      <c r="B2560" s="108">
        <v>2010</v>
      </c>
      <c r="C2560" s="108" t="s">
        <v>38</v>
      </c>
      <c r="D2560" s="108" t="s">
        <v>143</v>
      </c>
      <c r="E2560" s="108" t="s">
        <v>10</v>
      </c>
      <c r="F2560" s="116">
        <v>844</v>
      </c>
      <c r="G2560" s="108" t="s">
        <v>62</v>
      </c>
      <c r="H2560" s="108" t="str">
        <f t="shared" si="200"/>
        <v>Skykomish River</v>
      </c>
      <c r="I2560" s="108" t="str">
        <f>IFERROR(VLOOKUP(H2560,LUTs!$A$1:$C$73,2,FALSE),"NA")</f>
        <v>Snohomish</v>
      </c>
      <c r="J2560" s="108" t="str">
        <f>IFERROR(VLOOKUP(H2560,LUTs!$A$1:$C$73,3,FALSE),"NA")</f>
        <v>2Central Puget Sound</v>
      </c>
      <c r="K2560" s="108" t="s">
        <v>15</v>
      </c>
      <c r="L2560" s="108" t="str">
        <f>VLOOKUP(K2560,LUTs!E$2:G$14,3,)</f>
        <v>02Skagit</v>
      </c>
      <c r="M2560" s="108" t="str">
        <f>VLOOKUP($K2560,LUTs!$E$2:$H$14,2,)</f>
        <v>North Puget Sound</v>
      </c>
      <c r="N2560" s="108" t="str">
        <f>VLOOKUP($K2560,LUTs!$E$2:$H$14,4,)</f>
        <v>01North Puget Sound</v>
      </c>
      <c r="O2560" s="108">
        <v>12.1459854014599</v>
      </c>
      <c r="P2560" s="108">
        <v>105.06277372262799</v>
      </c>
      <c r="Q2560" s="108">
        <f>SUMIFS('FW_Salmon_by_Month_2010-2021'!P$2:P$3810,'FW_Salmon_by_Month_2010-2021'!$B$2:$B$3810,'Rec_raw_catch_effort_2010-2021'!$B2560,'FW_Salmon_by_Month_2010-2021'!$H$2:$H$3810,'Rec_raw_catch_effort_2010-2021'!$F2560,'FW_Salmon_by_Month_2010-2021'!$M$2:$M$3810,'Rec_raw_catch_effort_2010-2021'!$K2560)</f>
        <v>12.49433962264151</v>
      </c>
      <c r="R2560" s="109">
        <f>VLOOKUP(B2560,Readme!$A$62:$C$74,2,)*Q2560</f>
        <v>60.217155801957865</v>
      </c>
      <c r="S2560" s="140" t="str">
        <f t="shared" si="197"/>
        <v>Y</v>
      </c>
      <c r="T2560" s="154">
        <f t="shared" si="198"/>
        <v>8.6499999999999879</v>
      </c>
      <c r="U2560" s="154">
        <f t="shared" si="199"/>
        <v>4.8195549041132084</v>
      </c>
    </row>
    <row r="2561" spans="1:21" x14ac:dyDescent="0.35">
      <c r="A2561" s="108">
        <v>3565</v>
      </c>
      <c r="B2561" s="108">
        <v>2010</v>
      </c>
      <c r="C2561" s="108" t="s">
        <v>38</v>
      </c>
      <c r="D2561" s="108" t="s">
        <v>143</v>
      </c>
      <c r="E2561" s="108" t="s">
        <v>10</v>
      </c>
      <c r="F2561" s="116">
        <v>844</v>
      </c>
      <c r="G2561" s="108" t="s">
        <v>62</v>
      </c>
      <c r="H2561" s="108" t="str">
        <f t="shared" si="200"/>
        <v>Skykomish River</v>
      </c>
      <c r="I2561" s="108" t="str">
        <f>IFERROR(VLOOKUP(H2561,LUTs!$A$1:$C$73,2,FALSE),"NA")</f>
        <v>Snohomish</v>
      </c>
      <c r="J2561" s="108" t="str">
        <f>IFERROR(VLOOKUP(H2561,LUTs!$A$1:$C$73,3,FALSE),"NA")</f>
        <v>2Central Puget Sound</v>
      </c>
      <c r="K2561" s="108" t="s">
        <v>16</v>
      </c>
      <c r="L2561" s="108" t="str">
        <f>VLOOKUP(K2561,LUTs!E$2:G$14,3,)</f>
        <v>03Snohomish</v>
      </c>
      <c r="M2561" s="108" t="str">
        <f>VLOOKUP($K2561,LUTs!$E$2:$H$14,2,)</f>
        <v>North Puget Sound</v>
      </c>
      <c r="N2561" s="108" t="str">
        <f>VLOOKUP($K2561,LUTs!$E$2:$H$14,4,)</f>
        <v>01North Puget Sound</v>
      </c>
      <c r="O2561" s="108">
        <v>431.18248175182498</v>
      </c>
      <c r="P2561" s="108">
        <v>3729.7284671532898</v>
      </c>
      <c r="Q2561" s="108">
        <f>SUMIFS('FW_Salmon_by_Month_2010-2021'!P$2:P$3810,'FW_Salmon_by_Month_2010-2021'!$B$2:$B$3810,'Rec_raw_catch_effort_2010-2021'!$B2561,'FW_Salmon_by_Month_2010-2021'!$H$2:$H$3810,'Rec_raw_catch_effort_2010-2021'!$F2561,'FW_Salmon_by_Month_2010-2021'!$M$2:$M$3810,'Rec_raw_catch_effort_2010-2021'!$K2561)</f>
        <v>422.04469636911421</v>
      </c>
      <c r="R2561" s="109">
        <f>VLOOKUP(B2561,Readme!$A$62:$C$74,2,)*Q2561</f>
        <v>2034.0675861407344</v>
      </c>
      <c r="S2561" s="140" t="str">
        <f t="shared" si="197"/>
        <v>Y</v>
      </c>
      <c r="T2561" s="154">
        <f t="shared" si="198"/>
        <v>8.6500000000000092</v>
      </c>
      <c r="U2561" s="154">
        <f t="shared" si="199"/>
        <v>4.8195549041132084</v>
      </c>
    </row>
    <row r="2562" spans="1:21" x14ac:dyDescent="0.35">
      <c r="A2562" s="108">
        <v>3563</v>
      </c>
      <c r="B2562" s="108">
        <v>2010</v>
      </c>
      <c r="C2562" s="108" t="s">
        <v>38</v>
      </c>
      <c r="D2562" s="108" t="s">
        <v>143</v>
      </c>
      <c r="E2562" s="108" t="s">
        <v>10</v>
      </c>
      <c r="F2562" s="116">
        <v>844</v>
      </c>
      <c r="G2562" s="108" t="s">
        <v>62</v>
      </c>
      <c r="H2562" s="108" t="str">
        <f t="shared" si="200"/>
        <v>Skykomish River</v>
      </c>
      <c r="I2562" s="108" t="str">
        <f>IFERROR(VLOOKUP(H2562,LUTs!$A$1:$C$73,2,FALSE),"NA")</f>
        <v>Snohomish</v>
      </c>
      <c r="J2562" s="108" t="str">
        <f>IFERROR(VLOOKUP(H2562,LUTs!$A$1:$C$73,3,FALSE),"NA")</f>
        <v>2Central Puget Sound</v>
      </c>
      <c r="K2562" s="108" t="s">
        <v>13</v>
      </c>
      <c r="L2562" s="108" t="str">
        <f>VLOOKUP(K2562,LUTs!E$2:G$14,3,)</f>
        <v>01Whatcom</v>
      </c>
      <c r="M2562" s="108" t="str">
        <f>VLOOKUP($K2562,LUTs!$E$2:$H$14,2,)</f>
        <v>North Puget Sound</v>
      </c>
      <c r="N2562" s="108" t="str">
        <f>VLOOKUP($K2562,LUTs!$E$2:$H$14,4,)</f>
        <v>01North Puget Sound</v>
      </c>
      <c r="O2562" s="108">
        <v>36.437956204379603</v>
      </c>
      <c r="P2562" s="108">
        <v>315.188321167884</v>
      </c>
      <c r="Q2562" s="108">
        <f>SUMIFS('FW_Salmon_by_Month_2010-2021'!P$2:P$3810,'FW_Salmon_by_Month_2010-2021'!$B$2:$B$3810,'Rec_raw_catch_effort_2010-2021'!$B2562,'FW_Salmon_by_Month_2010-2021'!$H$2:$H$3810,'Rec_raw_catch_effort_2010-2021'!$F2562,'FW_Salmon_by_Month_2010-2021'!$M$2:$M$3810,'Rec_raw_catch_effort_2010-2021'!$K2562)</f>
        <v>36.495005549389504</v>
      </c>
      <c r="R2562" s="109">
        <f>VLOOKUP(B2562,Readme!$A$62:$C$74,2,)*Q2562</f>
        <v>175.88968297119894</v>
      </c>
      <c r="S2562" s="140" t="str">
        <f t="shared" si="197"/>
        <v>Y</v>
      </c>
      <c r="T2562" s="154">
        <f t="shared" si="198"/>
        <v>8.6500000000000128</v>
      </c>
      <c r="U2562" s="154">
        <f t="shared" si="199"/>
        <v>4.8195549041132084</v>
      </c>
    </row>
    <row r="2563" spans="1:21" x14ac:dyDescent="0.35">
      <c r="A2563" s="108">
        <v>3621</v>
      </c>
      <c r="B2563" s="108">
        <v>2011</v>
      </c>
      <c r="C2563" s="108" t="s">
        <v>38</v>
      </c>
      <c r="D2563" s="108" t="s">
        <v>143</v>
      </c>
      <c r="E2563" s="108" t="s">
        <v>10</v>
      </c>
      <c r="F2563" s="116">
        <v>844</v>
      </c>
      <c r="G2563" s="108" t="s">
        <v>62</v>
      </c>
      <c r="H2563" s="108" t="str">
        <f t="shared" si="200"/>
        <v>Skykomish River</v>
      </c>
      <c r="I2563" s="108" t="str">
        <f>IFERROR(VLOOKUP(H2563,LUTs!$A$1:$C$73,2,FALSE),"NA")</f>
        <v>Snohomish</v>
      </c>
      <c r="J2563" s="108" t="str">
        <f>IFERROR(VLOOKUP(H2563,LUTs!$A$1:$C$73,3,FALSE),"NA")</f>
        <v>2Central Puget Sound</v>
      </c>
      <c r="K2563" s="108" t="s">
        <v>18</v>
      </c>
      <c r="L2563" s="108" t="str">
        <f>VLOOKUP(K2563,LUTs!E$2:G$14,3,)</f>
        <v>06King</v>
      </c>
      <c r="M2563" s="108" t="str">
        <f>VLOOKUP($K2563,LUTs!$E$2:$H$14,2,)</f>
        <v>South Puget Sound</v>
      </c>
      <c r="N2563" s="108" t="str">
        <f>VLOOKUP($K2563,LUTs!$E$2:$H$14,4,)</f>
        <v>02South Puget Sound</v>
      </c>
      <c r="O2563" s="108">
        <v>4304.8521377672196</v>
      </c>
      <c r="P2563" s="108">
        <v>14808.691353919199</v>
      </c>
      <c r="Q2563" s="108">
        <f>SUMIFS('FW_Salmon_by_Month_2010-2021'!P$2:P$3810,'FW_Salmon_by_Month_2010-2021'!$B$2:$B$3810,'Rec_raw_catch_effort_2010-2021'!$B2563,'FW_Salmon_by_Month_2010-2021'!$H$2:$H$3810,'Rec_raw_catch_effort_2010-2021'!$F2563,'FW_Salmon_by_Month_2010-2021'!$M$2:$M$3810,'Rec_raw_catch_effort_2010-2021'!$K2563)</f>
        <v>4303.5450642498572</v>
      </c>
      <c r="R2563" s="109">
        <f>VLOOKUP(B2563,Readme!$A$62:$C$74,2,)*Q2563</f>
        <v>15230.420016806258</v>
      </c>
      <c r="S2563" s="140" t="str">
        <f t="shared" ref="S2563:S2626" si="201">IF(B2563&lt;=2019,"Y","N")</f>
        <v>Y</v>
      </c>
      <c r="T2563" s="154">
        <f t="shared" ref="T2563:T2626" si="202">IFERROR(P2563/O2563,"NA")</f>
        <v>3.4399999999999915</v>
      </c>
      <c r="U2563" s="154">
        <f t="shared" ref="U2563:U2626" si="203">IFERROR(R2563/Q2563,"NA")</f>
        <v>3.5390404397824153</v>
      </c>
    </row>
    <row r="2564" spans="1:21" x14ac:dyDescent="0.35">
      <c r="A2564" s="108">
        <v>3624</v>
      </c>
      <c r="B2564" s="108">
        <v>2011</v>
      </c>
      <c r="C2564" s="108" t="s">
        <v>38</v>
      </c>
      <c r="D2564" s="108" t="s">
        <v>143</v>
      </c>
      <c r="E2564" s="108" t="s">
        <v>10</v>
      </c>
      <c r="F2564" s="116">
        <v>844</v>
      </c>
      <c r="G2564" s="108" t="s">
        <v>62</v>
      </c>
      <c r="H2564" s="108" t="str">
        <f t="shared" si="200"/>
        <v>Skykomish River</v>
      </c>
      <c r="I2564" s="108" t="str">
        <f>IFERROR(VLOOKUP(H2564,LUTs!$A$1:$C$73,2,FALSE),"NA")</f>
        <v>Snohomish</v>
      </c>
      <c r="J2564" s="108" t="str">
        <f>IFERROR(VLOOKUP(H2564,LUTs!$A$1:$C$73,3,FALSE),"NA")</f>
        <v>2Central Puget Sound</v>
      </c>
      <c r="K2564" s="108" t="s">
        <v>23</v>
      </c>
      <c r="L2564" s="108" t="str">
        <f>VLOOKUP(K2564,LUTs!E$2:G$14,3,)</f>
        <v>10Kitsap</v>
      </c>
      <c r="M2564" s="108" t="str">
        <f>VLOOKUP($K2564,LUTs!$E$2:$H$14,2,)</f>
        <v>South Puget Sound</v>
      </c>
      <c r="N2564" s="108" t="str">
        <f>VLOOKUP($K2564,LUTs!$E$2:$H$14,4,)</f>
        <v>02South Puget Sound</v>
      </c>
      <c r="O2564" s="108">
        <v>28.843230403800501</v>
      </c>
      <c r="P2564" s="108">
        <v>99.220712589073699</v>
      </c>
      <c r="Q2564" s="108">
        <f>SUMIFS('FW_Salmon_by_Month_2010-2021'!P$2:P$3810,'FW_Salmon_by_Month_2010-2021'!$B$2:$B$3810,'Rec_raw_catch_effort_2010-2021'!$B2564,'FW_Salmon_by_Month_2010-2021'!$H$2:$H$3810,'Rec_raw_catch_effort_2010-2021'!$F2564,'FW_Salmon_by_Month_2010-2021'!$M$2:$M$3810,'Rec_raw_catch_effort_2010-2021'!$K2564)</f>
        <v>15.006634912823401</v>
      </c>
      <c r="R2564" s="109">
        <f>VLOOKUP(B2564,Readme!$A$62:$C$74,2,)*Q2564</f>
        <v>53.109087821532675</v>
      </c>
      <c r="S2564" s="140" t="str">
        <f t="shared" si="201"/>
        <v>Y</v>
      </c>
      <c r="T2564" s="154">
        <f t="shared" si="202"/>
        <v>3.4399999999999991</v>
      </c>
      <c r="U2564" s="154">
        <f t="shared" si="203"/>
        <v>3.5390404397824153</v>
      </c>
    </row>
    <row r="2565" spans="1:21" x14ac:dyDescent="0.35">
      <c r="A2565" s="108">
        <v>3625</v>
      </c>
      <c r="B2565" s="108">
        <v>2011</v>
      </c>
      <c r="C2565" s="108" t="s">
        <v>38</v>
      </c>
      <c r="D2565" s="108" t="s">
        <v>143</v>
      </c>
      <c r="E2565" s="108" t="s">
        <v>10</v>
      </c>
      <c r="F2565" s="116">
        <v>844</v>
      </c>
      <c r="G2565" s="108" t="s">
        <v>62</v>
      </c>
      <c r="H2565" s="108" t="str">
        <f t="shared" si="200"/>
        <v>Skykomish River</v>
      </c>
      <c r="I2565" s="108" t="str">
        <f>IFERROR(VLOOKUP(H2565,LUTs!$A$1:$C$73,2,FALSE),"NA")</f>
        <v>Snohomish</v>
      </c>
      <c r="J2565" s="108" t="str">
        <f>IFERROR(VLOOKUP(H2565,LUTs!$A$1:$C$73,3,FALSE),"NA")</f>
        <v>2Central Puget Sound</v>
      </c>
      <c r="K2565" s="108" t="s">
        <v>26</v>
      </c>
      <c r="L2565" s="108" t="str">
        <f>VLOOKUP(K2565,LUTs!E$2:G$14,3,)</f>
        <v>20Other</v>
      </c>
      <c r="M2565" s="108" t="str">
        <f>VLOOKUP($K2565,LUTs!$E$2:$H$14,2,)</f>
        <v>Non Puget Sound</v>
      </c>
      <c r="N2565" s="108" t="str">
        <f>VLOOKUP($K2565,LUTs!$E$2:$H$14,4,)</f>
        <v>07Non Puget Sound</v>
      </c>
      <c r="O2565" s="108">
        <v>1074.4103325415699</v>
      </c>
      <c r="P2565" s="108">
        <v>3695.9715439430001</v>
      </c>
      <c r="Q2565" s="108">
        <f>SUMIFS('FW_Salmon_by_Month_2010-2021'!P$2:P$3810,'FW_Salmon_by_Month_2010-2021'!$B$2:$B$3810,'Rec_raw_catch_effort_2010-2021'!$B2565,'FW_Salmon_by_Month_2010-2021'!$H$2:$H$3810,'Rec_raw_catch_effort_2010-2021'!$F2565,'FW_Salmon_by_Month_2010-2021'!$M$2:$M$3810,'Rec_raw_catch_effort_2010-2021'!$K2565)</f>
        <v>1108.6010939563819</v>
      </c>
      <c r="R2565" s="109">
        <f>VLOOKUP(B2565,Readme!$A$62:$C$74,2,)*Q2565</f>
        <v>3923.3841030986605</v>
      </c>
      <c r="S2565" s="140" t="str">
        <f t="shared" si="201"/>
        <v>Y</v>
      </c>
      <c r="T2565" s="154">
        <f t="shared" si="202"/>
        <v>3.4399999999999995</v>
      </c>
      <c r="U2565" s="154">
        <f t="shared" si="203"/>
        <v>3.5390404397824153</v>
      </c>
    </row>
    <row r="2566" spans="1:21" x14ac:dyDescent="0.35">
      <c r="A2566" s="108">
        <v>3622</v>
      </c>
      <c r="B2566" s="108">
        <v>2011</v>
      </c>
      <c r="C2566" s="108" t="s">
        <v>38</v>
      </c>
      <c r="D2566" s="108" t="s">
        <v>143</v>
      </c>
      <c r="E2566" s="108" t="s">
        <v>10</v>
      </c>
      <c r="F2566" s="116">
        <v>844</v>
      </c>
      <c r="G2566" s="108" t="s">
        <v>62</v>
      </c>
      <c r="H2566" s="108" t="str">
        <f t="shared" si="200"/>
        <v>Skykomish River</v>
      </c>
      <c r="I2566" s="108" t="str">
        <f>IFERROR(VLOOKUP(H2566,LUTs!$A$1:$C$73,2,FALSE),"NA")</f>
        <v>Snohomish</v>
      </c>
      <c r="J2566" s="108" t="str">
        <f>IFERROR(VLOOKUP(H2566,LUTs!$A$1:$C$73,3,FALSE),"NA")</f>
        <v>2Central Puget Sound</v>
      </c>
      <c r="K2566" s="108" t="s">
        <v>20</v>
      </c>
      <c r="L2566" s="108" t="str">
        <f>VLOOKUP(K2566,LUTs!E$2:G$14,3,)</f>
        <v>07Pierce</v>
      </c>
      <c r="M2566" s="108" t="str">
        <f>VLOOKUP($K2566,LUTs!$E$2:$H$14,2,)</f>
        <v>South Puget Sound</v>
      </c>
      <c r="N2566" s="108" t="str">
        <f>VLOOKUP($K2566,LUTs!$E$2:$H$14,4,)</f>
        <v>02South Puget Sound</v>
      </c>
      <c r="O2566" s="108">
        <v>216.324228028504</v>
      </c>
      <c r="P2566" s="108">
        <v>744.15534441805403</v>
      </c>
      <c r="Q2566" s="108">
        <f>SUMIFS('FW_Salmon_by_Month_2010-2021'!P$2:P$3810,'FW_Salmon_by_Month_2010-2021'!$B$2:$B$3810,'Rec_raw_catch_effort_2010-2021'!$B2566,'FW_Salmon_by_Month_2010-2021'!$H$2:$H$3810,'Rec_raw_catch_effort_2010-2021'!$F2566,'FW_Salmon_by_Month_2010-2021'!$M$2:$M$3810,'Rec_raw_catch_effort_2010-2021'!$K2566)</f>
        <v>223.74571110354628</v>
      </c>
      <c r="R2566" s="109">
        <f>VLOOKUP(B2566,Readme!$A$62:$C$74,2,)*Q2566</f>
        <v>791.84511982332367</v>
      </c>
      <c r="S2566" s="140" t="str">
        <f t="shared" si="201"/>
        <v>Y</v>
      </c>
      <c r="T2566" s="154">
        <f t="shared" si="202"/>
        <v>3.4400000000000013</v>
      </c>
      <c r="U2566" s="154">
        <f t="shared" si="203"/>
        <v>3.5390404397824153</v>
      </c>
    </row>
    <row r="2567" spans="1:21" x14ac:dyDescent="0.35">
      <c r="A2567" s="108">
        <v>3619</v>
      </c>
      <c r="B2567" s="108">
        <v>2011</v>
      </c>
      <c r="C2567" s="108" t="s">
        <v>38</v>
      </c>
      <c r="D2567" s="108" t="s">
        <v>143</v>
      </c>
      <c r="E2567" s="108" t="s">
        <v>10</v>
      </c>
      <c r="F2567" s="116">
        <v>844</v>
      </c>
      <c r="G2567" s="108" t="s">
        <v>62</v>
      </c>
      <c r="H2567" s="108" t="str">
        <f t="shared" si="200"/>
        <v>Skykomish River</v>
      </c>
      <c r="I2567" s="108" t="str">
        <f>IFERROR(VLOOKUP(H2567,LUTs!$A$1:$C$73,2,FALSE),"NA")</f>
        <v>Snohomish</v>
      </c>
      <c r="J2567" s="108" t="str">
        <f>IFERROR(VLOOKUP(H2567,LUTs!$A$1:$C$73,3,FALSE),"NA")</f>
        <v>2Central Puget Sound</v>
      </c>
      <c r="K2567" s="108" t="s">
        <v>15</v>
      </c>
      <c r="L2567" s="108" t="str">
        <f>VLOOKUP(K2567,LUTs!E$2:G$14,3,)</f>
        <v>02Skagit</v>
      </c>
      <c r="M2567" s="108" t="str">
        <f>VLOOKUP($K2567,LUTs!$E$2:$H$14,2,)</f>
        <v>North Puget Sound</v>
      </c>
      <c r="N2567" s="108" t="str">
        <f>VLOOKUP($K2567,LUTs!$E$2:$H$14,4,)</f>
        <v>01North Puget Sound</v>
      </c>
      <c r="O2567" s="108">
        <v>137.005344418052</v>
      </c>
      <c r="P2567" s="108">
        <v>471.29838479809899</v>
      </c>
      <c r="Q2567" s="108">
        <f>SUMIFS('FW_Salmon_by_Month_2010-2021'!P$2:P$3810,'FW_Salmon_by_Month_2010-2021'!$B$2:$B$3810,'Rec_raw_catch_effort_2010-2021'!$B2567,'FW_Salmon_by_Month_2010-2021'!$H$2:$H$3810,'Rec_raw_catch_effort_2010-2021'!$F2567,'FW_Salmon_by_Month_2010-2021'!$M$2:$M$3810,'Rec_raw_catch_effort_2010-2021'!$K2567)</f>
        <v>142.16160566277898</v>
      </c>
      <c r="R2567" s="109">
        <f>VLOOKUP(B2567,Readme!$A$62:$C$74,2,)*Q2567</f>
        <v>503.11567142497563</v>
      </c>
      <c r="S2567" s="140" t="str">
        <f t="shared" si="201"/>
        <v>Y</v>
      </c>
      <c r="T2567" s="154">
        <f t="shared" si="202"/>
        <v>3.4400000000000008</v>
      </c>
      <c r="U2567" s="154">
        <f t="shared" si="203"/>
        <v>3.5390404397824153</v>
      </c>
    </row>
    <row r="2568" spans="1:21" x14ac:dyDescent="0.35">
      <c r="A2568" s="108">
        <v>3620</v>
      </c>
      <c r="B2568" s="108">
        <v>2011</v>
      </c>
      <c r="C2568" s="108" t="s">
        <v>38</v>
      </c>
      <c r="D2568" s="108" t="s">
        <v>143</v>
      </c>
      <c r="E2568" s="108" t="s">
        <v>10</v>
      </c>
      <c r="F2568" s="116">
        <v>844</v>
      </c>
      <c r="G2568" s="108" t="s">
        <v>62</v>
      </c>
      <c r="H2568" s="108" t="str">
        <f t="shared" si="200"/>
        <v>Skykomish River</v>
      </c>
      <c r="I2568" s="108" t="str">
        <f>IFERROR(VLOOKUP(H2568,LUTs!$A$1:$C$73,2,FALSE),"NA")</f>
        <v>Snohomish</v>
      </c>
      <c r="J2568" s="108" t="str">
        <f>IFERROR(VLOOKUP(H2568,LUTs!$A$1:$C$73,3,FALSE),"NA")</f>
        <v>2Central Puget Sound</v>
      </c>
      <c r="K2568" s="108" t="s">
        <v>16</v>
      </c>
      <c r="L2568" s="108" t="str">
        <f>VLOOKUP(K2568,LUTs!E$2:G$14,3,)</f>
        <v>03Snohomish</v>
      </c>
      <c r="M2568" s="108" t="str">
        <f>VLOOKUP($K2568,LUTs!$E$2:$H$14,2,)</f>
        <v>North Puget Sound</v>
      </c>
      <c r="N2568" s="108" t="str">
        <f>VLOOKUP($K2568,LUTs!$E$2:$H$14,4,)</f>
        <v>01North Puget Sound</v>
      </c>
      <c r="O2568" s="108">
        <v>6237.34857482185</v>
      </c>
      <c r="P2568" s="108">
        <v>21456.4790973872</v>
      </c>
      <c r="Q2568" s="108">
        <f>SUMIFS('FW_Salmon_by_Month_2010-2021'!P$2:P$3810,'FW_Salmon_by_Month_2010-2021'!$B$2:$B$3810,'Rec_raw_catch_effort_2010-2021'!$B2568,'FW_Salmon_by_Month_2010-2021'!$H$2:$H$3810,'Rec_raw_catch_effort_2010-2021'!$F2568,'FW_Salmon_by_Month_2010-2021'!$M$2:$M$3810,'Rec_raw_catch_effort_2010-2021'!$K2568)</f>
        <v>6223.6907513350943</v>
      </c>
      <c r="R2568" s="109">
        <f>VLOOKUP(B2568,Readme!$A$62:$C$74,2,)*Q2568</f>
        <v>22025.893253674702</v>
      </c>
      <c r="S2568" s="140" t="str">
        <f t="shared" si="201"/>
        <v>Y</v>
      </c>
      <c r="T2568" s="154">
        <f t="shared" si="202"/>
        <v>3.4400000000000057</v>
      </c>
      <c r="U2568" s="154">
        <f t="shared" si="203"/>
        <v>3.5390404397824149</v>
      </c>
    </row>
    <row r="2569" spans="1:21" x14ac:dyDescent="0.35">
      <c r="A2569" s="108">
        <v>3623</v>
      </c>
      <c r="B2569" s="108">
        <v>2011</v>
      </c>
      <c r="C2569" s="108" t="s">
        <v>38</v>
      </c>
      <c r="D2569" s="108" t="s">
        <v>143</v>
      </c>
      <c r="E2569" s="108" t="s">
        <v>10</v>
      </c>
      <c r="F2569" s="116">
        <v>844</v>
      </c>
      <c r="G2569" s="108" t="s">
        <v>62</v>
      </c>
      <c r="H2569" s="108" t="str">
        <f t="shared" si="200"/>
        <v>Skykomish River</v>
      </c>
      <c r="I2569" s="108" t="str">
        <f>IFERROR(VLOOKUP(H2569,LUTs!$A$1:$C$73,2,FALSE),"NA")</f>
        <v>Snohomish</v>
      </c>
      <c r="J2569" s="108" t="str">
        <f>IFERROR(VLOOKUP(H2569,LUTs!$A$1:$C$73,3,FALSE),"NA")</f>
        <v>2Central Puget Sound</v>
      </c>
      <c r="K2569" s="108" t="s">
        <v>21</v>
      </c>
      <c r="L2569" s="108" t="str">
        <f>VLOOKUP(K2569,LUTs!E$2:G$14,3,)</f>
        <v>08Thurston</v>
      </c>
      <c r="M2569" s="108" t="str">
        <f>VLOOKUP($K2569,LUTs!$E$2:$H$14,2,)</f>
        <v>South Puget Sound</v>
      </c>
      <c r="N2569" s="108" t="str">
        <f>VLOOKUP($K2569,LUTs!$E$2:$H$14,4,)</f>
        <v>02South Puget Sound</v>
      </c>
      <c r="O2569" s="108">
        <v>72.108076009501204</v>
      </c>
      <c r="P2569" s="108">
        <v>248.05178147268401</v>
      </c>
      <c r="Q2569" s="108">
        <f>SUMIFS('FW_Salmon_by_Month_2010-2021'!P$2:P$3810,'FW_Salmon_by_Month_2010-2021'!$B$2:$B$3810,'Rec_raw_catch_effort_2010-2021'!$B2569,'FW_Salmon_by_Month_2010-2021'!$H$2:$H$3810,'Rec_raw_catch_effort_2010-2021'!$F2569,'FW_Salmon_by_Month_2010-2021'!$M$2:$M$3810,'Rec_raw_catch_effort_2010-2021'!$K2569)</f>
        <v>52.042164651293604</v>
      </c>
      <c r="R2569" s="109">
        <f>VLOOKUP(B2569,Readme!$A$62:$C$74,2,)*Q2569</f>
        <v>184.17932527474298</v>
      </c>
      <c r="S2569" s="140" t="str">
        <f t="shared" si="201"/>
        <v>Y</v>
      </c>
      <c r="T2569" s="154">
        <f t="shared" si="202"/>
        <v>3.4399999999999982</v>
      </c>
      <c r="U2569" s="154">
        <f t="shared" si="203"/>
        <v>3.5390404397824153</v>
      </c>
    </row>
    <row r="2570" spans="1:21" x14ac:dyDescent="0.35">
      <c r="A2570" s="108">
        <v>3618</v>
      </c>
      <c r="B2570" s="108">
        <v>2011</v>
      </c>
      <c r="C2570" s="108" t="s">
        <v>38</v>
      </c>
      <c r="D2570" s="108" t="s">
        <v>143</v>
      </c>
      <c r="E2570" s="108" t="s">
        <v>10</v>
      </c>
      <c r="F2570" s="116">
        <v>844</v>
      </c>
      <c r="G2570" s="108" t="s">
        <v>62</v>
      </c>
      <c r="H2570" s="108" t="str">
        <f t="shared" si="200"/>
        <v>Skykomish River</v>
      </c>
      <c r="I2570" s="108" t="str">
        <f>IFERROR(VLOOKUP(H2570,LUTs!$A$1:$C$73,2,FALSE),"NA")</f>
        <v>Snohomish</v>
      </c>
      <c r="J2570" s="108" t="str">
        <f>IFERROR(VLOOKUP(H2570,LUTs!$A$1:$C$73,3,FALSE),"NA")</f>
        <v>2Central Puget Sound</v>
      </c>
      <c r="K2570" s="108" t="s">
        <v>13</v>
      </c>
      <c r="L2570" s="108" t="str">
        <f>VLOOKUP(K2570,LUTs!E$2:G$14,3,)</f>
        <v>01Whatcom</v>
      </c>
      <c r="M2570" s="108" t="str">
        <f>VLOOKUP($K2570,LUTs!$E$2:$H$14,2,)</f>
        <v>North Puget Sound</v>
      </c>
      <c r="N2570" s="108" t="str">
        <f>VLOOKUP($K2570,LUTs!$E$2:$H$14,4,)</f>
        <v>01North Puget Sound</v>
      </c>
      <c r="O2570" s="108">
        <v>72.108076009501204</v>
      </c>
      <c r="P2570" s="108">
        <v>248.05178147268401</v>
      </c>
      <c r="Q2570" s="108">
        <f>SUMIFS('FW_Salmon_by_Month_2010-2021'!P$2:P$3810,'FW_Salmon_by_Month_2010-2021'!$B$2:$B$3810,'Rec_raw_catch_effort_2010-2021'!$B2570,'FW_Salmon_by_Month_2010-2021'!$H$2:$H$3810,'Rec_raw_catch_effort_2010-2021'!$F2570,'FW_Salmon_by_Month_2010-2021'!$M$2:$M$3810,'Rec_raw_catch_effort_2010-2021'!$K2570)</f>
        <v>74.206974128233995</v>
      </c>
      <c r="R2570" s="109">
        <f>VLOOKUP(B2570,Readme!$A$62:$C$74,2,)*Q2570</f>
        <v>262.62148235370756</v>
      </c>
      <c r="S2570" s="140" t="str">
        <f t="shared" si="201"/>
        <v>Y</v>
      </c>
      <c r="T2570" s="154">
        <f t="shared" si="202"/>
        <v>3.4399999999999982</v>
      </c>
      <c r="U2570" s="154">
        <f t="shared" si="203"/>
        <v>3.5390404397824153</v>
      </c>
    </row>
    <row r="2571" spans="1:21" x14ac:dyDescent="0.35">
      <c r="A2571" s="108">
        <v>3687</v>
      </c>
      <c r="B2571" s="108">
        <v>2012</v>
      </c>
      <c r="C2571" s="108" t="s">
        <v>38</v>
      </c>
      <c r="D2571" s="108" t="s">
        <v>143</v>
      </c>
      <c r="E2571" s="108" t="s">
        <v>10</v>
      </c>
      <c r="F2571" s="116">
        <v>844</v>
      </c>
      <c r="G2571" s="108" t="s">
        <v>62</v>
      </c>
      <c r="H2571" s="108" t="str">
        <f t="shared" si="200"/>
        <v>Skykomish River</v>
      </c>
      <c r="I2571" s="108" t="str">
        <f>IFERROR(VLOOKUP(H2571,LUTs!$A$1:$C$73,2,FALSE),"NA")</f>
        <v>Snohomish</v>
      </c>
      <c r="J2571" s="108" t="str">
        <f>IFERROR(VLOOKUP(H2571,LUTs!$A$1:$C$73,3,FALSE),"NA")</f>
        <v>2Central Puget Sound</v>
      </c>
      <c r="K2571" s="108" t="s">
        <v>17</v>
      </c>
      <c r="L2571" s="108" t="str">
        <f>VLOOKUP(K2571,LUTs!E$2:G$14,3,)</f>
        <v>04Island</v>
      </c>
      <c r="M2571" s="108" t="str">
        <f>VLOOKUP($K2571,LUTs!$E$2:$H$14,2,)</f>
        <v>North Puget Sound</v>
      </c>
      <c r="N2571" s="108" t="str">
        <f>VLOOKUP($K2571,LUTs!$E$2:$H$14,4,)</f>
        <v>01North Puget Sound</v>
      </c>
      <c r="O2571" s="108">
        <v>21.336734693877599</v>
      </c>
      <c r="P2571" s="108">
        <v>184.562755102041</v>
      </c>
      <c r="Q2571" s="108">
        <f>SUMIFS('FW_Salmon_by_Month_2010-2021'!P$2:P$3810,'FW_Salmon_by_Month_2010-2021'!$B$2:$B$3810,'Rec_raw_catch_effort_2010-2021'!$B2571,'FW_Salmon_by_Month_2010-2021'!$H$2:$H$3810,'Rec_raw_catch_effort_2010-2021'!$F2571,'FW_Salmon_by_Month_2010-2021'!$M$2:$M$3810,'Rec_raw_catch_effort_2010-2021'!$K2571)</f>
        <v>22.051948051948099</v>
      </c>
      <c r="R2571" s="109">
        <f>VLOOKUP(B2571,Readme!$A$62:$C$74,2,)*Q2571</f>
        <v>106.28057437901617</v>
      </c>
      <c r="S2571" s="140" t="str">
        <f t="shared" si="201"/>
        <v>Y</v>
      </c>
      <c r="T2571" s="154">
        <f t="shared" si="202"/>
        <v>8.6499999999999897</v>
      </c>
      <c r="U2571" s="154">
        <f t="shared" si="203"/>
        <v>4.8195549041132084</v>
      </c>
    </row>
    <row r="2572" spans="1:21" x14ac:dyDescent="0.35">
      <c r="A2572" s="108">
        <v>3688</v>
      </c>
      <c r="B2572" s="108">
        <v>2012</v>
      </c>
      <c r="C2572" s="108" t="s">
        <v>38</v>
      </c>
      <c r="D2572" s="108" t="s">
        <v>143</v>
      </c>
      <c r="E2572" s="108" t="s">
        <v>10</v>
      </c>
      <c r="F2572" s="116">
        <v>844</v>
      </c>
      <c r="G2572" s="108" t="s">
        <v>62</v>
      </c>
      <c r="H2572" s="108" t="str">
        <f t="shared" si="200"/>
        <v>Skykomish River</v>
      </c>
      <c r="I2572" s="108" t="str">
        <f>IFERROR(VLOOKUP(H2572,LUTs!$A$1:$C$73,2,FALSE),"NA")</f>
        <v>Snohomish</v>
      </c>
      <c r="J2572" s="108" t="str">
        <f>IFERROR(VLOOKUP(H2572,LUTs!$A$1:$C$73,3,FALSE),"NA")</f>
        <v>2Central Puget Sound</v>
      </c>
      <c r="K2572" s="108" t="s">
        <v>18</v>
      </c>
      <c r="L2572" s="108" t="str">
        <f>VLOOKUP(K2572,LUTs!E$2:G$14,3,)</f>
        <v>06King</v>
      </c>
      <c r="M2572" s="108" t="str">
        <f>VLOOKUP($K2572,LUTs!$E$2:$H$14,2,)</f>
        <v>South Puget Sound</v>
      </c>
      <c r="N2572" s="108" t="str">
        <f>VLOOKUP($K2572,LUTs!$E$2:$H$14,4,)</f>
        <v>02South Puget Sound</v>
      </c>
      <c r="O2572" s="108">
        <v>611.65306122448999</v>
      </c>
      <c r="P2572" s="108">
        <v>5290.7989795918402</v>
      </c>
      <c r="Q2572" s="108">
        <f>SUMIFS('FW_Salmon_by_Month_2010-2021'!P$2:P$3810,'FW_Salmon_by_Month_2010-2021'!$B$2:$B$3810,'Rec_raw_catch_effort_2010-2021'!$B2572,'FW_Salmon_by_Month_2010-2021'!$H$2:$H$3810,'Rec_raw_catch_effort_2010-2021'!$F2572,'FW_Salmon_by_Month_2010-2021'!$M$2:$M$3810,'Rec_raw_catch_effort_2010-2021'!$K2572)</f>
        <v>615.04618978904739</v>
      </c>
      <c r="R2572" s="109">
        <f>VLOOKUP(B2572,Readme!$A$62:$C$74,2,)*Q2572</f>
        <v>2964.2488802539465</v>
      </c>
      <c r="S2572" s="140" t="str">
        <f t="shared" si="201"/>
        <v>Y</v>
      </c>
      <c r="T2572" s="154">
        <f t="shared" si="202"/>
        <v>8.6500000000000021</v>
      </c>
      <c r="U2572" s="154">
        <f t="shared" si="203"/>
        <v>4.8195549041132084</v>
      </c>
    </row>
    <row r="2573" spans="1:21" x14ac:dyDescent="0.35">
      <c r="A2573" s="108">
        <v>3692</v>
      </c>
      <c r="B2573" s="108">
        <v>2012</v>
      </c>
      <c r="C2573" s="108" t="s">
        <v>38</v>
      </c>
      <c r="D2573" s="108" t="s">
        <v>143</v>
      </c>
      <c r="E2573" s="108" t="s">
        <v>10</v>
      </c>
      <c r="F2573" s="116">
        <v>844</v>
      </c>
      <c r="G2573" s="108" t="s">
        <v>62</v>
      </c>
      <c r="H2573" s="108" t="str">
        <f t="shared" si="200"/>
        <v>Skykomish River</v>
      </c>
      <c r="I2573" s="108" t="str">
        <f>IFERROR(VLOOKUP(H2573,LUTs!$A$1:$C$73,2,FALSE),"NA")</f>
        <v>Snohomish</v>
      </c>
      <c r="J2573" s="108" t="str">
        <f>IFERROR(VLOOKUP(H2573,LUTs!$A$1:$C$73,3,FALSE),"NA")</f>
        <v>2Central Puget Sound</v>
      </c>
      <c r="K2573" s="108" t="s">
        <v>23</v>
      </c>
      <c r="L2573" s="108" t="str">
        <f>VLOOKUP(K2573,LUTs!E$2:G$14,3,)</f>
        <v>10Kitsap</v>
      </c>
      <c r="M2573" s="108" t="str">
        <f>VLOOKUP($K2573,LUTs!$E$2:$H$14,2,)</f>
        <v>South Puget Sound</v>
      </c>
      <c r="N2573" s="108" t="str">
        <f>VLOOKUP($K2573,LUTs!$E$2:$H$14,4,)</f>
        <v>02South Puget Sound</v>
      </c>
      <c r="O2573" s="108">
        <v>7.1122448979591901</v>
      </c>
      <c r="P2573" s="108">
        <v>61.520918367347001</v>
      </c>
      <c r="Q2573" s="108">
        <f>SUMIFS('FW_Salmon_by_Month_2010-2021'!P$2:P$3810,'FW_Salmon_by_Month_2010-2021'!$B$2:$B$3810,'Rec_raw_catch_effort_2010-2021'!$B2573,'FW_Salmon_by_Month_2010-2021'!$H$2:$H$3810,'Rec_raw_catch_effort_2010-2021'!$F2573,'FW_Salmon_by_Month_2010-2021'!$M$2:$M$3810,'Rec_raw_catch_effort_2010-2021'!$K2573)</f>
        <v>7.1111111111111098</v>
      </c>
      <c r="R2573" s="109">
        <f>VLOOKUP(B2573,Readme!$A$62:$C$74,2,)*Q2573</f>
        <v>34.272390429249477</v>
      </c>
      <c r="S2573" s="140" t="str">
        <f t="shared" si="201"/>
        <v>Y</v>
      </c>
      <c r="T2573" s="154">
        <f t="shared" si="202"/>
        <v>8.65</v>
      </c>
      <c r="U2573" s="154">
        <f t="shared" si="203"/>
        <v>4.8195549041132084</v>
      </c>
    </row>
    <row r="2574" spans="1:21" x14ac:dyDescent="0.35">
      <c r="A2574" s="108">
        <v>3693</v>
      </c>
      <c r="B2574" s="108">
        <v>2012</v>
      </c>
      <c r="C2574" s="108" t="s">
        <v>38</v>
      </c>
      <c r="D2574" s="108" t="s">
        <v>143</v>
      </c>
      <c r="E2574" s="108" t="s">
        <v>10</v>
      </c>
      <c r="F2574" s="116">
        <v>844</v>
      </c>
      <c r="G2574" s="108" t="s">
        <v>62</v>
      </c>
      <c r="H2574" s="108" t="str">
        <f t="shared" si="200"/>
        <v>Skykomish River</v>
      </c>
      <c r="I2574" s="108" t="str">
        <f>IFERROR(VLOOKUP(H2574,LUTs!$A$1:$C$73,2,FALSE),"NA")</f>
        <v>Snohomish</v>
      </c>
      <c r="J2574" s="108" t="str">
        <f>IFERROR(VLOOKUP(H2574,LUTs!$A$1:$C$73,3,FALSE),"NA")</f>
        <v>2Central Puget Sound</v>
      </c>
      <c r="K2574" s="108" t="s">
        <v>26</v>
      </c>
      <c r="L2574" s="108" t="str">
        <f>VLOOKUP(K2574,LUTs!E$2:G$14,3,)</f>
        <v>20Other</v>
      </c>
      <c r="M2574" s="108" t="str">
        <f>VLOOKUP($K2574,LUTs!$E$2:$H$14,2,)</f>
        <v>Non Puget Sound</v>
      </c>
      <c r="N2574" s="108" t="str">
        <f>VLOOKUP($K2574,LUTs!$E$2:$H$14,4,)</f>
        <v>07Non Puget Sound</v>
      </c>
      <c r="O2574" s="108">
        <v>49.785714285714299</v>
      </c>
      <c r="P2574" s="108">
        <v>430.646428571429</v>
      </c>
      <c r="Q2574" s="108">
        <f>SUMIFS('FW_Salmon_by_Month_2010-2021'!P$2:P$3810,'FW_Salmon_by_Month_2010-2021'!$B$2:$B$3810,'Rec_raw_catch_effort_2010-2021'!$B2574,'FW_Salmon_by_Month_2010-2021'!$H$2:$H$3810,'Rec_raw_catch_effort_2010-2021'!$F2574,'FW_Salmon_by_Month_2010-2021'!$M$2:$M$3810,'Rec_raw_catch_effort_2010-2021'!$K2574)</f>
        <v>51.376376004947481</v>
      </c>
      <c r="R2574" s="109">
        <f>VLOOKUP(B2574,Readme!$A$62:$C$74,2,)*Q2574</f>
        <v>247.61126493020879</v>
      </c>
      <c r="S2574" s="140" t="str">
        <f t="shared" si="201"/>
        <v>Y</v>
      </c>
      <c r="T2574" s="154">
        <f t="shared" si="202"/>
        <v>8.6500000000000057</v>
      </c>
      <c r="U2574" s="154">
        <f t="shared" si="203"/>
        <v>4.8195549041132084</v>
      </c>
    </row>
    <row r="2575" spans="1:21" x14ac:dyDescent="0.35">
      <c r="A2575" s="108">
        <v>3689</v>
      </c>
      <c r="B2575" s="108">
        <v>2012</v>
      </c>
      <c r="C2575" s="108" t="s">
        <v>38</v>
      </c>
      <c r="D2575" s="108" t="s">
        <v>143</v>
      </c>
      <c r="E2575" s="108" t="s">
        <v>10</v>
      </c>
      <c r="F2575" s="116">
        <v>844</v>
      </c>
      <c r="G2575" s="108" t="s">
        <v>62</v>
      </c>
      <c r="H2575" s="108" t="str">
        <f t="shared" si="200"/>
        <v>Skykomish River</v>
      </c>
      <c r="I2575" s="108" t="str">
        <f>IFERROR(VLOOKUP(H2575,LUTs!$A$1:$C$73,2,FALSE),"NA")</f>
        <v>Snohomish</v>
      </c>
      <c r="J2575" s="108" t="str">
        <f>IFERROR(VLOOKUP(H2575,LUTs!$A$1:$C$73,3,FALSE),"NA")</f>
        <v>2Central Puget Sound</v>
      </c>
      <c r="K2575" s="108" t="s">
        <v>20</v>
      </c>
      <c r="L2575" s="108" t="str">
        <f>VLOOKUP(K2575,LUTs!E$2:G$14,3,)</f>
        <v>07Pierce</v>
      </c>
      <c r="M2575" s="108" t="str">
        <f>VLOOKUP($K2575,LUTs!$E$2:$H$14,2,)</f>
        <v>South Puget Sound</v>
      </c>
      <c r="N2575" s="108" t="str">
        <f>VLOOKUP($K2575,LUTs!$E$2:$H$14,4,)</f>
        <v>02South Puget Sound</v>
      </c>
      <c r="O2575" s="108">
        <v>28.4489795918367</v>
      </c>
      <c r="P2575" s="108">
        <v>246.08367346938701</v>
      </c>
      <c r="Q2575" s="108">
        <f>SUMIFS('FW_Salmon_by_Month_2010-2021'!P$2:P$3810,'FW_Salmon_by_Month_2010-2021'!$B$2:$B$3810,'Rec_raw_catch_effort_2010-2021'!$B2575,'FW_Salmon_by_Month_2010-2021'!$H$2:$H$3810,'Rec_raw_catch_effort_2010-2021'!$F2575,'FW_Salmon_by_Month_2010-2021'!$M$2:$M$3810,'Rec_raw_catch_effort_2010-2021'!$K2575)</f>
        <v>21.748148148148179</v>
      </c>
      <c r="R2575" s="109">
        <f>VLOOKUP(B2575,Readme!$A$62:$C$74,2,)*Q2575</f>
        <v>104.81639406278815</v>
      </c>
      <c r="S2575" s="140" t="str">
        <f t="shared" si="201"/>
        <v>Y</v>
      </c>
      <c r="T2575" s="154">
        <f t="shared" si="202"/>
        <v>8.6499999999999844</v>
      </c>
      <c r="U2575" s="154">
        <f t="shared" si="203"/>
        <v>4.8195549041132084</v>
      </c>
    </row>
    <row r="2576" spans="1:21" x14ac:dyDescent="0.35">
      <c r="A2576" s="108">
        <v>3686</v>
      </c>
      <c r="B2576" s="108">
        <v>2012</v>
      </c>
      <c r="C2576" s="108" t="s">
        <v>38</v>
      </c>
      <c r="D2576" s="108" t="s">
        <v>143</v>
      </c>
      <c r="E2576" s="108" t="s">
        <v>10</v>
      </c>
      <c r="F2576" s="116">
        <v>844</v>
      </c>
      <c r="G2576" s="108" t="s">
        <v>62</v>
      </c>
      <c r="H2576" s="108" t="str">
        <f t="shared" si="200"/>
        <v>Skykomish River</v>
      </c>
      <c r="I2576" s="108" t="str">
        <f>IFERROR(VLOOKUP(H2576,LUTs!$A$1:$C$73,2,FALSE),"NA")</f>
        <v>Snohomish</v>
      </c>
      <c r="J2576" s="108" t="str">
        <f>IFERROR(VLOOKUP(H2576,LUTs!$A$1:$C$73,3,FALSE),"NA")</f>
        <v>2Central Puget Sound</v>
      </c>
      <c r="K2576" s="108" t="s">
        <v>16</v>
      </c>
      <c r="L2576" s="108" t="str">
        <f>VLOOKUP(K2576,LUTs!E$2:G$14,3,)</f>
        <v>03Snohomish</v>
      </c>
      <c r="M2576" s="108" t="str">
        <f>VLOOKUP($K2576,LUTs!$E$2:$H$14,2,)</f>
        <v>North Puget Sound</v>
      </c>
      <c r="N2576" s="108" t="str">
        <f>VLOOKUP($K2576,LUTs!$E$2:$H$14,4,)</f>
        <v>01North Puget Sound</v>
      </c>
      <c r="O2576" s="108">
        <v>1358.4387755102</v>
      </c>
      <c r="P2576" s="108">
        <v>11750.4954081632</v>
      </c>
      <c r="Q2576" s="108">
        <f>SUMIFS('FW_Salmon_by_Month_2010-2021'!P$2:P$3810,'FW_Salmon_by_Month_2010-2021'!$B$2:$B$3810,'Rec_raw_catch_effort_2010-2021'!$B2576,'FW_Salmon_by_Month_2010-2021'!$H$2:$H$3810,'Rec_raw_catch_effort_2010-2021'!$F2576,'FW_Salmon_by_Month_2010-2021'!$M$2:$M$3810,'Rec_raw_catch_effort_2010-2021'!$K2576)</f>
        <v>1358.9649281934996</v>
      </c>
      <c r="R2576" s="109">
        <f>VLOOKUP(B2576,Readme!$A$62:$C$74,2,)*Q2576</f>
        <v>6549.6060841928356</v>
      </c>
      <c r="S2576" s="140" t="str">
        <f t="shared" si="201"/>
        <v>Y</v>
      </c>
      <c r="T2576" s="154">
        <f t="shared" si="202"/>
        <v>8.649999999999979</v>
      </c>
      <c r="U2576" s="154">
        <f t="shared" si="203"/>
        <v>4.8195549041132084</v>
      </c>
    </row>
    <row r="2577" spans="1:21" x14ac:dyDescent="0.35">
      <c r="A2577" s="108">
        <v>3685</v>
      </c>
      <c r="B2577" s="108">
        <v>2012</v>
      </c>
      <c r="C2577" s="108" t="s">
        <v>38</v>
      </c>
      <c r="D2577" s="108" t="s">
        <v>143</v>
      </c>
      <c r="E2577" s="108" t="s">
        <v>10</v>
      </c>
      <c r="F2577" s="116">
        <v>844</v>
      </c>
      <c r="G2577" s="108" t="s">
        <v>62</v>
      </c>
      <c r="H2577" s="108" t="str">
        <f t="shared" si="200"/>
        <v>Skykomish River</v>
      </c>
      <c r="I2577" s="108" t="str">
        <f>IFERROR(VLOOKUP(H2577,LUTs!$A$1:$C$73,2,FALSE),"NA")</f>
        <v>Snohomish</v>
      </c>
      <c r="J2577" s="108" t="str">
        <f>IFERROR(VLOOKUP(H2577,LUTs!$A$1:$C$73,3,FALSE),"NA")</f>
        <v>2Central Puget Sound</v>
      </c>
      <c r="K2577" s="108" t="s">
        <v>13</v>
      </c>
      <c r="L2577" s="108" t="str">
        <f>VLOOKUP(K2577,LUTs!E$2:G$14,3,)</f>
        <v>01Whatcom</v>
      </c>
      <c r="M2577" s="108" t="str">
        <f>VLOOKUP($K2577,LUTs!$E$2:$H$14,2,)</f>
        <v>North Puget Sound</v>
      </c>
      <c r="N2577" s="108" t="str">
        <f>VLOOKUP($K2577,LUTs!$E$2:$H$14,4,)</f>
        <v>01North Puget Sound</v>
      </c>
      <c r="O2577" s="108">
        <v>14.2244897959184</v>
      </c>
      <c r="P2577" s="108">
        <v>123.041836734694</v>
      </c>
      <c r="Q2577" s="108">
        <f>SUMIFS('FW_Salmon_by_Month_2010-2021'!P$2:P$3810,'FW_Salmon_by_Month_2010-2021'!$B$2:$B$3810,'Rec_raw_catch_effort_2010-2021'!$B2577,'FW_Salmon_by_Month_2010-2021'!$H$2:$H$3810,'Rec_raw_catch_effort_2010-2021'!$F2577,'FW_Salmon_by_Month_2010-2021'!$M$2:$M$3810,'Rec_raw_catch_effort_2010-2021'!$K2577)</f>
        <v>14.7012987012987</v>
      </c>
      <c r="R2577" s="109">
        <f>VLOOKUP(B2577,Readme!$A$62:$C$74,2,)*Q2577</f>
        <v>70.853716252677287</v>
      </c>
      <c r="S2577" s="140" t="str">
        <f t="shared" si="201"/>
        <v>Y</v>
      </c>
      <c r="T2577" s="154">
        <f t="shared" si="202"/>
        <v>8.6499999999999897</v>
      </c>
      <c r="U2577" s="154">
        <f t="shared" si="203"/>
        <v>4.8195549041132084</v>
      </c>
    </row>
    <row r="2578" spans="1:21" x14ac:dyDescent="0.35">
      <c r="A2578" s="108">
        <v>1271</v>
      </c>
      <c r="B2578" s="108">
        <v>2013</v>
      </c>
      <c r="C2578" s="108" t="s">
        <v>38</v>
      </c>
      <c r="D2578" s="108" t="s">
        <v>143</v>
      </c>
      <c r="E2578" s="108" t="s">
        <v>10</v>
      </c>
      <c r="F2578" s="116">
        <v>844</v>
      </c>
      <c r="G2578" s="108" t="s">
        <v>62</v>
      </c>
      <c r="H2578" s="108" t="str">
        <f t="shared" si="200"/>
        <v>Skykomish River</v>
      </c>
      <c r="I2578" s="108" t="str">
        <f>IFERROR(VLOOKUP(H2578,LUTs!$A$1:$C$73,2,FALSE),"NA")</f>
        <v>Snohomish</v>
      </c>
      <c r="J2578" s="108" t="str">
        <f>IFERROR(VLOOKUP(H2578,LUTs!$A$1:$C$73,3,FALSE),"NA")</f>
        <v>2Central Puget Sound</v>
      </c>
      <c r="K2578" s="108" t="s">
        <v>17</v>
      </c>
      <c r="L2578" s="108" t="str">
        <f>VLOOKUP(K2578,LUTs!E$2:G$14,3,)</f>
        <v>04Island</v>
      </c>
      <c r="M2578" s="108" t="str">
        <f>VLOOKUP($K2578,LUTs!$E$2:$H$14,2,)</f>
        <v>North Puget Sound</v>
      </c>
      <c r="N2578" s="108" t="str">
        <f>VLOOKUP($K2578,LUTs!$E$2:$H$14,4,)</f>
        <v>01North Puget Sound</v>
      </c>
      <c r="O2578" s="108">
        <v>26.647211413748401</v>
      </c>
      <c r="P2578" s="108">
        <v>91.666407263294502</v>
      </c>
      <c r="Q2578" s="108">
        <f>SUMIFS('FW_Salmon_by_Month_2010-2021'!P$2:P$3810,'FW_Salmon_by_Month_2010-2021'!$B$2:$B$3810,'Rec_raw_catch_effort_2010-2021'!$B2578,'FW_Salmon_by_Month_2010-2021'!$H$2:$H$3810,'Rec_raw_catch_effort_2010-2021'!$F2578,'FW_Salmon_by_Month_2010-2021'!$M$2:$M$3810,'Rec_raw_catch_effort_2010-2021'!$K2578)</f>
        <v>26.733219865584338</v>
      </c>
      <c r="R2578" s="109">
        <f>VLOOKUP(B2578,Readme!$A$62:$C$74,2,)*Q2578</f>
        <v>94.609946189897599</v>
      </c>
      <c r="S2578" s="140" t="str">
        <f t="shared" si="201"/>
        <v>Y</v>
      </c>
      <c r="T2578" s="154">
        <f t="shared" si="202"/>
        <v>3.44</v>
      </c>
      <c r="U2578" s="154">
        <f t="shared" si="203"/>
        <v>3.5390404397824153</v>
      </c>
    </row>
    <row r="2579" spans="1:21" x14ac:dyDescent="0.35">
      <c r="A2579" s="108">
        <v>1272</v>
      </c>
      <c r="B2579" s="108">
        <v>2013</v>
      </c>
      <c r="C2579" s="108" t="s">
        <v>38</v>
      </c>
      <c r="D2579" s="108" t="s">
        <v>143</v>
      </c>
      <c r="E2579" s="108" t="s">
        <v>10</v>
      </c>
      <c r="F2579" s="116">
        <v>844</v>
      </c>
      <c r="G2579" s="108" t="s">
        <v>62</v>
      </c>
      <c r="H2579" s="108" t="str">
        <f t="shared" si="200"/>
        <v>Skykomish River</v>
      </c>
      <c r="I2579" s="108" t="str">
        <f>IFERROR(VLOOKUP(H2579,LUTs!$A$1:$C$73,2,FALSE),"NA")</f>
        <v>Snohomish</v>
      </c>
      <c r="J2579" s="108" t="str">
        <f>IFERROR(VLOOKUP(H2579,LUTs!$A$1:$C$73,3,FALSE),"NA")</f>
        <v>2Central Puget Sound</v>
      </c>
      <c r="K2579" s="108" t="s">
        <v>18</v>
      </c>
      <c r="L2579" s="108" t="str">
        <f>VLOOKUP(K2579,LUTs!E$2:G$14,3,)</f>
        <v>06King</v>
      </c>
      <c r="M2579" s="108" t="str">
        <f>VLOOKUP($K2579,LUTs!$E$2:$H$14,2,)</f>
        <v>South Puget Sound</v>
      </c>
      <c r="N2579" s="108" t="str">
        <f>VLOOKUP($K2579,LUTs!$E$2:$H$14,4,)</f>
        <v>02South Puget Sound</v>
      </c>
      <c r="O2579" s="108">
        <v>6697.3324686554297</v>
      </c>
      <c r="P2579" s="108">
        <v>23038.823692174701</v>
      </c>
      <c r="Q2579" s="108">
        <f>SUMIFS('FW_Salmon_by_Month_2010-2021'!P$2:P$3810,'FW_Salmon_by_Month_2010-2021'!$B$2:$B$3810,'Rec_raw_catch_effort_2010-2021'!$B2579,'FW_Salmon_by_Month_2010-2021'!$H$2:$H$3810,'Rec_raw_catch_effort_2010-2021'!$F2579,'FW_Salmon_by_Month_2010-2021'!$M$2:$M$3810,'Rec_raw_catch_effort_2010-2021'!$K2579)</f>
        <v>6717.4064020605392</v>
      </c>
      <c r="R2579" s="109">
        <f>VLOOKUP(B2579,Readme!$A$62:$C$74,2,)*Q2579</f>
        <v>23773.172907345543</v>
      </c>
      <c r="S2579" s="140" t="str">
        <f t="shared" si="201"/>
        <v>Y</v>
      </c>
      <c r="T2579" s="154">
        <f t="shared" si="202"/>
        <v>3.4400000000000035</v>
      </c>
      <c r="U2579" s="154">
        <f t="shared" si="203"/>
        <v>3.5390404397824153</v>
      </c>
    </row>
    <row r="2580" spans="1:21" x14ac:dyDescent="0.35">
      <c r="A2580" s="108">
        <v>1281</v>
      </c>
      <c r="B2580" s="108">
        <v>2013</v>
      </c>
      <c r="C2580" s="108" t="s">
        <v>38</v>
      </c>
      <c r="D2580" s="108" t="s">
        <v>143</v>
      </c>
      <c r="E2580" s="108" t="s">
        <v>10</v>
      </c>
      <c r="F2580" s="116">
        <v>844</v>
      </c>
      <c r="G2580" s="108" t="s">
        <v>62</v>
      </c>
      <c r="H2580" s="108" t="str">
        <f t="shared" si="200"/>
        <v>Skykomish River</v>
      </c>
      <c r="I2580" s="108" t="str">
        <f>IFERROR(VLOOKUP(H2580,LUTs!$A$1:$C$73,2,FALSE),"NA")</f>
        <v>Snohomish</v>
      </c>
      <c r="J2580" s="108" t="str">
        <f>IFERROR(VLOOKUP(H2580,LUTs!$A$1:$C$73,3,FALSE),"NA")</f>
        <v>2Central Puget Sound</v>
      </c>
      <c r="K2580" s="108" t="s">
        <v>23</v>
      </c>
      <c r="L2580" s="108" t="str">
        <f>VLOOKUP(K2580,LUTs!E$2:G$14,3,)</f>
        <v>10Kitsap</v>
      </c>
      <c r="M2580" s="108" t="str">
        <f>VLOOKUP($K2580,LUTs!$E$2:$H$14,2,)</f>
        <v>South Puget Sound</v>
      </c>
      <c r="N2580" s="108" t="str">
        <f>VLOOKUP($K2580,LUTs!$E$2:$H$14,4,)</f>
        <v>02South Puget Sound</v>
      </c>
      <c r="O2580" s="108">
        <v>124.35365326415899</v>
      </c>
      <c r="P2580" s="108">
        <v>427.77656722870699</v>
      </c>
      <c r="Q2580" s="108">
        <f>SUMIFS('FW_Salmon_by_Month_2010-2021'!P$2:P$3810,'FW_Salmon_by_Month_2010-2021'!$B$2:$B$3810,'Rec_raw_catch_effort_2010-2021'!$B2580,'FW_Salmon_by_Month_2010-2021'!$H$2:$H$3810,'Rec_raw_catch_effort_2010-2021'!$F2580,'FW_Salmon_by_Month_2010-2021'!$M$2:$M$3810,'Rec_raw_catch_effort_2010-2021'!$K2580)</f>
        <v>125.8346599219792</v>
      </c>
      <c r="R2580" s="109">
        <f>VLOOKUP(B2580,Readme!$A$62:$C$74,2,)*Q2580</f>
        <v>445.33395019015194</v>
      </c>
      <c r="S2580" s="140" t="str">
        <f t="shared" si="201"/>
        <v>Y</v>
      </c>
      <c r="T2580" s="154">
        <f t="shared" si="202"/>
        <v>3.4400000000000004</v>
      </c>
      <c r="U2580" s="154">
        <f t="shared" si="203"/>
        <v>3.5390404397824153</v>
      </c>
    </row>
    <row r="2581" spans="1:21" x14ac:dyDescent="0.35">
      <c r="A2581" s="108">
        <v>1275</v>
      </c>
      <c r="B2581" s="108">
        <v>2013</v>
      </c>
      <c r="C2581" s="108" t="s">
        <v>38</v>
      </c>
      <c r="D2581" s="108" t="s">
        <v>143</v>
      </c>
      <c r="E2581" s="108" t="s">
        <v>10</v>
      </c>
      <c r="F2581" s="116">
        <v>844</v>
      </c>
      <c r="G2581" s="108" t="s">
        <v>62</v>
      </c>
      <c r="H2581" s="108" t="str">
        <f t="shared" si="200"/>
        <v>Skykomish River</v>
      </c>
      <c r="I2581" s="108" t="str">
        <f>IFERROR(VLOOKUP(H2581,LUTs!$A$1:$C$73,2,FALSE),"NA")</f>
        <v>Snohomish</v>
      </c>
      <c r="J2581" s="108" t="str">
        <f>IFERROR(VLOOKUP(H2581,LUTs!$A$1:$C$73,3,FALSE),"NA")</f>
        <v>2Central Puget Sound</v>
      </c>
      <c r="K2581" s="108" t="s">
        <v>22</v>
      </c>
      <c r="L2581" s="108" t="str">
        <f>VLOOKUP(K2581,LUTs!E$2:G$14,3,)</f>
        <v>09Mason</v>
      </c>
      <c r="M2581" s="108" t="str">
        <f>VLOOKUP($K2581,LUTs!$E$2:$H$14,2,)</f>
        <v>South Puget Sound</v>
      </c>
      <c r="N2581" s="108" t="str">
        <f>VLOOKUP($K2581,LUTs!$E$2:$H$14,4,)</f>
        <v>02South Puget Sound</v>
      </c>
      <c r="O2581" s="108">
        <v>17.764807609165601</v>
      </c>
      <c r="P2581" s="108">
        <v>61.110938175529697</v>
      </c>
      <c r="Q2581" s="108">
        <f>SUMIFS('FW_Salmon_by_Month_2010-2021'!P$2:P$3810,'FW_Salmon_by_Month_2010-2021'!$B$2:$B$3810,'Rec_raw_catch_effort_2010-2021'!$B2581,'FW_Salmon_by_Month_2010-2021'!$H$2:$H$3810,'Rec_raw_catch_effort_2010-2021'!$F2581,'FW_Salmon_by_Month_2010-2021'!$M$2:$M$3810,'Rec_raw_catch_effort_2010-2021'!$K2581)</f>
        <v>18.015789473684201</v>
      </c>
      <c r="R2581" s="109">
        <f>VLOOKUP(B2581,Readme!$A$62:$C$74,2,)*Q2581</f>
        <v>63.758607501974744</v>
      </c>
      <c r="S2581" s="140" t="str">
        <f t="shared" si="201"/>
        <v>Y</v>
      </c>
      <c r="T2581" s="154">
        <f t="shared" si="202"/>
        <v>3.4400000000000017</v>
      </c>
      <c r="U2581" s="154">
        <f t="shared" si="203"/>
        <v>3.5390404397824153</v>
      </c>
    </row>
    <row r="2582" spans="1:21" x14ac:dyDescent="0.35">
      <c r="A2582" s="108">
        <v>1282</v>
      </c>
      <c r="B2582" s="108">
        <v>2013</v>
      </c>
      <c r="C2582" s="108" t="s">
        <v>38</v>
      </c>
      <c r="D2582" s="108" t="s">
        <v>143</v>
      </c>
      <c r="E2582" s="108" t="s">
        <v>10</v>
      </c>
      <c r="F2582" s="116">
        <v>844</v>
      </c>
      <c r="G2582" s="108" t="s">
        <v>62</v>
      </c>
      <c r="H2582" s="108" t="str">
        <f t="shared" si="200"/>
        <v>Skykomish River</v>
      </c>
      <c r="I2582" s="108" t="str">
        <f>IFERROR(VLOOKUP(H2582,LUTs!$A$1:$C$73,2,FALSE),"NA")</f>
        <v>Snohomish</v>
      </c>
      <c r="J2582" s="108" t="str">
        <f>IFERROR(VLOOKUP(H2582,LUTs!$A$1:$C$73,3,FALSE),"NA")</f>
        <v>2Central Puget Sound</v>
      </c>
      <c r="K2582" s="108" t="s">
        <v>26</v>
      </c>
      <c r="L2582" s="108" t="str">
        <f>VLOOKUP(K2582,LUTs!E$2:G$14,3,)</f>
        <v>20Other</v>
      </c>
      <c r="M2582" s="108" t="str">
        <f>VLOOKUP($K2582,LUTs!$E$2:$H$14,2,)</f>
        <v>Non Puget Sound</v>
      </c>
      <c r="N2582" s="108" t="str">
        <f>VLOOKUP($K2582,LUTs!$E$2:$H$14,4,)</f>
        <v>07Non Puget Sound</v>
      </c>
      <c r="O2582" s="108">
        <v>1767.59835711198</v>
      </c>
      <c r="P2582" s="108">
        <v>6080.5383484652102</v>
      </c>
      <c r="Q2582" s="108">
        <f>SUMIFS('FW_Salmon_by_Month_2010-2021'!P$2:P$3810,'FW_Salmon_by_Month_2010-2021'!$B$2:$B$3810,'Rec_raw_catch_effort_2010-2021'!$B2582,'FW_Salmon_by_Month_2010-2021'!$H$2:$H$3810,'Rec_raw_catch_effort_2010-2021'!$F2582,'FW_Salmon_by_Month_2010-2021'!$M$2:$M$3810,'Rec_raw_catch_effort_2010-2021'!$K2582)</f>
        <v>1791.3894381039254</v>
      </c>
      <c r="R2582" s="109">
        <f>VLOOKUP(B2582,Readme!$A$62:$C$74,2,)*Q2582</f>
        <v>6339.7996648488897</v>
      </c>
      <c r="S2582" s="140" t="str">
        <f t="shared" si="201"/>
        <v>Y</v>
      </c>
      <c r="T2582" s="154">
        <f t="shared" si="202"/>
        <v>3.4399999999999995</v>
      </c>
      <c r="U2582" s="154">
        <f t="shared" si="203"/>
        <v>3.5390404397824153</v>
      </c>
    </row>
    <row r="2583" spans="1:21" x14ac:dyDescent="0.35">
      <c r="A2583" s="108">
        <v>1273</v>
      </c>
      <c r="B2583" s="108">
        <v>2013</v>
      </c>
      <c r="C2583" s="108" t="s">
        <v>38</v>
      </c>
      <c r="D2583" s="108" t="s">
        <v>143</v>
      </c>
      <c r="E2583" s="108" t="s">
        <v>10</v>
      </c>
      <c r="F2583" s="116">
        <v>844</v>
      </c>
      <c r="G2583" s="108" t="s">
        <v>62</v>
      </c>
      <c r="H2583" s="108" t="str">
        <f t="shared" si="200"/>
        <v>Skykomish River</v>
      </c>
      <c r="I2583" s="108" t="str">
        <f>IFERROR(VLOOKUP(H2583,LUTs!$A$1:$C$73,2,FALSE),"NA")</f>
        <v>Snohomish</v>
      </c>
      <c r="J2583" s="108" t="str">
        <f>IFERROR(VLOOKUP(H2583,LUTs!$A$1:$C$73,3,FALSE),"NA")</f>
        <v>2Central Puget Sound</v>
      </c>
      <c r="K2583" s="108" t="s">
        <v>20</v>
      </c>
      <c r="L2583" s="108" t="str">
        <f>VLOOKUP(K2583,LUTs!E$2:G$14,3,)</f>
        <v>07Pierce</v>
      </c>
      <c r="M2583" s="108" t="str">
        <f>VLOOKUP($K2583,LUTs!$E$2:$H$14,2,)</f>
        <v>South Puget Sound</v>
      </c>
      <c r="N2583" s="108" t="str">
        <f>VLOOKUP($K2583,LUTs!$E$2:$H$14,4,)</f>
        <v>02South Puget Sound</v>
      </c>
      <c r="O2583" s="108">
        <v>479.64980544747101</v>
      </c>
      <c r="P2583" s="108">
        <v>1649.9953307393</v>
      </c>
      <c r="Q2583" s="108">
        <f>SUMIFS('FW_Salmon_by_Month_2010-2021'!P$2:P$3810,'FW_Salmon_by_Month_2010-2021'!$B$2:$B$3810,'Rec_raw_catch_effort_2010-2021'!$B2583,'FW_Salmon_by_Month_2010-2021'!$H$2:$H$3810,'Rec_raw_catch_effort_2010-2021'!$F2583,'FW_Salmon_by_Month_2010-2021'!$M$2:$M$3810,'Rec_raw_catch_effort_2010-2021'!$K2583)</f>
        <v>486.30603063573608</v>
      </c>
      <c r="R2583" s="109">
        <f>VLOOKUP(B2583,Readme!$A$62:$C$74,2,)*Q2583</f>
        <v>1721.0567085299363</v>
      </c>
      <c r="S2583" s="140" t="str">
        <f t="shared" si="201"/>
        <v>Y</v>
      </c>
      <c r="T2583" s="154">
        <f t="shared" si="202"/>
        <v>3.4399999999999995</v>
      </c>
      <c r="U2583" s="154">
        <f t="shared" si="203"/>
        <v>3.5390404397824153</v>
      </c>
    </row>
    <row r="2584" spans="1:21" x14ac:dyDescent="0.35">
      <c r="A2584" s="108">
        <v>3722</v>
      </c>
      <c r="B2584" s="108">
        <v>2013</v>
      </c>
      <c r="C2584" s="108" t="s">
        <v>38</v>
      </c>
      <c r="D2584" s="108" t="s">
        <v>143</v>
      </c>
      <c r="E2584" s="108" t="s">
        <v>10</v>
      </c>
      <c r="F2584" s="116">
        <v>844</v>
      </c>
      <c r="G2584" s="108" t="s">
        <v>62</v>
      </c>
      <c r="H2584" s="108" t="str">
        <f t="shared" si="200"/>
        <v>Skykomish River</v>
      </c>
      <c r="I2584" s="108" t="str">
        <f>IFERROR(VLOOKUP(H2584,LUTs!$A$1:$C$73,2,FALSE),"NA")</f>
        <v>Snohomish</v>
      </c>
      <c r="J2584" s="108" t="str">
        <f>IFERROR(VLOOKUP(H2584,LUTs!$A$1:$C$73,3,FALSE),"NA")</f>
        <v>2Central Puget Sound</v>
      </c>
      <c r="K2584" s="108" t="s">
        <v>15</v>
      </c>
      <c r="L2584" s="108" t="str">
        <f>VLOOKUP(K2584,LUTs!E$2:G$14,3,)</f>
        <v>02Skagit</v>
      </c>
      <c r="M2584" s="108" t="str">
        <f>VLOOKUP($K2584,LUTs!$E$2:$H$14,2,)</f>
        <v>North Puget Sound</v>
      </c>
      <c r="N2584" s="108" t="str">
        <f>VLOOKUP($K2584,LUTs!$E$2:$H$14,4,)</f>
        <v>01North Puget Sound</v>
      </c>
      <c r="O2584" s="108">
        <v>168.76567228707299</v>
      </c>
      <c r="P2584" s="108">
        <v>580.55391266753099</v>
      </c>
      <c r="Q2584" s="108">
        <f>SUMIFS('FW_Salmon_by_Month_2010-2021'!P$2:P$3810,'FW_Salmon_by_Month_2010-2021'!$B$2:$B$3810,'Rec_raw_catch_effort_2010-2021'!$B2584,'FW_Salmon_by_Month_2010-2021'!$H$2:$H$3810,'Rec_raw_catch_effort_2010-2021'!$F2584,'FW_Salmon_by_Month_2010-2021'!$M$2:$M$3810,'Rec_raw_catch_effort_2010-2021'!$K2584)</f>
        <v>171.10768484096462</v>
      </c>
      <c r="R2584" s="109">
        <f>VLOOKUP(B2584,Readme!$A$62:$C$74,2,)*Q2584</f>
        <v>605.55701620971831</v>
      </c>
      <c r="S2584" s="140" t="str">
        <f t="shared" si="201"/>
        <v>Y</v>
      </c>
      <c r="T2584" s="154">
        <f t="shared" si="202"/>
        <v>3.4399999999999995</v>
      </c>
      <c r="U2584" s="154">
        <f t="shared" si="203"/>
        <v>3.5390404397824149</v>
      </c>
    </row>
    <row r="2585" spans="1:21" x14ac:dyDescent="0.35">
      <c r="A2585" s="108">
        <v>1270</v>
      </c>
      <c r="B2585" s="108">
        <v>2013</v>
      </c>
      <c r="C2585" s="108" t="s">
        <v>38</v>
      </c>
      <c r="D2585" s="108" t="s">
        <v>143</v>
      </c>
      <c r="E2585" s="108" t="s">
        <v>10</v>
      </c>
      <c r="F2585" s="116">
        <v>844</v>
      </c>
      <c r="G2585" s="108" t="s">
        <v>62</v>
      </c>
      <c r="H2585" s="108" t="str">
        <f t="shared" si="200"/>
        <v>Skykomish River</v>
      </c>
      <c r="I2585" s="108" t="str">
        <f>IFERROR(VLOOKUP(H2585,LUTs!$A$1:$C$73,2,FALSE),"NA")</f>
        <v>Snohomish</v>
      </c>
      <c r="J2585" s="108" t="str">
        <f>IFERROR(VLOOKUP(H2585,LUTs!$A$1:$C$73,3,FALSE),"NA")</f>
        <v>2Central Puget Sound</v>
      </c>
      <c r="K2585" s="108" t="s">
        <v>16</v>
      </c>
      <c r="L2585" s="108" t="str">
        <f>VLOOKUP(K2585,LUTs!E$2:G$14,3,)</f>
        <v>03Snohomish</v>
      </c>
      <c r="M2585" s="108" t="str">
        <f>VLOOKUP($K2585,LUTs!$E$2:$H$14,2,)</f>
        <v>North Puget Sound</v>
      </c>
      <c r="N2585" s="108" t="str">
        <f>VLOOKUP($K2585,LUTs!$E$2:$H$14,4,)</f>
        <v>01North Puget Sound</v>
      </c>
      <c r="O2585" s="108">
        <v>11067.4751405102</v>
      </c>
      <c r="P2585" s="108">
        <v>38072.114483355101</v>
      </c>
      <c r="Q2585" s="108">
        <f>SUMIFS('FW_Salmon_by_Month_2010-2021'!P$2:P$3810,'FW_Salmon_by_Month_2010-2021'!$B$2:$B$3810,'Rec_raw_catch_effort_2010-2021'!$B2585,'FW_Salmon_by_Month_2010-2021'!$H$2:$H$3810,'Rec_raw_catch_effort_2010-2021'!$F2585,'FW_Salmon_by_Month_2010-2021'!$M$2:$M$3810,'Rec_raw_catch_effort_2010-2021'!$K2585)</f>
        <v>11010.201935595243</v>
      </c>
      <c r="R2585" s="109">
        <f>VLOOKUP(B2585,Readme!$A$62:$C$74,2,)*Q2585</f>
        <v>38965.549900242193</v>
      </c>
      <c r="S2585" s="140" t="str">
        <f t="shared" si="201"/>
        <v>Y</v>
      </c>
      <c r="T2585" s="154">
        <f t="shared" si="202"/>
        <v>3.4400000000000013</v>
      </c>
      <c r="U2585" s="154">
        <f t="shared" si="203"/>
        <v>3.5390404397824153</v>
      </c>
    </row>
    <row r="2586" spans="1:21" x14ac:dyDescent="0.35">
      <c r="A2586" s="108">
        <v>1274</v>
      </c>
      <c r="B2586" s="108">
        <v>2013</v>
      </c>
      <c r="C2586" s="108" t="s">
        <v>38</v>
      </c>
      <c r="D2586" s="108" t="s">
        <v>143</v>
      </c>
      <c r="E2586" s="108" t="s">
        <v>10</v>
      </c>
      <c r="F2586" s="116">
        <v>844</v>
      </c>
      <c r="G2586" s="108" t="s">
        <v>62</v>
      </c>
      <c r="H2586" s="108" t="str">
        <f t="shared" si="200"/>
        <v>Skykomish River</v>
      </c>
      <c r="I2586" s="108" t="str">
        <f>IFERROR(VLOOKUP(H2586,LUTs!$A$1:$C$73,2,FALSE),"NA")</f>
        <v>Snohomish</v>
      </c>
      <c r="J2586" s="108" t="str">
        <f>IFERROR(VLOOKUP(H2586,LUTs!$A$1:$C$73,3,FALSE),"NA")</f>
        <v>2Central Puget Sound</v>
      </c>
      <c r="K2586" s="108" t="s">
        <v>21</v>
      </c>
      <c r="L2586" s="108" t="str">
        <f>VLOOKUP(K2586,LUTs!E$2:G$14,3,)</f>
        <v>08Thurston</v>
      </c>
      <c r="M2586" s="108" t="str">
        <f>VLOOKUP($K2586,LUTs!$E$2:$H$14,2,)</f>
        <v>South Puget Sound</v>
      </c>
      <c r="N2586" s="108" t="str">
        <f>VLOOKUP($K2586,LUTs!$E$2:$H$14,4,)</f>
        <v>02South Puget Sound</v>
      </c>
      <c r="O2586" s="108">
        <v>62.176826632079603</v>
      </c>
      <c r="P2586" s="108">
        <v>213.88828361435401</v>
      </c>
      <c r="Q2586" s="108">
        <f>SUMIFS('FW_Salmon_by_Month_2010-2021'!P$2:P$3810,'FW_Salmon_by_Month_2010-2021'!$B$2:$B$3810,'Rec_raw_catch_effort_2010-2021'!$B2586,'FW_Salmon_by_Month_2010-2021'!$H$2:$H$3810,'Rec_raw_catch_effort_2010-2021'!$F2586,'FW_Salmon_by_Month_2010-2021'!$M$2:$M$3810,'Rec_raw_catch_effort_2010-2021'!$K2586)</f>
        <v>62.893885722799617</v>
      </c>
      <c r="R2586" s="109">
        <f>VLOOKUP(B2586,Readme!$A$62:$C$74,2,)*Q2586</f>
        <v>222.58400498804173</v>
      </c>
      <c r="S2586" s="140" t="str">
        <f t="shared" si="201"/>
        <v>Y</v>
      </c>
      <c r="T2586" s="154">
        <f t="shared" si="202"/>
        <v>3.4400000000000026</v>
      </c>
      <c r="U2586" s="154">
        <f t="shared" si="203"/>
        <v>3.5390404397824153</v>
      </c>
    </row>
    <row r="2587" spans="1:21" x14ac:dyDescent="0.35">
      <c r="A2587" s="108">
        <v>3721</v>
      </c>
      <c r="B2587" s="108">
        <v>2013</v>
      </c>
      <c r="C2587" s="108" t="s">
        <v>38</v>
      </c>
      <c r="D2587" s="108" t="s">
        <v>143</v>
      </c>
      <c r="E2587" s="108" t="s">
        <v>10</v>
      </c>
      <c r="F2587" s="116">
        <v>844</v>
      </c>
      <c r="G2587" s="108" t="s">
        <v>62</v>
      </c>
      <c r="H2587" s="108" t="str">
        <f t="shared" si="200"/>
        <v>Skykomish River</v>
      </c>
      <c r="I2587" s="108" t="str">
        <f>IFERROR(VLOOKUP(H2587,LUTs!$A$1:$C$73,2,FALSE),"NA")</f>
        <v>Snohomish</v>
      </c>
      <c r="J2587" s="108" t="str">
        <f>IFERROR(VLOOKUP(H2587,LUTs!$A$1:$C$73,3,FALSE),"NA")</f>
        <v>2Central Puget Sound</v>
      </c>
      <c r="K2587" s="108" t="s">
        <v>13</v>
      </c>
      <c r="L2587" s="108" t="str">
        <f>VLOOKUP(K2587,LUTs!E$2:G$14,3,)</f>
        <v>01Whatcom</v>
      </c>
      <c r="M2587" s="108" t="str">
        <f>VLOOKUP($K2587,LUTs!$E$2:$H$14,2,)</f>
        <v>North Puget Sound</v>
      </c>
      <c r="N2587" s="108" t="str">
        <f>VLOOKUP($K2587,LUTs!$E$2:$H$14,4,)</f>
        <v>01North Puget Sound</v>
      </c>
      <c r="O2587" s="108">
        <v>133.23605706874201</v>
      </c>
      <c r="P2587" s="108">
        <v>458.33203631647302</v>
      </c>
      <c r="Q2587" s="108">
        <f>SUMIFS('FW_Salmon_by_Month_2010-2021'!P$2:P$3810,'FW_Salmon_by_Month_2010-2021'!$B$2:$B$3810,'Rec_raw_catch_effort_2010-2021'!$B2587,'FW_Salmon_by_Month_2010-2021'!$H$2:$H$3810,'Rec_raw_catch_effort_2010-2021'!$F2587,'FW_Salmon_by_Month_2010-2021'!$M$2:$M$3810,'Rec_raw_catch_effort_2010-2021'!$K2587)</f>
        <v>135.11095377954351</v>
      </c>
      <c r="R2587" s="109">
        <f>VLOOKUP(B2587,Readme!$A$62:$C$74,2,)*Q2587</f>
        <v>478.16312928337726</v>
      </c>
      <c r="S2587" s="140" t="str">
        <f t="shared" si="201"/>
        <v>Y</v>
      </c>
      <c r="T2587" s="154">
        <f t="shared" si="202"/>
        <v>3.4400000000000035</v>
      </c>
      <c r="U2587" s="154">
        <f t="shared" si="203"/>
        <v>3.5390404397824153</v>
      </c>
    </row>
    <row r="2588" spans="1:21" x14ac:dyDescent="0.35">
      <c r="A2588" s="108">
        <v>1604</v>
      </c>
      <c r="B2588" s="108">
        <v>2014</v>
      </c>
      <c r="C2588" s="108" t="s">
        <v>38</v>
      </c>
      <c r="D2588" s="108" t="s">
        <v>143</v>
      </c>
      <c r="E2588" s="108" t="s">
        <v>10</v>
      </c>
      <c r="F2588" s="116">
        <v>844</v>
      </c>
      <c r="G2588" s="108" t="s">
        <v>62</v>
      </c>
      <c r="H2588" s="108" t="str">
        <f t="shared" si="200"/>
        <v>Skykomish River</v>
      </c>
      <c r="I2588" s="108" t="str">
        <f>IFERROR(VLOOKUP(H2588,LUTs!$A$1:$C$73,2,FALSE),"NA")</f>
        <v>Snohomish</v>
      </c>
      <c r="J2588" s="108" t="str">
        <f>IFERROR(VLOOKUP(H2588,LUTs!$A$1:$C$73,3,FALSE),"NA")</f>
        <v>2Central Puget Sound</v>
      </c>
      <c r="K2588" s="108" t="s">
        <v>24</v>
      </c>
      <c r="L2588" s="108" t="str">
        <f>VLOOKUP(K2588,LUTs!E$2:G$14,3,)</f>
        <v>11Clallam</v>
      </c>
      <c r="M2588" s="108" t="str">
        <f>VLOOKUP($K2588,LUTs!$E$2:$H$14,2,)</f>
        <v>Strait of Juan de Fuca</v>
      </c>
      <c r="N2588" s="108" t="str">
        <f>VLOOKUP($K2588,LUTs!$E$2:$H$14,4,)</f>
        <v>03Strait of Juan de Fuca</v>
      </c>
      <c r="O2588" s="108">
        <v>14.1415094339623</v>
      </c>
      <c r="P2588" s="108">
        <v>122.324056603774</v>
      </c>
      <c r="Q2588" s="108">
        <f>SUMIFS('FW_Salmon_by_Month_2010-2021'!P$2:P$3810,'FW_Salmon_by_Month_2010-2021'!$B$2:$B$3810,'Rec_raw_catch_effort_2010-2021'!$B2588,'FW_Salmon_by_Month_2010-2021'!$H$2:$H$3810,'Rec_raw_catch_effort_2010-2021'!$F2588,'FW_Salmon_by_Month_2010-2021'!$M$2:$M$3810,'Rec_raw_catch_effort_2010-2021'!$K2588)</f>
        <v>14.35</v>
      </c>
      <c r="R2588" s="109">
        <f>VLOOKUP(B2588,Readme!$A$62:$C$74,2,)*Q2588</f>
        <v>69.160612874024537</v>
      </c>
      <c r="S2588" s="140" t="str">
        <f t="shared" si="201"/>
        <v>Y</v>
      </c>
      <c r="T2588" s="154">
        <f t="shared" si="202"/>
        <v>8.6500000000000075</v>
      </c>
      <c r="U2588" s="154">
        <f t="shared" si="203"/>
        <v>4.8195549041132084</v>
      </c>
    </row>
    <row r="2589" spans="1:21" x14ac:dyDescent="0.35">
      <c r="A2589" s="108">
        <v>1596</v>
      </c>
      <c r="B2589" s="108">
        <v>2014</v>
      </c>
      <c r="C2589" s="108" t="s">
        <v>38</v>
      </c>
      <c r="D2589" s="108" t="s">
        <v>143</v>
      </c>
      <c r="E2589" s="108" t="s">
        <v>10</v>
      </c>
      <c r="F2589" s="116">
        <v>844</v>
      </c>
      <c r="G2589" s="108" t="s">
        <v>62</v>
      </c>
      <c r="H2589" s="108" t="str">
        <f t="shared" si="200"/>
        <v>Skykomish River</v>
      </c>
      <c r="I2589" s="108" t="str">
        <f>IFERROR(VLOOKUP(H2589,LUTs!$A$1:$C$73,2,FALSE),"NA")</f>
        <v>Snohomish</v>
      </c>
      <c r="J2589" s="108" t="str">
        <f>IFERROR(VLOOKUP(H2589,LUTs!$A$1:$C$73,3,FALSE),"NA")</f>
        <v>2Central Puget Sound</v>
      </c>
      <c r="K2589" s="108" t="s">
        <v>17</v>
      </c>
      <c r="L2589" s="108" t="str">
        <f>VLOOKUP(K2589,LUTs!E$2:G$14,3,)</f>
        <v>04Island</v>
      </c>
      <c r="M2589" s="108" t="str">
        <f>VLOOKUP($K2589,LUTs!$E$2:$H$14,2,)</f>
        <v>North Puget Sound</v>
      </c>
      <c r="N2589" s="108" t="str">
        <f>VLOOKUP($K2589,LUTs!$E$2:$H$14,4,)</f>
        <v>01North Puget Sound</v>
      </c>
      <c r="O2589" s="108">
        <v>7.0707547169811296</v>
      </c>
      <c r="P2589" s="108">
        <v>61.162028301886799</v>
      </c>
      <c r="Q2589" s="108">
        <f>SUMIFS('FW_Salmon_by_Month_2010-2021'!P$2:P$3810,'FW_Salmon_by_Month_2010-2021'!$B$2:$B$3810,'Rec_raw_catch_effort_2010-2021'!$B2589,'FW_Salmon_by_Month_2010-2021'!$H$2:$H$3810,'Rec_raw_catch_effort_2010-2021'!$F2589,'FW_Salmon_by_Month_2010-2021'!$M$2:$M$3810,'Rec_raw_catch_effort_2010-2021'!$K2589)</f>
        <v>7.7368421052631602</v>
      </c>
      <c r="R2589" s="109">
        <f>VLOOKUP(B2589,Readme!$A$62:$C$74,2,)*Q2589</f>
        <v>37.28813531077062</v>
      </c>
      <c r="S2589" s="140" t="str">
        <f t="shared" si="201"/>
        <v>Y</v>
      </c>
      <c r="T2589" s="154">
        <f t="shared" si="202"/>
        <v>8.6500000000000039</v>
      </c>
      <c r="U2589" s="154">
        <f t="shared" si="203"/>
        <v>4.8195549041132084</v>
      </c>
    </row>
    <row r="2590" spans="1:21" x14ac:dyDescent="0.35">
      <c r="A2590" s="108">
        <v>1597</v>
      </c>
      <c r="B2590" s="108">
        <v>2014</v>
      </c>
      <c r="C2590" s="108" t="s">
        <v>38</v>
      </c>
      <c r="D2590" s="108" t="s">
        <v>143</v>
      </c>
      <c r="E2590" s="108" t="s">
        <v>10</v>
      </c>
      <c r="F2590" s="116">
        <v>844</v>
      </c>
      <c r="G2590" s="108" t="s">
        <v>62</v>
      </c>
      <c r="H2590" s="108" t="str">
        <f t="shared" si="200"/>
        <v>Skykomish River</v>
      </c>
      <c r="I2590" s="108" t="str">
        <f>IFERROR(VLOOKUP(H2590,LUTs!$A$1:$C$73,2,FALSE),"NA")</f>
        <v>Snohomish</v>
      </c>
      <c r="J2590" s="108" t="str">
        <f>IFERROR(VLOOKUP(H2590,LUTs!$A$1:$C$73,3,FALSE),"NA")</f>
        <v>2Central Puget Sound</v>
      </c>
      <c r="K2590" s="108" t="s">
        <v>18</v>
      </c>
      <c r="L2590" s="108" t="str">
        <f>VLOOKUP(K2590,LUTs!E$2:G$14,3,)</f>
        <v>06King</v>
      </c>
      <c r="M2590" s="108" t="str">
        <f>VLOOKUP($K2590,LUTs!$E$2:$H$14,2,)</f>
        <v>South Puget Sound</v>
      </c>
      <c r="N2590" s="108" t="str">
        <f>VLOOKUP($K2590,LUTs!$E$2:$H$14,4,)</f>
        <v>02South Puget Sound</v>
      </c>
      <c r="O2590" s="108">
        <v>466.669811320755</v>
      </c>
      <c r="P2590" s="108">
        <v>4036.69386792453</v>
      </c>
      <c r="Q2590" s="108">
        <f>SUMIFS('FW_Salmon_by_Month_2010-2021'!P$2:P$3810,'FW_Salmon_by_Month_2010-2021'!$B$2:$B$3810,'Rec_raw_catch_effort_2010-2021'!$B2590,'FW_Salmon_by_Month_2010-2021'!$H$2:$H$3810,'Rec_raw_catch_effort_2010-2021'!$F2590,'FW_Salmon_by_Month_2010-2021'!$M$2:$M$3810,'Rec_raw_catch_effort_2010-2021'!$K2590)</f>
        <v>469.21562418489657</v>
      </c>
      <c r="R2590" s="109">
        <f>VLOOKUP(B2590,Readme!$A$62:$C$74,2,)*Q2590</f>
        <v>2261.4104626268586</v>
      </c>
      <c r="S2590" s="140" t="str">
        <f t="shared" si="201"/>
        <v>Y</v>
      </c>
      <c r="T2590" s="154">
        <f t="shared" si="202"/>
        <v>8.6499999999999986</v>
      </c>
      <c r="U2590" s="154">
        <f t="shared" si="203"/>
        <v>4.8195549041132084</v>
      </c>
    </row>
    <row r="2591" spans="1:21" x14ac:dyDescent="0.35">
      <c r="A2591" s="108">
        <v>1605</v>
      </c>
      <c r="B2591" s="108">
        <v>2014</v>
      </c>
      <c r="C2591" s="108" t="s">
        <v>38</v>
      </c>
      <c r="D2591" s="108" t="s">
        <v>143</v>
      </c>
      <c r="E2591" s="108" t="s">
        <v>10</v>
      </c>
      <c r="F2591" s="116">
        <v>844</v>
      </c>
      <c r="G2591" s="108" t="s">
        <v>62</v>
      </c>
      <c r="H2591" s="108" t="str">
        <f t="shared" si="200"/>
        <v>Skykomish River</v>
      </c>
      <c r="I2591" s="108" t="str">
        <f>IFERROR(VLOOKUP(H2591,LUTs!$A$1:$C$73,2,FALSE),"NA")</f>
        <v>Snohomish</v>
      </c>
      <c r="J2591" s="108" t="str">
        <f>IFERROR(VLOOKUP(H2591,LUTs!$A$1:$C$73,3,FALSE),"NA")</f>
        <v>2Central Puget Sound</v>
      </c>
      <c r="K2591" s="108" t="s">
        <v>26</v>
      </c>
      <c r="L2591" s="108" t="str">
        <f>VLOOKUP(K2591,LUTs!E$2:G$14,3,)</f>
        <v>20Other</v>
      </c>
      <c r="M2591" s="108" t="str">
        <f>VLOOKUP($K2591,LUTs!$E$2:$H$14,2,)</f>
        <v>Non Puget Sound</v>
      </c>
      <c r="N2591" s="108" t="str">
        <f>VLOOKUP($K2591,LUTs!$E$2:$H$14,4,)</f>
        <v>07Non Puget Sound</v>
      </c>
      <c r="O2591" s="108">
        <v>77.778301886792505</v>
      </c>
      <c r="P2591" s="108">
        <v>672.78231132075496</v>
      </c>
      <c r="Q2591" s="108">
        <f>SUMIFS('FW_Salmon_by_Month_2010-2021'!P$2:P$3810,'FW_Salmon_by_Month_2010-2021'!$B$2:$B$3810,'Rec_raw_catch_effort_2010-2021'!$B2591,'FW_Salmon_by_Month_2010-2021'!$H$2:$H$3810,'Rec_raw_catch_effort_2010-2021'!$F2591,'FW_Salmon_by_Month_2010-2021'!$M$2:$M$3810,'Rec_raw_catch_effort_2010-2021'!$K2591)</f>
        <v>81.328881026094592</v>
      </c>
      <c r="R2591" s="109">
        <f>VLOOKUP(B2591,Readme!$A$62:$C$74,2,)*Q2591</f>
        <v>391.96900739535386</v>
      </c>
      <c r="S2591" s="140" t="str">
        <f t="shared" si="201"/>
        <v>Y</v>
      </c>
      <c r="T2591" s="154">
        <f t="shared" si="202"/>
        <v>8.6499999999999968</v>
      </c>
      <c r="U2591" s="154">
        <f t="shared" si="203"/>
        <v>4.8195549041132084</v>
      </c>
    </row>
    <row r="2592" spans="1:21" x14ac:dyDescent="0.35">
      <c r="A2592" s="108">
        <v>1602</v>
      </c>
      <c r="B2592" s="108">
        <v>2014</v>
      </c>
      <c r="C2592" s="108" t="s">
        <v>38</v>
      </c>
      <c r="D2592" s="108" t="s">
        <v>143</v>
      </c>
      <c r="E2592" s="108" t="s">
        <v>10</v>
      </c>
      <c r="F2592" s="116">
        <v>844</v>
      </c>
      <c r="G2592" s="108" t="s">
        <v>62</v>
      </c>
      <c r="H2592" s="108" t="str">
        <f t="shared" si="200"/>
        <v>Skykomish River</v>
      </c>
      <c r="I2592" s="108" t="str">
        <f>IFERROR(VLOOKUP(H2592,LUTs!$A$1:$C$73,2,FALSE),"NA")</f>
        <v>Snohomish</v>
      </c>
      <c r="J2592" s="108" t="str">
        <f>IFERROR(VLOOKUP(H2592,LUTs!$A$1:$C$73,3,FALSE),"NA")</f>
        <v>2Central Puget Sound</v>
      </c>
      <c r="K2592" s="108" t="s">
        <v>20</v>
      </c>
      <c r="L2592" s="108" t="str">
        <f>VLOOKUP(K2592,LUTs!E$2:G$14,3,)</f>
        <v>07Pierce</v>
      </c>
      <c r="M2592" s="108" t="str">
        <f>VLOOKUP($K2592,LUTs!$E$2:$H$14,2,)</f>
        <v>South Puget Sound</v>
      </c>
      <c r="N2592" s="108" t="str">
        <f>VLOOKUP($K2592,LUTs!$E$2:$H$14,4,)</f>
        <v>02South Puget Sound</v>
      </c>
      <c r="O2592" s="108">
        <v>14.1415094339623</v>
      </c>
      <c r="P2592" s="108">
        <v>122.324056603774</v>
      </c>
      <c r="Q2592" s="108">
        <f>SUMIFS('FW_Salmon_by_Month_2010-2021'!P$2:P$3810,'FW_Salmon_by_Month_2010-2021'!$B$2:$B$3810,'Rec_raw_catch_effort_2010-2021'!$B2592,'FW_Salmon_by_Month_2010-2021'!$H$2:$H$3810,'Rec_raw_catch_effort_2010-2021'!$F2592,'FW_Salmon_by_Month_2010-2021'!$M$2:$M$3810,'Rec_raw_catch_effort_2010-2021'!$K2592)</f>
        <v>15.08978328173375</v>
      </c>
      <c r="R2592" s="109">
        <f>VLOOKUP(B2592,Readme!$A$62:$C$74,2,)*Q2592</f>
        <v>72.726039017485391</v>
      </c>
      <c r="S2592" s="140" t="str">
        <f t="shared" si="201"/>
        <v>Y</v>
      </c>
      <c r="T2592" s="154">
        <f t="shared" si="202"/>
        <v>8.6500000000000075</v>
      </c>
      <c r="U2592" s="154">
        <f t="shared" si="203"/>
        <v>4.8195549041132075</v>
      </c>
    </row>
    <row r="2593" spans="1:21" x14ac:dyDescent="0.35">
      <c r="A2593" s="108">
        <v>1594</v>
      </c>
      <c r="B2593" s="108">
        <v>2014</v>
      </c>
      <c r="C2593" s="108" t="s">
        <v>38</v>
      </c>
      <c r="D2593" s="108" t="s">
        <v>143</v>
      </c>
      <c r="E2593" s="108" t="s">
        <v>10</v>
      </c>
      <c r="F2593" s="116">
        <v>844</v>
      </c>
      <c r="G2593" s="108" t="s">
        <v>62</v>
      </c>
      <c r="H2593" s="108" t="str">
        <f t="shared" si="200"/>
        <v>Skykomish River</v>
      </c>
      <c r="I2593" s="108" t="str">
        <f>IFERROR(VLOOKUP(H2593,LUTs!$A$1:$C$73,2,FALSE),"NA")</f>
        <v>Snohomish</v>
      </c>
      <c r="J2593" s="108" t="str">
        <f>IFERROR(VLOOKUP(H2593,LUTs!$A$1:$C$73,3,FALSE),"NA")</f>
        <v>2Central Puget Sound</v>
      </c>
      <c r="K2593" s="108" t="s">
        <v>15</v>
      </c>
      <c r="L2593" s="108" t="str">
        <f>VLOOKUP(K2593,LUTs!E$2:G$14,3,)</f>
        <v>02Skagit</v>
      </c>
      <c r="M2593" s="108" t="str">
        <f>VLOOKUP($K2593,LUTs!$E$2:$H$14,2,)</f>
        <v>North Puget Sound</v>
      </c>
      <c r="N2593" s="108" t="str">
        <f>VLOOKUP($K2593,LUTs!$E$2:$H$14,4,)</f>
        <v>01North Puget Sound</v>
      </c>
      <c r="O2593" s="108">
        <v>35.353773584905703</v>
      </c>
      <c r="P2593" s="108">
        <v>305.810141509434</v>
      </c>
      <c r="Q2593" s="108">
        <f>SUMIFS('FW_Salmon_by_Month_2010-2021'!P$2:P$3810,'FW_Salmon_by_Month_2010-2021'!$B$2:$B$3810,'Rec_raw_catch_effort_2010-2021'!$B2593,'FW_Salmon_by_Month_2010-2021'!$H$2:$H$3810,'Rec_raw_catch_effort_2010-2021'!$F2593,'FW_Salmon_by_Month_2010-2021'!$M$2:$M$3810,'Rec_raw_catch_effort_2010-2021'!$K2593)</f>
        <v>36.394534412955458</v>
      </c>
      <c r="R2593" s="109">
        <f>VLOOKUP(B2593,Readme!$A$62:$C$74,2,)*Q2593</f>
        <v>175.40545681287639</v>
      </c>
      <c r="S2593" s="140" t="str">
        <f t="shared" si="201"/>
        <v>Y</v>
      </c>
      <c r="T2593" s="154">
        <f t="shared" si="202"/>
        <v>8.6499999999999915</v>
      </c>
      <c r="U2593" s="154">
        <f t="shared" si="203"/>
        <v>4.8195549041132084</v>
      </c>
    </row>
    <row r="2594" spans="1:21" x14ac:dyDescent="0.35">
      <c r="A2594" s="108">
        <v>1595</v>
      </c>
      <c r="B2594" s="108">
        <v>2014</v>
      </c>
      <c r="C2594" s="108" t="s">
        <v>38</v>
      </c>
      <c r="D2594" s="108" t="s">
        <v>143</v>
      </c>
      <c r="E2594" s="108" t="s">
        <v>10</v>
      </c>
      <c r="F2594" s="116">
        <v>844</v>
      </c>
      <c r="G2594" s="108" t="s">
        <v>62</v>
      </c>
      <c r="H2594" s="108" t="str">
        <f t="shared" si="200"/>
        <v>Skykomish River</v>
      </c>
      <c r="I2594" s="108" t="str">
        <f>IFERROR(VLOOKUP(H2594,LUTs!$A$1:$C$73,2,FALSE),"NA")</f>
        <v>Snohomish</v>
      </c>
      <c r="J2594" s="108" t="str">
        <f>IFERROR(VLOOKUP(H2594,LUTs!$A$1:$C$73,3,FALSE),"NA")</f>
        <v>2Central Puget Sound</v>
      </c>
      <c r="K2594" s="108" t="s">
        <v>16</v>
      </c>
      <c r="L2594" s="108" t="str">
        <f>VLOOKUP(K2594,LUTs!E$2:G$14,3,)</f>
        <v>03Snohomish</v>
      </c>
      <c r="M2594" s="108" t="str">
        <f>VLOOKUP($K2594,LUTs!$E$2:$H$14,2,)</f>
        <v>North Puget Sound</v>
      </c>
      <c r="N2594" s="108" t="str">
        <f>VLOOKUP($K2594,LUTs!$E$2:$H$14,4,)</f>
        <v>01North Puget Sound</v>
      </c>
      <c r="O2594" s="108">
        <v>820.20754716981105</v>
      </c>
      <c r="P2594" s="108">
        <v>7094.7952830188697</v>
      </c>
      <c r="Q2594" s="108">
        <f>SUMIFS('FW_Salmon_by_Month_2010-2021'!P$2:P$3810,'FW_Salmon_by_Month_2010-2021'!$B$2:$B$3810,'Rec_raw_catch_effort_2010-2021'!$B2594,'FW_Salmon_by_Month_2010-2021'!$H$2:$H$3810,'Rec_raw_catch_effort_2010-2021'!$F2594,'FW_Salmon_by_Month_2010-2021'!$M$2:$M$3810,'Rec_raw_catch_effort_2010-2021'!$K2594)</f>
        <v>816.03635843001211</v>
      </c>
      <c r="R2594" s="109">
        <f>VLOOKUP(B2594,Readme!$A$62:$C$74,2,)*Q2594</f>
        <v>3932.9320332060488</v>
      </c>
      <c r="S2594" s="140" t="str">
        <f t="shared" si="201"/>
        <v>Y</v>
      </c>
      <c r="T2594" s="154">
        <f t="shared" si="202"/>
        <v>8.6500000000000057</v>
      </c>
      <c r="U2594" s="154">
        <f t="shared" si="203"/>
        <v>4.8195549041132084</v>
      </c>
    </row>
    <row r="2595" spans="1:21" x14ac:dyDescent="0.35">
      <c r="A2595" s="108">
        <v>1603</v>
      </c>
      <c r="B2595" s="108">
        <v>2014</v>
      </c>
      <c r="C2595" s="108" t="s">
        <v>38</v>
      </c>
      <c r="D2595" s="108" t="s">
        <v>143</v>
      </c>
      <c r="E2595" s="108" t="s">
        <v>10</v>
      </c>
      <c r="F2595" s="116">
        <v>844</v>
      </c>
      <c r="G2595" s="108" t="s">
        <v>62</v>
      </c>
      <c r="H2595" s="108" t="str">
        <f t="shared" si="200"/>
        <v>Skykomish River</v>
      </c>
      <c r="I2595" s="108" t="str">
        <f>IFERROR(VLOOKUP(H2595,LUTs!$A$1:$C$73,2,FALSE),"NA")</f>
        <v>Snohomish</v>
      </c>
      <c r="J2595" s="108" t="str">
        <f>IFERROR(VLOOKUP(H2595,LUTs!$A$1:$C$73,3,FALSE),"NA")</f>
        <v>2Central Puget Sound</v>
      </c>
      <c r="K2595" s="108" t="s">
        <v>21</v>
      </c>
      <c r="L2595" s="108" t="str">
        <f>VLOOKUP(K2595,LUTs!E$2:G$14,3,)</f>
        <v>08Thurston</v>
      </c>
      <c r="M2595" s="108" t="str">
        <f>VLOOKUP($K2595,LUTs!$E$2:$H$14,2,)</f>
        <v>South Puget Sound</v>
      </c>
      <c r="N2595" s="108" t="str">
        <f>VLOOKUP($K2595,LUTs!$E$2:$H$14,4,)</f>
        <v>02South Puget Sound</v>
      </c>
      <c r="O2595" s="108">
        <v>49.495283018867902</v>
      </c>
      <c r="P2595" s="108">
        <v>428.13419811320699</v>
      </c>
      <c r="Q2595" s="108">
        <f>SUMIFS('FW_Salmon_by_Month_2010-2021'!P$2:P$3810,'FW_Salmon_by_Month_2010-2021'!$B$2:$B$3810,'Rec_raw_catch_effort_2010-2021'!$B2595,'FW_Salmon_by_Month_2010-2021'!$H$2:$H$3810,'Rec_raw_catch_effort_2010-2021'!$F2595,'FW_Salmon_by_Month_2010-2021'!$M$2:$M$3810,'Rec_raw_catch_effort_2010-2021'!$K2595)</f>
        <v>51.676547987616054</v>
      </c>
      <c r="R2595" s="109">
        <f>VLOOKUP(B2595,Readme!$A$62:$C$74,2,)*Q2595</f>
        <v>249.05796028135651</v>
      </c>
      <c r="S2595" s="140" t="str">
        <f t="shared" si="201"/>
        <v>Y</v>
      </c>
      <c r="T2595" s="154">
        <f t="shared" si="202"/>
        <v>8.6499999999999932</v>
      </c>
      <c r="U2595" s="154">
        <f t="shared" si="203"/>
        <v>4.8195549041132084</v>
      </c>
    </row>
    <row r="2596" spans="1:21" x14ac:dyDescent="0.35">
      <c r="A2596" s="108">
        <v>1593</v>
      </c>
      <c r="B2596" s="108">
        <v>2014</v>
      </c>
      <c r="C2596" s="108" t="s">
        <v>38</v>
      </c>
      <c r="D2596" s="108" t="s">
        <v>143</v>
      </c>
      <c r="E2596" s="108" t="s">
        <v>10</v>
      </c>
      <c r="F2596" s="116">
        <v>844</v>
      </c>
      <c r="G2596" s="108" t="s">
        <v>62</v>
      </c>
      <c r="H2596" s="108" t="str">
        <f t="shared" si="200"/>
        <v>Skykomish River</v>
      </c>
      <c r="I2596" s="108" t="str">
        <f>IFERROR(VLOOKUP(H2596,LUTs!$A$1:$C$73,2,FALSE),"NA")</f>
        <v>Snohomish</v>
      </c>
      <c r="J2596" s="108" t="str">
        <f>IFERROR(VLOOKUP(H2596,LUTs!$A$1:$C$73,3,FALSE),"NA")</f>
        <v>2Central Puget Sound</v>
      </c>
      <c r="K2596" s="108" t="s">
        <v>13</v>
      </c>
      <c r="L2596" s="108" t="str">
        <f>VLOOKUP(K2596,LUTs!E$2:G$14,3,)</f>
        <v>01Whatcom</v>
      </c>
      <c r="M2596" s="108" t="str">
        <f>VLOOKUP($K2596,LUTs!$E$2:$H$14,2,)</f>
        <v>North Puget Sound</v>
      </c>
      <c r="N2596" s="108" t="str">
        <f>VLOOKUP($K2596,LUTs!$E$2:$H$14,4,)</f>
        <v>01North Puget Sound</v>
      </c>
      <c r="O2596" s="108">
        <v>14.1415094339623</v>
      </c>
      <c r="P2596" s="108">
        <v>122.324056603774</v>
      </c>
      <c r="Q2596" s="108">
        <f>SUMIFS('FW_Salmon_by_Month_2010-2021'!P$2:P$3810,'FW_Salmon_by_Month_2010-2021'!$B$2:$B$3810,'Rec_raw_catch_effort_2010-2021'!$B2596,'FW_Salmon_by_Month_2010-2021'!$H$2:$H$3810,'Rec_raw_catch_effort_2010-2021'!$F2596,'FW_Salmon_by_Month_2010-2021'!$M$2:$M$3810,'Rec_raw_catch_effort_2010-2021'!$K2596)</f>
        <v>7.1714285714285699</v>
      </c>
      <c r="R2596" s="109">
        <f>VLOOKUP(B2596,Readme!$A$62:$C$74,2,)*Q2596</f>
        <v>34.563093740926142</v>
      </c>
      <c r="S2596" s="140" t="str">
        <f t="shared" si="201"/>
        <v>Y</v>
      </c>
      <c r="T2596" s="154">
        <f t="shared" si="202"/>
        <v>8.6500000000000075</v>
      </c>
      <c r="U2596" s="154">
        <f t="shared" si="203"/>
        <v>4.8195549041132084</v>
      </c>
    </row>
    <row r="2597" spans="1:21" x14ac:dyDescent="0.35">
      <c r="A2597" s="108">
        <v>1767</v>
      </c>
      <c r="B2597" s="108">
        <v>2015</v>
      </c>
      <c r="C2597" s="108" t="s">
        <v>38</v>
      </c>
      <c r="D2597" s="108" t="s">
        <v>143</v>
      </c>
      <c r="E2597" s="108" t="s">
        <v>10</v>
      </c>
      <c r="F2597" s="116">
        <v>844</v>
      </c>
      <c r="G2597" s="108" t="s">
        <v>62</v>
      </c>
      <c r="H2597" s="108" t="str">
        <f t="shared" si="200"/>
        <v>Skykomish River</v>
      </c>
      <c r="I2597" s="108" t="str">
        <f>IFERROR(VLOOKUP(H2597,LUTs!$A$1:$C$73,2,FALSE),"NA")</f>
        <v>Snohomish</v>
      </c>
      <c r="J2597" s="108" t="str">
        <f>IFERROR(VLOOKUP(H2597,LUTs!$A$1:$C$73,3,FALSE),"NA")</f>
        <v>2Central Puget Sound</v>
      </c>
      <c r="K2597" s="108" t="s">
        <v>18</v>
      </c>
      <c r="L2597" s="108" t="str">
        <f>VLOOKUP(K2597,LUTs!E$2:G$14,3,)</f>
        <v>06King</v>
      </c>
      <c r="M2597" s="108" t="str">
        <f>VLOOKUP($K2597,LUTs!$E$2:$H$14,2,)</f>
        <v>South Puget Sound</v>
      </c>
      <c r="N2597" s="108" t="str">
        <f>VLOOKUP($K2597,LUTs!$E$2:$H$14,4,)</f>
        <v>02South Puget Sound</v>
      </c>
      <c r="O2597" s="108">
        <v>1909.93679775281</v>
      </c>
      <c r="P2597" s="108">
        <v>6570.1825842696699</v>
      </c>
      <c r="Q2597" s="108">
        <f>SUMIFS('FW_Salmon_by_Month_2010-2021'!P$2:P$3810,'FW_Salmon_by_Month_2010-2021'!$B$2:$B$3810,'Rec_raw_catch_effort_2010-2021'!$B2597,'FW_Salmon_by_Month_2010-2021'!$H$2:$H$3810,'Rec_raw_catch_effort_2010-2021'!$F2597,'FW_Salmon_by_Month_2010-2021'!$M$2:$M$3810,'Rec_raw_catch_effort_2010-2021'!$K2597)</f>
        <v>1903.1502682182063</v>
      </c>
      <c r="R2597" s="109">
        <f>VLOOKUP(B2597,Readme!$A$62:$C$74,2,)*Q2597</f>
        <v>6735.3257622069823</v>
      </c>
      <c r="S2597" s="140" t="str">
        <f t="shared" si="201"/>
        <v>Y</v>
      </c>
      <c r="T2597" s="154">
        <f t="shared" si="202"/>
        <v>3.4400000000000017</v>
      </c>
      <c r="U2597" s="154">
        <f t="shared" si="203"/>
        <v>3.5390404397824153</v>
      </c>
    </row>
    <row r="2598" spans="1:21" x14ac:dyDescent="0.35">
      <c r="A2598" s="108">
        <v>1927</v>
      </c>
      <c r="B2598" s="108">
        <v>2015</v>
      </c>
      <c r="C2598" s="108" t="s">
        <v>38</v>
      </c>
      <c r="D2598" s="108" t="s">
        <v>143</v>
      </c>
      <c r="E2598" s="108" t="s">
        <v>10</v>
      </c>
      <c r="F2598" s="116">
        <v>844</v>
      </c>
      <c r="G2598" s="108" t="s">
        <v>62</v>
      </c>
      <c r="H2598" s="108" t="str">
        <f t="shared" si="200"/>
        <v>Skykomish River</v>
      </c>
      <c r="I2598" s="108" t="str">
        <f>IFERROR(VLOOKUP(H2598,LUTs!$A$1:$C$73,2,FALSE),"NA")</f>
        <v>Snohomish</v>
      </c>
      <c r="J2598" s="108" t="str">
        <f>IFERROR(VLOOKUP(H2598,LUTs!$A$1:$C$73,3,FALSE),"NA")</f>
        <v>2Central Puget Sound</v>
      </c>
      <c r="K2598" s="108" t="s">
        <v>23</v>
      </c>
      <c r="L2598" s="108" t="str">
        <f>VLOOKUP(K2598,LUTs!E$2:G$14,3,)</f>
        <v>10Kitsap</v>
      </c>
      <c r="M2598" s="108" t="str">
        <f>VLOOKUP($K2598,LUTs!$E$2:$H$14,2,)</f>
        <v>South Puget Sound</v>
      </c>
      <c r="N2598" s="108" t="str">
        <f>VLOOKUP($K2598,LUTs!$E$2:$H$14,4,)</f>
        <v>02South Puget Sound</v>
      </c>
      <c r="O2598" s="108">
        <v>26.6502808988764</v>
      </c>
      <c r="P2598" s="108">
        <v>91.676966292134793</v>
      </c>
      <c r="Q2598" s="108">
        <f>SUMIFS('FW_Salmon_by_Month_2010-2021'!P$2:P$3810,'FW_Salmon_by_Month_2010-2021'!$B$2:$B$3810,'Rec_raw_catch_effort_2010-2021'!$B2598,'FW_Salmon_by_Month_2010-2021'!$H$2:$H$3810,'Rec_raw_catch_effort_2010-2021'!$F2598,'FW_Salmon_by_Month_2010-2021'!$M$2:$M$3810,'Rec_raw_catch_effort_2010-2021'!$K2598)</f>
        <v>26.791218948584639</v>
      </c>
      <c r="R2598" s="109">
        <f>VLOOKUP(B2598,Readme!$A$62:$C$74,2,)*Q2598</f>
        <v>94.81520729010596</v>
      </c>
      <c r="S2598" s="140" t="str">
        <f t="shared" si="201"/>
        <v>Y</v>
      </c>
      <c r="T2598" s="154">
        <f t="shared" si="202"/>
        <v>3.4399999999999991</v>
      </c>
      <c r="U2598" s="154">
        <f t="shared" si="203"/>
        <v>3.5390404397824153</v>
      </c>
    </row>
    <row r="2599" spans="1:21" x14ac:dyDescent="0.35">
      <c r="A2599" s="108">
        <v>1928</v>
      </c>
      <c r="B2599" s="108">
        <v>2015</v>
      </c>
      <c r="C2599" s="108" t="s">
        <v>38</v>
      </c>
      <c r="D2599" s="108" t="s">
        <v>143</v>
      </c>
      <c r="E2599" s="108" t="s">
        <v>10</v>
      </c>
      <c r="F2599" s="116">
        <v>844</v>
      </c>
      <c r="G2599" s="108" t="s">
        <v>62</v>
      </c>
      <c r="H2599" s="108" t="str">
        <f t="shared" si="200"/>
        <v>Skykomish River</v>
      </c>
      <c r="I2599" s="108" t="str">
        <f>IFERROR(VLOOKUP(H2599,LUTs!$A$1:$C$73,2,FALSE),"NA")</f>
        <v>Snohomish</v>
      </c>
      <c r="J2599" s="108" t="str">
        <f>IFERROR(VLOOKUP(H2599,LUTs!$A$1:$C$73,3,FALSE),"NA")</f>
        <v>2Central Puget Sound</v>
      </c>
      <c r="K2599" s="108" t="s">
        <v>26</v>
      </c>
      <c r="L2599" s="108" t="str">
        <f>VLOOKUP(K2599,LUTs!E$2:G$14,3,)</f>
        <v>20Other</v>
      </c>
      <c r="M2599" s="108" t="str">
        <f>VLOOKUP($K2599,LUTs!$E$2:$H$14,2,)</f>
        <v>Non Puget Sound</v>
      </c>
      <c r="N2599" s="108" t="str">
        <f>VLOOKUP($K2599,LUTs!$E$2:$H$14,4,)</f>
        <v>07Non Puget Sound</v>
      </c>
      <c r="O2599" s="108">
        <v>426.40449438202302</v>
      </c>
      <c r="P2599" s="108">
        <v>1466.8314606741601</v>
      </c>
      <c r="Q2599" s="108">
        <f>SUMIFS('FW_Salmon_by_Month_2010-2021'!P$2:P$3810,'FW_Salmon_by_Month_2010-2021'!$B$2:$B$3810,'Rec_raw_catch_effort_2010-2021'!$B2599,'FW_Salmon_by_Month_2010-2021'!$H$2:$H$3810,'Rec_raw_catch_effort_2010-2021'!$F2599,'FW_Salmon_by_Month_2010-2021'!$M$2:$M$3810,'Rec_raw_catch_effort_2010-2021'!$K2599)</f>
        <v>428.69491210695759</v>
      </c>
      <c r="R2599" s="109">
        <f>VLOOKUP(B2599,Readme!$A$62:$C$74,2,)*Q2599</f>
        <v>1517.1686302754911</v>
      </c>
      <c r="S2599" s="140" t="str">
        <f t="shared" si="201"/>
        <v>Y</v>
      </c>
      <c r="T2599" s="154">
        <f t="shared" si="202"/>
        <v>3.4400000000000022</v>
      </c>
      <c r="U2599" s="154">
        <f t="shared" si="203"/>
        <v>3.5390404397824153</v>
      </c>
    </row>
    <row r="2600" spans="1:21" x14ac:dyDescent="0.35">
      <c r="A2600" s="108">
        <v>1925</v>
      </c>
      <c r="B2600" s="108">
        <v>2015</v>
      </c>
      <c r="C2600" s="108" t="s">
        <v>38</v>
      </c>
      <c r="D2600" s="108" t="s">
        <v>143</v>
      </c>
      <c r="E2600" s="108" t="s">
        <v>10</v>
      </c>
      <c r="F2600" s="116">
        <v>844</v>
      </c>
      <c r="G2600" s="108" t="s">
        <v>62</v>
      </c>
      <c r="H2600" s="108" t="str">
        <f t="shared" si="200"/>
        <v>Skykomish River</v>
      </c>
      <c r="I2600" s="108" t="str">
        <f>IFERROR(VLOOKUP(H2600,LUTs!$A$1:$C$73,2,FALSE),"NA")</f>
        <v>Snohomish</v>
      </c>
      <c r="J2600" s="108" t="str">
        <f>IFERROR(VLOOKUP(H2600,LUTs!$A$1:$C$73,3,FALSE),"NA")</f>
        <v>2Central Puget Sound</v>
      </c>
      <c r="K2600" s="108" t="s">
        <v>20</v>
      </c>
      <c r="L2600" s="108" t="str">
        <f>VLOOKUP(K2600,LUTs!E$2:G$14,3,)</f>
        <v>07Pierce</v>
      </c>
      <c r="M2600" s="108" t="str">
        <f>VLOOKUP($K2600,LUTs!$E$2:$H$14,2,)</f>
        <v>South Puget Sound</v>
      </c>
      <c r="N2600" s="108" t="str">
        <f>VLOOKUP($K2600,LUTs!$E$2:$H$14,4,)</f>
        <v>02South Puget Sound</v>
      </c>
      <c r="O2600" s="108">
        <v>133.251404494382</v>
      </c>
      <c r="P2600" s="108">
        <v>458.38483146067398</v>
      </c>
      <c r="Q2600" s="108">
        <f>SUMIFS('FW_Salmon_by_Month_2010-2021'!P$2:P$3810,'FW_Salmon_by_Month_2010-2021'!$B$2:$B$3810,'Rec_raw_catch_effort_2010-2021'!$B2600,'FW_Salmon_by_Month_2010-2021'!$H$2:$H$3810,'Rec_raw_catch_effort_2010-2021'!$F2600,'FW_Salmon_by_Month_2010-2021'!$M$2:$M$3810,'Rec_raw_catch_effort_2010-2021'!$K2600)</f>
        <v>125.005199306759</v>
      </c>
      <c r="R2600" s="109">
        <f>VLOOKUP(B2600,Readme!$A$62:$C$74,2,)*Q2600</f>
        <v>442.39845552968086</v>
      </c>
      <c r="S2600" s="140" t="str">
        <f t="shared" si="201"/>
        <v>Y</v>
      </c>
      <c r="T2600" s="154">
        <f t="shared" si="202"/>
        <v>3.4399999999999991</v>
      </c>
      <c r="U2600" s="154">
        <f t="shared" si="203"/>
        <v>3.5390404397824153</v>
      </c>
    </row>
    <row r="2601" spans="1:21" x14ac:dyDescent="0.35">
      <c r="A2601" s="108">
        <v>1765</v>
      </c>
      <c r="B2601" s="108">
        <v>2015</v>
      </c>
      <c r="C2601" s="108" t="s">
        <v>38</v>
      </c>
      <c r="D2601" s="108" t="s">
        <v>143</v>
      </c>
      <c r="E2601" s="108" t="s">
        <v>10</v>
      </c>
      <c r="F2601" s="116">
        <v>844</v>
      </c>
      <c r="G2601" s="108" t="s">
        <v>62</v>
      </c>
      <c r="H2601" s="108" t="str">
        <f t="shared" si="200"/>
        <v>Skykomish River</v>
      </c>
      <c r="I2601" s="108" t="str">
        <f>IFERROR(VLOOKUP(H2601,LUTs!$A$1:$C$73,2,FALSE),"NA")</f>
        <v>Snohomish</v>
      </c>
      <c r="J2601" s="108" t="str">
        <f>IFERROR(VLOOKUP(H2601,LUTs!$A$1:$C$73,3,FALSE),"NA")</f>
        <v>2Central Puget Sound</v>
      </c>
      <c r="K2601" s="108" t="s">
        <v>15</v>
      </c>
      <c r="L2601" s="108" t="str">
        <f>VLOOKUP(K2601,LUTs!E$2:G$14,3,)</f>
        <v>02Skagit</v>
      </c>
      <c r="M2601" s="108" t="str">
        <f>VLOOKUP($K2601,LUTs!$E$2:$H$14,2,)</f>
        <v>North Puget Sound</v>
      </c>
      <c r="N2601" s="108" t="str">
        <f>VLOOKUP($K2601,LUTs!$E$2:$H$14,4,)</f>
        <v>01North Puget Sound</v>
      </c>
      <c r="O2601" s="108">
        <v>8.8834269662921397</v>
      </c>
      <c r="P2601" s="108">
        <v>30.558988764045001</v>
      </c>
      <c r="Q2601" s="108">
        <f>SUMIFS('FW_Salmon_by_Month_2010-2021'!P$2:P$3810,'FW_Salmon_by_Month_2010-2021'!$B$2:$B$3810,'Rec_raw_catch_effort_2010-2021'!$B2601,'FW_Salmon_by_Month_2010-2021'!$H$2:$H$3810,'Rec_raw_catch_effort_2010-2021'!$F2601,'FW_Salmon_by_Month_2010-2021'!$M$2:$M$3810,'Rec_raw_catch_effort_2010-2021'!$K2601)</f>
        <v>8.9289428076256492</v>
      </c>
      <c r="R2601" s="109">
        <f>VLOOKUP(B2601,Readme!$A$62:$C$74,2,)*Q2601</f>
        <v>31.599889680691511</v>
      </c>
      <c r="S2601" s="140" t="str">
        <f t="shared" si="201"/>
        <v>Y</v>
      </c>
      <c r="T2601" s="154">
        <f t="shared" si="202"/>
        <v>3.4400000000000044</v>
      </c>
      <c r="U2601" s="154">
        <f t="shared" si="203"/>
        <v>3.5390404397824153</v>
      </c>
    </row>
    <row r="2602" spans="1:21" x14ac:dyDescent="0.35">
      <c r="A2602" s="108">
        <v>1766</v>
      </c>
      <c r="B2602" s="108">
        <v>2015</v>
      </c>
      <c r="C2602" s="108" t="s">
        <v>38</v>
      </c>
      <c r="D2602" s="108" t="s">
        <v>143</v>
      </c>
      <c r="E2602" s="108" t="s">
        <v>10</v>
      </c>
      <c r="F2602" s="116">
        <v>844</v>
      </c>
      <c r="G2602" s="108" t="s">
        <v>62</v>
      </c>
      <c r="H2602" s="108" t="str">
        <f t="shared" ref="H2602:H2665" si="204">G2602</f>
        <v>Skykomish River</v>
      </c>
      <c r="I2602" s="108" t="str">
        <f>IFERROR(VLOOKUP(H2602,LUTs!$A$1:$C$73,2,FALSE),"NA")</f>
        <v>Snohomish</v>
      </c>
      <c r="J2602" s="108" t="str">
        <f>IFERROR(VLOOKUP(H2602,LUTs!$A$1:$C$73,3,FALSE),"NA")</f>
        <v>2Central Puget Sound</v>
      </c>
      <c r="K2602" s="108" t="s">
        <v>16</v>
      </c>
      <c r="L2602" s="108" t="str">
        <f>VLOOKUP(K2602,LUTs!E$2:G$14,3,)</f>
        <v>03Snohomish</v>
      </c>
      <c r="M2602" s="108" t="str">
        <f>VLOOKUP($K2602,LUTs!$E$2:$H$14,2,)</f>
        <v>North Puget Sound</v>
      </c>
      <c r="N2602" s="108" t="str">
        <f>VLOOKUP($K2602,LUTs!$E$2:$H$14,4,)</f>
        <v>01North Puget Sound</v>
      </c>
      <c r="O2602" s="108">
        <v>3766.5730337078699</v>
      </c>
      <c r="P2602" s="108">
        <v>12957.0112359551</v>
      </c>
      <c r="Q2602" s="108">
        <f>SUMIFS('FW_Salmon_by_Month_2010-2021'!P$2:P$3810,'FW_Salmon_by_Month_2010-2021'!$B$2:$B$3810,'Rec_raw_catch_effort_2010-2021'!$B2602,'FW_Salmon_by_Month_2010-2021'!$H$2:$H$3810,'Rec_raw_catch_effort_2010-2021'!$F2602,'FW_Salmon_by_Month_2010-2021'!$M$2:$M$3810,'Rec_raw_catch_effort_2010-2021'!$K2602)</f>
        <v>3778.8382396632787</v>
      </c>
      <c r="R2602" s="109">
        <f>VLOOKUP(B2602,Readme!$A$62:$C$74,2,)*Q2602</f>
        <v>13373.461345564538</v>
      </c>
      <c r="S2602" s="140" t="str">
        <f t="shared" si="201"/>
        <v>Y</v>
      </c>
      <c r="T2602" s="154">
        <f t="shared" si="202"/>
        <v>3.4400000000000075</v>
      </c>
      <c r="U2602" s="154">
        <f t="shared" si="203"/>
        <v>3.5390404397824153</v>
      </c>
    </row>
    <row r="2603" spans="1:21" x14ac:dyDescent="0.35">
      <c r="A2603" s="108">
        <v>1926</v>
      </c>
      <c r="B2603" s="108">
        <v>2015</v>
      </c>
      <c r="C2603" s="108" t="s">
        <v>38</v>
      </c>
      <c r="D2603" s="108" t="s">
        <v>143</v>
      </c>
      <c r="E2603" s="108" t="s">
        <v>10</v>
      </c>
      <c r="F2603" s="116">
        <v>844</v>
      </c>
      <c r="G2603" s="108" t="s">
        <v>62</v>
      </c>
      <c r="H2603" s="108" t="str">
        <f t="shared" si="204"/>
        <v>Skykomish River</v>
      </c>
      <c r="I2603" s="108" t="str">
        <f>IFERROR(VLOOKUP(H2603,LUTs!$A$1:$C$73,2,FALSE),"NA")</f>
        <v>Snohomish</v>
      </c>
      <c r="J2603" s="108" t="str">
        <f>IFERROR(VLOOKUP(H2603,LUTs!$A$1:$C$73,3,FALSE),"NA")</f>
        <v>2Central Puget Sound</v>
      </c>
      <c r="K2603" s="108" t="s">
        <v>21</v>
      </c>
      <c r="L2603" s="108" t="str">
        <f>VLOOKUP(K2603,LUTs!E$2:G$14,3,)</f>
        <v>08Thurston</v>
      </c>
      <c r="M2603" s="108" t="str">
        <f>VLOOKUP($K2603,LUTs!$E$2:$H$14,2,)</f>
        <v>South Puget Sound</v>
      </c>
      <c r="N2603" s="108" t="str">
        <f>VLOOKUP($K2603,LUTs!$E$2:$H$14,4,)</f>
        <v>02South Puget Sound</v>
      </c>
      <c r="O2603" s="108">
        <v>35.533707865168502</v>
      </c>
      <c r="P2603" s="108">
        <v>122.23595505618</v>
      </c>
      <c r="Q2603" s="108">
        <f>SUMIFS('FW_Salmon_by_Month_2010-2021'!P$2:P$3810,'FW_Salmon_by_Month_2010-2021'!$B$2:$B$3810,'Rec_raw_catch_effort_2010-2021'!$B2603,'FW_Salmon_by_Month_2010-2021'!$H$2:$H$3810,'Rec_raw_catch_effort_2010-2021'!$F2603,'FW_Salmon_by_Month_2010-2021'!$M$2:$M$3810,'Rec_raw_catch_effort_2010-2021'!$K2603)</f>
        <v>35.733333333333299</v>
      </c>
      <c r="R2603" s="109">
        <f>VLOOKUP(B2603,Readme!$A$62:$C$74,2,)*Q2603</f>
        <v>126.46171171489152</v>
      </c>
      <c r="S2603" s="140" t="str">
        <f t="shared" si="201"/>
        <v>Y</v>
      </c>
      <c r="T2603" s="154">
        <f t="shared" si="202"/>
        <v>3.4400000000000102</v>
      </c>
      <c r="U2603" s="154">
        <f t="shared" si="203"/>
        <v>3.5390404397824153</v>
      </c>
    </row>
    <row r="2604" spans="1:21" x14ac:dyDescent="0.35">
      <c r="A2604" s="108">
        <v>1764</v>
      </c>
      <c r="B2604" s="108">
        <v>2015</v>
      </c>
      <c r="C2604" s="108" t="s">
        <v>38</v>
      </c>
      <c r="D2604" s="108" t="s">
        <v>143</v>
      </c>
      <c r="E2604" s="108" t="s">
        <v>10</v>
      </c>
      <c r="F2604" s="116">
        <v>844</v>
      </c>
      <c r="G2604" s="108" t="s">
        <v>62</v>
      </c>
      <c r="H2604" s="108" t="str">
        <f t="shared" si="204"/>
        <v>Skykomish River</v>
      </c>
      <c r="I2604" s="108" t="str">
        <f>IFERROR(VLOOKUP(H2604,LUTs!$A$1:$C$73,2,FALSE),"NA")</f>
        <v>Snohomish</v>
      </c>
      <c r="J2604" s="108" t="str">
        <f>IFERROR(VLOOKUP(H2604,LUTs!$A$1:$C$73,3,FALSE),"NA")</f>
        <v>2Central Puget Sound</v>
      </c>
      <c r="K2604" s="108" t="s">
        <v>13</v>
      </c>
      <c r="L2604" s="108" t="str">
        <f>VLOOKUP(K2604,LUTs!E$2:G$14,3,)</f>
        <v>01Whatcom</v>
      </c>
      <c r="M2604" s="108" t="str">
        <f>VLOOKUP($K2604,LUTs!$E$2:$H$14,2,)</f>
        <v>North Puget Sound</v>
      </c>
      <c r="N2604" s="108" t="str">
        <f>VLOOKUP($K2604,LUTs!$E$2:$H$14,4,)</f>
        <v>01North Puget Sound</v>
      </c>
      <c r="O2604" s="108">
        <v>17.766853932584301</v>
      </c>
      <c r="P2604" s="108">
        <v>61.117977528090002</v>
      </c>
      <c r="Q2604" s="108">
        <f>SUMIFS('FW_Salmon_by_Month_2010-2021'!P$2:P$3810,'FW_Salmon_by_Month_2010-2021'!$B$2:$B$3810,'Rec_raw_catch_effort_2010-2021'!$B2604,'FW_Salmon_by_Month_2010-2021'!$H$2:$H$3810,'Rec_raw_catch_effort_2010-2021'!$F2604,'FW_Salmon_by_Month_2010-2021'!$M$2:$M$3810,'Rec_raw_catch_effort_2010-2021'!$K2604)</f>
        <v>17.857885615251298</v>
      </c>
      <c r="R2604" s="109">
        <f>VLOOKUP(B2604,Readme!$A$62:$C$74,2,)*Q2604</f>
        <v>63.199779361383023</v>
      </c>
      <c r="S2604" s="140" t="str">
        <f t="shared" si="201"/>
        <v>Y</v>
      </c>
      <c r="T2604" s="154">
        <f t="shared" si="202"/>
        <v>3.4400000000000004</v>
      </c>
      <c r="U2604" s="154">
        <f t="shared" si="203"/>
        <v>3.5390404397824153</v>
      </c>
    </row>
    <row r="2605" spans="1:21" x14ac:dyDescent="0.35">
      <c r="A2605" s="108">
        <v>2218</v>
      </c>
      <c r="B2605" s="108">
        <v>2016</v>
      </c>
      <c r="C2605" s="108" t="s">
        <v>38</v>
      </c>
      <c r="D2605" s="108" t="s">
        <v>143</v>
      </c>
      <c r="E2605" s="108" t="s">
        <v>10</v>
      </c>
      <c r="F2605" s="116">
        <v>844</v>
      </c>
      <c r="G2605" s="108" t="s">
        <v>62</v>
      </c>
      <c r="H2605" s="108" t="str">
        <f t="shared" si="204"/>
        <v>Skykomish River</v>
      </c>
      <c r="I2605" s="108" t="str">
        <f>IFERROR(VLOOKUP(H2605,LUTs!$A$1:$C$73,2,FALSE),"NA")</f>
        <v>Snohomish</v>
      </c>
      <c r="J2605" s="108" t="str">
        <f>IFERROR(VLOOKUP(H2605,LUTs!$A$1:$C$73,3,FALSE),"NA")</f>
        <v>2Central Puget Sound</v>
      </c>
      <c r="K2605" s="108" t="s">
        <v>25</v>
      </c>
      <c r="L2605" s="108" t="str">
        <f>VLOOKUP(K2605,LUTs!E$2:G$14,3,)</f>
        <v>12Jefferson</v>
      </c>
      <c r="M2605" s="108" t="str">
        <f>VLOOKUP($K2605,LUTs!$E$2:$H$14,2,)</f>
        <v>Strait of Juan de Fuca</v>
      </c>
      <c r="N2605" s="108" t="str">
        <f>VLOOKUP($K2605,LUTs!$E$2:$H$14,4,)</f>
        <v>03Strait of Juan de Fuca</v>
      </c>
      <c r="O2605" s="108">
        <v>22.862745098039198</v>
      </c>
      <c r="P2605" s="108">
        <v>197.76274509803901</v>
      </c>
      <c r="Q2605" s="108">
        <f>SUMIFS('FW_Salmon_by_Month_2010-2021'!P$2:P$3810,'FW_Salmon_by_Month_2010-2021'!$B$2:$B$3810,'Rec_raw_catch_effort_2010-2021'!$B2605,'FW_Salmon_by_Month_2010-2021'!$H$2:$H$3810,'Rec_raw_catch_effort_2010-2021'!$F2605,'FW_Salmon_by_Month_2010-2021'!$M$2:$M$3810,'Rec_raw_catch_effort_2010-2021'!$K2605)</f>
        <v>28.1911764705882</v>
      </c>
      <c r="R2605" s="109">
        <f>VLOOKUP(B2605,Readme!$A$62:$C$74,2,)*Q2605</f>
        <v>135.86892281154425</v>
      </c>
      <c r="S2605" s="140" t="str">
        <f t="shared" si="201"/>
        <v>Y</v>
      </c>
      <c r="T2605" s="154">
        <f t="shared" si="202"/>
        <v>8.6499999999999968</v>
      </c>
      <c r="U2605" s="154">
        <f t="shared" si="203"/>
        <v>4.8195549041132084</v>
      </c>
    </row>
    <row r="2606" spans="1:21" x14ac:dyDescent="0.35">
      <c r="A2606" s="108">
        <v>2216</v>
      </c>
      <c r="B2606" s="108">
        <v>2016</v>
      </c>
      <c r="C2606" s="108" t="s">
        <v>38</v>
      </c>
      <c r="D2606" s="108" t="s">
        <v>143</v>
      </c>
      <c r="E2606" s="108" t="s">
        <v>10</v>
      </c>
      <c r="F2606" s="116">
        <v>844</v>
      </c>
      <c r="G2606" s="108" t="s">
        <v>62</v>
      </c>
      <c r="H2606" s="108" t="str">
        <f t="shared" si="204"/>
        <v>Skykomish River</v>
      </c>
      <c r="I2606" s="108" t="str">
        <f>IFERROR(VLOOKUP(H2606,LUTs!$A$1:$C$73,2,FALSE),"NA")</f>
        <v>Snohomish</v>
      </c>
      <c r="J2606" s="108" t="str">
        <f>IFERROR(VLOOKUP(H2606,LUTs!$A$1:$C$73,3,FALSE),"NA")</f>
        <v>2Central Puget Sound</v>
      </c>
      <c r="K2606" s="108" t="s">
        <v>18</v>
      </c>
      <c r="L2606" s="108" t="str">
        <f>VLOOKUP(K2606,LUTs!E$2:G$14,3,)</f>
        <v>06King</v>
      </c>
      <c r="M2606" s="108" t="str">
        <f>VLOOKUP($K2606,LUTs!$E$2:$H$14,2,)</f>
        <v>South Puget Sound</v>
      </c>
      <c r="N2606" s="108" t="str">
        <f>VLOOKUP($K2606,LUTs!$E$2:$H$14,4,)</f>
        <v>02South Puget Sound</v>
      </c>
      <c r="O2606" s="108">
        <v>480.11764705882399</v>
      </c>
      <c r="P2606" s="108">
        <v>4153.0176470588303</v>
      </c>
      <c r="Q2606" s="108">
        <f>SUMIFS('FW_Salmon_by_Month_2010-2021'!P$2:P$3810,'FW_Salmon_by_Month_2010-2021'!$B$2:$B$3810,'Rec_raw_catch_effort_2010-2021'!$B2606,'FW_Salmon_by_Month_2010-2021'!$H$2:$H$3810,'Rec_raw_catch_effort_2010-2021'!$F2606,'FW_Salmon_by_Month_2010-2021'!$M$2:$M$3810,'Rec_raw_catch_effort_2010-2021'!$K2606)</f>
        <v>532.42112299465271</v>
      </c>
      <c r="R2606" s="109">
        <f>VLOOKUP(B2606,Readme!$A$62:$C$74,2,)*Q2606</f>
        <v>2566.0328343823403</v>
      </c>
      <c r="S2606" s="140" t="str">
        <f t="shared" si="201"/>
        <v>Y</v>
      </c>
      <c r="T2606" s="154">
        <f t="shared" si="202"/>
        <v>8.6500000000000057</v>
      </c>
      <c r="U2606" s="154">
        <f t="shared" si="203"/>
        <v>4.8195549041132084</v>
      </c>
    </row>
    <row r="2607" spans="1:21" x14ac:dyDescent="0.35">
      <c r="A2607" s="108">
        <v>2219</v>
      </c>
      <c r="B2607" s="108">
        <v>2016</v>
      </c>
      <c r="C2607" s="108" t="s">
        <v>38</v>
      </c>
      <c r="D2607" s="108" t="s">
        <v>143</v>
      </c>
      <c r="E2607" s="108" t="s">
        <v>10</v>
      </c>
      <c r="F2607" s="116">
        <v>844</v>
      </c>
      <c r="G2607" s="108" t="s">
        <v>62</v>
      </c>
      <c r="H2607" s="108" t="str">
        <f t="shared" si="204"/>
        <v>Skykomish River</v>
      </c>
      <c r="I2607" s="108" t="str">
        <f>IFERROR(VLOOKUP(H2607,LUTs!$A$1:$C$73,2,FALSE),"NA")</f>
        <v>Snohomish</v>
      </c>
      <c r="J2607" s="108" t="str">
        <f>IFERROR(VLOOKUP(H2607,LUTs!$A$1:$C$73,3,FALSE),"NA")</f>
        <v>2Central Puget Sound</v>
      </c>
      <c r="K2607" s="108" t="s">
        <v>26</v>
      </c>
      <c r="L2607" s="108" t="str">
        <f>VLOOKUP(K2607,LUTs!E$2:G$14,3,)</f>
        <v>20Other</v>
      </c>
      <c r="M2607" s="108" t="str">
        <f>VLOOKUP($K2607,LUTs!$E$2:$H$14,2,)</f>
        <v>Non Puget Sound</v>
      </c>
      <c r="N2607" s="108" t="str">
        <f>VLOOKUP($K2607,LUTs!$E$2:$H$14,4,)</f>
        <v>07Non Puget Sound</v>
      </c>
      <c r="O2607" s="108">
        <v>68.588235294117695</v>
      </c>
      <c r="P2607" s="108">
        <v>593.28823529411795</v>
      </c>
      <c r="Q2607" s="108">
        <f>SUMIFS('FW_Salmon_by_Month_2010-2021'!P$2:P$3810,'FW_Salmon_by_Month_2010-2021'!$B$2:$B$3810,'Rec_raw_catch_effort_2010-2021'!$B2607,'FW_Salmon_by_Month_2010-2021'!$H$2:$H$3810,'Rec_raw_catch_effort_2010-2021'!$F2607,'FW_Salmon_by_Month_2010-2021'!$M$2:$M$3810,'Rec_raw_catch_effort_2010-2021'!$K2607)</f>
        <v>72.645989304812872</v>
      </c>
      <c r="R2607" s="109">
        <f>VLOOKUP(B2607,Readme!$A$62:$C$74,2,)*Q2607</f>
        <v>350.12133401816658</v>
      </c>
      <c r="S2607" s="140" t="str">
        <f t="shared" si="201"/>
        <v>Y</v>
      </c>
      <c r="T2607" s="154">
        <f t="shared" si="202"/>
        <v>8.6499999999999986</v>
      </c>
      <c r="U2607" s="154">
        <f t="shared" si="203"/>
        <v>4.8195549041132084</v>
      </c>
    </row>
    <row r="2608" spans="1:21" x14ac:dyDescent="0.35">
      <c r="A2608" s="108">
        <v>2217</v>
      </c>
      <c r="B2608" s="108">
        <v>2016</v>
      </c>
      <c r="C2608" s="108" t="s">
        <v>38</v>
      </c>
      <c r="D2608" s="108" t="s">
        <v>143</v>
      </c>
      <c r="E2608" s="108" t="s">
        <v>10</v>
      </c>
      <c r="F2608" s="116">
        <v>844</v>
      </c>
      <c r="G2608" s="108" t="s">
        <v>62</v>
      </c>
      <c r="H2608" s="108" t="str">
        <f t="shared" si="204"/>
        <v>Skykomish River</v>
      </c>
      <c r="I2608" s="108" t="str">
        <f>IFERROR(VLOOKUP(H2608,LUTs!$A$1:$C$73,2,FALSE),"NA")</f>
        <v>Snohomish</v>
      </c>
      <c r="J2608" s="108" t="str">
        <f>IFERROR(VLOOKUP(H2608,LUTs!$A$1:$C$73,3,FALSE),"NA")</f>
        <v>2Central Puget Sound</v>
      </c>
      <c r="K2608" s="108" t="s">
        <v>20</v>
      </c>
      <c r="L2608" s="108" t="str">
        <f>VLOOKUP(K2608,LUTs!E$2:G$14,3,)</f>
        <v>07Pierce</v>
      </c>
      <c r="M2608" s="108" t="str">
        <f>VLOOKUP($K2608,LUTs!$E$2:$H$14,2,)</f>
        <v>South Puget Sound</v>
      </c>
      <c r="N2608" s="108" t="str">
        <f>VLOOKUP($K2608,LUTs!$E$2:$H$14,4,)</f>
        <v>02South Puget Sound</v>
      </c>
      <c r="O2608" s="108">
        <v>30.483660130718999</v>
      </c>
      <c r="P2608" s="108">
        <v>263.68366013071898</v>
      </c>
      <c r="Q2608" s="108">
        <f>SUMIFS('FW_Salmon_by_Month_2010-2021'!P$2:P$3810,'FW_Salmon_by_Month_2010-2021'!$B$2:$B$3810,'Rec_raw_catch_effort_2010-2021'!$B2608,'FW_Salmon_by_Month_2010-2021'!$H$2:$H$3810,'Rec_raw_catch_effort_2010-2021'!$F2608,'FW_Salmon_by_Month_2010-2021'!$M$2:$M$3810,'Rec_raw_catch_effort_2010-2021'!$K2608)</f>
        <v>31.62299465240638</v>
      </c>
      <c r="R2608" s="109">
        <f>VLOOKUP(B2608,Readme!$A$62:$C$74,2,)*Q2608</f>
        <v>152.40875895975094</v>
      </c>
      <c r="S2608" s="140" t="str">
        <f t="shared" si="201"/>
        <v>Y</v>
      </c>
      <c r="T2608" s="154">
        <f t="shared" si="202"/>
        <v>8.6499999999999879</v>
      </c>
      <c r="U2608" s="154">
        <f t="shared" si="203"/>
        <v>4.8195549041132084</v>
      </c>
    </row>
    <row r="2609" spans="1:21" x14ac:dyDescent="0.35">
      <c r="A2609" s="108">
        <v>2214</v>
      </c>
      <c r="B2609" s="108">
        <v>2016</v>
      </c>
      <c r="C2609" s="108" t="s">
        <v>38</v>
      </c>
      <c r="D2609" s="108" t="s">
        <v>143</v>
      </c>
      <c r="E2609" s="108" t="s">
        <v>10</v>
      </c>
      <c r="F2609" s="116">
        <v>844</v>
      </c>
      <c r="G2609" s="108" t="s">
        <v>62</v>
      </c>
      <c r="H2609" s="108" t="str">
        <f t="shared" si="204"/>
        <v>Skykomish River</v>
      </c>
      <c r="I2609" s="108" t="str">
        <f>IFERROR(VLOOKUP(H2609,LUTs!$A$1:$C$73,2,FALSE),"NA")</f>
        <v>Snohomish</v>
      </c>
      <c r="J2609" s="108" t="str">
        <f>IFERROR(VLOOKUP(H2609,LUTs!$A$1:$C$73,3,FALSE),"NA")</f>
        <v>2Central Puget Sound</v>
      </c>
      <c r="K2609" s="108" t="s">
        <v>15</v>
      </c>
      <c r="L2609" s="108" t="str">
        <f>VLOOKUP(K2609,LUTs!E$2:G$14,3,)</f>
        <v>02Skagit</v>
      </c>
      <c r="M2609" s="108" t="str">
        <f>VLOOKUP($K2609,LUTs!$E$2:$H$14,2,)</f>
        <v>North Puget Sound</v>
      </c>
      <c r="N2609" s="108" t="str">
        <f>VLOOKUP($K2609,LUTs!$E$2:$H$14,4,)</f>
        <v>01North Puget Sound</v>
      </c>
      <c r="O2609" s="108">
        <v>7.6209150326797399</v>
      </c>
      <c r="P2609" s="108">
        <v>65.920915032679801</v>
      </c>
      <c r="Q2609" s="108">
        <f>SUMIFS('FW_Salmon_by_Month_2010-2021'!P$2:P$3810,'FW_Salmon_by_Month_2010-2021'!$B$2:$B$3810,'Rec_raw_catch_effort_2010-2021'!$B2609,'FW_Salmon_by_Month_2010-2021'!$H$2:$H$3810,'Rec_raw_catch_effort_2010-2021'!$F2609,'FW_Salmon_by_Month_2010-2021'!$M$2:$M$3810,'Rec_raw_catch_effort_2010-2021'!$K2609)</f>
        <v>3.4318181818181799</v>
      </c>
      <c r="R2609" s="109">
        <f>VLOOKUP(B2609,Readme!$A$62:$C$74,2,)*Q2609</f>
        <v>16.539836148206682</v>
      </c>
      <c r="S2609" s="140" t="str">
        <f t="shared" si="201"/>
        <v>Y</v>
      </c>
      <c r="T2609" s="154">
        <f t="shared" si="202"/>
        <v>8.6500000000000075</v>
      </c>
      <c r="U2609" s="154">
        <f t="shared" si="203"/>
        <v>4.8195549041132084</v>
      </c>
    </row>
    <row r="2610" spans="1:21" x14ac:dyDescent="0.35">
      <c r="A2610" s="108">
        <v>2215</v>
      </c>
      <c r="B2610" s="108">
        <v>2016</v>
      </c>
      <c r="C2610" s="108" t="s">
        <v>38</v>
      </c>
      <c r="D2610" s="108" t="s">
        <v>143</v>
      </c>
      <c r="E2610" s="108" t="s">
        <v>10</v>
      </c>
      <c r="F2610" s="116">
        <v>844</v>
      </c>
      <c r="G2610" s="108" t="s">
        <v>62</v>
      </c>
      <c r="H2610" s="108" t="str">
        <f t="shared" si="204"/>
        <v>Skykomish River</v>
      </c>
      <c r="I2610" s="108" t="str">
        <f>IFERROR(VLOOKUP(H2610,LUTs!$A$1:$C$73,2,FALSE),"NA")</f>
        <v>Snohomish</v>
      </c>
      <c r="J2610" s="108" t="str">
        <f>IFERROR(VLOOKUP(H2610,LUTs!$A$1:$C$73,3,FALSE),"NA")</f>
        <v>2Central Puget Sound</v>
      </c>
      <c r="K2610" s="108" t="s">
        <v>16</v>
      </c>
      <c r="L2610" s="108" t="str">
        <f>VLOOKUP(K2610,LUTs!E$2:G$14,3,)</f>
        <v>03Snohomish</v>
      </c>
      <c r="M2610" s="108" t="str">
        <f>VLOOKUP($K2610,LUTs!$E$2:$H$14,2,)</f>
        <v>North Puget Sound</v>
      </c>
      <c r="N2610" s="108" t="str">
        <f>VLOOKUP($K2610,LUTs!$E$2:$H$14,4,)</f>
        <v>01North Puget Sound</v>
      </c>
      <c r="O2610" s="108">
        <v>556.32679738562103</v>
      </c>
      <c r="P2610" s="108">
        <v>4812.2267973856196</v>
      </c>
      <c r="Q2610" s="108">
        <f>SUMIFS('FW_Salmon_by_Month_2010-2021'!P$2:P$3810,'FW_Salmon_by_Month_2010-2021'!$B$2:$B$3810,'Rec_raw_catch_effort_2010-2021'!$B2610,'FW_Salmon_by_Month_2010-2021'!$H$2:$H$3810,'Rec_raw_catch_effort_2010-2021'!$F2610,'FW_Salmon_by_Month_2010-2021'!$M$2:$M$3810,'Rec_raw_catch_effort_2010-2021'!$K2610)</f>
        <v>497.68689839572198</v>
      </c>
      <c r="R2610" s="109">
        <f>VLOOKUP(B2610,Readme!$A$62:$C$74,2,)*Q2610</f>
        <v>2398.629331875994</v>
      </c>
      <c r="S2610" s="140" t="str">
        <f t="shared" si="201"/>
        <v>Y</v>
      </c>
      <c r="T2610" s="154">
        <f t="shared" si="202"/>
        <v>8.649999999999995</v>
      </c>
      <c r="U2610" s="154">
        <f t="shared" si="203"/>
        <v>4.8195549041132084</v>
      </c>
    </row>
    <row r="2611" spans="1:21" x14ac:dyDescent="0.35">
      <c r="A2611" s="108">
        <v>2333</v>
      </c>
      <c r="B2611" s="108">
        <v>2017</v>
      </c>
      <c r="C2611" s="108" t="s">
        <v>38</v>
      </c>
      <c r="D2611" s="108" t="s">
        <v>143</v>
      </c>
      <c r="E2611" s="108" t="s">
        <v>10</v>
      </c>
      <c r="F2611" s="116">
        <v>844</v>
      </c>
      <c r="G2611" s="108" t="s">
        <v>62</v>
      </c>
      <c r="H2611" s="108" t="str">
        <f t="shared" si="204"/>
        <v>Skykomish River</v>
      </c>
      <c r="I2611" s="108" t="str">
        <f>IFERROR(VLOOKUP(H2611,LUTs!$A$1:$C$73,2,FALSE),"NA")</f>
        <v>Snohomish</v>
      </c>
      <c r="J2611" s="108" t="str">
        <f>IFERROR(VLOOKUP(H2611,LUTs!$A$1:$C$73,3,FALSE),"NA")</f>
        <v>2Central Puget Sound</v>
      </c>
      <c r="K2611" s="108" t="s">
        <v>17</v>
      </c>
      <c r="L2611" s="108" t="str">
        <f>VLOOKUP(K2611,LUTs!E$2:G$14,3,)</f>
        <v>04Island</v>
      </c>
      <c r="M2611" s="108" t="str">
        <f>VLOOKUP($K2611,LUTs!$E$2:$H$14,2,)</f>
        <v>North Puget Sound</v>
      </c>
      <c r="N2611" s="108" t="str">
        <f>VLOOKUP($K2611,LUTs!$E$2:$H$14,4,)</f>
        <v>01North Puget Sound</v>
      </c>
      <c r="O2611" s="108">
        <v>39.191637630662001</v>
      </c>
      <c r="P2611" s="108">
        <v>134.819233449477</v>
      </c>
      <c r="Q2611" s="108">
        <f>SUMIFS('FW_Salmon_by_Month_2010-2021'!P$2:P$3810,'FW_Salmon_by_Month_2010-2021'!$B$2:$B$3810,'Rec_raw_catch_effort_2010-2021'!$B2611,'FW_Salmon_by_Month_2010-2021'!$H$2:$H$3810,'Rec_raw_catch_effort_2010-2021'!$F2611,'FW_Salmon_by_Month_2010-2021'!$M$2:$M$3810,'Rec_raw_catch_effort_2010-2021'!$K2611)</f>
        <v>39.348593852190902</v>
      </c>
      <c r="R2611" s="109">
        <f>VLOOKUP(B2611,Readme!$A$62:$C$74,2,)*Q2611</f>
        <v>139.25626489147734</v>
      </c>
      <c r="S2611" s="140" t="str">
        <f t="shared" si="201"/>
        <v>Y</v>
      </c>
      <c r="T2611" s="154">
        <f t="shared" si="202"/>
        <v>3.4399999999999928</v>
      </c>
      <c r="U2611" s="154">
        <f t="shared" si="203"/>
        <v>3.5390404397824158</v>
      </c>
    </row>
    <row r="2612" spans="1:21" x14ac:dyDescent="0.35">
      <c r="A2612" s="108">
        <v>2335</v>
      </c>
      <c r="B2612" s="108">
        <v>2017</v>
      </c>
      <c r="C2612" s="108" t="s">
        <v>38</v>
      </c>
      <c r="D2612" s="108" t="s">
        <v>143</v>
      </c>
      <c r="E2612" s="108" t="s">
        <v>10</v>
      </c>
      <c r="F2612" s="116">
        <v>844</v>
      </c>
      <c r="G2612" s="108" t="s">
        <v>62</v>
      </c>
      <c r="H2612" s="108" t="str">
        <f t="shared" si="204"/>
        <v>Skykomish River</v>
      </c>
      <c r="I2612" s="108" t="str">
        <f>IFERROR(VLOOKUP(H2612,LUTs!$A$1:$C$73,2,FALSE),"NA")</f>
        <v>Snohomish</v>
      </c>
      <c r="J2612" s="108" t="str">
        <f>IFERROR(VLOOKUP(H2612,LUTs!$A$1:$C$73,3,FALSE),"NA")</f>
        <v>2Central Puget Sound</v>
      </c>
      <c r="K2612" s="108" t="s">
        <v>18</v>
      </c>
      <c r="L2612" s="108" t="str">
        <f>VLOOKUP(K2612,LUTs!E$2:G$14,3,)</f>
        <v>06King</v>
      </c>
      <c r="M2612" s="108" t="str">
        <f>VLOOKUP($K2612,LUTs!$E$2:$H$14,2,)</f>
        <v>South Puget Sound</v>
      </c>
      <c r="N2612" s="108" t="str">
        <f>VLOOKUP($K2612,LUTs!$E$2:$H$14,4,)</f>
        <v>02South Puget Sound</v>
      </c>
      <c r="O2612" s="108">
        <v>1048.37630662021</v>
      </c>
      <c r="P2612" s="108">
        <v>3606.4144947735199</v>
      </c>
      <c r="Q2612" s="108">
        <f>SUMIFS('FW_Salmon_by_Month_2010-2021'!P$2:P$3810,'FW_Salmon_by_Month_2010-2021'!$B$2:$B$3810,'Rec_raw_catch_effort_2010-2021'!$B2612,'FW_Salmon_by_Month_2010-2021'!$H$2:$H$3810,'Rec_raw_catch_effort_2010-2021'!$F2612,'FW_Salmon_by_Month_2010-2021'!$M$2:$M$3810,'Rec_raw_catch_effort_2010-2021'!$K2612)</f>
        <v>1056.0206212080511</v>
      </c>
      <c r="R2612" s="109">
        <f>VLOOKUP(B2612,Readme!$A$62:$C$74,2,)*Q2612</f>
        <v>3737.2996836994407</v>
      </c>
      <c r="S2612" s="140" t="str">
        <f t="shared" si="201"/>
        <v>Y</v>
      </c>
      <c r="T2612" s="154">
        <f t="shared" si="202"/>
        <v>3.4399999999999977</v>
      </c>
      <c r="U2612" s="154">
        <f t="shared" si="203"/>
        <v>3.5390404397824153</v>
      </c>
    </row>
    <row r="2613" spans="1:21" x14ac:dyDescent="0.35">
      <c r="A2613" s="108">
        <v>2435</v>
      </c>
      <c r="B2613" s="108">
        <v>2017</v>
      </c>
      <c r="C2613" s="108" t="s">
        <v>38</v>
      </c>
      <c r="D2613" s="108" t="s">
        <v>143</v>
      </c>
      <c r="E2613" s="108" t="s">
        <v>10</v>
      </c>
      <c r="F2613" s="116">
        <v>844</v>
      </c>
      <c r="G2613" s="108" t="s">
        <v>62</v>
      </c>
      <c r="H2613" s="108" t="str">
        <f t="shared" si="204"/>
        <v>Skykomish River</v>
      </c>
      <c r="I2613" s="108" t="str">
        <f>IFERROR(VLOOKUP(H2613,LUTs!$A$1:$C$73,2,FALSE),"NA")</f>
        <v>Snohomish</v>
      </c>
      <c r="J2613" s="108" t="str">
        <f>IFERROR(VLOOKUP(H2613,LUTs!$A$1:$C$73,3,FALSE),"NA")</f>
        <v>2Central Puget Sound</v>
      </c>
      <c r="K2613" s="108" t="s">
        <v>23</v>
      </c>
      <c r="L2613" s="108" t="str">
        <f>VLOOKUP(K2613,LUTs!E$2:G$14,3,)</f>
        <v>10Kitsap</v>
      </c>
      <c r="M2613" s="108" t="str">
        <f>VLOOKUP($K2613,LUTs!$E$2:$H$14,2,)</f>
        <v>South Puget Sound</v>
      </c>
      <c r="N2613" s="108" t="str">
        <f>VLOOKUP($K2613,LUTs!$E$2:$H$14,4,)</f>
        <v>02South Puget Sound</v>
      </c>
      <c r="O2613" s="108">
        <v>9.7979094076655109</v>
      </c>
      <c r="P2613" s="108">
        <v>33.704808362369398</v>
      </c>
      <c r="Q2613" s="108">
        <f>SUMIFS('FW_Salmon_by_Month_2010-2021'!P$2:P$3810,'FW_Salmon_by_Month_2010-2021'!$B$2:$B$3810,'Rec_raw_catch_effort_2010-2021'!$B2613,'FW_Salmon_by_Month_2010-2021'!$H$2:$H$3810,'Rec_raw_catch_effort_2010-2021'!$F2613,'FW_Salmon_by_Month_2010-2021'!$M$2:$M$3810,'Rec_raw_catch_effort_2010-2021'!$K2613)</f>
        <v>9.8181818181818201</v>
      </c>
      <c r="R2613" s="109">
        <f>VLOOKUP(B2613,Readme!$A$62:$C$74,2,)*Q2613</f>
        <v>34.7469424996819</v>
      </c>
      <c r="S2613" s="140" t="str">
        <f t="shared" si="201"/>
        <v>Y</v>
      </c>
      <c r="T2613" s="154">
        <f t="shared" si="202"/>
        <v>3.4400000000000044</v>
      </c>
      <c r="U2613" s="154">
        <f t="shared" si="203"/>
        <v>3.5390404397824149</v>
      </c>
    </row>
    <row r="2614" spans="1:21" x14ac:dyDescent="0.35">
      <c r="A2614" s="108">
        <v>2436</v>
      </c>
      <c r="B2614" s="108">
        <v>2017</v>
      </c>
      <c r="C2614" s="108" t="s">
        <v>38</v>
      </c>
      <c r="D2614" s="108" t="s">
        <v>143</v>
      </c>
      <c r="E2614" s="108" t="s">
        <v>10</v>
      </c>
      <c r="F2614" s="116">
        <v>844</v>
      </c>
      <c r="G2614" s="108" t="s">
        <v>62</v>
      </c>
      <c r="H2614" s="108" t="str">
        <f t="shared" si="204"/>
        <v>Skykomish River</v>
      </c>
      <c r="I2614" s="108" t="str">
        <f>IFERROR(VLOOKUP(H2614,LUTs!$A$1:$C$73,2,FALSE),"NA")</f>
        <v>Snohomish</v>
      </c>
      <c r="J2614" s="108" t="str">
        <f>IFERROR(VLOOKUP(H2614,LUTs!$A$1:$C$73,3,FALSE),"NA")</f>
        <v>2Central Puget Sound</v>
      </c>
      <c r="K2614" s="108" t="s">
        <v>26</v>
      </c>
      <c r="L2614" s="108" t="str">
        <f>VLOOKUP(K2614,LUTs!E$2:G$14,3,)</f>
        <v>20Other</v>
      </c>
      <c r="M2614" s="108" t="str">
        <f>VLOOKUP($K2614,LUTs!$E$2:$H$14,2,)</f>
        <v>Non Puget Sound</v>
      </c>
      <c r="N2614" s="108" t="str">
        <f>VLOOKUP($K2614,LUTs!$E$2:$H$14,4,)</f>
        <v>07Non Puget Sound</v>
      </c>
      <c r="O2614" s="108">
        <v>137.170731707317</v>
      </c>
      <c r="P2614" s="108">
        <v>471.86731707317102</v>
      </c>
      <c r="Q2614" s="108">
        <f>SUMIFS('FW_Salmon_by_Month_2010-2021'!P$2:P$3810,'FW_Salmon_by_Month_2010-2021'!$B$2:$B$3810,'Rec_raw_catch_effort_2010-2021'!$B2614,'FW_Salmon_by_Month_2010-2021'!$H$2:$H$3810,'Rec_raw_catch_effort_2010-2021'!$F2614,'FW_Salmon_by_Month_2010-2021'!$M$2:$M$3810,'Rec_raw_catch_effort_2010-2021'!$K2614)</f>
        <v>137.6967684593584</v>
      </c>
      <c r="R2614" s="109">
        <f>VLOOKUP(B2614,Readme!$A$62:$C$74,2,)*Q2614</f>
        <v>487.31443200502514</v>
      </c>
      <c r="S2614" s="140" t="str">
        <f t="shared" si="201"/>
        <v>Y</v>
      </c>
      <c r="T2614" s="154">
        <f t="shared" si="202"/>
        <v>3.4400000000000039</v>
      </c>
      <c r="U2614" s="154">
        <f t="shared" si="203"/>
        <v>3.5390404397824153</v>
      </c>
    </row>
    <row r="2615" spans="1:21" x14ac:dyDescent="0.35">
      <c r="A2615" s="108">
        <v>2433</v>
      </c>
      <c r="B2615" s="108">
        <v>2017</v>
      </c>
      <c r="C2615" s="108" t="s">
        <v>38</v>
      </c>
      <c r="D2615" s="108" t="s">
        <v>143</v>
      </c>
      <c r="E2615" s="108" t="s">
        <v>10</v>
      </c>
      <c r="F2615" s="116">
        <v>844</v>
      </c>
      <c r="G2615" s="108" t="s">
        <v>62</v>
      </c>
      <c r="H2615" s="108" t="str">
        <f t="shared" si="204"/>
        <v>Skykomish River</v>
      </c>
      <c r="I2615" s="108" t="str">
        <f>IFERROR(VLOOKUP(H2615,LUTs!$A$1:$C$73,2,FALSE),"NA")</f>
        <v>Snohomish</v>
      </c>
      <c r="J2615" s="108" t="str">
        <f>IFERROR(VLOOKUP(H2615,LUTs!$A$1:$C$73,3,FALSE),"NA")</f>
        <v>2Central Puget Sound</v>
      </c>
      <c r="K2615" s="108" t="s">
        <v>20</v>
      </c>
      <c r="L2615" s="108" t="str">
        <f>VLOOKUP(K2615,LUTs!E$2:G$14,3,)</f>
        <v>07Pierce</v>
      </c>
      <c r="M2615" s="108" t="str">
        <f>VLOOKUP($K2615,LUTs!$E$2:$H$14,2,)</f>
        <v>South Puget Sound</v>
      </c>
      <c r="N2615" s="108" t="str">
        <f>VLOOKUP($K2615,LUTs!$E$2:$H$14,4,)</f>
        <v>02South Puget Sound</v>
      </c>
      <c r="O2615" s="108">
        <v>68.585365853658601</v>
      </c>
      <c r="P2615" s="108">
        <v>235.93365853658599</v>
      </c>
      <c r="Q2615" s="108">
        <f>SUMIFS('FW_Salmon_by_Month_2010-2021'!P$2:P$3810,'FW_Salmon_by_Month_2010-2021'!$B$2:$B$3810,'Rec_raw_catch_effort_2010-2021'!$B2615,'FW_Salmon_by_Month_2010-2021'!$H$2:$H$3810,'Rec_raw_catch_effort_2010-2021'!$F2615,'FW_Salmon_by_Month_2010-2021'!$M$2:$M$3810,'Rec_raw_catch_effort_2010-2021'!$K2615)</f>
        <v>69.712609970674492</v>
      </c>
      <c r="R2615" s="109">
        <f>VLOOKUP(B2615,Readme!$A$62:$C$74,2,)*Q2615</f>
        <v>246.71574584899585</v>
      </c>
      <c r="S2615" s="140" t="str">
        <f t="shared" si="201"/>
        <v>Y</v>
      </c>
      <c r="T2615" s="154">
        <f t="shared" si="202"/>
        <v>3.4400000000000057</v>
      </c>
      <c r="U2615" s="154">
        <f t="shared" si="203"/>
        <v>3.5390404397824153</v>
      </c>
    </row>
    <row r="2616" spans="1:21" x14ac:dyDescent="0.35">
      <c r="A2616" s="108">
        <v>2334</v>
      </c>
      <c r="B2616" s="108">
        <v>2017</v>
      </c>
      <c r="C2616" s="108" t="s">
        <v>38</v>
      </c>
      <c r="D2616" s="108" t="s">
        <v>143</v>
      </c>
      <c r="E2616" s="108" t="s">
        <v>10</v>
      </c>
      <c r="F2616" s="116">
        <v>844</v>
      </c>
      <c r="G2616" s="108" t="s">
        <v>62</v>
      </c>
      <c r="H2616" s="108" t="str">
        <f t="shared" si="204"/>
        <v>Skykomish River</v>
      </c>
      <c r="I2616" s="108" t="str">
        <f>IFERROR(VLOOKUP(H2616,LUTs!$A$1:$C$73,2,FALSE),"NA")</f>
        <v>Snohomish</v>
      </c>
      <c r="J2616" s="108" t="str">
        <f>IFERROR(VLOOKUP(H2616,LUTs!$A$1:$C$73,3,FALSE),"NA")</f>
        <v>2Central Puget Sound</v>
      </c>
      <c r="K2616" s="108" t="s">
        <v>30</v>
      </c>
      <c r="L2616" s="108" t="str">
        <f>VLOOKUP(K2616,LUTs!E$2:G$14,3,)</f>
        <v>05San Juan</v>
      </c>
      <c r="M2616" s="108" t="str">
        <f>VLOOKUP($K2616,LUTs!$E$2:$H$14,2,)</f>
        <v>North Puget Sound</v>
      </c>
      <c r="N2616" s="108" t="str">
        <f>VLOOKUP($K2616,LUTs!$E$2:$H$14,4,)</f>
        <v>01North Puget Sound</v>
      </c>
      <c r="O2616" s="108">
        <v>9.7979094076655109</v>
      </c>
      <c r="P2616" s="108">
        <v>33.704808362369398</v>
      </c>
      <c r="Q2616" s="108">
        <f>SUMIFS('FW_Salmon_by_Month_2010-2021'!P$2:P$3810,'FW_Salmon_by_Month_2010-2021'!$B$2:$B$3810,'Rec_raw_catch_effort_2010-2021'!$B2616,'FW_Salmon_by_Month_2010-2021'!$H$2:$H$3810,'Rec_raw_catch_effort_2010-2021'!$F2616,'FW_Salmon_by_Month_2010-2021'!$M$2:$M$3810,'Rec_raw_catch_effort_2010-2021'!$K2616)</f>
        <v>9.7948717948717992</v>
      </c>
      <c r="R2616" s="109">
        <f>VLOOKUP(B2616,Readme!$A$62:$C$74,2,)*Q2616</f>
        <v>34.664447384535471</v>
      </c>
      <c r="S2616" s="140" t="str">
        <f t="shared" si="201"/>
        <v>Y</v>
      </c>
      <c r="T2616" s="154">
        <f t="shared" si="202"/>
        <v>3.4400000000000044</v>
      </c>
      <c r="U2616" s="154">
        <f t="shared" si="203"/>
        <v>3.5390404397824158</v>
      </c>
    </row>
    <row r="2617" spans="1:21" x14ac:dyDescent="0.35">
      <c r="A2617" s="108">
        <v>2332</v>
      </c>
      <c r="B2617" s="108">
        <v>2017</v>
      </c>
      <c r="C2617" s="108" t="s">
        <v>38</v>
      </c>
      <c r="D2617" s="108" t="s">
        <v>143</v>
      </c>
      <c r="E2617" s="108" t="s">
        <v>10</v>
      </c>
      <c r="F2617" s="116">
        <v>844</v>
      </c>
      <c r="G2617" s="108" t="s">
        <v>62</v>
      </c>
      <c r="H2617" s="108" t="str">
        <f t="shared" si="204"/>
        <v>Skykomish River</v>
      </c>
      <c r="I2617" s="108" t="str">
        <f>IFERROR(VLOOKUP(H2617,LUTs!$A$1:$C$73,2,FALSE),"NA")</f>
        <v>Snohomish</v>
      </c>
      <c r="J2617" s="108" t="str">
        <f>IFERROR(VLOOKUP(H2617,LUTs!$A$1:$C$73,3,FALSE),"NA")</f>
        <v>2Central Puget Sound</v>
      </c>
      <c r="K2617" s="108" t="s">
        <v>16</v>
      </c>
      <c r="L2617" s="108" t="str">
        <f>VLOOKUP(K2617,LUTs!E$2:G$14,3,)</f>
        <v>03Snohomish</v>
      </c>
      <c r="M2617" s="108" t="str">
        <f>VLOOKUP($K2617,LUTs!$E$2:$H$14,2,)</f>
        <v>North Puget Sound</v>
      </c>
      <c r="N2617" s="108" t="str">
        <f>VLOOKUP($K2617,LUTs!$E$2:$H$14,4,)</f>
        <v>01North Puget Sound</v>
      </c>
      <c r="O2617" s="108">
        <v>1469.6864111498301</v>
      </c>
      <c r="P2617" s="108">
        <v>5055.7212543554197</v>
      </c>
      <c r="Q2617" s="108">
        <f>SUMIFS('FW_Salmon_by_Month_2010-2021'!P$2:P$3810,'FW_Salmon_by_Month_2010-2021'!$B$2:$B$3810,'Rec_raw_catch_effort_2010-2021'!$B2617,'FW_Salmon_by_Month_2010-2021'!$H$2:$H$3810,'Rec_raw_catch_effort_2010-2021'!$F2617,'FW_Salmon_by_Month_2010-2021'!$M$2:$M$3810,'Rec_raw_catch_effort_2010-2021'!$K2617)</f>
        <v>1460.0424641442594</v>
      </c>
      <c r="R2617" s="109">
        <f>VLOOKUP(B2617,Readme!$A$62:$C$74,2,)*Q2617</f>
        <v>5167.1493244061012</v>
      </c>
      <c r="S2617" s="140" t="str">
        <f t="shared" si="201"/>
        <v>Y</v>
      </c>
      <c r="T2617" s="154">
        <f t="shared" si="202"/>
        <v>3.4400000000000031</v>
      </c>
      <c r="U2617" s="154">
        <f t="shared" si="203"/>
        <v>3.5390404397824153</v>
      </c>
    </row>
    <row r="2618" spans="1:21" x14ac:dyDescent="0.35">
      <c r="A2618" s="108">
        <v>2434</v>
      </c>
      <c r="B2618" s="108">
        <v>2017</v>
      </c>
      <c r="C2618" s="108" t="s">
        <v>38</v>
      </c>
      <c r="D2618" s="108" t="s">
        <v>143</v>
      </c>
      <c r="E2618" s="108" t="s">
        <v>10</v>
      </c>
      <c r="F2618" s="116">
        <v>844</v>
      </c>
      <c r="G2618" s="108" t="s">
        <v>62</v>
      </c>
      <c r="H2618" s="108" t="str">
        <f t="shared" si="204"/>
        <v>Skykomish River</v>
      </c>
      <c r="I2618" s="108" t="str">
        <f>IFERROR(VLOOKUP(H2618,LUTs!$A$1:$C$73,2,FALSE),"NA")</f>
        <v>Snohomish</v>
      </c>
      <c r="J2618" s="108" t="str">
        <f>IFERROR(VLOOKUP(H2618,LUTs!$A$1:$C$73,3,FALSE),"NA")</f>
        <v>2Central Puget Sound</v>
      </c>
      <c r="K2618" s="108" t="s">
        <v>21</v>
      </c>
      <c r="L2618" s="108" t="str">
        <f>VLOOKUP(K2618,LUTs!E$2:G$14,3,)</f>
        <v>08Thurston</v>
      </c>
      <c r="M2618" s="108" t="str">
        <f>VLOOKUP($K2618,LUTs!$E$2:$H$14,2,)</f>
        <v>South Puget Sound</v>
      </c>
      <c r="N2618" s="108" t="str">
        <f>VLOOKUP($K2618,LUTs!$E$2:$H$14,4,)</f>
        <v>02South Puget Sound</v>
      </c>
      <c r="O2618" s="108">
        <v>19.595818815331</v>
      </c>
      <c r="P2618" s="108">
        <v>67.409616724738598</v>
      </c>
      <c r="Q2618" s="108">
        <f>SUMIFS('FW_Salmon_by_Month_2010-2021'!P$2:P$3810,'FW_Salmon_by_Month_2010-2021'!$B$2:$B$3810,'Rec_raw_catch_effort_2010-2021'!$B2618,'FW_Salmon_by_Month_2010-2021'!$H$2:$H$3810,'Rec_raw_catch_effort_2010-2021'!$F2618,'FW_Salmon_by_Month_2010-2021'!$M$2:$M$3810,'Rec_raw_catch_effort_2010-2021'!$K2618)</f>
        <v>19.709773644499037</v>
      </c>
      <c r="R2618" s="109">
        <f>VLOOKUP(B2618,Readme!$A$62:$C$74,2,)*Q2618</f>
        <v>69.753685986839727</v>
      </c>
      <c r="S2618" s="140" t="str">
        <f t="shared" si="201"/>
        <v>Y</v>
      </c>
      <c r="T2618" s="154">
        <f t="shared" si="202"/>
        <v>3.4399999999999977</v>
      </c>
      <c r="U2618" s="154">
        <f t="shared" si="203"/>
        <v>3.5390404397824149</v>
      </c>
    </row>
    <row r="2619" spans="1:21" x14ac:dyDescent="0.35">
      <c r="A2619" s="108">
        <v>2328</v>
      </c>
      <c r="B2619" s="108">
        <v>2017</v>
      </c>
      <c r="C2619" s="108" t="s">
        <v>38</v>
      </c>
      <c r="D2619" s="108" t="s">
        <v>143</v>
      </c>
      <c r="E2619" s="108" t="s">
        <v>10</v>
      </c>
      <c r="F2619" s="116">
        <v>844</v>
      </c>
      <c r="G2619" s="108" t="s">
        <v>62</v>
      </c>
      <c r="H2619" s="108" t="str">
        <f t="shared" si="204"/>
        <v>Skykomish River</v>
      </c>
      <c r="I2619" s="108" t="str">
        <f>IFERROR(VLOOKUP(H2619,LUTs!$A$1:$C$73,2,FALSE),"NA")</f>
        <v>Snohomish</v>
      </c>
      <c r="J2619" s="108" t="str">
        <f>IFERROR(VLOOKUP(H2619,LUTs!$A$1:$C$73,3,FALSE),"NA")</f>
        <v>2Central Puget Sound</v>
      </c>
      <c r="K2619" s="108" t="s">
        <v>13</v>
      </c>
      <c r="L2619" s="108" t="str">
        <f>VLOOKUP(K2619,LUTs!E$2:G$14,3,)</f>
        <v>01Whatcom</v>
      </c>
      <c r="M2619" s="108" t="str">
        <f>VLOOKUP($K2619,LUTs!$E$2:$H$14,2,)</f>
        <v>North Puget Sound</v>
      </c>
      <c r="N2619" s="108" t="str">
        <f>VLOOKUP($K2619,LUTs!$E$2:$H$14,4,)</f>
        <v>01North Puget Sound</v>
      </c>
      <c r="O2619" s="108">
        <v>9.7979094076655109</v>
      </c>
      <c r="P2619" s="108">
        <v>33.704808362369398</v>
      </c>
      <c r="Q2619" s="108">
        <f>SUMIFS('FW_Salmon_by_Month_2010-2021'!P$2:P$3810,'FW_Salmon_by_Month_2010-2021'!$B$2:$B$3810,'Rec_raw_catch_effort_2010-2021'!$B2619,'FW_Salmon_by_Month_2010-2021'!$H$2:$H$3810,'Rec_raw_catch_effort_2010-2021'!$F2619,'FW_Salmon_by_Month_2010-2021'!$M$2:$M$3810,'Rec_raw_catch_effort_2010-2021'!$K2619)</f>
        <v>9.85611510791367</v>
      </c>
      <c r="R2619" s="109">
        <f>VLOOKUP(B2619,Readme!$A$62:$C$74,2,)*Q2619</f>
        <v>34.881189946056899</v>
      </c>
      <c r="S2619" s="140" t="str">
        <f t="shared" si="201"/>
        <v>Y</v>
      </c>
      <c r="T2619" s="154">
        <f t="shared" si="202"/>
        <v>3.4400000000000044</v>
      </c>
      <c r="U2619" s="154">
        <f t="shared" si="203"/>
        <v>3.5390404397824149</v>
      </c>
    </row>
    <row r="2620" spans="1:21" x14ac:dyDescent="0.35">
      <c r="A2620" s="108">
        <v>2553</v>
      </c>
      <c r="B2620" s="108">
        <v>2018</v>
      </c>
      <c r="C2620" s="108" t="s">
        <v>38</v>
      </c>
      <c r="D2620" s="108" t="s">
        <v>143</v>
      </c>
      <c r="E2620" s="108" t="s">
        <v>10</v>
      </c>
      <c r="F2620" s="116">
        <v>844</v>
      </c>
      <c r="G2620" s="108" t="s">
        <v>62</v>
      </c>
      <c r="H2620" s="108" t="str">
        <f t="shared" si="204"/>
        <v>Skykomish River</v>
      </c>
      <c r="I2620" s="108" t="str">
        <f>IFERROR(VLOOKUP(H2620,LUTs!$A$1:$C$73,2,FALSE),"NA")</f>
        <v>Snohomish</v>
      </c>
      <c r="J2620" s="108" t="str">
        <f>IFERROR(VLOOKUP(H2620,LUTs!$A$1:$C$73,3,FALSE),"NA")</f>
        <v>2Central Puget Sound</v>
      </c>
      <c r="K2620" s="108" t="s">
        <v>17</v>
      </c>
      <c r="L2620" s="108" t="str">
        <f>VLOOKUP(K2620,LUTs!E$2:G$14,3,)</f>
        <v>04Island</v>
      </c>
      <c r="M2620" s="108" t="str">
        <f>VLOOKUP($K2620,LUTs!$E$2:$H$14,2,)</f>
        <v>North Puget Sound</v>
      </c>
      <c r="N2620" s="108" t="str">
        <f>VLOOKUP($K2620,LUTs!$E$2:$H$14,4,)</f>
        <v>01North Puget Sound</v>
      </c>
      <c r="O2620" s="108">
        <v>59.647058823529399</v>
      </c>
      <c r="P2620" s="108">
        <v>515.94705882352901</v>
      </c>
      <c r="Q2620" s="108">
        <f>SUMIFS('FW_Salmon_by_Month_2010-2021'!P$2:P$3810,'FW_Salmon_by_Month_2010-2021'!$B$2:$B$3810,'Rec_raw_catch_effort_2010-2021'!$B2620,'FW_Salmon_by_Month_2010-2021'!$H$2:$H$3810,'Rec_raw_catch_effort_2010-2021'!$F2620,'FW_Salmon_by_Month_2010-2021'!$M$2:$M$3810,'Rec_raw_catch_effort_2010-2021'!$K2620)</f>
        <v>59.783216783216801</v>
      </c>
      <c r="R2620" s="109">
        <f>VLOOKUP(B2620,Readme!$A$62:$C$74,2,)*Q2620</f>
        <v>288.12849563121563</v>
      </c>
      <c r="S2620" s="140" t="str">
        <f t="shared" si="201"/>
        <v>Y</v>
      </c>
      <c r="T2620" s="154">
        <f t="shared" si="202"/>
        <v>8.649999999999995</v>
      </c>
      <c r="U2620" s="154">
        <f t="shared" si="203"/>
        <v>4.8195549041132084</v>
      </c>
    </row>
    <row r="2621" spans="1:21" x14ac:dyDescent="0.35">
      <c r="A2621" s="108">
        <v>2554</v>
      </c>
      <c r="B2621" s="108">
        <v>2018</v>
      </c>
      <c r="C2621" s="108" t="s">
        <v>38</v>
      </c>
      <c r="D2621" s="108" t="s">
        <v>143</v>
      </c>
      <c r="E2621" s="108" t="s">
        <v>10</v>
      </c>
      <c r="F2621" s="116">
        <v>844</v>
      </c>
      <c r="G2621" s="108" t="s">
        <v>62</v>
      </c>
      <c r="H2621" s="108" t="str">
        <f t="shared" si="204"/>
        <v>Skykomish River</v>
      </c>
      <c r="I2621" s="108" t="str">
        <f>IFERROR(VLOOKUP(H2621,LUTs!$A$1:$C$73,2,FALSE),"NA")</f>
        <v>Snohomish</v>
      </c>
      <c r="J2621" s="108" t="str">
        <f>IFERROR(VLOOKUP(H2621,LUTs!$A$1:$C$73,3,FALSE),"NA")</f>
        <v>2Central Puget Sound</v>
      </c>
      <c r="K2621" s="108" t="s">
        <v>18</v>
      </c>
      <c r="L2621" s="108" t="str">
        <f>VLOOKUP(K2621,LUTs!E$2:G$14,3,)</f>
        <v>06King</v>
      </c>
      <c r="M2621" s="108" t="str">
        <f>VLOOKUP($K2621,LUTs!$E$2:$H$14,2,)</f>
        <v>South Puget Sound</v>
      </c>
      <c r="N2621" s="108" t="str">
        <f>VLOOKUP($K2621,LUTs!$E$2:$H$14,4,)</f>
        <v>02South Puget Sound</v>
      </c>
      <c r="O2621" s="108">
        <v>198.82352941176501</v>
      </c>
      <c r="P2621" s="108">
        <v>1719.8235294117701</v>
      </c>
      <c r="Q2621" s="108">
        <f>SUMIFS('FW_Salmon_by_Month_2010-2021'!P$2:P$3810,'FW_Salmon_by_Month_2010-2021'!$B$2:$B$3810,'Rec_raw_catch_effort_2010-2021'!$B2621,'FW_Salmon_by_Month_2010-2021'!$H$2:$H$3810,'Rec_raw_catch_effort_2010-2021'!$F2621,'FW_Salmon_by_Month_2010-2021'!$M$2:$M$3810,'Rec_raw_catch_effort_2010-2021'!$K2621)</f>
        <v>202.31005758946904</v>
      </c>
      <c r="R2621" s="109">
        <f>VLOOKUP(B2621,Readme!$A$62:$C$74,2,)*Q2621</f>
        <v>975.04443020675114</v>
      </c>
      <c r="S2621" s="140" t="str">
        <f t="shared" si="201"/>
        <v>Y</v>
      </c>
      <c r="T2621" s="154">
        <f t="shared" si="202"/>
        <v>8.6500000000000146</v>
      </c>
      <c r="U2621" s="154">
        <f t="shared" si="203"/>
        <v>4.8195549041132084</v>
      </c>
    </row>
    <row r="2622" spans="1:21" x14ac:dyDescent="0.35">
      <c r="A2622" s="108">
        <v>2559</v>
      </c>
      <c r="B2622" s="108">
        <v>2018</v>
      </c>
      <c r="C2622" s="108" t="s">
        <v>38</v>
      </c>
      <c r="D2622" s="108" t="s">
        <v>143</v>
      </c>
      <c r="E2622" s="108" t="s">
        <v>10</v>
      </c>
      <c r="F2622" s="116">
        <v>844</v>
      </c>
      <c r="G2622" s="108" t="s">
        <v>62</v>
      </c>
      <c r="H2622" s="108" t="str">
        <f t="shared" si="204"/>
        <v>Skykomish River</v>
      </c>
      <c r="I2622" s="108" t="str">
        <f>IFERROR(VLOOKUP(H2622,LUTs!$A$1:$C$73,2,FALSE),"NA")</f>
        <v>Snohomish</v>
      </c>
      <c r="J2622" s="108" t="str">
        <f>IFERROR(VLOOKUP(H2622,LUTs!$A$1:$C$73,3,FALSE),"NA")</f>
        <v>2Central Puget Sound</v>
      </c>
      <c r="K2622" s="108" t="s">
        <v>26</v>
      </c>
      <c r="L2622" s="108" t="str">
        <f>VLOOKUP(K2622,LUTs!E$2:G$14,3,)</f>
        <v>20Other</v>
      </c>
      <c r="M2622" s="108" t="str">
        <f>VLOOKUP($K2622,LUTs!$E$2:$H$14,2,)</f>
        <v>Non Puget Sound</v>
      </c>
      <c r="N2622" s="108" t="str">
        <f>VLOOKUP($K2622,LUTs!$E$2:$H$14,4,)</f>
        <v>07Non Puget Sound</v>
      </c>
      <c r="O2622" s="108">
        <v>39.764705882352899</v>
      </c>
      <c r="P2622" s="108">
        <v>343.96470588235297</v>
      </c>
      <c r="Q2622" s="108">
        <f>SUMIFS('FW_Salmon_by_Month_2010-2021'!P$2:P$3810,'FW_Salmon_by_Month_2010-2021'!$B$2:$B$3810,'Rec_raw_catch_effort_2010-2021'!$B2622,'FW_Salmon_by_Month_2010-2021'!$H$2:$H$3810,'Rec_raw_catch_effort_2010-2021'!$F2622,'FW_Salmon_by_Month_2010-2021'!$M$2:$M$3810,'Rec_raw_catch_effort_2010-2021'!$K2622)</f>
        <v>40.670454545454504</v>
      </c>
      <c r="R2622" s="109">
        <f>VLOOKUP(B2622,Readme!$A$62:$C$74,2,)*Q2622</f>
        <v>196.01348865705859</v>
      </c>
      <c r="S2622" s="140" t="str">
        <f t="shared" si="201"/>
        <v>Y</v>
      </c>
      <c r="T2622" s="154">
        <f t="shared" si="202"/>
        <v>8.6500000000000092</v>
      </c>
      <c r="U2622" s="154">
        <f t="shared" si="203"/>
        <v>4.8195549041132084</v>
      </c>
    </row>
    <row r="2623" spans="1:21" x14ac:dyDescent="0.35">
      <c r="A2623" s="108">
        <v>2557</v>
      </c>
      <c r="B2623" s="108">
        <v>2018</v>
      </c>
      <c r="C2623" s="108" t="s">
        <v>38</v>
      </c>
      <c r="D2623" s="108" t="s">
        <v>143</v>
      </c>
      <c r="E2623" s="108" t="s">
        <v>10</v>
      </c>
      <c r="F2623" s="116">
        <v>844</v>
      </c>
      <c r="G2623" s="108" t="s">
        <v>62</v>
      </c>
      <c r="H2623" s="108" t="str">
        <f t="shared" si="204"/>
        <v>Skykomish River</v>
      </c>
      <c r="I2623" s="108" t="str">
        <f>IFERROR(VLOOKUP(H2623,LUTs!$A$1:$C$73,2,FALSE),"NA")</f>
        <v>Snohomish</v>
      </c>
      <c r="J2623" s="108" t="str">
        <f>IFERROR(VLOOKUP(H2623,LUTs!$A$1:$C$73,3,FALSE),"NA")</f>
        <v>2Central Puget Sound</v>
      </c>
      <c r="K2623" s="108" t="s">
        <v>20</v>
      </c>
      <c r="L2623" s="108" t="str">
        <f>VLOOKUP(K2623,LUTs!E$2:G$14,3,)</f>
        <v>07Pierce</v>
      </c>
      <c r="M2623" s="108" t="str">
        <f>VLOOKUP($K2623,LUTs!$E$2:$H$14,2,)</f>
        <v>South Puget Sound</v>
      </c>
      <c r="N2623" s="108" t="str">
        <f>VLOOKUP($K2623,LUTs!$E$2:$H$14,4,)</f>
        <v>02South Puget Sound</v>
      </c>
      <c r="O2623" s="108">
        <v>129.23529411764699</v>
      </c>
      <c r="P2623" s="108">
        <v>1117.8852941176499</v>
      </c>
      <c r="Q2623" s="108">
        <f>SUMIFS('FW_Salmon_by_Month_2010-2021'!P$2:P$3810,'FW_Salmon_by_Month_2010-2021'!$B$2:$B$3810,'Rec_raw_catch_effort_2010-2021'!$B2623,'FW_Salmon_by_Month_2010-2021'!$H$2:$H$3810,'Rec_raw_catch_effort_2010-2021'!$F2623,'FW_Salmon_by_Month_2010-2021'!$M$2:$M$3810,'Rec_raw_catch_effort_2010-2021'!$K2623)</f>
        <v>130.01456876456879</v>
      </c>
      <c r="R2623" s="109">
        <f>VLOOKUP(B2623,Readme!$A$62:$C$74,2,)*Q2623</f>
        <v>626.61235249544154</v>
      </c>
      <c r="S2623" s="140" t="str">
        <f t="shared" si="201"/>
        <v>Y</v>
      </c>
      <c r="T2623" s="154">
        <f t="shared" si="202"/>
        <v>8.650000000000027</v>
      </c>
      <c r="U2623" s="154">
        <f t="shared" si="203"/>
        <v>4.8195549041132084</v>
      </c>
    </row>
    <row r="2624" spans="1:21" x14ac:dyDescent="0.35">
      <c r="A2624" s="108">
        <v>2551</v>
      </c>
      <c r="B2624" s="108">
        <v>2018</v>
      </c>
      <c r="C2624" s="108" t="s">
        <v>38</v>
      </c>
      <c r="D2624" s="108" t="s">
        <v>143</v>
      </c>
      <c r="E2624" s="108" t="s">
        <v>10</v>
      </c>
      <c r="F2624" s="116">
        <v>844</v>
      </c>
      <c r="G2624" s="108" t="s">
        <v>62</v>
      </c>
      <c r="H2624" s="108" t="str">
        <f t="shared" si="204"/>
        <v>Skykomish River</v>
      </c>
      <c r="I2624" s="108" t="str">
        <f>IFERROR(VLOOKUP(H2624,LUTs!$A$1:$C$73,2,FALSE),"NA")</f>
        <v>Snohomish</v>
      </c>
      <c r="J2624" s="108" t="str">
        <f>IFERROR(VLOOKUP(H2624,LUTs!$A$1:$C$73,3,FALSE),"NA")</f>
        <v>2Central Puget Sound</v>
      </c>
      <c r="K2624" s="108" t="s">
        <v>15</v>
      </c>
      <c r="L2624" s="108" t="str">
        <f>VLOOKUP(K2624,LUTs!E$2:G$14,3,)</f>
        <v>02Skagit</v>
      </c>
      <c r="M2624" s="108" t="str">
        <f>VLOOKUP($K2624,LUTs!$E$2:$H$14,2,)</f>
        <v>North Puget Sound</v>
      </c>
      <c r="N2624" s="108" t="str">
        <f>VLOOKUP($K2624,LUTs!$E$2:$H$14,4,)</f>
        <v>01North Puget Sound</v>
      </c>
      <c r="O2624" s="108">
        <v>19.882352941176499</v>
      </c>
      <c r="P2624" s="108">
        <v>171.982352941177</v>
      </c>
      <c r="Q2624" s="108">
        <f>SUMIFS('FW_Salmon_by_Month_2010-2021'!P$2:P$3810,'FW_Salmon_by_Month_2010-2021'!$B$2:$B$3810,'Rec_raw_catch_effort_2010-2021'!$B2624,'FW_Salmon_by_Month_2010-2021'!$H$2:$H$3810,'Rec_raw_catch_effort_2010-2021'!$F2624,'FW_Salmon_by_Month_2010-2021'!$M$2:$M$3810,'Rec_raw_catch_effort_2010-2021'!$K2624)</f>
        <v>20.4166666666667</v>
      </c>
      <c r="R2624" s="109">
        <f>VLOOKUP(B2624,Readme!$A$62:$C$74,2,)*Q2624</f>
        <v>98.39924595897817</v>
      </c>
      <c r="S2624" s="140" t="str">
        <f t="shared" si="201"/>
        <v>Y</v>
      </c>
      <c r="T2624" s="154">
        <f t="shared" si="202"/>
        <v>8.6500000000000146</v>
      </c>
      <c r="U2624" s="154">
        <f t="shared" si="203"/>
        <v>4.8195549041132084</v>
      </c>
    </row>
    <row r="2625" spans="1:21" x14ac:dyDescent="0.35">
      <c r="A2625" s="108">
        <v>2552</v>
      </c>
      <c r="B2625" s="108">
        <v>2018</v>
      </c>
      <c r="C2625" s="108" t="s">
        <v>38</v>
      </c>
      <c r="D2625" s="108" t="s">
        <v>143</v>
      </c>
      <c r="E2625" s="108" t="s">
        <v>10</v>
      </c>
      <c r="F2625" s="116">
        <v>844</v>
      </c>
      <c r="G2625" s="108" t="s">
        <v>62</v>
      </c>
      <c r="H2625" s="108" t="str">
        <f t="shared" si="204"/>
        <v>Skykomish River</v>
      </c>
      <c r="I2625" s="108" t="str">
        <f>IFERROR(VLOOKUP(H2625,LUTs!$A$1:$C$73,2,FALSE),"NA")</f>
        <v>Snohomish</v>
      </c>
      <c r="J2625" s="108" t="str">
        <f>IFERROR(VLOOKUP(H2625,LUTs!$A$1:$C$73,3,FALSE),"NA")</f>
        <v>2Central Puget Sound</v>
      </c>
      <c r="K2625" s="108" t="s">
        <v>16</v>
      </c>
      <c r="L2625" s="108" t="str">
        <f>VLOOKUP(K2625,LUTs!E$2:G$14,3,)</f>
        <v>03Snohomish</v>
      </c>
      <c r="M2625" s="108" t="str">
        <f>VLOOKUP($K2625,LUTs!$E$2:$H$14,2,)</f>
        <v>North Puget Sound</v>
      </c>
      <c r="N2625" s="108" t="str">
        <f>VLOOKUP($K2625,LUTs!$E$2:$H$14,4,)</f>
        <v>01North Puget Sound</v>
      </c>
      <c r="O2625" s="108">
        <v>377.76470588235298</v>
      </c>
      <c r="P2625" s="108">
        <v>3267.6647058823501</v>
      </c>
      <c r="Q2625" s="108">
        <f>SUMIFS('FW_Salmon_by_Month_2010-2021'!P$2:P$3810,'FW_Salmon_by_Month_2010-2021'!$B$2:$B$3810,'Rec_raw_catch_effort_2010-2021'!$B2625,'FW_Salmon_by_Month_2010-2021'!$H$2:$H$3810,'Rec_raw_catch_effort_2010-2021'!$F2625,'FW_Salmon_by_Month_2010-2021'!$M$2:$M$3810,'Rec_raw_catch_effort_2010-2021'!$K2625)</f>
        <v>371.55124777183619</v>
      </c>
      <c r="R2625" s="109">
        <f>VLOOKUP(B2625,Readme!$A$62:$C$74,2,)*Q2625</f>
        <v>1790.711638328135</v>
      </c>
      <c r="S2625" s="140" t="str">
        <f t="shared" si="201"/>
        <v>Y</v>
      </c>
      <c r="T2625" s="154">
        <f t="shared" si="202"/>
        <v>8.6499999999999915</v>
      </c>
      <c r="U2625" s="154">
        <f t="shared" si="203"/>
        <v>4.8195549041132084</v>
      </c>
    </row>
    <row r="2626" spans="1:21" x14ac:dyDescent="0.35">
      <c r="A2626" s="108">
        <v>2558</v>
      </c>
      <c r="B2626" s="108">
        <v>2018</v>
      </c>
      <c r="C2626" s="108" t="s">
        <v>38</v>
      </c>
      <c r="D2626" s="108" t="s">
        <v>143</v>
      </c>
      <c r="E2626" s="108" t="s">
        <v>10</v>
      </c>
      <c r="F2626" s="116">
        <v>844</v>
      </c>
      <c r="G2626" s="108" t="s">
        <v>62</v>
      </c>
      <c r="H2626" s="108" t="str">
        <f t="shared" si="204"/>
        <v>Skykomish River</v>
      </c>
      <c r="I2626" s="108" t="str">
        <f>IFERROR(VLOOKUP(H2626,LUTs!$A$1:$C$73,2,FALSE),"NA")</f>
        <v>Snohomish</v>
      </c>
      <c r="J2626" s="108" t="str">
        <f>IFERROR(VLOOKUP(H2626,LUTs!$A$1:$C$73,3,FALSE),"NA")</f>
        <v>2Central Puget Sound</v>
      </c>
      <c r="K2626" s="108" t="s">
        <v>21</v>
      </c>
      <c r="L2626" s="108" t="str">
        <f>VLOOKUP(K2626,LUTs!E$2:G$14,3,)</f>
        <v>08Thurston</v>
      </c>
      <c r="M2626" s="108" t="str">
        <f>VLOOKUP($K2626,LUTs!$E$2:$H$14,2,)</f>
        <v>South Puget Sound</v>
      </c>
      <c r="N2626" s="108" t="str">
        <f>VLOOKUP($K2626,LUTs!$E$2:$H$14,4,)</f>
        <v>02South Puget Sound</v>
      </c>
      <c r="O2626" s="108">
        <v>19.882352941176499</v>
      </c>
      <c r="P2626" s="108">
        <v>171.982352941177</v>
      </c>
      <c r="Q2626" s="108">
        <f>SUMIFS('FW_Salmon_by_Month_2010-2021'!P$2:P$3810,'FW_Salmon_by_Month_2010-2021'!$B$2:$B$3810,'Rec_raw_catch_effort_2010-2021'!$B2626,'FW_Salmon_by_Month_2010-2021'!$H$2:$H$3810,'Rec_raw_catch_effort_2010-2021'!$F2626,'FW_Salmon_by_Month_2010-2021'!$M$2:$M$3810,'Rec_raw_catch_effort_2010-2021'!$K2626)</f>
        <v>20.253787878787801</v>
      </c>
      <c r="R2626" s="109">
        <f>VLOOKUP(B2626,Readme!$A$62:$C$74,2,)*Q2626</f>
        <v>97.614242698080403</v>
      </c>
      <c r="S2626" s="140" t="str">
        <f t="shared" si="201"/>
        <v>Y</v>
      </c>
      <c r="T2626" s="154">
        <f t="shared" si="202"/>
        <v>8.6500000000000146</v>
      </c>
      <c r="U2626" s="154">
        <f t="shared" si="203"/>
        <v>4.8195549041132084</v>
      </c>
    </row>
    <row r="2627" spans="1:21" x14ac:dyDescent="0.35">
      <c r="A2627" s="108">
        <v>2689</v>
      </c>
      <c r="B2627" s="108">
        <v>2019</v>
      </c>
      <c r="C2627" s="108" t="s">
        <v>38</v>
      </c>
      <c r="D2627" s="108" t="s">
        <v>143</v>
      </c>
      <c r="E2627" s="108" t="s">
        <v>10</v>
      </c>
      <c r="F2627" s="116">
        <v>844</v>
      </c>
      <c r="G2627" s="108" t="s">
        <v>62</v>
      </c>
      <c r="H2627" s="108" t="str">
        <f t="shared" si="204"/>
        <v>Skykomish River</v>
      </c>
      <c r="I2627" s="108" t="str">
        <f>IFERROR(VLOOKUP(H2627,LUTs!$A$1:$C$73,2,FALSE),"NA")</f>
        <v>Snohomish</v>
      </c>
      <c r="J2627" s="108" t="str">
        <f>IFERROR(VLOOKUP(H2627,LUTs!$A$1:$C$73,3,FALSE),"NA")</f>
        <v>2Central Puget Sound</v>
      </c>
      <c r="K2627" s="108" t="s">
        <v>18</v>
      </c>
      <c r="L2627" s="108" t="str">
        <f>VLOOKUP(K2627,LUTs!E$2:G$14,3,)</f>
        <v>06King</v>
      </c>
      <c r="M2627" s="108" t="str">
        <f>VLOOKUP($K2627,LUTs!$E$2:$H$14,2,)</f>
        <v>South Puget Sound</v>
      </c>
      <c r="N2627" s="108" t="str">
        <f>VLOOKUP($K2627,LUTs!$E$2:$H$14,4,)</f>
        <v>02South Puget Sound</v>
      </c>
      <c r="O2627" s="108">
        <v>210.16949152542401</v>
      </c>
      <c r="P2627" s="108">
        <v>722.98305084745903</v>
      </c>
      <c r="Q2627" s="108">
        <f>SUMIFS('FW_Salmon_by_Month_2010-2021'!P$2:P$3810,'FW_Salmon_by_Month_2010-2021'!$B$2:$B$3810,'Rec_raw_catch_effort_2010-2021'!$B2627,'FW_Salmon_by_Month_2010-2021'!$H$2:$H$3810,'Rec_raw_catch_effort_2010-2021'!$F2627,'FW_Salmon_by_Month_2010-2021'!$M$2:$M$3810,'Rec_raw_catch_effort_2010-2021'!$K2627)</f>
        <v>214.56633986928108</v>
      </c>
      <c r="R2627" s="109">
        <f>VLOOKUP(B2627,Readme!$A$62:$C$74,2,)*Q2627</f>
        <v>759.35895381348371</v>
      </c>
      <c r="S2627" s="140" t="str">
        <f t="shared" ref="S2627:S2690" si="205">IF(B2627&lt;=2019,"Y","N")</f>
        <v>Y</v>
      </c>
      <c r="T2627" s="154">
        <f t="shared" ref="T2627:T2690" si="206">IFERROR(P2627/O2627,"NA")</f>
        <v>3.4400000000000022</v>
      </c>
      <c r="U2627" s="154">
        <f t="shared" ref="U2627:U2690" si="207">IFERROR(R2627/Q2627,"NA")</f>
        <v>3.5390404397824153</v>
      </c>
    </row>
    <row r="2628" spans="1:21" x14ac:dyDescent="0.35">
      <c r="A2628" s="108">
        <v>2784</v>
      </c>
      <c r="B2628" s="108">
        <v>2019</v>
      </c>
      <c r="C2628" s="108" t="s">
        <v>38</v>
      </c>
      <c r="D2628" s="108" t="s">
        <v>143</v>
      </c>
      <c r="E2628" s="108" t="s">
        <v>10</v>
      </c>
      <c r="F2628" s="116">
        <v>844</v>
      </c>
      <c r="G2628" s="108" t="s">
        <v>62</v>
      </c>
      <c r="H2628" s="108" t="str">
        <f t="shared" si="204"/>
        <v>Skykomish River</v>
      </c>
      <c r="I2628" s="108" t="str">
        <f>IFERROR(VLOOKUP(H2628,LUTs!$A$1:$C$73,2,FALSE),"NA")</f>
        <v>Snohomish</v>
      </c>
      <c r="J2628" s="108" t="str">
        <f>IFERROR(VLOOKUP(H2628,LUTs!$A$1:$C$73,3,FALSE),"NA")</f>
        <v>2Central Puget Sound</v>
      </c>
      <c r="K2628" s="108" t="s">
        <v>26</v>
      </c>
      <c r="L2628" s="108" t="str">
        <f>VLOOKUP(K2628,LUTs!E$2:G$14,3,)</f>
        <v>20Other</v>
      </c>
      <c r="M2628" s="108" t="str">
        <f>VLOOKUP($K2628,LUTs!$E$2:$H$14,2,)</f>
        <v>Non Puget Sound</v>
      </c>
      <c r="N2628" s="108" t="str">
        <f>VLOOKUP($K2628,LUTs!$E$2:$H$14,4,)</f>
        <v>07Non Puget Sound</v>
      </c>
      <c r="O2628" s="108">
        <v>52.542372881355902</v>
      </c>
      <c r="P2628" s="108">
        <v>180.74576271186399</v>
      </c>
      <c r="Q2628" s="108">
        <f>SUMIFS('FW_Salmon_by_Month_2010-2021'!P$2:P$3810,'FW_Salmon_by_Month_2010-2021'!$B$2:$B$3810,'Rec_raw_catch_effort_2010-2021'!$B2628,'FW_Salmon_by_Month_2010-2021'!$H$2:$H$3810,'Rec_raw_catch_effort_2010-2021'!$F2628,'FW_Salmon_by_Month_2010-2021'!$M$2:$M$3810,'Rec_raw_catch_effort_2010-2021'!$K2628)</f>
        <v>52.466666666666697</v>
      </c>
      <c r="R2628" s="109">
        <f>VLOOKUP(B2628,Readme!$A$62:$C$74,2,)*Q2628</f>
        <v>185.68165507391751</v>
      </c>
      <c r="S2628" s="140" t="str">
        <f t="shared" si="205"/>
        <v>Y</v>
      </c>
      <c r="T2628" s="154">
        <f t="shared" si="206"/>
        <v>3.4399999999999942</v>
      </c>
      <c r="U2628" s="154">
        <f t="shared" si="207"/>
        <v>3.5390404397824158</v>
      </c>
    </row>
    <row r="2629" spans="1:21" x14ac:dyDescent="0.35">
      <c r="A2629" s="108">
        <v>2690</v>
      </c>
      <c r="B2629" s="108">
        <v>2019</v>
      </c>
      <c r="C2629" s="108" t="s">
        <v>38</v>
      </c>
      <c r="D2629" s="108" t="s">
        <v>143</v>
      </c>
      <c r="E2629" s="108" t="s">
        <v>10</v>
      </c>
      <c r="F2629" s="116">
        <v>844</v>
      </c>
      <c r="G2629" s="108" t="s">
        <v>62</v>
      </c>
      <c r="H2629" s="108" t="str">
        <f t="shared" si="204"/>
        <v>Skykomish River</v>
      </c>
      <c r="I2629" s="108" t="str">
        <f>IFERROR(VLOOKUP(H2629,LUTs!$A$1:$C$73,2,FALSE),"NA")</f>
        <v>Snohomish</v>
      </c>
      <c r="J2629" s="108" t="str">
        <f>IFERROR(VLOOKUP(H2629,LUTs!$A$1:$C$73,3,FALSE),"NA")</f>
        <v>2Central Puget Sound</v>
      </c>
      <c r="K2629" s="108" t="s">
        <v>20</v>
      </c>
      <c r="L2629" s="108" t="str">
        <f>VLOOKUP(K2629,LUTs!E$2:G$14,3,)</f>
        <v>07Pierce</v>
      </c>
      <c r="M2629" s="108" t="str">
        <f>VLOOKUP($K2629,LUTs!$E$2:$H$14,2,)</f>
        <v>South Puget Sound</v>
      </c>
      <c r="N2629" s="108" t="str">
        <f>VLOOKUP($K2629,LUTs!$E$2:$H$14,4,)</f>
        <v>02South Puget Sound</v>
      </c>
      <c r="O2629" s="108">
        <v>42.033898305084797</v>
      </c>
      <c r="P2629" s="108">
        <v>144.59661016949201</v>
      </c>
      <c r="Q2629" s="108">
        <f>SUMIFS('FW_Salmon_by_Month_2010-2021'!P$2:P$3810,'FW_Salmon_by_Month_2010-2021'!$B$2:$B$3810,'Rec_raw_catch_effort_2010-2021'!$B2629,'FW_Salmon_by_Month_2010-2021'!$H$2:$H$3810,'Rec_raw_catch_effort_2010-2021'!$F2629,'FW_Salmon_by_Month_2010-2021'!$M$2:$M$3810,'Rec_raw_catch_effort_2010-2021'!$K2629)</f>
        <v>42.6111111111111</v>
      </c>
      <c r="R2629" s="109">
        <f>VLOOKUP(B2629,Readme!$A$62:$C$74,2,)*Q2629</f>
        <v>150.80244540628399</v>
      </c>
      <c r="S2629" s="140" t="str">
        <f t="shared" si="205"/>
        <v>Y</v>
      </c>
      <c r="T2629" s="154">
        <f t="shared" si="206"/>
        <v>3.4400000000000075</v>
      </c>
      <c r="U2629" s="154">
        <f t="shared" si="207"/>
        <v>3.5390404397824153</v>
      </c>
    </row>
    <row r="2630" spans="1:21" x14ac:dyDescent="0.35">
      <c r="A2630" s="108">
        <v>2682</v>
      </c>
      <c r="B2630" s="108">
        <v>2019</v>
      </c>
      <c r="C2630" s="108" t="s">
        <v>38</v>
      </c>
      <c r="D2630" s="108" t="s">
        <v>143</v>
      </c>
      <c r="E2630" s="108" t="s">
        <v>10</v>
      </c>
      <c r="F2630" s="116">
        <v>844</v>
      </c>
      <c r="G2630" s="108" t="s">
        <v>62</v>
      </c>
      <c r="H2630" s="108" t="str">
        <f t="shared" si="204"/>
        <v>Skykomish River</v>
      </c>
      <c r="I2630" s="108" t="str">
        <f>IFERROR(VLOOKUP(H2630,LUTs!$A$1:$C$73,2,FALSE),"NA")</f>
        <v>Snohomish</v>
      </c>
      <c r="J2630" s="108" t="str">
        <f>IFERROR(VLOOKUP(H2630,LUTs!$A$1:$C$73,3,FALSE),"NA")</f>
        <v>2Central Puget Sound</v>
      </c>
      <c r="K2630" s="108" t="s">
        <v>15</v>
      </c>
      <c r="L2630" s="108" t="str">
        <f>VLOOKUP(K2630,LUTs!E$2:G$14,3,)</f>
        <v>02Skagit</v>
      </c>
      <c r="M2630" s="108" t="str">
        <f>VLOOKUP($K2630,LUTs!$E$2:$H$14,2,)</f>
        <v>North Puget Sound</v>
      </c>
      <c r="N2630" s="108" t="str">
        <f>VLOOKUP($K2630,LUTs!$E$2:$H$14,4,)</f>
        <v>01North Puget Sound</v>
      </c>
      <c r="O2630" s="108">
        <v>21.016949152542399</v>
      </c>
      <c r="P2630" s="108">
        <v>72.298305084745806</v>
      </c>
      <c r="Q2630" s="108">
        <f>SUMIFS('FW_Salmon_by_Month_2010-2021'!P$2:P$3810,'FW_Salmon_by_Month_2010-2021'!$B$2:$B$3810,'Rec_raw_catch_effort_2010-2021'!$B2630,'FW_Salmon_by_Month_2010-2021'!$H$2:$H$3810,'Rec_raw_catch_effort_2010-2021'!$F2630,'FW_Salmon_by_Month_2010-2021'!$M$2:$M$3810,'Rec_raw_catch_effort_2010-2021'!$K2630)</f>
        <v>21.7777777777778</v>
      </c>
      <c r="R2630" s="109">
        <f>VLOOKUP(B2630,Readme!$A$62:$C$74,2,)*Q2630</f>
        <v>77.072436244150452</v>
      </c>
      <c r="S2630" s="140" t="str">
        <f t="shared" si="205"/>
        <v>Y</v>
      </c>
      <c r="T2630" s="154">
        <f t="shared" si="206"/>
        <v>3.4399999999999977</v>
      </c>
      <c r="U2630" s="154">
        <f t="shared" si="207"/>
        <v>3.5390404397824153</v>
      </c>
    </row>
    <row r="2631" spans="1:21" x14ac:dyDescent="0.35">
      <c r="A2631" s="108">
        <v>2688</v>
      </c>
      <c r="B2631" s="108">
        <v>2019</v>
      </c>
      <c r="C2631" s="108" t="s">
        <v>38</v>
      </c>
      <c r="D2631" s="108" t="s">
        <v>143</v>
      </c>
      <c r="E2631" s="108" t="s">
        <v>10</v>
      </c>
      <c r="F2631" s="116">
        <v>844</v>
      </c>
      <c r="G2631" s="108" t="s">
        <v>62</v>
      </c>
      <c r="H2631" s="108" t="str">
        <f t="shared" si="204"/>
        <v>Skykomish River</v>
      </c>
      <c r="I2631" s="108" t="str">
        <f>IFERROR(VLOOKUP(H2631,LUTs!$A$1:$C$73,2,FALSE),"NA")</f>
        <v>Snohomish</v>
      </c>
      <c r="J2631" s="108" t="str">
        <f>IFERROR(VLOOKUP(H2631,LUTs!$A$1:$C$73,3,FALSE),"NA")</f>
        <v>2Central Puget Sound</v>
      </c>
      <c r="K2631" s="108" t="s">
        <v>16</v>
      </c>
      <c r="L2631" s="108" t="str">
        <f>VLOOKUP(K2631,LUTs!E$2:G$14,3,)</f>
        <v>03Snohomish</v>
      </c>
      <c r="M2631" s="108" t="str">
        <f>VLOOKUP($K2631,LUTs!$E$2:$H$14,2,)</f>
        <v>North Puget Sound</v>
      </c>
      <c r="N2631" s="108" t="str">
        <f>VLOOKUP($K2631,LUTs!$E$2:$H$14,4,)</f>
        <v>01North Puget Sound</v>
      </c>
      <c r="O2631" s="108">
        <v>294.23728813559302</v>
      </c>
      <c r="P2631" s="108">
        <v>1012.17627118644</v>
      </c>
      <c r="Q2631" s="108">
        <f>SUMIFS('FW_Salmon_by_Month_2010-2021'!P$2:P$3810,'FW_Salmon_by_Month_2010-2021'!$B$2:$B$3810,'Rec_raw_catch_effort_2010-2021'!$B2631,'FW_Salmon_by_Month_2010-2021'!$H$2:$H$3810,'Rec_raw_catch_effort_2010-2021'!$F2631,'FW_Salmon_by_Month_2010-2021'!$M$2:$M$3810,'Rec_raw_catch_effort_2010-2021'!$K2631)</f>
        <v>288.57810457516291</v>
      </c>
      <c r="R2631" s="109">
        <f>VLOOKUP(B2631,Readme!$A$62:$C$74,2,)*Q2631</f>
        <v>1021.2895821272604</v>
      </c>
      <c r="S2631" s="140" t="str">
        <f t="shared" si="205"/>
        <v>Y</v>
      </c>
      <c r="T2631" s="154">
        <f t="shared" si="206"/>
        <v>3.44</v>
      </c>
      <c r="U2631" s="154">
        <f t="shared" si="207"/>
        <v>3.5390404397824153</v>
      </c>
    </row>
    <row r="2632" spans="1:21" x14ac:dyDescent="0.35">
      <c r="A2632" s="108">
        <v>2970</v>
      </c>
      <c r="B2632" s="108">
        <v>2020</v>
      </c>
      <c r="C2632" s="108" t="s">
        <v>38</v>
      </c>
      <c r="D2632" s="108" t="s">
        <v>143</v>
      </c>
      <c r="E2632" s="108" t="s">
        <v>10</v>
      </c>
      <c r="F2632" s="116">
        <v>844</v>
      </c>
      <c r="G2632" s="108" t="s">
        <v>62</v>
      </c>
      <c r="H2632" s="108" t="str">
        <f t="shared" si="204"/>
        <v>Skykomish River</v>
      </c>
      <c r="I2632" s="108" t="str">
        <f>IFERROR(VLOOKUP(H2632,LUTs!$A$1:$C$73,2,FALSE),"NA")</f>
        <v>Snohomish</v>
      </c>
      <c r="J2632" s="108" t="str">
        <f>IFERROR(VLOOKUP(H2632,LUTs!$A$1:$C$73,3,FALSE),"NA")</f>
        <v>2Central Puget Sound</v>
      </c>
      <c r="K2632" s="108" t="s">
        <v>18</v>
      </c>
      <c r="L2632" s="108" t="str">
        <f>VLOOKUP(K2632,LUTs!E$2:G$14,3,)</f>
        <v>06King</v>
      </c>
      <c r="M2632" s="108" t="str">
        <f>VLOOKUP($K2632,LUTs!$E$2:$H$14,2,)</f>
        <v>South Puget Sound</v>
      </c>
      <c r="N2632" s="108" t="str">
        <f>VLOOKUP($K2632,LUTs!$E$2:$H$14,4,)</f>
        <v>02South Puget Sound</v>
      </c>
      <c r="O2632" s="108">
        <v>557.15254237288104</v>
      </c>
      <c r="P2632" s="108">
        <v>4819.36949152542</v>
      </c>
      <c r="Q2632" s="108">
        <f>SUMIFS('FW_Salmon_by_Month_2010-2021'!P$2:P$3810,'FW_Salmon_by_Month_2010-2021'!$B$2:$B$3810,'Rec_raw_catch_effort_2010-2021'!$B2632,'FW_Salmon_by_Month_2010-2021'!$H$2:$H$3810,'Rec_raw_catch_effort_2010-2021'!$F2632,'FW_Salmon_by_Month_2010-2021'!$M$2:$M$3810,'Rec_raw_catch_effort_2010-2021'!$K2632)</f>
        <v>480.93822393822387</v>
      </c>
      <c r="R2632" s="109">
        <f>VLOOKUP(B2632,Readme!$A$62:$C$74,2,)*Q2632</f>
        <v>2317.9081757569634</v>
      </c>
      <c r="S2632" s="140" t="str">
        <f t="shared" si="205"/>
        <v>N</v>
      </c>
      <c r="T2632" s="154">
        <f t="shared" si="206"/>
        <v>8.6499999999999986</v>
      </c>
      <c r="U2632" s="154">
        <f t="shared" si="207"/>
        <v>4.8195549041132084</v>
      </c>
    </row>
    <row r="2633" spans="1:21" x14ac:dyDescent="0.35">
      <c r="A2633" s="108">
        <v>3046</v>
      </c>
      <c r="B2633" s="108">
        <v>2020</v>
      </c>
      <c r="C2633" s="108" t="s">
        <v>38</v>
      </c>
      <c r="D2633" s="108" t="s">
        <v>143</v>
      </c>
      <c r="E2633" s="108" t="s">
        <v>10</v>
      </c>
      <c r="F2633" s="116">
        <v>844</v>
      </c>
      <c r="G2633" s="108" t="s">
        <v>62</v>
      </c>
      <c r="H2633" s="108" t="str">
        <f t="shared" si="204"/>
        <v>Skykomish River</v>
      </c>
      <c r="I2633" s="108" t="str">
        <f>IFERROR(VLOOKUP(H2633,LUTs!$A$1:$C$73,2,FALSE),"NA")</f>
        <v>Snohomish</v>
      </c>
      <c r="J2633" s="108" t="str">
        <f>IFERROR(VLOOKUP(H2633,LUTs!$A$1:$C$73,3,FALSE),"NA")</f>
        <v>2Central Puget Sound</v>
      </c>
      <c r="K2633" s="108" t="s">
        <v>26</v>
      </c>
      <c r="L2633" s="108" t="str">
        <f>VLOOKUP(K2633,LUTs!E$2:G$14,3,)</f>
        <v>20Other</v>
      </c>
      <c r="M2633" s="108" t="str">
        <f>VLOOKUP($K2633,LUTs!$E$2:$H$14,2,)</f>
        <v>Non Puget Sound</v>
      </c>
      <c r="N2633" s="108" t="str">
        <f>VLOOKUP($K2633,LUTs!$E$2:$H$14,4,)</f>
        <v>07Non Puget Sound</v>
      </c>
      <c r="O2633" s="108">
        <v>19.8983050847458</v>
      </c>
      <c r="P2633" s="108">
        <v>172.120338983051</v>
      </c>
      <c r="Q2633" s="108">
        <f>SUMIFS('FW_Salmon_by_Month_2010-2021'!P$2:P$3810,'FW_Salmon_by_Month_2010-2021'!$B$2:$B$3810,'Rec_raw_catch_effort_2010-2021'!$B2633,'FW_Salmon_by_Month_2010-2021'!$H$2:$H$3810,'Rec_raw_catch_effort_2010-2021'!$F2633,'FW_Salmon_by_Month_2010-2021'!$M$2:$M$3810,'Rec_raw_catch_effort_2010-2021'!$K2633)</f>
        <v>33.285714285714299</v>
      </c>
      <c r="R2633" s="109">
        <f>VLOOKUP(B2633,Readme!$A$62:$C$74,2,)*Q2633</f>
        <v>160.42232752262544</v>
      </c>
      <c r="S2633" s="140" t="str">
        <f t="shared" si="205"/>
        <v>N</v>
      </c>
      <c r="T2633" s="154">
        <f t="shared" si="206"/>
        <v>8.6499999999999915</v>
      </c>
      <c r="U2633" s="154">
        <f t="shared" si="207"/>
        <v>4.8195549041132084</v>
      </c>
    </row>
    <row r="2634" spans="1:21" x14ac:dyDescent="0.35">
      <c r="A2634" s="108">
        <v>2971</v>
      </c>
      <c r="B2634" s="108">
        <v>2020</v>
      </c>
      <c r="C2634" s="108" t="s">
        <v>38</v>
      </c>
      <c r="D2634" s="108" t="s">
        <v>143</v>
      </c>
      <c r="E2634" s="108" t="s">
        <v>10</v>
      </c>
      <c r="F2634" s="116">
        <v>844</v>
      </c>
      <c r="G2634" s="108" t="s">
        <v>62</v>
      </c>
      <c r="H2634" s="108" t="str">
        <f t="shared" si="204"/>
        <v>Skykomish River</v>
      </c>
      <c r="I2634" s="108" t="str">
        <f>IFERROR(VLOOKUP(H2634,LUTs!$A$1:$C$73,2,FALSE),"NA")</f>
        <v>Snohomish</v>
      </c>
      <c r="J2634" s="108" t="str">
        <f>IFERROR(VLOOKUP(H2634,LUTs!$A$1:$C$73,3,FALSE),"NA")</f>
        <v>2Central Puget Sound</v>
      </c>
      <c r="K2634" s="108" t="s">
        <v>20</v>
      </c>
      <c r="L2634" s="108" t="str">
        <f>VLOOKUP(K2634,LUTs!E$2:G$14,3,)</f>
        <v>07Pierce</v>
      </c>
      <c r="M2634" s="108" t="str">
        <f>VLOOKUP($K2634,LUTs!$E$2:$H$14,2,)</f>
        <v>South Puget Sound</v>
      </c>
      <c r="N2634" s="108" t="str">
        <f>VLOOKUP($K2634,LUTs!$E$2:$H$14,4,)</f>
        <v>02South Puget Sound</v>
      </c>
      <c r="O2634" s="108">
        <v>79.593220338983102</v>
      </c>
      <c r="P2634" s="108">
        <v>688.481355932204</v>
      </c>
      <c r="Q2634" s="108">
        <f>SUMIFS('FW_Salmon_by_Month_2010-2021'!P$2:P$3810,'FW_Salmon_by_Month_2010-2021'!$B$2:$B$3810,'Rec_raw_catch_effort_2010-2021'!$B2634,'FW_Salmon_by_Month_2010-2021'!$H$2:$H$3810,'Rec_raw_catch_effort_2010-2021'!$F2634,'FW_Salmon_by_Month_2010-2021'!$M$2:$M$3810,'Rec_raw_catch_effort_2010-2021'!$K2634)</f>
        <v>72.216216216216196</v>
      </c>
      <c r="R2634" s="109">
        <f>VLOOKUP(B2634,Readme!$A$62:$C$74,2,)*Q2634</f>
        <v>348.05001902136456</v>
      </c>
      <c r="S2634" s="140" t="str">
        <f t="shared" si="205"/>
        <v>N</v>
      </c>
      <c r="T2634" s="154">
        <f t="shared" si="206"/>
        <v>8.6500000000000021</v>
      </c>
      <c r="U2634" s="154">
        <f t="shared" si="207"/>
        <v>4.8195549041132084</v>
      </c>
    </row>
    <row r="2635" spans="1:21" x14ac:dyDescent="0.35">
      <c r="A2635" s="108">
        <v>2918</v>
      </c>
      <c r="B2635" s="108">
        <v>2020</v>
      </c>
      <c r="C2635" s="108" t="s">
        <v>38</v>
      </c>
      <c r="D2635" s="108" t="s">
        <v>143</v>
      </c>
      <c r="E2635" s="108" t="s">
        <v>10</v>
      </c>
      <c r="F2635" s="116">
        <v>844</v>
      </c>
      <c r="G2635" s="108" t="s">
        <v>62</v>
      </c>
      <c r="H2635" s="108" t="str">
        <f t="shared" si="204"/>
        <v>Skykomish River</v>
      </c>
      <c r="I2635" s="108" t="str">
        <f>IFERROR(VLOOKUP(H2635,LUTs!$A$1:$C$73,2,FALSE),"NA")</f>
        <v>Snohomish</v>
      </c>
      <c r="J2635" s="108" t="str">
        <f>IFERROR(VLOOKUP(H2635,LUTs!$A$1:$C$73,3,FALSE),"NA")</f>
        <v>2Central Puget Sound</v>
      </c>
      <c r="K2635" s="108" t="s">
        <v>15</v>
      </c>
      <c r="L2635" s="108" t="str">
        <f>VLOOKUP(K2635,LUTs!E$2:G$14,3,)</f>
        <v>02Skagit</v>
      </c>
      <c r="M2635" s="108" t="str">
        <f>VLOOKUP($K2635,LUTs!$E$2:$H$14,2,)</f>
        <v>North Puget Sound</v>
      </c>
      <c r="N2635" s="108" t="str">
        <f>VLOOKUP($K2635,LUTs!$E$2:$H$14,4,)</f>
        <v>01North Puget Sound</v>
      </c>
      <c r="O2635" s="108">
        <v>19.8983050847458</v>
      </c>
      <c r="P2635" s="108">
        <v>172.120338983051</v>
      </c>
      <c r="Q2635" s="108">
        <f>SUMIFS('FW_Salmon_by_Month_2010-2021'!P$2:P$3810,'FW_Salmon_by_Month_2010-2021'!$B$2:$B$3810,'Rec_raw_catch_effort_2010-2021'!$B2635,'FW_Salmon_by_Month_2010-2021'!$H$2:$H$3810,'Rec_raw_catch_effort_2010-2021'!$F2635,'FW_Salmon_by_Month_2010-2021'!$M$2:$M$3810,'Rec_raw_catch_effort_2010-2021'!$K2635)</f>
        <v>18.054054054054099</v>
      </c>
      <c r="R2635" s="109">
        <f>VLOOKUP(B2635,Readme!$A$62:$C$74,2,)*Q2635</f>
        <v>87.012504755341382</v>
      </c>
      <c r="S2635" s="140" t="str">
        <f t="shared" si="205"/>
        <v>N</v>
      </c>
      <c r="T2635" s="154">
        <f t="shared" si="206"/>
        <v>8.6499999999999915</v>
      </c>
      <c r="U2635" s="154">
        <f t="shared" si="207"/>
        <v>4.8195549041132084</v>
      </c>
    </row>
    <row r="2636" spans="1:21" x14ac:dyDescent="0.35">
      <c r="A2636" s="108">
        <v>2969</v>
      </c>
      <c r="B2636" s="108">
        <v>2020</v>
      </c>
      <c r="C2636" s="108" t="s">
        <v>38</v>
      </c>
      <c r="D2636" s="108" t="s">
        <v>143</v>
      </c>
      <c r="E2636" s="108" t="s">
        <v>10</v>
      </c>
      <c r="F2636" s="116">
        <v>844</v>
      </c>
      <c r="G2636" s="108" t="s">
        <v>62</v>
      </c>
      <c r="H2636" s="108" t="str">
        <f t="shared" si="204"/>
        <v>Skykomish River</v>
      </c>
      <c r="I2636" s="108" t="str">
        <f>IFERROR(VLOOKUP(H2636,LUTs!$A$1:$C$73,2,FALSE),"NA")</f>
        <v>Snohomish</v>
      </c>
      <c r="J2636" s="108" t="str">
        <f>IFERROR(VLOOKUP(H2636,LUTs!$A$1:$C$73,3,FALSE),"NA")</f>
        <v>2Central Puget Sound</v>
      </c>
      <c r="K2636" s="108" t="s">
        <v>16</v>
      </c>
      <c r="L2636" s="108" t="str">
        <f>VLOOKUP(K2636,LUTs!E$2:G$14,3,)</f>
        <v>03Snohomish</v>
      </c>
      <c r="M2636" s="108" t="str">
        <f>VLOOKUP($K2636,LUTs!$E$2:$H$14,2,)</f>
        <v>North Puget Sound</v>
      </c>
      <c r="N2636" s="108" t="str">
        <f>VLOOKUP($K2636,LUTs!$E$2:$H$14,4,)</f>
        <v>01North Puget Sound</v>
      </c>
      <c r="O2636" s="108">
        <v>477.55932203389801</v>
      </c>
      <c r="P2636" s="108">
        <v>4130.8881355932199</v>
      </c>
      <c r="Q2636" s="108">
        <f>SUMIFS('FW_Salmon_by_Month_2010-2021'!P$2:P$3810,'FW_Salmon_by_Month_2010-2021'!$B$2:$B$3810,'Rec_raw_catch_effort_2010-2021'!$B2636,'FW_Salmon_by_Month_2010-2021'!$H$2:$H$3810,'Rec_raw_catch_effort_2010-2021'!$F2636,'FW_Salmon_by_Month_2010-2021'!$M$2:$M$3810,'Rec_raw_catch_effort_2010-2021'!$K2636)</f>
        <v>536.220077220078</v>
      </c>
      <c r="R2636" s="109">
        <f>VLOOKUP(B2636,Readme!$A$62:$C$74,2,)*Q2636</f>
        <v>2584.3421028499902</v>
      </c>
      <c r="S2636" s="140" t="str">
        <f t="shared" si="205"/>
        <v>N</v>
      </c>
      <c r="T2636" s="154">
        <f t="shared" si="206"/>
        <v>8.6500000000000039</v>
      </c>
      <c r="U2636" s="154">
        <f t="shared" si="207"/>
        <v>4.8195549041132084</v>
      </c>
    </row>
    <row r="2637" spans="1:21" x14ac:dyDescent="0.35">
      <c r="A2637" s="108">
        <v>3038</v>
      </c>
      <c r="B2637" s="108">
        <v>2020</v>
      </c>
      <c r="C2637" s="108" t="s">
        <v>38</v>
      </c>
      <c r="D2637" s="108" t="s">
        <v>143</v>
      </c>
      <c r="E2637" s="108" t="s">
        <v>10</v>
      </c>
      <c r="F2637" s="116">
        <v>844</v>
      </c>
      <c r="G2637" s="108" t="s">
        <v>62</v>
      </c>
      <c r="H2637" s="108" t="str">
        <f t="shared" si="204"/>
        <v>Skykomish River</v>
      </c>
      <c r="I2637" s="108" t="str">
        <f>IFERROR(VLOOKUP(H2637,LUTs!$A$1:$C$73,2,FALSE),"NA")</f>
        <v>Snohomish</v>
      </c>
      <c r="J2637" s="108" t="str">
        <f>IFERROR(VLOOKUP(H2637,LUTs!$A$1:$C$73,3,FALSE),"NA")</f>
        <v>2Central Puget Sound</v>
      </c>
      <c r="K2637" s="108" t="s">
        <v>21</v>
      </c>
      <c r="L2637" s="108" t="str">
        <f>VLOOKUP(K2637,LUTs!E$2:G$14,3,)</f>
        <v>08Thurston</v>
      </c>
      <c r="M2637" s="108" t="str">
        <f>VLOOKUP($K2637,LUTs!$E$2:$H$14,2,)</f>
        <v>South Puget Sound</v>
      </c>
      <c r="N2637" s="108" t="str">
        <f>VLOOKUP($K2637,LUTs!$E$2:$H$14,4,)</f>
        <v>02South Puget Sound</v>
      </c>
      <c r="O2637" s="108">
        <v>19.8983050847458</v>
      </c>
      <c r="P2637" s="108">
        <v>172.120338983051</v>
      </c>
      <c r="Q2637" s="108">
        <f>SUMIFS('FW_Salmon_by_Month_2010-2021'!P$2:P$3810,'FW_Salmon_by_Month_2010-2021'!$B$2:$B$3810,'Rec_raw_catch_effort_2010-2021'!$B2637,'FW_Salmon_by_Month_2010-2021'!$H$2:$H$3810,'Rec_raw_catch_effort_2010-2021'!$F2637,'FW_Salmon_by_Month_2010-2021'!$M$2:$M$3810,'Rec_raw_catch_effort_2010-2021'!$K2637)</f>
        <v>33.285714285714299</v>
      </c>
      <c r="R2637" s="109">
        <f>VLOOKUP(B2637,Readme!$A$62:$C$74,2,)*Q2637</f>
        <v>160.42232752262544</v>
      </c>
      <c r="S2637" s="140" t="str">
        <f t="shared" si="205"/>
        <v>N</v>
      </c>
      <c r="T2637" s="154">
        <f t="shared" si="206"/>
        <v>8.6499999999999915</v>
      </c>
      <c r="U2637" s="154">
        <f t="shared" si="207"/>
        <v>4.8195549041132084</v>
      </c>
    </row>
    <row r="2638" spans="1:21" x14ac:dyDescent="0.35">
      <c r="A2638" s="108">
        <v>3352</v>
      </c>
      <c r="B2638" s="108">
        <v>2021</v>
      </c>
      <c r="C2638" s="108" t="s">
        <v>38</v>
      </c>
      <c r="D2638" s="108" t="s">
        <v>143</v>
      </c>
      <c r="E2638" s="108" t="s">
        <v>10</v>
      </c>
      <c r="F2638" s="116">
        <v>844</v>
      </c>
      <c r="G2638" s="108" t="s">
        <v>62</v>
      </c>
      <c r="H2638" s="108" t="str">
        <f t="shared" si="204"/>
        <v>Skykomish River</v>
      </c>
      <c r="I2638" s="108" t="str">
        <f>IFERROR(VLOOKUP(H2638,LUTs!$A$1:$C$73,2,FALSE),"NA")</f>
        <v>Snohomish</v>
      </c>
      <c r="J2638" s="108" t="str">
        <f>IFERROR(VLOOKUP(H2638,LUTs!$A$1:$C$73,3,FALSE),"NA")</f>
        <v>2Central Puget Sound</v>
      </c>
      <c r="K2638" s="108" t="s">
        <v>24</v>
      </c>
      <c r="L2638" s="108" t="str">
        <f>VLOOKUP(K2638,LUTs!E$2:G$14,3,)</f>
        <v>11Clallam</v>
      </c>
      <c r="M2638" s="108" t="str">
        <f>VLOOKUP($K2638,LUTs!$E$2:$H$14,2,)</f>
        <v>Strait of Juan de Fuca</v>
      </c>
      <c r="N2638" s="108" t="str">
        <f>VLOOKUP($K2638,LUTs!$E$2:$H$14,4,)</f>
        <v>03Strait of Juan de Fuca</v>
      </c>
      <c r="O2638" s="108">
        <v>9.5263157894736903</v>
      </c>
      <c r="P2638" s="108">
        <v>32.770526315789503</v>
      </c>
      <c r="Q2638" s="108">
        <f>SUMIFS('FW_Salmon_by_Month_2010-2021'!P$2:P$3810,'FW_Salmon_by_Month_2010-2021'!$B$2:$B$3810,'Rec_raw_catch_effort_2010-2021'!$B2638,'FW_Salmon_by_Month_2010-2021'!$H$2:$H$3810,'Rec_raw_catch_effort_2010-2021'!$F2638,'FW_Salmon_by_Month_2010-2021'!$M$2:$M$3810,'Rec_raw_catch_effort_2010-2021'!$K2638)</f>
        <v>35.133333333333297</v>
      </c>
      <c r="R2638" s="109">
        <f>VLOOKUP(B2638,Readme!$A$62:$C$74,2,)*Q2638</f>
        <v>124.33828745102207</v>
      </c>
      <c r="S2638" s="140" t="str">
        <f t="shared" si="205"/>
        <v>N</v>
      </c>
      <c r="T2638" s="154">
        <f t="shared" si="206"/>
        <v>3.4400000000000008</v>
      </c>
      <c r="U2638" s="154">
        <f t="shared" si="207"/>
        <v>3.5390404397824153</v>
      </c>
    </row>
    <row r="2639" spans="1:21" x14ac:dyDescent="0.35">
      <c r="A2639" s="108">
        <v>3364</v>
      </c>
      <c r="B2639" s="108">
        <v>2021</v>
      </c>
      <c r="C2639" s="108" t="s">
        <v>38</v>
      </c>
      <c r="D2639" s="108" t="s">
        <v>143</v>
      </c>
      <c r="E2639" s="108" t="s">
        <v>10</v>
      </c>
      <c r="F2639" s="116">
        <v>844</v>
      </c>
      <c r="G2639" s="108" t="s">
        <v>62</v>
      </c>
      <c r="H2639" s="108" t="str">
        <f t="shared" si="204"/>
        <v>Skykomish River</v>
      </c>
      <c r="I2639" s="108" t="str">
        <f>IFERROR(VLOOKUP(H2639,LUTs!$A$1:$C$73,2,FALSE),"NA")</f>
        <v>Snohomish</v>
      </c>
      <c r="J2639" s="108" t="str">
        <f>IFERROR(VLOOKUP(H2639,LUTs!$A$1:$C$73,3,FALSE),"NA")</f>
        <v>2Central Puget Sound</v>
      </c>
      <c r="K2639" s="108" t="s">
        <v>17</v>
      </c>
      <c r="L2639" s="108" t="str">
        <f>VLOOKUP(K2639,LUTs!E$2:G$14,3,)</f>
        <v>04Island</v>
      </c>
      <c r="M2639" s="108" t="str">
        <f>VLOOKUP($K2639,LUTs!$E$2:$H$14,2,)</f>
        <v>North Puget Sound</v>
      </c>
      <c r="N2639" s="108" t="str">
        <f>VLOOKUP($K2639,LUTs!$E$2:$H$14,4,)</f>
        <v>01North Puget Sound</v>
      </c>
      <c r="O2639" s="108">
        <v>104.789473684211</v>
      </c>
      <c r="P2639" s="108">
        <v>360.47578947368601</v>
      </c>
      <c r="Q2639" s="108">
        <f>SUMIFS('FW_Salmon_by_Month_2010-2021'!P$2:P$3810,'FW_Salmon_by_Month_2010-2021'!$B$2:$B$3810,'Rec_raw_catch_effort_2010-2021'!$B2639,'FW_Salmon_by_Month_2010-2021'!$H$2:$H$3810,'Rec_raw_catch_effort_2010-2021'!$F2639,'FW_Salmon_by_Month_2010-2021'!$M$2:$M$3810,'Rec_raw_catch_effort_2010-2021'!$K2639)</f>
        <v>155.19719331441189</v>
      </c>
      <c r="R2639" s="109">
        <f>VLOOKUP(B2639,Readme!$A$62:$C$74,2,)*Q2639</f>
        <v>549.2491432804328</v>
      </c>
      <c r="S2639" s="140" t="str">
        <f t="shared" si="205"/>
        <v>N</v>
      </c>
      <c r="T2639" s="154">
        <f t="shared" si="206"/>
        <v>3.4400000000000013</v>
      </c>
      <c r="U2639" s="154">
        <f t="shared" si="207"/>
        <v>3.5390404397824153</v>
      </c>
    </row>
    <row r="2640" spans="1:21" x14ac:dyDescent="0.35">
      <c r="A2640" s="108">
        <v>3455</v>
      </c>
      <c r="B2640" s="108">
        <v>2021</v>
      </c>
      <c r="C2640" s="108" t="s">
        <v>38</v>
      </c>
      <c r="D2640" s="108" t="s">
        <v>143</v>
      </c>
      <c r="E2640" s="108" t="s">
        <v>10</v>
      </c>
      <c r="F2640" s="116">
        <v>844</v>
      </c>
      <c r="G2640" s="108" t="s">
        <v>62</v>
      </c>
      <c r="H2640" s="108" t="str">
        <f t="shared" si="204"/>
        <v>Skykomish River</v>
      </c>
      <c r="I2640" s="108" t="str">
        <f>IFERROR(VLOOKUP(H2640,LUTs!$A$1:$C$73,2,FALSE),"NA")</f>
        <v>Snohomish</v>
      </c>
      <c r="J2640" s="108" t="str">
        <f>IFERROR(VLOOKUP(H2640,LUTs!$A$1:$C$73,3,FALSE),"NA")</f>
        <v>2Central Puget Sound</v>
      </c>
      <c r="K2640" s="108" t="s">
        <v>18</v>
      </c>
      <c r="L2640" s="108" t="str">
        <f>VLOOKUP(K2640,LUTs!E$2:G$14,3,)</f>
        <v>06King</v>
      </c>
      <c r="M2640" s="108" t="str">
        <f>VLOOKUP($K2640,LUTs!$E$2:$H$14,2,)</f>
        <v>South Puget Sound</v>
      </c>
      <c r="N2640" s="108" t="str">
        <f>VLOOKUP($K2640,LUTs!$E$2:$H$14,4,)</f>
        <v>02South Puget Sound</v>
      </c>
      <c r="O2640" s="108">
        <v>1009.78947368421</v>
      </c>
      <c r="P2640" s="108">
        <v>3473.6757894736802</v>
      </c>
      <c r="Q2640" s="108">
        <f>SUMIFS('FW_Salmon_by_Month_2010-2021'!P$2:P$3810,'FW_Salmon_by_Month_2010-2021'!$B$2:$B$3810,'Rec_raw_catch_effort_2010-2021'!$B2640,'FW_Salmon_by_Month_2010-2021'!$H$2:$H$3810,'Rec_raw_catch_effort_2010-2021'!$F2640,'FW_Salmon_by_Month_2010-2021'!$M$2:$M$3810,'Rec_raw_catch_effort_2010-2021'!$K2640)</f>
        <v>1073.9170404084309</v>
      </c>
      <c r="R2640" s="109">
        <f>VLOOKUP(B2640,Readme!$A$62:$C$74,2,)*Q2640</f>
        <v>3800.6358349768834</v>
      </c>
      <c r="S2640" s="140" t="str">
        <f t="shared" si="205"/>
        <v>N</v>
      </c>
      <c r="T2640" s="154">
        <f t="shared" si="206"/>
        <v>3.4399999999999982</v>
      </c>
      <c r="U2640" s="154">
        <f t="shared" si="207"/>
        <v>3.5390404397824153</v>
      </c>
    </row>
    <row r="2641" spans="1:21" x14ac:dyDescent="0.35">
      <c r="A2641" s="108">
        <v>1285</v>
      </c>
      <c r="B2641" s="108">
        <v>2021</v>
      </c>
      <c r="C2641" s="108" t="s">
        <v>38</v>
      </c>
      <c r="D2641" s="108" t="s">
        <v>143</v>
      </c>
      <c r="E2641" s="108" t="s">
        <v>10</v>
      </c>
      <c r="F2641" s="116">
        <v>844</v>
      </c>
      <c r="G2641" s="108" t="s">
        <v>62</v>
      </c>
      <c r="H2641" s="108" t="str">
        <f t="shared" si="204"/>
        <v>Skykomish River</v>
      </c>
      <c r="I2641" s="108" t="str">
        <f>IFERROR(VLOOKUP(H2641,LUTs!$A$1:$C$73,2,FALSE),"NA")</f>
        <v>Snohomish</v>
      </c>
      <c r="J2641" s="108" t="str">
        <f>IFERROR(VLOOKUP(H2641,LUTs!$A$1:$C$73,3,FALSE),"NA")</f>
        <v>2Central Puget Sound</v>
      </c>
      <c r="K2641" s="108" t="s">
        <v>26</v>
      </c>
      <c r="L2641" s="108" t="str">
        <f>VLOOKUP(K2641,LUTs!E$2:G$14,3,)</f>
        <v>20Other</v>
      </c>
      <c r="M2641" s="108" t="str">
        <f>VLOOKUP($K2641,LUTs!$E$2:$H$14,2,)</f>
        <v>Non Puget Sound</v>
      </c>
      <c r="N2641" s="108" t="str">
        <f>VLOOKUP($K2641,LUTs!$E$2:$H$14,4,)</f>
        <v>07Non Puget Sound</v>
      </c>
      <c r="O2641" s="108">
        <v>600.15789473684197</v>
      </c>
      <c r="P2641" s="108">
        <v>2064.54315789474</v>
      </c>
      <c r="Q2641" s="108">
        <f>SUMIFS('FW_Salmon_by_Month_2010-2021'!P$2:P$3810,'FW_Salmon_by_Month_2010-2021'!$B$2:$B$3810,'Rec_raw_catch_effort_2010-2021'!$B2641,'FW_Salmon_by_Month_2010-2021'!$H$2:$H$3810,'Rec_raw_catch_effort_2010-2021'!$F2641,'FW_Salmon_by_Month_2010-2021'!$M$2:$M$3810,'Rec_raw_catch_effort_2010-2021'!$K2641)</f>
        <v>498.20869876498983</v>
      </c>
      <c r="R2641" s="109">
        <f>VLOOKUP(B2641,Readme!$A$62:$C$74,2,)*Q2641</f>
        <v>1763.1807323806745</v>
      </c>
      <c r="S2641" s="140" t="str">
        <f t="shared" si="205"/>
        <v>N</v>
      </c>
      <c r="T2641" s="154">
        <f t="shared" si="206"/>
        <v>3.4400000000000062</v>
      </c>
      <c r="U2641" s="154">
        <f t="shared" si="207"/>
        <v>3.5390404397824153</v>
      </c>
    </row>
    <row r="2642" spans="1:21" x14ac:dyDescent="0.35">
      <c r="A2642" s="108">
        <v>3515</v>
      </c>
      <c r="B2642" s="108">
        <v>2021</v>
      </c>
      <c r="C2642" s="108" t="s">
        <v>38</v>
      </c>
      <c r="D2642" s="108" t="s">
        <v>143</v>
      </c>
      <c r="E2642" s="108" t="s">
        <v>10</v>
      </c>
      <c r="F2642" s="116">
        <v>844</v>
      </c>
      <c r="G2642" s="108" t="s">
        <v>62</v>
      </c>
      <c r="H2642" s="108" t="str">
        <f t="shared" si="204"/>
        <v>Skykomish River</v>
      </c>
      <c r="I2642" s="108" t="str">
        <f>IFERROR(VLOOKUP(H2642,LUTs!$A$1:$C$73,2,FALSE),"NA")</f>
        <v>Snohomish</v>
      </c>
      <c r="J2642" s="108" t="str">
        <f>IFERROR(VLOOKUP(H2642,LUTs!$A$1:$C$73,3,FALSE),"NA")</f>
        <v>2Central Puget Sound</v>
      </c>
      <c r="K2642" s="108" t="s">
        <v>20</v>
      </c>
      <c r="L2642" s="108" t="str">
        <f>VLOOKUP(K2642,LUTs!E$2:G$14,3,)</f>
        <v>07Pierce</v>
      </c>
      <c r="M2642" s="108" t="str">
        <f>VLOOKUP($K2642,LUTs!$E$2:$H$14,2,)</f>
        <v>South Puget Sound</v>
      </c>
      <c r="N2642" s="108" t="str">
        <f>VLOOKUP($K2642,LUTs!$E$2:$H$14,4,)</f>
        <v>02South Puget Sound</v>
      </c>
      <c r="O2642" s="108">
        <v>57.157894736842103</v>
      </c>
      <c r="P2642" s="108">
        <v>196.62315789473701</v>
      </c>
      <c r="Q2642" s="108">
        <f>SUMIFS('FW_Salmon_by_Month_2010-2021'!P$2:P$3810,'FW_Salmon_by_Month_2010-2021'!$B$2:$B$3810,'Rec_raw_catch_effort_2010-2021'!$B2642,'FW_Salmon_by_Month_2010-2021'!$H$2:$H$3810,'Rec_raw_catch_effort_2010-2021'!$F2642,'FW_Salmon_by_Month_2010-2021'!$M$2:$M$3810,'Rec_raw_catch_effort_2010-2021'!$K2642)</f>
        <v>106.19053755742507</v>
      </c>
      <c r="R2642" s="109">
        <f>VLOOKUP(B2642,Readme!$A$62:$C$74,2,)*Q2642</f>
        <v>375.81260673796072</v>
      </c>
      <c r="S2642" s="140" t="str">
        <f t="shared" si="205"/>
        <v>N</v>
      </c>
      <c r="T2642" s="154">
        <f t="shared" si="206"/>
        <v>3.4400000000000031</v>
      </c>
      <c r="U2642" s="154">
        <f t="shared" si="207"/>
        <v>3.5390404397824153</v>
      </c>
    </row>
    <row r="2643" spans="1:21" x14ac:dyDescent="0.35">
      <c r="A2643" s="108">
        <v>3273</v>
      </c>
      <c r="B2643" s="108">
        <v>2021</v>
      </c>
      <c r="C2643" s="108" t="s">
        <v>38</v>
      </c>
      <c r="D2643" s="108" t="s">
        <v>143</v>
      </c>
      <c r="E2643" s="108" t="s">
        <v>10</v>
      </c>
      <c r="F2643" s="116">
        <v>844</v>
      </c>
      <c r="G2643" s="108" t="s">
        <v>62</v>
      </c>
      <c r="H2643" s="108" t="str">
        <f t="shared" si="204"/>
        <v>Skykomish River</v>
      </c>
      <c r="I2643" s="108" t="str">
        <f>IFERROR(VLOOKUP(H2643,LUTs!$A$1:$C$73,2,FALSE),"NA")</f>
        <v>Snohomish</v>
      </c>
      <c r="J2643" s="108" t="str">
        <f>IFERROR(VLOOKUP(H2643,LUTs!$A$1:$C$73,3,FALSE),"NA")</f>
        <v>2Central Puget Sound</v>
      </c>
      <c r="K2643" s="108" t="s">
        <v>15</v>
      </c>
      <c r="L2643" s="108" t="str">
        <f>VLOOKUP(K2643,LUTs!E$2:G$14,3,)</f>
        <v>02Skagit</v>
      </c>
      <c r="M2643" s="108" t="str">
        <f>VLOOKUP($K2643,LUTs!$E$2:$H$14,2,)</f>
        <v>North Puget Sound</v>
      </c>
      <c r="N2643" s="108" t="str">
        <f>VLOOKUP($K2643,LUTs!$E$2:$H$14,4,)</f>
        <v>01North Puget Sound</v>
      </c>
      <c r="O2643" s="108">
        <v>19.052631578947398</v>
      </c>
      <c r="P2643" s="108">
        <v>65.541052631579007</v>
      </c>
      <c r="Q2643" s="108">
        <f>SUMIFS('FW_Salmon_by_Month_2010-2021'!P$2:P$3810,'FW_Salmon_by_Month_2010-2021'!$B$2:$B$3810,'Rec_raw_catch_effort_2010-2021'!$B2643,'FW_Salmon_by_Month_2010-2021'!$H$2:$H$3810,'Rec_raw_catch_effort_2010-2021'!$F2643,'FW_Salmon_by_Month_2010-2021'!$M$2:$M$3810,'Rec_raw_catch_effort_2010-2021'!$K2643)</f>
        <v>15.311258278145701</v>
      </c>
      <c r="R2643" s="109">
        <f>VLOOKUP(B2643,Readme!$A$62:$C$74,2,)*Q2643</f>
        <v>54.187162230310911</v>
      </c>
      <c r="S2643" s="140" t="str">
        <f t="shared" si="205"/>
        <v>N</v>
      </c>
      <c r="T2643" s="154">
        <f t="shared" si="206"/>
        <v>3.4399999999999977</v>
      </c>
      <c r="U2643" s="154">
        <f t="shared" si="207"/>
        <v>3.5390404397824153</v>
      </c>
    </row>
    <row r="2644" spans="1:21" x14ac:dyDescent="0.35">
      <c r="A2644" s="108">
        <v>3298</v>
      </c>
      <c r="B2644" s="108">
        <v>2021</v>
      </c>
      <c r="C2644" s="108" t="s">
        <v>38</v>
      </c>
      <c r="D2644" s="108" t="s">
        <v>143</v>
      </c>
      <c r="E2644" s="108" t="s">
        <v>10</v>
      </c>
      <c r="F2644" s="116">
        <v>844</v>
      </c>
      <c r="G2644" s="108" t="s">
        <v>62</v>
      </c>
      <c r="H2644" s="108" t="str">
        <f t="shared" si="204"/>
        <v>Skykomish River</v>
      </c>
      <c r="I2644" s="108" t="str">
        <f>IFERROR(VLOOKUP(H2644,LUTs!$A$1:$C$73,2,FALSE),"NA")</f>
        <v>Snohomish</v>
      </c>
      <c r="J2644" s="108" t="str">
        <f>IFERROR(VLOOKUP(H2644,LUTs!$A$1:$C$73,3,FALSE),"NA")</f>
        <v>2Central Puget Sound</v>
      </c>
      <c r="K2644" s="108" t="s">
        <v>16</v>
      </c>
      <c r="L2644" s="108" t="str">
        <f>VLOOKUP(K2644,LUTs!E$2:G$14,3,)</f>
        <v>03Snohomish</v>
      </c>
      <c r="M2644" s="108" t="str">
        <f>VLOOKUP($K2644,LUTs!$E$2:$H$14,2,)</f>
        <v>North Puget Sound</v>
      </c>
      <c r="N2644" s="108" t="str">
        <f>VLOOKUP($K2644,LUTs!$E$2:$H$14,4,)</f>
        <v>01North Puget Sound</v>
      </c>
      <c r="O2644" s="108">
        <v>1933.84210526316</v>
      </c>
      <c r="P2644" s="108">
        <v>6652.41684210527</v>
      </c>
      <c r="Q2644" s="108">
        <f>SUMIFS('FW_Salmon_by_Month_2010-2021'!P$2:P$3810,'FW_Salmon_by_Month_2010-2021'!$B$2:$B$3810,'Rec_raw_catch_effort_2010-2021'!$B2644,'FW_Salmon_by_Month_2010-2021'!$H$2:$H$3810,'Rec_raw_catch_effort_2010-2021'!$F2644,'FW_Salmon_by_Month_2010-2021'!$M$2:$M$3810,'Rec_raw_catch_effort_2010-2021'!$K2644)</f>
        <v>1850.8608632284104</v>
      </c>
      <c r="R2644" s="109">
        <f>VLOOKUP(B2644,Readme!$A$62:$C$74,2,)*Q2644</f>
        <v>6550.2714433759347</v>
      </c>
      <c r="S2644" s="140" t="str">
        <f t="shared" si="205"/>
        <v>N</v>
      </c>
      <c r="T2644" s="154">
        <f t="shared" si="206"/>
        <v>3.44</v>
      </c>
      <c r="U2644" s="154">
        <f t="shared" si="207"/>
        <v>3.5390404397824153</v>
      </c>
    </row>
    <row r="2645" spans="1:21" x14ac:dyDescent="0.35">
      <c r="A2645" s="108">
        <v>3544</v>
      </c>
      <c r="B2645" s="108">
        <v>2021</v>
      </c>
      <c r="C2645" s="108" t="s">
        <v>38</v>
      </c>
      <c r="D2645" s="108" t="s">
        <v>143</v>
      </c>
      <c r="E2645" s="108" t="s">
        <v>10</v>
      </c>
      <c r="F2645" s="116">
        <v>844</v>
      </c>
      <c r="G2645" s="108" t="s">
        <v>62</v>
      </c>
      <c r="H2645" s="108" t="str">
        <f t="shared" si="204"/>
        <v>Skykomish River</v>
      </c>
      <c r="I2645" s="108" t="str">
        <f>IFERROR(VLOOKUP(H2645,LUTs!$A$1:$C$73,2,FALSE),"NA")</f>
        <v>Snohomish</v>
      </c>
      <c r="J2645" s="108" t="str">
        <f>IFERROR(VLOOKUP(H2645,LUTs!$A$1:$C$73,3,FALSE),"NA")</f>
        <v>2Central Puget Sound</v>
      </c>
      <c r="K2645" s="108" t="s">
        <v>21</v>
      </c>
      <c r="L2645" s="108" t="str">
        <f>VLOOKUP(K2645,LUTs!E$2:G$14,3,)</f>
        <v>08Thurston</v>
      </c>
      <c r="M2645" s="108" t="str">
        <f>VLOOKUP($K2645,LUTs!$E$2:$H$14,2,)</f>
        <v>South Puget Sound</v>
      </c>
      <c r="N2645" s="108" t="str">
        <f>VLOOKUP($K2645,LUTs!$E$2:$H$14,4,)</f>
        <v>02South Puget Sound</v>
      </c>
      <c r="O2645" s="108">
        <v>19.052631578947398</v>
      </c>
      <c r="P2645" s="108">
        <v>65.541052631579007</v>
      </c>
      <c r="Q2645" s="108">
        <f>SUMIFS('FW_Salmon_by_Month_2010-2021'!P$2:P$3810,'FW_Salmon_by_Month_2010-2021'!$B$2:$B$3810,'Rec_raw_catch_effort_2010-2021'!$B2645,'FW_Salmon_by_Month_2010-2021'!$H$2:$H$3810,'Rec_raw_catch_effort_2010-2021'!$F2645,'FW_Salmon_by_Month_2010-2021'!$M$2:$M$3810,'Rec_raw_catch_effort_2010-2021'!$K2645)</f>
        <v>29.891891891891898</v>
      </c>
      <c r="R2645" s="109">
        <f>VLOOKUP(B2645,Readme!$A$62:$C$74,2,)*Q2645</f>
        <v>105.78861422700952</v>
      </c>
      <c r="S2645" s="140" t="str">
        <f t="shared" si="205"/>
        <v>N</v>
      </c>
      <c r="T2645" s="154">
        <f t="shared" si="206"/>
        <v>3.4399999999999977</v>
      </c>
      <c r="U2645" s="154">
        <f t="shared" si="207"/>
        <v>3.5390404397824153</v>
      </c>
    </row>
    <row r="2646" spans="1:21" x14ac:dyDescent="0.35">
      <c r="A2646" s="108">
        <v>3272</v>
      </c>
      <c r="B2646" s="108">
        <v>2021</v>
      </c>
      <c r="C2646" s="108" t="s">
        <v>38</v>
      </c>
      <c r="D2646" s="108" t="s">
        <v>143</v>
      </c>
      <c r="E2646" s="108" t="s">
        <v>10</v>
      </c>
      <c r="F2646" s="116">
        <v>844</v>
      </c>
      <c r="G2646" s="108" t="s">
        <v>62</v>
      </c>
      <c r="H2646" s="108" t="str">
        <f t="shared" si="204"/>
        <v>Skykomish River</v>
      </c>
      <c r="I2646" s="108" t="str">
        <f>IFERROR(VLOOKUP(H2646,LUTs!$A$1:$C$73,2,FALSE),"NA")</f>
        <v>Snohomish</v>
      </c>
      <c r="J2646" s="108" t="str">
        <f>IFERROR(VLOOKUP(H2646,LUTs!$A$1:$C$73,3,FALSE),"NA")</f>
        <v>2Central Puget Sound</v>
      </c>
      <c r="K2646" s="108" t="s">
        <v>13</v>
      </c>
      <c r="L2646" s="108" t="str">
        <f>VLOOKUP(K2646,LUTs!E$2:G$14,3,)</f>
        <v>01Whatcom</v>
      </c>
      <c r="M2646" s="108" t="str">
        <f>VLOOKUP($K2646,LUTs!$E$2:$H$14,2,)</f>
        <v>North Puget Sound</v>
      </c>
      <c r="N2646" s="108" t="str">
        <f>VLOOKUP($K2646,LUTs!$E$2:$H$14,4,)</f>
        <v>01North Puget Sound</v>
      </c>
      <c r="O2646" s="108">
        <v>47.631578947368403</v>
      </c>
      <c r="P2646" s="108">
        <v>163.85263157894701</v>
      </c>
      <c r="Q2646" s="108">
        <f>SUMIFS('FW_Salmon_by_Month_2010-2021'!P$2:P$3810,'FW_Salmon_by_Month_2010-2021'!$B$2:$B$3810,'Rec_raw_catch_effort_2010-2021'!$B2646,'FW_Salmon_by_Month_2010-2021'!$H$2:$H$3810,'Rec_raw_catch_effort_2010-2021'!$F2646,'FW_Salmon_by_Month_2010-2021'!$M$2:$M$3810,'Rec_raw_catch_effort_2010-2021'!$K2646)</f>
        <v>36.289183222958073</v>
      </c>
      <c r="R2646" s="109">
        <f>VLOOKUP(B2646,Readme!$A$62:$C$74,2,)*Q2646</f>
        <v>128.42888695272219</v>
      </c>
      <c r="S2646" s="140" t="str">
        <f t="shared" si="205"/>
        <v>N</v>
      </c>
      <c r="T2646" s="154">
        <f t="shared" si="206"/>
        <v>3.4399999999999937</v>
      </c>
      <c r="U2646" s="154">
        <f t="shared" si="207"/>
        <v>3.5390404397824158</v>
      </c>
    </row>
    <row r="2647" spans="1:21" x14ac:dyDescent="0.35">
      <c r="A2647" s="108">
        <v>3585</v>
      </c>
      <c r="B2647" s="108">
        <v>2010</v>
      </c>
      <c r="C2647" s="108" t="s">
        <v>38</v>
      </c>
      <c r="D2647" s="108" t="s">
        <v>143</v>
      </c>
      <c r="E2647" s="108" t="s">
        <v>10</v>
      </c>
      <c r="F2647" s="116">
        <v>850</v>
      </c>
      <c r="G2647" s="108" t="s">
        <v>63</v>
      </c>
      <c r="H2647" s="108" t="str">
        <f t="shared" si="204"/>
        <v>Snohomish River</v>
      </c>
      <c r="I2647" s="108" t="str">
        <f>IFERROR(VLOOKUP(H2647,LUTs!$A$1:$C$73,2,FALSE),"NA")</f>
        <v>Snohomish</v>
      </c>
      <c r="J2647" s="108" t="str">
        <f>IFERROR(VLOOKUP(H2647,LUTs!$A$1:$C$73,3,FALSE),"NA")</f>
        <v>2Central Puget Sound</v>
      </c>
      <c r="K2647" s="108" t="s">
        <v>25</v>
      </c>
      <c r="L2647" s="108" t="str">
        <f>VLOOKUP(K2647,LUTs!E$2:G$14,3,)</f>
        <v>12Jefferson</v>
      </c>
      <c r="M2647" s="108" t="str">
        <f>VLOOKUP($K2647,LUTs!$E$2:$H$14,2,)</f>
        <v>Strait of Juan de Fuca</v>
      </c>
      <c r="N2647" s="108" t="str">
        <f>VLOOKUP($K2647,LUTs!$E$2:$H$14,4,)</f>
        <v>03Strait of Juan de Fuca</v>
      </c>
      <c r="O2647" s="108">
        <v>6</v>
      </c>
      <c r="P2647" s="108">
        <v>51.9</v>
      </c>
      <c r="Q2647" s="108">
        <f>SUMIFS('FW_Salmon_by_Month_2010-2021'!P$2:P$3810,'FW_Salmon_by_Month_2010-2021'!$B$2:$B$3810,'Rec_raw_catch_effort_2010-2021'!$B2647,'FW_Salmon_by_Month_2010-2021'!$H$2:$H$3810,'Rec_raw_catch_effort_2010-2021'!$F2647,'FW_Salmon_by_Month_2010-2021'!$M$2:$M$3810,'Rec_raw_catch_effort_2010-2021'!$K2647)</f>
        <v>6.1833333333333398</v>
      </c>
      <c r="R2647" s="109">
        <f>VLOOKUP(B2647,Readme!$A$62:$C$74,2,)*Q2647</f>
        <v>29.800914490433371</v>
      </c>
      <c r="S2647" s="140" t="str">
        <f t="shared" si="205"/>
        <v>Y</v>
      </c>
      <c r="T2647" s="154">
        <f t="shared" si="206"/>
        <v>8.65</v>
      </c>
      <c r="U2647" s="154">
        <f t="shared" si="207"/>
        <v>4.8195549041132084</v>
      </c>
    </row>
    <row r="2648" spans="1:21" x14ac:dyDescent="0.35">
      <c r="A2648" s="108">
        <v>3574</v>
      </c>
      <c r="B2648" s="108">
        <v>2010</v>
      </c>
      <c r="C2648" s="108" t="s">
        <v>38</v>
      </c>
      <c r="D2648" s="108" t="s">
        <v>143</v>
      </c>
      <c r="E2648" s="108" t="s">
        <v>10</v>
      </c>
      <c r="F2648" s="116">
        <v>850</v>
      </c>
      <c r="G2648" s="108" t="s">
        <v>63</v>
      </c>
      <c r="H2648" s="108" t="str">
        <f t="shared" si="204"/>
        <v>Snohomish River</v>
      </c>
      <c r="I2648" s="108" t="str">
        <f>IFERROR(VLOOKUP(H2648,LUTs!$A$1:$C$73,2,FALSE),"NA")</f>
        <v>Snohomish</v>
      </c>
      <c r="J2648" s="108" t="str">
        <f>IFERROR(VLOOKUP(H2648,LUTs!$A$1:$C$73,3,FALSE),"NA")</f>
        <v>2Central Puget Sound</v>
      </c>
      <c r="K2648" s="108" t="s">
        <v>18</v>
      </c>
      <c r="L2648" s="108" t="str">
        <f>VLOOKUP(K2648,LUTs!E$2:G$14,3,)</f>
        <v>06King</v>
      </c>
      <c r="M2648" s="108" t="str">
        <f>VLOOKUP($K2648,LUTs!$E$2:$H$14,2,)</f>
        <v>South Puget Sound</v>
      </c>
      <c r="N2648" s="108" t="str">
        <f>VLOOKUP($K2648,LUTs!$E$2:$H$14,4,)</f>
        <v>02South Puget Sound</v>
      </c>
      <c r="O2648" s="108">
        <v>114</v>
      </c>
      <c r="P2648" s="108">
        <v>986.1</v>
      </c>
      <c r="Q2648" s="108">
        <f>SUMIFS('FW_Salmon_by_Month_2010-2021'!P$2:P$3810,'FW_Salmon_by_Month_2010-2021'!$B$2:$B$3810,'Rec_raw_catch_effort_2010-2021'!$B2648,'FW_Salmon_by_Month_2010-2021'!$H$2:$H$3810,'Rec_raw_catch_effort_2010-2021'!$F2648,'FW_Salmon_by_Month_2010-2021'!$M$2:$M$3810,'Rec_raw_catch_effort_2010-2021'!$K2648)</f>
        <v>105.1452380952381</v>
      </c>
      <c r="R2648" s="109">
        <f>VLOOKUP(B2648,Readme!$A$62:$C$74,2,)*Q2648</f>
        <v>506.75324790605572</v>
      </c>
      <c r="S2648" s="140" t="str">
        <f t="shared" si="205"/>
        <v>Y</v>
      </c>
      <c r="T2648" s="154">
        <f t="shared" si="206"/>
        <v>8.65</v>
      </c>
      <c r="U2648" s="154">
        <f t="shared" si="207"/>
        <v>4.8195549041132084</v>
      </c>
    </row>
    <row r="2649" spans="1:21" x14ac:dyDescent="0.35">
      <c r="A2649" s="108">
        <v>3586</v>
      </c>
      <c r="B2649" s="108">
        <v>2010</v>
      </c>
      <c r="C2649" s="108" t="s">
        <v>38</v>
      </c>
      <c r="D2649" s="108" t="s">
        <v>143</v>
      </c>
      <c r="E2649" s="108" t="s">
        <v>10</v>
      </c>
      <c r="F2649" s="116">
        <v>850</v>
      </c>
      <c r="G2649" s="108" t="s">
        <v>63</v>
      </c>
      <c r="H2649" s="108" t="str">
        <f t="shared" si="204"/>
        <v>Snohomish River</v>
      </c>
      <c r="I2649" s="108" t="str">
        <f>IFERROR(VLOOKUP(H2649,LUTs!$A$1:$C$73,2,FALSE),"NA")</f>
        <v>Snohomish</v>
      </c>
      <c r="J2649" s="108" t="str">
        <f>IFERROR(VLOOKUP(H2649,LUTs!$A$1:$C$73,3,FALSE),"NA")</f>
        <v>2Central Puget Sound</v>
      </c>
      <c r="K2649" s="108" t="s">
        <v>26</v>
      </c>
      <c r="L2649" s="108" t="str">
        <f>VLOOKUP(K2649,LUTs!E$2:G$14,3,)</f>
        <v>20Other</v>
      </c>
      <c r="M2649" s="108" t="str">
        <f>VLOOKUP($K2649,LUTs!$E$2:$H$14,2,)</f>
        <v>Non Puget Sound</v>
      </c>
      <c r="N2649" s="108" t="str">
        <f>VLOOKUP($K2649,LUTs!$E$2:$H$14,4,)</f>
        <v>07Non Puget Sound</v>
      </c>
      <c r="O2649" s="108">
        <v>18</v>
      </c>
      <c r="P2649" s="108">
        <v>155.69999999999999</v>
      </c>
      <c r="Q2649" s="108">
        <f>SUMIFS('FW_Salmon_by_Month_2010-2021'!P$2:P$3810,'FW_Salmon_by_Month_2010-2021'!$B$2:$B$3810,'Rec_raw_catch_effort_2010-2021'!$B2649,'FW_Salmon_by_Month_2010-2021'!$H$2:$H$3810,'Rec_raw_catch_effort_2010-2021'!$F2649,'FW_Salmon_by_Month_2010-2021'!$M$2:$M$3810,'Rec_raw_catch_effort_2010-2021'!$K2649)</f>
        <v>18.55</v>
      </c>
      <c r="R2649" s="109">
        <f>VLOOKUP(B2649,Readme!$A$62:$C$74,2,)*Q2649</f>
        <v>89.402743471300013</v>
      </c>
      <c r="S2649" s="140" t="str">
        <f t="shared" si="205"/>
        <v>Y</v>
      </c>
      <c r="T2649" s="154">
        <f t="shared" si="206"/>
        <v>8.6499999999999986</v>
      </c>
      <c r="U2649" s="154">
        <f t="shared" si="207"/>
        <v>4.8195549041132084</v>
      </c>
    </row>
    <row r="2650" spans="1:21" x14ac:dyDescent="0.35">
      <c r="A2650" s="108">
        <v>3584</v>
      </c>
      <c r="B2650" s="108">
        <v>2010</v>
      </c>
      <c r="C2650" s="108" t="s">
        <v>38</v>
      </c>
      <c r="D2650" s="108" t="s">
        <v>143</v>
      </c>
      <c r="E2650" s="108" t="s">
        <v>10</v>
      </c>
      <c r="F2650" s="116">
        <v>850</v>
      </c>
      <c r="G2650" s="108" t="s">
        <v>63</v>
      </c>
      <c r="H2650" s="108" t="str">
        <f t="shared" si="204"/>
        <v>Snohomish River</v>
      </c>
      <c r="I2650" s="108" t="str">
        <f>IFERROR(VLOOKUP(H2650,LUTs!$A$1:$C$73,2,FALSE),"NA")</f>
        <v>Snohomish</v>
      </c>
      <c r="J2650" s="108" t="str">
        <f>IFERROR(VLOOKUP(H2650,LUTs!$A$1:$C$73,3,FALSE),"NA")</f>
        <v>2Central Puget Sound</v>
      </c>
      <c r="K2650" s="108" t="s">
        <v>20</v>
      </c>
      <c r="L2650" s="108" t="str">
        <f>VLOOKUP(K2650,LUTs!E$2:G$14,3,)</f>
        <v>07Pierce</v>
      </c>
      <c r="M2650" s="108" t="str">
        <f>VLOOKUP($K2650,LUTs!$E$2:$H$14,2,)</f>
        <v>South Puget Sound</v>
      </c>
      <c r="N2650" s="108" t="str">
        <f>VLOOKUP($K2650,LUTs!$E$2:$H$14,4,)</f>
        <v>02South Puget Sound</v>
      </c>
      <c r="O2650" s="108">
        <v>30</v>
      </c>
      <c r="P2650" s="108">
        <v>259.5</v>
      </c>
      <c r="Q2650" s="108">
        <f>SUMIFS('FW_Salmon_by_Month_2010-2021'!P$2:P$3810,'FW_Salmon_by_Month_2010-2021'!$B$2:$B$3810,'Rec_raw_catch_effort_2010-2021'!$B2650,'FW_Salmon_by_Month_2010-2021'!$H$2:$H$3810,'Rec_raw_catch_effort_2010-2021'!$F2650,'FW_Salmon_by_Month_2010-2021'!$M$2:$M$3810,'Rec_raw_catch_effort_2010-2021'!$K2650)</f>
        <v>24.735714285714291</v>
      </c>
      <c r="R2650" s="109">
        <f>VLOOKUP(B2650,Readme!$A$62:$C$74,2,)*Q2650</f>
        <v>119.21513309245746</v>
      </c>
      <c r="S2650" s="140" t="str">
        <f t="shared" si="205"/>
        <v>Y</v>
      </c>
      <c r="T2650" s="154">
        <f t="shared" si="206"/>
        <v>8.65</v>
      </c>
      <c r="U2650" s="154">
        <f t="shared" si="207"/>
        <v>4.8195549041132084</v>
      </c>
    </row>
    <row r="2651" spans="1:21" x14ac:dyDescent="0.35">
      <c r="A2651" s="108">
        <v>3569</v>
      </c>
      <c r="B2651" s="108">
        <v>2010</v>
      </c>
      <c r="C2651" s="108" t="s">
        <v>38</v>
      </c>
      <c r="D2651" s="108" t="s">
        <v>143</v>
      </c>
      <c r="E2651" s="108" t="s">
        <v>10</v>
      </c>
      <c r="F2651" s="116">
        <v>850</v>
      </c>
      <c r="G2651" s="108" t="s">
        <v>63</v>
      </c>
      <c r="H2651" s="108" t="str">
        <f t="shared" si="204"/>
        <v>Snohomish River</v>
      </c>
      <c r="I2651" s="108" t="str">
        <f>IFERROR(VLOOKUP(H2651,LUTs!$A$1:$C$73,2,FALSE),"NA")</f>
        <v>Snohomish</v>
      </c>
      <c r="J2651" s="108" t="str">
        <f>IFERROR(VLOOKUP(H2651,LUTs!$A$1:$C$73,3,FALSE),"NA")</f>
        <v>2Central Puget Sound</v>
      </c>
      <c r="K2651" s="108" t="s">
        <v>15</v>
      </c>
      <c r="L2651" s="108" t="str">
        <f>VLOOKUP(K2651,LUTs!E$2:G$14,3,)</f>
        <v>02Skagit</v>
      </c>
      <c r="M2651" s="108" t="str">
        <f>VLOOKUP($K2651,LUTs!$E$2:$H$14,2,)</f>
        <v>North Puget Sound</v>
      </c>
      <c r="N2651" s="108" t="str">
        <f>VLOOKUP($K2651,LUTs!$E$2:$H$14,4,)</f>
        <v>01North Puget Sound</v>
      </c>
      <c r="O2651" s="108">
        <v>18</v>
      </c>
      <c r="P2651" s="108">
        <v>155.69999999999999</v>
      </c>
      <c r="Q2651" s="108">
        <f>SUMIFS('FW_Salmon_by_Month_2010-2021'!P$2:P$3810,'FW_Salmon_by_Month_2010-2021'!$B$2:$B$3810,'Rec_raw_catch_effort_2010-2021'!$B2651,'FW_Salmon_by_Month_2010-2021'!$H$2:$H$3810,'Rec_raw_catch_effort_2010-2021'!$F2651,'FW_Salmon_by_Month_2010-2021'!$M$2:$M$3810,'Rec_raw_catch_effort_2010-2021'!$K2651)</f>
        <v>18.5571428571429</v>
      </c>
      <c r="R2651" s="109">
        <f>VLOOKUP(B2651,Readme!$A$62:$C$74,2,)*Q2651</f>
        <v>89.437168863472465</v>
      </c>
      <c r="S2651" s="140" t="str">
        <f t="shared" si="205"/>
        <v>Y</v>
      </c>
      <c r="T2651" s="154">
        <f t="shared" si="206"/>
        <v>8.6499999999999986</v>
      </c>
      <c r="U2651" s="154">
        <f t="shared" si="207"/>
        <v>4.8195549041132084</v>
      </c>
    </row>
    <row r="2652" spans="1:21" x14ac:dyDescent="0.35">
      <c r="A2652" s="108">
        <v>3573</v>
      </c>
      <c r="B2652" s="108">
        <v>2010</v>
      </c>
      <c r="C2652" s="108" t="s">
        <v>38</v>
      </c>
      <c r="D2652" s="108" t="s">
        <v>143</v>
      </c>
      <c r="E2652" s="108" t="s">
        <v>10</v>
      </c>
      <c r="F2652" s="116">
        <v>850</v>
      </c>
      <c r="G2652" s="108" t="s">
        <v>63</v>
      </c>
      <c r="H2652" s="108" t="str">
        <f t="shared" si="204"/>
        <v>Snohomish River</v>
      </c>
      <c r="I2652" s="108" t="str">
        <f>IFERROR(VLOOKUP(H2652,LUTs!$A$1:$C$73,2,FALSE),"NA")</f>
        <v>Snohomish</v>
      </c>
      <c r="J2652" s="108" t="str">
        <f>IFERROR(VLOOKUP(H2652,LUTs!$A$1:$C$73,3,FALSE),"NA")</f>
        <v>2Central Puget Sound</v>
      </c>
      <c r="K2652" s="108" t="s">
        <v>16</v>
      </c>
      <c r="L2652" s="108" t="str">
        <f>VLOOKUP(K2652,LUTs!E$2:G$14,3,)</f>
        <v>03Snohomish</v>
      </c>
      <c r="M2652" s="108" t="str">
        <f>VLOOKUP($K2652,LUTs!$E$2:$H$14,2,)</f>
        <v>North Puget Sound</v>
      </c>
      <c r="N2652" s="108" t="str">
        <f>VLOOKUP($K2652,LUTs!$E$2:$H$14,4,)</f>
        <v>01North Puget Sound</v>
      </c>
      <c r="O2652" s="108">
        <v>624</v>
      </c>
      <c r="P2652" s="108">
        <v>5397.6</v>
      </c>
      <c r="Q2652" s="108">
        <f>SUMIFS('FW_Salmon_by_Month_2010-2021'!P$2:P$3810,'FW_Salmon_by_Month_2010-2021'!$B$2:$B$3810,'Rec_raw_catch_effort_2010-2021'!$B2652,'FW_Salmon_by_Month_2010-2021'!$H$2:$H$3810,'Rec_raw_catch_effort_2010-2021'!$F2652,'FW_Salmon_by_Month_2010-2021'!$M$2:$M$3810,'Rec_raw_catch_effort_2010-2021'!$K2652)</f>
        <v>636.82857142857199</v>
      </c>
      <c r="R2652" s="109">
        <f>VLOOKUP(B2652,Readme!$A$62:$C$74,2,)*Q2652</f>
        <v>3069.2302645079826</v>
      </c>
      <c r="S2652" s="140" t="str">
        <f t="shared" si="205"/>
        <v>Y</v>
      </c>
      <c r="T2652" s="154">
        <f t="shared" si="206"/>
        <v>8.65</v>
      </c>
      <c r="U2652" s="154">
        <f t="shared" si="207"/>
        <v>4.8195549041132084</v>
      </c>
    </row>
    <row r="2653" spans="1:21" x14ac:dyDescent="0.35">
      <c r="A2653" s="108">
        <v>3658</v>
      </c>
      <c r="B2653" s="108">
        <v>2011</v>
      </c>
      <c r="C2653" s="108" t="s">
        <v>38</v>
      </c>
      <c r="D2653" s="108" t="s">
        <v>143</v>
      </c>
      <c r="E2653" s="108" t="s">
        <v>10</v>
      </c>
      <c r="F2653" s="116">
        <v>850</v>
      </c>
      <c r="G2653" s="108" t="s">
        <v>63</v>
      </c>
      <c r="H2653" s="108" t="str">
        <f t="shared" si="204"/>
        <v>Snohomish River</v>
      </c>
      <c r="I2653" s="108" t="str">
        <f>IFERROR(VLOOKUP(H2653,LUTs!$A$1:$C$73,2,FALSE),"NA")</f>
        <v>Snohomish</v>
      </c>
      <c r="J2653" s="108" t="str">
        <f>IFERROR(VLOOKUP(H2653,LUTs!$A$1:$C$73,3,FALSE),"NA")</f>
        <v>2Central Puget Sound</v>
      </c>
      <c r="K2653" s="108" t="s">
        <v>24</v>
      </c>
      <c r="L2653" s="108" t="str">
        <f>VLOOKUP(K2653,LUTs!E$2:G$14,3,)</f>
        <v>11Clallam</v>
      </c>
      <c r="M2653" s="108" t="str">
        <f>VLOOKUP($K2653,LUTs!$E$2:$H$14,2,)</f>
        <v>Strait of Juan de Fuca</v>
      </c>
      <c r="N2653" s="108" t="str">
        <f>VLOOKUP($K2653,LUTs!$E$2:$H$14,4,)</f>
        <v>03Strait of Juan de Fuca</v>
      </c>
      <c r="O2653" s="108">
        <v>36.0342619276337</v>
      </c>
      <c r="P2653" s="108">
        <v>123.95786103106001</v>
      </c>
      <c r="Q2653" s="108">
        <f>SUMIFS('FW_Salmon_by_Month_2010-2021'!P$2:P$3810,'FW_Salmon_by_Month_2010-2021'!$B$2:$B$3810,'Rec_raw_catch_effort_2010-2021'!$B2653,'FW_Salmon_by_Month_2010-2021'!$H$2:$H$3810,'Rec_raw_catch_effort_2010-2021'!$F2653,'FW_Salmon_by_Month_2010-2021'!$M$2:$M$3810,'Rec_raw_catch_effort_2010-2021'!$K2653)</f>
        <v>37.528232825960778</v>
      </c>
      <c r="R2653" s="109">
        <f>VLOOKUP(B2653,Readme!$A$62:$C$74,2,)*Q2653</f>
        <v>132.81393360464511</v>
      </c>
      <c r="S2653" s="140" t="str">
        <f t="shared" si="205"/>
        <v>Y</v>
      </c>
      <c r="T2653" s="154">
        <f t="shared" si="206"/>
        <v>3.4400000000000022</v>
      </c>
      <c r="U2653" s="154">
        <f t="shared" si="207"/>
        <v>3.5390404397824153</v>
      </c>
    </row>
    <row r="2654" spans="1:21" x14ac:dyDescent="0.35">
      <c r="A2654" s="108">
        <v>3635</v>
      </c>
      <c r="B2654" s="108">
        <v>2011</v>
      </c>
      <c r="C2654" s="108" t="s">
        <v>38</v>
      </c>
      <c r="D2654" s="108" t="s">
        <v>143</v>
      </c>
      <c r="E2654" s="108" t="s">
        <v>10</v>
      </c>
      <c r="F2654" s="116">
        <v>850</v>
      </c>
      <c r="G2654" s="108" t="s">
        <v>63</v>
      </c>
      <c r="H2654" s="108" t="str">
        <f t="shared" si="204"/>
        <v>Snohomish River</v>
      </c>
      <c r="I2654" s="108" t="str">
        <f>IFERROR(VLOOKUP(H2654,LUTs!$A$1:$C$73,2,FALSE),"NA")</f>
        <v>Snohomish</v>
      </c>
      <c r="J2654" s="108" t="str">
        <f>IFERROR(VLOOKUP(H2654,LUTs!$A$1:$C$73,3,FALSE),"NA")</f>
        <v>2Central Puget Sound</v>
      </c>
      <c r="K2654" s="108" t="s">
        <v>17</v>
      </c>
      <c r="L2654" s="108" t="str">
        <f>VLOOKUP(K2654,LUTs!E$2:G$14,3,)</f>
        <v>04Island</v>
      </c>
      <c r="M2654" s="108" t="str">
        <f>VLOOKUP($K2654,LUTs!$E$2:$H$14,2,)</f>
        <v>North Puget Sound</v>
      </c>
      <c r="N2654" s="108" t="str">
        <f>VLOOKUP($K2654,LUTs!$E$2:$H$14,4,)</f>
        <v>01North Puget Sound</v>
      </c>
      <c r="O2654" s="108">
        <v>43.241114313160402</v>
      </c>
      <c r="P2654" s="108">
        <v>148.749433237272</v>
      </c>
      <c r="Q2654" s="108">
        <f>SUMIFS('FW_Salmon_by_Month_2010-2021'!P$2:P$3810,'FW_Salmon_by_Month_2010-2021'!$B$2:$B$3810,'Rec_raw_catch_effort_2010-2021'!$B2654,'FW_Salmon_by_Month_2010-2021'!$H$2:$H$3810,'Rec_raw_catch_effort_2010-2021'!$F2654,'FW_Salmon_by_Month_2010-2021'!$M$2:$M$3810,'Rec_raw_catch_effort_2010-2021'!$K2654)</f>
        <v>45.121972477938797</v>
      </c>
      <c r="R2654" s="109">
        <f>VLOOKUP(B2654,Readme!$A$62:$C$74,2,)*Q2654</f>
        <v>159.68848532217456</v>
      </c>
      <c r="S2654" s="140" t="str">
        <f t="shared" si="205"/>
        <v>Y</v>
      </c>
      <c r="T2654" s="154">
        <f t="shared" si="206"/>
        <v>3.4400000000000048</v>
      </c>
      <c r="U2654" s="154">
        <f t="shared" si="207"/>
        <v>3.5390404397824153</v>
      </c>
    </row>
    <row r="2655" spans="1:21" x14ac:dyDescent="0.35">
      <c r="A2655" s="108">
        <v>3636</v>
      </c>
      <c r="B2655" s="108">
        <v>2011</v>
      </c>
      <c r="C2655" s="108" t="s">
        <v>38</v>
      </c>
      <c r="D2655" s="108" t="s">
        <v>143</v>
      </c>
      <c r="E2655" s="108" t="s">
        <v>10</v>
      </c>
      <c r="F2655" s="116">
        <v>850</v>
      </c>
      <c r="G2655" s="108" t="s">
        <v>63</v>
      </c>
      <c r="H2655" s="108" t="str">
        <f t="shared" si="204"/>
        <v>Snohomish River</v>
      </c>
      <c r="I2655" s="108" t="str">
        <f>IFERROR(VLOOKUP(H2655,LUTs!$A$1:$C$73,2,FALSE),"NA")</f>
        <v>Snohomish</v>
      </c>
      <c r="J2655" s="108" t="str">
        <f>IFERROR(VLOOKUP(H2655,LUTs!$A$1:$C$73,3,FALSE),"NA")</f>
        <v>2Central Puget Sound</v>
      </c>
      <c r="K2655" s="108" t="s">
        <v>18</v>
      </c>
      <c r="L2655" s="108" t="str">
        <f>VLOOKUP(K2655,LUTs!E$2:G$14,3,)</f>
        <v>06King</v>
      </c>
      <c r="M2655" s="108" t="str">
        <f>VLOOKUP($K2655,LUTs!$E$2:$H$14,2,)</f>
        <v>South Puget Sound</v>
      </c>
      <c r="N2655" s="108" t="str">
        <f>VLOOKUP($K2655,LUTs!$E$2:$H$14,4,)</f>
        <v>02South Puget Sound</v>
      </c>
      <c r="O2655" s="108">
        <v>14320.0156900416</v>
      </c>
      <c r="P2655" s="108">
        <v>49260.853973743098</v>
      </c>
      <c r="Q2655" s="108">
        <f>SUMIFS('FW_Salmon_by_Month_2010-2021'!P$2:P$3810,'FW_Salmon_by_Month_2010-2021'!$B$2:$B$3810,'Rec_raw_catch_effort_2010-2021'!$B2655,'FW_Salmon_by_Month_2010-2021'!$H$2:$H$3810,'Rec_raw_catch_effort_2010-2021'!$F2655,'FW_Salmon_by_Month_2010-2021'!$M$2:$M$3810,'Rec_raw_catch_effort_2010-2021'!$K2655)</f>
        <v>13989.619986097501</v>
      </c>
      <c r="R2655" s="109">
        <f>VLOOKUP(B2655,Readme!$A$62:$C$74,2,)*Q2655</f>
        <v>49509.830867987366</v>
      </c>
      <c r="S2655" s="140" t="str">
        <f t="shared" si="205"/>
        <v>Y</v>
      </c>
      <c r="T2655" s="154">
        <f t="shared" si="206"/>
        <v>3.4399999999999995</v>
      </c>
      <c r="U2655" s="154">
        <f t="shared" si="207"/>
        <v>3.5390404397824153</v>
      </c>
    </row>
    <row r="2656" spans="1:21" x14ac:dyDescent="0.35">
      <c r="A2656" s="108">
        <v>3657</v>
      </c>
      <c r="B2656" s="108">
        <v>2011</v>
      </c>
      <c r="C2656" s="108" t="s">
        <v>38</v>
      </c>
      <c r="D2656" s="108" t="s">
        <v>143</v>
      </c>
      <c r="E2656" s="108" t="s">
        <v>10</v>
      </c>
      <c r="F2656" s="116">
        <v>850</v>
      </c>
      <c r="G2656" s="108" t="s">
        <v>63</v>
      </c>
      <c r="H2656" s="108" t="str">
        <f t="shared" si="204"/>
        <v>Snohomish River</v>
      </c>
      <c r="I2656" s="108" t="str">
        <f>IFERROR(VLOOKUP(H2656,LUTs!$A$1:$C$73,2,FALSE),"NA")</f>
        <v>Snohomish</v>
      </c>
      <c r="J2656" s="108" t="str">
        <f>IFERROR(VLOOKUP(H2656,LUTs!$A$1:$C$73,3,FALSE),"NA")</f>
        <v>2Central Puget Sound</v>
      </c>
      <c r="K2656" s="108" t="s">
        <v>23</v>
      </c>
      <c r="L2656" s="108" t="str">
        <f>VLOOKUP(K2656,LUTs!E$2:G$14,3,)</f>
        <v>10Kitsap</v>
      </c>
      <c r="M2656" s="108" t="str">
        <f>VLOOKUP($K2656,LUTs!$E$2:$H$14,2,)</f>
        <v>South Puget Sound</v>
      </c>
      <c r="N2656" s="108" t="str">
        <f>VLOOKUP($K2656,LUTs!$E$2:$H$14,4,)</f>
        <v>02South Puget Sound</v>
      </c>
      <c r="O2656" s="108">
        <v>50.447966698687203</v>
      </c>
      <c r="P2656" s="108">
        <v>173.54100544348401</v>
      </c>
      <c r="Q2656" s="108">
        <f>SUMIFS('FW_Salmon_by_Month_2010-2021'!P$2:P$3810,'FW_Salmon_by_Month_2010-2021'!$B$2:$B$3810,'Rec_raw_catch_effort_2010-2021'!$B2656,'FW_Salmon_by_Month_2010-2021'!$H$2:$H$3810,'Rec_raw_catch_effort_2010-2021'!$F2656,'FW_Salmon_by_Month_2010-2021'!$M$2:$M$3810,'Rec_raw_catch_effort_2010-2021'!$K2656)</f>
        <v>52.633450817045798</v>
      </c>
      <c r="R2656" s="109">
        <f>VLOOKUP(B2656,Readme!$A$62:$C$74,2,)*Q2656</f>
        <v>186.27191092682389</v>
      </c>
      <c r="S2656" s="140" t="str">
        <f t="shared" si="205"/>
        <v>Y</v>
      </c>
      <c r="T2656" s="154">
        <f t="shared" si="206"/>
        <v>3.4400000000000008</v>
      </c>
      <c r="U2656" s="154">
        <f t="shared" si="207"/>
        <v>3.5390404397824153</v>
      </c>
    </row>
    <row r="2657" spans="1:21" x14ac:dyDescent="0.35">
      <c r="A2657" s="108">
        <v>3656</v>
      </c>
      <c r="B2657" s="108">
        <v>2011</v>
      </c>
      <c r="C2657" s="108" t="s">
        <v>38</v>
      </c>
      <c r="D2657" s="108" t="s">
        <v>143</v>
      </c>
      <c r="E2657" s="108" t="s">
        <v>10</v>
      </c>
      <c r="F2657" s="116">
        <v>850</v>
      </c>
      <c r="G2657" s="108" t="s">
        <v>63</v>
      </c>
      <c r="H2657" s="108" t="str">
        <f t="shared" si="204"/>
        <v>Snohomish River</v>
      </c>
      <c r="I2657" s="108" t="str">
        <f>IFERROR(VLOOKUP(H2657,LUTs!$A$1:$C$73,2,FALSE),"NA")</f>
        <v>Snohomish</v>
      </c>
      <c r="J2657" s="108" t="str">
        <f>IFERROR(VLOOKUP(H2657,LUTs!$A$1:$C$73,3,FALSE),"NA")</f>
        <v>2Central Puget Sound</v>
      </c>
      <c r="K2657" s="108" t="s">
        <v>22</v>
      </c>
      <c r="L2657" s="108" t="str">
        <f>VLOOKUP(K2657,LUTs!E$2:G$14,3,)</f>
        <v>09Mason</v>
      </c>
      <c r="M2657" s="108" t="str">
        <f>VLOOKUP($K2657,LUTs!$E$2:$H$14,2,)</f>
        <v>South Puget Sound</v>
      </c>
      <c r="N2657" s="108" t="str">
        <f>VLOOKUP($K2657,LUTs!$E$2:$H$14,4,)</f>
        <v>02South Puget Sound</v>
      </c>
      <c r="O2657" s="108">
        <v>28.827409542106999</v>
      </c>
      <c r="P2657" s="108">
        <v>99.166288824848095</v>
      </c>
      <c r="Q2657" s="108">
        <f>SUMIFS('FW_Salmon_by_Month_2010-2021'!P$2:P$3810,'FW_Salmon_by_Month_2010-2021'!$B$2:$B$3810,'Rec_raw_catch_effort_2010-2021'!$B2657,'FW_Salmon_by_Month_2010-2021'!$H$2:$H$3810,'Rec_raw_catch_effort_2010-2021'!$F2657,'FW_Salmon_by_Month_2010-2021'!$M$2:$M$3810,'Rec_raw_catch_effort_2010-2021'!$K2657)</f>
        <v>30.076257609740502</v>
      </c>
      <c r="R2657" s="109">
        <f>VLOOKUP(B2657,Readme!$A$62:$C$74,2,)*Q2657</f>
        <v>106.44109195818524</v>
      </c>
      <c r="S2657" s="140" t="str">
        <f t="shared" si="205"/>
        <v>Y</v>
      </c>
      <c r="T2657" s="154">
        <f t="shared" si="206"/>
        <v>3.4400000000000008</v>
      </c>
      <c r="U2657" s="154">
        <f t="shared" si="207"/>
        <v>3.5390404397824153</v>
      </c>
    </row>
    <row r="2658" spans="1:21" x14ac:dyDescent="0.35">
      <c r="A2658" s="108">
        <v>3659</v>
      </c>
      <c r="B2658" s="108">
        <v>2011</v>
      </c>
      <c r="C2658" s="108" t="s">
        <v>38</v>
      </c>
      <c r="D2658" s="108" t="s">
        <v>143</v>
      </c>
      <c r="E2658" s="108" t="s">
        <v>10</v>
      </c>
      <c r="F2658" s="116">
        <v>850</v>
      </c>
      <c r="G2658" s="108" t="s">
        <v>63</v>
      </c>
      <c r="H2658" s="108" t="str">
        <f t="shared" si="204"/>
        <v>Snohomish River</v>
      </c>
      <c r="I2658" s="108" t="str">
        <f>IFERROR(VLOOKUP(H2658,LUTs!$A$1:$C$73,2,FALSE),"NA")</f>
        <v>Snohomish</v>
      </c>
      <c r="J2658" s="108" t="str">
        <f>IFERROR(VLOOKUP(H2658,LUTs!$A$1:$C$73,3,FALSE),"NA")</f>
        <v>2Central Puget Sound</v>
      </c>
      <c r="K2658" s="108" t="s">
        <v>26</v>
      </c>
      <c r="L2658" s="108" t="str">
        <f>VLOOKUP(K2658,LUTs!E$2:G$14,3,)</f>
        <v>20Other</v>
      </c>
      <c r="M2658" s="108" t="str">
        <f>VLOOKUP($K2658,LUTs!$E$2:$H$14,2,)</f>
        <v>Non Puget Sound</v>
      </c>
      <c r="N2658" s="108" t="str">
        <f>VLOOKUP($K2658,LUTs!$E$2:$H$14,4,)</f>
        <v>07Non Puget Sound</v>
      </c>
      <c r="O2658" s="108">
        <v>4151.1469740634002</v>
      </c>
      <c r="P2658" s="108">
        <v>14279.945590778099</v>
      </c>
      <c r="Q2658" s="108">
        <f>SUMIFS('FW_Salmon_by_Month_2010-2021'!P$2:P$3810,'FW_Salmon_by_Month_2010-2021'!$B$2:$B$3810,'Rec_raw_catch_effort_2010-2021'!$B2658,'FW_Salmon_by_Month_2010-2021'!$H$2:$H$3810,'Rec_raw_catch_effort_2010-2021'!$F2658,'FW_Salmon_by_Month_2010-2021'!$M$2:$M$3810,'Rec_raw_catch_effort_2010-2021'!$K2658)</f>
        <v>4216.4949840004401</v>
      </c>
      <c r="R2658" s="109">
        <f>VLOOKUP(B2658,Readme!$A$62:$C$74,2,)*Q2658</f>
        <v>14922.346262517265</v>
      </c>
      <c r="S2658" s="140" t="str">
        <f t="shared" si="205"/>
        <v>Y</v>
      </c>
      <c r="T2658" s="154">
        <f t="shared" si="206"/>
        <v>3.4400000000000008</v>
      </c>
      <c r="U2658" s="154">
        <f t="shared" si="207"/>
        <v>3.5390404397824153</v>
      </c>
    </row>
    <row r="2659" spans="1:21" x14ac:dyDescent="0.35">
      <c r="A2659" s="108">
        <v>3638</v>
      </c>
      <c r="B2659" s="108">
        <v>2011</v>
      </c>
      <c r="C2659" s="108" t="s">
        <v>38</v>
      </c>
      <c r="D2659" s="108" t="s">
        <v>143</v>
      </c>
      <c r="E2659" s="108" t="s">
        <v>10</v>
      </c>
      <c r="F2659" s="116">
        <v>850</v>
      </c>
      <c r="G2659" s="108" t="s">
        <v>63</v>
      </c>
      <c r="H2659" s="108" t="str">
        <f t="shared" si="204"/>
        <v>Snohomish River</v>
      </c>
      <c r="I2659" s="108" t="str">
        <f>IFERROR(VLOOKUP(H2659,LUTs!$A$1:$C$73,2,FALSE),"NA")</f>
        <v>Snohomish</v>
      </c>
      <c r="J2659" s="108" t="str">
        <f>IFERROR(VLOOKUP(H2659,LUTs!$A$1:$C$73,3,FALSE),"NA")</f>
        <v>2Central Puget Sound</v>
      </c>
      <c r="K2659" s="108" t="s">
        <v>20</v>
      </c>
      <c r="L2659" s="108" t="str">
        <f>VLOOKUP(K2659,LUTs!E$2:G$14,3,)</f>
        <v>07Pierce</v>
      </c>
      <c r="M2659" s="108" t="str">
        <f>VLOOKUP($K2659,LUTs!$E$2:$H$14,2,)</f>
        <v>South Puget Sound</v>
      </c>
      <c r="N2659" s="108" t="str">
        <f>VLOOKUP($K2659,LUTs!$E$2:$H$14,4,)</f>
        <v>02South Puget Sound</v>
      </c>
      <c r="O2659" s="108">
        <v>324.308357348703</v>
      </c>
      <c r="P2659" s="108">
        <v>1115.62074927954</v>
      </c>
      <c r="Q2659" s="108">
        <f>SUMIFS('FW_Salmon_by_Month_2010-2021'!P$2:P$3810,'FW_Salmon_by_Month_2010-2021'!$B$2:$B$3810,'Rec_raw_catch_effort_2010-2021'!$B2659,'FW_Salmon_by_Month_2010-2021'!$H$2:$H$3810,'Rec_raw_catch_effort_2010-2021'!$F2659,'FW_Salmon_by_Month_2010-2021'!$M$2:$M$3810,'Rec_raw_catch_effort_2010-2021'!$K2659)</f>
        <v>323.19064830783287</v>
      </c>
      <c r="R2659" s="109">
        <f>VLOOKUP(B2659,Readme!$A$62:$C$74,2,)*Q2659</f>
        <v>1143.7847741209168</v>
      </c>
      <c r="S2659" s="140" t="str">
        <f t="shared" si="205"/>
        <v>Y</v>
      </c>
      <c r="T2659" s="154">
        <f t="shared" si="206"/>
        <v>3.4400000000000048</v>
      </c>
      <c r="U2659" s="154">
        <f t="shared" si="207"/>
        <v>3.5390404397824153</v>
      </c>
    </row>
    <row r="2660" spans="1:21" x14ac:dyDescent="0.35">
      <c r="A2660" s="108">
        <v>3633</v>
      </c>
      <c r="B2660" s="108">
        <v>2011</v>
      </c>
      <c r="C2660" s="108" t="s">
        <v>38</v>
      </c>
      <c r="D2660" s="108" t="s">
        <v>143</v>
      </c>
      <c r="E2660" s="108" t="s">
        <v>10</v>
      </c>
      <c r="F2660" s="116">
        <v>850</v>
      </c>
      <c r="G2660" s="108" t="s">
        <v>63</v>
      </c>
      <c r="H2660" s="108" t="str">
        <f t="shared" si="204"/>
        <v>Snohomish River</v>
      </c>
      <c r="I2660" s="108" t="str">
        <f>IFERROR(VLOOKUP(H2660,LUTs!$A$1:$C$73,2,FALSE),"NA")</f>
        <v>Snohomish</v>
      </c>
      <c r="J2660" s="108" t="str">
        <f>IFERROR(VLOOKUP(H2660,LUTs!$A$1:$C$73,3,FALSE),"NA")</f>
        <v>2Central Puget Sound</v>
      </c>
      <c r="K2660" s="108" t="s">
        <v>15</v>
      </c>
      <c r="L2660" s="108" t="str">
        <f>VLOOKUP(K2660,LUTs!E$2:G$14,3,)</f>
        <v>02Skagit</v>
      </c>
      <c r="M2660" s="108" t="str">
        <f>VLOOKUP($K2660,LUTs!$E$2:$H$14,2,)</f>
        <v>North Puget Sound</v>
      </c>
      <c r="N2660" s="108" t="str">
        <f>VLOOKUP($K2660,LUTs!$E$2:$H$14,4,)</f>
        <v>01North Puget Sound</v>
      </c>
      <c r="O2660" s="108">
        <v>461.23855267371101</v>
      </c>
      <c r="P2660" s="108">
        <v>1586.66062119757</v>
      </c>
      <c r="Q2660" s="108">
        <f>SUMIFS('FW_Salmon_by_Month_2010-2021'!P$2:P$3810,'FW_Salmon_by_Month_2010-2021'!$B$2:$B$3810,'Rec_raw_catch_effort_2010-2021'!$B2660,'FW_Salmon_by_Month_2010-2021'!$H$2:$H$3810,'Rec_raw_catch_effort_2010-2021'!$F2660,'FW_Salmon_by_Month_2010-2021'!$M$2:$M$3810,'Rec_raw_catch_effort_2010-2021'!$K2660)</f>
        <v>428.60184306545784</v>
      </c>
      <c r="R2660" s="109">
        <f>VLOOKUP(B2660,Readme!$A$62:$C$74,2,)*Q2660</f>
        <v>1516.8392551739316</v>
      </c>
      <c r="S2660" s="140" t="str">
        <f t="shared" si="205"/>
        <v>Y</v>
      </c>
      <c r="T2660" s="154">
        <f t="shared" si="206"/>
        <v>3.4400000000000088</v>
      </c>
      <c r="U2660" s="154">
        <f t="shared" si="207"/>
        <v>3.5390404397824153</v>
      </c>
    </row>
    <row r="2661" spans="1:21" x14ac:dyDescent="0.35">
      <c r="A2661" s="108">
        <v>3634</v>
      </c>
      <c r="B2661" s="108">
        <v>2011</v>
      </c>
      <c r="C2661" s="108" t="s">
        <v>38</v>
      </c>
      <c r="D2661" s="108" t="s">
        <v>143</v>
      </c>
      <c r="E2661" s="108" t="s">
        <v>10</v>
      </c>
      <c r="F2661" s="116">
        <v>850</v>
      </c>
      <c r="G2661" s="108" t="s">
        <v>63</v>
      </c>
      <c r="H2661" s="108" t="str">
        <f t="shared" si="204"/>
        <v>Snohomish River</v>
      </c>
      <c r="I2661" s="108" t="str">
        <f>IFERROR(VLOOKUP(H2661,LUTs!$A$1:$C$73,2,FALSE),"NA")</f>
        <v>Snohomish</v>
      </c>
      <c r="J2661" s="108" t="str">
        <f>IFERROR(VLOOKUP(H2661,LUTs!$A$1:$C$73,3,FALSE),"NA")</f>
        <v>2Central Puget Sound</v>
      </c>
      <c r="K2661" s="108" t="s">
        <v>16</v>
      </c>
      <c r="L2661" s="108" t="str">
        <f>VLOOKUP(K2661,LUTs!E$2:G$14,3,)</f>
        <v>03Snohomish</v>
      </c>
      <c r="M2661" s="108" t="str">
        <f>VLOOKUP($K2661,LUTs!$E$2:$H$14,2,)</f>
        <v>North Puget Sound</v>
      </c>
      <c r="N2661" s="108" t="str">
        <f>VLOOKUP($K2661,LUTs!$E$2:$H$14,4,)</f>
        <v>01North Puget Sound</v>
      </c>
      <c r="O2661" s="108">
        <v>47521.984630163301</v>
      </c>
      <c r="P2661" s="108">
        <v>163475.62712776201</v>
      </c>
      <c r="Q2661" s="108">
        <f>SUMIFS('FW_Salmon_by_Month_2010-2021'!P$2:P$3810,'FW_Salmon_by_Month_2010-2021'!$B$2:$B$3810,'Rec_raw_catch_effort_2010-2021'!$B2661,'FW_Salmon_by_Month_2010-2021'!$H$2:$H$3810,'Rec_raw_catch_effort_2010-2021'!$F2661,'FW_Salmon_by_Month_2010-2021'!$M$2:$M$3810,'Rec_raw_catch_effort_2010-2021'!$K2661)</f>
        <v>47849.430739353375</v>
      </c>
      <c r="R2661" s="109">
        <f>VLOOKUP(B2661,Readme!$A$62:$C$74,2,)*Q2661</f>
        <v>169341.0704071394</v>
      </c>
      <c r="S2661" s="140" t="str">
        <f t="shared" si="205"/>
        <v>Y</v>
      </c>
      <c r="T2661" s="154">
        <f t="shared" si="206"/>
        <v>3.4400000000000053</v>
      </c>
      <c r="U2661" s="154">
        <f t="shared" si="207"/>
        <v>3.5390404397824153</v>
      </c>
    </row>
    <row r="2662" spans="1:21" x14ac:dyDescent="0.35">
      <c r="A2662" s="108">
        <v>3655</v>
      </c>
      <c r="B2662" s="108">
        <v>2011</v>
      </c>
      <c r="C2662" s="108" t="s">
        <v>38</v>
      </c>
      <c r="D2662" s="108" t="s">
        <v>143</v>
      </c>
      <c r="E2662" s="108" t="s">
        <v>10</v>
      </c>
      <c r="F2662" s="116">
        <v>850</v>
      </c>
      <c r="G2662" s="108" t="s">
        <v>63</v>
      </c>
      <c r="H2662" s="108" t="str">
        <f t="shared" si="204"/>
        <v>Snohomish River</v>
      </c>
      <c r="I2662" s="108" t="str">
        <f>IFERROR(VLOOKUP(H2662,LUTs!$A$1:$C$73,2,FALSE),"NA")</f>
        <v>Snohomish</v>
      </c>
      <c r="J2662" s="108" t="str">
        <f>IFERROR(VLOOKUP(H2662,LUTs!$A$1:$C$73,3,FALSE),"NA")</f>
        <v>2Central Puget Sound</v>
      </c>
      <c r="K2662" s="108" t="s">
        <v>21</v>
      </c>
      <c r="L2662" s="108" t="str">
        <f>VLOOKUP(K2662,LUTs!E$2:G$14,3,)</f>
        <v>08Thurston</v>
      </c>
      <c r="M2662" s="108" t="str">
        <f>VLOOKUP($K2662,LUTs!$E$2:$H$14,2,)</f>
        <v>South Puget Sound</v>
      </c>
      <c r="N2662" s="108" t="str">
        <f>VLOOKUP($K2662,LUTs!$E$2:$H$14,4,)</f>
        <v>02South Puget Sound</v>
      </c>
      <c r="O2662" s="108">
        <v>345.92891450528299</v>
      </c>
      <c r="P2662" s="108">
        <v>1189.9954658981701</v>
      </c>
      <c r="Q2662" s="108">
        <f>SUMIFS('FW_Salmon_by_Month_2010-2021'!P$2:P$3810,'FW_Salmon_by_Month_2010-2021'!$B$2:$B$3810,'Rec_raw_catch_effort_2010-2021'!$B2662,'FW_Salmon_by_Month_2010-2021'!$H$2:$H$3810,'Rec_raw_catch_effort_2010-2021'!$F2662,'FW_Salmon_by_Month_2010-2021'!$M$2:$M$3810,'Rec_raw_catch_effort_2010-2021'!$K2662)</f>
        <v>360.93532081909404</v>
      </c>
      <c r="R2662" s="109">
        <f>VLOOKUP(B2662,Readme!$A$62:$C$74,2,)*Q2662</f>
        <v>1277.3646965246137</v>
      </c>
      <c r="S2662" s="140" t="str">
        <f t="shared" si="205"/>
        <v>Y</v>
      </c>
      <c r="T2662" s="154">
        <f t="shared" si="206"/>
        <v>3.4399999999999902</v>
      </c>
      <c r="U2662" s="154">
        <f t="shared" si="207"/>
        <v>3.5390404397824153</v>
      </c>
    </row>
    <row r="2663" spans="1:21" x14ac:dyDescent="0.35">
      <c r="A2663" s="108">
        <v>3628</v>
      </c>
      <c r="B2663" s="108">
        <v>2011</v>
      </c>
      <c r="C2663" s="108" t="s">
        <v>38</v>
      </c>
      <c r="D2663" s="108" t="s">
        <v>143</v>
      </c>
      <c r="E2663" s="108" t="s">
        <v>10</v>
      </c>
      <c r="F2663" s="116">
        <v>850</v>
      </c>
      <c r="G2663" s="108" t="s">
        <v>63</v>
      </c>
      <c r="H2663" s="108" t="str">
        <f t="shared" si="204"/>
        <v>Snohomish River</v>
      </c>
      <c r="I2663" s="108" t="str">
        <f>IFERROR(VLOOKUP(H2663,LUTs!$A$1:$C$73,2,FALSE),"NA")</f>
        <v>Snohomish</v>
      </c>
      <c r="J2663" s="108" t="str">
        <f>IFERROR(VLOOKUP(H2663,LUTs!$A$1:$C$73,3,FALSE),"NA")</f>
        <v>2Central Puget Sound</v>
      </c>
      <c r="K2663" s="108" t="s">
        <v>13</v>
      </c>
      <c r="L2663" s="108" t="str">
        <f>VLOOKUP(K2663,LUTs!E$2:G$14,3,)</f>
        <v>01Whatcom</v>
      </c>
      <c r="M2663" s="108" t="str">
        <f>VLOOKUP($K2663,LUTs!$E$2:$H$14,2,)</f>
        <v>North Puget Sound</v>
      </c>
      <c r="N2663" s="108" t="str">
        <f>VLOOKUP($K2663,LUTs!$E$2:$H$14,4,)</f>
        <v>01North Puget Sound</v>
      </c>
      <c r="O2663" s="108">
        <v>237.82612872238201</v>
      </c>
      <c r="P2663" s="108">
        <v>818.12188280499402</v>
      </c>
      <c r="Q2663" s="108">
        <f>SUMIFS('FW_Salmon_by_Month_2010-2021'!P$2:P$3810,'FW_Salmon_by_Month_2010-2021'!$B$2:$B$3810,'Rec_raw_catch_effort_2010-2021'!$B2663,'FW_Salmon_by_Month_2010-2021'!$H$2:$H$3810,'Rec_raw_catch_effort_2010-2021'!$F2663,'FW_Salmon_by_Month_2010-2021'!$M$2:$M$3810,'Rec_raw_catch_effort_2010-2021'!$K2663)</f>
        <v>187.3665646256556</v>
      </c>
      <c r="R2663" s="109">
        <f>VLOOKUP(B2663,Readme!$A$62:$C$74,2,)*Q2663</f>
        <v>663.09784927330054</v>
      </c>
      <c r="S2663" s="140" t="str">
        <f t="shared" si="205"/>
        <v>Y</v>
      </c>
      <c r="T2663" s="154">
        <f t="shared" si="206"/>
        <v>3.4399999999999995</v>
      </c>
      <c r="U2663" s="154">
        <f t="shared" si="207"/>
        <v>3.5390404397824153</v>
      </c>
    </row>
    <row r="2664" spans="1:21" x14ac:dyDescent="0.35">
      <c r="A2664" s="108">
        <v>3709</v>
      </c>
      <c r="B2664" s="108">
        <v>2012</v>
      </c>
      <c r="C2664" s="108" t="s">
        <v>38</v>
      </c>
      <c r="D2664" s="108" t="s">
        <v>143</v>
      </c>
      <c r="E2664" s="108" t="s">
        <v>10</v>
      </c>
      <c r="F2664" s="116">
        <v>850</v>
      </c>
      <c r="G2664" s="108" t="s">
        <v>63</v>
      </c>
      <c r="H2664" s="108" t="str">
        <f t="shared" si="204"/>
        <v>Snohomish River</v>
      </c>
      <c r="I2664" s="108" t="str">
        <f>IFERROR(VLOOKUP(H2664,LUTs!$A$1:$C$73,2,FALSE),"NA")</f>
        <v>Snohomish</v>
      </c>
      <c r="J2664" s="108" t="str">
        <f>IFERROR(VLOOKUP(H2664,LUTs!$A$1:$C$73,3,FALSE),"NA")</f>
        <v>2Central Puget Sound</v>
      </c>
      <c r="K2664" s="108" t="s">
        <v>24</v>
      </c>
      <c r="L2664" s="108" t="str">
        <f>VLOOKUP(K2664,LUTs!E$2:G$14,3,)</f>
        <v>11Clallam</v>
      </c>
      <c r="M2664" s="108" t="str">
        <f>VLOOKUP($K2664,LUTs!$E$2:$H$14,2,)</f>
        <v>Strait of Juan de Fuca</v>
      </c>
      <c r="N2664" s="108" t="str">
        <f>VLOOKUP($K2664,LUTs!$E$2:$H$14,4,)</f>
        <v>03Strait of Juan de Fuca</v>
      </c>
      <c r="O2664" s="108">
        <v>7.1226277372262796</v>
      </c>
      <c r="P2664" s="108">
        <v>61.610729927007299</v>
      </c>
      <c r="Q2664" s="108">
        <f>SUMIFS('FW_Salmon_by_Month_2010-2021'!P$2:P$3810,'FW_Salmon_by_Month_2010-2021'!$B$2:$B$3810,'Rec_raw_catch_effort_2010-2021'!$B2664,'FW_Salmon_by_Month_2010-2021'!$H$2:$H$3810,'Rec_raw_catch_effort_2010-2021'!$F2664,'FW_Salmon_by_Month_2010-2021'!$M$2:$M$3810,'Rec_raw_catch_effort_2010-2021'!$K2664)</f>
        <v>7.2708333333333401</v>
      </c>
      <c r="R2664" s="109">
        <f>VLOOKUP(B2664,Readme!$A$62:$C$74,2,)*Q2664</f>
        <v>35.042180448656488</v>
      </c>
      <c r="S2664" s="140" t="str">
        <f t="shared" si="205"/>
        <v>Y</v>
      </c>
      <c r="T2664" s="154">
        <f t="shared" si="206"/>
        <v>8.6499999999999968</v>
      </c>
      <c r="U2664" s="154">
        <f t="shared" si="207"/>
        <v>4.8195549041132084</v>
      </c>
    </row>
    <row r="2665" spans="1:21" x14ac:dyDescent="0.35">
      <c r="A2665" s="108">
        <v>3697</v>
      </c>
      <c r="B2665" s="108">
        <v>2012</v>
      </c>
      <c r="C2665" s="108" t="s">
        <v>38</v>
      </c>
      <c r="D2665" s="108" t="s">
        <v>143</v>
      </c>
      <c r="E2665" s="108" t="s">
        <v>10</v>
      </c>
      <c r="F2665" s="116">
        <v>850</v>
      </c>
      <c r="G2665" s="108" t="s">
        <v>63</v>
      </c>
      <c r="H2665" s="108" t="str">
        <f t="shared" si="204"/>
        <v>Snohomish River</v>
      </c>
      <c r="I2665" s="108" t="str">
        <f>IFERROR(VLOOKUP(H2665,LUTs!$A$1:$C$73,2,FALSE),"NA")</f>
        <v>Snohomish</v>
      </c>
      <c r="J2665" s="108" t="str">
        <f>IFERROR(VLOOKUP(H2665,LUTs!$A$1:$C$73,3,FALSE),"NA")</f>
        <v>2Central Puget Sound</v>
      </c>
      <c r="K2665" s="108" t="s">
        <v>17</v>
      </c>
      <c r="L2665" s="108" t="str">
        <f>VLOOKUP(K2665,LUTs!E$2:G$14,3,)</f>
        <v>04Island</v>
      </c>
      <c r="M2665" s="108" t="str">
        <f>VLOOKUP($K2665,LUTs!$E$2:$H$14,2,)</f>
        <v>North Puget Sound</v>
      </c>
      <c r="N2665" s="108" t="str">
        <f>VLOOKUP($K2665,LUTs!$E$2:$H$14,4,)</f>
        <v>01North Puget Sound</v>
      </c>
      <c r="O2665" s="108">
        <v>35.6131386861314</v>
      </c>
      <c r="P2665" s="108">
        <v>308.053649635037</v>
      </c>
      <c r="Q2665" s="108">
        <f>SUMIFS('FW_Salmon_by_Month_2010-2021'!P$2:P$3810,'FW_Salmon_by_Month_2010-2021'!$B$2:$B$3810,'Rec_raw_catch_effort_2010-2021'!$B2665,'FW_Salmon_by_Month_2010-2021'!$H$2:$H$3810,'Rec_raw_catch_effort_2010-2021'!$F2665,'FW_Salmon_by_Month_2010-2021'!$M$2:$M$3810,'Rec_raw_catch_effort_2010-2021'!$K2665)</f>
        <v>36.356669611307396</v>
      </c>
      <c r="R2665" s="109">
        <f>VLOOKUP(B2665,Readme!$A$62:$C$74,2,)*Q2665</f>
        <v>175.22296532240023</v>
      </c>
      <c r="S2665" s="140" t="str">
        <f t="shared" si="205"/>
        <v>Y</v>
      </c>
      <c r="T2665" s="154">
        <f t="shared" si="206"/>
        <v>8.650000000000011</v>
      </c>
      <c r="U2665" s="154">
        <f t="shared" si="207"/>
        <v>4.8195549041132084</v>
      </c>
    </row>
    <row r="2666" spans="1:21" x14ac:dyDescent="0.35">
      <c r="A2666" s="108">
        <v>3706</v>
      </c>
      <c r="B2666" s="108">
        <v>2012</v>
      </c>
      <c r="C2666" s="108" t="s">
        <v>38</v>
      </c>
      <c r="D2666" s="108" t="s">
        <v>143</v>
      </c>
      <c r="E2666" s="108" t="s">
        <v>10</v>
      </c>
      <c r="F2666" s="116">
        <v>850</v>
      </c>
      <c r="G2666" s="108" t="s">
        <v>63</v>
      </c>
      <c r="H2666" s="108" t="str">
        <f t="shared" ref="H2666:H2729" si="208">G2666</f>
        <v>Snohomish River</v>
      </c>
      <c r="I2666" s="108" t="str">
        <f>IFERROR(VLOOKUP(H2666,LUTs!$A$1:$C$73,2,FALSE),"NA")</f>
        <v>Snohomish</v>
      </c>
      <c r="J2666" s="108" t="str">
        <f>IFERROR(VLOOKUP(H2666,LUTs!$A$1:$C$73,3,FALSE),"NA")</f>
        <v>2Central Puget Sound</v>
      </c>
      <c r="K2666" s="108" t="s">
        <v>18</v>
      </c>
      <c r="L2666" s="108" t="str">
        <f>VLOOKUP(K2666,LUTs!E$2:G$14,3,)</f>
        <v>06King</v>
      </c>
      <c r="M2666" s="108" t="str">
        <f>VLOOKUP($K2666,LUTs!$E$2:$H$14,2,)</f>
        <v>South Puget Sound</v>
      </c>
      <c r="N2666" s="108" t="str">
        <f>VLOOKUP($K2666,LUTs!$E$2:$H$14,4,)</f>
        <v>02South Puget Sound</v>
      </c>
      <c r="O2666" s="108">
        <v>1160.98832116788</v>
      </c>
      <c r="P2666" s="108">
        <v>10042.548978102201</v>
      </c>
      <c r="Q2666" s="108">
        <f>SUMIFS('FW_Salmon_by_Month_2010-2021'!P$2:P$3810,'FW_Salmon_by_Month_2010-2021'!$B$2:$B$3810,'Rec_raw_catch_effort_2010-2021'!$B2666,'FW_Salmon_by_Month_2010-2021'!$H$2:$H$3810,'Rec_raw_catch_effort_2010-2021'!$F2666,'FW_Salmon_by_Month_2010-2021'!$M$2:$M$3810,'Rec_raw_catch_effort_2010-2021'!$K2666)</f>
        <v>1170.657979976444</v>
      </c>
      <c r="R2666" s="109">
        <f>VLOOKUP(B2666,Readme!$A$62:$C$74,2,)*Q2666</f>
        <v>5642.0504084347331</v>
      </c>
      <c r="S2666" s="140" t="str">
        <f t="shared" si="205"/>
        <v>Y</v>
      </c>
      <c r="T2666" s="154">
        <f t="shared" si="206"/>
        <v>8.6500000000000323</v>
      </c>
      <c r="U2666" s="154">
        <f t="shared" si="207"/>
        <v>4.8195549041132084</v>
      </c>
    </row>
    <row r="2667" spans="1:21" x14ac:dyDescent="0.35">
      <c r="A2667" s="108">
        <v>3710</v>
      </c>
      <c r="B2667" s="108">
        <v>2012</v>
      </c>
      <c r="C2667" s="108" t="s">
        <v>38</v>
      </c>
      <c r="D2667" s="108" t="s">
        <v>143</v>
      </c>
      <c r="E2667" s="108" t="s">
        <v>10</v>
      </c>
      <c r="F2667" s="116">
        <v>850</v>
      </c>
      <c r="G2667" s="108" t="s">
        <v>63</v>
      </c>
      <c r="H2667" s="108" t="str">
        <f t="shared" si="208"/>
        <v>Snohomish River</v>
      </c>
      <c r="I2667" s="108" t="str">
        <f>IFERROR(VLOOKUP(H2667,LUTs!$A$1:$C$73,2,FALSE),"NA")</f>
        <v>Snohomish</v>
      </c>
      <c r="J2667" s="108" t="str">
        <f>IFERROR(VLOOKUP(H2667,LUTs!$A$1:$C$73,3,FALSE),"NA")</f>
        <v>2Central Puget Sound</v>
      </c>
      <c r="K2667" s="108" t="s">
        <v>26</v>
      </c>
      <c r="L2667" s="108" t="str">
        <f>VLOOKUP(K2667,LUTs!E$2:G$14,3,)</f>
        <v>20Other</v>
      </c>
      <c r="M2667" s="108" t="str">
        <f>VLOOKUP($K2667,LUTs!$E$2:$H$14,2,)</f>
        <v>Non Puget Sound</v>
      </c>
      <c r="N2667" s="108" t="str">
        <f>VLOOKUP($K2667,LUTs!$E$2:$H$14,4,)</f>
        <v>07Non Puget Sound</v>
      </c>
      <c r="O2667" s="108">
        <v>142.452554744526</v>
      </c>
      <c r="P2667" s="108">
        <v>1232.2145985401501</v>
      </c>
      <c r="Q2667" s="108">
        <f>SUMIFS('FW_Salmon_by_Month_2010-2021'!P$2:P$3810,'FW_Salmon_by_Month_2010-2021'!$B$2:$B$3810,'Rec_raw_catch_effort_2010-2021'!$B2667,'FW_Salmon_by_Month_2010-2021'!$H$2:$H$3810,'Rec_raw_catch_effort_2010-2021'!$F2667,'FW_Salmon_by_Month_2010-2021'!$M$2:$M$3810,'Rec_raw_catch_effort_2010-2021'!$K2667)</f>
        <v>145.4229240282686</v>
      </c>
      <c r="R2667" s="109">
        <f>VLOOKUP(B2667,Readme!$A$62:$C$74,2,)*Q2667</f>
        <v>700.8737666709244</v>
      </c>
      <c r="S2667" s="140" t="str">
        <f t="shared" si="205"/>
        <v>Y</v>
      </c>
      <c r="T2667" s="154">
        <f t="shared" si="206"/>
        <v>8.6500000000000021</v>
      </c>
      <c r="U2667" s="154">
        <f t="shared" si="207"/>
        <v>4.8195549041132084</v>
      </c>
    </row>
    <row r="2668" spans="1:21" x14ac:dyDescent="0.35">
      <c r="A2668" s="108">
        <v>3707</v>
      </c>
      <c r="B2668" s="108">
        <v>2012</v>
      </c>
      <c r="C2668" s="108" t="s">
        <v>38</v>
      </c>
      <c r="D2668" s="108" t="s">
        <v>143</v>
      </c>
      <c r="E2668" s="108" t="s">
        <v>10</v>
      </c>
      <c r="F2668" s="116">
        <v>850</v>
      </c>
      <c r="G2668" s="108" t="s">
        <v>63</v>
      </c>
      <c r="H2668" s="108" t="str">
        <f t="shared" si="208"/>
        <v>Snohomish River</v>
      </c>
      <c r="I2668" s="108" t="str">
        <f>IFERROR(VLOOKUP(H2668,LUTs!$A$1:$C$73,2,FALSE),"NA")</f>
        <v>Snohomish</v>
      </c>
      <c r="J2668" s="108" t="str">
        <f>IFERROR(VLOOKUP(H2668,LUTs!$A$1:$C$73,3,FALSE),"NA")</f>
        <v>2Central Puget Sound</v>
      </c>
      <c r="K2668" s="108" t="s">
        <v>20</v>
      </c>
      <c r="L2668" s="108" t="str">
        <f>VLOOKUP(K2668,LUTs!E$2:G$14,3,)</f>
        <v>07Pierce</v>
      </c>
      <c r="M2668" s="108" t="str">
        <f>VLOOKUP($K2668,LUTs!$E$2:$H$14,2,)</f>
        <v>South Puget Sound</v>
      </c>
      <c r="N2668" s="108" t="str">
        <f>VLOOKUP($K2668,LUTs!$E$2:$H$14,4,)</f>
        <v>02South Puget Sound</v>
      </c>
      <c r="O2668" s="108">
        <v>49.858394160583998</v>
      </c>
      <c r="P2668" s="108">
        <v>431.275109489052</v>
      </c>
      <c r="Q2668" s="108">
        <f>SUMIFS('FW_Salmon_by_Month_2010-2021'!P$2:P$3810,'FW_Salmon_by_Month_2010-2021'!$B$2:$B$3810,'Rec_raw_catch_effort_2010-2021'!$B2668,'FW_Salmon_by_Month_2010-2021'!$H$2:$H$3810,'Rec_raw_catch_effort_2010-2021'!$F2668,'FW_Salmon_by_Month_2010-2021'!$M$2:$M$3810,'Rec_raw_catch_effort_2010-2021'!$K2668)</f>
        <v>50.8958333333333</v>
      </c>
      <c r="R2668" s="109">
        <f>VLOOKUP(B2668,Readme!$A$62:$C$74,2,)*Q2668</f>
        <v>245.29526314059501</v>
      </c>
      <c r="S2668" s="140" t="str">
        <f t="shared" si="205"/>
        <v>Y</v>
      </c>
      <c r="T2668" s="154">
        <f t="shared" si="206"/>
        <v>8.6500000000000075</v>
      </c>
      <c r="U2668" s="154">
        <f t="shared" si="207"/>
        <v>4.8195549041132084</v>
      </c>
    </row>
    <row r="2669" spans="1:21" x14ac:dyDescent="0.35">
      <c r="A2669" s="108">
        <v>3695</v>
      </c>
      <c r="B2669" s="108">
        <v>2012</v>
      </c>
      <c r="C2669" s="108" t="s">
        <v>38</v>
      </c>
      <c r="D2669" s="108" t="s">
        <v>143</v>
      </c>
      <c r="E2669" s="108" t="s">
        <v>10</v>
      </c>
      <c r="F2669" s="116">
        <v>850</v>
      </c>
      <c r="G2669" s="108" t="s">
        <v>63</v>
      </c>
      <c r="H2669" s="108" t="str">
        <f t="shared" si="208"/>
        <v>Snohomish River</v>
      </c>
      <c r="I2669" s="108" t="str">
        <f>IFERROR(VLOOKUP(H2669,LUTs!$A$1:$C$73,2,FALSE),"NA")</f>
        <v>Snohomish</v>
      </c>
      <c r="J2669" s="108" t="str">
        <f>IFERROR(VLOOKUP(H2669,LUTs!$A$1:$C$73,3,FALSE),"NA")</f>
        <v>2Central Puget Sound</v>
      </c>
      <c r="K2669" s="108" t="s">
        <v>15</v>
      </c>
      <c r="L2669" s="108" t="str">
        <f>VLOOKUP(K2669,LUTs!E$2:G$14,3,)</f>
        <v>02Skagit</v>
      </c>
      <c r="M2669" s="108" t="str">
        <f>VLOOKUP($K2669,LUTs!$E$2:$H$14,2,)</f>
        <v>North Puget Sound</v>
      </c>
      <c r="N2669" s="108" t="str">
        <f>VLOOKUP($K2669,LUTs!$E$2:$H$14,4,)</f>
        <v>01North Puget Sound</v>
      </c>
      <c r="O2669" s="108">
        <v>21.367883211678802</v>
      </c>
      <c r="P2669" s="108">
        <v>184.83218978102201</v>
      </c>
      <c r="Q2669" s="108">
        <f>SUMIFS('FW_Salmon_by_Month_2010-2021'!P$2:P$3810,'FW_Salmon_by_Month_2010-2021'!$B$2:$B$3810,'Rec_raw_catch_effort_2010-2021'!$B2669,'FW_Salmon_by_Month_2010-2021'!$H$2:$H$3810,'Rec_raw_catch_effort_2010-2021'!$F2669,'FW_Salmon_by_Month_2010-2021'!$M$2:$M$3810,'Rec_raw_catch_effort_2010-2021'!$K2669)</f>
        <v>21.815002944640739</v>
      </c>
      <c r="R2669" s="109">
        <f>VLOOKUP(B2669,Readme!$A$62:$C$74,2,)*Q2669</f>
        <v>105.13860442508735</v>
      </c>
      <c r="S2669" s="140" t="str">
        <f t="shared" si="205"/>
        <v>Y</v>
      </c>
      <c r="T2669" s="154">
        <f t="shared" si="206"/>
        <v>8.6500000000000181</v>
      </c>
      <c r="U2669" s="154">
        <f t="shared" si="207"/>
        <v>4.8195549041132084</v>
      </c>
    </row>
    <row r="2670" spans="1:21" x14ac:dyDescent="0.35">
      <c r="A2670" s="108">
        <v>3696</v>
      </c>
      <c r="B2670" s="108">
        <v>2012</v>
      </c>
      <c r="C2670" s="108" t="s">
        <v>38</v>
      </c>
      <c r="D2670" s="108" t="s">
        <v>143</v>
      </c>
      <c r="E2670" s="108" t="s">
        <v>10</v>
      </c>
      <c r="F2670" s="116">
        <v>850</v>
      </c>
      <c r="G2670" s="108" t="s">
        <v>63</v>
      </c>
      <c r="H2670" s="108" t="str">
        <f t="shared" si="208"/>
        <v>Snohomish River</v>
      </c>
      <c r="I2670" s="108" t="str">
        <f>IFERROR(VLOOKUP(H2670,LUTs!$A$1:$C$73,2,FALSE),"NA")</f>
        <v>Snohomish</v>
      </c>
      <c r="J2670" s="108" t="str">
        <f>IFERROR(VLOOKUP(H2670,LUTs!$A$1:$C$73,3,FALSE),"NA")</f>
        <v>2Central Puget Sound</v>
      </c>
      <c r="K2670" s="108" t="s">
        <v>16</v>
      </c>
      <c r="L2670" s="108" t="str">
        <f>VLOOKUP(K2670,LUTs!E$2:G$14,3,)</f>
        <v>03Snohomish</v>
      </c>
      <c r="M2670" s="108" t="str">
        <f>VLOOKUP($K2670,LUTs!$E$2:$H$14,2,)</f>
        <v>North Puget Sound</v>
      </c>
      <c r="N2670" s="108" t="str">
        <f>VLOOKUP($K2670,LUTs!$E$2:$H$14,4,)</f>
        <v>01North Puget Sound</v>
      </c>
      <c r="O2670" s="108">
        <v>3440.2291970802899</v>
      </c>
      <c r="P2670" s="108">
        <v>29757.9825547445</v>
      </c>
      <c r="Q2670" s="108">
        <f>SUMIFS('FW_Salmon_by_Month_2010-2021'!P$2:P$3810,'FW_Salmon_by_Month_2010-2021'!$B$2:$B$3810,'Rec_raw_catch_effort_2010-2021'!$B2670,'FW_Salmon_by_Month_2010-2021'!$H$2:$H$3810,'Rec_raw_catch_effort_2010-2021'!$F2670,'FW_Salmon_by_Month_2010-2021'!$M$2:$M$3810,'Rec_raw_catch_effort_2010-2021'!$K2670)</f>
        <v>3424.76575382803</v>
      </c>
      <c r="R2670" s="109">
        <f>VLOOKUP(B2670,Readme!$A$62:$C$74,2,)*Q2670</f>
        <v>16505.846584300853</v>
      </c>
      <c r="S2670" s="140" t="str">
        <f t="shared" si="205"/>
        <v>Y</v>
      </c>
      <c r="T2670" s="154">
        <f t="shared" si="206"/>
        <v>8.6499999999999986</v>
      </c>
      <c r="U2670" s="154">
        <f t="shared" si="207"/>
        <v>4.8195549041132084</v>
      </c>
    </row>
    <row r="2671" spans="1:21" x14ac:dyDescent="0.35">
      <c r="A2671" s="108">
        <v>3708</v>
      </c>
      <c r="B2671" s="108">
        <v>2012</v>
      </c>
      <c r="C2671" s="108" t="s">
        <v>38</v>
      </c>
      <c r="D2671" s="108" t="s">
        <v>143</v>
      </c>
      <c r="E2671" s="108" t="s">
        <v>10</v>
      </c>
      <c r="F2671" s="116">
        <v>850</v>
      </c>
      <c r="G2671" s="108" t="s">
        <v>63</v>
      </c>
      <c r="H2671" s="108" t="str">
        <f t="shared" si="208"/>
        <v>Snohomish River</v>
      </c>
      <c r="I2671" s="108" t="str">
        <f>IFERROR(VLOOKUP(H2671,LUTs!$A$1:$C$73,2,FALSE),"NA")</f>
        <v>Snohomish</v>
      </c>
      <c r="J2671" s="108" t="str">
        <f>IFERROR(VLOOKUP(H2671,LUTs!$A$1:$C$73,3,FALSE),"NA")</f>
        <v>2Central Puget Sound</v>
      </c>
      <c r="K2671" s="108" t="s">
        <v>21</v>
      </c>
      <c r="L2671" s="108" t="str">
        <f>VLOOKUP(K2671,LUTs!E$2:G$14,3,)</f>
        <v>08Thurston</v>
      </c>
      <c r="M2671" s="108" t="str">
        <f>VLOOKUP($K2671,LUTs!$E$2:$H$14,2,)</f>
        <v>South Puget Sound</v>
      </c>
      <c r="N2671" s="108" t="str">
        <f>VLOOKUP($K2671,LUTs!$E$2:$H$14,4,)</f>
        <v>02South Puget Sound</v>
      </c>
      <c r="O2671" s="108">
        <v>7.1226277372262796</v>
      </c>
      <c r="P2671" s="108">
        <v>61.610729927007299</v>
      </c>
      <c r="Q2671" s="108">
        <f>SUMIFS('FW_Salmon_by_Month_2010-2021'!P$2:P$3810,'FW_Salmon_by_Month_2010-2021'!$B$2:$B$3810,'Rec_raw_catch_effort_2010-2021'!$B2671,'FW_Salmon_by_Month_2010-2021'!$H$2:$H$3810,'Rec_raw_catch_effort_2010-2021'!$F2671,'FW_Salmon_by_Month_2010-2021'!$M$2:$M$3810,'Rec_raw_catch_effort_2010-2021'!$K2671)</f>
        <v>7.2720848056537104</v>
      </c>
      <c r="R2671" s="109">
        <f>VLOOKUP(B2671,Readme!$A$62:$C$74,2,)*Q2671</f>
        <v>35.048211988215485</v>
      </c>
      <c r="S2671" s="140" t="str">
        <f t="shared" si="205"/>
        <v>Y</v>
      </c>
      <c r="T2671" s="154">
        <f t="shared" si="206"/>
        <v>8.6499999999999968</v>
      </c>
      <c r="U2671" s="154">
        <f t="shared" si="207"/>
        <v>4.8195549041132075</v>
      </c>
    </row>
    <row r="2672" spans="1:21" x14ac:dyDescent="0.35">
      <c r="A2672" s="108">
        <v>3694</v>
      </c>
      <c r="B2672" s="108">
        <v>2012</v>
      </c>
      <c r="C2672" s="108" t="s">
        <v>38</v>
      </c>
      <c r="D2672" s="108" t="s">
        <v>143</v>
      </c>
      <c r="E2672" s="108" t="s">
        <v>10</v>
      </c>
      <c r="F2672" s="116">
        <v>850</v>
      </c>
      <c r="G2672" s="108" t="s">
        <v>63</v>
      </c>
      <c r="H2672" s="108" t="str">
        <f t="shared" si="208"/>
        <v>Snohomish River</v>
      </c>
      <c r="I2672" s="108" t="str">
        <f>IFERROR(VLOOKUP(H2672,LUTs!$A$1:$C$73,2,FALSE),"NA")</f>
        <v>Snohomish</v>
      </c>
      <c r="J2672" s="108" t="str">
        <f>IFERROR(VLOOKUP(H2672,LUTs!$A$1:$C$73,3,FALSE),"NA")</f>
        <v>2Central Puget Sound</v>
      </c>
      <c r="K2672" s="108" t="s">
        <v>13</v>
      </c>
      <c r="L2672" s="108" t="str">
        <f>VLOOKUP(K2672,LUTs!E$2:G$14,3,)</f>
        <v>01Whatcom</v>
      </c>
      <c r="M2672" s="108" t="str">
        <f>VLOOKUP($K2672,LUTs!$E$2:$H$14,2,)</f>
        <v>North Puget Sound</v>
      </c>
      <c r="N2672" s="108" t="str">
        <f>VLOOKUP($K2672,LUTs!$E$2:$H$14,4,)</f>
        <v>01North Puget Sound</v>
      </c>
      <c r="O2672" s="108">
        <v>14.2452554744526</v>
      </c>
      <c r="P2672" s="108">
        <v>123.221459854015</v>
      </c>
      <c r="Q2672" s="108">
        <f>SUMIFS('FW_Salmon_by_Month_2010-2021'!P$2:P$3810,'FW_Salmon_by_Month_2010-2021'!$B$2:$B$3810,'Rec_raw_catch_effort_2010-2021'!$B2672,'FW_Salmon_by_Month_2010-2021'!$H$2:$H$3810,'Rec_raw_catch_effort_2010-2021'!$F2672,'FW_Salmon_by_Month_2010-2021'!$M$2:$M$3810,'Rec_raw_catch_effort_2010-2021'!$K2672)</f>
        <v>14.542918138987051</v>
      </c>
      <c r="R2672" s="109">
        <f>VLOOKUP(B2672,Readme!$A$62:$C$74,2,)*Q2672</f>
        <v>70.09039243687198</v>
      </c>
      <c r="S2672" s="140" t="str">
        <f t="shared" si="205"/>
        <v>Y</v>
      </c>
      <c r="T2672" s="154">
        <f t="shared" si="206"/>
        <v>8.65</v>
      </c>
      <c r="U2672" s="154">
        <f t="shared" si="207"/>
        <v>4.8195549041132084</v>
      </c>
    </row>
    <row r="2673" spans="1:21" x14ac:dyDescent="0.35">
      <c r="A2673" s="108">
        <v>1407</v>
      </c>
      <c r="B2673" s="108">
        <v>2013</v>
      </c>
      <c r="C2673" s="108" t="s">
        <v>38</v>
      </c>
      <c r="D2673" s="108" t="s">
        <v>143</v>
      </c>
      <c r="E2673" s="108" t="s">
        <v>10</v>
      </c>
      <c r="F2673" s="116">
        <v>850</v>
      </c>
      <c r="G2673" s="108" t="s">
        <v>63</v>
      </c>
      <c r="H2673" s="108" t="str">
        <f t="shared" si="208"/>
        <v>Snohomish River</v>
      </c>
      <c r="I2673" s="108" t="str">
        <f>IFERROR(VLOOKUP(H2673,LUTs!$A$1:$C$73,2,FALSE),"NA")</f>
        <v>Snohomish</v>
      </c>
      <c r="J2673" s="108" t="str">
        <f>IFERROR(VLOOKUP(H2673,LUTs!$A$1:$C$73,3,FALSE),"NA")</f>
        <v>2Central Puget Sound</v>
      </c>
      <c r="K2673" s="108" t="s">
        <v>17</v>
      </c>
      <c r="L2673" s="108" t="str">
        <f>VLOOKUP(K2673,LUTs!E$2:G$14,3,)</f>
        <v>04Island</v>
      </c>
      <c r="M2673" s="108" t="str">
        <f>VLOOKUP($K2673,LUTs!$E$2:$H$14,2,)</f>
        <v>North Puget Sound</v>
      </c>
      <c r="N2673" s="108" t="str">
        <f>VLOOKUP($K2673,LUTs!$E$2:$H$14,4,)</f>
        <v>01North Puget Sound</v>
      </c>
      <c r="O2673" s="108">
        <v>481.48888888888899</v>
      </c>
      <c r="P2673" s="108">
        <v>1656.32177777778</v>
      </c>
      <c r="Q2673" s="108">
        <f>SUMIFS('FW_Salmon_by_Month_2010-2021'!P$2:P$3810,'FW_Salmon_by_Month_2010-2021'!$B$2:$B$3810,'Rec_raw_catch_effort_2010-2021'!$B2673,'FW_Salmon_by_Month_2010-2021'!$H$2:$H$3810,'Rec_raw_catch_effort_2010-2021'!$F2673,'FW_Salmon_by_Month_2010-2021'!$M$2:$M$3810,'Rec_raw_catch_effort_2010-2021'!$K2673)</f>
        <v>481.7883558920625</v>
      </c>
      <c r="R2673" s="109">
        <f>VLOOKUP(B2673,Readme!$A$62:$C$74,2,)*Q2673</f>
        <v>1705.0684749182917</v>
      </c>
      <c r="S2673" s="140" t="str">
        <f t="shared" si="205"/>
        <v>Y</v>
      </c>
      <c r="T2673" s="154">
        <f t="shared" si="206"/>
        <v>3.4400000000000039</v>
      </c>
      <c r="U2673" s="154">
        <f t="shared" si="207"/>
        <v>3.5390404397824153</v>
      </c>
    </row>
    <row r="2674" spans="1:21" x14ac:dyDescent="0.35">
      <c r="A2674" s="108">
        <v>1413</v>
      </c>
      <c r="B2674" s="108">
        <v>2013</v>
      </c>
      <c r="C2674" s="108" t="s">
        <v>38</v>
      </c>
      <c r="D2674" s="108" t="s">
        <v>143</v>
      </c>
      <c r="E2674" s="108" t="s">
        <v>10</v>
      </c>
      <c r="F2674" s="116">
        <v>850</v>
      </c>
      <c r="G2674" s="108" t="s">
        <v>63</v>
      </c>
      <c r="H2674" s="108" t="str">
        <f t="shared" si="208"/>
        <v>Snohomish River</v>
      </c>
      <c r="I2674" s="108" t="str">
        <f>IFERROR(VLOOKUP(H2674,LUTs!$A$1:$C$73,2,FALSE),"NA")</f>
        <v>Snohomish</v>
      </c>
      <c r="J2674" s="108" t="str">
        <f>IFERROR(VLOOKUP(H2674,LUTs!$A$1:$C$73,3,FALSE),"NA")</f>
        <v>2Central Puget Sound</v>
      </c>
      <c r="K2674" s="108" t="s">
        <v>25</v>
      </c>
      <c r="L2674" s="108" t="str">
        <f>VLOOKUP(K2674,LUTs!E$2:G$14,3,)</f>
        <v>12Jefferson</v>
      </c>
      <c r="M2674" s="108" t="str">
        <f>VLOOKUP($K2674,LUTs!$E$2:$H$14,2,)</f>
        <v>Strait of Juan de Fuca</v>
      </c>
      <c r="N2674" s="108" t="str">
        <f>VLOOKUP($K2674,LUTs!$E$2:$H$14,4,)</f>
        <v>03Strait of Juan de Fuca</v>
      </c>
      <c r="O2674" s="108">
        <v>71.331687242798395</v>
      </c>
      <c r="P2674" s="108">
        <v>245.38100411522601</v>
      </c>
      <c r="Q2674" s="108">
        <f>SUMIFS('FW_Salmon_by_Month_2010-2021'!P$2:P$3810,'FW_Salmon_by_Month_2010-2021'!$B$2:$B$3810,'Rec_raw_catch_effort_2010-2021'!$B2674,'FW_Salmon_by_Month_2010-2021'!$H$2:$H$3810,'Rec_raw_catch_effort_2010-2021'!$F2674,'FW_Salmon_by_Month_2010-2021'!$M$2:$M$3810,'Rec_raw_catch_effort_2010-2021'!$K2674)</f>
        <v>72.398285525882002</v>
      </c>
      <c r="R2674" s="109">
        <f>VLOOKUP(B2674,Readme!$A$62:$C$74,2,)*Q2674</f>
        <v>256.22046024701029</v>
      </c>
      <c r="S2674" s="140" t="str">
        <f t="shared" si="205"/>
        <v>Y</v>
      </c>
      <c r="T2674" s="154">
        <f t="shared" si="206"/>
        <v>3.4399999999999933</v>
      </c>
      <c r="U2674" s="154">
        <f t="shared" si="207"/>
        <v>3.5390404397824149</v>
      </c>
    </row>
    <row r="2675" spans="1:21" x14ac:dyDescent="0.35">
      <c r="A2675" s="108">
        <v>1408</v>
      </c>
      <c r="B2675" s="108">
        <v>2013</v>
      </c>
      <c r="C2675" s="108" t="s">
        <v>38</v>
      </c>
      <c r="D2675" s="108" t="s">
        <v>143</v>
      </c>
      <c r="E2675" s="108" t="s">
        <v>10</v>
      </c>
      <c r="F2675" s="116">
        <v>850</v>
      </c>
      <c r="G2675" s="108" t="s">
        <v>63</v>
      </c>
      <c r="H2675" s="108" t="str">
        <f t="shared" si="208"/>
        <v>Snohomish River</v>
      </c>
      <c r="I2675" s="108" t="str">
        <f>IFERROR(VLOOKUP(H2675,LUTs!$A$1:$C$73,2,FALSE),"NA")</f>
        <v>Snohomish</v>
      </c>
      <c r="J2675" s="108" t="str">
        <f>IFERROR(VLOOKUP(H2675,LUTs!$A$1:$C$73,3,FALSE),"NA")</f>
        <v>2Central Puget Sound</v>
      </c>
      <c r="K2675" s="108" t="s">
        <v>18</v>
      </c>
      <c r="L2675" s="108" t="str">
        <f>VLOOKUP(K2675,LUTs!E$2:G$14,3,)</f>
        <v>06King</v>
      </c>
      <c r="M2675" s="108" t="str">
        <f>VLOOKUP($K2675,LUTs!$E$2:$H$14,2,)</f>
        <v>South Puget Sound</v>
      </c>
      <c r="N2675" s="108" t="str">
        <f>VLOOKUP($K2675,LUTs!$E$2:$H$14,4,)</f>
        <v>02South Puget Sound</v>
      </c>
      <c r="O2675" s="108">
        <v>16022.880246913601</v>
      </c>
      <c r="P2675" s="108">
        <v>55118.708049382803</v>
      </c>
      <c r="Q2675" s="108">
        <f>SUMIFS('FW_Salmon_by_Month_2010-2021'!P$2:P$3810,'FW_Salmon_by_Month_2010-2021'!$B$2:$B$3810,'Rec_raw_catch_effort_2010-2021'!$B2675,'FW_Salmon_by_Month_2010-2021'!$H$2:$H$3810,'Rec_raw_catch_effort_2010-2021'!$F2675,'FW_Salmon_by_Month_2010-2021'!$M$2:$M$3810,'Rec_raw_catch_effort_2010-2021'!$K2675)</f>
        <v>15974.913620408963</v>
      </c>
      <c r="R2675" s="109">
        <f>VLOOKUP(B2675,Readme!$A$62:$C$74,2,)*Q2675</f>
        <v>56535.865324658233</v>
      </c>
      <c r="S2675" s="140" t="str">
        <f t="shared" si="205"/>
        <v>Y</v>
      </c>
      <c r="T2675" s="154">
        <f t="shared" si="206"/>
        <v>3.4400000000000008</v>
      </c>
      <c r="U2675" s="154">
        <f t="shared" si="207"/>
        <v>3.5390404397824153</v>
      </c>
    </row>
    <row r="2676" spans="1:21" x14ac:dyDescent="0.35">
      <c r="A2676" s="108">
        <v>1412</v>
      </c>
      <c r="B2676" s="108">
        <v>2013</v>
      </c>
      <c r="C2676" s="108" t="s">
        <v>38</v>
      </c>
      <c r="D2676" s="108" t="s">
        <v>143</v>
      </c>
      <c r="E2676" s="108" t="s">
        <v>10</v>
      </c>
      <c r="F2676" s="116">
        <v>850</v>
      </c>
      <c r="G2676" s="108" t="s">
        <v>63</v>
      </c>
      <c r="H2676" s="108" t="str">
        <f t="shared" si="208"/>
        <v>Snohomish River</v>
      </c>
      <c r="I2676" s="108" t="str">
        <f>IFERROR(VLOOKUP(H2676,LUTs!$A$1:$C$73,2,FALSE),"NA")</f>
        <v>Snohomish</v>
      </c>
      <c r="J2676" s="108" t="str">
        <f>IFERROR(VLOOKUP(H2676,LUTs!$A$1:$C$73,3,FALSE),"NA")</f>
        <v>2Central Puget Sound</v>
      </c>
      <c r="K2676" s="108" t="s">
        <v>23</v>
      </c>
      <c r="L2676" s="108" t="str">
        <f>VLOOKUP(K2676,LUTs!E$2:G$14,3,)</f>
        <v>10Kitsap</v>
      </c>
      <c r="M2676" s="108" t="str">
        <f>VLOOKUP($K2676,LUTs!$E$2:$H$14,2,)</f>
        <v>South Puget Sound</v>
      </c>
      <c r="N2676" s="108" t="str">
        <f>VLOOKUP($K2676,LUTs!$E$2:$H$14,4,)</f>
        <v>02South Puget Sound</v>
      </c>
      <c r="O2676" s="108">
        <v>240.74444444444501</v>
      </c>
      <c r="P2676" s="108">
        <v>828.16088888889101</v>
      </c>
      <c r="Q2676" s="108">
        <f>SUMIFS('FW_Salmon_by_Month_2010-2021'!P$2:P$3810,'FW_Salmon_by_Month_2010-2021'!$B$2:$B$3810,'Rec_raw_catch_effort_2010-2021'!$B2676,'FW_Salmon_by_Month_2010-2021'!$H$2:$H$3810,'Rec_raw_catch_effort_2010-2021'!$F2676,'FW_Salmon_by_Month_2010-2021'!$M$2:$M$3810,'Rec_raw_catch_effort_2010-2021'!$K2676)</f>
        <v>243.46607094699235</v>
      </c>
      <c r="R2676" s="109">
        <f>VLOOKUP(B2676,Readme!$A$62:$C$74,2,)*Q2676</f>
        <v>861.63627079634057</v>
      </c>
      <c r="S2676" s="140" t="str">
        <f t="shared" si="205"/>
        <v>Y</v>
      </c>
      <c r="T2676" s="154">
        <f t="shared" si="206"/>
        <v>3.4400000000000008</v>
      </c>
      <c r="U2676" s="154">
        <f t="shared" si="207"/>
        <v>3.5390404397824153</v>
      </c>
    </row>
    <row r="2677" spans="1:21" x14ac:dyDescent="0.35">
      <c r="A2677" s="108">
        <v>1411</v>
      </c>
      <c r="B2677" s="108">
        <v>2013</v>
      </c>
      <c r="C2677" s="108" t="s">
        <v>38</v>
      </c>
      <c r="D2677" s="108" t="s">
        <v>143</v>
      </c>
      <c r="E2677" s="108" t="s">
        <v>10</v>
      </c>
      <c r="F2677" s="116">
        <v>850</v>
      </c>
      <c r="G2677" s="108" t="s">
        <v>63</v>
      </c>
      <c r="H2677" s="108" t="str">
        <f t="shared" si="208"/>
        <v>Snohomish River</v>
      </c>
      <c r="I2677" s="108" t="str">
        <f>IFERROR(VLOOKUP(H2677,LUTs!$A$1:$C$73,2,FALSE),"NA")</f>
        <v>Snohomish</v>
      </c>
      <c r="J2677" s="108" t="str">
        <f>IFERROR(VLOOKUP(H2677,LUTs!$A$1:$C$73,3,FALSE),"NA")</f>
        <v>2Central Puget Sound</v>
      </c>
      <c r="K2677" s="108" t="s">
        <v>22</v>
      </c>
      <c r="L2677" s="108" t="str">
        <f>VLOOKUP(K2677,LUTs!E$2:G$14,3,)</f>
        <v>09Mason</v>
      </c>
      <c r="M2677" s="108" t="str">
        <f>VLOOKUP($K2677,LUTs!$E$2:$H$14,2,)</f>
        <v>South Puget Sound</v>
      </c>
      <c r="N2677" s="108" t="str">
        <f>VLOOKUP($K2677,LUTs!$E$2:$H$14,4,)</f>
        <v>02South Puget Sound</v>
      </c>
      <c r="O2677" s="108">
        <v>26.7493827160494</v>
      </c>
      <c r="P2677" s="108">
        <v>92.017876543209894</v>
      </c>
      <c r="Q2677" s="108">
        <f>SUMIFS('FW_Salmon_by_Month_2010-2021'!P$2:P$3810,'FW_Salmon_by_Month_2010-2021'!$B$2:$B$3810,'Rec_raw_catch_effort_2010-2021'!$B2677,'FW_Salmon_by_Month_2010-2021'!$H$2:$H$3810,'Rec_raw_catch_effort_2010-2021'!$F2677,'FW_Salmon_by_Month_2010-2021'!$M$2:$M$3810,'Rec_raw_catch_effort_2010-2021'!$K2677)</f>
        <v>26.954176881010799</v>
      </c>
      <c r="R2677" s="109">
        <f>VLOOKUP(B2677,Readme!$A$62:$C$74,2,)*Q2677</f>
        <v>95.391922002945464</v>
      </c>
      <c r="S2677" s="140" t="str">
        <f t="shared" si="205"/>
        <v>Y</v>
      </c>
      <c r="T2677" s="154">
        <f t="shared" si="206"/>
        <v>3.4399999999999986</v>
      </c>
      <c r="U2677" s="154">
        <f t="shared" si="207"/>
        <v>3.5390404397824149</v>
      </c>
    </row>
    <row r="2678" spans="1:21" x14ac:dyDescent="0.35">
      <c r="A2678" s="108">
        <v>1414</v>
      </c>
      <c r="B2678" s="108">
        <v>2013</v>
      </c>
      <c r="C2678" s="108" t="s">
        <v>38</v>
      </c>
      <c r="D2678" s="108" t="s">
        <v>143</v>
      </c>
      <c r="E2678" s="108" t="s">
        <v>10</v>
      </c>
      <c r="F2678" s="116">
        <v>850</v>
      </c>
      <c r="G2678" s="108" t="s">
        <v>63</v>
      </c>
      <c r="H2678" s="108" t="str">
        <f t="shared" si="208"/>
        <v>Snohomish River</v>
      </c>
      <c r="I2678" s="108" t="str">
        <f>IFERROR(VLOOKUP(H2678,LUTs!$A$1:$C$73,2,FALSE),"NA")</f>
        <v>Snohomish</v>
      </c>
      <c r="J2678" s="108" t="str">
        <f>IFERROR(VLOOKUP(H2678,LUTs!$A$1:$C$73,3,FALSE),"NA")</f>
        <v>2Central Puget Sound</v>
      </c>
      <c r="K2678" s="108" t="s">
        <v>26</v>
      </c>
      <c r="L2678" s="108" t="str">
        <f>VLOOKUP(K2678,LUTs!E$2:G$14,3,)</f>
        <v>20Other</v>
      </c>
      <c r="M2678" s="108" t="str">
        <f>VLOOKUP($K2678,LUTs!$E$2:$H$14,2,)</f>
        <v>Non Puget Sound</v>
      </c>
      <c r="N2678" s="108" t="str">
        <f>VLOOKUP($K2678,LUTs!$E$2:$H$14,4,)</f>
        <v>07Non Puget Sound</v>
      </c>
      <c r="O2678" s="108">
        <v>5751.1172839506198</v>
      </c>
      <c r="P2678" s="108">
        <v>19783.843456790099</v>
      </c>
      <c r="Q2678" s="108">
        <f>SUMIFS('FW_Salmon_by_Month_2010-2021'!P$2:P$3810,'FW_Salmon_by_Month_2010-2021'!$B$2:$B$3810,'Rec_raw_catch_effort_2010-2021'!$B2678,'FW_Salmon_by_Month_2010-2021'!$H$2:$H$3810,'Rec_raw_catch_effort_2010-2021'!$F2678,'FW_Salmon_by_Month_2010-2021'!$M$2:$M$3810,'Rec_raw_catch_effort_2010-2021'!$K2678)</f>
        <v>5780.4434398760768</v>
      </c>
      <c r="R2678" s="109">
        <f>VLOOKUP(B2678,Readme!$A$62:$C$74,2,)*Q2678</f>
        <v>20457.223093596407</v>
      </c>
      <c r="S2678" s="140" t="str">
        <f t="shared" si="205"/>
        <v>Y</v>
      </c>
      <c r="T2678" s="154">
        <f t="shared" si="206"/>
        <v>3.4399999999999942</v>
      </c>
      <c r="U2678" s="154">
        <f t="shared" si="207"/>
        <v>3.5390404397824149</v>
      </c>
    </row>
    <row r="2679" spans="1:21" x14ac:dyDescent="0.35">
      <c r="A2679" s="108">
        <v>1409</v>
      </c>
      <c r="B2679" s="108">
        <v>2013</v>
      </c>
      <c r="C2679" s="108" t="s">
        <v>38</v>
      </c>
      <c r="D2679" s="108" t="s">
        <v>143</v>
      </c>
      <c r="E2679" s="108" t="s">
        <v>10</v>
      </c>
      <c r="F2679" s="116">
        <v>850</v>
      </c>
      <c r="G2679" s="108" t="s">
        <v>63</v>
      </c>
      <c r="H2679" s="108" t="str">
        <f t="shared" si="208"/>
        <v>Snohomish River</v>
      </c>
      <c r="I2679" s="108" t="str">
        <f>IFERROR(VLOOKUP(H2679,LUTs!$A$1:$C$73,2,FALSE),"NA")</f>
        <v>Snohomish</v>
      </c>
      <c r="J2679" s="108" t="str">
        <f>IFERROR(VLOOKUP(H2679,LUTs!$A$1:$C$73,3,FALSE),"NA")</f>
        <v>2Central Puget Sound</v>
      </c>
      <c r="K2679" s="108" t="s">
        <v>20</v>
      </c>
      <c r="L2679" s="108" t="str">
        <f>VLOOKUP(K2679,LUTs!E$2:G$14,3,)</f>
        <v>07Pierce</v>
      </c>
      <c r="M2679" s="108" t="str">
        <f>VLOOKUP($K2679,LUTs!$E$2:$H$14,2,)</f>
        <v>South Puget Sound</v>
      </c>
      <c r="N2679" s="108" t="str">
        <f>VLOOKUP($K2679,LUTs!$E$2:$H$14,4,)</f>
        <v>02South Puget Sound</v>
      </c>
      <c r="O2679" s="108">
        <v>481.48888888888899</v>
      </c>
      <c r="P2679" s="108">
        <v>1656.32177777778</v>
      </c>
      <c r="Q2679" s="108">
        <f>SUMIFS('FW_Salmon_by_Month_2010-2021'!P$2:P$3810,'FW_Salmon_by_Month_2010-2021'!$B$2:$B$3810,'Rec_raw_catch_effort_2010-2021'!$B2679,'FW_Salmon_by_Month_2010-2021'!$H$2:$H$3810,'Rec_raw_catch_effort_2010-2021'!$F2679,'FW_Salmon_by_Month_2010-2021'!$M$2:$M$3810,'Rec_raw_catch_effort_2010-2021'!$K2679)</f>
        <v>476.33354207024269</v>
      </c>
      <c r="R2679" s="109">
        <f>VLOOKUP(B2679,Readme!$A$62:$C$74,2,)*Q2679</f>
        <v>1685.7636682113873</v>
      </c>
      <c r="S2679" s="140" t="str">
        <f t="shared" si="205"/>
        <v>Y</v>
      </c>
      <c r="T2679" s="154">
        <f t="shared" si="206"/>
        <v>3.4400000000000039</v>
      </c>
      <c r="U2679" s="154">
        <f t="shared" si="207"/>
        <v>3.5390404397824153</v>
      </c>
    </row>
    <row r="2680" spans="1:21" x14ac:dyDescent="0.35">
      <c r="A2680" s="108">
        <v>1284</v>
      </c>
      <c r="B2680" s="108">
        <v>2013</v>
      </c>
      <c r="C2680" s="108" t="s">
        <v>38</v>
      </c>
      <c r="D2680" s="108" t="s">
        <v>143</v>
      </c>
      <c r="E2680" s="108" t="s">
        <v>10</v>
      </c>
      <c r="F2680" s="116">
        <v>850</v>
      </c>
      <c r="G2680" s="108" t="s">
        <v>63</v>
      </c>
      <c r="H2680" s="108" t="str">
        <f t="shared" si="208"/>
        <v>Snohomish River</v>
      </c>
      <c r="I2680" s="108" t="str">
        <f>IFERROR(VLOOKUP(H2680,LUTs!$A$1:$C$73,2,FALSE),"NA")</f>
        <v>Snohomish</v>
      </c>
      <c r="J2680" s="108" t="str">
        <f>IFERROR(VLOOKUP(H2680,LUTs!$A$1:$C$73,3,FALSE),"NA")</f>
        <v>2Central Puget Sound</v>
      </c>
      <c r="K2680" s="108" t="s">
        <v>15</v>
      </c>
      <c r="L2680" s="108" t="str">
        <f>VLOOKUP(K2680,LUTs!E$2:G$14,3,)</f>
        <v>02Skagit</v>
      </c>
      <c r="M2680" s="108" t="str">
        <f>VLOOKUP($K2680,LUTs!$E$2:$H$14,2,)</f>
        <v>North Puget Sound</v>
      </c>
      <c r="N2680" s="108" t="str">
        <f>VLOOKUP($K2680,LUTs!$E$2:$H$14,4,)</f>
        <v>01North Puget Sound</v>
      </c>
      <c r="O2680" s="108">
        <v>472.572427983539</v>
      </c>
      <c r="P2680" s="108">
        <v>1625.6491522633701</v>
      </c>
      <c r="Q2680" s="108">
        <f>SUMIFS('FW_Salmon_by_Month_2010-2021'!P$2:P$3810,'FW_Salmon_by_Month_2010-2021'!$B$2:$B$3810,'Rec_raw_catch_effort_2010-2021'!$B2680,'FW_Salmon_by_Month_2010-2021'!$H$2:$H$3810,'Rec_raw_catch_effort_2010-2021'!$F2680,'FW_Salmon_by_Month_2010-2021'!$M$2:$M$3810,'Rec_raw_catch_effort_2010-2021'!$K2680)</f>
        <v>471.96986238297359</v>
      </c>
      <c r="R2680" s="109">
        <f>VLOOKUP(B2680,Readme!$A$62:$C$74,2,)*Q2680</f>
        <v>1670.320429331885</v>
      </c>
      <c r="S2680" s="140" t="str">
        <f t="shared" si="205"/>
        <v>Y</v>
      </c>
      <c r="T2680" s="154">
        <f t="shared" si="206"/>
        <v>3.4399999999999915</v>
      </c>
      <c r="U2680" s="154">
        <f t="shared" si="207"/>
        <v>3.5390404397824153</v>
      </c>
    </row>
    <row r="2681" spans="1:21" x14ac:dyDescent="0.35">
      <c r="A2681" s="108">
        <v>1406</v>
      </c>
      <c r="B2681" s="108">
        <v>2013</v>
      </c>
      <c r="C2681" s="108" t="s">
        <v>38</v>
      </c>
      <c r="D2681" s="108" t="s">
        <v>143</v>
      </c>
      <c r="E2681" s="108" t="s">
        <v>10</v>
      </c>
      <c r="F2681" s="116">
        <v>850</v>
      </c>
      <c r="G2681" s="108" t="s">
        <v>63</v>
      </c>
      <c r="H2681" s="108" t="str">
        <f t="shared" si="208"/>
        <v>Snohomish River</v>
      </c>
      <c r="I2681" s="108" t="str">
        <f>IFERROR(VLOOKUP(H2681,LUTs!$A$1:$C$73,2,FALSE),"NA")</f>
        <v>Snohomish</v>
      </c>
      <c r="J2681" s="108" t="str">
        <f>IFERROR(VLOOKUP(H2681,LUTs!$A$1:$C$73,3,FALSE),"NA")</f>
        <v>2Central Puget Sound</v>
      </c>
      <c r="K2681" s="108" t="s">
        <v>16</v>
      </c>
      <c r="L2681" s="108" t="str">
        <f>VLOOKUP(K2681,LUTs!E$2:G$14,3,)</f>
        <v>03Snohomish</v>
      </c>
      <c r="M2681" s="108" t="str">
        <f>VLOOKUP($K2681,LUTs!$E$2:$H$14,2,)</f>
        <v>North Puget Sound</v>
      </c>
      <c r="N2681" s="108" t="str">
        <f>VLOOKUP($K2681,LUTs!$E$2:$H$14,4,)</f>
        <v>01North Puget Sound</v>
      </c>
      <c r="O2681" s="108">
        <v>62468.7251028807</v>
      </c>
      <c r="P2681" s="108">
        <v>214892.41435390999</v>
      </c>
      <c r="Q2681" s="108">
        <f>SUMIFS('FW_Salmon_by_Month_2010-2021'!P$2:P$3810,'FW_Salmon_by_Month_2010-2021'!$B$2:$B$3810,'Rec_raw_catch_effort_2010-2021'!$B2681,'FW_Salmon_by_Month_2010-2021'!$H$2:$H$3810,'Rec_raw_catch_effort_2010-2021'!$F2681,'FW_Salmon_by_Month_2010-2021'!$M$2:$M$3810,'Rec_raw_catch_effort_2010-2021'!$K2681)</f>
        <v>62481.803814327701</v>
      </c>
      <c r="R2681" s="109">
        <f>VLOOKUP(B2681,Readme!$A$62:$C$74,2,)*Q2681</f>
        <v>221125.63044945689</v>
      </c>
      <c r="S2681" s="140" t="str">
        <f t="shared" si="205"/>
        <v>Y</v>
      </c>
      <c r="T2681" s="154">
        <f t="shared" si="206"/>
        <v>3.4400000000000062</v>
      </c>
      <c r="U2681" s="154">
        <f t="shared" si="207"/>
        <v>3.5390404397824153</v>
      </c>
    </row>
    <row r="2682" spans="1:21" x14ac:dyDescent="0.35">
      <c r="A2682" s="108">
        <v>1410</v>
      </c>
      <c r="B2682" s="108">
        <v>2013</v>
      </c>
      <c r="C2682" s="108" t="s">
        <v>38</v>
      </c>
      <c r="D2682" s="108" t="s">
        <v>143</v>
      </c>
      <c r="E2682" s="108" t="s">
        <v>10</v>
      </c>
      <c r="F2682" s="116">
        <v>850</v>
      </c>
      <c r="G2682" s="108" t="s">
        <v>63</v>
      </c>
      <c r="H2682" s="108" t="str">
        <f t="shared" si="208"/>
        <v>Snohomish River</v>
      </c>
      <c r="I2682" s="108" t="str">
        <f>IFERROR(VLOOKUP(H2682,LUTs!$A$1:$C$73,2,FALSE),"NA")</f>
        <v>Snohomish</v>
      </c>
      <c r="J2682" s="108" t="str">
        <f>IFERROR(VLOOKUP(H2682,LUTs!$A$1:$C$73,3,FALSE),"NA")</f>
        <v>2Central Puget Sound</v>
      </c>
      <c r="K2682" s="108" t="s">
        <v>21</v>
      </c>
      <c r="L2682" s="108" t="str">
        <f>VLOOKUP(K2682,LUTs!E$2:G$14,3,)</f>
        <v>08Thurston</v>
      </c>
      <c r="M2682" s="108" t="str">
        <f>VLOOKUP($K2682,LUTs!$E$2:$H$14,2,)</f>
        <v>South Puget Sound</v>
      </c>
      <c r="N2682" s="108" t="str">
        <f>VLOOKUP($K2682,LUTs!$E$2:$H$14,4,)</f>
        <v>02South Puget Sound</v>
      </c>
      <c r="O2682" s="108">
        <v>356.65843621399199</v>
      </c>
      <c r="P2682" s="108">
        <v>1226.90502057613</v>
      </c>
      <c r="Q2682" s="108">
        <f>SUMIFS('FW_Salmon_by_Month_2010-2021'!P$2:P$3810,'FW_Salmon_by_Month_2010-2021'!$B$2:$B$3810,'Rec_raw_catch_effort_2010-2021'!$B2682,'FW_Salmon_by_Month_2010-2021'!$H$2:$H$3810,'Rec_raw_catch_effort_2010-2021'!$F2682,'FW_Salmon_by_Month_2010-2021'!$M$2:$M$3810,'Rec_raw_catch_effort_2010-2021'!$K2682)</f>
        <v>360.25680951828667</v>
      </c>
      <c r="R2682" s="109">
        <f>VLOOKUP(B2682,Readme!$A$62:$C$74,2,)*Q2682</f>
        <v>1274.9634175922072</v>
      </c>
      <c r="S2682" s="140" t="str">
        <f t="shared" si="205"/>
        <v>Y</v>
      </c>
      <c r="T2682" s="154">
        <f t="shared" si="206"/>
        <v>3.4399999999999933</v>
      </c>
      <c r="U2682" s="154">
        <f t="shared" si="207"/>
        <v>3.5390404397824158</v>
      </c>
    </row>
    <row r="2683" spans="1:21" x14ac:dyDescent="0.35">
      <c r="A2683" s="108">
        <v>1283</v>
      </c>
      <c r="B2683" s="108">
        <v>2013</v>
      </c>
      <c r="C2683" s="108" t="s">
        <v>38</v>
      </c>
      <c r="D2683" s="108" t="s">
        <v>143</v>
      </c>
      <c r="E2683" s="108" t="s">
        <v>10</v>
      </c>
      <c r="F2683" s="116">
        <v>850</v>
      </c>
      <c r="G2683" s="108" t="s">
        <v>63</v>
      </c>
      <c r="H2683" s="108" t="str">
        <f t="shared" si="208"/>
        <v>Snohomish River</v>
      </c>
      <c r="I2683" s="108" t="str">
        <f>IFERROR(VLOOKUP(H2683,LUTs!$A$1:$C$73,2,FALSE),"NA")</f>
        <v>Snohomish</v>
      </c>
      <c r="J2683" s="108" t="str">
        <f>IFERROR(VLOOKUP(H2683,LUTs!$A$1:$C$73,3,FALSE),"NA")</f>
        <v>2Central Puget Sound</v>
      </c>
      <c r="K2683" s="108" t="s">
        <v>13</v>
      </c>
      <c r="L2683" s="108" t="str">
        <f>VLOOKUP(K2683,LUTs!E$2:G$14,3,)</f>
        <v>01Whatcom</v>
      </c>
      <c r="M2683" s="108" t="str">
        <f>VLOOKUP($K2683,LUTs!$E$2:$H$14,2,)</f>
        <v>North Puget Sound</v>
      </c>
      <c r="N2683" s="108" t="str">
        <f>VLOOKUP($K2683,LUTs!$E$2:$H$14,4,)</f>
        <v>01North Puget Sound</v>
      </c>
      <c r="O2683" s="108">
        <v>294.24320987654301</v>
      </c>
      <c r="P2683" s="108">
        <v>1012.1966419753099</v>
      </c>
      <c r="Q2683" s="108">
        <f>SUMIFS('FW_Salmon_by_Month_2010-2021'!P$2:P$3810,'FW_Salmon_by_Month_2010-2021'!$B$2:$B$3810,'Rec_raw_catch_effort_2010-2021'!$B2683,'FW_Salmon_by_Month_2010-2021'!$H$2:$H$3810,'Rec_raw_catch_effort_2010-2021'!$F2683,'FW_Salmon_by_Month_2010-2021'!$M$2:$M$3810,'Rec_raw_catch_effort_2010-2021'!$K2683)</f>
        <v>297.67202216989148</v>
      </c>
      <c r="R2683" s="109">
        <f>VLOOKUP(B2683,Readme!$A$62:$C$74,2,)*Q2683</f>
        <v>1053.4733242510536</v>
      </c>
      <c r="S2683" s="140" t="str">
        <f t="shared" si="205"/>
        <v>Y</v>
      </c>
      <c r="T2683" s="154">
        <f t="shared" si="206"/>
        <v>3.4400000000000066</v>
      </c>
      <c r="U2683" s="154">
        <f t="shared" si="207"/>
        <v>3.5390404397824149</v>
      </c>
    </row>
    <row r="2684" spans="1:21" x14ac:dyDescent="0.35">
      <c r="A2684" s="108">
        <v>1749</v>
      </c>
      <c r="B2684" s="108">
        <v>2014</v>
      </c>
      <c r="C2684" s="108" t="s">
        <v>38</v>
      </c>
      <c r="D2684" s="108" t="s">
        <v>143</v>
      </c>
      <c r="E2684" s="108" t="s">
        <v>10</v>
      </c>
      <c r="F2684" s="116">
        <v>850</v>
      </c>
      <c r="G2684" s="108" t="s">
        <v>63</v>
      </c>
      <c r="H2684" s="108" t="str">
        <f t="shared" si="208"/>
        <v>Snohomish River</v>
      </c>
      <c r="I2684" s="108" t="str">
        <f>IFERROR(VLOOKUP(H2684,LUTs!$A$1:$C$73,2,FALSE),"NA")</f>
        <v>Snohomish</v>
      </c>
      <c r="J2684" s="108" t="str">
        <f>IFERROR(VLOOKUP(H2684,LUTs!$A$1:$C$73,3,FALSE),"NA")</f>
        <v>2Central Puget Sound</v>
      </c>
      <c r="K2684" s="108" t="s">
        <v>17</v>
      </c>
      <c r="L2684" s="108" t="str">
        <f>VLOOKUP(K2684,LUTs!E$2:G$14,3,)</f>
        <v>04Island</v>
      </c>
      <c r="M2684" s="108" t="str">
        <f>VLOOKUP($K2684,LUTs!$E$2:$H$14,2,)</f>
        <v>North Puget Sound</v>
      </c>
      <c r="N2684" s="108" t="str">
        <f>VLOOKUP($K2684,LUTs!$E$2:$H$14,4,)</f>
        <v>01North Puget Sound</v>
      </c>
      <c r="O2684" s="108">
        <v>7.13333333333334</v>
      </c>
      <c r="P2684" s="108">
        <v>61.703333333333397</v>
      </c>
      <c r="Q2684" s="108">
        <f>SUMIFS('FW_Salmon_by_Month_2010-2021'!P$2:P$3810,'FW_Salmon_by_Month_2010-2021'!$B$2:$B$3810,'Rec_raw_catch_effort_2010-2021'!$B2684,'FW_Salmon_by_Month_2010-2021'!$H$2:$H$3810,'Rec_raw_catch_effort_2010-2021'!$F2684,'FW_Salmon_by_Month_2010-2021'!$M$2:$M$3810,'Rec_raw_catch_effort_2010-2021'!$K2684)</f>
        <v>7.1780821917808204</v>
      </c>
      <c r="R2684" s="109">
        <f>VLOOKUP(B2684,Readme!$A$62:$C$74,2,)*Q2684</f>
        <v>34.59516122952494</v>
      </c>
      <c r="S2684" s="140" t="str">
        <f t="shared" si="205"/>
        <v>Y</v>
      </c>
      <c r="T2684" s="154">
        <f t="shared" si="206"/>
        <v>8.65</v>
      </c>
      <c r="U2684" s="154">
        <f t="shared" si="207"/>
        <v>4.8195549041132084</v>
      </c>
    </row>
    <row r="2685" spans="1:21" x14ac:dyDescent="0.35">
      <c r="A2685" s="108">
        <v>1750</v>
      </c>
      <c r="B2685" s="108">
        <v>2014</v>
      </c>
      <c r="C2685" s="108" t="s">
        <v>38</v>
      </c>
      <c r="D2685" s="108" t="s">
        <v>143</v>
      </c>
      <c r="E2685" s="108" t="s">
        <v>10</v>
      </c>
      <c r="F2685" s="116">
        <v>850</v>
      </c>
      <c r="G2685" s="108" t="s">
        <v>63</v>
      </c>
      <c r="H2685" s="108" t="str">
        <f t="shared" si="208"/>
        <v>Snohomish River</v>
      </c>
      <c r="I2685" s="108" t="str">
        <f>IFERROR(VLOOKUP(H2685,LUTs!$A$1:$C$73,2,FALSE),"NA")</f>
        <v>Snohomish</v>
      </c>
      <c r="J2685" s="108" t="str">
        <f>IFERROR(VLOOKUP(H2685,LUTs!$A$1:$C$73,3,FALSE),"NA")</f>
        <v>2Central Puget Sound</v>
      </c>
      <c r="K2685" s="108" t="s">
        <v>18</v>
      </c>
      <c r="L2685" s="108" t="str">
        <f>VLOOKUP(K2685,LUTs!E$2:G$14,3,)</f>
        <v>06King</v>
      </c>
      <c r="M2685" s="108" t="str">
        <f>VLOOKUP($K2685,LUTs!$E$2:$H$14,2,)</f>
        <v>South Puget Sound</v>
      </c>
      <c r="N2685" s="108" t="str">
        <f>VLOOKUP($K2685,LUTs!$E$2:$H$14,4,)</f>
        <v>02South Puget Sound</v>
      </c>
      <c r="O2685" s="108">
        <v>349.53333333333302</v>
      </c>
      <c r="P2685" s="108">
        <v>3023.46333333333</v>
      </c>
      <c r="Q2685" s="108">
        <f>SUMIFS('FW_Salmon_by_Month_2010-2021'!P$2:P$3810,'FW_Salmon_by_Month_2010-2021'!$B$2:$B$3810,'Rec_raw_catch_effort_2010-2021'!$B2685,'FW_Salmon_by_Month_2010-2021'!$H$2:$H$3810,'Rec_raw_catch_effort_2010-2021'!$F2685,'FW_Salmon_by_Month_2010-2021'!$M$2:$M$3810,'Rec_raw_catch_effort_2010-2021'!$K2685)</f>
        <v>351.43282402528996</v>
      </c>
      <c r="R2685" s="109">
        <f>VLOOKUP(B2685,Readme!$A$62:$C$74,2,)*Q2685</f>
        <v>1693.7497904974405</v>
      </c>
      <c r="S2685" s="140" t="str">
        <f t="shared" si="205"/>
        <v>Y</v>
      </c>
      <c r="T2685" s="154">
        <f t="shared" si="206"/>
        <v>8.6499999999999986</v>
      </c>
      <c r="U2685" s="154">
        <f t="shared" si="207"/>
        <v>4.8195549041132084</v>
      </c>
    </row>
    <row r="2686" spans="1:21" x14ac:dyDescent="0.35">
      <c r="A2686" s="108">
        <v>1753</v>
      </c>
      <c r="B2686" s="108">
        <v>2014</v>
      </c>
      <c r="C2686" s="108" t="s">
        <v>38</v>
      </c>
      <c r="D2686" s="108" t="s">
        <v>143</v>
      </c>
      <c r="E2686" s="108" t="s">
        <v>10</v>
      </c>
      <c r="F2686" s="116">
        <v>850</v>
      </c>
      <c r="G2686" s="108" t="s">
        <v>63</v>
      </c>
      <c r="H2686" s="108" t="str">
        <f t="shared" si="208"/>
        <v>Snohomish River</v>
      </c>
      <c r="I2686" s="108" t="str">
        <f>IFERROR(VLOOKUP(H2686,LUTs!$A$1:$C$73,2,FALSE),"NA")</f>
        <v>Snohomish</v>
      </c>
      <c r="J2686" s="108" t="str">
        <f>IFERROR(VLOOKUP(H2686,LUTs!$A$1:$C$73,3,FALSE),"NA")</f>
        <v>2Central Puget Sound</v>
      </c>
      <c r="K2686" s="108" t="s">
        <v>23</v>
      </c>
      <c r="L2686" s="108" t="str">
        <f>VLOOKUP(K2686,LUTs!E$2:G$14,3,)</f>
        <v>10Kitsap</v>
      </c>
      <c r="M2686" s="108" t="str">
        <f>VLOOKUP($K2686,LUTs!$E$2:$H$14,2,)</f>
        <v>South Puget Sound</v>
      </c>
      <c r="N2686" s="108" t="str">
        <f>VLOOKUP($K2686,LUTs!$E$2:$H$14,4,)</f>
        <v>02South Puget Sound</v>
      </c>
      <c r="O2686" s="108">
        <v>7.13333333333334</v>
      </c>
      <c r="P2686" s="108">
        <v>61.703333333333397</v>
      </c>
      <c r="Q2686" s="108">
        <f>SUMIFS('FW_Salmon_by_Month_2010-2021'!P$2:P$3810,'FW_Salmon_by_Month_2010-2021'!$B$2:$B$3810,'Rec_raw_catch_effort_2010-2021'!$B2686,'FW_Salmon_by_Month_2010-2021'!$H$2:$H$3810,'Rec_raw_catch_effort_2010-2021'!$F2686,'FW_Salmon_by_Month_2010-2021'!$M$2:$M$3810,'Rec_raw_catch_effort_2010-2021'!$K2686)</f>
        <v>7.1730769230769296</v>
      </c>
      <c r="R2686" s="109">
        <f>VLOOKUP(B2686,Readme!$A$62:$C$74,2,)*Q2686</f>
        <v>34.571038062196699</v>
      </c>
      <c r="S2686" s="140" t="str">
        <f t="shared" si="205"/>
        <v>Y</v>
      </c>
      <c r="T2686" s="154">
        <f t="shared" si="206"/>
        <v>8.65</v>
      </c>
      <c r="U2686" s="154">
        <f t="shared" si="207"/>
        <v>4.8195549041132084</v>
      </c>
    </row>
    <row r="2687" spans="1:21" x14ac:dyDescent="0.35">
      <c r="A2687" s="108">
        <v>1754</v>
      </c>
      <c r="B2687" s="108">
        <v>2014</v>
      </c>
      <c r="C2687" s="108" t="s">
        <v>38</v>
      </c>
      <c r="D2687" s="108" t="s">
        <v>143</v>
      </c>
      <c r="E2687" s="108" t="s">
        <v>10</v>
      </c>
      <c r="F2687" s="116">
        <v>850</v>
      </c>
      <c r="G2687" s="108" t="s">
        <v>63</v>
      </c>
      <c r="H2687" s="108" t="str">
        <f t="shared" si="208"/>
        <v>Snohomish River</v>
      </c>
      <c r="I2687" s="108" t="str">
        <f>IFERROR(VLOOKUP(H2687,LUTs!$A$1:$C$73,2,FALSE),"NA")</f>
        <v>Snohomish</v>
      </c>
      <c r="J2687" s="108" t="str">
        <f>IFERROR(VLOOKUP(H2687,LUTs!$A$1:$C$73,3,FALSE),"NA")</f>
        <v>2Central Puget Sound</v>
      </c>
      <c r="K2687" s="108" t="s">
        <v>26</v>
      </c>
      <c r="L2687" s="108" t="str">
        <f>VLOOKUP(K2687,LUTs!E$2:G$14,3,)</f>
        <v>20Other</v>
      </c>
      <c r="M2687" s="108" t="str">
        <f>VLOOKUP($K2687,LUTs!$E$2:$H$14,2,)</f>
        <v>Non Puget Sound</v>
      </c>
      <c r="N2687" s="108" t="str">
        <f>VLOOKUP($K2687,LUTs!$E$2:$H$14,4,)</f>
        <v>07Non Puget Sound</v>
      </c>
      <c r="O2687" s="108">
        <v>64.2</v>
      </c>
      <c r="P2687" s="108">
        <v>555.33000000000004</v>
      </c>
      <c r="Q2687" s="108">
        <f>SUMIFS('FW_Salmon_by_Month_2010-2021'!P$2:P$3810,'FW_Salmon_by_Month_2010-2021'!$B$2:$B$3810,'Rec_raw_catch_effort_2010-2021'!$B2687,'FW_Salmon_by_Month_2010-2021'!$H$2:$H$3810,'Rec_raw_catch_effort_2010-2021'!$F2687,'FW_Salmon_by_Month_2010-2021'!$M$2:$M$3810,'Rec_raw_catch_effort_2010-2021'!$K2687)</f>
        <v>64.572708113803998</v>
      </c>
      <c r="R2687" s="109">
        <f>VLOOKUP(B2687,Readme!$A$62:$C$74,2,)*Q2687</f>
        <v>311.21171206175484</v>
      </c>
      <c r="S2687" s="140" t="str">
        <f t="shared" si="205"/>
        <v>Y</v>
      </c>
      <c r="T2687" s="154">
        <f t="shared" si="206"/>
        <v>8.65</v>
      </c>
      <c r="U2687" s="154">
        <f t="shared" si="207"/>
        <v>4.8195549041132084</v>
      </c>
    </row>
    <row r="2688" spans="1:21" x14ac:dyDescent="0.35">
      <c r="A2688" s="108">
        <v>1751</v>
      </c>
      <c r="B2688" s="108">
        <v>2014</v>
      </c>
      <c r="C2688" s="108" t="s">
        <v>38</v>
      </c>
      <c r="D2688" s="108" t="s">
        <v>143</v>
      </c>
      <c r="E2688" s="108" t="s">
        <v>10</v>
      </c>
      <c r="F2688" s="116">
        <v>850</v>
      </c>
      <c r="G2688" s="108" t="s">
        <v>63</v>
      </c>
      <c r="H2688" s="108" t="str">
        <f t="shared" si="208"/>
        <v>Snohomish River</v>
      </c>
      <c r="I2688" s="108" t="str">
        <f>IFERROR(VLOOKUP(H2688,LUTs!$A$1:$C$73,2,FALSE),"NA")</f>
        <v>Snohomish</v>
      </c>
      <c r="J2688" s="108" t="str">
        <f>IFERROR(VLOOKUP(H2688,LUTs!$A$1:$C$73,3,FALSE),"NA")</f>
        <v>2Central Puget Sound</v>
      </c>
      <c r="K2688" s="108" t="s">
        <v>20</v>
      </c>
      <c r="L2688" s="108" t="str">
        <f>VLOOKUP(K2688,LUTs!E$2:G$14,3,)</f>
        <v>07Pierce</v>
      </c>
      <c r="M2688" s="108" t="str">
        <f>VLOOKUP($K2688,LUTs!$E$2:$H$14,2,)</f>
        <v>South Puget Sound</v>
      </c>
      <c r="N2688" s="108" t="str">
        <f>VLOOKUP($K2688,LUTs!$E$2:$H$14,4,)</f>
        <v>02South Puget Sound</v>
      </c>
      <c r="O2688" s="108">
        <v>7.13333333333334</v>
      </c>
      <c r="P2688" s="108">
        <v>61.703333333333397</v>
      </c>
      <c r="Q2688" s="108">
        <f>SUMIFS('FW_Salmon_by_Month_2010-2021'!P$2:P$3810,'FW_Salmon_by_Month_2010-2021'!$B$2:$B$3810,'Rec_raw_catch_effort_2010-2021'!$B2688,'FW_Salmon_by_Month_2010-2021'!$H$2:$H$3810,'Rec_raw_catch_effort_2010-2021'!$F2688,'FW_Salmon_by_Month_2010-2021'!$M$2:$M$3810,'Rec_raw_catch_effort_2010-2021'!$K2688)</f>
        <v>7.1730769230769296</v>
      </c>
      <c r="R2688" s="109">
        <f>VLOOKUP(B2688,Readme!$A$62:$C$74,2,)*Q2688</f>
        <v>34.571038062196699</v>
      </c>
      <c r="S2688" s="140" t="str">
        <f t="shared" si="205"/>
        <v>Y</v>
      </c>
      <c r="T2688" s="154">
        <f t="shared" si="206"/>
        <v>8.65</v>
      </c>
      <c r="U2688" s="154">
        <f t="shared" si="207"/>
        <v>4.8195549041132084</v>
      </c>
    </row>
    <row r="2689" spans="1:21" x14ac:dyDescent="0.35">
      <c r="A2689" s="108">
        <v>1606</v>
      </c>
      <c r="B2689" s="108">
        <v>2014</v>
      </c>
      <c r="C2689" s="108" t="s">
        <v>38</v>
      </c>
      <c r="D2689" s="108" t="s">
        <v>143</v>
      </c>
      <c r="E2689" s="108" t="s">
        <v>10</v>
      </c>
      <c r="F2689" s="116">
        <v>850</v>
      </c>
      <c r="G2689" s="108" t="s">
        <v>63</v>
      </c>
      <c r="H2689" s="108" t="str">
        <f t="shared" si="208"/>
        <v>Snohomish River</v>
      </c>
      <c r="I2689" s="108" t="str">
        <f>IFERROR(VLOOKUP(H2689,LUTs!$A$1:$C$73,2,FALSE),"NA")</f>
        <v>Snohomish</v>
      </c>
      <c r="J2689" s="108" t="str">
        <f>IFERROR(VLOOKUP(H2689,LUTs!$A$1:$C$73,3,FALSE),"NA")</f>
        <v>2Central Puget Sound</v>
      </c>
      <c r="K2689" s="108" t="s">
        <v>15</v>
      </c>
      <c r="L2689" s="108" t="str">
        <f>VLOOKUP(K2689,LUTs!E$2:G$14,3,)</f>
        <v>02Skagit</v>
      </c>
      <c r="M2689" s="108" t="str">
        <f>VLOOKUP($K2689,LUTs!$E$2:$H$14,2,)</f>
        <v>North Puget Sound</v>
      </c>
      <c r="N2689" s="108" t="str">
        <f>VLOOKUP($K2689,LUTs!$E$2:$H$14,4,)</f>
        <v>01North Puget Sound</v>
      </c>
      <c r="O2689" s="108">
        <v>21.4</v>
      </c>
      <c r="P2689" s="108">
        <v>185.11</v>
      </c>
      <c r="Q2689" s="108">
        <f>SUMIFS('FW_Salmon_by_Month_2010-2021'!P$2:P$3810,'FW_Salmon_by_Month_2010-2021'!$B$2:$B$3810,'Rec_raw_catch_effort_2010-2021'!$B2689,'FW_Salmon_by_Month_2010-2021'!$H$2:$H$3810,'Rec_raw_catch_effort_2010-2021'!$F2689,'FW_Salmon_by_Month_2010-2021'!$M$2:$M$3810,'Rec_raw_catch_effort_2010-2021'!$K2689)</f>
        <v>21.519230769230798</v>
      </c>
      <c r="R2689" s="109">
        <f>VLOOKUP(B2689,Readme!$A$62:$C$74,2,)*Q2689</f>
        <v>103.71311418659015</v>
      </c>
      <c r="S2689" s="140" t="str">
        <f t="shared" si="205"/>
        <v>Y</v>
      </c>
      <c r="T2689" s="154">
        <f t="shared" si="206"/>
        <v>8.65</v>
      </c>
      <c r="U2689" s="154">
        <f t="shared" si="207"/>
        <v>4.8195549041132084</v>
      </c>
    </row>
    <row r="2690" spans="1:21" x14ac:dyDescent="0.35">
      <c r="A2690" s="108">
        <v>1748</v>
      </c>
      <c r="B2690" s="108">
        <v>2014</v>
      </c>
      <c r="C2690" s="108" t="s">
        <v>38</v>
      </c>
      <c r="D2690" s="108" t="s">
        <v>143</v>
      </c>
      <c r="E2690" s="108" t="s">
        <v>10</v>
      </c>
      <c r="F2690" s="116">
        <v>850</v>
      </c>
      <c r="G2690" s="108" t="s">
        <v>63</v>
      </c>
      <c r="H2690" s="108" t="str">
        <f t="shared" si="208"/>
        <v>Snohomish River</v>
      </c>
      <c r="I2690" s="108" t="str">
        <f>IFERROR(VLOOKUP(H2690,LUTs!$A$1:$C$73,2,FALSE),"NA")</f>
        <v>Snohomish</v>
      </c>
      <c r="J2690" s="108" t="str">
        <f>IFERROR(VLOOKUP(H2690,LUTs!$A$1:$C$73,3,FALSE),"NA")</f>
        <v>2Central Puget Sound</v>
      </c>
      <c r="K2690" s="108" t="s">
        <v>16</v>
      </c>
      <c r="L2690" s="108" t="str">
        <f>VLOOKUP(K2690,LUTs!E$2:G$14,3,)</f>
        <v>03Snohomish</v>
      </c>
      <c r="M2690" s="108" t="str">
        <f>VLOOKUP($K2690,LUTs!$E$2:$H$14,2,)</f>
        <v>North Puget Sound</v>
      </c>
      <c r="N2690" s="108" t="str">
        <f>VLOOKUP($K2690,LUTs!$E$2:$H$14,4,)</f>
        <v>01North Puget Sound</v>
      </c>
      <c r="O2690" s="108">
        <v>820.33333333333303</v>
      </c>
      <c r="P2690" s="108">
        <v>7095.8833333333296</v>
      </c>
      <c r="Q2690" s="108">
        <f>SUMIFS('FW_Salmon_by_Month_2010-2021'!P$2:P$3810,'FW_Salmon_by_Month_2010-2021'!$B$2:$B$3810,'Rec_raw_catch_effort_2010-2021'!$B2690,'FW_Salmon_by_Month_2010-2021'!$H$2:$H$3810,'Rec_raw_catch_effort_2010-2021'!$F2690,'FW_Salmon_by_Month_2010-2021'!$M$2:$M$3810,'Rec_raw_catch_effort_2010-2021'!$K2690)</f>
        <v>817.77792413066402</v>
      </c>
      <c r="R2690" s="109">
        <f>VLOOKUP(B2690,Readme!$A$62:$C$74,2,)*Q2690</f>
        <v>3941.3256047194609</v>
      </c>
      <c r="S2690" s="140" t="str">
        <f t="shared" si="205"/>
        <v>Y</v>
      </c>
      <c r="T2690" s="154">
        <f t="shared" si="206"/>
        <v>8.6499999999999986</v>
      </c>
      <c r="U2690" s="154">
        <f t="shared" si="207"/>
        <v>4.8195549041132084</v>
      </c>
    </row>
    <row r="2691" spans="1:21" x14ac:dyDescent="0.35">
      <c r="A2691" s="108">
        <v>1752</v>
      </c>
      <c r="B2691" s="108">
        <v>2014</v>
      </c>
      <c r="C2691" s="108" t="s">
        <v>38</v>
      </c>
      <c r="D2691" s="108" t="s">
        <v>143</v>
      </c>
      <c r="E2691" s="108" t="s">
        <v>10</v>
      </c>
      <c r="F2691" s="116">
        <v>850</v>
      </c>
      <c r="G2691" s="108" t="s">
        <v>63</v>
      </c>
      <c r="H2691" s="108" t="str">
        <f t="shared" si="208"/>
        <v>Snohomish River</v>
      </c>
      <c r="I2691" s="108" t="str">
        <f>IFERROR(VLOOKUP(H2691,LUTs!$A$1:$C$73,2,FALSE),"NA")</f>
        <v>Snohomish</v>
      </c>
      <c r="J2691" s="108" t="str">
        <f>IFERROR(VLOOKUP(H2691,LUTs!$A$1:$C$73,3,FALSE),"NA")</f>
        <v>2Central Puget Sound</v>
      </c>
      <c r="K2691" s="108" t="s">
        <v>21</v>
      </c>
      <c r="L2691" s="108" t="str">
        <f>VLOOKUP(K2691,LUTs!E$2:G$14,3,)</f>
        <v>08Thurston</v>
      </c>
      <c r="M2691" s="108" t="str">
        <f>VLOOKUP($K2691,LUTs!$E$2:$H$14,2,)</f>
        <v>South Puget Sound</v>
      </c>
      <c r="N2691" s="108" t="str">
        <f>VLOOKUP($K2691,LUTs!$E$2:$H$14,4,)</f>
        <v>02South Puget Sound</v>
      </c>
      <c r="O2691" s="108">
        <v>7.13333333333334</v>
      </c>
      <c r="P2691" s="108">
        <v>61.703333333333397</v>
      </c>
      <c r="Q2691" s="108">
        <f>SUMIFS('FW_Salmon_by_Month_2010-2021'!P$2:P$3810,'FW_Salmon_by_Month_2010-2021'!$B$2:$B$3810,'Rec_raw_catch_effort_2010-2021'!$B2691,'FW_Salmon_by_Month_2010-2021'!$H$2:$H$3810,'Rec_raw_catch_effort_2010-2021'!$F2691,'FW_Salmon_by_Month_2010-2021'!$M$2:$M$3810,'Rec_raw_catch_effort_2010-2021'!$K2691)</f>
        <v>7.1730769230769296</v>
      </c>
      <c r="R2691" s="109">
        <f>VLOOKUP(B2691,Readme!$A$62:$C$74,2,)*Q2691</f>
        <v>34.571038062196699</v>
      </c>
      <c r="S2691" s="140" t="str">
        <f t="shared" ref="S2691:S2754" si="209">IF(B2691&lt;=2019,"Y","N")</f>
        <v>Y</v>
      </c>
      <c r="T2691" s="154">
        <f t="shared" ref="T2691:T2754" si="210">IFERROR(P2691/O2691,"NA")</f>
        <v>8.65</v>
      </c>
      <c r="U2691" s="154">
        <f t="shared" ref="U2691:U2754" si="211">IFERROR(R2691/Q2691,"NA")</f>
        <v>4.8195549041132084</v>
      </c>
    </row>
    <row r="2692" spans="1:21" x14ac:dyDescent="0.35">
      <c r="A2692" s="108">
        <v>1936</v>
      </c>
      <c r="B2692" s="108">
        <v>2015</v>
      </c>
      <c r="C2692" s="108" t="s">
        <v>38</v>
      </c>
      <c r="D2692" s="108" t="s">
        <v>143</v>
      </c>
      <c r="E2692" s="108" t="s">
        <v>10</v>
      </c>
      <c r="F2692" s="116">
        <v>850</v>
      </c>
      <c r="G2692" s="108" t="s">
        <v>63</v>
      </c>
      <c r="H2692" s="108" t="str">
        <f t="shared" si="208"/>
        <v>Snohomish River</v>
      </c>
      <c r="I2692" s="108" t="str">
        <f>IFERROR(VLOOKUP(H2692,LUTs!$A$1:$C$73,2,FALSE),"NA")</f>
        <v>Snohomish</v>
      </c>
      <c r="J2692" s="108" t="str">
        <f>IFERROR(VLOOKUP(H2692,LUTs!$A$1:$C$73,3,FALSE),"NA")</f>
        <v>2Central Puget Sound</v>
      </c>
      <c r="K2692" s="108" t="s">
        <v>17</v>
      </c>
      <c r="L2692" s="108" t="str">
        <f>VLOOKUP(K2692,LUTs!E$2:G$14,3,)</f>
        <v>04Island</v>
      </c>
      <c r="M2692" s="108" t="str">
        <f>VLOOKUP($K2692,LUTs!$E$2:$H$14,2,)</f>
        <v>North Puget Sound</v>
      </c>
      <c r="N2692" s="108" t="str">
        <f>VLOOKUP($K2692,LUTs!$E$2:$H$14,4,)</f>
        <v>01North Puget Sound</v>
      </c>
      <c r="O2692" s="108">
        <v>230.95296306138701</v>
      </c>
      <c r="P2692" s="108">
        <v>794.47819293117095</v>
      </c>
      <c r="Q2692" s="108">
        <f>SUMIFS('FW_Salmon_by_Month_2010-2021'!P$2:P$3810,'FW_Salmon_by_Month_2010-2021'!$B$2:$B$3810,'Rec_raw_catch_effort_2010-2021'!$B2692,'FW_Salmon_by_Month_2010-2021'!$H$2:$H$3810,'Rec_raw_catch_effort_2010-2021'!$F2692,'FW_Salmon_by_Month_2010-2021'!$M$2:$M$3810,'Rec_raw_catch_effort_2010-2021'!$K2692)</f>
        <v>232.43287710066036</v>
      </c>
      <c r="R2692" s="109">
        <f>VLOOKUP(B2692,Readme!$A$62:$C$74,2,)*Q2692</f>
        <v>822.5893515942131</v>
      </c>
      <c r="S2692" s="140" t="str">
        <f t="shared" si="209"/>
        <v>Y</v>
      </c>
      <c r="T2692" s="154">
        <f t="shared" si="210"/>
        <v>3.4399999999999986</v>
      </c>
      <c r="U2692" s="154">
        <f t="shared" si="211"/>
        <v>3.5390404397824153</v>
      </c>
    </row>
    <row r="2693" spans="1:21" x14ac:dyDescent="0.35">
      <c r="A2693" s="108">
        <v>1938</v>
      </c>
      <c r="B2693" s="108">
        <v>2015</v>
      </c>
      <c r="C2693" s="108" t="s">
        <v>38</v>
      </c>
      <c r="D2693" s="108" t="s">
        <v>143</v>
      </c>
      <c r="E2693" s="108" t="s">
        <v>10</v>
      </c>
      <c r="F2693" s="116">
        <v>850</v>
      </c>
      <c r="G2693" s="108" t="s">
        <v>63</v>
      </c>
      <c r="H2693" s="108" t="str">
        <f t="shared" si="208"/>
        <v>Snohomish River</v>
      </c>
      <c r="I2693" s="108" t="str">
        <f>IFERROR(VLOOKUP(H2693,LUTs!$A$1:$C$73,2,FALSE),"NA")</f>
        <v>Snohomish</v>
      </c>
      <c r="J2693" s="108" t="str">
        <f>IFERROR(VLOOKUP(H2693,LUTs!$A$1:$C$73,3,FALSE),"NA")</f>
        <v>2Central Puget Sound</v>
      </c>
      <c r="K2693" s="108" t="s">
        <v>18</v>
      </c>
      <c r="L2693" s="108" t="str">
        <f>VLOOKUP(K2693,LUTs!E$2:G$14,3,)</f>
        <v>06King</v>
      </c>
      <c r="M2693" s="108" t="str">
        <f>VLOOKUP($K2693,LUTs!$E$2:$H$14,2,)</f>
        <v>South Puget Sound</v>
      </c>
      <c r="N2693" s="108" t="str">
        <f>VLOOKUP($K2693,LUTs!$E$2:$H$14,4,)</f>
        <v>02South Puget Sound</v>
      </c>
      <c r="O2693" s="108">
        <v>7656.9790061121503</v>
      </c>
      <c r="P2693" s="108">
        <v>26340.007781025801</v>
      </c>
      <c r="Q2693" s="108">
        <f>SUMIFS('FW_Salmon_by_Month_2010-2021'!P$2:P$3810,'FW_Salmon_by_Month_2010-2021'!$B$2:$B$3810,'Rec_raw_catch_effort_2010-2021'!$B2693,'FW_Salmon_by_Month_2010-2021'!$H$2:$H$3810,'Rec_raw_catch_effort_2010-2021'!$F2693,'FW_Salmon_by_Month_2010-2021'!$M$2:$M$3810,'Rec_raw_catch_effort_2010-2021'!$K2693)</f>
        <v>7697.2391676374082</v>
      </c>
      <c r="R2693" s="109">
        <f>VLOOKUP(B2693,Readme!$A$62:$C$74,2,)*Q2693</f>
        <v>27240.840688945926</v>
      </c>
      <c r="S2693" s="140" t="str">
        <f t="shared" si="209"/>
        <v>Y</v>
      </c>
      <c r="T2693" s="154">
        <f t="shared" si="210"/>
        <v>3.4400000000000004</v>
      </c>
      <c r="U2693" s="154">
        <f t="shared" si="211"/>
        <v>3.5390404397824153</v>
      </c>
    </row>
    <row r="2694" spans="1:21" x14ac:dyDescent="0.35">
      <c r="A2694" s="108">
        <v>1941</v>
      </c>
      <c r="B2694" s="108">
        <v>2015</v>
      </c>
      <c r="C2694" s="108" t="s">
        <v>38</v>
      </c>
      <c r="D2694" s="108" t="s">
        <v>143</v>
      </c>
      <c r="E2694" s="108" t="s">
        <v>10</v>
      </c>
      <c r="F2694" s="116">
        <v>850</v>
      </c>
      <c r="G2694" s="108" t="s">
        <v>63</v>
      </c>
      <c r="H2694" s="108" t="str">
        <f t="shared" si="208"/>
        <v>Snohomish River</v>
      </c>
      <c r="I2694" s="108" t="str">
        <f>IFERROR(VLOOKUP(H2694,LUTs!$A$1:$C$73,2,FALSE),"NA")</f>
        <v>Snohomish</v>
      </c>
      <c r="J2694" s="108" t="str">
        <f>IFERROR(VLOOKUP(H2694,LUTs!$A$1:$C$73,3,FALSE),"NA")</f>
        <v>2Central Puget Sound</v>
      </c>
      <c r="K2694" s="108" t="s">
        <v>23</v>
      </c>
      <c r="L2694" s="108" t="str">
        <f>VLOOKUP(K2694,LUTs!E$2:G$14,3,)</f>
        <v>10Kitsap</v>
      </c>
      <c r="M2694" s="108" t="str">
        <f>VLOOKUP($K2694,LUTs!$E$2:$H$14,2,)</f>
        <v>South Puget Sound</v>
      </c>
      <c r="N2694" s="108" t="str">
        <f>VLOOKUP($K2694,LUTs!$E$2:$H$14,4,)</f>
        <v>02South Puget Sound</v>
      </c>
      <c r="O2694" s="108">
        <v>53.2968376295509</v>
      </c>
      <c r="P2694" s="108">
        <v>183.34112144565501</v>
      </c>
      <c r="Q2694" s="108">
        <f>SUMIFS('FW_Salmon_by_Month_2010-2021'!P$2:P$3810,'FW_Salmon_by_Month_2010-2021'!$B$2:$B$3810,'Rec_raw_catch_effort_2010-2021'!$B2694,'FW_Salmon_by_Month_2010-2021'!$H$2:$H$3810,'Rec_raw_catch_effort_2010-2021'!$F2694,'FW_Salmon_by_Month_2010-2021'!$M$2:$M$3810,'Rec_raw_catch_effort_2010-2021'!$K2694)</f>
        <v>53.647665751594602</v>
      </c>
      <c r="R2694" s="109">
        <f>VLOOKUP(B2694,Readme!$A$62:$C$74,2,)*Q2694</f>
        <v>189.86125859482337</v>
      </c>
      <c r="S2694" s="140" t="str">
        <f t="shared" si="209"/>
        <v>Y</v>
      </c>
      <c r="T2694" s="154">
        <f t="shared" si="210"/>
        <v>3.4399999999999982</v>
      </c>
      <c r="U2694" s="154">
        <f t="shared" si="211"/>
        <v>3.5390404397824153</v>
      </c>
    </row>
    <row r="2695" spans="1:21" x14ac:dyDescent="0.35">
      <c r="A2695" s="108">
        <v>2065</v>
      </c>
      <c r="B2695" s="108">
        <v>2015</v>
      </c>
      <c r="C2695" s="108" t="s">
        <v>38</v>
      </c>
      <c r="D2695" s="108" t="s">
        <v>143</v>
      </c>
      <c r="E2695" s="108" t="s">
        <v>10</v>
      </c>
      <c r="F2695" s="116">
        <v>850</v>
      </c>
      <c r="G2695" s="108" t="s">
        <v>63</v>
      </c>
      <c r="H2695" s="108" t="str">
        <f t="shared" si="208"/>
        <v>Snohomish River</v>
      </c>
      <c r="I2695" s="108" t="str">
        <f>IFERROR(VLOOKUP(H2695,LUTs!$A$1:$C$73,2,FALSE),"NA")</f>
        <v>Snohomish</v>
      </c>
      <c r="J2695" s="108" t="str">
        <f>IFERROR(VLOOKUP(H2695,LUTs!$A$1:$C$73,3,FALSE),"NA")</f>
        <v>2Central Puget Sound</v>
      </c>
      <c r="K2695" s="108" t="s">
        <v>26</v>
      </c>
      <c r="L2695" s="108" t="str">
        <f>VLOOKUP(K2695,LUTs!E$2:G$14,3,)</f>
        <v>20Other</v>
      </c>
      <c r="M2695" s="108" t="str">
        <f>VLOOKUP($K2695,LUTs!$E$2:$H$14,2,)</f>
        <v>Non Puget Sound</v>
      </c>
      <c r="N2695" s="108" t="str">
        <f>VLOOKUP($K2695,LUTs!$E$2:$H$14,4,)</f>
        <v>07Non Puget Sound</v>
      </c>
      <c r="O2695" s="108">
        <v>3233.34148285942</v>
      </c>
      <c r="P2695" s="108">
        <v>11122.6947010364</v>
      </c>
      <c r="Q2695" s="108">
        <f>SUMIFS('FW_Salmon_by_Month_2010-2021'!P$2:P$3810,'FW_Salmon_by_Month_2010-2021'!$B$2:$B$3810,'Rec_raw_catch_effort_2010-2021'!$B2695,'FW_Salmon_by_Month_2010-2021'!$H$2:$H$3810,'Rec_raw_catch_effort_2010-2021'!$F2695,'FW_Salmon_by_Month_2010-2021'!$M$2:$M$3810,'Rec_raw_catch_effort_2010-2021'!$K2695)</f>
        <v>3254.0513459705644</v>
      </c>
      <c r="R2695" s="109">
        <f>VLOOKUP(B2695,Readme!$A$62:$C$74,2,)*Q2695</f>
        <v>11516.219306518227</v>
      </c>
      <c r="S2695" s="140" t="str">
        <f t="shared" si="209"/>
        <v>Y</v>
      </c>
      <c r="T2695" s="154">
        <f t="shared" si="210"/>
        <v>3.4399999999999986</v>
      </c>
      <c r="U2695" s="154">
        <f t="shared" si="211"/>
        <v>3.5390404397824153</v>
      </c>
    </row>
    <row r="2696" spans="1:21" x14ac:dyDescent="0.35">
      <c r="A2696" s="108">
        <v>1939</v>
      </c>
      <c r="B2696" s="108">
        <v>2015</v>
      </c>
      <c r="C2696" s="108" t="s">
        <v>38</v>
      </c>
      <c r="D2696" s="108" t="s">
        <v>143</v>
      </c>
      <c r="E2696" s="108" t="s">
        <v>10</v>
      </c>
      <c r="F2696" s="116">
        <v>850</v>
      </c>
      <c r="G2696" s="108" t="s">
        <v>63</v>
      </c>
      <c r="H2696" s="108" t="str">
        <f t="shared" si="208"/>
        <v>Snohomish River</v>
      </c>
      <c r="I2696" s="108" t="str">
        <f>IFERROR(VLOOKUP(H2696,LUTs!$A$1:$C$73,2,FALSE),"NA")</f>
        <v>Snohomish</v>
      </c>
      <c r="J2696" s="108" t="str">
        <f>IFERROR(VLOOKUP(H2696,LUTs!$A$1:$C$73,3,FALSE),"NA")</f>
        <v>2Central Puget Sound</v>
      </c>
      <c r="K2696" s="108" t="s">
        <v>20</v>
      </c>
      <c r="L2696" s="108" t="str">
        <f>VLOOKUP(K2696,LUTs!E$2:G$14,3,)</f>
        <v>07Pierce</v>
      </c>
      <c r="M2696" s="108" t="str">
        <f>VLOOKUP($K2696,LUTs!$E$2:$H$14,2,)</f>
        <v>South Puget Sound</v>
      </c>
      <c r="N2696" s="108" t="str">
        <f>VLOOKUP($K2696,LUTs!$E$2:$H$14,4,)</f>
        <v>02South Puget Sound</v>
      </c>
      <c r="O2696" s="108">
        <v>177.65612543183599</v>
      </c>
      <c r="P2696" s="108">
        <v>611.137071485516</v>
      </c>
      <c r="Q2696" s="108">
        <f>SUMIFS('FW_Salmon_by_Month_2010-2021'!P$2:P$3810,'FW_Salmon_by_Month_2010-2021'!$B$2:$B$3810,'Rec_raw_catch_effort_2010-2021'!$B2696,'FW_Salmon_by_Month_2010-2021'!$H$2:$H$3810,'Rec_raw_catch_effort_2010-2021'!$F2696,'FW_Salmon_by_Month_2010-2021'!$M$2:$M$3810,'Rec_raw_catch_effort_2010-2021'!$K2696)</f>
        <v>178.80690116406942</v>
      </c>
      <c r="R2696" s="109">
        <f>VLOOKUP(B2696,Readme!$A$62:$C$74,2,)*Q2696</f>
        <v>632.80485413181907</v>
      </c>
      <c r="S2696" s="140" t="str">
        <f t="shared" si="209"/>
        <v>Y</v>
      </c>
      <c r="T2696" s="154">
        <f t="shared" si="210"/>
        <v>3.4400000000000013</v>
      </c>
      <c r="U2696" s="154">
        <f t="shared" si="211"/>
        <v>3.5390404397824153</v>
      </c>
    </row>
    <row r="2697" spans="1:21" x14ac:dyDescent="0.35">
      <c r="A2697" s="108">
        <v>1937</v>
      </c>
      <c r="B2697" s="108">
        <v>2015</v>
      </c>
      <c r="C2697" s="108" t="s">
        <v>38</v>
      </c>
      <c r="D2697" s="108" t="s">
        <v>143</v>
      </c>
      <c r="E2697" s="108" t="s">
        <v>10</v>
      </c>
      <c r="F2697" s="116">
        <v>850</v>
      </c>
      <c r="G2697" s="108" t="s">
        <v>63</v>
      </c>
      <c r="H2697" s="108" t="str">
        <f t="shared" si="208"/>
        <v>Snohomish River</v>
      </c>
      <c r="I2697" s="108" t="str">
        <f>IFERROR(VLOOKUP(H2697,LUTs!$A$1:$C$73,2,FALSE),"NA")</f>
        <v>Snohomish</v>
      </c>
      <c r="J2697" s="108" t="str">
        <f>IFERROR(VLOOKUP(H2697,LUTs!$A$1:$C$73,3,FALSE),"NA")</f>
        <v>2Central Puget Sound</v>
      </c>
      <c r="K2697" s="108" t="s">
        <v>30</v>
      </c>
      <c r="L2697" s="108" t="str">
        <f>VLOOKUP(K2697,LUTs!E$2:G$14,3,)</f>
        <v>05San Juan</v>
      </c>
      <c r="M2697" s="108" t="str">
        <f>VLOOKUP($K2697,LUTs!$E$2:$H$14,2,)</f>
        <v>North Puget Sound</v>
      </c>
      <c r="N2697" s="108" t="str">
        <f>VLOOKUP($K2697,LUTs!$E$2:$H$14,4,)</f>
        <v>01North Puget Sound</v>
      </c>
      <c r="O2697" s="108">
        <v>35.5312250863673</v>
      </c>
      <c r="P2697" s="108">
        <v>122.227414297104</v>
      </c>
      <c r="Q2697" s="108">
        <f>SUMIFS('FW_Salmon_by_Month_2010-2021'!P$2:P$3810,'FW_Salmon_by_Month_2010-2021'!$B$2:$B$3810,'Rec_raw_catch_effort_2010-2021'!$B2697,'FW_Salmon_by_Month_2010-2021'!$H$2:$H$3810,'Rec_raw_catch_effort_2010-2021'!$F2697,'FW_Salmon_by_Month_2010-2021'!$M$2:$M$3810,'Rec_raw_catch_effort_2010-2021'!$K2697)</f>
        <v>35.756941649899403</v>
      </c>
      <c r="R2697" s="109">
        <f>VLOOKUP(B2697,Readme!$A$62:$C$74,2,)*Q2697</f>
        <v>126.54526250193415</v>
      </c>
      <c r="S2697" s="140" t="str">
        <f t="shared" si="209"/>
        <v>Y</v>
      </c>
      <c r="T2697" s="154">
        <f t="shared" si="210"/>
        <v>3.4400000000000137</v>
      </c>
      <c r="U2697" s="154">
        <f t="shared" si="211"/>
        <v>3.5390404397824153</v>
      </c>
    </row>
    <row r="2698" spans="1:21" x14ac:dyDescent="0.35">
      <c r="A2698" s="108">
        <v>1930</v>
      </c>
      <c r="B2698" s="108">
        <v>2015</v>
      </c>
      <c r="C2698" s="108" t="s">
        <v>38</v>
      </c>
      <c r="D2698" s="108" t="s">
        <v>143</v>
      </c>
      <c r="E2698" s="108" t="s">
        <v>10</v>
      </c>
      <c r="F2698" s="116">
        <v>850</v>
      </c>
      <c r="G2698" s="108" t="s">
        <v>63</v>
      </c>
      <c r="H2698" s="108" t="str">
        <f t="shared" si="208"/>
        <v>Snohomish River</v>
      </c>
      <c r="I2698" s="108" t="str">
        <f>IFERROR(VLOOKUP(H2698,LUTs!$A$1:$C$73,2,FALSE),"NA")</f>
        <v>Snohomish</v>
      </c>
      <c r="J2698" s="108" t="str">
        <f>IFERROR(VLOOKUP(H2698,LUTs!$A$1:$C$73,3,FALSE),"NA")</f>
        <v>2Central Puget Sound</v>
      </c>
      <c r="K2698" s="108" t="s">
        <v>15</v>
      </c>
      <c r="L2698" s="108" t="str">
        <f>VLOOKUP(K2698,LUTs!E$2:G$14,3,)</f>
        <v>02Skagit</v>
      </c>
      <c r="M2698" s="108" t="str">
        <f>VLOOKUP($K2698,LUTs!$E$2:$H$14,2,)</f>
        <v>North Puget Sound</v>
      </c>
      <c r="N2698" s="108" t="str">
        <f>VLOOKUP($K2698,LUTs!$E$2:$H$14,4,)</f>
        <v>01North Puget Sound</v>
      </c>
      <c r="O2698" s="108">
        <v>133.24209407387701</v>
      </c>
      <c r="P2698" s="108">
        <v>458.35280361413697</v>
      </c>
      <c r="Q2698" s="108">
        <f>SUMIFS('FW_Salmon_by_Month_2010-2021'!P$2:P$3810,'FW_Salmon_by_Month_2010-2021'!$B$2:$B$3810,'Rec_raw_catch_effort_2010-2021'!$B2698,'FW_Salmon_by_Month_2010-2021'!$H$2:$H$3810,'Rec_raw_catch_effort_2010-2021'!$F2698,'FW_Salmon_by_Month_2010-2021'!$M$2:$M$3810,'Rec_raw_catch_effort_2010-2021'!$K2698)</f>
        <v>134.0915895372234</v>
      </c>
      <c r="R2698" s="109">
        <f>VLOOKUP(B2698,Readme!$A$62:$C$74,2,)*Q2698</f>
        <v>474.55555800693821</v>
      </c>
      <c r="S2698" s="140" t="str">
        <f t="shared" si="209"/>
        <v>Y</v>
      </c>
      <c r="T2698" s="154">
        <f t="shared" si="210"/>
        <v>3.4400000000000004</v>
      </c>
      <c r="U2698" s="154">
        <f t="shared" si="211"/>
        <v>3.5390404397824153</v>
      </c>
    </row>
    <row r="2699" spans="1:21" x14ac:dyDescent="0.35">
      <c r="A2699" s="108">
        <v>1931</v>
      </c>
      <c r="B2699" s="108">
        <v>2015</v>
      </c>
      <c r="C2699" s="108" t="s">
        <v>38</v>
      </c>
      <c r="D2699" s="108" t="s">
        <v>143</v>
      </c>
      <c r="E2699" s="108" t="s">
        <v>10</v>
      </c>
      <c r="F2699" s="116">
        <v>850</v>
      </c>
      <c r="G2699" s="108" t="s">
        <v>63</v>
      </c>
      <c r="H2699" s="108" t="str">
        <f t="shared" si="208"/>
        <v>Snohomish River</v>
      </c>
      <c r="I2699" s="108" t="str">
        <f>IFERROR(VLOOKUP(H2699,LUTs!$A$1:$C$73,2,FALSE),"NA")</f>
        <v>Snohomish</v>
      </c>
      <c r="J2699" s="108" t="str">
        <f>IFERROR(VLOOKUP(H2699,LUTs!$A$1:$C$73,3,FALSE),"NA")</f>
        <v>2Central Puget Sound</v>
      </c>
      <c r="K2699" s="108" t="s">
        <v>16</v>
      </c>
      <c r="L2699" s="108" t="str">
        <f>VLOOKUP(K2699,LUTs!E$2:G$14,3,)</f>
        <v>03Snohomish</v>
      </c>
      <c r="M2699" s="108" t="str">
        <f>VLOOKUP($K2699,LUTs!$E$2:$H$14,2,)</f>
        <v>North Puget Sound</v>
      </c>
      <c r="N2699" s="108" t="str">
        <f>VLOOKUP($K2699,LUTs!$E$2:$H$14,4,)</f>
        <v>01North Puget Sound</v>
      </c>
      <c r="O2699" s="108">
        <v>21611.8676587829</v>
      </c>
      <c r="P2699" s="108">
        <v>74344.824746213199</v>
      </c>
      <c r="Q2699" s="108">
        <f>SUMIFS('FW_Salmon_by_Month_2010-2021'!P$2:P$3810,'FW_Salmon_by_Month_2010-2021'!$B$2:$B$3810,'Rec_raw_catch_effort_2010-2021'!$B2699,'FW_Salmon_by_Month_2010-2021'!$H$2:$H$3810,'Rec_raw_catch_effort_2010-2021'!$F2699,'FW_Salmon_by_Month_2010-2021'!$M$2:$M$3810,'Rec_raw_catch_effort_2010-2021'!$K2699)</f>
        <v>21544.960372599948</v>
      </c>
      <c r="R2699" s="109">
        <f>VLOOKUP(B2699,Readme!$A$62:$C$74,2,)*Q2699</f>
        <v>76248.486032140834</v>
      </c>
      <c r="S2699" s="140" t="str">
        <f t="shared" si="209"/>
        <v>Y</v>
      </c>
      <c r="T2699" s="154">
        <f t="shared" si="210"/>
        <v>3.4400000000000013</v>
      </c>
      <c r="U2699" s="154">
        <f t="shared" si="211"/>
        <v>3.5390404397824153</v>
      </c>
    </row>
    <row r="2700" spans="1:21" x14ac:dyDescent="0.35">
      <c r="A2700" s="108">
        <v>1940</v>
      </c>
      <c r="B2700" s="108">
        <v>2015</v>
      </c>
      <c r="C2700" s="108" t="s">
        <v>38</v>
      </c>
      <c r="D2700" s="108" t="s">
        <v>143</v>
      </c>
      <c r="E2700" s="108" t="s">
        <v>10</v>
      </c>
      <c r="F2700" s="116">
        <v>850</v>
      </c>
      <c r="G2700" s="108" t="s">
        <v>63</v>
      </c>
      <c r="H2700" s="108" t="str">
        <f t="shared" si="208"/>
        <v>Snohomish River</v>
      </c>
      <c r="I2700" s="108" t="str">
        <f>IFERROR(VLOOKUP(H2700,LUTs!$A$1:$C$73,2,FALSE),"NA")</f>
        <v>Snohomish</v>
      </c>
      <c r="J2700" s="108" t="str">
        <f>IFERROR(VLOOKUP(H2700,LUTs!$A$1:$C$73,3,FALSE),"NA")</f>
        <v>2Central Puget Sound</v>
      </c>
      <c r="K2700" s="108" t="s">
        <v>21</v>
      </c>
      <c r="L2700" s="108" t="str">
        <f>VLOOKUP(K2700,LUTs!E$2:G$14,3,)</f>
        <v>08Thurston</v>
      </c>
      <c r="M2700" s="108" t="str">
        <f>VLOOKUP($K2700,LUTs!$E$2:$H$14,2,)</f>
        <v>South Puget Sound</v>
      </c>
      <c r="N2700" s="108" t="str">
        <f>VLOOKUP($K2700,LUTs!$E$2:$H$14,4,)</f>
        <v>02South Puget Sound</v>
      </c>
      <c r="O2700" s="108">
        <v>213.187350518204</v>
      </c>
      <c r="P2700" s="108">
        <v>733.36448578262195</v>
      </c>
      <c r="Q2700" s="108">
        <f>SUMIFS('FW_Salmon_by_Month_2010-2021'!P$2:P$3810,'FW_Salmon_by_Month_2010-2021'!$B$2:$B$3810,'Rec_raw_catch_effort_2010-2021'!$B2700,'FW_Salmon_by_Month_2010-2021'!$H$2:$H$3810,'Rec_raw_catch_effort_2010-2021'!$F2700,'FW_Salmon_by_Month_2010-2021'!$M$2:$M$3810,'Rec_raw_catch_effort_2010-2021'!$K2700)</f>
        <v>214.54879267507866</v>
      </c>
      <c r="R2700" s="109">
        <f>VLOOKUP(B2700,Readme!$A$62:$C$74,2,)*Q2700</f>
        <v>759.29685358359666</v>
      </c>
      <c r="S2700" s="140" t="str">
        <f t="shared" si="209"/>
        <v>Y</v>
      </c>
      <c r="T2700" s="154">
        <f t="shared" si="210"/>
        <v>3.4400000000000008</v>
      </c>
      <c r="U2700" s="154">
        <f t="shared" si="211"/>
        <v>3.5390404397824153</v>
      </c>
    </row>
    <row r="2701" spans="1:21" x14ac:dyDescent="0.35">
      <c r="A2701" s="108">
        <v>1929</v>
      </c>
      <c r="B2701" s="108">
        <v>2015</v>
      </c>
      <c r="C2701" s="108" t="s">
        <v>38</v>
      </c>
      <c r="D2701" s="108" t="s">
        <v>143</v>
      </c>
      <c r="E2701" s="108" t="s">
        <v>10</v>
      </c>
      <c r="F2701" s="116">
        <v>850</v>
      </c>
      <c r="G2701" s="108" t="s">
        <v>63</v>
      </c>
      <c r="H2701" s="108" t="str">
        <f t="shared" si="208"/>
        <v>Snohomish River</v>
      </c>
      <c r="I2701" s="108" t="str">
        <f>IFERROR(VLOOKUP(H2701,LUTs!$A$1:$C$73,2,FALSE),"NA")</f>
        <v>Snohomish</v>
      </c>
      <c r="J2701" s="108" t="str">
        <f>IFERROR(VLOOKUP(H2701,LUTs!$A$1:$C$73,3,FALSE),"NA")</f>
        <v>2Central Puget Sound</v>
      </c>
      <c r="K2701" s="108" t="s">
        <v>13</v>
      </c>
      <c r="L2701" s="108" t="str">
        <f>VLOOKUP(K2701,LUTs!E$2:G$14,3,)</f>
        <v>01Whatcom</v>
      </c>
      <c r="M2701" s="108" t="str">
        <f>VLOOKUP($K2701,LUTs!$E$2:$H$14,2,)</f>
        <v>North Puget Sound</v>
      </c>
      <c r="N2701" s="108" t="str">
        <f>VLOOKUP($K2701,LUTs!$E$2:$H$14,4,)</f>
        <v>01North Puget Sound</v>
      </c>
      <c r="O2701" s="108">
        <v>79.945256444326404</v>
      </c>
      <c r="P2701" s="108">
        <v>275.01168216848299</v>
      </c>
      <c r="Q2701" s="108">
        <f>SUMIFS('FW_Salmon_by_Month_2010-2021'!P$2:P$3810,'FW_Salmon_by_Month_2010-2021'!$B$2:$B$3810,'Rec_raw_catch_effort_2010-2021'!$B2701,'FW_Salmon_by_Month_2010-2021'!$H$2:$H$3810,'Rec_raw_catch_effort_2010-2021'!$F2701,'FW_Salmon_by_Month_2010-2021'!$M$2:$M$3810,'Rec_raw_catch_effort_2010-2021'!$K2701)</f>
        <v>80.464345913537997</v>
      </c>
      <c r="R2701" s="109">
        <f>VLOOKUP(B2701,Readme!$A$62:$C$74,2,)*Q2701</f>
        <v>284.7665741486519</v>
      </c>
      <c r="S2701" s="140" t="str">
        <f t="shared" si="209"/>
        <v>Y</v>
      </c>
      <c r="T2701" s="154">
        <f t="shared" si="210"/>
        <v>3.4400000000000022</v>
      </c>
      <c r="U2701" s="154">
        <f t="shared" si="211"/>
        <v>3.5390404397824153</v>
      </c>
    </row>
    <row r="2702" spans="1:21" x14ac:dyDescent="0.35">
      <c r="A2702" s="108">
        <v>2227</v>
      </c>
      <c r="B2702" s="108">
        <v>2016</v>
      </c>
      <c r="C2702" s="108" t="s">
        <v>38</v>
      </c>
      <c r="D2702" s="108" t="s">
        <v>143</v>
      </c>
      <c r="E2702" s="108" t="s">
        <v>10</v>
      </c>
      <c r="F2702" s="116">
        <v>850</v>
      </c>
      <c r="G2702" s="108" t="s">
        <v>63</v>
      </c>
      <c r="H2702" s="108" t="str">
        <f t="shared" si="208"/>
        <v>Snohomish River</v>
      </c>
      <c r="I2702" s="108" t="str">
        <f>IFERROR(VLOOKUP(H2702,LUTs!$A$1:$C$73,2,FALSE),"NA")</f>
        <v>Snohomish</v>
      </c>
      <c r="J2702" s="108" t="str">
        <f>IFERROR(VLOOKUP(H2702,LUTs!$A$1:$C$73,3,FALSE),"NA")</f>
        <v>2Central Puget Sound</v>
      </c>
      <c r="K2702" s="108" t="s">
        <v>17</v>
      </c>
      <c r="L2702" s="108" t="str">
        <f>VLOOKUP(K2702,LUTs!E$2:G$14,3,)</f>
        <v>04Island</v>
      </c>
      <c r="M2702" s="108" t="str">
        <f>VLOOKUP($K2702,LUTs!$E$2:$H$14,2,)</f>
        <v>North Puget Sound</v>
      </c>
      <c r="N2702" s="108" t="str">
        <f>VLOOKUP($K2702,LUTs!$E$2:$H$14,4,)</f>
        <v>01North Puget Sound</v>
      </c>
      <c r="O2702" s="108">
        <v>17.464285714285701</v>
      </c>
      <c r="P2702" s="108">
        <v>151.06607142857101</v>
      </c>
      <c r="Q2702" s="108">
        <f>SUMIFS('FW_Salmon_by_Month_2010-2021'!P$2:P$3810,'FW_Salmon_by_Month_2010-2021'!$B$2:$B$3810,'Rec_raw_catch_effort_2010-2021'!$B2702,'FW_Salmon_by_Month_2010-2021'!$H$2:$H$3810,'Rec_raw_catch_effort_2010-2021'!$F2702,'FW_Salmon_by_Month_2010-2021'!$M$2:$M$3810,'Rec_raw_catch_effort_2010-2021'!$K2702)</f>
        <v>19.16</v>
      </c>
      <c r="R2702" s="109">
        <f>VLOOKUP(B2702,Readme!$A$62:$C$74,2,)*Q2702</f>
        <v>92.342671962809078</v>
      </c>
      <c r="S2702" s="140" t="str">
        <f t="shared" si="209"/>
        <v>Y</v>
      </c>
      <c r="T2702" s="154">
        <f t="shared" si="210"/>
        <v>8.6499999999999826</v>
      </c>
      <c r="U2702" s="154">
        <f t="shared" si="211"/>
        <v>4.8195549041132084</v>
      </c>
    </row>
    <row r="2703" spans="1:21" x14ac:dyDescent="0.35">
      <c r="A2703" s="108">
        <v>2324</v>
      </c>
      <c r="B2703" s="108">
        <v>2016</v>
      </c>
      <c r="C2703" s="108" t="s">
        <v>38</v>
      </c>
      <c r="D2703" s="108" t="s">
        <v>143</v>
      </c>
      <c r="E2703" s="108" t="s">
        <v>10</v>
      </c>
      <c r="F2703" s="116">
        <v>850</v>
      </c>
      <c r="G2703" s="108" t="s">
        <v>63</v>
      </c>
      <c r="H2703" s="108" t="str">
        <f t="shared" si="208"/>
        <v>Snohomish River</v>
      </c>
      <c r="I2703" s="108" t="str">
        <f>IFERROR(VLOOKUP(H2703,LUTs!$A$1:$C$73,2,FALSE),"NA")</f>
        <v>Snohomish</v>
      </c>
      <c r="J2703" s="108" t="str">
        <f>IFERROR(VLOOKUP(H2703,LUTs!$A$1:$C$73,3,FALSE),"NA")</f>
        <v>2Central Puget Sound</v>
      </c>
      <c r="K2703" s="108" t="s">
        <v>18</v>
      </c>
      <c r="L2703" s="108" t="str">
        <f>VLOOKUP(K2703,LUTs!E$2:G$14,3,)</f>
        <v>06King</v>
      </c>
      <c r="M2703" s="108" t="str">
        <f>VLOOKUP($K2703,LUTs!$E$2:$H$14,2,)</f>
        <v>South Puget Sound</v>
      </c>
      <c r="N2703" s="108" t="str">
        <f>VLOOKUP($K2703,LUTs!$E$2:$H$14,4,)</f>
        <v>02South Puget Sound</v>
      </c>
      <c r="O2703" s="108">
        <v>43.660714285714299</v>
      </c>
      <c r="P2703" s="108">
        <v>377.66517857142901</v>
      </c>
      <c r="Q2703" s="108">
        <f>SUMIFS('FW_Salmon_by_Month_2010-2021'!P$2:P$3810,'FW_Salmon_by_Month_2010-2021'!$B$2:$B$3810,'Rec_raw_catch_effort_2010-2021'!$B2703,'FW_Salmon_by_Month_2010-2021'!$H$2:$H$3810,'Rec_raw_catch_effort_2010-2021'!$F2703,'FW_Salmon_by_Month_2010-2021'!$M$2:$M$3810,'Rec_raw_catch_effort_2010-2021'!$K2703)</f>
        <v>38.739999999999995</v>
      </c>
      <c r="R2703" s="109">
        <f>VLOOKUP(B2703,Readme!$A$62:$C$74,2,)*Q2703</f>
        <v>186.70955698534567</v>
      </c>
      <c r="S2703" s="140" t="str">
        <f t="shared" si="209"/>
        <v>Y</v>
      </c>
      <c r="T2703" s="154">
        <f t="shared" si="210"/>
        <v>8.6500000000000075</v>
      </c>
      <c r="U2703" s="154">
        <f t="shared" si="211"/>
        <v>4.8195549041132084</v>
      </c>
    </row>
    <row r="2704" spans="1:21" x14ac:dyDescent="0.35">
      <c r="A2704" s="108">
        <v>2325</v>
      </c>
      <c r="B2704" s="108">
        <v>2016</v>
      </c>
      <c r="C2704" s="108" t="s">
        <v>38</v>
      </c>
      <c r="D2704" s="108" t="s">
        <v>143</v>
      </c>
      <c r="E2704" s="108" t="s">
        <v>10</v>
      </c>
      <c r="F2704" s="116">
        <v>850</v>
      </c>
      <c r="G2704" s="108" t="s">
        <v>63</v>
      </c>
      <c r="H2704" s="108" t="str">
        <f t="shared" si="208"/>
        <v>Snohomish River</v>
      </c>
      <c r="I2704" s="108" t="str">
        <f>IFERROR(VLOOKUP(H2704,LUTs!$A$1:$C$73,2,FALSE),"NA")</f>
        <v>Snohomish</v>
      </c>
      <c r="J2704" s="108" t="str">
        <f>IFERROR(VLOOKUP(H2704,LUTs!$A$1:$C$73,3,FALSE),"NA")</f>
        <v>2Central Puget Sound</v>
      </c>
      <c r="K2704" s="108" t="s">
        <v>26</v>
      </c>
      <c r="L2704" s="108" t="str">
        <f>VLOOKUP(K2704,LUTs!E$2:G$14,3,)</f>
        <v>20Other</v>
      </c>
      <c r="M2704" s="108" t="str">
        <f>VLOOKUP($K2704,LUTs!$E$2:$H$14,2,)</f>
        <v>Non Puget Sound</v>
      </c>
      <c r="N2704" s="108" t="str">
        <f>VLOOKUP($K2704,LUTs!$E$2:$H$14,4,)</f>
        <v>07Non Puget Sound</v>
      </c>
      <c r="O2704" s="108">
        <v>17.464285714285701</v>
      </c>
      <c r="P2704" s="108">
        <v>151.06607142857101</v>
      </c>
      <c r="Q2704" s="108">
        <f>SUMIFS('FW_Salmon_by_Month_2010-2021'!P$2:P$3810,'FW_Salmon_by_Month_2010-2021'!$B$2:$B$3810,'Rec_raw_catch_effort_2010-2021'!$B2704,'FW_Salmon_by_Month_2010-2021'!$H$2:$H$3810,'Rec_raw_catch_effort_2010-2021'!$F2704,'FW_Salmon_by_Month_2010-2021'!$M$2:$M$3810,'Rec_raw_catch_effort_2010-2021'!$K2704)</f>
        <v>19.16</v>
      </c>
      <c r="R2704" s="109">
        <f>VLOOKUP(B2704,Readme!$A$62:$C$74,2,)*Q2704</f>
        <v>92.342671962809078</v>
      </c>
      <c r="S2704" s="140" t="str">
        <f t="shared" si="209"/>
        <v>Y</v>
      </c>
      <c r="T2704" s="154">
        <f t="shared" si="210"/>
        <v>8.6499999999999826</v>
      </c>
      <c r="U2704" s="154">
        <f t="shared" si="211"/>
        <v>4.8195549041132084</v>
      </c>
    </row>
    <row r="2705" spans="1:21" x14ac:dyDescent="0.35">
      <c r="A2705" s="108">
        <v>2220</v>
      </c>
      <c r="B2705" s="108">
        <v>2016</v>
      </c>
      <c r="C2705" s="108" t="s">
        <v>38</v>
      </c>
      <c r="D2705" s="108" t="s">
        <v>143</v>
      </c>
      <c r="E2705" s="108" t="s">
        <v>10</v>
      </c>
      <c r="F2705" s="116">
        <v>850</v>
      </c>
      <c r="G2705" s="108" t="s">
        <v>63</v>
      </c>
      <c r="H2705" s="108" t="str">
        <f t="shared" si="208"/>
        <v>Snohomish River</v>
      </c>
      <c r="I2705" s="108" t="str">
        <f>IFERROR(VLOOKUP(H2705,LUTs!$A$1:$C$73,2,FALSE),"NA")</f>
        <v>Snohomish</v>
      </c>
      <c r="J2705" s="108" t="str">
        <f>IFERROR(VLOOKUP(H2705,LUTs!$A$1:$C$73,3,FALSE),"NA")</f>
        <v>2Central Puget Sound</v>
      </c>
      <c r="K2705" s="108" t="s">
        <v>15</v>
      </c>
      <c r="L2705" s="108" t="str">
        <f>VLOOKUP(K2705,LUTs!E$2:G$14,3,)</f>
        <v>02Skagit</v>
      </c>
      <c r="M2705" s="108" t="str">
        <f>VLOOKUP($K2705,LUTs!$E$2:$H$14,2,)</f>
        <v>North Puget Sound</v>
      </c>
      <c r="N2705" s="108" t="str">
        <f>VLOOKUP($K2705,LUTs!$E$2:$H$14,4,)</f>
        <v>01North Puget Sound</v>
      </c>
      <c r="O2705" s="108">
        <v>34.928571428571402</v>
      </c>
      <c r="P2705" s="108">
        <v>302.13214285714298</v>
      </c>
      <c r="Q2705" s="108">
        <f>SUMIFS('FW_Salmon_by_Month_2010-2021'!P$2:P$3810,'FW_Salmon_by_Month_2010-2021'!$B$2:$B$3810,'Rec_raw_catch_effort_2010-2021'!$B2705,'FW_Salmon_by_Month_2010-2021'!$H$2:$H$3810,'Rec_raw_catch_effort_2010-2021'!$F2705,'FW_Salmon_by_Month_2010-2021'!$M$2:$M$3810,'Rec_raw_catch_effort_2010-2021'!$K2705)</f>
        <v>38.32</v>
      </c>
      <c r="R2705" s="109">
        <f>VLOOKUP(B2705,Readme!$A$62:$C$74,2,)*Q2705</f>
        <v>184.68534392561816</v>
      </c>
      <c r="S2705" s="140" t="str">
        <f t="shared" si="209"/>
        <v>Y</v>
      </c>
      <c r="T2705" s="154">
        <f t="shared" si="210"/>
        <v>8.6500000000000092</v>
      </c>
      <c r="U2705" s="154">
        <f t="shared" si="211"/>
        <v>4.8195549041132084</v>
      </c>
    </row>
    <row r="2706" spans="1:21" x14ac:dyDescent="0.35">
      <c r="A2706" s="108">
        <v>2226</v>
      </c>
      <c r="B2706" s="108">
        <v>2016</v>
      </c>
      <c r="C2706" s="108" t="s">
        <v>38</v>
      </c>
      <c r="D2706" s="108" t="s">
        <v>143</v>
      </c>
      <c r="E2706" s="108" t="s">
        <v>10</v>
      </c>
      <c r="F2706" s="116">
        <v>850</v>
      </c>
      <c r="G2706" s="108" t="s">
        <v>63</v>
      </c>
      <c r="H2706" s="108" t="str">
        <f t="shared" si="208"/>
        <v>Snohomish River</v>
      </c>
      <c r="I2706" s="108" t="str">
        <f>IFERROR(VLOOKUP(H2706,LUTs!$A$1:$C$73,2,FALSE),"NA")</f>
        <v>Snohomish</v>
      </c>
      <c r="J2706" s="108" t="str">
        <f>IFERROR(VLOOKUP(H2706,LUTs!$A$1:$C$73,3,FALSE),"NA")</f>
        <v>2Central Puget Sound</v>
      </c>
      <c r="K2706" s="108" t="s">
        <v>16</v>
      </c>
      <c r="L2706" s="108" t="str">
        <f>VLOOKUP(K2706,LUTs!E$2:G$14,3,)</f>
        <v>03Snohomish</v>
      </c>
      <c r="M2706" s="108" t="str">
        <f>VLOOKUP($K2706,LUTs!$E$2:$H$14,2,)</f>
        <v>North Puget Sound</v>
      </c>
      <c r="N2706" s="108" t="str">
        <f>VLOOKUP($K2706,LUTs!$E$2:$H$14,4,)</f>
        <v>01North Puget Sound</v>
      </c>
      <c r="O2706" s="108">
        <v>375.482142857143</v>
      </c>
      <c r="P2706" s="108">
        <v>3247.9205357142901</v>
      </c>
      <c r="Q2706" s="108">
        <f>SUMIFS('FW_Salmon_by_Month_2010-2021'!P$2:P$3810,'FW_Salmon_by_Month_2010-2021'!$B$2:$B$3810,'Rec_raw_catch_effort_2010-2021'!$B2706,'FW_Salmon_by_Month_2010-2021'!$H$2:$H$3810,'Rec_raw_catch_effort_2010-2021'!$F2706,'FW_Salmon_by_Month_2010-2021'!$M$2:$M$3810,'Rec_raw_catch_effort_2010-2021'!$K2706)</f>
        <v>373.62</v>
      </c>
      <c r="R2706" s="109">
        <f>VLOOKUP(B2706,Readme!$A$62:$C$74,2,)*Q2706</f>
        <v>1800.6821032747769</v>
      </c>
      <c r="S2706" s="140" t="str">
        <f t="shared" si="209"/>
        <v>Y</v>
      </c>
      <c r="T2706" s="154">
        <f t="shared" si="210"/>
        <v>8.6500000000000075</v>
      </c>
      <c r="U2706" s="154">
        <f t="shared" si="211"/>
        <v>4.8195549041132084</v>
      </c>
    </row>
    <row r="2707" spans="1:21" x14ac:dyDescent="0.35">
      <c r="A2707" s="108">
        <v>2442</v>
      </c>
      <c r="B2707" s="108">
        <v>2017</v>
      </c>
      <c r="C2707" s="108" t="s">
        <v>38</v>
      </c>
      <c r="D2707" s="108" t="s">
        <v>143</v>
      </c>
      <c r="E2707" s="108" t="s">
        <v>10</v>
      </c>
      <c r="F2707" s="116">
        <v>850</v>
      </c>
      <c r="G2707" s="108" t="s">
        <v>63</v>
      </c>
      <c r="H2707" s="108" t="str">
        <f t="shared" si="208"/>
        <v>Snohomish River</v>
      </c>
      <c r="I2707" s="108" t="str">
        <f>IFERROR(VLOOKUP(H2707,LUTs!$A$1:$C$73,2,FALSE),"NA")</f>
        <v>Snohomish</v>
      </c>
      <c r="J2707" s="108" t="str">
        <f>IFERROR(VLOOKUP(H2707,LUTs!$A$1:$C$73,3,FALSE),"NA")</f>
        <v>2Central Puget Sound</v>
      </c>
      <c r="K2707" s="108" t="s">
        <v>17</v>
      </c>
      <c r="L2707" s="108" t="str">
        <f>VLOOKUP(K2707,LUTs!E$2:G$14,3,)</f>
        <v>04Island</v>
      </c>
      <c r="M2707" s="108" t="str">
        <f>VLOOKUP($K2707,LUTs!$E$2:$H$14,2,)</f>
        <v>North Puget Sound</v>
      </c>
      <c r="N2707" s="108" t="str">
        <f>VLOOKUP($K2707,LUTs!$E$2:$H$14,4,)</f>
        <v>01North Puget Sound</v>
      </c>
      <c r="O2707" s="108">
        <v>127.19341894061</v>
      </c>
      <c r="P2707" s="108">
        <v>437.545361155698</v>
      </c>
      <c r="Q2707" s="108">
        <f>SUMIFS('FW_Salmon_by_Month_2010-2021'!P$2:P$3810,'FW_Salmon_by_Month_2010-2021'!$B$2:$B$3810,'Rec_raw_catch_effort_2010-2021'!$B2707,'FW_Salmon_by_Month_2010-2021'!$H$2:$H$3810,'Rec_raw_catch_effort_2010-2021'!$F2707,'FW_Salmon_by_Month_2010-2021'!$M$2:$M$3810,'Rec_raw_catch_effort_2010-2021'!$K2707)</f>
        <v>109.3872819424799</v>
      </c>
      <c r="R2707" s="109">
        <f>VLOOKUP(B2707,Readme!$A$62:$C$74,2,)*Q2707</f>
        <v>387.12601439231713</v>
      </c>
      <c r="S2707" s="140" t="str">
        <f t="shared" si="209"/>
        <v>Y</v>
      </c>
      <c r="T2707" s="154">
        <f t="shared" si="210"/>
        <v>3.4399999999999968</v>
      </c>
      <c r="U2707" s="154">
        <f t="shared" si="211"/>
        <v>3.5390404397824153</v>
      </c>
    </row>
    <row r="2708" spans="1:21" x14ac:dyDescent="0.35">
      <c r="A2708" s="108">
        <v>2443</v>
      </c>
      <c r="B2708" s="108">
        <v>2017</v>
      </c>
      <c r="C2708" s="108" t="s">
        <v>38</v>
      </c>
      <c r="D2708" s="108" t="s">
        <v>143</v>
      </c>
      <c r="E2708" s="108" t="s">
        <v>10</v>
      </c>
      <c r="F2708" s="116">
        <v>850</v>
      </c>
      <c r="G2708" s="108" t="s">
        <v>63</v>
      </c>
      <c r="H2708" s="108" t="str">
        <f t="shared" si="208"/>
        <v>Snohomish River</v>
      </c>
      <c r="I2708" s="108" t="str">
        <f>IFERROR(VLOOKUP(H2708,LUTs!$A$1:$C$73,2,FALSE),"NA")</f>
        <v>Snohomish</v>
      </c>
      <c r="J2708" s="108" t="str">
        <f>IFERROR(VLOOKUP(H2708,LUTs!$A$1:$C$73,3,FALSE),"NA")</f>
        <v>2Central Puget Sound</v>
      </c>
      <c r="K2708" s="108" t="s">
        <v>18</v>
      </c>
      <c r="L2708" s="108" t="str">
        <f>VLOOKUP(K2708,LUTs!E$2:G$14,3,)</f>
        <v>06King</v>
      </c>
      <c r="M2708" s="108" t="str">
        <f>VLOOKUP($K2708,LUTs!$E$2:$H$14,2,)</f>
        <v>South Puget Sound</v>
      </c>
      <c r="N2708" s="108" t="str">
        <f>VLOOKUP($K2708,LUTs!$E$2:$H$14,4,)</f>
        <v>02South Puget Sound</v>
      </c>
      <c r="O2708" s="108">
        <v>1878.5489566613201</v>
      </c>
      <c r="P2708" s="108">
        <v>6462.20841091494</v>
      </c>
      <c r="Q2708" s="108">
        <f>SUMIFS('FW_Salmon_by_Month_2010-2021'!P$2:P$3810,'FW_Salmon_by_Month_2010-2021'!$B$2:$B$3810,'Rec_raw_catch_effort_2010-2021'!$B2708,'FW_Salmon_by_Month_2010-2021'!$H$2:$H$3810,'Rec_raw_catch_effort_2010-2021'!$F2708,'FW_Salmon_by_Month_2010-2021'!$M$2:$M$3810,'Rec_raw_catch_effort_2010-2021'!$K2708)</f>
        <v>1898.9078406412079</v>
      </c>
      <c r="R2708" s="109">
        <f>VLOOKUP(B2708,Readme!$A$62:$C$74,2,)*Q2708</f>
        <v>6720.3116394491371</v>
      </c>
      <c r="S2708" s="140" t="str">
        <f t="shared" si="209"/>
        <v>Y</v>
      </c>
      <c r="T2708" s="154">
        <f t="shared" si="210"/>
        <v>3.4399999999999995</v>
      </c>
      <c r="U2708" s="154">
        <f t="shared" si="211"/>
        <v>3.5390404397824153</v>
      </c>
    </row>
    <row r="2709" spans="1:21" x14ac:dyDescent="0.35">
      <c r="A2709" s="108">
        <v>2548</v>
      </c>
      <c r="B2709" s="108">
        <v>2017</v>
      </c>
      <c r="C2709" s="108" t="s">
        <v>38</v>
      </c>
      <c r="D2709" s="108" t="s">
        <v>143</v>
      </c>
      <c r="E2709" s="108" t="s">
        <v>10</v>
      </c>
      <c r="F2709" s="116">
        <v>850</v>
      </c>
      <c r="G2709" s="108" t="s">
        <v>63</v>
      </c>
      <c r="H2709" s="108" t="str">
        <f t="shared" si="208"/>
        <v>Snohomish River</v>
      </c>
      <c r="I2709" s="108" t="str">
        <f>IFERROR(VLOOKUP(H2709,LUTs!$A$1:$C$73,2,FALSE),"NA")</f>
        <v>Snohomish</v>
      </c>
      <c r="J2709" s="108" t="str">
        <f>IFERROR(VLOOKUP(H2709,LUTs!$A$1:$C$73,3,FALSE),"NA")</f>
        <v>2Central Puget Sound</v>
      </c>
      <c r="K2709" s="108" t="s">
        <v>26</v>
      </c>
      <c r="L2709" s="108" t="str">
        <f>VLOOKUP(K2709,LUTs!E$2:G$14,3,)</f>
        <v>20Other</v>
      </c>
      <c r="M2709" s="108" t="str">
        <f>VLOOKUP($K2709,LUTs!$E$2:$H$14,2,)</f>
        <v>Non Puget Sound</v>
      </c>
      <c r="N2709" s="108" t="str">
        <f>VLOOKUP($K2709,LUTs!$E$2:$H$14,4,)</f>
        <v>07Non Puget Sound</v>
      </c>
      <c r="O2709" s="108">
        <v>635.96709470304995</v>
      </c>
      <c r="P2709" s="108">
        <v>2187.72680577849</v>
      </c>
      <c r="Q2709" s="108">
        <f>SUMIFS('FW_Salmon_by_Month_2010-2021'!P$2:P$3810,'FW_Salmon_by_Month_2010-2021'!$B$2:$B$3810,'Rec_raw_catch_effort_2010-2021'!$B2709,'FW_Salmon_by_Month_2010-2021'!$H$2:$H$3810,'Rec_raw_catch_effort_2010-2021'!$F2709,'FW_Salmon_by_Month_2010-2021'!$M$2:$M$3810,'Rec_raw_catch_effort_2010-2021'!$K2709)</f>
        <v>626.58012494106492</v>
      </c>
      <c r="R2709" s="109">
        <f>VLOOKUP(B2709,Readme!$A$62:$C$74,2,)*Q2709</f>
        <v>2217.4924009303472</v>
      </c>
      <c r="S2709" s="140" t="str">
        <f t="shared" si="209"/>
        <v>Y</v>
      </c>
      <c r="T2709" s="154">
        <f t="shared" si="210"/>
        <v>3.4399999999999968</v>
      </c>
      <c r="U2709" s="154">
        <f t="shared" si="211"/>
        <v>3.5390404397824153</v>
      </c>
    </row>
    <row r="2710" spans="1:21" x14ac:dyDescent="0.35">
      <c r="A2710" s="108">
        <v>2547</v>
      </c>
      <c r="B2710" s="108">
        <v>2017</v>
      </c>
      <c r="C2710" s="108" t="s">
        <v>38</v>
      </c>
      <c r="D2710" s="108" t="s">
        <v>143</v>
      </c>
      <c r="E2710" s="108" t="s">
        <v>10</v>
      </c>
      <c r="F2710" s="116">
        <v>850</v>
      </c>
      <c r="G2710" s="108" t="s">
        <v>63</v>
      </c>
      <c r="H2710" s="108" t="str">
        <f t="shared" si="208"/>
        <v>Snohomish River</v>
      </c>
      <c r="I2710" s="108" t="str">
        <f>IFERROR(VLOOKUP(H2710,LUTs!$A$1:$C$73,2,FALSE),"NA")</f>
        <v>Snohomish</v>
      </c>
      <c r="J2710" s="108" t="str">
        <f>IFERROR(VLOOKUP(H2710,LUTs!$A$1:$C$73,3,FALSE),"NA")</f>
        <v>2Central Puget Sound</v>
      </c>
      <c r="K2710" s="108" t="s">
        <v>20</v>
      </c>
      <c r="L2710" s="108" t="str">
        <f>VLOOKUP(K2710,LUTs!E$2:G$14,3,)</f>
        <v>07Pierce</v>
      </c>
      <c r="M2710" s="108" t="str">
        <f>VLOOKUP($K2710,LUTs!$E$2:$H$14,2,)</f>
        <v>South Puget Sound</v>
      </c>
      <c r="N2710" s="108" t="str">
        <f>VLOOKUP($K2710,LUTs!$E$2:$H$14,4,)</f>
        <v>02South Puget Sound</v>
      </c>
      <c r="O2710" s="108">
        <v>68.488764044943807</v>
      </c>
      <c r="P2710" s="108">
        <v>235.60134831460701</v>
      </c>
      <c r="Q2710" s="108">
        <f>SUMIFS('FW_Salmon_by_Month_2010-2021'!P$2:P$3810,'FW_Salmon_by_Month_2010-2021'!$B$2:$B$3810,'Rec_raw_catch_effort_2010-2021'!$B2710,'FW_Salmon_by_Month_2010-2021'!$H$2:$H$3810,'Rec_raw_catch_effort_2010-2021'!$F2710,'FW_Salmon_by_Month_2010-2021'!$M$2:$M$3810,'Rec_raw_catch_effort_2010-2021'!$K2710)</f>
        <v>69.603547854785518</v>
      </c>
      <c r="R2710" s="109">
        <f>VLOOKUP(B2710,Readme!$A$62:$C$74,2,)*Q2710</f>
        <v>246.32977061041652</v>
      </c>
      <c r="S2710" s="140" t="str">
        <f t="shared" si="209"/>
        <v>Y</v>
      </c>
      <c r="T2710" s="154">
        <f t="shared" si="210"/>
        <v>3.4400000000000044</v>
      </c>
      <c r="U2710" s="154">
        <f t="shared" si="211"/>
        <v>3.5390404397824153</v>
      </c>
    </row>
    <row r="2711" spans="1:21" x14ac:dyDescent="0.35">
      <c r="A2711" s="108">
        <v>2440</v>
      </c>
      <c r="B2711" s="108">
        <v>2017</v>
      </c>
      <c r="C2711" s="108" t="s">
        <v>38</v>
      </c>
      <c r="D2711" s="108" t="s">
        <v>143</v>
      </c>
      <c r="E2711" s="108" t="s">
        <v>10</v>
      </c>
      <c r="F2711" s="116">
        <v>850</v>
      </c>
      <c r="G2711" s="108" t="s">
        <v>63</v>
      </c>
      <c r="H2711" s="108" t="str">
        <f t="shared" si="208"/>
        <v>Snohomish River</v>
      </c>
      <c r="I2711" s="108" t="str">
        <f>IFERROR(VLOOKUP(H2711,LUTs!$A$1:$C$73,2,FALSE),"NA")</f>
        <v>Snohomish</v>
      </c>
      <c r="J2711" s="108" t="str">
        <f>IFERROR(VLOOKUP(H2711,LUTs!$A$1:$C$73,3,FALSE),"NA")</f>
        <v>2Central Puget Sound</v>
      </c>
      <c r="K2711" s="108" t="s">
        <v>15</v>
      </c>
      <c r="L2711" s="108" t="str">
        <f>VLOOKUP(K2711,LUTs!E$2:G$14,3,)</f>
        <v>02Skagit</v>
      </c>
      <c r="M2711" s="108" t="str">
        <f>VLOOKUP($K2711,LUTs!$E$2:$H$14,2,)</f>
        <v>North Puget Sound</v>
      </c>
      <c r="N2711" s="108" t="str">
        <f>VLOOKUP($K2711,LUTs!$E$2:$H$14,4,)</f>
        <v>01North Puget Sound</v>
      </c>
      <c r="O2711" s="108">
        <v>127.19341894061</v>
      </c>
      <c r="P2711" s="108">
        <v>437.545361155698</v>
      </c>
      <c r="Q2711" s="108">
        <f>SUMIFS('FW_Salmon_by_Month_2010-2021'!P$2:P$3810,'FW_Salmon_by_Month_2010-2021'!$B$2:$B$3810,'Rec_raw_catch_effort_2010-2021'!$B2711,'FW_Salmon_by_Month_2010-2021'!$H$2:$H$3810,'Rec_raw_catch_effort_2010-2021'!$F2711,'FW_Salmon_by_Month_2010-2021'!$M$2:$M$3810,'Rec_raw_catch_effort_2010-2021'!$K2711)</f>
        <v>89.494099481376693</v>
      </c>
      <c r="R2711" s="109">
        <f>VLOOKUP(B2711,Readme!$A$62:$C$74,2,)*Q2711</f>
        <v>316.72323718650262</v>
      </c>
      <c r="S2711" s="140" t="str">
        <f t="shared" si="209"/>
        <v>Y</v>
      </c>
      <c r="T2711" s="154">
        <f t="shared" si="210"/>
        <v>3.4399999999999968</v>
      </c>
      <c r="U2711" s="154">
        <f t="shared" si="211"/>
        <v>3.5390404397824153</v>
      </c>
    </row>
    <row r="2712" spans="1:21" x14ac:dyDescent="0.35">
      <c r="A2712" s="108">
        <v>2441</v>
      </c>
      <c r="B2712" s="108">
        <v>2017</v>
      </c>
      <c r="C2712" s="108" t="s">
        <v>38</v>
      </c>
      <c r="D2712" s="108" t="s">
        <v>143</v>
      </c>
      <c r="E2712" s="108" t="s">
        <v>10</v>
      </c>
      <c r="F2712" s="116">
        <v>850</v>
      </c>
      <c r="G2712" s="108" t="s">
        <v>63</v>
      </c>
      <c r="H2712" s="108" t="str">
        <f t="shared" si="208"/>
        <v>Snohomish River</v>
      </c>
      <c r="I2712" s="108" t="str">
        <f>IFERROR(VLOOKUP(H2712,LUTs!$A$1:$C$73,2,FALSE),"NA")</f>
        <v>Snohomish</v>
      </c>
      <c r="J2712" s="108" t="str">
        <f>IFERROR(VLOOKUP(H2712,LUTs!$A$1:$C$73,3,FALSE),"NA")</f>
        <v>2Central Puget Sound</v>
      </c>
      <c r="K2712" s="108" t="s">
        <v>16</v>
      </c>
      <c r="L2712" s="108" t="str">
        <f>VLOOKUP(K2712,LUTs!E$2:G$14,3,)</f>
        <v>03Snohomish</v>
      </c>
      <c r="M2712" s="108" t="str">
        <f>VLOOKUP($K2712,LUTs!$E$2:$H$14,2,)</f>
        <v>North Puget Sound</v>
      </c>
      <c r="N2712" s="108" t="str">
        <f>VLOOKUP($K2712,LUTs!$E$2:$H$14,4,)</f>
        <v>01North Puget Sound</v>
      </c>
      <c r="O2712" s="108">
        <v>9285.1195826645308</v>
      </c>
      <c r="P2712" s="108">
        <v>31940.811364366</v>
      </c>
      <c r="Q2712" s="108">
        <f>SUMIFS('FW_Salmon_by_Month_2010-2021'!P$2:P$3810,'FW_Salmon_by_Month_2010-2021'!$B$2:$B$3810,'Rec_raw_catch_effort_2010-2021'!$B2712,'FW_Salmon_by_Month_2010-2021'!$H$2:$H$3810,'Rec_raw_catch_effort_2010-2021'!$F2712,'FW_Salmon_by_Month_2010-2021'!$M$2:$M$3810,'Rec_raw_catch_effort_2010-2021'!$K2712)</f>
        <v>9327.4071051390783</v>
      </c>
      <c r="R2712" s="109">
        <f>VLOOKUP(B2712,Readme!$A$62:$C$74,2,)*Q2712</f>
        <v>33010.070943401028</v>
      </c>
      <c r="S2712" s="140" t="str">
        <f t="shared" si="209"/>
        <v>Y</v>
      </c>
      <c r="T2712" s="154">
        <f t="shared" si="210"/>
        <v>3.4400000000000017</v>
      </c>
      <c r="U2712" s="154">
        <f t="shared" si="211"/>
        <v>3.5390404397824153</v>
      </c>
    </row>
    <row r="2713" spans="1:21" x14ac:dyDescent="0.35">
      <c r="A2713" s="108">
        <v>2437</v>
      </c>
      <c r="B2713" s="108">
        <v>2017</v>
      </c>
      <c r="C2713" s="108" t="s">
        <v>38</v>
      </c>
      <c r="D2713" s="108" t="s">
        <v>143</v>
      </c>
      <c r="E2713" s="108" t="s">
        <v>10</v>
      </c>
      <c r="F2713" s="116">
        <v>850</v>
      </c>
      <c r="G2713" s="108" t="s">
        <v>63</v>
      </c>
      <c r="H2713" s="108" t="str">
        <f t="shared" si="208"/>
        <v>Snohomish River</v>
      </c>
      <c r="I2713" s="108" t="str">
        <f>IFERROR(VLOOKUP(H2713,LUTs!$A$1:$C$73,2,FALSE),"NA")</f>
        <v>Snohomish</v>
      </c>
      <c r="J2713" s="108" t="str">
        <f>IFERROR(VLOOKUP(H2713,LUTs!$A$1:$C$73,3,FALSE),"NA")</f>
        <v>2Central Puget Sound</v>
      </c>
      <c r="K2713" s="108" t="s">
        <v>13</v>
      </c>
      <c r="L2713" s="108" t="str">
        <f>VLOOKUP(K2713,LUTs!E$2:G$14,3,)</f>
        <v>01Whatcom</v>
      </c>
      <c r="M2713" s="108" t="str">
        <f>VLOOKUP($K2713,LUTs!$E$2:$H$14,2,)</f>
        <v>North Puget Sound</v>
      </c>
      <c r="N2713" s="108" t="str">
        <f>VLOOKUP($K2713,LUTs!$E$2:$H$14,4,)</f>
        <v>01North Puget Sound</v>
      </c>
      <c r="O2713" s="108">
        <v>68.488764044943807</v>
      </c>
      <c r="P2713" s="108">
        <v>235.60134831460701</v>
      </c>
      <c r="Q2713" s="108">
        <f>SUMIFS('FW_Salmon_by_Month_2010-2021'!P$2:P$3810,'FW_Salmon_by_Month_2010-2021'!$B$2:$B$3810,'Rec_raw_catch_effort_2010-2021'!$B2713,'FW_Salmon_by_Month_2010-2021'!$H$2:$H$3810,'Rec_raw_catch_effort_2010-2021'!$F2713,'FW_Salmon_by_Month_2010-2021'!$M$2:$M$3810,'Rec_raw_catch_effort_2010-2021'!$K2713)</f>
        <v>69.62</v>
      </c>
      <c r="R2713" s="109">
        <f>VLOOKUP(B2713,Readme!$A$62:$C$74,2,)*Q2713</f>
        <v>246.38799541765178</v>
      </c>
      <c r="S2713" s="140" t="str">
        <f t="shared" si="209"/>
        <v>Y</v>
      </c>
      <c r="T2713" s="154">
        <f t="shared" si="210"/>
        <v>3.4400000000000044</v>
      </c>
      <c r="U2713" s="154">
        <f t="shared" si="211"/>
        <v>3.5390404397824153</v>
      </c>
    </row>
    <row r="2714" spans="1:21" x14ac:dyDescent="0.35">
      <c r="A2714" s="108">
        <v>2675</v>
      </c>
      <c r="B2714" s="108">
        <v>2018</v>
      </c>
      <c r="C2714" s="108" t="s">
        <v>38</v>
      </c>
      <c r="D2714" s="108" t="s">
        <v>143</v>
      </c>
      <c r="E2714" s="108" t="s">
        <v>10</v>
      </c>
      <c r="F2714" s="116">
        <v>850</v>
      </c>
      <c r="G2714" s="108" t="s">
        <v>63</v>
      </c>
      <c r="H2714" s="108" t="str">
        <f t="shared" si="208"/>
        <v>Snohomish River</v>
      </c>
      <c r="I2714" s="108" t="str">
        <f>IFERROR(VLOOKUP(H2714,LUTs!$A$1:$C$73,2,FALSE),"NA")</f>
        <v>Snohomish</v>
      </c>
      <c r="J2714" s="108" t="str">
        <f>IFERROR(VLOOKUP(H2714,LUTs!$A$1:$C$73,3,FALSE),"NA")</f>
        <v>2Central Puget Sound</v>
      </c>
      <c r="K2714" s="108" t="s">
        <v>17</v>
      </c>
      <c r="L2714" s="108" t="str">
        <f>VLOOKUP(K2714,LUTs!E$2:G$14,3,)</f>
        <v>04Island</v>
      </c>
      <c r="M2714" s="108" t="str">
        <f>VLOOKUP($K2714,LUTs!$E$2:$H$14,2,)</f>
        <v>North Puget Sound</v>
      </c>
      <c r="N2714" s="108" t="str">
        <f>VLOOKUP($K2714,LUTs!$E$2:$H$14,4,)</f>
        <v>01North Puget Sound</v>
      </c>
      <c r="O2714" s="108">
        <v>19.884615384615401</v>
      </c>
      <c r="P2714" s="108">
        <v>172.00192307692299</v>
      </c>
      <c r="Q2714" s="108">
        <f>SUMIFS('FW_Salmon_by_Month_2010-2021'!P$2:P$3810,'FW_Salmon_by_Month_2010-2021'!$B$2:$B$3810,'Rec_raw_catch_effort_2010-2021'!$B2714,'FW_Salmon_by_Month_2010-2021'!$H$2:$H$3810,'Rec_raw_catch_effort_2010-2021'!$F2714,'FW_Salmon_by_Month_2010-2021'!$M$2:$M$3810,'Rec_raw_catch_effort_2010-2021'!$K2714)</f>
        <v>19.884615384615401</v>
      </c>
      <c r="R2714" s="109">
        <f>VLOOKUP(B2714,Readme!$A$62:$C$74,2,)*Q2714</f>
        <v>95.834995593328102</v>
      </c>
      <c r="S2714" s="140" t="str">
        <f t="shared" si="209"/>
        <v>Y</v>
      </c>
      <c r="T2714" s="154">
        <f t="shared" si="210"/>
        <v>8.6499999999999879</v>
      </c>
      <c r="U2714" s="154">
        <f t="shared" si="211"/>
        <v>4.8195549041132084</v>
      </c>
    </row>
    <row r="2715" spans="1:21" x14ac:dyDescent="0.35">
      <c r="A2715" s="108">
        <v>2676</v>
      </c>
      <c r="B2715" s="108">
        <v>2018</v>
      </c>
      <c r="C2715" s="108" t="s">
        <v>38</v>
      </c>
      <c r="D2715" s="108" t="s">
        <v>143</v>
      </c>
      <c r="E2715" s="108" t="s">
        <v>10</v>
      </c>
      <c r="F2715" s="116">
        <v>850</v>
      </c>
      <c r="G2715" s="108" t="s">
        <v>63</v>
      </c>
      <c r="H2715" s="108" t="str">
        <f t="shared" si="208"/>
        <v>Snohomish River</v>
      </c>
      <c r="I2715" s="108" t="str">
        <f>IFERROR(VLOOKUP(H2715,LUTs!$A$1:$C$73,2,FALSE),"NA")</f>
        <v>Snohomish</v>
      </c>
      <c r="J2715" s="108" t="str">
        <f>IFERROR(VLOOKUP(H2715,LUTs!$A$1:$C$73,3,FALSE),"NA")</f>
        <v>2Central Puget Sound</v>
      </c>
      <c r="K2715" s="108" t="s">
        <v>18</v>
      </c>
      <c r="L2715" s="108" t="str">
        <f>VLOOKUP(K2715,LUTs!E$2:G$14,3,)</f>
        <v>06King</v>
      </c>
      <c r="M2715" s="108" t="str">
        <f>VLOOKUP($K2715,LUTs!$E$2:$H$14,2,)</f>
        <v>South Puget Sound</v>
      </c>
      <c r="N2715" s="108" t="str">
        <f>VLOOKUP($K2715,LUTs!$E$2:$H$14,4,)</f>
        <v>02South Puget Sound</v>
      </c>
      <c r="O2715" s="108">
        <v>49.711538461538503</v>
      </c>
      <c r="P2715" s="108">
        <v>430.00480769230802</v>
      </c>
      <c r="Q2715" s="108">
        <f>SUMIFS('FW_Salmon_by_Month_2010-2021'!P$2:P$3810,'FW_Salmon_by_Month_2010-2021'!$B$2:$B$3810,'Rec_raw_catch_effort_2010-2021'!$B2715,'FW_Salmon_by_Month_2010-2021'!$H$2:$H$3810,'Rec_raw_catch_effort_2010-2021'!$F2715,'FW_Salmon_by_Month_2010-2021'!$M$2:$M$3810,'Rec_raw_catch_effort_2010-2021'!$K2715)</f>
        <v>49.711538461538503</v>
      </c>
      <c r="R2715" s="109">
        <f>VLOOKUP(B2715,Readme!$A$62:$C$74,2,)*Q2715</f>
        <v>239.58748898332027</v>
      </c>
      <c r="S2715" s="140" t="str">
        <f t="shared" si="209"/>
        <v>Y</v>
      </c>
      <c r="T2715" s="154">
        <f t="shared" si="210"/>
        <v>8.6499999999999986</v>
      </c>
      <c r="U2715" s="154">
        <f t="shared" si="211"/>
        <v>4.8195549041132084</v>
      </c>
    </row>
    <row r="2716" spans="1:21" x14ac:dyDescent="0.35">
      <c r="A2716" s="108">
        <v>2678</v>
      </c>
      <c r="B2716" s="108">
        <v>2018</v>
      </c>
      <c r="C2716" s="108" t="s">
        <v>38</v>
      </c>
      <c r="D2716" s="108" t="s">
        <v>143</v>
      </c>
      <c r="E2716" s="108" t="s">
        <v>10</v>
      </c>
      <c r="F2716" s="116">
        <v>850</v>
      </c>
      <c r="G2716" s="108" t="s">
        <v>63</v>
      </c>
      <c r="H2716" s="108" t="str">
        <f t="shared" si="208"/>
        <v>Snohomish River</v>
      </c>
      <c r="I2716" s="108" t="str">
        <f>IFERROR(VLOOKUP(H2716,LUTs!$A$1:$C$73,2,FALSE),"NA")</f>
        <v>Snohomish</v>
      </c>
      <c r="J2716" s="108" t="str">
        <f>IFERROR(VLOOKUP(H2716,LUTs!$A$1:$C$73,3,FALSE),"NA")</f>
        <v>2Central Puget Sound</v>
      </c>
      <c r="K2716" s="108" t="s">
        <v>26</v>
      </c>
      <c r="L2716" s="108" t="str">
        <f>VLOOKUP(K2716,LUTs!E$2:G$14,3,)</f>
        <v>20Other</v>
      </c>
      <c r="M2716" s="108" t="str">
        <f>VLOOKUP($K2716,LUTs!$E$2:$H$14,2,)</f>
        <v>Non Puget Sound</v>
      </c>
      <c r="N2716" s="108" t="str">
        <f>VLOOKUP($K2716,LUTs!$E$2:$H$14,4,)</f>
        <v>07Non Puget Sound</v>
      </c>
      <c r="O2716" s="108">
        <v>29.826923076923102</v>
      </c>
      <c r="P2716" s="108">
        <v>258.00288461538503</v>
      </c>
      <c r="Q2716" s="108">
        <f>SUMIFS('FW_Salmon_by_Month_2010-2021'!P$2:P$3810,'FW_Salmon_by_Month_2010-2021'!$B$2:$B$3810,'Rec_raw_catch_effort_2010-2021'!$B2716,'FW_Salmon_by_Month_2010-2021'!$H$2:$H$3810,'Rec_raw_catch_effort_2010-2021'!$F2716,'FW_Salmon_by_Month_2010-2021'!$M$2:$M$3810,'Rec_raw_catch_effort_2010-2021'!$K2716)</f>
        <v>29.826923076923102</v>
      </c>
      <c r="R2716" s="109">
        <f>VLOOKUP(B2716,Readme!$A$62:$C$74,2,)*Q2716</f>
        <v>143.75249338999217</v>
      </c>
      <c r="S2716" s="140" t="str">
        <f t="shared" si="209"/>
        <v>Y</v>
      </c>
      <c r="T2716" s="154">
        <f t="shared" si="210"/>
        <v>8.6500000000000075</v>
      </c>
      <c r="U2716" s="154">
        <f t="shared" si="211"/>
        <v>4.8195549041132084</v>
      </c>
    </row>
    <row r="2717" spans="1:21" x14ac:dyDescent="0.35">
      <c r="A2717" s="108">
        <v>2677</v>
      </c>
      <c r="B2717" s="108">
        <v>2018</v>
      </c>
      <c r="C2717" s="108" t="s">
        <v>38</v>
      </c>
      <c r="D2717" s="108" t="s">
        <v>143</v>
      </c>
      <c r="E2717" s="108" t="s">
        <v>10</v>
      </c>
      <c r="F2717" s="116">
        <v>850</v>
      </c>
      <c r="G2717" s="108" t="s">
        <v>63</v>
      </c>
      <c r="H2717" s="108" t="str">
        <f t="shared" si="208"/>
        <v>Snohomish River</v>
      </c>
      <c r="I2717" s="108" t="str">
        <f>IFERROR(VLOOKUP(H2717,LUTs!$A$1:$C$73,2,FALSE),"NA")</f>
        <v>Snohomish</v>
      </c>
      <c r="J2717" s="108" t="str">
        <f>IFERROR(VLOOKUP(H2717,LUTs!$A$1:$C$73,3,FALSE),"NA")</f>
        <v>2Central Puget Sound</v>
      </c>
      <c r="K2717" s="108" t="s">
        <v>20</v>
      </c>
      <c r="L2717" s="108" t="str">
        <f>VLOOKUP(K2717,LUTs!E$2:G$14,3,)</f>
        <v>07Pierce</v>
      </c>
      <c r="M2717" s="108" t="str">
        <f>VLOOKUP($K2717,LUTs!$E$2:$H$14,2,)</f>
        <v>South Puget Sound</v>
      </c>
      <c r="N2717" s="108" t="str">
        <f>VLOOKUP($K2717,LUTs!$E$2:$H$14,4,)</f>
        <v>02South Puget Sound</v>
      </c>
      <c r="O2717" s="108">
        <v>9.9423076923077005</v>
      </c>
      <c r="P2717" s="108">
        <v>86.000961538461596</v>
      </c>
      <c r="Q2717" s="108">
        <f>SUMIFS('FW_Salmon_by_Month_2010-2021'!P$2:P$3810,'FW_Salmon_by_Month_2010-2021'!$B$2:$B$3810,'Rec_raw_catch_effort_2010-2021'!$B2717,'FW_Salmon_by_Month_2010-2021'!$H$2:$H$3810,'Rec_raw_catch_effort_2010-2021'!$F2717,'FW_Salmon_by_Month_2010-2021'!$M$2:$M$3810,'Rec_raw_catch_effort_2010-2021'!$K2717)</f>
        <v>9.9423076923077005</v>
      </c>
      <c r="R2717" s="109">
        <f>VLOOKUP(B2717,Readme!$A$62:$C$74,2,)*Q2717</f>
        <v>47.917497796664051</v>
      </c>
      <c r="S2717" s="140" t="str">
        <f t="shared" si="209"/>
        <v>Y</v>
      </c>
      <c r="T2717" s="154">
        <f t="shared" si="210"/>
        <v>8.6499999999999986</v>
      </c>
      <c r="U2717" s="154">
        <f t="shared" si="211"/>
        <v>4.8195549041132084</v>
      </c>
    </row>
    <row r="2718" spans="1:21" x14ac:dyDescent="0.35">
      <c r="A2718" s="108">
        <v>2560</v>
      </c>
      <c r="B2718" s="108">
        <v>2018</v>
      </c>
      <c r="C2718" s="108" t="s">
        <v>38</v>
      </c>
      <c r="D2718" s="108" t="s">
        <v>143</v>
      </c>
      <c r="E2718" s="108" t="s">
        <v>10</v>
      </c>
      <c r="F2718" s="116">
        <v>850</v>
      </c>
      <c r="G2718" s="108" t="s">
        <v>63</v>
      </c>
      <c r="H2718" s="108" t="str">
        <f t="shared" si="208"/>
        <v>Snohomish River</v>
      </c>
      <c r="I2718" s="108" t="str">
        <f>IFERROR(VLOOKUP(H2718,LUTs!$A$1:$C$73,2,FALSE),"NA")</f>
        <v>Snohomish</v>
      </c>
      <c r="J2718" s="108" t="str">
        <f>IFERROR(VLOOKUP(H2718,LUTs!$A$1:$C$73,3,FALSE),"NA")</f>
        <v>2Central Puget Sound</v>
      </c>
      <c r="K2718" s="108" t="s">
        <v>16</v>
      </c>
      <c r="L2718" s="108" t="str">
        <f>VLOOKUP(K2718,LUTs!E$2:G$14,3,)</f>
        <v>03Snohomish</v>
      </c>
      <c r="M2718" s="108" t="str">
        <f>VLOOKUP($K2718,LUTs!$E$2:$H$14,2,)</f>
        <v>North Puget Sound</v>
      </c>
      <c r="N2718" s="108" t="str">
        <f>VLOOKUP($K2718,LUTs!$E$2:$H$14,4,)</f>
        <v>01North Puget Sound</v>
      </c>
      <c r="O2718" s="108">
        <v>407.63461538461502</v>
      </c>
      <c r="P2718" s="108">
        <v>3526.0394230769198</v>
      </c>
      <c r="Q2718" s="108">
        <f>SUMIFS('FW_Salmon_by_Month_2010-2021'!P$2:P$3810,'FW_Salmon_by_Month_2010-2021'!$B$2:$B$3810,'Rec_raw_catch_effort_2010-2021'!$B2718,'FW_Salmon_by_Month_2010-2021'!$H$2:$H$3810,'Rec_raw_catch_effort_2010-2021'!$F2718,'FW_Salmon_by_Month_2010-2021'!$M$2:$M$3810,'Rec_raw_catch_effort_2010-2021'!$K2718)</f>
        <v>407.63461538461502</v>
      </c>
      <c r="R2718" s="109">
        <f>VLOOKUP(B2718,Readme!$A$62:$C$74,2,)*Q2718</f>
        <v>1964.6174096632228</v>
      </c>
      <c r="S2718" s="140" t="str">
        <f t="shared" si="209"/>
        <v>Y</v>
      </c>
      <c r="T2718" s="154">
        <f t="shared" si="210"/>
        <v>8.65</v>
      </c>
      <c r="U2718" s="154">
        <f t="shared" si="211"/>
        <v>4.8195549041132084</v>
      </c>
    </row>
    <row r="2719" spans="1:21" x14ac:dyDescent="0.35">
      <c r="A2719" s="108">
        <v>2787</v>
      </c>
      <c r="B2719" s="108">
        <v>2019</v>
      </c>
      <c r="C2719" s="108" t="s">
        <v>38</v>
      </c>
      <c r="D2719" s="108" t="s">
        <v>143</v>
      </c>
      <c r="E2719" s="108" t="s">
        <v>10</v>
      </c>
      <c r="F2719" s="116">
        <v>850</v>
      </c>
      <c r="G2719" s="108" t="s">
        <v>63</v>
      </c>
      <c r="H2719" s="108" t="str">
        <f t="shared" si="208"/>
        <v>Snohomish River</v>
      </c>
      <c r="I2719" s="108" t="str">
        <f>IFERROR(VLOOKUP(H2719,LUTs!$A$1:$C$73,2,FALSE),"NA")</f>
        <v>Snohomish</v>
      </c>
      <c r="J2719" s="108" t="str">
        <f>IFERROR(VLOOKUP(H2719,LUTs!$A$1:$C$73,3,FALSE),"NA")</f>
        <v>2Central Puget Sound</v>
      </c>
      <c r="K2719" s="108" t="s">
        <v>18</v>
      </c>
      <c r="L2719" s="108" t="str">
        <f>VLOOKUP(K2719,LUTs!E$2:G$14,3,)</f>
        <v>06King</v>
      </c>
      <c r="M2719" s="108" t="str">
        <f>VLOOKUP($K2719,LUTs!$E$2:$H$14,2,)</f>
        <v>South Puget Sound</v>
      </c>
      <c r="N2719" s="108" t="str">
        <f>VLOOKUP($K2719,LUTs!$E$2:$H$14,4,)</f>
        <v>02South Puget Sound</v>
      </c>
      <c r="O2719" s="108">
        <v>381.92982456140402</v>
      </c>
      <c r="P2719" s="108">
        <v>1313.83859649123</v>
      </c>
      <c r="Q2719" s="108">
        <f>SUMIFS('FW_Salmon_by_Month_2010-2021'!P$2:P$3810,'FW_Salmon_by_Month_2010-2021'!$B$2:$B$3810,'Rec_raw_catch_effort_2010-2021'!$B2719,'FW_Salmon_by_Month_2010-2021'!$H$2:$H$3810,'Rec_raw_catch_effort_2010-2021'!$F2719,'FW_Salmon_by_Month_2010-2021'!$M$2:$M$3810,'Rec_raw_catch_effort_2010-2021'!$K2719)</f>
        <v>382.03014623172152</v>
      </c>
      <c r="R2719" s="109">
        <f>VLOOKUP(B2719,Readme!$A$62:$C$74,2,)*Q2719</f>
        <v>1352.0201367300522</v>
      </c>
      <c r="S2719" s="140" t="str">
        <f t="shared" si="209"/>
        <v>Y</v>
      </c>
      <c r="T2719" s="154">
        <f t="shared" si="210"/>
        <v>3.4400000000000004</v>
      </c>
      <c r="U2719" s="154">
        <f t="shared" si="211"/>
        <v>3.5390404397824153</v>
      </c>
    </row>
    <row r="2720" spans="1:21" x14ac:dyDescent="0.35">
      <c r="A2720" s="108">
        <v>2789</v>
      </c>
      <c r="B2720" s="108">
        <v>2019</v>
      </c>
      <c r="C2720" s="108" t="s">
        <v>38</v>
      </c>
      <c r="D2720" s="108" t="s">
        <v>143</v>
      </c>
      <c r="E2720" s="108" t="s">
        <v>10</v>
      </c>
      <c r="F2720" s="116">
        <v>850</v>
      </c>
      <c r="G2720" s="108" t="s">
        <v>63</v>
      </c>
      <c r="H2720" s="108" t="str">
        <f t="shared" si="208"/>
        <v>Snohomish River</v>
      </c>
      <c r="I2720" s="108" t="str">
        <f>IFERROR(VLOOKUP(H2720,LUTs!$A$1:$C$73,2,FALSE),"NA")</f>
        <v>Snohomish</v>
      </c>
      <c r="J2720" s="108" t="str">
        <f>IFERROR(VLOOKUP(H2720,LUTs!$A$1:$C$73,3,FALSE),"NA")</f>
        <v>2Central Puget Sound</v>
      </c>
      <c r="K2720" s="108" t="s">
        <v>26</v>
      </c>
      <c r="L2720" s="108" t="str">
        <f>VLOOKUP(K2720,LUTs!E$2:G$14,3,)</f>
        <v>20Other</v>
      </c>
      <c r="M2720" s="108" t="str">
        <f>VLOOKUP($K2720,LUTs!$E$2:$H$14,2,)</f>
        <v>Non Puget Sound</v>
      </c>
      <c r="N2720" s="108" t="str">
        <f>VLOOKUP($K2720,LUTs!$E$2:$H$14,4,)</f>
        <v>07Non Puget Sound</v>
      </c>
      <c r="O2720" s="108">
        <v>130.947368421053</v>
      </c>
      <c r="P2720" s="108">
        <v>450.458947368422</v>
      </c>
      <c r="Q2720" s="108">
        <f>SUMIFS('FW_Salmon_by_Month_2010-2021'!P$2:P$3810,'FW_Salmon_by_Month_2010-2021'!$B$2:$B$3810,'Rec_raw_catch_effort_2010-2021'!$B2720,'FW_Salmon_by_Month_2010-2021'!$H$2:$H$3810,'Rec_raw_catch_effort_2010-2021'!$F2720,'FW_Salmon_by_Month_2010-2021'!$M$2:$M$3810,'Rec_raw_catch_effort_2010-2021'!$K2720)</f>
        <v>135.0074240719911</v>
      </c>
      <c r="R2720" s="109">
        <f>VLOOKUP(B2720,Readme!$A$62:$C$74,2,)*Q2720</f>
        <v>477.79673346163042</v>
      </c>
      <c r="S2720" s="140" t="str">
        <f t="shared" si="209"/>
        <v>Y</v>
      </c>
      <c r="T2720" s="154">
        <f t="shared" si="210"/>
        <v>3.4399999999999977</v>
      </c>
      <c r="U2720" s="154">
        <f t="shared" si="211"/>
        <v>3.5390404397824153</v>
      </c>
    </row>
    <row r="2721" spans="1:21" x14ac:dyDescent="0.35">
      <c r="A2721" s="108">
        <v>2788</v>
      </c>
      <c r="B2721" s="108">
        <v>2019</v>
      </c>
      <c r="C2721" s="108" t="s">
        <v>38</v>
      </c>
      <c r="D2721" s="108" t="s">
        <v>143</v>
      </c>
      <c r="E2721" s="108" t="s">
        <v>10</v>
      </c>
      <c r="F2721" s="116">
        <v>850</v>
      </c>
      <c r="G2721" s="108" t="s">
        <v>63</v>
      </c>
      <c r="H2721" s="108" t="str">
        <f t="shared" si="208"/>
        <v>Snohomish River</v>
      </c>
      <c r="I2721" s="108" t="str">
        <f>IFERROR(VLOOKUP(H2721,LUTs!$A$1:$C$73,2,FALSE),"NA")</f>
        <v>Snohomish</v>
      </c>
      <c r="J2721" s="108" t="str">
        <f>IFERROR(VLOOKUP(H2721,LUTs!$A$1:$C$73,3,FALSE),"NA")</f>
        <v>2Central Puget Sound</v>
      </c>
      <c r="K2721" s="108" t="s">
        <v>20</v>
      </c>
      <c r="L2721" s="108" t="str">
        <f>VLOOKUP(K2721,LUTs!E$2:G$14,3,)</f>
        <v>07Pierce</v>
      </c>
      <c r="M2721" s="108" t="str">
        <f>VLOOKUP($K2721,LUTs!$E$2:$H$14,2,)</f>
        <v>South Puget Sound</v>
      </c>
      <c r="N2721" s="108" t="str">
        <f>VLOOKUP($K2721,LUTs!$E$2:$H$14,4,)</f>
        <v>02South Puget Sound</v>
      </c>
      <c r="O2721" s="108">
        <v>21.824561403508799</v>
      </c>
      <c r="P2721" s="108">
        <v>75.076491228070296</v>
      </c>
      <c r="Q2721" s="108">
        <f>SUMIFS('FW_Salmon_by_Month_2010-2021'!P$2:P$3810,'FW_Salmon_by_Month_2010-2021'!$B$2:$B$3810,'Rec_raw_catch_effort_2010-2021'!$B2721,'FW_Salmon_by_Month_2010-2021'!$H$2:$H$3810,'Rec_raw_catch_effort_2010-2021'!$F2721,'FW_Salmon_by_Month_2010-2021'!$M$2:$M$3810,'Rec_raw_catch_effort_2010-2021'!$K2721)</f>
        <v>22.992125984251999</v>
      </c>
      <c r="R2721" s="109">
        <f>VLOOKUP(B2721,Readme!$A$62:$C$74,2,)*Q2721</f>
        <v>81.370063654839896</v>
      </c>
      <c r="S2721" s="140" t="str">
        <f t="shared" si="209"/>
        <v>Y</v>
      </c>
      <c r="T2721" s="154">
        <f t="shared" si="210"/>
        <v>3.4400000000000013</v>
      </c>
      <c r="U2721" s="154">
        <f t="shared" si="211"/>
        <v>3.5390404397824153</v>
      </c>
    </row>
    <row r="2722" spans="1:21" x14ac:dyDescent="0.35">
      <c r="A2722" s="108">
        <v>2785</v>
      </c>
      <c r="B2722" s="108">
        <v>2019</v>
      </c>
      <c r="C2722" s="108" t="s">
        <v>38</v>
      </c>
      <c r="D2722" s="108" t="s">
        <v>143</v>
      </c>
      <c r="E2722" s="108" t="s">
        <v>10</v>
      </c>
      <c r="F2722" s="116">
        <v>850</v>
      </c>
      <c r="G2722" s="108" t="s">
        <v>63</v>
      </c>
      <c r="H2722" s="108" t="str">
        <f t="shared" si="208"/>
        <v>Snohomish River</v>
      </c>
      <c r="I2722" s="108" t="str">
        <f>IFERROR(VLOOKUP(H2722,LUTs!$A$1:$C$73,2,FALSE),"NA")</f>
        <v>Snohomish</v>
      </c>
      <c r="J2722" s="108" t="str">
        <f>IFERROR(VLOOKUP(H2722,LUTs!$A$1:$C$73,3,FALSE),"NA")</f>
        <v>2Central Puget Sound</v>
      </c>
      <c r="K2722" s="108" t="s">
        <v>15</v>
      </c>
      <c r="L2722" s="108" t="str">
        <f>VLOOKUP(K2722,LUTs!E$2:G$14,3,)</f>
        <v>02Skagit</v>
      </c>
      <c r="M2722" s="108" t="str">
        <f>VLOOKUP($K2722,LUTs!$E$2:$H$14,2,)</f>
        <v>North Puget Sound</v>
      </c>
      <c r="N2722" s="108" t="str">
        <f>VLOOKUP($K2722,LUTs!$E$2:$H$14,4,)</f>
        <v>01North Puget Sound</v>
      </c>
      <c r="O2722" s="108">
        <v>76.385964912280699</v>
      </c>
      <c r="P2722" s="108">
        <v>262.76771929824599</v>
      </c>
      <c r="Q2722" s="108">
        <f>SUMIFS('FW_Salmon_by_Month_2010-2021'!P$2:P$3810,'FW_Salmon_by_Month_2010-2021'!$B$2:$B$3810,'Rec_raw_catch_effort_2010-2021'!$B2722,'FW_Salmon_by_Month_2010-2021'!$H$2:$H$3810,'Rec_raw_catch_effort_2010-2021'!$F2722,'FW_Salmon_by_Month_2010-2021'!$M$2:$M$3810,'Rec_raw_catch_effort_2010-2021'!$K2722)</f>
        <v>72.684251968503901</v>
      </c>
      <c r="R2722" s="109">
        <f>VLOOKUP(B2722,Readme!$A$62:$C$74,2,)*Q2722</f>
        <v>257.23250705186996</v>
      </c>
      <c r="S2722" s="140" t="str">
        <f t="shared" si="209"/>
        <v>Y</v>
      </c>
      <c r="T2722" s="154">
        <f t="shared" si="210"/>
        <v>3.4400000000000053</v>
      </c>
      <c r="U2722" s="154">
        <f t="shared" si="211"/>
        <v>3.5390404397824158</v>
      </c>
    </row>
    <row r="2723" spans="1:21" x14ac:dyDescent="0.35">
      <c r="A2723" s="108">
        <v>2786</v>
      </c>
      <c r="B2723" s="108">
        <v>2019</v>
      </c>
      <c r="C2723" s="108" t="s">
        <v>38</v>
      </c>
      <c r="D2723" s="108" t="s">
        <v>143</v>
      </c>
      <c r="E2723" s="108" t="s">
        <v>10</v>
      </c>
      <c r="F2723" s="116">
        <v>850</v>
      </c>
      <c r="G2723" s="108" t="s">
        <v>63</v>
      </c>
      <c r="H2723" s="108" t="str">
        <f t="shared" si="208"/>
        <v>Snohomish River</v>
      </c>
      <c r="I2723" s="108" t="str">
        <f>IFERROR(VLOOKUP(H2723,LUTs!$A$1:$C$73,2,FALSE),"NA")</f>
        <v>Snohomish</v>
      </c>
      <c r="J2723" s="108" t="str">
        <f>IFERROR(VLOOKUP(H2723,LUTs!$A$1:$C$73,3,FALSE),"NA")</f>
        <v>2Central Puget Sound</v>
      </c>
      <c r="K2723" s="108" t="s">
        <v>16</v>
      </c>
      <c r="L2723" s="108" t="str">
        <f>VLOOKUP(K2723,LUTs!E$2:G$14,3,)</f>
        <v>03Snohomish</v>
      </c>
      <c r="M2723" s="108" t="str">
        <f>VLOOKUP($K2723,LUTs!$E$2:$H$14,2,)</f>
        <v>North Puget Sound</v>
      </c>
      <c r="N2723" s="108" t="str">
        <f>VLOOKUP($K2723,LUTs!$E$2:$H$14,4,)</f>
        <v>01North Puget Sound</v>
      </c>
      <c r="O2723" s="108">
        <v>1254.91228070175</v>
      </c>
      <c r="P2723" s="108">
        <v>4316.8982456140202</v>
      </c>
      <c r="Q2723" s="108">
        <f>SUMIFS('FW_Salmon_by_Month_2010-2021'!P$2:P$3810,'FW_Salmon_by_Month_2010-2021'!$B$2:$B$3810,'Rec_raw_catch_effort_2010-2021'!$B2723,'FW_Salmon_by_Month_2010-2021'!$H$2:$H$3810,'Rec_raw_catch_effort_2010-2021'!$F2723,'FW_Salmon_by_Month_2010-2021'!$M$2:$M$3810,'Rec_raw_catch_effort_2010-2021'!$K2723)</f>
        <v>1253.2860517435322</v>
      </c>
      <c r="R2723" s="109">
        <f>VLOOKUP(B2723,Readme!$A$62:$C$74,2,)*Q2723</f>
        <v>4435.4300197355969</v>
      </c>
      <c r="S2723" s="140" t="str">
        <f t="shared" si="209"/>
        <v>Y</v>
      </c>
      <c r="T2723" s="154">
        <f t="shared" si="210"/>
        <v>3.4400000000000004</v>
      </c>
      <c r="U2723" s="154">
        <f t="shared" si="211"/>
        <v>3.5390404397824153</v>
      </c>
    </row>
    <row r="2724" spans="1:21" x14ac:dyDescent="0.35">
      <c r="A2724" s="108">
        <v>1289</v>
      </c>
      <c r="B2724" s="108">
        <v>2021</v>
      </c>
      <c r="C2724" s="108" t="s">
        <v>38</v>
      </c>
      <c r="D2724" s="108" t="s">
        <v>143</v>
      </c>
      <c r="E2724" s="108" t="s">
        <v>10</v>
      </c>
      <c r="F2724" s="116">
        <v>850</v>
      </c>
      <c r="G2724" s="108" t="s">
        <v>63</v>
      </c>
      <c r="H2724" s="108" t="str">
        <f t="shared" si="208"/>
        <v>Snohomish River</v>
      </c>
      <c r="I2724" s="108" t="str">
        <f>IFERROR(VLOOKUP(H2724,LUTs!$A$1:$C$73,2,FALSE),"NA")</f>
        <v>Snohomish</v>
      </c>
      <c r="J2724" s="108" t="str">
        <f>IFERROR(VLOOKUP(H2724,LUTs!$A$1:$C$73,3,FALSE),"NA")</f>
        <v>2Central Puget Sound</v>
      </c>
      <c r="K2724" s="108" t="s">
        <v>17</v>
      </c>
      <c r="L2724" s="108" t="str">
        <f>VLOOKUP(K2724,LUTs!E$2:G$14,3,)</f>
        <v>04Island</v>
      </c>
      <c r="M2724" s="108" t="str">
        <f>VLOOKUP($K2724,LUTs!$E$2:$H$14,2,)</f>
        <v>North Puget Sound</v>
      </c>
      <c r="N2724" s="108" t="str">
        <f>VLOOKUP($K2724,LUTs!$E$2:$H$14,4,)</f>
        <v>01North Puget Sound</v>
      </c>
      <c r="O2724" s="108">
        <v>219.3412512546</v>
      </c>
      <c r="P2724" s="108">
        <v>754.53390431582397</v>
      </c>
      <c r="Q2724" s="108">
        <f>SUMIFS('FW_Salmon_by_Month_2010-2021'!P$2:P$3810,'FW_Salmon_by_Month_2010-2021'!$B$2:$B$3810,'Rec_raw_catch_effort_2010-2021'!$B2724,'FW_Salmon_by_Month_2010-2021'!$H$2:$H$3810,'Rec_raw_catch_effort_2010-2021'!$F2724,'FW_Salmon_by_Month_2010-2021'!$M$2:$M$3810,'Rec_raw_catch_effort_2010-2021'!$K2724)</f>
        <v>207.01098620236141</v>
      </c>
      <c r="R2724" s="109">
        <f>VLOOKUP(B2724,Readme!$A$62:$C$74,2,)*Q2724</f>
        <v>732.62025164939666</v>
      </c>
      <c r="S2724" s="140" t="str">
        <f t="shared" si="209"/>
        <v>N</v>
      </c>
      <c r="T2724" s="154">
        <f t="shared" si="210"/>
        <v>3.44</v>
      </c>
      <c r="U2724" s="154">
        <f t="shared" si="211"/>
        <v>3.5390404397824153</v>
      </c>
    </row>
    <row r="2725" spans="1:21" x14ac:dyDescent="0.35">
      <c r="A2725" s="108">
        <v>1290</v>
      </c>
      <c r="B2725" s="108">
        <v>2021</v>
      </c>
      <c r="C2725" s="108" t="s">
        <v>38</v>
      </c>
      <c r="D2725" s="108" t="s">
        <v>143</v>
      </c>
      <c r="E2725" s="108" t="s">
        <v>10</v>
      </c>
      <c r="F2725" s="116">
        <v>850</v>
      </c>
      <c r="G2725" s="108" t="s">
        <v>63</v>
      </c>
      <c r="H2725" s="108" t="str">
        <f t="shared" si="208"/>
        <v>Snohomish River</v>
      </c>
      <c r="I2725" s="108" t="str">
        <f>IFERROR(VLOOKUP(H2725,LUTs!$A$1:$C$73,2,FALSE),"NA")</f>
        <v>Snohomish</v>
      </c>
      <c r="J2725" s="108" t="str">
        <f>IFERROR(VLOOKUP(H2725,LUTs!$A$1:$C$73,3,FALSE),"NA")</f>
        <v>2Central Puget Sound</v>
      </c>
      <c r="K2725" s="108" t="s">
        <v>18</v>
      </c>
      <c r="L2725" s="108" t="str">
        <f>VLOOKUP(K2725,LUTs!E$2:G$14,3,)</f>
        <v>06King</v>
      </c>
      <c r="M2725" s="108" t="str">
        <f>VLOOKUP($K2725,LUTs!$E$2:$H$14,2,)</f>
        <v>South Puget Sound</v>
      </c>
      <c r="N2725" s="108" t="str">
        <f>VLOOKUP($K2725,LUTs!$E$2:$H$14,4,)</f>
        <v>02South Puget Sound</v>
      </c>
      <c r="O2725" s="108">
        <v>13080.714620274301</v>
      </c>
      <c r="P2725" s="108">
        <v>44997.658293743603</v>
      </c>
      <c r="Q2725" s="108">
        <f>SUMIFS('FW_Salmon_by_Month_2010-2021'!P$2:P$3810,'FW_Salmon_by_Month_2010-2021'!$B$2:$B$3810,'Rec_raw_catch_effort_2010-2021'!$B2725,'FW_Salmon_by_Month_2010-2021'!$H$2:$H$3810,'Rec_raw_catch_effort_2010-2021'!$F2725,'FW_Salmon_by_Month_2010-2021'!$M$2:$M$3810,'Rec_raw_catch_effort_2010-2021'!$K2725)</f>
        <v>12948.501688691702</v>
      </c>
      <c r="R2725" s="109">
        <f>VLOOKUP(B2725,Readme!$A$62:$C$74,2,)*Q2725</f>
        <v>45825.271110870832</v>
      </c>
      <c r="S2725" s="140" t="str">
        <f t="shared" si="209"/>
        <v>N</v>
      </c>
      <c r="T2725" s="154">
        <f t="shared" si="210"/>
        <v>3.4400000000000008</v>
      </c>
      <c r="U2725" s="154">
        <f t="shared" si="211"/>
        <v>3.5390404397824158</v>
      </c>
    </row>
    <row r="2726" spans="1:21" x14ac:dyDescent="0.35">
      <c r="A2726" s="108">
        <v>1429</v>
      </c>
      <c r="B2726" s="108">
        <v>2021</v>
      </c>
      <c r="C2726" s="108" t="s">
        <v>38</v>
      </c>
      <c r="D2726" s="108" t="s">
        <v>143</v>
      </c>
      <c r="E2726" s="108" t="s">
        <v>10</v>
      </c>
      <c r="F2726" s="116">
        <v>850</v>
      </c>
      <c r="G2726" s="108" t="s">
        <v>63</v>
      </c>
      <c r="H2726" s="108" t="str">
        <f t="shared" si="208"/>
        <v>Snohomish River</v>
      </c>
      <c r="I2726" s="108" t="str">
        <f>IFERROR(VLOOKUP(H2726,LUTs!$A$1:$C$73,2,FALSE),"NA")</f>
        <v>Snohomish</v>
      </c>
      <c r="J2726" s="108" t="str">
        <f>IFERROR(VLOOKUP(H2726,LUTs!$A$1:$C$73,3,FALSE),"NA")</f>
        <v>2Central Puget Sound</v>
      </c>
      <c r="K2726" s="108" t="s">
        <v>23</v>
      </c>
      <c r="L2726" s="108" t="str">
        <f>VLOOKUP(K2726,LUTs!E$2:G$14,3,)</f>
        <v>10Kitsap</v>
      </c>
      <c r="M2726" s="108" t="str">
        <f>VLOOKUP($K2726,LUTs!$E$2:$H$14,2,)</f>
        <v>South Puget Sound</v>
      </c>
      <c r="N2726" s="108" t="str">
        <f>VLOOKUP($K2726,LUTs!$E$2:$H$14,4,)</f>
        <v>02South Puget Sound</v>
      </c>
      <c r="O2726" s="108">
        <v>279.16159250585503</v>
      </c>
      <c r="P2726" s="108">
        <v>960.31587822014103</v>
      </c>
      <c r="Q2726" s="108">
        <f>SUMIFS('FW_Salmon_by_Month_2010-2021'!P$2:P$3810,'FW_Salmon_by_Month_2010-2021'!$B$2:$B$3810,'Rec_raw_catch_effort_2010-2021'!$B2726,'FW_Salmon_by_Month_2010-2021'!$H$2:$H$3810,'Rec_raw_catch_effort_2010-2021'!$F2726,'FW_Salmon_by_Month_2010-2021'!$M$2:$M$3810,'Rec_raw_catch_effort_2010-2021'!$K2726)</f>
        <v>288.37758599072203</v>
      </c>
      <c r="R2726" s="109">
        <f>VLOOKUP(B2726,Readme!$A$62:$C$74,2,)*Q2726</f>
        <v>1020.5799387479962</v>
      </c>
      <c r="S2726" s="140" t="str">
        <f t="shared" si="209"/>
        <v>N</v>
      </c>
      <c r="T2726" s="154">
        <f t="shared" si="210"/>
        <v>3.4399999999999991</v>
      </c>
      <c r="U2726" s="154">
        <f t="shared" si="211"/>
        <v>3.5390404397824153</v>
      </c>
    </row>
    <row r="2727" spans="1:21" x14ac:dyDescent="0.35">
      <c r="A2727" s="108">
        <v>1428</v>
      </c>
      <c r="B2727" s="108">
        <v>2021</v>
      </c>
      <c r="C2727" s="108" t="s">
        <v>38</v>
      </c>
      <c r="D2727" s="108" t="s">
        <v>143</v>
      </c>
      <c r="E2727" s="108" t="s">
        <v>10</v>
      </c>
      <c r="F2727" s="116">
        <v>850</v>
      </c>
      <c r="G2727" s="108" t="s">
        <v>63</v>
      </c>
      <c r="H2727" s="108" t="str">
        <f t="shared" si="208"/>
        <v>Snohomish River</v>
      </c>
      <c r="I2727" s="108" t="str">
        <f>IFERROR(VLOOKUP(H2727,LUTs!$A$1:$C$73,2,FALSE),"NA")</f>
        <v>Snohomish</v>
      </c>
      <c r="J2727" s="108" t="str">
        <f>IFERROR(VLOOKUP(H2727,LUTs!$A$1:$C$73,3,FALSE),"NA")</f>
        <v>2Central Puget Sound</v>
      </c>
      <c r="K2727" s="108" t="s">
        <v>22</v>
      </c>
      <c r="L2727" s="108" t="str">
        <f>VLOOKUP(K2727,LUTs!E$2:G$14,3,)</f>
        <v>09Mason</v>
      </c>
      <c r="M2727" s="108" t="str">
        <f>VLOOKUP($K2727,LUTs!$E$2:$H$14,2,)</f>
        <v>South Puget Sound</v>
      </c>
      <c r="N2727" s="108" t="str">
        <f>VLOOKUP($K2727,LUTs!$E$2:$H$14,4,)</f>
        <v>02South Puget Sound</v>
      </c>
      <c r="O2727" s="108">
        <v>159.52091000334599</v>
      </c>
      <c r="P2727" s="108">
        <v>548.75193041150999</v>
      </c>
      <c r="Q2727" s="108">
        <f>SUMIFS('FW_Salmon_by_Month_2010-2021'!P$2:P$3810,'FW_Salmon_by_Month_2010-2021'!$B$2:$B$3810,'Rec_raw_catch_effort_2010-2021'!$B2727,'FW_Salmon_by_Month_2010-2021'!$H$2:$H$3810,'Rec_raw_catch_effort_2010-2021'!$F2727,'FW_Salmon_by_Month_2010-2021'!$M$2:$M$3810,'Rec_raw_catch_effort_2010-2021'!$K2727)</f>
        <v>164.901408450704</v>
      </c>
      <c r="R2727" s="109">
        <f>VLOOKUP(B2727,Readme!$A$62:$C$74,2,)*Q2727</f>
        <v>583.59275308411918</v>
      </c>
      <c r="S2727" s="140" t="str">
        <f t="shared" si="209"/>
        <v>N</v>
      </c>
      <c r="T2727" s="154">
        <f t="shared" si="210"/>
        <v>3.4399999999999986</v>
      </c>
      <c r="U2727" s="154">
        <f t="shared" si="211"/>
        <v>3.5390404397824153</v>
      </c>
    </row>
    <row r="2728" spans="1:21" x14ac:dyDescent="0.35">
      <c r="A2728" s="108">
        <v>1430</v>
      </c>
      <c r="B2728" s="108">
        <v>2021</v>
      </c>
      <c r="C2728" s="108" t="s">
        <v>38</v>
      </c>
      <c r="D2728" s="108" t="s">
        <v>143</v>
      </c>
      <c r="E2728" s="108" t="s">
        <v>10</v>
      </c>
      <c r="F2728" s="116">
        <v>850</v>
      </c>
      <c r="G2728" s="108" t="s">
        <v>63</v>
      </c>
      <c r="H2728" s="108" t="str">
        <f t="shared" si="208"/>
        <v>Snohomish River</v>
      </c>
      <c r="I2728" s="108" t="str">
        <f>IFERROR(VLOOKUP(H2728,LUTs!$A$1:$C$73,2,FALSE),"NA")</f>
        <v>Snohomish</v>
      </c>
      <c r="J2728" s="108" t="str">
        <f>IFERROR(VLOOKUP(H2728,LUTs!$A$1:$C$73,3,FALSE),"NA")</f>
        <v>2Central Puget Sound</v>
      </c>
      <c r="K2728" s="108" t="s">
        <v>26</v>
      </c>
      <c r="L2728" s="108" t="str">
        <f>VLOOKUP(K2728,LUTs!E$2:G$14,3,)</f>
        <v>20Other</v>
      </c>
      <c r="M2728" s="108" t="str">
        <f>VLOOKUP($K2728,LUTs!$E$2:$H$14,2,)</f>
        <v>Non Puget Sound</v>
      </c>
      <c r="N2728" s="108" t="str">
        <f>VLOOKUP($K2728,LUTs!$E$2:$H$14,4,)</f>
        <v>07Non Puget Sound</v>
      </c>
      <c r="O2728" s="108">
        <v>2951.13683506189</v>
      </c>
      <c r="P2728" s="108">
        <v>10151.9107126129</v>
      </c>
      <c r="Q2728" s="108">
        <f>SUMIFS('FW_Salmon_by_Month_2010-2021'!P$2:P$3810,'FW_Salmon_by_Month_2010-2021'!$B$2:$B$3810,'Rec_raw_catch_effort_2010-2021'!$B2728,'FW_Salmon_by_Month_2010-2021'!$H$2:$H$3810,'Rec_raw_catch_effort_2010-2021'!$F2728,'FW_Salmon_by_Month_2010-2021'!$M$2:$M$3810,'Rec_raw_catch_effort_2010-2021'!$K2728)</f>
        <v>2981.3066738004673</v>
      </c>
      <c r="R2728" s="109">
        <f>VLOOKUP(B2728,Readme!$A$62:$C$74,2,)*Q2728</f>
        <v>10550.964881973056</v>
      </c>
      <c r="S2728" s="140" t="str">
        <f t="shared" si="209"/>
        <v>N</v>
      </c>
      <c r="T2728" s="154">
        <f t="shared" si="210"/>
        <v>3.4399999999999995</v>
      </c>
      <c r="U2728" s="154">
        <f t="shared" si="211"/>
        <v>3.5390404397824153</v>
      </c>
    </row>
    <row r="2729" spans="1:21" x14ac:dyDescent="0.35">
      <c r="A2729" s="108">
        <v>1291</v>
      </c>
      <c r="B2729" s="108">
        <v>2021</v>
      </c>
      <c r="C2729" s="108" t="s">
        <v>38</v>
      </c>
      <c r="D2729" s="108" t="s">
        <v>143</v>
      </c>
      <c r="E2729" s="108" t="s">
        <v>10</v>
      </c>
      <c r="F2729" s="116">
        <v>850</v>
      </c>
      <c r="G2729" s="108" t="s">
        <v>63</v>
      </c>
      <c r="H2729" s="108" t="str">
        <f t="shared" si="208"/>
        <v>Snohomish River</v>
      </c>
      <c r="I2729" s="108" t="str">
        <f>IFERROR(VLOOKUP(H2729,LUTs!$A$1:$C$73,2,FALSE),"NA")</f>
        <v>Snohomish</v>
      </c>
      <c r="J2729" s="108" t="str">
        <f>IFERROR(VLOOKUP(H2729,LUTs!$A$1:$C$73,3,FALSE),"NA")</f>
        <v>2Central Puget Sound</v>
      </c>
      <c r="K2729" s="108" t="s">
        <v>20</v>
      </c>
      <c r="L2729" s="108" t="str">
        <f>VLOOKUP(K2729,LUTs!E$2:G$14,3,)</f>
        <v>07Pierce</v>
      </c>
      <c r="M2729" s="108" t="str">
        <f>VLOOKUP($K2729,LUTs!$E$2:$H$14,2,)</f>
        <v>South Puget Sound</v>
      </c>
      <c r="N2729" s="108" t="str">
        <f>VLOOKUP($K2729,LUTs!$E$2:$H$14,4,)</f>
        <v>02South Puget Sound</v>
      </c>
      <c r="O2729" s="108">
        <v>299.10170625627302</v>
      </c>
      <c r="P2729" s="108">
        <v>1028.90986952158</v>
      </c>
      <c r="Q2729" s="108">
        <f>SUMIFS('FW_Salmon_by_Month_2010-2021'!P$2:P$3810,'FW_Salmon_by_Month_2010-2021'!$B$2:$B$3810,'Rec_raw_catch_effort_2010-2021'!$B2729,'FW_Salmon_by_Month_2010-2021'!$H$2:$H$3810,'Rec_raw_catch_effort_2010-2021'!$F2729,'FW_Salmon_by_Month_2010-2021'!$M$2:$M$3810,'Rec_raw_catch_effort_2010-2021'!$K2729)</f>
        <v>279.51751369983077</v>
      </c>
      <c r="R2729" s="109">
        <f>VLOOKUP(B2729,Readme!$A$62:$C$74,2,)*Q2729</f>
        <v>989.22378461113635</v>
      </c>
      <c r="S2729" s="140" t="str">
        <f t="shared" si="209"/>
        <v>N</v>
      </c>
      <c r="T2729" s="154">
        <f t="shared" si="210"/>
        <v>3.4400000000000031</v>
      </c>
      <c r="U2729" s="154">
        <f t="shared" si="211"/>
        <v>3.5390404397824153</v>
      </c>
    </row>
    <row r="2730" spans="1:21" x14ac:dyDescent="0.35">
      <c r="A2730" s="108">
        <v>1287</v>
      </c>
      <c r="B2730" s="108">
        <v>2021</v>
      </c>
      <c r="C2730" s="108" t="s">
        <v>38</v>
      </c>
      <c r="D2730" s="108" t="s">
        <v>143</v>
      </c>
      <c r="E2730" s="108" t="s">
        <v>10</v>
      </c>
      <c r="F2730" s="116">
        <v>850</v>
      </c>
      <c r="G2730" s="108" t="s">
        <v>63</v>
      </c>
      <c r="H2730" s="108" t="str">
        <f t="shared" ref="H2730:H2793" si="212">G2730</f>
        <v>Snohomish River</v>
      </c>
      <c r="I2730" s="108" t="str">
        <f>IFERROR(VLOOKUP(H2730,LUTs!$A$1:$C$73,2,FALSE),"NA")</f>
        <v>Snohomish</v>
      </c>
      <c r="J2730" s="108" t="str">
        <f>IFERROR(VLOOKUP(H2730,LUTs!$A$1:$C$73,3,FALSE),"NA")</f>
        <v>2Central Puget Sound</v>
      </c>
      <c r="K2730" s="108" t="s">
        <v>15</v>
      </c>
      <c r="L2730" s="108" t="str">
        <f>VLOOKUP(K2730,LUTs!E$2:G$14,3,)</f>
        <v>02Skagit</v>
      </c>
      <c r="M2730" s="108" t="str">
        <f>VLOOKUP($K2730,LUTs!$E$2:$H$14,2,)</f>
        <v>North Puget Sound</v>
      </c>
      <c r="N2730" s="108" t="str">
        <f>VLOOKUP($K2730,LUTs!$E$2:$H$14,4,)</f>
        <v>01North Puget Sound</v>
      </c>
      <c r="O2730" s="108">
        <v>358.92204750752802</v>
      </c>
      <c r="P2730" s="108">
        <v>1234.6918434259001</v>
      </c>
      <c r="Q2730" s="108">
        <f>SUMIFS('FW_Salmon_by_Month_2010-2021'!P$2:P$3810,'FW_Salmon_by_Month_2010-2021'!$B$2:$B$3810,'Rec_raw_catch_effort_2010-2021'!$B2730,'FW_Salmon_by_Month_2010-2021'!$H$2:$H$3810,'Rec_raw_catch_effort_2010-2021'!$F2730,'FW_Salmon_by_Month_2010-2021'!$M$2:$M$3810,'Rec_raw_catch_effort_2010-2021'!$K2730)</f>
        <v>370.98819325448289</v>
      </c>
      <c r="R2730" s="109">
        <f>VLOOKUP(B2730,Readme!$A$62:$C$74,2,)*Q2730</f>
        <v>1312.9422186094289</v>
      </c>
      <c r="S2730" s="140" t="str">
        <f t="shared" si="209"/>
        <v>N</v>
      </c>
      <c r="T2730" s="154">
        <f t="shared" si="210"/>
        <v>3.4400000000000102</v>
      </c>
      <c r="U2730" s="154">
        <f t="shared" si="211"/>
        <v>3.5390404397824153</v>
      </c>
    </row>
    <row r="2731" spans="1:21" x14ac:dyDescent="0.35">
      <c r="A2731" s="108">
        <v>1288</v>
      </c>
      <c r="B2731" s="108">
        <v>2021</v>
      </c>
      <c r="C2731" s="108" t="s">
        <v>38</v>
      </c>
      <c r="D2731" s="108" t="s">
        <v>143</v>
      </c>
      <c r="E2731" s="108" t="s">
        <v>10</v>
      </c>
      <c r="F2731" s="116">
        <v>850</v>
      </c>
      <c r="G2731" s="108" t="s">
        <v>63</v>
      </c>
      <c r="H2731" s="108" t="str">
        <f t="shared" si="212"/>
        <v>Snohomish River</v>
      </c>
      <c r="I2731" s="108" t="str">
        <f>IFERROR(VLOOKUP(H2731,LUTs!$A$1:$C$73,2,FALSE),"NA")</f>
        <v>Snohomish</v>
      </c>
      <c r="J2731" s="108" t="str">
        <f>IFERROR(VLOOKUP(H2731,LUTs!$A$1:$C$73,3,FALSE),"NA")</f>
        <v>2Central Puget Sound</v>
      </c>
      <c r="K2731" s="108" t="s">
        <v>16</v>
      </c>
      <c r="L2731" s="108" t="str">
        <f>VLOOKUP(K2731,LUTs!E$2:G$14,3,)</f>
        <v>03Snohomish</v>
      </c>
      <c r="M2731" s="108" t="str">
        <f>VLOOKUP($K2731,LUTs!$E$2:$H$14,2,)</f>
        <v>North Puget Sound</v>
      </c>
      <c r="N2731" s="108" t="str">
        <f>VLOOKUP($K2731,LUTs!$E$2:$H$14,4,)</f>
        <v>01North Puget Sound</v>
      </c>
      <c r="O2731" s="108">
        <v>42153.400468384098</v>
      </c>
      <c r="P2731" s="108">
        <v>145007.69761124099</v>
      </c>
      <c r="Q2731" s="108">
        <f>SUMIFS('FW_Salmon_by_Month_2010-2021'!P$2:P$3810,'FW_Salmon_by_Month_2010-2021'!$B$2:$B$3810,'Rec_raw_catch_effort_2010-2021'!$B2731,'FW_Salmon_by_Month_2010-2021'!$H$2:$H$3810,'Rec_raw_catch_effort_2010-2021'!$F2731,'FW_Salmon_by_Month_2010-2021'!$M$2:$M$3810,'Rec_raw_catch_effort_2010-2021'!$K2731)</f>
        <v>42267.156819077223</v>
      </c>
      <c r="R2731" s="109">
        <f>VLOOKUP(B2731,Readme!$A$62:$C$74,2,)*Q2731</f>
        <v>149585.17725733938</v>
      </c>
      <c r="S2731" s="140" t="str">
        <f t="shared" si="209"/>
        <v>N</v>
      </c>
      <c r="T2731" s="154">
        <f t="shared" si="210"/>
        <v>3.4399999999999928</v>
      </c>
      <c r="U2731" s="154">
        <f t="shared" si="211"/>
        <v>3.5390404397824158</v>
      </c>
    </row>
    <row r="2732" spans="1:21" x14ac:dyDescent="0.35">
      <c r="A2732" s="108">
        <v>1427</v>
      </c>
      <c r="B2732" s="108">
        <v>2021</v>
      </c>
      <c r="C2732" s="108" t="s">
        <v>38</v>
      </c>
      <c r="D2732" s="108" t="s">
        <v>143</v>
      </c>
      <c r="E2732" s="108" t="s">
        <v>10</v>
      </c>
      <c r="F2732" s="116">
        <v>850</v>
      </c>
      <c r="G2732" s="108" t="s">
        <v>63</v>
      </c>
      <c r="H2732" s="108" t="str">
        <f t="shared" si="212"/>
        <v>Snohomish River</v>
      </c>
      <c r="I2732" s="108" t="str">
        <f>IFERROR(VLOOKUP(H2732,LUTs!$A$1:$C$73,2,FALSE),"NA")</f>
        <v>Snohomish</v>
      </c>
      <c r="J2732" s="108" t="str">
        <f>IFERROR(VLOOKUP(H2732,LUTs!$A$1:$C$73,3,FALSE),"NA")</f>
        <v>2Central Puget Sound</v>
      </c>
      <c r="K2732" s="108" t="s">
        <v>21</v>
      </c>
      <c r="L2732" s="108" t="str">
        <f>VLOOKUP(K2732,LUTs!E$2:G$14,3,)</f>
        <v>08Thurston</v>
      </c>
      <c r="M2732" s="108" t="str">
        <f>VLOOKUP($K2732,LUTs!$E$2:$H$14,2,)</f>
        <v>South Puget Sound</v>
      </c>
      <c r="N2732" s="108" t="str">
        <f>VLOOKUP($K2732,LUTs!$E$2:$H$14,4,)</f>
        <v>02South Puget Sound</v>
      </c>
      <c r="O2732" s="108">
        <v>59.820341251254597</v>
      </c>
      <c r="P2732" s="108">
        <v>205.781973904316</v>
      </c>
      <c r="Q2732" s="108">
        <f>SUMIFS('FW_Salmon_by_Month_2010-2021'!P$2:P$3810,'FW_Salmon_by_Month_2010-2021'!$B$2:$B$3810,'Rec_raw_catch_effort_2010-2021'!$B2732,'FW_Salmon_by_Month_2010-2021'!$H$2:$H$3810,'Rec_raw_catch_effort_2010-2021'!$F2732,'FW_Salmon_by_Month_2010-2021'!$M$2:$M$3810,'Rec_raw_catch_effort_2010-2021'!$K2732)</f>
        <v>52.053754479539997</v>
      </c>
      <c r="R2732" s="109">
        <f>VLOOKUP(B2732,Readme!$A$62:$C$74,2,)*Q2732</f>
        <v>184.2203421455971</v>
      </c>
      <c r="S2732" s="140" t="str">
        <f t="shared" si="209"/>
        <v>N</v>
      </c>
      <c r="T2732" s="154">
        <f t="shared" si="210"/>
        <v>3.4400000000000031</v>
      </c>
      <c r="U2732" s="154">
        <f t="shared" si="211"/>
        <v>3.5390404397824153</v>
      </c>
    </row>
    <row r="2733" spans="1:21" x14ac:dyDescent="0.35">
      <c r="A2733" s="108">
        <v>1286</v>
      </c>
      <c r="B2733" s="108">
        <v>2021</v>
      </c>
      <c r="C2733" s="108" t="s">
        <v>38</v>
      </c>
      <c r="D2733" s="108" t="s">
        <v>143</v>
      </c>
      <c r="E2733" s="108" t="s">
        <v>10</v>
      </c>
      <c r="F2733" s="116">
        <v>850</v>
      </c>
      <c r="G2733" s="108" t="s">
        <v>63</v>
      </c>
      <c r="H2733" s="108" t="str">
        <f t="shared" si="212"/>
        <v>Snohomish River</v>
      </c>
      <c r="I2733" s="108" t="str">
        <f>IFERROR(VLOOKUP(H2733,LUTs!$A$1:$C$73,2,FALSE),"NA")</f>
        <v>Snohomish</v>
      </c>
      <c r="J2733" s="108" t="str">
        <f>IFERROR(VLOOKUP(H2733,LUTs!$A$1:$C$73,3,FALSE),"NA")</f>
        <v>2Central Puget Sound</v>
      </c>
      <c r="K2733" s="108" t="s">
        <v>13</v>
      </c>
      <c r="L2733" s="108" t="str">
        <f>VLOOKUP(K2733,LUTs!E$2:G$14,3,)</f>
        <v>01Whatcom</v>
      </c>
      <c r="M2733" s="108" t="str">
        <f>VLOOKUP($K2733,LUTs!$E$2:$H$14,2,)</f>
        <v>North Puget Sound</v>
      </c>
      <c r="N2733" s="108" t="str">
        <f>VLOOKUP($K2733,LUTs!$E$2:$H$14,4,)</f>
        <v>01North Puget Sound</v>
      </c>
      <c r="O2733" s="108">
        <v>39.880227500836398</v>
      </c>
      <c r="P2733" s="108">
        <v>137.18798260287701</v>
      </c>
      <c r="Q2733" s="108">
        <f>SUMIFS('FW_Salmon_by_Month_2010-2021'!P$2:P$3810,'FW_Salmon_by_Month_2010-2021'!$B$2:$B$3810,'Rec_raw_catch_effort_2010-2021'!$B2733,'FW_Salmon_by_Month_2010-2021'!$H$2:$H$3810,'Rec_raw_catch_effort_2010-2021'!$F2733,'FW_Salmon_by_Month_2010-2021'!$M$2:$M$3810,'Rec_raw_catch_effort_2010-2021'!$K2733)</f>
        <v>41.185376353073899</v>
      </c>
      <c r="R2733" s="109">
        <f>VLOOKUP(B2733,Readme!$A$62:$C$74,2,)*Q2733</f>
        <v>145.75671244118695</v>
      </c>
      <c r="S2733" s="140" t="str">
        <f t="shared" si="209"/>
        <v>N</v>
      </c>
      <c r="T2733" s="154">
        <f t="shared" si="210"/>
        <v>3.4399999999999951</v>
      </c>
      <c r="U2733" s="154">
        <f t="shared" si="211"/>
        <v>3.5390404397824153</v>
      </c>
    </row>
    <row r="2734" spans="1:21" x14ac:dyDescent="0.35">
      <c r="A2734" s="108">
        <v>1098</v>
      </c>
      <c r="B2734" s="108">
        <v>2010</v>
      </c>
      <c r="C2734" s="108" t="s">
        <v>38</v>
      </c>
      <c r="D2734" s="108" t="s">
        <v>143</v>
      </c>
      <c r="E2734" s="108" t="s">
        <v>10</v>
      </c>
      <c r="F2734" s="116">
        <v>852</v>
      </c>
      <c r="G2734" s="108" t="s">
        <v>64</v>
      </c>
      <c r="H2734" s="108" t="str">
        <f t="shared" si="212"/>
        <v>Snoqualmie River</v>
      </c>
      <c r="I2734" s="108" t="str">
        <f>IFERROR(VLOOKUP(H2734,LUTs!$A$1:$C$73,2,FALSE),"NA")</f>
        <v>Snohomish/King</v>
      </c>
      <c r="J2734" s="108" t="str">
        <f>IFERROR(VLOOKUP(H2734,LUTs!$A$1:$C$73,3,FALSE),"NA")</f>
        <v>2Central Puget Sound</v>
      </c>
      <c r="K2734" s="108" t="s">
        <v>18</v>
      </c>
      <c r="L2734" s="108" t="str">
        <f>VLOOKUP(K2734,LUTs!E$2:G$14,3,)</f>
        <v>06King</v>
      </c>
      <c r="M2734" s="108" t="str">
        <f>VLOOKUP($K2734,LUTs!$E$2:$H$14,2,)</f>
        <v>South Puget Sound</v>
      </c>
      <c r="N2734" s="108" t="str">
        <f>VLOOKUP($K2734,LUTs!$E$2:$H$14,4,)</f>
        <v>02South Puget Sound</v>
      </c>
      <c r="O2734" s="108">
        <v>129.25</v>
      </c>
      <c r="P2734" s="108">
        <v>1118.0125</v>
      </c>
      <c r="Q2734" s="108">
        <f>SUMIFS('FW_Salmon_by_Month_2010-2021'!P$2:P$3810,'FW_Salmon_by_Month_2010-2021'!$B$2:$B$3810,'Rec_raw_catch_effort_2010-2021'!$B2734,'FW_Salmon_by_Month_2010-2021'!$H$2:$H$3810,'Rec_raw_catch_effort_2010-2021'!$F2734,'FW_Salmon_by_Month_2010-2021'!$M$2:$M$3810,'Rec_raw_catch_effort_2010-2021'!$K2734)</f>
        <v>137.5652173913044</v>
      </c>
      <c r="R2734" s="109">
        <f>VLOOKUP(B2734,Readme!$A$62:$C$74,2,)*Q2734</f>
        <v>663.00311811366078</v>
      </c>
      <c r="S2734" s="140" t="str">
        <f t="shared" si="209"/>
        <v>Y</v>
      </c>
      <c r="T2734" s="154">
        <f t="shared" si="210"/>
        <v>8.65</v>
      </c>
      <c r="U2734" s="154">
        <f t="shared" si="211"/>
        <v>4.8195549041132084</v>
      </c>
    </row>
    <row r="2735" spans="1:21" x14ac:dyDescent="0.35">
      <c r="A2735" s="108">
        <v>1099</v>
      </c>
      <c r="B2735" s="108">
        <v>2010</v>
      </c>
      <c r="C2735" s="108" t="s">
        <v>38</v>
      </c>
      <c r="D2735" s="108" t="s">
        <v>143</v>
      </c>
      <c r="E2735" s="108" t="s">
        <v>10</v>
      </c>
      <c r="F2735" s="116">
        <v>852</v>
      </c>
      <c r="G2735" s="108" t="s">
        <v>64</v>
      </c>
      <c r="H2735" s="108" t="str">
        <f t="shared" si="212"/>
        <v>Snoqualmie River</v>
      </c>
      <c r="I2735" s="108" t="str">
        <f>IFERROR(VLOOKUP(H2735,LUTs!$A$1:$C$73,2,FALSE),"NA")</f>
        <v>Snohomish/King</v>
      </c>
      <c r="J2735" s="108" t="str">
        <f>IFERROR(VLOOKUP(H2735,LUTs!$A$1:$C$73,3,FALSE),"NA")</f>
        <v>2Central Puget Sound</v>
      </c>
      <c r="K2735" s="108" t="s">
        <v>20</v>
      </c>
      <c r="L2735" s="108" t="str">
        <f>VLOOKUP(K2735,LUTs!E$2:G$14,3,)</f>
        <v>07Pierce</v>
      </c>
      <c r="M2735" s="108" t="str">
        <f>VLOOKUP($K2735,LUTs!$E$2:$H$14,2,)</f>
        <v>South Puget Sound</v>
      </c>
      <c r="N2735" s="108" t="str">
        <f>VLOOKUP($K2735,LUTs!$E$2:$H$14,4,)</f>
        <v>02South Puget Sound</v>
      </c>
      <c r="O2735" s="108">
        <v>11.75</v>
      </c>
      <c r="P2735" s="108">
        <v>101.6375</v>
      </c>
      <c r="Q2735" s="108">
        <f>SUMIFS('FW_Salmon_by_Month_2010-2021'!P$2:P$3810,'FW_Salmon_by_Month_2010-2021'!$B$2:$B$3810,'Rec_raw_catch_effort_2010-2021'!$B2735,'FW_Salmon_by_Month_2010-2021'!$H$2:$H$3810,'Rec_raw_catch_effort_2010-2021'!$F2735,'FW_Salmon_by_Month_2010-2021'!$M$2:$M$3810,'Rec_raw_catch_effort_2010-2021'!$K2735)</f>
        <v>0</v>
      </c>
      <c r="R2735" s="109">
        <f>VLOOKUP(B2735,Readme!$A$62:$C$74,2,)*Q2735</f>
        <v>0</v>
      </c>
      <c r="S2735" s="140" t="str">
        <f t="shared" si="209"/>
        <v>Y</v>
      </c>
      <c r="T2735" s="154">
        <f t="shared" si="210"/>
        <v>8.65</v>
      </c>
      <c r="U2735" s="154" t="str">
        <f t="shared" si="211"/>
        <v>NA</v>
      </c>
    </row>
    <row r="2736" spans="1:21" x14ac:dyDescent="0.35">
      <c r="A2736" s="108">
        <v>1097</v>
      </c>
      <c r="B2736" s="108">
        <v>2010</v>
      </c>
      <c r="C2736" s="108" t="s">
        <v>38</v>
      </c>
      <c r="D2736" s="108" t="s">
        <v>143</v>
      </c>
      <c r="E2736" s="108" t="s">
        <v>10</v>
      </c>
      <c r="F2736" s="116">
        <v>852</v>
      </c>
      <c r="G2736" s="108" t="s">
        <v>64</v>
      </c>
      <c r="H2736" s="108" t="str">
        <f t="shared" si="212"/>
        <v>Snoqualmie River</v>
      </c>
      <c r="I2736" s="108" t="str">
        <f>IFERROR(VLOOKUP(H2736,LUTs!$A$1:$C$73,2,FALSE),"NA")</f>
        <v>Snohomish/King</v>
      </c>
      <c r="J2736" s="108" t="str">
        <f>IFERROR(VLOOKUP(H2736,LUTs!$A$1:$C$73,3,FALSE),"NA")</f>
        <v>2Central Puget Sound</v>
      </c>
      <c r="K2736" s="108" t="s">
        <v>16</v>
      </c>
      <c r="L2736" s="108" t="str">
        <f>VLOOKUP(K2736,LUTs!E$2:G$14,3,)</f>
        <v>03Snohomish</v>
      </c>
      <c r="M2736" s="108" t="str">
        <f>VLOOKUP($K2736,LUTs!$E$2:$H$14,2,)</f>
        <v>North Puget Sound</v>
      </c>
      <c r="N2736" s="108" t="str">
        <f>VLOOKUP($K2736,LUTs!$E$2:$H$14,4,)</f>
        <v>01North Puget Sound</v>
      </c>
      <c r="O2736" s="108">
        <v>47</v>
      </c>
      <c r="P2736" s="108">
        <v>406.55</v>
      </c>
      <c r="Q2736" s="108">
        <f>SUMIFS('FW_Salmon_by_Month_2010-2021'!P$2:P$3810,'FW_Salmon_by_Month_2010-2021'!$B$2:$B$3810,'Rec_raw_catch_effort_2010-2021'!$B2736,'FW_Salmon_by_Month_2010-2021'!$H$2:$H$3810,'Rec_raw_catch_effort_2010-2021'!$F2736,'FW_Salmon_by_Month_2010-2021'!$M$2:$M$3810,'Rec_raw_catch_effort_2010-2021'!$K2736)</f>
        <v>50.434782608695699</v>
      </c>
      <c r="R2736" s="109">
        <f>VLOOKUP(B2736,Readme!$A$62:$C$74,2,)*Q2736</f>
        <v>243.07320385962291</v>
      </c>
      <c r="S2736" s="140" t="str">
        <f t="shared" si="209"/>
        <v>Y</v>
      </c>
      <c r="T2736" s="154">
        <f t="shared" si="210"/>
        <v>8.65</v>
      </c>
      <c r="U2736" s="154">
        <f t="shared" si="211"/>
        <v>4.8195549041132084</v>
      </c>
    </row>
    <row r="2737" spans="1:21" x14ac:dyDescent="0.35">
      <c r="A2737" s="108">
        <v>1175</v>
      </c>
      <c r="B2737" s="108">
        <v>2011</v>
      </c>
      <c r="C2737" s="108" t="s">
        <v>38</v>
      </c>
      <c r="D2737" s="108" t="s">
        <v>143</v>
      </c>
      <c r="E2737" s="108" t="s">
        <v>10</v>
      </c>
      <c r="F2737" s="116">
        <v>852</v>
      </c>
      <c r="G2737" s="108" t="s">
        <v>64</v>
      </c>
      <c r="H2737" s="108" t="str">
        <f t="shared" si="212"/>
        <v>Snoqualmie River</v>
      </c>
      <c r="I2737" s="108" t="str">
        <f>IFERROR(VLOOKUP(H2737,LUTs!$A$1:$C$73,2,FALSE),"NA")</f>
        <v>Snohomish/King</v>
      </c>
      <c r="J2737" s="108" t="str">
        <f>IFERROR(VLOOKUP(H2737,LUTs!$A$1:$C$73,3,FALSE),"NA")</f>
        <v>2Central Puget Sound</v>
      </c>
      <c r="K2737" s="108" t="s">
        <v>18</v>
      </c>
      <c r="L2737" s="108" t="str">
        <f>VLOOKUP(K2737,LUTs!E$2:G$14,3,)</f>
        <v>06King</v>
      </c>
      <c r="M2737" s="108" t="str">
        <f>VLOOKUP($K2737,LUTs!$E$2:$H$14,2,)</f>
        <v>South Puget Sound</v>
      </c>
      <c r="N2737" s="108" t="str">
        <f>VLOOKUP($K2737,LUTs!$E$2:$H$14,4,)</f>
        <v>02South Puget Sound</v>
      </c>
      <c r="O2737" s="108">
        <v>713.686567164179</v>
      </c>
      <c r="P2737" s="108">
        <v>2455.0817910447799</v>
      </c>
      <c r="Q2737" s="108">
        <f>SUMIFS('FW_Salmon_by_Month_2010-2021'!P$2:P$3810,'FW_Salmon_by_Month_2010-2021'!$B$2:$B$3810,'Rec_raw_catch_effort_2010-2021'!$B2737,'FW_Salmon_by_Month_2010-2021'!$H$2:$H$3810,'Rec_raw_catch_effort_2010-2021'!$F2737,'FW_Salmon_by_Month_2010-2021'!$M$2:$M$3810,'Rec_raw_catch_effort_2010-2021'!$K2737)</f>
        <v>738.56614550760901</v>
      </c>
      <c r="R2737" s="109">
        <f>VLOOKUP(B2737,Readme!$A$62:$C$74,2,)*Q2737</f>
        <v>2613.8154564056517</v>
      </c>
      <c r="S2737" s="140" t="str">
        <f t="shared" si="209"/>
        <v>Y</v>
      </c>
      <c r="T2737" s="154">
        <f t="shared" si="210"/>
        <v>3.4400000000000057</v>
      </c>
      <c r="U2737" s="154">
        <f t="shared" si="211"/>
        <v>3.5390404397824149</v>
      </c>
    </row>
    <row r="2738" spans="1:21" x14ac:dyDescent="0.35">
      <c r="A2738" s="108">
        <v>1176</v>
      </c>
      <c r="B2738" s="108">
        <v>2011</v>
      </c>
      <c r="C2738" s="108" t="s">
        <v>38</v>
      </c>
      <c r="D2738" s="108" t="s">
        <v>143</v>
      </c>
      <c r="E2738" s="108" t="s">
        <v>10</v>
      </c>
      <c r="F2738" s="116">
        <v>852</v>
      </c>
      <c r="G2738" s="108" t="s">
        <v>64</v>
      </c>
      <c r="H2738" s="108" t="str">
        <f t="shared" si="212"/>
        <v>Snoqualmie River</v>
      </c>
      <c r="I2738" s="108" t="str">
        <f>IFERROR(VLOOKUP(H2738,LUTs!$A$1:$C$73,2,FALSE),"NA")</f>
        <v>Snohomish/King</v>
      </c>
      <c r="J2738" s="108" t="str">
        <f>IFERROR(VLOOKUP(H2738,LUTs!$A$1:$C$73,3,FALSE),"NA")</f>
        <v>2Central Puget Sound</v>
      </c>
      <c r="K2738" s="108" t="s">
        <v>26</v>
      </c>
      <c r="L2738" s="108" t="str">
        <f>VLOOKUP(K2738,LUTs!E$2:G$14,3,)</f>
        <v>20Other</v>
      </c>
      <c r="M2738" s="108" t="str">
        <f>VLOOKUP($K2738,LUTs!$E$2:$H$14,2,)</f>
        <v>Non Puget Sound</v>
      </c>
      <c r="N2738" s="108" t="str">
        <f>VLOOKUP($K2738,LUTs!$E$2:$H$14,4,)</f>
        <v>07Non Puget Sound</v>
      </c>
      <c r="O2738" s="108">
        <v>50.462686567164198</v>
      </c>
      <c r="P2738" s="108">
        <v>173.59164179104499</v>
      </c>
      <c r="Q2738" s="108">
        <f>SUMIFS('FW_Salmon_by_Month_2010-2021'!P$2:P$3810,'FW_Salmon_by_Month_2010-2021'!$B$2:$B$3810,'Rec_raw_catch_effort_2010-2021'!$B2738,'FW_Salmon_by_Month_2010-2021'!$H$2:$H$3810,'Rec_raw_catch_effort_2010-2021'!$F2738,'FW_Salmon_by_Month_2010-2021'!$M$2:$M$3810,'Rec_raw_catch_effort_2010-2021'!$K2738)</f>
        <v>53.415384615384603</v>
      </c>
      <c r="R2738" s="109">
        <f>VLOOKUP(B2738,Readme!$A$62:$C$74,2,)*Q2738</f>
        <v>189.0392062603776</v>
      </c>
      <c r="S2738" s="140" t="str">
        <f t="shared" si="209"/>
        <v>Y</v>
      </c>
      <c r="T2738" s="154">
        <f t="shared" si="210"/>
        <v>3.4400000000000031</v>
      </c>
      <c r="U2738" s="154">
        <f t="shared" si="211"/>
        <v>3.5390404397824153</v>
      </c>
    </row>
    <row r="2739" spans="1:21" x14ac:dyDescent="0.35">
      <c r="A2739" s="108">
        <v>1174</v>
      </c>
      <c r="B2739" s="108">
        <v>2011</v>
      </c>
      <c r="C2739" s="108" t="s">
        <v>38</v>
      </c>
      <c r="D2739" s="108" t="s">
        <v>143</v>
      </c>
      <c r="E2739" s="108" t="s">
        <v>10</v>
      </c>
      <c r="F2739" s="116">
        <v>852</v>
      </c>
      <c r="G2739" s="108" t="s">
        <v>64</v>
      </c>
      <c r="H2739" s="108" t="str">
        <f t="shared" si="212"/>
        <v>Snoqualmie River</v>
      </c>
      <c r="I2739" s="108" t="str">
        <f>IFERROR(VLOOKUP(H2739,LUTs!$A$1:$C$73,2,FALSE),"NA")</f>
        <v>Snohomish/King</v>
      </c>
      <c r="J2739" s="108" t="str">
        <f>IFERROR(VLOOKUP(H2739,LUTs!$A$1:$C$73,3,FALSE),"NA")</f>
        <v>2Central Puget Sound</v>
      </c>
      <c r="K2739" s="108" t="s">
        <v>16</v>
      </c>
      <c r="L2739" s="108" t="str">
        <f>VLOOKUP(K2739,LUTs!E$2:G$14,3,)</f>
        <v>03Snohomish</v>
      </c>
      <c r="M2739" s="108" t="str">
        <f>VLOOKUP($K2739,LUTs!$E$2:$H$14,2,)</f>
        <v>North Puget Sound</v>
      </c>
      <c r="N2739" s="108" t="str">
        <f>VLOOKUP($K2739,LUTs!$E$2:$H$14,4,)</f>
        <v>01North Puget Sound</v>
      </c>
      <c r="O2739" s="108">
        <v>201.85074626865699</v>
      </c>
      <c r="P2739" s="108">
        <v>694.36656716417997</v>
      </c>
      <c r="Q2739" s="108">
        <f>SUMIFS('FW_Salmon_by_Month_2010-2021'!P$2:P$3810,'FW_Salmon_by_Month_2010-2021'!$B$2:$B$3810,'Rec_raw_catch_effort_2010-2021'!$B2739,'FW_Salmon_by_Month_2010-2021'!$H$2:$H$3810,'Rec_raw_catch_effort_2010-2021'!$F2739,'FW_Salmon_by_Month_2010-2021'!$M$2:$M$3810,'Rec_raw_catch_effort_2010-2021'!$K2739)</f>
        <v>174.01846987700654</v>
      </c>
      <c r="R2739" s="109">
        <f>VLOOKUP(B2739,Readme!$A$62:$C$74,2,)*Q2739</f>
        <v>615.85840216378426</v>
      </c>
      <c r="S2739" s="140" t="str">
        <f t="shared" si="209"/>
        <v>Y</v>
      </c>
      <c r="T2739" s="154">
        <f t="shared" si="210"/>
        <v>3.4399999999999995</v>
      </c>
      <c r="U2739" s="154">
        <f t="shared" si="211"/>
        <v>3.5390404397824158</v>
      </c>
    </row>
    <row r="2740" spans="1:21" x14ac:dyDescent="0.35">
      <c r="A2740" s="108">
        <v>1178</v>
      </c>
      <c r="B2740" s="108">
        <v>2012</v>
      </c>
      <c r="C2740" s="108" t="s">
        <v>38</v>
      </c>
      <c r="D2740" s="108" t="s">
        <v>143</v>
      </c>
      <c r="E2740" s="108" t="s">
        <v>10</v>
      </c>
      <c r="F2740" s="116">
        <v>852</v>
      </c>
      <c r="G2740" s="108" t="s">
        <v>64</v>
      </c>
      <c r="H2740" s="108" t="str">
        <f t="shared" si="212"/>
        <v>Snoqualmie River</v>
      </c>
      <c r="I2740" s="108" t="str">
        <f>IFERROR(VLOOKUP(H2740,LUTs!$A$1:$C$73,2,FALSE),"NA")</f>
        <v>Snohomish/King</v>
      </c>
      <c r="J2740" s="108" t="str">
        <f>IFERROR(VLOOKUP(H2740,LUTs!$A$1:$C$73,3,FALSE),"NA")</f>
        <v>2Central Puget Sound</v>
      </c>
      <c r="K2740" s="108" t="s">
        <v>18</v>
      </c>
      <c r="L2740" s="108" t="str">
        <f>VLOOKUP(K2740,LUTs!E$2:G$14,3,)</f>
        <v>06King</v>
      </c>
      <c r="M2740" s="108" t="str">
        <f>VLOOKUP($K2740,LUTs!$E$2:$H$14,2,)</f>
        <v>South Puget Sound</v>
      </c>
      <c r="N2740" s="108" t="str">
        <f>VLOOKUP($K2740,LUTs!$E$2:$H$14,4,)</f>
        <v>02South Puget Sound</v>
      </c>
      <c r="O2740" s="108">
        <v>513.10344827586198</v>
      </c>
      <c r="P2740" s="108">
        <v>4438.3448275862102</v>
      </c>
      <c r="Q2740" s="108">
        <f>SUMIFS('FW_Salmon_by_Month_2010-2021'!P$2:P$3810,'FW_Salmon_by_Month_2010-2021'!$B$2:$B$3810,'Rec_raw_catch_effort_2010-2021'!$B2740,'FW_Salmon_by_Month_2010-2021'!$H$2:$H$3810,'Rec_raw_catch_effort_2010-2021'!$F2740,'FW_Salmon_by_Month_2010-2021'!$M$2:$M$3810,'Rec_raw_catch_effort_2010-2021'!$K2740)</f>
        <v>513.36454849498398</v>
      </c>
      <c r="R2740" s="109">
        <f>VLOOKUP(B2740,Readme!$A$62:$C$74,2,)*Q2740</f>
        <v>2474.1886272968632</v>
      </c>
      <c r="S2740" s="140" t="str">
        <f t="shared" si="209"/>
        <v>Y</v>
      </c>
      <c r="T2740" s="154">
        <f t="shared" si="210"/>
        <v>8.6500000000000075</v>
      </c>
      <c r="U2740" s="154">
        <f t="shared" si="211"/>
        <v>4.8195549041132084</v>
      </c>
    </row>
    <row r="2741" spans="1:21" x14ac:dyDescent="0.35">
      <c r="A2741" s="108">
        <v>1179</v>
      </c>
      <c r="B2741" s="108">
        <v>2012</v>
      </c>
      <c r="C2741" s="108" t="s">
        <v>38</v>
      </c>
      <c r="D2741" s="108" t="s">
        <v>143</v>
      </c>
      <c r="E2741" s="108" t="s">
        <v>10</v>
      </c>
      <c r="F2741" s="116">
        <v>852</v>
      </c>
      <c r="G2741" s="108" t="s">
        <v>64</v>
      </c>
      <c r="H2741" s="108" t="str">
        <f t="shared" si="212"/>
        <v>Snoqualmie River</v>
      </c>
      <c r="I2741" s="108" t="str">
        <f>IFERROR(VLOOKUP(H2741,LUTs!$A$1:$C$73,2,FALSE),"NA")</f>
        <v>Snohomish/King</v>
      </c>
      <c r="J2741" s="108" t="str">
        <f>IFERROR(VLOOKUP(H2741,LUTs!$A$1:$C$73,3,FALSE),"NA")</f>
        <v>2Central Puget Sound</v>
      </c>
      <c r="K2741" s="108" t="s">
        <v>26</v>
      </c>
      <c r="L2741" s="108" t="str">
        <f>VLOOKUP(K2741,LUTs!E$2:G$14,3,)</f>
        <v>20Other</v>
      </c>
      <c r="M2741" s="108" t="str">
        <f>VLOOKUP($K2741,LUTs!$E$2:$H$14,2,)</f>
        <v>Non Puget Sound</v>
      </c>
      <c r="N2741" s="108" t="str">
        <f>VLOOKUP($K2741,LUTs!$E$2:$H$14,4,)</f>
        <v>07Non Puget Sound</v>
      </c>
      <c r="O2741" s="108">
        <v>49.885057471264403</v>
      </c>
      <c r="P2741" s="108">
        <v>431.50574712643697</v>
      </c>
      <c r="Q2741" s="108">
        <f>SUMIFS('FW_Salmon_by_Month_2010-2021'!P$2:P$3810,'FW_Salmon_by_Month_2010-2021'!$B$2:$B$3810,'Rec_raw_catch_effort_2010-2021'!$B2741,'FW_Salmon_by_Month_2010-2021'!$H$2:$H$3810,'Rec_raw_catch_effort_2010-2021'!$F2741,'FW_Salmon_by_Month_2010-2021'!$M$2:$M$3810,'Rec_raw_catch_effort_2010-2021'!$K2741)</f>
        <v>49.607023411371202</v>
      </c>
      <c r="R2741" s="109">
        <f>VLOOKUP(B2741,Readme!$A$62:$C$74,2,)*Q2741</f>
        <v>239.08377296073283</v>
      </c>
      <c r="S2741" s="140" t="str">
        <f t="shared" si="209"/>
        <v>Y</v>
      </c>
      <c r="T2741" s="154">
        <f t="shared" si="210"/>
        <v>8.6499999999999968</v>
      </c>
      <c r="U2741" s="154">
        <f t="shared" si="211"/>
        <v>4.8195549041132084</v>
      </c>
    </row>
    <row r="2742" spans="1:21" x14ac:dyDescent="0.35">
      <c r="A2742" s="108">
        <v>1177</v>
      </c>
      <c r="B2742" s="108">
        <v>2012</v>
      </c>
      <c r="C2742" s="108" t="s">
        <v>38</v>
      </c>
      <c r="D2742" s="108" t="s">
        <v>143</v>
      </c>
      <c r="E2742" s="108" t="s">
        <v>10</v>
      </c>
      <c r="F2742" s="116">
        <v>852</v>
      </c>
      <c r="G2742" s="108" t="s">
        <v>64</v>
      </c>
      <c r="H2742" s="108" t="str">
        <f t="shared" si="212"/>
        <v>Snoqualmie River</v>
      </c>
      <c r="I2742" s="108" t="str">
        <f>IFERROR(VLOOKUP(H2742,LUTs!$A$1:$C$73,2,FALSE),"NA")</f>
        <v>Snohomish/King</v>
      </c>
      <c r="J2742" s="108" t="str">
        <f>IFERROR(VLOOKUP(H2742,LUTs!$A$1:$C$73,3,FALSE),"NA")</f>
        <v>2Central Puget Sound</v>
      </c>
      <c r="K2742" s="108" t="s">
        <v>16</v>
      </c>
      <c r="L2742" s="108" t="str">
        <f>VLOOKUP(K2742,LUTs!E$2:G$14,3,)</f>
        <v>03Snohomish</v>
      </c>
      <c r="M2742" s="108" t="str">
        <f>VLOOKUP($K2742,LUTs!$E$2:$H$14,2,)</f>
        <v>North Puget Sound</v>
      </c>
      <c r="N2742" s="108" t="str">
        <f>VLOOKUP($K2742,LUTs!$E$2:$H$14,4,)</f>
        <v>01North Puget Sound</v>
      </c>
      <c r="O2742" s="108">
        <v>57.011494252873597</v>
      </c>
      <c r="P2742" s="108">
        <v>493.14942528735702</v>
      </c>
      <c r="Q2742" s="108">
        <f>SUMIFS('FW_Salmon_by_Month_2010-2021'!P$2:P$3810,'FW_Salmon_by_Month_2010-2021'!$B$2:$B$3810,'Rec_raw_catch_effort_2010-2021'!$B2742,'FW_Salmon_by_Month_2010-2021'!$H$2:$H$3810,'Rec_raw_catch_effort_2010-2021'!$F2742,'FW_Salmon_by_Month_2010-2021'!$M$2:$M$3810,'Rec_raw_catch_effort_2010-2021'!$K2742)</f>
        <v>57.028428093645523</v>
      </c>
      <c r="R2742" s="109">
        <f>VLOOKUP(B2742,Readme!$A$62:$C$74,2,)*Q2742</f>
        <v>274.85164029259676</v>
      </c>
      <c r="S2742" s="140" t="str">
        <f t="shared" si="209"/>
        <v>Y</v>
      </c>
      <c r="T2742" s="154">
        <f t="shared" si="210"/>
        <v>8.6500000000000075</v>
      </c>
      <c r="U2742" s="154">
        <f t="shared" si="211"/>
        <v>4.8195549041132084</v>
      </c>
    </row>
    <row r="2743" spans="1:21" x14ac:dyDescent="0.35">
      <c r="A2743" s="108">
        <v>1181</v>
      </c>
      <c r="B2743" s="108">
        <v>2013</v>
      </c>
      <c r="C2743" s="108" t="s">
        <v>38</v>
      </c>
      <c r="D2743" s="108" t="s">
        <v>143</v>
      </c>
      <c r="E2743" s="108" t="s">
        <v>10</v>
      </c>
      <c r="F2743" s="116">
        <v>852</v>
      </c>
      <c r="G2743" s="108" t="s">
        <v>64</v>
      </c>
      <c r="H2743" s="108" t="str">
        <f t="shared" si="212"/>
        <v>Snoqualmie River</v>
      </c>
      <c r="I2743" s="108" t="str">
        <f>IFERROR(VLOOKUP(H2743,LUTs!$A$1:$C$73,2,FALSE),"NA")</f>
        <v>Snohomish/King</v>
      </c>
      <c r="J2743" s="108" t="str">
        <f>IFERROR(VLOOKUP(H2743,LUTs!$A$1:$C$73,3,FALSE),"NA")</f>
        <v>2Central Puget Sound</v>
      </c>
      <c r="K2743" s="108" t="s">
        <v>17</v>
      </c>
      <c r="L2743" s="108" t="str">
        <f>VLOOKUP(K2743,LUTs!E$2:G$14,3,)</f>
        <v>04Island</v>
      </c>
      <c r="M2743" s="108" t="str">
        <f>VLOOKUP($K2743,LUTs!$E$2:$H$14,2,)</f>
        <v>North Puget Sound</v>
      </c>
      <c r="N2743" s="108" t="str">
        <f>VLOOKUP($K2743,LUTs!$E$2:$H$14,4,)</f>
        <v>01North Puget Sound</v>
      </c>
      <c r="O2743" s="108">
        <v>54.467661691542297</v>
      </c>
      <c r="P2743" s="108">
        <v>187.36875621890599</v>
      </c>
      <c r="Q2743" s="108">
        <f>SUMIFS('FW_Salmon_by_Month_2010-2021'!P$2:P$3810,'FW_Salmon_by_Month_2010-2021'!$B$2:$B$3810,'Rec_raw_catch_effort_2010-2021'!$B2743,'FW_Salmon_by_Month_2010-2021'!$H$2:$H$3810,'Rec_raw_catch_effort_2010-2021'!$F2743,'FW_Salmon_by_Month_2010-2021'!$M$2:$M$3810,'Rec_raw_catch_effort_2010-2021'!$K2743)</f>
        <v>62.153846153846203</v>
      </c>
      <c r="R2743" s="109">
        <f>VLOOKUP(B2743,Readme!$A$62:$C$74,2,)*Q2743</f>
        <v>219.96497502647645</v>
      </c>
      <c r="S2743" s="140" t="str">
        <f t="shared" si="209"/>
        <v>Y</v>
      </c>
      <c r="T2743" s="154">
        <f t="shared" si="210"/>
        <v>3.4400000000000088</v>
      </c>
      <c r="U2743" s="154">
        <f t="shared" si="211"/>
        <v>3.5390404397824153</v>
      </c>
    </row>
    <row r="2744" spans="1:21" x14ac:dyDescent="0.35">
      <c r="A2744" s="108">
        <v>1182</v>
      </c>
      <c r="B2744" s="108">
        <v>2013</v>
      </c>
      <c r="C2744" s="108" t="s">
        <v>38</v>
      </c>
      <c r="D2744" s="108" t="s">
        <v>143</v>
      </c>
      <c r="E2744" s="108" t="s">
        <v>10</v>
      </c>
      <c r="F2744" s="116">
        <v>852</v>
      </c>
      <c r="G2744" s="108" t="s">
        <v>64</v>
      </c>
      <c r="H2744" s="108" t="str">
        <f t="shared" si="212"/>
        <v>Snoqualmie River</v>
      </c>
      <c r="I2744" s="108" t="str">
        <f>IFERROR(VLOOKUP(H2744,LUTs!$A$1:$C$73,2,FALSE),"NA")</f>
        <v>Snohomish/King</v>
      </c>
      <c r="J2744" s="108" t="str">
        <f>IFERROR(VLOOKUP(H2744,LUTs!$A$1:$C$73,3,FALSE),"NA")</f>
        <v>2Central Puget Sound</v>
      </c>
      <c r="K2744" s="108" t="s">
        <v>18</v>
      </c>
      <c r="L2744" s="108" t="str">
        <f>VLOOKUP(K2744,LUTs!E$2:G$14,3,)</f>
        <v>06King</v>
      </c>
      <c r="M2744" s="108" t="str">
        <f>VLOOKUP($K2744,LUTs!$E$2:$H$14,2,)</f>
        <v>South Puget Sound</v>
      </c>
      <c r="N2744" s="108" t="str">
        <f>VLOOKUP($K2744,LUTs!$E$2:$H$14,4,)</f>
        <v>02South Puget Sound</v>
      </c>
      <c r="O2744" s="108">
        <v>949.29353233830898</v>
      </c>
      <c r="P2744" s="108">
        <v>3265.56975124378</v>
      </c>
      <c r="Q2744" s="108">
        <f>SUMIFS('FW_Salmon_by_Month_2010-2021'!P$2:P$3810,'FW_Salmon_by_Month_2010-2021'!$B$2:$B$3810,'Rec_raw_catch_effort_2010-2021'!$B2744,'FW_Salmon_by_Month_2010-2021'!$H$2:$H$3810,'Rec_raw_catch_effort_2010-2021'!$F2744,'FW_Salmon_by_Month_2010-2021'!$M$2:$M$3810,'Rec_raw_catch_effort_2010-2021'!$K2744)</f>
        <v>1007.6063081355862</v>
      </c>
      <c r="R2744" s="109">
        <f>VLOOKUP(B2744,Readme!$A$62:$C$74,2,)*Q2744</f>
        <v>3565.9594718717012</v>
      </c>
      <c r="S2744" s="140" t="str">
        <f t="shared" si="209"/>
        <v>Y</v>
      </c>
      <c r="T2744" s="154">
        <f t="shared" si="210"/>
        <v>3.4399999999999968</v>
      </c>
      <c r="U2744" s="154">
        <f t="shared" si="211"/>
        <v>3.5390404397824158</v>
      </c>
    </row>
    <row r="2745" spans="1:21" x14ac:dyDescent="0.35">
      <c r="A2745" s="108">
        <v>1184</v>
      </c>
      <c r="B2745" s="108">
        <v>2013</v>
      </c>
      <c r="C2745" s="108" t="s">
        <v>38</v>
      </c>
      <c r="D2745" s="108" t="s">
        <v>143</v>
      </c>
      <c r="E2745" s="108" t="s">
        <v>10</v>
      </c>
      <c r="F2745" s="116">
        <v>852</v>
      </c>
      <c r="G2745" s="108" t="s">
        <v>64</v>
      </c>
      <c r="H2745" s="108" t="str">
        <f t="shared" si="212"/>
        <v>Snoqualmie River</v>
      </c>
      <c r="I2745" s="108" t="str">
        <f>IFERROR(VLOOKUP(H2745,LUTs!$A$1:$C$73,2,FALSE),"NA")</f>
        <v>Snohomish/King</v>
      </c>
      <c r="J2745" s="108" t="str">
        <f>IFERROR(VLOOKUP(H2745,LUTs!$A$1:$C$73,3,FALSE),"NA")</f>
        <v>2Central Puget Sound</v>
      </c>
      <c r="K2745" s="108" t="s">
        <v>26</v>
      </c>
      <c r="L2745" s="108" t="str">
        <f>VLOOKUP(K2745,LUTs!E$2:G$14,3,)</f>
        <v>20Other</v>
      </c>
      <c r="M2745" s="108" t="str">
        <f>VLOOKUP($K2745,LUTs!$E$2:$H$14,2,)</f>
        <v>Non Puget Sound</v>
      </c>
      <c r="N2745" s="108" t="str">
        <f>VLOOKUP($K2745,LUTs!$E$2:$H$14,4,)</f>
        <v>07Non Puget Sound</v>
      </c>
      <c r="O2745" s="108">
        <v>287.90049751243799</v>
      </c>
      <c r="P2745" s="108">
        <v>990.37771144278702</v>
      </c>
      <c r="Q2745" s="108">
        <f>SUMIFS('FW_Salmon_by_Month_2010-2021'!P$2:P$3810,'FW_Salmon_by_Month_2010-2021'!$B$2:$B$3810,'Rec_raw_catch_effort_2010-2021'!$B2745,'FW_Salmon_by_Month_2010-2021'!$H$2:$H$3810,'Rec_raw_catch_effort_2010-2021'!$F2745,'FW_Salmon_by_Month_2010-2021'!$M$2:$M$3810,'Rec_raw_catch_effort_2010-2021'!$K2745)</f>
        <v>328.56469002695428</v>
      </c>
      <c r="R2745" s="109">
        <f>VLOOKUP(B2745,Readme!$A$62:$C$74,2,)*Q2745</f>
        <v>1162.8037250899652</v>
      </c>
      <c r="S2745" s="140" t="str">
        <f t="shared" si="209"/>
        <v>Y</v>
      </c>
      <c r="T2745" s="154">
        <f t="shared" si="210"/>
        <v>3.4400000000000013</v>
      </c>
      <c r="U2745" s="154">
        <f t="shared" si="211"/>
        <v>3.5390404397824149</v>
      </c>
    </row>
    <row r="2746" spans="1:21" x14ac:dyDescent="0.35">
      <c r="A2746" s="108">
        <v>1183</v>
      </c>
      <c r="B2746" s="108">
        <v>2013</v>
      </c>
      <c r="C2746" s="108" t="s">
        <v>38</v>
      </c>
      <c r="D2746" s="108" t="s">
        <v>143</v>
      </c>
      <c r="E2746" s="108" t="s">
        <v>10</v>
      </c>
      <c r="F2746" s="116">
        <v>852</v>
      </c>
      <c r="G2746" s="108" t="s">
        <v>64</v>
      </c>
      <c r="H2746" s="108" t="str">
        <f t="shared" si="212"/>
        <v>Snoqualmie River</v>
      </c>
      <c r="I2746" s="108" t="str">
        <f>IFERROR(VLOOKUP(H2746,LUTs!$A$1:$C$73,2,FALSE),"NA")</f>
        <v>Snohomish/King</v>
      </c>
      <c r="J2746" s="108" t="str">
        <f>IFERROR(VLOOKUP(H2746,LUTs!$A$1:$C$73,3,FALSE),"NA")</f>
        <v>2Central Puget Sound</v>
      </c>
      <c r="K2746" s="108" t="s">
        <v>20</v>
      </c>
      <c r="L2746" s="108" t="str">
        <f>VLOOKUP(K2746,LUTs!E$2:G$14,3,)</f>
        <v>07Pierce</v>
      </c>
      <c r="M2746" s="108" t="str">
        <f>VLOOKUP($K2746,LUTs!$E$2:$H$14,2,)</f>
        <v>South Puget Sound</v>
      </c>
      <c r="N2746" s="108" t="str">
        <f>VLOOKUP($K2746,LUTs!$E$2:$H$14,4,)</f>
        <v>02South Puget Sound</v>
      </c>
      <c r="O2746" s="108">
        <v>46.686567164179102</v>
      </c>
      <c r="P2746" s="108">
        <v>160.60179104477601</v>
      </c>
      <c r="Q2746" s="108">
        <f>SUMIFS('FW_Salmon_by_Month_2010-2021'!P$2:P$3810,'FW_Salmon_by_Month_2010-2021'!$B$2:$B$3810,'Rec_raw_catch_effort_2010-2021'!$B2746,'FW_Salmon_by_Month_2010-2021'!$H$2:$H$3810,'Rec_raw_catch_effort_2010-2021'!$F2746,'FW_Salmon_by_Month_2010-2021'!$M$2:$M$3810,'Rec_raw_catch_effort_2010-2021'!$K2746)</f>
        <v>7.4482758620689697</v>
      </c>
      <c r="R2746" s="109">
        <f>VLOOKUP(B2746,Readme!$A$62:$C$74,2,)*Q2746</f>
        <v>26.359749482517316</v>
      </c>
      <c r="S2746" s="140" t="str">
        <f t="shared" si="209"/>
        <v>Y</v>
      </c>
      <c r="T2746" s="154">
        <f t="shared" si="210"/>
        <v>3.4399999999999977</v>
      </c>
      <c r="U2746" s="154">
        <f t="shared" si="211"/>
        <v>3.5390404397824153</v>
      </c>
    </row>
    <row r="2747" spans="1:21" x14ac:dyDescent="0.35">
      <c r="A2747" s="108">
        <v>1180</v>
      </c>
      <c r="B2747" s="108">
        <v>2013</v>
      </c>
      <c r="C2747" s="108" t="s">
        <v>38</v>
      </c>
      <c r="D2747" s="108" t="s">
        <v>143</v>
      </c>
      <c r="E2747" s="108" t="s">
        <v>10</v>
      </c>
      <c r="F2747" s="116">
        <v>852</v>
      </c>
      <c r="G2747" s="108" t="s">
        <v>64</v>
      </c>
      <c r="H2747" s="108" t="str">
        <f t="shared" si="212"/>
        <v>Snoqualmie River</v>
      </c>
      <c r="I2747" s="108" t="str">
        <f>IFERROR(VLOOKUP(H2747,LUTs!$A$1:$C$73,2,FALSE),"NA")</f>
        <v>Snohomish/King</v>
      </c>
      <c r="J2747" s="108" t="str">
        <f>IFERROR(VLOOKUP(H2747,LUTs!$A$1:$C$73,3,FALSE),"NA")</f>
        <v>2Central Puget Sound</v>
      </c>
      <c r="K2747" s="108" t="s">
        <v>16</v>
      </c>
      <c r="L2747" s="108" t="str">
        <f>VLOOKUP(K2747,LUTs!E$2:G$14,3,)</f>
        <v>03Snohomish</v>
      </c>
      <c r="M2747" s="108" t="str">
        <f>VLOOKUP($K2747,LUTs!$E$2:$H$14,2,)</f>
        <v>North Puget Sound</v>
      </c>
      <c r="N2747" s="108" t="str">
        <f>VLOOKUP($K2747,LUTs!$E$2:$H$14,4,)</f>
        <v>01North Puget Sound</v>
      </c>
      <c r="O2747" s="108">
        <v>225.65174129353201</v>
      </c>
      <c r="P2747" s="108">
        <v>776.24199004975003</v>
      </c>
      <c r="Q2747" s="108">
        <f>SUMIFS('FW_Salmon_by_Month_2010-2021'!P$2:P$3810,'FW_Salmon_by_Month_2010-2021'!$B$2:$B$3810,'Rec_raw_catch_effort_2010-2021'!$B2747,'FW_Salmon_by_Month_2010-2021'!$H$2:$H$3810,'Rec_raw_catch_effort_2010-2021'!$F2747,'FW_Salmon_by_Month_2010-2021'!$M$2:$M$3810,'Rec_raw_catch_effort_2010-2021'!$K2747)</f>
        <v>158.2268798215444</v>
      </c>
      <c r="R2747" s="109">
        <f>VLOOKUP(B2747,Readme!$A$62:$C$74,2,)*Q2747</f>
        <v>559.97132634903789</v>
      </c>
      <c r="S2747" s="140" t="str">
        <f t="shared" si="209"/>
        <v>Y</v>
      </c>
      <c r="T2747" s="154">
        <f t="shared" si="210"/>
        <v>3.4399999999999995</v>
      </c>
      <c r="U2747" s="154">
        <f t="shared" si="211"/>
        <v>3.5390404397824153</v>
      </c>
    </row>
    <row r="2748" spans="1:21" x14ac:dyDescent="0.35">
      <c r="A2748" s="108">
        <v>38</v>
      </c>
      <c r="B2748" s="108">
        <v>2014</v>
      </c>
      <c r="C2748" s="108" t="s">
        <v>38</v>
      </c>
      <c r="D2748" s="108" t="s">
        <v>143</v>
      </c>
      <c r="E2748" s="108" t="s">
        <v>10</v>
      </c>
      <c r="F2748" s="116">
        <v>852</v>
      </c>
      <c r="G2748" s="108" t="s">
        <v>64</v>
      </c>
      <c r="H2748" s="108" t="str">
        <f t="shared" si="212"/>
        <v>Snoqualmie River</v>
      </c>
      <c r="I2748" s="108" t="str">
        <f>IFERROR(VLOOKUP(H2748,LUTs!$A$1:$C$73,2,FALSE),"NA")</f>
        <v>Snohomish/King</v>
      </c>
      <c r="J2748" s="108" t="str">
        <f>IFERROR(VLOOKUP(H2748,LUTs!$A$1:$C$73,3,FALSE),"NA")</f>
        <v>2Central Puget Sound</v>
      </c>
      <c r="K2748" s="108" t="s">
        <v>18</v>
      </c>
      <c r="L2748" s="108" t="str">
        <f>VLOOKUP(K2748,LUTs!E$2:G$14,3,)</f>
        <v>06King</v>
      </c>
      <c r="M2748" s="108" t="str">
        <f>VLOOKUP($K2748,LUTs!$E$2:$H$14,2,)</f>
        <v>South Puget Sound</v>
      </c>
      <c r="N2748" s="108" t="str">
        <f>VLOOKUP($K2748,LUTs!$E$2:$H$14,4,)</f>
        <v>02South Puget Sound</v>
      </c>
      <c r="O2748" s="108">
        <v>63.75</v>
      </c>
      <c r="P2748" s="108">
        <v>551.4375</v>
      </c>
      <c r="Q2748" s="108">
        <f>SUMIFS('FW_Salmon_by_Month_2010-2021'!P$2:P$3810,'FW_Salmon_by_Month_2010-2021'!$B$2:$B$3810,'Rec_raw_catch_effort_2010-2021'!$B2748,'FW_Salmon_by_Month_2010-2021'!$H$2:$H$3810,'Rec_raw_catch_effort_2010-2021'!$F2748,'FW_Salmon_by_Month_2010-2021'!$M$2:$M$3810,'Rec_raw_catch_effort_2010-2021'!$K2748)</f>
        <v>63.6666666666667</v>
      </c>
      <c r="R2748" s="109">
        <f>VLOOKUP(B2748,Readme!$A$62:$C$74,2,)*Q2748</f>
        <v>306.84499556187444</v>
      </c>
      <c r="S2748" s="140" t="str">
        <f t="shared" si="209"/>
        <v>Y</v>
      </c>
      <c r="T2748" s="154">
        <f t="shared" si="210"/>
        <v>8.65</v>
      </c>
      <c r="U2748" s="154">
        <f t="shared" si="211"/>
        <v>4.8195549041132084</v>
      </c>
    </row>
    <row r="2749" spans="1:21" x14ac:dyDescent="0.35">
      <c r="A2749" s="108">
        <v>39</v>
      </c>
      <c r="B2749" s="108">
        <v>2014</v>
      </c>
      <c r="C2749" s="108" t="s">
        <v>38</v>
      </c>
      <c r="D2749" s="108" t="s">
        <v>143</v>
      </c>
      <c r="E2749" s="108" t="s">
        <v>10</v>
      </c>
      <c r="F2749" s="116">
        <v>852</v>
      </c>
      <c r="G2749" s="108" t="s">
        <v>64</v>
      </c>
      <c r="H2749" s="108" t="str">
        <f t="shared" si="212"/>
        <v>Snoqualmie River</v>
      </c>
      <c r="I2749" s="108" t="str">
        <f>IFERROR(VLOOKUP(H2749,LUTs!$A$1:$C$73,2,FALSE),"NA")</f>
        <v>Snohomish/King</v>
      </c>
      <c r="J2749" s="108" t="str">
        <f>IFERROR(VLOOKUP(H2749,LUTs!$A$1:$C$73,3,FALSE),"NA")</f>
        <v>2Central Puget Sound</v>
      </c>
      <c r="K2749" s="108" t="s">
        <v>26</v>
      </c>
      <c r="L2749" s="108" t="str">
        <f>VLOOKUP(K2749,LUTs!E$2:G$14,3,)</f>
        <v>20Other</v>
      </c>
      <c r="M2749" s="108" t="str">
        <f>VLOOKUP($K2749,LUTs!$E$2:$H$14,2,)</f>
        <v>Non Puget Sound</v>
      </c>
      <c r="N2749" s="108" t="str">
        <f>VLOOKUP($K2749,LUTs!$E$2:$H$14,4,)</f>
        <v>07Non Puget Sound</v>
      </c>
      <c r="O2749" s="108">
        <v>7.0833333333333401</v>
      </c>
      <c r="P2749" s="108">
        <v>61.2708333333334</v>
      </c>
      <c r="Q2749" s="108">
        <f>SUMIFS('FW_Salmon_by_Month_2010-2021'!P$2:P$3810,'FW_Salmon_by_Month_2010-2021'!$B$2:$B$3810,'Rec_raw_catch_effort_2010-2021'!$B2749,'FW_Salmon_by_Month_2010-2021'!$H$2:$H$3810,'Rec_raw_catch_effort_2010-2021'!$F2749,'FW_Salmon_by_Month_2010-2021'!$M$2:$M$3810,'Rec_raw_catch_effort_2010-2021'!$K2749)</f>
        <v>7.1111111111111098</v>
      </c>
      <c r="R2749" s="109">
        <f>VLOOKUP(B2749,Readme!$A$62:$C$74,2,)*Q2749</f>
        <v>34.272390429249477</v>
      </c>
      <c r="S2749" s="140" t="str">
        <f t="shared" si="209"/>
        <v>Y</v>
      </c>
      <c r="T2749" s="154">
        <f t="shared" si="210"/>
        <v>8.65</v>
      </c>
      <c r="U2749" s="154">
        <f t="shared" si="211"/>
        <v>4.8195549041132084</v>
      </c>
    </row>
    <row r="2750" spans="1:21" x14ac:dyDescent="0.35">
      <c r="A2750" s="108">
        <v>1185</v>
      </c>
      <c r="B2750" s="108">
        <v>2014</v>
      </c>
      <c r="C2750" s="108" t="s">
        <v>38</v>
      </c>
      <c r="D2750" s="108" t="s">
        <v>143</v>
      </c>
      <c r="E2750" s="108" t="s">
        <v>10</v>
      </c>
      <c r="F2750" s="116">
        <v>852</v>
      </c>
      <c r="G2750" s="108" t="s">
        <v>64</v>
      </c>
      <c r="H2750" s="108" t="str">
        <f t="shared" si="212"/>
        <v>Snoqualmie River</v>
      </c>
      <c r="I2750" s="108" t="str">
        <f>IFERROR(VLOOKUP(H2750,LUTs!$A$1:$C$73,2,FALSE),"NA")</f>
        <v>Snohomish/King</v>
      </c>
      <c r="J2750" s="108" t="str">
        <f>IFERROR(VLOOKUP(H2750,LUTs!$A$1:$C$73,3,FALSE),"NA")</f>
        <v>2Central Puget Sound</v>
      </c>
      <c r="K2750" s="108" t="s">
        <v>16</v>
      </c>
      <c r="L2750" s="108" t="str">
        <f>VLOOKUP(K2750,LUTs!E$2:G$14,3,)</f>
        <v>03Snohomish</v>
      </c>
      <c r="M2750" s="108" t="str">
        <f>VLOOKUP($K2750,LUTs!$E$2:$H$14,2,)</f>
        <v>North Puget Sound</v>
      </c>
      <c r="N2750" s="108" t="str">
        <f>VLOOKUP($K2750,LUTs!$E$2:$H$14,4,)</f>
        <v>01North Puget Sound</v>
      </c>
      <c r="O2750" s="108">
        <v>14.1666666666667</v>
      </c>
      <c r="P2750" s="108">
        <v>122.541666666667</v>
      </c>
      <c r="Q2750" s="108">
        <f>SUMIFS('FW_Salmon_by_Month_2010-2021'!P$2:P$3810,'FW_Salmon_by_Month_2010-2021'!$B$2:$B$3810,'Rec_raw_catch_effort_2010-2021'!$B2750,'FW_Salmon_by_Month_2010-2021'!$H$2:$H$3810,'Rec_raw_catch_effort_2010-2021'!$F2750,'FW_Salmon_by_Month_2010-2021'!$M$2:$M$3810,'Rec_raw_catch_effort_2010-2021'!$K2750)</f>
        <v>14.2222222222222</v>
      </c>
      <c r="R2750" s="109">
        <f>VLOOKUP(B2750,Readme!$A$62:$C$74,2,)*Q2750</f>
        <v>68.544780858498854</v>
      </c>
      <c r="S2750" s="140" t="str">
        <f t="shared" si="209"/>
        <v>Y</v>
      </c>
      <c r="T2750" s="154">
        <f t="shared" si="210"/>
        <v>8.6500000000000039</v>
      </c>
      <c r="U2750" s="154">
        <f t="shared" si="211"/>
        <v>4.8195549041132084</v>
      </c>
    </row>
    <row r="2751" spans="1:21" x14ac:dyDescent="0.35">
      <c r="A2751" s="108">
        <v>41</v>
      </c>
      <c r="B2751" s="108">
        <v>2015</v>
      </c>
      <c r="C2751" s="108" t="s">
        <v>38</v>
      </c>
      <c r="D2751" s="108" t="s">
        <v>143</v>
      </c>
      <c r="E2751" s="108" t="s">
        <v>10</v>
      </c>
      <c r="F2751" s="116">
        <v>852</v>
      </c>
      <c r="G2751" s="108" t="s">
        <v>64</v>
      </c>
      <c r="H2751" s="108" t="str">
        <f t="shared" si="212"/>
        <v>Snoqualmie River</v>
      </c>
      <c r="I2751" s="108" t="str">
        <f>IFERROR(VLOOKUP(H2751,LUTs!$A$1:$C$73,2,FALSE),"NA")</f>
        <v>Snohomish/King</v>
      </c>
      <c r="J2751" s="108" t="str">
        <f>IFERROR(VLOOKUP(H2751,LUTs!$A$1:$C$73,3,FALSE),"NA")</f>
        <v>2Central Puget Sound</v>
      </c>
      <c r="K2751" s="108" t="s">
        <v>18</v>
      </c>
      <c r="L2751" s="108" t="str">
        <f>VLOOKUP(K2751,LUTs!E$2:G$14,3,)</f>
        <v>06King</v>
      </c>
      <c r="M2751" s="108" t="str">
        <f>VLOOKUP($K2751,LUTs!$E$2:$H$14,2,)</f>
        <v>South Puget Sound</v>
      </c>
      <c r="N2751" s="108" t="str">
        <f>VLOOKUP($K2751,LUTs!$E$2:$H$14,4,)</f>
        <v>02South Puget Sound</v>
      </c>
      <c r="O2751" s="108">
        <v>142</v>
      </c>
      <c r="P2751" s="108">
        <v>488.48</v>
      </c>
      <c r="Q2751" s="108">
        <f>SUMIFS('FW_Salmon_by_Month_2010-2021'!P$2:P$3810,'FW_Salmon_by_Month_2010-2021'!$B$2:$B$3810,'Rec_raw_catch_effort_2010-2021'!$B2751,'FW_Salmon_by_Month_2010-2021'!$H$2:$H$3810,'Rec_raw_catch_effort_2010-2021'!$F2751,'FW_Salmon_by_Month_2010-2021'!$M$2:$M$3810,'Rec_raw_catch_effort_2010-2021'!$K2751)</f>
        <v>161.81818181818181</v>
      </c>
      <c r="R2751" s="109">
        <f>VLOOKUP(B2751,Readme!$A$62:$C$74,2,)*Q2751</f>
        <v>572.68108934660904</v>
      </c>
      <c r="S2751" s="140" t="str">
        <f t="shared" si="209"/>
        <v>Y</v>
      </c>
      <c r="T2751" s="154">
        <f t="shared" si="210"/>
        <v>3.44</v>
      </c>
      <c r="U2751" s="154">
        <f t="shared" si="211"/>
        <v>3.5390404397824153</v>
      </c>
    </row>
    <row r="2752" spans="1:21" x14ac:dyDescent="0.35">
      <c r="A2752" s="108">
        <v>40</v>
      </c>
      <c r="B2752" s="108">
        <v>2015</v>
      </c>
      <c r="C2752" s="108" t="s">
        <v>38</v>
      </c>
      <c r="D2752" s="108" t="s">
        <v>143</v>
      </c>
      <c r="E2752" s="108" t="s">
        <v>10</v>
      </c>
      <c r="F2752" s="116">
        <v>852</v>
      </c>
      <c r="G2752" s="108" t="s">
        <v>64</v>
      </c>
      <c r="H2752" s="108" t="str">
        <f t="shared" si="212"/>
        <v>Snoqualmie River</v>
      </c>
      <c r="I2752" s="108" t="str">
        <f>IFERROR(VLOOKUP(H2752,LUTs!$A$1:$C$73,2,FALSE),"NA")</f>
        <v>Snohomish/King</v>
      </c>
      <c r="J2752" s="108" t="str">
        <f>IFERROR(VLOOKUP(H2752,LUTs!$A$1:$C$73,3,FALSE),"NA")</f>
        <v>2Central Puget Sound</v>
      </c>
      <c r="K2752" s="108" t="s">
        <v>16</v>
      </c>
      <c r="L2752" s="108" t="str">
        <f>VLOOKUP(K2752,LUTs!E$2:G$14,3,)</f>
        <v>03Snohomish</v>
      </c>
      <c r="M2752" s="108" t="str">
        <f>VLOOKUP($K2752,LUTs!$E$2:$H$14,2,)</f>
        <v>North Puget Sound</v>
      </c>
      <c r="N2752" s="108" t="str">
        <f>VLOOKUP($K2752,LUTs!$E$2:$H$14,4,)</f>
        <v>01North Puget Sound</v>
      </c>
      <c r="O2752" s="108">
        <v>284</v>
      </c>
      <c r="P2752" s="108">
        <v>976.96</v>
      </c>
      <c r="Q2752" s="108">
        <f>SUMIFS('FW_Salmon_by_Month_2010-2021'!P$2:P$3810,'FW_Salmon_by_Month_2010-2021'!$B$2:$B$3810,'Rec_raw_catch_effort_2010-2021'!$B2752,'FW_Salmon_by_Month_2010-2021'!$H$2:$H$3810,'Rec_raw_catch_effort_2010-2021'!$F2752,'FW_Salmon_by_Month_2010-2021'!$M$2:$M$3810,'Rec_raw_catch_effort_2010-2021'!$K2752)</f>
        <v>264.18181818181819</v>
      </c>
      <c r="R2752" s="109">
        <f>VLOOKUP(B2752,Readme!$A$62:$C$74,2,)*Q2752</f>
        <v>934.95013800069989</v>
      </c>
      <c r="S2752" s="140" t="str">
        <f t="shared" si="209"/>
        <v>Y</v>
      </c>
      <c r="T2752" s="154">
        <f t="shared" si="210"/>
        <v>3.44</v>
      </c>
      <c r="U2752" s="154">
        <f t="shared" si="211"/>
        <v>3.5390404397824153</v>
      </c>
    </row>
    <row r="2753" spans="1:21" x14ac:dyDescent="0.35">
      <c r="A2753" s="108">
        <v>43</v>
      </c>
      <c r="B2753" s="108">
        <v>2017</v>
      </c>
      <c r="C2753" s="108" t="s">
        <v>38</v>
      </c>
      <c r="D2753" s="108" t="s">
        <v>143</v>
      </c>
      <c r="E2753" s="108" t="s">
        <v>10</v>
      </c>
      <c r="F2753" s="116">
        <v>852</v>
      </c>
      <c r="G2753" s="108" t="s">
        <v>64</v>
      </c>
      <c r="H2753" s="108" t="str">
        <f t="shared" si="212"/>
        <v>Snoqualmie River</v>
      </c>
      <c r="I2753" s="108" t="str">
        <f>IFERROR(VLOOKUP(H2753,LUTs!$A$1:$C$73,2,FALSE),"NA")</f>
        <v>Snohomish/King</v>
      </c>
      <c r="J2753" s="108" t="str">
        <f>IFERROR(VLOOKUP(H2753,LUTs!$A$1:$C$73,3,FALSE),"NA")</f>
        <v>2Central Puget Sound</v>
      </c>
      <c r="K2753" s="108" t="s">
        <v>24</v>
      </c>
      <c r="L2753" s="108" t="str">
        <f>VLOOKUP(K2753,LUTs!E$2:G$14,3,)</f>
        <v>11Clallam</v>
      </c>
      <c r="M2753" s="108" t="str">
        <f>VLOOKUP($K2753,LUTs!$E$2:$H$14,2,)</f>
        <v>Strait of Juan de Fuca</v>
      </c>
      <c r="N2753" s="108" t="str">
        <f>VLOOKUP($K2753,LUTs!$E$2:$H$14,4,)</f>
        <v>03Strait of Juan de Fuca</v>
      </c>
      <c r="O2753" s="108">
        <v>19.5</v>
      </c>
      <c r="P2753" s="108">
        <v>67.08</v>
      </c>
      <c r="Q2753" s="108">
        <f>SUMIFS('FW_Salmon_by_Month_2010-2021'!P$2:P$3810,'FW_Salmon_by_Month_2010-2021'!$B$2:$B$3810,'Rec_raw_catch_effort_2010-2021'!$B2753,'FW_Salmon_by_Month_2010-2021'!$H$2:$H$3810,'Rec_raw_catch_effort_2010-2021'!$F2753,'FW_Salmon_by_Month_2010-2021'!$M$2:$M$3810,'Rec_raw_catch_effort_2010-2021'!$K2753)</f>
        <v>19.3333333333333</v>
      </c>
      <c r="R2753" s="109">
        <f>VLOOKUP(B2753,Readme!$A$62:$C$74,2,)*Q2753</f>
        <v>68.42144850245991</v>
      </c>
      <c r="S2753" s="140" t="str">
        <f t="shared" si="209"/>
        <v>Y</v>
      </c>
      <c r="T2753" s="154">
        <f t="shared" si="210"/>
        <v>3.44</v>
      </c>
      <c r="U2753" s="154">
        <f t="shared" si="211"/>
        <v>3.5390404397824153</v>
      </c>
    </row>
    <row r="2754" spans="1:21" x14ac:dyDescent="0.35">
      <c r="A2754" s="108">
        <v>42</v>
      </c>
      <c r="B2754" s="108">
        <v>2017</v>
      </c>
      <c r="C2754" s="108" t="s">
        <v>38</v>
      </c>
      <c r="D2754" s="108" t="s">
        <v>143</v>
      </c>
      <c r="E2754" s="108" t="s">
        <v>10</v>
      </c>
      <c r="F2754" s="116">
        <v>852</v>
      </c>
      <c r="G2754" s="108" t="s">
        <v>64</v>
      </c>
      <c r="H2754" s="108" t="str">
        <f t="shared" si="212"/>
        <v>Snoqualmie River</v>
      </c>
      <c r="I2754" s="108" t="str">
        <f>IFERROR(VLOOKUP(H2754,LUTs!$A$1:$C$73,2,FALSE),"NA")</f>
        <v>Snohomish/King</v>
      </c>
      <c r="J2754" s="108" t="str">
        <f>IFERROR(VLOOKUP(H2754,LUTs!$A$1:$C$73,3,FALSE),"NA")</f>
        <v>2Central Puget Sound</v>
      </c>
      <c r="K2754" s="108" t="s">
        <v>16</v>
      </c>
      <c r="L2754" s="108" t="str">
        <f>VLOOKUP(K2754,LUTs!E$2:G$14,3,)</f>
        <v>03Snohomish</v>
      </c>
      <c r="M2754" s="108" t="str">
        <f>VLOOKUP($K2754,LUTs!$E$2:$H$14,2,)</f>
        <v>North Puget Sound</v>
      </c>
      <c r="N2754" s="108" t="str">
        <f>VLOOKUP($K2754,LUTs!$E$2:$H$14,4,)</f>
        <v>01North Puget Sound</v>
      </c>
      <c r="O2754" s="108">
        <v>19.5</v>
      </c>
      <c r="P2754" s="108">
        <v>67.08</v>
      </c>
      <c r="Q2754" s="108">
        <f>SUMIFS('FW_Salmon_by_Month_2010-2021'!P$2:P$3810,'FW_Salmon_by_Month_2010-2021'!$B$2:$B$3810,'Rec_raw_catch_effort_2010-2021'!$B2754,'FW_Salmon_by_Month_2010-2021'!$H$2:$H$3810,'Rec_raw_catch_effort_2010-2021'!$F2754,'FW_Salmon_by_Month_2010-2021'!$M$2:$M$3810,'Rec_raw_catch_effort_2010-2021'!$K2754)</f>
        <v>19.666666666666671</v>
      </c>
      <c r="R2754" s="109">
        <f>VLOOKUP(B2754,Readme!$A$62:$C$74,2,)*Q2754</f>
        <v>69.601128649054189</v>
      </c>
      <c r="S2754" s="140" t="str">
        <f t="shared" si="209"/>
        <v>Y</v>
      </c>
      <c r="T2754" s="154">
        <f t="shared" si="210"/>
        <v>3.44</v>
      </c>
      <c r="U2754" s="154">
        <f t="shared" si="211"/>
        <v>3.5390404397824153</v>
      </c>
    </row>
    <row r="2755" spans="1:21" x14ac:dyDescent="0.35">
      <c r="A2755" s="108">
        <v>45</v>
      </c>
      <c r="B2755" s="108">
        <v>2018</v>
      </c>
      <c r="C2755" s="108" t="s">
        <v>38</v>
      </c>
      <c r="D2755" s="108" t="s">
        <v>143</v>
      </c>
      <c r="E2755" s="108" t="s">
        <v>10</v>
      </c>
      <c r="F2755" s="116">
        <v>852</v>
      </c>
      <c r="G2755" s="108" t="s">
        <v>64</v>
      </c>
      <c r="H2755" s="108" t="str">
        <f t="shared" si="212"/>
        <v>Snoqualmie River</v>
      </c>
      <c r="I2755" s="108" t="str">
        <f>IFERROR(VLOOKUP(H2755,LUTs!$A$1:$C$73,2,FALSE),"NA")</f>
        <v>Snohomish/King</v>
      </c>
      <c r="J2755" s="108" t="str">
        <f>IFERROR(VLOOKUP(H2755,LUTs!$A$1:$C$73,3,FALSE),"NA")</f>
        <v>2Central Puget Sound</v>
      </c>
      <c r="K2755" s="108" t="s">
        <v>18</v>
      </c>
      <c r="L2755" s="108" t="str">
        <f>VLOOKUP(K2755,LUTs!E$2:G$14,3,)</f>
        <v>06King</v>
      </c>
      <c r="M2755" s="108" t="str">
        <f>VLOOKUP($K2755,LUTs!$E$2:$H$14,2,)</f>
        <v>South Puget Sound</v>
      </c>
      <c r="N2755" s="108" t="str">
        <f>VLOOKUP($K2755,LUTs!$E$2:$H$14,4,)</f>
        <v>02South Puget Sound</v>
      </c>
      <c r="O2755" s="108">
        <v>5</v>
      </c>
      <c r="P2755" s="108">
        <v>43.25</v>
      </c>
      <c r="Q2755" s="108">
        <f>SUMIFS('FW_Salmon_by_Month_2010-2021'!P$2:P$3810,'FW_Salmon_by_Month_2010-2021'!$B$2:$B$3810,'Rec_raw_catch_effort_2010-2021'!$B2755,'FW_Salmon_by_Month_2010-2021'!$H$2:$H$3810,'Rec_raw_catch_effort_2010-2021'!$F2755,'FW_Salmon_by_Month_2010-2021'!$M$2:$M$3810,'Rec_raw_catch_effort_2010-2021'!$K2755)</f>
        <v>10</v>
      </c>
      <c r="R2755" s="109">
        <f>VLOOKUP(B2755,Readme!$A$62:$C$74,2,)*Q2755</f>
        <v>48.195549041132082</v>
      </c>
      <c r="S2755" s="140" t="str">
        <f t="shared" ref="S2755:S2818" si="213">IF(B2755&lt;=2019,"Y","N")</f>
        <v>Y</v>
      </c>
      <c r="T2755" s="154">
        <f t="shared" ref="T2755:T2818" si="214">IFERROR(P2755/O2755,"NA")</f>
        <v>8.65</v>
      </c>
      <c r="U2755" s="154">
        <f t="shared" ref="U2755:U2818" si="215">IFERROR(R2755/Q2755,"NA")</f>
        <v>4.8195549041132084</v>
      </c>
    </row>
    <row r="2756" spans="1:21" x14ac:dyDescent="0.35">
      <c r="A2756" s="108">
        <v>44</v>
      </c>
      <c r="B2756" s="108">
        <v>2018</v>
      </c>
      <c r="C2756" s="108" t="s">
        <v>38</v>
      </c>
      <c r="D2756" s="108" t="s">
        <v>143</v>
      </c>
      <c r="E2756" s="108" t="s">
        <v>10</v>
      </c>
      <c r="F2756" s="116">
        <v>852</v>
      </c>
      <c r="G2756" s="108" t="s">
        <v>64</v>
      </c>
      <c r="H2756" s="108" t="str">
        <f t="shared" si="212"/>
        <v>Snoqualmie River</v>
      </c>
      <c r="I2756" s="108" t="str">
        <f>IFERROR(VLOOKUP(H2756,LUTs!$A$1:$C$73,2,FALSE),"NA")</f>
        <v>Snohomish/King</v>
      </c>
      <c r="J2756" s="108" t="str">
        <f>IFERROR(VLOOKUP(H2756,LUTs!$A$1:$C$73,3,FALSE),"NA")</f>
        <v>2Central Puget Sound</v>
      </c>
      <c r="K2756" s="108" t="s">
        <v>13</v>
      </c>
      <c r="L2756" s="108" t="str">
        <f>VLOOKUP(K2756,LUTs!E$2:G$14,3,)</f>
        <v>01Whatcom</v>
      </c>
      <c r="M2756" s="108" t="str">
        <f>VLOOKUP($K2756,LUTs!$E$2:$H$14,2,)</f>
        <v>North Puget Sound</v>
      </c>
      <c r="N2756" s="108" t="str">
        <f>VLOOKUP($K2756,LUTs!$E$2:$H$14,4,)</f>
        <v>01North Puget Sound</v>
      </c>
      <c r="O2756" s="108">
        <v>5</v>
      </c>
      <c r="P2756" s="108">
        <v>43.25</v>
      </c>
      <c r="Q2756" s="108">
        <f>SUMIFS('FW_Salmon_by_Month_2010-2021'!P$2:P$3810,'FW_Salmon_by_Month_2010-2021'!$B$2:$B$3810,'Rec_raw_catch_effort_2010-2021'!$B2756,'FW_Salmon_by_Month_2010-2021'!$H$2:$H$3810,'Rec_raw_catch_effort_2010-2021'!$F2756,'FW_Salmon_by_Month_2010-2021'!$M$2:$M$3810,'Rec_raw_catch_effort_2010-2021'!$K2756)</f>
        <v>0</v>
      </c>
      <c r="R2756" s="109">
        <f>VLOOKUP(B2756,Readme!$A$62:$C$74,2,)*Q2756</f>
        <v>0</v>
      </c>
      <c r="S2756" s="140" t="str">
        <f t="shared" si="213"/>
        <v>Y</v>
      </c>
      <c r="T2756" s="154">
        <f t="shared" si="214"/>
        <v>8.65</v>
      </c>
      <c r="U2756" s="154" t="str">
        <f t="shared" si="215"/>
        <v>NA</v>
      </c>
    </row>
    <row r="2757" spans="1:21" x14ac:dyDescent="0.35">
      <c r="A2757" s="108">
        <v>46</v>
      </c>
      <c r="B2757" s="108">
        <v>2019</v>
      </c>
      <c r="C2757" s="108" t="s">
        <v>38</v>
      </c>
      <c r="D2757" s="108" t="s">
        <v>143</v>
      </c>
      <c r="E2757" s="108" t="s">
        <v>10</v>
      </c>
      <c r="F2757" s="116">
        <v>852</v>
      </c>
      <c r="G2757" s="108" t="s">
        <v>64</v>
      </c>
      <c r="H2757" s="108" t="str">
        <f t="shared" si="212"/>
        <v>Snoqualmie River</v>
      </c>
      <c r="I2757" s="108" t="str">
        <f>IFERROR(VLOOKUP(H2757,LUTs!$A$1:$C$73,2,FALSE),"NA")</f>
        <v>Snohomish/King</v>
      </c>
      <c r="J2757" s="108" t="str">
        <f>IFERROR(VLOOKUP(H2757,LUTs!$A$1:$C$73,3,FALSE),"NA")</f>
        <v>2Central Puget Sound</v>
      </c>
      <c r="K2757" s="108" t="s">
        <v>18</v>
      </c>
      <c r="L2757" s="108" t="str">
        <f>VLOOKUP(K2757,LUTs!E$2:G$14,3,)</f>
        <v>06King</v>
      </c>
      <c r="M2757" s="108" t="str">
        <f>VLOOKUP($K2757,LUTs!$E$2:$H$14,2,)</f>
        <v>South Puget Sound</v>
      </c>
      <c r="N2757" s="108" t="str">
        <f>VLOOKUP($K2757,LUTs!$E$2:$H$14,4,)</f>
        <v>02South Puget Sound</v>
      </c>
      <c r="O2757" s="108">
        <v>76.125</v>
      </c>
      <c r="P2757" s="108">
        <v>261.87</v>
      </c>
      <c r="Q2757" s="108">
        <f>SUMIFS('FW_Salmon_by_Month_2010-2021'!P$2:P$3810,'FW_Salmon_by_Month_2010-2021'!$B$2:$B$3810,'Rec_raw_catch_effort_2010-2021'!$B2757,'FW_Salmon_by_Month_2010-2021'!$H$2:$H$3810,'Rec_raw_catch_effort_2010-2021'!$F2757,'FW_Salmon_by_Month_2010-2021'!$M$2:$M$3810,'Rec_raw_catch_effort_2010-2021'!$K2757)</f>
        <v>76.2</v>
      </c>
      <c r="R2757" s="109">
        <f>VLOOKUP(B2757,Readme!$A$62:$C$74,2,)*Q2757</f>
        <v>269.67488151142004</v>
      </c>
      <c r="S2757" s="140" t="str">
        <f t="shared" si="213"/>
        <v>Y</v>
      </c>
      <c r="T2757" s="154">
        <f t="shared" si="214"/>
        <v>3.44</v>
      </c>
      <c r="U2757" s="154">
        <f t="shared" si="215"/>
        <v>3.5390404397824149</v>
      </c>
    </row>
    <row r="2758" spans="1:21" x14ac:dyDescent="0.35">
      <c r="A2758" s="108">
        <v>47</v>
      </c>
      <c r="B2758" s="108">
        <v>2019</v>
      </c>
      <c r="C2758" s="108" t="s">
        <v>38</v>
      </c>
      <c r="D2758" s="108" t="s">
        <v>143</v>
      </c>
      <c r="E2758" s="108" t="s">
        <v>10</v>
      </c>
      <c r="F2758" s="116">
        <v>852</v>
      </c>
      <c r="G2758" s="108" t="s">
        <v>64</v>
      </c>
      <c r="H2758" s="108" t="str">
        <f t="shared" si="212"/>
        <v>Snoqualmie River</v>
      </c>
      <c r="I2758" s="108" t="str">
        <f>IFERROR(VLOOKUP(H2758,LUTs!$A$1:$C$73,2,FALSE),"NA")</f>
        <v>Snohomish/King</v>
      </c>
      <c r="J2758" s="108" t="str">
        <f>IFERROR(VLOOKUP(H2758,LUTs!$A$1:$C$73,3,FALSE),"NA")</f>
        <v>2Central Puget Sound</v>
      </c>
      <c r="K2758" s="108" t="s">
        <v>26</v>
      </c>
      <c r="L2758" s="108" t="str">
        <f>VLOOKUP(K2758,LUTs!E$2:G$14,3,)</f>
        <v>20Other</v>
      </c>
      <c r="M2758" s="108" t="str">
        <f>VLOOKUP($K2758,LUTs!$E$2:$H$14,2,)</f>
        <v>Non Puget Sound</v>
      </c>
      <c r="N2758" s="108" t="str">
        <f>VLOOKUP($K2758,LUTs!$E$2:$H$14,4,)</f>
        <v>07Non Puget Sound</v>
      </c>
      <c r="O2758" s="108">
        <v>10.875</v>
      </c>
      <c r="P2758" s="108">
        <v>37.409999999999997</v>
      </c>
      <c r="Q2758" s="108">
        <f>SUMIFS('FW_Salmon_by_Month_2010-2021'!P$2:P$3810,'FW_Salmon_by_Month_2010-2021'!$B$2:$B$3810,'Rec_raw_catch_effort_2010-2021'!$B2758,'FW_Salmon_by_Month_2010-2021'!$H$2:$H$3810,'Rec_raw_catch_effort_2010-2021'!$F2758,'FW_Salmon_by_Month_2010-2021'!$M$2:$M$3810,'Rec_raw_catch_effort_2010-2021'!$K2758)</f>
        <v>10.8</v>
      </c>
      <c r="R2758" s="109">
        <f>VLOOKUP(B2758,Readme!$A$62:$C$74,2,)*Q2758</f>
        <v>38.221636749650088</v>
      </c>
      <c r="S2758" s="140" t="str">
        <f t="shared" si="213"/>
        <v>Y</v>
      </c>
      <c r="T2758" s="154">
        <f t="shared" si="214"/>
        <v>3.4399999999999995</v>
      </c>
      <c r="U2758" s="154">
        <f t="shared" si="215"/>
        <v>3.5390404397824153</v>
      </c>
    </row>
    <row r="2759" spans="1:21" x14ac:dyDescent="0.35">
      <c r="A2759" s="108">
        <v>48</v>
      </c>
      <c r="B2759" s="108">
        <v>2021</v>
      </c>
      <c r="C2759" s="108" t="s">
        <v>38</v>
      </c>
      <c r="D2759" s="108" t="s">
        <v>143</v>
      </c>
      <c r="E2759" s="108" t="s">
        <v>10</v>
      </c>
      <c r="F2759" s="116">
        <v>852</v>
      </c>
      <c r="G2759" s="108" t="s">
        <v>64</v>
      </c>
      <c r="H2759" s="108" t="str">
        <f t="shared" si="212"/>
        <v>Snoqualmie River</v>
      </c>
      <c r="I2759" s="108" t="str">
        <f>IFERROR(VLOOKUP(H2759,LUTs!$A$1:$C$73,2,FALSE),"NA")</f>
        <v>Snohomish/King</v>
      </c>
      <c r="J2759" s="108" t="str">
        <f>IFERROR(VLOOKUP(H2759,LUTs!$A$1:$C$73,3,FALSE),"NA")</f>
        <v>2Central Puget Sound</v>
      </c>
      <c r="K2759" s="108" t="s">
        <v>18</v>
      </c>
      <c r="L2759" s="108" t="str">
        <f>VLOOKUP(K2759,LUTs!E$2:G$14,3,)</f>
        <v>06King</v>
      </c>
      <c r="M2759" s="108" t="str">
        <f>VLOOKUP($K2759,LUTs!$E$2:$H$14,2,)</f>
        <v>South Puget Sound</v>
      </c>
      <c r="N2759" s="108" t="str">
        <f>VLOOKUP($K2759,LUTs!$E$2:$H$14,4,)</f>
        <v>02South Puget Sound</v>
      </c>
      <c r="O2759" s="108">
        <v>4</v>
      </c>
      <c r="P2759" s="108">
        <v>13.76</v>
      </c>
      <c r="Q2759" s="108">
        <f>SUMIFS('FW_Salmon_by_Month_2010-2021'!P$2:P$3810,'FW_Salmon_by_Month_2010-2021'!$B$2:$B$3810,'Rec_raw_catch_effort_2010-2021'!$B2759,'FW_Salmon_by_Month_2010-2021'!$H$2:$H$3810,'Rec_raw_catch_effort_2010-2021'!$F2759,'FW_Salmon_by_Month_2010-2021'!$M$2:$M$3810,'Rec_raw_catch_effort_2010-2021'!$K2759)</f>
        <v>4</v>
      </c>
      <c r="R2759" s="109">
        <f>VLOOKUP(B2759,Readme!$A$62:$C$74,2,)*Q2759</f>
        <v>14.156161759129661</v>
      </c>
      <c r="S2759" s="140" t="str">
        <f t="shared" si="213"/>
        <v>N</v>
      </c>
      <c r="T2759" s="154">
        <f t="shared" si="214"/>
        <v>3.44</v>
      </c>
      <c r="U2759" s="154">
        <f t="shared" si="215"/>
        <v>3.5390404397824153</v>
      </c>
    </row>
    <row r="2760" spans="1:21" x14ac:dyDescent="0.35">
      <c r="A2760" s="108">
        <v>1511</v>
      </c>
      <c r="B2760" s="108">
        <v>2011</v>
      </c>
      <c r="C2760" s="108" t="s">
        <v>38</v>
      </c>
      <c r="D2760" s="108" t="s">
        <v>143</v>
      </c>
      <c r="E2760" s="108" t="s">
        <v>10</v>
      </c>
      <c r="F2760" s="116">
        <v>858</v>
      </c>
      <c r="G2760" s="108" t="s">
        <v>71</v>
      </c>
      <c r="H2760" s="108" t="str">
        <f t="shared" si="212"/>
        <v>Tolt River</v>
      </c>
      <c r="I2760" s="108" t="str">
        <f>IFERROR(VLOOKUP(H2760,LUTs!$A$1:$C$73,2,FALSE),"NA")</f>
        <v>King</v>
      </c>
      <c r="J2760" s="108" t="str">
        <f>IFERROR(VLOOKUP(H2760,LUTs!$A$1:$C$73,3,FALSE),"NA")</f>
        <v>2Central Puget Sound</v>
      </c>
      <c r="K2760" s="108" t="s">
        <v>18</v>
      </c>
      <c r="L2760" s="108" t="str">
        <f>VLOOKUP(K2760,LUTs!E$2:G$14,3,)</f>
        <v>06King</v>
      </c>
      <c r="M2760" s="108" t="str">
        <f>VLOOKUP($K2760,LUTs!$E$2:$H$14,2,)</f>
        <v>South Puget Sound</v>
      </c>
      <c r="N2760" s="108" t="str">
        <f>VLOOKUP($K2760,LUTs!$E$2:$H$14,4,)</f>
        <v>02South Puget Sound</v>
      </c>
      <c r="O2760" s="108">
        <v>4</v>
      </c>
      <c r="P2760" s="108">
        <v>13.76</v>
      </c>
      <c r="Q2760" s="108">
        <f>SUMIFS('FW_Salmon_by_Month_2010-2021'!P$2:P$3810,'FW_Salmon_by_Month_2010-2021'!$B$2:$B$3810,'Rec_raw_catch_effort_2010-2021'!$B2760,'FW_Salmon_by_Month_2010-2021'!$H$2:$H$3810,'Rec_raw_catch_effort_2010-2021'!$F2760,'FW_Salmon_by_Month_2010-2021'!$M$2:$M$3810,'Rec_raw_catch_effort_2010-2021'!$K2760)</f>
        <v>4</v>
      </c>
      <c r="R2760" s="109">
        <f>VLOOKUP(B2760,Readme!$A$62:$C$74,2,)*Q2760</f>
        <v>14.156161759129661</v>
      </c>
      <c r="S2760" s="140" t="str">
        <f t="shared" si="213"/>
        <v>Y</v>
      </c>
      <c r="T2760" s="154">
        <f t="shared" si="214"/>
        <v>3.44</v>
      </c>
      <c r="U2760" s="154">
        <f t="shared" si="215"/>
        <v>3.5390404397824153</v>
      </c>
    </row>
    <row r="2761" spans="1:21" x14ac:dyDescent="0.35">
      <c r="A2761" s="108">
        <v>2068</v>
      </c>
      <c r="B2761" s="108">
        <v>2015</v>
      </c>
      <c r="C2761" s="108" t="s">
        <v>38</v>
      </c>
      <c r="D2761" s="108" t="s">
        <v>143</v>
      </c>
      <c r="E2761" s="108" t="s">
        <v>10</v>
      </c>
      <c r="F2761" s="116">
        <v>860</v>
      </c>
      <c r="G2761" s="108" t="s">
        <v>76</v>
      </c>
      <c r="H2761" s="108" t="str">
        <f t="shared" si="212"/>
        <v>Wallace River</v>
      </c>
      <c r="I2761" s="108" t="str">
        <f>IFERROR(VLOOKUP(H2761,LUTs!$A$1:$C$73,2,FALSE),"NA")</f>
        <v>Snohomish</v>
      </c>
      <c r="J2761" s="108" t="str">
        <f>IFERROR(VLOOKUP(H2761,LUTs!$A$1:$C$73,3,FALSE),"NA")</f>
        <v>2Central Puget Sound</v>
      </c>
      <c r="K2761" s="108" t="s">
        <v>18</v>
      </c>
      <c r="L2761" s="108" t="str">
        <f>VLOOKUP(K2761,LUTs!E$2:G$14,3,)</f>
        <v>06King</v>
      </c>
      <c r="M2761" s="108" t="str">
        <f>VLOOKUP($K2761,LUTs!$E$2:$H$14,2,)</f>
        <v>South Puget Sound</v>
      </c>
      <c r="N2761" s="108" t="str">
        <f>VLOOKUP($K2761,LUTs!$E$2:$H$14,4,)</f>
        <v>02South Puget Sound</v>
      </c>
      <c r="O2761" s="108">
        <v>89.473684210526301</v>
      </c>
      <c r="P2761" s="108">
        <v>307.78947368421001</v>
      </c>
      <c r="Q2761" s="108">
        <f>SUMIFS('FW_Salmon_by_Month_2010-2021'!P$2:P$3810,'FW_Salmon_by_Month_2010-2021'!$B$2:$B$3810,'Rec_raw_catch_effort_2010-2021'!$B2761,'FW_Salmon_by_Month_2010-2021'!$H$2:$H$3810,'Rec_raw_catch_effort_2010-2021'!$F2761,'FW_Salmon_by_Month_2010-2021'!$M$2:$M$3810,'Rec_raw_catch_effort_2010-2021'!$K2761)</f>
        <v>89.4166666666667</v>
      </c>
      <c r="R2761" s="109">
        <f>VLOOKUP(B2761,Readme!$A$62:$C$74,2,)*Q2761</f>
        <v>316.44919932387774</v>
      </c>
      <c r="S2761" s="140" t="str">
        <f t="shared" si="213"/>
        <v>Y</v>
      </c>
      <c r="T2761" s="154">
        <f t="shared" si="214"/>
        <v>3.4399999999999946</v>
      </c>
      <c r="U2761" s="154">
        <f t="shared" si="215"/>
        <v>3.5390404397824149</v>
      </c>
    </row>
    <row r="2762" spans="1:21" x14ac:dyDescent="0.35">
      <c r="A2762" s="108">
        <v>2069</v>
      </c>
      <c r="B2762" s="108">
        <v>2015</v>
      </c>
      <c r="C2762" s="108" t="s">
        <v>38</v>
      </c>
      <c r="D2762" s="108" t="s">
        <v>143</v>
      </c>
      <c r="E2762" s="108" t="s">
        <v>10</v>
      </c>
      <c r="F2762" s="116">
        <v>860</v>
      </c>
      <c r="G2762" s="108" t="s">
        <v>76</v>
      </c>
      <c r="H2762" s="108" t="str">
        <f t="shared" si="212"/>
        <v>Wallace River</v>
      </c>
      <c r="I2762" s="108" t="str">
        <f>IFERROR(VLOOKUP(H2762,LUTs!$A$1:$C$73,2,FALSE),"NA")</f>
        <v>Snohomish</v>
      </c>
      <c r="J2762" s="108" t="str">
        <f>IFERROR(VLOOKUP(H2762,LUTs!$A$1:$C$73,3,FALSE),"NA")</f>
        <v>2Central Puget Sound</v>
      </c>
      <c r="K2762" s="108" t="s">
        <v>26</v>
      </c>
      <c r="L2762" s="108" t="str">
        <f>VLOOKUP(K2762,LUTs!E$2:G$14,3,)</f>
        <v>20Other</v>
      </c>
      <c r="M2762" s="108" t="str">
        <f>VLOOKUP($K2762,LUTs!$E$2:$H$14,2,)</f>
        <v>Non Puget Sound</v>
      </c>
      <c r="N2762" s="108" t="str">
        <f>VLOOKUP($K2762,LUTs!$E$2:$H$14,4,)</f>
        <v>07Non Puget Sound</v>
      </c>
      <c r="O2762" s="108">
        <v>44.7368421052632</v>
      </c>
      <c r="P2762" s="108">
        <v>153.894736842105</v>
      </c>
      <c r="Q2762" s="108">
        <f>SUMIFS('FW_Salmon_by_Month_2010-2021'!P$2:P$3810,'FW_Salmon_by_Month_2010-2021'!$B$2:$B$3810,'Rec_raw_catch_effort_2010-2021'!$B2762,'FW_Salmon_by_Month_2010-2021'!$H$2:$H$3810,'Rec_raw_catch_effort_2010-2021'!$F2762,'FW_Salmon_by_Month_2010-2021'!$M$2:$M$3810,'Rec_raw_catch_effort_2010-2021'!$K2762)</f>
        <v>44.916666666666671</v>
      </c>
      <c r="R2762" s="109">
        <f>VLOOKUP(B2762,Readme!$A$62:$C$74,2,)*Q2762</f>
        <v>158.96189975356017</v>
      </c>
      <c r="S2762" s="140" t="str">
        <f t="shared" si="213"/>
        <v>Y</v>
      </c>
      <c r="T2762" s="154">
        <f t="shared" si="214"/>
        <v>3.4399999999999911</v>
      </c>
      <c r="U2762" s="154">
        <f t="shared" si="215"/>
        <v>3.5390404397824153</v>
      </c>
    </row>
    <row r="2763" spans="1:21" x14ac:dyDescent="0.35">
      <c r="A2763" s="108">
        <v>2067</v>
      </c>
      <c r="B2763" s="108">
        <v>2015</v>
      </c>
      <c r="C2763" s="108" t="s">
        <v>38</v>
      </c>
      <c r="D2763" s="108" t="s">
        <v>143</v>
      </c>
      <c r="E2763" s="108" t="s">
        <v>10</v>
      </c>
      <c r="F2763" s="116">
        <v>860</v>
      </c>
      <c r="G2763" s="108" t="s">
        <v>76</v>
      </c>
      <c r="H2763" s="108" t="str">
        <f t="shared" si="212"/>
        <v>Wallace River</v>
      </c>
      <c r="I2763" s="108" t="str">
        <f>IFERROR(VLOOKUP(H2763,LUTs!$A$1:$C$73,2,FALSE),"NA")</f>
        <v>Snohomish</v>
      </c>
      <c r="J2763" s="108" t="str">
        <f>IFERROR(VLOOKUP(H2763,LUTs!$A$1:$C$73,3,FALSE),"NA")</f>
        <v>2Central Puget Sound</v>
      </c>
      <c r="K2763" s="108" t="s">
        <v>16</v>
      </c>
      <c r="L2763" s="108" t="str">
        <f>VLOOKUP(K2763,LUTs!E$2:G$14,3,)</f>
        <v>03Snohomish</v>
      </c>
      <c r="M2763" s="108" t="str">
        <f>VLOOKUP($K2763,LUTs!$E$2:$H$14,2,)</f>
        <v>North Puget Sound</v>
      </c>
      <c r="N2763" s="108" t="str">
        <f>VLOOKUP($K2763,LUTs!$E$2:$H$14,4,)</f>
        <v>01North Puget Sound</v>
      </c>
      <c r="O2763" s="108">
        <v>26.842105263157901</v>
      </c>
      <c r="P2763" s="108">
        <v>92.336842105263202</v>
      </c>
      <c r="Q2763" s="108">
        <f>SUMIFS('FW_Salmon_by_Month_2010-2021'!P$2:P$3810,'FW_Salmon_by_Month_2010-2021'!$B$2:$B$3810,'Rec_raw_catch_effort_2010-2021'!$B2763,'FW_Salmon_by_Month_2010-2021'!$H$2:$H$3810,'Rec_raw_catch_effort_2010-2021'!$F2763,'FW_Salmon_by_Month_2010-2021'!$M$2:$M$3810,'Rec_raw_catch_effort_2010-2021'!$K2763)</f>
        <v>26.75</v>
      </c>
      <c r="R2763" s="109">
        <f>VLOOKUP(B2763,Readme!$A$62:$C$74,2,)*Q2763</f>
        <v>94.669331764179617</v>
      </c>
      <c r="S2763" s="140" t="str">
        <f t="shared" si="213"/>
        <v>Y</v>
      </c>
      <c r="T2763" s="154">
        <f t="shared" si="214"/>
        <v>3.4400000000000008</v>
      </c>
      <c r="U2763" s="154">
        <f t="shared" si="215"/>
        <v>3.5390404397824158</v>
      </c>
    </row>
    <row r="2764" spans="1:21" x14ac:dyDescent="0.35">
      <c r="A2764" s="108">
        <v>2066</v>
      </c>
      <c r="B2764" s="108">
        <v>2015</v>
      </c>
      <c r="C2764" s="108" t="s">
        <v>38</v>
      </c>
      <c r="D2764" s="108" t="s">
        <v>143</v>
      </c>
      <c r="E2764" s="108" t="s">
        <v>10</v>
      </c>
      <c r="F2764" s="116">
        <v>860</v>
      </c>
      <c r="G2764" s="108" t="s">
        <v>76</v>
      </c>
      <c r="H2764" s="108" t="str">
        <f t="shared" si="212"/>
        <v>Wallace River</v>
      </c>
      <c r="I2764" s="108" t="str">
        <f>IFERROR(VLOOKUP(H2764,LUTs!$A$1:$C$73,2,FALSE),"NA")</f>
        <v>Snohomish</v>
      </c>
      <c r="J2764" s="108" t="str">
        <f>IFERROR(VLOOKUP(H2764,LUTs!$A$1:$C$73,3,FALSE),"NA")</f>
        <v>2Central Puget Sound</v>
      </c>
      <c r="K2764" s="108" t="s">
        <v>13</v>
      </c>
      <c r="L2764" s="108" t="str">
        <f>VLOOKUP(K2764,LUTs!E$2:G$14,3,)</f>
        <v>01Whatcom</v>
      </c>
      <c r="M2764" s="108" t="str">
        <f>VLOOKUP($K2764,LUTs!$E$2:$H$14,2,)</f>
        <v>North Puget Sound</v>
      </c>
      <c r="N2764" s="108" t="str">
        <f>VLOOKUP($K2764,LUTs!$E$2:$H$14,4,)</f>
        <v>01North Puget Sound</v>
      </c>
      <c r="O2764" s="108">
        <v>8.9473684210526301</v>
      </c>
      <c r="P2764" s="108">
        <v>30.778947368421001</v>
      </c>
      <c r="Q2764" s="108">
        <f>SUMIFS('FW_Salmon_by_Month_2010-2021'!P$2:P$3810,'FW_Salmon_by_Month_2010-2021'!$B$2:$B$3810,'Rec_raw_catch_effort_2010-2021'!$B2764,'FW_Salmon_by_Month_2010-2021'!$H$2:$H$3810,'Rec_raw_catch_effort_2010-2021'!$F2764,'FW_Salmon_by_Month_2010-2021'!$M$2:$M$3810,'Rec_raw_catch_effort_2010-2021'!$K2764)</f>
        <v>8.9166666666666696</v>
      </c>
      <c r="R2764" s="109">
        <f>VLOOKUP(B2764,Readme!$A$62:$C$74,2,)*Q2764</f>
        <v>31.556443921393214</v>
      </c>
      <c r="S2764" s="140" t="str">
        <f t="shared" si="213"/>
        <v>Y</v>
      </c>
      <c r="T2764" s="154">
        <f t="shared" si="214"/>
        <v>3.4399999999999946</v>
      </c>
      <c r="U2764" s="154">
        <f t="shared" si="215"/>
        <v>3.5390404397824153</v>
      </c>
    </row>
    <row r="2765" spans="1:21" x14ac:dyDescent="0.35">
      <c r="A2765" s="108">
        <v>2327</v>
      </c>
      <c r="B2765" s="108">
        <v>2016</v>
      </c>
      <c r="C2765" s="108" t="s">
        <v>38</v>
      </c>
      <c r="D2765" s="108" t="s">
        <v>143</v>
      </c>
      <c r="E2765" s="108" t="s">
        <v>10</v>
      </c>
      <c r="F2765" s="116">
        <v>860</v>
      </c>
      <c r="G2765" s="108" t="s">
        <v>76</v>
      </c>
      <c r="H2765" s="108" t="str">
        <f t="shared" si="212"/>
        <v>Wallace River</v>
      </c>
      <c r="I2765" s="108" t="str">
        <f>IFERROR(VLOOKUP(H2765,LUTs!$A$1:$C$73,2,FALSE),"NA")</f>
        <v>Snohomish</v>
      </c>
      <c r="J2765" s="108" t="str">
        <f>IFERROR(VLOOKUP(H2765,LUTs!$A$1:$C$73,3,FALSE),"NA")</f>
        <v>2Central Puget Sound</v>
      </c>
      <c r="K2765" s="108" t="s">
        <v>18</v>
      </c>
      <c r="L2765" s="108" t="str">
        <f>VLOOKUP(K2765,LUTs!E$2:G$14,3,)</f>
        <v>06King</v>
      </c>
      <c r="M2765" s="108" t="str">
        <f>VLOOKUP($K2765,LUTs!$E$2:$H$14,2,)</f>
        <v>South Puget Sound</v>
      </c>
      <c r="N2765" s="108" t="str">
        <f>VLOOKUP($K2765,LUTs!$E$2:$H$14,4,)</f>
        <v>02South Puget Sound</v>
      </c>
      <c r="O2765" s="108">
        <v>159.07142857142901</v>
      </c>
      <c r="P2765" s="108">
        <v>1375.9678571428601</v>
      </c>
      <c r="Q2765" s="108">
        <f>SUMIFS('FW_Salmon_by_Month_2010-2021'!P$2:P$3810,'FW_Salmon_by_Month_2010-2021'!$B$2:$B$3810,'Rec_raw_catch_effort_2010-2021'!$B2765,'FW_Salmon_by_Month_2010-2021'!$H$2:$H$3810,'Rec_raw_catch_effort_2010-2021'!$F2765,'FW_Salmon_by_Month_2010-2021'!$M$2:$M$3810,'Rec_raw_catch_effort_2010-2021'!$K2765)</f>
        <v>159.333333333333</v>
      </c>
      <c r="R2765" s="109">
        <f>VLOOKUP(B2765,Readme!$A$62:$C$74,2,)*Q2765</f>
        <v>767.91574805536959</v>
      </c>
      <c r="S2765" s="140" t="str">
        <f t="shared" si="213"/>
        <v>Y</v>
      </c>
      <c r="T2765" s="154">
        <f t="shared" si="214"/>
        <v>8.649999999999995</v>
      </c>
      <c r="U2765" s="154">
        <f t="shared" si="215"/>
        <v>4.8195549041132084</v>
      </c>
    </row>
    <row r="2766" spans="1:21" x14ac:dyDescent="0.35">
      <c r="A2766" s="108">
        <v>2326</v>
      </c>
      <c r="B2766" s="108">
        <v>2016</v>
      </c>
      <c r="C2766" s="108" t="s">
        <v>38</v>
      </c>
      <c r="D2766" s="108" t="s">
        <v>143</v>
      </c>
      <c r="E2766" s="108" t="s">
        <v>10</v>
      </c>
      <c r="F2766" s="116">
        <v>860</v>
      </c>
      <c r="G2766" s="108" t="s">
        <v>76</v>
      </c>
      <c r="H2766" s="108" t="str">
        <f t="shared" si="212"/>
        <v>Wallace River</v>
      </c>
      <c r="I2766" s="108" t="str">
        <f>IFERROR(VLOOKUP(H2766,LUTs!$A$1:$C$73,2,FALSE),"NA")</f>
        <v>Snohomish</v>
      </c>
      <c r="J2766" s="108" t="str">
        <f>IFERROR(VLOOKUP(H2766,LUTs!$A$1:$C$73,3,FALSE),"NA")</f>
        <v>2Central Puget Sound</v>
      </c>
      <c r="K2766" s="108" t="s">
        <v>16</v>
      </c>
      <c r="L2766" s="108" t="str">
        <f>VLOOKUP(K2766,LUTs!E$2:G$14,3,)</f>
        <v>03Snohomish</v>
      </c>
      <c r="M2766" s="108" t="str">
        <f>VLOOKUP($K2766,LUTs!$E$2:$H$14,2,)</f>
        <v>North Puget Sound</v>
      </c>
      <c r="N2766" s="108" t="str">
        <f>VLOOKUP($K2766,LUTs!$E$2:$H$14,4,)</f>
        <v>01North Puget Sound</v>
      </c>
      <c r="O2766" s="108">
        <v>102.928571428571</v>
      </c>
      <c r="P2766" s="108">
        <v>890.33214285713905</v>
      </c>
      <c r="Q2766" s="108">
        <f>SUMIFS('FW_Salmon_by_Month_2010-2021'!P$2:P$3810,'FW_Salmon_by_Month_2010-2021'!$B$2:$B$3810,'Rec_raw_catch_effort_2010-2021'!$B2766,'FW_Salmon_by_Month_2010-2021'!$H$2:$H$3810,'Rec_raw_catch_effort_2010-2021'!$F2766,'FW_Salmon_by_Month_2010-2021'!$M$2:$M$3810,'Rec_raw_catch_effort_2010-2021'!$K2766)</f>
        <v>102.6666666666667</v>
      </c>
      <c r="R2766" s="109">
        <f>VLOOKUP(B2766,Readme!$A$62:$C$74,2,)*Q2766</f>
        <v>494.80763682228957</v>
      </c>
      <c r="S2766" s="140" t="str">
        <f t="shared" si="213"/>
        <v>Y</v>
      </c>
      <c r="T2766" s="154">
        <f t="shared" si="214"/>
        <v>8.6499999999999986</v>
      </c>
      <c r="U2766" s="154">
        <f t="shared" si="215"/>
        <v>4.8195549041132084</v>
      </c>
    </row>
    <row r="2767" spans="1:21" x14ac:dyDescent="0.35">
      <c r="A2767" s="108">
        <v>2550</v>
      </c>
      <c r="B2767" s="108">
        <v>2017</v>
      </c>
      <c r="C2767" s="108" t="s">
        <v>38</v>
      </c>
      <c r="D2767" s="108" t="s">
        <v>143</v>
      </c>
      <c r="E2767" s="108" t="s">
        <v>10</v>
      </c>
      <c r="F2767" s="116">
        <v>860</v>
      </c>
      <c r="G2767" s="108" t="s">
        <v>76</v>
      </c>
      <c r="H2767" s="108" t="str">
        <f t="shared" si="212"/>
        <v>Wallace River</v>
      </c>
      <c r="I2767" s="108" t="str">
        <f>IFERROR(VLOOKUP(H2767,LUTs!$A$1:$C$73,2,FALSE),"NA")</f>
        <v>Snohomish</v>
      </c>
      <c r="J2767" s="108" t="str">
        <f>IFERROR(VLOOKUP(H2767,LUTs!$A$1:$C$73,3,FALSE),"NA")</f>
        <v>2Central Puget Sound</v>
      </c>
      <c r="K2767" s="108" t="s">
        <v>18</v>
      </c>
      <c r="L2767" s="108" t="str">
        <f>VLOOKUP(K2767,LUTs!E$2:G$14,3,)</f>
        <v>06King</v>
      </c>
      <c r="M2767" s="108" t="str">
        <f>VLOOKUP($K2767,LUTs!$E$2:$H$14,2,)</f>
        <v>South Puget Sound</v>
      </c>
      <c r="N2767" s="108" t="str">
        <f>VLOOKUP($K2767,LUTs!$E$2:$H$14,4,)</f>
        <v>02South Puget Sound</v>
      </c>
      <c r="O2767" s="108">
        <v>97.924528301886795</v>
      </c>
      <c r="P2767" s="108">
        <v>336.86037735849101</v>
      </c>
      <c r="Q2767" s="108">
        <f>SUMIFS('FW_Salmon_by_Month_2010-2021'!P$2:P$3810,'FW_Salmon_by_Month_2010-2021'!$B$2:$B$3810,'Rec_raw_catch_effort_2010-2021'!$B2767,'FW_Salmon_by_Month_2010-2021'!$H$2:$H$3810,'Rec_raw_catch_effort_2010-2021'!$F2767,'FW_Salmon_by_Month_2010-2021'!$M$2:$M$3810,'Rec_raw_catch_effort_2010-2021'!$K2767)</f>
        <v>97.894736842105303</v>
      </c>
      <c r="R2767" s="109">
        <f>VLOOKUP(B2767,Readme!$A$62:$C$74,2,)*Q2767</f>
        <v>346.45343252606818</v>
      </c>
      <c r="S2767" s="140" t="str">
        <f t="shared" si="213"/>
        <v>Y</v>
      </c>
      <c r="T2767" s="154">
        <f t="shared" si="214"/>
        <v>3.4400000000000044</v>
      </c>
      <c r="U2767" s="154">
        <f t="shared" si="215"/>
        <v>3.5390404397824153</v>
      </c>
    </row>
    <row r="2768" spans="1:21" x14ac:dyDescent="0.35">
      <c r="A2768" s="108">
        <v>2549</v>
      </c>
      <c r="B2768" s="108">
        <v>2017</v>
      </c>
      <c r="C2768" s="108" t="s">
        <v>38</v>
      </c>
      <c r="D2768" s="108" t="s">
        <v>143</v>
      </c>
      <c r="E2768" s="108" t="s">
        <v>10</v>
      </c>
      <c r="F2768" s="116">
        <v>860</v>
      </c>
      <c r="G2768" s="108" t="s">
        <v>76</v>
      </c>
      <c r="H2768" s="108" t="str">
        <f t="shared" si="212"/>
        <v>Wallace River</v>
      </c>
      <c r="I2768" s="108" t="str">
        <f>IFERROR(VLOOKUP(H2768,LUTs!$A$1:$C$73,2,FALSE),"NA")</f>
        <v>Snohomish</v>
      </c>
      <c r="J2768" s="108" t="str">
        <f>IFERROR(VLOOKUP(H2768,LUTs!$A$1:$C$73,3,FALSE),"NA")</f>
        <v>2Central Puget Sound</v>
      </c>
      <c r="K2768" s="108" t="s">
        <v>16</v>
      </c>
      <c r="L2768" s="108" t="str">
        <f>VLOOKUP(K2768,LUTs!E$2:G$14,3,)</f>
        <v>03Snohomish</v>
      </c>
      <c r="M2768" s="108" t="str">
        <f>VLOOKUP($K2768,LUTs!$E$2:$H$14,2,)</f>
        <v>North Puget Sound</v>
      </c>
      <c r="N2768" s="108" t="str">
        <f>VLOOKUP($K2768,LUTs!$E$2:$H$14,4,)</f>
        <v>01North Puget Sound</v>
      </c>
      <c r="O2768" s="108">
        <v>421.07547169811301</v>
      </c>
      <c r="P2768" s="108">
        <v>1448.4996226415101</v>
      </c>
      <c r="Q2768" s="108">
        <f>SUMIFS('FW_Salmon_by_Month_2010-2021'!P$2:P$3810,'FW_Salmon_by_Month_2010-2021'!$B$2:$B$3810,'Rec_raw_catch_effort_2010-2021'!$B2768,'FW_Salmon_by_Month_2010-2021'!$H$2:$H$3810,'Rec_raw_catch_effort_2010-2021'!$F2768,'FW_Salmon_by_Month_2010-2021'!$M$2:$M$3810,'Rec_raw_catch_effort_2010-2021'!$K2768)</f>
        <v>421.10526315789502</v>
      </c>
      <c r="R2768" s="109">
        <f>VLOOKUP(B2768,Readme!$A$62:$C$74,2,)*Q2768</f>
        <v>1490.3085557210065</v>
      </c>
      <c r="S2768" s="140" t="str">
        <f t="shared" si="213"/>
        <v>Y</v>
      </c>
      <c r="T2768" s="154">
        <f t="shared" si="214"/>
        <v>3.4400000000000031</v>
      </c>
      <c r="U2768" s="154">
        <f t="shared" si="215"/>
        <v>3.5390404397824153</v>
      </c>
    </row>
    <row r="2769" spans="1:21" x14ac:dyDescent="0.35">
      <c r="A2769" s="108">
        <v>2680</v>
      </c>
      <c r="B2769" s="108">
        <v>2018</v>
      </c>
      <c r="C2769" s="108" t="s">
        <v>38</v>
      </c>
      <c r="D2769" s="108" t="s">
        <v>143</v>
      </c>
      <c r="E2769" s="108" t="s">
        <v>10</v>
      </c>
      <c r="F2769" s="116">
        <v>860</v>
      </c>
      <c r="G2769" s="108" t="s">
        <v>76</v>
      </c>
      <c r="H2769" s="108" t="str">
        <f t="shared" si="212"/>
        <v>Wallace River</v>
      </c>
      <c r="I2769" s="108" t="str">
        <f>IFERROR(VLOOKUP(H2769,LUTs!$A$1:$C$73,2,FALSE),"NA")</f>
        <v>Snohomish</v>
      </c>
      <c r="J2769" s="108" t="str">
        <f>IFERROR(VLOOKUP(H2769,LUTs!$A$1:$C$73,3,FALSE),"NA")</f>
        <v>2Central Puget Sound</v>
      </c>
      <c r="K2769" s="108" t="s">
        <v>18</v>
      </c>
      <c r="L2769" s="108" t="str">
        <f>VLOOKUP(K2769,LUTs!E$2:G$14,3,)</f>
        <v>06King</v>
      </c>
      <c r="M2769" s="108" t="str">
        <f>VLOOKUP($K2769,LUTs!$E$2:$H$14,2,)</f>
        <v>South Puget Sound</v>
      </c>
      <c r="N2769" s="108" t="str">
        <f>VLOOKUP($K2769,LUTs!$E$2:$H$14,4,)</f>
        <v>02South Puget Sound</v>
      </c>
      <c r="O2769" s="108">
        <v>19.8571428571429</v>
      </c>
      <c r="P2769" s="108">
        <v>171.76428571428599</v>
      </c>
      <c r="Q2769" s="108">
        <f>SUMIFS('FW_Salmon_by_Month_2010-2021'!P$2:P$3810,'FW_Salmon_by_Month_2010-2021'!$B$2:$B$3810,'Rec_raw_catch_effort_2010-2021'!$B2769,'FW_Salmon_by_Month_2010-2021'!$H$2:$H$3810,'Rec_raw_catch_effort_2010-2021'!$F2769,'FW_Salmon_by_Month_2010-2021'!$M$2:$M$3810,'Rec_raw_catch_effort_2010-2021'!$K2769)</f>
        <v>21.3333333333333</v>
      </c>
      <c r="R2769" s="109">
        <f>VLOOKUP(B2769,Readme!$A$62:$C$74,2,)*Q2769</f>
        <v>102.81717128774828</v>
      </c>
      <c r="S2769" s="140" t="str">
        <f t="shared" si="213"/>
        <v>Y</v>
      </c>
      <c r="T2769" s="154">
        <f t="shared" si="214"/>
        <v>8.649999999999995</v>
      </c>
      <c r="U2769" s="154">
        <f t="shared" si="215"/>
        <v>4.8195549041132084</v>
      </c>
    </row>
    <row r="2770" spans="1:21" x14ac:dyDescent="0.35">
      <c r="A2770" s="108">
        <v>2679</v>
      </c>
      <c r="B2770" s="108">
        <v>2018</v>
      </c>
      <c r="C2770" s="108" t="s">
        <v>38</v>
      </c>
      <c r="D2770" s="108" t="s">
        <v>143</v>
      </c>
      <c r="E2770" s="108" t="s">
        <v>10</v>
      </c>
      <c r="F2770" s="116">
        <v>860</v>
      </c>
      <c r="G2770" s="108" t="s">
        <v>76</v>
      </c>
      <c r="H2770" s="108" t="str">
        <f t="shared" si="212"/>
        <v>Wallace River</v>
      </c>
      <c r="I2770" s="108" t="str">
        <f>IFERROR(VLOOKUP(H2770,LUTs!$A$1:$C$73,2,FALSE),"NA")</f>
        <v>Snohomish</v>
      </c>
      <c r="J2770" s="108" t="str">
        <f>IFERROR(VLOOKUP(H2770,LUTs!$A$1:$C$73,3,FALSE),"NA")</f>
        <v>2Central Puget Sound</v>
      </c>
      <c r="K2770" s="108" t="s">
        <v>16</v>
      </c>
      <c r="L2770" s="108" t="str">
        <f>VLOOKUP(K2770,LUTs!E$2:G$14,3,)</f>
        <v>03Snohomish</v>
      </c>
      <c r="M2770" s="108" t="str">
        <f>VLOOKUP($K2770,LUTs!$E$2:$H$14,2,)</f>
        <v>North Puget Sound</v>
      </c>
      <c r="N2770" s="108" t="str">
        <f>VLOOKUP($K2770,LUTs!$E$2:$H$14,4,)</f>
        <v>01North Puget Sound</v>
      </c>
      <c r="O2770" s="108">
        <v>119.142857142857</v>
      </c>
      <c r="P2770" s="108">
        <v>1030.5857142857101</v>
      </c>
      <c r="Q2770" s="108">
        <f>SUMIFS('FW_Salmon_by_Month_2010-2021'!P$2:P$3810,'FW_Salmon_by_Month_2010-2021'!$B$2:$B$3810,'Rec_raw_catch_effort_2010-2021'!$B2770,'FW_Salmon_by_Month_2010-2021'!$H$2:$H$3810,'Rec_raw_catch_effort_2010-2021'!$F2770,'FW_Salmon_by_Month_2010-2021'!$M$2:$M$3810,'Rec_raw_catch_effort_2010-2021'!$K2770)</f>
        <v>117.6666666666667</v>
      </c>
      <c r="R2770" s="109">
        <f>VLOOKUP(B2770,Readme!$A$62:$C$74,2,)*Q2770</f>
        <v>567.10096038398774</v>
      </c>
      <c r="S2770" s="140" t="str">
        <f t="shared" si="213"/>
        <v>Y</v>
      </c>
      <c r="T2770" s="154">
        <f t="shared" si="214"/>
        <v>8.6499999999999755</v>
      </c>
      <c r="U2770" s="154">
        <f t="shared" si="215"/>
        <v>4.8195549041132093</v>
      </c>
    </row>
    <row r="2771" spans="1:21" x14ac:dyDescent="0.35">
      <c r="A2771" s="108">
        <v>2791</v>
      </c>
      <c r="B2771" s="108">
        <v>2019</v>
      </c>
      <c r="C2771" s="108" t="s">
        <v>38</v>
      </c>
      <c r="D2771" s="108" t="s">
        <v>143</v>
      </c>
      <c r="E2771" s="108" t="s">
        <v>10</v>
      </c>
      <c r="F2771" s="116">
        <v>860</v>
      </c>
      <c r="G2771" s="108" t="s">
        <v>76</v>
      </c>
      <c r="H2771" s="108" t="str">
        <f t="shared" si="212"/>
        <v>Wallace River</v>
      </c>
      <c r="I2771" s="108" t="str">
        <f>IFERROR(VLOOKUP(H2771,LUTs!$A$1:$C$73,2,FALSE),"NA")</f>
        <v>Snohomish</v>
      </c>
      <c r="J2771" s="108" t="str">
        <f>IFERROR(VLOOKUP(H2771,LUTs!$A$1:$C$73,3,FALSE),"NA")</f>
        <v>2Central Puget Sound</v>
      </c>
      <c r="K2771" s="108" t="s">
        <v>18</v>
      </c>
      <c r="L2771" s="108" t="str">
        <f>VLOOKUP(K2771,LUTs!E$2:G$14,3,)</f>
        <v>06King</v>
      </c>
      <c r="M2771" s="108" t="str">
        <f>VLOOKUP($K2771,LUTs!$E$2:$H$14,2,)</f>
        <v>South Puget Sound</v>
      </c>
      <c r="N2771" s="108" t="str">
        <f>VLOOKUP($K2771,LUTs!$E$2:$H$14,4,)</f>
        <v>02South Puget Sound</v>
      </c>
      <c r="O2771" s="108">
        <v>184.243243243243</v>
      </c>
      <c r="P2771" s="108">
        <v>633.79675675675605</v>
      </c>
      <c r="Q2771" s="108">
        <f>SUMIFS('FW_Salmon_by_Month_2010-2021'!P$2:P$3810,'FW_Salmon_by_Month_2010-2021'!$B$2:$B$3810,'Rec_raw_catch_effort_2010-2021'!$B2771,'FW_Salmon_by_Month_2010-2021'!$H$2:$H$3810,'Rec_raw_catch_effort_2010-2021'!$F2771,'FW_Salmon_by_Month_2010-2021'!$M$2:$M$3810,'Rec_raw_catch_effort_2010-2021'!$K2771)</f>
        <v>184.23333333333332</v>
      </c>
      <c r="R2771" s="109">
        <f>VLOOKUP(B2771,Readme!$A$62:$C$74,2,)*Q2771</f>
        <v>652.00921702258029</v>
      </c>
      <c r="S2771" s="140" t="str">
        <f t="shared" si="213"/>
        <v>Y</v>
      </c>
      <c r="T2771" s="154">
        <f t="shared" si="214"/>
        <v>3.4400000000000008</v>
      </c>
      <c r="U2771" s="154">
        <f t="shared" si="215"/>
        <v>3.5390404397824153</v>
      </c>
    </row>
    <row r="2772" spans="1:21" x14ac:dyDescent="0.35">
      <c r="A2772" s="108">
        <v>2790</v>
      </c>
      <c r="B2772" s="108">
        <v>2019</v>
      </c>
      <c r="C2772" s="108" t="s">
        <v>38</v>
      </c>
      <c r="D2772" s="108" t="s">
        <v>143</v>
      </c>
      <c r="E2772" s="108" t="s">
        <v>10</v>
      </c>
      <c r="F2772" s="116">
        <v>860</v>
      </c>
      <c r="G2772" s="108" t="s">
        <v>76</v>
      </c>
      <c r="H2772" s="108" t="str">
        <f t="shared" si="212"/>
        <v>Wallace River</v>
      </c>
      <c r="I2772" s="108" t="str">
        <f>IFERROR(VLOOKUP(H2772,LUTs!$A$1:$C$73,2,FALSE),"NA")</f>
        <v>Snohomish</v>
      </c>
      <c r="J2772" s="108" t="str">
        <f>IFERROR(VLOOKUP(H2772,LUTs!$A$1:$C$73,3,FALSE),"NA")</f>
        <v>2Central Puget Sound</v>
      </c>
      <c r="K2772" s="108" t="s">
        <v>16</v>
      </c>
      <c r="L2772" s="108" t="str">
        <f>VLOOKUP(K2772,LUTs!E$2:G$14,3,)</f>
        <v>03Snohomish</v>
      </c>
      <c r="M2772" s="108" t="str">
        <f>VLOOKUP($K2772,LUTs!$E$2:$H$14,2,)</f>
        <v>North Puget Sound</v>
      </c>
      <c r="N2772" s="108" t="str">
        <f>VLOOKUP($K2772,LUTs!$E$2:$H$14,4,)</f>
        <v>01North Puget Sound</v>
      </c>
      <c r="O2772" s="108">
        <v>216.756756756757</v>
      </c>
      <c r="P2772" s="108">
        <v>745.643243243244</v>
      </c>
      <c r="Q2772" s="108">
        <f>SUMIFS('FW_Salmon_by_Month_2010-2021'!P$2:P$3810,'FW_Salmon_by_Month_2010-2021'!$B$2:$B$3810,'Rec_raw_catch_effort_2010-2021'!$B2772,'FW_Salmon_by_Month_2010-2021'!$H$2:$H$3810,'Rec_raw_catch_effort_2010-2021'!$F2772,'FW_Salmon_by_Month_2010-2021'!$M$2:$M$3810,'Rec_raw_catch_effort_2010-2021'!$K2772)</f>
        <v>216.76666666666668</v>
      </c>
      <c r="R2772" s="109">
        <f>VLOOKUP(B2772,Readme!$A$62:$C$74,2,)*Q2772</f>
        <v>767.14599933016825</v>
      </c>
      <c r="S2772" s="140" t="str">
        <f t="shared" si="213"/>
        <v>Y</v>
      </c>
      <c r="T2772" s="154">
        <f t="shared" si="214"/>
        <v>3.4399999999999995</v>
      </c>
      <c r="U2772" s="154">
        <f t="shared" si="215"/>
        <v>3.5390404397824153</v>
      </c>
    </row>
    <row r="2773" spans="1:21" x14ac:dyDescent="0.35">
      <c r="A2773" s="108">
        <v>3086</v>
      </c>
      <c r="B2773" s="108">
        <v>2020</v>
      </c>
      <c r="C2773" s="108" t="s">
        <v>38</v>
      </c>
      <c r="D2773" s="108" t="s">
        <v>143</v>
      </c>
      <c r="E2773" s="108" t="s">
        <v>10</v>
      </c>
      <c r="F2773" s="116">
        <v>860</v>
      </c>
      <c r="G2773" s="108" t="s">
        <v>76</v>
      </c>
      <c r="H2773" s="108" t="str">
        <f t="shared" si="212"/>
        <v>Wallace River</v>
      </c>
      <c r="I2773" s="108" t="str">
        <f>IFERROR(VLOOKUP(H2773,LUTs!$A$1:$C$73,2,FALSE),"NA")</f>
        <v>Snohomish</v>
      </c>
      <c r="J2773" s="108" t="str">
        <f>IFERROR(VLOOKUP(H2773,LUTs!$A$1:$C$73,3,FALSE),"NA")</f>
        <v>2Central Puget Sound</v>
      </c>
      <c r="K2773" s="108" t="s">
        <v>18</v>
      </c>
      <c r="L2773" s="108" t="str">
        <f>VLOOKUP(K2773,LUTs!E$2:G$14,3,)</f>
        <v>06King</v>
      </c>
      <c r="M2773" s="108" t="str">
        <f>VLOOKUP($K2773,LUTs!$E$2:$H$14,2,)</f>
        <v>South Puget Sound</v>
      </c>
      <c r="N2773" s="108" t="str">
        <f>VLOOKUP($K2773,LUTs!$E$2:$H$14,4,)</f>
        <v>02South Puget Sound</v>
      </c>
      <c r="O2773" s="108">
        <v>173.894736842105</v>
      </c>
      <c r="P2773" s="108">
        <v>1504.18947368421</v>
      </c>
      <c r="Q2773" s="108">
        <f>SUMIFS('FW_Salmon_by_Month_2010-2021'!P$2:P$3810,'FW_Salmon_by_Month_2010-2021'!$B$2:$B$3810,'Rec_raw_catch_effort_2010-2021'!$B2773,'FW_Salmon_by_Month_2010-2021'!$H$2:$H$3810,'Rec_raw_catch_effort_2010-2021'!$F2773,'FW_Salmon_by_Month_2010-2021'!$M$2:$M$3810,'Rec_raw_catch_effort_2010-2021'!$K2773)</f>
        <v>173.9285714285715</v>
      </c>
      <c r="R2773" s="109">
        <f>VLOOKUP(B2773,Readme!$A$62:$C$74,2,)*Q2773</f>
        <v>838.25829939397624</v>
      </c>
      <c r="S2773" s="140" t="str">
        <f t="shared" si="213"/>
        <v>N</v>
      </c>
      <c r="T2773" s="154">
        <f t="shared" si="214"/>
        <v>8.6500000000000092</v>
      </c>
      <c r="U2773" s="154">
        <f t="shared" si="215"/>
        <v>4.8195549041132084</v>
      </c>
    </row>
    <row r="2774" spans="1:21" x14ac:dyDescent="0.35">
      <c r="A2774" s="108">
        <v>3047</v>
      </c>
      <c r="B2774" s="108">
        <v>2020</v>
      </c>
      <c r="C2774" s="108" t="s">
        <v>38</v>
      </c>
      <c r="D2774" s="108" t="s">
        <v>143</v>
      </c>
      <c r="E2774" s="108" t="s">
        <v>10</v>
      </c>
      <c r="F2774" s="116">
        <v>860</v>
      </c>
      <c r="G2774" s="108" t="s">
        <v>76</v>
      </c>
      <c r="H2774" s="108" t="str">
        <f t="shared" si="212"/>
        <v>Wallace River</v>
      </c>
      <c r="I2774" s="108" t="str">
        <f>IFERROR(VLOOKUP(H2774,LUTs!$A$1:$C$73,2,FALSE),"NA")</f>
        <v>Snohomish</v>
      </c>
      <c r="J2774" s="108" t="str">
        <f>IFERROR(VLOOKUP(H2774,LUTs!$A$1:$C$73,3,FALSE),"NA")</f>
        <v>2Central Puget Sound</v>
      </c>
      <c r="K2774" s="108" t="s">
        <v>16</v>
      </c>
      <c r="L2774" s="108" t="str">
        <f>VLOOKUP(K2774,LUTs!E$2:G$14,3,)</f>
        <v>03Snohomish</v>
      </c>
      <c r="M2774" s="108" t="str">
        <f>VLOOKUP($K2774,LUTs!$E$2:$H$14,2,)</f>
        <v>North Puget Sound</v>
      </c>
      <c r="N2774" s="108" t="str">
        <f>VLOOKUP($K2774,LUTs!$E$2:$H$14,4,)</f>
        <v>01North Puget Sound</v>
      </c>
      <c r="O2774" s="108">
        <v>298.10526315789502</v>
      </c>
      <c r="P2774" s="108">
        <v>2578.6105263157901</v>
      </c>
      <c r="Q2774" s="108">
        <f>SUMIFS('FW_Salmon_by_Month_2010-2021'!P$2:P$3810,'FW_Salmon_by_Month_2010-2021'!$B$2:$B$3810,'Rec_raw_catch_effort_2010-2021'!$B2774,'FW_Salmon_by_Month_2010-2021'!$H$2:$H$3810,'Rec_raw_catch_effort_2010-2021'!$F2774,'FW_Salmon_by_Month_2010-2021'!$M$2:$M$3810,'Rec_raw_catch_effort_2010-2021'!$K2774)</f>
        <v>298.07142857142901</v>
      </c>
      <c r="R2774" s="109">
        <f>VLOOKUP(B2774,Readme!$A$62:$C$74,2,)*Q2774</f>
        <v>1436.5716153474607</v>
      </c>
      <c r="S2774" s="140" t="str">
        <f t="shared" si="213"/>
        <v>N</v>
      </c>
      <c r="T2774" s="154">
        <f t="shared" si="214"/>
        <v>8.6499999999999932</v>
      </c>
      <c r="U2774" s="154">
        <f t="shared" si="215"/>
        <v>4.8195549041132084</v>
      </c>
    </row>
    <row r="2775" spans="1:21" x14ac:dyDescent="0.35">
      <c r="A2775" s="108">
        <v>1432</v>
      </c>
      <c r="B2775" s="108">
        <v>2021</v>
      </c>
      <c r="C2775" s="108" t="s">
        <v>38</v>
      </c>
      <c r="D2775" s="108" t="s">
        <v>143</v>
      </c>
      <c r="E2775" s="108" t="s">
        <v>10</v>
      </c>
      <c r="F2775" s="116">
        <v>860</v>
      </c>
      <c r="G2775" s="108" t="s">
        <v>76</v>
      </c>
      <c r="H2775" s="108" t="str">
        <f t="shared" si="212"/>
        <v>Wallace River</v>
      </c>
      <c r="I2775" s="108" t="str">
        <f>IFERROR(VLOOKUP(H2775,LUTs!$A$1:$C$73,2,FALSE),"NA")</f>
        <v>Snohomish</v>
      </c>
      <c r="J2775" s="108" t="str">
        <f>IFERROR(VLOOKUP(H2775,LUTs!$A$1:$C$73,3,FALSE),"NA")</f>
        <v>2Central Puget Sound</v>
      </c>
      <c r="K2775" s="108" t="s">
        <v>18</v>
      </c>
      <c r="L2775" s="108" t="str">
        <f>VLOOKUP(K2775,LUTs!E$2:G$14,3,)</f>
        <v>06King</v>
      </c>
      <c r="M2775" s="108" t="str">
        <f>VLOOKUP($K2775,LUTs!$E$2:$H$14,2,)</f>
        <v>South Puget Sound</v>
      </c>
      <c r="N2775" s="108" t="str">
        <f>VLOOKUP($K2775,LUTs!$E$2:$H$14,4,)</f>
        <v>02South Puget Sound</v>
      </c>
      <c r="O2775" s="108">
        <v>559.84782608695696</v>
      </c>
      <c r="P2775" s="108">
        <v>1925.8765217391301</v>
      </c>
      <c r="Q2775" s="108">
        <f>SUMIFS('FW_Salmon_by_Month_2010-2021'!P$2:P$3810,'FW_Salmon_by_Month_2010-2021'!$B$2:$B$3810,'Rec_raw_catch_effort_2010-2021'!$B2775,'FW_Salmon_by_Month_2010-2021'!$H$2:$H$3810,'Rec_raw_catch_effort_2010-2021'!$F2775,'FW_Salmon_by_Month_2010-2021'!$M$2:$M$3810,'Rec_raw_catch_effort_2010-2021'!$K2775)</f>
        <v>577.286885245902</v>
      </c>
      <c r="R2775" s="109">
        <f>VLOOKUP(B2775,Readme!$A$62:$C$74,2,)*Q2775</f>
        <v>2043.0416322412777</v>
      </c>
      <c r="S2775" s="140" t="str">
        <f t="shared" si="213"/>
        <v>N</v>
      </c>
      <c r="T2775" s="154">
        <f t="shared" si="214"/>
        <v>3.4399999999999968</v>
      </c>
      <c r="U2775" s="154">
        <f t="shared" si="215"/>
        <v>3.5390404397824153</v>
      </c>
    </row>
    <row r="2776" spans="1:21" x14ac:dyDescent="0.35">
      <c r="A2776" s="108">
        <v>1607</v>
      </c>
      <c r="B2776" s="108">
        <v>2021</v>
      </c>
      <c r="C2776" s="108" t="s">
        <v>38</v>
      </c>
      <c r="D2776" s="108" t="s">
        <v>143</v>
      </c>
      <c r="E2776" s="108" t="s">
        <v>10</v>
      </c>
      <c r="F2776" s="116">
        <v>860</v>
      </c>
      <c r="G2776" s="108" t="s">
        <v>76</v>
      </c>
      <c r="H2776" s="108" t="str">
        <f t="shared" si="212"/>
        <v>Wallace River</v>
      </c>
      <c r="I2776" s="108" t="str">
        <f>IFERROR(VLOOKUP(H2776,LUTs!$A$1:$C$73,2,FALSE),"NA")</f>
        <v>Snohomish</v>
      </c>
      <c r="J2776" s="108" t="str">
        <f>IFERROR(VLOOKUP(H2776,LUTs!$A$1:$C$73,3,FALSE),"NA")</f>
        <v>2Central Puget Sound</v>
      </c>
      <c r="K2776" s="108" t="s">
        <v>26</v>
      </c>
      <c r="L2776" s="108" t="str">
        <f>VLOOKUP(K2776,LUTs!E$2:G$14,3,)</f>
        <v>20Other</v>
      </c>
      <c r="M2776" s="108" t="str">
        <f>VLOOKUP($K2776,LUTs!$E$2:$H$14,2,)</f>
        <v>Non Puget Sound</v>
      </c>
      <c r="N2776" s="108" t="str">
        <f>VLOOKUP($K2776,LUTs!$E$2:$H$14,4,)</f>
        <v>07Non Puget Sound</v>
      </c>
      <c r="O2776" s="108">
        <v>14.355072463768099</v>
      </c>
      <c r="P2776" s="108">
        <v>49.3814492753623</v>
      </c>
      <c r="Q2776" s="108">
        <f>SUMIFS('FW_Salmon_by_Month_2010-2021'!P$2:P$3810,'FW_Salmon_by_Month_2010-2021'!$B$2:$B$3810,'Rec_raw_catch_effort_2010-2021'!$B2776,'FW_Salmon_by_Month_2010-2021'!$H$2:$H$3810,'Rec_raw_catch_effort_2010-2021'!$F2776,'FW_Salmon_by_Month_2010-2021'!$M$2:$M$3810,'Rec_raw_catch_effort_2010-2021'!$K2776)</f>
        <v>13.6147540983607</v>
      </c>
      <c r="R2776" s="109">
        <f>VLOOKUP(B2776,Readme!$A$62:$C$74,2,)*Q2776</f>
        <v>48.183165331791898</v>
      </c>
      <c r="S2776" s="140" t="str">
        <f t="shared" si="213"/>
        <v>N</v>
      </c>
      <c r="T2776" s="154">
        <f t="shared" si="214"/>
        <v>3.4400000000000026</v>
      </c>
      <c r="U2776" s="154">
        <f t="shared" si="215"/>
        <v>3.5390404397824153</v>
      </c>
    </row>
    <row r="2777" spans="1:21" x14ac:dyDescent="0.35">
      <c r="A2777" s="108">
        <v>1433</v>
      </c>
      <c r="B2777" s="108">
        <v>2021</v>
      </c>
      <c r="C2777" s="108" t="s">
        <v>38</v>
      </c>
      <c r="D2777" s="108" t="s">
        <v>143</v>
      </c>
      <c r="E2777" s="108" t="s">
        <v>10</v>
      </c>
      <c r="F2777" s="116">
        <v>860</v>
      </c>
      <c r="G2777" s="108" t="s">
        <v>76</v>
      </c>
      <c r="H2777" s="108" t="str">
        <f t="shared" si="212"/>
        <v>Wallace River</v>
      </c>
      <c r="I2777" s="108" t="str">
        <f>IFERROR(VLOOKUP(H2777,LUTs!$A$1:$C$73,2,FALSE),"NA")</f>
        <v>Snohomish</v>
      </c>
      <c r="J2777" s="108" t="str">
        <f>IFERROR(VLOOKUP(H2777,LUTs!$A$1:$C$73,3,FALSE),"NA")</f>
        <v>2Central Puget Sound</v>
      </c>
      <c r="K2777" s="108" t="s">
        <v>20</v>
      </c>
      <c r="L2777" s="108" t="str">
        <f>VLOOKUP(K2777,LUTs!E$2:G$14,3,)</f>
        <v>07Pierce</v>
      </c>
      <c r="M2777" s="108" t="str">
        <f>VLOOKUP($K2777,LUTs!$E$2:$H$14,2,)</f>
        <v>South Puget Sound</v>
      </c>
      <c r="N2777" s="108" t="str">
        <f>VLOOKUP($K2777,LUTs!$E$2:$H$14,4,)</f>
        <v>02South Puget Sound</v>
      </c>
      <c r="O2777" s="108">
        <v>43.065217391304401</v>
      </c>
      <c r="P2777" s="108">
        <v>148.144347826087</v>
      </c>
      <c r="Q2777" s="108">
        <f>SUMIFS('FW_Salmon_by_Month_2010-2021'!P$2:P$3810,'FW_Salmon_by_Month_2010-2021'!$B$2:$B$3810,'Rec_raw_catch_effort_2010-2021'!$B2777,'FW_Salmon_by_Month_2010-2021'!$H$2:$H$3810,'Rec_raw_catch_effort_2010-2021'!$F2777,'FW_Salmon_by_Month_2010-2021'!$M$2:$M$3810,'Rec_raw_catch_effort_2010-2021'!$K2777)</f>
        <v>40.844262295081997</v>
      </c>
      <c r="R2777" s="109">
        <f>VLOOKUP(B2777,Readme!$A$62:$C$74,2,)*Q2777</f>
        <v>144.54949599537531</v>
      </c>
      <c r="S2777" s="140" t="str">
        <f t="shared" si="213"/>
        <v>N</v>
      </c>
      <c r="T2777" s="154">
        <f t="shared" si="214"/>
        <v>3.4399999999999968</v>
      </c>
      <c r="U2777" s="154">
        <f t="shared" si="215"/>
        <v>3.5390404397824153</v>
      </c>
    </row>
    <row r="2778" spans="1:21" x14ac:dyDescent="0.35">
      <c r="A2778" s="108">
        <v>1431</v>
      </c>
      <c r="B2778" s="108">
        <v>2021</v>
      </c>
      <c r="C2778" s="108" t="s">
        <v>38</v>
      </c>
      <c r="D2778" s="108" t="s">
        <v>143</v>
      </c>
      <c r="E2778" s="108" t="s">
        <v>10</v>
      </c>
      <c r="F2778" s="116">
        <v>860</v>
      </c>
      <c r="G2778" s="108" t="s">
        <v>76</v>
      </c>
      <c r="H2778" s="108" t="str">
        <f t="shared" si="212"/>
        <v>Wallace River</v>
      </c>
      <c r="I2778" s="108" t="str">
        <f>IFERROR(VLOOKUP(H2778,LUTs!$A$1:$C$73,2,FALSE),"NA")</f>
        <v>Snohomish</v>
      </c>
      <c r="J2778" s="108" t="str">
        <f>IFERROR(VLOOKUP(H2778,LUTs!$A$1:$C$73,3,FALSE),"NA")</f>
        <v>2Central Puget Sound</v>
      </c>
      <c r="K2778" s="108" t="s">
        <v>16</v>
      </c>
      <c r="L2778" s="108" t="str">
        <f>VLOOKUP(K2778,LUTs!E$2:G$14,3,)</f>
        <v>03Snohomish</v>
      </c>
      <c r="M2778" s="108" t="str">
        <f>VLOOKUP($K2778,LUTs!$E$2:$H$14,2,)</f>
        <v>North Puget Sound</v>
      </c>
      <c r="N2778" s="108" t="str">
        <f>VLOOKUP($K2778,LUTs!$E$2:$H$14,4,)</f>
        <v>01North Puget Sound</v>
      </c>
      <c r="O2778" s="108">
        <v>1335.02173913043</v>
      </c>
      <c r="P2778" s="108">
        <v>4592.4747826086796</v>
      </c>
      <c r="Q2778" s="108">
        <f>SUMIFS('FW_Salmon_by_Month_2010-2021'!P$2:P$3810,'FW_Salmon_by_Month_2010-2021'!$B$2:$B$3810,'Rec_raw_catch_effort_2010-2021'!$B2778,'FW_Salmon_by_Month_2010-2021'!$H$2:$H$3810,'Rec_raw_catch_effort_2010-2021'!$F2778,'FW_Salmon_by_Month_2010-2021'!$M$2:$M$3810,'Rec_raw_catch_effort_2010-2021'!$K2778)</f>
        <v>1322.02459016393</v>
      </c>
      <c r="R2778" s="109">
        <f>VLOOKUP(B2778,Readme!$A$62:$C$74,2,)*Q2778</f>
        <v>4678.6984869769221</v>
      </c>
      <c r="S2778" s="140" t="str">
        <f t="shared" si="213"/>
        <v>N</v>
      </c>
      <c r="T2778" s="154">
        <f t="shared" si="214"/>
        <v>3.4400000000000004</v>
      </c>
      <c r="U2778" s="154">
        <f t="shared" si="215"/>
        <v>3.5390404397824153</v>
      </c>
    </row>
    <row r="2779" spans="1:21" x14ac:dyDescent="0.35">
      <c r="A2779" s="108">
        <v>1434</v>
      </c>
      <c r="B2779" s="108">
        <v>2021</v>
      </c>
      <c r="C2779" s="108" t="s">
        <v>38</v>
      </c>
      <c r="D2779" s="108" t="s">
        <v>143</v>
      </c>
      <c r="E2779" s="108" t="s">
        <v>10</v>
      </c>
      <c r="F2779" s="116">
        <v>860</v>
      </c>
      <c r="G2779" s="108" t="s">
        <v>76</v>
      </c>
      <c r="H2779" s="108" t="str">
        <f t="shared" si="212"/>
        <v>Wallace River</v>
      </c>
      <c r="I2779" s="108" t="str">
        <f>IFERROR(VLOOKUP(H2779,LUTs!$A$1:$C$73,2,FALSE),"NA")</f>
        <v>Snohomish</v>
      </c>
      <c r="J2779" s="108" t="str">
        <f>IFERROR(VLOOKUP(H2779,LUTs!$A$1:$C$73,3,FALSE),"NA")</f>
        <v>2Central Puget Sound</v>
      </c>
      <c r="K2779" s="108" t="s">
        <v>21</v>
      </c>
      <c r="L2779" s="108" t="str">
        <f>VLOOKUP(K2779,LUTs!E$2:G$14,3,)</f>
        <v>08Thurston</v>
      </c>
      <c r="M2779" s="108" t="str">
        <f>VLOOKUP($K2779,LUTs!$E$2:$H$14,2,)</f>
        <v>South Puget Sound</v>
      </c>
      <c r="N2779" s="108" t="str">
        <f>VLOOKUP($K2779,LUTs!$E$2:$H$14,4,)</f>
        <v>02South Puget Sound</v>
      </c>
      <c r="O2779" s="108">
        <v>28.710144927536199</v>
      </c>
      <c r="P2779" s="108">
        <v>98.762898550724501</v>
      </c>
      <c r="Q2779" s="108">
        <f>SUMIFS('FW_Salmon_by_Month_2010-2021'!P$2:P$3810,'FW_Salmon_by_Month_2010-2021'!$B$2:$B$3810,'Rec_raw_catch_effort_2010-2021'!$B2779,'FW_Salmon_by_Month_2010-2021'!$H$2:$H$3810,'Rec_raw_catch_effort_2010-2021'!$F2779,'FW_Salmon_by_Month_2010-2021'!$M$2:$M$3810,'Rec_raw_catch_effort_2010-2021'!$K2779)</f>
        <v>27.229508196721302</v>
      </c>
      <c r="R2779" s="109">
        <f>VLOOKUP(B2779,Readme!$A$62:$C$74,2,)*Q2779</f>
        <v>96.36633066358344</v>
      </c>
      <c r="S2779" s="140" t="str">
        <f t="shared" si="213"/>
        <v>N</v>
      </c>
      <c r="T2779" s="154">
        <f t="shared" si="214"/>
        <v>3.4399999999999991</v>
      </c>
      <c r="U2779" s="154">
        <f t="shared" si="215"/>
        <v>3.5390404397824153</v>
      </c>
    </row>
    <row r="2780" spans="1:21" x14ac:dyDescent="0.35">
      <c r="A2780" s="108">
        <v>3589</v>
      </c>
      <c r="B2780" s="108">
        <v>2010</v>
      </c>
      <c r="C2780" s="108" t="s">
        <v>38</v>
      </c>
      <c r="D2780" s="108" t="s">
        <v>143</v>
      </c>
      <c r="E2780" s="108" t="s">
        <v>10</v>
      </c>
      <c r="F2780" s="116">
        <v>872</v>
      </c>
      <c r="G2780" s="108" t="s">
        <v>65</v>
      </c>
      <c r="H2780" s="108" t="str">
        <f t="shared" si="212"/>
        <v>Stillaguamish River</v>
      </c>
      <c r="I2780" s="108" t="str">
        <f>IFERROR(VLOOKUP(H2780,LUTs!$A$1:$C$73,2,FALSE),"NA")</f>
        <v>Snohomish</v>
      </c>
      <c r="J2780" s="108" t="str">
        <f>IFERROR(VLOOKUP(H2780,LUTs!$A$1:$C$73,3,FALSE),"NA")</f>
        <v>2Central Puget Sound</v>
      </c>
      <c r="K2780" s="108" t="s">
        <v>17</v>
      </c>
      <c r="L2780" s="108" t="str">
        <f>VLOOKUP(K2780,LUTs!E$2:G$14,3,)</f>
        <v>04Island</v>
      </c>
      <c r="M2780" s="108" t="str">
        <f>VLOOKUP($K2780,LUTs!$E$2:$H$14,2,)</f>
        <v>North Puget Sound</v>
      </c>
      <c r="N2780" s="108" t="str">
        <f>VLOOKUP($K2780,LUTs!$E$2:$H$14,4,)</f>
        <v>01North Puget Sound</v>
      </c>
      <c r="O2780" s="108">
        <v>12.1785714285714</v>
      </c>
      <c r="P2780" s="108">
        <v>105.344642857143</v>
      </c>
      <c r="Q2780" s="108">
        <f>SUMIFS('FW_Salmon_by_Month_2010-2021'!P$2:P$3810,'FW_Salmon_by_Month_2010-2021'!$B$2:$B$3810,'Rec_raw_catch_effort_2010-2021'!$B2780,'FW_Salmon_by_Month_2010-2021'!$H$2:$H$3810,'Rec_raw_catch_effort_2010-2021'!$F2780,'FW_Salmon_by_Month_2010-2021'!$M$2:$M$3810,'Rec_raw_catch_effort_2010-2021'!$K2780)</f>
        <v>12.1904761904762</v>
      </c>
      <c r="R2780" s="109">
        <f>VLOOKUP(B2780,Readme!$A$62:$C$74,2,)*Q2780</f>
        <v>58.752669307284876</v>
      </c>
      <c r="S2780" s="140" t="str">
        <f t="shared" si="213"/>
        <v>Y</v>
      </c>
      <c r="T2780" s="154">
        <f t="shared" si="214"/>
        <v>8.6500000000000323</v>
      </c>
      <c r="U2780" s="154">
        <f t="shared" si="215"/>
        <v>4.8195549041132084</v>
      </c>
    </row>
    <row r="2781" spans="1:21" x14ac:dyDescent="0.35">
      <c r="A2781" s="108">
        <v>3587</v>
      </c>
      <c r="B2781" s="108">
        <v>2010</v>
      </c>
      <c r="C2781" s="108" t="s">
        <v>38</v>
      </c>
      <c r="D2781" s="108" t="s">
        <v>143</v>
      </c>
      <c r="E2781" s="108" t="s">
        <v>10</v>
      </c>
      <c r="F2781" s="116">
        <v>872</v>
      </c>
      <c r="G2781" s="108" t="s">
        <v>65</v>
      </c>
      <c r="H2781" s="108" t="str">
        <f t="shared" si="212"/>
        <v>Stillaguamish River</v>
      </c>
      <c r="I2781" s="108" t="str">
        <f>IFERROR(VLOOKUP(H2781,LUTs!$A$1:$C$73,2,FALSE),"NA")</f>
        <v>Snohomish</v>
      </c>
      <c r="J2781" s="108" t="str">
        <f>IFERROR(VLOOKUP(H2781,LUTs!$A$1:$C$73,3,FALSE),"NA")</f>
        <v>2Central Puget Sound</v>
      </c>
      <c r="K2781" s="108" t="s">
        <v>16</v>
      </c>
      <c r="L2781" s="108" t="str">
        <f>VLOOKUP(K2781,LUTs!E$2:G$14,3,)</f>
        <v>03Snohomish</v>
      </c>
      <c r="M2781" s="108" t="str">
        <f>VLOOKUP($K2781,LUTs!$E$2:$H$14,2,)</f>
        <v>North Puget Sound</v>
      </c>
      <c r="N2781" s="108" t="str">
        <f>VLOOKUP($K2781,LUTs!$E$2:$H$14,4,)</f>
        <v>01North Puget Sound</v>
      </c>
      <c r="O2781" s="108">
        <v>328.82142857142901</v>
      </c>
      <c r="P2781" s="108">
        <v>2844.30535714286</v>
      </c>
      <c r="Q2781" s="108">
        <f>SUMIFS('FW_Salmon_by_Month_2010-2021'!P$2:P$3810,'FW_Salmon_by_Month_2010-2021'!$B$2:$B$3810,'Rec_raw_catch_effort_2010-2021'!$B2781,'FW_Salmon_by_Month_2010-2021'!$H$2:$H$3810,'Rec_raw_catch_effort_2010-2021'!$F2781,'FW_Salmon_by_Month_2010-2021'!$M$2:$M$3810,'Rec_raw_catch_effort_2010-2021'!$K2781)</f>
        <v>328.80952380952397</v>
      </c>
      <c r="R2781" s="109">
        <f>VLOOKUP(B2781,Readme!$A$62:$C$74,2,)*Q2781</f>
        <v>1584.71555299532</v>
      </c>
      <c r="S2781" s="140" t="str">
        <f t="shared" si="213"/>
        <v>Y</v>
      </c>
      <c r="T2781" s="154">
        <f t="shared" si="214"/>
        <v>8.6499999999999968</v>
      </c>
      <c r="U2781" s="154">
        <f t="shared" si="215"/>
        <v>4.8195549041132084</v>
      </c>
    </row>
    <row r="2782" spans="1:21" x14ac:dyDescent="0.35">
      <c r="A2782" s="108">
        <v>3683</v>
      </c>
      <c r="B2782" s="108">
        <v>2011</v>
      </c>
      <c r="C2782" s="108" t="s">
        <v>38</v>
      </c>
      <c r="D2782" s="108" t="s">
        <v>143</v>
      </c>
      <c r="E2782" s="108" t="s">
        <v>10</v>
      </c>
      <c r="F2782" s="116">
        <v>872</v>
      </c>
      <c r="G2782" s="108" t="s">
        <v>65</v>
      </c>
      <c r="H2782" s="108" t="str">
        <f t="shared" si="212"/>
        <v>Stillaguamish River</v>
      </c>
      <c r="I2782" s="108" t="str">
        <f>IFERROR(VLOOKUP(H2782,LUTs!$A$1:$C$73,2,FALSE),"NA")</f>
        <v>Snohomish</v>
      </c>
      <c r="J2782" s="108" t="str">
        <f>IFERROR(VLOOKUP(H2782,LUTs!$A$1:$C$73,3,FALSE),"NA")</f>
        <v>2Central Puget Sound</v>
      </c>
      <c r="K2782" s="108" t="s">
        <v>24</v>
      </c>
      <c r="L2782" s="108" t="str">
        <f>VLOOKUP(K2782,LUTs!E$2:G$14,3,)</f>
        <v>11Clallam</v>
      </c>
      <c r="M2782" s="108" t="str">
        <f>VLOOKUP($K2782,LUTs!$E$2:$H$14,2,)</f>
        <v>Strait of Juan de Fuca</v>
      </c>
      <c r="N2782" s="108" t="str">
        <f>VLOOKUP($K2782,LUTs!$E$2:$H$14,4,)</f>
        <v>03Strait of Juan de Fuca</v>
      </c>
      <c r="O2782" s="108">
        <v>86.066815144766196</v>
      </c>
      <c r="P2782" s="108">
        <v>296.069844097996</v>
      </c>
      <c r="Q2782" s="108">
        <f>SUMIFS('FW_Salmon_by_Month_2010-2021'!P$2:P$3810,'FW_Salmon_by_Month_2010-2021'!$B$2:$B$3810,'Rec_raw_catch_effort_2010-2021'!$B2782,'FW_Salmon_by_Month_2010-2021'!$H$2:$H$3810,'Rec_raw_catch_effort_2010-2021'!$F2782,'FW_Salmon_by_Month_2010-2021'!$M$2:$M$3810,'Rec_raw_catch_effort_2010-2021'!$K2782)</f>
        <v>88.247689463955695</v>
      </c>
      <c r="R2782" s="109">
        <f>VLOOKUP(B2782,Readme!$A$62:$C$74,2,)*Q2782</f>
        <v>312.3121417302998</v>
      </c>
      <c r="S2782" s="140" t="str">
        <f t="shared" si="213"/>
        <v>Y</v>
      </c>
      <c r="T2782" s="154">
        <f t="shared" si="214"/>
        <v>3.4400000000000035</v>
      </c>
      <c r="U2782" s="154">
        <f t="shared" si="215"/>
        <v>3.5390404397824153</v>
      </c>
    </row>
    <row r="2783" spans="1:21" x14ac:dyDescent="0.35">
      <c r="A2783" s="108">
        <v>3665</v>
      </c>
      <c r="B2783" s="108">
        <v>2011</v>
      </c>
      <c r="C2783" s="108" t="s">
        <v>38</v>
      </c>
      <c r="D2783" s="108" t="s">
        <v>143</v>
      </c>
      <c r="E2783" s="108" t="s">
        <v>10</v>
      </c>
      <c r="F2783" s="116">
        <v>872</v>
      </c>
      <c r="G2783" s="108" t="s">
        <v>65</v>
      </c>
      <c r="H2783" s="108" t="str">
        <f t="shared" si="212"/>
        <v>Stillaguamish River</v>
      </c>
      <c r="I2783" s="108" t="str">
        <f>IFERROR(VLOOKUP(H2783,LUTs!$A$1:$C$73,2,FALSE),"NA")</f>
        <v>Snohomish</v>
      </c>
      <c r="J2783" s="108" t="str">
        <f>IFERROR(VLOOKUP(H2783,LUTs!$A$1:$C$73,3,FALSE),"NA")</f>
        <v>2Central Puget Sound</v>
      </c>
      <c r="K2783" s="108" t="s">
        <v>17</v>
      </c>
      <c r="L2783" s="108" t="str">
        <f>VLOOKUP(K2783,LUTs!E$2:G$14,3,)</f>
        <v>04Island</v>
      </c>
      <c r="M2783" s="108" t="str">
        <f>VLOOKUP($K2783,LUTs!$E$2:$H$14,2,)</f>
        <v>North Puget Sound</v>
      </c>
      <c r="N2783" s="108" t="str">
        <f>VLOOKUP($K2783,LUTs!$E$2:$H$14,4,)</f>
        <v>01North Puget Sound</v>
      </c>
      <c r="O2783" s="108">
        <v>401.64513734224198</v>
      </c>
      <c r="P2783" s="108">
        <v>1381.65927245731</v>
      </c>
      <c r="Q2783" s="108">
        <f>SUMIFS('FW_Salmon_by_Month_2010-2021'!P$2:P$3810,'FW_Salmon_by_Month_2010-2021'!$B$2:$B$3810,'Rec_raw_catch_effort_2010-2021'!$B2783,'FW_Salmon_by_Month_2010-2021'!$H$2:$H$3810,'Rec_raw_catch_effort_2010-2021'!$F2783,'FW_Salmon_by_Month_2010-2021'!$M$2:$M$3810,'Rec_raw_catch_effort_2010-2021'!$K2783)</f>
        <v>404.36090787946489</v>
      </c>
      <c r="R2783" s="109">
        <f>VLOOKUP(B2783,Readme!$A$62:$C$74,2,)*Q2783</f>
        <v>1431.0496052525582</v>
      </c>
      <c r="S2783" s="140" t="str">
        <f t="shared" si="213"/>
        <v>Y</v>
      </c>
      <c r="T2783" s="154">
        <f t="shared" si="214"/>
        <v>3.4399999999999937</v>
      </c>
      <c r="U2783" s="154">
        <f t="shared" si="215"/>
        <v>3.5390404397824153</v>
      </c>
    </row>
    <row r="2784" spans="1:21" x14ac:dyDescent="0.35">
      <c r="A2784" s="108">
        <v>3666</v>
      </c>
      <c r="B2784" s="108">
        <v>2011</v>
      </c>
      <c r="C2784" s="108" t="s">
        <v>38</v>
      </c>
      <c r="D2784" s="108" t="s">
        <v>143</v>
      </c>
      <c r="E2784" s="108" t="s">
        <v>10</v>
      </c>
      <c r="F2784" s="116">
        <v>872</v>
      </c>
      <c r="G2784" s="108" t="s">
        <v>65</v>
      </c>
      <c r="H2784" s="108" t="str">
        <f t="shared" si="212"/>
        <v>Stillaguamish River</v>
      </c>
      <c r="I2784" s="108" t="str">
        <f>IFERROR(VLOOKUP(H2784,LUTs!$A$1:$C$73,2,FALSE),"NA")</f>
        <v>Snohomish</v>
      </c>
      <c r="J2784" s="108" t="str">
        <f>IFERROR(VLOOKUP(H2784,LUTs!$A$1:$C$73,3,FALSE),"NA")</f>
        <v>2Central Puget Sound</v>
      </c>
      <c r="K2784" s="108" t="s">
        <v>18</v>
      </c>
      <c r="L2784" s="108" t="str">
        <f>VLOOKUP(K2784,LUTs!E$2:G$14,3,)</f>
        <v>06King</v>
      </c>
      <c r="M2784" s="108" t="str">
        <f>VLOOKUP($K2784,LUTs!$E$2:$H$14,2,)</f>
        <v>South Puget Sound</v>
      </c>
      <c r="N2784" s="108" t="str">
        <f>VLOOKUP($K2784,LUTs!$E$2:$H$14,4,)</f>
        <v>02South Puget Sound</v>
      </c>
      <c r="O2784" s="108">
        <v>788.94580549369005</v>
      </c>
      <c r="P2784" s="108">
        <v>2713.9735708982898</v>
      </c>
      <c r="Q2784" s="108">
        <f>SUMIFS('FW_Salmon_by_Month_2010-2021'!P$2:P$3810,'FW_Salmon_by_Month_2010-2021'!$B$2:$B$3810,'Rec_raw_catch_effort_2010-2021'!$B2784,'FW_Salmon_by_Month_2010-2021'!$H$2:$H$3810,'Rec_raw_catch_effort_2010-2021'!$F2784,'FW_Salmon_by_Month_2010-2021'!$M$2:$M$3810,'Rec_raw_catch_effort_2010-2021'!$K2784)</f>
        <v>774.02046167734102</v>
      </c>
      <c r="R2784" s="109">
        <f>VLOOKUP(B2784,Readme!$A$62:$C$74,2,)*Q2784</f>
        <v>2739.2897150951653</v>
      </c>
      <c r="S2784" s="140" t="str">
        <f t="shared" si="213"/>
        <v>Y</v>
      </c>
      <c r="T2784" s="154">
        <f t="shared" si="214"/>
        <v>3.4399999999999951</v>
      </c>
      <c r="U2784" s="154">
        <f t="shared" si="215"/>
        <v>3.5390404397824158</v>
      </c>
    </row>
    <row r="2785" spans="1:21" x14ac:dyDescent="0.35">
      <c r="A2785" s="108">
        <v>3684</v>
      </c>
      <c r="B2785" s="108">
        <v>2011</v>
      </c>
      <c r="C2785" s="108" t="s">
        <v>38</v>
      </c>
      <c r="D2785" s="108" t="s">
        <v>143</v>
      </c>
      <c r="E2785" s="108" t="s">
        <v>10</v>
      </c>
      <c r="F2785" s="116">
        <v>872</v>
      </c>
      <c r="G2785" s="108" t="s">
        <v>65</v>
      </c>
      <c r="H2785" s="108" t="str">
        <f t="shared" si="212"/>
        <v>Stillaguamish River</v>
      </c>
      <c r="I2785" s="108" t="str">
        <f>IFERROR(VLOOKUP(H2785,LUTs!$A$1:$C$73,2,FALSE),"NA")</f>
        <v>Snohomish</v>
      </c>
      <c r="J2785" s="108" t="str">
        <f>IFERROR(VLOOKUP(H2785,LUTs!$A$1:$C$73,3,FALSE),"NA")</f>
        <v>2Central Puget Sound</v>
      </c>
      <c r="K2785" s="108" t="s">
        <v>26</v>
      </c>
      <c r="L2785" s="108" t="str">
        <f>VLOOKUP(K2785,LUTs!E$2:G$14,3,)</f>
        <v>20Other</v>
      </c>
      <c r="M2785" s="108" t="str">
        <f>VLOOKUP($K2785,LUTs!$E$2:$H$14,2,)</f>
        <v>Non Puget Sound</v>
      </c>
      <c r="N2785" s="108" t="str">
        <f>VLOOKUP($K2785,LUTs!$E$2:$H$14,4,)</f>
        <v>07Non Puget Sound</v>
      </c>
      <c r="O2785" s="108">
        <v>272.54491462509299</v>
      </c>
      <c r="P2785" s="108">
        <v>937.55450631031999</v>
      </c>
      <c r="Q2785" s="108">
        <f>SUMIFS('FW_Salmon_by_Month_2010-2021'!P$2:P$3810,'FW_Salmon_by_Month_2010-2021'!$B$2:$B$3810,'Rec_raw_catch_effort_2010-2021'!$B2785,'FW_Salmon_by_Month_2010-2021'!$H$2:$H$3810,'Rec_raw_catch_effort_2010-2021'!$F2785,'FW_Salmon_by_Month_2010-2021'!$M$2:$M$3810,'Rec_raw_catch_effort_2010-2021'!$K2785)</f>
        <v>250.03512014787401</v>
      </c>
      <c r="R2785" s="109">
        <f>VLOOKUP(B2785,Readme!$A$62:$C$74,2,)*Q2785</f>
        <v>884.88440156918114</v>
      </c>
      <c r="S2785" s="140" t="str">
        <f t="shared" si="213"/>
        <v>Y</v>
      </c>
      <c r="T2785" s="154">
        <f t="shared" si="214"/>
        <v>3.4400000000000004</v>
      </c>
      <c r="U2785" s="154">
        <f t="shared" si="215"/>
        <v>3.5390404397824153</v>
      </c>
    </row>
    <row r="2786" spans="1:21" x14ac:dyDescent="0.35">
      <c r="A2786" s="108">
        <v>3667</v>
      </c>
      <c r="B2786" s="108">
        <v>2011</v>
      </c>
      <c r="C2786" s="108" t="s">
        <v>38</v>
      </c>
      <c r="D2786" s="108" t="s">
        <v>143</v>
      </c>
      <c r="E2786" s="108" t="s">
        <v>10</v>
      </c>
      <c r="F2786" s="116">
        <v>872</v>
      </c>
      <c r="G2786" s="108" t="s">
        <v>65</v>
      </c>
      <c r="H2786" s="108" t="str">
        <f t="shared" si="212"/>
        <v>Stillaguamish River</v>
      </c>
      <c r="I2786" s="108" t="str">
        <f>IFERROR(VLOOKUP(H2786,LUTs!$A$1:$C$73,2,FALSE),"NA")</f>
        <v>Snohomish</v>
      </c>
      <c r="J2786" s="108" t="str">
        <f>IFERROR(VLOOKUP(H2786,LUTs!$A$1:$C$73,3,FALSE),"NA")</f>
        <v>2Central Puget Sound</v>
      </c>
      <c r="K2786" s="108" t="s">
        <v>20</v>
      </c>
      <c r="L2786" s="108" t="str">
        <f>VLOOKUP(K2786,LUTs!E$2:G$14,3,)</f>
        <v>07Pierce</v>
      </c>
      <c r="M2786" s="108" t="str">
        <f>VLOOKUP($K2786,LUTs!$E$2:$H$14,2,)</f>
        <v>South Puget Sound</v>
      </c>
      <c r="N2786" s="108" t="str">
        <f>VLOOKUP($K2786,LUTs!$E$2:$H$14,4,)</f>
        <v>02South Puget Sound</v>
      </c>
      <c r="O2786" s="108">
        <v>7.17223459539718</v>
      </c>
      <c r="P2786" s="108">
        <v>24.6724870081663</v>
      </c>
      <c r="Q2786" s="108">
        <f>SUMIFS('FW_Salmon_by_Month_2010-2021'!P$2:P$3810,'FW_Salmon_by_Month_2010-2021'!$B$2:$B$3810,'Rec_raw_catch_effort_2010-2021'!$B2786,'FW_Salmon_by_Month_2010-2021'!$H$2:$H$3810,'Rec_raw_catch_effort_2010-2021'!$F2786,'FW_Salmon_by_Month_2010-2021'!$M$2:$M$3810,'Rec_raw_catch_effort_2010-2021'!$K2786)</f>
        <v>7.3441860465116298</v>
      </c>
      <c r="R2786" s="109">
        <f>VLOOKUP(B2786,Readme!$A$62:$C$74,2,)*Q2786</f>
        <v>25.991371415890395</v>
      </c>
      <c r="S2786" s="140" t="str">
        <f t="shared" si="213"/>
        <v>Y</v>
      </c>
      <c r="T2786" s="154">
        <f t="shared" si="214"/>
        <v>3.44</v>
      </c>
      <c r="U2786" s="154">
        <f t="shared" si="215"/>
        <v>3.5390404397824153</v>
      </c>
    </row>
    <row r="2787" spans="1:21" x14ac:dyDescent="0.35">
      <c r="A2787" s="108">
        <v>3663</v>
      </c>
      <c r="B2787" s="108">
        <v>2011</v>
      </c>
      <c r="C2787" s="108" t="s">
        <v>38</v>
      </c>
      <c r="D2787" s="108" t="s">
        <v>143</v>
      </c>
      <c r="E2787" s="108" t="s">
        <v>10</v>
      </c>
      <c r="F2787" s="116">
        <v>872</v>
      </c>
      <c r="G2787" s="108" t="s">
        <v>65</v>
      </c>
      <c r="H2787" s="108" t="str">
        <f t="shared" si="212"/>
        <v>Stillaguamish River</v>
      </c>
      <c r="I2787" s="108" t="str">
        <f>IFERROR(VLOOKUP(H2787,LUTs!$A$1:$C$73,2,FALSE),"NA")</f>
        <v>Snohomish</v>
      </c>
      <c r="J2787" s="108" t="str">
        <f>IFERROR(VLOOKUP(H2787,LUTs!$A$1:$C$73,3,FALSE),"NA")</f>
        <v>2Central Puget Sound</v>
      </c>
      <c r="K2787" s="108" t="s">
        <v>15</v>
      </c>
      <c r="L2787" s="108" t="str">
        <f>VLOOKUP(K2787,LUTs!E$2:G$14,3,)</f>
        <v>02Skagit</v>
      </c>
      <c r="M2787" s="108" t="str">
        <f>VLOOKUP($K2787,LUTs!$E$2:$H$14,2,)</f>
        <v>North Puget Sound</v>
      </c>
      <c r="N2787" s="108" t="str">
        <f>VLOOKUP($K2787,LUTs!$E$2:$H$14,4,)</f>
        <v>01North Puget Sound</v>
      </c>
      <c r="O2787" s="108">
        <v>243.85597624350399</v>
      </c>
      <c r="P2787" s="108">
        <v>838.86455827765406</v>
      </c>
      <c r="Q2787" s="108">
        <f>SUMIFS('FW_Salmon_by_Month_2010-2021'!P$2:P$3810,'FW_Salmon_by_Month_2010-2021'!$B$2:$B$3810,'Rec_raw_catch_effort_2010-2021'!$B2787,'FW_Salmon_by_Month_2010-2021'!$H$2:$H$3810,'Rec_raw_catch_effort_2010-2021'!$F2787,'FW_Salmon_by_Month_2010-2021'!$M$2:$M$3810,'Rec_raw_catch_effort_2010-2021'!$K2787)</f>
        <v>250.0057559214199</v>
      </c>
      <c r="R2787" s="109">
        <f>VLOOKUP(B2787,Readme!$A$62:$C$74,2,)*Q2787</f>
        <v>884.7804803842771</v>
      </c>
      <c r="S2787" s="140" t="str">
        <f t="shared" si="213"/>
        <v>Y</v>
      </c>
      <c r="T2787" s="154">
        <f t="shared" si="214"/>
        <v>3.4400000000000013</v>
      </c>
      <c r="U2787" s="154">
        <f t="shared" si="215"/>
        <v>3.5390404397824153</v>
      </c>
    </row>
    <row r="2788" spans="1:21" x14ac:dyDescent="0.35">
      <c r="A2788" s="108">
        <v>3664</v>
      </c>
      <c r="B2788" s="108">
        <v>2011</v>
      </c>
      <c r="C2788" s="108" t="s">
        <v>38</v>
      </c>
      <c r="D2788" s="108" t="s">
        <v>143</v>
      </c>
      <c r="E2788" s="108" t="s">
        <v>10</v>
      </c>
      <c r="F2788" s="116">
        <v>872</v>
      </c>
      <c r="G2788" s="108" t="s">
        <v>65</v>
      </c>
      <c r="H2788" s="108" t="str">
        <f t="shared" si="212"/>
        <v>Stillaguamish River</v>
      </c>
      <c r="I2788" s="108" t="str">
        <f>IFERROR(VLOOKUP(H2788,LUTs!$A$1:$C$73,2,FALSE),"NA")</f>
        <v>Snohomish</v>
      </c>
      <c r="J2788" s="108" t="str">
        <f>IFERROR(VLOOKUP(H2788,LUTs!$A$1:$C$73,3,FALSE),"NA")</f>
        <v>2Central Puget Sound</v>
      </c>
      <c r="K2788" s="108" t="s">
        <v>16</v>
      </c>
      <c r="L2788" s="108" t="str">
        <f>VLOOKUP(K2788,LUTs!E$2:G$14,3,)</f>
        <v>03Snohomish</v>
      </c>
      <c r="M2788" s="108" t="str">
        <f>VLOOKUP($K2788,LUTs!$E$2:$H$14,2,)</f>
        <v>North Puget Sound</v>
      </c>
      <c r="N2788" s="108" t="str">
        <f>VLOOKUP($K2788,LUTs!$E$2:$H$14,4,)</f>
        <v>01North Puget Sound</v>
      </c>
      <c r="O2788" s="108">
        <v>7602.5686711210101</v>
      </c>
      <c r="P2788" s="108">
        <v>26152.836228656299</v>
      </c>
      <c r="Q2788" s="108">
        <f>SUMIFS('FW_Salmon_by_Month_2010-2021'!P$2:P$3810,'FW_Salmon_by_Month_2010-2021'!$B$2:$B$3810,'Rec_raw_catch_effort_2010-2021'!$B2788,'FW_Salmon_by_Month_2010-2021'!$H$2:$H$3810,'Rec_raw_catch_effort_2010-2021'!$F2788,'FW_Salmon_by_Month_2010-2021'!$M$2:$M$3810,'Rec_raw_catch_effort_2010-2021'!$K2788)</f>
        <v>7622.29175084899</v>
      </c>
      <c r="R2788" s="109">
        <f>VLOOKUP(B2788,Readme!$A$62:$C$74,2,)*Q2788</f>
        <v>26975.598750074485</v>
      </c>
      <c r="S2788" s="140" t="str">
        <f t="shared" si="213"/>
        <v>Y</v>
      </c>
      <c r="T2788" s="154">
        <f t="shared" si="214"/>
        <v>3.4400000000000031</v>
      </c>
      <c r="U2788" s="154">
        <f t="shared" si="215"/>
        <v>3.5390404397824153</v>
      </c>
    </row>
    <row r="2789" spans="1:21" x14ac:dyDescent="0.35">
      <c r="A2789" s="108">
        <v>3668</v>
      </c>
      <c r="B2789" s="108">
        <v>2011</v>
      </c>
      <c r="C2789" s="108" t="s">
        <v>38</v>
      </c>
      <c r="D2789" s="108" t="s">
        <v>143</v>
      </c>
      <c r="E2789" s="108" t="s">
        <v>10</v>
      </c>
      <c r="F2789" s="116">
        <v>872</v>
      </c>
      <c r="G2789" s="108" t="s">
        <v>65</v>
      </c>
      <c r="H2789" s="108" t="str">
        <f t="shared" si="212"/>
        <v>Stillaguamish River</v>
      </c>
      <c r="I2789" s="108" t="str">
        <f>IFERROR(VLOOKUP(H2789,LUTs!$A$1:$C$73,2,FALSE),"NA")</f>
        <v>Snohomish</v>
      </c>
      <c r="J2789" s="108" t="str">
        <f>IFERROR(VLOOKUP(H2789,LUTs!$A$1:$C$73,3,FALSE),"NA")</f>
        <v>2Central Puget Sound</v>
      </c>
      <c r="K2789" s="108" t="s">
        <v>21</v>
      </c>
      <c r="L2789" s="108" t="str">
        <f>VLOOKUP(K2789,LUTs!E$2:G$14,3,)</f>
        <v>08Thurston</v>
      </c>
      <c r="M2789" s="108" t="str">
        <f>VLOOKUP($K2789,LUTs!$E$2:$H$14,2,)</f>
        <v>South Puget Sound</v>
      </c>
      <c r="N2789" s="108" t="str">
        <f>VLOOKUP($K2789,LUTs!$E$2:$H$14,4,)</f>
        <v>02South Puget Sound</v>
      </c>
      <c r="O2789" s="108">
        <v>7.17223459539718</v>
      </c>
      <c r="P2789" s="108">
        <v>24.6724870081663</v>
      </c>
      <c r="Q2789" s="108">
        <f>SUMIFS('FW_Salmon_by_Month_2010-2021'!P$2:P$3810,'FW_Salmon_by_Month_2010-2021'!$B$2:$B$3810,'Rec_raw_catch_effort_2010-2021'!$B2789,'FW_Salmon_by_Month_2010-2021'!$H$2:$H$3810,'Rec_raw_catch_effort_2010-2021'!$F2789,'FW_Salmon_by_Month_2010-2021'!$M$2:$M$3810,'Rec_raw_catch_effort_2010-2021'!$K2789)</f>
        <v>7.3539741219963002</v>
      </c>
      <c r="R2789" s="109">
        <f>VLOOKUP(B2789,Readme!$A$62:$C$74,2,)*Q2789</f>
        <v>26.026011810858289</v>
      </c>
      <c r="S2789" s="140" t="str">
        <f t="shared" si="213"/>
        <v>Y</v>
      </c>
      <c r="T2789" s="154">
        <f t="shared" si="214"/>
        <v>3.44</v>
      </c>
      <c r="U2789" s="154">
        <f t="shared" si="215"/>
        <v>3.5390404397824153</v>
      </c>
    </row>
    <row r="2790" spans="1:21" x14ac:dyDescent="0.35">
      <c r="A2790" s="108">
        <v>3660</v>
      </c>
      <c r="B2790" s="108">
        <v>2011</v>
      </c>
      <c r="C2790" s="108" t="s">
        <v>38</v>
      </c>
      <c r="D2790" s="108" t="s">
        <v>143</v>
      </c>
      <c r="E2790" s="108" t="s">
        <v>10</v>
      </c>
      <c r="F2790" s="116">
        <v>872</v>
      </c>
      <c r="G2790" s="108" t="s">
        <v>65</v>
      </c>
      <c r="H2790" s="108" t="str">
        <f t="shared" si="212"/>
        <v>Stillaguamish River</v>
      </c>
      <c r="I2790" s="108" t="str">
        <f>IFERROR(VLOOKUP(H2790,LUTs!$A$1:$C$73,2,FALSE),"NA")</f>
        <v>Snohomish</v>
      </c>
      <c r="J2790" s="108" t="str">
        <f>IFERROR(VLOOKUP(H2790,LUTs!$A$1:$C$73,3,FALSE),"NA")</f>
        <v>2Central Puget Sound</v>
      </c>
      <c r="K2790" s="108" t="s">
        <v>13</v>
      </c>
      <c r="L2790" s="108" t="str">
        <f>VLOOKUP(K2790,LUTs!E$2:G$14,3,)</f>
        <v>01Whatcom</v>
      </c>
      <c r="M2790" s="108" t="str">
        <f>VLOOKUP($K2790,LUTs!$E$2:$H$14,2,)</f>
        <v>North Puget Sound</v>
      </c>
      <c r="N2790" s="108" t="str">
        <f>VLOOKUP($K2790,LUTs!$E$2:$H$14,4,)</f>
        <v>01North Puget Sound</v>
      </c>
      <c r="O2790" s="108">
        <v>251.028210838901</v>
      </c>
      <c r="P2790" s="108">
        <v>863.53704528581898</v>
      </c>
      <c r="Q2790" s="108">
        <f>SUMIFS('FW_Salmon_by_Month_2010-2021'!P$2:P$3810,'FW_Salmon_by_Month_2010-2021'!$B$2:$B$3810,'Rec_raw_catch_effort_2010-2021'!$B2790,'FW_Salmon_by_Month_2010-2021'!$H$2:$H$3810,'Rec_raw_catch_effort_2010-2021'!$F2790,'FW_Salmon_by_Month_2010-2021'!$M$2:$M$3810,'Rec_raw_catch_effort_2010-2021'!$K2790)</f>
        <v>257.34015389244712</v>
      </c>
      <c r="R2790" s="109">
        <f>VLOOKUP(B2790,Readme!$A$62:$C$74,2,)*Q2790</f>
        <v>910.73721140520047</v>
      </c>
      <c r="S2790" s="140" t="str">
        <f t="shared" si="213"/>
        <v>Y</v>
      </c>
      <c r="T2790" s="154">
        <f t="shared" si="214"/>
        <v>3.4399999999999982</v>
      </c>
      <c r="U2790" s="154">
        <f t="shared" si="215"/>
        <v>3.5390404397824153</v>
      </c>
    </row>
    <row r="2791" spans="1:21" x14ac:dyDescent="0.35">
      <c r="A2791" s="108">
        <v>3718</v>
      </c>
      <c r="B2791" s="108">
        <v>2012</v>
      </c>
      <c r="C2791" s="108" t="s">
        <v>38</v>
      </c>
      <c r="D2791" s="108" t="s">
        <v>143</v>
      </c>
      <c r="E2791" s="108" t="s">
        <v>10</v>
      </c>
      <c r="F2791" s="116">
        <v>872</v>
      </c>
      <c r="G2791" s="108" t="s">
        <v>65</v>
      </c>
      <c r="H2791" s="108" t="str">
        <f t="shared" si="212"/>
        <v>Stillaguamish River</v>
      </c>
      <c r="I2791" s="108" t="str">
        <f>IFERROR(VLOOKUP(H2791,LUTs!$A$1:$C$73,2,FALSE),"NA")</f>
        <v>Snohomish</v>
      </c>
      <c r="J2791" s="108" t="str">
        <f>IFERROR(VLOOKUP(H2791,LUTs!$A$1:$C$73,3,FALSE),"NA")</f>
        <v>2Central Puget Sound</v>
      </c>
      <c r="K2791" s="108" t="s">
        <v>17</v>
      </c>
      <c r="L2791" s="108" t="str">
        <f>VLOOKUP(K2791,LUTs!E$2:G$14,3,)</f>
        <v>04Island</v>
      </c>
      <c r="M2791" s="108" t="str">
        <f>VLOOKUP($K2791,LUTs!$E$2:$H$14,2,)</f>
        <v>North Puget Sound</v>
      </c>
      <c r="N2791" s="108" t="str">
        <f>VLOOKUP($K2791,LUTs!$E$2:$H$14,4,)</f>
        <v>01North Puget Sound</v>
      </c>
      <c r="O2791" s="108">
        <v>164.05780346820799</v>
      </c>
      <c r="P2791" s="108">
        <v>1419.1</v>
      </c>
      <c r="Q2791" s="108">
        <f>SUMIFS('FW_Salmon_by_Month_2010-2021'!P$2:P$3810,'FW_Salmon_by_Month_2010-2021'!$B$2:$B$3810,'Rec_raw_catch_effort_2010-2021'!$B2791,'FW_Salmon_by_Month_2010-2021'!$H$2:$H$3810,'Rec_raw_catch_effort_2010-2021'!$F2791,'FW_Salmon_by_Month_2010-2021'!$M$2:$M$3810,'Rec_raw_catch_effort_2010-2021'!$K2791)</f>
        <v>164.0301974448314</v>
      </c>
      <c r="R2791" s="109">
        <f>VLOOKUP(B2791,Readme!$A$62:$C$74,2,)*Q2791</f>
        <v>790.55254251789506</v>
      </c>
      <c r="S2791" s="140" t="str">
        <f t="shared" si="213"/>
        <v>Y</v>
      </c>
      <c r="T2791" s="154">
        <f t="shared" si="214"/>
        <v>8.6500000000000039</v>
      </c>
      <c r="U2791" s="154">
        <f t="shared" si="215"/>
        <v>4.8195549041132084</v>
      </c>
    </row>
    <row r="2792" spans="1:21" x14ac:dyDescent="0.35">
      <c r="A2792" s="108">
        <v>3719</v>
      </c>
      <c r="B2792" s="108">
        <v>2012</v>
      </c>
      <c r="C2792" s="108" t="s">
        <v>38</v>
      </c>
      <c r="D2792" s="108" t="s">
        <v>143</v>
      </c>
      <c r="E2792" s="108" t="s">
        <v>10</v>
      </c>
      <c r="F2792" s="116">
        <v>872</v>
      </c>
      <c r="G2792" s="108" t="s">
        <v>65</v>
      </c>
      <c r="H2792" s="108" t="str">
        <f t="shared" si="212"/>
        <v>Stillaguamish River</v>
      </c>
      <c r="I2792" s="108" t="str">
        <f>IFERROR(VLOOKUP(H2792,LUTs!$A$1:$C$73,2,FALSE),"NA")</f>
        <v>Snohomish</v>
      </c>
      <c r="J2792" s="108" t="str">
        <f>IFERROR(VLOOKUP(H2792,LUTs!$A$1:$C$73,3,FALSE),"NA")</f>
        <v>2Central Puget Sound</v>
      </c>
      <c r="K2792" s="108" t="s">
        <v>18</v>
      </c>
      <c r="L2792" s="108" t="str">
        <f>VLOOKUP(K2792,LUTs!E$2:G$14,3,)</f>
        <v>06King</v>
      </c>
      <c r="M2792" s="108" t="str">
        <f>VLOOKUP($K2792,LUTs!$E$2:$H$14,2,)</f>
        <v>South Puget Sound</v>
      </c>
      <c r="N2792" s="108" t="str">
        <f>VLOOKUP($K2792,LUTs!$E$2:$H$14,4,)</f>
        <v>02South Puget Sound</v>
      </c>
      <c r="O2792" s="108">
        <v>78.462427745664797</v>
      </c>
      <c r="P2792" s="108">
        <v>678.70000000000095</v>
      </c>
      <c r="Q2792" s="108">
        <f>SUMIFS('FW_Salmon_by_Month_2010-2021'!P$2:P$3810,'FW_Salmon_by_Month_2010-2021'!$B$2:$B$3810,'Rec_raw_catch_effort_2010-2021'!$B2792,'FW_Salmon_by_Month_2010-2021'!$H$2:$H$3810,'Rec_raw_catch_effort_2010-2021'!$F2792,'FW_Salmon_by_Month_2010-2021'!$M$2:$M$3810,'Rec_raw_catch_effort_2010-2021'!$K2792)</f>
        <v>78.456445993031409</v>
      </c>
      <c r="R2792" s="109">
        <f>VLOOKUP(B2792,Readme!$A$62:$C$74,2,)*Q2792</f>
        <v>378.12514904500762</v>
      </c>
      <c r="S2792" s="140" t="str">
        <f t="shared" si="213"/>
        <v>Y</v>
      </c>
      <c r="T2792" s="154">
        <f t="shared" si="214"/>
        <v>8.6500000000000057</v>
      </c>
      <c r="U2792" s="154">
        <f t="shared" si="215"/>
        <v>4.8195549041132084</v>
      </c>
    </row>
    <row r="2793" spans="1:21" x14ac:dyDescent="0.35">
      <c r="A2793" s="108">
        <v>3720</v>
      </c>
      <c r="B2793" s="108">
        <v>2012</v>
      </c>
      <c r="C2793" s="108" t="s">
        <v>38</v>
      </c>
      <c r="D2793" s="108" t="s">
        <v>143</v>
      </c>
      <c r="E2793" s="108" t="s">
        <v>10</v>
      </c>
      <c r="F2793" s="116">
        <v>872</v>
      </c>
      <c r="G2793" s="108" t="s">
        <v>65</v>
      </c>
      <c r="H2793" s="108" t="str">
        <f t="shared" si="212"/>
        <v>Stillaguamish River</v>
      </c>
      <c r="I2793" s="108" t="str">
        <f>IFERROR(VLOOKUP(H2793,LUTs!$A$1:$C$73,2,FALSE),"NA")</f>
        <v>Snohomish</v>
      </c>
      <c r="J2793" s="108" t="str">
        <f>IFERROR(VLOOKUP(H2793,LUTs!$A$1:$C$73,3,FALSE),"NA")</f>
        <v>2Central Puget Sound</v>
      </c>
      <c r="K2793" s="108" t="s">
        <v>26</v>
      </c>
      <c r="L2793" s="108" t="str">
        <f>VLOOKUP(K2793,LUTs!E$2:G$14,3,)</f>
        <v>20Other</v>
      </c>
      <c r="M2793" s="108" t="str">
        <f>VLOOKUP($K2793,LUTs!$E$2:$H$14,2,)</f>
        <v>Non Puget Sound</v>
      </c>
      <c r="N2793" s="108" t="str">
        <f>VLOOKUP($K2793,LUTs!$E$2:$H$14,4,)</f>
        <v>07Non Puget Sound</v>
      </c>
      <c r="O2793" s="108">
        <v>35.6647398843931</v>
      </c>
      <c r="P2793" s="108">
        <v>308.5</v>
      </c>
      <c r="Q2793" s="108">
        <f>SUMIFS('FW_Salmon_by_Month_2010-2021'!P$2:P$3810,'FW_Salmon_by_Month_2010-2021'!$B$2:$B$3810,'Rec_raw_catch_effort_2010-2021'!$B2793,'FW_Salmon_by_Month_2010-2021'!$H$2:$H$3810,'Rec_raw_catch_effort_2010-2021'!$F2793,'FW_Salmon_by_Month_2010-2021'!$M$2:$M$3810,'Rec_raw_catch_effort_2010-2021'!$K2793)</f>
        <v>35.650406504065003</v>
      </c>
      <c r="R2793" s="109">
        <f>VLOOKUP(B2793,Readme!$A$62:$C$74,2,)*Q2793</f>
        <v>171.81909150029591</v>
      </c>
      <c r="S2793" s="140" t="str">
        <f t="shared" si="213"/>
        <v>Y</v>
      </c>
      <c r="T2793" s="154">
        <f t="shared" si="214"/>
        <v>8.6499999999999915</v>
      </c>
      <c r="U2793" s="154">
        <f t="shared" si="215"/>
        <v>4.8195549041132084</v>
      </c>
    </row>
    <row r="2794" spans="1:21" x14ac:dyDescent="0.35">
      <c r="A2794" s="108">
        <v>3712</v>
      </c>
      <c r="B2794" s="108">
        <v>2012</v>
      </c>
      <c r="C2794" s="108" t="s">
        <v>38</v>
      </c>
      <c r="D2794" s="108" t="s">
        <v>143</v>
      </c>
      <c r="E2794" s="108" t="s">
        <v>10</v>
      </c>
      <c r="F2794" s="116">
        <v>872</v>
      </c>
      <c r="G2794" s="108" t="s">
        <v>65</v>
      </c>
      <c r="H2794" s="108" t="str">
        <f t="shared" ref="H2794:H2857" si="216">G2794</f>
        <v>Stillaguamish River</v>
      </c>
      <c r="I2794" s="108" t="str">
        <f>IFERROR(VLOOKUP(H2794,LUTs!$A$1:$C$73,2,FALSE),"NA")</f>
        <v>Snohomish</v>
      </c>
      <c r="J2794" s="108" t="str">
        <f>IFERROR(VLOOKUP(H2794,LUTs!$A$1:$C$73,3,FALSE),"NA")</f>
        <v>2Central Puget Sound</v>
      </c>
      <c r="K2794" s="108" t="s">
        <v>15</v>
      </c>
      <c r="L2794" s="108" t="str">
        <f>VLOOKUP(K2794,LUTs!E$2:G$14,3,)</f>
        <v>02Skagit</v>
      </c>
      <c r="M2794" s="108" t="str">
        <f>VLOOKUP($K2794,LUTs!$E$2:$H$14,2,)</f>
        <v>North Puget Sound</v>
      </c>
      <c r="N2794" s="108" t="str">
        <f>VLOOKUP($K2794,LUTs!$E$2:$H$14,4,)</f>
        <v>01North Puget Sound</v>
      </c>
      <c r="O2794" s="108">
        <v>14.2658959537572</v>
      </c>
      <c r="P2794" s="108">
        <v>123.4</v>
      </c>
      <c r="Q2794" s="108">
        <f>SUMIFS('FW_Salmon_by_Month_2010-2021'!P$2:P$3810,'FW_Salmon_by_Month_2010-2021'!$B$2:$B$3810,'Rec_raw_catch_effort_2010-2021'!$B2794,'FW_Salmon_by_Month_2010-2021'!$H$2:$H$3810,'Rec_raw_catch_effort_2010-2021'!$F2794,'FW_Salmon_by_Month_2010-2021'!$M$2:$M$3810,'Rec_raw_catch_effort_2010-2021'!$K2794)</f>
        <v>14.260162601626</v>
      </c>
      <c r="R2794" s="109">
        <f>VLOOKUP(B2794,Readme!$A$62:$C$74,2,)*Q2794</f>
        <v>68.727636600118359</v>
      </c>
      <c r="S2794" s="140" t="str">
        <f t="shared" si="213"/>
        <v>Y</v>
      </c>
      <c r="T2794" s="154">
        <f t="shared" si="214"/>
        <v>8.6500000000000163</v>
      </c>
      <c r="U2794" s="154">
        <f t="shared" si="215"/>
        <v>4.8195549041132084</v>
      </c>
    </row>
    <row r="2795" spans="1:21" x14ac:dyDescent="0.35">
      <c r="A2795" s="108">
        <v>3717</v>
      </c>
      <c r="B2795" s="108">
        <v>2012</v>
      </c>
      <c r="C2795" s="108" t="s">
        <v>38</v>
      </c>
      <c r="D2795" s="108" t="s">
        <v>143</v>
      </c>
      <c r="E2795" s="108" t="s">
        <v>10</v>
      </c>
      <c r="F2795" s="116">
        <v>872</v>
      </c>
      <c r="G2795" s="108" t="s">
        <v>65</v>
      </c>
      <c r="H2795" s="108" t="str">
        <f t="shared" si="216"/>
        <v>Stillaguamish River</v>
      </c>
      <c r="I2795" s="108" t="str">
        <f>IFERROR(VLOOKUP(H2795,LUTs!$A$1:$C$73,2,FALSE),"NA")</f>
        <v>Snohomish</v>
      </c>
      <c r="J2795" s="108" t="str">
        <f>IFERROR(VLOOKUP(H2795,LUTs!$A$1:$C$73,3,FALSE),"NA")</f>
        <v>2Central Puget Sound</v>
      </c>
      <c r="K2795" s="108" t="s">
        <v>16</v>
      </c>
      <c r="L2795" s="108" t="str">
        <f>VLOOKUP(K2795,LUTs!E$2:G$14,3,)</f>
        <v>03Snohomish</v>
      </c>
      <c r="M2795" s="108" t="str">
        <f>VLOOKUP($K2795,LUTs!$E$2:$H$14,2,)</f>
        <v>North Puget Sound</v>
      </c>
      <c r="N2795" s="108" t="str">
        <f>VLOOKUP($K2795,LUTs!$E$2:$H$14,4,)</f>
        <v>01North Puget Sound</v>
      </c>
      <c r="O2795" s="108">
        <v>913.01734104046295</v>
      </c>
      <c r="P2795" s="108">
        <v>7897.6</v>
      </c>
      <c r="Q2795" s="108">
        <f>SUMIFS('FW_Salmon_by_Month_2010-2021'!P$2:P$3810,'FW_Salmon_by_Month_2010-2021'!$B$2:$B$3810,'Rec_raw_catch_effort_2010-2021'!$B2795,'FW_Salmon_by_Month_2010-2021'!$H$2:$H$3810,'Rec_raw_catch_effort_2010-2021'!$F2795,'FW_Salmon_by_Month_2010-2021'!$M$2:$M$3810,'Rec_raw_catch_effort_2010-2021'!$K2795)</f>
        <v>913.08246225319397</v>
      </c>
      <c r="R2795" s="109">
        <f>VLOOKUP(B2795,Readme!$A$62:$C$74,2,)*Q2795</f>
        <v>4400.6510588121446</v>
      </c>
      <c r="S2795" s="140" t="str">
        <f t="shared" si="213"/>
        <v>Y</v>
      </c>
      <c r="T2795" s="154">
        <f t="shared" si="214"/>
        <v>8.649999999999995</v>
      </c>
      <c r="U2795" s="154">
        <f t="shared" si="215"/>
        <v>4.8195549041132084</v>
      </c>
    </row>
    <row r="2796" spans="1:21" x14ac:dyDescent="0.35">
      <c r="A2796" s="108">
        <v>3711</v>
      </c>
      <c r="B2796" s="108">
        <v>2012</v>
      </c>
      <c r="C2796" s="108" t="s">
        <v>38</v>
      </c>
      <c r="D2796" s="108" t="s">
        <v>143</v>
      </c>
      <c r="E2796" s="108" t="s">
        <v>10</v>
      </c>
      <c r="F2796" s="116">
        <v>872</v>
      </c>
      <c r="G2796" s="108" t="s">
        <v>65</v>
      </c>
      <c r="H2796" s="108" t="str">
        <f t="shared" si="216"/>
        <v>Stillaguamish River</v>
      </c>
      <c r="I2796" s="108" t="str">
        <f>IFERROR(VLOOKUP(H2796,LUTs!$A$1:$C$73,2,FALSE),"NA")</f>
        <v>Snohomish</v>
      </c>
      <c r="J2796" s="108" t="str">
        <f>IFERROR(VLOOKUP(H2796,LUTs!$A$1:$C$73,3,FALSE),"NA")</f>
        <v>2Central Puget Sound</v>
      </c>
      <c r="K2796" s="108" t="s">
        <v>13</v>
      </c>
      <c r="L2796" s="108" t="str">
        <f>VLOOKUP(K2796,LUTs!E$2:G$14,3,)</f>
        <v>01Whatcom</v>
      </c>
      <c r="M2796" s="108" t="str">
        <f>VLOOKUP($K2796,LUTs!$E$2:$H$14,2,)</f>
        <v>North Puget Sound</v>
      </c>
      <c r="N2796" s="108" t="str">
        <f>VLOOKUP($K2796,LUTs!$E$2:$H$14,4,)</f>
        <v>01North Puget Sound</v>
      </c>
      <c r="O2796" s="108">
        <v>28.531791907514499</v>
      </c>
      <c r="P2796" s="108">
        <v>246.8</v>
      </c>
      <c r="Q2796" s="108">
        <f>SUMIFS('FW_Salmon_by_Month_2010-2021'!P$2:P$3810,'FW_Salmon_by_Month_2010-2021'!$B$2:$B$3810,'Rec_raw_catch_effort_2010-2021'!$B2796,'FW_Salmon_by_Month_2010-2021'!$H$2:$H$3810,'Rec_raw_catch_effort_2010-2021'!$F2796,'FW_Salmon_by_Month_2010-2021'!$M$2:$M$3810,'Rec_raw_catch_effort_2010-2021'!$K2796)</f>
        <v>28.520325203252</v>
      </c>
      <c r="R2796" s="109">
        <f>VLOOKUP(B2796,Readme!$A$62:$C$74,2,)*Q2796</f>
        <v>137.45527320023672</v>
      </c>
      <c r="S2796" s="140" t="str">
        <f t="shared" si="213"/>
        <v>Y</v>
      </c>
      <c r="T2796" s="154">
        <f t="shared" si="214"/>
        <v>8.6499999999999861</v>
      </c>
      <c r="U2796" s="154">
        <f t="shared" si="215"/>
        <v>4.8195549041132084</v>
      </c>
    </row>
    <row r="2797" spans="1:21" x14ac:dyDescent="0.35">
      <c r="A2797" s="108">
        <v>1423</v>
      </c>
      <c r="B2797" s="108">
        <v>2013</v>
      </c>
      <c r="C2797" s="108" t="s">
        <v>38</v>
      </c>
      <c r="D2797" s="108" t="s">
        <v>143</v>
      </c>
      <c r="E2797" s="108" t="s">
        <v>10</v>
      </c>
      <c r="F2797" s="116">
        <v>872</v>
      </c>
      <c r="G2797" s="108" t="s">
        <v>65</v>
      </c>
      <c r="H2797" s="108" t="str">
        <f t="shared" si="216"/>
        <v>Stillaguamish River</v>
      </c>
      <c r="I2797" s="108" t="str">
        <f>IFERROR(VLOOKUP(H2797,LUTs!$A$1:$C$73,2,FALSE),"NA")</f>
        <v>Snohomish</v>
      </c>
      <c r="J2797" s="108" t="str">
        <f>IFERROR(VLOOKUP(H2797,LUTs!$A$1:$C$73,3,FALSE),"NA")</f>
        <v>2Central Puget Sound</v>
      </c>
      <c r="K2797" s="108" t="s">
        <v>17</v>
      </c>
      <c r="L2797" s="108" t="str">
        <f>VLOOKUP(K2797,LUTs!E$2:G$14,3,)</f>
        <v>04Island</v>
      </c>
      <c r="M2797" s="108" t="str">
        <f>VLOOKUP($K2797,LUTs!$E$2:$H$14,2,)</f>
        <v>North Puget Sound</v>
      </c>
      <c r="N2797" s="108" t="str">
        <f>VLOOKUP($K2797,LUTs!$E$2:$H$14,4,)</f>
        <v>01North Puget Sound</v>
      </c>
      <c r="O2797" s="108">
        <v>603.16345177665005</v>
      </c>
      <c r="P2797" s="108">
        <v>2074.8822741116801</v>
      </c>
      <c r="Q2797" s="108">
        <f>SUMIFS('FW_Salmon_by_Month_2010-2021'!P$2:P$3810,'FW_Salmon_by_Month_2010-2021'!$B$2:$B$3810,'Rec_raw_catch_effort_2010-2021'!$B2797,'FW_Salmon_by_Month_2010-2021'!$H$2:$H$3810,'Rec_raw_catch_effort_2010-2021'!$F2797,'FW_Salmon_by_Month_2010-2021'!$M$2:$M$3810,'Rec_raw_catch_effort_2010-2021'!$K2797)</f>
        <v>616.27721167999903</v>
      </c>
      <c r="R2797" s="109">
        <f>VLOOKUP(B2797,Readme!$A$62:$C$74,2,)*Q2797</f>
        <v>2181.0299742518646</v>
      </c>
      <c r="S2797" s="140" t="str">
        <f t="shared" si="213"/>
        <v>Y</v>
      </c>
      <c r="T2797" s="154">
        <f t="shared" si="214"/>
        <v>3.4400000000000066</v>
      </c>
      <c r="U2797" s="154">
        <f t="shared" si="215"/>
        <v>3.5390404397824158</v>
      </c>
    </row>
    <row r="2798" spans="1:21" x14ac:dyDescent="0.35">
      <c r="A2798" s="108">
        <v>1424</v>
      </c>
      <c r="B2798" s="108">
        <v>2013</v>
      </c>
      <c r="C2798" s="108" t="s">
        <v>38</v>
      </c>
      <c r="D2798" s="108" t="s">
        <v>143</v>
      </c>
      <c r="E2798" s="108" t="s">
        <v>10</v>
      </c>
      <c r="F2798" s="116">
        <v>872</v>
      </c>
      <c r="G2798" s="108" t="s">
        <v>65</v>
      </c>
      <c r="H2798" s="108" t="str">
        <f t="shared" si="216"/>
        <v>Stillaguamish River</v>
      </c>
      <c r="I2798" s="108" t="str">
        <f>IFERROR(VLOOKUP(H2798,LUTs!$A$1:$C$73,2,FALSE),"NA")</f>
        <v>Snohomish</v>
      </c>
      <c r="J2798" s="108" t="str">
        <f>IFERROR(VLOOKUP(H2798,LUTs!$A$1:$C$73,3,FALSE),"NA")</f>
        <v>2Central Puget Sound</v>
      </c>
      <c r="K2798" s="108" t="s">
        <v>18</v>
      </c>
      <c r="L2798" s="108" t="str">
        <f>VLOOKUP(K2798,LUTs!E$2:G$14,3,)</f>
        <v>06King</v>
      </c>
      <c r="M2798" s="108" t="str">
        <f>VLOOKUP($K2798,LUTs!$E$2:$H$14,2,)</f>
        <v>South Puget Sound</v>
      </c>
      <c r="N2798" s="108" t="str">
        <f>VLOOKUP($K2798,LUTs!$E$2:$H$14,4,)</f>
        <v>02South Puget Sound</v>
      </c>
      <c r="O2798" s="108">
        <v>381.41218274111702</v>
      </c>
      <c r="P2798" s="108">
        <v>1312.0579086294399</v>
      </c>
      <c r="Q2798" s="108">
        <f>SUMIFS('FW_Salmon_by_Month_2010-2021'!P$2:P$3810,'FW_Salmon_by_Month_2010-2021'!$B$2:$B$3810,'Rec_raw_catch_effort_2010-2021'!$B2798,'FW_Salmon_by_Month_2010-2021'!$H$2:$H$3810,'Rec_raw_catch_effort_2010-2021'!$F2798,'FW_Salmon_by_Month_2010-2021'!$M$2:$M$3810,'Rec_raw_catch_effort_2010-2021'!$K2798)</f>
        <v>386.57784953843702</v>
      </c>
      <c r="R2798" s="109">
        <f>VLOOKUP(B2798,Readme!$A$62:$C$74,2,)*Q2798</f>
        <v>1368.1146426406506</v>
      </c>
      <c r="S2798" s="140" t="str">
        <f t="shared" si="213"/>
        <v>Y</v>
      </c>
      <c r="T2798" s="154">
        <f t="shared" si="214"/>
        <v>3.4399999999999928</v>
      </c>
      <c r="U2798" s="154">
        <f t="shared" si="215"/>
        <v>3.5390404397824153</v>
      </c>
    </row>
    <row r="2799" spans="1:21" x14ac:dyDescent="0.35">
      <c r="A2799" s="108">
        <v>1591</v>
      </c>
      <c r="B2799" s="108">
        <v>2013</v>
      </c>
      <c r="C2799" s="108" t="s">
        <v>38</v>
      </c>
      <c r="D2799" s="108" t="s">
        <v>143</v>
      </c>
      <c r="E2799" s="108" t="s">
        <v>10</v>
      </c>
      <c r="F2799" s="116">
        <v>872</v>
      </c>
      <c r="G2799" s="108" t="s">
        <v>65</v>
      </c>
      <c r="H2799" s="108" t="str">
        <f t="shared" si="216"/>
        <v>Stillaguamish River</v>
      </c>
      <c r="I2799" s="108" t="str">
        <f>IFERROR(VLOOKUP(H2799,LUTs!$A$1:$C$73,2,FALSE),"NA")</f>
        <v>Snohomish</v>
      </c>
      <c r="J2799" s="108" t="str">
        <f>IFERROR(VLOOKUP(H2799,LUTs!$A$1:$C$73,3,FALSE),"NA")</f>
        <v>2Central Puget Sound</v>
      </c>
      <c r="K2799" s="108" t="s">
        <v>23</v>
      </c>
      <c r="L2799" s="108" t="str">
        <f>VLOOKUP(K2799,LUTs!E$2:G$14,3,)</f>
        <v>10Kitsap</v>
      </c>
      <c r="M2799" s="108" t="str">
        <f>VLOOKUP($K2799,LUTs!$E$2:$H$14,2,)</f>
        <v>South Puget Sound</v>
      </c>
      <c r="N2799" s="108" t="str">
        <f>VLOOKUP($K2799,LUTs!$E$2:$H$14,4,)</f>
        <v>02South Puget Sound</v>
      </c>
      <c r="O2799" s="108">
        <v>17.7401015228426</v>
      </c>
      <c r="P2799" s="108">
        <v>61.025949238578498</v>
      </c>
      <c r="Q2799" s="108">
        <f>SUMIFS('FW_Salmon_by_Month_2010-2021'!P$2:P$3810,'FW_Salmon_by_Month_2010-2021'!$B$2:$B$3810,'Rec_raw_catch_effort_2010-2021'!$B2799,'FW_Salmon_by_Month_2010-2021'!$H$2:$H$3810,'Rec_raw_catch_effort_2010-2021'!$F2799,'FW_Salmon_by_Month_2010-2021'!$M$2:$M$3810,'Rec_raw_catch_effort_2010-2021'!$K2799)</f>
        <v>17.797665369649799</v>
      </c>
      <c r="R2799" s="109">
        <f>VLOOKUP(B2799,Readme!$A$62:$C$74,2,)*Q2799</f>
        <v>62.986657476905691</v>
      </c>
      <c r="S2799" s="140" t="str">
        <f t="shared" si="213"/>
        <v>Y</v>
      </c>
      <c r="T2799" s="154">
        <f t="shared" si="214"/>
        <v>3.4399999999999973</v>
      </c>
      <c r="U2799" s="154">
        <f t="shared" si="215"/>
        <v>3.5390404397824153</v>
      </c>
    </row>
    <row r="2800" spans="1:21" x14ac:dyDescent="0.35">
      <c r="A2800" s="108">
        <v>1426</v>
      </c>
      <c r="B2800" s="108">
        <v>2013</v>
      </c>
      <c r="C2800" s="108" t="s">
        <v>38</v>
      </c>
      <c r="D2800" s="108" t="s">
        <v>143</v>
      </c>
      <c r="E2800" s="108" t="s">
        <v>10</v>
      </c>
      <c r="F2800" s="116">
        <v>872</v>
      </c>
      <c r="G2800" s="108" t="s">
        <v>65</v>
      </c>
      <c r="H2800" s="108" t="str">
        <f t="shared" si="216"/>
        <v>Stillaguamish River</v>
      </c>
      <c r="I2800" s="108" t="str">
        <f>IFERROR(VLOOKUP(H2800,LUTs!$A$1:$C$73,2,FALSE),"NA")</f>
        <v>Snohomish</v>
      </c>
      <c r="J2800" s="108" t="str">
        <f>IFERROR(VLOOKUP(H2800,LUTs!$A$1:$C$73,3,FALSE),"NA")</f>
        <v>2Central Puget Sound</v>
      </c>
      <c r="K2800" s="108" t="s">
        <v>22</v>
      </c>
      <c r="L2800" s="108" t="str">
        <f>VLOOKUP(K2800,LUTs!E$2:G$14,3,)</f>
        <v>09Mason</v>
      </c>
      <c r="M2800" s="108" t="str">
        <f>VLOOKUP($K2800,LUTs!$E$2:$H$14,2,)</f>
        <v>South Puget Sound</v>
      </c>
      <c r="N2800" s="108" t="str">
        <f>VLOOKUP($K2800,LUTs!$E$2:$H$14,4,)</f>
        <v>02South Puget Sound</v>
      </c>
      <c r="O2800" s="108">
        <v>44.350253807106597</v>
      </c>
      <c r="P2800" s="108">
        <v>152.564873096447</v>
      </c>
      <c r="Q2800" s="108">
        <f>SUMIFS('FW_Salmon_by_Month_2010-2021'!P$2:P$3810,'FW_Salmon_by_Month_2010-2021'!$B$2:$B$3810,'Rec_raw_catch_effort_2010-2021'!$B2800,'FW_Salmon_by_Month_2010-2021'!$H$2:$H$3810,'Rec_raw_catch_effort_2010-2021'!$F2800,'FW_Salmon_by_Month_2010-2021'!$M$2:$M$3810,'Rec_raw_catch_effort_2010-2021'!$K2800)</f>
        <v>35.595330739299598</v>
      </c>
      <c r="R2800" s="109">
        <f>VLOOKUP(B2800,Readme!$A$62:$C$74,2,)*Q2800</f>
        <v>125.97331495381138</v>
      </c>
      <c r="S2800" s="140" t="str">
        <f t="shared" si="213"/>
        <v>Y</v>
      </c>
      <c r="T2800" s="154">
        <f t="shared" si="214"/>
        <v>3.4400000000000071</v>
      </c>
      <c r="U2800" s="154">
        <f t="shared" si="215"/>
        <v>3.5390404397824153</v>
      </c>
    </row>
    <row r="2801" spans="1:21" x14ac:dyDescent="0.35">
      <c r="A2801" s="108">
        <v>1592</v>
      </c>
      <c r="B2801" s="108">
        <v>2013</v>
      </c>
      <c r="C2801" s="108" t="s">
        <v>38</v>
      </c>
      <c r="D2801" s="108" t="s">
        <v>143</v>
      </c>
      <c r="E2801" s="108" t="s">
        <v>10</v>
      </c>
      <c r="F2801" s="116">
        <v>872</v>
      </c>
      <c r="G2801" s="108" t="s">
        <v>65</v>
      </c>
      <c r="H2801" s="108" t="str">
        <f t="shared" si="216"/>
        <v>Stillaguamish River</v>
      </c>
      <c r="I2801" s="108" t="str">
        <f>IFERROR(VLOOKUP(H2801,LUTs!$A$1:$C$73,2,FALSE),"NA")</f>
        <v>Snohomish</v>
      </c>
      <c r="J2801" s="108" t="str">
        <f>IFERROR(VLOOKUP(H2801,LUTs!$A$1:$C$73,3,FALSE),"NA")</f>
        <v>2Central Puget Sound</v>
      </c>
      <c r="K2801" s="108" t="s">
        <v>26</v>
      </c>
      <c r="L2801" s="108" t="str">
        <f>VLOOKUP(K2801,LUTs!E$2:G$14,3,)</f>
        <v>20Other</v>
      </c>
      <c r="M2801" s="108" t="str">
        <f>VLOOKUP($K2801,LUTs!$E$2:$H$14,2,)</f>
        <v>Non Puget Sound</v>
      </c>
      <c r="N2801" s="108" t="str">
        <f>VLOOKUP($K2801,LUTs!$E$2:$H$14,4,)</f>
        <v>07Non Puget Sound</v>
      </c>
      <c r="O2801" s="108">
        <v>434.632487309645</v>
      </c>
      <c r="P2801" s="108">
        <v>1495.13575634518</v>
      </c>
      <c r="Q2801" s="108">
        <f>SUMIFS('FW_Salmon_by_Month_2010-2021'!P$2:P$3810,'FW_Salmon_by_Month_2010-2021'!$B$2:$B$3810,'Rec_raw_catch_effort_2010-2021'!$B2801,'FW_Salmon_by_Month_2010-2021'!$H$2:$H$3810,'Rec_raw_catch_effort_2010-2021'!$F2801,'FW_Salmon_by_Month_2010-2021'!$M$2:$M$3810,'Rec_raw_catch_effort_2010-2021'!$K2801)</f>
        <v>428.02493239156991</v>
      </c>
      <c r="R2801" s="109">
        <f>VLOOKUP(B2801,Readme!$A$62:$C$74,2,)*Q2801</f>
        <v>1514.7975449689002</v>
      </c>
      <c r="S2801" s="140" t="str">
        <f t="shared" si="213"/>
        <v>Y</v>
      </c>
      <c r="T2801" s="154">
        <f t="shared" si="214"/>
        <v>3.4400000000000026</v>
      </c>
      <c r="U2801" s="154">
        <f t="shared" si="215"/>
        <v>3.5390404397824153</v>
      </c>
    </row>
    <row r="2802" spans="1:21" x14ac:dyDescent="0.35">
      <c r="A2802" s="108">
        <v>1425</v>
      </c>
      <c r="B2802" s="108">
        <v>2013</v>
      </c>
      <c r="C2802" s="108" t="s">
        <v>38</v>
      </c>
      <c r="D2802" s="108" t="s">
        <v>143</v>
      </c>
      <c r="E2802" s="108" t="s">
        <v>10</v>
      </c>
      <c r="F2802" s="116">
        <v>872</v>
      </c>
      <c r="G2802" s="108" t="s">
        <v>65</v>
      </c>
      <c r="H2802" s="108" t="str">
        <f t="shared" si="216"/>
        <v>Stillaguamish River</v>
      </c>
      <c r="I2802" s="108" t="str">
        <f>IFERROR(VLOOKUP(H2802,LUTs!$A$1:$C$73,2,FALSE),"NA")</f>
        <v>Snohomish</v>
      </c>
      <c r="J2802" s="108" t="str">
        <f>IFERROR(VLOOKUP(H2802,LUTs!$A$1:$C$73,3,FALSE),"NA")</f>
        <v>2Central Puget Sound</v>
      </c>
      <c r="K2802" s="108" t="s">
        <v>20</v>
      </c>
      <c r="L2802" s="108" t="str">
        <f>VLOOKUP(K2802,LUTs!E$2:G$14,3,)</f>
        <v>07Pierce</v>
      </c>
      <c r="M2802" s="108" t="str">
        <f>VLOOKUP($K2802,LUTs!$E$2:$H$14,2,)</f>
        <v>South Puget Sound</v>
      </c>
      <c r="N2802" s="108" t="str">
        <f>VLOOKUP($K2802,LUTs!$E$2:$H$14,4,)</f>
        <v>02South Puget Sound</v>
      </c>
      <c r="O2802" s="108">
        <v>26.610152284264</v>
      </c>
      <c r="P2802" s="108">
        <v>91.538923857868198</v>
      </c>
      <c r="Q2802" s="108">
        <f>SUMIFS('FW_Salmon_by_Month_2010-2021'!P$2:P$3810,'FW_Salmon_by_Month_2010-2021'!$B$2:$B$3810,'Rec_raw_catch_effort_2010-2021'!$B2802,'FW_Salmon_by_Month_2010-2021'!$H$2:$H$3810,'Rec_raw_catch_effort_2010-2021'!$F2802,'FW_Salmon_by_Month_2010-2021'!$M$2:$M$3810,'Rec_raw_catch_effort_2010-2021'!$K2802)</f>
        <v>26.909102319796428</v>
      </c>
      <c r="R2802" s="109">
        <f>VLOOKUP(B2802,Readme!$A$62:$C$74,2,)*Q2802</f>
        <v>95.232401308002366</v>
      </c>
      <c r="S2802" s="140" t="str">
        <f t="shared" si="213"/>
        <v>Y</v>
      </c>
      <c r="T2802" s="154">
        <f t="shared" si="214"/>
        <v>3.4400000000000013</v>
      </c>
      <c r="U2802" s="154">
        <f t="shared" si="215"/>
        <v>3.5390404397824153</v>
      </c>
    </row>
    <row r="2803" spans="1:21" x14ac:dyDescent="0.35">
      <c r="A2803" s="108">
        <v>1421</v>
      </c>
      <c r="B2803" s="108">
        <v>2013</v>
      </c>
      <c r="C2803" s="108" t="s">
        <v>38</v>
      </c>
      <c r="D2803" s="108" t="s">
        <v>143</v>
      </c>
      <c r="E2803" s="108" t="s">
        <v>10</v>
      </c>
      <c r="F2803" s="116">
        <v>872</v>
      </c>
      <c r="G2803" s="108" t="s">
        <v>65</v>
      </c>
      <c r="H2803" s="108" t="str">
        <f t="shared" si="216"/>
        <v>Stillaguamish River</v>
      </c>
      <c r="I2803" s="108" t="str">
        <f>IFERROR(VLOOKUP(H2803,LUTs!$A$1:$C$73,2,FALSE),"NA")</f>
        <v>Snohomish</v>
      </c>
      <c r="J2803" s="108" t="str">
        <f>IFERROR(VLOOKUP(H2803,LUTs!$A$1:$C$73,3,FALSE),"NA")</f>
        <v>2Central Puget Sound</v>
      </c>
      <c r="K2803" s="108" t="s">
        <v>15</v>
      </c>
      <c r="L2803" s="108" t="str">
        <f>VLOOKUP(K2803,LUTs!E$2:G$14,3,)</f>
        <v>02Skagit</v>
      </c>
      <c r="M2803" s="108" t="str">
        <f>VLOOKUP($K2803,LUTs!$E$2:$H$14,2,)</f>
        <v>North Puget Sound</v>
      </c>
      <c r="N2803" s="108" t="str">
        <f>VLOOKUP($K2803,LUTs!$E$2:$H$14,4,)</f>
        <v>01North Puget Sound</v>
      </c>
      <c r="O2803" s="108">
        <v>141.920812182741</v>
      </c>
      <c r="P2803" s="108">
        <v>488.20759390862901</v>
      </c>
      <c r="Q2803" s="108">
        <f>SUMIFS('FW_Salmon_by_Month_2010-2021'!P$2:P$3810,'FW_Salmon_by_Month_2010-2021'!$B$2:$B$3810,'Rec_raw_catch_effort_2010-2021'!$B2803,'FW_Salmon_by_Month_2010-2021'!$H$2:$H$3810,'Rec_raw_catch_effort_2010-2021'!$F2803,'FW_Salmon_by_Month_2010-2021'!$M$2:$M$3810,'Rec_raw_catch_effort_2010-2021'!$K2803)</f>
        <v>118.20176523614461</v>
      </c>
      <c r="R2803" s="109">
        <f>VLOOKUP(B2803,Readme!$A$62:$C$74,2,)*Q2803</f>
        <v>418.32082722438304</v>
      </c>
      <c r="S2803" s="140" t="str">
        <f t="shared" si="213"/>
        <v>Y</v>
      </c>
      <c r="T2803" s="154">
        <f t="shared" si="214"/>
        <v>3.4399999999999995</v>
      </c>
      <c r="U2803" s="154">
        <f t="shared" si="215"/>
        <v>3.5390404397824153</v>
      </c>
    </row>
    <row r="2804" spans="1:21" x14ac:dyDescent="0.35">
      <c r="A2804" s="108">
        <v>1422</v>
      </c>
      <c r="B2804" s="108">
        <v>2013</v>
      </c>
      <c r="C2804" s="108" t="s">
        <v>38</v>
      </c>
      <c r="D2804" s="108" t="s">
        <v>143</v>
      </c>
      <c r="E2804" s="108" t="s">
        <v>10</v>
      </c>
      <c r="F2804" s="116">
        <v>872</v>
      </c>
      <c r="G2804" s="108" t="s">
        <v>65</v>
      </c>
      <c r="H2804" s="108" t="str">
        <f t="shared" si="216"/>
        <v>Stillaguamish River</v>
      </c>
      <c r="I2804" s="108" t="str">
        <f>IFERROR(VLOOKUP(H2804,LUTs!$A$1:$C$73,2,FALSE),"NA")</f>
        <v>Snohomish</v>
      </c>
      <c r="J2804" s="108" t="str">
        <f>IFERROR(VLOOKUP(H2804,LUTs!$A$1:$C$73,3,FALSE),"NA")</f>
        <v>2Central Puget Sound</v>
      </c>
      <c r="K2804" s="108" t="s">
        <v>16</v>
      </c>
      <c r="L2804" s="108" t="str">
        <f>VLOOKUP(K2804,LUTs!E$2:G$14,3,)</f>
        <v>03Snohomish</v>
      </c>
      <c r="M2804" s="108" t="str">
        <f>VLOOKUP($K2804,LUTs!$E$2:$H$14,2,)</f>
        <v>North Puget Sound</v>
      </c>
      <c r="N2804" s="108" t="str">
        <f>VLOOKUP($K2804,LUTs!$E$2:$H$14,4,)</f>
        <v>01North Puget Sound</v>
      </c>
      <c r="O2804" s="108">
        <v>7007.3401015228401</v>
      </c>
      <c r="P2804" s="108">
        <v>24105.249949238601</v>
      </c>
      <c r="Q2804" s="108">
        <f>SUMIFS('FW_Salmon_by_Month_2010-2021'!P$2:P$3810,'FW_Salmon_by_Month_2010-2021'!$B$2:$B$3810,'Rec_raw_catch_effort_2010-2021'!$B2804,'FW_Salmon_by_Month_2010-2021'!$H$2:$H$3810,'Rec_raw_catch_effort_2010-2021'!$F2804,'FW_Salmon_by_Month_2010-2021'!$M$2:$M$3810,'Rec_raw_catch_effort_2010-2021'!$K2804)</f>
        <v>7027.5266485616903</v>
      </c>
      <c r="R2804" s="109">
        <f>VLOOKUP(B2804,Readme!$A$62:$C$74,2,)*Q2804</f>
        <v>24870.701000908408</v>
      </c>
      <c r="S2804" s="140" t="str">
        <f t="shared" si="213"/>
        <v>Y</v>
      </c>
      <c r="T2804" s="154">
        <f t="shared" si="214"/>
        <v>3.4400000000000044</v>
      </c>
      <c r="U2804" s="154">
        <f t="shared" si="215"/>
        <v>3.5390404397824153</v>
      </c>
    </row>
    <row r="2805" spans="1:21" x14ac:dyDescent="0.35">
      <c r="A2805" s="108">
        <v>1420</v>
      </c>
      <c r="B2805" s="108">
        <v>2013</v>
      </c>
      <c r="C2805" s="108" t="s">
        <v>38</v>
      </c>
      <c r="D2805" s="108" t="s">
        <v>143</v>
      </c>
      <c r="E2805" s="108" t="s">
        <v>10</v>
      </c>
      <c r="F2805" s="116">
        <v>872</v>
      </c>
      <c r="G2805" s="108" t="s">
        <v>65</v>
      </c>
      <c r="H2805" s="108" t="str">
        <f t="shared" si="216"/>
        <v>Stillaguamish River</v>
      </c>
      <c r="I2805" s="108" t="str">
        <f>IFERROR(VLOOKUP(H2805,LUTs!$A$1:$C$73,2,FALSE),"NA")</f>
        <v>Snohomish</v>
      </c>
      <c r="J2805" s="108" t="str">
        <f>IFERROR(VLOOKUP(H2805,LUTs!$A$1:$C$73,3,FALSE),"NA")</f>
        <v>2Central Puget Sound</v>
      </c>
      <c r="K2805" s="108" t="s">
        <v>13</v>
      </c>
      <c r="L2805" s="108" t="str">
        <f>VLOOKUP(K2805,LUTs!E$2:G$14,3,)</f>
        <v>01Whatcom</v>
      </c>
      <c r="M2805" s="108" t="str">
        <f>VLOOKUP($K2805,LUTs!$E$2:$H$14,2,)</f>
        <v>North Puget Sound</v>
      </c>
      <c r="N2805" s="108" t="str">
        <f>VLOOKUP($K2805,LUTs!$E$2:$H$14,4,)</f>
        <v>01North Puget Sound</v>
      </c>
      <c r="O2805" s="108">
        <v>79.830456852791897</v>
      </c>
      <c r="P2805" s="108">
        <v>274.61677157360401</v>
      </c>
      <c r="Q2805" s="108">
        <f>SUMIFS('FW_Salmon_by_Month_2010-2021'!P$2:P$3810,'FW_Salmon_by_Month_2010-2021'!$B$2:$B$3810,'Rec_raw_catch_effort_2010-2021'!$B2805,'FW_Salmon_by_Month_2010-2021'!$H$2:$H$3810,'Rec_raw_catch_effort_2010-2021'!$F2805,'FW_Salmon_by_Month_2010-2021'!$M$2:$M$3810,'Rec_raw_catch_effort_2010-2021'!$K2805)</f>
        <v>80.089494163424106</v>
      </c>
      <c r="R2805" s="109">
        <f>VLOOKUP(B2805,Readme!$A$62:$C$74,2,)*Q2805</f>
        <v>283.43995864607564</v>
      </c>
      <c r="S2805" s="140" t="str">
        <f t="shared" si="213"/>
        <v>Y</v>
      </c>
      <c r="T2805" s="154">
        <f t="shared" si="214"/>
        <v>3.4399999999999986</v>
      </c>
      <c r="U2805" s="154">
        <f t="shared" si="215"/>
        <v>3.5390404397824153</v>
      </c>
    </row>
    <row r="2806" spans="1:21" x14ac:dyDescent="0.35">
      <c r="A2806" s="108">
        <v>1761</v>
      </c>
      <c r="B2806" s="108">
        <v>2014</v>
      </c>
      <c r="C2806" s="108" t="s">
        <v>38</v>
      </c>
      <c r="D2806" s="108" t="s">
        <v>143</v>
      </c>
      <c r="E2806" s="108" t="s">
        <v>10</v>
      </c>
      <c r="F2806" s="116">
        <v>872</v>
      </c>
      <c r="G2806" s="108" t="s">
        <v>65</v>
      </c>
      <c r="H2806" s="108" t="str">
        <f t="shared" si="216"/>
        <v>Stillaguamish River</v>
      </c>
      <c r="I2806" s="108" t="str">
        <f>IFERROR(VLOOKUP(H2806,LUTs!$A$1:$C$73,2,FALSE),"NA")</f>
        <v>Snohomish</v>
      </c>
      <c r="J2806" s="108" t="str">
        <f>IFERROR(VLOOKUP(H2806,LUTs!$A$1:$C$73,3,FALSE),"NA")</f>
        <v>2Central Puget Sound</v>
      </c>
      <c r="K2806" s="108" t="s">
        <v>17</v>
      </c>
      <c r="L2806" s="108" t="str">
        <f>VLOOKUP(K2806,LUTs!E$2:G$14,3,)</f>
        <v>04Island</v>
      </c>
      <c r="M2806" s="108" t="str">
        <f>VLOOKUP($K2806,LUTs!$E$2:$H$14,2,)</f>
        <v>North Puget Sound</v>
      </c>
      <c r="N2806" s="108" t="str">
        <f>VLOOKUP($K2806,LUTs!$E$2:$H$14,4,)</f>
        <v>01North Puget Sound</v>
      </c>
      <c r="O2806" s="108">
        <v>6.90625</v>
      </c>
      <c r="P2806" s="108">
        <v>59.739062500000003</v>
      </c>
      <c r="Q2806" s="108">
        <f>SUMIFS('FW_Salmon_by_Month_2010-2021'!P$2:P$3810,'FW_Salmon_by_Month_2010-2021'!$B$2:$B$3810,'Rec_raw_catch_effort_2010-2021'!$B2806,'FW_Salmon_by_Month_2010-2021'!$H$2:$H$3810,'Rec_raw_catch_effort_2010-2021'!$F2806,'FW_Salmon_by_Month_2010-2021'!$M$2:$M$3810,'Rec_raw_catch_effort_2010-2021'!$K2806)</f>
        <v>7.1304347826086998</v>
      </c>
      <c r="R2806" s="109">
        <f>VLOOKUP(B2806,Readme!$A$62:$C$74,2,)*Q2806</f>
        <v>34.365521924981159</v>
      </c>
      <c r="S2806" s="140" t="str">
        <f t="shared" si="213"/>
        <v>Y</v>
      </c>
      <c r="T2806" s="154">
        <f t="shared" si="214"/>
        <v>8.65</v>
      </c>
      <c r="U2806" s="154">
        <f t="shared" si="215"/>
        <v>4.8195549041132084</v>
      </c>
    </row>
    <row r="2807" spans="1:21" x14ac:dyDescent="0.35">
      <c r="A2807" s="108">
        <v>1762</v>
      </c>
      <c r="B2807" s="108">
        <v>2014</v>
      </c>
      <c r="C2807" s="108" t="s">
        <v>38</v>
      </c>
      <c r="D2807" s="108" t="s">
        <v>143</v>
      </c>
      <c r="E2807" s="108" t="s">
        <v>10</v>
      </c>
      <c r="F2807" s="116">
        <v>872</v>
      </c>
      <c r="G2807" s="108" t="s">
        <v>65</v>
      </c>
      <c r="H2807" s="108" t="str">
        <f t="shared" si="216"/>
        <v>Stillaguamish River</v>
      </c>
      <c r="I2807" s="108" t="str">
        <f>IFERROR(VLOOKUP(H2807,LUTs!$A$1:$C$73,2,FALSE),"NA")</f>
        <v>Snohomish</v>
      </c>
      <c r="J2807" s="108" t="str">
        <f>IFERROR(VLOOKUP(H2807,LUTs!$A$1:$C$73,3,FALSE),"NA")</f>
        <v>2Central Puget Sound</v>
      </c>
      <c r="K2807" s="108" t="s">
        <v>18</v>
      </c>
      <c r="L2807" s="108" t="str">
        <f>VLOOKUP(K2807,LUTs!E$2:G$14,3,)</f>
        <v>06King</v>
      </c>
      <c r="M2807" s="108" t="str">
        <f>VLOOKUP($K2807,LUTs!$E$2:$H$14,2,)</f>
        <v>South Puget Sound</v>
      </c>
      <c r="N2807" s="108" t="str">
        <f>VLOOKUP($K2807,LUTs!$E$2:$H$14,4,)</f>
        <v>02South Puget Sound</v>
      </c>
      <c r="O2807" s="108">
        <v>13.8125</v>
      </c>
      <c r="P2807" s="108">
        <v>119.47812500000001</v>
      </c>
      <c r="Q2807" s="108">
        <f>SUMIFS('FW_Salmon_by_Month_2010-2021'!P$2:P$3810,'FW_Salmon_by_Month_2010-2021'!$B$2:$B$3810,'Rec_raw_catch_effort_2010-2021'!$B2807,'FW_Salmon_by_Month_2010-2021'!$H$2:$H$3810,'Rec_raw_catch_effort_2010-2021'!$F2807,'FW_Salmon_by_Month_2010-2021'!$M$2:$M$3810,'Rec_raw_catch_effort_2010-2021'!$K2807)</f>
        <v>14.2608695652174</v>
      </c>
      <c r="R2807" s="109">
        <f>VLOOKUP(B2807,Readme!$A$62:$C$74,2,)*Q2807</f>
        <v>68.731043849962319</v>
      </c>
      <c r="S2807" s="140" t="str">
        <f t="shared" si="213"/>
        <v>Y</v>
      </c>
      <c r="T2807" s="154">
        <f t="shared" si="214"/>
        <v>8.65</v>
      </c>
      <c r="U2807" s="154">
        <f t="shared" si="215"/>
        <v>4.8195549041132084</v>
      </c>
    </row>
    <row r="2808" spans="1:21" x14ac:dyDescent="0.35">
      <c r="A2808" s="108">
        <v>1755</v>
      </c>
      <c r="B2808" s="108">
        <v>2014</v>
      </c>
      <c r="C2808" s="108" t="s">
        <v>38</v>
      </c>
      <c r="D2808" s="108" t="s">
        <v>143</v>
      </c>
      <c r="E2808" s="108" t="s">
        <v>10</v>
      </c>
      <c r="F2808" s="116">
        <v>872</v>
      </c>
      <c r="G2808" s="108" t="s">
        <v>65</v>
      </c>
      <c r="H2808" s="108" t="str">
        <f t="shared" si="216"/>
        <v>Stillaguamish River</v>
      </c>
      <c r="I2808" s="108" t="str">
        <f>IFERROR(VLOOKUP(H2808,LUTs!$A$1:$C$73,2,FALSE),"NA")</f>
        <v>Snohomish</v>
      </c>
      <c r="J2808" s="108" t="str">
        <f>IFERROR(VLOOKUP(H2808,LUTs!$A$1:$C$73,3,FALSE),"NA")</f>
        <v>2Central Puget Sound</v>
      </c>
      <c r="K2808" s="108" t="s">
        <v>15</v>
      </c>
      <c r="L2808" s="108" t="str">
        <f>VLOOKUP(K2808,LUTs!E$2:G$14,3,)</f>
        <v>02Skagit</v>
      </c>
      <c r="M2808" s="108" t="str">
        <f>VLOOKUP($K2808,LUTs!$E$2:$H$14,2,)</f>
        <v>North Puget Sound</v>
      </c>
      <c r="N2808" s="108" t="str">
        <f>VLOOKUP($K2808,LUTs!$E$2:$H$14,4,)</f>
        <v>01North Puget Sound</v>
      </c>
      <c r="O2808" s="108">
        <v>20.71875</v>
      </c>
      <c r="P2808" s="108">
        <v>179.21718749999999</v>
      </c>
      <c r="Q2808" s="108">
        <f>SUMIFS('FW_Salmon_by_Month_2010-2021'!P$2:P$3810,'FW_Salmon_by_Month_2010-2021'!$B$2:$B$3810,'Rec_raw_catch_effort_2010-2021'!$B2808,'FW_Salmon_by_Month_2010-2021'!$H$2:$H$3810,'Rec_raw_catch_effort_2010-2021'!$F2808,'FW_Salmon_by_Month_2010-2021'!$M$2:$M$3810,'Rec_raw_catch_effort_2010-2021'!$K2808)</f>
        <v>21.3913043478261</v>
      </c>
      <c r="R2808" s="109">
        <f>VLOOKUP(B2808,Readme!$A$62:$C$74,2,)*Q2808</f>
        <v>103.09656577494349</v>
      </c>
      <c r="S2808" s="140" t="str">
        <f t="shared" si="213"/>
        <v>Y</v>
      </c>
      <c r="T2808" s="154">
        <f t="shared" si="214"/>
        <v>8.65</v>
      </c>
      <c r="U2808" s="154">
        <f t="shared" si="215"/>
        <v>4.8195549041132084</v>
      </c>
    </row>
    <row r="2809" spans="1:21" x14ac:dyDescent="0.35">
      <c r="A2809" s="108">
        <v>1756</v>
      </c>
      <c r="B2809" s="108">
        <v>2014</v>
      </c>
      <c r="C2809" s="108" t="s">
        <v>38</v>
      </c>
      <c r="D2809" s="108" t="s">
        <v>143</v>
      </c>
      <c r="E2809" s="108" t="s">
        <v>10</v>
      </c>
      <c r="F2809" s="116">
        <v>872</v>
      </c>
      <c r="G2809" s="108" t="s">
        <v>65</v>
      </c>
      <c r="H2809" s="108" t="str">
        <f t="shared" si="216"/>
        <v>Stillaguamish River</v>
      </c>
      <c r="I2809" s="108" t="str">
        <f>IFERROR(VLOOKUP(H2809,LUTs!$A$1:$C$73,2,FALSE),"NA")</f>
        <v>Snohomish</v>
      </c>
      <c r="J2809" s="108" t="str">
        <f>IFERROR(VLOOKUP(H2809,LUTs!$A$1:$C$73,3,FALSE),"NA")</f>
        <v>2Central Puget Sound</v>
      </c>
      <c r="K2809" s="108" t="s">
        <v>16</v>
      </c>
      <c r="L2809" s="108" t="str">
        <f>VLOOKUP(K2809,LUTs!E$2:G$14,3,)</f>
        <v>03Snohomish</v>
      </c>
      <c r="M2809" s="108" t="str">
        <f>VLOOKUP($K2809,LUTs!$E$2:$H$14,2,)</f>
        <v>North Puget Sound</v>
      </c>
      <c r="N2809" s="108" t="str">
        <f>VLOOKUP($K2809,LUTs!$E$2:$H$14,4,)</f>
        <v>01North Puget Sound</v>
      </c>
      <c r="O2809" s="108">
        <v>165.75</v>
      </c>
      <c r="P2809" s="108">
        <v>1433.7375</v>
      </c>
      <c r="Q2809" s="108">
        <f>SUMIFS('FW_Salmon_by_Month_2010-2021'!P$2:P$3810,'FW_Salmon_by_Month_2010-2021'!$B$2:$B$3810,'Rec_raw_catch_effort_2010-2021'!$B2809,'FW_Salmon_by_Month_2010-2021'!$H$2:$H$3810,'Rec_raw_catch_effort_2010-2021'!$F2809,'FW_Salmon_by_Month_2010-2021'!$M$2:$M$3810,'Rec_raw_catch_effort_2010-2021'!$K2809)</f>
        <v>171.017391304348</v>
      </c>
      <c r="R2809" s="109">
        <f>VLOOKUP(B2809,Readme!$A$62:$C$74,2,)*Q2809</f>
        <v>824.22770694951794</v>
      </c>
      <c r="S2809" s="140" t="str">
        <f t="shared" si="213"/>
        <v>Y</v>
      </c>
      <c r="T2809" s="154">
        <f t="shared" si="214"/>
        <v>8.65</v>
      </c>
      <c r="U2809" s="154">
        <f t="shared" si="215"/>
        <v>4.8195549041132084</v>
      </c>
    </row>
    <row r="2810" spans="1:21" x14ac:dyDescent="0.35">
      <c r="A2810" s="108">
        <v>1763</v>
      </c>
      <c r="B2810" s="108">
        <v>2014</v>
      </c>
      <c r="C2810" s="108" t="s">
        <v>38</v>
      </c>
      <c r="D2810" s="108" t="s">
        <v>143</v>
      </c>
      <c r="E2810" s="108" t="s">
        <v>10</v>
      </c>
      <c r="F2810" s="116">
        <v>872</v>
      </c>
      <c r="G2810" s="108" t="s">
        <v>65</v>
      </c>
      <c r="H2810" s="108" t="str">
        <f t="shared" si="216"/>
        <v>Stillaguamish River</v>
      </c>
      <c r="I2810" s="108" t="str">
        <f>IFERROR(VLOOKUP(H2810,LUTs!$A$1:$C$73,2,FALSE),"NA")</f>
        <v>Snohomish</v>
      </c>
      <c r="J2810" s="108" t="str">
        <f>IFERROR(VLOOKUP(H2810,LUTs!$A$1:$C$73,3,FALSE),"NA")</f>
        <v>2Central Puget Sound</v>
      </c>
      <c r="K2810" s="108" t="s">
        <v>21</v>
      </c>
      <c r="L2810" s="108" t="str">
        <f>VLOOKUP(K2810,LUTs!E$2:G$14,3,)</f>
        <v>08Thurston</v>
      </c>
      <c r="M2810" s="108" t="str">
        <f>VLOOKUP($K2810,LUTs!$E$2:$H$14,2,)</f>
        <v>South Puget Sound</v>
      </c>
      <c r="N2810" s="108" t="str">
        <f>VLOOKUP($K2810,LUTs!$E$2:$H$14,4,)</f>
        <v>02South Puget Sound</v>
      </c>
      <c r="O2810" s="108">
        <v>13.8125</v>
      </c>
      <c r="P2810" s="108">
        <v>119.47812500000001</v>
      </c>
      <c r="Q2810" s="108">
        <f>SUMIFS('FW_Salmon_by_Month_2010-2021'!P$2:P$3810,'FW_Salmon_by_Month_2010-2021'!$B$2:$B$3810,'Rec_raw_catch_effort_2010-2021'!$B2810,'FW_Salmon_by_Month_2010-2021'!$H$2:$H$3810,'Rec_raw_catch_effort_2010-2021'!$F2810,'FW_Salmon_by_Month_2010-2021'!$M$2:$M$3810,'Rec_raw_catch_effort_2010-2021'!$K2810)</f>
        <v>7.2</v>
      </c>
      <c r="R2810" s="109">
        <f>VLOOKUP(B2810,Readme!$A$62:$C$74,2,)*Q2810</f>
        <v>34.700795309615103</v>
      </c>
      <c r="S2810" s="140" t="str">
        <f t="shared" si="213"/>
        <v>Y</v>
      </c>
      <c r="T2810" s="154">
        <f t="shared" si="214"/>
        <v>8.65</v>
      </c>
      <c r="U2810" s="154">
        <f t="shared" si="215"/>
        <v>4.8195549041132084</v>
      </c>
    </row>
    <row r="2811" spans="1:21" x14ac:dyDescent="0.35">
      <c r="A2811" s="108">
        <v>2075</v>
      </c>
      <c r="B2811" s="108">
        <v>2015</v>
      </c>
      <c r="C2811" s="108" t="s">
        <v>38</v>
      </c>
      <c r="D2811" s="108" t="s">
        <v>143</v>
      </c>
      <c r="E2811" s="108" t="s">
        <v>10</v>
      </c>
      <c r="F2811" s="116">
        <v>872</v>
      </c>
      <c r="G2811" s="108" t="s">
        <v>65</v>
      </c>
      <c r="H2811" s="108" t="str">
        <f t="shared" si="216"/>
        <v>Stillaguamish River</v>
      </c>
      <c r="I2811" s="108" t="str">
        <f>IFERROR(VLOOKUP(H2811,LUTs!$A$1:$C$73,2,FALSE),"NA")</f>
        <v>Snohomish</v>
      </c>
      <c r="J2811" s="108" t="str">
        <f>IFERROR(VLOOKUP(H2811,LUTs!$A$1:$C$73,3,FALSE),"NA")</f>
        <v>2Central Puget Sound</v>
      </c>
      <c r="K2811" s="108" t="s">
        <v>17</v>
      </c>
      <c r="L2811" s="108" t="str">
        <f>VLOOKUP(K2811,LUTs!E$2:G$14,3,)</f>
        <v>04Island</v>
      </c>
      <c r="M2811" s="108" t="str">
        <f>VLOOKUP($K2811,LUTs!$E$2:$H$14,2,)</f>
        <v>North Puget Sound</v>
      </c>
      <c r="N2811" s="108" t="str">
        <f>VLOOKUP($K2811,LUTs!$E$2:$H$14,4,)</f>
        <v>01North Puget Sound</v>
      </c>
      <c r="O2811" s="108">
        <v>124.33750000000001</v>
      </c>
      <c r="P2811" s="108">
        <v>427.721</v>
      </c>
      <c r="Q2811" s="108">
        <f>SUMIFS('FW_Salmon_by_Month_2010-2021'!P$2:P$3810,'FW_Salmon_by_Month_2010-2021'!$B$2:$B$3810,'Rec_raw_catch_effort_2010-2021'!$B2811,'FW_Salmon_by_Month_2010-2021'!$H$2:$H$3810,'Rec_raw_catch_effort_2010-2021'!$F2811,'FW_Salmon_by_Month_2010-2021'!$M$2:$M$3810,'Rec_raw_catch_effort_2010-2021'!$K2811)</f>
        <v>124.9881796690308</v>
      </c>
      <c r="R2811" s="109">
        <f>VLOOKUP(B2811,Readme!$A$62:$C$74,2,)*Q2811</f>
        <v>442.33822234349032</v>
      </c>
      <c r="S2811" s="140" t="str">
        <f t="shared" si="213"/>
        <v>Y</v>
      </c>
      <c r="T2811" s="154">
        <f t="shared" si="214"/>
        <v>3.44</v>
      </c>
      <c r="U2811" s="154">
        <f t="shared" si="215"/>
        <v>3.5390404397824153</v>
      </c>
    </row>
    <row r="2812" spans="1:21" x14ac:dyDescent="0.35">
      <c r="A2812" s="108">
        <v>2076</v>
      </c>
      <c r="B2812" s="108">
        <v>2015</v>
      </c>
      <c r="C2812" s="108" t="s">
        <v>38</v>
      </c>
      <c r="D2812" s="108" t="s">
        <v>143</v>
      </c>
      <c r="E2812" s="108" t="s">
        <v>10</v>
      </c>
      <c r="F2812" s="116">
        <v>872</v>
      </c>
      <c r="G2812" s="108" t="s">
        <v>65</v>
      </c>
      <c r="H2812" s="108" t="str">
        <f t="shared" si="216"/>
        <v>Stillaguamish River</v>
      </c>
      <c r="I2812" s="108" t="str">
        <f>IFERROR(VLOOKUP(H2812,LUTs!$A$1:$C$73,2,FALSE),"NA")</f>
        <v>Snohomish</v>
      </c>
      <c r="J2812" s="108" t="str">
        <f>IFERROR(VLOOKUP(H2812,LUTs!$A$1:$C$73,3,FALSE),"NA")</f>
        <v>2Central Puget Sound</v>
      </c>
      <c r="K2812" s="108" t="s">
        <v>18</v>
      </c>
      <c r="L2812" s="108" t="str">
        <f>VLOOKUP(K2812,LUTs!E$2:G$14,3,)</f>
        <v>06King</v>
      </c>
      <c r="M2812" s="108" t="str">
        <f>VLOOKUP($K2812,LUTs!$E$2:$H$14,2,)</f>
        <v>South Puget Sound</v>
      </c>
      <c r="N2812" s="108" t="str">
        <f>VLOOKUP($K2812,LUTs!$E$2:$H$14,4,)</f>
        <v>02South Puget Sound</v>
      </c>
      <c r="O2812" s="108">
        <v>88.8125</v>
      </c>
      <c r="P2812" s="108">
        <v>305.51499999999999</v>
      </c>
      <c r="Q2812" s="108">
        <f>SUMIFS('FW_Salmon_by_Month_2010-2021'!P$2:P$3810,'FW_Salmon_by_Month_2010-2021'!$B$2:$B$3810,'Rec_raw_catch_effort_2010-2021'!$B2812,'FW_Salmon_by_Month_2010-2021'!$H$2:$H$3810,'Rec_raw_catch_effort_2010-2021'!$F2812,'FW_Salmon_by_Month_2010-2021'!$M$2:$M$3810,'Rec_raw_catch_effort_2010-2021'!$K2812)</f>
        <v>89.106382978723403</v>
      </c>
      <c r="R2812" s="109">
        <f>VLOOKUP(B2812,Readme!$A$62:$C$74,2,)*Q2812</f>
        <v>315.35109280444158</v>
      </c>
      <c r="S2812" s="140" t="str">
        <f t="shared" si="213"/>
        <v>Y</v>
      </c>
      <c r="T2812" s="154">
        <f t="shared" si="214"/>
        <v>3.44</v>
      </c>
      <c r="U2812" s="154">
        <f t="shared" si="215"/>
        <v>3.5390404397824149</v>
      </c>
    </row>
    <row r="2813" spans="1:21" x14ac:dyDescent="0.35">
      <c r="A2813" s="108">
        <v>2213</v>
      </c>
      <c r="B2813" s="108">
        <v>2015</v>
      </c>
      <c r="C2813" s="108" t="s">
        <v>38</v>
      </c>
      <c r="D2813" s="108" t="s">
        <v>143</v>
      </c>
      <c r="E2813" s="108" t="s">
        <v>10</v>
      </c>
      <c r="F2813" s="116">
        <v>872</v>
      </c>
      <c r="G2813" s="108" t="s">
        <v>65</v>
      </c>
      <c r="H2813" s="108" t="str">
        <f t="shared" si="216"/>
        <v>Stillaguamish River</v>
      </c>
      <c r="I2813" s="108" t="str">
        <f>IFERROR(VLOOKUP(H2813,LUTs!$A$1:$C$73,2,FALSE),"NA")</f>
        <v>Snohomish</v>
      </c>
      <c r="J2813" s="108" t="str">
        <f>IFERROR(VLOOKUP(H2813,LUTs!$A$1:$C$73,3,FALSE),"NA")</f>
        <v>2Central Puget Sound</v>
      </c>
      <c r="K2813" s="108" t="s">
        <v>26</v>
      </c>
      <c r="L2813" s="108" t="str">
        <f>VLOOKUP(K2813,LUTs!E$2:G$14,3,)</f>
        <v>20Other</v>
      </c>
      <c r="M2813" s="108" t="str">
        <f>VLOOKUP($K2813,LUTs!$E$2:$H$14,2,)</f>
        <v>Non Puget Sound</v>
      </c>
      <c r="N2813" s="108" t="str">
        <f>VLOOKUP($K2813,LUTs!$E$2:$H$14,4,)</f>
        <v>07Non Puget Sound</v>
      </c>
      <c r="O2813" s="108">
        <v>186.50624999999999</v>
      </c>
      <c r="P2813" s="108">
        <v>641.58150000000001</v>
      </c>
      <c r="Q2813" s="108">
        <f>SUMIFS('FW_Salmon_by_Month_2010-2021'!P$2:P$3810,'FW_Salmon_by_Month_2010-2021'!$B$2:$B$3810,'Rec_raw_catch_effort_2010-2021'!$B2813,'FW_Salmon_by_Month_2010-2021'!$H$2:$H$3810,'Rec_raw_catch_effort_2010-2021'!$F2813,'FW_Salmon_by_Month_2010-2021'!$M$2:$M$3810,'Rec_raw_catch_effort_2010-2021'!$K2813)</f>
        <v>169.86761229314388</v>
      </c>
      <c r="R2813" s="109">
        <f>VLOOKUP(B2813,Readme!$A$62:$C$74,2,)*Q2813</f>
        <v>601.16834931471669</v>
      </c>
      <c r="S2813" s="140" t="str">
        <f t="shared" si="213"/>
        <v>Y</v>
      </c>
      <c r="T2813" s="154">
        <f t="shared" si="214"/>
        <v>3.44</v>
      </c>
      <c r="U2813" s="154">
        <f t="shared" si="215"/>
        <v>3.5390404397824149</v>
      </c>
    </row>
    <row r="2814" spans="1:21" x14ac:dyDescent="0.35">
      <c r="A2814" s="108">
        <v>2070</v>
      </c>
      <c r="B2814" s="108">
        <v>2015</v>
      </c>
      <c r="C2814" s="108" t="s">
        <v>38</v>
      </c>
      <c r="D2814" s="108" t="s">
        <v>143</v>
      </c>
      <c r="E2814" s="108" t="s">
        <v>10</v>
      </c>
      <c r="F2814" s="116">
        <v>872</v>
      </c>
      <c r="G2814" s="108" t="s">
        <v>65</v>
      </c>
      <c r="H2814" s="108" t="str">
        <f t="shared" si="216"/>
        <v>Stillaguamish River</v>
      </c>
      <c r="I2814" s="108" t="str">
        <f>IFERROR(VLOOKUP(H2814,LUTs!$A$1:$C$73,2,FALSE),"NA")</f>
        <v>Snohomish</v>
      </c>
      <c r="J2814" s="108" t="str">
        <f>IFERROR(VLOOKUP(H2814,LUTs!$A$1:$C$73,3,FALSE),"NA")</f>
        <v>2Central Puget Sound</v>
      </c>
      <c r="K2814" s="108" t="s">
        <v>15</v>
      </c>
      <c r="L2814" s="108" t="str">
        <f>VLOOKUP(K2814,LUTs!E$2:G$14,3,)</f>
        <v>02Skagit</v>
      </c>
      <c r="M2814" s="108" t="str">
        <f>VLOOKUP($K2814,LUTs!$E$2:$H$14,2,)</f>
        <v>North Puget Sound</v>
      </c>
      <c r="N2814" s="108" t="str">
        <f>VLOOKUP($K2814,LUTs!$E$2:$H$14,4,)</f>
        <v>01North Puget Sound</v>
      </c>
      <c r="O2814" s="108">
        <v>35.524999999999999</v>
      </c>
      <c r="P2814" s="108">
        <v>122.206</v>
      </c>
      <c r="Q2814" s="108">
        <f>SUMIFS('FW_Salmon_by_Month_2010-2021'!P$2:P$3810,'FW_Salmon_by_Month_2010-2021'!$B$2:$B$3810,'Rec_raw_catch_effort_2010-2021'!$B2814,'FW_Salmon_by_Month_2010-2021'!$H$2:$H$3810,'Rec_raw_catch_effort_2010-2021'!$F2814,'FW_Salmon_by_Month_2010-2021'!$M$2:$M$3810,'Rec_raw_catch_effort_2010-2021'!$K2814)</f>
        <v>35.773049645390103</v>
      </c>
      <c r="R2814" s="109">
        <f>VLOOKUP(B2814,Readme!$A$62:$C$74,2,)*Q2814</f>
        <v>126.60226934937957</v>
      </c>
      <c r="S2814" s="140" t="str">
        <f t="shared" si="213"/>
        <v>Y</v>
      </c>
      <c r="T2814" s="154">
        <f t="shared" si="214"/>
        <v>3.4400000000000004</v>
      </c>
      <c r="U2814" s="154">
        <f t="shared" si="215"/>
        <v>3.5390404397824153</v>
      </c>
    </row>
    <row r="2815" spans="1:21" x14ac:dyDescent="0.35">
      <c r="A2815" s="108">
        <v>2071</v>
      </c>
      <c r="B2815" s="108">
        <v>2015</v>
      </c>
      <c r="C2815" s="108" t="s">
        <v>38</v>
      </c>
      <c r="D2815" s="108" t="s">
        <v>143</v>
      </c>
      <c r="E2815" s="108" t="s">
        <v>10</v>
      </c>
      <c r="F2815" s="116">
        <v>872</v>
      </c>
      <c r="G2815" s="108" t="s">
        <v>65</v>
      </c>
      <c r="H2815" s="108" t="str">
        <f t="shared" si="216"/>
        <v>Stillaguamish River</v>
      </c>
      <c r="I2815" s="108" t="str">
        <f>IFERROR(VLOOKUP(H2815,LUTs!$A$1:$C$73,2,FALSE),"NA")</f>
        <v>Snohomish</v>
      </c>
      <c r="J2815" s="108" t="str">
        <f>IFERROR(VLOOKUP(H2815,LUTs!$A$1:$C$73,3,FALSE),"NA")</f>
        <v>2Central Puget Sound</v>
      </c>
      <c r="K2815" s="108" t="s">
        <v>16</v>
      </c>
      <c r="L2815" s="108" t="str">
        <f>VLOOKUP(K2815,LUTs!E$2:G$14,3,)</f>
        <v>03Snohomish</v>
      </c>
      <c r="M2815" s="108" t="str">
        <f>VLOOKUP($K2815,LUTs!$E$2:$H$14,2,)</f>
        <v>North Puget Sound</v>
      </c>
      <c r="N2815" s="108" t="str">
        <f>VLOOKUP($K2815,LUTs!$E$2:$H$14,4,)</f>
        <v>01North Puget Sound</v>
      </c>
      <c r="O2815" s="108">
        <v>2406.8187499999999</v>
      </c>
      <c r="P2815" s="108">
        <v>8279.4565000000002</v>
      </c>
      <c r="Q2815" s="108">
        <f>SUMIFS('FW_Salmon_by_Month_2010-2021'!P$2:P$3810,'FW_Salmon_by_Month_2010-2021'!$B$2:$B$3810,'Rec_raw_catch_effort_2010-2021'!$B2815,'FW_Salmon_by_Month_2010-2021'!$H$2:$H$3810,'Rec_raw_catch_effort_2010-2021'!$F2815,'FW_Salmon_by_Month_2010-2021'!$M$2:$M$3810,'Rec_raw_catch_effort_2010-2021'!$K2815)</f>
        <v>2422.264775413712</v>
      </c>
      <c r="R2815" s="109">
        <f>VLOOKUP(B2815,Readme!$A$62:$C$74,2,)*Q2815</f>
        <v>8572.4929960495974</v>
      </c>
      <c r="S2815" s="140" t="str">
        <f t="shared" si="213"/>
        <v>Y</v>
      </c>
      <c r="T2815" s="154">
        <f t="shared" si="214"/>
        <v>3.4400000000000004</v>
      </c>
      <c r="U2815" s="154">
        <f t="shared" si="215"/>
        <v>3.5390404397824158</v>
      </c>
    </row>
    <row r="2816" spans="1:21" x14ac:dyDescent="0.35">
      <c r="A2816" s="108">
        <v>2795</v>
      </c>
      <c r="B2816" s="108">
        <v>2019</v>
      </c>
      <c r="C2816" s="108" t="s">
        <v>38</v>
      </c>
      <c r="D2816" s="108" t="s">
        <v>143</v>
      </c>
      <c r="E2816" s="108" t="s">
        <v>10</v>
      </c>
      <c r="F2816" s="116">
        <v>872</v>
      </c>
      <c r="G2816" s="108" t="s">
        <v>65</v>
      </c>
      <c r="H2816" s="108" t="str">
        <f t="shared" si="216"/>
        <v>Stillaguamish River</v>
      </c>
      <c r="I2816" s="108" t="str">
        <f>IFERROR(VLOOKUP(H2816,LUTs!$A$1:$C$73,2,FALSE),"NA")</f>
        <v>Snohomish</v>
      </c>
      <c r="J2816" s="108" t="str">
        <f>IFERROR(VLOOKUP(H2816,LUTs!$A$1:$C$73,3,FALSE),"NA")</f>
        <v>2Central Puget Sound</v>
      </c>
      <c r="K2816" s="108" t="s">
        <v>18</v>
      </c>
      <c r="L2816" s="108" t="str">
        <f>VLOOKUP(K2816,LUTs!E$2:G$14,3,)</f>
        <v>06King</v>
      </c>
      <c r="M2816" s="108" t="str">
        <f>VLOOKUP($K2816,LUTs!$E$2:$H$14,2,)</f>
        <v>South Puget Sound</v>
      </c>
      <c r="N2816" s="108" t="str">
        <f>VLOOKUP($K2816,LUTs!$E$2:$H$14,4,)</f>
        <v>02South Puget Sound</v>
      </c>
      <c r="O2816" s="108">
        <v>21.678160919540201</v>
      </c>
      <c r="P2816" s="108">
        <v>74.572873563218295</v>
      </c>
      <c r="Q2816" s="108">
        <f>SUMIFS('FW_Salmon_by_Month_2010-2021'!P$2:P$3810,'FW_Salmon_by_Month_2010-2021'!$B$2:$B$3810,'Rec_raw_catch_effort_2010-2021'!$B2816,'FW_Salmon_by_Month_2010-2021'!$H$2:$H$3810,'Rec_raw_catch_effort_2010-2021'!$F2816,'FW_Salmon_by_Month_2010-2021'!$M$2:$M$3810,'Rec_raw_catch_effort_2010-2021'!$K2816)</f>
        <v>22.1875</v>
      </c>
      <c r="R2816" s="109">
        <f>VLOOKUP(B2816,Readme!$A$62:$C$74,2,)*Q2816</f>
        <v>78.522459757672337</v>
      </c>
      <c r="S2816" s="140" t="str">
        <f t="shared" si="213"/>
        <v>Y</v>
      </c>
      <c r="T2816" s="154">
        <f t="shared" si="214"/>
        <v>3.4400000000000004</v>
      </c>
      <c r="U2816" s="154">
        <f t="shared" si="215"/>
        <v>3.5390404397824153</v>
      </c>
    </row>
    <row r="2817" spans="1:21" x14ac:dyDescent="0.35">
      <c r="A2817" s="108">
        <v>2797</v>
      </c>
      <c r="B2817" s="108">
        <v>2019</v>
      </c>
      <c r="C2817" s="108" t="s">
        <v>38</v>
      </c>
      <c r="D2817" s="108" t="s">
        <v>143</v>
      </c>
      <c r="E2817" s="108" t="s">
        <v>10</v>
      </c>
      <c r="F2817" s="116">
        <v>872</v>
      </c>
      <c r="G2817" s="108" t="s">
        <v>65</v>
      </c>
      <c r="H2817" s="108" t="str">
        <f t="shared" si="216"/>
        <v>Stillaguamish River</v>
      </c>
      <c r="I2817" s="108" t="str">
        <f>IFERROR(VLOOKUP(H2817,LUTs!$A$1:$C$73,2,FALSE),"NA")</f>
        <v>Snohomish</v>
      </c>
      <c r="J2817" s="108" t="str">
        <f>IFERROR(VLOOKUP(H2817,LUTs!$A$1:$C$73,3,FALSE),"NA")</f>
        <v>2Central Puget Sound</v>
      </c>
      <c r="K2817" s="108" t="s">
        <v>26</v>
      </c>
      <c r="L2817" s="108" t="str">
        <f>VLOOKUP(K2817,LUTs!E$2:G$14,3,)</f>
        <v>20Other</v>
      </c>
      <c r="M2817" s="108" t="str">
        <f>VLOOKUP($K2817,LUTs!$E$2:$H$14,2,)</f>
        <v>Non Puget Sound</v>
      </c>
      <c r="N2817" s="108" t="str">
        <f>VLOOKUP($K2817,LUTs!$E$2:$H$14,4,)</f>
        <v>07Non Puget Sound</v>
      </c>
      <c r="O2817" s="108">
        <v>21.678160919540201</v>
      </c>
      <c r="P2817" s="108">
        <v>74.572873563218295</v>
      </c>
      <c r="Q2817" s="108">
        <f>SUMIFS('FW_Salmon_by_Month_2010-2021'!P$2:P$3810,'FW_Salmon_by_Month_2010-2021'!$B$2:$B$3810,'Rec_raw_catch_effort_2010-2021'!$B2817,'FW_Salmon_by_Month_2010-2021'!$H$2:$H$3810,'Rec_raw_catch_effort_2010-2021'!$F2817,'FW_Salmon_by_Month_2010-2021'!$M$2:$M$3810,'Rec_raw_catch_effort_2010-2021'!$K2817)</f>
        <v>22.210526315789501</v>
      </c>
      <c r="R2817" s="109">
        <f>VLOOKUP(B2817,Readme!$A$62:$C$74,2,)*Q2817</f>
        <v>78.603950820430583</v>
      </c>
      <c r="S2817" s="140" t="str">
        <f t="shared" si="213"/>
        <v>Y</v>
      </c>
      <c r="T2817" s="154">
        <f t="shared" si="214"/>
        <v>3.4400000000000004</v>
      </c>
      <c r="U2817" s="154">
        <f t="shared" si="215"/>
        <v>3.5390404397824153</v>
      </c>
    </row>
    <row r="2818" spans="1:21" x14ac:dyDescent="0.35">
      <c r="A2818" s="108">
        <v>2796</v>
      </c>
      <c r="B2818" s="108">
        <v>2019</v>
      </c>
      <c r="C2818" s="108" t="s">
        <v>38</v>
      </c>
      <c r="D2818" s="108" t="s">
        <v>143</v>
      </c>
      <c r="E2818" s="108" t="s">
        <v>10</v>
      </c>
      <c r="F2818" s="116">
        <v>872</v>
      </c>
      <c r="G2818" s="108" t="s">
        <v>65</v>
      </c>
      <c r="H2818" s="108" t="str">
        <f t="shared" si="216"/>
        <v>Stillaguamish River</v>
      </c>
      <c r="I2818" s="108" t="str">
        <f>IFERROR(VLOOKUP(H2818,LUTs!$A$1:$C$73,2,FALSE),"NA")</f>
        <v>Snohomish</v>
      </c>
      <c r="J2818" s="108" t="str">
        <f>IFERROR(VLOOKUP(H2818,LUTs!$A$1:$C$73,3,FALSE),"NA")</f>
        <v>2Central Puget Sound</v>
      </c>
      <c r="K2818" s="108" t="s">
        <v>20</v>
      </c>
      <c r="L2818" s="108" t="str">
        <f>VLOOKUP(K2818,LUTs!E$2:G$14,3,)</f>
        <v>07Pierce</v>
      </c>
      <c r="M2818" s="108" t="str">
        <f>VLOOKUP($K2818,LUTs!$E$2:$H$14,2,)</f>
        <v>South Puget Sound</v>
      </c>
      <c r="N2818" s="108" t="str">
        <f>VLOOKUP($K2818,LUTs!$E$2:$H$14,4,)</f>
        <v>02South Puget Sound</v>
      </c>
      <c r="O2818" s="108">
        <v>10.8390804597701</v>
      </c>
      <c r="P2818" s="108">
        <v>37.286436781609098</v>
      </c>
      <c r="Q2818" s="108">
        <f>SUMIFS('FW_Salmon_by_Month_2010-2021'!P$2:P$3810,'FW_Salmon_by_Month_2010-2021'!$B$2:$B$3810,'Rec_raw_catch_effort_2010-2021'!$B2818,'FW_Salmon_by_Month_2010-2021'!$H$2:$H$3810,'Rec_raw_catch_effort_2010-2021'!$F2818,'FW_Salmon_by_Month_2010-2021'!$M$2:$M$3810,'Rec_raw_catch_effort_2010-2021'!$K2818)</f>
        <v>11.105263157894701</v>
      </c>
      <c r="R2818" s="109">
        <f>VLOOKUP(B2818,Readme!$A$62:$C$74,2,)*Q2818</f>
        <v>39.301975410215114</v>
      </c>
      <c r="S2818" s="140" t="str">
        <f t="shared" si="213"/>
        <v>Y</v>
      </c>
      <c r="T2818" s="154">
        <f t="shared" si="214"/>
        <v>3.4399999999999955</v>
      </c>
      <c r="U2818" s="154">
        <f t="shared" si="215"/>
        <v>3.5390404397824153</v>
      </c>
    </row>
    <row r="2819" spans="1:21" x14ac:dyDescent="0.35">
      <c r="A2819" s="108">
        <v>2793</v>
      </c>
      <c r="B2819" s="108">
        <v>2019</v>
      </c>
      <c r="C2819" s="108" t="s">
        <v>38</v>
      </c>
      <c r="D2819" s="108" t="s">
        <v>143</v>
      </c>
      <c r="E2819" s="108" t="s">
        <v>10</v>
      </c>
      <c r="F2819" s="116">
        <v>872</v>
      </c>
      <c r="G2819" s="108" t="s">
        <v>65</v>
      </c>
      <c r="H2819" s="108" t="str">
        <f t="shared" si="216"/>
        <v>Stillaguamish River</v>
      </c>
      <c r="I2819" s="108" t="str">
        <f>IFERROR(VLOOKUP(H2819,LUTs!$A$1:$C$73,2,FALSE),"NA")</f>
        <v>Snohomish</v>
      </c>
      <c r="J2819" s="108" t="str">
        <f>IFERROR(VLOOKUP(H2819,LUTs!$A$1:$C$73,3,FALSE),"NA")</f>
        <v>2Central Puget Sound</v>
      </c>
      <c r="K2819" s="108" t="s">
        <v>15</v>
      </c>
      <c r="L2819" s="108" t="str">
        <f>VLOOKUP(K2819,LUTs!E$2:G$14,3,)</f>
        <v>02Skagit</v>
      </c>
      <c r="M2819" s="108" t="str">
        <f>VLOOKUP($K2819,LUTs!$E$2:$H$14,2,)</f>
        <v>North Puget Sound</v>
      </c>
      <c r="N2819" s="108" t="str">
        <f>VLOOKUP($K2819,LUTs!$E$2:$H$14,4,)</f>
        <v>01North Puget Sound</v>
      </c>
      <c r="O2819" s="108">
        <v>21.678160919540201</v>
      </c>
      <c r="P2819" s="108">
        <v>74.572873563218295</v>
      </c>
      <c r="Q2819" s="108">
        <f>SUMIFS('FW_Salmon_by_Month_2010-2021'!P$2:P$3810,'FW_Salmon_by_Month_2010-2021'!$B$2:$B$3810,'Rec_raw_catch_effort_2010-2021'!$B2819,'FW_Salmon_by_Month_2010-2021'!$H$2:$H$3810,'Rec_raw_catch_effort_2010-2021'!$F2819,'FW_Salmon_by_Month_2010-2021'!$M$2:$M$3810,'Rec_raw_catch_effort_2010-2021'!$K2819)</f>
        <v>22.1875</v>
      </c>
      <c r="R2819" s="109">
        <f>VLOOKUP(B2819,Readme!$A$62:$C$74,2,)*Q2819</f>
        <v>78.522459757672337</v>
      </c>
      <c r="S2819" s="140" t="str">
        <f t="shared" ref="S2819:S2882" si="217">IF(B2819&lt;=2019,"Y","N")</f>
        <v>Y</v>
      </c>
      <c r="T2819" s="154">
        <f t="shared" ref="T2819:T2882" si="218">IFERROR(P2819/O2819,"NA")</f>
        <v>3.4400000000000004</v>
      </c>
      <c r="U2819" s="154">
        <f t="shared" ref="U2819:U2882" si="219">IFERROR(R2819/Q2819,"NA")</f>
        <v>3.5390404397824153</v>
      </c>
    </row>
    <row r="2820" spans="1:21" x14ac:dyDescent="0.35">
      <c r="A2820" s="108">
        <v>2794</v>
      </c>
      <c r="B2820" s="108">
        <v>2019</v>
      </c>
      <c r="C2820" s="108" t="s">
        <v>38</v>
      </c>
      <c r="D2820" s="108" t="s">
        <v>143</v>
      </c>
      <c r="E2820" s="108" t="s">
        <v>10</v>
      </c>
      <c r="F2820" s="116">
        <v>872</v>
      </c>
      <c r="G2820" s="108" t="s">
        <v>65</v>
      </c>
      <c r="H2820" s="108" t="str">
        <f t="shared" si="216"/>
        <v>Stillaguamish River</v>
      </c>
      <c r="I2820" s="108" t="str">
        <f>IFERROR(VLOOKUP(H2820,LUTs!$A$1:$C$73,2,FALSE),"NA")</f>
        <v>Snohomish</v>
      </c>
      <c r="J2820" s="108" t="str">
        <f>IFERROR(VLOOKUP(H2820,LUTs!$A$1:$C$73,3,FALSE),"NA")</f>
        <v>2Central Puget Sound</v>
      </c>
      <c r="K2820" s="108" t="s">
        <v>16</v>
      </c>
      <c r="L2820" s="108" t="str">
        <f>VLOOKUP(K2820,LUTs!E$2:G$14,3,)</f>
        <v>03Snohomish</v>
      </c>
      <c r="M2820" s="108" t="str">
        <f>VLOOKUP($K2820,LUTs!$E$2:$H$14,2,)</f>
        <v>North Puget Sound</v>
      </c>
      <c r="N2820" s="108" t="str">
        <f>VLOOKUP($K2820,LUTs!$E$2:$H$14,4,)</f>
        <v>01North Puget Sound</v>
      </c>
      <c r="O2820" s="108">
        <v>823.77011494252895</v>
      </c>
      <c r="P2820" s="108">
        <v>2833.7691954022998</v>
      </c>
      <c r="Q2820" s="108">
        <f>SUMIFS('FW_Salmon_by_Month_2010-2021'!P$2:P$3810,'FW_Salmon_by_Month_2010-2021'!$B$2:$B$3810,'Rec_raw_catch_effort_2010-2021'!$B2820,'FW_Salmon_by_Month_2010-2021'!$H$2:$H$3810,'Rec_raw_catch_effort_2010-2021'!$F2820,'FW_Salmon_by_Month_2010-2021'!$M$2:$M$3810,'Rec_raw_catch_effort_2010-2021'!$K2820)</f>
        <v>820.93421052631606</v>
      </c>
      <c r="R2820" s="109">
        <f>VLOOKUP(B2820,Readme!$A$62:$C$74,2,)*Q2820</f>
        <v>2905.3193694534834</v>
      </c>
      <c r="S2820" s="140" t="str">
        <f t="shared" si="217"/>
        <v>Y</v>
      </c>
      <c r="T2820" s="154">
        <f t="shared" si="218"/>
        <v>3.4400000000000004</v>
      </c>
      <c r="U2820" s="154">
        <f t="shared" si="219"/>
        <v>3.5390404397824153</v>
      </c>
    </row>
    <row r="2821" spans="1:21" x14ac:dyDescent="0.35">
      <c r="A2821" s="108">
        <v>2792</v>
      </c>
      <c r="B2821" s="108">
        <v>2019</v>
      </c>
      <c r="C2821" s="108" t="s">
        <v>38</v>
      </c>
      <c r="D2821" s="108" t="s">
        <v>143</v>
      </c>
      <c r="E2821" s="108" t="s">
        <v>10</v>
      </c>
      <c r="F2821" s="116">
        <v>872</v>
      </c>
      <c r="G2821" s="108" t="s">
        <v>65</v>
      </c>
      <c r="H2821" s="108" t="str">
        <f t="shared" si="216"/>
        <v>Stillaguamish River</v>
      </c>
      <c r="I2821" s="108" t="str">
        <f>IFERROR(VLOOKUP(H2821,LUTs!$A$1:$C$73,2,FALSE),"NA")</f>
        <v>Snohomish</v>
      </c>
      <c r="J2821" s="108" t="str">
        <f>IFERROR(VLOOKUP(H2821,LUTs!$A$1:$C$73,3,FALSE),"NA")</f>
        <v>2Central Puget Sound</v>
      </c>
      <c r="K2821" s="108" t="s">
        <v>13</v>
      </c>
      <c r="L2821" s="108" t="str">
        <f>VLOOKUP(K2821,LUTs!E$2:G$14,3,)</f>
        <v>01Whatcom</v>
      </c>
      <c r="M2821" s="108" t="str">
        <f>VLOOKUP($K2821,LUTs!$E$2:$H$14,2,)</f>
        <v>North Puget Sound</v>
      </c>
      <c r="N2821" s="108" t="str">
        <f>VLOOKUP($K2821,LUTs!$E$2:$H$14,4,)</f>
        <v>01North Puget Sound</v>
      </c>
      <c r="O2821" s="108">
        <v>43.356321839080501</v>
      </c>
      <c r="P2821" s="108">
        <v>149.14574712643699</v>
      </c>
      <c r="Q2821" s="108">
        <f>SUMIFS('FW_Salmon_by_Month_2010-2021'!P$2:P$3810,'FW_Salmon_by_Month_2010-2021'!$B$2:$B$3810,'Rec_raw_catch_effort_2010-2021'!$B2821,'FW_Salmon_by_Month_2010-2021'!$H$2:$H$3810,'Rec_raw_catch_effort_2010-2021'!$F2821,'FW_Salmon_by_Month_2010-2021'!$M$2:$M$3810,'Rec_raw_catch_effort_2010-2021'!$K2821)</f>
        <v>44.375</v>
      </c>
      <c r="R2821" s="109">
        <f>VLOOKUP(B2821,Readme!$A$62:$C$74,2,)*Q2821</f>
        <v>157.04491951534467</v>
      </c>
      <c r="S2821" s="140" t="str">
        <f t="shared" si="217"/>
        <v>Y</v>
      </c>
      <c r="T2821" s="154">
        <f t="shared" si="218"/>
        <v>3.4400000000000017</v>
      </c>
      <c r="U2821" s="154">
        <f t="shared" si="219"/>
        <v>3.5390404397824153</v>
      </c>
    </row>
    <row r="2822" spans="1:21" x14ac:dyDescent="0.35">
      <c r="A2822" s="108">
        <v>3197</v>
      </c>
      <c r="B2822" s="108">
        <v>2020</v>
      </c>
      <c r="C2822" s="108" t="s">
        <v>38</v>
      </c>
      <c r="D2822" s="108" t="s">
        <v>143</v>
      </c>
      <c r="E2822" s="108" t="s">
        <v>10</v>
      </c>
      <c r="F2822" s="116">
        <v>872</v>
      </c>
      <c r="G2822" s="108" t="s">
        <v>65</v>
      </c>
      <c r="H2822" s="108" t="str">
        <f t="shared" si="216"/>
        <v>Stillaguamish River</v>
      </c>
      <c r="I2822" s="108" t="str">
        <f>IFERROR(VLOOKUP(H2822,LUTs!$A$1:$C$73,2,FALSE),"NA")</f>
        <v>Snohomish</v>
      </c>
      <c r="J2822" s="108" t="str">
        <f>IFERROR(VLOOKUP(H2822,LUTs!$A$1:$C$73,3,FALSE),"NA")</f>
        <v>2Central Puget Sound</v>
      </c>
      <c r="K2822" s="108" t="s">
        <v>17</v>
      </c>
      <c r="L2822" s="108" t="str">
        <f>VLOOKUP(K2822,LUTs!E$2:G$14,3,)</f>
        <v>04Island</v>
      </c>
      <c r="M2822" s="108" t="str">
        <f>VLOOKUP($K2822,LUTs!$E$2:$H$14,2,)</f>
        <v>North Puget Sound</v>
      </c>
      <c r="N2822" s="108" t="str">
        <f>VLOOKUP($K2822,LUTs!$E$2:$H$14,4,)</f>
        <v>01North Puget Sound</v>
      </c>
      <c r="O2822" s="108">
        <v>12.473684210526301</v>
      </c>
      <c r="P2822" s="108">
        <v>107.897368421053</v>
      </c>
      <c r="Q2822" s="108">
        <f>SUMIFS('FW_Salmon_by_Month_2010-2021'!P$2:P$3810,'FW_Salmon_by_Month_2010-2021'!$B$2:$B$3810,'Rec_raw_catch_effort_2010-2021'!$B2822,'FW_Salmon_by_Month_2010-2021'!$H$2:$H$3810,'Rec_raw_catch_effort_2010-2021'!$F2822,'FW_Salmon_by_Month_2010-2021'!$M$2:$M$3810,'Rec_raw_catch_effort_2010-2021'!$K2822)</f>
        <v>12.461538461538501</v>
      </c>
      <c r="R2822" s="109">
        <f>VLOOKUP(B2822,Readme!$A$62:$C$74,2,)*Q2822</f>
        <v>60.059068805103244</v>
      </c>
      <c r="S2822" s="140" t="str">
        <f t="shared" si="217"/>
        <v>N</v>
      </c>
      <c r="T2822" s="154">
        <f t="shared" si="218"/>
        <v>8.6500000000000394</v>
      </c>
      <c r="U2822" s="154">
        <f t="shared" si="219"/>
        <v>4.8195549041132084</v>
      </c>
    </row>
    <row r="2823" spans="1:21" x14ac:dyDescent="0.35">
      <c r="A2823" s="108">
        <v>3198</v>
      </c>
      <c r="B2823" s="108">
        <v>2020</v>
      </c>
      <c r="C2823" s="108" t="s">
        <v>38</v>
      </c>
      <c r="D2823" s="108" t="s">
        <v>143</v>
      </c>
      <c r="E2823" s="108" t="s">
        <v>10</v>
      </c>
      <c r="F2823" s="116">
        <v>872</v>
      </c>
      <c r="G2823" s="108" t="s">
        <v>65</v>
      </c>
      <c r="H2823" s="108" t="str">
        <f t="shared" si="216"/>
        <v>Stillaguamish River</v>
      </c>
      <c r="I2823" s="108" t="str">
        <f>IFERROR(VLOOKUP(H2823,LUTs!$A$1:$C$73,2,FALSE),"NA")</f>
        <v>Snohomish</v>
      </c>
      <c r="J2823" s="108" t="str">
        <f>IFERROR(VLOOKUP(H2823,LUTs!$A$1:$C$73,3,FALSE),"NA")</f>
        <v>2Central Puget Sound</v>
      </c>
      <c r="K2823" s="108" t="s">
        <v>18</v>
      </c>
      <c r="L2823" s="108" t="str">
        <f>VLOOKUP(K2823,LUTs!E$2:G$14,3,)</f>
        <v>06King</v>
      </c>
      <c r="M2823" s="108" t="str">
        <f>VLOOKUP($K2823,LUTs!$E$2:$H$14,2,)</f>
        <v>South Puget Sound</v>
      </c>
      <c r="N2823" s="108" t="str">
        <f>VLOOKUP($K2823,LUTs!$E$2:$H$14,4,)</f>
        <v>02South Puget Sound</v>
      </c>
      <c r="O2823" s="108">
        <v>37.421052631579002</v>
      </c>
      <c r="P2823" s="108">
        <v>323.692105263158</v>
      </c>
      <c r="Q2823" s="108">
        <f>SUMIFS('FW_Salmon_by_Month_2010-2021'!P$2:P$3810,'FW_Salmon_by_Month_2010-2021'!$B$2:$B$3810,'Rec_raw_catch_effort_2010-2021'!$B2823,'FW_Salmon_by_Month_2010-2021'!$H$2:$H$3810,'Rec_raw_catch_effort_2010-2021'!$F2823,'FW_Salmon_by_Month_2010-2021'!$M$2:$M$3810,'Rec_raw_catch_effort_2010-2021'!$K2823)</f>
        <v>37.384615384615401</v>
      </c>
      <c r="R2823" s="109">
        <f>VLOOKUP(B2823,Readme!$A$62:$C$74,2,)*Q2823</f>
        <v>180.17720641530926</v>
      </c>
      <c r="S2823" s="140" t="str">
        <f t="shared" si="217"/>
        <v>N</v>
      </c>
      <c r="T2823" s="154">
        <f t="shared" si="218"/>
        <v>8.6499999999999897</v>
      </c>
      <c r="U2823" s="154">
        <f t="shared" si="219"/>
        <v>4.8195549041132084</v>
      </c>
    </row>
    <row r="2824" spans="1:21" x14ac:dyDescent="0.35">
      <c r="A2824" s="108">
        <v>3087</v>
      </c>
      <c r="B2824" s="108">
        <v>2020</v>
      </c>
      <c r="C2824" s="108" t="s">
        <v>38</v>
      </c>
      <c r="D2824" s="108" t="s">
        <v>143</v>
      </c>
      <c r="E2824" s="108" t="s">
        <v>10</v>
      </c>
      <c r="F2824" s="116">
        <v>872</v>
      </c>
      <c r="G2824" s="108" t="s">
        <v>65</v>
      </c>
      <c r="H2824" s="108" t="str">
        <f t="shared" si="216"/>
        <v>Stillaguamish River</v>
      </c>
      <c r="I2824" s="108" t="str">
        <f>IFERROR(VLOOKUP(H2824,LUTs!$A$1:$C$73,2,FALSE),"NA")</f>
        <v>Snohomish</v>
      </c>
      <c r="J2824" s="108" t="str">
        <f>IFERROR(VLOOKUP(H2824,LUTs!$A$1:$C$73,3,FALSE),"NA")</f>
        <v>2Central Puget Sound</v>
      </c>
      <c r="K2824" s="108" t="s">
        <v>16</v>
      </c>
      <c r="L2824" s="108" t="str">
        <f>VLOOKUP(K2824,LUTs!E$2:G$14,3,)</f>
        <v>03Snohomish</v>
      </c>
      <c r="M2824" s="108" t="str">
        <f>VLOOKUP($K2824,LUTs!$E$2:$H$14,2,)</f>
        <v>North Puget Sound</v>
      </c>
      <c r="N2824" s="108" t="str">
        <f>VLOOKUP($K2824,LUTs!$E$2:$H$14,4,)</f>
        <v>01North Puget Sound</v>
      </c>
      <c r="O2824" s="108">
        <v>424.10526315789502</v>
      </c>
      <c r="P2824" s="108">
        <v>3668.5105263157898</v>
      </c>
      <c r="Q2824" s="108">
        <f>SUMIFS('FW_Salmon_by_Month_2010-2021'!P$2:P$3810,'FW_Salmon_by_Month_2010-2021'!$B$2:$B$3810,'Rec_raw_catch_effort_2010-2021'!$B2824,'FW_Salmon_by_Month_2010-2021'!$H$2:$H$3810,'Rec_raw_catch_effort_2010-2021'!$F2824,'FW_Salmon_by_Month_2010-2021'!$M$2:$M$3810,'Rec_raw_catch_effort_2010-2021'!$K2824)</f>
        <v>424.15384615384602</v>
      </c>
      <c r="R2824" s="109">
        <f>VLOOKUP(B2824,Readme!$A$62:$C$74,2,)*Q2824</f>
        <v>2044.232749329248</v>
      </c>
      <c r="S2824" s="140" t="str">
        <f t="shared" si="217"/>
        <v>N</v>
      </c>
      <c r="T2824" s="154">
        <f t="shared" si="218"/>
        <v>8.649999999999995</v>
      </c>
      <c r="U2824" s="154">
        <f t="shared" si="219"/>
        <v>4.8195549041132084</v>
      </c>
    </row>
    <row r="2825" spans="1:21" x14ac:dyDescent="0.35">
      <c r="A2825" s="108">
        <v>1608</v>
      </c>
      <c r="B2825" s="108">
        <v>2021</v>
      </c>
      <c r="C2825" s="108" t="s">
        <v>38</v>
      </c>
      <c r="D2825" s="108" t="s">
        <v>143</v>
      </c>
      <c r="E2825" s="108" t="s">
        <v>10</v>
      </c>
      <c r="F2825" s="116">
        <v>872</v>
      </c>
      <c r="G2825" s="108" t="s">
        <v>65</v>
      </c>
      <c r="H2825" s="108" t="str">
        <f t="shared" si="216"/>
        <v>Stillaguamish River</v>
      </c>
      <c r="I2825" s="108" t="str">
        <f>IFERROR(VLOOKUP(H2825,LUTs!$A$1:$C$73,2,FALSE),"NA")</f>
        <v>Snohomish</v>
      </c>
      <c r="J2825" s="108" t="str">
        <f>IFERROR(VLOOKUP(H2825,LUTs!$A$1:$C$73,3,FALSE),"NA")</f>
        <v>2Central Puget Sound</v>
      </c>
      <c r="K2825" s="108" t="s">
        <v>16</v>
      </c>
      <c r="L2825" s="108" t="str">
        <f>VLOOKUP(K2825,LUTs!E$2:G$14,3,)</f>
        <v>03Snohomish</v>
      </c>
      <c r="M2825" s="108" t="str">
        <f>VLOOKUP($K2825,LUTs!$E$2:$H$14,2,)</f>
        <v>North Puget Sound</v>
      </c>
      <c r="N2825" s="108" t="str">
        <f>VLOOKUP($K2825,LUTs!$E$2:$H$14,4,)</f>
        <v>01North Puget Sound</v>
      </c>
      <c r="O2825" s="108">
        <v>10</v>
      </c>
      <c r="P2825" s="108">
        <v>34.4</v>
      </c>
      <c r="Q2825" s="108">
        <f>SUMIFS('FW_Salmon_by_Month_2010-2021'!P$2:P$3810,'FW_Salmon_by_Month_2010-2021'!$B$2:$B$3810,'Rec_raw_catch_effort_2010-2021'!$B2825,'FW_Salmon_by_Month_2010-2021'!$H$2:$H$3810,'Rec_raw_catch_effort_2010-2021'!$F2825,'FW_Salmon_by_Month_2010-2021'!$M$2:$M$3810,'Rec_raw_catch_effort_2010-2021'!$K2825)</f>
        <v>10</v>
      </c>
      <c r="R2825" s="109">
        <f>VLOOKUP(B2825,Readme!$A$62:$C$74,2,)*Q2825</f>
        <v>35.390404397824156</v>
      </c>
      <c r="S2825" s="140" t="str">
        <f t="shared" si="217"/>
        <v>N</v>
      </c>
      <c r="T2825" s="154">
        <f t="shared" si="218"/>
        <v>3.44</v>
      </c>
      <c r="U2825" s="154">
        <f t="shared" si="219"/>
        <v>3.5390404397824158</v>
      </c>
    </row>
    <row r="2826" spans="1:21" x14ac:dyDescent="0.35">
      <c r="A2826" s="108">
        <v>667</v>
      </c>
      <c r="B2826" s="108">
        <v>2011</v>
      </c>
      <c r="C2826" s="108" t="s">
        <v>38</v>
      </c>
      <c r="D2826" s="108" t="s">
        <v>143</v>
      </c>
      <c r="E2826" s="108" t="s">
        <v>10</v>
      </c>
      <c r="F2826" s="116">
        <v>878</v>
      </c>
      <c r="G2826" s="108" t="s">
        <v>72</v>
      </c>
      <c r="H2826" s="108" t="str">
        <f t="shared" si="216"/>
        <v>Tahuya River</v>
      </c>
      <c r="I2826" s="108" t="str">
        <f>IFERROR(VLOOKUP(H2826,LUTs!$A$1:$C$73,2,FALSE),"NA")</f>
        <v>Mason</v>
      </c>
      <c r="J2826" s="108" t="str">
        <f>IFERROR(VLOOKUP(H2826,LUTs!$A$1:$C$73,3,FALSE),"NA")</f>
        <v>4 Hood Canal</v>
      </c>
      <c r="K2826" s="108" t="s">
        <v>25</v>
      </c>
      <c r="L2826" s="108" t="str">
        <f>VLOOKUP(K2826,LUTs!E$2:G$14,3,)</f>
        <v>12Jefferson</v>
      </c>
      <c r="M2826" s="108" t="str">
        <f>VLOOKUP($K2826,LUTs!$E$2:$H$14,2,)</f>
        <v>Strait of Juan de Fuca</v>
      </c>
      <c r="N2826" s="108" t="str">
        <f>VLOOKUP($K2826,LUTs!$E$2:$H$14,4,)</f>
        <v>03Strait of Juan de Fuca</v>
      </c>
      <c r="O2826" s="108">
        <v>15.0714285714286</v>
      </c>
      <c r="P2826" s="108">
        <v>51.845714285714401</v>
      </c>
      <c r="Q2826" s="108">
        <f>SUMIFS('FW_Salmon_by_Month_2010-2021'!P$2:P$3810,'FW_Salmon_by_Month_2010-2021'!$B$2:$B$3810,'Rec_raw_catch_effort_2010-2021'!$B2826,'FW_Salmon_by_Month_2010-2021'!$H$2:$H$3810,'Rec_raw_catch_effort_2010-2021'!$F2826,'FW_Salmon_by_Month_2010-2021'!$M$2:$M$3810,'Rec_raw_catch_effort_2010-2021'!$K2826)</f>
        <v>15.0714285714286</v>
      </c>
      <c r="R2826" s="109">
        <f>VLOOKUP(B2826,Readme!$A$62:$C$74,2,)*Q2826</f>
        <v>53.338395199577931</v>
      </c>
      <c r="S2826" s="140" t="str">
        <f t="shared" si="217"/>
        <v>Y</v>
      </c>
      <c r="T2826" s="154">
        <f t="shared" si="218"/>
        <v>3.4400000000000013</v>
      </c>
      <c r="U2826" s="154">
        <f t="shared" si="219"/>
        <v>3.5390404397824153</v>
      </c>
    </row>
    <row r="2827" spans="1:21" x14ac:dyDescent="0.35">
      <c r="A2827" s="108">
        <v>663</v>
      </c>
      <c r="B2827" s="108">
        <v>2011</v>
      </c>
      <c r="C2827" s="108" t="s">
        <v>38</v>
      </c>
      <c r="D2827" s="108" t="s">
        <v>143</v>
      </c>
      <c r="E2827" s="108" t="s">
        <v>10</v>
      </c>
      <c r="F2827" s="116">
        <v>878</v>
      </c>
      <c r="G2827" s="108" t="s">
        <v>72</v>
      </c>
      <c r="H2827" s="108" t="str">
        <f t="shared" si="216"/>
        <v>Tahuya River</v>
      </c>
      <c r="I2827" s="108" t="str">
        <f>IFERROR(VLOOKUP(H2827,LUTs!$A$1:$C$73,2,FALSE),"NA")</f>
        <v>Mason</v>
      </c>
      <c r="J2827" s="108" t="str">
        <f>IFERROR(VLOOKUP(H2827,LUTs!$A$1:$C$73,3,FALSE),"NA")</f>
        <v>4 Hood Canal</v>
      </c>
      <c r="K2827" s="108" t="s">
        <v>18</v>
      </c>
      <c r="L2827" s="108" t="str">
        <f>VLOOKUP(K2827,LUTs!E$2:G$14,3,)</f>
        <v>06King</v>
      </c>
      <c r="M2827" s="108" t="str">
        <f>VLOOKUP($K2827,LUTs!$E$2:$H$14,2,)</f>
        <v>South Puget Sound</v>
      </c>
      <c r="N2827" s="108" t="str">
        <f>VLOOKUP($K2827,LUTs!$E$2:$H$14,4,)</f>
        <v>02South Puget Sound</v>
      </c>
      <c r="O2827" s="108">
        <v>15.0714285714286</v>
      </c>
      <c r="P2827" s="108">
        <v>51.845714285714401</v>
      </c>
      <c r="Q2827" s="108">
        <f>SUMIFS('FW_Salmon_by_Month_2010-2021'!P$2:P$3810,'FW_Salmon_by_Month_2010-2021'!$B$2:$B$3810,'Rec_raw_catch_effort_2010-2021'!$B2827,'FW_Salmon_by_Month_2010-2021'!$H$2:$H$3810,'Rec_raw_catch_effort_2010-2021'!$F2827,'FW_Salmon_by_Month_2010-2021'!$M$2:$M$3810,'Rec_raw_catch_effort_2010-2021'!$K2827)</f>
        <v>15.0714285714286</v>
      </c>
      <c r="R2827" s="109">
        <f>VLOOKUP(B2827,Readme!$A$62:$C$74,2,)*Q2827</f>
        <v>53.338395199577931</v>
      </c>
      <c r="S2827" s="140" t="str">
        <f t="shared" si="217"/>
        <v>Y</v>
      </c>
      <c r="T2827" s="154">
        <f t="shared" si="218"/>
        <v>3.4400000000000013</v>
      </c>
      <c r="U2827" s="154">
        <f t="shared" si="219"/>
        <v>3.5390404397824153</v>
      </c>
    </row>
    <row r="2828" spans="1:21" x14ac:dyDescent="0.35">
      <c r="A2828" s="108">
        <v>666</v>
      </c>
      <c r="B2828" s="108">
        <v>2011</v>
      </c>
      <c r="C2828" s="108" t="s">
        <v>38</v>
      </c>
      <c r="D2828" s="108" t="s">
        <v>143</v>
      </c>
      <c r="E2828" s="108" t="s">
        <v>10</v>
      </c>
      <c r="F2828" s="116">
        <v>878</v>
      </c>
      <c r="G2828" s="108" t="s">
        <v>72</v>
      </c>
      <c r="H2828" s="108" t="str">
        <f t="shared" si="216"/>
        <v>Tahuya River</v>
      </c>
      <c r="I2828" s="108" t="str">
        <f>IFERROR(VLOOKUP(H2828,LUTs!$A$1:$C$73,2,FALSE),"NA")</f>
        <v>Mason</v>
      </c>
      <c r="J2828" s="108" t="str">
        <f>IFERROR(VLOOKUP(H2828,LUTs!$A$1:$C$73,3,FALSE),"NA")</f>
        <v>4 Hood Canal</v>
      </c>
      <c r="K2828" s="108" t="s">
        <v>23</v>
      </c>
      <c r="L2828" s="108" t="str">
        <f>VLOOKUP(K2828,LUTs!E$2:G$14,3,)</f>
        <v>10Kitsap</v>
      </c>
      <c r="M2828" s="108" t="str">
        <f>VLOOKUP($K2828,LUTs!$E$2:$H$14,2,)</f>
        <v>South Puget Sound</v>
      </c>
      <c r="N2828" s="108" t="str">
        <f>VLOOKUP($K2828,LUTs!$E$2:$H$14,4,)</f>
        <v>02South Puget Sound</v>
      </c>
      <c r="O2828" s="108">
        <v>105.5</v>
      </c>
      <c r="P2828" s="108">
        <v>362.92</v>
      </c>
      <c r="Q2828" s="108">
        <f>SUMIFS('FW_Salmon_by_Month_2010-2021'!P$2:P$3810,'FW_Salmon_by_Month_2010-2021'!$B$2:$B$3810,'Rec_raw_catch_effort_2010-2021'!$B2828,'FW_Salmon_by_Month_2010-2021'!$H$2:$H$3810,'Rec_raw_catch_effort_2010-2021'!$F2828,'FW_Salmon_by_Month_2010-2021'!$M$2:$M$3810,'Rec_raw_catch_effort_2010-2021'!$K2828)</f>
        <v>105.5</v>
      </c>
      <c r="R2828" s="109">
        <f>VLOOKUP(B2828,Readme!$A$62:$C$74,2,)*Q2828</f>
        <v>373.36876639704479</v>
      </c>
      <c r="S2828" s="140" t="str">
        <f t="shared" si="217"/>
        <v>Y</v>
      </c>
      <c r="T2828" s="154">
        <f t="shared" si="218"/>
        <v>3.44</v>
      </c>
      <c r="U2828" s="154">
        <f t="shared" si="219"/>
        <v>3.5390404397824149</v>
      </c>
    </row>
    <row r="2829" spans="1:21" x14ac:dyDescent="0.35">
      <c r="A2829" s="108">
        <v>665</v>
      </c>
      <c r="B2829" s="108">
        <v>2011</v>
      </c>
      <c r="C2829" s="108" t="s">
        <v>38</v>
      </c>
      <c r="D2829" s="108" t="s">
        <v>143</v>
      </c>
      <c r="E2829" s="108" t="s">
        <v>10</v>
      </c>
      <c r="F2829" s="116">
        <v>878</v>
      </c>
      <c r="G2829" s="108" t="s">
        <v>72</v>
      </c>
      <c r="H2829" s="108" t="str">
        <f t="shared" si="216"/>
        <v>Tahuya River</v>
      </c>
      <c r="I2829" s="108" t="str">
        <f>IFERROR(VLOOKUP(H2829,LUTs!$A$1:$C$73,2,FALSE),"NA")</f>
        <v>Mason</v>
      </c>
      <c r="J2829" s="108" t="str">
        <f>IFERROR(VLOOKUP(H2829,LUTs!$A$1:$C$73,3,FALSE),"NA")</f>
        <v>4 Hood Canal</v>
      </c>
      <c r="K2829" s="108" t="s">
        <v>22</v>
      </c>
      <c r="L2829" s="108" t="str">
        <f>VLOOKUP(K2829,LUTs!E$2:G$14,3,)</f>
        <v>09Mason</v>
      </c>
      <c r="M2829" s="108" t="str">
        <f>VLOOKUP($K2829,LUTs!$E$2:$H$14,2,)</f>
        <v>South Puget Sound</v>
      </c>
      <c r="N2829" s="108" t="str">
        <f>VLOOKUP($K2829,LUTs!$E$2:$H$14,4,)</f>
        <v>02South Puget Sound</v>
      </c>
      <c r="O2829" s="108">
        <v>60.285714285714299</v>
      </c>
      <c r="P2829" s="108">
        <v>207.38285714285701</v>
      </c>
      <c r="Q2829" s="108">
        <f>SUMIFS('FW_Salmon_by_Month_2010-2021'!P$2:P$3810,'FW_Salmon_by_Month_2010-2021'!$B$2:$B$3810,'Rec_raw_catch_effort_2010-2021'!$B2829,'FW_Salmon_by_Month_2010-2021'!$H$2:$H$3810,'Rec_raw_catch_effort_2010-2021'!$F2829,'FW_Salmon_by_Month_2010-2021'!$M$2:$M$3810,'Rec_raw_catch_effort_2010-2021'!$K2829)</f>
        <v>60.285714285714299</v>
      </c>
      <c r="R2829" s="109">
        <f>VLOOKUP(B2829,Readme!$A$62:$C$74,2,)*Q2829</f>
        <v>213.35358079831138</v>
      </c>
      <c r="S2829" s="140" t="str">
        <f t="shared" si="217"/>
        <v>Y</v>
      </c>
      <c r="T2829" s="154">
        <f t="shared" si="218"/>
        <v>3.4399999999999968</v>
      </c>
      <c r="U2829" s="154">
        <f t="shared" si="219"/>
        <v>3.5390404397824153</v>
      </c>
    </row>
    <row r="2830" spans="1:21" x14ac:dyDescent="0.35">
      <c r="A2830" s="108">
        <v>664</v>
      </c>
      <c r="B2830" s="108">
        <v>2011</v>
      </c>
      <c r="C2830" s="108" t="s">
        <v>38</v>
      </c>
      <c r="D2830" s="108" t="s">
        <v>143</v>
      </c>
      <c r="E2830" s="108" t="s">
        <v>10</v>
      </c>
      <c r="F2830" s="116">
        <v>878</v>
      </c>
      <c r="G2830" s="108" t="s">
        <v>72</v>
      </c>
      <c r="H2830" s="108" t="str">
        <f t="shared" si="216"/>
        <v>Tahuya River</v>
      </c>
      <c r="I2830" s="108" t="str">
        <f>IFERROR(VLOOKUP(H2830,LUTs!$A$1:$C$73,2,FALSE),"NA")</f>
        <v>Mason</v>
      </c>
      <c r="J2830" s="108" t="str">
        <f>IFERROR(VLOOKUP(H2830,LUTs!$A$1:$C$73,3,FALSE),"NA")</f>
        <v>4 Hood Canal</v>
      </c>
      <c r="K2830" s="108" t="s">
        <v>20</v>
      </c>
      <c r="L2830" s="108" t="str">
        <f>VLOOKUP(K2830,LUTs!E$2:G$14,3,)</f>
        <v>07Pierce</v>
      </c>
      <c r="M2830" s="108" t="str">
        <f>VLOOKUP($K2830,LUTs!$E$2:$H$14,2,)</f>
        <v>South Puget Sound</v>
      </c>
      <c r="N2830" s="108" t="str">
        <f>VLOOKUP($K2830,LUTs!$E$2:$H$14,4,)</f>
        <v>02South Puget Sound</v>
      </c>
      <c r="O2830" s="108">
        <v>15.0714285714286</v>
      </c>
      <c r="P2830" s="108">
        <v>51.845714285714401</v>
      </c>
      <c r="Q2830" s="108">
        <f>SUMIFS('FW_Salmon_by_Month_2010-2021'!P$2:P$3810,'FW_Salmon_by_Month_2010-2021'!$B$2:$B$3810,'Rec_raw_catch_effort_2010-2021'!$B2830,'FW_Salmon_by_Month_2010-2021'!$H$2:$H$3810,'Rec_raw_catch_effort_2010-2021'!$F2830,'FW_Salmon_by_Month_2010-2021'!$M$2:$M$3810,'Rec_raw_catch_effort_2010-2021'!$K2830)</f>
        <v>15.0714285714286</v>
      </c>
      <c r="R2830" s="109">
        <f>VLOOKUP(B2830,Readme!$A$62:$C$74,2,)*Q2830</f>
        <v>53.338395199577931</v>
      </c>
      <c r="S2830" s="140" t="str">
        <f t="shared" si="217"/>
        <v>Y</v>
      </c>
      <c r="T2830" s="154">
        <f t="shared" si="218"/>
        <v>3.4400000000000013</v>
      </c>
      <c r="U2830" s="154">
        <f t="shared" si="219"/>
        <v>3.5390404397824153</v>
      </c>
    </row>
    <row r="2831" spans="1:21" x14ac:dyDescent="0.35">
      <c r="A2831" s="108">
        <v>671</v>
      </c>
      <c r="B2831" s="108">
        <v>2012</v>
      </c>
      <c r="C2831" s="108" t="s">
        <v>38</v>
      </c>
      <c r="D2831" s="108" t="s">
        <v>143</v>
      </c>
      <c r="E2831" s="108" t="s">
        <v>10</v>
      </c>
      <c r="F2831" s="116">
        <v>878</v>
      </c>
      <c r="G2831" s="108" t="s">
        <v>72</v>
      </c>
      <c r="H2831" s="108" t="str">
        <f t="shared" si="216"/>
        <v>Tahuya River</v>
      </c>
      <c r="I2831" s="108" t="str">
        <f>IFERROR(VLOOKUP(H2831,LUTs!$A$1:$C$73,2,FALSE),"NA")</f>
        <v>Mason</v>
      </c>
      <c r="J2831" s="108" t="str">
        <f>IFERROR(VLOOKUP(H2831,LUTs!$A$1:$C$73,3,FALSE),"NA")</f>
        <v>4 Hood Canal</v>
      </c>
      <c r="K2831" s="108" t="s">
        <v>18</v>
      </c>
      <c r="L2831" s="108" t="str">
        <f>VLOOKUP(K2831,LUTs!E$2:G$14,3,)</f>
        <v>06King</v>
      </c>
      <c r="M2831" s="108" t="str">
        <f>VLOOKUP($K2831,LUTs!$E$2:$H$14,2,)</f>
        <v>South Puget Sound</v>
      </c>
      <c r="N2831" s="108" t="str">
        <f>VLOOKUP($K2831,LUTs!$E$2:$H$14,4,)</f>
        <v>02South Puget Sound</v>
      </c>
      <c r="O2831" s="108">
        <v>174.41860465116301</v>
      </c>
      <c r="P2831" s="108">
        <v>1508.72093023256</v>
      </c>
      <c r="Q2831" s="108">
        <f>SUMIFS('FW_Salmon_by_Month_2010-2021'!P$2:P$3810,'FW_Salmon_by_Month_2010-2021'!$B$2:$B$3810,'Rec_raw_catch_effort_2010-2021'!$B2831,'FW_Salmon_by_Month_2010-2021'!$H$2:$H$3810,'Rec_raw_catch_effort_2010-2021'!$F2831,'FW_Salmon_by_Month_2010-2021'!$M$2:$M$3810,'Rec_raw_catch_effort_2010-2021'!$K2831)</f>
        <v>175.44642857142901</v>
      </c>
      <c r="R2831" s="109">
        <f>VLOOKUP(B2831,Readme!$A$62:$C$74,2,)*Q2831</f>
        <v>845.57369523057844</v>
      </c>
      <c r="S2831" s="140" t="str">
        <f t="shared" si="217"/>
        <v>Y</v>
      </c>
      <c r="T2831" s="154">
        <f t="shared" si="218"/>
        <v>8.65</v>
      </c>
      <c r="U2831" s="154">
        <f t="shared" si="219"/>
        <v>4.8195549041132084</v>
      </c>
    </row>
    <row r="2832" spans="1:21" x14ac:dyDescent="0.35">
      <c r="A2832" s="108">
        <v>749</v>
      </c>
      <c r="B2832" s="108">
        <v>2012</v>
      </c>
      <c r="C2832" s="108" t="s">
        <v>38</v>
      </c>
      <c r="D2832" s="108" t="s">
        <v>143</v>
      </c>
      <c r="E2832" s="108" t="s">
        <v>10</v>
      </c>
      <c r="F2832" s="116">
        <v>878</v>
      </c>
      <c r="G2832" s="108" t="s">
        <v>72</v>
      </c>
      <c r="H2832" s="108" t="str">
        <f t="shared" si="216"/>
        <v>Tahuya River</v>
      </c>
      <c r="I2832" s="108" t="str">
        <f>IFERROR(VLOOKUP(H2832,LUTs!$A$1:$C$73,2,FALSE),"NA")</f>
        <v>Mason</v>
      </c>
      <c r="J2832" s="108" t="str">
        <f>IFERROR(VLOOKUP(H2832,LUTs!$A$1:$C$73,3,FALSE),"NA")</f>
        <v>4 Hood Canal</v>
      </c>
      <c r="K2832" s="108" t="s">
        <v>23</v>
      </c>
      <c r="L2832" s="108" t="str">
        <f>VLOOKUP(K2832,LUTs!E$2:G$14,3,)</f>
        <v>10Kitsap</v>
      </c>
      <c r="M2832" s="108" t="str">
        <f>VLOOKUP($K2832,LUTs!$E$2:$H$14,2,)</f>
        <v>South Puget Sound</v>
      </c>
      <c r="N2832" s="108" t="str">
        <f>VLOOKUP($K2832,LUTs!$E$2:$H$14,4,)</f>
        <v>02South Puget Sound</v>
      </c>
      <c r="O2832" s="108">
        <v>432.55813953488399</v>
      </c>
      <c r="P2832" s="108">
        <v>3741.6279069767502</v>
      </c>
      <c r="Q2832" s="108">
        <f>SUMIFS('FW_Salmon_by_Month_2010-2021'!P$2:P$3810,'FW_Salmon_by_Month_2010-2021'!$B$2:$B$3810,'Rec_raw_catch_effort_2010-2021'!$B2832,'FW_Salmon_by_Month_2010-2021'!$H$2:$H$3810,'Rec_raw_catch_effort_2010-2021'!$F2832,'FW_Salmon_by_Month_2010-2021'!$M$2:$M$3810,'Rec_raw_catch_effort_2010-2021'!$K2832)</f>
        <v>428.08928571428601</v>
      </c>
      <c r="R2832" s="109">
        <f>VLOOKUP(B2832,Readme!$A$62:$C$74,2,)*Q2832</f>
        <v>2063.1998163626076</v>
      </c>
      <c r="S2832" s="140" t="str">
        <f t="shared" si="217"/>
        <v>Y</v>
      </c>
      <c r="T2832" s="154">
        <f t="shared" si="218"/>
        <v>8.6500000000000092</v>
      </c>
      <c r="U2832" s="154">
        <f t="shared" si="219"/>
        <v>4.8195549041132084</v>
      </c>
    </row>
    <row r="2833" spans="1:21" x14ac:dyDescent="0.35">
      <c r="A2833" s="108">
        <v>674</v>
      </c>
      <c r="B2833" s="108">
        <v>2012</v>
      </c>
      <c r="C2833" s="108" t="s">
        <v>38</v>
      </c>
      <c r="D2833" s="108" t="s">
        <v>143</v>
      </c>
      <c r="E2833" s="108" t="s">
        <v>10</v>
      </c>
      <c r="F2833" s="116">
        <v>878</v>
      </c>
      <c r="G2833" s="108" t="s">
        <v>72</v>
      </c>
      <c r="H2833" s="108" t="str">
        <f t="shared" si="216"/>
        <v>Tahuya River</v>
      </c>
      <c r="I2833" s="108" t="str">
        <f>IFERROR(VLOOKUP(H2833,LUTs!$A$1:$C$73,2,FALSE),"NA")</f>
        <v>Mason</v>
      </c>
      <c r="J2833" s="108" t="str">
        <f>IFERROR(VLOOKUP(H2833,LUTs!$A$1:$C$73,3,FALSE),"NA")</f>
        <v>4 Hood Canal</v>
      </c>
      <c r="K2833" s="108" t="s">
        <v>22</v>
      </c>
      <c r="L2833" s="108" t="str">
        <f>VLOOKUP(K2833,LUTs!E$2:G$14,3,)</f>
        <v>09Mason</v>
      </c>
      <c r="M2833" s="108" t="str">
        <f>VLOOKUP($K2833,LUTs!$E$2:$H$14,2,)</f>
        <v>South Puget Sound</v>
      </c>
      <c r="N2833" s="108" t="str">
        <f>VLOOKUP($K2833,LUTs!$E$2:$H$14,4,)</f>
        <v>02South Puget Sound</v>
      </c>
      <c r="O2833" s="108">
        <v>411.62790697674399</v>
      </c>
      <c r="P2833" s="108">
        <v>3560.58139534884</v>
      </c>
      <c r="Q2833" s="108">
        <f>SUMIFS('FW_Salmon_by_Month_2010-2021'!P$2:P$3810,'FW_Salmon_by_Month_2010-2021'!$B$2:$B$3810,'Rec_raw_catch_effort_2010-2021'!$B2833,'FW_Salmon_by_Month_2010-2021'!$H$2:$H$3810,'Rec_raw_catch_effort_2010-2021'!$F2833,'FW_Salmon_by_Month_2010-2021'!$M$2:$M$3810,'Rec_raw_catch_effort_2010-2021'!$K2833)</f>
        <v>414.017857142857</v>
      </c>
      <c r="R2833" s="109">
        <f>VLOOKUP(B2833,Readme!$A$62:$C$74,2,)*Q2833</f>
        <v>1995.3817937832982</v>
      </c>
      <c r="S2833" s="140" t="str">
        <f t="shared" si="217"/>
        <v>Y</v>
      </c>
      <c r="T2833" s="154">
        <f t="shared" si="218"/>
        <v>8.650000000000011</v>
      </c>
      <c r="U2833" s="154">
        <f t="shared" si="219"/>
        <v>4.8195549041132084</v>
      </c>
    </row>
    <row r="2834" spans="1:21" x14ac:dyDescent="0.35">
      <c r="A2834" s="108">
        <v>672</v>
      </c>
      <c r="B2834" s="108">
        <v>2012</v>
      </c>
      <c r="C2834" s="108" t="s">
        <v>38</v>
      </c>
      <c r="D2834" s="108" t="s">
        <v>143</v>
      </c>
      <c r="E2834" s="108" t="s">
        <v>10</v>
      </c>
      <c r="F2834" s="116">
        <v>878</v>
      </c>
      <c r="G2834" s="108" t="s">
        <v>72</v>
      </c>
      <c r="H2834" s="108" t="str">
        <f t="shared" si="216"/>
        <v>Tahuya River</v>
      </c>
      <c r="I2834" s="108" t="str">
        <f>IFERROR(VLOOKUP(H2834,LUTs!$A$1:$C$73,2,FALSE),"NA")</f>
        <v>Mason</v>
      </c>
      <c r="J2834" s="108" t="str">
        <f>IFERROR(VLOOKUP(H2834,LUTs!$A$1:$C$73,3,FALSE),"NA")</f>
        <v>4 Hood Canal</v>
      </c>
      <c r="K2834" s="108" t="s">
        <v>20</v>
      </c>
      <c r="L2834" s="108" t="str">
        <f>VLOOKUP(K2834,LUTs!E$2:G$14,3,)</f>
        <v>07Pierce</v>
      </c>
      <c r="M2834" s="108" t="str">
        <f>VLOOKUP($K2834,LUTs!$E$2:$H$14,2,)</f>
        <v>South Puget Sound</v>
      </c>
      <c r="N2834" s="108" t="str">
        <f>VLOOKUP($K2834,LUTs!$E$2:$H$14,4,)</f>
        <v>02South Puget Sound</v>
      </c>
      <c r="O2834" s="108">
        <v>118.604651162791</v>
      </c>
      <c r="P2834" s="108">
        <v>1025.93023255814</v>
      </c>
      <c r="Q2834" s="108">
        <f>SUMIFS('FW_Salmon_by_Month_2010-2021'!P$2:P$3810,'FW_Salmon_by_Month_2010-2021'!$B$2:$B$3810,'Rec_raw_catch_effort_2010-2021'!$B2834,'FW_Salmon_by_Month_2010-2021'!$H$2:$H$3810,'Rec_raw_catch_effort_2010-2021'!$F2834,'FW_Salmon_by_Month_2010-2021'!$M$2:$M$3810,'Rec_raw_catch_effort_2010-2021'!$K2834)</f>
        <v>119.28571428571399</v>
      </c>
      <c r="R2834" s="109">
        <f>VLOOKUP(B2834,Readme!$A$62:$C$74,2,)*Q2834</f>
        <v>574.90404927635984</v>
      </c>
      <c r="S2834" s="140" t="str">
        <f t="shared" si="217"/>
        <v>Y</v>
      </c>
      <c r="T2834" s="154">
        <f t="shared" si="218"/>
        <v>8.6499999999999826</v>
      </c>
      <c r="U2834" s="154">
        <f t="shared" si="219"/>
        <v>4.8195549041132084</v>
      </c>
    </row>
    <row r="2835" spans="1:21" x14ac:dyDescent="0.35">
      <c r="A2835" s="108">
        <v>670</v>
      </c>
      <c r="B2835" s="108">
        <v>2012</v>
      </c>
      <c r="C2835" s="108" t="s">
        <v>38</v>
      </c>
      <c r="D2835" s="108" t="s">
        <v>143</v>
      </c>
      <c r="E2835" s="108" t="s">
        <v>10</v>
      </c>
      <c r="F2835" s="116">
        <v>878</v>
      </c>
      <c r="G2835" s="108" t="s">
        <v>72</v>
      </c>
      <c r="H2835" s="108" t="str">
        <f t="shared" si="216"/>
        <v>Tahuya River</v>
      </c>
      <c r="I2835" s="108" t="str">
        <f>IFERROR(VLOOKUP(H2835,LUTs!$A$1:$C$73,2,FALSE),"NA")</f>
        <v>Mason</v>
      </c>
      <c r="J2835" s="108" t="str">
        <f>IFERROR(VLOOKUP(H2835,LUTs!$A$1:$C$73,3,FALSE),"NA")</f>
        <v>4 Hood Canal</v>
      </c>
      <c r="K2835" s="108" t="s">
        <v>16</v>
      </c>
      <c r="L2835" s="108" t="str">
        <f>VLOOKUP(K2835,LUTs!E$2:G$14,3,)</f>
        <v>03Snohomish</v>
      </c>
      <c r="M2835" s="108" t="str">
        <f>VLOOKUP($K2835,LUTs!$E$2:$H$14,2,)</f>
        <v>North Puget Sound</v>
      </c>
      <c r="N2835" s="108" t="str">
        <f>VLOOKUP($K2835,LUTs!$E$2:$H$14,4,)</f>
        <v>01North Puget Sound</v>
      </c>
      <c r="O2835" s="108">
        <v>13.953488372093</v>
      </c>
      <c r="P2835" s="108">
        <v>120.697674418604</v>
      </c>
      <c r="Q2835" s="108">
        <f>SUMIFS('FW_Salmon_by_Month_2010-2021'!P$2:P$3810,'FW_Salmon_by_Month_2010-2021'!$B$2:$B$3810,'Rec_raw_catch_effort_2010-2021'!$B2835,'FW_Salmon_by_Month_2010-2021'!$H$2:$H$3810,'Rec_raw_catch_effort_2010-2021'!$F2835,'FW_Salmon_by_Month_2010-2021'!$M$2:$M$3810,'Rec_raw_catch_effort_2010-2021'!$K2835)</f>
        <v>14.035714285714301</v>
      </c>
      <c r="R2835" s="109">
        <f>VLOOKUP(B2835,Readme!$A$62:$C$74,2,)*Q2835</f>
        <v>67.645895618446175</v>
      </c>
      <c r="S2835" s="140" t="str">
        <f t="shared" si="217"/>
        <v>Y</v>
      </c>
      <c r="T2835" s="154">
        <f t="shared" si="218"/>
        <v>8.6499999999999666</v>
      </c>
      <c r="U2835" s="154">
        <f t="shared" si="219"/>
        <v>4.8195549041132084</v>
      </c>
    </row>
    <row r="2836" spans="1:21" x14ac:dyDescent="0.35">
      <c r="A2836" s="108">
        <v>673</v>
      </c>
      <c r="B2836" s="108">
        <v>2012</v>
      </c>
      <c r="C2836" s="108" t="s">
        <v>38</v>
      </c>
      <c r="D2836" s="108" t="s">
        <v>143</v>
      </c>
      <c r="E2836" s="108" t="s">
        <v>10</v>
      </c>
      <c r="F2836" s="116">
        <v>878</v>
      </c>
      <c r="G2836" s="108" t="s">
        <v>72</v>
      </c>
      <c r="H2836" s="108" t="str">
        <f t="shared" si="216"/>
        <v>Tahuya River</v>
      </c>
      <c r="I2836" s="108" t="str">
        <f>IFERROR(VLOOKUP(H2836,LUTs!$A$1:$C$73,2,FALSE),"NA")</f>
        <v>Mason</v>
      </c>
      <c r="J2836" s="108" t="str">
        <f>IFERROR(VLOOKUP(H2836,LUTs!$A$1:$C$73,3,FALSE),"NA")</f>
        <v>4 Hood Canal</v>
      </c>
      <c r="K2836" s="108" t="s">
        <v>21</v>
      </c>
      <c r="L2836" s="108" t="str">
        <f>VLOOKUP(K2836,LUTs!E$2:G$14,3,)</f>
        <v>08Thurston</v>
      </c>
      <c r="M2836" s="108" t="str">
        <f>VLOOKUP($K2836,LUTs!$E$2:$H$14,2,)</f>
        <v>South Puget Sound</v>
      </c>
      <c r="N2836" s="108" t="str">
        <f>VLOOKUP($K2836,LUTs!$E$2:$H$14,4,)</f>
        <v>02South Puget Sound</v>
      </c>
      <c r="O2836" s="108">
        <v>48.837209302325597</v>
      </c>
      <c r="P2836" s="108">
        <v>422.44186046511601</v>
      </c>
      <c r="Q2836" s="108">
        <f>SUMIFS('FW_Salmon_by_Month_2010-2021'!P$2:P$3810,'FW_Salmon_by_Month_2010-2021'!$B$2:$B$3810,'Rec_raw_catch_effort_2010-2021'!$B2836,'FW_Salmon_by_Month_2010-2021'!$H$2:$H$3810,'Rec_raw_catch_effort_2010-2021'!$F2836,'FW_Salmon_by_Month_2010-2021'!$M$2:$M$3810,'Rec_raw_catch_effort_2010-2021'!$K2836)</f>
        <v>49.125</v>
      </c>
      <c r="R2836" s="109">
        <f>VLOOKUP(B2836,Readme!$A$62:$C$74,2,)*Q2836</f>
        <v>236.76063466456137</v>
      </c>
      <c r="S2836" s="140" t="str">
        <f t="shared" si="217"/>
        <v>Y</v>
      </c>
      <c r="T2836" s="154">
        <f t="shared" si="218"/>
        <v>8.6499999999999915</v>
      </c>
      <c r="U2836" s="154">
        <f t="shared" si="219"/>
        <v>4.8195549041132084</v>
      </c>
    </row>
    <row r="2837" spans="1:21" x14ac:dyDescent="0.35">
      <c r="A2837" s="108">
        <v>752</v>
      </c>
      <c r="B2837" s="108">
        <v>2013</v>
      </c>
      <c r="C2837" s="108" t="s">
        <v>38</v>
      </c>
      <c r="D2837" s="108" t="s">
        <v>143</v>
      </c>
      <c r="E2837" s="108" t="s">
        <v>10</v>
      </c>
      <c r="F2837" s="116">
        <v>878</v>
      </c>
      <c r="G2837" s="108" t="s">
        <v>72</v>
      </c>
      <c r="H2837" s="108" t="str">
        <f t="shared" si="216"/>
        <v>Tahuya River</v>
      </c>
      <c r="I2837" s="108" t="str">
        <f>IFERROR(VLOOKUP(H2837,LUTs!$A$1:$C$73,2,FALSE),"NA")</f>
        <v>Mason</v>
      </c>
      <c r="J2837" s="108" t="str">
        <f>IFERROR(VLOOKUP(H2837,LUTs!$A$1:$C$73,3,FALSE),"NA")</f>
        <v>4 Hood Canal</v>
      </c>
      <c r="K2837" s="108" t="s">
        <v>18</v>
      </c>
      <c r="L2837" s="108" t="str">
        <f>VLOOKUP(K2837,LUTs!E$2:G$14,3,)</f>
        <v>06King</v>
      </c>
      <c r="M2837" s="108" t="str">
        <f>VLOOKUP($K2837,LUTs!$E$2:$H$14,2,)</f>
        <v>South Puget Sound</v>
      </c>
      <c r="N2837" s="108" t="str">
        <f>VLOOKUP($K2837,LUTs!$E$2:$H$14,4,)</f>
        <v>02South Puget Sound</v>
      </c>
      <c r="O2837" s="108">
        <v>78.157894736842096</v>
      </c>
      <c r="P2837" s="108">
        <v>268.86315789473701</v>
      </c>
      <c r="Q2837" s="108">
        <f>SUMIFS('FW_Salmon_by_Month_2010-2021'!P$2:P$3810,'FW_Salmon_by_Month_2010-2021'!$B$2:$B$3810,'Rec_raw_catch_effort_2010-2021'!$B2837,'FW_Salmon_by_Month_2010-2021'!$H$2:$H$3810,'Rec_raw_catch_effort_2010-2021'!$F2837,'FW_Salmon_by_Month_2010-2021'!$M$2:$M$3810,'Rec_raw_catch_effort_2010-2021'!$K2837)</f>
        <v>78.157894736842096</v>
      </c>
      <c r="R2837" s="109">
        <f>VLOOKUP(B2837,Readme!$A$62:$C$74,2,)*Q2837</f>
        <v>276.60395016194138</v>
      </c>
      <c r="S2837" s="140" t="str">
        <f t="shared" si="217"/>
        <v>Y</v>
      </c>
      <c r="T2837" s="154">
        <f t="shared" si="218"/>
        <v>3.4400000000000026</v>
      </c>
      <c r="U2837" s="154">
        <f t="shared" si="219"/>
        <v>3.5390404397824153</v>
      </c>
    </row>
    <row r="2838" spans="1:21" x14ac:dyDescent="0.35">
      <c r="A2838" s="108">
        <v>755</v>
      </c>
      <c r="B2838" s="108">
        <v>2013</v>
      </c>
      <c r="C2838" s="108" t="s">
        <v>38</v>
      </c>
      <c r="D2838" s="108" t="s">
        <v>143</v>
      </c>
      <c r="E2838" s="108" t="s">
        <v>10</v>
      </c>
      <c r="F2838" s="116">
        <v>878</v>
      </c>
      <c r="G2838" s="108" t="s">
        <v>72</v>
      </c>
      <c r="H2838" s="108" t="str">
        <f t="shared" si="216"/>
        <v>Tahuya River</v>
      </c>
      <c r="I2838" s="108" t="str">
        <f>IFERROR(VLOOKUP(H2838,LUTs!$A$1:$C$73,2,FALSE),"NA")</f>
        <v>Mason</v>
      </c>
      <c r="J2838" s="108" t="str">
        <f>IFERROR(VLOOKUP(H2838,LUTs!$A$1:$C$73,3,FALSE),"NA")</f>
        <v>4 Hood Canal</v>
      </c>
      <c r="K2838" s="108" t="s">
        <v>23</v>
      </c>
      <c r="L2838" s="108" t="str">
        <f>VLOOKUP(K2838,LUTs!E$2:G$14,3,)</f>
        <v>10Kitsap</v>
      </c>
      <c r="M2838" s="108" t="str">
        <f>VLOOKUP($K2838,LUTs!$E$2:$H$14,2,)</f>
        <v>South Puget Sound</v>
      </c>
      <c r="N2838" s="108" t="str">
        <f>VLOOKUP($K2838,LUTs!$E$2:$H$14,4,)</f>
        <v>02South Puget Sound</v>
      </c>
      <c r="O2838" s="108">
        <v>156.31578947368399</v>
      </c>
      <c r="P2838" s="108">
        <v>537.72631578947301</v>
      </c>
      <c r="Q2838" s="108">
        <f>SUMIFS('FW_Salmon_by_Month_2010-2021'!P$2:P$3810,'FW_Salmon_by_Month_2010-2021'!$B$2:$B$3810,'Rec_raw_catch_effort_2010-2021'!$B2838,'FW_Salmon_by_Month_2010-2021'!$H$2:$H$3810,'Rec_raw_catch_effort_2010-2021'!$F2838,'FW_Salmon_by_Month_2010-2021'!$M$2:$M$3810,'Rec_raw_catch_effort_2010-2021'!$K2838)</f>
        <v>156.31578947368399</v>
      </c>
      <c r="R2838" s="109">
        <f>VLOOKUP(B2838,Readme!$A$62:$C$74,2,)*Q2838</f>
        <v>553.20790032388209</v>
      </c>
      <c r="S2838" s="140" t="str">
        <f t="shared" si="217"/>
        <v>Y</v>
      </c>
      <c r="T2838" s="154">
        <f t="shared" si="218"/>
        <v>3.4400000000000004</v>
      </c>
      <c r="U2838" s="154">
        <f t="shared" si="219"/>
        <v>3.5390404397824158</v>
      </c>
    </row>
    <row r="2839" spans="1:21" x14ac:dyDescent="0.35">
      <c r="A2839" s="108">
        <v>754</v>
      </c>
      <c r="B2839" s="108">
        <v>2013</v>
      </c>
      <c r="C2839" s="108" t="s">
        <v>38</v>
      </c>
      <c r="D2839" s="108" t="s">
        <v>143</v>
      </c>
      <c r="E2839" s="108" t="s">
        <v>10</v>
      </c>
      <c r="F2839" s="116">
        <v>878</v>
      </c>
      <c r="G2839" s="108" t="s">
        <v>72</v>
      </c>
      <c r="H2839" s="108" t="str">
        <f t="shared" si="216"/>
        <v>Tahuya River</v>
      </c>
      <c r="I2839" s="108" t="str">
        <f>IFERROR(VLOOKUP(H2839,LUTs!$A$1:$C$73,2,FALSE),"NA")</f>
        <v>Mason</v>
      </c>
      <c r="J2839" s="108" t="str">
        <f>IFERROR(VLOOKUP(H2839,LUTs!$A$1:$C$73,3,FALSE),"NA")</f>
        <v>4 Hood Canal</v>
      </c>
      <c r="K2839" s="108" t="s">
        <v>22</v>
      </c>
      <c r="L2839" s="108" t="str">
        <f>VLOOKUP(K2839,LUTs!E$2:G$14,3,)</f>
        <v>09Mason</v>
      </c>
      <c r="M2839" s="108" t="str">
        <f>VLOOKUP($K2839,LUTs!$E$2:$H$14,2,)</f>
        <v>South Puget Sound</v>
      </c>
      <c r="N2839" s="108" t="str">
        <f>VLOOKUP($K2839,LUTs!$E$2:$H$14,4,)</f>
        <v>02South Puget Sound</v>
      </c>
      <c r="O2839" s="108">
        <v>23.447368421052602</v>
      </c>
      <c r="P2839" s="108">
        <v>80.658947368420996</v>
      </c>
      <c r="Q2839" s="108">
        <f>SUMIFS('FW_Salmon_by_Month_2010-2021'!P$2:P$3810,'FW_Salmon_by_Month_2010-2021'!$B$2:$B$3810,'Rec_raw_catch_effort_2010-2021'!$B2839,'FW_Salmon_by_Month_2010-2021'!$H$2:$H$3810,'Rec_raw_catch_effort_2010-2021'!$F2839,'FW_Salmon_by_Month_2010-2021'!$M$2:$M$3810,'Rec_raw_catch_effort_2010-2021'!$K2839)</f>
        <v>23.447368421052602</v>
      </c>
      <c r="R2839" s="109">
        <f>VLOOKUP(B2839,Readme!$A$62:$C$74,2,)*Q2839</f>
        <v>82.981185048582319</v>
      </c>
      <c r="S2839" s="140" t="str">
        <f t="shared" si="217"/>
        <v>Y</v>
      </c>
      <c r="T2839" s="154">
        <f t="shared" si="218"/>
        <v>3.4400000000000022</v>
      </c>
      <c r="U2839" s="154">
        <f t="shared" si="219"/>
        <v>3.5390404397824153</v>
      </c>
    </row>
    <row r="2840" spans="1:21" x14ac:dyDescent="0.35">
      <c r="A2840" s="108">
        <v>753</v>
      </c>
      <c r="B2840" s="108">
        <v>2013</v>
      </c>
      <c r="C2840" s="108" t="s">
        <v>38</v>
      </c>
      <c r="D2840" s="108" t="s">
        <v>143</v>
      </c>
      <c r="E2840" s="108" t="s">
        <v>10</v>
      </c>
      <c r="F2840" s="116">
        <v>878</v>
      </c>
      <c r="G2840" s="108" t="s">
        <v>72</v>
      </c>
      <c r="H2840" s="108" t="str">
        <f t="shared" si="216"/>
        <v>Tahuya River</v>
      </c>
      <c r="I2840" s="108" t="str">
        <f>IFERROR(VLOOKUP(H2840,LUTs!$A$1:$C$73,2,FALSE),"NA")</f>
        <v>Mason</v>
      </c>
      <c r="J2840" s="108" t="str">
        <f>IFERROR(VLOOKUP(H2840,LUTs!$A$1:$C$73,3,FALSE),"NA")</f>
        <v>4 Hood Canal</v>
      </c>
      <c r="K2840" s="108" t="s">
        <v>20</v>
      </c>
      <c r="L2840" s="108" t="str">
        <f>VLOOKUP(K2840,LUTs!E$2:G$14,3,)</f>
        <v>07Pierce</v>
      </c>
      <c r="M2840" s="108" t="str">
        <f>VLOOKUP($K2840,LUTs!$E$2:$H$14,2,)</f>
        <v>South Puget Sound</v>
      </c>
      <c r="N2840" s="108" t="str">
        <f>VLOOKUP($K2840,LUTs!$E$2:$H$14,4,)</f>
        <v>02South Puget Sound</v>
      </c>
      <c r="O2840" s="108">
        <v>39.078947368421098</v>
      </c>
      <c r="P2840" s="108">
        <v>134.43157894736899</v>
      </c>
      <c r="Q2840" s="108">
        <f>SUMIFS('FW_Salmon_by_Month_2010-2021'!P$2:P$3810,'FW_Salmon_by_Month_2010-2021'!$B$2:$B$3810,'Rec_raw_catch_effort_2010-2021'!$B2840,'FW_Salmon_by_Month_2010-2021'!$H$2:$H$3810,'Rec_raw_catch_effort_2010-2021'!$F2840,'FW_Salmon_by_Month_2010-2021'!$M$2:$M$3810,'Rec_raw_catch_effort_2010-2021'!$K2840)</f>
        <v>39.078947368421098</v>
      </c>
      <c r="R2840" s="109">
        <f>VLOOKUP(B2840,Readme!$A$62:$C$74,2,)*Q2840</f>
        <v>138.30197508097086</v>
      </c>
      <c r="S2840" s="140" t="str">
        <f t="shared" si="217"/>
        <v>Y</v>
      </c>
      <c r="T2840" s="154">
        <f t="shared" si="218"/>
        <v>3.4400000000000106</v>
      </c>
      <c r="U2840" s="154">
        <f t="shared" si="219"/>
        <v>3.5390404397824153</v>
      </c>
    </row>
    <row r="2841" spans="1:21" x14ac:dyDescent="0.35">
      <c r="A2841" s="108">
        <v>758</v>
      </c>
      <c r="B2841" s="108">
        <v>2014</v>
      </c>
      <c r="C2841" s="108" t="s">
        <v>38</v>
      </c>
      <c r="D2841" s="108" t="s">
        <v>143</v>
      </c>
      <c r="E2841" s="108" t="s">
        <v>10</v>
      </c>
      <c r="F2841" s="116">
        <v>878</v>
      </c>
      <c r="G2841" s="108" t="s">
        <v>72</v>
      </c>
      <c r="H2841" s="108" t="str">
        <f t="shared" si="216"/>
        <v>Tahuya River</v>
      </c>
      <c r="I2841" s="108" t="str">
        <f>IFERROR(VLOOKUP(H2841,LUTs!$A$1:$C$73,2,FALSE),"NA")</f>
        <v>Mason</v>
      </c>
      <c r="J2841" s="108" t="str">
        <f>IFERROR(VLOOKUP(H2841,LUTs!$A$1:$C$73,3,FALSE),"NA")</f>
        <v>4 Hood Canal</v>
      </c>
      <c r="K2841" s="108" t="s">
        <v>18</v>
      </c>
      <c r="L2841" s="108" t="str">
        <f>VLOOKUP(K2841,LUTs!E$2:G$14,3,)</f>
        <v>06King</v>
      </c>
      <c r="M2841" s="108" t="str">
        <f>VLOOKUP($K2841,LUTs!$E$2:$H$14,2,)</f>
        <v>South Puget Sound</v>
      </c>
      <c r="N2841" s="108" t="str">
        <f>VLOOKUP($K2841,LUTs!$E$2:$H$14,4,)</f>
        <v>02South Puget Sound</v>
      </c>
      <c r="O2841" s="108">
        <v>9.1333333333333293</v>
      </c>
      <c r="P2841" s="108">
        <v>79.003333333333302</v>
      </c>
      <c r="Q2841" s="108">
        <f>SUMIFS('FW_Salmon_by_Month_2010-2021'!P$2:P$3810,'FW_Salmon_by_Month_2010-2021'!$B$2:$B$3810,'Rec_raw_catch_effort_2010-2021'!$B2841,'FW_Salmon_by_Month_2010-2021'!$H$2:$H$3810,'Rec_raw_catch_effort_2010-2021'!$F2841,'FW_Salmon_by_Month_2010-2021'!$M$2:$M$3810,'Rec_raw_catch_effort_2010-2021'!$K2841)</f>
        <v>9.1333333333333293</v>
      </c>
      <c r="R2841" s="109">
        <f>VLOOKUP(B2841,Readme!$A$62:$C$74,2,)*Q2841</f>
        <v>44.018601457567286</v>
      </c>
      <c r="S2841" s="140" t="str">
        <f t="shared" si="217"/>
        <v>Y</v>
      </c>
      <c r="T2841" s="154">
        <f t="shared" si="218"/>
        <v>8.65</v>
      </c>
      <c r="U2841" s="154">
        <f t="shared" si="219"/>
        <v>4.8195549041132084</v>
      </c>
    </row>
    <row r="2842" spans="1:21" x14ac:dyDescent="0.35">
      <c r="A2842" s="108">
        <v>761</v>
      </c>
      <c r="B2842" s="108">
        <v>2014</v>
      </c>
      <c r="C2842" s="108" t="s">
        <v>38</v>
      </c>
      <c r="D2842" s="108" t="s">
        <v>143</v>
      </c>
      <c r="E2842" s="108" t="s">
        <v>10</v>
      </c>
      <c r="F2842" s="116">
        <v>878</v>
      </c>
      <c r="G2842" s="108" t="s">
        <v>72</v>
      </c>
      <c r="H2842" s="108" t="str">
        <f t="shared" si="216"/>
        <v>Tahuya River</v>
      </c>
      <c r="I2842" s="108" t="str">
        <f>IFERROR(VLOOKUP(H2842,LUTs!$A$1:$C$73,2,FALSE),"NA")</f>
        <v>Mason</v>
      </c>
      <c r="J2842" s="108" t="str">
        <f>IFERROR(VLOOKUP(H2842,LUTs!$A$1:$C$73,3,FALSE),"NA")</f>
        <v>4 Hood Canal</v>
      </c>
      <c r="K2842" s="108" t="s">
        <v>23</v>
      </c>
      <c r="L2842" s="108" t="str">
        <f>VLOOKUP(K2842,LUTs!E$2:G$14,3,)</f>
        <v>10Kitsap</v>
      </c>
      <c r="M2842" s="108" t="str">
        <f>VLOOKUP($K2842,LUTs!$E$2:$H$14,2,)</f>
        <v>South Puget Sound</v>
      </c>
      <c r="N2842" s="108" t="str">
        <f>VLOOKUP($K2842,LUTs!$E$2:$H$14,4,)</f>
        <v>02South Puget Sound</v>
      </c>
      <c r="O2842" s="108">
        <v>100.466666666667</v>
      </c>
      <c r="P2842" s="108">
        <v>869.03666666667004</v>
      </c>
      <c r="Q2842" s="108">
        <f>SUMIFS('FW_Salmon_by_Month_2010-2021'!P$2:P$3810,'FW_Salmon_by_Month_2010-2021'!$B$2:$B$3810,'Rec_raw_catch_effort_2010-2021'!$B2842,'FW_Salmon_by_Month_2010-2021'!$H$2:$H$3810,'Rec_raw_catch_effort_2010-2021'!$F2842,'FW_Salmon_by_Month_2010-2021'!$M$2:$M$3810,'Rec_raw_catch_effort_2010-2021'!$K2842)</f>
        <v>100.466666666667</v>
      </c>
      <c r="R2842" s="109">
        <f>VLOOKUP(B2842,Readme!$A$62:$C$74,2,)*Q2842</f>
        <v>484.2046160332419</v>
      </c>
      <c r="S2842" s="140" t="str">
        <f t="shared" si="217"/>
        <v>Y</v>
      </c>
      <c r="T2842" s="154">
        <f t="shared" si="218"/>
        <v>8.6500000000000057</v>
      </c>
      <c r="U2842" s="154">
        <f t="shared" si="219"/>
        <v>4.8195549041132084</v>
      </c>
    </row>
    <row r="2843" spans="1:21" x14ac:dyDescent="0.35">
      <c r="A2843" s="108">
        <v>760</v>
      </c>
      <c r="B2843" s="108">
        <v>2014</v>
      </c>
      <c r="C2843" s="108" t="s">
        <v>38</v>
      </c>
      <c r="D2843" s="108" t="s">
        <v>143</v>
      </c>
      <c r="E2843" s="108" t="s">
        <v>10</v>
      </c>
      <c r="F2843" s="116">
        <v>878</v>
      </c>
      <c r="G2843" s="108" t="s">
        <v>72</v>
      </c>
      <c r="H2843" s="108" t="str">
        <f t="shared" si="216"/>
        <v>Tahuya River</v>
      </c>
      <c r="I2843" s="108" t="str">
        <f>IFERROR(VLOOKUP(H2843,LUTs!$A$1:$C$73,2,FALSE),"NA")</f>
        <v>Mason</v>
      </c>
      <c r="J2843" s="108" t="str">
        <f>IFERROR(VLOOKUP(H2843,LUTs!$A$1:$C$73,3,FALSE),"NA")</f>
        <v>4 Hood Canal</v>
      </c>
      <c r="K2843" s="108" t="s">
        <v>22</v>
      </c>
      <c r="L2843" s="108" t="str">
        <f>VLOOKUP(K2843,LUTs!E$2:G$14,3,)</f>
        <v>09Mason</v>
      </c>
      <c r="M2843" s="108" t="str">
        <f>VLOOKUP($K2843,LUTs!$E$2:$H$14,2,)</f>
        <v>South Puget Sound</v>
      </c>
      <c r="N2843" s="108" t="str">
        <f>VLOOKUP($K2843,LUTs!$E$2:$H$14,4,)</f>
        <v>02South Puget Sound</v>
      </c>
      <c r="O2843" s="108">
        <v>18.266666666666701</v>
      </c>
      <c r="P2843" s="108">
        <v>158.006666666667</v>
      </c>
      <c r="Q2843" s="108">
        <f>SUMIFS('FW_Salmon_by_Month_2010-2021'!P$2:P$3810,'FW_Salmon_by_Month_2010-2021'!$B$2:$B$3810,'Rec_raw_catch_effort_2010-2021'!$B2843,'FW_Salmon_by_Month_2010-2021'!$H$2:$H$3810,'Rec_raw_catch_effort_2010-2021'!$F2843,'FW_Salmon_by_Month_2010-2021'!$M$2:$M$3810,'Rec_raw_catch_effort_2010-2021'!$K2843)</f>
        <v>18.266666666666701</v>
      </c>
      <c r="R2843" s="109">
        <f>VLOOKUP(B2843,Readme!$A$62:$C$74,2,)*Q2843</f>
        <v>88.03720291513477</v>
      </c>
      <c r="S2843" s="140" t="str">
        <f t="shared" si="217"/>
        <v>Y</v>
      </c>
      <c r="T2843" s="154">
        <f t="shared" si="218"/>
        <v>8.6500000000000021</v>
      </c>
      <c r="U2843" s="154">
        <f t="shared" si="219"/>
        <v>4.8195549041132084</v>
      </c>
    </row>
    <row r="2844" spans="1:21" x14ac:dyDescent="0.35">
      <c r="A2844" s="108">
        <v>759</v>
      </c>
      <c r="B2844" s="108">
        <v>2014</v>
      </c>
      <c r="C2844" s="108" t="s">
        <v>38</v>
      </c>
      <c r="D2844" s="108" t="s">
        <v>143</v>
      </c>
      <c r="E2844" s="108" t="s">
        <v>10</v>
      </c>
      <c r="F2844" s="116">
        <v>878</v>
      </c>
      <c r="G2844" s="108" t="s">
        <v>72</v>
      </c>
      <c r="H2844" s="108" t="str">
        <f t="shared" si="216"/>
        <v>Tahuya River</v>
      </c>
      <c r="I2844" s="108" t="str">
        <f>IFERROR(VLOOKUP(H2844,LUTs!$A$1:$C$73,2,FALSE),"NA")</f>
        <v>Mason</v>
      </c>
      <c r="J2844" s="108" t="str">
        <f>IFERROR(VLOOKUP(H2844,LUTs!$A$1:$C$73,3,FALSE),"NA")</f>
        <v>4 Hood Canal</v>
      </c>
      <c r="K2844" s="108" t="s">
        <v>21</v>
      </c>
      <c r="L2844" s="108" t="str">
        <f>VLOOKUP(K2844,LUTs!E$2:G$14,3,)</f>
        <v>08Thurston</v>
      </c>
      <c r="M2844" s="108" t="str">
        <f>VLOOKUP($K2844,LUTs!$E$2:$H$14,2,)</f>
        <v>South Puget Sound</v>
      </c>
      <c r="N2844" s="108" t="str">
        <f>VLOOKUP($K2844,LUTs!$E$2:$H$14,4,)</f>
        <v>02South Puget Sound</v>
      </c>
      <c r="O2844" s="108">
        <v>9.1333333333333293</v>
      </c>
      <c r="P2844" s="108">
        <v>79.003333333333302</v>
      </c>
      <c r="Q2844" s="108">
        <f>SUMIFS('FW_Salmon_by_Month_2010-2021'!P$2:P$3810,'FW_Salmon_by_Month_2010-2021'!$B$2:$B$3810,'Rec_raw_catch_effort_2010-2021'!$B2844,'FW_Salmon_by_Month_2010-2021'!$H$2:$H$3810,'Rec_raw_catch_effort_2010-2021'!$F2844,'FW_Salmon_by_Month_2010-2021'!$M$2:$M$3810,'Rec_raw_catch_effort_2010-2021'!$K2844)</f>
        <v>9.1333333333333293</v>
      </c>
      <c r="R2844" s="109">
        <f>VLOOKUP(B2844,Readme!$A$62:$C$74,2,)*Q2844</f>
        <v>44.018601457567286</v>
      </c>
      <c r="S2844" s="140" t="str">
        <f t="shared" si="217"/>
        <v>Y</v>
      </c>
      <c r="T2844" s="154">
        <f t="shared" si="218"/>
        <v>8.65</v>
      </c>
      <c r="U2844" s="154">
        <f t="shared" si="219"/>
        <v>4.8195549041132084</v>
      </c>
    </row>
    <row r="2845" spans="1:21" x14ac:dyDescent="0.35">
      <c r="A2845" s="108">
        <v>1550</v>
      </c>
      <c r="B2845" s="108">
        <v>2010</v>
      </c>
      <c r="C2845" s="108" t="s">
        <v>38</v>
      </c>
      <c r="D2845" s="108" t="s">
        <v>143</v>
      </c>
      <c r="E2845" s="108" t="s">
        <v>10</v>
      </c>
      <c r="F2845" s="116">
        <v>884</v>
      </c>
      <c r="G2845" s="108" t="s">
        <v>66</v>
      </c>
      <c r="H2845" s="108" t="str">
        <f t="shared" si="216"/>
        <v>Whatcom Creek</v>
      </c>
      <c r="I2845" s="108" t="str">
        <f>IFERROR(VLOOKUP(H2845,LUTs!$A$1:$C$73,2,FALSE),"NA")</f>
        <v>Whatcom</v>
      </c>
      <c r="J2845" s="108" t="str">
        <f>IFERROR(VLOOKUP(H2845,LUTs!$A$1:$C$73,3,FALSE),"NA")</f>
        <v>1North Puget Sound</v>
      </c>
      <c r="K2845" s="108" t="s">
        <v>17</v>
      </c>
      <c r="L2845" s="108" t="str">
        <f>VLOOKUP(K2845,LUTs!E$2:G$14,3,)</f>
        <v>04Island</v>
      </c>
      <c r="M2845" s="108" t="str">
        <f>VLOOKUP($K2845,LUTs!$E$2:$H$14,2,)</f>
        <v>North Puget Sound</v>
      </c>
      <c r="N2845" s="108" t="str">
        <f>VLOOKUP($K2845,LUTs!$E$2:$H$14,4,)</f>
        <v>01North Puget Sound</v>
      </c>
      <c r="O2845" s="108">
        <v>24.456140350877199</v>
      </c>
      <c r="P2845" s="108">
        <v>211.54561403508799</v>
      </c>
      <c r="Q2845" s="108">
        <f>SUMIFS('FW_Salmon_by_Month_2010-2021'!P$2:P$3810,'FW_Salmon_by_Month_2010-2021'!$B$2:$B$3810,'Rec_raw_catch_effort_2010-2021'!$B2845,'FW_Salmon_by_Month_2010-2021'!$H$2:$H$3810,'Rec_raw_catch_effort_2010-2021'!$F2845,'FW_Salmon_by_Month_2010-2021'!$M$2:$M$3810,'Rec_raw_catch_effort_2010-2021'!$K2845)</f>
        <v>24.5586592178771</v>
      </c>
      <c r="R2845" s="109">
        <f>VLOOKUP(B2845,Readme!$A$62:$C$74,2,)*Q2845</f>
        <v>118.36180647196463</v>
      </c>
      <c r="S2845" s="140" t="str">
        <f t="shared" si="217"/>
        <v>Y</v>
      </c>
      <c r="T2845" s="154">
        <f t="shared" si="218"/>
        <v>8.6500000000000092</v>
      </c>
      <c r="U2845" s="154">
        <f t="shared" si="219"/>
        <v>4.8195549041132084</v>
      </c>
    </row>
    <row r="2846" spans="1:21" x14ac:dyDescent="0.35">
      <c r="A2846" s="108">
        <v>1551</v>
      </c>
      <c r="B2846" s="108">
        <v>2010</v>
      </c>
      <c r="C2846" s="108" t="s">
        <v>38</v>
      </c>
      <c r="D2846" s="108" t="s">
        <v>143</v>
      </c>
      <c r="E2846" s="108" t="s">
        <v>10</v>
      </c>
      <c r="F2846" s="116">
        <v>884</v>
      </c>
      <c r="G2846" s="108" t="s">
        <v>66</v>
      </c>
      <c r="H2846" s="108" t="str">
        <f t="shared" si="216"/>
        <v>Whatcom Creek</v>
      </c>
      <c r="I2846" s="108" t="str">
        <f>IFERROR(VLOOKUP(H2846,LUTs!$A$1:$C$73,2,FALSE),"NA")</f>
        <v>Whatcom</v>
      </c>
      <c r="J2846" s="108" t="str">
        <f>IFERROR(VLOOKUP(H2846,LUTs!$A$1:$C$73,3,FALSE),"NA")</f>
        <v>1North Puget Sound</v>
      </c>
      <c r="K2846" s="108" t="s">
        <v>18</v>
      </c>
      <c r="L2846" s="108" t="str">
        <f>VLOOKUP(K2846,LUTs!E$2:G$14,3,)</f>
        <v>06King</v>
      </c>
      <c r="M2846" s="108" t="str">
        <f>VLOOKUP($K2846,LUTs!$E$2:$H$14,2,)</f>
        <v>South Puget Sound</v>
      </c>
      <c r="N2846" s="108" t="str">
        <f>VLOOKUP($K2846,LUTs!$E$2:$H$14,4,)</f>
        <v>02South Puget Sound</v>
      </c>
      <c r="O2846" s="108">
        <v>24.456140350877199</v>
      </c>
      <c r="P2846" s="108">
        <v>211.54561403508799</v>
      </c>
      <c r="Q2846" s="108">
        <f>SUMIFS('FW_Salmon_by_Month_2010-2021'!P$2:P$3810,'FW_Salmon_by_Month_2010-2021'!$B$2:$B$3810,'Rec_raw_catch_effort_2010-2021'!$B2846,'FW_Salmon_by_Month_2010-2021'!$H$2:$H$3810,'Rec_raw_catch_effort_2010-2021'!$F2846,'FW_Salmon_by_Month_2010-2021'!$M$2:$M$3810,'Rec_raw_catch_effort_2010-2021'!$K2846)</f>
        <v>18.418994413407798</v>
      </c>
      <c r="R2846" s="109">
        <f>VLOOKUP(B2846,Readme!$A$62:$C$74,2,)*Q2846</f>
        <v>88.771354853973349</v>
      </c>
      <c r="S2846" s="140" t="str">
        <f t="shared" si="217"/>
        <v>Y</v>
      </c>
      <c r="T2846" s="154">
        <f t="shared" si="218"/>
        <v>8.6500000000000092</v>
      </c>
      <c r="U2846" s="154">
        <f t="shared" si="219"/>
        <v>4.8195549041132084</v>
      </c>
    </row>
    <row r="2847" spans="1:21" x14ac:dyDescent="0.35">
      <c r="A2847" s="108">
        <v>1557</v>
      </c>
      <c r="B2847" s="108">
        <v>2010</v>
      </c>
      <c r="C2847" s="108" t="s">
        <v>38</v>
      </c>
      <c r="D2847" s="108" t="s">
        <v>143</v>
      </c>
      <c r="E2847" s="108" t="s">
        <v>10</v>
      </c>
      <c r="F2847" s="116">
        <v>884</v>
      </c>
      <c r="G2847" s="108" t="s">
        <v>66</v>
      </c>
      <c r="H2847" s="108" t="str">
        <f t="shared" si="216"/>
        <v>Whatcom Creek</v>
      </c>
      <c r="I2847" s="108" t="str">
        <f>IFERROR(VLOOKUP(H2847,LUTs!$A$1:$C$73,2,FALSE),"NA")</f>
        <v>Whatcom</v>
      </c>
      <c r="J2847" s="108" t="str">
        <f>IFERROR(VLOOKUP(H2847,LUTs!$A$1:$C$73,3,FALSE),"NA")</f>
        <v>1North Puget Sound</v>
      </c>
      <c r="K2847" s="108" t="s">
        <v>26</v>
      </c>
      <c r="L2847" s="108" t="str">
        <f>VLOOKUP(K2847,LUTs!E$2:G$14,3,)</f>
        <v>20Other</v>
      </c>
      <c r="M2847" s="108" t="str">
        <f>VLOOKUP($K2847,LUTs!$E$2:$H$14,2,)</f>
        <v>Non Puget Sound</v>
      </c>
      <c r="N2847" s="108" t="str">
        <f>VLOOKUP($K2847,LUTs!$E$2:$H$14,4,)</f>
        <v>07Non Puget Sound</v>
      </c>
      <c r="O2847" s="108">
        <v>18.342105263157901</v>
      </c>
      <c r="P2847" s="108">
        <v>158.659210526316</v>
      </c>
      <c r="Q2847" s="108">
        <f>SUMIFS('FW_Salmon_by_Month_2010-2021'!P$2:P$3810,'FW_Salmon_by_Month_2010-2021'!$B$2:$B$3810,'Rec_raw_catch_effort_2010-2021'!$B2847,'FW_Salmon_by_Month_2010-2021'!$H$2:$H$3810,'Rec_raw_catch_effort_2010-2021'!$F2847,'FW_Salmon_by_Month_2010-2021'!$M$2:$M$3810,'Rec_raw_catch_effort_2010-2021'!$K2847)</f>
        <v>18.418994413407798</v>
      </c>
      <c r="R2847" s="109">
        <f>VLOOKUP(B2847,Readme!$A$62:$C$74,2,)*Q2847</f>
        <v>88.771354853973349</v>
      </c>
      <c r="S2847" s="140" t="str">
        <f t="shared" si="217"/>
        <v>Y</v>
      </c>
      <c r="T2847" s="154">
        <f t="shared" si="218"/>
        <v>8.6500000000000092</v>
      </c>
      <c r="U2847" s="154">
        <f t="shared" si="219"/>
        <v>4.8195549041132084</v>
      </c>
    </row>
    <row r="2848" spans="1:21" x14ac:dyDescent="0.35">
      <c r="A2848" s="108">
        <v>1552</v>
      </c>
      <c r="B2848" s="108">
        <v>2010</v>
      </c>
      <c r="C2848" s="108" t="s">
        <v>38</v>
      </c>
      <c r="D2848" s="108" t="s">
        <v>143</v>
      </c>
      <c r="E2848" s="108" t="s">
        <v>10</v>
      </c>
      <c r="F2848" s="116">
        <v>884</v>
      </c>
      <c r="G2848" s="108" t="s">
        <v>66</v>
      </c>
      <c r="H2848" s="108" t="str">
        <f t="shared" si="216"/>
        <v>Whatcom Creek</v>
      </c>
      <c r="I2848" s="108" t="str">
        <f>IFERROR(VLOOKUP(H2848,LUTs!$A$1:$C$73,2,FALSE),"NA")</f>
        <v>Whatcom</v>
      </c>
      <c r="J2848" s="108" t="str">
        <f>IFERROR(VLOOKUP(H2848,LUTs!$A$1:$C$73,3,FALSE),"NA")</f>
        <v>1North Puget Sound</v>
      </c>
      <c r="K2848" s="108" t="s">
        <v>20</v>
      </c>
      <c r="L2848" s="108" t="str">
        <f>VLOOKUP(K2848,LUTs!E$2:G$14,3,)</f>
        <v>07Pierce</v>
      </c>
      <c r="M2848" s="108" t="str">
        <f>VLOOKUP($K2848,LUTs!$E$2:$H$14,2,)</f>
        <v>South Puget Sound</v>
      </c>
      <c r="N2848" s="108" t="str">
        <f>VLOOKUP($K2848,LUTs!$E$2:$H$14,4,)</f>
        <v>02South Puget Sound</v>
      </c>
      <c r="O2848" s="108">
        <v>18.342105263157901</v>
      </c>
      <c r="P2848" s="108">
        <v>158.659210526316</v>
      </c>
      <c r="Q2848" s="108">
        <f>SUMIFS('FW_Salmon_by_Month_2010-2021'!P$2:P$3810,'FW_Salmon_by_Month_2010-2021'!$B$2:$B$3810,'Rec_raw_catch_effort_2010-2021'!$B2848,'FW_Salmon_by_Month_2010-2021'!$H$2:$H$3810,'Rec_raw_catch_effort_2010-2021'!$F2848,'FW_Salmon_by_Month_2010-2021'!$M$2:$M$3810,'Rec_raw_catch_effort_2010-2021'!$K2848)</f>
        <v>18.41886449265953</v>
      </c>
      <c r="R2848" s="109">
        <f>VLOOKUP(B2848,Readme!$A$62:$C$74,2,)*Q2848</f>
        <v>88.770728693793885</v>
      </c>
      <c r="S2848" s="140" t="str">
        <f t="shared" si="217"/>
        <v>Y</v>
      </c>
      <c r="T2848" s="154">
        <f t="shared" si="218"/>
        <v>8.6500000000000092</v>
      </c>
      <c r="U2848" s="154">
        <f t="shared" si="219"/>
        <v>4.8195549041132084</v>
      </c>
    </row>
    <row r="2849" spans="1:21" x14ac:dyDescent="0.35">
      <c r="A2849" s="108">
        <v>1548</v>
      </c>
      <c r="B2849" s="108">
        <v>2010</v>
      </c>
      <c r="C2849" s="108" t="s">
        <v>38</v>
      </c>
      <c r="D2849" s="108" t="s">
        <v>143</v>
      </c>
      <c r="E2849" s="108" t="s">
        <v>10</v>
      </c>
      <c r="F2849" s="116">
        <v>884</v>
      </c>
      <c r="G2849" s="108" t="s">
        <v>66</v>
      </c>
      <c r="H2849" s="108" t="str">
        <f t="shared" si="216"/>
        <v>Whatcom Creek</v>
      </c>
      <c r="I2849" s="108" t="str">
        <f>IFERROR(VLOOKUP(H2849,LUTs!$A$1:$C$73,2,FALSE),"NA")</f>
        <v>Whatcom</v>
      </c>
      <c r="J2849" s="108" t="str">
        <f>IFERROR(VLOOKUP(H2849,LUTs!$A$1:$C$73,3,FALSE),"NA")</f>
        <v>1North Puget Sound</v>
      </c>
      <c r="K2849" s="108" t="s">
        <v>15</v>
      </c>
      <c r="L2849" s="108" t="str">
        <f>VLOOKUP(K2849,LUTs!E$2:G$14,3,)</f>
        <v>02Skagit</v>
      </c>
      <c r="M2849" s="108" t="str">
        <f>VLOOKUP($K2849,LUTs!$E$2:$H$14,2,)</f>
        <v>North Puget Sound</v>
      </c>
      <c r="N2849" s="108" t="str">
        <f>VLOOKUP($K2849,LUTs!$E$2:$H$14,4,)</f>
        <v>01North Puget Sound</v>
      </c>
      <c r="O2849" s="108">
        <v>55.026315789473699</v>
      </c>
      <c r="P2849" s="108">
        <v>475.97763157894798</v>
      </c>
      <c r="Q2849" s="108">
        <f>SUMIFS('FW_Salmon_by_Month_2010-2021'!P$2:P$3810,'FW_Salmon_by_Month_2010-2021'!$B$2:$B$3810,'Rec_raw_catch_effort_2010-2021'!$B2849,'FW_Salmon_by_Month_2010-2021'!$H$2:$H$3810,'Rec_raw_catch_effort_2010-2021'!$F2849,'FW_Salmon_by_Month_2010-2021'!$M$2:$M$3810,'Rec_raw_catch_effort_2010-2021'!$K2849)</f>
        <v>55.256723398726805</v>
      </c>
      <c r="R2849" s="109">
        <f>VLOOKUP(B2849,Readme!$A$62:$C$74,2,)*Q2849</f>
        <v>266.31281224156083</v>
      </c>
      <c r="S2849" s="140" t="str">
        <f t="shared" si="217"/>
        <v>Y</v>
      </c>
      <c r="T2849" s="154">
        <f t="shared" si="218"/>
        <v>8.6500000000000092</v>
      </c>
      <c r="U2849" s="154">
        <f t="shared" si="219"/>
        <v>4.8195549041132084</v>
      </c>
    </row>
    <row r="2850" spans="1:21" x14ac:dyDescent="0.35">
      <c r="A2850" s="108">
        <v>1549</v>
      </c>
      <c r="B2850" s="108">
        <v>2010</v>
      </c>
      <c r="C2850" s="108" t="s">
        <v>38</v>
      </c>
      <c r="D2850" s="108" t="s">
        <v>143</v>
      </c>
      <c r="E2850" s="108" t="s">
        <v>10</v>
      </c>
      <c r="F2850" s="116">
        <v>884</v>
      </c>
      <c r="G2850" s="108" t="s">
        <v>66</v>
      </c>
      <c r="H2850" s="108" t="str">
        <f t="shared" si="216"/>
        <v>Whatcom Creek</v>
      </c>
      <c r="I2850" s="108" t="str">
        <f>IFERROR(VLOOKUP(H2850,LUTs!$A$1:$C$73,2,FALSE),"NA")</f>
        <v>Whatcom</v>
      </c>
      <c r="J2850" s="108" t="str">
        <f>IFERROR(VLOOKUP(H2850,LUTs!$A$1:$C$73,3,FALSE),"NA")</f>
        <v>1North Puget Sound</v>
      </c>
      <c r="K2850" s="108" t="s">
        <v>16</v>
      </c>
      <c r="L2850" s="108" t="str">
        <f>VLOOKUP(K2850,LUTs!E$2:G$14,3,)</f>
        <v>03Snohomish</v>
      </c>
      <c r="M2850" s="108" t="str">
        <f>VLOOKUP($K2850,LUTs!$E$2:$H$14,2,)</f>
        <v>North Puget Sound</v>
      </c>
      <c r="N2850" s="108" t="str">
        <f>VLOOKUP($K2850,LUTs!$E$2:$H$14,4,)</f>
        <v>01North Puget Sound</v>
      </c>
      <c r="O2850" s="108">
        <v>67.254385964912302</v>
      </c>
      <c r="P2850" s="108">
        <v>581.75043859649099</v>
      </c>
      <c r="Q2850" s="108">
        <f>SUMIFS('FW_Salmon_by_Month_2010-2021'!P$2:P$3810,'FW_Salmon_by_Month_2010-2021'!$B$2:$B$3810,'Rec_raw_catch_effort_2010-2021'!$B2850,'FW_Salmon_by_Month_2010-2021'!$H$2:$H$3810,'Rec_raw_catch_effort_2010-2021'!$F2850,'FW_Salmon_by_Month_2010-2021'!$M$2:$M$3810,'Rec_raw_catch_effort_2010-2021'!$K2850)</f>
        <v>67.535923086916995</v>
      </c>
      <c r="R2850" s="109">
        <f>VLOOKUP(B2850,Readme!$A$62:$C$74,2,)*Q2850</f>
        <v>325.49308931736323</v>
      </c>
      <c r="S2850" s="140" t="str">
        <f t="shared" si="217"/>
        <v>Y</v>
      </c>
      <c r="T2850" s="154">
        <f t="shared" si="218"/>
        <v>8.6499999999999932</v>
      </c>
      <c r="U2850" s="154">
        <f t="shared" si="219"/>
        <v>4.8195549041132084</v>
      </c>
    </row>
    <row r="2851" spans="1:21" x14ac:dyDescent="0.35">
      <c r="A2851" s="108">
        <v>1547</v>
      </c>
      <c r="B2851" s="108">
        <v>2010</v>
      </c>
      <c r="C2851" s="108" t="s">
        <v>38</v>
      </c>
      <c r="D2851" s="108" t="s">
        <v>143</v>
      </c>
      <c r="E2851" s="108" t="s">
        <v>10</v>
      </c>
      <c r="F2851" s="116">
        <v>884</v>
      </c>
      <c r="G2851" s="108" t="s">
        <v>66</v>
      </c>
      <c r="H2851" s="108" t="str">
        <f t="shared" si="216"/>
        <v>Whatcom Creek</v>
      </c>
      <c r="I2851" s="108" t="str">
        <f>IFERROR(VLOOKUP(H2851,LUTs!$A$1:$C$73,2,FALSE),"NA")</f>
        <v>Whatcom</v>
      </c>
      <c r="J2851" s="108" t="str">
        <f>IFERROR(VLOOKUP(H2851,LUTs!$A$1:$C$73,3,FALSE),"NA")</f>
        <v>1North Puget Sound</v>
      </c>
      <c r="K2851" s="108" t="s">
        <v>13</v>
      </c>
      <c r="L2851" s="108" t="str">
        <f>VLOOKUP(K2851,LUTs!E$2:G$14,3,)</f>
        <v>01Whatcom</v>
      </c>
      <c r="M2851" s="108" t="str">
        <f>VLOOKUP($K2851,LUTs!$E$2:$H$14,2,)</f>
        <v>North Puget Sound</v>
      </c>
      <c r="N2851" s="108" t="str">
        <f>VLOOKUP($K2851,LUTs!$E$2:$H$14,4,)</f>
        <v>01North Puget Sound</v>
      </c>
      <c r="O2851" s="108">
        <v>1186.12280701754</v>
      </c>
      <c r="P2851" s="108">
        <v>10259.9622807017</v>
      </c>
      <c r="Q2851" s="108">
        <f>SUMIFS('FW_Salmon_by_Month_2010-2021'!P$2:P$3810,'FW_Salmon_by_Month_2010-2021'!$B$2:$B$3810,'Rec_raw_catch_effort_2010-2021'!$B2851,'FW_Salmon_by_Month_2010-2021'!$H$2:$H$3810,'Rec_raw_catch_effort_2010-2021'!$F2851,'FW_Salmon_by_Month_2010-2021'!$M$2:$M$3810,'Rec_raw_catch_effort_2010-2021'!$K2851)</f>
        <v>1191.391840977004</v>
      </c>
      <c r="R2851" s="109">
        <f>VLOOKUP(B2851,Readme!$A$62:$C$74,2,)*Q2851</f>
        <v>5741.9783899011836</v>
      </c>
      <c r="S2851" s="140" t="str">
        <f t="shared" si="217"/>
        <v>Y</v>
      </c>
      <c r="T2851" s="154">
        <f t="shared" si="218"/>
        <v>8.6499999999999826</v>
      </c>
      <c r="U2851" s="154">
        <f t="shared" si="219"/>
        <v>4.8195549041132084</v>
      </c>
    </row>
    <row r="2852" spans="1:21" x14ac:dyDescent="0.35">
      <c r="A2852" s="108">
        <v>1707</v>
      </c>
      <c r="B2852" s="108">
        <v>2011</v>
      </c>
      <c r="C2852" s="108" t="s">
        <v>38</v>
      </c>
      <c r="D2852" s="108" t="s">
        <v>143</v>
      </c>
      <c r="E2852" s="108" t="s">
        <v>10</v>
      </c>
      <c r="F2852" s="116">
        <v>884</v>
      </c>
      <c r="G2852" s="108" t="s">
        <v>66</v>
      </c>
      <c r="H2852" s="108" t="str">
        <f t="shared" si="216"/>
        <v>Whatcom Creek</v>
      </c>
      <c r="I2852" s="108" t="str">
        <f>IFERROR(VLOOKUP(H2852,LUTs!$A$1:$C$73,2,FALSE),"NA")</f>
        <v>Whatcom</v>
      </c>
      <c r="J2852" s="108" t="str">
        <f>IFERROR(VLOOKUP(H2852,LUTs!$A$1:$C$73,3,FALSE),"NA")</f>
        <v>1North Puget Sound</v>
      </c>
      <c r="K2852" s="108" t="s">
        <v>17</v>
      </c>
      <c r="L2852" s="108" t="str">
        <f>VLOOKUP(K2852,LUTs!E$2:G$14,3,)</f>
        <v>04Island</v>
      </c>
      <c r="M2852" s="108" t="str">
        <f>VLOOKUP($K2852,LUTs!$E$2:$H$14,2,)</f>
        <v>North Puget Sound</v>
      </c>
      <c r="N2852" s="108" t="str">
        <f>VLOOKUP($K2852,LUTs!$E$2:$H$14,4,)</f>
        <v>01North Puget Sound</v>
      </c>
      <c r="O2852" s="108">
        <v>21.696000000000002</v>
      </c>
      <c r="P2852" s="108">
        <v>74.634240000000005</v>
      </c>
      <c r="Q2852" s="108">
        <f>SUMIFS('FW_Salmon_by_Month_2010-2021'!P$2:P$3810,'FW_Salmon_by_Month_2010-2021'!$B$2:$B$3810,'Rec_raw_catch_effort_2010-2021'!$B2852,'FW_Salmon_by_Month_2010-2021'!$H$2:$H$3810,'Rec_raw_catch_effort_2010-2021'!$F2852,'FW_Salmon_by_Month_2010-2021'!$M$2:$M$3810,'Rec_raw_catch_effort_2010-2021'!$K2852)</f>
        <v>22.837499999999999</v>
      </c>
      <c r="R2852" s="109">
        <f>VLOOKUP(B2852,Readme!$A$62:$C$74,2,)*Q2852</f>
        <v>80.822836043530899</v>
      </c>
      <c r="S2852" s="140" t="str">
        <f t="shared" si="217"/>
        <v>Y</v>
      </c>
      <c r="T2852" s="154">
        <f t="shared" si="218"/>
        <v>3.44</v>
      </c>
      <c r="U2852" s="154">
        <f t="shared" si="219"/>
        <v>3.5390404397824149</v>
      </c>
    </row>
    <row r="2853" spans="1:21" x14ac:dyDescent="0.35">
      <c r="A2853" s="108">
        <v>1708</v>
      </c>
      <c r="B2853" s="108">
        <v>2011</v>
      </c>
      <c r="C2853" s="108" t="s">
        <v>38</v>
      </c>
      <c r="D2853" s="108" t="s">
        <v>143</v>
      </c>
      <c r="E2853" s="108" t="s">
        <v>10</v>
      </c>
      <c r="F2853" s="116">
        <v>884</v>
      </c>
      <c r="G2853" s="108" t="s">
        <v>66</v>
      </c>
      <c r="H2853" s="108" t="str">
        <f t="shared" si="216"/>
        <v>Whatcom Creek</v>
      </c>
      <c r="I2853" s="108" t="str">
        <f>IFERROR(VLOOKUP(H2853,LUTs!$A$1:$C$73,2,FALSE),"NA")</f>
        <v>Whatcom</v>
      </c>
      <c r="J2853" s="108" t="str">
        <f>IFERROR(VLOOKUP(H2853,LUTs!$A$1:$C$73,3,FALSE),"NA")</f>
        <v>1North Puget Sound</v>
      </c>
      <c r="K2853" s="108" t="s">
        <v>18</v>
      </c>
      <c r="L2853" s="108" t="str">
        <f>VLOOKUP(K2853,LUTs!E$2:G$14,3,)</f>
        <v>06King</v>
      </c>
      <c r="M2853" s="108" t="str">
        <f>VLOOKUP($K2853,LUTs!$E$2:$H$14,2,)</f>
        <v>South Puget Sound</v>
      </c>
      <c r="N2853" s="108" t="str">
        <f>VLOOKUP($K2853,LUTs!$E$2:$H$14,4,)</f>
        <v>02South Puget Sound</v>
      </c>
      <c r="O2853" s="108">
        <v>14.464</v>
      </c>
      <c r="P2853" s="108">
        <v>49.756160000000001</v>
      </c>
      <c r="Q2853" s="108">
        <f>SUMIFS('FW_Salmon_by_Month_2010-2021'!P$2:P$3810,'FW_Salmon_by_Month_2010-2021'!$B$2:$B$3810,'Rec_raw_catch_effort_2010-2021'!$B2853,'FW_Salmon_by_Month_2010-2021'!$H$2:$H$3810,'Rec_raw_catch_effort_2010-2021'!$F2853,'FW_Salmon_by_Month_2010-2021'!$M$2:$M$3810,'Rec_raw_catch_effort_2010-2021'!$K2853)</f>
        <v>14.75</v>
      </c>
      <c r="R2853" s="109">
        <f>VLOOKUP(B2853,Readme!$A$62:$C$74,2,)*Q2853</f>
        <v>52.200846486790624</v>
      </c>
      <c r="S2853" s="140" t="str">
        <f t="shared" si="217"/>
        <v>Y</v>
      </c>
      <c r="T2853" s="154">
        <f t="shared" si="218"/>
        <v>3.44</v>
      </c>
      <c r="U2853" s="154">
        <f t="shared" si="219"/>
        <v>3.5390404397824153</v>
      </c>
    </row>
    <row r="2854" spans="1:21" x14ac:dyDescent="0.35">
      <c r="A2854" s="108">
        <v>1705</v>
      </c>
      <c r="B2854" s="108">
        <v>2011</v>
      </c>
      <c r="C2854" s="108" t="s">
        <v>38</v>
      </c>
      <c r="D2854" s="108" t="s">
        <v>143</v>
      </c>
      <c r="E2854" s="108" t="s">
        <v>10</v>
      </c>
      <c r="F2854" s="116">
        <v>884</v>
      </c>
      <c r="G2854" s="108" t="s">
        <v>66</v>
      </c>
      <c r="H2854" s="108" t="str">
        <f t="shared" si="216"/>
        <v>Whatcom Creek</v>
      </c>
      <c r="I2854" s="108" t="str">
        <f>IFERROR(VLOOKUP(H2854,LUTs!$A$1:$C$73,2,FALSE),"NA")</f>
        <v>Whatcom</v>
      </c>
      <c r="J2854" s="108" t="str">
        <f>IFERROR(VLOOKUP(H2854,LUTs!$A$1:$C$73,3,FALSE),"NA")</f>
        <v>1North Puget Sound</v>
      </c>
      <c r="K2854" s="108" t="s">
        <v>15</v>
      </c>
      <c r="L2854" s="108" t="str">
        <f>VLOOKUP(K2854,LUTs!E$2:G$14,3,)</f>
        <v>02Skagit</v>
      </c>
      <c r="M2854" s="108" t="str">
        <f>VLOOKUP($K2854,LUTs!$E$2:$H$14,2,)</f>
        <v>North Puget Sound</v>
      </c>
      <c r="N2854" s="108" t="str">
        <f>VLOOKUP($K2854,LUTs!$E$2:$H$14,4,)</f>
        <v>01North Puget Sound</v>
      </c>
      <c r="O2854" s="108">
        <v>101.248</v>
      </c>
      <c r="P2854" s="108">
        <v>348.29311999999999</v>
      </c>
      <c r="Q2854" s="108">
        <f>SUMIFS('FW_Salmon_by_Month_2010-2021'!P$2:P$3810,'FW_Salmon_by_Month_2010-2021'!$B$2:$B$3810,'Rec_raw_catch_effort_2010-2021'!$B2854,'FW_Salmon_by_Month_2010-2021'!$H$2:$H$3810,'Rec_raw_catch_effort_2010-2021'!$F2854,'FW_Salmon_by_Month_2010-2021'!$M$2:$M$3810,'Rec_raw_catch_effort_2010-2021'!$K2854)</f>
        <v>106.5865384615385</v>
      </c>
      <c r="R2854" s="109">
        <f>VLOOKUP(B2854,Readme!$A$62:$C$74,2,)*Q2854</f>
        <v>377.21406995180854</v>
      </c>
      <c r="S2854" s="140" t="str">
        <f t="shared" si="217"/>
        <v>Y</v>
      </c>
      <c r="T2854" s="154">
        <f t="shared" si="218"/>
        <v>3.4399999999999995</v>
      </c>
      <c r="U2854" s="154">
        <f t="shared" si="219"/>
        <v>3.5390404397824153</v>
      </c>
    </row>
    <row r="2855" spans="1:21" x14ac:dyDescent="0.35">
      <c r="A2855" s="108">
        <v>1706</v>
      </c>
      <c r="B2855" s="108">
        <v>2011</v>
      </c>
      <c r="C2855" s="108" t="s">
        <v>38</v>
      </c>
      <c r="D2855" s="108" t="s">
        <v>143</v>
      </c>
      <c r="E2855" s="108" t="s">
        <v>10</v>
      </c>
      <c r="F2855" s="116">
        <v>884</v>
      </c>
      <c r="G2855" s="108" t="s">
        <v>66</v>
      </c>
      <c r="H2855" s="108" t="str">
        <f t="shared" si="216"/>
        <v>Whatcom Creek</v>
      </c>
      <c r="I2855" s="108" t="str">
        <f>IFERROR(VLOOKUP(H2855,LUTs!$A$1:$C$73,2,FALSE),"NA")</f>
        <v>Whatcom</v>
      </c>
      <c r="J2855" s="108" t="str">
        <f>IFERROR(VLOOKUP(H2855,LUTs!$A$1:$C$73,3,FALSE),"NA")</f>
        <v>1North Puget Sound</v>
      </c>
      <c r="K2855" s="108" t="s">
        <v>16</v>
      </c>
      <c r="L2855" s="108" t="str">
        <f>VLOOKUP(K2855,LUTs!E$2:G$14,3,)</f>
        <v>03Snohomish</v>
      </c>
      <c r="M2855" s="108" t="str">
        <f>VLOOKUP($K2855,LUTs!$E$2:$H$14,2,)</f>
        <v>North Puget Sound</v>
      </c>
      <c r="N2855" s="108" t="str">
        <f>VLOOKUP($K2855,LUTs!$E$2:$H$14,4,)</f>
        <v>01North Puget Sound</v>
      </c>
      <c r="O2855" s="108">
        <v>7.2320000000000002</v>
      </c>
      <c r="P2855" s="108">
        <v>24.878080000000001</v>
      </c>
      <c r="Q2855" s="108">
        <f>SUMIFS('FW_Salmon_by_Month_2010-2021'!P$2:P$3810,'FW_Salmon_by_Month_2010-2021'!$B$2:$B$3810,'Rec_raw_catch_effort_2010-2021'!$B2855,'FW_Salmon_by_Month_2010-2021'!$H$2:$H$3810,'Rec_raw_catch_effort_2010-2021'!$F2855,'FW_Salmon_by_Month_2010-2021'!$M$2:$M$3810,'Rec_raw_catch_effort_2010-2021'!$K2855)</f>
        <v>7.6124999999999998</v>
      </c>
      <c r="R2855" s="109">
        <f>VLOOKUP(B2855,Readme!$A$62:$C$74,2,)*Q2855</f>
        <v>26.940945347843638</v>
      </c>
      <c r="S2855" s="140" t="str">
        <f t="shared" si="217"/>
        <v>Y</v>
      </c>
      <c r="T2855" s="154">
        <f t="shared" si="218"/>
        <v>3.44</v>
      </c>
      <c r="U2855" s="154">
        <f t="shared" si="219"/>
        <v>3.5390404397824153</v>
      </c>
    </row>
    <row r="2856" spans="1:21" x14ac:dyDescent="0.35">
      <c r="A2856" s="108">
        <v>1704</v>
      </c>
      <c r="B2856" s="108">
        <v>2011</v>
      </c>
      <c r="C2856" s="108" t="s">
        <v>38</v>
      </c>
      <c r="D2856" s="108" t="s">
        <v>143</v>
      </c>
      <c r="E2856" s="108" t="s">
        <v>10</v>
      </c>
      <c r="F2856" s="116">
        <v>884</v>
      </c>
      <c r="G2856" s="108" t="s">
        <v>66</v>
      </c>
      <c r="H2856" s="108" t="str">
        <f t="shared" si="216"/>
        <v>Whatcom Creek</v>
      </c>
      <c r="I2856" s="108" t="str">
        <f>IFERROR(VLOOKUP(H2856,LUTs!$A$1:$C$73,2,FALSE),"NA")</f>
        <v>Whatcom</v>
      </c>
      <c r="J2856" s="108" t="str">
        <f>IFERROR(VLOOKUP(H2856,LUTs!$A$1:$C$73,3,FALSE),"NA")</f>
        <v>1North Puget Sound</v>
      </c>
      <c r="K2856" s="108" t="s">
        <v>13</v>
      </c>
      <c r="L2856" s="108" t="str">
        <f>VLOOKUP(K2856,LUTs!E$2:G$14,3,)</f>
        <v>01Whatcom</v>
      </c>
      <c r="M2856" s="108" t="str">
        <f>VLOOKUP($K2856,LUTs!$E$2:$H$14,2,)</f>
        <v>North Puget Sound</v>
      </c>
      <c r="N2856" s="108" t="str">
        <f>VLOOKUP($K2856,LUTs!$E$2:$H$14,4,)</f>
        <v>01North Puget Sound</v>
      </c>
      <c r="O2856" s="108">
        <v>759.36</v>
      </c>
      <c r="P2856" s="108">
        <v>2612.1984000000002</v>
      </c>
      <c r="Q2856" s="108">
        <f>SUMIFS('FW_Salmon_by_Month_2010-2021'!P$2:P$3810,'FW_Salmon_by_Month_2010-2021'!$B$2:$B$3810,'Rec_raw_catch_effort_2010-2021'!$B2856,'FW_Salmon_by_Month_2010-2021'!$H$2:$H$3810,'Rec_raw_catch_effort_2010-2021'!$F2856,'FW_Salmon_by_Month_2010-2021'!$M$2:$M$3810,'Rec_raw_catch_effort_2010-2021'!$K2856)</f>
        <v>752.21346153846162</v>
      </c>
      <c r="R2856" s="109">
        <f>VLOOKUP(B2856,Readme!$A$62:$C$74,2,)*Q2856</f>
        <v>2662.1138597333302</v>
      </c>
      <c r="S2856" s="140" t="str">
        <f t="shared" si="217"/>
        <v>Y</v>
      </c>
      <c r="T2856" s="154">
        <f t="shared" si="218"/>
        <v>3.4400000000000004</v>
      </c>
      <c r="U2856" s="154">
        <f t="shared" si="219"/>
        <v>3.5390404397824153</v>
      </c>
    </row>
    <row r="2857" spans="1:21" x14ac:dyDescent="0.35">
      <c r="A2857" s="108">
        <v>1875</v>
      </c>
      <c r="B2857" s="108">
        <v>2012</v>
      </c>
      <c r="C2857" s="108" t="s">
        <v>38</v>
      </c>
      <c r="D2857" s="108" t="s">
        <v>143</v>
      </c>
      <c r="E2857" s="108" t="s">
        <v>10</v>
      </c>
      <c r="F2857" s="116">
        <v>884</v>
      </c>
      <c r="G2857" s="108" t="s">
        <v>66</v>
      </c>
      <c r="H2857" s="108" t="str">
        <f t="shared" si="216"/>
        <v>Whatcom Creek</v>
      </c>
      <c r="I2857" s="108" t="str">
        <f>IFERROR(VLOOKUP(H2857,LUTs!$A$1:$C$73,2,FALSE),"NA")</f>
        <v>Whatcom</v>
      </c>
      <c r="J2857" s="108" t="str">
        <f>IFERROR(VLOOKUP(H2857,LUTs!$A$1:$C$73,3,FALSE),"NA")</f>
        <v>1North Puget Sound</v>
      </c>
      <c r="K2857" s="108" t="s">
        <v>18</v>
      </c>
      <c r="L2857" s="108" t="str">
        <f>VLOOKUP(K2857,LUTs!E$2:G$14,3,)</f>
        <v>06King</v>
      </c>
      <c r="M2857" s="108" t="str">
        <f>VLOOKUP($K2857,LUTs!$E$2:$H$14,2,)</f>
        <v>South Puget Sound</v>
      </c>
      <c r="N2857" s="108" t="str">
        <f>VLOOKUP($K2857,LUTs!$E$2:$H$14,4,)</f>
        <v>02South Puget Sound</v>
      </c>
      <c r="O2857" s="108">
        <v>13.9384615384615</v>
      </c>
      <c r="P2857" s="108">
        <v>120.567692307692</v>
      </c>
      <c r="Q2857" s="108">
        <f>SUMIFS('FW_Salmon_by_Month_2010-2021'!P$2:P$3810,'FW_Salmon_by_Month_2010-2021'!$B$2:$B$3810,'Rec_raw_catch_effort_2010-2021'!$B2857,'FW_Salmon_by_Month_2010-2021'!$H$2:$H$3810,'Rec_raw_catch_effort_2010-2021'!$F2857,'FW_Salmon_by_Month_2010-2021'!$M$2:$M$3810,'Rec_raw_catch_effort_2010-2021'!$K2857)</f>
        <v>15.2222222222222</v>
      </c>
      <c r="R2857" s="109">
        <f>VLOOKUP(B2857,Readme!$A$62:$C$74,2,)*Q2857</f>
        <v>73.364335762612072</v>
      </c>
      <c r="S2857" s="140" t="str">
        <f t="shared" si="217"/>
        <v>Y</v>
      </c>
      <c r="T2857" s="154">
        <f t="shared" si="218"/>
        <v>8.6500000000000021</v>
      </c>
      <c r="U2857" s="154">
        <f t="shared" si="219"/>
        <v>4.8195549041132084</v>
      </c>
    </row>
    <row r="2858" spans="1:21" x14ac:dyDescent="0.35">
      <c r="A2858" s="108">
        <v>1877</v>
      </c>
      <c r="B2858" s="108">
        <v>2012</v>
      </c>
      <c r="C2858" s="108" t="s">
        <v>38</v>
      </c>
      <c r="D2858" s="108" t="s">
        <v>143</v>
      </c>
      <c r="E2858" s="108" t="s">
        <v>10</v>
      </c>
      <c r="F2858" s="116">
        <v>884</v>
      </c>
      <c r="G2858" s="108" t="s">
        <v>66</v>
      </c>
      <c r="H2858" s="108" t="str">
        <f t="shared" ref="H2858:H2921" si="220">G2858</f>
        <v>Whatcom Creek</v>
      </c>
      <c r="I2858" s="108" t="str">
        <f>IFERROR(VLOOKUP(H2858,LUTs!$A$1:$C$73,2,FALSE),"NA")</f>
        <v>Whatcom</v>
      </c>
      <c r="J2858" s="108" t="str">
        <f>IFERROR(VLOOKUP(H2858,LUTs!$A$1:$C$73,3,FALSE),"NA")</f>
        <v>1North Puget Sound</v>
      </c>
      <c r="K2858" s="108" t="s">
        <v>26</v>
      </c>
      <c r="L2858" s="108" t="str">
        <f>VLOOKUP(K2858,LUTs!E$2:G$14,3,)</f>
        <v>20Other</v>
      </c>
      <c r="M2858" s="108" t="str">
        <f>VLOOKUP($K2858,LUTs!$E$2:$H$14,2,)</f>
        <v>Non Puget Sound</v>
      </c>
      <c r="N2858" s="108" t="str">
        <f>VLOOKUP($K2858,LUTs!$E$2:$H$14,4,)</f>
        <v>07Non Puget Sound</v>
      </c>
      <c r="O2858" s="108">
        <v>27.876923076923099</v>
      </c>
      <c r="P2858" s="108">
        <v>241.13538461538499</v>
      </c>
      <c r="Q2858" s="108">
        <f>SUMIFS('FW_Salmon_by_Month_2010-2021'!P$2:P$3810,'FW_Salmon_by_Month_2010-2021'!$B$2:$B$3810,'Rec_raw_catch_effort_2010-2021'!$B2858,'FW_Salmon_by_Month_2010-2021'!$H$2:$H$3810,'Rec_raw_catch_effort_2010-2021'!$F2858,'FW_Salmon_by_Month_2010-2021'!$M$2:$M$3810,'Rec_raw_catch_effort_2010-2021'!$K2858)</f>
        <v>0</v>
      </c>
      <c r="R2858" s="109">
        <f>VLOOKUP(B2858,Readme!$A$62:$C$74,2,)*Q2858</f>
        <v>0</v>
      </c>
      <c r="S2858" s="140" t="str">
        <f t="shared" si="217"/>
        <v>Y</v>
      </c>
      <c r="T2858" s="154">
        <f t="shared" si="218"/>
        <v>8.6500000000000075</v>
      </c>
      <c r="U2858" s="154" t="str">
        <f t="shared" si="219"/>
        <v>NA</v>
      </c>
    </row>
    <row r="2859" spans="1:21" x14ac:dyDescent="0.35">
      <c r="A2859" s="108">
        <v>1876</v>
      </c>
      <c r="B2859" s="108">
        <v>2012</v>
      </c>
      <c r="C2859" s="108" t="s">
        <v>38</v>
      </c>
      <c r="D2859" s="108" t="s">
        <v>143</v>
      </c>
      <c r="E2859" s="108" t="s">
        <v>10</v>
      </c>
      <c r="F2859" s="116">
        <v>884</v>
      </c>
      <c r="G2859" s="108" t="s">
        <v>66</v>
      </c>
      <c r="H2859" s="108" t="str">
        <f t="shared" si="220"/>
        <v>Whatcom Creek</v>
      </c>
      <c r="I2859" s="108" t="str">
        <f>IFERROR(VLOOKUP(H2859,LUTs!$A$1:$C$73,2,FALSE),"NA")</f>
        <v>Whatcom</v>
      </c>
      <c r="J2859" s="108" t="str">
        <f>IFERROR(VLOOKUP(H2859,LUTs!$A$1:$C$73,3,FALSE),"NA")</f>
        <v>1North Puget Sound</v>
      </c>
      <c r="K2859" s="108" t="s">
        <v>20</v>
      </c>
      <c r="L2859" s="108" t="str">
        <f>VLOOKUP(K2859,LUTs!E$2:G$14,3,)</f>
        <v>07Pierce</v>
      </c>
      <c r="M2859" s="108" t="str">
        <f>VLOOKUP($K2859,LUTs!$E$2:$H$14,2,)</f>
        <v>South Puget Sound</v>
      </c>
      <c r="N2859" s="108" t="str">
        <f>VLOOKUP($K2859,LUTs!$E$2:$H$14,4,)</f>
        <v>02South Puget Sound</v>
      </c>
      <c r="O2859" s="108">
        <v>6.9692307692307702</v>
      </c>
      <c r="P2859" s="108">
        <v>60.283846153846198</v>
      </c>
      <c r="Q2859" s="108">
        <f>SUMIFS('FW_Salmon_by_Month_2010-2021'!P$2:P$3810,'FW_Salmon_by_Month_2010-2021'!$B$2:$B$3810,'Rec_raw_catch_effort_2010-2021'!$B2859,'FW_Salmon_by_Month_2010-2021'!$H$2:$H$3810,'Rec_raw_catch_effort_2010-2021'!$F2859,'FW_Salmon_by_Month_2010-2021'!$M$2:$M$3810,'Rec_raw_catch_effort_2010-2021'!$K2859)</f>
        <v>8.6666666666666696</v>
      </c>
      <c r="R2859" s="109">
        <f>VLOOKUP(B2859,Readme!$A$62:$C$74,2,)*Q2859</f>
        <v>41.769475835647818</v>
      </c>
      <c r="S2859" s="140" t="str">
        <f t="shared" si="217"/>
        <v>Y</v>
      </c>
      <c r="T2859" s="154">
        <f t="shared" si="218"/>
        <v>8.6500000000000057</v>
      </c>
      <c r="U2859" s="154">
        <f t="shared" si="219"/>
        <v>4.8195549041132084</v>
      </c>
    </row>
    <row r="2860" spans="1:21" x14ac:dyDescent="0.35">
      <c r="A2860" s="108">
        <v>1874</v>
      </c>
      <c r="B2860" s="108">
        <v>2012</v>
      </c>
      <c r="C2860" s="108" t="s">
        <v>38</v>
      </c>
      <c r="D2860" s="108" t="s">
        <v>143</v>
      </c>
      <c r="E2860" s="108" t="s">
        <v>10</v>
      </c>
      <c r="F2860" s="116">
        <v>884</v>
      </c>
      <c r="G2860" s="108" t="s">
        <v>66</v>
      </c>
      <c r="H2860" s="108" t="str">
        <f t="shared" si="220"/>
        <v>Whatcom Creek</v>
      </c>
      <c r="I2860" s="108" t="str">
        <f>IFERROR(VLOOKUP(H2860,LUTs!$A$1:$C$73,2,FALSE),"NA")</f>
        <v>Whatcom</v>
      </c>
      <c r="J2860" s="108" t="str">
        <f>IFERROR(VLOOKUP(H2860,LUTs!$A$1:$C$73,3,FALSE),"NA")</f>
        <v>1North Puget Sound</v>
      </c>
      <c r="K2860" s="108" t="s">
        <v>15</v>
      </c>
      <c r="L2860" s="108" t="str">
        <f>VLOOKUP(K2860,LUTs!E$2:G$14,3,)</f>
        <v>02Skagit</v>
      </c>
      <c r="M2860" s="108" t="str">
        <f>VLOOKUP($K2860,LUTs!$E$2:$H$14,2,)</f>
        <v>North Puget Sound</v>
      </c>
      <c r="N2860" s="108" t="str">
        <f>VLOOKUP($K2860,LUTs!$E$2:$H$14,4,)</f>
        <v>01North Puget Sound</v>
      </c>
      <c r="O2860" s="108">
        <v>55.753846153846197</v>
      </c>
      <c r="P2860" s="108">
        <v>482.27076923076999</v>
      </c>
      <c r="Q2860" s="108">
        <f>SUMIFS('FW_Salmon_by_Month_2010-2021'!P$2:P$3810,'FW_Salmon_by_Month_2010-2021'!$B$2:$B$3810,'Rec_raw_catch_effort_2010-2021'!$B2860,'FW_Salmon_by_Month_2010-2021'!$H$2:$H$3810,'Rec_raw_catch_effort_2010-2021'!$F2860,'FW_Salmon_by_Month_2010-2021'!$M$2:$M$3810,'Rec_raw_catch_effort_2010-2021'!$K2860)</f>
        <v>60.8888888888889</v>
      </c>
      <c r="R2860" s="109">
        <f>VLOOKUP(B2860,Readme!$A$62:$C$74,2,)*Q2860</f>
        <v>293.45734305044874</v>
      </c>
      <c r="S2860" s="140" t="str">
        <f t="shared" si="217"/>
        <v>Y</v>
      </c>
      <c r="T2860" s="154">
        <f t="shared" si="218"/>
        <v>8.6500000000000075</v>
      </c>
      <c r="U2860" s="154">
        <f t="shared" si="219"/>
        <v>4.8195549041132084</v>
      </c>
    </row>
    <row r="2861" spans="1:21" x14ac:dyDescent="0.35">
      <c r="A2861" s="108">
        <v>1873</v>
      </c>
      <c r="B2861" s="108">
        <v>2012</v>
      </c>
      <c r="C2861" s="108" t="s">
        <v>38</v>
      </c>
      <c r="D2861" s="108" t="s">
        <v>143</v>
      </c>
      <c r="E2861" s="108" t="s">
        <v>10</v>
      </c>
      <c r="F2861" s="116">
        <v>884</v>
      </c>
      <c r="G2861" s="108" t="s">
        <v>66</v>
      </c>
      <c r="H2861" s="108" t="str">
        <f t="shared" si="220"/>
        <v>Whatcom Creek</v>
      </c>
      <c r="I2861" s="108" t="str">
        <f>IFERROR(VLOOKUP(H2861,LUTs!$A$1:$C$73,2,FALSE),"NA")</f>
        <v>Whatcom</v>
      </c>
      <c r="J2861" s="108" t="str">
        <f>IFERROR(VLOOKUP(H2861,LUTs!$A$1:$C$73,3,FALSE),"NA")</f>
        <v>1North Puget Sound</v>
      </c>
      <c r="K2861" s="108" t="s">
        <v>13</v>
      </c>
      <c r="L2861" s="108" t="str">
        <f>VLOOKUP(K2861,LUTs!E$2:G$14,3,)</f>
        <v>01Whatcom</v>
      </c>
      <c r="M2861" s="108" t="str">
        <f>VLOOKUP($K2861,LUTs!$E$2:$H$14,2,)</f>
        <v>North Puget Sound</v>
      </c>
      <c r="N2861" s="108" t="str">
        <f>VLOOKUP($K2861,LUTs!$E$2:$H$14,4,)</f>
        <v>01North Puget Sound</v>
      </c>
      <c r="O2861" s="108">
        <v>348.46153846153902</v>
      </c>
      <c r="P2861" s="108">
        <v>3014.1923076923099</v>
      </c>
      <c r="Q2861" s="108">
        <f>SUMIFS('FW_Salmon_by_Month_2010-2021'!P$2:P$3810,'FW_Salmon_by_Month_2010-2021'!$B$2:$B$3810,'Rec_raw_catch_effort_2010-2021'!$B2861,'FW_Salmon_by_Month_2010-2021'!$H$2:$H$3810,'Rec_raw_catch_effort_2010-2021'!$F2861,'FW_Salmon_by_Month_2010-2021'!$M$2:$M$3810,'Rec_raw_catch_effort_2010-2021'!$K2861)</f>
        <v>368.22222222222234</v>
      </c>
      <c r="R2861" s="109">
        <f>VLOOKUP(B2861,Readme!$A$62:$C$74,2,)*Q2861</f>
        <v>1774.6672169145754</v>
      </c>
      <c r="S2861" s="140" t="str">
        <f t="shared" si="217"/>
        <v>Y</v>
      </c>
      <c r="T2861" s="154">
        <f t="shared" si="218"/>
        <v>8.6499999999999932</v>
      </c>
      <c r="U2861" s="154">
        <f t="shared" si="219"/>
        <v>4.8195549041132084</v>
      </c>
    </row>
    <row r="2862" spans="1:21" x14ac:dyDescent="0.35">
      <c r="A2862" s="108">
        <v>2027</v>
      </c>
      <c r="B2862" s="108">
        <v>2013</v>
      </c>
      <c r="C2862" s="108" t="s">
        <v>38</v>
      </c>
      <c r="D2862" s="108" t="s">
        <v>143</v>
      </c>
      <c r="E2862" s="108" t="s">
        <v>10</v>
      </c>
      <c r="F2862" s="116">
        <v>884</v>
      </c>
      <c r="G2862" s="108" t="s">
        <v>66</v>
      </c>
      <c r="H2862" s="108" t="str">
        <f t="shared" si="220"/>
        <v>Whatcom Creek</v>
      </c>
      <c r="I2862" s="108" t="str">
        <f>IFERROR(VLOOKUP(H2862,LUTs!$A$1:$C$73,2,FALSE),"NA")</f>
        <v>Whatcom</v>
      </c>
      <c r="J2862" s="108" t="str">
        <f>IFERROR(VLOOKUP(H2862,LUTs!$A$1:$C$73,3,FALSE),"NA")</f>
        <v>1North Puget Sound</v>
      </c>
      <c r="K2862" s="108" t="s">
        <v>17</v>
      </c>
      <c r="L2862" s="108" t="str">
        <f>VLOOKUP(K2862,LUTs!E$2:G$14,3,)</f>
        <v>04Island</v>
      </c>
      <c r="M2862" s="108" t="str">
        <f>VLOOKUP($K2862,LUTs!$E$2:$H$14,2,)</f>
        <v>North Puget Sound</v>
      </c>
      <c r="N2862" s="108" t="str">
        <f>VLOOKUP($K2862,LUTs!$E$2:$H$14,4,)</f>
        <v>01North Puget Sound</v>
      </c>
      <c r="O2862" s="108">
        <v>58.170305676855897</v>
      </c>
      <c r="P2862" s="108">
        <v>200.10585152838399</v>
      </c>
      <c r="Q2862" s="108">
        <f>SUMIFS('FW_Salmon_by_Month_2010-2021'!P$2:P$3810,'FW_Salmon_by_Month_2010-2021'!$B$2:$B$3810,'Rec_raw_catch_effort_2010-2021'!$B2862,'FW_Salmon_by_Month_2010-2021'!$H$2:$H$3810,'Rec_raw_catch_effort_2010-2021'!$F2862,'FW_Salmon_by_Month_2010-2021'!$M$2:$M$3810,'Rec_raw_catch_effort_2010-2021'!$K2862)</f>
        <v>64.071428571428598</v>
      </c>
      <c r="R2862" s="109">
        <f>VLOOKUP(B2862,Readme!$A$62:$C$74,2,)*Q2862</f>
        <v>226.75137674891627</v>
      </c>
      <c r="S2862" s="140" t="str">
        <f t="shared" si="217"/>
        <v>Y</v>
      </c>
      <c r="T2862" s="154">
        <f t="shared" si="218"/>
        <v>3.4399999999999951</v>
      </c>
      <c r="U2862" s="154">
        <f t="shared" si="219"/>
        <v>3.5390404397824153</v>
      </c>
    </row>
    <row r="2863" spans="1:21" x14ac:dyDescent="0.35">
      <c r="A2863" s="108">
        <v>2028</v>
      </c>
      <c r="B2863" s="108">
        <v>2013</v>
      </c>
      <c r="C2863" s="108" t="s">
        <v>38</v>
      </c>
      <c r="D2863" s="108" t="s">
        <v>143</v>
      </c>
      <c r="E2863" s="108" t="s">
        <v>10</v>
      </c>
      <c r="F2863" s="116">
        <v>884</v>
      </c>
      <c r="G2863" s="108" t="s">
        <v>66</v>
      </c>
      <c r="H2863" s="108" t="str">
        <f t="shared" si="220"/>
        <v>Whatcom Creek</v>
      </c>
      <c r="I2863" s="108" t="str">
        <f>IFERROR(VLOOKUP(H2863,LUTs!$A$1:$C$73,2,FALSE),"NA")</f>
        <v>Whatcom</v>
      </c>
      <c r="J2863" s="108" t="str">
        <f>IFERROR(VLOOKUP(H2863,LUTs!$A$1:$C$73,3,FALSE),"NA")</f>
        <v>1North Puget Sound</v>
      </c>
      <c r="K2863" s="108" t="s">
        <v>18</v>
      </c>
      <c r="L2863" s="108" t="str">
        <f>VLOOKUP(K2863,LUTs!E$2:G$14,3,)</f>
        <v>06King</v>
      </c>
      <c r="M2863" s="108" t="str">
        <f>VLOOKUP($K2863,LUTs!$E$2:$H$14,2,)</f>
        <v>South Puget Sound</v>
      </c>
      <c r="N2863" s="108" t="str">
        <f>VLOOKUP($K2863,LUTs!$E$2:$H$14,4,)</f>
        <v>02South Puget Sound</v>
      </c>
      <c r="O2863" s="108">
        <v>41.550218340611401</v>
      </c>
      <c r="P2863" s="108">
        <v>142.93275109170301</v>
      </c>
      <c r="Q2863" s="108">
        <f>SUMIFS('FW_Salmon_by_Month_2010-2021'!P$2:P$3810,'FW_Salmon_by_Month_2010-2021'!$B$2:$B$3810,'Rec_raw_catch_effort_2010-2021'!$B2863,'FW_Salmon_by_Month_2010-2021'!$H$2:$H$3810,'Rec_raw_catch_effort_2010-2021'!$F2863,'FW_Salmon_by_Month_2010-2021'!$M$2:$M$3810,'Rec_raw_catch_effort_2010-2021'!$K2863)</f>
        <v>20.234693877551031</v>
      </c>
      <c r="R2863" s="109">
        <f>VLOOKUP(B2863,Readme!$A$62:$C$74,2,)*Q2863</f>
        <v>71.611399919270752</v>
      </c>
      <c r="S2863" s="140" t="str">
        <f t="shared" si="217"/>
        <v>Y</v>
      </c>
      <c r="T2863" s="154">
        <f t="shared" si="218"/>
        <v>3.4399999999999951</v>
      </c>
      <c r="U2863" s="154">
        <f t="shared" si="219"/>
        <v>3.5390404397824158</v>
      </c>
    </row>
    <row r="2864" spans="1:21" x14ac:dyDescent="0.35">
      <c r="A2864" s="108">
        <v>2031</v>
      </c>
      <c r="B2864" s="108">
        <v>2013</v>
      </c>
      <c r="C2864" s="108" t="s">
        <v>38</v>
      </c>
      <c r="D2864" s="108" t="s">
        <v>143</v>
      </c>
      <c r="E2864" s="108" t="s">
        <v>10</v>
      </c>
      <c r="F2864" s="116">
        <v>884</v>
      </c>
      <c r="G2864" s="108" t="s">
        <v>66</v>
      </c>
      <c r="H2864" s="108" t="str">
        <f t="shared" si="220"/>
        <v>Whatcom Creek</v>
      </c>
      <c r="I2864" s="108" t="str">
        <f>IFERROR(VLOOKUP(H2864,LUTs!$A$1:$C$73,2,FALSE),"NA")</f>
        <v>Whatcom</v>
      </c>
      <c r="J2864" s="108" t="str">
        <f>IFERROR(VLOOKUP(H2864,LUTs!$A$1:$C$73,3,FALSE),"NA")</f>
        <v>1North Puget Sound</v>
      </c>
      <c r="K2864" s="108" t="s">
        <v>22</v>
      </c>
      <c r="L2864" s="108" t="str">
        <f>VLOOKUP(K2864,LUTs!E$2:G$14,3,)</f>
        <v>09Mason</v>
      </c>
      <c r="M2864" s="108" t="str">
        <f>VLOOKUP($K2864,LUTs!$E$2:$H$14,2,)</f>
        <v>South Puget Sound</v>
      </c>
      <c r="N2864" s="108" t="str">
        <f>VLOOKUP($K2864,LUTs!$E$2:$H$14,4,)</f>
        <v>02South Puget Sound</v>
      </c>
      <c r="O2864" s="108">
        <v>8.3100436681222707</v>
      </c>
      <c r="P2864" s="108">
        <v>28.586550218340602</v>
      </c>
      <c r="Q2864" s="108">
        <f>SUMIFS('FW_Salmon_by_Month_2010-2021'!P$2:P$3810,'FW_Salmon_by_Month_2010-2021'!$B$2:$B$3810,'Rec_raw_catch_effort_2010-2021'!$B2864,'FW_Salmon_by_Month_2010-2021'!$H$2:$H$3810,'Rec_raw_catch_effort_2010-2021'!$F2864,'FW_Salmon_by_Month_2010-2021'!$M$2:$M$3810,'Rec_raw_catch_effort_2010-2021'!$K2864)</f>
        <v>9.1530612244898002</v>
      </c>
      <c r="R2864" s="109">
        <f>VLOOKUP(B2864,Readme!$A$62:$C$74,2,)*Q2864</f>
        <v>32.393053821273753</v>
      </c>
      <c r="S2864" s="140" t="str">
        <f t="shared" si="217"/>
        <v>Y</v>
      </c>
      <c r="T2864" s="154">
        <f t="shared" si="218"/>
        <v>3.4399999999999991</v>
      </c>
      <c r="U2864" s="154">
        <f t="shared" si="219"/>
        <v>3.5390404397824149</v>
      </c>
    </row>
    <row r="2865" spans="1:21" x14ac:dyDescent="0.35">
      <c r="A2865" s="108">
        <v>2032</v>
      </c>
      <c r="B2865" s="108">
        <v>2013</v>
      </c>
      <c r="C2865" s="108" t="s">
        <v>38</v>
      </c>
      <c r="D2865" s="108" t="s">
        <v>143</v>
      </c>
      <c r="E2865" s="108" t="s">
        <v>10</v>
      </c>
      <c r="F2865" s="116">
        <v>884</v>
      </c>
      <c r="G2865" s="108" t="s">
        <v>66</v>
      </c>
      <c r="H2865" s="108" t="str">
        <f t="shared" si="220"/>
        <v>Whatcom Creek</v>
      </c>
      <c r="I2865" s="108" t="str">
        <f>IFERROR(VLOOKUP(H2865,LUTs!$A$1:$C$73,2,FALSE),"NA")</f>
        <v>Whatcom</v>
      </c>
      <c r="J2865" s="108" t="str">
        <f>IFERROR(VLOOKUP(H2865,LUTs!$A$1:$C$73,3,FALSE),"NA")</f>
        <v>1North Puget Sound</v>
      </c>
      <c r="K2865" s="108" t="s">
        <v>26</v>
      </c>
      <c r="L2865" s="108" t="str">
        <f>VLOOKUP(K2865,LUTs!E$2:G$14,3,)</f>
        <v>20Other</v>
      </c>
      <c r="M2865" s="108" t="str">
        <f>VLOOKUP($K2865,LUTs!$E$2:$H$14,2,)</f>
        <v>Non Puget Sound</v>
      </c>
      <c r="N2865" s="108" t="str">
        <f>VLOOKUP($K2865,LUTs!$E$2:$H$14,4,)</f>
        <v>07Non Puget Sound</v>
      </c>
      <c r="O2865" s="108">
        <v>58.170305676855897</v>
      </c>
      <c r="P2865" s="108">
        <v>200.10585152838399</v>
      </c>
      <c r="Q2865" s="108">
        <f>SUMIFS('FW_Salmon_by_Month_2010-2021'!P$2:P$3810,'FW_Salmon_by_Month_2010-2021'!$B$2:$B$3810,'Rec_raw_catch_effort_2010-2021'!$B2865,'FW_Salmon_by_Month_2010-2021'!$H$2:$H$3810,'Rec_raw_catch_effort_2010-2021'!$F2865,'FW_Salmon_by_Month_2010-2021'!$M$2:$M$3810,'Rec_raw_catch_effort_2010-2021'!$K2865)</f>
        <v>64.071428571428598</v>
      </c>
      <c r="R2865" s="109">
        <f>VLOOKUP(B2865,Readme!$A$62:$C$74,2,)*Q2865</f>
        <v>226.75137674891627</v>
      </c>
      <c r="S2865" s="140" t="str">
        <f t="shared" si="217"/>
        <v>Y</v>
      </c>
      <c r="T2865" s="154">
        <f t="shared" si="218"/>
        <v>3.4399999999999951</v>
      </c>
      <c r="U2865" s="154">
        <f t="shared" si="219"/>
        <v>3.5390404397824153</v>
      </c>
    </row>
    <row r="2866" spans="1:21" x14ac:dyDescent="0.35">
      <c r="A2866" s="108">
        <v>2029</v>
      </c>
      <c r="B2866" s="108">
        <v>2013</v>
      </c>
      <c r="C2866" s="108" t="s">
        <v>38</v>
      </c>
      <c r="D2866" s="108" t="s">
        <v>143</v>
      </c>
      <c r="E2866" s="108" t="s">
        <v>10</v>
      </c>
      <c r="F2866" s="116">
        <v>884</v>
      </c>
      <c r="G2866" s="108" t="s">
        <v>66</v>
      </c>
      <c r="H2866" s="108" t="str">
        <f t="shared" si="220"/>
        <v>Whatcom Creek</v>
      </c>
      <c r="I2866" s="108" t="str">
        <f>IFERROR(VLOOKUP(H2866,LUTs!$A$1:$C$73,2,FALSE),"NA")</f>
        <v>Whatcom</v>
      </c>
      <c r="J2866" s="108" t="str">
        <f>IFERROR(VLOOKUP(H2866,LUTs!$A$1:$C$73,3,FALSE),"NA")</f>
        <v>1North Puget Sound</v>
      </c>
      <c r="K2866" s="108" t="s">
        <v>20</v>
      </c>
      <c r="L2866" s="108" t="str">
        <f>VLOOKUP(K2866,LUTs!E$2:G$14,3,)</f>
        <v>07Pierce</v>
      </c>
      <c r="M2866" s="108" t="str">
        <f>VLOOKUP($K2866,LUTs!$E$2:$H$14,2,)</f>
        <v>South Puget Sound</v>
      </c>
      <c r="N2866" s="108" t="str">
        <f>VLOOKUP($K2866,LUTs!$E$2:$H$14,4,)</f>
        <v>02South Puget Sound</v>
      </c>
      <c r="O2866" s="108">
        <v>16.620087336244499</v>
      </c>
      <c r="P2866" s="108">
        <v>57.173100436681104</v>
      </c>
      <c r="Q2866" s="108">
        <f>SUMIFS('FW_Salmon_by_Month_2010-2021'!P$2:P$3810,'FW_Salmon_by_Month_2010-2021'!$B$2:$B$3810,'Rec_raw_catch_effort_2010-2021'!$B2866,'FW_Salmon_by_Month_2010-2021'!$H$2:$H$3810,'Rec_raw_catch_effort_2010-2021'!$F2866,'FW_Salmon_by_Month_2010-2021'!$M$2:$M$3810,'Rec_raw_catch_effort_2010-2021'!$K2866)</f>
        <v>0.64285714285714002</v>
      </c>
      <c r="R2866" s="109">
        <f>VLOOKUP(B2866,Readme!$A$62:$C$74,2,)*Q2866</f>
        <v>2.2750974255743999</v>
      </c>
      <c r="S2866" s="140" t="str">
        <f t="shared" si="217"/>
        <v>Y</v>
      </c>
      <c r="T2866" s="154">
        <f t="shared" si="218"/>
        <v>3.4400000000000017</v>
      </c>
      <c r="U2866" s="154">
        <f t="shared" si="219"/>
        <v>3.5390404397824153</v>
      </c>
    </row>
    <row r="2867" spans="1:21" x14ac:dyDescent="0.35">
      <c r="A2867" s="108">
        <v>2025</v>
      </c>
      <c r="B2867" s="108">
        <v>2013</v>
      </c>
      <c r="C2867" s="108" t="s">
        <v>38</v>
      </c>
      <c r="D2867" s="108" t="s">
        <v>143</v>
      </c>
      <c r="E2867" s="108" t="s">
        <v>10</v>
      </c>
      <c r="F2867" s="116">
        <v>884</v>
      </c>
      <c r="G2867" s="108" t="s">
        <v>66</v>
      </c>
      <c r="H2867" s="108" t="str">
        <f t="shared" si="220"/>
        <v>Whatcom Creek</v>
      </c>
      <c r="I2867" s="108" t="str">
        <f>IFERROR(VLOOKUP(H2867,LUTs!$A$1:$C$73,2,FALSE),"NA")</f>
        <v>Whatcom</v>
      </c>
      <c r="J2867" s="108" t="str">
        <f>IFERROR(VLOOKUP(H2867,LUTs!$A$1:$C$73,3,FALSE),"NA")</f>
        <v>1North Puget Sound</v>
      </c>
      <c r="K2867" s="108" t="s">
        <v>15</v>
      </c>
      <c r="L2867" s="108" t="str">
        <f>VLOOKUP(K2867,LUTs!E$2:G$14,3,)</f>
        <v>02Skagit</v>
      </c>
      <c r="M2867" s="108" t="str">
        <f>VLOOKUP($K2867,LUTs!$E$2:$H$14,2,)</f>
        <v>North Puget Sound</v>
      </c>
      <c r="N2867" s="108" t="str">
        <f>VLOOKUP($K2867,LUTs!$E$2:$H$14,4,)</f>
        <v>01North Puget Sound</v>
      </c>
      <c r="O2867" s="108">
        <v>24.9301310043668</v>
      </c>
      <c r="P2867" s="108">
        <v>85.759650655021801</v>
      </c>
      <c r="Q2867" s="108">
        <f>SUMIFS('FW_Salmon_by_Month_2010-2021'!P$2:P$3810,'FW_Salmon_by_Month_2010-2021'!$B$2:$B$3810,'Rec_raw_catch_effort_2010-2021'!$B2867,'FW_Salmon_by_Month_2010-2021'!$H$2:$H$3810,'Rec_raw_catch_effort_2010-2021'!$F2867,'FW_Salmon_by_Month_2010-2021'!$M$2:$M$3810,'Rec_raw_catch_effort_2010-2021'!$K2867)</f>
        <v>27.459183673469401</v>
      </c>
      <c r="R2867" s="109">
        <f>VLOOKUP(B2867,Readme!$A$62:$C$74,2,)*Q2867</f>
        <v>97.179161463821274</v>
      </c>
      <c r="S2867" s="140" t="str">
        <f t="shared" si="217"/>
        <v>Y</v>
      </c>
      <c r="T2867" s="154">
        <f t="shared" si="218"/>
        <v>3.4400000000000004</v>
      </c>
      <c r="U2867" s="154">
        <f t="shared" si="219"/>
        <v>3.5390404397824158</v>
      </c>
    </row>
    <row r="2868" spans="1:21" x14ac:dyDescent="0.35">
      <c r="A2868" s="108">
        <v>2026</v>
      </c>
      <c r="B2868" s="108">
        <v>2013</v>
      </c>
      <c r="C2868" s="108" t="s">
        <v>38</v>
      </c>
      <c r="D2868" s="108" t="s">
        <v>143</v>
      </c>
      <c r="E2868" s="108" t="s">
        <v>10</v>
      </c>
      <c r="F2868" s="116">
        <v>884</v>
      </c>
      <c r="G2868" s="108" t="s">
        <v>66</v>
      </c>
      <c r="H2868" s="108" t="str">
        <f t="shared" si="220"/>
        <v>Whatcom Creek</v>
      </c>
      <c r="I2868" s="108" t="str">
        <f>IFERROR(VLOOKUP(H2868,LUTs!$A$1:$C$73,2,FALSE),"NA")</f>
        <v>Whatcom</v>
      </c>
      <c r="J2868" s="108" t="str">
        <f>IFERROR(VLOOKUP(H2868,LUTs!$A$1:$C$73,3,FALSE),"NA")</f>
        <v>1North Puget Sound</v>
      </c>
      <c r="K2868" s="108" t="s">
        <v>16</v>
      </c>
      <c r="L2868" s="108" t="str">
        <f>VLOOKUP(K2868,LUTs!E$2:G$14,3,)</f>
        <v>03Snohomish</v>
      </c>
      <c r="M2868" s="108" t="str">
        <f>VLOOKUP($K2868,LUTs!$E$2:$H$14,2,)</f>
        <v>North Puget Sound</v>
      </c>
      <c r="N2868" s="108" t="str">
        <f>VLOOKUP($K2868,LUTs!$E$2:$H$14,4,)</f>
        <v>01North Puget Sound</v>
      </c>
      <c r="O2868" s="108">
        <v>166.20087336244501</v>
      </c>
      <c r="P2868" s="108">
        <v>571.73100436681102</v>
      </c>
      <c r="Q2868" s="108">
        <f>SUMIFS('FW_Salmon_by_Month_2010-2021'!P$2:P$3810,'FW_Salmon_by_Month_2010-2021'!$B$2:$B$3810,'Rec_raw_catch_effort_2010-2021'!$B2868,'FW_Salmon_by_Month_2010-2021'!$H$2:$H$3810,'Rec_raw_catch_effort_2010-2021'!$F2868,'FW_Salmon_by_Month_2010-2021'!$M$2:$M$3810,'Rec_raw_catch_effort_2010-2021'!$K2868)</f>
        <v>168.09183673469414</v>
      </c>
      <c r="R2868" s="109">
        <f>VLOOKUP(B2868,Readme!$A$62:$C$74,2,)*Q2868</f>
        <v>594.88380780138596</v>
      </c>
      <c r="S2868" s="140" t="str">
        <f t="shared" si="217"/>
        <v>Y</v>
      </c>
      <c r="T2868" s="154">
        <f t="shared" si="218"/>
        <v>3.4400000000000013</v>
      </c>
      <c r="U2868" s="154">
        <f t="shared" si="219"/>
        <v>3.5390404397824158</v>
      </c>
    </row>
    <row r="2869" spans="1:21" x14ac:dyDescent="0.35">
      <c r="A2869" s="108">
        <v>2030</v>
      </c>
      <c r="B2869" s="108">
        <v>2013</v>
      </c>
      <c r="C2869" s="108" t="s">
        <v>38</v>
      </c>
      <c r="D2869" s="108" t="s">
        <v>143</v>
      </c>
      <c r="E2869" s="108" t="s">
        <v>10</v>
      </c>
      <c r="F2869" s="116">
        <v>884</v>
      </c>
      <c r="G2869" s="108" t="s">
        <v>66</v>
      </c>
      <c r="H2869" s="108" t="str">
        <f t="shared" si="220"/>
        <v>Whatcom Creek</v>
      </c>
      <c r="I2869" s="108" t="str">
        <f>IFERROR(VLOOKUP(H2869,LUTs!$A$1:$C$73,2,FALSE),"NA")</f>
        <v>Whatcom</v>
      </c>
      <c r="J2869" s="108" t="str">
        <f>IFERROR(VLOOKUP(H2869,LUTs!$A$1:$C$73,3,FALSE),"NA")</f>
        <v>1North Puget Sound</v>
      </c>
      <c r="K2869" s="108" t="s">
        <v>21</v>
      </c>
      <c r="L2869" s="108" t="str">
        <f>VLOOKUP(K2869,LUTs!E$2:G$14,3,)</f>
        <v>08Thurston</v>
      </c>
      <c r="M2869" s="108" t="str">
        <f>VLOOKUP($K2869,LUTs!$E$2:$H$14,2,)</f>
        <v>South Puget Sound</v>
      </c>
      <c r="N2869" s="108" t="str">
        <f>VLOOKUP($K2869,LUTs!$E$2:$H$14,4,)</f>
        <v>02South Puget Sound</v>
      </c>
      <c r="O2869" s="108">
        <v>24.9301310043668</v>
      </c>
      <c r="P2869" s="108">
        <v>85.759650655021801</v>
      </c>
      <c r="Q2869" s="108">
        <f>SUMIFS('FW_Salmon_by_Month_2010-2021'!P$2:P$3810,'FW_Salmon_by_Month_2010-2021'!$B$2:$B$3810,'Rec_raw_catch_effort_2010-2021'!$B2869,'FW_Salmon_by_Month_2010-2021'!$H$2:$H$3810,'Rec_raw_catch_effort_2010-2021'!$F2869,'FW_Salmon_by_Month_2010-2021'!$M$2:$M$3810,'Rec_raw_catch_effort_2010-2021'!$K2869)</f>
        <v>18.1530612244898</v>
      </c>
      <c r="R2869" s="109">
        <f>VLOOKUP(B2869,Readme!$A$62:$C$74,2,)*Q2869</f>
        <v>64.244417779315498</v>
      </c>
      <c r="S2869" s="140" t="str">
        <f t="shared" si="217"/>
        <v>Y</v>
      </c>
      <c r="T2869" s="154">
        <f t="shared" si="218"/>
        <v>3.4400000000000004</v>
      </c>
      <c r="U2869" s="154">
        <f t="shared" si="219"/>
        <v>3.5390404397824158</v>
      </c>
    </row>
    <row r="2870" spans="1:21" x14ac:dyDescent="0.35">
      <c r="A2870" s="108">
        <v>2024</v>
      </c>
      <c r="B2870" s="108">
        <v>2013</v>
      </c>
      <c r="C2870" s="108" t="s">
        <v>38</v>
      </c>
      <c r="D2870" s="108" t="s">
        <v>143</v>
      </c>
      <c r="E2870" s="108" t="s">
        <v>10</v>
      </c>
      <c r="F2870" s="116">
        <v>884</v>
      </c>
      <c r="G2870" s="108" t="s">
        <v>66</v>
      </c>
      <c r="H2870" s="108" t="str">
        <f t="shared" si="220"/>
        <v>Whatcom Creek</v>
      </c>
      <c r="I2870" s="108" t="str">
        <f>IFERROR(VLOOKUP(H2870,LUTs!$A$1:$C$73,2,FALSE),"NA")</f>
        <v>Whatcom</v>
      </c>
      <c r="J2870" s="108" t="str">
        <f>IFERROR(VLOOKUP(H2870,LUTs!$A$1:$C$73,3,FALSE),"NA")</f>
        <v>1North Puget Sound</v>
      </c>
      <c r="K2870" s="108" t="s">
        <v>13</v>
      </c>
      <c r="L2870" s="108" t="str">
        <f>VLOOKUP(K2870,LUTs!E$2:G$14,3,)</f>
        <v>01Whatcom</v>
      </c>
      <c r="M2870" s="108" t="str">
        <f>VLOOKUP($K2870,LUTs!$E$2:$H$14,2,)</f>
        <v>North Puget Sound</v>
      </c>
      <c r="N2870" s="108" t="str">
        <f>VLOOKUP($K2870,LUTs!$E$2:$H$14,4,)</f>
        <v>01North Puget Sound</v>
      </c>
      <c r="O2870" s="108">
        <v>1504.1179039301301</v>
      </c>
      <c r="P2870" s="108">
        <v>5174.16558951965</v>
      </c>
      <c r="Q2870" s="108">
        <f>SUMIFS('FW_Salmon_by_Month_2010-2021'!P$2:P$3810,'FW_Salmon_by_Month_2010-2021'!$B$2:$B$3810,'Rec_raw_catch_effort_2010-2021'!$B2870,'FW_Salmon_by_Month_2010-2021'!$H$2:$H$3810,'Rec_raw_catch_effort_2010-2021'!$F2870,'FW_Salmon_by_Month_2010-2021'!$M$2:$M$3810,'Rec_raw_catch_effort_2010-2021'!$K2870)</f>
        <v>1531.1224489795943</v>
      </c>
      <c r="R2870" s="109">
        <f>VLOOKUP(B2870,Readme!$A$62:$C$74,2,)*Q2870</f>
        <v>5418.7042651974725</v>
      </c>
      <c r="S2870" s="140" t="str">
        <f t="shared" si="217"/>
        <v>Y</v>
      </c>
      <c r="T2870" s="154">
        <f t="shared" si="218"/>
        <v>3.4400000000000017</v>
      </c>
      <c r="U2870" s="154">
        <f t="shared" si="219"/>
        <v>3.5390404397824153</v>
      </c>
    </row>
    <row r="2871" spans="1:21" x14ac:dyDescent="0.35">
      <c r="A2871" s="108">
        <v>2171</v>
      </c>
      <c r="B2871" s="108">
        <v>2014</v>
      </c>
      <c r="C2871" s="108" t="s">
        <v>38</v>
      </c>
      <c r="D2871" s="108" t="s">
        <v>143</v>
      </c>
      <c r="E2871" s="108" t="s">
        <v>10</v>
      </c>
      <c r="F2871" s="116">
        <v>884</v>
      </c>
      <c r="G2871" s="108" t="s">
        <v>66</v>
      </c>
      <c r="H2871" s="108" t="str">
        <f t="shared" si="220"/>
        <v>Whatcom Creek</v>
      </c>
      <c r="I2871" s="108" t="str">
        <f>IFERROR(VLOOKUP(H2871,LUTs!$A$1:$C$73,2,FALSE),"NA")</f>
        <v>Whatcom</v>
      </c>
      <c r="J2871" s="108" t="str">
        <f>IFERROR(VLOOKUP(H2871,LUTs!$A$1:$C$73,3,FALSE),"NA")</f>
        <v>1North Puget Sound</v>
      </c>
      <c r="K2871" s="108" t="s">
        <v>18</v>
      </c>
      <c r="L2871" s="108" t="str">
        <f>VLOOKUP(K2871,LUTs!E$2:G$14,3,)</f>
        <v>06King</v>
      </c>
      <c r="M2871" s="108" t="str">
        <f>VLOOKUP($K2871,LUTs!$E$2:$H$14,2,)</f>
        <v>South Puget Sound</v>
      </c>
      <c r="N2871" s="108" t="str">
        <f>VLOOKUP($K2871,LUTs!$E$2:$H$14,4,)</f>
        <v>02South Puget Sound</v>
      </c>
      <c r="O2871" s="108">
        <v>43.057471264367798</v>
      </c>
      <c r="P2871" s="108">
        <v>372.44712643678099</v>
      </c>
      <c r="Q2871" s="108">
        <f>SUMIFS('FW_Salmon_by_Month_2010-2021'!P$2:P$3810,'FW_Salmon_by_Month_2010-2021'!$B$2:$B$3810,'Rec_raw_catch_effort_2010-2021'!$B2871,'FW_Salmon_by_Month_2010-2021'!$H$2:$H$3810,'Rec_raw_catch_effort_2010-2021'!$F2871,'FW_Salmon_by_Month_2010-2021'!$M$2:$M$3810,'Rec_raw_catch_effort_2010-2021'!$K2871)</f>
        <v>43.100917431192698</v>
      </c>
      <c r="R2871" s="109">
        <f>VLOOKUP(B2871,Readme!$A$62:$C$74,2,)*Q2871</f>
        <v>207.72723797728324</v>
      </c>
      <c r="S2871" s="140" t="str">
        <f t="shared" si="217"/>
        <v>Y</v>
      </c>
      <c r="T2871" s="154">
        <f t="shared" si="218"/>
        <v>8.6499999999999897</v>
      </c>
      <c r="U2871" s="154">
        <f t="shared" si="219"/>
        <v>4.8195549041132084</v>
      </c>
    </row>
    <row r="2872" spans="1:21" x14ac:dyDescent="0.35">
      <c r="A2872" s="108">
        <v>2172</v>
      </c>
      <c r="B2872" s="108">
        <v>2014</v>
      </c>
      <c r="C2872" s="108" t="s">
        <v>38</v>
      </c>
      <c r="D2872" s="108" t="s">
        <v>143</v>
      </c>
      <c r="E2872" s="108" t="s">
        <v>10</v>
      </c>
      <c r="F2872" s="116">
        <v>884</v>
      </c>
      <c r="G2872" s="108" t="s">
        <v>66</v>
      </c>
      <c r="H2872" s="108" t="str">
        <f t="shared" si="220"/>
        <v>Whatcom Creek</v>
      </c>
      <c r="I2872" s="108" t="str">
        <f>IFERROR(VLOOKUP(H2872,LUTs!$A$1:$C$73,2,FALSE),"NA")</f>
        <v>Whatcom</v>
      </c>
      <c r="J2872" s="108" t="str">
        <f>IFERROR(VLOOKUP(H2872,LUTs!$A$1:$C$73,3,FALSE),"NA")</f>
        <v>1North Puget Sound</v>
      </c>
      <c r="K2872" s="108" t="s">
        <v>26</v>
      </c>
      <c r="L2872" s="108" t="str">
        <f>VLOOKUP(K2872,LUTs!E$2:G$14,3,)</f>
        <v>20Other</v>
      </c>
      <c r="M2872" s="108" t="str">
        <f>VLOOKUP($K2872,LUTs!$E$2:$H$14,2,)</f>
        <v>Non Puget Sound</v>
      </c>
      <c r="N2872" s="108" t="str">
        <f>VLOOKUP($K2872,LUTs!$E$2:$H$14,4,)</f>
        <v>07Non Puget Sound</v>
      </c>
      <c r="O2872" s="108">
        <v>107.64367816092</v>
      </c>
      <c r="P2872" s="108">
        <v>931.11781609195805</v>
      </c>
      <c r="Q2872" s="108">
        <f>SUMIFS('FW_Salmon_by_Month_2010-2021'!P$2:P$3810,'FW_Salmon_by_Month_2010-2021'!$B$2:$B$3810,'Rec_raw_catch_effort_2010-2021'!$B2872,'FW_Salmon_by_Month_2010-2021'!$H$2:$H$3810,'Rec_raw_catch_effort_2010-2021'!$F2872,'FW_Salmon_by_Month_2010-2021'!$M$2:$M$3810,'Rec_raw_catch_effort_2010-2021'!$K2872)</f>
        <v>107.69783959751453</v>
      </c>
      <c r="R2872" s="109">
        <f>VLOOKUP(B2872,Readme!$A$62:$C$74,2,)*Q2872</f>
        <v>519.05565099459886</v>
      </c>
      <c r="S2872" s="140" t="str">
        <f t="shared" si="217"/>
        <v>Y</v>
      </c>
      <c r="T2872" s="154">
        <f t="shared" si="218"/>
        <v>8.65</v>
      </c>
      <c r="U2872" s="154">
        <f t="shared" si="219"/>
        <v>4.8195549041132084</v>
      </c>
    </row>
    <row r="2873" spans="1:21" x14ac:dyDescent="0.35">
      <c r="A2873" s="108">
        <v>2169</v>
      </c>
      <c r="B2873" s="108">
        <v>2014</v>
      </c>
      <c r="C2873" s="108" t="s">
        <v>38</v>
      </c>
      <c r="D2873" s="108" t="s">
        <v>143</v>
      </c>
      <c r="E2873" s="108" t="s">
        <v>10</v>
      </c>
      <c r="F2873" s="116">
        <v>884</v>
      </c>
      <c r="G2873" s="108" t="s">
        <v>66</v>
      </c>
      <c r="H2873" s="108" t="str">
        <f t="shared" si="220"/>
        <v>Whatcom Creek</v>
      </c>
      <c r="I2873" s="108" t="str">
        <f>IFERROR(VLOOKUP(H2873,LUTs!$A$1:$C$73,2,FALSE),"NA")</f>
        <v>Whatcom</v>
      </c>
      <c r="J2873" s="108" t="str">
        <f>IFERROR(VLOOKUP(H2873,LUTs!$A$1:$C$73,3,FALSE),"NA")</f>
        <v>1North Puget Sound</v>
      </c>
      <c r="K2873" s="108" t="s">
        <v>15</v>
      </c>
      <c r="L2873" s="108" t="str">
        <f>VLOOKUP(K2873,LUTs!E$2:G$14,3,)</f>
        <v>02Skagit</v>
      </c>
      <c r="M2873" s="108" t="str">
        <f>VLOOKUP($K2873,LUTs!$E$2:$H$14,2,)</f>
        <v>North Puget Sound</v>
      </c>
      <c r="N2873" s="108" t="str">
        <f>VLOOKUP($K2873,LUTs!$E$2:$H$14,4,)</f>
        <v>01North Puget Sound</v>
      </c>
      <c r="O2873" s="108">
        <v>57.409961685823802</v>
      </c>
      <c r="P2873" s="108">
        <v>496.59616858237598</v>
      </c>
      <c r="Q2873" s="108">
        <f>SUMIFS('FW_Salmon_by_Month_2010-2021'!P$2:P$3810,'FW_Salmon_by_Month_2010-2021'!$B$2:$B$3810,'Rec_raw_catch_effort_2010-2021'!$B2873,'FW_Salmon_by_Month_2010-2021'!$H$2:$H$3810,'Rec_raw_catch_effort_2010-2021'!$F2873,'FW_Salmon_by_Month_2010-2021'!$M$2:$M$3810,'Rec_raw_catch_effort_2010-2021'!$K2873)</f>
        <v>57.434250764525999</v>
      </c>
      <c r="R2873" s="109">
        <f>VLOOKUP(B2873,Readme!$A$62:$C$74,2,)*Q2873</f>
        <v>276.80752493623908</v>
      </c>
      <c r="S2873" s="140" t="str">
        <f t="shared" si="217"/>
        <v>Y</v>
      </c>
      <c r="T2873" s="154">
        <f t="shared" si="218"/>
        <v>8.6500000000000021</v>
      </c>
      <c r="U2873" s="154">
        <f t="shared" si="219"/>
        <v>4.8195549041132084</v>
      </c>
    </row>
    <row r="2874" spans="1:21" x14ac:dyDescent="0.35">
      <c r="A2874" s="108">
        <v>2170</v>
      </c>
      <c r="B2874" s="108">
        <v>2014</v>
      </c>
      <c r="C2874" s="108" t="s">
        <v>38</v>
      </c>
      <c r="D2874" s="108" t="s">
        <v>143</v>
      </c>
      <c r="E2874" s="108" t="s">
        <v>10</v>
      </c>
      <c r="F2874" s="116">
        <v>884</v>
      </c>
      <c r="G2874" s="108" t="s">
        <v>66</v>
      </c>
      <c r="H2874" s="108" t="str">
        <f t="shared" si="220"/>
        <v>Whatcom Creek</v>
      </c>
      <c r="I2874" s="108" t="str">
        <f>IFERROR(VLOOKUP(H2874,LUTs!$A$1:$C$73,2,FALSE),"NA")</f>
        <v>Whatcom</v>
      </c>
      <c r="J2874" s="108" t="str">
        <f>IFERROR(VLOOKUP(H2874,LUTs!$A$1:$C$73,3,FALSE),"NA")</f>
        <v>1North Puget Sound</v>
      </c>
      <c r="K2874" s="108" t="s">
        <v>16</v>
      </c>
      <c r="L2874" s="108" t="str">
        <f>VLOOKUP(K2874,LUTs!E$2:G$14,3,)</f>
        <v>03Snohomish</v>
      </c>
      <c r="M2874" s="108" t="str">
        <f>VLOOKUP($K2874,LUTs!$E$2:$H$14,2,)</f>
        <v>North Puget Sound</v>
      </c>
      <c r="N2874" s="108" t="str">
        <f>VLOOKUP($K2874,LUTs!$E$2:$H$14,4,)</f>
        <v>01North Puget Sound</v>
      </c>
      <c r="O2874" s="108">
        <v>193.758620689655</v>
      </c>
      <c r="P2874" s="108">
        <v>1676.01206896552</v>
      </c>
      <c r="Q2874" s="108">
        <f>SUMIFS('FW_Salmon_by_Month_2010-2021'!P$2:P$3810,'FW_Salmon_by_Month_2010-2021'!$B$2:$B$3810,'Rec_raw_catch_effort_2010-2021'!$B2874,'FW_Salmon_by_Month_2010-2021'!$H$2:$H$3810,'Rec_raw_catch_effort_2010-2021'!$F2874,'FW_Salmon_by_Month_2010-2021'!$M$2:$M$3810,'Rec_raw_catch_effort_2010-2021'!$K2874)</f>
        <v>193.75712735523291</v>
      </c>
      <c r="R2874" s="109">
        <f>VLOOKUP(B2874,Readme!$A$62:$C$74,2,)*Q2874</f>
        <v>933.82311335180032</v>
      </c>
      <c r="S2874" s="140" t="str">
        <f t="shared" si="217"/>
        <v>Y</v>
      </c>
      <c r="T2874" s="154">
        <f t="shared" si="218"/>
        <v>8.6500000000000217</v>
      </c>
      <c r="U2874" s="154">
        <f t="shared" si="219"/>
        <v>4.8195549041132084</v>
      </c>
    </row>
    <row r="2875" spans="1:21" x14ac:dyDescent="0.35">
      <c r="A2875" s="108">
        <v>2168</v>
      </c>
      <c r="B2875" s="108">
        <v>2014</v>
      </c>
      <c r="C2875" s="108" t="s">
        <v>38</v>
      </c>
      <c r="D2875" s="108" t="s">
        <v>143</v>
      </c>
      <c r="E2875" s="108" t="s">
        <v>10</v>
      </c>
      <c r="F2875" s="116">
        <v>884</v>
      </c>
      <c r="G2875" s="108" t="s">
        <v>66</v>
      </c>
      <c r="H2875" s="108" t="str">
        <f t="shared" si="220"/>
        <v>Whatcom Creek</v>
      </c>
      <c r="I2875" s="108" t="str">
        <f>IFERROR(VLOOKUP(H2875,LUTs!$A$1:$C$73,2,FALSE),"NA")</f>
        <v>Whatcom</v>
      </c>
      <c r="J2875" s="108" t="str">
        <f>IFERROR(VLOOKUP(H2875,LUTs!$A$1:$C$73,3,FALSE),"NA")</f>
        <v>1North Puget Sound</v>
      </c>
      <c r="K2875" s="108" t="s">
        <v>13</v>
      </c>
      <c r="L2875" s="108" t="str">
        <f>VLOOKUP(K2875,LUTs!E$2:G$14,3,)</f>
        <v>01Whatcom</v>
      </c>
      <c r="M2875" s="108" t="str">
        <f>VLOOKUP($K2875,LUTs!$E$2:$H$14,2,)</f>
        <v>North Puget Sound</v>
      </c>
      <c r="N2875" s="108" t="str">
        <f>VLOOKUP($K2875,LUTs!$E$2:$H$14,4,)</f>
        <v>01North Puget Sound</v>
      </c>
      <c r="O2875" s="108">
        <v>1471.1302681992299</v>
      </c>
      <c r="P2875" s="108">
        <v>12725.2768199233</v>
      </c>
      <c r="Q2875" s="108">
        <f>SUMIFS('FW_Salmon_by_Month_2010-2021'!P$2:P$3810,'FW_Salmon_by_Month_2010-2021'!$B$2:$B$3810,'Rec_raw_catch_effort_2010-2021'!$B2875,'FW_Salmon_by_Month_2010-2021'!$H$2:$H$3810,'Rec_raw_catch_effort_2010-2021'!$F2875,'FW_Salmon_by_Month_2010-2021'!$M$2:$M$3810,'Rec_raw_catch_effort_2010-2021'!$K2875)</f>
        <v>1471.0098648515352</v>
      </c>
      <c r="R2875" s="109">
        <f>VLOOKUP(B2875,Readme!$A$62:$C$74,2,)*Q2875</f>
        <v>7089.6128081441248</v>
      </c>
      <c r="S2875" s="140" t="str">
        <f t="shared" si="217"/>
        <v>Y</v>
      </c>
      <c r="T2875" s="154">
        <f t="shared" si="218"/>
        <v>8.6499999999999737</v>
      </c>
      <c r="U2875" s="154">
        <f t="shared" si="219"/>
        <v>4.8195549041132084</v>
      </c>
    </row>
    <row r="2876" spans="1:21" x14ac:dyDescent="0.35">
      <c r="A2876" s="108">
        <v>2296</v>
      </c>
      <c r="B2876" s="108">
        <v>2015</v>
      </c>
      <c r="C2876" s="108" t="s">
        <v>38</v>
      </c>
      <c r="D2876" s="108" t="s">
        <v>143</v>
      </c>
      <c r="E2876" s="108" t="s">
        <v>10</v>
      </c>
      <c r="F2876" s="116">
        <v>884</v>
      </c>
      <c r="G2876" s="108" t="s">
        <v>66</v>
      </c>
      <c r="H2876" s="108" t="str">
        <f t="shared" si="220"/>
        <v>Whatcom Creek</v>
      </c>
      <c r="I2876" s="108" t="str">
        <f>IFERROR(VLOOKUP(H2876,LUTs!$A$1:$C$73,2,FALSE),"NA")</f>
        <v>Whatcom</v>
      </c>
      <c r="J2876" s="108" t="str">
        <f>IFERROR(VLOOKUP(H2876,LUTs!$A$1:$C$73,3,FALSE),"NA")</f>
        <v>1North Puget Sound</v>
      </c>
      <c r="K2876" s="108" t="s">
        <v>17</v>
      </c>
      <c r="L2876" s="108" t="str">
        <f>VLOOKUP(K2876,LUTs!E$2:G$14,3,)</f>
        <v>04Island</v>
      </c>
      <c r="M2876" s="108" t="str">
        <f>VLOOKUP($K2876,LUTs!$E$2:$H$14,2,)</f>
        <v>North Puget Sound</v>
      </c>
      <c r="N2876" s="108" t="str">
        <f>VLOOKUP($K2876,LUTs!$E$2:$H$14,4,)</f>
        <v>01North Puget Sound</v>
      </c>
      <c r="O2876" s="108">
        <v>192.11267605633799</v>
      </c>
      <c r="P2876" s="108">
        <v>660.86760563380301</v>
      </c>
      <c r="Q2876" s="108">
        <f>SUMIFS('FW_Salmon_by_Month_2010-2021'!P$2:P$3810,'FW_Salmon_by_Month_2010-2021'!$B$2:$B$3810,'Rec_raw_catch_effort_2010-2021'!$B2876,'FW_Salmon_by_Month_2010-2021'!$H$2:$H$3810,'Rec_raw_catch_effort_2010-2021'!$F2876,'FW_Salmon_by_Month_2010-2021'!$M$2:$M$3810,'Rec_raw_catch_effort_2010-2021'!$K2876)</f>
        <v>196.37112010796272</v>
      </c>
      <c r="R2876" s="109">
        <f>VLOOKUP(B2876,Readme!$A$62:$C$74,2,)*Q2876</f>
        <v>694.96533526744986</v>
      </c>
      <c r="S2876" s="140" t="str">
        <f t="shared" si="217"/>
        <v>Y</v>
      </c>
      <c r="T2876" s="154">
        <f t="shared" si="218"/>
        <v>3.4400000000000017</v>
      </c>
      <c r="U2876" s="154">
        <f t="shared" si="219"/>
        <v>3.5390404397824149</v>
      </c>
    </row>
    <row r="2877" spans="1:21" x14ac:dyDescent="0.35">
      <c r="A2877" s="108">
        <v>2299</v>
      </c>
      <c r="B2877" s="108">
        <v>2015</v>
      </c>
      <c r="C2877" s="108" t="s">
        <v>38</v>
      </c>
      <c r="D2877" s="108" t="s">
        <v>143</v>
      </c>
      <c r="E2877" s="108" t="s">
        <v>10</v>
      </c>
      <c r="F2877" s="116">
        <v>884</v>
      </c>
      <c r="G2877" s="108" t="s">
        <v>66</v>
      </c>
      <c r="H2877" s="108" t="str">
        <f t="shared" si="220"/>
        <v>Whatcom Creek</v>
      </c>
      <c r="I2877" s="108" t="str">
        <f>IFERROR(VLOOKUP(H2877,LUTs!$A$1:$C$73,2,FALSE),"NA")</f>
        <v>Whatcom</v>
      </c>
      <c r="J2877" s="108" t="str">
        <f>IFERROR(VLOOKUP(H2877,LUTs!$A$1:$C$73,3,FALSE),"NA")</f>
        <v>1North Puget Sound</v>
      </c>
      <c r="K2877" s="108" t="s">
        <v>25</v>
      </c>
      <c r="L2877" s="108" t="str">
        <f>VLOOKUP(K2877,LUTs!E$2:G$14,3,)</f>
        <v>12Jefferson</v>
      </c>
      <c r="M2877" s="108" t="str">
        <f>VLOOKUP($K2877,LUTs!$E$2:$H$14,2,)</f>
        <v>Strait of Juan de Fuca</v>
      </c>
      <c r="N2877" s="108" t="str">
        <f>VLOOKUP($K2877,LUTs!$E$2:$H$14,4,)</f>
        <v>03Strait of Juan de Fuca</v>
      </c>
      <c r="O2877" s="108">
        <v>17.4647887323944</v>
      </c>
      <c r="P2877" s="108">
        <v>60.078873239436703</v>
      </c>
      <c r="Q2877" s="108">
        <f>SUMIFS('FW_Salmon_by_Month_2010-2021'!P$2:P$3810,'FW_Salmon_by_Month_2010-2021'!$B$2:$B$3810,'Rec_raw_catch_effort_2010-2021'!$B2877,'FW_Salmon_by_Month_2010-2021'!$H$2:$H$3810,'Rec_raw_catch_effort_2010-2021'!$F2877,'FW_Salmon_by_Month_2010-2021'!$M$2:$M$3810,'Rec_raw_catch_effort_2010-2021'!$K2877)</f>
        <v>17.8704453441296</v>
      </c>
      <c r="R2877" s="109">
        <f>VLOOKUP(B2877,Readme!$A$62:$C$74,2,)*Q2877</f>
        <v>63.244228749796036</v>
      </c>
      <c r="S2877" s="140" t="str">
        <f t="shared" si="217"/>
        <v>Y</v>
      </c>
      <c r="T2877" s="154">
        <f t="shared" si="218"/>
        <v>3.4399999999999982</v>
      </c>
      <c r="U2877" s="154">
        <f t="shared" si="219"/>
        <v>3.5390404397824153</v>
      </c>
    </row>
    <row r="2878" spans="1:21" x14ac:dyDescent="0.35">
      <c r="A2878" s="108">
        <v>2300</v>
      </c>
      <c r="B2878" s="108">
        <v>2015</v>
      </c>
      <c r="C2878" s="108" t="s">
        <v>38</v>
      </c>
      <c r="D2878" s="108" t="s">
        <v>143</v>
      </c>
      <c r="E2878" s="108" t="s">
        <v>10</v>
      </c>
      <c r="F2878" s="116">
        <v>884</v>
      </c>
      <c r="G2878" s="108" t="s">
        <v>66</v>
      </c>
      <c r="H2878" s="108" t="str">
        <f t="shared" si="220"/>
        <v>Whatcom Creek</v>
      </c>
      <c r="I2878" s="108" t="str">
        <f>IFERROR(VLOOKUP(H2878,LUTs!$A$1:$C$73,2,FALSE),"NA")</f>
        <v>Whatcom</v>
      </c>
      <c r="J2878" s="108" t="str">
        <f>IFERROR(VLOOKUP(H2878,LUTs!$A$1:$C$73,3,FALSE),"NA")</f>
        <v>1North Puget Sound</v>
      </c>
      <c r="K2878" s="108" t="s">
        <v>26</v>
      </c>
      <c r="L2878" s="108" t="str">
        <f>VLOOKUP(K2878,LUTs!E$2:G$14,3,)</f>
        <v>20Other</v>
      </c>
      <c r="M2878" s="108" t="str">
        <f>VLOOKUP($K2878,LUTs!$E$2:$H$14,2,)</f>
        <v>Non Puget Sound</v>
      </c>
      <c r="N2878" s="108" t="str">
        <f>VLOOKUP($K2878,LUTs!$E$2:$H$14,4,)</f>
        <v>07Non Puget Sound</v>
      </c>
      <c r="O2878" s="108">
        <v>139.718309859155</v>
      </c>
      <c r="P2878" s="108">
        <v>480.630985915493</v>
      </c>
      <c r="Q2878" s="108">
        <f>SUMIFS('FW_Salmon_by_Month_2010-2021'!P$2:P$3810,'FW_Salmon_by_Month_2010-2021'!$B$2:$B$3810,'Rec_raw_catch_effort_2010-2021'!$B2878,'FW_Salmon_by_Month_2010-2021'!$H$2:$H$3810,'Rec_raw_catch_effort_2010-2021'!$F2878,'FW_Salmon_by_Month_2010-2021'!$M$2:$M$3810,'Rec_raw_catch_effort_2010-2021'!$K2878)</f>
        <v>115.88933873144367</v>
      </c>
      <c r="R2878" s="109">
        <f>VLOOKUP(B2878,Readme!$A$62:$C$74,2,)*Q2878</f>
        <v>410.13705631022174</v>
      </c>
      <c r="S2878" s="140" t="str">
        <f t="shared" si="217"/>
        <v>Y</v>
      </c>
      <c r="T2878" s="154">
        <f t="shared" si="218"/>
        <v>3.4399999999999986</v>
      </c>
      <c r="U2878" s="154">
        <f t="shared" si="219"/>
        <v>3.5390404397824153</v>
      </c>
    </row>
    <row r="2879" spans="1:21" x14ac:dyDescent="0.35">
      <c r="A2879" s="108">
        <v>2297</v>
      </c>
      <c r="B2879" s="108">
        <v>2015</v>
      </c>
      <c r="C2879" s="108" t="s">
        <v>38</v>
      </c>
      <c r="D2879" s="108" t="s">
        <v>143</v>
      </c>
      <c r="E2879" s="108" t="s">
        <v>10</v>
      </c>
      <c r="F2879" s="116">
        <v>884</v>
      </c>
      <c r="G2879" s="108" t="s">
        <v>66</v>
      </c>
      <c r="H2879" s="108" t="str">
        <f t="shared" si="220"/>
        <v>Whatcom Creek</v>
      </c>
      <c r="I2879" s="108" t="str">
        <f>IFERROR(VLOOKUP(H2879,LUTs!$A$1:$C$73,2,FALSE),"NA")</f>
        <v>Whatcom</v>
      </c>
      <c r="J2879" s="108" t="str">
        <f>IFERROR(VLOOKUP(H2879,LUTs!$A$1:$C$73,3,FALSE),"NA")</f>
        <v>1North Puget Sound</v>
      </c>
      <c r="K2879" s="108" t="s">
        <v>20</v>
      </c>
      <c r="L2879" s="108" t="str">
        <f>VLOOKUP(K2879,LUTs!E$2:G$14,3,)</f>
        <v>07Pierce</v>
      </c>
      <c r="M2879" s="108" t="str">
        <f>VLOOKUP($K2879,LUTs!$E$2:$H$14,2,)</f>
        <v>South Puget Sound</v>
      </c>
      <c r="N2879" s="108" t="str">
        <f>VLOOKUP($K2879,LUTs!$E$2:$H$14,4,)</f>
        <v>02South Puget Sound</v>
      </c>
      <c r="O2879" s="108">
        <v>69.8591549295775</v>
      </c>
      <c r="P2879" s="108">
        <v>240.31549295774701</v>
      </c>
      <c r="Q2879" s="108">
        <f>SUMIFS('FW_Salmon_by_Month_2010-2021'!P$2:P$3810,'FW_Salmon_by_Month_2010-2021'!$B$2:$B$3810,'Rec_raw_catch_effort_2010-2021'!$B2879,'FW_Salmon_by_Month_2010-2021'!$H$2:$H$3810,'Rec_raw_catch_effort_2010-2021'!$F2879,'FW_Salmon_by_Month_2010-2021'!$M$2:$M$3810,'Rec_raw_catch_effort_2010-2021'!$K2879)</f>
        <v>70.67611336032391</v>
      </c>
      <c r="R2879" s="109">
        <f>VLOOKUP(B2879,Readme!$A$62:$C$74,2,)*Q2879</f>
        <v>250.12562330883256</v>
      </c>
      <c r="S2879" s="140" t="str">
        <f t="shared" si="217"/>
        <v>Y</v>
      </c>
      <c r="T2879" s="154">
        <f t="shared" si="218"/>
        <v>3.4400000000000057</v>
      </c>
      <c r="U2879" s="154">
        <f t="shared" si="219"/>
        <v>3.5390404397824153</v>
      </c>
    </row>
    <row r="2880" spans="1:21" x14ac:dyDescent="0.35">
      <c r="A2880" s="108">
        <v>2294</v>
      </c>
      <c r="B2880" s="108">
        <v>2015</v>
      </c>
      <c r="C2880" s="108" t="s">
        <v>38</v>
      </c>
      <c r="D2880" s="108" t="s">
        <v>143</v>
      </c>
      <c r="E2880" s="108" t="s">
        <v>10</v>
      </c>
      <c r="F2880" s="116">
        <v>884</v>
      </c>
      <c r="G2880" s="108" t="s">
        <v>66</v>
      </c>
      <c r="H2880" s="108" t="str">
        <f t="shared" si="220"/>
        <v>Whatcom Creek</v>
      </c>
      <c r="I2880" s="108" t="str">
        <f>IFERROR(VLOOKUP(H2880,LUTs!$A$1:$C$73,2,FALSE),"NA")</f>
        <v>Whatcom</v>
      </c>
      <c r="J2880" s="108" t="str">
        <f>IFERROR(VLOOKUP(H2880,LUTs!$A$1:$C$73,3,FALSE),"NA")</f>
        <v>1North Puget Sound</v>
      </c>
      <c r="K2880" s="108" t="s">
        <v>15</v>
      </c>
      <c r="L2880" s="108" t="str">
        <f>VLOOKUP(K2880,LUTs!E$2:G$14,3,)</f>
        <v>02Skagit</v>
      </c>
      <c r="M2880" s="108" t="str">
        <f>VLOOKUP($K2880,LUTs!$E$2:$H$14,2,)</f>
        <v>North Puget Sound</v>
      </c>
      <c r="N2880" s="108" t="str">
        <f>VLOOKUP($K2880,LUTs!$E$2:$H$14,4,)</f>
        <v>01North Puget Sound</v>
      </c>
      <c r="O2880" s="108">
        <v>288.16901408450701</v>
      </c>
      <c r="P2880" s="108">
        <v>991.301408450704</v>
      </c>
      <c r="Q2880" s="108">
        <f>SUMIFS('FW_Salmon_by_Month_2010-2021'!P$2:P$3810,'FW_Salmon_by_Month_2010-2021'!$B$2:$B$3810,'Rec_raw_catch_effort_2010-2021'!$B2880,'FW_Salmon_by_Month_2010-2021'!$H$2:$H$3810,'Rec_raw_catch_effort_2010-2021'!$F2880,'FW_Salmon_by_Month_2010-2021'!$M$2:$M$3810,'Rec_raw_catch_effort_2010-2021'!$K2880)</f>
        <v>294.86234817813801</v>
      </c>
      <c r="R2880" s="109">
        <f>VLOOKUP(B2880,Readme!$A$62:$C$74,2,)*Q2880</f>
        <v>1043.5297743716333</v>
      </c>
      <c r="S2880" s="140" t="str">
        <f t="shared" si="217"/>
        <v>Y</v>
      </c>
      <c r="T2880" s="154">
        <f t="shared" si="218"/>
        <v>3.4399999999999995</v>
      </c>
      <c r="U2880" s="154">
        <f t="shared" si="219"/>
        <v>3.5390404397824153</v>
      </c>
    </row>
    <row r="2881" spans="1:21" x14ac:dyDescent="0.35">
      <c r="A2881" s="108">
        <v>2295</v>
      </c>
      <c r="B2881" s="108">
        <v>2015</v>
      </c>
      <c r="C2881" s="108" t="s">
        <v>38</v>
      </c>
      <c r="D2881" s="108" t="s">
        <v>143</v>
      </c>
      <c r="E2881" s="108" t="s">
        <v>10</v>
      </c>
      <c r="F2881" s="116">
        <v>884</v>
      </c>
      <c r="G2881" s="108" t="s">
        <v>66</v>
      </c>
      <c r="H2881" s="108" t="str">
        <f t="shared" si="220"/>
        <v>Whatcom Creek</v>
      </c>
      <c r="I2881" s="108" t="str">
        <f>IFERROR(VLOOKUP(H2881,LUTs!$A$1:$C$73,2,FALSE),"NA")</f>
        <v>Whatcom</v>
      </c>
      <c r="J2881" s="108" t="str">
        <f>IFERROR(VLOOKUP(H2881,LUTs!$A$1:$C$73,3,FALSE),"NA")</f>
        <v>1North Puget Sound</v>
      </c>
      <c r="K2881" s="108" t="s">
        <v>16</v>
      </c>
      <c r="L2881" s="108" t="str">
        <f>VLOOKUP(K2881,LUTs!E$2:G$14,3,)</f>
        <v>03Snohomish</v>
      </c>
      <c r="M2881" s="108" t="str">
        <f>VLOOKUP($K2881,LUTs!$E$2:$H$14,2,)</f>
        <v>North Puget Sound</v>
      </c>
      <c r="N2881" s="108" t="str">
        <f>VLOOKUP($K2881,LUTs!$E$2:$H$14,4,)</f>
        <v>01North Puget Sound</v>
      </c>
      <c r="O2881" s="108">
        <v>139.718309859155</v>
      </c>
      <c r="P2881" s="108">
        <v>480.630985915493</v>
      </c>
      <c r="Q2881" s="108">
        <f>SUMIFS('FW_Salmon_by_Month_2010-2021'!P$2:P$3810,'FW_Salmon_by_Month_2010-2021'!$B$2:$B$3810,'Rec_raw_catch_effort_2010-2021'!$B2881,'FW_Salmon_by_Month_2010-2021'!$H$2:$H$3810,'Rec_raw_catch_effort_2010-2021'!$F2881,'FW_Salmon_by_Month_2010-2021'!$M$2:$M$3810,'Rec_raw_catch_effort_2010-2021'!$K2881)</f>
        <v>142.963562753036</v>
      </c>
      <c r="R2881" s="109">
        <f>VLOOKUP(B2881,Readme!$A$62:$C$74,2,)*Q2881</f>
        <v>505.95382999836545</v>
      </c>
      <c r="S2881" s="140" t="str">
        <f t="shared" si="217"/>
        <v>Y</v>
      </c>
      <c r="T2881" s="154">
        <f t="shared" si="218"/>
        <v>3.4399999999999986</v>
      </c>
      <c r="U2881" s="154">
        <f t="shared" si="219"/>
        <v>3.5390404397824153</v>
      </c>
    </row>
    <row r="2882" spans="1:21" x14ac:dyDescent="0.35">
      <c r="A2882" s="108">
        <v>2298</v>
      </c>
      <c r="B2882" s="108">
        <v>2015</v>
      </c>
      <c r="C2882" s="108" t="s">
        <v>38</v>
      </c>
      <c r="D2882" s="108" t="s">
        <v>143</v>
      </c>
      <c r="E2882" s="108" t="s">
        <v>10</v>
      </c>
      <c r="F2882" s="116">
        <v>884</v>
      </c>
      <c r="G2882" s="108" t="s">
        <v>66</v>
      </c>
      <c r="H2882" s="108" t="str">
        <f t="shared" si="220"/>
        <v>Whatcom Creek</v>
      </c>
      <c r="I2882" s="108" t="str">
        <f>IFERROR(VLOOKUP(H2882,LUTs!$A$1:$C$73,2,FALSE),"NA")</f>
        <v>Whatcom</v>
      </c>
      <c r="J2882" s="108" t="str">
        <f>IFERROR(VLOOKUP(H2882,LUTs!$A$1:$C$73,3,FALSE),"NA")</f>
        <v>1North Puget Sound</v>
      </c>
      <c r="K2882" s="108" t="s">
        <v>21</v>
      </c>
      <c r="L2882" s="108" t="str">
        <f>VLOOKUP(K2882,LUTs!E$2:G$14,3,)</f>
        <v>08Thurston</v>
      </c>
      <c r="M2882" s="108" t="str">
        <f>VLOOKUP($K2882,LUTs!$E$2:$H$14,2,)</f>
        <v>South Puget Sound</v>
      </c>
      <c r="N2882" s="108" t="str">
        <f>VLOOKUP($K2882,LUTs!$E$2:$H$14,4,)</f>
        <v>02South Puget Sound</v>
      </c>
      <c r="O2882" s="108">
        <v>122.253521126761</v>
      </c>
      <c r="P2882" s="108">
        <v>420.55211267605802</v>
      </c>
      <c r="Q2882" s="108">
        <f>SUMIFS('FW_Salmon_by_Month_2010-2021'!P$2:P$3810,'FW_Salmon_by_Month_2010-2021'!$B$2:$B$3810,'Rec_raw_catch_effort_2010-2021'!$B2882,'FW_Salmon_by_Month_2010-2021'!$H$2:$H$3810,'Rec_raw_catch_effort_2010-2021'!$F2882,'FW_Salmon_by_Month_2010-2021'!$M$2:$M$3810,'Rec_raw_catch_effort_2010-2021'!$K2882)</f>
        <v>125.2874493927126</v>
      </c>
      <c r="R2882" s="109">
        <f>VLOOKUP(B2882,Readme!$A$62:$C$74,2,)*Q2882</f>
        <v>443.39734999800271</v>
      </c>
      <c r="S2882" s="140" t="str">
        <f t="shared" si="217"/>
        <v>Y</v>
      </c>
      <c r="T2882" s="154">
        <f t="shared" si="218"/>
        <v>3.4400000000000013</v>
      </c>
      <c r="U2882" s="154">
        <f t="shared" si="219"/>
        <v>3.5390404397824153</v>
      </c>
    </row>
    <row r="2883" spans="1:21" x14ac:dyDescent="0.35">
      <c r="A2883" s="108">
        <v>2293</v>
      </c>
      <c r="B2883" s="108">
        <v>2015</v>
      </c>
      <c r="C2883" s="108" t="s">
        <v>38</v>
      </c>
      <c r="D2883" s="108" t="s">
        <v>143</v>
      </c>
      <c r="E2883" s="108" t="s">
        <v>10</v>
      </c>
      <c r="F2883" s="116">
        <v>884</v>
      </c>
      <c r="G2883" s="108" t="s">
        <v>66</v>
      </c>
      <c r="H2883" s="108" t="str">
        <f t="shared" si="220"/>
        <v>Whatcom Creek</v>
      </c>
      <c r="I2883" s="108" t="str">
        <f>IFERROR(VLOOKUP(H2883,LUTs!$A$1:$C$73,2,FALSE),"NA")</f>
        <v>Whatcom</v>
      </c>
      <c r="J2883" s="108" t="str">
        <f>IFERROR(VLOOKUP(H2883,LUTs!$A$1:$C$73,3,FALSE),"NA")</f>
        <v>1North Puget Sound</v>
      </c>
      <c r="K2883" s="108" t="s">
        <v>13</v>
      </c>
      <c r="L2883" s="108" t="str">
        <f>VLOOKUP(K2883,LUTs!E$2:G$14,3,)</f>
        <v>01Whatcom</v>
      </c>
      <c r="M2883" s="108" t="str">
        <f>VLOOKUP($K2883,LUTs!$E$2:$H$14,2,)</f>
        <v>North Puget Sound</v>
      </c>
      <c r="N2883" s="108" t="str">
        <f>VLOOKUP($K2883,LUTs!$E$2:$H$14,4,)</f>
        <v>01North Puget Sound</v>
      </c>
      <c r="O2883" s="108">
        <v>1510.7042253521099</v>
      </c>
      <c r="P2883" s="108">
        <v>5196.8225352112604</v>
      </c>
      <c r="Q2883" s="108">
        <f>SUMIFS('FW_Salmon_by_Month_2010-2021'!P$2:P$3810,'FW_Salmon_by_Month_2010-2021'!$B$2:$B$3810,'Rec_raw_catch_effort_2010-2021'!$B2883,'FW_Salmon_by_Month_2010-2021'!$H$2:$H$3810,'Rec_raw_catch_effort_2010-2021'!$F2883,'FW_Salmon_by_Month_2010-2021'!$M$2:$M$3810,'Rec_raw_catch_effort_2010-2021'!$K2883)</f>
        <v>1516.0796221322562</v>
      </c>
      <c r="R2883" s="109">
        <f>VLOOKUP(B2883,Readme!$A$62:$C$74,2,)*Q2883</f>
        <v>5365.4670926560984</v>
      </c>
      <c r="S2883" s="140" t="str">
        <f t="shared" ref="S2883:S2946" si="221">IF(B2883&lt;=2019,"Y","N")</f>
        <v>Y</v>
      </c>
      <c r="T2883" s="154">
        <f t="shared" ref="T2883:T2946" si="222">IFERROR(P2883/O2883,"NA")</f>
        <v>3.4400000000000017</v>
      </c>
      <c r="U2883" s="154">
        <f t="shared" ref="U2883:U2946" si="223">IFERROR(R2883/Q2883,"NA")</f>
        <v>3.5390404397824158</v>
      </c>
    </row>
    <row r="2884" spans="1:21" x14ac:dyDescent="0.35">
      <c r="A2884" s="108">
        <v>2416</v>
      </c>
      <c r="B2884" s="108">
        <v>2016</v>
      </c>
      <c r="C2884" s="108" t="s">
        <v>38</v>
      </c>
      <c r="D2884" s="108" t="s">
        <v>143</v>
      </c>
      <c r="E2884" s="108" t="s">
        <v>10</v>
      </c>
      <c r="F2884" s="116">
        <v>884</v>
      </c>
      <c r="G2884" s="108" t="s">
        <v>66</v>
      </c>
      <c r="H2884" s="108" t="str">
        <f t="shared" si="220"/>
        <v>Whatcom Creek</v>
      </c>
      <c r="I2884" s="108" t="str">
        <f>IFERROR(VLOOKUP(H2884,LUTs!$A$1:$C$73,2,FALSE),"NA")</f>
        <v>Whatcom</v>
      </c>
      <c r="J2884" s="108" t="str">
        <f>IFERROR(VLOOKUP(H2884,LUTs!$A$1:$C$73,3,FALSE),"NA")</f>
        <v>1North Puget Sound</v>
      </c>
      <c r="K2884" s="108" t="s">
        <v>17</v>
      </c>
      <c r="L2884" s="108" t="str">
        <f>VLOOKUP(K2884,LUTs!E$2:G$14,3,)</f>
        <v>04Island</v>
      </c>
      <c r="M2884" s="108" t="str">
        <f>VLOOKUP($K2884,LUTs!$E$2:$H$14,2,)</f>
        <v>North Puget Sound</v>
      </c>
      <c r="N2884" s="108" t="str">
        <f>VLOOKUP($K2884,LUTs!$E$2:$H$14,4,)</f>
        <v>01North Puget Sound</v>
      </c>
      <c r="O2884" s="108">
        <v>255.99593495935</v>
      </c>
      <c r="P2884" s="108">
        <v>2214.3648373983801</v>
      </c>
      <c r="Q2884" s="108">
        <f>SUMIFS('FW_Salmon_by_Month_2010-2021'!P$2:P$3810,'FW_Salmon_by_Month_2010-2021'!$B$2:$B$3810,'Rec_raw_catch_effort_2010-2021'!$B2884,'FW_Salmon_by_Month_2010-2021'!$H$2:$H$3810,'Rec_raw_catch_effort_2010-2021'!$F2884,'FW_Salmon_by_Month_2010-2021'!$M$2:$M$3810,'Rec_raw_catch_effort_2010-2021'!$K2884)</f>
        <v>249.03358178392949</v>
      </c>
      <c r="R2884" s="109">
        <f>VLOOKUP(B2884,Readme!$A$62:$C$74,2,)*Q2884</f>
        <v>1200.2310203756151</v>
      </c>
      <c r="S2884" s="140" t="str">
        <f t="shared" si="221"/>
        <v>Y</v>
      </c>
      <c r="T2884" s="154">
        <f t="shared" si="222"/>
        <v>8.650000000000011</v>
      </c>
      <c r="U2884" s="154">
        <f t="shared" si="223"/>
        <v>4.8195549041132084</v>
      </c>
    </row>
    <row r="2885" spans="1:21" x14ac:dyDescent="0.35">
      <c r="A2885" s="108">
        <v>2417</v>
      </c>
      <c r="B2885" s="108">
        <v>2016</v>
      </c>
      <c r="C2885" s="108" t="s">
        <v>38</v>
      </c>
      <c r="D2885" s="108" t="s">
        <v>143</v>
      </c>
      <c r="E2885" s="108" t="s">
        <v>10</v>
      </c>
      <c r="F2885" s="116">
        <v>884</v>
      </c>
      <c r="G2885" s="108" t="s">
        <v>66</v>
      </c>
      <c r="H2885" s="108" t="str">
        <f t="shared" si="220"/>
        <v>Whatcom Creek</v>
      </c>
      <c r="I2885" s="108" t="str">
        <f>IFERROR(VLOOKUP(H2885,LUTs!$A$1:$C$73,2,FALSE),"NA")</f>
        <v>Whatcom</v>
      </c>
      <c r="J2885" s="108" t="str">
        <f>IFERROR(VLOOKUP(H2885,LUTs!$A$1:$C$73,3,FALSE),"NA")</f>
        <v>1North Puget Sound</v>
      </c>
      <c r="K2885" s="108" t="s">
        <v>18</v>
      </c>
      <c r="L2885" s="108" t="str">
        <f>VLOOKUP(K2885,LUTs!E$2:G$14,3,)</f>
        <v>06King</v>
      </c>
      <c r="M2885" s="108" t="str">
        <f>VLOOKUP($K2885,LUTs!$E$2:$H$14,2,)</f>
        <v>South Puget Sound</v>
      </c>
      <c r="N2885" s="108" t="str">
        <f>VLOOKUP($K2885,LUTs!$E$2:$H$14,4,)</f>
        <v>02South Puget Sound</v>
      </c>
      <c r="O2885" s="108">
        <v>266.23577235772399</v>
      </c>
      <c r="P2885" s="108">
        <v>2302.9394308943101</v>
      </c>
      <c r="Q2885" s="108">
        <f>SUMIFS('FW_Salmon_by_Month_2010-2021'!P$2:P$3810,'FW_Salmon_by_Month_2010-2021'!$B$2:$B$3810,'Rec_raw_catch_effort_2010-2021'!$B2885,'FW_Salmon_by_Month_2010-2021'!$H$2:$H$3810,'Rec_raw_catch_effort_2010-2021'!$F2885,'FW_Salmon_by_Month_2010-2021'!$M$2:$M$3810,'Rec_raw_catch_effort_2010-2021'!$K2885)</f>
        <v>278.64133016627102</v>
      </c>
      <c r="R2885" s="109">
        <f>VLOOKUP(B2885,Readme!$A$62:$C$74,2,)*Q2885</f>
        <v>1342.9271892914792</v>
      </c>
      <c r="S2885" s="140" t="str">
        <f t="shared" si="221"/>
        <v>Y</v>
      </c>
      <c r="T2885" s="154">
        <f t="shared" si="222"/>
        <v>8.6499999999999915</v>
      </c>
      <c r="U2885" s="154">
        <f t="shared" si="223"/>
        <v>4.8195549041132084</v>
      </c>
    </row>
    <row r="2886" spans="1:21" x14ac:dyDescent="0.35">
      <c r="A2886" s="108">
        <v>2420</v>
      </c>
      <c r="B2886" s="108">
        <v>2016</v>
      </c>
      <c r="C2886" s="108" t="s">
        <v>38</v>
      </c>
      <c r="D2886" s="108" t="s">
        <v>143</v>
      </c>
      <c r="E2886" s="108" t="s">
        <v>10</v>
      </c>
      <c r="F2886" s="116">
        <v>884</v>
      </c>
      <c r="G2886" s="108" t="s">
        <v>66</v>
      </c>
      <c r="H2886" s="108" t="str">
        <f t="shared" si="220"/>
        <v>Whatcom Creek</v>
      </c>
      <c r="I2886" s="108" t="str">
        <f>IFERROR(VLOOKUP(H2886,LUTs!$A$1:$C$73,2,FALSE),"NA")</f>
        <v>Whatcom</v>
      </c>
      <c r="J2886" s="108" t="str">
        <f>IFERROR(VLOOKUP(H2886,LUTs!$A$1:$C$73,3,FALSE),"NA")</f>
        <v>1North Puget Sound</v>
      </c>
      <c r="K2886" s="108" t="s">
        <v>22</v>
      </c>
      <c r="L2886" s="108" t="str">
        <f>VLOOKUP(K2886,LUTs!E$2:G$14,3,)</f>
        <v>09Mason</v>
      </c>
      <c r="M2886" s="108" t="str">
        <f>VLOOKUP($K2886,LUTs!$E$2:$H$14,2,)</f>
        <v>South Puget Sound</v>
      </c>
      <c r="N2886" s="108" t="str">
        <f>VLOOKUP($K2886,LUTs!$E$2:$H$14,4,)</f>
        <v>02South Puget Sound</v>
      </c>
      <c r="O2886" s="108">
        <v>20.479674796748</v>
      </c>
      <c r="P2886" s="108">
        <v>177.14918699187001</v>
      </c>
      <c r="Q2886" s="108">
        <f>SUMIFS('FW_Salmon_by_Month_2010-2021'!P$2:P$3810,'FW_Salmon_by_Month_2010-2021'!$B$2:$B$3810,'Rec_raw_catch_effort_2010-2021'!$B2886,'FW_Salmon_by_Month_2010-2021'!$H$2:$H$3810,'Rec_raw_catch_effort_2010-2021'!$F2886,'FW_Salmon_by_Month_2010-2021'!$M$2:$M$3810,'Rec_raw_catch_effort_2010-2021'!$K2886)</f>
        <v>21.5534441805226</v>
      </c>
      <c r="R2886" s="109">
        <f>VLOOKUP(B2886,Readme!$A$62:$C$74,2,)*Q2886</f>
        <v>103.87800760076799</v>
      </c>
      <c r="S2886" s="140" t="str">
        <f t="shared" si="221"/>
        <v>Y</v>
      </c>
      <c r="T2886" s="154">
        <f t="shared" si="222"/>
        <v>8.6499999999999915</v>
      </c>
      <c r="U2886" s="154">
        <f t="shared" si="223"/>
        <v>4.8195549041132084</v>
      </c>
    </row>
    <row r="2887" spans="1:21" x14ac:dyDescent="0.35">
      <c r="A2887" s="108">
        <v>2421</v>
      </c>
      <c r="B2887" s="108">
        <v>2016</v>
      </c>
      <c r="C2887" s="108" t="s">
        <v>38</v>
      </c>
      <c r="D2887" s="108" t="s">
        <v>143</v>
      </c>
      <c r="E2887" s="108" t="s">
        <v>10</v>
      </c>
      <c r="F2887" s="116">
        <v>884</v>
      </c>
      <c r="G2887" s="108" t="s">
        <v>66</v>
      </c>
      <c r="H2887" s="108" t="str">
        <f t="shared" si="220"/>
        <v>Whatcom Creek</v>
      </c>
      <c r="I2887" s="108" t="str">
        <f>IFERROR(VLOOKUP(H2887,LUTs!$A$1:$C$73,2,FALSE),"NA")</f>
        <v>Whatcom</v>
      </c>
      <c r="J2887" s="108" t="str">
        <f>IFERROR(VLOOKUP(H2887,LUTs!$A$1:$C$73,3,FALSE),"NA")</f>
        <v>1North Puget Sound</v>
      </c>
      <c r="K2887" s="108" t="s">
        <v>26</v>
      </c>
      <c r="L2887" s="108" t="str">
        <f>VLOOKUP(K2887,LUTs!E$2:G$14,3,)</f>
        <v>20Other</v>
      </c>
      <c r="M2887" s="108" t="str">
        <f>VLOOKUP($K2887,LUTs!$E$2:$H$14,2,)</f>
        <v>Non Puget Sound</v>
      </c>
      <c r="N2887" s="108" t="str">
        <f>VLOOKUP($K2887,LUTs!$E$2:$H$14,4,)</f>
        <v>07Non Puget Sound</v>
      </c>
      <c r="O2887" s="108">
        <v>61.439024390243901</v>
      </c>
      <c r="P2887" s="108">
        <v>531.44756097561003</v>
      </c>
      <c r="Q2887" s="108">
        <f>SUMIFS('FW_Salmon_by_Month_2010-2021'!P$2:P$3810,'FW_Salmon_by_Month_2010-2021'!$B$2:$B$3810,'Rec_raw_catch_effort_2010-2021'!$B2887,'FW_Salmon_by_Month_2010-2021'!$H$2:$H$3810,'Rec_raw_catch_effort_2010-2021'!$F2887,'FW_Salmon_by_Month_2010-2021'!$M$2:$M$3810,'Rec_raw_catch_effort_2010-2021'!$K2887)</f>
        <v>65.829306249488099</v>
      </c>
      <c r="R2887" s="109">
        <f>VLOOKUP(B2887,Readme!$A$62:$C$74,2,)*Q2887</f>
        <v>317.26795576909063</v>
      </c>
      <c r="S2887" s="140" t="str">
        <f t="shared" si="221"/>
        <v>Y</v>
      </c>
      <c r="T2887" s="154">
        <f t="shared" si="222"/>
        <v>8.6500000000000039</v>
      </c>
      <c r="U2887" s="154">
        <f t="shared" si="223"/>
        <v>4.8195549041132084</v>
      </c>
    </row>
    <row r="2888" spans="1:21" x14ac:dyDescent="0.35">
      <c r="A2888" s="108">
        <v>2414</v>
      </c>
      <c r="B2888" s="108">
        <v>2016</v>
      </c>
      <c r="C2888" s="108" t="s">
        <v>38</v>
      </c>
      <c r="D2888" s="108" t="s">
        <v>143</v>
      </c>
      <c r="E2888" s="108" t="s">
        <v>10</v>
      </c>
      <c r="F2888" s="116">
        <v>884</v>
      </c>
      <c r="G2888" s="108" t="s">
        <v>66</v>
      </c>
      <c r="H2888" s="108" t="str">
        <f t="shared" si="220"/>
        <v>Whatcom Creek</v>
      </c>
      <c r="I2888" s="108" t="str">
        <f>IFERROR(VLOOKUP(H2888,LUTs!$A$1:$C$73,2,FALSE),"NA")</f>
        <v>Whatcom</v>
      </c>
      <c r="J2888" s="108" t="str">
        <f>IFERROR(VLOOKUP(H2888,LUTs!$A$1:$C$73,3,FALSE),"NA")</f>
        <v>1North Puget Sound</v>
      </c>
      <c r="K2888" s="108" t="s">
        <v>15</v>
      </c>
      <c r="L2888" s="108" t="str">
        <f>VLOOKUP(K2888,LUTs!E$2:G$14,3,)</f>
        <v>02Skagit</v>
      </c>
      <c r="M2888" s="108" t="str">
        <f>VLOOKUP($K2888,LUTs!$E$2:$H$14,2,)</f>
        <v>North Puget Sound</v>
      </c>
      <c r="N2888" s="108" t="str">
        <f>VLOOKUP($K2888,LUTs!$E$2:$H$14,4,)</f>
        <v>01North Puget Sound</v>
      </c>
      <c r="O2888" s="108">
        <v>440.31300813008102</v>
      </c>
      <c r="P2888" s="108">
        <v>3808.7075203252002</v>
      </c>
      <c r="Q2888" s="108">
        <f>SUMIFS('FW_Salmon_by_Month_2010-2021'!P$2:P$3810,'FW_Salmon_by_Month_2010-2021'!$B$2:$B$3810,'Rec_raw_catch_effort_2010-2021'!$B2888,'FW_Salmon_by_Month_2010-2021'!$H$2:$H$3810,'Rec_raw_catch_effort_2010-2021'!$F2888,'FW_Salmon_by_Month_2010-2021'!$M$2:$M$3810,'Rec_raw_catch_effort_2010-2021'!$K2888)</f>
        <v>460.87664837415082</v>
      </c>
      <c r="R2888" s="109">
        <f>VLOOKUP(B2888,Readme!$A$62:$C$74,2,)*Q2888</f>
        <v>2221.2203108628973</v>
      </c>
      <c r="S2888" s="140" t="str">
        <f t="shared" si="221"/>
        <v>Y</v>
      </c>
      <c r="T2888" s="154">
        <f t="shared" si="222"/>
        <v>8.6499999999999986</v>
      </c>
      <c r="U2888" s="154">
        <f t="shared" si="223"/>
        <v>4.8195549041132084</v>
      </c>
    </row>
    <row r="2889" spans="1:21" x14ac:dyDescent="0.35">
      <c r="A2889" s="108">
        <v>2415</v>
      </c>
      <c r="B2889" s="108">
        <v>2016</v>
      </c>
      <c r="C2889" s="108" t="s">
        <v>38</v>
      </c>
      <c r="D2889" s="108" t="s">
        <v>143</v>
      </c>
      <c r="E2889" s="108" t="s">
        <v>10</v>
      </c>
      <c r="F2889" s="116">
        <v>884</v>
      </c>
      <c r="G2889" s="108" t="s">
        <v>66</v>
      </c>
      <c r="H2889" s="108" t="str">
        <f t="shared" si="220"/>
        <v>Whatcom Creek</v>
      </c>
      <c r="I2889" s="108" t="str">
        <f>IFERROR(VLOOKUP(H2889,LUTs!$A$1:$C$73,2,FALSE),"NA")</f>
        <v>Whatcom</v>
      </c>
      <c r="J2889" s="108" t="str">
        <f>IFERROR(VLOOKUP(H2889,LUTs!$A$1:$C$73,3,FALSE),"NA")</f>
        <v>1North Puget Sound</v>
      </c>
      <c r="K2889" s="108" t="s">
        <v>16</v>
      </c>
      <c r="L2889" s="108" t="str">
        <f>VLOOKUP(K2889,LUTs!E$2:G$14,3,)</f>
        <v>03Snohomish</v>
      </c>
      <c r="M2889" s="108" t="str">
        <f>VLOOKUP($K2889,LUTs!$E$2:$H$14,2,)</f>
        <v>North Puget Sound</v>
      </c>
      <c r="N2889" s="108" t="str">
        <f>VLOOKUP($K2889,LUTs!$E$2:$H$14,4,)</f>
        <v>01North Puget Sound</v>
      </c>
      <c r="O2889" s="108">
        <v>1423.33739837398</v>
      </c>
      <c r="P2889" s="108">
        <v>12311.868495934899</v>
      </c>
      <c r="Q2889" s="108">
        <f>SUMIFS('FW_Salmon_by_Month_2010-2021'!P$2:P$3810,'FW_Salmon_by_Month_2010-2021'!$B$2:$B$3810,'Rec_raw_catch_effort_2010-2021'!$B2889,'FW_Salmon_by_Month_2010-2021'!$H$2:$H$3810,'Rec_raw_catch_effort_2010-2021'!$F2889,'FW_Salmon_by_Month_2010-2021'!$M$2:$M$3810,'Rec_raw_catch_effort_2010-2021'!$K2889)</f>
        <v>1499.1333442542357</v>
      </c>
      <c r="R2889" s="109">
        <f>VLOOKUP(B2889,Readme!$A$62:$C$74,2,)*Q2889</f>
        <v>7225.1554612201362</v>
      </c>
      <c r="S2889" s="140" t="str">
        <f t="shared" si="221"/>
        <v>Y</v>
      </c>
      <c r="T2889" s="154">
        <f t="shared" si="222"/>
        <v>8.6499999999999808</v>
      </c>
      <c r="U2889" s="154">
        <f t="shared" si="223"/>
        <v>4.8195549041132084</v>
      </c>
    </row>
    <row r="2890" spans="1:21" x14ac:dyDescent="0.35">
      <c r="A2890" s="108">
        <v>2413</v>
      </c>
      <c r="B2890" s="108">
        <v>2016</v>
      </c>
      <c r="C2890" s="108" t="s">
        <v>38</v>
      </c>
      <c r="D2890" s="108" t="s">
        <v>143</v>
      </c>
      <c r="E2890" s="108" t="s">
        <v>10</v>
      </c>
      <c r="F2890" s="116">
        <v>884</v>
      </c>
      <c r="G2890" s="108" t="s">
        <v>66</v>
      </c>
      <c r="H2890" s="108" t="str">
        <f t="shared" si="220"/>
        <v>Whatcom Creek</v>
      </c>
      <c r="I2890" s="108" t="str">
        <f>IFERROR(VLOOKUP(H2890,LUTs!$A$1:$C$73,2,FALSE),"NA")</f>
        <v>Whatcom</v>
      </c>
      <c r="J2890" s="108" t="str">
        <f>IFERROR(VLOOKUP(H2890,LUTs!$A$1:$C$73,3,FALSE),"NA")</f>
        <v>1North Puget Sound</v>
      </c>
      <c r="K2890" s="108" t="s">
        <v>13</v>
      </c>
      <c r="L2890" s="108" t="str">
        <f>VLOOKUP(K2890,LUTs!E$2:G$14,3,)</f>
        <v>01Whatcom</v>
      </c>
      <c r="M2890" s="108" t="str">
        <f>VLOOKUP($K2890,LUTs!$E$2:$H$14,2,)</f>
        <v>North Puget Sound</v>
      </c>
      <c r="N2890" s="108" t="str">
        <f>VLOOKUP($K2890,LUTs!$E$2:$H$14,4,)</f>
        <v>01North Puget Sound</v>
      </c>
      <c r="O2890" s="108">
        <v>2570.1991869918702</v>
      </c>
      <c r="P2890" s="108">
        <v>22232.222967479702</v>
      </c>
      <c r="Q2890" s="108">
        <f>SUMIFS('FW_Salmon_by_Month_2010-2021'!P$2:P$3810,'FW_Salmon_by_Month_2010-2021'!$B$2:$B$3810,'Rec_raw_catch_effort_2010-2021'!$B2890,'FW_Salmon_by_Month_2010-2021'!$H$2:$H$3810,'Rec_raw_catch_effort_2010-2021'!$F2890,'FW_Salmon_by_Month_2010-2021'!$M$2:$M$3810,'Rec_raw_catch_effort_2010-2021'!$K2890)</f>
        <v>2462.9323449914009</v>
      </c>
      <c r="R2890" s="109">
        <f>VLOOKUP(B2890,Readme!$A$62:$C$74,2,)*Q2890</f>
        <v>11870.23766180235</v>
      </c>
      <c r="S2890" s="140" t="str">
        <f t="shared" si="221"/>
        <v>Y</v>
      </c>
      <c r="T2890" s="154">
        <f t="shared" si="222"/>
        <v>8.6500000000000092</v>
      </c>
      <c r="U2890" s="154">
        <f t="shared" si="223"/>
        <v>4.8195549041132084</v>
      </c>
    </row>
    <row r="2891" spans="1:21" x14ac:dyDescent="0.35">
      <c r="A2891" s="108">
        <v>2647</v>
      </c>
      <c r="B2891" s="108">
        <v>2017</v>
      </c>
      <c r="C2891" s="108" t="s">
        <v>38</v>
      </c>
      <c r="D2891" s="108" t="s">
        <v>143</v>
      </c>
      <c r="E2891" s="108" t="s">
        <v>10</v>
      </c>
      <c r="F2891" s="116">
        <v>884</v>
      </c>
      <c r="G2891" s="108" t="s">
        <v>66</v>
      </c>
      <c r="H2891" s="108" t="str">
        <f t="shared" si="220"/>
        <v>Whatcom Creek</v>
      </c>
      <c r="I2891" s="108" t="str">
        <f>IFERROR(VLOOKUP(H2891,LUTs!$A$1:$C$73,2,FALSE),"NA")</f>
        <v>Whatcom</v>
      </c>
      <c r="J2891" s="108" t="str">
        <f>IFERROR(VLOOKUP(H2891,LUTs!$A$1:$C$73,3,FALSE),"NA")</f>
        <v>1North Puget Sound</v>
      </c>
      <c r="K2891" s="108" t="s">
        <v>18</v>
      </c>
      <c r="L2891" s="108" t="str">
        <f>VLOOKUP(K2891,LUTs!E$2:G$14,3,)</f>
        <v>06King</v>
      </c>
      <c r="M2891" s="108" t="str">
        <f>VLOOKUP($K2891,LUTs!$E$2:$H$14,2,)</f>
        <v>South Puget Sound</v>
      </c>
      <c r="N2891" s="108" t="str">
        <f>VLOOKUP($K2891,LUTs!$E$2:$H$14,4,)</f>
        <v>02South Puget Sound</v>
      </c>
      <c r="O2891" s="108">
        <v>9.6666666666666696</v>
      </c>
      <c r="P2891" s="108">
        <v>33.253333333333302</v>
      </c>
      <c r="Q2891" s="108">
        <f>SUMIFS('FW_Salmon_by_Month_2010-2021'!P$2:P$3810,'FW_Salmon_by_Month_2010-2021'!$B$2:$B$3810,'Rec_raw_catch_effort_2010-2021'!$B2891,'FW_Salmon_by_Month_2010-2021'!$H$2:$H$3810,'Rec_raw_catch_effort_2010-2021'!$F2891,'FW_Salmon_by_Month_2010-2021'!$M$2:$M$3810,'Rec_raw_catch_effort_2010-2021'!$K2891)</f>
        <v>9.6666666666666696</v>
      </c>
      <c r="R2891" s="109">
        <f>VLOOKUP(B2891,Readme!$A$62:$C$74,2,)*Q2891</f>
        <v>34.210724251230026</v>
      </c>
      <c r="S2891" s="140" t="str">
        <f t="shared" si="221"/>
        <v>Y</v>
      </c>
      <c r="T2891" s="154">
        <f t="shared" si="222"/>
        <v>3.4399999999999955</v>
      </c>
      <c r="U2891" s="154">
        <f t="shared" si="223"/>
        <v>3.5390404397824153</v>
      </c>
    </row>
    <row r="2892" spans="1:21" x14ac:dyDescent="0.35">
      <c r="A2892" s="108">
        <v>2648</v>
      </c>
      <c r="B2892" s="108">
        <v>2017</v>
      </c>
      <c r="C2892" s="108" t="s">
        <v>38</v>
      </c>
      <c r="D2892" s="108" t="s">
        <v>143</v>
      </c>
      <c r="E2892" s="108" t="s">
        <v>10</v>
      </c>
      <c r="F2892" s="116">
        <v>884</v>
      </c>
      <c r="G2892" s="108" t="s">
        <v>66</v>
      </c>
      <c r="H2892" s="108" t="str">
        <f t="shared" si="220"/>
        <v>Whatcom Creek</v>
      </c>
      <c r="I2892" s="108" t="str">
        <f>IFERROR(VLOOKUP(H2892,LUTs!$A$1:$C$73,2,FALSE),"NA")</f>
        <v>Whatcom</v>
      </c>
      <c r="J2892" s="108" t="str">
        <f>IFERROR(VLOOKUP(H2892,LUTs!$A$1:$C$73,3,FALSE),"NA")</f>
        <v>1North Puget Sound</v>
      </c>
      <c r="K2892" s="108" t="s">
        <v>20</v>
      </c>
      <c r="L2892" s="108" t="str">
        <f>VLOOKUP(K2892,LUTs!E$2:G$14,3,)</f>
        <v>07Pierce</v>
      </c>
      <c r="M2892" s="108" t="str">
        <f>VLOOKUP($K2892,LUTs!$E$2:$H$14,2,)</f>
        <v>South Puget Sound</v>
      </c>
      <c r="N2892" s="108" t="str">
        <f>VLOOKUP($K2892,LUTs!$E$2:$H$14,4,)</f>
        <v>02South Puget Sound</v>
      </c>
      <c r="O2892" s="108">
        <v>38.6666666666667</v>
      </c>
      <c r="P2892" s="108">
        <v>133.01333333333301</v>
      </c>
      <c r="Q2892" s="108">
        <f>SUMIFS('FW_Salmon_by_Month_2010-2021'!P$2:P$3810,'FW_Salmon_by_Month_2010-2021'!$B$2:$B$3810,'Rec_raw_catch_effort_2010-2021'!$B2892,'FW_Salmon_by_Month_2010-2021'!$H$2:$H$3810,'Rec_raw_catch_effort_2010-2021'!$F2892,'FW_Salmon_by_Month_2010-2021'!$M$2:$M$3810,'Rec_raw_catch_effort_2010-2021'!$K2892)</f>
        <v>38.6666666666667</v>
      </c>
      <c r="R2892" s="109">
        <f>VLOOKUP(B2892,Readme!$A$62:$C$74,2,)*Q2892</f>
        <v>136.84289700492019</v>
      </c>
      <c r="S2892" s="140" t="str">
        <f t="shared" si="221"/>
        <v>Y</v>
      </c>
      <c r="T2892" s="154">
        <f t="shared" si="222"/>
        <v>3.4399999999999888</v>
      </c>
      <c r="U2892" s="154">
        <f t="shared" si="223"/>
        <v>3.5390404397824158</v>
      </c>
    </row>
    <row r="2893" spans="1:21" x14ac:dyDescent="0.35">
      <c r="A2893" s="108">
        <v>2645</v>
      </c>
      <c r="B2893" s="108">
        <v>2017</v>
      </c>
      <c r="C2893" s="108" t="s">
        <v>38</v>
      </c>
      <c r="D2893" s="108" t="s">
        <v>143</v>
      </c>
      <c r="E2893" s="108" t="s">
        <v>10</v>
      </c>
      <c r="F2893" s="116">
        <v>884</v>
      </c>
      <c r="G2893" s="108" t="s">
        <v>66</v>
      </c>
      <c r="H2893" s="108" t="str">
        <f t="shared" si="220"/>
        <v>Whatcom Creek</v>
      </c>
      <c r="I2893" s="108" t="str">
        <f>IFERROR(VLOOKUP(H2893,LUTs!$A$1:$C$73,2,FALSE),"NA")</f>
        <v>Whatcom</v>
      </c>
      <c r="J2893" s="108" t="str">
        <f>IFERROR(VLOOKUP(H2893,LUTs!$A$1:$C$73,3,FALSE),"NA")</f>
        <v>1North Puget Sound</v>
      </c>
      <c r="K2893" s="108" t="s">
        <v>15</v>
      </c>
      <c r="L2893" s="108" t="str">
        <f>VLOOKUP(K2893,LUTs!E$2:G$14,3,)</f>
        <v>02Skagit</v>
      </c>
      <c r="M2893" s="108" t="str">
        <f>VLOOKUP($K2893,LUTs!$E$2:$H$14,2,)</f>
        <v>North Puget Sound</v>
      </c>
      <c r="N2893" s="108" t="str">
        <f>VLOOKUP($K2893,LUTs!$E$2:$H$14,4,)</f>
        <v>01North Puget Sound</v>
      </c>
      <c r="O2893" s="108">
        <v>29</v>
      </c>
      <c r="P2893" s="108">
        <v>99.76</v>
      </c>
      <c r="Q2893" s="108">
        <f>SUMIFS('FW_Salmon_by_Month_2010-2021'!P$2:P$3810,'FW_Salmon_by_Month_2010-2021'!$B$2:$B$3810,'Rec_raw_catch_effort_2010-2021'!$B2893,'FW_Salmon_by_Month_2010-2021'!$H$2:$H$3810,'Rec_raw_catch_effort_2010-2021'!$F2893,'FW_Salmon_by_Month_2010-2021'!$M$2:$M$3810,'Rec_raw_catch_effort_2010-2021'!$K2893)</f>
        <v>29</v>
      </c>
      <c r="R2893" s="109">
        <f>VLOOKUP(B2893,Readme!$A$62:$C$74,2,)*Q2893</f>
        <v>102.63217275369004</v>
      </c>
      <c r="S2893" s="140" t="str">
        <f t="shared" si="221"/>
        <v>Y</v>
      </c>
      <c r="T2893" s="154">
        <f t="shared" si="222"/>
        <v>3.4400000000000004</v>
      </c>
      <c r="U2893" s="154">
        <f t="shared" si="223"/>
        <v>3.5390404397824153</v>
      </c>
    </row>
    <row r="2894" spans="1:21" x14ac:dyDescent="0.35">
      <c r="A2894" s="108">
        <v>2646</v>
      </c>
      <c r="B2894" s="108">
        <v>2017</v>
      </c>
      <c r="C2894" s="108" t="s">
        <v>38</v>
      </c>
      <c r="D2894" s="108" t="s">
        <v>143</v>
      </c>
      <c r="E2894" s="108" t="s">
        <v>10</v>
      </c>
      <c r="F2894" s="116">
        <v>884</v>
      </c>
      <c r="G2894" s="108" t="s">
        <v>66</v>
      </c>
      <c r="H2894" s="108" t="str">
        <f t="shared" si="220"/>
        <v>Whatcom Creek</v>
      </c>
      <c r="I2894" s="108" t="str">
        <f>IFERROR(VLOOKUP(H2894,LUTs!$A$1:$C$73,2,FALSE),"NA")</f>
        <v>Whatcom</v>
      </c>
      <c r="J2894" s="108" t="str">
        <f>IFERROR(VLOOKUP(H2894,LUTs!$A$1:$C$73,3,FALSE),"NA")</f>
        <v>1North Puget Sound</v>
      </c>
      <c r="K2894" s="108" t="s">
        <v>16</v>
      </c>
      <c r="L2894" s="108" t="str">
        <f>VLOOKUP(K2894,LUTs!E$2:G$14,3,)</f>
        <v>03Snohomish</v>
      </c>
      <c r="M2894" s="108" t="str">
        <f>VLOOKUP($K2894,LUTs!$E$2:$H$14,2,)</f>
        <v>North Puget Sound</v>
      </c>
      <c r="N2894" s="108" t="str">
        <f>VLOOKUP($K2894,LUTs!$E$2:$H$14,4,)</f>
        <v>01North Puget Sound</v>
      </c>
      <c r="O2894" s="108">
        <v>203</v>
      </c>
      <c r="P2894" s="108">
        <v>698.32</v>
      </c>
      <c r="Q2894" s="108">
        <f>SUMIFS('FW_Salmon_by_Month_2010-2021'!P$2:P$3810,'FW_Salmon_by_Month_2010-2021'!$B$2:$B$3810,'Rec_raw_catch_effort_2010-2021'!$B2894,'FW_Salmon_by_Month_2010-2021'!$H$2:$H$3810,'Rec_raw_catch_effort_2010-2021'!$F2894,'FW_Salmon_by_Month_2010-2021'!$M$2:$M$3810,'Rec_raw_catch_effort_2010-2021'!$K2894)</f>
        <v>203.05128205128239</v>
      </c>
      <c r="R2894" s="109">
        <f>VLOOKUP(B2894,Readme!$A$62:$C$74,2,)*Q2894</f>
        <v>718.60669852915362</v>
      </c>
      <c r="S2894" s="140" t="str">
        <f t="shared" si="221"/>
        <v>Y</v>
      </c>
      <c r="T2894" s="154">
        <f t="shared" si="222"/>
        <v>3.4400000000000004</v>
      </c>
      <c r="U2894" s="154">
        <f t="shared" si="223"/>
        <v>3.5390404397824149</v>
      </c>
    </row>
    <row r="2895" spans="1:21" x14ac:dyDescent="0.35">
      <c r="A2895" s="108">
        <v>2644</v>
      </c>
      <c r="B2895" s="108">
        <v>2017</v>
      </c>
      <c r="C2895" s="108" t="s">
        <v>38</v>
      </c>
      <c r="D2895" s="108" t="s">
        <v>143</v>
      </c>
      <c r="E2895" s="108" t="s">
        <v>10</v>
      </c>
      <c r="F2895" s="116">
        <v>884</v>
      </c>
      <c r="G2895" s="108" t="s">
        <v>66</v>
      </c>
      <c r="H2895" s="108" t="str">
        <f t="shared" si="220"/>
        <v>Whatcom Creek</v>
      </c>
      <c r="I2895" s="108" t="str">
        <f>IFERROR(VLOOKUP(H2895,LUTs!$A$1:$C$73,2,FALSE),"NA")</f>
        <v>Whatcom</v>
      </c>
      <c r="J2895" s="108" t="str">
        <f>IFERROR(VLOOKUP(H2895,LUTs!$A$1:$C$73,3,FALSE),"NA")</f>
        <v>1North Puget Sound</v>
      </c>
      <c r="K2895" s="108" t="s">
        <v>13</v>
      </c>
      <c r="L2895" s="108" t="str">
        <f>VLOOKUP(K2895,LUTs!E$2:G$14,3,)</f>
        <v>01Whatcom</v>
      </c>
      <c r="M2895" s="108" t="str">
        <f>VLOOKUP($K2895,LUTs!$E$2:$H$14,2,)</f>
        <v>North Puget Sound</v>
      </c>
      <c r="N2895" s="108" t="str">
        <f>VLOOKUP($K2895,LUTs!$E$2:$H$14,4,)</f>
        <v>01North Puget Sound</v>
      </c>
      <c r="O2895" s="108">
        <v>618.66666666666697</v>
      </c>
      <c r="P2895" s="108">
        <v>2128.21333333333</v>
      </c>
      <c r="Q2895" s="108">
        <f>SUMIFS('FW_Salmon_by_Month_2010-2021'!P$2:P$3810,'FW_Salmon_by_Month_2010-2021'!$B$2:$B$3810,'Rec_raw_catch_effort_2010-2021'!$B2895,'FW_Salmon_by_Month_2010-2021'!$H$2:$H$3810,'Rec_raw_catch_effort_2010-2021'!$F2895,'FW_Salmon_by_Month_2010-2021'!$M$2:$M$3810,'Rec_raw_catch_effort_2010-2021'!$K2895)</f>
        <v>618.61538461538498</v>
      </c>
      <c r="R2895" s="109">
        <f>VLOOKUP(B2895,Readme!$A$62:$C$74,2,)*Q2895</f>
        <v>2189.3048628254001</v>
      </c>
      <c r="S2895" s="140" t="str">
        <f t="shared" si="221"/>
        <v>Y</v>
      </c>
      <c r="T2895" s="154">
        <f t="shared" si="222"/>
        <v>3.4399999999999928</v>
      </c>
      <c r="U2895" s="154">
        <f t="shared" si="223"/>
        <v>3.5390404397824153</v>
      </c>
    </row>
    <row r="2896" spans="1:21" x14ac:dyDescent="0.35">
      <c r="A2896" s="108">
        <v>2772</v>
      </c>
      <c r="B2896" s="108">
        <v>2018</v>
      </c>
      <c r="C2896" s="108" t="s">
        <v>38</v>
      </c>
      <c r="D2896" s="108" t="s">
        <v>143</v>
      </c>
      <c r="E2896" s="108" t="s">
        <v>10</v>
      </c>
      <c r="F2896" s="116">
        <v>884</v>
      </c>
      <c r="G2896" s="108" t="s">
        <v>66</v>
      </c>
      <c r="H2896" s="108" t="str">
        <f t="shared" si="220"/>
        <v>Whatcom Creek</v>
      </c>
      <c r="I2896" s="108" t="str">
        <f>IFERROR(VLOOKUP(H2896,LUTs!$A$1:$C$73,2,FALSE),"NA")</f>
        <v>Whatcom</v>
      </c>
      <c r="J2896" s="108" t="str">
        <f>IFERROR(VLOOKUP(H2896,LUTs!$A$1:$C$73,3,FALSE),"NA")</f>
        <v>1North Puget Sound</v>
      </c>
      <c r="K2896" s="108" t="s">
        <v>16</v>
      </c>
      <c r="L2896" s="108" t="str">
        <f>VLOOKUP(K2896,LUTs!E$2:G$14,3,)</f>
        <v>03Snohomish</v>
      </c>
      <c r="M2896" s="108" t="str">
        <f>VLOOKUP($K2896,LUTs!$E$2:$H$14,2,)</f>
        <v>North Puget Sound</v>
      </c>
      <c r="N2896" s="108" t="str">
        <f>VLOOKUP($K2896,LUTs!$E$2:$H$14,4,)</f>
        <v>01North Puget Sound</v>
      </c>
      <c r="O2896" s="108">
        <v>38.727272727272698</v>
      </c>
      <c r="P2896" s="108">
        <v>334.99090909090899</v>
      </c>
      <c r="Q2896" s="108">
        <f>SUMIFS('FW_Salmon_by_Month_2010-2021'!P$2:P$3810,'FW_Salmon_by_Month_2010-2021'!$B$2:$B$3810,'Rec_raw_catch_effort_2010-2021'!$B2896,'FW_Salmon_by_Month_2010-2021'!$H$2:$H$3810,'Rec_raw_catch_effort_2010-2021'!$F2896,'FW_Salmon_by_Month_2010-2021'!$M$2:$M$3810,'Rec_raw_catch_effort_2010-2021'!$K2896)</f>
        <v>38.75</v>
      </c>
      <c r="R2896" s="109">
        <f>VLOOKUP(B2896,Readme!$A$62:$C$74,2,)*Q2896</f>
        <v>186.75775253438684</v>
      </c>
      <c r="S2896" s="140" t="str">
        <f t="shared" si="221"/>
        <v>Y</v>
      </c>
      <c r="T2896" s="154">
        <f t="shared" si="222"/>
        <v>8.6500000000000039</v>
      </c>
      <c r="U2896" s="154">
        <f t="shared" si="223"/>
        <v>4.8195549041132084</v>
      </c>
    </row>
    <row r="2897" spans="1:21" x14ac:dyDescent="0.35">
      <c r="A2897" s="108">
        <v>2771</v>
      </c>
      <c r="B2897" s="108">
        <v>2018</v>
      </c>
      <c r="C2897" s="108" t="s">
        <v>38</v>
      </c>
      <c r="D2897" s="108" t="s">
        <v>143</v>
      </c>
      <c r="E2897" s="108" t="s">
        <v>10</v>
      </c>
      <c r="F2897" s="116">
        <v>884</v>
      </c>
      <c r="G2897" s="108" t="s">
        <v>66</v>
      </c>
      <c r="H2897" s="108" t="str">
        <f t="shared" si="220"/>
        <v>Whatcom Creek</v>
      </c>
      <c r="I2897" s="108" t="str">
        <f>IFERROR(VLOOKUP(H2897,LUTs!$A$1:$C$73,2,FALSE),"NA")</f>
        <v>Whatcom</v>
      </c>
      <c r="J2897" s="108" t="str">
        <f>IFERROR(VLOOKUP(H2897,LUTs!$A$1:$C$73,3,FALSE),"NA")</f>
        <v>1North Puget Sound</v>
      </c>
      <c r="K2897" s="108" t="s">
        <v>13</v>
      </c>
      <c r="L2897" s="108" t="str">
        <f>VLOOKUP(K2897,LUTs!E$2:G$14,3,)</f>
        <v>01Whatcom</v>
      </c>
      <c r="M2897" s="108" t="str">
        <f>VLOOKUP($K2897,LUTs!$E$2:$H$14,2,)</f>
        <v>North Puget Sound</v>
      </c>
      <c r="N2897" s="108" t="str">
        <f>VLOOKUP($K2897,LUTs!$E$2:$H$14,4,)</f>
        <v>01North Puget Sound</v>
      </c>
      <c r="O2897" s="108">
        <v>174.272727272727</v>
      </c>
      <c r="P2897" s="108">
        <v>1507.45909090909</v>
      </c>
      <c r="Q2897" s="108">
        <f>SUMIFS('FW_Salmon_by_Month_2010-2021'!P$2:P$3810,'FW_Salmon_by_Month_2010-2021'!$B$2:$B$3810,'Rec_raw_catch_effort_2010-2021'!$B2897,'FW_Salmon_by_Month_2010-2021'!$H$2:$H$3810,'Rec_raw_catch_effort_2010-2021'!$F2897,'FW_Salmon_by_Month_2010-2021'!$M$2:$M$3810,'Rec_raw_catch_effort_2010-2021'!$K2897)</f>
        <v>174.25</v>
      </c>
      <c r="R2897" s="109">
        <f>VLOOKUP(B2897,Readme!$A$62:$C$74,2,)*Q2897</f>
        <v>839.80744204172652</v>
      </c>
      <c r="S2897" s="140" t="str">
        <f t="shared" si="221"/>
        <v>Y</v>
      </c>
      <c r="T2897" s="154">
        <f t="shared" si="222"/>
        <v>8.6500000000000092</v>
      </c>
      <c r="U2897" s="154">
        <f t="shared" si="223"/>
        <v>4.8195549041132084</v>
      </c>
    </row>
    <row r="2898" spans="1:21" x14ac:dyDescent="0.35">
      <c r="A2898" s="108">
        <v>2892</v>
      </c>
      <c r="B2898" s="108">
        <v>2019</v>
      </c>
      <c r="C2898" s="108" t="s">
        <v>38</v>
      </c>
      <c r="D2898" s="108" t="s">
        <v>143</v>
      </c>
      <c r="E2898" s="108" t="s">
        <v>10</v>
      </c>
      <c r="F2898" s="116">
        <v>884</v>
      </c>
      <c r="G2898" s="108" t="s">
        <v>66</v>
      </c>
      <c r="H2898" s="108" t="str">
        <f t="shared" si="220"/>
        <v>Whatcom Creek</v>
      </c>
      <c r="I2898" s="108" t="str">
        <f>IFERROR(VLOOKUP(H2898,LUTs!$A$1:$C$73,2,FALSE),"NA")</f>
        <v>Whatcom</v>
      </c>
      <c r="J2898" s="108" t="str">
        <f>IFERROR(VLOOKUP(H2898,LUTs!$A$1:$C$73,3,FALSE),"NA")</f>
        <v>1North Puget Sound</v>
      </c>
      <c r="K2898" s="108" t="s">
        <v>18</v>
      </c>
      <c r="L2898" s="108" t="str">
        <f>VLOOKUP(K2898,LUTs!E$2:G$14,3,)</f>
        <v>06King</v>
      </c>
      <c r="M2898" s="108" t="str">
        <f>VLOOKUP($K2898,LUTs!$E$2:$H$14,2,)</f>
        <v>South Puget Sound</v>
      </c>
      <c r="N2898" s="108" t="str">
        <f>VLOOKUP($K2898,LUTs!$E$2:$H$14,4,)</f>
        <v>02South Puget Sound</v>
      </c>
      <c r="O2898" s="108">
        <v>31.8461538461539</v>
      </c>
      <c r="P2898" s="108">
        <v>109.55076923076901</v>
      </c>
      <c r="Q2898" s="108">
        <f>SUMIFS('FW_Salmon_by_Month_2010-2021'!P$2:P$3810,'FW_Salmon_by_Month_2010-2021'!$B$2:$B$3810,'Rec_raw_catch_effort_2010-2021'!$B2898,'FW_Salmon_by_Month_2010-2021'!$H$2:$H$3810,'Rec_raw_catch_effort_2010-2021'!$F2898,'FW_Salmon_by_Month_2010-2021'!$M$2:$M$3810,'Rec_raw_catch_effort_2010-2021'!$K2898)</f>
        <v>31.85</v>
      </c>
      <c r="R2898" s="109">
        <f>VLOOKUP(B2898,Readme!$A$62:$C$74,2,)*Q2898</f>
        <v>112.71843800706993</v>
      </c>
      <c r="S2898" s="140" t="str">
        <f t="shared" si="221"/>
        <v>Y</v>
      </c>
      <c r="T2898" s="154">
        <f t="shared" si="222"/>
        <v>3.4399999999999871</v>
      </c>
      <c r="U2898" s="154">
        <f t="shared" si="223"/>
        <v>3.5390404397824153</v>
      </c>
    </row>
    <row r="2899" spans="1:21" x14ac:dyDescent="0.35">
      <c r="A2899" s="108">
        <v>2890</v>
      </c>
      <c r="B2899" s="108">
        <v>2019</v>
      </c>
      <c r="C2899" s="108" t="s">
        <v>38</v>
      </c>
      <c r="D2899" s="108" t="s">
        <v>143</v>
      </c>
      <c r="E2899" s="108" t="s">
        <v>10</v>
      </c>
      <c r="F2899" s="116">
        <v>884</v>
      </c>
      <c r="G2899" s="108" t="s">
        <v>66</v>
      </c>
      <c r="H2899" s="108" t="str">
        <f t="shared" si="220"/>
        <v>Whatcom Creek</v>
      </c>
      <c r="I2899" s="108" t="str">
        <f>IFERROR(VLOOKUP(H2899,LUTs!$A$1:$C$73,2,FALSE),"NA")</f>
        <v>Whatcom</v>
      </c>
      <c r="J2899" s="108" t="str">
        <f>IFERROR(VLOOKUP(H2899,LUTs!$A$1:$C$73,3,FALSE),"NA")</f>
        <v>1North Puget Sound</v>
      </c>
      <c r="K2899" s="108" t="s">
        <v>15</v>
      </c>
      <c r="L2899" s="108" t="str">
        <f>VLOOKUP(K2899,LUTs!E$2:G$14,3,)</f>
        <v>02Skagit</v>
      </c>
      <c r="M2899" s="108" t="str">
        <f>VLOOKUP($K2899,LUTs!$E$2:$H$14,2,)</f>
        <v>North Puget Sound</v>
      </c>
      <c r="N2899" s="108" t="str">
        <f>VLOOKUP($K2899,LUTs!$E$2:$H$14,4,)</f>
        <v>01North Puget Sound</v>
      </c>
      <c r="O2899" s="108">
        <v>74.307692307692307</v>
      </c>
      <c r="P2899" s="108">
        <v>255.61846153846199</v>
      </c>
      <c r="Q2899" s="108">
        <f>SUMIFS('FW_Salmon_by_Month_2010-2021'!P$2:P$3810,'FW_Salmon_by_Month_2010-2021'!$B$2:$B$3810,'Rec_raw_catch_effort_2010-2021'!$B2899,'FW_Salmon_by_Month_2010-2021'!$H$2:$H$3810,'Rec_raw_catch_effort_2010-2021'!$F2899,'FW_Salmon_by_Month_2010-2021'!$M$2:$M$3810,'Rec_raw_catch_effort_2010-2021'!$K2899)</f>
        <v>75.599999999999994</v>
      </c>
      <c r="R2899" s="109">
        <f>VLOOKUP(B2899,Readme!$A$62:$C$74,2,)*Q2899</f>
        <v>267.55145724755056</v>
      </c>
      <c r="S2899" s="140" t="str">
        <f t="shared" si="221"/>
        <v>Y</v>
      </c>
      <c r="T2899" s="154">
        <f t="shared" si="222"/>
        <v>3.4400000000000062</v>
      </c>
      <c r="U2899" s="154">
        <f t="shared" si="223"/>
        <v>3.5390404397824149</v>
      </c>
    </row>
    <row r="2900" spans="1:21" x14ac:dyDescent="0.35">
      <c r="A2900" s="108">
        <v>2891</v>
      </c>
      <c r="B2900" s="108">
        <v>2019</v>
      </c>
      <c r="C2900" s="108" t="s">
        <v>38</v>
      </c>
      <c r="D2900" s="108" t="s">
        <v>143</v>
      </c>
      <c r="E2900" s="108" t="s">
        <v>10</v>
      </c>
      <c r="F2900" s="116">
        <v>884</v>
      </c>
      <c r="G2900" s="108" t="s">
        <v>66</v>
      </c>
      <c r="H2900" s="108" t="str">
        <f t="shared" si="220"/>
        <v>Whatcom Creek</v>
      </c>
      <c r="I2900" s="108" t="str">
        <f>IFERROR(VLOOKUP(H2900,LUTs!$A$1:$C$73,2,FALSE),"NA")</f>
        <v>Whatcom</v>
      </c>
      <c r="J2900" s="108" t="str">
        <f>IFERROR(VLOOKUP(H2900,LUTs!$A$1:$C$73,3,FALSE),"NA")</f>
        <v>1North Puget Sound</v>
      </c>
      <c r="K2900" s="108" t="s">
        <v>16</v>
      </c>
      <c r="L2900" s="108" t="str">
        <f>VLOOKUP(K2900,LUTs!E$2:G$14,3,)</f>
        <v>03Snohomish</v>
      </c>
      <c r="M2900" s="108" t="str">
        <f>VLOOKUP($K2900,LUTs!$E$2:$H$14,2,)</f>
        <v>North Puget Sound</v>
      </c>
      <c r="N2900" s="108" t="str">
        <f>VLOOKUP($K2900,LUTs!$E$2:$H$14,4,)</f>
        <v>01North Puget Sound</v>
      </c>
      <c r="O2900" s="108">
        <v>42.461538461538503</v>
      </c>
      <c r="P2900" s="108">
        <v>146.067692307692</v>
      </c>
      <c r="Q2900" s="108">
        <f>SUMIFS('FW_Salmon_by_Month_2010-2021'!P$2:P$3810,'FW_Salmon_by_Month_2010-2021'!$B$2:$B$3810,'Rec_raw_catch_effort_2010-2021'!$B2900,'FW_Salmon_by_Month_2010-2021'!$H$2:$H$3810,'Rec_raw_catch_effort_2010-2021'!$F2900,'FW_Salmon_by_Month_2010-2021'!$M$2:$M$3810,'Rec_raw_catch_effort_2010-2021'!$K2900)</f>
        <v>42.171428571428606</v>
      </c>
      <c r="R2900" s="109">
        <f>VLOOKUP(B2900,Readme!$A$62:$C$74,2,)*Q2900</f>
        <v>149.24639111768141</v>
      </c>
      <c r="S2900" s="140" t="str">
        <f t="shared" si="221"/>
        <v>Y</v>
      </c>
      <c r="T2900" s="154">
        <f t="shared" si="222"/>
        <v>3.4399999999999893</v>
      </c>
      <c r="U2900" s="154">
        <f t="shared" si="223"/>
        <v>3.5390404397824153</v>
      </c>
    </row>
    <row r="2901" spans="1:21" x14ac:dyDescent="0.35">
      <c r="A2901" s="108">
        <v>2889</v>
      </c>
      <c r="B2901" s="108">
        <v>2019</v>
      </c>
      <c r="C2901" s="108" t="s">
        <v>38</v>
      </c>
      <c r="D2901" s="108" t="s">
        <v>143</v>
      </c>
      <c r="E2901" s="108" t="s">
        <v>10</v>
      </c>
      <c r="F2901" s="116">
        <v>884</v>
      </c>
      <c r="G2901" s="108" t="s">
        <v>66</v>
      </c>
      <c r="H2901" s="108" t="str">
        <f t="shared" si="220"/>
        <v>Whatcom Creek</v>
      </c>
      <c r="I2901" s="108" t="str">
        <f>IFERROR(VLOOKUP(H2901,LUTs!$A$1:$C$73,2,FALSE),"NA")</f>
        <v>Whatcom</v>
      </c>
      <c r="J2901" s="108" t="str">
        <f>IFERROR(VLOOKUP(H2901,LUTs!$A$1:$C$73,3,FALSE),"NA")</f>
        <v>1North Puget Sound</v>
      </c>
      <c r="K2901" s="108" t="s">
        <v>13</v>
      </c>
      <c r="L2901" s="108" t="str">
        <f>VLOOKUP(K2901,LUTs!E$2:G$14,3,)</f>
        <v>01Whatcom</v>
      </c>
      <c r="M2901" s="108" t="str">
        <f>VLOOKUP($K2901,LUTs!$E$2:$H$14,2,)</f>
        <v>North Puget Sound</v>
      </c>
      <c r="N2901" s="108" t="str">
        <f>VLOOKUP($K2901,LUTs!$E$2:$H$14,4,)</f>
        <v>01North Puget Sound</v>
      </c>
      <c r="O2901" s="108">
        <v>265.38461538461502</v>
      </c>
      <c r="P2901" s="108">
        <v>912.923076923076</v>
      </c>
      <c r="Q2901" s="108">
        <f>SUMIFS('FW_Salmon_by_Month_2010-2021'!P$2:P$3810,'FW_Salmon_by_Month_2010-2021'!$B$2:$B$3810,'Rec_raw_catch_effort_2010-2021'!$B2901,'FW_Salmon_by_Month_2010-2021'!$H$2:$H$3810,'Rec_raw_catch_effort_2010-2021'!$F2901,'FW_Salmon_by_Month_2010-2021'!$M$2:$M$3810,'Rec_raw_catch_effort_2010-2021'!$K2901)</f>
        <v>264.37857142857138</v>
      </c>
      <c r="R2901" s="109">
        <f>VLOOKUP(B2901,Readme!$A$62:$C$74,2,)*Q2901</f>
        <v>935.64645569761797</v>
      </c>
      <c r="S2901" s="140" t="str">
        <f t="shared" si="221"/>
        <v>Y</v>
      </c>
      <c r="T2901" s="154">
        <f t="shared" si="222"/>
        <v>3.4400000000000013</v>
      </c>
      <c r="U2901" s="154">
        <f t="shared" si="223"/>
        <v>3.5390404397824153</v>
      </c>
    </row>
    <row r="2902" spans="1:21" x14ac:dyDescent="0.35">
      <c r="A2902" s="108">
        <v>2968</v>
      </c>
      <c r="B2902" s="108">
        <v>2020</v>
      </c>
      <c r="C2902" s="108" t="s">
        <v>38</v>
      </c>
      <c r="D2902" s="108" t="s">
        <v>143</v>
      </c>
      <c r="E2902" s="108" t="s">
        <v>10</v>
      </c>
      <c r="F2902" s="116">
        <v>884</v>
      </c>
      <c r="G2902" s="108" t="s">
        <v>66</v>
      </c>
      <c r="H2902" s="108" t="str">
        <f t="shared" si="220"/>
        <v>Whatcom Creek</v>
      </c>
      <c r="I2902" s="108" t="str">
        <f>IFERROR(VLOOKUP(H2902,LUTs!$A$1:$C$73,2,FALSE),"NA")</f>
        <v>Whatcom</v>
      </c>
      <c r="J2902" s="108" t="str">
        <f>IFERROR(VLOOKUP(H2902,LUTs!$A$1:$C$73,3,FALSE),"NA")</f>
        <v>1North Puget Sound</v>
      </c>
      <c r="K2902" s="108" t="s">
        <v>13</v>
      </c>
      <c r="L2902" s="108" t="str">
        <f>VLOOKUP(K2902,LUTs!E$2:G$14,3,)</f>
        <v>01Whatcom</v>
      </c>
      <c r="M2902" s="108" t="str">
        <f>VLOOKUP($K2902,LUTs!$E$2:$H$14,2,)</f>
        <v>North Puget Sound</v>
      </c>
      <c r="N2902" s="108" t="str">
        <f>VLOOKUP($K2902,LUTs!$E$2:$H$14,4,)</f>
        <v>01North Puget Sound</v>
      </c>
      <c r="O2902" s="108">
        <v>12</v>
      </c>
      <c r="P2902" s="108">
        <v>103.8</v>
      </c>
      <c r="Q2902" s="108">
        <f>SUMIFS('FW_Salmon_by_Month_2010-2021'!P$2:P$3810,'FW_Salmon_by_Month_2010-2021'!$B$2:$B$3810,'Rec_raw_catch_effort_2010-2021'!$B2902,'FW_Salmon_by_Month_2010-2021'!$H$2:$H$3810,'Rec_raw_catch_effort_2010-2021'!$F2902,'FW_Salmon_by_Month_2010-2021'!$M$2:$M$3810,'Rec_raw_catch_effort_2010-2021'!$K2902)</f>
        <v>12</v>
      </c>
      <c r="R2902" s="109">
        <f>VLOOKUP(B2902,Readme!$A$62:$C$74,2,)*Q2902</f>
        <v>57.834658849358505</v>
      </c>
      <c r="S2902" s="140" t="str">
        <f t="shared" si="221"/>
        <v>N</v>
      </c>
      <c r="T2902" s="154">
        <f t="shared" si="222"/>
        <v>8.65</v>
      </c>
      <c r="U2902" s="154">
        <f t="shared" si="223"/>
        <v>4.8195549041132084</v>
      </c>
    </row>
    <row r="2903" spans="1:21" x14ac:dyDescent="0.35">
      <c r="A2903" s="108">
        <v>2989</v>
      </c>
      <c r="B2903" s="108">
        <v>2021</v>
      </c>
      <c r="C2903" s="108" t="s">
        <v>38</v>
      </c>
      <c r="D2903" s="108" t="s">
        <v>143</v>
      </c>
      <c r="E2903" s="108" t="s">
        <v>10</v>
      </c>
      <c r="F2903" s="116">
        <v>884</v>
      </c>
      <c r="G2903" s="108" t="s">
        <v>66</v>
      </c>
      <c r="H2903" s="108" t="str">
        <f t="shared" si="220"/>
        <v>Whatcom Creek</v>
      </c>
      <c r="I2903" s="108" t="str">
        <f>IFERROR(VLOOKUP(H2903,LUTs!$A$1:$C$73,2,FALSE),"NA")</f>
        <v>Whatcom</v>
      </c>
      <c r="J2903" s="108" t="str">
        <f>IFERROR(VLOOKUP(H2903,LUTs!$A$1:$C$73,3,FALSE),"NA")</f>
        <v>1North Puget Sound</v>
      </c>
      <c r="K2903" s="108" t="s">
        <v>13</v>
      </c>
      <c r="L2903" s="108" t="str">
        <f>VLOOKUP(K2903,LUTs!E$2:G$14,3,)</f>
        <v>01Whatcom</v>
      </c>
      <c r="M2903" s="108" t="str">
        <f>VLOOKUP($K2903,LUTs!$E$2:$H$14,2,)</f>
        <v>North Puget Sound</v>
      </c>
      <c r="N2903" s="108" t="str">
        <f>VLOOKUP($K2903,LUTs!$E$2:$H$14,4,)</f>
        <v>01North Puget Sound</v>
      </c>
      <c r="O2903" s="108">
        <v>28</v>
      </c>
      <c r="P2903" s="108">
        <v>96.32</v>
      </c>
      <c r="Q2903" s="108">
        <f>SUMIFS('FW_Salmon_by_Month_2010-2021'!P$2:P$3810,'FW_Salmon_by_Month_2010-2021'!$B$2:$B$3810,'Rec_raw_catch_effort_2010-2021'!$B2903,'FW_Salmon_by_Month_2010-2021'!$H$2:$H$3810,'Rec_raw_catch_effort_2010-2021'!$F2903,'FW_Salmon_by_Month_2010-2021'!$M$2:$M$3810,'Rec_raw_catch_effort_2010-2021'!$K2903)</f>
        <v>28</v>
      </c>
      <c r="R2903" s="109">
        <f>VLOOKUP(B2903,Readme!$A$62:$C$74,2,)*Q2903</f>
        <v>99.093132313907631</v>
      </c>
      <c r="S2903" s="140" t="str">
        <f t="shared" si="221"/>
        <v>N</v>
      </c>
      <c r="T2903" s="154">
        <f t="shared" si="222"/>
        <v>3.44</v>
      </c>
      <c r="U2903" s="154">
        <f t="shared" si="223"/>
        <v>3.5390404397824153</v>
      </c>
    </row>
    <row r="2904" spans="1:21" x14ac:dyDescent="0.35">
      <c r="A2904" s="107">
        <v>2728</v>
      </c>
      <c r="B2904" s="107">
        <v>2010</v>
      </c>
      <c r="C2904" s="107" t="s">
        <v>9</v>
      </c>
      <c r="D2904" s="107" t="s">
        <v>132</v>
      </c>
      <c r="E2904" s="107" t="s">
        <v>86</v>
      </c>
      <c r="F2904" s="115">
        <v>9</v>
      </c>
      <c r="G2904" s="107" t="s">
        <v>33</v>
      </c>
      <c r="H2904" s="107" t="str">
        <f t="shared" si="220"/>
        <v>Area 9: Admiralty Inlet</v>
      </c>
      <c r="I2904" s="107" t="str">
        <f>IFERROR(VLOOKUP(H2904,LUTs!$A$1:$C$73,2,FALSE),"NA")</f>
        <v>NA</v>
      </c>
      <c r="J2904" s="107" t="str">
        <f>IFERROR(VLOOKUP(H2904,LUTs!$A$1:$C$73,3,FALSE),"NA")</f>
        <v>2Central Puget Sound</v>
      </c>
      <c r="K2904" s="107" t="s">
        <v>17</v>
      </c>
      <c r="L2904" s="107" t="str">
        <f>VLOOKUP(K2904,LUTs!E$2:G$14,3,)</f>
        <v>04Island</v>
      </c>
      <c r="M2904" s="107" t="str">
        <f>VLOOKUP($K2904,LUTs!$E$2:$H$14,2,)</f>
        <v>North Puget Sound</v>
      </c>
      <c r="N2904" s="107" t="str">
        <f>VLOOKUP($K2904,LUTs!$E$2:$H$14,4,)</f>
        <v>01North Puget Sound</v>
      </c>
      <c r="O2904" s="107">
        <v>49.256410256410298</v>
      </c>
      <c r="P2904" s="107">
        <v>420.64974358974399</v>
      </c>
      <c r="Q2904" s="107">
        <f t="shared" ref="Q2904:Q2935" si="224">O2904</f>
        <v>49.256410256410298</v>
      </c>
      <c r="R2904" s="166">
        <f>VLOOKUP(B2904,Existing_Conditions!$C$145:$D$156,2,)*'Rec_raw_catch_effort_2010-2021'!Q2904</f>
        <v>508.98979895494324</v>
      </c>
      <c r="S2904" s="140" t="str">
        <f t="shared" si="221"/>
        <v>Y</v>
      </c>
      <c r="T2904" s="154">
        <f t="shared" si="222"/>
        <v>8.5400000000000009</v>
      </c>
      <c r="U2904" s="154">
        <f t="shared" si="223"/>
        <v>10.333473273942097</v>
      </c>
    </row>
    <row r="2905" spans="1:21" x14ac:dyDescent="0.35">
      <c r="A2905" s="107">
        <v>2730</v>
      </c>
      <c r="B2905" s="107">
        <v>2010</v>
      </c>
      <c r="C2905" s="107" t="s">
        <v>9</v>
      </c>
      <c r="D2905" s="107" t="s">
        <v>132</v>
      </c>
      <c r="E2905" s="107" t="s">
        <v>86</v>
      </c>
      <c r="F2905" s="115">
        <v>9</v>
      </c>
      <c r="G2905" s="107" t="s">
        <v>33</v>
      </c>
      <c r="H2905" s="107" t="str">
        <f t="shared" si="220"/>
        <v>Area 9: Admiralty Inlet</v>
      </c>
      <c r="I2905" s="107" t="str">
        <f>IFERROR(VLOOKUP(H2905,LUTs!$A$1:$C$73,2,FALSE),"NA")</f>
        <v>NA</v>
      </c>
      <c r="J2905" s="107" t="str">
        <f>IFERROR(VLOOKUP(H2905,LUTs!$A$1:$C$73,3,FALSE),"NA")</f>
        <v>2Central Puget Sound</v>
      </c>
      <c r="K2905" s="107" t="s">
        <v>25</v>
      </c>
      <c r="L2905" s="107" t="str">
        <f>VLOOKUP(K2905,LUTs!E$2:G$14,3,)</f>
        <v>12Jefferson</v>
      </c>
      <c r="M2905" s="107" t="str">
        <f>VLOOKUP($K2905,LUTs!$E$2:$H$14,2,)</f>
        <v>Strait of Juan de Fuca</v>
      </c>
      <c r="N2905" s="107" t="str">
        <f>VLOOKUP($K2905,LUTs!$E$2:$H$14,4,)</f>
        <v>03Strait of Juan de Fuca</v>
      </c>
      <c r="O2905" s="107">
        <v>5.7948717948718</v>
      </c>
      <c r="P2905" s="107">
        <v>49.488205128205202</v>
      </c>
      <c r="Q2905" s="107">
        <f t="shared" si="224"/>
        <v>5.7948717948718</v>
      </c>
      <c r="R2905" s="166">
        <f>VLOOKUP(B2905,Existing_Conditions!$C$145:$D$156,2,)*'Rec_raw_catch_effort_2010-2021'!Q2905</f>
        <v>59.881152818228614</v>
      </c>
      <c r="S2905" s="140" t="str">
        <f t="shared" si="221"/>
        <v>Y</v>
      </c>
      <c r="T2905" s="154">
        <f t="shared" si="222"/>
        <v>8.5400000000000045</v>
      </c>
      <c r="U2905" s="154">
        <f t="shared" si="223"/>
        <v>10.333473273942097</v>
      </c>
    </row>
    <row r="2906" spans="1:21" x14ac:dyDescent="0.35">
      <c r="A2906" s="107">
        <v>2729</v>
      </c>
      <c r="B2906" s="107">
        <v>2010</v>
      </c>
      <c r="C2906" s="107" t="s">
        <v>9</v>
      </c>
      <c r="D2906" s="107" t="s">
        <v>132</v>
      </c>
      <c r="E2906" s="107" t="s">
        <v>86</v>
      </c>
      <c r="F2906" s="115">
        <v>9</v>
      </c>
      <c r="G2906" s="107" t="s">
        <v>33</v>
      </c>
      <c r="H2906" s="107" t="str">
        <f t="shared" si="220"/>
        <v>Area 9: Admiralty Inlet</v>
      </c>
      <c r="I2906" s="107" t="str">
        <f>IFERROR(VLOOKUP(H2906,LUTs!$A$1:$C$73,2,FALSE),"NA")</f>
        <v>NA</v>
      </c>
      <c r="J2906" s="107" t="str">
        <f>IFERROR(VLOOKUP(H2906,LUTs!$A$1:$C$73,3,FALSE),"NA")</f>
        <v>2Central Puget Sound</v>
      </c>
      <c r="K2906" s="107" t="s">
        <v>18</v>
      </c>
      <c r="L2906" s="107" t="str">
        <f>VLOOKUP(K2906,LUTs!E$2:G$14,3,)</f>
        <v>06King</v>
      </c>
      <c r="M2906" s="107" t="str">
        <f>VLOOKUP($K2906,LUTs!$E$2:$H$14,2,)</f>
        <v>South Puget Sound</v>
      </c>
      <c r="N2906" s="107" t="str">
        <f>VLOOKUP($K2906,LUTs!$E$2:$H$14,4,)</f>
        <v>02South Puget Sound</v>
      </c>
      <c r="O2906" s="107">
        <v>11.5897435897436</v>
      </c>
      <c r="P2906" s="107">
        <v>98.976410256410304</v>
      </c>
      <c r="Q2906" s="107">
        <f t="shared" si="224"/>
        <v>11.5897435897436</v>
      </c>
      <c r="R2906" s="166">
        <f>VLOOKUP(B2906,Existing_Conditions!$C$145:$D$156,2,)*'Rec_raw_catch_effort_2010-2021'!Q2906</f>
        <v>119.76230563645723</v>
      </c>
      <c r="S2906" s="140" t="str">
        <f t="shared" si="221"/>
        <v>Y</v>
      </c>
      <c r="T2906" s="154">
        <f t="shared" si="222"/>
        <v>8.5399999999999974</v>
      </c>
      <c r="U2906" s="154">
        <f t="shared" si="223"/>
        <v>10.333473273942097</v>
      </c>
    </row>
    <row r="2907" spans="1:21" x14ac:dyDescent="0.35">
      <c r="A2907" s="107">
        <v>2731</v>
      </c>
      <c r="B2907" s="107">
        <v>2010</v>
      </c>
      <c r="C2907" s="107" t="s">
        <v>9</v>
      </c>
      <c r="D2907" s="107" t="s">
        <v>132</v>
      </c>
      <c r="E2907" s="107" t="s">
        <v>86</v>
      </c>
      <c r="F2907" s="115">
        <v>9</v>
      </c>
      <c r="G2907" s="107" t="s">
        <v>33</v>
      </c>
      <c r="H2907" s="107" t="str">
        <f t="shared" si="220"/>
        <v>Area 9: Admiralty Inlet</v>
      </c>
      <c r="I2907" s="107" t="str">
        <f>IFERROR(VLOOKUP(H2907,LUTs!$A$1:$C$73,2,FALSE),"NA")</f>
        <v>NA</v>
      </c>
      <c r="J2907" s="107" t="str">
        <f>IFERROR(VLOOKUP(H2907,LUTs!$A$1:$C$73,3,FALSE),"NA")</f>
        <v>2Central Puget Sound</v>
      </c>
      <c r="K2907" s="107" t="s">
        <v>26</v>
      </c>
      <c r="L2907" s="107" t="str">
        <f>VLOOKUP(K2907,LUTs!E$2:G$14,3,)</f>
        <v>20Other</v>
      </c>
      <c r="M2907" s="107" t="str">
        <f>VLOOKUP($K2907,LUTs!$E$2:$H$14,2,)</f>
        <v>Non Puget Sound</v>
      </c>
      <c r="N2907" s="107" t="str">
        <f>VLOOKUP($K2907,LUTs!$E$2:$H$14,4,)</f>
        <v>07Non Puget Sound</v>
      </c>
      <c r="O2907" s="107">
        <v>2.8974358974359</v>
      </c>
      <c r="P2907" s="107">
        <v>24.744102564102601</v>
      </c>
      <c r="Q2907" s="107">
        <f t="shared" si="224"/>
        <v>2.8974358974359</v>
      </c>
      <c r="R2907" s="166">
        <f>VLOOKUP(B2907,Existing_Conditions!$C$145:$D$156,2,)*'Rec_raw_catch_effort_2010-2021'!Q2907</f>
        <v>29.940576409114307</v>
      </c>
      <c r="S2907" s="140" t="str">
        <f t="shared" si="221"/>
        <v>Y</v>
      </c>
      <c r="T2907" s="154">
        <f t="shared" si="222"/>
        <v>8.5400000000000045</v>
      </c>
      <c r="U2907" s="154">
        <f t="shared" si="223"/>
        <v>10.333473273942097</v>
      </c>
    </row>
    <row r="2908" spans="1:21" x14ac:dyDescent="0.35">
      <c r="A2908" s="107">
        <v>2727</v>
      </c>
      <c r="B2908" s="107">
        <v>2010</v>
      </c>
      <c r="C2908" s="107" t="s">
        <v>9</v>
      </c>
      <c r="D2908" s="107" t="s">
        <v>132</v>
      </c>
      <c r="E2908" s="107" t="s">
        <v>86</v>
      </c>
      <c r="F2908" s="115">
        <v>9</v>
      </c>
      <c r="G2908" s="107" t="s">
        <v>33</v>
      </c>
      <c r="H2908" s="107" t="str">
        <f t="shared" si="220"/>
        <v>Area 9: Admiralty Inlet</v>
      </c>
      <c r="I2908" s="107" t="str">
        <f>IFERROR(VLOOKUP(H2908,LUTs!$A$1:$C$73,2,FALSE),"NA")</f>
        <v>NA</v>
      </c>
      <c r="J2908" s="107" t="str">
        <f>IFERROR(VLOOKUP(H2908,LUTs!$A$1:$C$73,3,FALSE),"NA")</f>
        <v>2Central Puget Sound</v>
      </c>
      <c r="K2908" s="107" t="s">
        <v>16</v>
      </c>
      <c r="L2908" s="107" t="str">
        <f>VLOOKUP(K2908,LUTs!E$2:G$14,3,)</f>
        <v>03Snohomish</v>
      </c>
      <c r="M2908" s="107" t="str">
        <f>VLOOKUP($K2908,LUTs!$E$2:$H$14,2,)</f>
        <v>North Puget Sound</v>
      </c>
      <c r="N2908" s="107" t="str">
        <f>VLOOKUP($K2908,LUTs!$E$2:$H$14,4,)</f>
        <v>01North Puget Sound</v>
      </c>
      <c r="O2908" s="107">
        <v>43.461538461538503</v>
      </c>
      <c r="P2908" s="107">
        <v>371.16153846153901</v>
      </c>
      <c r="Q2908" s="107">
        <f t="shared" si="224"/>
        <v>43.461538461538503</v>
      </c>
      <c r="R2908" s="166">
        <f>VLOOKUP(B2908,Existing_Conditions!$C$145:$D$156,2,)*'Rec_raw_catch_effort_2010-2021'!Q2908</f>
        <v>449.10864613671464</v>
      </c>
      <c r="S2908" s="140" t="str">
        <f t="shared" si="221"/>
        <v>Y</v>
      </c>
      <c r="T2908" s="154">
        <f t="shared" si="222"/>
        <v>8.5400000000000045</v>
      </c>
      <c r="U2908" s="154">
        <f t="shared" si="223"/>
        <v>10.333473273942097</v>
      </c>
    </row>
    <row r="2909" spans="1:21" x14ac:dyDescent="0.35">
      <c r="A2909" s="107">
        <v>2841</v>
      </c>
      <c r="B2909" s="107">
        <v>2011</v>
      </c>
      <c r="C2909" s="107" t="s">
        <v>9</v>
      </c>
      <c r="D2909" s="107" t="s">
        <v>132</v>
      </c>
      <c r="E2909" s="107" t="s">
        <v>86</v>
      </c>
      <c r="F2909" s="115">
        <v>9</v>
      </c>
      <c r="G2909" s="107" t="s">
        <v>33</v>
      </c>
      <c r="H2909" s="107" t="str">
        <f t="shared" si="220"/>
        <v>Area 9: Admiralty Inlet</v>
      </c>
      <c r="I2909" s="107" t="str">
        <f>IFERROR(VLOOKUP(H2909,LUTs!$A$1:$C$73,2,FALSE),"NA")</f>
        <v>NA</v>
      </c>
      <c r="J2909" s="107" t="str">
        <f>IFERROR(VLOOKUP(H2909,LUTs!$A$1:$C$73,3,FALSE),"NA")</f>
        <v>2Central Puget Sound</v>
      </c>
      <c r="K2909" s="107" t="s">
        <v>17</v>
      </c>
      <c r="L2909" s="107" t="str">
        <f>VLOOKUP(K2909,LUTs!E$2:G$14,3,)</f>
        <v>04Island</v>
      </c>
      <c r="M2909" s="107" t="str">
        <f>VLOOKUP($K2909,LUTs!$E$2:$H$14,2,)</f>
        <v>North Puget Sound</v>
      </c>
      <c r="N2909" s="107" t="str">
        <f>VLOOKUP($K2909,LUTs!$E$2:$H$14,4,)</f>
        <v>01North Puget Sound</v>
      </c>
      <c r="O2909" s="107">
        <v>127.05</v>
      </c>
      <c r="P2909" s="107">
        <v>2356.7775000000001</v>
      </c>
      <c r="Q2909" s="107">
        <f t="shared" si="224"/>
        <v>127.05</v>
      </c>
      <c r="R2909" s="166">
        <f>VLOOKUP(B2909,Existing_Conditions!$C$145:$D$156,2,)*'Rec_raw_catch_effort_2010-2021'!Q2909</f>
        <v>233.21435242959686</v>
      </c>
      <c r="S2909" s="140" t="str">
        <f t="shared" si="221"/>
        <v>Y</v>
      </c>
      <c r="T2909" s="154">
        <f t="shared" si="222"/>
        <v>18.55</v>
      </c>
      <c r="U2909" s="154">
        <f t="shared" si="223"/>
        <v>1.8356108022793929</v>
      </c>
    </row>
    <row r="2910" spans="1:21" x14ac:dyDescent="0.35">
      <c r="A2910" s="107">
        <v>2842</v>
      </c>
      <c r="B2910" s="107">
        <v>2011</v>
      </c>
      <c r="C2910" s="107" t="s">
        <v>9</v>
      </c>
      <c r="D2910" s="107" t="s">
        <v>132</v>
      </c>
      <c r="E2910" s="107" t="s">
        <v>86</v>
      </c>
      <c r="F2910" s="115">
        <v>9</v>
      </c>
      <c r="G2910" s="107" t="s">
        <v>33</v>
      </c>
      <c r="H2910" s="107" t="str">
        <f t="shared" si="220"/>
        <v>Area 9: Admiralty Inlet</v>
      </c>
      <c r="I2910" s="107" t="str">
        <f>IFERROR(VLOOKUP(H2910,LUTs!$A$1:$C$73,2,FALSE),"NA")</f>
        <v>NA</v>
      </c>
      <c r="J2910" s="107" t="str">
        <f>IFERROR(VLOOKUP(H2910,LUTs!$A$1:$C$73,3,FALSE),"NA")</f>
        <v>2Central Puget Sound</v>
      </c>
      <c r="K2910" s="107" t="s">
        <v>18</v>
      </c>
      <c r="L2910" s="107" t="str">
        <f>VLOOKUP(K2910,LUTs!E$2:G$14,3,)</f>
        <v>06King</v>
      </c>
      <c r="M2910" s="107" t="str">
        <f>VLOOKUP($K2910,LUTs!$E$2:$H$14,2,)</f>
        <v>South Puget Sound</v>
      </c>
      <c r="N2910" s="107" t="str">
        <f>VLOOKUP($K2910,LUTs!$E$2:$H$14,4,)</f>
        <v>02South Puget Sound</v>
      </c>
      <c r="O2910" s="107">
        <v>3.85</v>
      </c>
      <c r="P2910" s="107">
        <v>71.417500000000004</v>
      </c>
      <c r="Q2910" s="107">
        <f t="shared" si="224"/>
        <v>3.85</v>
      </c>
      <c r="R2910" s="166">
        <f>VLOOKUP(B2910,Existing_Conditions!$C$145:$D$156,2,)*'Rec_raw_catch_effort_2010-2021'!Q2910</f>
        <v>7.067101588775663</v>
      </c>
      <c r="S2910" s="140" t="str">
        <f t="shared" si="221"/>
        <v>Y</v>
      </c>
      <c r="T2910" s="154">
        <f t="shared" si="222"/>
        <v>18.55</v>
      </c>
      <c r="U2910" s="154">
        <f t="shared" si="223"/>
        <v>1.8356108022793929</v>
      </c>
    </row>
    <row r="2911" spans="1:21" x14ac:dyDescent="0.35">
      <c r="A2911" s="107">
        <v>1354</v>
      </c>
      <c r="B2911" s="107">
        <v>2011</v>
      </c>
      <c r="C2911" s="107" t="s">
        <v>9</v>
      </c>
      <c r="D2911" s="107" t="s">
        <v>132</v>
      </c>
      <c r="E2911" s="107" t="s">
        <v>86</v>
      </c>
      <c r="F2911" s="115">
        <v>9</v>
      </c>
      <c r="G2911" s="107" t="s">
        <v>33</v>
      </c>
      <c r="H2911" s="107" t="str">
        <f t="shared" si="220"/>
        <v>Area 9: Admiralty Inlet</v>
      </c>
      <c r="I2911" s="107" t="str">
        <f>IFERROR(VLOOKUP(H2911,LUTs!$A$1:$C$73,2,FALSE),"NA")</f>
        <v>NA</v>
      </c>
      <c r="J2911" s="107" t="str">
        <f>IFERROR(VLOOKUP(H2911,LUTs!$A$1:$C$73,3,FALSE),"NA")</f>
        <v>2Central Puget Sound</v>
      </c>
      <c r="K2911" s="107" t="s">
        <v>26</v>
      </c>
      <c r="L2911" s="107" t="str">
        <f>VLOOKUP(K2911,LUTs!E$2:G$14,3,)</f>
        <v>20Other</v>
      </c>
      <c r="M2911" s="107" t="str">
        <f>VLOOKUP($K2911,LUTs!$E$2:$H$14,2,)</f>
        <v>Non Puget Sound</v>
      </c>
      <c r="N2911" s="107" t="str">
        <f>VLOOKUP($K2911,LUTs!$E$2:$H$14,4,)</f>
        <v>07Non Puget Sound</v>
      </c>
      <c r="O2911" s="107">
        <v>3.85</v>
      </c>
      <c r="P2911" s="107">
        <v>71.417500000000004</v>
      </c>
      <c r="Q2911" s="107">
        <f t="shared" si="224"/>
        <v>3.85</v>
      </c>
      <c r="R2911" s="166">
        <f>VLOOKUP(B2911,Existing_Conditions!$C$145:$D$156,2,)*'Rec_raw_catch_effort_2010-2021'!Q2911</f>
        <v>7.067101588775663</v>
      </c>
      <c r="S2911" s="140" t="str">
        <f t="shared" si="221"/>
        <v>Y</v>
      </c>
      <c r="T2911" s="154">
        <f t="shared" si="222"/>
        <v>18.55</v>
      </c>
      <c r="U2911" s="154">
        <f t="shared" si="223"/>
        <v>1.8356108022793929</v>
      </c>
    </row>
    <row r="2912" spans="1:21" x14ac:dyDescent="0.35">
      <c r="A2912" s="107">
        <v>2839</v>
      </c>
      <c r="B2912" s="107">
        <v>2011</v>
      </c>
      <c r="C2912" s="107" t="s">
        <v>9</v>
      </c>
      <c r="D2912" s="107" t="s">
        <v>132</v>
      </c>
      <c r="E2912" s="107" t="s">
        <v>86</v>
      </c>
      <c r="F2912" s="115">
        <v>9</v>
      </c>
      <c r="G2912" s="107" t="s">
        <v>33</v>
      </c>
      <c r="H2912" s="107" t="str">
        <f t="shared" si="220"/>
        <v>Area 9: Admiralty Inlet</v>
      </c>
      <c r="I2912" s="107" t="str">
        <f>IFERROR(VLOOKUP(H2912,LUTs!$A$1:$C$73,2,FALSE),"NA")</f>
        <v>NA</v>
      </c>
      <c r="J2912" s="107" t="str">
        <f>IFERROR(VLOOKUP(H2912,LUTs!$A$1:$C$73,3,FALSE),"NA")</f>
        <v>2Central Puget Sound</v>
      </c>
      <c r="K2912" s="107" t="s">
        <v>15</v>
      </c>
      <c r="L2912" s="107" t="str">
        <f>VLOOKUP(K2912,LUTs!E$2:G$14,3,)</f>
        <v>02Skagit</v>
      </c>
      <c r="M2912" s="107" t="str">
        <f>VLOOKUP($K2912,LUTs!$E$2:$H$14,2,)</f>
        <v>North Puget Sound</v>
      </c>
      <c r="N2912" s="107" t="str">
        <f>VLOOKUP($K2912,LUTs!$E$2:$H$14,4,)</f>
        <v>01North Puget Sound</v>
      </c>
      <c r="O2912" s="107">
        <v>3.85</v>
      </c>
      <c r="P2912" s="107">
        <v>71.417500000000004</v>
      </c>
      <c r="Q2912" s="107">
        <f t="shared" si="224"/>
        <v>3.85</v>
      </c>
      <c r="R2912" s="166">
        <f>VLOOKUP(B2912,Existing_Conditions!$C$145:$D$156,2,)*'Rec_raw_catch_effort_2010-2021'!Q2912</f>
        <v>7.067101588775663</v>
      </c>
      <c r="S2912" s="140" t="str">
        <f t="shared" si="221"/>
        <v>Y</v>
      </c>
      <c r="T2912" s="154">
        <f t="shared" si="222"/>
        <v>18.55</v>
      </c>
      <c r="U2912" s="154">
        <f t="shared" si="223"/>
        <v>1.8356108022793929</v>
      </c>
    </row>
    <row r="2913" spans="1:21" x14ac:dyDescent="0.35">
      <c r="A2913" s="107">
        <v>2840</v>
      </c>
      <c r="B2913" s="107">
        <v>2011</v>
      </c>
      <c r="C2913" s="107" t="s">
        <v>9</v>
      </c>
      <c r="D2913" s="107" t="s">
        <v>132</v>
      </c>
      <c r="E2913" s="107" t="s">
        <v>86</v>
      </c>
      <c r="F2913" s="115">
        <v>9</v>
      </c>
      <c r="G2913" s="107" t="s">
        <v>33</v>
      </c>
      <c r="H2913" s="107" t="str">
        <f t="shared" si="220"/>
        <v>Area 9: Admiralty Inlet</v>
      </c>
      <c r="I2913" s="107" t="str">
        <f>IFERROR(VLOOKUP(H2913,LUTs!$A$1:$C$73,2,FALSE),"NA")</f>
        <v>NA</v>
      </c>
      <c r="J2913" s="107" t="str">
        <f>IFERROR(VLOOKUP(H2913,LUTs!$A$1:$C$73,3,FALSE),"NA")</f>
        <v>2Central Puget Sound</v>
      </c>
      <c r="K2913" s="107" t="s">
        <v>16</v>
      </c>
      <c r="L2913" s="107" t="str">
        <f>VLOOKUP(K2913,LUTs!E$2:G$14,3,)</f>
        <v>03Snohomish</v>
      </c>
      <c r="M2913" s="107" t="str">
        <f>VLOOKUP($K2913,LUTs!$E$2:$H$14,2,)</f>
        <v>North Puget Sound</v>
      </c>
      <c r="N2913" s="107" t="str">
        <f>VLOOKUP($K2913,LUTs!$E$2:$H$14,4,)</f>
        <v>01North Puget Sound</v>
      </c>
      <c r="O2913" s="107">
        <v>15.4</v>
      </c>
      <c r="P2913" s="107">
        <v>285.67</v>
      </c>
      <c r="Q2913" s="107">
        <f t="shared" si="224"/>
        <v>15.4</v>
      </c>
      <c r="R2913" s="166">
        <f>VLOOKUP(B2913,Existing_Conditions!$C$145:$D$156,2,)*'Rec_raw_catch_effort_2010-2021'!Q2913</f>
        <v>28.268406355102652</v>
      </c>
      <c r="S2913" s="140" t="str">
        <f t="shared" si="221"/>
        <v>Y</v>
      </c>
      <c r="T2913" s="154">
        <f t="shared" si="222"/>
        <v>18.55</v>
      </c>
      <c r="U2913" s="154">
        <f t="shared" si="223"/>
        <v>1.8356108022793929</v>
      </c>
    </row>
    <row r="2914" spans="1:21" x14ac:dyDescent="0.35">
      <c r="A2914" s="107">
        <v>1359</v>
      </c>
      <c r="B2914" s="107">
        <v>2012</v>
      </c>
      <c r="C2914" s="107" t="s">
        <v>9</v>
      </c>
      <c r="D2914" s="107" t="s">
        <v>132</v>
      </c>
      <c r="E2914" s="107" t="s">
        <v>86</v>
      </c>
      <c r="F2914" s="115">
        <v>9</v>
      </c>
      <c r="G2914" s="107" t="s">
        <v>33</v>
      </c>
      <c r="H2914" s="107" t="str">
        <f t="shared" si="220"/>
        <v>Area 9: Admiralty Inlet</v>
      </c>
      <c r="I2914" s="107" t="str">
        <f>IFERROR(VLOOKUP(H2914,LUTs!$A$1:$C$73,2,FALSE),"NA")</f>
        <v>NA</v>
      </c>
      <c r="J2914" s="107" t="str">
        <f>IFERROR(VLOOKUP(H2914,LUTs!$A$1:$C$73,3,FALSE),"NA")</f>
        <v>2Central Puget Sound</v>
      </c>
      <c r="K2914" s="107" t="s">
        <v>17</v>
      </c>
      <c r="L2914" s="107" t="str">
        <f>VLOOKUP(K2914,LUTs!E$2:G$14,3,)</f>
        <v>04Island</v>
      </c>
      <c r="M2914" s="107" t="str">
        <f>VLOOKUP($K2914,LUTs!$E$2:$H$14,2,)</f>
        <v>North Puget Sound</v>
      </c>
      <c r="N2914" s="107" t="str">
        <f>VLOOKUP($K2914,LUTs!$E$2:$H$14,4,)</f>
        <v>01North Puget Sound</v>
      </c>
      <c r="O2914" s="107">
        <v>36.807692307692299</v>
      </c>
      <c r="P2914" s="107">
        <v>314.33769230769201</v>
      </c>
      <c r="Q2914" s="107">
        <f t="shared" si="224"/>
        <v>36.807692307692299</v>
      </c>
      <c r="R2914" s="166">
        <f>VLOOKUP(B2914,Existing_Conditions!$C$145:$D$156,2,)*'Rec_raw_catch_effort_2010-2021'!Q2914</f>
        <v>79.166724622559812</v>
      </c>
      <c r="S2914" s="140" t="str">
        <f t="shared" si="221"/>
        <v>Y</v>
      </c>
      <c r="T2914" s="154">
        <f t="shared" si="222"/>
        <v>8.5399999999999938</v>
      </c>
      <c r="U2914" s="154">
        <f t="shared" si="223"/>
        <v>2.1508201046881457</v>
      </c>
    </row>
    <row r="2915" spans="1:21" x14ac:dyDescent="0.35">
      <c r="A2915" s="107">
        <v>1360</v>
      </c>
      <c r="B2915" s="107">
        <v>2012</v>
      </c>
      <c r="C2915" s="107" t="s">
        <v>9</v>
      </c>
      <c r="D2915" s="107" t="s">
        <v>132</v>
      </c>
      <c r="E2915" s="107" t="s">
        <v>86</v>
      </c>
      <c r="F2915" s="115">
        <v>9</v>
      </c>
      <c r="G2915" s="107" t="s">
        <v>33</v>
      </c>
      <c r="H2915" s="107" t="str">
        <f t="shared" si="220"/>
        <v>Area 9: Admiralty Inlet</v>
      </c>
      <c r="I2915" s="107" t="str">
        <f>IFERROR(VLOOKUP(H2915,LUTs!$A$1:$C$73,2,FALSE),"NA")</f>
        <v>NA</v>
      </c>
      <c r="J2915" s="107" t="str">
        <f>IFERROR(VLOOKUP(H2915,LUTs!$A$1:$C$73,3,FALSE),"NA")</f>
        <v>2Central Puget Sound</v>
      </c>
      <c r="K2915" s="107" t="s">
        <v>18</v>
      </c>
      <c r="L2915" s="107" t="str">
        <f>VLOOKUP(K2915,LUTs!E$2:G$14,3,)</f>
        <v>06King</v>
      </c>
      <c r="M2915" s="107" t="str">
        <f>VLOOKUP($K2915,LUTs!$E$2:$H$14,2,)</f>
        <v>South Puget Sound</v>
      </c>
      <c r="N2915" s="107" t="str">
        <f>VLOOKUP($K2915,LUTs!$E$2:$H$14,4,)</f>
        <v>02South Puget Sound</v>
      </c>
      <c r="O2915" s="107">
        <v>6.6923076923076898</v>
      </c>
      <c r="P2915" s="107">
        <v>57.152307692307701</v>
      </c>
      <c r="Q2915" s="107">
        <f t="shared" si="224"/>
        <v>6.6923076923076898</v>
      </c>
      <c r="R2915" s="166">
        <f>VLOOKUP(B2915,Existing_Conditions!$C$145:$D$156,2,)*'Rec_raw_catch_effort_2010-2021'!Q2915</f>
        <v>14.393949931374507</v>
      </c>
      <c r="S2915" s="140" t="str">
        <f t="shared" si="221"/>
        <v>Y</v>
      </c>
      <c r="T2915" s="154">
        <f t="shared" si="222"/>
        <v>8.5400000000000045</v>
      </c>
      <c r="U2915" s="154">
        <f t="shared" si="223"/>
        <v>2.1508201046881457</v>
      </c>
    </row>
    <row r="2916" spans="1:21" x14ac:dyDescent="0.35">
      <c r="A2916" s="107">
        <v>1362</v>
      </c>
      <c r="B2916" s="107">
        <v>2012</v>
      </c>
      <c r="C2916" s="107" t="s">
        <v>9</v>
      </c>
      <c r="D2916" s="107" t="s">
        <v>132</v>
      </c>
      <c r="E2916" s="107" t="s">
        <v>86</v>
      </c>
      <c r="F2916" s="115">
        <v>9</v>
      </c>
      <c r="G2916" s="107" t="s">
        <v>33</v>
      </c>
      <c r="H2916" s="107" t="str">
        <f t="shared" si="220"/>
        <v>Area 9: Admiralty Inlet</v>
      </c>
      <c r="I2916" s="107" t="str">
        <f>IFERROR(VLOOKUP(H2916,LUTs!$A$1:$C$73,2,FALSE),"NA")</f>
        <v>NA</v>
      </c>
      <c r="J2916" s="107" t="str">
        <f>IFERROR(VLOOKUP(H2916,LUTs!$A$1:$C$73,3,FALSE),"NA")</f>
        <v>2Central Puget Sound</v>
      </c>
      <c r="K2916" s="107" t="s">
        <v>23</v>
      </c>
      <c r="L2916" s="107" t="str">
        <f>VLOOKUP(K2916,LUTs!E$2:G$14,3,)</f>
        <v>10Kitsap</v>
      </c>
      <c r="M2916" s="107" t="str">
        <f>VLOOKUP($K2916,LUTs!$E$2:$H$14,2,)</f>
        <v>South Puget Sound</v>
      </c>
      <c r="N2916" s="107" t="str">
        <f>VLOOKUP($K2916,LUTs!$E$2:$H$14,4,)</f>
        <v>02South Puget Sound</v>
      </c>
      <c r="O2916" s="107">
        <v>13.384615384615399</v>
      </c>
      <c r="P2916" s="107">
        <v>114.304615384616</v>
      </c>
      <c r="Q2916" s="107">
        <f t="shared" si="224"/>
        <v>13.384615384615399</v>
      </c>
      <c r="R2916" s="166">
        <f>VLOOKUP(B2916,Existing_Conditions!$C$145:$D$156,2,)*'Rec_raw_catch_effort_2010-2021'!Q2916</f>
        <v>28.787899862749057</v>
      </c>
      <c r="S2916" s="140" t="str">
        <f t="shared" si="221"/>
        <v>Y</v>
      </c>
      <c r="T2916" s="154">
        <f t="shared" si="222"/>
        <v>8.5400000000000365</v>
      </c>
      <c r="U2916" s="154">
        <f t="shared" si="223"/>
        <v>2.1508201046881457</v>
      </c>
    </row>
    <row r="2917" spans="1:21" x14ac:dyDescent="0.35">
      <c r="A2917" s="107">
        <v>1363</v>
      </c>
      <c r="B2917" s="107">
        <v>2012</v>
      </c>
      <c r="C2917" s="107" t="s">
        <v>9</v>
      </c>
      <c r="D2917" s="107" t="s">
        <v>132</v>
      </c>
      <c r="E2917" s="107" t="s">
        <v>86</v>
      </c>
      <c r="F2917" s="115">
        <v>9</v>
      </c>
      <c r="G2917" s="107" t="s">
        <v>33</v>
      </c>
      <c r="H2917" s="107" t="str">
        <f t="shared" si="220"/>
        <v>Area 9: Admiralty Inlet</v>
      </c>
      <c r="I2917" s="107" t="str">
        <f>IFERROR(VLOOKUP(H2917,LUTs!$A$1:$C$73,2,FALSE),"NA")</f>
        <v>NA</v>
      </c>
      <c r="J2917" s="107" t="str">
        <f>IFERROR(VLOOKUP(H2917,LUTs!$A$1:$C$73,3,FALSE),"NA")</f>
        <v>2Central Puget Sound</v>
      </c>
      <c r="K2917" s="107" t="s">
        <v>26</v>
      </c>
      <c r="L2917" s="107" t="str">
        <f>VLOOKUP(K2917,LUTs!E$2:G$14,3,)</f>
        <v>20Other</v>
      </c>
      <c r="M2917" s="107" t="str">
        <f>VLOOKUP($K2917,LUTs!$E$2:$H$14,2,)</f>
        <v>Non Puget Sound</v>
      </c>
      <c r="N2917" s="107" t="str">
        <f>VLOOKUP($K2917,LUTs!$E$2:$H$14,4,)</f>
        <v>07Non Puget Sound</v>
      </c>
      <c r="O2917" s="107">
        <v>6.6923076923076898</v>
      </c>
      <c r="P2917" s="107">
        <v>57.152307692307701</v>
      </c>
      <c r="Q2917" s="107">
        <f t="shared" si="224"/>
        <v>6.6923076923076898</v>
      </c>
      <c r="R2917" s="166">
        <f>VLOOKUP(B2917,Existing_Conditions!$C$145:$D$156,2,)*'Rec_raw_catch_effort_2010-2021'!Q2917</f>
        <v>14.393949931374507</v>
      </c>
      <c r="S2917" s="140" t="str">
        <f t="shared" si="221"/>
        <v>Y</v>
      </c>
      <c r="T2917" s="154">
        <f t="shared" si="222"/>
        <v>8.5400000000000045</v>
      </c>
      <c r="U2917" s="154">
        <f t="shared" si="223"/>
        <v>2.1508201046881457</v>
      </c>
    </row>
    <row r="2918" spans="1:21" x14ac:dyDescent="0.35">
      <c r="A2918" s="107">
        <v>1358</v>
      </c>
      <c r="B2918" s="107">
        <v>2012</v>
      </c>
      <c r="C2918" s="107" t="s">
        <v>9</v>
      </c>
      <c r="D2918" s="107" t="s">
        <v>132</v>
      </c>
      <c r="E2918" s="107" t="s">
        <v>86</v>
      </c>
      <c r="F2918" s="115">
        <v>9</v>
      </c>
      <c r="G2918" s="107" t="s">
        <v>33</v>
      </c>
      <c r="H2918" s="107" t="str">
        <f t="shared" si="220"/>
        <v>Area 9: Admiralty Inlet</v>
      </c>
      <c r="I2918" s="107" t="str">
        <f>IFERROR(VLOOKUP(H2918,LUTs!$A$1:$C$73,2,FALSE),"NA")</f>
        <v>NA</v>
      </c>
      <c r="J2918" s="107" t="str">
        <f>IFERROR(VLOOKUP(H2918,LUTs!$A$1:$C$73,3,FALSE),"NA")</f>
        <v>2Central Puget Sound</v>
      </c>
      <c r="K2918" s="107" t="s">
        <v>16</v>
      </c>
      <c r="L2918" s="107" t="str">
        <f>VLOOKUP(K2918,LUTs!E$2:G$14,3,)</f>
        <v>03Snohomish</v>
      </c>
      <c r="M2918" s="107" t="str">
        <f>VLOOKUP($K2918,LUTs!$E$2:$H$14,2,)</f>
        <v>North Puget Sound</v>
      </c>
      <c r="N2918" s="107" t="str">
        <f>VLOOKUP($K2918,LUTs!$E$2:$H$14,4,)</f>
        <v>01North Puget Sound</v>
      </c>
      <c r="O2918" s="107">
        <v>20.076923076923102</v>
      </c>
      <c r="P2918" s="107">
        <v>171.456923076923</v>
      </c>
      <c r="Q2918" s="107">
        <f t="shared" si="224"/>
        <v>20.076923076923102</v>
      </c>
      <c r="R2918" s="166">
        <f>VLOOKUP(B2918,Existing_Conditions!$C$145:$D$156,2,)*'Rec_raw_catch_effort_2010-2021'!Q2918</f>
        <v>43.181849794123593</v>
      </c>
      <c r="S2918" s="140" t="str">
        <f t="shared" si="221"/>
        <v>Y</v>
      </c>
      <c r="T2918" s="154">
        <f t="shared" si="222"/>
        <v>8.5399999999999867</v>
      </c>
      <c r="U2918" s="154">
        <f t="shared" si="223"/>
        <v>2.1508201046881457</v>
      </c>
    </row>
    <row r="2919" spans="1:21" x14ac:dyDescent="0.35">
      <c r="A2919" s="107">
        <v>1361</v>
      </c>
      <c r="B2919" s="107">
        <v>2012</v>
      </c>
      <c r="C2919" s="107" t="s">
        <v>9</v>
      </c>
      <c r="D2919" s="107" t="s">
        <v>132</v>
      </c>
      <c r="E2919" s="107" t="s">
        <v>86</v>
      </c>
      <c r="F2919" s="115">
        <v>9</v>
      </c>
      <c r="G2919" s="107" t="s">
        <v>33</v>
      </c>
      <c r="H2919" s="107" t="str">
        <f t="shared" si="220"/>
        <v>Area 9: Admiralty Inlet</v>
      </c>
      <c r="I2919" s="107" t="str">
        <f>IFERROR(VLOOKUP(H2919,LUTs!$A$1:$C$73,2,FALSE),"NA")</f>
        <v>NA</v>
      </c>
      <c r="J2919" s="107" t="str">
        <f>IFERROR(VLOOKUP(H2919,LUTs!$A$1:$C$73,3,FALSE),"NA")</f>
        <v>2Central Puget Sound</v>
      </c>
      <c r="K2919" s="107" t="s">
        <v>21</v>
      </c>
      <c r="L2919" s="107" t="str">
        <f>VLOOKUP(K2919,LUTs!E$2:G$14,3,)</f>
        <v>08Thurston</v>
      </c>
      <c r="M2919" s="107" t="str">
        <f>VLOOKUP($K2919,LUTs!$E$2:$H$14,2,)</f>
        <v>South Puget Sound</v>
      </c>
      <c r="N2919" s="107" t="str">
        <f>VLOOKUP($K2919,LUTs!$E$2:$H$14,4,)</f>
        <v>02South Puget Sound</v>
      </c>
      <c r="O2919" s="107">
        <v>3.3461538461538498</v>
      </c>
      <c r="P2919" s="107">
        <v>28.5761538461539</v>
      </c>
      <c r="Q2919" s="107">
        <f t="shared" si="224"/>
        <v>3.3461538461538498</v>
      </c>
      <c r="R2919" s="166">
        <f>VLOOKUP(B2919,Existing_Conditions!$C$145:$D$156,2,)*'Rec_raw_catch_effort_2010-2021'!Q2919</f>
        <v>7.1969749656872644</v>
      </c>
      <c r="S2919" s="140" t="str">
        <f t="shared" si="221"/>
        <v>Y</v>
      </c>
      <c r="T2919" s="154">
        <f t="shared" si="222"/>
        <v>8.5400000000000063</v>
      </c>
      <c r="U2919" s="154">
        <f t="shared" si="223"/>
        <v>2.1508201046881457</v>
      </c>
    </row>
    <row r="2920" spans="1:21" x14ac:dyDescent="0.35">
      <c r="A2920" s="107">
        <v>1522</v>
      </c>
      <c r="B2920" s="107">
        <v>2013</v>
      </c>
      <c r="C2920" s="107" t="s">
        <v>9</v>
      </c>
      <c r="D2920" s="107" t="s">
        <v>132</v>
      </c>
      <c r="E2920" s="107" t="s">
        <v>86</v>
      </c>
      <c r="F2920" s="115">
        <v>9</v>
      </c>
      <c r="G2920" s="107" t="s">
        <v>33</v>
      </c>
      <c r="H2920" s="107" t="str">
        <f t="shared" si="220"/>
        <v>Area 9: Admiralty Inlet</v>
      </c>
      <c r="I2920" s="107" t="str">
        <f>IFERROR(VLOOKUP(H2920,LUTs!$A$1:$C$73,2,FALSE),"NA")</f>
        <v>NA</v>
      </c>
      <c r="J2920" s="107" t="str">
        <f>IFERROR(VLOOKUP(H2920,LUTs!$A$1:$C$73,3,FALSE),"NA")</f>
        <v>2Central Puget Sound</v>
      </c>
      <c r="K2920" s="107" t="s">
        <v>17</v>
      </c>
      <c r="L2920" s="107" t="str">
        <f>VLOOKUP(K2920,LUTs!E$2:G$14,3,)</f>
        <v>04Island</v>
      </c>
      <c r="M2920" s="107" t="str">
        <f>VLOOKUP($K2920,LUTs!$E$2:$H$14,2,)</f>
        <v>North Puget Sound</v>
      </c>
      <c r="N2920" s="107" t="str">
        <f>VLOOKUP($K2920,LUTs!$E$2:$H$14,4,)</f>
        <v>01North Puget Sound</v>
      </c>
      <c r="O2920" s="107">
        <v>24.588235294117698</v>
      </c>
      <c r="P2920" s="107">
        <v>456.11176470588299</v>
      </c>
      <c r="Q2920" s="107">
        <f t="shared" si="224"/>
        <v>24.588235294117698</v>
      </c>
      <c r="R2920" s="166">
        <f>VLOOKUP(B2920,Existing_Conditions!$C$145:$D$156,2,)*'Rec_raw_catch_effort_2010-2021'!Q2920</f>
        <v>35.862696953308223</v>
      </c>
      <c r="S2920" s="140" t="str">
        <f t="shared" si="221"/>
        <v>Y</v>
      </c>
      <c r="T2920" s="154">
        <f t="shared" si="222"/>
        <v>18.549999999999986</v>
      </c>
      <c r="U2920" s="154">
        <f t="shared" si="223"/>
        <v>1.4585307373354988</v>
      </c>
    </row>
    <row r="2921" spans="1:21" x14ac:dyDescent="0.35">
      <c r="A2921" s="107">
        <v>1524</v>
      </c>
      <c r="B2921" s="107">
        <v>2013</v>
      </c>
      <c r="C2921" s="107" t="s">
        <v>9</v>
      </c>
      <c r="D2921" s="107" t="s">
        <v>132</v>
      </c>
      <c r="E2921" s="107" t="s">
        <v>86</v>
      </c>
      <c r="F2921" s="115">
        <v>9</v>
      </c>
      <c r="G2921" s="107" t="s">
        <v>33</v>
      </c>
      <c r="H2921" s="107" t="str">
        <f t="shared" si="220"/>
        <v>Area 9: Admiralty Inlet</v>
      </c>
      <c r="I2921" s="107" t="str">
        <f>IFERROR(VLOOKUP(H2921,LUTs!$A$1:$C$73,2,FALSE),"NA")</f>
        <v>NA</v>
      </c>
      <c r="J2921" s="107" t="str">
        <f>IFERROR(VLOOKUP(H2921,LUTs!$A$1:$C$73,3,FALSE),"NA")</f>
        <v>2Central Puget Sound</v>
      </c>
      <c r="K2921" s="107" t="s">
        <v>25</v>
      </c>
      <c r="L2921" s="107" t="str">
        <f>VLOOKUP(K2921,LUTs!E$2:G$14,3,)</f>
        <v>12Jefferson</v>
      </c>
      <c r="M2921" s="107" t="str">
        <f>VLOOKUP($K2921,LUTs!$E$2:$H$14,2,)</f>
        <v>Strait of Juan de Fuca</v>
      </c>
      <c r="N2921" s="107" t="str">
        <f>VLOOKUP($K2921,LUTs!$E$2:$H$14,4,)</f>
        <v>03Strait of Juan de Fuca</v>
      </c>
      <c r="O2921" s="107">
        <v>2.2352941176470602</v>
      </c>
      <c r="P2921" s="107">
        <v>41.464705882353002</v>
      </c>
      <c r="Q2921" s="107">
        <f t="shared" si="224"/>
        <v>2.2352941176470602</v>
      </c>
      <c r="R2921" s="166">
        <f>VLOOKUP(B2921,Existing_Conditions!$C$145:$D$156,2,)*'Rec_raw_catch_effort_2010-2021'!Q2921</f>
        <v>3.26024517757347</v>
      </c>
      <c r="S2921" s="140" t="str">
        <f t="shared" si="221"/>
        <v>Y</v>
      </c>
      <c r="T2921" s="154">
        <f t="shared" si="222"/>
        <v>18.550000000000015</v>
      </c>
      <c r="U2921" s="154">
        <f t="shared" si="223"/>
        <v>1.4585307373354988</v>
      </c>
    </row>
    <row r="2922" spans="1:21" x14ac:dyDescent="0.35">
      <c r="A2922" s="107">
        <v>1521</v>
      </c>
      <c r="B2922" s="107">
        <v>2013</v>
      </c>
      <c r="C2922" s="107" t="s">
        <v>9</v>
      </c>
      <c r="D2922" s="107" t="s">
        <v>132</v>
      </c>
      <c r="E2922" s="107" t="s">
        <v>86</v>
      </c>
      <c r="F2922" s="115">
        <v>9</v>
      </c>
      <c r="G2922" s="107" t="s">
        <v>33</v>
      </c>
      <c r="H2922" s="107" t="str">
        <f t="shared" ref="H2922:H2953" si="225">G2922</f>
        <v>Area 9: Admiralty Inlet</v>
      </c>
      <c r="I2922" s="107" t="str">
        <f>IFERROR(VLOOKUP(H2922,LUTs!$A$1:$C$73,2,FALSE),"NA")</f>
        <v>NA</v>
      </c>
      <c r="J2922" s="107" t="str">
        <f>IFERROR(VLOOKUP(H2922,LUTs!$A$1:$C$73,3,FALSE),"NA")</f>
        <v>2Central Puget Sound</v>
      </c>
      <c r="K2922" s="107" t="s">
        <v>16</v>
      </c>
      <c r="L2922" s="107" t="str">
        <f>VLOOKUP(K2922,LUTs!E$2:G$14,3,)</f>
        <v>03Snohomish</v>
      </c>
      <c r="M2922" s="107" t="str">
        <f>VLOOKUP($K2922,LUTs!$E$2:$H$14,2,)</f>
        <v>North Puget Sound</v>
      </c>
      <c r="N2922" s="107" t="str">
        <f>VLOOKUP($K2922,LUTs!$E$2:$H$14,4,)</f>
        <v>01North Puget Sound</v>
      </c>
      <c r="O2922" s="107">
        <v>8.9411764705882408</v>
      </c>
      <c r="P2922" s="107">
        <v>165.85882352941201</v>
      </c>
      <c r="Q2922" s="107">
        <f t="shared" si="224"/>
        <v>8.9411764705882408</v>
      </c>
      <c r="R2922" s="166">
        <f>VLOOKUP(B2922,Existing_Conditions!$C$145:$D$156,2,)*'Rec_raw_catch_effort_2010-2021'!Q2922</f>
        <v>13.04098071029388</v>
      </c>
      <c r="S2922" s="140" t="str">
        <f t="shared" si="221"/>
        <v>Y</v>
      </c>
      <c r="T2922" s="154">
        <f t="shared" si="222"/>
        <v>18.550000000000015</v>
      </c>
      <c r="U2922" s="154">
        <f t="shared" si="223"/>
        <v>1.4585307373354988</v>
      </c>
    </row>
    <row r="2923" spans="1:21" x14ac:dyDescent="0.35">
      <c r="A2923" s="107">
        <v>1523</v>
      </c>
      <c r="B2923" s="107">
        <v>2013</v>
      </c>
      <c r="C2923" s="107" t="s">
        <v>9</v>
      </c>
      <c r="D2923" s="107" t="s">
        <v>132</v>
      </c>
      <c r="E2923" s="107" t="s">
        <v>86</v>
      </c>
      <c r="F2923" s="115">
        <v>9</v>
      </c>
      <c r="G2923" s="107" t="s">
        <v>33</v>
      </c>
      <c r="H2923" s="107" t="str">
        <f t="shared" si="225"/>
        <v>Area 9: Admiralty Inlet</v>
      </c>
      <c r="I2923" s="107" t="str">
        <f>IFERROR(VLOOKUP(H2923,LUTs!$A$1:$C$73,2,FALSE),"NA")</f>
        <v>NA</v>
      </c>
      <c r="J2923" s="107" t="str">
        <f>IFERROR(VLOOKUP(H2923,LUTs!$A$1:$C$73,3,FALSE),"NA")</f>
        <v>2Central Puget Sound</v>
      </c>
      <c r="K2923" s="107" t="s">
        <v>21</v>
      </c>
      <c r="L2923" s="107" t="str">
        <f>VLOOKUP(K2923,LUTs!E$2:G$14,3,)</f>
        <v>08Thurston</v>
      </c>
      <c r="M2923" s="107" t="str">
        <f>VLOOKUP($K2923,LUTs!$E$2:$H$14,2,)</f>
        <v>South Puget Sound</v>
      </c>
      <c r="N2923" s="107" t="str">
        <f>VLOOKUP($K2923,LUTs!$E$2:$H$14,4,)</f>
        <v>02South Puget Sound</v>
      </c>
      <c r="O2923" s="107">
        <v>2.2352941176470602</v>
      </c>
      <c r="P2923" s="107">
        <v>41.464705882353002</v>
      </c>
      <c r="Q2923" s="107">
        <f t="shared" si="224"/>
        <v>2.2352941176470602</v>
      </c>
      <c r="R2923" s="166">
        <f>VLOOKUP(B2923,Existing_Conditions!$C$145:$D$156,2,)*'Rec_raw_catch_effort_2010-2021'!Q2923</f>
        <v>3.26024517757347</v>
      </c>
      <c r="S2923" s="140" t="str">
        <f t="shared" si="221"/>
        <v>Y</v>
      </c>
      <c r="T2923" s="154">
        <f t="shared" si="222"/>
        <v>18.550000000000015</v>
      </c>
      <c r="U2923" s="154">
        <f t="shared" si="223"/>
        <v>1.4585307373354988</v>
      </c>
    </row>
    <row r="2924" spans="1:21" x14ac:dyDescent="0.35">
      <c r="A2924" s="107">
        <v>1527</v>
      </c>
      <c r="B2924" s="107">
        <v>2014</v>
      </c>
      <c r="C2924" s="107" t="s">
        <v>9</v>
      </c>
      <c r="D2924" s="107" t="s">
        <v>132</v>
      </c>
      <c r="E2924" s="107" t="s">
        <v>86</v>
      </c>
      <c r="F2924" s="115">
        <v>9</v>
      </c>
      <c r="G2924" s="107" t="s">
        <v>33</v>
      </c>
      <c r="H2924" s="107" t="str">
        <f t="shared" si="225"/>
        <v>Area 9: Admiralty Inlet</v>
      </c>
      <c r="I2924" s="107" t="str">
        <f>IFERROR(VLOOKUP(H2924,LUTs!$A$1:$C$73,2,FALSE),"NA")</f>
        <v>NA</v>
      </c>
      <c r="J2924" s="107" t="str">
        <f>IFERROR(VLOOKUP(H2924,LUTs!$A$1:$C$73,3,FALSE),"NA")</f>
        <v>2Central Puget Sound</v>
      </c>
      <c r="K2924" s="107" t="s">
        <v>17</v>
      </c>
      <c r="L2924" s="107" t="str">
        <f>VLOOKUP(K2924,LUTs!E$2:G$14,3,)</f>
        <v>04Island</v>
      </c>
      <c r="M2924" s="107" t="str">
        <f>VLOOKUP($K2924,LUTs!$E$2:$H$14,2,)</f>
        <v>North Puget Sound</v>
      </c>
      <c r="N2924" s="107" t="str">
        <f>VLOOKUP($K2924,LUTs!$E$2:$H$14,4,)</f>
        <v>01North Puget Sound</v>
      </c>
      <c r="O2924" s="107">
        <v>7.3636363636363704</v>
      </c>
      <c r="P2924" s="107">
        <v>62.8854545454546</v>
      </c>
      <c r="Q2924" s="107">
        <f t="shared" si="224"/>
        <v>7.3636363636363704</v>
      </c>
      <c r="R2924" s="166">
        <f>VLOOKUP(B2924,Existing_Conditions!$C$145:$D$156,2,)*'Rec_raw_catch_effort_2010-2021'!Q2924</f>
        <v>24.666359902743771</v>
      </c>
      <c r="S2924" s="140" t="str">
        <f t="shared" si="221"/>
        <v>Y</v>
      </c>
      <c r="T2924" s="154">
        <f t="shared" si="222"/>
        <v>8.5399999999999991</v>
      </c>
      <c r="U2924" s="154">
        <f t="shared" si="223"/>
        <v>3.3497525793849534</v>
      </c>
    </row>
    <row r="2925" spans="1:21" x14ac:dyDescent="0.35">
      <c r="A2925" s="107">
        <v>1528</v>
      </c>
      <c r="B2925" s="107">
        <v>2014</v>
      </c>
      <c r="C2925" s="107" t="s">
        <v>9</v>
      </c>
      <c r="D2925" s="107" t="s">
        <v>132</v>
      </c>
      <c r="E2925" s="107" t="s">
        <v>86</v>
      </c>
      <c r="F2925" s="115">
        <v>9</v>
      </c>
      <c r="G2925" s="107" t="s">
        <v>33</v>
      </c>
      <c r="H2925" s="107" t="str">
        <f t="shared" si="225"/>
        <v>Area 9: Admiralty Inlet</v>
      </c>
      <c r="I2925" s="107" t="str">
        <f>IFERROR(VLOOKUP(H2925,LUTs!$A$1:$C$73,2,FALSE),"NA")</f>
        <v>NA</v>
      </c>
      <c r="J2925" s="107" t="str">
        <f>IFERROR(VLOOKUP(H2925,LUTs!$A$1:$C$73,3,FALSE),"NA")</f>
        <v>2Central Puget Sound</v>
      </c>
      <c r="K2925" s="107" t="s">
        <v>18</v>
      </c>
      <c r="L2925" s="107" t="str">
        <f>VLOOKUP(K2925,LUTs!E$2:G$14,3,)</f>
        <v>06King</v>
      </c>
      <c r="M2925" s="107" t="str">
        <f>VLOOKUP($K2925,LUTs!$E$2:$H$14,2,)</f>
        <v>South Puget Sound</v>
      </c>
      <c r="N2925" s="107" t="str">
        <f>VLOOKUP($K2925,LUTs!$E$2:$H$14,4,)</f>
        <v>02South Puget Sound</v>
      </c>
      <c r="O2925" s="107">
        <v>4.0909090909090899</v>
      </c>
      <c r="P2925" s="107">
        <v>34.936363636363602</v>
      </c>
      <c r="Q2925" s="107">
        <f t="shared" si="224"/>
        <v>4.0909090909090899</v>
      </c>
      <c r="R2925" s="166">
        <f>VLOOKUP(B2925,Existing_Conditions!$C$145:$D$156,2,)*'Rec_raw_catch_effort_2010-2021'!Q2925</f>
        <v>13.703533279302079</v>
      </c>
      <c r="S2925" s="140" t="str">
        <f t="shared" si="221"/>
        <v>Y</v>
      </c>
      <c r="T2925" s="154">
        <f t="shared" si="222"/>
        <v>8.5399999999999938</v>
      </c>
      <c r="U2925" s="154">
        <f t="shared" si="223"/>
        <v>3.3497525793849534</v>
      </c>
    </row>
    <row r="2926" spans="1:21" x14ac:dyDescent="0.35">
      <c r="A2926" s="107">
        <v>1526</v>
      </c>
      <c r="B2926" s="107">
        <v>2014</v>
      </c>
      <c r="C2926" s="107" t="s">
        <v>9</v>
      </c>
      <c r="D2926" s="107" t="s">
        <v>132</v>
      </c>
      <c r="E2926" s="107" t="s">
        <v>86</v>
      </c>
      <c r="F2926" s="115">
        <v>9</v>
      </c>
      <c r="G2926" s="107" t="s">
        <v>33</v>
      </c>
      <c r="H2926" s="107" t="str">
        <f t="shared" si="225"/>
        <v>Area 9: Admiralty Inlet</v>
      </c>
      <c r="I2926" s="107" t="str">
        <f>IFERROR(VLOOKUP(H2926,LUTs!$A$1:$C$73,2,FALSE),"NA")</f>
        <v>NA</v>
      </c>
      <c r="J2926" s="107" t="str">
        <f>IFERROR(VLOOKUP(H2926,LUTs!$A$1:$C$73,3,FALSE),"NA")</f>
        <v>2Central Puget Sound</v>
      </c>
      <c r="K2926" s="107" t="s">
        <v>16</v>
      </c>
      <c r="L2926" s="107" t="str">
        <f>VLOOKUP(K2926,LUTs!E$2:G$14,3,)</f>
        <v>03Snohomish</v>
      </c>
      <c r="M2926" s="107" t="str">
        <f>VLOOKUP($K2926,LUTs!$E$2:$H$14,2,)</f>
        <v>North Puget Sound</v>
      </c>
      <c r="N2926" s="107" t="str">
        <f>VLOOKUP($K2926,LUTs!$E$2:$H$14,4,)</f>
        <v>01North Puget Sound</v>
      </c>
      <c r="O2926" s="107">
        <v>6.5454545454545503</v>
      </c>
      <c r="P2926" s="107">
        <v>55.898181818181897</v>
      </c>
      <c r="Q2926" s="107">
        <f t="shared" si="224"/>
        <v>6.5454545454545503</v>
      </c>
      <c r="R2926" s="166">
        <f>VLOOKUP(B2926,Existing_Conditions!$C$145:$D$156,2,)*'Rec_raw_catch_effort_2010-2021'!Q2926</f>
        <v>21.925653246883346</v>
      </c>
      <c r="S2926" s="140" t="str">
        <f t="shared" si="221"/>
        <v>Y</v>
      </c>
      <c r="T2926" s="154">
        <f t="shared" si="222"/>
        <v>8.5400000000000063</v>
      </c>
      <c r="U2926" s="154">
        <f t="shared" si="223"/>
        <v>3.3497525793849534</v>
      </c>
    </row>
    <row r="2927" spans="1:21" x14ac:dyDescent="0.35">
      <c r="A2927" s="107">
        <v>1530</v>
      </c>
      <c r="B2927" s="107">
        <v>2015</v>
      </c>
      <c r="C2927" s="107" t="s">
        <v>9</v>
      </c>
      <c r="D2927" s="107" t="s">
        <v>132</v>
      </c>
      <c r="E2927" s="107" t="s">
        <v>86</v>
      </c>
      <c r="F2927" s="115">
        <v>9</v>
      </c>
      <c r="G2927" s="107" t="s">
        <v>33</v>
      </c>
      <c r="H2927" s="107" t="str">
        <f t="shared" si="225"/>
        <v>Area 9: Admiralty Inlet</v>
      </c>
      <c r="I2927" s="107" t="str">
        <f>IFERROR(VLOOKUP(H2927,LUTs!$A$1:$C$73,2,FALSE),"NA")</f>
        <v>NA</v>
      </c>
      <c r="J2927" s="107" t="str">
        <f>IFERROR(VLOOKUP(H2927,LUTs!$A$1:$C$73,3,FALSE),"NA")</f>
        <v>2Central Puget Sound</v>
      </c>
      <c r="K2927" s="107" t="s">
        <v>22</v>
      </c>
      <c r="L2927" s="107" t="str">
        <f>VLOOKUP(K2927,LUTs!E$2:G$14,3,)</f>
        <v>09Mason</v>
      </c>
      <c r="M2927" s="107" t="str">
        <f>VLOOKUP($K2927,LUTs!$E$2:$H$14,2,)</f>
        <v>South Puget Sound</v>
      </c>
      <c r="N2927" s="107" t="str">
        <f>VLOOKUP($K2927,LUTs!$E$2:$H$14,4,)</f>
        <v>02South Puget Sound</v>
      </c>
      <c r="O2927" s="107">
        <v>13.3125</v>
      </c>
      <c r="P2927" s="107">
        <v>246.94687500000001</v>
      </c>
      <c r="Q2927" s="107">
        <f t="shared" si="224"/>
        <v>13.3125</v>
      </c>
      <c r="R2927" s="166">
        <f>VLOOKUP(B2927,Existing_Conditions!$C$145:$D$156,2,)*'Rec_raw_catch_effort_2010-2021'!Q2927</f>
        <v>20.415628660536957</v>
      </c>
      <c r="S2927" s="140" t="str">
        <f t="shared" si="221"/>
        <v>Y</v>
      </c>
      <c r="T2927" s="154">
        <f t="shared" si="222"/>
        <v>18.55</v>
      </c>
      <c r="U2927" s="154">
        <f t="shared" si="223"/>
        <v>1.5335683500872832</v>
      </c>
    </row>
    <row r="2928" spans="1:21" x14ac:dyDescent="0.35">
      <c r="A2928" s="107">
        <v>1531</v>
      </c>
      <c r="B2928" s="107">
        <v>2015</v>
      </c>
      <c r="C2928" s="107" t="s">
        <v>9</v>
      </c>
      <c r="D2928" s="107" t="s">
        <v>132</v>
      </c>
      <c r="E2928" s="107" t="s">
        <v>86</v>
      </c>
      <c r="F2928" s="115">
        <v>9</v>
      </c>
      <c r="G2928" s="107" t="s">
        <v>33</v>
      </c>
      <c r="H2928" s="107" t="str">
        <f t="shared" si="225"/>
        <v>Area 9: Admiralty Inlet</v>
      </c>
      <c r="I2928" s="107" t="str">
        <f>IFERROR(VLOOKUP(H2928,LUTs!$A$1:$C$73,2,FALSE),"NA")</f>
        <v>NA</v>
      </c>
      <c r="J2928" s="107" t="str">
        <f>IFERROR(VLOOKUP(H2928,LUTs!$A$1:$C$73,3,FALSE),"NA")</f>
        <v>2Central Puget Sound</v>
      </c>
      <c r="K2928" s="107" t="s">
        <v>26</v>
      </c>
      <c r="L2928" s="107" t="str">
        <f>VLOOKUP(K2928,LUTs!E$2:G$14,3,)</f>
        <v>20Other</v>
      </c>
      <c r="M2928" s="107" t="str">
        <f>VLOOKUP($K2928,LUTs!$E$2:$H$14,2,)</f>
        <v>Non Puget Sound</v>
      </c>
      <c r="N2928" s="107" t="str">
        <f>VLOOKUP($K2928,LUTs!$E$2:$H$14,4,)</f>
        <v>07Non Puget Sound</v>
      </c>
      <c r="O2928" s="107">
        <v>26.625</v>
      </c>
      <c r="P2928" s="107">
        <v>493.89375000000001</v>
      </c>
      <c r="Q2928" s="107">
        <f t="shared" si="224"/>
        <v>26.625</v>
      </c>
      <c r="R2928" s="166">
        <f>VLOOKUP(B2928,Existing_Conditions!$C$145:$D$156,2,)*'Rec_raw_catch_effort_2010-2021'!Q2928</f>
        <v>40.831257321073913</v>
      </c>
      <c r="S2928" s="140" t="str">
        <f t="shared" si="221"/>
        <v>Y</v>
      </c>
      <c r="T2928" s="154">
        <f t="shared" si="222"/>
        <v>18.55</v>
      </c>
      <c r="U2928" s="154">
        <f t="shared" si="223"/>
        <v>1.5335683500872832</v>
      </c>
    </row>
    <row r="2929" spans="1:21" x14ac:dyDescent="0.35">
      <c r="A2929" s="107">
        <v>1529</v>
      </c>
      <c r="B2929" s="107">
        <v>2015</v>
      </c>
      <c r="C2929" s="107" t="s">
        <v>9</v>
      </c>
      <c r="D2929" s="107" t="s">
        <v>132</v>
      </c>
      <c r="E2929" s="107" t="s">
        <v>86</v>
      </c>
      <c r="F2929" s="115">
        <v>9</v>
      </c>
      <c r="G2929" s="107" t="s">
        <v>33</v>
      </c>
      <c r="H2929" s="107" t="str">
        <f t="shared" si="225"/>
        <v>Area 9: Admiralty Inlet</v>
      </c>
      <c r="I2929" s="107" t="str">
        <f>IFERROR(VLOOKUP(H2929,LUTs!$A$1:$C$73,2,FALSE),"NA")</f>
        <v>NA</v>
      </c>
      <c r="J2929" s="107" t="str">
        <f>IFERROR(VLOOKUP(H2929,LUTs!$A$1:$C$73,3,FALSE),"NA")</f>
        <v>2Central Puget Sound</v>
      </c>
      <c r="K2929" s="107" t="s">
        <v>16</v>
      </c>
      <c r="L2929" s="107" t="str">
        <f>VLOOKUP(K2929,LUTs!E$2:G$14,3,)</f>
        <v>03Snohomish</v>
      </c>
      <c r="M2929" s="107" t="str">
        <f>VLOOKUP($K2929,LUTs!$E$2:$H$14,2,)</f>
        <v>North Puget Sound</v>
      </c>
      <c r="N2929" s="107" t="str">
        <f>VLOOKUP($K2929,LUTs!$E$2:$H$14,4,)</f>
        <v>01North Puget Sound</v>
      </c>
      <c r="O2929" s="107">
        <v>173.0625</v>
      </c>
      <c r="P2929" s="107">
        <v>3210.3093749999998</v>
      </c>
      <c r="Q2929" s="107">
        <f t="shared" si="224"/>
        <v>173.0625</v>
      </c>
      <c r="R2929" s="166">
        <f>VLOOKUP(B2929,Existing_Conditions!$C$145:$D$156,2,)*'Rec_raw_catch_effort_2010-2021'!Q2929</f>
        <v>265.40317258698047</v>
      </c>
      <c r="S2929" s="140" t="str">
        <f t="shared" si="221"/>
        <v>Y</v>
      </c>
      <c r="T2929" s="154">
        <f t="shared" si="222"/>
        <v>18.55</v>
      </c>
      <c r="U2929" s="154">
        <f t="shared" si="223"/>
        <v>1.5335683500872834</v>
      </c>
    </row>
    <row r="2930" spans="1:21" x14ac:dyDescent="0.35">
      <c r="A2930" s="107">
        <v>1689</v>
      </c>
      <c r="B2930" s="107">
        <v>2016</v>
      </c>
      <c r="C2930" s="107" t="s">
        <v>9</v>
      </c>
      <c r="D2930" s="107" t="s">
        <v>132</v>
      </c>
      <c r="E2930" s="107" t="s">
        <v>86</v>
      </c>
      <c r="F2930" s="115">
        <v>9</v>
      </c>
      <c r="G2930" s="107" t="s">
        <v>33</v>
      </c>
      <c r="H2930" s="107" t="str">
        <f t="shared" si="225"/>
        <v>Area 9: Admiralty Inlet</v>
      </c>
      <c r="I2930" s="107" t="str">
        <f>IFERROR(VLOOKUP(H2930,LUTs!$A$1:$C$73,2,FALSE),"NA")</f>
        <v>NA</v>
      </c>
      <c r="J2930" s="107" t="str">
        <f>IFERROR(VLOOKUP(H2930,LUTs!$A$1:$C$73,3,FALSE),"NA")</f>
        <v>2Central Puget Sound</v>
      </c>
      <c r="K2930" s="107" t="s">
        <v>17</v>
      </c>
      <c r="L2930" s="107" t="str">
        <f>VLOOKUP(K2930,LUTs!E$2:G$14,3,)</f>
        <v>04Island</v>
      </c>
      <c r="M2930" s="107" t="str">
        <f>VLOOKUP($K2930,LUTs!$E$2:$H$14,2,)</f>
        <v>North Puget Sound</v>
      </c>
      <c r="N2930" s="107" t="str">
        <f>VLOOKUP($K2930,LUTs!$E$2:$H$14,4,)</f>
        <v>01North Puget Sound</v>
      </c>
      <c r="O2930" s="107">
        <v>5</v>
      </c>
      <c r="P2930" s="107">
        <v>42.7</v>
      </c>
      <c r="Q2930" s="107">
        <f t="shared" si="224"/>
        <v>5</v>
      </c>
      <c r="R2930" s="166">
        <f>VLOOKUP(B2930,Existing_Conditions!$C$145:$D$156,2,)*'Rec_raw_catch_effort_2010-2021'!Q2930</f>
        <v>34.955307628896776</v>
      </c>
      <c r="S2930" s="140" t="str">
        <f t="shared" si="221"/>
        <v>Y</v>
      </c>
      <c r="T2930" s="154">
        <f t="shared" si="222"/>
        <v>8.5400000000000009</v>
      </c>
      <c r="U2930" s="154">
        <f t="shared" si="223"/>
        <v>6.9910615257793554</v>
      </c>
    </row>
    <row r="2931" spans="1:21" x14ac:dyDescent="0.35">
      <c r="A2931" s="107">
        <v>1688</v>
      </c>
      <c r="B2931" s="107">
        <v>2016</v>
      </c>
      <c r="C2931" s="107" t="s">
        <v>9</v>
      </c>
      <c r="D2931" s="107" t="s">
        <v>132</v>
      </c>
      <c r="E2931" s="107" t="s">
        <v>86</v>
      </c>
      <c r="F2931" s="115">
        <v>9</v>
      </c>
      <c r="G2931" s="107" t="s">
        <v>33</v>
      </c>
      <c r="H2931" s="107" t="str">
        <f t="shared" si="225"/>
        <v>Area 9: Admiralty Inlet</v>
      </c>
      <c r="I2931" s="107" t="str">
        <f>IFERROR(VLOOKUP(H2931,LUTs!$A$1:$C$73,2,FALSE),"NA")</f>
        <v>NA</v>
      </c>
      <c r="J2931" s="107" t="str">
        <f>IFERROR(VLOOKUP(H2931,LUTs!$A$1:$C$73,3,FALSE),"NA")</f>
        <v>2Central Puget Sound</v>
      </c>
      <c r="K2931" s="107" t="s">
        <v>16</v>
      </c>
      <c r="L2931" s="107" t="str">
        <f>VLOOKUP(K2931,LUTs!E$2:G$14,3,)</f>
        <v>03Snohomish</v>
      </c>
      <c r="M2931" s="107" t="str">
        <f>VLOOKUP($K2931,LUTs!$E$2:$H$14,2,)</f>
        <v>North Puget Sound</v>
      </c>
      <c r="N2931" s="107" t="str">
        <f>VLOOKUP($K2931,LUTs!$E$2:$H$14,4,)</f>
        <v>01North Puget Sound</v>
      </c>
      <c r="O2931" s="107">
        <v>10</v>
      </c>
      <c r="P2931" s="107">
        <v>85.4</v>
      </c>
      <c r="Q2931" s="107">
        <f t="shared" si="224"/>
        <v>10</v>
      </c>
      <c r="R2931" s="166">
        <f>VLOOKUP(B2931,Existing_Conditions!$C$145:$D$156,2,)*'Rec_raw_catch_effort_2010-2021'!Q2931</f>
        <v>69.910615257793552</v>
      </c>
      <c r="S2931" s="140" t="str">
        <f t="shared" si="221"/>
        <v>Y</v>
      </c>
      <c r="T2931" s="154">
        <f t="shared" si="222"/>
        <v>8.5400000000000009</v>
      </c>
      <c r="U2931" s="154">
        <f t="shared" si="223"/>
        <v>6.9910615257793554</v>
      </c>
    </row>
    <row r="2932" spans="1:21" x14ac:dyDescent="0.35">
      <c r="A2932" s="107">
        <v>1691</v>
      </c>
      <c r="B2932" s="107">
        <v>2017</v>
      </c>
      <c r="C2932" s="107" t="s">
        <v>9</v>
      </c>
      <c r="D2932" s="107" t="s">
        <v>132</v>
      </c>
      <c r="E2932" s="107" t="s">
        <v>86</v>
      </c>
      <c r="F2932" s="115">
        <v>9</v>
      </c>
      <c r="G2932" s="107" t="s">
        <v>33</v>
      </c>
      <c r="H2932" s="107" t="str">
        <f t="shared" si="225"/>
        <v>Area 9: Admiralty Inlet</v>
      </c>
      <c r="I2932" s="107" t="str">
        <f>IFERROR(VLOOKUP(H2932,LUTs!$A$1:$C$73,2,FALSE),"NA")</f>
        <v>NA</v>
      </c>
      <c r="J2932" s="107" t="str">
        <f>IFERROR(VLOOKUP(H2932,LUTs!$A$1:$C$73,3,FALSE),"NA")</f>
        <v>2Central Puget Sound</v>
      </c>
      <c r="K2932" s="107" t="s">
        <v>17</v>
      </c>
      <c r="L2932" s="107" t="str">
        <f>VLOOKUP(K2932,LUTs!E$2:G$14,3,)</f>
        <v>04Island</v>
      </c>
      <c r="M2932" s="107" t="str">
        <f>VLOOKUP($K2932,LUTs!$E$2:$H$14,2,)</f>
        <v>North Puget Sound</v>
      </c>
      <c r="N2932" s="107" t="str">
        <f>VLOOKUP($K2932,LUTs!$E$2:$H$14,4,)</f>
        <v>01North Puget Sound</v>
      </c>
      <c r="O2932" s="107">
        <v>53.571428571428598</v>
      </c>
      <c r="P2932" s="107">
        <v>993.75000000000102</v>
      </c>
      <c r="Q2932" s="107">
        <f t="shared" si="224"/>
        <v>53.571428571428598</v>
      </c>
      <c r="R2932" s="166">
        <f>VLOOKUP(B2932,Existing_Conditions!$C$145:$D$156,2,)*'Rec_raw_catch_effort_2010-2021'!Q2932</f>
        <v>134.27970891271593</v>
      </c>
      <c r="S2932" s="140" t="str">
        <f t="shared" si="221"/>
        <v>Y</v>
      </c>
      <c r="T2932" s="154">
        <f t="shared" si="222"/>
        <v>18.550000000000011</v>
      </c>
      <c r="U2932" s="154">
        <f t="shared" si="223"/>
        <v>2.5065545663706961</v>
      </c>
    </row>
    <row r="2933" spans="1:21" x14ac:dyDescent="0.35">
      <c r="A2933" s="107">
        <v>1694</v>
      </c>
      <c r="B2933" s="107">
        <v>2017</v>
      </c>
      <c r="C2933" s="107" t="s">
        <v>9</v>
      </c>
      <c r="D2933" s="107" t="s">
        <v>132</v>
      </c>
      <c r="E2933" s="107" t="s">
        <v>86</v>
      </c>
      <c r="F2933" s="115">
        <v>9</v>
      </c>
      <c r="G2933" s="107" t="s">
        <v>33</v>
      </c>
      <c r="H2933" s="107" t="str">
        <f t="shared" si="225"/>
        <v>Area 9: Admiralty Inlet</v>
      </c>
      <c r="I2933" s="107" t="str">
        <f>IFERROR(VLOOKUP(H2933,LUTs!$A$1:$C$73,2,FALSE),"NA")</f>
        <v>NA</v>
      </c>
      <c r="J2933" s="107" t="str">
        <f>IFERROR(VLOOKUP(H2933,LUTs!$A$1:$C$73,3,FALSE),"NA")</f>
        <v>2Central Puget Sound</v>
      </c>
      <c r="K2933" s="107" t="s">
        <v>25</v>
      </c>
      <c r="L2933" s="107" t="str">
        <f>VLOOKUP(K2933,LUTs!E$2:G$14,3,)</f>
        <v>12Jefferson</v>
      </c>
      <c r="M2933" s="107" t="str">
        <f>VLOOKUP($K2933,LUTs!$E$2:$H$14,2,)</f>
        <v>Strait of Juan de Fuca</v>
      </c>
      <c r="N2933" s="107" t="str">
        <f>VLOOKUP($K2933,LUTs!$E$2:$H$14,4,)</f>
        <v>03Strait of Juan de Fuca</v>
      </c>
      <c r="O2933" s="107">
        <v>10.714285714285699</v>
      </c>
      <c r="P2933" s="107">
        <v>198.75</v>
      </c>
      <c r="Q2933" s="107">
        <f t="shared" si="224"/>
        <v>10.714285714285699</v>
      </c>
      <c r="R2933" s="166">
        <f>VLOOKUP(B2933,Existing_Conditions!$C$145:$D$156,2,)*'Rec_raw_catch_effort_2010-2021'!Q2933</f>
        <v>26.855941782543134</v>
      </c>
      <c r="S2933" s="140" t="str">
        <f t="shared" si="221"/>
        <v>Y</v>
      </c>
      <c r="T2933" s="154">
        <f t="shared" si="222"/>
        <v>18.550000000000026</v>
      </c>
      <c r="U2933" s="154">
        <f t="shared" si="223"/>
        <v>2.5065545663706961</v>
      </c>
    </row>
    <row r="2934" spans="1:21" x14ac:dyDescent="0.35">
      <c r="A2934" s="107">
        <v>1692</v>
      </c>
      <c r="B2934" s="107">
        <v>2017</v>
      </c>
      <c r="C2934" s="107" t="s">
        <v>9</v>
      </c>
      <c r="D2934" s="107" t="s">
        <v>132</v>
      </c>
      <c r="E2934" s="107" t="s">
        <v>86</v>
      </c>
      <c r="F2934" s="115">
        <v>9</v>
      </c>
      <c r="G2934" s="107" t="s">
        <v>33</v>
      </c>
      <c r="H2934" s="107" t="str">
        <f t="shared" si="225"/>
        <v>Area 9: Admiralty Inlet</v>
      </c>
      <c r="I2934" s="107" t="str">
        <f>IFERROR(VLOOKUP(H2934,LUTs!$A$1:$C$73,2,FALSE),"NA")</f>
        <v>NA</v>
      </c>
      <c r="J2934" s="107" t="str">
        <f>IFERROR(VLOOKUP(H2934,LUTs!$A$1:$C$73,3,FALSE),"NA")</f>
        <v>2Central Puget Sound</v>
      </c>
      <c r="K2934" s="107" t="s">
        <v>18</v>
      </c>
      <c r="L2934" s="107" t="str">
        <f>VLOOKUP(K2934,LUTs!E$2:G$14,3,)</f>
        <v>06King</v>
      </c>
      <c r="M2934" s="107" t="str">
        <f>VLOOKUP($K2934,LUTs!$E$2:$H$14,2,)</f>
        <v>South Puget Sound</v>
      </c>
      <c r="N2934" s="107" t="str">
        <f>VLOOKUP($K2934,LUTs!$E$2:$H$14,4,)</f>
        <v>02South Puget Sound</v>
      </c>
      <c r="O2934" s="107">
        <v>10.714285714285699</v>
      </c>
      <c r="P2934" s="107">
        <v>198.75</v>
      </c>
      <c r="Q2934" s="107">
        <f t="shared" si="224"/>
        <v>10.714285714285699</v>
      </c>
      <c r="R2934" s="166">
        <f>VLOOKUP(B2934,Existing_Conditions!$C$145:$D$156,2,)*'Rec_raw_catch_effort_2010-2021'!Q2934</f>
        <v>26.855941782543134</v>
      </c>
      <c r="S2934" s="140" t="str">
        <f t="shared" si="221"/>
        <v>Y</v>
      </c>
      <c r="T2934" s="154">
        <f t="shared" si="222"/>
        <v>18.550000000000026</v>
      </c>
      <c r="U2934" s="154">
        <f t="shared" si="223"/>
        <v>2.5065545663706961</v>
      </c>
    </row>
    <row r="2935" spans="1:21" x14ac:dyDescent="0.35">
      <c r="A2935" s="107">
        <v>1695</v>
      </c>
      <c r="B2935" s="107">
        <v>2017</v>
      </c>
      <c r="C2935" s="107" t="s">
        <v>9</v>
      </c>
      <c r="D2935" s="107" t="s">
        <v>132</v>
      </c>
      <c r="E2935" s="107" t="s">
        <v>86</v>
      </c>
      <c r="F2935" s="115">
        <v>9</v>
      </c>
      <c r="G2935" s="107" t="s">
        <v>33</v>
      </c>
      <c r="H2935" s="107" t="str">
        <f t="shared" si="225"/>
        <v>Area 9: Admiralty Inlet</v>
      </c>
      <c r="I2935" s="107" t="str">
        <f>IFERROR(VLOOKUP(H2935,LUTs!$A$1:$C$73,2,FALSE),"NA")</f>
        <v>NA</v>
      </c>
      <c r="J2935" s="107" t="str">
        <f>IFERROR(VLOOKUP(H2935,LUTs!$A$1:$C$73,3,FALSE),"NA")</f>
        <v>2Central Puget Sound</v>
      </c>
      <c r="K2935" s="107" t="s">
        <v>26</v>
      </c>
      <c r="L2935" s="107" t="str">
        <f>VLOOKUP(K2935,LUTs!E$2:G$14,3,)</f>
        <v>20Other</v>
      </c>
      <c r="M2935" s="107" t="str">
        <f>VLOOKUP($K2935,LUTs!$E$2:$H$14,2,)</f>
        <v>Non Puget Sound</v>
      </c>
      <c r="N2935" s="107" t="str">
        <f>VLOOKUP($K2935,LUTs!$E$2:$H$14,4,)</f>
        <v>07Non Puget Sound</v>
      </c>
      <c r="O2935" s="107">
        <v>10.714285714285699</v>
      </c>
      <c r="P2935" s="107">
        <v>198.75</v>
      </c>
      <c r="Q2935" s="107">
        <f t="shared" si="224"/>
        <v>10.714285714285699</v>
      </c>
      <c r="R2935" s="166">
        <f>VLOOKUP(B2935,Existing_Conditions!$C$145:$D$156,2,)*'Rec_raw_catch_effort_2010-2021'!Q2935</f>
        <v>26.855941782543134</v>
      </c>
      <c r="S2935" s="140" t="str">
        <f t="shared" si="221"/>
        <v>Y</v>
      </c>
      <c r="T2935" s="154">
        <f t="shared" si="222"/>
        <v>18.550000000000026</v>
      </c>
      <c r="U2935" s="154">
        <f t="shared" si="223"/>
        <v>2.5065545663706961</v>
      </c>
    </row>
    <row r="2936" spans="1:21" x14ac:dyDescent="0.35">
      <c r="A2936" s="107">
        <v>1693</v>
      </c>
      <c r="B2936" s="107">
        <v>2017</v>
      </c>
      <c r="C2936" s="107" t="s">
        <v>9</v>
      </c>
      <c r="D2936" s="107" t="s">
        <v>132</v>
      </c>
      <c r="E2936" s="107" t="s">
        <v>86</v>
      </c>
      <c r="F2936" s="115">
        <v>9</v>
      </c>
      <c r="G2936" s="107" t="s">
        <v>33</v>
      </c>
      <c r="H2936" s="107" t="str">
        <f t="shared" si="225"/>
        <v>Area 9: Admiralty Inlet</v>
      </c>
      <c r="I2936" s="107" t="str">
        <f>IFERROR(VLOOKUP(H2936,LUTs!$A$1:$C$73,2,FALSE),"NA")</f>
        <v>NA</v>
      </c>
      <c r="J2936" s="107" t="str">
        <f>IFERROR(VLOOKUP(H2936,LUTs!$A$1:$C$73,3,FALSE),"NA")</f>
        <v>2Central Puget Sound</v>
      </c>
      <c r="K2936" s="107" t="s">
        <v>20</v>
      </c>
      <c r="L2936" s="107" t="str">
        <f>VLOOKUP(K2936,LUTs!E$2:G$14,3,)</f>
        <v>07Pierce</v>
      </c>
      <c r="M2936" s="107" t="str">
        <f>VLOOKUP($K2936,LUTs!$E$2:$H$14,2,)</f>
        <v>South Puget Sound</v>
      </c>
      <c r="N2936" s="107" t="str">
        <f>VLOOKUP($K2936,LUTs!$E$2:$H$14,4,)</f>
        <v>02South Puget Sound</v>
      </c>
      <c r="O2936" s="107">
        <v>10.714285714285699</v>
      </c>
      <c r="P2936" s="107">
        <v>198.75</v>
      </c>
      <c r="Q2936" s="107">
        <f t="shared" ref="Q2936:Q2953" si="226">O2936</f>
        <v>10.714285714285699</v>
      </c>
      <c r="R2936" s="166">
        <f>VLOOKUP(B2936,Existing_Conditions!$C$145:$D$156,2,)*'Rec_raw_catch_effort_2010-2021'!Q2936</f>
        <v>26.855941782543134</v>
      </c>
      <c r="S2936" s="140" t="str">
        <f t="shared" si="221"/>
        <v>Y</v>
      </c>
      <c r="T2936" s="154">
        <f t="shared" si="222"/>
        <v>18.550000000000026</v>
      </c>
      <c r="U2936" s="154">
        <f t="shared" si="223"/>
        <v>2.5065545663706961</v>
      </c>
    </row>
    <row r="2937" spans="1:21" x14ac:dyDescent="0.35">
      <c r="A2937" s="107">
        <v>1690</v>
      </c>
      <c r="B2937" s="107">
        <v>2017</v>
      </c>
      <c r="C2937" s="107" t="s">
        <v>9</v>
      </c>
      <c r="D2937" s="107" t="s">
        <v>132</v>
      </c>
      <c r="E2937" s="107" t="s">
        <v>86</v>
      </c>
      <c r="F2937" s="115">
        <v>9</v>
      </c>
      <c r="G2937" s="107" t="s">
        <v>33</v>
      </c>
      <c r="H2937" s="107" t="str">
        <f t="shared" si="225"/>
        <v>Area 9: Admiralty Inlet</v>
      </c>
      <c r="I2937" s="107" t="str">
        <f>IFERROR(VLOOKUP(H2937,LUTs!$A$1:$C$73,2,FALSE),"NA")</f>
        <v>NA</v>
      </c>
      <c r="J2937" s="107" t="str">
        <f>IFERROR(VLOOKUP(H2937,LUTs!$A$1:$C$73,3,FALSE),"NA")</f>
        <v>2Central Puget Sound</v>
      </c>
      <c r="K2937" s="107" t="s">
        <v>16</v>
      </c>
      <c r="L2937" s="107" t="str">
        <f>VLOOKUP(K2937,LUTs!E$2:G$14,3,)</f>
        <v>03Snohomish</v>
      </c>
      <c r="M2937" s="107" t="str">
        <f>VLOOKUP($K2937,LUTs!$E$2:$H$14,2,)</f>
        <v>North Puget Sound</v>
      </c>
      <c r="N2937" s="107" t="str">
        <f>VLOOKUP($K2937,LUTs!$E$2:$H$14,4,)</f>
        <v>01North Puget Sound</v>
      </c>
      <c r="O2937" s="107">
        <v>53.571428571428598</v>
      </c>
      <c r="P2937" s="107">
        <v>993.75000000000102</v>
      </c>
      <c r="Q2937" s="107">
        <f t="shared" si="226"/>
        <v>53.571428571428598</v>
      </c>
      <c r="R2937" s="166">
        <f>VLOOKUP(B2937,Existing_Conditions!$C$145:$D$156,2,)*'Rec_raw_catch_effort_2010-2021'!Q2937</f>
        <v>134.27970891271593</v>
      </c>
      <c r="S2937" s="140" t="str">
        <f t="shared" si="221"/>
        <v>Y</v>
      </c>
      <c r="T2937" s="154">
        <f t="shared" si="222"/>
        <v>18.550000000000011</v>
      </c>
      <c r="U2937" s="154">
        <f t="shared" si="223"/>
        <v>2.5065545663706961</v>
      </c>
    </row>
    <row r="2938" spans="1:21" x14ac:dyDescent="0.35">
      <c r="A2938" s="107">
        <v>1857</v>
      </c>
      <c r="B2938" s="107">
        <v>2018</v>
      </c>
      <c r="C2938" s="107" t="s">
        <v>9</v>
      </c>
      <c r="D2938" s="107" t="s">
        <v>132</v>
      </c>
      <c r="E2938" s="107" t="s">
        <v>86</v>
      </c>
      <c r="F2938" s="115">
        <v>9</v>
      </c>
      <c r="G2938" s="107" t="s">
        <v>33</v>
      </c>
      <c r="H2938" s="107" t="str">
        <f t="shared" si="225"/>
        <v>Area 9: Admiralty Inlet</v>
      </c>
      <c r="I2938" s="107" t="str">
        <f>IFERROR(VLOOKUP(H2938,LUTs!$A$1:$C$73,2,FALSE),"NA")</f>
        <v>NA</v>
      </c>
      <c r="J2938" s="107" t="str">
        <f>IFERROR(VLOOKUP(H2938,LUTs!$A$1:$C$73,3,FALSE),"NA")</f>
        <v>2Central Puget Sound</v>
      </c>
      <c r="K2938" s="107" t="s">
        <v>17</v>
      </c>
      <c r="L2938" s="107" t="str">
        <f>VLOOKUP(K2938,LUTs!E$2:G$14,3,)</f>
        <v>04Island</v>
      </c>
      <c r="M2938" s="107" t="str">
        <f>VLOOKUP($K2938,LUTs!$E$2:$H$14,2,)</f>
        <v>North Puget Sound</v>
      </c>
      <c r="N2938" s="107" t="str">
        <f>VLOOKUP($K2938,LUTs!$E$2:$H$14,4,)</f>
        <v>01North Puget Sound</v>
      </c>
      <c r="O2938" s="107">
        <v>58.8</v>
      </c>
      <c r="P2938" s="107">
        <v>502.15199999999999</v>
      </c>
      <c r="Q2938" s="107">
        <f t="shared" si="226"/>
        <v>58.8</v>
      </c>
      <c r="R2938" s="166">
        <f>VLOOKUP(B2938,Existing_Conditions!$C$145:$D$156,2,)*'Rec_raw_catch_effort_2010-2021'!Q2938</f>
        <v>121.01860762428171</v>
      </c>
      <c r="S2938" s="140" t="str">
        <f t="shared" si="221"/>
        <v>Y</v>
      </c>
      <c r="T2938" s="154">
        <f t="shared" si="222"/>
        <v>8.5400000000000009</v>
      </c>
      <c r="U2938" s="154">
        <f t="shared" si="223"/>
        <v>2.058139585446968</v>
      </c>
    </row>
    <row r="2939" spans="1:21" x14ac:dyDescent="0.35">
      <c r="A2939" s="107">
        <v>1696</v>
      </c>
      <c r="B2939" s="107">
        <v>2018</v>
      </c>
      <c r="C2939" s="107" t="s">
        <v>9</v>
      </c>
      <c r="D2939" s="107" t="s">
        <v>132</v>
      </c>
      <c r="E2939" s="107" t="s">
        <v>86</v>
      </c>
      <c r="F2939" s="115">
        <v>9</v>
      </c>
      <c r="G2939" s="107" t="s">
        <v>33</v>
      </c>
      <c r="H2939" s="107" t="str">
        <f t="shared" si="225"/>
        <v>Area 9: Admiralty Inlet</v>
      </c>
      <c r="I2939" s="107" t="str">
        <f>IFERROR(VLOOKUP(H2939,LUTs!$A$1:$C$73,2,FALSE),"NA")</f>
        <v>NA</v>
      </c>
      <c r="J2939" s="107" t="str">
        <f>IFERROR(VLOOKUP(H2939,LUTs!$A$1:$C$73,3,FALSE),"NA")</f>
        <v>2Central Puget Sound</v>
      </c>
      <c r="K2939" s="107" t="s">
        <v>16</v>
      </c>
      <c r="L2939" s="107" t="str">
        <f>VLOOKUP(K2939,LUTs!E$2:G$14,3,)</f>
        <v>03Snohomish</v>
      </c>
      <c r="M2939" s="107" t="str">
        <f>VLOOKUP($K2939,LUTs!$E$2:$H$14,2,)</f>
        <v>North Puget Sound</v>
      </c>
      <c r="N2939" s="107" t="str">
        <f>VLOOKUP($K2939,LUTs!$E$2:$H$14,4,)</f>
        <v>01North Puget Sound</v>
      </c>
      <c r="O2939" s="107">
        <v>25.2</v>
      </c>
      <c r="P2939" s="107">
        <v>215.208</v>
      </c>
      <c r="Q2939" s="107">
        <f t="shared" si="226"/>
        <v>25.2</v>
      </c>
      <c r="R2939" s="166">
        <f>VLOOKUP(B2939,Existing_Conditions!$C$145:$D$156,2,)*'Rec_raw_catch_effort_2010-2021'!Q2939</f>
        <v>51.865117553263588</v>
      </c>
      <c r="S2939" s="140" t="str">
        <f t="shared" si="221"/>
        <v>Y</v>
      </c>
      <c r="T2939" s="154">
        <f t="shared" si="222"/>
        <v>8.5400000000000009</v>
      </c>
      <c r="U2939" s="154">
        <f t="shared" si="223"/>
        <v>2.058139585446968</v>
      </c>
    </row>
    <row r="2940" spans="1:21" x14ac:dyDescent="0.35">
      <c r="A2940" s="107">
        <v>1858</v>
      </c>
      <c r="B2940" s="107">
        <v>2019</v>
      </c>
      <c r="C2940" s="107" t="s">
        <v>9</v>
      </c>
      <c r="D2940" s="107" t="s">
        <v>132</v>
      </c>
      <c r="E2940" s="107" t="s">
        <v>86</v>
      </c>
      <c r="F2940" s="115">
        <v>9</v>
      </c>
      <c r="G2940" s="107" t="s">
        <v>33</v>
      </c>
      <c r="H2940" s="107" t="str">
        <f t="shared" si="225"/>
        <v>Area 9: Admiralty Inlet</v>
      </c>
      <c r="I2940" s="107" t="str">
        <f>IFERROR(VLOOKUP(H2940,LUTs!$A$1:$C$73,2,FALSE),"NA")</f>
        <v>NA</v>
      </c>
      <c r="J2940" s="107" t="str">
        <f>IFERROR(VLOOKUP(H2940,LUTs!$A$1:$C$73,3,FALSE),"NA")</f>
        <v>2Central Puget Sound</v>
      </c>
      <c r="K2940" s="107" t="s">
        <v>17</v>
      </c>
      <c r="L2940" s="107" t="str">
        <f>VLOOKUP(K2940,LUTs!E$2:G$14,3,)</f>
        <v>04Island</v>
      </c>
      <c r="M2940" s="107" t="str">
        <f>VLOOKUP($K2940,LUTs!$E$2:$H$14,2,)</f>
        <v>North Puget Sound</v>
      </c>
      <c r="N2940" s="107" t="str">
        <f>VLOOKUP($K2940,LUTs!$E$2:$H$14,4,)</f>
        <v>01North Puget Sound</v>
      </c>
      <c r="O2940" s="107">
        <v>45.714285714285701</v>
      </c>
      <c r="P2940" s="107">
        <v>848</v>
      </c>
      <c r="Q2940" s="107">
        <f t="shared" si="226"/>
        <v>45.714285714285701</v>
      </c>
      <c r="R2940" s="166">
        <f>VLOOKUP(B2940,Existing_Conditions!$C$145:$D$156,2,)*'Rec_raw_catch_effort_2010-2021'!Q2940</f>
        <v>61.789340572748088</v>
      </c>
      <c r="S2940" s="140" t="str">
        <f t="shared" si="221"/>
        <v>Y</v>
      </c>
      <c r="T2940" s="154">
        <f t="shared" si="222"/>
        <v>18.550000000000004</v>
      </c>
      <c r="U2940" s="154">
        <f t="shared" si="223"/>
        <v>1.3516418250288649</v>
      </c>
    </row>
    <row r="2941" spans="1:21" x14ac:dyDescent="0.35">
      <c r="A2941" s="107">
        <v>1859</v>
      </c>
      <c r="B2941" s="107">
        <v>2019</v>
      </c>
      <c r="C2941" s="107" t="s">
        <v>9</v>
      </c>
      <c r="D2941" s="107" t="s">
        <v>132</v>
      </c>
      <c r="E2941" s="107" t="s">
        <v>86</v>
      </c>
      <c r="F2941" s="115">
        <v>9</v>
      </c>
      <c r="G2941" s="107" t="s">
        <v>33</v>
      </c>
      <c r="H2941" s="107" t="str">
        <f t="shared" si="225"/>
        <v>Area 9: Admiralty Inlet</v>
      </c>
      <c r="I2941" s="107" t="str">
        <f>IFERROR(VLOOKUP(H2941,LUTs!$A$1:$C$73,2,FALSE),"NA")</f>
        <v>NA</v>
      </c>
      <c r="J2941" s="107" t="str">
        <f>IFERROR(VLOOKUP(H2941,LUTs!$A$1:$C$73,3,FALSE),"NA")</f>
        <v>2Central Puget Sound</v>
      </c>
      <c r="K2941" s="107" t="s">
        <v>18</v>
      </c>
      <c r="L2941" s="107" t="str">
        <f>VLOOKUP(K2941,LUTs!E$2:G$14,3,)</f>
        <v>06King</v>
      </c>
      <c r="M2941" s="107" t="str">
        <f>VLOOKUP($K2941,LUTs!$E$2:$H$14,2,)</f>
        <v>South Puget Sound</v>
      </c>
      <c r="N2941" s="107" t="str">
        <f>VLOOKUP($K2941,LUTs!$E$2:$H$14,4,)</f>
        <v>02South Puget Sound</v>
      </c>
      <c r="O2941" s="107">
        <v>18.285714285714299</v>
      </c>
      <c r="P2941" s="107">
        <v>339.2</v>
      </c>
      <c r="Q2941" s="107">
        <f t="shared" si="226"/>
        <v>18.285714285714299</v>
      </c>
      <c r="R2941" s="166">
        <f>VLOOKUP(B2941,Existing_Conditions!$C$145:$D$156,2,)*'Rec_raw_catch_effort_2010-2021'!Q2941</f>
        <v>24.71573622909926</v>
      </c>
      <c r="S2941" s="140" t="str">
        <f t="shared" si="221"/>
        <v>Y</v>
      </c>
      <c r="T2941" s="154">
        <f t="shared" si="222"/>
        <v>18.549999999999986</v>
      </c>
      <c r="U2941" s="154">
        <f t="shared" si="223"/>
        <v>1.3516418250288649</v>
      </c>
    </row>
    <row r="2942" spans="1:21" x14ac:dyDescent="0.35">
      <c r="A2942" s="107">
        <v>1860</v>
      </c>
      <c r="B2942" s="107">
        <v>2020</v>
      </c>
      <c r="C2942" s="107" t="s">
        <v>9</v>
      </c>
      <c r="D2942" s="107" t="s">
        <v>132</v>
      </c>
      <c r="E2942" s="107" t="s">
        <v>86</v>
      </c>
      <c r="F2942" s="115">
        <v>9</v>
      </c>
      <c r="G2942" s="107" t="s">
        <v>33</v>
      </c>
      <c r="H2942" s="107" t="str">
        <f t="shared" si="225"/>
        <v>Area 9: Admiralty Inlet</v>
      </c>
      <c r="I2942" s="107" t="str">
        <f>IFERROR(VLOOKUP(H2942,LUTs!$A$1:$C$73,2,FALSE),"NA")</f>
        <v>NA</v>
      </c>
      <c r="J2942" s="107" t="str">
        <f>IFERROR(VLOOKUP(H2942,LUTs!$A$1:$C$73,3,FALSE),"NA")</f>
        <v>2Central Puget Sound</v>
      </c>
      <c r="K2942" s="107" t="s">
        <v>26</v>
      </c>
      <c r="L2942" s="107" t="str">
        <f>VLOOKUP(K2942,LUTs!E$2:G$14,3,)</f>
        <v>20Other</v>
      </c>
      <c r="M2942" s="107" t="str">
        <f>VLOOKUP($K2942,LUTs!$E$2:$H$14,2,)</f>
        <v>Non Puget Sound</v>
      </c>
      <c r="N2942" s="107" t="str">
        <f>VLOOKUP($K2942,LUTs!$E$2:$H$14,4,)</f>
        <v>07Non Puget Sound</v>
      </c>
      <c r="O2942" s="107">
        <v>16</v>
      </c>
      <c r="P2942" s="107">
        <v>136.63999999999999</v>
      </c>
      <c r="Q2942" s="107">
        <f t="shared" si="226"/>
        <v>16</v>
      </c>
      <c r="R2942" s="166">
        <f>VLOOKUP(B2942,Existing_Conditions!$C$145:$D$156,2,)*'Rec_raw_catch_effort_2010-2021'!Q2942</f>
        <v>75.473167595213113</v>
      </c>
      <c r="S2942" s="140" t="str">
        <f t="shared" si="221"/>
        <v>N</v>
      </c>
      <c r="T2942" s="154">
        <f t="shared" si="222"/>
        <v>8.5399999999999991</v>
      </c>
      <c r="U2942" s="154">
        <f t="shared" si="223"/>
        <v>4.7170729747008195</v>
      </c>
    </row>
    <row r="2943" spans="1:21" x14ac:dyDescent="0.35">
      <c r="A2943" s="107">
        <v>1862</v>
      </c>
      <c r="B2943" s="107">
        <v>2021</v>
      </c>
      <c r="C2943" s="107" t="s">
        <v>9</v>
      </c>
      <c r="D2943" s="107" t="s">
        <v>132</v>
      </c>
      <c r="E2943" s="107" t="s">
        <v>86</v>
      </c>
      <c r="F2943" s="115">
        <v>9</v>
      </c>
      <c r="G2943" s="107" t="s">
        <v>33</v>
      </c>
      <c r="H2943" s="107" t="str">
        <f t="shared" si="225"/>
        <v>Area 9: Admiralty Inlet</v>
      </c>
      <c r="I2943" s="107" t="str">
        <f>IFERROR(VLOOKUP(H2943,LUTs!$A$1:$C$73,2,FALSE),"NA")</f>
        <v>NA</v>
      </c>
      <c r="J2943" s="107" t="str">
        <f>IFERROR(VLOOKUP(H2943,LUTs!$A$1:$C$73,3,FALSE),"NA")</f>
        <v>2Central Puget Sound</v>
      </c>
      <c r="K2943" s="107" t="s">
        <v>17</v>
      </c>
      <c r="L2943" s="107" t="str">
        <f>VLOOKUP(K2943,LUTs!E$2:G$14,3,)</f>
        <v>04Island</v>
      </c>
      <c r="M2943" s="107" t="str">
        <f>VLOOKUP($K2943,LUTs!$E$2:$H$14,2,)</f>
        <v>North Puget Sound</v>
      </c>
      <c r="N2943" s="107" t="str">
        <f>VLOOKUP($K2943,LUTs!$E$2:$H$14,4,)</f>
        <v>01North Puget Sound</v>
      </c>
      <c r="O2943" s="107">
        <v>24</v>
      </c>
      <c r="P2943" s="107">
        <v>445.2</v>
      </c>
      <c r="Q2943" s="107">
        <f t="shared" si="226"/>
        <v>24</v>
      </c>
      <c r="R2943" s="166">
        <f>VLOOKUP(B2943,Existing_Conditions!$C$145:$D$156,2,)*'Rec_raw_catch_effort_2010-2021'!Q2943</f>
        <v>26.261835895813995</v>
      </c>
      <c r="S2943" s="140" t="str">
        <f t="shared" si="221"/>
        <v>N</v>
      </c>
      <c r="T2943" s="154">
        <f t="shared" si="222"/>
        <v>18.55</v>
      </c>
      <c r="U2943" s="154">
        <f t="shared" si="223"/>
        <v>1.0942431623255831</v>
      </c>
    </row>
    <row r="2944" spans="1:21" x14ac:dyDescent="0.35">
      <c r="A2944" s="107">
        <v>1861</v>
      </c>
      <c r="B2944" s="107">
        <v>2021</v>
      </c>
      <c r="C2944" s="107" t="s">
        <v>9</v>
      </c>
      <c r="D2944" s="107" t="s">
        <v>132</v>
      </c>
      <c r="E2944" s="107" t="s">
        <v>86</v>
      </c>
      <c r="F2944" s="115">
        <v>9</v>
      </c>
      <c r="G2944" s="107" t="s">
        <v>33</v>
      </c>
      <c r="H2944" s="107" t="str">
        <f t="shared" si="225"/>
        <v>Area 9: Admiralty Inlet</v>
      </c>
      <c r="I2944" s="107" t="str">
        <f>IFERROR(VLOOKUP(H2944,LUTs!$A$1:$C$73,2,FALSE),"NA")</f>
        <v>NA</v>
      </c>
      <c r="J2944" s="107" t="str">
        <f>IFERROR(VLOOKUP(H2944,LUTs!$A$1:$C$73,3,FALSE),"NA")</f>
        <v>2Central Puget Sound</v>
      </c>
      <c r="K2944" s="107" t="s">
        <v>16</v>
      </c>
      <c r="L2944" s="107" t="str">
        <f>VLOOKUP(K2944,LUTs!E$2:G$14,3,)</f>
        <v>03Snohomish</v>
      </c>
      <c r="M2944" s="107" t="str">
        <f>VLOOKUP($K2944,LUTs!$E$2:$H$14,2,)</f>
        <v>North Puget Sound</v>
      </c>
      <c r="N2944" s="107" t="str">
        <f>VLOOKUP($K2944,LUTs!$E$2:$H$14,4,)</f>
        <v>01North Puget Sound</v>
      </c>
      <c r="O2944" s="107">
        <v>12</v>
      </c>
      <c r="P2944" s="107">
        <v>222.6</v>
      </c>
      <c r="Q2944" s="107">
        <f t="shared" si="226"/>
        <v>12</v>
      </c>
      <c r="R2944" s="166">
        <f>VLOOKUP(B2944,Existing_Conditions!$C$145:$D$156,2,)*'Rec_raw_catch_effort_2010-2021'!Q2944</f>
        <v>13.130917947906998</v>
      </c>
      <c r="S2944" s="140" t="str">
        <f t="shared" si="221"/>
        <v>N</v>
      </c>
      <c r="T2944" s="154">
        <f t="shared" si="222"/>
        <v>18.55</v>
      </c>
      <c r="U2944" s="154">
        <f t="shared" si="223"/>
        <v>1.0942431623255831</v>
      </c>
    </row>
    <row r="2945" spans="1:21" x14ac:dyDescent="0.35">
      <c r="A2945" s="107">
        <v>2836</v>
      </c>
      <c r="B2945" s="107">
        <v>2011</v>
      </c>
      <c r="C2945" s="107" t="s">
        <v>9</v>
      </c>
      <c r="D2945" s="107" t="s">
        <v>132</v>
      </c>
      <c r="E2945" s="107" t="s">
        <v>86</v>
      </c>
      <c r="F2945" s="115" t="s">
        <v>304</v>
      </c>
      <c r="G2945" s="107" t="s">
        <v>31</v>
      </c>
      <c r="H2945" s="107" t="str">
        <f t="shared" si="225"/>
        <v>Area 8-1: Skagit Bay-Saratoga Psg.</v>
      </c>
      <c r="I2945" s="107" t="str">
        <f>IFERROR(VLOOKUP(H2945,LUTs!$A$1:$C$73,2,FALSE),"NA")</f>
        <v>NA</v>
      </c>
      <c r="J2945" s="107" t="str">
        <f>IFERROR(VLOOKUP(H2945,LUTs!$A$1:$C$73,3,FALSE),"NA")</f>
        <v>2Central Puget Sound</v>
      </c>
      <c r="K2945" s="107" t="s">
        <v>17</v>
      </c>
      <c r="L2945" s="107" t="str">
        <f>VLOOKUP(K2945,LUTs!E$2:G$14,3,)</f>
        <v>04Island</v>
      </c>
      <c r="M2945" s="107" t="str">
        <f>VLOOKUP($K2945,LUTs!$E$2:$H$14,2,)</f>
        <v>North Puget Sound</v>
      </c>
      <c r="N2945" s="107" t="str">
        <f>VLOOKUP($K2945,LUTs!$E$2:$H$14,4,)</f>
        <v>01North Puget Sound</v>
      </c>
      <c r="O2945" s="107">
        <v>4.5</v>
      </c>
      <c r="P2945" s="107">
        <v>83.474999999999994</v>
      </c>
      <c r="Q2945" s="107">
        <f t="shared" si="226"/>
        <v>4.5</v>
      </c>
      <c r="R2945" s="166">
        <f>VLOOKUP(B2945,Existing_Conditions!$C$145:$D$156,2,)*'Rec_raw_catch_effort_2010-2021'!Q2945</f>
        <v>8.2602486102572676</v>
      </c>
      <c r="S2945" s="140" t="str">
        <f t="shared" si="221"/>
        <v>Y</v>
      </c>
      <c r="T2945" s="154">
        <f t="shared" si="222"/>
        <v>18.549999999999997</v>
      </c>
      <c r="U2945" s="154">
        <f t="shared" si="223"/>
        <v>1.8356108022793929</v>
      </c>
    </row>
    <row r="2946" spans="1:21" x14ac:dyDescent="0.35">
      <c r="A2946" s="107">
        <v>2837</v>
      </c>
      <c r="B2946" s="107">
        <v>2011</v>
      </c>
      <c r="C2946" s="107" t="s">
        <v>9</v>
      </c>
      <c r="D2946" s="107" t="s">
        <v>132</v>
      </c>
      <c r="E2946" s="107" t="s">
        <v>86</v>
      </c>
      <c r="F2946" s="115" t="s">
        <v>304</v>
      </c>
      <c r="G2946" s="107" t="s">
        <v>31</v>
      </c>
      <c r="H2946" s="107" t="str">
        <f t="shared" si="225"/>
        <v>Area 8-1: Skagit Bay-Saratoga Psg.</v>
      </c>
      <c r="I2946" s="107" t="str">
        <f>IFERROR(VLOOKUP(H2946,LUTs!$A$1:$C$73,2,FALSE),"NA")</f>
        <v>NA</v>
      </c>
      <c r="J2946" s="107" t="str">
        <f>IFERROR(VLOOKUP(H2946,LUTs!$A$1:$C$73,3,FALSE),"NA")</f>
        <v>2Central Puget Sound</v>
      </c>
      <c r="K2946" s="107" t="s">
        <v>20</v>
      </c>
      <c r="L2946" s="107" t="str">
        <f>VLOOKUP(K2946,LUTs!E$2:G$14,3,)</f>
        <v>07Pierce</v>
      </c>
      <c r="M2946" s="107" t="str">
        <f>VLOOKUP($K2946,LUTs!$E$2:$H$14,2,)</f>
        <v>South Puget Sound</v>
      </c>
      <c r="N2946" s="107" t="str">
        <f>VLOOKUP($K2946,LUTs!$E$2:$H$14,4,)</f>
        <v>02South Puget Sound</v>
      </c>
      <c r="O2946" s="107">
        <v>9</v>
      </c>
      <c r="P2946" s="107">
        <v>166.95</v>
      </c>
      <c r="Q2946" s="107">
        <f t="shared" si="226"/>
        <v>9</v>
      </c>
      <c r="R2946" s="166">
        <f>VLOOKUP(B2946,Existing_Conditions!$C$145:$D$156,2,)*'Rec_raw_catch_effort_2010-2021'!Q2946</f>
        <v>16.520497220514535</v>
      </c>
      <c r="S2946" s="140" t="str">
        <f t="shared" si="221"/>
        <v>Y</v>
      </c>
      <c r="T2946" s="154">
        <f t="shared" si="222"/>
        <v>18.549999999999997</v>
      </c>
      <c r="U2946" s="154">
        <f t="shared" si="223"/>
        <v>1.8356108022793929</v>
      </c>
    </row>
    <row r="2947" spans="1:21" x14ac:dyDescent="0.35">
      <c r="A2947" s="107">
        <v>2835</v>
      </c>
      <c r="B2947" s="107">
        <v>2011</v>
      </c>
      <c r="C2947" s="107" t="s">
        <v>9</v>
      </c>
      <c r="D2947" s="107" t="s">
        <v>132</v>
      </c>
      <c r="E2947" s="107" t="s">
        <v>86</v>
      </c>
      <c r="F2947" s="115" t="s">
        <v>304</v>
      </c>
      <c r="G2947" s="107" t="s">
        <v>31</v>
      </c>
      <c r="H2947" s="107" t="str">
        <f t="shared" si="225"/>
        <v>Area 8-1: Skagit Bay-Saratoga Psg.</v>
      </c>
      <c r="I2947" s="107" t="str">
        <f>IFERROR(VLOOKUP(H2947,LUTs!$A$1:$C$73,2,FALSE),"NA")</f>
        <v>NA</v>
      </c>
      <c r="J2947" s="107" t="str">
        <f>IFERROR(VLOOKUP(H2947,LUTs!$A$1:$C$73,3,FALSE),"NA")</f>
        <v>2Central Puget Sound</v>
      </c>
      <c r="K2947" s="107" t="s">
        <v>16</v>
      </c>
      <c r="L2947" s="107" t="str">
        <f>VLOOKUP(K2947,LUTs!E$2:G$14,3,)</f>
        <v>03Snohomish</v>
      </c>
      <c r="M2947" s="107" t="str">
        <f>VLOOKUP($K2947,LUTs!$E$2:$H$14,2,)</f>
        <v>North Puget Sound</v>
      </c>
      <c r="N2947" s="107" t="str">
        <f>VLOOKUP($K2947,LUTs!$E$2:$H$14,4,)</f>
        <v>01North Puget Sound</v>
      </c>
      <c r="O2947" s="107">
        <v>4.5</v>
      </c>
      <c r="P2947" s="107">
        <v>83.474999999999994</v>
      </c>
      <c r="Q2947" s="107">
        <f t="shared" si="226"/>
        <v>4.5</v>
      </c>
      <c r="R2947" s="166">
        <f>VLOOKUP(B2947,Existing_Conditions!$C$145:$D$156,2,)*'Rec_raw_catch_effort_2010-2021'!Q2947</f>
        <v>8.2602486102572676</v>
      </c>
      <c r="S2947" s="140" t="str">
        <f t="shared" ref="S2947:S3010" si="227">IF(B2947&lt;=2019,"Y","N")</f>
        <v>Y</v>
      </c>
      <c r="T2947" s="154">
        <f t="shared" ref="T2947:T3010" si="228">IFERROR(P2947/O2947,"NA")</f>
        <v>18.549999999999997</v>
      </c>
      <c r="U2947" s="154">
        <f t="shared" ref="U2947:U3010" si="229">IFERROR(R2947/Q2947,"NA")</f>
        <v>1.8356108022793929</v>
      </c>
    </row>
    <row r="2948" spans="1:21" x14ac:dyDescent="0.35">
      <c r="A2948" s="107">
        <v>1355</v>
      </c>
      <c r="B2948" s="107">
        <v>2012</v>
      </c>
      <c r="C2948" s="107" t="s">
        <v>9</v>
      </c>
      <c r="D2948" s="107" t="s">
        <v>132</v>
      </c>
      <c r="E2948" s="107" t="s">
        <v>86</v>
      </c>
      <c r="F2948" s="115" t="s">
        <v>304</v>
      </c>
      <c r="G2948" s="107" t="s">
        <v>31</v>
      </c>
      <c r="H2948" s="107" t="str">
        <f t="shared" si="225"/>
        <v>Area 8-1: Skagit Bay-Saratoga Psg.</v>
      </c>
      <c r="I2948" s="107" t="str">
        <f>IFERROR(VLOOKUP(H2948,LUTs!$A$1:$C$73,2,FALSE),"NA")</f>
        <v>NA</v>
      </c>
      <c r="J2948" s="107" t="str">
        <f>IFERROR(VLOOKUP(H2948,LUTs!$A$1:$C$73,3,FALSE),"NA")</f>
        <v>2Central Puget Sound</v>
      </c>
      <c r="K2948" s="107" t="s">
        <v>18</v>
      </c>
      <c r="L2948" s="107" t="str">
        <f>VLOOKUP(K2948,LUTs!E$2:G$14,3,)</f>
        <v>06King</v>
      </c>
      <c r="M2948" s="107" t="str">
        <f>VLOOKUP($K2948,LUTs!$E$2:$H$14,2,)</f>
        <v>South Puget Sound</v>
      </c>
      <c r="N2948" s="107" t="str">
        <f>VLOOKUP($K2948,LUTs!$E$2:$H$14,4,)</f>
        <v>02South Puget Sound</v>
      </c>
      <c r="O2948" s="107">
        <v>3.5</v>
      </c>
      <c r="P2948" s="107">
        <v>29.89</v>
      </c>
      <c r="Q2948" s="107">
        <f t="shared" si="226"/>
        <v>3.5</v>
      </c>
      <c r="R2948" s="166">
        <f>VLOOKUP(B2948,Existing_Conditions!$C$145:$D$156,2,)*'Rec_raw_catch_effort_2010-2021'!Q2948</f>
        <v>7.5278703664085098</v>
      </c>
      <c r="S2948" s="140" t="str">
        <f t="shared" si="227"/>
        <v>Y</v>
      </c>
      <c r="T2948" s="154">
        <f t="shared" si="228"/>
        <v>8.5400000000000009</v>
      </c>
      <c r="U2948" s="154">
        <f t="shared" si="229"/>
        <v>2.1508201046881457</v>
      </c>
    </row>
    <row r="2949" spans="1:21" x14ac:dyDescent="0.35">
      <c r="A2949" s="107">
        <v>1356</v>
      </c>
      <c r="B2949" s="107">
        <v>2012</v>
      </c>
      <c r="C2949" s="107" t="s">
        <v>9</v>
      </c>
      <c r="D2949" s="107" t="s">
        <v>132</v>
      </c>
      <c r="E2949" s="107" t="s">
        <v>86</v>
      </c>
      <c r="F2949" s="115" t="s">
        <v>304</v>
      </c>
      <c r="G2949" s="107" t="s">
        <v>31</v>
      </c>
      <c r="H2949" s="107" t="str">
        <f t="shared" si="225"/>
        <v>Area 8-1: Skagit Bay-Saratoga Psg.</v>
      </c>
      <c r="I2949" s="107" t="str">
        <f>IFERROR(VLOOKUP(H2949,LUTs!$A$1:$C$73,2,FALSE),"NA")</f>
        <v>NA</v>
      </c>
      <c r="J2949" s="107" t="str">
        <f>IFERROR(VLOOKUP(H2949,LUTs!$A$1:$C$73,3,FALSE),"NA")</f>
        <v>2Central Puget Sound</v>
      </c>
      <c r="K2949" s="107" t="s">
        <v>21</v>
      </c>
      <c r="L2949" s="107" t="str">
        <f>VLOOKUP(K2949,LUTs!E$2:G$14,3,)</f>
        <v>08Thurston</v>
      </c>
      <c r="M2949" s="107" t="str">
        <f>VLOOKUP($K2949,LUTs!$E$2:$H$14,2,)</f>
        <v>South Puget Sound</v>
      </c>
      <c r="N2949" s="107" t="str">
        <f>VLOOKUP($K2949,LUTs!$E$2:$H$14,4,)</f>
        <v>02South Puget Sound</v>
      </c>
      <c r="O2949" s="107">
        <v>3.5</v>
      </c>
      <c r="P2949" s="107">
        <v>29.89</v>
      </c>
      <c r="Q2949" s="107">
        <f t="shared" si="226"/>
        <v>3.5</v>
      </c>
      <c r="R2949" s="166">
        <f>VLOOKUP(B2949,Existing_Conditions!$C$145:$D$156,2,)*'Rec_raw_catch_effort_2010-2021'!Q2949</f>
        <v>7.5278703664085098</v>
      </c>
      <c r="S2949" s="140" t="str">
        <f t="shared" si="227"/>
        <v>Y</v>
      </c>
      <c r="T2949" s="154">
        <f t="shared" si="228"/>
        <v>8.5400000000000009</v>
      </c>
      <c r="U2949" s="154">
        <f t="shared" si="229"/>
        <v>2.1508201046881457</v>
      </c>
    </row>
    <row r="2950" spans="1:21" x14ac:dyDescent="0.35">
      <c r="A2950" s="107">
        <v>1525</v>
      </c>
      <c r="B2950" s="107">
        <v>2014</v>
      </c>
      <c r="C2950" s="107" t="s">
        <v>9</v>
      </c>
      <c r="D2950" s="107" t="s">
        <v>132</v>
      </c>
      <c r="E2950" s="107" t="s">
        <v>86</v>
      </c>
      <c r="F2950" s="115" t="s">
        <v>304</v>
      </c>
      <c r="G2950" s="107" t="s">
        <v>31</v>
      </c>
      <c r="H2950" s="107" t="str">
        <f t="shared" si="225"/>
        <v>Area 8-1: Skagit Bay-Saratoga Psg.</v>
      </c>
      <c r="I2950" s="107" t="str">
        <f>IFERROR(VLOOKUP(H2950,LUTs!$A$1:$C$73,2,FALSE),"NA")</f>
        <v>NA</v>
      </c>
      <c r="J2950" s="107" t="str">
        <f>IFERROR(VLOOKUP(H2950,LUTs!$A$1:$C$73,3,FALSE),"NA")</f>
        <v>2Central Puget Sound</v>
      </c>
      <c r="K2950" s="107" t="s">
        <v>16</v>
      </c>
      <c r="L2950" s="107" t="str">
        <f>VLOOKUP(K2950,LUTs!E$2:G$14,3,)</f>
        <v>03Snohomish</v>
      </c>
      <c r="M2950" s="107" t="str">
        <f>VLOOKUP($K2950,LUTs!$E$2:$H$14,2,)</f>
        <v>North Puget Sound</v>
      </c>
      <c r="N2950" s="107" t="str">
        <f>VLOOKUP($K2950,LUTs!$E$2:$H$14,4,)</f>
        <v>01North Puget Sound</v>
      </c>
      <c r="O2950" s="107">
        <v>1</v>
      </c>
      <c r="P2950" s="107">
        <v>8.5399999999999991</v>
      </c>
      <c r="Q2950" s="107">
        <f t="shared" si="226"/>
        <v>1</v>
      </c>
      <c r="R2950" s="166">
        <f>VLOOKUP(B2950,Existing_Conditions!$C$145:$D$156,2,)*'Rec_raw_catch_effort_2010-2021'!Q2950</f>
        <v>3.3497525793849534</v>
      </c>
      <c r="S2950" s="140" t="str">
        <f t="shared" si="227"/>
        <v>Y</v>
      </c>
      <c r="T2950" s="154">
        <f t="shared" si="228"/>
        <v>8.5399999999999991</v>
      </c>
      <c r="U2950" s="154">
        <f t="shared" si="229"/>
        <v>3.3497525793849534</v>
      </c>
    </row>
    <row r="2951" spans="1:21" x14ac:dyDescent="0.35">
      <c r="A2951" s="107">
        <v>2838</v>
      </c>
      <c r="B2951" s="107">
        <v>2011</v>
      </c>
      <c r="C2951" s="107" t="s">
        <v>9</v>
      </c>
      <c r="D2951" s="107" t="s">
        <v>132</v>
      </c>
      <c r="E2951" s="107" t="s">
        <v>86</v>
      </c>
      <c r="F2951" s="115" t="s">
        <v>305</v>
      </c>
      <c r="G2951" s="107" t="s">
        <v>32</v>
      </c>
      <c r="H2951" s="107" t="str">
        <f t="shared" si="225"/>
        <v>Area 8-2: Port Susan-Port Gardner</v>
      </c>
      <c r="I2951" s="107" t="str">
        <f>IFERROR(VLOOKUP(H2951,LUTs!$A$1:$C$73,2,FALSE),"NA")</f>
        <v>NA</v>
      </c>
      <c r="J2951" s="107" t="str">
        <f>IFERROR(VLOOKUP(H2951,LUTs!$A$1:$C$73,3,FALSE),"NA")</f>
        <v>2Central Puget Sound</v>
      </c>
      <c r="K2951" s="107" t="s">
        <v>16</v>
      </c>
      <c r="L2951" s="107" t="str">
        <f>VLOOKUP(K2951,LUTs!E$2:G$14,3,)</f>
        <v>03Snohomish</v>
      </c>
      <c r="M2951" s="107" t="str">
        <f>VLOOKUP($K2951,LUTs!$E$2:$H$14,2,)</f>
        <v>North Puget Sound</v>
      </c>
      <c r="N2951" s="107" t="str">
        <f>VLOOKUP($K2951,LUTs!$E$2:$H$14,4,)</f>
        <v>01North Puget Sound</v>
      </c>
      <c r="O2951" s="107">
        <v>4</v>
      </c>
      <c r="P2951" s="107">
        <v>74.2</v>
      </c>
      <c r="Q2951" s="107">
        <f t="shared" si="226"/>
        <v>4</v>
      </c>
      <c r="R2951" s="166">
        <f>VLOOKUP(B2951,Existing_Conditions!$C$145:$D$156,2,)*'Rec_raw_catch_effort_2010-2021'!Q2951</f>
        <v>7.3424432091175715</v>
      </c>
      <c r="S2951" s="140" t="str">
        <f t="shared" si="227"/>
        <v>Y</v>
      </c>
      <c r="T2951" s="154">
        <f t="shared" si="228"/>
        <v>18.55</v>
      </c>
      <c r="U2951" s="154">
        <f t="shared" si="229"/>
        <v>1.8356108022793929</v>
      </c>
    </row>
    <row r="2952" spans="1:21" x14ac:dyDescent="0.35">
      <c r="A2952" s="107">
        <v>1357</v>
      </c>
      <c r="B2952" s="107">
        <v>2012</v>
      </c>
      <c r="C2952" s="107" t="s">
        <v>9</v>
      </c>
      <c r="D2952" s="107" t="s">
        <v>132</v>
      </c>
      <c r="E2952" s="107" t="s">
        <v>86</v>
      </c>
      <c r="F2952" s="115" t="s">
        <v>305</v>
      </c>
      <c r="G2952" s="107" t="s">
        <v>32</v>
      </c>
      <c r="H2952" s="107" t="str">
        <f t="shared" si="225"/>
        <v>Area 8-2: Port Susan-Port Gardner</v>
      </c>
      <c r="I2952" s="107" t="str">
        <f>IFERROR(VLOOKUP(H2952,LUTs!$A$1:$C$73,2,FALSE),"NA")</f>
        <v>NA</v>
      </c>
      <c r="J2952" s="107" t="str">
        <f>IFERROR(VLOOKUP(H2952,LUTs!$A$1:$C$73,3,FALSE),"NA")</f>
        <v>2Central Puget Sound</v>
      </c>
      <c r="K2952" s="107" t="s">
        <v>16</v>
      </c>
      <c r="L2952" s="107" t="str">
        <f>VLOOKUP(K2952,LUTs!E$2:G$14,3,)</f>
        <v>03Snohomish</v>
      </c>
      <c r="M2952" s="107" t="str">
        <f>VLOOKUP($K2952,LUTs!$E$2:$H$14,2,)</f>
        <v>North Puget Sound</v>
      </c>
      <c r="N2952" s="107" t="str">
        <f>VLOOKUP($K2952,LUTs!$E$2:$H$14,4,)</f>
        <v>01North Puget Sound</v>
      </c>
      <c r="O2952" s="107">
        <v>8</v>
      </c>
      <c r="P2952" s="107">
        <v>68.319999999999993</v>
      </c>
      <c r="Q2952" s="107">
        <f t="shared" si="226"/>
        <v>8</v>
      </c>
      <c r="R2952" s="166">
        <f>VLOOKUP(B2952,Existing_Conditions!$C$145:$D$156,2,)*'Rec_raw_catch_effort_2010-2021'!Q2952</f>
        <v>17.206560837505165</v>
      </c>
      <c r="S2952" s="140" t="str">
        <f t="shared" si="227"/>
        <v>Y</v>
      </c>
      <c r="T2952" s="154">
        <f t="shared" si="228"/>
        <v>8.5399999999999991</v>
      </c>
      <c r="U2952" s="154">
        <f t="shared" si="229"/>
        <v>2.1508201046881457</v>
      </c>
    </row>
    <row r="2953" spans="1:21" x14ac:dyDescent="0.35">
      <c r="A2953" s="107">
        <v>1364</v>
      </c>
      <c r="B2953" s="107">
        <v>2013</v>
      </c>
      <c r="C2953" s="107" t="s">
        <v>9</v>
      </c>
      <c r="D2953" s="107" t="s">
        <v>132</v>
      </c>
      <c r="E2953" s="107" t="s">
        <v>86</v>
      </c>
      <c r="F2953" s="115" t="s">
        <v>305</v>
      </c>
      <c r="G2953" s="107" t="s">
        <v>32</v>
      </c>
      <c r="H2953" s="107" t="str">
        <f t="shared" si="225"/>
        <v>Area 8-2: Port Susan-Port Gardner</v>
      </c>
      <c r="I2953" s="107" t="str">
        <f>IFERROR(VLOOKUP(H2953,LUTs!$A$1:$C$73,2,FALSE),"NA")</f>
        <v>NA</v>
      </c>
      <c r="J2953" s="107" t="str">
        <f>IFERROR(VLOOKUP(H2953,LUTs!$A$1:$C$73,3,FALSE),"NA")</f>
        <v>2Central Puget Sound</v>
      </c>
      <c r="K2953" s="107" t="s">
        <v>26</v>
      </c>
      <c r="L2953" s="107" t="str">
        <f>VLOOKUP(K2953,LUTs!E$2:G$14,3,)</f>
        <v>20Other</v>
      </c>
      <c r="M2953" s="107" t="str">
        <f>VLOOKUP($K2953,LUTs!$E$2:$H$14,2,)</f>
        <v>Non Puget Sound</v>
      </c>
      <c r="N2953" s="107" t="str">
        <f>VLOOKUP($K2953,LUTs!$E$2:$H$14,4,)</f>
        <v>07Non Puget Sound</v>
      </c>
      <c r="O2953" s="107">
        <v>4</v>
      </c>
      <c r="P2953" s="107">
        <v>74.2</v>
      </c>
      <c r="Q2953" s="107">
        <f t="shared" si="226"/>
        <v>4</v>
      </c>
      <c r="R2953" s="166">
        <f>VLOOKUP(B2953,Existing_Conditions!$C$145:$D$156,2,)*'Rec_raw_catch_effort_2010-2021'!Q2953</f>
        <v>5.834122949341995</v>
      </c>
      <c r="S2953" s="140" t="str">
        <f t="shared" si="227"/>
        <v>Y</v>
      </c>
      <c r="T2953" s="154">
        <f t="shared" si="228"/>
        <v>18.55</v>
      </c>
      <c r="U2953" s="154">
        <f t="shared" si="229"/>
        <v>1.4585307373354988</v>
      </c>
    </row>
    <row r="2954" spans="1:21" x14ac:dyDescent="0.35">
      <c r="A2954" s="110">
        <v>688</v>
      </c>
      <c r="B2954" s="110">
        <v>2014</v>
      </c>
      <c r="C2954" s="110" t="s">
        <v>38</v>
      </c>
      <c r="D2954" s="110" t="s">
        <v>143</v>
      </c>
      <c r="E2954" s="110" t="s">
        <v>86</v>
      </c>
      <c r="F2954" s="117">
        <v>706</v>
      </c>
      <c r="G2954" s="110" t="s">
        <v>106</v>
      </c>
      <c r="H2954" s="110" t="s">
        <v>75</v>
      </c>
      <c r="I2954" s="110" t="str">
        <f>IFERROR(VLOOKUP(H2954,LUTs!$A$1:$C$73,2,FALSE),"NA")</f>
        <v>Thurston</v>
      </c>
      <c r="J2954" s="110" t="str">
        <f>IFERROR(VLOOKUP(H2954,LUTs!$A$1:$C$73,3,FALSE),"NA")</f>
        <v>3South Puget Sound</v>
      </c>
      <c r="K2954" s="110" t="s">
        <v>26</v>
      </c>
      <c r="L2954" s="110" t="str">
        <f>VLOOKUP(K2954,LUTs!E$2:G$14,3,)</f>
        <v>20Other</v>
      </c>
      <c r="M2954" s="110" t="str">
        <f>VLOOKUP($K2954,LUTs!$E$2:$H$14,2,)</f>
        <v>Non Puget Sound</v>
      </c>
      <c r="N2954" s="110" t="str">
        <f>VLOOKUP($K2954,LUTs!$E$2:$H$14,4,)</f>
        <v>07Non Puget Sound</v>
      </c>
      <c r="O2954" s="110">
        <v>4</v>
      </c>
      <c r="P2954" s="110">
        <v>34.159999999999997</v>
      </c>
      <c r="Q2954" s="110">
        <f>SUMIFS('FW_Steelhead_by_Month_2010-2021'!Q$2:Q$3810,'FW_Steelhead_by_Month_2010-2021'!$B$2:$B$3810,'Rec_raw_catch_effort_2010-2021'!$B2954,'FW_Steelhead_by_Month_2010-2021'!$H$2:$H$3810,'Rec_raw_catch_effort_2010-2021'!$F2954,'FW_Steelhead_by_Month_2010-2021'!$M$2:$M$3810,'Rec_raw_catch_effort_2010-2021'!$K2954)</f>
        <v>4</v>
      </c>
      <c r="R2954" s="111">
        <f>VLOOKUP(B2954,Readme!$A$62:$C$74,3,)*Q2954</f>
        <v>83.708949299517172</v>
      </c>
      <c r="S2954" s="140" t="str">
        <f t="shared" si="227"/>
        <v>Y</v>
      </c>
      <c r="T2954" s="154">
        <f t="shared" si="228"/>
        <v>8.5399999999999991</v>
      </c>
      <c r="U2954" s="154">
        <f t="shared" si="229"/>
        <v>20.927237324879293</v>
      </c>
    </row>
    <row r="2955" spans="1:21" x14ac:dyDescent="0.35">
      <c r="A2955" s="110">
        <v>234</v>
      </c>
      <c r="B2955" s="110">
        <v>2014</v>
      </c>
      <c r="C2955" s="110" t="s">
        <v>38</v>
      </c>
      <c r="D2955" s="110" t="s">
        <v>143</v>
      </c>
      <c r="E2955" s="110" t="s">
        <v>86</v>
      </c>
      <c r="F2955" s="117">
        <v>708</v>
      </c>
      <c r="G2955" s="110" t="s">
        <v>107</v>
      </c>
      <c r="H2955" s="110" t="str">
        <f t="shared" ref="H2955:H3001" si="230">G2955</f>
        <v>Burley Creek (Kitsap Co.)</v>
      </c>
      <c r="I2955" s="110" t="str">
        <f>IFERROR(VLOOKUP(H2955,LUTs!$A$1:$C$73,2,FALSE),"NA")</f>
        <v>Kitsap</v>
      </c>
      <c r="J2955" s="110" t="str">
        <f>IFERROR(VLOOKUP(H2955,LUTs!$A$1:$C$73,3,FALSE),"NA")</f>
        <v>3South Puget Sound</v>
      </c>
      <c r="K2955" s="110" t="s">
        <v>26</v>
      </c>
      <c r="L2955" s="110" t="str">
        <f>VLOOKUP(K2955,LUTs!E$2:G$14,3,)</f>
        <v>20Other</v>
      </c>
      <c r="M2955" s="110" t="str">
        <f>VLOOKUP($K2955,LUTs!$E$2:$H$14,2,)</f>
        <v>Non Puget Sound</v>
      </c>
      <c r="N2955" s="110" t="str">
        <f>VLOOKUP($K2955,LUTs!$E$2:$H$14,4,)</f>
        <v>07Non Puget Sound</v>
      </c>
      <c r="O2955" s="110">
        <v>12</v>
      </c>
      <c r="P2955" s="110">
        <v>102.48</v>
      </c>
      <c r="Q2955" s="110">
        <f>SUMIFS('FW_Steelhead_by_Month_2010-2021'!Q$2:Q$3810,'FW_Steelhead_by_Month_2010-2021'!$B$2:$B$3810,'Rec_raw_catch_effort_2010-2021'!$B2955,'FW_Steelhead_by_Month_2010-2021'!$H$2:$H$3810,'Rec_raw_catch_effort_2010-2021'!$F2955,'FW_Steelhead_by_Month_2010-2021'!$M$2:$M$3810,'Rec_raw_catch_effort_2010-2021'!$K2955)</f>
        <v>12</v>
      </c>
      <c r="R2955" s="111">
        <f>VLOOKUP(B2955,Readme!$A$62:$C$74,3,)*Q2955</f>
        <v>251.12684789855152</v>
      </c>
      <c r="S2955" s="140" t="str">
        <f t="shared" si="227"/>
        <v>Y</v>
      </c>
      <c r="T2955" s="154">
        <f t="shared" si="228"/>
        <v>8.5400000000000009</v>
      </c>
      <c r="U2955" s="154">
        <f t="shared" si="229"/>
        <v>20.927237324879293</v>
      </c>
    </row>
    <row r="2956" spans="1:21" x14ac:dyDescent="0.35">
      <c r="A2956" s="110">
        <v>2905</v>
      </c>
      <c r="B2956" s="110">
        <v>2010</v>
      </c>
      <c r="C2956" s="110" t="s">
        <v>38</v>
      </c>
      <c r="D2956" s="110" t="s">
        <v>143</v>
      </c>
      <c r="E2956" s="110" t="s">
        <v>86</v>
      </c>
      <c r="F2956" s="117">
        <v>718</v>
      </c>
      <c r="G2956" s="110" t="s">
        <v>87</v>
      </c>
      <c r="H2956" s="110" t="str">
        <f t="shared" si="230"/>
        <v>Clallam River</v>
      </c>
      <c r="I2956" s="110" t="str">
        <f>IFERROR(VLOOKUP(H2956,LUTs!$A$1:$C$73,2,FALSE),"NA")</f>
        <v>Clallam</v>
      </c>
      <c r="J2956" s="110" t="str">
        <f>IFERROR(VLOOKUP(H2956,LUTs!$A$1:$C$73,3,FALSE),"NA")</f>
        <v>0Strait of Juan de Fuca</v>
      </c>
      <c r="K2956" s="110" t="s">
        <v>24</v>
      </c>
      <c r="L2956" s="110" t="str">
        <f>VLOOKUP(K2956,LUTs!E$2:G$14,3,)</f>
        <v>11Clallam</v>
      </c>
      <c r="M2956" s="110" t="str">
        <f>VLOOKUP($K2956,LUTs!$E$2:$H$14,2,)</f>
        <v>Strait of Juan de Fuca</v>
      </c>
      <c r="N2956" s="110" t="str">
        <f>VLOOKUP($K2956,LUTs!$E$2:$H$14,4,)</f>
        <v>03Strait of Juan de Fuca</v>
      </c>
      <c r="O2956" s="110">
        <v>16.210526315789501</v>
      </c>
      <c r="P2956" s="110">
        <v>138.437894736842</v>
      </c>
      <c r="Q2956" s="110">
        <f>SUMIFS('FW_Steelhead_by_Month_2010-2021'!Q$2:Q$3810,'FW_Steelhead_by_Month_2010-2021'!$B$2:$B$3810,'Rec_raw_catch_effort_2010-2021'!$B2956,'FW_Steelhead_by_Month_2010-2021'!$H$2:$H$3810,'Rec_raw_catch_effort_2010-2021'!$F2956,'FW_Steelhead_by_Month_2010-2021'!$M$2:$M$3810,'Rec_raw_catch_effort_2010-2021'!$K2956)</f>
        <v>4.6666666666666696</v>
      </c>
      <c r="R2956" s="111">
        <f>VLOOKUP(B2956,Readme!$A$62:$C$74,3,)*Q2956</f>
        <v>97.660440849436768</v>
      </c>
      <c r="S2956" s="140" t="str">
        <f t="shared" si="227"/>
        <v>Y</v>
      </c>
      <c r="T2956" s="154">
        <f t="shared" si="228"/>
        <v>8.5399999999999796</v>
      </c>
      <c r="U2956" s="154">
        <f t="shared" si="229"/>
        <v>20.927237324879293</v>
      </c>
    </row>
    <row r="2957" spans="1:21" x14ac:dyDescent="0.35">
      <c r="A2957" s="110">
        <v>2906</v>
      </c>
      <c r="B2957" s="110">
        <v>2010</v>
      </c>
      <c r="C2957" s="110" t="s">
        <v>38</v>
      </c>
      <c r="D2957" s="110" t="s">
        <v>143</v>
      </c>
      <c r="E2957" s="110" t="s">
        <v>86</v>
      </c>
      <c r="F2957" s="117">
        <v>718</v>
      </c>
      <c r="G2957" s="110" t="s">
        <v>87</v>
      </c>
      <c r="H2957" s="110" t="str">
        <f t="shared" si="230"/>
        <v>Clallam River</v>
      </c>
      <c r="I2957" s="110" t="str">
        <f>IFERROR(VLOOKUP(H2957,LUTs!$A$1:$C$73,2,FALSE),"NA")</f>
        <v>Clallam</v>
      </c>
      <c r="J2957" s="110" t="str">
        <f>IFERROR(VLOOKUP(H2957,LUTs!$A$1:$C$73,3,FALSE),"NA")</f>
        <v>0Strait of Juan de Fuca</v>
      </c>
      <c r="K2957" s="110" t="s">
        <v>26</v>
      </c>
      <c r="L2957" s="110" t="str">
        <f>VLOOKUP(K2957,LUTs!E$2:G$14,3,)</f>
        <v>20Other</v>
      </c>
      <c r="M2957" s="110" t="str">
        <f>VLOOKUP($K2957,LUTs!$E$2:$H$14,2,)</f>
        <v>Non Puget Sound</v>
      </c>
      <c r="N2957" s="110" t="str">
        <f>VLOOKUP($K2957,LUTs!$E$2:$H$14,4,)</f>
        <v>07Non Puget Sound</v>
      </c>
      <c r="O2957" s="110">
        <v>2.3157894736842102</v>
      </c>
      <c r="P2957" s="110">
        <v>19.776842105263199</v>
      </c>
      <c r="Q2957" s="110">
        <f>SUMIFS('FW_Steelhead_by_Month_2010-2021'!Q$2:Q$3810,'FW_Steelhead_by_Month_2010-2021'!$B$2:$B$3810,'Rec_raw_catch_effort_2010-2021'!$B2957,'FW_Steelhead_by_Month_2010-2021'!$H$2:$H$3810,'Rec_raw_catch_effort_2010-2021'!$F2957,'FW_Steelhead_by_Month_2010-2021'!$M$2:$M$3810,'Rec_raw_catch_effort_2010-2021'!$K2957)</f>
        <v>2.3333333333333299</v>
      </c>
      <c r="R2957" s="111">
        <f>VLOOKUP(B2957,Readme!$A$62:$C$74,3,)*Q2957</f>
        <v>48.830220424718277</v>
      </c>
      <c r="S2957" s="140" t="str">
        <f t="shared" si="227"/>
        <v>Y</v>
      </c>
      <c r="T2957" s="154">
        <f t="shared" si="228"/>
        <v>8.5400000000000187</v>
      </c>
      <c r="U2957" s="154">
        <f t="shared" si="229"/>
        <v>20.927237324879293</v>
      </c>
    </row>
    <row r="2958" spans="1:21" x14ac:dyDescent="0.35">
      <c r="A2958" s="110">
        <v>2904</v>
      </c>
      <c r="B2958" s="110">
        <v>2010</v>
      </c>
      <c r="C2958" s="110" t="s">
        <v>38</v>
      </c>
      <c r="D2958" s="110" t="s">
        <v>143</v>
      </c>
      <c r="E2958" s="110" t="s">
        <v>86</v>
      </c>
      <c r="F2958" s="117">
        <v>718</v>
      </c>
      <c r="G2958" s="110" t="s">
        <v>87</v>
      </c>
      <c r="H2958" s="110" t="str">
        <f t="shared" si="230"/>
        <v>Clallam River</v>
      </c>
      <c r="I2958" s="110" t="str">
        <f>IFERROR(VLOOKUP(H2958,LUTs!$A$1:$C$73,2,FALSE),"NA")</f>
        <v>Clallam</v>
      </c>
      <c r="J2958" s="110" t="str">
        <f>IFERROR(VLOOKUP(H2958,LUTs!$A$1:$C$73,3,FALSE),"NA")</f>
        <v>0Strait of Juan de Fuca</v>
      </c>
      <c r="K2958" s="110" t="s">
        <v>20</v>
      </c>
      <c r="L2958" s="110" t="str">
        <f>VLOOKUP(K2958,LUTs!E$2:G$14,3,)</f>
        <v>07Pierce</v>
      </c>
      <c r="M2958" s="110" t="str">
        <f>VLOOKUP($K2958,LUTs!$E$2:$H$14,2,)</f>
        <v>South Puget Sound</v>
      </c>
      <c r="N2958" s="110" t="str">
        <f>VLOOKUP($K2958,LUTs!$E$2:$H$14,4,)</f>
        <v>02South Puget Sound</v>
      </c>
      <c r="O2958" s="110">
        <v>18.526315789473699</v>
      </c>
      <c r="P2958" s="110">
        <v>158.214736842105</v>
      </c>
      <c r="Q2958" s="110">
        <f>SUMIFS('FW_Steelhead_by_Month_2010-2021'!Q$2:Q$3810,'FW_Steelhead_by_Month_2010-2021'!$B$2:$B$3810,'Rec_raw_catch_effort_2010-2021'!$B2958,'FW_Steelhead_by_Month_2010-2021'!$H$2:$H$3810,'Rec_raw_catch_effort_2010-2021'!$F2958,'FW_Steelhead_by_Month_2010-2021'!$M$2:$M$3810,'Rec_raw_catch_effort_2010-2021'!$K2958)</f>
        <v>14</v>
      </c>
      <c r="R2958" s="111">
        <f>VLOOKUP(B2958,Readme!$A$62:$C$74,3,)*Q2958</f>
        <v>292.98132254831012</v>
      </c>
      <c r="S2958" s="140" t="str">
        <f t="shared" si="227"/>
        <v>Y</v>
      </c>
      <c r="T2958" s="154">
        <f t="shared" si="228"/>
        <v>8.5399999999999796</v>
      </c>
      <c r="U2958" s="154">
        <f t="shared" si="229"/>
        <v>20.927237324879293</v>
      </c>
    </row>
    <row r="2959" spans="1:21" x14ac:dyDescent="0.35">
      <c r="A2959" s="110">
        <v>2903</v>
      </c>
      <c r="B2959" s="110">
        <v>2010</v>
      </c>
      <c r="C2959" s="110" t="s">
        <v>38</v>
      </c>
      <c r="D2959" s="110" t="s">
        <v>143</v>
      </c>
      <c r="E2959" s="110" t="s">
        <v>86</v>
      </c>
      <c r="F2959" s="117">
        <v>718</v>
      </c>
      <c r="G2959" s="110" t="s">
        <v>87</v>
      </c>
      <c r="H2959" s="110" t="str">
        <f t="shared" si="230"/>
        <v>Clallam River</v>
      </c>
      <c r="I2959" s="110" t="str">
        <f>IFERROR(VLOOKUP(H2959,LUTs!$A$1:$C$73,2,FALSE),"NA")</f>
        <v>Clallam</v>
      </c>
      <c r="J2959" s="110" t="str">
        <f>IFERROR(VLOOKUP(H2959,LUTs!$A$1:$C$73,3,FALSE),"NA")</f>
        <v>0Strait of Juan de Fuca</v>
      </c>
      <c r="K2959" s="110" t="s">
        <v>13</v>
      </c>
      <c r="L2959" s="110" t="str">
        <f>VLOOKUP(K2959,LUTs!E$2:G$14,3,)</f>
        <v>01Whatcom</v>
      </c>
      <c r="M2959" s="110" t="str">
        <f>VLOOKUP($K2959,LUTs!$E$2:$H$14,2,)</f>
        <v>North Puget Sound</v>
      </c>
      <c r="N2959" s="110" t="str">
        <f>VLOOKUP($K2959,LUTs!$E$2:$H$14,4,)</f>
        <v>01North Puget Sound</v>
      </c>
      <c r="O2959" s="110">
        <v>6.9473684210526301</v>
      </c>
      <c r="P2959" s="110">
        <v>59.330526315789498</v>
      </c>
      <c r="Q2959" s="110">
        <f>SUMIFS('FW_Steelhead_by_Month_2010-2021'!Q$2:Q$3810,'FW_Steelhead_by_Month_2010-2021'!$B$2:$B$3810,'Rec_raw_catch_effort_2010-2021'!$B2959,'FW_Steelhead_by_Month_2010-2021'!$H$2:$H$3810,'Rec_raw_catch_effort_2010-2021'!$F2959,'FW_Steelhead_by_Month_2010-2021'!$M$2:$M$3810,'Rec_raw_catch_effort_2010-2021'!$K2959)</f>
        <v>7</v>
      </c>
      <c r="R2959" s="111">
        <f>VLOOKUP(B2959,Readme!$A$62:$C$74,3,)*Q2959</f>
        <v>146.49066127415506</v>
      </c>
      <c r="S2959" s="140" t="str">
        <f t="shared" si="227"/>
        <v>Y</v>
      </c>
      <c r="T2959" s="154">
        <f t="shared" si="228"/>
        <v>8.5400000000000063</v>
      </c>
      <c r="U2959" s="154">
        <f t="shared" si="229"/>
        <v>20.927237324879293</v>
      </c>
    </row>
    <row r="2960" spans="1:21" x14ac:dyDescent="0.35">
      <c r="A2960" s="110">
        <v>3027</v>
      </c>
      <c r="B2960" s="110">
        <v>2011</v>
      </c>
      <c r="C2960" s="110" t="s">
        <v>38</v>
      </c>
      <c r="D2960" s="110" t="s">
        <v>143</v>
      </c>
      <c r="E2960" s="110" t="s">
        <v>86</v>
      </c>
      <c r="F2960" s="117">
        <v>718</v>
      </c>
      <c r="G2960" s="110" t="s">
        <v>87</v>
      </c>
      <c r="H2960" s="110" t="str">
        <f t="shared" si="230"/>
        <v>Clallam River</v>
      </c>
      <c r="I2960" s="110" t="str">
        <f>IFERROR(VLOOKUP(H2960,LUTs!$A$1:$C$73,2,FALSE),"NA")</f>
        <v>Clallam</v>
      </c>
      <c r="J2960" s="110" t="str">
        <f>IFERROR(VLOOKUP(H2960,LUTs!$A$1:$C$73,3,FALSE),"NA")</f>
        <v>0Strait of Juan de Fuca</v>
      </c>
      <c r="K2960" s="110" t="s">
        <v>24</v>
      </c>
      <c r="L2960" s="110" t="str">
        <f>VLOOKUP(K2960,LUTs!E$2:G$14,3,)</f>
        <v>11Clallam</v>
      </c>
      <c r="M2960" s="110" t="str">
        <f>VLOOKUP($K2960,LUTs!$E$2:$H$14,2,)</f>
        <v>Strait of Juan de Fuca</v>
      </c>
      <c r="N2960" s="110" t="str">
        <f>VLOOKUP($K2960,LUTs!$E$2:$H$14,4,)</f>
        <v>03Strait of Juan de Fuca</v>
      </c>
      <c r="O2960" s="110">
        <v>9</v>
      </c>
      <c r="P2960" s="110">
        <v>166.95</v>
      </c>
      <c r="Q2960" s="110">
        <f>SUMIFS('FW_Steelhead_by_Month_2010-2021'!Q$2:Q$3810,'FW_Steelhead_by_Month_2010-2021'!$B$2:$B$3810,'Rec_raw_catch_effort_2010-2021'!$B2960,'FW_Steelhead_by_Month_2010-2021'!$H$2:$H$3810,'Rec_raw_catch_effort_2010-2021'!$F2960,'FW_Steelhead_by_Month_2010-2021'!$M$2:$M$3810,'Rec_raw_catch_effort_2010-2021'!$K2960)</f>
        <v>13.4285714285714</v>
      </c>
      <c r="R2960" s="111">
        <f>VLOOKUP(B2960,Readme!$A$62:$C$74,3,)*Q2960</f>
        <v>281.02290121980707</v>
      </c>
      <c r="S2960" s="140" t="str">
        <f t="shared" si="227"/>
        <v>Y</v>
      </c>
      <c r="T2960" s="154">
        <f t="shared" si="228"/>
        <v>18.549999999999997</v>
      </c>
      <c r="U2960" s="154">
        <f t="shared" si="229"/>
        <v>20.927237324879293</v>
      </c>
    </row>
    <row r="2961" spans="1:21" x14ac:dyDescent="0.35">
      <c r="A2961" s="110">
        <v>3148</v>
      </c>
      <c r="B2961" s="110">
        <v>2012</v>
      </c>
      <c r="C2961" s="110" t="s">
        <v>38</v>
      </c>
      <c r="D2961" s="110" t="s">
        <v>143</v>
      </c>
      <c r="E2961" s="110" t="s">
        <v>86</v>
      </c>
      <c r="F2961" s="117">
        <v>718</v>
      </c>
      <c r="G2961" s="110" t="s">
        <v>87</v>
      </c>
      <c r="H2961" s="110" t="str">
        <f t="shared" si="230"/>
        <v>Clallam River</v>
      </c>
      <c r="I2961" s="110" t="str">
        <f>IFERROR(VLOOKUP(H2961,LUTs!$A$1:$C$73,2,FALSE),"NA")</f>
        <v>Clallam</v>
      </c>
      <c r="J2961" s="110" t="str">
        <f>IFERROR(VLOOKUP(H2961,LUTs!$A$1:$C$73,3,FALSE),"NA")</f>
        <v>0Strait of Juan de Fuca</v>
      </c>
      <c r="K2961" s="110" t="s">
        <v>24</v>
      </c>
      <c r="L2961" s="110" t="str">
        <f>VLOOKUP(K2961,LUTs!E$2:G$14,3,)</f>
        <v>11Clallam</v>
      </c>
      <c r="M2961" s="110" t="str">
        <f>VLOOKUP($K2961,LUTs!$E$2:$H$14,2,)</f>
        <v>Strait of Juan de Fuca</v>
      </c>
      <c r="N2961" s="110" t="str">
        <f>VLOOKUP($K2961,LUTs!$E$2:$H$14,4,)</f>
        <v>03Strait of Juan de Fuca</v>
      </c>
      <c r="O2961" s="110">
        <v>16</v>
      </c>
      <c r="P2961" s="110">
        <v>136.63999999999999</v>
      </c>
      <c r="Q2961" s="110">
        <f>SUMIFS('FW_Steelhead_by_Month_2010-2021'!Q$2:Q$3810,'FW_Steelhead_by_Month_2010-2021'!$B$2:$B$3810,'Rec_raw_catch_effort_2010-2021'!$B2961,'FW_Steelhead_by_Month_2010-2021'!$H$2:$H$3810,'Rec_raw_catch_effort_2010-2021'!$F2961,'FW_Steelhead_by_Month_2010-2021'!$M$2:$M$3810,'Rec_raw_catch_effort_2010-2021'!$K2961)</f>
        <v>10</v>
      </c>
      <c r="R2961" s="111">
        <f>VLOOKUP(B2961,Readme!$A$62:$C$74,3,)*Q2961</f>
        <v>209.27237324879292</v>
      </c>
      <c r="S2961" s="140" t="str">
        <f t="shared" si="227"/>
        <v>Y</v>
      </c>
      <c r="T2961" s="154">
        <f t="shared" si="228"/>
        <v>8.5399999999999991</v>
      </c>
      <c r="U2961" s="154">
        <f t="shared" si="229"/>
        <v>20.927237324879293</v>
      </c>
    </row>
    <row r="2962" spans="1:21" x14ac:dyDescent="0.35">
      <c r="A2962" s="110">
        <v>3261</v>
      </c>
      <c r="B2962" s="110">
        <v>2013</v>
      </c>
      <c r="C2962" s="110" t="s">
        <v>38</v>
      </c>
      <c r="D2962" s="110" t="s">
        <v>143</v>
      </c>
      <c r="E2962" s="110" t="s">
        <v>86</v>
      </c>
      <c r="F2962" s="117">
        <v>718</v>
      </c>
      <c r="G2962" s="110" t="s">
        <v>87</v>
      </c>
      <c r="H2962" s="110" t="str">
        <f t="shared" si="230"/>
        <v>Clallam River</v>
      </c>
      <c r="I2962" s="110" t="str">
        <f>IFERROR(VLOOKUP(H2962,LUTs!$A$1:$C$73,2,FALSE),"NA")</f>
        <v>Clallam</v>
      </c>
      <c r="J2962" s="110" t="str">
        <f>IFERROR(VLOOKUP(H2962,LUTs!$A$1:$C$73,3,FALSE),"NA")</f>
        <v>0Strait of Juan de Fuca</v>
      </c>
      <c r="K2962" s="110" t="s">
        <v>24</v>
      </c>
      <c r="L2962" s="110" t="str">
        <f>VLOOKUP(K2962,LUTs!E$2:G$14,3,)</f>
        <v>11Clallam</v>
      </c>
      <c r="M2962" s="110" t="str">
        <f>VLOOKUP($K2962,LUTs!$E$2:$H$14,2,)</f>
        <v>Strait of Juan de Fuca</v>
      </c>
      <c r="N2962" s="110" t="str">
        <f>VLOOKUP($K2962,LUTs!$E$2:$H$14,4,)</f>
        <v>03Strait of Juan de Fuca</v>
      </c>
      <c r="O2962" s="110">
        <v>6</v>
      </c>
      <c r="P2962" s="110">
        <v>111.3</v>
      </c>
      <c r="Q2962" s="110">
        <f>SUMIFS('FW_Steelhead_by_Month_2010-2021'!Q$2:Q$3810,'FW_Steelhead_by_Month_2010-2021'!$B$2:$B$3810,'Rec_raw_catch_effort_2010-2021'!$B2962,'FW_Steelhead_by_Month_2010-2021'!$H$2:$H$3810,'Rec_raw_catch_effort_2010-2021'!$F2962,'FW_Steelhead_by_Month_2010-2021'!$M$2:$M$3810,'Rec_raw_catch_effort_2010-2021'!$K2962)</f>
        <v>16</v>
      </c>
      <c r="R2962" s="111">
        <f>VLOOKUP(B2962,Readme!$A$62:$C$74,3,)*Q2962</f>
        <v>334.83579719806869</v>
      </c>
      <c r="S2962" s="140" t="str">
        <f t="shared" si="227"/>
        <v>Y</v>
      </c>
      <c r="T2962" s="154">
        <f t="shared" si="228"/>
        <v>18.55</v>
      </c>
      <c r="U2962" s="154">
        <f t="shared" si="229"/>
        <v>20.927237324879293</v>
      </c>
    </row>
    <row r="2963" spans="1:21" x14ac:dyDescent="0.35">
      <c r="A2963" s="110">
        <v>3354</v>
      </c>
      <c r="B2963" s="110">
        <v>2014</v>
      </c>
      <c r="C2963" s="110" t="s">
        <v>38</v>
      </c>
      <c r="D2963" s="110" t="s">
        <v>143</v>
      </c>
      <c r="E2963" s="110" t="s">
        <v>86</v>
      </c>
      <c r="F2963" s="117">
        <v>718</v>
      </c>
      <c r="G2963" s="110" t="s">
        <v>87</v>
      </c>
      <c r="H2963" s="110" t="str">
        <f t="shared" si="230"/>
        <v>Clallam River</v>
      </c>
      <c r="I2963" s="110" t="str">
        <f>IFERROR(VLOOKUP(H2963,LUTs!$A$1:$C$73,2,FALSE),"NA")</f>
        <v>Clallam</v>
      </c>
      <c r="J2963" s="110" t="str">
        <f>IFERROR(VLOOKUP(H2963,LUTs!$A$1:$C$73,3,FALSE),"NA")</f>
        <v>0Strait of Juan de Fuca</v>
      </c>
      <c r="K2963" s="110" t="s">
        <v>24</v>
      </c>
      <c r="L2963" s="110" t="str">
        <f>VLOOKUP(K2963,LUTs!E$2:G$14,3,)</f>
        <v>11Clallam</v>
      </c>
      <c r="M2963" s="110" t="str">
        <f>VLOOKUP($K2963,LUTs!$E$2:$H$14,2,)</f>
        <v>Strait of Juan de Fuca</v>
      </c>
      <c r="N2963" s="110" t="str">
        <f>VLOOKUP($K2963,LUTs!$E$2:$H$14,4,)</f>
        <v>03Strait of Juan de Fuca</v>
      </c>
      <c r="O2963" s="110">
        <v>6</v>
      </c>
      <c r="P2963" s="110">
        <v>51.24</v>
      </c>
      <c r="Q2963" s="110">
        <f>SUMIFS('FW_Steelhead_by_Month_2010-2021'!Q$2:Q$3810,'FW_Steelhead_by_Month_2010-2021'!$B$2:$B$3810,'Rec_raw_catch_effort_2010-2021'!$B2963,'FW_Steelhead_by_Month_2010-2021'!$H$2:$H$3810,'Rec_raw_catch_effort_2010-2021'!$F2963,'FW_Steelhead_by_Month_2010-2021'!$M$2:$M$3810,'Rec_raw_catch_effort_2010-2021'!$K2963)</f>
        <v>9</v>
      </c>
      <c r="R2963" s="111">
        <f>VLOOKUP(B2963,Readme!$A$62:$C$74,3,)*Q2963</f>
        <v>188.34513592391363</v>
      </c>
      <c r="S2963" s="140" t="str">
        <f t="shared" si="227"/>
        <v>Y</v>
      </c>
      <c r="T2963" s="154">
        <f t="shared" si="228"/>
        <v>8.5400000000000009</v>
      </c>
      <c r="U2963" s="154">
        <f t="shared" si="229"/>
        <v>20.927237324879293</v>
      </c>
    </row>
    <row r="2964" spans="1:21" x14ac:dyDescent="0.35">
      <c r="A2964" s="110">
        <v>3353</v>
      </c>
      <c r="B2964" s="110">
        <v>2014</v>
      </c>
      <c r="C2964" s="110" t="s">
        <v>38</v>
      </c>
      <c r="D2964" s="110" t="s">
        <v>143</v>
      </c>
      <c r="E2964" s="110" t="s">
        <v>86</v>
      </c>
      <c r="F2964" s="117">
        <v>718</v>
      </c>
      <c r="G2964" s="110" t="s">
        <v>87</v>
      </c>
      <c r="H2964" s="110" t="str">
        <f t="shared" si="230"/>
        <v>Clallam River</v>
      </c>
      <c r="I2964" s="110" t="str">
        <f>IFERROR(VLOOKUP(H2964,LUTs!$A$1:$C$73,2,FALSE),"NA")</f>
        <v>Clallam</v>
      </c>
      <c r="J2964" s="110" t="str">
        <f>IFERROR(VLOOKUP(H2964,LUTs!$A$1:$C$73,3,FALSE),"NA")</f>
        <v>0Strait of Juan de Fuca</v>
      </c>
      <c r="K2964" s="110" t="s">
        <v>13</v>
      </c>
      <c r="L2964" s="110" t="str">
        <f>VLOOKUP(K2964,LUTs!E$2:G$14,3,)</f>
        <v>01Whatcom</v>
      </c>
      <c r="M2964" s="110" t="str">
        <f>VLOOKUP($K2964,LUTs!$E$2:$H$14,2,)</f>
        <v>North Puget Sound</v>
      </c>
      <c r="N2964" s="110" t="str">
        <f>VLOOKUP($K2964,LUTs!$E$2:$H$14,4,)</f>
        <v>01North Puget Sound</v>
      </c>
      <c r="O2964" s="110">
        <v>12</v>
      </c>
      <c r="P2964" s="110">
        <v>102.48</v>
      </c>
      <c r="Q2964" s="110">
        <f>SUMIFS('FW_Steelhead_by_Month_2010-2021'!Q$2:Q$3810,'FW_Steelhead_by_Month_2010-2021'!$B$2:$B$3810,'Rec_raw_catch_effort_2010-2021'!$B2964,'FW_Steelhead_by_Month_2010-2021'!$H$2:$H$3810,'Rec_raw_catch_effort_2010-2021'!$F2964,'FW_Steelhead_by_Month_2010-2021'!$M$2:$M$3810,'Rec_raw_catch_effort_2010-2021'!$K2964)</f>
        <v>6</v>
      </c>
      <c r="R2964" s="111">
        <f>VLOOKUP(B2964,Readme!$A$62:$C$74,3,)*Q2964</f>
        <v>125.56342394927576</v>
      </c>
      <c r="S2964" s="140" t="str">
        <f t="shared" si="227"/>
        <v>Y</v>
      </c>
      <c r="T2964" s="154">
        <f t="shared" si="228"/>
        <v>8.5400000000000009</v>
      </c>
      <c r="U2964" s="154">
        <f t="shared" si="229"/>
        <v>20.927237324879293</v>
      </c>
    </row>
    <row r="2965" spans="1:21" x14ac:dyDescent="0.35">
      <c r="A2965" s="110">
        <v>3449</v>
      </c>
      <c r="B2965" s="110">
        <v>2015</v>
      </c>
      <c r="C2965" s="110" t="s">
        <v>38</v>
      </c>
      <c r="D2965" s="110" t="s">
        <v>143</v>
      </c>
      <c r="E2965" s="110" t="s">
        <v>86</v>
      </c>
      <c r="F2965" s="117">
        <v>718</v>
      </c>
      <c r="G2965" s="110" t="s">
        <v>87</v>
      </c>
      <c r="H2965" s="110" t="str">
        <f t="shared" si="230"/>
        <v>Clallam River</v>
      </c>
      <c r="I2965" s="110" t="str">
        <f>IFERROR(VLOOKUP(H2965,LUTs!$A$1:$C$73,2,FALSE),"NA")</f>
        <v>Clallam</v>
      </c>
      <c r="J2965" s="110" t="str">
        <f>IFERROR(VLOOKUP(H2965,LUTs!$A$1:$C$73,3,FALSE),"NA")</f>
        <v>0Strait of Juan de Fuca</v>
      </c>
      <c r="K2965" s="110" t="s">
        <v>18</v>
      </c>
      <c r="L2965" s="110" t="str">
        <f>VLOOKUP(K2965,LUTs!E$2:G$14,3,)</f>
        <v>06King</v>
      </c>
      <c r="M2965" s="110" t="str">
        <f>VLOOKUP($K2965,LUTs!$E$2:$H$14,2,)</f>
        <v>South Puget Sound</v>
      </c>
      <c r="N2965" s="110" t="str">
        <f>VLOOKUP($K2965,LUTs!$E$2:$H$14,4,)</f>
        <v>02South Puget Sound</v>
      </c>
      <c r="O2965" s="110">
        <v>16</v>
      </c>
      <c r="P2965" s="110">
        <v>296.8</v>
      </c>
      <c r="Q2965" s="110">
        <f>SUMIFS('FW_Steelhead_by_Month_2010-2021'!Q$2:Q$3810,'FW_Steelhead_by_Month_2010-2021'!$B$2:$B$3810,'Rec_raw_catch_effort_2010-2021'!$B2965,'FW_Steelhead_by_Month_2010-2021'!$H$2:$H$3810,'Rec_raw_catch_effort_2010-2021'!$F2965,'FW_Steelhead_by_Month_2010-2021'!$M$2:$M$3810,'Rec_raw_catch_effort_2010-2021'!$K2965)</f>
        <v>0</v>
      </c>
      <c r="R2965" s="111">
        <f>VLOOKUP(B2965,Readme!$A$62:$C$74,3,)*Q2965</f>
        <v>0</v>
      </c>
      <c r="S2965" s="140" t="str">
        <f t="shared" si="227"/>
        <v>Y</v>
      </c>
      <c r="T2965" s="154">
        <f t="shared" si="228"/>
        <v>18.55</v>
      </c>
      <c r="U2965" s="154" t="str">
        <f t="shared" si="229"/>
        <v>NA</v>
      </c>
    </row>
    <row r="2966" spans="1:21" x14ac:dyDescent="0.35">
      <c r="A2966" s="110">
        <v>2907</v>
      </c>
      <c r="B2966" s="110">
        <v>2010</v>
      </c>
      <c r="C2966" s="110" t="s">
        <v>38</v>
      </c>
      <c r="D2966" s="110" t="s">
        <v>143</v>
      </c>
      <c r="E2966" s="110" t="s">
        <v>86</v>
      </c>
      <c r="F2966" s="117">
        <v>726</v>
      </c>
      <c r="G2966" s="110" t="s">
        <v>88</v>
      </c>
      <c r="H2966" s="110" t="str">
        <f t="shared" si="230"/>
        <v>Deep Creek (Clallam Co.)</v>
      </c>
      <c r="I2966" s="110" t="str">
        <f>IFERROR(VLOOKUP(H2966,LUTs!$A$1:$C$73,2,FALSE),"NA")</f>
        <v>Clallam</v>
      </c>
      <c r="J2966" s="110" t="str">
        <f>IFERROR(VLOOKUP(H2966,LUTs!$A$1:$C$73,3,FALSE),"NA")</f>
        <v>0Strait of Juan de Fuca</v>
      </c>
      <c r="K2966" s="110" t="s">
        <v>24</v>
      </c>
      <c r="L2966" s="110" t="str">
        <f>VLOOKUP(K2966,LUTs!E$2:G$14,3,)</f>
        <v>11Clallam</v>
      </c>
      <c r="M2966" s="110" t="str">
        <f>VLOOKUP($K2966,LUTs!$E$2:$H$14,2,)</f>
        <v>Strait of Juan de Fuca</v>
      </c>
      <c r="N2966" s="110" t="str">
        <f>VLOOKUP($K2966,LUTs!$E$2:$H$14,4,)</f>
        <v>03Strait of Juan de Fuca</v>
      </c>
      <c r="O2966" s="110">
        <v>2</v>
      </c>
      <c r="P2966" s="110">
        <v>17.079999999999998</v>
      </c>
      <c r="Q2966" s="110">
        <f>SUMIFS('FW_Steelhead_by_Month_2010-2021'!Q$2:Q$3810,'FW_Steelhead_by_Month_2010-2021'!$B$2:$B$3810,'Rec_raw_catch_effort_2010-2021'!$B2966,'FW_Steelhead_by_Month_2010-2021'!$H$2:$H$3810,'Rec_raw_catch_effort_2010-2021'!$F2966,'FW_Steelhead_by_Month_2010-2021'!$M$2:$M$3810,'Rec_raw_catch_effort_2010-2021'!$K2966)</f>
        <v>0</v>
      </c>
      <c r="R2966" s="111">
        <f>VLOOKUP(B2966,Readme!$A$62:$C$74,3,)*Q2966</f>
        <v>0</v>
      </c>
      <c r="S2966" s="140" t="str">
        <f t="shared" si="227"/>
        <v>Y</v>
      </c>
      <c r="T2966" s="154">
        <f t="shared" si="228"/>
        <v>8.5399999999999991</v>
      </c>
      <c r="U2966" s="154" t="str">
        <f t="shared" si="229"/>
        <v>NA</v>
      </c>
    </row>
    <row r="2967" spans="1:21" x14ac:dyDescent="0.35">
      <c r="A2967" s="110">
        <v>3028</v>
      </c>
      <c r="B2967" s="110">
        <v>2011</v>
      </c>
      <c r="C2967" s="110" t="s">
        <v>38</v>
      </c>
      <c r="D2967" s="110" t="s">
        <v>143</v>
      </c>
      <c r="E2967" s="110" t="s">
        <v>86</v>
      </c>
      <c r="F2967" s="117">
        <v>726</v>
      </c>
      <c r="G2967" s="110" t="s">
        <v>88</v>
      </c>
      <c r="H2967" s="110" t="str">
        <f t="shared" si="230"/>
        <v>Deep Creek (Clallam Co.)</v>
      </c>
      <c r="I2967" s="110" t="str">
        <f>IFERROR(VLOOKUP(H2967,LUTs!$A$1:$C$73,2,FALSE),"NA")</f>
        <v>Clallam</v>
      </c>
      <c r="J2967" s="110" t="str">
        <f>IFERROR(VLOOKUP(H2967,LUTs!$A$1:$C$73,3,FALSE),"NA")</f>
        <v>0Strait of Juan de Fuca</v>
      </c>
      <c r="K2967" s="110" t="s">
        <v>24</v>
      </c>
      <c r="L2967" s="110" t="str">
        <f>VLOOKUP(K2967,LUTs!E$2:G$14,3,)</f>
        <v>11Clallam</v>
      </c>
      <c r="M2967" s="110" t="str">
        <f>VLOOKUP($K2967,LUTs!$E$2:$H$14,2,)</f>
        <v>Strait of Juan de Fuca</v>
      </c>
      <c r="N2967" s="110" t="str">
        <f>VLOOKUP($K2967,LUTs!$E$2:$H$14,4,)</f>
        <v>03Strait of Juan de Fuca</v>
      </c>
      <c r="O2967" s="110">
        <v>2</v>
      </c>
      <c r="P2967" s="110">
        <v>37.1</v>
      </c>
      <c r="Q2967" s="110">
        <f>SUMIFS('FW_Steelhead_by_Month_2010-2021'!Q$2:Q$3810,'FW_Steelhead_by_Month_2010-2021'!$B$2:$B$3810,'Rec_raw_catch_effort_2010-2021'!$B2967,'FW_Steelhead_by_Month_2010-2021'!$H$2:$H$3810,'Rec_raw_catch_effort_2010-2021'!$F2967,'FW_Steelhead_by_Month_2010-2021'!$M$2:$M$3810,'Rec_raw_catch_effort_2010-2021'!$K2967)</f>
        <v>4</v>
      </c>
      <c r="R2967" s="111">
        <f>VLOOKUP(B2967,Readme!$A$62:$C$74,3,)*Q2967</f>
        <v>83.708949299517172</v>
      </c>
      <c r="S2967" s="140" t="str">
        <f t="shared" si="227"/>
        <v>Y</v>
      </c>
      <c r="T2967" s="154">
        <f t="shared" si="228"/>
        <v>18.55</v>
      </c>
      <c r="U2967" s="154">
        <f t="shared" si="229"/>
        <v>20.927237324879293</v>
      </c>
    </row>
    <row r="2968" spans="1:21" x14ac:dyDescent="0.35">
      <c r="A2968" s="110">
        <v>3355</v>
      </c>
      <c r="B2968" s="110">
        <v>2014</v>
      </c>
      <c r="C2968" s="110" t="s">
        <v>38</v>
      </c>
      <c r="D2968" s="110" t="s">
        <v>143</v>
      </c>
      <c r="E2968" s="110" t="s">
        <v>86</v>
      </c>
      <c r="F2968" s="117">
        <v>726</v>
      </c>
      <c r="G2968" s="110" t="s">
        <v>88</v>
      </c>
      <c r="H2968" s="110" t="str">
        <f t="shared" si="230"/>
        <v>Deep Creek (Clallam Co.)</v>
      </c>
      <c r="I2968" s="110" t="str">
        <f>IFERROR(VLOOKUP(H2968,LUTs!$A$1:$C$73,2,FALSE),"NA")</f>
        <v>Clallam</v>
      </c>
      <c r="J2968" s="110" t="str">
        <f>IFERROR(VLOOKUP(H2968,LUTs!$A$1:$C$73,3,FALSE),"NA")</f>
        <v>0Strait of Juan de Fuca</v>
      </c>
      <c r="K2968" s="110" t="s">
        <v>24</v>
      </c>
      <c r="L2968" s="110" t="str">
        <f>VLOOKUP(K2968,LUTs!E$2:G$14,3,)</f>
        <v>11Clallam</v>
      </c>
      <c r="M2968" s="110" t="str">
        <f>VLOOKUP($K2968,LUTs!$E$2:$H$14,2,)</f>
        <v>Strait of Juan de Fuca</v>
      </c>
      <c r="N2968" s="110" t="str">
        <f>VLOOKUP($K2968,LUTs!$E$2:$H$14,4,)</f>
        <v>03Strait of Juan de Fuca</v>
      </c>
      <c r="O2968" s="110">
        <v>9</v>
      </c>
      <c r="P2968" s="110">
        <v>76.86</v>
      </c>
      <c r="Q2968" s="110">
        <f>SUMIFS('FW_Steelhead_by_Month_2010-2021'!Q$2:Q$3810,'FW_Steelhead_by_Month_2010-2021'!$B$2:$B$3810,'Rec_raw_catch_effort_2010-2021'!$B2968,'FW_Steelhead_by_Month_2010-2021'!$H$2:$H$3810,'Rec_raw_catch_effort_2010-2021'!$F2968,'FW_Steelhead_by_Month_2010-2021'!$M$2:$M$3810,'Rec_raw_catch_effort_2010-2021'!$K2968)</f>
        <v>0</v>
      </c>
      <c r="R2968" s="111">
        <f>VLOOKUP(B2968,Readme!$A$62:$C$74,3,)*Q2968</f>
        <v>0</v>
      </c>
      <c r="S2968" s="140" t="str">
        <f t="shared" si="227"/>
        <v>Y</v>
      </c>
      <c r="T2968" s="154">
        <f t="shared" si="228"/>
        <v>8.5399999999999991</v>
      </c>
      <c r="U2968" s="154" t="str">
        <f t="shared" si="229"/>
        <v>NA</v>
      </c>
    </row>
    <row r="2969" spans="1:21" x14ac:dyDescent="0.35">
      <c r="A2969" s="110">
        <v>3492</v>
      </c>
      <c r="B2969" s="110">
        <v>2016</v>
      </c>
      <c r="C2969" s="110" t="s">
        <v>38</v>
      </c>
      <c r="D2969" s="110" t="s">
        <v>143</v>
      </c>
      <c r="E2969" s="110" t="s">
        <v>86</v>
      </c>
      <c r="F2969" s="117">
        <v>726</v>
      </c>
      <c r="G2969" s="110" t="s">
        <v>88</v>
      </c>
      <c r="H2969" s="110" t="str">
        <f t="shared" si="230"/>
        <v>Deep Creek (Clallam Co.)</v>
      </c>
      <c r="I2969" s="110" t="str">
        <f>IFERROR(VLOOKUP(H2969,LUTs!$A$1:$C$73,2,FALSE),"NA")</f>
        <v>Clallam</v>
      </c>
      <c r="J2969" s="110" t="str">
        <f>IFERROR(VLOOKUP(H2969,LUTs!$A$1:$C$73,3,FALSE),"NA")</f>
        <v>0Strait of Juan de Fuca</v>
      </c>
      <c r="K2969" s="110" t="s">
        <v>24</v>
      </c>
      <c r="L2969" s="110" t="str">
        <f>VLOOKUP(K2969,LUTs!E$2:G$14,3,)</f>
        <v>11Clallam</v>
      </c>
      <c r="M2969" s="110" t="str">
        <f>VLOOKUP($K2969,LUTs!$E$2:$H$14,2,)</f>
        <v>Strait of Juan de Fuca</v>
      </c>
      <c r="N2969" s="110" t="str">
        <f>VLOOKUP($K2969,LUTs!$E$2:$H$14,4,)</f>
        <v>03Strait of Juan de Fuca</v>
      </c>
      <c r="O2969" s="110">
        <v>5</v>
      </c>
      <c r="P2969" s="110">
        <v>42.7</v>
      </c>
      <c r="Q2969" s="110">
        <f>SUMIFS('FW_Steelhead_by_Month_2010-2021'!Q$2:Q$3810,'FW_Steelhead_by_Month_2010-2021'!$B$2:$B$3810,'Rec_raw_catch_effort_2010-2021'!$B2969,'FW_Steelhead_by_Month_2010-2021'!$H$2:$H$3810,'Rec_raw_catch_effort_2010-2021'!$F2969,'FW_Steelhead_by_Month_2010-2021'!$M$2:$M$3810,'Rec_raw_catch_effort_2010-2021'!$K2969)</f>
        <v>5</v>
      </c>
      <c r="R2969" s="111">
        <f>VLOOKUP(B2969,Readme!$A$62:$C$74,3,)*Q2969</f>
        <v>104.63618662439646</v>
      </c>
      <c r="S2969" s="140" t="str">
        <f t="shared" si="227"/>
        <v>Y</v>
      </c>
      <c r="T2969" s="154">
        <f t="shared" si="228"/>
        <v>8.5400000000000009</v>
      </c>
      <c r="U2969" s="154">
        <f t="shared" si="229"/>
        <v>20.927237324879293</v>
      </c>
    </row>
    <row r="2970" spans="1:21" x14ac:dyDescent="0.35">
      <c r="A2970" s="110">
        <v>768</v>
      </c>
      <c r="B2970" s="110">
        <v>2020</v>
      </c>
      <c r="C2970" s="110" t="s">
        <v>38</v>
      </c>
      <c r="D2970" s="110" t="s">
        <v>143</v>
      </c>
      <c r="E2970" s="110" t="s">
        <v>86</v>
      </c>
      <c r="F2970" s="117">
        <v>732</v>
      </c>
      <c r="G2970" s="110" t="s">
        <v>67</v>
      </c>
      <c r="H2970" s="110" t="str">
        <f t="shared" si="230"/>
        <v>Dewatto River</v>
      </c>
      <c r="I2970" s="110" t="str">
        <f>IFERROR(VLOOKUP(H2970,LUTs!$A$1:$C$73,2,FALSE),"NA")</f>
        <v>Mason</v>
      </c>
      <c r="J2970" s="110" t="str">
        <f>IFERROR(VLOOKUP(H2970,LUTs!$A$1:$C$73,3,FALSE),"NA")</f>
        <v>4 Hood Canal</v>
      </c>
      <c r="K2970" s="110" t="s">
        <v>20</v>
      </c>
      <c r="L2970" s="110" t="str">
        <f>VLOOKUP(K2970,LUTs!E$2:G$14,3,)</f>
        <v>07Pierce</v>
      </c>
      <c r="M2970" s="110" t="str">
        <f>VLOOKUP($K2970,LUTs!$E$2:$H$14,2,)</f>
        <v>South Puget Sound</v>
      </c>
      <c r="N2970" s="110" t="str">
        <f>VLOOKUP($K2970,LUTs!$E$2:$H$14,4,)</f>
        <v>02South Puget Sound</v>
      </c>
      <c r="O2970" s="110">
        <v>12</v>
      </c>
      <c r="P2970" s="110">
        <v>102.48</v>
      </c>
      <c r="Q2970" s="110">
        <f>SUMIFS('FW_Steelhead_by_Month_2010-2021'!Q$2:Q$3810,'FW_Steelhead_by_Month_2010-2021'!$B$2:$B$3810,'Rec_raw_catch_effort_2010-2021'!$B2970,'FW_Steelhead_by_Month_2010-2021'!$H$2:$H$3810,'Rec_raw_catch_effort_2010-2021'!$F2970,'FW_Steelhead_by_Month_2010-2021'!$M$2:$M$3810,'Rec_raw_catch_effort_2010-2021'!$K2970)</f>
        <v>0</v>
      </c>
      <c r="R2970" s="111">
        <f>VLOOKUP(B2970,Readme!$A$62:$C$74,3,)*Q2970</f>
        <v>0</v>
      </c>
      <c r="S2970" s="140" t="str">
        <f t="shared" si="227"/>
        <v>N</v>
      </c>
      <c r="T2970" s="154">
        <f t="shared" si="228"/>
        <v>8.5400000000000009</v>
      </c>
      <c r="U2970" s="154" t="str">
        <f t="shared" si="229"/>
        <v>NA</v>
      </c>
    </row>
    <row r="2971" spans="1:21" x14ac:dyDescent="0.35">
      <c r="A2971" s="110">
        <v>2908</v>
      </c>
      <c r="B2971" s="110">
        <v>2010</v>
      </c>
      <c r="C2971" s="110" t="s">
        <v>38</v>
      </c>
      <c r="D2971" s="110" t="s">
        <v>143</v>
      </c>
      <c r="E2971" s="110" t="s">
        <v>86</v>
      </c>
      <c r="F2971" s="117">
        <v>738</v>
      </c>
      <c r="G2971" s="110" t="s">
        <v>43</v>
      </c>
      <c r="H2971" s="110" t="str">
        <f t="shared" si="230"/>
        <v>Dungeness River</v>
      </c>
      <c r="I2971" s="110" t="str">
        <f>IFERROR(VLOOKUP(H2971,LUTs!$A$1:$C$73,2,FALSE),"NA")</f>
        <v>Clallam</v>
      </c>
      <c r="J2971" s="110" t="str">
        <f>IFERROR(VLOOKUP(H2971,LUTs!$A$1:$C$73,3,FALSE),"NA")</f>
        <v>0Strait of Juan de Fuca</v>
      </c>
      <c r="K2971" s="110" t="s">
        <v>24</v>
      </c>
      <c r="L2971" s="110" t="str">
        <f>VLOOKUP(K2971,LUTs!E$2:G$14,3,)</f>
        <v>11Clallam</v>
      </c>
      <c r="M2971" s="110" t="str">
        <f>VLOOKUP($K2971,LUTs!$E$2:$H$14,2,)</f>
        <v>Strait of Juan de Fuca</v>
      </c>
      <c r="N2971" s="110" t="str">
        <f>VLOOKUP($K2971,LUTs!$E$2:$H$14,4,)</f>
        <v>03Strait of Juan de Fuca</v>
      </c>
      <c r="O2971" s="110">
        <v>26</v>
      </c>
      <c r="P2971" s="110">
        <v>222.04</v>
      </c>
      <c r="Q2971" s="110">
        <f>SUMIFS('FW_Steelhead_by_Month_2010-2021'!Q$2:Q$3810,'FW_Steelhead_by_Month_2010-2021'!$B$2:$B$3810,'Rec_raw_catch_effort_2010-2021'!$B2971,'FW_Steelhead_by_Month_2010-2021'!$H$2:$H$3810,'Rec_raw_catch_effort_2010-2021'!$F2971,'FW_Steelhead_by_Month_2010-2021'!$M$2:$M$3810,'Rec_raw_catch_effort_2010-2021'!$K2971)</f>
        <v>19</v>
      </c>
      <c r="R2971" s="111">
        <f>VLOOKUP(B2971,Readme!$A$62:$C$74,3,)*Q2971</f>
        <v>397.61750917270655</v>
      </c>
      <c r="S2971" s="140" t="str">
        <f t="shared" si="227"/>
        <v>Y</v>
      </c>
      <c r="T2971" s="154">
        <f t="shared" si="228"/>
        <v>8.5399999999999991</v>
      </c>
      <c r="U2971" s="154">
        <f t="shared" si="229"/>
        <v>20.927237324879293</v>
      </c>
    </row>
    <row r="2972" spans="1:21" x14ac:dyDescent="0.35">
      <c r="A2972" s="110">
        <v>3031</v>
      </c>
      <c r="B2972" s="110">
        <v>2011</v>
      </c>
      <c r="C2972" s="110" t="s">
        <v>38</v>
      </c>
      <c r="D2972" s="110" t="s">
        <v>143</v>
      </c>
      <c r="E2972" s="110" t="s">
        <v>86</v>
      </c>
      <c r="F2972" s="117">
        <v>738</v>
      </c>
      <c r="G2972" s="110" t="s">
        <v>43</v>
      </c>
      <c r="H2972" s="110" t="str">
        <f t="shared" si="230"/>
        <v>Dungeness River</v>
      </c>
      <c r="I2972" s="110" t="str">
        <f>IFERROR(VLOOKUP(H2972,LUTs!$A$1:$C$73,2,FALSE),"NA")</f>
        <v>Clallam</v>
      </c>
      <c r="J2972" s="110" t="str">
        <f>IFERROR(VLOOKUP(H2972,LUTs!$A$1:$C$73,3,FALSE),"NA")</f>
        <v>0Strait of Juan de Fuca</v>
      </c>
      <c r="K2972" s="110" t="s">
        <v>24</v>
      </c>
      <c r="L2972" s="110" t="str">
        <f>VLOOKUP(K2972,LUTs!E$2:G$14,3,)</f>
        <v>11Clallam</v>
      </c>
      <c r="M2972" s="110" t="str">
        <f>VLOOKUP($K2972,LUTs!$E$2:$H$14,2,)</f>
        <v>Strait of Juan de Fuca</v>
      </c>
      <c r="N2972" s="110" t="str">
        <f>VLOOKUP($K2972,LUTs!$E$2:$H$14,4,)</f>
        <v>03Strait of Juan de Fuca</v>
      </c>
      <c r="O2972" s="110">
        <v>56.307692307692299</v>
      </c>
      <c r="P2972" s="110">
        <v>1044.5076923076899</v>
      </c>
      <c r="Q2972" s="110">
        <f>SUMIFS('FW_Steelhead_by_Month_2010-2021'!Q$2:Q$3810,'FW_Steelhead_by_Month_2010-2021'!$B$2:$B$3810,'Rec_raw_catch_effort_2010-2021'!$B2972,'FW_Steelhead_by_Month_2010-2021'!$H$2:$H$3810,'Rec_raw_catch_effort_2010-2021'!$F2972,'FW_Steelhead_by_Month_2010-2021'!$M$2:$M$3810,'Rec_raw_catch_effort_2010-2021'!$K2972)</f>
        <v>43.666666666666671</v>
      </c>
      <c r="R2972" s="111">
        <f>VLOOKUP(B2972,Readme!$A$62:$C$74,3,)*Q2972</f>
        <v>913.82269651972922</v>
      </c>
      <c r="S2972" s="140" t="str">
        <f t="shared" si="227"/>
        <v>Y</v>
      </c>
      <c r="T2972" s="154">
        <f t="shared" si="228"/>
        <v>18.549999999999962</v>
      </c>
      <c r="U2972" s="154">
        <f t="shared" si="229"/>
        <v>20.927237324879293</v>
      </c>
    </row>
    <row r="2973" spans="1:21" x14ac:dyDescent="0.35">
      <c r="A2973" s="110">
        <v>3029</v>
      </c>
      <c r="B2973" s="110">
        <v>2011</v>
      </c>
      <c r="C2973" s="110" t="s">
        <v>38</v>
      </c>
      <c r="D2973" s="110" t="s">
        <v>143</v>
      </c>
      <c r="E2973" s="110" t="s">
        <v>86</v>
      </c>
      <c r="F2973" s="117">
        <v>738</v>
      </c>
      <c r="G2973" s="110" t="s">
        <v>43</v>
      </c>
      <c r="H2973" s="110" t="str">
        <f t="shared" si="230"/>
        <v>Dungeness River</v>
      </c>
      <c r="I2973" s="110" t="str">
        <f>IFERROR(VLOOKUP(H2973,LUTs!$A$1:$C$73,2,FALSE),"NA")</f>
        <v>Clallam</v>
      </c>
      <c r="J2973" s="110" t="str">
        <f>IFERROR(VLOOKUP(H2973,LUTs!$A$1:$C$73,3,FALSE),"NA")</f>
        <v>0Strait of Juan de Fuca</v>
      </c>
      <c r="K2973" s="110" t="s">
        <v>15</v>
      </c>
      <c r="L2973" s="110" t="str">
        <f>VLOOKUP(K2973,LUTs!E$2:G$14,3,)</f>
        <v>02Skagit</v>
      </c>
      <c r="M2973" s="110" t="str">
        <f>VLOOKUP($K2973,LUTs!$E$2:$H$14,2,)</f>
        <v>North Puget Sound</v>
      </c>
      <c r="N2973" s="110" t="str">
        <f>VLOOKUP($K2973,LUTs!$E$2:$H$14,4,)</f>
        <v>01North Puget Sound</v>
      </c>
      <c r="O2973" s="110">
        <v>2.3461538461538498</v>
      </c>
      <c r="P2973" s="110">
        <v>43.521153846153901</v>
      </c>
      <c r="Q2973" s="110">
        <f>SUMIFS('FW_Steelhead_by_Month_2010-2021'!Q$2:Q$3810,'FW_Steelhead_by_Month_2010-2021'!$B$2:$B$3810,'Rec_raw_catch_effort_2010-2021'!$B2973,'FW_Steelhead_by_Month_2010-2021'!$H$2:$H$3810,'Rec_raw_catch_effort_2010-2021'!$F2973,'FW_Steelhead_by_Month_2010-2021'!$M$2:$M$3810,'Rec_raw_catch_effort_2010-2021'!$K2973)</f>
        <v>2.3333333333333299</v>
      </c>
      <c r="R2973" s="111">
        <f>VLOOKUP(B2973,Readme!$A$62:$C$74,3,)*Q2973</f>
        <v>48.830220424718277</v>
      </c>
      <c r="S2973" s="140" t="str">
        <f t="shared" si="227"/>
        <v>Y</v>
      </c>
      <c r="T2973" s="154">
        <f t="shared" si="228"/>
        <v>18.549999999999994</v>
      </c>
      <c r="U2973" s="154">
        <f t="shared" si="229"/>
        <v>20.927237324879293</v>
      </c>
    </row>
    <row r="2974" spans="1:21" x14ac:dyDescent="0.35">
      <c r="A2974" s="110">
        <v>3030</v>
      </c>
      <c r="B2974" s="110">
        <v>2011</v>
      </c>
      <c r="C2974" s="110" t="s">
        <v>38</v>
      </c>
      <c r="D2974" s="110" t="s">
        <v>143</v>
      </c>
      <c r="E2974" s="110" t="s">
        <v>86</v>
      </c>
      <c r="F2974" s="117">
        <v>738</v>
      </c>
      <c r="G2974" s="110" t="s">
        <v>43</v>
      </c>
      <c r="H2974" s="110" t="str">
        <f t="shared" si="230"/>
        <v>Dungeness River</v>
      </c>
      <c r="I2974" s="110" t="str">
        <f>IFERROR(VLOOKUP(H2974,LUTs!$A$1:$C$73,2,FALSE),"NA")</f>
        <v>Clallam</v>
      </c>
      <c r="J2974" s="110" t="str">
        <f>IFERROR(VLOOKUP(H2974,LUTs!$A$1:$C$73,3,FALSE),"NA")</f>
        <v>0Strait of Juan de Fuca</v>
      </c>
      <c r="K2974" s="110" t="s">
        <v>16</v>
      </c>
      <c r="L2974" s="110" t="str">
        <f>VLOOKUP(K2974,LUTs!E$2:G$14,3,)</f>
        <v>03Snohomish</v>
      </c>
      <c r="M2974" s="110" t="str">
        <f>VLOOKUP($K2974,LUTs!$E$2:$H$14,2,)</f>
        <v>North Puget Sound</v>
      </c>
      <c r="N2974" s="110" t="str">
        <f>VLOOKUP($K2974,LUTs!$E$2:$H$14,4,)</f>
        <v>01North Puget Sound</v>
      </c>
      <c r="O2974" s="110">
        <v>2.3461538461538498</v>
      </c>
      <c r="P2974" s="110">
        <v>43.521153846153901</v>
      </c>
      <c r="Q2974" s="110">
        <f>SUMIFS('FW_Steelhead_by_Month_2010-2021'!Q$2:Q$3810,'FW_Steelhead_by_Month_2010-2021'!$B$2:$B$3810,'Rec_raw_catch_effort_2010-2021'!$B2974,'FW_Steelhead_by_Month_2010-2021'!$H$2:$H$3810,'Rec_raw_catch_effort_2010-2021'!$F2974,'FW_Steelhead_by_Month_2010-2021'!$M$2:$M$3810,'Rec_raw_catch_effort_2010-2021'!$K2974)</f>
        <v>4</v>
      </c>
      <c r="R2974" s="111">
        <f>VLOOKUP(B2974,Readme!$A$62:$C$74,3,)*Q2974</f>
        <v>83.708949299517172</v>
      </c>
      <c r="S2974" s="140" t="str">
        <f t="shared" si="227"/>
        <v>Y</v>
      </c>
      <c r="T2974" s="154">
        <f t="shared" si="228"/>
        <v>18.549999999999994</v>
      </c>
      <c r="U2974" s="154">
        <f t="shared" si="229"/>
        <v>20.927237324879293</v>
      </c>
    </row>
    <row r="2975" spans="1:21" x14ac:dyDescent="0.35">
      <c r="A2975" s="110">
        <v>3151</v>
      </c>
      <c r="B2975" s="110">
        <v>2012</v>
      </c>
      <c r="C2975" s="110" t="s">
        <v>38</v>
      </c>
      <c r="D2975" s="110" t="s">
        <v>143</v>
      </c>
      <c r="E2975" s="110" t="s">
        <v>86</v>
      </c>
      <c r="F2975" s="117">
        <v>738</v>
      </c>
      <c r="G2975" s="110" t="s">
        <v>43</v>
      </c>
      <c r="H2975" s="110" t="str">
        <f t="shared" si="230"/>
        <v>Dungeness River</v>
      </c>
      <c r="I2975" s="110" t="str">
        <f>IFERROR(VLOOKUP(H2975,LUTs!$A$1:$C$73,2,FALSE),"NA")</f>
        <v>Clallam</v>
      </c>
      <c r="J2975" s="110" t="str">
        <f>IFERROR(VLOOKUP(H2975,LUTs!$A$1:$C$73,3,FALSE),"NA")</f>
        <v>0Strait of Juan de Fuca</v>
      </c>
      <c r="K2975" s="110" t="s">
        <v>24</v>
      </c>
      <c r="L2975" s="110" t="str">
        <f>VLOOKUP(K2975,LUTs!E$2:G$14,3,)</f>
        <v>11Clallam</v>
      </c>
      <c r="M2975" s="110" t="str">
        <f>VLOOKUP($K2975,LUTs!$E$2:$H$14,2,)</f>
        <v>Strait of Juan de Fuca</v>
      </c>
      <c r="N2975" s="110" t="str">
        <f>VLOOKUP($K2975,LUTs!$E$2:$H$14,4,)</f>
        <v>03Strait of Juan de Fuca</v>
      </c>
      <c r="O2975" s="110">
        <v>74.400000000000006</v>
      </c>
      <c r="P2975" s="110">
        <v>635.37599999999998</v>
      </c>
      <c r="Q2975" s="110">
        <f>SUMIFS('FW_Steelhead_by_Month_2010-2021'!Q$2:Q$3810,'FW_Steelhead_by_Month_2010-2021'!$B$2:$B$3810,'Rec_raw_catch_effort_2010-2021'!$B2975,'FW_Steelhead_by_Month_2010-2021'!$H$2:$H$3810,'Rec_raw_catch_effort_2010-2021'!$F2975,'FW_Steelhead_by_Month_2010-2021'!$M$2:$M$3810,'Rec_raw_catch_effort_2010-2021'!$K2975)</f>
        <v>62.95</v>
      </c>
      <c r="R2975" s="111">
        <f>VLOOKUP(B2975,Readme!$A$62:$C$74,3,)*Q2975</f>
        <v>1317.3695896011516</v>
      </c>
      <c r="S2975" s="140" t="str">
        <f t="shared" si="227"/>
        <v>Y</v>
      </c>
      <c r="T2975" s="154">
        <f t="shared" si="228"/>
        <v>8.5399999999999991</v>
      </c>
      <c r="U2975" s="154">
        <f t="shared" si="229"/>
        <v>20.927237324879293</v>
      </c>
    </row>
    <row r="2976" spans="1:21" x14ac:dyDescent="0.35">
      <c r="A2976" s="110">
        <v>3152</v>
      </c>
      <c r="B2976" s="110">
        <v>2012</v>
      </c>
      <c r="C2976" s="110" t="s">
        <v>38</v>
      </c>
      <c r="D2976" s="110" t="s">
        <v>143</v>
      </c>
      <c r="E2976" s="110" t="s">
        <v>86</v>
      </c>
      <c r="F2976" s="117">
        <v>738</v>
      </c>
      <c r="G2976" s="110" t="s">
        <v>43</v>
      </c>
      <c r="H2976" s="110" t="str">
        <f t="shared" si="230"/>
        <v>Dungeness River</v>
      </c>
      <c r="I2976" s="110" t="str">
        <f>IFERROR(VLOOKUP(H2976,LUTs!$A$1:$C$73,2,FALSE),"NA")</f>
        <v>Clallam</v>
      </c>
      <c r="J2976" s="110" t="str">
        <f>IFERROR(VLOOKUP(H2976,LUTs!$A$1:$C$73,3,FALSE),"NA")</f>
        <v>0Strait of Juan de Fuca</v>
      </c>
      <c r="K2976" s="110" t="s">
        <v>25</v>
      </c>
      <c r="L2976" s="110" t="str">
        <f>VLOOKUP(K2976,LUTs!E$2:G$14,3,)</f>
        <v>12Jefferson</v>
      </c>
      <c r="M2976" s="110" t="str">
        <f>VLOOKUP($K2976,LUTs!$E$2:$H$14,2,)</f>
        <v>Strait of Juan de Fuca</v>
      </c>
      <c r="N2976" s="110" t="str">
        <f>VLOOKUP($K2976,LUTs!$E$2:$H$14,4,)</f>
        <v>03Strait of Juan de Fuca</v>
      </c>
      <c r="O2976" s="110">
        <v>3.1</v>
      </c>
      <c r="P2976" s="110">
        <v>26.474</v>
      </c>
      <c r="Q2976" s="110">
        <f>SUMIFS('FW_Steelhead_by_Month_2010-2021'!Q$2:Q$3810,'FW_Steelhead_by_Month_2010-2021'!$B$2:$B$3810,'Rec_raw_catch_effort_2010-2021'!$B2976,'FW_Steelhead_by_Month_2010-2021'!$H$2:$H$3810,'Rec_raw_catch_effort_2010-2021'!$F2976,'FW_Steelhead_by_Month_2010-2021'!$M$2:$M$3810,'Rec_raw_catch_effort_2010-2021'!$K2976)</f>
        <v>3.2</v>
      </c>
      <c r="R2976" s="111">
        <f>VLOOKUP(B2976,Readme!$A$62:$C$74,3,)*Q2976</f>
        <v>66.967159439613738</v>
      </c>
      <c r="S2976" s="140" t="str">
        <f t="shared" si="227"/>
        <v>Y</v>
      </c>
      <c r="T2976" s="154">
        <f t="shared" si="228"/>
        <v>8.5399999999999991</v>
      </c>
      <c r="U2976" s="154">
        <f t="shared" si="229"/>
        <v>20.927237324879293</v>
      </c>
    </row>
    <row r="2977" spans="1:21" x14ac:dyDescent="0.35">
      <c r="A2977" s="110">
        <v>3150</v>
      </c>
      <c r="B2977" s="110">
        <v>2012</v>
      </c>
      <c r="C2977" s="110" t="s">
        <v>38</v>
      </c>
      <c r="D2977" s="110" t="s">
        <v>143</v>
      </c>
      <c r="E2977" s="110" t="s">
        <v>86</v>
      </c>
      <c r="F2977" s="117">
        <v>738</v>
      </c>
      <c r="G2977" s="110" t="s">
        <v>43</v>
      </c>
      <c r="H2977" s="110" t="str">
        <f t="shared" si="230"/>
        <v>Dungeness River</v>
      </c>
      <c r="I2977" s="110" t="str">
        <f>IFERROR(VLOOKUP(H2977,LUTs!$A$1:$C$73,2,FALSE),"NA")</f>
        <v>Clallam</v>
      </c>
      <c r="J2977" s="110" t="str">
        <f>IFERROR(VLOOKUP(H2977,LUTs!$A$1:$C$73,3,FALSE),"NA")</f>
        <v>0Strait of Juan de Fuca</v>
      </c>
      <c r="K2977" s="110" t="s">
        <v>23</v>
      </c>
      <c r="L2977" s="110" t="str">
        <f>VLOOKUP(K2977,LUTs!E$2:G$14,3,)</f>
        <v>10Kitsap</v>
      </c>
      <c r="M2977" s="110" t="str">
        <f>VLOOKUP($K2977,LUTs!$E$2:$H$14,2,)</f>
        <v>South Puget Sound</v>
      </c>
      <c r="N2977" s="110" t="str">
        <f>VLOOKUP($K2977,LUTs!$E$2:$H$14,4,)</f>
        <v>02South Puget Sound</v>
      </c>
      <c r="O2977" s="110">
        <v>6.2</v>
      </c>
      <c r="P2977" s="110">
        <v>52.948</v>
      </c>
      <c r="Q2977" s="110">
        <f>SUMIFS('FW_Steelhead_by_Month_2010-2021'!Q$2:Q$3810,'FW_Steelhead_by_Month_2010-2021'!$B$2:$B$3810,'Rec_raw_catch_effort_2010-2021'!$B2977,'FW_Steelhead_by_Month_2010-2021'!$H$2:$H$3810,'Rec_raw_catch_effort_2010-2021'!$F2977,'FW_Steelhead_by_Month_2010-2021'!$M$2:$M$3810,'Rec_raw_catch_effort_2010-2021'!$K2977)</f>
        <v>3.25</v>
      </c>
      <c r="R2977" s="111">
        <f>VLOOKUP(B2977,Readme!$A$62:$C$74,3,)*Q2977</f>
        <v>68.013521305857708</v>
      </c>
      <c r="S2977" s="140" t="str">
        <f t="shared" si="227"/>
        <v>Y</v>
      </c>
      <c r="T2977" s="154">
        <f t="shared" si="228"/>
        <v>8.5399999999999991</v>
      </c>
      <c r="U2977" s="154">
        <f t="shared" si="229"/>
        <v>20.927237324879293</v>
      </c>
    </row>
    <row r="2978" spans="1:21" x14ac:dyDescent="0.35">
      <c r="A2978" s="110">
        <v>3149</v>
      </c>
      <c r="B2978" s="110">
        <v>2012</v>
      </c>
      <c r="C2978" s="110" t="s">
        <v>38</v>
      </c>
      <c r="D2978" s="110" t="s">
        <v>143</v>
      </c>
      <c r="E2978" s="110" t="s">
        <v>86</v>
      </c>
      <c r="F2978" s="117">
        <v>738</v>
      </c>
      <c r="G2978" s="110" t="s">
        <v>43</v>
      </c>
      <c r="H2978" s="110" t="str">
        <f t="shared" si="230"/>
        <v>Dungeness River</v>
      </c>
      <c r="I2978" s="110" t="str">
        <f>IFERROR(VLOOKUP(H2978,LUTs!$A$1:$C$73,2,FALSE),"NA")</f>
        <v>Clallam</v>
      </c>
      <c r="J2978" s="110" t="str">
        <f>IFERROR(VLOOKUP(H2978,LUTs!$A$1:$C$73,3,FALSE),"NA")</f>
        <v>0Strait of Juan de Fuca</v>
      </c>
      <c r="K2978" s="110" t="s">
        <v>13</v>
      </c>
      <c r="L2978" s="110" t="str">
        <f>VLOOKUP(K2978,LUTs!E$2:G$14,3,)</f>
        <v>01Whatcom</v>
      </c>
      <c r="M2978" s="110" t="str">
        <f>VLOOKUP($K2978,LUTs!$E$2:$H$14,2,)</f>
        <v>North Puget Sound</v>
      </c>
      <c r="N2978" s="110" t="str">
        <f>VLOOKUP($K2978,LUTs!$E$2:$H$14,4,)</f>
        <v>01North Puget Sound</v>
      </c>
      <c r="O2978" s="110">
        <v>9.3000000000000007</v>
      </c>
      <c r="P2978" s="110">
        <v>79.421999999999997</v>
      </c>
      <c r="Q2978" s="110">
        <f>SUMIFS('FW_Steelhead_by_Month_2010-2021'!Q$2:Q$3810,'FW_Steelhead_by_Month_2010-2021'!$B$2:$B$3810,'Rec_raw_catch_effort_2010-2021'!$B2978,'FW_Steelhead_by_Month_2010-2021'!$H$2:$H$3810,'Rec_raw_catch_effort_2010-2021'!$F2978,'FW_Steelhead_by_Month_2010-2021'!$M$2:$M$3810,'Rec_raw_catch_effort_2010-2021'!$K2978)</f>
        <v>9.6</v>
      </c>
      <c r="R2978" s="111">
        <f>VLOOKUP(B2978,Readme!$A$62:$C$74,3,)*Q2978</f>
        <v>200.90147831884121</v>
      </c>
      <c r="S2978" s="140" t="str">
        <f t="shared" si="227"/>
        <v>Y</v>
      </c>
      <c r="T2978" s="154">
        <f t="shared" si="228"/>
        <v>8.5399999999999991</v>
      </c>
      <c r="U2978" s="154">
        <f t="shared" si="229"/>
        <v>20.927237324879293</v>
      </c>
    </row>
    <row r="2979" spans="1:21" x14ac:dyDescent="0.35">
      <c r="A2979" s="110">
        <v>3264</v>
      </c>
      <c r="B2979" s="110">
        <v>2013</v>
      </c>
      <c r="C2979" s="110" t="s">
        <v>38</v>
      </c>
      <c r="D2979" s="110" t="s">
        <v>143</v>
      </c>
      <c r="E2979" s="110" t="s">
        <v>86</v>
      </c>
      <c r="F2979" s="117">
        <v>738</v>
      </c>
      <c r="G2979" s="110" t="s">
        <v>43</v>
      </c>
      <c r="H2979" s="110" t="str">
        <f t="shared" si="230"/>
        <v>Dungeness River</v>
      </c>
      <c r="I2979" s="110" t="str">
        <f>IFERROR(VLOOKUP(H2979,LUTs!$A$1:$C$73,2,FALSE),"NA")</f>
        <v>Clallam</v>
      </c>
      <c r="J2979" s="110" t="str">
        <f>IFERROR(VLOOKUP(H2979,LUTs!$A$1:$C$73,3,FALSE),"NA")</f>
        <v>0Strait of Juan de Fuca</v>
      </c>
      <c r="K2979" s="110" t="s">
        <v>24</v>
      </c>
      <c r="L2979" s="110" t="str">
        <f>VLOOKUP(K2979,LUTs!E$2:G$14,3,)</f>
        <v>11Clallam</v>
      </c>
      <c r="M2979" s="110" t="str">
        <f>VLOOKUP($K2979,LUTs!$E$2:$H$14,2,)</f>
        <v>Strait of Juan de Fuca</v>
      </c>
      <c r="N2979" s="110" t="str">
        <f>VLOOKUP($K2979,LUTs!$E$2:$H$14,4,)</f>
        <v>03Strait of Juan de Fuca</v>
      </c>
      <c r="O2979" s="110">
        <v>78.966666666666697</v>
      </c>
      <c r="P2979" s="110">
        <v>1464.8316666666699</v>
      </c>
      <c r="Q2979" s="110">
        <f>SUMIFS('FW_Steelhead_by_Month_2010-2021'!Q$2:Q$3810,'FW_Steelhead_by_Month_2010-2021'!$B$2:$B$3810,'Rec_raw_catch_effort_2010-2021'!$B2979,'FW_Steelhead_by_Month_2010-2021'!$H$2:$H$3810,'Rec_raw_catch_effort_2010-2021'!$F2979,'FW_Steelhead_by_Month_2010-2021'!$M$2:$M$3810,'Rec_raw_catch_effort_2010-2021'!$K2979)</f>
        <v>48.966666666666669</v>
      </c>
      <c r="R2979" s="111">
        <f>VLOOKUP(B2979,Readme!$A$62:$C$74,3,)*Q2979</f>
        <v>1024.7370543415893</v>
      </c>
      <c r="S2979" s="140" t="str">
        <f t="shared" si="227"/>
        <v>Y</v>
      </c>
      <c r="T2979" s="154">
        <f t="shared" si="228"/>
        <v>18.550000000000033</v>
      </c>
      <c r="U2979" s="154">
        <f t="shared" si="229"/>
        <v>20.92723732487929</v>
      </c>
    </row>
    <row r="2980" spans="1:21" x14ac:dyDescent="0.35">
      <c r="A2980" s="110">
        <v>3265</v>
      </c>
      <c r="B2980" s="110">
        <v>2013</v>
      </c>
      <c r="C2980" s="110" t="s">
        <v>38</v>
      </c>
      <c r="D2980" s="110" t="s">
        <v>143</v>
      </c>
      <c r="E2980" s="110" t="s">
        <v>86</v>
      </c>
      <c r="F2980" s="117">
        <v>738</v>
      </c>
      <c r="G2980" s="110" t="s">
        <v>43</v>
      </c>
      <c r="H2980" s="110" t="str">
        <f t="shared" si="230"/>
        <v>Dungeness River</v>
      </c>
      <c r="I2980" s="110" t="str">
        <f>IFERROR(VLOOKUP(H2980,LUTs!$A$1:$C$73,2,FALSE),"NA")</f>
        <v>Clallam</v>
      </c>
      <c r="J2980" s="110" t="str">
        <f>IFERROR(VLOOKUP(H2980,LUTs!$A$1:$C$73,3,FALSE),"NA")</f>
        <v>0Strait of Juan de Fuca</v>
      </c>
      <c r="K2980" s="110" t="s">
        <v>25</v>
      </c>
      <c r="L2980" s="110" t="str">
        <f>VLOOKUP(K2980,LUTs!E$2:G$14,3,)</f>
        <v>12Jefferson</v>
      </c>
      <c r="M2980" s="110" t="str">
        <f>VLOOKUP($K2980,LUTs!$E$2:$H$14,2,)</f>
        <v>Strait of Juan de Fuca</v>
      </c>
      <c r="N2980" s="110" t="str">
        <f>VLOOKUP($K2980,LUTs!$E$2:$H$14,4,)</f>
        <v>03Strait of Juan de Fuca</v>
      </c>
      <c r="O2980" s="110">
        <v>3.43333333333333</v>
      </c>
      <c r="P2980" s="110">
        <v>63.688333333333297</v>
      </c>
      <c r="Q2980" s="110">
        <f>SUMIFS('FW_Steelhead_by_Month_2010-2021'!Q$2:Q$3810,'FW_Steelhead_by_Month_2010-2021'!$B$2:$B$3810,'Rec_raw_catch_effort_2010-2021'!$B2980,'FW_Steelhead_by_Month_2010-2021'!$H$2:$H$3810,'Rec_raw_catch_effort_2010-2021'!$F2980,'FW_Steelhead_by_Month_2010-2021'!$M$2:$M$3810,'Rec_raw_catch_effort_2010-2021'!$K2980)</f>
        <v>0</v>
      </c>
      <c r="R2980" s="111">
        <f>VLOOKUP(B2980,Readme!$A$62:$C$74,3,)*Q2980</f>
        <v>0</v>
      </c>
      <c r="S2980" s="140" t="str">
        <f t="shared" si="227"/>
        <v>Y</v>
      </c>
      <c r="T2980" s="154">
        <f t="shared" si="228"/>
        <v>18.550000000000008</v>
      </c>
      <c r="U2980" s="154" t="str">
        <f t="shared" si="229"/>
        <v>NA</v>
      </c>
    </row>
    <row r="2981" spans="1:21" x14ac:dyDescent="0.35">
      <c r="A2981" s="110">
        <v>3262</v>
      </c>
      <c r="B2981" s="110">
        <v>2013</v>
      </c>
      <c r="C2981" s="110" t="s">
        <v>38</v>
      </c>
      <c r="D2981" s="110" t="s">
        <v>143</v>
      </c>
      <c r="E2981" s="110" t="s">
        <v>86</v>
      </c>
      <c r="F2981" s="117">
        <v>738</v>
      </c>
      <c r="G2981" s="110" t="s">
        <v>43</v>
      </c>
      <c r="H2981" s="110" t="str">
        <f t="shared" si="230"/>
        <v>Dungeness River</v>
      </c>
      <c r="I2981" s="110" t="str">
        <f>IFERROR(VLOOKUP(H2981,LUTs!$A$1:$C$73,2,FALSE),"NA")</f>
        <v>Clallam</v>
      </c>
      <c r="J2981" s="110" t="str">
        <f>IFERROR(VLOOKUP(H2981,LUTs!$A$1:$C$73,3,FALSE),"NA")</f>
        <v>0Strait of Juan de Fuca</v>
      </c>
      <c r="K2981" s="110" t="s">
        <v>18</v>
      </c>
      <c r="L2981" s="110" t="str">
        <f>VLOOKUP(K2981,LUTs!E$2:G$14,3,)</f>
        <v>06King</v>
      </c>
      <c r="M2981" s="110" t="str">
        <f>VLOOKUP($K2981,LUTs!$E$2:$H$14,2,)</f>
        <v>South Puget Sound</v>
      </c>
      <c r="N2981" s="110" t="str">
        <f>VLOOKUP($K2981,LUTs!$E$2:$H$14,4,)</f>
        <v>02South Puget Sound</v>
      </c>
      <c r="O2981" s="110">
        <v>3.43333333333333</v>
      </c>
      <c r="P2981" s="110">
        <v>63.688333333333297</v>
      </c>
      <c r="Q2981" s="110">
        <f>SUMIFS('FW_Steelhead_by_Month_2010-2021'!Q$2:Q$3810,'FW_Steelhead_by_Month_2010-2021'!$B$2:$B$3810,'Rec_raw_catch_effort_2010-2021'!$B2981,'FW_Steelhead_by_Month_2010-2021'!$H$2:$H$3810,'Rec_raw_catch_effort_2010-2021'!$F2981,'FW_Steelhead_by_Month_2010-2021'!$M$2:$M$3810,'Rec_raw_catch_effort_2010-2021'!$K2981)</f>
        <v>3.5</v>
      </c>
      <c r="R2981" s="111">
        <f>VLOOKUP(B2981,Readme!$A$62:$C$74,3,)*Q2981</f>
        <v>73.245330637077529</v>
      </c>
      <c r="S2981" s="140" t="str">
        <f t="shared" si="227"/>
        <v>Y</v>
      </c>
      <c r="T2981" s="154">
        <f t="shared" si="228"/>
        <v>18.550000000000008</v>
      </c>
      <c r="U2981" s="154">
        <f t="shared" si="229"/>
        <v>20.927237324879293</v>
      </c>
    </row>
    <row r="2982" spans="1:21" x14ac:dyDescent="0.35">
      <c r="A2982" s="110">
        <v>3263</v>
      </c>
      <c r="B2982" s="110">
        <v>2013</v>
      </c>
      <c r="C2982" s="110" t="s">
        <v>38</v>
      </c>
      <c r="D2982" s="110" t="s">
        <v>143</v>
      </c>
      <c r="E2982" s="110" t="s">
        <v>86</v>
      </c>
      <c r="F2982" s="117">
        <v>738</v>
      </c>
      <c r="G2982" s="110" t="s">
        <v>43</v>
      </c>
      <c r="H2982" s="110" t="str">
        <f t="shared" si="230"/>
        <v>Dungeness River</v>
      </c>
      <c r="I2982" s="110" t="str">
        <f>IFERROR(VLOOKUP(H2982,LUTs!$A$1:$C$73,2,FALSE),"NA")</f>
        <v>Clallam</v>
      </c>
      <c r="J2982" s="110" t="str">
        <f>IFERROR(VLOOKUP(H2982,LUTs!$A$1:$C$73,3,FALSE),"NA")</f>
        <v>0Strait of Juan de Fuca</v>
      </c>
      <c r="K2982" s="110" t="s">
        <v>23</v>
      </c>
      <c r="L2982" s="110" t="str">
        <f>VLOOKUP(K2982,LUTs!E$2:G$14,3,)</f>
        <v>10Kitsap</v>
      </c>
      <c r="M2982" s="110" t="str">
        <f>VLOOKUP($K2982,LUTs!$E$2:$H$14,2,)</f>
        <v>South Puget Sound</v>
      </c>
      <c r="N2982" s="110" t="str">
        <f>VLOOKUP($K2982,LUTs!$E$2:$H$14,4,)</f>
        <v>02South Puget Sound</v>
      </c>
      <c r="O2982" s="110">
        <v>6.8666666666666698</v>
      </c>
      <c r="P2982" s="110">
        <v>127.37666666666701</v>
      </c>
      <c r="Q2982" s="110">
        <f>SUMIFS('FW_Steelhead_by_Month_2010-2021'!Q$2:Q$3810,'FW_Steelhead_by_Month_2010-2021'!$B$2:$B$3810,'Rec_raw_catch_effort_2010-2021'!$B2982,'FW_Steelhead_by_Month_2010-2021'!$H$2:$H$3810,'Rec_raw_catch_effort_2010-2021'!$F2982,'FW_Steelhead_by_Month_2010-2021'!$M$2:$M$3810,'Rec_raw_catch_effort_2010-2021'!$K2982)</f>
        <v>6.5333333333333297</v>
      </c>
      <c r="R2982" s="111">
        <f>VLOOKUP(B2982,Readme!$A$62:$C$74,3,)*Q2982</f>
        <v>136.7246171892113</v>
      </c>
      <c r="S2982" s="140" t="str">
        <f t="shared" si="227"/>
        <v>Y</v>
      </c>
      <c r="T2982" s="154">
        <f t="shared" si="228"/>
        <v>18.55000000000004</v>
      </c>
      <c r="U2982" s="154">
        <f t="shared" si="229"/>
        <v>20.927237324879293</v>
      </c>
    </row>
    <row r="2983" spans="1:21" x14ac:dyDescent="0.35">
      <c r="A2983" s="110">
        <v>3266</v>
      </c>
      <c r="B2983" s="110">
        <v>2013</v>
      </c>
      <c r="C2983" s="110" t="s">
        <v>38</v>
      </c>
      <c r="D2983" s="110" t="s">
        <v>143</v>
      </c>
      <c r="E2983" s="110" t="s">
        <v>86</v>
      </c>
      <c r="F2983" s="117">
        <v>738</v>
      </c>
      <c r="G2983" s="110" t="s">
        <v>43</v>
      </c>
      <c r="H2983" s="110" t="str">
        <f t="shared" si="230"/>
        <v>Dungeness River</v>
      </c>
      <c r="I2983" s="110" t="str">
        <f>IFERROR(VLOOKUP(H2983,LUTs!$A$1:$C$73,2,FALSE),"NA")</f>
        <v>Clallam</v>
      </c>
      <c r="J2983" s="110" t="str">
        <f>IFERROR(VLOOKUP(H2983,LUTs!$A$1:$C$73,3,FALSE),"NA")</f>
        <v>0Strait of Juan de Fuca</v>
      </c>
      <c r="K2983" s="110" t="s">
        <v>26</v>
      </c>
      <c r="L2983" s="110" t="str">
        <f>VLOOKUP(K2983,LUTs!E$2:G$14,3,)</f>
        <v>20Other</v>
      </c>
      <c r="M2983" s="110" t="str">
        <f>VLOOKUP($K2983,LUTs!$E$2:$H$14,2,)</f>
        <v>Non Puget Sound</v>
      </c>
      <c r="N2983" s="110" t="str">
        <f>VLOOKUP($K2983,LUTs!$E$2:$H$14,4,)</f>
        <v>07Non Puget Sound</v>
      </c>
      <c r="O2983" s="110">
        <v>10.3</v>
      </c>
      <c r="P2983" s="110">
        <v>191.065</v>
      </c>
      <c r="Q2983" s="110">
        <f>SUMIFS('FW_Steelhead_by_Month_2010-2021'!Q$2:Q$3810,'FW_Steelhead_by_Month_2010-2021'!$B$2:$B$3810,'Rec_raw_catch_effort_2010-2021'!$B2983,'FW_Steelhead_by_Month_2010-2021'!$H$2:$H$3810,'Rec_raw_catch_effort_2010-2021'!$F2983,'FW_Steelhead_by_Month_2010-2021'!$M$2:$M$3810,'Rec_raw_catch_effort_2010-2021'!$K2983)</f>
        <v>0</v>
      </c>
      <c r="R2983" s="111">
        <f>VLOOKUP(B2983,Readme!$A$62:$C$74,3,)*Q2983</f>
        <v>0</v>
      </c>
      <c r="S2983" s="140" t="str">
        <f t="shared" si="227"/>
        <v>Y</v>
      </c>
      <c r="T2983" s="154">
        <f t="shared" si="228"/>
        <v>18.549999999999997</v>
      </c>
      <c r="U2983" s="154" t="str">
        <f t="shared" si="229"/>
        <v>NA</v>
      </c>
    </row>
    <row r="2984" spans="1:21" x14ac:dyDescent="0.35">
      <c r="A2984" s="110">
        <v>3358</v>
      </c>
      <c r="B2984" s="110">
        <v>2014</v>
      </c>
      <c r="C2984" s="110" t="s">
        <v>38</v>
      </c>
      <c r="D2984" s="110" t="s">
        <v>143</v>
      </c>
      <c r="E2984" s="110" t="s">
        <v>86</v>
      </c>
      <c r="F2984" s="117">
        <v>738</v>
      </c>
      <c r="G2984" s="110" t="s">
        <v>43</v>
      </c>
      <c r="H2984" s="110" t="str">
        <f t="shared" si="230"/>
        <v>Dungeness River</v>
      </c>
      <c r="I2984" s="110" t="str">
        <f>IFERROR(VLOOKUP(H2984,LUTs!$A$1:$C$73,2,FALSE),"NA")</f>
        <v>Clallam</v>
      </c>
      <c r="J2984" s="110" t="str">
        <f>IFERROR(VLOOKUP(H2984,LUTs!$A$1:$C$73,3,FALSE),"NA")</f>
        <v>0Strait of Juan de Fuca</v>
      </c>
      <c r="K2984" s="110" t="s">
        <v>24</v>
      </c>
      <c r="L2984" s="110" t="str">
        <f>VLOOKUP(K2984,LUTs!E$2:G$14,3,)</f>
        <v>11Clallam</v>
      </c>
      <c r="M2984" s="110" t="str">
        <f>VLOOKUP($K2984,LUTs!$E$2:$H$14,2,)</f>
        <v>Strait of Juan de Fuca</v>
      </c>
      <c r="N2984" s="110" t="str">
        <f>VLOOKUP($K2984,LUTs!$E$2:$H$14,4,)</f>
        <v>03Strait of Juan de Fuca</v>
      </c>
      <c r="O2984" s="110">
        <v>33.733333333333299</v>
      </c>
      <c r="P2984" s="110">
        <v>288.082666666666</v>
      </c>
      <c r="Q2984" s="110">
        <f>SUMIFS('FW_Steelhead_by_Month_2010-2021'!Q$2:Q$3810,'FW_Steelhead_by_Month_2010-2021'!$B$2:$B$3810,'Rec_raw_catch_effort_2010-2021'!$B2984,'FW_Steelhead_by_Month_2010-2021'!$H$2:$H$3810,'Rec_raw_catch_effort_2010-2021'!$F2984,'FW_Steelhead_by_Month_2010-2021'!$M$2:$M$3810,'Rec_raw_catch_effort_2010-2021'!$K2984)</f>
        <v>67.727272727272691</v>
      </c>
      <c r="R2984" s="111">
        <f>VLOOKUP(B2984,Readme!$A$62:$C$74,3,)*Q2984</f>
        <v>1417.3447097304604</v>
      </c>
      <c r="S2984" s="140" t="str">
        <f t="shared" si="227"/>
        <v>Y</v>
      </c>
      <c r="T2984" s="154">
        <f t="shared" si="228"/>
        <v>8.5399999999999885</v>
      </c>
      <c r="U2984" s="154">
        <f t="shared" si="229"/>
        <v>20.927237324879293</v>
      </c>
    </row>
    <row r="2985" spans="1:21" x14ac:dyDescent="0.35">
      <c r="A2985" s="110">
        <v>3357</v>
      </c>
      <c r="B2985" s="110">
        <v>2014</v>
      </c>
      <c r="C2985" s="110" t="s">
        <v>38</v>
      </c>
      <c r="D2985" s="110" t="s">
        <v>143</v>
      </c>
      <c r="E2985" s="110" t="s">
        <v>86</v>
      </c>
      <c r="F2985" s="117">
        <v>738</v>
      </c>
      <c r="G2985" s="110" t="s">
        <v>43</v>
      </c>
      <c r="H2985" s="110" t="str">
        <f t="shared" si="230"/>
        <v>Dungeness River</v>
      </c>
      <c r="I2985" s="110" t="str">
        <f>IFERROR(VLOOKUP(H2985,LUTs!$A$1:$C$73,2,FALSE),"NA")</f>
        <v>Clallam</v>
      </c>
      <c r="J2985" s="110" t="str">
        <f>IFERROR(VLOOKUP(H2985,LUTs!$A$1:$C$73,3,FALSE),"NA")</f>
        <v>0Strait of Juan de Fuca</v>
      </c>
      <c r="K2985" s="110" t="s">
        <v>18</v>
      </c>
      <c r="L2985" s="110" t="str">
        <f>VLOOKUP(K2985,LUTs!E$2:G$14,3,)</f>
        <v>06King</v>
      </c>
      <c r="M2985" s="110" t="str">
        <f>VLOOKUP($K2985,LUTs!$E$2:$H$14,2,)</f>
        <v>South Puget Sound</v>
      </c>
      <c r="N2985" s="110" t="str">
        <f>VLOOKUP($K2985,LUTs!$E$2:$H$14,4,)</f>
        <v>02South Puget Sound</v>
      </c>
      <c r="O2985" s="110">
        <v>3.06666666666667</v>
      </c>
      <c r="P2985" s="110">
        <v>26.189333333333401</v>
      </c>
      <c r="Q2985" s="110">
        <f>SUMIFS('FW_Steelhead_by_Month_2010-2021'!Q$2:Q$3810,'FW_Steelhead_by_Month_2010-2021'!$B$2:$B$3810,'Rec_raw_catch_effort_2010-2021'!$B2985,'FW_Steelhead_by_Month_2010-2021'!$H$2:$H$3810,'Rec_raw_catch_effort_2010-2021'!$F2985,'FW_Steelhead_by_Month_2010-2021'!$M$2:$M$3810,'Rec_raw_catch_effort_2010-2021'!$K2985)</f>
        <v>0</v>
      </c>
      <c r="R2985" s="111">
        <f>VLOOKUP(B2985,Readme!$A$62:$C$74,3,)*Q2985</f>
        <v>0</v>
      </c>
      <c r="S2985" s="140" t="str">
        <f t="shared" si="227"/>
        <v>Y</v>
      </c>
      <c r="T2985" s="154">
        <f t="shared" si="228"/>
        <v>8.5400000000000134</v>
      </c>
      <c r="U2985" s="154" t="str">
        <f t="shared" si="229"/>
        <v>NA</v>
      </c>
    </row>
    <row r="2986" spans="1:21" x14ac:dyDescent="0.35">
      <c r="A2986" s="110">
        <v>3359</v>
      </c>
      <c r="B2986" s="110">
        <v>2014</v>
      </c>
      <c r="C2986" s="110" t="s">
        <v>38</v>
      </c>
      <c r="D2986" s="110" t="s">
        <v>143</v>
      </c>
      <c r="E2986" s="110" t="s">
        <v>86</v>
      </c>
      <c r="F2986" s="117">
        <v>738</v>
      </c>
      <c r="G2986" s="110" t="s">
        <v>43</v>
      </c>
      <c r="H2986" s="110" t="str">
        <f t="shared" si="230"/>
        <v>Dungeness River</v>
      </c>
      <c r="I2986" s="110" t="str">
        <f>IFERROR(VLOOKUP(H2986,LUTs!$A$1:$C$73,2,FALSE),"NA")</f>
        <v>Clallam</v>
      </c>
      <c r="J2986" s="110" t="str">
        <f>IFERROR(VLOOKUP(H2986,LUTs!$A$1:$C$73,3,FALSE),"NA")</f>
        <v>0Strait of Juan de Fuca</v>
      </c>
      <c r="K2986" s="110" t="s">
        <v>26</v>
      </c>
      <c r="L2986" s="110" t="str">
        <f>VLOOKUP(K2986,LUTs!E$2:G$14,3,)</f>
        <v>20Other</v>
      </c>
      <c r="M2986" s="110" t="str">
        <f>VLOOKUP($K2986,LUTs!$E$2:$H$14,2,)</f>
        <v>Non Puget Sound</v>
      </c>
      <c r="N2986" s="110" t="str">
        <f>VLOOKUP($K2986,LUTs!$E$2:$H$14,4,)</f>
        <v>07Non Puget Sound</v>
      </c>
      <c r="O2986" s="110">
        <v>6.1333333333333302</v>
      </c>
      <c r="P2986" s="110">
        <v>52.378666666666597</v>
      </c>
      <c r="Q2986" s="110">
        <f>SUMIFS('FW_Steelhead_by_Month_2010-2021'!Q$2:Q$3810,'FW_Steelhead_by_Month_2010-2021'!$B$2:$B$3810,'Rec_raw_catch_effort_2010-2021'!$B2986,'FW_Steelhead_by_Month_2010-2021'!$H$2:$H$3810,'Rec_raw_catch_effort_2010-2021'!$F2986,'FW_Steelhead_by_Month_2010-2021'!$M$2:$M$3810,'Rec_raw_catch_effort_2010-2021'!$K2986)</f>
        <v>16.363636363636402</v>
      </c>
      <c r="R2986" s="111">
        <f>VLOOKUP(B2986,Readme!$A$62:$C$74,3,)*Q2986</f>
        <v>342.44570167984381</v>
      </c>
      <c r="S2986" s="140" t="str">
        <f t="shared" si="227"/>
        <v>Y</v>
      </c>
      <c r="T2986" s="154">
        <f t="shared" si="228"/>
        <v>8.5399999999999938</v>
      </c>
      <c r="U2986" s="154">
        <f t="shared" si="229"/>
        <v>20.927237324879293</v>
      </c>
    </row>
    <row r="2987" spans="1:21" x14ac:dyDescent="0.35">
      <c r="A2987" s="110">
        <v>3356</v>
      </c>
      <c r="B2987" s="110">
        <v>2014</v>
      </c>
      <c r="C2987" s="110" t="s">
        <v>38</v>
      </c>
      <c r="D2987" s="110" t="s">
        <v>143</v>
      </c>
      <c r="E2987" s="110" t="s">
        <v>86</v>
      </c>
      <c r="F2987" s="117">
        <v>738</v>
      </c>
      <c r="G2987" s="110" t="s">
        <v>43</v>
      </c>
      <c r="H2987" s="110" t="str">
        <f t="shared" si="230"/>
        <v>Dungeness River</v>
      </c>
      <c r="I2987" s="110" t="str">
        <f>IFERROR(VLOOKUP(H2987,LUTs!$A$1:$C$73,2,FALSE),"NA")</f>
        <v>Clallam</v>
      </c>
      <c r="J2987" s="110" t="str">
        <f>IFERROR(VLOOKUP(H2987,LUTs!$A$1:$C$73,3,FALSE),"NA")</f>
        <v>0Strait of Juan de Fuca</v>
      </c>
      <c r="K2987" s="110" t="s">
        <v>16</v>
      </c>
      <c r="L2987" s="110" t="str">
        <f>VLOOKUP(K2987,LUTs!E$2:G$14,3,)</f>
        <v>03Snohomish</v>
      </c>
      <c r="M2987" s="110" t="str">
        <f>VLOOKUP($K2987,LUTs!$E$2:$H$14,2,)</f>
        <v>North Puget Sound</v>
      </c>
      <c r="N2987" s="110" t="str">
        <f>VLOOKUP($K2987,LUTs!$E$2:$H$14,4,)</f>
        <v>01North Puget Sound</v>
      </c>
      <c r="O2987" s="110">
        <v>3.06666666666667</v>
      </c>
      <c r="P2987" s="110">
        <v>26.189333333333401</v>
      </c>
      <c r="Q2987" s="110">
        <f>SUMIFS('FW_Steelhead_by_Month_2010-2021'!Q$2:Q$3810,'FW_Steelhead_by_Month_2010-2021'!$B$2:$B$3810,'Rec_raw_catch_effort_2010-2021'!$B2987,'FW_Steelhead_by_Month_2010-2021'!$H$2:$H$3810,'Rec_raw_catch_effort_2010-2021'!$F2987,'FW_Steelhead_by_Month_2010-2021'!$M$2:$M$3810,'Rec_raw_catch_effort_2010-2021'!$K2987)</f>
        <v>0</v>
      </c>
      <c r="R2987" s="111">
        <f>VLOOKUP(B2987,Readme!$A$62:$C$74,3,)*Q2987</f>
        <v>0</v>
      </c>
      <c r="S2987" s="140" t="str">
        <f t="shared" si="227"/>
        <v>Y</v>
      </c>
      <c r="T2987" s="154">
        <f t="shared" si="228"/>
        <v>8.5400000000000134</v>
      </c>
      <c r="U2987" s="154" t="str">
        <f t="shared" si="229"/>
        <v>NA</v>
      </c>
    </row>
    <row r="2988" spans="1:21" x14ac:dyDescent="0.35">
      <c r="A2988" s="110">
        <v>3450</v>
      </c>
      <c r="B2988" s="110">
        <v>2015</v>
      </c>
      <c r="C2988" s="110" t="s">
        <v>38</v>
      </c>
      <c r="D2988" s="110" t="s">
        <v>143</v>
      </c>
      <c r="E2988" s="110" t="s">
        <v>86</v>
      </c>
      <c r="F2988" s="117">
        <v>738</v>
      </c>
      <c r="G2988" s="110" t="s">
        <v>43</v>
      </c>
      <c r="H2988" s="110" t="str">
        <f t="shared" si="230"/>
        <v>Dungeness River</v>
      </c>
      <c r="I2988" s="110" t="str">
        <f>IFERROR(VLOOKUP(H2988,LUTs!$A$1:$C$73,2,FALSE),"NA")</f>
        <v>Clallam</v>
      </c>
      <c r="J2988" s="110" t="str">
        <f>IFERROR(VLOOKUP(H2988,LUTs!$A$1:$C$73,3,FALSE),"NA")</f>
        <v>0Strait of Juan de Fuca</v>
      </c>
      <c r="K2988" s="110" t="s">
        <v>26</v>
      </c>
      <c r="L2988" s="110" t="str">
        <f>VLOOKUP(K2988,LUTs!E$2:G$14,3,)</f>
        <v>20Other</v>
      </c>
      <c r="M2988" s="110" t="str">
        <f>VLOOKUP($K2988,LUTs!$E$2:$H$14,2,)</f>
        <v>Non Puget Sound</v>
      </c>
      <c r="N2988" s="110" t="str">
        <f>VLOOKUP($K2988,LUTs!$E$2:$H$14,4,)</f>
        <v>07Non Puget Sound</v>
      </c>
      <c r="O2988" s="110">
        <v>10</v>
      </c>
      <c r="P2988" s="110">
        <v>185.5</v>
      </c>
      <c r="Q2988" s="110">
        <f>SUMIFS('FW_Steelhead_by_Month_2010-2021'!Q$2:Q$3810,'FW_Steelhead_by_Month_2010-2021'!$B$2:$B$3810,'Rec_raw_catch_effort_2010-2021'!$B2988,'FW_Steelhead_by_Month_2010-2021'!$H$2:$H$3810,'Rec_raw_catch_effort_2010-2021'!$F2988,'FW_Steelhead_by_Month_2010-2021'!$M$2:$M$3810,'Rec_raw_catch_effort_2010-2021'!$K2988)</f>
        <v>0</v>
      </c>
      <c r="R2988" s="111">
        <f>VLOOKUP(B2988,Readme!$A$62:$C$74,3,)*Q2988</f>
        <v>0</v>
      </c>
      <c r="S2988" s="140" t="str">
        <f t="shared" si="227"/>
        <v>Y</v>
      </c>
      <c r="T2988" s="154">
        <f t="shared" si="228"/>
        <v>18.55</v>
      </c>
      <c r="U2988" s="154" t="str">
        <f t="shared" si="229"/>
        <v>NA</v>
      </c>
    </row>
    <row r="2989" spans="1:21" x14ac:dyDescent="0.35">
      <c r="A2989" s="110">
        <v>3493</v>
      </c>
      <c r="B2989" s="110">
        <v>2016</v>
      </c>
      <c r="C2989" s="110" t="s">
        <v>38</v>
      </c>
      <c r="D2989" s="110" t="s">
        <v>143</v>
      </c>
      <c r="E2989" s="110" t="s">
        <v>86</v>
      </c>
      <c r="F2989" s="117">
        <v>738</v>
      </c>
      <c r="G2989" s="110" t="s">
        <v>43</v>
      </c>
      <c r="H2989" s="110" t="str">
        <f t="shared" si="230"/>
        <v>Dungeness River</v>
      </c>
      <c r="I2989" s="110" t="str">
        <f>IFERROR(VLOOKUP(H2989,LUTs!$A$1:$C$73,2,FALSE),"NA")</f>
        <v>Clallam</v>
      </c>
      <c r="J2989" s="110" t="str">
        <f>IFERROR(VLOOKUP(H2989,LUTs!$A$1:$C$73,3,FALSE),"NA")</f>
        <v>0Strait of Juan de Fuca</v>
      </c>
      <c r="K2989" s="110" t="s">
        <v>24</v>
      </c>
      <c r="L2989" s="110" t="str">
        <f>VLOOKUP(K2989,LUTs!E$2:G$14,3,)</f>
        <v>11Clallam</v>
      </c>
      <c r="M2989" s="110" t="str">
        <f>VLOOKUP($K2989,LUTs!$E$2:$H$14,2,)</f>
        <v>Strait of Juan de Fuca</v>
      </c>
      <c r="N2989" s="110" t="str">
        <f>VLOOKUP($K2989,LUTs!$E$2:$H$14,4,)</f>
        <v>03Strait of Juan de Fuca</v>
      </c>
      <c r="O2989" s="110">
        <v>5</v>
      </c>
      <c r="P2989" s="110">
        <v>42.7</v>
      </c>
      <c r="Q2989" s="110">
        <f>SUMIFS('FW_Steelhead_by_Month_2010-2021'!Q$2:Q$3810,'FW_Steelhead_by_Month_2010-2021'!$B$2:$B$3810,'Rec_raw_catch_effort_2010-2021'!$B2989,'FW_Steelhead_by_Month_2010-2021'!$H$2:$H$3810,'Rec_raw_catch_effort_2010-2021'!$F2989,'FW_Steelhead_by_Month_2010-2021'!$M$2:$M$3810,'Rec_raw_catch_effort_2010-2021'!$K2989)</f>
        <v>8.5</v>
      </c>
      <c r="R2989" s="111">
        <f>VLOOKUP(B2989,Readme!$A$62:$C$74,3,)*Q2989</f>
        <v>177.88151726147399</v>
      </c>
      <c r="S2989" s="140" t="str">
        <f t="shared" si="227"/>
        <v>Y</v>
      </c>
      <c r="T2989" s="154">
        <f t="shared" si="228"/>
        <v>8.5400000000000009</v>
      </c>
      <c r="U2989" s="154">
        <f t="shared" si="229"/>
        <v>20.927237324879293</v>
      </c>
    </row>
    <row r="2990" spans="1:21" x14ac:dyDescent="0.35">
      <c r="A2990" s="110">
        <v>3540</v>
      </c>
      <c r="B2990" s="110">
        <v>2017</v>
      </c>
      <c r="C2990" s="110" t="s">
        <v>38</v>
      </c>
      <c r="D2990" s="110" t="s">
        <v>143</v>
      </c>
      <c r="E2990" s="110" t="s">
        <v>86</v>
      </c>
      <c r="F2990" s="117">
        <v>738</v>
      </c>
      <c r="G2990" s="110" t="s">
        <v>43</v>
      </c>
      <c r="H2990" s="110" t="str">
        <f t="shared" si="230"/>
        <v>Dungeness River</v>
      </c>
      <c r="I2990" s="110" t="str">
        <f>IFERROR(VLOOKUP(H2990,LUTs!$A$1:$C$73,2,FALSE),"NA")</f>
        <v>Clallam</v>
      </c>
      <c r="J2990" s="110" t="str">
        <f>IFERROR(VLOOKUP(H2990,LUTs!$A$1:$C$73,3,FALSE),"NA")</f>
        <v>0Strait of Juan de Fuca</v>
      </c>
      <c r="K2990" s="110" t="s">
        <v>24</v>
      </c>
      <c r="L2990" s="110" t="str">
        <f>VLOOKUP(K2990,LUTs!E$2:G$14,3,)</f>
        <v>11Clallam</v>
      </c>
      <c r="M2990" s="110" t="str">
        <f>VLOOKUP($K2990,LUTs!$E$2:$H$14,2,)</f>
        <v>Strait of Juan de Fuca</v>
      </c>
      <c r="N2990" s="110" t="str">
        <f>VLOOKUP($K2990,LUTs!$E$2:$H$14,4,)</f>
        <v>03Strait of Juan de Fuca</v>
      </c>
      <c r="O2990" s="110">
        <v>54</v>
      </c>
      <c r="P2990" s="110">
        <v>1001.7</v>
      </c>
      <c r="Q2990" s="110">
        <f>SUMIFS('FW_Steelhead_by_Month_2010-2021'!Q$2:Q$3810,'FW_Steelhead_by_Month_2010-2021'!$B$2:$B$3810,'Rec_raw_catch_effort_2010-2021'!$B2990,'FW_Steelhead_by_Month_2010-2021'!$H$2:$H$3810,'Rec_raw_catch_effort_2010-2021'!$F2990,'FW_Steelhead_by_Month_2010-2021'!$M$2:$M$3810,'Rec_raw_catch_effort_2010-2021'!$K2990)</f>
        <v>22</v>
      </c>
      <c r="R2990" s="111">
        <f>VLOOKUP(B2990,Readme!$A$62:$C$74,3,)*Q2990</f>
        <v>460.39922114734446</v>
      </c>
      <c r="S2990" s="140" t="str">
        <f t="shared" si="227"/>
        <v>Y</v>
      </c>
      <c r="T2990" s="154">
        <f t="shared" si="228"/>
        <v>18.55</v>
      </c>
      <c r="U2990" s="154">
        <f t="shared" si="229"/>
        <v>20.927237324879293</v>
      </c>
    </row>
    <row r="2991" spans="1:21" x14ac:dyDescent="0.35">
      <c r="A2991" s="110">
        <v>3597</v>
      </c>
      <c r="B2991" s="110">
        <v>2018</v>
      </c>
      <c r="C2991" s="110" t="s">
        <v>38</v>
      </c>
      <c r="D2991" s="110" t="s">
        <v>143</v>
      </c>
      <c r="E2991" s="110" t="s">
        <v>86</v>
      </c>
      <c r="F2991" s="117">
        <v>738</v>
      </c>
      <c r="G2991" s="110" t="s">
        <v>43</v>
      </c>
      <c r="H2991" s="110" t="str">
        <f t="shared" si="230"/>
        <v>Dungeness River</v>
      </c>
      <c r="I2991" s="110" t="str">
        <f>IFERROR(VLOOKUP(H2991,LUTs!$A$1:$C$73,2,FALSE),"NA")</f>
        <v>Clallam</v>
      </c>
      <c r="J2991" s="110" t="str">
        <f>IFERROR(VLOOKUP(H2991,LUTs!$A$1:$C$73,3,FALSE),"NA")</f>
        <v>0Strait of Juan de Fuca</v>
      </c>
      <c r="K2991" s="110" t="s">
        <v>24</v>
      </c>
      <c r="L2991" s="110" t="str">
        <f>VLOOKUP(K2991,LUTs!E$2:G$14,3,)</f>
        <v>11Clallam</v>
      </c>
      <c r="M2991" s="110" t="str">
        <f>VLOOKUP($K2991,LUTs!$E$2:$H$14,2,)</f>
        <v>Strait of Juan de Fuca</v>
      </c>
      <c r="N2991" s="110" t="str">
        <f>VLOOKUP($K2991,LUTs!$E$2:$H$14,4,)</f>
        <v>03Strait of Juan de Fuca</v>
      </c>
      <c r="O2991" s="110">
        <v>61.6666666666667</v>
      </c>
      <c r="P2991" s="110">
        <v>526.63333333333401</v>
      </c>
      <c r="Q2991" s="110">
        <f>SUMIFS('FW_Steelhead_by_Month_2010-2021'!Q$2:Q$3810,'FW_Steelhead_by_Month_2010-2021'!$B$2:$B$3810,'Rec_raw_catch_effort_2010-2021'!$B2991,'FW_Steelhead_by_Month_2010-2021'!$H$2:$H$3810,'Rec_raw_catch_effort_2010-2021'!$F2991,'FW_Steelhead_by_Month_2010-2021'!$M$2:$M$3810,'Rec_raw_catch_effort_2010-2021'!$K2991)</f>
        <v>32</v>
      </c>
      <c r="R2991" s="111">
        <f>VLOOKUP(B2991,Readme!$A$62:$C$74,3,)*Q2991</f>
        <v>669.67159439613738</v>
      </c>
      <c r="S2991" s="140" t="str">
        <f t="shared" si="227"/>
        <v>Y</v>
      </c>
      <c r="T2991" s="154">
        <f t="shared" si="228"/>
        <v>8.5400000000000063</v>
      </c>
      <c r="U2991" s="154">
        <f t="shared" si="229"/>
        <v>20.927237324879293</v>
      </c>
    </row>
    <row r="2992" spans="1:21" x14ac:dyDescent="0.35">
      <c r="A2992" s="110">
        <v>3596</v>
      </c>
      <c r="B2992" s="110">
        <v>2018</v>
      </c>
      <c r="C2992" s="110" t="s">
        <v>38</v>
      </c>
      <c r="D2992" s="110" t="s">
        <v>143</v>
      </c>
      <c r="E2992" s="110" t="s">
        <v>86</v>
      </c>
      <c r="F2992" s="117">
        <v>738</v>
      </c>
      <c r="G2992" s="110" t="s">
        <v>43</v>
      </c>
      <c r="H2992" s="110" t="str">
        <f t="shared" si="230"/>
        <v>Dungeness River</v>
      </c>
      <c r="I2992" s="110" t="str">
        <f>IFERROR(VLOOKUP(H2992,LUTs!$A$1:$C$73,2,FALSE),"NA")</f>
        <v>Clallam</v>
      </c>
      <c r="J2992" s="110" t="str">
        <f>IFERROR(VLOOKUP(H2992,LUTs!$A$1:$C$73,3,FALSE),"NA")</f>
        <v>0Strait of Juan de Fuca</v>
      </c>
      <c r="K2992" s="110" t="s">
        <v>23</v>
      </c>
      <c r="L2992" s="110" t="str">
        <f>VLOOKUP(K2992,LUTs!E$2:G$14,3,)</f>
        <v>10Kitsap</v>
      </c>
      <c r="M2992" s="110" t="str">
        <f>VLOOKUP($K2992,LUTs!$E$2:$H$14,2,)</f>
        <v>South Puget Sound</v>
      </c>
      <c r="N2992" s="110" t="str">
        <f>VLOOKUP($K2992,LUTs!$E$2:$H$14,4,)</f>
        <v>02South Puget Sound</v>
      </c>
      <c r="O2992" s="110">
        <v>12.3333333333333</v>
      </c>
      <c r="P2992" s="110">
        <v>105.326666666666</v>
      </c>
      <c r="Q2992" s="110">
        <f>SUMIFS('FW_Steelhead_by_Month_2010-2021'!Q$2:Q$3810,'FW_Steelhead_by_Month_2010-2021'!$B$2:$B$3810,'Rec_raw_catch_effort_2010-2021'!$B2992,'FW_Steelhead_by_Month_2010-2021'!$H$2:$H$3810,'Rec_raw_catch_effort_2010-2021'!$F2992,'FW_Steelhead_by_Month_2010-2021'!$M$2:$M$3810,'Rec_raw_catch_effort_2010-2021'!$K2992)</f>
        <v>3</v>
      </c>
      <c r="R2992" s="111">
        <f>VLOOKUP(B2992,Readme!$A$62:$C$74,3,)*Q2992</f>
        <v>62.781711974637879</v>
      </c>
      <c r="S2992" s="140" t="str">
        <f t="shared" si="227"/>
        <v>Y</v>
      </c>
      <c r="T2992" s="154">
        <f t="shared" si="228"/>
        <v>8.5399999999999689</v>
      </c>
      <c r="U2992" s="154">
        <f t="shared" si="229"/>
        <v>20.927237324879293</v>
      </c>
    </row>
    <row r="2993" spans="1:21" x14ac:dyDescent="0.35">
      <c r="A2993" s="110">
        <v>3642</v>
      </c>
      <c r="B2993" s="110">
        <v>2019</v>
      </c>
      <c r="C2993" s="110" t="s">
        <v>38</v>
      </c>
      <c r="D2993" s="110" t="s">
        <v>143</v>
      </c>
      <c r="E2993" s="110" t="s">
        <v>86</v>
      </c>
      <c r="F2993" s="117">
        <v>738</v>
      </c>
      <c r="G2993" s="110" t="s">
        <v>43</v>
      </c>
      <c r="H2993" s="110" t="str">
        <f t="shared" si="230"/>
        <v>Dungeness River</v>
      </c>
      <c r="I2993" s="110" t="str">
        <f>IFERROR(VLOOKUP(H2993,LUTs!$A$1:$C$73,2,FALSE),"NA")</f>
        <v>Clallam</v>
      </c>
      <c r="J2993" s="110" t="str">
        <f>IFERROR(VLOOKUP(H2993,LUTs!$A$1:$C$73,3,FALSE),"NA")</f>
        <v>0Strait of Juan de Fuca</v>
      </c>
      <c r="K2993" s="110" t="s">
        <v>24</v>
      </c>
      <c r="L2993" s="110" t="str">
        <f>VLOOKUP(K2993,LUTs!E$2:G$14,3,)</f>
        <v>11Clallam</v>
      </c>
      <c r="M2993" s="110" t="str">
        <f>VLOOKUP($K2993,LUTs!$E$2:$H$14,2,)</f>
        <v>Strait of Juan de Fuca</v>
      </c>
      <c r="N2993" s="110" t="str">
        <f>VLOOKUP($K2993,LUTs!$E$2:$H$14,4,)</f>
        <v>03Strait of Juan de Fuca</v>
      </c>
      <c r="O2993" s="110">
        <v>9</v>
      </c>
      <c r="P2993" s="110">
        <v>166.95</v>
      </c>
      <c r="Q2993" s="110">
        <f>SUMIFS('FW_Steelhead_by_Month_2010-2021'!Q$2:Q$3810,'FW_Steelhead_by_Month_2010-2021'!$B$2:$B$3810,'Rec_raw_catch_effort_2010-2021'!$B2993,'FW_Steelhead_by_Month_2010-2021'!$H$2:$H$3810,'Rec_raw_catch_effort_2010-2021'!$F2993,'FW_Steelhead_by_Month_2010-2021'!$M$2:$M$3810,'Rec_raw_catch_effort_2010-2021'!$K2993)</f>
        <v>11</v>
      </c>
      <c r="R2993" s="111">
        <f>VLOOKUP(B2993,Readme!$A$62:$C$74,3,)*Q2993</f>
        <v>230.19961057367223</v>
      </c>
      <c r="S2993" s="140" t="str">
        <f t="shared" si="227"/>
        <v>Y</v>
      </c>
      <c r="T2993" s="154">
        <f t="shared" si="228"/>
        <v>18.549999999999997</v>
      </c>
      <c r="U2993" s="154">
        <f t="shared" si="229"/>
        <v>20.927237324879293</v>
      </c>
    </row>
    <row r="2994" spans="1:21" x14ac:dyDescent="0.35">
      <c r="A2994" s="110">
        <v>3643</v>
      </c>
      <c r="B2994" s="110">
        <v>2019</v>
      </c>
      <c r="C2994" s="110" t="s">
        <v>38</v>
      </c>
      <c r="D2994" s="110" t="s">
        <v>143</v>
      </c>
      <c r="E2994" s="110" t="s">
        <v>86</v>
      </c>
      <c r="F2994" s="117">
        <v>738</v>
      </c>
      <c r="G2994" s="110" t="s">
        <v>43</v>
      </c>
      <c r="H2994" s="110" t="str">
        <f t="shared" si="230"/>
        <v>Dungeness River</v>
      </c>
      <c r="I2994" s="110" t="str">
        <f>IFERROR(VLOOKUP(H2994,LUTs!$A$1:$C$73,2,FALSE),"NA")</f>
        <v>Clallam</v>
      </c>
      <c r="J2994" s="110" t="str">
        <f>IFERROR(VLOOKUP(H2994,LUTs!$A$1:$C$73,3,FALSE),"NA")</f>
        <v>0Strait of Juan de Fuca</v>
      </c>
      <c r="K2994" s="110" t="s">
        <v>26</v>
      </c>
      <c r="L2994" s="110" t="str">
        <f>VLOOKUP(K2994,LUTs!E$2:G$14,3,)</f>
        <v>20Other</v>
      </c>
      <c r="M2994" s="110" t="str">
        <f>VLOOKUP($K2994,LUTs!$E$2:$H$14,2,)</f>
        <v>Non Puget Sound</v>
      </c>
      <c r="N2994" s="110" t="str">
        <f>VLOOKUP($K2994,LUTs!$E$2:$H$14,4,)</f>
        <v>07Non Puget Sound</v>
      </c>
      <c r="O2994" s="110">
        <v>9</v>
      </c>
      <c r="P2994" s="110">
        <v>166.95</v>
      </c>
      <c r="Q2994" s="110">
        <f>SUMIFS('FW_Steelhead_by_Month_2010-2021'!Q$2:Q$3810,'FW_Steelhead_by_Month_2010-2021'!$B$2:$B$3810,'Rec_raw_catch_effort_2010-2021'!$B2994,'FW_Steelhead_by_Month_2010-2021'!$H$2:$H$3810,'Rec_raw_catch_effort_2010-2021'!$F2994,'FW_Steelhead_by_Month_2010-2021'!$M$2:$M$3810,'Rec_raw_catch_effort_2010-2021'!$K2994)</f>
        <v>5</v>
      </c>
      <c r="R2994" s="111">
        <f>VLOOKUP(B2994,Readme!$A$62:$C$74,3,)*Q2994</f>
        <v>104.63618662439646</v>
      </c>
      <c r="S2994" s="140" t="str">
        <f t="shared" si="227"/>
        <v>Y</v>
      </c>
      <c r="T2994" s="154">
        <f t="shared" si="228"/>
        <v>18.549999999999997</v>
      </c>
      <c r="U2994" s="154">
        <f t="shared" si="229"/>
        <v>20.927237324879293</v>
      </c>
    </row>
    <row r="2995" spans="1:21" x14ac:dyDescent="0.35">
      <c r="A2995" s="110">
        <v>3672</v>
      </c>
      <c r="B2995" s="110">
        <v>2020</v>
      </c>
      <c r="C2995" s="110" t="s">
        <v>38</v>
      </c>
      <c r="D2995" s="110" t="s">
        <v>143</v>
      </c>
      <c r="E2995" s="110" t="s">
        <v>86</v>
      </c>
      <c r="F2995" s="117">
        <v>738</v>
      </c>
      <c r="G2995" s="110" t="s">
        <v>43</v>
      </c>
      <c r="H2995" s="110" t="str">
        <f t="shared" si="230"/>
        <v>Dungeness River</v>
      </c>
      <c r="I2995" s="110" t="str">
        <f>IFERROR(VLOOKUP(H2995,LUTs!$A$1:$C$73,2,FALSE),"NA")</f>
        <v>Clallam</v>
      </c>
      <c r="J2995" s="110" t="str">
        <f>IFERROR(VLOOKUP(H2995,LUTs!$A$1:$C$73,3,FALSE),"NA")</f>
        <v>0Strait of Juan de Fuca</v>
      </c>
      <c r="K2995" s="110" t="s">
        <v>23</v>
      </c>
      <c r="L2995" s="110" t="str">
        <f>VLOOKUP(K2995,LUTs!E$2:G$14,3,)</f>
        <v>10Kitsap</v>
      </c>
      <c r="M2995" s="110" t="str">
        <f>VLOOKUP($K2995,LUTs!$E$2:$H$14,2,)</f>
        <v>South Puget Sound</v>
      </c>
      <c r="N2995" s="110" t="str">
        <f>VLOOKUP($K2995,LUTs!$E$2:$H$14,4,)</f>
        <v>02South Puget Sound</v>
      </c>
      <c r="O2995" s="110">
        <v>12</v>
      </c>
      <c r="P2995" s="110">
        <v>102.48</v>
      </c>
      <c r="Q2995" s="110">
        <f>SUMIFS('FW_Steelhead_by_Month_2010-2021'!Q$2:Q$3810,'FW_Steelhead_by_Month_2010-2021'!$B$2:$B$3810,'Rec_raw_catch_effort_2010-2021'!$B2995,'FW_Steelhead_by_Month_2010-2021'!$H$2:$H$3810,'Rec_raw_catch_effort_2010-2021'!$F2995,'FW_Steelhead_by_Month_2010-2021'!$M$2:$M$3810,'Rec_raw_catch_effort_2010-2021'!$K2995)</f>
        <v>0</v>
      </c>
      <c r="R2995" s="111">
        <f>VLOOKUP(B2995,Readme!$A$62:$C$74,3,)*Q2995</f>
        <v>0</v>
      </c>
      <c r="S2995" s="140" t="str">
        <f t="shared" si="227"/>
        <v>N</v>
      </c>
      <c r="T2995" s="154">
        <f t="shared" si="228"/>
        <v>8.5400000000000009</v>
      </c>
      <c r="U2995" s="154" t="str">
        <f t="shared" si="229"/>
        <v>NA</v>
      </c>
    </row>
    <row r="2996" spans="1:21" x14ac:dyDescent="0.35">
      <c r="A2996" s="110">
        <v>3699</v>
      </c>
      <c r="B2996" s="110">
        <v>2021</v>
      </c>
      <c r="C2996" s="110" t="s">
        <v>38</v>
      </c>
      <c r="D2996" s="110" t="s">
        <v>143</v>
      </c>
      <c r="E2996" s="110" t="s">
        <v>86</v>
      </c>
      <c r="F2996" s="117">
        <v>738</v>
      </c>
      <c r="G2996" s="110" t="s">
        <v>43</v>
      </c>
      <c r="H2996" s="110" t="str">
        <f t="shared" si="230"/>
        <v>Dungeness River</v>
      </c>
      <c r="I2996" s="110" t="str">
        <f>IFERROR(VLOOKUP(H2996,LUTs!$A$1:$C$73,2,FALSE),"NA")</f>
        <v>Clallam</v>
      </c>
      <c r="J2996" s="110" t="str">
        <f>IFERROR(VLOOKUP(H2996,LUTs!$A$1:$C$73,3,FALSE),"NA")</f>
        <v>0Strait of Juan de Fuca</v>
      </c>
      <c r="K2996" s="110" t="s">
        <v>24</v>
      </c>
      <c r="L2996" s="110" t="str">
        <f>VLOOKUP(K2996,LUTs!E$2:G$14,3,)</f>
        <v>11Clallam</v>
      </c>
      <c r="M2996" s="110" t="str">
        <f>VLOOKUP($K2996,LUTs!$E$2:$H$14,2,)</f>
        <v>Strait of Juan de Fuca</v>
      </c>
      <c r="N2996" s="110" t="str">
        <f>VLOOKUP($K2996,LUTs!$E$2:$H$14,4,)</f>
        <v>03Strait of Juan de Fuca</v>
      </c>
      <c r="O2996" s="110">
        <v>24</v>
      </c>
      <c r="P2996" s="110">
        <v>445.2</v>
      </c>
      <c r="Q2996" s="110">
        <f>SUMIFS('FW_Steelhead_by_Month_2010-2021'!Q$2:Q$3810,'FW_Steelhead_by_Month_2010-2021'!$B$2:$B$3810,'Rec_raw_catch_effort_2010-2021'!$B2996,'FW_Steelhead_by_Month_2010-2021'!$H$2:$H$3810,'Rec_raw_catch_effort_2010-2021'!$F2996,'FW_Steelhead_by_Month_2010-2021'!$M$2:$M$3810,'Rec_raw_catch_effort_2010-2021'!$K2996)</f>
        <v>6</v>
      </c>
      <c r="R2996" s="111">
        <f>VLOOKUP(B2996,Readme!$A$62:$C$74,3,)*Q2996</f>
        <v>125.56342394927576</v>
      </c>
      <c r="S2996" s="140" t="str">
        <f t="shared" si="227"/>
        <v>N</v>
      </c>
      <c r="T2996" s="154">
        <f t="shared" si="228"/>
        <v>18.55</v>
      </c>
      <c r="U2996" s="154">
        <f t="shared" si="229"/>
        <v>20.927237324879293</v>
      </c>
    </row>
    <row r="2997" spans="1:21" x14ac:dyDescent="0.35">
      <c r="A2997" s="110">
        <v>2911</v>
      </c>
      <c r="B2997" s="110">
        <v>2010</v>
      </c>
      <c r="C2997" s="110" t="s">
        <v>38</v>
      </c>
      <c r="D2997" s="110" t="s">
        <v>143</v>
      </c>
      <c r="E2997" s="110" t="s">
        <v>86</v>
      </c>
      <c r="F2997" s="117">
        <v>742</v>
      </c>
      <c r="G2997" s="110" t="s">
        <v>44</v>
      </c>
      <c r="H2997" s="110" t="str">
        <f t="shared" si="230"/>
        <v>Elwha River</v>
      </c>
      <c r="I2997" s="110" t="str">
        <f>IFERROR(VLOOKUP(H2997,LUTs!$A$1:$C$73,2,FALSE),"NA")</f>
        <v>Clallam</v>
      </c>
      <c r="J2997" s="110" t="str">
        <f>IFERROR(VLOOKUP(H2997,LUTs!$A$1:$C$73,3,FALSE),"NA")</f>
        <v>0Strait of Juan de Fuca</v>
      </c>
      <c r="K2997" s="110" t="s">
        <v>24</v>
      </c>
      <c r="L2997" s="110" t="str">
        <f>VLOOKUP(K2997,LUTs!E$2:G$14,3,)</f>
        <v>11Clallam</v>
      </c>
      <c r="M2997" s="110" t="str">
        <f>VLOOKUP($K2997,LUTs!$E$2:$H$14,2,)</f>
        <v>Strait of Juan de Fuca</v>
      </c>
      <c r="N2997" s="110" t="str">
        <f>VLOOKUP($K2997,LUTs!$E$2:$H$14,4,)</f>
        <v>03Strait of Juan de Fuca</v>
      </c>
      <c r="O2997" s="110">
        <v>160.42253521126801</v>
      </c>
      <c r="P2997" s="110">
        <v>1370.00845070423</v>
      </c>
      <c r="Q2997" s="110">
        <f>SUMIFS('FW_Steelhead_by_Month_2010-2021'!Q$2:Q$3810,'FW_Steelhead_by_Month_2010-2021'!$B$2:$B$3810,'Rec_raw_catch_effort_2010-2021'!$B2997,'FW_Steelhead_by_Month_2010-2021'!$H$2:$H$3810,'Rec_raw_catch_effort_2010-2021'!$F2997,'FW_Steelhead_by_Month_2010-2021'!$M$2:$M$3810,'Rec_raw_catch_effort_2010-2021'!$K2997)</f>
        <v>134.46163682864449</v>
      </c>
      <c r="R2997" s="111">
        <f>VLOOKUP(B2997,Readme!$A$62:$C$74,3,)*Q2997</f>
        <v>2813.9105850047731</v>
      </c>
      <c r="S2997" s="140" t="str">
        <f t="shared" si="227"/>
        <v>Y</v>
      </c>
      <c r="T2997" s="154">
        <f t="shared" si="228"/>
        <v>8.5400000000000063</v>
      </c>
      <c r="U2997" s="154">
        <f t="shared" si="229"/>
        <v>20.927237324879293</v>
      </c>
    </row>
    <row r="2998" spans="1:21" x14ac:dyDescent="0.35">
      <c r="A2998" s="110">
        <v>2910</v>
      </c>
      <c r="B2998" s="110">
        <v>2010</v>
      </c>
      <c r="C2998" s="110" t="s">
        <v>38</v>
      </c>
      <c r="D2998" s="110" t="s">
        <v>143</v>
      </c>
      <c r="E2998" s="110" t="s">
        <v>86</v>
      </c>
      <c r="F2998" s="117">
        <v>742</v>
      </c>
      <c r="G2998" s="110" t="s">
        <v>44</v>
      </c>
      <c r="H2998" s="110" t="str">
        <f t="shared" si="230"/>
        <v>Elwha River</v>
      </c>
      <c r="I2998" s="110" t="str">
        <f>IFERROR(VLOOKUP(H2998,LUTs!$A$1:$C$73,2,FALSE),"NA")</f>
        <v>Clallam</v>
      </c>
      <c r="J2998" s="110" t="str">
        <f>IFERROR(VLOOKUP(H2998,LUTs!$A$1:$C$73,3,FALSE),"NA")</f>
        <v>0Strait of Juan de Fuca</v>
      </c>
      <c r="K2998" s="110" t="s">
        <v>18</v>
      </c>
      <c r="L2998" s="110" t="str">
        <f>VLOOKUP(K2998,LUTs!E$2:G$14,3,)</f>
        <v>06King</v>
      </c>
      <c r="M2998" s="110" t="str">
        <f>VLOOKUP($K2998,LUTs!$E$2:$H$14,2,)</f>
        <v>South Puget Sound</v>
      </c>
      <c r="N2998" s="110" t="str">
        <f>VLOOKUP($K2998,LUTs!$E$2:$H$14,4,)</f>
        <v>02South Puget Sound</v>
      </c>
      <c r="O2998" s="110">
        <v>7.1830985915493004</v>
      </c>
      <c r="P2998" s="110">
        <v>61.343661971830997</v>
      </c>
      <c r="Q2998" s="110">
        <f>SUMIFS('FW_Steelhead_by_Month_2010-2021'!Q$2:Q$3810,'FW_Steelhead_by_Month_2010-2021'!$B$2:$B$3810,'Rec_raw_catch_effort_2010-2021'!$B2998,'FW_Steelhead_by_Month_2010-2021'!$H$2:$H$3810,'Rec_raw_catch_effort_2010-2021'!$F2998,'FW_Steelhead_by_Month_2010-2021'!$M$2:$M$3810,'Rec_raw_catch_effort_2010-2021'!$K2998)</f>
        <v>7.1470588235294104</v>
      </c>
      <c r="R2998" s="111">
        <f>VLOOKUP(B2998,Readme!$A$62:$C$74,3,)*Q2998</f>
        <v>149.56819617487255</v>
      </c>
      <c r="S2998" s="140" t="str">
        <f t="shared" si="227"/>
        <v>Y</v>
      </c>
      <c r="T2998" s="154">
        <f t="shared" si="228"/>
        <v>8.5399999999999956</v>
      </c>
      <c r="U2998" s="154">
        <f t="shared" si="229"/>
        <v>20.927237324879293</v>
      </c>
    </row>
    <row r="2999" spans="1:21" x14ac:dyDescent="0.35">
      <c r="A2999" s="110">
        <v>2909</v>
      </c>
      <c r="B2999" s="110">
        <v>2010</v>
      </c>
      <c r="C2999" s="110" t="s">
        <v>38</v>
      </c>
      <c r="D2999" s="110" t="s">
        <v>143</v>
      </c>
      <c r="E2999" s="110" t="s">
        <v>86</v>
      </c>
      <c r="F2999" s="117">
        <v>742</v>
      </c>
      <c r="G2999" s="110" t="s">
        <v>44</v>
      </c>
      <c r="H2999" s="110" t="str">
        <f t="shared" si="230"/>
        <v>Elwha River</v>
      </c>
      <c r="I2999" s="110" t="str">
        <f>IFERROR(VLOOKUP(H2999,LUTs!$A$1:$C$73,2,FALSE),"NA")</f>
        <v>Clallam</v>
      </c>
      <c r="J2999" s="110" t="str">
        <f>IFERROR(VLOOKUP(H2999,LUTs!$A$1:$C$73,3,FALSE),"NA")</f>
        <v>0Strait of Juan de Fuca</v>
      </c>
      <c r="K2999" s="110" t="s">
        <v>16</v>
      </c>
      <c r="L2999" s="110" t="str">
        <f>VLOOKUP(K2999,LUTs!E$2:G$14,3,)</f>
        <v>03Snohomish</v>
      </c>
      <c r="M2999" s="110" t="str">
        <f>VLOOKUP($K2999,LUTs!$E$2:$H$14,2,)</f>
        <v>North Puget Sound</v>
      </c>
      <c r="N2999" s="110" t="str">
        <f>VLOOKUP($K2999,LUTs!$E$2:$H$14,4,)</f>
        <v>01North Puget Sound</v>
      </c>
      <c r="O2999" s="110">
        <v>2.3943661971830998</v>
      </c>
      <c r="P2999" s="110">
        <v>20.4478873239437</v>
      </c>
      <c r="Q2999" s="110">
        <f>SUMIFS('FW_Steelhead_by_Month_2010-2021'!Q$2:Q$3810,'FW_Steelhead_by_Month_2010-2021'!$B$2:$B$3810,'Rec_raw_catch_effort_2010-2021'!$B2999,'FW_Steelhead_by_Month_2010-2021'!$H$2:$H$3810,'Rec_raw_catch_effort_2010-2021'!$F2999,'FW_Steelhead_by_Month_2010-2021'!$M$2:$M$3810,'Rec_raw_catch_effort_2010-2021'!$K2999)</f>
        <v>2.39130434782609</v>
      </c>
      <c r="R2999" s="111">
        <f>VLOOKUP(B2999,Readme!$A$62:$C$74,3,)*Q2999</f>
        <v>50.043393602972287</v>
      </c>
      <c r="S2999" s="140" t="str">
        <f t="shared" si="227"/>
        <v>Y</v>
      </c>
      <c r="T2999" s="154">
        <f t="shared" si="228"/>
        <v>8.5400000000000116</v>
      </c>
      <c r="U2999" s="154">
        <f t="shared" si="229"/>
        <v>20.927237324879293</v>
      </c>
    </row>
    <row r="3000" spans="1:21" x14ac:dyDescent="0.35">
      <c r="A3000" s="110">
        <v>3032</v>
      </c>
      <c r="B3000" s="110">
        <v>2011</v>
      </c>
      <c r="C3000" s="110" t="s">
        <v>38</v>
      </c>
      <c r="D3000" s="110" t="s">
        <v>143</v>
      </c>
      <c r="E3000" s="110" t="s">
        <v>86</v>
      </c>
      <c r="F3000" s="117">
        <v>742</v>
      </c>
      <c r="G3000" s="110" t="s">
        <v>44</v>
      </c>
      <c r="H3000" s="110" t="str">
        <f t="shared" si="230"/>
        <v>Elwha River</v>
      </c>
      <c r="I3000" s="110" t="str">
        <f>IFERROR(VLOOKUP(H3000,LUTs!$A$1:$C$73,2,FALSE),"NA")</f>
        <v>Clallam</v>
      </c>
      <c r="J3000" s="110" t="str">
        <f>IFERROR(VLOOKUP(H3000,LUTs!$A$1:$C$73,3,FALSE),"NA")</f>
        <v>0Strait of Juan de Fuca</v>
      </c>
      <c r="K3000" s="110" t="s">
        <v>24</v>
      </c>
      <c r="L3000" s="110" t="str">
        <f>VLOOKUP(K3000,LUTs!E$2:G$14,3,)</f>
        <v>11Clallam</v>
      </c>
      <c r="M3000" s="110" t="str">
        <f>VLOOKUP($K3000,LUTs!$E$2:$H$14,2,)</f>
        <v>Strait of Juan de Fuca</v>
      </c>
      <c r="N3000" s="110" t="str">
        <f>VLOOKUP($K3000,LUTs!$E$2:$H$14,4,)</f>
        <v>03Strait of Juan de Fuca</v>
      </c>
      <c r="O3000" s="110">
        <v>13</v>
      </c>
      <c r="P3000" s="110">
        <v>241.15</v>
      </c>
      <c r="Q3000" s="110">
        <f>SUMIFS('FW_Steelhead_by_Month_2010-2021'!Q$2:Q$3810,'FW_Steelhead_by_Month_2010-2021'!$B$2:$B$3810,'Rec_raw_catch_effort_2010-2021'!$B3000,'FW_Steelhead_by_Month_2010-2021'!$H$2:$H$3810,'Rec_raw_catch_effort_2010-2021'!$F3000,'FW_Steelhead_by_Month_2010-2021'!$M$2:$M$3810,'Rec_raw_catch_effort_2010-2021'!$K3000)</f>
        <v>39</v>
      </c>
      <c r="R3000" s="111">
        <f>VLOOKUP(B3000,Readme!$A$62:$C$74,3,)*Q3000</f>
        <v>816.16225567029244</v>
      </c>
      <c r="S3000" s="140" t="str">
        <f t="shared" si="227"/>
        <v>Y</v>
      </c>
      <c r="T3000" s="154">
        <f t="shared" si="228"/>
        <v>18.55</v>
      </c>
      <c r="U3000" s="154">
        <f t="shared" si="229"/>
        <v>20.927237324879293</v>
      </c>
    </row>
    <row r="3001" spans="1:21" x14ac:dyDescent="0.35">
      <c r="A3001" s="110">
        <v>3267</v>
      </c>
      <c r="B3001" s="110">
        <v>2013</v>
      </c>
      <c r="C3001" s="110" t="s">
        <v>38</v>
      </c>
      <c r="D3001" s="110" t="s">
        <v>143</v>
      </c>
      <c r="E3001" s="110" t="s">
        <v>86</v>
      </c>
      <c r="F3001" s="117">
        <v>742</v>
      </c>
      <c r="G3001" s="110" t="s">
        <v>44</v>
      </c>
      <c r="H3001" s="110" t="str">
        <f t="shared" si="230"/>
        <v>Elwha River</v>
      </c>
      <c r="I3001" s="110" t="str">
        <f>IFERROR(VLOOKUP(H3001,LUTs!$A$1:$C$73,2,FALSE),"NA")</f>
        <v>Clallam</v>
      </c>
      <c r="J3001" s="110" t="str">
        <f>IFERROR(VLOOKUP(H3001,LUTs!$A$1:$C$73,3,FALSE),"NA")</f>
        <v>0Strait of Juan de Fuca</v>
      </c>
      <c r="K3001" s="110" t="s">
        <v>24</v>
      </c>
      <c r="L3001" s="110" t="str">
        <f>VLOOKUP(K3001,LUTs!E$2:G$14,3,)</f>
        <v>11Clallam</v>
      </c>
      <c r="M3001" s="110" t="str">
        <f>VLOOKUP($K3001,LUTs!$E$2:$H$14,2,)</f>
        <v>Strait of Juan de Fuca</v>
      </c>
      <c r="N3001" s="110" t="str">
        <f>VLOOKUP($K3001,LUTs!$E$2:$H$14,4,)</f>
        <v>03Strait of Juan de Fuca</v>
      </c>
      <c r="O3001" s="110">
        <v>1</v>
      </c>
      <c r="P3001" s="110">
        <v>18.55</v>
      </c>
      <c r="Q3001" s="110">
        <f>SUMIFS('FW_Steelhead_by_Month_2010-2021'!Q$2:Q$3810,'FW_Steelhead_by_Month_2010-2021'!$B$2:$B$3810,'Rec_raw_catch_effort_2010-2021'!$B3001,'FW_Steelhead_by_Month_2010-2021'!$H$2:$H$3810,'Rec_raw_catch_effort_2010-2021'!$F3001,'FW_Steelhead_by_Month_2010-2021'!$M$2:$M$3810,'Rec_raw_catch_effort_2010-2021'!$K3001)</f>
        <v>1</v>
      </c>
      <c r="R3001" s="111">
        <f>VLOOKUP(B3001,Readme!$A$62:$C$74,3,)*Q3001</f>
        <v>20.927237324879293</v>
      </c>
      <c r="S3001" s="140" t="str">
        <f t="shared" si="227"/>
        <v>Y</v>
      </c>
      <c r="T3001" s="154">
        <f t="shared" si="228"/>
        <v>18.55</v>
      </c>
      <c r="U3001" s="154">
        <f t="shared" si="229"/>
        <v>20.927237324879293</v>
      </c>
    </row>
    <row r="3002" spans="1:21" x14ac:dyDescent="0.35">
      <c r="A3002" s="110">
        <v>598</v>
      </c>
      <c r="B3002" s="110">
        <v>2010</v>
      </c>
      <c r="C3002" s="110" t="s">
        <v>38</v>
      </c>
      <c r="D3002" s="110" t="s">
        <v>143</v>
      </c>
      <c r="E3002" s="110" t="s">
        <v>86</v>
      </c>
      <c r="F3002" s="117">
        <v>746</v>
      </c>
      <c r="G3002" s="110" t="s">
        <v>89</v>
      </c>
      <c r="H3002" s="110" t="s">
        <v>45</v>
      </c>
      <c r="I3002" s="110" t="str">
        <f>IFERROR(VLOOKUP(H3002,LUTs!$A$1:$C$73,2,FALSE),"NA")</f>
        <v>King</v>
      </c>
      <c r="J3002" s="110" t="str">
        <f>IFERROR(VLOOKUP(H3002,LUTs!$A$1:$C$73,3,FALSE),"NA")</f>
        <v>3South Puget Sound</v>
      </c>
      <c r="K3002" s="110" t="s">
        <v>18</v>
      </c>
      <c r="L3002" s="110" t="str">
        <f>VLOOKUP(K3002,LUTs!E$2:G$14,3,)</f>
        <v>06King</v>
      </c>
      <c r="M3002" s="110" t="str">
        <f>VLOOKUP($K3002,LUTs!$E$2:$H$14,2,)</f>
        <v>South Puget Sound</v>
      </c>
      <c r="N3002" s="110" t="str">
        <f>VLOOKUP($K3002,LUTs!$E$2:$H$14,4,)</f>
        <v>02South Puget Sound</v>
      </c>
      <c r="O3002" s="110">
        <v>396.29779411764702</v>
      </c>
      <c r="P3002" s="110">
        <v>3384.3831617647102</v>
      </c>
      <c r="Q3002" s="110">
        <f>SUMIFS('FW_Steelhead_by_Month_2010-2021'!Q$2:Q$3810,'FW_Steelhead_by_Month_2010-2021'!$B$2:$B$3810,'Rec_raw_catch_effort_2010-2021'!$B3002,'FW_Steelhead_by_Month_2010-2021'!$H$2:$H$3810,'Rec_raw_catch_effort_2010-2021'!$F3002,'FW_Steelhead_by_Month_2010-2021'!$M$2:$M$3810,'Rec_raw_catch_effort_2010-2021'!$K3002)</f>
        <v>351.53938336954025</v>
      </c>
      <c r="R3002" s="111">
        <f>VLOOKUP(B3002,Readme!$A$62:$C$74,3,)*Q3002</f>
        <v>7356.7481048160935</v>
      </c>
      <c r="S3002" s="140" t="str">
        <f t="shared" si="227"/>
        <v>Y</v>
      </c>
      <c r="T3002" s="154">
        <f t="shared" si="228"/>
        <v>8.5400000000000116</v>
      </c>
      <c r="U3002" s="154">
        <f t="shared" si="229"/>
        <v>20.927237324879293</v>
      </c>
    </row>
    <row r="3003" spans="1:21" x14ac:dyDescent="0.35">
      <c r="A3003" s="110">
        <v>600</v>
      </c>
      <c r="B3003" s="110">
        <v>2010</v>
      </c>
      <c r="C3003" s="110" t="s">
        <v>38</v>
      </c>
      <c r="D3003" s="110" t="s">
        <v>143</v>
      </c>
      <c r="E3003" s="110" t="s">
        <v>86</v>
      </c>
      <c r="F3003" s="117">
        <v>746</v>
      </c>
      <c r="G3003" s="110" t="s">
        <v>89</v>
      </c>
      <c r="H3003" s="110" t="s">
        <v>45</v>
      </c>
      <c r="I3003" s="110" t="str">
        <f>IFERROR(VLOOKUP(H3003,LUTs!$A$1:$C$73,2,FALSE),"NA")</f>
        <v>King</v>
      </c>
      <c r="J3003" s="110" t="str">
        <f>IFERROR(VLOOKUP(H3003,LUTs!$A$1:$C$73,3,FALSE),"NA")</f>
        <v>3South Puget Sound</v>
      </c>
      <c r="K3003" s="110" t="s">
        <v>23</v>
      </c>
      <c r="L3003" s="110" t="str">
        <f>VLOOKUP(K3003,LUTs!E$2:G$14,3,)</f>
        <v>10Kitsap</v>
      </c>
      <c r="M3003" s="110" t="str">
        <f>VLOOKUP($K3003,LUTs!$E$2:$H$14,2,)</f>
        <v>South Puget Sound</v>
      </c>
      <c r="N3003" s="110" t="str">
        <f>VLOOKUP($K3003,LUTs!$E$2:$H$14,4,)</f>
        <v>02South Puget Sound</v>
      </c>
      <c r="O3003" s="110">
        <v>3.90441176470588</v>
      </c>
      <c r="P3003" s="110">
        <v>33.3436764705882</v>
      </c>
      <c r="Q3003" s="110">
        <f>SUMIFS('FW_Steelhead_by_Month_2010-2021'!Q$2:Q$3810,'FW_Steelhead_by_Month_2010-2021'!$B$2:$B$3810,'Rec_raw_catch_effort_2010-2021'!$B3003,'FW_Steelhead_by_Month_2010-2021'!$H$2:$H$3810,'Rec_raw_catch_effort_2010-2021'!$F3003,'FW_Steelhead_by_Month_2010-2021'!$M$2:$M$3810,'Rec_raw_catch_effort_2010-2021'!$K3003)</f>
        <v>3.7195652173912999</v>
      </c>
      <c r="R3003" s="111">
        <f>VLOOKUP(B3003,Readme!$A$62:$C$74,3,)*Q3003</f>
        <v>77.840224049713967</v>
      </c>
      <c r="S3003" s="140" t="str">
        <f t="shared" si="227"/>
        <v>Y</v>
      </c>
      <c r="T3003" s="154">
        <f t="shared" si="228"/>
        <v>8.5399999999999956</v>
      </c>
      <c r="U3003" s="154">
        <f t="shared" si="229"/>
        <v>20.927237324879293</v>
      </c>
    </row>
    <row r="3004" spans="1:21" x14ac:dyDescent="0.35">
      <c r="A3004" s="110">
        <v>601</v>
      </c>
      <c r="B3004" s="110">
        <v>2010</v>
      </c>
      <c r="C3004" s="110" t="s">
        <v>38</v>
      </c>
      <c r="D3004" s="110" t="s">
        <v>143</v>
      </c>
      <c r="E3004" s="110" t="s">
        <v>86</v>
      </c>
      <c r="F3004" s="117">
        <v>746</v>
      </c>
      <c r="G3004" s="110" t="s">
        <v>89</v>
      </c>
      <c r="H3004" s="110" t="s">
        <v>45</v>
      </c>
      <c r="I3004" s="110" t="str">
        <f>IFERROR(VLOOKUP(H3004,LUTs!$A$1:$C$73,2,FALSE),"NA")</f>
        <v>King</v>
      </c>
      <c r="J3004" s="110" t="str">
        <f>IFERROR(VLOOKUP(H3004,LUTs!$A$1:$C$73,3,FALSE),"NA")</f>
        <v>3South Puget Sound</v>
      </c>
      <c r="K3004" s="110" t="s">
        <v>26</v>
      </c>
      <c r="L3004" s="110" t="str">
        <f>VLOOKUP(K3004,LUTs!E$2:G$14,3,)</f>
        <v>20Other</v>
      </c>
      <c r="M3004" s="110" t="str">
        <f>VLOOKUP($K3004,LUTs!$E$2:$H$14,2,)</f>
        <v>Non Puget Sound</v>
      </c>
      <c r="N3004" s="110" t="str">
        <f>VLOOKUP($K3004,LUTs!$E$2:$H$14,4,)</f>
        <v>07Non Puget Sound</v>
      </c>
      <c r="O3004" s="110">
        <v>9.7610294117647101</v>
      </c>
      <c r="P3004" s="110">
        <v>83.359191176470603</v>
      </c>
      <c r="Q3004" s="110">
        <f>SUMIFS('FW_Steelhead_by_Month_2010-2021'!Q$2:Q$3810,'FW_Steelhead_by_Month_2010-2021'!$B$2:$B$3810,'Rec_raw_catch_effort_2010-2021'!$B3004,'FW_Steelhead_by_Month_2010-2021'!$H$2:$H$3810,'Rec_raw_catch_effort_2010-2021'!$F3004,'FW_Steelhead_by_Month_2010-2021'!$M$2:$M$3810,'Rec_raw_catch_effort_2010-2021'!$K3004)</f>
        <v>9.0266142438984502</v>
      </c>
      <c r="R3004" s="111">
        <f>VLOOKUP(B3004,Readme!$A$62:$C$74,3,)*Q3004</f>
        <v>188.90209852219871</v>
      </c>
      <c r="S3004" s="140" t="str">
        <f t="shared" si="227"/>
        <v>Y</v>
      </c>
      <c r="T3004" s="154">
        <f t="shared" si="228"/>
        <v>8.5399999999999974</v>
      </c>
      <c r="U3004" s="154">
        <f t="shared" si="229"/>
        <v>20.927237324879293</v>
      </c>
    </row>
    <row r="3005" spans="1:21" x14ac:dyDescent="0.35">
      <c r="A3005" s="110">
        <v>599</v>
      </c>
      <c r="B3005" s="110">
        <v>2010</v>
      </c>
      <c r="C3005" s="110" t="s">
        <v>38</v>
      </c>
      <c r="D3005" s="110" t="s">
        <v>143</v>
      </c>
      <c r="E3005" s="110" t="s">
        <v>86</v>
      </c>
      <c r="F3005" s="117">
        <v>746</v>
      </c>
      <c r="G3005" s="110" t="s">
        <v>89</v>
      </c>
      <c r="H3005" s="110" t="s">
        <v>45</v>
      </c>
      <c r="I3005" s="110" t="str">
        <f>IFERROR(VLOOKUP(H3005,LUTs!$A$1:$C$73,2,FALSE),"NA")</f>
        <v>King</v>
      </c>
      <c r="J3005" s="110" t="str">
        <f>IFERROR(VLOOKUP(H3005,LUTs!$A$1:$C$73,3,FALSE),"NA")</f>
        <v>3South Puget Sound</v>
      </c>
      <c r="K3005" s="110" t="s">
        <v>20</v>
      </c>
      <c r="L3005" s="110" t="str">
        <f>VLOOKUP(K3005,LUTs!E$2:G$14,3,)</f>
        <v>07Pierce</v>
      </c>
      <c r="M3005" s="110" t="str">
        <f>VLOOKUP($K3005,LUTs!$E$2:$H$14,2,)</f>
        <v>South Puget Sound</v>
      </c>
      <c r="N3005" s="110" t="str">
        <f>VLOOKUP($K3005,LUTs!$E$2:$H$14,4,)</f>
        <v>02South Puget Sound</v>
      </c>
      <c r="O3005" s="110">
        <v>111.27573529411799</v>
      </c>
      <c r="P3005" s="110">
        <v>950.29477941176799</v>
      </c>
      <c r="Q3005" s="110">
        <f>SUMIFS('FW_Steelhead_by_Month_2010-2021'!Q$2:Q$3810,'FW_Steelhead_by_Month_2010-2021'!$B$2:$B$3810,'Rec_raw_catch_effort_2010-2021'!$B3005,'FW_Steelhead_by_Month_2010-2021'!$H$2:$H$3810,'Rec_raw_catch_effort_2010-2021'!$F3005,'FW_Steelhead_by_Month_2010-2021'!$M$2:$M$3810,'Rec_raw_catch_effort_2010-2021'!$K3005)</f>
        <v>96.610178074228202</v>
      </c>
      <c r="R3005" s="111">
        <f>VLOOKUP(B3005,Readme!$A$62:$C$74,3,)*Q3005</f>
        <v>2021.7841245582235</v>
      </c>
      <c r="S3005" s="140" t="str">
        <f t="shared" si="227"/>
        <v>Y</v>
      </c>
      <c r="T3005" s="154">
        <f t="shared" si="228"/>
        <v>8.5400000000000027</v>
      </c>
      <c r="U3005" s="154">
        <f t="shared" si="229"/>
        <v>20.927237324879293</v>
      </c>
    </row>
    <row r="3006" spans="1:21" x14ac:dyDescent="0.35">
      <c r="A3006" s="110">
        <v>597</v>
      </c>
      <c r="B3006" s="110">
        <v>2010</v>
      </c>
      <c r="C3006" s="110" t="s">
        <v>38</v>
      </c>
      <c r="D3006" s="110" t="s">
        <v>143</v>
      </c>
      <c r="E3006" s="110" t="s">
        <v>86</v>
      </c>
      <c r="F3006" s="117">
        <v>746</v>
      </c>
      <c r="G3006" s="110" t="s">
        <v>89</v>
      </c>
      <c r="H3006" s="110" t="s">
        <v>45</v>
      </c>
      <c r="I3006" s="110" t="str">
        <f>IFERROR(VLOOKUP(H3006,LUTs!$A$1:$C$73,2,FALSE),"NA")</f>
        <v>King</v>
      </c>
      <c r="J3006" s="110" t="str">
        <f>IFERROR(VLOOKUP(H3006,LUTs!$A$1:$C$73,3,FALSE),"NA")</f>
        <v>3South Puget Sound</v>
      </c>
      <c r="K3006" s="110" t="s">
        <v>16</v>
      </c>
      <c r="L3006" s="110" t="str">
        <f>VLOOKUP(K3006,LUTs!E$2:G$14,3,)</f>
        <v>03Snohomish</v>
      </c>
      <c r="M3006" s="110" t="str">
        <f>VLOOKUP($K3006,LUTs!$E$2:$H$14,2,)</f>
        <v>North Puget Sound</v>
      </c>
      <c r="N3006" s="110" t="str">
        <f>VLOOKUP($K3006,LUTs!$E$2:$H$14,4,)</f>
        <v>01North Puget Sound</v>
      </c>
      <c r="O3006" s="110">
        <v>5.8566176470588296</v>
      </c>
      <c r="P3006" s="110">
        <v>50.015514705882403</v>
      </c>
      <c r="Q3006" s="110">
        <f>SUMIFS('FW_Steelhead_by_Month_2010-2021'!Q$2:Q$3810,'FW_Steelhead_by_Month_2010-2021'!$B$2:$B$3810,'Rec_raw_catch_effort_2010-2021'!$B3006,'FW_Steelhead_by_Month_2010-2021'!$H$2:$H$3810,'Rec_raw_catch_effort_2010-2021'!$F3006,'FW_Steelhead_by_Month_2010-2021'!$M$2:$M$3810,'Rec_raw_catch_effort_2010-2021'!$K3006)</f>
        <v>6.0430346051464001</v>
      </c>
      <c r="R3006" s="111">
        <f>VLOOKUP(B3006,Readme!$A$62:$C$74,3,)*Q3006</f>
        <v>126.46401934435694</v>
      </c>
      <c r="S3006" s="140" t="str">
        <f t="shared" si="227"/>
        <v>Y</v>
      </c>
      <c r="T3006" s="154">
        <f t="shared" si="228"/>
        <v>8.5399999999999991</v>
      </c>
      <c r="U3006" s="154">
        <f t="shared" si="229"/>
        <v>20.927237324879293</v>
      </c>
    </row>
    <row r="3007" spans="1:21" x14ac:dyDescent="0.35">
      <c r="A3007" s="110">
        <v>596</v>
      </c>
      <c r="B3007" s="110">
        <v>2010</v>
      </c>
      <c r="C3007" s="110" t="s">
        <v>38</v>
      </c>
      <c r="D3007" s="110" t="s">
        <v>143</v>
      </c>
      <c r="E3007" s="110" t="s">
        <v>86</v>
      </c>
      <c r="F3007" s="117">
        <v>746</v>
      </c>
      <c r="G3007" s="110" t="s">
        <v>89</v>
      </c>
      <c r="H3007" s="110" t="s">
        <v>45</v>
      </c>
      <c r="I3007" s="110" t="str">
        <f>IFERROR(VLOOKUP(H3007,LUTs!$A$1:$C$73,2,FALSE),"NA")</f>
        <v>King</v>
      </c>
      <c r="J3007" s="110" t="str">
        <f>IFERROR(VLOOKUP(H3007,LUTs!$A$1:$C$73,3,FALSE),"NA")</f>
        <v>3South Puget Sound</v>
      </c>
      <c r="K3007" s="110" t="s">
        <v>13</v>
      </c>
      <c r="L3007" s="110" t="str">
        <f>VLOOKUP(K3007,LUTs!E$2:G$14,3,)</f>
        <v>01Whatcom</v>
      </c>
      <c r="M3007" s="110" t="str">
        <f>VLOOKUP($K3007,LUTs!$E$2:$H$14,2,)</f>
        <v>North Puget Sound</v>
      </c>
      <c r="N3007" s="110" t="str">
        <f>VLOOKUP($K3007,LUTs!$E$2:$H$14,4,)</f>
        <v>01North Puget Sound</v>
      </c>
      <c r="O3007" s="110">
        <v>3.90441176470588</v>
      </c>
      <c r="P3007" s="110">
        <v>33.3436764705882</v>
      </c>
      <c r="Q3007" s="110">
        <f>SUMIFS('FW_Steelhead_by_Month_2010-2021'!Q$2:Q$3810,'FW_Steelhead_by_Month_2010-2021'!$B$2:$B$3810,'Rec_raw_catch_effort_2010-2021'!$B3007,'FW_Steelhead_by_Month_2010-2021'!$H$2:$H$3810,'Rec_raw_catch_effort_2010-2021'!$F3007,'FW_Steelhead_by_Month_2010-2021'!$M$2:$M$3810,'Rec_raw_catch_effort_2010-2021'!$K3007)</f>
        <v>4.0612244897959204</v>
      </c>
      <c r="R3007" s="111">
        <f>VLOOKUP(B3007,Readme!$A$62:$C$74,3,)*Q3007</f>
        <v>84.990208727571044</v>
      </c>
      <c r="S3007" s="140" t="str">
        <f t="shared" si="227"/>
        <v>Y</v>
      </c>
      <c r="T3007" s="154">
        <f t="shared" si="228"/>
        <v>8.5399999999999956</v>
      </c>
      <c r="U3007" s="154">
        <f t="shared" si="229"/>
        <v>20.927237324879293</v>
      </c>
    </row>
    <row r="3008" spans="1:21" x14ac:dyDescent="0.35">
      <c r="A3008" s="110">
        <v>603</v>
      </c>
      <c r="B3008" s="110">
        <v>2011</v>
      </c>
      <c r="C3008" s="110" t="s">
        <v>38</v>
      </c>
      <c r="D3008" s="110" t="s">
        <v>143</v>
      </c>
      <c r="E3008" s="110" t="s">
        <v>86</v>
      </c>
      <c r="F3008" s="117">
        <v>746</v>
      </c>
      <c r="G3008" s="110" t="s">
        <v>89</v>
      </c>
      <c r="H3008" s="110" t="s">
        <v>45</v>
      </c>
      <c r="I3008" s="110" t="str">
        <f>IFERROR(VLOOKUP(H3008,LUTs!$A$1:$C$73,2,FALSE),"NA")</f>
        <v>King</v>
      </c>
      <c r="J3008" s="110" t="str">
        <f>IFERROR(VLOOKUP(H3008,LUTs!$A$1:$C$73,3,FALSE),"NA")</f>
        <v>3South Puget Sound</v>
      </c>
      <c r="K3008" s="110" t="s">
        <v>18</v>
      </c>
      <c r="L3008" s="110" t="str">
        <f>VLOOKUP(K3008,LUTs!E$2:G$14,3,)</f>
        <v>06King</v>
      </c>
      <c r="M3008" s="110" t="str">
        <f>VLOOKUP($K3008,LUTs!$E$2:$H$14,2,)</f>
        <v>South Puget Sound</v>
      </c>
      <c r="N3008" s="110" t="str">
        <f>VLOOKUP($K3008,LUTs!$E$2:$H$14,4,)</f>
        <v>02South Puget Sound</v>
      </c>
      <c r="O3008" s="110">
        <v>395.519230769231</v>
      </c>
      <c r="P3008" s="110">
        <v>7336.8817307692398</v>
      </c>
      <c r="Q3008" s="110">
        <f>SUMIFS('FW_Steelhead_by_Month_2010-2021'!Q$2:Q$3810,'FW_Steelhead_by_Month_2010-2021'!$B$2:$B$3810,'Rec_raw_catch_effort_2010-2021'!$B3008,'FW_Steelhead_by_Month_2010-2021'!$H$2:$H$3810,'Rec_raw_catch_effort_2010-2021'!$F3008,'FW_Steelhead_by_Month_2010-2021'!$M$2:$M$3810,'Rec_raw_catch_effort_2010-2021'!$K3008)</f>
        <v>404.24765324330554</v>
      </c>
      <c r="R3008" s="111">
        <f>VLOOKUP(B3008,Readme!$A$62:$C$74,3,)*Q3008</f>
        <v>8459.7865774481652</v>
      </c>
      <c r="S3008" s="140" t="str">
        <f t="shared" si="227"/>
        <v>Y</v>
      </c>
      <c r="T3008" s="154">
        <f t="shared" si="228"/>
        <v>18.550000000000011</v>
      </c>
      <c r="U3008" s="154">
        <f t="shared" si="229"/>
        <v>20.927237324879293</v>
      </c>
    </row>
    <row r="3009" spans="1:21" x14ac:dyDescent="0.35">
      <c r="A3009" s="110">
        <v>606</v>
      </c>
      <c r="B3009" s="110">
        <v>2011</v>
      </c>
      <c r="C3009" s="110" t="s">
        <v>38</v>
      </c>
      <c r="D3009" s="110" t="s">
        <v>143</v>
      </c>
      <c r="E3009" s="110" t="s">
        <v>86</v>
      </c>
      <c r="F3009" s="117">
        <v>746</v>
      </c>
      <c r="G3009" s="110" t="s">
        <v>89</v>
      </c>
      <c r="H3009" s="110" t="s">
        <v>45</v>
      </c>
      <c r="I3009" s="110" t="str">
        <f>IFERROR(VLOOKUP(H3009,LUTs!$A$1:$C$73,2,FALSE),"NA")</f>
        <v>King</v>
      </c>
      <c r="J3009" s="110" t="str">
        <f>IFERROR(VLOOKUP(H3009,LUTs!$A$1:$C$73,3,FALSE),"NA")</f>
        <v>3South Puget Sound</v>
      </c>
      <c r="K3009" s="110" t="s">
        <v>26</v>
      </c>
      <c r="L3009" s="110" t="str">
        <f>VLOOKUP(K3009,LUTs!E$2:G$14,3,)</f>
        <v>20Other</v>
      </c>
      <c r="M3009" s="110" t="str">
        <f>VLOOKUP($K3009,LUTs!$E$2:$H$14,2,)</f>
        <v>Non Puget Sound</v>
      </c>
      <c r="N3009" s="110" t="str">
        <f>VLOOKUP($K3009,LUTs!$E$2:$H$14,4,)</f>
        <v>07Non Puget Sound</v>
      </c>
      <c r="O3009" s="110">
        <v>10.0769230769231</v>
      </c>
      <c r="P3009" s="110">
        <v>186.926923076924</v>
      </c>
      <c r="Q3009" s="110">
        <f>SUMIFS('FW_Steelhead_by_Month_2010-2021'!Q$2:Q$3810,'FW_Steelhead_by_Month_2010-2021'!$B$2:$B$3810,'Rec_raw_catch_effort_2010-2021'!$B3009,'FW_Steelhead_by_Month_2010-2021'!$H$2:$H$3810,'Rec_raw_catch_effort_2010-2021'!$F3009,'FW_Steelhead_by_Month_2010-2021'!$M$2:$M$3810,'Rec_raw_catch_effort_2010-2021'!$K3009)</f>
        <v>12.578571428571431</v>
      </c>
      <c r="R3009" s="111">
        <f>VLOOKUP(B3009,Readme!$A$62:$C$74,3,)*Q3009</f>
        <v>263.23474949366027</v>
      </c>
      <c r="S3009" s="140" t="str">
        <f t="shared" si="227"/>
        <v>Y</v>
      </c>
      <c r="T3009" s="154">
        <f t="shared" si="228"/>
        <v>18.55000000000005</v>
      </c>
      <c r="U3009" s="154">
        <f t="shared" si="229"/>
        <v>20.92723732487929</v>
      </c>
    </row>
    <row r="3010" spans="1:21" x14ac:dyDescent="0.35">
      <c r="A3010" s="110">
        <v>604</v>
      </c>
      <c r="B3010" s="110">
        <v>2011</v>
      </c>
      <c r="C3010" s="110" t="s">
        <v>38</v>
      </c>
      <c r="D3010" s="110" t="s">
        <v>143</v>
      </c>
      <c r="E3010" s="110" t="s">
        <v>86</v>
      </c>
      <c r="F3010" s="117">
        <v>746</v>
      </c>
      <c r="G3010" s="110" t="s">
        <v>89</v>
      </c>
      <c r="H3010" s="110" t="s">
        <v>45</v>
      </c>
      <c r="I3010" s="110" t="str">
        <f>IFERROR(VLOOKUP(H3010,LUTs!$A$1:$C$73,2,FALSE),"NA")</f>
        <v>King</v>
      </c>
      <c r="J3010" s="110" t="str">
        <f>IFERROR(VLOOKUP(H3010,LUTs!$A$1:$C$73,3,FALSE),"NA")</f>
        <v>3South Puget Sound</v>
      </c>
      <c r="K3010" s="110" t="s">
        <v>20</v>
      </c>
      <c r="L3010" s="110" t="str">
        <f>VLOOKUP(K3010,LUTs!E$2:G$14,3,)</f>
        <v>07Pierce</v>
      </c>
      <c r="M3010" s="110" t="str">
        <f>VLOOKUP($K3010,LUTs!$E$2:$H$14,2,)</f>
        <v>South Puget Sound</v>
      </c>
      <c r="N3010" s="110" t="str">
        <f>VLOOKUP($K3010,LUTs!$E$2:$H$14,4,)</f>
        <v>02South Puget Sound</v>
      </c>
      <c r="O3010" s="110">
        <v>100.769230769231</v>
      </c>
      <c r="P3010" s="110">
        <v>1869.26923076924</v>
      </c>
      <c r="Q3010" s="110">
        <f>SUMIFS('FW_Steelhead_by_Month_2010-2021'!Q$2:Q$3810,'FW_Steelhead_by_Month_2010-2021'!$B$2:$B$3810,'Rec_raw_catch_effort_2010-2021'!$B3010,'FW_Steelhead_by_Month_2010-2021'!$H$2:$H$3810,'Rec_raw_catch_effort_2010-2021'!$F3010,'FW_Steelhead_by_Month_2010-2021'!$M$2:$M$3810,'Rec_raw_catch_effort_2010-2021'!$K3010)</f>
        <v>107.07725023159809</v>
      </c>
      <c r="R3010" s="111">
        <f>VLOOKUP(B3010,Readme!$A$62:$C$74,3,)*Q3010</f>
        <v>2240.8310276921393</v>
      </c>
      <c r="S3010" s="140" t="str">
        <f t="shared" si="227"/>
        <v>Y</v>
      </c>
      <c r="T3010" s="154">
        <f t="shared" si="228"/>
        <v>18.55000000000005</v>
      </c>
      <c r="U3010" s="154">
        <f t="shared" si="229"/>
        <v>20.927237324879293</v>
      </c>
    </row>
    <row r="3011" spans="1:21" x14ac:dyDescent="0.35">
      <c r="A3011" s="110">
        <v>602</v>
      </c>
      <c r="B3011" s="110">
        <v>2011</v>
      </c>
      <c r="C3011" s="110" t="s">
        <v>38</v>
      </c>
      <c r="D3011" s="110" t="s">
        <v>143</v>
      </c>
      <c r="E3011" s="110" t="s">
        <v>86</v>
      </c>
      <c r="F3011" s="117">
        <v>746</v>
      </c>
      <c r="G3011" s="110" t="s">
        <v>89</v>
      </c>
      <c r="H3011" s="110" t="s">
        <v>45</v>
      </c>
      <c r="I3011" s="110" t="str">
        <f>IFERROR(VLOOKUP(H3011,LUTs!$A$1:$C$73,2,FALSE),"NA")</f>
        <v>King</v>
      </c>
      <c r="J3011" s="110" t="str">
        <f>IFERROR(VLOOKUP(H3011,LUTs!$A$1:$C$73,3,FALSE),"NA")</f>
        <v>3South Puget Sound</v>
      </c>
      <c r="K3011" s="110" t="s">
        <v>16</v>
      </c>
      <c r="L3011" s="110" t="str">
        <f>VLOOKUP(K3011,LUTs!E$2:G$14,3,)</f>
        <v>03Snohomish</v>
      </c>
      <c r="M3011" s="110" t="str">
        <f>VLOOKUP($K3011,LUTs!$E$2:$H$14,2,)</f>
        <v>North Puget Sound</v>
      </c>
      <c r="N3011" s="110" t="str">
        <f>VLOOKUP($K3011,LUTs!$E$2:$H$14,4,)</f>
        <v>01North Puget Sound</v>
      </c>
      <c r="O3011" s="110">
        <v>10.0769230769231</v>
      </c>
      <c r="P3011" s="110">
        <v>186.926923076924</v>
      </c>
      <c r="Q3011" s="110">
        <f>SUMIFS('FW_Steelhead_by_Month_2010-2021'!Q$2:Q$3810,'FW_Steelhead_by_Month_2010-2021'!$B$2:$B$3810,'Rec_raw_catch_effort_2010-2021'!$B3011,'FW_Steelhead_by_Month_2010-2021'!$H$2:$H$3810,'Rec_raw_catch_effort_2010-2021'!$F3011,'FW_Steelhead_by_Month_2010-2021'!$M$2:$M$3810,'Rec_raw_catch_effort_2010-2021'!$K3011)</f>
        <v>12.61003861003862</v>
      </c>
      <c r="R3011" s="111">
        <f>VLOOKUP(B3011,Readme!$A$62:$C$74,3,)*Q3011</f>
        <v>263.89327066816918</v>
      </c>
      <c r="S3011" s="140" t="str">
        <f t="shared" ref="S3011:S3074" si="231">IF(B3011&lt;=2019,"Y","N")</f>
        <v>Y</v>
      </c>
      <c r="T3011" s="154">
        <f t="shared" ref="T3011:T3074" si="232">IFERROR(P3011/O3011,"NA")</f>
        <v>18.55000000000005</v>
      </c>
      <c r="U3011" s="154">
        <f t="shared" ref="U3011:U3074" si="233">IFERROR(R3011/Q3011,"NA")</f>
        <v>20.92723732487929</v>
      </c>
    </row>
    <row r="3012" spans="1:21" x14ac:dyDescent="0.35">
      <c r="A3012" s="110">
        <v>605</v>
      </c>
      <c r="B3012" s="110">
        <v>2011</v>
      </c>
      <c r="C3012" s="110" t="s">
        <v>38</v>
      </c>
      <c r="D3012" s="110" t="s">
        <v>143</v>
      </c>
      <c r="E3012" s="110" t="s">
        <v>86</v>
      </c>
      <c r="F3012" s="117">
        <v>746</v>
      </c>
      <c r="G3012" s="110" t="s">
        <v>89</v>
      </c>
      <c r="H3012" s="110" t="s">
        <v>45</v>
      </c>
      <c r="I3012" s="110" t="str">
        <f>IFERROR(VLOOKUP(H3012,LUTs!$A$1:$C$73,2,FALSE),"NA")</f>
        <v>King</v>
      </c>
      <c r="J3012" s="110" t="str">
        <f>IFERROR(VLOOKUP(H3012,LUTs!$A$1:$C$73,3,FALSE),"NA")</f>
        <v>3South Puget Sound</v>
      </c>
      <c r="K3012" s="110" t="s">
        <v>21</v>
      </c>
      <c r="L3012" s="110" t="str">
        <f>VLOOKUP(K3012,LUTs!E$2:G$14,3,)</f>
        <v>08Thurston</v>
      </c>
      <c r="M3012" s="110" t="str">
        <f>VLOOKUP($K3012,LUTs!$E$2:$H$14,2,)</f>
        <v>South Puget Sound</v>
      </c>
      <c r="N3012" s="110" t="str">
        <f>VLOOKUP($K3012,LUTs!$E$2:$H$14,4,)</f>
        <v>02South Puget Sound</v>
      </c>
      <c r="O3012" s="110">
        <v>7.5576923076923102</v>
      </c>
      <c r="P3012" s="110">
        <v>140.195192307692</v>
      </c>
      <c r="Q3012" s="110">
        <f>SUMIFS('FW_Steelhead_by_Month_2010-2021'!Q$2:Q$3810,'FW_Steelhead_by_Month_2010-2021'!$B$2:$B$3810,'Rec_raw_catch_effort_2010-2021'!$B3012,'FW_Steelhead_by_Month_2010-2021'!$H$2:$H$3810,'Rec_raw_catch_effort_2010-2021'!$F3012,'FW_Steelhead_by_Month_2010-2021'!$M$2:$M$3810,'Rec_raw_catch_effort_2010-2021'!$K3012)</f>
        <v>9.4864864864864895</v>
      </c>
      <c r="R3012" s="111">
        <f>VLOOKUP(B3012,Readme!$A$62:$C$74,3,)*Q3012</f>
        <v>198.52595408196308</v>
      </c>
      <c r="S3012" s="140" t="str">
        <f t="shared" si="231"/>
        <v>Y</v>
      </c>
      <c r="T3012" s="154">
        <f t="shared" si="232"/>
        <v>18.549999999999955</v>
      </c>
      <c r="U3012" s="154">
        <f t="shared" si="233"/>
        <v>20.927237324879293</v>
      </c>
    </row>
    <row r="3013" spans="1:21" x14ac:dyDescent="0.35">
      <c r="A3013" s="110">
        <v>611</v>
      </c>
      <c r="B3013" s="110">
        <v>2012</v>
      </c>
      <c r="C3013" s="110" t="s">
        <v>38</v>
      </c>
      <c r="D3013" s="110" t="s">
        <v>143</v>
      </c>
      <c r="E3013" s="110" t="s">
        <v>86</v>
      </c>
      <c r="F3013" s="117">
        <v>746</v>
      </c>
      <c r="G3013" s="110" t="s">
        <v>89</v>
      </c>
      <c r="H3013" s="110" t="s">
        <v>45</v>
      </c>
      <c r="I3013" s="110" t="str">
        <f>IFERROR(VLOOKUP(H3013,LUTs!$A$1:$C$73,2,FALSE),"NA")</f>
        <v>King</v>
      </c>
      <c r="J3013" s="110" t="str">
        <f>IFERROR(VLOOKUP(H3013,LUTs!$A$1:$C$73,3,FALSE),"NA")</f>
        <v>3South Puget Sound</v>
      </c>
      <c r="K3013" s="110" t="s">
        <v>24</v>
      </c>
      <c r="L3013" s="110" t="str">
        <f>VLOOKUP(K3013,LUTs!E$2:G$14,3,)</f>
        <v>11Clallam</v>
      </c>
      <c r="M3013" s="110" t="str">
        <f>VLOOKUP($K3013,LUTs!$E$2:$H$14,2,)</f>
        <v>Strait of Juan de Fuca</v>
      </c>
      <c r="N3013" s="110" t="str">
        <f>VLOOKUP($K3013,LUTs!$E$2:$H$14,4,)</f>
        <v>03Strait of Juan de Fuca</v>
      </c>
      <c r="O3013" s="110">
        <v>3.4507042253521099</v>
      </c>
      <c r="P3013" s="110">
        <v>29.469014084506998</v>
      </c>
      <c r="Q3013" s="110">
        <f>SUMIFS('FW_Steelhead_by_Month_2010-2021'!Q$2:Q$3810,'FW_Steelhead_by_Month_2010-2021'!$B$2:$B$3810,'Rec_raw_catch_effort_2010-2021'!$B3013,'FW_Steelhead_by_Month_2010-2021'!$H$2:$H$3810,'Rec_raw_catch_effort_2010-2021'!$F3013,'FW_Steelhead_by_Month_2010-2021'!$M$2:$M$3810,'Rec_raw_catch_effort_2010-2021'!$K3013)</f>
        <v>3.9767441860465098</v>
      </c>
      <c r="R3013" s="111">
        <f>VLOOKUP(B3013,Readme!$A$62:$C$74,3,)*Q3013</f>
        <v>83.222269361729246</v>
      </c>
      <c r="S3013" s="140" t="str">
        <f t="shared" si="231"/>
        <v>Y</v>
      </c>
      <c r="T3013" s="154">
        <f t="shared" si="232"/>
        <v>8.5399999999999938</v>
      </c>
      <c r="U3013" s="154">
        <f t="shared" si="233"/>
        <v>20.927237324879293</v>
      </c>
    </row>
    <row r="3014" spans="1:21" x14ac:dyDescent="0.35">
      <c r="A3014" s="110">
        <v>608</v>
      </c>
      <c r="B3014" s="110">
        <v>2012</v>
      </c>
      <c r="C3014" s="110" t="s">
        <v>38</v>
      </c>
      <c r="D3014" s="110" t="s">
        <v>143</v>
      </c>
      <c r="E3014" s="110" t="s">
        <v>86</v>
      </c>
      <c r="F3014" s="117">
        <v>746</v>
      </c>
      <c r="G3014" s="110" t="s">
        <v>89</v>
      </c>
      <c r="H3014" s="110" t="s">
        <v>45</v>
      </c>
      <c r="I3014" s="110" t="str">
        <f>IFERROR(VLOOKUP(H3014,LUTs!$A$1:$C$73,2,FALSE),"NA")</f>
        <v>King</v>
      </c>
      <c r="J3014" s="110" t="str">
        <f>IFERROR(VLOOKUP(H3014,LUTs!$A$1:$C$73,3,FALSE),"NA")</f>
        <v>3South Puget Sound</v>
      </c>
      <c r="K3014" s="110" t="s">
        <v>18</v>
      </c>
      <c r="L3014" s="110" t="str">
        <f>VLOOKUP(K3014,LUTs!E$2:G$14,3,)</f>
        <v>06King</v>
      </c>
      <c r="M3014" s="110" t="str">
        <f>VLOOKUP($K3014,LUTs!$E$2:$H$14,2,)</f>
        <v>South Puget Sound</v>
      </c>
      <c r="N3014" s="110" t="str">
        <f>VLOOKUP($K3014,LUTs!$E$2:$H$14,4,)</f>
        <v>02South Puget Sound</v>
      </c>
      <c r="O3014" s="110">
        <v>517.60563380281701</v>
      </c>
      <c r="P3014" s="110">
        <v>4420.3521126760597</v>
      </c>
      <c r="Q3014" s="110">
        <f>SUMIFS('FW_Steelhead_by_Month_2010-2021'!Q$2:Q$3810,'FW_Steelhead_by_Month_2010-2021'!$B$2:$B$3810,'Rec_raw_catch_effort_2010-2021'!$B3014,'FW_Steelhead_by_Month_2010-2021'!$H$2:$H$3810,'Rec_raw_catch_effort_2010-2021'!$F3014,'FW_Steelhead_by_Month_2010-2021'!$M$2:$M$3810,'Rec_raw_catch_effort_2010-2021'!$K3014)</f>
        <v>506.51950702146627</v>
      </c>
      <c r="R3014" s="111">
        <f>VLOOKUP(B3014,Readme!$A$62:$C$74,3,)*Q3014</f>
        <v>10600.053933119088</v>
      </c>
      <c r="S3014" s="140" t="str">
        <f t="shared" si="231"/>
        <v>Y</v>
      </c>
      <c r="T3014" s="154">
        <f t="shared" si="232"/>
        <v>8.5400000000000045</v>
      </c>
      <c r="U3014" s="154">
        <f t="shared" si="233"/>
        <v>20.927237324879293</v>
      </c>
    </row>
    <row r="3015" spans="1:21" x14ac:dyDescent="0.35">
      <c r="A3015" s="110">
        <v>609</v>
      </c>
      <c r="B3015" s="110">
        <v>2012</v>
      </c>
      <c r="C3015" s="110" t="s">
        <v>38</v>
      </c>
      <c r="D3015" s="110" t="s">
        <v>143</v>
      </c>
      <c r="E3015" s="110" t="s">
        <v>86</v>
      </c>
      <c r="F3015" s="117">
        <v>746</v>
      </c>
      <c r="G3015" s="110" t="s">
        <v>89</v>
      </c>
      <c r="H3015" s="110" t="s">
        <v>45</v>
      </c>
      <c r="I3015" s="110" t="str">
        <f>IFERROR(VLOOKUP(H3015,LUTs!$A$1:$C$73,2,FALSE),"NA")</f>
        <v>King</v>
      </c>
      <c r="J3015" s="110" t="str">
        <f>IFERROR(VLOOKUP(H3015,LUTs!$A$1:$C$73,3,FALSE),"NA")</f>
        <v>3South Puget Sound</v>
      </c>
      <c r="K3015" s="110" t="s">
        <v>20</v>
      </c>
      <c r="L3015" s="110" t="str">
        <f>VLOOKUP(K3015,LUTs!E$2:G$14,3,)</f>
        <v>07Pierce</v>
      </c>
      <c r="M3015" s="110" t="str">
        <f>VLOOKUP($K3015,LUTs!$E$2:$H$14,2,)</f>
        <v>South Puget Sound</v>
      </c>
      <c r="N3015" s="110" t="str">
        <f>VLOOKUP($K3015,LUTs!$E$2:$H$14,4,)</f>
        <v>02South Puget Sound</v>
      </c>
      <c r="O3015" s="110">
        <v>203.591549295775</v>
      </c>
      <c r="P3015" s="110">
        <v>1738.67183098592</v>
      </c>
      <c r="Q3015" s="110">
        <f>SUMIFS('FW_Steelhead_by_Month_2010-2021'!Q$2:Q$3810,'FW_Steelhead_by_Month_2010-2021'!$B$2:$B$3810,'Rec_raw_catch_effort_2010-2021'!$B3015,'FW_Steelhead_by_Month_2010-2021'!$H$2:$H$3810,'Rec_raw_catch_effort_2010-2021'!$F3015,'FW_Steelhead_by_Month_2010-2021'!$M$2:$M$3810,'Rec_raw_catch_effort_2010-2021'!$K3015)</f>
        <v>214.5270046064409</v>
      </c>
      <c r="R3015" s="111">
        <f>VLOOKUP(B3015,Readme!$A$62:$C$74,3,)*Q3015</f>
        <v>4489.4575379944617</v>
      </c>
      <c r="S3015" s="140" t="str">
        <f t="shared" si="231"/>
        <v>Y</v>
      </c>
      <c r="T3015" s="154">
        <f t="shared" si="232"/>
        <v>8.540000000000008</v>
      </c>
      <c r="U3015" s="154">
        <f t="shared" si="233"/>
        <v>20.927237324879293</v>
      </c>
    </row>
    <row r="3016" spans="1:21" x14ac:dyDescent="0.35">
      <c r="A3016" s="110">
        <v>607</v>
      </c>
      <c r="B3016" s="110">
        <v>2012</v>
      </c>
      <c r="C3016" s="110" t="s">
        <v>38</v>
      </c>
      <c r="D3016" s="110" t="s">
        <v>143</v>
      </c>
      <c r="E3016" s="110" t="s">
        <v>86</v>
      </c>
      <c r="F3016" s="117">
        <v>746</v>
      </c>
      <c r="G3016" s="110" t="s">
        <v>89</v>
      </c>
      <c r="H3016" s="110" t="s">
        <v>45</v>
      </c>
      <c r="I3016" s="110" t="str">
        <f>IFERROR(VLOOKUP(H3016,LUTs!$A$1:$C$73,2,FALSE),"NA")</f>
        <v>King</v>
      </c>
      <c r="J3016" s="110" t="str">
        <f>IFERROR(VLOOKUP(H3016,LUTs!$A$1:$C$73,3,FALSE),"NA")</f>
        <v>3South Puget Sound</v>
      </c>
      <c r="K3016" s="110" t="s">
        <v>16</v>
      </c>
      <c r="L3016" s="110" t="str">
        <f>VLOOKUP(K3016,LUTs!E$2:G$14,3,)</f>
        <v>03Snohomish</v>
      </c>
      <c r="M3016" s="110" t="str">
        <f>VLOOKUP($K3016,LUTs!$E$2:$H$14,2,)</f>
        <v>North Puget Sound</v>
      </c>
      <c r="N3016" s="110" t="str">
        <f>VLOOKUP($K3016,LUTs!$E$2:$H$14,4,)</f>
        <v>01North Puget Sound</v>
      </c>
      <c r="O3016" s="110">
        <v>3.4507042253521099</v>
      </c>
      <c r="P3016" s="110">
        <v>29.469014084506998</v>
      </c>
      <c r="Q3016" s="110">
        <f>SUMIFS('FW_Steelhead_by_Month_2010-2021'!Q$2:Q$3810,'FW_Steelhead_by_Month_2010-2021'!$B$2:$B$3810,'Rec_raw_catch_effort_2010-2021'!$B3016,'FW_Steelhead_by_Month_2010-2021'!$H$2:$H$3810,'Rec_raw_catch_effort_2010-2021'!$F3016,'FW_Steelhead_by_Month_2010-2021'!$M$2:$M$3810,'Rec_raw_catch_effort_2010-2021'!$K3016)</f>
        <v>0</v>
      </c>
      <c r="R3016" s="111">
        <f>VLOOKUP(B3016,Readme!$A$62:$C$74,3,)*Q3016</f>
        <v>0</v>
      </c>
      <c r="S3016" s="140" t="str">
        <f t="shared" si="231"/>
        <v>Y</v>
      </c>
      <c r="T3016" s="154">
        <f t="shared" si="232"/>
        <v>8.5399999999999938</v>
      </c>
      <c r="U3016" s="154" t="str">
        <f t="shared" si="233"/>
        <v>NA</v>
      </c>
    </row>
    <row r="3017" spans="1:21" x14ac:dyDescent="0.35">
      <c r="A3017" s="110">
        <v>610</v>
      </c>
      <c r="B3017" s="110">
        <v>2012</v>
      </c>
      <c r="C3017" s="110" t="s">
        <v>38</v>
      </c>
      <c r="D3017" s="110" t="s">
        <v>143</v>
      </c>
      <c r="E3017" s="110" t="s">
        <v>86</v>
      </c>
      <c r="F3017" s="117">
        <v>746</v>
      </c>
      <c r="G3017" s="110" t="s">
        <v>89</v>
      </c>
      <c r="H3017" s="110" t="s">
        <v>45</v>
      </c>
      <c r="I3017" s="110" t="str">
        <f>IFERROR(VLOOKUP(H3017,LUTs!$A$1:$C$73,2,FALSE),"NA")</f>
        <v>King</v>
      </c>
      <c r="J3017" s="110" t="str">
        <f>IFERROR(VLOOKUP(H3017,LUTs!$A$1:$C$73,3,FALSE),"NA")</f>
        <v>3South Puget Sound</v>
      </c>
      <c r="K3017" s="110" t="s">
        <v>21</v>
      </c>
      <c r="L3017" s="110" t="str">
        <f>VLOOKUP(K3017,LUTs!E$2:G$14,3,)</f>
        <v>08Thurston</v>
      </c>
      <c r="M3017" s="110" t="str">
        <f>VLOOKUP($K3017,LUTs!$E$2:$H$14,2,)</f>
        <v>South Puget Sound</v>
      </c>
      <c r="N3017" s="110" t="str">
        <f>VLOOKUP($K3017,LUTs!$E$2:$H$14,4,)</f>
        <v>02South Puget Sound</v>
      </c>
      <c r="O3017" s="110">
        <v>6.9014084507042304</v>
      </c>
      <c r="P3017" s="110">
        <v>58.938028169014103</v>
      </c>
      <c r="Q3017" s="110">
        <f>SUMIFS('FW_Steelhead_by_Month_2010-2021'!Q$2:Q$3810,'FW_Steelhead_by_Month_2010-2021'!$B$2:$B$3810,'Rec_raw_catch_effort_2010-2021'!$B3017,'FW_Steelhead_by_Month_2010-2021'!$H$2:$H$3810,'Rec_raw_catch_effort_2010-2021'!$F3017,'FW_Steelhead_by_Month_2010-2021'!$M$2:$M$3810,'Rec_raw_catch_effort_2010-2021'!$K3017)</f>
        <v>7.9767441860465098</v>
      </c>
      <c r="R3017" s="111">
        <f>VLOOKUP(B3017,Readme!$A$62:$C$74,3,)*Q3017</f>
        <v>166.93121866124642</v>
      </c>
      <c r="S3017" s="140" t="str">
        <f t="shared" si="231"/>
        <v>Y</v>
      </c>
      <c r="T3017" s="154">
        <f t="shared" si="232"/>
        <v>8.5399999999999974</v>
      </c>
      <c r="U3017" s="154">
        <f t="shared" si="233"/>
        <v>20.927237324879293</v>
      </c>
    </row>
    <row r="3018" spans="1:21" x14ac:dyDescent="0.35">
      <c r="A3018" s="110">
        <v>613</v>
      </c>
      <c r="B3018" s="110">
        <v>2013</v>
      </c>
      <c r="C3018" s="110" t="s">
        <v>38</v>
      </c>
      <c r="D3018" s="110" t="s">
        <v>143</v>
      </c>
      <c r="E3018" s="110" t="s">
        <v>86</v>
      </c>
      <c r="F3018" s="117">
        <v>746</v>
      </c>
      <c r="G3018" s="110" t="s">
        <v>89</v>
      </c>
      <c r="H3018" s="110" t="s">
        <v>45</v>
      </c>
      <c r="I3018" s="110" t="str">
        <f>IFERROR(VLOOKUP(H3018,LUTs!$A$1:$C$73,2,FALSE),"NA")</f>
        <v>King</v>
      </c>
      <c r="J3018" s="110" t="str">
        <f>IFERROR(VLOOKUP(H3018,LUTs!$A$1:$C$73,3,FALSE),"NA")</f>
        <v>3South Puget Sound</v>
      </c>
      <c r="K3018" s="110" t="s">
        <v>18</v>
      </c>
      <c r="L3018" s="110" t="str">
        <f>VLOOKUP(K3018,LUTs!E$2:G$14,3,)</f>
        <v>06King</v>
      </c>
      <c r="M3018" s="110" t="str">
        <f>VLOOKUP($K3018,LUTs!$E$2:$H$14,2,)</f>
        <v>South Puget Sound</v>
      </c>
      <c r="N3018" s="110" t="str">
        <f>VLOOKUP($K3018,LUTs!$E$2:$H$14,4,)</f>
        <v>02South Puget Sound</v>
      </c>
      <c r="O3018" s="110">
        <v>654.31279620853104</v>
      </c>
      <c r="P3018" s="110">
        <v>12137.5023696683</v>
      </c>
      <c r="Q3018" s="110">
        <f>SUMIFS('FW_Steelhead_by_Month_2010-2021'!Q$2:Q$3810,'FW_Steelhead_by_Month_2010-2021'!$B$2:$B$3810,'Rec_raw_catch_effort_2010-2021'!$B3018,'FW_Steelhead_by_Month_2010-2021'!$H$2:$H$3810,'Rec_raw_catch_effort_2010-2021'!$F3018,'FW_Steelhead_by_Month_2010-2021'!$M$2:$M$3810,'Rec_raw_catch_effort_2010-2021'!$K3018)</f>
        <v>657.52102913189879</v>
      </c>
      <c r="R3018" s="111">
        <f>VLOOKUP(B3018,Readme!$A$62:$C$74,3,)*Q3018</f>
        <v>13760.098622742118</v>
      </c>
      <c r="S3018" s="140" t="str">
        <f t="shared" si="231"/>
        <v>Y</v>
      </c>
      <c r="T3018" s="154">
        <f t="shared" si="232"/>
        <v>18.550000000000075</v>
      </c>
      <c r="U3018" s="154">
        <f t="shared" si="233"/>
        <v>20.927237324879293</v>
      </c>
    </row>
    <row r="3019" spans="1:21" x14ac:dyDescent="0.35">
      <c r="A3019" s="110">
        <v>687</v>
      </c>
      <c r="B3019" s="110">
        <v>2013</v>
      </c>
      <c r="C3019" s="110" t="s">
        <v>38</v>
      </c>
      <c r="D3019" s="110" t="s">
        <v>143</v>
      </c>
      <c r="E3019" s="110" t="s">
        <v>86</v>
      </c>
      <c r="F3019" s="117">
        <v>746</v>
      </c>
      <c r="G3019" s="110" t="s">
        <v>89</v>
      </c>
      <c r="H3019" s="110" t="s">
        <v>45</v>
      </c>
      <c r="I3019" s="110" t="str">
        <f>IFERROR(VLOOKUP(H3019,LUTs!$A$1:$C$73,2,FALSE),"NA")</f>
        <v>King</v>
      </c>
      <c r="J3019" s="110" t="str">
        <f>IFERROR(VLOOKUP(H3019,LUTs!$A$1:$C$73,3,FALSE),"NA")</f>
        <v>3South Puget Sound</v>
      </c>
      <c r="K3019" s="110" t="s">
        <v>26</v>
      </c>
      <c r="L3019" s="110" t="str">
        <f>VLOOKUP(K3019,LUTs!E$2:G$14,3,)</f>
        <v>20Other</v>
      </c>
      <c r="M3019" s="110" t="str">
        <f>VLOOKUP($K3019,LUTs!$E$2:$H$14,2,)</f>
        <v>Non Puget Sound</v>
      </c>
      <c r="N3019" s="110" t="str">
        <f>VLOOKUP($K3019,LUTs!$E$2:$H$14,4,)</f>
        <v>07Non Puget Sound</v>
      </c>
      <c r="O3019" s="110">
        <v>11.0900473933649</v>
      </c>
      <c r="P3019" s="110">
        <v>205.72037914691899</v>
      </c>
      <c r="Q3019" s="110">
        <f>SUMIFS('FW_Steelhead_by_Month_2010-2021'!Q$2:Q$3810,'FW_Steelhead_by_Month_2010-2021'!$B$2:$B$3810,'Rec_raw_catch_effort_2010-2021'!$B3019,'FW_Steelhead_by_Month_2010-2021'!$H$2:$H$3810,'Rec_raw_catch_effort_2010-2021'!$F3019,'FW_Steelhead_by_Month_2010-2021'!$M$2:$M$3810,'Rec_raw_catch_effort_2010-2021'!$K3019)</f>
        <v>13.422200263504621</v>
      </c>
      <c r="R3019" s="111">
        <f>VLOOKUP(B3019,Readme!$A$62:$C$74,3,)*Q3019</f>
        <v>280.88957033641856</v>
      </c>
      <c r="S3019" s="140" t="str">
        <f t="shared" si="231"/>
        <v>Y</v>
      </c>
      <c r="T3019" s="154">
        <f t="shared" si="232"/>
        <v>18.550000000000008</v>
      </c>
      <c r="U3019" s="154">
        <f t="shared" si="233"/>
        <v>20.92723732487929</v>
      </c>
    </row>
    <row r="3020" spans="1:21" x14ac:dyDescent="0.35">
      <c r="A3020" s="110">
        <v>686</v>
      </c>
      <c r="B3020" s="110">
        <v>2013</v>
      </c>
      <c r="C3020" s="110" t="s">
        <v>38</v>
      </c>
      <c r="D3020" s="110" t="s">
        <v>143</v>
      </c>
      <c r="E3020" s="110" t="s">
        <v>86</v>
      </c>
      <c r="F3020" s="117">
        <v>746</v>
      </c>
      <c r="G3020" s="110" t="s">
        <v>89</v>
      </c>
      <c r="H3020" s="110" t="s">
        <v>45</v>
      </c>
      <c r="I3020" s="110" t="str">
        <f>IFERROR(VLOOKUP(H3020,LUTs!$A$1:$C$73,2,FALSE),"NA")</f>
        <v>King</v>
      </c>
      <c r="J3020" s="110" t="str">
        <f>IFERROR(VLOOKUP(H3020,LUTs!$A$1:$C$73,3,FALSE),"NA")</f>
        <v>3South Puget Sound</v>
      </c>
      <c r="K3020" s="110" t="s">
        <v>20</v>
      </c>
      <c r="L3020" s="110" t="str">
        <f>VLOOKUP(K3020,LUTs!E$2:G$14,3,)</f>
        <v>07Pierce</v>
      </c>
      <c r="M3020" s="110" t="str">
        <f>VLOOKUP($K3020,LUTs!$E$2:$H$14,2,)</f>
        <v>South Puget Sound</v>
      </c>
      <c r="N3020" s="110" t="str">
        <f>VLOOKUP($K3020,LUTs!$E$2:$H$14,4,)</f>
        <v>02South Puget Sound</v>
      </c>
      <c r="O3020" s="110">
        <v>107.203791469194</v>
      </c>
      <c r="P3020" s="110">
        <v>1988.6303317535501</v>
      </c>
      <c r="Q3020" s="110">
        <f>SUMIFS('FW_Steelhead_by_Month_2010-2021'!Q$2:Q$3810,'FW_Steelhead_by_Month_2010-2021'!$B$2:$B$3810,'Rec_raw_catch_effort_2010-2021'!$B3020,'FW_Steelhead_by_Month_2010-2021'!$H$2:$H$3810,'Rec_raw_catch_effort_2010-2021'!$F3020,'FW_Steelhead_by_Month_2010-2021'!$M$2:$M$3810,'Rec_raw_catch_effort_2010-2021'!$K3020)</f>
        <v>123.35306690089296</v>
      </c>
      <c r="R3020" s="111">
        <f>VLOOKUP(B3020,Readme!$A$62:$C$74,3,)*Q3020</f>
        <v>2581.4389057866997</v>
      </c>
      <c r="S3020" s="140" t="str">
        <f t="shared" si="231"/>
        <v>Y</v>
      </c>
      <c r="T3020" s="154">
        <f t="shared" si="232"/>
        <v>18.550000000000011</v>
      </c>
      <c r="U3020" s="154">
        <f t="shared" si="233"/>
        <v>20.927237324879293</v>
      </c>
    </row>
    <row r="3021" spans="1:21" x14ac:dyDescent="0.35">
      <c r="A3021" s="110">
        <v>612</v>
      </c>
      <c r="B3021" s="110">
        <v>2013</v>
      </c>
      <c r="C3021" s="110" t="s">
        <v>38</v>
      </c>
      <c r="D3021" s="110" t="s">
        <v>143</v>
      </c>
      <c r="E3021" s="110" t="s">
        <v>86</v>
      </c>
      <c r="F3021" s="117">
        <v>746</v>
      </c>
      <c r="G3021" s="110" t="s">
        <v>89</v>
      </c>
      <c r="H3021" s="110" t="s">
        <v>45</v>
      </c>
      <c r="I3021" s="110" t="str">
        <f>IFERROR(VLOOKUP(H3021,LUTs!$A$1:$C$73,2,FALSE),"NA")</f>
        <v>King</v>
      </c>
      <c r="J3021" s="110" t="str">
        <f>IFERROR(VLOOKUP(H3021,LUTs!$A$1:$C$73,3,FALSE),"NA")</f>
        <v>3South Puget Sound</v>
      </c>
      <c r="K3021" s="110" t="s">
        <v>16</v>
      </c>
      <c r="L3021" s="110" t="str">
        <f>VLOOKUP(K3021,LUTs!E$2:G$14,3,)</f>
        <v>03Snohomish</v>
      </c>
      <c r="M3021" s="110" t="str">
        <f>VLOOKUP($K3021,LUTs!$E$2:$H$14,2,)</f>
        <v>North Puget Sound</v>
      </c>
      <c r="N3021" s="110" t="str">
        <f>VLOOKUP($K3021,LUTs!$E$2:$H$14,4,)</f>
        <v>01North Puget Sound</v>
      </c>
      <c r="O3021" s="110">
        <v>7.3933649289099597</v>
      </c>
      <c r="P3021" s="110">
        <v>137.14691943128</v>
      </c>
      <c r="Q3021" s="110">
        <f>SUMIFS('FW_Steelhead_by_Month_2010-2021'!Q$2:Q$3810,'FW_Steelhead_by_Month_2010-2021'!$B$2:$B$3810,'Rec_raw_catch_effort_2010-2021'!$B3021,'FW_Steelhead_by_Month_2010-2021'!$H$2:$H$3810,'Rec_raw_catch_effort_2010-2021'!$F3021,'FW_Steelhead_by_Month_2010-2021'!$M$2:$M$3810,'Rec_raw_catch_effort_2010-2021'!$K3021)</f>
        <v>6.7037037037037006</v>
      </c>
      <c r="R3021" s="111">
        <f>VLOOKUP(B3021,Readme!$A$62:$C$74,3,)*Q3021</f>
        <v>140.28999836307963</v>
      </c>
      <c r="S3021" s="140" t="str">
        <f t="shared" si="231"/>
        <v>Y</v>
      </c>
      <c r="T3021" s="154">
        <f t="shared" si="232"/>
        <v>18.550000000000033</v>
      </c>
      <c r="U3021" s="154">
        <f t="shared" si="233"/>
        <v>20.927237324879293</v>
      </c>
    </row>
    <row r="3022" spans="1:21" x14ac:dyDescent="0.35">
      <c r="A3022" s="110">
        <v>690</v>
      </c>
      <c r="B3022" s="110">
        <v>2014</v>
      </c>
      <c r="C3022" s="110" t="s">
        <v>38</v>
      </c>
      <c r="D3022" s="110" t="s">
        <v>143</v>
      </c>
      <c r="E3022" s="110" t="s">
        <v>86</v>
      </c>
      <c r="F3022" s="117">
        <v>746</v>
      </c>
      <c r="G3022" s="110" t="s">
        <v>89</v>
      </c>
      <c r="H3022" s="110" t="s">
        <v>45</v>
      </c>
      <c r="I3022" s="110" t="str">
        <f>IFERROR(VLOOKUP(H3022,LUTs!$A$1:$C$73,2,FALSE),"NA")</f>
        <v>King</v>
      </c>
      <c r="J3022" s="110" t="str">
        <f>IFERROR(VLOOKUP(H3022,LUTs!$A$1:$C$73,3,FALSE),"NA")</f>
        <v>3South Puget Sound</v>
      </c>
      <c r="K3022" s="110" t="s">
        <v>18</v>
      </c>
      <c r="L3022" s="110" t="str">
        <f>VLOOKUP(K3022,LUTs!E$2:G$14,3,)</f>
        <v>06King</v>
      </c>
      <c r="M3022" s="110" t="str">
        <f>VLOOKUP($K3022,LUTs!$E$2:$H$14,2,)</f>
        <v>South Puget Sound</v>
      </c>
      <c r="N3022" s="110" t="str">
        <f>VLOOKUP($K3022,LUTs!$E$2:$H$14,4,)</f>
        <v>02South Puget Sound</v>
      </c>
      <c r="O3022" s="110">
        <v>157.744186046512</v>
      </c>
      <c r="P3022" s="110">
        <v>1347.1353488372099</v>
      </c>
      <c r="Q3022" s="110">
        <f>SUMIFS('FW_Steelhead_by_Month_2010-2021'!Q$2:Q$3810,'FW_Steelhead_by_Month_2010-2021'!$B$2:$B$3810,'Rec_raw_catch_effort_2010-2021'!$B3022,'FW_Steelhead_by_Month_2010-2021'!$H$2:$H$3810,'Rec_raw_catch_effort_2010-2021'!$F3022,'FW_Steelhead_by_Month_2010-2021'!$M$2:$M$3810,'Rec_raw_catch_effort_2010-2021'!$K3022)</f>
        <v>142.75974025974023</v>
      </c>
      <c r="R3022" s="111">
        <f>VLOOKUP(B3022,Readme!$A$62:$C$74,3,)*Q3022</f>
        <v>2987.5669648537087</v>
      </c>
      <c r="S3022" s="140" t="str">
        <f t="shared" si="231"/>
        <v>Y</v>
      </c>
      <c r="T3022" s="154">
        <f t="shared" si="232"/>
        <v>8.5399999999999832</v>
      </c>
      <c r="U3022" s="154">
        <f t="shared" si="233"/>
        <v>20.927237324879293</v>
      </c>
    </row>
    <row r="3023" spans="1:21" x14ac:dyDescent="0.35">
      <c r="A3023" s="110">
        <v>692</v>
      </c>
      <c r="B3023" s="110">
        <v>2014</v>
      </c>
      <c r="C3023" s="110" t="s">
        <v>38</v>
      </c>
      <c r="D3023" s="110" t="s">
        <v>143</v>
      </c>
      <c r="E3023" s="110" t="s">
        <v>86</v>
      </c>
      <c r="F3023" s="117">
        <v>746</v>
      </c>
      <c r="G3023" s="110" t="s">
        <v>89</v>
      </c>
      <c r="H3023" s="110" t="s">
        <v>45</v>
      </c>
      <c r="I3023" s="110" t="str">
        <f>IFERROR(VLOOKUP(H3023,LUTs!$A$1:$C$73,2,FALSE),"NA")</f>
        <v>King</v>
      </c>
      <c r="J3023" s="110" t="str">
        <f>IFERROR(VLOOKUP(H3023,LUTs!$A$1:$C$73,3,FALSE),"NA")</f>
        <v>3South Puget Sound</v>
      </c>
      <c r="K3023" s="110" t="s">
        <v>26</v>
      </c>
      <c r="L3023" s="110" t="str">
        <f>VLOOKUP(K3023,LUTs!E$2:G$14,3,)</f>
        <v>20Other</v>
      </c>
      <c r="M3023" s="110" t="str">
        <f>VLOOKUP($K3023,LUTs!$E$2:$H$14,2,)</f>
        <v>Non Puget Sound</v>
      </c>
      <c r="N3023" s="110" t="str">
        <f>VLOOKUP($K3023,LUTs!$E$2:$H$14,4,)</f>
        <v>07Non Puget Sound</v>
      </c>
      <c r="O3023" s="110">
        <v>2.7674418604651199</v>
      </c>
      <c r="P3023" s="110">
        <v>23.6339534883721</v>
      </c>
      <c r="Q3023" s="110">
        <f>SUMIFS('FW_Steelhead_by_Month_2010-2021'!Q$2:Q$3810,'FW_Steelhead_by_Month_2010-2021'!$B$2:$B$3810,'Rec_raw_catch_effort_2010-2021'!$B3023,'FW_Steelhead_by_Month_2010-2021'!$H$2:$H$3810,'Rec_raw_catch_effort_2010-2021'!$F3023,'FW_Steelhead_by_Month_2010-2021'!$M$2:$M$3810,'Rec_raw_catch_effort_2010-2021'!$K3023)</f>
        <v>1.9090909090909101</v>
      </c>
      <c r="R3023" s="111">
        <f>VLOOKUP(B3023,Readme!$A$62:$C$74,3,)*Q3023</f>
        <v>39.951998529315034</v>
      </c>
      <c r="S3023" s="140" t="str">
        <f t="shared" si="231"/>
        <v>Y</v>
      </c>
      <c r="T3023" s="154">
        <f t="shared" si="232"/>
        <v>8.539999999999992</v>
      </c>
      <c r="U3023" s="154">
        <f t="shared" si="233"/>
        <v>20.927237324879293</v>
      </c>
    </row>
    <row r="3024" spans="1:21" x14ac:dyDescent="0.35">
      <c r="A3024" s="110">
        <v>691</v>
      </c>
      <c r="B3024" s="110">
        <v>2014</v>
      </c>
      <c r="C3024" s="110" t="s">
        <v>38</v>
      </c>
      <c r="D3024" s="110" t="s">
        <v>143</v>
      </c>
      <c r="E3024" s="110" t="s">
        <v>86</v>
      </c>
      <c r="F3024" s="117">
        <v>746</v>
      </c>
      <c r="G3024" s="110" t="s">
        <v>89</v>
      </c>
      <c r="H3024" s="110" t="s">
        <v>45</v>
      </c>
      <c r="I3024" s="110" t="str">
        <f>IFERROR(VLOOKUP(H3024,LUTs!$A$1:$C$73,2,FALSE),"NA")</f>
        <v>King</v>
      </c>
      <c r="J3024" s="110" t="str">
        <f>IFERROR(VLOOKUP(H3024,LUTs!$A$1:$C$73,3,FALSE),"NA")</f>
        <v>3South Puget Sound</v>
      </c>
      <c r="K3024" s="110" t="s">
        <v>20</v>
      </c>
      <c r="L3024" s="110" t="str">
        <f>VLOOKUP(K3024,LUTs!E$2:G$14,3,)</f>
        <v>07Pierce</v>
      </c>
      <c r="M3024" s="110" t="str">
        <f>VLOOKUP($K3024,LUTs!$E$2:$H$14,2,)</f>
        <v>South Puget Sound</v>
      </c>
      <c r="N3024" s="110" t="str">
        <f>VLOOKUP($K3024,LUTs!$E$2:$H$14,4,)</f>
        <v>02South Puget Sound</v>
      </c>
      <c r="O3024" s="110">
        <v>69.186046511627893</v>
      </c>
      <c r="P3024" s="110">
        <v>590.84883720930202</v>
      </c>
      <c r="Q3024" s="110">
        <f>SUMIFS('FW_Steelhead_by_Month_2010-2021'!Q$2:Q$3810,'FW_Steelhead_by_Month_2010-2021'!$B$2:$B$3810,'Rec_raw_catch_effort_2010-2021'!$B3024,'FW_Steelhead_by_Month_2010-2021'!$H$2:$H$3810,'Rec_raw_catch_effort_2010-2021'!$F3024,'FW_Steelhead_by_Month_2010-2021'!$M$2:$M$3810,'Rec_raw_catch_effort_2010-2021'!$K3024)</f>
        <v>55.545454545454561</v>
      </c>
      <c r="R3024" s="111">
        <f>VLOOKUP(B3024,Readme!$A$62:$C$74,3,)*Q3024</f>
        <v>1162.412909591023</v>
      </c>
      <c r="S3024" s="140" t="str">
        <f t="shared" si="231"/>
        <v>Y</v>
      </c>
      <c r="T3024" s="154">
        <f t="shared" si="232"/>
        <v>8.5399999999999974</v>
      </c>
      <c r="U3024" s="154">
        <f t="shared" si="233"/>
        <v>20.927237324879297</v>
      </c>
    </row>
    <row r="3025" spans="1:21" x14ac:dyDescent="0.35">
      <c r="A3025" s="110">
        <v>689</v>
      </c>
      <c r="B3025" s="110">
        <v>2014</v>
      </c>
      <c r="C3025" s="110" t="s">
        <v>38</v>
      </c>
      <c r="D3025" s="110" t="s">
        <v>143</v>
      </c>
      <c r="E3025" s="110" t="s">
        <v>86</v>
      </c>
      <c r="F3025" s="117">
        <v>746</v>
      </c>
      <c r="G3025" s="110" t="s">
        <v>89</v>
      </c>
      <c r="H3025" s="110" t="s">
        <v>45</v>
      </c>
      <c r="I3025" s="110" t="str">
        <f>IFERROR(VLOOKUP(H3025,LUTs!$A$1:$C$73,2,FALSE),"NA")</f>
        <v>King</v>
      </c>
      <c r="J3025" s="110" t="str">
        <f>IFERROR(VLOOKUP(H3025,LUTs!$A$1:$C$73,3,FALSE),"NA")</f>
        <v>3South Puget Sound</v>
      </c>
      <c r="K3025" s="110" t="s">
        <v>16</v>
      </c>
      <c r="L3025" s="110" t="str">
        <f>VLOOKUP(K3025,LUTs!E$2:G$14,3,)</f>
        <v>03Snohomish</v>
      </c>
      <c r="M3025" s="110" t="str">
        <f>VLOOKUP($K3025,LUTs!$E$2:$H$14,2,)</f>
        <v>North Puget Sound</v>
      </c>
      <c r="N3025" s="110" t="str">
        <f>VLOOKUP($K3025,LUTs!$E$2:$H$14,4,)</f>
        <v>01North Puget Sound</v>
      </c>
      <c r="O3025" s="110">
        <v>8.3023255813953494</v>
      </c>
      <c r="P3025" s="110">
        <v>70.9018604651163</v>
      </c>
      <c r="Q3025" s="110">
        <f>SUMIFS('FW_Steelhead_by_Month_2010-2021'!Q$2:Q$3810,'FW_Steelhead_by_Month_2010-2021'!$B$2:$B$3810,'Rec_raw_catch_effort_2010-2021'!$B3025,'FW_Steelhead_by_Month_2010-2021'!$H$2:$H$3810,'Rec_raw_catch_effort_2010-2021'!$F3025,'FW_Steelhead_by_Month_2010-2021'!$M$2:$M$3810,'Rec_raw_catch_effort_2010-2021'!$K3025)</f>
        <v>5.78571428571429</v>
      </c>
      <c r="R3025" s="111">
        <f>VLOOKUP(B3025,Readme!$A$62:$C$74,3,)*Q3025</f>
        <v>121.07901595108743</v>
      </c>
      <c r="S3025" s="140" t="str">
        <f t="shared" si="231"/>
        <v>Y</v>
      </c>
      <c r="T3025" s="154">
        <f t="shared" si="232"/>
        <v>8.5400000000000027</v>
      </c>
      <c r="U3025" s="154">
        <f t="shared" si="233"/>
        <v>20.927237324879293</v>
      </c>
    </row>
    <row r="3026" spans="1:21" x14ac:dyDescent="0.35">
      <c r="A3026" s="110">
        <v>694</v>
      </c>
      <c r="B3026" s="110">
        <v>2015</v>
      </c>
      <c r="C3026" s="110" t="s">
        <v>38</v>
      </c>
      <c r="D3026" s="110" t="s">
        <v>143</v>
      </c>
      <c r="E3026" s="110" t="s">
        <v>86</v>
      </c>
      <c r="F3026" s="117">
        <v>746</v>
      </c>
      <c r="G3026" s="110" t="s">
        <v>89</v>
      </c>
      <c r="H3026" s="110" t="s">
        <v>45</v>
      </c>
      <c r="I3026" s="110" t="str">
        <f>IFERROR(VLOOKUP(H3026,LUTs!$A$1:$C$73,2,FALSE),"NA")</f>
        <v>King</v>
      </c>
      <c r="J3026" s="110" t="str">
        <f>IFERROR(VLOOKUP(H3026,LUTs!$A$1:$C$73,3,FALSE),"NA")</f>
        <v>3South Puget Sound</v>
      </c>
      <c r="K3026" s="110" t="s">
        <v>18</v>
      </c>
      <c r="L3026" s="110" t="str">
        <f>VLOOKUP(K3026,LUTs!E$2:G$14,3,)</f>
        <v>06King</v>
      </c>
      <c r="M3026" s="110" t="str">
        <f>VLOOKUP($K3026,LUTs!$E$2:$H$14,2,)</f>
        <v>South Puget Sound</v>
      </c>
      <c r="N3026" s="110" t="str">
        <f>VLOOKUP($K3026,LUTs!$E$2:$H$14,4,)</f>
        <v>02South Puget Sound</v>
      </c>
      <c r="O3026" s="110">
        <v>48.928571428571402</v>
      </c>
      <c r="P3026" s="110">
        <v>907.625</v>
      </c>
      <c r="Q3026" s="110">
        <f>SUMIFS('FW_Steelhead_by_Month_2010-2021'!Q$2:Q$3810,'FW_Steelhead_by_Month_2010-2021'!$B$2:$B$3810,'Rec_raw_catch_effort_2010-2021'!$B3026,'FW_Steelhead_by_Month_2010-2021'!$H$2:$H$3810,'Rec_raw_catch_effort_2010-2021'!$F3026,'FW_Steelhead_by_Month_2010-2021'!$M$2:$M$3810,'Rec_raw_catch_effort_2010-2021'!$K3026)</f>
        <v>78.825274725274795</v>
      </c>
      <c r="R3026" s="111">
        <f>VLOOKUP(B3026,Readme!$A$62:$C$74,3,)*Q3026</f>
        <v>1649.595231374635</v>
      </c>
      <c r="S3026" s="140" t="str">
        <f t="shared" si="231"/>
        <v>Y</v>
      </c>
      <c r="T3026" s="154">
        <f t="shared" si="232"/>
        <v>18.550000000000011</v>
      </c>
      <c r="U3026" s="154">
        <f t="shared" si="233"/>
        <v>20.927237324879293</v>
      </c>
    </row>
    <row r="3027" spans="1:21" x14ac:dyDescent="0.35">
      <c r="A3027" s="110">
        <v>696</v>
      </c>
      <c r="B3027" s="110">
        <v>2015</v>
      </c>
      <c r="C3027" s="110" t="s">
        <v>38</v>
      </c>
      <c r="D3027" s="110" t="s">
        <v>143</v>
      </c>
      <c r="E3027" s="110" t="s">
        <v>86</v>
      </c>
      <c r="F3027" s="117">
        <v>746</v>
      </c>
      <c r="G3027" s="110" t="s">
        <v>89</v>
      </c>
      <c r="H3027" s="110" t="s">
        <v>45</v>
      </c>
      <c r="I3027" s="110" t="str">
        <f>IFERROR(VLOOKUP(H3027,LUTs!$A$1:$C$73,2,FALSE),"NA")</f>
        <v>King</v>
      </c>
      <c r="J3027" s="110" t="str">
        <f>IFERROR(VLOOKUP(H3027,LUTs!$A$1:$C$73,3,FALSE),"NA")</f>
        <v>3South Puget Sound</v>
      </c>
      <c r="K3027" s="110" t="s">
        <v>26</v>
      </c>
      <c r="L3027" s="110" t="str">
        <f>VLOOKUP(K3027,LUTs!E$2:G$14,3,)</f>
        <v>20Other</v>
      </c>
      <c r="M3027" s="110" t="str">
        <f>VLOOKUP($K3027,LUTs!$E$2:$H$14,2,)</f>
        <v>Non Puget Sound</v>
      </c>
      <c r="N3027" s="110" t="str">
        <f>VLOOKUP($K3027,LUTs!$E$2:$H$14,4,)</f>
        <v>07Non Puget Sound</v>
      </c>
      <c r="O3027" s="110">
        <v>9.78571428571429</v>
      </c>
      <c r="P3027" s="110">
        <v>181.52500000000001</v>
      </c>
      <c r="Q3027" s="110">
        <f>SUMIFS('FW_Steelhead_by_Month_2010-2021'!Q$2:Q$3810,'FW_Steelhead_by_Month_2010-2021'!$B$2:$B$3810,'Rec_raw_catch_effort_2010-2021'!$B3027,'FW_Steelhead_by_Month_2010-2021'!$H$2:$H$3810,'Rec_raw_catch_effort_2010-2021'!$F3027,'FW_Steelhead_by_Month_2010-2021'!$M$2:$M$3810,'Rec_raw_catch_effort_2010-2021'!$K3027)</f>
        <v>14.27857142857143</v>
      </c>
      <c r="R3027" s="111">
        <f>VLOOKUP(B3027,Readme!$A$62:$C$74,3,)*Q3027</f>
        <v>298.81105294595511</v>
      </c>
      <c r="S3027" s="140" t="str">
        <f t="shared" si="231"/>
        <v>Y</v>
      </c>
      <c r="T3027" s="154">
        <f t="shared" si="232"/>
        <v>18.549999999999994</v>
      </c>
      <c r="U3027" s="154">
        <f t="shared" si="233"/>
        <v>20.927237324879297</v>
      </c>
    </row>
    <row r="3028" spans="1:21" x14ac:dyDescent="0.35">
      <c r="A3028" s="110">
        <v>695</v>
      </c>
      <c r="B3028" s="110">
        <v>2015</v>
      </c>
      <c r="C3028" s="110" t="s">
        <v>38</v>
      </c>
      <c r="D3028" s="110" t="s">
        <v>143</v>
      </c>
      <c r="E3028" s="110" t="s">
        <v>86</v>
      </c>
      <c r="F3028" s="117">
        <v>746</v>
      </c>
      <c r="G3028" s="110" t="s">
        <v>89</v>
      </c>
      <c r="H3028" s="110" t="s">
        <v>45</v>
      </c>
      <c r="I3028" s="110" t="str">
        <f>IFERROR(VLOOKUP(H3028,LUTs!$A$1:$C$73,2,FALSE),"NA")</f>
        <v>King</v>
      </c>
      <c r="J3028" s="110" t="str">
        <f>IFERROR(VLOOKUP(H3028,LUTs!$A$1:$C$73,3,FALSE),"NA")</f>
        <v>3South Puget Sound</v>
      </c>
      <c r="K3028" s="110" t="s">
        <v>20</v>
      </c>
      <c r="L3028" s="110" t="str">
        <f>VLOOKUP(K3028,LUTs!E$2:G$14,3,)</f>
        <v>07Pierce</v>
      </c>
      <c r="M3028" s="110" t="str">
        <f>VLOOKUP($K3028,LUTs!$E$2:$H$14,2,)</f>
        <v>South Puget Sound</v>
      </c>
      <c r="N3028" s="110" t="str">
        <f>VLOOKUP($K3028,LUTs!$E$2:$H$14,4,)</f>
        <v>02South Puget Sound</v>
      </c>
      <c r="O3028" s="110">
        <v>68.5</v>
      </c>
      <c r="P3028" s="110">
        <v>1270.675</v>
      </c>
      <c r="Q3028" s="110">
        <f>SUMIFS('FW_Steelhead_by_Month_2010-2021'!Q$2:Q$3810,'FW_Steelhead_by_Month_2010-2021'!$B$2:$B$3810,'Rec_raw_catch_effort_2010-2021'!$B3028,'FW_Steelhead_by_Month_2010-2021'!$H$2:$H$3810,'Rec_raw_catch_effort_2010-2021'!$F3028,'FW_Steelhead_by_Month_2010-2021'!$M$2:$M$3810,'Rec_raw_catch_effort_2010-2021'!$K3028)</f>
        <v>33.973076923076917</v>
      </c>
      <c r="R3028" s="111">
        <f>VLOOKUP(B3028,Readme!$A$62:$C$74,3,)*Q3028</f>
        <v>710.96264342561062</v>
      </c>
      <c r="S3028" s="140" t="str">
        <f t="shared" si="231"/>
        <v>Y</v>
      </c>
      <c r="T3028" s="154">
        <f t="shared" si="232"/>
        <v>18.55</v>
      </c>
      <c r="U3028" s="154">
        <f t="shared" si="233"/>
        <v>20.927237324879293</v>
      </c>
    </row>
    <row r="3029" spans="1:21" x14ac:dyDescent="0.35">
      <c r="A3029" s="110">
        <v>693</v>
      </c>
      <c r="B3029" s="110">
        <v>2015</v>
      </c>
      <c r="C3029" s="110" t="s">
        <v>38</v>
      </c>
      <c r="D3029" s="110" t="s">
        <v>143</v>
      </c>
      <c r="E3029" s="110" t="s">
        <v>86</v>
      </c>
      <c r="F3029" s="117">
        <v>746</v>
      </c>
      <c r="G3029" s="110" t="s">
        <v>89</v>
      </c>
      <c r="H3029" s="110" t="s">
        <v>45</v>
      </c>
      <c r="I3029" s="110" t="str">
        <f>IFERROR(VLOOKUP(H3029,LUTs!$A$1:$C$73,2,FALSE),"NA")</f>
        <v>King</v>
      </c>
      <c r="J3029" s="110" t="str">
        <f>IFERROR(VLOOKUP(H3029,LUTs!$A$1:$C$73,3,FALSE),"NA")</f>
        <v>3South Puget Sound</v>
      </c>
      <c r="K3029" s="110" t="s">
        <v>13</v>
      </c>
      <c r="L3029" s="110" t="str">
        <f>VLOOKUP(K3029,LUTs!E$2:G$14,3,)</f>
        <v>01Whatcom</v>
      </c>
      <c r="M3029" s="110" t="str">
        <f>VLOOKUP($K3029,LUTs!$E$2:$H$14,2,)</f>
        <v>North Puget Sound</v>
      </c>
      <c r="N3029" s="110" t="str">
        <f>VLOOKUP($K3029,LUTs!$E$2:$H$14,4,)</f>
        <v>01North Puget Sound</v>
      </c>
      <c r="O3029" s="110">
        <v>9.78571428571429</v>
      </c>
      <c r="P3029" s="110">
        <v>181.52500000000001</v>
      </c>
      <c r="Q3029" s="110">
        <f>SUMIFS('FW_Steelhead_by_Month_2010-2021'!Q$2:Q$3810,'FW_Steelhead_by_Month_2010-2021'!$B$2:$B$3810,'Rec_raw_catch_effort_2010-2021'!$B3029,'FW_Steelhead_by_Month_2010-2021'!$H$2:$H$3810,'Rec_raw_catch_effort_2010-2021'!$F3029,'FW_Steelhead_by_Month_2010-2021'!$M$2:$M$3810,'Rec_raw_catch_effort_2010-2021'!$K3029)</f>
        <v>3</v>
      </c>
      <c r="R3029" s="111">
        <f>VLOOKUP(B3029,Readme!$A$62:$C$74,3,)*Q3029</f>
        <v>62.781711974637879</v>
      </c>
      <c r="S3029" s="140" t="str">
        <f t="shared" si="231"/>
        <v>Y</v>
      </c>
      <c r="T3029" s="154">
        <f t="shared" si="232"/>
        <v>18.549999999999994</v>
      </c>
      <c r="U3029" s="154">
        <f t="shared" si="233"/>
        <v>20.927237324879293</v>
      </c>
    </row>
    <row r="3030" spans="1:21" x14ac:dyDescent="0.35">
      <c r="A3030" s="110">
        <v>697</v>
      </c>
      <c r="B3030" s="110">
        <v>2016</v>
      </c>
      <c r="C3030" s="110" t="s">
        <v>38</v>
      </c>
      <c r="D3030" s="110" t="s">
        <v>143</v>
      </c>
      <c r="E3030" s="110" t="s">
        <v>86</v>
      </c>
      <c r="F3030" s="117">
        <v>746</v>
      </c>
      <c r="G3030" s="110" t="s">
        <v>89</v>
      </c>
      <c r="H3030" s="110" t="s">
        <v>45</v>
      </c>
      <c r="I3030" s="110" t="str">
        <f>IFERROR(VLOOKUP(H3030,LUTs!$A$1:$C$73,2,FALSE),"NA")</f>
        <v>King</v>
      </c>
      <c r="J3030" s="110" t="str">
        <f>IFERROR(VLOOKUP(H3030,LUTs!$A$1:$C$73,3,FALSE),"NA")</f>
        <v>3South Puget Sound</v>
      </c>
      <c r="K3030" s="110" t="s">
        <v>18</v>
      </c>
      <c r="L3030" s="110" t="str">
        <f>VLOOKUP(K3030,LUTs!E$2:G$14,3,)</f>
        <v>06King</v>
      </c>
      <c r="M3030" s="110" t="str">
        <f>VLOOKUP($K3030,LUTs!$E$2:$H$14,2,)</f>
        <v>South Puget Sound</v>
      </c>
      <c r="N3030" s="110" t="str">
        <f>VLOOKUP($K3030,LUTs!$E$2:$H$14,4,)</f>
        <v>02South Puget Sound</v>
      </c>
      <c r="O3030" s="110">
        <v>96.545454545454604</v>
      </c>
      <c r="P3030" s="110">
        <v>824.49818181818205</v>
      </c>
      <c r="Q3030" s="110">
        <f>SUMIFS('FW_Steelhead_by_Month_2010-2021'!Q$2:Q$3810,'FW_Steelhead_by_Month_2010-2021'!$B$2:$B$3810,'Rec_raw_catch_effort_2010-2021'!$B3030,'FW_Steelhead_by_Month_2010-2021'!$H$2:$H$3810,'Rec_raw_catch_effort_2010-2021'!$F3030,'FW_Steelhead_by_Month_2010-2021'!$M$2:$M$3810,'Rec_raw_catch_effort_2010-2021'!$K3030)</f>
        <v>128.41071428571419</v>
      </c>
      <c r="R3030" s="111">
        <f>VLOOKUP(B3030,Readme!$A$62:$C$74,3,)*Q3030</f>
        <v>2687.2814929144088</v>
      </c>
      <c r="S3030" s="140" t="str">
        <f t="shared" si="231"/>
        <v>Y</v>
      </c>
      <c r="T3030" s="154">
        <f t="shared" si="232"/>
        <v>8.5399999999999974</v>
      </c>
      <c r="U3030" s="154">
        <f t="shared" si="233"/>
        <v>20.927237324879293</v>
      </c>
    </row>
    <row r="3031" spans="1:21" x14ac:dyDescent="0.35">
      <c r="A3031" s="110">
        <v>698</v>
      </c>
      <c r="B3031" s="110">
        <v>2016</v>
      </c>
      <c r="C3031" s="110" t="s">
        <v>38</v>
      </c>
      <c r="D3031" s="110" t="s">
        <v>143</v>
      </c>
      <c r="E3031" s="110" t="s">
        <v>86</v>
      </c>
      <c r="F3031" s="117">
        <v>746</v>
      </c>
      <c r="G3031" s="110" t="s">
        <v>89</v>
      </c>
      <c r="H3031" s="110" t="s">
        <v>45</v>
      </c>
      <c r="I3031" s="110" t="str">
        <f>IFERROR(VLOOKUP(H3031,LUTs!$A$1:$C$73,2,FALSE),"NA")</f>
        <v>King</v>
      </c>
      <c r="J3031" s="110" t="str">
        <f>IFERROR(VLOOKUP(H3031,LUTs!$A$1:$C$73,3,FALSE),"NA")</f>
        <v>3South Puget Sound</v>
      </c>
      <c r="K3031" s="110" t="s">
        <v>20</v>
      </c>
      <c r="L3031" s="110" t="str">
        <f>VLOOKUP(K3031,LUTs!E$2:G$14,3,)</f>
        <v>07Pierce</v>
      </c>
      <c r="M3031" s="110" t="str">
        <f>VLOOKUP($K3031,LUTs!$E$2:$H$14,2,)</f>
        <v>South Puget Sound</v>
      </c>
      <c r="N3031" s="110" t="str">
        <f>VLOOKUP($K3031,LUTs!$E$2:$H$14,4,)</f>
        <v>02South Puget Sound</v>
      </c>
      <c r="O3031" s="110">
        <v>21.454545454545499</v>
      </c>
      <c r="P3031" s="110">
        <v>183.221818181819</v>
      </c>
      <c r="Q3031" s="110">
        <f>SUMIFS('FW_Steelhead_by_Month_2010-2021'!Q$2:Q$3810,'FW_Steelhead_by_Month_2010-2021'!$B$2:$B$3810,'Rec_raw_catch_effort_2010-2021'!$B3031,'FW_Steelhead_by_Month_2010-2021'!$H$2:$H$3810,'Rec_raw_catch_effort_2010-2021'!$F3031,'FW_Steelhead_by_Month_2010-2021'!$M$2:$M$3810,'Rec_raw_catch_effort_2010-2021'!$K3031)</f>
        <v>38.589285714285801</v>
      </c>
      <c r="R3031" s="111">
        <f>VLOOKUP(B3031,Readme!$A$62:$C$74,3,)*Q3031</f>
        <v>807.56714034043307</v>
      </c>
      <c r="S3031" s="140" t="str">
        <f t="shared" si="231"/>
        <v>Y</v>
      </c>
      <c r="T3031" s="154">
        <f t="shared" si="232"/>
        <v>8.5400000000000205</v>
      </c>
      <c r="U3031" s="154">
        <f t="shared" si="233"/>
        <v>20.927237324879293</v>
      </c>
    </row>
    <row r="3032" spans="1:21" x14ac:dyDescent="0.35">
      <c r="A3032" s="110">
        <v>699</v>
      </c>
      <c r="B3032" s="110">
        <v>2017</v>
      </c>
      <c r="C3032" s="110" t="s">
        <v>38</v>
      </c>
      <c r="D3032" s="110" t="s">
        <v>143</v>
      </c>
      <c r="E3032" s="110" t="s">
        <v>86</v>
      </c>
      <c r="F3032" s="117">
        <v>746</v>
      </c>
      <c r="G3032" s="110" t="s">
        <v>89</v>
      </c>
      <c r="H3032" s="110" t="s">
        <v>45</v>
      </c>
      <c r="I3032" s="110" t="str">
        <f>IFERROR(VLOOKUP(H3032,LUTs!$A$1:$C$73,2,FALSE),"NA")</f>
        <v>King</v>
      </c>
      <c r="J3032" s="110" t="str">
        <f>IFERROR(VLOOKUP(H3032,LUTs!$A$1:$C$73,3,FALSE),"NA")</f>
        <v>3South Puget Sound</v>
      </c>
      <c r="K3032" s="110" t="s">
        <v>18</v>
      </c>
      <c r="L3032" s="110" t="str">
        <f>VLOOKUP(K3032,LUTs!E$2:G$14,3,)</f>
        <v>06King</v>
      </c>
      <c r="M3032" s="110" t="str">
        <f>VLOOKUP($K3032,LUTs!$E$2:$H$14,2,)</f>
        <v>South Puget Sound</v>
      </c>
      <c r="N3032" s="110" t="str">
        <f>VLOOKUP($K3032,LUTs!$E$2:$H$14,4,)</f>
        <v>02South Puget Sound</v>
      </c>
      <c r="O3032" s="110">
        <v>423</v>
      </c>
      <c r="P3032" s="110">
        <v>7846.65</v>
      </c>
      <c r="Q3032" s="110">
        <f>SUMIFS('FW_Steelhead_by_Month_2010-2021'!Q$2:Q$3810,'FW_Steelhead_by_Month_2010-2021'!$B$2:$B$3810,'Rec_raw_catch_effort_2010-2021'!$B3032,'FW_Steelhead_by_Month_2010-2021'!$H$2:$H$3810,'Rec_raw_catch_effort_2010-2021'!$F3032,'FW_Steelhead_by_Month_2010-2021'!$M$2:$M$3810,'Rec_raw_catch_effort_2010-2021'!$K3032)</f>
        <v>227.53434343434358</v>
      </c>
      <c r="R3032" s="111">
        <f>VLOOKUP(B3032,Readme!$A$62:$C$74,3,)*Q3032</f>
        <v>4761.6652046110985</v>
      </c>
      <c r="S3032" s="140" t="str">
        <f t="shared" si="231"/>
        <v>Y</v>
      </c>
      <c r="T3032" s="154">
        <f t="shared" si="232"/>
        <v>18.55</v>
      </c>
      <c r="U3032" s="154">
        <f t="shared" si="233"/>
        <v>20.927237324879293</v>
      </c>
    </row>
    <row r="3033" spans="1:21" x14ac:dyDescent="0.35">
      <c r="A3033" s="110">
        <v>700</v>
      </c>
      <c r="B3033" s="110">
        <v>2017</v>
      </c>
      <c r="C3033" s="110" t="s">
        <v>38</v>
      </c>
      <c r="D3033" s="110" t="s">
        <v>143</v>
      </c>
      <c r="E3033" s="110" t="s">
        <v>86</v>
      </c>
      <c r="F3033" s="117">
        <v>746</v>
      </c>
      <c r="G3033" s="110" t="s">
        <v>89</v>
      </c>
      <c r="H3033" s="110" t="s">
        <v>45</v>
      </c>
      <c r="I3033" s="110" t="str">
        <f>IFERROR(VLOOKUP(H3033,LUTs!$A$1:$C$73,2,FALSE),"NA")</f>
        <v>King</v>
      </c>
      <c r="J3033" s="110" t="str">
        <f>IFERROR(VLOOKUP(H3033,LUTs!$A$1:$C$73,3,FALSE),"NA")</f>
        <v>3South Puget Sound</v>
      </c>
      <c r="K3033" s="110" t="s">
        <v>20</v>
      </c>
      <c r="L3033" s="110" t="str">
        <f>VLOOKUP(K3033,LUTs!E$2:G$14,3,)</f>
        <v>07Pierce</v>
      </c>
      <c r="M3033" s="110" t="str">
        <f>VLOOKUP($K3033,LUTs!$E$2:$H$14,2,)</f>
        <v>South Puget Sound</v>
      </c>
      <c r="N3033" s="110" t="str">
        <f>VLOOKUP($K3033,LUTs!$E$2:$H$14,4,)</f>
        <v>02South Puget Sound</v>
      </c>
      <c r="O3033" s="110">
        <v>270</v>
      </c>
      <c r="P3033" s="110">
        <v>5008.5</v>
      </c>
      <c r="Q3033" s="110">
        <f>SUMIFS('FW_Steelhead_by_Month_2010-2021'!Q$2:Q$3810,'FW_Steelhead_by_Month_2010-2021'!$B$2:$B$3810,'Rec_raw_catch_effort_2010-2021'!$B3033,'FW_Steelhead_by_Month_2010-2021'!$H$2:$H$3810,'Rec_raw_catch_effort_2010-2021'!$F3033,'FW_Steelhead_by_Month_2010-2021'!$M$2:$M$3810,'Rec_raw_catch_effort_2010-2021'!$K3033)</f>
        <v>124.61565656565664</v>
      </c>
      <c r="R3033" s="111">
        <f>VLOOKUP(B3033,Readme!$A$62:$C$74,3,)*Q3033</f>
        <v>2607.861419345149</v>
      </c>
      <c r="S3033" s="140" t="str">
        <f t="shared" si="231"/>
        <v>Y</v>
      </c>
      <c r="T3033" s="154">
        <f t="shared" si="232"/>
        <v>18.55</v>
      </c>
      <c r="U3033" s="154">
        <f t="shared" si="233"/>
        <v>20.927237324879293</v>
      </c>
    </row>
    <row r="3034" spans="1:21" x14ac:dyDescent="0.35">
      <c r="A3034" s="110">
        <v>701</v>
      </c>
      <c r="B3034" s="110">
        <v>2017</v>
      </c>
      <c r="C3034" s="110" t="s">
        <v>38</v>
      </c>
      <c r="D3034" s="110" t="s">
        <v>143</v>
      </c>
      <c r="E3034" s="110" t="s">
        <v>86</v>
      </c>
      <c r="F3034" s="117">
        <v>746</v>
      </c>
      <c r="G3034" s="110" t="s">
        <v>89</v>
      </c>
      <c r="H3034" s="110" t="s">
        <v>45</v>
      </c>
      <c r="I3034" s="110" t="str">
        <f>IFERROR(VLOOKUP(H3034,LUTs!$A$1:$C$73,2,FALSE),"NA")</f>
        <v>King</v>
      </c>
      <c r="J3034" s="110" t="str">
        <f>IFERROR(VLOOKUP(H3034,LUTs!$A$1:$C$73,3,FALSE),"NA")</f>
        <v>3South Puget Sound</v>
      </c>
      <c r="K3034" s="110" t="s">
        <v>21</v>
      </c>
      <c r="L3034" s="110" t="str">
        <f>VLOOKUP(K3034,LUTs!E$2:G$14,3,)</f>
        <v>08Thurston</v>
      </c>
      <c r="M3034" s="110" t="str">
        <f>VLOOKUP($K3034,LUTs!$E$2:$H$14,2,)</f>
        <v>South Puget Sound</v>
      </c>
      <c r="N3034" s="110" t="str">
        <f>VLOOKUP($K3034,LUTs!$E$2:$H$14,4,)</f>
        <v>02South Puget Sound</v>
      </c>
      <c r="O3034" s="110">
        <v>9</v>
      </c>
      <c r="P3034" s="110">
        <v>166.95</v>
      </c>
      <c r="Q3034" s="110">
        <f>SUMIFS('FW_Steelhead_by_Month_2010-2021'!Q$2:Q$3810,'FW_Steelhead_by_Month_2010-2021'!$B$2:$B$3810,'Rec_raw_catch_effort_2010-2021'!$B3034,'FW_Steelhead_by_Month_2010-2021'!$H$2:$H$3810,'Rec_raw_catch_effort_2010-2021'!$F3034,'FW_Steelhead_by_Month_2010-2021'!$M$2:$M$3810,'Rec_raw_catch_effort_2010-2021'!$K3034)</f>
        <v>3.85</v>
      </c>
      <c r="R3034" s="111">
        <f>VLOOKUP(B3034,Readme!$A$62:$C$74,3,)*Q3034</f>
        <v>80.569863700785277</v>
      </c>
      <c r="S3034" s="140" t="str">
        <f t="shared" si="231"/>
        <v>Y</v>
      </c>
      <c r="T3034" s="154">
        <f t="shared" si="232"/>
        <v>18.549999999999997</v>
      </c>
      <c r="U3034" s="154">
        <f t="shared" si="233"/>
        <v>20.927237324879293</v>
      </c>
    </row>
    <row r="3035" spans="1:21" x14ac:dyDescent="0.35">
      <c r="A3035" s="110">
        <v>703</v>
      </c>
      <c r="B3035" s="110">
        <v>2018</v>
      </c>
      <c r="C3035" s="110" t="s">
        <v>38</v>
      </c>
      <c r="D3035" s="110" t="s">
        <v>143</v>
      </c>
      <c r="E3035" s="110" t="s">
        <v>86</v>
      </c>
      <c r="F3035" s="117">
        <v>746</v>
      </c>
      <c r="G3035" s="110" t="s">
        <v>89</v>
      </c>
      <c r="H3035" s="110" t="s">
        <v>45</v>
      </c>
      <c r="I3035" s="110" t="str">
        <f>IFERROR(VLOOKUP(H3035,LUTs!$A$1:$C$73,2,FALSE),"NA")</f>
        <v>King</v>
      </c>
      <c r="J3035" s="110" t="str">
        <f>IFERROR(VLOOKUP(H3035,LUTs!$A$1:$C$73,3,FALSE),"NA")</f>
        <v>3South Puget Sound</v>
      </c>
      <c r="K3035" s="110" t="s">
        <v>20</v>
      </c>
      <c r="L3035" s="110" t="str">
        <f>VLOOKUP(K3035,LUTs!E$2:G$14,3,)</f>
        <v>07Pierce</v>
      </c>
      <c r="M3035" s="110" t="str">
        <f>VLOOKUP($K3035,LUTs!$E$2:$H$14,2,)</f>
        <v>South Puget Sound</v>
      </c>
      <c r="N3035" s="110" t="str">
        <f>VLOOKUP($K3035,LUTs!$E$2:$H$14,4,)</f>
        <v>02South Puget Sound</v>
      </c>
      <c r="O3035" s="110">
        <v>22.6666666666667</v>
      </c>
      <c r="P3035" s="110">
        <v>193.57333333333401</v>
      </c>
      <c r="Q3035" s="110">
        <f>SUMIFS('FW_Steelhead_by_Month_2010-2021'!Q$2:Q$3810,'FW_Steelhead_by_Month_2010-2021'!$B$2:$B$3810,'Rec_raw_catch_effort_2010-2021'!$B3035,'FW_Steelhead_by_Month_2010-2021'!$H$2:$H$3810,'Rec_raw_catch_effort_2010-2021'!$F3035,'FW_Steelhead_by_Month_2010-2021'!$M$2:$M$3810,'Rec_raw_catch_effort_2010-2021'!$K3035)</f>
        <v>4</v>
      </c>
      <c r="R3035" s="111">
        <f>VLOOKUP(B3035,Readme!$A$62:$C$74,3,)*Q3035</f>
        <v>83.708949299517172</v>
      </c>
      <c r="S3035" s="140" t="str">
        <f t="shared" si="231"/>
        <v>Y</v>
      </c>
      <c r="T3035" s="154">
        <f t="shared" si="232"/>
        <v>8.5400000000000169</v>
      </c>
      <c r="U3035" s="154">
        <f t="shared" si="233"/>
        <v>20.927237324879293</v>
      </c>
    </row>
    <row r="3036" spans="1:21" x14ac:dyDescent="0.35">
      <c r="A3036" s="110">
        <v>702</v>
      </c>
      <c r="B3036" s="110">
        <v>2018</v>
      </c>
      <c r="C3036" s="110" t="s">
        <v>38</v>
      </c>
      <c r="D3036" s="110" t="s">
        <v>143</v>
      </c>
      <c r="E3036" s="110" t="s">
        <v>86</v>
      </c>
      <c r="F3036" s="117">
        <v>746</v>
      </c>
      <c r="G3036" s="110" t="s">
        <v>89</v>
      </c>
      <c r="H3036" s="110" t="s">
        <v>45</v>
      </c>
      <c r="I3036" s="110" t="str">
        <f>IFERROR(VLOOKUP(H3036,LUTs!$A$1:$C$73,2,FALSE),"NA")</f>
        <v>King</v>
      </c>
      <c r="J3036" s="110" t="str">
        <f>IFERROR(VLOOKUP(H3036,LUTs!$A$1:$C$73,3,FALSE),"NA")</f>
        <v>3South Puget Sound</v>
      </c>
      <c r="K3036" s="110" t="s">
        <v>16</v>
      </c>
      <c r="L3036" s="110" t="str">
        <f>VLOOKUP(K3036,LUTs!E$2:G$14,3,)</f>
        <v>03Snohomish</v>
      </c>
      <c r="M3036" s="110" t="str">
        <f>VLOOKUP($K3036,LUTs!$E$2:$H$14,2,)</f>
        <v>North Puget Sound</v>
      </c>
      <c r="N3036" s="110" t="str">
        <f>VLOOKUP($K3036,LUTs!$E$2:$H$14,4,)</f>
        <v>01North Puget Sound</v>
      </c>
      <c r="O3036" s="110">
        <v>11.3333333333333</v>
      </c>
      <c r="P3036" s="110">
        <v>96.786666666666406</v>
      </c>
      <c r="Q3036" s="110">
        <f>SUMIFS('FW_Steelhead_by_Month_2010-2021'!Q$2:Q$3810,'FW_Steelhead_by_Month_2010-2021'!$B$2:$B$3810,'Rec_raw_catch_effort_2010-2021'!$B3036,'FW_Steelhead_by_Month_2010-2021'!$H$2:$H$3810,'Rec_raw_catch_effort_2010-2021'!$F3036,'FW_Steelhead_by_Month_2010-2021'!$M$2:$M$3810,'Rec_raw_catch_effort_2010-2021'!$K3036)</f>
        <v>1</v>
      </c>
      <c r="R3036" s="111">
        <f>VLOOKUP(B3036,Readme!$A$62:$C$74,3,)*Q3036</f>
        <v>20.927237324879293</v>
      </c>
      <c r="S3036" s="140" t="str">
        <f t="shared" si="231"/>
        <v>Y</v>
      </c>
      <c r="T3036" s="154">
        <f t="shared" si="232"/>
        <v>8.5400000000000027</v>
      </c>
      <c r="U3036" s="154">
        <f t="shared" si="233"/>
        <v>20.927237324879293</v>
      </c>
    </row>
    <row r="3037" spans="1:21" x14ac:dyDescent="0.35">
      <c r="A3037" s="110">
        <v>705</v>
      </c>
      <c r="B3037" s="110">
        <v>2019</v>
      </c>
      <c r="C3037" s="110" t="s">
        <v>38</v>
      </c>
      <c r="D3037" s="110" t="s">
        <v>143</v>
      </c>
      <c r="E3037" s="110" t="s">
        <v>86</v>
      </c>
      <c r="F3037" s="117">
        <v>746</v>
      </c>
      <c r="G3037" s="110" t="s">
        <v>89</v>
      </c>
      <c r="H3037" s="110" t="s">
        <v>45</v>
      </c>
      <c r="I3037" s="110" t="str">
        <f>IFERROR(VLOOKUP(H3037,LUTs!$A$1:$C$73,2,FALSE),"NA")</f>
        <v>King</v>
      </c>
      <c r="J3037" s="110" t="str">
        <f>IFERROR(VLOOKUP(H3037,LUTs!$A$1:$C$73,3,FALSE),"NA")</f>
        <v>3South Puget Sound</v>
      </c>
      <c r="K3037" s="110" t="s">
        <v>18</v>
      </c>
      <c r="L3037" s="110" t="str">
        <f>VLOOKUP(K3037,LUTs!E$2:G$14,3,)</f>
        <v>06King</v>
      </c>
      <c r="M3037" s="110" t="str">
        <f>VLOOKUP($K3037,LUTs!$E$2:$H$14,2,)</f>
        <v>South Puget Sound</v>
      </c>
      <c r="N3037" s="110" t="str">
        <f>VLOOKUP($K3037,LUTs!$E$2:$H$14,4,)</f>
        <v>02South Puget Sound</v>
      </c>
      <c r="O3037" s="110">
        <v>474.920634920635</v>
      </c>
      <c r="P3037" s="110">
        <v>8809.7777777777792</v>
      </c>
      <c r="Q3037" s="110">
        <f>SUMIFS('FW_Steelhead_by_Month_2010-2021'!Q$2:Q$3810,'FW_Steelhead_by_Month_2010-2021'!$B$2:$B$3810,'Rec_raw_catch_effort_2010-2021'!$B3037,'FW_Steelhead_by_Month_2010-2021'!$H$2:$H$3810,'Rec_raw_catch_effort_2010-2021'!$F3037,'FW_Steelhead_by_Month_2010-2021'!$M$2:$M$3810,'Rec_raw_catch_effort_2010-2021'!$K3037)</f>
        <v>232.5</v>
      </c>
      <c r="R3037" s="111">
        <f>VLOOKUP(B3037,Readme!$A$62:$C$74,3,)*Q3037</f>
        <v>4865.582678034436</v>
      </c>
      <c r="S3037" s="140" t="str">
        <f t="shared" si="231"/>
        <v>Y</v>
      </c>
      <c r="T3037" s="154">
        <f t="shared" si="232"/>
        <v>18.55</v>
      </c>
      <c r="U3037" s="154">
        <f t="shared" si="233"/>
        <v>20.927237324879293</v>
      </c>
    </row>
    <row r="3038" spans="1:21" x14ac:dyDescent="0.35">
      <c r="A3038" s="110">
        <v>706</v>
      </c>
      <c r="B3038" s="110">
        <v>2019</v>
      </c>
      <c r="C3038" s="110" t="s">
        <v>38</v>
      </c>
      <c r="D3038" s="110" t="s">
        <v>143</v>
      </c>
      <c r="E3038" s="110" t="s">
        <v>86</v>
      </c>
      <c r="F3038" s="117">
        <v>746</v>
      </c>
      <c r="G3038" s="110" t="s">
        <v>89</v>
      </c>
      <c r="H3038" s="110" t="s">
        <v>45</v>
      </c>
      <c r="I3038" s="110" t="str">
        <f>IFERROR(VLOOKUP(H3038,LUTs!$A$1:$C$73,2,FALSE),"NA")</f>
        <v>King</v>
      </c>
      <c r="J3038" s="110" t="str">
        <f>IFERROR(VLOOKUP(H3038,LUTs!$A$1:$C$73,3,FALSE),"NA")</f>
        <v>3South Puget Sound</v>
      </c>
      <c r="K3038" s="110" t="s">
        <v>20</v>
      </c>
      <c r="L3038" s="110" t="str">
        <f>VLOOKUP(K3038,LUTs!E$2:G$14,3,)</f>
        <v>07Pierce</v>
      </c>
      <c r="M3038" s="110" t="str">
        <f>VLOOKUP($K3038,LUTs!$E$2:$H$14,2,)</f>
        <v>South Puget Sound</v>
      </c>
      <c r="N3038" s="110" t="str">
        <f>VLOOKUP($K3038,LUTs!$E$2:$H$14,4,)</f>
        <v>02South Puget Sound</v>
      </c>
      <c r="O3038" s="110">
        <v>205.079365079365</v>
      </c>
      <c r="P3038" s="110">
        <v>3804.2222222222199</v>
      </c>
      <c r="Q3038" s="110">
        <f>SUMIFS('FW_Steelhead_by_Month_2010-2021'!Q$2:Q$3810,'FW_Steelhead_by_Month_2010-2021'!$B$2:$B$3810,'Rec_raw_catch_effort_2010-2021'!$B3038,'FW_Steelhead_by_Month_2010-2021'!$H$2:$H$3810,'Rec_raw_catch_effort_2010-2021'!$F3038,'FW_Steelhead_by_Month_2010-2021'!$M$2:$M$3810,'Rec_raw_catch_effort_2010-2021'!$K3038)</f>
        <v>107.5</v>
      </c>
      <c r="R3038" s="111">
        <f>VLOOKUP(B3038,Readme!$A$62:$C$74,3,)*Q3038</f>
        <v>2249.6780124245238</v>
      </c>
      <c r="S3038" s="140" t="str">
        <f t="shared" si="231"/>
        <v>Y</v>
      </c>
      <c r="T3038" s="154">
        <f t="shared" si="232"/>
        <v>18.549999999999997</v>
      </c>
      <c r="U3038" s="154">
        <f t="shared" si="233"/>
        <v>20.92723732487929</v>
      </c>
    </row>
    <row r="3039" spans="1:21" x14ac:dyDescent="0.35">
      <c r="A3039" s="110">
        <v>704</v>
      </c>
      <c r="B3039" s="110">
        <v>2019</v>
      </c>
      <c r="C3039" s="110" t="s">
        <v>38</v>
      </c>
      <c r="D3039" s="110" t="s">
        <v>143</v>
      </c>
      <c r="E3039" s="110" t="s">
        <v>86</v>
      </c>
      <c r="F3039" s="117">
        <v>746</v>
      </c>
      <c r="G3039" s="110" t="s">
        <v>89</v>
      </c>
      <c r="H3039" s="110" t="s">
        <v>45</v>
      </c>
      <c r="I3039" s="110" t="str">
        <f>IFERROR(VLOOKUP(H3039,LUTs!$A$1:$C$73,2,FALSE),"NA")</f>
        <v>King</v>
      </c>
      <c r="J3039" s="110" t="str">
        <f>IFERROR(VLOOKUP(H3039,LUTs!$A$1:$C$73,3,FALSE),"NA")</f>
        <v>3South Puget Sound</v>
      </c>
      <c r="K3039" s="110" t="s">
        <v>16</v>
      </c>
      <c r="L3039" s="110" t="str">
        <f>VLOOKUP(K3039,LUTs!E$2:G$14,3,)</f>
        <v>03Snohomish</v>
      </c>
      <c r="M3039" s="110" t="str">
        <f>VLOOKUP($K3039,LUTs!$E$2:$H$14,2,)</f>
        <v>North Puget Sound</v>
      </c>
      <c r="N3039" s="110" t="str">
        <f>VLOOKUP($K3039,LUTs!$E$2:$H$14,4,)</f>
        <v>01North Puget Sound</v>
      </c>
      <c r="O3039" s="110">
        <v>0</v>
      </c>
      <c r="P3039" s="110">
        <v>0</v>
      </c>
      <c r="Q3039" s="110">
        <f>SUMIFS('FW_Steelhead_by_Month_2010-2021'!Q$2:Q$3810,'FW_Steelhead_by_Month_2010-2021'!$B$2:$B$3810,'Rec_raw_catch_effort_2010-2021'!$B3039,'FW_Steelhead_by_Month_2010-2021'!$H$2:$H$3810,'Rec_raw_catch_effort_2010-2021'!$F3039,'FW_Steelhead_by_Month_2010-2021'!$M$2:$M$3810,'Rec_raw_catch_effort_2010-2021'!$K3039)</f>
        <v>0</v>
      </c>
      <c r="R3039" s="111">
        <f>VLOOKUP(B3039,Readme!$A$62:$C$74,3,)*Q3039</f>
        <v>0</v>
      </c>
      <c r="S3039" s="140" t="str">
        <f t="shared" si="231"/>
        <v>Y</v>
      </c>
      <c r="T3039" s="154" t="str">
        <f t="shared" si="232"/>
        <v>NA</v>
      </c>
      <c r="U3039" s="154" t="str">
        <f t="shared" si="233"/>
        <v>NA</v>
      </c>
    </row>
    <row r="3040" spans="1:21" x14ac:dyDescent="0.35">
      <c r="A3040" s="110">
        <v>707</v>
      </c>
      <c r="B3040" s="110">
        <v>2020</v>
      </c>
      <c r="C3040" s="110" t="s">
        <v>38</v>
      </c>
      <c r="D3040" s="110" t="s">
        <v>143</v>
      </c>
      <c r="E3040" s="110" t="s">
        <v>86</v>
      </c>
      <c r="F3040" s="117">
        <v>746</v>
      </c>
      <c r="G3040" s="110" t="s">
        <v>89</v>
      </c>
      <c r="H3040" s="110" t="s">
        <v>45</v>
      </c>
      <c r="I3040" s="110" t="str">
        <f>IFERROR(VLOOKUP(H3040,LUTs!$A$1:$C$73,2,FALSE),"NA")</f>
        <v>King</v>
      </c>
      <c r="J3040" s="110" t="str">
        <f>IFERROR(VLOOKUP(H3040,LUTs!$A$1:$C$73,3,FALSE),"NA")</f>
        <v>3South Puget Sound</v>
      </c>
      <c r="K3040" s="110" t="s">
        <v>18</v>
      </c>
      <c r="L3040" s="110" t="str">
        <f>VLOOKUP(K3040,LUTs!E$2:G$14,3,)</f>
        <v>06King</v>
      </c>
      <c r="M3040" s="110" t="str">
        <f>VLOOKUP($K3040,LUTs!$E$2:$H$14,2,)</f>
        <v>South Puget Sound</v>
      </c>
      <c r="N3040" s="110" t="str">
        <f>VLOOKUP($K3040,LUTs!$E$2:$H$14,4,)</f>
        <v>02South Puget Sound</v>
      </c>
      <c r="O3040" s="110">
        <v>7.6</v>
      </c>
      <c r="P3040" s="110">
        <v>64.903999999999996</v>
      </c>
      <c r="Q3040" s="110">
        <f>SUMIFS('FW_Steelhead_by_Month_2010-2021'!Q$2:Q$3810,'FW_Steelhead_by_Month_2010-2021'!$B$2:$B$3810,'Rec_raw_catch_effort_2010-2021'!$B3040,'FW_Steelhead_by_Month_2010-2021'!$H$2:$H$3810,'Rec_raw_catch_effort_2010-2021'!$F3040,'FW_Steelhead_by_Month_2010-2021'!$M$2:$M$3810,'Rec_raw_catch_effort_2010-2021'!$K3040)</f>
        <v>4</v>
      </c>
      <c r="R3040" s="111">
        <f>VLOOKUP(B3040,Readme!$A$62:$C$74,3,)*Q3040</f>
        <v>83.708949299517172</v>
      </c>
      <c r="S3040" s="140" t="str">
        <f t="shared" si="231"/>
        <v>N</v>
      </c>
      <c r="T3040" s="154">
        <f t="shared" si="232"/>
        <v>8.5399999999999991</v>
      </c>
      <c r="U3040" s="154">
        <f t="shared" si="233"/>
        <v>20.927237324879293</v>
      </c>
    </row>
    <row r="3041" spans="1:21" x14ac:dyDescent="0.35">
      <c r="A3041" s="110">
        <v>708</v>
      </c>
      <c r="B3041" s="110">
        <v>2020</v>
      </c>
      <c r="C3041" s="110" t="s">
        <v>38</v>
      </c>
      <c r="D3041" s="110" t="s">
        <v>143</v>
      </c>
      <c r="E3041" s="110" t="s">
        <v>86</v>
      </c>
      <c r="F3041" s="117">
        <v>746</v>
      </c>
      <c r="G3041" s="110" t="s">
        <v>89</v>
      </c>
      <c r="H3041" s="110" t="s">
        <v>45</v>
      </c>
      <c r="I3041" s="110" t="str">
        <f>IFERROR(VLOOKUP(H3041,LUTs!$A$1:$C$73,2,FALSE),"NA")</f>
        <v>King</v>
      </c>
      <c r="J3041" s="110" t="str">
        <f>IFERROR(VLOOKUP(H3041,LUTs!$A$1:$C$73,3,FALSE),"NA")</f>
        <v>3South Puget Sound</v>
      </c>
      <c r="K3041" s="110" t="s">
        <v>20</v>
      </c>
      <c r="L3041" s="110" t="str">
        <f>VLOOKUP(K3041,LUTs!E$2:G$14,3,)</f>
        <v>07Pierce</v>
      </c>
      <c r="M3041" s="110" t="str">
        <f>VLOOKUP($K3041,LUTs!$E$2:$H$14,2,)</f>
        <v>South Puget Sound</v>
      </c>
      <c r="N3041" s="110" t="str">
        <f>VLOOKUP($K3041,LUTs!$E$2:$H$14,4,)</f>
        <v>02South Puget Sound</v>
      </c>
      <c r="O3041" s="110">
        <v>68.400000000000006</v>
      </c>
      <c r="P3041" s="110">
        <v>584.13599999999997</v>
      </c>
      <c r="Q3041" s="110">
        <f>SUMIFS('FW_Steelhead_by_Month_2010-2021'!Q$2:Q$3810,'FW_Steelhead_by_Month_2010-2021'!$B$2:$B$3810,'Rec_raw_catch_effort_2010-2021'!$B3041,'FW_Steelhead_by_Month_2010-2021'!$H$2:$H$3810,'Rec_raw_catch_effort_2010-2021'!$F3041,'FW_Steelhead_by_Month_2010-2021'!$M$2:$M$3810,'Rec_raw_catch_effort_2010-2021'!$K3041)</f>
        <v>34</v>
      </c>
      <c r="R3041" s="111">
        <f>VLOOKUP(B3041,Readme!$A$62:$C$74,3,)*Q3041</f>
        <v>711.52606904589595</v>
      </c>
      <c r="S3041" s="140" t="str">
        <f t="shared" si="231"/>
        <v>N</v>
      </c>
      <c r="T3041" s="154">
        <f t="shared" si="232"/>
        <v>8.5399999999999991</v>
      </c>
      <c r="U3041" s="154">
        <f t="shared" si="233"/>
        <v>20.927237324879293</v>
      </c>
    </row>
    <row r="3042" spans="1:21" x14ac:dyDescent="0.35">
      <c r="A3042" s="110">
        <v>709</v>
      </c>
      <c r="B3042" s="110">
        <v>2021</v>
      </c>
      <c r="C3042" s="110" t="s">
        <v>38</v>
      </c>
      <c r="D3042" s="110" t="s">
        <v>143</v>
      </c>
      <c r="E3042" s="110" t="s">
        <v>86</v>
      </c>
      <c r="F3042" s="117">
        <v>746</v>
      </c>
      <c r="G3042" s="110" t="s">
        <v>89</v>
      </c>
      <c r="H3042" s="110" t="s">
        <v>45</v>
      </c>
      <c r="I3042" s="110" t="str">
        <f>IFERROR(VLOOKUP(H3042,LUTs!$A$1:$C$73,2,FALSE),"NA")</f>
        <v>King</v>
      </c>
      <c r="J3042" s="110" t="str">
        <f>IFERROR(VLOOKUP(H3042,LUTs!$A$1:$C$73,3,FALSE),"NA")</f>
        <v>3South Puget Sound</v>
      </c>
      <c r="K3042" s="110" t="s">
        <v>18</v>
      </c>
      <c r="L3042" s="110" t="str">
        <f>VLOOKUP(K3042,LUTs!E$2:G$14,3,)</f>
        <v>06King</v>
      </c>
      <c r="M3042" s="110" t="str">
        <f>VLOOKUP($K3042,LUTs!$E$2:$H$14,2,)</f>
        <v>South Puget Sound</v>
      </c>
      <c r="N3042" s="110" t="str">
        <f>VLOOKUP($K3042,LUTs!$E$2:$H$14,4,)</f>
        <v>02South Puget Sound</v>
      </c>
      <c r="O3042" s="110">
        <v>44.307692307692299</v>
      </c>
      <c r="P3042" s="110">
        <v>821.90769230769195</v>
      </c>
      <c r="Q3042" s="110">
        <f>SUMIFS('FW_Steelhead_by_Month_2010-2021'!Q$2:Q$3810,'FW_Steelhead_by_Month_2010-2021'!$B$2:$B$3810,'Rec_raw_catch_effort_2010-2021'!$B3042,'FW_Steelhead_by_Month_2010-2021'!$H$2:$H$3810,'Rec_raw_catch_effort_2010-2021'!$F3042,'FW_Steelhead_by_Month_2010-2021'!$M$2:$M$3810,'Rec_raw_catch_effort_2010-2021'!$K3042)</f>
        <v>22</v>
      </c>
      <c r="R3042" s="111">
        <f>VLOOKUP(B3042,Readme!$A$62:$C$74,3,)*Q3042</f>
        <v>460.39922114734446</v>
      </c>
      <c r="S3042" s="140" t="str">
        <f t="shared" si="231"/>
        <v>N</v>
      </c>
      <c r="T3042" s="154">
        <f t="shared" si="232"/>
        <v>18.549999999999994</v>
      </c>
      <c r="U3042" s="154">
        <f t="shared" si="233"/>
        <v>20.927237324879293</v>
      </c>
    </row>
    <row r="3043" spans="1:21" x14ac:dyDescent="0.35">
      <c r="A3043" s="110">
        <v>711</v>
      </c>
      <c r="B3043" s="110">
        <v>2021</v>
      </c>
      <c r="C3043" s="110" t="s">
        <v>38</v>
      </c>
      <c r="D3043" s="110" t="s">
        <v>143</v>
      </c>
      <c r="E3043" s="110" t="s">
        <v>86</v>
      </c>
      <c r="F3043" s="117">
        <v>746</v>
      </c>
      <c r="G3043" s="110" t="s">
        <v>89</v>
      </c>
      <c r="H3043" s="110" t="s">
        <v>45</v>
      </c>
      <c r="I3043" s="110" t="str">
        <f>IFERROR(VLOOKUP(H3043,LUTs!$A$1:$C$73,2,FALSE),"NA")</f>
        <v>King</v>
      </c>
      <c r="J3043" s="110" t="str">
        <f>IFERROR(VLOOKUP(H3043,LUTs!$A$1:$C$73,3,FALSE),"NA")</f>
        <v>3South Puget Sound</v>
      </c>
      <c r="K3043" s="110" t="s">
        <v>23</v>
      </c>
      <c r="L3043" s="110" t="str">
        <f>VLOOKUP(K3043,LUTs!E$2:G$14,3,)</f>
        <v>10Kitsap</v>
      </c>
      <c r="M3043" s="110" t="str">
        <f>VLOOKUP($K3043,LUTs!$E$2:$H$14,2,)</f>
        <v>South Puget Sound</v>
      </c>
      <c r="N3043" s="110" t="str">
        <f>VLOOKUP($K3043,LUTs!$E$2:$H$14,4,)</f>
        <v>02South Puget Sound</v>
      </c>
      <c r="O3043" s="110">
        <v>11.0769230769231</v>
      </c>
      <c r="P3043" s="110">
        <v>205.47692307692299</v>
      </c>
      <c r="Q3043" s="110">
        <f>SUMIFS('FW_Steelhead_by_Month_2010-2021'!Q$2:Q$3810,'FW_Steelhead_by_Month_2010-2021'!$B$2:$B$3810,'Rec_raw_catch_effort_2010-2021'!$B3043,'FW_Steelhead_by_Month_2010-2021'!$H$2:$H$3810,'Rec_raw_catch_effort_2010-2021'!$F3043,'FW_Steelhead_by_Month_2010-2021'!$M$2:$M$3810,'Rec_raw_catch_effort_2010-2021'!$K3043)</f>
        <v>6</v>
      </c>
      <c r="R3043" s="111">
        <f>VLOOKUP(B3043,Readme!$A$62:$C$74,3,)*Q3043</f>
        <v>125.56342394927576</v>
      </c>
      <c r="S3043" s="140" t="str">
        <f t="shared" si="231"/>
        <v>N</v>
      </c>
      <c r="T3043" s="154">
        <f t="shared" si="232"/>
        <v>18.549999999999955</v>
      </c>
      <c r="U3043" s="154">
        <f t="shared" si="233"/>
        <v>20.927237324879293</v>
      </c>
    </row>
    <row r="3044" spans="1:21" x14ac:dyDescent="0.35">
      <c r="A3044" s="110">
        <v>710</v>
      </c>
      <c r="B3044" s="110">
        <v>2021</v>
      </c>
      <c r="C3044" s="110" t="s">
        <v>38</v>
      </c>
      <c r="D3044" s="110" t="s">
        <v>143</v>
      </c>
      <c r="E3044" s="110" t="s">
        <v>86</v>
      </c>
      <c r="F3044" s="117">
        <v>746</v>
      </c>
      <c r="G3044" s="110" t="s">
        <v>89</v>
      </c>
      <c r="H3044" s="110" t="s">
        <v>45</v>
      </c>
      <c r="I3044" s="110" t="str">
        <f>IFERROR(VLOOKUP(H3044,LUTs!$A$1:$C$73,2,FALSE),"NA")</f>
        <v>King</v>
      </c>
      <c r="J3044" s="110" t="str">
        <f>IFERROR(VLOOKUP(H3044,LUTs!$A$1:$C$73,3,FALSE),"NA")</f>
        <v>3South Puget Sound</v>
      </c>
      <c r="K3044" s="110" t="s">
        <v>20</v>
      </c>
      <c r="L3044" s="110" t="str">
        <f>VLOOKUP(K3044,LUTs!E$2:G$14,3,)</f>
        <v>07Pierce</v>
      </c>
      <c r="M3044" s="110" t="str">
        <f>VLOOKUP($K3044,LUTs!$E$2:$H$14,2,)</f>
        <v>South Puget Sound</v>
      </c>
      <c r="N3044" s="110" t="str">
        <f>VLOOKUP($K3044,LUTs!$E$2:$H$14,4,)</f>
        <v>02South Puget Sound</v>
      </c>
      <c r="O3044" s="110">
        <v>88.615384615384599</v>
      </c>
      <c r="P3044" s="110">
        <v>1643.81538461538</v>
      </c>
      <c r="Q3044" s="110">
        <f>SUMIFS('FW_Steelhead_by_Month_2010-2021'!Q$2:Q$3810,'FW_Steelhead_by_Month_2010-2021'!$B$2:$B$3810,'Rec_raw_catch_effort_2010-2021'!$B3044,'FW_Steelhead_by_Month_2010-2021'!$H$2:$H$3810,'Rec_raw_catch_effort_2010-2021'!$F3044,'FW_Steelhead_by_Month_2010-2021'!$M$2:$M$3810,'Rec_raw_catch_effort_2010-2021'!$K3044)</f>
        <v>44</v>
      </c>
      <c r="R3044" s="111">
        <f>VLOOKUP(B3044,Readme!$A$62:$C$74,3,)*Q3044</f>
        <v>920.79844229468893</v>
      </c>
      <c r="S3044" s="140" t="str">
        <f t="shared" si="231"/>
        <v>N</v>
      </c>
      <c r="T3044" s="154">
        <f t="shared" si="232"/>
        <v>18.549999999999951</v>
      </c>
      <c r="U3044" s="154">
        <f t="shared" si="233"/>
        <v>20.927237324879293</v>
      </c>
    </row>
    <row r="3045" spans="1:21" x14ac:dyDescent="0.35">
      <c r="A3045" s="110">
        <v>216</v>
      </c>
      <c r="B3045" s="110">
        <v>2010</v>
      </c>
      <c r="C3045" s="110" t="s">
        <v>38</v>
      </c>
      <c r="D3045" s="110" t="s">
        <v>143</v>
      </c>
      <c r="E3045" s="110" t="s">
        <v>86</v>
      </c>
      <c r="F3045" s="117">
        <v>748</v>
      </c>
      <c r="G3045" s="110" t="s">
        <v>90</v>
      </c>
      <c r="H3045" s="110" t="str">
        <f t="shared" ref="H3045:H3076" si="234">G3045</f>
        <v>Soos Creek</v>
      </c>
      <c r="I3045" s="110" t="str">
        <f>IFERROR(VLOOKUP(H3045,LUTs!$A$1:$C$73,2,FALSE),"NA")</f>
        <v>King</v>
      </c>
      <c r="J3045" s="110" t="str">
        <f>IFERROR(VLOOKUP(H3045,LUTs!$A$1:$C$73,3,FALSE),"NA")</f>
        <v>3South Puget Sound</v>
      </c>
      <c r="K3045" s="110" t="s">
        <v>18</v>
      </c>
      <c r="L3045" s="110" t="str">
        <f>VLOOKUP(K3045,LUTs!E$2:G$14,3,)</f>
        <v>06King</v>
      </c>
      <c r="M3045" s="110" t="str">
        <f>VLOOKUP($K3045,LUTs!$E$2:$H$14,2,)</f>
        <v>South Puget Sound</v>
      </c>
      <c r="N3045" s="110" t="str">
        <f>VLOOKUP($K3045,LUTs!$E$2:$H$14,4,)</f>
        <v>02South Puget Sound</v>
      </c>
      <c r="O3045" s="110">
        <v>4</v>
      </c>
      <c r="P3045" s="110">
        <v>34.159999999999997</v>
      </c>
      <c r="Q3045" s="110">
        <f>SUMIFS('FW_Steelhead_by_Month_2010-2021'!Q$2:Q$3810,'FW_Steelhead_by_Month_2010-2021'!$B$2:$B$3810,'Rec_raw_catch_effort_2010-2021'!$B3045,'FW_Steelhead_by_Month_2010-2021'!$H$2:$H$3810,'Rec_raw_catch_effort_2010-2021'!$F3045,'FW_Steelhead_by_Month_2010-2021'!$M$2:$M$3810,'Rec_raw_catch_effort_2010-2021'!$K3045)</f>
        <v>4</v>
      </c>
      <c r="R3045" s="111">
        <f>VLOOKUP(B3045,Readme!$A$62:$C$74,3,)*Q3045</f>
        <v>83.708949299517172</v>
      </c>
      <c r="S3045" s="140" t="str">
        <f t="shared" si="231"/>
        <v>Y</v>
      </c>
      <c r="T3045" s="154">
        <f t="shared" si="232"/>
        <v>8.5399999999999991</v>
      </c>
      <c r="U3045" s="154">
        <f t="shared" si="233"/>
        <v>20.927237324879293</v>
      </c>
    </row>
    <row r="3046" spans="1:21" x14ac:dyDescent="0.35">
      <c r="A3046" s="110">
        <v>220</v>
      </c>
      <c r="B3046" s="110">
        <v>2011</v>
      </c>
      <c r="C3046" s="110" t="s">
        <v>38</v>
      </c>
      <c r="D3046" s="110" t="s">
        <v>143</v>
      </c>
      <c r="E3046" s="110" t="s">
        <v>86</v>
      </c>
      <c r="F3046" s="117">
        <v>748</v>
      </c>
      <c r="G3046" s="110" t="s">
        <v>90</v>
      </c>
      <c r="H3046" s="110" t="str">
        <f t="shared" si="234"/>
        <v>Soos Creek</v>
      </c>
      <c r="I3046" s="110" t="str">
        <f>IFERROR(VLOOKUP(H3046,LUTs!$A$1:$C$73,2,FALSE),"NA")</f>
        <v>King</v>
      </c>
      <c r="J3046" s="110" t="str">
        <f>IFERROR(VLOOKUP(H3046,LUTs!$A$1:$C$73,3,FALSE),"NA")</f>
        <v>3South Puget Sound</v>
      </c>
      <c r="K3046" s="110" t="s">
        <v>18</v>
      </c>
      <c r="L3046" s="110" t="str">
        <f>VLOOKUP(K3046,LUTs!E$2:G$14,3,)</f>
        <v>06King</v>
      </c>
      <c r="M3046" s="110" t="str">
        <f>VLOOKUP($K3046,LUTs!$E$2:$H$14,2,)</f>
        <v>South Puget Sound</v>
      </c>
      <c r="N3046" s="110" t="str">
        <f>VLOOKUP($K3046,LUTs!$E$2:$H$14,4,)</f>
        <v>02South Puget Sound</v>
      </c>
      <c r="O3046" s="110">
        <v>3</v>
      </c>
      <c r="P3046" s="110">
        <v>55.65</v>
      </c>
      <c r="Q3046" s="110">
        <f>SUMIFS('FW_Steelhead_by_Month_2010-2021'!Q$2:Q$3810,'FW_Steelhead_by_Month_2010-2021'!$B$2:$B$3810,'Rec_raw_catch_effort_2010-2021'!$B3046,'FW_Steelhead_by_Month_2010-2021'!$H$2:$H$3810,'Rec_raw_catch_effort_2010-2021'!$F3046,'FW_Steelhead_by_Month_2010-2021'!$M$2:$M$3810,'Rec_raw_catch_effort_2010-2021'!$K3046)</f>
        <v>3</v>
      </c>
      <c r="R3046" s="111">
        <f>VLOOKUP(B3046,Readme!$A$62:$C$74,3,)*Q3046</f>
        <v>62.781711974637879</v>
      </c>
      <c r="S3046" s="140" t="str">
        <f t="shared" si="231"/>
        <v>Y</v>
      </c>
      <c r="T3046" s="154">
        <f t="shared" si="232"/>
        <v>18.55</v>
      </c>
      <c r="U3046" s="154">
        <f t="shared" si="233"/>
        <v>20.927237324879293</v>
      </c>
    </row>
    <row r="3047" spans="1:21" x14ac:dyDescent="0.35">
      <c r="A3047" s="110">
        <v>227</v>
      </c>
      <c r="B3047" s="110">
        <v>2013</v>
      </c>
      <c r="C3047" s="110" t="s">
        <v>38</v>
      </c>
      <c r="D3047" s="110" t="s">
        <v>143</v>
      </c>
      <c r="E3047" s="110" t="s">
        <v>86</v>
      </c>
      <c r="F3047" s="117">
        <v>748</v>
      </c>
      <c r="G3047" s="110" t="s">
        <v>90</v>
      </c>
      <c r="H3047" s="110" t="str">
        <f t="shared" si="234"/>
        <v>Soos Creek</v>
      </c>
      <c r="I3047" s="110" t="str">
        <f>IFERROR(VLOOKUP(H3047,LUTs!$A$1:$C$73,2,FALSE),"NA")</f>
        <v>King</v>
      </c>
      <c r="J3047" s="110" t="str">
        <f>IFERROR(VLOOKUP(H3047,LUTs!$A$1:$C$73,3,FALSE),"NA")</f>
        <v>3South Puget Sound</v>
      </c>
      <c r="K3047" s="110" t="s">
        <v>18</v>
      </c>
      <c r="L3047" s="110" t="str">
        <f>VLOOKUP(K3047,LUTs!E$2:G$14,3,)</f>
        <v>06King</v>
      </c>
      <c r="M3047" s="110" t="str">
        <f>VLOOKUP($K3047,LUTs!$E$2:$H$14,2,)</f>
        <v>South Puget Sound</v>
      </c>
      <c r="N3047" s="110" t="str">
        <f>VLOOKUP($K3047,LUTs!$E$2:$H$14,4,)</f>
        <v>02South Puget Sound</v>
      </c>
      <c r="O3047" s="110">
        <v>22</v>
      </c>
      <c r="P3047" s="110">
        <v>408.1</v>
      </c>
      <c r="Q3047" s="110">
        <f>SUMIFS('FW_Steelhead_by_Month_2010-2021'!Q$2:Q$3810,'FW_Steelhead_by_Month_2010-2021'!$B$2:$B$3810,'Rec_raw_catch_effort_2010-2021'!$B3047,'FW_Steelhead_by_Month_2010-2021'!$H$2:$H$3810,'Rec_raw_catch_effort_2010-2021'!$F3047,'FW_Steelhead_by_Month_2010-2021'!$M$2:$M$3810,'Rec_raw_catch_effort_2010-2021'!$K3047)</f>
        <v>21.916666666666671</v>
      </c>
      <c r="R3047" s="111">
        <f>VLOOKUP(B3047,Readme!$A$62:$C$74,3,)*Q3047</f>
        <v>458.65528470360459</v>
      </c>
      <c r="S3047" s="140" t="str">
        <f t="shared" si="231"/>
        <v>Y</v>
      </c>
      <c r="T3047" s="154">
        <f t="shared" si="232"/>
        <v>18.55</v>
      </c>
      <c r="U3047" s="154">
        <f t="shared" si="233"/>
        <v>20.927237324879293</v>
      </c>
    </row>
    <row r="3048" spans="1:21" x14ac:dyDescent="0.35">
      <c r="A3048" s="110">
        <v>228</v>
      </c>
      <c r="B3048" s="110">
        <v>2013</v>
      </c>
      <c r="C3048" s="110" t="s">
        <v>38</v>
      </c>
      <c r="D3048" s="110" t="s">
        <v>143</v>
      </c>
      <c r="E3048" s="110" t="s">
        <v>86</v>
      </c>
      <c r="F3048" s="117">
        <v>748</v>
      </c>
      <c r="G3048" s="110" t="s">
        <v>90</v>
      </c>
      <c r="H3048" s="110" t="str">
        <f t="shared" si="234"/>
        <v>Soos Creek</v>
      </c>
      <c r="I3048" s="110" t="str">
        <f>IFERROR(VLOOKUP(H3048,LUTs!$A$1:$C$73,2,FALSE),"NA")</f>
        <v>King</v>
      </c>
      <c r="J3048" s="110" t="str">
        <f>IFERROR(VLOOKUP(H3048,LUTs!$A$1:$C$73,3,FALSE),"NA")</f>
        <v>3South Puget Sound</v>
      </c>
      <c r="K3048" s="110" t="s">
        <v>20</v>
      </c>
      <c r="L3048" s="110" t="str">
        <f>VLOOKUP(K3048,LUTs!E$2:G$14,3,)</f>
        <v>07Pierce</v>
      </c>
      <c r="M3048" s="110" t="str">
        <f>VLOOKUP($K3048,LUTs!$E$2:$H$14,2,)</f>
        <v>South Puget Sound</v>
      </c>
      <c r="N3048" s="110" t="str">
        <f>VLOOKUP($K3048,LUTs!$E$2:$H$14,4,)</f>
        <v>02South Puget Sound</v>
      </c>
      <c r="O3048" s="110">
        <v>44</v>
      </c>
      <c r="P3048" s="110">
        <v>816.2</v>
      </c>
      <c r="Q3048" s="110">
        <f>SUMIFS('FW_Steelhead_by_Month_2010-2021'!Q$2:Q$3810,'FW_Steelhead_by_Month_2010-2021'!$B$2:$B$3810,'Rec_raw_catch_effort_2010-2021'!$B3048,'FW_Steelhead_by_Month_2010-2021'!$H$2:$H$3810,'Rec_raw_catch_effort_2010-2021'!$F3048,'FW_Steelhead_by_Month_2010-2021'!$M$2:$M$3810,'Rec_raw_catch_effort_2010-2021'!$K3048)</f>
        <v>44.083333333333329</v>
      </c>
      <c r="R3048" s="111">
        <f>VLOOKUP(B3048,Readme!$A$62:$C$74,3,)*Q3048</f>
        <v>922.54237873842874</v>
      </c>
      <c r="S3048" s="140" t="str">
        <f t="shared" si="231"/>
        <v>Y</v>
      </c>
      <c r="T3048" s="154">
        <f t="shared" si="232"/>
        <v>18.55</v>
      </c>
      <c r="U3048" s="154">
        <f t="shared" si="233"/>
        <v>20.927237324879293</v>
      </c>
    </row>
    <row r="3049" spans="1:21" x14ac:dyDescent="0.35">
      <c r="A3049" s="110">
        <v>230</v>
      </c>
      <c r="B3049" s="110">
        <v>2014</v>
      </c>
      <c r="C3049" s="110" t="s">
        <v>38</v>
      </c>
      <c r="D3049" s="110" t="s">
        <v>143</v>
      </c>
      <c r="E3049" s="110" t="s">
        <v>86</v>
      </c>
      <c r="F3049" s="117">
        <v>748</v>
      </c>
      <c r="G3049" s="110" t="s">
        <v>90</v>
      </c>
      <c r="H3049" s="110" t="str">
        <f t="shared" si="234"/>
        <v>Soos Creek</v>
      </c>
      <c r="I3049" s="110" t="str">
        <f>IFERROR(VLOOKUP(H3049,LUTs!$A$1:$C$73,2,FALSE),"NA")</f>
        <v>King</v>
      </c>
      <c r="J3049" s="110" t="str">
        <f>IFERROR(VLOOKUP(H3049,LUTs!$A$1:$C$73,3,FALSE),"NA")</f>
        <v>3South Puget Sound</v>
      </c>
      <c r="K3049" s="110" t="s">
        <v>20</v>
      </c>
      <c r="L3049" s="110" t="str">
        <f>VLOOKUP(K3049,LUTs!E$2:G$14,3,)</f>
        <v>07Pierce</v>
      </c>
      <c r="M3049" s="110" t="str">
        <f>VLOOKUP($K3049,LUTs!$E$2:$H$14,2,)</f>
        <v>South Puget Sound</v>
      </c>
      <c r="N3049" s="110" t="str">
        <f>VLOOKUP($K3049,LUTs!$E$2:$H$14,4,)</f>
        <v>02South Puget Sound</v>
      </c>
      <c r="O3049" s="110">
        <v>9</v>
      </c>
      <c r="P3049" s="110">
        <v>76.86</v>
      </c>
      <c r="Q3049" s="110">
        <f>SUMIFS('FW_Steelhead_by_Month_2010-2021'!Q$2:Q$3810,'FW_Steelhead_by_Month_2010-2021'!$B$2:$B$3810,'Rec_raw_catch_effort_2010-2021'!$B3049,'FW_Steelhead_by_Month_2010-2021'!$H$2:$H$3810,'Rec_raw_catch_effort_2010-2021'!$F3049,'FW_Steelhead_by_Month_2010-2021'!$M$2:$M$3810,'Rec_raw_catch_effort_2010-2021'!$K3049)</f>
        <v>9</v>
      </c>
      <c r="R3049" s="111">
        <f>VLOOKUP(B3049,Readme!$A$62:$C$74,3,)*Q3049</f>
        <v>188.34513592391363</v>
      </c>
      <c r="S3049" s="140" t="str">
        <f t="shared" si="231"/>
        <v>Y</v>
      </c>
      <c r="T3049" s="154">
        <f t="shared" si="232"/>
        <v>8.5399999999999991</v>
      </c>
      <c r="U3049" s="154">
        <f t="shared" si="233"/>
        <v>20.927237324879293</v>
      </c>
    </row>
    <row r="3050" spans="1:21" x14ac:dyDescent="0.35">
      <c r="A3050" s="110">
        <v>231</v>
      </c>
      <c r="B3050" s="110">
        <v>2015</v>
      </c>
      <c r="C3050" s="110" t="s">
        <v>38</v>
      </c>
      <c r="D3050" s="110" t="s">
        <v>143</v>
      </c>
      <c r="E3050" s="110" t="s">
        <v>86</v>
      </c>
      <c r="F3050" s="117">
        <v>748</v>
      </c>
      <c r="G3050" s="110" t="s">
        <v>90</v>
      </c>
      <c r="H3050" s="110" t="str">
        <f t="shared" si="234"/>
        <v>Soos Creek</v>
      </c>
      <c r="I3050" s="110" t="str">
        <f>IFERROR(VLOOKUP(H3050,LUTs!$A$1:$C$73,2,FALSE),"NA")</f>
        <v>King</v>
      </c>
      <c r="J3050" s="110" t="str">
        <f>IFERROR(VLOOKUP(H3050,LUTs!$A$1:$C$73,3,FALSE),"NA")</f>
        <v>3South Puget Sound</v>
      </c>
      <c r="K3050" s="110" t="s">
        <v>20</v>
      </c>
      <c r="L3050" s="110" t="str">
        <f>VLOOKUP(K3050,LUTs!E$2:G$14,3,)</f>
        <v>07Pierce</v>
      </c>
      <c r="M3050" s="110" t="str">
        <f>VLOOKUP($K3050,LUTs!$E$2:$H$14,2,)</f>
        <v>South Puget Sound</v>
      </c>
      <c r="N3050" s="110" t="str">
        <f>VLOOKUP($K3050,LUTs!$E$2:$H$14,4,)</f>
        <v>02South Puget Sound</v>
      </c>
      <c r="O3050" s="110">
        <v>8</v>
      </c>
      <c r="P3050" s="110">
        <v>148.4</v>
      </c>
      <c r="Q3050" s="110">
        <f>SUMIFS('FW_Steelhead_by_Month_2010-2021'!Q$2:Q$3810,'FW_Steelhead_by_Month_2010-2021'!$B$2:$B$3810,'Rec_raw_catch_effort_2010-2021'!$B3050,'FW_Steelhead_by_Month_2010-2021'!$H$2:$H$3810,'Rec_raw_catch_effort_2010-2021'!$F3050,'FW_Steelhead_by_Month_2010-2021'!$M$2:$M$3810,'Rec_raw_catch_effort_2010-2021'!$K3050)</f>
        <v>8</v>
      </c>
      <c r="R3050" s="111">
        <f>VLOOKUP(B3050,Readme!$A$62:$C$74,3,)*Q3050</f>
        <v>167.41789859903434</v>
      </c>
      <c r="S3050" s="140" t="str">
        <f t="shared" si="231"/>
        <v>Y</v>
      </c>
      <c r="T3050" s="154">
        <f t="shared" si="232"/>
        <v>18.55</v>
      </c>
      <c r="U3050" s="154">
        <f t="shared" si="233"/>
        <v>20.927237324879293</v>
      </c>
    </row>
    <row r="3051" spans="1:21" x14ac:dyDescent="0.35">
      <c r="A3051" s="110">
        <v>233</v>
      </c>
      <c r="B3051" s="110">
        <v>2017</v>
      </c>
      <c r="C3051" s="110" t="s">
        <v>38</v>
      </c>
      <c r="D3051" s="110" t="s">
        <v>143</v>
      </c>
      <c r="E3051" s="110" t="s">
        <v>86</v>
      </c>
      <c r="F3051" s="117">
        <v>748</v>
      </c>
      <c r="G3051" s="110" t="s">
        <v>90</v>
      </c>
      <c r="H3051" s="110" t="str">
        <f t="shared" si="234"/>
        <v>Soos Creek</v>
      </c>
      <c r="I3051" s="110" t="str">
        <f>IFERROR(VLOOKUP(H3051,LUTs!$A$1:$C$73,2,FALSE),"NA")</f>
        <v>King</v>
      </c>
      <c r="J3051" s="110" t="str">
        <f>IFERROR(VLOOKUP(H3051,LUTs!$A$1:$C$73,3,FALSE),"NA")</f>
        <v>3South Puget Sound</v>
      </c>
      <c r="K3051" s="110" t="s">
        <v>20</v>
      </c>
      <c r="L3051" s="110" t="str">
        <f>VLOOKUP(K3051,LUTs!E$2:G$14,3,)</f>
        <v>07Pierce</v>
      </c>
      <c r="M3051" s="110" t="str">
        <f>VLOOKUP($K3051,LUTs!$E$2:$H$14,2,)</f>
        <v>South Puget Sound</v>
      </c>
      <c r="N3051" s="110" t="str">
        <f>VLOOKUP($K3051,LUTs!$E$2:$H$14,4,)</f>
        <v>02South Puget Sound</v>
      </c>
      <c r="O3051" s="110">
        <v>8</v>
      </c>
      <c r="P3051" s="110">
        <v>148.4</v>
      </c>
      <c r="Q3051" s="110">
        <f>SUMIFS('FW_Steelhead_by_Month_2010-2021'!Q$2:Q$3810,'FW_Steelhead_by_Month_2010-2021'!$B$2:$B$3810,'Rec_raw_catch_effort_2010-2021'!$B3051,'FW_Steelhead_by_Month_2010-2021'!$H$2:$H$3810,'Rec_raw_catch_effort_2010-2021'!$F3051,'FW_Steelhead_by_Month_2010-2021'!$M$2:$M$3810,'Rec_raw_catch_effort_2010-2021'!$K3051)</f>
        <v>4</v>
      </c>
      <c r="R3051" s="111">
        <f>VLOOKUP(B3051,Readme!$A$62:$C$74,3,)*Q3051</f>
        <v>83.708949299517172</v>
      </c>
      <c r="S3051" s="140" t="str">
        <f t="shared" si="231"/>
        <v>Y</v>
      </c>
      <c r="T3051" s="154">
        <f t="shared" si="232"/>
        <v>18.55</v>
      </c>
      <c r="U3051" s="154">
        <f t="shared" si="233"/>
        <v>20.927237324879293</v>
      </c>
    </row>
    <row r="3052" spans="1:21" x14ac:dyDescent="0.35">
      <c r="A3052" s="110">
        <v>2925</v>
      </c>
      <c r="B3052" s="110">
        <v>2010</v>
      </c>
      <c r="C3052" s="110" t="s">
        <v>38</v>
      </c>
      <c r="D3052" s="110" t="s">
        <v>143</v>
      </c>
      <c r="E3052" s="110" t="s">
        <v>86</v>
      </c>
      <c r="F3052" s="117">
        <v>752</v>
      </c>
      <c r="G3052" s="110" t="s">
        <v>46</v>
      </c>
      <c r="H3052" s="110" t="str">
        <f t="shared" si="234"/>
        <v>Hoko River</v>
      </c>
      <c r="I3052" s="110" t="str">
        <f>IFERROR(VLOOKUP(H3052,LUTs!$A$1:$C$73,2,FALSE),"NA")</f>
        <v>Clallam</v>
      </c>
      <c r="J3052" s="110" t="str">
        <f>IFERROR(VLOOKUP(H3052,LUTs!$A$1:$C$73,3,FALSE),"NA")</f>
        <v>0Strait of Juan de Fuca</v>
      </c>
      <c r="K3052" s="110" t="s">
        <v>24</v>
      </c>
      <c r="L3052" s="110" t="str">
        <f>VLOOKUP(K3052,LUTs!E$2:G$14,3,)</f>
        <v>11Clallam</v>
      </c>
      <c r="M3052" s="110" t="str">
        <f>VLOOKUP($K3052,LUTs!$E$2:$H$14,2,)</f>
        <v>Strait of Juan de Fuca</v>
      </c>
      <c r="N3052" s="110" t="str">
        <f>VLOOKUP($K3052,LUTs!$E$2:$H$14,4,)</f>
        <v>03Strait of Juan de Fuca</v>
      </c>
      <c r="O3052" s="110">
        <v>74.857142857142904</v>
      </c>
      <c r="P3052" s="110">
        <v>639.28</v>
      </c>
      <c r="Q3052" s="110">
        <f>SUMIFS('FW_Steelhead_by_Month_2010-2021'!Q$2:Q$3810,'FW_Steelhead_by_Month_2010-2021'!$B$2:$B$3810,'Rec_raw_catch_effort_2010-2021'!$B3052,'FW_Steelhead_by_Month_2010-2021'!$H$2:$H$3810,'Rec_raw_catch_effort_2010-2021'!$F3052,'FW_Steelhead_by_Month_2010-2021'!$M$2:$M$3810,'Rec_raw_catch_effort_2010-2021'!$K3052)</f>
        <v>49.330434782608698</v>
      </c>
      <c r="R3052" s="111">
        <f>VLOOKUP(B3052,Readme!$A$62:$C$74,3,)*Q3052</f>
        <v>1032.3497160351326</v>
      </c>
      <c r="S3052" s="140" t="str">
        <f t="shared" si="231"/>
        <v>Y</v>
      </c>
      <c r="T3052" s="154">
        <f t="shared" si="232"/>
        <v>8.5399999999999938</v>
      </c>
      <c r="U3052" s="154">
        <f t="shared" si="233"/>
        <v>20.927237324879297</v>
      </c>
    </row>
    <row r="3053" spans="1:21" x14ac:dyDescent="0.35">
      <c r="A3053" s="110">
        <v>2920</v>
      </c>
      <c r="B3053" s="110">
        <v>2010</v>
      </c>
      <c r="C3053" s="110" t="s">
        <v>38</v>
      </c>
      <c r="D3053" s="110" t="s">
        <v>143</v>
      </c>
      <c r="E3053" s="110" t="s">
        <v>86</v>
      </c>
      <c r="F3053" s="117">
        <v>752</v>
      </c>
      <c r="G3053" s="110" t="s">
        <v>46</v>
      </c>
      <c r="H3053" s="110" t="str">
        <f t="shared" si="234"/>
        <v>Hoko River</v>
      </c>
      <c r="I3053" s="110" t="str">
        <f>IFERROR(VLOOKUP(H3053,LUTs!$A$1:$C$73,2,FALSE),"NA")</f>
        <v>Clallam</v>
      </c>
      <c r="J3053" s="110" t="str">
        <f>IFERROR(VLOOKUP(H3053,LUTs!$A$1:$C$73,3,FALSE),"NA")</f>
        <v>0Strait of Juan de Fuca</v>
      </c>
      <c r="K3053" s="110" t="s">
        <v>17</v>
      </c>
      <c r="L3053" s="110" t="str">
        <f>VLOOKUP(K3053,LUTs!E$2:G$14,3,)</f>
        <v>04Island</v>
      </c>
      <c r="M3053" s="110" t="str">
        <f>VLOOKUP($K3053,LUTs!$E$2:$H$14,2,)</f>
        <v>North Puget Sound</v>
      </c>
      <c r="N3053" s="110" t="str">
        <f>VLOOKUP($K3053,LUTs!$E$2:$H$14,4,)</f>
        <v>01North Puget Sound</v>
      </c>
      <c r="O3053" s="110">
        <v>14.035714285714301</v>
      </c>
      <c r="P3053" s="110">
        <v>119.86499999999999</v>
      </c>
      <c r="Q3053" s="110">
        <f>SUMIFS('FW_Steelhead_by_Month_2010-2021'!Q$2:Q$3810,'FW_Steelhead_by_Month_2010-2021'!$B$2:$B$3810,'Rec_raw_catch_effort_2010-2021'!$B3053,'FW_Steelhead_by_Month_2010-2021'!$H$2:$H$3810,'Rec_raw_catch_effort_2010-2021'!$F3053,'FW_Steelhead_by_Month_2010-2021'!$M$2:$M$3810,'Rec_raw_catch_effort_2010-2021'!$K3053)</f>
        <v>14.086956521739101</v>
      </c>
      <c r="R3053" s="111">
        <f>VLOOKUP(B3053,Readme!$A$62:$C$74,3,)*Q3053</f>
        <v>294.80108231569028</v>
      </c>
      <c r="S3053" s="140" t="str">
        <f t="shared" si="231"/>
        <v>Y</v>
      </c>
      <c r="T3053" s="154">
        <f t="shared" si="232"/>
        <v>8.5399999999999903</v>
      </c>
      <c r="U3053" s="154">
        <f t="shared" si="233"/>
        <v>20.927237324879293</v>
      </c>
    </row>
    <row r="3054" spans="1:21" x14ac:dyDescent="0.35">
      <c r="A3054" s="110">
        <v>2926</v>
      </c>
      <c r="B3054" s="110">
        <v>2010</v>
      </c>
      <c r="C3054" s="110" t="s">
        <v>38</v>
      </c>
      <c r="D3054" s="110" t="s">
        <v>143</v>
      </c>
      <c r="E3054" s="110" t="s">
        <v>86</v>
      </c>
      <c r="F3054" s="117">
        <v>752</v>
      </c>
      <c r="G3054" s="110" t="s">
        <v>46</v>
      </c>
      <c r="H3054" s="110" t="str">
        <f t="shared" si="234"/>
        <v>Hoko River</v>
      </c>
      <c r="I3054" s="110" t="str">
        <f>IFERROR(VLOOKUP(H3054,LUTs!$A$1:$C$73,2,FALSE),"NA")</f>
        <v>Clallam</v>
      </c>
      <c r="J3054" s="110" t="str">
        <f>IFERROR(VLOOKUP(H3054,LUTs!$A$1:$C$73,3,FALSE),"NA")</f>
        <v>0Strait of Juan de Fuca</v>
      </c>
      <c r="K3054" s="110" t="s">
        <v>25</v>
      </c>
      <c r="L3054" s="110" t="str">
        <f>VLOOKUP(K3054,LUTs!E$2:G$14,3,)</f>
        <v>12Jefferson</v>
      </c>
      <c r="M3054" s="110" t="str">
        <f>VLOOKUP($K3054,LUTs!$E$2:$H$14,2,)</f>
        <v>Strait of Juan de Fuca</v>
      </c>
      <c r="N3054" s="110" t="str">
        <f>VLOOKUP($K3054,LUTs!$E$2:$H$14,4,)</f>
        <v>03Strait of Juan de Fuca</v>
      </c>
      <c r="O3054" s="110">
        <v>2.33928571428571</v>
      </c>
      <c r="P3054" s="110">
        <v>19.977499999999999</v>
      </c>
      <c r="Q3054" s="110">
        <f>SUMIFS('FW_Steelhead_by_Month_2010-2021'!Q$2:Q$3810,'FW_Steelhead_by_Month_2010-2021'!$B$2:$B$3810,'Rec_raw_catch_effort_2010-2021'!$B3054,'FW_Steelhead_by_Month_2010-2021'!$H$2:$H$3810,'Rec_raw_catch_effort_2010-2021'!$F3054,'FW_Steelhead_by_Month_2010-2021'!$M$2:$M$3810,'Rec_raw_catch_effort_2010-2021'!$K3054)</f>
        <v>2.3478260869565202</v>
      </c>
      <c r="R3054" s="111">
        <f>VLOOKUP(B3054,Readme!$A$62:$C$74,3,)*Q3054</f>
        <v>49.133513719281787</v>
      </c>
      <c r="S3054" s="140" t="str">
        <f t="shared" si="231"/>
        <v>Y</v>
      </c>
      <c r="T3054" s="154">
        <f t="shared" si="232"/>
        <v>8.5400000000000151</v>
      </c>
      <c r="U3054" s="154">
        <f t="shared" si="233"/>
        <v>20.927237324879293</v>
      </c>
    </row>
    <row r="3055" spans="1:21" x14ac:dyDescent="0.35">
      <c r="A3055" s="110">
        <v>2921</v>
      </c>
      <c r="B3055" s="110">
        <v>2010</v>
      </c>
      <c r="C3055" s="110" t="s">
        <v>38</v>
      </c>
      <c r="D3055" s="110" t="s">
        <v>143</v>
      </c>
      <c r="E3055" s="110" t="s">
        <v>86</v>
      </c>
      <c r="F3055" s="117">
        <v>752</v>
      </c>
      <c r="G3055" s="110" t="s">
        <v>46</v>
      </c>
      <c r="H3055" s="110" t="str">
        <f t="shared" si="234"/>
        <v>Hoko River</v>
      </c>
      <c r="I3055" s="110" t="str">
        <f>IFERROR(VLOOKUP(H3055,LUTs!$A$1:$C$73,2,FALSE),"NA")</f>
        <v>Clallam</v>
      </c>
      <c r="J3055" s="110" t="str">
        <f>IFERROR(VLOOKUP(H3055,LUTs!$A$1:$C$73,3,FALSE),"NA")</f>
        <v>0Strait of Juan de Fuca</v>
      </c>
      <c r="K3055" s="110" t="s">
        <v>18</v>
      </c>
      <c r="L3055" s="110" t="str">
        <f>VLOOKUP(K3055,LUTs!E$2:G$14,3,)</f>
        <v>06King</v>
      </c>
      <c r="M3055" s="110" t="str">
        <f>VLOOKUP($K3055,LUTs!$E$2:$H$14,2,)</f>
        <v>South Puget Sound</v>
      </c>
      <c r="N3055" s="110" t="str">
        <f>VLOOKUP($K3055,LUTs!$E$2:$H$14,4,)</f>
        <v>02South Puget Sound</v>
      </c>
      <c r="O3055" s="110">
        <v>14.035714285714301</v>
      </c>
      <c r="P3055" s="110">
        <v>119.86499999999999</v>
      </c>
      <c r="Q3055" s="110">
        <f>SUMIFS('FW_Steelhead_by_Month_2010-2021'!Q$2:Q$3810,'FW_Steelhead_by_Month_2010-2021'!$B$2:$B$3810,'Rec_raw_catch_effort_2010-2021'!$B3055,'FW_Steelhead_by_Month_2010-2021'!$H$2:$H$3810,'Rec_raw_catch_effort_2010-2021'!$F3055,'FW_Steelhead_by_Month_2010-2021'!$M$2:$M$3810,'Rec_raw_catch_effort_2010-2021'!$K3055)</f>
        <v>14.095652173913042</v>
      </c>
      <c r="R3055" s="111">
        <f>VLOOKUP(B3055,Readme!$A$62:$C$74,3,)*Q3055</f>
        <v>294.98305829242895</v>
      </c>
      <c r="S3055" s="140" t="str">
        <f t="shared" si="231"/>
        <v>Y</v>
      </c>
      <c r="T3055" s="154">
        <f t="shared" si="232"/>
        <v>8.5399999999999903</v>
      </c>
      <c r="U3055" s="154">
        <f t="shared" si="233"/>
        <v>20.927237324879293</v>
      </c>
    </row>
    <row r="3056" spans="1:21" x14ac:dyDescent="0.35">
      <c r="A3056" s="110">
        <v>2924</v>
      </c>
      <c r="B3056" s="110">
        <v>2010</v>
      </c>
      <c r="C3056" s="110" t="s">
        <v>38</v>
      </c>
      <c r="D3056" s="110" t="s">
        <v>143</v>
      </c>
      <c r="E3056" s="110" t="s">
        <v>86</v>
      </c>
      <c r="F3056" s="117">
        <v>752</v>
      </c>
      <c r="G3056" s="110" t="s">
        <v>46</v>
      </c>
      <c r="H3056" s="110" t="str">
        <f t="shared" si="234"/>
        <v>Hoko River</v>
      </c>
      <c r="I3056" s="110" t="str">
        <f>IFERROR(VLOOKUP(H3056,LUTs!$A$1:$C$73,2,FALSE),"NA")</f>
        <v>Clallam</v>
      </c>
      <c r="J3056" s="110" t="str">
        <f>IFERROR(VLOOKUP(H3056,LUTs!$A$1:$C$73,3,FALSE),"NA")</f>
        <v>0Strait of Juan de Fuca</v>
      </c>
      <c r="K3056" s="110" t="s">
        <v>23</v>
      </c>
      <c r="L3056" s="110" t="str">
        <f>VLOOKUP(K3056,LUTs!E$2:G$14,3,)</f>
        <v>10Kitsap</v>
      </c>
      <c r="M3056" s="110" t="str">
        <f>VLOOKUP($K3056,LUTs!$E$2:$H$14,2,)</f>
        <v>South Puget Sound</v>
      </c>
      <c r="N3056" s="110" t="str">
        <f>VLOOKUP($K3056,LUTs!$E$2:$H$14,4,)</f>
        <v>02South Puget Sound</v>
      </c>
      <c r="O3056" s="110">
        <v>2.33928571428571</v>
      </c>
      <c r="P3056" s="110">
        <v>19.977499999999999</v>
      </c>
      <c r="Q3056" s="110">
        <f>SUMIFS('FW_Steelhead_by_Month_2010-2021'!Q$2:Q$3810,'FW_Steelhead_by_Month_2010-2021'!$B$2:$B$3810,'Rec_raw_catch_effort_2010-2021'!$B3056,'FW_Steelhead_by_Month_2010-2021'!$H$2:$H$3810,'Rec_raw_catch_effort_2010-2021'!$F3056,'FW_Steelhead_by_Month_2010-2021'!$M$2:$M$3810,'Rec_raw_catch_effort_2010-2021'!$K3056)</f>
        <v>2.3478260869565202</v>
      </c>
      <c r="R3056" s="111">
        <f>VLOOKUP(B3056,Readme!$A$62:$C$74,3,)*Q3056</f>
        <v>49.133513719281787</v>
      </c>
      <c r="S3056" s="140" t="str">
        <f t="shared" si="231"/>
        <v>Y</v>
      </c>
      <c r="T3056" s="154">
        <f t="shared" si="232"/>
        <v>8.5400000000000151</v>
      </c>
      <c r="U3056" s="154">
        <f t="shared" si="233"/>
        <v>20.927237324879293</v>
      </c>
    </row>
    <row r="3057" spans="1:21" x14ac:dyDescent="0.35">
      <c r="A3057" s="110">
        <v>2927</v>
      </c>
      <c r="B3057" s="110">
        <v>2010</v>
      </c>
      <c r="C3057" s="110" t="s">
        <v>38</v>
      </c>
      <c r="D3057" s="110" t="s">
        <v>143</v>
      </c>
      <c r="E3057" s="110" t="s">
        <v>86</v>
      </c>
      <c r="F3057" s="117">
        <v>752</v>
      </c>
      <c r="G3057" s="110" t="s">
        <v>46</v>
      </c>
      <c r="H3057" s="110" t="str">
        <f t="shared" si="234"/>
        <v>Hoko River</v>
      </c>
      <c r="I3057" s="110" t="str">
        <f>IFERROR(VLOOKUP(H3057,LUTs!$A$1:$C$73,2,FALSE),"NA")</f>
        <v>Clallam</v>
      </c>
      <c r="J3057" s="110" t="str">
        <f>IFERROR(VLOOKUP(H3057,LUTs!$A$1:$C$73,3,FALSE),"NA")</f>
        <v>0Strait of Juan de Fuca</v>
      </c>
      <c r="K3057" s="110" t="s">
        <v>26</v>
      </c>
      <c r="L3057" s="110" t="str">
        <f>VLOOKUP(K3057,LUTs!E$2:G$14,3,)</f>
        <v>20Other</v>
      </c>
      <c r="M3057" s="110" t="str">
        <f>VLOOKUP($K3057,LUTs!$E$2:$H$14,2,)</f>
        <v>Non Puget Sound</v>
      </c>
      <c r="N3057" s="110" t="str">
        <f>VLOOKUP($K3057,LUTs!$E$2:$H$14,4,)</f>
        <v>07Non Puget Sound</v>
      </c>
      <c r="O3057" s="110">
        <v>4.6785714285714297</v>
      </c>
      <c r="P3057" s="110">
        <v>39.954999999999998</v>
      </c>
      <c r="Q3057" s="110">
        <f>SUMIFS('FW_Steelhead_by_Month_2010-2021'!Q$2:Q$3810,'FW_Steelhead_by_Month_2010-2021'!$B$2:$B$3810,'Rec_raw_catch_effort_2010-2021'!$B3057,'FW_Steelhead_by_Month_2010-2021'!$H$2:$H$3810,'Rec_raw_catch_effort_2010-2021'!$F3057,'FW_Steelhead_by_Month_2010-2021'!$M$2:$M$3810,'Rec_raw_catch_effort_2010-2021'!$K3057)</f>
        <v>4.7</v>
      </c>
      <c r="R3057" s="111">
        <f>VLOOKUP(B3057,Readme!$A$62:$C$74,3,)*Q3057</f>
        <v>98.358015426932681</v>
      </c>
      <c r="S3057" s="140" t="str">
        <f t="shared" si="231"/>
        <v>Y</v>
      </c>
      <c r="T3057" s="154">
        <f t="shared" si="232"/>
        <v>8.5399999999999974</v>
      </c>
      <c r="U3057" s="154">
        <f t="shared" si="233"/>
        <v>20.927237324879293</v>
      </c>
    </row>
    <row r="3058" spans="1:21" x14ac:dyDescent="0.35">
      <c r="A3058" s="110">
        <v>2922</v>
      </c>
      <c r="B3058" s="110">
        <v>2010</v>
      </c>
      <c r="C3058" s="110" t="s">
        <v>38</v>
      </c>
      <c r="D3058" s="110" t="s">
        <v>143</v>
      </c>
      <c r="E3058" s="110" t="s">
        <v>86</v>
      </c>
      <c r="F3058" s="117">
        <v>752</v>
      </c>
      <c r="G3058" s="110" t="s">
        <v>46</v>
      </c>
      <c r="H3058" s="110" t="str">
        <f t="shared" si="234"/>
        <v>Hoko River</v>
      </c>
      <c r="I3058" s="110" t="str">
        <f>IFERROR(VLOOKUP(H3058,LUTs!$A$1:$C$73,2,FALSE),"NA")</f>
        <v>Clallam</v>
      </c>
      <c r="J3058" s="110" t="str">
        <f>IFERROR(VLOOKUP(H3058,LUTs!$A$1:$C$73,3,FALSE),"NA")</f>
        <v>0Strait of Juan de Fuca</v>
      </c>
      <c r="K3058" s="110" t="s">
        <v>20</v>
      </c>
      <c r="L3058" s="110" t="str">
        <f>VLOOKUP(K3058,LUTs!E$2:G$14,3,)</f>
        <v>07Pierce</v>
      </c>
      <c r="M3058" s="110" t="str">
        <f>VLOOKUP($K3058,LUTs!$E$2:$H$14,2,)</f>
        <v>South Puget Sound</v>
      </c>
      <c r="N3058" s="110" t="str">
        <f>VLOOKUP($K3058,LUTs!$E$2:$H$14,4,)</f>
        <v>02South Puget Sound</v>
      </c>
      <c r="O3058" s="110">
        <v>7.0178571428571397</v>
      </c>
      <c r="P3058" s="110">
        <v>59.932499999999997</v>
      </c>
      <c r="Q3058" s="110">
        <f>SUMIFS('FW_Steelhead_by_Month_2010-2021'!Q$2:Q$3810,'FW_Steelhead_by_Month_2010-2021'!$B$2:$B$3810,'Rec_raw_catch_effort_2010-2021'!$B3058,'FW_Steelhead_by_Month_2010-2021'!$H$2:$H$3810,'Rec_raw_catch_effort_2010-2021'!$F3058,'FW_Steelhead_by_Month_2010-2021'!$M$2:$M$3810,'Rec_raw_catch_effort_2010-2021'!$K3058)</f>
        <v>7.0456521739130409</v>
      </c>
      <c r="R3058" s="111">
        <f>VLOOKUP(B3058,Readme!$A$62:$C$74,3,)*Q3058</f>
        <v>147.44603515202994</v>
      </c>
      <c r="S3058" s="140" t="str">
        <f t="shared" si="231"/>
        <v>Y</v>
      </c>
      <c r="T3058" s="154">
        <f t="shared" si="232"/>
        <v>8.5400000000000027</v>
      </c>
      <c r="U3058" s="154">
        <f t="shared" si="233"/>
        <v>20.927237324879297</v>
      </c>
    </row>
    <row r="3059" spans="1:21" x14ac:dyDescent="0.35">
      <c r="A3059" s="110">
        <v>2919</v>
      </c>
      <c r="B3059" s="110">
        <v>2010</v>
      </c>
      <c r="C3059" s="110" t="s">
        <v>38</v>
      </c>
      <c r="D3059" s="110" t="s">
        <v>143</v>
      </c>
      <c r="E3059" s="110" t="s">
        <v>86</v>
      </c>
      <c r="F3059" s="117">
        <v>752</v>
      </c>
      <c r="G3059" s="110" t="s">
        <v>46</v>
      </c>
      <c r="H3059" s="110" t="str">
        <f t="shared" si="234"/>
        <v>Hoko River</v>
      </c>
      <c r="I3059" s="110" t="str">
        <f>IFERROR(VLOOKUP(H3059,LUTs!$A$1:$C$73,2,FALSE),"NA")</f>
        <v>Clallam</v>
      </c>
      <c r="J3059" s="110" t="str">
        <f>IFERROR(VLOOKUP(H3059,LUTs!$A$1:$C$73,3,FALSE),"NA")</f>
        <v>0Strait of Juan de Fuca</v>
      </c>
      <c r="K3059" s="110" t="s">
        <v>15</v>
      </c>
      <c r="L3059" s="110" t="str">
        <f>VLOOKUP(K3059,LUTs!E$2:G$14,3,)</f>
        <v>02Skagit</v>
      </c>
      <c r="M3059" s="110" t="str">
        <f>VLOOKUP($K3059,LUTs!$E$2:$H$14,2,)</f>
        <v>North Puget Sound</v>
      </c>
      <c r="N3059" s="110" t="str">
        <f>VLOOKUP($K3059,LUTs!$E$2:$H$14,4,)</f>
        <v>01North Puget Sound</v>
      </c>
      <c r="O3059" s="110">
        <v>9.3571428571428594</v>
      </c>
      <c r="P3059" s="110">
        <v>79.91</v>
      </c>
      <c r="Q3059" s="110">
        <f>SUMIFS('FW_Steelhead_by_Month_2010-2021'!Q$2:Q$3810,'FW_Steelhead_by_Month_2010-2021'!$B$2:$B$3810,'Rec_raw_catch_effort_2010-2021'!$B3059,'FW_Steelhead_by_Month_2010-2021'!$H$2:$H$3810,'Rec_raw_catch_effort_2010-2021'!$F3059,'FW_Steelhead_by_Month_2010-2021'!$M$2:$M$3810,'Rec_raw_catch_effort_2010-2021'!$K3059)</f>
        <v>4.6956521739130404</v>
      </c>
      <c r="R3059" s="111">
        <f>VLOOKUP(B3059,Readme!$A$62:$C$74,3,)*Q3059</f>
        <v>98.267027438563574</v>
      </c>
      <c r="S3059" s="140" t="str">
        <f t="shared" si="231"/>
        <v>Y</v>
      </c>
      <c r="T3059" s="154">
        <f t="shared" si="232"/>
        <v>8.5399999999999974</v>
      </c>
      <c r="U3059" s="154">
        <f t="shared" si="233"/>
        <v>20.927237324879293</v>
      </c>
    </row>
    <row r="3060" spans="1:21" x14ac:dyDescent="0.35">
      <c r="A3060" s="110">
        <v>2923</v>
      </c>
      <c r="B3060" s="110">
        <v>2010</v>
      </c>
      <c r="C3060" s="110" t="s">
        <v>38</v>
      </c>
      <c r="D3060" s="110" t="s">
        <v>143</v>
      </c>
      <c r="E3060" s="110" t="s">
        <v>86</v>
      </c>
      <c r="F3060" s="117">
        <v>752</v>
      </c>
      <c r="G3060" s="110" t="s">
        <v>46</v>
      </c>
      <c r="H3060" s="110" t="str">
        <f t="shared" si="234"/>
        <v>Hoko River</v>
      </c>
      <c r="I3060" s="110" t="str">
        <f>IFERROR(VLOOKUP(H3060,LUTs!$A$1:$C$73,2,FALSE),"NA")</f>
        <v>Clallam</v>
      </c>
      <c r="J3060" s="110" t="str">
        <f>IFERROR(VLOOKUP(H3060,LUTs!$A$1:$C$73,3,FALSE),"NA")</f>
        <v>0Strait of Juan de Fuca</v>
      </c>
      <c r="K3060" s="110" t="s">
        <v>21</v>
      </c>
      <c r="L3060" s="110" t="str">
        <f>VLOOKUP(K3060,LUTs!E$2:G$14,3,)</f>
        <v>08Thurston</v>
      </c>
      <c r="M3060" s="110" t="str">
        <f>VLOOKUP($K3060,LUTs!$E$2:$H$14,2,)</f>
        <v>South Puget Sound</v>
      </c>
      <c r="N3060" s="110" t="str">
        <f>VLOOKUP($K3060,LUTs!$E$2:$H$14,4,)</f>
        <v>02South Puget Sound</v>
      </c>
      <c r="O3060" s="110">
        <v>2.33928571428571</v>
      </c>
      <c r="P3060" s="110">
        <v>19.977499999999999</v>
      </c>
      <c r="Q3060" s="110">
        <f>SUMIFS('FW_Steelhead_by_Month_2010-2021'!Q$2:Q$3810,'FW_Steelhead_by_Month_2010-2021'!$B$2:$B$3810,'Rec_raw_catch_effort_2010-2021'!$B3060,'FW_Steelhead_by_Month_2010-2021'!$H$2:$H$3810,'Rec_raw_catch_effort_2010-2021'!$F3060,'FW_Steelhead_by_Month_2010-2021'!$M$2:$M$3810,'Rec_raw_catch_effort_2010-2021'!$K3060)</f>
        <v>2.35</v>
      </c>
      <c r="R3060" s="111">
        <f>VLOOKUP(B3060,Readme!$A$62:$C$74,3,)*Q3060</f>
        <v>49.179007713466341</v>
      </c>
      <c r="S3060" s="140" t="str">
        <f t="shared" si="231"/>
        <v>Y</v>
      </c>
      <c r="T3060" s="154">
        <f t="shared" si="232"/>
        <v>8.5400000000000151</v>
      </c>
      <c r="U3060" s="154">
        <f t="shared" si="233"/>
        <v>20.927237324879293</v>
      </c>
    </row>
    <row r="3061" spans="1:21" x14ac:dyDescent="0.35">
      <c r="A3061" s="110">
        <v>3044</v>
      </c>
      <c r="B3061" s="110">
        <v>2011</v>
      </c>
      <c r="C3061" s="110" t="s">
        <v>38</v>
      </c>
      <c r="D3061" s="110" t="s">
        <v>143</v>
      </c>
      <c r="E3061" s="110" t="s">
        <v>86</v>
      </c>
      <c r="F3061" s="117">
        <v>752</v>
      </c>
      <c r="G3061" s="110" t="s">
        <v>46</v>
      </c>
      <c r="H3061" s="110" t="str">
        <f t="shared" si="234"/>
        <v>Hoko River</v>
      </c>
      <c r="I3061" s="110" t="str">
        <f>IFERROR(VLOOKUP(H3061,LUTs!$A$1:$C$73,2,FALSE),"NA")</f>
        <v>Clallam</v>
      </c>
      <c r="J3061" s="110" t="str">
        <f>IFERROR(VLOOKUP(H3061,LUTs!$A$1:$C$73,3,FALSE),"NA")</f>
        <v>0Strait of Juan de Fuca</v>
      </c>
      <c r="K3061" s="110" t="s">
        <v>24</v>
      </c>
      <c r="L3061" s="110" t="str">
        <f>VLOOKUP(K3061,LUTs!E$2:G$14,3,)</f>
        <v>11Clallam</v>
      </c>
      <c r="M3061" s="110" t="str">
        <f>VLOOKUP($K3061,LUTs!$E$2:$H$14,2,)</f>
        <v>Strait of Juan de Fuca</v>
      </c>
      <c r="N3061" s="110" t="str">
        <f>VLOOKUP($K3061,LUTs!$E$2:$H$14,4,)</f>
        <v>03Strait of Juan de Fuca</v>
      </c>
      <c r="O3061" s="110">
        <v>41</v>
      </c>
      <c r="P3061" s="110">
        <v>760.55</v>
      </c>
      <c r="Q3061" s="110">
        <f>SUMIFS('FW_Steelhead_by_Month_2010-2021'!Q$2:Q$3810,'FW_Steelhead_by_Month_2010-2021'!$B$2:$B$3810,'Rec_raw_catch_effort_2010-2021'!$B3061,'FW_Steelhead_by_Month_2010-2021'!$H$2:$H$3810,'Rec_raw_catch_effort_2010-2021'!$F3061,'FW_Steelhead_by_Month_2010-2021'!$M$2:$M$3810,'Rec_raw_catch_effort_2010-2021'!$K3061)</f>
        <v>57.619047619047635</v>
      </c>
      <c r="R3061" s="111">
        <f>VLOOKUP(B3061,Readme!$A$62:$C$74,3,)*Q3061</f>
        <v>1205.807483957331</v>
      </c>
      <c r="S3061" s="140" t="str">
        <f t="shared" si="231"/>
        <v>Y</v>
      </c>
      <c r="T3061" s="154">
        <f t="shared" si="232"/>
        <v>18.549999999999997</v>
      </c>
      <c r="U3061" s="154">
        <f t="shared" si="233"/>
        <v>20.927237324879293</v>
      </c>
    </row>
    <row r="3062" spans="1:21" x14ac:dyDescent="0.35">
      <c r="A3062" s="110">
        <v>3040</v>
      </c>
      <c r="B3062" s="110">
        <v>2011</v>
      </c>
      <c r="C3062" s="110" t="s">
        <v>38</v>
      </c>
      <c r="D3062" s="110" t="s">
        <v>143</v>
      </c>
      <c r="E3062" s="110" t="s">
        <v>86</v>
      </c>
      <c r="F3062" s="117">
        <v>752</v>
      </c>
      <c r="G3062" s="110" t="s">
        <v>46</v>
      </c>
      <c r="H3062" s="110" t="str">
        <f t="shared" si="234"/>
        <v>Hoko River</v>
      </c>
      <c r="I3062" s="110" t="str">
        <f>IFERROR(VLOOKUP(H3062,LUTs!$A$1:$C$73,2,FALSE),"NA")</f>
        <v>Clallam</v>
      </c>
      <c r="J3062" s="110" t="str">
        <f>IFERROR(VLOOKUP(H3062,LUTs!$A$1:$C$73,3,FALSE),"NA")</f>
        <v>0Strait of Juan de Fuca</v>
      </c>
      <c r="K3062" s="110" t="s">
        <v>18</v>
      </c>
      <c r="L3062" s="110" t="str">
        <f>VLOOKUP(K3062,LUTs!E$2:G$14,3,)</f>
        <v>06King</v>
      </c>
      <c r="M3062" s="110" t="str">
        <f>VLOOKUP($K3062,LUTs!$E$2:$H$14,2,)</f>
        <v>South Puget Sound</v>
      </c>
      <c r="N3062" s="110" t="str">
        <f>VLOOKUP($K3062,LUTs!$E$2:$H$14,4,)</f>
        <v>02South Puget Sound</v>
      </c>
      <c r="O3062" s="110">
        <v>11.3888888888889</v>
      </c>
      <c r="P3062" s="110">
        <v>211.263888888889</v>
      </c>
      <c r="Q3062" s="110">
        <f>SUMIFS('FW_Steelhead_by_Month_2010-2021'!Q$2:Q$3810,'FW_Steelhead_by_Month_2010-2021'!$B$2:$B$3810,'Rec_raw_catch_effort_2010-2021'!$B3062,'FW_Steelhead_by_Month_2010-2021'!$H$2:$H$3810,'Rec_raw_catch_effort_2010-2021'!$F3062,'FW_Steelhead_by_Month_2010-2021'!$M$2:$M$3810,'Rec_raw_catch_effort_2010-2021'!$K3062)</f>
        <v>6.9523809523809597</v>
      </c>
      <c r="R3062" s="111">
        <f>VLOOKUP(B3062,Readme!$A$62:$C$74,3,)*Q3062</f>
        <v>145.49412616344668</v>
      </c>
      <c r="S3062" s="140" t="str">
        <f t="shared" si="231"/>
        <v>Y</v>
      </c>
      <c r="T3062" s="154">
        <f t="shared" si="232"/>
        <v>18.54999999999999</v>
      </c>
      <c r="U3062" s="154">
        <f t="shared" si="233"/>
        <v>20.927237324879297</v>
      </c>
    </row>
    <row r="3063" spans="1:21" x14ac:dyDescent="0.35">
      <c r="A3063" s="110">
        <v>3043</v>
      </c>
      <c r="B3063" s="110">
        <v>2011</v>
      </c>
      <c r="C3063" s="110" t="s">
        <v>38</v>
      </c>
      <c r="D3063" s="110" t="s">
        <v>143</v>
      </c>
      <c r="E3063" s="110" t="s">
        <v>86</v>
      </c>
      <c r="F3063" s="117">
        <v>752</v>
      </c>
      <c r="G3063" s="110" t="s">
        <v>46</v>
      </c>
      <c r="H3063" s="110" t="str">
        <f t="shared" si="234"/>
        <v>Hoko River</v>
      </c>
      <c r="I3063" s="110" t="str">
        <f>IFERROR(VLOOKUP(H3063,LUTs!$A$1:$C$73,2,FALSE),"NA")</f>
        <v>Clallam</v>
      </c>
      <c r="J3063" s="110" t="str">
        <f>IFERROR(VLOOKUP(H3063,LUTs!$A$1:$C$73,3,FALSE),"NA")</f>
        <v>0Strait of Juan de Fuca</v>
      </c>
      <c r="K3063" s="110" t="s">
        <v>23</v>
      </c>
      <c r="L3063" s="110" t="str">
        <f>VLOOKUP(K3063,LUTs!E$2:G$14,3,)</f>
        <v>10Kitsap</v>
      </c>
      <c r="M3063" s="110" t="str">
        <f>VLOOKUP($K3063,LUTs!$E$2:$H$14,2,)</f>
        <v>South Puget Sound</v>
      </c>
      <c r="N3063" s="110" t="str">
        <f>VLOOKUP($K3063,LUTs!$E$2:$H$14,4,)</f>
        <v>02South Puget Sound</v>
      </c>
      <c r="O3063" s="110">
        <v>11.3888888888889</v>
      </c>
      <c r="P3063" s="110">
        <v>211.263888888889</v>
      </c>
      <c r="Q3063" s="110">
        <f>SUMIFS('FW_Steelhead_by_Month_2010-2021'!Q$2:Q$3810,'FW_Steelhead_by_Month_2010-2021'!$B$2:$B$3810,'Rec_raw_catch_effort_2010-2021'!$B3063,'FW_Steelhead_by_Month_2010-2021'!$H$2:$H$3810,'Rec_raw_catch_effort_2010-2021'!$F3063,'FW_Steelhead_by_Month_2010-2021'!$M$2:$M$3810,'Rec_raw_catch_effort_2010-2021'!$K3063)</f>
        <v>0</v>
      </c>
      <c r="R3063" s="111">
        <f>VLOOKUP(B3063,Readme!$A$62:$C$74,3,)*Q3063</f>
        <v>0</v>
      </c>
      <c r="S3063" s="140" t="str">
        <f t="shared" si="231"/>
        <v>Y</v>
      </c>
      <c r="T3063" s="154">
        <f t="shared" si="232"/>
        <v>18.54999999999999</v>
      </c>
      <c r="U3063" s="154" t="str">
        <f t="shared" si="233"/>
        <v>NA</v>
      </c>
    </row>
    <row r="3064" spans="1:21" x14ac:dyDescent="0.35">
      <c r="A3064" s="110">
        <v>3045</v>
      </c>
      <c r="B3064" s="110">
        <v>2011</v>
      </c>
      <c r="C3064" s="110" t="s">
        <v>38</v>
      </c>
      <c r="D3064" s="110" t="s">
        <v>143</v>
      </c>
      <c r="E3064" s="110" t="s">
        <v>86</v>
      </c>
      <c r="F3064" s="117">
        <v>752</v>
      </c>
      <c r="G3064" s="110" t="s">
        <v>46</v>
      </c>
      <c r="H3064" s="110" t="str">
        <f t="shared" si="234"/>
        <v>Hoko River</v>
      </c>
      <c r="I3064" s="110" t="str">
        <f>IFERROR(VLOOKUP(H3064,LUTs!$A$1:$C$73,2,FALSE),"NA")</f>
        <v>Clallam</v>
      </c>
      <c r="J3064" s="110" t="str">
        <f>IFERROR(VLOOKUP(H3064,LUTs!$A$1:$C$73,3,FALSE),"NA")</f>
        <v>0Strait of Juan de Fuca</v>
      </c>
      <c r="K3064" s="110" t="s">
        <v>26</v>
      </c>
      <c r="L3064" s="110" t="str">
        <f>VLOOKUP(K3064,LUTs!E$2:G$14,3,)</f>
        <v>20Other</v>
      </c>
      <c r="M3064" s="110" t="str">
        <f>VLOOKUP($K3064,LUTs!$E$2:$H$14,2,)</f>
        <v>Non Puget Sound</v>
      </c>
      <c r="N3064" s="110" t="str">
        <f>VLOOKUP($K3064,LUTs!$E$2:$H$14,4,)</f>
        <v>07Non Puget Sound</v>
      </c>
      <c r="O3064" s="110">
        <v>2.2777777777777799</v>
      </c>
      <c r="P3064" s="110">
        <v>42.252777777777801</v>
      </c>
      <c r="Q3064" s="110">
        <f>SUMIFS('FW_Steelhead_by_Month_2010-2021'!Q$2:Q$3810,'FW_Steelhead_by_Month_2010-2021'!$B$2:$B$3810,'Rec_raw_catch_effort_2010-2021'!$B3064,'FW_Steelhead_by_Month_2010-2021'!$H$2:$H$3810,'Rec_raw_catch_effort_2010-2021'!$F3064,'FW_Steelhead_by_Month_2010-2021'!$M$2:$M$3810,'Rec_raw_catch_effort_2010-2021'!$K3064)</f>
        <v>2.28571428571429</v>
      </c>
      <c r="R3064" s="111">
        <f>VLOOKUP(B3064,Readme!$A$62:$C$74,3,)*Q3064</f>
        <v>47.833685314009905</v>
      </c>
      <c r="S3064" s="140" t="str">
        <f t="shared" si="231"/>
        <v>Y</v>
      </c>
      <c r="T3064" s="154">
        <f t="shared" si="232"/>
        <v>18.549999999999994</v>
      </c>
      <c r="U3064" s="154">
        <f t="shared" si="233"/>
        <v>20.927237324879293</v>
      </c>
    </row>
    <row r="3065" spans="1:21" x14ac:dyDescent="0.35">
      <c r="A3065" s="110">
        <v>3041</v>
      </c>
      <c r="B3065" s="110">
        <v>2011</v>
      </c>
      <c r="C3065" s="110" t="s">
        <v>38</v>
      </c>
      <c r="D3065" s="110" t="s">
        <v>143</v>
      </c>
      <c r="E3065" s="110" t="s">
        <v>86</v>
      </c>
      <c r="F3065" s="117">
        <v>752</v>
      </c>
      <c r="G3065" s="110" t="s">
        <v>46</v>
      </c>
      <c r="H3065" s="110" t="str">
        <f t="shared" si="234"/>
        <v>Hoko River</v>
      </c>
      <c r="I3065" s="110" t="str">
        <f>IFERROR(VLOOKUP(H3065,LUTs!$A$1:$C$73,2,FALSE),"NA")</f>
        <v>Clallam</v>
      </c>
      <c r="J3065" s="110" t="str">
        <f>IFERROR(VLOOKUP(H3065,LUTs!$A$1:$C$73,3,FALSE),"NA")</f>
        <v>0Strait of Juan de Fuca</v>
      </c>
      <c r="K3065" s="110" t="s">
        <v>20</v>
      </c>
      <c r="L3065" s="110" t="str">
        <f>VLOOKUP(K3065,LUTs!E$2:G$14,3,)</f>
        <v>07Pierce</v>
      </c>
      <c r="M3065" s="110" t="str">
        <f>VLOOKUP($K3065,LUTs!$E$2:$H$14,2,)</f>
        <v>South Puget Sound</v>
      </c>
      <c r="N3065" s="110" t="str">
        <f>VLOOKUP($K3065,LUTs!$E$2:$H$14,4,)</f>
        <v>02South Puget Sound</v>
      </c>
      <c r="O3065" s="110">
        <v>9.1111111111111107</v>
      </c>
      <c r="P3065" s="110">
        <v>169.01111111111101</v>
      </c>
      <c r="Q3065" s="110">
        <f>SUMIFS('FW_Steelhead_by_Month_2010-2021'!Q$2:Q$3810,'FW_Steelhead_by_Month_2010-2021'!$B$2:$B$3810,'Rec_raw_catch_effort_2010-2021'!$B3065,'FW_Steelhead_by_Month_2010-2021'!$H$2:$H$3810,'Rec_raw_catch_effort_2010-2021'!$F3065,'FW_Steelhead_by_Month_2010-2021'!$M$2:$M$3810,'Rec_raw_catch_effort_2010-2021'!$K3065)</f>
        <v>4.5714285714285703</v>
      </c>
      <c r="R3065" s="111">
        <f>VLOOKUP(B3065,Readme!$A$62:$C$74,3,)*Q3065</f>
        <v>95.667370628019597</v>
      </c>
      <c r="S3065" s="140" t="str">
        <f t="shared" si="231"/>
        <v>Y</v>
      </c>
      <c r="T3065" s="154">
        <f t="shared" si="232"/>
        <v>18.54999999999999</v>
      </c>
      <c r="U3065" s="154">
        <f t="shared" si="233"/>
        <v>20.927237324879293</v>
      </c>
    </row>
    <row r="3066" spans="1:21" x14ac:dyDescent="0.35">
      <c r="A3066" s="110">
        <v>3039</v>
      </c>
      <c r="B3066" s="110">
        <v>2011</v>
      </c>
      <c r="C3066" s="110" t="s">
        <v>38</v>
      </c>
      <c r="D3066" s="110" t="s">
        <v>143</v>
      </c>
      <c r="E3066" s="110" t="s">
        <v>86</v>
      </c>
      <c r="F3066" s="117">
        <v>752</v>
      </c>
      <c r="G3066" s="110" t="s">
        <v>46</v>
      </c>
      <c r="H3066" s="110" t="str">
        <f t="shared" si="234"/>
        <v>Hoko River</v>
      </c>
      <c r="I3066" s="110" t="str">
        <f>IFERROR(VLOOKUP(H3066,LUTs!$A$1:$C$73,2,FALSE),"NA")</f>
        <v>Clallam</v>
      </c>
      <c r="J3066" s="110" t="str">
        <f>IFERROR(VLOOKUP(H3066,LUTs!$A$1:$C$73,3,FALSE),"NA")</f>
        <v>0Strait of Juan de Fuca</v>
      </c>
      <c r="K3066" s="110" t="s">
        <v>16</v>
      </c>
      <c r="L3066" s="110" t="str">
        <f>VLOOKUP(K3066,LUTs!E$2:G$14,3,)</f>
        <v>03Snohomish</v>
      </c>
      <c r="M3066" s="110" t="str">
        <f>VLOOKUP($K3066,LUTs!$E$2:$H$14,2,)</f>
        <v>North Puget Sound</v>
      </c>
      <c r="N3066" s="110" t="str">
        <f>VLOOKUP($K3066,LUTs!$E$2:$H$14,4,)</f>
        <v>01North Puget Sound</v>
      </c>
      <c r="O3066" s="110">
        <v>2.2777777777777799</v>
      </c>
      <c r="P3066" s="110">
        <v>42.252777777777801</v>
      </c>
      <c r="Q3066" s="110">
        <f>SUMIFS('FW_Steelhead_by_Month_2010-2021'!Q$2:Q$3810,'FW_Steelhead_by_Month_2010-2021'!$B$2:$B$3810,'Rec_raw_catch_effort_2010-2021'!$B3066,'FW_Steelhead_by_Month_2010-2021'!$H$2:$H$3810,'Rec_raw_catch_effort_2010-2021'!$F3066,'FW_Steelhead_by_Month_2010-2021'!$M$2:$M$3810,'Rec_raw_catch_effort_2010-2021'!$K3066)</f>
        <v>0</v>
      </c>
      <c r="R3066" s="111">
        <f>VLOOKUP(B3066,Readme!$A$62:$C$74,3,)*Q3066</f>
        <v>0</v>
      </c>
      <c r="S3066" s="140" t="str">
        <f t="shared" si="231"/>
        <v>Y</v>
      </c>
      <c r="T3066" s="154">
        <f t="shared" si="232"/>
        <v>18.549999999999994</v>
      </c>
      <c r="U3066" s="154" t="str">
        <f t="shared" si="233"/>
        <v>NA</v>
      </c>
    </row>
    <row r="3067" spans="1:21" x14ac:dyDescent="0.35">
      <c r="A3067" s="110">
        <v>3042</v>
      </c>
      <c r="B3067" s="110">
        <v>2011</v>
      </c>
      <c r="C3067" s="110" t="s">
        <v>38</v>
      </c>
      <c r="D3067" s="110" t="s">
        <v>143</v>
      </c>
      <c r="E3067" s="110" t="s">
        <v>86</v>
      </c>
      <c r="F3067" s="117">
        <v>752</v>
      </c>
      <c r="G3067" s="110" t="s">
        <v>46</v>
      </c>
      <c r="H3067" s="110" t="str">
        <f t="shared" si="234"/>
        <v>Hoko River</v>
      </c>
      <c r="I3067" s="110" t="str">
        <f>IFERROR(VLOOKUP(H3067,LUTs!$A$1:$C$73,2,FALSE),"NA")</f>
        <v>Clallam</v>
      </c>
      <c r="J3067" s="110" t="str">
        <f>IFERROR(VLOOKUP(H3067,LUTs!$A$1:$C$73,3,FALSE),"NA")</f>
        <v>0Strait of Juan de Fuca</v>
      </c>
      <c r="K3067" s="110" t="s">
        <v>21</v>
      </c>
      <c r="L3067" s="110" t="str">
        <f>VLOOKUP(K3067,LUTs!E$2:G$14,3,)</f>
        <v>08Thurston</v>
      </c>
      <c r="M3067" s="110" t="str">
        <f>VLOOKUP($K3067,LUTs!$E$2:$H$14,2,)</f>
        <v>South Puget Sound</v>
      </c>
      <c r="N3067" s="110" t="str">
        <f>VLOOKUP($K3067,LUTs!$E$2:$H$14,4,)</f>
        <v>02South Puget Sound</v>
      </c>
      <c r="O3067" s="110">
        <v>4.5555555555555598</v>
      </c>
      <c r="P3067" s="110">
        <v>84.505555555555603</v>
      </c>
      <c r="Q3067" s="110">
        <f>SUMIFS('FW_Steelhead_by_Month_2010-2021'!Q$2:Q$3810,'FW_Steelhead_by_Month_2010-2021'!$B$2:$B$3810,'Rec_raw_catch_effort_2010-2021'!$B3067,'FW_Steelhead_by_Month_2010-2021'!$H$2:$H$3810,'Rec_raw_catch_effort_2010-2021'!$F3067,'FW_Steelhead_by_Month_2010-2021'!$M$2:$M$3810,'Rec_raw_catch_effort_2010-2021'!$K3067)</f>
        <v>0</v>
      </c>
      <c r="R3067" s="111">
        <f>VLOOKUP(B3067,Readme!$A$62:$C$74,3,)*Q3067</f>
        <v>0</v>
      </c>
      <c r="S3067" s="140" t="str">
        <f t="shared" si="231"/>
        <v>Y</v>
      </c>
      <c r="T3067" s="154">
        <f t="shared" si="232"/>
        <v>18.549999999999994</v>
      </c>
      <c r="U3067" s="154" t="str">
        <f t="shared" si="233"/>
        <v>NA</v>
      </c>
    </row>
    <row r="3068" spans="1:21" x14ac:dyDescent="0.35">
      <c r="A3068" s="110">
        <v>3163</v>
      </c>
      <c r="B3068" s="110">
        <v>2012</v>
      </c>
      <c r="C3068" s="110" t="s">
        <v>38</v>
      </c>
      <c r="D3068" s="110" t="s">
        <v>143</v>
      </c>
      <c r="E3068" s="110" t="s">
        <v>86</v>
      </c>
      <c r="F3068" s="117">
        <v>752</v>
      </c>
      <c r="G3068" s="110" t="s">
        <v>46</v>
      </c>
      <c r="H3068" s="110" t="str">
        <f t="shared" si="234"/>
        <v>Hoko River</v>
      </c>
      <c r="I3068" s="110" t="str">
        <f>IFERROR(VLOOKUP(H3068,LUTs!$A$1:$C$73,2,FALSE),"NA")</f>
        <v>Clallam</v>
      </c>
      <c r="J3068" s="110" t="str">
        <f>IFERROR(VLOOKUP(H3068,LUTs!$A$1:$C$73,3,FALSE),"NA")</f>
        <v>0Strait of Juan de Fuca</v>
      </c>
      <c r="K3068" s="110" t="s">
        <v>24</v>
      </c>
      <c r="L3068" s="110" t="str">
        <f>VLOOKUP(K3068,LUTs!E$2:G$14,3,)</f>
        <v>11Clallam</v>
      </c>
      <c r="M3068" s="110" t="str">
        <f>VLOOKUP($K3068,LUTs!$E$2:$H$14,2,)</f>
        <v>Strait of Juan de Fuca</v>
      </c>
      <c r="N3068" s="110" t="str">
        <f>VLOOKUP($K3068,LUTs!$E$2:$H$14,4,)</f>
        <v>03Strait of Juan de Fuca</v>
      </c>
      <c r="O3068" s="110">
        <v>127.329268292683</v>
      </c>
      <c r="P3068" s="110">
        <v>1087.39195121951</v>
      </c>
      <c r="Q3068" s="110">
        <f>SUMIFS('FW_Steelhead_by_Month_2010-2021'!Q$2:Q$3810,'FW_Steelhead_by_Month_2010-2021'!$B$2:$B$3810,'Rec_raw_catch_effort_2010-2021'!$B3068,'FW_Steelhead_by_Month_2010-2021'!$H$2:$H$3810,'Rec_raw_catch_effort_2010-2021'!$F3068,'FW_Steelhead_by_Month_2010-2021'!$M$2:$M$3810,'Rec_raw_catch_effort_2010-2021'!$K3068)</f>
        <v>73.533333333333331</v>
      </c>
      <c r="R3068" s="111">
        <f>VLOOKUP(B3068,Readme!$A$62:$C$74,3,)*Q3068</f>
        <v>1538.8495179561239</v>
      </c>
      <c r="S3068" s="140" t="str">
        <f t="shared" si="231"/>
        <v>Y</v>
      </c>
      <c r="T3068" s="154">
        <f t="shared" si="232"/>
        <v>8.5399999999999778</v>
      </c>
      <c r="U3068" s="154">
        <f t="shared" si="233"/>
        <v>20.927237324879293</v>
      </c>
    </row>
    <row r="3069" spans="1:21" x14ac:dyDescent="0.35">
      <c r="A3069" s="110">
        <v>3160</v>
      </c>
      <c r="B3069" s="110">
        <v>2012</v>
      </c>
      <c r="C3069" s="110" t="s">
        <v>38</v>
      </c>
      <c r="D3069" s="110" t="s">
        <v>143</v>
      </c>
      <c r="E3069" s="110" t="s">
        <v>86</v>
      </c>
      <c r="F3069" s="117">
        <v>752</v>
      </c>
      <c r="G3069" s="110" t="s">
        <v>46</v>
      </c>
      <c r="H3069" s="110" t="str">
        <f t="shared" si="234"/>
        <v>Hoko River</v>
      </c>
      <c r="I3069" s="110" t="str">
        <f>IFERROR(VLOOKUP(H3069,LUTs!$A$1:$C$73,2,FALSE),"NA")</f>
        <v>Clallam</v>
      </c>
      <c r="J3069" s="110" t="str">
        <f>IFERROR(VLOOKUP(H3069,LUTs!$A$1:$C$73,3,FALSE),"NA")</f>
        <v>0Strait of Juan de Fuca</v>
      </c>
      <c r="K3069" s="110" t="s">
        <v>17</v>
      </c>
      <c r="L3069" s="110" t="str">
        <f>VLOOKUP(K3069,LUTs!E$2:G$14,3,)</f>
        <v>04Island</v>
      </c>
      <c r="M3069" s="110" t="str">
        <f>VLOOKUP($K3069,LUTs!$E$2:$H$14,2,)</f>
        <v>North Puget Sound</v>
      </c>
      <c r="N3069" s="110" t="str">
        <f>VLOOKUP($K3069,LUTs!$E$2:$H$14,4,)</f>
        <v>01North Puget Sound</v>
      </c>
      <c r="O3069" s="110">
        <v>4.8048780487804903</v>
      </c>
      <c r="P3069" s="110">
        <v>41.033658536585399</v>
      </c>
      <c r="Q3069" s="110">
        <f>SUMIFS('FW_Steelhead_by_Month_2010-2021'!Q$2:Q$3810,'FW_Steelhead_by_Month_2010-2021'!$B$2:$B$3810,'Rec_raw_catch_effort_2010-2021'!$B3069,'FW_Steelhead_by_Month_2010-2021'!$H$2:$H$3810,'Rec_raw_catch_effort_2010-2021'!$F3069,'FW_Steelhead_by_Month_2010-2021'!$M$2:$M$3810,'Rec_raw_catch_effort_2010-2021'!$K3069)</f>
        <v>4.8</v>
      </c>
      <c r="R3069" s="111">
        <f>VLOOKUP(B3069,Readme!$A$62:$C$74,3,)*Q3069</f>
        <v>100.45073915942061</v>
      </c>
      <c r="S3069" s="140" t="str">
        <f t="shared" si="231"/>
        <v>Y</v>
      </c>
      <c r="T3069" s="154">
        <f t="shared" si="232"/>
        <v>8.5400000000000027</v>
      </c>
      <c r="U3069" s="154">
        <f t="shared" si="233"/>
        <v>20.927237324879293</v>
      </c>
    </row>
    <row r="3070" spans="1:21" x14ac:dyDescent="0.35">
      <c r="A3070" s="110">
        <v>3161</v>
      </c>
      <c r="B3070" s="110">
        <v>2012</v>
      </c>
      <c r="C3070" s="110" t="s">
        <v>38</v>
      </c>
      <c r="D3070" s="110" t="s">
        <v>143</v>
      </c>
      <c r="E3070" s="110" t="s">
        <v>86</v>
      </c>
      <c r="F3070" s="117">
        <v>752</v>
      </c>
      <c r="G3070" s="110" t="s">
        <v>46</v>
      </c>
      <c r="H3070" s="110" t="str">
        <f t="shared" si="234"/>
        <v>Hoko River</v>
      </c>
      <c r="I3070" s="110" t="str">
        <f>IFERROR(VLOOKUP(H3070,LUTs!$A$1:$C$73,2,FALSE),"NA")</f>
        <v>Clallam</v>
      </c>
      <c r="J3070" s="110" t="str">
        <f>IFERROR(VLOOKUP(H3070,LUTs!$A$1:$C$73,3,FALSE),"NA")</f>
        <v>0Strait of Juan de Fuca</v>
      </c>
      <c r="K3070" s="110" t="s">
        <v>18</v>
      </c>
      <c r="L3070" s="110" t="str">
        <f>VLOOKUP(K3070,LUTs!E$2:G$14,3,)</f>
        <v>06King</v>
      </c>
      <c r="M3070" s="110" t="str">
        <f>VLOOKUP($K3070,LUTs!$E$2:$H$14,2,)</f>
        <v>South Puget Sound</v>
      </c>
      <c r="N3070" s="110" t="str">
        <f>VLOOKUP($K3070,LUTs!$E$2:$H$14,4,)</f>
        <v>02South Puget Sound</v>
      </c>
      <c r="O3070" s="110">
        <v>19.219512195122</v>
      </c>
      <c r="P3070" s="110">
        <v>164.13463414634199</v>
      </c>
      <c r="Q3070" s="110">
        <f>SUMIFS('FW_Steelhead_by_Month_2010-2021'!Q$2:Q$3810,'FW_Steelhead_by_Month_2010-2021'!$B$2:$B$3810,'Rec_raw_catch_effort_2010-2021'!$B3070,'FW_Steelhead_by_Month_2010-2021'!$H$2:$H$3810,'Rec_raw_catch_effort_2010-2021'!$F3070,'FW_Steelhead_by_Month_2010-2021'!$M$2:$M$3810,'Rec_raw_catch_effort_2010-2021'!$K3070)</f>
        <v>11.7</v>
      </c>
      <c r="R3070" s="111">
        <f>VLOOKUP(B3070,Readme!$A$62:$C$74,3,)*Q3070</f>
        <v>244.84867670108773</v>
      </c>
      <c r="S3070" s="140" t="str">
        <f t="shared" si="231"/>
        <v>Y</v>
      </c>
      <c r="T3070" s="154">
        <f t="shared" si="232"/>
        <v>8.5400000000000063</v>
      </c>
      <c r="U3070" s="154">
        <f t="shared" si="233"/>
        <v>20.927237324879293</v>
      </c>
    </row>
    <row r="3071" spans="1:21" x14ac:dyDescent="0.35">
      <c r="A3071" s="110">
        <v>3164</v>
      </c>
      <c r="B3071" s="110">
        <v>2012</v>
      </c>
      <c r="C3071" s="110" t="s">
        <v>38</v>
      </c>
      <c r="D3071" s="110" t="s">
        <v>143</v>
      </c>
      <c r="E3071" s="110" t="s">
        <v>86</v>
      </c>
      <c r="F3071" s="117">
        <v>752</v>
      </c>
      <c r="G3071" s="110" t="s">
        <v>46</v>
      </c>
      <c r="H3071" s="110" t="str">
        <f t="shared" si="234"/>
        <v>Hoko River</v>
      </c>
      <c r="I3071" s="110" t="str">
        <f>IFERROR(VLOOKUP(H3071,LUTs!$A$1:$C$73,2,FALSE),"NA")</f>
        <v>Clallam</v>
      </c>
      <c r="J3071" s="110" t="str">
        <f>IFERROR(VLOOKUP(H3071,LUTs!$A$1:$C$73,3,FALSE),"NA")</f>
        <v>0Strait of Juan de Fuca</v>
      </c>
      <c r="K3071" s="110" t="s">
        <v>26</v>
      </c>
      <c r="L3071" s="110" t="str">
        <f>VLOOKUP(K3071,LUTs!E$2:G$14,3,)</f>
        <v>20Other</v>
      </c>
      <c r="M3071" s="110" t="str">
        <f>VLOOKUP($K3071,LUTs!$E$2:$H$14,2,)</f>
        <v>Non Puget Sound</v>
      </c>
      <c r="N3071" s="110" t="str">
        <f>VLOOKUP($K3071,LUTs!$E$2:$H$14,4,)</f>
        <v>07Non Puget Sound</v>
      </c>
      <c r="O3071" s="110">
        <v>2.4024390243902398</v>
      </c>
      <c r="P3071" s="110">
        <v>20.5168292682926</v>
      </c>
      <c r="Q3071" s="110">
        <f>SUMIFS('FW_Steelhead_by_Month_2010-2021'!Q$2:Q$3810,'FW_Steelhead_by_Month_2010-2021'!$B$2:$B$3810,'Rec_raw_catch_effort_2010-2021'!$B3071,'FW_Steelhead_by_Month_2010-2021'!$H$2:$H$3810,'Rec_raw_catch_effort_2010-2021'!$F3071,'FW_Steelhead_by_Month_2010-2021'!$M$2:$M$3810,'Rec_raw_catch_effort_2010-2021'!$K3071)</f>
        <v>0</v>
      </c>
      <c r="R3071" s="111">
        <f>VLOOKUP(B3071,Readme!$A$62:$C$74,3,)*Q3071</f>
        <v>0</v>
      </c>
      <c r="S3071" s="140" t="str">
        <f t="shared" si="231"/>
        <v>Y</v>
      </c>
      <c r="T3071" s="154">
        <f t="shared" si="232"/>
        <v>8.5399999999999796</v>
      </c>
      <c r="U3071" s="154" t="str">
        <f t="shared" si="233"/>
        <v>NA</v>
      </c>
    </row>
    <row r="3072" spans="1:21" x14ac:dyDescent="0.35">
      <c r="A3072" s="110">
        <v>3162</v>
      </c>
      <c r="B3072" s="110">
        <v>2012</v>
      </c>
      <c r="C3072" s="110" t="s">
        <v>38</v>
      </c>
      <c r="D3072" s="110" t="s">
        <v>143</v>
      </c>
      <c r="E3072" s="110" t="s">
        <v>86</v>
      </c>
      <c r="F3072" s="117">
        <v>752</v>
      </c>
      <c r="G3072" s="110" t="s">
        <v>46</v>
      </c>
      <c r="H3072" s="110" t="str">
        <f t="shared" si="234"/>
        <v>Hoko River</v>
      </c>
      <c r="I3072" s="110" t="str">
        <f>IFERROR(VLOOKUP(H3072,LUTs!$A$1:$C$73,2,FALSE),"NA")</f>
        <v>Clallam</v>
      </c>
      <c r="J3072" s="110" t="str">
        <f>IFERROR(VLOOKUP(H3072,LUTs!$A$1:$C$73,3,FALSE),"NA")</f>
        <v>0Strait of Juan de Fuca</v>
      </c>
      <c r="K3072" s="110" t="s">
        <v>20</v>
      </c>
      <c r="L3072" s="110" t="str">
        <f>VLOOKUP(K3072,LUTs!E$2:G$14,3,)</f>
        <v>07Pierce</v>
      </c>
      <c r="M3072" s="110" t="str">
        <f>VLOOKUP($K3072,LUTs!$E$2:$H$14,2,)</f>
        <v>South Puget Sound</v>
      </c>
      <c r="N3072" s="110" t="str">
        <f>VLOOKUP($K3072,LUTs!$E$2:$H$14,4,)</f>
        <v>02South Puget Sound</v>
      </c>
      <c r="O3072" s="110">
        <v>38.439024390243901</v>
      </c>
      <c r="P3072" s="110">
        <v>328.26926829268302</v>
      </c>
      <c r="Q3072" s="110">
        <f>SUMIFS('FW_Steelhead_by_Month_2010-2021'!Q$2:Q$3810,'FW_Steelhead_by_Month_2010-2021'!$B$2:$B$3810,'Rec_raw_catch_effort_2010-2021'!$B3072,'FW_Steelhead_by_Month_2010-2021'!$H$2:$H$3810,'Rec_raw_catch_effort_2010-2021'!$F3072,'FW_Steelhead_by_Month_2010-2021'!$M$2:$M$3810,'Rec_raw_catch_effort_2010-2021'!$K3072)</f>
        <v>35.56666666666667</v>
      </c>
      <c r="R3072" s="111">
        <f>VLOOKUP(B3072,Readme!$A$62:$C$74,3,)*Q3072</f>
        <v>744.31207418820691</v>
      </c>
      <c r="S3072" s="140" t="str">
        <f t="shared" si="231"/>
        <v>Y</v>
      </c>
      <c r="T3072" s="154">
        <f t="shared" si="232"/>
        <v>8.5400000000000027</v>
      </c>
      <c r="U3072" s="154">
        <f t="shared" si="233"/>
        <v>20.927237324879293</v>
      </c>
    </row>
    <row r="3073" spans="1:21" x14ac:dyDescent="0.35">
      <c r="A3073" s="110">
        <v>3158</v>
      </c>
      <c r="B3073" s="110">
        <v>2012</v>
      </c>
      <c r="C3073" s="110" t="s">
        <v>38</v>
      </c>
      <c r="D3073" s="110" t="s">
        <v>143</v>
      </c>
      <c r="E3073" s="110" t="s">
        <v>86</v>
      </c>
      <c r="F3073" s="117">
        <v>752</v>
      </c>
      <c r="G3073" s="110" t="s">
        <v>46</v>
      </c>
      <c r="H3073" s="110" t="str">
        <f t="shared" si="234"/>
        <v>Hoko River</v>
      </c>
      <c r="I3073" s="110" t="str">
        <f>IFERROR(VLOOKUP(H3073,LUTs!$A$1:$C$73,2,FALSE),"NA")</f>
        <v>Clallam</v>
      </c>
      <c r="J3073" s="110" t="str">
        <f>IFERROR(VLOOKUP(H3073,LUTs!$A$1:$C$73,3,FALSE),"NA")</f>
        <v>0Strait of Juan de Fuca</v>
      </c>
      <c r="K3073" s="110" t="s">
        <v>15</v>
      </c>
      <c r="L3073" s="110" t="str">
        <f>VLOOKUP(K3073,LUTs!E$2:G$14,3,)</f>
        <v>02Skagit</v>
      </c>
      <c r="M3073" s="110" t="str">
        <f>VLOOKUP($K3073,LUTs!$E$2:$H$14,2,)</f>
        <v>North Puget Sound</v>
      </c>
      <c r="N3073" s="110" t="str">
        <f>VLOOKUP($K3073,LUTs!$E$2:$H$14,4,)</f>
        <v>01North Puget Sound</v>
      </c>
      <c r="O3073" s="110">
        <v>2.4024390243902398</v>
      </c>
      <c r="P3073" s="110">
        <v>20.5168292682926</v>
      </c>
      <c r="Q3073" s="110">
        <f>SUMIFS('FW_Steelhead_by_Month_2010-2021'!Q$2:Q$3810,'FW_Steelhead_by_Month_2010-2021'!$B$2:$B$3810,'Rec_raw_catch_effort_2010-2021'!$B3073,'FW_Steelhead_by_Month_2010-2021'!$H$2:$H$3810,'Rec_raw_catch_effort_2010-2021'!$F3073,'FW_Steelhead_by_Month_2010-2021'!$M$2:$M$3810,'Rec_raw_catch_effort_2010-2021'!$K3073)</f>
        <v>2.4</v>
      </c>
      <c r="R3073" s="111">
        <f>VLOOKUP(B3073,Readme!$A$62:$C$74,3,)*Q3073</f>
        <v>50.225369579710303</v>
      </c>
      <c r="S3073" s="140" t="str">
        <f t="shared" si="231"/>
        <v>Y</v>
      </c>
      <c r="T3073" s="154">
        <f t="shared" si="232"/>
        <v>8.5399999999999796</v>
      </c>
      <c r="U3073" s="154">
        <f t="shared" si="233"/>
        <v>20.927237324879293</v>
      </c>
    </row>
    <row r="3074" spans="1:21" x14ac:dyDescent="0.35">
      <c r="A3074" s="110">
        <v>3159</v>
      </c>
      <c r="B3074" s="110">
        <v>2012</v>
      </c>
      <c r="C3074" s="110" t="s">
        <v>38</v>
      </c>
      <c r="D3074" s="110" t="s">
        <v>143</v>
      </c>
      <c r="E3074" s="110" t="s">
        <v>86</v>
      </c>
      <c r="F3074" s="117">
        <v>752</v>
      </c>
      <c r="G3074" s="110" t="s">
        <v>46</v>
      </c>
      <c r="H3074" s="110" t="str">
        <f t="shared" si="234"/>
        <v>Hoko River</v>
      </c>
      <c r="I3074" s="110" t="str">
        <f>IFERROR(VLOOKUP(H3074,LUTs!$A$1:$C$73,2,FALSE),"NA")</f>
        <v>Clallam</v>
      </c>
      <c r="J3074" s="110" t="str">
        <f>IFERROR(VLOOKUP(H3074,LUTs!$A$1:$C$73,3,FALSE),"NA")</f>
        <v>0Strait of Juan de Fuca</v>
      </c>
      <c r="K3074" s="110" t="s">
        <v>16</v>
      </c>
      <c r="L3074" s="110" t="str">
        <f>VLOOKUP(K3074,LUTs!E$2:G$14,3,)</f>
        <v>03Snohomish</v>
      </c>
      <c r="M3074" s="110" t="str">
        <f>VLOOKUP($K3074,LUTs!$E$2:$H$14,2,)</f>
        <v>North Puget Sound</v>
      </c>
      <c r="N3074" s="110" t="str">
        <f>VLOOKUP($K3074,LUTs!$E$2:$H$14,4,)</f>
        <v>01North Puget Sound</v>
      </c>
      <c r="O3074" s="110">
        <v>2.4024390243902398</v>
      </c>
      <c r="P3074" s="110">
        <v>20.5168292682926</v>
      </c>
      <c r="Q3074" s="110">
        <f>SUMIFS('FW_Steelhead_by_Month_2010-2021'!Q$2:Q$3810,'FW_Steelhead_by_Month_2010-2021'!$B$2:$B$3810,'Rec_raw_catch_effort_2010-2021'!$B3074,'FW_Steelhead_by_Month_2010-2021'!$H$2:$H$3810,'Rec_raw_catch_effort_2010-2021'!$F3074,'FW_Steelhead_by_Month_2010-2021'!$M$2:$M$3810,'Rec_raw_catch_effort_2010-2021'!$K3074)</f>
        <v>2.25</v>
      </c>
      <c r="R3074" s="111">
        <f>VLOOKUP(B3074,Readme!$A$62:$C$74,3,)*Q3074</f>
        <v>47.086283980978408</v>
      </c>
      <c r="S3074" s="140" t="str">
        <f t="shared" si="231"/>
        <v>Y</v>
      </c>
      <c r="T3074" s="154">
        <f t="shared" si="232"/>
        <v>8.5399999999999796</v>
      </c>
      <c r="U3074" s="154">
        <f t="shared" si="233"/>
        <v>20.927237324879293</v>
      </c>
    </row>
    <row r="3075" spans="1:21" x14ac:dyDescent="0.35">
      <c r="A3075" s="110">
        <v>3277</v>
      </c>
      <c r="B3075" s="110">
        <v>2013</v>
      </c>
      <c r="C3075" s="110" t="s">
        <v>38</v>
      </c>
      <c r="D3075" s="110" t="s">
        <v>143</v>
      </c>
      <c r="E3075" s="110" t="s">
        <v>86</v>
      </c>
      <c r="F3075" s="117">
        <v>752</v>
      </c>
      <c r="G3075" s="110" t="s">
        <v>46</v>
      </c>
      <c r="H3075" s="110" t="str">
        <f t="shared" si="234"/>
        <v>Hoko River</v>
      </c>
      <c r="I3075" s="110" t="str">
        <f>IFERROR(VLOOKUP(H3075,LUTs!$A$1:$C$73,2,FALSE),"NA")</f>
        <v>Clallam</v>
      </c>
      <c r="J3075" s="110" t="str">
        <f>IFERROR(VLOOKUP(H3075,LUTs!$A$1:$C$73,3,FALSE),"NA")</f>
        <v>0Strait of Juan de Fuca</v>
      </c>
      <c r="K3075" s="110" t="s">
        <v>24</v>
      </c>
      <c r="L3075" s="110" t="str">
        <f>VLOOKUP(K3075,LUTs!E$2:G$14,3,)</f>
        <v>11Clallam</v>
      </c>
      <c r="M3075" s="110" t="str">
        <f>VLOOKUP($K3075,LUTs!$E$2:$H$14,2,)</f>
        <v>Strait of Juan de Fuca</v>
      </c>
      <c r="N3075" s="110" t="str">
        <f>VLOOKUP($K3075,LUTs!$E$2:$H$14,4,)</f>
        <v>03Strait of Juan de Fuca</v>
      </c>
      <c r="O3075" s="110">
        <v>20.727272727272702</v>
      </c>
      <c r="P3075" s="110">
        <v>384.49090909090899</v>
      </c>
      <c r="Q3075" s="110">
        <f>SUMIFS('FW_Steelhead_by_Month_2010-2021'!Q$2:Q$3810,'FW_Steelhead_by_Month_2010-2021'!$B$2:$B$3810,'Rec_raw_catch_effort_2010-2021'!$B3075,'FW_Steelhead_by_Month_2010-2021'!$H$2:$H$3810,'Rec_raw_catch_effort_2010-2021'!$F3075,'FW_Steelhead_by_Month_2010-2021'!$M$2:$M$3810,'Rec_raw_catch_effort_2010-2021'!$K3075)</f>
        <v>76.866666666666703</v>
      </c>
      <c r="R3075" s="111">
        <f>VLOOKUP(B3075,Readme!$A$62:$C$74,3,)*Q3075</f>
        <v>1608.6069757057223</v>
      </c>
      <c r="S3075" s="140" t="str">
        <f t="shared" ref="S3075:S3138" si="235">IF(B3075&lt;=2019,"Y","N")</f>
        <v>Y</v>
      </c>
      <c r="T3075" s="154">
        <f t="shared" ref="T3075:T3138" si="236">IFERROR(P3075/O3075,"NA")</f>
        <v>18.550000000000018</v>
      </c>
      <c r="U3075" s="154">
        <f t="shared" ref="U3075:U3138" si="237">IFERROR(R3075/Q3075,"NA")</f>
        <v>20.927237324879293</v>
      </c>
    </row>
    <row r="3076" spans="1:21" x14ac:dyDescent="0.35">
      <c r="A3076" s="110">
        <v>3274</v>
      </c>
      <c r="B3076" s="110">
        <v>2013</v>
      </c>
      <c r="C3076" s="110" t="s">
        <v>38</v>
      </c>
      <c r="D3076" s="110" t="s">
        <v>143</v>
      </c>
      <c r="E3076" s="110" t="s">
        <v>86</v>
      </c>
      <c r="F3076" s="117">
        <v>752</v>
      </c>
      <c r="G3076" s="110" t="s">
        <v>46</v>
      </c>
      <c r="H3076" s="110" t="str">
        <f t="shared" si="234"/>
        <v>Hoko River</v>
      </c>
      <c r="I3076" s="110" t="str">
        <f>IFERROR(VLOOKUP(H3076,LUTs!$A$1:$C$73,2,FALSE),"NA")</f>
        <v>Clallam</v>
      </c>
      <c r="J3076" s="110" t="str">
        <f>IFERROR(VLOOKUP(H3076,LUTs!$A$1:$C$73,3,FALSE),"NA")</f>
        <v>0Strait of Juan de Fuca</v>
      </c>
      <c r="K3076" s="110" t="s">
        <v>17</v>
      </c>
      <c r="L3076" s="110" t="str">
        <f>VLOOKUP(K3076,LUTs!E$2:G$14,3,)</f>
        <v>04Island</v>
      </c>
      <c r="M3076" s="110" t="str">
        <f>VLOOKUP($K3076,LUTs!$E$2:$H$14,2,)</f>
        <v>North Puget Sound</v>
      </c>
      <c r="N3076" s="110" t="str">
        <f>VLOOKUP($K3076,LUTs!$E$2:$H$14,4,)</f>
        <v>01North Puget Sound</v>
      </c>
      <c r="O3076" s="110">
        <v>6.9090909090909101</v>
      </c>
      <c r="P3076" s="110">
        <v>128.16363636363599</v>
      </c>
      <c r="Q3076" s="110">
        <f>SUMIFS('FW_Steelhead_by_Month_2010-2021'!Q$2:Q$3810,'FW_Steelhead_by_Month_2010-2021'!$B$2:$B$3810,'Rec_raw_catch_effort_2010-2021'!$B3076,'FW_Steelhead_by_Month_2010-2021'!$H$2:$H$3810,'Rec_raw_catch_effort_2010-2021'!$F3076,'FW_Steelhead_by_Month_2010-2021'!$M$2:$M$3810,'Rec_raw_catch_effort_2010-2021'!$K3076)</f>
        <v>7</v>
      </c>
      <c r="R3076" s="111">
        <f>VLOOKUP(B3076,Readme!$A$62:$C$74,3,)*Q3076</f>
        <v>146.49066127415506</v>
      </c>
      <c r="S3076" s="140" t="str">
        <f t="shared" si="235"/>
        <v>Y</v>
      </c>
      <c r="T3076" s="154">
        <f t="shared" si="236"/>
        <v>18.549999999999944</v>
      </c>
      <c r="U3076" s="154">
        <f t="shared" si="237"/>
        <v>20.927237324879293</v>
      </c>
    </row>
    <row r="3077" spans="1:21" x14ac:dyDescent="0.35">
      <c r="A3077" s="110">
        <v>3275</v>
      </c>
      <c r="B3077" s="110">
        <v>2013</v>
      </c>
      <c r="C3077" s="110" t="s">
        <v>38</v>
      </c>
      <c r="D3077" s="110" t="s">
        <v>143</v>
      </c>
      <c r="E3077" s="110" t="s">
        <v>86</v>
      </c>
      <c r="F3077" s="117">
        <v>752</v>
      </c>
      <c r="G3077" s="110" t="s">
        <v>46</v>
      </c>
      <c r="H3077" s="110" t="str">
        <f t="shared" ref="H3077:H3108" si="238">G3077</f>
        <v>Hoko River</v>
      </c>
      <c r="I3077" s="110" t="str">
        <f>IFERROR(VLOOKUP(H3077,LUTs!$A$1:$C$73,2,FALSE),"NA")</f>
        <v>Clallam</v>
      </c>
      <c r="J3077" s="110" t="str">
        <f>IFERROR(VLOOKUP(H3077,LUTs!$A$1:$C$73,3,FALSE),"NA")</f>
        <v>0Strait of Juan de Fuca</v>
      </c>
      <c r="K3077" s="110" t="s">
        <v>18</v>
      </c>
      <c r="L3077" s="110" t="str">
        <f>VLOOKUP(K3077,LUTs!E$2:G$14,3,)</f>
        <v>06King</v>
      </c>
      <c r="M3077" s="110" t="str">
        <f>VLOOKUP($K3077,LUTs!$E$2:$H$14,2,)</f>
        <v>South Puget Sound</v>
      </c>
      <c r="N3077" s="110" t="str">
        <f>VLOOKUP($K3077,LUTs!$E$2:$H$14,4,)</f>
        <v>02South Puget Sound</v>
      </c>
      <c r="O3077" s="110">
        <v>3.4545454545454599</v>
      </c>
      <c r="P3077" s="110">
        <v>64.081818181818306</v>
      </c>
      <c r="Q3077" s="110">
        <f>SUMIFS('FW_Steelhead_by_Month_2010-2021'!Q$2:Q$3810,'FW_Steelhead_by_Month_2010-2021'!$B$2:$B$3810,'Rec_raw_catch_effort_2010-2021'!$B3077,'FW_Steelhead_by_Month_2010-2021'!$H$2:$H$3810,'Rec_raw_catch_effort_2010-2021'!$F3077,'FW_Steelhead_by_Month_2010-2021'!$M$2:$M$3810,'Rec_raw_catch_effort_2010-2021'!$K3077)</f>
        <v>15.56666666666667</v>
      </c>
      <c r="R3077" s="111">
        <f>VLOOKUP(B3077,Readme!$A$62:$C$74,3,)*Q3077</f>
        <v>325.76732769062107</v>
      </c>
      <c r="S3077" s="140" t="str">
        <f t="shared" si="235"/>
        <v>Y</v>
      </c>
      <c r="T3077" s="154">
        <f t="shared" si="236"/>
        <v>18.550000000000008</v>
      </c>
      <c r="U3077" s="154">
        <f t="shared" si="237"/>
        <v>20.927237324879293</v>
      </c>
    </row>
    <row r="3078" spans="1:21" x14ac:dyDescent="0.35">
      <c r="A3078" s="110">
        <v>3276</v>
      </c>
      <c r="B3078" s="110">
        <v>2013</v>
      </c>
      <c r="C3078" s="110" t="s">
        <v>38</v>
      </c>
      <c r="D3078" s="110" t="s">
        <v>143</v>
      </c>
      <c r="E3078" s="110" t="s">
        <v>86</v>
      </c>
      <c r="F3078" s="117">
        <v>752</v>
      </c>
      <c r="G3078" s="110" t="s">
        <v>46</v>
      </c>
      <c r="H3078" s="110" t="str">
        <f t="shared" si="238"/>
        <v>Hoko River</v>
      </c>
      <c r="I3078" s="110" t="str">
        <f>IFERROR(VLOOKUP(H3078,LUTs!$A$1:$C$73,2,FALSE),"NA")</f>
        <v>Clallam</v>
      </c>
      <c r="J3078" s="110" t="str">
        <f>IFERROR(VLOOKUP(H3078,LUTs!$A$1:$C$73,3,FALSE),"NA")</f>
        <v>0Strait of Juan de Fuca</v>
      </c>
      <c r="K3078" s="110" t="s">
        <v>20</v>
      </c>
      <c r="L3078" s="110" t="str">
        <f>VLOOKUP(K3078,LUTs!E$2:G$14,3,)</f>
        <v>07Pierce</v>
      </c>
      <c r="M3078" s="110" t="str">
        <f>VLOOKUP($K3078,LUTs!$E$2:$H$14,2,)</f>
        <v>South Puget Sound</v>
      </c>
      <c r="N3078" s="110" t="str">
        <f>VLOOKUP($K3078,LUTs!$E$2:$H$14,4,)</f>
        <v>02South Puget Sound</v>
      </c>
      <c r="O3078" s="110">
        <v>6.9090909090909101</v>
      </c>
      <c r="P3078" s="110">
        <v>128.16363636363599</v>
      </c>
      <c r="Q3078" s="110">
        <f>SUMIFS('FW_Steelhead_by_Month_2010-2021'!Q$2:Q$3810,'FW_Steelhead_by_Month_2010-2021'!$B$2:$B$3810,'Rec_raw_catch_effort_2010-2021'!$B3078,'FW_Steelhead_by_Month_2010-2021'!$H$2:$H$3810,'Rec_raw_catch_effort_2010-2021'!$F3078,'FW_Steelhead_by_Month_2010-2021'!$M$2:$M$3810,'Rec_raw_catch_effort_2010-2021'!$K3078)</f>
        <v>10.75</v>
      </c>
      <c r="R3078" s="111">
        <f>VLOOKUP(B3078,Readme!$A$62:$C$74,3,)*Q3078</f>
        <v>224.9678012424524</v>
      </c>
      <c r="S3078" s="140" t="str">
        <f t="shared" si="235"/>
        <v>Y</v>
      </c>
      <c r="T3078" s="154">
        <f t="shared" si="236"/>
        <v>18.549999999999944</v>
      </c>
      <c r="U3078" s="154">
        <f t="shared" si="237"/>
        <v>20.927237324879293</v>
      </c>
    </row>
    <row r="3079" spans="1:21" x14ac:dyDescent="0.35">
      <c r="A3079" s="110">
        <v>3370</v>
      </c>
      <c r="B3079" s="110">
        <v>2014</v>
      </c>
      <c r="C3079" s="110" t="s">
        <v>38</v>
      </c>
      <c r="D3079" s="110" t="s">
        <v>143</v>
      </c>
      <c r="E3079" s="110" t="s">
        <v>86</v>
      </c>
      <c r="F3079" s="117">
        <v>752</v>
      </c>
      <c r="G3079" s="110" t="s">
        <v>46</v>
      </c>
      <c r="H3079" s="110" t="str">
        <f t="shared" si="238"/>
        <v>Hoko River</v>
      </c>
      <c r="I3079" s="110" t="str">
        <f>IFERROR(VLOOKUP(H3079,LUTs!$A$1:$C$73,2,FALSE),"NA")</f>
        <v>Clallam</v>
      </c>
      <c r="J3079" s="110" t="str">
        <f>IFERROR(VLOOKUP(H3079,LUTs!$A$1:$C$73,3,FALSE),"NA")</f>
        <v>0Strait of Juan de Fuca</v>
      </c>
      <c r="K3079" s="110" t="s">
        <v>24</v>
      </c>
      <c r="L3079" s="110" t="str">
        <f>VLOOKUP(K3079,LUTs!E$2:G$14,3,)</f>
        <v>11Clallam</v>
      </c>
      <c r="M3079" s="110" t="str">
        <f>VLOOKUP($K3079,LUTs!$E$2:$H$14,2,)</f>
        <v>Strait of Juan de Fuca</v>
      </c>
      <c r="N3079" s="110" t="str">
        <f>VLOOKUP($K3079,LUTs!$E$2:$H$14,4,)</f>
        <v>03Strait of Juan de Fuca</v>
      </c>
      <c r="O3079" s="110">
        <v>159.12605042016801</v>
      </c>
      <c r="P3079" s="110">
        <v>1358.9364705882299</v>
      </c>
      <c r="Q3079" s="110">
        <f>SUMIFS('FW_Steelhead_by_Month_2010-2021'!Q$2:Q$3810,'FW_Steelhead_by_Month_2010-2021'!$B$2:$B$3810,'Rec_raw_catch_effort_2010-2021'!$B3079,'FW_Steelhead_by_Month_2010-2021'!$H$2:$H$3810,'Rec_raw_catch_effort_2010-2021'!$F3079,'FW_Steelhead_by_Month_2010-2021'!$M$2:$M$3810,'Rec_raw_catch_effort_2010-2021'!$K3079)</f>
        <v>101.5606060606061</v>
      </c>
      <c r="R3079" s="111">
        <f>VLOOKUP(B3079,Readme!$A$62:$C$74,3,)*Q3079</f>
        <v>2125.3829058888782</v>
      </c>
      <c r="S3079" s="140" t="str">
        <f t="shared" si="235"/>
        <v>Y</v>
      </c>
      <c r="T3079" s="154">
        <f t="shared" si="236"/>
        <v>8.5399999999999689</v>
      </c>
      <c r="U3079" s="154">
        <f t="shared" si="237"/>
        <v>20.927237324879293</v>
      </c>
    </row>
    <row r="3080" spans="1:21" x14ac:dyDescent="0.35">
      <c r="A3080" s="110">
        <v>3366</v>
      </c>
      <c r="B3080" s="110">
        <v>2014</v>
      </c>
      <c r="C3080" s="110" t="s">
        <v>38</v>
      </c>
      <c r="D3080" s="110" t="s">
        <v>143</v>
      </c>
      <c r="E3080" s="110" t="s">
        <v>86</v>
      </c>
      <c r="F3080" s="117">
        <v>752</v>
      </c>
      <c r="G3080" s="110" t="s">
        <v>46</v>
      </c>
      <c r="H3080" s="110" t="str">
        <f t="shared" si="238"/>
        <v>Hoko River</v>
      </c>
      <c r="I3080" s="110" t="str">
        <f>IFERROR(VLOOKUP(H3080,LUTs!$A$1:$C$73,2,FALSE),"NA")</f>
        <v>Clallam</v>
      </c>
      <c r="J3080" s="110" t="str">
        <f>IFERROR(VLOOKUP(H3080,LUTs!$A$1:$C$73,3,FALSE),"NA")</f>
        <v>0Strait of Juan de Fuca</v>
      </c>
      <c r="K3080" s="110" t="s">
        <v>17</v>
      </c>
      <c r="L3080" s="110" t="str">
        <f>VLOOKUP(K3080,LUTs!E$2:G$14,3,)</f>
        <v>04Island</v>
      </c>
      <c r="M3080" s="110" t="str">
        <f>VLOOKUP($K3080,LUTs!$E$2:$H$14,2,)</f>
        <v>North Puget Sound</v>
      </c>
      <c r="N3080" s="110" t="str">
        <f>VLOOKUP($K3080,LUTs!$E$2:$H$14,4,)</f>
        <v>01North Puget Sound</v>
      </c>
      <c r="O3080" s="110">
        <v>13.2605042016807</v>
      </c>
      <c r="P3080" s="110">
        <v>113.244705882353</v>
      </c>
      <c r="Q3080" s="110">
        <f>SUMIFS('FW_Steelhead_by_Month_2010-2021'!Q$2:Q$3810,'FW_Steelhead_by_Month_2010-2021'!$B$2:$B$3810,'Rec_raw_catch_effort_2010-2021'!$B3080,'FW_Steelhead_by_Month_2010-2021'!$H$2:$H$3810,'Rec_raw_catch_effort_2010-2021'!$F3080,'FW_Steelhead_by_Month_2010-2021'!$M$2:$M$3810,'Rec_raw_catch_effort_2010-2021'!$K3080)</f>
        <v>13.2727272727273</v>
      </c>
      <c r="R3080" s="111">
        <f>VLOOKUP(B3080,Readme!$A$62:$C$74,3,)*Q3080</f>
        <v>277.7615135847621</v>
      </c>
      <c r="S3080" s="140" t="str">
        <f t="shared" si="235"/>
        <v>Y</v>
      </c>
      <c r="T3080" s="154">
        <f t="shared" si="236"/>
        <v>8.5399999999999867</v>
      </c>
      <c r="U3080" s="154">
        <f t="shared" si="237"/>
        <v>20.927237324879293</v>
      </c>
    </row>
    <row r="3081" spans="1:21" x14ac:dyDescent="0.35">
      <c r="A3081" s="110">
        <v>3371</v>
      </c>
      <c r="B3081" s="110">
        <v>2014</v>
      </c>
      <c r="C3081" s="110" t="s">
        <v>38</v>
      </c>
      <c r="D3081" s="110" t="s">
        <v>143</v>
      </c>
      <c r="E3081" s="110" t="s">
        <v>86</v>
      </c>
      <c r="F3081" s="117">
        <v>752</v>
      </c>
      <c r="G3081" s="110" t="s">
        <v>46</v>
      </c>
      <c r="H3081" s="110" t="str">
        <f t="shared" si="238"/>
        <v>Hoko River</v>
      </c>
      <c r="I3081" s="110" t="str">
        <f>IFERROR(VLOOKUP(H3081,LUTs!$A$1:$C$73,2,FALSE),"NA")</f>
        <v>Clallam</v>
      </c>
      <c r="J3081" s="110" t="str">
        <f>IFERROR(VLOOKUP(H3081,LUTs!$A$1:$C$73,3,FALSE),"NA")</f>
        <v>0Strait of Juan de Fuca</v>
      </c>
      <c r="K3081" s="110" t="s">
        <v>25</v>
      </c>
      <c r="L3081" s="110" t="str">
        <f>VLOOKUP(K3081,LUTs!E$2:G$14,3,)</f>
        <v>12Jefferson</v>
      </c>
      <c r="M3081" s="110" t="str">
        <f>VLOOKUP($K3081,LUTs!$E$2:$H$14,2,)</f>
        <v>Strait of Juan de Fuca</v>
      </c>
      <c r="N3081" s="110" t="str">
        <f>VLOOKUP($K3081,LUTs!$E$2:$H$14,4,)</f>
        <v>03Strait of Juan de Fuca</v>
      </c>
      <c r="O3081" s="110">
        <v>2.21008403361345</v>
      </c>
      <c r="P3081" s="110">
        <v>18.874117647058899</v>
      </c>
      <c r="Q3081" s="110">
        <f>SUMIFS('FW_Steelhead_by_Month_2010-2021'!Q$2:Q$3810,'FW_Steelhead_by_Month_2010-2021'!$B$2:$B$3810,'Rec_raw_catch_effort_2010-2021'!$B3081,'FW_Steelhead_by_Month_2010-2021'!$H$2:$H$3810,'Rec_raw_catch_effort_2010-2021'!$F3081,'FW_Steelhead_by_Month_2010-2021'!$M$2:$M$3810,'Rec_raw_catch_effort_2010-2021'!$K3081)</f>
        <v>0</v>
      </c>
      <c r="R3081" s="111">
        <f>VLOOKUP(B3081,Readme!$A$62:$C$74,3,)*Q3081</f>
        <v>0</v>
      </c>
      <c r="S3081" s="140" t="str">
        <f t="shared" si="235"/>
        <v>Y</v>
      </c>
      <c r="T3081" s="154">
        <f t="shared" si="236"/>
        <v>8.5400000000000169</v>
      </c>
      <c r="U3081" s="154" t="str">
        <f t="shared" si="237"/>
        <v>NA</v>
      </c>
    </row>
    <row r="3082" spans="1:21" x14ac:dyDescent="0.35">
      <c r="A3082" s="110">
        <v>3369</v>
      </c>
      <c r="B3082" s="110">
        <v>2014</v>
      </c>
      <c r="C3082" s="110" t="s">
        <v>38</v>
      </c>
      <c r="D3082" s="110" t="s">
        <v>143</v>
      </c>
      <c r="E3082" s="110" t="s">
        <v>86</v>
      </c>
      <c r="F3082" s="117">
        <v>752</v>
      </c>
      <c r="G3082" s="110" t="s">
        <v>46</v>
      </c>
      <c r="H3082" s="110" t="str">
        <f t="shared" si="238"/>
        <v>Hoko River</v>
      </c>
      <c r="I3082" s="110" t="str">
        <f>IFERROR(VLOOKUP(H3082,LUTs!$A$1:$C$73,2,FALSE),"NA")</f>
        <v>Clallam</v>
      </c>
      <c r="J3082" s="110" t="str">
        <f>IFERROR(VLOOKUP(H3082,LUTs!$A$1:$C$73,3,FALSE),"NA")</f>
        <v>0Strait of Juan de Fuca</v>
      </c>
      <c r="K3082" s="110" t="s">
        <v>23</v>
      </c>
      <c r="L3082" s="110" t="str">
        <f>VLOOKUP(K3082,LUTs!E$2:G$14,3,)</f>
        <v>10Kitsap</v>
      </c>
      <c r="M3082" s="110" t="str">
        <f>VLOOKUP($K3082,LUTs!$E$2:$H$14,2,)</f>
        <v>South Puget Sound</v>
      </c>
      <c r="N3082" s="110" t="str">
        <f>VLOOKUP($K3082,LUTs!$E$2:$H$14,4,)</f>
        <v>02South Puget Sound</v>
      </c>
      <c r="O3082" s="110">
        <v>4.4201680672268902</v>
      </c>
      <c r="P3082" s="110">
        <v>37.748235294117599</v>
      </c>
      <c r="Q3082" s="110">
        <f>SUMIFS('FW_Steelhead_by_Month_2010-2021'!Q$2:Q$3810,'FW_Steelhead_by_Month_2010-2021'!$B$2:$B$3810,'Rec_raw_catch_effort_2010-2021'!$B3082,'FW_Steelhead_by_Month_2010-2021'!$H$2:$H$3810,'Rec_raw_catch_effort_2010-2021'!$F3082,'FW_Steelhead_by_Month_2010-2021'!$M$2:$M$3810,'Rec_raw_catch_effort_2010-2021'!$K3082)</f>
        <v>0</v>
      </c>
      <c r="R3082" s="111">
        <f>VLOOKUP(B3082,Readme!$A$62:$C$74,3,)*Q3082</f>
        <v>0</v>
      </c>
      <c r="S3082" s="140" t="str">
        <f t="shared" si="235"/>
        <v>Y</v>
      </c>
      <c r="T3082" s="154">
        <f t="shared" si="236"/>
        <v>8.5399999999999903</v>
      </c>
      <c r="U3082" s="154" t="str">
        <f t="shared" si="237"/>
        <v>NA</v>
      </c>
    </row>
    <row r="3083" spans="1:21" x14ac:dyDescent="0.35">
      <c r="A3083" s="110">
        <v>3372</v>
      </c>
      <c r="B3083" s="110">
        <v>2014</v>
      </c>
      <c r="C3083" s="110" t="s">
        <v>38</v>
      </c>
      <c r="D3083" s="110" t="s">
        <v>143</v>
      </c>
      <c r="E3083" s="110" t="s">
        <v>86</v>
      </c>
      <c r="F3083" s="117">
        <v>752</v>
      </c>
      <c r="G3083" s="110" t="s">
        <v>46</v>
      </c>
      <c r="H3083" s="110" t="str">
        <f t="shared" si="238"/>
        <v>Hoko River</v>
      </c>
      <c r="I3083" s="110" t="str">
        <f>IFERROR(VLOOKUP(H3083,LUTs!$A$1:$C$73,2,FALSE),"NA")</f>
        <v>Clallam</v>
      </c>
      <c r="J3083" s="110" t="str">
        <f>IFERROR(VLOOKUP(H3083,LUTs!$A$1:$C$73,3,FALSE),"NA")</f>
        <v>0Strait of Juan de Fuca</v>
      </c>
      <c r="K3083" s="110" t="s">
        <v>26</v>
      </c>
      <c r="L3083" s="110" t="str">
        <f>VLOOKUP(K3083,LUTs!E$2:G$14,3,)</f>
        <v>20Other</v>
      </c>
      <c r="M3083" s="110" t="str">
        <f>VLOOKUP($K3083,LUTs!$E$2:$H$14,2,)</f>
        <v>Non Puget Sound</v>
      </c>
      <c r="N3083" s="110" t="str">
        <f>VLOOKUP($K3083,LUTs!$E$2:$H$14,4,)</f>
        <v>07Non Puget Sound</v>
      </c>
      <c r="O3083" s="110">
        <v>15.4705882352941</v>
      </c>
      <c r="P3083" s="110">
        <v>132.118823529412</v>
      </c>
      <c r="Q3083" s="110">
        <f>SUMIFS('FW_Steelhead_by_Month_2010-2021'!Q$2:Q$3810,'FW_Steelhead_by_Month_2010-2021'!$B$2:$B$3810,'Rec_raw_catch_effort_2010-2021'!$B3083,'FW_Steelhead_by_Month_2010-2021'!$H$2:$H$3810,'Rec_raw_catch_effort_2010-2021'!$F3083,'FW_Steelhead_by_Month_2010-2021'!$M$2:$M$3810,'Rec_raw_catch_effort_2010-2021'!$K3083)</f>
        <v>4.4242424242424301</v>
      </c>
      <c r="R3083" s="111">
        <f>VLOOKUP(B3083,Readme!$A$62:$C$74,3,)*Q3083</f>
        <v>92.587171194920629</v>
      </c>
      <c r="S3083" s="140" t="str">
        <f t="shared" si="235"/>
        <v>Y</v>
      </c>
      <c r="T3083" s="154">
        <f t="shared" si="236"/>
        <v>8.540000000000024</v>
      </c>
      <c r="U3083" s="154">
        <f t="shared" si="237"/>
        <v>20.927237324879293</v>
      </c>
    </row>
    <row r="3084" spans="1:21" x14ac:dyDescent="0.35">
      <c r="A3084" s="110">
        <v>3367</v>
      </c>
      <c r="B3084" s="110">
        <v>2014</v>
      </c>
      <c r="C3084" s="110" t="s">
        <v>38</v>
      </c>
      <c r="D3084" s="110" t="s">
        <v>143</v>
      </c>
      <c r="E3084" s="110" t="s">
        <v>86</v>
      </c>
      <c r="F3084" s="117">
        <v>752</v>
      </c>
      <c r="G3084" s="110" t="s">
        <v>46</v>
      </c>
      <c r="H3084" s="110" t="str">
        <f t="shared" si="238"/>
        <v>Hoko River</v>
      </c>
      <c r="I3084" s="110" t="str">
        <f>IFERROR(VLOOKUP(H3084,LUTs!$A$1:$C$73,2,FALSE),"NA")</f>
        <v>Clallam</v>
      </c>
      <c r="J3084" s="110" t="str">
        <f>IFERROR(VLOOKUP(H3084,LUTs!$A$1:$C$73,3,FALSE),"NA")</f>
        <v>0Strait of Juan de Fuca</v>
      </c>
      <c r="K3084" s="110" t="s">
        <v>20</v>
      </c>
      <c r="L3084" s="110" t="str">
        <f>VLOOKUP(K3084,LUTs!E$2:G$14,3,)</f>
        <v>07Pierce</v>
      </c>
      <c r="M3084" s="110" t="str">
        <f>VLOOKUP($K3084,LUTs!$E$2:$H$14,2,)</f>
        <v>South Puget Sound</v>
      </c>
      <c r="N3084" s="110" t="str">
        <f>VLOOKUP($K3084,LUTs!$E$2:$H$14,4,)</f>
        <v>02South Puget Sound</v>
      </c>
      <c r="O3084" s="110">
        <v>53.0420168067227</v>
      </c>
      <c r="P3084" s="110">
        <v>452.97882352941201</v>
      </c>
      <c r="Q3084" s="110">
        <f>SUMIFS('FW_Steelhead_by_Month_2010-2021'!Q$2:Q$3810,'FW_Steelhead_by_Month_2010-2021'!$B$2:$B$3810,'Rec_raw_catch_effort_2010-2021'!$B3084,'FW_Steelhead_by_Month_2010-2021'!$H$2:$H$3810,'Rec_raw_catch_effort_2010-2021'!$F3084,'FW_Steelhead_by_Month_2010-2021'!$M$2:$M$3810,'Rec_raw_catch_effort_2010-2021'!$K3084)</f>
        <v>34.469696969696997</v>
      </c>
      <c r="R3084" s="111">
        <f>VLOOKUP(B3084,Readme!$A$62:$C$74,3,)*Q3084</f>
        <v>721.35552900152163</v>
      </c>
      <c r="S3084" s="140" t="str">
        <f t="shared" si="235"/>
        <v>Y</v>
      </c>
      <c r="T3084" s="154">
        <f t="shared" si="236"/>
        <v>8.5400000000000027</v>
      </c>
      <c r="U3084" s="154">
        <f t="shared" si="237"/>
        <v>20.927237324879293</v>
      </c>
    </row>
    <row r="3085" spans="1:21" x14ac:dyDescent="0.35">
      <c r="A3085" s="110">
        <v>3365</v>
      </c>
      <c r="B3085" s="110">
        <v>2014</v>
      </c>
      <c r="C3085" s="110" t="s">
        <v>38</v>
      </c>
      <c r="D3085" s="110" t="s">
        <v>143</v>
      </c>
      <c r="E3085" s="110" t="s">
        <v>86</v>
      </c>
      <c r="F3085" s="117">
        <v>752</v>
      </c>
      <c r="G3085" s="110" t="s">
        <v>46</v>
      </c>
      <c r="H3085" s="110" t="str">
        <f t="shared" si="238"/>
        <v>Hoko River</v>
      </c>
      <c r="I3085" s="110" t="str">
        <f>IFERROR(VLOOKUP(H3085,LUTs!$A$1:$C$73,2,FALSE),"NA")</f>
        <v>Clallam</v>
      </c>
      <c r="J3085" s="110" t="str">
        <f>IFERROR(VLOOKUP(H3085,LUTs!$A$1:$C$73,3,FALSE),"NA")</f>
        <v>0Strait of Juan de Fuca</v>
      </c>
      <c r="K3085" s="110" t="s">
        <v>16</v>
      </c>
      <c r="L3085" s="110" t="str">
        <f>VLOOKUP(K3085,LUTs!E$2:G$14,3,)</f>
        <v>03Snohomish</v>
      </c>
      <c r="M3085" s="110" t="str">
        <f>VLOOKUP($K3085,LUTs!$E$2:$H$14,2,)</f>
        <v>North Puget Sound</v>
      </c>
      <c r="N3085" s="110" t="str">
        <f>VLOOKUP($K3085,LUTs!$E$2:$H$14,4,)</f>
        <v>01North Puget Sound</v>
      </c>
      <c r="O3085" s="110">
        <v>11.0504201680672</v>
      </c>
      <c r="P3085" s="110">
        <v>94.370588235293894</v>
      </c>
      <c r="Q3085" s="110">
        <f>SUMIFS('FW_Steelhead_by_Month_2010-2021'!Q$2:Q$3810,'FW_Steelhead_by_Month_2010-2021'!$B$2:$B$3810,'Rec_raw_catch_effort_2010-2021'!$B3085,'FW_Steelhead_by_Month_2010-2021'!$H$2:$H$3810,'Rec_raw_catch_effort_2010-2021'!$F3085,'FW_Steelhead_by_Month_2010-2021'!$M$2:$M$3810,'Rec_raw_catch_effort_2010-2021'!$K3085)</f>
        <v>8.8484848484848495</v>
      </c>
      <c r="R3085" s="111">
        <f>VLOOKUP(B3085,Readme!$A$62:$C$74,3,)*Q3085</f>
        <v>185.17434238984103</v>
      </c>
      <c r="S3085" s="140" t="str">
        <f t="shared" si="235"/>
        <v>Y</v>
      </c>
      <c r="T3085" s="154">
        <f t="shared" si="236"/>
        <v>8.5400000000000009</v>
      </c>
      <c r="U3085" s="154">
        <f t="shared" si="237"/>
        <v>20.927237324879293</v>
      </c>
    </row>
    <row r="3086" spans="1:21" x14ac:dyDescent="0.35">
      <c r="A3086" s="110">
        <v>3368</v>
      </c>
      <c r="B3086" s="110">
        <v>2014</v>
      </c>
      <c r="C3086" s="110" t="s">
        <v>38</v>
      </c>
      <c r="D3086" s="110" t="s">
        <v>143</v>
      </c>
      <c r="E3086" s="110" t="s">
        <v>86</v>
      </c>
      <c r="F3086" s="117">
        <v>752</v>
      </c>
      <c r="G3086" s="110" t="s">
        <v>46</v>
      </c>
      <c r="H3086" s="110" t="str">
        <f t="shared" si="238"/>
        <v>Hoko River</v>
      </c>
      <c r="I3086" s="110" t="str">
        <f>IFERROR(VLOOKUP(H3086,LUTs!$A$1:$C$73,2,FALSE),"NA")</f>
        <v>Clallam</v>
      </c>
      <c r="J3086" s="110" t="str">
        <f>IFERROR(VLOOKUP(H3086,LUTs!$A$1:$C$73,3,FALSE),"NA")</f>
        <v>0Strait of Juan de Fuca</v>
      </c>
      <c r="K3086" s="110" t="s">
        <v>21</v>
      </c>
      <c r="L3086" s="110" t="str">
        <f>VLOOKUP(K3086,LUTs!E$2:G$14,3,)</f>
        <v>08Thurston</v>
      </c>
      <c r="M3086" s="110" t="str">
        <f>VLOOKUP($K3086,LUTs!$E$2:$H$14,2,)</f>
        <v>South Puget Sound</v>
      </c>
      <c r="N3086" s="110" t="str">
        <f>VLOOKUP($K3086,LUTs!$E$2:$H$14,4,)</f>
        <v>02South Puget Sound</v>
      </c>
      <c r="O3086" s="110">
        <v>4.4201680672268902</v>
      </c>
      <c r="P3086" s="110">
        <v>37.748235294117599</v>
      </c>
      <c r="Q3086" s="110">
        <f>SUMIFS('FW_Steelhead_by_Month_2010-2021'!Q$2:Q$3810,'FW_Steelhead_by_Month_2010-2021'!$B$2:$B$3810,'Rec_raw_catch_effort_2010-2021'!$B3086,'FW_Steelhead_by_Month_2010-2021'!$H$2:$H$3810,'Rec_raw_catch_effort_2010-2021'!$F3086,'FW_Steelhead_by_Month_2010-2021'!$M$2:$M$3810,'Rec_raw_catch_effort_2010-2021'!$K3086)</f>
        <v>4.4242424242424301</v>
      </c>
      <c r="R3086" s="111">
        <f>VLOOKUP(B3086,Readme!$A$62:$C$74,3,)*Q3086</f>
        <v>92.587171194920629</v>
      </c>
      <c r="S3086" s="140" t="str">
        <f t="shared" si="235"/>
        <v>Y</v>
      </c>
      <c r="T3086" s="154">
        <f t="shared" si="236"/>
        <v>8.5399999999999903</v>
      </c>
      <c r="U3086" s="154">
        <f t="shared" si="237"/>
        <v>20.927237324879293</v>
      </c>
    </row>
    <row r="3087" spans="1:21" x14ac:dyDescent="0.35">
      <c r="A3087" s="110">
        <v>3459</v>
      </c>
      <c r="B3087" s="110">
        <v>2015</v>
      </c>
      <c r="C3087" s="110" t="s">
        <v>38</v>
      </c>
      <c r="D3087" s="110" t="s">
        <v>143</v>
      </c>
      <c r="E3087" s="110" t="s">
        <v>86</v>
      </c>
      <c r="F3087" s="117">
        <v>752</v>
      </c>
      <c r="G3087" s="110" t="s">
        <v>46</v>
      </c>
      <c r="H3087" s="110" t="str">
        <f t="shared" si="238"/>
        <v>Hoko River</v>
      </c>
      <c r="I3087" s="110" t="str">
        <f>IFERROR(VLOOKUP(H3087,LUTs!$A$1:$C$73,2,FALSE),"NA")</f>
        <v>Clallam</v>
      </c>
      <c r="J3087" s="110" t="str">
        <f>IFERROR(VLOOKUP(H3087,LUTs!$A$1:$C$73,3,FALSE),"NA")</f>
        <v>0Strait of Juan de Fuca</v>
      </c>
      <c r="K3087" s="110" t="s">
        <v>24</v>
      </c>
      <c r="L3087" s="110" t="str">
        <f>VLOOKUP(K3087,LUTs!E$2:G$14,3,)</f>
        <v>11Clallam</v>
      </c>
      <c r="M3087" s="110" t="str">
        <f>VLOOKUP($K3087,LUTs!$E$2:$H$14,2,)</f>
        <v>Strait of Juan de Fuca</v>
      </c>
      <c r="N3087" s="110" t="str">
        <f>VLOOKUP($K3087,LUTs!$E$2:$H$14,4,)</f>
        <v>03Strait of Juan de Fuca</v>
      </c>
      <c r="O3087" s="110">
        <v>74.285714285714306</v>
      </c>
      <c r="P3087" s="110">
        <v>1378</v>
      </c>
      <c r="Q3087" s="110">
        <f>SUMIFS('FW_Steelhead_by_Month_2010-2021'!Q$2:Q$3810,'FW_Steelhead_by_Month_2010-2021'!$B$2:$B$3810,'Rec_raw_catch_effort_2010-2021'!$B3087,'FW_Steelhead_by_Month_2010-2021'!$H$2:$H$3810,'Rec_raw_catch_effort_2010-2021'!$F3087,'FW_Steelhead_by_Month_2010-2021'!$M$2:$M$3810,'Rec_raw_catch_effort_2010-2021'!$K3087)</f>
        <v>117.58547008547001</v>
      </c>
      <c r="R3087" s="111">
        <f>VLOOKUP(B3087,Readme!$A$62:$C$74,3,)*Q3087</f>
        <v>2460.7390384361256</v>
      </c>
      <c r="S3087" s="140" t="str">
        <f t="shared" si="235"/>
        <v>Y</v>
      </c>
      <c r="T3087" s="154">
        <f t="shared" si="236"/>
        <v>18.549999999999994</v>
      </c>
      <c r="U3087" s="154">
        <f t="shared" si="237"/>
        <v>20.927237324879293</v>
      </c>
    </row>
    <row r="3088" spans="1:21" x14ac:dyDescent="0.35">
      <c r="A3088" s="110">
        <v>3457</v>
      </c>
      <c r="B3088" s="110">
        <v>2015</v>
      </c>
      <c r="C3088" s="110" t="s">
        <v>38</v>
      </c>
      <c r="D3088" s="110" t="s">
        <v>143</v>
      </c>
      <c r="E3088" s="110" t="s">
        <v>86</v>
      </c>
      <c r="F3088" s="117">
        <v>752</v>
      </c>
      <c r="G3088" s="110" t="s">
        <v>46</v>
      </c>
      <c r="H3088" s="110" t="str">
        <f t="shared" si="238"/>
        <v>Hoko River</v>
      </c>
      <c r="I3088" s="110" t="str">
        <f>IFERROR(VLOOKUP(H3088,LUTs!$A$1:$C$73,2,FALSE),"NA")</f>
        <v>Clallam</v>
      </c>
      <c r="J3088" s="110" t="str">
        <f>IFERROR(VLOOKUP(H3088,LUTs!$A$1:$C$73,3,FALSE),"NA")</f>
        <v>0Strait of Juan de Fuca</v>
      </c>
      <c r="K3088" s="110" t="s">
        <v>18</v>
      </c>
      <c r="L3088" s="110" t="str">
        <f>VLOOKUP(K3088,LUTs!E$2:G$14,3,)</f>
        <v>06King</v>
      </c>
      <c r="M3088" s="110" t="str">
        <f>VLOOKUP($K3088,LUTs!$E$2:$H$14,2,)</f>
        <v>South Puget Sound</v>
      </c>
      <c r="N3088" s="110" t="str">
        <f>VLOOKUP($K3088,LUTs!$E$2:$H$14,4,)</f>
        <v>02South Puget Sound</v>
      </c>
      <c r="O3088" s="110">
        <v>18.571428571428601</v>
      </c>
      <c r="P3088" s="110">
        <v>344.50000000000102</v>
      </c>
      <c r="Q3088" s="110">
        <f>SUMIFS('FW_Steelhead_by_Month_2010-2021'!Q$2:Q$3810,'FW_Steelhead_by_Month_2010-2021'!$B$2:$B$3810,'Rec_raw_catch_effort_2010-2021'!$B3088,'FW_Steelhead_by_Month_2010-2021'!$H$2:$H$3810,'Rec_raw_catch_effort_2010-2021'!$F3088,'FW_Steelhead_by_Month_2010-2021'!$M$2:$M$3810,'Rec_raw_catch_effort_2010-2021'!$K3088)</f>
        <v>20.2222222222222</v>
      </c>
      <c r="R3088" s="111">
        <f>VLOOKUP(B3088,Readme!$A$62:$C$74,3,)*Q3088</f>
        <v>423.19524368089191</v>
      </c>
      <c r="S3088" s="140" t="str">
        <f t="shared" si="235"/>
        <v>Y</v>
      </c>
      <c r="T3088" s="154">
        <f t="shared" si="236"/>
        <v>18.550000000000026</v>
      </c>
      <c r="U3088" s="154">
        <f t="shared" si="237"/>
        <v>20.927237324879293</v>
      </c>
    </row>
    <row r="3089" spans="1:21" x14ac:dyDescent="0.35">
      <c r="A3089" s="110">
        <v>3458</v>
      </c>
      <c r="B3089" s="110">
        <v>2015</v>
      </c>
      <c r="C3089" s="110" t="s">
        <v>38</v>
      </c>
      <c r="D3089" s="110" t="s">
        <v>143</v>
      </c>
      <c r="E3089" s="110" t="s">
        <v>86</v>
      </c>
      <c r="F3089" s="117">
        <v>752</v>
      </c>
      <c r="G3089" s="110" t="s">
        <v>46</v>
      </c>
      <c r="H3089" s="110" t="str">
        <f t="shared" si="238"/>
        <v>Hoko River</v>
      </c>
      <c r="I3089" s="110" t="str">
        <f>IFERROR(VLOOKUP(H3089,LUTs!$A$1:$C$73,2,FALSE),"NA")</f>
        <v>Clallam</v>
      </c>
      <c r="J3089" s="110" t="str">
        <f>IFERROR(VLOOKUP(H3089,LUTs!$A$1:$C$73,3,FALSE),"NA")</f>
        <v>0Strait of Juan de Fuca</v>
      </c>
      <c r="K3089" s="110" t="s">
        <v>23</v>
      </c>
      <c r="L3089" s="110" t="str">
        <f>VLOOKUP(K3089,LUTs!E$2:G$14,3,)</f>
        <v>10Kitsap</v>
      </c>
      <c r="M3089" s="110" t="str">
        <f>VLOOKUP($K3089,LUTs!$E$2:$H$14,2,)</f>
        <v>South Puget Sound</v>
      </c>
      <c r="N3089" s="110" t="str">
        <f>VLOOKUP($K3089,LUTs!$E$2:$H$14,4,)</f>
        <v>02South Puget Sound</v>
      </c>
      <c r="O3089" s="110">
        <v>18.571428571428601</v>
      </c>
      <c r="P3089" s="110">
        <v>344.50000000000102</v>
      </c>
      <c r="Q3089" s="110">
        <f>SUMIFS('FW_Steelhead_by_Month_2010-2021'!Q$2:Q$3810,'FW_Steelhead_by_Month_2010-2021'!$B$2:$B$3810,'Rec_raw_catch_effort_2010-2021'!$B3089,'FW_Steelhead_by_Month_2010-2021'!$H$2:$H$3810,'Rec_raw_catch_effort_2010-2021'!$F3089,'FW_Steelhead_by_Month_2010-2021'!$M$2:$M$3810,'Rec_raw_catch_effort_2010-2021'!$K3089)</f>
        <v>7.780626780626779</v>
      </c>
      <c r="R3089" s="111">
        <f>VLOOKUP(B3089,Readme!$A$62:$C$74,3,)*Q3089</f>
        <v>162.82702317448815</v>
      </c>
      <c r="S3089" s="140" t="str">
        <f t="shared" si="235"/>
        <v>Y</v>
      </c>
      <c r="T3089" s="154">
        <f t="shared" si="236"/>
        <v>18.550000000000026</v>
      </c>
      <c r="U3089" s="154">
        <f t="shared" si="237"/>
        <v>20.927237324879293</v>
      </c>
    </row>
    <row r="3090" spans="1:21" x14ac:dyDescent="0.35">
      <c r="A3090" s="110">
        <v>3456</v>
      </c>
      <c r="B3090" s="110">
        <v>2015</v>
      </c>
      <c r="C3090" s="110" t="s">
        <v>38</v>
      </c>
      <c r="D3090" s="110" t="s">
        <v>143</v>
      </c>
      <c r="E3090" s="110" t="s">
        <v>86</v>
      </c>
      <c r="F3090" s="117">
        <v>752</v>
      </c>
      <c r="G3090" s="110" t="s">
        <v>46</v>
      </c>
      <c r="H3090" s="110" t="str">
        <f t="shared" si="238"/>
        <v>Hoko River</v>
      </c>
      <c r="I3090" s="110" t="str">
        <f>IFERROR(VLOOKUP(H3090,LUTs!$A$1:$C$73,2,FALSE),"NA")</f>
        <v>Clallam</v>
      </c>
      <c r="J3090" s="110" t="str">
        <f>IFERROR(VLOOKUP(H3090,LUTs!$A$1:$C$73,3,FALSE),"NA")</f>
        <v>0Strait of Juan de Fuca</v>
      </c>
      <c r="K3090" s="110" t="s">
        <v>16</v>
      </c>
      <c r="L3090" s="110" t="str">
        <f>VLOOKUP(K3090,LUTs!E$2:G$14,3,)</f>
        <v>03Snohomish</v>
      </c>
      <c r="M3090" s="110" t="str">
        <f>VLOOKUP($K3090,LUTs!$E$2:$H$14,2,)</f>
        <v>North Puget Sound</v>
      </c>
      <c r="N3090" s="110" t="str">
        <f>VLOOKUP($K3090,LUTs!$E$2:$H$14,4,)</f>
        <v>01North Puget Sound</v>
      </c>
      <c r="O3090" s="110">
        <v>18.571428571428601</v>
      </c>
      <c r="P3090" s="110">
        <v>344.50000000000102</v>
      </c>
      <c r="Q3090" s="110">
        <f>SUMIFS('FW_Steelhead_by_Month_2010-2021'!Q$2:Q$3810,'FW_Steelhead_by_Month_2010-2021'!$B$2:$B$3810,'Rec_raw_catch_effort_2010-2021'!$B3090,'FW_Steelhead_by_Month_2010-2021'!$H$2:$H$3810,'Rec_raw_catch_effort_2010-2021'!$F3090,'FW_Steelhead_by_Month_2010-2021'!$M$2:$M$3810,'Rec_raw_catch_effort_2010-2021'!$K3090)</f>
        <v>5.5370370370370399</v>
      </c>
      <c r="R3090" s="111">
        <f>VLOOKUP(B3090,Readme!$A$62:$C$74,3,)*Q3090</f>
        <v>115.87488815072059</v>
      </c>
      <c r="S3090" s="140" t="str">
        <f t="shared" si="235"/>
        <v>Y</v>
      </c>
      <c r="T3090" s="154">
        <f t="shared" si="236"/>
        <v>18.550000000000026</v>
      </c>
      <c r="U3090" s="154">
        <f t="shared" si="237"/>
        <v>20.927237324879293</v>
      </c>
    </row>
    <row r="3091" spans="1:21" x14ac:dyDescent="0.35">
      <c r="A3091" s="110">
        <v>3500</v>
      </c>
      <c r="B3091" s="110">
        <v>2016</v>
      </c>
      <c r="C3091" s="110" t="s">
        <v>38</v>
      </c>
      <c r="D3091" s="110" t="s">
        <v>143</v>
      </c>
      <c r="E3091" s="110" t="s">
        <v>86</v>
      </c>
      <c r="F3091" s="117">
        <v>752</v>
      </c>
      <c r="G3091" s="110" t="s">
        <v>46</v>
      </c>
      <c r="H3091" s="110" t="str">
        <f t="shared" si="238"/>
        <v>Hoko River</v>
      </c>
      <c r="I3091" s="110" t="str">
        <f>IFERROR(VLOOKUP(H3091,LUTs!$A$1:$C$73,2,FALSE),"NA")</f>
        <v>Clallam</v>
      </c>
      <c r="J3091" s="110" t="str">
        <f>IFERROR(VLOOKUP(H3091,LUTs!$A$1:$C$73,3,FALSE),"NA")</f>
        <v>0Strait of Juan de Fuca</v>
      </c>
      <c r="K3091" s="110" t="s">
        <v>24</v>
      </c>
      <c r="L3091" s="110" t="str">
        <f>VLOOKUP(K3091,LUTs!E$2:G$14,3,)</f>
        <v>11Clallam</v>
      </c>
      <c r="M3091" s="110" t="str">
        <f>VLOOKUP($K3091,LUTs!$E$2:$H$14,2,)</f>
        <v>Strait of Juan de Fuca</v>
      </c>
      <c r="N3091" s="110" t="str">
        <f>VLOOKUP($K3091,LUTs!$E$2:$H$14,4,)</f>
        <v>03Strait of Juan de Fuca</v>
      </c>
      <c r="O3091" s="110">
        <v>46.44</v>
      </c>
      <c r="P3091" s="110">
        <v>396.5976</v>
      </c>
      <c r="Q3091" s="110">
        <f>SUMIFS('FW_Steelhead_by_Month_2010-2021'!Q$2:Q$3810,'FW_Steelhead_by_Month_2010-2021'!$B$2:$B$3810,'Rec_raw_catch_effort_2010-2021'!$B3091,'FW_Steelhead_by_Month_2010-2021'!$H$2:$H$3810,'Rec_raw_catch_effort_2010-2021'!$F3091,'FW_Steelhead_by_Month_2010-2021'!$M$2:$M$3810,'Rec_raw_catch_effort_2010-2021'!$K3091)</f>
        <v>53.840909090909101</v>
      </c>
      <c r="R3091" s="111">
        <f>VLOOKUP(B3091,Readme!$A$62:$C$74,3,)*Q3091</f>
        <v>1126.7414823327058</v>
      </c>
      <c r="S3091" s="140" t="str">
        <f t="shared" si="235"/>
        <v>Y</v>
      </c>
      <c r="T3091" s="154">
        <f t="shared" si="236"/>
        <v>8.5400000000000009</v>
      </c>
      <c r="U3091" s="154">
        <f t="shared" si="237"/>
        <v>20.927237324879293</v>
      </c>
    </row>
    <row r="3092" spans="1:21" x14ac:dyDescent="0.35">
      <c r="A3092" s="110">
        <v>3499</v>
      </c>
      <c r="B3092" s="110">
        <v>2016</v>
      </c>
      <c r="C3092" s="110" t="s">
        <v>38</v>
      </c>
      <c r="D3092" s="110" t="s">
        <v>143</v>
      </c>
      <c r="E3092" s="110" t="s">
        <v>86</v>
      </c>
      <c r="F3092" s="117">
        <v>752</v>
      </c>
      <c r="G3092" s="110" t="s">
        <v>46</v>
      </c>
      <c r="H3092" s="110" t="str">
        <f t="shared" si="238"/>
        <v>Hoko River</v>
      </c>
      <c r="I3092" s="110" t="str">
        <f>IFERROR(VLOOKUP(H3092,LUTs!$A$1:$C$73,2,FALSE),"NA")</f>
        <v>Clallam</v>
      </c>
      <c r="J3092" s="110" t="str">
        <f>IFERROR(VLOOKUP(H3092,LUTs!$A$1:$C$73,3,FALSE),"NA")</f>
        <v>0Strait of Juan de Fuca</v>
      </c>
      <c r="K3092" s="110" t="s">
        <v>23</v>
      </c>
      <c r="L3092" s="110" t="str">
        <f>VLOOKUP(K3092,LUTs!E$2:G$14,3,)</f>
        <v>10Kitsap</v>
      </c>
      <c r="M3092" s="110" t="str">
        <f>VLOOKUP($K3092,LUTs!$E$2:$H$14,2,)</f>
        <v>South Puget Sound</v>
      </c>
      <c r="N3092" s="110" t="str">
        <f>VLOOKUP($K3092,LUTs!$E$2:$H$14,4,)</f>
        <v>02South Puget Sound</v>
      </c>
      <c r="O3092" s="110">
        <v>5.16</v>
      </c>
      <c r="P3092" s="110">
        <v>44.066400000000002</v>
      </c>
      <c r="Q3092" s="110">
        <f>SUMIFS('FW_Steelhead_by_Month_2010-2021'!Q$2:Q$3810,'FW_Steelhead_by_Month_2010-2021'!$B$2:$B$3810,'Rec_raw_catch_effort_2010-2021'!$B3092,'FW_Steelhead_by_Month_2010-2021'!$H$2:$H$3810,'Rec_raw_catch_effort_2010-2021'!$F3092,'FW_Steelhead_by_Month_2010-2021'!$M$2:$M$3810,'Rec_raw_catch_effort_2010-2021'!$K3092)</f>
        <v>5.1818181818181799</v>
      </c>
      <c r="R3092" s="111">
        <f>VLOOKUP(B3092,Readme!$A$62:$C$74,3,)*Q3092</f>
        <v>108.44113886528356</v>
      </c>
      <c r="S3092" s="140" t="str">
        <f t="shared" si="235"/>
        <v>Y</v>
      </c>
      <c r="T3092" s="154">
        <f t="shared" si="236"/>
        <v>8.5400000000000009</v>
      </c>
      <c r="U3092" s="154">
        <f t="shared" si="237"/>
        <v>20.927237324879293</v>
      </c>
    </row>
    <row r="3093" spans="1:21" x14ac:dyDescent="0.35">
      <c r="A3093" s="110">
        <v>3498</v>
      </c>
      <c r="B3093" s="110">
        <v>2016</v>
      </c>
      <c r="C3093" s="110" t="s">
        <v>38</v>
      </c>
      <c r="D3093" s="110" t="s">
        <v>143</v>
      </c>
      <c r="E3093" s="110" t="s">
        <v>86</v>
      </c>
      <c r="F3093" s="117">
        <v>752</v>
      </c>
      <c r="G3093" s="110" t="s">
        <v>46</v>
      </c>
      <c r="H3093" s="110" t="str">
        <f t="shared" si="238"/>
        <v>Hoko River</v>
      </c>
      <c r="I3093" s="110" t="str">
        <f>IFERROR(VLOOKUP(H3093,LUTs!$A$1:$C$73,2,FALSE),"NA")</f>
        <v>Clallam</v>
      </c>
      <c r="J3093" s="110" t="str">
        <f>IFERROR(VLOOKUP(H3093,LUTs!$A$1:$C$73,3,FALSE),"NA")</f>
        <v>0Strait of Juan de Fuca</v>
      </c>
      <c r="K3093" s="110" t="s">
        <v>22</v>
      </c>
      <c r="L3093" s="110" t="str">
        <f>VLOOKUP(K3093,LUTs!E$2:G$14,3,)</f>
        <v>09Mason</v>
      </c>
      <c r="M3093" s="110" t="str">
        <f>VLOOKUP($K3093,LUTs!$E$2:$H$14,2,)</f>
        <v>South Puget Sound</v>
      </c>
      <c r="N3093" s="110" t="str">
        <f>VLOOKUP($K3093,LUTs!$E$2:$H$14,4,)</f>
        <v>02South Puget Sound</v>
      </c>
      <c r="O3093" s="110">
        <v>5.16</v>
      </c>
      <c r="P3093" s="110">
        <v>44.066400000000002</v>
      </c>
      <c r="Q3093" s="110">
        <f>SUMIFS('FW_Steelhead_by_Month_2010-2021'!Q$2:Q$3810,'FW_Steelhead_by_Month_2010-2021'!$B$2:$B$3810,'Rec_raw_catch_effort_2010-2021'!$B3093,'FW_Steelhead_by_Month_2010-2021'!$H$2:$H$3810,'Rec_raw_catch_effort_2010-2021'!$F3093,'FW_Steelhead_by_Month_2010-2021'!$M$2:$M$3810,'Rec_raw_catch_effort_2010-2021'!$K3093)</f>
        <v>5.1818181818181799</v>
      </c>
      <c r="R3093" s="111">
        <f>VLOOKUP(B3093,Readme!$A$62:$C$74,3,)*Q3093</f>
        <v>108.44113886528356</v>
      </c>
      <c r="S3093" s="140" t="str">
        <f t="shared" si="235"/>
        <v>Y</v>
      </c>
      <c r="T3093" s="154">
        <f t="shared" si="236"/>
        <v>8.5400000000000009</v>
      </c>
      <c r="U3093" s="154">
        <f t="shared" si="237"/>
        <v>20.927237324879293</v>
      </c>
    </row>
    <row r="3094" spans="1:21" x14ac:dyDescent="0.35">
      <c r="A3094" s="110">
        <v>3501</v>
      </c>
      <c r="B3094" s="110">
        <v>2016</v>
      </c>
      <c r="C3094" s="110" t="s">
        <v>38</v>
      </c>
      <c r="D3094" s="110" t="s">
        <v>143</v>
      </c>
      <c r="E3094" s="110" t="s">
        <v>86</v>
      </c>
      <c r="F3094" s="117">
        <v>752</v>
      </c>
      <c r="G3094" s="110" t="s">
        <v>46</v>
      </c>
      <c r="H3094" s="110" t="str">
        <f t="shared" si="238"/>
        <v>Hoko River</v>
      </c>
      <c r="I3094" s="110" t="str">
        <f>IFERROR(VLOOKUP(H3094,LUTs!$A$1:$C$73,2,FALSE),"NA")</f>
        <v>Clallam</v>
      </c>
      <c r="J3094" s="110" t="str">
        <f>IFERROR(VLOOKUP(H3094,LUTs!$A$1:$C$73,3,FALSE),"NA")</f>
        <v>0Strait of Juan de Fuca</v>
      </c>
      <c r="K3094" s="110" t="s">
        <v>26</v>
      </c>
      <c r="L3094" s="110" t="str">
        <f>VLOOKUP(K3094,LUTs!E$2:G$14,3,)</f>
        <v>20Other</v>
      </c>
      <c r="M3094" s="110" t="str">
        <f>VLOOKUP($K3094,LUTs!$E$2:$H$14,2,)</f>
        <v>Non Puget Sound</v>
      </c>
      <c r="N3094" s="110" t="str">
        <f>VLOOKUP($K3094,LUTs!$E$2:$H$14,4,)</f>
        <v>07Non Puget Sound</v>
      </c>
      <c r="O3094" s="110">
        <v>5.16</v>
      </c>
      <c r="P3094" s="110">
        <v>44.066400000000002</v>
      </c>
      <c r="Q3094" s="110">
        <f>SUMIFS('FW_Steelhead_by_Month_2010-2021'!Q$2:Q$3810,'FW_Steelhead_by_Month_2010-2021'!$B$2:$B$3810,'Rec_raw_catch_effort_2010-2021'!$B3094,'FW_Steelhead_by_Month_2010-2021'!$H$2:$H$3810,'Rec_raw_catch_effort_2010-2021'!$F3094,'FW_Steelhead_by_Month_2010-2021'!$M$2:$M$3810,'Rec_raw_catch_effort_2010-2021'!$K3094)</f>
        <v>8.4318181818181799</v>
      </c>
      <c r="R3094" s="111">
        <f>VLOOKUP(B3094,Readme!$A$62:$C$74,3,)*Q3094</f>
        <v>176.45466017114128</v>
      </c>
      <c r="S3094" s="140" t="str">
        <f t="shared" si="235"/>
        <v>Y</v>
      </c>
      <c r="T3094" s="154">
        <f t="shared" si="236"/>
        <v>8.5400000000000009</v>
      </c>
      <c r="U3094" s="154">
        <f t="shared" si="237"/>
        <v>20.927237324879293</v>
      </c>
    </row>
    <row r="3095" spans="1:21" x14ac:dyDescent="0.35">
      <c r="A3095" s="110">
        <v>3497</v>
      </c>
      <c r="B3095" s="110">
        <v>2016</v>
      </c>
      <c r="C3095" s="110" t="s">
        <v>38</v>
      </c>
      <c r="D3095" s="110" t="s">
        <v>143</v>
      </c>
      <c r="E3095" s="110" t="s">
        <v>86</v>
      </c>
      <c r="F3095" s="117">
        <v>752</v>
      </c>
      <c r="G3095" s="110" t="s">
        <v>46</v>
      </c>
      <c r="H3095" s="110" t="str">
        <f t="shared" si="238"/>
        <v>Hoko River</v>
      </c>
      <c r="I3095" s="110" t="str">
        <f>IFERROR(VLOOKUP(H3095,LUTs!$A$1:$C$73,2,FALSE),"NA")</f>
        <v>Clallam</v>
      </c>
      <c r="J3095" s="110" t="str">
        <f>IFERROR(VLOOKUP(H3095,LUTs!$A$1:$C$73,3,FALSE),"NA")</f>
        <v>0Strait of Juan de Fuca</v>
      </c>
      <c r="K3095" s="110" t="s">
        <v>20</v>
      </c>
      <c r="L3095" s="110" t="str">
        <f>VLOOKUP(K3095,LUTs!E$2:G$14,3,)</f>
        <v>07Pierce</v>
      </c>
      <c r="M3095" s="110" t="str">
        <f>VLOOKUP($K3095,LUTs!$E$2:$H$14,2,)</f>
        <v>South Puget Sound</v>
      </c>
      <c r="N3095" s="110" t="str">
        <f>VLOOKUP($K3095,LUTs!$E$2:$H$14,4,)</f>
        <v>02South Puget Sound</v>
      </c>
      <c r="O3095" s="110">
        <v>61.92</v>
      </c>
      <c r="P3095" s="110">
        <v>528.79679999999996</v>
      </c>
      <c r="Q3095" s="110">
        <f>SUMIFS('FW_Steelhead_by_Month_2010-2021'!Q$2:Q$3810,'FW_Steelhead_by_Month_2010-2021'!$B$2:$B$3810,'Rec_raw_catch_effort_2010-2021'!$B3095,'FW_Steelhead_by_Month_2010-2021'!$H$2:$H$3810,'Rec_raw_catch_effort_2010-2021'!$F3095,'FW_Steelhead_by_Month_2010-2021'!$M$2:$M$3810,'Rec_raw_catch_effort_2010-2021'!$K3095)</f>
        <v>62.181818181818201</v>
      </c>
      <c r="R3095" s="111">
        <f>VLOOKUP(B3095,Readme!$A$62:$C$74,3,)*Q3095</f>
        <v>1301.2936663834037</v>
      </c>
      <c r="S3095" s="140" t="str">
        <f t="shared" si="235"/>
        <v>Y</v>
      </c>
      <c r="T3095" s="154">
        <f t="shared" si="236"/>
        <v>8.5399999999999991</v>
      </c>
      <c r="U3095" s="154">
        <f t="shared" si="237"/>
        <v>20.927237324879293</v>
      </c>
    </row>
    <row r="3096" spans="1:21" x14ac:dyDescent="0.35">
      <c r="A3096" s="110">
        <v>3496</v>
      </c>
      <c r="B3096" s="110">
        <v>2016</v>
      </c>
      <c r="C3096" s="110" t="s">
        <v>38</v>
      </c>
      <c r="D3096" s="110" t="s">
        <v>143</v>
      </c>
      <c r="E3096" s="110" t="s">
        <v>86</v>
      </c>
      <c r="F3096" s="117">
        <v>752</v>
      </c>
      <c r="G3096" s="110" t="s">
        <v>46</v>
      </c>
      <c r="H3096" s="110" t="str">
        <f t="shared" si="238"/>
        <v>Hoko River</v>
      </c>
      <c r="I3096" s="110" t="str">
        <f>IFERROR(VLOOKUP(H3096,LUTs!$A$1:$C$73,2,FALSE),"NA")</f>
        <v>Clallam</v>
      </c>
      <c r="J3096" s="110" t="str">
        <f>IFERROR(VLOOKUP(H3096,LUTs!$A$1:$C$73,3,FALSE),"NA")</f>
        <v>0Strait of Juan de Fuca</v>
      </c>
      <c r="K3096" s="110" t="s">
        <v>15</v>
      </c>
      <c r="L3096" s="110" t="str">
        <f>VLOOKUP(K3096,LUTs!E$2:G$14,3,)</f>
        <v>02Skagit</v>
      </c>
      <c r="M3096" s="110" t="str">
        <f>VLOOKUP($K3096,LUTs!$E$2:$H$14,2,)</f>
        <v>North Puget Sound</v>
      </c>
      <c r="N3096" s="110" t="str">
        <f>VLOOKUP($K3096,LUTs!$E$2:$H$14,4,)</f>
        <v>01North Puget Sound</v>
      </c>
      <c r="O3096" s="110">
        <v>5.16</v>
      </c>
      <c r="P3096" s="110">
        <v>44.066400000000002</v>
      </c>
      <c r="Q3096" s="110">
        <f>SUMIFS('FW_Steelhead_by_Month_2010-2021'!Q$2:Q$3810,'FW_Steelhead_by_Month_2010-2021'!$B$2:$B$3810,'Rec_raw_catch_effort_2010-2021'!$B3096,'FW_Steelhead_by_Month_2010-2021'!$H$2:$H$3810,'Rec_raw_catch_effort_2010-2021'!$F3096,'FW_Steelhead_by_Month_2010-2021'!$M$2:$M$3810,'Rec_raw_catch_effort_2010-2021'!$K3096)</f>
        <v>5.1818181818181799</v>
      </c>
      <c r="R3096" s="111">
        <f>VLOOKUP(B3096,Readme!$A$62:$C$74,3,)*Q3096</f>
        <v>108.44113886528356</v>
      </c>
      <c r="S3096" s="140" t="str">
        <f t="shared" si="235"/>
        <v>Y</v>
      </c>
      <c r="T3096" s="154">
        <f t="shared" si="236"/>
        <v>8.5400000000000009</v>
      </c>
      <c r="U3096" s="154">
        <f t="shared" si="237"/>
        <v>20.927237324879293</v>
      </c>
    </row>
    <row r="3097" spans="1:21" x14ac:dyDescent="0.35">
      <c r="A3097" s="110">
        <v>3549</v>
      </c>
      <c r="B3097" s="110">
        <v>2017</v>
      </c>
      <c r="C3097" s="110" t="s">
        <v>38</v>
      </c>
      <c r="D3097" s="110" t="s">
        <v>143</v>
      </c>
      <c r="E3097" s="110" t="s">
        <v>86</v>
      </c>
      <c r="F3097" s="117">
        <v>752</v>
      </c>
      <c r="G3097" s="110" t="s">
        <v>46</v>
      </c>
      <c r="H3097" s="110" t="str">
        <f t="shared" si="238"/>
        <v>Hoko River</v>
      </c>
      <c r="I3097" s="110" t="str">
        <f>IFERROR(VLOOKUP(H3097,LUTs!$A$1:$C$73,2,FALSE),"NA")</f>
        <v>Clallam</v>
      </c>
      <c r="J3097" s="110" t="str">
        <f>IFERROR(VLOOKUP(H3097,LUTs!$A$1:$C$73,3,FALSE),"NA")</f>
        <v>0Strait of Juan de Fuca</v>
      </c>
      <c r="K3097" s="110" t="s">
        <v>24</v>
      </c>
      <c r="L3097" s="110" t="str">
        <f>VLOOKUP(K3097,LUTs!E$2:G$14,3,)</f>
        <v>11Clallam</v>
      </c>
      <c r="M3097" s="110" t="str">
        <f>VLOOKUP($K3097,LUTs!$E$2:$H$14,2,)</f>
        <v>Strait of Juan de Fuca</v>
      </c>
      <c r="N3097" s="110" t="str">
        <f>VLOOKUP($K3097,LUTs!$E$2:$H$14,4,)</f>
        <v>03Strait of Juan de Fuca</v>
      </c>
      <c r="O3097" s="110">
        <v>296.18181818181802</v>
      </c>
      <c r="P3097" s="110">
        <v>5494.1727272727203</v>
      </c>
      <c r="Q3097" s="110">
        <f>SUMIFS('FW_Steelhead_by_Month_2010-2021'!Q$2:Q$3810,'FW_Steelhead_by_Month_2010-2021'!$B$2:$B$3810,'Rec_raw_catch_effort_2010-2021'!$B3097,'FW_Steelhead_by_Month_2010-2021'!$H$2:$H$3810,'Rec_raw_catch_effort_2010-2021'!$F3097,'FW_Steelhead_by_Month_2010-2021'!$M$2:$M$3810,'Rec_raw_catch_effort_2010-2021'!$K3097)</f>
        <v>91.631578947368396</v>
      </c>
      <c r="R3097" s="111">
        <f>VLOOKUP(B3097,Readme!$A$62:$C$74,3,)*Q3097</f>
        <v>1917.5957990849915</v>
      </c>
      <c r="S3097" s="140" t="str">
        <f t="shared" si="235"/>
        <v>Y</v>
      </c>
      <c r="T3097" s="154">
        <f t="shared" si="236"/>
        <v>18.549999999999986</v>
      </c>
      <c r="U3097" s="154">
        <f t="shared" si="237"/>
        <v>20.927237324879293</v>
      </c>
    </row>
    <row r="3098" spans="1:21" x14ac:dyDescent="0.35">
      <c r="A3098" s="110">
        <v>3545</v>
      </c>
      <c r="B3098" s="110">
        <v>2017</v>
      </c>
      <c r="C3098" s="110" t="s">
        <v>38</v>
      </c>
      <c r="D3098" s="110" t="s">
        <v>143</v>
      </c>
      <c r="E3098" s="110" t="s">
        <v>86</v>
      </c>
      <c r="F3098" s="117">
        <v>752</v>
      </c>
      <c r="G3098" s="110" t="s">
        <v>46</v>
      </c>
      <c r="H3098" s="110" t="str">
        <f t="shared" si="238"/>
        <v>Hoko River</v>
      </c>
      <c r="I3098" s="110" t="str">
        <f>IFERROR(VLOOKUP(H3098,LUTs!$A$1:$C$73,2,FALSE),"NA")</f>
        <v>Clallam</v>
      </c>
      <c r="J3098" s="110" t="str">
        <f>IFERROR(VLOOKUP(H3098,LUTs!$A$1:$C$73,3,FALSE),"NA")</f>
        <v>0Strait of Juan de Fuca</v>
      </c>
      <c r="K3098" s="110" t="s">
        <v>18</v>
      </c>
      <c r="L3098" s="110" t="str">
        <f>VLOOKUP(K3098,LUTs!E$2:G$14,3,)</f>
        <v>06King</v>
      </c>
      <c r="M3098" s="110" t="str">
        <f>VLOOKUP($K3098,LUTs!$E$2:$H$14,2,)</f>
        <v>South Puget Sound</v>
      </c>
      <c r="N3098" s="110" t="str">
        <f>VLOOKUP($K3098,LUTs!$E$2:$H$14,4,)</f>
        <v>02South Puget Sound</v>
      </c>
      <c r="O3098" s="110">
        <v>21.939393939393899</v>
      </c>
      <c r="P3098" s="110">
        <v>406.97575757575697</v>
      </c>
      <c r="Q3098" s="110">
        <f>SUMIFS('FW_Steelhead_by_Month_2010-2021'!Q$2:Q$3810,'FW_Steelhead_by_Month_2010-2021'!$B$2:$B$3810,'Rec_raw_catch_effort_2010-2021'!$B3098,'FW_Steelhead_by_Month_2010-2021'!$H$2:$H$3810,'Rec_raw_catch_effort_2010-2021'!$F3098,'FW_Steelhead_by_Month_2010-2021'!$M$2:$M$3810,'Rec_raw_catch_effort_2010-2021'!$K3098)</f>
        <v>10.9473684210526</v>
      </c>
      <c r="R3098" s="111">
        <f>VLOOKUP(B3098,Readme!$A$62:$C$74,3,)*Q3098</f>
        <v>229.09817703025686</v>
      </c>
      <c r="S3098" s="140" t="str">
        <f t="shared" si="235"/>
        <v>Y</v>
      </c>
      <c r="T3098" s="154">
        <f t="shared" si="236"/>
        <v>18.550000000000008</v>
      </c>
      <c r="U3098" s="154">
        <f t="shared" si="237"/>
        <v>20.927237324879293</v>
      </c>
    </row>
    <row r="3099" spans="1:21" x14ac:dyDescent="0.35">
      <c r="A3099" s="110">
        <v>3548</v>
      </c>
      <c r="B3099" s="110">
        <v>2017</v>
      </c>
      <c r="C3099" s="110" t="s">
        <v>38</v>
      </c>
      <c r="D3099" s="110" t="s">
        <v>143</v>
      </c>
      <c r="E3099" s="110" t="s">
        <v>86</v>
      </c>
      <c r="F3099" s="117">
        <v>752</v>
      </c>
      <c r="G3099" s="110" t="s">
        <v>46</v>
      </c>
      <c r="H3099" s="110" t="str">
        <f t="shared" si="238"/>
        <v>Hoko River</v>
      </c>
      <c r="I3099" s="110" t="str">
        <f>IFERROR(VLOOKUP(H3099,LUTs!$A$1:$C$73,2,FALSE),"NA")</f>
        <v>Clallam</v>
      </c>
      <c r="J3099" s="110" t="str">
        <f>IFERROR(VLOOKUP(H3099,LUTs!$A$1:$C$73,3,FALSE),"NA")</f>
        <v>0Strait of Juan de Fuca</v>
      </c>
      <c r="K3099" s="110" t="s">
        <v>23</v>
      </c>
      <c r="L3099" s="110" t="str">
        <f>VLOOKUP(K3099,LUTs!E$2:G$14,3,)</f>
        <v>10Kitsap</v>
      </c>
      <c r="M3099" s="110" t="str">
        <f>VLOOKUP($K3099,LUTs!$E$2:$H$14,2,)</f>
        <v>South Puget Sound</v>
      </c>
      <c r="N3099" s="110" t="str">
        <f>VLOOKUP($K3099,LUTs!$E$2:$H$14,4,)</f>
        <v>02South Puget Sound</v>
      </c>
      <c r="O3099" s="110">
        <v>10.969696969697001</v>
      </c>
      <c r="P3099" s="110">
        <v>203.487878787879</v>
      </c>
      <c r="Q3099" s="110">
        <f>SUMIFS('FW_Steelhead_by_Month_2010-2021'!Q$2:Q$3810,'FW_Steelhead_by_Month_2010-2021'!$B$2:$B$3810,'Rec_raw_catch_effort_2010-2021'!$B3099,'FW_Steelhead_by_Month_2010-2021'!$H$2:$H$3810,'Rec_raw_catch_effort_2010-2021'!$F3099,'FW_Steelhead_by_Month_2010-2021'!$M$2:$M$3810,'Rec_raw_catch_effort_2010-2021'!$K3099)</f>
        <v>0</v>
      </c>
      <c r="R3099" s="111">
        <f>VLOOKUP(B3099,Readme!$A$62:$C$74,3,)*Q3099</f>
        <v>0</v>
      </c>
      <c r="S3099" s="140" t="str">
        <f t="shared" si="235"/>
        <v>Y</v>
      </c>
      <c r="T3099" s="154">
        <f t="shared" si="236"/>
        <v>18.549999999999965</v>
      </c>
      <c r="U3099" s="154" t="str">
        <f t="shared" si="237"/>
        <v>NA</v>
      </c>
    </row>
    <row r="3100" spans="1:21" x14ac:dyDescent="0.35">
      <c r="A3100" s="110">
        <v>3546</v>
      </c>
      <c r="B3100" s="110">
        <v>2017</v>
      </c>
      <c r="C3100" s="110" t="s">
        <v>38</v>
      </c>
      <c r="D3100" s="110" t="s">
        <v>143</v>
      </c>
      <c r="E3100" s="110" t="s">
        <v>86</v>
      </c>
      <c r="F3100" s="117">
        <v>752</v>
      </c>
      <c r="G3100" s="110" t="s">
        <v>46</v>
      </c>
      <c r="H3100" s="110" t="str">
        <f t="shared" si="238"/>
        <v>Hoko River</v>
      </c>
      <c r="I3100" s="110" t="str">
        <f>IFERROR(VLOOKUP(H3100,LUTs!$A$1:$C$73,2,FALSE),"NA")</f>
        <v>Clallam</v>
      </c>
      <c r="J3100" s="110" t="str">
        <f>IFERROR(VLOOKUP(H3100,LUTs!$A$1:$C$73,3,FALSE),"NA")</f>
        <v>0Strait of Juan de Fuca</v>
      </c>
      <c r="K3100" s="110" t="s">
        <v>20</v>
      </c>
      <c r="L3100" s="110" t="str">
        <f>VLOOKUP(K3100,LUTs!E$2:G$14,3,)</f>
        <v>07Pierce</v>
      </c>
      <c r="M3100" s="110" t="str">
        <f>VLOOKUP($K3100,LUTs!$E$2:$H$14,2,)</f>
        <v>South Puget Sound</v>
      </c>
      <c r="N3100" s="110" t="str">
        <f>VLOOKUP($K3100,LUTs!$E$2:$H$14,4,)</f>
        <v>02South Puget Sound</v>
      </c>
      <c r="O3100" s="110">
        <v>21.939393939393899</v>
      </c>
      <c r="P3100" s="110">
        <v>406.97575757575697</v>
      </c>
      <c r="Q3100" s="110">
        <f>SUMIFS('FW_Steelhead_by_Month_2010-2021'!Q$2:Q$3810,'FW_Steelhead_by_Month_2010-2021'!$B$2:$B$3810,'Rec_raw_catch_effort_2010-2021'!$B3100,'FW_Steelhead_by_Month_2010-2021'!$H$2:$H$3810,'Rec_raw_catch_effort_2010-2021'!$F3100,'FW_Steelhead_by_Month_2010-2021'!$M$2:$M$3810,'Rec_raw_catch_effort_2010-2021'!$K3100)</f>
        <v>10.9473684210526</v>
      </c>
      <c r="R3100" s="111">
        <f>VLOOKUP(B3100,Readme!$A$62:$C$74,3,)*Q3100</f>
        <v>229.09817703025686</v>
      </c>
      <c r="S3100" s="140" t="str">
        <f t="shared" si="235"/>
        <v>Y</v>
      </c>
      <c r="T3100" s="154">
        <f t="shared" si="236"/>
        <v>18.550000000000008</v>
      </c>
      <c r="U3100" s="154">
        <f t="shared" si="237"/>
        <v>20.927237324879293</v>
      </c>
    </row>
    <row r="3101" spans="1:21" x14ac:dyDescent="0.35">
      <c r="A3101" s="110">
        <v>3547</v>
      </c>
      <c r="B3101" s="110">
        <v>2017</v>
      </c>
      <c r="C3101" s="110" t="s">
        <v>38</v>
      </c>
      <c r="D3101" s="110" t="s">
        <v>143</v>
      </c>
      <c r="E3101" s="110" t="s">
        <v>86</v>
      </c>
      <c r="F3101" s="117">
        <v>752</v>
      </c>
      <c r="G3101" s="110" t="s">
        <v>46</v>
      </c>
      <c r="H3101" s="110" t="str">
        <f t="shared" si="238"/>
        <v>Hoko River</v>
      </c>
      <c r="I3101" s="110" t="str">
        <f>IFERROR(VLOOKUP(H3101,LUTs!$A$1:$C$73,2,FALSE),"NA")</f>
        <v>Clallam</v>
      </c>
      <c r="J3101" s="110" t="str">
        <f>IFERROR(VLOOKUP(H3101,LUTs!$A$1:$C$73,3,FALSE),"NA")</f>
        <v>0Strait of Juan de Fuca</v>
      </c>
      <c r="K3101" s="110" t="s">
        <v>21</v>
      </c>
      <c r="L3101" s="110" t="str">
        <f>VLOOKUP(K3101,LUTs!E$2:G$14,3,)</f>
        <v>08Thurston</v>
      </c>
      <c r="M3101" s="110" t="str">
        <f>VLOOKUP($K3101,LUTs!$E$2:$H$14,2,)</f>
        <v>South Puget Sound</v>
      </c>
      <c r="N3101" s="110" t="str">
        <f>VLOOKUP($K3101,LUTs!$E$2:$H$14,4,)</f>
        <v>02South Puget Sound</v>
      </c>
      <c r="O3101" s="110">
        <v>10.969696969697001</v>
      </c>
      <c r="P3101" s="110">
        <v>203.487878787879</v>
      </c>
      <c r="Q3101" s="110">
        <f>SUMIFS('FW_Steelhead_by_Month_2010-2021'!Q$2:Q$3810,'FW_Steelhead_by_Month_2010-2021'!$B$2:$B$3810,'Rec_raw_catch_effort_2010-2021'!$B3101,'FW_Steelhead_by_Month_2010-2021'!$H$2:$H$3810,'Rec_raw_catch_effort_2010-2021'!$F3101,'FW_Steelhead_by_Month_2010-2021'!$M$2:$M$3810,'Rec_raw_catch_effort_2010-2021'!$K3101)</f>
        <v>5.4736842105263204</v>
      </c>
      <c r="R3101" s="111">
        <f>VLOOKUP(B3101,Readme!$A$62:$C$74,3,)*Q3101</f>
        <v>114.54908851512886</v>
      </c>
      <c r="S3101" s="140" t="str">
        <f t="shared" si="235"/>
        <v>Y</v>
      </c>
      <c r="T3101" s="154">
        <f t="shared" si="236"/>
        <v>18.549999999999965</v>
      </c>
      <c r="U3101" s="154">
        <f t="shared" si="237"/>
        <v>20.927237324879293</v>
      </c>
    </row>
    <row r="3102" spans="1:21" x14ac:dyDescent="0.35">
      <c r="A3102" s="110">
        <v>3600</v>
      </c>
      <c r="B3102" s="110">
        <v>2018</v>
      </c>
      <c r="C3102" s="110" t="s">
        <v>38</v>
      </c>
      <c r="D3102" s="110" t="s">
        <v>143</v>
      </c>
      <c r="E3102" s="110" t="s">
        <v>86</v>
      </c>
      <c r="F3102" s="117">
        <v>752</v>
      </c>
      <c r="G3102" s="110" t="s">
        <v>46</v>
      </c>
      <c r="H3102" s="110" t="str">
        <f t="shared" si="238"/>
        <v>Hoko River</v>
      </c>
      <c r="I3102" s="110" t="str">
        <f>IFERROR(VLOOKUP(H3102,LUTs!$A$1:$C$73,2,FALSE),"NA")</f>
        <v>Clallam</v>
      </c>
      <c r="J3102" s="110" t="str">
        <f>IFERROR(VLOOKUP(H3102,LUTs!$A$1:$C$73,3,FALSE),"NA")</f>
        <v>0Strait of Juan de Fuca</v>
      </c>
      <c r="K3102" s="110" t="s">
        <v>24</v>
      </c>
      <c r="L3102" s="110" t="str">
        <f>VLOOKUP(K3102,LUTs!E$2:G$14,3,)</f>
        <v>11Clallam</v>
      </c>
      <c r="M3102" s="110" t="str">
        <f>VLOOKUP($K3102,LUTs!$E$2:$H$14,2,)</f>
        <v>Strait of Juan de Fuca</v>
      </c>
      <c r="N3102" s="110" t="str">
        <f>VLOOKUP($K3102,LUTs!$E$2:$H$14,4,)</f>
        <v>03Strait of Juan de Fuca</v>
      </c>
      <c r="O3102" s="110">
        <v>56</v>
      </c>
      <c r="P3102" s="110">
        <v>478.24</v>
      </c>
      <c r="Q3102" s="110">
        <f>SUMIFS('FW_Steelhead_by_Month_2010-2021'!Q$2:Q$3810,'FW_Steelhead_by_Month_2010-2021'!$B$2:$B$3810,'Rec_raw_catch_effort_2010-2021'!$B3102,'FW_Steelhead_by_Month_2010-2021'!$H$2:$H$3810,'Rec_raw_catch_effort_2010-2021'!$F3102,'FW_Steelhead_by_Month_2010-2021'!$M$2:$M$3810,'Rec_raw_catch_effort_2010-2021'!$K3102)</f>
        <v>71.5</v>
      </c>
      <c r="R3102" s="111">
        <f>VLOOKUP(B3102,Readme!$A$62:$C$74,3,)*Q3102</f>
        <v>1496.2974687288695</v>
      </c>
      <c r="S3102" s="140" t="str">
        <f t="shared" si="235"/>
        <v>Y</v>
      </c>
      <c r="T3102" s="154">
        <f t="shared" si="236"/>
        <v>8.5400000000000009</v>
      </c>
      <c r="U3102" s="154">
        <f t="shared" si="237"/>
        <v>20.927237324879293</v>
      </c>
    </row>
    <row r="3103" spans="1:21" x14ac:dyDescent="0.35">
      <c r="A3103" s="110">
        <v>3601</v>
      </c>
      <c r="B3103" s="110">
        <v>2018</v>
      </c>
      <c r="C3103" s="110" t="s">
        <v>38</v>
      </c>
      <c r="D3103" s="110" t="s">
        <v>143</v>
      </c>
      <c r="E3103" s="110" t="s">
        <v>86</v>
      </c>
      <c r="F3103" s="117">
        <v>752</v>
      </c>
      <c r="G3103" s="110" t="s">
        <v>46</v>
      </c>
      <c r="H3103" s="110" t="str">
        <f t="shared" si="238"/>
        <v>Hoko River</v>
      </c>
      <c r="I3103" s="110" t="str">
        <f>IFERROR(VLOOKUP(H3103,LUTs!$A$1:$C$73,2,FALSE),"NA")</f>
        <v>Clallam</v>
      </c>
      <c r="J3103" s="110" t="str">
        <f>IFERROR(VLOOKUP(H3103,LUTs!$A$1:$C$73,3,FALSE),"NA")</f>
        <v>0Strait of Juan de Fuca</v>
      </c>
      <c r="K3103" s="110" t="s">
        <v>26</v>
      </c>
      <c r="L3103" s="110" t="str">
        <f>VLOOKUP(K3103,LUTs!E$2:G$14,3,)</f>
        <v>20Other</v>
      </c>
      <c r="M3103" s="110" t="str">
        <f>VLOOKUP($K3103,LUTs!$E$2:$H$14,2,)</f>
        <v>Non Puget Sound</v>
      </c>
      <c r="N3103" s="110" t="str">
        <f>VLOOKUP($K3103,LUTs!$E$2:$H$14,4,)</f>
        <v>07Non Puget Sound</v>
      </c>
      <c r="O3103" s="110">
        <v>14</v>
      </c>
      <c r="P3103" s="110">
        <v>119.56</v>
      </c>
      <c r="Q3103" s="110">
        <f>SUMIFS('FW_Steelhead_by_Month_2010-2021'!Q$2:Q$3810,'FW_Steelhead_by_Month_2010-2021'!$B$2:$B$3810,'Rec_raw_catch_effort_2010-2021'!$B3103,'FW_Steelhead_by_Month_2010-2021'!$H$2:$H$3810,'Rec_raw_catch_effort_2010-2021'!$F3103,'FW_Steelhead_by_Month_2010-2021'!$M$2:$M$3810,'Rec_raw_catch_effort_2010-2021'!$K3103)</f>
        <v>7</v>
      </c>
      <c r="R3103" s="111">
        <f>VLOOKUP(B3103,Readme!$A$62:$C$74,3,)*Q3103</f>
        <v>146.49066127415506</v>
      </c>
      <c r="S3103" s="140" t="str">
        <f t="shared" si="235"/>
        <v>Y</v>
      </c>
      <c r="T3103" s="154">
        <f t="shared" si="236"/>
        <v>8.5400000000000009</v>
      </c>
      <c r="U3103" s="154">
        <f t="shared" si="237"/>
        <v>20.927237324879293</v>
      </c>
    </row>
    <row r="3104" spans="1:21" x14ac:dyDescent="0.35">
      <c r="A3104" s="110">
        <v>3675</v>
      </c>
      <c r="B3104" s="110">
        <v>2020</v>
      </c>
      <c r="C3104" s="110" t="s">
        <v>38</v>
      </c>
      <c r="D3104" s="110" t="s">
        <v>143</v>
      </c>
      <c r="E3104" s="110" t="s">
        <v>86</v>
      </c>
      <c r="F3104" s="117">
        <v>752</v>
      </c>
      <c r="G3104" s="110" t="s">
        <v>46</v>
      </c>
      <c r="H3104" s="110" t="str">
        <f t="shared" si="238"/>
        <v>Hoko River</v>
      </c>
      <c r="I3104" s="110" t="str">
        <f>IFERROR(VLOOKUP(H3104,LUTs!$A$1:$C$73,2,FALSE),"NA")</f>
        <v>Clallam</v>
      </c>
      <c r="J3104" s="110" t="str">
        <f>IFERROR(VLOOKUP(H3104,LUTs!$A$1:$C$73,3,FALSE),"NA")</f>
        <v>0Strait of Juan de Fuca</v>
      </c>
      <c r="K3104" s="110" t="s">
        <v>24</v>
      </c>
      <c r="L3104" s="110" t="str">
        <f>VLOOKUP(K3104,LUTs!E$2:G$14,3,)</f>
        <v>11Clallam</v>
      </c>
      <c r="M3104" s="110" t="str">
        <f>VLOOKUP($K3104,LUTs!$E$2:$H$14,2,)</f>
        <v>Strait of Juan de Fuca</v>
      </c>
      <c r="N3104" s="110" t="str">
        <f>VLOOKUP($K3104,LUTs!$E$2:$H$14,4,)</f>
        <v>03Strait of Juan de Fuca</v>
      </c>
      <c r="O3104" s="110">
        <v>34</v>
      </c>
      <c r="P3104" s="110">
        <v>290.36</v>
      </c>
      <c r="Q3104" s="110">
        <f>SUMIFS('FW_Steelhead_by_Month_2010-2021'!Q$2:Q$3810,'FW_Steelhead_by_Month_2010-2021'!$B$2:$B$3810,'Rec_raw_catch_effort_2010-2021'!$B3104,'FW_Steelhead_by_Month_2010-2021'!$H$2:$H$3810,'Rec_raw_catch_effort_2010-2021'!$F3104,'FW_Steelhead_by_Month_2010-2021'!$M$2:$M$3810,'Rec_raw_catch_effort_2010-2021'!$K3104)</f>
        <v>17</v>
      </c>
      <c r="R3104" s="111">
        <f>VLOOKUP(B3104,Readme!$A$62:$C$74,3,)*Q3104</f>
        <v>355.76303452294798</v>
      </c>
      <c r="S3104" s="140" t="str">
        <f t="shared" si="235"/>
        <v>N</v>
      </c>
      <c r="T3104" s="154">
        <f t="shared" si="236"/>
        <v>8.5400000000000009</v>
      </c>
      <c r="U3104" s="154">
        <f t="shared" si="237"/>
        <v>20.927237324879293</v>
      </c>
    </row>
    <row r="3105" spans="1:21" x14ac:dyDescent="0.35">
      <c r="A3105" s="110">
        <v>221</v>
      </c>
      <c r="B3105" s="110">
        <v>2011</v>
      </c>
      <c r="C3105" s="110" t="s">
        <v>38</v>
      </c>
      <c r="D3105" s="110" t="s">
        <v>143</v>
      </c>
      <c r="E3105" s="110" t="s">
        <v>86</v>
      </c>
      <c r="F3105" s="117">
        <v>762</v>
      </c>
      <c r="G3105" s="110" t="s">
        <v>48</v>
      </c>
      <c r="H3105" s="110" t="str">
        <f t="shared" si="238"/>
        <v>Lake Washington</v>
      </c>
      <c r="I3105" s="110" t="str">
        <f>IFERROR(VLOOKUP(H3105,LUTs!$A$1:$C$73,2,FALSE),"NA")</f>
        <v>King</v>
      </c>
      <c r="J3105" s="110" t="str">
        <f>IFERROR(VLOOKUP(H3105,LUTs!$A$1:$C$73,3,FALSE),"NA")</f>
        <v>2Central Puget Sound</v>
      </c>
      <c r="K3105" s="110" t="s">
        <v>24</v>
      </c>
      <c r="L3105" s="110" t="str">
        <f>VLOOKUP(K3105,LUTs!E$2:G$14,3,)</f>
        <v>11Clallam</v>
      </c>
      <c r="M3105" s="110" t="str">
        <f>VLOOKUP($K3105,LUTs!$E$2:$H$14,2,)</f>
        <v>Strait of Juan de Fuca</v>
      </c>
      <c r="N3105" s="110" t="str">
        <f>VLOOKUP($K3105,LUTs!$E$2:$H$14,4,)</f>
        <v>03Strait of Juan de Fuca</v>
      </c>
      <c r="O3105" s="110">
        <v>7</v>
      </c>
      <c r="P3105" s="110">
        <v>129.85</v>
      </c>
      <c r="Q3105" s="110">
        <f>SUMIFS('FW_Steelhead_by_Month_2010-2021'!Q$2:Q$3810,'FW_Steelhead_by_Month_2010-2021'!$B$2:$B$3810,'Rec_raw_catch_effort_2010-2021'!$B3105,'FW_Steelhead_by_Month_2010-2021'!$H$2:$H$3810,'Rec_raw_catch_effort_2010-2021'!$F3105,'FW_Steelhead_by_Month_2010-2021'!$M$2:$M$3810,'Rec_raw_catch_effort_2010-2021'!$K3105)</f>
        <v>7</v>
      </c>
      <c r="R3105" s="111">
        <f>VLOOKUP(B3105,Readme!$A$62:$C$74,3,)*Q3105</f>
        <v>146.49066127415506</v>
      </c>
      <c r="S3105" s="140" t="str">
        <f t="shared" si="235"/>
        <v>Y</v>
      </c>
      <c r="T3105" s="154">
        <f t="shared" si="236"/>
        <v>18.55</v>
      </c>
      <c r="U3105" s="154">
        <f t="shared" si="237"/>
        <v>20.927237324879293</v>
      </c>
    </row>
    <row r="3106" spans="1:21" x14ac:dyDescent="0.35">
      <c r="A3106" s="110">
        <v>222</v>
      </c>
      <c r="B3106" s="110">
        <v>2011</v>
      </c>
      <c r="C3106" s="110" t="s">
        <v>38</v>
      </c>
      <c r="D3106" s="110" t="s">
        <v>143</v>
      </c>
      <c r="E3106" s="110" t="s">
        <v>86</v>
      </c>
      <c r="F3106" s="117">
        <v>763</v>
      </c>
      <c r="G3106" s="110" t="s">
        <v>49</v>
      </c>
      <c r="H3106" s="110" t="str">
        <f t="shared" si="238"/>
        <v>Lake Sammamish</v>
      </c>
      <c r="I3106" s="110" t="str">
        <f>IFERROR(VLOOKUP(H3106,LUTs!$A$1:$C$73,2,FALSE),"NA")</f>
        <v>King</v>
      </c>
      <c r="J3106" s="110" t="str">
        <f>IFERROR(VLOOKUP(H3106,LUTs!$A$1:$C$73,3,FALSE),"NA")</f>
        <v>2Central Puget Sound</v>
      </c>
      <c r="K3106" s="110" t="s">
        <v>24</v>
      </c>
      <c r="L3106" s="110" t="str">
        <f>VLOOKUP(K3106,LUTs!E$2:G$14,3,)</f>
        <v>11Clallam</v>
      </c>
      <c r="M3106" s="110" t="str">
        <f>VLOOKUP($K3106,LUTs!$E$2:$H$14,2,)</f>
        <v>Strait of Juan de Fuca</v>
      </c>
      <c r="N3106" s="110" t="str">
        <f>VLOOKUP($K3106,LUTs!$E$2:$H$14,4,)</f>
        <v>03Strait of Juan de Fuca</v>
      </c>
      <c r="O3106" s="110">
        <v>2</v>
      </c>
      <c r="P3106" s="110">
        <v>37.1</v>
      </c>
      <c r="Q3106" s="110">
        <f>SUMIFS('FW_Steelhead_by_Month_2010-2021'!Q$2:Q$3810,'FW_Steelhead_by_Month_2010-2021'!$B$2:$B$3810,'Rec_raw_catch_effort_2010-2021'!$B3106,'FW_Steelhead_by_Month_2010-2021'!$H$2:$H$3810,'Rec_raw_catch_effort_2010-2021'!$F3106,'FW_Steelhead_by_Month_2010-2021'!$M$2:$M$3810,'Rec_raw_catch_effort_2010-2021'!$K3106)</f>
        <v>2</v>
      </c>
      <c r="R3106" s="111">
        <f>VLOOKUP(B3106,Readme!$A$62:$C$74,3,)*Q3106</f>
        <v>41.854474649758586</v>
      </c>
      <c r="S3106" s="140" t="str">
        <f t="shared" si="235"/>
        <v>Y</v>
      </c>
      <c r="T3106" s="154">
        <f t="shared" si="236"/>
        <v>18.55</v>
      </c>
      <c r="U3106" s="154">
        <f t="shared" si="237"/>
        <v>20.927237324879293</v>
      </c>
    </row>
    <row r="3107" spans="1:21" x14ac:dyDescent="0.35">
      <c r="A3107" s="110">
        <v>2933</v>
      </c>
      <c r="B3107" s="110">
        <v>2010</v>
      </c>
      <c r="C3107" s="110" t="s">
        <v>38</v>
      </c>
      <c r="D3107" s="110" t="s">
        <v>143</v>
      </c>
      <c r="E3107" s="110" t="s">
        <v>86</v>
      </c>
      <c r="F3107" s="117">
        <v>768</v>
      </c>
      <c r="G3107" s="110" t="s">
        <v>79</v>
      </c>
      <c r="H3107" s="110" t="str">
        <f t="shared" si="238"/>
        <v>Lyre River</v>
      </c>
      <c r="I3107" s="110" t="str">
        <f>IFERROR(VLOOKUP(H3107,LUTs!$A$1:$C$73,2,FALSE),"NA")</f>
        <v>Clallam</v>
      </c>
      <c r="J3107" s="110" t="str">
        <f>IFERROR(VLOOKUP(H3107,LUTs!$A$1:$C$73,3,FALSE),"NA")</f>
        <v>0Strait of Juan de Fuca</v>
      </c>
      <c r="K3107" s="110" t="s">
        <v>24</v>
      </c>
      <c r="L3107" s="110" t="str">
        <f>VLOOKUP(K3107,LUTs!E$2:G$14,3,)</f>
        <v>11Clallam</v>
      </c>
      <c r="M3107" s="110" t="str">
        <f>VLOOKUP($K3107,LUTs!$E$2:$H$14,2,)</f>
        <v>Strait of Juan de Fuca</v>
      </c>
      <c r="N3107" s="110" t="str">
        <f>VLOOKUP($K3107,LUTs!$E$2:$H$14,4,)</f>
        <v>03Strait of Juan de Fuca</v>
      </c>
      <c r="O3107" s="110">
        <v>245.12315270936</v>
      </c>
      <c r="P3107" s="110">
        <v>2093.35172413793</v>
      </c>
      <c r="Q3107" s="110">
        <f>SUMIFS('FW_Steelhead_by_Month_2010-2021'!Q$2:Q$3810,'FW_Steelhead_by_Month_2010-2021'!$B$2:$B$3810,'Rec_raw_catch_effort_2010-2021'!$B3107,'FW_Steelhead_by_Month_2010-2021'!$H$2:$H$3810,'Rec_raw_catch_effort_2010-2021'!$F3107,'FW_Steelhead_by_Month_2010-2021'!$M$2:$M$3810,'Rec_raw_catch_effort_2010-2021'!$K3107)</f>
        <v>222.52526422764225</v>
      </c>
      <c r="R3107" s="111">
        <f>VLOOKUP(B3107,Readme!$A$62:$C$74,3,)*Q3107</f>
        <v>4656.8390152733418</v>
      </c>
      <c r="S3107" s="140" t="str">
        <f t="shared" si="235"/>
        <v>Y</v>
      </c>
      <c r="T3107" s="154">
        <f t="shared" si="236"/>
        <v>8.5399999999999814</v>
      </c>
      <c r="U3107" s="154">
        <f t="shared" si="237"/>
        <v>20.927237324879293</v>
      </c>
    </row>
    <row r="3108" spans="1:21" x14ac:dyDescent="0.35">
      <c r="A3108" s="110">
        <v>2929</v>
      </c>
      <c r="B3108" s="110">
        <v>2010</v>
      </c>
      <c r="C3108" s="110" t="s">
        <v>38</v>
      </c>
      <c r="D3108" s="110" t="s">
        <v>143</v>
      </c>
      <c r="E3108" s="110" t="s">
        <v>86</v>
      </c>
      <c r="F3108" s="117">
        <v>768</v>
      </c>
      <c r="G3108" s="110" t="s">
        <v>79</v>
      </c>
      <c r="H3108" s="110" t="str">
        <f t="shared" si="238"/>
        <v>Lyre River</v>
      </c>
      <c r="I3108" s="110" t="str">
        <f>IFERROR(VLOOKUP(H3108,LUTs!$A$1:$C$73,2,FALSE),"NA")</f>
        <v>Clallam</v>
      </c>
      <c r="J3108" s="110" t="str">
        <f>IFERROR(VLOOKUP(H3108,LUTs!$A$1:$C$73,3,FALSE),"NA")</f>
        <v>0Strait of Juan de Fuca</v>
      </c>
      <c r="K3108" s="110" t="s">
        <v>17</v>
      </c>
      <c r="L3108" s="110" t="str">
        <f>VLOOKUP(K3108,LUTs!E$2:G$14,3,)</f>
        <v>04Island</v>
      </c>
      <c r="M3108" s="110" t="str">
        <f>VLOOKUP($K3108,LUTs!$E$2:$H$14,2,)</f>
        <v>North Puget Sound</v>
      </c>
      <c r="N3108" s="110" t="str">
        <f>VLOOKUP($K3108,LUTs!$E$2:$H$14,4,)</f>
        <v>01North Puget Sound</v>
      </c>
      <c r="O3108" s="110">
        <v>9.1921182266009893</v>
      </c>
      <c r="P3108" s="110">
        <v>78.500689655172394</v>
      </c>
      <c r="Q3108" s="110">
        <f>SUMIFS('FW_Steelhead_by_Month_2010-2021'!Q$2:Q$3810,'FW_Steelhead_by_Month_2010-2021'!$B$2:$B$3810,'Rec_raw_catch_effort_2010-2021'!$B3108,'FW_Steelhead_by_Month_2010-2021'!$H$2:$H$3810,'Rec_raw_catch_effort_2010-2021'!$F3108,'FW_Steelhead_by_Month_2010-2021'!$M$2:$M$3810,'Rec_raw_catch_effort_2010-2021'!$K3108)</f>
        <v>8.0625</v>
      </c>
      <c r="R3108" s="111">
        <f>VLOOKUP(B3108,Readme!$A$62:$C$74,3,)*Q3108</f>
        <v>168.72585093183929</v>
      </c>
      <c r="S3108" s="140" t="str">
        <f t="shared" si="235"/>
        <v>Y</v>
      </c>
      <c r="T3108" s="154">
        <f t="shared" si="236"/>
        <v>8.5399999999999938</v>
      </c>
      <c r="U3108" s="154">
        <f t="shared" si="237"/>
        <v>20.927237324879293</v>
      </c>
    </row>
    <row r="3109" spans="1:21" x14ac:dyDescent="0.35">
      <c r="A3109" s="110">
        <v>2934</v>
      </c>
      <c r="B3109" s="110">
        <v>2010</v>
      </c>
      <c r="C3109" s="110" t="s">
        <v>38</v>
      </c>
      <c r="D3109" s="110" t="s">
        <v>143</v>
      </c>
      <c r="E3109" s="110" t="s">
        <v>86</v>
      </c>
      <c r="F3109" s="117">
        <v>768</v>
      </c>
      <c r="G3109" s="110" t="s">
        <v>79</v>
      </c>
      <c r="H3109" s="110" t="str">
        <f t="shared" ref="H3109:H3136" si="239">G3109</f>
        <v>Lyre River</v>
      </c>
      <c r="I3109" s="110" t="str">
        <f>IFERROR(VLOOKUP(H3109,LUTs!$A$1:$C$73,2,FALSE),"NA")</f>
        <v>Clallam</v>
      </c>
      <c r="J3109" s="110" t="str">
        <f>IFERROR(VLOOKUP(H3109,LUTs!$A$1:$C$73,3,FALSE),"NA")</f>
        <v>0Strait of Juan de Fuca</v>
      </c>
      <c r="K3109" s="110" t="s">
        <v>25</v>
      </c>
      <c r="L3109" s="110" t="str">
        <f>VLOOKUP(K3109,LUTs!E$2:G$14,3,)</f>
        <v>12Jefferson</v>
      </c>
      <c r="M3109" s="110" t="str">
        <f>VLOOKUP($K3109,LUTs!$E$2:$H$14,2,)</f>
        <v>Strait of Juan de Fuca</v>
      </c>
      <c r="N3109" s="110" t="str">
        <f>VLOOKUP($K3109,LUTs!$E$2:$H$14,4,)</f>
        <v>03Strait of Juan de Fuca</v>
      </c>
      <c r="O3109" s="110">
        <v>16.852216748768502</v>
      </c>
      <c r="P3109" s="110">
        <v>143.91793103448299</v>
      </c>
      <c r="Q3109" s="110">
        <f>SUMIFS('FW_Steelhead_by_Month_2010-2021'!Q$2:Q$3810,'FW_Steelhead_by_Month_2010-2021'!$B$2:$B$3810,'Rec_raw_catch_effort_2010-2021'!$B3109,'FW_Steelhead_by_Month_2010-2021'!$H$2:$H$3810,'Rec_raw_catch_effort_2010-2021'!$F3109,'FW_Steelhead_by_Month_2010-2021'!$M$2:$M$3810,'Rec_raw_catch_effort_2010-2021'!$K3109)</f>
        <v>11.59375</v>
      </c>
      <c r="R3109" s="111">
        <f>VLOOKUP(B3109,Readme!$A$62:$C$74,3,)*Q3109</f>
        <v>242.62515773531931</v>
      </c>
      <c r="S3109" s="140" t="str">
        <f t="shared" si="235"/>
        <v>Y</v>
      </c>
      <c r="T3109" s="154">
        <f t="shared" si="236"/>
        <v>8.5399999999999991</v>
      </c>
      <c r="U3109" s="154">
        <f t="shared" si="237"/>
        <v>20.927237324879293</v>
      </c>
    </row>
    <row r="3110" spans="1:21" x14ac:dyDescent="0.35">
      <c r="A3110" s="110">
        <v>2930</v>
      </c>
      <c r="B3110" s="110">
        <v>2010</v>
      </c>
      <c r="C3110" s="110" t="s">
        <v>38</v>
      </c>
      <c r="D3110" s="110" t="s">
        <v>143</v>
      </c>
      <c r="E3110" s="110" t="s">
        <v>86</v>
      </c>
      <c r="F3110" s="117">
        <v>768</v>
      </c>
      <c r="G3110" s="110" t="s">
        <v>79</v>
      </c>
      <c r="H3110" s="110" t="str">
        <f t="shared" si="239"/>
        <v>Lyre River</v>
      </c>
      <c r="I3110" s="110" t="str">
        <f>IFERROR(VLOOKUP(H3110,LUTs!$A$1:$C$73,2,FALSE),"NA")</f>
        <v>Clallam</v>
      </c>
      <c r="J3110" s="110" t="str">
        <f>IFERROR(VLOOKUP(H3110,LUTs!$A$1:$C$73,3,FALSE),"NA")</f>
        <v>0Strait of Juan de Fuca</v>
      </c>
      <c r="K3110" s="110" t="s">
        <v>18</v>
      </c>
      <c r="L3110" s="110" t="str">
        <f>VLOOKUP(K3110,LUTs!E$2:G$14,3,)</f>
        <v>06King</v>
      </c>
      <c r="M3110" s="110" t="str">
        <f>VLOOKUP($K3110,LUTs!$E$2:$H$14,2,)</f>
        <v>South Puget Sound</v>
      </c>
      <c r="N3110" s="110" t="str">
        <f>VLOOKUP($K3110,LUTs!$E$2:$H$14,4,)</f>
        <v>02South Puget Sound</v>
      </c>
      <c r="O3110" s="110">
        <v>6.1280788177339902</v>
      </c>
      <c r="P3110" s="110">
        <v>52.333793103448301</v>
      </c>
      <c r="Q3110" s="110">
        <f>SUMIFS('FW_Steelhead_by_Month_2010-2021'!Q$2:Q$3810,'FW_Steelhead_by_Month_2010-2021'!$B$2:$B$3810,'Rec_raw_catch_effort_2010-2021'!$B3110,'FW_Steelhead_by_Month_2010-2021'!$H$2:$H$3810,'Rec_raw_catch_effort_2010-2021'!$F3110,'FW_Steelhead_by_Month_2010-2021'!$M$2:$M$3810,'Rec_raw_catch_effort_2010-2021'!$K3110)</f>
        <v>6.625</v>
      </c>
      <c r="R3110" s="111">
        <f>VLOOKUP(B3110,Readme!$A$62:$C$74,3,)*Q3110</f>
        <v>138.64294727732531</v>
      </c>
      <c r="S3110" s="140" t="str">
        <f t="shared" si="235"/>
        <v>Y</v>
      </c>
      <c r="T3110" s="154">
        <f t="shared" si="236"/>
        <v>8.5400000000000045</v>
      </c>
      <c r="U3110" s="154">
        <f t="shared" si="237"/>
        <v>20.927237324879293</v>
      </c>
    </row>
    <row r="3111" spans="1:21" x14ac:dyDescent="0.35">
      <c r="A3111" s="110">
        <v>2932</v>
      </c>
      <c r="B3111" s="110">
        <v>2010</v>
      </c>
      <c r="C3111" s="110" t="s">
        <v>38</v>
      </c>
      <c r="D3111" s="110" t="s">
        <v>143</v>
      </c>
      <c r="E3111" s="110" t="s">
        <v>86</v>
      </c>
      <c r="F3111" s="117">
        <v>768</v>
      </c>
      <c r="G3111" s="110" t="s">
        <v>79</v>
      </c>
      <c r="H3111" s="110" t="str">
        <f t="shared" si="239"/>
        <v>Lyre River</v>
      </c>
      <c r="I3111" s="110" t="str">
        <f>IFERROR(VLOOKUP(H3111,LUTs!$A$1:$C$73,2,FALSE),"NA")</f>
        <v>Clallam</v>
      </c>
      <c r="J3111" s="110" t="str">
        <f>IFERROR(VLOOKUP(H3111,LUTs!$A$1:$C$73,3,FALSE),"NA")</f>
        <v>0Strait of Juan de Fuca</v>
      </c>
      <c r="K3111" s="110" t="s">
        <v>23</v>
      </c>
      <c r="L3111" s="110" t="str">
        <f>VLOOKUP(K3111,LUTs!E$2:G$14,3,)</f>
        <v>10Kitsap</v>
      </c>
      <c r="M3111" s="110" t="str">
        <f>VLOOKUP($K3111,LUTs!$E$2:$H$14,2,)</f>
        <v>South Puget Sound</v>
      </c>
      <c r="N3111" s="110" t="str">
        <f>VLOOKUP($K3111,LUTs!$E$2:$H$14,4,)</f>
        <v>02South Puget Sound</v>
      </c>
      <c r="O3111" s="110">
        <v>4.5960591133004902</v>
      </c>
      <c r="P3111" s="110">
        <v>39.250344827586197</v>
      </c>
      <c r="Q3111" s="110">
        <f>SUMIFS('FW_Steelhead_by_Month_2010-2021'!Q$2:Q$3810,'FW_Steelhead_by_Month_2010-2021'!$B$2:$B$3810,'Rec_raw_catch_effort_2010-2021'!$B3111,'FW_Steelhead_by_Month_2010-2021'!$H$2:$H$3810,'Rec_raw_catch_effort_2010-2021'!$F3111,'FW_Steelhead_by_Month_2010-2021'!$M$2:$M$3810,'Rec_raw_catch_effort_2010-2021'!$K3111)</f>
        <v>2.6666666666666701</v>
      </c>
      <c r="R3111" s="111">
        <f>VLOOKUP(B3111,Readme!$A$62:$C$74,3,)*Q3111</f>
        <v>55.805966199678188</v>
      </c>
      <c r="S3111" s="140" t="str">
        <f t="shared" si="235"/>
        <v>Y</v>
      </c>
      <c r="T3111" s="154">
        <f t="shared" si="236"/>
        <v>8.5400000000000027</v>
      </c>
      <c r="U3111" s="154">
        <f t="shared" si="237"/>
        <v>20.927237324879293</v>
      </c>
    </row>
    <row r="3112" spans="1:21" x14ac:dyDescent="0.35">
      <c r="A3112" s="110">
        <v>2931</v>
      </c>
      <c r="B3112" s="110">
        <v>2010</v>
      </c>
      <c r="C3112" s="110" t="s">
        <v>38</v>
      </c>
      <c r="D3112" s="110" t="s">
        <v>143</v>
      </c>
      <c r="E3112" s="110" t="s">
        <v>86</v>
      </c>
      <c r="F3112" s="117">
        <v>768</v>
      </c>
      <c r="G3112" s="110" t="s">
        <v>79</v>
      </c>
      <c r="H3112" s="110" t="str">
        <f t="shared" si="239"/>
        <v>Lyre River</v>
      </c>
      <c r="I3112" s="110" t="str">
        <f>IFERROR(VLOOKUP(H3112,LUTs!$A$1:$C$73,2,FALSE),"NA")</f>
        <v>Clallam</v>
      </c>
      <c r="J3112" s="110" t="str">
        <f>IFERROR(VLOOKUP(H3112,LUTs!$A$1:$C$73,3,FALSE),"NA")</f>
        <v>0Strait of Juan de Fuca</v>
      </c>
      <c r="K3112" s="110" t="s">
        <v>22</v>
      </c>
      <c r="L3112" s="110" t="str">
        <f>VLOOKUP(K3112,LUTs!E$2:G$14,3,)</f>
        <v>09Mason</v>
      </c>
      <c r="M3112" s="110" t="str">
        <f>VLOOKUP($K3112,LUTs!$E$2:$H$14,2,)</f>
        <v>South Puget Sound</v>
      </c>
      <c r="N3112" s="110" t="str">
        <f>VLOOKUP($K3112,LUTs!$E$2:$H$14,4,)</f>
        <v>02South Puget Sound</v>
      </c>
      <c r="O3112" s="110">
        <v>4.5960591133004902</v>
      </c>
      <c r="P3112" s="110">
        <v>39.250344827586197</v>
      </c>
      <c r="Q3112" s="110">
        <f>SUMIFS('FW_Steelhead_by_Month_2010-2021'!Q$2:Q$3810,'FW_Steelhead_by_Month_2010-2021'!$B$2:$B$3810,'Rec_raw_catch_effort_2010-2021'!$B3112,'FW_Steelhead_by_Month_2010-2021'!$H$2:$H$3810,'Rec_raw_catch_effort_2010-2021'!$F3112,'FW_Steelhead_by_Month_2010-2021'!$M$2:$M$3810,'Rec_raw_catch_effort_2010-2021'!$K3112)</f>
        <v>3.96</v>
      </c>
      <c r="R3112" s="111">
        <f>VLOOKUP(B3112,Readme!$A$62:$C$74,3,)*Q3112</f>
        <v>82.871859806521996</v>
      </c>
      <c r="S3112" s="140" t="str">
        <f t="shared" si="235"/>
        <v>Y</v>
      </c>
      <c r="T3112" s="154">
        <f t="shared" si="236"/>
        <v>8.5400000000000027</v>
      </c>
      <c r="U3112" s="154">
        <f t="shared" si="237"/>
        <v>20.927237324879293</v>
      </c>
    </row>
    <row r="3113" spans="1:21" x14ac:dyDescent="0.35">
      <c r="A3113" s="110">
        <v>2935</v>
      </c>
      <c r="B3113" s="110">
        <v>2010</v>
      </c>
      <c r="C3113" s="110" t="s">
        <v>38</v>
      </c>
      <c r="D3113" s="110" t="s">
        <v>143</v>
      </c>
      <c r="E3113" s="110" t="s">
        <v>86</v>
      </c>
      <c r="F3113" s="117">
        <v>768</v>
      </c>
      <c r="G3113" s="110" t="s">
        <v>79</v>
      </c>
      <c r="H3113" s="110" t="str">
        <f t="shared" si="239"/>
        <v>Lyre River</v>
      </c>
      <c r="I3113" s="110" t="str">
        <f>IFERROR(VLOOKUP(H3113,LUTs!$A$1:$C$73,2,FALSE),"NA")</f>
        <v>Clallam</v>
      </c>
      <c r="J3113" s="110" t="str">
        <f>IFERROR(VLOOKUP(H3113,LUTs!$A$1:$C$73,3,FALSE),"NA")</f>
        <v>0Strait of Juan de Fuca</v>
      </c>
      <c r="K3113" s="110" t="s">
        <v>26</v>
      </c>
      <c r="L3113" s="110" t="str">
        <f>VLOOKUP(K3113,LUTs!E$2:G$14,3,)</f>
        <v>20Other</v>
      </c>
      <c r="M3113" s="110" t="str">
        <f>VLOOKUP($K3113,LUTs!$E$2:$H$14,2,)</f>
        <v>Non Puget Sound</v>
      </c>
      <c r="N3113" s="110" t="str">
        <f>VLOOKUP($K3113,LUTs!$E$2:$H$14,4,)</f>
        <v>07Non Puget Sound</v>
      </c>
      <c r="O3113" s="110">
        <v>22.980295566502502</v>
      </c>
      <c r="P3113" s="110">
        <v>196.25172413793101</v>
      </c>
      <c r="Q3113" s="110">
        <f>SUMIFS('FW_Steelhead_by_Month_2010-2021'!Q$2:Q$3810,'FW_Steelhead_by_Month_2010-2021'!$B$2:$B$3810,'Rec_raw_catch_effort_2010-2021'!$B3113,'FW_Steelhead_by_Month_2010-2021'!$H$2:$H$3810,'Rec_raw_catch_effort_2010-2021'!$F3113,'FW_Steelhead_by_Month_2010-2021'!$M$2:$M$3810,'Rec_raw_catch_effort_2010-2021'!$K3113)</f>
        <v>22.56681910569106</v>
      </c>
      <c r="R3113" s="111">
        <f>VLOOKUP(B3113,Readme!$A$62:$C$74,3,)*Q3113</f>
        <v>472.26117909241708</v>
      </c>
      <c r="S3113" s="140" t="str">
        <f t="shared" si="235"/>
        <v>Y</v>
      </c>
      <c r="T3113" s="154">
        <f t="shared" si="236"/>
        <v>8.5399999999999849</v>
      </c>
      <c r="U3113" s="154">
        <f t="shared" si="237"/>
        <v>20.927237324879293</v>
      </c>
    </row>
    <row r="3114" spans="1:21" x14ac:dyDescent="0.35">
      <c r="A3114" s="110">
        <v>2928</v>
      </c>
      <c r="B3114" s="110">
        <v>2010</v>
      </c>
      <c r="C3114" s="110" t="s">
        <v>38</v>
      </c>
      <c r="D3114" s="110" t="s">
        <v>143</v>
      </c>
      <c r="E3114" s="110" t="s">
        <v>86</v>
      </c>
      <c r="F3114" s="117">
        <v>768</v>
      </c>
      <c r="G3114" s="110" t="s">
        <v>79</v>
      </c>
      <c r="H3114" s="110" t="str">
        <f t="shared" si="239"/>
        <v>Lyre River</v>
      </c>
      <c r="I3114" s="110" t="str">
        <f>IFERROR(VLOOKUP(H3114,LUTs!$A$1:$C$73,2,FALSE),"NA")</f>
        <v>Clallam</v>
      </c>
      <c r="J3114" s="110" t="str">
        <f>IFERROR(VLOOKUP(H3114,LUTs!$A$1:$C$73,3,FALSE),"NA")</f>
        <v>0Strait of Juan de Fuca</v>
      </c>
      <c r="K3114" s="110" t="s">
        <v>13</v>
      </c>
      <c r="L3114" s="110" t="str">
        <f>VLOOKUP(K3114,LUTs!E$2:G$14,3,)</f>
        <v>01Whatcom</v>
      </c>
      <c r="M3114" s="110" t="str">
        <f>VLOOKUP($K3114,LUTs!$E$2:$H$14,2,)</f>
        <v>North Puget Sound</v>
      </c>
      <c r="N3114" s="110" t="str">
        <f>VLOOKUP($K3114,LUTs!$E$2:$H$14,4,)</f>
        <v>01North Puget Sound</v>
      </c>
      <c r="O3114" s="110">
        <v>1.5320197044335</v>
      </c>
      <c r="P3114" s="110">
        <v>13.0834482758621</v>
      </c>
      <c r="Q3114" s="110">
        <f>SUMIFS('FW_Steelhead_by_Month_2010-2021'!Q$2:Q$3810,'FW_Steelhead_by_Month_2010-2021'!$B$2:$B$3810,'Rec_raw_catch_effort_2010-2021'!$B3114,'FW_Steelhead_by_Month_2010-2021'!$H$2:$H$3810,'Rec_raw_catch_effort_2010-2021'!$F3114,'FW_Steelhead_by_Month_2010-2021'!$M$2:$M$3810,'Rec_raw_catch_effort_2010-2021'!$K3114)</f>
        <v>0</v>
      </c>
      <c r="R3114" s="111">
        <f>VLOOKUP(B3114,Readme!$A$62:$C$74,3,)*Q3114</f>
        <v>0</v>
      </c>
      <c r="S3114" s="140" t="str">
        <f t="shared" si="235"/>
        <v>Y</v>
      </c>
      <c r="T3114" s="154">
        <f t="shared" si="236"/>
        <v>8.5400000000000063</v>
      </c>
      <c r="U3114" s="154" t="str">
        <f t="shared" si="237"/>
        <v>NA</v>
      </c>
    </row>
    <row r="3115" spans="1:21" x14ac:dyDescent="0.35">
      <c r="A3115" s="110">
        <v>3052</v>
      </c>
      <c r="B3115" s="110">
        <v>2011</v>
      </c>
      <c r="C3115" s="110" t="s">
        <v>38</v>
      </c>
      <c r="D3115" s="110" t="s">
        <v>143</v>
      </c>
      <c r="E3115" s="110" t="s">
        <v>86</v>
      </c>
      <c r="F3115" s="117">
        <v>768</v>
      </c>
      <c r="G3115" s="110" t="s">
        <v>79</v>
      </c>
      <c r="H3115" s="110" t="str">
        <f t="shared" si="239"/>
        <v>Lyre River</v>
      </c>
      <c r="I3115" s="110" t="str">
        <f>IFERROR(VLOOKUP(H3115,LUTs!$A$1:$C$73,2,FALSE),"NA")</f>
        <v>Clallam</v>
      </c>
      <c r="J3115" s="110" t="str">
        <f>IFERROR(VLOOKUP(H3115,LUTs!$A$1:$C$73,3,FALSE),"NA")</f>
        <v>0Strait of Juan de Fuca</v>
      </c>
      <c r="K3115" s="110" t="s">
        <v>24</v>
      </c>
      <c r="L3115" s="110" t="str">
        <f>VLOOKUP(K3115,LUTs!E$2:G$14,3,)</f>
        <v>11Clallam</v>
      </c>
      <c r="M3115" s="110" t="str">
        <f>VLOOKUP($K3115,LUTs!$E$2:$H$14,2,)</f>
        <v>Strait of Juan de Fuca</v>
      </c>
      <c r="N3115" s="110" t="str">
        <f>VLOOKUP($K3115,LUTs!$E$2:$H$14,4,)</f>
        <v>03Strait of Juan de Fuca</v>
      </c>
      <c r="O3115" s="110">
        <v>258.30769230769198</v>
      </c>
      <c r="P3115" s="110">
        <v>4791.6076923076898</v>
      </c>
      <c r="Q3115" s="110">
        <f>SUMIFS('FW_Steelhead_by_Month_2010-2021'!Q$2:Q$3810,'FW_Steelhead_by_Month_2010-2021'!$B$2:$B$3810,'Rec_raw_catch_effort_2010-2021'!$B3115,'FW_Steelhead_by_Month_2010-2021'!$H$2:$H$3810,'Rec_raw_catch_effort_2010-2021'!$F3115,'FW_Steelhead_by_Month_2010-2021'!$M$2:$M$3810,'Rec_raw_catch_effort_2010-2021'!$K3115)</f>
        <v>265.3295454545455</v>
      </c>
      <c r="R3115" s="111">
        <f>VLOOKUP(B3115,Readme!$A$62:$C$74,3,)*Q3115</f>
        <v>5552.6143670296215</v>
      </c>
      <c r="S3115" s="140" t="str">
        <f t="shared" si="235"/>
        <v>Y</v>
      </c>
      <c r="T3115" s="154">
        <f t="shared" si="236"/>
        <v>18.550000000000015</v>
      </c>
      <c r="U3115" s="154">
        <f t="shared" si="237"/>
        <v>20.927237324879293</v>
      </c>
    </row>
    <row r="3116" spans="1:21" x14ac:dyDescent="0.35">
      <c r="A3116" s="110">
        <v>3048</v>
      </c>
      <c r="B3116" s="110">
        <v>2011</v>
      </c>
      <c r="C3116" s="110" t="s">
        <v>38</v>
      </c>
      <c r="D3116" s="110" t="s">
        <v>143</v>
      </c>
      <c r="E3116" s="110" t="s">
        <v>86</v>
      </c>
      <c r="F3116" s="117">
        <v>768</v>
      </c>
      <c r="G3116" s="110" t="s">
        <v>79</v>
      </c>
      <c r="H3116" s="110" t="str">
        <f t="shared" si="239"/>
        <v>Lyre River</v>
      </c>
      <c r="I3116" s="110" t="str">
        <f>IFERROR(VLOOKUP(H3116,LUTs!$A$1:$C$73,2,FALSE),"NA")</f>
        <v>Clallam</v>
      </c>
      <c r="J3116" s="110" t="str">
        <f>IFERROR(VLOOKUP(H3116,LUTs!$A$1:$C$73,3,FALSE),"NA")</f>
        <v>0Strait of Juan de Fuca</v>
      </c>
      <c r="K3116" s="110" t="s">
        <v>17</v>
      </c>
      <c r="L3116" s="110" t="str">
        <f>VLOOKUP(K3116,LUTs!E$2:G$14,3,)</f>
        <v>04Island</v>
      </c>
      <c r="M3116" s="110" t="str">
        <f>VLOOKUP($K3116,LUTs!$E$2:$H$14,2,)</f>
        <v>North Puget Sound</v>
      </c>
      <c r="N3116" s="110" t="str">
        <f>VLOOKUP($K3116,LUTs!$E$2:$H$14,4,)</f>
        <v>01North Puget Sound</v>
      </c>
      <c r="O3116" s="110">
        <v>7.0769230769230802</v>
      </c>
      <c r="P3116" s="110">
        <v>131.276923076923</v>
      </c>
      <c r="Q3116" s="110">
        <f>SUMIFS('FW_Steelhead_by_Month_2010-2021'!Q$2:Q$3810,'FW_Steelhead_by_Month_2010-2021'!$B$2:$B$3810,'Rec_raw_catch_effort_2010-2021'!$B3116,'FW_Steelhead_by_Month_2010-2021'!$H$2:$H$3810,'Rec_raw_catch_effort_2010-2021'!$F3116,'FW_Steelhead_by_Month_2010-2021'!$M$2:$M$3810,'Rec_raw_catch_effort_2010-2021'!$K3116)</f>
        <v>6</v>
      </c>
      <c r="R3116" s="111">
        <f>VLOOKUP(B3116,Readme!$A$62:$C$74,3,)*Q3116</f>
        <v>125.56342394927576</v>
      </c>
      <c r="S3116" s="140" t="str">
        <f t="shared" si="235"/>
        <v>Y</v>
      </c>
      <c r="T3116" s="154">
        <f t="shared" si="236"/>
        <v>18.549999999999979</v>
      </c>
      <c r="U3116" s="154">
        <f t="shared" si="237"/>
        <v>20.927237324879293</v>
      </c>
    </row>
    <row r="3117" spans="1:21" x14ac:dyDescent="0.35">
      <c r="A3117" s="110">
        <v>3053</v>
      </c>
      <c r="B3117" s="110">
        <v>2011</v>
      </c>
      <c r="C3117" s="110" t="s">
        <v>38</v>
      </c>
      <c r="D3117" s="110" t="s">
        <v>143</v>
      </c>
      <c r="E3117" s="110" t="s">
        <v>86</v>
      </c>
      <c r="F3117" s="117">
        <v>768</v>
      </c>
      <c r="G3117" s="110" t="s">
        <v>79</v>
      </c>
      <c r="H3117" s="110" t="str">
        <f t="shared" si="239"/>
        <v>Lyre River</v>
      </c>
      <c r="I3117" s="110" t="str">
        <f>IFERROR(VLOOKUP(H3117,LUTs!$A$1:$C$73,2,FALSE),"NA")</f>
        <v>Clallam</v>
      </c>
      <c r="J3117" s="110" t="str">
        <f>IFERROR(VLOOKUP(H3117,LUTs!$A$1:$C$73,3,FALSE),"NA")</f>
        <v>0Strait of Juan de Fuca</v>
      </c>
      <c r="K3117" s="110" t="s">
        <v>25</v>
      </c>
      <c r="L3117" s="110" t="str">
        <f>VLOOKUP(K3117,LUTs!E$2:G$14,3,)</f>
        <v>12Jefferson</v>
      </c>
      <c r="M3117" s="110" t="str">
        <f>VLOOKUP($K3117,LUTs!$E$2:$H$14,2,)</f>
        <v>Strait of Juan de Fuca</v>
      </c>
      <c r="N3117" s="110" t="str">
        <f>VLOOKUP($K3117,LUTs!$E$2:$H$14,4,)</f>
        <v>03Strait of Juan de Fuca</v>
      </c>
      <c r="O3117" s="110">
        <v>24.769230769230798</v>
      </c>
      <c r="P3117" s="110">
        <v>459.46923076923099</v>
      </c>
      <c r="Q3117" s="110">
        <f>SUMIFS('FW_Steelhead_by_Month_2010-2021'!Q$2:Q$3810,'FW_Steelhead_by_Month_2010-2021'!$B$2:$B$3810,'Rec_raw_catch_effort_2010-2021'!$B3117,'FW_Steelhead_by_Month_2010-2021'!$H$2:$H$3810,'Rec_raw_catch_effort_2010-2021'!$F3117,'FW_Steelhead_by_Month_2010-2021'!$M$2:$M$3810,'Rec_raw_catch_effort_2010-2021'!$K3117)</f>
        <v>23.297979797979799</v>
      </c>
      <c r="R3117" s="111">
        <f>VLOOKUP(B3117,Readme!$A$62:$C$74,3,)*Q3117</f>
        <v>487.56235242256656</v>
      </c>
      <c r="S3117" s="140" t="str">
        <f t="shared" si="235"/>
        <v>Y</v>
      </c>
      <c r="T3117" s="154">
        <f t="shared" si="236"/>
        <v>18.549999999999986</v>
      </c>
      <c r="U3117" s="154">
        <f t="shared" si="237"/>
        <v>20.927237324879293</v>
      </c>
    </row>
    <row r="3118" spans="1:21" x14ac:dyDescent="0.35">
      <c r="A3118" s="110">
        <v>3049</v>
      </c>
      <c r="B3118" s="110">
        <v>2011</v>
      </c>
      <c r="C3118" s="110" t="s">
        <v>38</v>
      </c>
      <c r="D3118" s="110" t="s">
        <v>143</v>
      </c>
      <c r="E3118" s="110" t="s">
        <v>86</v>
      </c>
      <c r="F3118" s="117">
        <v>768</v>
      </c>
      <c r="G3118" s="110" t="s">
        <v>79</v>
      </c>
      <c r="H3118" s="110" t="str">
        <f t="shared" si="239"/>
        <v>Lyre River</v>
      </c>
      <c r="I3118" s="110" t="str">
        <f>IFERROR(VLOOKUP(H3118,LUTs!$A$1:$C$73,2,FALSE),"NA")</f>
        <v>Clallam</v>
      </c>
      <c r="J3118" s="110" t="str">
        <f>IFERROR(VLOOKUP(H3118,LUTs!$A$1:$C$73,3,FALSE),"NA")</f>
        <v>0Strait of Juan de Fuca</v>
      </c>
      <c r="K3118" s="110" t="s">
        <v>18</v>
      </c>
      <c r="L3118" s="110" t="str">
        <f>VLOOKUP(K3118,LUTs!E$2:G$14,3,)</f>
        <v>06King</v>
      </c>
      <c r="M3118" s="110" t="str">
        <f>VLOOKUP($K3118,LUTs!$E$2:$H$14,2,)</f>
        <v>South Puget Sound</v>
      </c>
      <c r="N3118" s="110" t="str">
        <f>VLOOKUP($K3118,LUTs!$E$2:$H$14,4,)</f>
        <v>02South Puget Sound</v>
      </c>
      <c r="O3118" s="110">
        <v>10.615384615384601</v>
      </c>
      <c r="P3118" s="110">
        <v>196.915384615384</v>
      </c>
      <c r="Q3118" s="110">
        <f>SUMIFS('FW_Steelhead_by_Month_2010-2021'!Q$2:Q$3810,'FW_Steelhead_by_Month_2010-2021'!$B$2:$B$3810,'Rec_raw_catch_effort_2010-2021'!$B3118,'FW_Steelhead_by_Month_2010-2021'!$H$2:$H$3810,'Rec_raw_catch_effort_2010-2021'!$F3118,'FW_Steelhead_by_Month_2010-2021'!$M$2:$M$3810,'Rec_raw_catch_effort_2010-2021'!$K3118)</f>
        <v>9.8888888888888893</v>
      </c>
      <c r="R3118" s="111">
        <f>VLOOKUP(B3118,Readme!$A$62:$C$74,3,)*Q3118</f>
        <v>206.94712465713968</v>
      </c>
      <c r="S3118" s="140" t="str">
        <f t="shared" si="235"/>
        <v>Y</v>
      </c>
      <c r="T3118" s="154">
        <f t="shared" si="236"/>
        <v>18.549999999999969</v>
      </c>
      <c r="U3118" s="154">
        <f t="shared" si="237"/>
        <v>20.927237324879293</v>
      </c>
    </row>
    <row r="3119" spans="1:21" x14ac:dyDescent="0.35">
      <c r="A3119" s="110">
        <v>3051</v>
      </c>
      <c r="B3119" s="110">
        <v>2011</v>
      </c>
      <c r="C3119" s="110" t="s">
        <v>38</v>
      </c>
      <c r="D3119" s="110" t="s">
        <v>143</v>
      </c>
      <c r="E3119" s="110" t="s">
        <v>86</v>
      </c>
      <c r="F3119" s="117">
        <v>768</v>
      </c>
      <c r="G3119" s="110" t="s">
        <v>79</v>
      </c>
      <c r="H3119" s="110" t="str">
        <f t="shared" si="239"/>
        <v>Lyre River</v>
      </c>
      <c r="I3119" s="110" t="str">
        <f>IFERROR(VLOOKUP(H3119,LUTs!$A$1:$C$73,2,FALSE),"NA")</f>
        <v>Clallam</v>
      </c>
      <c r="J3119" s="110" t="str">
        <f>IFERROR(VLOOKUP(H3119,LUTs!$A$1:$C$73,3,FALSE),"NA")</f>
        <v>0Strait of Juan de Fuca</v>
      </c>
      <c r="K3119" s="110" t="s">
        <v>23</v>
      </c>
      <c r="L3119" s="110" t="str">
        <f>VLOOKUP(K3119,LUTs!E$2:G$14,3,)</f>
        <v>10Kitsap</v>
      </c>
      <c r="M3119" s="110" t="str">
        <f>VLOOKUP($K3119,LUTs!$E$2:$H$14,2,)</f>
        <v>South Puget Sound</v>
      </c>
      <c r="N3119" s="110" t="str">
        <f>VLOOKUP($K3119,LUTs!$E$2:$H$14,4,)</f>
        <v>02South Puget Sound</v>
      </c>
      <c r="O3119" s="110">
        <v>3.5384615384615401</v>
      </c>
      <c r="P3119" s="110">
        <v>65.638461538461598</v>
      </c>
      <c r="Q3119" s="110">
        <f>SUMIFS('FW_Steelhead_by_Month_2010-2021'!Q$2:Q$3810,'FW_Steelhead_by_Month_2010-2021'!$B$2:$B$3810,'Rec_raw_catch_effort_2010-2021'!$B3119,'FW_Steelhead_by_Month_2010-2021'!$H$2:$H$3810,'Rec_raw_catch_effort_2010-2021'!$F3119,'FW_Steelhead_by_Month_2010-2021'!$M$2:$M$3810,'Rec_raw_catch_effort_2010-2021'!$K3119)</f>
        <v>5.5138888888888902</v>
      </c>
      <c r="R3119" s="111">
        <f>VLOOKUP(B3119,Readme!$A$62:$C$74,3,)*Q3119</f>
        <v>115.3904613607928</v>
      </c>
      <c r="S3119" s="140" t="str">
        <f t="shared" si="235"/>
        <v>Y</v>
      </c>
      <c r="T3119" s="154">
        <f t="shared" si="236"/>
        <v>18.550000000000008</v>
      </c>
      <c r="U3119" s="154">
        <f t="shared" si="237"/>
        <v>20.927237324879293</v>
      </c>
    </row>
    <row r="3120" spans="1:21" x14ac:dyDescent="0.35">
      <c r="A3120" s="110">
        <v>3050</v>
      </c>
      <c r="B3120" s="110">
        <v>2011</v>
      </c>
      <c r="C3120" s="110" t="s">
        <v>38</v>
      </c>
      <c r="D3120" s="110" t="s">
        <v>143</v>
      </c>
      <c r="E3120" s="110" t="s">
        <v>86</v>
      </c>
      <c r="F3120" s="117">
        <v>768</v>
      </c>
      <c r="G3120" s="110" t="s">
        <v>79</v>
      </c>
      <c r="H3120" s="110" t="str">
        <f t="shared" si="239"/>
        <v>Lyre River</v>
      </c>
      <c r="I3120" s="110" t="str">
        <f>IFERROR(VLOOKUP(H3120,LUTs!$A$1:$C$73,2,FALSE),"NA")</f>
        <v>Clallam</v>
      </c>
      <c r="J3120" s="110" t="str">
        <f>IFERROR(VLOOKUP(H3120,LUTs!$A$1:$C$73,3,FALSE),"NA")</f>
        <v>0Strait of Juan de Fuca</v>
      </c>
      <c r="K3120" s="110" t="s">
        <v>22</v>
      </c>
      <c r="L3120" s="110" t="str">
        <f>VLOOKUP(K3120,LUTs!E$2:G$14,3,)</f>
        <v>09Mason</v>
      </c>
      <c r="M3120" s="110" t="str">
        <f>VLOOKUP($K3120,LUTs!$E$2:$H$14,2,)</f>
        <v>South Puget Sound</v>
      </c>
      <c r="N3120" s="110" t="str">
        <f>VLOOKUP($K3120,LUTs!$E$2:$H$14,4,)</f>
        <v>02South Puget Sound</v>
      </c>
      <c r="O3120" s="110">
        <v>10.615384615384601</v>
      </c>
      <c r="P3120" s="110">
        <v>196.915384615384</v>
      </c>
      <c r="Q3120" s="110">
        <f>SUMIFS('FW_Steelhead_by_Month_2010-2021'!Q$2:Q$3810,'FW_Steelhead_by_Month_2010-2021'!$B$2:$B$3810,'Rec_raw_catch_effort_2010-2021'!$B3120,'FW_Steelhead_by_Month_2010-2021'!$H$2:$H$3810,'Rec_raw_catch_effort_2010-2021'!$F3120,'FW_Steelhead_by_Month_2010-2021'!$M$2:$M$3810,'Rec_raw_catch_effort_2010-2021'!$K3120)</f>
        <v>10.81818181818182</v>
      </c>
      <c r="R3120" s="111">
        <f>VLOOKUP(B3120,Readme!$A$62:$C$74,3,)*Q3120</f>
        <v>226.39465833278513</v>
      </c>
      <c r="S3120" s="140" t="str">
        <f t="shared" si="235"/>
        <v>Y</v>
      </c>
      <c r="T3120" s="154">
        <f t="shared" si="236"/>
        <v>18.549999999999969</v>
      </c>
      <c r="U3120" s="154">
        <f t="shared" si="237"/>
        <v>20.927237324879293</v>
      </c>
    </row>
    <row r="3121" spans="1:21" x14ac:dyDescent="0.35">
      <c r="A3121" s="110">
        <v>3054</v>
      </c>
      <c r="B3121" s="110">
        <v>2011</v>
      </c>
      <c r="C3121" s="110" t="s">
        <v>38</v>
      </c>
      <c r="D3121" s="110" t="s">
        <v>143</v>
      </c>
      <c r="E3121" s="110" t="s">
        <v>86</v>
      </c>
      <c r="F3121" s="117">
        <v>768</v>
      </c>
      <c r="G3121" s="110" t="s">
        <v>79</v>
      </c>
      <c r="H3121" s="110" t="str">
        <f t="shared" si="239"/>
        <v>Lyre River</v>
      </c>
      <c r="I3121" s="110" t="str">
        <f>IFERROR(VLOOKUP(H3121,LUTs!$A$1:$C$73,2,FALSE),"NA")</f>
        <v>Clallam</v>
      </c>
      <c r="J3121" s="110" t="str">
        <f>IFERROR(VLOOKUP(H3121,LUTs!$A$1:$C$73,3,FALSE),"NA")</f>
        <v>0Strait of Juan de Fuca</v>
      </c>
      <c r="K3121" s="110" t="s">
        <v>26</v>
      </c>
      <c r="L3121" s="110" t="str">
        <f>VLOOKUP(K3121,LUTs!E$2:G$14,3,)</f>
        <v>20Other</v>
      </c>
      <c r="M3121" s="110" t="str">
        <f>VLOOKUP($K3121,LUTs!$E$2:$H$14,2,)</f>
        <v>Non Puget Sound</v>
      </c>
      <c r="N3121" s="110" t="str">
        <f>VLOOKUP($K3121,LUTs!$E$2:$H$14,4,)</f>
        <v>07Non Puget Sound</v>
      </c>
      <c r="O3121" s="110">
        <v>7.0769230769230802</v>
      </c>
      <c r="P3121" s="110">
        <v>131.276923076923</v>
      </c>
      <c r="Q3121" s="110">
        <f>SUMIFS('FW_Steelhead_by_Month_2010-2021'!Q$2:Q$3810,'FW_Steelhead_by_Month_2010-2021'!$B$2:$B$3810,'Rec_raw_catch_effort_2010-2021'!$B3121,'FW_Steelhead_by_Month_2010-2021'!$H$2:$H$3810,'Rec_raw_catch_effort_2010-2021'!$F3121,'FW_Steelhead_by_Month_2010-2021'!$M$2:$M$3810,'Rec_raw_catch_effort_2010-2021'!$K3121)</f>
        <v>9.4848484848484897</v>
      </c>
      <c r="R3121" s="111">
        <f>VLOOKUP(B3121,Readme!$A$62:$C$74,3,)*Q3121</f>
        <v>198.49167523294614</v>
      </c>
      <c r="S3121" s="140" t="str">
        <f t="shared" si="235"/>
        <v>Y</v>
      </c>
      <c r="T3121" s="154">
        <f t="shared" si="236"/>
        <v>18.549999999999979</v>
      </c>
      <c r="U3121" s="154">
        <f t="shared" si="237"/>
        <v>20.927237324879293</v>
      </c>
    </row>
    <row r="3122" spans="1:21" x14ac:dyDescent="0.35">
      <c r="A3122" s="110">
        <v>3166</v>
      </c>
      <c r="B3122" s="110">
        <v>2012</v>
      </c>
      <c r="C3122" s="110" t="s">
        <v>38</v>
      </c>
      <c r="D3122" s="110" t="s">
        <v>143</v>
      </c>
      <c r="E3122" s="110" t="s">
        <v>86</v>
      </c>
      <c r="F3122" s="117">
        <v>768</v>
      </c>
      <c r="G3122" s="110" t="s">
        <v>79</v>
      </c>
      <c r="H3122" s="110" t="str">
        <f t="shared" si="239"/>
        <v>Lyre River</v>
      </c>
      <c r="I3122" s="110" t="str">
        <f>IFERROR(VLOOKUP(H3122,LUTs!$A$1:$C$73,2,FALSE),"NA")</f>
        <v>Clallam</v>
      </c>
      <c r="J3122" s="110" t="str">
        <f>IFERROR(VLOOKUP(H3122,LUTs!$A$1:$C$73,3,FALSE),"NA")</f>
        <v>0Strait of Juan de Fuca</v>
      </c>
      <c r="K3122" s="110" t="s">
        <v>24</v>
      </c>
      <c r="L3122" s="110" t="str">
        <f>VLOOKUP(K3122,LUTs!E$2:G$14,3,)</f>
        <v>11Clallam</v>
      </c>
      <c r="M3122" s="110" t="str">
        <f>VLOOKUP($K3122,LUTs!$E$2:$H$14,2,)</f>
        <v>Strait of Juan de Fuca</v>
      </c>
      <c r="N3122" s="110" t="str">
        <f>VLOOKUP($K3122,LUTs!$E$2:$H$14,4,)</f>
        <v>03Strait of Juan de Fuca</v>
      </c>
      <c r="O3122" s="110">
        <v>12.5714285714286</v>
      </c>
      <c r="P3122" s="110">
        <v>107.36</v>
      </c>
      <c r="Q3122" s="110">
        <f>SUMIFS('FW_Steelhead_by_Month_2010-2021'!Q$2:Q$3810,'FW_Steelhead_by_Month_2010-2021'!$B$2:$B$3810,'Rec_raw_catch_effort_2010-2021'!$B3122,'FW_Steelhead_by_Month_2010-2021'!$H$2:$H$3810,'Rec_raw_catch_effort_2010-2021'!$F3122,'FW_Steelhead_by_Month_2010-2021'!$M$2:$M$3810,'Rec_raw_catch_effort_2010-2021'!$K3122)</f>
        <v>24.8333333333333</v>
      </c>
      <c r="R3122" s="111">
        <f>VLOOKUP(B3122,Readme!$A$62:$C$74,3,)*Q3122</f>
        <v>519.69306023450179</v>
      </c>
      <c r="S3122" s="140" t="str">
        <f t="shared" si="235"/>
        <v>Y</v>
      </c>
      <c r="T3122" s="154">
        <f t="shared" si="236"/>
        <v>8.5399999999999814</v>
      </c>
      <c r="U3122" s="154">
        <f t="shared" si="237"/>
        <v>20.927237324879293</v>
      </c>
    </row>
    <row r="3123" spans="1:21" x14ac:dyDescent="0.35">
      <c r="A3123" s="110">
        <v>3165</v>
      </c>
      <c r="B3123" s="110">
        <v>2012</v>
      </c>
      <c r="C3123" s="110" t="s">
        <v>38</v>
      </c>
      <c r="D3123" s="110" t="s">
        <v>143</v>
      </c>
      <c r="E3123" s="110" t="s">
        <v>86</v>
      </c>
      <c r="F3123" s="117">
        <v>768</v>
      </c>
      <c r="G3123" s="110" t="s">
        <v>79</v>
      </c>
      <c r="H3123" s="110" t="str">
        <f t="shared" si="239"/>
        <v>Lyre River</v>
      </c>
      <c r="I3123" s="110" t="str">
        <f>IFERROR(VLOOKUP(H3123,LUTs!$A$1:$C$73,2,FALSE),"NA")</f>
        <v>Clallam</v>
      </c>
      <c r="J3123" s="110" t="str">
        <f>IFERROR(VLOOKUP(H3123,LUTs!$A$1:$C$73,3,FALSE),"NA")</f>
        <v>0Strait of Juan de Fuca</v>
      </c>
      <c r="K3123" s="110" t="s">
        <v>17</v>
      </c>
      <c r="L3123" s="110" t="str">
        <f>VLOOKUP(K3123,LUTs!E$2:G$14,3,)</f>
        <v>04Island</v>
      </c>
      <c r="M3123" s="110" t="str">
        <f>VLOOKUP($K3123,LUTs!$E$2:$H$14,2,)</f>
        <v>North Puget Sound</v>
      </c>
      <c r="N3123" s="110" t="str">
        <f>VLOOKUP($K3123,LUTs!$E$2:$H$14,4,)</f>
        <v>01North Puget Sound</v>
      </c>
      <c r="O3123" s="110">
        <v>6.28571428571429</v>
      </c>
      <c r="P3123" s="110">
        <v>53.68</v>
      </c>
      <c r="Q3123" s="110">
        <f>SUMIFS('FW_Steelhead_by_Month_2010-2021'!Q$2:Q$3810,'FW_Steelhead_by_Month_2010-2021'!$B$2:$B$3810,'Rec_raw_catch_effort_2010-2021'!$B3123,'FW_Steelhead_by_Month_2010-2021'!$H$2:$H$3810,'Rec_raw_catch_effort_2010-2021'!$F3123,'FW_Steelhead_by_Month_2010-2021'!$M$2:$M$3810,'Rec_raw_catch_effort_2010-2021'!$K3123)</f>
        <v>6.5</v>
      </c>
      <c r="R3123" s="111">
        <f>VLOOKUP(B3123,Readme!$A$62:$C$74,3,)*Q3123</f>
        <v>136.02704261171542</v>
      </c>
      <c r="S3123" s="140" t="str">
        <f t="shared" si="235"/>
        <v>Y</v>
      </c>
      <c r="T3123" s="154">
        <f t="shared" si="236"/>
        <v>8.5399999999999938</v>
      </c>
      <c r="U3123" s="154">
        <f t="shared" si="237"/>
        <v>20.927237324879293</v>
      </c>
    </row>
    <row r="3124" spans="1:21" x14ac:dyDescent="0.35">
      <c r="A3124" s="110">
        <v>3167</v>
      </c>
      <c r="B3124" s="110">
        <v>2012</v>
      </c>
      <c r="C3124" s="110" t="s">
        <v>38</v>
      </c>
      <c r="D3124" s="110" t="s">
        <v>143</v>
      </c>
      <c r="E3124" s="110" t="s">
        <v>86</v>
      </c>
      <c r="F3124" s="117">
        <v>768</v>
      </c>
      <c r="G3124" s="110" t="s">
        <v>79</v>
      </c>
      <c r="H3124" s="110" t="str">
        <f t="shared" si="239"/>
        <v>Lyre River</v>
      </c>
      <c r="I3124" s="110" t="str">
        <f>IFERROR(VLOOKUP(H3124,LUTs!$A$1:$C$73,2,FALSE),"NA")</f>
        <v>Clallam</v>
      </c>
      <c r="J3124" s="110" t="str">
        <f>IFERROR(VLOOKUP(H3124,LUTs!$A$1:$C$73,3,FALSE),"NA")</f>
        <v>0Strait of Juan de Fuca</v>
      </c>
      <c r="K3124" s="110" t="s">
        <v>26</v>
      </c>
      <c r="L3124" s="110" t="str">
        <f>VLOOKUP(K3124,LUTs!E$2:G$14,3,)</f>
        <v>20Other</v>
      </c>
      <c r="M3124" s="110" t="str">
        <f>VLOOKUP($K3124,LUTs!$E$2:$H$14,2,)</f>
        <v>Non Puget Sound</v>
      </c>
      <c r="N3124" s="110" t="str">
        <f>VLOOKUP($K3124,LUTs!$E$2:$H$14,4,)</f>
        <v>07Non Puget Sound</v>
      </c>
      <c r="O3124" s="110">
        <v>3.1428571428571401</v>
      </c>
      <c r="P3124" s="110">
        <v>26.84</v>
      </c>
      <c r="Q3124" s="110">
        <f>SUMIFS('FW_Steelhead_by_Month_2010-2021'!Q$2:Q$3810,'FW_Steelhead_by_Month_2010-2021'!$B$2:$B$3810,'Rec_raw_catch_effort_2010-2021'!$B3124,'FW_Steelhead_by_Month_2010-2021'!$H$2:$H$3810,'Rec_raw_catch_effort_2010-2021'!$F3124,'FW_Steelhead_by_Month_2010-2021'!$M$2:$M$3810,'Rec_raw_catch_effort_2010-2021'!$K3124)</f>
        <v>3</v>
      </c>
      <c r="R3124" s="111">
        <f>VLOOKUP(B3124,Readme!$A$62:$C$74,3,)*Q3124</f>
        <v>62.781711974637879</v>
      </c>
      <c r="S3124" s="140" t="str">
        <f t="shared" si="235"/>
        <v>Y</v>
      </c>
      <c r="T3124" s="154">
        <f t="shared" si="236"/>
        <v>8.540000000000008</v>
      </c>
      <c r="U3124" s="154">
        <f t="shared" si="237"/>
        <v>20.927237324879293</v>
      </c>
    </row>
    <row r="3125" spans="1:21" x14ac:dyDescent="0.35">
      <c r="A3125" s="110">
        <v>3278</v>
      </c>
      <c r="B3125" s="110">
        <v>2013</v>
      </c>
      <c r="C3125" s="110" t="s">
        <v>38</v>
      </c>
      <c r="D3125" s="110" t="s">
        <v>143</v>
      </c>
      <c r="E3125" s="110" t="s">
        <v>86</v>
      </c>
      <c r="F3125" s="117">
        <v>768</v>
      </c>
      <c r="G3125" s="110" t="s">
        <v>79</v>
      </c>
      <c r="H3125" s="110" t="str">
        <f t="shared" si="239"/>
        <v>Lyre River</v>
      </c>
      <c r="I3125" s="110" t="str">
        <f>IFERROR(VLOOKUP(H3125,LUTs!$A$1:$C$73,2,FALSE),"NA")</f>
        <v>Clallam</v>
      </c>
      <c r="J3125" s="110" t="str">
        <f>IFERROR(VLOOKUP(H3125,LUTs!$A$1:$C$73,3,FALSE),"NA")</f>
        <v>0Strait of Juan de Fuca</v>
      </c>
      <c r="K3125" s="110" t="s">
        <v>24</v>
      </c>
      <c r="L3125" s="110" t="str">
        <f>VLOOKUP(K3125,LUTs!E$2:G$14,3,)</f>
        <v>11Clallam</v>
      </c>
      <c r="M3125" s="110" t="str">
        <f>VLOOKUP($K3125,LUTs!$E$2:$H$14,2,)</f>
        <v>Strait of Juan de Fuca</v>
      </c>
      <c r="N3125" s="110" t="str">
        <f>VLOOKUP($K3125,LUTs!$E$2:$H$14,4,)</f>
        <v>03Strait of Juan de Fuca</v>
      </c>
      <c r="O3125" s="110">
        <v>10</v>
      </c>
      <c r="P3125" s="110">
        <v>185.5</v>
      </c>
      <c r="Q3125" s="110">
        <f>SUMIFS('FW_Steelhead_by_Month_2010-2021'!Q$2:Q$3810,'FW_Steelhead_by_Month_2010-2021'!$B$2:$B$3810,'Rec_raw_catch_effort_2010-2021'!$B3125,'FW_Steelhead_by_Month_2010-2021'!$H$2:$H$3810,'Rec_raw_catch_effort_2010-2021'!$F3125,'FW_Steelhead_by_Month_2010-2021'!$M$2:$M$3810,'Rec_raw_catch_effort_2010-2021'!$K3125)</f>
        <v>6</v>
      </c>
      <c r="R3125" s="111">
        <f>VLOOKUP(B3125,Readme!$A$62:$C$74,3,)*Q3125</f>
        <v>125.56342394927576</v>
      </c>
      <c r="S3125" s="140" t="str">
        <f t="shared" si="235"/>
        <v>Y</v>
      </c>
      <c r="T3125" s="154">
        <f t="shared" si="236"/>
        <v>18.55</v>
      </c>
      <c r="U3125" s="154">
        <f t="shared" si="237"/>
        <v>20.927237324879293</v>
      </c>
    </row>
    <row r="3126" spans="1:21" x14ac:dyDescent="0.35">
      <c r="A3126" s="110">
        <v>3373</v>
      </c>
      <c r="B3126" s="110">
        <v>2014</v>
      </c>
      <c r="C3126" s="110" t="s">
        <v>38</v>
      </c>
      <c r="D3126" s="110" t="s">
        <v>143</v>
      </c>
      <c r="E3126" s="110" t="s">
        <v>86</v>
      </c>
      <c r="F3126" s="117">
        <v>768</v>
      </c>
      <c r="G3126" s="110" t="s">
        <v>79</v>
      </c>
      <c r="H3126" s="110" t="str">
        <f t="shared" si="239"/>
        <v>Lyre River</v>
      </c>
      <c r="I3126" s="110" t="str">
        <f>IFERROR(VLOOKUP(H3126,LUTs!$A$1:$C$73,2,FALSE),"NA")</f>
        <v>Clallam</v>
      </c>
      <c r="J3126" s="110" t="str">
        <f>IFERROR(VLOOKUP(H3126,LUTs!$A$1:$C$73,3,FALSE),"NA")</f>
        <v>0Strait of Juan de Fuca</v>
      </c>
      <c r="K3126" s="110" t="s">
        <v>24</v>
      </c>
      <c r="L3126" s="110" t="str">
        <f>VLOOKUP(K3126,LUTs!E$2:G$14,3,)</f>
        <v>11Clallam</v>
      </c>
      <c r="M3126" s="110" t="str">
        <f>VLOOKUP($K3126,LUTs!$E$2:$H$14,2,)</f>
        <v>Strait of Juan de Fuca</v>
      </c>
      <c r="N3126" s="110" t="str">
        <f>VLOOKUP($K3126,LUTs!$E$2:$H$14,4,)</f>
        <v>03Strait of Juan de Fuca</v>
      </c>
      <c r="O3126" s="110">
        <v>6</v>
      </c>
      <c r="P3126" s="110">
        <v>51.24</v>
      </c>
      <c r="Q3126" s="110">
        <f>SUMIFS('FW_Steelhead_by_Month_2010-2021'!Q$2:Q$3810,'FW_Steelhead_by_Month_2010-2021'!$B$2:$B$3810,'Rec_raw_catch_effort_2010-2021'!$B3126,'FW_Steelhead_by_Month_2010-2021'!$H$2:$H$3810,'Rec_raw_catch_effort_2010-2021'!$F3126,'FW_Steelhead_by_Month_2010-2021'!$M$2:$M$3810,'Rec_raw_catch_effort_2010-2021'!$K3126)</f>
        <v>10</v>
      </c>
      <c r="R3126" s="111">
        <f>VLOOKUP(B3126,Readme!$A$62:$C$74,3,)*Q3126</f>
        <v>209.27237324879292</v>
      </c>
      <c r="S3126" s="140" t="str">
        <f t="shared" si="235"/>
        <v>Y</v>
      </c>
      <c r="T3126" s="154">
        <f t="shared" si="236"/>
        <v>8.5400000000000009</v>
      </c>
      <c r="U3126" s="154">
        <f t="shared" si="237"/>
        <v>20.927237324879293</v>
      </c>
    </row>
    <row r="3127" spans="1:21" x14ac:dyDescent="0.35">
      <c r="A3127" s="110">
        <v>3502</v>
      </c>
      <c r="B3127" s="110">
        <v>2016</v>
      </c>
      <c r="C3127" s="110" t="s">
        <v>38</v>
      </c>
      <c r="D3127" s="110" t="s">
        <v>143</v>
      </c>
      <c r="E3127" s="110" t="s">
        <v>86</v>
      </c>
      <c r="F3127" s="117">
        <v>768</v>
      </c>
      <c r="G3127" s="110" t="s">
        <v>79</v>
      </c>
      <c r="H3127" s="110" t="str">
        <f t="shared" si="239"/>
        <v>Lyre River</v>
      </c>
      <c r="I3127" s="110" t="str">
        <f>IFERROR(VLOOKUP(H3127,LUTs!$A$1:$C$73,2,FALSE),"NA")</f>
        <v>Clallam</v>
      </c>
      <c r="J3127" s="110" t="str">
        <f>IFERROR(VLOOKUP(H3127,LUTs!$A$1:$C$73,3,FALSE),"NA")</f>
        <v>0Strait of Juan de Fuca</v>
      </c>
      <c r="K3127" s="110" t="s">
        <v>24</v>
      </c>
      <c r="L3127" s="110" t="str">
        <f>VLOOKUP(K3127,LUTs!E$2:G$14,3,)</f>
        <v>11Clallam</v>
      </c>
      <c r="M3127" s="110" t="str">
        <f>VLOOKUP($K3127,LUTs!$E$2:$H$14,2,)</f>
        <v>Strait of Juan de Fuca</v>
      </c>
      <c r="N3127" s="110" t="str">
        <f>VLOOKUP($K3127,LUTs!$E$2:$H$14,4,)</f>
        <v>03Strait of Juan de Fuca</v>
      </c>
      <c r="O3127" s="110">
        <v>5</v>
      </c>
      <c r="P3127" s="110">
        <v>42.7</v>
      </c>
      <c r="Q3127" s="110">
        <f>SUMIFS('FW_Steelhead_by_Month_2010-2021'!Q$2:Q$3810,'FW_Steelhead_by_Month_2010-2021'!$B$2:$B$3810,'Rec_raw_catch_effort_2010-2021'!$B3127,'FW_Steelhead_by_Month_2010-2021'!$H$2:$H$3810,'Rec_raw_catch_effort_2010-2021'!$F3127,'FW_Steelhead_by_Month_2010-2021'!$M$2:$M$3810,'Rec_raw_catch_effort_2010-2021'!$K3127)</f>
        <v>0</v>
      </c>
      <c r="R3127" s="111">
        <f>VLOOKUP(B3127,Readme!$A$62:$C$74,3,)*Q3127</f>
        <v>0</v>
      </c>
      <c r="S3127" s="140" t="str">
        <f t="shared" si="235"/>
        <v>Y</v>
      </c>
      <c r="T3127" s="154">
        <f t="shared" si="236"/>
        <v>8.5400000000000009</v>
      </c>
      <c r="U3127" s="154" t="str">
        <f t="shared" si="237"/>
        <v>NA</v>
      </c>
    </row>
    <row r="3128" spans="1:21" x14ac:dyDescent="0.35">
      <c r="A3128" s="110">
        <v>3602</v>
      </c>
      <c r="B3128" s="110">
        <v>2018</v>
      </c>
      <c r="C3128" s="110" t="s">
        <v>38</v>
      </c>
      <c r="D3128" s="110" t="s">
        <v>143</v>
      </c>
      <c r="E3128" s="110" t="s">
        <v>86</v>
      </c>
      <c r="F3128" s="117">
        <v>768</v>
      </c>
      <c r="G3128" s="110" t="s">
        <v>79</v>
      </c>
      <c r="H3128" s="110" t="str">
        <f t="shared" si="239"/>
        <v>Lyre River</v>
      </c>
      <c r="I3128" s="110" t="str">
        <f>IFERROR(VLOOKUP(H3128,LUTs!$A$1:$C$73,2,FALSE),"NA")</f>
        <v>Clallam</v>
      </c>
      <c r="J3128" s="110" t="str">
        <f>IFERROR(VLOOKUP(H3128,LUTs!$A$1:$C$73,3,FALSE),"NA")</f>
        <v>0Strait of Juan de Fuca</v>
      </c>
      <c r="K3128" s="110" t="s">
        <v>22</v>
      </c>
      <c r="L3128" s="110" t="str">
        <f>VLOOKUP(K3128,LUTs!E$2:G$14,3,)</f>
        <v>09Mason</v>
      </c>
      <c r="M3128" s="110" t="str">
        <f>VLOOKUP($K3128,LUTs!$E$2:$H$14,2,)</f>
        <v>South Puget Sound</v>
      </c>
      <c r="N3128" s="110" t="str">
        <f>VLOOKUP($K3128,LUTs!$E$2:$H$14,4,)</f>
        <v>02South Puget Sound</v>
      </c>
      <c r="O3128" s="110">
        <v>14</v>
      </c>
      <c r="P3128" s="110">
        <v>119.56</v>
      </c>
      <c r="Q3128" s="110">
        <f>SUMIFS('FW_Steelhead_by_Month_2010-2021'!Q$2:Q$3810,'FW_Steelhead_by_Month_2010-2021'!$B$2:$B$3810,'Rec_raw_catch_effort_2010-2021'!$B3128,'FW_Steelhead_by_Month_2010-2021'!$H$2:$H$3810,'Rec_raw_catch_effort_2010-2021'!$F3128,'FW_Steelhead_by_Month_2010-2021'!$M$2:$M$3810,'Rec_raw_catch_effort_2010-2021'!$K3128)</f>
        <v>7</v>
      </c>
      <c r="R3128" s="111">
        <f>VLOOKUP(B3128,Readme!$A$62:$C$74,3,)*Q3128</f>
        <v>146.49066127415506</v>
      </c>
      <c r="S3128" s="140" t="str">
        <f t="shared" si="235"/>
        <v>Y</v>
      </c>
      <c r="T3128" s="154">
        <f t="shared" si="236"/>
        <v>8.5400000000000009</v>
      </c>
      <c r="U3128" s="154">
        <f t="shared" si="237"/>
        <v>20.927237324879293</v>
      </c>
    </row>
    <row r="3129" spans="1:21" x14ac:dyDescent="0.35">
      <c r="A3129" s="110">
        <v>2936</v>
      </c>
      <c r="B3129" s="110">
        <v>2010</v>
      </c>
      <c r="C3129" s="110" t="s">
        <v>38</v>
      </c>
      <c r="D3129" s="110" t="s">
        <v>143</v>
      </c>
      <c r="E3129" s="110" t="s">
        <v>86</v>
      </c>
      <c r="F3129" s="117">
        <v>782</v>
      </c>
      <c r="G3129" s="110" t="s">
        <v>91</v>
      </c>
      <c r="H3129" s="110" t="str">
        <f t="shared" si="239"/>
        <v>Morse Creek (Clallam Co.)</v>
      </c>
      <c r="I3129" s="110" t="str">
        <f>IFERROR(VLOOKUP(H3129,LUTs!$A$1:$C$73,2,FALSE),"NA")</f>
        <v>Clallam</v>
      </c>
      <c r="J3129" s="110" t="str">
        <f>IFERROR(VLOOKUP(H3129,LUTs!$A$1:$C$73,3,FALSE),"NA")</f>
        <v>0Strait of Juan de Fuca</v>
      </c>
      <c r="K3129" s="110" t="s">
        <v>24</v>
      </c>
      <c r="L3129" s="110" t="str">
        <f>VLOOKUP(K3129,LUTs!E$2:G$14,3,)</f>
        <v>11Clallam</v>
      </c>
      <c r="M3129" s="110" t="str">
        <f>VLOOKUP($K3129,LUTs!$E$2:$H$14,2,)</f>
        <v>Strait of Juan de Fuca</v>
      </c>
      <c r="N3129" s="110" t="str">
        <f>VLOOKUP($K3129,LUTs!$E$2:$H$14,4,)</f>
        <v>03Strait of Juan de Fuca</v>
      </c>
      <c r="O3129" s="110">
        <v>14</v>
      </c>
      <c r="P3129" s="110">
        <v>119.56</v>
      </c>
      <c r="Q3129" s="110">
        <f>SUMIFS('FW_Steelhead_by_Month_2010-2021'!Q$2:Q$3810,'FW_Steelhead_by_Month_2010-2021'!$B$2:$B$3810,'Rec_raw_catch_effort_2010-2021'!$B3129,'FW_Steelhead_by_Month_2010-2021'!$H$2:$H$3810,'Rec_raw_catch_effort_2010-2021'!$F3129,'FW_Steelhead_by_Month_2010-2021'!$M$2:$M$3810,'Rec_raw_catch_effort_2010-2021'!$K3129)</f>
        <v>9</v>
      </c>
      <c r="R3129" s="111">
        <f>VLOOKUP(B3129,Readme!$A$62:$C$74,3,)*Q3129</f>
        <v>188.34513592391363</v>
      </c>
      <c r="S3129" s="140" t="str">
        <f t="shared" si="235"/>
        <v>Y</v>
      </c>
      <c r="T3129" s="154">
        <f t="shared" si="236"/>
        <v>8.5400000000000009</v>
      </c>
      <c r="U3129" s="154">
        <f t="shared" si="237"/>
        <v>20.927237324879293</v>
      </c>
    </row>
    <row r="3130" spans="1:21" x14ac:dyDescent="0.35">
      <c r="A3130" s="110">
        <v>3055</v>
      </c>
      <c r="B3130" s="110">
        <v>2011</v>
      </c>
      <c r="C3130" s="110" t="s">
        <v>38</v>
      </c>
      <c r="D3130" s="110" t="s">
        <v>143</v>
      </c>
      <c r="E3130" s="110" t="s">
        <v>86</v>
      </c>
      <c r="F3130" s="117">
        <v>782</v>
      </c>
      <c r="G3130" s="110" t="s">
        <v>91</v>
      </c>
      <c r="H3130" s="110" t="str">
        <f t="shared" si="239"/>
        <v>Morse Creek (Clallam Co.)</v>
      </c>
      <c r="I3130" s="110" t="str">
        <f>IFERROR(VLOOKUP(H3130,LUTs!$A$1:$C$73,2,FALSE),"NA")</f>
        <v>Clallam</v>
      </c>
      <c r="J3130" s="110" t="str">
        <f>IFERROR(VLOOKUP(H3130,LUTs!$A$1:$C$73,3,FALSE),"NA")</f>
        <v>0Strait of Juan de Fuca</v>
      </c>
      <c r="K3130" s="110" t="s">
        <v>24</v>
      </c>
      <c r="L3130" s="110" t="str">
        <f>VLOOKUP(K3130,LUTs!E$2:G$14,3,)</f>
        <v>11Clallam</v>
      </c>
      <c r="M3130" s="110" t="str">
        <f>VLOOKUP($K3130,LUTs!$E$2:$H$14,2,)</f>
        <v>Strait of Juan de Fuca</v>
      </c>
      <c r="N3130" s="110" t="str">
        <f>VLOOKUP($K3130,LUTs!$E$2:$H$14,4,)</f>
        <v>03Strait of Juan de Fuca</v>
      </c>
      <c r="O3130" s="110">
        <v>22.727272727272702</v>
      </c>
      <c r="P3130" s="110">
        <v>421.59090909090901</v>
      </c>
      <c r="Q3130" s="110">
        <f>SUMIFS('FW_Steelhead_by_Month_2010-2021'!Q$2:Q$3810,'FW_Steelhead_by_Month_2010-2021'!$B$2:$B$3810,'Rec_raw_catch_effort_2010-2021'!$B3130,'FW_Steelhead_by_Month_2010-2021'!$H$2:$H$3810,'Rec_raw_catch_effort_2010-2021'!$F3130,'FW_Steelhead_by_Month_2010-2021'!$M$2:$M$3810,'Rec_raw_catch_effort_2010-2021'!$K3130)</f>
        <v>18.714285714285701</v>
      </c>
      <c r="R3130" s="111">
        <f>VLOOKUP(B3130,Readme!$A$62:$C$74,3,)*Q3130</f>
        <v>391.63829850845508</v>
      </c>
      <c r="S3130" s="140" t="str">
        <f t="shared" si="235"/>
        <v>Y</v>
      </c>
      <c r="T3130" s="154">
        <f t="shared" si="236"/>
        <v>18.550000000000018</v>
      </c>
      <c r="U3130" s="154">
        <f t="shared" si="237"/>
        <v>20.927237324879293</v>
      </c>
    </row>
    <row r="3131" spans="1:21" x14ac:dyDescent="0.35">
      <c r="A3131" s="110">
        <v>3056</v>
      </c>
      <c r="B3131" s="110">
        <v>2011</v>
      </c>
      <c r="C3131" s="110" t="s">
        <v>38</v>
      </c>
      <c r="D3131" s="110" t="s">
        <v>143</v>
      </c>
      <c r="E3131" s="110" t="s">
        <v>86</v>
      </c>
      <c r="F3131" s="117">
        <v>782</v>
      </c>
      <c r="G3131" s="110" t="s">
        <v>91</v>
      </c>
      <c r="H3131" s="110" t="str">
        <f t="shared" si="239"/>
        <v>Morse Creek (Clallam Co.)</v>
      </c>
      <c r="I3131" s="110" t="str">
        <f>IFERROR(VLOOKUP(H3131,LUTs!$A$1:$C$73,2,FALSE),"NA")</f>
        <v>Clallam</v>
      </c>
      <c r="J3131" s="110" t="str">
        <f>IFERROR(VLOOKUP(H3131,LUTs!$A$1:$C$73,3,FALSE),"NA")</f>
        <v>0Strait of Juan de Fuca</v>
      </c>
      <c r="K3131" s="110" t="s">
        <v>26</v>
      </c>
      <c r="L3131" s="110" t="str">
        <f>VLOOKUP(K3131,LUTs!E$2:G$14,3,)</f>
        <v>20Other</v>
      </c>
      <c r="M3131" s="110" t="str">
        <f>VLOOKUP($K3131,LUTs!$E$2:$H$14,2,)</f>
        <v>Non Puget Sound</v>
      </c>
      <c r="N3131" s="110" t="str">
        <f>VLOOKUP($K3131,LUTs!$E$2:$H$14,4,)</f>
        <v>07Non Puget Sound</v>
      </c>
      <c r="O3131" s="110">
        <v>2.2727272727272698</v>
      </c>
      <c r="P3131" s="110">
        <v>42.159090909090899</v>
      </c>
      <c r="Q3131" s="110">
        <f>SUMIFS('FW_Steelhead_by_Month_2010-2021'!Q$2:Q$3810,'FW_Steelhead_by_Month_2010-2021'!$B$2:$B$3810,'Rec_raw_catch_effort_2010-2021'!$B3131,'FW_Steelhead_by_Month_2010-2021'!$H$2:$H$3810,'Rec_raw_catch_effort_2010-2021'!$F3131,'FW_Steelhead_by_Month_2010-2021'!$M$2:$M$3810,'Rec_raw_catch_effort_2010-2021'!$K3131)</f>
        <v>2.28571428571429</v>
      </c>
      <c r="R3131" s="111">
        <f>VLOOKUP(B3131,Readme!$A$62:$C$74,3,)*Q3131</f>
        <v>47.833685314009905</v>
      </c>
      <c r="S3131" s="140" t="str">
        <f t="shared" si="235"/>
        <v>Y</v>
      </c>
      <c r="T3131" s="154">
        <f t="shared" si="236"/>
        <v>18.550000000000018</v>
      </c>
      <c r="U3131" s="154">
        <f t="shared" si="237"/>
        <v>20.927237324879293</v>
      </c>
    </row>
    <row r="3132" spans="1:21" x14ac:dyDescent="0.35">
      <c r="A3132" s="110">
        <v>3168</v>
      </c>
      <c r="B3132" s="110">
        <v>2012</v>
      </c>
      <c r="C3132" s="110" t="s">
        <v>38</v>
      </c>
      <c r="D3132" s="110" t="s">
        <v>143</v>
      </c>
      <c r="E3132" s="110" t="s">
        <v>86</v>
      </c>
      <c r="F3132" s="117">
        <v>782</v>
      </c>
      <c r="G3132" s="110" t="s">
        <v>91</v>
      </c>
      <c r="H3132" s="110" t="str">
        <f t="shared" si="239"/>
        <v>Morse Creek (Clallam Co.)</v>
      </c>
      <c r="I3132" s="110" t="str">
        <f>IFERROR(VLOOKUP(H3132,LUTs!$A$1:$C$73,2,FALSE),"NA")</f>
        <v>Clallam</v>
      </c>
      <c r="J3132" s="110" t="str">
        <f>IFERROR(VLOOKUP(H3132,LUTs!$A$1:$C$73,3,FALSE),"NA")</f>
        <v>0Strait of Juan de Fuca</v>
      </c>
      <c r="K3132" s="110" t="s">
        <v>24</v>
      </c>
      <c r="L3132" s="110" t="str">
        <f>VLOOKUP(K3132,LUTs!E$2:G$14,3,)</f>
        <v>11Clallam</v>
      </c>
      <c r="M3132" s="110" t="str">
        <f>VLOOKUP($K3132,LUTs!$E$2:$H$14,2,)</f>
        <v>Strait of Juan de Fuca</v>
      </c>
      <c r="N3132" s="110" t="str">
        <f>VLOOKUP($K3132,LUTs!$E$2:$H$14,4,)</f>
        <v>03Strait of Juan de Fuca</v>
      </c>
      <c r="O3132" s="110">
        <v>9</v>
      </c>
      <c r="P3132" s="110">
        <v>76.86</v>
      </c>
      <c r="Q3132" s="110">
        <f>SUMIFS('FW_Steelhead_by_Month_2010-2021'!Q$2:Q$3810,'FW_Steelhead_by_Month_2010-2021'!$B$2:$B$3810,'Rec_raw_catch_effort_2010-2021'!$B3132,'FW_Steelhead_by_Month_2010-2021'!$H$2:$H$3810,'Rec_raw_catch_effort_2010-2021'!$F3132,'FW_Steelhead_by_Month_2010-2021'!$M$2:$M$3810,'Rec_raw_catch_effort_2010-2021'!$K3132)</f>
        <v>15</v>
      </c>
      <c r="R3132" s="111">
        <f>VLOOKUP(B3132,Readme!$A$62:$C$74,3,)*Q3132</f>
        <v>313.9085598731894</v>
      </c>
      <c r="S3132" s="140" t="str">
        <f t="shared" si="235"/>
        <v>Y</v>
      </c>
      <c r="T3132" s="154">
        <f t="shared" si="236"/>
        <v>8.5399999999999991</v>
      </c>
      <c r="U3132" s="154">
        <f t="shared" si="237"/>
        <v>20.927237324879293</v>
      </c>
    </row>
    <row r="3133" spans="1:21" x14ac:dyDescent="0.35">
      <c r="A3133" s="110">
        <v>3279</v>
      </c>
      <c r="B3133" s="110">
        <v>2013</v>
      </c>
      <c r="C3133" s="110" t="s">
        <v>38</v>
      </c>
      <c r="D3133" s="110" t="s">
        <v>143</v>
      </c>
      <c r="E3133" s="110" t="s">
        <v>86</v>
      </c>
      <c r="F3133" s="117">
        <v>782</v>
      </c>
      <c r="G3133" s="110" t="s">
        <v>91</v>
      </c>
      <c r="H3133" s="110" t="str">
        <f t="shared" si="239"/>
        <v>Morse Creek (Clallam Co.)</v>
      </c>
      <c r="I3133" s="110" t="str">
        <f>IFERROR(VLOOKUP(H3133,LUTs!$A$1:$C$73,2,FALSE),"NA")</f>
        <v>Clallam</v>
      </c>
      <c r="J3133" s="110" t="str">
        <f>IFERROR(VLOOKUP(H3133,LUTs!$A$1:$C$73,3,FALSE),"NA")</f>
        <v>0Strait of Juan de Fuca</v>
      </c>
      <c r="K3133" s="110" t="s">
        <v>24</v>
      </c>
      <c r="L3133" s="110" t="str">
        <f>VLOOKUP(K3133,LUTs!E$2:G$14,3,)</f>
        <v>11Clallam</v>
      </c>
      <c r="M3133" s="110" t="str">
        <f>VLOOKUP($K3133,LUTs!$E$2:$H$14,2,)</f>
        <v>Strait of Juan de Fuca</v>
      </c>
      <c r="N3133" s="110" t="str">
        <f>VLOOKUP($K3133,LUTs!$E$2:$H$14,4,)</f>
        <v>03Strait of Juan de Fuca</v>
      </c>
      <c r="O3133" s="110">
        <v>3</v>
      </c>
      <c r="P3133" s="110">
        <v>55.65</v>
      </c>
      <c r="Q3133" s="110">
        <f>SUMIFS('FW_Steelhead_by_Month_2010-2021'!Q$2:Q$3810,'FW_Steelhead_by_Month_2010-2021'!$B$2:$B$3810,'Rec_raw_catch_effort_2010-2021'!$B3133,'FW_Steelhead_by_Month_2010-2021'!$H$2:$H$3810,'Rec_raw_catch_effort_2010-2021'!$F3133,'FW_Steelhead_by_Month_2010-2021'!$M$2:$M$3810,'Rec_raw_catch_effort_2010-2021'!$K3133)</f>
        <v>3</v>
      </c>
      <c r="R3133" s="111">
        <f>VLOOKUP(B3133,Readme!$A$62:$C$74,3,)*Q3133</f>
        <v>62.781711974637879</v>
      </c>
      <c r="S3133" s="140" t="str">
        <f t="shared" si="235"/>
        <v>Y</v>
      </c>
      <c r="T3133" s="154">
        <f t="shared" si="236"/>
        <v>18.55</v>
      </c>
      <c r="U3133" s="154">
        <f t="shared" si="237"/>
        <v>20.927237324879293</v>
      </c>
    </row>
    <row r="3134" spans="1:21" x14ac:dyDescent="0.35">
      <c r="A3134" s="110">
        <v>3550</v>
      </c>
      <c r="B3134" s="110">
        <v>2017</v>
      </c>
      <c r="C3134" s="110" t="s">
        <v>38</v>
      </c>
      <c r="D3134" s="110" t="s">
        <v>143</v>
      </c>
      <c r="E3134" s="110" t="s">
        <v>86</v>
      </c>
      <c r="F3134" s="117">
        <v>782</v>
      </c>
      <c r="G3134" s="110" t="s">
        <v>91</v>
      </c>
      <c r="H3134" s="110" t="str">
        <f t="shared" si="239"/>
        <v>Morse Creek (Clallam Co.)</v>
      </c>
      <c r="I3134" s="110" t="str">
        <f>IFERROR(VLOOKUP(H3134,LUTs!$A$1:$C$73,2,FALSE),"NA")</f>
        <v>Clallam</v>
      </c>
      <c r="J3134" s="110" t="str">
        <f>IFERROR(VLOOKUP(H3134,LUTs!$A$1:$C$73,3,FALSE),"NA")</f>
        <v>0Strait of Juan de Fuca</v>
      </c>
      <c r="K3134" s="110" t="s">
        <v>24</v>
      </c>
      <c r="L3134" s="110" t="str">
        <f>VLOOKUP(K3134,LUTs!E$2:G$14,3,)</f>
        <v>11Clallam</v>
      </c>
      <c r="M3134" s="110" t="str">
        <f>VLOOKUP($K3134,LUTs!$E$2:$H$14,2,)</f>
        <v>Strait of Juan de Fuca</v>
      </c>
      <c r="N3134" s="110" t="str">
        <f>VLOOKUP($K3134,LUTs!$E$2:$H$14,4,)</f>
        <v>03Strait of Juan de Fuca</v>
      </c>
      <c r="O3134" s="110">
        <v>10</v>
      </c>
      <c r="P3134" s="110">
        <v>185.5</v>
      </c>
      <c r="Q3134" s="110">
        <f>SUMIFS('FW_Steelhead_by_Month_2010-2021'!Q$2:Q$3810,'FW_Steelhead_by_Month_2010-2021'!$B$2:$B$3810,'Rec_raw_catch_effort_2010-2021'!$B3134,'FW_Steelhead_by_Month_2010-2021'!$H$2:$H$3810,'Rec_raw_catch_effort_2010-2021'!$F3134,'FW_Steelhead_by_Month_2010-2021'!$M$2:$M$3810,'Rec_raw_catch_effort_2010-2021'!$K3134)</f>
        <v>5</v>
      </c>
      <c r="R3134" s="111">
        <f>VLOOKUP(B3134,Readme!$A$62:$C$74,3,)*Q3134</f>
        <v>104.63618662439646</v>
      </c>
      <c r="S3134" s="140" t="str">
        <f t="shared" si="235"/>
        <v>Y</v>
      </c>
      <c r="T3134" s="154">
        <f t="shared" si="236"/>
        <v>18.55</v>
      </c>
      <c r="U3134" s="154">
        <f t="shared" si="237"/>
        <v>20.927237324879293</v>
      </c>
    </row>
    <row r="3135" spans="1:21" x14ac:dyDescent="0.35">
      <c r="A3135" s="110">
        <v>592</v>
      </c>
      <c r="B3135" s="110">
        <v>2012</v>
      </c>
      <c r="C3135" s="110" t="s">
        <v>38</v>
      </c>
      <c r="D3135" s="110" t="s">
        <v>143</v>
      </c>
      <c r="E3135" s="110" t="s">
        <v>86</v>
      </c>
      <c r="F3135" s="117">
        <v>786</v>
      </c>
      <c r="G3135" s="110" t="s">
        <v>51</v>
      </c>
      <c r="H3135" s="110" t="str">
        <f t="shared" si="239"/>
        <v>Nisqually River</v>
      </c>
      <c r="I3135" s="110" t="str">
        <f>IFERROR(VLOOKUP(H3135,LUTs!$A$1:$C$73,2,FALSE),"NA")</f>
        <v>Thurston/Pierce</v>
      </c>
      <c r="J3135" s="110" t="str">
        <f>IFERROR(VLOOKUP(H3135,LUTs!$A$1:$C$73,3,FALSE),"NA")</f>
        <v>3South Puget Sound</v>
      </c>
      <c r="K3135" s="110" t="s">
        <v>26</v>
      </c>
      <c r="L3135" s="110" t="str">
        <f>VLOOKUP(K3135,LUTs!E$2:G$14,3,)</f>
        <v>20Other</v>
      </c>
      <c r="M3135" s="110" t="str">
        <f>VLOOKUP($K3135,LUTs!$E$2:$H$14,2,)</f>
        <v>Non Puget Sound</v>
      </c>
      <c r="N3135" s="110" t="str">
        <f>VLOOKUP($K3135,LUTs!$E$2:$H$14,4,)</f>
        <v>07Non Puget Sound</v>
      </c>
      <c r="O3135" s="110">
        <v>3</v>
      </c>
      <c r="P3135" s="110">
        <v>25.62</v>
      </c>
      <c r="Q3135" s="110">
        <f>SUMIFS('FW_Steelhead_by_Month_2010-2021'!Q$2:Q$3810,'FW_Steelhead_by_Month_2010-2021'!$B$2:$B$3810,'Rec_raw_catch_effort_2010-2021'!$B3135,'FW_Steelhead_by_Month_2010-2021'!$H$2:$H$3810,'Rec_raw_catch_effort_2010-2021'!$F3135,'FW_Steelhead_by_Month_2010-2021'!$M$2:$M$3810,'Rec_raw_catch_effort_2010-2021'!$K3135)</f>
        <v>0</v>
      </c>
      <c r="R3135" s="111">
        <f>VLOOKUP(B3135,Readme!$A$62:$C$74,3,)*Q3135</f>
        <v>0</v>
      </c>
      <c r="S3135" s="140" t="str">
        <f t="shared" si="235"/>
        <v>Y</v>
      </c>
      <c r="T3135" s="154">
        <f t="shared" si="236"/>
        <v>8.5400000000000009</v>
      </c>
      <c r="U3135" s="154" t="str">
        <f t="shared" si="237"/>
        <v>NA</v>
      </c>
    </row>
    <row r="3136" spans="1:21" x14ac:dyDescent="0.35">
      <c r="A3136" s="110">
        <v>591</v>
      </c>
      <c r="B3136" s="110">
        <v>2012</v>
      </c>
      <c r="C3136" s="110" t="s">
        <v>38</v>
      </c>
      <c r="D3136" s="110" t="s">
        <v>143</v>
      </c>
      <c r="E3136" s="110" t="s">
        <v>86</v>
      </c>
      <c r="F3136" s="117">
        <v>786</v>
      </c>
      <c r="G3136" s="110" t="s">
        <v>51</v>
      </c>
      <c r="H3136" s="110" t="str">
        <f t="shared" si="239"/>
        <v>Nisqually River</v>
      </c>
      <c r="I3136" s="110" t="str">
        <f>IFERROR(VLOOKUP(H3136,LUTs!$A$1:$C$73,2,FALSE),"NA")</f>
        <v>Thurston/Pierce</v>
      </c>
      <c r="J3136" s="110" t="str">
        <f>IFERROR(VLOOKUP(H3136,LUTs!$A$1:$C$73,3,FALSE),"NA")</f>
        <v>3South Puget Sound</v>
      </c>
      <c r="K3136" s="110" t="s">
        <v>21</v>
      </c>
      <c r="L3136" s="110" t="str">
        <f>VLOOKUP(K3136,LUTs!E$2:G$14,3,)</f>
        <v>08Thurston</v>
      </c>
      <c r="M3136" s="110" t="str">
        <f>VLOOKUP($K3136,LUTs!$E$2:$H$14,2,)</f>
        <v>South Puget Sound</v>
      </c>
      <c r="N3136" s="110" t="str">
        <f>VLOOKUP($K3136,LUTs!$E$2:$H$14,4,)</f>
        <v>02South Puget Sound</v>
      </c>
      <c r="O3136" s="110">
        <v>3</v>
      </c>
      <c r="P3136" s="110">
        <v>25.62</v>
      </c>
      <c r="Q3136" s="110">
        <f>SUMIFS('FW_Steelhead_by_Month_2010-2021'!Q$2:Q$3810,'FW_Steelhead_by_Month_2010-2021'!$B$2:$B$3810,'Rec_raw_catch_effort_2010-2021'!$B3136,'FW_Steelhead_by_Month_2010-2021'!$H$2:$H$3810,'Rec_raw_catch_effort_2010-2021'!$F3136,'FW_Steelhead_by_Month_2010-2021'!$M$2:$M$3810,'Rec_raw_catch_effort_2010-2021'!$K3136)</f>
        <v>0</v>
      </c>
      <c r="R3136" s="111">
        <f>VLOOKUP(B3136,Readme!$A$62:$C$74,3,)*Q3136</f>
        <v>0</v>
      </c>
      <c r="S3136" s="140" t="str">
        <f t="shared" si="235"/>
        <v>Y</v>
      </c>
      <c r="T3136" s="154">
        <f t="shared" si="236"/>
        <v>8.5400000000000009</v>
      </c>
      <c r="U3136" s="154" t="str">
        <f t="shared" si="237"/>
        <v>NA</v>
      </c>
    </row>
    <row r="3137" spans="1:21" x14ac:dyDescent="0.35">
      <c r="A3137" s="110">
        <v>3135</v>
      </c>
      <c r="B3137" s="110">
        <v>2017</v>
      </c>
      <c r="C3137" s="110" t="s">
        <v>38</v>
      </c>
      <c r="D3137" s="110" t="s">
        <v>143</v>
      </c>
      <c r="E3137" s="110" t="s">
        <v>86</v>
      </c>
      <c r="F3137" s="117">
        <v>788</v>
      </c>
      <c r="G3137" s="110" t="s">
        <v>108</v>
      </c>
      <c r="H3137" s="110" t="s">
        <v>52</v>
      </c>
      <c r="I3137" s="110" t="str">
        <f>IFERROR(VLOOKUP(H3137,LUTs!$A$1:$C$73,2,FALSE),"NA")</f>
        <v>Whatcom</v>
      </c>
      <c r="J3137" s="110" t="str">
        <f>IFERROR(VLOOKUP(H3137,LUTs!$A$1:$C$73,3,FALSE),"NA")</f>
        <v>1North Puget Sound</v>
      </c>
      <c r="K3137" s="110" t="s">
        <v>13</v>
      </c>
      <c r="L3137" s="110" t="str">
        <f>VLOOKUP(K3137,LUTs!E$2:G$14,3,)</f>
        <v>01Whatcom</v>
      </c>
      <c r="M3137" s="110" t="str">
        <f>VLOOKUP($K3137,LUTs!$E$2:$H$14,2,)</f>
        <v>North Puget Sound</v>
      </c>
      <c r="N3137" s="110" t="str">
        <f>VLOOKUP($K3137,LUTs!$E$2:$H$14,4,)</f>
        <v>01North Puget Sound</v>
      </c>
      <c r="O3137" s="110">
        <v>44</v>
      </c>
      <c r="P3137" s="110">
        <v>816.2</v>
      </c>
      <c r="Q3137" s="110">
        <f>SUMIFS('FW_Steelhead_by_Month_2010-2021'!Q$2:Q$3810,'FW_Steelhead_by_Month_2010-2021'!$B$2:$B$3810,'Rec_raw_catch_effort_2010-2021'!$B3137,'FW_Steelhead_by_Month_2010-2021'!$H$2:$H$3810,'Rec_raw_catch_effort_2010-2021'!$F3137,'FW_Steelhead_by_Month_2010-2021'!$M$2:$M$3810,'Rec_raw_catch_effort_2010-2021'!$K3137)</f>
        <v>11</v>
      </c>
      <c r="R3137" s="111">
        <f>VLOOKUP(B3137,Readme!$A$62:$C$74,3,)*Q3137</f>
        <v>230.19961057367223</v>
      </c>
      <c r="S3137" s="140" t="str">
        <f t="shared" si="235"/>
        <v>Y</v>
      </c>
      <c r="T3137" s="154">
        <f t="shared" si="236"/>
        <v>18.55</v>
      </c>
      <c r="U3137" s="154">
        <f t="shared" si="237"/>
        <v>20.927237324879293</v>
      </c>
    </row>
    <row r="3138" spans="1:21" x14ac:dyDescent="0.35">
      <c r="A3138" s="110">
        <v>2990</v>
      </c>
      <c r="B3138" s="110">
        <v>2010</v>
      </c>
      <c r="C3138" s="110" t="s">
        <v>38</v>
      </c>
      <c r="D3138" s="110" t="s">
        <v>143</v>
      </c>
      <c r="E3138" s="110" t="s">
        <v>86</v>
      </c>
      <c r="F3138" s="117">
        <v>790</v>
      </c>
      <c r="G3138" s="110" t="s">
        <v>92</v>
      </c>
      <c r="H3138" s="110" t="str">
        <f t="shared" ref="H3138:H3201" si="240">G3138</f>
        <v>Nooksack River, No. Fork</v>
      </c>
      <c r="I3138" s="110" t="str">
        <f>IFERROR(VLOOKUP(H3138,LUTs!$A$1:$C$73,2,FALSE),"NA")</f>
        <v>Whatcom</v>
      </c>
      <c r="J3138" s="110" t="str">
        <f>IFERROR(VLOOKUP(H3138,LUTs!$A$1:$C$73,3,FALSE),"NA")</f>
        <v>1North Puget Sound</v>
      </c>
      <c r="K3138" s="110" t="s">
        <v>13</v>
      </c>
      <c r="L3138" s="110" t="str">
        <f>VLOOKUP(K3138,LUTs!E$2:G$14,3,)</f>
        <v>01Whatcom</v>
      </c>
      <c r="M3138" s="110" t="str">
        <f>VLOOKUP($K3138,LUTs!$E$2:$H$14,2,)</f>
        <v>North Puget Sound</v>
      </c>
      <c r="N3138" s="110" t="str">
        <f>VLOOKUP($K3138,LUTs!$E$2:$H$14,4,)</f>
        <v>01North Puget Sound</v>
      </c>
      <c r="O3138" s="110">
        <v>74</v>
      </c>
      <c r="P3138" s="110">
        <v>631.96</v>
      </c>
      <c r="Q3138" s="110">
        <f>SUMIFS('FW_Steelhead_by_Month_2010-2021'!Q$2:Q$3810,'FW_Steelhead_by_Month_2010-2021'!$B$2:$B$3810,'Rec_raw_catch_effort_2010-2021'!$B3138,'FW_Steelhead_by_Month_2010-2021'!$H$2:$H$3810,'Rec_raw_catch_effort_2010-2021'!$F3138,'FW_Steelhead_by_Month_2010-2021'!$M$2:$M$3810,'Rec_raw_catch_effort_2010-2021'!$K3138)</f>
        <v>41</v>
      </c>
      <c r="R3138" s="111">
        <f>VLOOKUP(B3138,Readme!$A$62:$C$74,3,)*Q3138</f>
        <v>858.01673032005101</v>
      </c>
      <c r="S3138" s="140" t="str">
        <f t="shared" si="235"/>
        <v>Y</v>
      </c>
      <c r="T3138" s="154">
        <f t="shared" si="236"/>
        <v>8.5400000000000009</v>
      </c>
      <c r="U3138" s="154">
        <f t="shared" si="237"/>
        <v>20.927237324879293</v>
      </c>
    </row>
    <row r="3139" spans="1:21" x14ac:dyDescent="0.35">
      <c r="A3139" s="110">
        <v>3009</v>
      </c>
      <c r="B3139" s="110">
        <v>2011</v>
      </c>
      <c r="C3139" s="110" t="s">
        <v>38</v>
      </c>
      <c r="D3139" s="110" t="s">
        <v>143</v>
      </c>
      <c r="E3139" s="110" t="s">
        <v>86</v>
      </c>
      <c r="F3139" s="117">
        <v>790</v>
      </c>
      <c r="G3139" s="110" t="s">
        <v>92</v>
      </c>
      <c r="H3139" s="110" t="str">
        <f t="shared" si="240"/>
        <v>Nooksack River, No. Fork</v>
      </c>
      <c r="I3139" s="110" t="str">
        <f>IFERROR(VLOOKUP(H3139,LUTs!$A$1:$C$73,2,FALSE),"NA")</f>
        <v>Whatcom</v>
      </c>
      <c r="J3139" s="110" t="str">
        <f>IFERROR(VLOOKUP(H3139,LUTs!$A$1:$C$73,3,FALSE),"NA")</f>
        <v>1North Puget Sound</v>
      </c>
      <c r="K3139" s="110" t="s">
        <v>26</v>
      </c>
      <c r="L3139" s="110" t="str">
        <f>VLOOKUP(K3139,LUTs!E$2:G$14,3,)</f>
        <v>20Other</v>
      </c>
      <c r="M3139" s="110" t="str">
        <f>VLOOKUP($K3139,LUTs!$E$2:$H$14,2,)</f>
        <v>Non Puget Sound</v>
      </c>
      <c r="N3139" s="110" t="str">
        <f>VLOOKUP($K3139,LUTs!$E$2:$H$14,4,)</f>
        <v>07Non Puget Sound</v>
      </c>
      <c r="O3139" s="110">
        <v>6.7058823529411802</v>
      </c>
      <c r="P3139" s="110">
        <v>124.39411764705901</v>
      </c>
      <c r="Q3139" s="110">
        <f>SUMIFS('FW_Steelhead_by_Month_2010-2021'!Q$2:Q$3810,'FW_Steelhead_by_Month_2010-2021'!$B$2:$B$3810,'Rec_raw_catch_effort_2010-2021'!$B3139,'FW_Steelhead_by_Month_2010-2021'!$H$2:$H$3810,'Rec_raw_catch_effort_2010-2021'!$F3139,'FW_Steelhead_by_Month_2010-2021'!$M$2:$M$3810,'Rec_raw_catch_effort_2010-2021'!$K3139)</f>
        <v>0</v>
      </c>
      <c r="R3139" s="111">
        <f>VLOOKUP(B3139,Readme!$A$62:$C$74,3,)*Q3139</f>
        <v>0</v>
      </c>
      <c r="S3139" s="140" t="str">
        <f t="shared" ref="S3139:S3202" si="241">IF(B3139&lt;=2019,"Y","N")</f>
        <v>Y</v>
      </c>
      <c r="T3139" s="154">
        <f t="shared" ref="T3139:T3202" si="242">IFERROR(P3139/O3139,"NA")</f>
        <v>18.550000000000018</v>
      </c>
      <c r="U3139" s="154" t="str">
        <f t="shared" ref="U3139:U3202" si="243">IFERROR(R3139/Q3139,"NA")</f>
        <v>NA</v>
      </c>
    </row>
    <row r="3140" spans="1:21" x14ac:dyDescent="0.35">
      <c r="A3140" s="110">
        <v>3008</v>
      </c>
      <c r="B3140" s="110">
        <v>2011</v>
      </c>
      <c r="C3140" s="110" t="s">
        <v>38</v>
      </c>
      <c r="D3140" s="110" t="s">
        <v>143</v>
      </c>
      <c r="E3140" s="110" t="s">
        <v>86</v>
      </c>
      <c r="F3140" s="117">
        <v>790</v>
      </c>
      <c r="G3140" s="110" t="s">
        <v>92</v>
      </c>
      <c r="H3140" s="110" t="str">
        <f t="shared" si="240"/>
        <v>Nooksack River, No. Fork</v>
      </c>
      <c r="I3140" s="110" t="str">
        <f>IFERROR(VLOOKUP(H3140,LUTs!$A$1:$C$73,2,FALSE),"NA")</f>
        <v>Whatcom</v>
      </c>
      <c r="J3140" s="110" t="str">
        <f>IFERROR(VLOOKUP(H3140,LUTs!$A$1:$C$73,3,FALSE),"NA")</f>
        <v>1North Puget Sound</v>
      </c>
      <c r="K3140" s="110" t="s">
        <v>13</v>
      </c>
      <c r="L3140" s="110" t="str">
        <f>VLOOKUP(K3140,LUTs!E$2:G$14,3,)</f>
        <v>01Whatcom</v>
      </c>
      <c r="M3140" s="110" t="str">
        <f>VLOOKUP($K3140,LUTs!$E$2:$H$14,2,)</f>
        <v>North Puget Sound</v>
      </c>
      <c r="N3140" s="110" t="str">
        <f>VLOOKUP($K3140,LUTs!$E$2:$H$14,4,)</f>
        <v>01North Puget Sound</v>
      </c>
      <c r="O3140" s="110">
        <v>31.294117647058801</v>
      </c>
      <c r="P3140" s="110">
        <v>580.50588235294094</v>
      </c>
      <c r="Q3140" s="110">
        <f>SUMIFS('FW_Steelhead_by_Month_2010-2021'!Q$2:Q$3810,'FW_Steelhead_by_Month_2010-2021'!$B$2:$B$3810,'Rec_raw_catch_effort_2010-2021'!$B3140,'FW_Steelhead_by_Month_2010-2021'!$H$2:$H$3810,'Rec_raw_catch_effort_2010-2021'!$F3140,'FW_Steelhead_by_Month_2010-2021'!$M$2:$M$3810,'Rec_raw_catch_effort_2010-2021'!$K3140)</f>
        <v>44</v>
      </c>
      <c r="R3140" s="111">
        <f>VLOOKUP(B3140,Readme!$A$62:$C$74,3,)*Q3140</f>
        <v>920.79844229468893</v>
      </c>
      <c r="S3140" s="140" t="str">
        <f t="shared" si="241"/>
        <v>Y</v>
      </c>
      <c r="T3140" s="154">
        <f t="shared" si="242"/>
        <v>18.550000000000004</v>
      </c>
      <c r="U3140" s="154">
        <f t="shared" si="243"/>
        <v>20.927237324879293</v>
      </c>
    </row>
    <row r="3141" spans="1:21" x14ac:dyDescent="0.35">
      <c r="A3141" s="110">
        <v>3012</v>
      </c>
      <c r="B3141" s="110">
        <v>2012</v>
      </c>
      <c r="C3141" s="110" t="s">
        <v>38</v>
      </c>
      <c r="D3141" s="110" t="s">
        <v>143</v>
      </c>
      <c r="E3141" s="110" t="s">
        <v>86</v>
      </c>
      <c r="F3141" s="117">
        <v>790</v>
      </c>
      <c r="G3141" s="110" t="s">
        <v>92</v>
      </c>
      <c r="H3141" s="110" t="str">
        <f t="shared" si="240"/>
        <v>Nooksack River, No. Fork</v>
      </c>
      <c r="I3141" s="110" t="str">
        <f>IFERROR(VLOOKUP(H3141,LUTs!$A$1:$C$73,2,FALSE),"NA")</f>
        <v>Whatcom</v>
      </c>
      <c r="J3141" s="110" t="str">
        <f>IFERROR(VLOOKUP(H3141,LUTs!$A$1:$C$73,3,FALSE),"NA")</f>
        <v>1North Puget Sound</v>
      </c>
      <c r="K3141" s="110" t="s">
        <v>13</v>
      </c>
      <c r="L3141" s="110" t="str">
        <f>VLOOKUP(K3141,LUTs!E$2:G$14,3,)</f>
        <v>01Whatcom</v>
      </c>
      <c r="M3141" s="110" t="str">
        <f>VLOOKUP($K3141,LUTs!$E$2:$H$14,2,)</f>
        <v>North Puget Sound</v>
      </c>
      <c r="N3141" s="110" t="str">
        <f>VLOOKUP($K3141,LUTs!$E$2:$H$14,4,)</f>
        <v>01North Puget Sound</v>
      </c>
      <c r="O3141" s="110">
        <v>51</v>
      </c>
      <c r="P3141" s="110">
        <v>435.54</v>
      </c>
      <c r="Q3141" s="110">
        <f>SUMIFS('FW_Steelhead_by_Month_2010-2021'!Q$2:Q$3810,'FW_Steelhead_by_Month_2010-2021'!$B$2:$B$3810,'Rec_raw_catch_effort_2010-2021'!$B3141,'FW_Steelhead_by_Month_2010-2021'!$H$2:$H$3810,'Rec_raw_catch_effort_2010-2021'!$F3141,'FW_Steelhead_by_Month_2010-2021'!$M$2:$M$3810,'Rec_raw_catch_effort_2010-2021'!$K3141)</f>
        <v>33.222222222222271</v>
      </c>
      <c r="R3141" s="111">
        <f>VLOOKUP(B3141,Readme!$A$62:$C$74,3,)*Q3141</f>
        <v>695.24932890432422</v>
      </c>
      <c r="S3141" s="140" t="str">
        <f t="shared" si="241"/>
        <v>Y</v>
      </c>
      <c r="T3141" s="154">
        <f t="shared" si="242"/>
        <v>8.5400000000000009</v>
      </c>
      <c r="U3141" s="154">
        <f t="shared" si="243"/>
        <v>20.927237324879293</v>
      </c>
    </row>
    <row r="3142" spans="1:21" x14ac:dyDescent="0.35">
      <c r="A3142" s="110">
        <v>3015</v>
      </c>
      <c r="B3142" s="110">
        <v>2013</v>
      </c>
      <c r="C3142" s="110" t="s">
        <v>38</v>
      </c>
      <c r="D3142" s="110" t="s">
        <v>143</v>
      </c>
      <c r="E3142" s="110" t="s">
        <v>86</v>
      </c>
      <c r="F3142" s="117">
        <v>790</v>
      </c>
      <c r="G3142" s="110" t="s">
        <v>92</v>
      </c>
      <c r="H3142" s="110" t="str">
        <f t="shared" si="240"/>
        <v>Nooksack River, No. Fork</v>
      </c>
      <c r="I3142" s="110" t="str">
        <f>IFERROR(VLOOKUP(H3142,LUTs!$A$1:$C$73,2,FALSE),"NA")</f>
        <v>Whatcom</v>
      </c>
      <c r="J3142" s="110" t="str">
        <f>IFERROR(VLOOKUP(H3142,LUTs!$A$1:$C$73,3,FALSE),"NA")</f>
        <v>1North Puget Sound</v>
      </c>
      <c r="K3142" s="110" t="s">
        <v>13</v>
      </c>
      <c r="L3142" s="110" t="str">
        <f>VLOOKUP(K3142,LUTs!E$2:G$14,3,)</f>
        <v>01Whatcom</v>
      </c>
      <c r="M3142" s="110" t="str">
        <f>VLOOKUP($K3142,LUTs!$E$2:$H$14,2,)</f>
        <v>North Puget Sound</v>
      </c>
      <c r="N3142" s="110" t="str">
        <f>VLOOKUP($K3142,LUTs!$E$2:$H$14,4,)</f>
        <v>01North Puget Sound</v>
      </c>
      <c r="O3142" s="110">
        <v>83</v>
      </c>
      <c r="P3142" s="110">
        <v>1539.65</v>
      </c>
      <c r="Q3142" s="110">
        <f>SUMIFS('FW_Steelhead_by_Month_2010-2021'!Q$2:Q$3810,'FW_Steelhead_by_Month_2010-2021'!$B$2:$B$3810,'Rec_raw_catch_effort_2010-2021'!$B3142,'FW_Steelhead_by_Month_2010-2021'!$H$2:$H$3810,'Rec_raw_catch_effort_2010-2021'!$F3142,'FW_Steelhead_by_Month_2010-2021'!$M$2:$M$3810,'Rec_raw_catch_effort_2010-2021'!$K3142)</f>
        <v>45</v>
      </c>
      <c r="R3142" s="111">
        <f>VLOOKUP(B3142,Readme!$A$62:$C$74,3,)*Q3142</f>
        <v>941.72567961956815</v>
      </c>
      <c r="S3142" s="140" t="str">
        <f t="shared" si="241"/>
        <v>Y</v>
      </c>
      <c r="T3142" s="154">
        <f t="shared" si="242"/>
        <v>18.55</v>
      </c>
      <c r="U3142" s="154">
        <f t="shared" si="243"/>
        <v>20.927237324879293</v>
      </c>
    </row>
    <row r="3143" spans="1:21" x14ac:dyDescent="0.35">
      <c r="A3143" s="110">
        <v>3020</v>
      </c>
      <c r="B3143" s="110">
        <v>2014</v>
      </c>
      <c r="C3143" s="110" t="s">
        <v>38</v>
      </c>
      <c r="D3143" s="110" t="s">
        <v>143</v>
      </c>
      <c r="E3143" s="110" t="s">
        <v>86</v>
      </c>
      <c r="F3143" s="117">
        <v>790</v>
      </c>
      <c r="G3143" s="110" t="s">
        <v>92</v>
      </c>
      <c r="H3143" s="110" t="str">
        <f t="shared" si="240"/>
        <v>Nooksack River, No. Fork</v>
      </c>
      <c r="I3143" s="110" t="str">
        <f>IFERROR(VLOOKUP(H3143,LUTs!$A$1:$C$73,2,FALSE),"NA")</f>
        <v>Whatcom</v>
      </c>
      <c r="J3143" s="110" t="str">
        <f>IFERROR(VLOOKUP(H3143,LUTs!$A$1:$C$73,3,FALSE),"NA")</f>
        <v>1North Puget Sound</v>
      </c>
      <c r="K3143" s="110" t="s">
        <v>20</v>
      </c>
      <c r="L3143" s="110" t="str">
        <f>VLOOKUP(K3143,LUTs!E$2:G$14,3,)</f>
        <v>07Pierce</v>
      </c>
      <c r="M3143" s="110" t="str">
        <f>VLOOKUP($K3143,LUTs!$E$2:$H$14,2,)</f>
        <v>South Puget Sound</v>
      </c>
      <c r="N3143" s="110" t="str">
        <f>VLOOKUP($K3143,LUTs!$E$2:$H$14,4,)</f>
        <v>02South Puget Sound</v>
      </c>
      <c r="O3143" s="110">
        <v>3.0476190476190501</v>
      </c>
      <c r="P3143" s="110">
        <v>26.026666666666699</v>
      </c>
      <c r="Q3143" s="110">
        <f>SUMIFS('FW_Steelhead_by_Month_2010-2021'!Q$2:Q$3810,'FW_Steelhead_by_Month_2010-2021'!$B$2:$B$3810,'Rec_raw_catch_effort_2010-2021'!$B3143,'FW_Steelhead_by_Month_2010-2021'!$H$2:$H$3810,'Rec_raw_catch_effort_2010-2021'!$F3143,'FW_Steelhead_by_Month_2010-2021'!$M$2:$M$3810,'Rec_raw_catch_effort_2010-2021'!$K3143)</f>
        <v>0</v>
      </c>
      <c r="R3143" s="111">
        <f>VLOOKUP(B3143,Readme!$A$62:$C$74,3,)*Q3143</f>
        <v>0</v>
      </c>
      <c r="S3143" s="140" t="str">
        <f t="shared" si="241"/>
        <v>Y</v>
      </c>
      <c r="T3143" s="154">
        <f t="shared" si="242"/>
        <v>8.5400000000000045</v>
      </c>
      <c r="U3143" s="154" t="str">
        <f t="shared" si="243"/>
        <v>NA</v>
      </c>
    </row>
    <row r="3144" spans="1:21" x14ac:dyDescent="0.35">
      <c r="A3144" s="110">
        <v>3019</v>
      </c>
      <c r="B3144" s="110">
        <v>2014</v>
      </c>
      <c r="C3144" s="110" t="s">
        <v>38</v>
      </c>
      <c r="D3144" s="110" t="s">
        <v>143</v>
      </c>
      <c r="E3144" s="110" t="s">
        <v>86</v>
      </c>
      <c r="F3144" s="117">
        <v>790</v>
      </c>
      <c r="G3144" s="110" t="s">
        <v>92</v>
      </c>
      <c r="H3144" s="110" t="str">
        <f t="shared" si="240"/>
        <v>Nooksack River, No. Fork</v>
      </c>
      <c r="I3144" s="110" t="str">
        <f>IFERROR(VLOOKUP(H3144,LUTs!$A$1:$C$73,2,FALSE),"NA")</f>
        <v>Whatcom</v>
      </c>
      <c r="J3144" s="110" t="str">
        <f>IFERROR(VLOOKUP(H3144,LUTs!$A$1:$C$73,3,FALSE),"NA")</f>
        <v>1North Puget Sound</v>
      </c>
      <c r="K3144" s="110" t="s">
        <v>13</v>
      </c>
      <c r="L3144" s="110" t="str">
        <f>VLOOKUP(K3144,LUTs!E$2:G$14,3,)</f>
        <v>01Whatcom</v>
      </c>
      <c r="M3144" s="110" t="str">
        <f>VLOOKUP($K3144,LUTs!$E$2:$H$14,2,)</f>
        <v>North Puget Sound</v>
      </c>
      <c r="N3144" s="110" t="str">
        <f>VLOOKUP($K3144,LUTs!$E$2:$H$14,4,)</f>
        <v>01North Puget Sound</v>
      </c>
      <c r="O3144" s="110">
        <v>60.952380952380999</v>
      </c>
      <c r="P3144" s="110">
        <v>520.53333333333399</v>
      </c>
      <c r="Q3144" s="110">
        <f>SUMIFS('FW_Steelhead_by_Month_2010-2021'!Q$2:Q$3810,'FW_Steelhead_by_Month_2010-2021'!$B$2:$B$3810,'Rec_raw_catch_effort_2010-2021'!$B3144,'FW_Steelhead_by_Month_2010-2021'!$H$2:$H$3810,'Rec_raw_catch_effort_2010-2021'!$F3144,'FW_Steelhead_by_Month_2010-2021'!$M$2:$M$3810,'Rec_raw_catch_effort_2010-2021'!$K3144)</f>
        <v>79</v>
      </c>
      <c r="R3144" s="111">
        <f>VLOOKUP(B3144,Readme!$A$62:$C$74,3,)*Q3144</f>
        <v>1653.2517486654642</v>
      </c>
      <c r="S3144" s="140" t="str">
        <f t="shared" si="241"/>
        <v>Y</v>
      </c>
      <c r="T3144" s="154">
        <f t="shared" si="242"/>
        <v>8.5400000000000045</v>
      </c>
      <c r="U3144" s="154">
        <f t="shared" si="243"/>
        <v>20.927237324879293</v>
      </c>
    </row>
    <row r="3145" spans="1:21" x14ac:dyDescent="0.35">
      <c r="A3145" s="110">
        <v>3092</v>
      </c>
      <c r="B3145" s="110">
        <v>2017</v>
      </c>
      <c r="C3145" s="110" t="s">
        <v>38</v>
      </c>
      <c r="D3145" s="110" t="s">
        <v>143</v>
      </c>
      <c r="E3145" s="110" t="s">
        <v>86</v>
      </c>
      <c r="F3145" s="117">
        <v>790</v>
      </c>
      <c r="G3145" s="110" t="s">
        <v>92</v>
      </c>
      <c r="H3145" s="110" t="str">
        <f t="shared" si="240"/>
        <v>Nooksack River, No. Fork</v>
      </c>
      <c r="I3145" s="110" t="str">
        <f>IFERROR(VLOOKUP(H3145,LUTs!$A$1:$C$73,2,FALSE),"NA")</f>
        <v>Whatcom</v>
      </c>
      <c r="J3145" s="110" t="str">
        <f>IFERROR(VLOOKUP(H3145,LUTs!$A$1:$C$73,3,FALSE),"NA")</f>
        <v>1North Puget Sound</v>
      </c>
      <c r="K3145" s="110" t="s">
        <v>13</v>
      </c>
      <c r="L3145" s="110" t="str">
        <f>VLOOKUP(K3145,LUTs!E$2:G$14,3,)</f>
        <v>01Whatcom</v>
      </c>
      <c r="M3145" s="110" t="str">
        <f>VLOOKUP($K3145,LUTs!$E$2:$H$14,2,)</f>
        <v>North Puget Sound</v>
      </c>
      <c r="N3145" s="110" t="str">
        <f>VLOOKUP($K3145,LUTs!$E$2:$H$14,4,)</f>
        <v>01North Puget Sound</v>
      </c>
      <c r="O3145" s="110">
        <v>228</v>
      </c>
      <c r="P3145" s="110">
        <v>4229.3999999999996</v>
      </c>
      <c r="Q3145" s="110">
        <f>SUMIFS('FW_Steelhead_by_Month_2010-2021'!Q$2:Q$3810,'FW_Steelhead_by_Month_2010-2021'!$B$2:$B$3810,'Rec_raw_catch_effort_2010-2021'!$B3145,'FW_Steelhead_by_Month_2010-2021'!$H$2:$H$3810,'Rec_raw_catch_effort_2010-2021'!$F3145,'FW_Steelhead_by_Month_2010-2021'!$M$2:$M$3810,'Rec_raw_catch_effort_2010-2021'!$K3145)</f>
        <v>5</v>
      </c>
      <c r="R3145" s="111">
        <f>VLOOKUP(B3145,Readme!$A$62:$C$74,3,)*Q3145</f>
        <v>104.63618662439646</v>
      </c>
      <c r="S3145" s="140" t="str">
        <f t="shared" si="241"/>
        <v>Y</v>
      </c>
      <c r="T3145" s="154">
        <f t="shared" si="242"/>
        <v>18.549999999999997</v>
      </c>
      <c r="U3145" s="154">
        <f t="shared" si="243"/>
        <v>20.927237324879293</v>
      </c>
    </row>
    <row r="3146" spans="1:21" x14ac:dyDescent="0.35">
      <c r="A3146" s="110">
        <v>3096</v>
      </c>
      <c r="B3146" s="110">
        <v>2018</v>
      </c>
      <c r="C3146" s="110" t="s">
        <v>38</v>
      </c>
      <c r="D3146" s="110" t="s">
        <v>143</v>
      </c>
      <c r="E3146" s="110" t="s">
        <v>86</v>
      </c>
      <c r="F3146" s="117">
        <v>790</v>
      </c>
      <c r="G3146" s="110" t="s">
        <v>92</v>
      </c>
      <c r="H3146" s="110" t="str">
        <f t="shared" si="240"/>
        <v>Nooksack River, No. Fork</v>
      </c>
      <c r="I3146" s="110" t="str">
        <f>IFERROR(VLOOKUP(H3146,LUTs!$A$1:$C$73,2,FALSE),"NA")</f>
        <v>Whatcom</v>
      </c>
      <c r="J3146" s="110" t="str">
        <f>IFERROR(VLOOKUP(H3146,LUTs!$A$1:$C$73,3,FALSE),"NA")</f>
        <v>1North Puget Sound</v>
      </c>
      <c r="K3146" s="110" t="s">
        <v>17</v>
      </c>
      <c r="L3146" s="110" t="str">
        <f>VLOOKUP(K3146,LUTs!E$2:G$14,3,)</f>
        <v>04Island</v>
      </c>
      <c r="M3146" s="110" t="str">
        <f>VLOOKUP($K3146,LUTs!$E$2:$H$14,2,)</f>
        <v>North Puget Sound</v>
      </c>
      <c r="N3146" s="110" t="str">
        <f>VLOOKUP($K3146,LUTs!$E$2:$H$14,4,)</f>
        <v>01North Puget Sound</v>
      </c>
      <c r="O3146" s="110">
        <v>14</v>
      </c>
      <c r="P3146" s="110">
        <v>119.56</v>
      </c>
      <c r="Q3146" s="110">
        <f>SUMIFS('FW_Steelhead_by_Month_2010-2021'!Q$2:Q$3810,'FW_Steelhead_by_Month_2010-2021'!$B$2:$B$3810,'Rec_raw_catch_effort_2010-2021'!$B3146,'FW_Steelhead_by_Month_2010-2021'!$H$2:$H$3810,'Rec_raw_catch_effort_2010-2021'!$F3146,'FW_Steelhead_by_Month_2010-2021'!$M$2:$M$3810,'Rec_raw_catch_effort_2010-2021'!$K3146)</f>
        <v>7</v>
      </c>
      <c r="R3146" s="111">
        <f>VLOOKUP(B3146,Readme!$A$62:$C$74,3,)*Q3146</f>
        <v>146.49066127415506</v>
      </c>
      <c r="S3146" s="140" t="str">
        <f t="shared" si="241"/>
        <v>Y</v>
      </c>
      <c r="T3146" s="154">
        <f t="shared" si="242"/>
        <v>8.5400000000000009</v>
      </c>
      <c r="U3146" s="154">
        <f t="shared" si="243"/>
        <v>20.927237324879293</v>
      </c>
    </row>
    <row r="3147" spans="1:21" x14ac:dyDescent="0.35">
      <c r="A3147" s="110">
        <v>3095</v>
      </c>
      <c r="B3147" s="110">
        <v>2018</v>
      </c>
      <c r="C3147" s="110" t="s">
        <v>38</v>
      </c>
      <c r="D3147" s="110" t="s">
        <v>143</v>
      </c>
      <c r="E3147" s="110" t="s">
        <v>86</v>
      </c>
      <c r="F3147" s="117">
        <v>790</v>
      </c>
      <c r="G3147" s="110" t="s">
        <v>92</v>
      </c>
      <c r="H3147" s="110" t="str">
        <f t="shared" si="240"/>
        <v>Nooksack River, No. Fork</v>
      </c>
      <c r="I3147" s="110" t="str">
        <f>IFERROR(VLOOKUP(H3147,LUTs!$A$1:$C$73,2,FALSE),"NA")</f>
        <v>Whatcom</v>
      </c>
      <c r="J3147" s="110" t="str">
        <f>IFERROR(VLOOKUP(H3147,LUTs!$A$1:$C$73,3,FALSE),"NA")</f>
        <v>1North Puget Sound</v>
      </c>
      <c r="K3147" s="110" t="s">
        <v>13</v>
      </c>
      <c r="L3147" s="110" t="str">
        <f>VLOOKUP(K3147,LUTs!E$2:G$14,3,)</f>
        <v>01Whatcom</v>
      </c>
      <c r="M3147" s="110" t="str">
        <f>VLOOKUP($K3147,LUTs!$E$2:$H$14,2,)</f>
        <v>North Puget Sound</v>
      </c>
      <c r="N3147" s="110" t="str">
        <f>VLOOKUP($K3147,LUTs!$E$2:$H$14,4,)</f>
        <v>01North Puget Sound</v>
      </c>
      <c r="O3147" s="110">
        <v>14</v>
      </c>
      <c r="P3147" s="110">
        <v>119.56</v>
      </c>
      <c r="Q3147" s="110">
        <f>SUMIFS('FW_Steelhead_by_Month_2010-2021'!Q$2:Q$3810,'FW_Steelhead_by_Month_2010-2021'!$B$2:$B$3810,'Rec_raw_catch_effort_2010-2021'!$B3147,'FW_Steelhead_by_Month_2010-2021'!$H$2:$H$3810,'Rec_raw_catch_effort_2010-2021'!$F3147,'FW_Steelhead_by_Month_2010-2021'!$M$2:$M$3810,'Rec_raw_catch_effort_2010-2021'!$K3147)</f>
        <v>109</v>
      </c>
      <c r="R3147" s="111">
        <f>VLOOKUP(B3147,Readme!$A$62:$C$74,3,)*Q3147</f>
        <v>2281.0688684118431</v>
      </c>
      <c r="S3147" s="140" t="str">
        <f t="shared" si="241"/>
        <v>Y</v>
      </c>
      <c r="T3147" s="154">
        <f t="shared" si="242"/>
        <v>8.5400000000000009</v>
      </c>
      <c r="U3147" s="154">
        <f t="shared" si="243"/>
        <v>20.927237324879293</v>
      </c>
    </row>
    <row r="3148" spans="1:21" x14ac:dyDescent="0.35">
      <c r="A3148" s="110">
        <v>3099</v>
      </c>
      <c r="B3148" s="110">
        <v>2020</v>
      </c>
      <c r="C3148" s="110" t="s">
        <v>38</v>
      </c>
      <c r="D3148" s="110" t="s">
        <v>143</v>
      </c>
      <c r="E3148" s="110" t="s">
        <v>86</v>
      </c>
      <c r="F3148" s="117">
        <v>790</v>
      </c>
      <c r="G3148" s="110" t="s">
        <v>92</v>
      </c>
      <c r="H3148" s="110" t="str">
        <f t="shared" si="240"/>
        <v>Nooksack River, No. Fork</v>
      </c>
      <c r="I3148" s="110" t="str">
        <f>IFERROR(VLOOKUP(H3148,LUTs!$A$1:$C$73,2,FALSE),"NA")</f>
        <v>Whatcom</v>
      </c>
      <c r="J3148" s="110" t="str">
        <f>IFERROR(VLOOKUP(H3148,LUTs!$A$1:$C$73,3,FALSE),"NA")</f>
        <v>1North Puget Sound</v>
      </c>
      <c r="K3148" s="110" t="s">
        <v>13</v>
      </c>
      <c r="L3148" s="110" t="str">
        <f>VLOOKUP(K3148,LUTs!E$2:G$14,3,)</f>
        <v>01Whatcom</v>
      </c>
      <c r="M3148" s="110" t="str">
        <f>VLOOKUP($K3148,LUTs!$E$2:$H$14,2,)</f>
        <v>North Puget Sound</v>
      </c>
      <c r="N3148" s="110" t="str">
        <f>VLOOKUP($K3148,LUTs!$E$2:$H$14,4,)</f>
        <v>01North Puget Sound</v>
      </c>
      <c r="O3148" s="110">
        <v>12</v>
      </c>
      <c r="P3148" s="110">
        <v>102.48</v>
      </c>
      <c r="Q3148" s="110">
        <f>SUMIFS('FW_Steelhead_by_Month_2010-2021'!Q$2:Q$3810,'FW_Steelhead_by_Month_2010-2021'!$B$2:$B$3810,'Rec_raw_catch_effort_2010-2021'!$B3148,'FW_Steelhead_by_Month_2010-2021'!$H$2:$H$3810,'Rec_raw_catch_effort_2010-2021'!$F3148,'FW_Steelhead_by_Month_2010-2021'!$M$2:$M$3810,'Rec_raw_catch_effort_2010-2021'!$K3148)</f>
        <v>6</v>
      </c>
      <c r="R3148" s="111">
        <f>VLOOKUP(B3148,Readme!$A$62:$C$74,3,)*Q3148</f>
        <v>125.56342394927576</v>
      </c>
      <c r="S3148" s="140" t="str">
        <f t="shared" si="241"/>
        <v>N</v>
      </c>
      <c r="T3148" s="154">
        <f t="shared" si="242"/>
        <v>8.5400000000000009</v>
      </c>
      <c r="U3148" s="154">
        <f t="shared" si="243"/>
        <v>20.927237324879293</v>
      </c>
    </row>
    <row r="3149" spans="1:21" x14ac:dyDescent="0.35">
      <c r="A3149" s="110">
        <v>2999</v>
      </c>
      <c r="B3149" s="110">
        <v>2010</v>
      </c>
      <c r="C3149" s="110" t="s">
        <v>38</v>
      </c>
      <c r="D3149" s="110" t="s">
        <v>143</v>
      </c>
      <c r="E3149" s="110" t="s">
        <v>86</v>
      </c>
      <c r="F3149" s="117">
        <v>792</v>
      </c>
      <c r="G3149" s="110" t="s">
        <v>93</v>
      </c>
      <c r="H3149" s="110" t="str">
        <f t="shared" si="240"/>
        <v>Nooksack River, So. Fork</v>
      </c>
      <c r="I3149" s="110" t="str">
        <f>IFERROR(VLOOKUP(H3149,LUTs!$A$1:$C$73,2,FALSE),"NA")</f>
        <v>Whatcom</v>
      </c>
      <c r="J3149" s="110" t="str">
        <f>IFERROR(VLOOKUP(H3149,LUTs!$A$1:$C$73,3,FALSE),"NA")</f>
        <v>1North Puget Sound</v>
      </c>
      <c r="K3149" s="110" t="s">
        <v>24</v>
      </c>
      <c r="L3149" s="110" t="str">
        <f>VLOOKUP(K3149,LUTs!E$2:G$14,3,)</f>
        <v>11Clallam</v>
      </c>
      <c r="M3149" s="110" t="str">
        <f>VLOOKUP($K3149,LUTs!$E$2:$H$14,2,)</f>
        <v>Strait of Juan de Fuca</v>
      </c>
      <c r="N3149" s="110" t="str">
        <f>VLOOKUP($K3149,LUTs!$E$2:$H$14,4,)</f>
        <v>03Strait of Juan de Fuca</v>
      </c>
      <c r="O3149" s="110">
        <v>2.4285714285714302</v>
      </c>
      <c r="P3149" s="110">
        <v>20.74</v>
      </c>
      <c r="Q3149" s="110">
        <f>SUMIFS('FW_Steelhead_by_Month_2010-2021'!Q$2:Q$3810,'FW_Steelhead_by_Month_2010-2021'!$B$2:$B$3810,'Rec_raw_catch_effort_2010-2021'!$B3149,'FW_Steelhead_by_Month_2010-2021'!$H$2:$H$3810,'Rec_raw_catch_effort_2010-2021'!$F3149,'FW_Steelhead_by_Month_2010-2021'!$M$2:$M$3810,'Rec_raw_catch_effort_2010-2021'!$K3149)</f>
        <v>2.4</v>
      </c>
      <c r="R3149" s="111">
        <f>VLOOKUP(B3149,Readme!$A$62:$C$74,3,)*Q3149</f>
        <v>50.225369579710303</v>
      </c>
      <c r="S3149" s="140" t="str">
        <f t="shared" si="241"/>
        <v>Y</v>
      </c>
      <c r="T3149" s="154">
        <f t="shared" si="242"/>
        <v>8.5399999999999938</v>
      </c>
      <c r="U3149" s="154">
        <f t="shared" si="243"/>
        <v>20.927237324879293</v>
      </c>
    </row>
    <row r="3150" spans="1:21" x14ac:dyDescent="0.35">
      <c r="A3150" s="110">
        <v>2991</v>
      </c>
      <c r="B3150" s="110">
        <v>2010</v>
      </c>
      <c r="C3150" s="110" t="s">
        <v>38</v>
      </c>
      <c r="D3150" s="110" t="s">
        <v>143</v>
      </c>
      <c r="E3150" s="110" t="s">
        <v>86</v>
      </c>
      <c r="F3150" s="117">
        <v>792</v>
      </c>
      <c r="G3150" s="110" t="s">
        <v>93</v>
      </c>
      <c r="H3150" s="110" t="str">
        <f t="shared" si="240"/>
        <v>Nooksack River, So. Fork</v>
      </c>
      <c r="I3150" s="110" t="str">
        <f>IFERROR(VLOOKUP(H3150,LUTs!$A$1:$C$73,2,FALSE),"NA")</f>
        <v>Whatcom</v>
      </c>
      <c r="J3150" s="110" t="str">
        <f>IFERROR(VLOOKUP(H3150,LUTs!$A$1:$C$73,3,FALSE),"NA")</f>
        <v>1North Puget Sound</v>
      </c>
      <c r="K3150" s="110" t="s">
        <v>13</v>
      </c>
      <c r="L3150" s="110" t="str">
        <f>VLOOKUP(K3150,LUTs!E$2:G$14,3,)</f>
        <v>01Whatcom</v>
      </c>
      <c r="M3150" s="110" t="str">
        <f>VLOOKUP($K3150,LUTs!$E$2:$H$14,2,)</f>
        <v>North Puget Sound</v>
      </c>
      <c r="N3150" s="110" t="str">
        <f>VLOOKUP($K3150,LUTs!$E$2:$H$14,4,)</f>
        <v>01North Puget Sound</v>
      </c>
      <c r="O3150" s="110">
        <v>14.5714285714286</v>
      </c>
      <c r="P3150" s="110">
        <v>124.44</v>
      </c>
      <c r="Q3150" s="110">
        <f>SUMIFS('FW_Steelhead_by_Month_2010-2021'!Q$2:Q$3810,'FW_Steelhead_by_Month_2010-2021'!$B$2:$B$3810,'Rec_raw_catch_effort_2010-2021'!$B3150,'FW_Steelhead_by_Month_2010-2021'!$H$2:$H$3810,'Rec_raw_catch_effort_2010-2021'!$F3150,'FW_Steelhead_by_Month_2010-2021'!$M$2:$M$3810,'Rec_raw_catch_effort_2010-2021'!$K3150)</f>
        <v>9.6</v>
      </c>
      <c r="R3150" s="111">
        <f>VLOOKUP(B3150,Readme!$A$62:$C$74,3,)*Q3150</f>
        <v>200.90147831884121</v>
      </c>
      <c r="S3150" s="140" t="str">
        <f t="shared" si="241"/>
        <v>Y</v>
      </c>
      <c r="T3150" s="154">
        <f t="shared" si="242"/>
        <v>8.5399999999999832</v>
      </c>
      <c r="U3150" s="154">
        <f t="shared" si="243"/>
        <v>20.927237324879293</v>
      </c>
    </row>
    <row r="3151" spans="1:21" x14ac:dyDescent="0.35">
      <c r="A3151" s="110">
        <v>3085</v>
      </c>
      <c r="B3151" s="110">
        <v>2014</v>
      </c>
      <c r="C3151" s="110" t="s">
        <v>38</v>
      </c>
      <c r="D3151" s="110" t="s">
        <v>143</v>
      </c>
      <c r="E3151" s="110" t="s">
        <v>86</v>
      </c>
      <c r="F3151" s="117">
        <v>792</v>
      </c>
      <c r="G3151" s="110" t="s">
        <v>93</v>
      </c>
      <c r="H3151" s="110" t="str">
        <f t="shared" si="240"/>
        <v>Nooksack River, So. Fork</v>
      </c>
      <c r="I3151" s="110" t="str">
        <f>IFERROR(VLOOKUP(H3151,LUTs!$A$1:$C$73,2,FALSE),"NA")</f>
        <v>Whatcom</v>
      </c>
      <c r="J3151" s="110" t="str">
        <f>IFERROR(VLOOKUP(H3151,LUTs!$A$1:$C$73,3,FALSE),"NA")</f>
        <v>1North Puget Sound</v>
      </c>
      <c r="K3151" s="110" t="s">
        <v>16</v>
      </c>
      <c r="L3151" s="110" t="str">
        <f>VLOOKUP(K3151,LUTs!E$2:G$14,3,)</f>
        <v>03Snohomish</v>
      </c>
      <c r="M3151" s="110" t="str">
        <f>VLOOKUP($K3151,LUTs!$E$2:$H$14,2,)</f>
        <v>North Puget Sound</v>
      </c>
      <c r="N3151" s="110" t="str">
        <f>VLOOKUP($K3151,LUTs!$E$2:$H$14,4,)</f>
        <v>01North Puget Sound</v>
      </c>
      <c r="O3151" s="110">
        <v>3</v>
      </c>
      <c r="P3151" s="110">
        <v>25.62</v>
      </c>
      <c r="Q3151" s="110">
        <f>SUMIFS('FW_Steelhead_by_Month_2010-2021'!Q$2:Q$3810,'FW_Steelhead_by_Month_2010-2021'!$B$2:$B$3810,'Rec_raw_catch_effort_2010-2021'!$B3151,'FW_Steelhead_by_Month_2010-2021'!$H$2:$H$3810,'Rec_raw_catch_effort_2010-2021'!$F3151,'FW_Steelhead_by_Month_2010-2021'!$M$2:$M$3810,'Rec_raw_catch_effort_2010-2021'!$K3151)</f>
        <v>0</v>
      </c>
      <c r="R3151" s="111">
        <f>VLOOKUP(B3151,Readme!$A$62:$C$74,3,)*Q3151</f>
        <v>0</v>
      </c>
      <c r="S3151" s="140" t="str">
        <f t="shared" si="241"/>
        <v>Y</v>
      </c>
      <c r="T3151" s="154">
        <f t="shared" si="242"/>
        <v>8.5400000000000009</v>
      </c>
      <c r="U3151" s="154" t="str">
        <f t="shared" si="243"/>
        <v>NA</v>
      </c>
    </row>
    <row r="3152" spans="1:21" x14ac:dyDescent="0.35">
      <c r="A3152" s="110">
        <v>3000</v>
      </c>
      <c r="B3152" s="110">
        <v>2010</v>
      </c>
      <c r="C3152" s="110" t="s">
        <v>38</v>
      </c>
      <c r="D3152" s="110" t="s">
        <v>143</v>
      </c>
      <c r="E3152" s="110" t="s">
        <v>86</v>
      </c>
      <c r="F3152" s="117">
        <v>794</v>
      </c>
      <c r="G3152" s="110" t="s">
        <v>83</v>
      </c>
      <c r="H3152" s="110" t="str">
        <f t="shared" si="240"/>
        <v>Nooksack River, below North Fork</v>
      </c>
      <c r="I3152" s="110" t="str">
        <f>IFERROR(VLOOKUP(H3152,LUTs!$A$1:$C$73,2,FALSE),"NA")</f>
        <v>Whatcom</v>
      </c>
      <c r="J3152" s="110" t="str">
        <f>IFERROR(VLOOKUP(H3152,LUTs!$A$1:$C$73,3,FALSE),"NA")</f>
        <v>1North Puget Sound</v>
      </c>
      <c r="K3152" s="110" t="s">
        <v>13</v>
      </c>
      <c r="L3152" s="110" t="str">
        <f>VLOOKUP(K3152,LUTs!E$2:G$14,3,)</f>
        <v>01Whatcom</v>
      </c>
      <c r="M3152" s="110" t="str">
        <f>VLOOKUP($K3152,LUTs!$E$2:$H$14,2,)</f>
        <v>North Puget Sound</v>
      </c>
      <c r="N3152" s="110" t="str">
        <f>VLOOKUP($K3152,LUTs!$E$2:$H$14,4,)</f>
        <v>01North Puget Sound</v>
      </c>
      <c r="O3152" s="110">
        <v>19</v>
      </c>
      <c r="P3152" s="110">
        <v>162.26</v>
      </c>
      <c r="Q3152" s="110">
        <f>SUMIFS('FW_Steelhead_by_Month_2010-2021'!Q$2:Q$3810,'FW_Steelhead_by_Month_2010-2021'!$B$2:$B$3810,'Rec_raw_catch_effort_2010-2021'!$B3152,'FW_Steelhead_by_Month_2010-2021'!$H$2:$H$3810,'Rec_raw_catch_effort_2010-2021'!$F3152,'FW_Steelhead_by_Month_2010-2021'!$M$2:$M$3810,'Rec_raw_catch_effort_2010-2021'!$K3152)</f>
        <v>14</v>
      </c>
      <c r="R3152" s="111">
        <f>VLOOKUP(B3152,Readme!$A$62:$C$74,3,)*Q3152</f>
        <v>292.98132254831012</v>
      </c>
      <c r="S3152" s="140" t="str">
        <f t="shared" si="241"/>
        <v>Y</v>
      </c>
      <c r="T3152" s="154">
        <f t="shared" si="242"/>
        <v>8.5399999999999991</v>
      </c>
      <c r="U3152" s="154">
        <f t="shared" si="243"/>
        <v>20.927237324879293</v>
      </c>
    </row>
    <row r="3153" spans="1:21" x14ac:dyDescent="0.35">
      <c r="A3153" s="110">
        <v>3010</v>
      </c>
      <c r="B3153" s="110">
        <v>2011</v>
      </c>
      <c r="C3153" s="110" t="s">
        <v>38</v>
      </c>
      <c r="D3153" s="110" t="s">
        <v>143</v>
      </c>
      <c r="E3153" s="110" t="s">
        <v>86</v>
      </c>
      <c r="F3153" s="117">
        <v>794</v>
      </c>
      <c r="G3153" s="110" t="s">
        <v>83</v>
      </c>
      <c r="H3153" s="110" t="str">
        <f t="shared" si="240"/>
        <v>Nooksack River, below North Fork</v>
      </c>
      <c r="I3153" s="110" t="str">
        <f>IFERROR(VLOOKUP(H3153,LUTs!$A$1:$C$73,2,FALSE),"NA")</f>
        <v>Whatcom</v>
      </c>
      <c r="J3153" s="110" t="str">
        <f>IFERROR(VLOOKUP(H3153,LUTs!$A$1:$C$73,3,FALSE),"NA")</f>
        <v>1North Puget Sound</v>
      </c>
      <c r="K3153" s="110" t="s">
        <v>13</v>
      </c>
      <c r="L3153" s="110" t="str">
        <f>VLOOKUP(K3153,LUTs!E$2:G$14,3,)</f>
        <v>01Whatcom</v>
      </c>
      <c r="M3153" s="110" t="str">
        <f>VLOOKUP($K3153,LUTs!$E$2:$H$14,2,)</f>
        <v>North Puget Sound</v>
      </c>
      <c r="N3153" s="110" t="str">
        <f>VLOOKUP($K3153,LUTs!$E$2:$H$14,4,)</f>
        <v>01North Puget Sound</v>
      </c>
      <c r="O3153" s="110">
        <v>31</v>
      </c>
      <c r="P3153" s="110">
        <v>575.04999999999995</v>
      </c>
      <c r="Q3153" s="110">
        <f>SUMIFS('FW_Steelhead_by_Month_2010-2021'!Q$2:Q$3810,'FW_Steelhead_by_Month_2010-2021'!$B$2:$B$3810,'Rec_raw_catch_effort_2010-2021'!$B3153,'FW_Steelhead_by_Month_2010-2021'!$H$2:$H$3810,'Rec_raw_catch_effort_2010-2021'!$F3153,'FW_Steelhead_by_Month_2010-2021'!$M$2:$M$3810,'Rec_raw_catch_effort_2010-2021'!$K3153)</f>
        <v>21</v>
      </c>
      <c r="R3153" s="111">
        <f>VLOOKUP(B3153,Readme!$A$62:$C$74,3,)*Q3153</f>
        <v>439.47198382246518</v>
      </c>
      <c r="S3153" s="140" t="str">
        <f t="shared" si="241"/>
        <v>Y</v>
      </c>
      <c r="T3153" s="154">
        <f t="shared" si="242"/>
        <v>18.549999999999997</v>
      </c>
      <c r="U3153" s="154">
        <f t="shared" si="243"/>
        <v>20.927237324879293</v>
      </c>
    </row>
    <row r="3154" spans="1:21" x14ac:dyDescent="0.35">
      <c r="A3154" s="110">
        <v>3014</v>
      </c>
      <c r="B3154" s="110">
        <v>2012</v>
      </c>
      <c r="C3154" s="110" t="s">
        <v>38</v>
      </c>
      <c r="D3154" s="110" t="s">
        <v>143</v>
      </c>
      <c r="E3154" s="110" t="s">
        <v>86</v>
      </c>
      <c r="F3154" s="117">
        <v>794</v>
      </c>
      <c r="G3154" s="110" t="s">
        <v>83</v>
      </c>
      <c r="H3154" s="110" t="str">
        <f t="shared" si="240"/>
        <v>Nooksack River, below North Fork</v>
      </c>
      <c r="I3154" s="110" t="str">
        <f>IFERROR(VLOOKUP(H3154,LUTs!$A$1:$C$73,2,FALSE),"NA")</f>
        <v>Whatcom</v>
      </c>
      <c r="J3154" s="110" t="str">
        <f>IFERROR(VLOOKUP(H3154,LUTs!$A$1:$C$73,3,FALSE),"NA")</f>
        <v>1North Puget Sound</v>
      </c>
      <c r="K3154" s="110" t="s">
        <v>15</v>
      </c>
      <c r="L3154" s="110" t="str">
        <f>VLOOKUP(K3154,LUTs!E$2:G$14,3,)</f>
        <v>02Skagit</v>
      </c>
      <c r="M3154" s="110" t="str">
        <f>VLOOKUP($K3154,LUTs!$E$2:$H$14,2,)</f>
        <v>North Puget Sound</v>
      </c>
      <c r="N3154" s="110" t="str">
        <f>VLOOKUP($K3154,LUTs!$E$2:$H$14,4,)</f>
        <v>01North Puget Sound</v>
      </c>
      <c r="O3154" s="110">
        <v>3.2</v>
      </c>
      <c r="P3154" s="110">
        <v>27.327999999999999</v>
      </c>
      <c r="Q3154" s="110">
        <f>SUMIFS('FW_Steelhead_by_Month_2010-2021'!Q$2:Q$3810,'FW_Steelhead_by_Month_2010-2021'!$B$2:$B$3810,'Rec_raw_catch_effort_2010-2021'!$B3154,'FW_Steelhead_by_Month_2010-2021'!$H$2:$H$3810,'Rec_raw_catch_effort_2010-2021'!$F3154,'FW_Steelhead_by_Month_2010-2021'!$M$2:$M$3810,'Rec_raw_catch_effort_2010-2021'!$K3154)</f>
        <v>0</v>
      </c>
      <c r="R3154" s="111">
        <f>VLOOKUP(B3154,Readme!$A$62:$C$74,3,)*Q3154</f>
        <v>0</v>
      </c>
      <c r="S3154" s="140" t="str">
        <f t="shared" si="241"/>
        <v>Y</v>
      </c>
      <c r="T3154" s="154">
        <f t="shared" si="242"/>
        <v>8.5399999999999991</v>
      </c>
      <c r="U3154" s="154" t="str">
        <f t="shared" si="243"/>
        <v>NA</v>
      </c>
    </row>
    <row r="3155" spans="1:21" x14ac:dyDescent="0.35">
      <c r="A3155" s="110">
        <v>3013</v>
      </c>
      <c r="B3155" s="110">
        <v>2012</v>
      </c>
      <c r="C3155" s="110" t="s">
        <v>38</v>
      </c>
      <c r="D3155" s="110" t="s">
        <v>143</v>
      </c>
      <c r="E3155" s="110" t="s">
        <v>86</v>
      </c>
      <c r="F3155" s="117">
        <v>794</v>
      </c>
      <c r="G3155" s="110" t="s">
        <v>83</v>
      </c>
      <c r="H3155" s="110" t="str">
        <f t="shared" si="240"/>
        <v>Nooksack River, below North Fork</v>
      </c>
      <c r="I3155" s="110" t="str">
        <f>IFERROR(VLOOKUP(H3155,LUTs!$A$1:$C$73,2,FALSE),"NA")</f>
        <v>Whatcom</v>
      </c>
      <c r="J3155" s="110" t="str">
        <f>IFERROR(VLOOKUP(H3155,LUTs!$A$1:$C$73,3,FALSE),"NA")</f>
        <v>1North Puget Sound</v>
      </c>
      <c r="K3155" s="110" t="s">
        <v>13</v>
      </c>
      <c r="L3155" s="110" t="str">
        <f>VLOOKUP(K3155,LUTs!E$2:G$14,3,)</f>
        <v>01Whatcom</v>
      </c>
      <c r="M3155" s="110" t="str">
        <f>VLOOKUP($K3155,LUTs!$E$2:$H$14,2,)</f>
        <v>North Puget Sound</v>
      </c>
      <c r="N3155" s="110" t="str">
        <f>VLOOKUP($K3155,LUTs!$E$2:$H$14,4,)</f>
        <v>01North Puget Sound</v>
      </c>
      <c r="O3155" s="110">
        <v>28.8</v>
      </c>
      <c r="P3155" s="110">
        <v>245.952</v>
      </c>
      <c r="Q3155" s="110">
        <f>SUMIFS('FW_Steelhead_by_Month_2010-2021'!Q$2:Q$3810,'FW_Steelhead_by_Month_2010-2021'!$B$2:$B$3810,'Rec_raw_catch_effort_2010-2021'!$B3155,'FW_Steelhead_by_Month_2010-2021'!$H$2:$H$3810,'Rec_raw_catch_effort_2010-2021'!$F3155,'FW_Steelhead_by_Month_2010-2021'!$M$2:$M$3810,'Rec_raw_catch_effort_2010-2021'!$K3155)</f>
        <v>32</v>
      </c>
      <c r="R3155" s="111">
        <f>VLOOKUP(B3155,Readme!$A$62:$C$74,3,)*Q3155</f>
        <v>669.67159439613738</v>
      </c>
      <c r="S3155" s="140" t="str">
        <f t="shared" si="241"/>
        <v>Y</v>
      </c>
      <c r="T3155" s="154">
        <f t="shared" si="242"/>
        <v>8.5399999999999991</v>
      </c>
      <c r="U3155" s="154">
        <f t="shared" si="243"/>
        <v>20.927237324879293</v>
      </c>
    </row>
    <row r="3156" spans="1:21" x14ac:dyDescent="0.35">
      <c r="A3156" s="110">
        <v>3016</v>
      </c>
      <c r="B3156" s="110">
        <v>2013</v>
      </c>
      <c r="C3156" s="110" t="s">
        <v>38</v>
      </c>
      <c r="D3156" s="110" t="s">
        <v>143</v>
      </c>
      <c r="E3156" s="110" t="s">
        <v>86</v>
      </c>
      <c r="F3156" s="117">
        <v>794</v>
      </c>
      <c r="G3156" s="110" t="s">
        <v>83</v>
      </c>
      <c r="H3156" s="110" t="str">
        <f t="shared" si="240"/>
        <v>Nooksack River, below North Fork</v>
      </c>
      <c r="I3156" s="110" t="str">
        <f>IFERROR(VLOOKUP(H3156,LUTs!$A$1:$C$73,2,FALSE),"NA")</f>
        <v>Whatcom</v>
      </c>
      <c r="J3156" s="110" t="str">
        <f>IFERROR(VLOOKUP(H3156,LUTs!$A$1:$C$73,3,FALSE),"NA")</f>
        <v>1North Puget Sound</v>
      </c>
      <c r="K3156" s="110" t="s">
        <v>13</v>
      </c>
      <c r="L3156" s="110" t="str">
        <f>VLOOKUP(K3156,LUTs!E$2:G$14,3,)</f>
        <v>01Whatcom</v>
      </c>
      <c r="M3156" s="110" t="str">
        <f>VLOOKUP($K3156,LUTs!$E$2:$H$14,2,)</f>
        <v>North Puget Sound</v>
      </c>
      <c r="N3156" s="110" t="str">
        <f>VLOOKUP($K3156,LUTs!$E$2:$H$14,4,)</f>
        <v>01North Puget Sound</v>
      </c>
      <c r="O3156" s="110">
        <v>21</v>
      </c>
      <c r="P3156" s="110">
        <v>389.55</v>
      </c>
      <c r="Q3156" s="110">
        <f>SUMIFS('FW_Steelhead_by_Month_2010-2021'!Q$2:Q$3810,'FW_Steelhead_by_Month_2010-2021'!$B$2:$B$3810,'Rec_raw_catch_effort_2010-2021'!$B3156,'FW_Steelhead_by_Month_2010-2021'!$H$2:$H$3810,'Rec_raw_catch_effort_2010-2021'!$F3156,'FW_Steelhead_by_Month_2010-2021'!$M$2:$M$3810,'Rec_raw_catch_effort_2010-2021'!$K3156)</f>
        <v>15.8</v>
      </c>
      <c r="R3156" s="111">
        <f>VLOOKUP(B3156,Readme!$A$62:$C$74,3,)*Q3156</f>
        <v>330.65034973309287</v>
      </c>
      <c r="S3156" s="140" t="str">
        <f t="shared" si="241"/>
        <v>Y</v>
      </c>
      <c r="T3156" s="154">
        <f t="shared" si="242"/>
        <v>18.55</v>
      </c>
      <c r="U3156" s="154">
        <f t="shared" si="243"/>
        <v>20.927237324879293</v>
      </c>
    </row>
    <row r="3157" spans="1:21" x14ac:dyDescent="0.35">
      <c r="A3157" s="110">
        <v>3088</v>
      </c>
      <c r="B3157" s="110">
        <v>2014</v>
      </c>
      <c r="C3157" s="110" t="s">
        <v>38</v>
      </c>
      <c r="D3157" s="110" t="s">
        <v>143</v>
      </c>
      <c r="E3157" s="110" t="s">
        <v>86</v>
      </c>
      <c r="F3157" s="117">
        <v>794</v>
      </c>
      <c r="G3157" s="110" t="s">
        <v>83</v>
      </c>
      <c r="H3157" s="110" t="str">
        <f t="shared" si="240"/>
        <v>Nooksack River, below North Fork</v>
      </c>
      <c r="I3157" s="110" t="str">
        <f>IFERROR(VLOOKUP(H3157,LUTs!$A$1:$C$73,2,FALSE),"NA")</f>
        <v>Whatcom</v>
      </c>
      <c r="J3157" s="110" t="str">
        <f>IFERROR(VLOOKUP(H3157,LUTs!$A$1:$C$73,3,FALSE),"NA")</f>
        <v>1North Puget Sound</v>
      </c>
      <c r="K3157" s="110" t="s">
        <v>13</v>
      </c>
      <c r="L3157" s="110" t="str">
        <f>VLOOKUP(K3157,LUTs!E$2:G$14,3,)</f>
        <v>01Whatcom</v>
      </c>
      <c r="M3157" s="110" t="str">
        <f>VLOOKUP($K3157,LUTs!$E$2:$H$14,2,)</f>
        <v>North Puget Sound</v>
      </c>
      <c r="N3157" s="110" t="str">
        <f>VLOOKUP($K3157,LUTs!$E$2:$H$14,4,)</f>
        <v>01North Puget Sound</v>
      </c>
      <c r="O3157" s="110">
        <v>43</v>
      </c>
      <c r="P3157" s="110">
        <v>367.22</v>
      </c>
      <c r="Q3157" s="110">
        <f>SUMIFS('FW_Steelhead_by_Month_2010-2021'!Q$2:Q$3810,'FW_Steelhead_by_Month_2010-2021'!$B$2:$B$3810,'Rec_raw_catch_effort_2010-2021'!$B3157,'FW_Steelhead_by_Month_2010-2021'!$H$2:$H$3810,'Rec_raw_catch_effort_2010-2021'!$F3157,'FW_Steelhead_by_Month_2010-2021'!$M$2:$M$3810,'Rec_raw_catch_effort_2010-2021'!$K3157)</f>
        <v>27</v>
      </c>
      <c r="R3157" s="111">
        <f>VLOOKUP(B3157,Readme!$A$62:$C$74,3,)*Q3157</f>
        <v>565.03540777174089</v>
      </c>
      <c r="S3157" s="140" t="str">
        <f t="shared" si="241"/>
        <v>Y</v>
      </c>
      <c r="T3157" s="154">
        <f t="shared" si="242"/>
        <v>8.5400000000000009</v>
      </c>
      <c r="U3157" s="154">
        <f t="shared" si="243"/>
        <v>20.927237324879293</v>
      </c>
    </row>
    <row r="3158" spans="1:21" x14ac:dyDescent="0.35">
      <c r="A3158" s="110">
        <v>3091</v>
      </c>
      <c r="B3158" s="110">
        <v>2015</v>
      </c>
      <c r="C3158" s="110" t="s">
        <v>38</v>
      </c>
      <c r="D3158" s="110" t="s">
        <v>143</v>
      </c>
      <c r="E3158" s="110" t="s">
        <v>86</v>
      </c>
      <c r="F3158" s="117">
        <v>794</v>
      </c>
      <c r="G3158" s="110" t="s">
        <v>83</v>
      </c>
      <c r="H3158" s="110" t="str">
        <f t="shared" si="240"/>
        <v>Nooksack River, below North Fork</v>
      </c>
      <c r="I3158" s="110" t="str">
        <f>IFERROR(VLOOKUP(H3158,LUTs!$A$1:$C$73,2,FALSE),"NA")</f>
        <v>Whatcom</v>
      </c>
      <c r="J3158" s="110" t="str">
        <f>IFERROR(VLOOKUP(H3158,LUTs!$A$1:$C$73,3,FALSE),"NA")</f>
        <v>1North Puget Sound</v>
      </c>
      <c r="K3158" s="110" t="s">
        <v>13</v>
      </c>
      <c r="L3158" s="110" t="str">
        <f>VLOOKUP(K3158,LUTs!E$2:G$14,3,)</f>
        <v>01Whatcom</v>
      </c>
      <c r="M3158" s="110" t="str">
        <f>VLOOKUP($K3158,LUTs!$E$2:$H$14,2,)</f>
        <v>North Puget Sound</v>
      </c>
      <c r="N3158" s="110" t="str">
        <f>VLOOKUP($K3158,LUTs!$E$2:$H$14,4,)</f>
        <v>01North Puget Sound</v>
      </c>
      <c r="O3158" s="110">
        <v>10</v>
      </c>
      <c r="P3158" s="110">
        <v>185.5</v>
      </c>
      <c r="Q3158" s="110">
        <f>SUMIFS('FW_Steelhead_by_Month_2010-2021'!Q$2:Q$3810,'FW_Steelhead_by_Month_2010-2021'!$B$2:$B$3810,'Rec_raw_catch_effort_2010-2021'!$B3158,'FW_Steelhead_by_Month_2010-2021'!$H$2:$H$3810,'Rec_raw_catch_effort_2010-2021'!$F3158,'FW_Steelhead_by_Month_2010-2021'!$M$2:$M$3810,'Rec_raw_catch_effort_2010-2021'!$K3158)</f>
        <v>40</v>
      </c>
      <c r="R3158" s="111">
        <f>VLOOKUP(B3158,Readme!$A$62:$C$74,3,)*Q3158</f>
        <v>837.08949299517167</v>
      </c>
      <c r="S3158" s="140" t="str">
        <f t="shared" si="241"/>
        <v>Y</v>
      </c>
      <c r="T3158" s="154">
        <f t="shared" si="242"/>
        <v>18.55</v>
      </c>
      <c r="U3158" s="154">
        <f t="shared" si="243"/>
        <v>20.927237324879293</v>
      </c>
    </row>
    <row r="3159" spans="1:21" x14ac:dyDescent="0.35">
      <c r="A3159" s="110">
        <v>3094</v>
      </c>
      <c r="B3159" s="110">
        <v>2017</v>
      </c>
      <c r="C3159" s="110" t="s">
        <v>38</v>
      </c>
      <c r="D3159" s="110" t="s">
        <v>143</v>
      </c>
      <c r="E3159" s="110" t="s">
        <v>86</v>
      </c>
      <c r="F3159" s="117">
        <v>794</v>
      </c>
      <c r="G3159" s="110" t="s">
        <v>83</v>
      </c>
      <c r="H3159" s="110" t="str">
        <f t="shared" si="240"/>
        <v>Nooksack River, below North Fork</v>
      </c>
      <c r="I3159" s="110" t="str">
        <f>IFERROR(VLOOKUP(H3159,LUTs!$A$1:$C$73,2,FALSE),"NA")</f>
        <v>Whatcom</v>
      </c>
      <c r="J3159" s="110" t="str">
        <f>IFERROR(VLOOKUP(H3159,LUTs!$A$1:$C$73,3,FALSE),"NA")</f>
        <v>1North Puget Sound</v>
      </c>
      <c r="K3159" s="110" t="s">
        <v>18</v>
      </c>
      <c r="L3159" s="110" t="str">
        <f>VLOOKUP(K3159,LUTs!E$2:G$14,3,)</f>
        <v>06King</v>
      </c>
      <c r="M3159" s="110" t="str">
        <f>VLOOKUP($K3159,LUTs!$E$2:$H$14,2,)</f>
        <v>South Puget Sound</v>
      </c>
      <c r="N3159" s="110" t="str">
        <f>VLOOKUP($K3159,LUTs!$E$2:$H$14,4,)</f>
        <v>02South Puget Sound</v>
      </c>
      <c r="O3159" s="110">
        <v>10.8571428571429</v>
      </c>
      <c r="P3159" s="110">
        <v>201.400000000001</v>
      </c>
      <c r="Q3159" s="110">
        <f>SUMIFS('FW_Steelhead_by_Month_2010-2021'!Q$2:Q$3810,'FW_Steelhead_by_Month_2010-2021'!$B$2:$B$3810,'Rec_raw_catch_effort_2010-2021'!$B3159,'FW_Steelhead_by_Month_2010-2021'!$H$2:$H$3810,'Rec_raw_catch_effort_2010-2021'!$F3159,'FW_Steelhead_by_Month_2010-2021'!$M$2:$M$3810,'Rec_raw_catch_effort_2010-2021'!$K3159)</f>
        <v>0</v>
      </c>
      <c r="R3159" s="111">
        <f>VLOOKUP(B3159,Readme!$A$62:$C$74,3,)*Q3159</f>
        <v>0</v>
      </c>
      <c r="S3159" s="140" t="str">
        <f t="shared" si="241"/>
        <v>Y</v>
      </c>
      <c r="T3159" s="154">
        <f t="shared" si="242"/>
        <v>18.550000000000018</v>
      </c>
      <c r="U3159" s="154" t="str">
        <f t="shared" si="243"/>
        <v>NA</v>
      </c>
    </row>
    <row r="3160" spans="1:21" x14ac:dyDescent="0.35">
      <c r="A3160" s="110">
        <v>3093</v>
      </c>
      <c r="B3160" s="110">
        <v>2017</v>
      </c>
      <c r="C3160" s="110" t="s">
        <v>38</v>
      </c>
      <c r="D3160" s="110" t="s">
        <v>143</v>
      </c>
      <c r="E3160" s="110" t="s">
        <v>86</v>
      </c>
      <c r="F3160" s="117">
        <v>794</v>
      </c>
      <c r="G3160" s="110" t="s">
        <v>83</v>
      </c>
      <c r="H3160" s="110" t="str">
        <f t="shared" si="240"/>
        <v>Nooksack River, below North Fork</v>
      </c>
      <c r="I3160" s="110" t="str">
        <f>IFERROR(VLOOKUP(H3160,LUTs!$A$1:$C$73,2,FALSE),"NA")</f>
        <v>Whatcom</v>
      </c>
      <c r="J3160" s="110" t="str">
        <f>IFERROR(VLOOKUP(H3160,LUTs!$A$1:$C$73,3,FALSE),"NA")</f>
        <v>1North Puget Sound</v>
      </c>
      <c r="K3160" s="110" t="s">
        <v>13</v>
      </c>
      <c r="L3160" s="110" t="str">
        <f>VLOOKUP(K3160,LUTs!E$2:G$14,3,)</f>
        <v>01Whatcom</v>
      </c>
      <c r="M3160" s="110" t="str">
        <f>VLOOKUP($K3160,LUTs!$E$2:$H$14,2,)</f>
        <v>North Puget Sound</v>
      </c>
      <c r="N3160" s="110" t="str">
        <f>VLOOKUP($K3160,LUTs!$E$2:$H$14,4,)</f>
        <v>01North Puget Sound</v>
      </c>
      <c r="O3160" s="110">
        <v>65.142857142857196</v>
      </c>
      <c r="P3160" s="110">
        <v>1208.4000000000001</v>
      </c>
      <c r="Q3160" s="110">
        <f>SUMIFS('FW_Steelhead_by_Month_2010-2021'!Q$2:Q$3810,'FW_Steelhead_by_Month_2010-2021'!$B$2:$B$3810,'Rec_raw_catch_effort_2010-2021'!$B3160,'FW_Steelhead_by_Month_2010-2021'!$H$2:$H$3810,'Rec_raw_catch_effort_2010-2021'!$F3160,'FW_Steelhead_by_Month_2010-2021'!$M$2:$M$3810,'Rec_raw_catch_effort_2010-2021'!$K3160)</f>
        <v>27</v>
      </c>
      <c r="R3160" s="111">
        <f>VLOOKUP(B3160,Readme!$A$62:$C$74,3,)*Q3160</f>
        <v>565.03540777174089</v>
      </c>
      <c r="S3160" s="140" t="str">
        <f t="shared" si="241"/>
        <v>Y</v>
      </c>
      <c r="T3160" s="154">
        <f t="shared" si="242"/>
        <v>18.549999999999986</v>
      </c>
      <c r="U3160" s="154">
        <f t="shared" si="243"/>
        <v>20.927237324879293</v>
      </c>
    </row>
    <row r="3161" spans="1:21" x14ac:dyDescent="0.35">
      <c r="A3161" s="110">
        <v>3098</v>
      </c>
      <c r="B3161" s="110">
        <v>2018</v>
      </c>
      <c r="C3161" s="110" t="s">
        <v>38</v>
      </c>
      <c r="D3161" s="110" t="s">
        <v>143</v>
      </c>
      <c r="E3161" s="110" t="s">
        <v>86</v>
      </c>
      <c r="F3161" s="117">
        <v>794</v>
      </c>
      <c r="G3161" s="110" t="s">
        <v>83</v>
      </c>
      <c r="H3161" s="110" t="str">
        <f t="shared" si="240"/>
        <v>Nooksack River, below North Fork</v>
      </c>
      <c r="I3161" s="110" t="str">
        <f>IFERROR(VLOOKUP(H3161,LUTs!$A$1:$C$73,2,FALSE),"NA")</f>
        <v>Whatcom</v>
      </c>
      <c r="J3161" s="110" t="str">
        <f>IFERROR(VLOOKUP(H3161,LUTs!$A$1:$C$73,3,FALSE),"NA")</f>
        <v>1North Puget Sound</v>
      </c>
      <c r="K3161" s="110" t="s">
        <v>18</v>
      </c>
      <c r="L3161" s="110" t="str">
        <f>VLOOKUP(K3161,LUTs!E$2:G$14,3,)</f>
        <v>06King</v>
      </c>
      <c r="M3161" s="110" t="str">
        <f>VLOOKUP($K3161,LUTs!$E$2:$H$14,2,)</f>
        <v>South Puget Sound</v>
      </c>
      <c r="N3161" s="110" t="str">
        <f>VLOOKUP($K3161,LUTs!$E$2:$H$14,4,)</f>
        <v>02South Puget Sound</v>
      </c>
      <c r="O3161" s="110">
        <v>0</v>
      </c>
      <c r="P3161" s="110">
        <v>0</v>
      </c>
      <c r="Q3161" s="110">
        <f>SUMIFS('FW_Steelhead_by_Month_2010-2021'!Q$2:Q$3810,'FW_Steelhead_by_Month_2010-2021'!$B$2:$B$3810,'Rec_raw_catch_effort_2010-2021'!$B3161,'FW_Steelhead_by_Month_2010-2021'!$H$2:$H$3810,'Rec_raw_catch_effort_2010-2021'!$F3161,'FW_Steelhead_by_Month_2010-2021'!$M$2:$M$3810,'Rec_raw_catch_effort_2010-2021'!$K3161)</f>
        <v>5.5</v>
      </c>
      <c r="R3161" s="111">
        <f>VLOOKUP(B3161,Readme!$A$62:$C$74,3,)*Q3161</f>
        <v>115.09980528683612</v>
      </c>
      <c r="S3161" s="140" t="str">
        <f t="shared" si="241"/>
        <v>Y</v>
      </c>
      <c r="T3161" s="154" t="str">
        <f t="shared" si="242"/>
        <v>NA</v>
      </c>
      <c r="U3161" s="154">
        <f t="shared" si="243"/>
        <v>20.927237324879293</v>
      </c>
    </row>
    <row r="3162" spans="1:21" x14ac:dyDescent="0.35">
      <c r="A3162" s="110">
        <v>3097</v>
      </c>
      <c r="B3162" s="110">
        <v>2018</v>
      </c>
      <c r="C3162" s="110" t="s">
        <v>38</v>
      </c>
      <c r="D3162" s="110" t="s">
        <v>143</v>
      </c>
      <c r="E3162" s="110" t="s">
        <v>86</v>
      </c>
      <c r="F3162" s="117">
        <v>794</v>
      </c>
      <c r="G3162" s="110" t="s">
        <v>83</v>
      </c>
      <c r="H3162" s="110" t="str">
        <f t="shared" si="240"/>
        <v>Nooksack River, below North Fork</v>
      </c>
      <c r="I3162" s="110" t="str">
        <f>IFERROR(VLOOKUP(H3162,LUTs!$A$1:$C$73,2,FALSE),"NA")</f>
        <v>Whatcom</v>
      </c>
      <c r="J3162" s="110" t="str">
        <f>IFERROR(VLOOKUP(H3162,LUTs!$A$1:$C$73,3,FALSE),"NA")</f>
        <v>1North Puget Sound</v>
      </c>
      <c r="K3162" s="110" t="s">
        <v>13</v>
      </c>
      <c r="L3162" s="110" t="str">
        <f>VLOOKUP(K3162,LUTs!E$2:G$14,3,)</f>
        <v>01Whatcom</v>
      </c>
      <c r="M3162" s="110" t="str">
        <f>VLOOKUP($K3162,LUTs!$E$2:$H$14,2,)</f>
        <v>North Puget Sound</v>
      </c>
      <c r="N3162" s="110" t="str">
        <f>VLOOKUP($K3162,LUTs!$E$2:$H$14,4,)</f>
        <v>01North Puget Sound</v>
      </c>
      <c r="O3162" s="110">
        <v>54</v>
      </c>
      <c r="P3162" s="110">
        <v>461.16</v>
      </c>
      <c r="Q3162" s="110">
        <f>SUMIFS('FW_Steelhead_by_Month_2010-2021'!Q$2:Q$3810,'FW_Steelhead_by_Month_2010-2021'!$B$2:$B$3810,'Rec_raw_catch_effort_2010-2021'!$B3162,'FW_Steelhead_by_Month_2010-2021'!$H$2:$H$3810,'Rec_raw_catch_effort_2010-2021'!$F3162,'FW_Steelhead_by_Month_2010-2021'!$M$2:$M$3810,'Rec_raw_catch_effort_2010-2021'!$K3162)</f>
        <v>12.5</v>
      </c>
      <c r="R3162" s="111">
        <f>VLOOKUP(B3162,Readme!$A$62:$C$74,3,)*Q3162</f>
        <v>261.59046656099116</v>
      </c>
      <c r="S3162" s="140" t="str">
        <f t="shared" si="241"/>
        <v>Y</v>
      </c>
      <c r="T3162" s="154">
        <f t="shared" si="242"/>
        <v>8.5400000000000009</v>
      </c>
      <c r="U3162" s="154">
        <f t="shared" si="243"/>
        <v>20.927237324879293</v>
      </c>
    </row>
    <row r="3163" spans="1:21" x14ac:dyDescent="0.35">
      <c r="A3163" s="110">
        <v>3100</v>
      </c>
      <c r="B3163" s="110">
        <v>2020</v>
      </c>
      <c r="C3163" s="110" t="s">
        <v>38</v>
      </c>
      <c r="D3163" s="110" t="s">
        <v>143</v>
      </c>
      <c r="E3163" s="110" t="s">
        <v>86</v>
      </c>
      <c r="F3163" s="117">
        <v>794</v>
      </c>
      <c r="G3163" s="110" t="s">
        <v>83</v>
      </c>
      <c r="H3163" s="110" t="str">
        <f t="shared" si="240"/>
        <v>Nooksack River, below North Fork</v>
      </c>
      <c r="I3163" s="110" t="str">
        <f>IFERROR(VLOOKUP(H3163,LUTs!$A$1:$C$73,2,FALSE),"NA")</f>
        <v>Whatcom</v>
      </c>
      <c r="J3163" s="110" t="str">
        <f>IFERROR(VLOOKUP(H3163,LUTs!$A$1:$C$73,3,FALSE),"NA")</f>
        <v>1North Puget Sound</v>
      </c>
      <c r="K3163" s="110" t="s">
        <v>18</v>
      </c>
      <c r="L3163" s="110" t="str">
        <f>VLOOKUP(K3163,LUTs!E$2:G$14,3,)</f>
        <v>06King</v>
      </c>
      <c r="M3163" s="110" t="str">
        <f>VLOOKUP($K3163,LUTs!$E$2:$H$14,2,)</f>
        <v>South Puget Sound</v>
      </c>
      <c r="N3163" s="110" t="str">
        <f>VLOOKUP($K3163,LUTs!$E$2:$H$14,4,)</f>
        <v>02South Puget Sound</v>
      </c>
      <c r="O3163" s="110">
        <v>12</v>
      </c>
      <c r="P3163" s="110">
        <v>102.48</v>
      </c>
      <c r="Q3163" s="110">
        <f>SUMIFS('FW_Steelhead_by_Month_2010-2021'!Q$2:Q$3810,'FW_Steelhead_by_Month_2010-2021'!$B$2:$B$3810,'Rec_raw_catch_effort_2010-2021'!$B3163,'FW_Steelhead_by_Month_2010-2021'!$H$2:$H$3810,'Rec_raw_catch_effort_2010-2021'!$F3163,'FW_Steelhead_by_Month_2010-2021'!$M$2:$M$3810,'Rec_raw_catch_effort_2010-2021'!$K3163)</f>
        <v>0</v>
      </c>
      <c r="R3163" s="111">
        <f>VLOOKUP(B3163,Readme!$A$62:$C$74,3,)*Q3163</f>
        <v>0</v>
      </c>
      <c r="S3163" s="140" t="str">
        <f t="shared" si="241"/>
        <v>N</v>
      </c>
      <c r="T3163" s="154">
        <f t="shared" si="242"/>
        <v>8.5400000000000009</v>
      </c>
      <c r="U3163" s="154" t="str">
        <f t="shared" si="243"/>
        <v>NA</v>
      </c>
    </row>
    <row r="3164" spans="1:21" x14ac:dyDescent="0.35">
      <c r="A3164" s="110">
        <v>984</v>
      </c>
      <c r="B3164" s="110">
        <v>2010</v>
      </c>
      <c r="C3164" s="110" t="s">
        <v>38</v>
      </c>
      <c r="D3164" s="110" t="s">
        <v>143</v>
      </c>
      <c r="E3164" s="110" t="s">
        <v>86</v>
      </c>
      <c r="F3164" s="117">
        <v>802</v>
      </c>
      <c r="G3164" s="110" t="s">
        <v>53</v>
      </c>
      <c r="H3164" s="110" t="str">
        <f t="shared" si="240"/>
        <v>Carbon River</v>
      </c>
      <c r="I3164" s="110" t="str">
        <f>IFERROR(VLOOKUP(H3164,LUTs!$A$1:$C$73,2,FALSE),"NA")</f>
        <v>Pierce</v>
      </c>
      <c r="J3164" s="110" t="str">
        <f>IFERROR(VLOOKUP(H3164,LUTs!$A$1:$C$73,3,FALSE),"NA")</f>
        <v>3South Puget Sound</v>
      </c>
      <c r="K3164" s="110" t="s">
        <v>26</v>
      </c>
      <c r="L3164" s="110" t="str">
        <f>VLOOKUP(K3164,LUTs!E$2:G$14,3,)</f>
        <v>20Other</v>
      </c>
      <c r="M3164" s="110" t="str">
        <f>VLOOKUP($K3164,LUTs!$E$2:$H$14,2,)</f>
        <v>Non Puget Sound</v>
      </c>
      <c r="N3164" s="110" t="str">
        <f>VLOOKUP($K3164,LUTs!$E$2:$H$14,4,)</f>
        <v>07Non Puget Sound</v>
      </c>
      <c r="O3164" s="110">
        <v>2.3333333333333299</v>
      </c>
      <c r="P3164" s="110">
        <v>19.926666666666598</v>
      </c>
      <c r="Q3164" s="110">
        <f>SUMIFS('FW_Steelhead_by_Month_2010-2021'!Q$2:Q$3810,'FW_Steelhead_by_Month_2010-2021'!$B$2:$B$3810,'Rec_raw_catch_effort_2010-2021'!$B3164,'FW_Steelhead_by_Month_2010-2021'!$H$2:$H$3810,'Rec_raw_catch_effort_2010-2021'!$F3164,'FW_Steelhead_by_Month_2010-2021'!$M$2:$M$3810,'Rec_raw_catch_effort_2010-2021'!$K3164)</f>
        <v>2.3333333333333299</v>
      </c>
      <c r="R3164" s="111">
        <f>VLOOKUP(B3164,Readme!$A$62:$C$74,3,)*Q3164</f>
        <v>48.830220424718277</v>
      </c>
      <c r="S3164" s="140" t="str">
        <f t="shared" si="241"/>
        <v>Y</v>
      </c>
      <c r="T3164" s="154">
        <f t="shared" si="242"/>
        <v>8.5399999999999832</v>
      </c>
      <c r="U3164" s="154">
        <f t="shared" si="243"/>
        <v>20.927237324879293</v>
      </c>
    </row>
    <row r="3165" spans="1:21" x14ac:dyDescent="0.35">
      <c r="A3165" s="110">
        <v>983</v>
      </c>
      <c r="B3165" s="110">
        <v>2010</v>
      </c>
      <c r="C3165" s="110" t="s">
        <v>38</v>
      </c>
      <c r="D3165" s="110" t="s">
        <v>143</v>
      </c>
      <c r="E3165" s="110" t="s">
        <v>86</v>
      </c>
      <c r="F3165" s="117">
        <v>802</v>
      </c>
      <c r="G3165" s="110" t="s">
        <v>53</v>
      </c>
      <c r="H3165" s="110" t="str">
        <f t="shared" si="240"/>
        <v>Carbon River</v>
      </c>
      <c r="I3165" s="110" t="str">
        <f>IFERROR(VLOOKUP(H3165,LUTs!$A$1:$C$73,2,FALSE),"NA")</f>
        <v>Pierce</v>
      </c>
      <c r="J3165" s="110" t="str">
        <f>IFERROR(VLOOKUP(H3165,LUTs!$A$1:$C$73,3,FALSE),"NA")</f>
        <v>3South Puget Sound</v>
      </c>
      <c r="K3165" s="110" t="s">
        <v>20</v>
      </c>
      <c r="L3165" s="110" t="str">
        <f>VLOOKUP(K3165,LUTs!E$2:G$14,3,)</f>
        <v>07Pierce</v>
      </c>
      <c r="M3165" s="110" t="str">
        <f>VLOOKUP($K3165,LUTs!$E$2:$H$14,2,)</f>
        <v>South Puget Sound</v>
      </c>
      <c r="N3165" s="110" t="str">
        <f>VLOOKUP($K3165,LUTs!$E$2:$H$14,4,)</f>
        <v>02South Puget Sound</v>
      </c>
      <c r="O3165" s="110">
        <v>4.6666666666666696</v>
      </c>
      <c r="P3165" s="110">
        <v>39.853333333333403</v>
      </c>
      <c r="Q3165" s="110">
        <f>SUMIFS('FW_Steelhead_by_Month_2010-2021'!Q$2:Q$3810,'FW_Steelhead_by_Month_2010-2021'!$B$2:$B$3810,'Rec_raw_catch_effort_2010-2021'!$B3165,'FW_Steelhead_by_Month_2010-2021'!$H$2:$H$3810,'Rec_raw_catch_effort_2010-2021'!$F3165,'FW_Steelhead_by_Month_2010-2021'!$M$2:$M$3810,'Rec_raw_catch_effort_2010-2021'!$K3165)</f>
        <v>4.6666666666666696</v>
      </c>
      <c r="R3165" s="111">
        <f>VLOOKUP(B3165,Readme!$A$62:$C$74,3,)*Q3165</f>
        <v>97.660440849436768</v>
      </c>
      <c r="S3165" s="140" t="str">
        <f t="shared" si="241"/>
        <v>Y</v>
      </c>
      <c r="T3165" s="154">
        <f t="shared" si="242"/>
        <v>8.5400000000000098</v>
      </c>
      <c r="U3165" s="154">
        <f t="shared" si="243"/>
        <v>20.927237324879293</v>
      </c>
    </row>
    <row r="3166" spans="1:21" x14ac:dyDescent="0.35">
      <c r="A3166" s="110">
        <v>985</v>
      </c>
      <c r="B3166" s="110">
        <v>2010</v>
      </c>
      <c r="C3166" s="110" t="s">
        <v>38</v>
      </c>
      <c r="D3166" s="110" t="s">
        <v>143</v>
      </c>
      <c r="E3166" s="110" t="s">
        <v>86</v>
      </c>
      <c r="F3166" s="117">
        <v>804</v>
      </c>
      <c r="G3166" s="110" t="s">
        <v>54</v>
      </c>
      <c r="H3166" s="110" t="str">
        <f t="shared" si="240"/>
        <v>Puyallup River</v>
      </c>
      <c r="I3166" s="110" t="str">
        <f>IFERROR(VLOOKUP(H3166,LUTs!$A$1:$C$73,2,FALSE),"NA")</f>
        <v>Pierce</v>
      </c>
      <c r="J3166" s="110" t="str">
        <f>IFERROR(VLOOKUP(H3166,LUTs!$A$1:$C$73,3,FALSE),"NA")</f>
        <v>3South Puget Sound</v>
      </c>
      <c r="K3166" s="110" t="s">
        <v>20</v>
      </c>
      <c r="L3166" s="110" t="str">
        <f>VLOOKUP(K3166,LUTs!E$2:G$14,3,)</f>
        <v>07Pierce</v>
      </c>
      <c r="M3166" s="110" t="str">
        <f>VLOOKUP($K3166,LUTs!$E$2:$H$14,2,)</f>
        <v>South Puget Sound</v>
      </c>
      <c r="N3166" s="110" t="str">
        <f>VLOOKUP($K3166,LUTs!$E$2:$H$14,4,)</f>
        <v>02South Puget Sound</v>
      </c>
      <c r="O3166" s="110">
        <v>16</v>
      </c>
      <c r="P3166" s="110">
        <v>136.63999999999999</v>
      </c>
      <c r="Q3166" s="110">
        <f>SUMIFS('FW_Steelhead_by_Month_2010-2021'!Q$2:Q$3810,'FW_Steelhead_by_Month_2010-2021'!$B$2:$B$3810,'Rec_raw_catch_effort_2010-2021'!$B3166,'FW_Steelhead_by_Month_2010-2021'!$H$2:$H$3810,'Rec_raw_catch_effort_2010-2021'!$F3166,'FW_Steelhead_by_Month_2010-2021'!$M$2:$M$3810,'Rec_raw_catch_effort_2010-2021'!$K3166)</f>
        <v>16</v>
      </c>
      <c r="R3166" s="111">
        <f>VLOOKUP(B3166,Readme!$A$62:$C$74,3,)*Q3166</f>
        <v>334.83579719806869</v>
      </c>
      <c r="S3166" s="140" t="str">
        <f t="shared" si="241"/>
        <v>Y</v>
      </c>
      <c r="T3166" s="154">
        <f t="shared" si="242"/>
        <v>8.5399999999999991</v>
      </c>
      <c r="U3166" s="154">
        <f t="shared" si="243"/>
        <v>20.927237324879293</v>
      </c>
    </row>
    <row r="3167" spans="1:21" x14ac:dyDescent="0.35">
      <c r="A3167" s="110">
        <v>989</v>
      </c>
      <c r="B3167" s="110">
        <v>2011</v>
      </c>
      <c r="C3167" s="110" t="s">
        <v>38</v>
      </c>
      <c r="D3167" s="110" t="s">
        <v>143</v>
      </c>
      <c r="E3167" s="110" t="s">
        <v>86</v>
      </c>
      <c r="F3167" s="117">
        <v>804</v>
      </c>
      <c r="G3167" s="110" t="s">
        <v>54</v>
      </c>
      <c r="H3167" s="110" t="str">
        <f t="shared" si="240"/>
        <v>Puyallup River</v>
      </c>
      <c r="I3167" s="110" t="str">
        <f>IFERROR(VLOOKUP(H3167,LUTs!$A$1:$C$73,2,FALSE),"NA")</f>
        <v>Pierce</v>
      </c>
      <c r="J3167" s="110" t="str">
        <f>IFERROR(VLOOKUP(H3167,LUTs!$A$1:$C$73,3,FALSE),"NA")</f>
        <v>3South Puget Sound</v>
      </c>
      <c r="K3167" s="110" t="s">
        <v>26</v>
      </c>
      <c r="L3167" s="110" t="str">
        <f>VLOOKUP(K3167,LUTs!E$2:G$14,3,)</f>
        <v>20Other</v>
      </c>
      <c r="M3167" s="110" t="str">
        <f>VLOOKUP($K3167,LUTs!$E$2:$H$14,2,)</f>
        <v>Non Puget Sound</v>
      </c>
      <c r="N3167" s="110" t="str">
        <f>VLOOKUP($K3167,LUTs!$E$2:$H$14,4,)</f>
        <v>07Non Puget Sound</v>
      </c>
      <c r="O3167" s="110">
        <v>2.3636363636363602</v>
      </c>
      <c r="P3167" s="110">
        <v>43.845454545454501</v>
      </c>
      <c r="Q3167" s="110">
        <f>SUMIFS('FW_Steelhead_by_Month_2010-2021'!Q$2:Q$3810,'FW_Steelhead_by_Month_2010-2021'!$B$2:$B$3810,'Rec_raw_catch_effort_2010-2021'!$B3167,'FW_Steelhead_by_Month_2010-2021'!$H$2:$H$3810,'Rec_raw_catch_effort_2010-2021'!$F3167,'FW_Steelhead_by_Month_2010-2021'!$M$2:$M$3810,'Rec_raw_catch_effort_2010-2021'!$K3167)</f>
        <v>8</v>
      </c>
      <c r="R3167" s="111">
        <f>VLOOKUP(B3167,Readme!$A$62:$C$74,3,)*Q3167</f>
        <v>167.41789859903434</v>
      </c>
      <c r="S3167" s="140" t="str">
        <f t="shared" si="241"/>
        <v>Y</v>
      </c>
      <c r="T3167" s="154">
        <f t="shared" si="242"/>
        <v>18.550000000000008</v>
      </c>
      <c r="U3167" s="154">
        <f t="shared" si="243"/>
        <v>20.927237324879293</v>
      </c>
    </row>
    <row r="3168" spans="1:21" x14ac:dyDescent="0.35">
      <c r="A3168" s="110">
        <v>988</v>
      </c>
      <c r="B3168" s="110">
        <v>2011</v>
      </c>
      <c r="C3168" s="110" t="s">
        <v>38</v>
      </c>
      <c r="D3168" s="110" t="s">
        <v>143</v>
      </c>
      <c r="E3168" s="110" t="s">
        <v>86</v>
      </c>
      <c r="F3168" s="117">
        <v>804</v>
      </c>
      <c r="G3168" s="110" t="s">
        <v>54</v>
      </c>
      <c r="H3168" s="110" t="str">
        <f t="shared" si="240"/>
        <v>Puyallup River</v>
      </c>
      <c r="I3168" s="110" t="str">
        <f>IFERROR(VLOOKUP(H3168,LUTs!$A$1:$C$73,2,FALSE),"NA")</f>
        <v>Pierce</v>
      </c>
      <c r="J3168" s="110" t="str">
        <f>IFERROR(VLOOKUP(H3168,LUTs!$A$1:$C$73,3,FALSE),"NA")</f>
        <v>3South Puget Sound</v>
      </c>
      <c r="K3168" s="110" t="s">
        <v>20</v>
      </c>
      <c r="L3168" s="110" t="str">
        <f>VLOOKUP(K3168,LUTs!E$2:G$14,3,)</f>
        <v>07Pierce</v>
      </c>
      <c r="M3168" s="110" t="str">
        <f>VLOOKUP($K3168,LUTs!$E$2:$H$14,2,)</f>
        <v>South Puget Sound</v>
      </c>
      <c r="N3168" s="110" t="str">
        <f>VLOOKUP($K3168,LUTs!$E$2:$H$14,4,)</f>
        <v>02South Puget Sound</v>
      </c>
      <c r="O3168" s="110">
        <v>18.909090909090899</v>
      </c>
      <c r="P3168" s="110">
        <v>350.76363636363601</v>
      </c>
      <c r="Q3168" s="110">
        <f>SUMIFS('FW_Steelhead_by_Month_2010-2021'!Q$2:Q$3810,'FW_Steelhead_by_Month_2010-2021'!$B$2:$B$3810,'Rec_raw_catch_effort_2010-2021'!$B3168,'FW_Steelhead_by_Month_2010-2021'!$H$2:$H$3810,'Rec_raw_catch_effort_2010-2021'!$F3168,'FW_Steelhead_by_Month_2010-2021'!$M$2:$M$3810,'Rec_raw_catch_effort_2010-2021'!$K3168)</f>
        <v>21</v>
      </c>
      <c r="R3168" s="111">
        <f>VLOOKUP(B3168,Readme!$A$62:$C$74,3,)*Q3168</f>
        <v>439.47198382246518</v>
      </c>
      <c r="S3168" s="140" t="str">
        <f t="shared" si="241"/>
        <v>Y</v>
      </c>
      <c r="T3168" s="154">
        <f t="shared" si="242"/>
        <v>18.54999999999999</v>
      </c>
      <c r="U3168" s="154">
        <f t="shared" si="243"/>
        <v>20.927237324879293</v>
      </c>
    </row>
    <row r="3169" spans="1:21" x14ac:dyDescent="0.35">
      <c r="A3169" s="110">
        <v>987</v>
      </c>
      <c r="B3169" s="110">
        <v>2011</v>
      </c>
      <c r="C3169" s="110" t="s">
        <v>38</v>
      </c>
      <c r="D3169" s="110" t="s">
        <v>143</v>
      </c>
      <c r="E3169" s="110" t="s">
        <v>86</v>
      </c>
      <c r="F3169" s="117">
        <v>804</v>
      </c>
      <c r="G3169" s="110" t="s">
        <v>54</v>
      </c>
      <c r="H3169" s="110" t="str">
        <f t="shared" si="240"/>
        <v>Puyallup River</v>
      </c>
      <c r="I3169" s="110" t="str">
        <f>IFERROR(VLOOKUP(H3169,LUTs!$A$1:$C$73,2,FALSE),"NA")</f>
        <v>Pierce</v>
      </c>
      <c r="J3169" s="110" t="str">
        <f>IFERROR(VLOOKUP(H3169,LUTs!$A$1:$C$73,3,FALSE),"NA")</f>
        <v>3South Puget Sound</v>
      </c>
      <c r="K3169" s="110" t="s">
        <v>16</v>
      </c>
      <c r="L3169" s="110" t="str">
        <f>VLOOKUP(K3169,LUTs!E$2:G$14,3,)</f>
        <v>03Snohomish</v>
      </c>
      <c r="M3169" s="110" t="str">
        <f>VLOOKUP($K3169,LUTs!$E$2:$H$14,2,)</f>
        <v>North Puget Sound</v>
      </c>
      <c r="N3169" s="110" t="str">
        <f>VLOOKUP($K3169,LUTs!$E$2:$H$14,4,)</f>
        <v>01North Puget Sound</v>
      </c>
      <c r="O3169" s="110">
        <v>4.7272727272727302</v>
      </c>
      <c r="P3169" s="110">
        <v>87.690909090909102</v>
      </c>
      <c r="Q3169" s="110">
        <f>SUMIFS('FW_Steelhead_by_Month_2010-2021'!Q$2:Q$3810,'FW_Steelhead_by_Month_2010-2021'!$B$2:$B$3810,'Rec_raw_catch_effort_2010-2021'!$B3169,'FW_Steelhead_by_Month_2010-2021'!$H$2:$H$3810,'Rec_raw_catch_effort_2010-2021'!$F3169,'FW_Steelhead_by_Month_2010-2021'!$M$2:$M$3810,'Rec_raw_catch_effort_2010-2021'!$K3169)</f>
        <v>5</v>
      </c>
      <c r="R3169" s="111">
        <f>VLOOKUP(B3169,Readme!$A$62:$C$74,3,)*Q3169</f>
        <v>104.63618662439646</v>
      </c>
      <c r="S3169" s="140" t="str">
        <f t="shared" si="241"/>
        <v>Y</v>
      </c>
      <c r="T3169" s="154">
        <f t="shared" si="242"/>
        <v>18.54999999999999</v>
      </c>
      <c r="U3169" s="154">
        <f t="shared" si="243"/>
        <v>20.927237324879293</v>
      </c>
    </row>
    <row r="3170" spans="1:21" x14ac:dyDescent="0.35">
      <c r="A3170" s="110">
        <v>990</v>
      </c>
      <c r="B3170" s="110">
        <v>2013</v>
      </c>
      <c r="C3170" s="110" t="s">
        <v>38</v>
      </c>
      <c r="D3170" s="110" t="s">
        <v>143</v>
      </c>
      <c r="E3170" s="110" t="s">
        <v>86</v>
      </c>
      <c r="F3170" s="117">
        <v>804</v>
      </c>
      <c r="G3170" s="110" t="s">
        <v>54</v>
      </c>
      <c r="H3170" s="110" t="str">
        <f t="shared" si="240"/>
        <v>Puyallup River</v>
      </c>
      <c r="I3170" s="110" t="str">
        <f>IFERROR(VLOOKUP(H3170,LUTs!$A$1:$C$73,2,FALSE),"NA")</f>
        <v>Pierce</v>
      </c>
      <c r="J3170" s="110" t="str">
        <f>IFERROR(VLOOKUP(H3170,LUTs!$A$1:$C$73,3,FALSE),"NA")</f>
        <v>3South Puget Sound</v>
      </c>
      <c r="K3170" s="110" t="s">
        <v>18</v>
      </c>
      <c r="L3170" s="110" t="str">
        <f>VLOOKUP(K3170,LUTs!E$2:G$14,3,)</f>
        <v>06King</v>
      </c>
      <c r="M3170" s="110" t="str">
        <f>VLOOKUP($K3170,LUTs!$E$2:$H$14,2,)</f>
        <v>South Puget Sound</v>
      </c>
      <c r="N3170" s="110" t="str">
        <f>VLOOKUP($K3170,LUTs!$E$2:$H$14,4,)</f>
        <v>02South Puget Sound</v>
      </c>
      <c r="O3170" s="110">
        <v>1</v>
      </c>
      <c r="P3170" s="110">
        <v>18.55</v>
      </c>
      <c r="Q3170" s="110">
        <f>SUMIFS('FW_Steelhead_by_Month_2010-2021'!Q$2:Q$3810,'FW_Steelhead_by_Month_2010-2021'!$B$2:$B$3810,'Rec_raw_catch_effort_2010-2021'!$B3170,'FW_Steelhead_by_Month_2010-2021'!$H$2:$H$3810,'Rec_raw_catch_effort_2010-2021'!$F3170,'FW_Steelhead_by_Month_2010-2021'!$M$2:$M$3810,'Rec_raw_catch_effort_2010-2021'!$K3170)</f>
        <v>0</v>
      </c>
      <c r="R3170" s="111">
        <f>VLOOKUP(B3170,Readme!$A$62:$C$74,3,)*Q3170</f>
        <v>0</v>
      </c>
      <c r="S3170" s="140" t="str">
        <f t="shared" si="241"/>
        <v>Y</v>
      </c>
      <c r="T3170" s="154">
        <f t="shared" si="242"/>
        <v>18.55</v>
      </c>
      <c r="U3170" s="154" t="str">
        <f t="shared" si="243"/>
        <v>NA</v>
      </c>
    </row>
    <row r="3171" spans="1:21" x14ac:dyDescent="0.35">
      <c r="A3171" s="110">
        <v>991</v>
      </c>
      <c r="B3171" s="110">
        <v>2013</v>
      </c>
      <c r="C3171" s="110" t="s">
        <v>38</v>
      </c>
      <c r="D3171" s="110" t="s">
        <v>143</v>
      </c>
      <c r="E3171" s="110" t="s">
        <v>86</v>
      </c>
      <c r="F3171" s="117">
        <v>804</v>
      </c>
      <c r="G3171" s="110" t="s">
        <v>54</v>
      </c>
      <c r="H3171" s="110" t="str">
        <f t="shared" si="240"/>
        <v>Puyallup River</v>
      </c>
      <c r="I3171" s="110" t="str">
        <f>IFERROR(VLOOKUP(H3171,LUTs!$A$1:$C$73,2,FALSE),"NA")</f>
        <v>Pierce</v>
      </c>
      <c r="J3171" s="110" t="str">
        <f>IFERROR(VLOOKUP(H3171,LUTs!$A$1:$C$73,3,FALSE),"NA")</f>
        <v>3South Puget Sound</v>
      </c>
      <c r="K3171" s="110" t="s">
        <v>20</v>
      </c>
      <c r="L3171" s="110" t="str">
        <f>VLOOKUP(K3171,LUTs!E$2:G$14,3,)</f>
        <v>07Pierce</v>
      </c>
      <c r="M3171" s="110" t="str">
        <f>VLOOKUP($K3171,LUTs!$E$2:$H$14,2,)</f>
        <v>South Puget Sound</v>
      </c>
      <c r="N3171" s="110" t="str">
        <f>VLOOKUP($K3171,LUTs!$E$2:$H$14,4,)</f>
        <v>02South Puget Sound</v>
      </c>
      <c r="O3171" s="110">
        <v>4</v>
      </c>
      <c r="P3171" s="110">
        <v>74.2</v>
      </c>
      <c r="Q3171" s="110">
        <f>SUMIFS('FW_Steelhead_by_Month_2010-2021'!Q$2:Q$3810,'FW_Steelhead_by_Month_2010-2021'!$B$2:$B$3810,'Rec_raw_catch_effort_2010-2021'!$B3171,'FW_Steelhead_by_Month_2010-2021'!$H$2:$H$3810,'Rec_raw_catch_effort_2010-2021'!$F3171,'FW_Steelhead_by_Month_2010-2021'!$M$2:$M$3810,'Rec_raw_catch_effort_2010-2021'!$K3171)</f>
        <v>0</v>
      </c>
      <c r="R3171" s="111">
        <f>VLOOKUP(B3171,Readme!$A$62:$C$74,3,)*Q3171</f>
        <v>0</v>
      </c>
      <c r="S3171" s="140" t="str">
        <f t="shared" si="241"/>
        <v>Y</v>
      </c>
      <c r="T3171" s="154">
        <f t="shared" si="242"/>
        <v>18.55</v>
      </c>
      <c r="U3171" s="154" t="str">
        <f t="shared" si="243"/>
        <v>NA</v>
      </c>
    </row>
    <row r="3172" spans="1:21" x14ac:dyDescent="0.35">
      <c r="A3172" s="110">
        <v>993</v>
      </c>
      <c r="B3172" s="110">
        <v>2014</v>
      </c>
      <c r="C3172" s="110" t="s">
        <v>38</v>
      </c>
      <c r="D3172" s="110" t="s">
        <v>143</v>
      </c>
      <c r="E3172" s="110" t="s">
        <v>86</v>
      </c>
      <c r="F3172" s="117">
        <v>804</v>
      </c>
      <c r="G3172" s="110" t="s">
        <v>54</v>
      </c>
      <c r="H3172" s="110" t="str">
        <f t="shared" si="240"/>
        <v>Puyallup River</v>
      </c>
      <c r="I3172" s="110" t="str">
        <f>IFERROR(VLOOKUP(H3172,LUTs!$A$1:$C$73,2,FALSE),"NA")</f>
        <v>Pierce</v>
      </c>
      <c r="J3172" s="110" t="str">
        <f>IFERROR(VLOOKUP(H3172,LUTs!$A$1:$C$73,3,FALSE),"NA")</f>
        <v>3South Puget Sound</v>
      </c>
      <c r="K3172" s="110" t="s">
        <v>26</v>
      </c>
      <c r="L3172" s="110" t="str">
        <f>VLOOKUP(K3172,LUTs!E$2:G$14,3,)</f>
        <v>20Other</v>
      </c>
      <c r="M3172" s="110" t="str">
        <f>VLOOKUP($K3172,LUTs!$E$2:$H$14,2,)</f>
        <v>Non Puget Sound</v>
      </c>
      <c r="N3172" s="110" t="str">
        <f>VLOOKUP($K3172,LUTs!$E$2:$H$14,4,)</f>
        <v>07Non Puget Sound</v>
      </c>
      <c r="O3172" s="110">
        <v>3</v>
      </c>
      <c r="P3172" s="110">
        <v>25.62</v>
      </c>
      <c r="Q3172" s="110">
        <f>SUMIFS('FW_Steelhead_by_Month_2010-2021'!Q$2:Q$3810,'FW_Steelhead_by_Month_2010-2021'!$B$2:$B$3810,'Rec_raw_catch_effort_2010-2021'!$B3172,'FW_Steelhead_by_Month_2010-2021'!$H$2:$H$3810,'Rec_raw_catch_effort_2010-2021'!$F3172,'FW_Steelhead_by_Month_2010-2021'!$M$2:$M$3810,'Rec_raw_catch_effort_2010-2021'!$K3172)</f>
        <v>3</v>
      </c>
      <c r="R3172" s="111">
        <f>VLOOKUP(B3172,Readme!$A$62:$C$74,3,)*Q3172</f>
        <v>62.781711974637879</v>
      </c>
      <c r="S3172" s="140" t="str">
        <f t="shared" si="241"/>
        <v>Y</v>
      </c>
      <c r="T3172" s="154">
        <f t="shared" si="242"/>
        <v>8.5400000000000009</v>
      </c>
      <c r="U3172" s="154">
        <f t="shared" si="243"/>
        <v>20.927237324879293</v>
      </c>
    </row>
    <row r="3173" spans="1:21" x14ac:dyDescent="0.35">
      <c r="A3173" s="110">
        <v>992</v>
      </c>
      <c r="B3173" s="110">
        <v>2014</v>
      </c>
      <c r="C3173" s="110" t="s">
        <v>38</v>
      </c>
      <c r="D3173" s="110" t="s">
        <v>143</v>
      </c>
      <c r="E3173" s="110" t="s">
        <v>86</v>
      </c>
      <c r="F3173" s="117">
        <v>804</v>
      </c>
      <c r="G3173" s="110" t="s">
        <v>54</v>
      </c>
      <c r="H3173" s="110" t="str">
        <f t="shared" si="240"/>
        <v>Puyallup River</v>
      </c>
      <c r="I3173" s="110" t="str">
        <f>IFERROR(VLOOKUP(H3173,LUTs!$A$1:$C$73,2,FALSE),"NA")</f>
        <v>Pierce</v>
      </c>
      <c r="J3173" s="110" t="str">
        <f>IFERROR(VLOOKUP(H3173,LUTs!$A$1:$C$73,3,FALSE),"NA")</f>
        <v>3South Puget Sound</v>
      </c>
      <c r="K3173" s="110" t="s">
        <v>20</v>
      </c>
      <c r="L3173" s="110" t="str">
        <f>VLOOKUP(K3173,LUTs!E$2:G$14,3,)</f>
        <v>07Pierce</v>
      </c>
      <c r="M3173" s="110" t="str">
        <f>VLOOKUP($K3173,LUTs!$E$2:$H$14,2,)</f>
        <v>South Puget Sound</v>
      </c>
      <c r="N3173" s="110" t="str">
        <f>VLOOKUP($K3173,LUTs!$E$2:$H$14,4,)</f>
        <v>02South Puget Sound</v>
      </c>
      <c r="O3173" s="110">
        <v>6</v>
      </c>
      <c r="P3173" s="110">
        <v>51.24</v>
      </c>
      <c r="Q3173" s="110">
        <f>SUMIFS('FW_Steelhead_by_Month_2010-2021'!Q$2:Q$3810,'FW_Steelhead_by_Month_2010-2021'!$B$2:$B$3810,'Rec_raw_catch_effort_2010-2021'!$B3173,'FW_Steelhead_by_Month_2010-2021'!$H$2:$H$3810,'Rec_raw_catch_effort_2010-2021'!$F3173,'FW_Steelhead_by_Month_2010-2021'!$M$2:$M$3810,'Rec_raw_catch_effort_2010-2021'!$K3173)</f>
        <v>8.5</v>
      </c>
      <c r="R3173" s="111">
        <f>VLOOKUP(B3173,Readme!$A$62:$C$74,3,)*Q3173</f>
        <v>177.88151726147399</v>
      </c>
      <c r="S3173" s="140" t="str">
        <f t="shared" si="241"/>
        <v>Y</v>
      </c>
      <c r="T3173" s="154">
        <f t="shared" si="242"/>
        <v>8.5400000000000009</v>
      </c>
      <c r="U3173" s="154">
        <f t="shared" si="243"/>
        <v>20.927237324879293</v>
      </c>
    </row>
    <row r="3174" spans="1:21" x14ac:dyDescent="0.35">
      <c r="A3174" s="110">
        <v>1089</v>
      </c>
      <c r="B3174" s="110">
        <v>2015</v>
      </c>
      <c r="C3174" s="110" t="s">
        <v>38</v>
      </c>
      <c r="D3174" s="110" t="s">
        <v>143</v>
      </c>
      <c r="E3174" s="110" t="s">
        <v>86</v>
      </c>
      <c r="F3174" s="117">
        <v>804</v>
      </c>
      <c r="G3174" s="110" t="s">
        <v>54</v>
      </c>
      <c r="H3174" s="110" t="str">
        <f t="shared" si="240"/>
        <v>Puyallup River</v>
      </c>
      <c r="I3174" s="110" t="str">
        <f>IFERROR(VLOOKUP(H3174,LUTs!$A$1:$C$73,2,FALSE),"NA")</f>
        <v>Pierce</v>
      </c>
      <c r="J3174" s="110" t="str">
        <f>IFERROR(VLOOKUP(H3174,LUTs!$A$1:$C$73,3,FALSE),"NA")</f>
        <v>3South Puget Sound</v>
      </c>
      <c r="K3174" s="110" t="s">
        <v>20</v>
      </c>
      <c r="L3174" s="110" t="str">
        <f>VLOOKUP(K3174,LUTs!E$2:G$14,3,)</f>
        <v>07Pierce</v>
      </c>
      <c r="M3174" s="110" t="str">
        <f>VLOOKUP($K3174,LUTs!$E$2:$H$14,2,)</f>
        <v>South Puget Sound</v>
      </c>
      <c r="N3174" s="110" t="str">
        <f>VLOOKUP($K3174,LUTs!$E$2:$H$14,4,)</f>
        <v>02South Puget Sound</v>
      </c>
      <c r="O3174" s="110">
        <v>14</v>
      </c>
      <c r="P3174" s="110">
        <v>259.7</v>
      </c>
      <c r="Q3174" s="110">
        <f>SUMIFS('FW_Steelhead_by_Month_2010-2021'!Q$2:Q$3810,'FW_Steelhead_by_Month_2010-2021'!$B$2:$B$3810,'Rec_raw_catch_effort_2010-2021'!$B3174,'FW_Steelhead_by_Month_2010-2021'!$H$2:$H$3810,'Rec_raw_catch_effort_2010-2021'!$F3174,'FW_Steelhead_by_Month_2010-2021'!$M$2:$M$3810,'Rec_raw_catch_effort_2010-2021'!$K3174)</f>
        <v>14</v>
      </c>
      <c r="R3174" s="111">
        <f>VLOOKUP(B3174,Readme!$A$62:$C$74,3,)*Q3174</f>
        <v>292.98132254831012</v>
      </c>
      <c r="S3174" s="140" t="str">
        <f t="shared" si="241"/>
        <v>Y</v>
      </c>
      <c r="T3174" s="154">
        <f t="shared" si="242"/>
        <v>18.55</v>
      </c>
      <c r="U3174" s="154">
        <f t="shared" si="243"/>
        <v>20.927237324879293</v>
      </c>
    </row>
    <row r="3175" spans="1:21" x14ac:dyDescent="0.35">
      <c r="A3175" s="110">
        <v>1091</v>
      </c>
      <c r="B3175" s="110">
        <v>2018</v>
      </c>
      <c r="C3175" s="110" t="s">
        <v>38</v>
      </c>
      <c r="D3175" s="110" t="s">
        <v>143</v>
      </c>
      <c r="E3175" s="110" t="s">
        <v>86</v>
      </c>
      <c r="F3175" s="117">
        <v>804</v>
      </c>
      <c r="G3175" s="110" t="s">
        <v>54</v>
      </c>
      <c r="H3175" s="110" t="str">
        <f t="shared" si="240"/>
        <v>Puyallup River</v>
      </c>
      <c r="I3175" s="110" t="str">
        <f>IFERROR(VLOOKUP(H3175,LUTs!$A$1:$C$73,2,FALSE),"NA")</f>
        <v>Pierce</v>
      </c>
      <c r="J3175" s="110" t="str">
        <f>IFERROR(VLOOKUP(H3175,LUTs!$A$1:$C$73,3,FALSE),"NA")</f>
        <v>3South Puget Sound</v>
      </c>
      <c r="K3175" s="110" t="s">
        <v>20</v>
      </c>
      <c r="L3175" s="110" t="str">
        <f>VLOOKUP(K3175,LUTs!E$2:G$14,3,)</f>
        <v>07Pierce</v>
      </c>
      <c r="M3175" s="110" t="str">
        <f>VLOOKUP($K3175,LUTs!$E$2:$H$14,2,)</f>
        <v>South Puget Sound</v>
      </c>
      <c r="N3175" s="110" t="str">
        <f>VLOOKUP($K3175,LUTs!$E$2:$H$14,4,)</f>
        <v>02South Puget Sound</v>
      </c>
      <c r="O3175" s="110">
        <v>68</v>
      </c>
      <c r="P3175" s="110">
        <v>580.72</v>
      </c>
      <c r="Q3175" s="110">
        <f>SUMIFS('FW_Steelhead_by_Month_2010-2021'!Q$2:Q$3810,'FW_Steelhead_by_Month_2010-2021'!$B$2:$B$3810,'Rec_raw_catch_effort_2010-2021'!$B3175,'FW_Steelhead_by_Month_2010-2021'!$H$2:$H$3810,'Rec_raw_catch_effort_2010-2021'!$F3175,'FW_Steelhead_by_Month_2010-2021'!$M$2:$M$3810,'Rec_raw_catch_effort_2010-2021'!$K3175)</f>
        <v>0</v>
      </c>
      <c r="R3175" s="111">
        <f>VLOOKUP(B3175,Readme!$A$62:$C$74,3,)*Q3175</f>
        <v>0</v>
      </c>
      <c r="S3175" s="140" t="str">
        <f t="shared" si="241"/>
        <v>Y</v>
      </c>
      <c r="T3175" s="154">
        <f t="shared" si="242"/>
        <v>8.5400000000000009</v>
      </c>
      <c r="U3175" s="154" t="str">
        <f t="shared" si="243"/>
        <v>NA</v>
      </c>
    </row>
    <row r="3176" spans="1:21" x14ac:dyDescent="0.35">
      <c r="A3176" s="110">
        <v>1093</v>
      </c>
      <c r="B3176" s="110">
        <v>2019</v>
      </c>
      <c r="C3176" s="110" t="s">
        <v>38</v>
      </c>
      <c r="D3176" s="110" t="s">
        <v>143</v>
      </c>
      <c r="E3176" s="110" t="s">
        <v>86</v>
      </c>
      <c r="F3176" s="117">
        <v>804</v>
      </c>
      <c r="G3176" s="110" t="s">
        <v>54</v>
      </c>
      <c r="H3176" s="110" t="str">
        <f t="shared" si="240"/>
        <v>Puyallup River</v>
      </c>
      <c r="I3176" s="110" t="str">
        <f>IFERROR(VLOOKUP(H3176,LUTs!$A$1:$C$73,2,FALSE),"NA")</f>
        <v>Pierce</v>
      </c>
      <c r="J3176" s="110" t="str">
        <f>IFERROR(VLOOKUP(H3176,LUTs!$A$1:$C$73,3,FALSE),"NA")</f>
        <v>3South Puget Sound</v>
      </c>
      <c r="K3176" s="110" t="s">
        <v>18</v>
      </c>
      <c r="L3176" s="110" t="str">
        <f>VLOOKUP(K3176,LUTs!E$2:G$14,3,)</f>
        <v>06King</v>
      </c>
      <c r="M3176" s="110" t="str">
        <f>VLOOKUP($K3176,LUTs!$E$2:$H$14,2,)</f>
        <v>South Puget Sound</v>
      </c>
      <c r="N3176" s="110" t="str">
        <f>VLOOKUP($K3176,LUTs!$E$2:$H$14,4,)</f>
        <v>02South Puget Sound</v>
      </c>
      <c r="O3176" s="110">
        <v>8</v>
      </c>
      <c r="P3176" s="110">
        <v>148.4</v>
      </c>
      <c r="Q3176" s="110">
        <f>SUMIFS('FW_Steelhead_by_Month_2010-2021'!Q$2:Q$3810,'FW_Steelhead_by_Month_2010-2021'!$B$2:$B$3810,'Rec_raw_catch_effort_2010-2021'!$B3176,'FW_Steelhead_by_Month_2010-2021'!$H$2:$H$3810,'Rec_raw_catch_effort_2010-2021'!$F3176,'FW_Steelhead_by_Month_2010-2021'!$M$2:$M$3810,'Rec_raw_catch_effort_2010-2021'!$K3176)</f>
        <v>0</v>
      </c>
      <c r="R3176" s="111">
        <f>VLOOKUP(B3176,Readme!$A$62:$C$74,3,)*Q3176</f>
        <v>0</v>
      </c>
      <c r="S3176" s="140" t="str">
        <f t="shared" si="241"/>
        <v>Y</v>
      </c>
      <c r="T3176" s="154">
        <f t="shared" si="242"/>
        <v>18.55</v>
      </c>
      <c r="U3176" s="154" t="str">
        <f t="shared" si="243"/>
        <v>NA</v>
      </c>
    </row>
    <row r="3177" spans="1:21" x14ac:dyDescent="0.35">
      <c r="A3177" s="110">
        <v>1094</v>
      </c>
      <c r="B3177" s="110">
        <v>2019</v>
      </c>
      <c r="C3177" s="110" t="s">
        <v>38</v>
      </c>
      <c r="D3177" s="110" t="s">
        <v>143</v>
      </c>
      <c r="E3177" s="110" t="s">
        <v>86</v>
      </c>
      <c r="F3177" s="117">
        <v>804</v>
      </c>
      <c r="G3177" s="110" t="s">
        <v>54</v>
      </c>
      <c r="H3177" s="110" t="str">
        <f t="shared" si="240"/>
        <v>Puyallup River</v>
      </c>
      <c r="I3177" s="110" t="str">
        <f>IFERROR(VLOOKUP(H3177,LUTs!$A$1:$C$73,2,FALSE),"NA")</f>
        <v>Pierce</v>
      </c>
      <c r="J3177" s="110" t="str">
        <f>IFERROR(VLOOKUP(H3177,LUTs!$A$1:$C$73,3,FALSE),"NA")</f>
        <v>3South Puget Sound</v>
      </c>
      <c r="K3177" s="110" t="s">
        <v>20</v>
      </c>
      <c r="L3177" s="110" t="str">
        <f>VLOOKUP(K3177,LUTs!E$2:G$14,3,)</f>
        <v>07Pierce</v>
      </c>
      <c r="M3177" s="110" t="str">
        <f>VLOOKUP($K3177,LUTs!$E$2:$H$14,2,)</f>
        <v>South Puget Sound</v>
      </c>
      <c r="N3177" s="110" t="str">
        <f>VLOOKUP($K3177,LUTs!$E$2:$H$14,4,)</f>
        <v>02South Puget Sound</v>
      </c>
      <c r="O3177" s="110">
        <v>0</v>
      </c>
      <c r="P3177" s="110">
        <v>0</v>
      </c>
      <c r="Q3177" s="110">
        <f>SUMIFS('FW_Steelhead_by_Month_2010-2021'!Q$2:Q$3810,'FW_Steelhead_by_Month_2010-2021'!$B$2:$B$3810,'Rec_raw_catch_effort_2010-2021'!$B3177,'FW_Steelhead_by_Month_2010-2021'!$H$2:$H$3810,'Rec_raw_catch_effort_2010-2021'!$F3177,'FW_Steelhead_by_Month_2010-2021'!$M$2:$M$3810,'Rec_raw_catch_effort_2010-2021'!$K3177)</f>
        <v>0</v>
      </c>
      <c r="R3177" s="111">
        <f>VLOOKUP(B3177,Readme!$A$62:$C$74,3,)*Q3177</f>
        <v>0</v>
      </c>
      <c r="S3177" s="140" t="str">
        <f t="shared" si="241"/>
        <v>Y</v>
      </c>
      <c r="T3177" s="154" t="str">
        <f t="shared" si="242"/>
        <v>NA</v>
      </c>
      <c r="U3177" s="154" t="str">
        <f t="shared" si="243"/>
        <v>NA</v>
      </c>
    </row>
    <row r="3178" spans="1:21" x14ac:dyDescent="0.35">
      <c r="A3178" s="110">
        <v>1092</v>
      </c>
      <c r="B3178" s="110">
        <v>2019</v>
      </c>
      <c r="C3178" s="110" t="s">
        <v>38</v>
      </c>
      <c r="D3178" s="110" t="s">
        <v>143</v>
      </c>
      <c r="E3178" s="110" t="s">
        <v>86</v>
      </c>
      <c r="F3178" s="117">
        <v>804</v>
      </c>
      <c r="G3178" s="110" t="s">
        <v>54</v>
      </c>
      <c r="H3178" s="110" t="str">
        <f t="shared" si="240"/>
        <v>Puyallup River</v>
      </c>
      <c r="I3178" s="110" t="str">
        <f>IFERROR(VLOOKUP(H3178,LUTs!$A$1:$C$73,2,FALSE),"NA")</f>
        <v>Pierce</v>
      </c>
      <c r="J3178" s="110" t="str">
        <f>IFERROR(VLOOKUP(H3178,LUTs!$A$1:$C$73,3,FALSE),"NA")</f>
        <v>3South Puget Sound</v>
      </c>
      <c r="K3178" s="110" t="s">
        <v>16</v>
      </c>
      <c r="L3178" s="110" t="str">
        <f>VLOOKUP(K3178,LUTs!E$2:G$14,3,)</f>
        <v>03Snohomish</v>
      </c>
      <c r="M3178" s="110" t="str">
        <f>VLOOKUP($K3178,LUTs!$E$2:$H$14,2,)</f>
        <v>North Puget Sound</v>
      </c>
      <c r="N3178" s="110" t="str">
        <f>VLOOKUP($K3178,LUTs!$E$2:$H$14,4,)</f>
        <v>01North Puget Sound</v>
      </c>
      <c r="O3178" s="110">
        <v>0</v>
      </c>
      <c r="P3178" s="110">
        <v>0</v>
      </c>
      <c r="Q3178" s="110">
        <f>SUMIFS('FW_Steelhead_by_Month_2010-2021'!Q$2:Q$3810,'FW_Steelhead_by_Month_2010-2021'!$B$2:$B$3810,'Rec_raw_catch_effort_2010-2021'!$B3178,'FW_Steelhead_by_Month_2010-2021'!$H$2:$H$3810,'Rec_raw_catch_effort_2010-2021'!$F3178,'FW_Steelhead_by_Month_2010-2021'!$M$2:$M$3810,'Rec_raw_catch_effort_2010-2021'!$K3178)</f>
        <v>0</v>
      </c>
      <c r="R3178" s="111">
        <f>VLOOKUP(B3178,Readme!$A$62:$C$74,3,)*Q3178</f>
        <v>0</v>
      </c>
      <c r="S3178" s="140" t="str">
        <f t="shared" si="241"/>
        <v>Y</v>
      </c>
      <c r="T3178" s="154" t="str">
        <f t="shared" si="242"/>
        <v>NA</v>
      </c>
      <c r="U3178" s="154" t="str">
        <f t="shared" si="243"/>
        <v>NA</v>
      </c>
    </row>
    <row r="3179" spans="1:21" x14ac:dyDescent="0.35">
      <c r="A3179" s="110">
        <v>1096</v>
      </c>
      <c r="B3179" s="110">
        <v>2021</v>
      </c>
      <c r="C3179" s="110" t="s">
        <v>38</v>
      </c>
      <c r="D3179" s="110" t="s">
        <v>143</v>
      </c>
      <c r="E3179" s="110" t="s">
        <v>86</v>
      </c>
      <c r="F3179" s="117">
        <v>804</v>
      </c>
      <c r="G3179" s="110" t="s">
        <v>54</v>
      </c>
      <c r="H3179" s="110" t="str">
        <f t="shared" si="240"/>
        <v>Puyallup River</v>
      </c>
      <c r="I3179" s="110" t="str">
        <f>IFERROR(VLOOKUP(H3179,LUTs!$A$1:$C$73,2,FALSE),"NA")</f>
        <v>Pierce</v>
      </c>
      <c r="J3179" s="110" t="str">
        <f>IFERROR(VLOOKUP(H3179,LUTs!$A$1:$C$73,3,FALSE),"NA")</f>
        <v>3South Puget Sound</v>
      </c>
      <c r="K3179" s="110" t="s">
        <v>20</v>
      </c>
      <c r="L3179" s="110" t="str">
        <f>VLOOKUP(K3179,LUTs!E$2:G$14,3,)</f>
        <v>07Pierce</v>
      </c>
      <c r="M3179" s="110" t="str">
        <f>VLOOKUP($K3179,LUTs!$E$2:$H$14,2,)</f>
        <v>South Puget Sound</v>
      </c>
      <c r="N3179" s="110" t="str">
        <f>VLOOKUP($K3179,LUTs!$E$2:$H$14,4,)</f>
        <v>02South Puget Sound</v>
      </c>
      <c r="O3179" s="110">
        <v>12</v>
      </c>
      <c r="P3179" s="110">
        <v>222.6</v>
      </c>
      <c r="Q3179" s="110">
        <f>SUMIFS('FW_Steelhead_by_Month_2010-2021'!Q$2:Q$3810,'FW_Steelhead_by_Month_2010-2021'!$B$2:$B$3810,'Rec_raw_catch_effort_2010-2021'!$B3179,'FW_Steelhead_by_Month_2010-2021'!$H$2:$H$3810,'Rec_raw_catch_effort_2010-2021'!$F3179,'FW_Steelhead_by_Month_2010-2021'!$M$2:$M$3810,'Rec_raw_catch_effort_2010-2021'!$K3179)</f>
        <v>1</v>
      </c>
      <c r="R3179" s="111">
        <f>VLOOKUP(B3179,Readme!$A$62:$C$74,3,)*Q3179</f>
        <v>20.927237324879293</v>
      </c>
      <c r="S3179" s="140" t="str">
        <f t="shared" si="241"/>
        <v>N</v>
      </c>
      <c r="T3179" s="154">
        <f t="shared" si="242"/>
        <v>18.55</v>
      </c>
      <c r="U3179" s="154">
        <f t="shared" si="243"/>
        <v>20.927237324879293</v>
      </c>
    </row>
    <row r="3180" spans="1:21" x14ac:dyDescent="0.35">
      <c r="A3180" s="110">
        <v>1095</v>
      </c>
      <c r="B3180" s="110">
        <v>2021</v>
      </c>
      <c r="C3180" s="110" t="s">
        <v>38</v>
      </c>
      <c r="D3180" s="110" t="s">
        <v>143</v>
      </c>
      <c r="E3180" s="110" t="s">
        <v>86</v>
      </c>
      <c r="F3180" s="117">
        <v>804</v>
      </c>
      <c r="G3180" s="110" t="s">
        <v>54</v>
      </c>
      <c r="H3180" s="110" t="str">
        <f t="shared" si="240"/>
        <v>Puyallup River</v>
      </c>
      <c r="I3180" s="110" t="str">
        <f>IFERROR(VLOOKUP(H3180,LUTs!$A$1:$C$73,2,FALSE),"NA")</f>
        <v>Pierce</v>
      </c>
      <c r="J3180" s="110" t="str">
        <f>IFERROR(VLOOKUP(H3180,LUTs!$A$1:$C$73,3,FALSE),"NA")</f>
        <v>3South Puget Sound</v>
      </c>
      <c r="K3180" s="110" t="s">
        <v>16</v>
      </c>
      <c r="L3180" s="110" t="str">
        <f>VLOOKUP(K3180,LUTs!E$2:G$14,3,)</f>
        <v>03Snohomish</v>
      </c>
      <c r="M3180" s="110" t="str">
        <f>VLOOKUP($K3180,LUTs!$E$2:$H$14,2,)</f>
        <v>North Puget Sound</v>
      </c>
      <c r="N3180" s="110" t="str">
        <f>VLOOKUP($K3180,LUTs!$E$2:$H$14,4,)</f>
        <v>01North Puget Sound</v>
      </c>
      <c r="O3180" s="110">
        <v>0</v>
      </c>
      <c r="P3180" s="110">
        <v>0</v>
      </c>
      <c r="Q3180" s="110">
        <f>SUMIFS('FW_Steelhead_by_Month_2010-2021'!Q$2:Q$3810,'FW_Steelhead_by_Month_2010-2021'!$B$2:$B$3810,'Rec_raw_catch_effort_2010-2021'!$B3180,'FW_Steelhead_by_Month_2010-2021'!$H$2:$H$3810,'Rec_raw_catch_effort_2010-2021'!$F3180,'FW_Steelhead_by_Month_2010-2021'!$M$2:$M$3810,'Rec_raw_catch_effort_2010-2021'!$K3180)</f>
        <v>0</v>
      </c>
      <c r="R3180" s="111">
        <f>VLOOKUP(B3180,Readme!$A$62:$C$74,3,)*Q3180</f>
        <v>0</v>
      </c>
      <c r="S3180" s="140" t="str">
        <f t="shared" si="241"/>
        <v>N</v>
      </c>
      <c r="T3180" s="154" t="str">
        <f t="shared" si="242"/>
        <v>NA</v>
      </c>
      <c r="U3180" s="154" t="str">
        <f t="shared" si="243"/>
        <v>NA</v>
      </c>
    </row>
    <row r="3181" spans="1:21" x14ac:dyDescent="0.35">
      <c r="A3181" s="110">
        <v>986</v>
      </c>
      <c r="B3181" s="110">
        <v>2010</v>
      </c>
      <c r="C3181" s="110" t="s">
        <v>38</v>
      </c>
      <c r="D3181" s="110" t="s">
        <v>143</v>
      </c>
      <c r="E3181" s="110" t="s">
        <v>86</v>
      </c>
      <c r="F3181" s="117">
        <v>808</v>
      </c>
      <c r="G3181" s="110" t="s">
        <v>85</v>
      </c>
      <c r="H3181" s="110" t="str">
        <f t="shared" si="240"/>
        <v>White (Stuck) River</v>
      </c>
      <c r="I3181" s="110" t="str">
        <f>IFERROR(VLOOKUP(H3181,LUTs!$A$1:$C$73,2,FALSE),"NA")</f>
        <v>Pierce</v>
      </c>
      <c r="J3181" s="110" t="str">
        <f>IFERROR(VLOOKUP(H3181,LUTs!$A$1:$C$73,3,FALSE),"NA")</f>
        <v>3South Puget Sound</v>
      </c>
      <c r="K3181" s="110" t="s">
        <v>26</v>
      </c>
      <c r="L3181" s="110" t="str">
        <f>VLOOKUP(K3181,LUTs!E$2:G$14,3,)</f>
        <v>20Other</v>
      </c>
      <c r="M3181" s="110" t="str">
        <f>VLOOKUP($K3181,LUTs!$E$2:$H$14,2,)</f>
        <v>Non Puget Sound</v>
      </c>
      <c r="N3181" s="110" t="str">
        <f>VLOOKUP($K3181,LUTs!$E$2:$H$14,4,)</f>
        <v>07Non Puget Sound</v>
      </c>
      <c r="O3181" s="110">
        <v>24</v>
      </c>
      <c r="P3181" s="110">
        <v>204.96</v>
      </c>
      <c r="Q3181" s="110">
        <f>SUMIFS('FW_Steelhead_by_Month_2010-2021'!Q$2:Q$3810,'FW_Steelhead_by_Month_2010-2021'!$B$2:$B$3810,'Rec_raw_catch_effort_2010-2021'!$B3181,'FW_Steelhead_by_Month_2010-2021'!$H$2:$H$3810,'Rec_raw_catch_effort_2010-2021'!$F3181,'FW_Steelhead_by_Month_2010-2021'!$M$2:$M$3810,'Rec_raw_catch_effort_2010-2021'!$K3181)</f>
        <v>24</v>
      </c>
      <c r="R3181" s="111">
        <f>VLOOKUP(B3181,Readme!$A$62:$C$74,3,)*Q3181</f>
        <v>502.25369579710303</v>
      </c>
      <c r="S3181" s="140" t="str">
        <f t="shared" si="241"/>
        <v>Y</v>
      </c>
      <c r="T3181" s="154">
        <f t="shared" si="242"/>
        <v>8.5400000000000009</v>
      </c>
      <c r="U3181" s="154">
        <f t="shared" si="243"/>
        <v>20.927237324879293</v>
      </c>
    </row>
    <row r="3182" spans="1:21" x14ac:dyDescent="0.35">
      <c r="A3182" s="110">
        <v>1088</v>
      </c>
      <c r="B3182" s="110">
        <v>2014</v>
      </c>
      <c r="C3182" s="110" t="s">
        <v>38</v>
      </c>
      <c r="D3182" s="110" t="s">
        <v>143</v>
      </c>
      <c r="E3182" s="110" t="s">
        <v>86</v>
      </c>
      <c r="F3182" s="117">
        <v>808</v>
      </c>
      <c r="G3182" s="110" t="s">
        <v>85</v>
      </c>
      <c r="H3182" s="110" t="str">
        <f t="shared" si="240"/>
        <v>White (Stuck) River</v>
      </c>
      <c r="I3182" s="110" t="str">
        <f>IFERROR(VLOOKUP(H3182,LUTs!$A$1:$C$73,2,FALSE),"NA")</f>
        <v>Pierce</v>
      </c>
      <c r="J3182" s="110" t="str">
        <f>IFERROR(VLOOKUP(H3182,LUTs!$A$1:$C$73,3,FALSE),"NA")</f>
        <v>3South Puget Sound</v>
      </c>
      <c r="K3182" s="110" t="s">
        <v>18</v>
      </c>
      <c r="L3182" s="110" t="str">
        <f>VLOOKUP(K3182,LUTs!E$2:G$14,3,)</f>
        <v>06King</v>
      </c>
      <c r="M3182" s="110" t="str">
        <f>VLOOKUP($K3182,LUTs!$E$2:$H$14,2,)</f>
        <v>South Puget Sound</v>
      </c>
      <c r="N3182" s="110" t="str">
        <f>VLOOKUP($K3182,LUTs!$E$2:$H$14,4,)</f>
        <v>02South Puget Sound</v>
      </c>
      <c r="O3182" s="110">
        <v>3</v>
      </c>
      <c r="P3182" s="110">
        <v>25.62</v>
      </c>
      <c r="Q3182" s="110">
        <f>SUMIFS('FW_Steelhead_by_Month_2010-2021'!Q$2:Q$3810,'FW_Steelhead_by_Month_2010-2021'!$B$2:$B$3810,'Rec_raw_catch_effort_2010-2021'!$B3182,'FW_Steelhead_by_Month_2010-2021'!$H$2:$H$3810,'Rec_raw_catch_effort_2010-2021'!$F3182,'FW_Steelhead_by_Month_2010-2021'!$M$2:$M$3810,'Rec_raw_catch_effort_2010-2021'!$K3182)</f>
        <v>0</v>
      </c>
      <c r="R3182" s="111">
        <f>VLOOKUP(B3182,Readme!$A$62:$C$74,3,)*Q3182</f>
        <v>0</v>
      </c>
      <c r="S3182" s="140" t="str">
        <f t="shared" si="241"/>
        <v>Y</v>
      </c>
      <c r="T3182" s="154">
        <f t="shared" si="242"/>
        <v>8.5400000000000009</v>
      </c>
      <c r="U3182" s="154" t="str">
        <f t="shared" si="243"/>
        <v>NA</v>
      </c>
    </row>
    <row r="3183" spans="1:21" x14ac:dyDescent="0.35">
      <c r="A3183" s="110">
        <v>1090</v>
      </c>
      <c r="B3183" s="110">
        <v>2016</v>
      </c>
      <c r="C3183" s="110" t="s">
        <v>38</v>
      </c>
      <c r="D3183" s="110" t="s">
        <v>143</v>
      </c>
      <c r="E3183" s="110" t="s">
        <v>86</v>
      </c>
      <c r="F3183" s="117">
        <v>808</v>
      </c>
      <c r="G3183" s="110" t="s">
        <v>85</v>
      </c>
      <c r="H3183" s="110" t="str">
        <f t="shared" si="240"/>
        <v>White (Stuck) River</v>
      </c>
      <c r="I3183" s="110" t="str">
        <f>IFERROR(VLOOKUP(H3183,LUTs!$A$1:$C$73,2,FALSE),"NA")</f>
        <v>Pierce</v>
      </c>
      <c r="J3183" s="110" t="str">
        <f>IFERROR(VLOOKUP(H3183,LUTs!$A$1:$C$73,3,FALSE),"NA")</f>
        <v>3South Puget Sound</v>
      </c>
      <c r="K3183" s="110" t="s">
        <v>20</v>
      </c>
      <c r="L3183" s="110" t="str">
        <f>VLOOKUP(K3183,LUTs!E$2:G$14,3,)</f>
        <v>07Pierce</v>
      </c>
      <c r="M3183" s="110" t="str">
        <f>VLOOKUP($K3183,LUTs!$E$2:$H$14,2,)</f>
        <v>South Puget Sound</v>
      </c>
      <c r="N3183" s="110" t="str">
        <f>VLOOKUP($K3183,LUTs!$E$2:$H$14,4,)</f>
        <v>02South Puget Sound</v>
      </c>
      <c r="O3183" s="110">
        <v>5</v>
      </c>
      <c r="P3183" s="110">
        <v>42.7</v>
      </c>
      <c r="Q3183" s="110">
        <f>SUMIFS('FW_Steelhead_by_Month_2010-2021'!Q$2:Q$3810,'FW_Steelhead_by_Month_2010-2021'!$B$2:$B$3810,'Rec_raw_catch_effort_2010-2021'!$B3183,'FW_Steelhead_by_Month_2010-2021'!$H$2:$H$3810,'Rec_raw_catch_effort_2010-2021'!$F3183,'FW_Steelhead_by_Month_2010-2021'!$M$2:$M$3810,'Rec_raw_catch_effort_2010-2021'!$K3183)</f>
        <v>0</v>
      </c>
      <c r="R3183" s="111">
        <f>VLOOKUP(B3183,Readme!$A$62:$C$74,3,)*Q3183</f>
        <v>0</v>
      </c>
      <c r="S3183" s="140" t="str">
        <f t="shared" si="241"/>
        <v>Y</v>
      </c>
      <c r="T3183" s="154">
        <f t="shared" si="242"/>
        <v>8.5400000000000009</v>
      </c>
      <c r="U3183" s="154" t="str">
        <f t="shared" si="243"/>
        <v>NA</v>
      </c>
    </row>
    <row r="3184" spans="1:21" x14ac:dyDescent="0.35">
      <c r="A3184" s="110">
        <v>2946</v>
      </c>
      <c r="B3184" s="110">
        <v>2010</v>
      </c>
      <c r="C3184" s="110" t="s">
        <v>38</v>
      </c>
      <c r="D3184" s="110" t="s">
        <v>143</v>
      </c>
      <c r="E3184" s="110" t="s">
        <v>86</v>
      </c>
      <c r="F3184" s="117">
        <v>810</v>
      </c>
      <c r="G3184" s="110" t="s">
        <v>69</v>
      </c>
      <c r="H3184" s="110" t="str">
        <f t="shared" si="240"/>
        <v>Pysht River</v>
      </c>
      <c r="I3184" s="110" t="str">
        <f>IFERROR(VLOOKUP(H3184,LUTs!$A$1:$C$73,2,FALSE),"NA")</f>
        <v>Clallam</v>
      </c>
      <c r="J3184" s="110" t="str">
        <f>IFERROR(VLOOKUP(H3184,LUTs!$A$1:$C$73,3,FALSE),"NA")</f>
        <v>0Strait of Juan de Fuca</v>
      </c>
      <c r="K3184" s="110" t="s">
        <v>24</v>
      </c>
      <c r="L3184" s="110" t="str">
        <f>VLOOKUP(K3184,LUTs!E$2:G$14,3,)</f>
        <v>11Clallam</v>
      </c>
      <c r="M3184" s="110" t="str">
        <f>VLOOKUP($K3184,LUTs!$E$2:$H$14,2,)</f>
        <v>Strait of Juan de Fuca</v>
      </c>
      <c r="N3184" s="110" t="str">
        <f>VLOOKUP($K3184,LUTs!$E$2:$H$14,4,)</f>
        <v>03Strait of Juan de Fuca</v>
      </c>
      <c r="O3184" s="110">
        <v>16.625</v>
      </c>
      <c r="P3184" s="110">
        <v>141.97749999999999</v>
      </c>
      <c r="Q3184" s="110">
        <f>SUMIFS('FW_Steelhead_by_Month_2010-2021'!Q$2:Q$3810,'FW_Steelhead_by_Month_2010-2021'!$B$2:$B$3810,'Rec_raw_catch_effort_2010-2021'!$B3184,'FW_Steelhead_by_Month_2010-2021'!$H$2:$H$3810,'Rec_raw_catch_effort_2010-2021'!$F3184,'FW_Steelhead_by_Month_2010-2021'!$M$2:$M$3810,'Rec_raw_catch_effort_2010-2021'!$K3184)</f>
        <v>9.6</v>
      </c>
      <c r="R3184" s="111">
        <f>VLOOKUP(B3184,Readme!$A$62:$C$74,3,)*Q3184</f>
        <v>200.90147831884121</v>
      </c>
      <c r="S3184" s="140" t="str">
        <f t="shared" si="241"/>
        <v>Y</v>
      </c>
      <c r="T3184" s="154">
        <f t="shared" si="242"/>
        <v>8.5399999999999991</v>
      </c>
      <c r="U3184" s="154">
        <f t="shared" si="243"/>
        <v>20.927237324879293</v>
      </c>
    </row>
    <row r="3185" spans="1:21" x14ac:dyDescent="0.35">
      <c r="A3185" s="110">
        <v>2945</v>
      </c>
      <c r="B3185" s="110">
        <v>2010</v>
      </c>
      <c r="C3185" s="110" t="s">
        <v>38</v>
      </c>
      <c r="D3185" s="110" t="s">
        <v>143</v>
      </c>
      <c r="E3185" s="110" t="s">
        <v>86</v>
      </c>
      <c r="F3185" s="117">
        <v>810</v>
      </c>
      <c r="G3185" s="110" t="s">
        <v>69</v>
      </c>
      <c r="H3185" s="110" t="str">
        <f t="shared" si="240"/>
        <v>Pysht River</v>
      </c>
      <c r="I3185" s="110" t="str">
        <f>IFERROR(VLOOKUP(H3185,LUTs!$A$1:$C$73,2,FALSE),"NA")</f>
        <v>Clallam</v>
      </c>
      <c r="J3185" s="110" t="str">
        <f>IFERROR(VLOOKUP(H3185,LUTs!$A$1:$C$73,3,FALSE),"NA")</f>
        <v>0Strait of Juan de Fuca</v>
      </c>
      <c r="K3185" s="110" t="s">
        <v>17</v>
      </c>
      <c r="L3185" s="110" t="str">
        <f>VLOOKUP(K3185,LUTs!E$2:G$14,3,)</f>
        <v>04Island</v>
      </c>
      <c r="M3185" s="110" t="str">
        <f>VLOOKUP($K3185,LUTs!$E$2:$H$14,2,)</f>
        <v>North Puget Sound</v>
      </c>
      <c r="N3185" s="110" t="str">
        <f>VLOOKUP($K3185,LUTs!$E$2:$H$14,4,)</f>
        <v>01North Puget Sound</v>
      </c>
      <c r="O3185" s="110">
        <v>2.375</v>
      </c>
      <c r="P3185" s="110">
        <v>20.282499999999999</v>
      </c>
      <c r="Q3185" s="110">
        <f>SUMIFS('FW_Steelhead_by_Month_2010-2021'!Q$2:Q$3810,'FW_Steelhead_by_Month_2010-2021'!$B$2:$B$3810,'Rec_raw_catch_effort_2010-2021'!$B3185,'FW_Steelhead_by_Month_2010-2021'!$H$2:$H$3810,'Rec_raw_catch_effort_2010-2021'!$F3185,'FW_Steelhead_by_Month_2010-2021'!$M$2:$M$3810,'Rec_raw_catch_effort_2010-2021'!$K3185)</f>
        <v>2.4</v>
      </c>
      <c r="R3185" s="111">
        <f>VLOOKUP(B3185,Readme!$A$62:$C$74,3,)*Q3185</f>
        <v>50.225369579710303</v>
      </c>
      <c r="S3185" s="140" t="str">
        <f t="shared" si="241"/>
        <v>Y</v>
      </c>
      <c r="T3185" s="154">
        <f t="shared" si="242"/>
        <v>8.5399999999999991</v>
      </c>
      <c r="U3185" s="154">
        <f t="shared" si="243"/>
        <v>20.927237324879293</v>
      </c>
    </row>
    <row r="3186" spans="1:21" x14ac:dyDescent="0.35">
      <c r="A3186" s="110">
        <v>3067</v>
      </c>
      <c r="B3186" s="110">
        <v>2011</v>
      </c>
      <c r="C3186" s="110" t="s">
        <v>38</v>
      </c>
      <c r="D3186" s="110" t="s">
        <v>143</v>
      </c>
      <c r="E3186" s="110" t="s">
        <v>86</v>
      </c>
      <c r="F3186" s="117">
        <v>810</v>
      </c>
      <c r="G3186" s="110" t="s">
        <v>69</v>
      </c>
      <c r="H3186" s="110" t="str">
        <f t="shared" si="240"/>
        <v>Pysht River</v>
      </c>
      <c r="I3186" s="110" t="str">
        <f>IFERROR(VLOOKUP(H3186,LUTs!$A$1:$C$73,2,FALSE),"NA")</f>
        <v>Clallam</v>
      </c>
      <c r="J3186" s="110" t="str">
        <f>IFERROR(VLOOKUP(H3186,LUTs!$A$1:$C$73,3,FALSE),"NA")</f>
        <v>0Strait of Juan de Fuca</v>
      </c>
      <c r="K3186" s="110" t="s">
        <v>24</v>
      </c>
      <c r="L3186" s="110" t="str">
        <f>VLOOKUP(K3186,LUTs!E$2:G$14,3,)</f>
        <v>11Clallam</v>
      </c>
      <c r="M3186" s="110" t="str">
        <f>VLOOKUP($K3186,LUTs!$E$2:$H$14,2,)</f>
        <v>Strait of Juan de Fuca</v>
      </c>
      <c r="N3186" s="110" t="str">
        <f>VLOOKUP($K3186,LUTs!$E$2:$H$14,4,)</f>
        <v>03Strait of Juan de Fuca</v>
      </c>
      <c r="O3186" s="110">
        <v>0.66666666666666996</v>
      </c>
      <c r="P3186" s="110">
        <v>12.366666666666699</v>
      </c>
      <c r="Q3186" s="110">
        <f>SUMIFS('FW_Steelhead_by_Month_2010-2021'!Q$2:Q$3810,'FW_Steelhead_by_Month_2010-2021'!$B$2:$B$3810,'Rec_raw_catch_effort_2010-2021'!$B3186,'FW_Steelhead_by_Month_2010-2021'!$H$2:$H$3810,'Rec_raw_catch_effort_2010-2021'!$F3186,'FW_Steelhead_by_Month_2010-2021'!$M$2:$M$3810,'Rec_raw_catch_effort_2010-2021'!$K3186)</f>
        <v>9.5</v>
      </c>
      <c r="R3186" s="111">
        <f>VLOOKUP(B3186,Readme!$A$62:$C$74,3,)*Q3186</f>
        <v>198.80875458635327</v>
      </c>
      <c r="S3186" s="140" t="str">
        <f t="shared" si="241"/>
        <v>Y</v>
      </c>
      <c r="T3186" s="154">
        <f t="shared" si="242"/>
        <v>18.549999999999958</v>
      </c>
      <c r="U3186" s="154">
        <f t="shared" si="243"/>
        <v>20.927237324879293</v>
      </c>
    </row>
    <row r="3187" spans="1:21" x14ac:dyDescent="0.35">
      <c r="A3187" s="110">
        <v>3066</v>
      </c>
      <c r="B3187" s="110">
        <v>2011</v>
      </c>
      <c r="C3187" s="110" t="s">
        <v>38</v>
      </c>
      <c r="D3187" s="110" t="s">
        <v>143</v>
      </c>
      <c r="E3187" s="110" t="s">
        <v>86</v>
      </c>
      <c r="F3187" s="117">
        <v>810</v>
      </c>
      <c r="G3187" s="110" t="s">
        <v>69</v>
      </c>
      <c r="H3187" s="110" t="str">
        <f t="shared" si="240"/>
        <v>Pysht River</v>
      </c>
      <c r="I3187" s="110" t="str">
        <f>IFERROR(VLOOKUP(H3187,LUTs!$A$1:$C$73,2,FALSE),"NA")</f>
        <v>Clallam</v>
      </c>
      <c r="J3187" s="110" t="str">
        <f>IFERROR(VLOOKUP(H3187,LUTs!$A$1:$C$73,3,FALSE),"NA")</f>
        <v>0Strait of Juan de Fuca</v>
      </c>
      <c r="K3187" s="110" t="s">
        <v>23</v>
      </c>
      <c r="L3187" s="110" t="str">
        <f>VLOOKUP(K3187,LUTs!E$2:G$14,3,)</f>
        <v>10Kitsap</v>
      </c>
      <c r="M3187" s="110" t="str">
        <f>VLOOKUP($K3187,LUTs!$E$2:$H$14,2,)</f>
        <v>South Puget Sound</v>
      </c>
      <c r="N3187" s="110" t="str">
        <f>VLOOKUP($K3187,LUTs!$E$2:$H$14,4,)</f>
        <v>02South Puget Sound</v>
      </c>
      <c r="O3187" s="110">
        <v>1.3333333333333299</v>
      </c>
      <c r="P3187" s="110">
        <v>24.733333333333299</v>
      </c>
      <c r="Q3187" s="110">
        <f>SUMIFS('FW_Steelhead_by_Month_2010-2021'!Q$2:Q$3810,'FW_Steelhead_by_Month_2010-2021'!$B$2:$B$3810,'Rec_raw_catch_effort_2010-2021'!$B3187,'FW_Steelhead_by_Month_2010-2021'!$H$2:$H$3810,'Rec_raw_catch_effort_2010-2021'!$F3187,'FW_Steelhead_by_Month_2010-2021'!$M$2:$M$3810,'Rec_raw_catch_effort_2010-2021'!$K3187)</f>
        <v>2.5</v>
      </c>
      <c r="R3187" s="111">
        <f>VLOOKUP(B3187,Readme!$A$62:$C$74,3,)*Q3187</f>
        <v>52.318093312198229</v>
      </c>
      <c r="S3187" s="140" t="str">
        <f t="shared" si="241"/>
        <v>Y</v>
      </c>
      <c r="T3187" s="154">
        <f t="shared" si="242"/>
        <v>18.550000000000022</v>
      </c>
      <c r="U3187" s="154">
        <f t="shared" si="243"/>
        <v>20.927237324879293</v>
      </c>
    </row>
    <row r="3188" spans="1:21" x14ac:dyDescent="0.35">
      <c r="A3188" s="110">
        <v>3176</v>
      </c>
      <c r="B3188" s="110">
        <v>2012</v>
      </c>
      <c r="C3188" s="110" t="s">
        <v>38</v>
      </c>
      <c r="D3188" s="110" t="s">
        <v>143</v>
      </c>
      <c r="E3188" s="110" t="s">
        <v>86</v>
      </c>
      <c r="F3188" s="117">
        <v>810</v>
      </c>
      <c r="G3188" s="110" t="s">
        <v>69</v>
      </c>
      <c r="H3188" s="110" t="str">
        <f t="shared" si="240"/>
        <v>Pysht River</v>
      </c>
      <c r="I3188" s="110" t="str">
        <f>IFERROR(VLOOKUP(H3188,LUTs!$A$1:$C$73,2,FALSE),"NA")</f>
        <v>Clallam</v>
      </c>
      <c r="J3188" s="110" t="str">
        <f>IFERROR(VLOOKUP(H3188,LUTs!$A$1:$C$73,3,FALSE),"NA")</f>
        <v>0Strait of Juan de Fuca</v>
      </c>
      <c r="K3188" s="110" t="s">
        <v>24</v>
      </c>
      <c r="L3188" s="110" t="str">
        <f>VLOOKUP(K3188,LUTs!E$2:G$14,3,)</f>
        <v>11Clallam</v>
      </c>
      <c r="M3188" s="110" t="str">
        <f>VLOOKUP($K3188,LUTs!$E$2:$H$14,2,)</f>
        <v>Strait of Juan de Fuca</v>
      </c>
      <c r="N3188" s="110" t="str">
        <f>VLOOKUP($K3188,LUTs!$E$2:$H$14,4,)</f>
        <v>03Strait of Juan de Fuca</v>
      </c>
      <c r="O3188" s="110">
        <v>22</v>
      </c>
      <c r="P3188" s="110">
        <v>187.88</v>
      </c>
      <c r="Q3188" s="110">
        <f>SUMIFS('FW_Steelhead_by_Month_2010-2021'!Q$2:Q$3810,'FW_Steelhead_by_Month_2010-2021'!$B$2:$B$3810,'Rec_raw_catch_effort_2010-2021'!$B3188,'FW_Steelhead_by_Month_2010-2021'!$H$2:$H$3810,'Rec_raw_catch_effort_2010-2021'!$F3188,'FW_Steelhead_by_Month_2010-2021'!$M$2:$M$3810,'Rec_raw_catch_effort_2010-2021'!$K3188)</f>
        <v>3</v>
      </c>
      <c r="R3188" s="111">
        <f>VLOOKUP(B3188,Readme!$A$62:$C$74,3,)*Q3188</f>
        <v>62.781711974637879</v>
      </c>
      <c r="S3188" s="140" t="str">
        <f t="shared" si="241"/>
        <v>Y</v>
      </c>
      <c r="T3188" s="154">
        <f t="shared" si="242"/>
        <v>8.5399999999999991</v>
      </c>
      <c r="U3188" s="154">
        <f t="shared" si="243"/>
        <v>20.927237324879293</v>
      </c>
    </row>
    <row r="3189" spans="1:21" x14ac:dyDescent="0.35">
      <c r="A3189" s="110">
        <v>3284</v>
      </c>
      <c r="B3189" s="110">
        <v>2013</v>
      </c>
      <c r="C3189" s="110" t="s">
        <v>38</v>
      </c>
      <c r="D3189" s="110" t="s">
        <v>143</v>
      </c>
      <c r="E3189" s="110" t="s">
        <v>86</v>
      </c>
      <c r="F3189" s="117">
        <v>810</v>
      </c>
      <c r="G3189" s="110" t="s">
        <v>69</v>
      </c>
      <c r="H3189" s="110" t="str">
        <f t="shared" si="240"/>
        <v>Pysht River</v>
      </c>
      <c r="I3189" s="110" t="str">
        <f>IFERROR(VLOOKUP(H3189,LUTs!$A$1:$C$73,2,FALSE),"NA")</f>
        <v>Clallam</v>
      </c>
      <c r="J3189" s="110" t="str">
        <f>IFERROR(VLOOKUP(H3189,LUTs!$A$1:$C$73,3,FALSE),"NA")</f>
        <v>0Strait of Juan de Fuca</v>
      </c>
      <c r="K3189" s="110" t="s">
        <v>23</v>
      </c>
      <c r="L3189" s="110" t="str">
        <f>VLOOKUP(K3189,LUTs!E$2:G$14,3,)</f>
        <v>10Kitsap</v>
      </c>
      <c r="M3189" s="110" t="str">
        <f>VLOOKUP($K3189,LUTs!$E$2:$H$14,2,)</f>
        <v>South Puget Sound</v>
      </c>
      <c r="N3189" s="110" t="str">
        <f>VLOOKUP($K3189,LUTs!$E$2:$H$14,4,)</f>
        <v>02South Puget Sound</v>
      </c>
      <c r="O3189" s="110">
        <v>3</v>
      </c>
      <c r="P3189" s="110">
        <v>55.65</v>
      </c>
      <c r="Q3189" s="110">
        <f>SUMIFS('FW_Steelhead_by_Month_2010-2021'!Q$2:Q$3810,'FW_Steelhead_by_Month_2010-2021'!$B$2:$B$3810,'Rec_raw_catch_effort_2010-2021'!$B3189,'FW_Steelhead_by_Month_2010-2021'!$H$2:$H$3810,'Rec_raw_catch_effort_2010-2021'!$F3189,'FW_Steelhead_by_Month_2010-2021'!$M$2:$M$3810,'Rec_raw_catch_effort_2010-2021'!$K3189)</f>
        <v>3</v>
      </c>
      <c r="R3189" s="111">
        <f>VLOOKUP(B3189,Readme!$A$62:$C$74,3,)*Q3189</f>
        <v>62.781711974637879</v>
      </c>
      <c r="S3189" s="140" t="str">
        <f t="shared" si="241"/>
        <v>Y</v>
      </c>
      <c r="T3189" s="154">
        <f t="shared" si="242"/>
        <v>18.55</v>
      </c>
      <c r="U3189" s="154">
        <f t="shared" si="243"/>
        <v>20.927237324879293</v>
      </c>
    </row>
    <row r="3190" spans="1:21" x14ac:dyDescent="0.35">
      <c r="A3190" s="110">
        <v>3382</v>
      </c>
      <c r="B3190" s="110">
        <v>2014</v>
      </c>
      <c r="C3190" s="110" t="s">
        <v>38</v>
      </c>
      <c r="D3190" s="110" t="s">
        <v>143</v>
      </c>
      <c r="E3190" s="110" t="s">
        <v>86</v>
      </c>
      <c r="F3190" s="117">
        <v>810</v>
      </c>
      <c r="G3190" s="110" t="s">
        <v>69</v>
      </c>
      <c r="H3190" s="110" t="str">
        <f t="shared" si="240"/>
        <v>Pysht River</v>
      </c>
      <c r="I3190" s="110" t="str">
        <f>IFERROR(VLOOKUP(H3190,LUTs!$A$1:$C$73,2,FALSE),"NA")</f>
        <v>Clallam</v>
      </c>
      <c r="J3190" s="110" t="str">
        <f>IFERROR(VLOOKUP(H3190,LUTs!$A$1:$C$73,3,FALSE),"NA")</f>
        <v>0Strait of Juan de Fuca</v>
      </c>
      <c r="K3190" s="110" t="s">
        <v>24</v>
      </c>
      <c r="L3190" s="110" t="str">
        <f>VLOOKUP(K3190,LUTs!E$2:G$14,3,)</f>
        <v>11Clallam</v>
      </c>
      <c r="M3190" s="110" t="str">
        <f>VLOOKUP($K3190,LUTs!$E$2:$H$14,2,)</f>
        <v>Strait of Juan de Fuca</v>
      </c>
      <c r="N3190" s="110" t="str">
        <f>VLOOKUP($K3190,LUTs!$E$2:$H$14,4,)</f>
        <v>03Strait of Juan de Fuca</v>
      </c>
      <c r="O3190" s="110">
        <v>18</v>
      </c>
      <c r="P3190" s="110">
        <v>153.72</v>
      </c>
      <c r="Q3190" s="110">
        <f>SUMIFS('FW_Steelhead_by_Month_2010-2021'!Q$2:Q$3810,'FW_Steelhead_by_Month_2010-2021'!$B$2:$B$3810,'Rec_raw_catch_effort_2010-2021'!$B3190,'FW_Steelhead_by_Month_2010-2021'!$H$2:$H$3810,'Rec_raw_catch_effort_2010-2021'!$F3190,'FW_Steelhead_by_Month_2010-2021'!$M$2:$M$3810,'Rec_raw_catch_effort_2010-2021'!$K3190)</f>
        <v>9</v>
      </c>
      <c r="R3190" s="111">
        <f>VLOOKUP(B3190,Readme!$A$62:$C$74,3,)*Q3190</f>
        <v>188.34513592391363</v>
      </c>
      <c r="S3190" s="140" t="str">
        <f t="shared" si="241"/>
        <v>Y</v>
      </c>
      <c r="T3190" s="154">
        <f t="shared" si="242"/>
        <v>8.5399999999999991</v>
      </c>
      <c r="U3190" s="154">
        <f t="shared" si="243"/>
        <v>20.927237324879293</v>
      </c>
    </row>
    <row r="3191" spans="1:21" x14ac:dyDescent="0.35">
      <c r="A3191" s="110">
        <v>3504</v>
      </c>
      <c r="B3191" s="110">
        <v>2016</v>
      </c>
      <c r="C3191" s="110" t="s">
        <v>38</v>
      </c>
      <c r="D3191" s="110" t="s">
        <v>143</v>
      </c>
      <c r="E3191" s="110" t="s">
        <v>86</v>
      </c>
      <c r="F3191" s="117">
        <v>810</v>
      </c>
      <c r="G3191" s="110" t="s">
        <v>69</v>
      </c>
      <c r="H3191" s="110" t="str">
        <f t="shared" si="240"/>
        <v>Pysht River</v>
      </c>
      <c r="I3191" s="110" t="str">
        <f>IFERROR(VLOOKUP(H3191,LUTs!$A$1:$C$73,2,FALSE),"NA")</f>
        <v>Clallam</v>
      </c>
      <c r="J3191" s="110" t="str">
        <f>IFERROR(VLOOKUP(H3191,LUTs!$A$1:$C$73,3,FALSE),"NA")</f>
        <v>0Strait of Juan de Fuca</v>
      </c>
      <c r="K3191" s="110" t="s">
        <v>24</v>
      </c>
      <c r="L3191" s="110" t="str">
        <f>VLOOKUP(K3191,LUTs!E$2:G$14,3,)</f>
        <v>11Clallam</v>
      </c>
      <c r="M3191" s="110" t="str">
        <f>VLOOKUP($K3191,LUTs!$E$2:$H$14,2,)</f>
        <v>Strait of Juan de Fuca</v>
      </c>
      <c r="N3191" s="110" t="str">
        <f>VLOOKUP($K3191,LUTs!$E$2:$H$14,4,)</f>
        <v>03Strait of Juan de Fuca</v>
      </c>
      <c r="O3191" s="110">
        <v>21</v>
      </c>
      <c r="P3191" s="110">
        <v>179.34</v>
      </c>
      <c r="Q3191" s="110">
        <f>SUMIFS('FW_Steelhead_by_Month_2010-2021'!Q$2:Q$3810,'FW_Steelhead_by_Month_2010-2021'!$B$2:$B$3810,'Rec_raw_catch_effort_2010-2021'!$B3191,'FW_Steelhead_by_Month_2010-2021'!$H$2:$H$3810,'Rec_raw_catch_effort_2010-2021'!$F3191,'FW_Steelhead_by_Month_2010-2021'!$M$2:$M$3810,'Rec_raw_catch_effort_2010-2021'!$K3191)</f>
        <v>21</v>
      </c>
      <c r="R3191" s="111">
        <f>VLOOKUP(B3191,Readme!$A$62:$C$74,3,)*Q3191</f>
        <v>439.47198382246518</v>
      </c>
      <c r="S3191" s="140" t="str">
        <f t="shared" si="241"/>
        <v>Y</v>
      </c>
      <c r="T3191" s="154">
        <f t="shared" si="242"/>
        <v>8.5400000000000009</v>
      </c>
      <c r="U3191" s="154">
        <f t="shared" si="243"/>
        <v>20.927237324879293</v>
      </c>
    </row>
    <row r="3192" spans="1:21" x14ac:dyDescent="0.35">
      <c r="A3192" s="110">
        <v>2947</v>
      </c>
      <c r="B3192" s="110">
        <v>2010</v>
      </c>
      <c r="C3192" s="110" t="s">
        <v>38</v>
      </c>
      <c r="D3192" s="110" t="s">
        <v>143</v>
      </c>
      <c r="E3192" s="110" t="s">
        <v>86</v>
      </c>
      <c r="F3192" s="117">
        <v>814</v>
      </c>
      <c r="G3192" s="110" t="s">
        <v>94</v>
      </c>
      <c r="H3192" s="110" t="str">
        <f t="shared" si="240"/>
        <v>Salt Creek (Clallam Co.)</v>
      </c>
      <c r="I3192" s="110" t="str">
        <f>IFERROR(VLOOKUP(H3192,LUTs!$A$1:$C$73,2,FALSE),"NA")</f>
        <v>Clallam</v>
      </c>
      <c r="J3192" s="110" t="str">
        <f>IFERROR(VLOOKUP(H3192,LUTs!$A$1:$C$73,3,FALSE),"NA")</f>
        <v>0Strait of Juan de Fuca</v>
      </c>
      <c r="K3192" s="110" t="s">
        <v>24</v>
      </c>
      <c r="L3192" s="110" t="str">
        <f>VLOOKUP(K3192,LUTs!E$2:G$14,3,)</f>
        <v>11Clallam</v>
      </c>
      <c r="M3192" s="110" t="str">
        <f>VLOOKUP($K3192,LUTs!$E$2:$H$14,2,)</f>
        <v>Strait of Juan de Fuca</v>
      </c>
      <c r="N3192" s="110" t="str">
        <f>VLOOKUP($K3192,LUTs!$E$2:$H$14,4,)</f>
        <v>03Strait of Juan de Fuca</v>
      </c>
      <c r="O3192" s="110">
        <v>2</v>
      </c>
      <c r="P3192" s="110">
        <v>17.079999999999998</v>
      </c>
      <c r="Q3192" s="110">
        <f>SUMIFS('FW_Steelhead_by_Month_2010-2021'!Q$2:Q$3810,'FW_Steelhead_by_Month_2010-2021'!$B$2:$B$3810,'Rec_raw_catch_effort_2010-2021'!$B3192,'FW_Steelhead_by_Month_2010-2021'!$H$2:$H$3810,'Rec_raw_catch_effort_2010-2021'!$F3192,'FW_Steelhead_by_Month_2010-2021'!$M$2:$M$3810,'Rec_raw_catch_effort_2010-2021'!$K3192)</f>
        <v>0</v>
      </c>
      <c r="R3192" s="111">
        <f>VLOOKUP(B3192,Readme!$A$62:$C$74,3,)*Q3192</f>
        <v>0</v>
      </c>
      <c r="S3192" s="140" t="str">
        <f t="shared" si="241"/>
        <v>Y</v>
      </c>
      <c r="T3192" s="154">
        <f t="shared" si="242"/>
        <v>8.5399999999999991</v>
      </c>
      <c r="U3192" s="154" t="str">
        <f t="shared" si="243"/>
        <v>NA</v>
      </c>
    </row>
    <row r="3193" spans="1:21" x14ac:dyDescent="0.35">
      <c r="A3193" s="110">
        <v>3383</v>
      </c>
      <c r="B3193" s="110">
        <v>2014</v>
      </c>
      <c r="C3193" s="110" t="s">
        <v>38</v>
      </c>
      <c r="D3193" s="110" t="s">
        <v>143</v>
      </c>
      <c r="E3193" s="110" t="s">
        <v>86</v>
      </c>
      <c r="F3193" s="117">
        <v>814</v>
      </c>
      <c r="G3193" s="110" t="s">
        <v>94</v>
      </c>
      <c r="H3193" s="110" t="str">
        <f t="shared" si="240"/>
        <v>Salt Creek (Clallam Co.)</v>
      </c>
      <c r="I3193" s="110" t="str">
        <f>IFERROR(VLOOKUP(H3193,LUTs!$A$1:$C$73,2,FALSE),"NA")</f>
        <v>Clallam</v>
      </c>
      <c r="J3193" s="110" t="str">
        <f>IFERROR(VLOOKUP(H3193,LUTs!$A$1:$C$73,3,FALSE),"NA")</f>
        <v>0Strait of Juan de Fuca</v>
      </c>
      <c r="K3193" s="110" t="s">
        <v>16</v>
      </c>
      <c r="L3193" s="110" t="str">
        <f>VLOOKUP(K3193,LUTs!E$2:G$14,3,)</f>
        <v>03Snohomish</v>
      </c>
      <c r="M3193" s="110" t="str">
        <f>VLOOKUP($K3193,LUTs!$E$2:$H$14,2,)</f>
        <v>North Puget Sound</v>
      </c>
      <c r="N3193" s="110" t="str">
        <f>VLOOKUP($K3193,LUTs!$E$2:$H$14,4,)</f>
        <v>01North Puget Sound</v>
      </c>
      <c r="O3193" s="110">
        <v>12</v>
      </c>
      <c r="P3193" s="110">
        <v>102.48</v>
      </c>
      <c r="Q3193" s="110">
        <f>SUMIFS('FW_Steelhead_by_Month_2010-2021'!Q$2:Q$3810,'FW_Steelhead_by_Month_2010-2021'!$B$2:$B$3810,'Rec_raw_catch_effort_2010-2021'!$B3193,'FW_Steelhead_by_Month_2010-2021'!$H$2:$H$3810,'Rec_raw_catch_effort_2010-2021'!$F3193,'FW_Steelhead_by_Month_2010-2021'!$M$2:$M$3810,'Rec_raw_catch_effort_2010-2021'!$K3193)</f>
        <v>12</v>
      </c>
      <c r="R3193" s="111">
        <f>VLOOKUP(B3193,Readme!$A$62:$C$74,3,)*Q3193</f>
        <v>251.12684789855152</v>
      </c>
      <c r="S3193" s="140" t="str">
        <f t="shared" si="241"/>
        <v>Y</v>
      </c>
      <c r="T3193" s="154">
        <f t="shared" si="242"/>
        <v>8.5400000000000009</v>
      </c>
      <c r="U3193" s="154">
        <f t="shared" si="243"/>
        <v>20.927237324879293</v>
      </c>
    </row>
    <row r="3194" spans="1:21" x14ac:dyDescent="0.35">
      <c r="A3194" s="110">
        <v>1829</v>
      </c>
      <c r="B3194" s="110">
        <v>2010</v>
      </c>
      <c r="C3194" s="110" t="s">
        <v>38</v>
      </c>
      <c r="D3194" s="110" t="s">
        <v>143</v>
      </c>
      <c r="E3194" s="110" t="s">
        <v>86</v>
      </c>
      <c r="F3194" s="117">
        <v>816</v>
      </c>
      <c r="G3194" s="110" t="s">
        <v>56</v>
      </c>
      <c r="H3194" s="110" t="str">
        <f t="shared" si="240"/>
        <v>Samish River</v>
      </c>
      <c r="I3194" s="110" t="str">
        <f>IFERROR(VLOOKUP(H3194,LUTs!$A$1:$C$73,2,FALSE),"NA")</f>
        <v>Skagit</v>
      </c>
      <c r="J3194" s="110" t="str">
        <f>IFERROR(VLOOKUP(H3194,LUTs!$A$1:$C$73,3,FALSE),"NA")</f>
        <v>1North Puget Sound</v>
      </c>
      <c r="K3194" s="110" t="s">
        <v>18</v>
      </c>
      <c r="L3194" s="110" t="str">
        <f>VLOOKUP(K3194,LUTs!E$2:G$14,3,)</f>
        <v>06King</v>
      </c>
      <c r="M3194" s="110" t="str">
        <f>VLOOKUP($K3194,LUTs!$E$2:$H$14,2,)</f>
        <v>South Puget Sound</v>
      </c>
      <c r="N3194" s="110" t="str">
        <f>VLOOKUP($K3194,LUTs!$E$2:$H$14,4,)</f>
        <v>02South Puget Sound</v>
      </c>
      <c r="O3194" s="110">
        <v>2</v>
      </c>
      <c r="P3194" s="110">
        <v>17.079999999999998</v>
      </c>
      <c r="Q3194" s="110">
        <f>SUMIFS('FW_Steelhead_by_Month_2010-2021'!Q$2:Q$3810,'FW_Steelhead_by_Month_2010-2021'!$B$2:$B$3810,'Rec_raw_catch_effort_2010-2021'!$B3194,'FW_Steelhead_by_Month_2010-2021'!$H$2:$H$3810,'Rec_raw_catch_effort_2010-2021'!$F3194,'FW_Steelhead_by_Month_2010-2021'!$M$2:$M$3810,'Rec_raw_catch_effort_2010-2021'!$K3194)</f>
        <v>0</v>
      </c>
      <c r="R3194" s="111">
        <f>VLOOKUP(B3194,Readme!$A$62:$C$74,3,)*Q3194</f>
        <v>0</v>
      </c>
      <c r="S3194" s="140" t="str">
        <f t="shared" si="241"/>
        <v>Y</v>
      </c>
      <c r="T3194" s="154">
        <f t="shared" si="242"/>
        <v>8.5399999999999991</v>
      </c>
      <c r="U3194" s="154" t="str">
        <f t="shared" si="243"/>
        <v>NA</v>
      </c>
    </row>
    <row r="3195" spans="1:21" x14ac:dyDescent="0.35">
      <c r="A3195" s="110">
        <v>1996</v>
      </c>
      <c r="B3195" s="110">
        <v>2014</v>
      </c>
      <c r="C3195" s="110" t="s">
        <v>38</v>
      </c>
      <c r="D3195" s="110" t="s">
        <v>143</v>
      </c>
      <c r="E3195" s="110" t="s">
        <v>86</v>
      </c>
      <c r="F3195" s="117">
        <v>816</v>
      </c>
      <c r="G3195" s="110" t="s">
        <v>56</v>
      </c>
      <c r="H3195" s="110" t="str">
        <f t="shared" si="240"/>
        <v>Samish River</v>
      </c>
      <c r="I3195" s="110" t="str">
        <f>IFERROR(VLOOKUP(H3195,LUTs!$A$1:$C$73,2,FALSE),"NA")</f>
        <v>Skagit</v>
      </c>
      <c r="J3195" s="110" t="str">
        <f>IFERROR(VLOOKUP(H3195,LUTs!$A$1:$C$73,3,FALSE),"NA")</f>
        <v>1North Puget Sound</v>
      </c>
      <c r="K3195" s="110" t="s">
        <v>18</v>
      </c>
      <c r="L3195" s="110" t="str">
        <f>VLOOKUP(K3195,LUTs!E$2:G$14,3,)</f>
        <v>06King</v>
      </c>
      <c r="M3195" s="110" t="str">
        <f>VLOOKUP($K3195,LUTs!$E$2:$H$14,2,)</f>
        <v>South Puget Sound</v>
      </c>
      <c r="N3195" s="110" t="str">
        <f>VLOOKUP($K3195,LUTs!$E$2:$H$14,4,)</f>
        <v>02South Puget Sound</v>
      </c>
      <c r="O3195" s="110">
        <v>3</v>
      </c>
      <c r="P3195" s="110">
        <v>25.62</v>
      </c>
      <c r="Q3195" s="110">
        <f>SUMIFS('FW_Steelhead_by_Month_2010-2021'!Q$2:Q$3810,'FW_Steelhead_by_Month_2010-2021'!$B$2:$B$3810,'Rec_raw_catch_effort_2010-2021'!$B3195,'FW_Steelhead_by_Month_2010-2021'!$H$2:$H$3810,'Rec_raw_catch_effort_2010-2021'!$F3195,'FW_Steelhead_by_Month_2010-2021'!$M$2:$M$3810,'Rec_raw_catch_effort_2010-2021'!$K3195)</f>
        <v>3</v>
      </c>
      <c r="R3195" s="111">
        <f>VLOOKUP(B3195,Readme!$A$62:$C$74,3,)*Q3195</f>
        <v>62.781711974637879</v>
      </c>
      <c r="S3195" s="140" t="str">
        <f t="shared" si="241"/>
        <v>Y</v>
      </c>
      <c r="T3195" s="154">
        <f t="shared" si="242"/>
        <v>8.5400000000000009</v>
      </c>
      <c r="U3195" s="154">
        <f t="shared" si="243"/>
        <v>20.927237324879293</v>
      </c>
    </row>
    <row r="3196" spans="1:21" x14ac:dyDescent="0.35">
      <c r="A3196" s="110">
        <v>2950</v>
      </c>
      <c r="B3196" s="110">
        <v>2010</v>
      </c>
      <c r="C3196" s="110" t="s">
        <v>38</v>
      </c>
      <c r="D3196" s="110" t="s">
        <v>143</v>
      </c>
      <c r="E3196" s="110" t="s">
        <v>86</v>
      </c>
      <c r="F3196" s="117">
        <v>818</v>
      </c>
      <c r="G3196" s="110" t="s">
        <v>95</v>
      </c>
      <c r="H3196" s="110" t="str">
        <f t="shared" si="240"/>
        <v>Sekiu River</v>
      </c>
      <c r="I3196" s="110" t="str">
        <f>IFERROR(VLOOKUP(H3196,LUTs!$A$1:$C$73,2,FALSE),"NA")</f>
        <v>Clallam</v>
      </c>
      <c r="J3196" s="110" t="str">
        <f>IFERROR(VLOOKUP(H3196,LUTs!$A$1:$C$73,3,FALSE),"NA")</f>
        <v>0Strait of Juan de Fuca</v>
      </c>
      <c r="K3196" s="110" t="s">
        <v>24</v>
      </c>
      <c r="L3196" s="110" t="str">
        <f>VLOOKUP(K3196,LUTs!E$2:G$14,3,)</f>
        <v>11Clallam</v>
      </c>
      <c r="M3196" s="110" t="str">
        <f>VLOOKUP($K3196,LUTs!$E$2:$H$14,2,)</f>
        <v>Strait of Juan de Fuca</v>
      </c>
      <c r="N3196" s="110" t="str">
        <f>VLOOKUP($K3196,LUTs!$E$2:$H$14,4,)</f>
        <v>03Strait of Juan de Fuca</v>
      </c>
      <c r="O3196" s="110">
        <v>15.75</v>
      </c>
      <c r="P3196" s="110">
        <v>134.505</v>
      </c>
      <c r="Q3196" s="110">
        <f>SUMIFS('FW_Steelhead_by_Month_2010-2021'!Q$2:Q$3810,'FW_Steelhead_by_Month_2010-2021'!$B$2:$B$3810,'Rec_raw_catch_effort_2010-2021'!$B3196,'FW_Steelhead_by_Month_2010-2021'!$H$2:$H$3810,'Rec_raw_catch_effort_2010-2021'!$F3196,'FW_Steelhead_by_Month_2010-2021'!$M$2:$M$3810,'Rec_raw_catch_effort_2010-2021'!$K3196)</f>
        <v>14</v>
      </c>
      <c r="R3196" s="111">
        <f>VLOOKUP(B3196,Readme!$A$62:$C$74,3,)*Q3196</f>
        <v>292.98132254831012</v>
      </c>
      <c r="S3196" s="140" t="str">
        <f t="shared" si="241"/>
        <v>Y</v>
      </c>
      <c r="T3196" s="154">
        <f t="shared" si="242"/>
        <v>8.5399999999999991</v>
      </c>
      <c r="U3196" s="154">
        <f t="shared" si="243"/>
        <v>20.927237324879293</v>
      </c>
    </row>
    <row r="3197" spans="1:21" x14ac:dyDescent="0.35">
      <c r="A3197" s="110">
        <v>2949</v>
      </c>
      <c r="B3197" s="110">
        <v>2010</v>
      </c>
      <c r="C3197" s="110" t="s">
        <v>38</v>
      </c>
      <c r="D3197" s="110" t="s">
        <v>143</v>
      </c>
      <c r="E3197" s="110" t="s">
        <v>86</v>
      </c>
      <c r="F3197" s="117">
        <v>818</v>
      </c>
      <c r="G3197" s="110" t="s">
        <v>95</v>
      </c>
      <c r="H3197" s="110" t="str">
        <f t="shared" si="240"/>
        <v>Sekiu River</v>
      </c>
      <c r="I3197" s="110" t="str">
        <f>IFERROR(VLOOKUP(H3197,LUTs!$A$1:$C$73,2,FALSE),"NA")</f>
        <v>Clallam</v>
      </c>
      <c r="J3197" s="110" t="str">
        <f>IFERROR(VLOOKUP(H3197,LUTs!$A$1:$C$73,3,FALSE),"NA")</f>
        <v>0Strait of Juan de Fuca</v>
      </c>
      <c r="K3197" s="110" t="s">
        <v>18</v>
      </c>
      <c r="L3197" s="110" t="str">
        <f>VLOOKUP(K3197,LUTs!E$2:G$14,3,)</f>
        <v>06King</v>
      </c>
      <c r="M3197" s="110" t="str">
        <f>VLOOKUP($K3197,LUTs!$E$2:$H$14,2,)</f>
        <v>South Puget Sound</v>
      </c>
      <c r="N3197" s="110" t="str">
        <f>VLOOKUP($K3197,LUTs!$E$2:$H$14,4,)</f>
        <v>02South Puget Sound</v>
      </c>
      <c r="O3197" s="110">
        <v>2.25</v>
      </c>
      <c r="P3197" s="110">
        <v>19.215</v>
      </c>
      <c r="Q3197" s="110">
        <f>SUMIFS('FW_Steelhead_by_Month_2010-2021'!Q$2:Q$3810,'FW_Steelhead_by_Month_2010-2021'!$B$2:$B$3810,'Rec_raw_catch_effort_2010-2021'!$B3197,'FW_Steelhead_by_Month_2010-2021'!$H$2:$H$3810,'Rec_raw_catch_effort_2010-2021'!$F3197,'FW_Steelhead_by_Month_2010-2021'!$M$2:$M$3810,'Rec_raw_catch_effort_2010-2021'!$K3197)</f>
        <v>0</v>
      </c>
      <c r="R3197" s="111">
        <f>VLOOKUP(B3197,Readme!$A$62:$C$74,3,)*Q3197</f>
        <v>0</v>
      </c>
      <c r="S3197" s="140" t="str">
        <f t="shared" si="241"/>
        <v>Y</v>
      </c>
      <c r="T3197" s="154">
        <f t="shared" si="242"/>
        <v>8.5399999999999991</v>
      </c>
      <c r="U3197" s="154" t="str">
        <f t="shared" si="243"/>
        <v>NA</v>
      </c>
    </row>
    <row r="3198" spans="1:21" x14ac:dyDescent="0.35">
      <c r="A3198" s="110">
        <v>3069</v>
      </c>
      <c r="B3198" s="110">
        <v>2011</v>
      </c>
      <c r="C3198" s="110" t="s">
        <v>38</v>
      </c>
      <c r="D3198" s="110" t="s">
        <v>143</v>
      </c>
      <c r="E3198" s="110" t="s">
        <v>86</v>
      </c>
      <c r="F3198" s="117">
        <v>818</v>
      </c>
      <c r="G3198" s="110" t="s">
        <v>95</v>
      </c>
      <c r="H3198" s="110" t="str">
        <f t="shared" si="240"/>
        <v>Sekiu River</v>
      </c>
      <c r="I3198" s="110" t="str">
        <f>IFERROR(VLOOKUP(H3198,LUTs!$A$1:$C$73,2,FALSE),"NA")</f>
        <v>Clallam</v>
      </c>
      <c r="J3198" s="110" t="str">
        <f>IFERROR(VLOOKUP(H3198,LUTs!$A$1:$C$73,3,FALSE),"NA")</f>
        <v>0Strait of Juan de Fuca</v>
      </c>
      <c r="K3198" s="110" t="s">
        <v>24</v>
      </c>
      <c r="L3198" s="110" t="str">
        <f>VLOOKUP(K3198,LUTs!E$2:G$14,3,)</f>
        <v>11Clallam</v>
      </c>
      <c r="M3198" s="110" t="str">
        <f>VLOOKUP($K3198,LUTs!$E$2:$H$14,2,)</f>
        <v>Strait of Juan de Fuca</v>
      </c>
      <c r="N3198" s="110" t="str">
        <f>VLOOKUP($K3198,LUTs!$E$2:$H$14,4,)</f>
        <v>03Strait of Juan de Fuca</v>
      </c>
      <c r="O3198" s="110">
        <v>22.5</v>
      </c>
      <c r="P3198" s="110">
        <v>417.375</v>
      </c>
      <c r="Q3198" s="110">
        <f>SUMIFS('FW_Steelhead_by_Month_2010-2021'!Q$2:Q$3810,'FW_Steelhead_by_Month_2010-2021'!$B$2:$B$3810,'Rec_raw_catch_effort_2010-2021'!$B3198,'FW_Steelhead_by_Month_2010-2021'!$H$2:$H$3810,'Rec_raw_catch_effort_2010-2021'!$F3198,'FW_Steelhead_by_Month_2010-2021'!$M$2:$M$3810,'Rec_raw_catch_effort_2010-2021'!$K3198)</f>
        <v>9</v>
      </c>
      <c r="R3198" s="111">
        <f>VLOOKUP(B3198,Readme!$A$62:$C$74,3,)*Q3198</f>
        <v>188.34513592391363</v>
      </c>
      <c r="S3198" s="140" t="str">
        <f t="shared" si="241"/>
        <v>Y</v>
      </c>
      <c r="T3198" s="154">
        <f t="shared" si="242"/>
        <v>18.55</v>
      </c>
      <c r="U3198" s="154">
        <f t="shared" si="243"/>
        <v>20.927237324879293</v>
      </c>
    </row>
    <row r="3199" spans="1:21" x14ac:dyDescent="0.35">
      <c r="A3199" s="110">
        <v>3068</v>
      </c>
      <c r="B3199" s="110">
        <v>2011</v>
      </c>
      <c r="C3199" s="110" t="s">
        <v>38</v>
      </c>
      <c r="D3199" s="110" t="s">
        <v>143</v>
      </c>
      <c r="E3199" s="110" t="s">
        <v>86</v>
      </c>
      <c r="F3199" s="117">
        <v>818</v>
      </c>
      <c r="G3199" s="110" t="s">
        <v>95</v>
      </c>
      <c r="H3199" s="110" t="str">
        <f t="shared" si="240"/>
        <v>Sekiu River</v>
      </c>
      <c r="I3199" s="110" t="str">
        <f>IFERROR(VLOOKUP(H3199,LUTs!$A$1:$C$73,2,FALSE),"NA")</f>
        <v>Clallam</v>
      </c>
      <c r="J3199" s="110" t="str">
        <f>IFERROR(VLOOKUP(H3199,LUTs!$A$1:$C$73,3,FALSE),"NA")</f>
        <v>0Strait of Juan de Fuca</v>
      </c>
      <c r="K3199" s="110" t="s">
        <v>18</v>
      </c>
      <c r="L3199" s="110" t="str">
        <f>VLOOKUP(K3199,LUTs!E$2:G$14,3,)</f>
        <v>06King</v>
      </c>
      <c r="M3199" s="110" t="str">
        <f>VLOOKUP($K3199,LUTs!$E$2:$H$14,2,)</f>
        <v>South Puget Sound</v>
      </c>
      <c r="N3199" s="110" t="str">
        <f>VLOOKUP($K3199,LUTs!$E$2:$H$14,4,)</f>
        <v>02South Puget Sound</v>
      </c>
      <c r="O3199" s="110">
        <v>4.5</v>
      </c>
      <c r="P3199" s="110">
        <v>83.474999999999994</v>
      </c>
      <c r="Q3199" s="110">
        <f>SUMIFS('FW_Steelhead_by_Month_2010-2021'!Q$2:Q$3810,'FW_Steelhead_by_Month_2010-2021'!$B$2:$B$3810,'Rec_raw_catch_effort_2010-2021'!$B3199,'FW_Steelhead_by_Month_2010-2021'!$H$2:$H$3810,'Rec_raw_catch_effort_2010-2021'!$F3199,'FW_Steelhead_by_Month_2010-2021'!$M$2:$M$3810,'Rec_raw_catch_effort_2010-2021'!$K3199)</f>
        <v>2</v>
      </c>
      <c r="R3199" s="111">
        <f>VLOOKUP(B3199,Readme!$A$62:$C$74,3,)*Q3199</f>
        <v>41.854474649758586</v>
      </c>
      <c r="S3199" s="140" t="str">
        <f t="shared" si="241"/>
        <v>Y</v>
      </c>
      <c r="T3199" s="154">
        <f t="shared" si="242"/>
        <v>18.549999999999997</v>
      </c>
      <c r="U3199" s="154">
        <f t="shared" si="243"/>
        <v>20.927237324879293</v>
      </c>
    </row>
    <row r="3200" spans="1:21" x14ac:dyDescent="0.35">
      <c r="A3200" s="110">
        <v>3178</v>
      </c>
      <c r="B3200" s="110">
        <v>2012</v>
      </c>
      <c r="C3200" s="110" t="s">
        <v>38</v>
      </c>
      <c r="D3200" s="110" t="s">
        <v>143</v>
      </c>
      <c r="E3200" s="110" t="s">
        <v>86</v>
      </c>
      <c r="F3200" s="117">
        <v>818</v>
      </c>
      <c r="G3200" s="110" t="s">
        <v>95</v>
      </c>
      <c r="H3200" s="110" t="str">
        <f t="shared" si="240"/>
        <v>Sekiu River</v>
      </c>
      <c r="I3200" s="110" t="str">
        <f>IFERROR(VLOOKUP(H3200,LUTs!$A$1:$C$73,2,FALSE),"NA")</f>
        <v>Clallam</v>
      </c>
      <c r="J3200" s="110" t="str">
        <f>IFERROR(VLOOKUP(H3200,LUTs!$A$1:$C$73,3,FALSE),"NA")</f>
        <v>0Strait of Juan de Fuca</v>
      </c>
      <c r="K3200" s="110" t="s">
        <v>24</v>
      </c>
      <c r="L3200" s="110" t="str">
        <f>VLOOKUP(K3200,LUTs!E$2:G$14,3,)</f>
        <v>11Clallam</v>
      </c>
      <c r="M3200" s="110" t="str">
        <f>VLOOKUP($K3200,LUTs!$E$2:$H$14,2,)</f>
        <v>Strait of Juan de Fuca</v>
      </c>
      <c r="N3200" s="110" t="str">
        <f>VLOOKUP($K3200,LUTs!$E$2:$H$14,4,)</f>
        <v>03Strait of Juan de Fuca</v>
      </c>
      <c r="O3200" s="110">
        <v>3</v>
      </c>
      <c r="P3200" s="110">
        <v>25.62</v>
      </c>
      <c r="Q3200" s="110">
        <f>SUMIFS('FW_Steelhead_by_Month_2010-2021'!Q$2:Q$3810,'FW_Steelhead_by_Month_2010-2021'!$B$2:$B$3810,'Rec_raw_catch_effort_2010-2021'!$B3200,'FW_Steelhead_by_Month_2010-2021'!$H$2:$H$3810,'Rec_raw_catch_effort_2010-2021'!$F3200,'FW_Steelhead_by_Month_2010-2021'!$M$2:$M$3810,'Rec_raw_catch_effort_2010-2021'!$K3200)</f>
        <v>18.5555555555556</v>
      </c>
      <c r="R3200" s="111">
        <f>VLOOKUP(B3200,Readme!$A$62:$C$74,3,)*Q3200</f>
        <v>388.31651480609446</v>
      </c>
      <c r="S3200" s="140" t="str">
        <f t="shared" si="241"/>
        <v>Y</v>
      </c>
      <c r="T3200" s="154">
        <f t="shared" si="242"/>
        <v>8.5400000000000009</v>
      </c>
      <c r="U3200" s="154">
        <f t="shared" si="243"/>
        <v>20.927237324879293</v>
      </c>
    </row>
    <row r="3201" spans="1:21" x14ac:dyDescent="0.35">
      <c r="A3201" s="110">
        <v>3177</v>
      </c>
      <c r="B3201" s="110">
        <v>2012</v>
      </c>
      <c r="C3201" s="110" t="s">
        <v>38</v>
      </c>
      <c r="D3201" s="110" t="s">
        <v>143</v>
      </c>
      <c r="E3201" s="110" t="s">
        <v>86</v>
      </c>
      <c r="F3201" s="117">
        <v>818</v>
      </c>
      <c r="G3201" s="110" t="s">
        <v>95</v>
      </c>
      <c r="H3201" s="110" t="str">
        <f t="shared" si="240"/>
        <v>Sekiu River</v>
      </c>
      <c r="I3201" s="110" t="str">
        <f>IFERROR(VLOOKUP(H3201,LUTs!$A$1:$C$73,2,FALSE),"NA")</f>
        <v>Clallam</v>
      </c>
      <c r="J3201" s="110" t="str">
        <f>IFERROR(VLOOKUP(H3201,LUTs!$A$1:$C$73,3,FALSE),"NA")</f>
        <v>0Strait of Juan de Fuca</v>
      </c>
      <c r="K3201" s="110" t="s">
        <v>20</v>
      </c>
      <c r="L3201" s="110" t="str">
        <f>VLOOKUP(K3201,LUTs!E$2:G$14,3,)</f>
        <v>07Pierce</v>
      </c>
      <c r="M3201" s="110" t="str">
        <f>VLOOKUP($K3201,LUTs!$E$2:$H$14,2,)</f>
        <v>South Puget Sound</v>
      </c>
      <c r="N3201" s="110" t="str">
        <f>VLOOKUP($K3201,LUTs!$E$2:$H$14,4,)</f>
        <v>02South Puget Sound</v>
      </c>
      <c r="O3201" s="110">
        <v>3</v>
      </c>
      <c r="P3201" s="110">
        <v>25.62</v>
      </c>
      <c r="Q3201" s="110">
        <f>SUMIFS('FW_Steelhead_by_Month_2010-2021'!Q$2:Q$3810,'FW_Steelhead_by_Month_2010-2021'!$B$2:$B$3810,'Rec_raw_catch_effort_2010-2021'!$B3201,'FW_Steelhead_by_Month_2010-2021'!$H$2:$H$3810,'Rec_raw_catch_effort_2010-2021'!$F3201,'FW_Steelhead_by_Month_2010-2021'!$M$2:$M$3810,'Rec_raw_catch_effort_2010-2021'!$K3201)</f>
        <v>3</v>
      </c>
      <c r="R3201" s="111">
        <f>VLOOKUP(B3201,Readme!$A$62:$C$74,3,)*Q3201</f>
        <v>62.781711974637879</v>
      </c>
      <c r="S3201" s="140" t="str">
        <f t="shared" si="241"/>
        <v>Y</v>
      </c>
      <c r="T3201" s="154">
        <f t="shared" si="242"/>
        <v>8.5400000000000009</v>
      </c>
      <c r="U3201" s="154">
        <f t="shared" si="243"/>
        <v>20.927237324879293</v>
      </c>
    </row>
    <row r="3202" spans="1:21" x14ac:dyDescent="0.35">
      <c r="A3202" s="110">
        <v>3286</v>
      </c>
      <c r="B3202" s="110">
        <v>2013</v>
      </c>
      <c r="C3202" s="110" t="s">
        <v>38</v>
      </c>
      <c r="D3202" s="110" t="s">
        <v>143</v>
      </c>
      <c r="E3202" s="110" t="s">
        <v>86</v>
      </c>
      <c r="F3202" s="117">
        <v>818</v>
      </c>
      <c r="G3202" s="110" t="s">
        <v>95</v>
      </c>
      <c r="H3202" s="110" t="str">
        <f t="shared" ref="H3202:H3265" si="244">G3202</f>
        <v>Sekiu River</v>
      </c>
      <c r="I3202" s="110" t="str">
        <f>IFERROR(VLOOKUP(H3202,LUTs!$A$1:$C$73,2,FALSE),"NA")</f>
        <v>Clallam</v>
      </c>
      <c r="J3202" s="110" t="str">
        <f>IFERROR(VLOOKUP(H3202,LUTs!$A$1:$C$73,3,FALSE),"NA")</f>
        <v>0Strait of Juan de Fuca</v>
      </c>
      <c r="K3202" s="110" t="s">
        <v>24</v>
      </c>
      <c r="L3202" s="110" t="str">
        <f>VLOOKUP(K3202,LUTs!E$2:G$14,3,)</f>
        <v>11Clallam</v>
      </c>
      <c r="M3202" s="110" t="str">
        <f>VLOOKUP($K3202,LUTs!$E$2:$H$14,2,)</f>
        <v>Strait of Juan de Fuca</v>
      </c>
      <c r="N3202" s="110" t="str">
        <f>VLOOKUP($K3202,LUTs!$E$2:$H$14,4,)</f>
        <v>03Strait of Juan de Fuca</v>
      </c>
      <c r="O3202" s="110">
        <v>3.5</v>
      </c>
      <c r="P3202" s="110">
        <v>64.924999999999997</v>
      </c>
      <c r="Q3202" s="110">
        <f>SUMIFS('FW_Steelhead_by_Month_2010-2021'!Q$2:Q$3810,'FW_Steelhead_by_Month_2010-2021'!$B$2:$B$3810,'Rec_raw_catch_effort_2010-2021'!$B3202,'FW_Steelhead_by_Month_2010-2021'!$H$2:$H$3810,'Rec_raw_catch_effort_2010-2021'!$F3202,'FW_Steelhead_by_Month_2010-2021'!$M$2:$M$3810,'Rec_raw_catch_effort_2010-2021'!$K3202)</f>
        <v>0</v>
      </c>
      <c r="R3202" s="111">
        <f>VLOOKUP(B3202,Readme!$A$62:$C$74,3,)*Q3202</f>
        <v>0</v>
      </c>
      <c r="S3202" s="140" t="str">
        <f t="shared" si="241"/>
        <v>Y</v>
      </c>
      <c r="T3202" s="154">
        <f t="shared" si="242"/>
        <v>18.55</v>
      </c>
      <c r="U3202" s="154" t="str">
        <f t="shared" si="243"/>
        <v>NA</v>
      </c>
    </row>
    <row r="3203" spans="1:21" x14ac:dyDescent="0.35">
      <c r="A3203" s="110">
        <v>3285</v>
      </c>
      <c r="B3203" s="110">
        <v>2013</v>
      </c>
      <c r="C3203" s="110" t="s">
        <v>38</v>
      </c>
      <c r="D3203" s="110" t="s">
        <v>143</v>
      </c>
      <c r="E3203" s="110" t="s">
        <v>86</v>
      </c>
      <c r="F3203" s="117">
        <v>818</v>
      </c>
      <c r="G3203" s="110" t="s">
        <v>95</v>
      </c>
      <c r="H3203" s="110" t="str">
        <f t="shared" si="244"/>
        <v>Sekiu River</v>
      </c>
      <c r="I3203" s="110" t="str">
        <f>IFERROR(VLOOKUP(H3203,LUTs!$A$1:$C$73,2,FALSE),"NA")</f>
        <v>Clallam</v>
      </c>
      <c r="J3203" s="110" t="str">
        <f>IFERROR(VLOOKUP(H3203,LUTs!$A$1:$C$73,3,FALSE),"NA")</f>
        <v>0Strait of Juan de Fuca</v>
      </c>
      <c r="K3203" s="110" t="s">
        <v>20</v>
      </c>
      <c r="L3203" s="110" t="str">
        <f>VLOOKUP(K3203,LUTs!E$2:G$14,3,)</f>
        <v>07Pierce</v>
      </c>
      <c r="M3203" s="110" t="str">
        <f>VLOOKUP($K3203,LUTs!$E$2:$H$14,2,)</f>
        <v>South Puget Sound</v>
      </c>
      <c r="N3203" s="110" t="str">
        <f>VLOOKUP($K3203,LUTs!$E$2:$H$14,4,)</f>
        <v>02South Puget Sound</v>
      </c>
      <c r="O3203" s="110">
        <v>3.5</v>
      </c>
      <c r="P3203" s="110">
        <v>64.924999999999997</v>
      </c>
      <c r="Q3203" s="110">
        <f>SUMIFS('FW_Steelhead_by_Month_2010-2021'!Q$2:Q$3810,'FW_Steelhead_by_Month_2010-2021'!$B$2:$B$3810,'Rec_raw_catch_effort_2010-2021'!$B3203,'FW_Steelhead_by_Month_2010-2021'!$H$2:$H$3810,'Rec_raw_catch_effort_2010-2021'!$F3203,'FW_Steelhead_by_Month_2010-2021'!$M$2:$M$3810,'Rec_raw_catch_effort_2010-2021'!$K3203)</f>
        <v>0</v>
      </c>
      <c r="R3203" s="111">
        <f>VLOOKUP(B3203,Readme!$A$62:$C$74,3,)*Q3203</f>
        <v>0</v>
      </c>
      <c r="S3203" s="140" t="str">
        <f t="shared" ref="S3203:S3266" si="245">IF(B3203&lt;=2019,"Y","N")</f>
        <v>Y</v>
      </c>
      <c r="T3203" s="154">
        <f t="shared" ref="T3203:T3266" si="246">IFERROR(P3203/O3203,"NA")</f>
        <v>18.55</v>
      </c>
      <c r="U3203" s="154" t="str">
        <f t="shared" ref="U3203:U3266" si="247">IFERROR(R3203/Q3203,"NA")</f>
        <v>NA</v>
      </c>
    </row>
    <row r="3204" spans="1:21" x14ac:dyDescent="0.35">
      <c r="A3204" s="110">
        <v>3386</v>
      </c>
      <c r="B3204" s="110">
        <v>2014</v>
      </c>
      <c r="C3204" s="110" t="s">
        <v>38</v>
      </c>
      <c r="D3204" s="110" t="s">
        <v>143</v>
      </c>
      <c r="E3204" s="110" t="s">
        <v>86</v>
      </c>
      <c r="F3204" s="117">
        <v>818</v>
      </c>
      <c r="G3204" s="110" t="s">
        <v>95</v>
      </c>
      <c r="H3204" s="110" t="str">
        <f t="shared" si="244"/>
        <v>Sekiu River</v>
      </c>
      <c r="I3204" s="110" t="str">
        <f>IFERROR(VLOOKUP(H3204,LUTs!$A$1:$C$73,2,FALSE),"NA")</f>
        <v>Clallam</v>
      </c>
      <c r="J3204" s="110" t="str">
        <f>IFERROR(VLOOKUP(H3204,LUTs!$A$1:$C$73,3,FALSE),"NA")</f>
        <v>0Strait of Juan de Fuca</v>
      </c>
      <c r="K3204" s="110" t="s">
        <v>24</v>
      </c>
      <c r="L3204" s="110" t="str">
        <f>VLOOKUP(K3204,LUTs!E$2:G$14,3,)</f>
        <v>11Clallam</v>
      </c>
      <c r="M3204" s="110" t="str">
        <f>VLOOKUP($K3204,LUTs!$E$2:$H$14,2,)</f>
        <v>Strait of Juan de Fuca</v>
      </c>
      <c r="N3204" s="110" t="str">
        <f>VLOOKUP($K3204,LUTs!$E$2:$H$14,4,)</f>
        <v>03Strait of Juan de Fuca</v>
      </c>
      <c r="O3204" s="110">
        <v>3</v>
      </c>
      <c r="P3204" s="110">
        <v>25.62</v>
      </c>
      <c r="Q3204" s="110">
        <f>SUMIFS('FW_Steelhead_by_Month_2010-2021'!Q$2:Q$3810,'FW_Steelhead_by_Month_2010-2021'!$B$2:$B$3810,'Rec_raw_catch_effort_2010-2021'!$B3204,'FW_Steelhead_by_Month_2010-2021'!$H$2:$H$3810,'Rec_raw_catch_effort_2010-2021'!$F3204,'FW_Steelhead_by_Month_2010-2021'!$M$2:$M$3810,'Rec_raw_catch_effort_2010-2021'!$K3204)</f>
        <v>3.5</v>
      </c>
      <c r="R3204" s="111">
        <f>VLOOKUP(B3204,Readme!$A$62:$C$74,3,)*Q3204</f>
        <v>73.245330637077529</v>
      </c>
      <c r="S3204" s="140" t="str">
        <f t="shared" si="245"/>
        <v>Y</v>
      </c>
      <c r="T3204" s="154">
        <f t="shared" si="246"/>
        <v>8.5400000000000009</v>
      </c>
      <c r="U3204" s="154">
        <f t="shared" si="247"/>
        <v>20.927237324879293</v>
      </c>
    </row>
    <row r="3205" spans="1:21" x14ac:dyDescent="0.35">
      <c r="A3205" s="110">
        <v>3385</v>
      </c>
      <c r="B3205" s="110">
        <v>2014</v>
      </c>
      <c r="C3205" s="110" t="s">
        <v>38</v>
      </c>
      <c r="D3205" s="110" t="s">
        <v>143</v>
      </c>
      <c r="E3205" s="110" t="s">
        <v>86</v>
      </c>
      <c r="F3205" s="117">
        <v>818</v>
      </c>
      <c r="G3205" s="110" t="s">
        <v>95</v>
      </c>
      <c r="H3205" s="110" t="str">
        <f t="shared" si="244"/>
        <v>Sekiu River</v>
      </c>
      <c r="I3205" s="110" t="str">
        <f>IFERROR(VLOOKUP(H3205,LUTs!$A$1:$C$73,2,FALSE),"NA")</f>
        <v>Clallam</v>
      </c>
      <c r="J3205" s="110" t="str">
        <f>IFERROR(VLOOKUP(H3205,LUTs!$A$1:$C$73,3,FALSE),"NA")</f>
        <v>0Strait of Juan de Fuca</v>
      </c>
      <c r="K3205" s="110" t="s">
        <v>20</v>
      </c>
      <c r="L3205" s="110" t="str">
        <f>VLOOKUP(K3205,LUTs!E$2:G$14,3,)</f>
        <v>07Pierce</v>
      </c>
      <c r="M3205" s="110" t="str">
        <f>VLOOKUP($K3205,LUTs!$E$2:$H$14,2,)</f>
        <v>South Puget Sound</v>
      </c>
      <c r="N3205" s="110" t="str">
        <f>VLOOKUP($K3205,LUTs!$E$2:$H$14,4,)</f>
        <v>02South Puget Sound</v>
      </c>
      <c r="O3205" s="110">
        <v>12</v>
      </c>
      <c r="P3205" s="110">
        <v>102.48</v>
      </c>
      <c r="Q3205" s="110">
        <f>SUMIFS('FW_Steelhead_by_Month_2010-2021'!Q$2:Q$3810,'FW_Steelhead_by_Month_2010-2021'!$B$2:$B$3810,'Rec_raw_catch_effort_2010-2021'!$B3205,'FW_Steelhead_by_Month_2010-2021'!$H$2:$H$3810,'Rec_raw_catch_effort_2010-2021'!$F3205,'FW_Steelhead_by_Month_2010-2021'!$M$2:$M$3810,'Rec_raw_catch_effort_2010-2021'!$K3205)</f>
        <v>15.5</v>
      </c>
      <c r="R3205" s="111">
        <f>VLOOKUP(B3205,Readme!$A$62:$C$74,3,)*Q3205</f>
        <v>324.37217853562902</v>
      </c>
      <c r="S3205" s="140" t="str">
        <f t="shared" si="245"/>
        <v>Y</v>
      </c>
      <c r="T3205" s="154">
        <f t="shared" si="246"/>
        <v>8.5400000000000009</v>
      </c>
      <c r="U3205" s="154">
        <f t="shared" si="247"/>
        <v>20.927237324879293</v>
      </c>
    </row>
    <row r="3206" spans="1:21" x14ac:dyDescent="0.35">
      <c r="A3206" s="110">
        <v>3505</v>
      </c>
      <c r="B3206" s="110">
        <v>2016</v>
      </c>
      <c r="C3206" s="110" t="s">
        <v>38</v>
      </c>
      <c r="D3206" s="110" t="s">
        <v>143</v>
      </c>
      <c r="E3206" s="110" t="s">
        <v>86</v>
      </c>
      <c r="F3206" s="117">
        <v>818</v>
      </c>
      <c r="G3206" s="110" t="s">
        <v>95</v>
      </c>
      <c r="H3206" s="110" t="str">
        <f t="shared" si="244"/>
        <v>Sekiu River</v>
      </c>
      <c r="I3206" s="110" t="str">
        <f>IFERROR(VLOOKUP(H3206,LUTs!$A$1:$C$73,2,FALSE),"NA")</f>
        <v>Clallam</v>
      </c>
      <c r="J3206" s="110" t="str">
        <f>IFERROR(VLOOKUP(H3206,LUTs!$A$1:$C$73,3,FALSE),"NA")</f>
        <v>0Strait of Juan de Fuca</v>
      </c>
      <c r="K3206" s="110" t="s">
        <v>24</v>
      </c>
      <c r="L3206" s="110" t="str">
        <f>VLOOKUP(K3206,LUTs!E$2:G$14,3,)</f>
        <v>11Clallam</v>
      </c>
      <c r="M3206" s="110" t="str">
        <f>VLOOKUP($K3206,LUTs!$E$2:$H$14,2,)</f>
        <v>Strait of Juan de Fuca</v>
      </c>
      <c r="N3206" s="110" t="str">
        <f>VLOOKUP($K3206,LUTs!$E$2:$H$14,4,)</f>
        <v>03Strait of Juan de Fuca</v>
      </c>
      <c r="O3206" s="110">
        <v>5</v>
      </c>
      <c r="P3206" s="110">
        <v>42.7</v>
      </c>
      <c r="Q3206" s="110">
        <f>SUMIFS('FW_Steelhead_by_Month_2010-2021'!Q$2:Q$3810,'FW_Steelhead_by_Month_2010-2021'!$B$2:$B$3810,'Rec_raw_catch_effort_2010-2021'!$B3206,'FW_Steelhead_by_Month_2010-2021'!$H$2:$H$3810,'Rec_raw_catch_effort_2010-2021'!$F3206,'FW_Steelhead_by_Month_2010-2021'!$M$2:$M$3810,'Rec_raw_catch_effort_2010-2021'!$K3206)</f>
        <v>8</v>
      </c>
      <c r="R3206" s="111">
        <f>VLOOKUP(B3206,Readme!$A$62:$C$74,3,)*Q3206</f>
        <v>167.41789859903434</v>
      </c>
      <c r="S3206" s="140" t="str">
        <f t="shared" si="245"/>
        <v>Y</v>
      </c>
      <c r="T3206" s="154">
        <f t="shared" si="246"/>
        <v>8.5400000000000009</v>
      </c>
      <c r="U3206" s="154">
        <f t="shared" si="247"/>
        <v>20.927237324879293</v>
      </c>
    </row>
    <row r="3207" spans="1:21" x14ac:dyDescent="0.35">
      <c r="A3207" s="110">
        <v>3506</v>
      </c>
      <c r="B3207" s="110">
        <v>2016</v>
      </c>
      <c r="C3207" s="110" t="s">
        <v>38</v>
      </c>
      <c r="D3207" s="110" t="s">
        <v>143</v>
      </c>
      <c r="E3207" s="110" t="s">
        <v>86</v>
      </c>
      <c r="F3207" s="117">
        <v>818</v>
      </c>
      <c r="G3207" s="110" t="s">
        <v>95</v>
      </c>
      <c r="H3207" s="110" t="str">
        <f t="shared" si="244"/>
        <v>Sekiu River</v>
      </c>
      <c r="I3207" s="110" t="str">
        <f>IFERROR(VLOOKUP(H3207,LUTs!$A$1:$C$73,2,FALSE),"NA")</f>
        <v>Clallam</v>
      </c>
      <c r="J3207" s="110" t="str">
        <f>IFERROR(VLOOKUP(H3207,LUTs!$A$1:$C$73,3,FALSE),"NA")</f>
        <v>0Strait of Juan de Fuca</v>
      </c>
      <c r="K3207" s="110" t="s">
        <v>26</v>
      </c>
      <c r="L3207" s="110" t="str">
        <f>VLOOKUP(K3207,LUTs!E$2:G$14,3,)</f>
        <v>20Other</v>
      </c>
      <c r="M3207" s="110" t="str">
        <f>VLOOKUP($K3207,LUTs!$E$2:$H$14,2,)</f>
        <v>Non Puget Sound</v>
      </c>
      <c r="N3207" s="110" t="str">
        <f>VLOOKUP($K3207,LUTs!$E$2:$H$14,4,)</f>
        <v>07Non Puget Sound</v>
      </c>
      <c r="O3207" s="110">
        <v>5</v>
      </c>
      <c r="P3207" s="110">
        <v>42.7</v>
      </c>
      <c r="Q3207" s="110">
        <f>SUMIFS('FW_Steelhead_by_Month_2010-2021'!Q$2:Q$3810,'FW_Steelhead_by_Month_2010-2021'!$B$2:$B$3810,'Rec_raw_catch_effort_2010-2021'!$B3207,'FW_Steelhead_by_Month_2010-2021'!$H$2:$H$3810,'Rec_raw_catch_effort_2010-2021'!$F3207,'FW_Steelhead_by_Month_2010-2021'!$M$2:$M$3810,'Rec_raw_catch_effort_2010-2021'!$K3207)</f>
        <v>5</v>
      </c>
      <c r="R3207" s="111">
        <f>VLOOKUP(B3207,Readme!$A$62:$C$74,3,)*Q3207</f>
        <v>104.63618662439646</v>
      </c>
      <c r="S3207" s="140" t="str">
        <f t="shared" si="245"/>
        <v>Y</v>
      </c>
      <c r="T3207" s="154">
        <f t="shared" si="246"/>
        <v>8.5400000000000009</v>
      </c>
      <c r="U3207" s="154">
        <f t="shared" si="247"/>
        <v>20.927237324879293</v>
      </c>
    </row>
    <row r="3208" spans="1:21" x14ac:dyDescent="0.35">
      <c r="A3208" s="110">
        <v>3608</v>
      </c>
      <c r="B3208" s="110">
        <v>2018</v>
      </c>
      <c r="C3208" s="110" t="s">
        <v>38</v>
      </c>
      <c r="D3208" s="110" t="s">
        <v>143</v>
      </c>
      <c r="E3208" s="110" t="s">
        <v>86</v>
      </c>
      <c r="F3208" s="117">
        <v>818</v>
      </c>
      <c r="G3208" s="110" t="s">
        <v>95</v>
      </c>
      <c r="H3208" s="110" t="str">
        <f t="shared" si="244"/>
        <v>Sekiu River</v>
      </c>
      <c r="I3208" s="110" t="str">
        <f>IFERROR(VLOOKUP(H3208,LUTs!$A$1:$C$73,2,FALSE),"NA")</f>
        <v>Clallam</v>
      </c>
      <c r="J3208" s="110" t="str">
        <f>IFERROR(VLOOKUP(H3208,LUTs!$A$1:$C$73,3,FALSE),"NA")</f>
        <v>0Strait of Juan de Fuca</v>
      </c>
      <c r="K3208" s="110" t="s">
        <v>24</v>
      </c>
      <c r="L3208" s="110" t="str">
        <f>VLOOKUP(K3208,LUTs!E$2:G$14,3,)</f>
        <v>11Clallam</v>
      </c>
      <c r="M3208" s="110" t="str">
        <f>VLOOKUP($K3208,LUTs!$E$2:$H$14,2,)</f>
        <v>Strait of Juan de Fuca</v>
      </c>
      <c r="N3208" s="110" t="str">
        <f>VLOOKUP($K3208,LUTs!$E$2:$H$14,4,)</f>
        <v>03Strait of Juan de Fuca</v>
      </c>
      <c r="O3208" s="110">
        <v>14</v>
      </c>
      <c r="P3208" s="110">
        <v>119.56</v>
      </c>
      <c r="Q3208" s="110">
        <f>SUMIFS('FW_Steelhead_by_Month_2010-2021'!Q$2:Q$3810,'FW_Steelhead_by_Month_2010-2021'!$B$2:$B$3810,'Rec_raw_catch_effort_2010-2021'!$B3208,'FW_Steelhead_by_Month_2010-2021'!$H$2:$H$3810,'Rec_raw_catch_effort_2010-2021'!$F3208,'FW_Steelhead_by_Month_2010-2021'!$M$2:$M$3810,'Rec_raw_catch_effort_2010-2021'!$K3208)</f>
        <v>7</v>
      </c>
      <c r="R3208" s="111">
        <f>VLOOKUP(B3208,Readme!$A$62:$C$74,3,)*Q3208</f>
        <v>146.49066127415506</v>
      </c>
      <c r="S3208" s="140" t="str">
        <f t="shared" si="245"/>
        <v>Y</v>
      </c>
      <c r="T3208" s="154">
        <f t="shared" si="246"/>
        <v>8.5400000000000009</v>
      </c>
      <c r="U3208" s="154">
        <f t="shared" si="247"/>
        <v>20.927237324879293</v>
      </c>
    </row>
    <row r="3209" spans="1:21" x14ac:dyDescent="0.35">
      <c r="A3209" s="110">
        <v>3678</v>
      </c>
      <c r="B3209" s="110">
        <v>2020</v>
      </c>
      <c r="C3209" s="110" t="s">
        <v>38</v>
      </c>
      <c r="D3209" s="110" t="s">
        <v>143</v>
      </c>
      <c r="E3209" s="110" t="s">
        <v>86</v>
      </c>
      <c r="F3209" s="117">
        <v>818</v>
      </c>
      <c r="G3209" s="110" t="s">
        <v>95</v>
      </c>
      <c r="H3209" s="110" t="str">
        <f t="shared" si="244"/>
        <v>Sekiu River</v>
      </c>
      <c r="I3209" s="110" t="str">
        <f>IFERROR(VLOOKUP(H3209,LUTs!$A$1:$C$73,2,FALSE),"NA")</f>
        <v>Clallam</v>
      </c>
      <c r="J3209" s="110" t="str">
        <f>IFERROR(VLOOKUP(H3209,LUTs!$A$1:$C$73,3,FALSE),"NA")</f>
        <v>0Strait of Juan de Fuca</v>
      </c>
      <c r="K3209" s="110" t="s">
        <v>23</v>
      </c>
      <c r="L3209" s="110" t="str">
        <f>VLOOKUP(K3209,LUTs!E$2:G$14,3,)</f>
        <v>10Kitsap</v>
      </c>
      <c r="M3209" s="110" t="str">
        <f>VLOOKUP($K3209,LUTs!$E$2:$H$14,2,)</f>
        <v>South Puget Sound</v>
      </c>
      <c r="N3209" s="110" t="str">
        <f>VLOOKUP($K3209,LUTs!$E$2:$H$14,4,)</f>
        <v>02South Puget Sound</v>
      </c>
      <c r="O3209" s="110">
        <v>12</v>
      </c>
      <c r="P3209" s="110">
        <v>102.48</v>
      </c>
      <c r="Q3209" s="110">
        <f>SUMIFS('FW_Steelhead_by_Month_2010-2021'!Q$2:Q$3810,'FW_Steelhead_by_Month_2010-2021'!$B$2:$B$3810,'Rec_raw_catch_effort_2010-2021'!$B3209,'FW_Steelhead_by_Month_2010-2021'!$H$2:$H$3810,'Rec_raw_catch_effort_2010-2021'!$F3209,'FW_Steelhead_by_Month_2010-2021'!$M$2:$M$3810,'Rec_raw_catch_effort_2010-2021'!$K3209)</f>
        <v>0</v>
      </c>
      <c r="R3209" s="111">
        <f>VLOOKUP(B3209,Readme!$A$62:$C$74,3,)*Q3209</f>
        <v>0</v>
      </c>
      <c r="S3209" s="140" t="str">
        <f t="shared" si="245"/>
        <v>N</v>
      </c>
      <c r="T3209" s="154">
        <f t="shared" si="246"/>
        <v>8.5400000000000009</v>
      </c>
      <c r="U3209" s="154" t="str">
        <f t="shared" si="247"/>
        <v>NA</v>
      </c>
    </row>
    <row r="3210" spans="1:21" x14ac:dyDescent="0.35">
      <c r="A3210" s="110">
        <v>3705</v>
      </c>
      <c r="B3210" s="110">
        <v>2021</v>
      </c>
      <c r="C3210" s="110" t="s">
        <v>38</v>
      </c>
      <c r="D3210" s="110" t="s">
        <v>143</v>
      </c>
      <c r="E3210" s="110" t="s">
        <v>86</v>
      </c>
      <c r="F3210" s="117">
        <v>818</v>
      </c>
      <c r="G3210" s="110" t="s">
        <v>95</v>
      </c>
      <c r="H3210" s="110" t="str">
        <f t="shared" si="244"/>
        <v>Sekiu River</v>
      </c>
      <c r="I3210" s="110" t="str">
        <f>IFERROR(VLOOKUP(H3210,LUTs!$A$1:$C$73,2,FALSE),"NA")</f>
        <v>Clallam</v>
      </c>
      <c r="J3210" s="110" t="str">
        <f>IFERROR(VLOOKUP(H3210,LUTs!$A$1:$C$73,3,FALSE),"NA")</f>
        <v>0Strait of Juan de Fuca</v>
      </c>
      <c r="K3210" s="110" t="s">
        <v>16</v>
      </c>
      <c r="L3210" s="110" t="str">
        <f>VLOOKUP(K3210,LUTs!E$2:G$14,3,)</f>
        <v>03Snohomish</v>
      </c>
      <c r="M3210" s="110" t="str">
        <f>VLOOKUP($K3210,LUTs!$E$2:$H$14,2,)</f>
        <v>North Puget Sound</v>
      </c>
      <c r="N3210" s="110" t="str">
        <f>VLOOKUP($K3210,LUTs!$E$2:$H$14,4,)</f>
        <v>01North Puget Sound</v>
      </c>
      <c r="O3210" s="110">
        <v>12</v>
      </c>
      <c r="P3210" s="110">
        <v>222.6</v>
      </c>
      <c r="Q3210" s="110">
        <f>SUMIFS('FW_Steelhead_by_Month_2010-2021'!Q$2:Q$3810,'FW_Steelhead_by_Month_2010-2021'!$B$2:$B$3810,'Rec_raw_catch_effort_2010-2021'!$B3210,'FW_Steelhead_by_Month_2010-2021'!$H$2:$H$3810,'Rec_raw_catch_effort_2010-2021'!$F3210,'FW_Steelhead_by_Month_2010-2021'!$M$2:$M$3810,'Rec_raw_catch_effort_2010-2021'!$K3210)</f>
        <v>0</v>
      </c>
      <c r="R3210" s="111">
        <f>VLOOKUP(B3210,Readme!$A$62:$C$74,3,)*Q3210</f>
        <v>0</v>
      </c>
      <c r="S3210" s="140" t="str">
        <f t="shared" si="245"/>
        <v>N</v>
      </c>
      <c r="T3210" s="154">
        <f t="shared" si="246"/>
        <v>18.55</v>
      </c>
      <c r="U3210" s="154" t="str">
        <f t="shared" si="247"/>
        <v>NA</v>
      </c>
    </row>
    <row r="3211" spans="1:21" x14ac:dyDescent="0.35">
      <c r="A3211" s="110">
        <v>1833</v>
      </c>
      <c r="B3211" s="110">
        <v>2010</v>
      </c>
      <c r="C3211" s="110" t="s">
        <v>38</v>
      </c>
      <c r="D3211" s="110" t="s">
        <v>143</v>
      </c>
      <c r="E3211" s="110" t="s">
        <v>86</v>
      </c>
      <c r="F3211" s="117">
        <v>826</v>
      </c>
      <c r="G3211" s="110" t="s">
        <v>59</v>
      </c>
      <c r="H3211" s="110" t="str">
        <f t="shared" si="244"/>
        <v>Cascade River</v>
      </c>
      <c r="I3211" s="110" t="str">
        <f>IFERROR(VLOOKUP(H3211,LUTs!$A$1:$C$73,2,FALSE),"NA")</f>
        <v>Skagit</v>
      </c>
      <c r="J3211" s="110" t="str">
        <f>IFERROR(VLOOKUP(H3211,LUTs!$A$1:$C$73,3,FALSE),"NA")</f>
        <v>1North Puget Sound</v>
      </c>
      <c r="K3211" s="110" t="s">
        <v>17</v>
      </c>
      <c r="L3211" s="110" t="str">
        <f>VLOOKUP(K3211,LUTs!E$2:G$14,3,)</f>
        <v>04Island</v>
      </c>
      <c r="M3211" s="110" t="str">
        <f>VLOOKUP($K3211,LUTs!$E$2:$H$14,2,)</f>
        <v>North Puget Sound</v>
      </c>
      <c r="N3211" s="110" t="str">
        <f>VLOOKUP($K3211,LUTs!$E$2:$H$14,4,)</f>
        <v>01North Puget Sound</v>
      </c>
      <c r="O3211" s="110">
        <v>27.725321888412001</v>
      </c>
      <c r="P3211" s="110">
        <v>236.774248927038</v>
      </c>
      <c r="Q3211" s="110">
        <f>SUMIFS('FW_Steelhead_by_Month_2010-2021'!Q$2:Q$3810,'FW_Steelhead_by_Month_2010-2021'!$B$2:$B$3810,'Rec_raw_catch_effort_2010-2021'!$B3211,'FW_Steelhead_by_Month_2010-2021'!$H$2:$H$3810,'Rec_raw_catch_effort_2010-2021'!$F3211,'FW_Steelhead_by_Month_2010-2021'!$M$2:$M$3810,'Rec_raw_catch_effort_2010-2021'!$K3211)</f>
        <v>28.509039812646407</v>
      </c>
      <c r="R3211" s="111">
        <f>VLOOKUP(B3211,Readme!$A$62:$C$74,3,)*Q3211</f>
        <v>596.61544206368364</v>
      </c>
      <c r="S3211" s="140" t="str">
        <f t="shared" si="245"/>
        <v>Y</v>
      </c>
      <c r="T3211" s="154">
        <f t="shared" si="246"/>
        <v>8.5399999999999832</v>
      </c>
      <c r="U3211" s="154">
        <f t="shared" si="247"/>
        <v>20.927237324879293</v>
      </c>
    </row>
    <row r="3212" spans="1:21" x14ac:dyDescent="0.35">
      <c r="A3212" s="110">
        <v>1835</v>
      </c>
      <c r="B3212" s="110">
        <v>2010</v>
      </c>
      <c r="C3212" s="110" t="s">
        <v>38</v>
      </c>
      <c r="D3212" s="110" t="s">
        <v>143</v>
      </c>
      <c r="E3212" s="110" t="s">
        <v>86</v>
      </c>
      <c r="F3212" s="117">
        <v>826</v>
      </c>
      <c r="G3212" s="110" t="s">
        <v>59</v>
      </c>
      <c r="H3212" s="110" t="str">
        <f t="shared" si="244"/>
        <v>Cascade River</v>
      </c>
      <c r="I3212" s="110" t="str">
        <f>IFERROR(VLOOKUP(H3212,LUTs!$A$1:$C$73,2,FALSE),"NA")</f>
        <v>Skagit</v>
      </c>
      <c r="J3212" s="110" t="str">
        <f>IFERROR(VLOOKUP(H3212,LUTs!$A$1:$C$73,3,FALSE),"NA")</f>
        <v>1North Puget Sound</v>
      </c>
      <c r="K3212" s="110" t="s">
        <v>18</v>
      </c>
      <c r="L3212" s="110" t="str">
        <f>VLOOKUP(K3212,LUTs!E$2:G$14,3,)</f>
        <v>06King</v>
      </c>
      <c r="M3212" s="110" t="str">
        <f>VLOOKUP($K3212,LUTs!$E$2:$H$14,2,)</f>
        <v>South Puget Sound</v>
      </c>
      <c r="N3212" s="110" t="str">
        <f>VLOOKUP($K3212,LUTs!$E$2:$H$14,4,)</f>
        <v>02South Puget Sound</v>
      </c>
      <c r="O3212" s="110">
        <v>19.4077253218884</v>
      </c>
      <c r="P3212" s="110">
        <v>165.74197424892699</v>
      </c>
      <c r="Q3212" s="110">
        <f>SUMIFS('FW_Steelhead_by_Month_2010-2021'!Q$2:Q$3810,'FW_Steelhead_by_Month_2010-2021'!$B$2:$B$3810,'Rec_raw_catch_effort_2010-2021'!$B3212,'FW_Steelhead_by_Month_2010-2021'!$H$2:$H$3810,'Rec_raw_catch_effort_2010-2021'!$F3212,'FW_Steelhead_by_Month_2010-2021'!$M$2:$M$3810,'Rec_raw_catch_effort_2010-2021'!$K3212)</f>
        <v>12.496799375487889</v>
      </c>
      <c r="R3212" s="111">
        <f>VLOOKUP(B3212,Readme!$A$62:$C$74,3,)*Q3212</f>
        <v>261.52348633223841</v>
      </c>
      <c r="S3212" s="140" t="str">
        <f t="shared" si="245"/>
        <v>Y</v>
      </c>
      <c r="T3212" s="154">
        <f t="shared" si="246"/>
        <v>8.5400000000000027</v>
      </c>
      <c r="U3212" s="154">
        <f t="shared" si="247"/>
        <v>20.927237324879293</v>
      </c>
    </row>
    <row r="3213" spans="1:21" x14ac:dyDescent="0.35">
      <c r="A3213" s="110">
        <v>1837</v>
      </c>
      <c r="B3213" s="110">
        <v>2010</v>
      </c>
      <c r="C3213" s="110" t="s">
        <v>38</v>
      </c>
      <c r="D3213" s="110" t="s">
        <v>143</v>
      </c>
      <c r="E3213" s="110" t="s">
        <v>86</v>
      </c>
      <c r="F3213" s="117">
        <v>826</v>
      </c>
      <c r="G3213" s="110" t="s">
        <v>59</v>
      </c>
      <c r="H3213" s="110" t="str">
        <f t="shared" si="244"/>
        <v>Cascade River</v>
      </c>
      <c r="I3213" s="110" t="str">
        <f>IFERROR(VLOOKUP(H3213,LUTs!$A$1:$C$73,2,FALSE),"NA")</f>
        <v>Skagit</v>
      </c>
      <c r="J3213" s="110" t="str">
        <f>IFERROR(VLOOKUP(H3213,LUTs!$A$1:$C$73,3,FALSE),"NA")</f>
        <v>1North Puget Sound</v>
      </c>
      <c r="K3213" s="110" t="s">
        <v>26</v>
      </c>
      <c r="L3213" s="110" t="str">
        <f>VLOOKUP(K3213,LUTs!E$2:G$14,3,)</f>
        <v>20Other</v>
      </c>
      <c r="M3213" s="110" t="str">
        <f>VLOOKUP($K3213,LUTs!$E$2:$H$14,2,)</f>
        <v>Non Puget Sound</v>
      </c>
      <c r="N3213" s="110" t="str">
        <f>VLOOKUP($K3213,LUTs!$E$2:$H$14,4,)</f>
        <v>07Non Puget Sound</v>
      </c>
      <c r="O3213" s="110">
        <v>11.0901287553648</v>
      </c>
      <c r="P3213" s="110">
        <v>94.709699570815403</v>
      </c>
      <c r="Q3213" s="110">
        <f>SUMIFS('FW_Steelhead_by_Month_2010-2021'!Q$2:Q$3810,'FW_Steelhead_by_Month_2010-2021'!$B$2:$B$3810,'Rec_raw_catch_effort_2010-2021'!$B3213,'FW_Steelhead_by_Month_2010-2021'!$H$2:$H$3810,'Rec_raw_catch_effort_2010-2021'!$F3213,'FW_Steelhead_by_Month_2010-2021'!$M$2:$M$3810,'Rec_raw_catch_effort_2010-2021'!$K3213)</f>
        <v>12.065573770491801</v>
      </c>
      <c r="R3213" s="111">
        <f>VLOOKUP(B3213,Readme!$A$62:$C$74,3,)*Q3213</f>
        <v>252.4991257559206</v>
      </c>
      <c r="S3213" s="140" t="str">
        <f t="shared" si="245"/>
        <v>Y</v>
      </c>
      <c r="T3213" s="154">
        <f t="shared" si="246"/>
        <v>8.5400000000000009</v>
      </c>
      <c r="U3213" s="154">
        <f t="shared" si="247"/>
        <v>20.927237324879293</v>
      </c>
    </row>
    <row r="3214" spans="1:21" x14ac:dyDescent="0.35">
      <c r="A3214" s="110">
        <v>1836</v>
      </c>
      <c r="B3214" s="110">
        <v>2010</v>
      </c>
      <c r="C3214" s="110" t="s">
        <v>38</v>
      </c>
      <c r="D3214" s="110" t="s">
        <v>143</v>
      </c>
      <c r="E3214" s="110" t="s">
        <v>86</v>
      </c>
      <c r="F3214" s="117">
        <v>826</v>
      </c>
      <c r="G3214" s="110" t="s">
        <v>59</v>
      </c>
      <c r="H3214" s="110" t="str">
        <f t="shared" si="244"/>
        <v>Cascade River</v>
      </c>
      <c r="I3214" s="110" t="str">
        <f>IFERROR(VLOOKUP(H3214,LUTs!$A$1:$C$73,2,FALSE),"NA")</f>
        <v>Skagit</v>
      </c>
      <c r="J3214" s="110" t="str">
        <f>IFERROR(VLOOKUP(H3214,LUTs!$A$1:$C$73,3,FALSE),"NA")</f>
        <v>1North Puget Sound</v>
      </c>
      <c r="K3214" s="110" t="s">
        <v>20</v>
      </c>
      <c r="L3214" s="110" t="str">
        <f>VLOOKUP(K3214,LUTs!E$2:G$14,3,)</f>
        <v>07Pierce</v>
      </c>
      <c r="M3214" s="110" t="str">
        <f>VLOOKUP($K3214,LUTs!$E$2:$H$14,2,)</f>
        <v>South Puget Sound</v>
      </c>
      <c r="N3214" s="110" t="str">
        <f>VLOOKUP($K3214,LUTs!$E$2:$H$14,4,)</f>
        <v>02South Puget Sound</v>
      </c>
      <c r="O3214" s="110">
        <v>8.3175965665236102</v>
      </c>
      <c r="P3214" s="110">
        <v>71.032274678111605</v>
      </c>
      <c r="Q3214" s="110">
        <f>SUMIFS('FW_Steelhead_by_Month_2010-2021'!Q$2:Q$3810,'FW_Steelhead_by_Month_2010-2021'!$B$2:$B$3810,'Rec_raw_catch_effort_2010-2021'!$B3214,'FW_Steelhead_by_Month_2010-2021'!$H$2:$H$3810,'Rec_raw_catch_effort_2010-2021'!$F3214,'FW_Steelhead_by_Month_2010-2021'!$M$2:$M$3810,'Rec_raw_catch_effort_2010-2021'!$K3214)</f>
        <v>6.7306791569086606</v>
      </c>
      <c r="R3214" s="111">
        <f>VLOOKUP(B3214,Readme!$A$62:$C$74,3,)*Q3214</f>
        <v>140.85452007424601</v>
      </c>
      <c r="S3214" s="140" t="str">
        <f t="shared" si="245"/>
        <v>Y</v>
      </c>
      <c r="T3214" s="154">
        <f t="shared" si="246"/>
        <v>8.5399999999999974</v>
      </c>
      <c r="U3214" s="154">
        <f t="shared" si="247"/>
        <v>20.927237324879293</v>
      </c>
    </row>
    <row r="3215" spans="1:21" x14ac:dyDescent="0.35">
      <c r="A3215" s="110">
        <v>1834</v>
      </c>
      <c r="B3215" s="110">
        <v>2010</v>
      </c>
      <c r="C3215" s="110" t="s">
        <v>38</v>
      </c>
      <c r="D3215" s="110" t="s">
        <v>143</v>
      </c>
      <c r="E3215" s="110" t="s">
        <v>86</v>
      </c>
      <c r="F3215" s="117">
        <v>826</v>
      </c>
      <c r="G3215" s="110" t="s">
        <v>59</v>
      </c>
      <c r="H3215" s="110" t="str">
        <f t="shared" si="244"/>
        <v>Cascade River</v>
      </c>
      <c r="I3215" s="110" t="str">
        <f>IFERROR(VLOOKUP(H3215,LUTs!$A$1:$C$73,2,FALSE),"NA")</f>
        <v>Skagit</v>
      </c>
      <c r="J3215" s="110" t="str">
        <f>IFERROR(VLOOKUP(H3215,LUTs!$A$1:$C$73,3,FALSE),"NA")</f>
        <v>1North Puget Sound</v>
      </c>
      <c r="K3215" s="110" t="s">
        <v>30</v>
      </c>
      <c r="L3215" s="110" t="str">
        <f>VLOOKUP(K3215,LUTs!E$2:G$14,3,)</f>
        <v>05San Juan</v>
      </c>
      <c r="M3215" s="110" t="str">
        <f>VLOOKUP($K3215,LUTs!$E$2:$H$14,2,)</f>
        <v>North Puget Sound</v>
      </c>
      <c r="N3215" s="110" t="str">
        <f>VLOOKUP($K3215,LUTs!$E$2:$H$14,4,)</f>
        <v>01North Puget Sound</v>
      </c>
      <c r="O3215" s="110">
        <v>30.497854077253201</v>
      </c>
      <c r="P3215" s="110">
        <v>260.45167381974198</v>
      </c>
      <c r="Q3215" s="110">
        <f>SUMIFS('FW_Steelhead_by_Month_2010-2021'!Q$2:Q$3810,'FW_Steelhead_by_Month_2010-2021'!$B$2:$B$3810,'Rec_raw_catch_effort_2010-2021'!$B3215,'FW_Steelhead_by_Month_2010-2021'!$H$2:$H$3810,'Rec_raw_catch_effort_2010-2021'!$F3215,'FW_Steelhead_by_Month_2010-2021'!$M$2:$M$3810,'Rec_raw_catch_effort_2010-2021'!$K3215)</f>
        <v>24.738298204527716</v>
      </c>
      <c r="R3215" s="111">
        <f>VLOOKUP(B3215,Readme!$A$62:$C$74,3,)*Q3215</f>
        <v>517.70423753978685</v>
      </c>
      <c r="S3215" s="140" t="str">
        <f t="shared" si="245"/>
        <v>Y</v>
      </c>
      <c r="T3215" s="154">
        <f t="shared" si="246"/>
        <v>8.5399999999999885</v>
      </c>
      <c r="U3215" s="154">
        <f t="shared" si="247"/>
        <v>20.927237324879293</v>
      </c>
    </row>
    <row r="3216" spans="1:21" x14ac:dyDescent="0.35">
      <c r="A3216" s="110">
        <v>1831</v>
      </c>
      <c r="B3216" s="110">
        <v>2010</v>
      </c>
      <c r="C3216" s="110" t="s">
        <v>38</v>
      </c>
      <c r="D3216" s="110" t="s">
        <v>143</v>
      </c>
      <c r="E3216" s="110" t="s">
        <v>86</v>
      </c>
      <c r="F3216" s="117">
        <v>826</v>
      </c>
      <c r="G3216" s="110" t="s">
        <v>59</v>
      </c>
      <c r="H3216" s="110" t="str">
        <f t="shared" si="244"/>
        <v>Cascade River</v>
      </c>
      <c r="I3216" s="110" t="str">
        <f>IFERROR(VLOOKUP(H3216,LUTs!$A$1:$C$73,2,FALSE),"NA")</f>
        <v>Skagit</v>
      </c>
      <c r="J3216" s="110" t="str">
        <f>IFERROR(VLOOKUP(H3216,LUTs!$A$1:$C$73,3,FALSE),"NA")</f>
        <v>1North Puget Sound</v>
      </c>
      <c r="K3216" s="110" t="s">
        <v>15</v>
      </c>
      <c r="L3216" s="110" t="str">
        <f>VLOOKUP(K3216,LUTs!E$2:G$14,3,)</f>
        <v>02Skagit</v>
      </c>
      <c r="M3216" s="110" t="str">
        <f>VLOOKUP($K3216,LUTs!$E$2:$H$14,2,)</f>
        <v>North Puget Sound</v>
      </c>
      <c r="N3216" s="110" t="str">
        <f>VLOOKUP($K3216,LUTs!$E$2:$H$14,4,)</f>
        <v>01North Puget Sound</v>
      </c>
      <c r="O3216" s="110">
        <v>249.52789699570801</v>
      </c>
      <c r="P3216" s="110">
        <v>2130.9682403433499</v>
      </c>
      <c r="Q3216" s="110">
        <f>SUMIFS('FW_Steelhead_by_Month_2010-2021'!Q$2:Q$3810,'FW_Steelhead_by_Month_2010-2021'!$B$2:$B$3810,'Rec_raw_catch_effort_2010-2021'!$B3216,'FW_Steelhead_by_Month_2010-2021'!$H$2:$H$3810,'Rec_raw_catch_effort_2010-2021'!$F3216,'FW_Steelhead_by_Month_2010-2021'!$M$2:$M$3810,'Rec_raw_catch_effort_2010-2021'!$K3216)</f>
        <v>235.19843871975002</v>
      </c>
      <c r="R3216" s="111">
        <f>VLOOKUP(B3216,Readme!$A$62:$C$74,3,)*Q3216</f>
        <v>4922.0535455292875</v>
      </c>
      <c r="S3216" s="140" t="str">
        <f t="shared" si="245"/>
        <v>Y</v>
      </c>
      <c r="T3216" s="154">
        <f t="shared" si="246"/>
        <v>8.5400000000000134</v>
      </c>
      <c r="U3216" s="154">
        <f t="shared" si="247"/>
        <v>20.927237324879293</v>
      </c>
    </row>
    <row r="3217" spans="1:21" x14ac:dyDescent="0.35">
      <c r="A3217" s="110">
        <v>1832</v>
      </c>
      <c r="B3217" s="110">
        <v>2010</v>
      </c>
      <c r="C3217" s="110" t="s">
        <v>38</v>
      </c>
      <c r="D3217" s="110" t="s">
        <v>143</v>
      </c>
      <c r="E3217" s="110" t="s">
        <v>86</v>
      </c>
      <c r="F3217" s="117">
        <v>826</v>
      </c>
      <c r="G3217" s="110" t="s">
        <v>59</v>
      </c>
      <c r="H3217" s="110" t="str">
        <f t="shared" si="244"/>
        <v>Cascade River</v>
      </c>
      <c r="I3217" s="110" t="str">
        <f>IFERROR(VLOOKUP(H3217,LUTs!$A$1:$C$73,2,FALSE),"NA")</f>
        <v>Skagit</v>
      </c>
      <c r="J3217" s="110" t="str">
        <f>IFERROR(VLOOKUP(H3217,LUTs!$A$1:$C$73,3,FALSE),"NA")</f>
        <v>1North Puget Sound</v>
      </c>
      <c r="K3217" s="110" t="s">
        <v>16</v>
      </c>
      <c r="L3217" s="110" t="str">
        <f>VLOOKUP(K3217,LUTs!E$2:G$14,3,)</f>
        <v>03Snohomish</v>
      </c>
      <c r="M3217" s="110" t="str">
        <f>VLOOKUP($K3217,LUTs!$E$2:$H$14,2,)</f>
        <v>North Puget Sound</v>
      </c>
      <c r="N3217" s="110" t="str">
        <f>VLOOKUP($K3217,LUTs!$E$2:$H$14,4,)</f>
        <v>01North Puget Sound</v>
      </c>
      <c r="O3217" s="110">
        <v>194.07725321888401</v>
      </c>
      <c r="P3217" s="110">
        <v>1657.41974248927</v>
      </c>
      <c r="Q3217" s="110">
        <f>SUMIFS('FW_Steelhead_by_Month_2010-2021'!Q$2:Q$3810,'FW_Steelhead_by_Month_2010-2021'!$B$2:$B$3810,'Rec_raw_catch_effort_2010-2021'!$B3217,'FW_Steelhead_by_Month_2010-2021'!$H$2:$H$3810,'Rec_raw_catch_effort_2010-2021'!$F3217,'FW_Steelhead_by_Month_2010-2021'!$M$2:$M$3810,'Rec_raw_catch_effort_2010-2021'!$K3217)</f>
        <v>172.9820765027323</v>
      </c>
      <c r="R3217" s="111">
        <f>VLOOKUP(B3217,Readme!$A$62:$C$74,3,)*Q3217</f>
        <v>3620.0369679231048</v>
      </c>
      <c r="S3217" s="140" t="str">
        <f t="shared" si="245"/>
        <v>Y</v>
      </c>
      <c r="T3217" s="154">
        <f t="shared" si="246"/>
        <v>8.5400000000000027</v>
      </c>
      <c r="U3217" s="154">
        <f t="shared" si="247"/>
        <v>20.927237324879293</v>
      </c>
    </row>
    <row r="3218" spans="1:21" x14ac:dyDescent="0.35">
      <c r="A3218" s="110">
        <v>1830</v>
      </c>
      <c r="B3218" s="110">
        <v>2010</v>
      </c>
      <c r="C3218" s="110" t="s">
        <v>38</v>
      </c>
      <c r="D3218" s="110" t="s">
        <v>143</v>
      </c>
      <c r="E3218" s="110" t="s">
        <v>86</v>
      </c>
      <c r="F3218" s="117">
        <v>826</v>
      </c>
      <c r="G3218" s="110" t="s">
        <v>59</v>
      </c>
      <c r="H3218" s="110" t="str">
        <f t="shared" si="244"/>
        <v>Cascade River</v>
      </c>
      <c r="I3218" s="110" t="str">
        <f>IFERROR(VLOOKUP(H3218,LUTs!$A$1:$C$73,2,FALSE),"NA")</f>
        <v>Skagit</v>
      </c>
      <c r="J3218" s="110" t="str">
        <f>IFERROR(VLOOKUP(H3218,LUTs!$A$1:$C$73,3,FALSE),"NA")</f>
        <v>1North Puget Sound</v>
      </c>
      <c r="K3218" s="110" t="s">
        <v>13</v>
      </c>
      <c r="L3218" s="110" t="str">
        <f>VLOOKUP(K3218,LUTs!E$2:G$14,3,)</f>
        <v>01Whatcom</v>
      </c>
      <c r="M3218" s="110" t="str">
        <f>VLOOKUP($K3218,LUTs!$E$2:$H$14,2,)</f>
        <v>North Puget Sound</v>
      </c>
      <c r="N3218" s="110" t="str">
        <f>VLOOKUP($K3218,LUTs!$E$2:$H$14,4,)</f>
        <v>01North Puget Sound</v>
      </c>
      <c r="O3218" s="110">
        <v>105.35622317596599</v>
      </c>
      <c r="P3218" s="110">
        <v>899.74214592274996</v>
      </c>
      <c r="Q3218" s="110">
        <f>SUMIFS('FW_Steelhead_by_Month_2010-2021'!Q$2:Q$3810,'FW_Steelhead_by_Month_2010-2021'!$B$2:$B$3810,'Rec_raw_catch_effort_2010-2021'!$B3218,'FW_Steelhead_by_Month_2010-2021'!$H$2:$H$3810,'Rec_raw_catch_effort_2010-2021'!$F3218,'FW_Steelhead_by_Month_2010-2021'!$M$2:$M$3810,'Rec_raw_catch_effort_2010-2021'!$K3218)</f>
        <v>81.27909445745513</v>
      </c>
      <c r="R3218" s="111">
        <f>VLOOKUP(B3218,Readme!$A$62:$C$74,3,)*Q3218</f>
        <v>1700.9468992624447</v>
      </c>
      <c r="S3218" s="140" t="str">
        <f t="shared" si="245"/>
        <v>Y</v>
      </c>
      <c r="T3218" s="154">
        <f t="shared" si="246"/>
        <v>8.5400000000000027</v>
      </c>
      <c r="U3218" s="154">
        <f t="shared" si="247"/>
        <v>20.927237324879293</v>
      </c>
    </row>
    <row r="3219" spans="1:21" x14ac:dyDescent="0.35">
      <c r="A3219" s="110">
        <v>1907</v>
      </c>
      <c r="B3219" s="110">
        <v>2011</v>
      </c>
      <c r="C3219" s="110" t="s">
        <v>38</v>
      </c>
      <c r="D3219" s="110" t="s">
        <v>143</v>
      </c>
      <c r="E3219" s="110" t="s">
        <v>86</v>
      </c>
      <c r="F3219" s="117">
        <v>826</v>
      </c>
      <c r="G3219" s="110" t="s">
        <v>59</v>
      </c>
      <c r="H3219" s="110" t="str">
        <f t="shared" si="244"/>
        <v>Cascade River</v>
      </c>
      <c r="I3219" s="110" t="str">
        <f>IFERROR(VLOOKUP(H3219,LUTs!$A$1:$C$73,2,FALSE),"NA")</f>
        <v>Skagit</v>
      </c>
      <c r="J3219" s="110" t="str">
        <f>IFERROR(VLOOKUP(H3219,LUTs!$A$1:$C$73,3,FALSE),"NA")</f>
        <v>1North Puget Sound</v>
      </c>
      <c r="K3219" s="110" t="s">
        <v>17</v>
      </c>
      <c r="L3219" s="110" t="str">
        <f>VLOOKUP(K3219,LUTs!E$2:G$14,3,)</f>
        <v>04Island</v>
      </c>
      <c r="M3219" s="110" t="str">
        <f>VLOOKUP($K3219,LUTs!$E$2:$H$14,2,)</f>
        <v>North Puget Sound</v>
      </c>
      <c r="N3219" s="110" t="str">
        <f>VLOOKUP($K3219,LUTs!$E$2:$H$14,4,)</f>
        <v>01North Puget Sound</v>
      </c>
      <c r="O3219" s="110">
        <v>44.472140762463397</v>
      </c>
      <c r="P3219" s="110">
        <v>824.95821114369596</v>
      </c>
      <c r="Q3219" s="110">
        <f>SUMIFS('FW_Steelhead_by_Month_2010-2021'!Q$2:Q$3810,'FW_Steelhead_by_Month_2010-2021'!$B$2:$B$3810,'Rec_raw_catch_effort_2010-2021'!$B3219,'FW_Steelhead_by_Month_2010-2021'!$H$2:$H$3810,'Rec_raw_catch_effort_2010-2021'!$F3219,'FW_Steelhead_by_Month_2010-2021'!$M$2:$M$3810,'Rec_raw_catch_effort_2010-2021'!$K3219)</f>
        <v>26.649350649350701</v>
      </c>
      <c r="R3219" s="111">
        <f>VLOOKUP(B3219,Readme!$A$62:$C$74,3,)*Q3219</f>
        <v>557.69728559288819</v>
      </c>
      <c r="S3219" s="140" t="str">
        <f t="shared" si="245"/>
        <v>Y</v>
      </c>
      <c r="T3219" s="154">
        <f t="shared" si="246"/>
        <v>18.549999999999997</v>
      </c>
      <c r="U3219" s="154">
        <f t="shared" si="247"/>
        <v>20.927237324879293</v>
      </c>
    </row>
    <row r="3220" spans="1:21" x14ac:dyDescent="0.35">
      <c r="A3220" s="110">
        <v>1909</v>
      </c>
      <c r="B3220" s="110">
        <v>2011</v>
      </c>
      <c r="C3220" s="110" t="s">
        <v>38</v>
      </c>
      <c r="D3220" s="110" t="s">
        <v>143</v>
      </c>
      <c r="E3220" s="110" t="s">
        <v>86</v>
      </c>
      <c r="F3220" s="117">
        <v>826</v>
      </c>
      <c r="G3220" s="110" t="s">
        <v>59</v>
      </c>
      <c r="H3220" s="110" t="str">
        <f t="shared" si="244"/>
        <v>Cascade River</v>
      </c>
      <c r="I3220" s="110" t="str">
        <f>IFERROR(VLOOKUP(H3220,LUTs!$A$1:$C$73,2,FALSE),"NA")</f>
        <v>Skagit</v>
      </c>
      <c r="J3220" s="110" t="str">
        <f>IFERROR(VLOOKUP(H3220,LUTs!$A$1:$C$73,3,FALSE),"NA")</f>
        <v>1North Puget Sound</v>
      </c>
      <c r="K3220" s="110" t="s">
        <v>18</v>
      </c>
      <c r="L3220" s="110" t="str">
        <f>VLOOKUP(K3220,LUTs!E$2:G$14,3,)</f>
        <v>06King</v>
      </c>
      <c r="M3220" s="110" t="str">
        <f>VLOOKUP($K3220,LUTs!$E$2:$H$14,2,)</f>
        <v>South Puget Sound</v>
      </c>
      <c r="N3220" s="110" t="str">
        <f>VLOOKUP($K3220,LUTs!$E$2:$H$14,4,)</f>
        <v>02South Puget Sound</v>
      </c>
      <c r="O3220" s="110">
        <v>47.436950146627602</v>
      </c>
      <c r="P3220" s="110">
        <v>879.95542521994196</v>
      </c>
      <c r="Q3220" s="110">
        <f>SUMIFS('FW_Steelhead_by_Month_2010-2021'!Q$2:Q$3810,'FW_Steelhead_by_Month_2010-2021'!$B$2:$B$3810,'Rec_raw_catch_effort_2010-2021'!$B3220,'FW_Steelhead_by_Month_2010-2021'!$H$2:$H$3810,'Rec_raw_catch_effort_2010-2021'!$F3220,'FW_Steelhead_by_Month_2010-2021'!$M$2:$M$3810,'Rec_raw_catch_effort_2010-2021'!$K3220)</f>
        <v>51.003246753246742</v>
      </c>
      <c r="R3220" s="111">
        <f>VLOOKUP(B3220,Readme!$A$62:$C$74,3,)*Q3220</f>
        <v>1067.3570491445739</v>
      </c>
      <c r="S3220" s="140" t="str">
        <f t="shared" si="245"/>
        <v>Y</v>
      </c>
      <c r="T3220" s="154">
        <f t="shared" si="246"/>
        <v>18.549999999999997</v>
      </c>
      <c r="U3220" s="154">
        <f t="shared" si="247"/>
        <v>20.927237324879293</v>
      </c>
    </row>
    <row r="3221" spans="1:21" x14ac:dyDescent="0.35">
      <c r="A3221" s="110">
        <v>1910</v>
      </c>
      <c r="B3221" s="110">
        <v>2011</v>
      </c>
      <c r="C3221" s="110" t="s">
        <v>38</v>
      </c>
      <c r="D3221" s="110" t="s">
        <v>143</v>
      </c>
      <c r="E3221" s="110" t="s">
        <v>86</v>
      </c>
      <c r="F3221" s="117">
        <v>826</v>
      </c>
      <c r="G3221" s="110" t="s">
        <v>59</v>
      </c>
      <c r="H3221" s="110" t="str">
        <f t="shared" si="244"/>
        <v>Cascade River</v>
      </c>
      <c r="I3221" s="110" t="str">
        <f>IFERROR(VLOOKUP(H3221,LUTs!$A$1:$C$73,2,FALSE),"NA")</f>
        <v>Skagit</v>
      </c>
      <c r="J3221" s="110" t="str">
        <f>IFERROR(VLOOKUP(H3221,LUTs!$A$1:$C$73,3,FALSE),"NA")</f>
        <v>1North Puget Sound</v>
      </c>
      <c r="K3221" s="110" t="s">
        <v>23</v>
      </c>
      <c r="L3221" s="110" t="str">
        <f>VLOOKUP(K3221,LUTs!E$2:G$14,3,)</f>
        <v>10Kitsap</v>
      </c>
      <c r="M3221" s="110" t="str">
        <f>VLOOKUP($K3221,LUTs!$E$2:$H$14,2,)</f>
        <v>South Puget Sound</v>
      </c>
      <c r="N3221" s="110" t="str">
        <f>VLOOKUP($K3221,LUTs!$E$2:$H$14,4,)</f>
        <v>02South Puget Sound</v>
      </c>
      <c r="O3221" s="110">
        <v>8.8944281524926705</v>
      </c>
      <c r="P3221" s="110">
        <v>164.99164222873901</v>
      </c>
      <c r="Q3221" s="110">
        <f>SUMIFS('FW_Steelhead_by_Month_2010-2021'!Q$2:Q$3810,'FW_Steelhead_by_Month_2010-2021'!$B$2:$B$3810,'Rec_raw_catch_effort_2010-2021'!$B3221,'FW_Steelhead_by_Month_2010-2021'!$H$2:$H$3810,'Rec_raw_catch_effort_2010-2021'!$F3221,'FW_Steelhead_by_Month_2010-2021'!$M$2:$M$3810,'Rec_raw_catch_effort_2010-2021'!$K3221)</f>
        <v>2.9610389610389598</v>
      </c>
      <c r="R3221" s="111">
        <f>VLOOKUP(B3221,Readme!$A$62:$C$74,3,)*Q3221</f>
        <v>61.966365065876325</v>
      </c>
      <c r="S3221" s="140" t="str">
        <f t="shared" si="245"/>
        <v>Y</v>
      </c>
      <c r="T3221" s="154">
        <f t="shared" si="246"/>
        <v>18.549999999999997</v>
      </c>
      <c r="U3221" s="154">
        <f t="shared" si="247"/>
        <v>20.927237324879293</v>
      </c>
    </row>
    <row r="3222" spans="1:21" x14ac:dyDescent="0.35">
      <c r="A3222" s="110">
        <v>1911</v>
      </c>
      <c r="B3222" s="110">
        <v>2011</v>
      </c>
      <c r="C3222" s="110" t="s">
        <v>38</v>
      </c>
      <c r="D3222" s="110" t="s">
        <v>143</v>
      </c>
      <c r="E3222" s="110" t="s">
        <v>86</v>
      </c>
      <c r="F3222" s="117">
        <v>826</v>
      </c>
      <c r="G3222" s="110" t="s">
        <v>59</v>
      </c>
      <c r="H3222" s="110" t="str">
        <f t="shared" si="244"/>
        <v>Cascade River</v>
      </c>
      <c r="I3222" s="110" t="str">
        <f>IFERROR(VLOOKUP(H3222,LUTs!$A$1:$C$73,2,FALSE),"NA")</f>
        <v>Skagit</v>
      </c>
      <c r="J3222" s="110" t="str">
        <f>IFERROR(VLOOKUP(H3222,LUTs!$A$1:$C$73,3,FALSE),"NA")</f>
        <v>1North Puget Sound</v>
      </c>
      <c r="K3222" s="110" t="s">
        <v>26</v>
      </c>
      <c r="L3222" s="110" t="str">
        <f>VLOOKUP(K3222,LUTs!E$2:G$14,3,)</f>
        <v>20Other</v>
      </c>
      <c r="M3222" s="110" t="str">
        <f>VLOOKUP($K3222,LUTs!$E$2:$H$14,2,)</f>
        <v>Non Puget Sound</v>
      </c>
      <c r="N3222" s="110" t="str">
        <f>VLOOKUP($K3222,LUTs!$E$2:$H$14,4,)</f>
        <v>07Non Puget Sound</v>
      </c>
      <c r="O3222" s="110">
        <v>14.8240469208211</v>
      </c>
      <c r="P3222" s="110">
        <v>274.986070381231</v>
      </c>
      <c r="Q3222" s="110">
        <f>SUMIFS('FW_Steelhead_by_Month_2010-2021'!Q$2:Q$3810,'FW_Steelhead_by_Month_2010-2021'!$B$2:$B$3810,'Rec_raw_catch_effort_2010-2021'!$B3222,'FW_Steelhead_by_Month_2010-2021'!$H$2:$H$3810,'Rec_raw_catch_effort_2010-2021'!$F3222,'FW_Steelhead_by_Month_2010-2021'!$M$2:$M$3810,'Rec_raw_catch_effort_2010-2021'!$K3222)</f>
        <v>2.9610389610389598</v>
      </c>
      <c r="R3222" s="111">
        <f>VLOOKUP(B3222,Readme!$A$62:$C$74,3,)*Q3222</f>
        <v>61.966365065876325</v>
      </c>
      <c r="S3222" s="140" t="str">
        <f t="shared" si="245"/>
        <v>Y</v>
      </c>
      <c r="T3222" s="154">
        <f t="shared" si="246"/>
        <v>18.549999999999972</v>
      </c>
      <c r="U3222" s="154">
        <f t="shared" si="247"/>
        <v>20.927237324879293</v>
      </c>
    </row>
    <row r="3223" spans="1:21" x14ac:dyDescent="0.35">
      <c r="A3223" s="110">
        <v>1908</v>
      </c>
      <c r="B3223" s="110">
        <v>2011</v>
      </c>
      <c r="C3223" s="110" t="s">
        <v>38</v>
      </c>
      <c r="D3223" s="110" t="s">
        <v>143</v>
      </c>
      <c r="E3223" s="110" t="s">
        <v>86</v>
      </c>
      <c r="F3223" s="117">
        <v>826</v>
      </c>
      <c r="G3223" s="110" t="s">
        <v>59</v>
      </c>
      <c r="H3223" s="110" t="str">
        <f t="shared" si="244"/>
        <v>Cascade River</v>
      </c>
      <c r="I3223" s="110" t="str">
        <f>IFERROR(VLOOKUP(H3223,LUTs!$A$1:$C$73,2,FALSE),"NA")</f>
        <v>Skagit</v>
      </c>
      <c r="J3223" s="110" t="str">
        <f>IFERROR(VLOOKUP(H3223,LUTs!$A$1:$C$73,3,FALSE),"NA")</f>
        <v>1North Puget Sound</v>
      </c>
      <c r="K3223" s="110" t="s">
        <v>30</v>
      </c>
      <c r="L3223" s="110" t="str">
        <f>VLOOKUP(K3223,LUTs!E$2:G$14,3,)</f>
        <v>05San Juan</v>
      </c>
      <c r="M3223" s="110" t="str">
        <f>VLOOKUP($K3223,LUTs!$E$2:$H$14,2,)</f>
        <v>North Puget Sound</v>
      </c>
      <c r="N3223" s="110" t="str">
        <f>VLOOKUP($K3223,LUTs!$E$2:$H$14,4,)</f>
        <v>01North Puget Sound</v>
      </c>
      <c r="O3223" s="110">
        <v>11.859237536656901</v>
      </c>
      <c r="P3223" s="110">
        <v>219.988856304986</v>
      </c>
      <c r="Q3223" s="110">
        <f>SUMIFS('FW_Steelhead_by_Month_2010-2021'!Q$2:Q$3810,'FW_Steelhead_by_Month_2010-2021'!$B$2:$B$3810,'Rec_raw_catch_effort_2010-2021'!$B3223,'FW_Steelhead_by_Month_2010-2021'!$H$2:$H$3810,'Rec_raw_catch_effort_2010-2021'!$F3223,'FW_Steelhead_by_Month_2010-2021'!$M$2:$M$3810,'Rec_raw_catch_effort_2010-2021'!$K3223)</f>
        <v>11.84740259740259</v>
      </c>
      <c r="R3223" s="111">
        <f>VLOOKUP(B3223,Readme!$A$62:$C$74,3,)*Q3223</f>
        <v>247.93340583923538</v>
      </c>
      <c r="S3223" s="140" t="str">
        <f t="shared" si="245"/>
        <v>Y</v>
      </c>
      <c r="T3223" s="154">
        <f t="shared" si="246"/>
        <v>18.550000000000043</v>
      </c>
      <c r="U3223" s="154">
        <f t="shared" si="247"/>
        <v>20.927237324879293</v>
      </c>
    </row>
    <row r="3224" spans="1:21" x14ac:dyDescent="0.35">
      <c r="A3224" s="110">
        <v>1905</v>
      </c>
      <c r="B3224" s="110">
        <v>2011</v>
      </c>
      <c r="C3224" s="110" t="s">
        <v>38</v>
      </c>
      <c r="D3224" s="110" t="s">
        <v>143</v>
      </c>
      <c r="E3224" s="110" t="s">
        <v>86</v>
      </c>
      <c r="F3224" s="117">
        <v>826</v>
      </c>
      <c r="G3224" s="110" t="s">
        <v>59</v>
      </c>
      <c r="H3224" s="110" t="str">
        <f t="shared" si="244"/>
        <v>Cascade River</v>
      </c>
      <c r="I3224" s="110" t="str">
        <f>IFERROR(VLOOKUP(H3224,LUTs!$A$1:$C$73,2,FALSE),"NA")</f>
        <v>Skagit</v>
      </c>
      <c r="J3224" s="110" t="str">
        <f>IFERROR(VLOOKUP(H3224,LUTs!$A$1:$C$73,3,FALSE),"NA")</f>
        <v>1North Puget Sound</v>
      </c>
      <c r="K3224" s="110" t="s">
        <v>15</v>
      </c>
      <c r="L3224" s="110" t="str">
        <f>VLOOKUP(K3224,LUTs!E$2:G$14,3,)</f>
        <v>02Skagit</v>
      </c>
      <c r="M3224" s="110" t="str">
        <f>VLOOKUP($K3224,LUTs!$E$2:$H$14,2,)</f>
        <v>North Puget Sound</v>
      </c>
      <c r="N3224" s="110" t="str">
        <f>VLOOKUP($K3224,LUTs!$E$2:$H$14,4,)</f>
        <v>01North Puget Sound</v>
      </c>
      <c r="O3224" s="110">
        <v>474.36950146627601</v>
      </c>
      <c r="P3224" s="110">
        <v>8799.5542521994194</v>
      </c>
      <c r="Q3224" s="110">
        <f>SUMIFS('FW_Steelhead_by_Month_2010-2021'!Q$2:Q$3810,'FW_Steelhead_by_Month_2010-2021'!$B$2:$B$3810,'Rec_raw_catch_effort_2010-2021'!$B3224,'FW_Steelhead_by_Month_2010-2021'!$H$2:$H$3810,'Rec_raw_catch_effort_2010-2021'!$F3224,'FW_Steelhead_by_Month_2010-2021'!$M$2:$M$3810,'Rec_raw_catch_effort_2010-2021'!$K3224)</f>
        <v>272.90259740259785</v>
      </c>
      <c r="R3224" s="111">
        <f>VLOOKUP(B3224,Readme!$A$62:$C$74,3,)*Q3224</f>
        <v>5711.0974224201527</v>
      </c>
      <c r="S3224" s="140" t="str">
        <f t="shared" si="245"/>
        <v>Y</v>
      </c>
      <c r="T3224" s="154">
        <f t="shared" si="246"/>
        <v>18.549999999999997</v>
      </c>
      <c r="U3224" s="154">
        <f t="shared" si="247"/>
        <v>20.927237324879293</v>
      </c>
    </row>
    <row r="3225" spans="1:21" x14ac:dyDescent="0.35">
      <c r="A3225" s="110">
        <v>1906</v>
      </c>
      <c r="B3225" s="110">
        <v>2011</v>
      </c>
      <c r="C3225" s="110" t="s">
        <v>38</v>
      </c>
      <c r="D3225" s="110" t="s">
        <v>143</v>
      </c>
      <c r="E3225" s="110" t="s">
        <v>86</v>
      </c>
      <c r="F3225" s="117">
        <v>826</v>
      </c>
      <c r="G3225" s="110" t="s">
        <v>59</v>
      </c>
      <c r="H3225" s="110" t="str">
        <f t="shared" si="244"/>
        <v>Cascade River</v>
      </c>
      <c r="I3225" s="110" t="str">
        <f>IFERROR(VLOOKUP(H3225,LUTs!$A$1:$C$73,2,FALSE),"NA")</f>
        <v>Skagit</v>
      </c>
      <c r="J3225" s="110" t="str">
        <f>IFERROR(VLOOKUP(H3225,LUTs!$A$1:$C$73,3,FALSE),"NA")</f>
        <v>1North Puget Sound</v>
      </c>
      <c r="K3225" s="110" t="s">
        <v>16</v>
      </c>
      <c r="L3225" s="110" t="str">
        <f>VLOOKUP(K3225,LUTs!E$2:G$14,3,)</f>
        <v>03Snohomish</v>
      </c>
      <c r="M3225" s="110" t="str">
        <f>VLOOKUP($K3225,LUTs!$E$2:$H$14,2,)</f>
        <v>North Puget Sound</v>
      </c>
      <c r="N3225" s="110" t="str">
        <f>VLOOKUP($K3225,LUTs!$E$2:$H$14,4,)</f>
        <v>01North Puget Sound</v>
      </c>
      <c r="O3225" s="110">
        <v>136.38123167155399</v>
      </c>
      <c r="P3225" s="110">
        <v>2529.8718475073301</v>
      </c>
      <c r="Q3225" s="110">
        <f>SUMIFS('FW_Steelhead_by_Month_2010-2021'!Q$2:Q$3810,'FW_Steelhead_by_Month_2010-2021'!$B$2:$B$3810,'Rec_raw_catch_effort_2010-2021'!$B3225,'FW_Steelhead_by_Month_2010-2021'!$H$2:$H$3810,'Rec_raw_catch_effort_2010-2021'!$F3225,'FW_Steelhead_by_Month_2010-2021'!$M$2:$M$3810,'Rec_raw_catch_effort_2010-2021'!$K3225)</f>
        <v>110.3246753246753</v>
      </c>
      <c r="R3225" s="111">
        <f>VLOOKUP(B3225,Readme!$A$62:$C$74,3,)*Q3225</f>
        <v>2308.7906633097346</v>
      </c>
      <c r="S3225" s="140" t="str">
        <f t="shared" si="245"/>
        <v>Y</v>
      </c>
      <c r="T3225" s="154">
        <f t="shared" si="246"/>
        <v>18.550000000000026</v>
      </c>
      <c r="U3225" s="154">
        <f t="shared" si="247"/>
        <v>20.927237324879293</v>
      </c>
    </row>
    <row r="3226" spans="1:21" x14ac:dyDescent="0.35">
      <c r="A3226" s="110">
        <v>1904</v>
      </c>
      <c r="B3226" s="110">
        <v>2011</v>
      </c>
      <c r="C3226" s="110" t="s">
        <v>38</v>
      </c>
      <c r="D3226" s="110" t="s">
        <v>143</v>
      </c>
      <c r="E3226" s="110" t="s">
        <v>86</v>
      </c>
      <c r="F3226" s="117">
        <v>826</v>
      </c>
      <c r="G3226" s="110" t="s">
        <v>59</v>
      </c>
      <c r="H3226" s="110" t="str">
        <f t="shared" si="244"/>
        <v>Cascade River</v>
      </c>
      <c r="I3226" s="110" t="str">
        <f>IFERROR(VLOOKUP(H3226,LUTs!$A$1:$C$73,2,FALSE),"NA")</f>
        <v>Skagit</v>
      </c>
      <c r="J3226" s="110" t="str">
        <f>IFERROR(VLOOKUP(H3226,LUTs!$A$1:$C$73,3,FALSE),"NA")</f>
        <v>1North Puget Sound</v>
      </c>
      <c r="K3226" s="110" t="s">
        <v>13</v>
      </c>
      <c r="L3226" s="110" t="str">
        <f>VLOOKUP(K3226,LUTs!E$2:G$14,3,)</f>
        <v>01Whatcom</v>
      </c>
      <c r="M3226" s="110" t="str">
        <f>VLOOKUP($K3226,LUTs!$E$2:$H$14,2,)</f>
        <v>North Puget Sound</v>
      </c>
      <c r="N3226" s="110" t="str">
        <f>VLOOKUP($K3226,LUTs!$E$2:$H$14,4,)</f>
        <v>01North Puget Sound</v>
      </c>
      <c r="O3226" s="110">
        <v>272.762463343109</v>
      </c>
      <c r="P3226" s="110">
        <v>5059.7436950146703</v>
      </c>
      <c r="Q3226" s="110">
        <f>SUMIFS('FW_Steelhead_by_Month_2010-2021'!Q$2:Q$3810,'FW_Steelhead_by_Month_2010-2021'!$B$2:$B$3810,'Rec_raw_catch_effort_2010-2021'!$B3226,'FW_Steelhead_by_Month_2010-2021'!$H$2:$H$3810,'Rec_raw_catch_effort_2010-2021'!$F3226,'FW_Steelhead_by_Month_2010-2021'!$M$2:$M$3810,'Rec_raw_catch_effort_2010-2021'!$K3226)</f>
        <v>228.35064935064921</v>
      </c>
      <c r="R3226" s="111">
        <f>VLOOKUP(B3226,Readme!$A$62:$C$74,3,)*Q3226</f>
        <v>4778.7482322513297</v>
      </c>
      <c r="S3226" s="140" t="str">
        <f t="shared" si="245"/>
        <v>Y</v>
      </c>
      <c r="T3226" s="154">
        <f t="shared" si="246"/>
        <v>18.549999999999994</v>
      </c>
      <c r="U3226" s="154">
        <f t="shared" si="247"/>
        <v>20.927237324879293</v>
      </c>
    </row>
    <row r="3227" spans="1:21" x14ac:dyDescent="0.35">
      <c r="A3227" s="110">
        <v>1917</v>
      </c>
      <c r="B3227" s="110">
        <v>2012</v>
      </c>
      <c r="C3227" s="110" t="s">
        <v>38</v>
      </c>
      <c r="D3227" s="110" t="s">
        <v>143</v>
      </c>
      <c r="E3227" s="110" t="s">
        <v>86</v>
      </c>
      <c r="F3227" s="117">
        <v>826</v>
      </c>
      <c r="G3227" s="110" t="s">
        <v>59</v>
      </c>
      <c r="H3227" s="110" t="str">
        <f t="shared" si="244"/>
        <v>Cascade River</v>
      </c>
      <c r="I3227" s="110" t="str">
        <f>IFERROR(VLOOKUP(H3227,LUTs!$A$1:$C$73,2,FALSE),"NA")</f>
        <v>Skagit</v>
      </c>
      <c r="J3227" s="110" t="str">
        <f>IFERROR(VLOOKUP(H3227,LUTs!$A$1:$C$73,3,FALSE),"NA")</f>
        <v>1North Puget Sound</v>
      </c>
      <c r="K3227" s="110" t="s">
        <v>17</v>
      </c>
      <c r="L3227" s="110" t="str">
        <f>VLOOKUP(K3227,LUTs!E$2:G$14,3,)</f>
        <v>04Island</v>
      </c>
      <c r="M3227" s="110" t="str">
        <f>VLOOKUP($K3227,LUTs!$E$2:$H$14,2,)</f>
        <v>North Puget Sound</v>
      </c>
      <c r="N3227" s="110" t="str">
        <f>VLOOKUP($K3227,LUTs!$E$2:$H$14,4,)</f>
        <v>01North Puget Sound</v>
      </c>
      <c r="O3227" s="110">
        <v>9.0181818181818194</v>
      </c>
      <c r="P3227" s="110">
        <v>77.015272727272702</v>
      </c>
      <c r="Q3227" s="110">
        <f>SUMIFS('FW_Steelhead_by_Month_2010-2021'!Q$2:Q$3810,'FW_Steelhead_by_Month_2010-2021'!$B$2:$B$3810,'Rec_raw_catch_effort_2010-2021'!$B3227,'FW_Steelhead_by_Month_2010-2021'!$H$2:$H$3810,'Rec_raw_catch_effort_2010-2021'!$F3227,'FW_Steelhead_by_Month_2010-2021'!$M$2:$M$3810,'Rec_raw_catch_effort_2010-2021'!$K3227)</f>
        <v>20.11577342047935</v>
      </c>
      <c r="R3227" s="111">
        <f>VLOOKUP(B3227,Readme!$A$62:$C$74,3,)*Q3227</f>
        <v>420.96756434387027</v>
      </c>
      <c r="S3227" s="140" t="str">
        <f t="shared" si="245"/>
        <v>Y</v>
      </c>
      <c r="T3227" s="154">
        <f t="shared" si="246"/>
        <v>8.5399999999999956</v>
      </c>
      <c r="U3227" s="154">
        <f t="shared" si="247"/>
        <v>20.927237324879293</v>
      </c>
    </row>
    <row r="3228" spans="1:21" x14ac:dyDescent="0.35">
      <c r="A3228" s="110">
        <v>1959</v>
      </c>
      <c r="B3228" s="110">
        <v>2012</v>
      </c>
      <c r="C3228" s="110" t="s">
        <v>38</v>
      </c>
      <c r="D3228" s="110" t="s">
        <v>143</v>
      </c>
      <c r="E3228" s="110" t="s">
        <v>86</v>
      </c>
      <c r="F3228" s="117">
        <v>826</v>
      </c>
      <c r="G3228" s="110" t="s">
        <v>59</v>
      </c>
      <c r="H3228" s="110" t="str">
        <f t="shared" si="244"/>
        <v>Cascade River</v>
      </c>
      <c r="I3228" s="110" t="str">
        <f>IFERROR(VLOOKUP(H3228,LUTs!$A$1:$C$73,2,FALSE),"NA")</f>
        <v>Skagit</v>
      </c>
      <c r="J3228" s="110" t="str">
        <f>IFERROR(VLOOKUP(H3228,LUTs!$A$1:$C$73,3,FALSE),"NA")</f>
        <v>1North Puget Sound</v>
      </c>
      <c r="K3228" s="110" t="s">
        <v>18</v>
      </c>
      <c r="L3228" s="110" t="str">
        <f>VLOOKUP(K3228,LUTs!E$2:G$14,3,)</f>
        <v>06King</v>
      </c>
      <c r="M3228" s="110" t="str">
        <f>VLOOKUP($K3228,LUTs!$E$2:$H$14,2,)</f>
        <v>South Puget Sound</v>
      </c>
      <c r="N3228" s="110" t="str">
        <f>VLOOKUP($K3228,LUTs!$E$2:$H$14,4,)</f>
        <v>02South Puget Sound</v>
      </c>
      <c r="O3228" s="110">
        <v>13.527272727272701</v>
      </c>
      <c r="P3228" s="110">
        <v>115.522909090909</v>
      </c>
      <c r="Q3228" s="110">
        <f>SUMIFS('FW_Steelhead_by_Month_2010-2021'!Q$2:Q$3810,'FW_Steelhead_by_Month_2010-2021'!$B$2:$B$3810,'Rec_raw_catch_effort_2010-2021'!$B3228,'FW_Steelhead_by_Month_2010-2021'!$H$2:$H$3810,'Rec_raw_catch_effort_2010-2021'!$F3228,'FW_Steelhead_by_Month_2010-2021'!$M$2:$M$3810,'Rec_raw_catch_effort_2010-2021'!$K3228)</f>
        <v>11.238562091503269</v>
      </c>
      <c r="R3228" s="111">
        <f>VLOOKUP(B3228,Readme!$A$62:$C$74,3,)*Q3228</f>
        <v>235.19205607928069</v>
      </c>
      <c r="S3228" s="140" t="str">
        <f t="shared" si="245"/>
        <v>Y</v>
      </c>
      <c r="T3228" s="154">
        <f t="shared" si="246"/>
        <v>8.5400000000000098</v>
      </c>
      <c r="U3228" s="154">
        <f t="shared" si="247"/>
        <v>20.927237324879293</v>
      </c>
    </row>
    <row r="3229" spans="1:21" x14ac:dyDescent="0.35">
      <c r="A3229" s="110">
        <v>1960</v>
      </c>
      <c r="B3229" s="110">
        <v>2012</v>
      </c>
      <c r="C3229" s="110" t="s">
        <v>38</v>
      </c>
      <c r="D3229" s="110" t="s">
        <v>143</v>
      </c>
      <c r="E3229" s="110" t="s">
        <v>86</v>
      </c>
      <c r="F3229" s="117">
        <v>826</v>
      </c>
      <c r="G3229" s="110" t="s">
        <v>59</v>
      </c>
      <c r="H3229" s="110" t="str">
        <f t="shared" si="244"/>
        <v>Cascade River</v>
      </c>
      <c r="I3229" s="110" t="str">
        <f>IFERROR(VLOOKUP(H3229,LUTs!$A$1:$C$73,2,FALSE),"NA")</f>
        <v>Skagit</v>
      </c>
      <c r="J3229" s="110" t="str">
        <f>IFERROR(VLOOKUP(H3229,LUTs!$A$1:$C$73,3,FALSE),"NA")</f>
        <v>1North Puget Sound</v>
      </c>
      <c r="K3229" s="110" t="s">
        <v>23</v>
      </c>
      <c r="L3229" s="110" t="str">
        <f>VLOOKUP(K3229,LUTs!E$2:G$14,3,)</f>
        <v>10Kitsap</v>
      </c>
      <c r="M3229" s="110" t="str">
        <f>VLOOKUP($K3229,LUTs!$E$2:$H$14,2,)</f>
        <v>South Puget Sound</v>
      </c>
      <c r="N3229" s="110" t="str">
        <f>VLOOKUP($K3229,LUTs!$E$2:$H$14,4,)</f>
        <v>02South Puget Sound</v>
      </c>
      <c r="O3229" s="110">
        <v>13.527272727272701</v>
      </c>
      <c r="P3229" s="110">
        <v>115.522909090909</v>
      </c>
      <c r="Q3229" s="110">
        <f>SUMIFS('FW_Steelhead_by_Month_2010-2021'!Q$2:Q$3810,'FW_Steelhead_by_Month_2010-2021'!$B$2:$B$3810,'Rec_raw_catch_effort_2010-2021'!$B3229,'FW_Steelhead_by_Month_2010-2021'!$H$2:$H$3810,'Rec_raw_catch_effort_2010-2021'!$F3229,'FW_Steelhead_by_Month_2010-2021'!$M$2:$M$3810,'Rec_raw_catch_effort_2010-2021'!$K3229)</f>
        <v>8.2919389978213491</v>
      </c>
      <c r="R3229" s="111">
        <f>VLOOKUP(B3229,Readme!$A$62:$C$74,3,)*Q3229</f>
        <v>173.52737529082913</v>
      </c>
      <c r="S3229" s="140" t="str">
        <f t="shared" si="245"/>
        <v>Y</v>
      </c>
      <c r="T3229" s="154">
        <f t="shared" si="246"/>
        <v>8.5400000000000098</v>
      </c>
      <c r="U3229" s="154">
        <f t="shared" si="247"/>
        <v>20.927237324879293</v>
      </c>
    </row>
    <row r="3230" spans="1:21" x14ac:dyDescent="0.35">
      <c r="A3230" s="110">
        <v>1961</v>
      </c>
      <c r="B3230" s="110">
        <v>2012</v>
      </c>
      <c r="C3230" s="110" t="s">
        <v>38</v>
      </c>
      <c r="D3230" s="110" t="s">
        <v>143</v>
      </c>
      <c r="E3230" s="110" t="s">
        <v>86</v>
      </c>
      <c r="F3230" s="117">
        <v>826</v>
      </c>
      <c r="G3230" s="110" t="s">
        <v>59</v>
      </c>
      <c r="H3230" s="110" t="str">
        <f t="shared" si="244"/>
        <v>Cascade River</v>
      </c>
      <c r="I3230" s="110" t="str">
        <f>IFERROR(VLOOKUP(H3230,LUTs!$A$1:$C$73,2,FALSE),"NA")</f>
        <v>Skagit</v>
      </c>
      <c r="J3230" s="110" t="str">
        <f>IFERROR(VLOOKUP(H3230,LUTs!$A$1:$C$73,3,FALSE),"NA")</f>
        <v>1North Puget Sound</v>
      </c>
      <c r="K3230" s="110" t="s">
        <v>26</v>
      </c>
      <c r="L3230" s="110" t="str">
        <f>VLOOKUP(K3230,LUTs!E$2:G$14,3,)</f>
        <v>20Other</v>
      </c>
      <c r="M3230" s="110" t="str">
        <f>VLOOKUP($K3230,LUTs!$E$2:$H$14,2,)</f>
        <v>Non Puget Sound</v>
      </c>
      <c r="N3230" s="110" t="str">
        <f>VLOOKUP($K3230,LUTs!$E$2:$H$14,4,)</f>
        <v>07Non Puget Sound</v>
      </c>
      <c r="O3230" s="110">
        <v>11.2727272727273</v>
      </c>
      <c r="P3230" s="110">
        <v>96.269090909091105</v>
      </c>
      <c r="Q3230" s="110">
        <f>SUMIFS('FW_Steelhead_by_Month_2010-2021'!Q$2:Q$3810,'FW_Steelhead_by_Month_2010-2021'!$B$2:$B$3810,'Rec_raw_catch_effort_2010-2021'!$B3230,'FW_Steelhead_by_Month_2010-2021'!$H$2:$H$3810,'Rec_raw_catch_effort_2010-2021'!$F3230,'FW_Steelhead_by_Month_2010-2021'!$M$2:$M$3810,'Rec_raw_catch_effort_2010-2021'!$K3230)</f>
        <v>21.268278867102399</v>
      </c>
      <c r="R3230" s="111">
        <f>VLOOKUP(B3230,Readme!$A$62:$C$74,3,)*Q3230</f>
        <v>445.0863193435668</v>
      </c>
      <c r="S3230" s="140" t="str">
        <f t="shared" si="245"/>
        <v>Y</v>
      </c>
      <c r="T3230" s="154">
        <f t="shared" si="246"/>
        <v>8.5399999999999974</v>
      </c>
      <c r="U3230" s="154">
        <f t="shared" si="247"/>
        <v>20.927237324879293</v>
      </c>
    </row>
    <row r="3231" spans="1:21" x14ac:dyDescent="0.35">
      <c r="A3231" s="110">
        <v>1958</v>
      </c>
      <c r="B3231" s="110">
        <v>2012</v>
      </c>
      <c r="C3231" s="110" t="s">
        <v>38</v>
      </c>
      <c r="D3231" s="110" t="s">
        <v>143</v>
      </c>
      <c r="E3231" s="110" t="s">
        <v>86</v>
      </c>
      <c r="F3231" s="117">
        <v>826</v>
      </c>
      <c r="G3231" s="110" t="s">
        <v>59</v>
      </c>
      <c r="H3231" s="110" t="str">
        <f t="shared" si="244"/>
        <v>Cascade River</v>
      </c>
      <c r="I3231" s="110" t="str">
        <f>IFERROR(VLOOKUP(H3231,LUTs!$A$1:$C$73,2,FALSE),"NA")</f>
        <v>Skagit</v>
      </c>
      <c r="J3231" s="110" t="str">
        <f>IFERROR(VLOOKUP(H3231,LUTs!$A$1:$C$73,3,FALSE),"NA")</f>
        <v>1North Puget Sound</v>
      </c>
      <c r="K3231" s="110" t="s">
        <v>30</v>
      </c>
      <c r="L3231" s="110" t="str">
        <f>VLOOKUP(K3231,LUTs!E$2:G$14,3,)</f>
        <v>05San Juan</v>
      </c>
      <c r="M3231" s="110" t="str">
        <f>VLOOKUP($K3231,LUTs!$E$2:$H$14,2,)</f>
        <v>North Puget Sound</v>
      </c>
      <c r="N3231" s="110" t="str">
        <f>VLOOKUP($K3231,LUTs!$E$2:$H$14,4,)</f>
        <v>01North Puget Sound</v>
      </c>
      <c r="O3231" s="110">
        <v>4.5090909090909097</v>
      </c>
      <c r="P3231" s="110">
        <v>38.507636363636401</v>
      </c>
      <c r="Q3231" s="110">
        <f>SUMIFS('FW_Steelhead_by_Month_2010-2021'!Q$2:Q$3810,'FW_Steelhead_by_Month_2010-2021'!$B$2:$B$3810,'Rec_raw_catch_effort_2010-2021'!$B3231,'FW_Steelhead_by_Month_2010-2021'!$H$2:$H$3810,'Rec_raw_catch_effort_2010-2021'!$F3231,'FW_Steelhead_by_Month_2010-2021'!$M$2:$M$3810,'Rec_raw_catch_effort_2010-2021'!$K3231)</f>
        <v>4.7407407407407396</v>
      </c>
      <c r="R3231" s="111">
        <f>VLOOKUP(B3231,Readme!$A$62:$C$74,3,)*Q3231</f>
        <v>99.21060657720551</v>
      </c>
      <c r="S3231" s="140" t="str">
        <f t="shared" si="245"/>
        <v>Y</v>
      </c>
      <c r="T3231" s="154">
        <f t="shared" si="246"/>
        <v>8.5400000000000063</v>
      </c>
      <c r="U3231" s="154">
        <f t="shared" si="247"/>
        <v>20.927237324879293</v>
      </c>
    </row>
    <row r="3232" spans="1:21" x14ac:dyDescent="0.35">
      <c r="A3232" s="110">
        <v>1915</v>
      </c>
      <c r="B3232" s="110">
        <v>2012</v>
      </c>
      <c r="C3232" s="110" t="s">
        <v>38</v>
      </c>
      <c r="D3232" s="110" t="s">
        <v>143</v>
      </c>
      <c r="E3232" s="110" t="s">
        <v>86</v>
      </c>
      <c r="F3232" s="117">
        <v>826</v>
      </c>
      <c r="G3232" s="110" t="s">
        <v>59</v>
      </c>
      <c r="H3232" s="110" t="str">
        <f t="shared" si="244"/>
        <v>Cascade River</v>
      </c>
      <c r="I3232" s="110" t="str">
        <f>IFERROR(VLOOKUP(H3232,LUTs!$A$1:$C$73,2,FALSE),"NA")</f>
        <v>Skagit</v>
      </c>
      <c r="J3232" s="110" t="str">
        <f>IFERROR(VLOOKUP(H3232,LUTs!$A$1:$C$73,3,FALSE),"NA")</f>
        <v>1North Puget Sound</v>
      </c>
      <c r="K3232" s="110" t="s">
        <v>15</v>
      </c>
      <c r="L3232" s="110" t="str">
        <f>VLOOKUP(K3232,LUTs!E$2:G$14,3,)</f>
        <v>02Skagit</v>
      </c>
      <c r="M3232" s="110" t="str">
        <f>VLOOKUP($K3232,LUTs!$E$2:$H$14,2,)</f>
        <v>North Puget Sound</v>
      </c>
      <c r="N3232" s="110" t="str">
        <f>VLOOKUP($K3232,LUTs!$E$2:$H$14,4,)</f>
        <v>01North Puget Sound</v>
      </c>
      <c r="O3232" s="110">
        <v>193.89090909090899</v>
      </c>
      <c r="P3232" s="110">
        <v>1655.8283636363601</v>
      </c>
      <c r="Q3232" s="110">
        <f>SUMIFS('FW_Steelhead_by_Month_2010-2021'!Q$2:Q$3810,'FW_Steelhead_by_Month_2010-2021'!$B$2:$B$3810,'Rec_raw_catch_effort_2010-2021'!$B3232,'FW_Steelhead_by_Month_2010-2021'!$H$2:$H$3810,'Rec_raw_catch_effort_2010-2021'!$F3232,'FW_Steelhead_by_Month_2010-2021'!$M$2:$M$3810,'Rec_raw_catch_effort_2010-2021'!$K3232)</f>
        <v>320.46252723311505</v>
      </c>
      <c r="R3232" s="111">
        <f>VLOOKUP(B3232,Readme!$A$62:$C$74,3,)*Q3232</f>
        <v>6706.395361137992</v>
      </c>
      <c r="S3232" s="140" t="str">
        <f t="shared" si="245"/>
        <v>Y</v>
      </c>
      <c r="T3232" s="154">
        <f t="shared" si="246"/>
        <v>8.5399999999999867</v>
      </c>
      <c r="U3232" s="154">
        <f t="shared" si="247"/>
        <v>20.927237324879293</v>
      </c>
    </row>
    <row r="3233" spans="1:21" x14ac:dyDescent="0.35">
      <c r="A3233" s="110">
        <v>1916</v>
      </c>
      <c r="B3233" s="110">
        <v>2012</v>
      </c>
      <c r="C3233" s="110" t="s">
        <v>38</v>
      </c>
      <c r="D3233" s="110" t="s">
        <v>143</v>
      </c>
      <c r="E3233" s="110" t="s">
        <v>86</v>
      </c>
      <c r="F3233" s="117">
        <v>826</v>
      </c>
      <c r="G3233" s="110" t="s">
        <v>59</v>
      </c>
      <c r="H3233" s="110" t="str">
        <f t="shared" si="244"/>
        <v>Cascade River</v>
      </c>
      <c r="I3233" s="110" t="str">
        <f>IFERROR(VLOOKUP(H3233,LUTs!$A$1:$C$73,2,FALSE),"NA")</f>
        <v>Skagit</v>
      </c>
      <c r="J3233" s="110" t="str">
        <f>IFERROR(VLOOKUP(H3233,LUTs!$A$1:$C$73,3,FALSE),"NA")</f>
        <v>1North Puget Sound</v>
      </c>
      <c r="K3233" s="110" t="s">
        <v>16</v>
      </c>
      <c r="L3233" s="110" t="str">
        <f>VLOOKUP(K3233,LUTs!E$2:G$14,3,)</f>
        <v>03Snohomish</v>
      </c>
      <c r="M3233" s="110" t="str">
        <f>VLOOKUP($K3233,LUTs!$E$2:$H$14,2,)</f>
        <v>North Puget Sound</v>
      </c>
      <c r="N3233" s="110" t="str">
        <f>VLOOKUP($K3233,LUTs!$E$2:$H$14,4,)</f>
        <v>01North Puget Sound</v>
      </c>
      <c r="O3233" s="110">
        <v>76.654545454545499</v>
      </c>
      <c r="P3233" s="110">
        <v>654.629818181818</v>
      </c>
      <c r="Q3233" s="110">
        <f>SUMIFS('FW_Steelhead_by_Month_2010-2021'!Q$2:Q$3810,'FW_Steelhead_by_Month_2010-2021'!$B$2:$B$3810,'Rec_raw_catch_effort_2010-2021'!$B3233,'FW_Steelhead_by_Month_2010-2021'!$H$2:$H$3810,'Rec_raw_catch_effort_2010-2021'!$F3233,'FW_Steelhead_by_Month_2010-2021'!$M$2:$M$3810,'Rec_raw_catch_effort_2010-2021'!$K3233)</f>
        <v>96.506535947712479</v>
      </c>
      <c r="R3233" s="111">
        <f>VLOOKUP(B3233,Readme!$A$62:$C$74,3,)*Q3233</f>
        <v>2019.6151811797738</v>
      </c>
      <c r="S3233" s="140" t="str">
        <f t="shared" si="245"/>
        <v>Y</v>
      </c>
      <c r="T3233" s="154">
        <f t="shared" si="246"/>
        <v>8.539999999999992</v>
      </c>
      <c r="U3233" s="154">
        <f t="shared" si="247"/>
        <v>20.927237324879293</v>
      </c>
    </row>
    <row r="3234" spans="1:21" x14ac:dyDescent="0.35">
      <c r="A3234" s="110">
        <v>1912</v>
      </c>
      <c r="B3234" s="110">
        <v>2012</v>
      </c>
      <c r="C3234" s="110" t="s">
        <v>38</v>
      </c>
      <c r="D3234" s="110" t="s">
        <v>143</v>
      </c>
      <c r="E3234" s="110" t="s">
        <v>86</v>
      </c>
      <c r="F3234" s="117">
        <v>826</v>
      </c>
      <c r="G3234" s="110" t="s">
        <v>59</v>
      </c>
      <c r="H3234" s="110" t="str">
        <f t="shared" si="244"/>
        <v>Cascade River</v>
      </c>
      <c r="I3234" s="110" t="str">
        <f>IFERROR(VLOOKUP(H3234,LUTs!$A$1:$C$73,2,FALSE),"NA")</f>
        <v>Skagit</v>
      </c>
      <c r="J3234" s="110" t="str">
        <f>IFERROR(VLOOKUP(H3234,LUTs!$A$1:$C$73,3,FALSE),"NA")</f>
        <v>1North Puget Sound</v>
      </c>
      <c r="K3234" s="110" t="s">
        <v>13</v>
      </c>
      <c r="L3234" s="110" t="str">
        <f>VLOOKUP(K3234,LUTs!E$2:G$14,3,)</f>
        <v>01Whatcom</v>
      </c>
      <c r="M3234" s="110" t="str">
        <f>VLOOKUP($K3234,LUTs!$E$2:$H$14,2,)</f>
        <v>North Puget Sound</v>
      </c>
      <c r="N3234" s="110" t="str">
        <f>VLOOKUP($K3234,LUTs!$E$2:$H$14,4,)</f>
        <v>01North Puget Sound</v>
      </c>
      <c r="O3234" s="110">
        <v>49.6</v>
      </c>
      <c r="P3234" s="110">
        <v>423.584</v>
      </c>
      <c r="Q3234" s="110">
        <f>SUMIFS('FW_Steelhead_by_Month_2010-2021'!Q$2:Q$3810,'FW_Steelhead_by_Month_2010-2021'!$B$2:$B$3810,'Rec_raw_catch_effort_2010-2021'!$B3234,'FW_Steelhead_by_Month_2010-2021'!$H$2:$H$3810,'Rec_raw_catch_effort_2010-2021'!$F3234,'FW_Steelhead_by_Month_2010-2021'!$M$2:$M$3810,'Rec_raw_catch_effort_2010-2021'!$K3234)</f>
        <v>100.37564270152508</v>
      </c>
      <c r="R3234" s="111">
        <f>VLOOKUP(B3234,Readme!$A$62:$C$74,3,)*Q3234</f>
        <v>2100.5848964521033</v>
      </c>
      <c r="S3234" s="140" t="str">
        <f t="shared" si="245"/>
        <v>Y</v>
      </c>
      <c r="T3234" s="154">
        <f t="shared" si="246"/>
        <v>8.5399999999999991</v>
      </c>
      <c r="U3234" s="154">
        <f t="shared" si="247"/>
        <v>20.927237324879293</v>
      </c>
    </row>
    <row r="3235" spans="1:21" x14ac:dyDescent="0.35">
      <c r="A3235" s="110">
        <v>1993</v>
      </c>
      <c r="B3235" s="110">
        <v>2013</v>
      </c>
      <c r="C3235" s="110" t="s">
        <v>38</v>
      </c>
      <c r="D3235" s="110" t="s">
        <v>143</v>
      </c>
      <c r="E3235" s="110" t="s">
        <v>86</v>
      </c>
      <c r="F3235" s="117">
        <v>826</v>
      </c>
      <c r="G3235" s="110" t="s">
        <v>59</v>
      </c>
      <c r="H3235" s="110" t="str">
        <f t="shared" si="244"/>
        <v>Cascade River</v>
      </c>
      <c r="I3235" s="110" t="str">
        <f>IFERROR(VLOOKUP(H3235,LUTs!$A$1:$C$73,2,FALSE),"NA")</f>
        <v>Skagit</v>
      </c>
      <c r="J3235" s="110" t="str">
        <f>IFERROR(VLOOKUP(H3235,LUTs!$A$1:$C$73,3,FALSE),"NA")</f>
        <v>1North Puget Sound</v>
      </c>
      <c r="K3235" s="110" t="s">
        <v>17</v>
      </c>
      <c r="L3235" s="110" t="str">
        <f>VLOOKUP(K3235,LUTs!E$2:G$14,3,)</f>
        <v>04Island</v>
      </c>
      <c r="M3235" s="110" t="str">
        <f>VLOOKUP($K3235,LUTs!$E$2:$H$14,2,)</f>
        <v>North Puget Sound</v>
      </c>
      <c r="N3235" s="110" t="str">
        <f>VLOOKUP($K3235,LUTs!$E$2:$H$14,4,)</f>
        <v>01North Puget Sound</v>
      </c>
      <c r="O3235" s="110">
        <v>6.0338983050847501</v>
      </c>
      <c r="P3235" s="110">
        <v>111.92881355932199</v>
      </c>
      <c r="Q3235" s="110">
        <f>SUMIFS('FW_Steelhead_by_Month_2010-2021'!Q$2:Q$3810,'FW_Steelhead_by_Month_2010-2021'!$B$2:$B$3810,'Rec_raw_catch_effort_2010-2021'!$B3235,'FW_Steelhead_by_Month_2010-2021'!$H$2:$H$3810,'Rec_raw_catch_effort_2010-2021'!$F3235,'FW_Steelhead_by_Month_2010-2021'!$M$2:$M$3810,'Rec_raw_catch_effort_2010-2021'!$K3235)</f>
        <v>13.303267973856212</v>
      </c>
      <c r="R3235" s="111">
        <f>VLOOKUP(B3235,Readme!$A$62:$C$74,3,)*Q3235</f>
        <v>278.40064608535505</v>
      </c>
      <c r="S3235" s="140" t="str">
        <f t="shared" si="245"/>
        <v>Y</v>
      </c>
      <c r="T3235" s="154">
        <f t="shared" si="246"/>
        <v>18.549999999999979</v>
      </c>
      <c r="U3235" s="154">
        <f t="shared" si="247"/>
        <v>20.927237324879293</v>
      </c>
    </row>
    <row r="3236" spans="1:21" x14ac:dyDescent="0.35">
      <c r="A3236" s="110">
        <v>1994</v>
      </c>
      <c r="B3236" s="110">
        <v>2013</v>
      </c>
      <c r="C3236" s="110" t="s">
        <v>38</v>
      </c>
      <c r="D3236" s="110" t="s">
        <v>143</v>
      </c>
      <c r="E3236" s="110" t="s">
        <v>86</v>
      </c>
      <c r="F3236" s="117">
        <v>826</v>
      </c>
      <c r="G3236" s="110" t="s">
        <v>59</v>
      </c>
      <c r="H3236" s="110" t="str">
        <f t="shared" si="244"/>
        <v>Cascade River</v>
      </c>
      <c r="I3236" s="110" t="str">
        <f>IFERROR(VLOOKUP(H3236,LUTs!$A$1:$C$73,2,FALSE),"NA")</f>
        <v>Skagit</v>
      </c>
      <c r="J3236" s="110" t="str">
        <f>IFERROR(VLOOKUP(H3236,LUTs!$A$1:$C$73,3,FALSE),"NA")</f>
        <v>1North Puget Sound</v>
      </c>
      <c r="K3236" s="110" t="s">
        <v>18</v>
      </c>
      <c r="L3236" s="110" t="str">
        <f>VLOOKUP(K3236,LUTs!E$2:G$14,3,)</f>
        <v>06King</v>
      </c>
      <c r="M3236" s="110" t="str">
        <f>VLOOKUP($K3236,LUTs!$E$2:$H$14,2,)</f>
        <v>South Puget Sound</v>
      </c>
      <c r="N3236" s="110" t="str">
        <f>VLOOKUP($K3236,LUTs!$E$2:$H$14,4,)</f>
        <v>02South Puget Sound</v>
      </c>
      <c r="O3236" s="110">
        <v>6.0338983050847501</v>
      </c>
      <c r="P3236" s="110">
        <v>111.92881355932199</v>
      </c>
      <c r="Q3236" s="110">
        <f>SUMIFS('FW_Steelhead_by_Month_2010-2021'!Q$2:Q$3810,'FW_Steelhead_by_Month_2010-2021'!$B$2:$B$3810,'Rec_raw_catch_effort_2010-2021'!$B3236,'FW_Steelhead_by_Month_2010-2021'!$H$2:$H$3810,'Rec_raw_catch_effort_2010-2021'!$F3236,'FW_Steelhead_by_Month_2010-2021'!$M$2:$M$3810,'Rec_raw_catch_effort_2010-2021'!$K3236)</f>
        <v>7.8392156862745104</v>
      </c>
      <c r="R3236" s="111">
        <f>VLOOKUP(B3236,Readme!$A$62:$C$74,3,)*Q3236</f>
        <v>164.05312710758318</v>
      </c>
      <c r="S3236" s="140" t="str">
        <f t="shared" si="245"/>
        <v>Y</v>
      </c>
      <c r="T3236" s="154">
        <f t="shared" si="246"/>
        <v>18.549999999999979</v>
      </c>
      <c r="U3236" s="154">
        <f t="shared" si="247"/>
        <v>20.927237324879293</v>
      </c>
    </row>
    <row r="3237" spans="1:21" x14ac:dyDescent="0.35">
      <c r="A3237" s="110">
        <v>1995</v>
      </c>
      <c r="B3237" s="110">
        <v>2013</v>
      </c>
      <c r="C3237" s="110" t="s">
        <v>38</v>
      </c>
      <c r="D3237" s="110" t="s">
        <v>143</v>
      </c>
      <c r="E3237" s="110" t="s">
        <v>86</v>
      </c>
      <c r="F3237" s="117">
        <v>826</v>
      </c>
      <c r="G3237" s="110" t="s">
        <v>59</v>
      </c>
      <c r="H3237" s="110" t="str">
        <f t="shared" si="244"/>
        <v>Cascade River</v>
      </c>
      <c r="I3237" s="110" t="str">
        <f>IFERROR(VLOOKUP(H3237,LUTs!$A$1:$C$73,2,FALSE),"NA")</f>
        <v>Skagit</v>
      </c>
      <c r="J3237" s="110" t="str">
        <f>IFERROR(VLOOKUP(H3237,LUTs!$A$1:$C$73,3,FALSE),"NA")</f>
        <v>1North Puget Sound</v>
      </c>
      <c r="K3237" s="110" t="s">
        <v>20</v>
      </c>
      <c r="L3237" s="110" t="str">
        <f>VLOOKUP(K3237,LUTs!E$2:G$14,3,)</f>
        <v>07Pierce</v>
      </c>
      <c r="M3237" s="110" t="str">
        <f>VLOOKUP($K3237,LUTs!$E$2:$H$14,2,)</f>
        <v>South Puget Sound</v>
      </c>
      <c r="N3237" s="110" t="str">
        <f>VLOOKUP($K3237,LUTs!$E$2:$H$14,4,)</f>
        <v>02South Puget Sound</v>
      </c>
      <c r="O3237" s="110">
        <v>3.0169491525423702</v>
      </c>
      <c r="P3237" s="110">
        <v>55.964406779660997</v>
      </c>
      <c r="Q3237" s="110">
        <f>SUMIFS('FW_Steelhead_by_Month_2010-2021'!Q$2:Q$3810,'FW_Steelhead_by_Month_2010-2021'!$B$2:$B$3810,'Rec_raw_catch_effort_2010-2021'!$B3237,'FW_Steelhead_by_Month_2010-2021'!$H$2:$H$3810,'Rec_raw_catch_effort_2010-2021'!$F3237,'FW_Steelhead_by_Month_2010-2021'!$M$2:$M$3810,'Rec_raw_catch_effort_2010-2021'!$K3237)</f>
        <v>3.1111111111111098</v>
      </c>
      <c r="R3237" s="111">
        <f>VLOOKUP(B3237,Readme!$A$62:$C$74,3,)*Q3237</f>
        <v>65.106960566291107</v>
      </c>
      <c r="S3237" s="140" t="str">
        <f t="shared" si="245"/>
        <v>Y</v>
      </c>
      <c r="T3237" s="154">
        <f t="shared" si="246"/>
        <v>18.550000000000011</v>
      </c>
      <c r="U3237" s="154">
        <f t="shared" si="247"/>
        <v>20.927237324879293</v>
      </c>
    </row>
    <row r="3238" spans="1:21" x14ac:dyDescent="0.35">
      <c r="A3238" s="110">
        <v>1963</v>
      </c>
      <c r="B3238" s="110">
        <v>2013</v>
      </c>
      <c r="C3238" s="110" t="s">
        <v>38</v>
      </c>
      <c r="D3238" s="110" t="s">
        <v>143</v>
      </c>
      <c r="E3238" s="110" t="s">
        <v>86</v>
      </c>
      <c r="F3238" s="117">
        <v>826</v>
      </c>
      <c r="G3238" s="110" t="s">
        <v>59</v>
      </c>
      <c r="H3238" s="110" t="str">
        <f t="shared" si="244"/>
        <v>Cascade River</v>
      </c>
      <c r="I3238" s="110" t="str">
        <f>IFERROR(VLOOKUP(H3238,LUTs!$A$1:$C$73,2,FALSE),"NA")</f>
        <v>Skagit</v>
      </c>
      <c r="J3238" s="110" t="str">
        <f>IFERROR(VLOOKUP(H3238,LUTs!$A$1:$C$73,3,FALSE),"NA")</f>
        <v>1North Puget Sound</v>
      </c>
      <c r="K3238" s="110" t="s">
        <v>15</v>
      </c>
      <c r="L3238" s="110" t="str">
        <f>VLOOKUP(K3238,LUTs!E$2:G$14,3,)</f>
        <v>02Skagit</v>
      </c>
      <c r="M3238" s="110" t="str">
        <f>VLOOKUP($K3238,LUTs!$E$2:$H$14,2,)</f>
        <v>North Puget Sound</v>
      </c>
      <c r="N3238" s="110" t="str">
        <f>VLOOKUP($K3238,LUTs!$E$2:$H$14,4,)</f>
        <v>01North Puget Sound</v>
      </c>
      <c r="O3238" s="110">
        <v>81.457627118644098</v>
      </c>
      <c r="P3238" s="110">
        <v>1511.03898305085</v>
      </c>
      <c r="Q3238" s="110">
        <f>SUMIFS('FW_Steelhead_by_Month_2010-2021'!Q$2:Q$3810,'FW_Steelhead_by_Month_2010-2021'!$B$2:$B$3810,'Rec_raw_catch_effort_2010-2021'!$B3238,'FW_Steelhead_by_Month_2010-2021'!$H$2:$H$3810,'Rec_raw_catch_effort_2010-2021'!$F3238,'FW_Steelhead_by_Month_2010-2021'!$M$2:$M$3810,'Rec_raw_catch_effort_2010-2021'!$K3238)</f>
        <v>173.2426556587547</v>
      </c>
      <c r="R3238" s="111">
        <f>VLOOKUP(B3238,Readme!$A$62:$C$74,3,)*Q3238</f>
        <v>3625.4901697631021</v>
      </c>
      <c r="S3238" s="140" t="str">
        <f t="shared" si="245"/>
        <v>Y</v>
      </c>
      <c r="T3238" s="154">
        <f t="shared" si="246"/>
        <v>18.550000000000026</v>
      </c>
      <c r="U3238" s="154">
        <f t="shared" si="247"/>
        <v>20.927237324879293</v>
      </c>
    </row>
    <row r="3239" spans="1:21" x14ac:dyDescent="0.35">
      <c r="A3239" s="110">
        <v>1992</v>
      </c>
      <c r="B3239" s="110">
        <v>2013</v>
      </c>
      <c r="C3239" s="110" t="s">
        <v>38</v>
      </c>
      <c r="D3239" s="110" t="s">
        <v>143</v>
      </c>
      <c r="E3239" s="110" t="s">
        <v>86</v>
      </c>
      <c r="F3239" s="117">
        <v>826</v>
      </c>
      <c r="G3239" s="110" t="s">
        <v>59</v>
      </c>
      <c r="H3239" s="110" t="str">
        <f t="shared" si="244"/>
        <v>Cascade River</v>
      </c>
      <c r="I3239" s="110" t="str">
        <f>IFERROR(VLOOKUP(H3239,LUTs!$A$1:$C$73,2,FALSE),"NA")</f>
        <v>Skagit</v>
      </c>
      <c r="J3239" s="110" t="str">
        <f>IFERROR(VLOOKUP(H3239,LUTs!$A$1:$C$73,3,FALSE),"NA")</f>
        <v>1North Puget Sound</v>
      </c>
      <c r="K3239" s="110" t="s">
        <v>16</v>
      </c>
      <c r="L3239" s="110" t="str">
        <f>VLOOKUP(K3239,LUTs!E$2:G$14,3,)</f>
        <v>03Snohomish</v>
      </c>
      <c r="M3239" s="110" t="str">
        <f>VLOOKUP($K3239,LUTs!$E$2:$H$14,2,)</f>
        <v>North Puget Sound</v>
      </c>
      <c r="N3239" s="110" t="str">
        <f>VLOOKUP($K3239,LUTs!$E$2:$H$14,4,)</f>
        <v>01North Puget Sound</v>
      </c>
      <c r="O3239" s="110">
        <v>27.152542372881399</v>
      </c>
      <c r="P3239" s="110">
        <v>503.67966101694998</v>
      </c>
      <c r="Q3239" s="110">
        <f>SUMIFS('FW_Steelhead_by_Month_2010-2021'!Q$2:Q$3810,'FW_Steelhead_by_Month_2010-2021'!$B$2:$B$3810,'Rec_raw_catch_effort_2010-2021'!$B3239,'FW_Steelhead_by_Month_2010-2021'!$H$2:$H$3810,'Rec_raw_catch_effort_2010-2021'!$F3239,'FW_Steelhead_by_Month_2010-2021'!$M$2:$M$3810,'Rec_raw_catch_effort_2010-2021'!$K3239)</f>
        <v>32.806535947712433</v>
      </c>
      <c r="R3239" s="111">
        <f>VLOOKUP(B3239,Readme!$A$62:$C$74,3,)*Q3239</f>
        <v>686.55016358496187</v>
      </c>
      <c r="S3239" s="140" t="str">
        <f t="shared" si="245"/>
        <v>Y</v>
      </c>
      <c r="T3239" s="154">
        <f t="shared" si="246"/>
        <v>18.55</v>
      </c>
      <c r="U3239" s="154">
        <f t="shared" si="247"/>
        <v>20.927237324879293</v>
      </c>
    </row>
    <row r="3240" spans="1:21" x14ac:dyDescent="0.35">
      <c r="A3240" s="110">
        <v>1962</v>
      </c>
      <c r="B3240" s="110">
        <v>2013</v>
      </c>
      <c r="C3240" s="110" t="s">
        <v>38</v>
      </c>
      <c r="D3240" s="110" t="s">
        <v>143</v>
      </c>
      <c r="E3240" s="110" t="s">
        <v>86</v>
      </c>
      <c r="F3240" s="117">
        <v>826</v>
      </c>
      <c r="G3240" s="110" t="s">
        <v>59</v>
      </c>
      <c r="H3240" s="110" t="str">
        <f t="shared" si="244"/>
        <v>Cascade River</v>
      </c>
      <c r="I3240" s="110" t="str">
        <f>IFERROR(VLOOKUP(H3240,LUTs!$A$1:$C$73,2,FALSE),"NA")</f>
        <v>Skagit</v>
      </c>
      <c r="J3240" s="110" t="str">
        <f>IFERROR(VLOOKUP(H3240,LUTs!$A$1:$C$73,3,FALSE),"NA")</f>
        <v>1North Puget Sound</v>
      </c>
      <c r="K3240" s="110" t="s">
        <v>13</v>
      </c>
      <c r="L3240" s="110" t="str">
        <f>VLOOKUP(K3240,LUTs!E$2:G$14,3,)</f>
        <v>01Whatcom</v>
      </c>
      <c r="M3240" s="110" t="str">
        <f>VLOOKUP($K3240,LUTs!$E$2:$H$14,2,)</f>
        <v>North Puget Sound</v>
      </c>
      <c r="N3240" s="110" t="str">
        <f>VLOOKUP($K3240,LUTs!$E$2:$H$14,4,)</f>
        <v>01North Puget Sound</v>
      </c>
      <c r="O3240" s="110">
        <v>54.305084745762699</v>
      </c>
      <c r="P3240" s="110">
        <v>1007.3593220339</v>
      </c>
      <c r="Q3240" s="110">
        <f>SUMIFS('FW_Steelhead_by_Month_2010-2021'!Q$2:Q$3810,'FW_Steelhead_by_Month_2010-2021'!$B$2:$B$3810,'Rec_raw_catch_effort_2010-2021'!$B3240,'FW_Steelhead_by_Month_2010-2021'!$H$2:$H$3810,'Rec_raw_catch_effort_2010-2021'!$F3240,'FW_Steelhead_by_Month_2010-2021'!$M$2:$M$3810,'Rec_raw_catch_effort_2010-2021'!$K3240)</f>
        <v>51.564086687306514</v>
      </c>
      <c r="R3240" s="111">
        <f>VLOOKUP(B3240,Readme!$A$62:$C$74,3,)*Q3240</f>
        <v>1079.0938795459124</v>
      </c>
      <c r="S3240" s="140" t="str">
        <f t="shared" si="245"/>
        <v>Y</v>
      </c>
      <c r="T3240" s="154">
        <f t="shared" si="246"/>
        <v>18.550000000000036</v>
      </c>
      <c r="U3240" s="154">
        <f t="shared" si="247"/>
        <v>20.927237324879293</v>
      </c>
    </row>
    <row r="3241" spans="1:21" x14ac:dyDescent="0.35">
      <c r="A3241" s="110">
        <v>2053</v>
      </c>
      <c r="B3241" s="110">
        <v>2014</v>
      </c>
      <c r="C3241" s="110" t="s">
        <v>38</v>
      </c>
      <c r="D3241" s="110" t="s">
        <v>143</v>
      </c>
      <c r="E3241" s="110" t="s">
        <v>86</v>
      </c>
      <c r="F3241" s="117">
        <v>826</v>
      </c>
      <c r="G3241" s="110" t="s">
        <v>59</v>
      </c>
      <c r="H3241" s="110" t="str">
        <f t="shared" si="244"/>
        <v>Cascade River</v>
      </c>
      <c r="I3241" s="110" t="str">
        <f>IFERROR(VLOOKUP(H3241,LUTs!$A$1:$C$73,2,FALSE),"NA")</f>
        <v>Skagit</v>
      </c>
      <c r="J3241" s="110" t="str">
        <f>IFERROR(VLOOKUP(H3241,LUTs!$A$1:$C$73,3,FALSE),"NA")</f>
        <v>1North Puget Sound</v>
      </c>
      <c r="K3241" s="110" t="s">
        <v>17</v>
      </c>
      <c r="L3241" s="110" t="str">
        <f>VLOOKUP(K3241,LUTs!E$2:G$14,3,)</f>
        <v>04Island</v>
      </c>
      <c r="M3241" s="110" t="str">
        <f>VLOOKUP($K3241,LUTs!$E$2:$H$14,2,)</f>
        <v>North Puget Sound</v>
      </c>
      <c r="N3241" s="110" t="str">
        <f>VLOOKUP($K3241,LUTs!$E$2:$H$14,4,)</f>
        <v>01North Puget Sound</v>
      </c>
      <c r="O3241" s="110">
        <v>3.2035398230088501</v>
      </c>
      <c r="P3241" s="110">
        <v>27.358230088495599</v>
      </c>
      <c r="Q3241" s="110">
        <f>SUMIFS('FW_Steelhead_by_Month_2010-2021'!Q$2:Q$3810,'FW_Steelhead_by_Month_2010-2021'!$B$2:$B$3810,'Rec_raw_catch_effort_2010-2021'!$B3241,'FW_Steelhead_by_Month_2010-2021'!$H$2:$H$3810,'Rec_raw_catch_effort_2010-2021'!$F3241,'FW_Steelhead_by_Month_2010-2021'!$M$2:$M$3810,'Rec_raw_catch_effort_2010-2021'!$K3241)</f>
        <v>3.32</v>
      </c>
      <c r="R3241" s="111">
        <f>VLOOKUP(B3241,Readme!$A$62:$C$74,3,)*Q3241</f>
        <v>69.478427918599252</v>
      </c>
      <c r="S3241" s="140" t="str">
        <f t="shared" si="245"/>
        <v>Y</v>
      </c>
      <c r="T3241" s="154">
        <f t="shared" si="246"/>
        <v>8.5400000000000063</v>
      </c>
      <c r="U3241" s="154">
        <f t="shared" si="247"/>
        <v>20.927237324879293</v>
      </c>
    </row>
    <row r="3242" spans="1:21" x14ac:dyDescent="0.35">
      <c r="A3242" s="110">
        <v>2055</v>
      </c>
      <c r="B3242" s="110">
        <v>2014</v>
      </c>
      <c r="C3242" s="110" t="s">
        <v>38</v>
      </c>
      <c r="D3242" s="110" t="s">
        <v>143</v>
      </c>
      <c r="E3242" s="110" t="s">
        <v>86</v>
      </c>
      <c r="F3242" s="117">
        <v>826</v>
      </c>
      <c r="G3242" s="110" t="s">
        <v>59</v>
      </c>
      <c r="H3242" s="110" t="str">
        <f t="shared" si="244"/>
        <v>Cascade River</v>
      </c>
      <c r="I3242" s="110" t="str">
        <f>IFERROR(VLOOKUP(H3242,LUTs!$A$1:$C$73,2,FALSE),"NA")</f>
        <v>Skagit</v>
      </c>
      <c r="J3242" s="110" t="str">
        <f>IFERROR(VLOOKUP(H3242,LUTs!$A$1:$C$73,3,FALSE),"NA")</f>
        <v>1North Puget Sound</v>
      </c>
      <c r="K3242" s="110" t="s">
        <v>18</v>
      </c>
      <c r="L3242" s="110" t="str">
        <f>VLOOKUP(K3242,LUTs!E$2:G$14,3,)</f>
        <v>06King</v>
      </c>
      <c r="M3242" s="110" t="str">
        <f>VLOOKUP($K3242,LUTs!$E$2:$H$14,2,)</f>
        <v>South Puget Sound</v>
      </c>
      <c r="N3242" s="110" t="str">
        <f>VLOOKUP($K3242,LUTs!$E$2:$H$14,4,)</f>
        <v>02South Puget Sound</v>
      </c>
      <c r="O3242" s="110">
        <v>12.8141592920354</v>
      </c>
      <c r="P3242" s="110">
        <v>109.432920353982</v>
      </c>
      <c r="Q3242" s="110">
        <f>SUMIFS('FW_Steelhead_by_Month_2010-2021'!Q$2:Q$3810,'FW_Steelhead_by_Month_2010-2021'!$B$2:$B$3810,'Rec_raw_catch_effort_2010-2021'!$B3242,'FW_Steelhead_by_Month_2010-2021'!$H$2:$H$3810,'Rec_raw_catch_effort_2010-2021'!$F3242,'FW_Steelhead_by_Month_2010-2021'!$M$2:$M$3810,'Rec_raw_catch_effort_2010-2021'!$K3242)</f>
        <v>13.40444444444444</v>
      </c>
      <c r="R3242" s="111">
        <f>VLOOKUP(B3242,Readme!$A$62:$C$74,3,)*Q3242</f>
        <v>280.5179900970486</v>
      </c>
      <c r="S3242" s="140" t="str">
        <f t="shared" si="245"/>
        <v>Y</v>
      </c>
      <c r="T3242" s="154">
        <f t="shared" si="246"/>
        <v>8.5399999999999743</v>
      </c>
      <c r="U3242" s="154">
        <f t="shared" si="247"/>
        <v>20.927237324879297</v>
      </c>
    </row>
    <row r="3243" spans="1:21" x14ac:dyDescent="0.35">
      <c r="A3243" s="110">
        <v>2054</v>
      </c>
      <c r="B3243" s="110">
        <v>2014</v>
      </c>
      <c r="C3243" s="110" t="s">
        <v>38</v>
      </c>
      <c r="D3243" s="110" t="s">
        <v>143</v>
      </c>
      <c r="E3243" s="110" t="s">
        <v>86</v>
      </c>
      <c r="F3243" s="117">
        <v>826</v>
      </c>
      <c r="G3243" s="110" t="s">
        <v>59</v>
      </c>
      <c r="H3243" s="110" t="str">
        <f t="shared" si="244"/>
        <v>Cascade River</v>
      </c>
      <c r="I3243" s="110" t="str">
        <f>IFERROR(VLOOKUP(H3243,LUTs!$A$1:$C$73,2,FALSE),"NA")</f>
        <v>Skagit</v>
      </c>
      <c r="J3243" s="110" t="str">
        <f>IFERROR(VLOOKUP(H3243,LUTs!$A$1:$C$73,3,FALSE),"NA")</f>
        <v>1North Puget Sound</v>
      </c>
      <c r="K3243" s="110" t="s">
        <v>30</v>
      </c>
      <c r="L3243" s="110" t="str">
        <f>VLOOKUP(K3243,LUTs!E$2:G$14,3,)</f>
        <v>05San Juan</v>
      </c>
      <c r="M3243" s="110" t="str">
        <f>VLOOKUP($K3243,LUTs!$E$2:$H$14,2,)</f>
        <v>North Puget Sound</v>
      </c>
      <c r="N3243" s="110" t="str">
        <f>VLOOKUP($K3243,LUTs!$E$2:$H$14,4,)</f>
        <v>01North Puget Sound</v>
      </c>
      <c r="O3243" s="110">
        <v>12.8141592920354</v>
      </c>
      <c r="P3243" s="110">
        <v>109.432920353982</v>
      </c>
      <c r="Q3243" s="110">
        <f>SUMIFS('FW_Steelhead_by_Month_2010-2021'!Q$2:Q$3810,'FW_Steelhead_by_Month_2010-2021'!$B$2:$B$3810,'Rec_raw_catch_effort_2010-2021'!$B3243,'FW_Steelhead_by_Month_2010-2021'!$H$2:$H$3810,'Rec_raw_catch_effort_2010-2021'!$F3243,'FW_Steelhead_by_Month_2010-2021'!$M$2:$M$3810,'Rec_raw_catch_effort_2010-2021'!$K3243)</f>
        <v>13.28</v>
      </c>
      <c r="R3243" s="111">
        <f>VLOOKUP(B3243,Readme!$A$62:$C$74,3,)*Q3243</f>
        <v>277.91371167439701</v>
      </c>
      <c r="S3243" s="140" t="str">
        <f t="shared" si="245"/>
        <v>Y</v>
      </c>
      <c r="T3243" s="154">
        <f t="shared" si="246"/>
        <v>8.5399999999999743</v>
      </c>
      <c r="U3243" s="154">
        <f t="shared" si="247"/>
        <v>20.927237324879293</v>
      </c>
    </row>
    <row r="3244" spans="1:21" x14ac:dyDescent="0.35">
      <c r="A3244" s="110">
        <v>1998</v>
      </c>
      <c r="B3244" s="110">
        <v>2014</v>
      </c>
      <c r="C3244" s="110" t="s">
        <v>38</v>
      </c>
      <c r="D3244" s="110" t="s">
        <v>143</v>
      </c>
      <c r="E3244" s="110" t="s">
        <v>86</v>
      </c>
      <c r="F3244" s="117">
        <v>826</v>
      </c>
      <c r="G3244" s="110" t="s">
        <v>59</v>
      </c>
      <c r="H3244" s="110" t="str">
        <f t="shared" si="244"/>
        <v>Cascade River</v>
      </c>
      <c r="I3244" s="110" t="str">
        <f>IFERROR(VLOOKUP(H3244,LUTs!$A$1:$C$73,2,FALSE),"NA")</f>
        <v>Skagit</v>
      </c>
      <c r="J3244" s="110" t="str">
        <f>IFERROR(VLOOKUP(H3244,LUTs!$A$1:$C$73,3,FALSE),"NA")</f>
        <v>1North Puget Sound</v>
      </c>
      <c r="K3244" s="110" t="s">
        <v>15</v>
      </c>
      <c r="L3244" s="110" t="str">
        <f>VLOOKUP(K3244,LUTs!E$2:G$14,3,)</f>
        <v>02Skagit</v>
      </c>
      <c r="M3244" s="110" t="str">
        <f>VLOOKUP($K3244,LUTs!$E$2:$H$14,2,)</f>
        <v>North Puget Sound</v>
      </c>
      <c r="N3244" s="110" t="str">
        <f>VLOOKUP($K3244,LUTs!$E$2:$H$14,4,)</f>
        <v>01North Puget Sound</v>
      </c>
      <c r="O3244" s="110">
        <v>198.61946902654901</v>
      </c>
      <c r="P3244" s="110">
        <v>1696.2102654867299</v>
      </c>
      <c r="Q3244" s="110">
        <f>SUMIFS('FW_Steelhead_by_Month_2010-2021'!Q$2:Q$3810,'FW_Steelhead_by_Month_2010-2021'!$B$2:$B$3810,'Rec_raw_catch_effort_2010-2021'!$B3244,'FW_Steelhead_by_Month_2010-2021'!$H$2:$H$3810,'Rec_raw_catch_effort_2010-2021'!$F3244,'FW_Steelhead_by_Month_2010-2021'!$M$2:$M$3810,'Rec_raw_catch_effort_2010-2021'!$K3244)</f>
        <v>89.733333333333306</v>
      </c>
      <c r="R3244" s="111">
        <f>VLOOKUP(B3244,Readme!$A$62:$C$74,3,)*Q3244</f>
        <v>1877.8707626191681</v>
      </c>
      <c r="S3244" s="140" t="str">
        <f t="shared" si="245"/>
        <v>Y</v>
      </c>
      <c r="T3244" s="154">
        <f t="shared" si="246"/>
        <v>8.5400000000000063</v>
      </c>
      <c r="U3244" s="154">
        <f t="shared" si="247"/>
        <v>20.927237324879293</v>
      </c>
    </row>
    <row r="3245" spans="1:21" x14ac:dyDescent="0.35">
      <c r="A3245" s="110">
        <v>2052</v>
      </c>
      <c r="B3245" s="110">
        <v>2014</v>
      </c>
      <c r="C3245" s="110" t="s">
        <v>38</v>
      </c>
      <c r="D3245" s="110" t="s">
        <v>143</v>
      </c>
      <c r="E3245" s="110" t="s">
        <v>86</v>
      </c>
      <c r="F3245" s="117">
        <v>826</v>
      </c>
      <c r="G3245" s="110" t="s">
        <v>59</v>
      </c>
      <c r="H3245" s="110" t="str">
        <f t="shared" si="244"/>
        <v>Cascade River</v>
      </c>
      <c r="I3245" s="110" t="str">
        <f>IFERROR(VLOOKUP(H3245,LUTs!$A$1:$C$73,2,FALSE),"NA")</f>
        <v>Skagit</v>
      </c>
      <c r="J3245" s="110" t="str">
        <f>IFERROR(VLOOKUP(H3245,LUTs!$A$1:$C$73,3,FALSE),"NA")</f>
        <v>1North Puget Sound</v>
      </c>
      <c r="K3245" s="110" t="s">
        <v>16</v>
      </c>
      <c r="L3245" s="110" t="str">
        <f>VLOOKUP(K3245,LUTs!E$2:G$14,3,)</f>
        <v>03Snohomish</v>
      </c>
      <c r="M3245" s="110" t="str">
        <f>VLOOKUP($K3245,LUTs!$E$2:$H$14,2,)</f>
        <v>North Puget Sound</v>
      </c>
      <c r="N3245" s="110" t="str">
        <f>VLOOKUP($K3245,LUTs!$E$2:$H$14,4,)</f>
        <v>01North Puget Sound</v>
      </c>
      <c r="O3245" s="110">
        <v>38.442477876106203</v>
      </c>
      <c r="P3245" s="110">
        <v>328.298761061947</v>
      </c>
      <c r="Q3245" s="110">
        <f>SUMIFS('FW_Steelhead_by_Month_2010-2021'!Q$2:Q$3810,'FW_Steelhead_by_Month_2010-2021'!$B$2:$B$3810,'Rec_raw_catch_effort_2010-2021'!$B3245,'FW_Steelhead_by_Month_2010-2021'!$H$2:$H$3810,'Rec_raw_catch_effort_2010-2021'!$F3245,'FW_Steelhead_by_Month_2010-2021'!$M$2:$M$3810,'Rec_raw_catch_effort_2010-2021'!$K3245)</f>
        <v>36.284444444444439</v>
      </c>
      <c r="R3245" s="111">
        <f>VLOOKUP(B3245,Readme!$A$62:$C$74,3,)*Q3245</f>
        <v>759.33318009028676</v>
      </c>
      <c r="S3245" s="140" t="str">
        <f t="shared" si="245"/>
        <v>Y</v>
      </c>
      <c r="T3245" s="154">
        <f t="shared" si="246"/>
        <v>8.5400000000000009</v>
      </c>
      <c r="U3245" s="154">
        <f t="shared" si="247"/>
        <v>20.927237324879293</v>
      </c>
    </row>
    <row r="3246" spans="1:21" x14ac:dyDescent="0.35">
      <c r="A3246" s="110">
        <v>1997</v>
      </c>
      <c r="B3246" s="110">
        <v>2014</v>
      </c>
      <c r="C3246" s="110" t="s">
        <v>38</v>
      </c>
      <c r="D3246" s="110" t="s">
        <v>143</v>
      </c>
      <c r="E3246" s="110" t="s">
        <v>86</v>
      </c>
      <c r="F3246" s="117">
        <v>826</v>
      </c>
      <c r="G3246" s="110" t="s">
        <v>59</v>
      </c>
      <c r="H3246" s="110" t="str">
        <f t="shared" si="244"/>
        <v>Cascade River</v>
      </c>
      <c r="I3246" s="110" t="str">
        <f>IFERROR(VLOOKUP(H3246,LUTs!$A$1:$C$73,2,FALSE),"NA")</f>
        <v>Skagit</v>
      </c>
      <c r="J3246" s="110" t="str">
        <f>IFERROR(VLOOKUP(H3246,LUTs!$A$1:$C$73,3,FALSE),"NA")</f>
        <v>1North Puget Sound</v>
      </c>
      <c r="K3246" s="110" t="s">
        <v>13</v>
      </c>
      <c r="L3246" s="110" t="str">
        <f>VLOOKUP(K3246,LUTs!E$2:G$14,3,)</f>
        <v>01Whatcom</v>
      </c>
      <c r="M3246" s="110" t="str">
        <f>VLOOKUP($K3246,LUTs!$E$2:$H$14,2,)</f>
        <v>North Puget Sound</v>
      </c>
      <c r="N3246" s="110" t="str">
        <f>VLOOKUP($K3246,LUTs!$E$2:$H$14,4,)</f>
        <v>01North Puget Sound</v>
      </c>
      <c r="O3246" s="110">
        <v>96.106194690265497</v>
      </c>
      <c r="P3246" s="110">
        <v>820.74690265486697</v>
      </c>
      <c r="Q3246" s="110">
        <f>SUMIFS('FW_Steelhead_by_Month_2010-2021'!Q$2:Q$3810,'FW_Steelhead_by_Month_2010-2021'!$B$2:$B$3810,'Rec_raw_catch_effort_2010-2021'!$B3246,'FW_Steelhead_by_Month_2010-2021'!$H$2:$H$3810,'Rec_raw_catch_effort_2010-2021'!$F3246,'FW_Steelhead_by_Month_2010-2021'!$M$2:$M$3810,'Rec_raw_catch_effort_2010-2021'!$K3246)</f>
        <v>79.977777777777789</v>
      </c>
      <c r="R3246" s="111">
        <f>VLOOKUP(B3246,Readme!$A$62:$C$74,3,)*Q3246</f>
        <v>1673.7139362720129</v>
      </c>
      <c r="S3246" s="140" t="str">
        <f t="shared" si="245"/>
        <v>Y</v>
      </c>
      <c r="T3246" s="154">
        <f t="shared" si="246"/>
        <v>8.5399999999999956</v>
      </c>
      <c r="U3246" s="154">
        <f t="shared" si="247"/>
        <v>20.927237324879293</v>
      </c>
    </row>
    <row r="3247" spans="1:21" x14ac:dyDescent="0.35">
      <c r="A3247" s="110">
        <v>2093</v>
      </c>
      <c r="B3247" s="110">
        <v>2015</v>
      </c>
      <c r="C3247" s="110" t="s">
        <v>38</v>
      </c>
      <c r="D3247" s="110" t="s">
        <v>143</v>
      </c>
      <c r="E3247" s="110" t="s">
        <v>86</v>
      </c>
      <c r="F3247" s="117">
        <v>826</v>
      </c>
      <c r="G3247" s="110" t="s">
        <v>59</v>
      </c>
      <c r="H3247" s="110" t="str">
        <f t="shared" si="244"/>
        <v>Cascade River</v>
      </c>
      <c r="I3247" s="110" t="str">
        <f>IFERROR(VLOOKUP(H3247,LUTs!$A$1:$C$73,2,FALSE),"NA")</f>
        <v>Skagit</v>
      </c>
      <c r="J3247" s="110" t="str">
        <f>IFERROR(VLOOKUP(H3247,LUTs!$A$1:$C$73,3,FALSE),"NA")</f>
        <v>1North Puget Sound</v>
      </c>
      <c r="K3247" s="110" t="s">
        <v>18</v>
      </c>
      <c r="L3247" s="110" t="str">
        <f>VLOOKUP(K3247,LUTs!E$2:G$14,3,)</f>
        <v>06King</v>
      </c>
      <c r="M3247" s="110" t="str">
        <f>VLOOKUP($K3247,LUTs!$E$2:$H$14,2,)</f>
        <v>South Puget Sound</v>
      </c>
      <c r="N3247" s="110" t="str">
        <f>VLOOKUP($K3247,LUTs!$E$2:$H$14,4,)</f>
        <v>02South Puget Sound</v>
      </c>
      <c r="O3247" s="110">
        <v>9.3333333333333304</v>
      </c>
      <c r="P3247" s="110">
        <v>173.13333333333301</v>
      </c>
      <c r="Q3247" s="110">
        <f>SUMIFS('FW_Steelhead_by_Month_2010-2021'!Q$2:Q$3810,'FW_Steelhead_by_Month_2010-2021'!$B$2:$B$3810,'Rec_raw_catch_effort_2010-2021'!$B3247,'FW_Steelhead_by_Month_2010-2021'!$H$2:$H$3810,'Rec_raw_catch_effort_2010-2021'!$F3247,'FW_Steelhead_by_Month_2010-2021'!$M$2:$M$3810,'Rec_raw_catch_effort_2010-2021'!$K3247)</f>
        <v>6.9858156028368796</v>
      </c>
      <c r="R3247" s="111">
        <f>VLOOKUP(B3247,Readme!$A$62:$C$74,3,)*Q3247</f>
        <v>146.19382102841209</v>
      </c>
      <c r="S3247" s="140" t="str">
        <f t="shared" si="245"/>
        <v>Y</v>
      </c>
      <c r="T3247" s="154">
        <f t="shared" si="246"/>
        <v>18.549999999999972</v>
      </c>
      <c r="U3247" s="154">
        <f t="shared" si="247"/>
        <v>20.927237324879293</v>
      </c>
    </row>
    <row r="3248" spans="1:21" x14ac:dyDescent="0.35">
      <c r="A3248" s="110">
        <v>2094</v>
      </c>
      <c r="B3248" s="110">
        <v>2015</v>
      </c>
      <c r="C3248" s="110" t="s">
        <v>38</v>
      </c>
      <c r="D3248" s="110" t="s">
        <v>143</v>
      </c>
      <c r="E3248" s="110" t="s">
        <v>86</v>
      </c>
      <c r="F3248" s="117">
        <v>826</v>
      </c>
      <c r="G3248" s="110" t="s">
        <v>59</v>
      </c>
      <c r="H3248" s="110" t="str">
        <f t="shared" si="244"/>
        <v>Cascade River</v>
      </c>
      <c r="I3248" s="110" t="str">
        <f>IFERROR(VLOOKUP(H3248,LUTs!$A$1:$C$73,2,FALSE),"NA")</f>
        <v>Skagit</v>
      </c>
      <c r="J3248" s="110" t="str">
        <f>IFERROR(VLOOKUP(H3248,LUTs!$A$1:$C$73,3,FALSE),"NA")</f>
        <v>1North Puget Sound</v>
      </c>
      <c r="K3248" s="110" t="s">
        <v>23</v>
      </c>
      <c r="L3248" s="110" t="str">
        <f>VLOOKUP(K3248,LUTs!E$2:G$14,3,)</f>
        <v>10Kitsap</v>
      </c>
      <c r="M3248" s="110" t="str">
        <f>VLOOKUP($K3248,LUTs!$E$2:$H$14,2,)</f>
        <v>South Puget Sound</v>
      </c>
      <c r="N3248" s="110" t="str">
        <f>VLOOKUP($K3248,LUTs!$E$2:$H$14,4,)</f>
        <v>02South Puget Sound</v>
      </c>
      <c r="O3248" s="110">
        <v>9.3333333333333304</v>
      </c>
      <c r="P3248" s="110">
        <v>173.13333333333301</v>
      </c>
      <c r="Q3248" s="110">
        <f>SUMIFS('FW_Steelhead_by_Month_2010-2021'!Q$2:Q$3810,'FW_Steelhead_by_Month_2010-2021'!$B$2:$B$3810,'Rec_raw_catch_effort_2010-2021'!$B3248,'FW_Steelhead_by_Month_2010-2021'!$H$2:$H$3810,'Rec_raw_catch_effort_2010-2021'!$F3248,'FW_Steelhead_by_Month_2010-2021'!$M$2:$M$3810,'Rec_raw_catch_effort_2010-2021'!$K3248)</f>
        <v>3.3333333333333299</v>
      </c>
      <c r="R3248" s="111">
        <f>VLOOKUP(B3248,Readme!$A$62:$C$74,3,)*Q3248</f>
        <v>69.757457749597577</v>
      </c>
      <c r="S3248" s="140" t="str">
        <f t="shared" si="245"/>
        <v>Y</v>
      </c>
      <c r="T3248" s="154">
        <f t="shared" si="246"/>
        <v>18.549999999999972</v>
      </c>
      <c r="U3248" s="154">
        <f t="shared" si="247"/>
        <v>20.927237324879293</v>
      </c>
    </row>
    <row r="3249" spans="1:21" x14ac:dyDescent="0.35">
      <c r="A3249" s="110">
        <v>2092</v>
      </c>
      <c r="B3249" s="110">
        <v>2015</v>
      </c>
      <c r="C3249" s="110" t="s">
        <v>38</v>
      </c>
      <c r="D3249" s="110" t="s">
        <v>143</v>
      </c>
      <c r="E3249" s="110" t="s">
        <v>86</v>
      </c>
      <c r="F3249" s="117">
        <v>826</v>
      </c>
      <c r="G3249" s="110" t="s">
        <v>59</v>
      </c>
      <c r="H3249" s="110" t="str">
        <f t="shared" si="244"/>
        <v>Cascade River</v>
      </c>
      <c r="I3249" s="110" t="str">
        <f>IFERROR(VLOOKUP(H3249,LUTs!$A$1:$C$73,2,FALSE),"NA")</f>
        <v>Skagit</v>
      </c>
      <c r="J3249" s="110" t="str">
        <f>IFERROR(VLOOKUP(H3249,LUTs!$A$1:$C$73,3,FALSE),"NA")</f>
        <v>1North Puget Sound</v>
      </c>
      <c r="K3249" s="110" t="s">
        <v>30</v>
      </c>
      <c r="L3249" s="110" t="str">
        <f>VLOOKUP(K3249,LUTs!E$2:G$14,3,)</f>
        <v>05San Juan</v>
      </c>
      <c r="M3249" s="110" t="str">
        <f>VLOOKUP($K3249,LUTs!$E$2:$H$14,2,)</f>
        <v>North Puget Sound</v>
      </c>
      <c r="N3249" s="110" t="str">
        <f>VLOOKUP($K3249,LUTs!$E$2:$H$14,4,)</f>
        <v>01North Puget Sound</v>
      </c>
      <c r="O3249" s="110">
        <v>9.3333333333333304</v>
      </c>
      <c r="P3249" s="110">
        <v>173.13333333333301</v>
      </c>
      <c r="Q3249" s="110">
        <f>SUMIFS('FW_Steelhead_by_Month_2010-2021'!Q$2:Q$3810,'FW_Steelhead_by_Month_2010-2021'!$B$2:$B$3810,'Rec_raw_catch_effort_2010-2021'!$B3249,'FW_Steelhead_by_Month_2010-2021'!$H$2:$H$3810,'Rec_raw_catch_effort_2010-2021'!$F3249,'FW_Steelhead_by_Month_2010-2021'!$M$2:$M$3810,'Rec_raw_catch_effort_2010-2021'!$K3249)</f>
        <v>6.8</v>
      </c>
      <c r="R3249" s="111">
        <f>VLOOKUP(B3249,Readme!$A$62:$C$74,3,)*Q3249</f>
        <v>142.30521380917918</v>
      </c>
      <c r="S3249" s="140" t="str">
        <f t="shared" si="245"/>
        <v>Y</v>
      </c>
      <c r="T3249" s="154">
        <f t="shared" si="246"/>
        <v>18.549999999999972</v>
      </c>
      <c r="U3249" s="154">
        <f t="shared" si="247"/>
        <v>20.927237324879293</v>
      </c>
    </row>
    <row r="3250" spans="1:21" x14ac:dyDescent="0.35">
      <c r="A3250" s="110">
        <v>2056</v>
      </c>
      <c r="B3250" s="110">
        <v>2015</v>
      </c>
      <c r="C3250" s="110" t="s">
        <v>38</v>
      </c>
      <c r="D3250" s="110" t="s">
        <v>143</v>
      </c>
      <c r="E3250" s="110" t="s">
        <v>86</v>
      </c>
      <c r="F3250" s="117">
        <v>826</v>
      </c>
      <c r="G3250" s="110" t="s">
        <v>59</v>
      </c>
      <c r="H3250" s="110" t="str">
        <f t="shared" si="244"/>
        <v>Cascade River</v>
      </c>
      <c r="I3250" s="110" t="str">
        <f>IFERROR(VLOOKUP(H3250,LUTs!$A$1:$C$73,2,FALSE),"NA")</f>
        <v>Skagit</v>
      </c>
      <c r="J3250" s="110" t="str">
        <f>IFERROR(VLOOKUP(H3250,LUTs!$A$1:$C$73,3,FALSE),"NA")</f>
        <v>1North Puget Sound</v>
      </c>
      <c r="K3250" s="110" t="s">
        <v>15</v>
      </c>
      <c r="L3250" s="110" t="str">
        <f>VLOOKUP(K3250,LUTs!E$2:G$14,3,)</f>
        <v>02Skagit</v>
      </c>
      <c r="M3250" s="110" t="str">
        <f>VLOOKUP($K3250,LUTs!$E$2:$H$14,2,)</f>
        <v>North Puget Sound</v>
      </c>
      <c r="N3250" s="110" t="str">
        <f>VLOOKUP($K3250,LUTs!$E$2:$H$14,4,)</f>
        <v>01North Puget Sound</v>
      </c>
      <c r="O3250" s="110">
        <v>74.6666666666667</v>
      </c>
      <c r="P3250" s="110">
        <v>1385.06666666667</v>
      </c>
      <c r="Q3250" s="110">
        <f>SUMIFS('FW_Steelhead_by_Month_2010-2021'!Q$2:Q$3810,'FW_Steelhead_by_Month_2010-2021'!$B$2:$B$3810,'Rec_raw_catch_effort_2010-2021'!$B3250,'FW_Steelhead_by_Month_2010-2021'!$H$2:$H$3810,'Rec_raw_catch_effort_2010-2021'!$F3250,'FW_Steelhead_by_Month_2010-2021'!$M$2:$M$3810,'Rec_raw_catch_effort_2010-2021'!$K3250)</f>
        <v>170.68936170212805</v>
      </c>
      <c r="R3250" s="111">
        <f>VLOOKUP(B3250,Readme!$A$62:$C$74,3,)*Q3250</f>
        <v>3572.0567811725964</v>
      </c>
      <c r="S3250" s="140" t="str">
        <f t="shared" si="245"/>
        <v>Y</v>
      </c>
      <c r="T3250" s="154">
        <f t="shared" si="246"/>
        <v>18.550000000000036</v>
      </c>
      <c r="U3250" s="154">
        <f t="shared" si="247"/>
        <v>20.927237324879293</v>
      </c>
    </row>
    <row r="3251" spans="1:21" x14ac:dyDescent="0.35">
      <c r="A3251" s="110">
        <v>2058</v>
      </c>
      <c r="B3251" s="110">
        <v>2015</v>
      </c>
      <c r="C3251" s="110" t="s">
        <v>38</v>
      </c>
      <c r="D3251" s="110" t="s">
        <v>143</v>
      </c>
      <c r="E3251" s="110" t="s">
        <v>86</v>
      </c>
      <c r="F3251" s="117">
        <v>826</v>
      </c>
      <c r="G3251" s="110" t="s">
        <v>59</v>
      </c>
      <c r="H3251" s="110" t="str">
        <f t="shared" si="244"/>
        <v>Cascade River</v>
      </c>
      <c r="I3251" s="110" t="str">
        <f>IFERROR(VLOOKUP(H3251,LUTs!$A$1:$C$73,2,FALSE),"NA")</f>
        <v>Skagit</v>
      </c>
      <c r="J3251" s="110" t="str">
        <f>IFERROR(VLOOKUP(H3251,LUTs!$A$1:$C$73,3,FALSE),"NA")</f>
        <v>1North Puget Sound</v>
      </c>
      <c r="K3251" s="110" t="s">
        <v>16</v>
      </c>
      <c r="L3251" s="110" t="str">
        <f>VLOOKUP(K3251,LUTs!E$2:G$14,3,)</f>
        <v>03Snohomish</v>
      </c>
      <c r="M3251" s="110" t="str">
        <f>VLOOKUP($K3251,LUTs!$E$2:$H$14,2,)</f>
        <v>North Puget Sound</v>
      </c>
      <c r="N3251" s="110" t="str">
        <f>VLOOKUP($K3251,LUTs!$E$2:$H$14,4,)</f>
        <v>01North Puget Sound</v>
      </c>
      <c r="O3251" s="110">
        <v>9.3333333333333304</v>
      </c>
      <c r="P3251" s="110">
        <v>173.13333333333301</v>
      </c>
      <c r="Q3251" s="110">
        <f>SUMIFS('FW_Steelhead_by_Month_2010-2021'!Q$2:Q$3810,'FW_Steelhead_by_Month_2010-2021'!$B$2:$B$3810,'Rec_raw_catch_effort_2010-2021'!$B3251,'FW_Steelhead_by_Month_2010-2021'!$H$2:$H$3810,'Rec_raw_catch_effort_2010-2021'!$F3251,'FW_Steelhead_by_Month_2010-2021'!$M$2:$M$3810,'Rec_raw_catch_effort_2010-2021'!$K3251)</f>
        <v>9.9858156028368796</v>
      </c>
      <c r="R3251" s="111">
        <f>VLOOKUP(B3251,Readme!$A$62:$C$74,3,)*Q3251</f>
        <v>208.97553300304997</v>
      </c>
      <c r="S3251" s="140" t="str">
        <f t="shared" si="245"/>
        <v>Y</v>
      </c>
      <c r="T3251" s="154">
        <f t="shared" si="246"/>
        <v>18.549999999999972</v>
      </c>
      <c r="U3251" s="154">
        <f t="shared" si="247"/>
        <v>20.927237324879293</v>
      </c>
    </row>
    <row r="3252" spans="1:21" x14ac:dyDescent="0.35">
      <c r="A3252" s="110">
        <v>2095</v>
      </c>
      <c r="B3252" s="110">
        <v>2016</v>
      </c>
      <c r="C3252" s="110" t="s">
        <v>38</v>
      </c>
      <c r="D3252" s="110" t="s">
        <v>143</v>
      </c>
      <c r="E3252" s="110" t="s">
        <v>86</v>
      </c>
      <c r="F3252" s="117">
        <v>826</v>
      </c>
      <c r="G3252" s="110" t="s">
        <v>59</v>
      </c>
      <c r="H3252" s="110" t="str">
        <f t="shared" si="244"/>
        <v>Cascade River</v>
      </c>
      <c r="I3252" s="110" t="str">
        <f>IFERROR(VLOOKUP(H3252,LUTs!$A$1:$C$73,2,FALSE),"NA")</f>
        <v>Skagit</v>
      </c>
      <c r="J3252" s="110" t="str">
        <f>IFERROR(VLOOKUP(H3252,LUTs!$A$1:$C$73,3,FALSE),"NA")</f>
        <v>1North Puget Sound</v>
      </c>
      <c r="K3252" s="110" t="s">
        <v>16</v>
      </c>
      <c r="L3252" s="110" t="str">
        <f>VLOOKUP(K3252,LUTs!E$2:G$14,3,)</f>
        <v>03Snohomish</v>
      </c>
      <c r="M3252" s="110" t="str">
        <f>VLOOKUP($K3252,LUTs!$E$2:$H$14,2,)</f>
        <v>North Puget Sound</v>
      </c>
      <c r="N3252" s="110" t="str">
        <f>VLOOKUP($K3252,LUTs!$E$2:$H$14,4,)</f>
        <v>01North Puget Sound</v>
      </c>
      <c r="O3252" s="110">
        <v>5</v>
      </c>
      <c r="P3252" s="110">
        <v>42.7</v>
      </c>
      <c r="Q3252" s="110">
        <f>SUMIFS('FW_Steelhead_by_Month_2010-2021'!Q$2:Q$3810,'FW_Steelhead_by_Month_2010-2021'!$B$2:$B$3810,'Rec_raw_catch_effort_2010-2021'!$B3252,'FW_Steelhead_by_Month_2010-2021'!$H$2:$H$3810,'Rec_raw_catch_effort_2010-2021'!$F3252,'FW_Steelhead_by_Month_2010-2021'!$M$2:$M$3810,'Rec_raw_catch_effort_2010-2021'!$K3252)</f>
        <v>5</v>
      </c>
      <c r="R3252" s="111">
        <f>VLOOKUP(B3252,Readme!$A$62:$C$74,3,)*Q3252</f>
        <v>104.63618662439646</v>
      </c>
      <c r="S3252" s="140" t="str">
        <f t="shared" si="245"/>
        <v>Y</v>
      </c>
      <c r="T3252" s="154">
        <f t="shared" si="246"/>
        <v>8.5400000000000009</v>
      </c>
      <c r="U3252" s="154">
        <f t="shared" si="247"/>
        <v>20.927237324879293</v>
      </c>
    </row>
    <row r="3253" spans="1:21" x14ac:dyDescent="0.35">
      <c r="A3253" s="110">
        <v>2096</v>
      </c>
      <c r="B3253" s="110">
        <v>2017</v>
      </c>
      <c r="C3253" s="110" t="s">
        <v>38</v>
      </c>
      <c r="D3253" s="110" t="s">
        <v>143</v>
      </c>
      <c r="E3253" s="110" t="s">
        <v>86</v>
      </c>
      <c r="F3253" s="117">
        <v>826</v>
      </c>
      <c r="G3253" s="110" t="s">
        <v>59</v>
      </c>
      <c r="H3253" s="110" t="str">
        <f t="shared" si="244"/>
        <v>Cascade River</v>
      </c>
      <c r="I3253" s="110" t="str">
        <f>IFERROR(VLOOKUP(H3253,LUTs!$A$1:$C$73,2,FALSE),"NA")</f>
        <v>Skagit</v>
      </c>
      <c r="J3253" s="110" t="str">
        <f>IFERROR(VLOOKUP(H3253,LUTs!$A$1:$C$73,3,FALSE),"NA")</f>
        <v>1North Puget Sound</v>
      </c>
      <c r="K3253" s="110" t="s">
        <v>20</v>
      </c>
      <c r="L3253" s="110" t="str">
        <f>VLOOKUP(K3253,LUTs!E$2:G$14,3,)</f>
        <v>07Pierce</v>
      </c>
      <c r="M3253" s="110" t="str">
        <f>VLOOKUP($K3253,LUTs!$E$2:$H$14,2,)</f>
        <v>South Puget Sound</v>
      </c>
      <c r="N3253" s="110" t="str">
        <f>VLOOKUP($K3253,LUTs!$E$2:$H$14,4,)</f>
        <v>02South Puget Sound</v>
      </c>
      <c r="O3253" s="110">
        <v>10</v>
      </c>
      <c r="P3253" s="110">
        <v>185.5</v>
      </c>
      <c r="Q3253" s="110">
        <f>SUMIFS('FW_Steelhead_by_Month_2010-2021'!Q$2:Q$3810,'FW_Steelhead_by_Month_2010-2021'!$B$2:$B$3810,'Rec_raw_catch_effort_2010-2021'!$B3253,'FW_Steelhead_by_Month_2010-2021'!$H$2:$H$3810,'Rec_raw_catch_effort_2010-2021'!$F3253,'FW_Steelhead_by_Month_2010-2021'!$M$2:$M$3810,'Rec_raw_catch_effort_2010-2021'!$K3253)</f>
        <v>0</v>
      </c>
      <c r="R3253" s="111">
        <f>VLOOKUP(B3253,Readme!$A$62:$C$74,3,)*Q3253</f>
        <v>0</v>
      </c>
      <c r="S3253" s="140" t="str">
        <f t="shared" si="245"/>
        <v>Y</v>
      </c>
      <c r="T3253" s="154">
        <f t="shared" si="246"/>
        <v>18.55</v>
      </c>
      <c r="U3253" s="154" t="str">
        <f t="shared" si="247"/>
        <v>NA</v>
      </c>
    </row>
    <row r="3254" spans="1:21" x14ac:dyDescent="0.35">
      <c r="A3254" s="110">
        <v>2097</v>
      </c>
      <c r="B3254" s="110">
        <v>2018</v>
      </c>
      <c r="C3254" s="110" t="s">
        <v>38</v>
      </c>
      <c r="D3254" s="110" t="s">
        <v>143</v>
      </c>
      <c r="E3254" s="110" t="s">
        <v>86</v>
      </c>
      <c r="F3254" s="117">
        <v>826</v>
      </c>
      <c r="G3254" s="110" t="s">
        <v>59</v>
      </c>
      <c r="H3254" s="110" t="str">
        <f t="shared" si="244"/>
        <v>Cascade River</v>
      </c>
      <c r="I3254" s="110" t="str">
        <f>IFERROR(VLOOKUP(H3254,LUTs!$A$1:$C$73,2,FALSE),"NA")</f>
        <v>Skagit</v>
      </c>
      <c r="J3254" s="110" t="str">
        <f>IFERROR(VLOOKUP(H3254,LUTs!$A$1:$C$73,3,FALSE),"NA")</f>
        <v>1North Puget Sound</v>
      </c>
      <c r="K3254" s="110" t="s">
        <v>18</v>
      </c>
      <c r="L3254" s="110" t="str">
        <f>VLOOKUP(K3254,LUTs!E$2:G$14,3,)</f>
        <v>06King</v>
      </c>
      <c r="M3254" s="110" t="str">
        <f>VLOOKUP($K3254,LUTs!$E$2:$H$14,2,)</f>
        <v>South Puget Sound</v>
      </c>
      <c r="N3254" s="110" t="str">
        <f>VLOOKUP($K3254,LUTs!$E$2:$H$14,4,)</f>
        <v>02South Puget Sound</v>
      </c>
      <c r="O3254" s="110">
        <v>14</v>
      </c>
      <c r="P3254" s="110">
        <v>119.56</v>
      </c>
      <c r="Q3254" s="110">
        <f>SUMIFS('FW_Steelhead_by_Month_2010-2021'!Q$2:Q$3810,'FW_Steelhead_by_Month_2010-2021'!$B$2:$B$3810,'Rec_raw_catch_effort_2010-2021'!$B3254,'FW_Steelhead_by_Month_2010-2021'!$H$2:$H$3810,'Rec_raw_catch_effort_2010-2021'!$F3254,'FW_Steelhead_by_Month_2010-2021'!$M$2:$M$3810,'Rec_raw_catch_effort_2010-2021'!$K3254)</f>
        <v>7</v>
      </c>
      <c r="R3254" s="111">
        <f>VLOOKUP(B3254,Readme!$A$62:$C$74,3,)*Q3254</f>
        <v>146.49066127415506</v>
      </c>
      <c r="S3254" s="140" t="str">
        <f t="shared" si="245"/>
        <v>Y</v>
      </c>
      <c r="T3254" s="154">
        <f t="shared" si="246"/>
        <v>8.5400000000000009</v>
      </c>
      <c r="U3254" s="154">
        <f t="shared" si="247"/>
        <v>20.927237324879293</v>
      </c>
    </row>
    <row r="3255" spans="1:21" x14ac:dyDescent="0.35">
      <c r="A3255" s="110">
        <v>2099</v>
      </c>
      <c r="B3255" s="110">
        <v>2019</v>
      </c>
      <c r="C3255" s="110" t="s">
        <v>38</v>
      </c>
      <c r="D3255" s="110" t="s">
        <v>143</v>
      </c>
      <c r="E3255" s="110" t="s">
        <v>86</v>
      </c>
      <c r="F3255" s="117">
        <v>826</v>
      </c>
      <c r="G3255" s="110" t="s">
        <v>59</v>
      </c>
      <c r="H3255" s="110" t="str">
        <f t="shared" si="244"/>
        <v>Cascade River</v>
      </c>
      <c r="I3255" s="110" t="str">
        <f>IFERROR(VLOOKUP(H3255,LUTs!$A$1:$C$73,2,FALSE),"NA")</f>
        <v>Skagit</v>
      </c>
      <c r="J3255" s="110" t="str">
        <f>IFERROR(VLOOKUP(H3255,LUTs!$A$1:$C$73,3,FALSE),"NA")</f>
        <v>1North Puget Sound</v>
      </c>
      <c r="K3255" s="110" t="s">
        <v>15</v>
      </c>
      <c r="L3255" s="110" t="str">
        <f>VLOOKUP(K3255,LUTs!E$2:G$14,3,)</f>
        <v>02Skagit</v>
      </c>
      <c r="M3255" s="110" t="str">
        <f>VLOOKUP($K3255,LUTs!$E$2:$H$14,2,)</f>
        <v>North Puget Sound</v>
      </c>
      <c r="N3255" s="110" t="str">
        <f>VLOOKUP($K3255,LUTs!$E$2:$H$14,4,)</f>
        <v>01North Puget Sound</v>
      </c>
      <c r="O3255" s="110">
        <v>8.6666666666666696</v>
      </c>
      <c r="P3255" s="110">
        <v>160.76666666666699</v>
      </c>
      <c r="Q3255" s="110">
        <f>SUMIFS('FW_Steelhead_by_Month_2010-2021'!Q$2:Q$3810,'FW_Steelhead_by_Month_2010-2021'!$B$2:$B$3810,'Rec_raw_catch_effort_2010-2021'!$B3255,'FW_Steelhead_by_Month_2010-2021'!$H$2:$H$3810,'Rec_raw_catch_effort_2010-2021'!$F3255,'FW_Steelhead_by_Month_2010-2021'!$M$2:$M$3810,'Rec_raw_catch_effort_2010-2021'!$K3255)</f>
        <v>4</v>
      </c>
      <c r="R3255" s="111">
        <f>VLOOKUP(B3255,Readme!$A$62:$C$74,3,)*Q3255</f>
        <v>83.708949299517172</v>
      </c>
      <c r="S3255" s="140" t="str">
        <f t="shared" si="245"/>
        <v>Y</v>
      </c>
      <c r="T3255" s="154">
        <f t="shared" si="246"/>
        <v>18.550000000000033</v>
      </c>
      <c r="U3255" s="154">
        <f t="shared" si="247"/>
        <v>20.927237324879293</v>
      </c>
    </row>
    <row r="3256" spans="1:21" x14ac:dyDescent="0.35">
      <c r="A3256" s="110">
        <v>2098</v>
      </c>
      <c r="B3256" s="110">
        <v>2019</v>
      </c>
      <c r="C3256" s="110" t="s">
        <v>38</v>
      </c>
      <c r="D3256" s="110" t="s">
        <v>143</v>
      </c>
      <c r="E3256" s="110" t="s">
        <v>86</v>
      </c>
      <c r="F3256" s="117">
        <v>826</v>
      </c>
      <c r="G3256" s="110" t="s">
        <v>59</v>
      </c>
      <c r="H3256" s="110" t="str">
        <f t="shared" si="244"/>
        <v>Cascade River</v>
      </c>
      <c r="I3256" s="110" t="str">
        <f>IFERROR(VLOOKUP(H3256,LUTs!$A$1:$C$73,2,FALSE),"NA")</f>
        <v>Skagit</v>
      </c>
      <c r="J3256" s="110" t="str">
        <f>IFERROR(VLOOKUP(H3256,LUTs!$A$1:$C$73,3,FALSE),"NA")</f>
        <v>1North Puget Sound</v>
      </c>
      <c r="K3256" s="110" t="s">
        <v>13</v>
      </c>
      <c r="L3256" s="110" t="str">
        <f>VLOOKUP(K3256,LUTs!E$2:G$14,3,)</f>
        <v>01Whatcom</v>
      </c>
      <c r="M3256" s="110" t="str">
        <f>VLOOKUP($K3256,LUTs!$E$2:$H$14,2,)</f>
        <v>North Puget Sound</v>
      </c>
      <c r="N3256" s="110" t="str">
        <f>VLOOKUP($K3256,LUTs!$E$2:$H$14,4,)</f>
        <v>01North Puget Sound</v>
      </c>
      <c r="O3256" s="110">
        <v>17.3333333333333</v>
      </c>
      <c r="P3256" s="110">
        <v>321.53333333333302</v>
      </c>
      <c r="Q3256" s="110">
        <f>SUMIFS('FW_Steelhead_by_Month_2010-2021'!Q$2:Q$3810,'FW_Steelhead_by_Month_2010-2021'!$B$2:$B$3810,'Rec_raw_catch_effort_2010-2021'!$B3256,'FW_Steelhead_by_Month_2010-2021'!$H$2:$H$3810,'Rec_raw_catch_effort_2010-2021'!$F3256,'FW_Steelhead_by_Month_2010-2021'!$M$2:$M$3810,'Rec_raw_catch_effort_2010-2021'!$K3256)</f>
        <v>9</v>
      </c>
      <c r="R3256" s="111">
        <f>VLOOKUP(B3256,Readme!$A$62:$C$74,3,)*Q3256</f>
        <v>188.34513592391363</v>
      </c>
      <c r="S3256" s="140" t="str">
        <f t="shared" si="245"/>
        <v>Y</v>
      </c>
      <c r="T3256" s="154">
        <f t="shared" si="246"/>
        <v>18.550000000000018</v>
      </c>
      <c r="U3256" s="154">
        <f t="shared" si="247"/>
        <v>20.927237324879293</v>
      </c>
    </row>
    <row r="3257" spans="1:21" x14ac:dyDescent="0.35">
      <c r="A3257" s="110">
        <v>2130</v>
      </c>
      <c r="B3257" s="110">
        <v>2020</v>
      </c>
      <c r="C3257" s="110" t="s">
        <v>38</v>
      </c>
      <c r="D3257" s="110" t="s">
        <v>143</v>
      </c>
      <c r="E3257" s="110" t="s">
        <v>86</v>
      </c>
      <c r="F3257" s="117">
        <v>826</v>
      </c>
      <c r="G3257" s="110" t="s">
        <v>59</v>
      </c>
      <c r="H3257" s="110" t="str">
        <f t="shared" si="244"/>
        <v>Cascade River</v>
      </c>
      <c r="I3257" s="110" t="str">
        <f>IFERROR(VLOOKUP(H3257,LUTs!$A$1:$C$73,2,FALSE),"NA")</f>
        <v>Skagit</v>
      </c>
      <c r="J3257" s="110" t="str">
        <f>IFERROR(VLOOKUP(H3257,LUTs!$A$1:$C$73,3,FALSE),"NA")</f>
        <v>1North Puget Sound</v>
      </c>
      <c r="K3257" s="110" t="s">
        <v>18</v>
      </c>
      <c r="L3257" s="110" t="str">
        <f>VLOOKUP(K3257,LUTs!E$2:G$14,3,)</f>
        <v>06King</v>
      </c>
      <c r="M3257" s="110" t="str">
        <f>VLOOKUP($K3257,LUTs!$E$2:$H$14,2,)</f>
        <v>South Puget Sound</v>
      </c>
      <c r="N3257" s="110" t="str">
        <f>VLOOKUP($K3257,LUTs!$E$2:$H$14,4,)</f>
        <v>02South Puget Sound</v>
      </c>
      <c r="O3257" s="110">
        <v>12</v>
      </c>
      <c r="P3257" s="110">
        <v>102.48</v>
      </c>
      <c r="Q3257" s="110">
        <f>SUMIFS('FW_Steelhead_by_Month_2010-2021'!Q$2:Q$3810,'FW_Steelhead_by_Month_2010-2021'!$B$2:$B$3810,'Rec_raw_catch_effort_2010-2021'!$B3257,'FW_Steelhead_by_Month_2010-2021'!$H$2:$H$3810,'Rec_raw_catch_effort_2010-2021'!$F3257,'FW_Steelhead_by_Month_2010-2021'!$M$2:$M$3810,'Rec_raw_catch_effort_2010-2021'!$K3257)</f>
        <v>6</v>
      </c>
      <c r="R3257" s="111">
        <f>VLOOKUP(B3257,Readme!$A$62:$C$74,3,)*Q3257</f>
        <v>125.56342394927576</v>
      </c>
      <c r="S3257" s="140" t="str">
        <f t="shared" si="245"/>
        <v>N</v>
      </c>
      <c r="T3257" s="154">
        <f t="shared" si="246"/>
        <v>8.5400000000000009</v>
      </c>
      <c r="U3257" s="154">
        <f t="shared" si="247"/>
        <v>20.927237324879293</v>
      </c>
    </row>
    <row r="3258" spans="1:21" x14ac:dyDescent="0.35">
      <c r="A3258" s="110">
        <v>2132</v>
      </c>
      <c r="B3258" s="110">
        <v>2010</v>
      </c>
      <c r="C3258" s="110" t="s">
        <v>38</v>
      </c>
      <c r="D3258" s="110" t="s">
        <v>143</v>
      </c>
      <c r="E3258" s="110" t="s">
        <v>86</v>
      </c>
      <c r="F3258" s="117">
        <v>828</v>
      </c>
      <c r="G3258" s="110" t="s">
        <v>96</v>
      </c>
      <c r="H3258" s="110" t="str">
        <f t="shared" si="244"/>
        <v>Sauk River</v>
      </c>
      <c r="I3258" s="110" t="str">
        <f>IFERROR(VLOOKUP(H3258,LUTs!$A$1:$C$73,2,FALSE),"NA")</f>
        <v>Skagit/Snohomish</v>
      </c>
      <c r="J3258" s="110" t="str">
        <f>IFERROR(VLOOKUP(H3258,LUTs!$A$1:$C$73,3,FALSE),"NA")</f>
        <v>2Central Puget Sound</v>
      </c>
      <c r="K3258" s="110" t="s">
        <v>26</v>
      </c>
      <c r="L3258" s="110" t="str">
        <f>VLOOKUP(K3258,LUTs!E$2:G$14,3,)</f>
        <v>20Other</v>
      </c>
      <c r="M3258" s="110" t="str">
        <f>VLOOKUP($K3258,LUTs!$E$2:$H$14,2,)</f>
        <v>Non Puget Sound</v>
      </c>
      <c r="N3258" s="110" t="str">
        <f>VLOOKUP($K3258,LUTs!$E$2:$H$14,4,)</f>
        <v>07Non Puget Sound</v>
      </c>
      <c r="O3258" s="110">
        <v>3.6666666666666701</v>
      </c>
      <c r="P3258" s="110">
        <v>31.3133333333334</v>
      </c>
      <c r="Q3258" s="110">
        <f>SUMIFS('FW_Steelhead_by_Month_2010-2021'!Q$2:Q$3810,'FW_Steelhead_by_Month_2010-2021'!$B$2:$B$3810,'Rec_raw_catch_effort_2010-2021'!$B3258,'FW_Steelhead_by_Month_2010-2021'!$H$2:$H$3810,'Rec_raw_catch_effort_2010-2021'!$F3258,'FW_Steelhead_by_Month_2010-2021'!$M$2:$M$3810,'Rec_raw_catch_effort_2010-2021'!$K3258)</f>
        <v>3</v>
      </c>
      <c r="R3258" s="111">
        <f>VLOOKUP(B3258,Readme!$A$62:$C$74,3,)*Q3258</f>
        <v>62.781711974637879</v>
      </c>
      <c r="S3258" s="140" t="str">
        <f t="shared" si="245"/>
        <v>Y</v>
      </c>
      <c r="T3258" s="154">
        <f t="shared" si="246"/>
        <v>8.5400000000000098</v>
      </c>
      <c r="U3258" s="154">
        <f t="shared" si="247"/>
        <v>20.927237324879293</v>
      </c>
    </row>
    <row r="3259" spans="1:21" x14ac:dyDescent="0.35">
      <c r="A3259" s="110">
        <v>2131</v>
      </c>
      <c r="B3259" s="110">
        <v>2010</v>
      </c>
      <c r="C3259" s="110" t="s">
        <v>38</v>
      </c>
      <c r="D3259" s="110" t="s">
        <v>143</v>
      </c>
      <c r="E3259" s="110" t="s">
        <v>86</v>
      </c>
      <c r="F3259" s="117">
        <v>828</v>
      </c>
      <c r="G3259" s="110" t="s">
        <v>96</v>
      </c>
      <c r="H3259" s="110" t="str">
        <f t="shared" si="244"/>
        <v>Sauk River</v>
      </c>
      <c r="I3259" s="110" t="str">
        <f>IFERROR(VLOOKUP(H3259,LUTs!$A$1:$C$73,2,FALSE),"NA")</f>
        <v>Skagit/Snohomish</v>
      </c>
      <c r="J3259" s="110" t="str">
        <f>IFERROR(VLOOKUP(H3259,LUTs!$A$1:$C$73,3,FALSE),"NA")</f>
        <v>2Central Puget Sound</v>
      </c>
      <c r="K3259" s="110" t="s">
        <v>16</v>
      </c>
      <c r="L3259" s="110" t="str">
        <f>VLOOKUP(K3259,LUTs!E$2:G$14,3,)</f>
        <v>03Snohomish</v>
      </c>
      <c r="M3259" s="110" t="str">
        <f>VLOOKUP($K3259,LUTs!$E$2:$H$14,2,)</f>
        <v>North Puget Sound</v>
      </c>
      <c r="N3259" s="110" t="str">
        <f>VLOOKUP($K3259,LUTs!$E$2:$H$14,4,)</f>
        <v>01North Puget Sound</v>
      </c>
      <c r="O3259" s="110">
        <v>7.3333333333333401</v>
      </c>
      <c r="P3259" s="110">
        <v>62.626666666666701</v>
      </c>
      <c r="Q3259" s="110">
        <f>SUMIFS('FW_Steelhead_by_Month_2010-2021'!Q$2:Q$3810,'FW_Steelhead_by_Month_2010-2021'!$B$2:$B$3810,'Rec_raw_catch_effort_2010-2021'!$B3259,'FW_Steelhead_by_Month_2010-2021'!$H$2:$H$3810,'Rec_raw_catch_effort_2010-2021'!$F3259,'FW_Steelhead_by_Month_2010-2021'!$M$2:$M$3810,'Rec_raw_catch_effort_2010-2021'!$K3259)</f>
        <v>8</v>
      </c>
      <c r="R3259" s="111">
        <f>VLOOKUP(B3259,Readme!$A$62:$C$74,3,)*Q3259</f>
        <v>167.41789859903434</v>
      </c>
      <c r="S3259" s="140" t="str">
        <f t="shared" si="245"/>
        <v>Y</v>
      </c>
      <c r="T3259" s="154">
        <f t="shared" si="246"/>
        <v>8.5399999999999974</v>
      </c>
      <c r="U3259" s="154">
        <f t="shared" si="247"/>
        <v>20.927237324879293</v>
      </c>
    </row>
    <row r="3260" spans="1:21" x14ac:dyDescent="0.35">
      <c r="A3260" s="110">
        <v>2134</v>
      </c>
      <c r="B3260" s="110">
        <v>2014</v>
      </c>
      <c r="C3260" s="110" t="s">
        <v>38</v>
      </c>
      <c r="D3260" s="110" t="s">
        <v>143</v>
      </c>
      <c r="E3260" s="110" t="s">
        <v>86</v>
      </c>
      <c r="F3260" s="117">
        <v>828</v>
      </c>
      <c r="G3260" s="110" t="s">
        <v>96</v>
      </c>
      <c r="H3260" s="110" t="str">
        <f t="shared" si="244"/>
        <v>Sauk River</v>
      </c>
      <c r="I3260" s="110" t="str">
        <f>IFERROR(VLOOKUP(H3260,LUTs!$A$1:$C$73,2,FALSE),"NA")</f>
        <v>Skagit/Snohomish</v>
      </c>
      <c r="J3260" s="110" t="str">
        <f>IFERROR(VLOOKUP(H3260,LUTs!$A$1:$C$73,3,FALSE),"NA")</f>
        <v>2Central Puget Sound</v>
      </c>
      <c r="K3260" s="110" t="s">
        <v>18</v>
      </c>
      <c r="L3260" s="110" t="str">
        <f>VLOOKUP(K3260,LUTs!E$2:G$14,3,)</f>
        <v>06King</v>
      </c>
      <c r="M3260" s="110" t="str">
        <f>VLOOKUP($K3260,LUTs!$E$2:$H$14,2,)</f>
        <v>South Puget Sound</v>
      </c>
      <c r="N3260" s="110" t="str">
        <f>VLOOKUP($K3260,LUTs!$E$2:$H$14,4,)</f>
        <v>02South Puget Sound</v>
      </c>
      <c r="O3260" s="110">
        <v>2</v>
      </c>
      <c r="P3260" s="110">
        <v>17.079999999999998</v>
      </c>
      <c r="Q3260" s="110">
        <f>SUMIFS('FW_Steelhead_by_Month_2010-2021'!Q$2:Q$3810,'FW_Steelhead_by_Month_2010-2021'!$B$2:$B$3810,'Rec_raw_catch_effort_2010-2021'!$B3260,'FW_Steelhead_by_Month_2010-2021'!$H$2:$H$3810,'Rec_raw_catch_effort_2010-2021'!$F3260,'FW_Steelhead_by_Month_2010-2021'!$M$2:$M$3810,'Rec_raw_catch_effort_2010-2021'!$K3260)</f>
        <v>2</v>
      </c>
      <c r="R3260" s="111">
        <f>VLOOKUP(B3260,Readme!$A$62:$C$74,3,)*Q3260</f>
        <v>41.854474649758586</v>
      </c>
      <c r="S3260" s="140" t="str">
        <f t="shared" si="245"/>
        <v>Y</v>
      </c>
      <c r="T3260" s="154">
        <f t="shared" si="246"/>
        <v>8.5399999999999991</v>
      </c>
      <c r="U3260" s="154">
        <f t="shared" si="247"/>
        <v>20.927237324879293</v>
      </c>
    </row>
    <row r="3261" spans="1:21" x14ac:dyDescent="0.35">
      <c r="A3261" s="110">
        <v>2136</v>
      </c>
      <c r="B3261" s="110">
        <v>2016</v>
      </c>
      <c r="C3261" s="110" t="s">
        <v>38</v>
      </c>
      <c r="D3261" s="110" t="s">
        <v>143</v>
      </c>
      <c r="E3261" s="110" t="s">
        <v>86</v>
      </c>
      <c r="F3261" s="117">
        <v>828</v>
      </c>
      <c r="G3261" s="110" t="s">
        <v>96</v>
      </c>
      <c r="H3261" s="110" t="str">
        <f t="shared" si="244"/>
        <v>Sauk River</v>
      </c>
      <c r="I3261" s="110" t="str">
        <f>IFERROR(VLOOKUP(H3261,LUTs!$A$1:$C$73,2,FALSE),"NA")</f>
        <v>Skagit/Snohomish</v>
      </c>
      <c r="J3261" s="110" t="str">
        <f>IFERROR(VLOOKUP(H3261,LUTs!$A$1:$C$73,3,FALSE),"NA")</f>
        <v>2Central Puget Sound</v>
      </c>
      <c r="K3261" s="110" t="s">
        <v>18</v>
      </c>
      <c r="L3261" s="110" t="str">
        <f>VLOOKUP(K3261,LUTs!E$2:G$14,3,)</f>
        <v>06King</v>
      </c>
      <c r="M3261" s="110" t="str">
        <f>VLOOKUP($K3261,LUTs!$E$2:$H$14,2,)</f>
        <v>South Puget Sound</v>
      </c>
      <c r="N3261" s="110" t="str">
        <f>VLOOKUP($K3261,LUTs!$E$2:$H$14,4,)</f>
        <v>02South Puget Sound</v>
      </c>
      <c r="O3261" s="110">
        <v>5</v>
      </c>
      <c r="P3261" s="110">
        <v>42.7</v>
      </c>
      <c r="Q3261" s="110">
        <f>SUMIFS('FW_Steelhead_by_Month_2010-2021'!Q$2:Q$3810,'FW_Steelhead_by_Month_2010-2021'!$B$2:$B$3810,'Rec_raw_catch_effort_2010-2021'!$B3261,'FW_Steelhead_by_Month_2010-2021'!$H$2:$H$3810,'Rec_raw_catch_effort_2010-2021'!$F3261,'FW_Steelhead_by_Month_2010-2021'!$M$2:$M$3810,'Rec_raw_catch_effort_2010-2021'!$K3261)</f>
        <v>5</v>
      </c>
      <c r="R3261" s="111">
        <f>VLOOKUP(B3261,Readme!$A$62:$C$74,3,)*Q3261</f>
        <v>104.63618662439646</v>
      </c>
      <c r="S3261" s="140" t="str">
        <f t="shared" si="245"/>
        <v>Y</v>
      </c>
      <c r="T3261" s="154">
        <f t="shared" si="246"/>
        <v>8.5400000000000009</v>
      </c>
      <c r="U3261" s="154">
        <f t="shared" si="247"/>
        <v>20.927237324879293</v>
      </c>
    </row>
    <row r="3262" spans="1:21" x14ac:dyDescent="0.35">
      <c r="A3262" s="110">
        <v>2135</v>
      </c>
      <c r="B3262" s="110">
        <v>2016</v>
      </c>
      <c r="C3262" s="110" t="s">
        <v>38</v>
      </c>
      <c r="D3262" s="110" t="s">
        <v>143</v>
      </c>
      <c r="E3262" s="110" t="s">
        <v>86</v>
      </c>
      <c r="F3262" s="117">
        <v>828</v>
      </c>
      <c r="G3262" s="110" t="s">
        <v>96</v>
      </c>
      <c r="H3262" s="110" t="str">
        <f t="shared" si="244"/>
        <v>Sauk River</v>
      </c>
      <c r="I3262" s="110" t="str">
        <f>IFERROR(VLOOKUP(H3262,LUTs!$A$1:$C$73,2,FALSE),"NA")</f>
        <v>Skagit/Snohomish</v>
      </c>
      <c r="J3262" s="110" t="str">
        <f>IFERROR(VLOOKUP(H3262,LUTs!$A$1:$C$73,3,FALSE),"NA")</f>
        <v>2Central Puget Sound</v>
      </c>
      <c r="K3262" s="110" t="s">
        <v>16</v>
      </c>
      <c r="L3262" s="110" t="str">
        <f>VLOOKUP(K3262,LUTs!E$2:G$14,3,)</f>
        <v>03Snohomish</v>
      </c>
      <c r="M3262" s="110" t="str">
        <f>VLOOKUP($K3262,LUTs!$E$2:$H$14,2,)</f>
        <v>North Puget Sound</v>
      </c>
      <c r="N3262" s="110" t="str">
        <f>VLOOKUP($K3262,LUTs!$E$2:$H$14,4,)</f>
        <v>01North Puget Sound</v>
      </c>
      <c r="O3262" s="110">
        <v>5</v>
      </c>
      <c r="P3262" s="110">
        <v>42.7</v>
      </c>
      <c r="Q3262" s="110">
        <f>SUMIFS('FW_Steelhead_by_Month_2010-2021'!Q$2:Q$3810,'FW_Steelhead_by_Month_2010-2021'!$B$2:$B$3810,'Rec_raw_catch_effort_2010-2021'!$B3262,'FW_Steelhead_by_Month_2010-2021'!$H$2:$H$3810,'Rec_raw_catch_effort_2010-2021'!$F3262,'FW_Steelhead_by_Month_2010-2021'!$M$2:$M$3810,'Rec_raw_catch_effort_2010-2021'!$K3262)</f>
        <v>5</v>
      </c>
      <c r="R3262" s="111">
        <f>VLOOKUP(B3262,Readme!$A$62:$C$74,3,)*Q3262</f>
        <v>104.63618662439646</v>
      </c>
      <c r="S3262" s="140" t="str">
        <f t="shared" si="245"/>
        <v>Y</v>
      </c>
      <c r="T3262" s="154">
        <f t="shared" si="246"/>
        <v>8.5400000000000009</v>
      </c>
      <c r="U3262" s="154">
        <f t="shared" si="247"/>
        <v>20.927237324879293</v>
      </c>
    </row>
    <row r="3263" spans="1:21" x14ac:dyDescent="0.35">
      <c r="A3263" s="110">
        <v>2139</v>
      </c>
      <c r="B3263" s="110">
        <v>2018</v>
      </c>
      <c r="C3263" s="110" t="s">
        <v>38</v>
      </c>
      <c r="D3263" s="110" t="s">
        <v>143</v>
      </c>
      <c r="E3263" s="110" t="s">
        <v>86</v>
      </c>
      <c r="F3263" s="117">
        <v>828</v>
      </c>
      <c r="G3263" s="110" t="s">
        <v>96</v>
      </c>
      <c r="H3263" s="110" t="str">
        <f t="shared" si="244"/>
        <v>Sauk River</v>
      </c>
      <c r="I3263" s="110" t="str">
        <f>IFERROR(VLOOKUP(H3263,LUTs!$A$1:$C$73,2,FALSE),"NA")</f>
        <v>Skagit/Snohomish</v>
      </c>
      <c r="J3263" s="110" t="str">
        <f>IFERROR(VLOOKUP(H3263,LUTs!$A$1:$C$73,3,FALSE),"NA")</f>
        <v>2Central Puget Sound</v>
      </c>
      <c r="K3263" s="110" t="s">
        <v>15</v>
      </c>
      <c r="L3263" s="110" t="str">
        <f>VLOOKUP(K3263,LUTs!E$2:G$14,3,)</f>
        <v>02Skagit</v>
      </c>
      <c r="M3263" s="110" t="str">
        <f>VLOOKUP($K3263,LUTs!$E$2:$H$14,2,)</f>
        <v>North Puget Sound</v>
      </c>
      <c r="N3263" s="110" t="str">
        <f>VLOOKUP($K3263,LUTs!$E$2:$H$14,4,)</f>
        <v>01North Puget Sound</v>
      </c>
      <c r="O3263" s="110">
        <v>0</v>
      </c>
      <c r="P3263" s="110">
        <v>0</v>
      </c>
      <c r="Q3263" s="110">
        <f>SUMIFS('FW_Steelhead_by_Month_2010-2021'!Q$2:Q$3810,'FW_Steelhead_by_Month_2010-2021'!$B$2:$B$3810,'Rec_raw_catch_effort_2010-2021'!$B3263,'FW_Steelhead_by_Month_2010-2021'!$H$2:$H$3810,'Rec_raw_catch_effort_2010-2021'!$F3263,'FW_Steelhead_by_Month_2010-2021'!$M$2:$M$3810,'Rec_raw_catch_effort_2010-2021'!$K3263)</f>
        <v>0</v>
      </c>
      <c r="R3263" s="111">
        <f>VLOOKUP(B3263,Readme!$A$62:$C$74,3,)*Q3263</f>
        <v>0</v>
      </c>
      <c r="S3263" s="140" t="str">
        <f t="shared" si="245"/>
        <v>Y</v>
      </c>
      <c r="T3263" s="154" t="str">
        <f t="shared" si="246"/>
        <v>NA</v>
      </c>
      <c r="U3263" s="154" t="str">
        <f t="shared" si="247"/>
        <v>NA</v>
      </c>
    </row>
    <row r="3264" spans="1:21" x14ac:dyDescent="0.35">
      <c r="A3264" s="110">
        <v>2193</v>
      </c>
      <c r="B3264" s="110">
        <v>2018</v>
      </c>
      <c r="C3264" s="110" t="s">
        <v>38</v>
      </c>
      <c r="D3264" s="110" t="s">
        <v>143</v>
      </c>
      <c r="E3264" s="110" t="s">
        <v>86</v>
      </c>
      <c r="F3264" s="117">
        <v>828</v>
      </c>
      <c r="G3264" s="110" t="s">
        <v>96</v>
      </c>
      <c r="H3264" s="110" t="str">
        <f t="shared" si="244"/>
        <v>Sauk River</v>
      </c>
      <c r="I3264" s="110" t="str">
        <f>IFERROR(VLOOKUP(H3264,LUTs!$A$1:$C$73,2,FALSE),"NA")</f>
        <v>Skagit/Snohomish</v>
      </c>
      <c r="J3264" s="110" t="str">
        <f>IFERROR(VLOOKUP(H3264,LUTs!$A$1:$C$73,3,FALSE),"NA")</f>
        <v>2Central Puget Sound</v>
      </c>
      <c r="K3264" s="110" t="s">
        <v>16</v>
      </c>
      <c r="L3264" s="110" t="str">
        <f>VLOOKUP(K3264,LUTs!E$2:G$14,3,)</f>
        <v>03Snohomish</v>
      </c>
      <c r="M3264" s="110" t="str">
        <f>VLOOKUP($K3264,LUTs!$E$2:$H$14,2,)</f>
        <v>North Puget Sound</v>
      </c>
      <c r="N3264" s="110" t="str">
        <f>VLOOKUP($K3264,LUTs!$E$2:$H$14,4,)</f>
        <v>01North Puget Sound</v>
      </c>
      <c r="O3264" s="110">
        <v>8</v>
      </c>
      <c r="P3264" s="110">
        <v>68.319999999999993</v>
      </c>
      <c r="Q3264" s="110">
        <f>SUMIFS('FW_Steelhead_by_Month_2010-2021'!Q$2:Q$3810,'FW_Steelhead_by_Month_2010-2021'!$B$2:$B$3810,'Rec_raw_catch_effort_2010-2021'!$B3264,'FW_Steelhead_by_Month_2010-2021'!$H$2:$H$3810,'Rec_raw_catch_effort_2010-2021'!$F3264,'FW_Steelhead_by_Month_2010-2021'!$M$2:$M$3810,'Rec_raw_catch_effort_2010-2021'!$K3264)</f>
        <v>0</v>
      </c>
      <c r="R3264" s="111">
        <f>VLOOKUP(B3264,Readme!$A$62:$C$74,3,)*Q3264</f>
        <v>0</v>
      </c>
      <c r="S3264" s="140" t="str">
        <f t="shared" si="245"/>
        <v>Y</v>
      </c>
      <c r="T3264" s="154">
        <f t="shared" si="246"/>
        <v>8.5399999999999991</v>
      </c>
      <c r="U3264" s="154" t="str">
        <f t="shared" si="247"/>
        <v>NA</v>
      </c>
    </row>
    <row r="3265" spans="1:21" x14ac:dyDescent="0.35">
      <c r="A3265" s="110">
        <v>2138</v>
      </c>
      <c r="B3265" s="110">
        <v>2018</v>
      </c>
      <c r="C3265" s="110" t="s">
        <v>38</v>
      </c>
      <c r="D3265" s="110" t="s">
        <v>143</v>
      </c>
      <c r="E3265" s="110" t="s">
        <v>86</v>
      </c>
      <c r="F3265" s="117">
        <v>828</v>
      </c>
      <c r="G3265" s="110" t="s">
        <v>96</v>
      </c>
      <c r="H3265" s="110" t="str">
        <f t="shared" si="244"/>
        <v>Sauk River</v>
      </c>
      <c r="I3265" s="110" t="str">
        <f>IFERROR(VLOOKUP(H3265,LUTs!$A$1:$C$73,2,FALSE),"NA")</f>
        <v>Skagit/Snohomish</v>
      </c>
      <c r="J3265" s="110" t="str">
        <f>IFERROR(VLOOKUP(H3265,LUTs!$A$1:$C$73,3,FALSE),"NA")</f>
        <v>2Central Puget Sound</v>
      </c>
      <c r="K3265" s="110" t="s">
        <v>13</v>
      </c>
      <c r="L3265" s="110" t="str">
        <f>VLOOKUP(K3265,LUTs!E$2:G$14,3,)</f>
        <v>01Whatcom</v>
      </c>
      <c r="M3265" s="110" t="str">
        <f>VLOOKUP($K3265,LUTs!$E$2:$H$14,2,)</f>
        <v>North Puget Sound</v>
      </c>
      <c r="N3265" s="110" t="str">
        <f>VLOOKUP($K3265,LUTs!$E$2:$H$14,4,)</f>
        <v>01North Puget Sound</v>
      </c>
      <c r="O3265" s="110">
        <v>24</v>
      </c>
      <c r="P3265" s="110">
        <v>204.96</v>
      </c>
      <c r="Q3265" s="110">
        <f>SUMIFS('FW_Steelhead_by_Month_2010-2021'!Q$2:Q$3810,'FW_Steelhead_by_Month_2010-2021'!$B$2:$B$3810,'Rec_raw_catch_effort_2010-2021'!$B3265,'FW_Steelhead_by_Month_2010-2021'!$H$2:$H$3810,'Rec_raw_catch_effort_2010-2021'!$F3265,'FW_Steelhead_by_Month_2010-2021'!$M$2:$M$3810,'Rec_raw_catch_effort_2010-2021'!$K3265)</f>
        <v>9</v>
      </c>
      <c r="R3265" s="111">
        <f>VLOOKUP(B3265,Readme!$A$62:$C$74,3,)*Q3265</f>
        <v>188.34513592391363</v>
      </c>
      <c r="S3265" s="140" t="str">
        <f t="shared" si="245"/>
        <v>Y</v>
      </c>
      <c r="T3265" s="154">
        <f t="shared" si="246"/>
        <v>8.5400000000000009</v>
      </c>
      <c r="U3265" s="154">
        <f t="shared" si="247"/>
        <v>20.927237324879293</v>
      </c>
    </row>
    <row r="3266" spans="1:21" x14ac:dyDescent="0.35">
      <c r="A3266" s="110">
        <v>3021</v>
      </c>
      <c r="B3266" s="110">
        <v>2010</v>
      </c>
      <c r="C3266" s="110" t="s">
        <v>38</v>
      </c>
      <c r="D3266" s="110" t="s">
        <v>143</v>
      </c>
      <c r="E3266" s="110" t="s">
        <v>86</v>
      </c>
      <c r="F3266" s="117">
        <v>830</v>
      </c>
      <c r="G3266" s="110" t="s">
        <v>60</v>
      </c>
      <c r="H3266" s="110" t="str">
        <f t="shared" ref="H3266:H3329" si="248">G3266</f>
        <v>Skagit River</v>
      </c>
      <c r="I3266" s="110" t="str">
        <f>IFERROR(VLOOKUP(H3266,LUTs!$A$1:$C$73,2,FALSE),"NA")</f>
        <v>Skagit/Whatcom</v>
      </c>
      <c r="J3266" s="110" t="str">
        <f>IFERROR(VLOOKUP(H3266,LUTs!$A$1:$C$73,3,FALSE),"NA")</f>
        <v>2Central Puget Sound</v>
      </c>
      <c r="K3266" s="110" t="s">
        <v>18</v>
      </c>
      <c r="L3266" s="110" t="str">
        <f>VLOOKUP(K3266,LUTs!E$2:G$14,3,)</f>
        <v>06King</v>
      </c>
      <c r="M3266" s="110" t="str">
        <f>VLOOKUP($K3266,LUTs!$E$2:$H$14,2,)</f>
        <v>South Puget Sound</v>
      </c>
      <c r="N3266" s="110" t="str">
        <f>VLOOKUP($K3266,LUTs!$E$2:$H$14,4,)</f>
        <v>02South Puget Sound</v>
      </c>
      <c r="O3266" s="110">
        <v>7.90243902439025</v>
      </c>
      <c r="P3266" s="110">
        <v>67.486829268292695</v>
      </c>
      <c r="Q3266" s="110">
        <f>SUMIFS('FW_Steelhead_by_Month_2010-2021'!Q$2:Q$3810,'FW_Steelhead_by_Month_2010-2021'!$B$2:$B$3810,'Rec_raw_catch_effort_2010-2021'!$B3266,'FW_Steelhead_by_Month_2010-2021'!$H$2:$H$3810,'Rec_raw_catch_effort_2010-2021'!$F3266,'FW_Steelhead_by_Month_2010-2021'!$M$2:$M$3810,'Rec_raw_catch_effort_2010-2021'!$K3266)</f>
        <v>5.5714285714285703</v>
      </c>
      <c r="R3266" s="111">
        <f>VLOOKUP(B3266,Readme!$A$62:$C$74,3,)*Q3266</f>
        <v>116.5946079528989</v>
      </c>
      <c r="S3266" s="140" t="str">
        <f t="shared" si="245"/>
        <v>Y</v>
      </c>
      <c r="T3266" s="154">
        <f t="shared" si="246"/>
        <v>8.5399999999999956</v>
      </c>
      <c r="U3266" s="154">
        <f t="shared" si="247"/>
        <v>20.927237324879293</v>
      </c>
    </row>
    <row r="3267" spans="1:21" x14ac:dyDescent="0.35">
      <c r="A3267" s="110">
        <v>3057</v>
      </c>
      <c r="B3267" s="110">
        <v>2010</v>
      </c>
      <c r="C3267" s="110" t="s">
        <v>38</v>
      </c>
      <c r="D3267" s="110" t="s">
        <v>143</v>
      </c>
      <c r="E3267" s="110" t="s">
        <v>86</v>
      </c>
      <c r="F3267" s="117">
        <v>830</v>
      </c>
      <c r="G3267" s="110" t="s">
        <v>60</v>
      </c>
      <c r="H3267" s="110" t="str">
        <f t="shared" si="248"/>
        <v>Skagit River</v>
      </c>
      <c r="I3267" s="110" t="str">
        <f>IFERROR(VLOOKUP(H3267,LUTs!$A$1:$C$73,2,FALSE),"NA")</f>
        <v>Skagit/Whatcom</v>
      </c>
      <c r="J3267" s="110" t="str">
        <f>IFERROR(VLOOKUP(H3267,LUTs!$A$1:$C$73,3,FALSE),"NA")</f>
        <v>2Central Puget Sound</v>
      </c>
      <c r="K3267" s="110" t="s">
        <v>26</v>
      </c>
      <c r="L3267" s="110" t="str">
        <f>VLOOKUP(K3267,LUTs!E$2:G$14,3,)</f>
        <v>20Other</v>
      </c>
      <c r="M3267" s="110" t="str">
        <f>VLOOKUP($K3267,LUTs!$E$2:$H$14,2,)</f>
        <v>Non Puget Sound</v>
      </c>
      <c r="N3267" s="110" t="str">
        <f>VLOOKUP($K3267,LUTs!$E$2:$H$14,4,)</f>
        <v>07Non Puget Sound</v>
      </c>
      <c r="O3267" s="110">
        <v>13.170731707317101</v>
      </c>
      <c r="P3267" s="110">
        <v>112.478048780488</v>
      </c>
      <c r="Q3267" s="110">
        <f>SUMIFS('FW_Steelhead_by_Month_2010-2021'!Q$2:Q$3810,'FW_Steelhead_by_Month_2010-2021'!$B$2:$B$3810,'Rec_raw_catch_effort_2010-2021'!$B3267,'FW_Steelhead_by_Month_2010-2021'!$H$2:$H$3810,'Rec_raw_catch_effort_2010-2021'!$F3267,'FW_Steelhead_by_Month_2010-2021'!$M$2:$M$3810,'Rec_raw_catch_effort_2010-2021'!$K3267)</f>
        <v>11.821428571428569</v>
      </c>
      <c r="R3267" s="111">
        <f>VLOOKUP(B3267,Readme!$A$62:$C$74,3,)*Q3267</f>
        <v>247.38984123339446</v>
      </c>
      <c r="S3267" s="140" t="str">
        <f t="shared" ref="S3267:S3330" si="249">IF(B3267&lt;=2019,"Y","N")</f>
        <v>Y</v>
      </c>
      <c r="T3267" s="154">
        <f t="shared" ref="T3267:T3330" si="250">IFERROR(P3267/O3267,"NA")</f>
        <v>8.5399999999999974</v>
      </c>
      <c r="U3267" s="154">
        <f t="shared" ref="U3267:U3330" si="251">IFERROR(R3267/Q3267,"NA")</f>
        <v>20.927237324879293</v>
      </c>
    </row>
    <row r="3268" spans="1:21" x14ac:dyDescent="0.35">
      <c r="A3268" s="110">
        <v>2939</v>
      </c>
      <c r="B3268" s="110">
        <v>2010</v>
      </c>
      <c r="C3268" s="110" t="s">
        <v>38</v>
      </c>
      <c r="D3268" s="110" t="s">
        <v>143</v>
      </c>
      <c r="E3268" s="110" t="s">
        <v>86</v>
      </c>
      <c r="F3268" s="117">
        <v>830</v>
      </c>
      <c r="G3268" s="110" t="s">
        <v>60</v>
      </c>
      <c r="H3268" s="110" t="str">
        <f t="shared" si="248"/>
        <v>Skagit River</v>
      </c>
      <c r="I3268" s="110" t="str">
        <f>IFERROR(VLOOKUP(H3268,LUTs!$A$1:$C$73,2,FALSE),"NA")</f>
        <v>Skagit/Whatcom</v>
      </c>
      <c r="J3268" s="110" t="str">
        <f>IFERROR(VLOOKUP(H3268,LUTs!$A$1:$C$73,3,FALSE),"NA")</f>
        <v>2Central Puget Sound</v>
      </c>
      <c r="K3268" s="110" t="s">
        <v>15</v>
      </c>
      <c r="L3268" s="110" t="str">
        <f>VLOOKUP(K3268,LUTs!E$2:G$14,3,)</f>
        <v>02Skagit</v>
      </c>
      <c r="M3268" s="110" t="str">
        <f>VLOOKUP($K3268,LUTs!$E$2:$H$14,2,)</f>
        <v>North Puget Sound</v>
      </c>
      <c r="N3268" s="110" t="str">
        <f>VLOOKUP($K3268,LUTs!$E$2:$H$14,4,)</f>
        <v>01North Puget Sound</v>
      </c>
      <c r="O3268" s="110">
        <v>63.219512195122</v>
      </c>
      <c r="P3268" s="110">
        <v>539.89463414634201</v>
      </c>
      <c r="Q3268" s="110">
        <f>SUMIFS('FW_Steelhead_by_Month_2010-2021'!Q$2:Q$3810,'FW_Steelhead_by_Month_2010-2021'!$B$2:$B$3810,'Rec_raw_catch_effort_2010-2021'!$B3268,'FW_Steelhead_by_Month_2010-2021'!$H$2:$H$3810,'Rec_raw_catch_effort_2010-2021'!$F3268,'FW_Steelhead_by_Month_2010-2021'!$M$2:$M$3810,'Rec_raw_catch_effort_2010-2021'!$K3268)</f>
        <v>61.04761904761903</v>
      </c>
      <c r="R3268" s="111">
        <f>VLOOKUP(B3268,Readme!$A$62:$C$74,3,)*Q3268</f>
        <v>1277.558011928345</v>
      </c>
      <c r="S3268" s="140" t="str">
        <f t="shared" si="249"/>
        <v>Y</v>
      </c>
      <c r="T3268" s="154">
        <f t="shared" si="250"/>
        <v>8.5400000000000027</v>
      </c>
      <c r="U3268" s="154">
        <f t="shared" si="251"/>
        <v>20.927237324879293</v>
      </c>
    </row>
    <row r="3269" spans="1:21" x14ac:dyDescent="0.35">
      <c r="A3269" s="110">
        <v>2940</v>
      </c>
      <c r="B3269" s="110">
        <v>2010</v>
      </c>
      <c r="C3269" s="110" t="s">
        <v>38</v>
      </c>
      <c r="D3269" s="110" t="s">
        <v>143</v>
      </c>
      <c r="E3269" s="110" t="s">
        <v>86</v>
      </c>
      <c r="F3269" s="117">
        <v>830</v>
      </c>
      <c r="G3269" s="110" t="s">
        <v>60</v>
      </c>
      <c r="H3269" s="110" t="str">
        <f t="shared" si="248"/>
        <v>Skagit River</v>
      </c>
      <c r="I3269" s="110" t="str">
        <f>IFERROR(VLOOKUP(H3269,LUTs!$A$1:$C$73,2,FALSE),"NA")</f>
        <v>Skagit/Whatcom</v>
      </c>
      <c r="J3269" s="110" t="str">
        <f>IFERROR(VLOOKUP(H3269,LUTs!$A$1:$C$73,3,FALSE),"NA")</f>
        <v>2Central Puget Sound</v>
      </c>
      <c r="K3269" s="110" t="s">
        <v>16</v>
      </c>
      <c r="L3269" s="110" t="str">
        <f>VLOOKUP(K3269,LUTs!E$2:G$14,3,)</f>
        <v>03Snohomish</v>
      </c>
      <c r="M3269" s="110" t="str">
        <f>VLOOKUP($K3269,LUTs!$E$2:$H$14,2,)</f>
        <v>North Puget Sound</v>
      </c>
      <c r="N3269" s="110" t="str">
        <f>VLOOKUP($K3269,LUTs!$E$2:$H$14,4,)</f>
        <v>01North Puget Sound</v>
      </c>
      <c r="O3269" s="110">
        <v>18.439024390243901</v>
      </c>
      <c r="P3269" s="110">
        <v>157.46926829268301</v>
      </c>
      <c r="Q3269" s="110">
        <f>SUMIFS('FW_Steelhead_by_Month_2010-2021'!Q$2:Q$3810,'FW_Steelhead_by_Month_2010-2021'!$B$2:$B$3810,'Rec_raw_catch_effort_2010-2021'!$B3269,'FW_Steelhead_by_Month_2010-2021'!$H$2:$H$3810,'Rec_raw_catch_effort_2010-2021'!$F3269,'FW_Steelhead_by_Month_2010-2021'!$M$2:$M$3810,'Rec_raw_catch_effort_2010-2021'!$K3269)</f>
        <v>14.559523809523769</v>
      </c>
      <c r="R3269" s="111">
        <f>VLOOKUP(B3269,Readme!$A$62:$C$74,3,)*Q3269</f>
        <v>304.69061009913457</v>
      </c>
      <c r="S3269" s="140" t="str">
        <f t="shared" si="249"/>
        <v>Y</v>
      </c>
      <c r="T3269" s="154">
        <f t="shared" si="250"/>
        <v>8.5400000000000045</v>
      </c>
      <c r="U3269" s="154">
        <f t="shared" si="251"/>
        <v>20.927237324879293</v>
      </c>
    </row>
    <row r="3270" spans="1:21" x14ac:dyDescent="0.35">
      <c r="A3270" s="110">
        <v>2938</v>
      </c>
      <c r="B3270" s="110">
        <v>2010</v>
      </c>
      <c r="C3270" s="110" t="s">
        <v>38</v>
      </c>
      <c r="D3270" s="110" t="s">
        <v>143</v>
      </c>
      <c r="E3270" s="110" t="s">
        <v>86</v>
      </c>
      <c r="F3270" s="117">
        <v>830</v>
      </c>
      <c r="G3270" s="110" t="s">
        <v>60</v>
      </c>
      <c r="H3270" s="110" t="str">
        <f t="shared" si="248"/>
        <v>Skagit River</v>
      </c>
      <c r="I3270" s="110" t="str">
        <f>IFERROR(VLOOKUP(H3270,LUTs!$A$1:$C$73,2,FALSE),"NA")</f>
        <v>Skagit/Whatcom</v>
      </c>
      <c r="J3270" s="110" t="str">
        <f>IFERROR(VLOOKUP(H3270,LUTs!$A$1:$C$73,3,FALSE),"NA")</f>
        <v>2Central Puget Sound</v>
      </c>
      <c r="K3270" s="110" t="s">
        <v>13</v>
      </c>
      <c r="L3270" s="110" t="str">
        <f>VLOOKUP(K3270,LUTs!E$2:G$14,3,)</f>
        <v>01Whatcom</v>
      </c>
      <c r="M3270" s="110" t="str">
        <f>VLOOKUP($K3270,LUTs!$E$2:$H$14,2,)</f>
        <v>North Puget Sound</v>
      </c>
      <c r="N3270" s="110" t="str">
        <f>VLOOKUP($K3270,LUTs!$E$2:$H$14,4,)</f>
        <v>01North Puget Sound</v>
      </c>
      <c r="O3270" s="110">
        <v>5.2682926829268304</v>
      </c>
      <c r="P3270" s="110">
        <v>44.991219512195102</v>
      </c>
      <c r="Q3270" s="110">
        <f>SUMIFS('FW_Steelhead_by_Month_2010-2021'!Q$2:Q$3810,'FW_Steelhead_by_Month_2010-2021'!$B$2:$B$3810,'Rec_raw_catch_effort_2010-2021'!$B3270,'FW_Steelhead_by_Month_2010-2021'!$H$2:$H$3810,'Rec_raw_catch_effort_2010-2021'!$F3270,'FW_Steelhead_by_Month_2010-2021'!$M$2:$M$3810,'Rec_raw_catch_effort_2010-2021'!$K3270)</f>
        <v>3</v>
      </c>
      <c r="R3270" s="111">
        <f>VLOOKUP(B3270,Readme!$A$62:$C$74,3,)*Q3270</f>
        <v>62.781711974637879</v>
      </c>
      <c r="S3270" s="140" t="str">
        <f t="shared" si="249"/>
        <v>Y</v>
      </c>
      <c r="T3270" s="154">
        <f t="shared" si="250"/>
        <v>8.5399999999999938</v>
      </c>
      <c r="U3270" s="154">
        <f t="shared" si="251"/>
        <v>20.927237324879293</v>
      </c>
    </row>
    <row r="3271" spans="1:21" x14ac:dyDescent="0.35">
      <c r="A3271" s="110">
        <v>3171</v>
      </c>
      <c r="B3271" s="110">
        <v>2011</v>
      </c>
      <c r="C3271" s="110" t="s">
        <v>38</v>
      </c>
      <c r="D3271" s="110" t="s">
        <v>143</v>
      </c>
      <c r="E3271" s="110" t="s">
        <v>86</v>
      </c>
      <c r="F3271" s="117">
        <v>830</v>
      </c>
      <c r="G3271" s="110" t="s">
        <v>60</v>
      </c>
      <c r="H3271" s="110" t="str">
        <f t="shared" si="248"/>
        <v>Skagit River</v>
      </c>
      <c r="I3271" s="110" t="str">
        <f>IFERROR(VLOOKUP(H3271,LUTs!$A$1:$C$73,2,FALSE),"NA")</f>
        <v>Skagit/Whatcom</v>
      </c>
      <c r="J3271" s="110" t="str">
        <f>IFERROR(VLOOKUP(H3271,LUTs!$A$1:$C$73,3,FALSE),"NA")</f>
        <v>2Central Puget Sound</v>
      </c>
      <c r="K3271" s="110" t="s">
        <v>18</v>
      </c>
      <c r="L3271" s="110" t="str">
        <f>VLOOKUP(K3271,LUTs!E$2:G$14,3,)</f>
        <v>06King</v>
      </c>
      <c r="M3271" s="110" t="str">
        <f>VLOOKUP($K3271,LUTs!$E$2:$H$14,2,)</f>
        <v>South Puget Sound</v>
      </c>
      <c r="N3271" s="110" t="str">
        <f>VLOOKUP($K3271,LUTs!$E$2:$H$14,4,)</f>
        <v>02South Puget Sound</v>
      </c>
      <c r="O3271" s="110">
        <v>9.3934426229508201</v>
      </c>
      <c r="P3271" s="110">
        <v>174.248360655738</v>
      </c>
      <c r="Q3271" s="110">
        <f>SUMIFS('FW_Steelhead_by_Month_2010-2021'!Q$2:Q$3810,'FW_Steelhead_by_Month_2010-2021'!$B$2:$B$3810,'Rec_raw_catch_effort_2010-2021'!$B3271,'FW_Steelhead_by_Month_2010-2021'!$H$2:$H$3810,'Rec_raw_catch_effort_2010-2021'!$F3271,'FW_Steelhead_by_Month_2010-2021'!$M$2:$M$3810,'Rec_raw_catch_effort_2010-2021'!$K3271)</f>
        <v>6.0769230769230802</v>
      </c>
      <c r="R3271" s="111">
        <f>VLOOKUP(B3271,Readme!$A$62:$C$74,3,)*Q3271</f>
        <v>127.173211435805</v>
      </c>
      <c r="S3271" s="140" t="str">
        <f t="shared" si="249"/>
        <v>Y</v>
      </c>
      <c r="T3271" s="154">
        <f t="shared" si="250"/>
        <v>18.550000000000029</v>
      </c>
      <c r="U3271" s="154">
        <f t="shared" si="251"/>
        <v>20.927237324879293</v>
      </c>
    </row>
    <row r="3272" spans="1:21" x14ac:dyDescent="0.35">
      <c r="A3272" s="110">
        <v>3173</v>
      </c>
      <c r="B3272" s="110">
        <v>2011</v>
      </c>
      <c r="C3272" s="110" t="s">
        <v>38</v>
      </c>
      <c r="D3272" s="110" t="s">
        <v>143</v>
      </c>
      <c r="E3272" s="110" t="s">
        <v>86</v>
      </c>
      <c r="F3272" s="117">
        <v>830</v>
      </c>
      <c r="G3272" s="110" t="s">
        <v>60</v>
      </c>
      <c r="H3272" s="110" t="str">
        <f t="shared" si="248"/>
        <v>Skagit River</v>
      </c>
      <c r="I3272" s="110" t="str">
        <f>IFERROR(VLOOKUP(H3272,LUTs!$A$1:$C$73,2,FALSE),"NA")</f>
        <v>Skagit/Whatcom</v>
      </c>
      <c r="J3272" s="110" t="str">
        <f>IFERROR(VLOOKUP(H3272,LUTs!$A$1:$C$73,3,FALSE),"NA")</f>
        <v>2Central Puget Sound</v>
      </c>
      <c r="K3272" s="110" t="s">
        <v>26</v>
      </c>
      <c r="L3272" s="110" t="str">
        <f>VLOOKUP(K3272,LUTs!E$2:G$14,3,)</f>
        <v>20Other</v>
      </c>
      <c r="M3272" s="110" t="str">
        <f>VLOOKUP($K3272,LUTs!$E$2:$H$14,2,)</f>
        <v>Non Puget Sound</v>
      </c>
      <c r="N3272" s="110" t="str">
        <f>VLOOKUP($K3272,LUTs!$E$2:$H$14,4,)</f>
        <v>07Non Puget Sound</v>
      </c>
      <c r="O3272" s="110">
        <v>12.5245901639344</v>
      </c>
      <c r="P3272" s="110">
        <v>232.33114754098301</v>
      </c>
      <c r="Q3272" s="110">
        <f>SUMIFS('FW_Steelhead_by_Month_2010-2021'!Q$2:Q$3810,'FW_Steelhead_by_Month_2010-2021'!$B$2:$B$3810,'Rec_raw_catch_effort_2010-2021'!$B3272,'FW_Steelhead_by_Month_2010-2021'!$H$2:$H$3810,'Rec_raw_catch_effort_2010-2021'!$F3272,'FW_Steelhead_by_Month_2010-2021'!$M$2:$M$3810,'Rec_raw_catch_effort_2010-2021'!$K3272)</f>
        <v>9.7252747252747298</v>
      </c>
      <c r="R3272" s="111">
        <f>VLOOKUP(B3272,Readme!$A$62:$C$74,3,)*Q3272</f>
        <v>203.52313222547454</v>
      </c>
      <c r="S3272" s="140" t="str">
        <f t="shared" si="249"/>
        <v>Y</v>
      </c>
      <c r="T3272" s="154">
        <f t="shared" si="250"/>
        <v>18.54999999999999</v>
      </c>
      <c r="U3272" s="154">
        <f t="shared" si="251"/>
        <v>20.927237324879293</v>
      </c>
    </row>
    <row r="3273" spans="1:21" x14ac:dyDescent="0.35">
      <c r="A3273" s="110">
        <v>3172</v>
      </c>
      <c r="B3273" s="110">
        <v>2011</v>
      </c>
      <c r="C3273" s="110" t="s">
        <v>38</v>
      </c>
      <c r="D3273" s="110" t="s">
        <v>143</v>
      </c>
      <c r="E3273" s="110" t="s">
        <v>86</v>
      </c>
      <c r="F3273" s="117">
        <v>830</v>
      </c>
      <c r="G3273" s="110" t="s">
        <v>60</v>
      </c>
      <c r="H3273" s="110" t="str">
        <f t="shared" si="248"/>
        <v>Skagit River</v>
      </c>
      <c r="I3273" s="110" t="str">
        <f>IFERROR(VLOOKUP(H3273,LUTs!$A$1:$C$73,2,FALSE),"NA")</f>
        <v>Skagit/Whatcom</v>
      </c>
      <c r="J3273" s="110" t="str">
        <f>IFERROR(VLOOKUP(H3273,LUTs!$A$1:$C$73,3,FALSE),"NA")</f>
        <v>2Central Puget Sound</v>
      </c>
      <c r="K3273" s="110" t="s">
        <v>20</v>
      </c>
      <c r="L3273" s="110" t="str">
        <f>VLOOKUP(K3273,LUTs!E$2:G$14,3,)</f>
        <v>07Pierce</v>
      </c>
      <c r="M3273" s="110" t="str">
        <f>VLOOKUP($K3273,LUTs!$E$2:$H$14,2,)</f>
        <v>South Puget Sound</v>
      </c>
      <c r="N3273" s="110" t="str">
        <f>VLOOKUP($K3273,LUTs!$E$2:$H$14,4,)</f>
        <v>02South Puget Sound</v>
      </c>
      <c r="O3273" s="110">
        <v>6.2622950819672196</v>
      </c>
      <c r="P3273" s="110">
        <v>116.165573770492</v>
      </c>
      <c r="Q3273" s="110">
        <f>SUMIFS('FW_Steelhead_by_Month_2010-2021'!Q$2:Q$3810,'FW_Steelhead_by_Month_2010-2021'!$B$2:$B$3810,'Rec_raw_catch_effort_2010-2021'!$B3273,'FW_Steelhead_by_Month_2010-2021'!$H$2:$H$3810,'Rec_raw_catch_effort_2010-2021'!$F3273,'FW_Steelhead_by_Month_2010-2021'!$M$2:$M$3810,'Rec_raw_catch_effort_2010-2021'!$K3273)</f>
        <v>3.0769230769230802</v>
      </c>
      <c r="R3273" s="111">
        <f>VLOOKUP(B3273,Readme!$A$62:$C$74,3,)*Q3273</f>
        <v>64.391499461167129</v>
      </c>
      <c r="S3273" s="140" t="str">
        <f t="shared" si="249"/>
        <v>Y</v>
      </c>
      <c r="T3273" s="154">
        <f t="shared" si="250"/>
        <v>18.550000000000011</v>
      </c>
      <c r="U3273" s="154">
        <f t="shared" si="251"/>
        <v>20.927237324879293</v>
      </c>
    </row>
    <row r="3274" spans="1:21" x14ac:dyDescent="0.35">
      <c r="A3274" s="110">
        <v>3059</v>
      </c>
      <c r="B3274" s="110">
        <v>2011</v>
      </c>
      <c r="C3274" s="110" t="s">
        <v>38</v>
      </c>
      <c r="D3274" s="110" t="s">
        <v>143</v>
      </c>
      <c r="E3274" s="110" t="s">
        <v>86</v>
      </c>
      <c r="F3274" s="117">
        <v>830</v>
      </c>
      <c r="G3274" s="110" t="s">
        <v>60</v>
      </c>
      <c r="H3274" s="110" t="str">
        <f t="shared" si="248"/>
        <v>Skagit River</v>
      </c>
      <c r="I3274" s="110" t="str">
        <f>IFERROR(VLOOKUP(H3274,LUTs!$A$1:$C$73,2,FALSE),"NA")</f>
        <v>Skagit/Whatcom</v>
      </c>
      <c r="J3274" s="110" t="str">
        <f>IFERROR(VLOOKUP(H3274,LUTs!$A$1:$C$73,3,FALSE),"NA")</f>
        <v>2Central Puget Sound</v>
      </c>
      <c r="K3274" s="110" t="s">
        <v>15</v>
      </c>
      <c r="L3274" s="110" t="str">
        <f>VLOOKUP(K3274,LUTs!E$2:G$14,3,)</f>
        <v>02Skagit</v>
      </c>
      <c r="M3274" s="110" t="str">
        <f>VLOOKUP($K3274,LUTs!$E$2:$H$14,2,)</f>
        <v>North Puget Sound</v>
      </c>
      <c r="N3274" s="110" t="str">
        <f>VLOOKUP($K3274,LUTs!$E$2:$H$14,4,)</f>
        <v>01North Puget Sound</v>
      </c>
      <c r="O3274" s="110">
        <v>128.37704918032799</v>
      </c>
      <c r="P3274" s="110">
        <v>2381.3942622950799</v>
      </c>
      <c r="Q3274" s="110">
        <f>SUMIFS('FW_Steelhead_by_Month_2010-2021'!Q$2:Q$3810,'FW_Steelhead_by_Month_2010-2021'!$B$2:$B$3810,'Rec_raw_catch_effort_2010-2021'!$B3274,'FW_Steelhead_by_Month_2010-2021'!$H$2:$H$3810,'Rec_raw_catch_effort_2010-2021'!$F3274,'FW_Steelhead_by_Month_2010-2021'!$M$2:$M$3810,'Rec_raw_catch_effort_2010-2021'!$K3274)</f>
        <v>93.582417582417605</v>
      </c>
      <c r="R3274" s="111">
        <f>VLOOKUP(B3274,Readme!$A$62:$C$74,3,)*Q3274</f>
        <v>1958.42146218321</v>
      </c>
      <c r="S3274" s="140" t="str">
        <f t="shared" si="249"/>
        <v>Y</v>
      </c>
      <c r="T3274" s="154">
        <f t="shared" si="250"/>
        <v>18.549999999999965</v>
      </c>
      <c r="U3274" s="154">
        <f t="shared" si="251"/>
        <v>20.927237324879293</v>
      </c>
    </row>
    <row r="3275" spans="1:21" x14ac:dyDescent="0.35">
      <c r="A3275" s="110">
        <v>3142</v>
      </c>
      <c r="B3275" s="110">
        <v>2011</v>
      </c>
      <c r="C3275" s="110" t="s">
        <v>38</v>
      </c>
      <c r="D3275" s="110" t="s">
        <v>143</v>
      </c>
      <c r="E3275" s="110" t="s">
        <v>86</v>
      </c>
      <c r="F3275" s="117">
        <v>830</v>
      </c>
      <c r="G3275" s="110" t="s">
        <v>60</v>
      </c>
      <c r="H3275" s="110" t="str">
        <f t="shared" si="248"/>
        <v>Skagit River</v>
      </c>
      <c r="I3275" s="110" t="str">
        <f>IFERROR(VLOOKUP(H3275,LUTs!$A$1:$C$73,2,FALSE),"NA")</f>
        <v>Skagit/Whatcom</v>
      </c>
      <c r="J3275" s="110" t="str">
        <f>IFERROR(VLOOKUP(H3275,LUTs!$A$1:$C$73,3,FALSE),"NA")</f>
        <v>2Central Puget Sound</v>
      </c>
      <c r="K3275" s="110" t="s">
        <v>16</v>
      </c>
      <c r="L3275" s="110" t="str">
        <f>VLOOKUP(K3275,LUTs!E$2:G$14,3,)</f>
        <v>03Snohomish</v>
      </c>
      <c r="M3275" s="110" t="str">
        <f>VLOOKUP($K3275,LUTs!$E$2:$H$14,2,)</f>
        <v>North Puget Sound</v>
      </c>
      <c r="N3275" s="110" t="str">
        <f>VLOOKUP($K3275,LUTs!$E$2:$H$14,4,)</f>
        <v>01North Puget Sound</v>
      </c>
      <c r="O3275" s="110">
        <v>21.918032786885199</v>
      </c>
      <c r="P3275" s="110">
        <v>406.57950819671998</v>
      </c>
      <c r="Q3275" s="110">
        <f>SUMIFS('FW_Steelhead_by_Month_2010-2021'!Q$2:Q$3810,'FW_Steelhead_by_Month_2010-2021'!$B$2:$B$3810,'Rec_raw_catch_effort_2010-2021'!$B3275,'FW_Steelhead_by_Month_2010-2021'!$H$2:$H$3810,'Rec_raw_catch_effort_2010-2021'!$F3275,'FW_Steelhead_by_Month_2010-2021'!$M$2:$M$3810,'Rec_raw_catch_effort_2010-2021'!$K3275)</f>
        <v>15.23076923076923</v>
      </c>
      <c r="R3275" s="111">
        <f>VLOOKUP(B3275,Readme!$A$62:$C$74,3,)*Q3275</f>
        <v>318.73792233277692</v>
      </c>
      <c r="S3275" s="140" t="str">
        <f t="shared" si="249"/>
        <v>Y</v>
      </c>
      <c r="T3275" s="154">
        <f t="shared" si="250"/>
        <v>18.549999999999979</v>
      </c>
      <c r="U3275" s="154">
        <f t="shared" si="251"/>
        <v>20.927237324879293</v>
      </c>
    </row>
    <row r="3276" spans="1:21" x14ac:dyDescent="0.35">
      <c r="A3276" s="110">
        <v>3058</v>
      </c>
      <c r="B3276" s="110">
        <v>2011</v>
      </c>
      <c r="C3276" s="110" t="s">
        <v>38</v>
      </c>
      <c r="D3276" s="110" t="s">
        <v>143</v>
      </c>
      <c r="E3276" s="110" t="s">
        <v>86</v>
      </c>
      <c r="F3276" s="117">
        <v>830</v>
      </c>
      <c r="G3276" s="110" t="s">
        <v>60</v>
      </c>
      <c r="H3276" s="110" t="str">
        <f t="shared" si="248"/>
        <v>Skagit River</v>
      </c>
      <c r="I3276" s="110" t="str">
        <f>IFERROR(VLOOKUP(H3276,LUTs!$A$1:$C$73,2,FALSE),"NA")</f>
        <v>Skagit/Whatcom</v>
      </c>
      <c r="J3276" s="110" t="str">
        <f>IFERROR(VLOOKUP(H3276,LUTs!$A$1:$C$73,3,FALSE),"NA")</f>
        <v>2Central Puget Sound</v>
      </c>
      <c r="K3276" s="110" t="s">
        <v>13</v>
      </c>
      <c r="L3276" s="110" t="str">
        <f>VLOOKUP(K3276,LUTs!E$2:G$14,3,)</f>
        <v>01Whatcom</v>
      </c>
      <c r="M3276" s="110" t="str">
        <f>VLOOKUP($K3276,LUTs!$E$2:$H$14,2,)</f>
        <v>North Puget Sound</v>
      </c>
      <c r="N3276" s="110" t="str">
        <f>VLOOKUP($K3276,LUTs!$E$2:$H$14,4,)</f>
        <v>01North Puget Sound</v>
      </c>
      <c r="O3276" s="110">
        <v>12.5245901639344</v>
      </c>
      <c r="P3276" s="110">
        <v>232.33114754098301</v>
      </c>
      <c r="Q3276" s="110">
        <f>SUMIFS('FW_Steelhead_by_Month_2010-2021'!Q$2:Q$3810,'FW_Steelhead_by_Month_2010-2021'!$B$2:$B$3810,'Rec_raw_catch_effort_2010-2021'!$B3276,'FW_Steelhead_by_Month_2010-2021'!$H$2:$H$3810,'Rec_raw_catch_effort_2010-2021'!$F3276,'FW_Steelhead_by_Month_2010-2021'!$M$2:$M$3810,'Rec_raw_catch_effort_2010-2021'!$K3276)</f>
        <v>15.307692307692299</v>
      </c>
      <c r="R3276" s="111">
        <f>VLOOKUP(B3276,Readme!$A$62:$C$74,3,)*Q3276</f>
        <v>320.34770981930592</v>
      </c>
      <c r="S3276" s="140" t="str">
        <f t="shared" si="249"/>
        <v>Y</v>
      </c>
      <c r="T3276" s="154">
        <f t="shared" si="250"/>
        <v>18.54999999999999</v>
      </c>
      <c r="U3276" s="154">
        <f t="shared" si="251"/>
        <v>20.927237324879293</v>
      </c>
    </row>
    <row r="3277" spans="1:21" x14ac:dyDescent="0.35">
      <c r="A3277" s="110">
        <v>3346</v>
      </c>
      <c r="B3277" s="110">
        <v>2012</v>
      </c>
      <c r="C3277" s="110" t="s">
        <v>38</v>
      </c>
      <c r="D3277" s="110" t="s">
        <v>143</v>
      </c>
      <c r="E3277" s="110" t="s">
        <v>86</v>
      </c>
      <c r="F3277" s="117">
        <v>830</v>
      </c>
      <c r="G3277" s="110" t="s">
        <v>60</v>
      </c>
      <c r="H3277" s="110" t="str">
        <f t="shared" si="248"/>
        <v>Skagit River</v>
      </c>
      <c r="I3277" s="110" t="str">
        <f>IFERROR(VLOOKUP(H3277,LUTs!$A$1:$C$73,2,FALSE),"NA")</f>
        <v>Skagit/Whatcom</v>
      </c>
      <c r="J3277" s="110" t="str">
        <f>IFERROR(VLOOKUP(H3277,LUTs!$A$1:$C$73,3,FALSE),"NA")</f>
        <v>2Central Puget Sound</v>
      </c>
      <c r="K3277" s="110" t="s">
        <v>17</v>
      </c>
      <c r="L3277" s="110" t="str">
        <f>VLOOKUP(K3277,LUTs!E$2:G$14,3,)</f>
        <v>04Island</v>
      </c>
      <c r="M3277" s="110" t="str">
        <f>VLOOKUP($K3277,LUTs!$E$2:$H$14,2,)</f>
        <v>North Puget Sound</v>
      </c>
      <c r="N3277" s="110" t="str">
        <f>VLOOKUP($K3277,LUTs!$E$2:$H$14,4,)</f>
        <v>01North Puget Sound</v>
      </c>
      <c r="O3277" s="110">
        <v>2.0476190476190501</v>
      </c>
      <c r="P3277" s="110">
        <v>17.4866666666667</v>
      </c>
      <c r="Q3277" s="110">
        <f>SUMIFS('FW_Steelhead_by_Month_2010-2021'!Q$2:Q$3810,'FW_Steelhead_by_Month_2010-2021'!$B$2:$B$3810,'Rec_raw_catch_effort_2010-2021'!$B3277,'FW_Steelhead_by_Month_2010-2021'!$H$2:$H$3810,'Rec_raw_catch_effort_2010-2021'!$F3277,'FW_Steelhead_by_Month_2010-2021'!$M$2:$M$3810,'Rec_raw_catch_effort_2010-2021'!$K3277)</f>
        <v>1.1818181818181801</v>
      </c>
      <c r="R3277" s="111">
        <f>VLOOKUP(B3277,Readme!$A$62:$C$74,3,)*Q3277</f>
        <v>24.732189565766401</v>
      </c>
      <c r="S3277" s="140" t="str">
        <f t="shared" si="249"/>
        <v>Y</v>
      </c>
      <c r="T3277" s="154">
        <f t="shared" si="250"/>
        <v>8.5400000000000063</v>
      </c>
      <c r="U3277" s="154">
        <f t="shared" si="251"/>
        <v>20.927237324879293</v>
      </c>
    </row>
    <row r="3278" spans="1:21" x14ac:dyDescent="0.35">
      <c r="A3278" s="110">
        <v>3374</v>
      </c>
      <c r="B3278" s="110">
        <v>2012</v>
      </c>
      <c r="C3278" s="110" t="s">
        <v>38</v>
      </c>
      <c r="D3278" s="110" t="s">
        <v>143</v>
      </c>
      <c r="E3278" s="110" t="s">
        <v>86</v>
      </c>
      <c r="F3278" s="117">
        <v>830</v>
      </c>
      <c r="G3278" s="110" t="s">
        <v>60</v>
      </c>
      <c r="H3278" s="110" t="str">
        <f t="shared" si="248"/>
        <v>Skagit River</v>
      </c>
      <c r="I3278" s="110" t="str">
        <f>IFERROR(VLOOKUP(H3278,LUTs!$A$1:$C$73,2,FALSE),"NA")</f>
        <v>Skagit/Whatcom</v>
      </c>
      <c r="J3278" s="110" t="str">
        <f>IFERROR(VLOOKUP(H3278,LUTs!$A$1:$C$73,3,FALSE),"NA")</f>
        <v>2Central Puget Sound</v>
      </c>
      <c r="K3278" s="110" t="s">
        <v>18</v>
      </c>
      <c r="L3278" s="110" t="str">
        <f>VLOOKUP(K3278,LUTs!E$2:G$14,3,)</f>
        <v>06King</v>
      </c>
      <c r="M3278" s="110" t="str">
        <f>VLOOKUP($K3278,LUTs!$E$2:$H$14,2,)</f>
        <v>South Puget Sound</v>
      </c>
      <c r="N3278" s="110" t="str">
        <f>VLOOKUP($K3278,LUTs!$E$2:$H$14,4,)</f>
        <v>02South Puget Sound</v>
      </c>
      <c r="O3278" s="110">
        <v>10.2380952380952</v>
      </c>
      <c r="P3278" s="110">
        <v>87.433333333332996</v>
      </c>
      <c r="Q3278" s="110">
        <f>SUMIFS('FW_Steelhead_by_Month_2010-2021'!Q$2:Q$3810,'FW_Steelhead_by_Month_2010-2021'!$B$2:$B$3810,'Rec_raw_catch_effort_2010-2021'!$B3278,'FW_Steelhead_by_Month_2010-2021'!$H$2:$H$3810,'Rec_raw_catch_effort_2010-2021'!$F3278,'FW_Steelhead_by_Month_2010-2021'!$M$2:$M$3810,'Rec_raw_catch_effort_2010-2021'!$K3278)</f>
        <v>17.918128654970758</v>
      </c>
      <c r="R3278" s="111">
        <f>VLOOKUP(B3278,Readme!$A$62:$C$74,3,)*Q3278</f>
        <v>374.97693078029323</v>
      </c>
      <c r="S3278" s="140" t="str">
        <f t="shared" si="249"/>
        <v>Y</v>
      </c>
      <c r="T3278" s="154">
        <f t="shared" si="250"/>
        <v>8.5399999999999991</v>
      </c>
      <c r="U3278" s="154">
        <f t="shared" si="251"/>
        <v>20.927237324879293</v>
      </c>
    </row>
    <row r="3279" spans="1:21" x14ac:dyDescent="0.35">
      <c r="A3279" s="110">
        <v>3376</v>
      </c>
      <c r="B3279" s="110">
        <v>2012</v>
      </c>
      <c r="C3279" s="110" t="s">
        <v>38</v>
      </c>
      <c r="D3279" s="110" t="s">
        <v>143</v>
      </c>
      <c r="E3279" s="110" t="s">
        <v>86</v>
      </c>
      <c r="F3279" s="117">
        <v>830</v>
      </c>
      <c r="G3279" s="110" t="s">
        <v>60</v>
      </c>
      <c r="H3279" s="110" t="str">
        <f t="shared" si="248"/>
        <v>Skagit River</v>
      </c>
      <c r="I3279" s="110" t="str">
        <f>IFERROR(VLOOKUP(H3279,LUTs!$A$1:$C$73,2,FALSE),"NA")</f>
        <v>Skagit/Whatcom</v>
      </c>
      <c r="J3279" s="110" t="str">
        <f>IFERROR(VLOOKUP(H3279,LUTs!$A$1:$C$73,3,FALSE),"NA")</f>
        <v>2Central Puget Sound</v>
      </c>
      <c r="K3279" s="110" t="s">
        <v>26</v>
      </c>
      <c r="L3279" s="110" t="str">
        <f>VLOOKUP(K3279,LUTs!E$2:G$14,3,)</f>
        <v>20Other</v>
      </c>
      <c r="M3279" s="110" t="str">
        <f>VLOOKUP($K3279,LUTs!$E$2:$H$14,2,)</f>
        <v>Non Puget Sound</v>
      </c>
      <c r="N3279" s="110" t="str">
        <f>VLOOKUP($K3279,LUTs!$E$2:$H$14,4,)</f>
        <v>07Non Puget Sound</v>
      </c>
      <c r="O3279" s="110">
        <v>2.0476190476190501</v>
      </c>
      <c r="P3279" s="110">
        <v>17.4866666666667</v>
      </c>
      <c r="Q3279" s="110">
        <f>SUMIFS('FW_Steelhead_by_Month_2010-2021'!Q$2:Q$3810,'FW_Steelhead_by_Month_2010-2021'!$B$2:$B$3810,'Rec_raw_catch_effort_2010-2021'!$B3279,'FW_Steelhead_by_Month_2010-2021'!$H$2:$H$3810,'Rec_raw_catch_effort_2010-2021'!$F3279,'FW_Steelhead_by_Month_2010-2021'!$M$2:$M$3810,'Rec_raw_catch_effort_2010-2021'!$K3279)</f>
        <v>4.2373737373737397</v>
      </c>
      <c r="R3279" s="111">
        <f>VLOOKUP(B3279,Readme!$A$62:$C$74,3,)*Q3279</f>
        <v>88.676525836230994</v>
      </c>
      <c r="S3279" s="140" t="str">
        <f t="shared" si="249"/>
        <v>Y</v>
      </c>
      <c r="T3279" s="154">
        <f t="shared" si="250"/>
        <v>8.5400000000000063</v>
      </c>
      <c r="U3279" s="154">
        <f t="shared" si="251"/>
        <v>20.927237324879293</v>
      </c>
    </row>
    <row r="3280" spans="1:21" x14ac:dyDescent="0.35">
      <c r="A3280" s="110">
        <v>3375</v>
      </c>
      <c r="B3280" s="110">
        <v>2012</v>
      </c>
      <c r="C3280" s="110" t="s">
        <v>38</v>
      </c>
      <c r="D3280" s="110" t="s">
        <v>143</v>
      </c>
      <c r="E3280" s="110" t="s">
        <v>86</v>
      </c>
      <c r="F3280" s="117">
        <v>830</v>
      </c>
      <c r="G3280" s="110" t="s">
        <v>60</v>
      </c>
      <c r="H3280" s="110" t="str">
        <f t="shared" si="248"/>
        <v>Skagit River</v>
      </c>
      <c r="I3280" s="110" t="str">
        <f>IFERROR(VLOOKUP(H3280,LUTs!$A$1:$C$73,2,FALSE),"NA")</f>
        <v>Skagit/Whatcom</v>
      </c>
      <c r="J3280" s="110" t="str">
        <f>IFERROR(VLOOKUP(H3280,LUTs!$A$1:$C$73,3,FALSE),"NA")</f>
        <v>2Central Puget Sound</v>
      </c>
      <c r="K3280" s="110" t="s">
        <v>20</v>
      </c>
      <c r="L3280" s="110" t="str">
        <f>VLOOKUP(K3280,LUTs!E$2:G$14,3,)</f>
        <v>07Pierce</v>
      </c>
      <c r="M3280" s="110" t="str">
        <f>VLOOKUP($K3280,LUTs!$E$2:$H$14,2,)</f>
        <v>South Puget Sound</v>
      </c>
      <c r="N3280" s="110" t="str">
        <f>VLOOKUP($K3280,LUTs!$E$2:$H$14,4,)</f>
        <v>02South Puget Sound</v>
      </c>
      <c r="O3280" s="110">
        <v>2.0476190476190501</v>
      </c>
      <c r="P3280" s="110">
        <v>17.4866666666667</v>
      </c>
      <c r="Q3280" s="110">
        <f>SUMIFS('FW_Steelhead_by_Month_2010-2021'!Q$2:Q$3810,'FW_Steelhead_by_Month_2010-2021'!$B$2:$B$3810,'Rec_raw_catch_effort_2010-2021'!$B3280,'FW_Steelhead_by_Month_2010-2021'!$H$2:$H$3810,'Rec_raw_catch_effort_2010-2021'!$F3280,'FW_Steelhead_by_Month_2010-2021'!$M$2:$M$3810,'Rec_raw_catch_effort_2010-2021'!$K3280)</f>
        <v>5.4239766081871394</v>
      </c>
      <c r="R3280" s="111">
        <f>VLOOKUP(B3280,Readme!$A$62:$C$74,3,)*Q3280</f>
        <v>113.50884572412609</v>
      </c>
      <c r="S3280" s="140" t="str">
        <f t="shared" si="249"/>
        <v>Y</v>
      </c>
      <c r="T3280" s="154">
        <f t="shared" si="250"/>
        <v>8.5400000000000063</v>
      </c>
      <c r="U3280" s="154">
        <f t="shared" si="251"/>
        <v>20.927237324879293</v>
      </c>
    </row>
    <row r="3281" spans="1:21" x14ac:dyDescent="0.35">
      <c r="A3281" s="110">
        <v>3281</v>
      </c>
      <c r="B3281" s="110">
        <v>2012</v>
      </c>
      <c r="C3281" s="110" t="s">
        <v>38</v>
      </c>
      <c r="D3281" s="110" t="s">
        <v>143</v>
      </c>
      <c r="E3281" s="110" t="s">
        <v>86</v>
      </c>
      <c r="F3281" s="117">
        <v>830</v>
      </c>
      <c r="G3281" s="110" t="s">
        <v>60</v>
      </c>
      <c r="H3281" s="110" t="str">
        <f t="shared" si="248"/>
        <v>Skagit River</v>
      </c>
      <c r="I3281" s="110" t="str">
        <f>IFERROR(VLOOKUP(H3281,LUTs!$A$1:$C$73,2,FALSE),"NA")</f>
        <v>Skagit/Whatcom</v>
      </c>
      <c r="J3281" s="110" t="str">
        <f>IFERROR(VLOOKUP(H3281,LUTs!$A$1:$C$73,3,FALSE),"NA")</f>
        <v>2Central Puget Sound</v>
      </c>
      <c r="K3281" s="110" t="s">
        <v>15</v>
      </c>
      <c r="L3281" s="110" t="str">
        <f>VLOOKUP(K3281,LUTs!E$2:G$14,3,)</f>
        <v>02Skagit</v>
      </c>
      <c r="M3281" s="110" t="str">
        <f>VLOOKUP($K3281,LUTs!$E$2:$H$14,2,)</f>
        <v>North Puget Sound</v>
      </c>
      <c r="N3281" s="110" t="str">
        <f>VLOOKUP($K3281,LUTs!$E$2:$H$14,4,)</f>
        <v>01North Puget Sound</v>
      </c>
      <c r="O3281" s="110">
        <v>100.333333333333</v>
      </c>
      <c r="P3281" s="110">
        <v>856.84666666666396</v>
      </c>
      <c r="Q3281" s="110">
        <f>SUMIFS('FW_Steelhead_by_Month_2010-2021'!Q$2:Q$3810,'FW_Steelhead_by_Month_2010-2021'!$B$2:$B$3810,'Rec_raw_catch_effort_2010-2021'!$B3281,'FW_Steelhead_by_Month_2010-2021'!$H$2:$H$3810,'Rec_raw_catch_effort_2010-2021'!$F3281,'FW_Steelhead_by_Month_2010-2021'!$M$2:$M$3810,'Rec_raw_catch_effort_2010-2021'!$K3281)</f>
        <v>85.820042530568884</v>
      </c>
      <c r="R3281" s="111">
        <f>VLOOKUP(B3281,Readme!$A$62:$C$74,3,)*Q3281</f>
        <v>1795.9763972684495</v>
      </c>
      <c r="S3281" s="140" t="str">
        <f t="shared" si="249"/>
        <v>Y</v>
      </c>
      <c r="T3281" s="154">
        <f t="shared" si="250"/>
        <v>8.5400000000000009</v>
      </c>
      <c r="U3281" s="154">
        <f t="shared" si="251"/>
        <v>20.927237324879293</v>
      </c>
    </row>
    <row r="3282" spans="1:21" x14ac:dyDescent="0.35">
      <c r="A3282" s="110">
        <v>3345</v>
      </c>
      <c r="B3282" s="110">
        <v>2012</v>
      </c>
      <c r="C3282" s="110" t="s">
        <v>38</v>
      </c>
      <c r="D3282" s="110" t="s">
        <v>143</v>
      </c>
      <c r="E3282" s="110" t="s">
        <v>86</v>
      </c>
      <c r="F3282" s="117">
        <v>830</v>
      </c>
      <c r="G3282" s="110" t="s">
        <v>60</v>
      </c>
      <c r="H3282" s="110" t="str">
        <f t="shared" si="248"/>
        <v>Skagit River</v>
      </c>
      <c r="I3282" s="110" t="str">
        <f>IFERROR(VLOOKUP(H3282,LUTs!$A$1:$C$73,2,FALSE),"NA")</f>
        <v>Skagit/Whatcom</v>
      </c>
      <c r="J3282" s="110" t="str">
        <f>IFERROR(VLOOKUP(H3282,LUTs!$A$1:$C$73,3,FALSE),"NA")</f>
        <v>2Central Puget Sound</v>
      </c>
      <c r="K3282" s="110" t="s">
        <v>16</v>
      </c>
      <c r="L3282" s="110" t="str">
        <f>VLOOKUP(K3282,LUTs!E$2:G$14,3,)</f>
        <v>03Snohomish</v>
      </c>
      <c r="M3282" s="110" t="str">
        <f>VLOOKUP($K3282,LUTs!$E$2:$H$14,2,)</f>
        <v>North Puget Sound</v>
      </c>
      <c r="N3282" s="110" t="str">
        <f>VLOOKUP($K3282,LUTs!$E$2:$H$14,4,)</f>
        <v>01North Puget Sound</v>
      </c>
      <c r="O3282" s="110">
        <v>8.1904761904761898</v>
      </c>
      <c r="P3282" s="110">
        <v>69.946666666666701</v>
      </c>
      <c r="Q3282" s="110">
        <f>SUMIFS('FW_Steelhead_by_Month_2010-2021'!Q$2:Q$3810,'FW_Steelhead_by_Month_2010-2021'!$B$2:$B$3810,'Rec_raw_catch_effort_2010-2021'!$B3282,'FW_Steelhead_by_Month_2010-2021'!$H$2:$H$3810,'Rec_raw_catch_effort_2010-2021'!$F3282,'FW_Steelhead_by_Month_2010-2021'!$M$2:$M$3810,'Rec_raw_catch_effort_2010-2021'!$K3282)</f>
        <v>16.050239234449759</v>
      </c>
      <c r="R3282" s="111">
        <f>VLOOKUP(B3282,Readme!$A$62:$C$74,3,)*Q3282</f>
        <v>335.88716558041904</v>
      </c>
      <c r="S3282" s="140" t="str">
        <f t="shared" si="249"/>
        <v>Y</v>
      </c>
      <c r="T3282" s="154">
        <f t="shared" si="250"/>
        <v>8.5400000000000045</v>
      </c>
      <c r="U3282" s="154">
        <f t="shared" si="251"/>
        <v>20.927237324879293</v>
      </c>
    </row>
    <row r="3283" spans="1:21" x14ac:dyDescent="0.35">
      <c r="A3283" s="110">
        <v>3280</v>
      </c>
      <c r="B3283" s="110">
        <v>2012</v>
      </c>
      <c r="C3283" s="110" t="s">
        <v>38</v>
      </c>
      <c r="D3283" s="110" t="s">
        <v>143</v>
      </c>
      <c r="E3283" s="110" t="s">
        <v>86</v>
      </c>
      <c r="F3283" s="117">
        <v>830</v>
      </c>
      <c r="G3283" s="110" t="s">
        <v>60</v>
      </c>
      <c r="H3283" s="110" t="str">
        <f t="shared" si="248"/>
        <v>Skagit River</v>
      </c>
      <c r="I3283" s="110" t="str">
        <f>IFERROR(VLOOKUP(H3283,LUTs!$A$1:$C$73,2,FALSE),"NA")</f>
        <v>Skagit/Whatcom</v>
      </c>
      <c r="J3283" s="110" t="str">
        <f>IFERROR(VLOOKUP(H3283,LUTs!$A$1:$C$73,3,FALSE),"NA")</f>
        <v>2Central Puget Sound</v>
      </c>
      <c r="K3283" s="110" t="s">
        <v>13</v>
      </c>
      <c r="L3283" s="110" t="str">
        <f>VLOOKUP(K3283,LUTs!E$2:G$14,3,)</f>
        <v>01Whatcom</v>
      </c>
      <c r="M3283" s="110" t="str">
        <f>VLOOKUP($K3283,LUTs!$E$2:$H$14,2,)</f>
        <v>North Puget Sound</v>
      </c>
      <c r="N3283" s="110" t="str">
        <f>VLOOKUP($K3283,LUTs!$E$2:$H$14,4,)</f>
        <v>01North Puget Sound</v>
      </c>
      <c r="O3283" s="110">
        <v>4.0952380952381002</v>
      </c>
      <c r="P3283" s="110">
        <v>34.9733333333334</v>
      </c>
      <c r="Q3283" s="110">
        <f>SUMIFS('FW_Steelhead_by_Month_2010-2021'!Q$2:Q$3810,'FW_Steelhead_by_Month_2010-2021'!$B$2:$B$3810,'Rec_raw_catch_effort_2010-2021'!$B3283,'FW_Steelhead_by_Month_2010-2021'!$H$2:$H$3810,'Rec_raw_catch_effort_2010-2021'!$F3283,'FW_Steelhead_by_Month_2010-2021'!$M$2:$M$3810,'Rec_raw_catch_effort_2010-2021'!$K3283)</f>
        <v>2.3684210526315801</v>
      </c>
      <c r="R3283" s="111">
        <f>VLOOKUP(B3283,Readme!$A$62:$C$74,3,)*Q3283</f>
        <v>49.564509453661508</v>
      </c>
      <c r="S3283" s="140" t="str">
        <f t="shared" si="249"/>
        <v>Y</v>
      </c>
      <c r="T3283" s="154">
        <f t="shared" si="250"/>
        <v>8.5400000000000063</v>
      </c>
      <c r="U3283" s="154">
        <f t="shared" si="251"/>
        <v>20.927237324879293</v>
      </c>
    </row>
    <row r="3284" spans="1:21" x14ac:dyDescent="0.35">
      <c r="A3284" s="110">
        <v>3445</v>
      </c>
      <c r="B3284" s="110">
        <v>2013</v>
      </c>
      <c r="C3284" s="110" t="s">
        <v>38</v>
      </c>
      <c r="D3284" s="110" t="s">
        <v>143</v>
      </c>
      <c r="E3284" s="110" t="s">
        <v>86</v>
      </c>
      <c r="F3284" s="117">
        <v>830</v>
      </c>
      <c r="G3284" s="110" t="s">
        <v>60</v>
      </c>
      <c r="H3284" s="110" t="str">
        <f t="shared" si="248"/>
        <v>Skagit River</v>
      </c>
      <c r="I3284" s="110" t="str">
        <f>IFERROR(VLOOKUP(H3284,LUTs!$A$1:$C$73,2,FALSE),"NA")</f>
        <v>Skagit/Whatcom</v>
      </c>
      <c r="J3284" s="110" t="str">
        <f>IFERROR(VLOOKUP(H3284,LUTs!$A$1:$C$73,3,FALSE),"NA")</f>
        <v>2Central Puget Sound</v>
      </c>
      <c r="K3284" s="110" t="s">
        <v>18</v>
      </c>
      <c r="L3284" s="110" t="str">
        <f>VLOOKUP(K3284,LUTs!E$2:G$14,3,)</f>
        <v>06King</v>
      </c>
      <c r="M3284" s="110" t="str">
        <f>VLOOKUP($K3284,LUTs!$E$2:$H$14,2,)</f>
        <v>South Puget Sound</v>
      </c>
      <c r="N3284" s="110" t="str">
        <f>VLOOKUP($K3284,LUTs!$E$2:$H$14,4,)</f>
        <v>02South Puget Sound</v>
      </c>
      <c r="O3284" s="110">
        <v>2.8275862068965498</v>
      </c>
      <c r="P3284" s="110">
        <v>52.451724137931002</v>
      </c>
      <c r="Q3284" s="110">
        <f>SUMIFS('FW_Steelhead_by_Month_2010-2021'!Q$2:Q$3810,'FW_Steelhead_by_Month_2010-2021'!$B$2:$B$3810,'Rec_raw_catch_effort_2010-2021'!$B3284,'FW_Steelhead_by_Month_2010-2021'!$H$2:$H$3810,'Rec_raw_catch_effort_2010-2021'!$F3284,'FW_Steelhead_by_Month_2010-2021'!$M$2:$M$3810,'Rec_raw_catch_effort_2010-2021'!$K3284)</f>
        <v>3.06666666666667</v>
      </c>
      <c r="R3284" s="111">
        <f>VLOOKUP(B3284,Readme!$A$62:$C$74,3,)*Q3284</f>
        <v>64.176861129629899</v>
      </c>
      <c r="S3284" s="140" t="str">
        <f t="shared" si="249"/>
        <v>Y</v>
      </c>
      <c r="T3284" s="154">
        <f t="shared" si="250"/>
        <v>18.55</v>
      </c>
      <c r="U3284" s="154">
        <f t="shared" si="251"/>
        <v>20.927237324879293</v>
      </c>
    </row>
    <row r="3285" spans="1:21" x14ac:dyDescent="0.35">
      <c r="A3285" s="110">
        <v>3460</v>
      </c>
      <c r="B3285" s="110">
        <v>2013</v>
      </c>
      <c r="C3285" s="110" t="s">
        <v>38</v>
      </c>
      <c r="D3285" s="110" t="s">
        <v>143</v>
      </c>
      <c r="E3285" s="110" t="s">
        <v>86</v>
      </c>
      <c r="F3285" s="117">
        <v>830</v>
      </c>
      <c r="G3285" s="110" t="s">
        <v>60</v>
      </c>
      <c r="H3285" s="110" t="str">
        <f t="shared" si="248"/>
        <v>Skagit River</v>
      </c>
      <c r="I3285" s="110" t="str">
        <f>IFERROR(VLOOKUP(H3285,LUTs!$A$1:$C$73,2,FALSE),"NA")</f>
        <v>Skagit/Whatcom</v>
      </c>
      <c r="J3285" s="110" t="str">
        <f>IFERROR(VLOOKUP(H3285,LUTs!$A$1:$C$73,3,FALSE),"NA")</f>
        <v>2Central Puget Sound</v>
      </c>
      <c r="K3285" s="110" t="s">
        <v>26</v>
      </c>
      <c r="L3285" s="110" t="str">
        <f>VLOOKUP(K3285,LUTs!E$2:G$14,3,)</f>
        <v>20Other</v>
      </c>
      <c r="M3285" s="110" t="str">
        <f>VLOOKUP($K3285,LUTs!$E$2:$H$14,2,)</f>
        <v>Non Puget Sound</v>
      </c>
      <c r="N3285" s="110" t="str">
        <f>VLOOKUP($K3285,LUTs!$E$2:$H$14,4,)</f>
        <v>07Non Puget Sound</v>
      </c>
      <c r="O3285" s="110">
        <v>5.6551724137930997</v>
      </c>
      <c r="P3285" s="110">
        <v>104.903448275862</v>
      </c>
      <c r="Q3285" s="110">
        <f>SUMIFS('FW_Steelhead_by_Month_2010-2021'!Q$2:Q$3810,'FW_Steelhead_by_Month_2010-2021'!$B$2:$B$3810,'Rec_raw_catch_effort_2010-2021'!$B3285,'FW_Steelhead_by_Month_2010-2021'!$H$2:$H$3810,'Rec_raw_catch_effort_2010-2021'!$F3285,'FW_Steelhead_by_Month_2010-2021'!$M$2:$M$3810,'Rec_raw_catch_effort_2010-2021'!$K3285)</f>
        <v>6.1333333333333302</v>
      </c>
      <c r="R3285" s="111">
        <f>VLOOKUP(B3285,Readme!$A$62:$C$74,3,)*Q3285</f>
        <v>128.3537222592596</v>
      </c>
      <c r="S3285" s="140" t="str">
        <f t="shared" si="249"/>
        <v>Y</v>
      </c>
      <c r="T3285" s="154">
        <f t="shared" si="250"/>
        <v>18.55</v>
      </c>
      <c r="U3285" s="154">
        <f t="shared" si="251"/>
        <v>20.927237324879293</v>
      </c>
    </row>
    <row r="3286" spans="1:21" x14ac:dyDescent="0.35">
      <c r="A3286" s="110">
        <v>3377</v>
      </c>
      <c r="B3286" s="110">
        <v>2013</v>
      </c>
      <c r="C3286" s="110" t="s">
        <v>38</v>
      </c>
      <c r="D3286" s="110" t="s">
        <v>143</v>
      </c>
      <c r="E3286" s="110" t="s">
        <v>86</v>
      </c>
      <c r="F3286" s="117">
        <v>830</v>
      </c>
      <c r="G3286" s="110" t="s">
        <v>60</v>
      </c>
      <c r="H3286" s="110" t="str">
        <f t="shared" si="248"/>
        <v>Skagit River</v>
      </c>
      <c r="I3286" s="110" t="str">
        <f>IFERROR(VLOOKUP(H3286,LUTs!$A$1:$C$73,2,FALSE),"NA")</f>
        <v>Skagit/Whatcom</v>
      </c>
      <c r="J3286" s="110" t="str">
        <f>IFERROR(VLOOKUP(H3286,LUTs!$A$1:$C$73,3,FALSE),"NA")</f>
        <v>2Central Puget Sound</v>
      </c>
      <c r="K3286" s="110" t="s">
        <v>15</v>
      </c>
      <c r="L3286" s="110" t="str">
        <f>VLOOKUP(K3286,LUTs!E$2:G$14,3,)</f>
        <v>02Skagit</v>
      </c>
      <c r="M3286" s="110" t="str">
        <f>VLOOKUP($K3286,LUTs!$E$2:$H$14,2,)</f>
        <v>North Puget Sound</v>
      </c>
      <c r="N3286" s="110" t="str">
        <f>VLOOKUP($K3286,LUTs!$E$2:$H$14,4,)</f>
        <v>01North Puget Sound</v>
      </c>
      <c r="O3286" s="110">
        <v>65.034482758620697</v>
      </c>
      <c r="P3286" s="110">
        <v>1206.3896551724099</v>
      </c>
      <c r="Q3286" s="110">
        <f>SUMIFS('FW_Steelhead_by_Month_2010-2021'!Q$2:Q$3810,'FW_Steelhead_by_Month_2010-2021'!$B$2:$B$3810,'Rec_raw_catch_effort_2010-2021'!$B3286,'FW_Steelhead_by_Month_2010-2021'!$H$2:$H$3810,'Rec_raw_catch_effort_2010-2021'!$F3286,'FW_Steelhead_by_Month_2010-2021'!$M$2:$M$3810,'Rec_raw_catch_effort_2010-2021'!$K3286)</f>
        <v>85.3333333333334</v>
      </c>
      <c r="R3286" s="111">
        <f>VLOOKUP(B3286,Readme!$A$62:$C$74,3,)*Q3286</f>
        <v>1785.7909183897011</v>
      </c>
      <c r="S3286" s="140" t="str">
        <f t="shared" si="249"/>
        <v>Y</v>
      </c>
      <c r="T3286" s="154">
        <f t="shared" si="250"/>
        <v>18.549999999999937</v>
      </c>
      <c r="U3286" s="154">
        <f t="shared" si="251"/>
        <v>20.927237324879293</v>
      </c>
    </row>
    <row r="3287" spans="1:21" x14ac:dyDescent="0.35">
      <c r="A3287" s="110">
        <v>3444</v>
      </c>
      <c r="B3287" s="110">
        <v>2013</v>
      </c>
      <c r="C3287" s="110" t="s">
        <v>38</v>
      </c>
      <c r="D3287" s="110" t="s">
        <v>143</v>
      </c>
      <c r="E3287" s="110" t="s">
        <v>86</v>
      </c>
      <c r="F3287" s="117">
        <v>830</v>
      </c>
      <c r="G3287" s="110" t="s">
        <v>60</v>
      </c>
      <c r="H3287" s="110" t="str">
        <f t="shared" si="248"/>
        <v>Skagit River</v>
      </c>
      <c r="I3287" s="110" t="str">
        <f>IFERROR(VLOOKUP(H3287,LUTs!$A$1:$C$73,2,FALSE),"NA")</f>
        <v>Skagit/Whatcom</v>
      </c>
      <c r="J3287" s="110" t="str">
        <f>IFERROR(VLOOKUP(H3287,LUTs!$A$1:$C$73,3,FALSE),"NA")</f>
        <v>2Central Puget Sound</v>
      </c>
      <c r="K3287" s="110" t="s">
        <v>16</v>
      </c>
      <c r="L3287" s="110" t="str">
        <f>VLOOKUP(K3287,LUTs!E$2:G$14,3,)</f>
        <v>03Snohomish</v>
      </c>
      <c r="M3287" s="110" t="str">
        <f>VLOOKUP($K3287,LUTs!$E$2:$H$14,2,)</f>
        <v>North Puget Sound</v>
      </c>
      <c r="N3287" s="110" t="str">
        <f>VLOOKUP($K3287,LUTs!$E$2:$H$14,4,)</f>
        <v>01North Puget Sound</v>
      </c>
      <c r="O3287" s="110">
        <v>8.4827586206896601</v>
      </c>
      <c r="P3287" s="110">
        <v>157.35517241379301</v>
      </c>
      <c r="Q3287" s="110">
        <f>SUMIFS('FW_Steelhead_by_Month_2010-2021'!Q$2:Q$3810,'FW_Steelhead_by_Month_2010-2021'!$B$2:$B$3810,'Rec_raw_catch_effort_2010-2021'!$B3287,'FW_Steelhead_by_Month_2010-2021'!$H$2:$H$3810,'Rec_raw_catch_effort_2010-2021'!$F3287,'FW_Steelhead_by_Month_2010-2021'!$M$2:$M$3810,'Rec_raw_catch_effort_2010-2021'!$K3287)</f>
        <v>12.133333333333329</v>
      </c>
      <c r="R3287" s="111">
        <f>VLOOKUP(B3287,Readme!$A$62:$C$74,3,)*Q3287</f>
        <v>253.91714620853534</v>
      </c>
      <c r="S3287" s="140" t="str">
        <f t="shared" si="249"/>
        <v>Y</v>
      </c>
      <c r="T3287" s="154">
        <f t="shared" si="250"/>
        <v>18.549999999999979</v>
      </c>
      <c r="U3287" s="154">
        <f t="shared" si="251"/>
        <v>20.927237324879293</v>
      </c>
    </row>
    <row r="3288" spans="1:21" x14ac:dyDescent="0.35">
      <c r="A3288" s="110">
        <v>3554</v>
      </c>
      <c r="B3288" s="110">
        <v>2014</v>
      </c>
      <c r="C3288" s="110" t="s">
        <v>38</v>
      </c>
      <c r="D3288" s="110" t="s">
        <v>143</v>
      </c>
      <c r="E3288" s="110" t="s">
        <v>86</v>
      </c>
      <c r="F3288" s="117">
        <v>830</v>
      </c>
      <c r="G3288" s="110" t="s">
        <v>60</v>
      </c>
      <c r="H3288" s="110" t="str">
        <f t="shared" si="248"/>
        <v>Skagit River</v>
      </c>
      <c r="I3288" s="110" t="str">
        <f>IFERROR(VLOOKUP(H3288,LUTs!$A$1:$C$73,2,FALSE),"NA")</f>
        <v>Skagit/Whatcom</v>
      </c>
      <c r="J3288" s="110" t="str">
        <f>IFERROR(VLOOKUP(H3288,LUTs!$A$1:$C$73,3,FALSE),"NA")</f>
        <v>2Central Puget Sound</v>
      </c>
      <c r="K3288" s="110" t="s">
        <v>17</v>
      </c>
      <c r="L3288" s="110" t="str">
        <f>VLOOKUP(K3288,LUTs!E$2:G$14,3,)</f>
        <v>04Island</v>
      </c>
      <c r="M3288" s="110" t="str">
        <f>VLOOKUP($K3288,LUTs!$E$2:$H$14,2,)</f>
        <v>North Puget Sound</v>
      </c>
      <c r="N3288" s="110" t="str">
        <f>VLOOKUP($K3288,LUTs!$E$2:$H$14,4,)</f>
        <v>01North Puget Sound</v>
      </c>
      <c r="O3288" s="110">
        <v>2.4666666666666699</v>
      </c>
      <c r="P3288" s="110">
        <v>21.065333333333399</v>
      </c>
      <c r="Q3288" s="110">
        <f>SUMIFS('FW_Steelhead_by_Month_2010-2021'!Q$2:Q$3810,'FW_Steelhead_by_Month_2010-2021'!$B$2:$B$3810,'Rec_raw_catch_effort_2010-2021'!$B3288,'FW_Steelhead_by_Month_2010-2021'!$H$2:$H$3810,'Rec_raw_catch_effort_2010-2021'!$F3288,'FW_Steelhead_by_Month_2010-2021'!$M$2:$M$3810,'Rec_raw_catch_effort_2010-2021'!$K3288)</f>
        <v>0</v>
      </c>
      <c r="R3288" s="111">
        <f>VLOOKUP(B3288,Readme!$A$62:$C$74,3,)*Q3288</f>
        <v>0</v>
      </c>
      <c r="S3288" s="140" t="str">
        <f t="shared" si="249"/>
        <v>Y</v>
      </c>
      <c r="T3288" s="154">
        <f t="shared" si="250"/>
        <v>8.5400000000000151</v>
      </c>
      <c r="U3288" s="154" t="str">
        <f t="shared" si="251"/>
        <v>NA</v>
      </c>
    </row>
    <row r="3289" spans="1:21" x14ac:dyDescent="0.35">
      <c r="A3289" s="110">
        <v>3603</v>
      </c>
      <c r="B3289" s="110">
        <v>2014</v>
      </c>
      <c r="C3289" s="110" t="s">
        <v>38</v>
      </c>
      <c r="D3289" s="110" t="s">
        <v>143</v>
      </c>
      <c r="E3289" s="110" t="s">
        <v>86</v>
      </c>
      <c r="F3289" s="117">
        <v>830</v>
      </c>
      <c r="G3289" s="110" t="s">
        <v>60</v>
      </c>
      <c r="H3289" s="110" t="str">
        <f t="shared" si="248"/>
        <v>Skagit River</v>
      </c>
      <c r="I3289" s="110" t="str">
        <f>IFERROR(VLOOKUP(H3289,LUTs!$A$1:$C$73,2,FALSE),"NA")</f>
        <v>Skagit/Whatcom</v>
      </c>
      <c r="J3289" s="110" t="str">
        <f>IFERROR(VLOOKUP(H3289,LUTs!$A$1:$C$73,3,FALSE),"NA")</f>
        <v>2Central Puget Sound</v>
      </c>
      <c r="K3289" s="110" t="s">
        <v>18</v>
      </c>
      <c r="L3289" s="110" t="str">
        <f>VLOOKUP(K3289,LUTs!E$2:G$14,3,)</f>
        <v>06King</v>
      </c>
      <c r="M3289" s="110" t="str">
        <f>VLOOKUP($K3289,LUTs!$E$2:$H$14,2,)</f>
        <v>South Puget Sound</v>
      </c>
      <c r="N3289" s="110" t="str">
        <f>VLOOKUP($K3289,LUTs!$E$2:$H$14,4,)</f>
        <v>02South Puget Sound</v>
      </c>
      <c r="O3289" s="110">
        <v>4.93333333333333</v>
      </c>
      <c r="P3289" s="110">
        <v>42.130666666666599</v>
      </c>
      <c r="Q3289" s="110">
        <f>SUMIFS('FW_Steelhead_by_Month_2010-2021'!Q$2:Q$3810,'FW_Steelhead_by_Month_2010-2021'!$B$2:$B$3810,'Rec_raw_catch_effort_2010-2021'!$B3289,'FW_Steelhead_by_Month_2010-2021'!$H$2:$H$3810,'Rec_raw_catch_effort_2010-2021'!$F3289,'FW_Steelhead_by_Month_2010-2021'!$M$2:$M$3810,'Rec_raw_catch_effort_2010-2021'!$K3289)</f>
        <v>1</v>
      </c>
      <c r="R3289" s="111">
        <f>VLOOKUP(B3289,Readme!$A$62:$C$74,3,)*Q3289</f>
        <v>20.927237324879293</v>
      </c>
      <c r="S3289" s="140" t="str">
        <f t="shared" si="249"/>
        <v>Y</v>
      </c>
      <c r="T3289" s="154">
        <f t="shared" si="250"/>
        <v>8.539999999999992</v>
      </c>
      <c r="U3289" s="154">
        <f t="shared" si="251"/>
        <v>20.927237324879293</v>
      </c>
    </row>
    <row r="3290" spans="1:21" x14ac:dyDescent="0.35">
      <c r="A3290" s="110">
        <v>3604</v>
      </c>
      <c r="B3290" s="110">
        <v>2014</v>
      </c>
      <c r="C3290" s="110" t="s">
        <v>38</v>
      </c>
      <c r="D3290" s="110" t="s">
        <v>143</v>
      </c>
      <c r="E3290" s="110" t="s">
        <v>86</v>
      </c>
      <c r="F3290" s="117">
        <v>830</v>
      </c>
      <c r="G3290" s="110" t="s">
        <v>60</v>
      </c>
      <c r="H3290" s="110" t="str">
        <f t="shared" si="248"/>
        <v>Skagit River</v>
      </c>
      <c r="I3290" s="110" t="str">
        <f>IFERROR(VLOOKUP(H3290,LUTs!$A$1:$C$73,2,FALSE),"NA")</f>
        <v>Skagit/Whatcom</v>
      </c>
      <c r="J3290" s="110" t="str">
        <f>IFERROR(VLOOKUP(H3290,LUTs!$A$1:$C$73,3,FALSE),"NA")</f>
        <v>2Central Puget Sound</v>
      </c>
      <c r="K3290" s="110" t="s">
        <v>22</v>
      </c>
      <c r="L3290" s="110" t="str">
        <f>VLOOKUP(K3290,LUTs!E$2:G$14,3,)</f>
        <v>09Mason</v>
      </c>
      <c r="M3290" s="110" t="str">
        <f>VLOOKUP($K3290,LUTs!$E$2:$H$14,2,)</f>
        <v>South Puget Sound</v>
      </c>
      <c r="N3290" s="110" t="str">
        <f>VLOOKUP($K3290,LUTs!$E$2:$H$14,4,)</f>
        <v>02South Puget Sound</v>
      </c>
      <c r="O3290" s="110">
        <v>4.93333333333333</v>
      </c>
      <c r="P3290" s="110">
        <v>42.130666666666599</v>
      </c>
      <c r="Q3290" s="110">
        <f>SUMIFS('FW_Steelhead_by_Month_2010-2021'!Q$2:Q$3810,'FW_Steelhead_by_Month_2010-2021'!$B$2:$B$3810,'Rec_raw_catch_effort_2010-2021'!$B3290,'FW_Steelhead_by_Month_2010-2021'!$H$2:$H$3810,'Rec_raw_catch_effort_2010-2021'!$F3290,'FW_Steelhead_by_Month_2010-2021'!$M$2:$M$3810,'Rec_raw_catch_effort_2010-2021'!$K3290)</f>
        <v>2</v>
      </c>
      <c r="R3290" s="111">
        <f>VLOOKUP(B3290,Readme!$A$62:$C$74,3,)*Q3290</f>
        <v>41.854474649758586</v>
      </c>
      <c r="S3290" s="140" t="str">
        <f t="shared" si="249"/>
        <v>Y</v>
      </c>
      <c r="T3290" s="154">
        <f t="shared" si="250"/>
        <v>8.539999999999992</v>
      </c>
      <c r="U3290" s="154">
        <f t="shared" si="251"/>
        <v>20.927237324879293</v>
      </c>
    </row>
    <row r="3291" spans="1:21" x14ac:dyDescent="0.35">
      <c r="A3291" s="110">
        <v>3605</v>
      </c>
      <c r="B3291" s="110">
        <v>2014</v>
      </c>
      <c r="C3291" s="110" t="s">
        <v>38</v>
      </c>
      <c r="D3291" s="110" t="s">
        <v>143</v>
      </c>
      <c r="E3291" s="110" t="s">
        <v>86</v>
      </c>
      <c r="F3291" s="117">
        <v>830</v>
      </c>
      <c r="G3291" s="110" t="s">
        <v>60</v>
      </c>
      <c r="H3291" s="110" t="str">
        <f t="shared" si="248"/>
        <v>Skagit River</v>
      </c>
      <c r="I3291" s="110" t="str">
        <f>IFERROR(VLOOKUP(H3291,LUTs!$A$1:$C$73,2,FALSE),"NA")</f>
        <v>Skagit/Whatcom</v>
      </c>
      <c r="J3291" s="110" t="str">
        <f>IFERROR(VLOOKUP(H3291,LUTs!$A$1:$C$73,3,FALSE),"NA")</f>
        <v>2Central Puget Sound</v>
      </c>
      <c r="K3291" s="110" t="s">
        <v>26</v>
      </c>
      <c r="L3291" s="110" t="str">
        <f>VLOOKUP(K3291,LUTs!E$2:G$14,3,)</f>
        <v>20Other</v>
      </c>
      <c r="M3291" s="110" t="str">
        <f>VLOOKUP($K3291,LUTs!$E$2:$H$14,2,)</f>
        <v>Non Puget Sound</v>
      </c>
      <c r="N3291" s="110" t="str">
        <f>VLOOKUP($K3291,LUTs!$E$2:$H$14,4,)</f>
        <v>07Non Puget Sound</v>
      </c>
      <c r="O3291" s="110">
        <v>2.4666666666666699</v>
      </c>
      <c r="P3291" s="110">
        <v>21.065333333333399</v>
      </c>
      <c r="Q3291" s="110">
        <f>SUMIFS('FW_Steelhead_by_Month_2010-2021'!Q$2:Q$3810,'FW_Steelhead_by_Month_2010-2021'!$B$2:$B$3810,'Rec_raw_catch_effort_2010-2021'!$B3291,'FW_Steelhead_by_Month_2010-2021'!$H$2:$H$3810,'Rec_raw_catch_effort_2010-2021'!$F3291,'FW_Steelhead_by_Month_2010-2021'!$M$2:$M$3810,'Rec_raw_catch_effort_2010-2021'!$K3291)</f>
        <v>3.25</v>
      </c>
      <c r="R3291" s="111">
        <f>VLOOKUP(B3291,Readme!$A$62:$C$74,3,)*Q3291</f>
        <v>68.013521305857708</v>
      </c>
      <c r="S3291" s="140" t="str">
        <f t="shared" si="249"/>
        <v>Y</v>
      </c>
      <c r="T3291" s="154">
        <f t="shared" si="250"/>
        <v>8.5400000000000151</v>
      </c>
      <c r="U3291" s="154">
        <f t="shared" si="251"/>
        <v>20.927237324879293</v>
      </c>
    </row>
    <row r="3292" spans="1:21" x14ac:dyDescent="0.35">
      <c r="A3292" s="110">
        <v>3553</v>
      </c>
      <c r="B3292" s="110">
        <v>2014</v>
      </c>
      <c r="C3292" s="110" t="s">
        <v>38</v>
      </c>
      <c r="D3292" s="110" t="s">
        <v>143</v>
      </c>
      <c r="E3292" s="110" t="s">
        <v>86</v>
      </c>
      <c r="F3292" s="117">
        <v>830</v>
      </c>
      <c r="G3292" s="110" t="s">
        <v>60</v>
      </c>
      <c r="H3292" s="110" t="str">
        <f t="shared" si="248"/>
        <v>Skagit River</v>
      </c>
      <c r="I3292" s="110" t="str">
        <f>IFERROR(VLOOKUP(H3292,LUTs!$A$1:$C$73,2,FALSE),"NA")</f>
        <v>Skagit/Whatcom</v>
      </c>
      <c r="J3292" s="110" t="str">
        <f>IFERROR(VLOOKUP(H3292,LUTs!$A$1:$C$73,3,FALSE),"NA")</f>
        <v>2Central Puget Sound</v>
      </c>
      <c r="K3292" s="110" t="s">
        <v>15</v>
      </c>
      <c r="L3292" s="110" t="str">
        <f>VLOOKUP(K3292,LUTs!E$2:G$14,3,)</f>
        <v>02Skagit</v>
      </c>
      <c r="M3292" s="110" t="str">
        <f>VLOOKUP($K3292,LUTs!$E$2:$H$14,2,)</f>
        <v>North Puget Sound</v>
      </c>
      <c r="N3292" s="110" t="str">
        <f>VLOOKUP($K3292,LUTs!$E$2:$H$14,4,)</f>
        <v>01North Puget Sound</v>
      </c>
      <c r="O3292" s="110">
        <v>17.266666666666701</v>
      </c>
      <c r="P3292" s="110">
        <v>147.45733333333399</v>
      </c>
      <c r="Q3292" s="110">
        <f>SUMIFS('FW_Steelhead_by_Month_2010-2021'!Q$2:Q$3810,'FW_Steelhead_by_Month_2010-2021'!$B$2:$B$3810,'Rec_raw_catch_effort_2010-2021'!$B3292,'FW_Steelhead_by_Month_2010-2021'!$H$2:$H$3810,'Rec_raw_catch_effort_2010-2021'!$F3292,'FW_Steelhead_by_Month_2010-2021'!$M$2:$M$3810,'Rec_raw_catch_effort_2010-2021'!$K3292)</f>
        <v>34.75</v>
      </c>
      <c r="R3292" s="111">
        <f>VLOOKUP(B3292,Readme!$A$62:$C$74,3,)*Q3292</f>
        <v>727.2214970395554</v>
      </c>
      <c r="S3292" s="140" t="str">
        <f t="shared" si="249"/>
        <v>Y</v>
      </c>
      <c r="T3292" s="154">
        <f t="shared" si="250"/>
        <v>8.5400000000000205</v>
      </c>
      <c r="U3292" s="154">
        <f t="shared" si="251"/>
        <v>20.927237324879293</v>
      </c>
    </row>
    <row r="3293" spans="1:21" x14ac:dyDescent="0.35">
      <c r="A3293" s="110">
        <v>3552</v>
      </c>
      <c r="B3293" s="110">
        <v>2014</v>
      </c>
      <c r="C3293" s="110" t="s">
        <v>38</v>
      </c>
      <c r="D3293" s="110" t="s">
        <v>143</v>
      </c>
      <c r="E3293" s="110" t="s">
        <v>86</v>
      </c>
      <c r="F3293" s="117">
        <v>830</v>
      </c>
      <c r="G3293" s="110" t="s">
        <v>60</v>
      </c>
      <c r="H3293" s="110" t="str">
        <f t="shared" si="248"/>
        <v>Skagit River</v>
      </c>
      <c r="I3293" s="110" t="str">
        <f>IFERROR(VLOOKUP(H3293,LUTs!$A$1:$C$73,2,FALSE),"NA")</f>
        <v>Skagit/Whatcom</v>
      </c>
      <c r="J3293" s="110" t="str">
        <f>IFERROR(VLOOKUP(H3293,LUTs!$A$1:$C$73,3,FALSE),"NA")</f>
        <v>2Central Puget Sound</v>
      </c>
      <c r="K3293" s="110" t="s">
        <v>13</v>
      </c>
      <c r="L3293" s="110" t="str">
        <f>VLOOKUP(K3293,LUTs!E$2:G$14,3,)</f>
        <v>01Whatcom</v>
      </c>
      <c r="M3293" s="110" t="str">
        <f>VLOOKUP($K3293,LUTs!$E$2:$H$14,2,)</f>
        <v>North Puget Sound</v>
      </c>
      <c r="N3293" s="110" t="str">
        <f>VLOOKUP($K3293,LUTs!$E$2:$H$14,4,)</f>
        <v>01North Puget Sound</v>
      </c>
      <c r="O3293" s="110">
        <v>4.93333333333333</v>
      </c>
      <c r="P3293" s="110">
        <v>42.130666666666599</v>
      </c>
      <c r="Q3293" s="110">
        <f>SUMIFS('FW_Steelhead_by_Month_2010-2021'!Q$2:Q$3810,'FW_Steelhead_by_Month_2010-2021'!$B$2:$B$3810,'Rec_raw_catch_effort_2010-2021'!$B3293,'FW_Steelhead_by_Month_2010-2021'!$H$2:$H$3810,'Rec_raw_catch_effort_2010-2021'!$F3293,'FW_Steelhead_by_Month_2010-2021'!$M$2:$M$3810,'Rec_raw_catch_effort_2010-2021'!$K3293)</f>
        <v>4</v>
      </c>
      <c r="R3293" s="111">
        <f>VLOOKUP(B3293,Readme!$A$62:$C$74,3,)*Q3293</f>
        <v>83.708949299517172</v>
      </c>
      <c r="S3293" s="140" t="str">
        <f t="shared" si="249"/>
        <v>Y</v>
      </c>
      <c r="T3293" s="154">
        <f t="shared" si="250"/>
        <v>8.539999999999992</v>
      </c>
      <c r="U3293" s="154">
        <f t="shared" si="251"/>
        <v>20.927237324879293</v>
      </c>
    </row>
    <row r="3294" spans="1:21" x14ac:dyDescent="0.35">
      <c r="A3294" s="110">
        <v>3606</v>
      </c>
      <c r="B3294" s="110">
        <v>2015</v>
      </c>
      <c r="C3294" s="110" t="s">
        <v>38</v>
      </c>
      <c r="D3294" s="110" t="s">
        <v>143</v>
      </c>
      <c r="E3294" s="110" t="s">
        <v>86</v>
      </c>
      <c r="F3294" s="117">
        <v>830</v>
      </c>
      <c r="G3294" s="110" t="s">
        <v>60</v>
      </c>
      <c r="H3294" s="110" t="str">
        <f t="shared" si="248"/>
        <v>Skagit River</v>
      </c>
      <c r="I3294" s="110" t="str">
        <f>IFERROR(VLOOKUP(H3294,LUTs!$A$1:$C$73,2,FALSE),"NA")</f>
        <v>Skagit/Whatcom</v>
      </c>
      <c r="J3294" s="110" t="str">
        <f>IFERROR(VLOOKUP(H3294,LUTs!$A$1:$C$73,3,FALSE),"NA")</f>
        <v>2Central Puget Sound</v>
      </c>
      <c r="K3294" s="110" t="s">
        <v>16</v>
      </c>
      <c r="L3294" s="110" t="str">
        <f>VLOOKUP(K3294,LUTs!E$2:G$14,3,)</f>
        <v>03Snohomish</v>
      </c>
      <c r="M3294" s="110" t="str">
        <f>VLOOKUP($K3294,LUTs!$E$2:$H$14,2,)</f>
        <v>North Puget Sound</v>
      </c>
      <c r="N3294" s="110" t="str">
        <f>VLOOKUP($K3294,LUTs!$E$2:$H$14,4,)</f>
        <v>01North Puget Sound</v>
      </c>
      <c r="O3294" s="110">
        <v>20</v>
      </c>
      <c r="P3294" s="110">
        <v>371</v>
      </c>
      <c r="Q3294" s="110">
        <f>SUMIFS('FW_Steelhead_by_Month_2010-2021'!Q$2:Q$3810,'FW_Steelhead_by_Month_2010-2021'!$B$2:$B$3810,'Rec_raw_catch_effort_2010-2021'!$B3294,'FW_Steelhead_by_Month_2010-2021'!$H$2:$H$3810,'Rec_raw_catch_effort_2010-2021'!$F3294,'FW_Steelhead_by_Month_2010-2021'!$M$2:$M$3810,'Rec_raw_catch_effort_2010-2021'!$K3294)</f>
        <v>7</v>
      </c>
      <c r="R3294" s="111">
        <f>VLOOKUP(B3294,Readme!$A$62:$C$74,3,)*Q3294</f>
        <v>146.49066127415506</v>
      </c>
      <c r="S3294" s="140" t="str">
        <f t="shared" si="249"/>
        <v>Y</v>
      </c>
      <c r="T3294" s="154">
        <f t="shared" si="250"/>
        <v>18.55</v>
      </c>
      <c r="U3294" s="154">
        <f t="shared" si="251"/>
        <v>20.927237324879293</v>
      </c>
    </row>
    <row r="3295" spans="1:21" x14ac:dyDescent="0.35">
      <c r="A3295" s="110">
        <v>1365</v>
      </c>
      <c r="B3295" s="110">
        <v>2016</v>
      </c>
      <c r="C3295" s="110" t="s">
        <v>38</v>
      </c>
      <c r="D3295" s="110" t="s">
        <v>143</v>
      </c>
      <c r="E3295" s="110" t="s">
        <v>86</v>
      </c>
      <c r="F3295" s="117">
        <v>830</v>
      </c>
      <c r="G3295" s="110" t="s">
        <v>60</v>
      </c>
      <c r="H3295" s="110" t="str">
        <f t="shared" si="248"/>
        <v>Skagit River</v>
      </c>
      <c r="I3295" s="110" t="str">
        <f>IFERROR(VLOOKUP(H3295,LUTs!$A$1:$C$73,2,FALSE),"NA")</f>
        <v>Skagit/Whatcom</v>
      </c>
      <c r="J3295" s="110" t="str">
        <f>IFERROR(VLOOKUP(H3295,LUTs!$A$1:$C$73,3,FALSE),"NA")</f>
        <v>2Central Puget Sound</v>
      </c>
      <c r="K3295" s="110" t="s">
        <v>18</v>
      </c>
      <c r="L3295" s="110" t="str">
        <f>VLOOKUP(K3295,LUTs!E$2:G$14,3,)</f>
        <v>06King</v>
      </c>
      <c r="M3295" s="110" t="str">
        <f>VLOOKUP($K3295,LUTs!$E$2:$H$14,2,)</f>
        <v>South Puget Sound</v>
      </c>
      <c r="N3295" s="110" t="str">
        <f>VLOOKUP($K3295,LUTs!$E$2:$H$14,4,)</f>
        <v>02South Puget Sound</v>
      </c>
      <c r="O3295" s="110">
        <v>5.4</v>
      </c>
      <c r="P3295" s="110">
        <v>46.116</v>
      </c>
      <c r="Q3295" s="110">
        <f>SUMIFS('FW_Steelhead_by_Month_2010-2021'!Q$2:Q$3810,'FW_Steelhead_by_Month_2010-2021'!$B$2:$B$3810,'Rec_raw_catch_effort_2010-2021'!$B3295,'FW_Steelhead_by_Month_2010-2021'!$H$2:$H$3810,'Rec_raw_catch_effort_2010-2021'!$F3295,'FW_Steelhead_by_Month_2010-2021'!$M$2:$M$3810,'Rec_raw_catch_effort_2010-2021'!$K3295)</f>
        <v>0</v>
      </c>
      <c r="R3295" s="111">
        <f>VLOOKUP(B3295,Readme!$A$62:$C$74,3,)*Q3295</f>
        <v>0</v>
      </c>
      <c r="S3295" s="140" t="str">
        <f t="shared" si="249"/>
        <v>Y</v>
      </c>
      <c r="T3295" s="154">
        <f t="shared" si="250"/>
        <v>8.5399999999999991</v>
      </c>
      <c r="U3295" s="154" t="str">
        <f t="shared" si="251"/>
        <v>NA</v>
      </c>
    </row>
    <row r="3296" spans="1:21" x14ac:dyDescent="0.35">
      <c r="A3296" s="110">
        <v>1366</v>
      </c>
      <c r="B3296" s="110">
        <v>2016</v>
      </c>
      <c r="C3296" s="110" t="s">
        <v>38</v>
      </c>
      <c r="D3296" s="110" t="s">
        <v>143</v>
      </c>
      <c r="E3296" s="110" t="s">
        <v>86</v>
      </c>
      <c r="F3296" s="117">
        <v>830</v>
      </c>
      <c r="G3296" s="110" t="s">
        <v>60</v>
      </c>
      <c r="H3296" s="110" t="str">
        <f t="shared" si="248"/>
        <v>Skagit River</v>
      </c>
      <c r="I3296" s="110" t="str">
        <f>IFERROR(VLOOKUP(H3296,LUTs!$A$1:$C$73,2,FALSE),"NA")</f>
        <v>Skagit/Whatcom</v>
      </c>
      <c r="J3296" s="110" t="str">
        <f>IFERROR(VLOOKUP(H3296,LUTs!$A$1:$C$73,3,FALSE),"NA")</f>
        <v>2Central Puget Sound</v>
      </c>
      <c r="K3296" s="110" t="s">
        <v>26</v>
      </c>
      <c r="L3296" s="110" t="str">
        <f>VLOOKUP(K3296,LUTs!E$2:G$14,3,)</f>
        <v>20Other</v>
      </c>
      <c r="M3296" s="110" t="str">
        <f>VLOOKUP($K3296,LUTs!$E$2:$H$14,2,)</f>
        <v>Non Puget Sound</v>
      </c>
      <c r="N3296" s="110" t="str">
        <f>VLOOKUP($K3296,LUTs!$E$2:$H$14,4,)</f>
        <v>07Non Puget Sound</v>
      </c>
      <c r="O3296" s="110">
        <v>10.8</v>
      </c>
      <c r="P3296" s="110">
        <v>92.231999999999999</v>
      </c>
      <c r="Q3296" s="110">
        <f>SUMIFS('FW_Steelhead_by_Month_2010-2021'!Q$2:Q$3810,'FW_Steelhead_by_Month_2010-2021'!$B$2:$B$3810,'Rec_raw_catch_effort_2010-2021'!$B3296,'FW_Steelhead_by_Month_2010-2021'!$H$2:$H$3810,'Rec_raw_catch_effort_2010-2021'!$F3296,'FW_Steelhead_by_Month_2010-2021'!$M$2:$M$3810,'Rec_raw_catch_effort_2010-2021'!$K3296)</f>
        <v>14</v>
      </c>
      <c r="R3296" s="111">
        <f>VLOOKUP(B3296,Readme!$A$62:$C$74,3,)*Q3296</f>
        <v>292.98132254831012</v>
      </c>
      <c r="S3296" s="140" t="str">
        <f t="shared" si="249"/>
        <v>Y</v>
      </c>
      <c r="T3296" s="154">
        <f t="shared" si="250"/>
        <v>8.5399999999999991</v>
      </c>
      <c r="U3296" s="154">
        <f t="shared" si="251"/>
        <v>20.927237324879293</v>
      </c>
    </row>
    <row r="3297" spans="1:21" x14ac:dyDescent="0.35">
      <c r="A3297" s="110">
        <v>3676</v>
      </c>
      <c r="B3297" s="110">
        <v>2016</v>
      </c>
      <c r="C3297" s="110" t="s">
        <v>38</v>
      </c>
      <c r="D3297" s="110" t="s">
        <v>143</v>
      </c>
      <c r="E3297" s="110" t="s">
        <v>86</v>
      </c>
      <c r="F3297" s="117">
        <v>830</v>
      </c>
      <c r="G3297" s="110" t="s">
        <v>60</v>
      </c>
      <c r="H3297" s="110" t="str">
        <f t="shared" si="248"/>
        <v>Skagit River</v>
      </c>
      <c r="I3297" s="110" t="str">
        <f>IFERROR(VLOOKUP(H3297,LUTs!$A$1:$C$73,2,FALSE),"NA")</f>
        <v>Skagit/Whatcom</v>
      </c>
      <c r="J3297" s="110" t="str">
        <f>IFERROR(VLOOKUP(H3297,LUTs!$A$1:$C$73,3,FALSE),"NA")</f>
        <v>2Central Puget Sound</v>
      </c>
      <c r="K3297" s="110" t="s">
        <v>15</v>
      </c>
      <c r="L3297" s="110" t="str">
        <f>VLOOKUP(K3297,LUTs!E$2:G$14,3,)</f>
        <v>02Skagit</v>
      </c>
      <c r="M3297" s="110" t="str">
        <f>VLOOKUP($K3297,LUTs!$E$2:$H$14,2,)</f>
        <v>North Puget Sound</v>
      </c>
      <c r="N3297" s="110" t="str">
        <f>VLOOKUP($K3297,LUTs!$E$2:$H$14,4,)</f>
        <v>01North Puget Sound</v>
      </c>
      <c r="O3297" s="110">
        <v>5.4</v>
      </c>
      <c r="P3297" s="110">
        <v>46.116</v>
      </c>
      <c r="Q3297" s="110">
        <f>SUMIFS('FW_Steelhead_by_Month_2010-2021'!Q$2:Q$3810,'FW_Steelhead_by_Month_2010-2021'!$B$2:$B$3810,'Rec_raw_catch_effort_2010-2021'!$B3297,'FW_Steelhead_by_Month_2010-2021'!$H$2:$H$3810,'Rec_raw_catch_effort_2010-2021'!$F3297,'FW_Steelhead_by_Month_2010-2021'!$M$2:$M$3810,'Rec_raw_catch_effort_2010-2021'!$K3297)</f>
        <v>6.5</v>
      </c>
      <c r="R3297" s="111">
        <f>VLOOKUP(B3297,Readme!$A$62:$C$74,3,)*Q3297</f>
        <v>136.02704261171542</v>
      </c>
      <c r="S3297" s="140" t="str">
        <f t="shared" si="249"/>
        <v>Y</v>
      </c>
      <c r="T3297" s="154">
        <f t="shared" si="250"/>
        <v>8.5399999999999991</v>
      </c>
      <c r="U3297" s="154">
        <f t="shared" si="251"/>
        <v>20.927237324879293</v>
      </c>
    </row>
    <row r="3298" spans="1:21" x14ac:dyDescent="0.35">
      <c r="A3298" s="110">
        <v>3677</v>
      </c>
      <c r="B3298" s="110">
        <v>2016</v>
      </c>
      <c r="C3298" s="110" t="s">
        <v>38</v>
      </c>
      <c r="D3298" s="110" t="s">
        <v>143</v>
      </c>
      <c r="E3298" s="110" t="s">
        <v>86</v>
      </c>
      <c r="F3298" s="117">
        <v>830</v>
      </c>
      <c r="G3298" s="110" t="s">
        <v>60</v>
      </c>
      <c r="H3298" s="110" t="str">
        <f t="shared" si="248"/>
        <v>Skagit River</v>
      </c>
      <c r="I3298" s="110" t="str">
        <f>IFERROR(VLOOKUP(H3298,LUTs!$A$1:$C$73,2,FALSE),"NA")</f>
        <v>Skagit/Whatcom</v>
      </c>
      <c r="J3298" s="110" t="str">
        <f>IFERROR(VLOOKUP(H3298,LUTs!$A$1:$C$73,3,FALSE),"NA")</f>
        <v>2Central Puget Sound</v>
      </c>
      <c r="K3298" s="110" t="s">
        <v>16</v>
      </c>
      <c r="L3298" s="110" t="str">
        <f>VLOOKUP(K3298,LUTs!E$2:G$14,3,)</f>
        <v>03Snohomish</v>
      </c>
      <c r="M3298" s="110" t="str">
        <f>VLOOKUP($K3298,LUTs!$E$2:$H$14,2,)</f>
        <v>North Puget Sound</v>
      </c>
      <c r="N3298" s="110" t="str">
        <f>VLOOKUP($K3298,LUTs!$E$2:$H$14,4,)</f>
        <v>01North Puget Sound</v>
      </c>
      <c r="O3298" s="110">
        <v>5.4</v>
      </c>
      <c r="P3298" s="110">
        <v>46.116</v>
      </c>
      <c r="Q3298" s="110">
        <f>SUMIFS('FW_Steelhead_by_Month_2010-2021'!Q$2:Q$3810,'FW_Steelhead_by_Month_2010-2021'!$B$2:$B$3810,'Rec_raw_catch_effort_2010-2021'!$B3298,'FW_Steelhead_by_Month_2010-2021'!$H$2:$H$3810,'Rec_raw_catch_effort_2010-2021'!$F3298,'FW_Steelhead_by_Month_2010-2021'!$M$2:$M$3810,'Rec_raw_catch_effort_2010-2021'!$K3298)</f>
        <v>3.25</v>
      </c>
      <c r="R3298" s="111">
        <f>VLOOKUP(B3298,Readme!$A$62:$C$74,3,)*Q3298</f>
        <v>68.013521305857708</v>
      </c>
      <c r="S3298" s="140" t="str">
        <f t="shared" si="249"/>
        <v>Y</v>
      </c>
      <c r="T3298" s="154">
        <f t="shared" si="250"/>
        <v>8.5399999999999991</v>
      </c>
      <c r="U3298" s="154">
        <f t="shared" si="251"/>
        <v>20.927237324879293</v>
      </c>
    </row>
    <row r="3299" spans="1:21" x14ac:dyDescent="0.35">
      <c r="A3299" s="110">
        <v>1369</v>
      </c>
      <c r="B3299" s="110">
        <v>2017</v>
      </c>
      <c r="C3299" s="110" t="s">
        <v>38</v>
      </c>
      <c r="D3299" s="110" t="s">
        <v>143</v>
      </c>
      <c r="E3299" s="110" t="s">
        <v>86</v>
      </c>
      <c r="F3299" s="117">
        <v>830</v>
      </c>
      <c r="G3299" s="110" t="s">
        <v>60</v>
      </c>
      <c r="H3299" s="110" t="str">
        <f t="shared" si="248"/>
        <v>Skagit River</v>
      </c>
      <c r="I3299" s="110" t="str">
        <f>IFERROR(VLOOKUP(H3299,LUTs!$A$1:$C$73,2,FALSE),"NA")</f>
        <v>Skagit/Whatcom</v>
      </c>
      <c r="J3299" s="110" t="str">
        <f>IFERROR(VLOOKUP(H3299,LUTs!$A$1:$C$73,3,FALSE),"NA")</f>
        <v>2Central Puget Sound</v>
      </c>
      <c r="K3299" s="110" t="s">
        <v>18</v>
      </c>
      <c r="L3299" s="110" t="str">
        <f>VLOOKUP(K3299,LUTs!E$2:G$14,3,)</f>
        <v>06King</v>
      </c>
      <c r="M3299" s="110" t="str">
        <f>VLOOKUP($K3299,LUTs!$E$2:$H$14,2,)</f>
        <v>South Puget Sound</v>
      </c>
      <c r="N3299" s="110" t="str">
        <f>VLOOKUP($K3299,LUTs!$E$2:$H$14,4,)</f>
        <v>02South Puget Sound</v>
      </c>
      <c r="O3299" s="110">
        <v>10.6666666666667</v>
      </c>
      <c r="P3299" s="110">
        <v>197.86666666666699</v>
      </c>
      <c r="Q3299" s="110">
        <f>SUMIFS('FW_Steelhead_by_Month_2010-2021'!Q$2:Q$3810,'FW_Steelhead_by_Month_2010-2021'!$B$2:$B$3810,'Rec_raw_catch_effort_2010-2021'!$B3299,'FW_Steelhead_by_Month_2010-2021'!$H$2:$H$3810,'Rec_raw_catch_effort_2010-2021'!$F3299,'FW_Steelhead_by_Month_2010-2021'!$M$2:$M$3810,'Rec_raw_catch_effort_2010-2021'!$K3299)</f>
        <v>12</v>
      </c>
      <c r="R3299" s="111">
        <f>VLOOKUP(B3299,Readme!$A$62:$C$74,3,)*Q3299</f>
        <v>251.12684789855152</v>
      </c>
      <c r="S3299" s="140" t="str">
        <f t="shared" si="249"/>
        <v>Y</v>
      </c>
      <c r="T3299" s="154">
        <f t="shared" si="250"/>
        <v>18.549999999999972</v>
      </c>
      <c r="U3299" s="154">
        <f t="shared" si="251"/>
        <v>20.927237324879293</v>
      </c>
    </row>
    <row r="3300" spans="1:21" x14ac:dyDescent="0.35">
      <c r="A3300" s="110">
        <v>1367</v>
      </c>
      <c r="B3300" s="110">
        <v>2017</v>
      </c>
      <c r="C3300" s="110" t="s">
        <v>38</v>
      </c>
      <c r="D3300" s="110" t="s">
        <v>143</v>
      </c>
      <c r="E3300" s="110" t="s">
        <v>86</v>
      </c>
      <c r="F3300" s="117">
        <v>830</v>
      </c>
      <c r="G3300" s="110" t="s">
        <v>60</v>
      </c>
      <c r="H3300" s="110" t="str">
        <f t="shared" si="248"/>
        <v>Skagit River</v>
      </c>
      <c r="I3300" s="110" t="str">
        <f>IFERROR(VLOOKUP(H3300,LUTs!$A$1:$C$73,2,FALSE),"NA")</f>
        <v>Skagit/Whatcom</v>
      </c>
      <c r="J3300" s="110" t="str">
        <f>IFERROR(VLOOKUP(H3300,LUTs!$A$1:$C$73,3,FALSE),"NA")</f>
        <v>2Central Puget Sound</v>
      </c>
      <c r="K3300" s="110" t="s">
        <v>15</v>
      </c>
      <c r="L3300" s="110" t="str">
        <f>VLOOKUP(K3300,LUTs!E$2:G$14,3,)</f>
        <v>02Skagit</v>
      </c>
      <c r="M3300" s="110" t="str">
        <f>VLOOKUP($K3300,LUTs!$E$2:$H$14,2,)</f>
        <v>North Puget Sound</v>
      </c>
      <c r="N3300" s="110" t="str">
        <f>VLOOKUP($K3300,LUTs!$E$2:$H$14,4,)</f>
        <v>01North Puget Sound</v>
      </c>
      <c r="O3300" s="110">
        <v>10.6666666666667</v>
      </c>
      <c r="P3300" s="110">
        <v>197.86666666666699</v>
      </c>
      <c r="Q3300" s="110">
        <f>SUMIFS('FW_Steelhead_by_Month_2010-2021'!Q$2:Q$3810,'FW_Steelhead_by_Month_2010-2021'!$B$2:$B$3810,'Rec_raw_catch_effort_2010-2021'!$B3300,'FW_Steelhead_by_Month_2010-2021'!$H$2:$H$3810,'Rec_raw_catch_effort_2010-2021'!$F3300,'FW_Steelhead_by_Month_2010-2021'!$M$2:$M$3810,'Rec_raw_catch_effort_2010-2021'!$K3300)</f>
        <v>6.5</v>
      </c>
      <c r="R3300" s="111">
        <f>VLOOKUP(B3300,Readme!$A$62:$C$74,3,)*Q3300</f>
        <v>136.02704261171542</v>
      </c>
      <c r="S3300" s="140" t="str">
        <f t="shared" si="249"/>
        <v>Y</v>
      </c>
      <c r="T3300" s="154">
        <f t="shared" si="250"/>
        <v>18.549999999999972</v>
      </c>
      <c r="U3300" s="154">
        <f t="shared" si="251"/>
        <v>20.927237324879293</v>
      </c>
    </row>
    <row r="3301" spans="1:21" x14ac:dyDescent="0.35">
      <c r="A3301" s="110">
        <v>1368</v>
      </c>
      <c r="B3301" s="110">
        <v>2017</v>
      </c>
      <c r="C3301" s="110" t="s">
        <v>38</v>
      </c>
      <c r="D3301" s="110" t="s">
        <v>143</v>
      </c>
      <c r="E3301" s="110" t="s">
        <v>86</v>
      </c>
      <c r="F3301" s="117">
        <v>830</v>
      </c>
      <c r="G3301" s="110" t="s">
        <v>60</v>
      </c>
      <c r="H3301" s="110" t="str">
        <f t="shared" si="248"/>
        <v>Skagit River</v>
      </c>
      <c r="I3301" s="110" t="str">
        <f>IFERROR(VLOOKUP(H3301,LUTs!$A$1:$C$73,2,FALSE),"NA")</f>
        <v>Skagit/Whatcom</v>
      </c>
      <c r="J3301" s="110" t="str">
        <f>IFERROR(VLOOKUP(H3301,LUTs!$A$1:$C$73,3,FALSE),"NA")</f>
        <v>2Central Puget Sound</v>
      </c>
      <c r="K3301" s="110" t="s">
        <v>16</v>
      </c>
      <c r="L3301" s="110" t="str">
        <f>VLOOKUP(K3301,LUTs!E$2:G$14,3,)</f>
        <v>03Snohomish</v>
      </c>
      <c r="M3301" s="110" t="str">
        <f>VLOOKUP($K3301,LUTs!$E$2:$H$14,2,)</f>
        <v>North Puget Sound</v>
      </c>
      <c r="N3301" s="110" t="str">
        <f>VLOOKUP($K3301,LUTs!$E$2:$H$14,4,)</f>
        <v>01North Puget Sound</v>
      </c>
      <c r="O3301" s="110">
        <v>10.6666666666667</v>
      </c>
      <c r="P3301" s="110">
        <v>197.86666666666699</v>
      </c>
      <c r="Q3301" s="110">
        <f>SUMIFS('FW_Steelhead_by_Month_2010-2021'!Q$2:Q$3810,'FW_Steelhead_by_Month_2010-2021'!$B$2:$B$3810,'Rec_raw_catch_effort_2010-2021'!$B3301,'FW_Steelhead_by_Month_2010-2021'!$H$2:$H$3810,'Rec_raw_catch_effort_2010-2021'!$F3301,'FW_Steelhead_by_Month_2010-2021'!$M$2:$M$3810,'Rec_raw_catch_effort_2010-2021'!$K3301)</f>
        <v>5.5</v>
      </c>
      <c r="R3301" s="111">
        <f>VLOOKUP(B3301,Readme!$A$62:$C$74,3,)*Q3301</f>
        <v>115.09980528683612</v>
      </c>
      <c r="S3301" s="140" t="str">
        <f t="shared" si="249"/>
        <v>Y</v>
      </c>
      <c r="T3301" s="154">
        <f t="shared" si="250"/>
        <v>18.549999999999972</v>
      </c>
      <c r="U3301" s="154">
        <f t="shared" si="251"/>
        <v>20.927237324879293</v>
      </c>
    </row>
    <row r="3302" spans="1:21" x14ac:dyDescent="0.35">
      <c r="A3302" s="110">
        <v>1372</v>
      </c>
      <c r="B3302" s="110">
        <v>2018</v>
      </c>
      <c r="C3302" s="110" t="s">
        <v>38</v>
      </c>
      <c r="D3302" s="110" t="s">
        <v>143</v>
      </c>
      <c r="E3302" s="110" t="s">
        <v>86</v>
      </c>
      <c r="F3302" s="117">
        <v>830</v>
      </c>
      <c r="G3302" s="110" t="s">
        <v>60</v>
      </c>
      <c r="H3302" s="110" t="str">
        <f t="shared" si="248"/>
        <v>Skagit River</v>
      </c>
      <c r="I3302" s="110" t="str">
        <f>IFERROR(VLOOKUP(H3302,LUTs!$A$1:$C$73,2,FALSE),"NA")</f>
        <v>Skagit/Whatcom</v>
      </c>
      <c r="J3302" s="110" t="str">
        <f>IFERROR(VLOOKUP(H3302,LUTs!$A$1:$C$73,3,FALSE),"NA")</f>
        <v>2Central Puget Sound</v>
      </c>
      <c r="K3302" s="110" t="s">
        <v>18</v>
      </c>
      <c r="L3302" s="110" t="str">
        <f>VLOOKUP(K3302,LUTs!E$2:G$14,3,)</f>
        <v>06King</v>
      </c>
      <c r="M3302" s="110" t="str">
        <f>VLOOKUP($K3302,LUTs!$E$2:$H$14,2,)</f>
        <v>South Puget Sound</v>
      </c>
      <c r="N3302" s="110" t="str">
        <f>VLOOKUP($K3302,LUTs!$E$2:$H$14,4,)</f>
        <v>02South Puget Sound</v>
      </c>
      <c r="O3302" s="110">
        <v>20</v>
      </c>
      <c r="P3302" s="110">
        <v>170.8</v>
      </c>
      <c r="Q3302" s="110">
        <f>SUMIFS('FW_Steelhead_by_Month_2010-2021'!Q$2:Q$3810,'FW_Steelhead_by_Month_2010-2021'!$B$2:$B$3810,'Rec_raw_catch_effort_2010-2021'!$B3302,'FW_Steelhead_by_Month_2010-2021'!$H$2:$H$3810,'Rec_raw_catch_effort_2010-2021'!$F3302,'FW_Steelhead_by_Month_2010-2021'!$M$2:$M$3810,'Rec_raw_catch_effort_2010-2021'!$K3302)</f>
        <v>3</v>
      </c>
      <c r="R3302" s="111">
        <f>VLOOKUP(B3302,Readme!$A$62:$C$74,3,)*Q3302</f>
        <v>62.781711974637879</v>
      </c>
      <c r="S3302" s="140" t="str">
        <f t="shared" si="249"/>
        <v>Y</v>
      </c>
      <c r="T3302" s="154">
        <f t="shared" si="250"/>
        <v>8.5400000000000009</v>
      </c>
      <c r="U3302" s="154">
        <f t="shared" si="251"/>
        <v>20.927237324879293</v>
      </c>
    </row>
    <row r="3303" spans="1:21" x14ac:dyDescent="0.35">
      <c r="A3303" s="110">
        <v>1370</v>
      </c>
      <c r="B3303" s="110">
        <v>2018</v>
      </c>
      <c r="C3303" s="110" t="s">
        <v>38</v>
      </c>
      <c r="D3303" s="110" t="s">
        <v>143</v>
      </c>
      <c r="E3303" s="110" t="s">
        <v>86</v>
      </c>
      <c r="F3303" s="117">
        <v>830</v>
      </c>
      <c r="G3303" s="110" t="s">
        <v>60</v>
      </c>
      <c r="H3303" s="110" t="str">
        <f t="shared" si="248"/>
        <v>Skagit River</v>
      </c>
      <c r="I3303" s="110" t="str">
        <f>IFERROR(VLOOKUP(H3303,LUTs!$A$1:$C$73,2,FALSE),"NA")</f>
        <v>Skagit/Whatcom</v>
      </c>
      <c r="J3303" s="110" t="str">
        <f>IFERROR(VLOOKUP(H3303,LUTs!$A$1:$C$73,3,FALSE),"NA")</f>
        <v>2Central Puget Sound</v>
      </c>
      <c r="K3303" s="110" t="s">
        <v>15</v>
      </c>
      <c r="L3303" s="110" t="str">
        <f>VLOOKUP(K3303,LUTs!E$2:G$14,3,)</f>
        <v>02Skagit</v>
      </c>
      <c r="M3303" s="110" t="str">
        <f>VLOOKUP($K3303,LUTs!$E$2:$H$14,2,)</f>
        <v>North Puget Sound</v>
      </c>
      <c r="N3303" s="110" t="str">
        <f>VLOOKUP($K3303,LUTs!$E$2:$H$14,4,)</f>
        <v>01North Puget Sound</v>
      </c>
      <c r="O3303" s="110">
        <v>10</v>
      </c>
      <c r="P3303" s="110">
        <v>85.4</v>
      </c>
      <c r="Q3303" s="110">
        <f>SUMIFS('FW_Steelhead_by_Month_2010-2021'!Q$2:Q$3810,'FW_Steelhead_by_Month_2010-2021'!$B$2:$B$3810,'Rec_raw_catch_effort_2010-2021'!$B3303,'FW_Steelhead_by_Month_2010-2021'!$H$2:$H$3810,'Rec_raw_catch_effort_2010-2021'!$F3303,'FW_Steelhead_by_Month_2010-2021'!$M$2:$M$3810,'Rec_raw_catch_effort_2010-2021'!$K3303)</f>
        <v>8</v>
      </c>
      <c r="R3303" s="111">
        <f>VLOOKUP(B3303,Readme!$A$62:$C$74,3,)*Q3303</f>
        <v>167.41789859903434</v>
      </c>
      <c r="S3303" s="140" t="str">
        <f t="shared" si="249"/>
        <v>Y</v>
      </c>
      <c r="T3303" s="154">
        <f t="shared" si="250"/>
        <v>8.5400000000000009</v>
      </c>
      <c r="U3303" s="154">
        <f t="shared" si="251"/>
        <v>20.927237324879293</v>
      </c>
    </row>
    <row r="3304" spans="1:21" x14ac:dyDescent="0.35">
      <c r="A3304" s="110">
        <v>1371</v>
      </c>
      <c r="B3304" s="110">
        <v>2018</v>
      </c>
      <c r="C3304" s="110" t="s">
        <v>38</v>
      </c>
      <c r="D3304" s="110" t="s">
        <v>143</v>
      </c>
      <c r="E3304" s="110" t="s">
        <v>86</v>
      </c>
      <c r="F3304" s="117">
        <v>830</v>
      </c>
      <c r="G3304" s="110" t="s">
        <v>60</v>
      </c>
      <c r="H3304" s="110" t="str">
        <f t="shared" si="248"/>
        <v>Skagit River</v>
      </c>
      <c r="I3304" s="110" t="str">
        <f>IFERROR(VLOOKUP(H3304,LUTs!$A$1:$C$73,2,FALSE),"NA")</f>
        <v>Skagit/Whatcom</v>
      </c>
      <c r="J3304" s="110" t="str">
        <f>IFERROR(VLOOKUP(H3304,LUTs!$A$1:$C$73,3,FALSE),"NA")</f>
        <v>2Central Puget Sound</v>
      </c>
      <c r="K3304" s="110" t="s">
        <v>16</v>
      </c>
      <c r="L3304" s="110" t="str">
        <f>VLOOKUP(K3304,LUTs!E$2:G$14,3,)</f>
        <v>03Snohomish</v>
      </c>
      <c r="M3304" s="110" t="str">
        <f>VLOOKUP($K3304,LUTs!$E$2:$H$14,2,)</f>
        <v>North Puget Sound</v>
      </c>
      <c r="N3304" s="110" t="str">
        <f>VLOOKUP($K3304,LUTs!$E$2:$H$14,4,)</f>
        <v>01North Puget Sound</v>
      </c>
      <c r="O3304" s="110">
        <v>10</v>
      </c>
      <c r="P3304" s="110">
        <v>85.4</v>
      </c>
      <c r="Q3304" s="110">
        <f>SUMIFS('FW_Steelhead_by_Month_2010-2021'!Q$2:Q$3810,'FW_Steelhead_by_Month_2010-2021'!$B$2:$B$3810,'Rec_raw_catch_effort_2010-2021'!$B3304,'FW_Steelhead_by_Month_2010-2021'!$H$2:$H$3810,'Rec_raw_catch_effort_2010-2021'!$F3304,'FW_Steelhead_by_Month_2010-2021'!$M$2:$M$3810,'Rec_raw_catch_effort_2010-2021'!$K3304)</f>
        <v>7</v>
      </c>
      <c r="R3304" s="111">
        <f>VLOOKUP(B3304,Readme!$A$62:$C$74,3,)*Q3304</f>
        <v>146.49066127415506</v>
      </c>
      <c r="S3304" s="140" t="str">
        <f t="shared" si="249"/>
        <v>Y</v>
      </c>
      <c r="T3304" s="154">
        <f t="shared" si="250"/>
        <v>8.5400000000000009</v>
      </c>
      <c r="U3304" s="154">
        <f t="shared" si="251"/>
        <v>20.927237324879293</v>
      </c>
    </row>
    <row r="3305" spans="1:21" x14ac:dyDescent="0.35">
      <c r="A3305" s="110">
        <v>1375</v>
      </c>
      <c r="B3305" s="110">
        <v>2019</v>
      </c>
      <c r="C3305" s="110" t="s">
        <v>38</v>
      </c>
      <c r="D3305" s="110" t="s">
        <v>143</v>
      </c>
      <c r="E3305" s="110" t="s">
        <v>86</v>
      </c>
      <c r="F3305" s="117">
        <v>830</v>
      </c>
      <c r="G3305" s="110" t="s">
        <v>60</v>
      </c>
      <c r="H3305" s="110" t="str">
        <f t="shared" si="248"/>
        <v>Skagit River</v>
      </c>
      <c r="I3305" s="110" t="str">
        <f>IFERROR(VLOOKUP(H3305,LUTs!$A$1:$C$73,2,FALSE),"NA")</f>
        <v>Skagit/Whatcom</v>
      </c>
      <c r="J3305" s="110" t="str">
        <f>IFERROR(VLOOKUP(H3305,LUTs!$A$1:$C$73,3,FALSE),"NA")</f>
        <v>2Central Puget Sound</v>
      </c>
      <c r="K3305" s="110" t="s">
        <v>20</v>
      </c>
      <c r="L3305" s="110" t="str">
        <f>VLOOKUP(K3305,LUTs!E$2:G$14,3,)</f>
        <v>07Pierce</v>
      </c>
      <c r="M3305" s="110" t="str">
        <f>VLOOKUP($K3305,LUTs!$E$2:$H$14,2,)</f>
        <v>South Puget Sound</v>
      </c>
      <c r="N3305" s="110" t="str">
        <f>VLOOKUP($K3305,LUTs!$E$2:$H$14,4,)</f>
        <v>02South Puget Sound</v>
      </c>
      <c r="O3305" s="110">
        <v>8.6666666666666696</v>
      </c>
      <c r="P3305" s="110">
        <v>160.76666666666699</v>
      </c>
      <c r="Q3305" s="110">
        <f>SUMIFS('FW_Steelhead_by_Month_2010-2021'!Q$2:Q$3810,'FW_Steelhead_by_Month_2010-2021'!$B$2:$B$3810,'Rec_raw_catch_effort_2010-2021'!$B3305,'FW_Steelhead_by_Month_2010-2021'!$H$2:$H$3810,'Rec_raw_catch_effort_2010-2021'!$F3305,'FW_Steelhead_by_Month_2010-2021'!$M$2:$M$3810,'Rec_raw_catch_effort_2010-2021'!$K3305)</f>
        <v>4.5</v>
      </c>
      <c r="R3305" s="111">
        <f>VLOOKUP(B3305,Readme!$A$62:$C$74,3,)*Q3305</f>
        <v>94.172567961956815</v>
      </c>
      <c r="S3305" s="140" t="str">
        <f t="shared" si="249"/>
        <v>Y</v>
      </c>
      <c r="T3305" s="154">
        <f t="shared" si="250"/>
        <v>18.550000000000033</v>
      </c>
      <c r="U3305" s="154">
        <f t="shared" si="251"/>
        <v>20.927237324879293</v>
      </c>
    </row>
    <row r="3306" spans="1:21" x14ac:dyDescent="0.35">
      <c r="A3306" s="110">
        <v>1374</v>
      </c>
      <c r="B3306" s="110">
        <v>2019</v>
      </c>
      <c r="C3306" s="110" t="s">
        <v>38</v>
      </c>
      <c r="D3306" s="110" t="s">
        <v>143</v>
      </c>
      <c r="E3306" s="110" t="s">
        <v>86</v>
      </c>
      <c r="F3306" s="117">
        <v>830</v>
      </c>
      <c r="G3306" s="110" t="s">
        <v>60</v>
      </c>
      <c r="H3306" s="110" t="str">
        <f t="shared" si="248"/>
        <v>Skagit River</v>
      </c>
      <c r="I3306" s="110" t="str">
        <f>IFERROR(VLOOKUP(H3306,LUTs!$A$1:$C$73,2,FALSE),"NA")</f>
        <v>Skagit/Whatcom</v>
      </c>
      <c r="J3306" s="110" t="str">
        <f>IFERROR(VLOOKUP(H3306,LUTs!$A$1:$C$73,3,FALSE),"NA")</f>
        <v>2Central Puget Sound</v>
      </c>
      <c r="K3306" s="110" t="s">
        <v>15</v>
      </c>
      <c r="L3306" s="110" t="str">
        <f>VLOOKUP(K3306,LUTs!E$2:G$14,3,)</f>
        <v>02Skagit</v>
      </c>
      <c r="M3306" s="110" t="str">
        <f>VLOOKUP($K3306,LUTs!$E$2:$H$14,2,)</f>
        <v>North Puget Sound</v>
      </c>
      <c r="N3306" s="110" t="str">
        <f>VLOOKUP($K3306,LUTs!$E$2:$H$14,4,)</f>
        <v>01North Puget Sound</v>
      </c>
      <c r="O3306" s="110">
        <v>8.6666666666666696</v>
      </c>
      <c r="P3306" s="110">
        <v>160.76666666666699</v>
      </c>
      <c r="Q3306" s="110">
        <f>SUMIFS('FW_Steelhead_by_Month_2010-2021'!Q$2:Q$3810,'FW_Steelhead_by_Month_2010-2021'!$B$2:$B$3810,'Rec_raw_catch_effort_2010-2021'!$B3306,'FW_Steelhead_by_Month_2010-2021'!$H$2:$H$3810,'Rec_raw_catch_effort_2010-2021'!$F3306,'FW_Steelhead_by_Month_2010-2021'!$M$2:$M$3810,'Rec_raw_catch_effort_2010-2021'!$K3306)</f>
        <v>4</v>
      </c>
      <c r="R3306" s="111">
        <f>VLOOKUP(B3306,Readme!$A$62:$C$74,3,)*Q3306</f>
        <v>83.708949299517172</v>
      </c>
      <c r="S3306" s="140" t="str">
        <f t="shared" si="249"/>
        <v>Y</v>
      </c>
      <c r="T3306" s="154">
        <f t="shared" si="250"/>
        <v>18.550000000000033</v>
      </c>
      <c r="U3306" s="154">
        <f t="shared" si="251"/>
        <v>20.927237324879293</v>
      </c>
    </row>
    <row r="3307" spans="1:21" x14ac:dyDescent="0.35">
      <c r="A3307" s="110">
        <v>1373</v>
      </c>
      <c r="B3307" s="110">
        <v>2019</v>
      </c>
      <c r="C3307" s="110" t="s">
        <v>38</v>
      </c>
      <c r="D3307" s="110" t="s">
        <v>143</v>
      </c>
      <c r="E3307" s="110" t="s">
        <v>86</v>
      </c>
      <c r="F3307" s="117">
        <v>830</v>
      </c>
      <c r="G3307" s="110" t="s">
        <v>60</v>
      </c>
      <c r="H3307" s="110" t="str">
        <f t="shared" si="248"/>
        <v>Skagit River</v>
      </c>
      <c r="I3307" s="110" t="str">
        <f>IFERROR(VLOOKUP(H3307,LUTs!$A$1:$C$73,2,FALSE),"NA")</f>
        <v>Skagit/Whatcom</v>
      </c>
      <c r="J3307" s="110" t="str">
        <f>IFERROR(VLOOKUP(H3307,LUTs!$A$1:$C$73,3,FALSE),"NA")</f>
        <v>2Central Puget Sound</v>
      </c>
      <c r="K3307" s="110" t="s">
        <v>13</v>
      </c>
      <c r="L3307" s="110" t="str">
        <f>VLOOKUP(K3307,LUTs!E$2:G$14,3,)</f>
        <v>01Whatcom</v>
      </c>
      <c r="M3307" s="110" t="str">
        <f>VLOOKUP($K3307,LUTs!$E$2:$H$14,2,)</f>
        <v>North Puget Sound</v>
      </c>
      <c r="N3307" s="110" t="str">
        <f>VLOOKUP($K3307,LUTs!$E$2:$H$14,4,)</f>
        <v>01North Puget Sound</v>
      </c>
      <c r="O3307" s="110">
        <v>8.6666666666666696</v>
      </c>
      <c r="P3307" s="110">
        <v>160.76666666666699</v>
      </c>
      <c r="Q3307" s="110">
        <f>SUMIFS('FW_Steelhead_by_Month_2010-2021'!Q$2:Q$3810,'FW_Steelhead_by_Month_2010-2021'!$B$2:$B$3810,'Rec_raw_catch_effort_2010-2021'!$B3307,'FW_Steelhead_by_Month_2010-2021'!$H$2:$H$3810,'Rec_raw_catch_effort_2010-2021'!$F3307,'FW_Steelhead_by_Month_2010-2021'!$M$2:$M$3810,'Rec_raw_catch_effort_2010-2021'!$K3307)</f>
        <v>4.5</v>
      </c>
      <c r="R3307" s="111">
        <f>VLOOKUP(B3307,Readme!$A$62:$C$74,3,)*Q3307</f>
        <v>94.172567961956815</v>
      </c>
      <c r="S3307" s="140" t="str">
        <f t="shared" si="249"/>
        <v>Y</v>
      </c>
      <c r="T3307" s="154">
        <f t="shared" si="250"/>
        <v>18.550000000000033</v>
      </c>
      <c r="U3307" s="154">
        <f t="shared" si="251"/>
        <v>20.927237324879293</v>
      </c>
    </row>
    <row r="3308" spans="1:21" x14ac:dyDescent="0.35">
      <c r="A3308" s="110">
        <v>1381</v>
      </c>
      <c r="B3308" s="110">
        <v>2020</v>
      </c>
      <c r="C3308" s="110" t="s">
        <v>38</v>
      </c>
      <c r="D3308" s="110" t="s">
        <v>143</v>
      </c>
      <c r="E3308" s="110" t="s">
        <v>86</v>
      </c>
      <c r="F3308" s="117">
        <v>830</v>
      </c>
      <c r="G3308" s="110" t="s">
        <v>60</v>
      </c>
      <c r="H3308" s="110" t="str">
        <f t="shared" si="248"/>
        <v>Skagit River</v>
      </c>
      <c r="I3308" s="110" t="str">
        <f>IFERROR(VLOOKUP(H3308,LUTs!$A$1:$C$73,2,FALSE),"NA")</f>
        <v>Skagit/Whatcom</v>
      </c>
      <c r="J3308" s="110" t="str">
        <f>IFERROR(VLOOKUP(H3308,LUTs!$A$1:$C$73,3,FALSE),"NA")</f>
        <v>2Central Puget Sound</v>
      </c>
      <c r="K3308" s="110" t="s">
        <v>26</v>
      </c>
      <c r="L3308" s="110" t="str">
        <f>VLOOKUP(K3308,LUTs!E$2:G$14,3,)</f>
        <v>20Other</v>
      </c>
      <c r="M3308" s="110" t="str">
        <f>VLOOKUP($K3308,LUTs!$E$2:$H$14,2,)</f>
        <v>Non Puget Sound</v>
      </c>
      <c r="N3308" s="110" t="str">
        <f>VLOOKUP($K3308,LUTs!$E$2:$H$14,4,)</f>
        <v>07Non Puget Sound</v>
      </c>
      <c r="O3308" s="110">
        <v>8</v>
      </c>
      <c r="P3308" s="110">
        <v>68.319999999999993</v>
      </c>
      <c r="Q3308" s="110">
        <f>SUMIFS('FW_Steelhead_by_Month_2010-2021'!Q$2:Q$3810,'FW_Steelhead_by_Month_2010-2021'!$B$2:$B$3810,'Rec_raw_catch_effort_2010-2021'!$B3308,'FW_Steelhead_by_Month_2010-2021'!$H$2:$H$3810,'Rec_raw_catch_effort_2010-2021'!$F3308,'FW_Steelhead_by_Month_2010-2021'!$M$2:$M$3810,'Rec_raw_catch_effort_2010-2021'!$K3308)</f>
        <v>4</v>
      </c>
      <c r="R3308" s="111">
        <f>VLOOKUP(B3308,Readme!$A$62:$C$74,3,)*Q3308</f>
        <v>83.708949299517172</v>
      </c>
      <c r="S3308" s="140" t="str">
        <f t="shared" si="249"/>
        <v>N</v>
      </c>
      <c r="T3308" s="154">
        <f t="shared" si="250"/>
        <v>8.5399999999999991</v>
      </c>
      <c r="U3308" s="154">
        <f t="shared" si="251"/>
        <v>20.927237324879293</v>
      </c>
    </row>
    <row r="3309" spans="1:21" x14ac:dyDescent="0.35">
      <c r="A3309" s="110">
        <v>1380</v>
      </c>
      <c r="B3309" s="110">
        <v>2020</v>
      </c>
      <c r="C3309" s="110" t="s">
        <v>38</v>
      </c>
      <c r="D3309" s="110" t="s">
        <v>143</v>
      </c>
      <c r="E3309" s="110" t="s">
        <v>86</v>
      </c>
      <c r="F3309" s="117">
        <v>830</v>
      </c>
      <c r="G3309" s="110" t="s">
        <v>60</v>
      </c>
      <c r="H3309" s="110" t="str">
        <f t="shared" si="248"/>
        <v>Skagit River</v>
      </c>
      <c r="I3309" s="110" t="str">
        <f>IFERROR(VLOOKUP(H3309,LUTs!$A$1:$C$73,2,FALSE),"NA")</f>
        <v>Skagit/Whatcom</v>
      </c>
      <c r="J3309" s="110" t="str">
        <f>IFERROR(VLOOKUP(H3309,LUTs!$A$1:$C$73,3,FALSE),"NA")</f>
        <v>2Central Puget Sound</v>
      </c>
      <c r="K3309" s="110" t="s">
        <v>16</v>
      </c>
      <c r="L3309" s="110" t="str">
        <f>VLOOKUP(K3309,LUTs!E$2:G$14,3,)</f>
        <v>03Snohomish</v>
      </c>
      <c r="M3309" s="110" t="str">
        <f>VLOOKUP($K3309,LUTs!$E$2:$H$14,2,)</f>
        <v>North Puget Sound</v>
      </c>
      <c r="N3309" s="110" t="str">
        <f>VLOOKUP($K3309,LUTs!$E$2:$H$14,4,)</f>
        <v>01North Puget Sound</v>
      </c>
      <c r="O3309" s="110">
        <v>8</v>
      </c>
      <c r="P3309" s="110">
        <v>68.319999999999993</v>
      </c>
      <c r="Q3309" s="110">
        <f>SUMIFS('FW_Steelhead_by_Month_2010-2021'!Q$2:Q$3810,'FW_Steelhead_by_Month_2010-2021'!$B$2:$B$3810,'Rec_raw_catch_effort_2010-2021'!$B3309,'FW_Steelhead_by_Month_2010-2021'!$H$2:$H$3810,'Rec_raw_catch_effort_2010-2021'!$F3309,'FW_Steelhead_by_Month_2010-2021'!$M$2:$M$3810,'Rec_raw_catch_effort_2010-2021'!$K3309)</f>
        <v>4</v>
      </c>
      <c r="R3309" s="111">
        <f>VLOOKUP(B3309,Readme!$A$62:$C$74,3,)*Q3309</f>
        <v>83.708949299517172</v>
      </c>
      <c r="S3309" s="140" t="str">
        <f t="shared" si="249"/>
        <v>N</v>
      </c>
      <c r="T3309" s="154">
        <f t="shared" si="250"/>
        <v>8.5399999999999991</v>
      </c>
      <c r="U3309" s="154">
        <f t="shared" si="251"/>
        <v>20.927237324879293</v>
      </c>
    </row>
    <row r="3310" spans="1:21" x14ac:dyDescent="0.35">
      <c r="A3310" s="110">
        <v>1376</v>
      </c>
      <c r="B3310" s="110">
        <v>2020</v>
      </c>
      <c r="C3310" s="110" t="s">
        <v>38</v>
      </c>
      <c r="D3310" s="110" t="s">
        <v>143</v>
      </c>
      <c r="E3310" s="110" t="s">
        <v>86</v>
      </c>
      <c r="F3310" s="117">
        <v>830</v>
      </c>
      <c r="G3310" s="110" t="s">
        <v>60</v>
      </c>
      <c r="H3310" s="110" t="str">
        <f t="shared" si="248"/>
        <v>Skagit River</v>
      </c>
      <c r="I3310" s="110" t="str">
        <f>IFERROR(VLOOKUP(H3310,LUTs!$A$1:$C$73,2,FALSE),"NA")</f>
        <v>Skagit/Whatcom</v>
      </c>
      <c r="J3310" s="110" t="str">
        <f>IFERROR(VLOOKUP(H3310,LUTs!$A$1:$C$73,3,FALSE),"NA")</f>
        <v>2Central Puget Sound</v>
      </c>
      <c r="K3310" s="110" t="s">
        <v>13</v>
      </c>
      <c r="L3310" s="110" t="str">
        <f>VLOOKUP(K3310,LUTs!E$2:G$14,3,)</f>
        <v>01Whatcom</v>
      </c>
      <c r="M3310" s="110" t="str">
        <f>VLOOKUP($K3310,LUTs!$E$2:$H$14,2,)</f>
        <v>North Puget Sound</v>
      </c>
      <c r="N3310" s="110" t="str">
        <f>VLOOKUP($K3310,LUTs!$E$2:$H$14,4,)</f>
        <v>01North Puget Sound</v>
      </c>
      <c r="O3310" s="110">
        <v>16</v>
      </c>
      <c r="P3310" s="110">
        <v>136.63999999999999</v>
      </c>
      <c r="Q3310" s="110">
        <f>SUMIFS('FW_Steelhead_by_Month_2010-2021'!Q$2:Q$3810,'FW_Steelhead_by_Month_2010-2021'!$B$2:$B$3810,'Rec_raw_catch_effort_2010-2021'!$B3310,'FW_Steelhead_by_Month_2010-2021'!$H$2:$H$3810,'Rec_raw_catch_effort_2010-2021'!$F3310,'FW_Steelhead_by_Month_2010-2021'!$M$2:$M$3810,'Rec_raw_catch_effort_2010-2021'!$K3310)</f>
        <v>8</v>
      </c>
      <c r="R3310" s="111">
        <f>VLOOKUP(B3310,Readme!$A$62:$C$74,3,)*Q3310</f>
        <v>167.41789859903434</v>
      </c>
      <c r="S3310" s="140" t="str">
        <f t="shared" si="249"/>
        <v>N</v>
      </c>
      <c r="T3310" s="154">
        <f t="shared" si="250"/>
        <v>8.5399999999999991</v>
      </c>
      <c r="U3310" s="154">
        <f t="shared" si="251"/>
        <v>20.927237324879293</v>
      </c>
    </row>
    <row r="3311" spans="1:21" x14ac:dyDescent="0.35">
      <c r="A3311" s="110">
        <v>1610</v>
      </c>
      <c r="B3311" s="110">
        <v>2010</v>
      </c>
      <c r="C3311" s="110" t="s">
        <v>38</v>
      </c>
      <c r="D3311" s="110" t="s">
        <v>143</v>
      </c>
      <c r="E3311" s="110" t="s">
        <v>86</v>
      </c>
      <c r="F3311" s="117">
        <v>840</v>
      </c>
      <c r="G3311" s="110" t="s">
        <v>70</v>
      </c>
      <c r="H3311" s="110" t="str">
        <f t="shared" si="248"/>
        <v>Pilchuck River (Snohomish System)</v>
      </c>
      <c r="I3311" s="110" t="str">
        <f>IFERROR(VLOOKUP(H3311,LUTs!$A$1:$C$73,2,FALSE),"NA")</f>
        <v>Snohomish</v>
      </c>
      <c r="J3311" s="110" t="str">
        <f>IFERROR(VLOOKUP(H3311,LUTs!$A$1:$C$73,3,FALSE),"NA")</f>
        <v>2Central Puget Sound</v>
      </c>
      <c r="K3311" s="110" t="s">
        <v>18</v>
      </c>
      <c r="L3311" s="110" t="str">
        <f>VLOOKUP(K3311,LUTs!E$2:G$14,3,)</f>
        <v>06King</v>
      </c>
      <c r="M3311" s="110" t="str">
        <f>VLOOKUP($K3311,LUTs!$E$2:$H$14,2,)</f>
        <v>South Puget Sound</v>
      </c>
      <c r="N3311" s="110" t="str">
        <f>VLOOKUP($K3311,LUTs!$E$2:$H$14,4,)</f>
        <v>02South Puget Sound</v>
      </c>
      <c r="O3311" s="110">
        <v>2.19354838709677</v>
      </c>
      <c r="P3311" s="110">
        <v>18.7329032258064</v>
      </c>
      <c r="Q3311" s="110">
        <f>SUMIFS('FW_Steelhead_by_Month_2010-2021'!Q$2:Q$3810,'FW_Steelhead_by_Month_2010-2021'!$B$2:$B$3810,'Rec_raw_catch_effort_2010-2021'!$B3311,'FW_Steelhead_by_Month_2010-2021'!$H$2:$H$3810,'Rec_raw_catch_effort_2010-2021'!$F3311,'FW_Steelhead_by_Month_2010-2021'!$M$2:$M$3810,'Rec_raw_catch_effort_2010-2021'!$K3311)</f>
        <v>0</v>
      </c>
      <c r="R3311" s="111">
        <f>VLOOKUP(B3311,Readme!$A$62:$C$74,3,)*Q3311</f>
        <v>0</v>
      </c>
      <c r="S3311" s="140" t="str">
        <f t="shared" si="249"/>
        <v>Y</v>
      </c>
      <c r="T3311" s="154">
        <f t="shared" si="250"/>
        <v>8.539999999999992</v>
      </c>
      <c r="U3311" s="154" t="str">
        <f t="shared" si="251"/>
        <v>NA</v>
      </c>
    </row>
    <row r="3312" spans="1:21" x14ac:dyDescent="0.35">
      <c r="A3312" s="110">
        <v>1611</v>
      </c>
      <c r="B3312" s="110">
        <v>2010</v>
      </c>
      <c r="C3312" s="110" t="s">
        <v>38</v>
      </c>
      <c r="D3312" s="110" t="s">
        <v>143</v>
      </c>
      <c r="E3312" s="110" t="s">
        <v>86</v>
      </c>
      <c r="F3312" s="117">
        <v>840</v>
      </c>
      <c r="G3312" s="110" t="s">
        <v>70</v>
      </c>
      <c r="H3312" s="110" t="str">
        <f t="shared" si="248"/>
        <v>Pilchuck River (Snohomish System)</v>
      </c>
      <c r="I3312" s="110" t="str">
        <f>IFERROR(VLOOKUP(H3312,LUTs!$A$1:$C$73,2,FALSE),"NA")</f>
        <v>Snohomish</v>
      </c>
      <c r="J3312" s="110" t="str">
        <f>IFERROR(VLOOKUP(H3312,LUTs!$A$1:$C$73,3,FALSE),"NA")</f>
        <v>2Central Puget Sound</v>
      </c>
      <c r="K3312" s="110" t="s">
        <v>20</v>
      </c>
      <c r="L3312" s="110" t="str">
        <f>VLOOKUP(K3312,LUTs!E$2:G$14,3,)</f>
        <v>07Pierce</v>
      </c>
      <c r="M3312" s="110" t="str">
        <f>VLOOKUP($K3312,LUTs!$E$2:$H$14,2,)</f>
        <v>South Puget Sound</v>
      </c>
      <c r="N3312" s="110" t="str">
        <f>VLOOKUP($K3312,LUTs!$E$2:$H$14,4,)</f>
        <v>02South Puget Sound</v>
      </c>
      <c r="O3312" s="110">
        <v>2.19354838709677</v>
      </c>
      <c r="P3312" s="110">
        <v>18.7329032258064</v>
      </c>
      <c r="Q3312" s="110">
        <f>SUMIFS('FW_Steelhead_by_Month_2010-2021'!Q$2:Q$3810,'FW_Steelhead_by_Month_2010-2021'!$B$2:$B$3810,'Rec_raw_catch_effort_2010-2021'!$B3312,'FW_Steelhead_by_Month_2010-2021'!$H$2:$H$3810,'Rec_raw_catch_effort_2010-2021'!$F3312,'FW_Steelhead_by_Month_2010-2021'!$M$2:$M$3810,'Rec_raw_catch_effort_2010-2021'!$K3312)</f>
        <v>2.3333333333333299</v>
      </c>
      <c r="R3312" s="111">
        <f>VLOOKUP(B3312,Readme!$A$62:$C$74,3,)*Q3312</f>
        <v>48.830220424718277</v>
      </c>
      <c r="S3312" s="140" t="str">
        <f t="shared" si="249"/>
        <v>Y</v>
      </c>
      <c r="T3312" s="154">
        <f t="shared" si="250"/>
        <v>8.539999999999992</v>
      </c>
      <c r="U3312" s="154">
        <f t="shared" si="251"/>
        <v>20.927237324879293</v>
      </c>
    </row>
    <row r="3313" spans="1:21" x14ac:dyDescent="0.35">
      <c r="A3313" s="110">
        <v>1609</v>
      </c>
      <c r="B3313" s="110">
        <v>2010</v>
      </c>
      <c r="C3313" s="110" t="s">
        <v>38</v>
      </c>
      <c r="D3313" s="110" t="s">
        <v>143</v>
      </c>
      <c r="E3313" s="110" t="s">
        <v>86</v>
      </c>
      <c r="F3313" s="117">
        <v>840</v>
      </c>
      <c r="G3313" s="110" t="s">
        <v>70</v>
      </c>
      <c r="H3313" s="110" t="str">
        <f t="shared" si="248"/>
        <v>Pilchuck River (Snohomish System)</v>
      </c>
      <c r="I3313" s="110" t="str">
        <f>IFERROR(VLOOKUP(H3313,LUTs!$A$1:$C$73,2,FALSE),"NA")</f>
        <v>Snohomish</v>
      </c>
      <c r="J3313" s="110" t="str">
        <f>IFERROR(VLOOKUP(H3313,LUTs!$A$1:$C$73,3,FALSE),"NA")</f>
        <v>2Central Puget Sound</v>
      </c>
      <c r="K3313" s="110" t="s">
        <v>16</v>
      </c>
      <c r="L3313" s="110" t="str">
        <f>VLOOKUP(K3313,LUTs!E$2:G$14,3,)</f>
        <v>03Snohomish</v>
      </c>
      <c r="M3313" s="110" t="str">
        <f>VLOOKUP($K3313,LUTs!$E$2:$H$14,2,)</f>
        <v>North Puget Sound</v>
      </c>
      <c r="N3313" s="110" t="str">
        <f>VLOOKUP($K3313,LUTs!$E$2:$H$14,4,)</f>
        <v>01North Puget Sound</v>
      </c>
      <c r="O3313" s="110">
        <v>63.612903225806498</v>
      </c>
      <c r="P3313" s="110">
        <v>543.25419354838698</v>
      </c>
      <c r="Q3313" s="110">
        <f>SUMIFS('FW_Steelhead_by_Month_2010-2021'!Q$2:Q$3810,'FW_Steelhead_by_Month_2010-2021'!$B$2:$B$3810,'Rec_raw_catch_effort_2010-2021'!$B3313,'FW_Steelhead_by_Month_2010-2021'!$H$2:$H$3810,'Rec_raw_catch_effort_2010-2021'!$F3313,'FW_Steelhead_by_Month_2010-2021'!$M$2:$M$3810,'Rec_raw_catch_effort_2010-2021'!$K3313)</f>
        <v>46.6666666666667</v>
      </c>
      <c r="R3313" s="111">
        <f>VLOOKUP(B3313,Readme!$A$62:$C$74,3,)*Q3313</f>
        <v>976.6044084943677</v>
      </c>
      <c r="S3313" s="140" t="str">
        <f t="shared" si="249"/>
        <v>Y</v>
      </c>
      <c r="T3313" s="154">
        <f t="shared" si="250"/>
        <v>8.539999999999992</v>
      </c>
      <c r="U3313" s="154">
        <f t="shared" si="251"/>
        <v>20.927237324879293</v>
      </c>
    </row>
    <row r="3314" spans="1:21" x14ac:dyDescent="0.35">
      <c r="A3314" s="110">
        <v>2234</v>
      </c>
      <c r="B3314" s="110">
        <v>2011</v>
      </c>
      <c r="C3314" s="110" t="s">
        <v>38</v>
      </c>
      <c r="D3314" s="110" t="s">
        <v>143</v>
      </c>
      <c r="E3314" s="110" t="s">
        <v>86</v>
      </c>
      <c r="F3314" s="117">
        <v>840</v>
      </c>
      <c r="G3314" s="110" t="s">
        <v>70</v>
      </c>
      <c r="H3314" s="110" t="str">
        <f t="shared" si="248"/>
        <v>Pilchuck River (Snohomish System)</v>
      </c>
      <c r="I3314" s="110" t="str">
        <f>IFERROR(VLOOKUP(H3314,LUTs!$A$1:$C$73,2,FALSE),"NA")</f>
        <v>Snohomish</v>
      </c>
      <c r="J3314" s="110" t="str">
        <f>IFERROR(VLOOKUP(H3314,LUTs!$A$1:$C$73,3,FALSE),"NA")</f>
        <v>2Central Puget Sound</v>
      </c>
      <c r="K3314" s="110" t="s">
        <v>16</v>
      </c>
      <c r="L3314" s="110" t="str">
        <f>VLOOKUP(K3314,LUTs!E$2:G$14,3,)</f>
        <v>03Snohomish</v>
      </c>
      <c r="M3314" s="110" t="str">
        <f>VLOOKUP($K3314,LUTs!$E$2:$H$14,2,)</f>
        <v>North Puget Sound</v>
      </c>
      <c r="N3314" s="110" t="str">
        <f>VLOOKUP($K3314,LUTs!$E$2:$H$14,4,)</f>
        <v>01North Puget Sound</v>
      </c>
      <c r="O3314" s="110">
        <v>15</v>
      </c>
      <c r="P3314" s="110">
        <v>278.25</v>
      </c>
      <c r="Q3314" s="110">
        <f>SUMIFS('FW_Steelhead_by_Month_2010-2021'!Q$2:Q$3810,'FW_Steelhead_by_Month_2010-2021'!$B$2:$B$3810,'Rec_raw_catch_effort_2010-2021'!$B3314,'FW_Steelhead_by_Month_2010-2021'!$H$2:$H$3810,'Rec_raw_catch_effort_2010-2021'!$F3314,'FW_Steelhead_by_Month_2010-2021'!$M$2:$M$3810,'Rec_raw_catch_effort_2010-2021'!$K3314)</f>
        <v>22.1</v>
      </c>
      <c r="R3314" s="111">
        <f>VLOOKUP(B3314,Readme!$A$62:$C$74,3,)*Q3314</f>
        <v>462.49194487983243</v>
      </c>
      <c r="S3314" s="140" t="str">
        <f t="shared" si="249"/>
        <v>Y</v>
      </c>
      <c r="T3314" s="154">
        <f t="shared" si="250"/>
        <v>18.55</v>
      </c>
      <c r="U3314" s="154">
        <f t="shared" si="251"/>
        <v>20.927237324879293</v>
      </c>
    </row>
    <row r="3315" spans="1:21" x14ac:dyDescent="0.35">
      <c r="A3315" s="110">
        <v>1568</v>
      </c>
      <c r="B3315" s="110">
        <v>2012</v>
      </c>
      <c r="C3315" s="110" t="s">
        <v>38</v>
      </c>
      <c r="D3315" s="110" t="s">
        <v>143</v>
      </c>
      <c r="E3315" s="110" t="s">
        <v>86</v>
      </c>
      <c r="F3315" s="117">
        <v>840</v>
      </c>
      <c r="G3315" s="110" t="s">
        <v>70</v>
      </c>
      <c r="H3315" s="110" t="str">
        <f t="shared" si="248"/>
        <v>Pilchuck River (Snohomish System)</v>
      </c>
      <c r="I3315" s="110" t="str">
        <f>IFERROR(VLOOKUP(H3315,LUTs!$A$1:$C$73,2,FALSE),"NA")</f>
        <v>Snohomish</v>
      </c>
      <c r="J3315" s="110" t="str">
        <f>IFERROR(VLOOKUP(H3315,LUTs!$A$1:$C$73,3,FALSE),"NA")</f>
        <v>2Central Puget Sound</v>
      </c>
      <c r="K3315" s="110" t="s">
        <v>18</v>
      </c>
      <c r="L3315" s="110" t="str">
        <f>VLOOKUP(K3315,LUTs!E$2:G$14,3,)</f>
        <v>06King</v>
      </c>
      <c r="M3315" s="110" t="str">
        <f>VLOOKUP($K3315,LUTs!$E$2:$H$14,2,)</f>
        <v>South Puget Sound</v>
      </c>
      <c r="N3315" s="110" t="str">
        <f>VLOOKUP($K3315,LUTs!$E$2:$H$14,4,)</f>
        <v>02South Puget Sound</v>
      </c>
      <c r="O3315" s="110">
        <v>3</v>
      </c>
      <c r="P3315" s="110">
        <v>25.62</v>
      </c>
      <c r="Q3315" s="110">
        <f>SUMIFS('FW_Steelhead_by_Month_2010-2021'!Q$2:Q$3810,'FW_Steelhead_by_Month_2010-2021'!$B$2:$B$3810,'Rec_raw_catch_effort_2010-2021'!$B3315,'FW_Steelhead_by_Month_2010-2021'!$H$2:$H$3810,'Rec_raw_catch_effort_2010-2021'!$F3315,'FW_Steelhead_by_Month_2010-2021'!$M$2:$M$3810,'Rec_raw_catch_effort_2010-2021'!$K3315)</f>
        <v>0</v>
      </c>
      <c r="R3315" s="111">
        <f>VLOOKUP(B3315,Readme!$A$62:$C$74,3,)*Q3315</f>
        <v>0</v>
      </c>
      <c r="S3315" s="140" t="str">
        <f t="shared" si="249"/>
        <v>Y</v>
      </c>
      <c r="T3315" s="154">
        <f t="shared" si="250"/>
        <v>8.5400000000000009</v>
      </c>
      <c r="U3315" s="154" t="str">
        <f t="shared" si="251"/>
        <v>NA</v>
      </c>
    </row>
    <row r="3316" spans="1:21" x14ac:dyDescent="0.35">
      <c r="A3316" s="110">
        <v>1567</v>
      </c>
      <c r="B3316" s="110">
        <v>2012</v>
      </c>
      <c r="C3316" s="110" t="s">
        <v>38</v>
      </c>
      <c r="D3316" s="110" t="s">
        <v>143</v>
      </c>
      <c r="E3316" s="110" t="s">
        <v>86</v>
      </c>
      <c r="F3316" s="117">
        <v>840</v>
      </c>
      <c r="G3316" s="110" t="s">
        <v>70</v>
      </c>
      <c r="H3316" s="110" t="str">
        <f t="shared" si="248"/>
        <v>Pilchuck River (Snohomish System)</v>
      </c>
      <c r="I3316" s="110" t="str">
        <f>IFERROR(VLOOKUP(H3316,LUTs!$A$1:$C$73,2,FALSE),"NA")</f>
        <v>Snohomish</v>
      </c>
      <c r="J3316" s="110" t="str">
        <f>IFERROR(VLOOKUP(H3316,LUTs!$A$1:$C$73,3,FALSE),"NA")</f>
        <v>2Central Puget Sound</v>
      </c>
      <c r="K3316" s="110" t="s">
        <v>16</v>
      </c>
      <c r="L3316" s="110" t="str">
        <f>VLOOKUP(K3316,LUTs!E$2:G$14,3,)</f>
        <v>03Snohomish</v>
      </c>
      <c r="M3316" s="110" t="str">
        <f>VLOOKUP($K3316,LUTs!$E$2:$H$14,2,)</f>
        <v>North Puget Sound</v>
      </c>
      <c r="N3316" s="110" t="str">
        <f>VLOOKUP($K3316,LUTs!$E$2:$H$14,4,)</f>
        <v>01North Puget Sound</v>
      </c>
      <c r="O3316" s="110">
        <v>24</v>
      </c>
      <c r="P3316" s="110">
        <v>204.96</v>
      </c>
      <c r="Q3316" s="110">
        <f>SUMIFS('FW_Steelhead_by_Month_2010-2021'!Q$2:Q$3810,'FW_Steelhead_by_Month_2010-2021'!$B$2:$B$3810,'Rec_raw_catch_effort_2010-2021'!$B3316,'FW_Steelhead_by_Month_2010-2021'!$H$2:$H$3810,'Rec_raw_catch_effort_2010-2021'!$F3316,'FW_Steelhead_by_Month_2010-2021'!$M$2:$M$3810,'Rec_raw_catch_effort_2010-2021'!$K3316)</f>
        <v>28</v>
      </c>
      <c r="R3316" s="111">
        <f>VLOOKUP(B3316,Readme!$A$62:$C$74,3,)*Q3316</f>
        <v>585.96264509662024</v>
      </c>
      <c r="S3316" s="140" t="str">
        <f t="shared" si="249"/>
        <v>Y</v>
      </c>
      <c r="T3316" s="154">
        <f t="shared" si="250"/>
        <v>8.5400000000000009</v>
      </c>
      <c r="U3316" s="154">
        <f t="shared" si="251"/>
        <v>20.927237324879293</v>
      </c>
    </row>
    <row r="3317" spans="1:21" x14ac:dyDescent="0.35">
      <c r="A3317" s="110">
        <v>1257</v>
      </c>
      <c r="B3317" s="110">
        <v>2014</v>
      </c>
      <c r="C3317" s="110" t="s">
        <v>38</v>
      </c>
      <c r="D3317" s="110" t="s">
        <v>143</v>
      </c>
      <c r="E3317" s="110" t="s">
        <v>86</v>
      </c>
      <c r="F3317" s="117">
        <v>840</v>
      </c>
      <c r="G3317" s="110" t="s">
        <v>70</v>
      </c>
      <c r="H3317" s="110" t="str">
        <f t="shared" si="248"/>
        <v>Pilchuck River (Snohomish System)</v>
      </c>
      <c r="I3317" s="110" t="str">
        <f>IFERROR(VLOOKUP(H3317,LUTs!$A$1:$C$73,2,FALSE),"NA")</f>
        <v>Snohomish</v>
      </c>
      <c r="J3317" s="110" t="str">
        <f>IFERROR(VLOOKUP(H3317,LUTs!$A$1:$C$73,3,FALSE),"NA")</f>
        <v>2Central Puget Sound</v>
      </c>
      <c r="K3317" s="110" t="s">
        <v>18</v>
      </c>
      <c r="L3317" s="110" t="str">
        <f>VLOOKUP(K3317,LUTs!E$2:G$14,3,)</f>
        <v>06King</v>
      </c>
      <c r="M3317" s="110" t="str">
        <f>VLOOKUP($K3317,LUTs!$E$2:$H$14,2,)</f>
        <v>South Puget Sound</v>
      </c>
      <c r="N3317" s="110" t="str">
        <f>VLOOKUP($K3317,LUTs!$E$2:$H$14,4,)</f>
        <v>02South Puget Sound</v>
      </c>
      <c r="O3317" s="110">
        <v>16.6666666666667</v>
      </c>
      <c r="P3317" s="110">
        <v>142.333333333334</v>
      </c>
      <c r="Q3317" s="110">
        <f>SUMIFS('FW_Steelhead_by_Month_2010-2021'!Q$2:Q$3810,'FW_Steelhead_by_Month_2010-2021'!$B$2:$B$3810,'Rec_raw_catch_effort_2010-2021'!$B3317,'FW_Steelhead_by_Month_2010-2021'!$H$2:$H$3810,'Rec_raw_catch_effort_2010-2021'!$F3317,'FW_Steelhead_by_Month_2010-2021'!$M$2:$M$3810,'Rec_raw_catch_effort_2010-2021'!$K3317)</f>
        <v>9.75</v>
      </c>
      <c r="R3317" s="111">
        <f>VLOOKUP(B3317,Readme!$A$62:$C$74,3,)*Q3317</f>
        <v>204.04056391757311</v>
      </c>
      <c r="S3317" s="140" t="str">
        <f t="shared" si="249"/>
        <v>Y</v>
      </c>
      <c r="T3317" s="154">
        <f t="shared" si="250"/>
        <v>8.5400000000000222</v>
      </c>
      <c r="U3317" s="154">
        <f t="shared" si="251"/>
        <v>20.927237324879293</v>
      </c>
    </row>
    <row r="3318" spans="1:21" x14ac:dyDescent="0.35">
      <c r="A3318" s="110">
        <v>1258</v>
      </c>
      <c r="B3318" s="110">
        <v>2014</v>
      </c>
      <c r="C3318" s="110" t="s">
        <v>38</v>
      </c>
      <c r="D3318" s="110" t="s">
        <v>143</v>
      </c>
      <c r="E3318" s="110" t="s">
        <v>86</v>
      </c>
      <c r="F3318" s="117">
        <v>840</v>
      </c>
      <c r="G3318" s="110" t="s">
        <v>70</v>
      </c>
      <c r="H3318" s="110" t="str">
        <f t="shared" si="248"/>
        <v>Pilchuck River (Snohomish System)</v>
      </c>
      <c r="I3318" s="110" t="str">
        <f>IFERROR(VLOOKUP(H3318,LUTs!$A$1:$C$73,2,FALSE),"NA")</f>
        <v>Snohomish</v>
      </c>
      <c r="J3318" s="110" t="str">
        <f>IFERROR(VLOOKUP(H3318,LUTs!$A$1:$C$73,3,FALSE),"NA")</f>
        <v>2Central Puget Sound</v>
      </c>
      <c r="K3318" s="110" t="s">
        <v>26</v>
      </c>
      <c r="L3318" s="110" t="str">
        <f>VLOOKUP(K3318,LUTs!E$2:G$14,3,)</f>
        <v>20Other</v>
      </c>
      <c r="M3318" s="110" t="str">
        <f>VLOOKUP($K3318,LUTs!$E$2:$H$14,2,)</f>
        <v>Non Puget Sound</v>
      </c>
      <c r="N3318" s="110" t="str">
        <f>VLOOKUP($K3318,LUTs!$E$2:$H$14,4,)</f>
        <v>07Non Puget Sound</v>
      </c>
      <c r="O3318" s="110">
        <v>3.3333333333333299</v>
      </c>
      <c r="P3318" s="110">
        <v>28.466666666666601</v>
      </c>
      <c r="Q3318" s="110">
        <f>SUMIFS('FW_Steelhead_by_Month_2010-2021'!Q$2:Q$3810,'FW_Steelhead_by_Month_2010-2021'!$B$2:$B$3810,'Rec_raw_catch_effort_2010-2021'!$B3318,'FW_Steelhead_by_Month_2010-2021'!$H$2:$H$3810,'Rec_raw_catch_effort_2010-2021'!$F3318,'FW_Steelhead_by_Month_2010-2021'!$M$2:$M$3810,'Rec_raw_catch_effort_2010-2021'!$K3318)</f>
        <v>3.25</v>
      </c>
      <c r="R3318" s="111">
        <f>VLOOKUP(B3318,Readme!$A$62:$C$74,3,)*Q3318</f>
        <v>68.013521305857708</v>
      </c>
      <c r="S3318" s="140" t="str">
        <f t="shared" si="249"/>
        <v>Y</v>
      </c>
      <c r="T3318" s="154">
        <f t="shared" si="250"/>
        <v>8.5399999999999885</v>
      </c>
      <c r="U3318" s="154">
        <f t="shared" si="251"/>
        <v>20.927237324879293</v>
      </c>
    </row>
    <row r="3319" spans="1:21" x14ac:dyDescent="0.35">
      <c r="A3319" s="110">
        <v>1464</v>
      </c>
      <c r="B3319" s="110">
        <v>2015</v>
      </c>
      <c r="C3319" s="110" t="s">
        <v>38</v>
      </c>
      <c r="D3319" s="110" t="s">
        <v>143</v>
      </c>
      <c r="E3319" s="110" t="s">
        <v>86</v>
      </c>
      <c r="F3319" s="117">
        <v>840</v>
      </c>
      <c r="G3319" s="110" t="s">
        <v>70</v>
      </c>
      <c r="H3319" s="110" t="str">
        <f t="shared" si="248"/>
        <v>Pilchuck River (Snohomish System)</v>
      </c>
      <c r="I3319" s="110" t="str">
        <f>IFERROR(VLOOKUP(H3319,LUTs!$A$1:$C$73,2,FALSE),"NA")</f>
        <v>Snohomish</v>
      </c>
      <c r="J3319" s="110" t="str">
        <f>IFERROR(VLOOKUP(H3319,LUTs!$A$1:$C$73,3,FALSE),"NA")</f>
        <v>2Central Puget Sound</v>
      </c>
      <c r="K3319" s="110" t="s">
        <v>16</v>
      </c>
      <c r="L3319" s="110" t="str">
        <f>VLOOKUP(K3319,LUTs!E$2:G$14,3,)</f>
        <v>03Snohomish</v>
      </c>
      <c r="M3319" s="110" t="str">
        <f>VLOOKUP($K3319,LUTs!$E$2:$H$14,2,)</f>
        <v>North Puget Sound</v>
      </c>
      <c r="N3319" s="110" t="str">
        <f>VLOOKUP($K3319,LUTs!$E$2:$H$14,4,)</f>
        <v>01North Puget Sound</v>
      </c>
      <c r="O3319" s="110">
        <v>4</v>
      </c>
      <c r="P3319" s="110">
        <v>74.2</v>
      </c>
      <c r="Q3319" s="110">
        <f>SUMIFS('FW_Steelhead_by_Month_2010-2021'!Q$2:Q$3810,'FW_Steelhead_by_Month_2010-2021'!$B$2:$B$3810,'Rec_raw_catch_effort_2010-2021'!$B3319,'FW_Steelhead_by_Month_2010-2021'!$H$2:$H$3810,'Rec_raw_catch_effort_2010-2021'!$F3319,'FW_Steelhead_by_Month_2010-2021'!$M$2:$M$3810,'Rec_raw_catch_effort_2010-2021'!$K3319)</f>
        <v>0</v>
      </c>
      <c r="R3319" s="111">
        <f>VLOOKUP(B3319,Readme!$A$62:$C$74,3,)*Q3319</f>
        <v>0</v>
      </c>
      <c r="S3319" s="140" t="str">
        <f t="shared" si="249"/>
        <v>Y</v>
      </c>
      <c r="T3319" s="154">
        <f t="shared" si="250"/>
        <v>18.55</v>
      </c>
      <c r="U3319" s="154" t="str">
        <f t="shared" si="251"/>
        <v>NA</v>
      </c>
    </row>
    <row r="3320" spans="1:21" x14ac:dyDescent="0.35">
      <c r="A3320" s="110">
        <v>1635</v>
      </c>
      <c r="B3320" s="110">
        <v>2016</v>
      </c>
      <c r="C3320" s="110" t="s">
        <v>38</v>
      </c>
      <c r="D3320" s="110" t="s">
        <v>143</v>
      </c>
      <c r="E3320" s="110" t="s">
        <v>86</v>
      </c>
      <c r="F3320" s="117">
        <v>840</v>
      </c>
      <c r="G3320" s="110" t="s">
        <v>70</v>
      </c>
      <c r="H3320" s="110" t="str">
        <f t="shared" si="248"/>
        <v>Pilchuck River (Snohomish System)</v>
      </c>
      <c r="I3320" s="110" t="str">
        <f>IFERROR(VLOOKUP(H3320,LUTs!$A$1:$C$73,2,FALSE),"NA")</f>
        <v>Snohomish</v>
      </c>
      <c r="J3320" s="110" t="str">
        <f>IFERROR(VLOOKUP(H3320,LUTs!$A$1:$C$73,3,FALSE),"NA")</f>
        <v>2Central Puget Sound</v>
      </c>
      <c r="K3320" s="110" t="s">
        <v>16</v>
      </c>
      <c r="L3320" s="110" t="str">
        <f>VLOOKUP(K3320,LUTs!E$2:G$14,3,)</f>
        <v>03Snohomish</v>
      </c>
      <c r="M3320" s="110" t="str">
        <f>VLOOKUP($K3320,LUTs!$E$2:$H$14,2,)</f>
        <v>North Puget Sound</v>
      </c>
      <c r="N3320" s="110" t="str">
        <f>VLOOKUP($K3320,LUTs!$E$2:$H$14,4,)</f>
        <v>01North Puget Sound</v>
      </c>
      <c r="O3320" s="110">
        <v>3</v>
      </c>
      <c r="P3320" s="110">
        <v>25.62</v>
      </c>
      <c r="Q3320" s="110">
        <f>SUMIFS('FW_Steelhead_by_Month_2010-2021'!Q$2:Q$3810,'FW_Steelhead_by_Month_2010-2021'!$B$2:$B$3810,'Rec_raw_catch_effort_2010-2021'!$B3320,'FW_Steelhead_by_Month_2010-2021'!$H$2:$H$3810,'Rec_raw_catch_effort_2010-2021'!$F3320,'FW_Steelhead_by_Month_2010-2021'!$M$2:$M$3810,'Rec_raw_catch_effort_2010-2021'!$K3320)</f>
        <v>4</v>
      </c>
      <c r="R3320" s="111">
        <f>VLOOKUP(B3320,Readme!$A$62:$C$74,3,)*Q3320</f>
        <v>83.708949299517172</v>
      </c>
      <c r="S3320" s="140" t="str">
        <f t="shared" si="249"/>
        <v>Y</v>
      </c>
      <c r="T3320" s="154">
        <f t="shared" si="250"/>
        <v>8.5400000000000009</v>
      </c>
      <c r="U3320" s="154">
        <f t="shared" si="251"/>
        <v>20.927237324879293</v>
      </c>
    </row>
    <row r="3321" spans="1:21" x14ac:dyDescent="0.35">
      <c r="A3321" s="110">
        <v>218</v>
      </c>
      <c r="B3321" s="110">
        <v>2010</v>
      </c>
      <c r="C3321" s="110" t="s">
        <v>38</v>
      </c>
      <c r="D3321" s="110" t="s">
        <v>143</v>
      </c>
      <c r="E3321" s="110" t="s">
        <v>86</v>
      </c>
      <c r="F3321" s="117">
        <v>842</v>
      </c>
      <c r="G3321" s="110" t="s">
        <v>97</v>
      </c>
      <c r="H3321" s="110" t="str">
        <f t="shared" si="248"/>
        <v>Raging River</v>
      </c>
      <c r="I3321" s="110" t="str">
        <f>IFERROR(VLOOKUP(H3321,LUTs!$A$1:$C$73,2,FALSE),"NA")</f>
        <v>King</v>
      </c>
      <c r="J3321" s="110" t="str">
        <f>IFERROR(VLOOKUP(H3321,LUTs!$A$1:$C$73,3,FALSE),"NA")</f>
        <v>2Central Puget Sound</v>
      </c>
      <c r="K3321" s="110" t="s">
        <v>18</v>
      </c>
      <c r="L3321" s="110" t="str">
        <f>VLOOKUP(K3321,LUTs!E$2:G$14,3,)</f>
        <v>06King</v>
      </c>
      <c r="M3321" s="110" t="str">
        <f>VLOOKUP($K3321,LUTs!$E$2:$H$14,2,)</f>
        <v>South Puget Sound</v>
      </c>
      <c r="N3321" s="110" t="str">
        <f>VLOOKUP($K3321,LUTs!$E$2:$H$14,4,)</f>
        <v>02South Puget Sound</v>
      </c>
      <c r="O3321" s="110">
        <v>26.428571428571399</v>
      </c>
      <c r="P3321" s="110">
        <v>225.7</v>
      </c>
      <c r="Q3321" s="110">
        <f>SUMIFS('FW_Steelhead_by_Month_2010-2021'!Q$2:Q$3810,'FW_Steelhead_by_Month_2010-2021'!$B$2:$B$3810,'Rec_raw_catch_effort_2010-2021'!$B3321,'FW_Steelhead_by_Month_2010-2021'!$H$2:$H$3810,'Rec_raw_catch_effort_2010-2021'!$F3321,'FW_Steelhead_by_Month_2010-2021'!$M$2:$M$3810,'Rec_raw_catch_effort_2010-2021'!$K3321)</f>
        <v>26.6</v>
      </c>
      <c r="R3321" s="111">
        <f>VLOOKUP(B3321,Readme!$A$62:$C$74,3,)*Q3321</f>
        <v>556.66451284178925</v>
      </c>
      <c r="S3321" s="140" t="str">
        <f t="shared" si="249"/>
        <v>Y</v>
      </c>
      <c r="T3321" s="154">
        <f t="shared" si="250"/>
        <v>8.5400000000000098</v>
      </c>
      <c r="U3321" s="154">
        <f t="shared" si="251"/>
        <v>20.927237324879293</v>
      </c>
    </row>
    <row r="3322" spans="1:21" x14ac:dyDescent="0.35">
      <c r="A3322" s="110">
        <v>219</v>
      </c>
      <c r="B3322" s="110">
        <v>2010</v>
      </c>
      <c r="C3322" s="110" t="s">
        <v>38</v>
      </c>
      <c r="D3322" s="110" t="s">
        <v>143</v>
      </c>
      <c r="E3322" s="110" t="s">
        <v>86</v>
      </c>
      <c r="F3322" s="117">
        <v>842</v>
      </c>
      <c r="G3322" s="110" t="s">
        <v>97</v>
      </c>
      <c r="H3322" s="110" t="str">
        <f t="shared" si="248"/>
        <v>Raging River</v>
      </c>
      <c r="I3322" s="110" t="str">
        <f>IFERROR(VLOOKUP(H3322,LUTs!$A$1:$C$73,2,FALSE),"NA")</f>
        <v>King</v>
      </c>
      <c r="J3322" s="110" t="str">
        <f>IFERROR(VLOOKUP(H3322,LUTs!$A$1:$C$73,3,FALSE),"NA")</f>
        <v>2Central Puget Sound</v>
      </c>
      <c r="K3322" s="110" t="s">
        <v>20</v>
      </c>
      <c r="L3322" s="110" t="str">
        <f>VLOOKUP(K3322,LUTs!E$2:G$14,3,)</f>
        <v>07Pierce</v>
      </c>
      <c r="M3322" s="110" t="str">
        <f>VLOOKUP($K3322,LUTs!$E$2:$H$14,2,)</f>
        <v>South Puget Sound</v>
      </c>
      <c r="N3322" s="110" t="str">
        <f>VLOOKUP($K3322,LUTs!$E$2:$H$14,4,)</f>
        <v>02South Puget Sound</v>
      </c>
      <c r="O3322" s="110">
        <v>5.28571428571429</v>
      </c>
      <c r="P3322" s="110">
        <v>45.14</v>
      </c>
      <c r="Q3322" s="110">
        <f>SUMIFS('FW_Steelhead_by_Month_2010-2021'!Q$2:Q$3810,'FW_Steelhead_by_Month_2010-2021'!$B$2:$B$3810,'Rec_raw_catch_effort_2010-2021'!$B3322,'FW_Steelhead_by_Month_2010-2021'!$H$2:$H$3810,'Rec_raw_catch_effort_2010-2021'!$F3322,'FW_Steelhead_by_Month_2010-2021'!$M$2:$M$3810,'Rec_raw_catch_effort_2010-2021'!$K3322)</f>
        <v>2.4</v>
      </c>
      <c r="R3322" s="111">
        <f>VLOOKUP(B3322,Readme!$A$62:$C$74,3,)*Q3322</f>
        <v>50.225369579710303</v>
      </c>
      <c r="S3322" s="140" t="str">
        <f t="shared" si="249"/>
        <v>Y</v>
      </c>
      <c r="T3322" s="154">
        <f t="shared" si="250"/>
        <v>8.5399999999999938</v>
      </c>
      <c r="U3322" s="154">
        <f t="shared" si="251"/>
        <v>20.927237324879293</v>
      </c>
    </row>
    <row r="3323" spans="1:21" x14ac:dyDescent="0.35">
      <c r="A3323" s="110">
        <v>217</v>
      </c>
      <c r="B3323" s="110">
        <v>2010</v>
      </c>
      <c r="C3323" s="110" t="s">
        <v>38</v>
      </c>
      <c r="D3323" s="110" t="s">
        <v>143</v>
      </c>
      <c r="E3323" s="110" t="s">
        <v>86</v>
      </c>
      <c r="F3323" s="117">
        <v>842</v>
      </c>
      <c r="G3323" s="110" t="s">
        <v>97</v>
      </c>
      <c r="H3323" s="110" t="str">
        <f t="shared" si="248"/>
        <v>Raging River</v>
      </c>
      <c r="I3323" s="110" t="str">
        <f>IFERROR(VLOOKUP(H3323,LUTs!$A$1:$C$73,2,FALSE),"NA")</f>
        <v>King</v>
      </c>
      <c r="J3323" s="110" t="str">
        <f>IFERROR(VLOOKUP(H3323,LUTs!$A$1:$C$73,3,FALSE),"NA")</f>
        <v>2Central Puget Sound</v>
      </c>
      <c r="K3323" s="110" t="s">
        <v>16</v>
      </c>
      <c r="L3323" s="110" t="str">
        <f>VLOOKUP(K3323,LUTs!E$2:G$14,3,)</f>
        <v>03Snohomish</v>
      </c>
      <c r="M3323" s="110" t="str">
        <f>VLOOKUP($K3323,LUTs!$E$2:$H$14,2,)</f>
        <v>North Puget Sound</v>
      </c>
      <c r="N3323" s="110" t="str">
        <f>VLOOKUP($K3323,LUTs!$E$2:$H$14,4,)</f>
        <v>01North Puget Sound</v>
      </c>
      <c r="O3323" s="110">
        <v>5.28571428571429</v>
      </c>
      <c r="P3323" s="110">
        <v>45.14</v>
      </c>
      <c r="Q3323" s="110">
        <f>SUMIFS('FW_Steelhead_by_Month_2010-2021'!Q$2:Q$3810,'FW_Steelhead_by_Month_2010-2021'!$B$2:$B$3810,'Rec_raw_catch_effort_2010-2021'!$B3323,'FW_Steelhead_by_Month_2010-2021'!$H$2:$H$3810,'Rec_raw_catch_effort_2010-2021'!$F3323,'FW_Steelhead_by_Month_2010-2021'!$M$2:$M$3810,'Rec_raw_catch_effort_2010-2021'!$K3323)</f>
        <v>6</v>
      </c>
      <c r="R3323" s="111">
        <f>VLOOKUP(B3323,Readme!$A$62:$C$74,3,)*Q3323</f>
        <v>125.56342394927576</v>
      </c>
      <c r="S3323" s="140" t="str">
        <f t="shared" si="249"/>
        <v>Y</v>
      </c>
      <c r="T3323" s="154">
        <f t="shared" si="250"/>
        <v>8.5399999999999938</v>
      </c>
      <c r="U3323" s="154">
        <f t="shared" si="251"/>
        <v>20.927237324879293</v>
      </c>
    </row>
    <row r="3324" spans="1:21" x14ac:dyDescent="0.35">
      <c r="A3324" s="110">
        <v>224</v>
      </c>
      <c r="B3324" s="110">
        <v>2011</v>
      </c>
      <c r="C3324" s="110" t="s">
        <v>38</v>
      </c>
      <c r="D3324" s="110" t="s">
        <v>143</v>
      </c>
      <c r="E3324" s="110" t="s">
        <v>86</v>
      </c>
      <c r="F3324" s="117">
        <v>842</v>
      </c>
      <c r="G3324" s="110" t="s">
        <v>97</v>
      </c>
      <c r="H3324" s="110" t="str">
        <f t="shared" si="248"/>
        <v>Raging River</v>
      </c>
      <c r="I3324" s="110" t="str">
        <f>IFERROR(VLOOKUP(H3324,LUTs!$A$1:$C$73,2,FALSE),"NA")</f>
        <v>King</v>
      </c>
      <c r="J3324" s="110" t="str">
        <f>IFERROR(VLOOKUP(H3324,LUTs!$A$1:$C$73,3,FALSE),"NA")</f>
        <v>2Central Puget Sound</v>
      </c>
      <c r="K3324" s="110" t="s">
        <v>18</v>
      </c>
      <c r="L3324" s="110" t="str">
        <f>VLOOKUP(K3324,LUTs!E$2:G$14,3,)</f>
        <v>06King</v>
      </c>
      <c r="M3324" s="110" t="str">
        <f>VLOOKUP($K3324,LUTs!$E$2:$H$14,2,)</f>
        <v>South Puget Sound</v>
      </c>
      <c r="N3324" s="110" t="str">
        <f>VLOOKUP($K3324,LUTs!$E$2:$H$14,4,)</f>
        <v>02South Puget Sound</v>
      </c>
      <c r="O3324" s="110">
        <v>21.3333333333333</v>
      </c>
      <c r="P3324" s="110">
        <v>395.73333333333301</v>
      </c>
      <c r="Q3324" s="110">
        <f>SUMIFS('FW_Steelhead_by_Month_2010-2021'!Q$2:Q$3810,'FW_Steelhead_by_Month_2010-2021'!$B$2:$B$3810,'Rec_raw_catch_effort_2010-2021'!$B3324,'FW_Steelhead_by_Month_2010-2021'!$H$2:$H$3810,'Rec_raw_catch_effort_2010-2021'!$F3324,'FW_Steelhead_by_Month_2010-2021'!$M$2:$M$3810,'Rec_raw_catch_effort_2010-2021'!$K3324)</f>
        <v>14</v>
      </c>
      <c r="R3324" s="111">
        <f>VLOOKUP(B3324,Readme!$A$62:$C$74,3,)*Q3324</f>
        <v>292.98132254831012</v>
      </c>
      <c r="S3324" s="140" t="str">
        <f t="shared" si="249"/>
        <v>Y</v>
      </c>
      <c r="T3324" s="154">
        <f t="shared" si="250"/>
        <v>18.550000000000015</v>
      </c>
      <c r="U3324" s="154">
        <f t="shared" si="251"/>
        <v>20.927237324879293</v>
      </c>
    </row>
    <row r="3325" spans="1:21" x14ac:dyDescent="0.35">
      <c r="A3325" s="110">
        <v>223</v>
      </c>
      <c r="B3325" s="110">
        <v>2011</v>
      </c>
      <c r="C3325" s="110" t="s">
        <v>38</v>
      </c>
      <c r="D3325" s="110" t="s">
        <v>143</v>
      </c>
      <c r="E3325" s="110" t="s">
        <v>86</v>
      </c>
      <c r="F3325" s="117">
        <v>842</v>
      </c>
      <c r="G3325" s="110" t="s">
        <v>97</v>
      </c>
      <c r="H3325" s="110" t="str">
        <f t="shared" si="248"/>
        <v>Raging River</v>
      </c>
      <c r="I3325" s="110" t="str">
        <f>IFERROR(VLOOKUP(H3325,LUTs!$A$1:$C$73,2,FALSE),"NA")</f>
        <v>King</v>
      </c>
      <c r="J3325" s="110" t="str">
        <f>IFERROR(VLOOKUP(H3325,LUTs!$A$1:$C$73,3,FALSE),"NA")</f>
        <v>2Central Puget Sound</v>
      </c>
      <c r="K3325" s="110" t="s">
        <v>16</v>
      </c>
      <c r="L3325" s="110" t="str">
        <f>VLOOKUP(K3325,LUTs!E$2:G$14,3,)</f>
        <v>03Snohomish</v>
      </c>
      <c r="M3325" s="110" t="str">
        <f>VLOOKUP($K3325,LUTs!$E$2:$H$14,2,)</f>
        <v>North Puget Sound</v>
      </c>
      <c r="N3325" s="110" t="str">
        <f>VLOOKUP($K3325,LUTs!$E$2:$H$14,4,)</f>
        <v>01North Puget Sound</v>
      </c>
      <c r="O3325" s="110">
        <v>2.6666666666666701</v>
      </c>
      <c r="P3325" s="110">
        <v>49.466666666666697</v>
      </c>
      <c r="Q3325" s="110">
        <f>SUMIFS('FW_Steelhead_by_Month_2010-2021'!Q$2:Q$3810,'FW_Steelhead_by_Month_2010-2021'!$B$2:$B$3810,'Rec_raw_catch_effort_2010-2021'!$B3325,'FW_Steelhead_by_Month_2010-2021'!$H$2:$H$3810,'Rec_raw_catch_effort_2010-2021'!$F3325,'FW_Steelhead_by_Month_2010-2021'!$M$2:$M$3810,'Rec_raw_catch_effort_2010-2021'!$K3325)</f>
        <v>0</v>
      </c>
      <c r="R3325" s="111">
        <f>VLOOKUP(B3325,Readme!$A$62:$C$74,3,)*Q3325</f>
        <v>0</v>
      </c>
      <c r="S3325" s="140" t="str">
        <f t="shared" si="249"/>
        <v>Y</v>
      </c>
      <c r="T3325" s="154">
        <f t="shared" si="250"/>
        <v>18.549999999999986</v>
      </c>
      <c r="U3325" s="154" t="str">
        <f t="shared" si="251"/>
        <v>NA</v>
      </c>
    </row>
    <row r="3326" spans="1:21" x14ac:dyDescent="0.35">
      <c r="A3326" s="110">
        <v>225</v>
      </c>
      <c r="B3326" s="110">
        <v>2012</v>
      </c>
      <c r="C3326" s="110" t="s">
        <v>38</v>
      </c>
      <c r="D3326" s="110" t="s">
        <v>143</v>
      </c>
      <c r="E3326" s="110" t="s">
        <v>86</v>
      </c>
      <c r="F3326" s="117">
        <v>842</v>
      </c>
      <c r="G3326" s="110" t="s">
        <v>97</v>
      </c>
      <c r="H3326" s="110" t="str">
        <f t="shared" si="248"/>
        <v>Raging River</v>
      </c>
      <c r="I3326" s="110" t="str">
        <f>IFERROR(VLOOKUP(H3326,LUTs!$A$1:$C$73,2,FALSE),"NA")</f>
        <v>King</v>
      </c>
      <c r="J3326" s="110" t="str">
        <f>IFERROR(VLOOKUP(H3326,LUTs!$A$1:$C$73,3,FALSE),"NA")</f>
        <v>2Central Puget Sound</v>
      </c>
      <c r="K3326" s="110" t="s">
        <v>18</v>
      </c>
      <c r="L3326" s="110" t="str">
        <f>VLOOKUP(K3326,LUTs!E$2:G$14,3,)</f>
        <v>06King</v>
      </c>
      <c r="M3326" s="110" t="str">
        <f>VLOOKUP($K3326,LUTs!$E$2:$H$14,2,)</f>
        <v>South Puget Sound</v>
      </c>
      <c r="N3326" s="110" t="str">
        <f>VLOOKUP($K3326,LUTs!$E$2:$H$14,4,)</f>
        <v>02South Puget Sound</v>
      </c>
      <c r="O3326" s="110">
        <v>9</v>
      </c>
      <c r="P3326" s="110">
        <v>76.86</v>
      </c>
      <c r="Q3326" s="110">
        <f>SUMIFS('FW_Steelhead_by_Month_2010-2021'!Q$2:Q$3810,'FW_Steelhead_by_Month_2010-2021'!$B$2:$B$3810,'Rec_raw_catch_effort_2010-2021'!$B3326,'FW_Steelhead_by_Month_2010-2021'!$H$2:$H$3810,'Rec_raw_catch_effort_2010-2021'!$F3326,'FW_Steelhead_by_Month_2010-2021'!$M$2:$M$3810,'Rec_raw_catch_effort_2010-2021'!$K3326)</f>
        <v>16.5</v>
      </c>
      <c r="R3326" s="111">
        <f>VLOOKUP(B3326,Readme!$A$62:$C$74,3,)*Q3326</f>
        <v>345.29941586050836</v>
      </c>
      <c r="S3326" s="140" t="str">
        <f t="shared" si="249"/>
        <v>Y</v>
      </c>
      <c r="T3326" s="154">
        <f t="shared" si="250"/>
        <v>8.5399999999999991</v>
      </c>
      <c r="U3326" s="154">
        <f t="shared" si="251"/>
        <v>20.927237324879293</v>
      </c>
    </row>
    <row r="3327" spans="1:21" x14ac:dyDescent="0.35">
      <c r="A3327" s="110">
        <v>226</v>
      </c>
      <c r="B3327" s="110">
        <v>2012</v>
      </c>
      <c r="C3327" s="110" t="s">
        <v>38</v>
      </c>
      <c r="D3327" s="110" t="s">
        <v>143</v>
      </c>
      <c r="E3327" s="110" t="s">
        <v>86</v>
      </c>
      <c r="F3327" s="117">
        <v>842</v>
      </c>
      <c r="G3327" s="110" t="s">
        <v>97</v>
      </c>
      <c r="H3327" s="110" t="str">
        <f t="shared" si="248"/>
        <v>Raging River</v>
      </c>
      <c r="I3327" s="110" t="str">
        <f>IFERROR(VLOOKUP(H3327,LUTs!$A$1:$C$73,2,FALSE),"NA")</f>
        <v>King</v>
      </c>
      <c r="J3327" s="110" t="str">
        <f>IFERROR(VLOOKUP(H3327,LUTs!$A$1:$C$73,3,FALSE),"NA")</f>
        <v>2Central Puget Sound</v>
      </c>
      <c r="K3327" s="110" t="s">
        <v>26</v>
      </c>
      <c r="L3327" s="110" t="str">
        <f>VLOOKUP(K3327,LUTs!E$2:G$14,3,)</f>
        <v>20Other</v>
      </c>
      <c r="M3327" s="110" t="str">
        <f>VLOOKUP($K3327,LUTs!$E$2:$H$14,2,)</f>
        <v>Non Puget Sound</v>
      </c>
      <c r="N3327" s="110" t="str">
        <f>VLOOKUP($K3327,LUTs!$E$2:$H$14,4,)</f>
        <v>07Non Puget Sound</v>
      </c>
      <c r="O3327" s="110">
        <v>6</v>
      </c>
      <c r="P3327" s="110">
        <v>51.24</v>
      </c>
      <c r="Q3327" s="110">
        <f>SUMIFS('FW_Steelhead_by_Month_2010-2021'!Q$2:Q$3810,'FW_Steelhead_by_Month_2010-2021'!$B$2:$B$3810,'Rec_raw_catch_effort_2010-2021'!$B3327,'FW_Steelhead_by_Month_2010-2021'!$H$2:$H$3810,'Rec_raw_catch_effort_2010-2021'!$F3327,'FW_Steelhead_by_Month_2010-2021'!$M$2:$M$3810,'Rec_raw_catch_effort_2010-2021'!$K3327)</f>
        <v>6</v>
      </c>
      <c r="R3327" s="111">
        <f>VLOOKUP(B3327,Readme!$A$62:$C$74,3,)*Q3327</f>
        <v>125.56342394927576</v>
      </c>
      <c r="S3327" s="140" t="str">
        <f t="shared" si="249"/>
        <v>Y</v>
      </c>
      <c r="T3327" s="154">
        <f t="shared" si="250"/>
        <v>8.5400000000000009</v>
      </c>
      <c r="U3327" s="154">
        <f t="shared" si="251"/>
        <v>20.927237324879293</v>
      </c>
    </row>
    <row r="3328" spans="1:21" x14ac:dyDescent="0.35">
      <c r="A3328" s="110">
        <v>229</v>
      </c>
      <c r="B3328" s="110">
        <v>2013</v>
      </c>
      <c r="C3328" s="110" t="s">
        <v>38</v>
      </c>
      <c r="D3328" s="110" t="s">
        <v>143</v>
      </c>
      <c r="E3328" s="110" t="s">
        <v>86</v>
      </c>
      <c r="F3328" s="117">
        <v>842</v>
      </c>
      <c r="G3328" s="110" t="s">
        <v>97</v>
      </c>
      <c r="H3328" s="110" t="str">
        <f t="shared" si="248"/>
        <v>Raging River</v>
      </c>
      <c r="I3328" s="110" t="str">
        <f>IFERROR(VLOOKUP(H3328,LUTs!$A$1:$C$73,2,FALSE),"NA")</f>
        <v>King</v>
      </c>
      <c r="J3328" s="110" t="str">
        <f>IFERROR(VLOOKUP(H3328,LUTs!$A$1:$C$73,3,FALSE),"NA")</f>
        <v>2Central Puget Sound</v>
      </c>
      <c r="K3328" s="110" t="s">
        <v>18</v>
      </c>
      <c r="L3328" s="110" t="str">
        <f>VLOOKUP(K3328,LUTs!E$2:G$14,3,)</f>
        <v>06King</v>
      </c>
      <c r="M3328" s="110" t="str">
        <f>VLOOKUP($K3328,LUTs!$E$2:$H$14,2,)</f>
        <v>South Puget Sound</v>
      </c>
      <c r="N3328" s="110" t="str">
        <f>VLOOKUP($K3328,LUTs!$E$2:$H$14,4,)</f>
        <v>02South Puget Sound</v>
      </c>
      <c r="O3328" s="110">
        <v>15</v>
      </c>
      <c r="P3328" s="110">
        <v>278.25</v>
      </c>
      <c r="Q3328" s="110">
        <f>SUMIFS('FW_Steelhead_by_Month_2010-2021'!Q$2:Q$3810,'FW_Steelhead_by_Month_2010-2021'!$B$2:$B$3810,'Rec_raw_catch_effort_2010-2021'!$B3328,'FW_Steelhead_by_Month_2010-2021'!$H$2:$H$3810,'Rec_raw_catch_effort_2010-2021'!$F3328,'FW_Steelhead_by_Month_2010-2021'!$M$2:$M$3810,'Rec_raw_catch_effort_2010-2021'!$K3328)</f>
        <v>15</v>
      </c>
      <c r="R3328" s="111">
        <f>VLOOKUP(B3328,Readme!$A$62:$C$74,3,)*Q3328</f>
        <v>313.9085598731894</v>
      </c>
      <c r="S3328" s="140" t="str">
        <f t="shared" si="249"/>
        <v>Y</v>
      </c>
      <c r="T3328" s="154">
        <f t="shared" si="250"/>
        <v>18.55</v>
      </c>
      <c r="U3328" s="154">
        <f t="shared" si="251"/>
        <v>20.927237324879293</v>
      </c>
    </row>
    <row r="3329" spans="1:21" x14ac:dyDescent="0.35">
      <c r="A3329" s="110">
        <v>232</v>
      </c>
      <c r="B3329" s="110">
        <v>2016</v>
      </c>
      <c r="C3329" s="110" t="s">
        <v>38</v>
      </c>
      <c r="D3329" s="110" t="s">
        <v>143</v>
      </c>
      <c r="E3329" s="110" t="s">
        <v>86</v>
      </c>
      <c r="F3329" s="117">
        <v>842</v>
      </c>
      <c r="G3329" s="110" t="s">
        <v>97</v>
      </c>
      <c r="H3329" s="110" t="str">
        <f t="shared" si="248"/>
        <v>Raging River</v>
      </c>
      <c r="I3329" s="110" t="str">
        <f>IFERROR(VLOOKUP(H3329,LUTs!$A$1:$C$73,2,FALSE),"NA")</f>
        <v>King</v>
      </c>
      <c r="J3329" s="110" t="str">
        <f>IFERROR(VLOOKUP(H3329,LUTs!$A$1:$C$73,3,FALSE),"NA")</f>
        <v>2Central Puget Sound</v>
      </c>
      <c r="K3329" s="110" t="s">
        <v>26</v>
      </c>
      <c r="L3329" s="110" t="str">
        <f>VLOOKUP(K3329,LUTs!E$2:G$14,3,)</f>
        <v>20Other</v>
      </c>
      <c r="M3329" s="110" t="str">
        <f>VLOOKUP($K3329,LUTs!$E$2:$H$14,2,)</f>
        <v>Non Puget Sound</v>
      </c>
      <c r="N3329" s="110" t="str">
        <f>VLOOKUP($K3329,LUTs!$E$2:$H$14,4,)</f>
        <v>07Non Puget Sound</v>
      </c>
      <c r="O3329" s="110">
        <v>3</v>
      </c>
      <c r="P3329" s="110">
        <v>25.62</v>
      </c>
      <c r="Q3329" s="110">
        <f>SUMIFS('FW_Steelhead_by_Month_2010-2021'!Q$2:Q$3810,'FW_Steelhead_by_Month_2010-2021'!$B$2:$B$3810,'Rec_raw_catch_effort_2010-2021'!$B3329,'FW_Steelhead_by_Month_2010-2021'!$H$2:$H$3810,'Rec_raw_catch_effort_2010-2021'!$F3329,'FW_Steelhead_by_Month_2010-2021'!$M$2:$M$3810,'Rec_raw_catch_effort_2010-2021'!$K3329)</f>
        <v>3</v>
      </c>
      <c r="R3329" s="111">
        <f>VLOOKUP(B3329,Readme!$A$62:$C$74,3,)*Q3329</f>
        <v>62.781711974637879</v>
      </c>
      <c r="S3329" s="140" t="str">
        <f t="shared" si="249"/>
        <v>Y</v>
      </c>
      <c r="T3329" s="154">
        <f t="shared" si="250"/>
        <v>8.5400000000000009</v>
      </c>
      <c r="U3329" s="154">
        <f t="shared" si="251"/>
        <v>20.927237324879293</v>
      </c>
    </row>
    <row r="3330" spans="1:21" x14ac:dyDescent="0.35">
      <c r="A3330" s="110">
        <v>1768</v>
      </c>
      <c r="B3330" s="110">
        <v>2010</v>
      </c>
      <c r="C3330" s="110" t="s">
        <v>38</v>
      </c>
      <c r="D3330" s="110" t="s">
        <v>143</v>
      </c>
      <c r="E3330" s="110" t="s">
        <v>86</v>
      </c>
      <c r="F3330" s="117">
        <v>844</v>
      </c>
      <c r="G3330" s="110" t="s">
        <v>62</v>
      </c>
      <c r="H3330" s="110" t="str">
        <f t="shared" ref="H3330:H3393" si="252">G3330</f>
        <v>Skykomish River</v>
      </c>
      <c r="I3330" s="110" t="str">
        <f>IFERROR(VLOOKUP(H3330,LUTs!$A$1:$C$73,2,FALSE),"NA")</f>
        <v>Snohomish</v>
      </c>
      <c r="J3330" s="110" t="str">
        <f>IFERROR(VLOOKUP(H3330,LUTs!$A$1:$C$73,3,FALSE),"NA")</f>
        <v>2Central Puget Sound</v>
      </c>
      <c r="K3330" s="110" t="s">
        <v>17</v>
      </c>
      <c r="L3330" s="110" t="str">
        <f>VLOOKUP(K3330,LUTs!E$2:G$14,3,)</f>
        <v>04Island</v>
      </c>
      <c r="M3330" s="110" t="str">
        <f>VLOOKUP($K3330,LUTs!$E$2:$H$14,2,)</f>
        <v>North Puget Sound</v>
      </c>
      <c r="N3330" s="110" t="str">
        <f>VLOOKUP($K3330,LUTs!$E$2:$H$14,4,)</f>
        <v>01North Puget Sound</v>
      </c>
      <c r="O3330" s="110">
        <v>12.944711538461499</v>
      </c>
      <c r="P3330" s="110">
        <v>110.547836538461</v>
      </c>
      <c r="Q3330" s="110">
        <f>SUMIFS('FW_Steelhead_by_Month_2010-2021'!Q$2:Q$3810,'FW_Steelhead_by_Month_2010-2021'!$B$2:$B$3810,'Rec_raw_catch_effort_2010-2021'!$B3330,'FW_Steelhead_by_Month_2010-2021'!$H$2:$H$3810,'Rec_raw_catch_effort_2010-2021'!$F3330,'FW_Steelhead_by_Month_2010-2021'!$M$2:$M$3810,'Rec_raw_catch_effort_2010-2021'!$K3330)</f>
        <v>9.7828431690095297</v>
      </c>
      <c r="R3330" s="111">
        <f>VLOOKUP(B3330,Readme!$A$62:$C$74,3,)*Q3330</f>
        <v>204.72788070993664</v>
      </c>
      <c r="S3330" s="140" t="str">
        <f t="shared" si="249"/>
        <v>Y</v>
      </c>
      <c r="T3330" s="154">
        <f t="shared" si="250"/>
        <v>8.5399999999999849</v>
      </c>
      <c r="U3330" s="154">
        <f t="shared" si="251"/>
        <v>20.927237324879293</v>
      </c>
    </row>
    <row r="3331" spans="1:21" x14ac:dyDescent="0.35">
      <c r="A3331" s="110">
        <v>1769</v>
      </c>
      <c r="B3331" s="110">
        <v>2010</v>
      </c>
      <c r="C3331" s="110" t="s">
        <v>38</v>
      </c>
      <c r="D3331" s="110" t="s">
        <v>143</v>
      </c>
      <c r="E3331" s="110" t="s">
        <v>86</v>
      </c>
      <c r="F3331" s="117">
        <v>844</v>
      </c>
      <c r="G3331" s="110" t="s">
        <v>62</v>
      </c>
      <c r="H3331" s="110" t="str">
        <f t="shared" si="252"/>
        <v>Skykomish River</v>
      </c>
      <c r="I3331" s="110" t="str">
        <f>IFERROR(VLOOKUP(H3331,LUTs!$A$1:$C$73,2,FALSE),"NA")</f>
        <v>Snohomish</v>
      </c>
      <c r="J3331" s="110" t="str">
        <f>IFERROR(VLOOKUP(H3331,LUTs!$A$1:$C$73,3,FALSE),"NA")</f>
        <v>2Central Puget Sound</v>
      </c>
      <c r="K3331" s="110" t="s">
        <v>18</v>
      </c>
      <c r="L3331" s="110" t="str">
        <f>VLOOKUP(K3331,LUTs!E$2:G$14,3,)</f>
        <v>06King</v>
      </c>
      <c r="M3331" s="110" t="str">
        <f>VLOOKUP($K3331,LUTs!$E$2:$H$14,2,)</f>
        <v>South Puget Sound</v>
      </c>
      <c r="N3331" s="110" t="str">
        <f>VLOOKUP($K3331,LUTs!$E$2:$H$14,4,)</f>
        <v>02South Puget Sound</v>
      </c>
      <c r="O3331" s="110">
        <v>1177.96875</v>
      </c>
      <c r="P3331" s="110">
        <v>10059.853125</v>
      </c>
      <c r="Q3331" s="110">
        <f>SUMIFS('FW_Steelhead_by_Month_2010-2021'!Q$2:Q$3810,'FW_Steelhead_by_Month_2010-2021'!$B$2:$B$3810,'Rec_raw_catch_effort_2010-2021'!$B3331,'FW_Steelhead_by_Month_2010-2021'!$H$2:$H$3810,'Rec_raw_catch_effort_2010-2021'!$F3331,'FW_Steelhead_by_Month_2010-2021'!$M$2:$M$3810,'Rec_raw_catch_effort_2010-2021'!$K3331)</f>
        <v>1066.2289563777003</v>
      </c>
      <c r="R3331" s="111">
        <f>VLOOKUP(B3331,Readme!$A$62:$C$74,3,)*Q3331</f>
        <v>22313.226412774507</v>
      </c>
      <c r="S3331" s="140" t="str">
        <f t="shared" ref="S3331:S3394" si="253">IF(B3331&lt;=2019,"Y","N")</f>
        <v>Y</v>
      </c>
      <c r="T3331" s="154">
        <f t="shared" ref="T3331:T3394" si="254">IFERROR(P3331/O3331,"NA")</f>
        <v>8.5399999999999991</v>
      </c>
      <c r="U3331" s="154">
        <f t="shared" ref="U3331:U3394" si="255">IFERROR(R3331/Q3331,"NA")</f>
        <v>20.927237324879293</v>
      </c>
    </row>
    <row r="3332" spans="1:21" x14ac:dyDescent="0.35">
      <c r="A3332" s="110">
        <v>1772</v>
      </c>
      <c r="B3332" s="110">
        <v>2010</v>
      </c>
      <c r="C3332" s="110" t="s">
        <v>38</v>
      </c>
      <c r="D3332" s="110" t="s">
        <v>143</v>
      </c>
      <c r="E3332" s="110" t="s">
        <v>86</v>
      </c>
      <c r="F3332" s="117">
        <v>844</v>
      </c>
      <c r="G3332" s="110" t="s">
        <v>62</v>
      </c>
      <c r="H3332" s="110" t="str">
        <f t="shared" si="252"/>
        <v>Skykomish River</v>
      </c>
      <c r="I3332" s="110" t="str">
        <f>IFERROR(VLOOKUP(H3332,LUTs!$A$1:$C$73,2,FALSE),"NA")</f>
        <v>Snohomish</v>
      </c>
      <c r="J3332" s="110" t="str">
        <f>IFERROR(VLOOKUP(H3332,LUTs!$A$1:$C$73,3,FALSE),"NA")</f>
        <v>2Central Puget Sound</v>
      </c>
      <c r="K3332" s="110" t="s">
        <v>26</v>
      </c>
      <c r="L3332" s="110" t="str">
        <f>VLOOKUP(K3332,LUTs!E$2:G$14,3,)</f>
        <v>20Other</v>
      </c>
      <c r="M3332" s="110" t="str">
        <f>VLOOKUP($K3332,LUTs!$E$2:$H$14,2,)</f>
        <v>Non Puget Sound</v>
      </c>
      <c r="N3332" s="110" t="str">
        <f>VLOOKUP($K3332,LUTs!$E$2:$H$14,4,)</f>
        <v>07Non Puget Sound</v>
      </c>
      <c r="O3332" s="110">
        <v>54.367788461538503</v>
      </c>
      <c r="P3332" s="110">
        <v>464.30091346153898</v>
      </c>
      <c r="Q3332" s="110">
        <f>SUMIFS('FW_Steelhead_by_Month_2010-2021'!Q$2:Q$3810,'FW_Steelhead_by_Month_2010-2021'!$B$2:$B$3810,'Rec_raw_catch_effort_2010-2021'!$B3332,'FW_Steelhead_by_Month_2010-2021'!$H$2:$H$3810,'Rec_raw_catch_effort_2010-2021'!$F3332,'FW_Steelhead_by_Month_2010-2021'!$M$2:$M$3810,'Rec_raw_catch_effort_2010-2021'!$K3332)</f>
        <v>48.17120708425572</v>
      </c>
      <c r="R3332" s="111">
        <f>VLOOKUP(B3332,Readme!$A$62:$C$74,3,)*Q3332</f>
        <v>1008.0902828781261</v>
      </c>
      <c r="S3332" s="140" t="str">
        <f t="shared" si="253"/>
        <v>Y</v>
      </c>
      <c r="T3332" s="154">
        <f t="shared" si="254"/>
        <v>8.5400000000000027</v>
      </c>
      <c r="U3332" s="154">
        <f t="shared" si="255"/>
        <v>20.927237324879293</v>
      </c>
    </row>
    <row r="3333" spans="1:21" x14ac:dyDescent="0.35">
      <c r="A3333" s="110">
        <v>1770</v>
      </c>
      <c r="B3333" s="110">
        <v>2010</v>
      </c>
      <c r="C3333" s="110" t="s">
        <v>38</v>
      </c>
      <c r="D3333" s="110" t="s">
        <v>143</v>
      </c>
      <c r="E3333" s="110" t="s">
        <v>86</v>
      </c>
      <c r="F3333" s="117">
        <v>844</v>
      </c>
      <c r="G3333" s="110" t="s">
        <v>62</v>
      </c>
      <c r="H3333" s="110" t="str">
        <f t="shared" si="252"/>
        <v>Skykomish River</v>
      </c>
      <c r="I3333" s="110" t="str">
        <f>IFERROR(VLOOKUP(H3333,LUTs!$A$1:$C$73,2,FALSE),"NA")</f>
        <v>Snohomish</v>
      </c>
      <c r="J3333" s="110" t="str">
        <f>IFERROR(VLOOKUP(H3333,LUTs!$A$1:$C$73,3,FALSE),"NA")</f>
        <v>2Central Puget Sound</v>
      </c>
      <c r="K3333" s="110" t="s">
        <v>20</v>
      </c>
      <c r="L3333" s="110" t="str">
        <f>VLOOKUP(K3333,LUTs!E$2:G$14,3,)</f>
        <v>07Pierce</v>
      </c>
      <c r="M3333" s="110" t="str">
        <f>VLOOKUP($K3333,LUTs!$E$2:$H$14,2,)</f>
        <v>South Puget Sound</v>
      </c>
      <c r="N3333" s="110" t="str">
        <f>VLOOKUP($K3333,LUTs!$E$2:$H$14,4,)</f>
        <v>02South Puget Sound</v>
      </c>
      <c r="O3333" s="110">
        <v>28.478365384615401</v>
      </c>
      <c r="P3333" s="110">
        <v>243.20524038461599</v>
      </c>
      <c r="Q3333" s="110">
        <f>SUMIFS('FW_Steelhead_by_Month_2010-2021'!Q$2:Q$3810,'FW_Steelhead_by_Month_2010-2021'!$B$2:$B$3810,'Rec_raw_catch_effort_2010-2021'!$B3333,'FW_Steelhead_by_Month_2010-2021'!$H$2:$H$3810,'Rec_raw_catch_effort_2010-2021'!$F3333,'FW_Steelhead_by_Month_2010-2021'!$M$2:$M$3810,'Rec_raw_catch_effort_2010-2021'!$K3333)</f>
        <v>24.573490911692868</v>
      </c>
      <c r="R3333" s="111">
        <f>VLOOKUP(B3333,Readme!$A$62:$C$74,3,)*Q3333</f>
        <v>514.25527620976106</v>
      </c>
      <c r="S3333" s="140" t="str">
        <f t="shared" si="253"/>
        <v>Y</v>
      </c>
      <c r="T3333" s="154">
        <f t="shared" si="254"/>
        <v>8.5400000000000169</v>
      </c>
      <c r="U3333" s="154">
        <f t="shared" si="255"/>
        <v>20.927237324879293</v>
      </c>
    </row>
    <row r="3334" spans="1:21" x14ac:dyDescent="0.35">
      <c r="A3334" s="110">
        <v>1613</v>
      </c>
      <c r="B3334" s="110">
        <v>2010</v>
      </c>
      <c r="C3334" s="110" t="s">
        <v>38</v>
      </c>
      <c r="D3334" s="110" t="s">
        <v>143</v>
      </c>
      <c r="E3334" s="110" t="s">
        <v>86</v>
      </c>
      <c r="F3334" s="117">
        <v>844</v>
      </c>
      <c r="G3334" s="110" t="s">
        <v>62</v>
      </c>
      <c r="H3334" s="110" t="str">
        <f t="shared" si="252"/>
        <v>Skykomish River</v>
      </c>
      <c r="I3334" s="110" t="str">
        <f>IFERROR(VLOOKUP(H3334,LUTs!$A$1:$C$73,2,FALSE),"NA")</f>
        <v>Snohomish</v>
      </c>
      <c r="J3334" s="110" t="str">
        <f>IFERROR(VLOOKUP(H3334,LUTs!$A$1:$C$73,3,FALSE),"NA")</f>
        <v>2Central Puget Sound</v>
      </c>
      <c r="K3334" s="110" t="s">
        <v>15</v>
      </c>
      <c r="L3334" s="110" t="str">
        <f>VLOOKUP(K3334,LUTs!E$2:G$14,3,)</f>
        <v>02Skagit</v>
      </c>
      <c r="M3334" s="110" t="str">
        <f>VLOOKUP($K3334,LUTs!$E$2:$H$14,2,)</f>
        <v>North Puget Sound</v>
      </c>
      <c r="N3334" s="110" t="str">
        <f>VLOOKUP($K3334,LUTs!$E$2:$H$14,4,)</f>
        <v>01North Puget Sound</v>
      </c>
      <c r="O3334" s="110">
        <v>18.122596153846199</v>
      </c>
      <c r="P3334" s="110">
        <v>154.76697115384701</v>
      </c>
      <c r="Q3334" s="110">
        <f>SUMIFS('FW_Steelhead_by_Month_2010-2021'!Q$2:Q$3810,'FW_Steelhead_by_Month_2010-2021'!$B$2:$B$3810,'Rec_raw_catch_effort_2010-2021'!$B3334,'FW_Steelhead_by_Month_2010-2021'!$H$2:$H$3810,'Rec_raw_catch_effort_2010-2021'!$F3334,'FW_Steelhead_by_Month_2010-2021'!$M$2:$M$3810,'Rec_raw_catch_effort_2010-2021'!$K3334)</f>
        <v>18.381857626830559</v>
      </c>
      <c r="R3334" s="111">
        <f>VLOOKUP(B3334,Readme!$A$62:$C$74,3,)*Q3334</f>
        <v>384.68149702882556</v>
      </c>
      <c r="S3334" s="140" t="str">
        <f t="shared" si="253"/>
        <v>Y</v>
      </c>
      <c r="T3334" s="154">
        <f t="shared" si="254"/>
        <v>8.5400000000000258</v>
      </c>
      <c r="U3334" s="154">
        <f t="shared" si="255"/>
        <v>20.927237324879293</v>
      </c>
    </row>
    <row r="3335" spans="1:21" x14ac:dyDescent="0.35">
      <c r="A3335" s="110">
        <v>1614</v>
      </c>
      <c r="B3335" s="110">
        <v>2010</v>
      </c>
      <c r="C3335" s="110" t="s">
        <v>38</v>
      </c>
      <c r="D3335" s="110" t="s">
        <v>143</v>
      </c>
      <c r="E3335" s="110" t="s">
        <v>86</v>
      </c>
      <c r="F3335" s="117">
        <v>844</v>
      </c>
      <c r="G3335" s="110" t="s">
        <v>62</v>
      </c>
      <c r="H3335" s="110" t="str">
        <f t="shared" si="252"/>
        <v>Skykomish River</v>
      </c>
      <c r="I3335" s="110" t="str">
        <f>IFERROR(VLOOKUP(H3335,LUTs!$A$1:$C$73,2,FALSE),"NA")</f>
        <v>Snohomish</v>
      </c>
      <c r="J3335" s="110" t="str">
        <f>IFERROR(VLOOKUP(H3335,LUTs!$A$1:$C$73,3,FALSE),"NA")</f>
        <v>2Central Puget Sound</v>
      </c>
      <c r="K3335" s="110" t="s">
        <v>16</v>
      </c>
      <c r="L3335" s="110" t="str">
        <f>VLOOKUP(K3335,LUTs!E$2:G$14,3,)</f>
        <v>03Snohomish</v>
      </c>
      <c r="M3335" s="110" t="str">
        <f>VLOOKUP($K3335,LUTs!$E$2:$H$14,2,)</f>
        <v>North Puget Sound</v>
      </c>
      <c r="N3335" s="110" t="str">
        <f>VLOOKUP($K3335,LUTs!$E$2:$H$14,4,)</f>
        <v>01North Puget Sound</v>
      </c>
      <c r="O3335" s="110">
        <v>1928.76201923077</v>
      </c>
      <c r="P3335" s="110">
        <v>16471.627644230801</v>
      </c>
      <c r="Q3335" s="110">
        <f>SUMIFS('FW_Steelhead_by_Month_2010-2021'!Q$2:Q$3810,'FW_Steelhead_by_Month_2010-2021'!$B$2:$B$3810,'Rec_raw_catch_effort_2010-2021'!$B3335,'FW_Steelhead_by_Month_2010-2021'!$H$2:$H$3810,'Rec_raw_catch_effort_2010-2021'!$F3335,'FW_Steelhead_by_Month_2010-2021'!$M$2:$M$3810,'Rec_raw_catch_effort_2010-2021'!$K3335)</f>
        <v>1721.2644686184731</v>
      </c>
      <c r="R3335" s="111">
        <f>VLOOKUP(B3335,Readme!$A$62:$C$74,3,)*Q3335</f>
        <v>36021.31003366103</v>
      </c>
      <c r="S3335" s="140" t="str">
        <f t="shared" si="253"/>
        <v>Y</v>
      </c>
      <c r="T3335" s="154">
        <f t="shared" si="254"/>
        <v>8.5400000000000134</v>
      </c>
      <c r="U3335" s="154">
        <f t="shared" si="255"/>
        <v>20.927237324879293</v>
      </c>
    </row>
    <row r="3336" spans="1:21" x14ac:dyDescent="0.35">
      <c r="A3336" s="110">
        <v>1771</v>
      </c>
      <c r="B3336" s="110">
        <v>2010</v>
      </c>
      <c r="C3336" s="110" t="s">
        <v>38</v>
      </c>
      <c r="D3336" s="110" t="s">
        <v>143</v>
      </c>
      <c r="E3336" s="110" t="s">
        <v>86</v>
      </c>
      <c r="F3336" s="117">
        <v>844</v>
      </c>
      <c r="G3336" s="110" t="s">
        <v>62</v>
      </c>
      <c r="H3336" s="110" t="str">
        <f t="shared" si="252"/>
        <v>Skykomish River</v>
      </c>
      <c r="I3336" s="110" t="str">
        <f>IFERROR(VLOOKUP(H3336,LUTs!$A$1:$C$73,2,FALSE),"NA")</f>
        <v>Snohomish</v>
      </c>
      <c r="J3336" s="110" t="str">
        <f>IFERROR(VLOOKUP(H3336,LUTs!$A$1:$C$73,3,FALSE),"NA")</f>
        <v>2Central Puget Sound</v>
      </c>
      <c r="K3336" s="110" t="s">
        <v>21</v>
      </c>
      <c r="L3336" s="110" t="str">
        <f>VLOOKUP(K3336,LUTs!E$2:G$14,3,)</f>
        <v>08Thurston</v>
      </c>
      <c r="M3336" s="110" t="str">
        <f>VLOOKUP($K3336,LUTs!$E$2:$H$14,2,)</f>
        <v>South Puget Sound</v>
      </c>
      <c r="N3336" s="110" t="str">
        <f>VLOOKUP($K3336,LUTs!$E$2:$H$14,4,)</f>
        <v>02South Puget Sound</v>
      </c>
      <c r="O3336" s="110">
        <v>5.1778846153846203</v>
      </c>
      <c r="P3336" s="110">
        <v>44.219134615384696</v>
      </c>
      <c r="Q3336" s="110">
        <f>SUMIFS('FW_Steelhead_by_Month_2010-2021'!Q$2:Q$3810,'FW_Steelhead_by_Month_2010-2021'!$B$2:$B$3810,'Rec_raw_catch_effort_2010-2021'!$B3336,'FW_Steelhead_by_Month_2010-2021'!$H$2:$H$3810,'Rec_raw_catch_effort_2010-2021'!$F3336,'FW_Steelhead_by_Month_2010-2021'!$M$2:$M$3810,'Rec_raw_catch_effort_2010-2021'!$K3336)</f>
        <v>5.7698735804585404</v>
      </c>
      <c r="R3336" s="111">
        <f>VLOOKUP(B3336,Readme!$A$62:$C$74,3,)*Q3336</f>
        <v>120.7475137528069</v>
      </c>
      <c r="S3336" s="140" t="str">
        <f t="shared" si="253"/>
        <v>Y</v>
      </c>
      <c r="T3336" s="154">
        <f t="shared" si="254"/>
        <v>8.540000000000008</v>
      </c>
      <c r="U3336" s="154">
        <f t="shared" si="255"/>
        <v>20.927237324879293</v>
      </c>
    </row>
    <row r="3337" spans="1:21" x14ac:dyDescent="0.35">
      <c r="A3337" s="110">
        <v>1612</v>
      </c>
      <c r="B3337" s="110">
        <v>2010</v>
      </c>
      <c r="C3337" s="110" t="s">
        <v>38</v>
      </c>
      <c r="D3337" s="110" t="s">
        <v>143</v>
      </c>
      <c r="E3337" s="110" t="s">
        <v>86</v>
      </c>
      <c r="F3337" s="117">
        <v>844</v>
      </c>
      <c r="G3337" s="110" t="s">
        <v>62</v>
      </c>
      <c r="H3337" s="110" t="str">
        <f t="shared" si="252"/>
        <v>Skykomish River</v>
      </c>
      <c r="I3337" s="110" t="str">
        <f>IFERROR(VLOOKUP(H3337,LUTs!$A$1:$C$73,2,FALSE),"NA")</f>
        <v>Snohomish</v>
      </c>
      <c r="J3337" s="110" t="str">
        <f>IFERROR(VLOOKUP(H3337,LUTs!$A$1:$C$73,3,FALSE),"NA")</f>
        <v>2Central Puget Sound</v>
      </c>
      <c r="K3337" s="110" t="s">
        <v>13</v>
      </c>
      <c r="L3337" s="110" t="str">
        <f>VLOOKUP(K3337,LUTs!E$2:G$14,3,)</f>
        <v>01Whatcom</v>
      </c>
      <c r="M3337" s="110" t="str">
        <f>VLOOKUP($K3337,LUTs!$E$2:$H$14,2,)</f>
        <v>North Puget Sound</v>
      </c>
      <c r="N3337" s="110" t="str">
        <f>VLOOKUP($K3337,LUTs!$E$2:$H$14,4,)</f>
        <v>01North Puget Sound</v>
      </c>
      <c r="O3337" s="110">
        <v>5.1778846153846203</v>
      </c>
      <c r="P3337" s="110">
        <v>44.219134615384696</v>
      </c>
      <c r="Q3337" s="110">
        <f>SUMIFS('FW_Steelhead_by_Month_2010-2021'!Q$2:Q$3810,'FW_Steelhead_by_Month_2010-2021'!$B$2:$B$3810,'Rec_raw_catch_effort_2010-2021'!$B3337,'FW_Steelhead_by_Month_2010-2021'!$H$2:$H$3810,'Rec_raw_catch_effort_2010-2021'!$F3337,'FW_Steelhead_by_Month_2010-2021'!$M$2:$M$3810,'Rec_raw_catch_effort_2010-2021'!$K3337)</f>
        <v>5.8273026315789505</v>
      </c>
      <c r="R3337" s="111">
        <f>VLOOKUP(B3337,Readme!$A$62:$C$74,3,)*Q3337</f>
        <v>121.94934513494634</v>
      </c>
      <c r="S3337" s="140" t="str">
        <f t="shared" si="253"/>
        <v>Y</v>
      </c>
      <c r="T3337" s="154">
        <f t="shared" si="254"/>
        <v>8.540000000000008</v>
      </c>
      <c r="U3337" s="154">
        <f t="shared" si="255"/>
        <v>20.927237324879293</v>
      </c>
    </row>
    <row r="3338" spans="1:21" x14ac:dyDescent="0.35">
      <c r="A3338" s="110">
        <v>2338</v>
      </c>
      <c r="B3338" s="110">
        <v>2011</v>
      </c>
      <c r="C3338" s="110" t="s">
        <v>38</v>
      </c>
      <c r="D3338" s="110" t="s">
        <v>143</v>
      </c>
      <c r="E3338" s="110" t="s">
        <v>86</v>
      </c>
      <c r="F3338" s="117">
        <v>844</v>
      </c>
      <c r="G3338" s="110" t="s">
        <v>62</v>
      </c>
      <c r="H3338" s="110" t="str">
        <f t="shared" si="252"/>
        <v>Skykomish River</v>
      </c>
      <c r="I3338" s="110" t="str">
        <f>IFERROR(VLOOKUP(H3338,LUTs!$A$1:$C$73,2,FALSE),"NA")</f>
        <v>Snohomish</v>
      </c>
      <c r="J3338" s="110" t="str">
        <f>IFERROR(VLOOKUP(H3338,LUTs!$A$1:$C$73,3,FALSE),"NA")</f>
        <v>2Central Puget Sound</v>
      </c>
      <c r="K3338" s="110" t="s">
        <v>17</v>
      </c>
      <c r="L3338" s="110" t="str">
        <f>VLOOKUP(K3338,LUTs!E$2:G$14,3,)</f>
        <v>04Island</v>
      </c>
      <c r="M3338" s="110" t="str">
        <f>VLOOKUP($K3338,LUTs!$E$2:$H$14,2,)</f>
        <v>North Puget Sound</v>
      </c>
      <c r="N3338" s="110" t="str">
        <f>VLOOKUP($K3338,LUTs!$E$2:$H$14,4,)</f>
        <v>01North Puget Sound</v>
      </c>
      <c r="O3338" s="110">
        <v>16.006176652254499</v>
      </c>
      <c r="P3338" s="110">
        <v>296.91457689932099</v>
      </c>
      <c r="Q3338" s="110">
        <f>SUMIFS('FW_Steelhead_by_Month_2010-2021'!Q$2:Q$3810,'FW_Steelhead_by_Month_2010-2021'!$B$2:$B$3810,'Rec_raw_catch_effort_2010-2021'!$B3338,'FW_Steelhead_by_Month_2010-2021'!$H$2:$H$3810,'Rec_raw_catch_effort_2010-2021'!$F3338,'FW_Steelhead_by_Month_2010-2021'!$M$2:$M$3810,'Rec_raw_catch_effort_2010-2021'!$K3338)</f>
        <v>10.1212020537602</v>
      </c>
      <c r="R3338" s="111">
        <f>VLOOKUP(B3338,Readme!$A$62:$C$74,3,)*Q3338</f>
        <v>211.80879739209541</v>
      </c>
      <c r="S3338" s="140" t="str">
        <f t="shared" si="253"/>
        <v>Y</v>
      </c>
      <c r="T3338" s="154">
        <f t="shared" si="254"/>
        <v>18.55</v>
      </c>
      <c r="U3338" s="154">
        <f t="shared" si="255"/>
        <v>20.927237324879293</v>
      </c>
    </row>
    <row r="3339" spans="1:21" x14ac:dyDescent="0.35">
      <c r="A3339" s="110">
        <v>2339</v>
      </c>
      <c r="B3339" s="110">
        <v>2011</v>
      </c>
      <c r="C3339" s="110" t="s">
        <v>38</v>
      </c>
      <c r="D3339" s="110" t="s">
        <v>143</v>
      </c>
      <c r="E3339" s="110" t="s">
        <v>86</v>
      </c>
      <c r="F3339" s="117">
        <v>844</v>
      </c>
      <c r="G3339" s="110" t="s">
        <v>62</v>
      </c>
      <c r="H3339" s="110" t="str">
        <f t="shared" si="252"/>
        <v>Skykomish River</v>
      </c>
      <c r="I3339" s="110" t="str">
        <f>IFERROR(VLOOKUP(H3339,LUTs!$A$1:$C$73,2,FALSE),"NA")</f>
        <v>Snohomish</v>
      </c>
      <c r="J3339" s="110" t="str">
        <f>IFERROR(VLOOKUP(H3339,LUTs!$A$1:$C$73,3,FALSE),"NA")</f>
        <v>2Central Puget Sound</v>
      </c>
      <c r="K3339" s="110" t="s">
        <v>18</v>
      </c>
      <c r="L3339" s="110" t="str">
        <f>VLOOKUP(K3339,LUTs!E$2:G$14,3,)</f>
        <v>06King</v>
      </c>
      <c r="M3339" s="110" t="str">
        <f>VLOOKUP($K3339,LUTs!$E$2:$H$14,2,)</f>
        <v>South Puget Sound</v>
      </c>
      <c r="N3339" s="110" t="str">
        <f>VLOOKUP($K3339,LUTs!$E$2:$H$14,4,)</f>
        <v>02South Puget Sound</v>
      </c>
      <c r="O3339" s="110">
        <v>1661.9746757257601</v>
      </c>
      <c r="P3339" s="110">
        <v>30829.630234712899</v>
      </c>
      <c r="Q3339" s="110">
        <f>SUMIFS('FW_Steelhead_by_Month_2010-2021'!Q$2:Q$3810,'FW_Steelhead_by_Month_2010-2021'!$B$2:$B$3810,'Rec_raw_catch_effort_2010-2021'!$B3339,'FW_Steelhead_by_Month_2010-2021'!$H$2:$H$3810,'Rec_raw_catch_effort_2010-2021'!$F3339,'FW_Steelhead_by_Month_2010-2021'!$M$2:$M$3810,'Rec_raw_catch_effort_2010-2021'!$K3339)</f>
        <v>1392.9621219811804</v>
      </c>
      <c r="R3339" s="111">
        <f>VLOOKUP(B3339,Readme!$A$62:$C$74,3,)*Q3339</f>
        <v>29150.848911267622</v>
      </c>
      <c r="S3339" s="140" t="str">
        <f t="shared" si="253"/>
        <v>Y</v>
      </c>
      <c r="T3339" s="154">
        <f t="shared" si="254"/>
        <v>18.550000000000029</v>
      </c>
      <c r="U3339" s="154">
        <f t="shared" si="255"/>
        <v>20.927237324879293</v>
      </c>
    </row>
    <row r="3340" spans="1:21" x14ac:dyDescent="0.35">
      <c r="A3340" s="110">
        <v>2446</v>
      </c>
      <c r="B3340" s="110">
        <v>2011</v>
      </c>
      <c r="C3340" s="110" t="s">
        <v>38</v>
      </c>
      <c r="D3340" s="110" t="s">
        <v>143</v>
      </c>
      <c r="E3340" s="110" t="s">
        <v>86</v>
      </c>
      <c r="F3340" s="117">
        <v>844</v>
      </c>
      <c r="G3340" s="110" t="s">
        <v>62</v>
      </c>
      <c r="H3340" s="110" t="str">
        <f t="shared" si="252"/>
        <v>Skykomish River</v>
      </c>
      <c r="I3340" s="110" t="str">
        <f>IFERROR(VLOOKUP(H3340,LUTs!$A$1:$C$73,2,FALSE),"NA")</f>
        <v>Snohomish</v>
      </c>
      <c r="J3340" s="110" t="str">
        <f>IFERROR(VLOOKUP(H3340,LUTs!$A$1:$C$73,3,FALSE),"NA")</f>
        <v>2Central Puget Sound</v>
      </c>
      <c r="K3340" s="110" t="s">
        <v>23</v>
      </c>
      <c r="L3340" s="110" t="str">
        <f>VLOOKUP(K3340,LUTs!E$2:G$14,3,)</f>
        <v>10Kitsap</v>
      </c>
      <c r="M3340" s="110" t="str">
        <f>VLOOKUP($K3340,LUTs!$E$2:$H$14,2,)</f>
        <v>South Puget Sound</v>
      </c>
      <c r="N3340" s="110" t="str">
        <f>VLOOKUP($K3340,LUTs!$E$2:$H$14,4,)</f>
        <v>02South Puget Sound</v>
      </c>
      <c r="O3340" s="110">
        <v>10.6707844348363</v>
      </c>
      <c r="P3340" s="110">
        <v>197.94305126621299</v>
      </c>
      <c r="Q3340" s="110">
        <f>SUMIFS('FW_Steelhead_by_Month_2010-2021'!Q$2:Q$3810,'FW_Steelhead_by_Month_2010-2021'!$B$2:$B$3810,'Rec_raw_catch_effort_2010-2021'!$B3340,'FW_Steelhead_by_Month_2010-2021'!$H$2:$H$3810,'Rec_raw_catch_effort_2010-2021'!$F3340,'FW_Steelhead_by_Month_2010-2021'!$M$2:$M$3810,'Rec_raw_catch_effort_2010-2021'!$K3340)</f>
        <v>2.53766233766234</v>
      </c>
      <c r="R3340" s="111">
        <f>VLOOKUP(B3340,Readme!$A$62:$C$74,3,)*Q3340</f>
        <v>53.106261990667761</v>
      </c>
      <c r="S3340" s="140" t="str">
        <f t="shared" si="253"/>
        <v>Y</v>
      </c>
      <c r="T3340" s="154">
        <f t="shared" si="254"/>
        <v>18.549999999999965</v>
      </c>
      <c r="U3340" s="154">
        <f t="shared" si="255"/>
        <v>20.927237324879293</v>
      </c>
    </row>
    <row r="3341" spans="1:21" x14ac:dyDescent="0.35">
      <c r="A3341" s="110">
        <v>2445</v>
      </c>
      <c r="B3341" s="110">
        <v>2011</v>
      </c>
      <c r="C3341" s="110" t="s">
        <v>38</v>
      </c>
      <c r="D3341" s="110" t="s">
        <v>143</v>
      </c>
      <c r="E3341" s="110" t="s">
        <v>86</v>
      </c>
      <c r="F3341" s="117">
        <v>844</v>
      </c>
      <c r="G3341" s="110" t="s">
        <v>62</v>
      </c>
      <c r="H3341" s="110" t="str">
        <f t="shared" si="252"/>
        <v>Skykomish River</v>
      </c>
      <c r="I3341" s="110" t="str">
        <f>IFERROR(VLOOKUP(H3341,LUTs!$A$1:$C$73,2,FALSE),"NA")</f>
        <v>Snohomish</v>
      </c>
      <c r="J3341" s="110" t="str">
        <f>IFERROR(VLOOKUP(H3341,LUTs!$A$1:$C$73,3,FALSE),"NA")</f>
        <v>2Central Puget Sound</v>
      </c>
      <c r="K3341" s="110" t="s">
        <v>22</v>
      </c>
      <c r="L3341" s="110" t="str">
        <f>VLOOKUP(K3341,LUTs!E$2:G$14,3,)</f>
        <v>09Mason</v>
      </c>
      <c r="M3341" s="110" t="str">
        <f>VLOOKUP($K3341,LUTs!$E$2:$H$14,2,)</f>
        <v>South Puget Sound</v>
      </c>
      <c r="N3341" s="110" t="str">
        <f>VLOOKUP($K3341,LUTs!$E$2:$H$14,4,)</f>
        <v>02South Puget Sound</v>
      </c>
      <c r="O3341" s="110">
        <v>2.6676961087090798</v>
      </c>
      <c r="P3341" s="110">
        <v>49.485762816553397</v>
      </c>
      <c r="Q3341" s="110">
        <f>SUMIFS('FW_Steelhead_by_Month_2010-2021'!Q$2:Q$3810,'FW_Steelhead_by_Month_2010-2021'!$B$2:$B$3810,'Rec_raw_catch_effort_2010-2021'!$B3341,'FW_Steelhead_by_Month_2010-2021'!$H$2:$H$3810,'Rec_raw_catch_effort_2010-2021'!$F3341,'FW_Steelhead_by_Month_2010-2021'!$M$2:$M$3810,'Rec_raw_catch_effort_2010-2021'!$K3341)</f>
        <v>2.8159999999999998</v>
      </c>
      <c r="R3341" s="111">
        <f>VLOOKUP(B3341,Readme!$A$62:$C$74,3,)*Q3341</f>
        <v>58.931100306860088</v>
      </c>
      <c r="S3341" s="140" t="str">
        <f t="shared" si="253"/>
        <v>Y</v>
      </c>
      <c r="T3341" s="154">
        <f t="shared" si="254"/>
        <v>18.549999999999986</v>
      </c>
      <c r="U3341" s="154">
        <f t="shared" si="255"/>
        <v>20.927237324879293</v>
      </c>
    </row>
    <row r="3342" spans="1:21" x14ac:dyDescent="0.35">
      <c r="A3342" s="110">
        <v>2447</v>
      </c>
      <c r="B3342" s="110">
        <v>2011</v>
      </c>
      <c r="C3342" s="110" t="s">
        <v>38</v>
      </c>
      <c r="D3342" s="110" t="s">
        <v>143</v>
      </c>
      <c r="E3342" s="110" t="s">
        <v>86</v>
      </c>
      <c r="F3342" s="117">
        <v>844</v>
      </c>
      <c r="G3342" s="110" t="s">
        <v>62</v>
      </c>
      <c r="H3342" s="110" t="str">
        <f t="shared" si="252"/>
        <v>Skykomish River</v>
      </c>
      <c r="I3342" s="110" t="str">
        <f>IFERROR(VLOOKUP(H3342,LUTs!$A$1:$C$73,2,FALSE),"NA")</f>
        <v>Snohomish</v>
      </c>
      <c r="J3342" s="110" t="str">
        <f>IFERROR(VLOOKUP(H3342,LUTs!$A$1:$C$73,3,FALSE),"NA")</f>
        <v>2Central Puget Sound</v>
      </c>
      <c r="K3342" s="110" t="s">
        <v>26</v>
      </c>
      <c r="L3342" s="110" t="str">
        <f>VLOOKUP(K3342,LUTs!E$2:G$14,3,)</f>
        <v>20Other</v>
      </c>
      <c r="M3342" s="110" t="str">
        <f>VLOOKUP($K3342,LUTs!$E$2:$H$14,2,)</f>
        <v>Non Puget Sound</v>
      </c>
      <c r="N3342" s="110" t="str">
        <f>VLOOKUP($K3342,LUTs!$E$2:$H$14,4,)</f>
        <v>07Non Puget Sound</v>
      </c>
      <c r="O3342" s="110">
        <v>138.720197652872</v>
      </c>
      <c r="P3342" s="110">
        <v>2573.25966646078</v>
      </c>
      <c r="Q3342" s="110">
        <f>SUMIFS('FW_Steelhead_by_Month_2010-2021'!Q$2:Q$3810,'FW_Steelhead_by_Month_2010-2021'!$B$2:$B$3810,'Rec_raw_catch_effort_2010-2021'!$B3342,'FW_Steelhead_by_Month_2010-2021'!$H$2:$H$3810,'Rec_raw_catch_effort_2010-2021'!$F3342,'FW_Steelhead_by_Month_2010-2021'!$M$2:$M$3810,'Rec_raw_catch_effort_2010-2021'!$K3342)</f>
        <v>145.33992900140495</v>
      </c>
      <c r="R3342" s="111">
        <f>VLOOKUP(B3342,Readme!$A$62:$C$74,3,)*Q3342</f>
        <v>3041.5631869935082</v>
      </c>
      <c r="S3342" s="140" t="str">
        <f t="shared" si="253"/>
        <v>Y</v>
      </c>
      <c r="T3342" s="154">
        <f t="shared" si="254"/>
        <v>18.550000000000033</v>
      </c>
      <c r="U3342" s="154">
        <f t="shared" si="255"/>
        <v>20.927237324879293</v>
      </c>
    </row>
    <row r="3343" spans="1:21" x14ac:dyDescent="0.35">
      <c r="A3343" s="110">
        <v>2340</v>
      </c>
      <c r="B3343" s="110">
        <v>2011</v>
      </c>
      <c r="C3343" s="110" t="s">
        <v>38</v>
      </c>
      <c r="D3343" s="110" t="s">
        <v>143</v>
      </c>
      <c r="E3343" s="110" t="s">
        <v>86</v>
      </c>
      <c r="F3343" s="117">
        <v>844</v>
      </c>
      <c r="G3343" s="110" t="s">
        <v>62</v>
      </c>
      <c r="H3343" s="110" t="str">
        <f t="shared" si="252"/>
        <v>Skykomish River</v>
      </c>
      <c r="I3343" s="110" t="str">
        <f>IFERROR(VLOOKUP(H3343,LUTs!$A$1:$C$73,2,FALSE),"NA")</f>
        <v>Snohomish</v>
      </c>
      <c r="J3343" s="110" t="str">
        <f>IFERROR(VLOOKUP(H3343,LUTs!$A$1:$C$73,3,FALSE),"NA")</f>
        <v>2Central Puget Sound</v>
      </c>
      <c r="K3343" s="110" t="s">
        <v>20</v>
      </c>
      <c r="L3343" s="110" t="str">
        <f>VLOOKUP(K3343,LUTs!E$2:G$14,3,)</f>
        <v>07Pierce</v>
      </c>
      <c r="M3343" s="110" t="str">
        <f>VLOOKUP($K3343,LUTs!$E$2:$H$14,2,)</f>
        <v>South Puget Sound</v>
      </c>
      <c r="N3343" s="110" t="str">
        <f>VLOOKUP($K3343,LUTs!$E$2:$H$14,4,)</f>
        <v>02South Puget Sound</v>
      </c>
      <c r="O3343" s="110">
        <v>18.673872760963601</v>
      </c>
      <c r="P3343" s="110">
        <v>346.40033971587502</v>
      </c>
      <c r="Q3343" s="110">
        <f>SUMIFS('FW_Steelhead_by_Month_2010-2021'!Q$2:Q$3810,'FW_Steelhead_by_Month_2010-2021'!$B$2:$B$3810,'Rec_raw_catch_effort_2010-2021'!$B3343,'FW_Steelhead_by_Month_2010-2021'!$H$2:$H$3810,'Rec_raw_catch_effort_2010-2021'!$F3343,'FW_Steelhead_by_Month_2010-2021'!$M$2:$M$3810,'Rec_raw_catch_effort_2010-2021'!$K3343)</f>
        <v>21.13215186913617</v>
      </c>
      <c r="R3343" s="111">
        <f>VLOOKUP(B3343,Readme!$A$62:$C$74,3,)*Q3343</f>
        <v>442.2375573508042</v>
      </c>
      <c r="S3343" s="140" t="str">
        <f t="shared" si="253"/>
        <v>Y</v>
      </c>
      <c r="T3343" s="154">
        <f t="shared" si="254"/>
        <v>18.550000000000011</v>
      </c>
      <c r="U3343" s="154">
        <f t="shared" si="255"/>
        <v>20.927237324879293</v>
      </c>
    </row>
    <row r="3344" spans="1:21" x14ac:dyDescent="0.35">
      <c r="A3344" s="110">
        <v>2336</v>
      </c>
      <c r="B3344" s="110">
        <v>2011</v>
      </c>
      <c r="C3344" s="110" t="s">
        <v>38</v>
      </c>
      <c r="D3344" s="110" t="s">
        <v>143</v>
      </c>
      <c r="E3344" s="110" t="s">
        <v>86</v>
      </c>
      <c r="F3344" s="117">
        <v>844</v>
      </c>
      <c r="G3344" s="110" t="s">
        <v>62</v>
      </c>
      <c r="H3344" s="110" t="str">
        <f t="shared" si="252"/>
        <v>Skykomish River</v>
      </c>
      <c r="I3344" s="110" t="str">
        <f>IFERROR(VLOOKUP(H3344,LUTs!$A$1:$C$73,2,FALSE),"NA")</f>
        <v>Snohomish</v>
      </c>
      <c r="J3344" s="110" t="str">
        <f>IFERROR(VLOOKUP(H3344,LUTs!$A$1:$C$73,3,FALSE),"NA")</f>
        <v>2Central Puget Sound</v>
      </c>
      <c r="K3344" s="110" t="s">
        <v>15</v>
      </c>
      <c r="L3344" s="110" t="str">
        <f>VLOOKUP(K3344,LUTs!E$2:G$14,3,)</f>
        <v>02Skagit</v>
      </c>
      <c r="M3344" s="110" t="str">
        <f>VLOOKUP($K3344,LUTs!$E$2:$H$14,2,)</f>
        <v>North Puget Sound</v>
      </c>
      <c r="N3344" s="110" t="str">
        <f>VLOOKUP($K3344,LUTs!$E$2:$H$14,4,)</f>
        <v>01North Puget Sound</v>
      </c>
      <c r="O3344" s="110">
        <v>24.009264978381701</v>
      </c>
      <c r="P3344" s="110">
        <v>445.37186534898098</v>
      </c>
      <c r="Q3344" s="110">
        <f>SUMIFS('FW_Steelhead_by_Month_2010-2021'!Q$2:Q$3810,'FW_Steelhead_by_Month_2010-2021'!$B$2:$B$3810,'Rec_raw_catch_effort_2010-2021'!$B3344,'FW_Steelhead_by_Month_2010-2021'!$H$2:$H$3810,'Rec_raw_catch_effort_2010-2021'!$F3344,'FW_Steelhead_by_Month_2010-2021'!$M$2:$M$3810,'Rec_raw_catch_effort_2010-2021'!$K3344)</f>
        <v>23.960615409731737</v>
      </c>
      <c r="R3344" s="111">
        <f>VLOOKUP(B3344,Readme!$A$62:$C$74,3,)*Q3344</f>
        <v>501.42948512961595</v>
      </c>
      <c r="S3344" s="140" t="str">
        <f t="shared" si="253"/>
        <v>Y</v>
      </c>
      <c r="T3344" s="154">
        <f t="shared" si="254"/>
        <v>18.550000000000018</v>
      </c>
      <c r="U3344" s="154">
        <f t="shared" si="255"/>
        <v>20.927237324879293</v>
      </c>
    </row>
    <row r="3345" spans="1:21" x14ac:dyDescent="0.35">
      <c r="A3345" s="110">
        <v>2337</v>
      </c>
      <c r="B3345" s="110">
        <v>2011</v>
      </c>
      <c r="C3345" s="110" t="s">
        <v>38</v>
      </c>
      <c r="D3345" s="110" t="s">
        <v>143</v>
      </c>
      <c r="E3345" s="110" t="s">
        <v>86</v>
      </c>
      <c r="F3345" s="117">
        <v>844</v>
      </c>
      <c r="G3345" s="110" t="s">
        <v>62</v>
      </c>
      <c r="H3345" s="110" t="str">
        <f t="shared" si="252"/>
        <v>Skykomish River</v>
      </c>
      <c r="I3345" s="110" t="str">
        <f>IFERROR(VLOOKUP(H3345,LUTs!$A$1:$C$73,2,FALSE),"NA")</f>
        <v>Snohomish</v>
      </c>
      <c r="J3345" s="110" t="str">
        <f>IFERROR(VLOOKUP(H3345,LUTs!$A$1:$C$73,3,FALSE),"NA")</f>
        <v>2Central Puget Sound</v>
      </c>
      <c r="K3345" s="110" t="s">
        <v>16</v>
      </c>
      <c r="L3345" s="110" t="str">
        <f>VLOOKUP(K3345,LUTs!E$2:G$14,3,)</f>
        <v>03Snohomish</v>
      </c>
      <c r="M3345" s="110" t="str">
        <f>VLOOKUP($K3345,LUTs!$E$2:$H$14,2,)</f>
        <v>North Puget Sound</v>
      </c>
      <c r="N3345" s="110" t="str">
        <f>VLOOKUP($K3345,LUTs!$E$2:$H$14,4,)</f>
        <v>01North Puget Sound</v>
      </c>
      <c r="O3345" s="110">
        <v>2408.9295861643</v>
      </c>
      <c r="P3345" s="110">
        <v>44685.643823347797</v>
      </c>
      <c r="Q3345" s="110">
        <f>SUMIFS('FW_Steelhead_by_Month_2010-2021'!Q$2:Q$3810,'FW_Steelhead_by_Month_2010-2021'!$B$2:$B$3810,'Rec_raw_catch_effort_2010-2021'!$B3345,'FW_Steelhead_by_Month_2010-2021'!$H$2:$H$3810,'Rec_raw_catch_effort_2010-2021'!$F3345,'FW_Steelhead_by_Month_2010-2021'!$M$2:$M$3810,'Rec_raw_catch_effort_2010-2021'!$K3345)</f>
        <v>2121.0683578509334</v>
      </c>
      <c r="R3345" s="111">
        <f>VLOOKUP(B3345,Readme!$A$62:$C$74,3,)*Q3345</f>
        <v>44388.100907038483</v>
      </c>
      <c r="S3345" s="140" t="str">
        <f t="shared" si="253"/>
        <v>Y</v>
      </c>
      <c r="T3345" s="154">
        <f t="shared" si="254"/>
        <v>18.550000000000015</v>
      </c>
      <c r="U3345" s="154">
        <f t="shared" si="255"/>
        <v>20.927237324879293</v>
      </c>
    </row>
    <row r="3346" spans="1:21" x14ac:dyDescent="0.35">
      <c r="A3346" s="110">
        <v>2341</v>
      </c>
      <c r="B3346" s="110">
        <v>2011</v>
      </c>
      <c r="C3346" s="110" t="s">
        <v>38</v>
      </c>
      <c r="D3346" s="110" t="s">
        <v>143</v>
      </c>
      <c r="E3346" s="110" t="s">
        <v>86</v>
      </c>
      <c r="F3346" s="117">
        <v>844</v>
      </c>
      <c r="G3346" s="110" t="s">
        <v>62</v>
      </c>
      <c r="H3346" s="110" t="str">
        <f t="shared" si="252"/>
        <v>Skykomish River</v>
      </c>
      <c r="I3346" s="110" t="str">
        <f>IFERROR(VLOOKUP(H3346,LUTs!$A$1:$C$73,2,FALSE),"NA")</f>
        <v>Snohomish</v>
      </c>
      <c r="J3346" s="110" t="str">
        <f>IFERROR(VLOOKUP(H3346,LUTs!$A$1:$C$73,3,FALSE),"NA")</f>
        <v>2Central Puget Sound</v>
      </c>
      <c r="K3346" s="110" t="s">
        <v>21</v>
      </c>
      <c r="L3346" s="110" t="str">
        <f>VLOOKUP(K3346,LUTs!E$2:G$14,3,)</f>
        <v>08Thurston</v>
      </c>
      <c r="M3346" s="110" t="str">
        <f>VLOOKUP($K3346,LUTs!$E$2:$H$14,2,)</f>
        <v>South Puget Sound</v>
      </c>
      <c r="N3346" s="110" t="str">
        <f>VLOOKUP($K3346,LUTs!$E$2:$H$14,4,)</f>
        <v>02South Puget Sound</v>
      </c>
      <c r="O3346" s="110">
        <v>16.006176652254499</v>
      </c>
      <c r="P3346" s="110">
        <v>296.91457689932099</v>
      </c>
      <c r="Q3346" s="110">
        <f>SUMIFS('FW_Steelhead_by_Month_2010-2021'!Q$2:Q$3810,'FW_Steelhead_by_Month_2010-2021'!$B$2:$B$3810,'Rec_raw_catch_effort_2010-2021'!$B3346,'FW_Steelhead_by_Month_2010-2021'!$H$2:$H$3810,'Rec_raw_catch_effort_2010-2021'!$F3346,'FW_Steelhead_by_Month_2010-2021'!$M$2:$M$3810,'Rec_raw_catch_effort_2010-2021'!$K3346)</f>
        <v>16.344750193866478</v>
      </c>
      <c r="R3346" s="111">
        <f>VLOOKUP(B3346,Readme!$A$62:$C$74,3,)*Q3346</f>
        <v>342.05046632291061</v>
      </c>
      <c r="S3346" s="140" t="str">
        <f t="shared" si="253"/>
        <v>Y</v>
      </c>
      <c r="T3346" s="154">
        <f t="shared" si="254"/>
        <v>18.55</v>
      </c>
      <c r="U3346" s="154">
        <f t="shared" si="255"/>
        <v>20.927237324879293</v>
      </c>
    </row>
    <row r="3347" spans="1:21" x14ac:dyDescent="0.35">
      <c r="A3347" s="110">
        <v>2235</v>
      </c>
      <c r="B3347" s="110">
        <v>2011</v>
      </c>
      <c r="C3347" s="110" t="s">
        <v>38</v>
      </c>
      <c r="D3347" s="110" t="s">
        <v>143</v>
      </c>
      <c r="E3347" s="110" t="s">
        <v>86</v>
      </c>
      <c r="F3347" s="117">
        <v>844</v>
      </c>
      <c r="G3347" s="110" t="s">
        <v>62</v>
      </c>
      <c r="H3347" s="110" t="str">
        <f t="shared" si="252"/>
        <v>Skykomish River</v>
      </c>
      <c r="I3347" s="110" t="str">
        <f>IFERROR(VLOOKUP(H3347,LUTs!$A$1:$C$73,2,FALSE),"NA")</f>
        <v>Snohomish</v>
      </c>
      <c r="J3347" s="110" t="str">
        <f>IFERROR(VLOOKUP(H3347,LUTs!$A$1:$C$73,3,FALSE),"NA")</f>
        <v>2Central Puget Sound</v>
      </c>
      <c r="K3347" s="110" t="s">
        <v>13</v>
      </c>
      <c r="L3347" s="110" t="str">
        <f>VLOOKUP(K3347,LUTs!E$2:G$14,3,)</f>
        <v>01Whatcom</v>
      </c>
      <c r="M3347" s="110" t="str">
        <f>VLOOKUP($K3347,LUTs!$E$2:$H$14,2,)</f>
        <v>North Puget Sound</v>
      </c>
      <c r="N3347" s="110" t="str">
        <f>VLOOKUP($K3347,LUTs!$E$2:$H$14,4,)</f>
        <v>01North Puget Sound</v>
      </c>
      <c r="O3347" s="110">
        <v>21.341568869672599</v>
      </c>
      <c r="P3347" s="110">
        <v>395.886102532427</v>
      </c>
      <c r="Q3347" s="110">
        <f>SUMIFS('FW_Steelhead_by_Month_2010-2021'!Q$2:Q$3810,'FW_Steelhead_by_Month_2010-2021'!$B$2:$B$3810,'Rec_raw_catch_effort_2010-2021'!$B3347,'FW_Steelhead_by_Month_2010-2021'!$H$2:$H$3810,'Rec_raw_catch_effort_2010-2021'!$F3347,'FW_Steelhead_by_Month_2010-2021'!$M$2:$M$3810,'Rec_raw_catch_effort_2010-2021'!$K3347)</f>
        <v>19.717209302325578</v>
      </c>
      <c r="R3347" s="111">
        <f>VLOOKUP(B3347,Readme!$A$62:$C$74,3,)*Q3347</f>
        <v>412.62671845408505</v>
      </c>
      <c r="S3347" s="140" t="str">
        <f t="shared" si="253"/>
        <v>Y</v>
      </c>
      <c r="T3347" s="154">
        <f t="shared" si="254"/>
        <v>18.550000000000015</v>
      </c>
      <c r="U3347" s="154">
        <f t="shared" si="255"/>
        <v>20.927237324879293</v>
      </c>
    </row>
    <row r="3348" spans="1:21" x14ac:dyDescent="0.35">
      <c r="A3348" s="110">
        <v>1585</v>
      </c>
      <c r="B3348" s="110">
        <v>2012</v>
      </c>
      <c r="C3348" s="110" t="s">
        <v>38</v>
      </c>
      <c r="D3348" s="110" t="s">
        <v>143</v>
      </c>
      <c r="E3348" s="110" t="s">
        <v>86</v>
      </c>
      <c r="F3348" s="117">
        <v>844</v>
      </c>
      <c r="G3348" s="110" t="s">
        <v>62</v>
      </c>
      <c r="H3348" s="110" t="str">
        <f t="shared" si="252"/>
        <v>Skykomish River</v>
      </c>
      <c r="I3348" s="110" t="str">
        <f>IFERROR(VLOOKUP(H3348,LUTs!$A$1:$C$73,2,FALSE),"NA")</f>
        <v>Snohomish</v>
      </c>
      <c r="J3348" s="110" t="str">
        <f>IFERROR(VLOOKUP(H3348,LUTs!$A$1:$C$73,3,FALSE),"NA")</f>
        <v>2Central Puget Sound</v>
      </c>
      <c r="K3348" s="110" t="s">
        <v>17</v>
      </c>
      <c r="L3348" s="110" t="str">
        <f>VLOOKUP(K3348,LUTs!E$2:G$14,3,)</f>
        <v>04Island</v>
      </c>
      <c r="M3348" s="110" t="str">
        <f>VLOOKUP($K3348,LUTs!$E$2:$H$14,2,)</f>
        <v>North Puget Sound</v>
      </c>
      <c r="N3348" s="110" t="str">
        <f>VLOOKUP($K3348,LUTs!$E$2:$H$14,4,)</f>
        <v>01North Puget Sound</v>
      </c>
      <c r="O3348" s="110">
        <v>34.947251526929499</v>
      </c>
      <c r="P3348" s="110">
        <v>298.44952803997802</v>
      </c>
      <c r="Q3348" s="110">
        <f>SUMIFS('FW_Steelhead_by_Month_2010-2021'!Q$2:Q$3810,'FW_Steelhead_by_Month_2010-2021'!$B$2:$B$3810,'Rec_raw_catch_effort_2010-2021'!$B3348,'FW_Steelhead_by_Month_2010-2021'!$H$2:$H$3810,'Rec_raw_catch_effort_2010-2021'!$F3348,'FW_Steelhead_by_Month_2010-2021'!$M$2:$M$3810,'Rec_raw_catch_effort_2010-2021'!$K3348)</f>
        <v>42.520343917898025</v>
      </c>
      <c r="R3348" s="111">
        <f>VLOOKUP(B3348,Readme!$A$62:$C$74,3,)*Q3348</f>
        <v>889.83332830533982</v>
      </c>
      <c r="S3348" s="140" t="str">
        <f t="shared" si="253"/>
        <v>Y</v>
      </c>
      <c r="T3348" s="154">
        <f t="shared" si="254"/>
        <v>8.5400000000000027</v>
      </c>
      <c r="U3348" s="154">
        <f t="shared" si="255"/>
        <v>20.927237324879293</v>
      </c>
    </row>
    <row r="3349" spans="1:21" x14ac:dyDescent="0.35">
      <c r="A3349" s="110">
        <v>1722</v>
      </c>
      <c r="B3349" s="110">
        <v>2012</v>
      </c>
      <c r="C3349" s="110" t="s">
        <v>38</v>
      </c>
      <c r="D3349" s="110" t="s">
        <v>143</v>
      </c>
      <c r="E3349" s="110" t="s">
        <v>86</v>
      </c>
      <c r="F3349" s="117">
        <v>844</v>
      </c>
      <c r="G3349" s="110" t="s">
        <v>62</v>
      </c>
      <c r="H3349" s="110" t="str">
        <f t="shared" si="252"/>
        <v>Skykomish River</v>
      </c>
      <c r="I3349" s="110" t="str">
        <f>IFERROR(VLOOKUP(H3349,LUTs!$A$1:$C$73,2,FALSE),"NA")</f>
        <v>Snohomish</v>
      </c>
      <c r="J3349" s="110" t="str">
        <f>IFERROR(VLOOKUP(H3349,LUTs!$A$1:$C$73,3,FALSE),"NA")</f>
        <v>2Central Puget Sound</v>
      </c>
      <c r="K3349" s="110" t="s">
        <v>18</v>
      </c>
      <c r="L3349" s="110" t="str">
        <f>VLOOKUP(K3349,LUTs!E$2:G$14,3,)</f>
        <v>06King</v>
      </c>
      <c r="M3349" s="110" t="str">
        <f>VLOOKUP($K3349,LUTs!$E$2:$H$14,2,)</f>
        <v>South Puget Sound</v>
      </c>
      <c r="N3349" s="110" t="str">
        <f>VLOOKUP($K3349,LUTs!$E$2:$H$14,4,)</f>
        <v>02South Puget Sound</v>
      </c>
      <c r="O3349" s="110">
        <v>2155.0805108273198</v>
      </c>
      <c r="P3349" s="110">
        <v>18404.387562465301</v>
      </c>
      <c r="Q3349" s="110">
        <f>SUMIFS('FW_Steelhead_by_Month_2010-2021'!Q$2:Q$3810,'FW_Steelhead_by_Month_2010-2021'!$B$2:$B$3810,'Rec_raw_catch_effort_2010-2021'!$B3349,'FW_Steelhead_by_Month_2010-2021'!$H$2:$H$3810,'Rec_raw_catch_effort_2010-2021'!$F3349,'FW_Steelhead_by_Month_2010-2021'!$M$2:$M$3810,'Rec_raw_catch_effort_2010-2021'!$K3349)</f>
        <v>2303.0351187392216</v>
      </c>
      <c r="R3349" s="111">
        <f>VLOOKUP(B3349,Readme!$A$62:$C$74,3,)*Q3349</f>
        <v>48196.162497387253</v>
      </c>
      <c r="S3349" s="140" t="str">
        <f t="shared" si="253"/>
        <v>Y</v>
      </c>
      <c r="T3349" s="154">
        <f t="shared" si="254"/>
        <v>8.5399999999999956</v>
      </c>
      <c r="U3349" s="154">
        <f t="shared" si="255"/>
        <v>20.927237324879293</v>
      </c>
    </row>
    <row r="3350" spans="1:21" x14ac:dyDescent="0.35">
      <c r="A3350" s="110">
        <v>1725</v>
      </c>
      <c r="B3350" s="110">
        <v>2012</v>
      </c>
      <c r="C3350" s="110" t="s">
        <v>38</v>
      </c>
      <c r="D3350" s="110" t="s">
        <v>143</v>
      </c>
      <c r="E3350" s="110" t="s">
        <v>86</v>
      </c>
      <c r="F3350" s="117">
        <v>844</v>
      </c>
      <c r="G3350" s="110" t="s">
        <v>62</v>
      </c>
      <c r="H3350" s="110" t="str">
        <f t="shared" si="252"/>
        <v>Skykomish River</v>
      </c>
      <c r="I3350" s="110" t="str">
        <f>IFERROR(VLOOKUP(H3350,LUTs!$A$1:$C$73,2,FALSE),"NA")</f>
        <v>Snohomish</v>
      </c>
      <c r="J3350" s="110" t="str">
        <f>IFERROR(VLOOKUP(H3350,LUTs!$A$1:$C$73,3,FALSE),"NA")</f>
        <v>2Central Puget Sound</v>
      </c>
      <c r="K3350" s="110" t="s">
        <v>23</v>
      </c>
      <c r="L3350" s="110" t="str">
        <f>VLOOKUP(K3350,LUTs!E$2:G$14,3,)</f>
        <v>10Kitsap</v>
      </c>
      <c r="M3350" s="110" t="str">
        <f>VLOOKUP($K3350,LUTs!$E$2:$H$14,2,)</f>
        <v>South Puget Sound</v>
      </c>
      <c r="N3350" s="110" t="str">
        <f>VLOOKUP($K3350,LUTs!$E$2:$H$14,4,)</f>
        <v>02South Puget Sound</v>
      </c>
      <c r="O3350" s="110">
        <v>8.7368128817323694</v>
      </c>
      <c r="P3350" s="110">
        <v>74.612382009994406</v>
      </c>
      <c r="Q3350" s="110">
        <f>SUMIFS('FW_Steelhead_by_Month_2010-2021'!Q$2:Q$3810,'FW_Steelhead_by_Month_2010-2021'!$B$2:$B$3810,'Rec_raw_catch_effort_2010-2021'!$B3350,'FW_Steelhead_by_Month_2010-2021'!$H$2:$H$3810,'Rec_raw_catch_effort_2010-2021'!$F3350,'FW_Steelhead_by_Month_2010-2021'!$M$2:$M$3810,'Rec_raw_catch_effort_2010-2021'!$K3350)</f>
        <v>16.402895334917659</v>
      </c>
      <c r="R3350" s="111">
        <f>VLOOKUP(B3350,Readme!$A$62:$C$74,3,)*Q3350</f>
        <v>343.26728348897728</v>
      </c>
      <c r="S3350" s="140" t="str">
        <f t="shared" si="253"/>
        <v>Y</v>
      </c>
      <c r="T3350" s="154">
        <f t="shared" si="254"/>
        <v>8.5399999999999974</v>
      </c>
      <c r="U3350" s="154">
        <f t="shared" si="255"/>
        <v>20.927237324879293</v>
      </c>
    </row>
    <row r="3351" spans="1:21" x14ac:dyDescent="0.35">
      <c r="A3351" s="110">
        <v>1726</v>
      </c>
      <c r="B3351" s="110">
        <v>2012</v>
      </c>
      <c r="C3351" s="110" t="s">
        <v>38</v>
      </c>
      <c r="D3351" s="110" t="s">
        <v>143</v>
      </c>
      <c r="E3351" s="110" t="s">
        <v>86</v>
      </c>
      <c r="F3351" s="117">
        <v>844</v>
      </c>
      <c r="G3351" s="110" t="s">
        <v>62</v>
      </c>
      <c r="H3351" s="110" t="str">
        <f t="shared" si="252"/>
        <v>Skykomish River</v>
      </c>
      <c r="I3351" s="110" t="str">
        <f>IFERROR(VLOOKUP(H3351,LUTs!$A$1:$C$73,2,FALSE),"NA")</f>
        <v>Snohomish</v>
      </c>
      <c r="J3351" s="110" t="str">
        <f>IFERROR(VLOOKUP(H3351,LUTs!$A$1:$C$73,3,FALSE),"NA")</f>
        <v>2Central Puget Sound</v>
      </c>
      <c r="K3351" s="110" t="s">
        <v>26</v>
      </c>
      <c r="L3351" s="110" t="str">
        <f>VLOOKUP(K3351,LUTs!E$2:G$14,3,)</f>
        <v>20Other</v>
      </c>
      <c r="M3351" s="110" t="str">
        <f>VLOOKUP($K3351,LUTs!$E$2:$H$14,2,)</f>
        <v>Non Puget Sound</v>
      </c>
      <c r="N3351" s="110" t="str">
        <f>VLOOKUP($K3351,LUTs!$E$2:$H$14,4,)</f>
        <v>07Non Puget Sound</v>
      </c>
      <c r="O3351" s="110">
        <v>110.66629650194299</v>
      </c>
      <c r="P3351" s="110">
        <v>945.09017212659296</v>
      </c>
      <c r="Q3351" s="110">
        <f>SUMIFS('FW_Steelhead_by_Month_2010-2021'!Q$2:Q$3810,'FW_Steelhead_by_Month_2010-2021'!$B$2:$B$3810,'Rec_raw_catch_effort_2010-2021'!$B3351,'FW_Steelhead_by_Month_2010-2021'!$H$2:$H$3810,'Rec_raw_catch_effort_2010-2021'!$F3351,'FW_Steelhead_by_Month_2010-2021'!$M$2:$M$3810,'Rec_raw_catch_effort_2010-2021'!$K3351)</f>
        <v>104.07293205645016</v>
      </c>
      <c r="R3351" s="111">
        <f>VLOOKUP(B3351,Readme!$A$62:$C$74,3,)*Q3351</f>
        <v>2177.9589482413703</v>
      </c>
      <c r="S3351" s="140" t="str">
        <f t="shared" si="253"/>
        <v>Y</v>
      </c>
      <c r="T3351" s="154">
        <f t="shared" si="254"/>
        <v>8.5399999999999974</v>
      </c>
      <c r="U3351" s="154">
        <f t="shared" si="255"/>
        <v>20.927237324879293</v>
      </c>
    </row>
    <row r="3352" spans="1:21" x14ac:dyDescent="0.35">
      <c r="A3352" s="110">
        <v>1723</v>
      </c>
      <c r="B3352" s="110">
        <v>2012</v>
      </c>
      <c r="C3352" s="110" t="s">
        <v>38</v>
      </c>
      <c r="D3352" s="110" t="s">
        <v>143</v>
      </c>
      <c r="E3352" s="110" t="s">
        <v>86</v>
      </c>
      <c r="F3352" s="117">
        <v>844</v>
      </c>
      <c r="G3352" s="110" t="s">
        <v>62</v>
      </c>
      <c r="H3352" s="110" t="str">
        <f t="shared" si="252"/>
        <v>Skykomish River</v>
      </c>
      <c r="I3352" s="110" t="str">
        <f>IFERROR(VLOOKUP(H3352,LUTs!$A$1:$C$73,2,FALSE),"NA")</f>
        <v>Snohomish</v>
      </c>
      <c r="J3352" s="110" t="str">
        <f>IFERROR(VLOOKUP(H3352,LUTs!$A$1:$C$73,3,FALSE),"NA")</f>
        <v>2Central Puget Sound</v>
      </c>
      <c r="K3352" s="110" t="s">
        <v>20</v>
      </c>
      <c r="L3352" s="110" t="str">
        <f>VLOOKUP(K3352,LUTs!E$2:G$14,3,)</f>
        <v>07Pierce</v>
      </c>
      <c r="M3352" s="110" t="str">
        <f>VLOOKUP($K3352,LUTs!$E$2:$H$14,2,)</f>
        <v>South Puget Sound</v>
      </c>
      <c r="N3352" s="110" t="str">
        <f>VLOOKUP($K3352,LUTs!$E$2:$H$14,4,)</f>
        <v>02South Puget Sound</v>
      </c>
      <c r="O3352" s="110">
        <v>55.333148250971703</v>
      </c>
      <c r="P3352" s="110">
        <v>472.54508606329802</v>
      </c>
      <c r="Q3352" s="110">
        <f>SUMIFS('FW_Steelhead_by_Month_2010-2021'!Q$2:Q$3810,'FW_Steelhead_by_Month_2010-2021'!$B$2:$B$3810,'Rec_raw_catch_effort_2010-2021'!$B3352,'FW_Steelhead_by_Month_2010-2021'!$H$2:$H$3810,'Rec_raw_catch_effort_2010-2021'!$F3352,'FW_Steelhead_by_Month_2010-2021'!$M$2:$M$3810,'Rec_raw_catch_effort_2010-2021'!$K3352)</f>
        <v>55.088989070139682</v>
      </c>
      <c r="R3352" s="111">
        <f>VLOOKUP(B3352,Readme!$A$62:$C$74,3,)*Q3352</f>
        <v>1152.8603482584945</v>
      </c>
      <c r="S3352" s="140" t="str">
        <f t="shared" si="253"/>
        <v>Y</v>
      </c>
      <c r="T3352" s="154">
        <f t="shared" si="254"/>
        <v>8.5399999999999938</v>
      </c>
      <c r="U3352" s="154">
        <f t="shared" si="255"/>
        <v>20.92723732487929</v>
      </c>
    </row>
    <row r="3353" spans="1:21" x14ac:dyDescent="0.35">
      <c r="A3353" s="110">
        <v>1570</v>
      </c>
      <c r="B3353" s="110">
        <v>2012</v>
      </c>
      <c r="C3353" s="110" t="s">
        <v>38</v>
      </c>
      <c r="D3353" s="110" t="s">
        <v>143</v>
      </c>
      <c r="E3353" s="110" t="s">
        <v>86</v>
      </c>
      <c r="F3353" s="117">
        <v>844</v>
      </c>
      <c r="G3353" s="110" t="s">
        <v>62</v>
      </c>
      <c r="H3353" s="110" t="str">
        <f t="shared" si="252"/>
        <v>Skykomish River</v>
      </c>
      <c r="I3353" s="110" t="str">
        <f>IFERROR(VLOOKUP(H3353,LUTs!$A$1:$C$73,2,FALSE),"NA")</f>
        <v>Snohomish</v>
      </c>
      <c r="J3353" s="110" t="str">
        <f>IFERROR(VLOOKUP(H3353,LUTs!$A$1:$C$73,3,FALSE),"NA")</f>
        <v>2Central Puget Sound</v>
      </c>
      <c r="K3353" s="110" t="s">
        <v>15</v>
      </c>
      <c r="L3353" s="110" t="str">
        <f>VLOOKUP(K3353,LUTs!E$2:G$14,3,)</f>
        <v>02Skagit</v>
      </c>
      <c r="M3353" s="110" t="str">
        <f>VLOOKUP($K3353,LUTs!$E$2:$H$14,2,)</f>
        <v>North Puget Sound</v>
      </c>
      <c r="N3353" s="110" t="str">
        <f>VLOOKUP($K3353,LUTs!$E$2:$H$14,4,)</f>
        <v>01North Puget Sound</v>
      </c>
      <c r="O3353" s="110">
        <v>8.7368128817323694</v>
      </c>
      <c r="P3353" s="110">
        <v>74.612382009994406</v>
      </c>
      <c r="Q3353" s="110">
        <f>SUMIFS('FW_Steelhead_by_Month_2010-2021'!Q$2:Q$3810,'FW_Steelhead_by_Month_2010-2021'!$B$2:$B$3810,'Rec_raw_catch_effort_2010-2021'!$B3353,'FW_Steelhead_by_Month_2010-2021'!$H$2:$H$3810,'Rec_raw_catch_effort_2010-2021'!$F3353,'FW_Steelhead_by_Month_2010-2021'!$M$2:$M$3810,'Rec_raw_catch_effort_2010-2021'!$K3353)</f>
        <v>5.8396910262137798</v>
      </c>
      <c r="R3353" s="111">
        <f>VLOOKUP(B3353,Readme!$A$62:$C$74,3,)*Q3353</f>
        <v>122.20860000954367</v>
      </c>
      <c r="S3353" s="140" t="str">
        <f t="shared" si="253"/>
        <v>Y</v>
      </c>
      <c r="T3353" s="154">
        <f t="shared" si="254"/>
        <v>8.5399999999999974</v>
      </c>
      <c r="U3353" s="154">
        <f t="shared" si="255"/>
        <v>20.927237324879293</v>
      </c>
    </row>
    <row r="3354" spans="1:21" x14ac:dyDescent="0.35">
      <c r="A3354" s="110">
        <v>1584</v>
      </c>
      <c r="B3354" s="110">
        <v>2012</v>
      </c>
      <c r="C3354" s="110" t="s">
        <v>38</v>
      </c>
      <c r="D3354" s="110" t="s">
        <v>143</v>
      </c>
      <c r="E3354" s="110" t="s">
        <v>86</v>
      </c>
      <c r="F3354" s="117">
        <v>844</v>
      </c>
      <c r="G3354" s="110" t="s">
        <v>62</v>
      </c>
      <c r="H3354" s="110" t="str">
        <f t="shared" si="252"/>
        <v>Skykomish River</v>
      </c>
      <c r="I3354" s="110" t="str">
        <f>IFERROR(VLOOKUP(H3354,LUTs!$A$1:$C$73,2,FALSE),"NA")</f>
        <v>Snohomish</v>
      </c>
      <c r="J3354" s="110" t="str">
        <f>IFERROR(VLOOKUP(H3354,LUTs!$A$1:$C$73,3,FALSE),"NA")</f>
        <v>2Central Puget Sound</v>
      </c>
      <c r="K3354" s="110" t="s">
        <v>16</v>
      </c>
      <c r="L3354" s="110" t="str">
        <f>VLOOKUP(K3354,LUTs!E$2:G$14,3,)</f>
        <v>03Snohomish</v>
      </c>
      <c r="M3354" s="110" t="str">
        <f>VLOOKUP($K3354,LUTs!$E$2:$H$14,2,)</f>
        <v>North Puget Sound</v>
      </c>
      <c r="N3354" s="110" t="str">
        <f>VLOOKUP($K3354,LUTs!$E$2:$H$14,4,)</f>
        <v>01North Puget Sound</v>
      </c>
      <c r="O3354" s="110">
        <v>2821.9905607995602</v>
      </c>
      <c r="P3354" s="110">
        <v>24099.799389228199</v>
      </c>
      <c r="Q3354" s="110">
        <f>SUMIFS('FW_Steelhead_by_Month_2010-2021'!Q$2:Q$3810,'FW_Steelhead_by_Month_2010-2021'!$B$2:$B$3810,'Rec_raw_catch_effort_2010-2021'!$B3354,'FW_Steelhead_by_Month_2010-2021'!$H$2:$H$3810,'Rec_raw_catch_effort_2010-2021'!$F3354,'FW_Steelhead_by_Month_2010-2021'!$M$2:$M$3810,'Rec_raw_catch_effort_2010-2021'!$K3354)</f>
        <v>2979.998211425278</v>
      </c>
      <c r="R3354" s="111">
        <f>VLOOKUP(B3354,Readme!$A$62:$C$74,3,)*Q3354</f>
        <v>62363.129798212613</v>
      </c>
      <c r="S3354" s="140" t="str">
        <f t="shared" si="253"/>
        <v>Y</v>
      </c>
      <c r="T3354" s="154">
        <f t="shared" si="254"/>
        <v>8.5399999999999849</v>
      </c>
      <c r="U3354" s="154">
        <f t="shared" si="255"/>
        <v>20.927237324879293</v>
      </c>
    </row>
    <row r="3355" spans="1:21" x14ac:dyDescent="0.35">
      <c r="A3355" s="110">
        <v>1724</v>
      </c>
      <c r="B3355" s="110">
        <v>2012</v>
      </c>
      <c r="C3355" s="110" t="s">
        <v>38</v>
      </c>
      <c r="D3355" s="110" t="s">
        <v>143</v>
      </c>
      <c r="E3355" s="110" t="s">
        <v>86</v>
      </c>
      <c r="F3355" s="117">
        <v>844</v>
      </c>
      <c r="G3355" s="110" t="s">
        <v>62</v>
      </c>
      <c r="H3355" s="110" t="str">
        <f t="shared" si="252"/>
        <v>Skykomish River</v>
      </c>
      <c r="I3355" s="110" t="str">
        <f>IFERROR(VLOOKUP(H3355,LUTs!$A$1:$C$73,2,FALSE),"NA")</f>
        <v>Snohomish</v>
      </c>
      <c r="J3355" s="110" t="str">
        <f>IFERROR(VLOOKUP(H3355,LUTs!$A$1:$C$73,3,FALSE),"NA")</f>
        <v>2Central Puget Sound</v>
      </c>
      <c r="K3355" s="110" t="s">
        <v>21</v>
      </c>
      <c r="L3355" s="110" t="str">
        <f>VLOOKUP(K3355,LUTs!E$2:G$14,3,)</f>
        <v>08Thurston</v>
      </c>
      <c r="M3355" s="110" t="str">
        <f>VLOOKUP($K3355,LUTs!$E$2:$H$14,2,)</f>
        <v>South Puget Sound</v>
      </c>
      <c r="N3355" s="110" t="str">
        <f>VLOOKUP($K3355,LUTs!$E$2:$H$14,4,)</f>
        <v>02South Puget Sound</v>
      </c>
      <c r="O3355" s="110">
        <v>5.8245419211549203</v>
      </c>
      <c r="P3355" s="110">
        <v>49.741588006663001</v>
      </c>
      <c r="Q3355" s="110">
        <f>SUMIFS('FW_Steelhead_by_Month_2010-2021'!Q$2:Q$3810,'FW_Steelhead_by_Month_2010-2021'!$B$2:$B$3810,'Rec_raw_catch_effort_2010-2021'!$B3355,'FW_Steelhead_by_Month_2010-2021'!$H$2:$H$3810,'Rec_raw_catch_effort_2010-2021'!$F3355,'FW_Steelhead_by_Month_2010-2021'!$M$2:$M$3810,'Rec_raw_catch_effort_2010-2021'!$K3355)</f>
        <v>0</v>
      </c>
      <c r="R3355" s="111">
        <f>VLOOKUP(B3355,Readme!$A$62:$C$74,3,)*Q3355</f>
        <v>0</v>
      </c>
      <c r="S3355" s="140" t="str">
        <f t="shared" si="253"/>
        <v>Y</v>
      </c>
      <c r="T3355" s="154">
        <f t="shared" si="254"/>
        <v>8.5399999999999974</v>
      </c>
      <c r="U3355" s="154" t="str">
        <f t="shared" si="255"/>
        <v>NA</v>
      </c>
    </row>
    <row r="3356" spans="1:21" x14ac:dyDescent="0.35">
      <c r="A3356" s="110">
        <v>1569</v>
      </c>
      <c r="B3356" s="110">
        <v>2012</v>
      </c>
      <c r="C3356" s="110" t="s">
        <v>38</v>
      </c>
      <c r="D3356" s="110" t="s">
        <v>143</v>
      </c>
      <c r="E3356" s="110" t="s">
        <v>86</v>
      </c>
      <c r="F3356" s="117">
        <v>844</v>
      </c>
      <c r="G3356" s="110" t="s">
        <v>62</v>
      </c>
      <c r="H3356" s="110" t="str">
        <f t="shared" si="252"/>
        <v>Skykomish River</v>
      </c>
      <c r="I3356" s="110" t="str">
        <f>IFERROR(VLOOKUP(H3356,LUTs!$A$1:$C$73,2,FALSE),"NA")</f>
        <v>Snohomish</v>
      </c>
      <c r="J3356" s="110" t="str">
        <f>IFERROR(VLOOKUP(H3356,LUTs!$A$1:$C$73,3,FALSE),"NA")</f>
        <v>2Central Puget Sound</v>
      </c>
      <c r="K3356" s="110" t="s">
        <v>13</v>
      </c>
      <c r="L3356" s="110" t="str">
        <f>VLOOKUP(K3356,LUTs!E$2:G$14,3,)</f>
        <v>01Whatcom</v>
      </c>
      <c r="M3356" s="110" t="str">
        <f>VLOOKUP($K3356,LUTs!$E$2:$H$14,2,)</f>
        <v>North Puget Sound</v>
      </c>
      <c r="N3356" s="110" t="str">
        <f>VLOOKUP($K3356,LUTs!$E$2:$H$14,4,)</f>
        <v>01North Puget Sound</v>
      </c>
      <c r="O3356" s="110">
        <v>43.684064408661897</v>
      </c>
      <c r="P3356" s="110">
        <v>373.06191004997299</v>
      </c>
      <c r="Q3356" s="110">
        <f>SUMIFS('FW_Steelhead_by_Month_2010-2021'!Q$2:Q$3810,'FW_Steelhead_by_Month_2010-2021'!$B$2:$B$3810,'Rec_raw_catch_effort_2010-2021'!$B3356,'FW_Steelhead_by_Month_2010-2021'!$H$2:$H$3810,'Rec_raw_catch_effort_2010-2021'!$F3356,'FW_Steelhead_by_Month_2010-2021'!$M$2:$M$3810,'Rec_raw_catch_effort_2010-2021'!$K3356)</f>
        <v>46.041818429881523</v>
      </c>
      <c r="R3356" s="111">
        <f>VLOOKUP(B3356,Readme!$A$62:$C$74,3,)*Q3356</f>
        <v>963.52806115113196</v>
      </c>
      <c r="S3356" s="140" t="str">
        <f t="shared" si="253"/>
        <v>Y</v>
      </c>
      <c r="T3356" s="154">
        <f t="shared" si="254"/>
        <v>8.5400000000000098</v>
      </c>
      <c r="U3356" s="154">
        <f t="shared" si="255"/>
        <v>20.927237324879293</v>
      </c>
    </row>
    <row r="3357" spans="1:21" x14ac:dyDescent="0.35">
      <c r="A3357" s="110">
        <v>1758</v>
      </c>
      <c r="B3357" s="110">
        <v>2013</v>
      </c>
      <c r="C3357" s="110" t="s">
        <v>38</v>
      </c>
      <c r="D3357" s="110" t="s">
        <v>143</v>
      </c>
      <c r="E3357" s="110" t="s">
        <v>86</v>
      </c>
      <c r="F3357" s="117">
        <v>844</v>
      </c>
      <c r="G3357" s="110" t="s">
        <v>62</v>
      </c>
      <c r="H3357" s="110" t="str">
        <f t="shared" si="252"/>
        <v>Skykomish River</v>
      </c>
      <c r="I3357" s="110" t="str">
        <f>IFERROR(VLOOKUP(H3357,LUTs!$A$1:$C$73,2,FALSE),"NA")</f>
        <v>Snohomish</v>
      </c>
      <c r="J3357" s="110" t="str">
        <f>IFERROR(VLOOKUP(H3357,LUTs!$A$1:$C$73,3,FALSE),"NA")</f>
        <v>2Central Puget Sound</v>
      </c>
      <c r="K3357" s="110" t="s">
        <v>17</v>
      </c>
      <c r="L3357" s="110" t="str">
        <f>VLOOKUP(K3357,LUTs!E$2:G$14,3,)</f>
        <v>04Island</v>
      </c>
      <c r="M3357" s="110" t="str">
        <f>VLOOKUP($K3357,LUTs!$E$2:$H$14,2,)</f>
        <v>North Puget Sound</v>
      </c>
      <c r="N3357" s="110" t="str">
        <f>VLOOKUP($K3357,LUTs!$E$2:$H$14,4,)</f>
        <v>01North Puget Sound</v>
      </c>
      <c r="O3357" s="110">
        <v>7.1442176870748302</v>
      </c>
      <c r="P3357" s="110">
        <v>132.525238095238</v>
      </c>
      <c r="Q3357" s="110">
        <f>SUMIFS('FW_Steelhead_by_Month_2010-2021'!Q$2:Q$3810,'FW_Steelhead_by_Month_2010-2021'!$B$2:$B$3810,'Rec_raw_catch_effort_2010-2021'!$B3357,'FW_Steelhead_by_Month_2010-2021'!$H$2:$H$3810,'Rec_raw_catch_effort_2010-2021'!$F3357,'FW_Steelhead_by_Month_2010-2021'!$M$2:$M$3810,'Rec_raw_catch_effort_2010-2021'!$K3357)</f>
        <v>6.2065807755462901</v>
      </c>
      <c r="R3357" s="111">
        <f>VLOOKUP(B3357,Readme!$A$62:$C$74,3,)*Q3357</f>
        <v>129.88658886589059</v>
      </c>
      <c r="S3357" s="140" t="str">
        <f t="shared" si="253"/>
        <v>Y</v>
      </c>
      <c r="T3357" s="154">
        <f t="shared" si="254"/>
        <v>18.549999999999986</v>
      </c>
      <c r="U3357" s="154">
        <f t="shared" si="255"/>
        <v>20.927237324879293</v>
      </c>
    </row>
    <row r="3358" spans="1:21" x14ac:dyDescent="0.35">
      <c r="A3358" s="110">
        <v>1759</v>
      </c>
      <c r="B3358" s="110">
        <v>2013</v>
      </c>
      <c r="C3358" s="110" t="s">
        <v>38</v>
      </c>
      <c r="D3358" s="110" t="s">
        <v>143</v>
      </c>
      <c r="E3358" s="110" t="s">
        <v>86</v>
      </c>
      <c r="F3358" s="117">
        <v>844</v>
      </c>
      <c r="G3358" s="110" t="s">
        <v>62</v>
      </c>
      <c r="H3358" s="110" t="str">
        <f t="shared" si="252"/>
        <v>Skykomish River</v>
      </c>
      <c r="I3358" s="110" t="str">
        <f>IFERROR(VLOOKUP(H3358,LUTs!$A$1:$C$73,2,FALSE),"NA")</f>
        <v>Snohomish</v>
      </c>
      <c r="J3358" s="110" t="str">
        <f>IFERROR(VLOOKUP(H3358,LUTs!$A$1:$C$73,3,FALSE),"NA")</f>
        <v>2Central Puget Sound</v>
      </c>
      <c r="K3358" s="110" t="s">
        <v>18</v>
      </c>
      <c r="L3358" s="110" t="str">
        <f>VLOOKUP(K3358,LUTs!E$2:G$14,3,)</f>
        <v>06King</v>
      </c>
      <c r="M3358" s="110" t="str">
        <f>VLOOKUP($K3358,LUTs!$E$2:$H$14,2,)</f>
        <v>South Puget Sound</v>
      </c>
      <c r="N3358" s="110" t="str">
        <f>VLOOKUP($K3358,LUTs!$E$2:$H$14,4,)</f>
        <v>02South Puget Sound</v>
      </c>
      <c r="O3358" s="110">
        <v>1932.51088435374</v>
      </c>
      <c r="P3358" s="110">
        <v>35848.076904761903</v>
      </c>
      <c r="Q3358" s="110">
        <f>SUMIFS('FW_Steelhead_by_Month_2010-2021'!Q$2:Q$3810,'FW_Steelhead_by_Month_2010-2021'!$B$2:$B$3810,'Rec_raw_catch_effort_2010-2021'!$B3358,'FW_Steelhead_by_Month_2010-2021'!$H$2:$H$3810,'Rec_raw_catch_effort_2010-2021'!$F3358,'FW_Steelhead_by_Month_2010-2021'!$M$2:$M$3810,'Rec_raw_catch_effort_2010-2021'!$K3358)</f>
        <v>1940.9976085530734</v>
      </c>
      <c r="R3358" s="111">
        <f>VLOOKUP(B3358,Readme!$A$62:$C$74,3,)*Q3358</f>
        <v>40619.717601213328</v>
      </c>
      <c r="S3358" s="140" t="str">
        <f t="shared" si="253"/>
        <v>Y</v>
      </c>
      <c r="T3358" s="154">
        <f t="shared" si="254"/>
        <v>18.550000000000015</v>
      </c>
      <c r="U3358" s="154">
        <f t="shared" si="255"/>
        <v>20.927237324879293</v>
      </c>
    </row>
    <row r="3359" spans="1:21" x14ac:dyDescent="0.35">
      <c r="A3359" s="110">
        <v>1933</v>
      </c>
      <c r="B3359" s="110">
        <v>2013</v>
      </c>
      <c r="C3359" s="110" t="s">
        <v>38</v>
      </c>
      <c r="D3359" s="110" t="s">
        <v>143</v>
      </c>
      <c r="E3359" s="110" t="s">
        <v>86</v>
      </c>
      <c r="F3359" s="117">
        <v>844</v>
      </c>
      <c r="G3359" s="110" t="s">
        <v>62</v>
      </c>
      <c r="H3359" s="110" t="str">
        <f t="shared" si="252"/>
        <v>Skykomish River</v>
      </c>
      <c r="I3359" s="110" t="str">
        <f>IFERROR(VLOOKUP(H3359,LUTs!$A$1:$C$73,2,FALSE),"NA")</f>
        <v>Snohomish</v>
      </c>
      <c r="J3359" s="110" t="str">
        <f>IFERROR(VLOOKUP(H3359,LUTs!$A$1:$C$73,3,FALSE),"NA")</f>
        <v>2Central Puget Sound</v>
      </c>
      <c r="K3359" s="110" t="s">
        <v>23</v>
      </c>
      <c r="L3359" s="110" t="str">
        <f>VLOOKUP(K3359,LUTs!E$2:G$14,3,)</f>
        <v>10Kitsap</v>
      </c>
      <c r="M3359" s="110" t="str">
        <f>VLOOKUP($K3359,LUTs!$E$2:$H$14,2,)</f>
        <v>South Puget Sound</v>
      </c>
      <c r="N3359" s="110" t="str">
        <f>VLOOKUP($K3359,LUTs!$E$2:$H$14,4,)</f>
        <v>02South Puget Sound</v>
      </c>
      <c r="O3359" s="110">
        <v>32.148979591836699</v>
      </c>
      <c r="P3359" s="110">
        <v>596.36357142857105</v>
      </c>
      <c r="Q3359" s="110">
        <f>SUMIFS('FW_Steelhead_by_Month_2010-2021'!Q$2:Q$3810,'FW_Steelhead_by_Month_2010-2021'!$B$2:$B$3810,'Rec_raw_catch_effort_2010-2021'!$B3359,'FW_Steelhead_by_Month_2010-2021'!$H$2:$H$3810,'Rec_raw_catch_effort_2010-2021'!$F3359,'FW_Steelhead_by_Month_2010-2021'!$M$2:$M$3810,'Rec_raw_catch_effort_2010-2021'!$K3359)</f>
        <v>30.74792592592593</v>
      </c>
      <c r="R3359" s="111">
        <f>VLOOKUP(B3359,Readme!$A$62:$C$74,3,)*Q3359</f>
        <v>643.46914309966087</v>
      </c>
      <c r="S3359" s="140" t="str">
        <f t="shared" si="253"/>
        <v>Y</v>
      </c>
      <c r="T3359" s="154">
        <f t="shared" si="254"/>
        <v>18.550000000000008</v>
      </c>
      <c r="U3359" s="154">
        <f t="shared" si="255"/>
        <v>20.927237324879293</v>
      </c>
    </row>
    <row r="3360" spans="1:21" x14ac:dyDescent="0.35">
      <c r="A3360" s="110">
        <v>1934</v>
      </c>
      <c r="B3360" s="110">
        <v>2013</v>
      </c>
      <c r="C3360" s="110" t="s">
        <v>38</v>
      </c>
      <c r="D3360" s="110" t="s">
        <v>143</v>
      </c>
      <c r="E3360" s="110" t="s">
        <v>86</v>
      </c>
      <c r="F3360" s="117">
        <v>844</v>
      </c>
      <c r="G3360" s="110" t="s">
        <v>62</v>
      </c>
      <c r="H3360" s="110" t="str">
        <f t="shared" si="252"/>
        <v>Skykomish River</v>
      </c>
      <c r="I3360" s="110" t="str">
        <f>IFERROR(VLOOKUP(H3360,LUTs!$A$1:$C$73,2,FALSE),"NA")</f>
        <v>Snohomish</v>
      </c>
      <c r="J3360" s="110" t="str">
        <f>IFERROR(VLOOKUP(H3360,LUTs!$A$1:$C$73,3,FALSE),"NA")</f>
        <v>2Central Puget Sound</v>
      </c>
      <c r="K3360" s="110" t="s">
        <v>26</v>
      </c>
      <c r="L3360" s="110" t="str">
        <f>VLOOKUP(K3360,LUTs!E$2:G$14,3,)</f>
        <v>20Other</v>
      </c>
      <c r="M3360" s="110" t="str">
        <f>VLOOKUP($K3360,LUTs!$E$2:$H$14,2,)</f>
        <v>Non Puget Sound</v>
      </c>
      <c r="N3360" s="110" t="str">
        <f>VLOOKUP($K3360,LUTs!$E$2:$H$14,4,)</f>
        <v>07Non Puget Sound</v>
      </c>
      <c r="O3360" s="110">
        <v>128.595918367347</v>
      </c>
      <c r="P3360" s="110">
        <v>2385.4542857142901</v>
      </c>
      <c r="Q3360" s="110">
        <f>SUMIFS('FW_Steelhead_by_Month_2010-2021'!Q$2:Q$3810,'FW_Steelhead_by_Month_2010-2021'!$B$2:$B$3810,'Rec_raw_catch_effort_2010-2021'!$B3360,'FW_Steelhead_by_Month_2010-2021'!$H$2:$H$3810,'Rec_raw_catch_effort_2010-2021'!$F3360,'FW_Steelhead_by_Month_2010-2021'!$M$2:$M$3810,'Rec_raw_catch_effort_2010-2021'!$K3360)</f>
        <v>143.4550448499246</v>
      </c>
      <c r="R3360" s="111">
        <f>VLOOKUP(B3360,Readme!$A$62:$C$74,3,)*Q3360</f>
        <v>3002.1177690255754</v>
      </c>
      <c r="S3360" s="140" t="str">
        <f t="shared" si="253"/>
        <v>Y</v>
      </c>
      <c r="T3360" s="154">
        <f t="shared" si="254"/>
        <v>18.550000000000026</v>
      </c>
      <c r="U3360" s="154">
        <f t="shared" si="255"/>
        <v>20.927237324879293</v>
      </c>
    </row>
    <row r="3361" spans="1:21" x14ac:dyDescent="0.35">
      <c r="A3361" s="110">
        <v>1760</v>
      </c>
      <c r="B3361" s="110">
        <v>2013</v>
      </c>
      <c r="C3361" s="110" t="s">
        <v>38</v>
      </c>
      <c r="D3361" s="110" t="s">
        <v>143</v>
      </c>
      <c r="E3361" s="110" t="s">
        <v>86</v>
      </c>
      <c r="F3361" s="117">
        <v>844</v>
      </c>
      <c r="G3361" s="110" t="s">
        <v>62</v>
      </c>
      <c r="H3361" s="110" t="str">
        <f t="shared" si="252"/>
        <v>Skykomish River</v>
      </c>
      <c r="I3361" s="110" t="str">
        <f>IFERROR(VLOOKUP(H3361,LUTs!$A$1:$C$73,2,FALSE),"NA")</f>
        <v>Snohomish</v>
      </c>
      <c r="J3361" s="110" t="str">
        <f>IFERROR(VLOOKUP(H3361,LUTs!$A$1:$C$73,3,FALSE),"NA")</f>
        <v>2Central Puget Sound</v>
      </c>
      <c r="K3361" s="110" t="s">
        <v>20</v>
      </c>
      <c r="L3361" s="110" t="str">
        <f>VLOOKUP(K3361,LUTs!E$2:G$14,3,)</f>
        <v>07Pierce</v>
      </c>
      <c r="M3361" s="110" t="str">
        <f>VLOOKUP($K3361,LUTs!$E$2:$H$14,2,)</f>
        <v>South Puget Sound</v>
      </c>
      <c r="N3361" s="110" t="str">
        <f>VLOOKUP($K3361,LUTs!$E$2:$H$14,4,)</f>
        <v>02South Puget Sound</v>
      </c>
      <c r="O3361" s="110">
        <v>57.153741496598599</v>
      </c>
      <c r="P3361" s="110">
        <v>1060.2019047619001</v>
      </c>
      <c r="Q3361" s="110">
        <f>SUMIFS('FW_Steelhead_by_Month_2010-2021'!Q$2:Q$3810,'FW_Steelhead_by_Month_2010-2021'!$B$2:$B$3810,'Rec_raw_catch_effort_2010-2021'!$B3361,'FW_Steelhead_by_Month_2010-2021'!$H$2:$H$3810,'Rec_raw_catch_effort_2010-2021'!$F3361,'FW_Steelhead_by_Month_2010-2021'!$M$2:$M$3810,'Rec_raw_catch_effort_2010-2021'!$K3361)</f>
        <v>55.45930809930811</v>
      </c>
      <c r="R3361" s="111">
        <f>VLOOKUP(B3361,Readme!$A$62:$C$74,3,)*Q3361</f>
        <v>1160.6101024678212</v>
      </c>
      <c r="S3361" s="140" t="str">
        <f t="shared" si="253"/>
        <v>Y</v>
      </c>
      <c r="T3361" s="154">
        <f t="shared" si="254"/>
        <v>18.549999999999933</v>
      </c>
      <c r="U3361" s="154">
        <f t="shared" si="255"/>
        <v>20.927237324879293</v>
      </c>
    </row>
    <row r="3362" spans="1:21" x14ac:dyDescent="0.35">
      <c r="A3362" s="110">
        <v>1601</v>
      </c>
      <c r="B3362" s="110">
        <v>2013</v>
      </c>
      <c r="C3362" s="110" t="s">
        <v>38</v>
      </c>
      <c r="D3362" s="110" t="s">
        <v>143</v>
      </c>
      <c r="E3362" s="110" t="s">
        <v>86</v>
      </c>
      <c r="F3362" s="117">
        <v>844</v>
      </c>
      <c r="G3362" s="110" t="s">
        <v>62</v>
      </c>
      <c r="H3362" s="110" t="str">
        <f t="shared" si="252"/>
        <v>Skykomish River</v>
      </c>
      <c r="I3362" s="110" t="str">
        <f>IFERROR(VLOOKUP(H3362,LUTs!$A$1:$C$73,2,FALSE),"NA")</f>
        <v>Snohomish</v>
      </c>
      <c r="J3362" s="110" t="str">
        <f>IFERROR(VLOOKUP(H3362,LUTs!$A$1:$C$73,3,FALSE),"NA")</f>
        <v>2Central Puget Sound</v>
      </c>
      <c r="K3362" s="110" t="s">
        <v>15</v>
      </c>
      <c r="L3362" s="110" t="str">
        <f>VLOOKUP(K3362,LUTs!E$2:G$14,3,)</f>
        <v>02Skagit</v>
      </c>
      <c r="M3362" s="110" t="str">
        <f>VLOOKUP($K3362,LUTs!$E$2:$H$14,2,)</f>
        <v>North Puget Sound</v>
      </c>
      <c r="N3362" s="110" t="str">
        <f>VLOOKUP($K3362,LUTs!$E$2:$H$14,4,)</f>
        <v>01North Puget Sound</v>
      </c>
      <c r="O3362" s="110">
        <v>25.004761904761899</v>
      </c>
      <c r="P3362" s="110">
        <v>463.83833333333303</v>
      </c>
      <c r="Q3362" s="110">
        <f>SUMIFS('FW_Steelhead_by_Month_2010-2021'!Q$2:Q$3810,'FW_Steelhead_by_Month_2010-2021'!$B$2:$B$3810,'Rec_raw_catch_effort_2010-2021'!$B3362,'FW_Steelhead_by_Month_2010-2021'!$H$2:$H$3810,'Rec_raw_catch_effort_2010-2021'!$F3362,'FW_Steelhead_by_Month_2010-2021'!$M$2:$M$3810,'Rec_raw_catch_effort_2010-2021'!$K3362)</f>
        <v>25.932488979777329</v>
      </c>
      <c r="R3362" s="111">
        <f>VLOOKUP(B3362,Readme!$A$62:$C$74,3,)*Q3362</f>
        <v>542.69535130461702</v>
      </c>
      <c r="S3362" s="140" t="str">
        <f t="shared" si="253"/>
        <v>Y</v>
      </c>
      <c r="T3362" s="154">
        <f t="shared" si="254"/>
        <v>18.54999999999999</v>
      </c>
      <c r="U3362" s="154">
        <f t="shared" si="255"/>
        <v>20.927237324879293</v>
      </c>
    </row>
    <row r="3363" spans="1:21" x14ac:dyDescent="0.35">
      <c r="A3363" s="110">
        <v>1757</v>
      </c>
      <c r="B3363" s="110">
        <v>2013</v>
      </c>
      <c r="C3363" s="110" t="s">
        <v>38</v>
      </c>
      <c r="D3363" s="110" t="s">
        <v>143</v>
      </c>
      <c r="E3363" s="110" t="s">
        <v>86</v>
      </c>
      <c r="F3363" s="117">
        <v>844</v>
      </c>
      <c r="G3363" s="110" t="s">
        <v>62</v>
      </c>
      <c r="H3363" s="110" t="str">
        <f t="shared" si="252"/>
        <v>Skykomish River</v>
      </c>
      <c r="I3363" s="110" t="str">
        <f>IFERROR(VLOOKUP(H3363,LUTs!$A$1:$C$73,2,FALSE),"NA")</f>
        <v>Snohomish</v>
      </c>
      <c r="J3363" s="110" t="str">
        <f>IFERROR(VLOOKUP(H3363,LUTs!$A$1:$C$73,3,FALSE),"NA")</f>
        <v>2Central Puget Sound</v>
      </c>
      <c r="K3363" s="110" t="s">
        <v>16</v>
      </c>
      <c r="L3363" s="110" t="str">
        <f>VLOOKUP(K3363,LUTs!E$2:G$14,3,)</f>
        <v>03Snohomish</v>
      </c>
      <c r="M3363" s="110" t="str">
        <f>VLOOKUP($K3363,LUTs!$E$2:$H$14,2,)</f>
        <v>North Puget Sound</v>
      </c>
      <c r="N3363" s="110" t="str">
        <f>VLOOKUP($K3363,LUTs!$E$2:$H$14,4,)</f>
        <v>01North Puget Sound</v>
      </c>
      <c r="O3363" s="110">
        <v>2968.4224489795902</v>
      </c>
      <c r="P3363" s="110">
        <v>55064.236428571399</v>
      </c>
      <c r="Q3363" s="110">
        <f>SUMIFS('FW_Steelhead_by_Month_2010-2021'!Q$2:Q$3810,'FW_Steelhead_by_Month_2010-2021'!$B$2:$B$3810,'Rec_raw_catch_effort_2010-2021'!$B3363,'FW_Steelhead_by_Month_2010-2021'!$H$2:$H$3810,'Rec_raw_catch_effort_2010-2021'!$F3363,'FW_Steelhead_by_Month_2010-2021'!$M$2:$M$3810,'Rec_raw_catch_effort_2010-2021'!$K3363)</f>
        <v>2896.2762130050387</v>
      </c>
      <c r="R3363" s="111">
        <f>VLOOKUP(B3363,Readme!$A$62:$C$74,3,)*Q3363</f>
        <v>60611.059667959096</v>
      </c>
      <c r="S3363" s="140" t="str">
        <f t="shared" si="253"/>
        <v>Y</v>
      </c>
      <c r="T3363" s="154">
        <f t="shared" si="254"/>
        <v>18.55</v>
      </c>
      <c r="U3363" s="154">
        <f t="shared" si="255"/>
        <v>20.927237324879293</v>
      </c>
    </row>
    <row r="3364" spans="1:21" x14ac:dyDescent="0.35">
      <c r="A3364" s="110">
        <v>1932</v>
      </c>
      <c r="B3364" s="110">
        <v>2013</v>
      </c>
      <c r="C3364" s="110" t="s">
        <v>38</v>
      </c>
      <c r="D3364" s="110" t="s">
        <v>143</v>
      </c>
      <c r="E3364" s="110" t="s">
        <v>86</v>
      </c>
      <c r="F3364" s="117">
        <v>844</v>
      </c>
      <c r="G3364" s="110" t="s">
        <v>62</v>
      </c>
      <c r="H3364" s="110" t="str">
        <f t="shared" si="252"/>
        <v>Skykomish River</v>
      </c>
      <c r="I3364" s="110" t="str">
        <f>IFERROR(VLOOKUP(H3364,LUTs!$A$1:$C$73,2,FALSE),"NA")</f>
        <v>Snohomish</v>
      </c>
      <c r="J3364" s="110" t="str">
        <f>IFERROR(VLOOKUP(H3364,LUTs!$A$1:$C$73,3,FALSE),"NA")</f>
        <v>2Central Puget Sound</v>
      </c>
      <c r="K3364" s="110" t="s">
        <v>21</v>
      </c>
      <c r="L3364" s="110" t="str">
        <f>VLOOKUP(K3364,LUTs!E$2:G$14,3,)</f>
        <v>08Thurston</v>
      </c>
      <c r="M3364" s="110" t="str">
        <f>VLOOKUP($K3364,LUTs!$E$2:$H$14,2,)</f>
        <v>South Puget Sound</v>
      </c>
      <c r="N3364" s="110" t="str">
        <f>VLOOKUP($K3364,LUTs!$E$2:$H$14,4,)</f>
        <v>02South Puget Sound</v>
      </c>
      <c r="O3364" s="110">
        <v>21.432653061224499</v>
      </c>
      <c r="P3364" s="110">
        <v>397.57571428571401</v>
      </c>
      <c r="Q3364" s="110">
        <f>SUMIFS('FW_Steelhead_by_Month_2010-2021'!Q$2:Q$3810,'FW_Steelhead_by_Month_2010-2021'!$B$2:$B$3810,'Rec_raw_catch_effort_2010-2021'!$B3364,'FW_Steelhead_by_Month_2010-2021'!$H$2:$H$3810,'Rec_raw_catch_effort_2010-2021'!$F3364,'FW_Steelhead_by_Month_2010-2021'!$M$2:$M$3810,'Rec_raw_catch_effort_2010-2021'!$K3364)</f>
        <v>28.965570552147241</v>
      </c>
      <c r="R3364" s="111">
        <f>VLOOKUP(B3364,Readme!$A$62:$C$74,3,)*Q3364</f>
        <v>606.16936919532031</v>
      </c>
      <c r="S3364" s="140" t="str">
        <f t="shared" si="253"/>
        <v>Y</v>
      </c>
      <c r="T3364" s="154">
        <f t="shared" si="254"/>
        <v>18.549999999999979</v>
      </c>
      <c r="U3364" s="154">
        <f t="shared" si="255"/>
        <v>20.927237324879293</v>
      </c>
    </row>
    <row r="3365" spans="1:21" x14ac:dyDescent="0.35">
      <c r="A3365" s="110">
        <v>1600</v>
      </c>
      <c r="B3365" s="110">
        <v>2013</v>
      </c>
      <c r="C3365" s="110" t="s">
        <v>38</v>
      </c>
      <c r="D3365" s="110" t="s">
        <v>143</v>
      </c>
      <c r="E3365" s="110" t="s">
        <v>86</v>
      </c>
      <c r="F3365" s="117">
        <v>844</v>
      </c>
      <c r="G3365" s="110" t="s">
        <v>62</v>
      </c>
      <c r="H3365" s="110" t="str">
        <f t="shared" si="252"/>
        <v>Skykomish River</v>
      </c>
      <c r="I3365" s="110" t="str">
        <f>IFERROR(VLOOKUP(H3365,LUTs!$A$1:$C$73,2,FALSE),"NA")</f>
        <v>Snohomish</v>
      </c>
      <c r="J3365" s="110" t="str">
        <f>IFERROR(VLOOKUP(H3365,LUTs!$A$1:$C$73,3,FALSE),"NA")</f>
        <v>2Central Puget Sound</v>
      </c>
      <c r="K3365" s="110" t="s">
        <v>13</v>
      </c>
      <c r="L3365" s="110" t="str">
        <f>VLOOKUP(K3365,LUTs!E$2:G$14,3,)</f>
        <v>01Whatcom</v>
      </c>
      <c r="M3365" s="110" t="str">
        <f>VLOOKUP($K3365,LUTs!$E$2:$H$14,2,)</f>
        <v>North Puget Sound</v>
      </c>
      <c r="N3365" s="110" t="str">
        <f>VLOOKUP($K3365,LUTs!$E$2:$H$14,4,)</f>
        <v>01North Puget Sound</v>
      </c>
      <c r="O3365" s="110">
        <v>78.586394557823098</v>
      </c>
      <c r="P3365" s="110">
        <v>1457.77761904762</v>
      </c>
      <c r="Q3365" s="110">
        <f>SUMIFS('FW_Steelhead_by_Month_2010-2021'!Q$2:Q$3810,'FW_Steelhead_by_Month_2010-2021'!$B$2:$B$3810,'Rec_raw_catch_effort_2010-2021'!$B3365,'FW_Steelhead_by_Month_2010-2021'!$H$2:$H$3810,'Rec_raw_catch_effort_2010-2021'!$F3365,'FW_Steelhead_by_Month_2010-2021'!$M$2:$M$3810,'Rec_raw_catch_effort_2010-2021'!$K3365)</f>
        <v>79.959259259259198</v>
      </c>
      <c r="R3365" s="111">
        <f>VLOOKUP(B3365,Readme!$A$62:$C$74,3,)*Q3365</f>
        <v>1673.3263948400693</v>
      </c>
      <c r="S3365" s="140" t="str">
        <f t="shared" si="253"/>
        <v>Y</v>
      </c>
      <c r="T3365" s="154">
        <f t="shared" si="254"/>
        <v>18.550000000000018</v>
      </c>
      <c r="U3365" s="154">
        <f t="shared" si="255"/>
        <v>20.927237324879293</v>
      </c>
    </row>
    <row r="3366" spans="1:21" x14ac:dyDescent="0.35">
      <c r="A3366" s="110">
        <v>1389</v>
      </c>
      <c r="B3366" s="110">
        <v>2014</v>
      </c>
      <c r="C3366" s="110" t="s">
        <v>38</v>
      </c>
      <c r="D3366" s="110" t="s">
        <v>143</v>
      </c>
      <c r="E3366" s="110" t="s">
        <v>86</v>
      </c>
      <c r="F3366" s="117">
        <v>844</v>
      </c>
      <c r="G3366" s="110" t="s">
        <v>62</v>
      </c>
      <c r="H3366" s="110" t="str">
        <f t="shared" si="252"/>
        <v>Skykomish River</v>
      </c>
      <c r="I3366" s="110" t="str">
        <f>IFERROR(VLOOKUP(H3366,LUTs!$A$1:$C$73,2,FALSE),"NA")</f>
        <v>Snohomish</v>
      </c>
      <c r="J3366" s="110" t="str">
        <f>IFERROR(VLOOKUP(H3366,LUTs!$A$1:$C$73,3,FALSE),"NA")</f>
        <v>2Central Puget Sound</v>
      </c>
      <c r="K3366" s="110" t="s">
        <v>24</v>
      </c>
      <c r="L3366" s="110" t="str">
        <f>VLOOKUP(K3366,LUTs!E$2:G$14,3,)</f>
        <v>11Clallam</v>
      </c>
      <c r="M3366" s="110" t="str">
        <f>VLOOKUP($K3366,LUTs!$E$2:$H$14,2,)</f>
        <v>Strait of Juan de Fuca</v>
      </c>
      <c r="N3366" s="110" t="str">
        <f>VLOOKUP($K3366,LUTs!$E$2:$H$14,4,)</f>
        <v>03Strait of Juan de Fuca</v>
      </c>
      <c r="O3366" s="110">
        <v>19.379310344827601</v>
      </c>
      <c r="P3366" s="110">
        <v>165.49931034482799</v>
      </c>
      <c r="Q3366" s="110">
        <f>SUMIFS('FW_Steelhead_by_Month_2010-2021'!Q$2:Q$3810,'FW_Steelhead_by_Month_2010-2021'!$B$2:$B$3810,'Rec_raw_catch_effort_2010-2021'!$B3366,'FW_Steelhead_by_Month_2010-2021'!$H$2:$H$3810,'Rec_raw_catch_effort_2010-2021'!$F3366,'FW_Steelhead_by_Month_2010-2021'!$M$2:$M$3810,'Rec_raw_catch_effort_2010-2021'!$K3366)</f>
        <v>19.332880590019808</v>
      </c>
      <c r="R3366" s="111">
        <f>VLOOKUP(B3366,Readme!$A$62:$C$74,3,)*Q3366</f>
        <v>404.58378028089692</v>
      </c>
      <c r="S3366" s="140" t="str">
        <f t="shared" si="253"/>
        <v>Y</v>
      </c>
      <c r="T3366" s="154">
        <f t="shared" si="254"/>
        <v>8.5400000000000134</v>
      </c>
      <c r="U3366" s="154">
        <f t="shared" si="255"/>
        <v>20.927237324879293</v>
      </c>
    </row>
    <row r="3367" spans="1:21" x14ac:dyDescent="0.35">
      <c r="A3367" s="110">
        <v>1308</v>
      </c>
      <c r="B3367" s="110">
        <v>2014</v>
      </c>
      <c r="C3367" s="110" t="s">
        <v>38</v>
      </c>
      <c r="D3367" s="110" t="s">
        <v>143</v>
      </c>
      <c r="E3367" s="110" t="s">
        <v>86</v>
      </c>
      <c r="F3367" s="117">
        <v>844</v>
      </c>
      <c r="G3367" s="110" t="s">
        <v>62</v>
      </c>
      <c r="H3367" s="110" t="str">
        <f t="shared" si="252"/>
        <v>Skykomish River</v>
      </c>
      <c r="I3367" s="110" t="str">
        <f>IFERROR(VLOOKUP(H3367,LUTs!$A$1:$C$73,2,FALSE),"NA")</f>
        <v>Snohomish</v>
      </c>
      <c r="J3367" s="110" t="str">
        <f>IFERROR(VLOOKUP(H3367,LUTs!$A$1:$C$73,3,FALSE),"NA")</f>
        <v>2Central Puget Sound</v>
      </c>
      <c r="K3367" s="110" t="s">
        <v>17</v>
      </c>
      <c r="L3367" s="110" t="str">
        <f>VLOOKUP(K3367,LUTs!E$2:G$14,3,)</f>
        <v>04Island</v>
      </c>
      <c r="M3367" s="110" t="str">
        <f>VLOOKUP($K3367,LUTs!$E$2:$H$14,2,)</f>
        <v>North Puget Sound</v>
      </c>
      <c r="N3367" s="110" t="str">
        <f>VLOOKUP($K3367,LUTs!$E$2:$H$14,4,)</f>
        <v>01North Puget Sound</v>
      </c>
      <c r="O3367" s="110">
        <v>6.45977011494253</v>
      </c>
      <c r="P3367" s="110">
        <v>55.1664367816092</v>
      </c>
      <c r="Q3367" s="110">
        <f>SUMIFS('FW_Steelhead_by_Month_2010-2021'!Q$2:Q$3810,'FW_Steelhead_by_Month_2010-2021'!$B$2:$B$3810,'Rec_raw_catch_effort_2010-2021'!$B3367,'FW_Steelhead_by_Month_2010-2021'!$H$2:$H$3810,'Rec_raw_catch_effort_2010-2021'!$F3367,'FW_Steelhead_by_Month_2010-2021'!$M$2:$M$3810,'Rec_raw_catch_effort_2010-2021'!$K3367)</f>
        <v>6.4195298372513596</v>
      </c>
      <c r="R3367" s="111">
        <f>VLOOKUP(B3367,Readme!$A$62:$C$74,3,)*Q3367</f>
        <v>134.34302441830295</v>
      </c>
      <c r="S3367" s="140" t="str">
        <f t="shared" si="253"/>
        <v>Y</v>
      </c>
      <c r="T3367" s="154">
        <f t="shared" si="254"/>
        <v>8.5399999999999991</v>
      </c>
      <c r="U3367" s="154">
        <f t="shared" si="255"/>
        <v>20.927237324879293</v>
      </c>
    </row>
    <row r="3368" spans="1:21" x14ac:dyDescent="0.35">
      <c r="A3368" s="110">
        <v>1309</v>
      </c>
      <c r="B3368" s="110">
        <v>2014</v>
      </c>
      <c r="C3368" s="110" t="s">
        <v>38</v>
      </c>
      <c r="D3368" s="110" t="s">
        <v>143</v>
      </c>
      <c r="E3368" s="110" t="s">
        <v>86</v>
      </c>
      <c r="F3368" s="117">
        <v>844</v>
      </c>
      <c r="G3368" s="110" t="s">
        <v>62</v>
      </c>
      <c r="H3368" s="110" t="str">
        <f t="shared" si="252"/>
        <v>Skykomish River</v>
      </c>
      <c r="I3368" s="110" t="str">
        <f>IFERROR(VLOOKUP(H3368,LUTs!$A$1:$C$73,2,FALSE),"NA")</f>
        <v>Snohomish</v>
      </c>
      <c r="J3368" s="110" t="str">
        <f>IFERROR(VLOOKUP(H3368,LUTs!$A$1:$C$73,3,FALSE),"NA")</f>
        <v>2Central Puget Sound</v>
      </c>
      <c r="K3368" s="110" t="s">
        <v>18</v>
      </c>
      <c r="L3368" s="110" t="str">
        <f>VLOOKUP(K3368,LUTs!E$2:G$14,3,)</f>
        <v>06King</v>
      </c>
      <c r="M3368" s="110" t="str">
        <f>VLOOKUP($K3368,LUTs!$E$2:$H$14,2,)</f>
        <v>South Puget Sound</v>
      </c>
      <c r="N3368" s="110" t="str">
        <f>VLOOKUP($K3368,LUTs!$E$2:$H$14,4,)</f>
        <v>02South Puget Sound</v>
      </c>
      <c r="O3368" s="110">
        <v>1715.06896551724</v>
      </c>
      <c r="P3368" s="110">
        <v>14646.6889655172</v>
      </c>
      <c r="Q3368" s="110">
        <f>SUMIFS('FW_Steelhead_by_Month_2010-2021'!Q$2:Q$3810,'FW_Steelhead_by_Month_2010-2021'!$B$2:$B$3810,'Rec_raw_catch_effort_2010-2021'!$B3368,'FW_Steelhead_by_Month_2010-2021'!$H$2:$H$3810,'Rec_raw_catch_effort_2010-2021'!$F3368,'FW_Steelhead_by_Month_2010-2021'!$M$2:$M$3810,'Rec_raw_catch_effort_2010-2021'!$K3368)</f>
        <v>1709.2278155295055</v>
      </c>
      <c r="R3368" s="111">
        <f>VLOOKUP(B3368,Readme!$A$62:$C$74,3,)*Q3368</f>
        <v>35769.416137870969</v>
      </c>
      <c r="S3368" s="140" t="str">
        <f t="shared" si="253"/>
        <v>Y</v>
      </c>
      <c r="T3368" s="154">
        <f t="shared" si="254"/>
        <v>8.5399999999999832</v>
      </c>
      <c r="U3368" s="154">
        <f t="shared" si="255"/>
        <v>20.927237324879293</v>
      </c>
    </row>
    <row r="3369" spans="1:21" x14ac:dyDescent="0.35">
      <c r="A3369" s="110">
        <v>1312</v>
      </c>
      <c r="B3369" s="110">
        <v>2014</v>
      </c>
      <c r="C3369" s="110" t="s">
        <v>38</v>
      </c>
      <c r="D3369" s="110" t="s">
        <v>143</v>
      </c>
      <c r="E3369" s="110" t="s">
        <v>86</v>
      </c>
      <c r="F3369" s="117">
        <v>844</v>
      </c>
      <c r="G3369" s="110" t="s">
        <v>62</v>
      </c>
      <c r="H3369" s="110" t="str">
        <f t="shared" si="252"/>
        <v>Skykomish River</v>
      </c>
      <c r="I3369" s="110" t="str">
        <f>IFERROR(VLOOKUP(H3369,LUTs!$A$1:$C$73,2,FALSE),"NA")</f>
        <v>Snohomish</v>
      </c>
      <c r="J3369" s="110" t="str">
        <f>IFERROR(VLOOKUP(H3369,LUTs!$A$1:$C$73,3,FALSE),"NA")</f>
        <v>2Central Puget Sound</v>
      </c>
      <c r="K3369" s="110" t="s">
        <v>23</v>
      </c>
      <c r="L3369" s="110" t="str">
        <f>VLOOKUP(K3369,LUTs!E$2:G$14,3,)</f>
        <v>10Kitsap</v>
      </c>
      <c r="M3369" s="110" t="str">
        <f>VLOOKUP($K3369,LUTs!$E$2:$H$14,2,)</f>
        <v>South Puget Sound</v>
      </c>
      <c r="N3369" s="110" t="str">
        <f>VLOOKUP($K3369,LUTs!$E$2:$H$14,4,)</f>
        <v>02South Puget Sound</v>
      </c>
      <c r="O3369" s="110">
        <v>45.218390804597703</v>
      </c>
      <c r="P3369" s="110">
        <v>386.16505747126399</v>
      </c>
      <c r="Q3369" s="110">
        <f>SUMIFS('FW_Steelhead_by_Month_2010-2021'!Q$2:Q$3810,'FW_Steelhead_by_Month_2010-2021'!$B$2:$B$3810,'Rec_raw_catch_effort_2010-2021'!$B3369,'FW_Steelhead_by_Month_2010-2021'!$H$2:$H$3810,'Rec_raw_catch_effort_2010-2021'!$F3369,'FW_Steelhead_by_Month_2010-2021'!$M$2:$M$3810,'Rec_raw_catch_effort_2010-2021'!$K3369)</f>
        <v>38.381481133551333</v>
      </c>
      <c r="R3369" s="111">
        <f>VLOOKUP(B3369,Readme!$A$62:$C$74,3,)*Q3369</f>
        <v>803.21836456220581</v>
      </c>
      <c r="S3369" s="140" t="str">
        <f t="shared" si="253"/>
        <v>Y</v>
      </c>
      <c r="T3369" s="154">
        <f t="shared" si="254"/>
        <v>8.539999999999992</v>
      </c>
      <c r="U3369" s="154">
        <f t="shared" si="255"/>
        <v>20.927237324879293</v>
      </c>
    </row>
    <row r="3370" spans="1:21" x14ac:dyDescent="0.35">
      <c r="A3370" s="110">
        <v>1390</v>
      </c>
      <c r="B3370" s="110">
        <v>2014</v>
      </c>
      <c r="C3370" s="110" t="s">
        <v>38</v>
      </c>
      <c r="D3370" s="110" t="s">
        <v>143</v>
      </c>
      <c r="E3370" s="110" t="s">
        <v>86</v>
      </c>
      <c r="F3370" s="117">
        <v>844</v>
      </c>
      <c r="G3370" s="110" t="s">
        <v>62</v>
      </c>
      <c r="H3370" s="110" t="str">
        <f t="shared" si="252"/>
        <v>Skykomish River</v>
      </c>
      <c r="I3370" s="110" t="str">
        <f>IFERROR(VLOOKUP(H3370,LUTs!$A$1:$C$73,2,FALSE),"NA")</f>
        <v>Snohomish</v>
      </c>
      <c r="J3370" s="110" t="str">
        <f>IFERROR(VLOOKUP(H3370,LUTs!$A$1:$C$73,3,FALSE),"NA")</f>
        <v>2Central Puget Sound</v>
      </c>
      <c r="K3370" s="110" t="s">
        <v>26</v>
      </c>
      <c r="L3370" s="110" t="str">
        <f>VLOOKUP(K3370,LUTs!E$2:G$14,3,)</f>
        <v>20Other</v>
      </c>
      <c r="M3370" s="110" t="str">
        <f>VLOOKUP($K3370,LUTs!$E$2:$H$14,2,)</f>
        <v>Non Puget Sound</v>
      </c>
      <c r="N3370" s="110" t="str">
        <f>VLOOKUP($K3370,LUTs!$E$2:$H$14,4,)</f>
        <v>07Non Puget Sound</v>
      </c>
      <c r="O3370" s="110">
        <v>100.126436781609</v>
      </c>
      <c r="P3370" s="110">
        <v>855.07977011494097</v>
      </c>
      <c r="Q3370" s="110">
        <f>SUMIFS('FW_Steelhead_by_Month_2010-2021'!Q$2:Q$3810,'FW_Steelhead_by_Month_2010-2021'!$B$2:$B$3810,'Rec_raw_catch_effort_2010-2021'!$B3370,'FW_Steelhead_by_Month_2010-2021'!$H$2:$H$3810,'Rec_raw_catch_effort_2010-2021'!$F3370,'FW_Steelhead_by_Month_2010-2021'!$M$2:$M$3810,'Rec_raw_catch_effort_2010-2021'!$K3370)</f>
        <v>86.89295588830791</v>
      </c>
      <c r="R3370" s="111">
        <f>VLOOKUP(B3370,Readme!$A$62:$C$74,3,)*Q3370</f>
        <v>1818.4295097348872</v>
      </c>
      <c r="S3370" s="140" t="str">
        <f t="shared" si="253"/>
        <v>Y</v>
      </c>
      <c r="T3370" s="154">
        <f t="shared" si="254"/>
        <v>8.5400000000000009</v>
      </c>
      <c r="U3370" s="154">
        <f t="shared" si="255"/>
        <v>20.927237324879293</v>
      </c>
    </row>
    <row r="3371" spans="1:21" x14ac:dyDescent="0.35">
      <c r="A3371" s="110">
        <v>1310</v>
      </c>
      <c r="B3371" s="110">
        <v>2014</v>
      </c>
      <c r="C3371" s="110" t="s">
        <v>38</v>
      </c>
      <c r="D3371" s="110" t="s">
        <v>143</v>
      </c>
      <c r="E3371" s="110" t="s">
        <v>86</v>
      </c>
      <c r="F3371" s="117">
        <v>844</v>
      </c>
      <c r="G3371" s="110" t="s">
        <v>62</v>
      </c>
      <c r="H3371" s="110" t="str">
        <f t="shared" si="252"/>
        <v>Skykomish River</v>
      </c>
      <c r="I3371" s="110" t="str">
        <f>IFERROR(VLOOKUP(H3371,LUTs!$A$1:$C$73,2,FALSE),"NA")</f>
        <v>Snohomish</v>
      </c>
      <c r="J3371" s="110" t="str">
        <f>IFERROR(VLOOKUP(H3371,LUTs!$A$1:$C$73,3,FALSE),"NA")</f>
        <v>2Central Puget Sound</v>
      </c>
      <c r="K3371" s="110" t="s">
        <v>20</v>
      </c>
      <c r="L3371" s="110" t="str">
        <f>VLOOKUP(K3371,LUTs!E$2:G$14,3,)</f>
        <v>07Pierce</v>
      </c>
      <c r="M3371" s="110" t="str">
        <f>VLOOKUP($K3371,LUTs!$E$2:$H$14,2,)</f>
        <v>South Puget Sound</v>
      </c>
      <c r="N3371" s="110" t="str">
        <f>VLOOKUP($K3371,LUTs!$E$2:$H$14,4,)</f>
        <v>02South Puget Sound</v>
      </c>
      <c r="O3371" s="110">
        <v>96.896551724138007</v>
      </c>
      <c r="P3371" s="110">
        <v>827.49655172413804</v>
      </c>
      <c r="Q3371" s="110">
        <f>SUMIFS('FW_Steelhead_by_Month_2010-2021'!Q$2:Q$3810,'FW_Steelhead_by_Month_2010-2021'!$B$2:$B$3810,'Rec_raw_catch_effort_2010-2021'!$B3371,'FW_Steelhead_by_Month_2010-2021'!$H$2:$H$3810,'Rec_raw_catch_effort_2010-2021'!$F3371,'FW_Steelhead_by_Month_2010-2021'!$M$2:$M$3810,'Rec_raw_catch_effort_2010-2021'!$K3371)</f>
        <v>83.59814990958516</v>
      </c>
      <c r="R3371" s="111">
        <f>VLOOKUP(B3371,Readme!$A$62:$C$74,3,)*Q3371</f>
        <v>1749.478323078725</v>
      </c>
      <c r="S3371" s="140" t="str">
        <f t="shared" si="253"/>
        <v>Y</v>
      </c>
      <c r="T3371" s="154">
        <f t="shared" si="254"/>
        <v>8.5399999999999938</v>
      </c>
      <c r="U3371" s="154">
        <f t="shared" si="255"/>
        <v>20.927237324879293</v>
      </c>
    </row>
    <row r="3372" spans="1:21" x14ac:dyDescent="0.35">
      <c r="A3372" s="110">
        <v>1306</v>
      </c>
      <c r="B3372" s="110">
        <v>2014</v>
      </c>
      <c r="C3372" s="110" t="s">
        <v>38</v>
      </c>
      <c r="D3372" s="110" t="s">
        <v>143</v>
      </c>
      <c r="E3372" s="110" t="s">
        <v>86</v>
      </c>
      <c r="F3372" s="117">
        <v>844</v>
      </c>
      <c r="G3372" s="110" t="s">
        <v>62</v>
      </c>
      <c r="H3372" s="110" t="str">
        <f t="shared" si="252"/>
        <v>Skykomish River</v>
      </c>
      <c r="I3372" s="110" t="str">
        <f>IFERROR(VLOOKUP(H3372,LUTs!$A$1:$C$73,2,FALSE),"NA")</f>
        <v>Snohomish</v>
      </c>
      <c r="J3372" s="110" t="str">
        <f>IFERROR(VLOOKUP(H3372,LUTs!$A$1:$C$73,3,FALSE),"NA")</f>
        <v>2Central Puget Sound</v>
      </c>
      <c r="K3372" s="110" t="s">
        <v>15</v>
      </c>
      <c r="L3372" s="110" t="str">
        <f>VLOOKUP(K3372,LUTs!E$2:G$14,3,)</f>
        <v>02Skagit</v>
      </c>
      <c r="M3372" s="110" t="str">
        <f>VLOOKUP($K3372,LUTs!$E$2:$H$14,2,)</f>
        <v>North Puget Sound</v>
      </c>
      <c r="N3372" s="110" t="str">
        <f>VLOOKUP($K3372,LUTs!$E$2:$H$14,4,)</f>
        <v>01North Puget Sound</v>
      </c>
      <c r="O3372" s="110">
        <v>12.919540229885101</v>
      </c>
      <c r="P3372" s="110">
        <v>110.332873563219</v>
      </c>
      <c r="Q3372" s="110">
        <f>SUMIFS('FW_Steelhead_by_Month_2010-2021'!Q$2:Q$3810,'FW_Steelhead_by_Month_2010-2021'!$B$2:$B$3810,'Rec_raw_catch_effort_2010-2021'!$B3372,'FW_Steelhead_by_Month_2010-2021'!$H$2:$H$3810,'Rec_raw_catch_effort_2010-2021'!$F3372,'FW_Steelhead_by_Month_2010-2021'!$M$2:$M$3810,'Rec_raw_catch_effort_2010-2021'!$K3372)</f>
        <v>15.910125664350421</v>
      </c>
      <c r="R3372" s="111">
        <f>VLOOKUP(B3372,Readme!$A$62:$C$74,3,)*Q3372</f>
        <v>332.95497564651407</v>
      </c>
      <c r="S3372" s="140" t="str">
        <f t="shared" si="253"/>
        <v>Y</v>
      </c>
      <c r="T3372" s="154">
        <f t="shared" si="254"/>
        <v>8.5400000000000187</v>
      </c>
      <c r="U3372" s="154">
        <f t="shared" si="255"/>
        <v>20.927237324879293</v>
      </c>
    </row>
    <row r="3373" spans="1:21" x14ac:dyDescent="0.35">
      <c r="A3373" s="110">
        <v>1307</v>
      </c>
      <c r="B3373" s="110">
        <v>2014</v>
      </c>
      <c r="C3373" s="110" t="s">
        <v>38</v>
      </c>
      <c r="D3373" s="110" t="s">
        <v>143</v>
      </c>
      <c r="E3373" s="110" t="s">
        <v>86</v>
      </c>
      <c r="F3373" s="117">
        <v>844</v>
      </c>
      <c r="G3373" s="110" t="s">
        <v>62</v>
      </c>
      <c r="H3373" s="110" t="str">
        <f t="shared" si="252"/>
        <v>Skykomish River</v>
      </c>
      <c r="I3373" s="110" t="str">
        <f>IFERROR(VLOOKUP(H3373,LUTs!$A$1:$C$73,2,FALSE),"NA")</f>
        <v>Snohomish</v>
      </c>
      <c r="J3373" s="110" t="str">
        <f>IFERROR(VLOOKUP(H3373,LUTs!$A$1:$C$73,3,FALSE),"NA")</f>
        <v>2Central Puget Sound</v>
      </c>
      <c r="K3373" s="110" t="s">
        <v>16</v>
      </c>
      <c r="L3373" s="110" t="str">
        <f>VLOOKUP(K3373,LUTs!E$2:G$14,3,)</f>
        <v>03Snohomish</v>
      </c>
      <c r="M3373" s="110" t="str">
        <f>VLOOKUP($K3373,LUTs!$E$2:$H$14,2,)</f>
        <v>North Puget Sound</v>
      </c>
      <c r="N3373" s="110" t="str">
        <f>VLOOKUP($K3373,LUTs!$E$2:$H$14,4,)</f>
        <v>01North Puget Sound</v>
      </c>
      <c r="O3373" s="110">
        <v>1912.09195402299</v>
      </c>
      <c r="P3373" s="110">
        <v>16329.2652873563</v>
      </c>
      <c r="Q3373" s="110">
        <f>SUMIFS('FW_Steelhead_by_Month_2010-2021'!Q$2:Q$3810,'FW_Steelhead_by_Month_2010-2021'!$B$2:$B$3810,'Rec_raw_catch_effort_2010-2021'!$B3373,'FW_Steelhead_by_Month_2010-2021'!$H$2:$H$3810,'Rec_raw_catch_effort_2010-2021'!$F3373,'FW_Steelhead_by_Month_2010-2021'!$M$2:$M$3810,'Rec_raw_catch_effort_2010-2021'!$K3373)</f>
        <v>1906.6512655949516</v>
      </c>
      <c r="R3373" s="111">
        <f>VLOOKUP(B3373,Readme!$A$62:$C$74,3,)*Q3373</f>
        <v>39900.943530887016</v>
      </c>
      <c r="S3373" s="140" t="str">
        <f t="shared" si="253"/>
        <v>Y</v>
      </c>
      <c r="T3373" s="154">
        <f t="shared" si="254"/>
        <v>8.5399999999999814</v>
      </c>
      <c r="U3373" s="154">
        <f t="shared" si="255"/>
        <v>20.927237324879293</v>
      </c>
    </row>
    <row r="3374" spans="1:21" x14ac:dyDescent="0.35">
      <c r="A3374" s="110">
        <v>1311</v>
      </c>
      <c r="B3374" s="110">
        <v>2014</v>
      </c>
      <c r="C3374" s="110" t="s">
        <v>38</v>
      </c>
      <c r="D3374" s="110" t="s">
        <v>143</v>
      </c>
      <c r="E3374" s="110" t="s">
        <v>86</v>
      </c>
      <c r="F3374" s="117">
        <v>844</v>
      </c>
      <c r="G3374" s="110" t="s">
        <v>62</v>
      </c>
      <c r="H3374" s="110" t="str">
        <f t="shared" si="252"/>
        <v>Skykomish River</v>
      </c>
      <c r="I3374" s="110" t="str">
        <f>IFERROR(VLOOKUP(H3374,LUTs!$A$1:$C$73,2,FALSE),"NA")</f>
        <v>Snohomish</v>
      </c>
      <c r="J3374" s="110" t="str">
        <f>IFERROR(VLOOKUP(H3374,LUTs!$A$1:$C$73,3,FALSE),"NA")</f>
        <v>2Central Puget Sound</v>
      </c>
      <c r="K3374" s="110" t="s">
        <v>21</v>
      </c>
      <c r="L3374" s="110" t="str">
        <f>VLOOKUP(K3374,LUTs!E$2:G$14,3,)</f>
        <v>08Thurston</v>
      </c>
      <c r="M3374" s="110" t="str">
        <f>VLOOKUP($K3374,LUTs!$E$2:$H$14,2,)</f>
        <v>South Puget Sound</v>
      </c>
      <c r="N3374" s="110" t="str">
        <f>VLOOKUP($K3374,LUTs!$E$2:$H$14,4,)</f>
        <v>02South Puget Sound</v>
      </c>
      <c r="O3374" s="110">
        <v>9.6896551724138007</v>
      </c>
      <c r="P3374" s="110">
        <v>82.749655172413895</v>
      </c>
      <c r="Q3374" s="110">
        <f>SUMIFS('FW_Steelhead_by_Month_2010-2021'!Q$2:Q$3810,'FW_Steelhead_by_Month_2010-2021'!$B$2:$B$3810,'Rec_raw_catch_effort_2010-2021'!$B3374,'FW_Steelhead_by_Month_2010-2021'!$H$2:$H$3810,'Rec_raw_catch_effort_2010-2021'!$F3374,'FW_Steelhead_by_Month_2010-2021'!$M$2:$M$3810,'Rec_raw_catch_effort_2010-2021'!$K3374)</f>
        <v>9.6292947558770408</v>
      </c>
      <c r="R3374" s="111">
        <f>VLOOKUP(B3374,Readme!$A$62:$C$74,3,)*Q3374</f>
        <v>201.51453662745445</v>
      </c>
      <c r="S3374" s="140" t="str">
        <f t="shared" si="253"/>
        <v>Y</v>
      </c>
      <c r="T3374" s="154">
        <f t="shared" si="254"/>
        <v>8.5400000000000045</v>
      </c>
      <c r="U3374" s="154">
        <f t="shared" si="255"/>
        <v>20.927237324879293</v>
      </c>
    </row>
    <row r="3375" spans="1:21" x14ac:dyDescent="0.35">
      <c r="A3375" s="110">
        <v>1305</v>
      </c>
      <c r="B3375" s="110">
        <v>2014</v>
      </c>
      <c r="C3375" s="110" t="s">
        <v>38</v>
      </c>
      <c r="D3375" s="110" t="s">
        <v>143</v>
      </c>
      <c r="E3375" s="110" t="s">
        <v>86</v>
      </c>
      <c r="F3375" s="117">
        <v>844</v>
      </c>
      <c r="G3375" s="110" t="s">
        <v>62</v>
      </c>
      <c r="H3375" s="110" t="str">
        <f t="shared" si="252"/>
        <v>Skykomish River</v>
      </c>
      <c r="I3375" s="110" t="str">
        <f>IFERROR(VLOOKUP(H3375,LUTs!$A$1:$C$73,2,FALSE),"NA")</f>
        <v>Snohomish</v>
      </c>
      <c r="J3375" s="110" t="str">
        <f>IFERROR(VLOOKUP(H3375,LUTs!$A$1:$C$73,3,FALSE),"NA")</f>
        <v>2Central Puget Sound</v>
      </c>
      <c r="K3375" s="110" t="s">
        <v>13</v>
      </c>
      <c r="L3375" s="110" t="str">
        <f>VLOOKUP(K3375,LUTs!E$2:G$14,3,)</f>
        <v>01Whatcom</v>
      </c>
      <c r="M3375" s="110" t="str">
        <f>VLOOKUP($K3375,LUTs!$E$2:$H$14,2,)</f>
        <v>North Puget Sound</v>
      </c>
      <c r="N3375" s="110" t="str">
        <f>VLOOKUP($K3375,LUTs!$E$2:$H$14,4,)</f>
        <v>01North Puget Sound</v>
      </c>
      <c r="O3375" s="110">
        <v>16.149425287356301</v>
      </c>
      <c r="P3375" s="110">
        <v>137.91609195402299</v>
      </c>
      <c r="Q3375" s="110">
        <f>SUMIFS('FW_Steelhead_by_Month_2010-2021'!Q$2:Q$3810,'FW_Steelhead_by_Month_2010-2021'!$B$2:$B$3810,'Rec_raw_catch_effort_2010-2021'!$B3375,'FW_Steelhead_by_Month_2010-2021'!$H$2:$H$3810,'Rec_raw_catch_effort_2010-2021'!$F3375,'FW_Steelhead_by_Month_2010-2021'!$M$2:$M$3810,'Rec_raw_catch_effort_2010-2021'!$K3375)</f>
        <v>15.956501096601951</v>
      </c>
      <c r="R3375" s="111">
        <f>VLOOKUP(B3375,Readme!$A$62:$C$74,3,)*Q3375</f>
        <v>333.92548532328573</v>
      </c>
      <c r="S3375" s="140" t="str">
        <f t="shared" si="253"/>
        <v>Y</v>
      </c>
      <c r="T3375" s="154">
        <f t="shared" si="254"/>
        <v>8.5400000000000116</v>
      </c>
      <c r="U3375" s="154">
        <f t="shared" si="255"/>
        <v>20.927237324879293</v>
      </c>
    </row>
    <row r="3376" spans="1:21" x14ac:dyDescent="0.35">
      <c r="A3376" s="110">
        <v>1466</v>
      </c>
      <c r="B3376" s="110">
        <v>2015</v>
      </c>
      <c r="C3376" s="110" t="s">
        <v>38</v>
      </c>
      <c r="D3376" s="110" t="s">
        <v>143</v>
      </c>
      <c r="E3376" s="110" t="s">
        <v>86</v>
      </c>
      <c r="F3376" s="117">
        <v>844</v>
      </c>
      <c r="G3376" s="110" t="s">
        <v>62</v>
      </c>
      <c r="H3376" s="110" t="str">
        <f t="shared" si="252"/>
        <v>Skykomish River</v>
      </c>
      <c r="I3376" s="110" t="str">
        <f>IFERROR(VLOOKUP(H3376,LUTs!$A$1:$C$73,2,FALSE),"NA")</f>
        <v>Snohomish</v>
      </c>
      <c r="J3376" s="110" t="str">
        <f>IFERROR(VLOOKUP(H3376,LUTs!$A$1:$C$73,3,FALSE),"NA")</f>
        <v>2Central Puget Sound</v>
      </c>
      <c r="K3376" s="110" t="s">
        <v>17</v>
      </c>
      <c r="L3376" s="110" t="str">
        <f>VLOOKUP(K3376,LUTs!E$2:G$14,3,)</f>
        <v>04Island</v>
      </c>
      <c r="M3376" s="110" t="str">
        <f>VLOOKUP($K3376,LUTs!$E$2:$H$14,2,)</f>
        <v>North Puget Sound</v>
      </c>
      <c r="N3376" s="110" t="str">
        <f>VLOOKUP($K3376,LUTs!$E$2:$H$14,4,)</f>
        <v>01North Puget Sound</v>
      </c>
      <c r="O3376" s="110">
        <v>50.227272727272698</v>
      </c>
      <c r="P3376" s="110">
        <v>931.71590909090901</v>
      </c>
      <c r="Q3376" s="110">
        <f>SUMIFS('FW_Steelhead_by_Month_2010-2021'!Q$2:Q$3810,'FW_Steelhead_by_Month_2010-2021'!$B$2:$B$3810,'Rec_raw_catch_effort_2010-2021'!$B3376,'FW_Steelhead_by_Month_2010-2021'!$H$2:$H$3810,'Rec_raw_catch_effort_2010-2021'!$F3376,'FW_Steelhead_by_Month_2010-2021'!$M$2:$M$3810,'Rec_raw_catch_effort_2010-2021'!$K3376)</f>
        <v>10.43329898087714</v>
      </c>
      <c r="R3376" s="111">
        <f>VLOOKUP(B3376,Readme!$A$62:$C$74,3,)*Q3376</f>
        <v>218.34012385423719</v>
      </c>
      <c r="S3376" s="140" t="str">
        <f t="shared" si="253"/>
        <v>Y</v>
      </c>
      <c r="T3376" s="154">
        <f t="shared" si="254"/>
        <v>18.550000000000008</v>
      </c>
      <c r="U3376" s="154">
        <f t="shared" si="255"/>
        <v>20.927237324879293</v>
      </c>
    </row>
    <row r="3377" spans="1:21" x14ac:dyDescent="0.35">
      <c r="A3377" s="110">
        <v>1467</v>
      </c>
      <c r="B3377" s="110">
        <v>2015</v>
      </c>
      <c r="C3377" s="110" t="s">
        <v>38</v>
      </c>
      <c r="D3377" s="110" t="s">
        <v>143</v>
      </c>
      <c r="E3377" s="110" t="s">
        <v>86</v>
      </c>
      <c r="F3377" s="117">
        <v>844</v>
      </c>
      <c r="G3377" s="110" t="s">
        <v>62</v>
      </c>
      <c r="H3377" s="110" t="str">
        <f t="shared" si="252"/>
        <v>Skykomish River</v>
      </c>
      <c r="I3377" s="110" t="str">
        <f>IFERROR(VLOOKUP(H3377,LUTs!$A$1:$C$73,2,FALSE),"NA")</f>
        <v>Snohomish</v>
      </c>
      <c r="J3377" s="110" t="str">
        <f>IFERROR(VLOOKUP(H3377,LUTs!$A$1:$C$73,3,FALSE),"NA")</f>
        <v>2Central Puget Sound</v>
      </c>
      <c r="K3377" s="110" t="s">
        <v>18</v>
      </c>
      <c r="L3377" s="110" t="str">
        <f>VLOOKUP(K3377,LUTs!E$2:G$14,3,)</f>
        <v>06King</v>
      </c>
      <c r="M3377" s="110" t="str">
        <f>VLOOKUP($K3377,LUTs!$E$2:$H$14,2,)</f>
        <v>South Puget Sound</v>
      </c>
      <c r="N3377" s="110" t="str">
        <f>VLOOKUP($K3377,LUTs!$E$2:$H$14,4,)</f>
        <v>02South Puget Sound</v>
      </c>
      <c r="O3377" s="110">
        <v>1117.5568181818201</v>
      </c>
      <c r="P3377" s="110">
        <v>20730.678977272801</v>
      </c>
      <c r="Q3377" s="110">
        <f>SUMIFS('FW_Steelhead_by_Month_2010-2021'!Q$2:Q$3810,'FW_Steelhead_by_Month_2010-2021'!$B$2:$B$3810,'Rec_raw_catch_effort_2010-2021'!$B3377,'FW_Steelhead_by_Month_2010-2021'!$H$2:$H$3810,'Rec_raw_catch_effort_2010-2021'!$F3377,'FW_Steelhead_by_Month_2010-2021'!$M$2:$M$3810,'Rec_raw_catch_effort_2010-2021'!$K3377)</f>
        <v>1200.2919828039717</v>
      </c>
      <c r="R3377" s="111">
        <f>VLOOKUP(B3377,Readme!$A$62:$C$74,3,)*Q3377</f>
        <v>25118.79518328865</v>
      </c>
      <c r="S3377" s="140" t="str">
        <f t="shared" si="253"/>
        <v>Y</v>
      </c>
      <c r="T3377" s="154">
        <f t="shared" si="254"/>
        <v>18.550000000000036</v>
      </c>
      <c r="U3377" s="154">
        <f t="shared" si="255"/>
        <v>20.927237324879293</v>
      </c>
    </row>
    <row r="3378" spans="1:21" x14ac:dyDescent="0.35">
      <c r="A3378" s="110">
        <v>1577</v>
      </c>
      <c r="B3378" s="110">
        <v>2015</v>
      </c>
      <c r="C3378" s="110" t="s">
        <v>38</v>
      </c>
      <c r="D3378" s="110" t="s">
        <v>143</v>
      </c>
      <c r="E3378" s="110" t="s">
        <v>86</v>
      </c>
      <c r="F3378" s="117">
        <v>844</v>
      </c>
      <c r="G3378" s="110" t="s">
        <v>62</v>
      </c>
      <c r="H3378" s="110" t="str">
        <f t="shared" si="252"/>
        <v>Skykomish River</v>
      </c>
      <c r="I3378" s="110" t="str">
        <f>IFERROR(VLOOKUP(H3378,LUTs!$A$1:$C$73,2,FALSE),"NA")</f>
        <v>Snohomish</v>
      </c>
      <c r="J3378" s="110" t="str">
        <f>IFERROR(VLOOKUP(H3378,LUTs!$A$1:$C$73,3,FALSE),"NA")</f>
        <v>2Central Puget Sound</v>
      </c>
      <c r="K3378" s="110" t="s">
        <v>26</v>
      </c>
      <c r="L3378" s="110" t="str">
        <f>VLOOKUP(K3378,LUTs!E$2:G$14,3,)</f>
        <v>20Other</v>
      </c>
      <c r="M3378" s="110" t="str">
        <f>VLOOKUP($K3378,LUTs!$E$2:$H$14,2,)</f>
        <v>Non Puget Sound</v>
      </c>
      <c r="N3378" s="110" t="str">
        <f>VLOOKUP($K3378,LUTs!$E$2:$H$14,4,)</f>
        <v>07Non Puget Sound</v>
      </c>
      <c r="O3378" s="110">
        <v>12.556818181818199</v>
      </c>
      <c r="P3378" s="110">
        <v>232.92897727272799</v>
      </c>
      <c r="Q3378" s="110">
        <f>SUMIFS('FW_Steelhead_by_Month_2010-2021'!Q$2:Q$3810,'FW_Steelhead_by_Month_2010-2021'!$B$2:$B$3810,'Rec_raw_catch_effort_2010-2021'!$B3378,'FW_Steelhead_by_Month_2010-2021'!$H$2:$H$3810,'Rec_raw_catch_effort_2010-2021'!$F3378,'FW_Steelhead_by_Month_2010-2021'!$M$2:$M$3810,'Rec_raw_catch_effort_2010-2021'!$K3378)</f>
        <v>39.008447820210208</v>
      </c>
      <c r="R3378" s="111">
        <f>VLOOKUP(B3378,Readme!$A$62:$C$74,3,)*Q3378</f>
        <v>816.33904520870931</v>
      </c>
      <c r="S3378" s="140" t="str">
        <f t="shared" si="253"/>
        <v>Y</v>
      </c>
      <c r="T3378" s="154">
        <f t="shared" si="254"/>
        <v>18.550000000000033</v>
      </c>
      <c r="U3378" s="154">
        <f t="shared" si="255"/>
        <v>20.927237324879293</v>
      </c>
    </row>
    <row r="3379" spans="1:21" x14ac:dyDescent="0.35">
      <c r="A3379" s="110">
        <v>1576</v>
      </c>
      <c r="B3379" s="110">
        <v>2015</v>
      </c>
      <c r="C3379" s="110" t="s">
        <v>38</v>
      </c>
      <c r="D3379" s="110" t="s">
        <v>143</v>
      </c>
      <c r="E3379" s="110" t="s">
        <v>86</v>
      </c>
      <c r="F3379" s="117">
        <v>844</v>
      </c>
      <c r="G3379" s="110" t="s">
        <v>62</v>
      </c>
      <c r="H3379" s="110" t="str">
        <f t="shared" si="252"/>
        <v>Skykomish River</v>
      </c>
      <c r="I3379" s="110" t="str">
        <f>IFERROR(VLOOKUP(H3379,LUTs!$A$1:$C$73,2,FALSE),"NA")</f>
        <v>Snohomish</v>
      </c>
      <c r="J3379" s="110" t="str">
        <f>IFERROR(VLOOKUP(H3379,LUTs!$A$1:$C$73,3,FALSE),"NA")</f>
        <v>2Central Puget Sound</v>
      </c>
      <c r="K3379" s="110" t="s">
        <v>20</v>
      </c>
      <c r="L3379" s="110" t="str">
        <f>VLOOKUP(K3379,LUTs!E$2:G$14,3,)</f>
        <v>07Pierce</v>
      </c>
      <c r="M3379" s="110" t="str">
        <f>VLOOKUP($K3379,LUTs!$E$2:$H$14,2,)</f>
        <v>South Puget Sound</v>
      </c>
      <c r="N3379" s="110" t="str">
        <f>VLOOKUP($K3379,LUTs!$E$2:$H$14,4,)</f>
        <v>02South Puget Sound</v>
      </c>
      <c r="O3379" s="110">
        <v>25.113636363636399</v>
      </c>
      <c r="P3379" s="110">
        <v>465.85795454545502</v>
      </c>
      <c r="Q3379" s="110">
        <f>SUMIFS('FW_Steelhead_by_Month_2010-2021'!Q$2:Q$3810,'FW_Steelhead_by_Month_2010-2021'!$B$2:$B$3810,'Rec_raw_catch_effort_2010-2021'!$B3379,'FW_Steelhead_by_Month_2010-2021'!$H$2:$H$3810,'Rec_raw_catch_effort_2010-2021'!$F3379,'FW_Steelhead_by_Month_2010-2021'!$M$2:$M$3810,'Rec_raw_catch_effort_2010-2021'!$K3379)</f>
        <v>36.955393016368767</v>
      </c>
      <c r="R3379" s="111">
        <f>VLOOKUP(B3379,Readme!$A$62:$C$74,3,)*Q3379</f>
        <v>773.374280087736</v>
      </c>
      <c r="S3379" s="140" t="str">
        <f t="shared" si="253"/>
        <v>Y</v>
      </c>
      <c r="T3379" s="154">
        <f t="shared" si="254"/>
        <v>18.549999999999994</v>
      </c>
      <c r="U3379" s="154">
        <f t="shared" si="255"/>
        <v>20.927237324879293</v>
      </c>
    </row>
    <row r="3380" spans="1:21" x14ac:dyDescent="0.35">
      <c r="A3380" s="110">
        <v>1465</v>
      </c>
      <c r="B3380" s="110">
        <v>2015</v>
      </c>
      <c r="C3380" s="110" t="s">
        <v>38</v>
      </c>
      <c r="D3380" s="110" t="s">
        <v>143</v>
      </c>
      <c r="E3380" s="110" t="s">
        <v>86</v>
      </c>
      <c r="F3380" s="117">
        <v>844</v>
      </c>
      <c r="G3380" s="110" t="s">
        <v>62</v>
      </c>
      <c r="H3380" s="110" t="str">
        <f t="shared" si="252"/>
        <v>Skykomish River</v>
      </c>
      <c r="I3380" s="110" t="str">
        <f>IFERROR(VLOOKUP(H3380,LUTs!$A$1:$C$73,2,FALSE),"NA")</f>
        <v>Snohomish</v>
      </c>
      <c r="J3380" s="110" t="str">
        <f>IFERROR(VLOOKUP(H3380,LUTs!$A$1:$C$73,3,FALSE),"NA")</f>
        <v>2Central Puget Sound</v>
      </c>
      <c r="K3380" s="110" t="s">
        <v>16</v>
      </c>
      <c r="L3380" s="110" t="str">
        <f>VLOOKUP(K3380,LUTs!E$2:G$14,3,)</f>
        <v>03Snohomish</v>
      </c>
      <c r="M3380" s="110" t="str">
        <f>VLOOKUP($K3380,LUTs!$E$2:$H$14,2,)</f>
        <v>North Puget Sound</v>
      </c>
      <c r="N3380" s="110" t="str">
        <f>VLOOKUP($K3380,LUTs!$E$2:$H$14,4,)</f>
        <v>01North Puget Sound</v>
      </c>
      <c r="O3380" s="110">
        <v>2109.54545454545</v>
      </c>
      <c r="P3380" s="110">
        <v>39132.068181818096</v>
      </c>
      <c r="Q3380" s="110">
        <f>SUMIFS('FW_Steelhead_by_Month_2010-2021'!Q$2:Q$3810,'FW_Steelhead_by_Month_2010-2021'!$B$2:$B$3810,'Rec_raw_catch_effort_2010-2021'!$B3380,'FW_Steelhead_by_Month_2010-2021'!$H$2:$H$3810,'Rec_raw_catch_effort_2010-2021'!$F3380,'FW_Steelhead_by_Month_2010-2021'!$M$2:$M$3810,'Rec_raw_catch_effort_2010-2021'!$K3380)</f>
        <v>1872.3251700443798</v>
      </c>
      <c r="R3380" s="111">
        <f>VLOOKUP(B3380,Readme!$A$62:$C$74,3,)*Q3380</f>
        <v>39182.593182863711</v>
      </c>
      <c r="S3380" s="140" t="str">
        <f t="shared" si="253"/>
        <v>Y</v>
      </c>
      <c r="T3380" s="154">
        <f t="shared" si="254"/>
        <v>18.55</v>
      </c>
      <c r="U3380" s="154">
        <f t="shared" si="255"/>
        <v>20.927237324879293</v>
      </c>
    </row>
    <row r="3381" spans="1:21" x14ac:dyDescent="0.35">
      <c r="A3381" s="110">
        <v>1794</v>
      </c>
      <c r="B3381" s="110">
        <v>2016</v>
      </c>
      <c r="C3381" s="110" t="s">
        <v>38</v>
      </c>
      <c r="D3381" s="110" t="s">
        <v>143</v>
      </c>
      <c r="E3381" s="110" t="s">
        <v>86</v>
      </c>
      <c r="F3381" s="117">
        <v>844</v>
      </c>
      <c r="G3381" s="110" t="s">
        <v>62</v>
      </c>
      <c r="H3381" s="110" t="str">
        <f t="shared" si="252"/>
        <v>Skykomish River</v>
      </c>
      <c r="I3381" s="110" t="str">
        <f>IFERROR(VLOOKUP(H3381,LUTs!$A$1:$C$73,2,FALSE),"NA")</f>
        <v>Snohomish</v>
      </c>
      <c r="J3381" s="110" t="str">
        <f>IFERROR(VLOOKUP(H3381,LUTs!$A$1:$C$73,3,FALSE),"NA")</f>
        <v>2Central Puget Sound</v>
      </c>
      <c r="K3381" s="110" t="s">
        <v>24</v>
      </c>
      <c r="L3381" s="110" t="str">
        <f>VLOOKUP(K3381,LUTs!E$2:G$14,3,)</f>
        <v>11Clallam</v>
      </c>
      <c r="M3381" s="110" t="str">
        <f>VLOOKUP($K3381,LUTs!$E$2:$H$14,2,)</f>
        <v>Strait of Juan de Fuca</v>
      </c>
      <c r="N3381" s="110" t="str">
        <f>VLOOKUP($K3381,LUTs!$E$2:$H$14,4,)</f>
        <v>03Strait of Juan de Fuca</v>
      </c>
      <c r="O3381" s="110">
        <v>3.2022900763358799</v>
      </c>
      <c r="P3381" s="110">
        <v>27.347557251908398</v>
      </c>
      <c r="Q3381" s="110">
        <f>SUMIFS('FW_Steelhead_by_Month_2010-2021'!Q$2:Q$3810,'FW_Steelhead_by_Month_2010-2021'!$B$2:$B$3810,'Rec_raw_catch_effort_2010-2021'!$B3381,'FW_Steelhead_by_Month_2010-2021'!$H$2:$H$3810,'Rec_raw_catch_effort_2010-2021'!$F3381,'FW_Steelhead_by_Month_2010-2021'!$M$2:$M$3810,'Rec_raw_catch_effort_2010-2021'!$K3381)</f>
        <v>3.1793103448275901</v>
      </c>
      <c r="R3381" s="111">
        <f>VLOOKUP(B3381,Readme!$A$62:$C$74,3,)*Q3381</f>
        <v>66.534182115650793</v>
      </c>
      <c r="S3381" s="140" t="str">
        <f t="shared" si="253"/>
        <v>Y</v>
      </c>
      <c r="T3381" s="154">
        <f t="shared" si="254"/>
        <v>8.5399999999999956</v>
      </c>
      <c r="U3381" s="154">
        <f t="shared" si="255"/>
        <v>20.92723732487929</v>
      </c>
    </row>
    <row r="3382" spans="1:21" x14ac:dyDescent="0.35">
      <c r="A3382" s="110">
        <v>1639</v>
      </c>
      <c r="B3382" s="110">
        <v>2016</v>
      </c>
      <c r="C3382" s="110" t="s">
        <v>38</v>
      </c>
      <c r="D3382" s="110" t="s">
        <v>143</v>
      </c>
      <c r="E3382" s="110" t="s">
        <v>86</v>
      </c>
      <c r="F3382" s="117">
        <v>844</v>
      </c>
      <c r="G3382" s="110" t="s">
        <v>62</v>
      </c>
      <c r="H3382" s="110" t="str">
        <f t="shared" si="252"/>
        <v>Skykomish River</v>
      </c>
      <c r="I3382" s="110" t="str">
        <f>IFERROR(VLOOKUP(H3382,LUTs!$A$1:$C$73,2,FALSE),"NA")</f>
        <v>Snohomish</v>
      </c>
      <c r="J3382" s="110" t="str">
        <f>IFERROR(VLOOKUP(H3382,LUTs!$A$1:$C$73,3,FALSE),"NA")</f>
        <v>2Central Puget Sound</v>
      </c>
      <c r="K3382" s="110" t="s">
        <v>17</v>
      </c>
      <c r="L3382" s="110" t="str">
        <f>VLOOKUP(K3382,LUTs!E$2:G$14,3,)</f>
        <v>04Island</v>
      </c>
      <c r="M3382" s="110" t="str">
        <f>VLOOKUP($K3382,LUTs!$E$2:$H$14,2,)</f>
        <v>North Puget Sound</v>
      </c>
      <c r="N3382" s="110" t="str">
        <f>VLOOKUP($K3382,LUTs!$E$2:$H$14,4,)</f>
        <v>01North Puget Sound</v>
      </c>
      <c r="O3382" s="110">
        <v>6.4045801526717598</v>
      </c>
      <c r="P3382" s="110">
        <v>54.695114503816797</v>
      </c>
      <c r="Q3382" s="110">
        <f>SUMIFS('FW_Steelhead_by_Month_2010-2021'!Q$2:Q$3810,'FW_Steelhead_by_Month_2010-2021'!$B$2:$B$3810,'Rec_raw_catch_effort_2010-2021'!$B3382,'FW_Steelhead_by_Month_2010-2021'!$H$2:$H$3810,'Rec_raw_catch_effort_2010-2021'!$F3382,'FW_Steelhead_by_Month_2010-2021'!$M$2:$M$3810,'Rec_raw_catch_effort_2010-2021'!$K3382)</f>
        <v>6.4074982642906804</v>
      </c>
      <c r="R3382" s="111">
        <f>VLOOKUP(B3382,Readme!$A$62:$C$74,3,)*Q3382</f>
        <v>134.09123683556322</v>
      </c>
      <c r="S3382" s="140" t="str">
        <f t="shared" si="253"/>
        <v>Y</v>
      </c>
      <c r="T3382" s="154">
        <f t="shared" si="254"/>
        <v>8.5399999999999956</v>
      </c>
      <c r="U3382" s="154">
        <f t="shared" si="255"/>
        <v>20.927237324879293</v>
      </c>
    </row>
    <row r="3383" spans="1:21" x14ac:dyDescent="0.35">
      <c r="A3383" s="110">
        <v>1734</v>
      </c>
      <c r="B3383" s="110">
        <v>2016</v>
      </c>
      <c r="C3383" s="110" t="s">
        <v>38</v>
      </c>
      <c r="D3383" s="110" t="s">
        <v>143</v>
      </c>
      <c r="E3383" s="110" t="s">
        <v>86</v>
      </c>
      <c r="F3383" s="117">
        <v>844</v>
      </c>
      <c r="G3383" s="110" t="s">
        <v>62</v>
      </c>
      <c r="H3383" s="110" t="str">
        <f t="shared" si="252"/>
        <v>Skykomish River</v>
      </c>
      <c r="I3383" s="110" t="str">
        <f>IFERROR(VLOOKUP(H3383,LUTs!$A$1:$C$73,2,FALSE),"NA")</f>
        <v>Snohomish</v>
      </c>
      <c r="J3383" s="110" t="str">
        <f>IFERROR(VLOOKUP(H3383,LUTs!$A$1:$C$73,3,FALSE),"NA")</f>
        <v>2Central Puget Sound</v>
      </c>
      <c r="K3383" s="110" t="s">
        <v>18</v>
      </c>
      <c r="L3383" s="110" t="str">
        <f>VLOOKUP(K3383,LUTs!E$2:G$14,3,)</f>
        <v>06King</v>
      </c>
      <c r="M3383" s="110" t="str">
        <f>VLOOKUP($K3383,LUTs!$E$2:$H$14,2,)</f>
        <v>South Puget Sound</v>
      </c>
      <c r="N3383" s="110" t="str">
        <f>VLOOKUP($K3383,LUTs!$E$2:$H$14,4,)</f>
        <v>02South Puget Sound</v>
      </c>
      <c r="O3383" s="110">
        <v>704.50381679389295</v>
      </c>
      <c r="P3383" s="110">
        <v>6016.46259541985</v>
      </c>
      <c r="Q3383" s="110">
        <f>SUMIFS('FW_Steelhead_by_Month_2010-2021'!Q$2:Q$3810,'FW_Steelhead_by_Month_2010-2021'!$B$2:$B$3810,'Rec_raw_catch_effort_2010-2021'!$B3383,'FW_Steelhead_by_Month_2010-2021'!$H$2:$H$3810,'Rec_raw_catch_effort_2010-2021'!$F3383,'FW_Steelhead_by_Month_2010-2021'!$M$2:$M$3810,'Rec_raw_catch_effort_2010-2021'!$K3383)</f>
        <v>939.54403454910414</v>
      </c>
      <c r="R3383" s="111">
        <f>VLOOKUP(B3383,Readme!$A$62:$C$74,3,)*Q3383</f>
        <v>19662.060988183694</v>
      </c>
      <c r="S3383" s="140" t="str">
        <f t="shared" si="253"/>
        <v>Y</v>
      </c>
      <c r="T3383" s="154">
        <f t="shared" si="254"/>
        <v>8.5400000000000063</v>
      </c>
      <c r="U3383" s="154">
        <f t="shared" si="255"/>
        <v>20.927237324879293</v>
      </c>
    </row>
    <row r="3384" spans="1:21" x14ac:dyDescent="0.35">
      <c r="A3384" s="110">
        <v>1793</v>
      </c>
      <c r="B3384" s="110">
        <v>2016</v>
      </c>
      <c r="C3384" s="110" t="s">
        <v>38</v>
      </c>
      <c r="D3384" s="110" t="s">
        <v>143</v>
      </c>
      <c r="E3384" s="110" t="s">
        <v>86</v>
      </c>
      <c r="F3384" s="117">
        <v>844</v>
      </c>
      <c r="G3384" s="110" t="s">
        <v>62</v>
      </c>
      <c r="H3384" s="110" t="str">
        <f t="shared" si="252"/>
        <v>Skykomish River</v>
      </c>
      <c r="I3384" s="110" t="str">
        <f>IFERROR(VLOOKUP(H3384,LUTs!$A$1:$C$73,2,FALSE),"NA")</f>
        <v>Snohomish</v>
      </c>
      <c r="J3384" s="110" t="str">
        <f>IFERROR(VLOOKUP(H3384,LUTs!$A$1:$C$73,3,FALSE),"NA")</f>
        <v>2Central Puget Sound</v>
      </c>
      <c r="K3384" s="110" t="s">
        <v>23</v>
      </c>
      <c r="L3384" s="110" t="str">
        <f>VLOOKUP(K3384,LUTs!E$2:G$14,3,)</f>
        <v>10Kitsap</v>
      </c>
      <c r="M3384" s="110" t="str">
        <f>VLOOKUP($K3384,LUTs!$E$2:$H$14,2,)</f>
        <v>South Puget Sound</v>
      </c>
      <c r="N3384" s="110" t="str">
        <f>VLOOKUP($K3384,LUTs!$E$2:$H$14,4,)</f>
        <v>02South Puget Sound</v>
      </c>
      <c r="O3384" s="110">
        <v>19.213740458015302</v>
      </c>
      <c r="P3384" s="110">
        <v>164.08534351145099</v>
      </c>
      <c r="Q3384" s="110">
        <f>SUMIFS('FW_Steelhead_by_Month_2010-2021'!Q$2:Q$3810,'FW_Steelhead_by_Month_2010-2021'!$B$2:$B$3810,'Rec_raw_catch_effort_2010-2021'!$B3384,'FW_Steelhead_by_Month_2010-2021'!$H$2:$H$3810,'Rec_raw_catch_effort_2010-2021'!$F3384,'FW_Steelhead_by_Month_2010-2021'!$M$2:$M$3810,'Rec_raw_catch_effort_2010-2021'!$K3384)</f>
        <v>19.319334749952723</v>
      </c>
      <c r="R3384" s="111">
        <f>VLOOKUP(B3384,Readme!$A$62:$C$74,3,)*Q3384</f>
        <v>404.30030327104822</v>
      </c>
      <c r="S3384" s="140" t="str">
        <f t="shared" si="253"/>
        <v>Y</v>
      </c>
      <c r="T3384" s="154">
        <f t="shared" si="254"/>
        <v>8.5400000000000169</v>
      </c>
      <c r="U3384" s="154">
        <f t="shared" si="255"/>
        <v>20.927237324879293</v>
      </c>
    </row>
    <row r="3385" spans="1:21" x14ac:dyDescent="0.35">
      <c r="A3385" s="110">
        <v>1795</v>
      </c>
      <c r="B3385" s="110">
        <v>2016</v>
      </c>
      <c r="C3385" s="110" t="s">
        <v>38</v>
      </c>
      <c r="D3385" s="110" t="s">
        <v>143</v>
      </c>
      <c r="E3385" s="110" t="s">
        <v>86</v>
      </c>
      <c r="F3385" s="117">
        <v>844</v>
      </c>
      <c r="G3385" s="110" t="s">
        <v>62</v>
      </c>
      <c r="H3385" s="110" t="str">
        <f t="shared" si="252"/>
        <v>Skykomish River</v>
      </c>
      <c r="I3385" s="110" t="str">
        <f>IFERROR(VLOOKUP(H3385,LUTs!$A$1:$C$73,2,FALSE),"NA")</f>
        <v>Snohomish</v>
      </c>
      <c r="J3385" s="110" t="str">
        <f>IFERROR(VLOOKUP(H3385,LUTs!$A$1:$C$73,3,FALSE),"NA")</f>
        <v>2Central Puget Sound</v>
      </c>
      <c r="K3385" s="110" t="s">
        <v>26</v>
      </c>
      <c r="L3385" s="110" t="str">
        <f>VLOOKUP(K3385,LUTs!E$2:G$14,3,)</f>
        <v>20Other</v>
      </c>
      <c r="M3385" s="110" t="str">
        <f>VLOOKUP($K3385,LUTs!$E$2:$H$14,2,)</f>
        <v>Non Puget Sound</v>
      </c>
      <c r="N3385" s="110" t="str">
        <f>VLOOKUP($K3385,LUTs!$E$2:$H$14,4,)</f>
        <v>07Non Puget Sound</v>
      </c>
      <c r="O3385" s="110">
        <v>12.8091603053435</v>
      </c>
      <c r="P3385" s="110">
        <v>109.390229007633</v>
      </c>
      <c r="Q3385" s="110">
        <f>SUMIFS('FW_Steelhead_by_Month_2010-2021'!Q$2:Q$3810,'FW_Steelhead_by_Month_2010-2021'!$B$2:$B$3810,'Rec_raw_catch_effort_2010-2021'!$B3385,'FW_Steelhead_by_Month_2010-2021'!$H$2:$H$3810,'Rec_raw_catch_effort_2010-2021'!$F3385,'FW_Steelhead_by_Month_2010-2021'!$M$2:$M$3810,'Rec_raw_catch_effort_2010-2021'!$K3385)</f>
        <v>12.863874103216849</v>
      </c>
      <c r="R3385" s="111">
        <f>VLOOKUP(B3385,Readme!$A$62:$C$74,3,)*Q3385</f>
        <v>269.2053462753878</v>
      </c>
      <c r="S3385" s="140" t="str">
        <f t="shared" si="253"/>
        <v>Y</v>
      </c>
      <c r="T3385" s="154">
        <f t="shared" si="254"/>
        <v>8.5399999999999618</v>
      </c>
      <c r="U3385" s="154">
        <f t="shared" si="255"/>
        <v>20.927237324879293</v>
      </c>
    </row>
    <row r="3386" spans="1:21" x14ac:dyDescent="0.35">
      <c r="A3386" s="110">
        <v>1735</v>
      </c>
      <c r="B3386" s="110">
        <v>2016</v>
      </c>
      <c r="C3386" s="110" t="s">
        <v>38</v>
      </c>
      <c r="D3386" s="110" t="s">
        <v>143</v>
      </c>
      <c r="E3386" s="110" t="s">
        <v>86</v>
      </c>
      <c r="F3386" s="117">
        <v>844</v>
      </c>
      <c r="G3386" s="110" t="s">
        <v>62</v>
      </c>
      <c r="H3386" s="110" t="str">
        <f t="shared" si="252"/>
        <v>Skykomish River</v>
      </c>
      <c r="I3386" s="110" t="str">
        <f>IFERROR(VLOOKUP(H3386,LUTs!$A$1:$C$73,2,FALSE),"NA")</f>
        <v>Snohomish</v>
      </c>
      <c r="J3386" s="110" t="str">
        <f>IFERROR(VLOOKUP(H3386,LUTs!$A$1:$C$73,3,FALSE),"NA")</f>
        <v>2Central Puget Sound</v>
      </c>
      <c r="K3386" s="110" t="s">
        <v>20</v>
      </c>
      <c r="L3386" s="110" t="str">
        <f>VLOOKUP(K3386,LUTs!E$2:G$14,3,)</f>
        <v>07Pierce</v>
      </c>
      <c r="M3386" s="110" t="str">
        <f>VLOOKUP($K3386,LUTs!$E$2:$H$14,2,)</f>
        <v>South Puget Sound</v>
      </c>
      <c r="N3386" s="110" t="str">
        <f>VLOOKUP($K3386,LUTs!$E$2:$H$14,4,)</f>
        <v>02South Puget Sound</v>
      </c>
      <c r="O3386" s="110">
        <v>3.2022900763358799</v>
      </c>
      <c r="P3386" s="110">
        <v>27.347557251908398</v>
      </c>
      <c r="Q3386" s="110">
        <f>SUMIFS('FW_Steelhead_by_Month_2010-2021'!Q$2:Q$3810,'FW_Steelhead_by_Month_2010-2021'!$B$2:$B$3810,'Rec_raw_catch_effort_2010-2021'!$B3386,'FW_Steelhead_by_Month_2010-2021'!$H$2:$H$3810,'Rec_raw_catch_effort_2010-2021'!$F3386,'FW_Steelhead_by_Month_2010-2021'!$M$2:$M$3810,'Rec_raw_catch_effort_2010-2021'!$K3386)</f>
        <v>10.97166007160355</v>
      </c>
      <c r="R3386" s="111">
        <f>VLOOKUP(B3386,Readme!$A$62:$C$74,3,)*Q3386</f>
        <v>229.60653416634963</v>
      </c>
      <c r="S3386" s="140" t="str">
        <f t="shared" si="253"/>
        <v>Y</v>
      </c>
      <c r="T3386" s="154">
        <f t="shared" si="254"/>
        <v>8.5399999999999956</v>
      </c>
      <c r="U3386" s="154">
        <f t="shared" si="255"/>
        <v>20.927237324879293</v>
      </c>
    </row>
    <row r="3387" spans="1:21" x14ac:dyDescent="0.35">
      <c r="A3387" s="110">
        <v>1637</v>
      </c>
      <c r="B3387" s="110">
        <v>2016</v>
      </c>
      <c r="C3387" s="110" t="s">
        <v>38</v>
      </c>
      <c r="D3387" s="110" t="s">
        <v>143</v>
      </c>
      <c r="E3387" s="110" t="s">
        <v>86</v>
      </c>
      <c r="F3387" s="117">
        <v>844</v>
      </c>
      <c r="G3387" s="110" t="s">
        <v>62</v>
      </c>
      <c r="H3387" s="110" t="str">
        <f t="shared" si="252"/>
        <v>Skykomish River</v>
      </c>
      <c r="I3387" s="110" t="str">
        <f>IFERROR(VLOOKUP(H3387,LUTs!$A$1:$C$73,2,FALSE),"NA")</f>
        <v>Snohomish</v>
      </c>
      <c r="J3387" s="110" t="str">
        <f>IFERROR(VLOOKUP(H3387,LUTs!$A$1:$C$73,3,FALSE),"NA")</f>
        <v>2Central Puget Sound</v>
      </c>
      <c r="K3387" s="110" t="s">
        <v>15</v>
      </c>
      <c r="L3387" s="110" t="str">
        <f>VLOOKUP(K3387,LUTs!E$2:G$14,3,)</f>
        <v>02Skagit</v>
      </c>
      <c r="M3387" s="110" t="str">
        <f>VLOOKUP($K3387,LUTs!$E$2:$H$14,2,)</f>
        <v>North Puget Sound</v>
      </c>
      <c r="N3387" s="110" t="str">
        <f>VLOOKUP($K3387,LUTs!$E$2:$H$14,4,)</f>
        <v>01North Puget Sound</v>
      </c>
      <c r="O3387" s="110">
        <v>19.213740458015302</v>
      </c>
      <c r="P3387" s="110">
        <v>164.08534351145099</v>
      </c>
      <c r="Q3387" s="110">
        <f>SUMIFS('FW_Steelhead_by_Month_2010-2021'!Q$2:Q$3810,'FW_Steelhead_by_Month_2010-2021'!$B$2:$B$3810,'Rec_raw_catch_effort_2010-2021'!$B3387,'FW_Steelhead_by_Month_2010-2021'!$H$2:$H$3810,'Rec_raw_catch_effort_2010-2021'!$F3387,'FW_Steelhead_by_Month_2010-2021'!$M$2:$M$3810,'Rec_raw_catch_effort_2010-2021'!$K3387)</f>
        <v>23.167547230895551</v>
      </c>
      <c r="R3387" s="111">
        <f>VLOOKUP(B3387,Readme!$A$62:$C$74,3,)*Q3387</f>
        <v>484.83275913630126</v>
      </c>
      <c r="S3387" s="140" t="str">
        <f t="shared" si="253"/>
        <v>Y</v>
      </c>
      <c r="T3387" s="154">
        <f t="shared" si="254"/>
        <v>8.5400000000000169</v>
      </c>
      <c r="U3387" s="154">
        <f t="shared" si="255"/>
        <v>20.927237324879293</v>
      </c>
    </row>
    <row r="3388" spans="1:21" x14ac:dyDescent="0.35">
      <c r="A3388" s="110">
        <v>1638</v>
      </c>
      <c r="B3388" s="110">
        <v>2016</v>
      </c>
      <c r="C3388" s="110" t="s">
        <v>38</v>
      </c>
      <c r="D3388" s="110" t="s">
        <v>143</v>
      </c>
      <c r="E3388" s="110" t="s">
        <v>86</v>
      </c>
      <c r="F3388" s="117">
        <v>844</v>
      </c>
      <c r="G3388" s="110" t="s">
        <v>62</v>
      </c>
      <c r="H3388" s="110" t="str">
        <f t="shared" si="252"/>
        <v>Skykomish River</v>
      </c>
      <c r="I3388" s="110" t="str">
        <f>IFERROR(VLOOKUP(H3388,LUTs!$A$1:$C$73,2,FALSE),"NA")</f>
        <v>Snohomish</v>
      </c>
      <c r="J3388" s="110" t="str">
        <f>IFERROR(VLOOKUP(H3388,LUTs!$A$1:$C$73,3,FALSE),"NA")</f>
        <v>2Central Puget Sound</v>
      </c>
      <c r="K3388" s="110" t="s">
        <v>16</v>
      </c>
      <c r="L3388" s="110" t="str">
        <f>VLOOKUP(K3388,LUTs!E$2:G$14,3,)</f>
        <v>03Snohomish</v>
      </c>
      <c r="M3388" s="110" t="str">
        <f>VLOOKUP($K3388,LUTs!$E$2:$H$14,2,)</f>
        <v>North Puget Sound</v>
      </c>
      <c r="N3388" s="110" t="str">
        <f>VLOOKUP($K3388,LUTs!$E$2:$H$14,4,)</f>
        <v>01North Puget Sound</v>
      </c>
      <c r="O3388" s="110">
        <v>880.62977099236696</v>
      </c>
      <c r="P3388" s="110">
        <v>7520.5782442748095</v>
      </c>
      <c r="Q3388" s="110">
        <f>SUMIFS('FW_Steelhead_by_Month_2010-2021'!Q$2:Q$3810,'FW_Steelhead_by_Month_2010-2021'!$B$2:$B$3810,'Rec_raw_catch_effort_2010-2021'!$B3388,'FW_Steelhead_by_Month_2010-2021'!$H$2:$H$3810,'Rec_raw_catch_effort_2010-2021'!$F3388,'FW_Steelhead_by_Month_2010-2021'!$M$2:$M$3810,'Rec_raw_catch_effort_2010-2021'!$K3388)</f>
        <v>1256.5419269855774</v>
      </c>
      <c r="R3388" s="111">
        <f>VLOOKUP(B3388,Readme!$A$62:$C$74,3,)*Q3388</f>
        <v>26295.951114688327</v>
      </c>
      <c r="S3388" s="140" t="str">
        <f t="shared" si="253"/>
        <v>Y</v>
      </c>
      <c r="T3388" s="154">
        <f t="shared" si="254"/>
        <v>8.5399999999999956</v>
      </c>
      <c r="U3388" s="154">
        <f t="shared" si="255"/>
        <v>20.927237324879293</v>
      </c>
    </row>
    <row r="3389" spans="1:21" x14ac:dyDescent="0.35">
      <c r="A3389" s="110">
        <v>1636</v>
      </c>
      <c r="B3389" s="110">
        <v>2016</v>
      </c>
      <c r="C3389" s="110" t="s">
        <v>38</v>
      </c>
      <c r="D3389" s="110" t="s">
        <v>143</v>
      </c>
      <c r="E3389" s="110" t="s">
        <v>86</v>
      </c>
      <c r="F3389" s="117">
        <v>844</v>
      </c>
      <c r="G3389" s="110" t="s">
        <v>62</v>
      </c>
      <c r="H3389" s="110" t="str">
        <f t="shared" si="252"/>
        <v>Skykomish River</v>
      </c>
      <c r="I3389" s="110" t="str">
        <f>IFERROR(VLOOKUP(H3389,LUTs!$A$1:$C$73,2,FALSE),"NA")</f>
        <v>Snohomish</v>
      </c>
      <c r="J3389" s="110" t="str">
        <f>IFERROR(VLOOKUP(H3389,LUTs!$A$1:$C$73,3,FALSE),"NA")</f>
        <v>2Central Puget Sound</v>
      </c>
      <c r="K3389" s="110" t="s">
        <v>13</v>
      </c>
      <c r="L3389" s="110" t="str">
        <f>VLOOKUP(K3389,LUTs!E$2:G$14,3,)</f>
        <v>01Whatcom</v>
      </c>
      <c r="M3389" s="110" t="str">
        <f>VLOOKUP($K3389,LUTs!$E$2:$H$14,2,)</f>
        <v>North Puget Sound</v>
      </c>
      <c r="N3389" s="110" t="str">
        <f>VLOOKUP($K3389,LUTs!$E$2:$H$14,4,)</f>
        <v>01North Puget Sound</v>
      </c>
      <c r="O3389" s="110">
        <v>28.820610687022899</v>
      </c>
      <c r="P3389" s="110">
        <v>246.12801526717601</v>
      </c>
      <c r="Q3389" s="110">
        <f>SUMIFS('FW_Steelhead_by_Month_2010-2021'!Q$2:Q$3810,'FW_Steelhead_by_Month_2010-2021'!$B$2:$B$3810,'Rec_raw_catch_effort_2010-2021'!$B3389,'FW_Steelhead_by_Month_2010-2021'!$H$2:$H$3810,'Rec_raw_catch_effort_2010-2021'!$F3389,'FW_Steelhead_by_Month_2010-2021'!$M$2:$M$3810,'Rec_raw_catch_effort_2010-2021'!$K3389)</f>
        <v>29.004813700532292</v>
      </c>
      <c r="R3389" s="111">
        <f>VLOOKUP(B3389,Readme!$A$62:$C$74,3,)*Q3389</f>
        <v>606.99061987494963</v>
      </c>
      <c r="S3389" s="140" t="str">
        <f t="shared" si="253"/>
        <v>Y</v>
      </c>
      <c r="T3389" s="154">
        <f t="shared" si="254"/>
        <v>8.5400000000000151</v>
      </c>
      <c r="U3389" s="154">
        <f t="shared" si="255"/>
        <v>20.927237324879293</v>
      </c>
    </row>
    <row r="3390" spans="1:21" x14ac:dyDescent="0.35">
      <c r="A3390" s="110">
        <v>1810</v>
      </c>
      <c r="B3390" s="110">
        <v>2017</v>
      </c>
      <c r="C3390" s="110" t="s">
        <v>38</v>
      </c>
      <c r="D3390" s="110" t="s">
        <v>143</v>
      </c>
      <c r="E3390" s="110" t="s">
        <v>86</v>
      </c>
      <c r="F3390" s="117">
        <v>844</v>
      </c>
      <c r="G3390" s="110" t="s">
        <v>62</v>
      </c>
      <c r="H3390" s="110" t="str">
        <f t="shared" si="252"/>
        <v>Skykomish River</v>
      </c>
      <c r="I3390" s="110" t="str">
        <f>IFERROR(VLOOKUP(H3390,LUTs!$A$1:$C$73,2,FALSE),"NA")</f>
        <v>Snohomish</v>
      </c>
      <c r="J3390" s="110" t="str">
        <f>IFERROR(VLOOKUP(H3390,LUTs!$A$1:$C$73,3,FALSE),"NA")</f>
        <v>2Central Puget Sound</v>
      </c>
      <c r="K3390" s="110" t="s">
        <v>17</v>
      </c>
      <c r="L3390" s="110" t="str">
        <f>VLOOKUP(K3390,LUTs!E$2:G$14,3,)</f>
        <v>04Island</v>
      </c>
      <c r="M3390" s="110" t="str">
        <f>VLOOKUP($K3390,LUTs!$E$2:$H$14,2,)</f>
        <v>North Puget Sound</v>
      </c>
      <c r="N3390" s="110" t="str">
        <f>VLOOKUP($K3390,LUTs!$E$2:$H$14,4,)</f>
        <v>01North Puget Sound</v>
      </c>
      <c r="O3390" s="110">
        <v>17.331651954602801</v>
      </c>
      <c r="P3390" s="110">
        <v>321.50214375788198</v>
      </c>
      <c r="Q3390" s="110">
        <f>SUMIFS('FW_Steelhead_by_Month_2010-2021'!Q$2:Q$3810,'FW_Steelhead_by_Month_2010-2021'!$B$2:$B$3810,'Rec_raw_catch_effort_2010-2021'!$B3390,'FW_Steelhead_by_Month_2010-2021'!$H$2:$H$3810,'Rec_raw_catch_effort_2010-2021'!$F3390,'FW_Steelhead_by_Month_2010-2021'!$M$2:$M$3810,'Rec_raw_catch_effort_2010-2021'!$K3390)</f>
        <v>8.6456377430061693</v>
      </c>
      <c r="R3390" s="111">
        <f>VLOOKUP(B3390,Readme!$A$62:$C$74,3,)*Q3390</f>
        <v>180.92931287282389</v>
      </c>
      <c r="S3390" s="140" t="str">
        <f t="shared" si="253"/>
        <v>Y</v>
      </c>
      <c r="T3390" s="154">
        <f t="shared" si="254"/>
        <v>18.55</v>
      </c>
      <c r="U3390" s="154">
        <f t="shared" si="255"/>
        <v>20.927237324879293</v>
      </c>
    </row>
    <row r="3391" spans="1:21" x14ac:dyDescent="0.35">
      <c r="A3391" s="110">
        <v>1913</v>
      </c>
      <c r="B3391" s="110">
        <v>2017</v>
      </c>
      <c r="C3391" s="110" t="s">
        <v>38</v>
      </c>
      <c r="D3391" s="110" t="s">
        <v>143</v>
      </c>
      <c r="E3391" s="110" t="s">
        <v>86</v>
      </c>
      <c r="F3391" s="117">
        <v>844</v>
      </c>
      <c r="G3391" s="110" t="s">
        <v>62</v>
      </c>
      <c r="H3391" s="110" t="str">
        <f t="shared" si="252"/>
        <v>Skykomish River</v>
      </c>
      <c r="I3391" s="110" t="str">
        <f>IFERROR(VLOOKUP(H3391,LUTs!$A$1:$C$73,2,FALSE),"NA")</f>
        <v>Snohomish</v>
      </c>
      <c r="J3391" s="110" t="str">
        <f>IFERROR(VLOOKUP(H3391,LUTs!$A$1:$C$73,3,FALSE),"NA")</f>
        <v>2Central Puget Sound</v>
      </c>
      <c r="K3391" s="110" t="s">
        <v>18</v>
      </c>
      <c r="L3391" s="110" t="str">
        <f>VLOOKUP(K3391,LUTs!E$2:G$14,3,)</f>
        <v>06King</v>
      </c>
      <c r="M3391" s="110" t="str">
        <f>VLOOKUP($K3391,LUTs!$E$2:$H$14,2,)</f>
        <v>South Puget Sound</v>
      </c>
      <c r="N3391" s="110" t="str">
        <f>VLOOKUP($K3391,LUTs!$E$2:$H$14,4,)</f>
        <v>02South Puget Sound</v>
      </c>
      <c r="O3391" s="110">
        <v>2903.0517023959701</v>
      </c>
      <c r="P3391" s="110">
        <v>53851.609079445203</v>
      </c>
      <c r="Q3391" s="110">
        <f>SUMIFS('FW_Steelhead_by_Month_2010-2021'!Q$2:Q$3810,'FW_Steelhead_by_Month_2010-2021'!$B$2:$B$3810,'Rec_raw_catch_effort_2010-2021'!$B3391,'FW_Steelhead_by_Month_2010-2021'!$H$2:$H$3810,'Rec_raw_catch_effort_2010-2021'!$F3391,'FW_Steelhead_by_Month_2010-2021'!$M$2:$M$3810,'Rec_raw_catch_effort_2010-2021'!$K3391)</f>
        <v>1181.8336610321228</v>
      </c>
      <c r="R3391" s="111">
        <f>VLOOKUP(B3391,Readme!$A$62:$C$74,3,)*Q3391</f>
        <v>24732.513502950183</v>
      </c>
      <c r="S3391" s="140" t="str">
        <f t="shared" si="253"/>
        <v>Y</v>
      </c>
      <c r="T3391" s="154">
        <f t="shared" si="254"/>
        <v>18.549999999999986</v>
      </c>
      <c r="U3391" s="154">
        <f t="shared" si="255"/>
        <v>20.927237324879293</v>
      </c>
    </row>
    <row r="3392" spans="1:21" x14ac:dyDescent="0.35">
      <c r="A3392" s="110">
        <v>1965</v>
      </c>
      <c r="B3392" s="110">
        <v>2017</v>
      </c>
      <c r="C3392" s="110" t="s">
        <v>38</v>
      </c>
      <c r="D3392" s="110" t="s">
        <v>143</v>
      </c>
      <c r="E3392" s="110" t="s">
        <v>86</v>
      </c>
      <c r="F3392" s="117">
        <v>844</v>
      </c>
      <c r="G3392" s="110" t="s">
        <v>62</v>
      </c>
      <c r="H3392" s="110" t="str">
        <f t="shared" si="252"/>
        <v>Skykomish River</v>
      </c>
      <c r="I3392" s="110" t="str">
        <f>IFERROR(VLOOKUP(H3392,LUTs!$A$1:$C$73,2,FALSE),"NA")</f>
        <v>Snohomish</v>
      </c>
      <c r="J3392" s="110" t="str">
        <f>IFERROR(VLOOKUP(H3392,LUTs!$A$1:$C$73,3,FALSE),"NA")</f>
        <v>2Central Puget Sound</v>
      </c>
      <c r="K3392" s="110" t="s">
        <v>26</v>
      </c>
      <c r="L3392" s="110" t="str">
        <f>VLOOKUP(K3392,LUTs!E$2:G$14,3,)</f>
        <v>20Other</v>
      </c>
      <c r="M3392" s="110" t="str">
        <f>VLOOKUP($K3392,LUTs!$E$2:$H$14,2,)</f>
        <v>Non Puget Sound</v>
      </c>
      <c r="N3392" s="110" t="str">
        <f>VLOOKUP($K3392,LUTs!$E$2:$H$14,4,)</f>
        <v>07Non Puget Sound</v>
      </c>
      <c r="O3392" s="110">
        <v>216.64564943253501</v>
      </c>
      <c r="P3392" s="110">
        <v>4018.77679697352</v>
      </c>
      <c r="Q3392" s="110">
        <f>SUMIFS('FW_Steelhead_by_Month_2010-2021'!Q$2:Q$3810,'FW_Steelhead_by_Month_2010-2021'!$B$2:$B$3810,'Rec_raw_catch_effort_2010-2021'!$B3392,'FW_Steelhead_by_Month_2010-2021'!$H$2:$H$3810,'Rec_raw_catch_effort_2010-2021'!$F3392,'FW_Steelhead_by_Month_2010-2021'!$M$2:$M$3810,'Rec_raw_catch_effort_2010-2021'!$K3392)</f>
        <v>91.860745272991451</v>
      </c>
      <c r="R3392" s="111">
        <f>VLOOKUP(B3392,Readme!$A$62:$C$74,3,)*Q3392</f>
        <v>1922.3916171681758</v>
      </c>
      <c r="S3392" s="140" t="str">
        <f t="shared" si="253"/>
        <v>Y</v>
      </c>
      <c r="T3392" s="154">
        <f t="shared" si="254"/>
        <v>18.549999999999979</v>
      </c>
      <c r="U3392" s="154">
        <f t="shared" si="255"/>
        <v>20.927237324879293</v>
      </c>
    </row>
    <row r="3393" spans="1:21" x14ac:dyDescent="0.35">
      <c r="A3393" s="110">
        <v>1914</v>
      </c>
      <c r="B3393" s="110">
        <v>2017</v>
      </c>
      <c r="C3393" s="110" t="s">
        <v>38</v>
      </c>
      <c r="D3393" s="110" t="s">
        <v>143</v>
      </c>
      <c r="E3393" s="110" t="s">
        <v>86</v>
      </c>
      <c r="F3393" s="117">
        <v>844</v>
      </c>
      <c r="G3393" s="110" t="s">
        <v>62</v>
      </c>
      <c r="H3393" s="110" t="str">
        <f t="shared" si="252"/>
        <v>Skykomish River</v>
      </c>
      <c r="I3393" s="110" t="str">
        <f>IFERROR(VLOOKUP(H3393,LUTs!$A$1:$C$73,2,FALSE),"NA")</f>
        <v>Snohomish</v>
      </c>
      <c r="J3393" s="110" t="str">
        <f>IFERROR(VLOOKUP(H3393,LUTs!$A$1:$C$73,3,FALSE),"NA")</f>
        <v>2Central Puget Sound</v>
      </c>
      <c r="K3393" s="110" t="s">
        <v>20</v>
      </c>
      <c r="L3393" s="110" t="str">
        <f>VLOOKUP(K3393,LUTs!E$2:G$14,3,)</f>
        <v>07Pierce</v>
      </c>
      <c r="M3393" s="110" t="str">
        <f>VLOOKUP($K3393,LUTs!$E$2:$H$14,2,)</f>
        <v>South Puget Sound</v>
      </c>
      <c r="N3393" s="110" t="str">
        <f>VLOOKUP($K3393,LUTs!$E$2:$H$14,4,)</f>
        <v>02South Puget Sound</v>
      </c>
      <c r="O3393" s="110">
        <v>60.660781841109703</v>
      </c>
      <c r="P3393" s="110">
        <v>1125.2575031525901</v>
      </c>
      <c r="Q3393" s="110">
        <f>SUMIFS('FW_Steelhead_by_Month_2010-2021'!Q$2:Q$3810,'FW_Steelhead_by_Month_2010-2021'!$B$2:$B$3810,'Rec_raw_catch_effort_2010-2021'!$B3393,'FW_Steelhead_by_Month_2010-2021'!$H$2:$H$3810,'Rec_raw_catch_effort_2010-2021'!$F3393,'FW_Steelhead_by_Month_2010-2021'!$M$2:$M$3810,'Rec_raw_catch_effort_2010-2021'!$K3393)</f>
        <v>30.104480796586103</v>
      </c>
      <c r="R3393" s="111">
        <f>VLOOKUP(B3393,Readme!$A$62:$C$74,3,)*Q3393</f>
        <v>630.00361417242857</v>
      </c>
      <c r="S3393" s="140" t="str">
        <f t="shared" si="253"/>
        <v>Y</v>
      </c>
      <c r="T3393" s="154">
        <f t="shared" si="254"/>
        <v>18.550000000000082</v>
      </c>
      <c r="U3393" s="154">
        <f t="shared" si="255"/>
        <v>20.927237324879293</v>
      </c>
    </row>
    <row r="3394" spans="1:21" x14ac:dyDescent="0.35">
      <c r="A3394" s="110">
        <v>1808</v>
      </c>
      <c r="B3394" s="110">
        <v>2017</v>
      </c>
      <c r="C3394" s="110" t="s">
        <v>38</v>
      </c>
      <c r="D3394" s="110" t="s">
        <v>143</v>
      </c>
      <c r="E3394" s="110" t="s">
        <v>86</v>
      </c>
      <c r="F3394" s="117">
        <v>844</v>
      </c>
      <c r="G3394" s="110" t="s">
        <v>62</v>
      </c>
      <c r="H3394" s="110" t="str">
        <f t="shared" ref="H3394:H3457" si="256">G3394</f>
        <v>Skykomish River</v>
      </c>
      <c r="I3394" s="110" t="str">
        <f>IFERROR(VLOOKUP(H3394,LUTs!$A$1:$C$73,2,FALSE),"NA")</f>
        <v>Snohomish</v>
      </c>
      <c r="J3394" s="110" t="str">
        <f>IFERROR(VLOOKUP(H3394,LUTs!$A$1:$C$73,3,FALSE),"NA")</f>
        <v>2Central Puget Sound</v>
      </c>
      <c r="K3394" s="110" t="s">
        <v>15</v>
      </c>
      <c r="L3394" s="110" t="str">
        <f>VLOOKUP(K3394,LUTs!E$2:G$14,3,)</f>
        <v>02Skagit</v>
      </c>
      <c r="M3394" s="110" t="str">
        <f>VLOOKUP($K3394,LUTs!$E$2:$H$14,2,)</f>
        <v>North Puget Sound</v>
      </c>
      <c r="N3394" s="110" t="str">
        <f>VLOOKUP($K3394,LUTs!$E$2:$H$14,4,)</f>
        <v>01North Puget Sound</v>
      </c>
      <c r="O3394" s="110">
        <v>8.6658259773013899</v>
      </c>
      <c r="P3394" s="110">
        <v>160.75107187894099</v>
      </c>
      <c r="Q3394" s="110">
        <f>SUMIFS('FW_Steelhead_by_Month_2010-2021'!Q$2:Q$3810,'FW_Steelhead_by_Month_2010-2021'!$B$2:$B$3810,'Rec_raw_catch_effort_2010-2021'!$B3394,'FW_Steelhead_by_Month_2010-2021'!$H$2:$H$3810,'Rec_raw_catch_effort_2010-2021'!$F3394,'FW_Steelhead_by_Month_2010-2021'!$M$2:$M$3810,'Rec_raw_catch_effort_2010-2021'!$K3394)</f>
        <v>4.1675675675675699</v>
      </c>
      <c r="R3394" s="111">
        <f>VLOOKUP(B3394,Readme!$A$62:$C$74,3,)*Q3394</f>
        <v>87.215675553956459</v>
      </c>
      <c r="S3394" s="140" t="str">
        <f t="shared" si="253"/>
        <v>Y</v>
      </c>
      <c r="T3394" s="154">
        <f t="shared" si="254"/>
        <v>18.550000000000026</v>
      </c>
      <c r="U3394" s="154">
        <f t="shared" si="255"/>
        <v>20.927237324879293</v>
      </c>
    </row>
    <row r="3395" spans="1:21" x14ac:dyDescent="0.35">
      <c r="A3395" s="110">
        <v>1809</v>
      </c>
      <c r="B3395" s="110">
        <v>2017</v>
      </c>
      <c r="C3395" s="110" t="s">
        <v>38</v>
      </c>
      <c r="D3395" s="110" t="s">
        <v>143</v>
      </c>
      <c r="E3395" s="110" t="s">
        <v>86</v>
      </c>
      <c r="F3395" s="117">
        <v>844</v>
      </c>
      <c r="G3395" s="110" t="s">
        <v>62</v>
      </c>
      <c r="H3395" s="110" t="str">
        <f t="shared" si="256"/>
        <v>Skykomish River</v>
      </c>
      <c r="I3395" s="110" t="str">
        <f>IFERROR(VLOOKUP(H3395,LUTs!$A$1:$C$73,2,FALSE),"NA")</f>
        <v>Snohomish</v>
      </c>
      <c r="J3395" s="110" t="str">
        <f>IFERROR(VLOOKUP(H3395,LUTs!$A$1:$C$73,3,FALSE),"NA")</f>
        <v>2Central Puget Sound</v>
      </c>
      <c r="K3395" s="110" t="s">
        <v>16</v>
      </c>
      <c r="L3395" s="110" t="str">
        <f>VLOOKUP(K3395,LUTs!E$2:G$14,3,)</f>
        <v>03Snohomish</v>
      </c>
      <c r="M3395" s="110" t="str">
        <f>VLOOKUP($K3395,LUTs!$E$2:$H$14,2,)</f>
        <v>North Puget Sound</v>
      </c>
      <c r="N3395" s="110" t="str">
        <f>VLOOKUP($K3395,LUTs!$E$2:$H$14,4,)</f>
        <v>01North Puget Sound</v>
      </c>
      <c r="O3395" s="110">
        <v>3630.98108448928</v>
      </c>
      <c r="P3395" s="110">
        <v>67354.699117276105</v>
      </c>
      <c r="Q3395" s="110">
        <f>SUMIFS('FW_Steelhead_by_Month_2010-2021'!Q$2:Q$3810,'FW_Steelhead_by_Month_2010-2021'!$B$2:$B$3810,'Rec_raw_catch_effort_2010-2021'!$B3395,'FW_Steelhead_by_Month_2010-2021'!$H$2:$H$3810,'Rec_raw_catch_effort_2010-2021'!$F3395,'FW_Steelhead_by_Month_2010-2021'!$M$2:$M$3810,'Rec_raw_catch_effort_2010-2021'!$K3395)</f>
        <v>1525.8738833272459</v>
      </c>
      <c r="R3395" s="111">
        <f>VLOOKUP(B3395,Readme!$A$62:$C$74,3,)*Q3395</f>
        <v>31932.324884224454</v>
      </c>
      <c r="S3395" s="140" t="str">
        <f t="shared" ref="S3395:S3458" si="257">IF(B3395&lt;=2019,"Y","N")</f>
        <v>Y</v>
      </c>
      <c r="T3395" s="154">
        <f t="shared" ref="T3395:T3458" si="258">IFERROR(P3395/O3395,"NA")</f>
        <v>18.54999999999999</v>
      </c>
      <c r="U3395" s="154">
        <f t="shared" ref="U3395:U3458" si="259">IFERROR(R3395/Q3395,"NA")</f>
        <v>20.927237324879293</v>
      </c>
    </row>
    <row r="3396" spans="1:21" x14ac:dyDescent="0.35">
      <c r="A3396" s="110">
        <v>1964</v>
      </c>
      <c r="B3396" s="110">
        <v>2017</v>
      </c>
      <c r="C3396" s="110" t="s">
        <v>38</v>
      </c>
      <c r="D3396" s="110" t="s">
        <v>143</v>
      </c>
      <c r="E3396" s="110" t="s">
        <v>86</v>
      </c>
      <c r="F3396" s="117">
        <v>844</v>
      </c>
      <c r="G3396" s="110" t="s">
        <v>62</v>
      </c>
      <c r="H3396" s="110" t="str">
        <f t="shared" si="256"/>
        <v>Skykomish River</v>
      </c>
      <c r="I3396" s="110" t="str">
        <f>IFERROR(VLOOKUP(H3396,LUTs!$A$1:$C$73,2,FALSE),"NA")</f>
        <v>Snohomish</v>
      </c>
      <c r="J3396" s="110" t="str">
        <f>IFERROR(VLOOKUP(H3396,LUTs!$A$1:$C$73,3,FALSE),"NA")</f>
        <v>2Central Puget Sound</v>
      </c>
      <c r="K3396" s="110" t="s">
        <v>21</v>
      </c>
      <c r="L3396" s="110" t="str">
        <f>VLOOKUP(K3396,LUTs!E$2:G$14,3,)</f>
        <v>08Thurston</v>
      </c>
      <c r="M3396" s="110" t="str">
        <f>VLOOKUP($K3396,LUTs!$E$2:$H$14,2,)</f>
        <v>South Puget Sound</v>
      </c>
      <c r="N3396" s="110" t="str">
        <f>VLOOKUP($K3396,LUTs!$E$2:$H$14,4,)</f>
        <v>02South Puget Sound</v>
      </c>
      <c r="O3396" s="110">
        <v>17.331651954602801</v>
      </c>
      <c r="P3396" s="110">
        <v>321.50214375788198</v>
      </c>
      <c r="Q3396" s="110">
        <f>SUMIFS('FW_Steelhead_by_Month_2010-2021'!Q$2:Q$3810,'FW_Steelhead_by_Month_2010-2021'!$B$2:$B$3810,'Rec_raw_catch_effort_2010-2021'!$B3396,'FW_Steelhead_by_Month_2010-2021'!$H$2:$H$3810,'Rec_raw_catch_effort_2010-2021'!$F3396,'FW_Steelhead_by_Month_2010-2021'!$M$2:$M$3810,'Rec_raw_catch_effort_2010-2021'!$K3396)</f>
        <v>4.1675675675675699</v>
      </c>
      <c r="R3396" s="111">
        <f>VLOOKUP(B3396,Readme!$A$62:$C$74,3,)*Q3396</f>
        <v>87.215675553956459</v>
      </c>
      <c r="S3396" s="140" t="str">
        <f t="shared" si="257"/>
        <v>Y</v>
      </c>
      <c r="T3396" s="154">
        <f t="shared" si="258"/>
        <v>18.55</v>
      </c>
      <c r="U3396" s="154">
        <f t="shared" si="259"/>
        <v>20.927237324879293</v>
      </c>
    </row>
    <row r="3397" spans="1:21" x14ac:dyDescent="0.35">
      <c r="A3397" s="110">
        <v>1807</v>
      </c>
      <c r="B3397" s="110">
        <v>2017</v>
      </c>
      <c r="C3397" s="110" t="s">
        <v>38</v>
      </c>
      <c r="D3397" s="110" t="s">
        <v>143</v>
      </c>
      <c r="E3397" s="110" t="s">
        <v>86</v>
      </c>
      <c r="F3397" s="117">
        <v>844</v>
      </c>
      <c r="G3397" s="110" t="s">
        <v>62</v>
      </c>
      <c r="H3397" s="110" t="str">
        <f t="shared" si="256"/>
        <v>Skykomish River</v>
      </c>
      <c r="I3397" s="110" t="str">
        <f>IFERROR(VLOOKUP(H3397,LUTs!$A$1:$C$73,2,FALSE),"NA")</f>
        <v>Snohomish</v>
      </c>
      <c r="J3397" s="110" t="str">
        <f>IFERROR(VLOOKUP(H3397,LUTs!$A$1:$C$73,3,FALSE),"NA")</f>
        <v>2Central Puget Sound</v>
      </c>
      <c r="K3397" s="110" t="s">
        <v>13</v>
      </c>
      <c r="L3397" s="110" t="str">
        <f>VLOOKUP(K3397,LUTs!E$2:G$14,3,)</f>
        <v>01Whatcom</v>
      </c>
      <c r="M3397" s="110" t="str">
        <f>VLOOKUP($K3397,LUTs!$E$2:$H$14,2,)</f>
        <v>North Puget Sound</v>
      </c>
      <c r="N3397" s="110" t="str">
        <f>VLOOKUP($K3397,LUTs!$E$2:$H$14,4,)</f>
        <v>01North Puget Sound</v>
      </c>
      <c r="O3397" s="110">
        <v>17.331651954602801</v>
      </c>
      <c r="P3397" s="110">
        <v>321.50214375788198</v>
      </c>
      <c r="Q3397" s="110">
        <f>SUMIFS('FW_Steelhead_by_Month_2010-2021'!Q$2:Q$3810,'FW_Steelhead_by_Month_2010-2021'!$B$2:$B$3810,'Rec_raw_catch_effort_2010-2021'!$B3397,'FW_Steelhead_by_Month_2010-2021'!$H$2:$H$3810,'Rec_raw_catch_effort_2010-2021'!$F3397,'FW_Steelhead_by_Month_2010-2021'!$M$2:$M$3810,'Rec_raw_catch_effort_2010-2021'!$K3397)</f>
        <v>8.3464566929133905</v>
      </c>
      <c r="R3397" s="111">
        <f>VLOOKUP(B3397,Readme!$A$62:$C$74,3,)*Q3397</f>
        <v>174.66828003442569</v>
      </c>
      <c r="S3397" s="140" t="str">
        <f t="shared" si="257"/>
        <v>Y</v>
      </c>
      <c r="T3397" s="154">
        <f t="shared" si="258"/>
        <v>18.55</v>
      </c>
      <c r="U3397" s="154">
        <f t="shared" si="259"/>
        <v>20.927237324879293</v>
      </c>
    </row>
    <row r="3398" spans="1:21" x14ac:dyDescent="0.35">
      <c r="A3398" s="110">
        <v>2105</v>
      </c>
      <c r="B3398" s="110">
        <v>2018</v>
      </c>
      <c r="C3398" s="110" t="s">
        <v>38</v>
      </c>
      <c r="D3398" s="110" t="s">
        <v>143</v>
      </c>
      <c r="E3398" s="110" t="s">
        <v>86</v>
      </c>
      <c r="F3398" s="117">
        <v>844</v>
      </c>
      <c r="G3398" s="110" t="s">
        <v>62</v>
      </c>
      <c r="H3398" s="110" t="str">
        <f t="shared" si="256"/>
        <v>Skykomish River</v>
      </c>
      <c r="I3398" s="110" t="str">
        <f>IFERROR(VLOOKUP(H3398,LUTs!$A$1:$C$73,2,FALSE),"NA")</f>
        <v>Snohomish</v>
      </c>
      <c r="J3398" s="110" t="str">
        <f>IFERROR(VLOOKUP(H3398,LUTs!$A$1:$C$73,3,FALSE),"NA")</f>
        <v>2Central Puget Sound</v>
      </c>
      <c r="K3398" s="110" t="s">
        <v>24</v>
      </c>
      <c r="L3398" s="110" t="str">
        <f>VLOOKUP(K3398,LUTs!E$2:G$14,3,)</f>
        <v>11Clallam</v>
      </c>
      <c r="M3398" s="110" t="str">
        <f>VLOOKUP($K3398,LUTs!$E$2:$H$14,2,)</f>
        <v>Strait of Juan de Fuca</v>
      </c>
      <c r="N3398" s="110" t="str">
        <f>VLOOKUP($K3398,LUTs!$E$2:$H$14,4,)</f>
        <v>03Strait of Juan de Fuca</v>
      </c>
      <c r="O3398" s="110">
        <v>13.922879177377901</v>
      </c>
      <c r="P3398" s="110">
        <v>118.901388174807</v>
      </c>
      <c r="Q3398" s="110">
        <f>SUMIFS('FW_Steelhead_by_Month_2010-2021'!Q$2:Q$3810,'FW_Steelhead_by_Month_2010-2021'!$B$2:$B$3810,'Rec_raw_catch_effort_2010-2021'!$B3398,'FW_Steelhead_by_Month_2010-2021'!$H$2:$H$3810,'Rec_raw_catch_effort_2010-2021'!$F3398,'FW_Steelhead_by_Month_2010-2021'!$M$2:$M$3810,'Rec_raw_catch_effort_2010-2021'!$K3398)</f>
        <v>7.1172161172161204</v>
      </c>
      <c r="R3398" s="111">
        <f>VLOOKUP(B3398,Readme!$A$62:$C$74,3,)*Q3398</f>
        <v>148.94367077743766</v>
      </c>
      <c r="S3398" s="140" t="str">
        <f t="shared" si="257"/>
        <v>Y</v>
      </c>
      <c r="T3398" s="154">
        <f t="shared" si="258"/>
        <v>8.5399999999999796</v>
      </c>
      <c r="U3398" s="154">
        <f t="shared" si="259"/>
        <v>20.927237324879293</v>
      </c>
    </row>
    <row r="3399" spans="1:21" x14ac:dyDescent="0.35">
      <c r="A3399" s="110">
        <v>2101</v>
      </c>
      <c r="B3399" s="110">
        <v>2018</v>
      </c>
      <c r="C3399" s="110" t="s">
        <v>38</v>
      </c>
      <c r="D3399" s="110" t="s">
        <v>143</v>
      </c>
      <c r="E3399" s="110" t="s">
        <v>86</v>
      </c>
      <c r="F3399" s="117">
        <v>844</v>
      </c>
      <c r="G3399" s="110" t="s">
        <v>62</v>
      </c>
      <c r="H3399" s="110" t="str">
        <f t="shared" si="256"/>
        <v>Skykomish River</v>
      </c>
      <c r="I3399" s="110" t="str">
        <f>IFERROR(VLOOKUP(H3399,LUTs!$A$1:$C$73,2,FALSE),"NA")</f>
        <v>Snohomish</v>
      </c>
      <c r="J3399" s="110" t="str">
        <f>IFERROR(VLOOKUP(H3399,LUTs!$A$1:$C$73,3,FALSE),"NA")</f>
        <v>2Central Puget Sound</v>
      </c>
      <c r="K3399" s="110" t="s">
        <v>17</v>
      </c>
      <c r="L3399" s="110" t="str">
        <f>VLOOKUP(K3399,LUTs!E$2:G$14,3,)</f>
        <v>04Island</v>
      </c>
      <c r="M3399" s="110" t="str">
        <f>VLOOKUP($K3399,LUTs!$E$2:$H$14,2,)</f>
        <v>North Puget Sound</v>
      </c>
      <c r="N3399" s="110" t="str">
        <f>VLOOKUP($K3399,LUTs!$E$2:$H$14,4,)</f>
        <v>01North Puget Sound</v>
      </c>
      <c r="O3399" s="110">
        <v>6.9614395886889504</v>
      </c>
      <c r="P3399" s="110">
        <v>59.450694087403598</v>
      </c>
      <c r="Q3399" s="110">
        <f>SUMIFS('FW_Steelhead_by_Month_2010-2021'!Q$2:Q$3810,'FW_Steelhead_by_Month_2010-2021'!$B$2:$B$3810,'Rec_raw_catch_effort_2010-2021'!$B3399,'FW_Steelhead_by_Month_2010-2021'!$H$2:$H$3810,'Rec_raw_catch_effort_2010-2021'!$F3399,'FW_Steelhead_by_Month_2010-2021'!$M$2:$M$3810,'Rec_raw_catch_effort_2010-2021'!$K3399)</f>
        <v>3.5586080586080602</v>
      </c>
      <c r="R3399" s="111">
        <f>VLOOKUP(B3399,Readme!$A$62:$C$74,3,)*Q3399</f>
        <v>74.47183538871883</v>
      </c>
      <c r="S3399" s="140" t="str">
        <f t="shared" si="257"/>
        <v>Y</v>
      </c>
      <c r="T3399" s="154">
        <f t="shared" si="258"/>
        <v>8.5399999999999938</v>
      </c>
      <c r="U3399" s="154">
        <f t="shared" si="259"/>
        <v>20.927237324879293</v>
      </c>
    </row>
    <row r="3400" spans="1:21" x14ac:dyDescent="0.35">
      <c r="A3400" s="110">
        <v>2102</v>
      </c>
      <c r="B3400" s="110">
        <v>2018</v>
      </c>
      <c r="C3400" s="110" t="s">
        <v>38</v>
      </c>
      <c r="D3400" s="110" t="s">
        <v>143</v>
      </c>
      <c r="E3400" s="110" t="s">
        <v>86</v>
      </c>
      <c r="F3400" s="117">
        <v>844</v>
      </c>
      <c r="G3400" s="110" t="s">
        <v>62</v>
      </c>
      <c r="H3400" s="110" t="str">
        <f t="shared" si="256"/>
        <v>Skykomish River</v>
      </c>
      <c r="I3400" s="110" t="str">
        <f>IFERROR(VLOOKUP(H3400,LUTs!$A$1:$C$73,2,FALSE),"NA")</f>
        <v>Snohomish</v>
      </c>
      <c r="J3400" s="110" t="str">
        <f>IFERROR(VLOOKUP(H3400,LUTs!$A$1:$C$73,3,FALSE),"NA")</f>
        <v>2Central Puget Sound</v>
      </c>
      <c r="K3400" s="110" t="s">
        <v>18</v>
      </c>
      <c r="L3400" s="110" t="str">
        <f>VLOOKUP(K3400,LUTs!E$2:G$14,3,)</f>
        <v>06King</v>
      </c>
      <c r="M3400" s="110" t="str">
        <f>VLOOKUP($K3400,LUTs!$E$2:$H$14,2,)</f>
        <v>South Puget Sound</v>
      </c>
      <c r="N3400" s="110" t="str">
        <f>VLOOKUP($K3400,LUTs!$E$2:$H$14,4,)</f>
        <v>02South Puget Sound</v>
      </c>
      <c r="O3400" s="110">
        <v>2408.6580976863802</v>
      </c>
      <c r="P3400" s="110">
        <v>20569.9401542417</v>
      </c>
      <c r="Q3400" s="110">
        <f>SUMIFS('FW_Steelhead_by_Month_2010-2021'!Q$2:Q$3810,'FW_Steelhead_by_Month_2010-2021'!$B$2:$B$3810,'Rec_raw_catch_effort_2010-2021'!$B3400,'FW_Steelhead_by_Month_2010-2021'!$H$2:$H$3810,'Rec_raw_catch_effort_2010-2021'!$F3400,'FW_Steelhead_by_Month_2010-2021'!$M$2:$M$3810,'Rec_raw_catch_effort_2010-2021'!$K3400)</f>
        <v>1489.5281394795691</v>
      </c>
      <c r="R3400" s="111">
        <f>VLOOKUP(B3400,Readme!$A$62:$C$74,3,)*Q3400</f>
        <v>31171.708876974848</v>
      </c>
      <c r="S3400" s="140" t="str">
        <f t="shared" si="257"/>
        <v>Y</v>
      </c>
      <c r="T3400" s="154">
        <f t="shared" si="258"/>
        <v>8.5400000000000063</v>
      </c>
      <c r="U3400" s="154">
        <f t="shared" si="259"/>
        <v>20.927237324879293</v>
      </c>
    </row>
    <row r="3401" spans="1:21" x14ac:dyDescent="0.35">
      <c r="A3401" s="110">
        <v>2104</v>
      </c>
      <c r="B3401" s="110">
        <v>2018</v>
      </c>
      <c r="C3401" s="110" t="s">
        <v>38</v>
      </c>
      <c r="D3401" s="110" t="s">
        <v>143</v>
      </c>
      <c r="E3401" s="110" t="s">
        <v>86</v>
      </c>
      <c r="F3401" s="117">
        <v>844</v>
      </c>
      <c r="G3401" s="110" t="s">
        <v>62</v>
      </c>
      <c r="H3401" s="110" t="str">
        <f t="shared" si="256"/>
        <v>Skykomish River</v>
      </c>
      <c r="I3401" s="110" t="str">
        <f>IFERROR(VLOOKUP(H3401,LUTs!$A$1:$C$73,2,FALSE),"NA")</f>
        <v>Snohomish</v>
      </c>
      <c r="J3401" s="110" t="str">
        <f>IFERROR(VLOOKUP(H3401,LUTs!$A$1:$C$73,3,FALSE),"NA")</f>
        <v>2Central Puget Sound</v>
      </c>
      <c r="K3401" s="110" t="s">
        <v>23</v>
      </c>
      <c r="L3401" s="110" t="str">
        <f>VLOOKUP(K3401,LUTs!E$2:G$14,3,)</f>
        <v>10Kitsap</v>
      </c>
      <c r="M3401" s="110" t="str">
        <f>VLOOKUP($K3401,LUTs!$E$2:$H$14,2,)</f>
        <v>South Puget Sound</v>
      </c>
      <c r="N3401" s="110" t="str">
        <f>VLOOKUP($K3401,LUTs!$E$2:$H$14,4,)</f>
        <v>02South Puget Sound</v>
      </c>
      <c r="O3401" s="110">
        <v>27.845758354755802</v>
      </c>
      <c r="P3401" s="110">
        <v>237.80277634961499</v>
      </c>
      <c r="Q3401" s="110">
        <f>SUMIFS('FW_Steelhead_by_Month_2010-2021'!Q$2:Q$3810,'FW_Steelhead_by_Month_2010-2021'!$B$2:$B$3810,'Rec_raw_catch_effort_2010-2021'!$B3401,'FW_Steelhead_by_Month_2010-2021'!$H$2:$H$3810,'Rec_raw_catch_effort_2010-2021'!$F3401,'FW_Steelhead_by_Month_2010-2021'!$M$2:$M$3810,'Rec_raw_catch_effort_2010-2021'!$K3401)</f>
        <v>14.237048665620121</v>
      </c>
      <c r="R3401" s="111">
        <f>VLOOKUP(B3401,Readme!$A$62:$C$74,3,)*Q3401</f>
        <v>297.9420962312883</v>
      </c>
      <c r="S3401" s="140" t="str">
        <f t="shared" si="257"/>
        <v>Y</v>
      </c>
      <c r="T3401" s="154">
        <f t="shared" si="258"/>
        <v>8.5400000000000151</v>
      </c>
      <c r="U3401" s="154">
        <f t="shared" si="259"/>
        <v>20.927237324879293</v>
      </c>
    </row>
    <row r="3402" spans="1:21" x14ac:dyDescent="0.35">
      <c r="A3402" s="110">
        <v>2106</v>
      </c>
      <c r="B3402" s="110">
        <v>2018</v>
      </c>
      <c r="C3402" s="110" t="s">
        <v>38</v>
      </c>
      <c r="D3402" s="110" t="s">
        <v>143</v>
      </c>
      <c r="E3402" s="110" t="s">
        <v>86</v>
      </c>
      <c r="F3402" s="117">
        <v>844</v>
      </c>
      <c r="G3402" s="110" t="s">
        <v>62</v>
      </c>
      <c r="H3402" s="110" t="str">
        <f t="shared" si="256"/>
        <v>Skykomish River</v>
      </c>
      <c r="I3402" s="110" t="str">
        <f>IFERROR(VLOOKUP(H3402,LUTs!$A$1:$C$73,2,FALSE),"NA")</f>
        <v>Snohomish</v>
      </c>
      <c r="J3402" s="110" t="str">
        <f>IFERROR(VLOOKUP(H3402,LUTs!$A$1:$C$73,3,FALSE),"NA")</f>
        <v>2Central Puget Sound</v>
      </c>
      <c r="K3402" s="110" t="s">
        <v>26</v>
      </c>
      <c r="L3402" s="110" t="str">
        <f>VLOOKUP(K3402,LUTs!E$2:G$14,3,)</f>
        <v>20Other</v>
      </c>
      <c r="M3402" s="110" t="str">
        <f>VLOOKUP($K3402,LUTs!$E$2:$H$14,2,)</f>
        <v>Non Puget Sound</v>
      </c>
      <c r="N3402" s="110" t="str">
        <f>VLOOKUP($K3402,LUTs!$E$2:$H$14,4,)</f>
        <v>07Non Puget Sound</v>
      </c>
      <c r="O3402" s="110">
        <v>48.7300771208226</v>
      </c>
      <c r="P3402" s="110">
        <v>416.15485861182498</v>
      </c>
      <c r="Q3402" s="110">
        <f>SUMIFS('FW_Steelhead_by_Month_2010-2021'!Q$2:Q$3810,'FW_Steelhead_by_Month_2010-2021'!$B$2:$B$3810,'Rec_raw_catch_effort_2010-2021'!$B3402,'FW_Steelhead_by_Month_2010-2021'!$H$2:$H$3810,'Rec_raw_catch_effort_2010-2021'!$F3402,'FW_Steelhead_by_Month_2010-2021'!$M$2:$M$3810,'Rec_raw_catch_effort_2010-2021'!$K3402)</f>
        <v>42.83287284144432</v>
      </c>
      <c r="R3402" s="111">
        <f>VLOOKUP(B3402,Readme!$A$62:$C$74,3,)*Q3402</f>
        <v>896.37369525928216</v>
      </c>
      <c r="S3402" s="140" t="str">
        <f t="shared" si="257"/>
        <v>Y</v>
      </c>
      <c r="T3402" s="154">
        <f t="shared" si="258"/>
        <v>8.5399999999999991</v>
      </c>
      <c r="U3402" s="154">
        <f t="shared" si="259"/>
        <v>20.927237324879293</v>
      </c>
    </row>
    <row r="3403" spans="1:21" x14ac:dyDescent="0.35">
      <c r="A3403" s="110">
        <v>2103</v>
      </c>
      <c r="B3403" s="110">
        <v>2018</v>
      </c>
      <c r="C3403" s="110" t="s">
        <v>38</v>
      </c>
      <c r="D3403" s="110" t="s">
        <v>143</v>
      </c>
      <c r="E3403" s="110" t="s">
        <v>86</v>
      </c>
      <c r="F3403" s="117">
        <v>844</v>
      </c>
      <c r="G3403" s="110" t="s">
        <v>62</v>
      </c>
      <c r="H3403" s="110" t="str">
        <f t="shared" si="256"/>
        <v>Skykomish River</v>
      </c>
      <c r="I3403" s="110" t="str">
        <f>IFERROR(VLOOKUP(H3403,LUTs!$A$1:$C$73,2,FALSE),"NA")</f>
        <v>Snohomish</v>
      </c>
      <c r="J3403" s="110" t="str">
        <f>IFERROR(VLOOKUP(H3403,LUTs!$A$1:$C$73,3,FALSE),"NA")</f>
        <v>2Central Puget Sound</v>
      </c>
      <c r="K3403" s="110" t="s">
        <v>20</v>
      </c>
      <c r="L3403" s="110" t="str">
        <f>VLOOKUP(K3403,LUTs!E$2:G$14,3,)</f>
        <v>07Pierce</v>
      </c>
      <c r="M3403" s="110" t="str">
        <f>VLOOKUP($K3403,LUTs!$E$2:$H$14,2,)</f>
        <v>South Puget Sound</v>
      </c>
      <c r="N3403" s="110" t="str">
        <f>VLOOKUP($K3403,LUTs!$E$2:$H$14,4,)</f>
        <v>02South Puget Sound</v>
      </c>
      <c r="O3403" s="110">
        <v>229.727506426735</v>
      </c>
      <c r="P3403" s="110">
        <v>1961.87290488432</v>
      </c>
      <c r="Q3403" s="110">
        <f>SUMIFS('FW_Steelhead_by_Month_2010-2021'!Q$2:Q$3810,'FW_Steelhead_by_Month_2010-2021'!$B$2:$B$3810,'Rec_raw_catch_effort_2010-2021'!$B3403,'FW_Steelhead_by_Month_2010-2021'!$H$2:$H$3810,'Rec_raw_catch_effort_2010-2021'!$F3403,'FW_Steelhead_by_Month_2010-2021'!$M$2:$M$3810,'Rec_raw_catch_effort_2010-2021'!$K3403)</f>
        <v>117.43137814566396</v>
      </c>
      <c r="R3403" s="111">
        <f>VLOOKUP(B3403,Readme!$A$62:$C$74,3,)*Q3403</f>
        <v>2457.5143198419532</v>
      </c>
      <c r="S3403" s="140" t="str">
        <f t="shared" si="257"/>
        <v>Y</v>
      </c>
      <c r="T3403" s="154">
        <f t="shared" si="258"/>
        <v>8.5400000000000134</v>
      </c>
      <c r="U3403" s="154">
        <f t="shared" si="259"/>
        <v>20.927237324879293</v>
      </c>
    </row>
    <row r="3404" spans="1:21" x14ac:dyDescent="0.35">
      <c r="A3404" s="110">
        <v>1976</v>
      </c>
      <c r="B3404" s="110">
        <v>2018</v>
      </c>
      <c r="C3404" s="110" t="s">
        <v>38</v>
      </c>
      <c r="D3404" s="110" t="s">
        <v>143</v>
      </c>
      <c r="E3404" s="110" t="s">
        <v>86</v>
      </c>
      <c r="F3404" s="117">
        <v>844</v>
      </c>
      <c r="G3404" s="110" t="s">
        <v>62</v>
      </c>
      <c r="H3404" s="110" t="str">
        <f t="shared" si="256"/>
        <v>Skykomish River</v>
      </c>
      <c r="I3404" s="110" t="str">
        <f>IFERROR(VLOOKUP(H3404,LUTs!$A$1:$C$73,2,FALSE),"NA")</f>
        <v>Snohomish</v>
      </c>
      <c r="J3404" s="110" t="str">
        <f>IFERROR(VLOOKUP(H3404,LUTs!$A$1:$C$73,3,FALSE),"NA")</f>
        <v>2Central Puget Sound</v>
      </c>
      <c r="K3404" s="110" t="s">
        <v>15</v>
      </c>
      <c r="L3404" s="110" t="str">
        <f>VLOOKUP(K3404,LUTs!E$2:G$14,3,)</f>
        <v>02Skagit</v>
      </c>
      <c r="M3404" s="110" t="str">
        <f>VLOOKUP($K3404,LUTs!$E$2:$H$14,2,)</f>
        <v>North Puget Sound</v>
      </c>
      <c r="N3404" s="110" t="str">
        <f>VLOOKUP($K3404,LUTs!$E$2:$H$14,4,)</f>
        <v>01North Puget Sound</v>
      </c>
      <c r="O3404" s="110">
        <v>104.421593830334</v>
      </c>
      <c r="P3404" s="110">
        <v>891.76041131105205</v>
      </c>
      <c r="Q3404" s="110">
        <f>SUMIFS('FW_Steelhead_by_Month_2010-2021'!Q$2:Q$3810,'FW_Steelhead_by_Month_2010-2021'!$B$2:$B$3810,'Rec_raw_catch_effort_2010-2021'!$B3404,'FW_Steelhead_by_Month_2010-2021'!$H$2:$H$3810,'Rec_raw_catch_effort_2010-2021'!$F3404,'FW_Steelhead_by_Month_2010-2021'!$M$2:$M$3810,'Rec_raw_catch_effort_2010-2021'!$K3404)</f>
        <v>53.381737310308722</v>
      </c>
      <c r="R3404" s="111">
        <f>VLOOKUP(B3404,Readme!$A$62:$C$74,3,)*Q3404</f>
        <v>1117.1322855071942</v>
      </c>
      <c r="S3404" s="140" t="str">
        <f t="shared" si="257"/>
        <v>Y</v>
      </c>
      <c r="T3404" s="154">
        <f t="shared" si="258"/>
        <v>8.5399999999999974</v>
      </c>
      <c r="U3404" s="154">
        <f t="shared" si="259"/>
        <v>20.927237324879293</v>
      </c>
    </row>
    <row r="3405" spans="1:21" x14ac:dyDescent="0.35">
      <c r="A3405" s="110">
        <v>2100</v>
      </c>
      <c r="B3405" s="110">
        <v>2018</v>
      </c>
      <c r="C3405" s="110" t="s">
        <v>38</v>
      </c>
      <c r="D3405" s="110" t="s">
        <v>143</v>
      </c>
      <c r="E3405" s="110" t="s">
        <v>86</v>
      </c>
      <c r="F3405" s="117">
        <v>844</v>
      </c>
      <c r="G3405" s="110" t="s">
        <v>62</v>
      </c>
      <c r="H3405" s="110" t="str">
        <f t="shared" si="256"/>
        <v>Skykomish River</v>
      </c>
      <c r="I3405" s="110" t="str">
        <f>IFERROR(VLOOKUP(H3405,LUTs!$A$1:$C$73,2,FALSE),"NA")</f>
        <v>Snohomish</v>
      </c>
      <c r="J3405" s="110" t="str">
        <f>IFERROR(VLOOKUP(H3405,LUTs!$A$1:$C$73,3,FALSE),"NA")</f>
        <v>2Central Puget Sound</v>
      </c>
      <c r="K3405" s="110" t="s">
        <v>16</v>
      </c>
      <c r="L3405" s="110" t="str">
        <f>VLOOKUP(K3405,LUTs!E$2:G$14,3,)</f>
        <v>03Snohomish</v>
      </c>
      <c r="M3405" s="110" t="str">
        <f>VLOOKUP($K3405,LUTs!$E$2:$H$14,2,)</f>
        <v>North Puget Sound</v>
      </c>
      <c r="N3405" s="110" t="str">
        <f>VLOOKUP($K3405,LUTs!$E$2:$H$14,4,)</f>
        <v>01North Puget Sound</v>
      </c>
      <c r="O3405" s="110">
        <v>2575.7326478149098</v>
      </c>
      <c r="P3405" s="110">
        <v>21996.756812339299</v>
      </c>
      <c r="Q3405" s="110">
        <f>SUMIFS('FW_Steelhead_by_Month_2010-2021'!Q$2:Q$3810,'FW_Steelhead_by_Month_2010-2021'!$B$2:$B$3810,'Rec_raw_catch_effort_2010-2021'!$B3405,'FW_Steelhead_by_Month_2010-2021'!$H$2:$H$3810,'Rec_raw_catch_effort_2010-2021'!$F3405,'FW_Steelhead_by_Month_2010-2021'!$M$2:$M$3810,'Rec_raw_catch_effort_2010-2021'!$K3405)</f>
        <v>1611.4129993815714</v>
      </c>
      <c r="R3405" s="111">
        <f>VLOOKUP(B3405,Readme!$A$62:$C$74,3,)*Q3405</f>
        <v>33722.422266453716</v>
      </c>
      <c r="S3405" s="140" t="str">
        <f t="shared" si="257"/>
        <v>Y</v>
      </c>
      <c r="T3405" s="154">
        <f t="shared" si="258"/>
        <v>8.5399999999999885</v>
      </c>
      <c r="U3405" s="154">
        <f t="shared" si="259"/>
        <v>20.927237324879293</v>
      </c>
    </row>
    <row r="3406" spans="1:21" x14ac:dyDescent="0.35">
      <c r="A3406" s="110">
        <v>2247</v>
      </c>
      <c r="B3406" s="110">
        <v>2019</v>
      </c>
      <c r="C3406" s="110" t="s">
        <v>38</v>
      </c>
      <c r="D3406" s="110" t="s">
        <v>143</v>
      </c>
      <c r="E3406" s="110" t="s">
        <v>86</v>
      </c>
      <c r="F3406" s="117">
        <v>844</v>
      </c>
      <c r="G3406" s="110" t="s">
        <v>62</v>
      </c>
      <c r="H3406" s="110" t="str">
        <f t="shared" si="256"/>
        <v>Skykomish River</v>
      </c>
      <c r="I3406" s="110" t="str">
        <f>IFERROR(VLOOKUP(H3406,LUTs!$A$1:$C$73,2,FALSE),"NA")</f>
        <v>Snohomish</v>
      </c>
      <c r="J3406" s="110" t="str">
        <f>IFERROR(VLOOKUP(H3406,LUTs!$A$1:$C$73,3,FALSE),"NA")</f>
        <v>2Central Puget Sound</v>
      </c>
      <c r="K3406" s="110" t="s">
        <v>18</v>
      </c>
      <c r="L3406" s="110" t="str">
        <f>VLOOKUP(K3406,LUTs!E$2:G$14,3,)</f>
        <v>06King</v>
      </c>
      <c r="M3406" s="110" t="str">
        <f>VLOOKUP($K3406,LUTs!$E$2:$H$14,2,)</f>
        <v>South Puget Sound</v>
      </c>
      <c r="N3406" s="110" t="str">
        <f>VLOOKUP($K3406,LUTs!$E$2:$H$14,4,)</f>
        <v>02South Puget Sound</v>
      </c>
      <c r="O3406" s="110">
        <v>149.010309278351</v>
      </c>
      <c r="P3406" s="110">
        <v>2764.1412371134102</v>
      </c>
      <c r="Q3406" s="110">
        <f>SUMIFS('FW_Steelhead_by_Month_2010-2021'!Q$2:Q$3810,'FW_Steelhead_by_Month_2010-2021'!$B$2:$B$3810,'Rec_raw_catch_effort_2010-2021'!$B3406,'FW_Steelhead_by_Month_2010-2021'!$H$2:$H$3810,'Rec_raw_catch_effort_2010-2021'!$F3406,'FW_Steelhead_by_Month_2010-2021'!$M$2:$M$3810,'Rec_raw_catch_effort_2010-2021'!$K3406)</f>
        <v>116.71</v>
      </c>
      <c r="R3406" s="111">
        <f>VLOOKUP(B3406,Readme!$A$62:$C$74,3,)*Q3406</f>
        <v>2442.417868186662</v>
      </c>
      <c r="S3406" s="140" t="str">
        <f t="shared" si="257"/>
        <v>Y</v>
      </c>
      <c r="T3406" s="154">
        <f t="shared" si="258"/>
        <v>18.549999999999994</v>
      </c>
      <c r="U3406" s="154">
        <f t="shared" si="259"/>
        <v>20.927237324879293</v>
      </c>
    </row>
    <row r="3407" spans="1:21" x14ac:dyDescent="0.35">
      <c r="A3407" s="110">
        <v>2249</v>
      </c>
      <c r="B3407" s="110">
        <v>2019</v>
      </c>
      <c r="C3407" s="110" t="s">
        <v>38</v>
      </c>
      <c r="D3407" s="110" t="s">
        <v>143</v>
      </c>
      <c r="E3407" s="110" t="s">
        <v>86</v>
      </c>
      <c r="F3407" s="117">
        <v>844</v>
      </c>
      <c r="G3407" s="110" t="s">
        <v>62</v>
      </c>
      <c r="H3407" s="110" t="str">
        <f t="shared" si="256"/>
        <v>Skykomish River</v>
      </c>
      <c r="I3407" s="110" t="str">
        <f>IFERROR(VLOOKUP(H3407,LUTs!$A$1:$C$73,2,FALSE),"NA")</f>
        <v>Snohomish</v>
      </c>
      <c r="J3407" s="110" t="str">
        <f>IFERROR(VLOOKUP(H3407,LUTs!$A$1:$C$73,3,FALSE),"NA")</f>
        <v>2Central Puget Sound</v>
      </c>
      <c r="K3407" s="110" t="s">
        <v>26</v>
      </c>
      <c r="L3407" s="110" t="str">
        <f>VLOOKUP(K3407,LUTs!E$2:G$14,3,)</f>
        <v>20Other</v>
      </c>
      <c r="M3407" s="110" t="str">
        <f>VLOOKUP($K3407,LUTs!$E$2:$H$14,2,)</f>
        <v>Non Puget Sound</v>
      </c>
      <c r="N3407" s="110" t="str">
        <f>VLOOKUP($K3407,LUTs!$E$2:$H$14,4,)</f>
        <v>07Non Puget Sound</v>
      </c>
      <c r="O3407" s="110">
        <v>27.0927835051546</v>
      </c>
      <c r="P3407" s="110">
        <v>502.57113402061799</v>
      </c>
      <c r="Q3407" s="110">
        <f>SUMIFS('FW_Steelhead_by_Month_2010-2021'!Q$2:Q$3810,'FW_Steelhead_by_Month_2010-2021'!$B$2:$B$3810,'Rec_raw_catch_effort_2010-2021'!$B3407,'FW_Steelhead_by_Month_2010-2021'!$H$2:$H$3810,'Rec_raw_catch_effort_2010-2021'!$F3407,'FW_Steelhead_by_Month_2010-2021'!$M$2:$M$3810,'Rec_raw_catch_effort_2010-2021'!$K3407)</f>
        <v>13.399999999999999</v>
      </c>
      <c r="R3407" s="111">
        <f>VLOOKUP(B3407,Readme!$A$62:$C$74,3,)*Q3407</f>
        <v>280.42498015338248</v>
      </c>
      <c r="S3407" s="140" t="str">
        <f t="shared" si="257"/>
        <v>Y</v>
      </c>
      <c r="T3407" s="154">
        <f t="shared" si="258"/>
        <v>18.550000000000008</v>
      </c>
      <c r="U3407" s="154">
        <f t="shared" si="259"/>
        <v>20.927237324879293</v>
      </c>
    </row>
    <row r="3408" spans="1:21" x14ac:dyDescent="0.35">
      <c r="A3408" s="110">
        <v>2248</v>
      </c>
      <c r="B3408" s="110">
        <v>2019</v>
      </c>
      <c r="C3408" s="110" t="s">
        <v>38</v>
      </c>
      <c r="D3408" s="110" t="s">
        <v>143</v>
      </c>
      <c r="E3408" s="110" t="s">
        <v>86</v>
      </c>
      <c r="F3408" s="117">
        <v>844</v>
      </c>
      <c r="G3408" s="110" t="s">
        <v>62</v>
      </c>
      <c r="H3408" s="110" t="str">
        <f t="shared" si="256"/>
        <v>Skykomish River</v>
      </c>
      <c r="I3408" s="110" t="str">
        <f>IFERROR(VLOOKUP(H3408,LUTs!$A$1:$C$73,2,FALSE),"NA")</f>
        <v>Snohomish</v>
      </c>
      <c r="J3408" s="110" t="str">
        <f>IFERROR(VLOOKUP(H3408,LUTs!$A$1:$C$73,3,FALSE),"NA")</f>
        <v>2Central Puget Sound</v>
      </c>
      <c r="K3408" s="110" t="s">
        <v>20</v>
      </c>
      <c r="L3408" s="110" t="str">
        <f>VLOOKUP(K3408,LUTs!E$2:G$14,3,)</f>
        <v>07Pierce</v>
      </c>
      <c r="M3408" s="110" t="str">
        <f>VLOOKUP($K3408,LUTs!$E$2:$H$14,2,)</f>
        <v>South Puget Sound</v>
      </c>
      <c r="N3408" s="110" t="str">
        <f>VLOOKUP($K3408,LUTs!$E$2:$H$14,4,)</f>
        <v>02South Puget Sound</v>
      </c>
      <c r="O3408" s="110">
        <v>4.5154639175257696</v>
      </c>
      <c r="P3408" s="110">
        <v>83.761855670103003</v>
      </c>
      <c r="Q3408" s="110">
        <f>SUMIFS('FW_Steelhead_by_Month_2010-2021'!Q$2:Q$3810,'FW_Steelhead_by_Month_2010-2021'!$B$2:$B$3810,'Rec_raw_catch_effort_2010-2021'!$B3408,'FW_Steelhead_by_Month_2010-2021'!$H$2:$H$3810,'Rec_raw_catch_effort_2010-2021'!$F3408,'FW_Steelhead_by_Month_2010-2021'!$M$2:$M$3810,'Rec_raw_catch_effort_2010-2021'!$K3408)</f>
        <v>2.25</v>
      </c>
      <c r="R3408" s="111">
        <f>VLOOKUP(B3408,Readme!$A$62:$C$74,3,)*Q3408</f>
        <v>47.086283980978408</v>
      </c>
      <c r="S3408" s="140" t="str">
        <f t="shared" si="257"/>
        <v>Y</v>
      </c>
      <c r="T3408" s="154">
        <f t="shared" si="258"/>
        <v>18.549999999999994</v>
      </c>
      <c r="U3408" s="154">
        <f t="shared" si="259"/>
        <v>20.927237324879293</v>
      </c>
    </row>
    <row r="3409" spans="1:21" x14ac:dyDescent="0.35">
      <c r="A3409" s="110">
        <v>2115</v>
      </c>
      <c r="B3409" s="110">
        <v>2019</v>
      </c>
      <c r="C3409" s="110" t="s">
        <v>38</v>
      </c>
      <c r="D3409" s="110" t="s">
        <v>143</v>
      </c>
      <c r="E3409" s="110" t="s">
        <v>86</v>
      </c>
      <c r="F3409" s="117">
        <v>844</v>
      </c>
      <c r="G3409" s="110" t="s">
        <v>62</v>
      </c>
      <c r="H3409" s="110" t="str">
        <f t="shared" si="256"/>
        <v>Skykomish River</v>
      </c>
      <c r="I3409" s="110" t="str">
        <f>IFERROR(VLOOKUP(H3409,LUTs!$A$1:$C$73,2,FALSE),"NA")</f>
        <v>Snohomish</v>
      </c>
      <c r="J3409" s="110" t="str">
        <f>IFERROR(VLOOKUP(H3409,LUTs!$A$1:$C$73,3,FALSE),"NA")</f>
        <v>2Central Puget Sound</v>
      </c>
      <c r="K3409" s="110" t="s">
        <v>16</v>
      </c>
      <c r="L3409" s="110" t="str">
        <f>VLOOKUP(K3409,LUTs!E$2:G$14,3,)</f>
        <v>03Snohomish</v>
      </c>
      <c r="M3409" s="110" t="str">
        <f>VLOOKUP($K3409,LUTs!$E$2:$H$14,2,)</f>
        <v>North Puget Sound</v>
      </c>
      <c r="N3409" s="110" t="str">
        <f>VLOOKUP($K3409,LUTs!$E$2:$H$14,4,)</f>
        <v>01North Puget Sound</v>
      </c>
      <c r="O3409" s="110">
        <v>257.38144329896897</v>
      </c>
      <c r="P3409" s="110">
        <v>4774.4257731958796</v>
      </c>
      <c r="Q3409" s="110">
        <f>SUMIFS('FW_Steelhead_by_Month_2010-2021'!Q$2:Q$3810,'FW_Steelhead_by_Month_2010-2021'!$B$2:$B$3810,'Rec_raw_catch_effort_2010-2021'!$B3409,'FW_Steelhead_by_Month_2010-2021'!$H$2:$H$3810,'Rec_raw_catch_effort_2010-2021'!$F3409,'FW_Steelhead_by_Month_2010-2021'!$M$2:$M$3810,'Rec_raw_catch_effort_2010-2021'!$K3409)</f>
        <v>177.64000000000001</v>
      </c>
      <c r="R3409" s="111">
        <f>VLOOKUP(B3409,Readme!$A$62:$C$74,3,)*Q3409</f>
        <v>3717.5144383915581</v>
      </c>
      <c r="S3409" s="140" t="str">
        <f t="shared" si="257"/>
        <v>Y</v>
      </c>
      <c r="T3409" s="154">
        <f t="shared" si="258"/>
        <v>18.550000000000018</v>
      </c>
      <c r="U3409" s="154">
        <f t="shared" si="259"/>
        <v>20.927237324879293</v>
      </c>
    </row>
    <row r="3410" spans="1:21" x14ac:dyDescent="0.35">
      <c r="A3410" s="110">
        <v>2363</v>
      </c>
      <c r="B3410" s="110">
        <v>2020</v>
      </c>
      <c r="C3410" s="110" t="s">
        <v>38</v>
      </c>
      <c r="D3410" s="110" t="s">
        <v>143</v>
      </c>
      <c r="E3410" s="110" t="s">
        <v>86</v>
      </c>
      <c r="F3410" s="117">
        <v>844</v>
      </c>
      <c r="G3410" s="110" t="s">
        <v>62</v>
      </c>
      <c r="H3410" s="110" t="str">
        <f t="shared" si="256"/>
        <v>Skykomish River</v>
      </c>
      <c r="I3410" s="110" t="str">
        <f>IFERROR(VLOOKUP(H3410,LUTs!$A$1:$C$73,2,FALSE),"NA")</f>
        <v>Snohomish</v>
      </c>
      <c r="J3410" s="110" t="str">
        <f>IFERROR(VLOOKUP(H3410,LUTs!$A$1:$C$73,3,FALSE),"NA")</f>
        <v>2Central Puget Sound</v>
      </c>
      <c r="K3410" s="110" t="s">
        <v>17</v>
      </c>
      <c r="L3410" s="110" t="str">
        <f>VLOOKUP(K3410,LUTs!E$2:G$14,3,)</f>
        <v>04Island</v>
      </c>
      <c r="M3410" s="110" t="str">
        <f>VLOOKUP($K3410,LUTs!$E$2:$H$14,2,)</f>
        <v>North Puget Sound</v>
      </c>
      <c r="N3410" s="110" t="str">
        <f>VLOOKUP($K3410,LUTs!$E$2:$H$14,4,)</f>
        <v>01North Puget Sound</v>
      </c>
      <c r="O3410" s="110">
        <v>15.478260869565201</v>
      </c>
      <c r="P3410" s="110">
        <v>132.18434782608699</v>
      </c>
      <c r="Q3410" s="110">
        <f>SUMIFS('FW_Steelhead_by_Month_2010-2021'!Q$2:Q$3810,'FW_Steelhead_by_Month_2010-2021'!$B$2:$B$3810,'Rec_raw_catch_effort_2010-2021'!$B3410,'FW_Steelhead_by_Month_2010-2021'!$H$2:$H$3810,'Rec_raw_catch_effort_2010-2021'!$F3410,'FW_Steelhead_by_Month_2010-2021'!$M$2:$M$3810,'Rec_raw_catch_effort_2010-2021'!$K3410)</f>
        <v>7.4545454545454604</v>
      </c>
      <c r="R3410" s="111">
        <f>VLOOKUP(B3410,Readme!$A$62:$C$74,3,)*Q3410</f>
        <v>156.00304187637303</v>
      </c>
      <c r="S3410" s="140" t="str">
        <f t="shared" si="257"/>
        <v>N</v>
      </c>
      <c r="T3410" s="154">
        <f t="shared" si="258"/>
        <v>8.5400000000000116</v>
      </c>
      <c r="U3410" s="154">
        <f t="shared" si="259"/>
        <v>20.927237324879293</v>
      </c>
    </row>
    <row r="3411" spans="1:21" x14ac:dyDescent="0.35">
      <c r="A3411" s="110">
        <v>2364</v>
      </c>
      <c r="B3411" s="110">
        <v>2020</v>
      </c>
      <c r="C3411" s="110" t="s">
        <v>38</v>
      </c>
      <c r="D3411" s="110" t="s">
        <v>143</v>
      </c>
      <c r="E3411" s="110" t="s">
        <v>86</v>
      </c>
      <c r="F3411" s="117">
        <v>844</v>
      </c>
      <c r="G3411" s="110" t="s">
        <v>62</v>
      </c>
      <c r="H3411" s="110" t="str">
        <f t="shared" si="256"/>
        <v>Skykomish River</v>
      </c>
      <c r="I3411" s="110" t="str">
        <f>IFERROR(VLOOKUP(H3411,LUTs!$A$1:$C$73,2,FALSE),"NA")</f>
        <v>Snohomish</v>
      </c>
      <c r="J3411" s="110" t="str">
        <f>IFERROR(VLOOKUP(H3411,LUTs!$A$1:$C$73,3,FALSE),"NA")</f>
        <v>2Central Puget Sound</v>
      </c>
      <c r="K3411" s="110" t="s">
        <v>18</v>
      </c>
      <c r="L3411" s="110" t="str">
        <f>VLOOKUP(K3411,LUTs!E$2:G$14,3,)</f>
        <v>06King</v>
      </c>
      <c r="M3411" s="110" t="str">
        <f>VLOOKUP($K3411,LUTs!$E$2:$H$14,2,)</f>
        <v>South Puget Sound</v>
      </c>
      <c r="N3411" s="110" t="str">
        <f>VLOOKUP($K3411,LUTs!$E$2:$H$14,4,)</f>
        <v>02South Puget Sound</v>
      </c>
      <c r="O3411" s="110">
        <v>495.304347826087</v>
      </c>
      <c r="P3411" s="110">
        <v>4229.8991304347801</v>
      </c>
      <c r="Q3411" s="110">
        <f>SUMIFS('FW_Steelhead_by_Month_2010-2021'!Q$2:Q$3810,'FW_Steelhead_by_Month_2010-2021'!$B$2:$B$3810,'Rec_raw_catch_effort_2010-2021'!$B3411,'FW_Steelhead_by_Month_2010-2021'!$H$2:$H$3810,'Rec_raw_catch_effort_2010-2021'!$F3411,'FW_Steelhead_by_Month_2010-2021'!$M$2:$M$3810,'Rec_raw_catch_effort_2010-2021'!$K3411)</f>
        <v>177.45337995338002</v>
      </c>
      <c r="R3411" s="111">
        <f>VLOOKUP(B3411,Readme!$A$62:$C$74,3,)*Q3411</f>
        <v>3713.6089963863615</v>
      </c>
      <c r="S3411" s="140" t="str">
        <f t="shared" si="257"/>
        <v>N</v>
      </c>
      <c r="T3411" s="154">
        <f t="shared" si="258"/>
        <v>8.5399999999999938</v>
      </c>
      <c r="U3411" s="154">
        <f t="shared" si="259"/>
        <v>20.927237324879293</v>
      </c>
    </row>
    <row r="3412" spans="1:21" x14ac:dyDescent="0.35">
      <c r="A3412" s="110">
        <v>2365</v>
      </c>
      <c r="B3412" s="110">
        <v>2020</v>
      </c>
      <c r="C3412" s="110" t="s">
        <v>38</v>
      </c>
      <c r="D3412" s="110" t="s">
        <v>143</v>
      </c>
      <c r="E3412" s="110" t="s">
        <v>86</v>
      </c>
      <c r="F3412" s="117">
        <v>844</v>
      </c>
      <c r="G3412" s="110" t="s">
        <v>62</v>
      </c>
      <c r="H3412" s="110" t="str">
        <f t="shared" si="256"/>
        <v>Skykomish River</v>
      </c>
      <c r="I3412" s="110" t="str">
        <f>IFERROR(VLOOKUP(H3412,LUTs!$A$1:$C$73,2,FALSE),"NA")</f>
        <v>Snohomish</v>
      </c>
      <c r="J3412" s="110" t="str">
        <f>IFERROR(VLOOKUP(H3412,LUTs!$A$1:$C$73,3,FALSE),"NA")</f>
        <v>2Central Puget Sound</v>
      </c>
      <c r="K3412" s="110" t="s">
        <v>26</v>
      </c>
      <c r="L3412" s="110" t="str">
        <f>VLOOKUP(K3412,LUTs!E$2:G$14,3,)</f>
        <v>20Other</v>
      </c>
      <c r="M3412" s="110" t="str">
        <f>VLOOKUP($K3412,LUTs!$E$2:$H$14,2,)</f>
        <v>Non Puget Sound</v>
      </c>
      <c r="N3412" s="110" t="str">
        <f>VLOOKUP($K3412,LUTs!$E$2:$H$14,4,)</f>
        <v>07Non Puget Sound</v>
      </c>
      <c r="O3412" s="110">
        <v>15.478260869565201</v>
      </c>
      <c r="P3412" s="110">
        <v>132.18434782608699</v>
      </c>
      <c r="Q3412" s="110">
        <f>SUMIFS('FW_Steelhead_by_Month_2010-2021'!Q$2:Q$3810,'FW_Steelhead_by_Month_2010-2021'!$B$2:$B$3810,'Rec_raw_catch_effort_2010-2021'!$B3412,'FW_Steelhead_by_Month_2010-2021'!$H$2:$H$3810,'Rec_raw_catch_effort_2010-2021'!$F3412,'FW_Steelhead_by_Month_2010-2021'!$M$2:$M$3810,'Rec_raw_catch_effort_2010-2021'!$K3412)</f>
        <v>0</v>
      </c>
      <c r="R3412" s="111">
        <f>VLOOKUP(B3412,Readme!$A$62:$C$74,3,)*Q3412</f>
        <v>0</v>
      </c>
      <c r="S3412" s="140" t="str">
        <f t="shared" si="257"/>
        <v>N</v>
      </c>
      <c r="T3412" s="154">
        <f t="shared" si="258"/>
        <v>8.5400000000000116</v>
      </c>
      <c r="U3412" s="154" t="str">
        <f t="shared" si="259"/>
        <v>NA</v>
      </c>
    </row>
    <row r="3413" spans="1:21" x14ac:dyDescent="0.35">
      <c r="A3413" s="110">
        <v>2362</v>
      </c>
      <c r="B3413" s="110">
        <v>2020</v>
      </c>
      <c r="C3413" s="110" t="s">
        <v>38</v>
      </c>
      <c r="D3413" s="110" t="s">
        <v>143</v>
      </c>
      <c r="E3413" s="110" t="s">
        <v>86</v>
      </c>
      <c r="F3413" s="117">
        <v>844</v>
      </c>
      <c r="G3413" s="110" t="s">
        <v>62</v>
      </c>
      <c r="H3413" s="110" t="str">
        <f t="shared" si="256"/>
        <v>Skykomish River</v>
      </c>
      <c r="I3413" s="110" t="str">
        <f>IFERROR(VLOOKUP(H3413,LUTs!$A$1:$C$73,2,FALSE),"NA")</f>
        <v>Snohomish</v>
      </c>
      <c r="J3413" s="110" t="str">
        <f>IFERROR(VLOOKUP(H3413,LUTs!$A$1:$C$73,3,FALSE),"NA")</f>
        <v>2Central Puget Sound</v>
      </c>
      <c r="K3413" s="110" t="s">
        <v>16</v>
      </c>
      <c r="L3413" s="110" t="str">
        <f>VLOOKUP(K3413,LUTs!E$2:G$14,3,)</f>
        <v>03Snohomish</v>
      </c>
      <c r="M3413" s="110" t="str">
        <f>VLOOKUP($K3413,LUTs!$E$2:$H$14,2,)</f>
        <v>North Puget Sound</v>
      </c>
      <c r="N3413" s="110" t="str">
        <f>VLOOKUP($K3413,LUTs!$E$2:$H$14,4,)</f>
        <v>01North Puget Sound</v>
      </c>
      <c r="O3413" s="110">
        <v>541.73913043478296</v>
      </c>
      <c r="P3413" s="110">
        <v>4626.4521739130496</v>
      </c>
      <c r="Q3413" s="110">
        <f>SUMIFS('FW_Steelhead_by_Month_2010-2021'!Q$2:Q$3810,'FW_Steelhead_by_Month_2010-2021'!$B$2:$B$3810,'Rec_raw_catch_effort_2010-2021'!$B3413,'FW_Steelhead_by_Month_2010-2021'!$H$2:$H$3810,'Rec_raw_catch_effort_2010-2021'!$F3413,'FW_Steelhead_by_Month_2010-2021'!$M$2:$M$3810,'Rec_raw_catch_effort_2010-2021'!$K3413)</f>
        <v>227.09207459207465</v>
      </c>
      <c r="R3413" s="111">
        <f>VLOOKUP(B3413,Readme!$A$62:$C$74,3,)*Q3413</f>
        <v>4752.4097395875369</v>
      </c>
      <c r="S3413" s="140" t="str">
        <f t="shared" si="257"/>
        <v>N</v>
      </c>
      <c r="T3413" s="154">
        <f t="shared" si="258"/>
        <v>8.5400000000000063</v>
      </c>
      <c r="U3413" s="154">
        <f t="shared" si="259"/>
        <v>20.927237324879293</v>
      </c>
    </row>
    <row r="3414" spans="1:21" x14ac:dyDescent="0.35">
      <c r="A3414" s="110">
        <v>2472</v>
      </c>
      <c r="B3414" s="110">
        <v>2021</v>
      </c>
      <c r="C3414" s="110" t="s">
        <v>38</v>
      </c>
      <c r="D3414" s="110" t="s">
        <v>143</v>
      </c>
      <c r="E3414" s="110" t="s">
        <v>86</v>
      </c>
      <c r="F3414" s="117">
        <v>844</v>
      </c>
      <c r="G3414" s="110" t="s">
        <v>62</v>
      </c>
      <c r="H3414" s="110" t="str">
        <f t="shared" si="256"/>
        <v>Skykomish River</v>
      </c>
      <c r="I3414" s="110" t="str">
        <f>IFERROR(VLOOKUP(H3414,LUTs!$A$1:$C$73,2,FALSE),"NA")</f>
        <v>Snohomish</v>
      </c>
      <c r="J3414" s="110" t="str">
        <f>IFERROR(VLOOKUP(H3414,LUTs!$A$1:$C$73,3,FALSE),"NA")</f>
        <v>2Central Puget Sound</v>
      </c>
      <c r="K3414" s="110" t="s">
        <v>18</v>
      </c>
      <c r="L3414" s="110" t="str">
        <f>VLOOKUP(K3414,LUTs!E$2:G$14,3,)</f>
        <v>06King</v>
      </c>
      <c r="M3414" s="110" t="str">
        <f>VLOOKUP($K3414,LUTs!$E$2:$H$14,2,)</f>
        <v>South Puget Sound</v>
      </c>
      <c r="N3414" s="110" t="str">
        <f>VLOOKUP($K3414,LUTs!$E$2:$H$14,4,)</f>
        <v>02South Puget Sound</v>
      </c>
      <c r="O3414" s="110">
        <v>917.64705882352996</v>
      </c>
      <c r="P3414" s="110">
        <v>17022.352941176501</v>
      </c>
      <c r="Q3414" s="110">
        <f>SUMIFS('FW_Steelhead_by_Month_2010-2021'!Q$2:Q$3810,'FW_Steelhead_by_Month_2010-2021'!$B$2:$B$3810,'Rec_raw_catch_effort_2010-2021'!$B3414,'FW_Steelhead_by_Month_2010-2021'!$H$2:$H$3810,'Rec_raw_catch_effort_2010-2021'!$F3414,'FW_Steelhead_by_Month_2010-2021'!$M$2:$M$3810,'Rec_raw_catch_effort_2010-2021'!$K3414)</f>
        <v>413.38444444444451</v>
      </c>
      <c r="R3414" s="111">
        <f>VLOOKUP(B3414,Readme!$A$62:$C$74,3,)*Q3414</f>
        <v>8650.994375302269</v>
      </c>
      <c r="S3414" s="140" t="str">
        <f t="shared" si="257"/>
        <v>N</v>
      </c>
      <c r="T3414" s="154">
        <f t="shared" si="258"/>
        <v>18.550000000000022</v>
      </c>
      <c r="U3414" s="154">
        <f t="shared" si="259"/>
        <v>20.92723732487929</v>
      </c>
    </row>
    <row r="3415" spans="1:21" x14ac:dyDescent="0.35">
      <c r="A3415" s="110">
        <v>2474</v>
      </c>
      <c r="B3415" s="110">
        <v>2021</v>
      </c>
      <c r="C3415" s="110" t="s">
        <v>38</v>
      </c>
      <c r="D3415" s="110" t="s">
        <v>143</v>
      </c>
      <c r="E3415" s="110" t="s">
        <v>86</v>
      </c>
      <c r="F3415" s="117">
        <v>844</v>
      </c>
      <c r="G3415" s="110" t="s">
        <v>62</v>
      </c>
      <c r="H3415" s="110" t="str">
        <f t="shared" si="256"/>
        <v>Skykomish River</v>
      </c>
      <c r="I3415" s="110" t="str">
        <f>IFERROR(VLOOKUP(H3415,LUTs!$A$1:$C$73,2,FALSE),"NA")</f>
        <v>Snohomish</v>
      </c>
      <c r="J3415" s="110" t="str">
        <f>IFERROR(VLOOKUP(H3415,LUTs!$A$1:$C$73,3,FALSE),"NA")</f>
        <v>2Central Puget Sound</v>
      </c>
      <c r="K3415" s="110" t="s">
        <v>23</v>
      </c>
      <c r="L3415" s="110" t="str">
        <f>VLOOKUP(K3415,LUTs!E$2:G$14,3,)</f>
        <v>10Kitsap</v>
      </c>
      <c r="M3415" s="110" t="str">
        <f>VLOOKUP($K3415,LUTs!$E$2:$H$14,2,)</f>
        <v>South Puget Sound</v>
      </c>
      <c r="N3415" s="110" t="str">
        <f>VLOOKUP($K3415,LUTs!$E$2:$H$14,4,)</f>
        <v>02South Puget Sound</v>
      </c>
      <c r="O3415" s="110">
        <v>14.3382352941177</v>
      </c>
      <c r="P3415" s="110">
        <v>265.974264705883</v>
      </c>
      <c r="Q3415" s="110">
        <f>SUMIFS('FW_Steelhead_by_Month_2010-2021'!Q$2:Q$3810,'FW_Steelhead_by_Month_2010-2021'!$B$2:$B$3810,'Rec_raw_catch_effort_2010-2021'!$B3415,'FW_Steelhead_by_Month_2010-2021'!$H$2:$H$3810,'Rec_raw_catch_effort_2010-2021'!$F3415,'FW_Steelhead_by_Month_2010-2021'!$M$2:$M$3810,'Rec_raw_catch_effort_2010-2021'!$K3415)</f>
        <v>0</v>
      </c>
      <c r="R3415" s="111">
        <f>VLOOKUP(B3415,Readme!$A$62:$C$74,3,)*Q3415</f>
        <v>0</v>
      </c>
      <c r="S3415" s="140" t="str">
        <f t="shared" si="257"/>
        <v>N</v>
      </c>
      <c r="T3415" s="154">
        <f t="shared" si="258"/>
        <v>18.549999999999976</v>
      </c>
      <c r="U3415" s="154" t="str">
        <f t="shared" si="259"/>
        <v>NA</v>
      </c>
    </row>
    <row r="3416" spans="1:21" x14ac:dyDescent="0.35">
      <c r="A3416" s="110">
        <v>2475</v>
      </c>
      <c r="B3416" s="110">
        <v>2021</v>
      </c>
      <c r="C3416" s="110" t="s">
        <v>38</v>
      </c>
      <c r="D3416" s="110" t="s">
        <v>143</v>
      </c>
      <c r="E3416" s="110" t="s">
        <v>86</v>
      </c>
      <c r="F3416" s="117">
        <v>844</v>
      </c>
      <c r="G3416" s="110" t="s">
        <v>62</v>
      </c>
      <c r="H3416" s="110" t="str">
        <f t="shared" si="256"/>
        <v>Skykomish River</v>
      </c>
      <c r="I3416" s="110" t="str">
        <f>IFERROR(VLOOKUP(H3416,LUTs!$A$1:$C$73,2,FALSE),"NA")</f>
        <v>Snohomish</v>
      </c>
      <c r="J3416" s="110" t="str">
        <f>IFERROR(VLOOKUP(H3416,LUTs!$A$1:$C$73,3,FALSE),"NA")</f>
        <v>2Central Puget Sound</v>
      </c>
      <c r="K3416" s="110" t="s">
        <v>26</v>
      </c>
      <c r="L3416" s="110" t="str">
        <f>VLOOKUP(K3416,LUTs!E$2:G$14,3,)</f>
        <v>20Other</v>
      </c>
      <c r="M3416" s="110" t="str">
        <f>VLOOKUP($K3416,LUTs!$E$2:$H$14,2,)</f>
        <v>Non Puget Sound</v>
      </c>
      <c r="N3416" s="110" t="str">
        <f>VLOOKUP($K3416,LUTs!$E$2:$H$14,4,)</f>
        <v>07Non Puget Sound</v>
      </c>
      <c r="O3416" s="110">
        <v>14.3382352941177</v>
      </c>
      <c r="P3416" s="110">
        <v>265.974264705883</v>
      </c>
      <c r="Q3416" s="110">
        <f>SUMIFS('FW_Steelhead_by_Month_2010-2021'!Q$2:Q$3810,'FW_Steelhead_by_Month_2010-2021'!$B$2:$B$3810,'Rec_raw_catch_effort_2010-2021'!$B3416,'FW_Steelhead_by_Month_2010-2021'!$H$2:$H$3810,'Rec_raw_catch_effort_2010-2021'!$F3416,'FW_Steelhead_by_Month_2010-2021'!$M$2:$M$3810,'Rec_raw_catch_effort_2010-2021'!$K3416)</f>
        <v>15</v>
      </c>
      <c r="R3416" s="111">
        <f>VLOOKUP(B3416,Readme!$A$62:$C$74,3,)*Q3416</f>
        <v>313.9085598731894</v>
      </c>
      <c r="S3416" s="140" t="str">
        <f t="shared" si="257"/>
        <v>N</v>
      </c>
      <c r="T3416" s="154">
        <f t="shared" si="258"/>
        <v>18.549999999999976</v>
      </c>
      <c r="U3416" s="154">
        <f t="shared" si="259"/>
        <v>20.927237324879293</v>
      </c>
    </row>
    <row r="3417" spans="1:21" x14ac:dyDescent="0.35">
      <c r="A3417" s="110">
        <v>2473</v>
      </c>
      <c r="B3417" s="110">
        <v>2021</v>
      </c>
      <c r="C3417" s="110" t="s">
        <v>38</v>
      </c>
      <c r="D3417" s="110" t="s">
        <v>143</v>
      </c>
      <c r="E3417" s="110" t="s">
        <v>86</v>
      </c>
      <c r="F3417" s="117">
        <v>844</v>
      </c>
      <c r="G3417" s="110" t="s">
        <v>62</v>
      </c>
      <c r="H3417" s="110" t="str">
        <f t="shared" si="256"/>
        <v>Skykomish River</v>
      </c>
      <c r="I3417" s="110" t="str">
        <f>IFERROR(VLOOKUP(H3417,LUTs!$A$1:$C$73,2,FALSE),"NA")</f>
        <v>Snohomish</v>
      </c>
      <c r="J3417" s="110" t="str">
        <f>IFERROR(VLOOKUP(H3417,LUTs!$A$1:$C$73,3,FALSE),"NA")</f>
        <v>2Central Puget Sound</v>
      </c>
      <c r="K3417" s="110" t="s">
        <v>20</v>
      </c>
      <c r="L3417" s="110" t="str">
        <f>VLOOKUP(K3417,LUTs!E$2:G$14,3,)</f>
        <v>07Pierce</v>
      </c>
      <c r="M3417" s="110" t="str">
        <f>VLOOKUP($K3417,LUTs!$E$2:$H$14,2,)</f>
        <v>South Puget Sound</v>
      </c>
      <c r="N3417" s="110" t="str">
        <f>VLOOKUP($K3417,LUTs!$E$2:$H$14,4,)</f>
        <v>02South Puget Sound</v>
      </c>
      <c r="O3417" s="110">
        <v>57.352941176470601</v>
      </c>
      <c r="P3417" s="110">
        <v>1063.89705882353</v>
      </c>
      <c r="Q3417" s="110">
        <f>SUMIFS('FW_Steelhead_by_Month_2010-2021'!Q$2:Q$3810,'FW_Steelhead_by_Month_2010-2021'!$B$2:$B$3810,'Rec_raw_catch_effort_2010-2021'!$B3417,'FW_Steelhead_by_Month_2010-2021'!$H$2:$H$3810,'Rec_raw_catch_effort_2010-2021'!$F3417,'FW_Steelhead_by_Month_2010-2021'!$M$2:$M$3810,'Rec_raw_catch_effort_2010-2021'!$K3417)</f>
        <v>21.2844444444444</v>
      </c>
      <c r="R3417" s="111">
        <f>VLOOKUP(B3417,Readme!$A$62:$C$74,3,)*Q3417</f>
        <v>445.42462021709656</v>
      </c>
      <c r="S3417" s="140" t="str">
        <f t="shared" si="257"/>
        <v>N</v>
      </c>
      <c r="T3417" s="154">
        <f t="shared" si="258"/>
        <v>18.550000000000004</v>
      </c>
      <c r="U3417" s="154">
        <f t="shared" si="259"/>
        <v>20.927237324879293</v>
      </c>
    </row>
    <row r="3418" spans="1:21" x14ac:dyDescent="0.35">
      <c r="A3418" s="110">
        <v>2471</v>
      </c>
      <c r="B3418" s="110">
        <v>2021</v>
      </c>
      <c r="C3418" s="110" t="s">
        <v>38</v>
      </c>
      <c r="D3418" s="110" t="s">
        <v>143</v>
      </c>
      <c r="E3418" s="110" t="s">
        <v>86</v>
      </c>
      <c r="F3418" s="117">
        <v>844</v>
      </c>
      <c r="G3418" s="110" t="s">
        <v>62</v>
      </c>
      <c r="H3418" s="110" t="str">
        <f t="shared" si="256"/>
        <v>Skykomish River</v>
      </c>
      <c r="I3418" s="110" t="str">
        <f>IFERROR(VLOOKUP(H3418,LUTs!$A$1:$C$73,2,FALSE),"NA")</f>
        <v>Snohomish</v>
      </c>
      <c r="J3418" s="110" t="str">
        <f>IFERROR(VLOOKUP(H3418,LUTs!$A$1:$C$73,3,FALSE),"NA")</f>
        <v>2Central Puget Sound</v>
      </c>
      <c r="K3418" s="110" t="s">
        <v>16</v>
      </c>
      <c r="L3418" s="110" t="str">
        <f>VLOOKUP(K3418,LUTs!E$2:G$14,3,)</f>
        <v>03Snohomish</v>
      </c>
      <c r="M3418" s="110" t="str">
        <f>VLOOKUP($K3418,LUTs!$E$2:$H$14,2,)</f>
        <v>North Puget Sound</v>
      </c>
      <c r="N3418" s="110" t="str">
        <f>VLOOKUP($K3418,LUTs!$E$2:$H$14,4,)</f>
        <v>01North Puget Sound</v>
      </c>
      <c r="O3418" s="110">
        <v>946.32352941176498</v>
      </c>
      <c r="P3418" s="110">
        <v>17554.301470588201</v>
      </c>
      <c r="Q3418" s="110">
        <f>SUMIFS('FW_Steelhead_by_Month_2010-2021'!Q$2:Q$3810,'FW_Steelhead_by_Month_2010-2021'!$B$2:$B$3810,'Rec_raw_catch_effort_2010-2021'!$B3418,'FW_Steelhead_by_Month_2010-2021'!$H$2:$H$3810,'Rec_raw_catch_effort_2010-2021'!$F3418,'FW_Steelhead_by_Month_2010-2021'!$M$2:$M$3810,'Rec_raw_catch_effort_2010-2021'!$K3418)</f>
        <v>439.33111111111117</v>
      </c>
      <c r="R3418" s="111">
        <f>VLOOKUP(B3418,Readme!$A$62:$C$74,3,)*Q3418</f>
        <v>9193.9864264251373</v>
      </c>
      <c r="S3418" s="140" t="str">
        <f t="shared" si="257"/>
        <v>N</v>
      </c>
      <c r="T3418" s="154">
        <f t="shared" si="258"/>
        <v>18.549999999999958</v>
      </c>
      <c r="U3418" s="154">
        <f t="shared" si="259"/>
        <v>20.927237324879293</v>
      </c>
    </row>
    <row r="3419" spans="1:21" x14ac:dyDescent="0.35">
      <c r="A3419" s="110">
        <v>1774</v>
      </c>
      <c r="B3419" s="110">
        <v>2010</v>
      </c>
      <c r="C3419" s="110" t="s">
        <v>38</v>
      </c>
      <c r="D3419" s="110" t="s">
        <v>143</v>
      </c>
      <c r="E3419" s="110" t="s">
        <v>86</v>
      </c>
      <c r="F3419" s="117">
        <v>846</v>
      </c>
      <c r="G3419" s="110" t="s">
        <v>98</v>
      </c>
      <c r="H3419" s="110" t="str">
        <f t="shared" si="256"/>
        <v>Skykomish River, No. Fork</v>
      </c>
      <c r="I3419" s="110" t="str">
        <f>IFERROR(VLOOKUP(H3419,LUTs!$A$1:$C$73,2,FALSE),"NA")</f>
        <v>Snohomish</v>
      </c>
      <c r="J3419" s="110" t="str">
        <f>IFERROR(VLOOKUP(H3419,LUTs!$A$1:$C$73,3,FALSE),"NA")</f>
        <v>2Central Puget Sound</v>
      </c>
      <c r="K3419" s="110" t="s">
        <v>18</v>
      </c>
      <c r="L3419" s="110" t="str">
        <f>VLOOKUP(K3419,LUTs!E$2:G$14,3,)</f>
        <v>06King</v>
      </c>
      <c r="M3419" s="110" t="str">
        <f>VLOOKUP($K3419,LUTs!$E$2:$H$14,2,)</f>
        <v>South Puget Sound</v>
      </c>
      <c r="N3419" s="110" t="str">
        <f>VLOOKUP($K3419,LUTs!$E$2:$H$14,4,)</f>
        <v>02South Puget Sound</v>
      </c>
      <c r="O3419" s="110">
        <v>21.846153846153801</v>
      </c>
      <c r="P3419" s="110">
        <v>186.56615384615299</v>
      </c>
      <c r="Q3419" s="110">
        <f>SUMIFS('FW_Steelhead_by_Month_2010-2021'!Q$2:Q$3810,'FW_Steelhead_by_Month_2010-2021'!$B$2:$B$3810,'Rec_raw_catch_effort_2010-2021'!$B3419,'FW_Steelhead_by_Month_2010-2021'!$H$2:$H$3810,'Rec_raw_catch_effort_2010-2021'!$F3419,'FW_Steelhead_by_Month_2010-2021'!$M$2:$M$3810,'Rec_raw_catch_effort_2010-2021'!$K3419)</f>
        <v>22.875</v>
      </c>
      <c r="R3419" s="111">
        <f>VLOOKUP(B3419,Readme!$A$62:$C$74,3,)*Q3419</f>
        <v>478.7105538066138</v>
      </c>
      <c r="S3419" s="140" t="str">
        <f t="shared" si="257"/>
        <v>Y</v>
      </c>
      <c r="T3419" s="154">
        <f t="shared" si="258"/>
        <v>8.5399999999999778</v>
      </c>
      <c r="U3419" s="154">
        <f t="shared" si="259"/>
        <v>20.927237324879293</v>
      </c>
    </row>
    <row r="3420" spans="1:21" x14ac:dyDescent="0.35">
      <c r="A3420" s="110">
        <v>1942</v>
      </c>
      <c r="B3420" s="110">
        <v>2010</v>
      </c>
      <c r="C3420" s="110" t="s">
        <v>38</v>
      </c>
      <c r="D3420" s="110" t="s">
        <v>143</v>
      </c>
      <c r="E3420" s="110" t="s">
        <v>86</v>
      </c>
      <c r="F3420" s="117">
        <v>846</v>
      </c>
      <c r="G3420" s="110" t="s">
        <v>98</v>
      </c>
      <c r="H3420" s="110" t="str">
        <f t="shared" si="256"/>
        <v>Skykomish River, No. Fork</v>
      </c>
      <c r="I3420" s="110" t="str">
        <f>IFERROR(VLOOKUP(H3420,LUTs!$A$1:$C$73,2,FALSE),"NA")</f>
        <v>Snohomish</v>
      </c>
      <c r="J3420" s="110" t="str">
        <f>IFERROR(VLOOKUP(H3420,LUTs!$A$1:$C$73,3,FALSE),"NA")</f>
        <v>2Central Puget Sound</v>
      </c>
      <c r="K3420" s="110" t="s">
        <v>26</v>
      </c>
      <c r="L3420" s="110" t="str">
        <f>VLOOKUP(K3420,LUTs!E$2:G$14,3,)</f>
        <v>20Other</v>
      </c>
      <c r="M3420" s="110" t="str">
        <f>VLOOKUP($K3420,LUTs!$E$2:$H$14,2,)</f>
        <v>Non Puget Sound</v>
      </c>
      <c r="N3420" s="110" t="str">
        <f>VLOOKUP($K3420,LUTs!$E$2:$H$14,4,)</f>
        <v>07Non Puget Sound</v>
      </c>
      <c r="O3420" s="110">
        <v>5.4615384615384599</v>
      </c>
      <c r="P3420" s="110">
        <v>46.641538461538403</v>
      </c>
      <c r="Q3420" s="110">
        <f>SUMIFS('FW_Steelhead_by_Month_2010-2021'!Q$2:Q$3810,'FW_Steelhead_by_Month_2010-2021'!$B$2:$B$3810,'Rec_raw_catch_effort_2010-2021'!$B3420,'FW_Steelhead_by_Month_2010-2021'!$H$2:$H$3810,'Rec_raw_catch_effort_2010-2021'!$F3420,'FW_Steelhead_by_Month_2010-2021'!$M$2:$M$3810,'Rec_raw_catch_effort_2010-2021'!$K3420)</f>
        <v>5.375</v>
      </c>
      <c r="R3420" s="111">
        <f>VLOOKUP(B3420,Readme!$A$62:$C$74,3,)*Q3420</f>
        <v>112.4839006212262</v>
      </c>
      <c r="S3420" s="140" t="str">
        <f t="shared" si="257"/>
        <v>Y</v>
      </c>
      <c r="T3420" s="154">
        <f t="shared" si="258"/>
        <v>8.539999999999992</v>
      </c>
      <c r="U3420" s="154">
        <f t="shared" si="259"/>
        <v>20.927237324879293</v>
      </c>
    </row>
    <row r="3421" spans="1:21" x14ac:dyDescent="0.35">
      <c r="A3421" s="110">
        <v>1775</v>
      </c>
      <c r="B3421" s="110">
        <v>2010</v>
      </c>
      <c r="C3421" s="110" t="s">
        <v>38</v>
      </c>
      <c r="D3421" s="110" t="s">
        <v>143</v>
      </c>
      <c r="E3421" s="110" t="s">
        <v>86</v>
      </c>
      <c r="F3421" s="117">
        <v>846</v>
      </c>
      <c r="G3421" s="110" t="s">
        <v>98</v>
      </c>
      <c r="H3421" s="110" t="str">
        <f t="shared" si="256"/>
        <v>Skykomish River, No. Fork</v>
      </c>
      <c r="I3421" s="110" t="str">
        <f>IFERROR(VLOOKUP(H3421,LUTs!$A$1:$C$73,2,FALSE),"NA")</f>
        <v>Snohomish</v>
      </c>
      <c r="J3421" s="110" t="str">
        <f>IFERROR(VLOOKUP(H3421,LUTs!$A$1:$C$73,3,FALSE),"NA")</f>
        <v>2Central Puget Sound</v>
      </c>
      <c r="K3421" s="110" t="s">
        <v>20</v>
      </c>
      <c r="L3421" s="110" t="str">
        <f>VLOOKUP(K3421,LUTs!E$2:G$14,3,)</f>
        <v>07Pierce</v>
      </c>
      <c r="M3421" s="110" t="str">
        <f>VLOOKUP($K3421,LUTs!$E$2:$H$14,2,)</f>
        <v>South Puget Sound</v>
      </c>
      <c r="N3421" s="110" t="str">
        <f>VLOOKUP($K3421,LUTs!$E$2:$H$14,4,)</f>
        <v>02South Puget Sound</v>
      </c>
      <c r="O3421" s="110">
        <v>2.7307692307692299</v>
      </c>
      <c r="P3421" s="110">
        <v>23.320769230769201</v>
      </c>
      <c r="Q3421" s="110">
        <f>SUMIFS('FW_Steelhead_by_Month_2010-2021'!Q$2:Q$3810,'FW_Steelhead_by_Month_2010-2021'!$B$2:$B$3810,'Rec_raw_catch_effort_2010-2021'!$B3421,'FW_Steelhead_by_Month_2010-2021'!$H$2:$H$3810,'Rec_raw_catch_effort_2010-2021'!$F3421,'FW_Steelhead_by_Month_2010-2021'!$M$2:$M$3810,'Rec_raw_catch_effort_2010-2021'!$K3421)</f>
        <v>3</v>
      </c>
      <c r="R3421" s="111">
        <f>VLOOKUP(B3421,Readme!$A$62:$C$74,3,)*Q3421</f>
        <v>62.781711974637879</v>
      </c>
      <c r="S3421" s="140" t="str">
        <f t="shared" si="257"/>
        <v>Y</v>
      </c>
      <c r="T3421" s="154">
        <f t="shared" si="258"/>
        <v>8.539999999999992</v>
      </c>
      <c r="U3421" s="154">
        <f t="shared" si="259"/>
        <v>20.927237324879293</v>
      </c>
    </row>
    <row r="3422" spans="1:21" x14ac:dyDescent="0.35">
      <c r="A3422" s="110">
        <v>1773</v>
      </c>
      <c r="B3422" s="110">
        <v>2010</v>
      </c>
      <c r="C3422" s="110" t="s">
        <v>38</v>
      </c>
      <c r="D3422" s="110" t="s">
        <v>143</v>
      </c>
      <c r="E3422" s="110" t="s">
        <v>86</v>
      </c>
      <c r="F3422" s="117">
        <v>846</v>
      </c>
      <c r="G3422" s="110" t="s">
        <v>98</v>
      </c>
      <c r="H3422" s="110" t="str">
        <f t="shared" si="256"/>
        <v>Skykomish River, No. Fork</v>
      </c>
      <c r="I3422" s="110" t="str">
        <f>IFERROR(VLOOKUP(H3422,LUTs!$A$1:$C$73,2,FALSE),"NA")</f>
        <v>Snohomish</v>
      </c>
      <c r="J3422" s="110" t="str">
        <f>IFERROR(VLOOKUP(H3422,LUTs!$A$1:$C$73,3,FALSE),"NA")</f>
        <v>2Central Puget Sound</v>
      </c>
      <c r="K3422" s="110" t="s">
        <v>16</v>
      </c>
      <c r="L3422" s="110" t="str">
        <f>VLOOKUP(K3422,LUTs!E$2:G$14,3,)</f>
        <v>03Snohomish</v>
      </c>
      <c r="M3422" s="110" t="str">
        <f>VLOOKUP($K3422,LUTs!$E$2:$H$14,2,)</f>
        <v>North Puget Sound</v>
      </c>
      <c r="N3422" s="110" t="str">
        <f>VLOOKUP($K3422,LUTs!$E$2:$H$14,4,)</f>
        <v>01North Puget Sound</v>
      </c>
      <c r="O3422" s="110">
        <v>40.961538461538503</v>
      </c>
      <c r="P3422" s="110">
        <v>349.81153846153899</v>
      </c>
      <c r="Q3422" s="110">
        <f>SUMIFS('FW_Steelhead_by_Month_2010-2021'!Q$2:Q$3810,'FW_Steelhead_by_Month_2010-2021'!$B$2:$B$3810,'Rec_raw_catch_effort_2010-2021'!$B3422,'FW_Steelhead_by_Month_2010-2021'!$H$2:$H$3810,'Rec_raw_catch_effort_2010-2021'!$F3422,'FW_Steelhead_by_Month_2010-2021'!$M$2:$M$3810,'Rec_raw_catch_effort_2010-2021'!$K3422)</f>
        <v>37.75</v>
      </c>
      <c r="R3422" s="111">
        <f>VLOOKUP(B3422,Readme!$A$62:$C$74,3,)*Q3422</f>
        <v>790.00320901419332</v>
      </c>
      <c r="S3422" s="140" t="str">
        <f t="shared" si="257"/>
        <v>Y</v>
      </c>
      <c r="T3422" s="154">
        <f t="shared" si="258"/>
        <v>8.5400000000000045</v>
      </c>
      <c r="U3422" s="154">
        <f t="shared" si="259"/>
        <v>20.927237324879293</v>
      </c>
    </row>
    <row r="3423" spans="1:21" x14ac:dyDescent="0.35">
      <c r="A3423" s="110">
        <v>2450</v>
      </c>
      <c r="B3423" s="110">
        <v>2011</v>
      </c>
      <c r="C3423" s="110" t="s">
        <v>38</v>
      </c>
      <c r="D3423" s="110" t="s">
        <v>143</v>
      </c>
      <c r="E3423" s="110" t="s">
        <v>86</v>
      </c>
      <c r="F3423" s="117">
        <v>846</v>
      </c>
      <c r="G3423" s="110" t="s">
        <v>98</v>
      </c>
      <c r="H3423" s="110" t="str">
        <f t="shared" si="256"/>
        <v>Skykomish River, No. Fork</v>
      </c>
      <c r="I3423" s="110" t="str">
        <f>IFERROR(VLOOKUP(H3423,LUTs!$A$1:$C$73,2,FALSE),"NA")</f>
        <v>Snohomish</v>
      </c>
      <c r="J3423" s="110" t="str">
        <f>IFERROR(VLOOKUP(H3423,LUTs!$A$1:$C$73,3,FALSE),"NA")</f>
        <v>2Central Puget Sound</v>
      </c>
      <c r="K3423" s="110" t="s">
        <v>18</v>
      </c>
      <c r="L3423" s="110" t="str">
        <f>VLOOKUP(K3423,LUTs!E$2:G$14,3,)</f>
        <v>06King</v>
      </c>
      <c r="M3423" s="110" t="str">
        <f>VLOOKUP($K3423,LUTs!$E$2:$H$14,2,)</f>
        <v>South Puget Sound</v>
      </c>
      <c r="N3423" s="110" t="str">
        <f>VLOOKUP($K3423,LUTs!$E$2:$H$14,4,)</f>
        <v>02South Puget Sound</v>
      </c>
      <c r="O3423" s="110">
        <v>30</v>
      </c>
      <c r="P3423" s="110">
        <v>556.5</v>
      </c>
      <c r="Q3423" s="110">
        <f>SUMIFS('FW_Steelhead_by_Month_2010-2021'!Q$2:Q$3810,'FW_Steelhead_by_Month_2010-2021'!$B$2:$B$3810,'Rec_raw_catch_effort_2010-2021'!$B3423,'FW_Steelhead_by_Month_2010-2021'!$H$2:$H$3810,'Rec_raw_catch_effort_2010-2021'!$F3423,'FW_Steelhead_by_Month_2010-2021'!$M$2:$M$3810,'Rec_raw_catch_effort_2010-2021'!$K3423)</f>
        <v>13.95</v>
      </c>
      <c r="R3423" s="111">
        <f>VLOOKUP(B3423,Readme!$A$62:$C$74,3,)*Q3423</f>
        <v>291.93496068206611</v>
      </c>
      <c r="S3423" s="140" t="str">
        <f t="shared" si="257"/>
        <v>Y</v>
      </c>
      <c r="T3423" s="154">
        <f t="shared" si="258"/>
        <v>18.55</v>
      </c>
      <c r="U3423" s="154">
        <f t="shared" si="259"/>
        <v>20.927237324879293</v>
      </c>
    </row>
    <row r="3424" spans="1:21" x14ac:dyDescent="0.35">
      <c r="A3424" s="110">
        <v>2449</v>
      </c>
      <c r="B3424" s="110">
        <v>2011</v>
      </c>
      <c r="C3424" s="110" t="s">
        <v>38</v>
      </c>
      <c r="D3424" s="110" t="s">
        <v>143</v>
      </c>
      <c r="E3424" s="110" t="s">
        <v>86</v>
      </c>
      <c r="F3424" s="117">
        <v>846</v>
      </c>
      <c r="G3424" s="110" t="s">
        <v>98</v>
      </c>
      <c r="H3424" s="110" t="str">
        <f t="shared" si="256"/>
        <v>Skykomish River, No. Fork</v>
      </c>
      <c r="I3424" s="110" t="str">
        <f>IFERROR(VLOOKUP(H3424,LUTs!$A$1:$C$73,2,FALSE),"NA")</f>
        <v>Snohomish</v>
      </c>
      <c r="J3424" s="110" t="str">
        <f>IFERROR(VLOOKUP(H3424,LUTs!$A$1:$C$73,3,FALSE),"NA")</f>
        <v>2Central Puget Sound</v>
      </c>
      <c r="K3424" s="110" t="s">
        <v>16</v>
      </c>
      <c r="L3424" s="110" t="str">
        <f>VLOOKUP(K3424,LUTs!E$2:G$14,3,)</f>
        <v>03Snohomish</v>
      </c>
      <c r="M3424" s="110" t="str">
        <f>VLOOKUP($K3424,LUTs!$E$2:$H$14,2,)</f>
        <v>North Puget Sound</v>
      </c>
      <c r="N3424" s="110" t="str">
        <f>VLOOKUP($K3424,LUTs!$E$2:$H$14,4,)</f>
        <v>01North Puget Sound</v>
      </c>
      <c r="O3424" s="110">
        <v>27.272727272727298</v>
      </c>
      <c r="P3424" s="110">
        <v>505.90909090909099</v>
      </c>
      <c r="Q3424" s="110">
        <f>SUMIFS('FW_Steelhead_by_Month_2010-2021'!Q$2:Q$3810,'FW_Steelhead_by_Month_2010-2021'!$B$2:$B$3810,'Rec_raw_catch_effort_2010-2021'!$B3424,'FW_Steelhead_by_Month_2010-2021'!$H$2:$H$3810,'Rec_raw_catch_effort_2010-2021'!$F3424,'FW_Steelhead_by_Month_2010-2021'!$M$2:$M$3810,'Rec_raw_catch_effort_2010-2021'!$K3424)</f>
        <v>27.05</v>
      </c>
      <c r="R3424" s="111">
        <f>VLOOKUP(B3424,Readme!$A$62:$C$74,3,)*Q3424</f>
        <v>566.08176963798485</v>
      </c>
      <c r="S3424" s="140" t="str">
        <f t="shared" si="257"/>
        <v>Y</v>
      </c>
      <c r="T3424" s="154">
        <f t="shared" si="258"/>
        <v>18.549999999999986</v>
      </c>
      <c r="U3424" s="154">
        <f t="shared" si="259"/>
        <v>20.927237324879293</v>
      </c>
    </row>
    <row r="3425" spans="1:21" x14ac:dyDescent="0.35">
      <c r="A3425" s="110">
        <v>2448</v>
      </c>
      <c r="B3425" s="110">
        <v>2011</v>
      </c>
      <c r="C3425" s="110" t="s">
        <v>38</v>
      </c>
      <c r="D3425" s="110" t="s">
        <v>143</v>
      </c>
      <c r="E3425" s="110" t="s">
        <v>86</v>
      </c>
      <c r="F3425" s="117">
        <v>846</v>
      </c>
      <c r="G3425" s="110" t="s">
        <v>98</v>
      </c>
      <c r="H3425" s="110" t="str">
        <f t="shared" si="256"/>
        <v>Skykomish River, No. Fork</v>
      </c>
      <c r="I3425" s="110" t="str">
        <f>IFERROR(VLOOKUP(H3425,LUTs!$A$1:$C$73,2,FALSE),"NA")</f>
        <v>Snohomish</v>
      </c>
      <c r="J3425" s="110" t="str">
        <f>IFERROR(VLOOKUP(H3425,LUTs!$A$1:$C$73,3,FALSE),"NA")</f>
        <v>2Central Puget Sound</v>
      </c>
      <c r="K3425" s="110" t="s">
        <v>13</v>
      </c>
      <c r="L3425" s="110" t="str">
        <f>VLOOKUP(K3425,LUTs!E$2:G$14,3,)</f>
        <v>01Whatcom</v>
      </c>
      <c r="M3425" s="110" t="str">
        <f>VLOOKUP($K3425,LUTs!$E$2:$H$14,2,)</f>
        <v>North Puget Sound</v>
      </c>
      <c r="N3425" s="110" t="str">
        <f>VLOOKUP($K3425,LUTs!$E$2:$H$14,4,)</f>
        <v>01North Puget Sound</v>
      </c>
      <c r="O3425" s="110">
        <v>2.7272727272727302</v>
      </c>
      <c r="P3425" s="110">
        <v>50.590909090909101</v>
      </c>
      <c r="Q3425" s="110">
        <f>SUMIFS('FW_Steelhead_by_Month_2010-2021'!Q$2:Q$3810,'FW_Steelhead_by_Month_2010-2021'!$B$2:$B$3810,'Rec_raw_catch_effort_2010-2021'!$B3425,'FW_Steelhead_by_Month_2010-2021'!$H$2:$H$3810,'Rec_raw_catch_effort_2010-2021'!$F3425,'FW_Steelhead_by_Month_2010-2021'!$M$2:$M$3810,'Rec_raw_catch_effort_2010-2021'!$K3425)</f>
        <v>3</v>
      </c>
      <c r="R3425" s="111">
        <f>VLOOKUP(B3425,Readme!$A$62:$C$74,3,)*Q3425</f>
        <v>62.781711974637879</v>
      </c>
      <c r="S3425" s="140" t="str">
        <f t="shared" si="257"/>
        <v>Y</v>
      </c>
      <c r="T3425" s="154">
        <f t="shared" si="258"/>
        <v>18.549999999999983</v>
      </c>
      <c r="U3425" s="154">
        <f t="shared" si="259"/>
        <v>20.927237324879293</v>
      </c>
    </row>
    <row r="3426" spans="1:21" x14ac:dyDescent="0.35">
      <c r="A3426" s="110">
        <v>1900</v>
      </c>
      <c r="B3426" s="110">
        <v>2012</v>
      </c>
      <c r="C3426" s="110" t="s">
        <v>38</v>
      </c>
      <c r="D3426" s="110" t="s">
        <v>143</v>
      </c>
      <c r="E3426" s="110" t="s">
        <v>86</v>
      </c>
      <c r="F3426" s="117">
        <v>846</v>
      </c>
      <c r="G3426" s="110" t="s">
        <v>98</v>
      </c>
      <c r="H3426" s="110" t="str">
        <f t="shared" si="256"/>
        <v>Skykomish River, No. Fork</v>
      </c>
      <c r="I3426" s="110" t="str">
        <f>IFERROR(VLOOKUP(H3426,LUTs!$A$1:$C$73,2,FALSE),"NA")</f>
        <v>Snohomish</v>
      </c>
      <c r="J3426" s="110" t="str">
        <f>IFERROR(VLOOKUP(H3426,LUTs!$A$1:$C$73,3,FALSE),"NA")</f>
        <v>2Central Puget Sound</v>
      </c>
      <c r="K3426" s="110" t="s">
        <v>17</v>
      </c>
      <c r="L3426" s="110" t="str">
        <f>VLOOKUP(K3426,LUTs!E$2:G$14,3,)</f>
        <v>04Island</v>
      </c>
      <c r="M3426" s="110" t="str">
        <f>VLOOKUP($K3426,LUTs!$E$2:$H$14,2,)</f>
        <v>North Puget Sound</v>
      </c>
      <c r="N3426" s="110" t="str">
        <f>VLOOKUP($K3426,LUTs!$E$2:$H$14,4,)</f>
        <v>01North Puget Sound</v>
      </c>
      <c r="O3426" s="110">
        <v>8.9210526315789505</v>
      </c>
      <c r="P3426" s="110">
        <v>76.185789473684196</v>
      </c>
      <c r="Q3426" s="110">
        <f>SUMIFS('FW_Steelhead_by_Month_2010-2021'!Q$2:Q$3810,'FW_Steelhead_by_Month_2010-2021'!$B$2:$B$3810,'Rec_raw_catch_effort_2010-2021'!$B3426,'FW_Steelhead_by_Month_2010-2021'!$H$2:$H$3810,'Rec_raw_catch_effort_2010-2021'!$F3426,'FW_Steelhead_by_Month_2010-2021'!$M$2:$M$3810,'Rec_raw_catch_effort_2010-2021'!$K3426)</f>
        <v>9</v>
      </c>
      <c r="R3426" s="111">
        <f>VLOOKUP(B3426,Readme!$A$62:$C$74,3,)*Q3426</f>
        <v>188.34513592391363</v>
      </c>
      <c r="S3426" s="140" t="str">
        <f t="shared" si="257"/>
        <v>Y</v>
      </c>
      <c r="T3426" s="154">
        <f t="shared" si="258"/>
        <v>8.5399999999999956</v>
      </c>
      <c r="U3426" s="154">
        <f t="shared" si="259"/>
        <v>20.927237324879293</v>
      </c>
    </row>
    <row r="3427" spans="1:21" x14ac:dyDescent="0.35">
      <c r="A3427" s="110">
        <v>1901</v>
      </c>
      <c r="B3427" s="110">
        <v>2012</v>
      </c>
      <c r="C3427" s="110" t="s">
        <v>38</v>
      </c>
      <c r="D3427" s="110" t="s">
        <v>143</v>
      </c>
      <c r="E3427" s="110" t="s">
        <v>86</v>
      </c>
      <c r="F3427" s="117">
        <v>846</v>
      </c>
      <c r="G3427" s="110" t="s">
        <v>98</v>
      </c>
      <c r="H3427" s="110" t="str">
        <f t="shared" si="256"/>
        <v>Skykomish River, No. Fork</v>
      </c>
      <c r="I3427" s="110" t="str">
        <f>IFERROR(VLOOKUP(H3427,LUTs!$A$1:$C$73,2,FALSE),"NA")</f>
        <v>Snohomish</v>
      </c>
      <c r="J3427" s="110" t="str">
        <f>IFERROR(VLOOKUP(H3427,LUTs!$A$1:$C$73,3,FALSE),"NA")</f>
        <v>2Central Puget Sound</v>
      </c>
      <c r="K3427" s="110" t="s">
        <v>18</v>
      </c>
      <c r="L3427" s="110" t="str">
        <f>VLOOKUP(K3427,LUTs!E$2:G$14,3,)</f>
        <v>06King</v>
      </c>
      <c r="M3427" s="110" t="str">
        <f>VLOOKUP($K3427,LUTs!$E$2:$H$14,2,)</f>
        <v>South Puget Sound</v>
      </c>
      <c r="N3427" s="110" t="str">
        <f>VLOOKUP($K3427,LUTs!$E$2:$H$14,4,)</f>
        <v>02South Puget Sound</v>
      </c>
      <c r="O3427" s="110">
        <v>35.684210526315802</v>
      </c>
      <c r="P3427" s="110">
        <v>304.74315789473701</v>
      </c>
      <c r="Q3427" s="110">
        <f>SUMIFS('FW_Steelhead_by_Month_2010-2021'!Q$2:Q$3810,'FW_Steelhead_by_Month_2010-2021'!$B$2:$B$3810,'Rec_raw_catch_effort_2010-2021'!$B3427,'FW_Steelhead_by_Month_2010-2021'!$H$2:$H$3810,'Rec_raw_catch_effort_2010-2021'!$F3427,'FW_Steelhead_by_Month_2010-2021'!$M$2:$M$3810,'Rec_raw_catch_effort_2010-2021'!$K3427)</f>
        <v>27.28571428571426</v>
      </c>
      <c r="R3427" s="111">
        <f>VLOOKUP(B3427,Readme!$A$62:$C$74,3,)*Q3427</f>
        <v>571.01461843599157</v>
      </c>
      <c r="S3427" s="140" t="str">
        <f t="shared" si="257"/>
        <v>Y</v>
      </c>
      <c r="T3427" s="154">
        <f t="shared" si="258"/>
        <v>8.5400000000000009</v>
      </c>
      <c r="U3427" s="154">
        <f t="shared" si="259"/>
        <v>20.927237324879293</v>
      </c>
    </row>
    <row r="3428" spans="1:21" x14ac:dyDescent="0.35">
      <c r="A3428" s="110">
        <v>1738</v>
      </c>
      <c r="B3428" s="110">
        <v>2012</v>
      </c>
      <c r="C3428" s="110" t="s">
        <v>38</v>
      </c>
      <c r="D3428" s="110" t="s">
        <v>143</v>
      </c>
      <c r="E3428" s="110" t="s">
        <v>86</v>
      </c>
      <c r="F3428" s="117">
        <v>846</v>
      </c>
      <c r="G3428" s="110" t="s">
        <v>98</v>
      </c>
      <c r="H3428" s="110" t="str">
        <f t="shared" si="256"/>
        <v>Skykomish River, No. Fork</v>
      </c>
      <c r="I3428" s="110" t="str">
        <f>IFERROR(VLOOKUP(H3428,LUTs!$A$1:$C$73,2,FALSE),"NA")</f>
        <v>Snohomish</v>
      </c>
      <c r="J3428" s="110" t="str">
        <f>IFERROR(VLOOKUP(H3428,LUTs!$A$1:$C$73,3,FALSE),"NA")</f>
        <v>2Central Puget Sound</v>
      </c>
      <c r="K3428" s="110" t="s">
        <v>15</v>
      </c>
      <c r="L3428" s="110" t="str">
        <f>VLOOKUP(K3428,LUTs!E$2:G$14,3,)</f>
        <v>02Skagit</v>
      </c>
      <c r="M3428" s="110" t="str">
        <f>VLOOKUP($K3428,LUTs!$E$2:$H$14,2,)</f>
        <v>North Puget Sound</v>
      </c>
      <c r="N3428" s="110" t="str">
        <f>VLOOKUP($K3428,LUTs!$E$2:$H$14,4,)</f>
        <v>01North Puget Sound</v>
      </c>
      <c r="O3428" s="110">
        <v>2.9736842105263199</v>
      </c>
      <c r="P3428" s="110">
        <v>25.395263157894799</v>
      </c>
      <c r="Q3428" s="110">
        <f>SUMIFS('FW_Steelhead_by_Month_2010-2021'!Q$2:Q$3810,'FW_Steelhead_by_Month_2010-2021'!$B$2:$B$3810,'Rec_raw_catch_effort_2010-2021'!$B3428,'FW_Steelhead_by_Month_2010-2021'!$H$2:$H$3810,'Rec_raw_catch_effort_2010-2021'!$F3428,'FW_Steelhead_by_Month_2010-2021'!$M$2:$M$3810,'Rec_raw_catch_effort_2010-2021'!$K3428)</f>
        <v>2.9285714285714302</v>
      </c>
      <c r="R3428" s="111">
        <f>VLOOKUP(B3428,Readme!$A$62:$C$74,3,)*Q3428</f>
        <v>61.286909308575105</v>
      </c>
      <c r="S3428" s="140" t="str">
        <f t="shared" si="257"/>
        <v>Y</v>
      </c>
      <c r="T3428" s="154">
        <f t="shared" si="258"/>
        <v>8.5400000000000098</v>
      </c>
      <c r="U3428" s="154">
        <f t="shared" si="259"/>
        <v>20.927237324879293</v>
      </c>
    </row>
    <row r="3429" spans="1:21" x14ac:dyDescent="0.35">
      <c r="A3429" s="110">
        <v>1739</v>
      </c>
      <c r="B3429" s="110">
        <v>2012</v>
      </c>
      <c r="C3429" s="110" t="s">
        <v>38</v>
      </c>
      <c r="D3429" s="110" t="s">
        <v>143</v>
      </c>
      <c r="E3429" s="110" t="s">
        <v>86</v>
      </c>
      <c r="F3429" s="117">
        <v>846</v>
      </c>
      <c r="G3429" s="110" t="s">
        <v>98</v>
      </c>
      <c r="H3429" s="110" t="str">
        <f t="shared" si="256"/>
        <v>Skykomish River, No. Fork</v>
      </c>
      <c r="I3429" s="110" t="str">
        <f>IFERROR(VLOOKUP(H3429,LUTs!$A$1:$C$73,2,FALSE),"NA")</f>
        <v>Snohomish</v>
      </c>
      <c r="J3429" s="110" t="str">
        <f>IFERROR(VLOOKUP(H3429,LUTs!$A$1:$C$73,3,FALSE),"NA")</f>
        <v>2Central Puget Sound</v>
      </c>
      <c r="K3429" s="110" t="s">
        <v>16</v>
      </c>
      <c r="L3429" s="110" t="str">
        <f>VLOOKUP(K3429,LUTs!E$2:G$14,3,)</f>
        <v>03Snohomish</v>
      </c>
      <c r="M3429" s="110" t="str">
        <f>VLOOKUP($K3429,LUTs!$E$2:$H$14,2,)</f>
        <v>North Puget Sound</v>
      </c>
      <c r="N3429" s="110" t="str">
        <f>VLOOKUP($K3429,LUTs!$E$2:$H$14,4,)</f>
        <v>01North Puget Sound</v>
      </c>
      <c r="O3429" s="110">
        <v>56.5</v>
      </c>
      <c r="P3429" s="110">
        <v>482.51</v>
      </c>
      <c r="Q3429" s="110">
        <f>SUMIFS('FW_Steelhead_by_Month_2010-2021'!Q$2:Q$3810,'FW_Steelhead_by_Month_2010-2021'!$B$2:$B$3810,'Rec_raw_catch_effort_2010-2021'!$B3429,'FW_Steelhead_by_Month_2010-2021'!$H$2:$H$3810,'Rec_raw_catch_effort_2010-2021'!$F3429,'FW_Steelhead_by_Month_2010-2021'!$M$2:$M$3810,'Rec_raw_catch_effort_2010-2021'!$K3429)</f>
        <v>58.78571428571427</v>
      </c>
      <c r="R3429" s="111">
        <f>VLOOKUP(B3429,Readme!$A$62:$C$74,3,)*Q3429</f>
        <v>1230.2225941696895</v>
      </c>
      <c r="S3429" s="140" t="str">
        <f t="shared" si="257"/>
        <v>Y</v>
      </c>
      <c r="T3429" s="154">
        <f t="shared" si="258"/>
        <v>8.5399999999999991</v>
      </c>
      <c r="U3429" s="154">
        <f t="shared" si="259"/>
        <v>20.927237324879293</v>
      </c>
    </row>
    <row r="3430" spans="1:21" x14ac:dyDescent="0.35">
      <c r="A3430" s="110">
        <v>1727</v>
      </c>
      <c r="B3430" s="110">
        <v>2012</v>
      </c>
      <c r="C3430" s="110" t="s">
        <v>38</v>
      </c>
      <c r="D3430" s="110" t="s">
        <v>143</v>
      </c>
      <c r="E3430" s="110" t="s">
        <v>86</v>
      </c>
      <c r="F3430" s="117">
        <v>846</v>
      </c>
      <c r="G3430" s="110" t="s">
        <v>98</v>
      </c>
      <c r="H3430" s="110" t="str">
        <f t="shared" si="256"/>
        <v>Skykomish River, No. Fork</v>
      </c>
      <c r="I3430" s="110" t="str">
        <f>IFERROR(VLOOKUP(H3430,LUTs!$A$1:$C$73,2,FALSE),"NA")</f>
        <v>Snohomish</v>
      </c>
      <c r="J3430" s="110" t="str">
        <f>IFERROR(VLOOKUP(H3430,LUTs!$A$1:$C$73,3,FALSE),"NA")</f>
        <v>2Central Puget Sound</v>
      </c>
      <c r="K3430" s="110" t="s">
        <v>13</v>
      </c>
      <c r="L3430" s="110" t="str">
        <f>VLOOKUP(K3430,LUTs!E$2:G$14,3,)</f>
        <v>01Whatcom</v>
      </c>
      <c r="M3430" s="110" t="str">
        <f>VLOOKUP($K3430,LUTs!$E$2:$H$14,2,)</f>
        <v>North Puget Sound</v>
      </c>
      <c r="N3430" s="110" t="str">
        <f>VLOOKUP($K3430,LUTs!$E$2:$H$14,4,)</f>
        <v>01North Puget Sound</v>
      </c>
      <c r="O3430" s="110">
        <v>8.9210526315789505</v>
      </c>
      <c r="P3430" s="110">
        <v>76.185789473684196</v>
      </c>
      <c r="Q3430" s="110">
        <f>SUMIFS('FW_Steelhead_by_Month_2010-2021'!Q$2:Q$3810,'FW_Steelhead_by_Month_2010-2021'!$B$2:$B$3810,'Rec_raw_catch_effort_2010-2021'!$B3430,'FW_Steelhead_by_Month_2010-2021'!$H$2:$H$3810,'Rec_raw_catch_effort_2010-2021'!$F3430,'FW_Steelhead_by_Month_2010-2021'!$M$2:$M$3810,'Rec_raw_catch_effort_2010-2021'!$K3430)</f>
        <v>9</v>
      </c>
      <c r="R3430" s="111">
        <f>VLOOKUP(B3430,Readme!$A$62:$C$74,3,)*Q3430</f>
        <v>188.34513592391363</v>
      </c>
      <c r="S3430" s="140" t="str">
        <f t="shared" si="257"/>
        <v>Y</v>
      </c>
      <c r="T3430" s="154">
        <f t="shared" si="258"/>
        <v>8.5399999999999956</v>
      </c>
      <c r="U3430" s="154">
        <f t="shared" si="259"/>
        <v>20.927237324879293</v>
      </c>
    </row>
    <row r="3431" spans="1:21" x14ac:dyDescent="0.35">
      <c r="A3431" s="110">
        <v>2072</v>
      </c>
      <c r="B3431" s="110">
        <v>2013</v>
      </c>
      <c r="C3431" s="110" t="s">
        <v>38</v>
      </c>
      <c r="D3431" s="110" t="s">
        <v>143</v>
      </c>
      <c r="E3431" s="110" t="s">
        <v>86</v>
      </c>
      <c r="F3431" s="117">
        <v>846</v>
      </c>
      <c r="G3431" s="110" t="s">
        <v>98</v>
      </c>
      <c r="H3431" s="110" t="str">
        <f t="shared" si="256"/>
        <v>Skykomish River, No. Fork</v>
      </c>
      <c r="I3431" s="110" t="str">
        <f>IFERROR(VLOOKUP(H3431,LUTs!$A$1:$C$73,2,FALSE),"NA")</f>
        <v>Snohomish</v>
      </c>
      <c r="J3431" s="110" t="str">
        <f>IFERROR(VLOOKUP(H3431,LUTs!$A$1:$C$73,3,FALSE),"NA")</f>
        <v>2Central Puget Sound</v>
      </c>
      <c r="K3431" s="110" t="s">
        <v>18</v>
      </c>
      <c r="L3431" s="110" t="str">
        <f>VLOOKUP(K3431,LUTs!E$2:G$14,3,)</f>
        <v>06King</v>
      </c>
      <c r="M3431" s="110" t="str">
        <f>VLOOKUP($K3431,LUTs!$E$2:$H$14,2,)</f>
        <v>South Puget Sound</v>
      </c>
      <c r="N3431" s="110" t="str">
        <f>VLOOKUP($K3431,LUTs!$E$2:$H$14,4,)</f>
        <v>02South Puget Sound</v>
      </c>
      <c r="O3431" s="110">
        <v>57.945945945946001</v>
      </c>
      <c r="P3431" s="110">
        <v>1074.8972972972999</v>
      </c>
      <c r="Q3431" s="110">
        <f>SUMIFS('FW_Steelhead_by_Month_2010-2021'!Q$2:Q$3810,'FW_Steelhead_by_Month_2010-2021'!$B$2:$B$3810,'Rec_raw_catch_effort_2010-2021'!$B3431,'FW_Steelhead_by_Month_2010-2021'!$H$2:$H$3810,'Rec_raw_catch_effort_2010-2021'!$F3431,'FW_Steelhead_by_Month_2010-2021'!$M$2:$M$3810,'Rec_raw_catch_effort_2010-2021'!$K3431)</f>
        <v>81.085470085470078</v>
      </c>
      <c r="R3431" s="111">
        <f>VLOOKUP(B3431,Readme!$A$62:$C$74,3,)*Q3431</f>
        <v>1696.8948760780329</v>
      </c>
      <c r="S3431" s="140" t="str">
        <f t="shared" si="257"/>
        <v>Y</v>
      </c>
      <c r="T3431" s="154">
        <f t="shared" si="258"/>
        <v>18.550000000000029</v>
      </c>
      <c r="U3431" s="154">
        <f t="shared" si="259"/>
        <v>20.927237324879293</v>
      </c>
    </row>
    <row r="3432" spans="1:21" x14ac:dyDescent="0.35">
      <c r="A3432" s="110">
        <v>2073</v>
      </c>
      <c r="B3432" s="110">
        <v>2013</v>
      </c>
      <c r="C3432" s="110" t="s">
        <v>38</v>
      </c>
      <c r="D3432" s="110" t="s">
        <v>143</v>
      </c>
      <c r="E3432" s="110" t="s">
        <v>86</v>
      </c>
      <c r="F3432" s="117">
        <v>846</v>
      </c>
      <c r="G3432" s="110" t="s">
        <v>98</v>
      </c>
      <c r="H3432" s="110" t="str">
        <f t="shared" si="256"/>
        <v>Skykomish River, No. Fork</v>
      </c>
      <c r="I3432" s="110" t="str">
        <f>IFERROR(VLOOKUP(H3432,LUTs!$A$1:$C$73,2,FALSE),"NA")</f>
        <v>Snohomish</v>
      </c>
      <c r="J3432" s="110" t="str">
        <f>IFERROR(VLOOKUP(H3432,LUTs!$A$1:$C$73,3,FALSE),"NA")</f>
        <v>2Central Puget Sound</v>
      </c>
      <c r="K3432" s="110" t="s">
        <v>26</v>
      </c>
      <c r="L3432" s="110" t="str">
        <f>VLOOKUP(K3432,LUTs!E$2:G$14,3,)</f>
        <v>20Other</v>
      </c>
      <c r="M3432" s="110" t="str">
        <f>VLOOKUP($K3432,LUTs!$E$2:$H$14,2,)</f>
        <v>Non Puget Sound</v>
      </c>
      <c r="N3432" s="110" t="str">
        <f>VLOOKUP($K3432,LUTs!$E$2:$H$14,4,)</f>
        <v>07Non Puget Sound</v>
      </c>
      <c r="O3432" s="110">
        <v>7.2432432432432501</v>
      </c>
      <c r="P3432" s="110">
        <v>134.36216216216201</v>
      </c>
      <c r="Q3432" s="110">
        <f>SUMIFS('FW_Steelhead_by_Month_2010-2021'!Q$2:Q$3810,'FW_Steelhead_by_Month_2010-2021'!$B$2:$B$3810,'Rec_raw_catch_effort_2010-2021'!$B3432,'FW_Steelhead_by_Month_2010-2021'!$H$2:$H$3810,'Rec_raw_catch_effort_2010-2021'!$F3432,'FW_Steelhead_by_Month_2010-2021'!$M$2:$M$3810,'Rec_raw_catch_effort_2010-2021'!$K3432)</f>
        <v>7.5384615384615401</v>
      </c>
      <c r="R3432" s="111">
        <f>VLOOKUP(B3432,Readme!$A$62:$C$74,3,)*Q3432</f>
        <v>157.75917367985932</v>
      </c>
      <c r="S3432" s="140" t="str">
        <f t="shared" si="257"/>
        <v>Y</v>
      </c>
      <c r="T3432" s="154">
        <f t="shared" si="258"/>
        <v>18.549999999999962</v>
      </c>
      <c r="U3432" s="154">
        <f t="shared" si="259"/>
        <v>20.927237324879293</v>
      </c>
    </row>
    <row r="3433" spans="1:21" x14ac:dyDescent="0.35">
      <c r="A3433" s="110">
        <v>1935</v>
      </c>
      <c r="B3433" s="110">
        <v>2013</v>
      </c>
      <c r="C3433" s="110" t="s">
        <v>38</v>
      </c>
      <c r="D3433" s="110" t="s">
        <v>143</v>
      </c>
      <c r="E3433" s="110" t="s">
        <v>86</v>
      </c>
      <c r="F3433" s="117">
        <v>846</v>
      </c>
      <c r="G3433" s="110" t="s">
        <v>98</v>
      </c>
      <c r="H3433" s="110" t="str">
        <f t="shared" si="256"/>
        <v>Skykomish River, No. Fork</v>
      </c>
      <c r="I3433" s="110" t="str">
        <f>IFERROR(VLOOKUP(H3433,LUTs!$A$1:$C$73,2,FALSE),"NA")</f>
        <v>Snohomish</v>
      </c>
      <c r="J3433" s="110" t="str">
        <f>IFERROR(VLOOKUP(H3433,LUTs!$A$1:$C$73,3,FALSE),"NA")</f>
        <v>2Central Puget Sound</v>
      </c>
      <c r="K3433" s="110" t="s">
        <v>16</v>
      </c>
      <c r="L3433" s="110" t="str">
        <f>VLOOKUP(K3433,LUTs!E$2:G$14,3,)</f>
        <v>03Snohomish</v>
      </c>
      <c r="M3433" s="110" t="str">
        <f>VLOOKUP($K3433,LUTs!$E$2:$H$14,2,)</f>
        <v>North Puget Sound</v>
      </c>
      <c r="N3433" s="110" t="str">
        <f>VLOOKUP($K3433,LUTs!$E$2:$H$14,4,)</f>
        <v>01North Puget Sound</v>
      </c>
      <c r="O3433" s="110">
        <v>68.810810810810807</v>
      </c>
      <c r="P3433" s="110">
        <v>1276.44054054054</v>
      </c>
      <c r="Q3433" s="110">
        <f>SUMIFS('FW_Steelhead_by_Month_2010-2021'!Q$2:Q$3810,'FW_Steelhead_by_Month_2010-2021'!$B$2:$B$3810,'Rec_raw_catch_effort_2010-2021'!$B3433,'FW_Steelhead_by_Month_2010-2021'!$H$2:$H$3810,'Rec_raw_catch_effort_2010-2021'!$F3433,'FW_Steelhead_by_Month_2010-2021'!$M$2:$M$3810,'Rec_raw_catch_effort_2010-2021'!$K3433)</f>
        <v>66.376068376068403</v>
      </c>
      <c r="R3433" s="111">
        <f>VLOOKUP(B3433,Readme!$A$62:$C$74,3,)*Q3433</f>
        <v>1389.0677355983987</v>
      </c>
      <c r="S3433" s="140" t="str">
        <f t="shared" si="257"/>
        <v>Y</v>
      </c>
      <c r="T3433" s="154">
        <f t="shared" si="258"/>
        <v>18.549999999999994</v>
      </c>
      <c r="U3433" s="154">
        <f t="shared" si="259"/>
        <v>20.927237324879293</v>
      </c>
    </row>
    <row r="3434" spans="1:21" x14ac:dyDescent="0.35">
      <c r="A3434" s="110">
        <v>1448</v>
      </c>
      <c r="B3434" s="110">
        <v>2014</v>
      </c>
      <c r="C3434" s="110" t="s">
        <v>38</v>
      </c>
      <c r="D3434" s="110" t="s">
        <v>143</v>
      </c>
      <c r="E3434" s="110" t="s">
        <v>86</v>
      </c>
      <c r="F3434" s="117">
        <v>846</v>
      </c>
      <c r="G3434" s="110" t="s">
        <v>98</v>
      </c>
      <c r="H3434" s="110" t="str">
        <f t="shared" si="256"/>
        <v>Skykomish River, No. Fork</v>
      </c>
      <c r="I3434" s="110" t="str">
        <f>IFERROR(VLOOKUP(H3434,LUTs!$A$1:$C$73,2,FALSE),"NA")</f>
        <v>Snohomish</v>
      </c>
      <c r="J3434" s="110" t="str">
        <f>IFERROR(VLOOKUP(H3434,LUTs!$A$1:$C$73,3,FALSE),"NA")</f>
        <v>2Central Puget Sound</v>
      </c>
      <c r="K3434" s="110" t="s">
        <v>18</v>
      </c>
      <c r="L3434" s="110" t="str">
        <f>VLOOKUP(K3434,LUTs!E$2:G$14,3,)</f>
        <v>06King</v>
      </c>
      <c r="M3434" s="110" t="str">
        <f>VLOOKUP($K3434,LUTs!$E$2:$H$14,2,)</f>
        <v>South Puget Sound</v>
      </c>
      <c r="N3434" s="110" t="str">
        <f>VLOOKUP($K3434,LUTs!$E$2:$H$14,4,)</f>
        <v>02South Puget Sound</v>
      </c>
      <c r="O3434" s="110">
        <v>64.941176470588303</v>
      </c>
      <c r="P3434" s="110">
        <v>554.59764705882401</v>
      </c>
      <c r="Q3434" s="110">
        <f>SUMIFS('FW_Steelhead_by_Month_2010-2021'!Q$2:Q$3810,'FW_Steelhead_by_Month_2010-2021'!$B$2:$B$3810,'Rec_raw_catch_effort_2010-2021'!$B3434,'FW_Steelhead_by_Month_2010-2021'!$H$2:$H$3810,'Rec_raw_catch_effort_2010-2021'!$F3434,'FW_Steelhead_by_Month_2010-2021'!$M$2:$M$3810,'Rec_raw_catch_effort_2010-2021'!$K3434)</f>
        <v>54.974945533769088</v>
      </c>
      <c r="R3434" s="111">
        <f>VLOOKUP(B3434,Readme!$A$62:$C$74,3,)*Q3434</f>
        <v>1150.4737321074986</v>
      </c>
      <c r="S3434" s="140" t="str">
        <f t="shared" si="257"/>
        <v>Y</v>
      </c>
      <c r="T3434" s="154">
        <f t="shared" si="258"/>
        <v>8.5399999999999991</v>
      </c>
      <c r="U3434" s="154">
        <f t="shared" si="259"/>
        <v>20.927237324879293</v>
      </c>
    </row>
    <row r="3435" spans="1:21" x14ac:dyDescent="0.35">
      <c r="A3435" s="110">
        <v>1449</v>
      </c>
      <c r="B3435" s="110">
        <v>2014</v>
      </c>
      <c r="C3435" s="110" t="s">
        <v>38</v>
      </c>
      <c r="D3435" s="110" t="s">
        <v>143</v>
      </c>
      <c r="E3435" s="110" t="s">
        <v>86</v>
      </c>
      <c r="F3435" s="117">
        <v>846</v>
      </c>
      <c r="G3435" s="110" t="s">
        <v>98</v>
      </c>
      <c r="H3435" s="110" t="str">
        <f t="shared" si="256"/>
        <v>Skykomish River, No. Fork</v>
      </c>
      <c r="I3435" s="110" t="str">
        <f>IFERROR(VLOOKUP(H3435,LUTs!$A$1:$C$73,2,FALSE),"NA")</f>
        <v>Snohomish</v>
      </c>
      <c r="J3435" s="110" t="str">
        <f>IFERROR(VLOOKUP(H3435,LUTs!$A$1:$C$73,3,FALSE),"NA")</f>
        <v>2Central Puget Sound</v>
      </c>
      <c r="K3435" s="110" t="s">
        <v>26</v>
      </c>
      <c r="L3435" s="110" t="str">
        <f>VLOOKUP(K3435,LUTs!E$2:G$14,3,)</f>
        <v>20Other</v>
      </c>
      <c r="M3435" s="110" t="str">
        <f>VLOOKUP($K3435,LUTs!$E$2:$H$14,2,)</f>
        <v>Non Puget Sound</v>
      </c>
      <c r="N3435" s="110" t="str">
        <f>VLOOKUP($K3435,LUTs!$E$2:$H$14,4,)</f>
        <v>07Non Puget Sound</v>
      </c>
      <c r="O3435" s="110">
        <v>9.7411764705882398</v>
      </c>
      <c r="P3435" s="110">
        <v>83.189647058823596</v>
      </c>
      <c r="Q3435" s="110">
        <f>SUMIFS('FW_Steelhead_by_Month_2010-2021'!Q$2:Q$3810,'FW_Steelhead_by_Month_2010-2021'!$B$2:$B$3810,'Rec_raw_catch_effort_2010-2021'!$B3435,'FW_Steelhead_by_Month_2010-2021'!$H$2:$H$3810,'Rec_raw_catch_effort_2010-2021'!$F3435,'FW_Steelhead_by_Month_2010-2021'!$M$2:$M$3810,'Rec_raw_catch_effort_2010-2021'!$K3435)</f>
        <v>9.6352941176470601</v>
      </c>
      <c r="R3435" s="111">
        <f>VLOOKUP(B3435,Readme!$A$62:$C$74,3,)*Q3435</f>
        <v>201.64008669501345</v>
      </c>
      <c r="S3435" s="140" t="str">
        <f t="shared" si="257"/>
        <v>Y</v>
      </c>
      <c r="T3435" s="154">
        <f t="shared" si="258"/>
        <v>8.5400000000000027</v>
      </c>
      <c r="U3435" s="154">
        <f t="shared" si="259"/>
        <v>20.927237324879293</v>
      </c>
    </row>
    <row r="3436" spans="1:21" x14ac:dyDescent="0.35">
      <c r="A3436" s="110">
        <v>1447</v>
      </c>
      <c r="B3436" s="110">
        <v>2014</v>
      </c>
      <c r="C3436" s="110" t="s">
        <v>38</v>
      </c>
      <c r="D3436" s="110" t="s">
        <v>143</v>
      </c>
      <c r="E3436" s="110" t="s">
        <v>86</v>
      </c>
      <c r="F3436" s="117">
        <v>846</v>
      </c>
      <c r="G3436" s="110" t="s">
        <v>98</v>
      </c>
      <c r="H3436" s="110" t="str">
        <f t="shared" si="256"/>
        <v>Skykomish River, No. Fork</v>
      </c>
      <c r="I3436" s="110" t="str">
        <f>IFERROR(VLOOKUP(H3436,LUTs!$A$1:$C$73,2,FALSE),"NA")</f>
        <v>Snohomish</v>
      </c>
      <c r="J3436" s="110" t="str">
        <f>IFERROR(VLOOKUP(H3436,LUTs!$A$1:$C$73,3,FALSE),"NA")</f>
        <v>2Central Puget Sound</v>
      </c>
      <c r="K3436" s="110" t="s">
        <v>16</v>
      </c>
      <c r="L3436" s="110" t="str">
        <f>VLOOKUP(K3436,LUTs!E$2:G$14,3,)</f>
        <v>03Snohomish</v>
      </c>
      <c r="M3436" s="110" t="str">
        <f>VLOOKUP($K3436,LUTs!$E$2:$H$14,2,)</f>
        <v>North Puget Sound</v>
      </c>
      <c r="N3436" s="110" t="str">
        <f>VLOOKUP($K3436,LUTs!$E$2:$H$14,4,)</f>
        <v>01North Puget Sound</v>
      </c>
      <c r="O3436" s="110">
        <v>201.31764705882401</v>
      </c>
      <c r="P3436" s="110">
        <v>1719.25270588236</v>
      </c>
      <c r="Q3436" s="110">
        <f>SUMIFS('FW_Steelhead_by_Month_2010-2021'!Q$2:Q$3810,'FW_Steelhead_by_Month_2010-2021'!$B$2:$B$3810,'Rec_raw_catch_effort_2010-2021'!$B3436,'FW_Steelhead_by_Month_2010-2021'!$H$2:$H$3810,'Rec_raw_catch_effort_2010-2021'!$F3436,'FW_Steelhead_by_Month_2010-2021'!$M$2:$M$3810,'Rec_raw_catch_effort_2010-2021'!$K3436)</f>
        <v>155.38976034858399</v>
      </c>
      <c r="R3436" s="111">
        <f>VLOOKUP(B3436,Readme!$A$62:$C$74,3,)*Q3436</f>
        <v>3251.8783926709352</v>
      </c>
      <c r="S3436" s="140" t="str">
        <f t="shared" si="257"/>
        <v>Y</v>
      </c>
      <c r="T3436" s="154">
        <f t="shared" si="258"/>
        <v>8.5400000000000151</v>
      </c>
      <c r="U3436" s="154">
        <f t="shared" si="259"/>
        <v>20.927237324879293</v>
      </c>
    </row>
    <row r="3437" spans="1:21" x14ac:dyDescent="0.35">
      <c r="A3437" s="110">
        <v>1579</v>
      </c>
      <c r="B3437" s="110">
        <v>2015</v>
      </c>
      <c r="C3437" s="110" t="s">
        <v>38</v>
      </c>
      <c r="D3437" s="110" t="s">
        <v>143</v>
      </c>
      <c r="E3437" s="110" t="s">
        <v>86</v>
      </c>
      <c r="F3437" s="117">
        <v>846</v>
      </c>
      <c r="G3437" s="110" t="s">
        <v>98</v>
      </c>
      <c r="H3437" s="110" t="str">
        <f t="shared" si="256"/>
        <v>Skykomish River, No. Fork</v>
      </c>
      <c r="I3437" s="110" t="str">
        <f>IFERROR(VLOOKUP(H3437,LUTs!$A$1:$C$73,2,FALSE),"NA")</f>
        <v>Snohomish</v>
      </c>
      <c r="J3437" s="110" t="str">
        <f>IFERROR(VLOOKUP(H3437,LUTs!$A$1:$C$73,3,FALSE),"NA")</f>
        <v>2Central Puget Sound</v>
      </c>
      <c r="K3437" s="110" t="s">
        <v>26</v>
      </c>
      <c r="L3437" s="110" t="str">
        <f>VLOOKUP(K3437,LUTs!E$2:G$14,3,)</f>
        <v>20Other</v>
      </c>
      <c r="M3437" s="110" t="str">
        <f>VLOOKUP($K3437,LUTs!$E$2:$H$14,2,)</f>
        <v>Non Puget Sound</v>
      </c>
      <c r="N3437" s="110" t="str">
        <f>VLOOKUP($K3437,LUTs!$E$2:$H$14,4,)</f>
        <v>07Non Puget Sound</v>
      </c>
      <c r="O3437" s="110">
        <v>8</v>
      </c>
      <c r="P3437" s="110">
        <v>148.4</v>
      </c>
      <c r="Q3437" s="110">
        <f>SUMIFS('FW_Steelhead_by_Month_2010-2021'!Q$2:Q$3810,'FW_Steelhead_by_Month_2010-2021'!$B$2:$B$3810,'Rec_raw_catch_effort_2010-2021'!$B3437,'FW_Steelhead_by_Month_2010-2021'!$H$2:$H$3810,'Rec_raw_catch_effort_2010-2021'!$F3437,'FW_Steelhead_by_Month_2010-2021'!$M$2:$M$3810,'Rec_raw_catch_effort_2010-2021'!$K3437)</f>
        <v>4</v>
      </c>
      <c r="R3437" s="111">
        <f>VLOOKUP(B3437,Readme!$A$62:$C$74,3,)*Q3437</f>
        <v>83.708949299517172</v>
      </c>
      <c r="S3437" s="140" t="str">
        <f t="shared" si="257"/>
        <v>Y</v>
      </c>
      <c r="T3437" s="154">
        <f t="shared" si="258"/>
        <v>18.55</v>
      </c>
      <c r="U3437" s="154">
        <f t="shared" si="259"/>
        <v>20.927237324879293</v>
      </c>
    </row>
    <row r="3438" spans="1:21" x14ac:dyDescent="0.35">
      <c r="A3438" s="110">
        <v>1578</v>
      </c>
      <c r="B3438" s="110">
        <v>2015</v>
      </c>
      <c r="C3438" s="110" t="s">
        <v>38</v>
      </c>
      <c r="D3438" s="110" t="s">
        <v>143</v>
      </c>
      <c r="E3438" s="110" t="s">
        <v>86</v>
      </c>
      <c r="F3438" s="117">
        <v>846</v>
      </c>
      <c r="G3438" s="110" t="s">
        <v>98</v>
      </c>
      <c r="H3438" s="110" t="str">
        <f t="shared" si="256"/>
        <v>Skykomish River, No. Fork</v>
      </c>
      <c r="I3438" s="110" t="str">
        <f>IFERROR(VLOOKUP(H3438,LUTs!$A$1:$C$73,2,FALSE),"NA")</f>
        <v>Snohomish</v>
      </c>
      <c r="J3438" s="110" t="str">
        <f>IFERROR(VLOOKUP(H3438,LUTs!$A$1:$C$73,3,FALSE),"NA")</f>
        <v>2Central Puget Sound</v>
      </c>
      <c r="K3438" s="110" t="s">
        <v>16</v>
      </c>
      <c r="L3438" s="110" t="str">
        <f>VLOOKUP(K3438,LUTs!E$2:G$14,3,)</f>
        <v>03Snohomish</v>
      </c>
      <c r="M3438" s="110" t="str">
        <f>VLOOKUP($K3438,LUTs!$E$2:$H$14,2,)</f>
        <v>North Puget Sound</v>
      </c>
      <c r="N3438" s="110" t="str">
        <f>VLOOKUP($K3438,LUTs!$E$2:$H$14,4,)</f>
        <v>01North Puget Sound</v>
      </c>
      <c r="O3438" s="110">
        <v>32</v>
      </c>
      <c r="P3438" s="110">
        <v>593.6</v>
      </c>
      <c r="Q3438" s="110">
        <f>SUMIFS('FW_Steelhead_by_Month_2010-2021'!Q$2:Q$3810,'FW_Steelhead_by_Month_2010-2021'!$B$2:$B$3810,'Rec_raw_catch_effort_2010-2021'!$B3438,'FW_Steelhead_by_Month_2010-2021'!$H$2:$H$3810,'Rec_raw_catch_effort_2010-2021'!$F3438,'FW_Steelhead_by_Month_2010-2021'!$M$2:$M$3810,'Rec_raw_catch_effort_2010-2021'!$K3438)</f>
        <v>67.833333333333371</v>
      </c>
      <c r="R3438" s="111">
        <f>VLOOKUP(B3438,Readme!$A$62:$C$74,3,)*Q3438</f>
        <v>1419.5642652043127</v>
      </c>
      <c r="S3438" s="140" t="str">
        <f t="shared" si="257"/>
        <v>Y</v>
      </c>
      <c r="T3438" s="154">
        <f t="shared" si="258"/>
        <v>18.55</v>
      </c>
      <c r="U3438" s="154">
        <f t="shared" si="259"/>
        <v>20.927237324879293</v>
      </c>
    </row>
    <row r="3439" spans="1:21" x14ac:dyDescent="0.35">
      <c r="A3439" s="110">
        <v>1796</v>
      </c>
      <c r="B3439" s="110">
        <v>2016</v>
      </c>
      <c r="C3439" s="110" t="s">
        <v>38</v>
      </c>
      <c r="D3439" s="110" t="s">
        <v>143</v>
      </c>
      <c r="E3439" s="110" t="s">
        <v>86</v>
      </c>
      <c r="F3439" s="117">
        <v>846</v>
      </c>
      <c r="G3439" s="110" t="s">
        <v>98</v>
      </c>
      <c r="H3439" s="110" t="str">
        <f t="shared" si="256"/>
        <v>Skykomish River, No. Fork</v>
      </c>
      <c r="I3439" s="110" t="str">
        <f>IFERROR(VLOOKUP(H3439,LUTs!$A$1:$C$73,2,FALSE),"NA")</f>
        <v>Snohomish</v>
      </c>
      <c r="J3439" s="110" t="str">
        <f>IFERROR(VLOOKUP(H3439,LUTs!$A$1:$C$73,3,FALSE),"NA")</f>
        <v>2Central Puget Sound</v>
      </c>
      <c r="K3439" s="110" t="s">
        <v>18</v>
      </c>
      <c r="L3439" s="110" t="str">
        <f>VLOOKUP(K3439,LUTs!E$2:G$14,3,)</f>
        <v>06King</v>
      </c>
      <c r="M3439" s="110" t="str">
        <f>VLOOKUP($K3439,LUTs!$E$2:$H$14,2,)</f>
        <v>South Puget Sound</v>
      </c>
      <c r="N3439" s="110" t="str">
        <f>VLOOKUP($K3439,LUTs!$E$2:$H$14,4,)</f>
        <v>02South Puget Sound</v>
      </c>
      <c r="O3439" s="110">
        <v>6</v>
      </c>
      <c r="P3439" s="110">
        <v>51.24</v>
      </c>
      <c r="Q3439" s="110">
        <f>SUMIFS('FW_Steelhead_by_Month_2010-2021'!Q$2:Q$3810,'FW_Steelhead_by_Month_2010-2021'!$B$2:$B$3810,'Rec_raw_catch_effort_2010-2021'!$B3439,'FW_Steelhead_by_Month_2010-2021'!$H$2:$H$3810,'Rec_raw_catch_effort_2010-2021'!$F3439,'FW_Steelhead_by_Month_2010-2021'!$M$2:$M$3810,'Rec_raw_catch_effort_2010-2021'!$K3439)</f>
        <v>6</v>
      </c>
      <c r="R3439" s="111">
        <f>VLOOKUP(B3439,Readme!$A$62:$C$74,3,)*Q3439</f>
        <v>125.56342394927576</v>
      </c>
      <c r="S3439" s="140" t="str">
        <f t="shared" si="257"/>
        <v>Y</v>
      </c>
      <c r="T3439" s="154">
        <f t="shared" si="258"/>
        <v>8.5400000000000009</v>
      </c>
      <c r="U3439" s="154">
        <f t="shared" si="259"/>
        <v>20.927237324879293</v>
      </c>
    </row>
    <row r="3440" spans="1:21" x14ac:dyDescent="0.35">
      <c r="A3440" s="110">
        <v>1797</v>
      </c>
      <c r="B3440" s="110">
        <v>2016</v>
      </c>
      <c r="C3440" s="110" t="s">
        <v>38</v>
      </c>
      <c r="D3440" s="110" t="s">
        <v>143</v>
      </c>
      <c r="E3440" s="110" t="s">
        <v>86</v>
      </c>
      <c r="F3440" s="117">
        <v>846</v>
      </c>
      <c r="G3440" s="110" t="s">
        <v>98</v>
      </c>
      <c r="H3440" s="110" t="str">
        <f t="shared" si="256"/>
        <v>Skykomish River, No. Fork</v>
      </c>
      <c r="I3440" s="110" t="str">
        <f>IFERROR(VLOOKUP(H3440,LUTs!$A$1:$C$73,2,FALSE),"NA")</f>
        <v>Snohomish</v>
      </c>
      <c r="J3440" s="110" t="str">
        <f>IFERROR(VLOOKUP(H3440,LUTs!$A$1:$C$73,3,FALSE),"NA")</f>
        <v>2Central Puget Sound</v>
      </c>
      <c r="K3440" s="110" t="s">
        <v>26</v>
      </c>
      <c r="L3440" s="110" t="str">
        <f>VLOOKUP(K3440,LUTs!E$2:G$14,3,)</f>
        <v>20Other</v>
      </c>
      <c r="M3440" s="110" t="str">
        <f>VLOOKUP($K3440,LUTs!$E$2:$H$14,2,)</f>
        <v>Non Puget Sound</v>
      </c>
      <c r="N3440" s="110" t="str">
        <f>VLOOKUP($K3440,LUTs!$E$2:$H$14,4,)</f>
        <v>07Non Puget Sound</v>
      </c>
      <c r="O3440" s="110">
        <v>9</v>
      </c>
      <c r="P3440" s="110">
        <v>76.86</v>
      </c>
      <c r="Q3440" s="110">
        <f>SUMIFS('FW_Steelhead_by_Month_2010-2021'!Q$2:Q$3810,'FW_Steelhead_by_Month_2010-2021'!$B$2:$B$3810,'Rec_raw_catch_effort_2010-2021'!$B3440,'FW_Steelhead_by_Month_2010-2021'!$H$2:$H$3810,'Rec_raw_catch_effort_2010-2021'!$F3440,'FW_Steelhead_by_Month_2010-2021'!$M$2:$M$3810,'Rec_raw_catch_effort_2010-2021'!$K3440)</f>
        <v>9</v>
      </c>
      <c r="R3440" s="111">
        <f>VLOOKUP(B3440,Readme!$A$62:$C$74,3,)*Q3440</f>
        <v>188.34513592391363</v>
      </c>
      <c r="S3440" s="140" t="str">
        <f t="shared" si="257"/>
        <v>Y</v>
      </c>
      <c r="T3440" s="154">
        <f t="shared" si="258"/>
        <v>8.5399999999999991</v>
      </c>
      <c r="U3440" s="154">
        <f t="shared" si="259"/>
        <v>20.927237324879293</v>
      </c>
    </row>
    <row r="3441" spans="1:21" x14ac:dyDescent="0.35">
      <c r="A3441" s="110">
        <v>1968</v>
      </c>
      <c r="B3441" s="110">
        <v>2017</v>
      </c>
      <c r="C3441" s="110" t="s">
        <v>38</v>
      </c>
      <c r="D3441" s="110" t="s">
        <v>143</v>
      </c>
      <c r="E3441" s="110" t="s">
        <v>86</v>
      </c>
      <c r="F3441" s="117">
        <v>846</v>
      </c>
      <c r="G3441" s="110" t="s">
        <v>98</v>
      </c>
      <c r="H3441" s="110" t="str">
        <f t="shared" si="256"/>
        <v>Skykomish River, No. Fork</v>
      </c>
      <c r="I3441" s="110" t="str">
        <f>IFERROR(VLOOKUP(H3441,LUTs!$A$1:$C$73,2,FALSE),"NA")</f>
        <v>Snohomish</v>
      </c>
      <c r="J3441" s="110" t="str">
        <f>IFERROR(VLOOKUP(H3441,LUTs!$A$1:$C$73,3,FALSE),"NA")</f>
        <v>2Central Puget Sound</v>
      </c>
      <c r="K3441" s="110" t="s">
        <v>18</v>
      </c>
      <c r="L3441" s="110" t="str">
        <f>VLOOKUP(K3441,LUTs!E$2:G$14,3,)</f>
        <v>06King</v>
      </c>
      <c r="M3441" s="110" t="str">
        <f>VLOOKUP($K3441,LUTs!$E$2:$H$14,2,)</f>
        <v>South Puget Sound</v>
      </c>
      <c r="N3441" s="110" t="str">
        <f>VLOOKUP($K3441,LUTs!$E$2:$H$14,4,)</f>
        <v>02South Puget Sound</v>
      </c>
      <c r="O3441" s="110">
        <v>16.6666666666667</v>
      </c>
      <c r="P3441" s="110">
        <v>309.16666666666703</v>
      </c>
      <c r="Q3441" s="110">
        <f>SUMIFS('FW_Steelhead_by_Month_2010-2021'!Q$2:Q$3810,'FW_Steelhead_by_Month_2010-2021'!$B$2:$B$3810,'Rec_raw_catch_effort_2010-2021'!$B3441,'FW_Steelhead_by_Month_2010-2021'!$H$2:$H$3810,'Rec_raw_catch_effort_2010-2021'!$F3441,'FW_Steelhead_by_Month_2010-2021'!$M$2:$M$3810,'Rec_raw_catch_effort_2010-2021'!$K3441)</f>
        <v>4.5</v>
      </c>
      <c r="R3441" s="111">
        <f>VLOOKUP(B3441,Readme!$A$62:$C$74,3,)*Q3441</f>
        <v>94.172567961956815</v>
      </c>
      <c r="S3441" s="140" t="str">
        <f t="shared" si="257"/>
        <v>Y</v>
      </c>
      <c r="T3441" s="154">
        <f t="shared" si="258"/>
        <v>18.549999999999983</v>
      </c>
      <c r="U3441" s="154">
        <f t="shared" si="259"/>
        <v>20.927237324879293</v>
      </c>
    </row>
    <row r="3442" spans="1:21" x14ac:dyDescent="0.35">
      <c r="A3442" s="110">
        <v>1966</v>
      </c>
      <c r="B3442" s="110">
        <v>2017</v>
      </c>
      <c r="C3442" s="110" t="s">
        <v>38</v>
      </c>
      <c r="D3442" s="110" t="s">
        <v>143</v>
      </c>
      <c r="E3442" s="110" t="s">
        <v>86</v>
      </c>
      <c r="F3442" s="117">
        <v>846</v>
      </c>
      <c r="G3442" s="110" t="s">
        <v>98</v>
      </c>
      <c r="H3442" s="110" t="str">
        <f t="shared" si="256"/>
        <v>Skykomish River, No. Fork</v>
      </c>
      <c r="I3442" s="110" t="str">
        <f>IFERROR(VLOOKUP(H3442,LUTs!$A$1:$C$73,2,FALSE),"NA")</f>
        <v>Snohomish</v>
      </c>
      <c r="J3442" s="110" t="str">
        <f>IFERROR(VLOOKUP(H3442,LUTs!$A$1:$C$73,3,FALSE),"NA")</f>
        <v>2Central Puget Sound</v>
      </c>
      <c r="K3442" s="110" t="s">
        <v>15</v>
      </c>
      <c r="L3442" s="110" t="str">
        <f>VLOOKUP(K3442,LUTs!E$2:G$14,3,)</f>
        <v>02Skagit</v>
      </c>
      <c r="M3442" s="110" t="str">
        <f>VLOOKUP($K3442,LUTs!$E$2:$H$14,2,)</f>
        <v>North Puget Sound</v>
      </c>
      <c r="N3442" s="110" t="str">
        <f>VLOOKUP($K3442,LUTs!$E$2:$H$14,4,)</f>
        <v>01North Puget Sound</v>
      </c>
      <c r="O3442" s="110">
        <v>8.3333333333333304</v>
      </c>
      <c r="P3442" s="110">
        <v>154.583333333333</v>
      </c>
      <c r="Q3442" s="110">
        <f>SUMIFS('FW_Steelhead_by_Month_2010-2021'!Q$2:Q$3810,'FW_Steelhead_by_Month_2010-2021'!$B$2:$B$3810,'Rec_raw_catch_effort_2010-2021'!$B3442,'FW_Steelhead_by_Month_2010-2021'!$H$2:$H$3810,'Rec_raw_catch_effort_2010-2021'!$F3442,'FW_Steelhead_by_Month_2010-2021'!$M$2:$M$3810,'Rec_raw_catch_effort_2010-2021'!$K3442)</f>
        <v>4.5</v>
      </c>
      <c r="R3442" s="111">
        <f>VLOOKUP(B3442,Readme!$A$62:$C$74,3,)*Q3442</f>
        <v>94.172567961956815</v>
      </c>
      <c r="S3442" s="140" t="str">
        <f t="shared" si="257"/>
        <v>Y</v>
      </c>
      <c r="T3442" s="154">
        <f t="shared" si="258"/>
        <v>18.549999999999965</v>
      </c>
      <c r="U3442" s="154">
        <f t="shared" si="259"/>
        <v>20.927237324879293</v>
      </c>
    </row>
    <row r="3443" spans="1:21" x14ac:dyDescent="0.35">
      <c r="A3443" s="110">
        <v>1967</v>
      </c>
      <c r="B3443" s="110">
        <v>2017</v>
      </c>
      <c r="C3443" s="110" t="s">
        <v>38</v>
      </c>
      <c r="D3443" s="110" t="s">
        <v>143</v>
      </c>
      <c r="E3443" s="110" t="s">
        <v>86</v>
      </c>
      <c r="F3443" s="117">
        <v>846</v>
      </c>
      <c r="G3443" s="110" t="s">
        <v>98</v>
      </c>
      <c r="H3443" s="110" t="str">
        <f t="shared" si="256"/>
        <v>Skykomish River, No. Fork</v>
      </c>
      <c r="I3443" s="110" t="str">
        <f>IFERROR(VLOOKUP(H3443,LUTs!$A$1:$C$73,2,FALSE),"NA")</f>
        <v>Snohomish</v>
      </c>
      <c r="J3443" s="110" t="str">
        <f>IFERROR(VLOOKUP(H3443,LUTs!$A$1:$C$73,3,FALSE),"NA")</f>
        <v>2Central Puget Sound</v>
      </c>
      <c r="K3443" s="110" t="s">
        <v>16</v>
      </c>
      <c r="L3443" s="110" t="str">
        <f>VLOOKUP(K3443,LUTs!E$2:G$14,3,)</f>
        <v>03Snohomish</v>
      </c>
      <c r="M3443" s="110" t="str">
        <f>VLOOKUP($K3443,LUTs!$E$2:$H$14,2,)</f>
        <v>North Puget Sound</v>
      </c>
      <c r="N3443" s="110" t="str">
        <f>VLOOKUP($K3443,LUTs!$E$2:$H$14,4,)</f>
        <v>01North Puget Sound</v>
      </c>
      <c r="O3443" s="110">
        <v>25</v>
      </c>
      <c r="P3443" s="110">
        <v>463.75</v>
      </c>
      <c r="Q3443" s="110">
        <f>SUMIFS('FW_Steelhead_by_Month_2010-2021'!Q$2:Q$3810,'FW_Steelhead_by_Month_2010-2021'!$B$2:$B$3810,'Rec_raw_catch_effort_2010-2021'!$B3443,'FW_Steelhead_by_Month_2010-2021'!$H$2:$H$3810,'Rec_raw_catch_effort_2010-2021'!$F3443,'FW_Steelhead_by_Month_2010-2021'!$M$2:$M$3810,'Rec_raw_catch_effort_2010-2021'!$K3443)</f>
        <v>12</v>
      </c>
      <c r="R3443" s="111">
        <f>VLOOKUP(B3443,Readme!$A$62:$C$74,3,)*Q3443</f>
        <v>251.12684789855152</v>
      </c>
      <c r="S3443" s="140" t="str">
        <f t="shared" si="257"/>
        <v>Y</v>
      </c>
      <c r="T3443" s="154">
        <f t="shared" si="258"/>
        <v>18.55</v>
      </c>
      <c r="U3443" s="154">
        <f t="shared" si="259"/>
        <v>20.927237324879293</v>
      </c>
    </row>
    <row r="3444" spans="1:21" x14ac:dyDescent="0.35">
      <c r="A3444" s="110">
        <v>2108</v>
      </c>
      <c r="B3444" s="110">
        <v>2018</v>
      </c>
      <c r="C3444" s="110" t="s">
        <v>38</v>
      </c>
      <c r="D3444" s="110" t="s">
        <v>143</v>
      </c>
      <c r="E3444" s="110" t="s">
        <v>86</v>
      </c>
      <c r="F3444" s="117">
        <v>846</v>
      </c>
      <c r="G3444" s="110" t="s">
        <v>98</v>
      </c>
      <c r="H3444" s="110" t="str">
        <f t="shared" si="256"/>
        <v>Skykomish River, No. Fork</v>
      </c>
      <c r="I3444" s="110" t="str">
        <f>IFERROR(VLOOKUP(H3444,LUTs!$A$1:$C$73,2,FALSE),"NA")</f>
        <v>Snohomish</v>
      </c>
      <c r="J3444" s="110" t="str">
        <f>IFERROR(VLOOKUP(H3444,LUTs!$A$1:$C$73,3,FALSE),"NA")</f>
        <v>2Central Puget Sound</v>
      </c>
      <c r="K3444" s="110" t="s">
        <v>18</v>
      </c>
      <c r="L3444" s="110" t="str">
        <f>VLOOKUP(K3444,LUTs!E$2:G$14,3,)</f>
        <v>06King</v>
      </c>
      <c r="M3444" s="110" t="str">
        <f>VLOOKUP($K3444,LUTs!$E$2:$H$14,2,)</f>
        <v>South Puget Sound</v>
      </c>
      <c r="N3444" s="110" t="str">
        <f>VLOOKUP($K3444,LUTs!$E$2:$H$14,4,)</f>
        <v>02South Puget Sound</v>
      </c>
      <c r="O3444" s="110">
        <v>154.95652173913001</v>
      </c>
      <c r="P3444" s="110">
        <v>1323.3286956521699</v>
      </c>
      <c r="Q3444" s="110">
        <f>SUMIFS('FW_Steelhead_by_Month_2010-2021'!Q$2:Q$3810,'FW_Steelhead_by_Month_2010-2021'!$B$2:$B$3810,'Rec_raw_catch_effort_2010-2021'!$B3444,'FW_Steelhead_by_Month_2010-2021'!$H$2:$H$3810,'Rec_raw_catch_effort_2010-2021'!$F3444,'FW_Steelhead_by_Month_2010-2021'!$M$2:$M$3810,'Rec_raw_catch_effort_2010-2021'!$K3444)</f>
        <v>81.46153846153851</v>
      </c>
      <c r="R3444" s="111">
        <f>VLOOKUP(B3444,Readme!$A$62:$C$74,3,)*Q3444</f>
        <v>1704.7649482343988</v>
      </c>
      <c r="S3444" s="140" t="str">
        <f t="shared" si="257"/>
        <v>Y</v>
      </c>
      <c r="T3444" s="154">
        <f t="shared" si="258"/>
        <v>8.5399999999999974</v>
      </c>
      <c r="U3444" s="154">
        <f t="shared" si="259"/>
        <v>20.927237324879293</v>
      </c>
    </row>
    <row r="3445" spans="1:21" x14ac:dyDescent="0.35">
      <c r="A3445" s="110">
        <v>2107</v>
      </c>
      <c r="B3445" s="110">
        <v>2018</v>
      </c>
      <c r="C3445" s="110" t="s">
        <v>38</v>
      </c>
      <c r="D3445" s="110" t="s">
        <v>143</v>
      </c>
      <c r="E3445" s="110" t="s">
        <v>86</v>
      </c>
      <c r="F3445" s="117">
        <v>846</v>
      </c>
      <c r="G3445" s="110" t="s">
        <v>98</v>
      </c>
      <c r="H3445" s="110" t="str">
        <f t="shared" si="256"/>
        <v>Skykomish River, No. Fork</v>
      </c>
      <c r="I3445" s="110" t="str">
        <f>IFERROR(VLOOKUP(H3445,LUTs!$A$1:$C$73,2,FALSE),"NA")</f>
        <v>Snohomish</v>
      </c>
      <c r="J3445" s="110" t="str">
        <f>IFERROR(VLOOKUP(H3445,LUTs!$A$1:$C$73,3,FALSE),"NA")</f>
        <v>2Central Puget Sound</v>
      </c>
      <c r="K3445" s="110" t="s">
        <v>16</v>
      </c>
      <c r="L3445" s="110" t="str">
        <f>VLOOKUP(K3445,LUTs!E$2:G$14,3,)</f>
        <v>03Snohomish</v>
      </c>
      <c r="M3445" s="110" t="str">
        <f>VLOOKUP($K3445,LUTs!$E$2:$H$14,2,)</f>
        <v>North Puget Sound</v>
      </c>
      <c r="N3445" s="110" t="str">
        <f>VLOOKUP($K3445,LUTs!$E$2:$H$14,4,)</f>
        <v>01North Puget Sound</v>
      </c>
      <c r="O3445" s="110">
        <v>7.0434782608695699</v>
      </c>
      <c r="P3445" s="110">
        <v>60.151304347826098</v>
      </c>
      <c r="Q3445" s="110">
        <f>SUMIFS('FW_Steelhead_by_Month_2010-2021'!Q$2:Q$3810,'FW_Steelhead_by_Month_2010-2021'!$B$2:$B$3810,'Rec_raw_catch_effort_2010-2021'!$B3445,'FW_Steelhead_by_Month_2010-2021'!$H$2:$H$3810,'Rec_raw_catch_effort_2010-2021'!$F3445,'FW_Steelhead_by_Month_2010-2021'!$M$2:$M$3810,'Rec_raw_catch_effort_2010-2021'!$K3445)</f>
        <v>3.5384615384615401</v>
      </c>
      <c r="R3445" s="111">
        <f>VLOOKUP(B3445,Readme!$A$62:$C$74,3,)*Q3445</f>
        <v>74.050224380342144</v>
      </c>
      <c r="S3445" s="140" t="str">
        <f t="shared" si="257"/>
        <v>Y</v>
      </c>
      <c r="T3445" s="154">
        <f t="shared" si="258"/>
        <v>8.5399999999999956</v>
      </c>
      <c r="U3445" s="154">
        <f t="shared" si="259"/>
        <v>20.927237324879293</v>
      </c>
    </row>
    <row r="3446" spans="1:21" x14ac:dyDescent="0.35">
      <c r="A3446" s="110">
        <v>2366</v>
      </c>
      <c r="B3446" s="110">
        <v>2020</v>
      </c>
      <c r="C3446" s="110" t="s">
        <v>38</v>
      </c>
      <c r="D3446" s="110" t="s">
        <v>143</v>
      </c>
      <c r="E3446" s="110" t="s">
        <v>86</v>
      </c>
      <c r="F3446" s="117">
        <v>846</v>
      </c>
      <c r="G3446" s="110" t="s">
        <v>98</v>
      </c>
      <c r="H3446" s="110" t="str">
        <f t="shared" si="256"/>
        <v>Skykomish River, No. Fork</v>
      </c>
      <c r="I3446" s="110" t="str">
        <f>IFERROR(VLOOKUP(H3446,LUTs!$A$1:$C$73,2,FALSE),"NA")</f>
        <v>Snohomish</v>
      </c>
      <c r="J3446" s="110" t="str">
        <f>IFERROR(VLOOKUP(H3446,LUTs!$A$1:$C$73,3,FALSE),"NA")</f>
        <v>2Central Puget Sound</v>
      </c>
      <c r="K3446" s="110" t="s">
        <v>16</v>
      </c>
      <c r="L3446" s="110" t="str">
        <f>VLOOKUP(K3446,LUTs!E$2:G$14,3,)</f>
        <v>03Snohomish</v>
      </c>
      <c r="M3446" s="110" t="str">
        <f>VLOOKUP($K3446,LUTs!$E$2:$H$14,2,)</f>
        <v>North Puget Sound</v>
      </c>
      <c r="N3446" s="110" t="str">
        <f>VLOOKUP($K3446,LUTs!$E$2:$H$14,4,)</f>
        <v>01North Puget Sound</v>
      </c>
      <c r="O3446" s="110">
        <v>66</v>
      </c>
      <c r="P3446" s="110">
        <v>563.64</v>
      </c>
      <c r="Q3446" s="110">
        <f>SUMIFS('FW_Steelhead_by_Month_2010-2021'!Q$2:Q$3810,'FW_Steelhead_by_Month_2010-2021'!$B$2:$B$3810,'Rec_raw_catch_effort_2010-2021'!$B3446,'FW_Steelhead_by_Month_2010-2021'!$H$2:$H$3810,'Rec_raw_catch_effort_2010-2021'!$F3446,'FW_Steelhead_by_Month_2010-2021'!$M$2:$M$3810,'Rec_raw_catch_effort_2010-2021'!$K3446)</f>
        <v>33</v>
      </c>
      <c r="R3446" s="111">
        <f>VLOOKUP(B3446,Readme!$A$62:$C$74,3,)*Q3446</f>
        <v>690.59883172101672</v>
      </c>
      <c r="S3446" s="140" t="str">
        <f t="shared" si="257"/>
        <v>N</v>
      </c>
      <c r="T3446" s="154">
        <f t="shared" si="258"/>
        <v>8.5399999999999991</v>
      </c>
      <c r="U3446" s="154">
        <f t="shared" si="259"/>
        <v>20.927237324879293</v>
      </c>
    </row>
    <row r="3447" spans="1:21" x14ac:dyDescent="0.35">
      <c r="A3447" s="110">
        <v>50</v>
      </c>
      <c r="B3447" s="110">
        <v>2010</v>
      </c>
      <c r="C3447" s="110" t="s">
        <v>38</v>
      </c>
      <c r="D3447" s="110" t="s">
        <v>143</v>
      </c>
      <c r="E3447" s="110" t="s">
        <v>86</v>
      </c>
      <c r="F3447" s="117">
        <v>848</v>
      </c>
      <c r="G3447" s="110" t="s">
        <v>99</v>
      </c>
      <c r="H3447" s="110" t="str">
        <f t="shared" si="256"/>
        <v>Skykomish River, So. Fork</v>
      </c>
      <c r="I3447" s="110" t="str">
        <f>IFERROR(VLOOKUP(H3447,LUTs!$A$1:$C$73,2,FALSE),"NA")</f>
        <v>Snohomish/King</v>
      </c>
      <c r="J3447" s="110" t="str">
        <f>IFERROR(VLOOKUP(H3447,LUTs!$A$1:$C$73,3,FALSE),"NA")</f>
        <v>2Central Puget Sound</v>
      </c>
      <c r="K3447" s="110" t="s">
        <v>18</v>
      </c>
      <c r="L3447" s="110" t="str">
        <f>VLOOKUP(K3447,LUTs!E$2:G$14,3,)</f>
        <v>06King</v>
      </c>
      <c r="M3447" s="110" t="str">
        <f>VLOOKUP($K3447,LUTs!$E$2:$H$14,2,)</f>
        <v>South Puget Sound</v>
      </c>
      <c r="N3447" s="110" t="str">
        <f>VLOOKUP($K3447,LUTs!$E$2:$H$14,4,)</f>
        <v>02South Puget Sound</v>
      </c>
      <c r="O3447" s="110">
        <v>5.3333333333333304</v>
      </c>
      <c r="P3447" s="110">
        <v>45.546666666666603</v>
      </c>
      <c r="Q3447" s="110">
        <f>SUMIFS('FW_Steelhead_by_Month_2010-2021'!Q$2:Q$3810,'FW_Steelhead_by_Month_2010-2021'!$B$2:$B$3810,'Rec_raw_catch_effort_2010-2021'!$B3447,'FW_Steelhead_by_Month_2010-2021'!$H$2:$H$3810,'Rec_raw_catch_effort_2010-2021'!$F3447,'FW_Steelhead_by_Month_2010-2021'!$M$2:$M$3810,'Rec_raw_catch_effort_2010-2021'!$K3447)</f>
        <v>6</v>
      </c>
      <c r="R3447" s="111">
        <f>VLOOKUP(B3447,Readme!$A$62:$C$74,3,)*Q3447</f>
        <v>125.56342394927576</v>
      </c>
      <c r="S3447" s="140" t="str">
        <f t="shared" si="257"/>
        <v>Y</v>
      </c>
      <c r="T3447" s="154">
        <f t="shared" si="258"/>
        <v>8.539999999999992</v>
      </c>
      <c r="U3447" s="154">
        <f t="shared" si="259"/>
        <v>20.927237324879293</v>
      </c>
    </row>
    <row r="3448" spans="1:21" x14ac:dyDescent="0.35">
      <c r="A3448" s="110">
        <v>52</v>
      </c>
      <c r="B3448" s="110">
        <v>2010</v>
      </c>
      <c r="C3448" s="110" t="s">
        <v>38</v>
      </c>
      <c r="D3448" s="110" t="s">
        <v>143</v>
      </c>
      <c r="E3448" s="110" t="s">
        <v>86</v>
      </c>
      <c r="F3448" s="117">
        <v>848</v>
      </c>
      <c r="G3448" s="110" t="s">
        <v>99</v>
      </c>
      <c r="H3448" s="110" t="str">
        <f t="shared" si="256"/>
        <v>Skykomish River, So. Fork</v>
      </c>
      <c r="I3448" s="110" t="str">
        <f>IFERROR(VLOOKUP(H3448,LUTs!$A$1:$C$73,2,FALSE),"NA")</f>
        <v>Snohomish/King</v>
      </c>
      <c r="J3448" s="110" t="str">
        <f>IFERROR(VLOOKUP(H3448,LUTs!$A$1:$C$73,3,FALSE),"NA")</f>
        <v>2Central Puget Sound</v>
      </c>
      <c r="K3448" s="110" t="s">
        <v>26</v>
      </c>
      <c r="L3448" s="110" t="str">
        <f>VLOOKUP(K3448,LUTs!E$2:G$14,3,)</f>
        <v>20Other</v>
      </c>
      <c r="M3448" s="110" t="str">
        <f>VLOOKUP($K3448,LUTs!$E$2:$H$14,2,)</f>
        <v>Non Puget Sound</v>
      </c>
      <c r="N3448" s="110" t="str">
        <f>VLOOKUP($K3448,LUTs!$E$2:$H$14,4,)</f>
        <v>07Non Puget Sound</v>
      </c>
      <c r="O3448" s="110">
        <v>2.6666666666666701</v>
      </c>
      <c r="P3448" s="110">
        <v>22.773333333333401</v>
      </c>
      <c r="Q3448" s="110">
        <f>SUMIFS('FW_Steelhead_by_Month_2010-2021'!Q$2:Q$3810,'FW_Steelhead_by_Month_2010-2021'!$B$2:$B$3810,'Rec_raw_catch_effort_2010-2021'!$B3448,'FW_Steelhead_by_Month_2010-2021'!$H$2:$H$3810,'Rec_raw_catch_effort_2010-2021'!$F3448,'FW_Steelhead_by_Month_2010-2021'!$M$2:$M$3810,'Rec_raw_catch_effort_2010-2021'!$K3448)</f>
        <v>2.3333333333333299</v>
      </c>
      <c r="R3448" s="111">
        <f>VLOOKUP(B3448,Readme!$A$62:$C$74,3,)*Q3448</f>
        <v>48.830220424718277</v>
      </c>
      <c r="S3448" s="140" t="str">
        <f t="shared" si="257"/>
        <v>Y</v>
      </c>
      <c r="T3448" s="154">
        <f t="shared" si="258"/>
        <v>8.5400000000000151</v>
      </c>
      <c r="U3448" s="154">
        <f t="shared" si="259"/>
        <v>20.927237324879293</v>
      </c>
    </row>
    <row r="3449" spans="1:21" x14ac:dyDescent="0.35">
      <c r="A3449" s="110">
        <v>51</v>
      </c>
      <c r="B3449" s="110">
        <v>2010</v>
      </c>
      <c r="C3449" s="110" t="s">
        <v>38</v>
      </c>
      <c r="D3449" s="110" t="s">
        <v>143</v>
      </c>
      <c r="E3449" s="110" t="s">
        <v>86</v>
      </c>
      <c r="F3449" s="117">
        <v>848</v>
      </c>
      <c r="G3449" s="110" t="s">
        <v>99</v>
      </c>
      <c r="H3449" s="110" t="str">
        <f t="shared" si="256"/>
        <v>Skykomish River, So. Fork</v>
      </c>
      <c r="I3449" s="110" t="str">
        <f>IFERROR(VLOOKUP(H3449,LUTs!$A$1:$C$73,2,FALSE),"NA")</f>
        <v>Snohomish/King</v>
      </c>
      <c r="J3449" s="110" t="str">
        <f>IFERROR(VLOOKUP(H3449,LUTs!$A$1:$C$73,3,FALSE),"NA")</f>
        <v>2Central Puget Sound</v>
      </c>
      <c r="K3449" s="110" t="s">
        <v>20</v>
      </c>
      <c r="L3449" s="110" t="str">
        <f>VLOOKUP(K3449,LUTs!E$2:G$14,3,)</f>
        <v>07Pierce</v>
      </c>
      <c r="M3449" s="110" t="str">
        <f>VLOOKUP($K3449,LUTs!$E$2:$H$14,2,)</f>
        <v>South Puget Sound</v>
      </c>
      <c r="N3449" s="110" t="str">
        <f>VLOOKUP($K3449,LUTs!$E$2:$H$14,4,)</f>
        <v>02South Puget Sound</v>
      </c>
      <c r="O3449" s="110">
        <v>5.3333333333333304</v>
      </c>
      <c r="P3449" s="110">
        <v>45.546666666666603</v>
      </c>
      <c r="Q3449" s="110">
        <f>SUMIFS('FW_Steelhead_by_Month_2010-2021'!Q$2:Q$3810,'FW_Steelhead_by_Month_2010-2021'!$B$2:$B$3810,'Rec_raw_catch_effort_2010-2021'!$B3449,'FW_Steelhead_by_Month_2010-2021'!$H$2:$H$3810,'Rec_raw_catch_effort_2010-2021'!$F3449,'FW_Steelhead_by_Month_2010-2021'!$M$2:$M$3810,'Rec_raw_catch_effort_2010-2021'!$K3449)</f>
        <v>6</v>
      </c>
      <c r="R3449" s="111">
        <f>VLOOKUP(B3449,Readme!$A$62:$C$74,3,)*Q3449</f>
        <v>125.56342394927576</v>
      </c>
      <c r="S3449" s="140" t="str">
        <f t="shared" si="257"/>
        <v>Y</v>
      </c>
      <c r="T3449" s="154">
        <f t="shared" si="258"/>
        <v>8.539999999999992</v>
      </c>
      <c r="U3449" s="154">
        <f t="shared" si="259"/>
        <v>20.927237324879293</v>
      </c>
    </row>
    <row r="3450" spans="1:21" x14ac:dyDescent="0.35">
      <c r="A3450" s="110">
        <v>49</v>
      </c>
      <c r="B3450" s="110">
        <v>2010</v>
      </c>
      <c r="C3450" s="110" t="s">
        <v>38</v>
      </c>
      <c r="D3450" s="110" t="s">
        <v>143</v>
      </c>
      <c r="E3450" s="110" t="s">
        <v>86</v>
      </c>
      <c r="F3450" s="117">
        <v>848</v>
      </c>
      <c r="G3450" s="110" t="s">
        <v>99</v>
      </c>
      <c r="H3450" s="110" t="str">
        <f t="shared" si="256"/>
        <v>Skykomish River, So. Fork</v>
      </c>
      <c r="I3450" s="110" t="str">
        <f>IFERROR(VLOOKUP(H3450,LUTs!$A$1:$C$73,2,FALSE),"NA")</f>
        <v>Snohomish/King</v>
      </c>
      <c r="J3450" s="110" t="str">
        <f>IFERROR(VLOOKUP(H3450,LUTs!$A$1:$C$73,3,FALSE),"NA")</f>
        <v>2Central Puget Sound</v>
      </c>
      <c r="K3450" s="110" t="s">
        <v>16</v>
      </c>
      <c r="L3450" s="110" t="str">
        <f>VLOOKUP(K3450,LUTs!E$2:G$14,3,)</f>
        <v>03Snohomish</v>
      </c>
      <c r="M3450" s="110" t="str">
        <f>VLOOKUP($K3450,LUTs!$E$2:$H$14,2,)</f>
        <v>North Puget Sound</v>
      </c>
      <c r="N3450" s="110" t="str">
        <f>VLOOKUP($K3450,LUTs!$E$2:$H$14,4,)</f>
        <v>01North Puget Sound</v>
      </c>
      <c r="O3450" s="110">
        <v>10.6666666666667</v>
      </c>
      <c r="P3450" s="110">
        <v>91.093333333333604</v>
      </c>
      <c r="Q3450" s="110">
        <f>SUMIFS('FW_Steelhead_by_Month_2010-2021'!Q$2:Q$3810,'FW_Steelhead_by_Month_2010-2021'!$B$2:$B$3810,'Rec_raw_catch_effort_2010-2021'!$B3450,'FW_Steelhead_by_Month_2010-2021'!$H$2:$H$3810,'Rec_raw_catch_effort_2010-2021'!$F3450,'FW_Steelhead_by_Month_2010-2021'!$M$2:$M$3810,'Rec_raw_catch_effort_2010-2021'!$K3450)</f>
        <v>7.6666666666666696</v>
      </c>
      <c r="R3450" s="111">
        <f>VLOOKUP(B3450,Readme!$A$62:$C$74,3,)*Q3450</f>
        <v>160.44215282407464</v>
      </c>
      <c r="S3450" s="140" t="str">
        <f t="shared" si="257"/>
        <v>Y</v>
      </c>
      <c r="T3450" s="154">
        <f t="shared" si="258"/>
        <v>8.5399999999999991</v>
      </c>
      <c r="U3450" s="154">
        <f t="shared" si="259"/>
        <v>20.927237324879293</v>
      </c>
    </row>
    <row r="3451" spans="1:21" x14ac:dyDescent="0.35">
      <c r="A3451" s="110">
        <v>61</v>
      </c>
      <c r="B3451" s="110">
        <v>2011</v>
      </c>
      <c r="C3451" s="110" t="s">
        <v>38</v>
      </c>
      <c r="D3451" s="110" t="s">
        <v>143</v>
      </c>
      <c r="E3451" s="110" t="s">
        <v>86</v>
      </c>
      <c r="F3451" s="117">
        <v>848</v>
      </c>
      <c r="G3451" s="110" t="s">
        <v>99</v>
      </c>
      <c r="H3451" s="110" t="str">
        <f t="shared" si="256"/>
        <v>Skykomish River, So. Fork</v>
      </c>
      <c r="I3451" s="110" t="str">
        <f>IFERROR(VLOOKUP(H3451,LUTs!$A$1:$C$73,2,FALSE),"NA")</f>
        <v>Snohomish/King</v>
      </c>
      <c r="J3451" s="110" t="str">
        <f>IFERROR(VLOOKUP(H3451,LUTs!$A$1:$C$73,3,FALSE),"NA")</f>
        <v>2Central Puget Sound</v>
      </c>
      <c r="K3451" s="110" t="s">
        <v>18</v>
      </c>
      <c r="L3451" s="110" t="str">
        <f>VLOOKUP(K3451,LUTs!E$2:G$14,3,)</f>
        <v>06King</v>
      </c>
      <c r="M3451" s="110" t="str">
        <f>VLOOKUP($K3451,LUTs!$E$2:$H$14,2,)</f>
        <v>South Puget Sound</v>
      </c>
      <c r="N3451" s="110" t="str">
        <f>VLOOKUP($K3451,LUTs!$E$2:$H$14,4,)</f>
        <v>02South Puget Sound</v>
      </c>
      <c r="O3451" s="110">
        <v>3</v>
      </c>
      <c r="P3451" s="110">
        <v>55.65</v>
      </c>
      <c r="Q3451" s="110">
        <f>SUMIFS('FW_Steelhead_by_Month_2010-2021'!Q$2:Q$3810,'FW_Steelhead_by_Month_2010-2021'!$B$2:$B$3810,'Rec_raw_catch_effort_2010-2021'!$B3451,'FW_Steelhead_by_Month_2010-2021'!$H$2:$H$3810,'Rec_raw_catch_effort_2010-2021'!$F3451,'FW_Steelhead_by_Month_2010-2021'!$M$2:$M$3810,'Rec_raw_catch_effort_2010-2021'!$K3451)</f>
        <v>3</v>
      </c>
      <c r="R3451" s="111">
        <f>VLOOKUP(B3451,Readme!$A$62:$C$74,3,)*Q3451</f>
        <v>62.781711974637879</v>
      </c>
      <c r="S3451" s="140" t="str">
        <f t="shared" si="257"/>
        <v>Y</v>
      </c>
      <c r="T3451" s="154">
        <f t="shared" si="258"/>
        <v>18.55</v>
      </c>
      <c r="U3451" s="154">
        <f t="shared" si="259"/>
        <v>20.927237324879293</v>
      </c>
    </row>
    <row r="3452" spans="1:21" x14ac:dyDescent="0.35">
      <c r="A3452" s="110">
        <v>62</v>
      </c>
      <c r="B3452" s="110">
        <v>2011</v>
      </c>
      <c r="C3452" s="110" t="s">
        <v>38</v>
      </c>
      <c r="D3452" s="110" t="s">
        <v>143</v>
      </c>
      <c r="E3452" s="110" t="s">
        <v>86</v>
      </c>
      <c r="F3452" s="117">
        <v>848</v>
      </c>
      <c r="G3452" s="110" t="s">
        <v>99</v>
      </c>
      <c r="H3452" s="110" t="str">
        <f t="shared" si="256"/>
        <v>Skykomish River, So. Fork</v>
      </c>
      <c r="I3452" s="110" t="str">
        <f>IFERROR(VLOOKUP(H3452,LUTs!$A$1:$C$73,2,FALSE),"NA")</f>
        <v>Snohomish/King</v>
      </c>
      <c r="J3452" s="110" t="str">
        <f>IFERROR(VLOOKUP(H3452,LUTs!$A$1:$C$73,3,FALSE),"NA")</f>
        <v>2Central Puget Sound</v>
      </c>
      <c r="K3452" s="110" t="s">
        <v>20</v>
      </c>
      <c r="L3452" s="110" t="str">
        <f>VLOOKUP(K3452,LUTs!E$2:G$14,3,)</f>
        <v>07Pierce</v>
      </c>
      <c r="M3452" s="110" t="str">
        <f>VLOOKUP($K3452,LUTs!$E$2:$H$14,2,)</f>
        <v>South Puget Sound</v>
      </c>
      <c r="N3452" s="110" t="str">
        <f>VLOOKUP($K3452,LUTs!$E$2:$H$14,4,)</f>
        <v>02South Puget Sound</v>
      </c>
      <c r="O3452" s="110">
        <v>3</v>
      </c>
      <c r="P3452" s="110">
        <v>55.65</v>
      </c>
      <c r="Q3452" s="110">
        <f>SUMIFS('FW_Steelhead_by_Month_2010-2021'!Q$2:Q$3810,'FW_Steelhead_by_Month_2010-2021'!$B$2:$B$3810,'Rec_raw_catch_effort_2010-2021'!$B3452,'FW_Steelhead_by_Month_2010-2021'!$H$2:$H$3810,'Rec_raw_catch_effort_2010-2021'!$F3452,'FW_Steelhead_by_Month_2010-2021'!$M$2:$M$3810,'Rec_raw_catch_effort_2010-2021'!$K3452)</f>
        <v>3</v>
      </c>
      <c r="R3452" s="111">
        <f>VLOOKUP(B3452,Readme!$A$62:$C$74,3,)*Q3452</f>
        <v>62.781711974637879</v>
      </c>
      <c r="S3452" s="140" t="str">
        <f t="shared" si="257"/>
        <v>Y</v>
      </c>
      <c r="T3452" s="154">
        <f t="shared" si="258"/>
        <v>18.55</v>
      </c>
      <c r="U3452" s="154">
        <f t="shared" si="259"/>
        <v>20.927237324879293</v>
      </c>
    </row>
    <row r="3453" spans="1:21" x14ac:dyDescent="0.35">
      <c r="A3453" s="110">
        <v>60</v>
      </c>
      <c r="B3453" s="110">
        <v>2011</v>
      </c>
      <c r="C3453" s="110" t="s">
        <v>38</v>
      </c>
      <c r="D3453" s="110" t="s">
        <v>143</v>
      </c>
      <c r="E3453" s="110" t="s">
        <v>86</v>
      </c>
      <c r="F3453" s="117">
        <v>848</v>
      </c>
      <c r="G3453" s="110" t="s">
        <v>99</v>
      </c>
      <c r="H3453" s="110" t="str">
        <f t="shared" si="256"/>
        <v>Skykomish River, So. Fork</v>
      </c>
      <c r="I3453" s="110" t="str">
        <f>IFERROR(VLOOKUP(H3453,LUTs!$A$1:$C$73,2,FALSE),"NA")</f>
        <v>Snohomish/King</v>
      </c>
      <c r="J3453" s="110" t="str">
        <f>IFERROR(VLOOKUP(H3453,LUTs!$A$1:$C$73,3,FALSE),"NA")</f>
        <v>2Central Puget Sound</v>
      </c>
      <c r="K3453" s="110" t="s">
        <v>16</v>
      </c>
      <c r="L3453" s="110" t="str">
        <f>VLOOKUP(K3453,LUTs!E$2:G$14,3,)</f>
        <v>03Snohomish</v>
      </c>
      <c r="M3453" s="110" t="str">
        <f>VLOOKUP($K3453,LUTs!$E$2:$H$14,2,)</f>
        <v>North Puget Sound</v>
      </c>
      <c r="N3453" s="110" t="str">
        <f>VLOOKUP($K3453,LUTs!$E$2:$H$14,4,)</f>
        <v>01North Puget Sound</v>
      </c>
      <c r="O3453" s="110">
        <v>3</v>
      </c>
      <c r="P3453" s="110">
        <v>55.65</v>
      </c>
      <c r="Q3453" s="110">
        <f>SUMIFS('FW_Steelhead_by_Month_2010-2021'!Q$2:Q$3810,'FW_Steelhead_by_Month_2010-2021'!$B$2:$B$3810,'Rec_raw_catch_effort_2010-2021'!$B3453,'FW_Steelhead_by_Month_2010-2021'!$H$2:$H$3810,'Rec_raw_catch_effort_2010-2021'!$F3453,'FW_Steelhead_by_Month_2010-2021'!$M$2:$M$3810,'Rec_raw_catch_effort_2010-2021'!$K3453)</f>
        <v>2</v>
      </c>
      <c r="R3453" s="111">
        <f>VLOOKUP(B3453,Readme!$A$62:$C$74,3,)*Q3453</f>
        <v>41.854474649758586</v>
      </c>
      <c r="S3453" s="140" t="str">
        <f t="shared" si="257"/>
        <v>Y</v>
      </c>
      <c r="T3453" s="154">
        <f t="shared" si="258"/>
        <v>18.55</v>
      </c>
      <c r="U3453" s="154">
        <f t="shared" si="259"/>
        <v>20.927237324879293</v>
      </c>
    </row>
    <row r="3454" spans="1:21" x14ac:dyDescent="0.35">
      <c r="A3454" s="110">
        <v>148</v>
      </c>
      <c r="B3454" s="110">
        <v>2012</v>
      </c>
      <c r="C3454" s="110" t="s">
        <v>38</v>
      </c>
      <c r="D3454" s="110" t="s">
        <v>143</v>
      </c>
      <c r="E3454" s="110" t="s">
        <v>86</v>
      </c>
      <c r="F3454" s="117">
        <v>848</v>
      </c>
      <c r="G3454" s="110" t="s">
        <v>99</v>
      </c>
      <c r="H3454" s="110" t="str">
        <f t="shared" si="256"/>
        <v>Skykomish River, So. Fork</v>
      </c>
      <c r="I3454" s="110" t="str">
        <f>IFERROR(VLOOKUP(H3454,LUTs!$A$1:$C$73,2,FALSE),"NA")</f>
        <v>Snohomish/King</v>
      </c>
      <c r="J3454" s="110" t="str">
        <f>IFERROR(VLOOKUP(H3454,LUTs!$A$1:$C$73,3,FALSE),"NA")</f>
        <v>2Central Puget Sound</v>
      </c>
      <c r="K3454" s="110" t="s">
        <v>18</v>
      </c>
      <c r="L3454" s="110" t="str">
        <f>VLOOKUP(K3454,LUTs!E$2:G$14,3,)</f>
        <v>06King</v>
      </c>
      <c r="M3454" s="110" t="str">
        <f>VLOOKUP($K3454,LUTs!$E$2:$H$14,2,)</f>
        <v>South Puget Sound</v>
      </c>
      <c r="N3454" s="110" t="str">
        <f>VLOOKUP($K3454,LUTs!$E$2:$H$14,4,)</f>
        <v>02South Puget Sound</v>
      </c>
      <c r="O3454" s="110">
        <v>6</v>
      </c>
      <c r="P3454" s="110">
        <v>51.24</v>
      </c>
      <c r="Q3454" s="110">
        <f>SUMIFS('FW_Steelhead_by_Month_2010-2021'!Q$2:Q$3810,'FW_Steelhead_by_Month_2010-2021'!$B$2:$B$3810,'Rec_raw_catch_effort_2010-2021'!$B3454,'FW_Steelhead_by_Month_2010-2021'!$H$2:$H$3810,'Rec_raw_catch_effort_2010-2021'!$F3454,'FW_Steelhead_by_Month_2010-2021'!$M$2:$M$3810,'Rec_raw_catch_effort_2010-2021'!$K3454)</f>
        <v>6</v>
      </c>
      <c r="R3454" s="111">
        <f>VLOOKUP(B3454,Readme!$A$62:$C$74,3,)*Q3454</f>
        <v>125.56342394927576</v>
      </c>
      <c r="S3454" s="140" t="str">
        <f t="shared" si="257"/>
        <v>Y</v>
      </c>
      <c r="T3454" s="154">
        <f t="shared" si="258"/>
        <v>8.5400000000000009</v>
      </c>
      <c r="U3454" s="154">
        <f t="shared" si="259"/>
        <v>20.927237324879293</v>
      </c>
    </row>
    <row r="3455" spans="1:21" x14ac:dyDescent="0.35">
      <c r="A3455" s="110">
        <v>149</v>
      </c>
      <c r="B3455" s="110">
        <v>2012</v>
      </c>
      <c r="C3455" s="110" t="s">
        <v>38</v>
      </c>
      <c r="D3455" s="110" t="s">
        <v>143</v>
      </c>
      <c r="E3455" s="110" t="s">
        <v>86</v>
      </c>
      <c r="F3455" s="117">
        <v>848</v>
      </c>
      <c r="G3455" s="110" t="s">
        <v>99</v>
      </c>
      <c r="H3455" s="110" t="str">
        <f t="shared" si="256"/>
        <v>Skykomish River, So. Fork</v>
      </c>
      <c r="I3455" s="110" t="str">
        <f>IFERROR(VLOOKUP(H3455,LUTs!$A$1:$C$73,2,FALSE),"NA")</f>
        <v>Snohomish/King</v>
      </c>
      <c r="J3455" s="110" t="str">
        <f>IFERROR(VLOOKUP(H3455,LUTs!$A$1:$C$73,3,FALSE),"NA")</f>
        <v>2Central Puget Sound</v>
      </c>
      <c r="K3455" s="110" t="s">
        <v>26</v>
      </c>
      <c r="L3455" s="110" t="str">
        <f>VLOOKUP(K3455,LUTs!E$2:G$14,3,)</f>
        <v>20Other</v>
      </c>
      <c r="M3455" s="110" t="str">
        <f>VLOOKUP($K3455,LUTs!$E$2:$H$14,2,)</f>
        <v>Non Puget Sound</v>
      </c>
      <c r="N3455" s="110" t="str">
        <f>VLOOKUP($K3455,LUTs!$E$2:$H$14,4,)</f>
        <v>07Non Puget Sound</v>
      </c>
      <c r="O3455" s="110">
        <v>3</v>
      </c>
      <c r="P3455" s="110">
        <v>25.62</v>
      </c>
      <c r="Q3455" s="110">
        <f>SUMIFS('FW_Steelhead_by_Month_2010-2021'!Q$2:Q$3810,'FW_Steelhead_by_Month_2010-2021'!$B$2:$B$3810,'Rec_raw_catch_effort_2010-2021'!$B3455,'FW_Steelhead_by_Month_2010-2021'!$H$2:$H$3810,'Rec_raw_catch_effort_2010-2021'!$F3455,'FW_Steelhead_by_Month_2010-2021'!$M$2:$M$3810,'Rec_raw_catch_effort_2010-2021'!$K3455)</f>
        <v>3</v>
      </c>
      <c r="R3455" s="111">
        <f>VLOOKUP(B3455,Readme!$A$62:$C$74,3,)*Q3455</f>
        <v>62.781711974637879</v>
      </c>
      <c r="S3455" s="140" t="str">
        <f t="shared" si="257"/>
        <v>Y</v>
      </c>
      <c r="T3455" s="154">
        <f t="shared" si="258"/>
        <v>8.5400000000000009</v>
      </c>
      <c r="U3455" s="154">
        <f t="shared" si="259"/>
        <v>20.927237324879293</v>
      </c>
    </row>
    <row r="3456" spans="1:21" x14ac:dyDescent="0.35">
      <c r="A3456" s="110">
        <v>147</v>
      </c>
      <c r="B3456" s="110">
        <v>2012</v>
      </c>
      <c r="C3456" s="110" t="s">
        <v>38</v>
      </c>
      <c r="D3456" s="110" t="s">
        <v>143</v>
      </c>
      <c r="E3456" s="110" t="s">
        <v>86</v>
      </c>
      <c r="F3456" s="117">
        <v>848</v>
      </c>
      <c r="G3456" s="110" t="s">
        <v>99</v>
      </c>
      <c r="H3456" s="110" t="str">
        <f t="shared" si="256"/>
        <v>Skykomish River, So. Fork</v>
      </c>
      <c r="I3456" s="110" t="str">
        <f>IFERROR(VLOOKUP(H3456,LUTs!$A$1:$C$73,2,FALSE),"NA")</f>
        <v>Snohomish/King</v>
      </c>
      <c r="J3456" s="110" t="str">
        <f>IFERROR(VLOOKUP(H3456,LUTs!$A$1:$C$73,3,FALSE),"NA")</f>
        <v>2Central Puget Sound</v>
      </c>
      <c r="K3456" s="110" t="s">
        <v>16</v>
      </c>
      <c r="L3456" s="110" t="str">
        <f>VLOOKUP(K3456,LUTs!E$2:G$14,3,)</f>
        <v>03Snohomish</v>
      </c>
      <c r="M3456" s="110" t="str">
        <f>VLOOKUP($K3456,LUTs!$E$2:$H$14,2,)</f>
        <v>North Puget Sound</v>
      </c>
      <c r="N3456" s="110" t="str">
        <f>VLOOKUP($K3456,LUTs!$E$2:$H$14,4,)</f>
        <v>01North Puget Sound</v>
      </c>
      <c r="O3456" s="110">
        <v>21</v>
      </c>
      <c r="P3456" s="110">
        <v>179.34</v>
      </c>
      <c r="Q3456" s="110">
        <f>SUMIFS('FW_Steelhead_by_Month_2010-2021'!Q$2:Q$3810,'FW_Steelhead_by_Month_2010-2021'!$B$2:$B$3810,'Rec_raw_catch_effort_2010-2021'!$B3456,'FW_Steelhead_by_Month_2010-2021'!$H$2:$H$3810,'Rec_raw_catch_effort_2010-2021'!$F3456,'FW_Steelhead_by_Month_2010-2021'!$M$2:$M$3810,'Rec_raw_catch_effort_2010-2021'!$K3456)</f>
        <v>21</v>
      </c>
      <c r="R3456" s="111">
        <f>VLOOKUP(B3456,Readme!$A$62:$C$74,3,)*Q3456</f>
        <v>439.47198382246518</v>
      </c>
      <c r="S3456" s="140" t="str">
        <f t="shared" si="257"/>
        <v>Y</v>
      </c>
      <c r="T3456" s="154">
        <f t="shared" si="258"/>
        <v>8.5400000000000009</v>
      </c>
      <c r="U3456" s="154">
        <f t="shared" si="259"/>
        <v>20.927237324879293</v>
      </c>
    </row>
    <row r="3457" spans="1:21" x14ac:dyDescent="0.35">
      <c r="A3457" s="110">
        <v>157</v>
      </c>
      <c r="B3457" s="110">
        <v>2013</v>
      </c>
      <c r="C3457" s="110" t="s">
        <v>38</v>
      </c>
      <c r="D3457" s="110" t="s">
        <v>143</v>
      </c>
      <c r="E3457" s="110" t="s">
        <v>86</v>
      </c>
      <c r="F3457" s="117">
        <v>848</v>
      </c>
      <c r="G3457" s="110" t="s">
        <v>99</v>
      </c>
      <c r="H3457" s="110" t="str">
        <f t="shared" si="256"/>
        <v>Skykomish River, So. Fork</v>
      </c>
      <c r="I3457" s="110" t="str">
        <f>IFERROR(VLOOKUP(H3457,LUTs!$A$1:$C$73,2,FALSE),"NA")</f>
        <v>Snohomish/King</v>
      </c>
      <c r="J3457" s="110" t="str">
        <f>IFERROR(VLOOKUP(H3457,LUTs!$A$1:$C$73,3,FALSE),"NA")</f>
        <v>2Central Puget Sound</v>
      </c>
      <c r="K3457" s="110" t="s">
        <v>18</v>
      </c>
      <c r="L3457" s="110" t="str">
        <f>VLOOKUP(K3457,LUTs!E$2:G$14,3,)</f>
        <v>06King</v>
      </c>
      <c r="M3457" s="110" t="str">
        <f>VLOOKUP($K3457,LUTs!$E$2:$H$14,2,)</f>
        <v>South Puget Sound</v>
      </c>
      <c r="N3457" s="110" t="str">
        <f>VLOOKUP($K3457,LUTs!$E$2:$H$14,4,)</f>
        <v>02South Puget Sound</v>
      </c>
      <c r="O3457" s="110">
        <v>18.181818181818201</v>
      </c>
      <c r="P3457" s="110">
        <v>337.27272727272799</v>
      </c>
      <c r="Q3457" s="110">
        <f>SUMIFS('FW_Steelhead_by_Month_2010-2021'!Q$2:Q$3810,'FW_Steelhead_by_Month_2010-2021'!$B$2:$B$3810,'Rec_raw_catch_effort_2010-2021'!$B3457,'FW_Steelhead_by_Month_2010-2021'!$H$2:$H$3810,'Rec_raw_catch_effort_2010-2021'!$F3457,'FW_Steelhead_by_Month_2010-2021'!$M$2:$M$3810,'Rec_raw_catch_effort_2010-2021'!$K3457)</f>
        <v>19</v>
      </c>
      <c r="R3457" s="111">
        <f>VLOOKUP(B3457,Readme!$A$62:$C$74,3,)*Q3457</f>
        <v>397.61750917270655</v>
      </c>
      <c r="S3457" s="140" t="str">
        <f t="shared" si="257"/>
        <v>Y</v>
      </c>
      <c r="T3457" s="154">
        <f t="shared" si="258"/>
        <v>18.550000000000018</v>
      </c>
      <c r="U3457" s="154">
        <f t="shared" si="259"/>
        <v>20.927237324879293</v>
      </c>
    </row>
    <row r="3458" spans="1:21" x14ac:dyDescent="0.35">
      <c r="A3458" s="110">
        <v>159</v>
      </c>
      <c r="B3458" s="110">
        <v>2013</v>
      </c>
      <c r="C3458" s="110" t="s">
        <v>38</v>
      </c>
      <c r="D3458" s="110" t="s">
        <v>143</v>
      </c>
      <c r="E3458" s="110" t="s">
        <v>86</v>
      </c>
      <c r="F3458" s="117">
        <v>848</v>
      </c>
      <c r="G3458" s="110" t="s">
        <v>99</v>
      </c>
      <c r="H3458" s="110" t="str">
        <f t="shared" ref="H3458:H3521" si="260">G3458</f>
        <v>Skykomish River, So. Fork</v>
      </c>
      <c r="I3458" s="110" t="str">
        <f>IFERROR(VLOOKUP(H3458,LUTs!$A$1:$C$73,2,FALSE),"NA")</f>
        <v>Snohomish/King</v>
      </c>
      <c r="J3458" s="110" t="str">
        <f>IFERROR(VLOOKUP(H3458,LUTs!$A$1:$C$73,3,FALSE),"NA")</f>
        <v>2Central Puget Sound</v>
      </c>
      <c r="K3458" s="110" t="s">
        <v>26</v>
      </c>
      <c r="L3458" s="110" t="str">
        <f>VLOOKUP(K3458,LUTs!E$2:G$14,3,)</f>
        <v>20Other</v>
      </c>
      <c r="M3458" s="110" t="str">
        <f>VLOOKUP($K3458,LUTs!$E$2:$H$14,2,)</f>
        <v>Non Puget Sound</v>
      </c>
      <c r="N3458" s="110" t="str">
        <f>VLOOKUP($K3458,LUTs!$E$2:$H$14,4,)</f>
        <v>07Non Puget Sound</v>
      </c>
      <c r="O3458" s="110">
        <v>3.6363636363636398</v>
      </c>
      <c r="P3458" s="110">
        <v>67.454545454545496</v>
      </c>
      <c r="Q3458" s="110">
        <f>SUMIFS('FW_Steelhead_by_Month_2010-2021'!Q$2:Q$3810,'FW_Steelhead_by_Month_2010-2021'!$B$2:$B$3810,'Rec_raw_catch_effort_2010-2021'!$B3458,'FW_Steelhead_by_Month_2010-2021'!$H$2:$H$3810,'Rec_raw_catch_effort_2010-2021'!$F3458,'FW_Steelhead_by_Month_2010-2021'!$M$2:$M$3810,'Rec_raw_catch_effort_2010-2021'!$K3458)</f>
        <v>3</v>
      </c>
      <c r="R3458" s="111">
        <f>VLOOKUP(B3458,Readme!$A$62:$C$74,3,)*Q3458</f>
        <v>62.781711974637879</v>
      </c>
      <c r="S3458" s="140" t="str">
        <f t="shared" si="257"/>
        <v>Y</v>
      </c>
      <c r="T3458" s="154">
        <f t="shared" si="258"/>
        <v>18.549999999999994</v>
      </c>
      <c r="U3458" s="154">
        <f t="shared" si="259"/>
        <v>20.927237324879293</v>
      </c>
    </row>
    <row r="3459" spans="1:21" x14ac:dyDescent="0.35">
      <c r="A3459" s="110">
        <v>156</v>
      </c>
      <c r="B3459" s="110">
        <v>2013</v>
      </c>
      <c r="C3459" s="110" t="s">
        <v>38</v>
      </c>
      <c r="D3459" s="110" t="s">
        <v>143</v>
      </c>
      <c r="E3459" s="110" t="s">
        <v>86</v>
      </c>
      <c r="F3459" s="117">
        <v>848</v>
      </c>
      <c r="G3459" s="110" t="s">
        <v>99</v>
      </c>
      <c r="H3459" s="110" t="str">
        <f t="shared" si="260"/>
        <v>Skykomish River, So. Fork</v>
      </c>
      <c r="I3459" s="110" t="str">
        <f>IFERROR(VLOOKUP(H3459,LUTs!$A$1:$C$73,2,FALSE),"NA")</f>
        <v>Snohomish/King</v>
      </c>
      <c r="J3459" s="110" t="str">
        <f>IFERROR(VLOOKUP(H3459,LUTs!$A$1:$C$73,3,FALSE),"NA")</f>
        <v>2Central Puget Sound</v>
      </c>
      <c r="K3459" s="110" t="s">
        <v>16</v>
      </c>
      <c r="L3459" s="110" t="str">
        <f>VLOOKUP(K3459,LUTs!E$2:G$14,3,)</f>
        <v>03Snohomish</v>
      </c>
      <c r="M3459" s="110" t="str">
        <f>VLOOKUP($K3459,LUTs!$E$2:$H$14,2,)</f>
        <v>North Puget Sound</v>
      </c>
      <c r="N3459" s="110" t="str">
        <f>VLOOKUP($K3459,LUTs!$E$2:$H$14,4,)</f>
        <v>01North Puget Sound</v>
      </c>
      <c r="O3459" s="110">
        <v>14.5454545454546</v>
      </c>
      <c r="P3459" s="110">
        <v>269.81818181818301</v>
      </c>
      <c r="Q3459" s="110">
        <f>SUMIFS('FW_Steelhead_by_Month_2010-2021'!Q$2:Q$3810,'FW_Steelhead_by_Month_2010-2021'!$B$2:$B$3810,'Rec_raw_catch_effort_2010-2021'!$B3459,'FW_Steelhead_by_Month_2010-2021'!$H$2:$H$3810,'Rec_raw_catch_effort_2010-2021'!$F3459,'FW_Steelhead_by_Month_2010-2021'!$M$2:$M$3810,'Rec_raw_catch_effort_2010-2021'!$K3459)</f>
        <v>17</v>
      </c>
      <c r="R3459" s="111">
        <f>VLOOKUP(B3459,Readme!$A$62:$C$74,3,)*Q3459</f>
        <v>355.76303452294798</v>
      </c>
      <c r="S3459" s="140" t="str">
        <f t="shared" ref="S3459:S3522" si="261">IF(B3459&lt;=2019,"Y","N")</f>
        <v>Y</v>
      </c>
      <c r="T3459" s="154">
        <f t="shared" ref="T3459:T3522" si="262">IFERROR(P3459/O3459,"NA")</f>
        <v>18.550000000000011</v>
      </c>
      <c r="U3459" s="154">
        <f t="shared" ref="U3459:U3522" si="263">IFERROR(R3459/Q3459,"NA")</f>
        <v>20.927237324879293</v>
      </c>
    </row>
    <row r="3460" spans="1:21" x14ac:dyDescent="0.35">
      <c r="A3460" s="110">
        <v>158</v>
      </c>
      <c r="B3460" s="110">
        <v>2013</v>
      </c>
      <c r="C3460" s="110" t="s">
        <v>38</v>
      </c>
      <c r="D3460" s="110" t="s">
        <v>143</v>
      </c>
      <c r="E3460" s="110" t="s">
        <v>86</v>
      </c>
      <c r="F3460" s="117">
        <v>848</v>
      </c>
      <c r="G3460" s="110" t="s">
        <v>99</v>
      </c>
      <c r="H3460" s="110" t="str">
        <f t="shared" si="260"/>
        <v>Skykomish River, So. Fork</v>
      </c>
      <c r="I3460" s="110" t="str">
        <f>IFERROR(VLOOKUP(H3460,LUTs!$A$1:$C$73,2,FALSE),"NA")</f>
        <v>Snohomish/King</v>
      </c>
      <c r="J3460" s="110" t="str">
        <f>IFERROR(VLOOKUP(H3460,LUTs!$A$1:$C$73,3,FALSE),"NA")</f>
        <v>2Central Puget Sound</v>
      </c>
      <c r="K3460" s="110" t="s">
        <v>21</v>
      </c>
      <c r="L3460" s="110" t="str">
        <f>VLOOKUP(K3460,LUTs!E$2:G$14,3,)</f>
        <v>08Thurston</v>
      </c>
      <c r="M3460" s="110" t="str">
        <f>VLOOKUP($K3460,LUTs!$E$2:$H$14,2,)</f>
        <v>South Puget Sound</v>
      </c>
      <c r="N3460" s="110" t="str">
        <f>VLOOKUP($K3460,LUTs!$E$2:$H$14,4,)</f>
        <v>02South Puget Sound</v>
      </c>
      <c r="O3460" s="110">
        <v>3.6363636363636398</v>
      </c>
      <c r="P3460" s="110">
        <v>67.454545454545496</v>
      </c>
      <c r="Q3460" s="110">
        <f>SUMIFS('FW_Steelhead_by_Month_2010-2021'!Q$2:Q$3810,'FW_Steelhead_by_Month_2010-2021'!$B$2:$B$3810,'Rec_raw_catch_effort_2010-2021'!$B3460,'FW_Steelhead_by_Month_2010-2021'!$H$2:$H$3810,'Rec_raw_catch_effort_2010-2021'!$F3460,'FW_Steelhead_by_Month_2010-2021'!$M$2:$M$3810,'Rec_raw_catch_effort_2010-2021'!$K3460)</f>
        <v>4</v>
      </c>
      <c r="R3460" s="111">
        <f>VLOOKUP(B3460,Readme!$A$62:$C$74,3,)*Q3460</f>
        <v>83.708949299517172</v>
      </c>
      <c r="S3460" s="140" t="str">
        <f t="shared" si="261"/>
        <v>Y</v>
      </c>
      <c r="T3460" s="154">
        <f t="shared" si="262"/>
        <v>18.549999999999994</v>
      </c>
      <c r="U3460" s="154">
        <f t="shared" si="263"/>
        <v>20.927237324879293</v>
      </c>
    </row>
    <row r="3461" spans="1:21" x14ac:dyDescent="0.35">
      <c r="A3461" s="110">
        <v>167</v>
      </c>
      <c r="B3461" s="110">
        <v>2014</v>
      </c>
      <c r="C3461" s="110" t="s">
        <v>38</v>
      </c>
      <c r="D3461" s="110" t="s">
        <v>143</v>
      </c>
      <c r="E3461" s="110" t="s">
        <v>86</v>
      </c>
      <c r="F3461" s="117">
        <v>848</v>
      </c>
      <c r="G3461" s="110" t="s">
        <v>99</v>
      </c>
      <c r="H3461" s="110" t="str">
        <f t="shared" si="260"/>
        <v>Skykomish River, So. Fork</v>
      </c>
      <c r="I3461" s="110" t="str">
        <f>IFERROR(VLOOKUP(H3461,LUTs!$A$1:$C$73,2,FALSE),"NA")</f>
        <v>Snohomish/King</v>
      </c>
      <c r="J3461" s="110" t="str">
        <f>IFERROR(VLOOKUP(H3461,LUTs!$A$1:$C$73,3,FALSE),"NA")</f>
        <v>2Central Puget Sound</v>
      </c>
      <c r="K3461" s="110" t="s">
        <v>18</v>
      </c>
      <c r="L3461" s="110" t="str">
        <f>VLOOKUP(K3461,LUTs!E$2:G$14,3,)</f>
        <v>06King</v>
      </c>
      <c r="M3461" s="110" t="str">
        <f>VLOOKUP($K3461,LUTs!$E$2:$H$14,2,)</f>
        <v>South Puget Sound</v>
      </c>
      <c r="N3461" s="110" t="str">
        <f>VLOOKUP($K3461,LUTs!$E$2:$H$14,4,)</f>
        <v>02South Puget Sound</v>
      </c>
      <c r="O3461" s="110">
        <v>9.75</v>
      </c>
      <c r="P3461" s="110">
        <v>83.265000000000001</v>
      </c>
      <c r="Q3461" s="110">
        <f>SUMIFS('FW_Steelhead_by_Month_2010-2021'!Q$2:Q$3810,'FW_Steelhead_by_Month_2010-2021'!$B$2:$B$3810,'Rec_raw_catch_effort_2010-2021'!$B3461,'FW_Steelhead_by_Month_2010-2021'!$H$2:$H$3810,'Rec_raw_catch_effort_2010-2021'!$F3461,'FW_Steelhead_by_Month_2010-2021'!$M$2:$M$3810,'Rec_raw_catch_effort_2010-2021'!$K3461)</f>
        <v>9.5833333333333304</v>
      </c>
      <c r="R3461" s="111">
        <f>VLOOKUP(B3461,Readme!$A$62:$C$74,3,)*Q3461</f>
        <v>200.55269103009317</v>
      </c>
      <c r="S3461" s="140" t="str">
        <f t="shared" si="261"/>
        <v>Y</v>
      </c>
      <c r="T3461" s="154">
        <f t="shared" si="262"/>
        <v>8.5400000000000009</v>
      </c>
      <c r="U3461" s="154">
        <f t="shared" si="263"/>
        <v>20.927237324879293</v>
      </c>
    </row>
    <row r="3462" spans="1:21" x14ac:dyDescent="0.35">
      <c r="A3462" s="110">
        <v>169</v>
      </c>
      <c r="B3462" s="110">
        <v>2014</v>
      </c>
      <c r="C3462" s="110" t="s">
        <v>38</v>
      </c>
      <c r="D3462" s="110" t="s">
        <v>143</v>
      </c>
      <c r="E3462" s="110" t="s">
        <v>86</v>
      </c>
      <c r="F3462" s="117">
        <v>848</v>
      </c>
      <c r="G3462" s="110" t="s">
        <v>99</v>
      </c>
      <c r="H3462" s="110" t="str">
        <f t="shared" si="260"/>
        <v>Skykomish River, So. Fork</v>
      </c>
      <c r="I3462" s="110" t="str">
        <f>IFERROR(VLOOKUP(H3462,LUTs!$A$1:$C$73,2,FALSE),"NA")</f>
        <v>Snohomish/King</v>
      </c>
      <c r="J3462" s="110" t="str">
        <f>IFERROR(VLOOKUP(H3462,LUTs!$A$1:$C$73,3,FALSE),"NA")</f>
        <v>2Central Puget Sound</v>
      </c>
      <c r="K3462" s="110" t="s">
        <v>22</v>
      </c>
      <c r="L3462" s="110" t="str">
        <f>VLOOKUP(K3462,LUTs!E$2:G$14,3,)</f>
        <v>09Mason</v>
      </c>
      <c r="M3462" s="110" t="str">
        <f>VLOOKUP($K3462,LUTs!$E$2:$H$14,2,)</f>
        <v>South Puget Sound</v>
      </c>
      <c r="N3462" s="110" t="str">
        <f>VLOOKUP($K3462,LUTs!$E$2:$H$14,4,)</f>
        <v>02South Puget Sound</v>
      </c>
      <c r="O3462" s="110">
        <v>3.25</v>
      </c>
      <c r="P3462" s="110">
        <v>27.754999999999999</v>
      </c>
      <c r="Q3462" s="110">
        <f>SUMIFS('FW_Steelhead_by_Month_2010-2021'!Q$2:Q$3810,'FW_Steelhead_by_Month_2010-2021'!$B$2:$B$3810,'Rec_raw_catch_effort_2010-2021'!$B3462,'FW_Steelhead_by_Month_2010-2021'!$H$2:$H$3810,'Rec_raw_catch_effort_2010-2021'!$F3462,'FW_Steelhead_by_Month_2010-2021'!$M$2:$M$3810,'Rec_raw_catch_effort_2010-2021'!$K3462)</f>
        <v>3.25</v>
      </c>
      <c r="R3462" s="111">
        <f>VLOOKUP(B3462,Readme!$A$62:$C$74,3,)*Q3462</f>
        <v>68.013521305857708</v>
      </c>
      <c r="S3462" s="140" t="str">
        <f t="shared" si="261"/>
        <v>Y</v>
      </c>
      <c r="T3462" s="154">
        <f t="shared" si="262"/>
        <v>8.5399999999999991</v>
      </c>
      <c r="U3462" s="154">
        <f t="shared" si="263"/>
        <v>20.927237324879293</v>
      </c>
    </row>
    <row r="3463" spans="1:21" x14ac:dyDescent="0.35">
      <c r="A3463" s="110">
        <v>166</v>
      </c>
      <c r="B3463" s="110">
        <v>2014</v>
      </c>
      <c r="C3463" s="110" t="s">
        <v>38</v>
      </c>
      <c r="D3463" s="110" t="s">
        <v>143</v>
      </c>
      <c r="E3463" s="110" t="s">
        <v>86</v>
      </c>
      <c r="F3463" s="117">
        <v>848</v>
      </c>
      <c r="G3463" s="110" t="s">
        <v>99</v>
      </c>
      <c r="H3463" s="110" t="str">
        <f t="shared" si="260"/>
        <v>Skykomish River, So. Fork</v>
      </c>
      <c r="I3463" s="110" t="str">
        <f>IFERROR(VLOOKUP(H3463,LUTs!$A$1:$C$73,2,FALSE),"NA")</f>
        <v>Snohomish/King</v>
      </c>
      <c r="J3463" s="110" t="str">
        <f>IFERROR(VLOOKUP(H3463,LUTs!$A$1:$C$73,3,FALSE),"NA")</f>
        <v>2Central Puget Sound</v>
      </c>
      <c r="K3463" s="110" t="s">
        <v>16</v>
      </c>
      <c r="L3463" s="110" t="str">
        <f>VLOOKUP(K3463,LUTs!E$2:G$14,3,)</f>
        <v>03Snohomish</v>
      </c>
      <c r="M3463" s="110" t="str">
        <f>VLOOKUP($K3463,LUTs!$E$2:$H$14,2,)</f>
        <v>North Puget Sound</v>
      </c>
      <c r="N3463" s="110" t="str">
        <f>VLOOKUP($K3463,LUTs!$E$2:$H$14,4,)</f>
        <v>01North Puget Sound</v>
      </c>
      <c r="O3463" s="110">
        <v>22.75</v>
      </c>
      <c r="P3463" s="110">
        <v>194.285</v>
      </c>
      <c r="Q3463" s="110">
        <f>SUMIFS('FW_Steelhead_by_Month_2010-2021'!Q$2:Q$3810,'FW_Steelhead_by_Month_2010-2021'!$B$2:$B$3810,'Rec_raw_catch_effort_2010-2021'!$B3463,'FW_Steelhead_by_Month_2010-2021'!$H$2:$H$3810,'Rec_raw_catch_effort_2010-2021'!$F3463,'FW_Steelhead_by_Month_2010-2021'!$M$2:$M$3810,'Rec_raw_catch_effort_2010-2021'!$K3463)</f>
        <v>19.166666666666671</v>
      </c>
      <c r="R3463" s="111">
        <f>VLOOKUP(B3463,Readme!$A$62:$C$74,3,)*Q3463</f>
        <v>401.10538206018657</v>
      </c>
      <c r="S3463" s="140" t="str">
        <f t="shared" si="261"/>
        <v>Y</v>
      </c>
      <c r="T3463" s="154">
        <f t="shared" si="262"/>
        <v>8.5399999999999991</v>
      </c>
      <c r="U3463" s="154">
        <f t="shared" si="263"/>
        <v>20.927237324879293</v>
      </c>
    </row>
    <row r="3464" spans="1:21" x14ac:dyDescent="0.35">
      <c r="A3464" s="110">
        <v>168</v>
      </c>
      <c r="B3464" s="110">
        <v>2014</v>
      </c>
      <c r="C3464" s="110" t="s">
        <v>38</v>
      </c>
      <c r="D3464" s="110" t="s">
        <v>143</v>
      </c>
      <c r="E3464" s="110" t="s">
        <v>86</v>
      </c>
      <c r="F3464" s="117">
        <v>848</v>
      </c>
      <c r="G3464" s="110" t="s">
        <v>99</v>
      </c>
      <c r="H3464" s="110" t="str">
        <f t="shared" si="260"/>
        <v>Skykomish River, So. Fork</v>
      </c>
      <c r="I3464" s="110" t="str">
        <f>IFERROR(VLOOKUP(H3464,LUTs!$A$1:$C$73,2,FALSE),"NA")</f>
        <v>Snohomish/King</v>
      </c>
      <c r="J3464" s="110" t="str">
        <f>IFERROR(VLOOKUP(H3464,LUTs!$A$1:$C$73,3,FALSE),"NA")</f>
        <v>2Central Puget Sound</v>
      </c>
      <c r="K3464" s="110" t="s">
        <v>21</v>
      </c>
      <c r="L3464" s="110" t="str">
        <f>VLOOKUP(K3464,LUTs!E$2:G$14,3,)</f>
        <v>08Thurston</v>
      </c>
      <c r="M3464" s="110" t="str">
        <f>VLOOKUP($K3464,LUTs!$E$2:$H$14,2,)</f>
        <v>South Puget Sound</v>
      </c>
      <c r="N3464" s="110" t="str">
        <f>VLOOKUP($K3464,LUTs!$E$2:$H$14,4,)</f>
        <v>02South Puget Sound</v>
      </c>
      <c r="O3464" s="110">
        <v>3.25</v>
      </c>
      <c r="P3464" s="110">
        <v>27.754999999999999</v>
      </c>
      <c r="Q3464" s="110">
        <f>SUMIFS('FW_Steelhead_by_Month_2010-2021'!Q$2:Q$3810,'FW_Steelhead_by_Month_2010-2021'!$B$2:$B$3810,'Rec_raw_catch_effort_2010-2021'!$B3464,'FW_Steelhead_by_Month_2010-2021'!$H$2:$H$3810,'Rec_raw_catch_effort_2010-2021'!$F3464,'FW_Steelhead_by_Month_2010-2021'!$M$2:$M$3810,'Rec_raw_catch_effort_2010-2021'!$K3464)</f>
        <v>0</v>
      </c>
      <c r="R3464" s="111">
        <f>VLOOKUP(B3464,Readme!$A$62:$C$74,3,)*Q3464</f>
        <v>0</v>
      </c>
      <c r="S3464" s="140" t="str">
        <f t="shared" si="261"/>
        <v>Y</v>
      </c>
      <c r="T3464" s="154">
        <f t="shared" si="262"/>
        <v>8.5399999999999991</v>
      </c>
      <c r="U3464" s="154" t="str">
        <f t="shared" si="263"/>
        <v>NA</v>
      </c>
    </row>
    <row r="3465" spans="1:21" x14ac:dyDescent="0.35">
      <c r="A3465" s="110">
        <v>174</v>
      </c>
      <c r="B3465" s="110">
        <v>2015</v>
      </c>
      <c r="C3465" s="110" t="s">
        <v>38</v>
      </c>
      <c r="D3465" s="110" t="s">
        <v>143</v>
      </c>
      <c r="E3465" s="110" t="s">
        <v>86</v>
      </c>
      <c r="F3465" s="117">
        <v>848</v>
      </c>
      <c r="G3465" s="110" t="s">
        <v>99</v>
      </c>
      <c r="H3465" s="110" t="str">
        <f t="shared" si="260"/>
        <v>Skykomish River, So. Fork</v>
      </c>
      <c r="I3465" s="110" t="str">
        <f>IFERROR(VLOOKUP(H3465,LUTs!$A$1:$C$73,2,FALSE),"NA")</f>
        <v>Snohomish/King</v>
      </c>
      <c r="J3465" s="110" t="str">
        <f>IFERROR(VLOOKUP(H3465,LUTs!$A$1:$C$73,3,FALSE),"NA")</f>
        <v>2Central Puget Sound</v>
      </c>
      <c r="K3465" s="110" t="s">
        <v>18</v>
      </c>
      <c r="L3465" s="110" t="str">
        <f>VLOOKUP(K3465,LUTs!E$2:G$14,3,)</f>
        <v>06King</v>
      </c>
      <c r="M3465" s="110" t="str">
        <f>VLOOKUP($K3465,LUTs!$E$2:$H$14,2,)</f>
        <v>South Puget Sound</v>
      </c>
      <c r="N3465" s="110" t="str">
        <f>VLOOKUP($K3465,LUTs!$E$2:$H$14,4,)</f>
        <v>02South Puget Sound</v>
      </c>
      <c r="O3465" s="110">
        <v>16</v>
      </c>
      <c r="P3465" s="110">
        <v>296.8</v>
      </c>
      <c r="Q3465" s="110">
        <f>SUMIFS('FW_Steelhead_by_Month_2010-2021'!Q$2:Q$3810,'FW_Steelhead_by_Month_2010-2021'!$B$2:$B$3810,'Rec_raw_catch_effort_2010-2021'!$B3465,'FW_Steelhead_by_Month_2010-2021'!$H$2:$H$3810,'Rec_raw_catch_effort_2010-2021'!$F3465,'FW_Steelhead_by_Month_2010-2021'!$M$2:$M$3810,'Rec_raw_catch_effort_2010-2021'!$K3465)</f>
        <v>17</v>
      </c>
      <c r="R3465" s="111">
        <f>VLOOKUP(B3465,Readme!$A$62:$C$74,3,)*Q3465</f>
        <v>355.76303452294798</v>
      </c>
      <c r="S3465" s="140" t="str">
        <f t="shared" si="261"/>
        <v>Y</v>
      </c>
      <c r="T3465" s="154">
        <f t="shared" si="262"/>
        <v>18.55</v>
      </c>
      <c r="U3465" s="154">
        <f t="shared" si="263"/>
        <v>20.927237324879293</v>
      </c>
    </row>
    <row r="3466" spans="1:21" x14ac:dyDescent="0.35">
      <c r="A3466" s="110">
        <v>175</v>
      </c>
      <c r="B3466" s="110">
        <v>2015</v>
      </c>
      <c r="C3466" s="110" t="s">
        <v>38</v>
      </c>
      <c r="D3466" s="110" t="s">
        <v>143</v>
      </c>
      <c r="E3466" s="110" t="s">
        <v>86</v>
      </c>
      <c r="F3466" s="117">
        <v>848</v>
      </c>
      <c r="G3466" s="110" t="s">
        <v>99</v>
      </c>
      <c r="H3466" s="110" t="str">
        <f t="shared" si="260"/>
        <v>Skykomish River, So. Fork</v>
      </c>
      <c r="I3466" s="110" t="str">
        <f>IFERROR(VLOOKUP(H3466,LUTs!$A$1:$C$73,2,FALSE),"NA")</f>
        <v>Snohomish/King</v>
      </c>
      <c r="J3466" s="110" t="str">
        <f>IFERROR(VLOOKUP(H3466,LUTs!$A$1:$C$73,3,FALSE),"NA")</f>
        <v>2Central Puget Sound</v>
      </c>
      <c r="K3466" s="110" t="s">
        <v>26</v>
      </c>
      <c r="L3466" s="110" t="str">
        <f>VLOOKUP(K3466,LUTs!E$2:G$14,3,)</f>
        <v>20Other</v>
      </c>
      <c r="M3466" s="110" t="str">
        <f>VLOOKUP($K3466,LUTs!$E$2:$H$14,2,)</f>
        <v>Non Puget Sound</v>
      </c>
      <c r="N3466" s="110" t="str">
        <f>VLOOKUP($K3466,LUTs!$E$2:$H$14,4,)</f>
        <v>07Non Puget Sound</v>
      </c>
      <c r="O3466" s="110">
        <v>16</v>
      </c>
      <c r="P3466" s="110">
        <v>296.8</v>
      </c>
      <c r="Q3466" s="110">
        <f>SUMIFS('FW_Steelhead_by_Month_2010-2021'!Q$2:Q$3810,'FW_Steelhead_by_Month_2010-2021'!$B$2:$B$3810,'Rec_raw_catch_effort_2010-2021'!$B3466,'FW_Steelhead_by_Month_2010-2021'!$H$2:$H$3810,'Rec_raw_catch_effort_2010-2021'!$F3466,'FW_Steelhead_by_Month_2010-2021'!$M$2:$M$3810,'Rec_raw_catch_effort_2010-2021'!$K3466)</f>
        <v>0</v>
      </c>
      <c r="R3466" s="111">
        <f>VLOOKUP(B3466,Readme!$A$62:$C$74,3,)*Q3466</f>
        <v>0</v>
      </c>
      <c r="S3466" s="140" t="str">
        <f t="shared" si="261"/>
        <v>Y</v>
      </c>
      <c r="T3466" s="154">
        <f t="shared" si="262"/>
        <v>18.55</v>
      </c>
      <c r="U3466" s="154" t="str">
        <f t="shared" si="263"/>
        <v>NA</v>
      </c>
    </row>
    <row r="3467" spans="1:21" x14ac:dyDescent="0.35">
      <c r="A3467" s="110">
        <v>254</v>
      </c>
      <c r="B3467" s="110">
        <v>2017</v>
      </c>
      <c r="C3467" s="110" t="s">
        <v>38</v>
      </c>
      <c r="D3467" s="110" t="s">
        <v>143</v>
      </c>
      <c r="E3467" s="110" t="s">
        <v>86</v>
      </c>
      <c r="F3467" s="117">
        <v>848</v>
      </c>
      <c r="G3467" s="110" t="s">
        <v>99</v>
      </c>
      <c r="H3467" s="110" t="str">
        <f t="shared" si="260"/>
        <v>Skykomish River, So. Fork</v>
      </c>
      <c r="I3467" s="110" t="str">
        <f>IFERROR(VLOOKUP(H3467,LUTs!$A$1:$C$73,2,FALSE),"NA")</f>
        <v>Snohomish/King</v>
      </c>
      <c r="J3467" s="110" t="str">
        <f>IFERROR(VLOOKUP(H3467,LUTs!$A$1:$C$73,3,FALSE),"NA")</f>
        <v>2Central Puget Sound</v>
      </c>
      <c r="K3467" s="110" t="s">
        <v>18</v>
      </c>
      <c r="L3467" s="110" t="str">
        <f>VLOOKUP(K3467,LUTs!E$2:G$14,3,)</f>
        <v>06King</v>
      </c>
      <c r="M3467" s="110" t="str">
        <f>VLOOKUP($K3467,LUTs!$E$2:$H$14,2,)</f>
        <v>South Puget Sound</v>
      </c>
      <c r="N3467" s="110" t="str">
        <f>VLOOKUP($K3467,LUTs!$E$2:$H$14,4,)</f>
        <v>02South Puget Sound</v>
      </c>
      <c r="O3467" s="110">
        <v>26</v>
      </c>
      <c r="P3467" s="110">
        <v>482.3</v>
      </c>
      <c r="Q3467" s="110">
        <f>SUMIFS('FW_Steelhead_by_Month_2010-2021'!Q$2:Q$3810,'FW_Steelhead_by_Month_2010-2021'!$B$2:$B$3810,'Rec_raw_catch_effort_2010-2021'!$B3467,'FW_Steelhead_by_Month_2010-2021'!$H$2:$H$3810,'Rec_raw_catch_effort_2010-2021'!$F3467,'FW_Steelhead_by_Month_2010-2021'!$M$2:$M$3810,'Rec_raw_catch_effort_2010-2021'!$K3467)</f>
        <v>13</v>
      </c>
      <c r="R3467" s="111">
        <f>VLOOKUP(B3467,Readme!$A$62:$C$74,3,)*Q3467</f>
        <v>272.05408522343083</v>
      </c>
      <c r="S3467" s="140" t="str">
        <f t="shared" si="261"/>
        <v>Y</v>
      </c>
      <c r="T3467" s="154">
        <f t="shared" si="262"/>
        <v>18.55</v>
      </c>
      <c r="U3467" s="154">
        <f t="shared" si="263"/>
        <v>20.927237324879293</v>
      </c>
    </row>
    <row r="3468" spans="1:21" x14ac:dyDescent="0.35">
      <c r="A3468" s="110">
        <v>255</v>
      </c>
      <c r="B3468" s="110">
        <v>2017</v>
      </c>
      <c r="C3468" s="110" t="s">
        <v>38</v>
      </c>
      <c r="D3468" s="110" t="s">
        <v>143</v>
      </c>
      <c r="E3468" s="110" t="s">
        <v>86</v>
      </c>
      <c r="F3468" s="117">
        <v>848</v>
      </c>
      <c r="G3468" s="110" t="s">
        <v>99</v>
      </c>
      <c r="H3468" s="110" t="str">
        <f t="shared" si="260"/>
        <v>Skykomish River, So. Fork</v>
      </c>
      <c r="I3468" s="110" t="str">
        <f>IFERROR(VLOOKUP(H3468,LUTs!$A$1:$C$73,2,FALSE),"NA")</f>
        <v>Snohomish/King</v>
      </c>
      <c r="J3468" s="110" t="str">
        <f>IFERROR(VLOOKUP(H3468,LUTs!$A$1:$C$73,3,FALSE),"NA")</f>
        <v>2Central Puget Sound</v>
      </c>
      <c r="K3468" s="110" t="s">
        <v>23</v>
      </c>
      <c r="L3468" s="110" t="str">
        <f>VLOOKUP(K3468,LUTs!E$2:G$14,3,)</f>
        <v>10Kitsap</v>
      </c>
      <c r="M3468" s="110" t="str">
        <f>VLOOKUP($K3468,LUTs!$E$2:$H$14,2,)</f>
        <v>South Puget Sound</v>
      </c>
      <c r="N3468" s="110" t="str">
        <f>VLOOKUP($K3468,LUTs!$E$2:$H$14,4,)</f>
        <v>02South Puget Sound</v>
      </c>
      <c r="O3468" s="110">
        <v>8.6666666666666696</v>
      </c>
      <c r="P3468" s="110">
        <v>160.76666666666699</v>
      </c>
      <c r="Q3468" s="110">
        <f>SUMIFS('FW_Steelhead_by_Month_2010-2021'!Q$2:Q$3810,'FW_Steelhead_by_Month_2010-2021'!$B$2:$B$3810,'Rec_raw_catch_effort_2010-2021'!$B3468,'FW_Steelhead_by_Month_2010-2021'!$H$2:$H$3810,'Rec_raw_catch_effort_2010-2021'!$F3468,'FW_Steelhead_by_Month_2010-2021'!$M$2:$M$3810,'Rec_raw_catch_effort_2010-2021'!$K3468)</f>
        <v>4</v>
      </c>
      <c r="R3468" s="111">
        <f>VLOOKUP(B3468,Readme!$A$62:$C$74,3,)*Q3468</f>
        <v>83.708949299517172</v>
      </c>
      <c r="S3468" s="140" t="str">
        <f t="shared" si="261"/>
        <v>Y</v>
      </c>
      <c r="T3468" s="154">
        <f t="shared" si="262"/>
        <v>18.550000000000033</v>
      </c>
      <c r="U3468" s="154">
        <f t="shared" si="263"/>
        <v>20.927237324879293</v>
      </c>
    </row>
    <row r="3469" spans="1:21" x14ac:dyDescent="0.35">
      <c r="A3469" s="110">
        <v>253</v>
      </c>
      <c r="B3469" s="110">
        <v>2017</v>
      </c>
      <c r="C3469" s="110" t="s">
        <v>38</v>
      </c>
      <c r="D3469" s="110" t="s">
        <v>143</v>
      </c>
      <c r="E3469" s="110" t="s">
        <v>86</v>
      </c>
      <c r="F3469" s="117">
        <v>848</v>
      </c>
      <c r="G3469" s="110" t="s">
        <v>99</v>
      </c>
      <c r="H3469" s="110" t="str">
        <f t="shared" si="260"/>
        <v>Skykomish River, So. Fork</v>
      </c>
      <c r="I3469" s="110" t="str">
        <f>IFERROR(VLOOKUP(H3469,LUTs!$A$1:$C$73,2,FALSE),"NA")</f>
        <v>Snohomish/King</v>
      </c>
      <c r="J3469" s="110" t="str">
        <f>IFERROR(VLOOKUP(H3469,LUTs!$A$1:$C$73,3,FALSE),"NA")</f>
        <v>2Central Puget Sound</v>
      </c>
      <c r="K3469" s="110" t="s">
        <v>16</v>
      </c>
      <c r="L3469" s="110" t="str">
        <f>VLOOKUP(K3469,LUTs!E$2:G$14,3,)</f>
        <v>03Snohomish</v>
      </c>
      <c r="M3469" s="110" t="str">
        <f>VLOOKUP($K3469,LUTs!$E$2:$H$14,2,)</f>
        <v>North Puget Sound</v>
      </c>
      <c r="N3469" s="110" t="str">
        <f>VLOOKUP($K3469,LUTs!$E$2:$H$14,4,)</f>
        <v>01North Puget Sound</v>
      </c>
      <c r="O3469" s="110">
        <v>95.3333333333333</v>
      </c>
      <c r="P3469" s="110">
        <v>1768.43333333333</v>
      </c>
      <c r="Q3469" s="110">
        <f>SUMIFS('FW_Steelhead_by_Month_2010-2021'!Q$2:Q$3810,'FW_Steelhead_by_Month_2010-2021'!$B$2:$B$3810,'Rec_raw_catch_effort_2010-2021'!$B3469,'FW_Steelhead_by_Month_2010-2021'!$H$2:$H$3810,'Rec_raw_catch_effort_2010-2021'!$F3469,'FW_Steelhead_by_Month_2010-2021'!$M$2:$M$3810,'Rec_raw_catch_effort_2010-2021'!$K3469)</f>
        <v>30</v>
      </c>
      <c r="R3469" s="111">
        <f>VLOOKUP(B3469,Readme!$A$62:$C$74,3,)*Q3469</f>
        <v>627.81711974637881</v>
      </c>
      <c r="S3469" s="140" t="str">
        <f t="shared" si="261"/>
        <v>Y</v>
      </c>
      <c r="T3469" s="154">
        <f t="shared" si="262"/>
        <v>18.549999999999972</v>
      </c>
      <c r="U3469" s="154">
        <f t="shared" si="263"/>
        <v>20.927237324879293</v>
      </c>
    </row>
    <row r="3470" spans="1:21" x14ac:dyDescent="0.35">
      <c r="A3470" s="110">
        <v>259</v>
      </c>
      <c r="B3470" s="110">
        <v>2018</v>
      </c>
      <c r="C3470" s="110" t="s">
        <v>38</v>
      </c>
      <c r="D3470" s="110" t="s">
        <v>143</v>
      </c>
      <c r="E3470" s="110" t="s">
        <v>86</v>
      </c>
      <c r="F3470" s="117">
        <v>848</v>
      </c>
      <c r="G3470" s="110" t="s">
        <v>99</v>
      </c>
      <c r="H3470" s="110" t="str">
        <f t="shared" si="260"/>
        <v>Skykomish River, So. Fork</v>
      </c>
      <c r="I3470" s="110" t="str">
        <f>IFERROR(VLOOKUP(H3470,LUTs!$A$1:$C$73,2,FALSE),"NA")</f>
        <v>Snohomish/King</v>
      </c>
      <c r="J3470" s="110" t="str">
        <f>IFERROR(VLOOKUP(H3470,LUTs!$A$1:$C$73,3,FALSE),"NA")</f>
        <v>2Central Puget Sound</v>
      </c>
      <c r="K3470" s="110" t="s">
        <v>18</v>
      </c>
      <c r="L3470" s="110" t="str">
        <f>VLOOKUP(K3470,LUTs!E$2:G$14,3,)</f>
        <v>06King</v>
      </c>
      <c r="M3470" s="110" t="str">
        <f>VLOOKUP($K3470,LUTs!$E$2:$H$14,2,)</f>
        <v>South Puget Sound</v>
      </c>
      <c r="N3470" s="110" t="str">
        <f>VLOOKUP($K3470,LUTs!$E$2:$H$14,4,)</f>
        <v>02South Puget Sound</v>
      </c>
      <c r="O3470" s="110">
        <v>14.6666666666667</v>
      </c>
      <c r="P3470" s="110">
        <v>125.253333333334</v>
      </c>
      <c r="Q3470" s="110">
        <f>SUMIFS('FW_Steelhead_by_Month_2010-2021'!Q$2:Q$3810,'FW_Steelhead_by_Month_2010-2021'!$B$2:$B$3810,'Rec_raw_catch_effort_2010-2021'!$B3470,'FW_Steelhead_by_Month_2010-2021'!$H$2:$H$3810,'Rec_raw_catch_effort_2010-2021'!$F3470,'FW_Steelhead_by_Month_2010-2021'!$M$2:$M$3810,'Rec_raw_catch_effort_2010-2021'!$K3470)</f>
        <v>7</v>
      </c>
      <c r="R3470" s="111">
        <f>VLOOKUP(B3470,Readme!$A$62:$C$74,3,)*Q3470</f>
        <v>146.49066127415506</v>
      </c>
      <c r="S3470" s="140" t="str">
        <f t="shared" si="261"/>
        <v>Y</v>
      </c>
      <c r="T3470" s="154">
        <f t="shared" si="262"/>
        <v>8.5400000000000258</v>
      </c>
      <c r="U3470" s="154">
        <f t="shared" si="263"/>
        <v>20.927237324879293</v>
      </c>
    </row>
    <row r="3471" spans="1:21" x14ac:dyDescent="0.35">
      <c r="A3471" s="110">
        <v>260</v>
      </c>
      <c r="B3471" s="110">
        <v>2018</v>
      </c>
      <c r="C3471" s="110" t="s">
        <v>38</v>
      </c>
      <c r="D3471" s="110" t="s">
        <v>143</v>
      </c>
      <c r="E3471" s="110" t="s">
        <v>86</v>
      </c>
      <c r="F3471" s="117">
        <v>848</v>
      </c>
      <c r="G3471" s="110" t="s">
        <v>99</v>
      </c>
      <c r="H3471" s="110" t="str">
        <f t="shared" si="260"/>
        <v>Skykomish River, So. Fork</v>
      </c>
      <c r="I3471" s="110" t="str">
        <f>IFERROR(VLOOKUP(H3471,LUTs!$A$1:$C$73,2,FALSE),"NA")</f>
        <v>Snohomish/King</v>
      </c>
      <c r="J3471" s="110" t="str">
        <f>IFERROR(VLOOKUP(H3471,LUTs!$A$1:$C$73,3,FALSE),"NA")</f>
        <v>2Central Puget Sound</v>
      </c>
      <c r="K3471" s="110" t="s">
        <v>20</v>
      </c>
      <c r="L3471" s="110" t="str">
        <f>VLOOKUP(K3471,LUTs!E$2:G$14,3,)</f>
        <v>07Pierce</v>
      </c>
      <c r="M3471" s="110" t="str">
        <f>VLOOKUP($K3471,LUTs!$E$2:$H$14,2,)</f>
        <v>South Puget Sound</v>
      </c>
      <c r="N3471" s="110" t="str">
        <f>VLOOKUP($K3471,LUTs!$E$2:$H$14,4,)</f>
        <v>02South Puget Sound</v>
      </c>
      <c r="O3471" s="110">
        <v>7.3333333333333401</v>
      </c>
      <c r="P3471" s="110">
        <v>62.626666666666701</v>
      </c>
      <c r="Q3471" s="110">
        <f>SUMIFS('FW_Steelhead_by_Month_2010-2021'!Q$2:Q$3810,'FW_Steelhead_by_Month_2010-2021'!$B$2:$B$3810,'Rec_raw_catch_effort_2010-2021'!$B3471,'FW_Steelhead_by_Month_2010-2021'!$H$2:$H$3810,'Rec_raw_catch_effort_2010-2021'!$F3471,'FW_Steelhead_by_Month_2010-2021'!$M$2:$M$3810,'Rec_raw_catch_effort_2010-2021'!$K3471)</f>
        <v>4</v>
      </c>
      <c r="R3471" s="111">
        <f>VLOOKUP(B3471,Readme!$A$62:$C$74,3,)*Q3471</f>
        <v>83.708949299517172</v>
      </c>
      <c r="S3471" s="140" t="str">
        <f t="shared" si="261"/>
        <v>Y</v>
      </c>
      <c r="T3471" s="154">
        <f t="shared" si="262"/>
        <v>8.5399999999999974</v>
      </c>
      <c r="U3471" s="154">
        <f t="shared" si="263"/>
        <v>20.927237324879293</v>
      </c>
    </row>
    <row r="3472" spans="1:21" x14ac:dyDescent="0.35">
      <c r="A3472" s="110">
        <v>1944</v>
      </c>
      <c r="B3472" s="110">
        <v>2010</v>
      </c>
      <c r="C3472" s="110" t="s">
        <v>38</v>
      </c>
      <c r="D3472" s="110" t="s">
        <v>143</v>
      </c>
      <c r="E3472" s="110" t="s">
        <v>86</v>
      </c>
      <c r="F3472" s="117">
        <v>850</v>
      </c>
      <c r="G3472" s="110" t="s">
        <v>63</v>
      </c>
      <c r="H3472" s="110" t="str">
        <f t="shared" si="260"/>
        <v>Snohomish River</v>
      </c>
      <c r="I3472" s="110" t="str">
        <f>IFERROR(VLOOKUP(H3472,LUTs!$A$1:$C$73,2,FALSE),"NA")</f>
        <v>Snohomish</v>
      </c>
      <c r="J3472" s="110" t="str">
        <f>IFERROR(VLOOKUP(H3472,LUTs!$A$1:$C$73,3,FALSE),"NA")</f>
        <v>2Central Puget Sound</v>
      </c>
      <c r="K3472" s="110" t="s">
        <v>17</v>
      </c>
      <c r="L3472" s="110" t="str">
        <f>VLOOKUP(K3472,LUTs!E$2:G$14,3,)</f>
        <v>04Island</v>
      </c>
      <c r="M3472" s="110" t="str">
        <f>VLOOKUP($K3472,LUTs!$E$2:$H$14,2,)</f>
        <v>North Puget Sound</v>
      </c>
      <c r="N3472" s="110" t="str">
        <f>VLOOKUP($K3472,LUTs!$E$2:$H$14,4,)</f>
        <v>01North Puget Sound</v>
      </c>
      <c r="O3472" s="110">
        <v>2.6687898089172002</v>
      </c>
      <c r="P3472" s="110">
        <v>22.791464968152901</v>
      </c>
      <c r="Q3472" s="110">
        <f>SUMIFS('FW_Steelhead_by_Month_2010-2021'!Q$2:Q$3810,'FW_Steelhead_by_Month_2010-2021'!$B$2:$B$3810,'Rec_raw_catch_effort_2010-2021'!$B3472,'FW_Steelhead_by_Month_2010-2021'!$H$2:$H$3810,'Rec_raw_catch_effort_2010-2021'!$F3472,'FW_Steelhead_by_Month_2010-2021'!$M$2:$M$3810,'Rec_raw_catch_effort_2010-2021'!$K3472)</f>
        <v>2.8571428571428599</v>
      </c>
      <c r="R3472" s="111">
        <f>VLOOKUP(B3472,Readme!$A$62:$C$74,3,)*Q3472</f>
        <v>59.792106642512323</v>
      </c>
      <c r="S3472" s="140" t="str">
        <f t="shared" si="261"/>
        <v>Y</v>
      </c>
      <c r="T3472" s="154">
        <f t="shared" si="262"/>
        <v>8.5400000000000045</v>
      </c>
      <c r="U3472" s="154">
        <f t="shared" si="263"/>
        <v>20.927237324879293</v>
      </c>
    </row>
    <row r="3473" spans="1:21" x14ac:dyDescent="0.35">
      <c r="A3473" s="110">
        <v>1945</v>
      </c>
      <c r="B3473" s="110">
        <v>2010</v>
      </c>
      <c r="C3473" s="110" t="s">
        <v>38</v>
      </c>
      <c r="D3473" s="110" t="s">
        <v>143</v>
      </c>
      <c r="E3473" s="110" t="s">
        <v>86</v>
      </c>
      <c r="F3473" s="117">
        <v>850</v>
      </c>
      <c r="G3473" s="110" t="s">
        <v>63</v>
      </c>
      <c r="H3473" s="110" t="str">
        <f t="shared" si="260"/>
        <v>Snohomish River</v>
      </c>
      <c r="I3473" s="110" t="str">
        <f>IFERROR(VLOOKUP(H3473,LUTs!$A$1:$C$73,2,FALSE),"NA")</f>
        <v>Snohomish</v>
      </c>
      <c r="J3473" s="110" t="str">
        <f>IFERROR(VLOOKUP(H3473,LUTs!$A$1:$C$73,3,FALSE),"NA")</f>
        <v>2Central Puget Sound</v>
      </c>
      <c r="K3473" s="110" t="s">
        <v>18</v>
      </c>
      <c r="L3473" s="110" t="str">
        <f>VLOOKUP(K3473,LUTs!E$2:G$14,3,)</f>
        <v>06King</v>
      </c>
      <c r="M3473" s="110" t="str">
        <f>VLOOKUP($K3473,LUTs!$E$2:$H$14,2,)</f>
        <v>South Puget Sound</v>
      </c>
      <c r="N3473" s="110" t="str">
        <f>VLOOKUP($K3473,LUTs!$E$2:$H$14,4,)</f>
        <v>02South Puget Sound</v>
      </c>
      <c r="O3473" s="110">
        <v>21.350318471337602</v>
      </c>
      <c r="P3473" s="110">
        <v>182.33171974522301</v>
      </c>
      <c r="Q3473" s="110">
        <f>SUMIFS('FW_Steelhead_by_Month_2010-2021'!Q$2:Q$3810,'FW_Steelhead_by_Month_2010-2021'!$B$2:$B$3810,'Rec_raw_catch_effort_2010-2021'!$B3473,'FW_Steelhead_by_Month_2010-2021'!$H$2:$H$3810,'Rec_raw_catch_effort_2010-2021'!$F3473,'FW_Steelhead_by_Month_2010-2021'!$M$2:$M$3810,'Rec_raw_catch_effort_2010-2021'!$K3473)</f>
        <v>16.974320987654298</v>
      </c>
      <c r="R3473" s="111">
        <f>VLOOKUP(B3473,Readme!$A$62:$C$74,3,)*Q3473</f>
        <v>355.22564373732098</v>
      </c>
      <c r="S3473" s="140" t="str">
        <f t="shared" si="261"/>
        <v>Y</v>
      </c>
      <c r="T3473" s="154">
        <f t="shared" si="262"/>
        <v>8.5399999999999956</v>
      </c>
      <c r="U3473" s="154">
        <f t="shared" si="263"/>
        <v>20.927237324879293</v>
      </c>
    </row>
    <row r="3474" spans="1:21" x14ac:dyDescent="0.35">
      <c r="A3474" s="110">
        <v>1946</v>
      </c>
      <c r="B3474" s="110">
        <v>2010</v>
      </c>
      <c r="C3474" s="110" t="s">
        <v>38</v>
      </c>
      <c r="D3474" s="110" t="s">
        <v>143</v>
      </c>
      <c r="E3474" s="110" t="s">
        <v>86</v>
      </c>
      <c r="F3474" s="117">
        <v>850</v>
      </c>
      <c r="G3474" s="110" t="s">
        <v>63</v>
      </c>
      <c r="H3474" s="110" t="str">
        <f t="shared" si="260"/>
        <v>Snohomish River</v>
      </c>
      <c r="I3474" s="110" t="str">
        <f>IFERROR(VLOOKUP(H3474,LUTs!$A$1:$C$73,2,FALSE),"NA")</f>
        <v>Snohomish</v>
      </c>
      <c r="J3474" s="110" t="str">
        <f>IFERROR(VLOOKUP(H3474,LUTs!$A$1:$C$73,3,FALSE),"NA")</f>
        <v>2Central Puget Sound</v>
      </c>
      <c r="K3474" s="110" t="s">
        <v>26</v>
      </c>
      <c r="L3474" s="110" t="str">
        <f>VLOOKUP(K3474,LUTs!E$2:G$14,3,)</f>
        <v>20Other</v>
      </c>
      <c r="M3474" s="110" t="str">
        <f>VLOOKUP($K3474,LUTs!$E$2:$H$14,2,)</f>
        <v>Non Puget Sound</v>
      </c>
      <c r="N3474" s="110" t="str">
        <f>VLOOKUP($K3474,LUTs!$E$2:$H$14,4,)</f>
        <v>07Non Puget Sound</v>
      </c>
      <c r="O3474" s="110">
        <v>8.0063694267515899</v>
      </c>
      <c r="P3474" s="110">
        <v>68.374394904458597</v>
      </c>
      <c r="Q3474" s="110">
        <f>SUMIFS('FW_Steelhead_by_Month_2010-2021'!Q$2:Q$3810,'FW_Steelhead_by_Month_2010-2021'!$B$2:$B$3810,'Rec_raw_catch_effort_2010-2021'!$B3474,'FW_Steelhead_by_Month_2010-2021'!$H$2:$H$3810,'Rec_raw_catch_effort_2010-2021'!$F3474,'FW_Steelhead_by_Month_2010-2021'!$M$2:$M$3810,'Rec_raw_catch_effort_2010-2021'!$K3474)</f>
        <v>8.7407407407407405</v>
      </c>
      <c r="R3474" s="111">
        <f>VLOOKUP(B3474,Readme!$A$62:$C$74,3,)*Q3474</f>
        <v>182.91955587672271</v>
      </c>
      <c r="S3474" s="140" t="str">
        <f t="shared" si="261"/>
        <v>Y</v>
      </c>
      <c r="T3474" s="154">
        <f t="shared" si="262"/>
        <v>8.5400000000000027</v>
      </c>
      <c r="U3474" s="154">
        <f t="shared" si="263"/>
        <v>20.927237324879293</v>
      </c>
    </row>
    <row r="3475" spans="1:21" x14ac:dyDescent="0.35">
      <c r="A3475" s="110">
        <v>1943</v>
      </c>
      <c r="B3475" s="110">
        <v>2010</v>
      </c>
      <c r="C3475" s="110" t="s">
        <v>38</v>
      </c>
      <c r="D3475" s="110" t="s">
        <v>143</v>
      </c>
      <c r="E3475" s="110" t="s">
        <v>86</v>
      </c>
      <c r="F3475" s="117">
        <v>850</v>
      </c>
      <c r="G3475" s="110" t="s">
        <v>63</v>
      </c>
      <c r="H3475" s="110" t="str">
        <f t="shared" si="260"/>
        <v>Snohomish River</v>
      </c>
      <c r="I3475" s="110" t="str">
        <f>IFERROR(VLOOKUP(H3475,LUTs!$A$1:$C$73,2,FALSE),"NA")</f>
        <v>Snohomish</v>
      </c>
      <c r="J3475" s="110" t="str">
        <f>IFERROR(VLOOKUP(H3475,LUTs!$A$1:$C$73,3,FALSE),"NA")</f>
        <v>2Central Puget Sound</v>
      </c>
      <c r="K3475" s="110" t="s">
        <v>16</v>
      </c>
      <c r="L3475" s="110" t="str">
        <f>VLOOKUP(K3475,LUTs!E$2:G$14,3,)</f>
        <v>03Snohomish</v>
      </c>
      <c r="M3475" s="110" t="str">
        <f>VLOOKUP($K3475,LUTs!$E$2:$H$14,2,)</f>
        <v>North Puget Sound</v>
      </c>
      <c r="N3475" s="110" t="str">
        <f>VLOOKUP($K3475,LUTs!$E$2:$H$14,4,)</f>
        <v>01North Puget Sound</v>
      </c>
      <c r="O3475" s="110">
        <v>386.97452229299398</v>
      </c>
      <c r="P3475" s="110">
        <v>3304.7624203821701</v>
      </c>
      <c r="Q3475" s="110">
        <f>SUMIFS('FW_Steelhead_by_Month_2010-2021'!Q$2:Q$3810,'FW_Steelhead_by_Month_2010-2021'!$B$2:$B$3810,'Rec_raw_catch_effort_2010-2021'!$B3475,'FW_Steelhead_by_Month_2010-2021'!$H$2:$H$3810,'Rec_raw_catch_effort_2010-2021'!$F3475,'FW_Steelhead_by_Month_2010-2021'!$M$2:$M$3810,'Rec_raw_catch_effort_2010-2021'!$K3475)</f>
        <v>360.42779541446208</v>
      </c>
      <c r="R3475" s="111">
        <f>VLOOKUP(B3475,Readme!$A$62:$C$74,3,)*Q3475</f>
        <v>7542.7580131214891</v>
      </c>
      <c r="S3475" s="140" t="str">
        <f t="shared" si="261"/>
        <v>Y</v>
      </c>
      <c r="T3475" s="154">
        <f t="shared" si="262"/>
        <v>8.5400000000000045</v>
      </c>
      <c r="U3475" s="154">
        <f t="shared" si="263"/>
        <v>20.927237324879293</v>
      </c>
    </row>
    <row r="3476" spans="1:21" x14ac:dyDescent="0.35">
      <c r="A3476" s="110">
        <v>2565</v>
      </c>
      <c r="B3476" s="110">
        <v>2011</v>
      </c>
      <c r="C3476" s="110" t="s">
        <v>38</v>
      </c>
      <c r="D3476" s="110" t="s">
        <v>143</v>
      </c>
      <c r="E3476" s="110" t="s">
        <v>86</v>
      </c>
      <c r="F3476" s="117">
        <v>850</v>
      </c>
      <c r="G3476" s="110" t="s">
        <v>63</v>
      </c>
      <c r="H3476" s="110" t="str">
        <f t="shared" si="260"/>
        <v>Snohomish River</v>
      </c>
      <c r="I3476" s="110" t="str">
        <f>IFERROR(VLOOKUP(H3476,LUTs!$A$1:$C$73,2,FALSE),"NA")</f>
        <v>Snohomish</v>
      </c>
      <c r="J3476" s="110" t="str">
        <f>IFERROR(VLOOKUP(H3476,LUTs!$A$1:$C$73,3,FALSE),"NA")</f>
        <v>2Central Puget Sound</v>
      </c>
      <c r="K3476" s="110" t="s">
        <v>24</v>
      </c>
      <c r="L3476" s="110" t="str">
        <f>VLOOKUP(K3476,LUTs!E$2:G$14,3,)</f>
        <v>11Clallam</v>
      </c>
      <c r="M3476" s="110" t="str">
        <f>VLOOKUP($K3476,LUTs!$E$2:$H$14,2,)</f>
        <v>Strait of Juan de Fuca</v>
      </c>
      <c r="N3476" s="110" t="str">
        <f>VLOOKUP($K3476,LUTs!$E$2:$H$14,4,)</f>
        <v>03Strait of Juan de Fuca</v>
      </c>
      <c r="O3476" s="110">
        <v>24.136363636363601</v>
      </c>
      <c r="P3476" s="110">
        <v>447.72954545454502</v>
      </c>
      <c r="Q3476" s="110">
        <f>SUMIFS('FW_Steelhead_by_Month_2010-2021'!Q$2:Q$3810,'FW_Steelhead_by_Month_2010-2021'!$B$2:$B$3810,'Rec_raw_catch_effort_2010-2021'!$B3476,'FW_Steelhead_by_Month_2010-2021'!$H$2:$H$3810,'Rec_raw_catch_effort_2010-2021'!$F3476,'FW_Steelhead_by_Month_2010-2021'!$M$2:$M$3810,'Rec_raw_catch_effort_2010-2021'!$K3476)</f>
        <v>24.129032258064498</v>
      </c>
      <c r="R3476" s="111">
        <f>VLOOKUP(B3476,Readme!$A$62:$C$74,3,)*Q3476</f>
        <v>504.95398448418388</v>
      </c>
      <c r="S3476" s="140" t="str">
        <f t="shared" si="261"/>
        <v>Y</v>
      </c>
      <c r="T3476" s="154">
        <f t="shared" si="262"/>
        <v>18.550000000000008</v>
      </c>
      <c r="U3476" s="154">
        <f t="shared" si="263"/>
        <v>20.927237324879293</v>
      </c>
    </row>
    <row r="3477" spans="1:21" x14ac:dyDescent="0.35">
      <c r="A3477" s="110">
        <v>2564</v>
      </c>
      <c r="B3477" s="110">
        <v>2011</v>
      </c>
      <c r="C3477" s="110" t="s">
        <v>38</v>
      </c>
      <c r="D3477" s="110" t="s">
        <v>143</v>
      </c>
      <c r="E3477" s="110" t="s">
        <v>86</v>
      </c>
      <c r="F3477" s="117">
        <v>850</v>
      </c>
      <c r="G3477" s="110" t="s">
        <v>63</v>
      </c>
      <c r="H3477" s="110" t="str">
        <f t="shared" si="260"/>
        <v>Snohomish River</v>
      </c>
      <c r="I3477" s="110" t="str">
        <f>IFERROR(VLOOKUP(H3477,LUTs!$A$1:$C$73,2,FALSE),"NA")</f>
        <v>Snohomish</v>
      </c>
      <c r="J3477" s="110" t="str">
        <f>IFERROR(VLOOKUP(H3477,LUTs!$A$1:$C$73,3,FALSE),"NA")</f>
        <v>2Central Puget Sound</v>
      </c>
      <c r="K3477" s="110" t="s">
        <v>18</v>
      </c>
      <c r="L3477" s="110" t="str">
        <f>VLOOKUP(K3477,LUTs!E$2:G$14,3,)</f>
        <v>06King</v>
      </c>
      <c r="M3477" s="110" t="str">
        <f>VLOOKUP($K3477,LUTs!$E$2:$H$14,2,)</f>
        <v>South Puget Sound</v>
      </c>
      <c r="N3477" s="110" t="str">
        <f>VLOOKUP($K3477,LUTs!$E$2:$H$14,4,)</f>
        <v>02South Puget Sound</v>
      </c>
      <c r="O3477" s="110">
        <v>56.318181818181799</v>
      </c>
      <c r="P3477" s="110">
        <v>1044.7022727272699</v>
      </c>
      <c r="Q3477" s="110">
        <f>SUMIFS('FW_Steelhead_by_Month_2010-2021'!Q$2:Q$3810,'FW_Steelhead_by_Month_2010-2021'!$B$2:$B$3810,'Rec_raw_catch_effort_2010-2021'!$B3477,'FW_Steelhead_by_Month_2010-2021'!$H$2:$H$3810,'Rec_raw_catch_effort_2010-2021'!$F3477,'FW_Steelhead_by_Month_2010-2021'!$M$2:$M$3810,'Rec_raw_catch_effort_2010-2021'!$K3477)</f>
        <v>60.176637341153508</v>
      </c>
      <c r="R3477" s="111">
        <f>VLOOKUP(B3477,Readme!$A$62:$C$74,3,)*Q3477</f>
        <v>1259.3307710515128</v>
      </c>
      <c r="S3477" s="140" t="str">
        <f t="shared" si="261"/>
        <v>Y</v>
      </c>
      <c r="T3477" s="154">
        <f t="shared" si="262"/>
        <v>18.549999999999958</v>
      </c>
      <c r="U3477" s="154">
        <f t="shared" si="263"/>
        <v>20.927237324879293</v>
      </c>
    </row>
    <row r="3478" spans="1:21" x14ac:dyDescent="0.35">
      <c r="A3478" s="110">
        <v>2566</v>
      </c>
      <c r="B3478" s="110">
        <v>2011</v>
      </c>
      <c r="C3478" s="110" t="s">
        <v>38</v>
      </c>
      <c r="D3478" s="110" t="s">
        <v>143</v>
      </c>
      <c r="E3478" s="110" t="s">
        <v>86</v>
      </c>
      <c r="F3478" s="117">
        <v>850</v>
      </c>
      <c r="G3478" s="110" t="s">
        <v>63</v>
      </c>
      <c r="H3478" s="110" t="str">
        <f t="shared" si="260"/>
        <v>Snohomish River</v>
      </c>
      <c r="I3478" s="110" t="str">
        <f>IFERROR(VLOOKUP(H3478,LUTs!$A$1:$C$73,2,FALSE),"NA")</f>
        <v>Snohomish</v>
      </c>
      <c r="J3478" s="110" t="str">
        <f>IFERROR(VLOOKUP(H3478,LUTs!$A$1:$C$73,3,FALSE),"NA")</f>
        <v>2Central Puget Sound</v>
      </c>
      <c r="K3478" s="110" t="s">
        <v>26</v>
      </c>
      <c r="L3478" s="110" t="str">
        <f>VLOOKUP(K3478,LUTs!E$2:G$14,3,)</f>
        <v>20Other</v>
      </c>
      <c r="M3478" s="110" t="str">
        <f>VLOOKUP($K3478,LUTs!$E$2:$H$14,2,)</f>
        <v>Non Puget Sound</v>
      </c>
      <c r="N3478" s="110" t="str">
        <f>VLOOKUP($K3478,LUTs!$E$2:$H$14,4,)</f>
        <v>07Non Puget Sound</v>
      </c>
      <c r="O3478" s="110">
        <v>24.136363636363601</v>
      </c>
      <c r="P3478" s="110">
        <v>447.72954545454502</v>
      </c>
      <c r="Q3478" s="110">
        <f>SUMIFS('FW_Steelhead_by_Month_2010-2021'!Q$2:Q$3810,'FW_Steelhead_by_Month_2010-2021'!$B$2:$B$3810,'Rec_raw_catch_effort_2010-2021'!$B3478,'FW_Steelhead_by_Month_2010-2021'!$H$2:$H$3810,'Rec_raw_catch_effort_2010-2021'!$F3478,'FW_Steelhead_by_Month_2010-2021'!$M$2:$M$3810,'Rec_raw_catch_effort_2010-2021'!$K3478)</f>
        <v>24.277527737372012</v>
      </c>
      <c r="R3478" s="111">
        <f>VLOOKUP(B3478,Readme!$A$62:$C$74,3,)*Q3478</f>
        <v>508.0615846213239</v>
      </c>
      <c r="S3478" s="140" t="str">
        <f t="shared" si="261"/>
        <v>Y</v>
      </c>
      <c r="T3478" s="154">
        <f t="shared" si="262"/>
        <v>18.550000000000008</v>
      </c>
      <c r="U3478" s="154">
        <f t="shared" si="263"/>
        <v>20.927237324879293</v>
      </c>
    </row>
    <row r="3479" spans="1:21" x14ac:dyDescent="0.35">
      <c r="A3479" s="110">
        <v>2451</v>
      </c>
      <c r="B3479" s="110">
        <v>2011</v>
      </c>
      <c r="C3479" s="110" t="s">
        <v>38</v>
      </c>
      <c r="D3479" s="110" t="s">
        <v>143</v>
      </c>
      <c r="E3479" s="110" t="s">
        <v>86</v>
      </c>
      <c r="F3479" s="117">
        <v>850</v>
      </c>
      <c r="G3479" s="110" t="s">
        <v>63</v>
      </c>
      <c r="H3479" s="110" t="str">
        <f t="shared" si="260"/>
        <v>Snohomish River</v>
      </c>
      <c r="I3479" s="110" t="str">
        <f>IFERROR(VLOOKUP(H3479,LUTs!$A$1:$C$73,2,FALSE),"NA")</f>
        <v>Snohomish</v>
      </c>
      <c r="J3479" s="110" t="str">
        <f>IFERROR(VLOOKUP(H3479,LUTs!$A$1:$C$73,3,FALSE),"NA")</f>
        <v>2Central Puget Sound</v>
      </c>
      <c r="K3479" s="110" t="s">
        <v>16</v>
      </c>
      <c r="L3479" s="110" t="str">
        <f>VLOOKUP(K3479,LUTs!E$2:G$14,3,)</f>
        <v>03Snohomish</v>
      </c>
      <c r="M3479" s="110" t="str">
        <f>VLOOKUP($K3479,LUTs!$E$2:$H$14,2,)</f>
        <v>North Puget Sound</v>
      </c>
      <c r="N3479" s="110" t="str">
        <f>VLOOKUP($K3479,LUTs!$E$2:$H$14,4,)</f>
        <v>01North Puget Sound</v>
      </c>
      <c r="O3479" s="110">
        <v>603.40909090909099</v>
      </c>
      <c r="P3479" s="110">
        <v>11193.2386363636</v>
      </c>
      <c r="Q3479" s="110">
        <f>SUMIFS('FW_Steelhead_by_Month_2010-2021'!Q$2:Q$3810,'FW_Steelhead_by_Month_2010-2021'!$B$2:$B$3810,'Rec_raw_catch_effort_2010-2021'!$B3479,'FW_Steelhead_by_Month_2010-2021'!$H$2:$H$3810,'Rec_raw_catch_effort_2010-2021'!$F3479,'FW_Steelhead_by_Month_2010-2021'!$M$2:$M$3810,'Rec_raw_catch_effort_2010-2021'!$K3479)</f>
        <v>548.41680266340995</v>
      </c>
      <c r="R3479" s="111">
        <f>VLOOKUP(B3479,Readme!$A$62:$C$74,3,)*Q3479</f>
        <v>11476.848582288674</v>
      </c>
      <c r="S3479" s="140" t="str">
        <f t="shared" si="261"/>
        <v>Y</v>
      </c>
      <c r="T3479" s="154">
        <f t="shared" si="262"/>
        <v>18.549999999999937</v>
      </c>
      <c r="U3479" s="154">
        <f t="shared" si="263"/>
        <v>20.927237324879293</v>
      </c>
    </row>
    <row r="3480" spans="1:21" x14ac:dyDescent="0.35">
      <c r="A3480" s="110">
        <v>1918</v>
      </c>
      <c r="B3480" s="110">
        <v>2012</v>
      </c>
      <c r="C3480" s="110" t="s">
        <v>38</v>
      </c>
      <c r="D3480" s="110" t="s">
        <v>143</v>
      </c>
      <c r="E3480" s="110" t="s">
        <v>86</v>
      </c>
      <c r="F3480" s="117">
        <v>850</v>
      </c>
      <c r="G3480" s="110" t="s">
        <v>63</v>
      </c>
      <c r="H3480" s="110" t="str">
        <f t="shared" si="260"/>
        <v>Snohomish River</v>
      </c>
      <c r="I3480" s="110" t="str">
        <f>IFERROR(VLOOKUP(H3480,LUTs!$A$1:$C$73,2,FALSE),"NA")</f>
        <v>Snohomish</v>
      </c>
      <c r="J3480" s="110" t="str">
        <f>IFERROR(VLOOKUP(H3480,LUTs!$A$1:$C$73,3,FALSE),"NA")</f>
        <v>2Central Puget Sound</v>
      </c>
      <c r="K3480" s="110" t="s">
        <v>18</v>
      </c>
      <c r="L3480" s="110" t="str">
        <f>VLOOKUP(K3480,LUTs!E$2:G$14,3,)</f>
        <v>06King</v>
      </c>
      <c r="M3480" s="110" t="str">
        <f>VLOOKUP($K3480,LUTs!$E$2:$H$14,2,)</f>
        <v>South Puget Sound</v>
      </c>
      <c r="N3480" s="110" t="str">
        <f>VLOOKUP($K3480,LUTs!$E$2:$H$14,4,)</f>
        <v>02South Puget Sound</v>
      </c>
      <c r="O3480" s="110">
        <v>49.515283842794801</v>
      </c>
      <c r="P3480" s="110">
        <v>422.86052401746798</v>
      </c>
      <c r="Q3480" s="110">
        <f>SUMIFS('FW_Steelhead_by_Month_2010-2021'!Q$2:Q$3810,'FW_Steelhead_by_Month_2010-2021'!$B$2:$B$3810,'Rec_raw_catch_effort_2010-2021'!$B3480,'FW_Steelhead_by_Month_2010-2021'!$H$2:$H$3810,'Rec_raw_catch_effort_2010-2021'!$F3480,'FW_Steelhead_by_Month_2010-2021'!$M$2:$M$3810,'Rec_raw_catch_effort_2010-2021'!$K3480)</f>
        <v>49.303528821666845</v>
      </c>
      <c r="R3480" s="111">
        <f>VLOOKUP(B3480,Readme!$A$62:$C$74,3,)*Q3480</f>
        <v>1031.7866486050484</v>
      </c>
      <c r="S3480" s="140" t="str">
        <f t="shared" si="261"/>
        <v>Y</v>
      </c>
      <c r="T3480" s="154">
        <f t="shared" si="262"/>
        <v>8.540000000000008</v>
      </c>
      <c r="U3480" s="154">
        <f t="shared" si="263"/>
        <v>20.927237324879293</v>
      </c>
    </row>
    <row r="3481" spans="1:21" x14ac:dyDescent="0.35">
      <c r="A3481" s="110">
        <v>2048</v>
      </c>
      <c r="B3481" s="110">
        <v>2012</v>
      </c>
      <c r="C3481" s="110" t="s">
        <v>38</v>
      </c>
      <c r="D3481" s="110" t="s">
        <v>143</v>
      </c>
      <c r="E3481" s="110" t="s">
        <v>86</v>
      </c>
      <c r="F3481" s="117">
        <v>850</v>
      </c>
      <c r="G3481" s="110" t="s">
        <v>63</v>
      </c>
      <c r="H3481" s="110" t="str">
        <f t="shared" si="260"/>
        <v>Snohomish River</v>
      </c>
      <c r="I3481" s="110" t="str">
        <f>IFERROR(VLOOKUP(H3481,LUTs!$A$1:$C$73,2,FALSE),"NA")</f>
        <v>Snohomish</v>
      </c>
      <c r="J3481" s="110" t="str">
        <f>IFERROR(VLOOKUP(H3481,LUTs!$A$1:$C$73,3,FALSE),"NA")</f>
        <v>2Central Puget Sound</v>
      </c>
      <c r="K3481" s="110" t="s">
        <v>26</v>
      </c>
      <c r="L3481" s="110" t="str">
        <f>VLOOKUP(K3481,LUTs!E$2:G$14,3,)</f>
        <v>20Other</v>
      </c>
      <c r="M3481" s="110" t="str">
        <f>VLOOKUP($K3481,LUTs!$E$2:$H$14,2,)</f>
        <v>Non Puget Sound</v>
      </c>
      <c r="N3481" s="110" t="str">
        <f>VLOOKUP($K3481,LUTs!$E$2:$H$14,4,)</f>
        <v>07Non Puget Sound</v>
      </c>
      <c r="O3481" s="110">
        <v>2.91266375545852</v>
      </c>
      <c r="P3481" s="110">
        <v>24.874148471615801</v>
      </c>
      <c r="Q3481" s="110">
        <f>SUMIFS('FW_Steelhead_by_Month_2010-2021'!Q$2:Q$3810,'FW_Steelhead_by_Month_2010-2021'!$B$2:$B$3810,'Rec_raw_catch_effort_2010-2021'!$B3481,'FW_Steelhead_by_Month_2010-2021'!$H$2:$H$3810,'Rec_raw_catch_effort_2010-2021'!$F3481,'FW_Steelhead_by_Month_2010-2021'!$M$2:$M$3810,'Rec_raw_catch_effort_2010-2021'!$K3481)</f>
        <v>2.9130434782608701</v>
      </c>
      <c r="R3481" s="111">
        <f>VLOOKUP(B3481,Readme!$A$62:$C$74,3,)*Q3481</f>
        <v>60.961952207257085</v>
      </c>
      <c r="S3481" s="140" t="str">
        <f t="shared" si="261"/>
        <v>Y</v>
      </c>
      <c r="T3481" s="154">
        <f t="shared" si="262"/>
        <v>8.5400000000000134</v>
      </c>
      <c r="U3481" s="154">
        <f t="shared" si="263"/>
        <v>20.927237324879293</v>
      </c>
    </row>
    <row r="3482" spans="1:21" x14ac:dyDescent="0.35">
      <c r="A3482" s="110">
        <v>1903</v>
      </c>
      <c r="B3482" s="110">
        <v>2012</v>
      </c>
      <c r="C3482" s="110" t="s">
        <v>38</v>
      </c>
      <c r="D3482" s="110" t="s">
        <v>143</v>
      </c>
      <c r="E3482" s="110" t="s">
        <v>86</v>
      </c>
      <c r="F3482" s="117">
        <v>850</v>
      </c>
      <c r="G3482" s="110" t="s">
        <v>63</v>
      </c>
      <c r="H3482" s="110" t="str">
        <f t="shared" si="260"/>
        <v>Snohomish River</v>
      </c>
      <c r="I3482" s="110" t="str">
        <f>IFERROR(VLOOKUP(H3482,LUTs!$A$1:$C$73,2,FALSE),"NA")</f>
        <v>Snohomish</v>
      </c>
      <c r="J3482" s="110" t="str">
        <f>IFERROR(VLOOKUP(H3482,LUTs!$A$1:$C$73,3,FALSE),"NA")</f>
        <v>2Central Puget Sound</v>
      </c>
      <c r="K3482" s="110" t="s">
        <v>16</v>
      </c>
      <c r="L3482" s="110" t="str">
        <f>VLOOKUP(K3482,LUTs!E$2:G$14,3,)</f>
        <v>03Snohomish</v>
      </c>
      <c r="M3482" s="110" t="str">
        <f>VLOOKUP($K3482,LUTs!$E$2:$H$14,2,)</f>
        <v>North Puget Sound</v>
      </c>
      <c r="N3482" s="110" t="str">
        <f>VLOOKUP($K3482,LUTs!$E$2:$H$14,4,)</f>
        <v>01North Puget Sound</v>
      </c>
      <c r="O3482" s="110">
        <v>605.83406113537103</v>
      </c>
      <c r="P3482" s="110">
        <v>5173.8228820960703</v>
      </c>
      <c r="Q3482" s="110">
        <f>SUMIFS('FW_Steelhead_by_Month_2010-2021'!Q$2:Q$3810,'FW_Steelhead_by_Month_2010-2021'!$B$2:$B$3810,'Rec_raw_catch_effort_2010-2021'!$B3482,'FW_Steelhead_by_Month_2010-2021'!$H$2:$H$3810,'Rec_raw_catch_effort_2010-2021'!$F3482,'FW_Steelhead_by_Month_2010-2021'!$M$2:$M$3810,'Rec_raw_catch_effort_2010-2021'!$K3482)</f>
        <v>653.88812463001227</v>
      </c>
      <c r="R3482" s="111">
        <f>VLOOKUP(B3482,Readme!$A$62:$C$74,3,)*Q3482</f>
        <v>13684.071968052516</v>
      </c>
      <c r="S3482" s="140" t="str">
        <f t="shared" si="261"/>
        <v>Y</v>
      </c>
      <c r="T3482" s="154">
        <f t="shared" si="262"/>
        <v>8.5400000000000027</v>
      </c>
      <c r="U3482" s="154">
        <f t="shared" si="263"/>
        <v>20.927237324879293</v>
      </c>
    </row>
    <row r="3483" spans="1:21" x14ac:dyDescent="0.35">
      <c r="A3483" s="110">
        <v>1919</v>
      </c>
      <c r="B3483" s="110">
        <v>2012</v>
      </c>
      <c r="C3483" s="110" t="s">
        <v>38</v>
      </c>
      <c r="D3483" s="110" t="s">
        <v>143</v>
      </c>
      <c r="E3483" s="110" t="s">
        <v>86</v>
      </c>
      <c r="F3483" s="117">
        <v>850</v>
      </c>
      <c r="G3483" s="110" t="s">
        <v>63</v>
      </c>
      <c r="H3483" s="110" t="str">
        <f t="shared" si="260"/>
        <v>Snohomish River</v>
      </c>
      <c r="I3483" s="110" t="str">
        <f>IFERROR(VLOOKUP(H3483,LUTs!$A$1:$C$73,2,FALSE),"NA")</f>
        <v>Snohomish</v>
      </c>
      <c r="J3483" s="110" t="str">
        <f>IFERROR(VLOOKUP(H3483,LUTs!$A$1:$C$73,3,FALSE),"NA")</f>
        <v>2Central Puget Sound</v>
      </c>
      <c r="K3483" s="110" t="s">
        <v>21</v>
      </c>
      <c r="L3483" s="110" t="str">
        <f>VLOOKUP(K3483,LUTs!E$2:G$14,3,)</f>
        <v>08Thurston</v>
      </c>
      <c r="M3483" s="110" t="str">
        <f>VLOOKUP($K3483,LUTs!$E$2:$H$14,2,)</f>
        <v>South Puget Sound</v>
      </c>
      <c r="N3483" s="110" t="str">
        <f>VLOOKUP($K3483,LUTs!$E$2:$H$14,4,)</f>
        <v>02South Puget Sound</v>
      </c>
      <c r="O3483" s="110">
        <v>5.8253275109170302</v>
      </c>
      <c r="P3483" s="110">
        <v>49.748296943231402</v>
      </c>
      <c r="Q3483" s="110">
        <f>SUMIFS('FW_Steelhead_by_Month_2010-2021'!Q$2:Q$3810,'FW_Steelhead_by_Month_2010-2021'!$B$2:$B$3810,'Rec_raw_catch_effort_2010-2021'!$B3483,'FW_Steelhead_by_Month_2010-2021'!$H$2:$H$3810,'Rec_raw_catch_effort_2010-2021'!$F3483,'FW_Steelhead_by_Month_2010-2021'!$M$2:$M$3810,'Rec_raw_catch_effort_2010-2021'!$K3483)</f>
        <v>5.8953030700603506</v>
      </c>
      <c r="R3483" s="111">
        <f>VLOOKUP(B3483,Readme!$A$62:$C$74,3,)*Q3483</f>
        <v>123.37240644924246</v>
      </c>
      <c r="S3483" s="140" t="str">
        <f t="shared" si="261"/>
        <v>Y</v>
      </c>
      <c r="T3483" s="154">
        <f t="shared" si="262"/>
        <v>8.5399999999999938</v>
      </c>
      <c r="U3483" s="154">
        <f t="shared" si="263"/>
        <v>20.927237324879293</v>
      </c>
    </row>
    <row r="3484" spans="1:21" x14ac:dyDescent="0.35">
      <c r="A3484" s="110">
        <v>1902</v>
      </c>
      <c r="B3484" s="110">
        <v>2012</v>
      </c>
      <c r="C3484" s="110" t="s">
        <v>38</v>
      </c>
      <c r="D3484" s="110" t="s">
        <v>143</v>
      </c>
      <c r="E3484" s="110" t="s">
        <v>86</v>
      </c>
      <c r="F3484" s="117">
        <v>850</v>
      </c>
      <c r="G3484" s="110" t="s">
        <v>63</v>
      </c>
      <c r="H3484" s="110" t="str">
        <f t="shared" si="260"/>
        <v>Snohomish River</v>
      </c>
      <c r="I3484" s="110" t="str">
        <f>IFERROR(VLOOKUP(H3484,LUTs!$A$1:$C$73,2,FALSE),"NA")</f>
        <v>Snohomish</v>
      </c>
      <c r="J3484" s="110" t="str">
        <f>IFERROR(VLOOKUP(H3484,LUTs!$A$1:$C$73,3,FALSE),"NA")</f>
        <v>2Central Puget Sound</v>
      </c>
      <c r="K3484" s="110" t="s">
        <v>13</v>
      </c>
      <c r="L3484" s="110" t="str">
        <f>VLOOKUP(K3484,LUTs!E$2:G$14,3,)</f>
        <v>01Whatcom</v>
      </c>
      <c r="M3484" s="110" t="str">
        <f>VLOOKUP($K3484,LUTs!$E$2:$H$14,2,)</f>
        <v>North Puget Sound</v>
      </c>
      <c r="N3484" s="110" t="str">
        <f>VLOOKUP($K3484,LUTs!$E$2:$H$14,4,)</f>
        <v>01North Puget Sound</v>
      </c>
      <c r="O3484" s="110">
        <v>2.91266375545852</v>
      </c>
      <c r="P3484" s="110">
        <v>24.874148471615801</v>
      </c>
      <c r="Q3484" s="110">
        <f>SUMIFS('FW_Steelhead_by_Month_2010-2021'!Q$2:Q$3810,'FW_Steelhead_by_Month_2010-2021'!$B$2:$B$3810,'Rec_raw_catch_effort_2010-2021'!$B3484,'FW_Steelhead_by_Month_2010-2021'!$H$2:$H$3810,'Rec_raw_catch_effort_2010-2021'!$F3484,'FW_Steelhead_by_Month_2010-2021'!$M$2:$M$3810,'Rec_raw_catch_effort_2010-2021'!$K3484)</f>
        <v>0</v>
      </c>
      <c r="R3484" s="111">
        <f>VLOOKUP(B3484,Readme!$A$62:$C$74,3,)*Q3484</f>
        <v>0</v>
      </c>
      <c r="S3484" s="140" t="str">
        <f t="shared" si="261"/>
        <v>Y</v>
      </c>
      <c r="T3484" s="154">
        <f t="shared" si="262"/>
        <v>8.5400000000000134</v>
      </c>
      <c r="U3484" s="154" t="str">
        <f t="shared" si="263"/>
        <v>NA</v>
      </c>
    </row>
    <row r="3485" spans="1:21" x14ac:dyDescent="0.35">
      <c r="A3485" s="110">
        <v>2222</v>
      </c>
      <c r="B3485" s="110">
        <v>2013</v>
      </c>
      <c r="C3485" s="110" t="s">
        <v>38</v>
      </c>
      <c r="D3485" s="110" t="s">
        <v>143</v>
      </c>
      <c r="E3485" s="110" t="s">
        <v>86</v>
      </c>
      <c r="F3485" s="117">
        <v>850</v>
      </c>
      <c r="G3485" s="110" t="s">
        <v>63</v>
      </c>
      <c r="H3485" s="110" t="str">
        <f t="shared" si="260"/>
        <v>Snohomish River</v>
      </c>
      <c r="I3485" s="110" t="str">
        <f>IFERROR(VLOOKUP(H3485,LUTs!$A$1:$C$73,2,FALSE),"NA")</f>
        <v>Snohomish</v>
      </c>
      <c r="J3485" s="110" t="str">
        <f>IFERROR(VLOOKUP(H3485,LUTs!$A$1:$C$73,3,FALSE),"NA")</f>
        <v>2Central Puget Sound</v>
      </c>
      <c r="K3485" s="110" t="s">
        <v>18</v>
      </c>
      <c r="L3485" s="110" t="str">
        <f>VLOOKUP(K3485,LUTs!E$2:G$14,3,)</f>
        <v>06King</v>
      </c>
      <c r="M3485" s="110" t="str">
        <f>VLOOKUP($K3485,LUTs!$E$2:$H$14,2,)</f>
        <v>South Puget Sound</v>
      </c>
      <c r="N3485" s="110" t="str">
        <f>VLOOKUP($K3485,LUTs!$E$2:$H$14,4,)</f>
        <v>02South Puget Sound</v>
      </c>
      <c r="O3485" s="110">
        <v>43.076923076923102</v>
      </c>
      <c r="P3485" s="110">
        <v>799.076923076924</v>
      </c>
      <c r="Q3485" s="110">
        <f>SUMIFS('FW_Steelhead_by_Month_2010-2021'!Q$2:Q$3810,'FW_Steelhead_by_Month_2010-2021'!$B$2:$B$3810,'Rec_raw_catch_effort_2010-2021'!$B3485,'FW_Steelhead_by_Month_2010-2021'!$H$2:$H$3810,'Rec_raw_catch_effort_2010-2021'!$F3485,'FW_Steelhead_by_Month_2010-2021'!$M$2:$M$3810,'Rec_raw_catch_effort_2010-2021'!$K3485)</f>
        <v>39.18547522682799</v>
      </c>
      <c r="R3485" s="111">
        <f>VLOOKUP(B3485,Readme!$A$62:$C$74,3,)*Q3485</f>
        <v>820.04373976000761</v>
      </c>
      <c r="S3485" s="140" t="str">
        <f t="shared" si="261"/>
        <v>Y</v>
      </c>
      <c r="T3485" s="154">
        <f t="shared" si="262"/>
        <v>18.550000000000011</v>
      </c>
      <c r="U3485" s="154">
        <f t="shared" si="263"/>
        <v>20.927237324879293</v>
      </c>
    </row>
    <row r="3486" spans="1:21" x14ac:dyDescent="0.35">
      <c r="A3486" s="110">
        <v>2221</v>
      </c>
      <c r="B3486" s="110">
        <v>2013</v>
      </c>
      <c r="C3486" s="110" t="s">
        <v>38</v>
      </c>
      <c r="D3486" s="110" t="s">
        <v>143</v>
      </c>
      <c r="E3486" s="110" t="s">
        <v>86</v>
      </c>
      <c r="F3486" s="117">
        <v>850</v>
      </c>
      <c r="G3486" s="110" t="s">
        <v>63</v>
      </c>
      <c r="H3486" s="110" t="str">
        <f t="shared" si="260"/>
        <v>Snohomish River</v>
      </c>
      <c r="I3486" s="110" t="str">
        <f>IFERROR(VLOOKUP(H3486,LUTs!$A$1:$C$73,2,FALSE),"NA")</f>
        <v>Snohomish</v>
      </c>
      <c r="J3486" s="110" t="str">
        <f>IFERROR(VLOOKUP(H3486,LUTs!$A$1:$C$73,3,FALSE),"NA")</f>
        <v>2Central Puget Sound</v>
      </c>
      <c r="K3486" s="110" t="s">
        <v>16</v>
      </c>
      <c r="L3486" s="110" t="str">
        <f>VLOOKUP(K3486,LUTs!E$2:G$14,3,)</f>
        <v>03Snohomish</v>
      </c>
      <c r="M3486" s="110" t="str">
        <f>VLOOKUP($K3486,LUTs!$E$2:$H$14,2,)</f>
        <v>North Puget Sound</v>
      </c>
      <c r="N3486" s="110" t="str">
        <f>VLOOKUP($K3486,LUTs!$E$2:$H$14,4,)</f>
        <v>01North Puget Sound</v>
      </c>
      <c r="O3486" s="110">
        <v>653.33333333333303</v>
      </c>
      <c r="P3486" s="110">
        <v>12119.333333333299</v>
      </c>
      <c r="Q3486" s="110">
        <f>SUMIFS('FW_Steelhead_by_Month_2010-2021'!Q$2:Q$3810,'FW_Steelhead_by_Month_2010-2021'!$B$2:$B$3810,'Rec_raw_catch_effort_2010-2021'!$B3486,'FW_Steelhead_by_Month_2010-2021'!$H$2:$H$3810,'Rec_raw_catch_effort_2010-2021'!$F3486,'FW_Steelhead_by_Month_2010-2021'!$M$2:$M$3810,'Rec_raw_catch_effort_2010-2021'!$K3486)</f>
        <v>644.06452477317248</v>
      </c>
      <c r="R3486" s="111">
        <f>VLOOKUP(B3486,Readme!$A$62:$C$74,3,)*Q3486</f>
        <v>13478.491162463779</v>
      </c>
      <c r="S3486" s="140" t="str">
        <f t="shared" si="261"/>
        <v>Y</v>
      </c>
      <c r="T3486" s="154">
        <f t="shared" si="262"/>
        <v>18.549999999999958</v>
      </c>
      <c r="U3486" s="154">
        <f t="shared" si="263"/>
        <v>20.927237324879293</v>
      </c>
    </row>
    <row r="3487" spans="1:21" x14ac:dyDescent="0.35">
      <c r="A3487" s="110">
        <v>2074</v>
      </c>
      <c r="B3487" s="110">
        <v>2013</v>
      </c>
      <c r="C3487" s="110" t="s">
        <v>38</v>
      </c>
      <c r="D3487" s="110" t="s">
        <v>143</v>
      </c>
      <c r="E3487" s="110" t="s">
        <v>86</v>
      </c>
      <c r="F3487" s="117">
        <v>850</v>
      </c>
      <c r="G3487" s="110" t="s">
        <v>63</v>
      </c>
      <c r="H3487" s="110" t="str">
        <f t="shared" si="260"/>
        <v>Snohomish River</v>
      </c>
      <c r="I3487" s="110" t="str">
        <f>IFERROR(VLOOKUP(H3487,LUTs!$A$1:$C$73,2,FALSE),"NA")</f>
        <v>Snohomish</v>
      </c>
      <c r="J3487" s="110" t="str">
        <f>IFERROR(VLOOKUP(H3487,LUTs!$A$1:$C$73,3,FALSE),"NA")</f>
        <v>2Central Puget Sound</v>
      </c>
      <c r="K3487" s="110" t="s">
        <v>13</v>
      </c>
      <c r="L3487" s="110" t="str">
        <f>VLOOKUP(K3487,LUTs!E$2:G$14,3,)</f>
        <v>01Whatcom</v>
      </c>
      <c r="M3487" s="110" t="str">
        <f>VLOOKUP($K3487,LUTs!$E$2:$H$14,2,)</f>
        <v>North Puget Sound</v>
      </c>
      <c r="N3487" s="110" t="str">
        <f>VLOOKUP($K3487,LUTs!$E$2:$H$14,4,)</f>
        <v>01North Puget Sound</v>
      </c>
      <c r="O3487" s="110">
        <v>3.5897435897435899</v>
      </c>
      <c r="P3487" s="110">
        <v>66.589743589743605</v>
      </c>
      <c r="Q3487" s="110">
        <f>SUMIFS('FW_Steelhead_by_Month_2010-2021'!Q$2:Q$3810,'FW_Steelhead_by_Month_2010-2021'!$B$2:$B$3810,'Rec_raw_catch_effort_2010-2021'!$B3487,'FW_Steelhead_by_Month_2010-2021'!$H$2:$H$3810,'Rec_raw_catch_effort_2010-2021'!$F3487,'FW_Steelhead_by_Month_2010-2021'!$M$2:$M$3810,'Rec_raw_catch_effort_2010-2021'!$K3487)</f>
        <v>6.75</v>
      </c>
      <c r="R3487" s="111">
        <f>VLOOKUP(B3487,Readme!$A$62:$C$74,3,)*Q3487</f>
        <v>141.25885194293522</v>
      </c>
      <c r="S3487" s="140" t="str">
        <f t="shared" si="261"/>
        <v>Y</v>
      </c>
      <c r="T3487" s="154">
        <f t="shared" si="262"/>
        <v>18.550000000000004</v>
      </c>
      <c r="U3487" s="154">
        <f t="shared" si="263"/>
        <v>20.927237324879293</v>
      </c>
    </row>
    <row r="3488" spans="1:21" x14ac:dyDescent="0.35">
      <c r="A3488" s="110">
        <v>1451</v>
      </c>
      <c r="B3488" s="110">
        <v>2014</v>
      </c>
      <c r="C3488" s="110" t="s">
        <v>38</v>
      </c>
      <c r="D3488" s="110" t="s">
        <v>143</v>
      </c>
      <c r="E3488" s="110" t="s">
        <v>86</v>
      </c>
      <c r="F3488" s="117">
        <v>850</v>
      </c>
      <c r="G3488" s="110" t="s">
        <v>63</v>
      </c>
      <c r="H3488" s="110" t="str">
        <f t="shared" si="260"/>
        <v>Snohomish River</v>
      </c>
      <c r="I3488" s="110" t="str">
        <f>IFERROR(VLOOKUP(H3488,LUTs!$A$1:$C$73,2,FALSE),"NA")</f>
        <v>Snohomish</v>
      </c>
      <c r="J3488" s="110" t="str">
        <f>IFERROR(VLOOKUP(H3488,LUTs!$A$1:$C$73,3,FALSE),"NA")</f>
        <v>2Central Puget Sound</v>
      </c>
      <c r="K3488" s="110" t="s">
        <v>18</v>
      </c>
      <c r="L3488" s="110" t="str">
        <f>VLOOKUP(K3488,LUTs!E$2:G$14,3,)</f>
        <v>06King</v>
      </c>
      <c r="M3488" s="110" t="str">
        <f>VLOOKUP($K3488,LUTs!$E$2:$H$14,2,)</f>
        <v>South Puget Sound</v>
      </c>
      <c r="N3488" s="110" t="str">
        <f>VLOOKUP($K3488,LUTs!$E$2:$H$14,4,)</f>
        <v>02South Puget Sound</v>
      </c>
      <c r="O3488" s="110">
        <v>3.2371134020618602</v>
      </c>
      <c r="P3488" s="110">
        <v>27.644948453608301</v>
      </c>
      <c r="Q3488" s="110">
        <f>SUMIFS('FW_Steelhead_by_Month_2010-2021'!Q$2:Q$3810,'FW_Steelhead_by_Month_2010-2021'!$B$2:$B$3810,'Rec_raw_catch_effort_2010-2021'!$B3488,'FW_Steelhead_by_Month_2010-2021'!$H$2:$H$3810,'Rec_raw_catch_effort_2010-2021'!$F3488,'FW_Steelhead_by_Month_2010-2021'!$M$2:$M$3810,'Rec_raw_catch_effort_2010-2021'!$K3488)</f>
        <v>9.3952380952380903</v>
      </c>
      <c r="R3488" s="111">
        <f>VLOOKUP(B3488,Readme!$A$62:$C$74,3,)*Q3488</f>
        <v>196.61637734279441</v>
      </c>
      <c r="S3488" s="140" t="str">
        <f t="shared" si="261"/>
        <v>Y</v>
      </c>
      <c r="T3488" s="154">
        <f t="shared" si="262"/>
        <v>8.5400000000000045</v>
      </c>
      <c r="U3488" s="154">
        <f t="shared" si="263"/>
        <v>20.927237324879293</v>
      </c>
    </row>
    <row r="3489" spans="1:21" x14ac:dyDescent="0.35">
      <c r="A3489" s="110">
        <v>1452</v>
      </c>
      <c r="B3489" s="110">
        <v>2014</v>
      </c>
      <c r="C3489" s="110" t="s">
        <v>38</v>
      </c>
      <c r="D3489" s="110" t="s">
        <v>143</v>
      </c>
      <c r="E3489" s="110" t="s">
        <v>86</v>
      </c>
      <c r="F3489" s="117">
        <v>850</v>
      </c>
      <c r="G3489" s="110" t="s">
        <v>63</v>
      </c>
      <c r="H3489" s="110" t="str">
        <f t="shared" si="260"/>
        <v>Snohomish River</v>
      </c>
      <c r="I3489" s="110" t="str">
        <f>IFERROR(VLOOKUP(H3489,LUTs!$A$1:$C$73,2,FALSE),"NA")</f>
        <v>Snohomish</v>
      </c>
      <c r="J3489" s="110" t="str">
        <f>IFERROR(VLOOKUP(H3489,LUTs!$A$1:$C$73,3,FALSE),"NA")</f>
        <v>2Central Puget Sound</v>
      </c>
      <c r="K3489" s="110" t="s">
        <v>26</v>
      </c>
      <c r="L3489" s="110" t="str">
        <f>VLOOKUP(K3489,LUTs!E$2:G$14,3,)</f>
        <v>20Other</v>
      </c>
      <c r="M3489" s="110" t="str">
        <f>VLOOKUP($K3489,LUTs!$E$2:$H$14,2,)</f>
        <v>Non Puget Sound</v>
      </c>
      <c r="N3489" s="110" t="str">
        <f>VLOOKUP($K3489,LUTs!$E$2:$H$14,4,)</f>
        <v>07Non Puget Sound</v>
      </c>
      <c r="O3489" s="110">
        <v>3.2371134020618602</v>
      </c>
      <c r="P3489" s="110">
        <v>27.644948453608301</v>
      </c>
      <c r="Q3489" s="110">
        <f>SUMIFS('FW_Steelhead_by_Month_2010-2021'!Q$2:Q$3810,'FW_Steelhead_by_Month_2010-2021'!$B$2:$B$3810,'Rec_raw_catch_effort_2010-2021'!$B3489,'FW_Steelhead_by_Month_2010-2021'!$H$2:$H$3810,'Rec_raw_catch_effort_2010-2021'!$F3489,'FW_Steelhead_by_Month_2010-2021'!$M$2:$M$3810,'Rec_raw_catch_effort_2010-2021'!$K3489)</f>
        <v>3</v>
      </c>
      <c r="R3489" s="111">
        <f>VLOOKUP(B3489,Readme!$A$62:$C$74,3,)*Q3489</f>
        <v>62.781711974637879</v>
      </c>
      <c r="S3489" s="140" t="str">
        <f t="shared" si="261"/>
        <v>Y</v>
      </c>
      <c r="T3489" s="154">
        <f t="shared" si="262"/>
        <v>8.5400000000000045</v>
      </c>
      <c r="U3489" s="154">
        <f t="shared" si="263"/>
        <v>20.927237324879293</v>
      </c>
    </row>
    <row r="3490" spans="1:21" x14ac:dyDescent="0.35">
      <c r="A3490" s="110">
        <v>1450</v>
      </c>
      <c r="B3490" s="110">
        <v>2014</v>
      </c>
      <c r="C3490" s="110" t="s">
        <v>38</v>
      </c>
      <c r="D3490" s="110" t="s">
        <v>143</v>
      </c>
      <c r="E3490" s="110" t="s">
        <v>86</v>
      </c>
      <c r="F3490" s="117">
        <v>850</v>
      </c>
      <c r="G3490" s="110" t="s">
        <v>63</v>
      </c>
      <c r="H3490" s="110" t="str">
        <f t="shared" si="260"/>
        <v>Snohomish River</v>
      </c>
      <c r="I3490" s="110" t="str">
        <f>IFERROR(VLOOKUP(H3490,LUTs!$A$1:$C$73,2,FALSE),"NA")</f>
        <v>Snohomish</v>
      </c>
      <c r="J3490" s="110" t="str">
        <f>IFERROR(VLOOKUP(H3490,LUTs!$A$1:$C$73,3,FALSE),"NA")</f>
        <v>2Central Puget Sound</v>
      </c>
      <c r="K3490" s="110" t="s">
        <v>16</v>
      </c>
      <c r="L3490" s="110" t="str">
        <f>VLOOKUP(K3490,LUTs!E$2:G$14,3,)</f>
        <v>03Snohomish</v>
      </c>
      <c r="M3490" s="110" t="str">
        <f>VLOOKUP($K3490,LUTs!$E$2:$H$14,2,)</f>
        <v>North Puget Sound</v>
      </c>
      <c r="N3490" s="110" t="str">
        <f>VLOOKUP($K3490,LUTs!$E$2:$H$14,4,)</f>
        <v>01North Puget Sound</v>
      </c>
      <c r="O3490" s="110">
        <v>307.52577319587601</v>
      </c>
      <c r="P3490" s="110">
        <v>2626.2701030927801</v>
      </c>
      <c r="Q3490" s="110">
        <f>SUMIFS('FW_Steelhead_by_Month_2010-2021'!Q$2:Q$3810,'FW_Steelhead_by_Month_2010-2021'!$B$2:$B$3810,'Rec_raw_catch_effort_2010-2021'!$B3490,'FW_Steelhead_by_Month_2010-2021'!$H$2:$H$3810,'Rec_raw_catch_effort_2010-2021'!$F3490,'FW_Steelhead_by_Month_2010-2021'!$M$2:$M$3810,'Rec_raw_catch_effort_2010-2021'!$K3490)</f>
        <v>285.60476190476174</v>
      </c>
      <c r="R3490" s="111">
        <f>VLOOKUP(B3490,Readme!$A$62:$C$74,3,)*Q3490</f>
        <v>5976.9186334965934</v>
      </c>
      <c r="S3490" s="140" t="str">
        <f t="shared" si="261"/>
        <v>Y</v>
      </c>
      <c r="T3490" s="154">
        <f t="shared" si="262"/>
        <v>8.5399999999999974</v>
      </c>
      <c r="U3490" s="154">
        <f t="shared" si="263"/>
        <v>20.927237324879293</v>
      </c>
    </row>
    <row r="3491" spans="1:21" x14ac:dyDescent="0.35">
      <c r="A3491" s="110">
        <v>1629</v>
      </c>
      <c r="B3491" s="110">
        <v>2015</v>
      </c>
      <c r="C3491" s="110" t="s">
        <v>38</v>
      </c>
      <c r="D3491" s="110" t="s">
        <v>143</v>
      </c>
      <c r="E3491" s="110" t="s">
        <v>86</v>
      </c>
      <c r="F3491" s="117">
        <v>850</v>
      </c>
      <c r="G3491" s="110" t="s">
        <v>63</v>
      </c>
      <c r="H3491" s="110" t="str">
        <f t="shared" si="260"/>
        <v>Snohomish River</v>
      </c>
      <c r="I3491" s="110" t="str">
        <f>IFERROR(VLOOKUP(H3491,LUTs!$A$1:$C$73,2,FALSE),"NA")</f>
        <v>Snohomish</v>
      </c>
      <c r="J3491" s="110" t="str">
        <f>IFERROR(VLOOKUP(H3491,LUTs!$A$1:$C$73,3,FALSE),"NA")</f>
        <v>2Central Puget Sound</v>
      </c>
      <c r="K3491" s="110" t="s">
        <v>16</v>
      </c>
      <c r="L3491" s="110" t="str">
        <f>VLOOKUP(K3491,LUTs!E$2:G$14,3,)</f>
        <v>03Snohomish</v>
      </c>
      <c r="M3491" s="110" t="str">
        <f>VLOOKUP($K3491,LUTs!$E$2:$H$14,2,)</f>
        <v>North Puget Sound</v>
      </c>
      <c r="N3491" s="110" t="str">
        <f>VLOOKUP($K3491,LUTs!$E$2:$H$14,4,)</f>
        <v>01North Puget Sound</v>
      </c>
      <c r="O3491" s="110">
        <v>105</v>
      </c>
      <c r="P3491" s="110">
        <v>1947.75</v>
      </c>
      <c r="Q3491" s="110">
        <f>SUMIFS('FW_Steelhead_by_Month_2010-2021'!Q$2:Q$3810,'FW_Steelhead_by_Month_2010-2021'!$B$2:$B$3810,'Rec_raw_catch_effort_2010-2021'!$B3491,'FW_Steelhead_by_Month_2010-2021'!$H$2:$H$3810,'Rec_raw_catch_effort_2010-2021'!$F3491,'FW_Steelhead_by_Month_2010-2021'!$M$2:$M$3810,'Rec_raw_catch_effort_2010-2021'!$K3491)</f>
        <v>123.35</v>
      </c>
      <c r="R3491" s="111">
        <f>VLOOKUP(B3491,Readme!$A$62:$C$74,3,)*Q3491</f>
        <v>2581.3747240238608</v>
      </c>
      <c r="S3491" s="140" t="str">
        <f t="shared" si="261"/>
        <v>Y</v>
      </c>
      <c r="T3491" s="154">
        <f t="shared" si="262"/>
        <v>18.55</v>
      </c>
      <c r="U3491" s="154">
        <f t="shared" si="263"/>
        <v>20.927237324879293</v>
      </c>
    </row>
    <row r="3492" spans="1:21" x14ac:dyDescent="0.35">
      <c r="A3492" s="110">
        <v>1799</v>
      </c>
      <c r="B3492" s="110">
        <v>2016</v>
      </c>
      <c r="C3492" s="110" t="s">
        <v>38</v>
      </c>
      <c r="D3492" s="110" t="s">
        <v>143</v>
      </c>
      <c r="E3492" s="110" t="s">
        <v>86</v>
      </c>
      <c r="F3492" s="117">
        <v>850</v>
      </c>
      <c r="G3492" s="110" t="s">
        <v>63</v>
      </c>
      <c r="H3492" s="110" t="str">
        <f t="shared" si="260"/>
        <v>Snohomish River</v>
      </c>
      <c r="I3492" s="110" t="str">
        <f>IFERROR(VLOOKUP(H3492,LUTs!$A$1:$C$73,2,FALSE),"NA")</f>
        <v>Snohomish</v>
      </c>
      <c r="J3492" s="110" t="str">
        <f>IFERROR(VLOOKUP(H3492,LUTs!$A$1:$C$73,3,FALSE),"NA")</f>
        <v>2Central Puget Sound</v>
      </c>
      <c r="K3492" s="110" t="s">
        <v>18</v>
      </c>
      <c r="L3492" s="110" t="str">
        <f>VLOOKUP(K3492,LUTs!E$2:G$14,3,)</f>
        <v>06King</v>
      </c>
      <c r="M3492" s="110" t="str">
        <f>VLOOKUP($K3492,LUTs!$E$2:$H$14,2,)</f>
        <v>South Puget Sound</v>
      </c>
      <c r="N3492" s="110" t="str">
        <f>VLOOKUP($K3492,LUTs!$E$2:$H$14,4,)</f>
        <v>02South Puget Sound</v>
      </c>
      <c r="O3492" s="110">
        <v>3.1538461538461502</v>
      </c>
      <c r="P3492" s="110">
        <v>26.933846153846101</v>
      </c>
      <c r="Q3492" s="110">
        <f>SUMIFS('FW_Steelhead_by_Month_2010-2021'!Q$2:Q$3810,'FW_Steelhead_by_Month_2010-2021'!$B$2:$B$3810,'Rec_raw_catch_effort_2010-2021'!$B3492,'FW_Steelhead_by_Month_2010-2021'!$H$2:$H$3810,'Rec_raw_catch_effort_2010-2021'!$F3492,'FW_Steelhead_by_Month_2010-2021'!$M$2:$M$3810,'Rec_raw_catch_effort_2010-2021'!$K3492)</f>
        <v>3.2</v>
      </c>
      <c r="R3492" s="111">
        <f>VLOOKUP(B3492,Readme!$A$62:$C$74,3,)*Q3492</f>
        <v>66.967159439613738</v>
      </c>
      <c r="S3492" s="140" t="str">
        <f t="shared" si="261"/>
        <v>Y</v>
      </c>
      <c r="T3492" s="154">
        <f t="shared" si="262"/>
        <v>8.5399999999999938</v>
      </c>
      <c r="U3492" s="154">
        <f t="shared" si="263"/>
        <v>20.927237324879293</v>
      </c>
    </row>
    <row r="3493" spans="1:21" x14ac:dyDescent="0.35">
      <c r="A3493" s="110">
        <v>1798</v>
      </c>
      <c r="B3493" s="110">
        <v>2016</v>
      </c>
      <c r="C3493" s="110" t="s">
        <v>38</v>
      </c>
      <c r="D3493" s="110" t="s">
        <v>143</v>
      </c>
      <c r="E3493" s="110" t="s">
        <v>86</v>
      </c>
      <c r="F3493" s="117">
        <v>850</v>
      </c>
      <c r="G3493" s="110" t="s">
        <v>63</v>
      </c>
      <c r="H3493" s="110" t="str">
        <f t="shared" si="260"/>
        <v>Snohomish River</v>
      </c>
      <c r="I3493" s="110" t="str">
        <f>IFERROR(VLOOKUP(H3493,LUTs!$A$1:$C$73,2,FALSE),"NA")</f>
        <v>Snohomish</v>
      </c>
      <c r="J3493" s="110" t="str">
        <f>IFERROR(VLOOKUP(H3493,LUTs!$A$1:$C$73,3,FALSE),"NA")</f>
        <v>2Central Puget Sound</v>
      </c>
      <c r="K3493" s="110" t="s">
        <v>16</v>
      </c>
      <c r="L3493" s="110" t="str">
        <f>VLOOKUP(K3493,LUTs!E$2:G$14,3,)</f>
        <v>03Snohomish</v>
      </c>
      <c r="M3493" s="110" t="str">
        <f>VLOOKUP($K3493,LUTs!$E$2:$H$14,2,)</f>
        <v>North Puget Sound</v>
      </c>
      <c r="N3493" s="110" t="str">
        <f>VLOOKUP($K3493,LUTs!$E$2:$H$14,4,)</f>
        <v>01North Puget Sound</v>
      </c>
      <c r="O3493" s="110">
        <v>37.846153846153904</v>
      </c>
      <c r="P3493" s="110">
        <v>323.206153846154</v>
      </c>
      <c r="Q3493" s="110">
        <f>SUMIFS('FW_Steelhead_by_Month_2010-2021'!Q$2:Q$3810,'FW_Steelhead_by_Month_2010-2021'!$B$2:$B$3810,'Rec_raw_catch_effort_2010-2021'!$B3493,'FW_Steelhead_by_Month_2010-2021'!$H$2:$H$3810,'Rec_raw_catch_effort_2010-2021'!$F3493,'FW_Steelhead_by_Month_2010-2021'!$M$2:$M$3810,'Rec_raw_catch_effort_2010-2021'!$K3493)</f>
        <v>68.8</v>
      </c>
      <c r="R3493" s="111">
        <f>VLOOKUP(B3493,Readme!$A$62:$C$74,3,)*Q3493</f>
        <v>1439.7939279516952</v>
      </c>
      <c r="S3493" s="140" t="str">
        <f t="shared" si="261"/>
        <v>Y</v>
      </c>
      <c r="T3493" s="154">
        <f t="shared" si="262"/>
        <v>8.5399999999999903</v>
      </c>
      <c r="U3493" s="154">
        <f t="shared" si="263"/>
        <v>20.927237324879293</v>
      </c>
    </row>
    <row r="3494" spans="1:21" x14ac:dyDescent="0.35">
      <c r="A3494" s="110">
        <v>1970</v>
      </c>
      <c r="B3494" s="110">
        <v>2017</v>
      </c>
      <c r="C3494" s="110" t="s">
        <v>38</v>
      </c>
      <c r="D3494" s="110" t="s">
        <v>143</v>
      </c>
      <c r="E3494" s="110" t="s">
        <v>86</v>
      </c>
      <c r="F3494" s="117">
        <v>850</v>
      </c>
      <c r="G3494" s="110" t="s">
        <v>63</v>
      </c>
      <c r="H3494" s="110" t="str">
        <f t="shared" si="260"/>
        <v>Snohomish River</v>
      </c>
      <c r="I3494" s="110" t="str">
        <f>IFERROR(VLOOKUP(H3494,LUTs!$A$1:$C$73,2,FALSE),"NA")</f>
        <v>Snohomish</v>
      </c>
      <c r="J3494" s="110" t="str">
        <f>IFERROR(VLOOKUP(H3494,LUTs!$A$1:$C$73,3,FALSE),"NA")</f>
        <v>2Central Puget Sound</v>
      </c>
      <c r="K3494" s="110" t="s">
        <v>26</v>
      </c>
      <c r="L3494" s="110" t="str">
        <f>VLOOKUP(K3494,LUTs!E$2:G$14,3,)</f>
        <v>20Other</v>
      </c>
      <c r="M3494" s="110" t="str">
        <f>VLOOKUP($K3494,LUTs!$E$2:$H$14,2,)</f>
        <v>Non Puget Sound</v>
      </c>
      <c r="N3494" s="110" t="str">
        <f>VLOOKUP($K3494,LUTs!$E$2:$H$14,4,)</f>
        <v>07Non Puget Sound</v>
      </c>
      <c r="O3494" s="110">
        <v>8.7619047619047592</v>
      </c>
      <c r="P3494" s="110">
        <v>162.53333333333299</v>
      </c>
      <c r="Q3494" s="110">
        <f>SUMIFS('FW_Steelhead_by_Month_2010-2021'!Q$2:Q$3810,'FW_Steelhead_by_Month_2010-2021'!$B$2:$B$3810,'Rec_raw_catch_effort_2010-2021'!$B3494,'FW_Steelhead_by_Month_2010-2021'!$H$2:$H$3810,'Rec_raw_catch_effort_2010-2021'!$F3494,'FW_Steelhead_by_Month_2010-2021'!$M$2:$M$3810,'Rec_raw_catch_effort_2010-2021'!$K3494)</f>
        <v>4.3333333333333304</v>
      </c>
      <c r="R3494" s="111">
        <f>VLOOKUP(B3494,Readme!$A$62:$C$74,3,)*Q3494</f>
        <v>90.684695074476878</v>
      </c>
      <c r="S3494" s="140" t="str">
        <f t="shared" si="261"/>
        <v>Y</v>
      </c>
      <c r="T3494" s="154">
        <f t="shared" si="262"/>
        <v>18.549999999999965</v>
      </c>
      <c r="U3494" s="154">
        <f t="shared" si="263"/>
        <v>20.927237324879293</v>
      </c>
    </row>
    <row r="3495" spans="1:21" x14ac:dyDescent="0.35">
      <c r="A3495" s="110">
        <v>1969</v>
      </c>
      <c r="B3495" s="110">
        <v>2017</v>
      </c>
      <c r="C3495" s="110" t="s">
        <v>38</v>
      </c>
      <c r="D3495" s="110" t="s">
        <v>143</v>
      </c>
      <c r="E3495" s="110" t="s">
        <v>86</v>
      </c>
      <c r="F3495" s="117">
        <v>850</v>
      </c>
      <c r="G3495" s="110" t="s">
        <v>63</v>
      </c>
      <c r="H3495" s="110" t="str">
        <f t="shared" si="260"/>
        <v>Snohomish River</v>
      </c>
      <c r="I3495" s="110" t="str">
        <f>IFERROR(VLOOKUP(H3495,LUTs!$A$1:$C$73,2,FALSE),"NA")</f>
        <v>Snohomish</v>
      </c>
      <c r="J3495" s="110" t="str">
        <f>IFERROR(VLOOKUP(H3495,LUTs!$A$1:$C$73,3,FALSE),"NA")</f>
        <v>2Central Puget Sound</v>
      </c>
      <c r="K3495" s="110" t="s">
        <v>16</v>
      </c>
      <c r="L3495" s="110" t="str">
        <f>VLOOKUP(K3495,LUTs!E$2:G$14,3,)</f>
        <v>03Snohomish</v>
      </c>
      <c r="M3495" s="110" t="str">
        <f>VLOOKUP($K3495,LUTs!$E$2:$H$14,2,)</f>
        <v>North Puget Sound</v>
      </c>
      <c r="N3495" s="110" t="str">
        <f>VLOOKUP($K3495,LUTs!$E$2:$H$14,4,)</f>
        <v>01North Puget Sound</v>
      </c>
      <c r="O3495" s="110">
        <v>359.23809523809501</v>
      </c>
      <c r="P3495" s="110">
        <v>6663.8666666666604</v>
      </c>
      <c r="Q3495" s="110">
        <f>SUMIFS('FW_Steelhead_by_Month_2010-2021'!Q$2:Q$3810,'FW_Steelhead_by_Month_2010-2021'!$B$2:$B$3810,'Rec_raw_catch_effort_2010-2021'!$B3495,'FW_Steelhead_by_Month_2010-2021'!$H$2:$H$3810,'Rec_raw_catch_effort_2010-2021'!$F3495,'FW_Steelhead_by_Month_2010-2021'!$M$2:$M$3810,'Rec_raw_catch_effort_2010-2021'!$K3495)</f>
        <v>107.66666666666667</v>
      </c>
      <c r="R3495" s="111">
        <f>VLOOKUP(B3495,Readme!$A$62:$C$74,3,)*Q3495</f>
        <v>2253.1658853120039</v>
      </c>
      <c r="S3495" s="140" t="str">
        <f t="shared" si="261"/>
        <v>Y</v>
      </c>
      <c r="T3495" s="154">
        <f t="shared" si="262"/>
        <v>18.549999999999994</v>
      </c>
      <c r="U3495" s="154">
        <f t="shared" si="263"/>
        <v>20.927237324879293</v>
      </c>
    </row>
    <row r="3496" spans="1:21" x14ac:dyDescent="0.35">
      <c r="A3496" s="110">
        <v>2109</v>
      </c>
      <c r="B3496" s="110">
        <v>2018</v>
      </c>
      <c r="C3496" s="110" t="s">
        <v>38</v>
      </c>
      <c r="D3496" s="110" t="s">
        <v>143</v>
      </c>
      <c r="E3496" s="110" t="s">
        <v>86</v>
      </c>
      <c r="F3496" s="117">
        <v>850</v>
      </c>
      <c r="G3496" s="110" t="s">
        <v>63</v>
      </c>
      <c r="H3496" s="110" t="str">
        <f t="shared" si="260"/>
        <v>Snohomish River</v>
      </c>
      <c r="I3496" s="110" t="str">
        <f>IFERROR(VLOOKUP(H3496,LUTs!$A$1:$C$73,2,FALSE),"NA")</f>
        <v>Snohomish</v>
      </c>
      <c r="J3496" s="110" t="str">
        <f>IFERROR(VLOOKUP(H3496,LUTs!$A$1:$C$73,3,FALSE),"NA")</f>
        <v>2Central Puget Sound</v>
      </c>
      <c r="K3496" s="110" t="s">
        <v>16</v>
      </c>
      <c r="L3496" s="110" t="str">
        <f>VLOOKUP(K3496,LUTs!E$2:G$14,3,)</f>
        <v>03Snohomish</v>
      </c>
      <c r="M3496" s="110" t="str">
        <f>VLOOKUP($K3496,LUTs!$E$2:$H$14,2,)</f>
        <v>North Puget Sound</v>
      </c>
      <c r="N3496" s="110" t="str">
        <f>VLOOKUP($K3496,LUTs!$E$2:$H$14,4,)</f>
        <v>01North Puget Sound</v>
      </c>
      <c r="O3496" s="110">
        <v>158</v>
      </c>
      <c r="P3496" s="110">
        <v>1349.32</v>
      </c>
      <c r="Q3496" s="110">
        <f>SUMIFS('FW_Steelhead_by_Month_2010-2021'!Q$2:Q$3810,'FW_Steelhead_by_Month_2010-2021'!$B$2:$B$3810,'Rec_raw_catch_effort_2010-2021'!$B3496,'FW_Steelhead_by_Month_2010-2021'!$H$2:$H$3810,'Rec_raw_catch_effort_2010-2021'!$F3496,'FW_Steelhead_by_Month_2010-2021'!$M$2:$M$3810,'Rec_raw_catch_effort_2010-2021'!$K3496)</f>
        <v>145</v>
      </c>
      <c r="R3496" s="111">
        <f>VLOOKUP(B3496,Readme!$A$62:$C$74,3,)*Q3496</f>
        <v>3034.4494121074977</v>
      </c>
      <c r="S3496" s="140" t="str">
        <f t="shared" si="261"/>
        <v>Y</v>
      </c>
      <c r="T3496" s="154">
        <f t="shared" si="262"/>
        <v>8.5399999999999991</v>
      </c>
      <c r="U3496" s="154">
        <f t="shared" si="263"/>
        <v>20.927237324879293</v>
      </c>
    </row>
    <row r="3497" spans="1:21" x14ac:dyDescent="0.35">
      <c r="A3497" s="110">
        <v>2251</v>
      </c>
      <c r="B3497" s="110">
        <v>2019</v>
      </c>
      <c r="C3497" s="110" t="s">
        <v>38</v>
      </c>
      <c r="D3497" s="110" t="s">
        <v>143</v>
      </c>
      <c r="E3497" s="110" t="s">
        <v>86</v>
      </c>
      <c r="F3497" s="117">
        <v>850</v>
      </c>
      <c r="G3497" s="110" t="s">
        <v>63</v>
      </c>
      <c r="H3497" s="110" t="str">
        <f t="shared" si="260"/>
        <v>Snohomish River</v>
      </c>
      <c r="I3497" s="110" t="str">
        <f>IFERROR(VLOOKUP(H3497,LUTs!$A$1:$C$73,2,FALSE),"NA")</f>
        <v>Snohomish</v>
      </c>
      <c r="J3497" s="110" t="str">
        <f>IFERROR(VLOOKUP(H3497,LUTs!$A$1:$C$73,3,FALSE),"NA")</f>
        <v>2Central Puget Sound</v>
      </c>
      <c r="K3497" s="110" t="s">
        <v>18</v>
      </c>
      <c r="L3497" s="110" t="str">
        <f>VLOOKUP(K3497,LUTs!E$2:G$14,3,)</f>
        <v>06King</v>
      </c>
      <c r="M3497" s="110" t="str">
        <f>VLOOKUP($K3497,LUTs!$E$2:$H$14,2,)</f>
        <v>South Puget Sound</v>
      </c>
      <c r="N3497" s="110" t="str">
        <f>VLOOKUP($K3497,LUTs!$E$2:$H$14,4,)</f>
        <v>02South Puget Sound</v>
      </c>
      <c r="O3497" s="110">
        <v>5</v>
      </c>
      <c r="P3497" s="110">
        <v>92.75</v>
      </c>
      <c r="Q3497" s="110">
        <f>SUMIFS('FW_Steelhead_by_Month_2010-2021'!Q$2:Q$3810,'FW_Steelhead_by_Month_2010-2021'!$B$2:$B$3810,'Rec_raw_catch_effort_2010-2021'!$B3497,'FW_Steelhead_by_Month_2010-2021'!$H$2:$H$3810,'Rec_raw_catch_effort_2010-2021'!$F3497,'FW_Steelhead_by_Month_2010-2021'!$M$2:$M$3810,'Rec_raw_catch_effort_2010-2021'!$K3497)</f>
        <v>2</v>
      </c>
      <c r="R3497" s="111">
        <f>VLOOKUP(B3497,Readme!$A$62:$C$74,3,)*Q3497</f>
        <v>41.854474649758586</v>
      </c>
      <c r="S3497" s="140" t="str">
        <f t="shared" si="261"/>
        <v>Y</v>
      </c>
      <c r="T3497" s="154">
        <f t="shared" si="262"/>
        <v>18.55</v>
      </c>
      <c r="U3497" s="154">
        <f t="shared" si="263"/>
        <v>20.927237324879293</v>
      </c>
    </row>
    <row r="3498" spans="1:21" x14ac:dyDescent="0.35">
      <c r="A3498" s="110">
        <v>2250</v>
      </c>
      <c r="B3498" s="110">
        <v>2019</v>
      </c>
      <c r="C3498" s="110" t="s">
        <v>38</v>
      </c>
      <c r="D3498" s="110" t="s">
        <v>143</v>
      </c>
      <c r="E3498" s="110" t="s">
        <v>86</v>
      </c>
      <c r="F3498" s="117">
        <v>850</v>
      </c>
      <c r="G3498" s="110" t="s">
        <v>63</v>
      </c>
      <c r="H3498" s="110" t="str">
        <f t="shared" si="260"/>
        <v>Snohomish River</v>
      </c>
      <c r="I3498" s="110" t="str">
        <f>IFERROR(VLOOKUP(H3498,LUTs!$A$1:$C$73,2,FALSE),"NA")</f>
        <v>Snohomish</v>
      </c>
      <c r="J3498" s="110" t="str">
        <f>IFERROR(VLOOKUP(H3498,LUTs!$A$1:$C$73,3,FALSE),"NA")</f>
        <v>2Central Puget Sound</v>
      </c>
      <c r="K3498" s="110" t="s">
        <v>16</v>
      </c>
      <c r="L3498" s="110" t="str">
        <f>VLOOKUP(K3498,LUTs!E$2:G$14,3,)</f>
        <v>03Snohomish</v>
      </c>
      <c r="M3498" s="110" t="str">
        <f>VLOOKUP($K3498,LUTs!$E$2:$H$14,2,)</f>
        <v>North Puget Sound</v>
      </c>
      <c r="N3498" s="110" t="str">
        <f>VLOOKUP($K3498,LUTs!$E$2:$H$14,4,)</f>
        <v>01North Puget Sound</v>
      </c>
      <c r="O3498" s="110">
        <v>15</v>
      </c>
      <c r="P3498" s="110">
        <v>278.25</v>
      </c>
      <c r="Q3498" s="110">
        <f>SUMIFS('FW_Steelhead_by_Month_2010-2021'!Q$2:Q$3810,'FW_Steelhead_by_Month_2010-2021'!$B$2:$B$3810,'Rec_raw_catch_effort_2010-2021'!$B3498,'FW_Steelhead_by_Month_2010-2021'!$H$2:$H$3810,'Rec_raw_catch_effort_2010-2021'!$F3498,'FW_Steelhead_by_Month_2010-2021'!$M$2:$M$3810,'Rec_raw_catch_effort_2010-2021'!$K3498)</f>
        <v>14</v>
      </c>
      <c r="R3498" s="111">
        <f>VLOOKUP(B3498,Readme!$A$62:$C$74,3,)*Q3498</f>
        <v>292.98132254831012</v>
      </c>
      <c r="S3498" s="140" t="str">
        <f t="shared" si="261"/>
        <v>Y</v>
      </c>
      <c r="T3498" s="154">
        <f t="shared" si="262"/>
        <v>18.55</v>
      </c>
      <c r="U3498" s="154">
        <f t="shared" si="263"/>
        <v>20.927237324879293</v>
      </c>
    </row>
    <row r="3499" spans="1:21" x14ac:dyDescent="0.35">
      <c r="A3499" s="110">
        <v>2427</v>
      </c>
      <c r="B3499" s="110">
        <v>2020</v>
      </c>
      <c r="C3499" s="110" t="s">
        <v>38</v>
      </c>
      <c r="D3499" s="110" t="s">
        <v>143</v>
      </c>
      <c r="E3499" s="110" t="s">
        <v>86</v>
      </c>
      <c r="F3499" s="117">
        <v>850</v>
      </c>
      <c r="G3499" s="110" t="s">
        <v>63</v>
      </c>
      <c r="H3499" s="110" t="str">
        <f t="shared" si="260"/>
        <v>Snohomish River</v>
      </c>
      <c r="I3499" s="110" t="str">
        <f>IFERROR(VLOOKUP(H3499,LUTs!$A$1:$C$73,2,FALSE),"NA")</f>
        <v>Snohomish</v>
      </c>
      <c r="J3499" s="110" t="str">
        <f>IFERROR(VLOOKUP(H3499,LUTs!$A$1:$C$73,3,FALSE),"NA")</f>
        <v>2Central Puget Sound</v>
      </c>
      <c r="K3499" s="110" t="s">
        <v>26</v>
      </c>
      <c r="L3499" s="110" t="str">
        <f>VLOOKUP(K3499,LUTs!E$2:G$14,3,)</f>
        <v>20Other</v>
      </c>
      <c r="M3499" s="110" t="str">
        <f>VLOOKUP($K3499,LUTs!$E$2:$H$14,2,)</f>
        <v>Non Puget Sound</v>
      </c>
      <c r="N3499" s="110" t="str">
        <f>VLOOKUP($K3499,LUTs!$E$2:$H$14,4,)</f>
        <v>07Non Puget Sound</v>
      </c>
      <c r="O3499" s="110">
        <v>16</v>
      </c>
      <c r="P3499" s="110">
        <v>136.63999999999999</v>
      </c>
      <c r="Q3499" s="110">
        <f>SUMIFS('FW_Steelhead_by_Month_2010-2021'!Q$2:Q$3810,'FW_Steelhead_by_Month_2010-2021'!$B$2:$B$3810,'Rec_raw_catch_effort_2010-2021'!$B3499,'FW_Steelhead_by_Month_2010-2021'!$H$2:$H$3810,'Rec_raw_catch_effort_2010-2021'!$F3499,'FW_Steelhead_by_Month_2010-2021'!$M$2:$M$3810,'Rec_raw_catch_effort_2010-2021'!$K3499)</f>
        <v>7.5</v>
      </c>
      <c r="R3499" s="111">
        <f>VLOOKUP(B3499,Readme!$A$62:$C$74,3,)*Q3499</f>
        <v>156.9542799365947</v>
      </c>
      <c r="S3499" s="140" t="str">
        <f t="shared" si="261"/>
        <v>N</v>
      </c>
      <c r="T3499" s="154">
        <f t="shared" si="262"/>
        <v>8.5399999999999991</v>
      </c>
      <c r="U3499" s="154">
        <f t="shared" si="263"/>
        <v>20.927237324879293</v>
      </c>
    </row>
    <row r="3500" spans="1:21" x14ac:dyDescent="0.35">
      <c r="A3500" s="110">
        <v>2367</v>
      </c>
      <c r="B3500" s="110">
        <v>2020</v>
      </c>
      <c r="C3500" s="110" t="s">
        <v>38</v>
      </c>
      <c r="D3500" s="110" t="s">
        <v>143</v>
      </c>
      <c r="E3500" s="110" t="s">
        <v>86</v>
      </c>
      <c r="F3500" s="117">
        <v>850</v>
      </c>
      <c r="G3500" s="110" t="s">
        <v>63</v>
      </c>
      <c r="H3500" s="110" t="str">
        <f t="shared" si="260"/>
        <v>Snohomish River</v>
      </c>
      <c r="I3500" s="110" t="str">
        <f>IFERROR(VLOOKUP(H3500,LUTs!$A$1:$C$73,2,FALSE),"NA")</f>
        <v>Snohomish</v>
      </c>
      <c r="J3500" s="110" t="str">
        <f>IFERROR(VLOOKUP(H3500,LUTs!$A$1:$C$73,3,FALSE),"NA")</f>
        <v>2Central Puget Sound</v>
      </c>
      <c r="K3500" s="110" t="s">
        <v>16</v>
      </c>
      <c r="L3500" s="110" t="str">
        <f>VLOOKUP(K3500,LUTs!E$2:G$14,3,)</f>
        <v>03Snohomish</v>
      </c>
      <c r="M3500" s="110" t="str">
        <f>VLOOKUP($K3500,LUTs!$E$2:$H$14,2,)</f>
        <v>North Puget Sound</v>
      </c>
      <c r="N3500" s="110" t="str">
        <f>VLOOKUP($K3500,LUTs!$E$2:$H$14,4,)</f>
        <v>01North Puget Sound</v>
      </c>
      <c r="O3500" s="110">
        <v>48</v>
      </c>
      <c r="P3500" s="110">
        <v>409.92</v>
      </c>
      <c r="Q3500" s="110">
        <f>SUMIFS('FW_Steelhead_by_Month_2010-2021'!Q$2:Q$3810,'FW_Steelhead_by_Month_2010-2021'!$B$2:$B$3810,'Rec_raw_catch_effort_2010-2021'!$B3500,'FW_Steelhead_by_Month_2010-2021'!$H$2:$H$3810,'Rec_raw_catch_effort_2010-2021'!$F3500,'FW_Steelhead_by_Month_2010-2021'!$M$2:$M$3810,'Rec_raw_catch_effort_2010-2021'!$K3500)</f>
        <v>7.5</v>
      </c>
      <c r="R3500" s="111">
        <f>VLOOKUP(B3500,Readme!$A$62:$C$74,3,)*Q3500</f>
        <v>156.9542799365947</v>
      </c>
      <c r="S3500" s="140" t="str">
        <f t="shared" si="261"/>
        <v>N</v>
      </c>
      <c r="T3500" s="154">
        <f t="shared" si="262"/>
        <v>8.5400000000000009</v>
      </c>
      <c r="U3500" s="154">
        <f t="shared" si="263"/>
        <v>20.927237324879293</v>
      </c>
    </row>
    <row r="3501" spans="1:21" x14ac:dyDescent="0.35">
      <c r="A3501" s="110">
        <v>2582</v>
      </c>
      <c r="B3501" s="110">
        <v>2021</v>
      </c>
      <c r="C3501" s="110" t="s">
        <v>38</v>
      </c>
      <c r="D3501" s="110" t="s">
        <v>143</v>
      </c>
      <c r="E3501" s="110" t="s">
        <v>86</v>
      </c>
      <c r="F3501" s="117">
        <v>850</v>
      </c>
      <c r="G3501" s="110" t="s">
        <v>63</v>
      </c>
      <c r="H3501" s="110" t="str">
        <f t="shared" si="260"/>
        <v>Snohomish River</v>
      </c>
      <c r="I3501" s="110" t="str">
        <f>IFERROR(VLOOKUP(H3501,LUTs!$A$1:$C$73,2,FALSE),"NA")</f>
        <v>Snohomish</v>
      </c>
      <c r="J3501" s="110" t="str">
        <f>IFERROR(VLOOKUP(H3501,LUTs!$A$1:$C$73,3,FALSE),"NA")</f>
        <v>2Central Puget Sound</v>
      </c>
      <c r="K3501" s="110" t="s">
        <v>18</v>
      </c>
      <c r="L3501" s="110" t="str">
        <f>VLOOKUP(K3501,LUTs!E$2:G$14,3,)</f>
        <v>06King</v>
      </c>
      <c r="M3501" s="110" t="str">
        <f>VLOOKUP($K3501,LUTs!$E$2:$H$14,2,)</f>
        <v>South Puget Sound</v>
      </c>
      <c r="N3501" s="110" t="str">
        <f>VLOOKUP($K3501,LUTs!$E$2:$H$14,4,)</f>
        <v>02South Puget Sound</v>
      </c>
      <c r="O3501" s="110">
        <v>14.7777777777778</v>
      </c>
      <c r="P3501" s="110">
        <v>274.12777777777802</v>
      </c>
      <c r="Q3501" s="110">
        <f>SUMIFS('FW_Steelhead_by_Month_2010-2021'!Q$2:Q$3810,'FW_Steelhead_by_Month_2010-2021'!$B$2:$B$3810,'Rec_raw_catch_effort_2010-2021'!$B3501,'FW_Steelhead_by_Month_2010-2021'!$H$2:$H$3810,'Rec_raw_catch_effort_2010-2021'!$F3501,'FW_Steelhead_by_Month_2010-2021'!$M$2:$M$3810,'Rec_raw_catch_effort_2010-2021'!$K3501)</f>
        <v>7</v>
      </c>
      <c r="R3501" s="111">
        <f>VLOOKUP(B3501,Readme!$A$62:$C$74,3,)*Q3501</f>
        <v>146.49066127415506</v>
      </c>
      <c r="S3501" s="140" t="str">
        <f t="shared" si="261"/>
        <v>N</v>
      </c>
      <c r="T3501" s="154">
        <f t="shared" si="262"/>
        <v>18.54999999999999</v>
      </c>
      <c r="U3501" s="154">
        <f t="shared" si="263"/>
        <v>20.927237324879293</v>
      </c>
    </row>
    <row r="3502" spans="1:21" x14ac:dyDescent="0.35">
      <c r="A3502" s="110">
        <v>2539</v>
      </c>
      <c r="B3502" s="110">
        <v>2021</v>
      </c>
      <c r="C3502" s="110" t="s">
        <v>38</v>
      </c>
      <c r="D3502" s="110" t="s">
        <v>143</v>
      </c>
      <c r="E3502" s="110" t="s">
        <v>86</v>
      </c>
      <c r="F3502" s="117">
        <v>850</v>
      </c>
      <c r="G3502" s="110" t="s">
        <v>63</v>
      </c>
      <c r="H3502" s="110" t="str">
        <f t="shared" si="260"/>
        <v>Snohomish River</v>
      </c>
      <c r="I3502" s="110" t="str">
        <f>IFERROR(VLOOKUP(H3502,LUTs!$A$1:$C$73,2,FALSE),"NA")</f>
        <v>Snohomish</v>
      </c>
      <c r="J3502" s="110" t="str">
        <f>IFERROR(VLOOKUP(H3502,LUTs!$A$1:$C$73,3,FALSE),"NA")</f>
        <v>2Central Puget Sound</v>
      </c>
      <c r="K3502" s="110" t="s">
        <v>16</v>
      </c>
      <c r="L3502" s="110" t="str">
        <f>VLOOKUP(K3502,LUTs!E$2:G$14,3,)</f>
        <v>03Snohomish</v>
      </c>
      <c r="M3502" s="110" t="str">
        <f>VLOOKUP($K3502,LUTs!$E$2:$H$14,2,)</f>
        <v>North Puget Sound</v>
      </c>
      <c r="N3502" s="110" t="str">
        <f>VLOOKUP($K3502,LUTs!$E$2:$H$14,4,)</f>
        <v>01North Puget Sound</v>
      </c>
      <c r="O3502" s="110">
        <v>251.222222222222</v>
      </c>
      <c r="P3502" s="110">
        <v>4660.1722222222197</v>
      </c>
      <c r="Q3502" s="110">
        <f>SUMIFS('FW_Steelhead_by_Month_2010-2021'!Q$2:Q$3810,'FW_Steelhead_by_Month_2010-2021'!$B$2:$B$3810,'Rec_raw_catch_effort_2010-2021'!$B3502,'FW_Steelhead_by_Month_2010-2021'!$H$2:$H$3810,'Rec_raw_catch_effort_2010-2021'!$F3502,'FW_Steelhead_by_Month_2010-2021'!$M$2:$M$3810,'Rec_raw_catch_effort_2010-2021'!$K3502)</f>
        <v>113</v>
      </c>
      <c r="R3502" s="111">
        <f>VLOOKUP(B3502,Readme!$A$62:$C$74,3,)*Q3502</f>
        <v>2364.7778177113601</v>
      </c>
      <c r="S3502" s="140" t="str">
        <f t="shared" si="261"/>
        <v>N</v>
      </c>
      <c r="T3502" s="154">
        <f t="shared" si="262"/>
        <v>18.550000000000008</v>
      </c>
      <c r="U3502" s="154">
        <f t="shared" si="263"/>
        <v>20.927237324879293</v>
      </c>
    </row>
    <row r="3503" spans="1:21" x14ac:dyDescent="0.35">
      <c r="A3503" s="110">
        <v>54</v>
      </c>
      <c r="B3503" s="110">
        <v>2010</v>
      </c>
      <c r="C3503" s="110" t="s">
        <v>38</v>
      </c>
      <c r="D3503" s="110" t="s">
        <v>143</v>
      </c>
      <c r="E3503" s="110" t="s">
        <v>86</v>
      </c>
      <c r="F3503" s="117">
        <v>852</v>
      </c>
      <c r="G3503" s="110" t="s">
        <v>64</v>
      </c>
      <c r="H3503" s="110" t="str">
        <f t="shared" si="260"/>
        <v>Snoqualmie River</v>
      </c>
      <c r="I3503" s="110" t="str">
        <f>IFERROR(VLOOKUP(H3503,LUTs!$A$1:$C$73,2,FALSE),"NA")</f>
        <v>Snohomish/King</v>
      </c>
      <c r="J3503" s="110" t="str">
        <f>IFERROR(VLOOKUP(H3503,LUTs!$A$1:$C$73,3,FALSE),"NA")</f>
        <v>2Central Puget Sound</v>
      </c>
      <c r="K3503" s="110" t="s">
        <v>17</v>
      </c>
      <c r="L3503" s="110" t="str">
        <f>VLOOKUP(K3503,LUTs!E$2:G$14,3,)</f>
        <v>04Island</v>
      </c>
      <c r="M3503" s="110" t="str">
        <f>VLOOKUP($K3503,LUTs!$E$2:$H$14,2,)</f>
        <v>North Puget Sound</v>
      </c>
      <c r="N3503" s="110" t="str">
        <f>VLOOKUP($K3503,LUTs!$E$2:$H$14,4,)</f>
        <v>01North Puget Sound</v>
      </c>
      <c r="O3503" s="110">
        <v>2.4073107049608402</v>
      </c>
      <c r="P3503" s="110">
        <v>20.558433420365599</v>
      </c>
      <c r="Q3503" s="110">
        <f>SUMIFS('FW_Steelhead_by_Month_2010-2021'!Q$2:Q$3810,'FW_Steelhead_by_Month_2010-2021'!$B$2:$B$3810,'Rec_raw_catch_effort_2010-2021'!$B3503,'FW_Steelhead_by_Month_2010-2021'!$H$2:$H$3810,'Rec_raw_catch_effort_2010-2021'!$F3503,'FW_Steelhead_by_Month_2010-2021'!$M$2:$M$3810,'Rec_raw_catch_effort_2010-2021'!$K3503)</f>
        <v>2.3172043010752699</v>
      </c>
      <c r="R3503" s="111">
        <f>VLOOKUP(B3503,Readme!$A$62:$C$74,3,)*Q3503</f>
        <v>48.492684338833222</v>
      </c>
      <c r="S3503" s="140" t="str">
        <f t="shared" si="261"/>
        <v>Y</v>
      </c>
      <c r="T3503" s="154">
        <f t="shared" si="262"/>
        <v>8.5400000000000098</v>
      </c>
      <c r="U3503" s="154">
        <f t="shared" si="263"/>
        <v>20.927237324879293</v>
      </c>
    </row>
    <row r="3504" spans="1:21" x14ac:dyDescent="0.35">
      <c r="A3504" s="110">
        <v>55</v>
      </c>
      <c r="B3504" s="110">
        <v>2010</v>
      </c>
      <c r="C3504" s="110" t="s">
        <v>38</v>
      </c>
      <c r="D3504" s="110" t="s">
        <v>143</v>
      </c>
      <c r="E3504" s="110" t="s">
        <v>86</v>
      </c>
      <c r="F3504" s="117">
        <v>852</v>
      </c>
      <c r="G3504" s="110" t="s">
        <v>64</v>
      </c>
      <c r="H3504" s="110" t="str">
        <f t="shared" si="260"/>
        <v>Snoqualmie River</v>
      </c>
      <c r="I3504" s="110" t="str">
        <f>IFERROR(VLOOKUP(H3504,LUTs!$A$1:$C$73,2,FALSE),"NA")</f>
        <v>Snohomish/King</v>
      </c>
      <c r="J3504" s="110" t="str">
        <f>IFERROR(VLOOKUP(H3504,LUTs!$A$1:$C$73,3,FALSE),"NA")</f>
        <v>2Central Puget Sound</v>
      </c>
      <c r="K3504" s="110" t="s">
        <v>18</v>
      </c>
      <c r="L3504" s="110" t="str">
        <f>VLOOKUP(K3504,LUTs!E$2:G$14,3,)</f>
        <v>06King</v>
      </c>
      <c r="M3504" s="110" t="str">
        <f>VLOOKUP($K3504,LUTs!$E$2:$H$14,2,)</f>
        <v>South Puget Sound</v>
      </c>
      <c r="N3504" s="110" t="str">
        <f>VLOOKUP($K3504,LUTs!$E$2:$H$14,4,)</f>
        <v>02South Puget Sound</v>
      </c>
      <c r="O3504" s="110">
        <v>844.96605744125304</v>
      </c>
      <c r="P3504" s="110">
        <v>7216.0101305483004</v>
      </c>
      <c r="Q3504" s="110">
        <f>SUMIFS('FW_Steelhead_by_Month_2010-2021'!Q$2:Q$3810,'FW_Steelhead_by_Month_2010-2021'!$B$2:$B$3810,'Rec_raw_catch_effort_2010-2021'!$B3504,'FW_Steelhead_by_Month_2010-2021'!$H$2:$H$3810,'Rec_raw_catch_effort_2010-2021'!$F3504,'FW_Steelhead_by_Month_2010-2021'!$M$2:$M$3810,'Rec_raw_catch_effort_2010-2021'!$K3504)</f>
        <v>781.39789200047335</v>
      </c>
      <c r="R3504" s="111">
        <f>VLOOKUP(B3504,Readme!$A$62:$C$74,3,)*Q3504</f>
        <v>16352.499131054305</v>
      </c>
      <c r="S3504" s="140" t="str">
        <f t="shared" si="261"/>
        <v>Y</v>
      </c>
      <c r="T3504" s="154">
        <f t="shared" si="262"/>
        <v>8.5399999999999991</v>
      </c>
      <c r="U3504" s="154">
        <f t="shared" si="263"/>
        <v>20.927237324879293</v>
      </c>
    </row>
    <row r="3505" spans="1:21" x14ac:dyDescent="0.35">
      <c r="A3505" s="110">
        <v>58</v>
      </c>
      <c r="B3505" s="110">
        <v>2010</v>
      </c>
      <c r="C3505" s="110" t="s">
        <v>38</v>
      </c>
      <c r="D3505" s="110" t="s">
        <v>143</v>
      </c>
      <c r="E3505" s="110" t="s">
        <v>86</v>
      </c>
      <c r="F3505" s="117">
        <v>852</v>
      </c>
      <c r="G3505" s="110" t="s">
        <v>64</v>
      </c>
      <c r="H3505" s="110" t="str">
        <f t="shared" si="260"/>
        <v>Snoqualmie River</v>
      </c>
      <c r="I3505" s="110" t="str">
        <f>IFERROR(VLOOKUP(H3505,LUTs!$A$1:$C$73,2,FALSE),"NA")</f>
        <v>Snohomish/King</v>
      </c>
      <c r="J3505" s="110" t="str">
        <f>IFERROR(VLOOKUP(H3505,LUTs!$A$1:$C$73,3,FALSE),"NA")</f>
        <v>2Central Puget Sound</v>
      </c>
      <c r="K3505" s="110" t="s">
        <v>23</v>
      </c>
      <c r="L3505" s="110" t="str">
        <f>VLOOKUP(K3505,LUTs!E$2:G$14,3,)</f>
        <v>10Kitsap</v>
      </c>
      <c r="M3505" s="110" t="str">
        <f>VLOOKUP($K3505,LUTs!$E$2:$H$14,2,)</f>
        <v>South Puget Sound</v>
      </c>
      <c r="N3505" s="110" t="str">
        <f>VLOOKUP($K3505,LUTs!$E$2:$H$14,4,)</f>
        <v>02South Puget Sound</v>
      </c>
      <c r="O3505" s="110">
        <v>2.4073107049608402</v>
      </c>
      <c r="P3505" s="110">
        <v>20.558433420365599</v>
      </c>
      <c r="Q3505" s="110">
        <f>SUMIFS('FW_Steelhead_by_Month_2010-2021'!Q$2:Q$3810,'FW_Steelhead_by_Month_2010-2021'!$B$2:$B$3810,'Rec_raw_catch_effort_2010-2021'!$B3505,'FW_Steelhead_by_Month_2010-2021'!$H$2:$H$3810,'Rec_raw_catch_effort_2010-2021'!$F3505,'FW_Steelhead_by_Month_2010-2021'!$M$2:$M$3810,'Rec_raw_catch_effort_2010-2021'!$K3505)</f>
        <v>0</v>
      </c>
      <c r="R3505" s="111">
        <f>VLOOKUP(B3505,Readme!$A$62:$C$74,3,)*Q3505</f>
        <v>0</v>
      </c>
      <c r="S3505" s="140" t="str">
        <f t="shared" si="261"/>
        <v>Y</v>
      </c>
      <c r="T3505" s="154">
        <f t="shared" si="262"/>
        <v>8.5400000000000098</v>
      </c>
      <c r="U3505" s="154" t="str">
        <f t="shared" si="263"/>
        <v>NA</v>
      </c>
    </row>
    <row r="3506" spans="1:21" x14ac:dyDescent="0.35">
      <c r="A3506" s="110">
        <v>59</v>
      </c>
      <c r="B3506" s="110">
        <v>2010</v>
      </c>
      <c r="C3506" s="110" t="s">
        <v>38</v>
      </c>
      <c r="D3506" s="110" t="s">
        <v>143</v>
      </c>
      <c r="E3506" s="110" t="s">
        <v>86</v>
      </c>
      <c r="F3506" s="117">
        <v>852</v>
      </c>
      <c r="G3506" s="110" t="s">
        <v>64</v>
      </c>
      <c r="H3506" s="110" t="str">
        <f t="shared" si="260"/>
        <v>Snoqualmie River</v>
      </c>
      <c r="I3506" s="110" t="str">
        <f>IFERROR(VLOOKUP(H3506,LUTs!$A$1:$C$73,2,FALSE),"NA")</f>
        <v>Snohomish/King</v>
      </c>
      <c r="J3506" s="110" t="str">
        <f>IFERROR(VLOOKUP(H3506,LUTs!$A$1:$C$73,3,FALSE),"NA")</f>
        <v>2Central Puget Sound</v>
      </c>
      <c r="K3506" s="110" t="s">
        <v>26</v>
      </c>
      <c r="L3506" s="110" t="str">
        <f>VLOOKUP(K3506,LUTs!E$2:G$14,3,)</f>
        <v>20Other</v>
      </c>
      <c r="M3506" s="110" t="str">
        <f>VLOOKUP($K3506,LUTs!$E$2:$H$14,2,)</f>
        <v>Non Puget Sound</v>
      </c>
      <c r="N3506" s="110" t="str">
        <f>VLOOKUP($K3506,LUTs!$E$2:$H$14,4,)</f>
        <v>07Non Puget Sound</v>
      </c>
      <c r="O3506" s="110">
        <v>16.851174934725901</v>
      </c>
      <c r="P3506" s="110">
        <v>143.90903394255901</v>
      </c>
      <c r="Q3506" s="110">
        <f>SUMIFS('FW_Steelhead_by_Month_2010-2021'!Q$2:Q$3810,'FW_Steelhead_by_Month_2010-2021'!$B$2:$B$3810,'Rec_raw_catch_effort_2010-2021'!$B3506,'FW_Steelhead_by_Month_2010-2021'!$H$2:$H$3810,'Rec_raw_catch_effort_2010-2021'!$F3506,'FW_Steelhead_by_Month_2010-2021'!$M$2:$M$3810,'Rec_raw_catch_effort_2010-2021'!$K3506)</f>
        <v>17.154751270235138</v>
      </c>
      <c r="R3506" s="111">
        <f>VLOOKUP(B3506,Readme!$A$62:$C$74,3,)*Q3506</f>
        <v>359.00155108148527</v>
      </c>
      <c r="S3506" s="140" t="str">
        <f t="shared" si="261"/>
        <v>Y</v>
      </c>
      <c r="T3506" s="154">
        <f t="shared" si="262"/>
        <v>8.5399999999999885</v>
      </c>
      <c r="U3506" s="154">
        <f t="shared" si="263"/>
        <v>20.927237324879293</v>
      </c>
    </row>
    <row r="3507" spans="1:21" x14ac:dyDescent="0.35">
      <c r="A3507" s="110">
        <v>56</v>
      </c>
      <c r="B3507" s="110">
        <v>2010</v>
      </c>
      <c r="C3507" s="110" t="s">
        <v>38</v>
      </c>
      <c r="D3507" s="110" t="s">
        <v>143</v>
      </c>
      <c r="E3507" s="110" t="s">
        <v>86</v>
      </c>
      <c r="F3507" s="117">
        <v>852</v>
      </c>
      <c r="G3507" s="110" t="s">
        <v>64</v>
      </c>
      <c r="H3507" s="110" t="str">
        <f t="shared" si="260"/>
        <v>Snoqualmie River</v>
      </c>
      <c r="I3507" s="110" t="str">
        <f>IFERROR(VLOOKUP(H3507,LUTs!$A$1:$C$73,2,FALSE),"NA")</f>
        <v>Snohomish/King</v>
      </c>
      <c r="J3507" s="110" t="str">
        <f>IFERROR(VLOOKUP(H3507,LUTs!$A$1:$C$73,3,FALSE),"NA")</f>
        <v>2Central Puget Sound</v>
      </c>
      <c r="K3507" s="110" t="s">
        <v>20</v>
      </c>
      <c r="L3507" s="110" t="str">
        <f>VLOOKUP(K3507,LUTs!E$2:G$14,3,)</f>
        <v>07Pierce</v>
      </c>
      <c r="M3507" s="110" t="str">
        <f>VLOOKUP($K3507,LUTs!$E$2:$H$14,2,)</f>
        <v>South Puget Sound</v>
      </c>
      <c r="N3507" s="110" t="str">
        <f>VLOOKUP($K3507,LUTs!$E$2:$H$14,4,)</f>
        <v>02South Puget Sound</v>
      </c>
      <c r="O3507" s="110">
        <v>19.2584856396867</v>
      </c>
      <c r="P3507" s="110">
        <v>164.467467362924</v>
      </c>
      <c r="Q3507" s="110">
        <f>SUMIFS('FW_Steelhead_by_Month_2010-2021'!Q$2:Q$3810,'FW_Steelhead_by_Month_2010-2021'!$B$2:$B$3810,'Rec_raw_catch_effort_2010-2021'!$B3507,'FW_Steelhead_by_Month_2010-2021'!$H$2:$H$3810,'Rec_raw_catch_effort_2010-2021'!$F3507,'FW_Steelhead_by_Month_2010-2021'!$M$2:$M$3810,'Rec_raw_catch_effort_2010-2021'!$K3507)</f>
        <v>18.546021505376299</v>
      </c>
      <c r="R3507" s="111">
        <f>VLOOKUP(B3507,Readme!$A$62:$C$74,3,)*Q3507</f>
        <v>388.11699347532493</v>
      </c>
      <c r="S3507" s="140" t="str">
        <f t="shared" si="261"/>
        <v>Y</v>
      </c>
      <c r="T3507" s="154">
        <f t="shared" si="262"/>
        <v>8.5399999999999778</v>
      </c>
      <c r="U3507" s="154">
        <f t="shared" si="263"/>
        <v>20.927237324879293</v>
      </c>
    </row>
    <row r="3508" spans="1:21" x14ac:dyDescent="0.35">
      <c r="A3508" s="110">
        <v>53</v>
      </c>
      <c r="B3508" s="110">
        <v>2010</v>
      </c>
      <c r="C3508" s="110" t="s">
        <v>38</v>
      </c>
      <c r="D3508" s="110" t="s">
        <v>143</v>
      </c>
      <c r="E3508" s="110" t="s">
        <v>86</v>
      </c>
      <c r="F3508" s="117">
        <v>852</v>
      </c>
      <c r="G3508" s="110" t="s">
        <v>64</v>
      </c>
      <c r="H3508" s="110" t="str">
        <f t="shared" si="260"/>
        <v>Snoqualmie River</v>
      </c>
      <c r="I3508" s="110" t="str">
        <f>IFERROR(VLOOKUP(H3508,LUTs!$A$1:$C$73,2,FALSE),"NA")</f>
        <v>Snohomish/King</v>
      </c>
      <c r="J3508" s="110" t="str">
        <f>IFERROR(VLOOKUP(H3508,LUTs!$A$1:$C$73,3,FALSE),"NA")</f>
        <v>2Central Puget Sound</v>
      </c>
      <c r="K3508" s="110" t="s">
        <v>16</v>
      </c>
      <c r="L3508" s="110" t="str">
        <f>VLOOKUP(K3508,LUTs!E$2:G$14,3,)</f>
        <v>03Snohomish</v>
      </c>
      <c r="M3508" s="110" t="str">
        <f>VLOOKUP($K3508,LUTs!$E$2:$H$14,2,)</f>
        <v>North Puget Sound</v>
      </c>
      <c r="N3508" s="110" t="str">
        <f>VLOOKUP($K3508,LUTs!$E$2:$H$14,4,)</f>
        <v>01North Puget Sound</v>
      </c>
      <c r="O3508" s="110">
        <v>31.295039164490898</v>
      </c>
      <c r="P3508" s="110">
        <v>267.25963446475203</v>
      </c>
      <c r="Q3508" s="110">
        <f>SUMIFS('FW_Steelhead_by_Month_2010-2021'!Q$2:Q$3810,'FW_Steelhead_by_Month_2010-2021'!$B$2:$B$3810,'Rec_raw_catch_effort_2010-2021'!$B3508,'FW_Steelhead_by_Month_2010-2021'!$H$2:$H$3810,'Rec_raw_catch_effort_2010-2021'!$F3508,'FW_Steelhead_by_Month_2010-2021'!$M$2:$M$3810,'Rec_raw_catch_effort_2010-2021'!$K3508)</f>
        <v>32.949722320690114</v>
      </c>
      <c r="R3508" s="111">
        <f>VLOOKUP(B3508,Readme!$A$62:$C$74,3,)*Q3508</f>
        <v>689.54665879395452</v>
      </c>
      <c r="S3508" s="140" t="str">
        <f t="shared" si="261"/>
        <v>Y</v>
      </c>
      <c r="T3508" s="154">
        <f t="shared" si="262"/>
        <v>8.539999999999992</v>
      </c>
      <c r="U3508" s="154">
        <f t="shared" si="263"/>
        <v>20.927237324879293</v>
      </c>
    </row>
    <row r="3509" spans="1:21" x14ac:dyDescent="0.35">
      <c r="A3509" s="110">
        <v>57</v>
      </c>
      <c r="B3509" s="110">
        <v>2010</v>
      </c>
      <c r="C3509" s="110" t="s">
        <v>38</v>
      </c>
      <c r="D3509" s="110" t="s">
        <v>143</v>
      </c>
      <c r="E3509" s="110" t="s">
        <v>86</v>
      </c>
      <c r="F3509" s="117">
        <v>852</v>
      </c>
      <c r="G3509" s="110" t="s">
        <v>64</v>
      </c>
      <c r="H3509" s="110" t="str">
        <f t="shared" si="260"/>
        <v>Snoqualmie River</v>
      </c>
      <c r="I3509" s="110" t="str">
        <f>IFERROR(VLOOKUP(H3509,LUTs!$A$1:$C$73,2,FALSE),"NA")</f>
        <v>Snohomish/King</v>
      </c>
      <c r="J3509" s="110" t="str">
        <f>IFERROR(VLOOKUP(H3509,LUTs!$A$1:$C$73,3,FALSE),"NA")</f>
        <v>2Central Puget Sound</v>
      </c>
      <c r="K3509" s="110" t="s">
        <v>21</v>
      </c>
      <c r="L3509" s="110" t="str">
        <f>VLOOKUP(K3509,LUTs!E$2:G$14,3,)</f>
        <v>08Thurston</v>
      </c>
      <c r="M3509" s="110" t="str">
        <f>VLOOKUP($K3509,LUTs!$E$2:$H$14,2,)</f>
        <v>South Puget Sound</v>
      </c>
      <c r="N3509" s="110" t="str">
        <f>VLOOKUP($K3509,LUTs!$E$2:$H$14,4,)</f>
        <v>02South Puget Sound</v>
      </c>
      <c r="O3509" s="110">
        <v>4.8146214099216698</v>
      </c>
      <c r="P3509" s="110">
        <v>41.116866840731099</v>
      </c>
      <c r="Q3509" s="110">
        <f>SUMIFS('FW_Steelhead_by_Month_2010-2021'!Q$2:Q$3810,'FW_Steelhead_by_Month_2010-2021'!$B$2:$B$3810,'Rec_raw_catch_effort_2010-2021'!$B3509,'FW_Steelhead_by_Month_2010-2021'!$H$2:$H$3810,'Rec_raw_catch_effort_2010-2021'!$F3509,'FW_Steelhead_by_Month_2010-2021'!$M$2:$M$3810,'Rec_raw_catch_effort_2010-2021'!$K3509)</f>
        <v>4.6344086021505397</v>
      </c>
      <c r="R3509" s="111">
        <f>VLOOKUP(B3509,Readme!$A$62:$C$74,3,)*Q3509</f>
        <v>96.985368677666443</v>
      </c>
      <c r="S3509" s="140" t="str">
        <f t="shared" si="261"/>
        <v>Y</v>
      </c>
      <c r="T3509" s="154">
        <f t="shared" si="262"/>
        <v>8.540000000000008</v>
      </c>
      <c r="U3509" s="154">
        <f t="shared" si="263"/>
        <v>20.927237324879293</v>
      </c>
    </row>
    <row r="3510" spans="1:21" x14ac:dyDescent="0.35">
      <c r="A3510" s="110">
        <v>66</v>
      </c>
      <c r="B3510" s="110">
        <v>2011</v>
      </c>
      <c r="C3510" s="110" t="s">
        <v>38</v>
      </c>
      <c r="D3510" s="110" t="s">
        <v>143</v>
      </c>
      <c r="E3510" s="110" t="s">
        <v>86</v>
      </c>
      <c r="F3510" s="117">
        <v>852</v>
      </c>
      <c r="G3510" s="110" t="s">
        <v>64</v>
      </c>
      <c r="H3510" s="110" t="str">
        <f t="shared" si="260"/>
        <v>Snoqualmie River</v>
      </c>
      <c r="I3510" s="110" t="str">
        <f>IFERROR(VLOOKUP(H3510,LUTs!$A$1:$C$73,2,FALSE),"NA")</f>
        <v>Snohomish/King</v>
      </c>
      <c r="J3510" s="110" t="str">
        <f>IFERROR(VLOOKUP(H3510,LUTs!$A$1:$C$73,3,FALSE),"NA")</f>
        <v>2Central Puget Sound</v>
      </c>
      <c r="K3510" s="110" t="s">
        <v>18</v>
      </c>
      <c r="L3510" s="110" t="str">
        <f>VLOOKUP(K3510,LUTs!E$2:G$14,3,)</f>
        <v>06King</v>
      </c>
      <c r="M3510" s="110" t="str">
        <f>VLOOKUP($K3510,LUTs!$E$2:$H$14,2,)</f>
        <v>South Puget Sound</v>
      </c>
      <c r="N3510" s="110" t="str">
        <f>VLOOKUP($K3510,LUTs!$E$2:$H$14,4,)</f>
        <v>02South Puget Sound</v>
      </c>
      <c r="O3510" s="110">
        <v>1302.90619136961</v>
      </c>
      <c r="P3510" s="110">
        <v>24168.9098499063</v>
      </c>
      <c r="Q3510" s="110">
        <f>SUMIFS('FW_Steelhead_by_Month_2010-2021'!Q$2:Q$3810,'FW_Steelhead_by_Month_2010-2021'!$B$2:$B$3810,'Rec_raw_catch_effort_2010-2021'!$B3510,'FW_Steelhead_by_Month_2010-2021'!$H$2:$H$3810,'Rec_raw_catch_effort_2010-2021'!$F3510,'FW_Steelhead_by_Month_2010-2021'!$M$2:$M$3810,'Rec_raw_catch_effort_2010-2021'!$K3510)</f>
        <v>1014.4068146935435</v>
      </c>
      <c r="R3510" s="111">
        <f>VLOOKUP(B3510,Readme!$A$62:$C$74,3,)*Q3510</f>
        <v>21228.732155066638</v>
      </c>
      <c r="S3510" s="140" t="str">
        <f t="shared" si="261"/>
        <v>Y</v>
      </c>
      <c r="T3510" s="154">
        <f t="shared" si="262"/>
        <v>18.550000000000026</v>
      </c>
      <c r="U3510" s="154">
        <f t="shared" si="263"/>
        <v>20.927237324879293</v>
      </c>
    </row>
    <row r="3511" spans="1:21" x14ac:dyDescent="0.35">
      <c r="A3511" s="110">
        <v>145</v>
      </c>
      <c r="B3511" s="110">
        <v>2011</v>
      </c>
      <c r="C3511" s="110" t="s">
        <v>38</v>
      </c>
      <c r="D3511" s="110" t="s">
        <v>143</v>
      </c>
      <c r="E3511" s="110" t="s">
        <v>86</v>
      </c>
      <c r="F3511" s="117">
        <v>852</v>
      </c>
      <c r="G3511" s="110" t="s">
        <v>64</v>
      </c>
      <c r="H3511" s="110" t="str">
        <f t="shared" si="260"/>
        <v>Snoqualmie River</v>
      </c>
      <c r="I3511" s="110" t="str">
        <f>IFERROR(VLOOKUP(H3511,LUTs!$A$1:$C$73,2,FALSE),"NA")</f>
        <v>Snohomish/King</v>
      </c>
      <c r="J3511" s="110" t="str">
        <f>IFERROR(VLOOKUP(H3511,LUTs!$A$1:$C$73,3,FALSE),"NA")</f>
        <v>2Central Puget Sound</v>
      </c>
      <c r="K3511" s="110" t="s">
        <v>23</v>
      </c>
      <c r="L3511" s="110" t="str">
        <f>VLOOKUP(K3511,LUTs!E$2:G$14,3,)</f>
        <v>10Kitsap</v>
      </c>
      <c r="M3511" s="110" t="str">
        <f>VLOOKUP($K3511,LUTs!$E$2:$H$14,2,)</f>
        <v>South Puget Sound</v>
      </c>
      <c r="N3511" s="110" t="str">
        <f>VLOOKUP($K3511,LUTs!$E$2:$H$14,4,)</f>
        <v>02South Puget Sound</v>
      </c>
      <c r="O3511" s="110">
        <v>2.54971857410882</v>
      </c>
      <c r="P3511" s="110">
        <v>47.297279549718603</v>
      </c>
      <c r="Q3511" s="110">
        <f>SUMIFS('FW_Steelhead_by_Month_2010-2021'!Q$2:Q$3810,'FW_Steelhead_by_Month_2010-2021'!$B$2:$B$3810,'Rec_raw_catch_effort_2010-2021'!$B3511,'FW_Steelhead_by_Month_2010-2021'!$H$2:$H$3810,'Rec_raw_catch_effort_2010-2021'!$F3511,'FW_Steelhead_by_Month_2010-2021'!$M$2:$M$3810,'Rec_raw_catch_effort_2010-2021'!$K3511)</f>
        <v>4.7124731402844606</v>
      </c>
      <c r="R3511" s="111">
        <f>VLOOKUP(B3511,Readme!$A$62:$C$74,3,)*Q3511</f>
        <v>98.6190437938521</v>
      </c>
      <c r="S3511" s="140" t="str">
        <f t="shared" si="261"/>
        <v>Y</v>
      </c>
      <c r="T3511" s="154">
        <f t="shared" si="262"/>
        <v>18.549999999999997</v>
      </c>
      <c r="U3511" s="154">
        <f t="shared" si="263"/>
        <v>20.927237324879293</v>
      </c>
    </row>
    <row r="3512" spans="1:21" x14ac:dyDescent="0.35">
      <c r="A3512" s="110">
        <v>146</v>
      </c>
      <c r="B3512" s="110">
        <v>2011</v>
      </c>
      <c r="C3512" s="110" t="s">
        <v>38</v>
      </c>
      <c r="D3512" s="110" t="s">
        <v>143</v>
      </c>
      <c r="E3512" s="110" t="s">
        <v>86</v>
      </c>
      <c r="F3512" s="117">
        <v>852</v>
      </c>
      <c r="G3512" s="110" t="s">
        <v>64</v>
      </c>
      <c r="H3512" s="110" t="str">
        <f t="shared" si="260"/>
        <v>Snoqualmie River</v>
      </c>
      <c r="I3512" s="110" t="str">
        <f>IFERROR(VLOOKUP(H3512,LUTs!$A$1:$C$73,2,FALSE),"NA")</f>
        <v>Snohomish/King</v>
      </c>
      <c r="J3512" s="110" t="str">
        <f>IFERROR(VLOOKUP(H3512,LUTs!$A$1:$C$73,3,FALSE),"NA")</f>
        <v>2Central Puget Sound</v>
      </c>
      <c r="K3512" s="110" t="s">
        <v>26</v>
      </c>
      <c r="L3512" s="110" t="str">
        <f>VLOOKUP(K3512,LUTs!E$2:G$14,3,)</f>
        <v>20Other</v>
      </c>
      <c r="M3512" s="110" t="str">
        <f>VLOOKUP($K3512,LUTs!$E$2:$H$14,2,)</f>
        <v>Non Puget Sound</v>
      </c>
      <c r="N3512" s="110" t="str">
        <f>VLOOKUP($K3512,LUTs!$E$2:$H$14,4,)</f>
        <v>07Non Puget Sound</v>
      </c>
      <c r="O3512" s="110">
        <v>17.848030018761701</v>
      </c>
      <c r="P3512" s="110">
        <v>331.08095684802998</v>
      </c>
      <c r="Q3512" s="110">
        <f>SUMIFS('FW_Steelhead_by_Month_2010-2021'!Q$2:Q$3810,'FW_Steelhead_by_Month_2010-2021'!$B$2:$B$3810,'Rec_raw_catch_effort_2010-2021'!$B3512,'FW_Steelhead_by_Month_2010-2021'!$H$2:$H$3810,'Rec_raw_catch_effort_2010-2021'!$F3512,'FW_Steelhead_by_Month_2010-2021'!$M$2:$M$3810,'Rec_raw_catch_effort_2010-2021'!$K3512)</f>
        <v>13.220178041543029</v>
      </c>
      <c r="R3512" s="111">
        <f>VLOOKUP(B3512,Readme!$A$62:$C$74,3,)*Q3512</f>
        <v>276.66180335252892</v>
      </c>
      <c r="S3512" s="140" t="str">
        <f t="shared" si="261"/>
        <v>Y</v>
      </c>
      <c r="T3512" s="154">
        <f t="shared" si="262"/>
        <v>18.550000000000026</v>
      </c>
      <c r="U3512" s="154">
        <f t="shared" si="263"/>
        <v>20.927237324879293</v>
      </c>
    </row>
    <row r="3513" spans="1:21" x14ac:dyDescent="0.35">
      <c r="A3513" s="110">
        <v>144</v>
      </c>
      <c r="B3513" s="110">
        <v>2011</v>
      </c>
      <c r="C3513" s="110" t="s">
        <v>38</v>
      </c>
      <c r="D3513" s="110" t="s">
        <v>143</v>
      </c>
      <c r="E3513" s="110" t="s">
        <v>86</v>
      </c>
      <c r="F3513" s="117">
        <v>852</v>
      </c>
      <c r="G3513" s="110" t="s">
        <v>64</v>
      </c>
      <c r="H3513" s="110" t="str">
        <f t="shared" si="260"/>
        <v>Snoqualmie River</v>
      </c>
      <c r="I3513" s="110" t="str">
        <f>IFERROR(VLOOKUP(H3513,LUTs!$A$1:$C$73,2,FALSE),"NA")</f>
        <v>Snohomish/King</v>
      </c>
      <c r="J3513" s="110" t="str">
        <f>IFERROR(VLOOKUP(H3513,LUTs!$A$1:$C$73,3,FALSE),"NA")</f>
        <v>2Central Puget Sound</v>
      </c>
      <c r="K3513" s="110" t="s">
        <v>20</v>
      </c>
      <c r="L3513" s="110" t="str">
        <f>VLOOKUP(K3513,LUTs!E$2:G$14,3,)</f>
        <v>07Pierce</v>
      </c>
      <c r="M3513" s="110" t="str">
        <f>VLOOKUP($K3513,LUTs!$E$2:$H$14,2,)</f>
        <v>South Puget Sound</v>
      </c>
      <c r="N3513" s="110" t="str">
        <f>VLOOKUP($K3513,LUTs!$E$2:$H$14,4,)</f>
        <v>02South Puget Sound</v>
      </c>
      <c r="O3513" s="110">
        <v>20.397748592870499</v>
      </c>
      <c r="P3513" s="110">
        <v>378.37823639774803</v>
      </c>
      <c r="Q3513" s="110">
        <f>SUMIFS('FW_Steelhead_by_Month_2010-2021'!Q$2:Q$3810,'FW_Steelhead_by_Month_2010-2021'!$B$2:$B$3810,'Rec_raw_catch_effort_2010-2021'!$B3513,'FW_Steelhead_by_Month_2010-2021'!$H$2:$H$3810,'Rec_raw_catch_effort_2010-2021'!$F3513,'FW_Steelhead_by_Month_2010-2021'!$M$2:$M$3810,'Rec_raw_catch_effort_2010-2021'!$K3513)</f>
        <v>18.040356083086099</v>
      </c>
      <c r="R3513" s="111">
        <f>VLOOKUP(B3513,Readme!$A$62:$C$74,3,)*Q3513</f>
        <v>377.53481317607259</v>
      </c>
      <c r="S3513" s="140" t="str">
        <f t="shared" si="261"/>
        <v>Y</v>
      </c>
      <c r="T3513" s="154">
        <f t="shared" si="262"/>
        <v>18.550000000000011</v>
      </c>
      <c r="U3513" s="154">
        <f t="shared" si="263"/>
        <v>20.927237324879293</v>
      </c>
    </row>
    <row r="3514" spans="1:21" x14ac:dyDescent="0.35">
      <c r="A3514" s="110">
        <v>64</v>
      </c>
      <c r="B3514" s="110">
        <v>2011</v>
      </c>
      <c r="C3514" s="110" t="s">
        <v>38</v>
      </c>
      <c r="D3514" s="110" t="s">
        <v>143</v>
      </c>
      <c r="E3514" s="110" t="s">
        <v>86</v>
      </c>
      <c r="F3514" s="117">
        <v>852</v>
      </c>
      <c r="G3514" s="110" t="s">
        <v>64</v>
      </c>
      <c r="H3514" s="110" t="str">
        <f t="shared" si="260"/>
        <v>Snoqualmie River</v>
      </c>
      <c r="I3514" s="110" t="str">
        <f>IFERROR(VLOOKUP(H3514,LUTs!$A$1:$C$73,2,FALSE),"NA")</f>
        <v>Snohomish/King</v>
      </c>
      <c r="J3514" s="110" t="str">
        <f>IFERROR(VLOOKUP(H3514,LUTs!$A$1:$C$73,3,FALSE),"NA")</f>
        <v>2Central Puget Sound</v>
      </c>
      <c r="K3514" s="110" t="s">
        <v>15</v>
      </c>
      <c r="L3514" s="110" t="str">
        <f>VLOOKUP(K3514,LUTs!E$2:G$14,3,)</f>
        <v>02Skagit</v>
      </c>
      <c r="M3514" s="110" t="str">
        <f>VLOOKUP($K3514,LUTs!$E$2:$H$14,2,)</f>
        <v>North Puget Sound</v>
      </c>
      <c r="N3514" s="110" t="str">
        <f>VLOOKUP($K3514,LUTs!$E$2:$H$14,4,)</f>
        <v>01North Puget Sound</v>
      </c>
      <c r="O3514" s="110">
        <v>2.54971857410882</v>
      </c>
      <c r="P3514" s="110">
        <v>47.297279549718603</v>
      </c>
      <c r="Q3514" s="110">
        <f>SUMIFS('FW_Steelhead_by_Month_2010-2021'!Q$2:Q$3810,'FW_Steelhead_by_Month_2010-2021'!$B$2:$B$3810,'Rec_raw_catch_effort_2010-2021'!$B3514,'FW_Steelhead_by_Month_2010-2021'!$H$2:$H$3810,'Rec_raw_catch_effort_2010-2021'!$F3514,'FW_Steelhead_by_Month_2010-2021'!$M$2:$M$3810,'Rec_raw_catch_effort_2010-2021'!$K3514)</f>
        <v>0</v>
      </c>
      <c r="R3514" s="111">
        <f>VLOOKUP(B3514,Readme!$A$62:$C$74,3,)*Q3514</f>
        <v>0</v>
      </c>
      <c r="S3514" s="140" t="str">
        <f t="shared" si="261"/>
        <v>Y</v>
      </c>
      <c r="T3514" s="154">
        <f t="shared" si="262"/>
        <v>18.549999999999997</v>
      </c>
      <c r="U3514" s="154" t="str">
        <f t="shared" si="263"/>
        <v>NA</v>
      </c>
    </row>
    <row r="3515" spans="1:21" x14ac:dyDescent="0.35">
      <c r="A3515" s="110">
        <v>65</v>
      </c>
      <c r="B3515" s="110">
        <v>2011</v>
      </c>
      <c r="C3515" s="110" t="s">
        <v>38</v>
      </c>
      <c r="D3515" s="110" t="s">
        <v>143</v>
      </c>
      <c r="E3515" s="110" t="s">
        <v>86</v>
      </c>
      <c r="F3515" s="117">
        <v>852</v>
      </c>
      <c r="G3515" s="110" t="s">
        <v>64</v>
      </c>
      <c r="H3515" s="110" t="str">
        <f t="shared" si="260"/>
        <v>Snoqualmie River</v>
      </c>
      <c r="I3515" s="110" t="str">
        <f>IFERROR(VLOOKUP(H3515,LUTs!$A$1:$C$73,2,FALSE),"NA")</f>
        <v>Snohomish/King</v>
      </c>
      <c r="J3515" s="110" t="str">
        <f>IFERROR(VLOOKUP(H3515,LUTs!$A$1:$C$73,3,FALSE),"NA")</f>
        <v>2Central Puget Sound</v>
      </c>
      <c r="K3515" s="110" t="s">
        <v>16</v>
      </c>
      <c r="L3515" s="110" t="str">
        <f>VLOOKUP(K3515,LUTs!E$2:G$14,3,)</f>
        <v>03Snohomish</v>
      </c>
      <c r="M3515" s="110" t="str">
        <f>VLOOKUP($K3515,LUTs!$E$2:$H$14,2,)</f>
        <v>North Puget Sound</v>
      </c>
      <c r="N3515" s="110" t="str">
        <f>VLOOKUP($K3515,LUTs!$E$2:$H$14,4,)</f>
        <v>01North Puget Sound</v>
      </c>
      <c r="O3515" s="110">
        <v>10.198874296435299</v>
      </c>
      <c r="P3515" s="110">
        <v>189.18911819887501</v>
      </c>
      <c r="Q3515" s="110">
        <f>SUMIFS('FW_Steelhead_by_Month_2010-2021'!Q$2:Q$3810,'FW_Steelhead_by_Month_2010-2021'!$B$2:$B$3810,'Rec_raw_catch_effort_2010-2021'!$B3515,'FW_Steelhead_by_Month_2010-2021'!$H$2:$H$3810,'Rec_raw_catch_effort_2010-2021'!$F3515,'FW_Steelhead_by_Month_2010-2021'!$M$2:$M$3810,'Rec_raw_catch_effort_2010-2021'!$K3515)</f>
        <v>7.6201780415430296</v>
      </c>
      <c r="R3515" s="111">
        <f>VLOOKUP(B3515,Readme!$A$62:$C$74,3,)*Q3515</f>
        <v>159.46927433320488</v>
      </c>
      <c r="S3515" s="140" t="str">
        <f t="shared" si="261"/>
        <v>Y</v>
      </c>
      <c r="T3515" s="154">
        <f t="shared" si="262"/>
        <v>18.550000000000018</v>
      </c>
      <c r="U3515" s="154">
        <f t="shared" si="263"/>
        <v>20.927237324879293</v>
      </c>
    </row>
    <row r="3516" spans="1:21" x14ac:dyDescent="0.35">
      <c r="A3516" s="110">
        <v>63</v>
      </c>
      <c r="B3516" s="110">
        <v>2011</v>
      </c>
      <c r="C3516" s="110" t="s">
        <v>38</v>
      </c>
      <c r="D3516" s="110" t="s">
        <v>143</v>
      </c>
      <c r="E3516" s="110" t="s">
        <v>86</v>
      </c>
      <c r="F3516" s="117">
        <v>852</v>
      </c>
      <c r="G3516" s="110" t="s">
        <v>64</v>
      </c>
      <c r="H3516" s="110" t="str">
        <f t="shared" si="260"/>
        <v>Snoqualmie River</v>
      </c>
      <c r="I3516" s="110" t="str">
        <f>IFERROR(VLOOKUP(H3516,LUTs!$A$1:$C$73,2,FALSE),"NA")</f>
        <v>Snohomish/King</v>
      </c>
      <c r="J3516" s="110" t="str">
        <f>IFERROR(VLOOKUP(H3516,LUTs!$A$1:$C$73,3,FALSE),"NA")</f>
        <v>2Central Puget Sound</v>
      </c>
      <c r="K3516" s="110" t="s">
        <v>13</v>
      </c>
      <c r="L3516" s="110" t="str">
        <f>VLOOKUP(K3516,LUTs!E$2:G$14,3,)</f>
        <v>01Whatcom</v>
      </c>
      <c r="M3516" s="110" t="str">
        <f>VLOOKUP($K3516,LUTs!$E$2:$H$14,2,)</f>
        <v>North Puget Sound</v>
      </c>
      <c r="N3516" s="110" t="str">
        <f>VLOOKUP($K3516,LUTs!$E$2:$H$14,4,)</f>
        <v>01North Puget Sound</v>
      </c>
      <c r="O3516" s="110">
        <v>2.54971857410882</v>
      </c>
      <c r="P3516" s="110">
        <v>47.297279549718603</v>
      </c>
      <c r="Q3516" s="110">
        <f>SUMIFS('FW_Steelhead_by_Month_2010-2021'!Q$2:Q$3810,'FW_Steelhead_by_Month_2010-2021'!$B$2:$B$3810,'Rec_raw_catch_effort_2010-2021'!$B3516,'FW_Steelhead_by_Month_2010-2021'!$H$2:$H$3810,'Rec_raw_catch_effort_2010-2021'!$F3516,'FW_Steelhead_by_Month_2010-2021'!$M$2:$M$3810,'Rec_raw_catch_effort_2010-2021'!$K3516)</f>
        <v>0</v>
      </c>
      <c r="R3516" s="111">
        <f>VLOOKUP(B3516,Readme!$A$62:$C$74,3,)*Q3516</f>
        <v>0</v>
      </c>
      <c r="S3516" s="140" t="str">
        <f t="shared" si="261"/>
        <v>Y</v>
      </c>
      <c r="T3516" s="154">
        <f t="shared" si="262"/>
        <v>18.549999999999997</v>
      </c>
      <c r="U3516" s="154" t="str">
        <f t="shared" si="263"/>
        <v>NA</v>
      </c>
    </row>
    <row r="3517" spans="1:21" x14ac:dyDescent="0.35">
      <c r="A3517" s="110">
        <v>151</v>
      </c>
      <c r="B3517" s="110">
        <v>2012</v>
      </c>
      <c r="C3517" s="110" t="s">
        <v>38</v>
      </c>
      <c r="D3517" s="110" t="s">
        <v>143</v>
      </c>
      <c r="E3517" s="110" t="s">
        <v>86</v>
      </c>
      <c r="F3517" s="117">
        <v>852</v>
      </c>
      <c r="G3517" s="110" t="s">
        <v>64</v>
      </c>
      <c r="H3517" s="110" t="str">
        <f t="shared" si="260"/>
        <v>Snoqualmie River</v>
      </c>
      <c r="I3517" s="110" t="str">
        <f>IFERROR(VLOOKUP(H3517,LUTs!$A$1:$C$73,2,FALSE),"NA")</f>
        <v>Snohomish/King</v>
      </c>
      <c r="J3517" s="110" t="str">
        <f>IFERROR(VLOOKUP(H3517,LUTs!$A$1:$C$73,3,FALSE),"NA")</f>
        <v>2Central Puget Sound</v>
      </c>
      <c r="K3517" s="110" t="s">
        <v>18</v>
      </c>
      <c r="L3517" s="110" t="str">
        <f>VLOOKUP(K3517,LUTs!E$2:G$14,3,)</f>
        <v>06King</v>
      </c>
      <c r="M3517" s="110" t="str">
        <f>VLOOKUP($K3517,LUTs!$E$2:$H$14,2,)</f>
        <v>South Puget Sound</v>
      </c>
      <c r="N3517" s="110" t="str">
        <f>VLOOKUP($K3517,LUTs!$E$2:$H$14,4,)</f>
        <v>02South Puget Sound</v>
      </c>
      <c r="O3517" s="110">
        <v>1063.7588832487299</v>
      </c>
      <c r="P3517" s="110">
        <v>9084.5008629441509</v>
      </c>
      <c r="Q3517" s="110">
        <f>SUMIFS('FW_Steelhead_by_Month_2010-2021'!Q$2:Q$3810,'FW_Steelhead_by_Month_2010-2021'!$B$2:$B$3810,'Rec_raw_catch_effort_2010-2021'!$B3517,'FW_Steelhead_by_Month_2010-2021'!$H$2:$H$3810,'Rec_raw_catch_effort_2010-2021'!$F3517,'FW_Steelhead_by_Month_2010-2021'!$M$2:$M$3810,'Rec_raw_catch_effort_2010-2021'!$K3517)</f>
        <v>1165.6452782131657</v>
      </c>
      <c r="R3517" s="111">
        <f>VLOOKUP(B3517,Readme!$A$62:$C$74,3,)*Q3517</f>
        <v>24393.735373791871</v>
      </c>
      <c r="S3517" s="140" t="str">
        <f t="shared" si="261"/>
        <v>Y</v>
      </c>
      <c r="T3517" s="154">
        <f t="shared" si="262"/>
        <v>8.5399999999999974</v>
      </c>
      <c r="U3517" s="154">
        <f t="shared" si="263"/>
        <v>20.927237324879293</v>
      </c>
    </row>
    <row r="3518" spans="1:21" x14ac:dyDescent="0.35">
      <c r="A3518" s="110">
        <v>154</v>
      </c>
      <c r="B3518" s="110">
        <v>2012</v>
      </c>
      <c r="C3518" s="110" t="s">
        <v>38</v>
      </c>
      <c r="D3518" s="110" t="s">
        <v>143</v>
      </c>
      <c r="E3518" s="110" t="s">
        <v>86</v>
      </c>
      <c r="F3518" s="117">
        <v>852</v>
      </c>
      <c r="G3518" s="110" t="s">
        <v>64</v>
      </c>
      <c r="H3518" s="110" t="str">
        <f t="shared" si="260"/>
        <v>Snoqualmie River</v>
      </c>
      <c r="I3518" s="110" t="str">
        <f>IFERROR(VLOOKUP(H3518,LUTs!$A$1:$C$73,2,FALSE),"NA")</f>
        <v>Snohomish/King</v>
      </c>
      <c r="J3518" s="110" t="str">
        <f>IFERROR(VLOOKUP(H3518,LUTs!$A$1:$C$73,3,FALSE),"NA")</f>
        <v>2Central Puget Sound</v>
      </c>
      <c r="K3518" s="110" t="s">
        <v>23</v>
      </c>
      <c r="L3518" s="110" t="str">
        <f>VLOOKUP(K3518,LUTs!E$2:G$14,3,)</f>
        <v>10Kitsap</v>
      </c>
      <c r="M3518" s="110" t="str">
        <f>VLOOKUP($K3518,LUTs!$E$2:$H$14,2,)</f>
        <v>South Puget Sound</v>
      </c>
      <c r="N3518" s="110" t="str">
        <f>VLOOKUP($K3518,LUTs!$E$2:$H$14,4,)</f>
        <v>02South Puget Sound</v>
      </c>
      <c r="O3518" s="110">
        <v>2.9467005076142101</v>
      </c>
      <c r="P3518" s="110">
        <v>25.164822335025399</v>
      </c>
      <c r="Q3518" s="110">
        <f>SUMIFS('FW_Steelhead_by_Month_2010-2021'!Q$2:Q$3810,'FW_Steelhead_by_Month_2010-2021'!$B$2:$B$3810,'Rec_raw_catch_effort_2010-2021'!$B3518,'FW_Steelhead_by_Month_2010-2021'!$H$2:$H$3810,'Rec_raw_catch_effort_2010-2021'!$F3518,'FW_Steelhead_by_Month_2010-2021'!$M$2:$M$3810,'Rec_raw_catch_effort_2010-2021'!$K3518)</f>
        <v>2.9507575757575801</v>
      </c>
      <c r="R3518" s="111">
        <f>VLOOKUP(B3518,Readme!$A$62:$C$74,3,)*Q3518</f>
        <v>61.751204076064369</v>
      </c>
      <c r="S3518" s="140" t="str">
        <f t="shared" si="261"/>
        <v>Y</v>
      </c>
      <c r="T3518" s="154">
        <f t="shared" si="262"/>
        <v>8.5400000000000151</v>
      </c>
      <c r="U3518" s="154">
        <f t="shared" si="263"/>
        <v>20.927237324879293</v>
      </c>
    </row>
    <row r="3519" spans="1:21" x14ac:dyDescent="0.35">
      <c r="A3519" s="110">
        <v>155</v>
      </c>
      <c r="B3519" s="110">
        <v>2012</v>
      </c>
      <c r="C3519" s="110" t="s">
        <v>38</v>
      </c>
      <c r="D3519" s="110" t="s">
        <v>143</v>
      </c>
      <c r="E3519" s="110" t="s">
        <v>86</v>
      </c>
      <c r="F3519" s="117">
        <v>852</v>
      </c>
      <c r="G3519" s="110" t="s">
        <v>64</v>
      </c>
      <c r="H3519" s="110" t="str">
        <f t="shared" si="260"/>
        <v>Snoqualmie River</v>
      </c>
      <c r="I3519" s="110" t="str">
        <f>IFERROR(VLOOKUP(H3519,LUTs!$A$1:$C$73,2,FALSE),"NA")</f>
        <v>Snohomish/King</v>
      </c>
      <c r="J3519" s="110" t="str">
        <f>IFERROR(VLOOKUP(H3519,LUTs!$A$1:$C$73,3,FALSE),"NA")</f>
        <v>2Central Puget Sound</v>
      </c>
      <c r="K3519" s="110" t="s">
        <v>26</v>
      </c>
      <c r="L3519" s="110" t="str">
        <f>VLOOKUP(K3519,LUTs!E$2:G$14,3,)</f>
        <v>20Other</v>
      </c>
      <c r="M3519" s="110" t="str">
        <f>VLOOKUP($K3519,LUTs!$E$2:$H$14,2,)</f>
        <v>Non Puget Sound</v>
      </c>
      <c r="N3519" s="110" t="str">
        <f>VLOOKUP($K3519,LUTs!$E$2:$H$14,4,)</f>
        <v>07Non Puget Sound</v>
      </c>
      <c r="O3519" s="110">
        <v>11.786802030456901</v>
      </c>
      <c r="P3519" s="110">
        <v>100.65928934010201</v>
      </c>
      <c r="Q3519" s="110">
        <f>SUMIFS('FW_Steelhead_by_Month_2010-2021'!Q$2:Q$3810,'FW_Steelhead_by_Month_2010-2021'!$B$2:$B$3810,'Rec_raw_catch_effort_2010-2021'!$B3519,'FW_Steelhead_by_Month_2010-2021'!$H$2:$H$3810,'Rec_raw_catch_effort_2010-2021'!$F3519,'FW_Steelhead_by_Month_2010-2021'!$M$2:$M$3810,'Rec_raw_catch_effort_2010-2021'!$K3519)</f>
        <v>13.95383522727273</v>
      </c>
      <c r="R3519" s="111">
        <f>VLOOKUP(B3519,Readme!$A$62:$C$74,3,)*Q3519</f>
        <v>292.01522139339744</v>
      </c>
      <c r="S3519" s="140" t="str">
        <f t="shared" si="261"/>
        <v>Y</v>
      </c>
      <c r="T3519" s="154">
        <f t="shared" si="262"/>
        <v>8.5400000000000063</v>
      </c>
      <c r="U3519" s="154">
        <f t="shared" si="263"/>
        <v>20.927237324879297</v>
      </c>
    </row>
    <row r="3520" spans="1:21" x14ac:dyDescent="0.35">
      <c r="A3520" s="110">
        <v>152</v>
      </c>
      <c r="B3520" s="110">
        <v>2012</v>
      </c>
      <c r="C3520" s="110" t="s">
        <v>38</v>
      </c>
      <c r="D3520" s="110" t="s">
        <v>143</v>
      </c>
      <c r="E3520" s="110" t="s">
        <v>86</v>
      </c>
      <c r="F3520" s="117">
        <v>852</v>
      </c>
      <c r="G3520" s="110" t="s">
        <v>64</v>
      </c>
      <c r="H3520" s="110" t="str">
        <f t="shared" si="260"/>
        <v>Snoqualmie River</v>
      </c>
      <c r="I3520" s="110" t="str">
        <f>IFERROR(VLOOKUP(H3520,LUTs!$A$1:$C$73,2,FALSE),"NA")</f>
        <v>Snohomish/King</v>
      </c>
      <c r="J3520" s="110" t="str">
        <f>IFERROR(VLOOKUP(H3520,LUTs!$A$1:$C$73,3,FALSE),"NA")</f>
        <v>2Central Puget Sound</v>
      </c>
      <c r="K3520" s="110" t="s">
        <v>20</v>
      </c>
      <c r="L3520" s="110" t="str">
        <f>VLOOKUP(K3520,LUTs!E$2:G$14,3,)</f>
        <v>07Pierce</v>
      </c>
      <c r="M3520" s="110" t="str">
        <f>VLOOKUP($K3520,LUTs!$E$2:$H$14,2,)</f>
        <v>South Puget Sound</v>
      </c>
      <c r="N3520" s="110" t="str">
        <f>VLOOKUP($K3520,LUTs!$E$2:$H$14,4,)</f>
        <v>02South Puget Sound</v>
      </c>
      <c r="O3520" s="110">
        <v>35.360406091370599</v>
      </c>
      <c r="P3520" s="110">
        <v>301.97786802030498</v>
      </c>
      <c r="Q3520" s="110">
        <f>SUMIFS('FW_Steelhead_by_Month_2010-2021'!Q$2:Q$3810,'FW_Steelhead_by_Month_2010-2021'!$B$2:$B$3810,'Rec_raw_catch_effort_2010-2021'!$B3520,'FW_Steelhead_by_Month_2010-2021'!$H$2:$H$3810,'Rec_raw_catch_effort_2010-2021'!$F3520,'FW_Steelhead_by_Month_2010-2021'!$M$2:$M$3810,'Rec_raw_catch_effort_2010-2021'!$K3520)</f>
        <v>37.948153409090899</v>
      </c>
      <c r="R3520" s="111">
        <f>VLOOKUP(B3520,Readme!$A$62:$C$74,3,)*Q3520</f>
        <v>794.15001243297252</v>
      </c>
      <c r="S3520" s="140" t="str">
        <f t="shared" si="261"/>
        <v>Y</v>
      </c>
      <c r="T3520" s="154">
        <f t="shared" si="262"/>
        <v>8.5400000000000009</v>
      </c>
      <c r="U3520" s="154">
        <f t="shared" si="263"/>
        <v>20.927237324879293</v>
      </c>
    </row>
    <row r="3521" spans="1:21" x14ac:dyDescent="0.35">
      <c r="A3521" s="110">
        <v>150</v>
      </c>
      <c r="B3521" s="110">
        <v>2012</v>
      </c>
      <c r="C3521" s="110" t="s">
        <v>38</v>
      </c>
      <c r="D3521" s="110" t="s">
        <v>143</v>
      </c>
      <c r="E3521" s="110" t="s">
        <v>86</v>
      </c>
      <c r="F3521" s="117">
        <v>852</v>
      </c>
      <c r="G3521" s="110" t="s">
        <v>64</v>
      </c>
      <c r="H3521" s="110" t="str">
        <f t="shared" si="260"/>
        <v>Snoqualmie River</v>
      </c>
      <c r="I3521" s="110" t="str">
        <f>IFERROR(VLOOKUP(H3521,LUTs!$A$1:$C$73,2,FALSE),"NA")</f>
        <v>Snohomish/King</v>
      </c>
      <c r="J3521" s="110" t="str">
        <f>IFERROR(VLOOKUP(H3521,LUTs!$A$1:$C$73,3,FALSE),"NA")</f>
        <v>2Central Puget Sound</v>
      </c>
      <c r="K3521" s="110" t="s">
        <v>16</v>
      </c>
      <c r="L3521" s="110" t="str">
        <f>VLOOKUP(K3521,LUTs!E$2:G$14,3,)</f>
        <v>03Snohomish</v>
      </c>
      <c r="M3521" s="110" t="str">
        <f>VLOOKUP($K3521,LUTs!$E$2:$H$14,2,)</f>
        <v>North Puget Sound</v>
      </c>
      <c r="N3521" s="110" t="str">
        <f>VLOOKUP($K3521,LUTs!$E$2:$H$14,4,)</f>
        <v>01North Puget Sound</v>
      </c>
      <c r="O3521" s="110">
        <v>44.200507614213201</v>
      </c>
      <c r="P3521" s="110">
        <v>377.47233502538103</v>
      </c>
      <c r="Q3521" s="110">
        <f>SUMIFS('FW_Steelhead_by_Month_2010-2021'!Q$2:Q$3810,'FW_Steelhead_by_Month_2010-2021'!$B$2:$B$3810,'Rec_raw_catch_effort_2010-2021'!$B3521,'FW_Steelhead_by_Month_2010-2021'!$H$2:$H$3810,'Rec_raw_catch_effort_2010-2021'!$F3521,'FW_Steelhead_by_Month_2010-2021'!$M$2:$M$3810,'Rec_raw_catch_effort_2010-2021'!$K3521)</f>
        <v>37.96291307471261</v>
      </c>
      <c r="R3521" s="111">
        <f>VLOOKUP(B3521,Readme!$A$62:$C$74,3,)*Q3521</f>
        <v>794.45889145827391</v>
      </c>
      <c r="S3521" s="140" t="str">
        <f t="shared" si="261"/>
        <v>Y</v>
      </c>
      <c r="T3521" s="154">
        <f t="shared" si="262"/>
        <v>8.5400000000000063</v>
      </c>
      <c r="U3521" s="154">
        <f t="shared" si="263"/>
        <v>20.927237324879293</v>
      </c>
    </row>
    <row r="3522" spans="1:21" x14ac:dyDescent="0.35">
      <c r="A3522" s="110">
        <v>153</v>
      </c>
      <c r="B3522" s="110">
        <v>2012</v>
      </c>
      <c r="C3522" s="110" t="s">
        <v>38</v>
      </c>
      <c r="D3522" s="110" t="s">
        <v>143</v>
      </c>
      <c r="E3522" s="110" t="s">
        <v>86</v>
      </c>
      <c r="F3522" s="117">
        <v>852</v>
      </c>
      <c r="G3522" s="110" t="s">
        <v>64</v>
      </c>
      <c r="H3522" s="110" t="str">
        <f t="shared" ref="H3522:H3585" si="264">G3522</f>
        <v>Snoqualmie River</v>
      </c>
      <c r="I3522" s="110" t="str">
        <f>IFERROR(VLOOKUP(H3522,LUTs!$A$1:$C$73,2,FALSE),"NA")</f>
        <v>Snohomish/King</v>
      </c>
      <c r="J3522" s="110" t="str">
        <f>IFERROR(VLOOKUP(H3522,LUTs!$A$1:$C$73,3,FALSE),"NA")</f>
        <v>2Central Puget Sound</v>
      </c>
      <c r="K3522" s="110" t="s">
        <v>21</v>
      </c>
      <c r="L3522" s="110" t="str">
        <f>VLOOKUP(K3522,LUTs!E$2:G$14,3,)</f>
        <v>08Thurston</v>
      </c>
      <c r="M3522" s="110" t="str">
        <f>VLOOKUP($K3522,LUTs!$E$2:$H$14,2,)</f>
        <v>South Puget Sound</v>
      </c>
      <c r="N3522" s="110" t="str">
        <f>VLOOKUP($K3522,LUTs!$E$2:$H$14,4,)</f>
        <v>02South Puget Sound</v>
      </c>
      <c r="O3522" s="110">
        <v>2.9467005076142101</v>
      </c>
      <c r="P3522" s="110">
        <v>25.164822335025399</v>
      </c>
      <c r="Q3522" s="110">
        <f>SUMIFS('FW_Steelhead_by_Month_2010-2021'!Q$2:Q$3810,'FW_Steelhead_by_Month_2010-2021'!$B$2:$B$3810,'Rec_raw_catch_effort_2010-2021'!$B3522,'FW_Steelhead_by_Month_2010-2021'!$H$2:$H$3810,'Rec_raw_catch_effort_2010-2021'!$F3522,'FW_Steelhead_by_Month_2010-2021'!$M$2:$M$3810,'Rec_raw_catch_effort_2010-2021'!$K3522)</f>
        <v>0</v>
      </c>
      <c r="R3522" s="111">
        <f>VLOOKUP(B3522,Readme!$A$62:$C$74,3,)*Q3522</f>
        <v>0</v>
      </c>
      <c r="S3522" s="140" t="str">
        <f t="shared" si="261"/>
        <v>Y</v>
      </c>
      <c r="T3522" s="154">
        <f t="shared" si="262"/>
        <v>8.5400000000000151</v>
      </c>
      <c r="U3522" s="154" t="str">
        <f t="shared" si="263"/>
        <v>NA</v>
      </c>
    </row>
    <row r="3523" spans="1:21" x14ac:dyDescent="0.35">
      <c r="A3523" s="110">
        <v>161</v>
      </c>
      <c r="B3523" s="110">
        <v>2013</v>
      </c>
      <c r="C3523" s="110" t="s">
        <v>38</v>
      </c>
      <c r="D3523" s="110" t="s">
        <v>143</v>
      </c>
      <c r="E3523" s="110" t="s">
        <v>86</v>
      </c>
      <c r="F3523" s="117">
        <v>852</v>
      </c>
      <c r="G3523" s="110" t="s">
        <v>64</v>
      </c>
      <c r="H3523" s="110" t="str">
        <f t="shared" si="264"/>
        <v>Snoqualmie River</v>
      </c>
      <c r="I3523" s="110" t="str">
        <f>IFERROR(VLOOKUP(H3523,LUTs!$A$1:$C$73,2,FALSE),"NA")</f>
        <v>Snohomish/King</v>
      </c>
      <c r="J3523" s="110" t="str">
        <f>IFERROR(VLOOKUP(H3523,LUTs!$A$1:$C$73,3,FALSE),"NA")</f>
        <v>2Central Puget Sound</v>
      </c>
      <c r="K3523" s="110" t="s">
        <v>17</v>
      </c>
      <c r="L3523" s="110" t="str">
        <f>VLOOKUP(K3523,LUTs!E$2:G$14,3,)</f>
        <v>04Island</v>
      </c>
      <c r="M3523" s="110" t="str">
        <f>VLOOKUP($K3523,LUTs!$E$2:$H$14,2,)</f>
        <v>North Puget Sound</v>
      </c>
      <c r="N3523" s="110" t="str">
        <f>VLOOKUP($K3523,LUTs!$E$2:$H$14,4,)</f>
        <v>01North Puget Sound</v>
      </c>
      <c r="O3523" s="110">
        <v>3.09958506224066</v>
      </c>
      <c r="P3523" s="110">
        <v>57.497302904564201</v>
      </c>
      <c r="Q3523" s="110">
        <f>SUMIFS('FW_Steelhead_by_Month_2010-2021'!Q$2:Q$3810,'FW_Steelhead_by_Month_2010-2021'!$B$2:$B$3810,'Rec_raw_catch_effort_2010-2021'!$B3523,'FW_Steelhead_by_Month_2010-2021'!$H$2:$H$3810,'Rec_raw_catch_effort_2010-2021'!$F3523,'FW_Steelhead_by_Month_2010-2021'!$M$2:$M$3810,'Rec_raw_catch_effort_2010-2021'!$K3523)</f>
        <v>3.0945945945946001</v>
      </c>
      <c r="R3523" s="111">
        <f>VLOOKUP(B3523,Readme!$A$62:$C$74,3,)*Q3523</f>
        <v>64.761315505369822</v>
      </c>
      <c r="S3523" s="140" t="str">
        <f t="shared" ref="S3523:S3586" si="265">IF(B3523&lt;=2019,"Y","N")</f>
        <v>Y</v>
      </c>
      <c r="T3523" s="154">
        <f t="shared" ref="T3523:T3586" si="266">IFERROR(P3523/O3523,"NA")</f>
        <v>18.549999999999986</v>
      </c>
      <c r="U3523" s="154">
        <f t="shared" ref="U3523:U3586" si="267">IFERROR(R3523/Q3523,"NA")</f>
        <v>20.927237324879293</v>
      </c>
    </row>
    <row r="3524" spans="1:21" x14ac:dyDescent="0.35">
      <c r="A3524" s="110">
        <v>162</v>
      </c>
      <c r="B3524" s="110">
        <v>2013</v>
      </c>
      <c r="C3524" s="110" t="s">
        <v>38</v>
      </c>
      <c r="D3524" s="110" t="s">
        <v>143</v>
      </c>
      <c r="E3524" s="110" t="s">
        <v>86</v>
      </c>
      <c r="F3524" s="117">
        <v>852</v>
      </c>
      <c r="G3524" s="110" t="s">
        <v>64</v>
      </c>
      <c r="H3524" s="110" t="str">
        <f t="shared" si="264"/>
        <v>Snoqualmie River</v>
      </c>
      <c r="I3524" s="110" t="str">
        <f>IFERROR(VLOOKUP(H3524,LUTs!$A$1:$C$73,2,FALSE),"NA")</f>
        <v>Snohomish/King</v>
      </c>
      <c r="J3524" s="110" t="str">
        <f>IFERROR(VLOOKUP(H3524,LUTs!$A$1:$C$73,3,FALSE),"NA")</f>
        <v>2Central Puget Sound</v>
      </c>
      <c r="K3524" s="110" t="s">
        <v>18</v>
      </c>
      <c r="L3524" s="110" t="str">
        <f>VLOOKUP(K3524,LUTs!E$2:G$14,3,)</f>
        <v>06King</v>
      </c>
      <c r="M3524" s="110" t="str">
        <f>VLOOKUP($K3524,LUTs!$E$2:$H$14,2,)</f>
        <v>South Puget Sound</v>
      </c>
      <c r="N3524" s="110" t="str">
        <f>VLOOKUP($K3524,LUTs!$E$2:$H$14,4,)</f>
        <v>02South Puget Sound</v>
      </c>
      <c r="O3524" s="110">
        <v>675.70954356846505</v>
      </c>
      <c r="P3524" s="110">
        <v>12534.412033195</v>
      </c>
      <c r="Q3524" s="110">
        <f>SUMIFS('FW_Steelhead_by_Month_2010-2021'!Q$2:Q$3810,'FW_Steelhead_by_Month_2010-2021'!$B$2:$B$3810,'Rec_raw_catch_effort_2010-2021'!$B3524,'FW_Steelhead_by_Month_2010-2021'!$H$2:$H$3810,'Rec_raw_catch_effort_2010-2021'!$F3524,'FW_Steelhead_by_Month_2010-2021'!$M$2:$M$3810,'Rec_raw_catch_effort_2010-2021'!$K3524)</f>
        <v>722.10868426566162</v>
      </c>
      <c r="R3524" s="111">
        <f>VLOOKUP(B3524,Readme!$A$62:$C$74,3,)*Q3524</f>
        <v>15111.73980998383</v>
      </c>
      <c r="S3524" s="140" t="str">
        <f t="shared" si="265"/>
        <v>Y</v>
      </c>
      <c r="T3524" s="154">
        <f t="shared" si="266"/>
        <v>18.549999999999962</v>
      </c>
      <c r="U3524" s="154">
        <f t="shared" si="267"/>
        <v>20.927237324879293</v>
      </c>
    </row>
    <row r="3525" spans="1:21" x14ac:dyDescent="0.35">
      <c r="A3525" s="110">
        <v>165</v>
      </c>
      <c r="B3525" s="110">
        <v>2013</v>
      </c>
      <c r="C3525" s="110" t="s">
        <v>38</v>
      </c>
      <c r="D3525" s="110" t="s">
        <v>143</v>
      </c>
      <c r="E3525" s="110" t="s">
        <v>86</v>
      </c>
      <c r="F3525" s="117">
        <v>852</v>
      </c>
      <c r="G3525" s="110" t="s">
        <v>64</v>
      </c>
      <c r="H3525" s="110" t="str">
        <f t="shared" si="264"/>
        <v>Snoqualmie River</v>
      </c>
      <c r="I3525" s="110" t="str">
        <f>IFERROR(VLOOKUP(H3525,LUTs!$A$1:$C$73,2,FALSE),"NA")</f>
        <v>Snohomish/King</v>
      </c>
      <c r="J3525" s="110" t="str">
        <f>IFERROR(VLOOKUP(H3525,LUTs!$A$1:$C$73,3,FALSE),"NA")</f>
        <v>2Central Puget Sound</v>
      </c>
      <c r="K3525" s="110" t="s">
        <v>26</v>
      </c>
      <c r="L3525" s="110" t="str">
        <f>VLOOKUP(K3525,LUTs!E$2:G$14,3,)</f>
        <v>20Other</v>
      </c>
      <c r="M3525" s="110" t="str">
        <f>VLOOKUP($K3525,LUTs!$E$2:$H$14,2,)</f>
        <v>Non Puget Sound</v>
      </c>
      <c r="N3525" s="110" t="str">
        <f>VLOOKUP($K3525,LUTs!$E$2:$H$14,4,)</f>
        <v>07Non Puget Sound</v>
      </c>
      <c r="O3525" s="110">
        <v>15.4979253112033</v>
      </c>
      <c r="P3525" s="110">
        <v>287.48651452282098</v>
      </c>
      <c r="Q3525" s="110">
        <f>SUMIFS('FW_Steelhead_by_Month_2010-2021'!Q$2:Q$3810,'FW_Steelhead_by_Month_2010-2021'!$B$2:$B$3810,'Rec_raw_catch_effort_2010-2021'!$B3525,'FW_Steelhead_by_Month_2010-2021'!$H$2:$H$3810,'Rec_raw_catch_effort_2010-2021'!$F3525,'FW_Steelhead_by_Month_2010-2021'!$M$2:$M$3810,'Rec_raw_catch_effort_2010-2021'!$K3525)</f>
        <v>9.1426775612822109</v>
      </c>
      <c r="R3525" s="111">
        <f>VLOOKUP(B3525,Readme!$A$62:$C$74,3,)*Q3525</f>
        <v>191.33098310980148</v>
      </c>
      <c r="S3525" s="140" t="str">
        <f t="shared" si="265"/>
        <v>Y</v>
      </c>
      <c r="T3525" s="154">
        <f t="shared" si="266"/>
        <v>18.549999999999986</v>
      </c>
      <c r="U3525" s="154">
        <f t="shared" si="267"/>
        <v>20.927237324879293</v>
      </c>
    </row>
    <row r="3526" spans="1:21" x14ac:dyDescent="0.35">
      <c r="A3526" s="110">
        <v>163</v>
      </c>
      <c r="B3526" s="110">
        <v>2013</v>
      </c>
      <c r="C3526" s="110" t="s">
        <v>38</v>
      </c>
      <c r="D3526" s="110" t="s">
        <v>143</v>
      </c>
      <c r="E3526" s="110" t="s">
        <v>86</v>
      </c>
      <c r="F3526" s="117">
        <v>852</v>
      </c>
      <c r="G3526" s="110" t="s">
        <v>64</v>
      </c>
      <c r="H3526" s="110" t="str">
        <f t="shared" si="264"/>
        <v>Snoqualmie River</v>
      </c>
      <c r="I3526" s="110" t="str">
        <f>IFERROR(VLOOKUP(H3526,LUTs!$A$1:$C$73,2,FALSE),"NA")</f>
        <v>Snohomish/King</v>
      </c>
      <c r="J3526" s="110" t="str">
        <f>IFERROR(VLOOKUP(H3526,LUTs!$A$1:$C$73,3,FALSE),"NA")</f>
        <v>2Central Puget Sound</v>
      </c>
      <c r="K3526" s="110" t="s">
        <v>20</v>
      </c>
      <c r="L3526" s="110" t="str">
        <f>VLOOKUP(K3526,LUTs!E$2:G$14,3,)</f>
        <v>07Pierce</v>
      </c>
      <c r="M3526" s="110" t="str">
        <f>VLOOKUP($K3526,LUTs!$E$2:$H$14,2,)</f>
        <v>South Puget Sound</v>
      </c>
      <c r="N3526" s="110" t="str">
        <f>VLOOKUP($K3526,LUTs!$E$2:$H$14,4,)</f>
        <v>02South Puget Sound</v>
      </c>
      <c r="O3526" s="110">
        <v>24.796680497925301</v>
      </c>
      <c r="P3526" s="110">
        <v>459.978423236514</v>
      </c>
      <c r="Q3526" s="110">
        <f>SUMIFS('FW_Steelhead_by_Month_2010-2021'!Q$2:Q$3810,'FW_Steelhead_by_Month_2010-2021'!$B$2:$B$3810,'Rec_raw_catch_effort_2010-2021'!$B3526,'FW_Steelhead_by_Month_2010-2021'!$H$2:$H$3810,'Rec_raw_catch_effort_2010-2021'!$F3526,'FW_Steelhead_by_Month_2010-2021'!$M$2:$M$3810,'Rec_raw_catch_effort_2010-2021'!$K3526)</f>
        <v>15.461711711711731</v>
      </c>
      <c r="R3526" s="111">
        <f>VLOOKUP(B3526,Readme!$A$62:$C$74,3,)*Q3526</f>
        <v>323.57091043985702</v>
      </c>
      <c r="S3526" s="140" t="str">
        <f t="shared" si="265"/>
        <v>Y</v>
      </c>
      <c r="T3526" s="154">
        <f t="shared" si="266"/>
        <v>18.549999999999986</v>
      </c>
      <c r="U3526" s="154">
        <f t="shared" si="267"/>
        <v>20.927237324879293</v>
      </c>
    </row>
    <row r="3527" spans="1:21" x14ac:dyDescent="0.35">
      <c r="A3527" s="110">
        <v>160</v>
      </c>
      <c r="B3527" s="110">
        <v>2013</v>
      </c>
      <c r="C3527" s="110" t="s">
        <v>38</v>
      </c>
      <c r="D3527" s="110" t="s">
        <v>143</v>
      </c>
      <c r="E3527" s="110" t="s">
        <v>86</v>
      </c>
      <c r="F3527" s="117">
        <v>852</v>
      </c>
      <c r="G3527" s="110" t="s">
        <v>64</v>
      </c>
      <c r="H3527" s="110" t="str">
        <f t="shared" si="264"/>
        <v>Snoqualmie River</v>
      </c>
      <c r="I3527" s="110" t="str">
        <f>IFERROR(VLOOKUP(H3527,LUTs!$A$1:$C$73,2,FALSE),"NA")</f>
        <v>Snohomish/King</v>
      </c>
      <c r="J3527" s="110" t="str">
        <f>IFERROR(VLOOKUP(H3527,LUTs!$A$1:$C$73,3,FALSE),"NA")</f>
        <v>2Central Puget Sound</v>
      </c>
      <c r="K3527" s="110" t="s">
        <v>16</v>
      </c>
      <c r="L3527" s="110" t="str">
        <f>VLOOKUP(K3527,LUTs!E$2:G$14,3,)</f>
        <v>03Snohomish</v>
      </c>
      <c r="M3527" s="110" t="str">
        <f>VLOOKUP($K3527,LUTs!$E$2:$H$14,2,)</f>
        <v>North Puget Sound</v>
      </c>
      <c r="N3527" s="110" t="str">
        <f>VLOOKUP($K3527,LUTs!$E$2:$H$14,4,)</f>
        <v>01North Puget Sound</v>
      </c>
      <c r="O3527" s="110">
        <v>21.697095435684702</v>
      </c>
      <c r="P3527" s="110">
        <v>402.48112033195099</v>
      </c>
      <c r="Q3527" s="110">
        <f>SUMIFS('FW_Steelhead_by_Month_2010-2021'!Q$2:Q$3810,'FW_Steelhead_by_Month_2010-2021'!$B$2:$B$3810,'Rec_raw_catch_effort_2010-2021'!$B3527,'FW_Steelhead_by_Month_2010-2021'!$H$2:$H$3810,'Rec_raw_catch_effort_2010-2021'!$F3527,'FW_Steelhead_by_Month_2010-2021'!$M$2:$M$3810,'Rec_raw_catch_effort_2010-2021'!$K3527)</f>
        <v>29.06091556672952</v>
      </c>
      <c r="R3527" s="111">
        <f>VLOOKUP(B3527,Readme!$A$62:$C$74,3,)*Q3527</f>
        <v>608.16467694322773</v>
      </c>
      <c r="S3527" s="140" t="str">
        <f t="shared" si="265"/>
        <v>Y</v>
      </c>
      <c r="T3527" s="154">
        <f t="shared" si="266"/>
        <v>18.54999999999999</v>
      </c>
      <c r="U3527" s="154">
        <f t="shared" si="267"/>
        <v>20.927237324879293</v>
      </c>
    </row>
    <row r="3528" spans="1:21" x14ac:dyDescent="0.35">
      <c r="A3528" s="110">
        <v>164</v>
      </c>
      <c r="B3528" s="110">
        <v>2013</v>
      </c>
      <c r="C3528" s="110" t="s">
        <v>38</v>
      </c>
      <c r="D3528" s="110" t="s">
        <v>143</v>
      </c>
      <c r="E3528" s="110" t="s">
        <v>86</v>
      </c>
      <c r="F3528" s="117">
        <v>852</v>
      </c>
      <c r="G3528" s="110" t="s">
        <v>64</v>
      </c>
      <c r="H3528" s="110" t="str">
        <f t="shared" si="264"/>
        <v>Snoqualmie River</v>
      </c>
      <c r="I3528" s="110" t="str">
        <f>IFERROR(VLOOKUP(H3528,LUTs!$A$1:$C$73,2,FALSE),"NA")</f>
        <v>Snohomish/King</v>
      </c>
      <c r="J3528" s="110" t="str">
        <f>IFERROR(VLOOKUP(H3528,LUTs!$A$1:$C$73,3,FALSE),"NA")</f>
        <v>2Central Puget Sound</v>
      </c>
      <c r="K3528" s="110" t="s">
        <v>21</v>
      </c>
      <c r="L3528" s="110" t="str">
        <f>VLOOKUP(K3528,LUTs!E$2:G$14,3,)</f>
        <v>08Thurston</v>
      </c>
      <c r="M3528" s="110" t="str">
        <f>VLOOKUP($K3528,LUTs!$E$2:$H$14,2,)</f>
        <v>South Puget Sound</v>
      </c>
      <c r="N3528" s="110" t="str">
        <f>VLOOKUP($K3528,LUTs!$E$2:$H$14,4,)</f>
        <v>02South Puget Sound</v>
      </c>
      <c r="O3528" s="110">
        <v>6.1991701244813298</v>
      </c>
      <c r="P3528" s="110">
        <v>114.994605809129</v>
      </c>
      <c r="Q3528" s="110">
        <f>SUMIFS('FW_Steelhead_by_Month_2010-2021'!Q$2:Q$3810,'FW_Steelhead_by_Month_2010-2021'!$B$2:$B$3810,'Rec_raw_catch_effort_2010-2021'!$B3528,'FW_Steelhead_by_Month_2010-2021'!$H$2:$H$3810,'Rec_raw_catch_effort_2010-2021'!$F3528,'FW_Steelhead_by_Month_2010-2021'!$M$2:$M$3810,'Rec_raw_catch_effort_2010-2021'!$K3528)</f>
        <v>9.1314163000209501</v>
      </c>
      <c r="R3528" s="111">
        <f>VLOOKUP(B3528,Readme!$A$62:$C$74,3,)*Q3528</f>
        <v>191.09531602280961</v>
      </c>
      <c r="S3528" s="140" t="str">
        <f t="shared" si="265"/>
        <v>Y</v>
      </c>
      <c r="T3528" s="154">
        <f t="shared" si="266"/>
        <v>18.550000000000054</v>
      </c>
      <c r="U3528" s="154">
        <f t="shared" si="267"/>
        <v>20.927237324879293</v>
      </c>
    </row>
    <row r="3529" spans="1:21" x14ac:dyDescent="0.35">
      <c r="A3529" s="110">
        <v>171</v>
      </c>
      <c r="B3529" s="110">
        <v>2014</v>
      </c>
      <c r="C3529" s="110" t="s">
        <v>38</v>
      </c>
      <c r="D3529" s="110" t="s">
        <v>143</v>
      </c>
      <c r="E3529" s="110" t="s">
        <v>86</v>
      </c>
      <c r="F3529" s="117">
        <v>852</v>
      </c>
      <c r="G3529" s="110" t="s">
        <v>64</v>
      </c>
      <c r="H3529" s="110" t="str">
        <f t="shared" si="264"/>
        <v>Snoqualmie River</v>
      </c>
      <c r="I3529" s="110" t="str">
        <f>IFERROR(VLOOKUP(H3529,LUTs!$A$1:$C$73,2,FALSE),"NA")</f>
        <v>Snohomish/King</v>
      </c>
      <c r="J3529" s="110" t="str">
        <f>IFERROR(VLOOKUP(H3529,LUTs!$A$1:$C$73,3,FALSE),"NA")</f>
        <v>2Central Puget Sound</v>
      </c>
      <c r="K3529" s="110" t="s">
        <v>18</v>
      </c>
      <c r="L3529" s="110" t="str">
        <f>VLOOKUP(K3529,LUTs!E$2:G$14,3,)</f>
        <v>06King</v>
      </c>
      <c r="M3529" s="110" t="str">
        <f>VLOOKUP($K3529,LUTs!$E$2:$H$14,2,)</f>
        <v>South Puget Sound</v>
      </c>
      <c r="N3529" s="110" t="str">
        <f>VLOOKUP($K3529,LUTs!$E$2:$H$14,4,)</f>
        <v>02South Puget Sound</v>
      </c>
      <c r="O3529" s="110">
        <v>627.01463414634202</v>
      </c>
      <c r="P3529" s="110">
        <v>5354.7049756097604</v>
      </c>
      <c r="Q3529" s="110">
        <f>SUMIFS('FW_Steelhead_by_Month_2010-2021'!Q$2:Q$3810,'FW_Steelhead_by_Month_2010-2021'!$B$2:$B$3810,'Rec_raw_catch_effort_2010-2021'!$B3529,'FW_Steelhead_by_Month_2010-2021'!$H$2:$H$3810,'Rec_raw_catch_effort_2010-2021'!$F3529,'FW_Steelhead_by_Month_2010-2021'!$M$2:$M$3810,'Rec_raw_catch_effort_2010-2021'!$K3529)</f>
        <v>665.40919490140504</v>
      </c>
      <c r="R3529" s="111">
        <f>VLOOKUP(B3529,Readme!$A$62:$C$74,3,)*Q3529</f>
        <v>13925.176139858564</v>
      </c>
      <c r="S3529" s="140" t="str">
        <f t="shared" si="265"/>
        <v>Y</v>
      </c>
      <c r="T3529" s="154">
        <f t="shared" si="266"/>
        <v>8.5399999999999991</v>
      </c>
      <c r="U3529" s="154">
        <f t="shared" si="267"/>
        <v>20.927237324879293</v>
      </c>
    </row>
    <row r="3530" spans="1:21" x14ac:dyDescent="0.35">
      <c r="A3530" s="110">
        <v>173</v>
      </c>
      <c r="B3530" s="110">
        <v>2014</v>
      </c>
      <c r="C3530" s="110" t="s">
        <v>38</v>
      </c>
      <c r="D3530" s="110" t="s">
        <v>143</v>
      </c>
      <c r="E3530" s="110" t="s">
        <v>86</v>
      </c>
      <c r="F3530" s="117">
        <v>852</v>
      </c>
      <c r="G3530" s="110" t="s">
        <v>64</v>
      </c>
      <c r="H3530" s="110" t="str">
        <f t="shared" si="264"/>
        <v>Snoqualmie River</v>
      </c>
      <c r="I3530" s="110" t="str">
        <f>IFERROR(VLOOKUP(H3530,LUTs!$A$1:$C$73,2,FALSE),"NA")</f>
        <v>Snohomish/King</v>
      </c>
      <c r="J3530" s="110" t="str">
        <f>IFERROR(VLOOKUP(H3530,LUTs!$A$1:$C$73,3,FALSE),"NA")</f>
        <v>2Central Puget Sound</v>
      </c>
      <c r="K3530" s="110" t="s">
        <v>26</v>
      </c>
      <c r="L3530" s="110" t="str">
        <f>VLOOKUP(K3530,LUTs!E$2:G$14,3,)</f>
        <v>20Other</v>
      </c>
      <c r="M3530" s="110" t="str">
        <f>VLOOKUP($K3530,LUTs!$E$2:$H$14,2,)</f>
        <v>Non Puget Sound</v>
      </c>
      <c r="N3530" s="110" t="str">
        <f>VLOOKUP($K3530,LUTs!$E$2:$H$14,4,)</f>
        <v>07Non Puget Sound</v>
      </c>
      <c r="O3530" s="110">
        <v>16.243902439024399</v>
      </c>
      <c r="P3530" s="110">
        <v>138.722926829268</v>
      </c>
      <c r="Q3530" s="110">
        <f>SUMIFS('FW_Steelhead_by_Month_2010-2021'!Q$2:Q$3810,'FW_Steelhead_by_Month_2010-2021'!$B$2:$B$3810,'Rec_raw_catch_effort_2010-2021'!$B3530,'FW_Steelhead_by_Month_2010-2021'!$H$2:$H$3810,'Rec_raw_catch_effort_2010-2021'!$F3530,'FW_Steelhead_by_Month_2010-2021'!$M$2:$M$3810,'Rec_raw_catch_effort_2010-2021'!$K3530)</f>
        <v>18.645277263318448</v>
      </c>
      <c r="R3530" s="111">
        <f>VLOOKUP(B3530,Readme!$A$62:$C$74,3,)*Q3530</f>
        <v>390.19414227764105</v>
      </c>
      <c r="S3530" s="140" t="str">
        <f t="shared" si="265"/>
        <v>Y</v>
      </c>
      <c r="T3530" s="154">
        <f t="shared" si="266"/>
        <v>8.5399999999999778</v>
      </c>
      <c r="U3530" s="154">
        <f t="shared" si="267"/>
        <v>20.927237324879293</v>
      </c>
    </row>
    <row r="3531" spans="1:21" x14ac:dyDescent="0.35">
      <c r="A3531" s="110">
        <v>172</v>
      </c>
      <c r="B3531" s="110">
        <v>2014</v>
      </c>
      <c r="C3531" s="110" t="s">
        <v>38</v>
      </c>
      <c r="D3531" s="110" t="s">
        <v>143</v>
      </c>
      <c r="E3531" s="110" t="s">
        <v>86</v>
      </c>
      <c r="F3531" s="117">
        <v>852</v>
      </c>
      <c r="G3531" s="110" t="s">
        <v>64</v>
      </c>
      <c r="H3531" s="110" t="str">
        <f t="shared" si="264"/>
        <v>Snoqualmie River</v>
      </c>
      <c r="I3531" s="110" t="str">
        <f>IFERROR(VLOOKUP(H3531,LUTs!$A$1:$C$73,2,FALSE),"NA")</f>
        <v>Snohomish/King</v>
      </c>
      <c r="J3531" s="110" t="str">
        <f>IFERROR(VLOOKUP(H3531,LUTs!$A$1:$C$73,3,FALSE),"NA")</f>
        <v>2Central Puget Sound</v>
      </c>
      <c r="K3531" s="110" t="s">
        <v>20</v>
      </c>
      <c r="L3531" s="110" t="str">
        <f>VLOOKUP(K3531,LUTs!E$2:G$14,3,)</f>
        <v>07Pierce</v>
      </c>
      <c r="M3531" s="110" t="str">
        <f>VLOOKUP($K3531,LUTs!$E$2:$H$14,2,)</f>
        <v>South Puget Sound</v>
      </c>
      <c r="N3531" s="110" t="str">
        <f>VLOOKUP($K3531,LUTs!$E$2:$H$14,4,)</f>
        <v>02South Puget Sound</v>
      </c>
      <c r="O3531" s="110">
        <v>6.4975609756097601</v>
      </c>
      <c r="P3531" s="110">
        <v>55.489170731707297</v>
      </c>
      <c r="Q3531" s="110">
        <f>SUMIFS('FW_Steelhead_by_Month_2010-2021'!Q$2:Q$3810,'FW_Steelhead_by_Month_2010-2021'!$B$2:$B$3810,'Rec_raw_catch_effort_2010-2021'!$B3531,'FW_Steelhead_by_Month_2010-2021'!$H$2:$H$3810,'Rec_raw_catch_effort_2010-2021'!$F3531,'FW_Steelhead_by_Month_2010-2021'!$M$2:$M$3810,'Rec_raw_catch_effort_2010-2021'!$K3531)</f>
        <v>15.64527726331845</v>
      </c>
      <c r="R3531" s="111">
        <f>VLOOKUP(B3531,Readme!$A$62:$C$74,3,)*Q3531</f>
        <v>327.41243030300325</v>
      </c>
      <c r="S3531" s="140" t="str">
        <f t="shared" si="265"/>
        <v>Y</v>
      </c>
      <c r="T3531" s="154">
        <f t="shared" si="266"/>
        <v>8.539999999999992</v>
      </c>
      <c r="U3531" s="154">
        <f t="shared" si="267"/>
        <v>20.927237324879293</v>
      </c>
    </row>
    <row r="3532" spans="1:21" x14ac:dyDescent="0.35">
      <c r="A3532" s="110">
        <v>170</v>
      </c>
      <c r="B3532" s="110">
        <v>2014</v>
      </c>
      <c r="C3532" s="110" t="s">
        <v>38</v>
      </c>
      <c r="D3532" s="110" t="s">
        <v>143</v>
      </c>
      <c r="E3532" s="110" t="s">
        <v>86</v>
      </c>
      <c r="F3532" s="117">
        <v>852</v>
      </c>
      <c r="G3532" s="110" t="s">
        <v>64</v>
      </c>
      <c r="H3532" s="110" t="str">
        <f t="shared" si="264"/>
        <v>Snoqualmie River</v>
      </c>
      <c r="I3532" s="110" t="str">
        <f>IFERROR(VLOOKUP(H3532,LUTs!$A$1:$C$73,2,FALSE),"NA")</f>
        <v>Snohomish/King</v>
      </c>
      <c r="J3532" s="110" t="str">
        <f>IFERROR(VLOOKUP(H3532,LUTs!$A$1:$C$73,3,FALSE),"NA")</f>
        <v>2Central Puget Sound</v>
      </c>
      <c r="K3532" s="110" t="s">
        <v>16</v>
      </c>
      <c r="L3532" s="110" t="str">
        <f>VLOOKUP(K3532,LUTs!E$2:G$14,3,)</f>
        <v>03Snohomish</v>
      </c>
      <c r="M3532" s="110" t="str">
        <f>VLOOKUP($K3532,LUTs!$E$2:$H$14,2,)</f>
        <v>North Puget Sound</v>
      </c>
      <c r="N3532" s="110" t="str">
        <f>VLOOKUP($K3532,LUTs!$E$2:$H$14,4,)</f>
        <v>01North Puget Sound</v>
      </c>
      <c r="O3532" s="110">
        <v>16.243902439024399</v>
      </c>
      <c r="P3532" s="110">
        <v>138.722926829268</v>
      </c>
      <c r="Q3532" s="110">
        <f>SUMIFS('FW_Steelhead_by_Month_2010-2021'!Q$2:Q$3810,'FW_Steelhead_by_Month_2010-2021'!$B$2:$B$3810,'Rec_raw_catch_effort_2010-2021'!$B3532,'FW_Steelhead_by_Month_2010-2021'!$H$2:$H$3810,'Rec_raw_catch_effort_2010-2021'!$F3532,'FW_Steelhead_by_Month_2010-2021'!$M$2:$M$3810,'Rec_raw_catch_effort_2010-2021'!$K3532)</f>
        <v>9.30025057195774</v>
      </c>
      <c r="R3532" s="111">
        <f>VLOOKUP(B3532,Readme!$A$62:$C$74,3,)*Q3532</f>
        <v>194.628550900204</v>
      </c>
      <c r="S3532" s="140" t="str">
        <f t="shared" si="265"/>
        <v>Y</v>
      </c>
      <c r="T3532" s="154">
        <f t="shared" si="266"/>
        <v>8.5399999999999778</v>
      </c>
      <c r="U3532" s="154">
        <f t="shared" si="267"/>
        <v>20.927237324879293</v>
      </c>
    </row>
    <row r="3533" spans="1:21" x14ac:dyDescent="0.35">
      <c r="A3533" s="110">
        <v>251</v>
      </c>
      <c r="B3533" s="110">
        <v>2015</v>
      </c>
      <c r="C3533" s="110" t="s">
        <v>38</v>
      </c>
      <c r="D3533" s="110" t="s">
        <v>143</v>
      </c>
      <c r="E3533" s="110" t="s">
        <v>86</v>
      </c>
      <c r="F3533" s="117">
        <v>852</v>
      </c>
      <c r="G3533" s="110" t="s">
        <v>64</v>
      </c>
      <c r="H3533" s="110" t="str">
        <f t="shared" si="264"/>
        <v>Snoqualmie River</v>
      </c>
      <c r="I3533" s="110" t="str">
        <f>IFERROR(VLOOKUP(H3533,LUTs!$A$1:$C$73,2,FALSE),"NA")</f>
        <v>Snohomish/King</v>
      </c>
      <c r="J3533" s="110" t="str">
        <f>IFERROR(VLOOKUP(H3533,LUTs!$A$1:$C$73,3,FALSE),"NA")</f>
        <v>2Central Puget Sound</v>
      </c>
      <c r="K3533" s="110" t="s">
        <v>18</v>
      </c>
      <c r="L3533" s="110" t="str">
        <f>VLOOKUP(K3533,LUTs!E$2:G$14,3,)</f>
        <v>06King</v>
      </c>
      <c r="M3533" s="110" t="str">
        <f>VLOOKUP($K3533,LUTs!$E$2:$H$14,2,)</f>
        <v>South Puget Sound</v>
      </c>
      <c r="N3533" s="110" t="str">
        <f>VLOOKUP($K3533,LUTs!$E$2:$H$14,4,)</f>
        <v>02South Puget Sound</v>
      </c>
      <c r="O3533" s="110">
        <v>109.230769230769</v>
      </c>
      <c r="P3533" s="110">
        <v>2026.23076923076</v>
      </c>
      <c r="Q3533" s="110">
        <f>SUMIFS('FW_Steelhead_by_Month_2010-2021'!Q$2:Q$3810,'FW_Steelhead_by_Month_2010-2021'!$B$2:$B$3810,'Rec_raw_catch_effort_2010-2021'!$B3533,'FW_Steelhead_by_Month_2010-2021'!$H$2:$H$3810,'Rec_raw_catch_effort_2010-2021'!$F3533,'FW_Steelhead_by_Month_2010-2021'!$M$2:$M$3810,'Rec_raw_catch_effort_2010-2021'!$K3533)</f>
        <v>214.25</v>
      </c>
      <c r="R3533" s="111">
        <f>VLOOKUP(B3533,Readme!$A$62:$C$74,3,)*Q3533</f>
        <v>4483.6605968553886</v>
      </c>
      <c r="S3533" s="140" t="str">
        <f t="shared" si="265"/>
        <v>Y</v>
      </c>
      <c r="T3533" s="154">
        <f t="shared" si="266"/>
        <v>18.549999999999955</v>
      </c>
      <c r="U3533" s="154">
        <f t="shared" si="267"/>
        <v>20.927237324879293</v>
      </c>
    </row>
    <row r="3534" spans="1:21" x14ac:dyDescent="0.35">
      <c r="A3534" s="110">
        <v>252</v>
      </c>
      <c r="B3534" s="110">
        <v>2015</v>
      </c>
      <c r="C3534" s="110" t="s">
        <v>38</v>
      </c>
      <c r="D3534" s="110" t="s">
        <v>143</v>
      </c>
      <c r="E3534" s="110" t="s">
        <v>86</v>
      </c>
      <c r="F3534" s="117">
        <v>852</v>
      </c>
      <c r="G3534" s="110" t="s">
        <v>64</v>
      </c>
      <c r="H3534" s="110" t="str">
        <f t="shared" si="264"/>
        <v>Snoqualmie River</v>
      </c>
      <c r="I3534" s="110" t="str">
        <f>IFERROR(VLOOKUP(H3534,LUTs!$A$1:$C$73,2,FALSE),"NA")</f>
        <v>Snohomish/King</v>
      </c>
      <c r="J3534" s="110" t="str">
        <f>IFERROR(VLOOKUP(H3534,LUTs!$A$1:$C$73,3,FALSE),"NA")</f>
        <v>2Central Puget Sound</v>
      </c>
      <c r="K3534" s="110" t="s">
        <v>20</v>
      </c>
      <c r="L3534" s="110" t="str">
        <f>VLOOKUP(K3534,LUTs!E$2:G$14,3,)</f>
        <v>07Pierce</v>
      </c>
      <c r="M3534" s="110" t="str">
        <f>VLOOKUP($K3534,LUTs!$E$2:$H$14,2,)</f>
        <v>South Puget Sound</v>
      </c>
      <c r="N3534" s="110" t="str">
        <f>VLOOKUP($K3534,LUTs!$E$2:$H$14,4,)</f>
        <v>02South Puget Sound</v>
      </c>
      <c r="O3534" s="110">
        <v>21.846153846153801</v>
      </c>
      <c r="P3534" s="110">
        <v>405.24615384615299</v>
      </c>
      <c r="Q3534" s="110">
        <f>SUMIFS('FW_Steelhead_by_Month_2010-2021'!Q$2:Q$3810,'FW_Steelhead_by_Month_2010-2021'!$B$2:$B$3810,'Rec_raw_catch_effort_2010-2021'!$B3534,'FW_Steelhead_by_Month_2010-2021'!$H$2:$H$3810,'Rec_raw_catch_effort_2010-2021'!$F3534,'FW_Steelhead_by_Month_2010-2021'!$M$2:$M$3810,'Rec_raw_catch_effort_2010-2021'!$K3534)</f>
        <v>15.714285714285699</v>
      </c>
      <c r="R3534" s="111">
        <f>VLOOKUP(B3534,Readme!$A$62:$C$74,3,)*Q3534</f>
        <v>328.85658653381716</v>
      </c>
      <c r="S3534" s="140" t="str">
        <f t="shared" si="265"/>
        <v>Y</v>
      </c>
      <c r="T3534" s="154">
        <f t="shared" si="266"/>
        <v>18.55</v>
      </c>
      <c r="U3534" s="154">
        <f t="shared" si="267"/>
        <v>20.927237324879293</v>
      </c>
    </row>
    <row r="3535" spans="1:21" x14ac:dyDescent="0.35">
      <c r="A3535" s="110">
        <v>176</v>
      </c>
      <c r="B3535" s="110">
        <v>2015</v>
      </c>
      <c r="C3535" s="110" t="s">
        <v>38</v>
      </c>
      <c r="D3535" s="110" t="s">
        <v>143</v>
      </c>
      <c r="E3535" s="110" t="s">
        <v>86</v>
      </c>
      <c r="F3535" s="117">
        <v>852</v>
      </c>
      <c r="G3535" s="110" t="s">
        <v>64</v>
      </c>
      <c r="H3535" s="110" t="str">
        <f t="shared" si="264"/>
        <v>Snoqualmie River</v>
      </c>
      <c r="I3535" s="110" t="str">
        <f>IFERROR(VLOOKUP(H3535,LUTs!$A$1:$C$73,2,FALSE),"NA")</f>
        <v>Snohomish/King</v>
      </c>
      <c r="J3535" s="110" t="str">
        <f>IFERROR(VLOOKUP(H3535,LUTs!$A$1:$C$73,3,FALSE),"NA")</f>
        <v>2Central Puget Sound</v>
      </c>
      <c r="K3535" s="110" t="s">
        <v>16</v>
      </c>
      <c r="L3535" s="110" t="str">
        <f>VLOOKUP(K3535,LUTs!E$2:G$14,3,)</f>
        <v>03Snohomish</v>
      </c>
      <c r="M3535" s="110" t="str">
        <f>VLOOKUP($K3535,LUTs!$E$2:$H$14,2,)</f>
        <v>North Puget Sound</v>
      </c>
      <c r="N3535" s="110" t="str">
        <f>VLOOKUP($K3535,LUTs!$E$2:$H$14,4,)</f>
        <v>01North Puget Sound</v>
      </c>
      <c r="O3535" s="110">
        <v>10.9230769230769</v>
      </c>
      <c r="P3535" s="110">
        <v>202.62307692307601</v>
      </c>
      <c r="Q3535" s="110">
        <f>SUMIFS('FW_Steelhead_by_Month_2010-2021'!Q$2:Q$3810,'FW_Steelhead_by_Month_2010-2021'!$B$2:$B$3810,'Rec_raw_catch_effort_2010-2021'!$B3535,'FW_Steelhead_by_Month_2010-2021'!$H$2:$H$3810,'Rec_raw_catch_effort_2010-2021'!$F3535,'FW_Steelhead_by_Month_2010-2021'!$M$2:$M$3810,'Rec_raw_catch_effort_2010-2021'!$K3535)</f>
        <v>17.607142857142861</v>
      </c>
      <c r="R3535" s="111">
        <f>VLOOKUP(B3535,Readme!$A$62:$C$74,3,)*Q3535</f>
        <v>368.46885718448192</v>
      </c>
      <c r="S3535" s="140" t="str">
        <f t="shared" si="265"/>
        <v>Y</v>
      </c>
      <c r="T3535" s="154">
        <f t="shared" si="266"/>
        <v>18.549999999999955</v>
      </c>
      <c r="U3535" s="154">
        <f t="shared" si="267"/>
        <v>20.927237324879293</v>
      </c>
    </row>
    <row r="3536" spans="1:21" x14ac:dyDescent="0.35">
      <c r="A3536" s="110">
        <v>257</v>
      </c>
      <c r="B3536" s="110">
        <v>2017</v>
      </c>
      <c r="C3536" s="110" t="s">
        <v>38</v>
      </c>
      <c r="D3536" s="110" t="s">
        <v>143</v>
      </c>
      <c r="E3536" s="110" t="s">
        <v>86</v>
      </c>
      <c r="F3536" s="117">
        <v>852</v>
      </c>
      <c r="G3536" s="110" t="s">
        <v>64</v>
      </c>
      <c r="H3536" s="110" t="str">
        <f t="shared" si="264"/>
        <v>Snoqualmie River</v>
      </c>
      <c r="I3536" s="110" t="str">
        <f>IFERROR(VLOOKUP(H3536,LUTs!$A$1:$C$73,2,FALSE),"NA")</f>
        <v>Snohomish/King</v>
      </c>
      <c r="J3536" s="110" t="str">
        <f>IFERROR(VLOOKUP(H3536,LUTs!$A$1:$C$73,3,FALSE),"NA")</f>
        <v>2Central Puget Sound</v>
      </c>
      <c r="K3536" s="110" t="s">
        <v>18</v>
      </c>
      <c r="L3536" s="110" t="str">
        <f>VLOOKUP(K3536,LUTs!E$2:G$14,3,)</f>
        <v>06King</v>
      </c>
      <c r="M3536" s="110" t="str">
        <f>VLOOKUP($K3536,LUTs!$E$2:$H$14,2,)</f>
        <v>South Puget Sound</v>
      </c>
      <c r="N3536" s="110" t="str">
        <f>VLOOKUP($K3536,LUTs!$E$2:$H$14,4,)</f>
        <v>02South Puget Sound</v>
      </c>
      <c r="O3536" s="110">
        <v>418.56603773584902</v>
      </c>
      <c r="P3536" s="110">
        <v>7764.4</v>
      </c>
      <c r="Q3536" s="110">
        <f>SUMIFS('FW_Steelhead_by_Month_2010-2021'!Q$2:Q$3810,'FW_Steelhead_by_Month_2010-2021'!$B$2:$B$3810,'Rec_raw_catch_effort_2010-2021'!$B3536,'FW_Steelhead_by_Month_2010-2021'!$H$2:$H$3810,'Rec_raw_catch_effort_2010-2021'!$F3536,'FW_Steelhead_by_Month_2010-2021'!$M$2:$M$3810,'Rec_raw_catch_effort_2010-2021'!$K3536)</f>
        <v>173.540540540541</v>
      </c>
      <c r="R3536" s="111">
        <f>VLOOKUP(B3536,Readme!$A$62:$C$74,3,)*Q3536</f>
        <v>3631.724077379738</v>
      </c>
      <c r="S3536" s="140" t="str">
        <f t="shared" si="265"/>
        <v>Y</v>
      </c>
      <c r="T3536" s="154">
        <f t="shared" si="266"/>
        <v>18.55</v>
      </c>
      <c r="U3536" s="154">
        <f t="shared" si="267"/>
        <v>20.927237324879293</v>
      </c>
    </row>
    <row r="3537" spans="1:21" x14ac:dyDescent="0.35">
      <c r="A3537" s="110">
        <v>258</v>
      </c>
      <c r="B3537" s="110">
        <v>2017</v>
      </c>
      <c r="C3537" s="110" t="s">
        <v>38</v>
      </c>
      <c r="D3537" s="110" t="s">
        <v>143</v>
      </c>
      <c r="E3537" s="110" t="s">
        <v>86</v>
      </c>
      <c r="F3537" s="117">
        <v>852</v>
      </c>
      <c r="G3537" s="110" t="s">
        <v>64</v>
      </c>
      <c r="H3537" s="110" t="str">
        <f t="shared" si="264"/>
        <v>Snoqualmie River</v>
      </c>
      <c r="I3537" s="110" t="str">
        <f>IFERROR(VLOOKUP(H3537,LUTs!$A$1:$C$73,2,FALSE),"NA")</f>
        <v>Snohomish/King</v>
      </c>
      <c r="J3537" s="110" t="str">
        <f>IFERROR(VLOOKUP(H3537,LUTs!$A$1:$C$73,3,FALSE),"NA")</f>
        <v>2Central Puget Sound</v>
      </c>
      <c r="K3537" s="110" t="s">
        <v>26</v>
      </c>
      <c r="L3537" s="110" t="str">
        <f>VLOOKUP(K3537,LUTs!E$2:G$14,3,)</f>
        <v>20Other</v>
      </c>
      <c r="M3537" s="110" t="str">
        <f>VLOOKUP($K3537,LUTs!$E$2:$H$14,2,)</f>
        <v>Non Puget Sound</v>
      </c>
      <c r="N3537" s="110" t="str">
        <f>VLOOKUP($K3537,LUTs!$E$2:$H$14,4,)</f>
        <v>07Non Puget Sound</v>
      </c>
      <c r="O3537" s="110">
        <v>17.811320754716998</v>
      </c>
      <c r="P3537" s="110">
        <v>330.4</v>
      </c>
      <c r="Q3537" s="110">
        <f>SUMIFS('FW_Steelhead_by_Month_2010-2021'!Q$2:Q$3810,'FW_Steelhead_by_Month_2010-2021'!$B$2:$B$3810,'Rec_raw_catch_effort_2010-2021'!$B3537,'FW_Steelhead_by_Month_2010-2021'!$H$2:$H$3810,'Rec_raw_catch_effort_2010-2021'!$F3537,'FW_Steelhead_by_Month_2010-2021'!$M$2:$M$3810,'Rec_raw_catch_effort_2010-2021'!$K3537)</f>
        <v>0</v>
      </c>
      <c r="R3537" s="111">
        <f>VLOOKUP(B3537,Readme!$A$62:$C$74,3,)*Q3537</f>
        <v>0</v>
      </c>
      <c r="S3537" s="140" t="str">
        <f t="shared" si="265"/>
        <v>Y</v>
      </c>
      <c r="T3537" s="154">
        <f t="shared" si="266"/>
        <v>18.549999999999979</v>
      </c>
      <c r="U3537" s="154" t="str">
        <f t="shared" si="267"/>
        <v>NA</v>
      </c>
    </row>
    <row r="3538" spans="1:21" x14ac:dyDescent="0.35">
      <c r="A3538" s="110">
        <v>256</v>
      </c>
      <c r="B3538" s="110">
        <v>2017</v>
      </c>
      <c r="C3538" s="110" t="s">
        <v>38</v>
      </c>
      <c r="D3538" s="110" t="s">
        <v>143</v>
      </c>
      <c r="E3538" s="110" t="s">
        <v>86</v>
      </c>
      <c r="F3538" s="117">
        <v>852</v>
      </c>
      <c r="G3538" s="110" t="s">
        <v>64</v>
      </c>
      <c r="H3538" s="110" t="str">
        <f t="shared" si="264"/>
        <v>Snoqualmie River</v>
      </c>
      <c r="I3538" s="110" t="str">
        <f>IFERROR(VLOOKUP(H3538,LUTs!$A$1:$C$73,2,FALSE),"NA")</f>
        <v>Snohomish/King</v>
      </c>
      <c r="J3538" s="110" t="str">
        <f>IFERROR(VLOOKUP(H3538,LUTs!$A$1:$C$73,3,FALSE),"NA")</f>
        <v>2Central Puget Sound</v>
      </c>
      <c r="K3538" s="110" t="s">
        <v>16</v>
      </c>
      <c r="L3538" s="110" t="str">
        <f>VLOOKUP(K3538,LUTs!E$2:G$14,3,)</f>
        <v>03Snohomish</v>
      </c>
      <c r="M3538" s="110" t="str">
        <f>VLOOKUP($K3538,LUTs!$E$2:$H$14,2,)</f>
        <v>North Puget Sound</v>
      </c>
      <c r="N3538" s="110" t="str">
        <f>VLOOKUP($K3538,LUTs!$E$2:$H$14,4,)</f>
        <v>01North Puget Sound</v>
      </c>
      <c r="O3538" s="110">
        <v>35.622641509433997</v>
      </c>
      <c r="P3538" s="110">
        <v>660.80000000000098</v>
      </c>
      <c r="Q3538" s="110">
        <f>SUMIFS('FW_Steelhead_by_Month_2010-2021'!Q$2:Q$3810,'FW_Steelhead_by_Month_2010-2021'!$B$2:$B$3810,'Rec_raw_catch_effort_2010-2021'!$B3538,'FW_Steelhead_by_Month_2010-2021'!$H$2:$H$3810,'Rec_raw_catch_effort_2010-2021'!$F3538,'FW_Steelhead_by_Month_2010-2021'!$M$2:$M$3810,'Rec_raw_catch_effort_2010-2021'!$K3538)</f>
        <v>13.459459459459501</v>
      </c>
      <c r="R3538" s="111">
        <f>VLOOKUP(B3538,Readme!$A$62:$C$74,3,)*Q3538</f>
        <v>281.66930237270054</v>
      </c>
      <c r="S3538" s="140" t="str">
        <f t="shared" si="265"/>
        <v>Y</v>
      </c>
      <c r="T3538" s="154">
        <f t="shared" si="266"/>
        <v>18.550000000000008</v>
      </c>
      <c r="U3538" s="154">
        <f t="shared" si="267"/>
        <v>20.927237324879293</v>
      </c>
    </row>
    <row r="3539" spans="1:21" x14ac:dyDescent="0.35">
      <c r="A3539" s="110">
        <v>261</v>
      </c>
      <c r="B3539" s="110">
        <v>2018</v>
      </c>
      <c r="C3539" s="110" t="s">
        <v>38</v>
      </c>
      <c r="D3539" s="110" t="s">
        <v>143</v>
      </c>
      <c r="E3539" s="110" t="s">
        <v>86</v>
      </c>
      <c r="F3539" s="117">
        <v>852</v>
      </c>
      <c r="G3539" s="110" t="s">
        <v>64</v>
      </c>
      <c r="H3539" s="110" t="str">
        <f t="shared" si="264"/>
        <v>Snoqualmie River</v>
      </c>
      <c r="I3539" s="110" t="str">
        <f>IFERROR(VLOOKUP(H3539,LUTs!$A$1:$C$73,2,FALSE),"NA")</f>
        <v>Snohomish/King</v>
      </c>
      <c r="J3539" s="110" t="str">
        <f>IFERROR(VLOOKUP(H3539,LUTs!$A$1:$C$73,3,FALSE),"NA")</f>
        <v>2Central Puget Sound</v>
      </c>
      <c r="K3539" s="110" t="s">
        <v>18</v>
      </c>
      <c r="L3539" s="110" t="str">
        <f>VLOOKUP(K3539,LUTs!E$2:G$14,3,)</f>
        <v>06King</v>
      </c>
      <c r="M3539" s="110" t="str">
        <f>VLOOKUP($K3539,LUTs!$E$2:$H$14,2,)</f>
        <v>South Puget Sound</v>
      </c>
      <c r="N3539" s="110" t="str">
        <f>VLOOKUP($K3539,LUTs!$E$2:$H$14,4,)</f>
        <v>02South Puget Sound</v>
      </c>
      <c r="O3539" s="110">
        <v>70.153846153846203</v>
      </c>
      <c r="P3539" s="110">
        <v>599.11384615384702</v>
      </c>
      <c r="Q3539" s="110">
        <f>SUMIFS('FW_Steelhead_by_Month_2010-2021'!Q$2:Q$3810,'FW_Steelhead_by_Month_2010-2021'!$B$2:$B$3810,'Rec_raw_catch_effort_2010-2021'!$B3539,'FW_Steelhead_by_Month_2010-2021'!$H$2:$H$3810,'Rec_raw_catch_effort_2010-2021'!$F3539,'FW_Steelhead_by_Month_2010-2021'!$M$2:$M$3810,'Rec_raw_catch_effort_2010-2021'!$K3539)</f>
        <v>67.727272727272691</v>
      </c>
      <c r="R3539" s="111">
        <f>VLOOKUP(B3539,Readme!$A$62:$C$74,3,)*Q3539</f>
        <v>1417.3447097304604</v>
      </c>
      <c r="S3539" s="140" t="str">
        <f t="shared" si="265"/>
        <v>Y</v>
      </c>
      <c r="T3539" s="154">
        <f t="shared" si="266"/>
        <v>8.5400000000000063</v>
      </c>
      <c r="U3539" s="154">
        <f t="shared" si="267"/>
        <v>20.927237324879293</v>
      </c>
    </row>
    <row r="3540" spans="1:21" x14ac:dyDescent="0.35">
      <c r="A3540" s="110">
        <v>262</v>
      </c>
      <c r="B3540" s="110">
        <v>2018</v>
      </c>
      <c r="C3540" s="110" t="s">
        <v>38</v>
      </c>
      <c r="D3540" s="110" t="s">
        <v>143</v>
      </c>
      <c r="E3540" s="110" t="s">
        <v>86</v>
      </c>
      <c r="F3540" s="117">
        <v>852</v>
      </c>
      <c r="G3540" s="110" t="s">
        <v>64</v>
      </c>
      <c r="H3540" s="110" t="str">
        <f t="shared" si="264"/>
        <v>Snoqualmie River</v>
      </c>
      <c r="I3540" s="110" t="str">
        <f>IFERROR(VLOOKUP(H3540,LUTs!$A$1:$C$73,2,FALSE),"NA")</f>
        <v>Snohomish/King</v>
      </c>
      <c r="J3540" s="110" t="str">
        <f>IFERROR(VLOOKUP(H3540,LUTs!$A$1:$C$73,3,FALSE),"NA")</f>
        <v>2Central Puget Sound</v>
      </c>
      <c r="K3540" s="110" t="s">
        <v>20</v>
      </c>
      <c r="L3540" s="110" t="str">
        <f>VLOOKUP(K3540,LUTs!E$2:G$14,3,)</f>
        <v>07Pierce</v>
      </c>
      <c r="M3540" s="110" t="str">
        <f>VLOOKUP($K3540,LUTs!$E$2:$H$14,2,)</f>
        <v>South Puget Sound</v>
      </c>
      <c r="N3540" s="110" t="str">
        <f>VLOOKUP($K3540,LUTs!$E$2:$H$14,4,)</f>
        <v>02South Puget Sound</v>
      </c>
      <c r="O3540" s="110">
        <v>5.8461538461538503</v>
      </c>
      <c r="P3540" s="110">
        <v>49.926153846153902</v>
      </c>
      <c r="Q3540" s="110">
        <f>SUMIFS('FW_Steelhead_by_Month_2010-2021'!Q$2:Q$3810,'FW_Steelhead_by_Month_2010-2021'!$B$2:$B$3810,'Rec_raw_catch_effort_2010-2021'!$B3540,'FW_Steelhead_by_Month_2010-2021'!$H$2:$H$3810,'Rec_raw_catch_effort_2010-2021'!$F3540,'FW_Steelhead_by_Month_2010-2021'!$M$2:$M$3810,'Rec_raw_catch_effort_2010-2021'!$K3540)</f>
        <v>2.9090909090909101</v>
      </c>
      <c r="R3540" s="111">
        <f>VLOOKUP(B3540,Readme!$A$62:$C$74,3,)*Q3540</f>
        <v>60.879235854194327</v>
      </c>
      <c r="S3540" s="140" t="str">
        <f t="shared" si="265"/>
        <v>Y</v>
      </c>
      <c r="T3540" s="154">
        <f t="shared" si="266"/>
        <v>8.5400000000000027</v>
      </c>
      <c r="U3540" s="154">
        <f t="shared" si="267"/>
        <v>20.927237324879293</v>
      </c>
    </row>
    <row r="3541" spans="1:21" x14ac:dyDescent="0.35">
      <c r="A3541" s="110">
        <v>263</v>
      </c>
      <c r="B3541" s="110">
        <v>2019</v>
      </c>
      <c r="C3541" s="110" t="s">
        <v>38</v>
      </c>
      <c r="D3541" s="110" t="s">
        <v>143</v>
      </c>
      <c r="E3541" s="110" t="s">
        <v>86</v>
      </c>
      <c r="F3541" s="117">
        <v>852</v>
      </c>
      <c r="G3541" s="110" t="s">
        <v>64</v>
      </c>
      <c r="H3541" s="110" t="str">
        <f t="shared" si="264"/>
        <v>Snoqualmie River</v>
      </c>
      <c r="I3541" s="110" t="str">
        <f>IFERROR(VLOOKUP(H3541,LUTs!$A$1:$C$73,2,FALSE),"NA")</f>
        <v>Snohomish/King</v>
      </c>
      <c r="J3541" s="110" t="str">
        <f>IFERROR(VLOOKUP(H3541,LUTs!$A$1:$C$73,3,FALSE),"NA")</f>
        <v>2Central Puget Sound</v>
      </c>
      <c r="K3541" s="110" t="s">
        <v>18</v>
      </c>
      <c r="L3541" s="110" t="str">
        <f>VLOOKUP(K3541,LUTs!E$2:G$14,3,)</f>
        <v>06King</v>
      </c>
      <c r="M3541" s="110" t="str">
        <f>VLOOKUP($K3541,LUTs!$E$2:$H$14,2,)</f>
        <v>South Puget Sound</v>
      </c>
      <c r="N3541" s="110" t="str">
        <f>VLOOKUP($K3541,LUTs!$E$2:$H$14,4,)</f>
        <v>02South Puget Sound</v>
      </c>
      <c r="O3541" s="110">
        <v>6</v>
      </c>
      <c r="P3541" s="110">
        <v>111.3</v>
      </c>
      <c r="Q3541" s="110">
        <f>SUMIFS('FW_Steelhead_by_Month_2010-2021'!Q$2:Q$3810,'FW_Steelhead_by_Month_2010-2021'!$B$2:$B$3810,'Rec_raw_catch_effort_2010-2021'!$B3541,'FW_Steelhead_by_Month_2010-2021'!$H$2:$H$3810,'Rec_raw_catch_effort_2010-2021'!$F3541,'FW_Steelhead_by_Month_2010-2021'!$M$2:$M$3810,'Rec_raw_catch_effort_2010-2021'!$K3541)</f>
        <v>6</v>
      </c>
      <c r="R3541" s="111">
        <f>VLOOKUP(B3541,Readme!$A$62:$C$74,3,)*Q3541</f>
        <v>125.56342394927576</v>
      </c>
      <c r="S3541" s="140" t="str">
        <f t="shared" si="265"/>
        <v>Y</v>
      </c>
      <c r="T3541" s="154">
        <f t="shared" si="266"/>
        <v>18.55</v>
      </c>
      <c r="U3541" s="154">
        <f t="shared" si="267"/>
        <v>20.927237324879293</v>
      </c>
    </row>
    <row r="3542" spans="1:21" x14ac:dyDescent="0.35">
      <c r="A3542" s="110">
        <v>264</v>
      </c>
      <c r="B3542" s="110">
        <v>2020</v>
      </c>
      <c r="C3542" s="110" t="s">
        <v>38</v>
      </c>
      <c r="D3542" s="110" t="s">
        <v>143</v>
      </c>
      <c r="E3542" s="110" t="s">
        <v>86</v>
      </c>
      <c r="F3542" s="117">
        <v>852</v>
      </c>
      <c r="G3542" s="110" t="s">
        <v>64</v>
      </c>
      <c r="H3542" s="110" t="str">
        <f t="shared" si="264"/>
        <v>Snoqualmie River</v>
      </c>
      <c r="I3542" s="110" t="str">
        <f>IFERROR(VLOOKUP(H3542,LUTs!$A$1:$C$73,2,FALSE),"NA")</f>
        <v>Snohomish/King</v>
      </c>
      <c r="J3542" s="110" t="str">
        <f>IFERROR(VLOOKUP(H3542,LUTs!$A$1:$C$73,3,FALSE),"NA")</f>
        <v>2Central Puget Sound</v>
      </c>
      <c r="K3542" s="110" t="s">
        <v>18</v>
      </c>
      <c r="L3542" s="110" t="str">
        <f>VLOOKUP(K3542,LUTs!E$2:G$14,3,)</f>
        <v>06King</v>
      </c>
      <c r="M3542" s="110" t="str">
        <f>VLOOKUP($K3542,LUTs!$E$2:$H$14,2,)</f>
        <v>South Puget Sound</v>
      </c>
      <c r="N3542" s="110" t="str">
        <f>VLOOKUP($K3542,LUTs!$E$2:$H$14,4,)</f>
        <v>02South Puget Sound</v>
      </c>
      <c r="O3542" s="110">
        <v>92</v>
      </c>
      <c r="P3542" s="110">
        <v>785.68</v>
      </c>
      <c r="Q3542" s="110">
        <f>SUMIFS('FW_Steelhead_by_Month_2010-2021'!Q$2:Q$3810,'FW_Steelhead_by_Month_2010-2021'!$B$2:$B$3810,'Rec_raw_catch_effort_2010-2021'!$B3542,'FW_Steelhead_by_Month_2010-2021'!$H$2:$H$3810,'Rec_raw_catch_effort_2010-2021'!$F3542,'FW_Steelhead_by_Month_2010-2021'!$M$2:$M$3810,'Rec_raw_catch_effort_2010-2021'!$K3542)</f>
        <v>46</v>
      </c>
      <c r="R3542" s="111">
        <f>VLOOKUP(B3542,Readme!$A$62:$C$74,3,)*Q3542</f>
        <v>962.6529169444475</v>
      </c>
      <c r="S3542" s="140" t="str">
        <f t="shared" si="265"/>
        <v>N</v>
      </c>
      <c r="T3542" s="154">
        <f t="shared" si="266"/>
        <v>8.5399999999999991</v>
      </c>
      <c r="U3542" s="154">
        <f t="shared" si="267"/>
        <v>20.927237324879293</v>
      </c>
    </row>
    <row r="3543" spans="1:21" x14ac:dyDescent="0.35">
      <c r="A3543" s="110">
        <v>265</v>
      </c>
      <c r="B3543" s="110">
        <v>2021</v>
      </c>
      <c r="C3543" s="110" t="s">
        <v>38</v>
      </c>
      <c r="D3543" s="110" t="s">
        <v>143</v>
      </c>
      <c r="E3543" s="110" t="s">
        <v>86</v>
      </c>
      <c r="F3543" s="117">
        <v>852</v>
      </c>
      <c r="G3543" s="110" t="s">
        <v>64</v>
      </c>
      <c r="H3543" s="110" t="str">
        <f t="shared" si="264"/>
        <v>Snoqualmie River</v>
      </c>
      <c r="I3543" s="110" t="str">
        <f>IFERROR(VLOOKUP(H3543,LUTs!$A$1:$C$73,2,FALSE),"NA")</f>
        <v>Snohomish/King</v>
      </c>
      <c r="J3543" s="110" t="str">
        <f>IFERROR(VLOOKUP(H3543,LUTs!$A$1:$C$73,3,FALSE),"NA")</f>
        <v>2Central Puget Sound</v>
      </c>
      <c r="K3543" s="110" t="s">
        <v>18</v>
      </c>
      <c r="L3543" s="110" t="str">
        <f>VLOOKUP(K3543,LUTs!E$2:G$14,3,)</f>
        <v>06King</v>
      </c>
      <c r="M3543" s="110" t="str">
        <f>VLOOKUP($K3543,LUTs!$E$2:$H$14,2,)</f>
        <v>South Puget Sound</v>
      </c>
      <c r="N3543" s="110" t="str">
        <f>VLOOKUP($K3543,LUTs!$E$2:$H$14,4,)</f>
        <v>02South Puget Sound</v>
      </c>
      <c r="O3543" s="110">
        <v>506.222222222222</v>
      </c>
      <c r="P3543" s="110">
        <v>9390.4222222222197</v>
      </c>
      <c r="Q3543" s="110">
        <f>SUMIFS('FW_Steelhead_by_Month_2010-2021'!Q$2:Q$3810,'FW_Steelhead_by_Month_2010-2021'!$B$2:$B$3810,'Rec_raw_catch_effort_2010-2021'!$B3543,'FW_Steelhead_by_Month_2010-2021'!$H$2:$H$3810,'Rec_raw_catch_effort_2010-2021'!$F3543,'FW_Steelhead_by_Month_2010-2021'!$M$2:$M$3810,'Rec_raw_catch_effort_2010-2021'!$K3543)</f>
        <v>24.266666666666701</v>
      </c>
      <c r="R3543" s="111">
        <f>VLOOKUP(B3543,Readme!$A$62:$C$74,3,)*Q3543</f>
        <v>507.83429241707159</v>
      </c>
      <c r="S3543" s="140" t="str">
        <f t="shared" si="265"/>
        <v>N</v>
      </c>
      <c r="T3543" s="154">
        <f t="shared" si="266"/>
        <v>18.550000000000004</v>
      </c>
      <c r="U3543" s="154">
        <f t="shared" si="267"/>
        <v>20.927237324879293</v>
      </c>
    </row>
    <row r="3544" spans="1:21" x14ac:dyDescent="0.35">
      <c r="A3544" s="110">
        <v>266</v>
      </c>
      <c r="B3544" s="110">
        <v>2021</v>
      </c>
      <c r="C3544" s="110" t="s">
        <v>38</v>
      </c>
      <c r="D3544" s="110" t="s">
        <v>143</v>
      </c>
      <c r="E3544" s="110" t="s">
        <v>86</v>
      </c>
      <c r="F3544" s="117">
        <v>852</v>
      </c>
      <c r="G3544" s="110" t="s">
        <v>64</v>
      </c>
      <c r="H3544" s="110" t="str">
        <f t="shared" si="264"/>
        <v>Snoqualmie River</v>
      </c>
      <c r="I3544" s="110" t="str">
        <f>IFERROR(VLOOKUP(H3544,LUTs!$A$1:$C$73,2,FALSE),"NA")</f>
        <v>Snohomish/King</v>
      </c>
      <c r="J3544" s="110" t="str">
        <f>IFERROR(VLOOKUP(H3544,LUTs!$A$1:$C$73,3,FALSE),"NA")</f>
        <v>2Central Puget Sound</v>
      </c>
      <c r="K3544" s="110" t="s">
        <v>20</v>
      </c>
      <c r="L3544" s="110" t="str">
        <f>VLOOKUP(K3544,LUTs!E$2:G$14,3,)</f>
        <v>07Pierce</v>
      </c>
      <c r="M3544" s="110" t="str">
        <f>VLOOKUP($K3544,LUTs!$E$2:$H$14,2,)</f>
        <v>South Puget Sound</v>
      </c>
      <c r="N3544" s="110" t="str">
        <f>VLOOKUP($K3544,LUTs!$E$2:$H$14,4,)</f>
        <v>02South Puget Sound</v>
      </c>
      <c r="O3544" s="110">
        <v>29.7777777777778</v>
      </c>
      <c r="P3544" s="110">
        <v>552.37777777777796</v>
      </c>
      <c r="Q3544" s="110">
        <f>SUMIFS('FW_Steelhead_by_Month_2010-2021'!Q$2:Q$3810,'FW_Steelhead_by_Month_2010-2021'!$B$2:$B$3810,'Rec_raw_catch_effort_2010-2021'!$B3544,'FW_Steelhead_by_Month_2010-2021'!$H$2:$H$3810,'Rec_raw_catch_effort_2010-2021'!$F3544,'FW_Steelhead_by_Month_2010-2021'!$M$2:$M$3810,'Rec_raw_catch_effort_2010-2021'!$K3544)</f>
        <v>1.7333333333333301</v>
      </c>
      <c r="R3544" s="111">
        <f>VLOOKUP(B3544,Readme!$A$62:$C$74,3,)*Q3544</f>
        <v>36.273878029790708</v>
      </c>
      <c r="S3544" s="140" t="str">
        <f t="shared" si="265"/>
        <v>N</v>
      </c>
      <c r="T3544" s="154">
        <f t="shared" si="266"/>
        <v>18.549999999999994</v>
      </c>
      <c r="U3544" s="154">
        <f t="shared" si="267"/>
        <v>20.927237324879293</v>
      </c>
    </row>
    <row r="3545" spans="1:21" x14ac:dyDescent="0.35">
      <c r="A3545" s="110">
        <v>1948</v>
      </c>
      <c r="B3545" s="110">
        <v>2010</v>
      </c>
      <c r="C3545" s="110" t="s">
        <v>38</v>
      </c>
      <c r="D3545" s="110" t="s">
        <v>143</v>
      </c>
      <c r="E3545" s="110" t="s">
        <v>86</v>
      </c>
      <c r="F3545" s="117">
        <v>854</v>
      </c>
      <c r="G3545" s="110" t="s">
        <v>100</v>
      </c>
      <c r="H3545" s="110" t="str">
        <f t="shared" si="264"/>
        <v>Sultan River</v>
      </c>
      <c r="I3545" s="110" t="str">
        <f>IFERROR(VLOOKUP(H3545,LUTs!$A$1:$C$73,2,FALSE),"NA")</f>
        <v>Snohomish</v>
      </c>
      <c r="J3545" s="110" t="str">
        <f>IFERROR(VLOOKUP(H3545,LUTs!$A$1:$C$73,3,FALSE),"NA")</f>
        <v>2Central Puget Sound</v>
      </c>
      <c r="K3545" s="110" t="s">
        <v>18</v>
      </c>
      <c r="L3545" s="110" t="str">
        <f>VLOOKUP(K3545,LUTs!E$2:G$14,3,)</f>
        <v>06King</v>
      </c>
      <c r="M3545" s="110" t="str">
        <f>VLOOKUP($K3545,LUTs!$E$2:$H$14,2,)</f>
        <v>South Puget Sound</v>
      </c>
      <c r="N3545" s="110" t="str">
        <f>VLOOKUP($K3545,LUTs!$E$2:$H$14,4,)</f>
        <v>02South Puget Sound</v>
      </c>
      <c r="O3545" s="110">
        <v>8.4</v>
      </c>
      <c r="P3545" s="110">
        <v>71.736000000000004</v>
      </c>
      <c r="Q3545" s="110">
        <f>SUMIFS('FW_Steelhead_by_Month_2010-2021'!Q$2:Q$3810,'FW_Steelhead_by_Month_2010-2021'!$B$2:$B$3810,'Rec_raw_catch_effort_2010-2021'!$B3545,'FW_Steelhead_by_Month_2010-2021'!$H$2:$H$3810,'Rec_raw_catch_effort_2010-2021'!$F3545,'FW_Steelhead_by_Month_2010-2021'!$M$2:$M$3810,'Rec_raw_catch_effort_2010-2021'!$K3545)</f>
        <v>7</v>
      </c>
      <c r="R3545" s="111">
        <f>VLOOKUP(B3545,Readme!$A$62:$C$74,3,)*Q3545</f>
        <v>146.49066127415506</v>
      </c>
      <c r="S3545" s="140" t="str">
        <f t="shared" si="265"/>
        <v>Y</v>
      </c>
      <c r="T3545" s="154">
        <f t="shared" si="266"/>
        <v>8.5400000000000009</v>
      </c>
      <c r="U3545" s="154">
        <f t="shared" si="267"/>
        <v>20.927237324879293</v>
      </c>
    </row>
    <row r="3546" spans="1:21" x14ac:dyDescent="0.35">
      <c r="A3546" s="110">
        <v>1949</v>
      </c>
      <c r="B3546" s="110">
        <v>2010</v>
      </c>
      <c r="C3546" s="110" t="s">
        <v>38</v>
      </c>
      <c r="D3546" s="110" t="s">
        <v>143</v>
      </c>
      <c r="E3546" s="110" t="s">
        <v>86</v>
      </c>
      <c r="F3546" s="117">
        <v>854</v>
      </c>
      <c r="G3546" s="110" t="s">
        <v>100</v>
      </c>
      <c r="H3546" s="110" t="str">
        <f t="shared" si="264"/>
        <v>Sultan River</v>
      </c>
      <c r="I3546" s="110" t="str">
        <f>IFERROR(VLOOKUP(H3546,LUTs!$A$1:$C$73,2,FALSE),"NA")</f>
        <v>Snohomish</v>
      </c>
      <c r="J3546" s="110" t="str">
        <f>IFERROR(VLOOKUP(H3546,LUTs!$A$1:$C$73,3,FALSE),"NA")</f>
        <v>2Central Puget Sound</v>
      </c>
      <c r="K3546" s="110" t="s">
        <v>26</v>
      </c>
      <c r="L3546" s="110" t="str">
        <f>VLOOKUP(K3546,LUTs!E$2:G$14,3,)</f>
        <v>20Other</v>
      </c>
      <c r="M3546" s="110" t="str">
        <f>VLOOKUP($K3546,LUTs!$E$2:$H$14,2,)</f>
        <v>Non Puget Sound</v>
      </c>
      <c r="N3546" s="110" t="str">
        <f>VLOOKUP($K3546,LUTs!$E$2:$H$14,4,)</f>
        <v>07Non Puget Sound</v>
      </c>
      <c r="O3546" s="110">
        <v>4.2</v>
      </c>
      <c r="P3546" s="110">
        <v>35.868000000000002</v>
      </c>
      <c r="Q3546" s="110">
        <f>SUMIFS('FW_Steelhead_by_Month_2010-2021'!Q$2:Q$3810,'FW_Steelhead_by_Month_2010-2021'!$B$2:$B$3810,'Rec_raw_catch_effort_2010-2021'!$B3546,'FW_Steelhead_by_Month_2010-2021'!$H$2:$H$3810,'Rec_raw_catch_effort_2010-2021'!$F3546,'FW_Steelhead_by_Month_2010-2021'!$M$2:$M$3810,'Rec_raw_catch_effort_2010-2021'!$K3546)</f>
        <v>5</v>
      </c>
      <c r="R3546" s="111">
        <f>VLOOKUP(B3546,Readme!$A$62:$C$74,3,)*Q3546</f>
        <v>104.63618662439646</v>
      </c>
      <c r="S3546" s="140" t="str">
        <f t="shared" si="265"/>
        <v>Y</v>
      </c>
      <c r="T3546" s="154">
        <f t="shared" si="266"/>
        <v>8.5400000000000009</v>
      </c>
      <c r="U3546" s="154">
        <f t="shared" si="267"/>
        <v>20.927237324879293</v>
      </c>
    </row>
    <row r="3547" spans="1:21" x14ac:dyDescent="0.35">
      <c r="A3547" s="110">
        <v>1947</v>
      </c>
      <c r="B3547" s="110">
        <v>2010</v>
      </c>
      <c r="C3547" s="110" t="s">
        <v>38</v>
      </c>
      <c r="D3547" s="110" t="s">
        <v>143</v>
      </c>
      <c r="E3547" s="110" t="s">
        <v>86</v>
      </c>
      <c r="F3547" s="117">
        <v>854</v>
      </c>
      <c r="G3547" s="110" t="s">
        <v>100</v>
      </c>
      <c r="H3547" s="110" t="str">
        <f t="shared" si="264"/>
        <v>Sultan River</v>
      </c>
      <c r="I3547" s="110" t="str">
        <f>IFERROR(VLOOKUP(H3547,LUTs!$A$1:$C$73,2,FALSE),"NA")</f>
        <v>Snohomish</v>
      </c>
      <c r="J3547" s="110" t="str">
        <f>IFERROR(VLOOKUP(H3547,LUTs!$A$1:$C$73,3,FALSE),"NA")</f>
        <v>2Central Puget Sound</v>
      </c>
      <c r="K3547" s="110" t="s">
        <v>16</v>
      </c>
      <c r="L3547" s="110" t="str">
        <f>VLOOKUP(K3547,LUTs!E$2:G$14,3,)</f>
        <v>03Snohomish</v>
      </c>
      <c r="M3547" s="110" t="str">
        <f>VLOOKUP($K3547,LUTs!$E$2:$H$14,2,)</f>
        <v>North Puget Sound</v>
      </c>
      <c r="N3547" s="110" t="str">
        <f>VLOOKUP($K3547,LUTs!$E$2:$H$14,4,)</f>
        <v>01North Puget Sound</v>
      </c>
      <c r="O3547" s="110">
        <v>8.4</v>
      </c>
      <c r="P3547" s="110">
        <v>71.736000000000004</v>
      </c>
      <c r="Q3547" s="110">
        <f>SUMIFS('FW_Steelhead_by_Month_2010-2021'!Q$2:Q$3810,'FW_Steelhead_by_Month_2010-2021'!$B$2:$B$3810,'Rec_raw_catch_effort_2010-2021'!$B3547,'FW_Steelhead_by_Month_2010-2021'!$H$2:$H$3810,'Rec_raw_catch_effort_2010-2021'!$F3547,'FW_Steelhead_by_Month_2010-2021'!$M$2:$M$3810,'Rec_raw_catch_effort_2010-2021'!$K3547)</f>
        <v>7</v>
      </c>
      <c r="R3547" s="111">
        <f>VLOOKUP(B3547,Readme!$A$62:$C$74,3,)*Q3547</f>
        <v>146.49066127415506</v>
      </c>
      <c r="S3547" s="140" t="str">
        <f t="shared" si="265"/>
        <v>Y</v>
      </c>
      <c r="T3547" s="154">
        <f t="shared" si="266"/>
        <v>8.5400000000000009</v>
      </c>
      <c r="U3547" s="154">
        <f t="shared" si="267"/>
        <v>20.927237324879293</v>
      </c>
    </row>
    <row r="3548" spans="1:21" x14ac:dyDescent="0.35">
      <c r="A3548" s="110">
        <v>2568</v>
      </c>
      <c r="B3548" s="110">
        <v>2011</v>
      </c>
      <c r="C3548" s="110" t="s">
        <v>38</v>
      </c>
      <c r="D3548" s="110" t="s">
        <v>143</v>
      </c>
      <c r="E3548" s="110" t="s">
        <v>86</v>
      </c>
      <c r="F3548" s="117">
        <v>854</v>
      </c>
      <c r="G3548" s="110" t="s">
        <v>100</v>
      </c>
      <c r="H3548" s="110" t="str">
        <f t="shared" si="264"/>
        <v>Sultan River</v>
      </c>
      <c r="I3548" s="110" t="str">
        <f>IFERROR(VLOOKUP(H3548,LUTs!$A$1:$C$73,2,FALSE),"NA")</f>
        <v>Snohomish</v>
      </c>
      <c r="J3548" s="110" t="str">
        <f>IFERROR(VLOOKUP(H3548,LUTs!$A$1:$C$73,3,FALSE),"NA")</f>
        <v>2Central Puget Sound</v>
      </c>
      <c r="K3548" s="110" t="s">
        <v>18</v>
      </c>
      <c r="L3548" s="110" t="str">
        <f>VLOOKUP(K3548,LUTs!E$2:G$14,3,)</f>
        <v>06King</v>
      </c>
      <c r="M3548" s="110" t="str">
        <f>VLOOKUP($K3548,LUTs!$E$2:$H$14,2,)</f>
        <v>South Puget Sound</v>
      </c>
      <c r="N3548" s="110" t="str">
        <f>VLOOKUP($K3548,LUTs!$E$2:$H$14,4,)</f>
        <v>02South Puget Sound</v>
      </c>
      <c r="O3548" s="110">
        <v>11.1111111111111</v>
      </c>
      <c r="P3548" s="110">
        <v>206.111111111111</v>
      </c>
      <c r="Q3548" s="110">
        <f>SUMIFS('FW_Steelhead_by_Month_2010-2021'!Q$2:Q$3810,'FW_Steelhead_by_Month_2010-2021'!$B$2:$B$3810,'Rec_raw_catch_effort_2010-2021'!$B3548,'FW_Steelhead_by_Month_2010-2021'!$H$2:$H$3810,'Rec_raw_catch_effort_2010-2021'!$F3548,'FW_Steelhead_by_Month_2010-2021'!$M$2:$M$3810,'Rec_raw_catch_effort_2010-2021'!$K3548)</f>
        <v>13.33333333333333</v>
      </c>
      <c r="R3548" s="111">
        <f>VLOOKUP(B3548,Readme!$A$62:$C$74,3,)*Q3548</f>
        <v>279.02983099839054</v>
      </c>
      <c r="S3548" s="140" t="str">
        <f t="shared" si="265"/>
        <v>Y</v>
      </c>
      <c r="T3548" s="154">
        <f t="shared" si="266"/>
        <v>18.550000000000008</v>
      </c>
      <c r="U3548" s="154">
        <f t="shared" si="267"/>
        <v>20.927237324879297</v>
      </c>
    </row>
    <row r="3549" spans="1:21" x14ac:dyDescent="0.35">
      <c r="A3549" s="110">
        <v>2569</v>
      </c>
      <c r="B3549" s="110">
        <v>2011</v>
      </c>
      <c r="C3549" s="110" t="s">
        <v>38</v>
      </c>
      <c r="D3549" s="110" t="s">
        <v>143</v>
      </c>
      <c r="E3549" s="110" t="s">
        <v>86</v>
      </c>
      <c r="F3549" s="117">
        <v>854</v>
      </c>
      <c r="G3549" s="110" t="s">
        <v>100</v>
      </c>
      <c r="H3549" s="110" t="str">
        <f t="shared" si="264"/>
        <v>Sultan River</v>
      </c>
      <c r="I3549" s="110" t="str">
        <f>IFERROR(VLOOKUP(H3549,LUTs!$A$1:$C$73,2,FALSE),"NA")</f>
        <v>Snohomish</v>
      </c>
      <c r="J3549" s="110" t="str">
        <f>IFERROR(VLOOKUP(H3549,LUTs!$A$1:$C$73,3,FALSE),"NA")</f>
        <v>2Central Puget Sound</v>
      </c>
      <c r="K3549" s="110" t="s">
        <v>26</v>
      </c>
      <c r="L3549" s="110" t="str">
        <f>VLOOKUP(K3549,LUTs!E$2:G$14,3,)</f>
        <v>20Other</v>
      </c>
      <c r="M3549" s="110" t="str">
        <f>VLOOKUP($K3549,LUTs!$E$2:$H$14,2,)</f>
        <v>Non Puget Sound</v>
      </c>
      <c r="N3549" s="110" t="str">
        <f>VLOOKUP($K3549,LUTs!$E$2:$H$14,4,)</f>
        <v>07Non Puget Sound</v>
      </c>
      <c r="O3549" s="110">
        <v>5.5555555555555598</v>
      </c>
      <c r="P3549" s="110">
        <v>103.055555555556</v>
      </c>
      <c r="Q3549" s="110">
        <f>SUMIFS('FW_Steelhead_by_Month_2010-2021'!Q$2:Q$3810,'FW_Steelhead_by_Month_2010-2021'!$B$2:$B$3810,'Rec_raw_catch_effort_2010-2021'!$B3549,'FW_Steelhead_by_Month_2010-2021'!$H$2:$H$3810,'Rec_raw_catch_effort_2010-2021'!$F3549,'FW_Steelhead_by_Month_2010-2021'!$M$2:$M$3810,'Rec_raw_catch_effort_2010-2021'!$K3549)</f>
        <v>5.5555555555555598</v>
      </c>
      <c r="R3549" s="111">
        <f>VLOOKUP(B3549,Readme!$A$62:$C$74,3,)*Q3549</f>
        <v>116.26242958266283</v>
      </c>
      <c r="S3549" s="140" t="str">
        <f t="shared" si="265"/>
        <v>Y</v>
      </c>
      <c r="T3549" s="154">
        <f t="shared" si="266"/>
        <v>18.550000000000065</v>
      </c>
      <c r="U3549" s="154">
        <f t="shared" si="267"/>
        <v>20.927237324879293</v>
      </c>
    </row>
    <row r="3550" spans="1:21" x14ac:dyDescent="0.35">
      <c r="A3550" s="110">
        <v>2567</v>
      </c>
      <c r="B3550" s="110">
        <v>2011</v>
      </c>
      <c r="C3550" s="110" t="s">
        <v>38</v>
      </c>
      <c r="D3550" s="110" t="s">
        <v>143</v>
      </c>
      <c r="E3550" s="110" t="s">
        <v>86</v>
      </c>
      <c r="F3550" s="117">
        <v>854</v>
      </c>
      <c r="G3550" s="110" t="s">
        <v>100</v>
      </c>
      <c r="H3550" s="110" t="str">
        <f t="shared" si="264"/>
        <v>Sultan River</v>
      </c>
      <c r="I3550" s="110" t="str">
        <f>IFERROR(VLOOKUP(H3550,LUTs!$A$1:$C$73,2,FALSE),"NA")</f>
        <v>Snohomish</v>
      </c>
      <c r="J3550" s="110" t="str">
        <f>IFERROR(VLOOKUP(H3550,LUTs!$A$1:$C$73,3,FALSE),"NA")</f>
        <v>2Central Puget Sound</v>
      </c>
      <c r="K3550" s="110" t="s">
        <v>16</v>
      </c>
      <c r="L3550" s="110" t="str">
        <f>VLOOKUP(K3550,LUTs!E$2:G$14,3,)</f>
        <v>03Snohomish</v>
      </c>
      <c r="M3550" s="110" t="str">
        <f>VLOOKUP($K3550,LUTs!$E$2:$H$14,2,)</f>
        <v>North Puget Sound</v>
      </c>
      <c r="N3550" s="110" t="str">
        <f>VLOOKUP($K3550,LUTs!$E$2:$H$14,4,)</f>
        <v>01North Puget Sound</v>
      </c>
      <c r="O3550" s="110">
        <v>33.3333333333333</v>
      </c>
      <c r="P3550" s="110">
        <v>618.33333333333303</v>
      </c>
      <c r="Q3550" s="110">
        <f>SUMIFS('FW_Steelhead_by_Month_2010-2021'!Q$2:Q$3810,'FW_Steelhead_by_Month_2010-2021'!$B$2:$B$3810,'Rec_raw_catch_effort_2010-2021'!$B3550,'FW_Steelhead_by_Month_2010-2021'!$H$2:$H$3810,'Rec_raw_catch_effort_2010-2021'!$F3550,'FW_Steelhead_by_Month_2010-2021'!$M$2:$M$3810,'Rec_raw_catch_effort_2010-2021'!$K3550)</f>
        <v>28.1111111111111</v>
      </c>
      <c r="R3550" s="111">
        <f>VLOOKUP(B3550,Readme!$A$62:$C$74,3,)*Q3550</f>
        <v>588.28789368827324</v>
      </c>
      <c r="S3550" s="140" t="str">
        <f t="shared" si="265"/>
        <v>Y</v>
      </c>
      <c r="T3550" s="154">
        <f t="shared" si="266"/>
        <v>18.550000000000008</v>
      </c>
      <c r="U3550" s="154">
        <f t="shared" si="267"/>
        <v>20.927237324879293</v>
      </c>
    </row>
    <row r="3551" spans="1:21" x14ac:dyDescent="0.35">
      <c r="A3551" s="110">
        <v>2050</v>
      </c>
      <c r="B3551" s="110">
        <v>2012</v>
      </c>
      <c r="C3551" s="110" t="s">
        <v>38</v>
      </c>
      <c r="D3551" s="110" t="s">
        <v>143</v>
      </c>
      <c r="E3551" s="110" t="s">
        <v>86</v>
      </c>
      <c r="F3551" s="117">
        <v>854</v>
      </c>
      <c r="G3551" s="110" t="s">
        <v>100</v>
      </c>
      <c r="H3551" s="110" t="str">
        <f t="shared" si="264"/>
        <v>Sultan River</v>
      </c>
      <c r="I3551" s="110" t="str">
        <f>IFERROR(VLOOKUP(H3551,LUTs!$A$1:$C$73,2,FALSE),"NA")</f>
        <v>Snohomish</v>
      </c>
      <c r="J3551" s="110" t="str">
        <f>IFERROR(VLOOKUP(H3551,LUTs!$A$1:$C$73,3,FALSE),"NA")</f>
        <v>2Central Puget Sound</v>
      </c>
      <c r="K3551" s="110" t="s">
        <v>18</v>
      </c>
      <c r="L3551" s="110" t="str">
        <f>VLOOKUP(K3551,LUTs!E$2:G$14,3,)</f>
        <v>06King</v>
      </c>
      <c r="M3551" s="110" t="str">
        <f>VLOOKUP($K3551,LUTs!$E$2:$H$14,2,)</f>
        <v>South Puget Sound</v>
      </c>
      <c r="N3551" s="110" t="str">
        <f>VLOOKUP($K3551,LUTs!$E$2:$H$14,4,)</f>
        <v>02South Puget Sound</v>
      </c>
      <c r="O3551" s="110">
        <v>3</v>
      </c>
      <c r="P3551" s="110">
        <v>25.62</v>
      </c>
      <c r="Q3551" s="110">
        <f>SUMIFS('FW_Steelhead_by_Month_2010-2021'!Q$2:Q$3810,'FW_Steelhead_by_Month_2010-2021'!$B$2:$B$3810,'Rec_raw_catch_effort_2010-2021'!$B3551,'FW_Steelhead_by_Month_2010-2021'!$H$2:$H$3810,'Rec_raw_catch_effort_2010-2021'!$F3551,'FW_Steelhead_by_Month_2010-2021'!$M$2:$M$3810,'Rec_raw_catch_effort_2010-2021'!$K3551)</f>
        <v>0</v>
      </c>
      <c r="R3551" s="111">
        <f>VLOOKUP(B3551,Readme!$A$62:$C$74,3,)*Q3551</f>
        <v>0</v>
      </c>
      <c r="S3551" s="140" t="str">
        <f t="shared" si="265"/>
        <v>Y</v>
      </c>
      <c r="T3551" s="154">
        <f t="shared" si="266"/>
        <v>8.5400000000000009</v>
      </c>
      <c r="U3551" s="154" t="str">
        <f t="shared" si="267"/>
        <v>NA</v>
      </c>
    </row>
    <row r="3552" spans="1:21" x14ac:dyDescent="0.35">
      <c r="A3552" s="110">
        <v>2051</v>
      </c>
      <c r="B3552" s="110">
        <v>2012</v>
      </c>
      <c r="C3552" s="110" t="s">
        <v>38</v>
      </c>
      <c r="D3552" s="110" t="s">
        <v>143</v>
      </c>
      <c r="E3552" s="110" t="s">
        <v>86</v>
      </c>
      <c r="F3552" s="117">
        <v>854</v>
      </c>
      <c r="G3552" s="110" t="s">
        <v>100</v>
      </c>
      <c r="H3552" s="110" t="str">
        <f t="shared" si="264"/>
        <v>Sultan River</v>
      </c>
      <c r="I3552" s="110" t="str">
        <f>IFERROR(VLOOKUP(H3552,LUTs!$A$1:$C$73,2,FALSE),"NA")</f>
        <v>Snohomish</v>
      </c>
      <c r="J3552" s="110" t="str">
        <f>IFERROR(VLOOKUP(H3552,LUTs!$A$1:$C$73,3,FALSE),"NA")</f>
        <v>2Central Puget Sound</v>
      </c>
      <c r="K3552" s="110" t="s">
        <v>26</v>
      </c>
      <c r="L3552" s="110" t="str">
        <f>VLOOKUP(K3552,LUTs!E$2:G$14,3,)</f>
        <v>20Other</v>
      </c>
      <c r="M3552" s="110" t="str">
        <f>VLOOKUP($K3552,LUTs!$E$2:$H$14,2,)</f>
        <v>Non Puget Sound</v>
      </c>
      <c r="N3552" s="110" t="str">
        <f>VLOOKUP($K3552,LUTs!$E$2:$H$14,4,)</f>
        <v>07Non Puget Sound</v>
      </c>
      <c r="O3552" s="110">
        <v>6</v>
      </c>
      <c r="P3552" s="110">
        <v>51.24</v>
      </c>
      <c r="Q3552" s="110">
        <f>SUMIFS('FW_Steelhead_by_Month_2010-2021'!Q$2:Q$3810,'FW_Steelhead_by_Month_2010-2021'!$B$2:$B$3810,'Rec_raw_catch_effort_2010-2021'!$B3552,'FW_Steelhead_by_Month_2010-2021'!$H$2:$H$3810,'Rec_raw_catch_effort_2010-2021'!$F3552,'FW_Steelhead_by_Month_2010-2021'!$M$2:$M$3810,'Rec_raw_catch_effort_2010-2021'!$K3552)</f>
        <v>3</v>
      </c>
      <c r="R3552" s="111">
        <f>VLOOKUP(B3552,Readme!$A$62:$C$74,3,)*Q3552</f>
        <v>62.781711974637879</v>
      </c>
      <c r="S3552" s="140" t="str">
        <f t="shared" si="265"/>
        <v>Y</v>
      </c>
      <c r="T3552" s="154">
        <f t="shared" si="266"/>
        <v>8.5400000000000009</v>
      </c>
      <c r="U3552" s="154">
        <f t="shared" si="267"/>
        <v>20.927237324879293</v>
      </c>
    </row>
    <row r="3553" spans="1:21" x14ac:dyDescent="0.35">
      <c r="A3553" s="110">
        <v>2049</v>
      </c>
      <c r="B3553" s="110">
        <v>2012</v>
      </c>
      <c r="C3553" s="110" t="s">
        <v>38</v>
      </c>
      <c r="D3553" s="110" t="s">
        <v>143</v>
      </c>
      <c r="E3553" s="110" t="s">
        <v>86</v>
      </c>
      <c r="F3553" s="117">
        <v>854</v>
      </c>
      <c r="G3553" s="110" t="s">
        <v>100</v>
      </c>
      <c r="H3553" s="110" t="str">
        <f t="shared" si="264"/>
        <v>Sultan River</v>
      </c>
      <c r="I3553" s="110" t="str">
        <f>IFERROR(VLOOKUP(H3553,LUTs!$A$1:$C$73,2,FALSE),"NA")</f>
        <v>Snohomish</v>
      </c>
      <c r="J3553" s="110" t="str">
        <f>IFERROR(VLOOKUP(H3553,LUTs!$A$1:$C$73,3,FALSE),"NA")</f>
        <v>2Central Puget Sound</v>
      </c>
      <c r="K3553" s="110" t="s">
        <v>16</v>
      </c>
      <c r="L3553" s="110" t="str">
        <f>VLOOKUP(K3553,LUTs!E$2:G$14,3,)</f>
        <v>03Snohomish</v>
      </c>
      <c r="M3553" s="110" t="str">
        <f>VLOOKUP($K3553,LUTs!$E$2:$H$14,2,)</f>
        <v>North Puget Sound</v>
      </c>
      <c r="N3553" s="110" t="str">
        <f>VLOOKUP($K3553,LUTs!$E$2:$H$14,4,)</f>
        <v>01North Puget Sound</v>
      </c>
      <c r="O3553" s="110">
        <v>12</v>
      </c>
      <c r="P3553" s="110">
        <v>102.48</v>
      </c>
      <c r="Q3553" s="110">
        <f>SUMIFS('FW_Steelhead_by_Month_2010-2021'!Q$2:Q$3810,'FW_Steelhead_by_Month_2010-2021'!$B$2:$B$3810,'Rec_raw_catch_effort_2010-2021'!$B3553,'FW_Steelhead_by_Month_2010-2021'!$H$2:$H$3810,'Rec_raw_catch_effort_2010-2021'!$F3553,'FW_Steelhead_by_Month_2010-2021'!$M$2:$M$3810,'Rec_raw_catch_effort_2010-2021'!$K3553)</f>
        <v>14</v>
      </c>
      <c r="R3553" s="111">
        <f>VLOOKUP(B3553,Readme!$A$62:$C$74,3,)*Q3553</f>
        <v>292.98132254831012</v>
      </c>
      <c r="S3553" s="140" t="str">
        <f t="shared" si="265"/>
        <v>Y</v>
      </c>
      <c r="T3553" s="154">
        <f t="shared" si="266"/>
        <v>8.5400000000000009</v>
      </c>
      <c r="U3553" s="154">
        <f t="shared" si="267"/>
        <v>20.927237324879293</v>
      </c>
    </row>
    <row r="3554" spans="1:21" x14ac:dyDescent="0.35">
      <c r="A3554" s="110">
        <v>2223</v>
      </c>
      <c r="B3554" s="110">
        <v>2013</v>
      </c>
      <c r="C3554" s="110" t="s">
        <v>38</v>
      </c>
      <c r="D3554" s="110" t="s">
        <v>143</v>
      </c>
      <c r="E3554" s="110" t="s">
        <v>86</v>
      </c>
      <c r="F3554" s="117">
        <v>854</v>
      </c>
      <c r="G3554" s="110" t="s">
        <v>100</v>
      </c>
      <c r="H3554" s="110" t="str">
        <f t="shared" si="264"/>
        <v>Sultan River</v>
      </c>
      <c r="I3554" s="110" t="str">
        <f>IFERROR(VLOOKUP(H3554,LUTs!$A$1:$C$73,2,FALSE),"NA")</f>
        <v>Snohomish</v>
      </c>
      <c r="J3554" s="110" t="str">
        <f>IFERROR(VLOOKUP(H3554,LUTs!$A$1:$C$73,3,FALSE),"NA")</f>
        <v>2Central Puget Sound</v>
      </c>
      <c r="K3554" s="110" t="s">
        <v>16</v>
      </c>
      <c r="L3554" s="110" t="str">
        <f>VLOOKUP(K3554,LUTs!E$2:G$14,3,)</f>
        <v>03Snohomish</v>
      </c>
      <c r="M3554" s="110" t="str">
        <f>VLOOKUP($K3554,LUTs!$E$2:$H$14,2,)</f>
        <v>North Puget Sound</v>
      </c>
      <c r="N3554" s="110" t="str">
        <f>VLOOKUP($K3554,LUTs!$E$2:$H$14,4,)</f>
        <v>01North Puget Sound</v>
      </c>
      <c r="O3554" s="110">
        <v>4</v>
      </c>
      <c r="P3554" s="110">
        <v>74.2</v>
      </c>
      <c r="Q3554" s="110">
        <f>SUMIFS('FW_Steelhead_by_Month_2010-2021'!Q$2:Q$3810,'FW_Steelhead_by_Month_2010-2021'!$B$2:$B$3810,'Rec_raw_catch_effort_2010-2021'!$B3554,'FW_Steelhead_by_Month_2010-2021'!$H$2:$H$3810,'Rec_raw_catch_effort_2010-2021'!$F3554,'FW_Steelhead_by_Month_2010-2021'!$M$2:$M$3810,'Rec_raw_catch_effort_2010-2021'!$K3554)</f>
        <v>7</v>
      </c>
      <c r="R3554" s="111">
        <f>VLOOKUP(B3554,Readme!$A$62:$C$74,3,)*Q3554</f>
        <v>146.49066127415506</v>
      </c>
      <c r="S3554" s="140" t="str">
        <f t="shared" si="265"/>
        <v>Y</v>
      </c>
      <c r="T3554" s="154">
        <f t="shared" si="266"/>
        <v>18.55</v>
      </c>
      <c r="U3554" s="154">
        <f t="shared" si="267"/>
        <v>20.927237324879293</v>
      </c>
    </row>
    <row r="3555" spans="1:21" x14ac:dyDescent="0.35">
      <c r="A3555" s="110">
        <v>1631</v>
      </c>
      <c r="B3555" s="110">
        <v>2015</v>
      </c>
      <c r="C3555" s="110" t="s">
        <v>38</v>
      </c>
      <c r="D3555" s="110" t="s">
        <v>143</v>
      </c>
      <c r="E3555" s="110" t="s">
        <v>86</v>
      </c>
      <c r="F3555" s="117">
        <v>854</v>
      </c>
      <c r="G3555" s="110" t="s">
        <v>100</v>
      </c>
      <c r="H3555" s="110" t="str">
        <f t="shared" si="264"/>
        <v>Sultan River</v>
      </c>
      <c r="I3555" s="110" t="str">
        <f>IFERROR(VLOOKUP(H3555,LUTs!$A$1:$C$73,2,FALSE),"NA")</f>
        <v>Snohomish</v>
      </c>
      <c r="J3555" s="110" t="str">
        <f>IFERROR(VLOOKUP(H3555,LUTs!$A$1:$C$73,3,FALSE),"NA")</f>
        <v>2Central Puget Sound</v>
      </c>
      <c r="K3555" s="110" t="s">
        <v>26</v>
      </c>
      <c r="L3555" s="110" t="str">
        <f>VLOOKUP(K3555,LUTs!E$2:G$14,3,)</f>
        <v>20Other</v>
      </c>
      <c r="M3555" s="110" t="str">
        <f>VLOOKUP($K3555,LUTs!$E$2:$H$14,2,)</f>
        <v>Non Puget Sound</v>
      </c>
      <c r="N3555" s="110" t="str">
        <f>VLOOKUP($K3555,LUTs!$E$2:$H$14,4,)</f>
        <v>07Non Puget Sound</v>
      </c>
      <c r="O3555" s="110">
        <v>4</v>
      </c>
      <c r="P3555" s="110">
        <v>74.2</v>
      </c>
      <c r="Q3555" s="110">
        <f>SUMIFS('FW_Steelhead_by_Month_2010-2021'!Q$2:Q$3810,'FW_Steelhead_by_Month_2010-2021'!$B$2:$B$3810,'Rec_raw_catch_effort_2010-2021'!$B3555,'FW_Steelhead_by_Month_2010-2021'!$H$2:$H$3810,'Rec_raw_catch_effort_2010-2021'!$F3555,'FW_Steelhead_by_Month_2010-2021'!$M$2:$M$3810,'Rec_raw_catch_effort_2010-2021'!$K3555)</f>
        <v>4</v>
      </c>
      <c r="R3555" s="111">
        <f>VLOOKUP(B3555,Readme!$A$62:$C$74,3,)*Q3555</f>
        <v>83.708949299517172</v>
      </c>
      <c r="S3555" s="140" t="str">
        <f t="shared" si="265"/>
        <v>Y</v>
      </c>
      <c r="T3555" s="154">
        <f t="shared" si="266"/>
        <v>18.55</v>
      </c>
      <c r="U3555" s="154">
        <f t="shared" si="267"/>
        <v>20.927237324879293</v>
      </c>
    </row>
    <row r="3556" spans="1:21" x14ac:dyDescent="0.35">
      <c r="A3556" s="110">
        <v>1630</v>
      </c>
      <c r="B3556" s="110">
        <v>2015</v>
      </c>
      <c r="C3556" s="110" t="s">
        <v>38</v>
      </c>
      <c r="D3556" s="110" t="s">
        <v>143</v>
      </c>
      <c r="E3556" s="110" t="s">
        <v>86</v>
      </c>
      <c r="F3556" s="117">
        <v>854</v>
      </c>
      <c r="G3556" s="110" t="s">
        <v>100</v>
      </c>
      <c r="H3556" s="110" t="str">
        <f t="shared" si="264"/>
        <v>Sultan River</v>
      </c>
      <c r="I3556" s="110" t="str">
        <f>IFERROR(VLOOKUP(H3556,LUTs!$A$1:$C$73,2,FALSE),"NA")</f>
        <v>Snohomish</v>
      </c>
      <c r="J3556" s="110" t="str">
        <f>IFERROR(VLOOKUP(H3556,LUTs!$A$1:$C$73,3,FALSE),"NA")</f>
        <v>2Central Puget Sound</v>
      </c>
      <c r="K3556" s="110" t="s">
        <v>16</v>
      </c>
      <c r="L3556" s="110" t="str">
        <f>VLOOKUP(K3556,LUTs!E$2:G$14,3,)</f>
        <v>03Snohomish</v>
      </c>
      <c r="M3556" s="110" t="str">
        <f>VLOOKUP($K3556,LUTs!$E$2:$H$14,2,)</f>
        <v>North Puget Sound</v>
      </c>
      <c r="N3556" s="110" t="str">
        <f>VLOOKUP($K3556,LUTs!$E$2:$H$14,4,)</f>
        <v>01North Puget Sound</v>
      </c>
      <c r="O3556" s="110">
        <v>4</v>
      </c>
      <c r="P3556" s="110">
        <v>74.2</v>
      </c>
      <c r="Q3556" s="110">
        <f>SUMIFS('FW_Steelhead_by_Month_2010-2021'!Q$2:Q$3810,'FW_Steelhead_by_Month_2010-2021'!$B$2:$B$3810,'Rec_raw_catch_effort_2010-2021'!$B3556,'FW_Steelhead_by_Month_2010-2021'!$H$2:$H$3810,'Rec_raw_catch_effort_2010-2021'!$F3556,'FW_Steelhead_by_Month_2010-2021'!$M$2:$M$3810,'Rec_raw_catch_effort_2010-2021'!$K3556)</f>
        <v>4</v>
      </c>
      <c r="R3556" s="111">
        <f>VLOOKUP(B3556,Readme!$A$62:$C$74,3,)*Q3556</f>
        <v>83.708949299517172</v>
      </c>
      <c r="S3556" s="140" t="str">
        <f t="shared" si="265"/>
        <v>Y</v>
      </c>
      <c r="T3556" s="154">
        <f t="shared" si="266"/>
        <v>18.55</v>
      </c>
      <c r="U3556" s="154">
        <f t="shared" si="267"/>
        <v>20.927237324879293</v>
      </c>
    </row>
    <row r="3557" spans="1:21" x14ac:dyDescent="0.35">
      <c r="A3557" s="110">
        <v>1513</v>
      </c>
      <c r="B3557" s="110">
        <v>2010</v>
      </c>
      <c r="C3557" s="110" t="s">
        <v>38</v>
      </c>
      <c r="D3557" s="110" t="s">
        <v>143</v>
      </c>
      <c r="E3557" s="110" t="s">
        <v>86</v>
      </c>
      <c r="F3557" s="117">
        <v>856</v>
      </c>
      <c r="G3557" s="110" t="s">
        <v>101</v>
      </c>
      <c r="H3557" s="110" t="str">
        <f t="shared" si="264"/>
        <v>Tokul Creek</v>
      </c>
      <c r="I3557" s="110" t="str">
        <f>IFERROR(VLOOKUP(H3557,LUTs!$A$1:$C$73,2,FALSE),"NA")</f>
        <v>King</v>
      </c>
      <c r="J3557" s="110" t="str">
        <f>IFERROR(VLOOKUP(H3557,LUTs!$A$1:$C$73,3,FALSE),"NA")</f>
        <v>2Central Puget Sound</v>
      </c>
      <c r="K3557" s="110" t="s">
        <v>18</v>
      </c>
      <c r="L3557" s="110" t="str">
        <f>VLOOKUP(K3557,LUTs!E$2:G$14,3,)</f>
        <v>06King</v>
      </c>
      <c r="M3557" s="110" t="str">
        <f>VLOOKUP($K3557,LUTs!$E$2:$H$14,2,)</f>
        <v>South Puget Sound</v>
      </c>
      <c r="N3557" s="110" t="str">
        <f>VLOOKUP($K3557,LUTs!$E$2:$H$14,4,)</f>
        <v>02South Puget Sound</v>
      </c>
      <c r="O3557" s="110">
        <v>222.56390977443601</v>
      </c>
      <c r="P3557" s="110">
        <v>1900.69578947368</v>
      </c>
      <c r="Q3557" s="110">
        <f>SUMIFS('FW_Steelhead_by_Month_2010-2021'!Q$2:Q$3810,'FW_Steelhead_by_Month_2010-2021'!$B$2:$B$3810,'Rec_raw_catch_effort_2010-2021'!$B3557,'FW_Steelhead_by_Month_2010-2021'!$H$2:$H$3810,'Rec_raw_catch_effort_2010-2021'!$F3557,'FW_Steelhead_by_Month_2010-2021'!$M$2:$M$3810,'Rec_raw_catch_effort_2010-2021'!$K3557)</f>
        <v>67.0625</v>
      </c>
      <c r="R3557" s="111">
        <f>VLOOKUP(B3557,Readme!$A$62:$C$74,3,)*Q3557</f>
        <v>1403.4328530997177</v>
      </c>
      <c r="S3557" s="140" t="str">
        <f t="shared" si="265"/>
        <v>Y</v>
      </c>
      <c r="T3557" s="154">
        <f t="shared" si="266"/>
        <v>8.5399999999999832</v>
      </c>
      <c r="U3557" s="154">
        <f t="shared" si="267"/>
        <v>20.927237324879293</v>
      </c>
    </row>
    <row r="3558" spans="1:21" x14ac:dyDescent="0.35">
      <c r="A3558" s="110">
        <v>1516</v>
      </c>
      <c r="B3558" s="110">
        <v>2010</v>
      </c>
      <c r="C3558" s="110" t="s">
        <v>38</v>
      </c>
      <c r="D3558" s="110" t="s">
        <v>143</v>
      </c>
      <c r="E3558" s="110" t="s">
        <v>86</v>
      </c>
      <c r="F3558" s="117">
        <v>856</v>
      </c>
      <c r="G3558" s="110" t="s">
        <v>101</v>
      </c>
      <c r="H3558" s="110" t="str">
        <f t="shared" si="264"/>
        <v>Tokul Creek</v>
      </c>
      <c r="I3558" s="110" t="str">
        <f>IFERROR(VLOOKUP(H3558,LUTs!$A$1:$C$73,2,FALSE),"NA")</f>
        <v>King</v>
      </c>
      <c r="J3558" s="110" t="str">
        <f>IFERROR(VLOOKUP(H3558,LUTs!$A$1:$C$73,3,FALSE),"NA")</f>
        <v>2Central Puget Sound</v>
      </c>
      <c r="K3558" s="110" t="s">
        <v>26</v>
      </c>
      <c r="L3558" s="110" t="str">
        <f>VLOOKUP(K3558,LUTs!E$2:G$14,3,)</f>
        <v>20Other</v>
      </c>
      <c r="M3558" s="110" t="str">
        <f>VLOOKUP($K3558,LUTs!$E$2:$H$14,2,)</f>
        <v>Non Puget Sound</v>
      </c>
      <c r="N3558" s="110" t="str">
        <f>VLOOKUP($K3558,LUTs!$E$2:$H$14,4,)</f>
        <v>07Non Puget Sound</v>
      </c>
      <c r="O3558" s="110">
        <v>4.4962406015037599</v>
      </c>
      <c r="P3558" s="110">
        <v>38.397894736842098</v>
      </c>
      <c r="Q3558" s="110">
        <f>SUMIFS('FW_Steelhead_by_Month_2010-2021'!Q$2:Q$3810,'FW_Steelhead_by_Month_2010-2021'!$B$2:$B$3810,'Rec_raw_catch_effort_2010-2021'!$B3558,'FW_Steelhead_by_Month_2010-2021'!$H$2:$H$3810,'Rec_raw_catch_effort_2010-2021'!$F3558,'FW_Steelhead_by_Month_2010-2021'!$M$2:$M$3810,'Rec_raw_catch_effort_2010-2021'!$K3558)</f>
        <v>2.3125</v>
      </c>
      <c r="R3558" s="111">
        <f>VLOOKUP(B3558,Readme!$A$62:$C$74,3,)*Q3558</f>
        <v>48.394236313783367</v>
      </c>
      <c r="S3558" s="140" t="str">
        <f t="shared" si="265"/>
        <v>Y</v>
      </c>
      <c r="T3558" s="154">
        <f t="shared" si="266"/>
        <v>8.5399999999999974</v>
      </c>
      <c r="U3558" s="154">
        <f t="shared" si="267"/>
        <v>20.927237324879293</v>
      </c>
    </row>
    <row r="3559" spans="1:21" x14ac:dyDescent="0.35">
      <c r="A3559" s="110">
        <v>1514</v>
      </c>
      <c r="B3559" s="110">
        <v>2010</v>
      </c>
      <c r="C3559" s="110" t="s">
        <v>38</v>
      </c>
      <c r="D3559" s="110" t="s">
        <v>143</v>
      </c>
      <c r="E3559" s="110" t="s">
        <v>86</v>
      </c>
      <c r="F3559" s="117">
        <v>856</v>
      </c>
      <c r="G3559" s="110" t="s">
        <v>101</v>
      </c>
      <c r="H3559" s="110" t="str">
        <f t="shared" si="264"/>
        <v>Tokul Creek</v>
      </c>
      <c r="I3559" s="110" t="str">
        <f>IFERROR(VLOOKUP(H3559,LUTs!$A$1:$C$73,2,FALSE),"NA")</f>
        <v>King</v>
      </c>
      <c r="J3559" s="110" t="str">
        <f>IFERROR(VLOOKUP(H3559,LUTs!$A$1:$C$73,3,FALSE),"NA")</f>
        <v>2Central Puget Sound</v>
      </c>
      <c r="K3559" s="110" t="s">
        <v>20</v>
      </c>
      <c r="L3559" s="110" t="str">
        <f>VLOOKUP(K3559,LUTs!E$2:G$14,3,)</f>
        <v>07Pierce</v>
      </c>
      <c r="M3559" s="110" t="str">
        <f>VLOOKUP($K3559,LUTs!$E$2:$H$14,2,)</f>
        <v>South Puget Sound</v>
      </c>
      <c r="N3559" s="110" t="str">
        <f>VLOOKUP($K3559,LUTs!$E$2:$H$14,4,)</f>
        <v>02South Puget Sound</v>
      </c>
      <c r="O3559" s="110">
        <v>4.4962406015037599</v>
      </c>
      <c r="P3559" s="110">
        <v>38.397894736842098</v>
      </c>
      <c r="Q3559" s="110">
        <f>SUMIFS('FW_Steelhead_by_Month_2010-2021'!Q$2:Q$3810,'FW_Steelhead_by_Month_2010-2021'!$B$2:$B$3810,'Rec_raw_catch_effort_2010-2021'!$B3559,'FW_Steelhead_by_Month_2010-2021'!$H$2:$H$3810,'Rec_raw_catch_effort_2010-2021'!$F3559,'FW_Steelhead_by_Month_2010-2021'!$M$2:$M$3810,'Rec_raw_catch_effort_2010-2021'!$K3559)</f>
        <v>0</v>
      </c>
      <c r="R3559" s="111">
        <f>VLOOKUP(B3559,Readme!$A$62:$C$74,3,)*Q3559</f>
        <v>0</v>
      </c>
      <c r="S3559" s="140" t="str">
        <f t="shared" si="265"/>
        <v>Y</v>
      </c>
      <c r="T3559" s="154">
        <f t="shared" si="266"/>
        <v>8.5399999999999974</v>
      </c>
      <c r="U3559" s="154" t="str">
        <f t="shared" si="267"/>
        <v>NA</v>
      </c>
    </row>
    <row r="3560" spans="1:21" x14ac:dyDescent="0.35">
      <c r="A3560" s="110">
        <v>1512</v>
      </c>
      <c r="B3560" s="110">
        <v>2010</v>
      </c>
      <c r="C3560" s="110" t="s">
        <v>38</v>
      </c>
      <c r="D3560" s="110" t="s">
        <v>143</v>
      </c>
      <c r="E3560" s="110" t="s">
        <v>86</v>
      </c>
      <c r="F3560" s="117">
        <v>856</v>
      </c>
      <c r="G3560" s="110" t="s">
        <v>101</v>
      </c>
      <c r="H3560" s="110" t="str">
        <f t="shared" si="264"/>
        <v>Tokul Creek</v>
      </c>
      <c r="I3560" s="110" t="str">
        <f>IFERROR(VLOOKUP(H3560,LUTs!$A$1:$C$73,2,FALSE),"NA")</f>
        <v>King</v>
      </c>
      <c r="J3560" s="110" t="str">
        <f>IFERROR(VLOOKUP(H3560,LUTs!$A$1:$C$73,3,FALSE),"NA")</f>
        <v>2Central Puget Sound</v>
      </c>
      <c r="K3560" s="110" t="s">
        <v>16</v>
      </c>
      <c r="L3560" s="110" t="str">
        <f>VLOOKUP(K3560,LUTs!E$2:G$14,3,)</f>
        <v>03Snohomish</v>
      </c>
      <c r="M3560" s="110" t="str">
        <f>VLOOKUP($K3560,LUTs!$E$2:$H$14,2,)</f>
        <v>North Puget Sound</v>
      </c>
      <c r="N3560" s="110" t="str">
        <f>VLOOKUP($K3560,LUTs!$E$2:$H$14,4,)</f>
        <v>01North Puget Sound</v>
      </c>
      <c r="O3560" s="110">
        <v>62.947368421052602</v>
      </c>
      <c r="P3560" s="110">
        <v>537.57052631578904</v>
      </c>
      <c r="Q3560" s="110">
        <f>SUMIFS('FW_Steelhead_by_Month_2010-2021'!Q$2:Q$3810,'FW_Steelhead_by_Month_2010-2021'!$B$2:$B$3810,'Rec_raw_catch_effort_2010-2021'!$B3560,'FW_Steelhead_by_Month_2010-2021'!$H$2:$H$3810,'Rec_raw_catch_effort_2010-2021'!$F3560,'FW_Steelhead_by_Month_2010-2021'!$M$2:$M$3810,'Rec_raw_catch_effort_2010-2021'!$K3560)</f>
        <v>0</v>
      </c>
      <c r="R3560" s="111">
        <f>VLOOKUP(B3560,Readme!$A$62:$C$74,3,)*Q3560</f>
        <v>0</v>
      </c>
      <c r="S3560" s="140" t="str">
        <f t="shared" si="265"/>
        <v>Y</v>
      </c>
      <c r="T3560" s="154">
        <f t="shared" si="266"/>
        <v>8.5399999999999974</v>
      </c>
      <c r="U3560" s="154" t="str">
        <f t="shared" si="267"/>
        <v>NA</v>
      </c>
    </row>
    <row r="3561" spans="1:21" x14ac:dyDescent="0.35">
      <c r="A3561" s="110">
        <v>1515</v>
      </c>
      <c r="B3561" s="110">
        <v>2010</v>
      </c>
      <c r="C3561" s="110" t="s">
        <v>38</v>
      </c>
      <c r="D3561" s="110" t="s">
        <v>143</v>
      </c>
      <c r="E3561" s="110" t="s">
        <v>86</v>
      </c>
      <c r="F3561" s="117">
        <v>856</v>
      </c>
      <c r="G3561" s="110" t="s">
        <v>101</v>
      </c>
      <c r="H3561" s="110" t="str">
        <f t="shared" si="264"/>
        <v>Tokul Creek</v>
      </c>
      <c r="I3561" s="110" t="str">
        <f>IFERROR(VLOOKUP(H3561,LUTs!$A$1:$C$73,2,FALSE),"NA")</f>
        <v>King</v>
      </c>
      <c r="J3561" s="110" t="str">
        <f>IFERROR(VLOOKUP(H3561,LUTs!$A$1:$C$73,3,FALSE),"NA")</f>
        <v>2Central Puget Sound</v>
      </c>
      <c r="K3561" s="110" t="s">
        <v>21</v>
      </c>
      <c r="L3561" s="110" t="str">
        <f>VLOOKUP(K3561,LUTs!E$2:G$14,3,)</f>
        <v>08Thurston</v>
      </c>
      <c r="M3561" s="110" t="str">
        <f>VLOOKUP($K3561,LUTs!$E$2:$H$14,2,)</f>
        <v>South Puget Sound</v>
      </c>
      <c r="N3561" s="110" t="str">
        <f>VLOOKUP($K3561,LUTs!$E$2:$H$14,4,)</f>
        <v>02South Puget Sound</v>
      </c>
      <c r="O3561" s="110">
        <v>4.4962406015037599</v>
      </c>
      <c r="P3561" s="110">
        <v>38.397894736842098</v>
      </c>
      <c r="Q3561" s="110">
        <f>SUMIFS('FW_Steelhead_by_Month_2010-2021'!Q$2:Q$3810,'FW_Steelhead_by_Month_2010-2021'!$B$2:$B$3810,'Rec_raw_catch_effort_2010-2021'!$B3561,'FW_Steelhead_by_Month_2010-2021'!$H$2:$H$3810,'Rec_raw_catch_effort_2010-2021'!$F3561,'FW_Steelhead_by_Month_2010-2021'!$M$2:$M$3810,'Rec_raw_catch_effort_2010-2021'!$K3561)</f>
        <v>4.625</v>
      </c>
      <c r="R3561" s="111">
        <f>VLOOKUP(B3561,Readme!$A$62:$C$74,3,)*Q3561</f>
        <v>96.788472627566733</v>
      </c>
      <c r="S3561" s="140" t="str">
        <f t="shared" si="265"/>
        <v>Y</v>
      </c>
      <c r="T3561" s="154">
        <f t="shared" si="266"/>
        <v>8.5399999999999974</v>
      </c>
      <c r="U3561" s="154">
        <f t="shared" si="267"/>
        <v>20.927237324879293</v>
      </c>
    </row>
    <row r="3562" spans="1:21" x14ac:dyDescent="0.35">
      <c r="A3562" s="110">
        <v>1519</v>
      </c>
      <c r="B3562" s="110">
        <v>2011</v>
      </c>
      <c r="C3562" s="110" t="s">
        <v>38</v>
      </c>
      <c r="D3562" s="110" t="s">
        <v>143</v>
      </c>
      <c r="E3562" s="110" t="s">
        <v>86</v>
      </c>
      <c r="F3562" s="117">
        <v>856</v>
      </c>
      <c r="G3562" s="110" t="s">
        <v>101</v>
      </c>
      <c r="H3562" s="110" t="str">
        <f t="shared" si="264"/>
        <v>Tokul Creek</v>
      </c>
      <c r="I3562" s="110" t="str">
        <f>IFERROR(VLOOKUP(H3562,LUTs!$A$1:$C$73,2,FALSE),"NA")</f>
        <v>King</v>
      </c>
      <c r="J3562" s="110" t="str">
        <f>IFERROR(VLOOKUP(H3562,LUTs!$A$1:$C$73,3,FALSE),"NA")</f>
        <v>2Central Puget Sound</v>
      </c>
      <c r="K3562" s="110" t="s">
        <v>18</v>
      </c>
      <c r="L3562" s="110" t="str">
        <f>VLOOKUP(K3562,LUTs!E$2:G$14,3,)</f>
        <v>06King</v>
      </c>
      <c r="M3562" s="110" t="str">
        <f>VLOOKUP($K3562,LUTs!$E$2:$H$14,2,)</f>
        <v>South Puget Sound</v>
      </c>
      <c r="N3562" s="110" t="str">
        <f>VLOOKUP($K3562,LUTs!$E$2:$H$14,4,)</f>
        <v>02South Puget Sound</v>
      </c>
      <c r="O3562" s="110">
        <v>450.81407035175903</v>
      </c>
      <c r="P3562" s="110">
        <v>8362.6010050251298</v>
      </c>
      <c r="Q3562" s="110">
        <f>SUMIFS('FW_Steelhead_by_Month_2010-2021'!Q$2:Q$3810,'FW_Steelhead_by_Month_2010-2021'!$B$2:$B$3810,'Rec_raw_catch_effort_2010-2021'!$B3562,'FW_Steelhead_by_Month_2010-2021'!$H$2:$H$3810,'Rec_raw_catch_effort_2010-2021'!$F3562,'FW_Steelhead_by_Month_2010-2021'!$M$2:$M$3810,'Rec_raw_catch_effort_2010-2021'!$K3562)</f>
        <v>198.05580215599261</v>
      </c>
      <c r="R3562" s="111">
        <f>VLOOKUP(B3562,Readme!$A$62:$C$74,3,)*Q3562</f>
        <v>4144.7607752877975</v>
      </c>
      <c r="S3562" s="140" t="str">
        <f t="shared" si="265"/>
        <v>Y</v>
      </c>
      <c r="T3562" s="154">
        <f t="shared" si="266"/>
        <v>18.55</v>
      </c>
      <c r="U3562" s="154">
        <f t="shared" si="267"/>
        <v>20.927237324879293</v>
      </c>
    </row>
    <row r="3563" spans="1:21" x14ac:dyDescent="0.35">
      <c r="A3563" s="110">
        <v>1679</v>
      </c>
      <c r="B3563" s="110">
        <v>2011</v>
      </c>
      <c r="C3563" s="110" t="s">
        <v>38</v>
      </c>
      <c r="D3563" s="110" t="s">
        <v>143</v>
      </c>
      <c r="E3563" s="110" t="s">
        <v>86</v>
      </c>
      <c r="F3563" s="117">
        <v>856</v>
      </c>
      <c r="G3563" s="110" t="s">
        <v>101</v>
      </c>
      <c r="H3563" s="110" t="str">
        <f t="shared" si="264"/>
        <v>Tokul Creek</v>
      </c>
      <c r="I3563" s="110" t="str">
        <f>IFERROR(VLOOKUP(H3563,LUTs!$A$1:$C$73,2,FALSE),"NA")</f>
        <v>King</v>
      </c>
      <c r="J3563" s="110" t="str">
        <f>IFERROR(VLOOKUP(H3563,LUTs!$A$1:$C$73,3,FALSE),"NA")</f>
        <v>2Central Puget Sound</v>
      </c>
      <c r="K3563" s="110" t="s">
        <v>23</v>
      </c>
      <c r="L3563" s="110" t="str">
        <f>VLOOKUP(K3563,LUTs!E$2:G$14,3,)</f>
        <v>10Kitsap</v>
      </c>
      <c r="M3563" s="110" t="str">
        <f>VLOOKUP($K3563,LUTs!$E$2:$H$14,2,)</f>
        <v>South Puget Sound</v>
      </c>
      <c r="N3563" s="110" t="str">
        <f>VLOOKUP($K3563,LUTs!$E$2:$H$14,4,)</f>
        <v>02South Puget Sound</v>
      </c>
      <c r="O3563" s="110">
        <v>5.0653266331658298</v>
      </c>
      <c r="P3563" s="110">
        <v>93.961809045226104</v>
      </c>
      <c r="Q3563" s="110">
        <f>SUMIFS('FW_Steelhead_by_Month_2010-2021'!Q$2:Q$3810,'FW_Steelhead_by_Month_2010-2021'!$B$2:$B$3810,'Rec_raw_catch_effort_2010-2021'!$B3563,'FW_Steelhead_by_Month_2010-2021'!$H$2:$H$3810,'Rec_raw_catch_effort_2010-2021'!$F3563,'FW_Steelhead_by_Month_2010-2021'!$M$2:$M$3810,'Rec_raw_catch_effort_2010-2021'!$K3563)</f>
        <v>0</v>
      </c>
      <c r="R3563" s="111">
        <f>VLOOKUP(B3563,Readme!$A$62:$C$74,3,)*Q3563</f>
        <v>0</v>
      </c>
      <c r="S3563" s="140" t="str">
        <f t="shared" si="265"/>
        <v>Y</v>
      </c>
      <c r="T3563" s="154">
        <f t="shared" si="266"/>
        <v>18.549999999999994</v>
      </c>
      <c r="U3563" s="154" t="str">
        <f t="shared" si="267"/>
        <v>NA</v>
      </c>
    </row>
    <row r="3564" spans="1:21" x14ac:dyDescent="0.35">
      <c r="A3564" s="110">
        <v>1680</v>
      </c>
      <c r="B3564" s="110">
        <v>2011</v>
      </c>
      <c r="C3564" s="110" t="s">
        <v>38</v>
      </c>
      <c r="D3564" s="110" t="s">
        <v>143</v>
      </c>
      <c r="E3564" s="110" t="s">
        <v>86</v>
      </c>
      <c r="F3564" s="117">
        <v>856</v>
      </c>
      <c r="G3564" s="110" t="s">
        <v>101</v>
      </c>
      <c r="H3564" s="110" t="str">
        <f t="shared" si="264"/>
        <v>Tokul Creek</v>
      </c>
      <c r="I3564" s="110" t="str">
        <f>IFERROR(VLOOKUP(H3564,LUTs!$A$1:$C$73,2,FALSE),"NA")</f>
        <v>King</v>
      </c>
      <c r="J3564" s="110" t="str">
        <f>IFERROR(VLOOKUP(H3564,LUTs!$A$1:$C$73,3,FALSE),"NA")</f>
        <v>2Central Puget Sound</v>
      </c>
      <c r="K3564" s="110" t="s">
        <v>26</v>
      </c>
      <c r="L3564" s="110" t="str">
        <f>VLOOKUP(K3564,LUTs!E$2:G$14,3,)</f>
        <v>20Other</v>
      </c>
      <c r="M3564" s="110" t="str">
        <f>VLOOKUP($K3564,LUTs!$E$2:$H$14,2,)</f>
        <v>Non Puget Sound</v>
      </c>
      <c r="N3564" s="110" t="str">
        <f>VLOOKUP($K3564,LUTs!$E$2:$H$14,4,)</f>
        <v>07Non Puget Sound</v>
      </c>
      <c r="O3564" s="110">
        <v>10.1306532663317</v>
      </c>
      <c r="P3564" s="110">
        <v>187.923618090453</v>
      </c>
      <c r="Q3564" s="110">
        <f>SUMIFS('FW_Steelhead_by_Month_2010-2021'!Q$2:Q$3810,'FW_Steelhead_by_Month_2010-2021'!$B$2:$B$3810,'Rec_raw_catch_effort_2010-2021'!$B3564,'FW_Steelhead_by_Month_2010-2021'!$H$2:$H$3810,'Rec_raw_catch_effort_2010-2021'!$F3564,'FW_Steelhead_by_Month_2010-2021'!$M$2:$M$3810,'Rec_raw_catch_effort_2010-2021'!$K3564)</f>
        <v>2.2048192771084301</v>
      </c>
      <c r="R3564" s="111">
        <f>VLOOKUP(B3564,Readme!$A$62:$C$74,3,)*Q3564</f>
        <v>46.140776270516916</v>
      </c>
      <c r="S3564" s="140" t="str">
        <f t="shared" si="265"/>
        <v>Y</v>
      </c>
      <c r="T3564" s="154">
        <f t="shared" si="266"/>
        <v>18.549999999999997</v>
      </c>
      <c r="U3564" s="154">
        <f t="shared" si="267"/>
        <v>20.927237324879293</v>
      </c>
    </row>
    <row r="3565" spans="1:21" x14ac:dyDescent="0.35">
      <c r="A3565" s="110">
        <v>1520</v>
      </c>
      <c r="B3565" s="110">
        <v>2011</v>
      </c>
      <c r="C3565" s="110" t="s">
        <v>38</v>
      </c>
      <c r="D3565" s="110" t="s">
        <v>143</v>
      </c>
      <c r="E3565" s="110" t="s">
        <v>86</v>
      </c>
      <c r="F3565" s="117">
        <v>856</v>
      </c>
      <c r="G3565" s="110" t="s">
        <v>101</v>
      </c>
      <c r="H3565" s="110" t="str">
        <f t="shared" si="264"/>
        <v>Tokul Creek</v>
      </c>
      <c r="I3565" s="110" t="str">
        <f>IFERROR(VLOOKUP(H3565,LUTs!$A$1:$C$73,2,FALSE),"NA")</f>
        <v>King</v>
      </c>
      <c r="J3565" s="110" t="str">
        <f>IFERROR(VLOOKUP(H3565,LUTs!$A$1:$C$73,3,FALSE),"NA")</f>
        <v>2Central Puget Sound</v>
      </c>
      <c r="K3565" s="110" t="s">
        <v>20</v>
      </c>
      <c r="L3565" s="110" t="str">
        <f>VLOOKUP(K3565,LUTs!E$2:G$14,3,)</f>
        <v>07Pierce</v>
      </c>
      <c r="M3565" s="110" t="str">
        <f>VLOOKUP($K3565,LUTs!$E$2:$H$14,2,)</f>
        <v>South Puget Sound</v>
      </c>
      <c r="N3565" s="110" t="str">
        <f>VLOOKUP($K3565,LUTs!$E$2:$H$14,4,)</f>
        <v>02South Puget Sound</v>
      </c>
      <c r="O3565" s="110">
        <v>22.793969849246199</v>
      </c>
      <c r="P3565" s="110">
        <v>422.82814070351702</v>
      </c>
      <c r="Q3565" s="110">
        <f>SUMIFS('FW_Steelhead_by_Month_2010-2021'!Q$2:Q$3810,'FW_Steelhead_by_Month_2010-2021'!$B$2:$B$3810,'Rec_raw_catch_effort_2010-2021'!$B3565,'FW_Steelhead_by_Month_2010-2021'!$H$2:$H$3810,'Rec_raw_catch_effort_2010-2021'!$F3565,'FW_Steelhead_by_Month_2010-2021'!$M$2:$M$3810,'Rec_raw_catch_effort_2010-2021'!$K3565)</f>
        <v>9.4622701331642389</v>
      </c>
      <c r="R3565" s="111">
        <f>VLOOKUP(B3565,Readme!$A$62:$C$74,3,)*Q3565</f>
        <v>198.01917270884522</v>
      </c>
      <c r="S3565" s="140" t="str">
        <f t="shared" si="265"/>
        <v>Y</v>
      </c>
      <c r="T3565" s="154">
        <f t="shared" si="266"/>
        <v>18.55</v>
      </c>
      <c r="U3565" s="154">
        <f t="shared" si="267"/>
        <v>20.927237324879293</v>
      </c>
    </row>
    <row r="3566" spans="1:21" x14ac:dyDescent="0.35">
      <c r="A3566" s="110">
        <v>1518</v>
      </c>
      <c r="B3566" s="110">
        <v>2011</v>
      </c>
      <c r="C3566" s="110" t="s">
        <v>38</v>
      </c>
      <c r="D3566" s="110" t="s">
        <v>143</v>
      </c>
      <c r="E3566" s="110" t="s">
        <v>86</v>
      </c>
      <c r="F3566" s="117">
        <v>856</v>
      </c>
      <c r="G3566" s="110" t="s">
        <v>101</v>
      </c>
      <c r="H3566" s="110" t="str">
        <f t="shared" si="264"/>
        <v>Tokul Creek</v>
      </c>
      <c r="I3566" s="110" t="str">
        <f>IFERROR(VLOOKUP(H3566,LUTs!$A$1:$C$73,2,FALSE),"NA")</f>
        <v>King</v>
      </c>
      <c r="J3566" s="110" t="str">
        <f>IFERROR(VLOOKUP(H3566,LUTs!$A$1:$C$73,3,FALSE),"NA")</f>
        <v>2Central Puget Sound</v>
      </c>
      <c r="K3566" s="110" t="s">
        <v>16</v>
      </c>
      <c r="L3566" s="110" t="str">
        <f>VLOOKUP(K3566,LUTs!E$2:G$14,3,)</f>
        <v>03Snohomish</v>
      </c>
      <c r="M3566" s="110" t="str">
        <f>VLOOKUP($K3566,LUTs!$E$2:$H$14,2,)</f>
        <v>North Puget Sound</v>
      </c>
      <c r="N3566" s="110" t="str">
        <f>VLOOKUP($K3566,LUTs!$E$2:$H$14,4,)</f>
        <v>01North Puget Sound</v>
      </c>
      <c r="O3566" s="110">
        <v>15.1959798994975</v>
      </c>
      <c r="P3566" s="110">
        <v>281.88542713567898</v>
      </c>
      <c r="Q3566" s="110">
        <f>SUMIFS('FW_Steelhead_by_Month_2010-2021'!Q$2:Q$3810,'FW_Steelhead_by_Month_2010-2021'!$B$2:$B$3810,'Rec_raw_catch_effort_2010-2021'!$B3566,'FW_Steelhead_by_Month_2010-2021'!$H$2:$H$3810,'Rec_raw_catch_effort_2010-2021'!$F3566,'FW_Steelhead_by_Month_2010-2021'!$M$2:$M$3810,'Rec_raw_catch_effort_2010-2021'!$K3566)</f>
        <v>63.277108433735002</v>
      </c>
      <c r="R3566" s="111">
        <f>VLOOKUP(B3566,Readme!$A$62:$C$74,3,)*Q3566</f>
        <v>1324.2150654248935</v>
      </c>
      <c r="S3566" s="140" t="str">
        <f t="shared" si="265"/>
        <v>Y</v>
      </c>
      <c r="T3566" s="154">
        <f t="shared" si="266"/>
        <v>18.550000000000022</v>
      </c>
      <c r="U3566" s="154">
        <f t="shared" si="267"/>
        <v>20.927237324879293</v>
      </c>
    </row>
    <row r="3567" spans="1:21" x14ac:dyDescent="0.35">
      <c r="A3567" s="110">
        <v>1683</v>
      </c>
      <c r="B3567" s="110">
        <v>2012</v>
      </c>
      <c r="C3567" s="110" t="s">
        <v>38</v>
      </c>
      <c r="D3567" s="110" t="s">
        <v>143</v>
      </c>
      <c r="E3567" s="110" t="s">
        <v>86</v>
      </c>
      <c r="F3567" s="117">
        <v>856</v>
      </c>
      <c r="G3567" s="110" t="s">
        <v>101</v>
      </c>
      <c r="H3567" s="110" t="str">
        <f t="shared" si="264"/>
        <v>Tokul Creek</v>
      </c>
      <c r="I3567" s="110" t="str">
        <f>IFERROR(VLOOKUP(H3567,LUTs!$A$1:$C$73,2,FALSE),"NA")</f>
        <v>King</v>
      </c>
      <c r="J3567" s="110" t="str">
        <f>IFERROR(VLOOKUP(H3567,LUTs!$A$1:$C$73,3,FALSE),"NA")</f>
        <v>2Central Puget Sound</v>
      </c>
      <c r="K3567" s="110" t="s">
        <v>18</v>
      </c>
      <c r="L3567" s="110" t="str">
        <f>VLOOKUP(K3567,LUTs!E$2:G$14,3,)</f>
        <v>06King</v>
      </c>
      <c r="M3567" s="110" t="str">
        <f>VLOOKUP($K3567,LUTs!$E$2:$H$14,2,)</f>
        <v>South Puget Sound</v>
      </c>
      <c r="N3567" s="110" t="str">
        <f>VLOOKUP($K3567,LUTs!$E$2:$H$14,4,)</f>
        <v>02South Puget Sound</v>
      </c>
      <c r="O3567" s="110">
        <v>467.75581395348797</v>
      </c>
      <c r="P3567" s="110">
        <v>3994.6346511627899</v>
      </c>
      <c r="Q3567" s="110">
        <f>SUMIFS('FW_Steelhead_by_Month_2010-2021'!Q$2:Q$3810,'FW_Steelhead_by_Month_2010-2021'!$B$2:$B$3810,'Rec_raw_catch_effort_2010-2021'!$B3567,'FW_Steelhead_by_Month_2010-2021'!$H$2:$H$3810,'Rec_raw_catch_effort_2010-2021'!$F3567,'FW_Steelhead_by_Month_2010-2021'!$M$2:$M$3810,'Rec_raw_catch_effort_2010-2021'!$K3567)</f>
        <v>583.66136128364451</v>
      </c>
      <c r="R3567" s="111">
        <f>VLOOKUP(B3567,Readme!$A$62:$C$74,3,)*Q3567</f>
        <v>12214.419824944944</v>
      </c>
      <c r="S3567" s="140" t="str">
        <f t="shared" si="265"/>
        <v>Y</v>
      </c>
      <c r="T3567" s="154">
        <f t="shared" si="266"/>
        <v>8.5400000000000063</v>
      </c>
      <c r="U3567" s="154">
        <f t="shared" si="267"/>
        <v>20.927237324879293</v>
      </c>
    </row>
    <row r="3568" spans="1:21" x14ac:dyDescent="0.35">
      <c r="A3568" s="110">
        <v>1685</v>
      </c>
      <c r="B3568" s="110">
        <v>2012</v>
      </c>
      <c r="C3568" s="110" t="s">
        <v>38</v>
      </c>
      <c r="D3568" s="110" t="s">
        <v>143</v>
      </c>
      <c r="E3568" s="110" t="s">
        <v>86</v>
      </c>
      <c r="F3568" s="117">
        <v>856</v>
      </c>
      <c r="G3568" s="110" t="s">
        <v>101</v>
      </c>
      <c r="H3568" s="110" t="str">
        <f t="shared" si="264"/>
        <v>Tokul Creek</v>
      </c>
      <c r="I3568" s="110" t="str">
        <f>IFERROR(VLOOKUP(H3568,LUTs!$A$1:$C$73,2,FALSE),"NA")</f>
        <v>King</v>
      </c>
      <c r="J3568" s="110" t="str">
        <f>IFERROR(VLOOKUP(H3568,LUTs!$A$1:$C$73,3,FALSE),"NA")</f>
        <v>2Central Puget Sound</v>
      </c>
      <c r="K3568" s="110" t="s">
        <v>26</v>
      </c>
      <c r="L3568" s="110" t="str">
        <f>VLOOKUP(K3568,LUTs!E$2:G$14,3,)</f>
        <v>20Other</v>
      </c>
      <c r="M3568" s="110" t="str">
        <f>VLOOKUP($K3568,LUTs!$E$2:$H$14,2,)</f>
        <v>Non Puget Sound</v>
      </c>
      <c r="N3568" s="110" t="str">
        <f>VLOOKUP($K3568,LUTs!$E$2:$H$14,4,)</f>
        <v>07Non Puget Sound</v>
      </c>
      <c r="O3568" s="110">
        <v>5.8837209302325597</v>
      </c>
      <c r="P3568" s="110">
        <v>50.246976744186099</v>
      </c>
      <c r="Q3568" s="110">
        <f>SUMIFS('FW_Steelhead_by_Month_2010-2021'!Q$2:Q$3810,'FW_Steelhead_by_Month_2010-2021'!$B$2:$B$3810,'Rec_raw_catch_effort_2010-2021'!$B3568,'FW_Steelhead_by_Month_2010-2021'!$H$2:$H$3810,'Rec_raw_catch_effort_2010-2021'!$F3568,'FW_Steelhead_by_Month_2010-2021'!$M$2:$M$3810,'Rec_raw_catch_effort_2010-2021'!$K3568)</f>
        <v>10.144927536231901</v>
      </c>
      <c r="R3568" s="111">
        <f>VLOOKUP(B3568,Readme!$A$62:$C$74,3,)*Q3568</f>
        <v>212.30530619442797</v>
      </c>
      <c r="S3568" s="140" t="str">
        <f t="shared" si="265"/>
        <v>Y</v>
      </c>
      <c r="T3568" s="154">
        <f t="shared" si="266"/>
        <v>8.5400000000000063</v>
      </c>
      <c r="U3568" s="154">
        <f t="shared" si="267"/>
        <v>20.927237324879293</v>
      </c>
    </row>
    <row r="3569" spans="1:21" x14ac:dyDescent="0.35">
      <c r="A3569" s="110">
        <v>1684</v>
      </c>
      <c r="B3569" s="110">
        <v>2012</v>
      </c>
      <c r="C3569" s="110" t="s">
        <v>38</v>
      </c>
      <c r="D3569" s="110" t="s">
        <v>143</v>
      </c>
      <c r="E3569" s="110" t="s">
        <v>86</v>
      </c>
      <c r="F3569" s="117">
        <v>856</v>
      </c>
      <c r="G3569" s="110" t="s">
        <v>101</v>
      </c>
      <c r="H3569" s="110" t="str">
        <f t="shared" si="264"/>
        <v>Tokul Creek</v>
      </c>
      <c r="I3569" s="110" t="str">
        <f>IFERROR(VLOOKUP(H3569,LUTs!$A$1:$C$73,2,FALSE),"NA")</f>
        <v>King</v>
      </c>
      <c r="J3569" s="110" t="str">
        <f>IFERROR(VLOOKUP(H3569,LUTs!$A$1:$C$73,3,FALSE),"NA")</f>
        <v>2Central Puget Sound</v>
      </c>
      <c r="K3569" s="110" t="s">
        <v>20</v>
      </c>
      <c r="L3569" s="110" t="str">
        <f>VLOOKUP(K3569,LUTs!E$2:G$14,3,)</f>
        <v>07Pierce</v>
      </c>
      <c r="M3569" s="110" t="str">
        <f>VLOOKUP($K3569,LUTs!$E$2:$H$14,2,)</f>
        <v>South Puget Sound</v>
      </c>
      <c r="N3569" s="110" t="str">
        <f>VLOOKUP($K3569,LUTs!$E$2:$H$14,4,)</f>
        <v>02South Puget Sound</v>
      </c>
      <c r="O3569" s="110">
        <v>8.8255813953488396</v>
      </c>
      <c r="P3569" s="110">
        <v>75.370465116279107</v>
      </c>
      <c r="Q3569" s="110">
        <f>SUMIFS('FW_Steelhead_by_Month_2010-2021'!Q$2:Q$3810,'FW_Steelhead_by_Month_2010-2021'!$B$2:$B$3810,'Rec_raw_catch_effort_2010-2021'!$B3569,'FW_Steelhead_by_Month_2010-2021'!$H$2:$H$3810,'Rec_raw_catch_effort_2010-2021'!$F3569,'FW_Steelhead_by_Month_2010-2021'!$M$2:$M$3810,'Rec_raw_catch_effort_2010-2021'!$K3569)</f>
        <v>17.7536231884058</v>
      </c>
      <c r="R3569" s="111">
        <f>VLOOKUP(B3569,Readme!$A$62:$C$74,3,)*Q3569</f>
        <v>371.5342858402484</v>
      </c>
      <c r="S3569" s="140" t="str">
        <f t="shared" si="265"/>
        <v>Y</v>
      </c>
      <c r="T3569" s="154">
        <f t="shared" si="266"/>
        <v>8.5400000000000027</v>
      </c>
      <c r="U3569" s="154">
        <f t="shared" si="267"/>
        <v>20.927237324879293</v>
      </c>
    </row>
    <row r="3570" spans="1:21" x14ac:dyDescent="0.35">
      <c r="A3570" s="110">
        <v>1682</v>
      </c>
      <c r="B3570" s="110">
        <v>2012</v>
      </c>
      <c r="C3570" s="110" t="s">
        <v>38</v>
      </c>
      <c r="D3570" s="110" t="s">
        <v>143</v>
      </c>
      <c r="E3570" s="110" t="s">
        <v>86</v>
      </c>
      <c r="F3570" s="117">
        <v>856</v>
      </c>
      <c r="G3570" s="110" t="s">
        <v>101</v>
      </c>
      <c r="H3570" s="110" t="str">
        <f t="shared" si="264"/>
        <v>Tokul Creek</v>
      </c>
      <c r="I3570" s="110" t="str">
        <f>IFERROR(VLOOKUP(H3570,LUTs!$A$1:$C$73,2,FALSE),"NA")</f>
        <v>King</v>
      </c>
      <c r="J3570" s="110" t="str">
        <f>IFERROR(VLOOKUP(H3570,LUTs!$A$1:$C$73,3,FALSE),"NA")</f>
        <v>2Central Puget Sound</v>
      </c>
      <c r="K3570" s="110" t="s">
        <v>16</v>
      </c>
      <c r="L3570" s="110" t="str">
        <f>VLOOKUP(K3570,LUTs!E$2:G$14,3,)</f>
        <v>03Snohomish</v>
      </c>
      <c r="M3570" s="110" t="str">
        <f>VLOOKUP($K3570,LUTs!$E$2:$H$14,2,)</f>
        <v>North Puget Sound</v>
      </c>
      <c r="N3570" s="110" t="str">
        <f>VLOOKUP($K3570,LUTs!$E$2:$H$14,4,)</f>
        <v>01North Puget Sound</v>
      </c>
      <c r="O3570" s="110">
        <v>23.5348837209302</v>
      </c>
      <c r="P3570" s="110">
        <v>200.987906976744</v>
      </c>
      <c r="Q3570" s="110">
        <f>SUMIFS('FW_Steelhead_by_Month_2010-2021'!Q$2:Q$3810,'FW_Steelhead_by_Month_2010-2021'!$B$2:$B$3810,'Rec_raw_catch_effort_2010-2021'!$B3570,'FW_Steelhead_by_Month_2010-2021'!$H$2:$H$3810,'Rec_raw_catch_effort_2010-2021'!$F3570,'FW_Steelhead_by_Month_2010-2021'!$M$2:$M$3810,'Rec_raw_catch_effort_2010-2021'!$K3570)</f>
        <v>33.380046583850955</v>
      </c>
      <c r="R3570" s="111">
        <f>VLOOKUP(B3570,Readme!$A$62:$C$74,3,)*Q3570</f>
        <v>698.5521567757753</v>
      </c>
      <c r="S3570" s="140" t="str">
        <f t="shared" si="265"/>
        <v>Y</v>
      </c>
      <c r="T3570" s="154">
        <f t="shared" si="266"/>
        <v>8.5400000000000045</v>
      </c>
      <c r="U3570" s="154">
        <f t="shared" si="267"/>
        <v>20.927237324879293</v>
      </c>
    </row>
    <row r="3571" spans="1:21" x14ac:dyDescent="0.35">
      <c r="A3571" s="110">
        <v>1846</v>
      </c>
      <c r="B3571" s="110">
        <v>2013</v>
      </c>
      <c r="C3571" s="110" t="s">
        <v>38</v>
      </c>
      <c r="D3571" s="110" t="s">
        <v>143</v>
      </c>
      <c r="E3571" s="110" t="s">
        <v>86</v>
      </c>
      <c r="F3571" s="117">
        <v>856</v>
      </c>
      <c r="G3571" s="110" t="s">
        <v>101</v>
      </c>
      <c r="H3571" s="110" t="str">
        <f t="shared" si="264"/>
        <v>Tokul Creek</v>
      </c>
      <c r="I3571" s="110" t="str">
        <f>IFERROR(VLOOKUP(H3571,LUTs!$A$1:$C$73,2,FALSE),"NA")</f>
        <v>King</v>
      </c>
      <c r="J3571" s="110" t="str">
        <f>IFERROR(VLOOKUP(H3571,LUTs!$A$1:$C$73,3,FALSE),"NA")</f>
        <v>2Central Puget Sound</v>
      </c>
      <c r="K3571" s="110" t="s">
        <v>17</v>
      </c>
      <c r="L3571" s="110" t="str">
        <f>VLOOKUP(K3571,LUTs!E$2:G$14,3,)</f>
        <v>04Island</v>
      </c>
      <c r="M3571" s="110" t="str">
        <f>VLOOKUP($K3571,LUTs!$E$2:$H$14,2,)</f>
        <v>North Puget Sound</v>
      </c>
      <c r="N3571" s="110" t="str">
        <f>VLOOKUP($K3571,LUTs!$E$2:$H$14,4,)</f>
        <v>01North Puget Sound</v>
      </c>
      <c r="O3571" s="110">
        <v>3.0459770114942502</v>
      </c>
      <c r="P3571" s="110">
        <v>56.502873563218301</v>
      </c>
      <c r="Q3571" s="110">
        <f>SUMIFS('FW_Steelhead_by_Month_2010-2021'!Q$2:Q$3810,'FW_Steelhead_by_Month_2010-2021'!$B$2:$B$3810,'Rec_raw_catch_effort_2010-2021'!$B3571,'FW_Steelhead_by_Month_2010-2021'!$H$2:$H$3810,'Rec_raw_catch_effort_2010-2021'!$F3571,'FW_Steelhead_by_Month_2010-2021'!$M$2:$M$3810,'Rec_raw_catch_effort_2010-2021'!$K3571)</f>
        <v>0</v>
      </c>
      <c r="R3571" s="111">
        <f>VLOOKUP(B3571,Readme!$A$62:$C$74,3,)*Q3571</f>
        <v>0</v>
      </c>
      <c r="S3571" s="140" t="str">
        <f t="shared" si="265"/>
        <v>Y</v>
      </c>
      <c r="T3571" s="154">
        <f t="shared" si="266"/>
        <v>18.549999999999986</v>
      </c>
      <c r="U3571" s="154" t="str">
        <f t="shared" si="267"/>
        <v>NA</v>
      </c>
    </row>
    <row r="3572" spans="1:21" x14ac:dyDescent="0.35">
      <c r="A3572" s="110">
        <v>1847</v>
      </c>
      <c r="B3572" s="110">
        <v>2013</v>
      </c>
      <c r="C3572" s="110" t="s">
        <v>38</v>
      </c>
      <c r="D3572" s="110" t="s">
        <v>143</v>
      </c>
      <c r="E3572" s="110" t="s">
        <v>86</v>
      </c>
      <c r="F3572" s="117">
        <v>856</v>
      </c>
      <c r="G3572" s="110" t="s">
        <v>101</v>
      </c>
      <c r="H3572" s="110" t="str">
        <f t="shared" si="264"/>
        <v>Tokul Creek</v>
      </c>
      <c r="I3572" s="110" t="str">
        <f>IFERROR(VLOOKUP(H3572,LUTs!$A$1:$C$73,2,FALSE),"NA")</f>
        <v>King</v>
      </c>
      <c r="J3572" s="110" t="str">
        <f>IFERROR(VLOOKUP(H3572,LUTs!$A$1:$C$73,3,FALSE),"NA")</f>
        <v>2Central Puget Sound</v>
      </c>
      <c r="K3572" s="110" t="s">
        <v>18</v>
      </c>
      <c r="L3572" s="110" t="str">
        <f>VLOOKUP(K3572,LUTs!E$2:G$14,3,)</f>
        <v>06King</v>
      </c>
      <c r="M3572" s="110" t="str">
        <f>VLOOKUP($K3572,LUTs!$E$2:$H$14,2,)</f>
        <v>South Puget Sound</v>
      </c>
      <c r="N3572" s="110" t="str">
        <f>VLOOKUP($K3572,LUTs!$E$2:$H$14,4,)</f>
        <v>02South Puget Sound</v>
      </c>
      <c r="O3572" s="110">
        <v>243.67816091954001</v>
      </c>
      <c r="P3572" s="110">
        <v>4520.2298850574698</v>
      </c>
      <c r="Q3572" s="110">
        <f>SUMIFS('FW_Steelhead_by_Month_2010-2021'!Q$2:Q$3810,'FW_Steelhead_by_Month_2010-2021'!$B$2:$B$3810,'Rec_raw_catch_effort_2010-2021'!$B3572,'FW_Steelhead_by_Month_2010-2021'!$H$2:$H$3810,'Rec_raw_catch_effort_2010-2021'!$F3572,'FW_Steelhead_by_Month_2010-2021'!$M$2:$M$3810,'Rec_raw_catch_effort_2010-2021'!$K3572)</f>
        <v>305.79634703196336</v>
      </c>
      <c r="R3572" s="111">
        <f>VLOOKUP(B3572,Readme!$A$62:$C$74,3,)*Q3572</f>
        <v>6399.4727274190445</v>
      </c>
      <c r="S3572" s="140" t="str">
        <f t="shared" si="265"/>
        <v>Y</v>
      </c>
      <c r="T3572" s="154">
        <f t="shared" si="266"/>
        <v>18.550000000000011</v>
      </c>
      <c r="U3572" s="154">
        <f t="shared" si="267"/>
        <v>20.927237324879293</v>
      </c>
    </row>
    <row r="3573" spans="1:21" x14ac:dyDescent="0.35">
      <c r="A3573" s="110">
        <v>1848</v>
      </c>
      <c r="B3573" s="110">
        <v>2013</v>
      </c>
      <c r="C3573" s="110" t="s">
        <v>38</v>
      </c>
      <c r="D3573" s="110" t="s">
        <v>143</v>
      </c>
      <c r="E3573" s="110" t="s">
        <v>86</v>
      </c>
      <c r="F3573" s="117">
        <v>856</v>
      </c>
      <c r="G3573" s="110" t="s">
        <v>101</v>
      </c>
      <c r="H3573" s="110" t="str">
        <f t="shared" si="264"/>
        <v>Tokul Creek</v>
      </c>
      <c r="I3573" s="110" t="str">
        <f>IFERROR(VLOOKUP(H3573,LUTs!$A$1:$C$73,2,FALSE),"NA")</f>
        <v>King</v>
      </c>
      <c r="J3573" s="110" t="str">
        <f>IFERROR(VLOOKUP(H3573,LUTs!$A$1:$C$73,3,FALSE),"NA")</f>
        <v>2Central Puget Sound</v>
      </c>
      <c r="K3573" s="110" t="s">
        <v>20</v>
      </c>
      <c r="L3573" s="110" t="str">
        <f>VLOOKUP(K3573,LUTs!E$2:G$14,3,)</f>
        <v>07Pierce</v>
      </c>
      <c r="M3573" s="110" t="str">
        <f>VLOOKUP($K3573,LUTs!$E$2:$H$14,2,)</f>
        <v>South Puget Sound</v>
      </c>
      <c r="N3573" s="110" t="str">
        <f>VLOOKUP($K3573,LUTs!$E$2:$H$14,4,)</f>
        <v>02South Puget Sound</v>
      </c>
      <c r="O3573" s="110">
        <v>3.0459770114942502</v>
      </c>
      <c r="P3573" s="110">
        <v>56.502873563218301</v>
      </c>
      <c r="Q3573" s="110">
        <f>SUMIFS('FW_Steelhead_by_Month_2010-2021'!Q$2:Q$3810,'FW_Steelhead_by_Month_2010-2021'!$B$2:$B$3810,'Rec_raw_catch_effort_2010-2021'!$B3573,'FW_Steelhead_by_Month_2010-2021'!$H$2:$H$3810,'Rec_raw_catch_effort_2010-2021'!$F3573,'FW_Steelhead_by_Month_2010-2021'!$M$2:$M$3810,'Rec_raw_catch_effort_2010-2021'!$K3573)</f>
        <v>9.0881278538812804</v>
      </c>
      <c r="R3573" s="111">
        <f>VLOOKUP(B3573,Readme!$A$62:$C$74,3,)*Q3573</f>
        <v>190.18940843701947</v>
      </c>
      <c r="S3573" s="140" t="str">
        <f t="shared" si="265"/>
        <v>Y</v>
      </c>
      <c r="T3573" s="154">
        <f t="shared" si="266"/>
        <v>18.549999999999986</v>
      </c>
      <c r="U3573" s="154">
        <f t="shared" si="267"/>
        <v>20.927237324879293</v>
      </c>
    </row>
    <row r="3574" spans="1:21" x14ac:dyDescent="0.35">
      <c r="A3574" s="110">
        <v>1845</v>
      </c>
      <c r="B3574" s="110">
        <v>2013</v>
      </c>
      <c r="C3574" s="110" t="s">
        <v>38</v>
      </c>
      <c r="D3574" s="110" t="s">
        <v>143</v>
      </c>
      <c r="E3574" s="110" t="s">
        <v>86</v>
      </c>
      <c r="F3574" s="117">
        <v>856</v>
      </c>
      <c r="G3574" s="110" t="s">
        <v>101</v>
      </c>
      <c r="H3574" s="110" t="str">
        <f t="shared" si="264"/>
        <v>Tokul Creek</v>
      </c>
      <c r="I3574" s="110" t="str">
        <f>IFERROR(VLOOKUP(H3574,LUTs!$A$1:$C$73,2,FALSE),"NA")</f>
        <v>King</v>
      </c>
      <c r="J3574" s="110" t="str">
        <f>IFERROR(VLOOKUP(H3574,LUTs!$A$1:$C$73,3,FALSE),"NA")</f>
        <v>2Central Puget Sound</v>
      </c>
      <c r="K3574" s="110" t="s">
        <v>16</v>
      </c>
      <c r="L3574" s="110" t="str">
        <f>VLOOKUP(K3574,LUTs!E$2:G$14,3,)</f>
        <v>03Snohomish</v>
      </c>
      <c r="M3574" s="110" t="str">
        <f>VLOOKUP($K3574,LUTs!$E$2:$H$14,2,)</f>
        <v>North Puget Sound</v>
      </c>
      <c r="N3574" s="110" t="str">
        <f>VLOOKUP($K3574,LUTs!$E$2:$H$14,4,)</f>
        <v>01North Puget Sound</v>
      </c>
      <c r="O3574" s="110">
        <v>12.183908045977001</v>
      </c>
      <c r="P3574" s="110">
        <v>226.01149425287301</v>
      </c>
      <c r="Q3574" s="110">
        <f>SUMIFS('FW_Steelhead_by_Month_2010-2021'!Q$2:Q$3810,'FW_Steelhead_by_Month_2010-2021'!$B$2:$B$3810,'Rec_raw_catch_effort_2010-2021'!$B3574,'FW_Steelhead_by_Month_2010-2021'!$H$2:$H$3810,'Rec_raw_catch_effort_2010-2021'!$F3574,'FW_Steelhead_by_Month_2010-2021'!$M$2:$M$3810,'Rec_raw_catch_effort_2010-2021'!$K3574)</f>
        <v>6.0607305936072997</v>
      </c>
      <c r="R3574" s="111">
        <f>VLOOKUP(B3574,Readme!$A$62:$C$74,3,)*Q3574</f>
        <v>126.83434749457652</v>
      </c>
      <c r="S3574" s="140" t="str">
        <f t="shared" si="265"/>
        <v>Y</v>
      </c>
      <c r="T3574" s="154">
        <f t="shared" si="266"/>
        <v>18.549999999999972</v>
      </c>
      <c r="U3574" s="154">
        <f t="shared" si="267"/>
        <v>20.927237324879293</v>
      </c>
    </row>
    <row r="3575" spans="1:21" x14ac:dyDescent="0.35">
      <c r="A3575" s="110">
        <v>1849</v>
      </c>
      <c r="B3575" s="110">
        <v>2013</v>
      </c>
      <c r="C3575" s="110" t="s">
        <v>38</v>
      </c>
      <c r="D3575" s="110" t="s">
        <v>143</v>
      </c>
      <c r="E3575" s="110" t="s">
        <v>86</v>
      </c>
      <c r="F3575" s="117">
        <v>856</v>
      </c>
      <c r="G3575" s="110" t="s">
        <v>101</v>
      </c>
      <c r="H3575" s="110" t="str">
        <f t="shared" si="264"/>
        <v>Tokul Creek</v>
      </c>
      <c r="I3575" s="110" t="str">
        <f>IFERROR(VLOOKUP(H3575,LUTs!$A$1:$C$73,2,FALSE),"NA")</f>
        <v>King</v>
      </c>
      <c r="J3575" s="110" t="str">
        <f>IFERROR(VLOOKUP(H3575,LUTs!$A$1:$C$73,3,FALSE),"NA")</f>
        <v>2Central Puget Sound</v>
      </c>
      <c r="K3575" s="110" t="s">
        <v>21</v>
      </c>
      <c r="L3575" s="110" t="str">
        <f>VLOOKUP(K3575,LUTs!E$2:G$14,3,)</f>
        <v>08Thurston</v>
      </c>
      <c r="M3575" s="110" t="str">
        <f>VLOOKUP($K3575,LUTs!$E$2:$H$14,2,)</f>
        <v>South Puget Sound</v>
      </c>
      <c r="N3575" s="110" t="str">
        <f>VLOOKUP($K3575,LUTs!$E$2:$H$14,4,)</f>
        <v>02South Puget Sound</v>
      </c>
      <c r="O3575" s="110">
        <v>3.0459770114942502</v>
      </c>
      <c r="P3575" s="110">
        <v>56.502873563218301</v>
      </c>
      <c r="Q3575" s="110">
        <f>SUMIFS('FW_Steelhead_by_Month_2010-2021'!Q$2:Q$3810,'FW_Steelhead_by_Month_2010-2021'!$B$2:$B$3810,'Rec_raw_catch_effort_2010-2021'!$B3575,'FW_Steelhead_by_Month_2010-2021'!$H$2:$H$3810,'Rec_raw_catch_effort_2010-2021'!$F3575,'FW_Steelhead_by_Month_2010-2021'!$M$2:$M$3810,'Rec_raw_catch_effort_2010-2021'!$K3575)</f>
        <v>0</v>
      </c>
      <c r="R3575" s="111">
        <f>VLOOKUP(B3575,Readme!$A$62:$C$74,3,)*Q3575</f>
        <v>0</v>
      </c>
      <c r="S3575" s="140" t="str">
        <f t="shared" si="265"/>
        <v>Y</v>
      </c>
      <c r="T3575" s="154">
        <f t="shared" si="266"/>
        <v>18.549999999999986</v>
      </c>
      <c r="U3575" s="154" t="str">
        <f t="shared" si="267"/>
        <v>NA</v>
      </c>
    </row>
    <row r="3576" spans="1:21" x14ac:dyDescent="0.35">
      <c r="A3576" s="110">
        <v>1851</v>
      </c>
      <c r="B3576" s="110">
        <v>2014</v>
      </c>
      <c r="C3576" s="110" t="s">
        <v>38</v>
      </c>
      <c r="D3576" s="110" t="s">
        <v>143</v>
      </c>
      <c r="E3576" s="110" t="s">
        <v>86</v>
      </c>
      <c r="F3576" s="117">
        <v>856</v>
      </c>
      <c r="G3576" s="110" t="s">
        <v>101</v>
      </c>
      <c r="H3576" s="110" t="str">
        <f t="shared" si="264"/>
        <v>Tokul Creek</v>
      </c>
      <c r="I3576" s="110" t="str">
        <f>IFERROR(VLOOKUP(H3576,LUTs!$A$1:$C$73,2,FALSE),"NA")</f>
        <v>King</v>
      </c>
      <c r="J3576" s="110" t="str">
        <f>IFERROR(VLOOKUP(H3576,LUTs!$A$1:$C$73,3,FALSE),"NA")</f>
        <v>2Central Puget Sound</v>
      </c>
      <c r="K3576" s="110" t="s">
        <v>18</v>
      </c>
      <c r="L3576" s="110" t="str">
        <f>VLOOKUP(K3576,LUTs!E$2:G$14,3,)</f>
        <v>06King</v>
      </c>
      <c r="M3576" s="110" t="str">
        <f>VLOOKUP($K3576,LUTs!$E$2:$H$14,2,)</f>
        <v>South Puget Sound</v>
      </c>
      <c r="N3576" s="110" t="str">
        <f>VLOOKUP($K3576,LUTs!$E$2:$H$14,4,)</f>
        <v>02South Puget Sound</v>
      </c>
      <c r="O3576" s="110">
        <v>1224.50363196126</v>
      </c>
      <c r="P3576" s="110">
        <v>10457.2610169492</v>
      </c>
      <c r="Q3576" s="110">
        <f>SUMIFS('FW_Steelhead_by_Month_2010-2021'!Q$2:Q$3810,'FW_Steelhead_by_Month_2010-2021'!$B$2:$B$3810,'Rec_raw_catch_effort_2010-2021'!$B3576,'FW_Steelhead_by_Month_2010-2021'!$H$2:$H$3810,'Rec_raw_catch_effort_2010-2021'!$F3576,'FW_Steelhead_by_Month_2010-2021'!$M$2:$M$3810,'Rec_raw_catch_effort_2010-2021'!$K3576)</f>
        <v>681.54664341761202</v>
      </c>
      <c r="R3576" s="111">
        <f>VLOOKUP(B3576,Readme!$A$62:$C$74,3,)*Q3576</f>
        <v>14262.888354775248</v>
      </c>
      <c r="S3576" s="140" t="str">
        <f t="shared" si="265"/>
        <v>Y</v>
      </c>
      <c r="T3576" s="154">
        <f t="shared" si="266"/>
        <v>8.5400000000000329</v>
      </c>
      <c r="U3576" s="154">
        <f t="shared" si="267"/>
        <v>20.927237324879293</v>
      </c>
    </row>
    <row r="3577" spans="1:21" x14ac:dyDescent="0.35">
      <c r="A3577" s="110">
        <v>1854</v>
      </c>
      <c r="B3577" s="110">
        <v>2014</v>
      </c>
      <c r="C3577" s="110" t="s">
        <v>38</v>
      </c>
      <c r="D3577" s="110" t="s">
        <v>143</v>
      </c>
      <c r="E3577" s="110" t="s">
        <v>86</v>
      </c>
      <c r="F3577" s="117">
        <v>856</v>
      </c>
      <c r="G3577" s="110" t="s">
        <v>101</v>
      </c>
      <c r="H3577" s="110" t="str">
        <f t="shared" si="264"/>
        <v>Tokul Creek</v>
      </c>
      <c r="I3577" s="110" t="str">
        <f>IFERROR(VLOOKUP(H3577,LUTs!$A$1:$C$73,2,FALSE),"NA")</f>
        <v>King</v>
      </c>
      <c r="J3577" s="110" t="str">
        <f>IFERROR(VLOOKUP(H3577,LUTs!$A$1:$C$73,3,FALSE),"NA")</f>
        <v>2Central Puget Sound</v>
      </c>
      <c r="K3577" s="110" t="s">
        <v>26</v>
      </c>
      <c r="L3577" s="110" t="str">
        <f>VLOOKUP(K3577,LUTs!E$2:G$14,3,)</f>
        <v>20Other</v>
      </c>
      <c r="M3577" s="110" t="str">
        <f>VLOOKUP($K3577,LUTs!$E$2:$H$14,2,)</f>
        <v>Non Puget Sound</v>
      </c>
      <c r="N3577" s="110" t="str">
        <f>VLOOKUP($K3577,LUTs!$E$2:$H$14,4,)</f>
        <v>07Non Puget Sound</v>
      </c>
      <c r="O3577" s="110">
        <v>19.539951573849901</v>
      </c>
      <c r="P3577" s="110">
        <v>166.871186440678</v>
      </c>
      <c r="Q3577" s="110">
        <f>SUMIFS('FW_Steelhead_by_Month_2010-2021'!Q$2:Q$3810,'FW_Steelhead_by_Month_2010-2021'!$B$2:$B$3810,'Rec_raw_catch_effort_2010-2021'!$B3577,'FW_Steelhead_by_Month_2010-2021'!$H$2:$H$3810,'Rec_raw_catch_effort_2010-2021'!$F3577,'FW_Steelhead_by_Month_2010-2021'!$M$2:$M$3810,'Rec_raw_catch_effort_2010-2021'!$K3577)</f>
        <v>0</v>
      </c>
      <c r="R3577" s="111">
        <f>VLOOKUP(B3577,Readme!$A$62:$C$74,3,)*Q3577</f>
        <v>0</v>
      </c>
      <c r="S3577" s="140" t="str">
        <f t="shared" si="265"/>
        <v>Y</v>
      </c>
      <c r="T3577" s="154">
        <f t="shared" si="266"/>
        <v>8.539999999999992</v>
      </c>
      <c r="U3577" s="154" t="str">
        <f t="shared" si="267"/>
        <v>NA</v>
      </c>
    </row>
    <row r="3578" spans="1:21" x14ac:dyDescent="0.35">
      <c r="A3578" s="110">
        <v>1852</v>
      </c>
      <c r="B3578" s="110">
        <v>2014</v>
      </c>
      <c r="C3578" s="110" t="s">
        <v>38</v>
      </c>
      <c r="D3578" s="110" t="s">
        <v>143</v>
      </c>
      <c r="E3578" s="110" t="s">
        <v>86</v>
      </c>
      <c r="F3578" s="117">
        <v>856</v>
      </c>
      <c r="G3578" s="110" t="s">
        <v>101</v>
      </c>
      <c r="H3578" s="110" t="str">
        <f t="shared" si="264"/>
        <v>Tokul Creek</v>
      </c>
      <c r="I3578" s="110" t="str">
        <f>IFERROR(VLOOKUP(H3578,LUTs!$A$1:$C$73,2,FALSE),"NA")</f>
        <v>King</v>
      </c>
      <c r="J3578" s="110" t="str">
        <f>IFERROR(VLOOKUP(H3578,LUTs!$A$1:$C$73,3,FALSE),"NA")</f>
        <v>2Central Puget Sound</v>
      </c>
      <c r="K3578" s="110" t="s">
        <v>20</v>
      </c>
      <c r="L3578" s="110" t="str">
        <f>VLOOKUP(K3578,LUTs!E$2:G$14,3,)</f>
        <v>07Pierce</v>
      </c>
      <c r="M3578" s="110" t="str">
        <f>VLOOKUP($K3578,LUTs!$E$2:$H$14,2,)</f>
        <v>South Puget Sound</v>
      </c>
      <c r="N3578" s="110" t="str">
        <f>VLOOKUP($K3578,LUTs!$E$2:$H$14,4,)</f>
        <v>02South Puget Sound</v>
      </c>
      <c r="O3578" s="110">
        <v>22.796610169491501</v>
      </c>
      <c r="P3578" s="110">
        <v>194.683050847457</v>
      </c>
      <c r="Q3578" s="110">
        <f>SUMIFS('FW_Steelhead_by_Month_2010-2021'!Q$2:Q$3810,'FW_Steelhead_by_Month_2010-2021'!$B$2:$B$3810,'Rec_raw_catch_effort_2010-2021'!$B3578,'FW_Steelhead_by_Month_2010-2021'!$H$2:$H$3810,'Rec_raw_catch_effort_2010-2021'!$F3578,'FW_Steelhead_by_Month_2010-2021'!$M$2:$M$3810,'Rec_raw_catch_effort_2010-2021'!$K3578)</f>
        <v>19.344376634699259</v>
      </c>
      <c r="R3578" s="111">
        <f>VLOOKUP(B3578,Readme!$A$62:$C$74,3,)*Q3578</f>
        <v>404.82436073620124</v>
      </c>
      <c r="S3578" s="140" t="str">
        <f t="shared" si="265"/>
        <v>Y</v>
      </c>
      <c r="T3578" s="154">
        <f t="shared" si="266"/>
        <v>8.5399999999999814</v>
      </c>
      <c r="U3578" s="154">
        <f t="shared" si="267"/>
        <v>20.927237324879293</v>
      </c>
    </row>
    <row r="3579" spans="1:21" x14ac:dyDescent="0.35">
      <c r="A3579" s="110">
        <v>1850</v>
      </c>
      <c r="B3579" s="110">
        <v>2014</v>
      </c>
      <c r="C3579" s="110" t="s">
        <v>38</v>
      </c>
      <c r="D3579" s="110" t="s">
        <v>143</v>
      </c>
      <c r="E3579" s="110" t="s">
        <v>86</v>
      </c>
      <c r="F3579" s="117">
        <v>856</v>
      </c>
      <c r="G3579" s="110" t="s">
        <v>101</v>
      </c>
      <c r="H3579" s="110" t="str">
        <f t="shared" si="264"/>
        <v>Tokul Creek</v>
      </c>
      <c r="I3579" s="110" t="str">
        <f>IFERROR(VLOOKUP(H3579,LUTs!$A$1:$C$73,2,FALSE),"NA")</f>
        <v>King</v>
      </c>
      <c r="J3579" s="110" t="str">
        <f>IFERROR(VLOOKUP(H3579,LUTs!$A$1:$C$73,3,FALSE),"NA")</f>
        <v>2Central Puget Sound</v>
      </c>
      <c r="K3579" s="110" t="s">
        <v>16</v>
      </c>
      <c r="L3579" s="110" t="str">
        <f>VLOOKUP(K3579,LUTs!E$2:G$14,3,)</f>
        <v>03Snohomish</v>
      </c>
      <c r="M3579" s="110" t="str">
        <f>VLOOKUP($K3579,LUTs!$E$2:$H$14,2,)</f>
        <v>North Puget Sound</v>
      </c>
      <c r="N3579" s="110" t="str">
        <f>VLOOKUP($K3579,LUTs!$E$2:$H$14,4,)</f>
        <v>01North Puget Sound</v>
      </c>
      <c r="O3579" s="110">
        <v>74.903147699757895</v>
      </c>
      <c r="P3579" s="110">
        <v>639.67288135593196</v>
      </c>
      <c r="Q3579" s="110">
        <f>SUMIFS('FW_Steelhead_by_Month_2010-2021'!Q$2:Q$3810,'FW_Steelhead_by_Month_2010-2021'!$B$2:$B$3810,'Rec_raw_catch_effort_2010-2021'!$B3579,'FW_Steelhead_by_Month_2010-2021'!$H$2:$H$3810,'Rec_raw_catch_effort_2010-2021'!$F3579,'FW_Steelhead_by_Month_2010-2021'!$M$2:$M$3810,'Rec_raw_catch_effort_2010-2021'!$K3579)</f>
        <v>48.000871839581571</v>
      </c>
      <c r="R3579" s="111">
        <f>VLOOKUP(B3579,Readme!$A$62:$C$74,3,)*Q3579</f>
        <v>1004.5256367880388</v>
      </c>
      <c r="S3579" s="140" t="str">
        <f t="shared" si="265"/>
        <v>Y</v>
      </c>
      <c r="T3579" s="154">
        <f t="shared" si="266"/>
        <v>8.5399999999999938</v>
      </c>
      <c r="U3579" s="154">
        <f t="shared" si="267"/>
        <v>20.927237324879293</v>
      </c>
    </row>
    <row r="3580" spans="1:21" x14ac:dyDescent="0.35">
      <c r="A3580" s="110">
        <v>1853</v>
      </c>
      <c r="B3580" s="110">
        <v>2014</v>
      </c>
      <c r="C3580" s="110" t="s">
        <v>38</v>
      </c>
      <c r="D3580" s="110" t="s">
        <v>143</v>
      </c>
      <c r="E3580" s="110" t="s">
        <v>86</v>
      </c>
      <c r="F3580" s="117">
        <v>856</v>
      </c>
      <c r="G3580" s="110" t="s">
        <v>101</v>
      </c>
      <c r="H3580" s="110" t="str">
        <f t="shared" si="264"/>
        <v>Tokul Creek</v>
      </c>
      <c r="I3580" s="110" t="str">
        <f>IFERROR(VLOOKUP(H3580,LUTs!$A$1:$C$73,2,FALSE),"NA")</f>
        <v>King</v>
      </c>
      <c r="J3580" s="110" t="str">
        <f>IFERROR(VLOOKUP(H3580,LUTs!$A$1:$C$73,3,FALSE),"NA")</f>
        <v>2Central Puget Sound</v>
      </c>
      <c r="K3580" s="110" t="s">
        <v>21</v>
      </c>
      <c r="L3580" s="110" t="str">
        <f>VLOOKUP(K3580,LUTs!E$2:G$14,3,)</f>
        <v>08Thurston</v>
      </c>
      <c r="M3580" s="110" t="str">
        <f>VLOOKUP($K3580,LUTs!$E$2:$H$14,2,)</f>
        <v>South Puget Sound</v>
      </c>
      <c r="N3580" s="110" t="str">
        <f>VLOOKUP($K3580,LUTs!$E$2:$H$14,4,)</f>
        <v>02South Puget Sound</v>
      </c>
      <c r="O3580" s="110">
        <v>3.2566585956416501</v>
      </c>
      <c r="P3580" s="110">
        <v>27.811864406779701</v>
      </c>
      <c r="Q3580" s="110">
        <f>SUMIFS('FW_Steelhead_by_Month_2010-2021'!Q$2:Q$3810,'FW_Steelhead_by_Month_2010-2021'!$B$2:$B$3810,'Rec_raw_catch_effort_2010-2021'!$B3580,'FW_Steelhead_by_Month_2010-2021'!$H$2:$H$3810,'Rec_raw_catch_effort_2010-2021'!$F3580,'FW_Steelhead_by_Month_2010-2021'!$M$2:$M$3810,'Rec_raw_catch_effort_2010-2021'!$K3580)</f>
        <v>3.0540540540540602</v>
      </c>
      <c r="R3580" s="111">
        <f>VLOOKUP(B3580,Readme!$A$62:$C$74,3,)*Q3580</f>
        <v>63.912913992199051</v>
      </c>
      <c r="S3580" s="140" t="str">
        <f t="shared" si="265"/>
        <v>Y</v>
      </c>
      <c r="T3580" s="154">
        <f t="shared" si="266"/>
        <v>8.5400000000000027</v>
      </c>
      <c r="U3580" s="154">
        <f t="shared" si="267"/>
        <v>20.927237324879293</v>
      </c>
    </row>
    <row r="3581" spans="1:21" x14ac:dyDescent="0.35">
      <c r="A3581" s="110">
        <v>2005</v>
      </c>
      <c r="B3581" s="110">
        <v>2015</v>
      </c>
      <c r="C3581" s="110" t="s">
        <v>38</v>
      </c>
      <c r="D3581" s="110" t="s">
        <v>143</v>
      </c>
      <c r="E3581" s="110" t="s">
        <v>86</v>
      </c>
      <c r="F3581" s="117">
        <v>856</v>
      </c>
      <c r="G3581" s="110" t="s">
        <v>101</v>
      </c>
      <c r="H3581" s="110" t="str">
        <f t="shared" si="264"/>
        <v>Tokul Creek</v>
      </c>
      <c r="I3581" s="110" t="str">
        <f>IFERROR(VLOOKUP(H3581,LUTs!$A$1:$C$73,2,FALSE),"NA")</f>
        <v>King</v>
      </c>
      <c r="J3581" s="110" t="str">
        <f>IFERROR(VLOOKUP(H3581,LUTs!$A$1:$C$73,3,FALSE),"NA")</f>
        <v>2Central Puget Sound</v>
      </c>
      <c r="K3581" s="110" t="s">
        <v>18</v>
      </c>
      <c r="L3581" s="110" t="str">
        <f>VLOOKUP(K3581,LUTs!E$2:G$14,3,)</f>
        <v>06King</v>
      </c>
      <c r="M3581" s="110" t="str">
        <f>VLOOKUP($K3581,LUTs!$E$2:$H$14,2,)</f>
        <v>South Puget Sound</v>
      </c>
      <c r="N3581" s="110" t="str">
        <f>VLOOKUP($K3581,LUTs!$E$2:$H$14,4,)</f>
        <v>02South Puget Sound</v>
      </c>
      <c r="O3581" s="110">
        <v>220.8</v>
      </c>
      <c r="P3581" s="110">
        <v>4095.84</v>
      </c>
      <c r="Q3581" s="110">
        <f>SUMIFS('FW_Steelhead_by_Month_2010-2021'!Q$2:Q$3810,'FW_Steelhead_by_Month_2010-2021'!$B$2:$B$3810,'Rec_raw_catch_effort_2010-2021'!$B3581,'FW_Steelhead_by_Month_2010-2021'!$H$2:$H$3810,'Rec_raw_catch_effort_2010-2021'!$F3581,'FW_Steelhead_by_Month_2010-2021'!$M$2:$M$3810,'Rec_raw_catch_effort_2010-2021'!$K3581)</f>
        <v>873.02608695652202</v>
      </c>
      <c r="R3581" s="111">
        <f>VLOOKUP(B3581,Readme!$A$62:$C$74,3,)*Q3581</f>
        <v>18270.024112549843</v>
      </c>
      <c r="S3581" s="140" t="str">
        <f t="shared" si="265"/>
        <v>Y</v>
      </c>
      <c r="T3581" s="154">
        <f t="shared" si="266"/>
        <v>18.55</v>
      </c>
      <c r="U3581" s="154">
        <f t="shared" si="267"/>
        <v>20.927237324879293</v>
      </c>
    </row>
    <row r="3582" spans="1:21" x14ac:dyDescent="0.35">
      <c r="A3582" s="110">
        <v>2006</v>
      </c>
      <c r="B3582" s="110">
        <v>2015</v>
      </c>
      <c r="C3582" s="110" t="s">
        <v>38</v>
      </c>
      <c r="D3582" s="110" t="s">
        <v>143</v>
      </c>
      <c r="E3582" s="110" t="s">
        <v>86</v>
      </c>
      <c r="F3582" s="117">
        <v>856</v>
      </c>
      <c r="G3582" s="110" t="s">
        <v>101</v>
      </c>
      <c r="H3582" s="110" t="str">
        <f t="shared" si="264"/>
        <v>Tokul Creek</v>
      </c>
      <c r="I3582" s="110" t="str">
        <f>IFERROR(VLOOKUP(H3582,LUTs!$A$1:$C$73,2,FALSE),"NA")</f>
        <v>King</v>
      </c>
      <c r="J3582" s="110" t="str">
        <f>IFERROR(VLOOKUP(H3582,LUTs!$A$1:$C$73,3,FALSE),"NA")</f>
        <v>2Central Puget Sound</v>
      </c>
      <c r="K3582" s="110" t="s">
        <v>20</v>
      </c>
      <c r="L3582" s="110" t="str">
        <f>VLOOKUP(K3582,LUTs!E$2:G$14,3,)</f>
        <v>07Pierce</v>
      </c>
      <c r="M3582" s="110" t="str">
        <f>VLOOKUP($K3582,LUTs!$E$2:$H$14,2,)</f>
        <v>South Puget Sound</v>
      </c>
      <c r="N3582" s="110" t="str">
        <f>VLOOKUP($K3582,LUTs!$E$2:$H$14,4,)</f>
        <v>02South Puget Sound</v>
      </c>
      <c r="O3582" s="110">
        <v>55.2</v>
      </c>
      <c r="P3582" s="110">
        <v>1023.96</v>
      </c>
      <c r="Q3582" s="110">
        <f>SUMIFS('FW_Steelhead_by_Month_2010-2021'!Q$2:Q$3810,'FW_Steelhead_by_Month_2010-2021'!$B$2:$B$3810,'Rec_raw_catch_effort_2010-2021'!$B3582,'FW_Steelhead_by_Month_2010-2021'!$H$2:$H$3810,'Rec_raw_catch_effort_2010-2021'!$F3582,'FW_Steelhead_by_Month_2010-2021'!$M$2:$M$3810,'Rec_raw_catch_effort_2010-2021'!$K3582)</f>
        <v>10.413043478260869</v>
      </c>
      <c r="R3582" s="111">
        <f>VLOOKUP(B3582,Readme!$A$62:$C$74,3,)*Q3582</f>
        <v>217.91623214385177</v>
      </c>
      <c r="S3582" s="140" t="str">
        <f t="shared" si="265"/>
        <v>Y</v>
      </c>
      <c r="T3582" s="154">
        <f t="shared" si="266"/>
        <v>18.55</v>
      </c>
      <c r="U3582" s="154">
        <f t="shared" si="267"/>
        <v>20.927237324879293</v>
      </c>
    </row>
    <row r="3583" spans="1:21" x14ac:dyDescent="0.35">
      <c r="A3583" s="110">
        <v>2007</v>
      </c>
      <c r="B3583" s="110">
        <v>2016</v>
      </c>
      <c r="C3583" s="110" t="s">
        <v>38</v>
      </c>
      <c r="D3583" s="110" t="s">
        <v>143</v>
      </c>
      <c r="E3583" s="110" t="s">
        <v>86</v>
      </c>
      <c r="F3583" s="117">
        <v>856</v>
      </c>
      <c r="G3583" s="110" t="s">
        <v>101</v>
      </c>
      <c r="H3583" s="110" t="str">
        <f t="shared" si="264"/>
        <v>Tokul Creek</v>
      </c>
      <c r="I3583" s="110" t="str">
        <f>IFERROR(VLOOKUP(H3583,LUTs!$A$1:$C$73,2,FALSE),"NA")</f>
        <v>King</v>
      </c>
      <c r="J3583" s="110" t="str">
        <f>IFERROR(VLOOKUP(H3583,LUTs!$A$1:$C$73,3,FALSE),"NA")</f>
        <v>2Central Puget Sound</v>
      </c>
      <c r="K3583" s="110" t="s">
        <v>18</v>
      </c>
      <c r="L3583" s="110" t="str">
        <f>VLOOKUP(K3583,LUTs!E$2:G$14,3,)</f>
        <v>06King</v>
      </c>
      <c r="M3583" s="110" t="str">
        <f>VLOOKUP($K3583,LUTs!$E$2:$H$14,2,)</f>
        <v>South Puget Sound</v>
      </c>
      <c r="N3583" s="110" t="str">
        <f>VLOOKUP($K3583,LUTs!$E$2:$H$14,4,)</f>
        <v>02South Puget Sound</v>
      </c>
      <c r="O3583" s="110">
        <v>3</v>
      </c>
      <c r="P3583" s="110">
        <v>25.62</v>
      </c>
      <c r="Q3583" s="110">
        <f>SUMIFS('FW_Steelhead_by_Month_2010-2021'!Q$2:Q$3810,'FW_Steelhead_by_Month_2010-2021'!$B$2:$B$3810,'Rec_raw_catch_effort_2010-2021'!$B3583,'FW_Steelhead_by_Month_2010-2021'!$H$2:$H$3810,'Rec_raw_catch_effort_2010-2021'!$F3583,'FW_Steelhead_by_Month_2010-2021'!$M$2:$M$3810,'Rec_raw_catch_effort_2010-2021'!$K3583)</f>
        <v>135.75555555555599</v>
      </c>
      <c r="R3583" s="111">
        <f>VLOOKUP(B3583,Readme!$A$62:$C$74,3,)*Q3583</f>
        <v>2840.9887292819558</v>
      </c>
      <c r="S3583" s="140" t="str">
        <f t="shared" si="265"/>
        <v>Y</v>
      </c>
      <c r="T3583" s="154">
        <f t="shared" si="266"/>
        <v>8.5400000000000009</v>
      </c>
      <c r="U3583" s="154">
        <f t="shared" si="267"/>
        <v>20.927237324879293</v>
      </c>
    </row>
    <row r="3584" spans="1:21" x14ac:dyDescent="0.35">
      <c r="A3584" s="110">
        <v>2008</v>
      </c>
      <c r="B3584" s="110">
        <v>2016</v>
      </c>
      <c r="C3584" s="110" t="s">
        <v>38</v>
      </c>
      <c r="D3584" s="110" t="s">
        <v>143</v>
      </c>
      <c r="E3584" s="110" t="s">
        <v>86</v>
      </c>
      <c r="F3584" s="117">
        <v>856</v>
      </c>
      <c r="G3584" s="110" t="s">
        <v>101</v>
      </c>
      <c r="H3584" s="110" t="str">
        <f t="shared" si="264"/>
        <v>Tokul Creek</v>
      </c>
      <c r="I3584" s="110" t="str">
        <f>IFERROR(VLOOKUP(H3584,LUTs!$A$1:$C$73,2,FALSE),"NA")</f>
        <v>King</v>
      </c>
      <c r="J3584" s="110" t="str">
        <f>IFERROR(VLOOKUP(H3584,LUTs!$A$1:$C$73,3,FALSE),"NA")</f>
        <v>2Central Puget Sound</v>
      </c>
      <c r="K3584" s="110" t="s">
        <v>26</v>
      </c>
      <c r="L3584" s="110" t="str">
        <f>VLOOKUP(K3584,LUTs!E$2:G$14,3,)</f>
        <v>20Other</v>
      </c>
      <c r="M3584" s="110" t="str">
        <f>VLOOKUP($K3584,LUTs!$E$2:$H$14,2,)</f>
        <v>Non Puget Sound</v>
      </c>
      <c r="N3584" s="110" t="str">
        <f>VLOOKUP($K3584,LUTs!$E$2:$H$14,4,)</f>
        <v>07Non Puget Sound</v>
      </c>
      <c r="O3584" s="110">
        <v>3</v>
      </c>
      <c r="P3584" s="110">
        <v>25.62</v>
      </c>
      <c r="Q3584" s="110">
        <f>SUMIFS('FW_Steelhead_by_Month_2010-2021'!Q$2:Q$3810,'FW_Steelhead_by_Month_2010-2021'!$B$2:$B$3810,'Rec_raw_catch_effort_2010-2021'!$B3584,'FW_Steelhead_by_Month_2010-2021'!$H$2:$H$3810,'Rec_raw_catch_effort_2010-2021'!$F3584,'FW_Steelhead_by_Month_2010-2021'!$M$2:$M$3810,'Rec_raw_catch_effort_2010-2021'!$K3584)</f>
        <v>0</v>
      </c>
      <c r="R3584" s="111">
        <f>VLOOKUP(B3584,Readme!$A$62:$C$74,3,)*Q3584</f>
        <v>0</v>
      </c>
      <c r="S3584" s="140" t="str">
        <f t="shared" si="265"/>
        <v>Y</v>
      </c>
      <c r="T3584" s="154">
        <f t="shared" si="266"/>
        <v>8.5400000000000009</v>
      </c>
      <c r="U3584" s="154" t="str">
        <f t="shared" si="267"/>
        <v>NA</v>
      </c>
    </row>
    <row r="3585" spans="1:21" x14ac:dyDescent="0.35">
      <c r="A3585" s="110">
        <v>2011</v>
      </c>
      <c r="B3585" s="110">
        <v>2017</v>
      </c>
      <c r="C3585" s="110" t="s">
        <v>38</v>
      </c>
      <c r="D3585" s="110" t="s">
        <v>143</v>
      </c>
      <c r="E3585" s="110" t="s">
        <v>86</v>
      </c>
      <c r="F3585" s="117">
        <v>856</v>
      </c>
      <c r="G3585" s="110" t="s">
        <v>101</v>
      </c>
      <c r="H3585" s="110" t="str">
        <f t="shared" si="264"/>
        <v>Tokul Creek</v>
      </c>
      <c r="I3585" s="110" t="str">
        <f>IFERROR(VLOOKUP(H3585,LUTs!$A$1:$C$73,2,FALSE),"NA")</f>
        <v>King</v>
      </c>
      <c r="J3585" s="110" t="str">
        <f>IFERROR(VLOOKUP(H3585,LUTs!$A$1:$C$73,3,FALSE),"NA")</f>
        <v>2Central Puget Sound</v>
      </c>
      <c r="K3585" s="110" t="s">
        <v>18</v>
      </c>
      <c r="L3585" s="110" t="str">
        <f>VLOOKUP(K3585,LUTs!E$2:G$14,3,)</f>
        <v>06King</v>
      </c>
      <c r="M3585" s="110" t="str">
        <f>VLOOKUP($K3585,LUTs!$E$2:$H$14,2,)</f>
        <v>South Puget Sound</v>
      </c>
      <c r="N3585" s="110" t="str">
        <f>VLOOKUP($K3585,LUTs!$E$2:$H$14,4,)</f>
        <v>02South Puget Sound</v>
      </c>
      <c r="O3585" s="110">
        <v>735.17241379310303</v>
      </c>
      <c r="P3585" s="110">
        <v>13637.4482758621</v>
      </c>
      <c r="Q3585" s="110">
        <f>SUMIFS('FW_Steelhead_by_Month_2010-2021'!Q$2:Q$3810,'FW_Steelhead_by_Month_2010-2021'!$B$2:$B$3810,'Rec_raw_catch_effort_2010-2021'!$B3585,'FW_Steelhead_by_Month_2010-2021'!$H$2:$H$3810,'Rec_raw_catch_effort_2010-2021'!$F3585,'FW_Steelhead_by_Month_2010-2021'!$M$2:$M$3810,'Rec_raw_catch_effort_2010-2021'!$K3585)</f>
        <v>146.111111111111</v>
      </c>
      <c r="R3585" s="111">
        <f>VLOOKUP(B3585,Readme!$A$62:$C$74,3,)*Q3585</f>
        <v>3057.7018980240277</v>
      </c>
      <c r="S3585" s="140" t="str">
        <f t="shared" si="265"/>
        <v>Y</v>
      </c>
      <c r="T3585" s="154">
        <f t="shared" si="266"/>
        <v>18.550000000000054</v>
      </c>
      <c r="U3585" s="154">
        <f t="shared" si="267"/>
        <v>20.927237324879293</v>
      </c>
    </row>
    <row r="3586" spans="1:21" x14ac:dyDescent="0.35">
      <c r="A3586" s="110">
        <v>2012</v>
      </c>
      <c r="B3586" s="110">
        <v>2017</v>
      </c>
      <c r="C3586" s="110" t="s">
        <v>38</v>
      </c>
      <c r="D3586" s="110" t="s">
        <v>143</v>
      </c>
      <c r="E3586" s="110" t="s">
        <v>86</v>
      </c>
      <c r="F3586" s="117">
        <v>856</v>
      </c>
      <c r="G3586" s="110" t="s">
        <v>101</v>
      </c>
      <c r="H3586" s="110" t="str">
        <f t="shared" ref="H3586:H3649" si="268">G3586</f>
        <v>Tokul Creek</v>
      </c>
      <c r="I3586" s="110" t="str">
        <f>IFERROR(VLOOKUP(H3586,LUTs!$A$1:$C$73,2,FALSE),"NA")</f>
        <v>King</v>
      </c>
      <c r="J3586" s="110" t="str">
        <f>IFERROR(VLOOKUP(H3586,LUTs!$A$1:$C$73,3,FALSE),"NA")</f>
        <v>2Central Puget Sound</v>
      </c>
      <c r="K3586" s="110" t="s">
        <v>20</v>
      </c>
      <c r="L3586" s="110" t="str">
        <f>VLOOKUP(K3586,LUTs!E$2:G$14,3,)</f>
        <v>07Pierce</v>
      </c>
      <c r="M3586" s="110" t="str">
        <f>VLOOKUP($K3586,LUTs!$E$2:$H$14,2,)</f>
        <v>South Puget Sound</v>
      </c>
      <c r="N3586" s="110" t="str">
        <f>VLOOKUP($K3586,LUTs!$E$2:$H$14,4,)</f>
        <v>02South Puget Sound</v>
      </c>
      <c r="O3586" s="110">
        <v>26.8965517241379</v>
      </c>
      <c r="P3586" s="110">
        <v>498.93103448275798</v>
      </c>
      <c r="Q3586" s="110">
        <f>SUMIFS('FW_Steelhead_by_Month_2010-2021'!Q$2:Q$3810,'FW_Steelhead_by_Month_2010-2021'!$B$2:$B$3810,'Rec_raw_catch_effort_2010-2021'!$B3586,'FW_Steelhead_by_Month_2010-2021'!$H$2:$H$3810,'Rec_raw_catch_effort_2010-2021'!$F3586,'FW_Steelhead_by_Month_2010-2021'!$M$2:$M$3810,'Rec_raw_catch_effort_2010-2021'!$K3586)</f>
        <v>8.94444444444445</v>
      </c>
      <c r="R3586" s="111">
        <f>VLOOKUP(B3586,Readme!$A$62:$C$74,3,)*Q3586</f>
        <v>187.18251162808713</v>
      </c>
      <c r="S3586" s="140" t="str">
        <f t="shared" si="265"/>
        <v>Y</v>
      </c>
      <c r="T3586" s="154">
        <f t="shared" si="266"/>
        <v>18.549999999999997</v>
      </c>
      <c r="U3586" s="154">
        <f t="shared" si="267"/>
        <v>20.927237324879293</v>
      </c>
    </row>
    <row r="3587" spans="1:21" x14ac:dyDescent="0.35">
      <c r="A3587" s="110">
        <v>2010</v>
      </c>
      <c r="B3587" s="110">
        <v>2017</v>
      </c>
      <c r="C3587" s="110" t="s">
        <v>38</v>
      </c>
      <c r="D3587" s="110" t="s">
        <v>143</v>
      </c>
      <c r="E3587" s="110" t="s">
        <v>86</v>
      </c>
      <c r="F3587" s="117">
        <v>856</v>
      </c>
      <c r="G3587" s="110" t="s">
        <v>101</v>
      </c>
      <c r="H3587" s="110" t="str">
        <f t="shared" si="268"/>
        <v>Tokul Creek</v>
      </c>
      <c r="I3587" s="110" t="str">
        <f>IFERROR(VLOOKUP(H3587,LUTs!$A$1:$C$73,2,FALSE),"NA")</f>
        <v>King</v>
      </c>
      <c r="J3587" s="110" t="str">
        <f>IFERROR(VLOOKUP(H3587,LUTs!$A$1:$C$73,3,FALSE),"NA")</f>
        <v>2Central Puget Sound</v>
      </c>
      <c r="K3587" s="110" t="s">
        <v>16</v>
      </c>
      <c r="L3587" s="110" t="str">
        <f>VLOOKUP(K3587,LUTs!E$2:G$14,3,)</f>
        <v>03Snohomish</v>
      </c>
      <c r="M3587" s="110" t="str">
        <f>VLOOKUP($K3587,LUTs!$E$2:$H$14,2,)</f>
        <v>North Puget Sound</v>
      </c>
      <c r="N3587" s="110" t="str">
        <f>VLOOKUP($K3587,LUTs!$E$2:$H$14,4,)</f>
        <v>01North Puget Sound</v>
      </c>
      <c r="O3587" s="110">
        <v>8.9655172413793096</v>
      </c>
      <c r="P3587" s="110">
        <v>166.31034482758599</v>
      </c>
      <c r="Q3587" s="110">
        <f>SUMIFS('FW_Steelhead_by_Month_2010-2021'!Q$2:Q$3810,'FW_Steelhead_by_Month_2010-2021'!$B$2:$B$3810,'Rec_raw_catch_effort_2010-2021'!$B3587,'FW_Steelhead_by_Month_2010-2021'!$H$2:$H$3810,'Rec_raw_catch_effort_2010-2021'!$F3587,'FW_Steelhead_by_Month_2010-2021'!$M$2:$M$3810,'Rec_raw_catch_effort_2010-2021'!$K3587)</f>
        <v>4.4722222222222197</v>
      </c>
      <c r="R3587" s="111">
        <f>VLOOKUP(B3587,Readme!$A$62:$C$74,3,)*Q3587</f>
        <v>93.59125581404345</v>
      </c>
      <c r="S3587" s="140" t="str">
        <f t="shared" ref="S3587:S3650" si="269">IF(B3587&lt;=2019,"Y","N")</f>
        <v>Y</v>
      </c>
      <c r="T3587" s="154">
        <f t="shared" ref="T3587:T3650" si="270">IFERROR(P3587/O3587,"NA")</f>
        <v>18.549999999999979</v>
      </c>
      <c r="U3587" s="154">
        <f t="shared" ref="U3587:U3650" si="271">IFERROR(R3587/Q3587,"NA")</f>
        <v>20.927237324879293</v>
      </c>
    </row>
    <row r="3588" spans="1:21" x14ac:dyDescent="0.35">
      <c r="A3588" s="110">
        <v>2009</v>
      </c>
      <c r="B3588" s="110">
        <v>2017</v>
      </c>
      <c r="C3588" s="110" t="s">
        <v>38</v>
      </c>
      <c r="D3588" s="110" t="s">
        <v>143</v>
      </c>
      <c r="E3588" s="110" t="s">
        <v>86</v>
      </c>
      <c r="F3588" s="117">
        <v>856</v>
      </c>
      <c r="G3588" s="110" t="s">
        <v>101</v>
      </c>
      <c r="H3588" s="110" t="str">
        <f t="shared" si="268"/>
        <v>Tokul Creek</v>
      </c>
      <c r="I3588" s="110" t="str">
        <f>IFERROR(VLOOKUP(H3588,LUTs!$A$1:$C$73,2,FALSE),"NA")</f>
        <v>King</v>
      </c>
      <c r="J3588" s="110" t="str">
        <f>IFERROR(VLOOKUP(H3588,LUTs!$A$1:$C$73,3,FALSE),"NA")</f>
        <v>2Central Puget Sound</v>
      </c>
      <c r="K3588" s="110" t="s">
        <v>13</v>
      </c>
      <c r="L3588" s="110" t="str">
        <f>VLOOKUP(K3588,LUTs!E$2:G$14,3,)</f>
        <v>01Whatcom</v>
      </c>
      <c r="M3588" s="110" t="str">
        <f>VLOOKUP($K3588,LUTs!$E$2:$H$14,2,)</f>
        <v>North Puget Sound</v>
      </c>
      <c r="N3588" s="110" t="str">
        <f>VLOOKUP($K3588,LUTs!$E$2:$H$14,4,)</f>
        <v>01North Puget Sound</v>
      </c>
      <c r="O3588" s="110">
        <v>8.9655172413793096</v>
      </c>
      <c r="P3588" s="110">
        <v>166.31034482758599</v>
      </c>
      <c r="Q3588" s="110">
        <f>SUMIFS('FW_Steelhead_by_Month_2010-2021'!Q$2:Q$3810,'FW_Steelhead_by_Month_2010-2021'!$B$2:$B$3810,'Rec_raw_catch_effort_2010-2021'!$B3588,'FW_Steelhead_by_Month_2010-2021'!$H$2:$H$3810,'Rec_raw_catch_effort_2010-2021'!$F3588,'FW_Steelhead_by_Month_2010-2021'!$M$2:$M$3810,'Rec_raw_catch_effort_2010-2021'!$K3588)</f>
        <v>4.4722222222222197</v>
      </c>
      <c r="R3588" s="111">
        <f>VLOOKUP(B3588,Readme!$A$62:$C$74,3,)*Q3588</f>
        <v>93.59125581404345</v>
      </c>
      <c r="S3588" s="140" t="str">
        <f t="shared" si="269"/>
        <v>Y</v>
      </c>
      <c r="T3588" s="154">
        <f t="shared" si="270"/>
        <v>18.549999999999979</v>
      </c>
      <c r="U3588" s="154">
        <f t="shared" si="271"/>
        <v>20.927237324879293</v>
      </c>
    </row>
    <row r="3589" spans="1:21" x14ac:dyDescent="0.35">
      <c r="A3589" s="110">
        <v>2146</v>
      </c>
      <c r="B3589" s="110">
        <v>2018</v>
      </c>
      <c r="C3589" s="110" t="s">
        <v>38</v>
      </c>
      <c r="D3589" s="110" t="s">
        <v>143</v>
      </c>
      <c r="E3589" s="110" t="s">
        <v>86</v>
      </c>
      <c r="F3589" s="117">
        <v>856</v>
      </c>
      <c r="G3589" s="110" t="s">
        <v>101</v>
      </c>
      <c r="H3589" s="110" t="str">
        <f t="shared" si="268"/>
        <v>Tokul Creek</v>
      </c>
      <c r="I3589" s="110" t="str">
        <f>IFERROR(VLOOKUP(H3589,LUTs!$A$1:$C$73,2,FALSE),"NA")</f>
        <v>King</v>
      </c>
      <c r="J3589" s="110" t="str">
        <f>IFERROR(VLOOKUP(H3589,LUTs!$A$1:$C$73,3,FALSE),"NA")</f>
        <v>2Central Puget Sound</v>
      </c>
      <c r="K3589" s="110" t="s">
        <v>18</v>
      </c>
      <c r="L3589" s="110" t="str">
        <f>VLOOKUP(K3589,LUTs!E$2:G$14,3,)</f>
        <v>06King</v>
      </c>
      <c r="M3589" s="110" t="str">
        <f>VLOOKUP($K3589,LUTs!$E$2:$H$14,2,)</f>
        <v>South Puget Sound</v>
      </c>
      <c r="N3589" s="110" t="str">
        <f>VLOOKUP($K3589,LUTs!$E$2:$H$14,4,)</f>
        <v>02South Puget Sound</v>
      </c>
      <c r="O3589" s="110">
        <v>34.285714285714299</v>
      </c>
      <c r="P3589" s="110">
        <v>292.8</v>
      </c>
      <c r="Q3589" s="110">
        <f>SUMIFS('FW_Steelhead_by_Month_2010-2021'!Q$2:Q$3810,'FW_Steelhead_by_Month_2010-2021'!$B$2:$B$3810,'Rec_raw_catch_effort_2010-2021'!$B3589,'FW_Steelhead_by_Month_2010-2021'!$H$2:$H$3810,'Rec_raw_catch_effort_2010-2021'!$F3589,'FW_Steelhead_by_Month_2010-2021'!$M$2:$M$3810,'Rec_raw_catch_effort_2010-2021'!$K3589)</f>
        <v>224.51020408163299</v>
      </c>
      <c r="R3589" s="111">
        <f>VLOOKUP(B3589,Readme!$A$62:$C$74,3,)*Q3589</f>
        <v>4698.3783226734176</v>
      </c>
      <c r="S3589" s="140" t="str">
        <f t="shared" si="269"/>
        <v>Y</v>
      </c>
      <c r="T3589" s="154">
        <f t="shared" si="270"/>
        <v>8.5399999999999974</v>
      </c>
      <c r="U3589" s="154">
        <f t="shared" si="271"/>
        <v>20.927237324879293</v>
      </c>
    </row>
    <row r="3590" spans="1:21" x14ac:dyDescent="0.35">
      <c r="A3590" s="110">
        <v>2145</v>
      </c>
      <c r="B3590" s="110">
        <v>2018</v>
      </c>
      <c r="C3590" s="110" t="s">
        <v>38</v>
      </c>
      <c r="D3590" s="110" t="s">
        <v>143</v>
      </c>
      <c r="E3590" s="110" t="s">
        <v>86</v>
      </c>
      <c r="F3590" s="117">
        <v>856</v>
      </c>
      <c r="G3590" s="110" t="s">
        <v>101</v>
      </c>
      <c r="H3590" s="110" t="str">
        <f t="shared" si="268"/>
        <v>Tokul Creek</v>
      </c>
      <c r="I3590" s="110" t="str">
        <f>IFERROR(VLOOKUP(H3590,LUTs!$A$1:$C$73,2,FALSE),"NA")</f>
        <v>King</v>
      </c>
      <c r="J3590" s="110" t="str">
        <f>IFERROR(VLOOKUP(H3590,LUTs!$A$1:$C$73,3,FALSE),"NA")</f>
        <v>2Central Puget Sound</v>
      </c>
      <c r="K3590" s="110" t="s">
        <v>16</v>
      </c>
      <c r="L3590" s="110" t="str">
        <f>VLOOKUP(K3590,LUTs!E$2:G$14,3,)</f>
        <v>03Snohomish</v>
      </c>
      <c r="M3590" s="110" t="str">
        <f>VLOOKUP($K3590,LUTs!$E$2:$H$14,2,)</f>
        <v>North Puget Sound</v>
      </c>
      <c r="N3590" s="110" t="str">
        <f>VLOOKUP($K3590,LUTs!$E$2:$H$14,4,)</f>
        <v>01North Puget Sound</v>
      </c>
      <c r="O3590" s="110">
        <v>5.71428571428571</v>
      </c>
      <c r="P3590" s="110">
        <v>48.8</v>
      </c>
      <c r="Q3590" s="110">
        <f>SUMIFS('FW_Steelhead_by_Month_2010-2021'!Q$2:Q$3810,'FW_Steelhead_by_Month_2010-2021'!$B$2:$B$3810,'Rec_raw_catch_effort_2010-2021'!$B3590,'FW_Steelhead_by_Month_2010-2021'!$H$2:$H$3810,'Rec_raw_catch_effort_2010-2021'!$F3590,'FW_Steelhead_by_Month_2010-2021'!$M$2:$M$3810,'Rec_raw_catch_effort_2010-2021'!$K3590)</f>
        <v>3</v>
      </c>
      <c r="R3590" s="111">
        <f>VLOOKUP(B3590,Readme!$A$62:$C$74,3,)*Q3590</f>
        <v>62.781711974637879</v>
      </c>
      <c r="S3590" s="140" t="str">
        <f t="shared" si="269"/>
        <v>Y</v>
      </c>
      <c r="T3590" s="154">
        <f t="shared" si="270"/>
        <v>8.5400000000000063</v>
      </c>
      <c r="U3590" s="154">
        <f t="shared" si="271"/>
        <v>20.927237324879293</v>
      </c>
    </row>
    <row r="3591" spans="1:21" x14ac:dyDescent="0.35">
      <c r="A3591" s="110">
        <v>2147</v>
      </c>
      <c r="B3591" s="110">
        <v>2019</v>
      </c>
      <c r="C3591" s="110" t="s">
        <v>38</v>
      </c>
      <c r="D3591" s="110" t="s">
        <v>143</v>
      </c>
      <c r="E3591" s="110" t="s">
        <v>86</v>
      </c>
      <c r="F3591" s="117">
        <v>856</v>
      </c>
      <c r="G3591" s="110" t="s">
        <v>101</v>
      </c>
      <c r="H3591" s="110" t="str">
        <f t="shared" si="268"/>
        <v>Tokul Creek</v>
      </c>
      <c r="I3591" s="110" t="str">
        <f>IFERROR(VLOOKUP(H3591,LUTs!$A$1:$C$73,2,FALSE),"NA")</f>
        <v>King</v>
      </c>
      <c r="J3591" s="110" t="str">
        <f>IFERROR(VLOOKUP(H3591,LUTs!$A$1:$C$73,3,FALSE),"NA")</f>
        <v>2Central Puget Sound</v>
      </c>
      <c r="K3591" s="110" t="s">
        <v>16</v>
      </c>
      <c r="L3591" s="110" t="str">
        <f>VLOOKUP(K3591,LUTs!E$2:G$14,3,)</f>
        <v>03Snohomish</v>
      </c>
      <c r="M3591" s="110" t="str">
        <f>VLOOKUP($K3591,LUTs!$E$2:$H$14,2,)</f>
        <v>North Puget Sound</v>
      </c>
      <c r="N3591" s="110" t="str">
        <f>VLOOKUP($K3591,LUTs!$E$2:$H$14,4,)</f>
        <v>01North Puget Sound</v>
      </c>
      <c r="O3591" s="110">
        <v>6</v>
      </c>
      <c r="P3591" s="110">
        <v>111.3</v>
      </c>
      <c r="Q3591" s="110">
        <f>SUMIFS('FW_Steelhead_by_Month_2010-2021'!Q$2:Q$3810,'FW_Steelhead_by_Month_2010-2021'!$B$2:$B$3810,'Rec_raw_catch_effort_2010-2021'!$B3591,'FW_Steelhead_by_Month_2010-2021'!$H$2:$H$3810,'Rec_raw_catch_effort_2010-2021'!$F3591,'FW_Steelhead_by_Month_2010-2021'!$M$2:$M$3810,'Rec_raw_catch_effort_2010-2021'!$K3591)</f>
        <v>0</v>
      </c>
      <c r="R3591" s="111">
        <f>VLOOKUP(B3591,Readme!$A$62:$C$74,3,)*Q3591</f>
        <v>0</v>
      </c>
      <c r="S3591" s="140" t="str">
        <f t="shared" si="269"/>
        <v>Y</v>
      </c>
      <c r="T3591" s="154">
        <f t="shared" si="270"/>
        <v>18.55</v>
      </c>
      <c r="U3591" s="154" t="str">
        <f t="shared" si="271"/>
        <v>NA</v>
      </c>
    </row>
    <row r="3592" spans="1:21" x14ac:dyDescent="0.35">
      <c r="A3592" s="110">
        <v>2148</v>
      </c>
      <c r="B3592" s="110">
        <v>2020</v>
      </c>
      <c r="C3592" s="110" t="s">
        <v>38</v>
      </c>
      <c r="D3592" s="110" t="s">
        <v>143</v>
      </c>
      <c r="E3592" s="110" t="s">
        <v>86</v>
      </c>
      <c r="F3592" s="117">
        <v>856</v>
      </c>
      <c r="G3592" s="110" t="s">
        <v>101</v>
      </c>
      <c r="H3592" s="110" t="str">
        <f t="shared" si="268"/>
        <v>Tokul Creek</v>
      </c>
      <c r="I3592" s="110" t="str">
        <f>IFERROR(VLOOKUP(H3592,LUTs!$A$1:$C$73,2,FALSE),"NA")</f>
        <v>King</v>
      </c>
      <c r="J3592" s="110" t="str">
        <f>IFERROR(VLOOKUP(H3592,LUTs!$A$1:$C$73,3,FALSE),"NA")</f>
        <v>2Central Puget Sound</v>
      </c>
      <c r="K3592" s="110" t="s">
        <v>18</v>
      </c>
      <c r="L3592" s="110" t="str">
        <f>VLOOKUP(K3592,LUTs!E$2:G$14,3,)</f>
        <v>06King</v>
      </c>
      <c r="M3592" s="110" t="str">
        <f>VLOOKUP($K3592,LUTs!$E$2:$H$14,2,)</f>
        <v>South Puget Sound</v>
      </c>
      <c r="N3592" s="110" t="str">
        <f>VLOOKUP($K3592,LUTs!$E$2:$H$14,4,)</f>
        <v>02South Puget Sound</v>
      </c>
      <c r="O3592" s="110">
        <v>50</v>
      </c>
      <c r="P3592" s="110">
        <v>427</v>
      </c>
      <c r="Q3592" s="110">
        <f>SUMIFS('FW_Steelhead_by_Month_2010-2021'!Q$2:Q$3810,'FW_Steelhead_by_Month_2010-2021'!$B$2:$B$3810,'Rec_raw_catch_effort_2010-2021'!$B3592,'FW_Steelhead_by_Month_2010-2021'!$H$2:$H$3810,'Rec_raw_catch_effort_2010-2021'!$F3592,'FW_Steelhead_by_Month_2010-2021'!$M$2:$M$3810,'Rec_raw_catch_effort_2010-2021'!$K3592)</f>
        <v>0</v>
      </c>
      <c r="R3592" s="111">
        <f>VLOOKUP(B3592,Readme!$A$62:$C$74,3,)*Q3592</f>
        <v>0</v>
      </c>
      <c r="S3592" s="140" t="str">
        <f t="shared" si="269"/>
        <v>N</v>
      </c>
      <c r="T3592" s="154">
        <f t="shared" si="270"/>
        <v>8.5399999999999991</v>
      </c>
      <c r="U3592" s="154" t="str">
        <f t="shared" si="271"/>
        <v>NA</v>
      </c>
    </row>
    <row r="3593" spans="1:21" x14ac:dyDescent="0.35">
      <c r="A3593" s="110">
        <v>2150</v>
      </c>
      <c r="B3593" s="110">
        <v>2021</v>
      </c>
      <c r="C3593" s="110" t="s">
        <v>38</v>
      </c>
      <c r="D3593" s="110" t="s">
        <v>143</v>
      </c>
      <c r="E3593" s="110" t="s">
        <v>86</v>
      </c>
      <c r="F3593" s="117">
        <v>856</v>
      </c>
      <c r="G3593" s="110" t="s">
        <v>101</v>
      </c>
      <c r="H3593" s="110" t="str">
        <f t="shared" si="268"/>
        <v>Tokul Creek</v>
      </c>
      <c r="I3593" s="110" t="str">
        <f>IFERROR(VLOOKUP(H3593,LUTs!$A$1:$C$73,2,FALSE),"NA")</f>
        <v>King</v>
      </c>
      <c r="J3593" s="110" t="str">
        <f>IFERROR(VLOOKUP(H3593,LUTs!$A$1:$C$73,3,FALSE),"NA")</f>
        <v>2Central Puget Sound</v>
      </c>
      <c r="K3593" s="110" t="s">
        <v>18</v>
      </c>
      <c r="L3593" s="110" t="str">
        <f>VLOOKUP(K3593,LUTs!E$2:G$14,3,)</f>
        <v>06King</v>
      </c>
      <c r="M3593" s="110" t="str">
        <f>VLOOKUP($K3593,LUTs!$E$2:$H$14,2,)</f>
        <v>South Puget Sound</v>
      </c>
      <c r="N3593" s="110" t="str">
        <f>VLOOKUP($K3593,LUTs!$E$2:$H$14,4,)</f>
        <v>02South Puget Sound</v>
      </c>
      <c r="O3593" s="110">
        <v>819.677419354839</v>
      </c>
      <c r="P3593" s="110">
        <v>15205.016129032299</v>
      </c>
      <c r="Q3593" s="110">
        <f>SUMIFS('FW_Steelhead_by_Month_2010-2021'!Q$2:Q$3810,'FW_Steelhead_by_Month_2010-2021'!$B$2:$B$3810,'Rec_raw_catch_effort_2010-2021'!$B3593,'FW_Steelhead_by_Month_2010-2021'!$H$2:$H$3810,'Rec_raw_catch_effort_2010-2021'!$F3593,'FW_Steelhead_by_Month_2010-2021'!$M$2:$M$3810,'Rec_raw_catch_effort_2010-2021'!$K3593)</f>
        <v>257.51851851851899</v>
      </c>
      <c r="R3593" s="111">
        <f>VLOOKUP(B3593,Readme!$A$62:$C$74,3,)*Q3593</f>
        <v>5389.1511525883698</v>
      </c>
      <c r="S3593" s="140" t="str">
        <f t="shared" si="269"/>
        <v>N</v>
      </c>
      <c r="T3593" s="154">
        <f t="shared" si="270"/>
        <v>18.550000000000043</v>
      </c>
      <c r="U3593" s="154">
        <f t="shared" si="271"/>
        <v>20.927237324879293</v>
      </c>
    </row>
    <row r="3594" spans="1:21" x14ac:dyDescent="0.35">
      <c r="A3594" s="110">
        <v>2149</v>
      </c>
      <c r="B3594" s="110">
        <v>2021</v>
      </c>
      <c r="C3594" s="110" t="s">
        <v>38</v>
      </c>
      <c r="D3594" s="110" t="s">
        <v>143</v>
      </c>
      <c r="E3594" s="110" t="s">
        <v>86</v>
      </c>
      <c r="F3594" s="117">
        <v>856</v>
      </c>
      <c r="G3594" s="110" t="s">
        <v>101</v>
      </c>
      <c r="H3594" s="110" t="str">
        <f t="shared" si="268"/>
        <v>Tokul Creek</v>
      </c>
      <c r="I3594" s="110" t="str">
        <f>IFERROR(VLOOKUP(H3594,LUTs!$A$1:$C$73,2,FALSE),"NA")</f>
        <v>King</v>
      </c>
      <c r="J3594" s="110" t="str">
        <f>IFERROR(VLOOKUP(H3594,LUTs!$A$1:$C$73,3,FALSE),"NA")</f>
        <v>2Central Puget Sound</v>
      </c>
      <c r="K3594" s="110" t="s">
        <v>16</v>
      </c>
      <c r="L3594" s="110" t="str">
        <f>VLOOKUP(K3594,LUTs!E$2:G$14,3,)</f>
        <v>03Snohomish</v>
      </c>
      <c r="M3594" s="110" t="str">
        <f>VLOOKUP($K3594,LUTs!$E$2:$H$14,2,)</f>
        <v>North Puget Sound</v>
      </c>
      <c r="N3594" s="110" t="str">
        <f>VLOOKUP($K3594,LUTs!$E$2:$H$14,4,)</f>
        <v>01North Puget Sound</v>
      </c>
      <c r="O3594" s="110">
        <v>104.322580645161</v>
      </c>
      <c r="P3594" s="110">
        <v>1935.1838709677399</v>
      </c>
      <c r="Q3594" s="110">
        <f>SUMIFS('FW_Steelhead_by_Month_2010-2021'!Q$2:Q$3810,'FW_Steelhead_by_Month_2010-2021'!$B$2:$B$3810,'Rec_raw_catch_effort_2010-2021'!$B3594,'FW_Steelhead_by_Month_2010-2021'!$H$2:$H$3810,'Rec_raw_catch_effort_2010-2021'!$F3594,'FW_Steelhead_by_Month_2010-2021'!$M$2:$M$3810,'Rec_raw_catch_effort_2010-2021'!$K3594)</f>
        <v>17.481481481481499</v>
      </c>
      <c r="R3594" s="111">
        <f>VLOOKUP(B3594,Readme!$A$62:$C$74,3,)*Q3594</f>
        <v>365.83911175344576</v>
      </c>
      <c r="S3594" s="140" t="str">
        <f t="shared" si="269"/>
        <v>N</v>
      </c>
      <c r="T3594" s="154">
        <f t="shared" si="270"/>
        <v>18.550000000000033</v>
      </c>
      <c r="U3594" s="154">
        <f t="shared" si="271"/>
        <v>20.927237324879293</v>
      </c>
    </row>
    <row r="3595" spans="1:21" x14ac:dyDescent="0.35">
      <c r="A3595" s="110">
        <v>1517</v>
      </c>
      <c r="B3595" s="110">
        <v>2010</v>
      </c>
      <c r="C3595" s="110" t="s">
        <v>38</v>
      </c>
      <c r="D3595" s="110" t="s">
        <v>143</v>
      </c>
      <c r="E3595" s="110" t="s">
        <v>86</v>
      </c>
      <c r="F3595" s="117">
        <v>858</v>
      </c>
      <c r="G3595" s="110" t="s">
        <v>71</v>
      </c>
      <c r="H3595" s="110" t="str">
        <f t="shared" si="268"/>
        <v>Tolt River</v>
      </c>
      <c r="I3595" s="110" t="str">
        <f>IFERROR(VLOOKUP(H3595,LUTs!$A$1:$C$73,2,FALSE),"NA")</f>
        <v>King</v>
      </c>
      <c r="J3595" s="110" t="str">
        <f>IFERROR(VLOOKUP(H3595,LUTs!$A$1:$C$73,3,FALSE),"NA")</f>
        <v>2Central Puget Sound</v>
      </c>
      <c r="K3595" s="110" t="s">
        <v>18</v>
      </c>
      <c r="L3595" s="110" t="str">
        <f>VLOOKUP(K3595,LUTs!E$2:G$14,3,)</f>
        <v>06King</v>
      </c>
      <c r="M3595" s="110" t="str">
        <f>VLOOKUP($K3595,LUTs!$E$2:$H$14,2,)</f>
        <v>South Puget Sound</v>
      </c>
      <c r="N3595" s="110" t="str">
        <f>VLOOKUP($K3595,LUTs!$E$2:$H$14,4,)</f>
        <v>02South Puget Sound</v>
      </c>
      <c r="O3595" s="110">
        <v>16</v>
      </c>
      <c r="P3595" s="110">
        <v>136.63999999999999</v>
      </c>
      <c r="Q3595" s="110">
        <f>SUMIFS('FW_Steelhead_by_Month_2010-2021'!Q$2:Q$3810,'FW_Steelhead_by_Month_2010-2021'!$B$2:$B$3810,'Rec_raw_catch_effort_2010-2021'!$B3595,'FW_Steelhead_by_Month_2010-2021'!$H$2:$H$3810,'Rec_raw_catch_effort_2010-2021'!$F3595,'FW_Steelhead_by_Month_2010-2021'!$M$2:$M$3810,'Rec_raw_catch_effort_2010-2021'!$K3595)</f>
        <v>11</v>
      </c>
      <c r="R3595" s="111">
        <f>VLOOKUP(B3595,Readme!$A$62:$C$74,3,)*Q3595</f>
        <v>230.19961057367223</v>
      </c>
      <c r="S3595" s="140" t="str">
        <f t="shared" si="269"/>
        <v>Y</v>
      </c>
      <c r="T3595" s="154">
        <f t="shared" si="270"/>
        <v>8.5399999999999991</v>
      </c>
      <c r="U3595" s="154">
        <f t="shared" si="271"/>
        <v>20.927237324879293</v>
      </c>
    </row>
    <row r="3596" spans="1:21" x14ac:dyDescent="0.35">
      <c r="A3596" s="110">
        <v>1681</v>
      </c>
      <c r="B3596" s="110">
        <v>2011</v>
      </c>
      <c r="C3596" s="110" t="s">
        <v>38</v>
      </c>
      <c r="D3596" s="110" t="s">
        <v>143</v>
      </c>
      <c r="E3596" s="110" t="s">
        <v>86</v>
      </c>
      <c r="F3596" s="117">
        <v>858</v>
      </c>
      <c r="G3596" s="110" t="s">
        <v>71</v>
      </c>
      <c r="H3596" s="110" t="str">
        <f t="shared" si="268"/>
        <v>Tolt River</v>
      </c>
      <c r="I3596" s="110" t="str">
        <f>IFERROR(VLOOKUP(H3596,LUTs!$A$1:$C$73,2,FALSE),"NA")</f>
        <v>King</v>
      </c>
      <c r="J3596" s="110" t="str">
        <f>IFERROR(VLOOKUP(H3596,LUTs!$A$1:$C$73,3,FALSE),"NA")</f>
        <v>2Central Puget Sound</v>
      </c>
      <c r="K3596" s="110" t="s">
        <v>18</v>
      </c>
      <c r="L3596" s="110" t="str">
        <f>VLOOKUP(K3596,LUTs!E$2:G$14,3,)</f>
        <v>06King</v>
      </c>
      <c r="M3596" s="110" t="str">
        <f>VLOOKUP($K3596,LUTs!$E$2:$H$14,2,)</f>
        <v>South Puget Sound</v>
      </c>
      <c r="N3596" s="110" t="str">
        <f>VLOOKUP($K3596,LUTs!$E$2:$H$14,4,)</f>
        <v>02South Puget Sound</v>
      </c>
      <c r="O3596" s="110">
        <v>3</v>
      </c>
      <c r="P3596" s="110">
        <v>55.65</v>
      </c>
      <c r="Q3596" s="110">
        <f>SUMIFS('FW_Steelhead_by_Month_2010-2021'!Q$2:Q$3810,'FW_Steelhead_by_Month_2010-2021'!$B$2:$B$3810,'Rec_raw_catch_effort_2010-2021'!$B3596,'FW_Steelhead_by_Month_2010-2021'!$H$2:$H$3810,'Rec_raw_catch_effort_2010-2021'!$F3596,'FW_Steelhead_by_Month_2010-2021'!$M$2:$M$3810,'Rec_raw_catch_effort_2010-2021'!$K3596)</f>
        <v>8</v>
      </c>
      <c r="R3596" s="111">
        <f>VLOOKUP(B3596,Readme!$A$62:$C$74,3,)*Q3596</f>
        <v>167.41789859903434</v>
      </c>
      <c r="S3596" s="140" t="str">
        <f t="shared" si="269"/>
        <v>Y</v>
      </c>
      <c r="T3596" s="154">
        <f t="shared" si="270"/>
        <v>18.55</v>
      </c>
      <c r="U3596" s="154">
        <f t="shared" si="271"/>
        <v>20.927237324879293</v>
      </c>
    </row>
    <row r="3597" spans="1:21" x14ac:dyDescent="0.35">
      <c r="A3597" s="110">
        <v>1687</v>
      </c>
      <c r="B3597" s="110">
        <v>2012</v>
      </c>
      <c r="C3597" s="110" t="s">
        <v>38</v>
      </c>
      <c r="D3597" s="110" t="s">
        <v>143</v>
      </c>
      <c r="E3597" s="110" t="s">
        <v>86</v>
      </c>
      <c r="F3597" s="117">
        <v>858</v>
      </c>
      <c r="G3597" s="110" t="s">
        <v>71</v>
      </c>
      <c r="H3597" s="110" t="str">
        <f t="shared" si="268"/>
        <v>Tolt River</v>
      </c>
      <c r="I3597" s="110" t="str">
        <f>IFERROR(VLOOKUP(H3597,LUTs!$A$1:$C$73,2,FALSE),"NA")</f>
        <v>King</v>
      </c>
      <c r="J3597" s="110" t="str">
        <f>IFERROR(VLOOKUP(H3597,LUTs!$A$1:$C$73,3,FALSE),"NA")</f>
        <v>2Central Puget Sound</v>
      </c>
      <c r="K3597" s="110" t="s">
        <v>18</v>
      </c>
      <c r="L3597" s="110" t="str">
        <f>VLOOKUP(K3597,LUTs!E$2:G$14,3,)</f>
        <v>06King</v>
      </c>
      <c r="M3597" s="110" t="str">
        <f>VLOOKUP($K3597,LUTs!$E$2:$H$14,2,)</f>
        <v>South Puget Sound</v>
      </c>
      <c r="N3597" s="110" t="str">
        <f>VLOOKUP($K3597,LUTs!$E$2:$H$14,4,)</f>
        <v>02South Puget Sound</v>
      </c>
      <c r="O3597" s="110">
        <v>3</v>
      </c>
      <c r="P3597" s="110">
        <v>25.62</v>
      </c>
      <c r="Q3597" s="110">
        <f>SUMIFS('FW_Steelhead_by_Month_2010-2021'!Q$2:Q$3810,'FW_Steelhead_by_Month_2010-2021'!$B$2:$B$3810,'Rec_raw_catch_effort_2010-2021'!$B3597,'FW_Steelhead_by_Month_2010-2021'!$H$2:$H$3810,'Rec_raw_catch_effort_2010-2021'!$F3597,'FW_Steelhead_by_Month_2010-2021'!$M$2:$M$3810,'Rec_raw_catch_effort_2010-2021'!$K3597)</f>
        <v>3</v>
      </c>
      <c r="R3597" s="111">
        <f>VLOOKUP(B3597,Readme!$A$62:$C$74,3,)*Q3597</f>
        <v>62.781711974637879</v>
      </c>
      <c r="S3597" s="140" t="str">
        <f t="shared" si="269"/>
        <v>Y</v>
      </c>
      <c r="T3597" s="154">
        <f t="shared" si="270"/>
        <v>8.5400000000000009</v>
      </c>
      <c r="U3597" s="154">
        <f t="shared" si="271"/>
        <v>20.927237324879293</v>
      </c>
    </row>
    <row r="3598" spans="1:21" x14ac:dyDescent="0.35">
      <c r="A3598" s="110">
        <v>1686</v>
      </c>
      <c r="B3598" s="110">
        <v>2012</v>
      </c>
      <c r="C3598" s="110" t="s">
        <v>38</v>
      </c>
      <c r="D3598" s="110" t="s">
        <v>143</v>
      </c>
      <c r="E3598" s="110" t="s">
        <v>86</v>
      </c>
      <c r="F3598" s="117">
        <v>858</v>
      </c>
      <c r="G3598" s="110" t="s">
        <v>71</v>
      </c>
      <c r="H3598" s="110" t="str">
        <f t="shared" si="268"/>
        <v>Tolt River</v>
      </c>
      <c r="I3598" s="110" t="str">
        <f>IFERROR(VLOOKUP(H3598,LUTs!$A$1:$C$73,2,FALSE),"NA")</f>
        <v>King</v>
      </c>
      <c r="J3598" s="110" t="str">
        <f>IFERROR(VLOOKUP(H3598,LUTs!$A$1:$C$73,3,FALSE),"NA")</f>
        <v>2Central Puget Sound</v>
      </c>
      <c r="K3598" s="110" t="s">
        <v>16</v>
      </c>
      <c r="L3598" s="110" t="str">
        <f>VLOOKUP(K3598,LUTs!E$2:G$14,3,)</f>
        <v>03Snohomish</v>
      </c>
      <c r="M3598" s="110" t="str">
        <f>VLOOKUP($K3598,LUTs!$E$2:$H$14,2,)</f>
        <v>North Puget Sound</v>
      </c>
      <c r="N3598" s="110" t="str">
        <f>VLOOKUP($K3598,LUTs!$E$2:$H$14,4,)</f>
        <v>01North Puget Sound</v>
      </c>
      <c r="O3598" s="110">
        <v>3</v>
      </c>
      <c r="P3598" s="110">
        <v>25.62</v>
      </c>
      <c r="Q3598" s="110">
        <f>SUMIFS('FW_Steelhead_by_Month_2010-2021'!Q$2:Q$3810,'FW_Steelhead_by_Month_2010-2021'!$B$2:$B$3810,'Rec_raw_catch_effort_2010-2021'!$B3598,'FW_Steelhead_by_Month_2010-2021'!$H$2:$H$3810,'Rec_raw_catch_effort_2010-2021'!$F3598,'FW_Steelhead_by_Month_2010-2021'!$M$2:$M$3810,'Rec_raw_catch_effort_2010-2021'!$K3598)</f>
        <v>3</v>
      </c>
      <c r="R3598" s="111">
        <f>VLOOKUP(B3598,Readme!$A$62:$C$74,3,)*Q3598</f>
        <v>62.781711974637879</v>
      </c>
      <c r="S3598" s="140" t="str">
        <f t="shared" si="269"/>
        <v>Y</v>
      </c>
      <c r="T3598" s="154">
        <f t="shared" si="270"/>
        <v>8.5400000000000009</v>
      </c>
      <c r="U3598" s="154">
        <f t="shared" si="271"/>
        <v>20.927237324879293</v>
      </c>
    </row>
    <row r="3599" spans="1:21" x14ac:dyDescent="0.35">
      <c r="A3599" s="110">
        <v>1856</v>
      </c>
      <c r="B3599" s="110">
        <v>2014</v>
      </c>
      <c r="C3599" s="110" t="s">
        <v>38</v>
      </c>
      <c r="D3599" s="110" t="s">
        <v>143</v>
      </c>
      <c r="E3599" s="110" t="s">
        <v>86</v>
      </c>
      <c r="F3599" s="117">
        <v>858</v>
      </c>
      <c r="G3599" s="110" t="s">
        <v>71</v>
      </c>
      <c r="H3599" s="110" t="str">
        <f t="shared" si="268"/>
        <v>Tolt River</v>
      </c>
      <c r="I3599" s="110" t="str">
        <f>IFERROR(VLOOKUP(H3599,LUTs!$A$1:$C$73,2,FALSE),"NA")</f>
        <v>King</v>
      </c>
      <c r="J3599" s="110" t="str">
        <f>IFERROR(VLOOKUP(H3599,LUTs!$A$1:$C$73,3,FALSE),"NA")</f>
        <v>2Central Puget Sound</v>
      </c>
      <c r="K3599" s="110" t="s">
        <v>24</v>
      </c>
      <c r="L3599" s="110" t="str">
        <f>VLOOKUP(K3599,LUTs!E$2:G$14,3,)</f>
        <v>11Clallam</v>
      </c>
      <c r="M3599" s="110" t="str">
        <f>VLOOKUP($K3599,LUTs!$E$2:$H$14,2,)</f>
        <v>Strait of Juan de Fuca</v>
      </c>
      <c r="N3599" s="110" t="str">
        <f>VLOOKUP($K3599,LUTs!$E$2:$H$14,4,)</f>
        <v>03Strait of Juan de Fuca</v>
      </c>
      <c r="O3599" s="110">
        <v>9.6</v>
      </c>
      <c r="P3599" s="110">
        <v>81.983999999999995</v>
      </c>
      <c r="Q3599" s="110">
        <f>SUMIFS('FW_Steelhead_by_Month_2010-2021'!Q$2:Q$3810,'FW_Steelhead_by_Month_2010-2021'!$B$2:$B$3810,'Rec_raw_catch_effort_2010-2021'!$B3599,'FW_Steelhead_by_Month_2010-2021'!$H$2:$H$3810,'Rec_raw_catch_effort_2010-2021'!$F3599,'FW_Steelhead_by_Month_2010-2021'!$M$2:$M$3810,'Rec_raw_catch_effort_2010-2021'!$K3599)</f>
        <v>9.6</v>
      </c>
      <c r="R3599" s="111">
        <f>VLOOKUP(B3599,Readme!$A$62:$C$74,3,)*Q3599</f>
        <v>200.90147831884121</v>
      </c>
      <c r="S3599" s="140" t="str">
        <f t="shared" si="269"/>
        <v>Y</v>
      </c>
      <c r="T3599" s="154">
        <f t="shared" si="270"/>
        <v>8.5399999999999991</v>
      </c>
      <c r="U3599" s="154">
        <f t="shared" si="271"/>
        <v>20.927237324879293</v>
      </c>
    </row>
    <row r="3600" spans="1:21" x14ac:dyDescent="0.35">
      <c r="A3600" s="110">
        <v>1855</v>
      </c>
      <c r="B3600" s="110">
        <v>2014</v>
      </c>
      <c r="C3600" s="110" t="s">
        <v>38</v>
      </c>
      <c r="D3600" s="110" t="s">
        <v>143</v>
      </c>
      <c r="E3600" s="110" t="s">
        <v>86</v>
      </c>
      <c r="F3600" s="117">
        <v>858</v>
      </c>
      <c r="G3600" s="110" t="s">
        <v>71</v>
      </c>
      <c r="H3600" s="110" t="str">
        <f t="shared" si="268"/>
        <v>Tolt River</v>
      </c>
      <c r="I3600" s="110" t="str">
        <f>IFERROR(VLOOKUP(H3600,LUTs!$A$1:$C$73,2,FALSE),"NA")</f>
        <v>King</v>
      </c>
      <c r="J3600" s="110" t="str">
        <f>IFERROR(VLOOKUP(H3600,LUTs!$A$1:$C$73,3,FALSE),"NA")</f>
        <v>2Central Puget Sound</v>
      </c>
      <c r="K3600" s="110" t="s">
        <v>18</v>
      </c>
      <c r="L3600" s="110" t="str">
        <f>VLOOKUP(K3600,LUTs!E$2:G$14,3,)</f>
        <v>06King</v>
      </c>
      <c r="M3600" s="110" t="str">
        <f>VLOOKUP($K3600,LUTs!$E$2:$H$14,2,)</f>
        <v>South Puget Sound</v>
      </c>
      <c r="N3600" s="110" t="str">
        <f>VLOOKUP($K3600,LUTs!$E$2:$H$14,4,)</f>
        <v>02South Puget Sound</v>
      </c>
      <c r="O3600" s="110">
        <v>22.4</v>
      </c>
      <c r="P3600" s="110">
        <v>191.29599999999999</v>
      </c>
      <c r="Q3600" s="110">
        <f>SUMIFS('FW_Steelhead_by_Month_2010-2021'!Q$2:Q$3810,'FW_Steelhead_by_Month_2010-2021'!$B$2:$B$3810,'Rec_raw_catch_effort_2010-2021'!$B3600,'FW_Steelhead_by_Month_2010-2021'!$H$2:$H$3810,'Rec_raw_catch_effort_2010-2021'!$F3600,'FW_Steelhead_by_Month_2010-2021'!$M$2:$M$3810,'Rec_raw_catch_effort_2010-2021'!$K3600)</f>
        <v>9.4</v>
      </c>
      <c r="R3600" s="111">
        <f>VLOOKUP(B3600,Readme!$A$62:$C$74,3,)*Q3600</f>
        <v>196.71603085386536</v>
      </c>
      <c r="S3600" s="140" t="str">
        <f t="shared" si="269"/>
        <v>Y</v>
      </c>
      <c r="T3600" s="154">
        <f t="shared" si="270"/>
        <v>8.5400000000000009</v>
      </c>
      <c r="U3600" s="154">
        <f t="shared" si="271"/>
        <v>20.927237324879293</v>
      </c>
    </row>
    <row r="3601" spans="1:21" x14ac:dyDescent="0.35">
      <c r="A3601" s="110">
        <v>2013</v>
      </c>
      <c r="B3601" s="110">
        <v>2017</v>
      </c>
      <c r="C3601" s="110" t="s">
        <v>38</v>
      </c>
      <c r="D3601" s="110" t="s">
        <v>143</v>
      </c>
      <c r="E3601" s="110" t="s">
        <v>86</v>
      </c>
      <c r="F3601" s="117">
        <v>858</v>
      </c>
      <c r="G3601" s="110" t="s">
        <v>71</v>
      </c>
      <c r="H3601" s="110" t="str">
        <f t="shared" si="268"/>
        <v>Tolt River</v>
      </c>
      <c r="I3601" s="110" t="str">
        <f>IFERROR(VLOOKUP(H3601,LUTs!$A$1:$C$73,2,FALSE),"NA")</f>
        <v>King</v>
      </c>
      <c r="J3601" s="110" t="str">
        <f>IFERROR(VLOOKUP(H3601,LUTs!$A$1:$C$73,3,FALSE),"NA")</f>
        <v>2Central Puget Sound</v>
      </c>
      <c r="K3601" s="110" t="s">
        <v>18</v>
      </c>
      <c r="L3601" s="110" t="str">
        <f>VLOOKUP(K3601,LUTs!E$2:G$14,3,)</f>
        <v>06King</v>
      </c>
      <c r="M3601" s="110" t="str">
        <f>VLOOKUP($K3601,LUTs!$E$2:$H$14,2,)</f>
        <v>South Puget Sound</v>
      </c>
      <c r="N3601" s="110" t="str">
        <f>VLOOKUP($K3601,LUTs!$E$2:$H$14,4,)</f>
        <v>02South Puget Sound</v>
      </c>
      <c r="O3601" s="110">
        <v>8</v>
      </c>
      <c r="P3601" s="110">
        <v>148.4</v>
      </c>
      <c r="Q3601" s="110">
        <f>SUMIFS('FW_Steelhead_by_Month_2010-2021'!Q$2:Q$3810,'FW_Steelhead_by_Month_2010-2021'!$B$2:$B$3810,'Rec_raw_catch_effort_2010-2021'!$B3601,'FW_Steelhead_by_Month_2010-2021'!$H$2:$H$3810,'Rec_raw_catch_effort_2010-2021'!$F3601,'FW_Steelhead_by_Month_2010-2021'!$M$2:$M$3810,'Rec_raw_catch_effort_2010-2021'!$K3601)</f>
        <v>0</v>
      </c>
      <c r="R3601" s="111">
        <f>VLOOKUP(B3601,Readme!$A$62:$C$74,3,)*Q3601</f>
        <v>0</v>
      </c>
      <c r="S3601" s="140" t="str">
        <f t="shared" si="269"/>
        <v>Y</v>
      </c>
      <c r="T3601" s="154">
        <f t="shared" si="270"/>
        <v>18.55</v>
      </c>
      <c r="U3601" s="154" t="str">
        <f t="shared" si="271"/>
        <v>NA</v>
      </c>
    </row>
    <row r="3602" spans="1:21" x14ac:dyDescent="0.35">
      <c r="A3602" s="110">
        <v>2144</v>
      </c>
      <c r="B3602" s="110">
        <v>2017</v>
      </c>
      <c r="C3602" s="110" t="s">
        <v>38</v>
      </c>
      <c r="D3602" s="110" t="s">
        <v>143</v>
      </c>
      <c r="E3602" s="110" t="s">
        <v>86</v>
      </c>
      <c r="F3602" s="117">
        <v>858</v>
      </c>
      <c r="G3602" s="110" t="s">
        <v>71</v>
      </c>
      <c r="H3602" s="110" t="str">
        <f t="shared" si="268"/>
        <v>Tolt River</v>
      </c>
      <c r="I3602" s="110" t="str">
        <f>IFERROR(VLOOKUP(H3602,LUTs!$A$1:$C$73,2,FALSE),"NA")</f>
        <v>King</v>
      </c>
      <c r="J3602" s="110" t="str">
        <f>IFERROR(VLOOKUP(H3602,LUTs!$A$1:$C$73,3,FALSE),"NA")</f>
        <v>2Central Puget Sound</v>
      </c>
      <c r="K3602" s="110" t="s">
        <v>20</v>
      </c>
      <c r="L3602" s="110" t="str">
        <f>VLOOKUP(K3602,LUTs!E$2:G$14,3,)</f>
        <v>07Pierce</v>
      </c>
      <c r="M3602" s="110" t="str">
        <f>VLOOKUP($K3602,LUTs!$E$2:$H$14,2,)</f>
        <v>South Puget Sound</v>
      </c>
      <c r="N3602" s="110" t="str">
        <f>VLOOKUP($K3602,LUTs!$E$2:$H$14,4,)</f>
        <v>02South Puget Sound</v>
      </c>
      <c r="O3602" s="110">
        <v>8</v>
      </c>
      <c r="P3602" s="110">
        <v>148.4</v>
      </c>
      <c r="Q3602" s="110">
        <f>SUMIFS('FW_Steelhead_by_Month_2010-2021'!Q$2:Q$3810,'FW_Steelhead_by_Month_2010-2021'!$B$2:$B$3810,'Rec_raw_catch_effort_2010-2021'!$B3602,'FW_Steelhead_by_Month_2010-2021'!$H$2:$H$3810,'Rec_raw_catch_effort_2010-2021'!$F3602,'FW_Steelhead_by_Month_2010-2021'!$M$2:$M$3810,'Rec_raw_catch_effort_2010-2021'!$K3602)</f>
        <v>4</v>
      </c>
      <c r="R3602" s="111">
        <f>VLOOKUP(B3602,Readme!$A$62:$C$74,3,)*Q3602</f>
        <v>83.708949299517172</v>
      </c>
      <c r="S3602" s="140" t="str">
        <f t="shared" si="269"/>
        <v>Y</v>
      </c>
      <c r="T3602" s="154">
        <f t="shared" si="270"/>
        <v>18.55</v>
      </c>
      <c r="U3602" s="154">
        <f t="shared" si="271"/>
        <v>20.927237324879293</v>
      </c>
    </row>
    <row r="3603" spans="1:21" x14ac:dyDescent="0.35">
      <c r="A3603" s="110">
        <v>2078</v>
      </c>
      <c r="B3603" s="110">
        <v>2010</v>
      </c>
      <c r="C3603" s="110" t="s">
        <v>38</v>
      </c>
      <c r="D3603" s="110" t="s">
        <v>143</v>
      </c>
      <c r="E3603" s="110" t="s">
        <v>86</v>
      </c>
      <c r="F3603" s="117">
        <v>860</v>
      </c>
      <c r="G3603" s="110" t="s">
        <v>76</v>
      </c>
      <c r="H3603" s="110" t="str">
        <f t="shared" si="268"/>
        <v>Wallace River</v>
      </c>
      <c r="I3603" s="110" t="str">
        <f>IFERROR(VLOOKUP(H3603,LUTs!$A$1:$C$73,2,FALSE),"NA")</f>
        <v>Snohomish</v>
      </c>
      <c r="J3603" s="110" t="str">
        <f>IFERROR(VLOOKUP(H3603,LUTs!$A$1:$C$73,3,FALSE),"NA")</f>
        <v>2Central Puget Sound</v>
      </c>
      <c r="K3603" s="110" t="s">
        <v>18</v>
      </c>
      <c r="L3603" s="110" t="str">
        <f>VLOOKUP(K3603,LUTs!E$2:G$14,3,)</f>
        <v>06King</v>
      </c>
      <c r="M3603" s="110" t="str">
        <f>VLOOKUP($K3603,LUTs!$E$2:$H$14,2,)</f>
        <v>South Puget Sound</v>
      </c>
      <c r="N3603" s="110" t="str">
        <f>VLOOKUP($K3603,LUTs!$E$2:$H$14,4,)</f>
        <v>02South Puget Sound</v>
      </c>
      <c r="O3603" s="110">
        <v>62.307692307692299</v>
      </c>
      <c r="P3603" s="110">
        <v>532.10769230769199</v>
      </c>
      <c r="Q3603" s="110">
        <f>SUMIFS('FW_Steelhead_by_Month_2010-2021'!Q$2:Q$3810,'FW_Steelhead_by_Month_2010-2021'!$B$2:$B$3810,'Rec_raw_catch_effort_2010-2021'!$B3603,'FW_Steelhead_by_Month_2010-2021'!$H$2:$H$3810,'Rec_raw_catch_effort_2010-2021'!$F3603,'FW_Steelhead_by_Month_2010-2021'!$M$2:$M$3810,'Rec_raw_catch_effort_2010-2021'!$K3603)</f>
        <v>44.342857142857198</v>
      </c>
      <c r="R3603" s="111">
        <f>VLOOKUP(B3603,Readme!$A$62:$C$74,3,)*Q3603</f>
        <v>927.97349509179151</v>
      </c>
      <c r="S3603" s="140" t="str">
        <f t="shared" si="269"/>
        <v>Y</v>
      </c>
      <c r="T3603" s="154">
        <f t="shared" si="270"/>
        <v>8.5399999999999956</v>
      </c>
      <c r="U3603" s="154">
        <f t="shared" si="271"/>
        <v>20.927237324879293</v>
      </c>
    </row>
    <row r="3604" spans="1:21" x14ac:dyDescent="0.35">
      <c r="A3604" s="110">
        <v>2080</v>
      </c>
      <c r="B3604" s="110">
        <v>2010</v>
      </c>
      <c r="C3604" s="110" t="s">
        <v>38</v>
      </c>
      <c r="D3604" s="110" t="s">
        <v>143</v>
      </c>
      <c r="E3604" s="110" t="s">
        <v>86</v>
      </c>
      <c r="F3604" s="117">
        <v>860</v>
      </c>
      <c r="G3604" s="110" t="s">
        <v>76</v>
      </c>
      <c r="H3604" s="110" t="str">
        <f t="shared" si="268"/>
        <v>Wallace River</v>
      </c>
      <c r="I3604" s="110" t="str">
        <f>IFERROR(VLOOKUP(H3604,LUTs!$A$1:$C$73,2,FALSE),"NA")</f>
        <v>Snohomish</v>
      </c>
      <c r="J3604" s="110" t="str">
        <f>IFERROR(VLOOKUP(H3604,LUTs!$A$1:$C$73,3,FALSE),"NA")</f>
        <v>2Central Puget Sound</v>
      </c>
      <c r="K3604" s="110" t="s">
        <v>26</v>
      </c>
      <c r="L3604" s="110" t="str">
        <f>VLOOKUP(K3604,LUTs!E$2:G$14,3,)</f>
        <v>20Other</v>
      </c>
      <c r="M3604" s="110" t="str">
        <f>VLOOKUP($K3604,LUTs!$E$2:$H$14,2,)</f>
        <v>Non Puget Sound</v>
      </c>
      <c r="N3604" s="110" t="str">
        <f>VLOOKUP($K3604,LUTs!$E$2:$H$14,4,)</f>
        <v>07Non Puget Sound</v>
      </c>
      <c r="O3604" s="110">
        <v>2.3076923076923102</v>
      </c>
      <c r="P3604" s="110">
        <v>19.707692307692302</v>
      </c>
      <c r="Q3604" s="110">
        <f>SUMIFS('FW_Steelhead_by_Month_2010-2021'!Q$2:Q$3810,'FW_Steelhead_by_Month_2010-2021'!$B$2:$B$3810,'Rec_raw_catch_effort_2010-2021'!$B3604,'FW_Steelhead_by_Month_2010-2021'!$H$2:$H$3810,'Rec_raw_catch_effort_2010-2021'!$F3604,'FW_Steelhead_by_Month_2010-2021'!$M$2:$M$3810,'Rec_raw_catch_effort_2010-2021'!$K3604)</f>
        <v>0</v>
      </c>
      <c r="R3604" s="111">
        <f>VLOOKUP(B3604,Readme!$A$62:$C$74,3,)*Q3604</f>
        <v>0</v>
      </c>
      <c r="S3604" s="140" t="str">
        <f t="shared" si="269"/>
        <v>Y</v>
      </c>
      <c r="T3604" s="154">
        <f t="shared" si="270"/>
        <v>8.5399999999999885</v>
      </c>
      <c r="U3604" s="154" t="str">
        <f t="shared" si="271"/>
        <v>NA</v>
      </c>
    </row>
    <row r="3605" spans="1:21" x14ac:dyDescent="0.35">
      <c r="A3605" s="110">
        <v>2079</v>
      </c>
      <c r="B3605" s="110">
        <v>2010</v>
      </c>
      <c r="C3605" s="110" t="s">
        <v>38</v>
      </c>
      <c r="D3605" s="110" t="s">
        <v>143</v>
      </c>
      <c r="E3605" s="110" t="s">
        <v>86</v>
      </c>
      <c r="F3605" s="117">
        <v>860</v>
      </c>
      <c r="G3605" s="110" t="s">
        <v>76</v>
      </c>
      <c r="H3605" s="110" t="str">
        <f t="shared" si="268"/>
        <v>Wallace River</v>
      </c>
      <c r="I3605" s="110" t="str">
        <f>IFERROR(VLOOKUP(H3605,LUTs!$A$1:$C$73,2,FALSE),"NA")</f>
        <v>Snohomish</v>
      </c>
      <c r="J3605" s="110" t="str">
        <f>IFERROR(VLOOKUP(H3605,LUTs!$A$1:$C$73,3,FALSE),"NA")</f>
        <v>2Central Puget Sound</v>
      </c>
      <c r="K3605" s="110" t="s">
        <v>20</v>
      </c>
      <c r="L3605" s="110" t="str">
        <f>VLOOKUP(K3605,LUTs!E$2:G$14,3,)</f>
        <v>07Pierce</v>
      </c>
      <c r="M3605" s="110" t="str">
        <f>VLOOKUP($K3605,LUTs!$E$2:$H$14,2,)</f>
        <v>South Puget Sound</v>
      </c>
      <c r="N3605" s="110" t="str">
        <f>VLOOKUP($K3605,LUTs!$E$2:$H$14,4,)</f>
        <v>02South Puget Sound</v>
      </c>
      <c r="O3605" s="110">
        <v>9.2307692307692299</v>
      </c>
      <c r="P3605" s="110">
        <v>78.830769230769207</v>
      </c>
      <c r="Q3605" s="110">
        <f>SUMIFS('FW_Steelhead_by_Month_2010-2021'!Q$2:Q$3810,'FW_Steelhead_by_Month_2010-2021'!$B$2:$B$3810,'Rec_raw_catch_effort_2010-2021'!$B3605,'FW_Steelhead_by_Month_2010-2021'!$H$2:$H$3810,'Rec_raw_catch_effort_2010-2021'!$F3605,'FW_Steelhead_by_Month_2010-2021'!$M$2:$M$3810,'Rec_raw_catch_effort_2010-2021'!$K3605)</f>
        <v>4.5142857142857196</v>
      </c>
      <c r="R3605" s="111">
        <f>VLOOKUP(B3605,Readme!$A$62:$C$74,3,)*Q3605</f>
        <v>94.471528495169494</v>
      </c>
      <c r="S3605" s="140" t="str">
        <f t="shared" si="269"/>
        <v>Y</v>
      </c>
      <c r="T3605" s="154">
        <f t="shared" si="270"/>
        <v>8.5399999999999974</v>
      </c>
      <c r="U3605" s="154">
        <f t="shared" si="271"/>
        <v>20.927237324879293</v>
      </c>
    </row>
    <row r="3606" spans="1:21" x14ac:dyDescent="0.35">
      <c r="A3606" s="110">
        <v>2077</v>
      </c>
      <c r="B3606" s="110">
        <v>2010</v>
      </c>
      <c r="C3606" s="110" t="s">
        <v>38</v>
      </c>
      <c r="D3606" s="110" t="s">
        <v>143</v>
      </c>
      <c r="E3606" s="110" t="s">
        <v>86</v>
      </c>
      <c r="F3606" s="117">
        <v>860</v>
      </c>
      <c r="G3606" s="110" t="s">
        <v>76</v>
      </c>
      <c r="H3606" s="110" t="str">
        <f t="shared" si="268"/>
        <v>Wallace River</v>
      </c>
      <c r="I3606" s="110" t="str">
        <f>IFERROR(VLOOKUP(H3606,LUTs!$A$1:$C$73,2,FALSE),"NA")</f>
        <v>Snohomish</v>
      </c>
      <c r="J3606" s="110" t="str">
        <f>IFERROR(VLOOKUP(H3606,LUTs!$A$1:$C$73,3,FALSE),"NA")</f>
        <v>2Central Puget Sound</v>
      </c>
      <c r="K3606" s="110" t="s">
        <v>16</v>
      </c>
      <c r="L3606" s="110" t="str">
        <f>VLOOKUP(K3606,LUTs!E$2:G$14,3,)</f>
        <v>03Snohomish</v>
      </c>
      <c r="M3606" s="110" t="str">
        <f>VLOOKUP($K3606,LUTs!$E$2:$H$14,2,)</f>
        <v>North Puget Sound</v>
      </c>
      <c r="N3606" s="110" t="str">
        <f>VLOOKUP($K3606,LUTs!$E$2:$H$14,4,)</f>
        <v>01North Puget Sound</v>
      </c>
      <c r="O3606" s="110">
        <v>76.153846153846203</v>
      </c>
      <c r="P3606" s="110">
        <v>650.35384615384601</v>
      </c>
      <c r="Q3606" s="110">
        <f>SUMIFS('FW_Steelhead_by_Month_2010-2021'!Q$2:Q$3810,'FW_Steelhead_by_Month_2010-2021'!$B$2:$B$3810,'Rec_raw_catch_effort_2010-2021'!$B3606,'FW_Steelhead_by_Month_2010-2021'!$H$2:$H$3810,'Rec_raw_catch_effort_2010-2021'!$F3606,'FW_Steelhead_by_Month_2010-2021'!$M$2:$M$3810,'Rec_raw_catch_effort_2010-2021'!$K3606)</f>
        <v>59.142857142857103</v>
      </c>
      <c r="R3606" s="111">
        <f>VLOOKUP(B3606,Readme!$A$62:$C$74,3,)*Q3606</f>
        <v>1237.696607500003</v>
      </c>
      <c r="S3606" s="140" t="str">
        <f t="shared" si="269"/>
        <v>Y</v>
      </c>
      <c r="T3606" s="154">
        <f t="shared" si="270"/>
        <v>8.539999999999992</v>
      </c>
      <c r="U3606" s="154">
        <f t="shared" si="271"/>
        <v>20.927237324879293</v>
      </c>
    </row>
    <row r="3607" spans="1:21" x14ac:dyDescent="0.35">
      <c r="A3607" s="110">
        <v>2694</v>
      </c>
      <c r="B3607" s="110">
        <v>2011</v>
      </c>
      <c r="C3607" s="110" t="s">
        <v>38</v>
      </c>
      <c r="D3607" s="110" t="s">
        <v>143</v>
      </c>
      <c r="E3607" s="110" t="s">
        <v>86</v>
      </c>
      <c r="F3607" s="117">
        <v>860</v>
      </c>
      <c r="G3607" s="110" t="s">
        <v>76</v>
      </c>
      <c r="H3607" s="110" t="str">
        <f t="shared" si="268"/>
        <v>Wallace River</v>
      </c>
      <c r="I3607" s="110" t="str">
        <f>IFERROR(VLOOKUP(H3607,LUTs!$A$1:$C$73,2,FALSE),"NA")</f>
        <v>Snohomish</v>
      </c>
      <c r="J3607" s="110" t="str">
        <f>IFERROR(VLOOKUP(H3607,LUTs!$A$1:$C$73,3,FALSE),"NA")</f>
        <v>2Central Puget Sound</v>
      </c>
      <c r="K3607" s="110" t="s">
        <v>17</v>
      </c>
      <c r="L3607" s="110" t="str">
        <f>VLOOKUP(K3607,LUTs!E$2:G$14,3,)</f>
        <v>04Island</v>
      </c>
      <c r="M3607" s="110" t="str">
        <f>VLOOKUP($K3607,LUTs!$E$2:$H$14,2,)</f>
        <v>North Puget Sound</v>
      </c>
      <c r="N3607" s="110" t="str">
        <f>VLOOKUP($K3607,LUTs!$E$2:$H$14,4,)</f>
        <v>01North Puget Sound</v>
      </c>
      <c r="O3607" s="110">
        <v>2.5588235294117601</v>
      </c>
      <c r="P3607" s="110">
        <v>47.466176470588202</v>
      </c>
      <c r="Q3607" s="110">
        <f>SUMIFS('FW_Steelhead_by_Month_2010-2021'!Q$2:Q$3810,'FW_Steelhead_by_Month_2010-2021'!$B$2:$B$3810,'Rec_raw_catch_effort_2010-2021'!$B3607,'FW_Steelhead_by_Month_2010-2021'!$H$2:$H$3810,'Rec_raw_catch_effort_2010-2021'!$F3607,'FW_Steelhead_by_Month_2010-2021'!$M$2:$M$3810,'Rec_raw_catch_effort_2010-2021'!$K3607)</f>
        <v>2.5625</v>
      </c>
      <c r="R3607" s="111">
        <f>VLOOKUP(B3607,Readme!$A$62:$C$74,3,)*Q3607</f>
        <v>53.626045645003188</v>
      </c>
      <c r="S3607" s="140" t="str">
        <f t="shared" si="269"/>
        <v>Y</v>
      </c>
      <c r="T3607" s="154">
        <f t="shared" si="270"/>
        <v>18.550000000000022</v>
      </c>
      <c r="U3607" s="154">
        <f t="shared" si="271"/>
        <v>20.927237324879293</v>
      </c>
    </row>
    <row r="3608" spans="1:21" x14ac:dyDescent="0.35">
      <c r="A3608" s="110">
        <v>2695</v>
      </c>
      <c r="B3608" s="110">
        <v>2011</v>
      </c>
      <c r="C3608" s="110" t="s">
        <v>38</v>
      </c>
      <c r="D3608" s="110" t="s">
        <v>143</v>
      </c>
      <c r="E3608" s="110" t="s">
        <v>86</v>
      </c>
      <c r="F3608" s="117">
        <v>860</v>
      </c>
      <c r="G3608" s="110" t="s">
        <v>76</v>
      </c>
      <c r="H3608" s="110" t="str">
        <f t="shared" si="268"/>
        <v>Wallace River</v>
      </c>
      <c r="I3608" s="110" t="str">
        <f>IFERROR(VLOOKUP(H3608,LUTs!$A$1:$C$73,2,FALSE),"NA")</f>
        <v>Snohomish</v>
      </c>
      <c r="J3608" s="110" t="str">
        <f>IFERROR(VLOOKUP(H3608,LUTs!$A$1:$C$73,3,FALSE),"NA")</f>
        <v>2Central Puget Sound</v>
      </c>
      <c r="K3608" s="110" t="s">
        <v>18</v>
      </c>
      <c r="L3608" s="110" t="str">
        <f>VLOOKUP(K3608,LUTs!E$2:G$14,3,)</f>
        <v>06King</v>
      </c>
      <c r="M3608" s="110" t="str">
        <f>VLOOKUP($K3608,LUTs!$E$2:$H$14,2,)</f>
        <v>South Puget Sound</v>
      </c>
      <c r="N3608" s="110" t="str">
        <f>VLOOKUP($K3608,LUTs!$E$2:$H$14,4,)</f>
        <v>02South Puget Sound</v>
      </c>
      <c r="O3608" s="110">
        <v>48.617647058823501</v>
      </c>
      <c r="P3608" s="110">
        <v>901.85735294117603</v>
      </c>
      <c r="Q3608" s="110">
        <f>SUMIFS('FW_Steelhead_by_Month_2010-2021'!Q$2:Q$3810,'FW_Steelhead_by_Month_2010-2021'!$B$2:$B$3810,'Rec_raw_catch_effort_2010-2021'!$B3608,'FW_Steelhead_by_Month_2010-2021'!$H$2:$H$3810,'Rec_raw_catch_effort_2010-2021'!$F3608,'FW_Steelhead_by_Month_2010-2021'!$M$2:$M$3810,'Rec_raw_catch_effort_2010-2021'!$K3608)</f>
        <v>60.588095238095271</v>
      </c>
      <c r="R3608" s="111">
        <f>VLOOKUP(B3608,Readme!$A$62:$C$74,3,)*Q3608</f>
        <v>1267.9414481100087</v>
      </c>
      <c r="S3608" s="140" t="str">
        <f t="shared" si="269"/>
        <v>Y</v>
      </c>
      <c r="T3608" s="154">
        <f t="shared" si="270"/>
        <v>18.55</v>
      </c>
      <c r="U3608" s="154">
        <f t="shared" si="271"/>
        <v>20.927237324879293</v>
      </c>
    </row>
    <row r="3609" spans="1:21" x14ac:dyDescent="0.35">
      <c r="A3609" s="110">
        <v>2697</v>
      </c>
      <c r="B3609" s="110">
        <v>2011</v>
      </c>
      <c r="C3609" s="110" t="s">
        <v>38</v>
      </c>
      <c r="D3609" s="110" t="s">
        <v>143</v>
      </c>
      <c r="E3609" s="110" t="s">
        <v>86</v>
      </c>
      <c r="F3609" s="117">
        <v>860</v>
      </c>
      <c r="G3609" s="110" t="s">
        <v>76</v>
      </c>
      <c r="H3609" s="110" t="str">
        <f t="shared" si="268"/>
        <v>Wallace River</v>
      </c>
      <c r="I3609" s="110" t="str">
        <f>IFERROR(VLOOKUP(H3609,LUTs!$A$1:$C$73,2,FALSE),"NA")</f>
        <v>Snohomish</v>
      </c>
      <c r="J3609" s="110" t="str">
        <f>IFERROR(VLOOKUP(H3609,LUTs!$A$1:$C$73,3,FALSE),"NA")</f>
        <v>2Central Puget Sound</v>
      </c>
      <c r="K3609" s="110" t="s">
        <v>26</v>
      </c>
      <c r="L3609" s="110" t="str">
        <f>VLOOKUP(K3609,LUTs!E$2:G$14,3,)</f>
        <v>20Other</v>
      </c>
      <c r="M3609" s="110" t="str">
        <f>VLOOKUP($K3609,LUTs!$E$2:$H$14,2,)</f>
        <v>Non Puget Sound</v>
      </c>
      <c r="N3609" s="110" t="str">
        <f>VLOOKUP($K3609,LUTs!$E$2:$H$14,4,)</f>
        <v>07Non Puget Sound</v>
      </c>
      <c r="O3609" s="110">
        <v>7.6764705882352997</v>
      </c>
      <c r="P3609" s="110">
        <v>142.398529411765</v>
      </c>
      <c r="Q3609" s="110">
        <f>SUMIFS('FW_Steelhead_by_Month_2010-2021'!Q$2:Q$3810,'FW_Steelhead_by_Month_2010-2021'!$B$2:$B$3810,'Rec_raw_catch_effort_2010-2021'!$B3609,'FW_Steelhead_by_Month_2010-2021'!$H$2:$H$3810,'Rec_raw_catch_effort_2010-2021'!$F3609,'FW_Steelhead_by_Month_2010-2021'!$M$2:$M$3810,'Rec_raw_catch_effort_2010-2021'!$K3609)</f>
        <v>5.0833333333333304</v>
      </c>
      <c r="R3609" s="111">
        <f>VLOOKUP(B3609,Readme!$A$62:$C$74,3,)*Q3609</f>
        <v>106.38012306813634</v>
      </c>
      <c r="S3609" s="140" t="str">
        <f t="shared" si="269"/>
        <v>Y</v>
      </c>
      <c r="T3609" s="154">
        <f t="shared" si="270"/>
        <v>18.550000000000026</v>
      </c>
      <c r="U3609" s="154">
        <f t="shared" si="271"/>
        <v>20.927237324879293</v>
      </c>
    </row>
    <row r="3610" spans="1:21" x14ac:dyDescent="0.35">
      <c r="A3610" s="110">
        <v>2696</v>
      </c>
      <c r="B3610" s="110">
        <v>2011</v>
      </c>
      <c r="C3610" s="110" t="s">
        <v>38</v>
      </c>
      <c r="D3610" s="110" t="s">
        <v>143</v>
      </c>
      <c r="E3610" s="110" t="s">
        <v>86</v>
      </c>
      <c r="F3610" s="117">
        <v>860</v>
      </c>
      <c r="G3610" s="110" t="s">
        <v>76</v>
      </c>
      <c r="H3610" s="110" t="str">
        <f t="shared" si="268"/>
        <v>Wallace River</v>
      </c>
      <c r="I3610" s="110" t="str">
        <f>IFERROR(VLOOKUP(H3610,LUTs!$A$1:$C$73,2,FALSE),"NA")</f>
        <v>Snohomish</v>
      </c>
      <c r="J3610" s="110" t="str">
        <f>IFERROR(VLOOKUP(H3610,LUTs!$A$1:$C$73,3,FALSE),"NA")</f>
        <v>2Central Puget Sound</v>
      </c>
      <c r="K3610" s="110" t="s">
        <v>20</v>
      </c>
      <c r="L3610" s="110" t="str">
        <f>VLOOKUP(K3610,LUTs!E$2:G$14,3,)</f>
        <v>07Pierce</v>
      </c>
      <c r="M3610" s="110" t="str">
        <f>VLOOKUP($K3610,LUTs!$E$2:$H$14,2,)</f>
        <v>South Puget Sound</v>
      </c>
      <c r="N3610" s="110" t="str">
        <f>VLOOKUP($K3610,LUTs!$E$2:$H$14,4,)</f>
        <v>02South Puget Sound</v>
      </c>
      <c r="O3610" s="110">
        <v>10.235294117647101</v>
      </c>
      <c r="P3610" s="110">
        <v>189.864705882354</v>
      </c>
      <c r="Q3610" s="110">
        <f>SUMIFS('FW_Steelhead_by_Month_2010-2021'!Q$2:Q$3810,'FW_Steelhead_by_Month_2010-2021'!$B$2:$B$3810,'Rec_raw_catch_effort_2010-2021'!$B3610,'FW_Steelhead_by_Month_2010-2021'!$H$2:$H$3810,'Rec_raw_catch_effort_2010-2021'!$F3610,'FW_Steelhead_by_Month_2010-2021'!$M$2:$M$3810,'Rec_raw_catch_effort_2010-2021'!$K3610)</f>
        <v>12.334523809523809</v>
      </c>
      <c r="R3610" s="111">
        <f>VLOOKUP(B3610,Readme!$A$62:$C$74,3,)*Q3610</f>
        <v>258.127507051279</v>
      </c>
      <c r="S3610" s="140" t="str">
        <f t="shared" si="269"/>
        <v>Y</v>
      </c>
      <c r="T3610" s="154">
        <f t="shared" si="270"/>
        <v>18.550000000000029</v>
      </c>
      <c r="U3610" s="154">
        <f t="shared" si="271"/>
        <v>20.927237324879293</v>
      </c>
    </row>
    <row r="3611" spans="1:21" x14ac:dyDescent="0.35">
      <c r="A3611" s="110">
        <v>2692</v>
      </c>
      <c r="B3611" s="110">
        <v>2011</v>
      </c>
      <c r="C3611" s="110" t="s">
        <v>38</v>
      </c>
      <c r="D3611" s="110" t="s">
        <v>143</v>
      </c>
      <c r="E3611" s="110" t="s">
        <v>86</v>
      </c>
      <c r="F3611" s="117">
        <v>860</v>
      </c>
      <c r="G3611" s="110" t="s">
        <v>76</v>
      </c>
      <c r="H3611" s="110" t="str">
        <f t="shared" si="268"/>
        <v>Wallace River</v>
      </c>
      <c r="I3611" s="110" t="str">
        <f>IFERROR(VLOOKUP(H3611,LUTs!$A$1:$C$73,2,FALSE),"NA")</f>
        <v>Snohomish</v>
      </c>
      <c r="J3611" s="110" t="str">
        <f>IFERROR(VLOOKUP(H3611,LUTs!$A$1:$C$73,3,FALSE),"NA")</f>
        <v>2Central Puget Sound</v>
      </c>
      <c r="K3611" s="110" t="s">
        <v>15</v>
      </c>
      <c r="L3611" s="110" t="str">
        <f>VLOOKUP(K3611,LUTs!E$2:G$14,3,)</f>
        <v>02Skagit</v>
      </c>
      <c r="M3611" s="110" t="str">
        <f>VLOOKUP($K3611,LUTs!$E$2:$H$14,2,)</f>
        <v>North Puget Sound</v>
      </c>
      <c r="N3611" s="110" t="str">
        <f>VLOOKUP($K3611,LUTs!$E$2:$H$14,4,)</f>
        <v>01North Puget Sound</v>
      </c>
      <c r="O3611" s="110">
        <v>10.235294117647101</v>
      </c>
      <c r="P3611" s="110">
        <v>189.864705882354</v>
      </c>
      <c r="Q3611" s="110">
        <f>SUMIFS('FW_Steelhead_by_Month_2010-2021'!Q$2:Q$3810,'FW_Steelhead_by_Month_2010-2021'!$B$2:$B$3810,'Rec_raw_catch_effort_2010-2021'!$B3611,'FW_Steelhead_by_Month_2010-2021'!$H$2:$H$3810,'Rec_raw_catch_effort_2010-2021'!$F3611,'FW_Steelhead_by_Month_2010-2021'!$M$2:$M$3810,'Rec_raw_catch_effort_2010-2021'!$K3611)</f>
        <v>7.6482142857142899</v>
      </c>
      <c r="R3611" s="111">
        <f>VLOOKUP(B3611,Readme!$A$62:$C$74,3,)*Q3611</f>
        <v>160.05599546867512</v>
      </c>
      <c r="S3611" s="140" t="str">
        <f t="shared" si="269"/>
        <v>Y</v>
      </c>
      <c r="T3611" s="154">
        <f t="shared" si="270"/>
        <v>18.550000000000029</v>
      </c>
      <c r="U3611" s="154">
        <f t="shared" si="271"/>
        <v>20.927237324879293</v>
      </c>
    </row>
    <row r="3612" spans="1:21" x14ac:dyDescent="0.35">
      <c r="A3612" s="110">
        <v>2693</v>
      </c>
      <c r="B3612" s="110">
        <v>2011</v>
      </c>
      <c r="C3612" s="110" t="s">
        <v>38</v>
      </c>
      <c r="D3612" s="110" t="s">
        <v>143</v>
      </c>
      <c r="E3612" s="110" t="s">
        <v>86</v>
      </c>
      <c r="F3612" s="117">
        <v>860</v>
      </c>
      <c r="G3612" s="110" t="s">
        <v>76</v>
      </c>
      <c r="H3612" s="110" t="str">
        <f t="shared" si="268"/>
        <v>Wallace River</v>
      </c>
      <c r="I3612" s="110" t="str">
        <f>IFERROR(VLOOKUP(H3612,LUTs!$A$1:$C$73,2,FALSE),"NA")</f>
        <v>Snohomish</v>
      </c>
      <c r="J3612" s="110" t="str">
        <f>IFERROR(VLOOKUP(H3612,LUTs!$A$1:$C$73,3,FALSE),"NA")</f>
        <v>2Central Puget Sound</v>
      </c>
      <c r="K3612" s="110" t="s">
        <v>16</v>
      </c>
      <c r="L3612" s="110" t="str">
        <f>VLOOKUP(K3612,LUTs!E$2:G$14,3,)</f>
        <v>03Snohomish</v>
      </c>
      <c r="M3612" s="110" t="str">
        <f>VLOOKUP($K3612,LUTs!$E$2:$H$14,2,)</f>
        <v>North Puget Sound</v>
      </c>
      <c r="N3612" s="110" t="str">
        <f>VLOOKUP($K3612,LUTs!$E$2:$H$14,4,)</f>
        <v>01North Puget Sound</v>
      </c>
      <c r="O3612" s="110">
        <v>168.882352941177</v>
      </c>
      <c r="P3612" s="110">
        <v>3132.7676470588299</v>
      </c>
      <c r="Q3612" s="110">
        <f>SUMIFS('FW_Steelhead_by_Month_2010-2021'!Q$2:Q$3810,'FW_Steelhead_by_Month_2010-2021'!$B$2:$B$3810,'Rec_raw_catch_effort_2010-2021'!$B3612,'FW_Steelhead_by_Month_2010-2021'!$H$2:$H$3810,'Rec_raw_catch_effort_2010-2021'!$F3612,'FW_Steelhead_by_Month_2010-2021'!$M$2:$M$3810,'Rec_raw_catch_effort_2010-2021'!$K3612)</f>
        <v>88.069047619047637</v>
      </c>
      <c r="R3612" s="111">
        <f>VLOOKUP(B3612,Readme!$A$62:$C$74,3,)*Q3612</f>
        <v>1843.0418604999056</v>
      </c>
      <c r="S3612" s="140" t="str">
        <f t="shared" si="269"/>
        <v>Y</v>
      </c>
      <c r="T3612" s="154">
        <f t="shared" si="270"/>
        <v>18.549999999999979</v>
      </c>
      <c r="U3612" s="154">
        <f t="shared" si="271"/>
        <v>20.927237324879293</v>
      </c>
    </row>
    <row r="3613" spans="1:21" x14ac:dyDescent="0.35">
      <c r="A3613" s="110">
        <v>2570</v>
      </c>
      <c r="B3613" s="110">
        <v>2011</v>
      </c>
      <c r="C3613" s="110" t="s">
        <v>38</v>
      </c>
      <c r="D3613" s="110" t="s">
        <v>143</v>
      </c>
      <c r="E3613" s="110" t="s">
        <v>86</v>
      </c>
      <c r="F3613" s="117">
        <v>860</v>
      </c>
      <c r="G3613" s="110" t="s">
        <v>76</v>
      </c>
      <c r="H3613" s="110" t="str">
        <f t="shared" si="268"/>
        <v>Wallace River</v>
      </c>
      <c r="I3613" s="110" t="str">
        <f>IFERROR(VLOOKUP(H3613,LUTs!$A$1:$C$73,2,FALSE),"NA")</f>
        <v>Snohomish</v>
      </c>
      <c r="J3613" s="110" t="str">
        <f>IFERROR(VLOOKUP(H3613,LUTs!$A$1:$C$73,3,FALSE),"NA")</f>
        <v>2Central Puget Sound</v>
      </c>
      <c r="K3613" s="110" t="s">
        <v>13</v>
      </c>
      <c r="L3613" s="110" t="str">
        <f>VLOOKUP(K3613,LUTs!E$2:G$14,3,)</f>
        <v>01Whatcom</v>
      </c>
      <c r="M3613" s="110" t="str">
        <f>VLOOKUP($K3613,LUTs!$E$2:$H$14,2,)</f>
        <v>North Puget Sound</v>
      </c>
      <c r="N3613" s="110" t="str">
        <f>VLOOKUP($K3613,LUTs!$E$2:$H$14,4,)</f>
        <v>01North Puget Sound</v>
      </c>
      <c r="O3613" s="110">
        <v>12.794117647058799</v>
      </c>
      <c r="P3613" s="110">
        <v>237.33088235294099</v>
      </c>
      <c r="Q3613" s="110">
        <f>SUMIFS('FW_Steelhead_by_Month_2010-2021'!Q$2:Q$3810,'FW_Steelhead_by_Month_2010-2021'!$B$2:$B$3810,'Rec_raw_catch_effort_2010-2021'!$B3613,'FW_Steelhead_by_Month_2010-2021'!$H$2:$H$3810,'Rec_raw_catch_effort_2010-2021'!$F3613,'FW_Steelhead_by_Month_2010-2021'!$M$2:$M$3810,'Rec_raw_catch_effort_2010-2021'!$K3613)</f>
        <v>12.714285714285699</v>
      </c>
      <c r="R3613" s="111">
        <f>VLOOKUP(B3613,Readme!$A$62:$C$74,3,)*Q3613</f>
        <v>266.07487455917925</v>
      </c>
      <c r="S3613" s="140" t="str">
        <f t="shared" si="269"/>
        <v>Y</v>
      </c>
      <c r="T3613" s="154">
        <f t="shared" si="270"/>
        <v>18.550000000000022</v>
      </c>
      <c r="U3613" s="154">
        <f t="shared" si="271"/>
        <v>20.927237324879293</v>
      </c>
    </row>
    <row r="3614" spans="1:21" x14ac:dyDescent="0.35">
      <c r="A3614" s="110">
        <v>2060</v>
      </c>
      <c r="B3614" s="110">
        <v>2012</v>
      </c>
      <c r="C3614" s="110" t="s">
        <v>38</v>
      </c>
      <c r="D3614" s="110" t="s">
        <v>143</v>
      </c>
      <c r="E3614" s="110" t="s">
        <v>86</v>
      </c>
      <c r="F3614" s="117">
        <v>860</v>
      </c>
      <c r="G3614" s="110" t="s">
        <v>76</v>
      </c>
      <c r="H3614" s="110" t="str">
        <f t="shared" si="268"/>
        <v>Wallace River</v>
      </c>
      <c r="I3614" s="110" t="str">
        <f>IFERROR(VLOOKUP(H3614,LUTs!$A$1:$C$73,2,FALSE),"NA")</f>
        <v>Snohomish</v>
      </c>
      <c r="J3614" s="110" t="str">
        <f>IFERROR(VLOOKUP(H3614,LUTs!$A$1:$C$73,3,FALSE),"NA")</f>
        <v>2Central Puget Sound</v>
      </c>
      <c r="K3614" s="110" t="s">
        <v>18</v>
      </c>
      <c r="L3614" s="110" t="str">
        <f>VLOOKUP(K3614,LUTs!E$2:G$14,3,)</f>
        <v>06King</v>
      </c>
      <c r="M3614" s="110" t="str">
        <f>VLOOKUP($K3614,LUTs!$E$2:$H$14,2,)</f>
        <v>South Puget Sound</v>
      </c>
      <c r="N3614" s="110" t="str">
        <f>VLOOKUP($K3614,LUTs!$E$2:$H$14,4,)</f>
        <v>02South Puget Sound</v>
      </c>
      <c r="O3614" s="110">
        <v>20.461538461538499</v>
      </c>
      <c r="P3614" s="110">
        <v>174.74153846153899</v>
      </c>
      <c r="Q3614" s="110">
        <f>SUMIFS('FW_Steelhead_by_Month_2010-2021'!Q$2:Q$3810,'FW_Steelhead_by_Month_2010-2021'!$B$2:$B$3810,'Rec_raw_catch_effort_2010-2021'!$B3614,'FW_Steelhead_by_Month_2010-2021'!$H$2:$H$3810,'Rec_raw_catch_effort_2010-2021'!$F3614,'FW_Steelhead_by_Month_2010-2021'!$M$2:$M$3810,'Rec_raw_catch_effort_2010-2021'!$K3614)</f>
        <v>28.0370578853551</v>
      </c>
      <c r="R3614" s="111">
        <f>VLOOKUP(B3614,Readme!$A$62:$C$74,3,)*Q3614</f>
        <v>586.73816425820451</v>
      </c>
      <c r="S3614" s="140" t="str">
        <f t="shared" si="269"/>
        <v>Y</v>
      </c>
      <c r="T3614" s="154">
        <f t="shared" si="270"/>
        <v>8.5400000000000098</v>
      </c>
      <c r="U3614" s="154">
        <f t="shared" si="271"/>
        <v>20.92723732487929</v>
      </c>
    </row>
    <row r="3615" spans="1:21" x14ac:dyDescent="0.35">
      <c r="A3615" s="110">
        <v>2204</v>
      </c>
      <c r="B3615" s="110">
        <v>2012</v>
      </c>
      <c r="C3615" s="110" t="s">
        <v>38</v>
      </c>
      <c r="D3615" s="110" t="s">
        <v>143</v>
      </c>
      <c r="E3615" s="110" t="s">
        <v>86</v>
      </c>
      <c r="F3615" s="117">
        <v>860</v>
      </c>
      <c r="G3615" s="110" t="s">
        <v>76</v>
      </c>
      <c r="H3615" s="110" t="str">
        <f t="shared" si="268"/>
        <v>Wallace River</v>
      </c>
      <c r="I3615" s="110" t="str">
        <f>IFERROR(VLOOKUP(H3615,LUTs!$A$1:$C$73,2,FALSE),"NA")</f>
        <v>Snohomish</v>
      </c>
      <c r="J3615" s="110" t="str">
        <f>IFERROR(VLOOKUP(H3615,LUTs!$A$1:$C$73,3,FALSE),"NA")</f>
        <v>2Central Puget Sound</v>
      </c>
      <c r="K3615" s="110" t="s">
        <v>26</v>
      </c>
      <c r="L3615" s="110" t="str">
        <f>VLOOKUP(K3615,LUTs!E$2:G$14,3,)</f>
        <v>20Other</v>
      </c>
      <c r="M3615" s="110" t="str">
        <f>VLOOKUP($K3615,LUTs!$E$2:$H$14,2,)</f>
        <v>Non Puget Sound</v>
      </c>
      <c r="N3615" s="110" t="str">
        <f>VLOOKUP($K3615,LUTs!$E$2:$H$14,4,)</f>
        <v>07Non Puget Sound</v>
      </c>
      <c r="O3615" s="110">
        <v>11.692307692307701</v>
      </c>
      <c r="P3615" s="110">
        <v>99.852307692307704</v>
      </c>
      <c r="Q3615" s="110">
        <f>SUMIFS('FW_Steelhead_by_Month_2010-2021'!Q$2:Q$3810,'FW_Steelhead_by_Month_2010-2021'!$B$2:$B$3810,'Rec_raw_catch_effort_2010-2021'!$B3615,'FW_Steelhead_by_Month_2010-2021'!$H$2:$H$3810,'Rec_raw_catch_effort_2010-2021'!$F3615,'FW_Steelhead_by_Month_2010-2021'!$M$2:$M$3810,'Rec_raw_catch_effort_2010-2021'!$K3615)</f>
        <v>13.736232291959851</v>
      </c>
      <c r="R3615" s="111">
        <f>VLOOKUP(B3615,Readme!$A$62:$C$74,3,)*Q3615</f>
        <v>287.46139312351443</v>
      </c>
      <c r="S3615" s="140" t="str">
        <f t="shared" si="269"/>
        <v>Y</v>
      </c>
      <c r="T3615" s="154">
        <f t="shared" si="270"/>
        <v>8.5399999999999956</v>
      </c>
      <c r="U3615" s="154">
        <f t="shared" si="271"/>
        <v>20.927237324879293</v>
      </c>
    </row>
    <row r="3616" spans="1:21" x14ac:dyDescent="0.35">
      <c r="A3616" s="110">
        <v>2059</v>
      </c>
      <c r="B3616" s="110">
        <v>2012</v>
      </c>
      <c r="C3616" s="110" t="s">
        <v>38</v>
      </c>
      <c r="D3616" s="110" t="s">
        <v>143</v>
      </c>
      <c r="E3616" s="110" t="s">
        <v>86</v>
      </c>
      <c r="F3616" s="117">
        <v>860</v>
      </c>
      <c r="G3616" s="110" t="s">
        <v>76</v>
      </c>
      <c r="H3616" s="110" t="str">
        <f t="shared" si="268"/>
        <v>Wallace River</v>
      </c>
      <c r="I3616" s="110" t="str">
        <f>IFERROR(VLOOKUP(H3616,LUTs!$A$1:$C$73,2,FALSE),"NA")</f>
        <v>Snohomish</v>
      </c>
      <c r="J3616" s="110" t="str">
        <f>IFERROR(VLOOKUP(H3616,LUTs!$A$1:$C$73,3,FALSE),"NA")</f>
        <v>2Central Puget Sound</v>
      </c>
      <c r="K3616" s="110" t="s">
        <v>16</v>
      </c>
      <c r="L3616" s="110" t="str">
        <f>VLOOKUP(K3616,LUTs!E$2:G$14,3,)</f>
        <v>03Snohomish</v>
      </c>
      <c r="M3616" s="110" t="str">
        <f>VLOOKUP($K3616,LUTs!$E$2:$H$14,2,)</f>
        <v>North Puget Sound</v>
      </c>
      <c r="N3616" s="110" t="str">
        <f>VLOOKUP($K3616,LUTs!$E$2:$H$14,4,)</f>
        <v>01North Puget Sound</v>
      </c>
      <c r="O3616" s="110">
        <v>119.846153846154</v>
      </c>
      <c r="P3616" s="110">
        <v>1023.4861538461601</v>
      </c>
      <c r="Q3616" s="110">
        <f>SUMIFS('FW_Steelhead_by_Month_2010-2021'!Q$2:Q$3810,'FW_Steelhead_by_Month_2010-2021'!$B$2:$B$3810,'Rec_raw_catch_effort_2010-2021'!$B3616,'FW_Steelhead_by_Month_2010-2021'!$H$2:$H$3810,'Rec_raw_catch_effort_2010-2021'!$F3616,'FW_Steelhead_by_Month_2010-2021'!$M$2:$M$3810,'Rec_raw_catch_effort_2010-2021'!$K3616)</f>
        <v>181.17407824373771</v>
      </c>
      <c r="R3616" s="111">
        <f>VLOOKUP(B3616,Readme!$A$62:$C$74,3,)*Q3616</f>
        <v>3791.4729325229491</v>
      </c>
      <c r="S3616" s="140" t="str">
        <f t="shared" si="269"/>
        <v>Y</v>
      </c>
      <c r="T3616" s="154">
        <f t="shared" si="270"/>
        <v>8.5400000000000418</v>
      </c>
      <c r="U3616" s="154">
        <f t="shared" si="271"/>
        <v>20.927237324879293</v>
      </c>
    </row>
    <row r="3617" spans="1:21" x14ac:dyDescent="0.35">
      <c r="A3617" s="110">
        <v>2329</v>
      </c>
      <c r="B3617" s="110">
        <v>2013</v>
      </c>
      <c r="C3617" s="110" t="s">
        <v>38</v>
      </c>
      <c r="D3617" s="110" t="s">
        <v>143</v>
      </c>
      <c r="E3617" s="110" t="s">
        <v>86</v>
      </c>
      <c r="F3617" s="117">
        <v>860</v>
      </c>
      <c r="G3617" s="110" t="s">
        <v>76</v>
      </c>
      <c r="H3617" s="110" t="str">
        <f t="shared" si="268"/>
        <v>Wallace River</v>
      </c>
      <c r="I3617" s="110" t="str">
        <f>IFERROR(VLOOKUP(H3617,LUTs!$A$1:$C$73,2,FALSE),"NA")</f>
        <v>Snohomish</v>
      </c>
      <c r="J3617" s="110" t="str">
        <f>IFERROR(VLOOKUP(H3617,LUTs!$A$1:$C$73,3,FALSE),"NA")</f>
        <v>2Central Puget Sound</v>
      </c>
      <c r="K3617" s="110" t="s">
        <v>17</v>
      </c>
      <c r="L3617" s="110" t="str">
        <f>VLOOKUP(K3617,LUTs!E$2:G$14,3,)</f>
        <v>04Island</v>
      </c>
      <c r="M3617" s="110" t="str">
        <f>VLOOKUP($K3617,LUTs!$E$2:$H$14,2,)</f>
        <v>North Puget Sound</v>
      </c>
      <c r="N3617" s="110" t="str">
        <f>VLOOKUP($K3617,LUTs!$E$2:$H$14,4,)</f>
        <v>01North Puget Sound</v>
      </c>
      <c r="O3617" s="110">
        <v>3.16326530612245</v>
      </c>
      <c r="P3617" s="110">
        <v>58.678571428571502</v>
      </c>
      <c r="Q3617" s="110">
        <f>SUMIFS('FW_Steelhead_by_Month_2010-2021'!Q$2:Q$3810,'FW_Steelhead_by_Month_2010-2021'!$B$2:$B$3810,'Rec_raw_catch_effort_2010-2021'!$B3617,'FW_Steelhead_by_Month_2010-2021'!$H$2:$H$3810,'Rec_raw_catch_effort_2010-2021'!$F3617,'FW_Steelhead_by_Month_2010-2021'!$M$2:$M$3810,'Rec_raw_catch_effort_2010-2021'!$K3617)</f>
        <v>3.0526315789473699</v>
      </c>
      <c r="R3617" s="111">
        <f>VLOOKUP(B3617,Readme!$A$62:$C$74,3,)*Q3617</f>
        <v>63.883145518052608</v>
      </c>
      <c r="S3617" s="140" t="str">
        <f t="shared" si="269"/>
        <v>Y</v>
      </c>
      <c r="T3617" s="154">
        <f t="shared" si="270"/>
        <v>18.550000000000018</v>
      </c>
      <c r="U3617" s="154">
        <f t="shared" si="271"/>
        <v>20.927237324879293</v>
      </c>
    </row>
    <row r="3618" spans="1:21" x14ac:dyDescent="0.35">
      <c r="A3618" s="110">
        <v>2330</v>
      </c>
      <c r="B3618" s="110">
        <v>2013</v>
      </c>
      <c r="C3618" s="110" t="s">
        <v>38</v>
      </c>
      <c r="D3618" s="110" t="s">
        <v>143</v>
      </c>
      <c r="E3618" s="110" t="s">
        <v>86</v>
      </c>
      <c r="F3618" s="117">
        <v>860</v>
      </c>
      <c r="G3618" s="110" t="s">
        <v>76</v>
      </c>
      <c r="H3618" s="110" t="str">
        <f t="shared" si="268"/>
        <v>Wallace River</v>
      </c>
      <c r="I3618" s="110" t="str">
        <f>IFERROR(VLOOKUP(H3618,LUTs!$A$1:$C$73,2,FALSE),"NA")</f>
        <v>Snohomish</v>
      </c>
      <c r="J3618" s="110" t="str">
        <f>IFERROR(VLOOKUP(H3618,LUTs!$A$1:$C$73,3,FALSE),"NA")</f>
        <v>2Central Puget Sound</v>
      </c>
      <c r="K3618" s="110" t="s">
        <v>18</v>
      </c>
      <c r="L3618" s="110" t="str">
        <f>VLOOKUP(K3618,LUTs!E$2:G$14,3,)</f>
        <v>06King</v>
      </c>
      <c r="M3618" s="110" t="str">
        <f>VLOOKUP($K3618,LUTs!$E$2:$H$14,2,)</f>
        <v>South Puget Sound</v>
      </c>
      <c r="N3618" s="110" t="str">
        <f>VLOOKUP($K3618,LUTs!$E$2:$H$14,4,)</f>
        <v>02South Puget Sound</v>
      </c>
      <c r="O3618" s="110">
        <v>31.632653061224499</v>
      </c>
      <c r="P3618" s="110">
        <v>586.78571428571399</v>
      </c>
      <c r="Q3618" s="110">
        <f>SUMIFS('FW_Steelhead_by_Month_2010-2021'!Q$2:Q$3810,'FW_Steelhead_by_Month_2010-2021'!$B$2:$B$3810,'Rec_raw_catch_effort_2010-2021'!$B3618,'FW_Steelhead_by_Month_2010-2021'!$H$2:$H$3810,'Rec_raw_catch_effort_2010-2021'!$F3618,'FW_Steelhead_by_Month_2010-2021'!$M$2:$M$3810,'Rec_raw_catch_effort_2010-2021'!$K3618)</f>
        <v>20.90789473684211</v>
      </c>
      <c r="R3618" s="111">
        <f>VLOOKUP(B3618,Readme!$A$62:$C$74,3,)*Q3618</f>
        <v>437.54447512148954</v>
      </c>
      <c r="S3618" s="140" t="str">
        <f t="shared" si="269"/>
        <v>Y</v>
      </c>
      <c r="T3618" s="154">
        <f t="shared" si="270"/>
        <v>18.549999999999986</v>
      </c>
      <c r="U3618" s="154">
        <f t="shared" si="271"/>
        <v>20.927237324879293</v>
      </c>
    </row>
    <row r="3619" spans="1:21" x14ac:dyDescent="0.35">
      <c r="A3619" s="110">
        <v>2331</v>
      </c>
      <c r="B3619" s="110">
        <v>2013</v>
      </c>
      <c r="C3619" s="110" t="s">
        <v>38</v>
      </c>
      <c r="D3619" s="110" t="s">
        <v>143</v>
      </c>
      <c r="E3619" s="110" t="s">
        <v>86</v>
      </c>
      <c r="F3619" s="117">
        <v>860</v>
      </c>
      <c r="G3619" s="110" t="s">
        <v>76</v>
      </c>
      <c r="H3619" s="110" t="str">
        <f t="shared" si="268"/>
        <v>Wallace River</v>
      </c>
      <c r="I3619" s="110" t="str">
        <f>IFERROR(VLOOKUP(H3619,LUTs!$A$1:$C$73,2,FALSE),"NA")</f>
        <v>Snohomish</v>
      </c>
      <c r="J3619" s="110" t="str">
        <f>IFERROR(VLOOKUP(H3619,LUTs!$A$1:$C$73,3,FALSE),"NA")</f>
        <v>2Central Puget Sound</v>
      </c>
      <c r="K3619" s="110" t="s">
        <v>26</v>
      </c>
      <c r="L3619" s="110" t="str">
        <f>VLOOKUP(K3619,LUTs!E$2:G$14,3,)</f>
        <v>20Other</v>
      </c>
      <c r="M3619" s="110" t="str">
        <f>VLOOKUP($K3619,LUTs!$E$2:$H$14,2,)</f>
        <v>Non Puget Sound</v>
      </c>
      <c r="N3619" s="110" t="str">
        <f>VLOOKUP($K3619,LUTs!$E$2:$H$14,4,)</f>
        <v>07Non Puget Sound</v>
      </c>
      <c r="O3619" s="110">
        <v>6.3265306122449001</v>
      </c>
      <c r="P3619" s="110">
        <v>117.357142857143</v>
      </c>
      <c r="Q3619" s="110">
        <f>SUMIFS('FW_Steelhead_by_Month_2010-2021'!Q$2:Q$3810,'FW_Steelhead_by_Month_2010-2021'!$B$2:$B$3810,'Rec_raw_catch_effort_2010-2021'!$B3619,'FW_Steelhead_by_Month_2010-2021'!$H$2:$H$3810,'Rec_raw_catch_effort_2010-2021'!$F3619,'FW_Steelhead_by_Month_2010-2021'!$M$2:$M$3810,'Rec_raw_catch_effort_2010-2021'!$K3619)</f>
        <v>9.0143540669856499</v>
      </c>
      <c r="R3619" s="111">
        <f>VLOOKUP(B3619,Readme!$A$62:$C$74,3,)*Q3619</f>
        <v>188.64552689029955</v>
      </c>
      <c r="S3619" s="140" t="str">
        <f t="shared" si="269"/>
        <v>Y</v>
      </c>
      <c r="T3619" s="154">
        <f t="shared" si="270"/>
        <v>18.550000000000018</v>
      </c>
      <c r="U3619" s="154">
        <f t="shared" si="271"/>
        <v>20.927237324879293</v>
      </c>
    </row>
    <row r="3620" spans="1:21" x14ac:dyDescent="0.35">
      <c r="A3620" s="110">
        <v>2224</v>
      </c>
      <c r="B3620" s="110">
        <v>2013</v>
      </c>
      <c r="C3620" s="110" t="s">
        <v>38</v>
      </c>
      <c r="D3620" s="110" t="s">
        <v>143</v>
      </c>
      <c r="E3620" s="110" t="s">
        <v>86</v>
      </c>
      <c r="F3620" s="117">
        <v>860</v>
      </c>
      <c r="G3620" s="110" t="s">
        <v>76</v>
      </c>
      <c r="H3620" s="110" t="str">
        <f t="shared" si="268"/>
        <v>Wallace River</v>
      </c>
      <c r="I3620" s="110" t="str">
        <f>IFERROR(VLOOKUP(H3620,LUTs!$A$1:$C$73,2,FALSE),"NA")</f>
        <v>Snohomish</v>
      </c>
      <c r="J3620" s="110" t="str">
        <f>IFERROR(VLOOKUP(H3620,LUTs!$A$1:$C$73,3,FALSE),"NA")</f>
        <v>2Central Puget Sound</v>
      </c>
      <c r="K3620" s="110" t="s">
        <v>15</v>
      </c>
      <c r="L3620" s="110" t="str">
        <f>VLOOKUP(K3620,LUTs!E$2:G$14,3,)</f>
        <v>02Skagit</v>
      </c>
      <c r="M3620" s="110" t="str">
        <f>VLOOKUP($K3620,LUTs!$E$2:$H$14,2,)</f>
        <v>North Puget Sound</v>
      </c>
      <c r="N3620" s="110" t="str">
        <f>VLOOKUP($K3620,LUTs!$E$2:$H$14,4,)</f>
        <v>01North Puget Sound</v>
      </c>
      <c r="O3620" s="110">
        <v>3.16326530612245</v>
      </c>
      <c r="P3620" s="110">
        <v>58.678571428571502</v>
      </c>
      <c r="Q3620" s="110">
        <f>SUMIFS('FW_Steelhead_by_Month_2010-2021'!Q$2:Q$3810,'FW_Steelhead_by_Month_2010-2021'!$B$2:$B$3810,'Rec_raw_catch_effort_2010-2021'!$B3620,'FW_Steelhead_by_Month_2010-2021'!$H$2:$H$3810,'Rec_raw_catch_effort_2010-2021'!$F3620,'FW_Steelhead_by_Month_2010-2021'!$M$2:$M$3810,'Rec_raw_catch_effort_2010-2021'!$K3620)</f>
        <v>0</v>
      </c>
      <c r="R3620" s="111">
        <f>VLOOKUP(B3620,Readme!$A$62:$C$74,3,)*Q3620</f>
        <v>0</v>
      </c>
      <c r="S3620" s="140" t="str">
        <f t="shared" si="269"/>
        <v>Y</v>
      </c>
      <c r="T3620" s="154">
        <f t="shared" si="270"/>
        <v>18.550000000000018</v>
      </c>
      <c r="U3620" s="154" t="str">
        <f t="shared" si="271"/>
        <v>NA</v>
      </c>
    </row>
    <row r="3621" spans="1:21" x14ac:dyDescent="0.35">
      <c r="A3621" s="110">
        <v>2225</v>
      </c>
      <c r="B3621" s="110">
        <v>2013</v>
      </c>
      <c r="C3621" s="110" t="s">
        <v>38</v>
      </c>
      <c r="D3621" s="110" t="s">
        <v>143</v>
      </c>
      <c r="E3621" s="110" t="s">
        <v>86</v>
      </c>
      <c r="F3621" s="117">
        <v>860</v>
      </c>
      <c r="G3621" s="110" t="s">
        <v>76</v>
      </c>
      <c r="H3621" s="110" t="str">
        <f t="shared" si="268"/>
        <v>Wallace River</v>
      </c>
      <c r="I3621" s="110" t="str">
        <f>IFERROR(VLOOKUP(H3621,LUTs!$A$1:$C$73,2,FALSE),"NA")</f>
        <v>Snohomish</v>
      </c>
      <c r="J3621" s="110" t="str">
        <f>IFERROR(VLOOKUP(H3621,LUTs!$A$1:$C$73,3,FALSE),"NA")</f>
        <v>2Central Puget Sound</v>
      </c>
      <c r="K3621" s="110" t="s">
        <v>16</v>
      </c>
      <c r="L3621" s="110" t="str">
        <f>VLOOKUP(K3621,LUTs!E$2:G$14,3,)</f>
        <v>03Snohomish</v>
      </c>
      <c r="M3621" s="110" t="str">
        <f>VLOOKUP($K3621,LUTs!$E$2:$H$14,2,)</f>
        <v>North Puget Sound</v>
      </c>
      <c r="N3621" s="110" t="str">
        <f>VLOOKUP($K3621,LUTs!$E$2:$H$14,4,)</f>
        <v>01North Puget Sound</v>
      </c>
      <c r="O3621" s="110">
        <v>110.71428571428601</v>
      </c>
      <c r="P3621" s="110">
        <v>2053.75000000001</v>
      </c>
      <c r="Q3621" s="110">
        <f>SUMIFS('FW_Steelhead_by_Month_2010-2021'!Q$2:Q$3810,'FW_Steelhead_by_Month_2010-2021'!$B$2:$B$3810,'Rec_raw_catch_effort_2010-2021'!$B3621,'FW_Steelhead_by_Month_2010-2021'!$H$2:$H$3810,'Rec_raw_catch_effort_2010-2021'!$F3621,'FW_Steelhead_by_Month_2010-2021'!$M$2:$M$3810,'Rec_raw_catch_effort_2010-2021'!$K3621)</f>
        <v>90.025119617224902</v>
      </c>
      <c r="R3621" s="111">
        <f>VLOOKUP(B3621,Readme!$A$62:$C$74,3,)*Q3621</f>
        <v>1883.9770434303121</v>
      </c>
      <c r="S3621" s="140" t="str">
        <f t="shared" si="269"/>
        <v>Y</v>
      </c>
      <c r="T3621" s="154">
        <f t="shared" si="270"/>
        <v>18.55000000000004</v>
      </c>
      <c r="U3621" s="154">
        <f t="shared" si="271"/>
        <v>20.927237324879293</v>
      </c>
    </row>
    <row r="3622" spans="1:21" x14ac:dyDescent="0.35">
      <c r="A3622" s="110">
        <v>1455</v>
      </c>
      <c r="B3622" s="110">
        <v>2014</v>
      </c>
      <c r="C3622" s="110" t="s">
        <v>38</v>
      </c>
      <c r="D3622" s="110" t="s">
        <v>143</v>
      </c>
      <c r="E3622" s="110" t="s">
        <v>86</v>
      </c>
      <c r="F3622" s="117">
        <v>860</v>
      </c>
      <c r="G3622" s="110" t="s">
        <v>76</v>
      </c>
      <c r="H3622" s="110" t="str">
        <f t="shared" si="268"/>
        <v>Wallace River</v>
      </c>
      <c r="I3622" s="110" t="str">
        <f>IFERROR(VLOOKUP(H3622,LUTs!$A$1:$C$73,2,FALSE),"NA")</f>
        <v>Snohomish</v>
      </c>
      <c r="J3622" s="110" t="str">
        <f>IFERROR(VLOOKUP(H3622,LUTs!$A$1:$C$73,3,FALSE),"NA")</f>
        <v>2Central Puget Sound</v>
      </c>
      <c r="K3622" s="110" t="s">
        <v>18</v>
      </c>
      <c r="L3622" s="110" t="str">
        <f>VLOOKUP(K3622,LUTs!E$2:G$14,3,)</f>
        <v>06King</v>
      </c>
      <c r="M3622" s="110" t="str">
        <f>VLOOKUP($K3622,LUTs!$E$2:$H$14,2,)</f>
        <v>South Puget Sound</v>
      </c>
      <c r="N3622" s="110" t="str">
        <f>VLOOKUP($K3622,LUTs!$E$2:$H$14,4,)</f>
        <v>02South Puget Sound</v>
      </c>
      <c r="O3622" s="110">
        <v>123.04761904761899</v>
      </c>
      <c r="P3622" s="110">
        <v>1050.82666666667</v>
      </c>
      <c r="Q3622" s="110">
        <f>SUMIFS('FW_Steelhead_by_Month_2010-2021'!Q$2:Q$3810,'FW_Steelhead_by_Month_2010-2021'!$B$2:$B$3810,'Rec_raw_catch_effort_2010-2021'!$B3622,'FW_Steelhead_by_Month_2010-2021'!$H$2:$H$3810,'Rec_raw_catch_effort_2010-2021'!$F3622,'FW_Steelhead_by_Month_2010-2021'!$M$2:$M$3810,'Rec_raw_catch_effort_2010-2021'!$K3622)</f>
        <v>79.940476190476204</v>
      </c>
      <c r="R3622" s="111">
        <f>VLOOKUP(B3622,Readme!$A$62:$C$74,3,)*Q3622</f>
        <v>1672.933317101958</v>
      </c>
      <c r="S3622" s="140" t="str">
        <f t="shared" si="269"/>
        <v>Y</v>
      </c>
      <c r="T3622" s="154">
        <f t="shared" si="270"/>
        <v>8.5400000000000311</v>
      </c>
      <c r="U3622" s="154">
        <f t="shared" si="271"/>
        <v>20.927237324879293</v>
      </c>
    </row>
    <row r="3623" spans="1:21" x14ac:dyDescent="0.35">
      <c r="A3623" s="110">
        <v>1454</v>
      </c>
      <c r="B3623" s="110">
        <v>2014</v>
      </c>
      <c r="C3623" s="110" t="s">
        <v>38</v>
      </c>
      <c r="D3623" s="110" t="s">
        <v>143</v>
      </c>
      <c r="E3623" s="110" t="s">
        <v>86</v>
      </c>
      <c r="F3623" s="117">
        <v>860</v>
      </c>
      <c r="G3623" s="110" t="s">
        <v>76</v>
      </c>
      <c r="H3623" s="110" t="str">
        <f t="shared" si="268"/>
        <v>Wallace River</v>
      </c>
      <c r="I3623" s="110" t="str">
        <f>IFERROR(VLOOKUP(H3623,LUTs!$A$1:$C$73,2,FALSE),"NA")</f>
        <v>Snohomish</v>
      </c>
      <c r="J3623" s="110" t="str">
        <f>IFERROR(VLOOKUP(H3623,LUTs!$A$1:$C$73,3,FALSE),"NA")</f>
        <v>2Central Puget Sound</v>
      </c>
      <c r="K3623" s="110" t="s">
        <v>16</v>
      </c>
      <c r="L3623" s="110" t="str">
        <f>VLOOKUP(K3623,LUTs!E$2:G$14,3,)</f>
        <v>03Snohomish</v>
      </c>
      <c r="M3623" s="110" t="str">
        <f>VLOOKUP($K3623,LUTs!$E$2:$H$14,2,)</f>
        <v>North Puget Sound</v>
      </c>
      <c r="N3623" s="110" t="str">
        <f>VLOOKUP($K3623,LUTs!$E$2:$H$14,4,)</f>
        <v>01North Puget Sound</v>
      </c>
      <c r="O3623" s="110">
        <v>145.71428571428601</v>
      </c>
      <c r="P3623" s="110">
        <v>1244.4000000000001</v>
      </c>
      <c r="Q3623" s="110">
        <f>SUMIFS('FW_Steelhead_by_Month_2010-2021'!Q$2:Q$3810,'FW_Steelhead_by_Month_2010-2021'!$B$2:$B$3810,'Rec_raw_catch_effort_2010-2021'!$B3623,'FW_Steelhead_by_Month_2010-2021'!$H$2:$H$3810,'Rec_raw_catch_effort_2010-2021'!$F3623,'FW_Steelhead_by_Month_2010-2021'!$M$2:$M$3810,'Rec_raw_catch_effort_2010-2021'!$K3623)</f>
        <v>171.01190476190482</v>
      </c>
      <c r="R3623" s="111">
        <f>VLOOKUP(B3623,Readme!$A$62:$C$74,3,)*Q3623</f>
        <v>3578.8067163320375</v>
      </c>
      <c r="S3623" s="140" t="str">
        <f t="shared" si="269"/>
        <v>Y</v>
      </c>
      <c r="T3623" s="154">
        <f t="shared" si="270"/>
        <v>8.5399999999999832</v>
      </c>
      <c r="U3623" s="154">
        <f t="shared" si="271"/>
        <v>20.927237324879293</v>
      </c>
    </row>
    <row r="3624" spans="1:21" x14ac:dyDescent="0.35">
      <c r="A3624" s="110">
        <v>1453</v>
      </c>
      <c r="B3624" s="110">
        <v>2014</v>
      </c>
      <c r="C3624" s="110" t="s">
        <v>38</v>
      </c>
      <c r="D3624" s="110" t="s">
        <v>143</v>
      </c>
      <c r="E3624" s="110" t="s">
        <v>86</v>
      </c>
      <c r="F3624" s="117">
        <v>860</v>
      </c>
      <c r="G3624" s="110" t="s">
        <v>76</v>
      </c>
      <c r="H3624" s="110" t="str">
        <f t="shared" si="268"/>
        <v>Wallace River</v>
      </c>
      <c r="I3624" s="110" t="str">
        <f>IFERROR(VLOOKUP(H3624,LUTs!$A$1:$C$73,2,FALSE),"NA")</f>
        <v>Snohomish</v>
      </c>
      <c r="J3624" s="110" t="str">
        <f>IFERROR(VLOOKUP(H3624,LUTs!$A$1:$C$73,3,FALSE),"NA")</f>
        <v>2Central Puget Sound</v>
      </c>
      <c r="K3624" s="110" t="s">
        <v>13</v>
      </c>
      <c r="L3624" s="110" t="str">
        <f>VLOOKUP(K3624,LUTs!E$2:G$14,3,)</f>
        <v>01Whatcom</v>
      </c>
      <c r="M3624" s="110" t="str">
        <f>VLOOKUP($K3624,LUTs!$E$2:$H$14,2,)</f>
        <v>North Puget Sound</v>
      </c>
      <c r="N3624" s="110" t="str">
        <f>VLOOKUP($K3624,LUTs!$E$2:$H$14,4,)</f>
        <v>01North Puget Sound</v>
      </c>
      <c r="O3624" s="110">
        <v>3.2380952380952399</v>
      </c>
      <c r="P3624" s="110">
        <v>27.6533333333333</v>
      </c>
      <c r="Q3624" s="110">
        <f>SUMIFS('FW_Steelhead_by_Month_2010-2021'!Q$2:Q$3810,'FW_Steelhead_by_Month_2010-2021'!$B$2:$B$3810,'Rec_raw_catch_effort_2010-2021'!$B3624,'FW_Steelhead_by_Month_2010-2021'!$H$2:$H$3810,'Rec_raw_catch_effort_2010-2021'!$F3624,'FW_Steelhead_by_Month_2010-2021'!$M$2:$M$3810,'Rec_raw_catch_effort_2010-2021'!$K3624)</f>
        <v>0</v>
      </c>
      <c r="R3624" s="111">
        <f>VLOOKUP(B3624,Readme!$A$62:$C$74,3,)*Q3624</f>
        <v>0</v>
      </c>
      <c r="S3624" s="140" t="str">
        <f t="shared" si="269"/>
        <v>Y</v>
      </c>
      <c r="T3624" s="154">
        <f t="shared" si="270"/>
        <v>8.5399999999999849</v>
      </c>
      <c r="U3624" s="154" t="str">
        <f t="shared" si="271"/>
        <v>NA</v>
      </c>
    </row>
    <row r="3625" spans="1:21" x14ac:dyDescent="0.35">
      <c r="A3625" s="110">
        <v>1633</v>
      </c>
      <c r="B3625" s="110">
        <v>2015</v>
      </c>
      <c r="C3625" s="110" t="s">
        <v>38</v>
      </c>
      <c r="D3625" s="110" t="s">
        <v>143</v>
      </c>
      <c r="E3625" s="110" t="s">
        <v>86</v>
      </c>
      <c r="F3625" s="117">
        <v>860</v>
      </c>
      <c r="G3625" s="110" t="s">
        <v>76</v>
      </c>
      <c r="H3625" s="110" t="str">
        <f t="shared" si="268"/>
        <v>Wallace River</v>
      </c>
      <c r="I3625" s="110" t="str">
        <f>IFERROR(VLOOKUP(H3625,LUTs!$A$1:$C$73,2,FALSE),"NA")</f>
        <v>Snohomish</v>
      </c>
      <c r="J3625" s="110" t="str">
        <f>IFERROR(VLOOKUP(H3625,LUTs!$A$1:$C$73,3,FALSE),"NA")</f>
        <v>2Central Puget Sound</v>
      </c>
      <c r="K3625" s="110" t="s">
        <v>18</v>
      </c>
      <c r="L3625" s="110" t="str">
        <f>VLOOKUP(K3625,LUTs!E$2:G$14,3,)</f>
        <v>06King</v>
      </c>
      <c r="M3625" s="110" t="str">
        <f>VLOOKUP($K3625,LUTs!$E$2:$H$14,2,)</f>
        <v>South Puget Sound</v>
      </c>
      <c r="N3625" s="110" t="str">
        <f>VLOOKUP($K3625,LUTs!$E$2:$H$14,4,)</f>
        <v>02South Puget Sound</v>
      </c>
      <c r="O3625" s="110">
        <v>57.195121951219498</v>
      </c>
      <c r="P3625" s="110">
        <v>1060.9695121951199</v>
      </c>
      <c r="Q3625" s="110">
        <f>SUMIFS('FW_Steelhead_by_Month_2010-2021'!Q$2:Q$3810,'FW_Steelhead_by_Month_2010-2021'!$B$2:$B$3810,'Rec_raw_catch_effort_2010-2021'!$B3625,'FW_Steelhead_by_Month_2010-2021'!$H$2:$H$3810,'Rec_raw_catch_effort_2010-2021'!$F3625,'FW_Steelhead_by_Month_2010-2021'!$M$2:$M$3810,'Rec_raw_catch_effort_2010-2021'!$K3625)</f>
        <v>133.01884416924662</v>
      </c>
      <c r="R3625" s="111">
        <f>VLOOKUP(B3625,Readme!$A$62:$C$74,3,)*Q3625</f>
        <v>2783.7169206109602</v>
      </c>
      <c r="S3625" s="140" t="str">
        <f t="shared" si="269"/>
        <v>Y</v>
      </c>
      <c r="T3625" s="154">
        <f t="shared" si="270"/>
        <v>18.549999999999969</v>
      </c>
      <c r="U3625" s="154">
        <f t="shared" si="271"/>
        <v>20.927237324879293</v>
      </c>
    </row>
    <row r="3626" spans="1:21" x14ac:dyDescent="0.35">
      <c r="A3626" s="110">
        <v>1634</v>
      </c>
      <c r="B3626" s="110">
        <v>2015</v>
      </c>
      <c r="C3626" s="110" t="s">
        <v>38</v>
      </c>
      <c r="D3626" s="110" t="s">
        <v>143</v>
      </c>
      <c r="E3626" s="110" t="s">
        <v>86</v>
      </c>
      <c r="F3626" s="117">
        <v>860</v>
      </c>
      <c r="G3626" s="110" t="s">
        <v>76</v>
      </c>
      <c r="H3626" s="110" t="str">
        <f t="shared" si="268"/>
        <v>Wallace River</v>
      </c>
      <c r="I3626" s="110" t="str">
        <f>IFERROR(VLOOKUP(H3626,LUTs!$A$1:$C$73,2,FALSE),"NA")</f>
        <v>Snohomish</v>
      </c>
      <c r="J3626" s="110" t="str">
        <f>IFERROR(VLOOKUP(H3626,LUTs!$A$1:$C$73,3,FALSE),"NA")</f>
        <v>2Central Puget Sound</v>
      </c>
      <c r="K3626" s="110" t="s">
        <v>26</v>
      </c>
      <c r="L3626" s="110" t="str">
        <f>VLOOKUP(K3626,LUTs!E$2:G$14,3,)</f>
        <v>20Other</v>
      </c>
      <c r="M3626" s="110" t="str">
        <f>VLOOKUP($K3626,LUTs!$E$2:$H$14,2,)</f>
        <v>Non Puget Sound</v>
      </c>
      <c r="N3626" s="110" t="str">
        <f>VLOOKUP($K3626,LUTs!$E$2:$H$14,4,)</f>
        <v>07Non Puget Sound</v>
      </c>
      <c r="O3626" s="110">
        <v>11.439024390243899</v>
      </c>
      <c r="P3626" s="110">
        <v>212.19390243902399</v>
      </c>
      <c r="Q3626" s="110">
        <f>SUMIFS('FW_Steelhead_by_Month_2010-2021'!Q$2:Q$3810,'FW_Steelhead_by_Month_2010-2021'!$B$2:$B$3810,'Rec_raw_catch_effort_2010-2021'!$B3626,'FW_Steelhead_by_Month_2010-2021'!$H$2:$H$3810,'Rec_raw_catch_effort_2010-2021'!$F3626,'FW_Steelhead_by_Month_2010-2021'!$M$2:$M$3810,'Rec_raw_catch_effort_2010-2021'!$K3626)</f>
        <v>3.9019607843137298</v>
      </c>
      <c r="R3626" s="111">
        <f>VLOOKUP(B3626,Readme!$A$62:$C$74,3,)*Q3626</f>
        <v>81.657259365705571</v>
      </c>
      <c r="S3626" s="140" t="str">
        <f t="shared" si="269"/>
        <v>Y</v>
      </c>
      <c r="T3626" s="154">
        <f t="shared" si="270"/>
        <v>18.549999999999969</v>
      </c>
      <c r="U3626" s="154">
        <f t="shared" si="271"/>
        <v>20.927237324879293</v>
      </c>
    </row>
    <row r="3627" spans="1:21" x14ac:dyDescent="0.35">
      <c r="A3627" s="110">
        <v>1632</v>
      </c>
      <c r="B3627" s="110">
        <v>2015</v>
      </c>
      <c r="C3627" s="110" t="s">
        <v>38</v>
      </c>
      <c r="D3627" s="110" t="s">
        <v>143</v>
      </c>
      <c r="E3627" s="110" t="s">
        <v>86</v>
      </c>
      <c r="F3627" s="117">
        <v>860</v>
      </c>
      <c r="G3627" s="110" t="s">
        <v>76</v>
      </c>
      <c r="H3627" s="110" t="str">
        <f t="shared" si="268"/>
        <v>Wallace River</v>
      </c>
      <c r="I3627" s="110" t="str">
        <f>IFERROR(VLOOKUP(H3627,LUTs!$A$1:$C$73,2,FALSE),"NA")</f>
        <v>Snohomish</v>
      </c>
      <c r="J3627" s="110" t="str">
        <f>IFERROR(VLOOKUP(H3627,LUTs!$A$1:$C$73,3,FALSE),"NA")</f>
        <v>2Central Puget Sound</v>
      </c>
      <c r="K3627" s="110" t="s">
        <v>16</v>
      </c>
      <c r="L3627" s="110" t="str">
        <f>VLOOKUP(K3627,LUTs!E$2:G$14,3,)</f>
        <v>03Snohomish</v>
      </c>
      <c r="M3627" s="110" t="str">
        <f>VLOOKUP($K3627,LUTs!$E$2:$H$14,2,)</f>
        <v>North Puget Sound</v>
      </c>
      <c r="N3627" s="110" t="str">
        <f>VLOOKUP($K3627,LUTs!$E$2:$H$14,4,)</f>
        <v>01North Puget Sound</v>
      </c>
      <c r="O3627" s="110">
        <v>400.36585365853699</v>
      </c>
      <c r="P3627" s="110">
        <v>7426.7865853658604</v>
      </c>
      <c r="Q3627" s="110">
        <f>SUMIFS('FW_Steelhead_by_Month_2010-2021'!Q$2:Q$3810,'FW_Steelhead_by_Month_2010-2021'!$B$2:$B$3810,'Rec_raw_catch_effort_2010-2021'!$B3627,'FW_Steelhead_by_Month_2010-2021'!$H$2:$H$3810,'Rec_raw_catch_effort_2010-2021'!$F3627,'FW_Steelhead_by_Month_2010-2021'!$M$2:$M$3810,'Rec_raw_catch_effort_2010-2021'!$K3627)</f>
        <v>261.03527347781221</v>
      </c>
      <c r="R3627" s="111">
        <f>VLOOKUP(B3627,Readme!$A$62:$C$74,3,)*Q3627</f>
        <v>5462.7471182349454</v>
      </c>
      <c r="S3627" s="140" t="str">
        <f t="shared" si="269"/>
        <v>Y</v>
      </c>
      <c r="T3627" s="154">
        <f t="shared" si="270"/>
        <v>18.549999999999997</v>
      </c>
      <c r="U3627" s="154">
        <f t="shared" si="271"/>
        <v>20.927237324879293</v>
      </c>
    </row>
    <row r="3628" spans="1:21" x14ac:dyDescent="0.35">
      <c r="A3628" s="110">
        <v>1802</v>
      </c>
      <c r="B3628" s="110">
        <v>2016</v>
      </c>
      <c r="C3628" s="110" t="s">
        <v>38</v>
      </c>
      <c r="D3628" s="110" t="s">
        <v>143</v>
      </c>
      <c r="E3628" s="110" t="s">
        <v>86</v>
      </c>
      <c r="F3628" s="117">
        <v>860</v>
      </c>
      <c r="G3628" s="110" t="s">
        <v>76</v>
      </c>
      <c r="H3628" s="110" t="str">
        <f t="shared" si="268"/>
        <v>Wallace River</v>
      </c>
      <c r="I3628" s="110" t="str">
        <f>IFERROR(VLOOKUP(H3628,LUTs!$A$1:$C$73,2,FALSE),"NA")</f>
        <v>Snohomish</v>
      </c>
      <c r="J3628" s="110" t="str">
        <f>IFERROR(VLOOKUP(H3628,LUTs!$A$1:$C$73,3,FALSE),"NA")</f>
        <v>2Central Puget Sound</v>
      </c>
      <c r="K3628" s="110" t="s">
        <v>17</v>
      </c>
      <c r="L3628" s="110" t="str">
        <f>VLOOKUP(K3628,LUTs!E$2:G$14,3,)</f>
        <v>04Island</v>
      </c>
      <c r="M3628" s="110" t="str">
        <f>VLOOKUP($K3628,LUTs!$E$2:$H$14,2,)</f>
        <v>North Puget Sound</v>
      </c>
      <c r="N3628" s="110" t="str">
        <f>VLOOKUP($K3628,LUTs!$E$2:$H$14,4,)</f>
        <v>01North Puget Sound</v>
      </c>
      <c r="O3628" s="110">
        <v>3.14851485148515</v>
      </c>
      <c r="P3628" s="110">
        <v>26.888316831683198</v>
      </c>
      <c r="Q3628" s="110">
        <f>SUMIFS('FW_Steelhead_by_Month_2010-2021'!Q$2:Q$3810,'FW_Steelhead_by_Month_2010-2021'!$B$2:$B$3810,'Rec_raw_catch_effort_2010-2021'!$B3628,'FW_Steelhead_by_Month_2010-2021'!$H$2:$H$3810,'Rec_raw_catch_effort_2010-2021'!$F3628,'FW_Steelhead_by_Month_2010-2021'!$M$2:$M$3810,'Rec_raw_catch_effort_2010-2021'!$K3628)</f>
        <v>0</v>
      </c>
      <c r="R3628" s="111">
        <f>VLOOKUP(B3628,Readme!$A$62:$C$74,3,)*Q3628</f>
        <v>0</v>
      </c>
      <c r="S3628" s="140" t="str">
        <f t="shared" si="269"/>
        <v>Y</v>
      </c>
      <c r="T3628" s="154">
        <f t="shared" si="270"/>
        <v>8.5400000000000063</v>
      </c>
      <c r="U3628" s="154" t="str">
        <f t="shared" si="271"/>
        <v>NA</v>
      </c>
    </row>
    <row r="3629" spans="1:21" x14ac:dyDescent="0.35">
      <c r="A3629" s="110">
        <v>1803</v>
      </c>
      <c r="B3629" s="110">
        <v>2016</v>
      </c>
      <c r="C3629" s="110" t="s">
        <v>38</v>
      </c>
      <c r="D3629" s="110" t="s">
        <v>143</v>
      </c>
      <c r="E3629" s="110" t="s">
        <v>86</v>
      </c>
      <c r="F3629" s="117">
        <v>860</v>
      </c>
      <c r="G3629" s="110" t="s">
        <v>76</v>
      </c>
      <c r="H3629" s="110" t="str">
        <f t="shared" si="268"/>
        <v>Wallace River</v>
      </c>
      <c r="I3629" s="110" t="str">
        <f>IFERROR(VLOOKUP(H3629,LUTs!$A$1:$C$73,2,FALSE),"NA")</f>
        <v>Snohomish</v>
      </c>
      <c r="J3629" s="110" t="str">
        <f>IFERROR(VLOOKUP(H3629,LUTs!$A$1:$C$73,3,FALSE),"NA")</f>
        <v>2Central Puget Sound</v>
      </c>
      <c r="K3629" s="110" t="s">
        <v>18</v>
      </c>
      <c r="L3629" s="110" t="str">
        <f>VLOOKUP(K3629,LUTs!E$2:G$14,3,)</f>
        <v>06King</v>
      </c>
      <c r="M3629" s="110" t="str">
        <f>VLOOKUP($K3629,LUTs!$E$2:$H$14,2,)</f>
        <v>South Puget Sound</v>
      </c>
      <c r="N3629" s="110" t="str">
        <f>VLOOKUP($K3629,LUTs!$E$2:$H$14,4,)</f>
        <v>02South Puget Sound</v>
      </c>
      <c r="O3629" s="110">
        <v>103.90099009901</v>
      </c>
      <c r="P3629" s="110">
        <v>887.31445544554504</v>
      </c>
      <c r="Q3629" s="110">
        <f>SUMIFS('FW_Steelhead_by_Month_2010-2021'!Q$2:Q$3810,'FW_Steelhead_by_Month_2010-2021'!$B$2:$B$3810,'Rec_raw_catch_effort_2010-2021'!$B3629,'FW_Steelhead_by_Month_2010-2021'!$H$2:$H$3810,'Rec_raw_catch_effort_2010-2021'!$F3629,'FW_Steelhead_by_Month_2010-2021'!$M$2:$M$3810,'Rec_raw_catch_effort_2010-2021'!$K3629)</f>
        <v>159.31777231777238</v>
      </c>
      <c r="R3629" s="111">
        <f>VLOOKUP(B3629,Readme!$A$62:$C$74,3,)*Q3629</f>
        <v>3334.0808313651073</v>
      </c>
      <c r="S3629" s="140" t="str">
        <f t="shared" si="269"/>
        <v>Y</v>
      </c>
      <c r="T3629" s="154">
        <f t="shared" si="270"/>
        <v>8.5399999999999956</v>
      </c>
      <c r="U3629" s="154">
        <f t="shared" si="271"/>
        <v>20.927237324879293</v>
      </c>
    </row>
    <row r="3630" spans="1:21" x14ac:dyDescent="0.35">
      <c r="A3630" s="110">
        <v>1800</v>
      </c>
      <c r="B3630" s="110">
        <v>2016</v>
      </c>
      <c r="C3630" s="110" t="s">
        <v>38</v>
      </c>
      <c r="D3630" s="110" t="s">
        <v>143</v>
      </c>
      <c r="E3630" s="110" t="s">
        <v>86</v>
      </c>
      <c r="F3630" s="117">
        <v>860</v>
      </c>
      <c r="G3630" s="110" t="s">
        <v>76</v>
      </c>
      <c r="H3630" s="110" t="str">
        <f t="shared" si="268"/>
        <v>Wallace River</v>
      </c>
      <c r="I3630" s="110" t="str">
        <f>IFERROR(VLOOKUP(H3630,LUTs!$A$1:$C$73,2,FALSE),"NA")</f>
        <v>Snohomish</v>
      </c>
      <c r="J3630" s="110" t="str">
        <f>IFERROR(VLOOKUP(H3630,LUTs!$A$1:$C$73,3,FALSE),"NA")</f>
        <v>2Central Puget Sound</v>
      </c>
      <c r="K3630" s="110" t="s">
        <v>15</v>
      </c>
      <c r="L3630" s="110" t="str">
        <f>VLOOKUP(K3630,LUTs!E$2:G$14,3,)</f>
        <v>02Skagit</v>
      </c>
      <c r="M3630" s="110" t="str">
        <f>VLOOKUP($K3630,LUTs!$E$2:$H$14,2,)</f>
        <v>North Puget Sound</v>
      </c>
      <c r="N3630" s="110" t="str">
        <f>VLOOKUP($K3630,LUTs!$E$2:$H$14,4,)</f>
        <v>01North Puget Sound</v>
      </c>
      <c r="O3630" s="110">
        <v>3.14851485148515</v>
      </c>
      <c r="P3630" s="110">
        <v>26.888316831683198</v>
      </c>
      <c r="Q3630" s="110">
        <f>SUMIFS('FW_Steelhead_by_Month_2010-2021'!Q$2:Q$3810,'FW_Steelhead_by_Month_2010-2021'!$B$2:$B$3810,'Rec_raw_catch_effort_2010-2021'!$B3630,'FW_Steelhead_by_Month_2010-2021'!$H$2:$H$3810,'Rec_raw_catch_effort_2010-2021'!$F3630,'FW_Steelhead_by_Month_2010-2021'!$M$2:$M$3810,'Rec_raw_catch_effort_2010-2021'!$K3630)</f>
        <v>3.15151515151515</v>
      </c>
      <c r="R3630" s="111">
        <f>VLOOKUP(B3630,Readme!$A$62:$C$74,3,)*Q3630</f>
        <v>65.952505508710473</v>
      </c>
      <c r="S3630" s="140" t="str">
        <f t="shared" si="269"/>
        <v>Y</v>
      </c>
      <c r="T3630" s="154">
        <f t="shared" si="270"/>
        <v>8.5400000000000063</v>
      </c>
      <c r="U3630" s="154">
        <f t="shared" si="271"/>
        <v>20.927237324879293</v>
      </c>
    </row>
    <row r="3631" spans="1:21" x14ac:dyDescent="0.35">
      <c r="A3631" s="110">
        <v>1801</v>
      </c>
      <c r="B3631" s="110">
        <v>2016</v>
      </c>
      <c r="C3631" s="110" t="s">
        <v>38</v>
      </c>
      <c r="D3631" s="110" t="s">
        <v>143</v>
      </c>
      <c r="E3631" s="110" t="s">
        <v>86</v>
      </c>
      <c r="F3631" s="117">
        <v>860</v>
      </c>
      <c r="G3631" s="110" t="s">
        <v>76</v>
      </c>
      <c r="H3631" s="110" t="str">
        <f t="shared" si="268"/>
        <v>Wallace River</v>
      </c>
      <c r="I3631" s="110" t="str">
        <f>IFERROR(VLOOKUP(H3631,LUTs!$A$1:$C$73,2,FALSE),"NA")</f>
        <v>Snohomish</v>
      </c>
      <c r="J3631" s="110" t="str">
        <f>IFERROR(VLOOKUP(H3631,LUTs!$A$1:$C$73,3,FALSE),"NA")</f>
        <v>2Central Puget Sound</v>
      </c>
      <c r="K3631" s="110" t="s">
        <v>16</v>
      </c>
      <c r="L3631" s="110" t="str">
        <f>VLOOKUP(K3631,LUTs!E$2:G$14,3,)</f>
        <v>03Snohomish</v>
      </c>
      <c r="M3631" s="110" t="str">
        <f>VLOOKUP($K3631,LUTs!$E$2:$H$14,2,)</f>
        <v>North Puget Sound</v>
      </c>
      <c r="N3631" s="110" t="str">
        <f>VLOOKUP($K3631,LUTs!$E$2:$H$14,4,)</f>
        <v>01North Puget Sound</v>
      </c>
      <c r="O3631" s="110">
        <v>207.80198019802</v>
      </c>
      <c r="P3631" s="110">
        <v>1774.6289108910901</v>
      </c>
      <c r="Q3631" s="110">
        <f>SUMIFS('FW_Steelhead_by_Month_2010-2021'!Q$2:Q$3810,'FW_Steelhead_by_Month_2010-2021'!$B$2:$B$3810,'Rec_raw_catch_effort_2010-2021'!$B3631,'FW_Steelhead_by_Month_2010-2021'!$H$2:$H$3810,'Rec_raw_catch_effort_2010-2021'!$F3631,'FW_Steelhead_by_Month_2010-2021'!$M$2:$M$3810,'Rec_raw_catch_effort_2010-2021'!$K3631)</f>
        <v>256.53071253071261</v>
      </c>
      <c r="R3631" s="111">
        <f>VLOOKUP(B3631,Readme!$A$62:$C$74,3,)*Q3631</f>
        <v>5368.4791022506088</v>
      </c>
      <c r="S3631" s="140" t="str">
        <f t="shared" si="269"/>
        <v>Y</v>
      </c>
      <c r="T3631" s="154">
        <f t="shared" si="270"/>
        <v>8.5399999999999956</v>
      </c>
      <c r="U3631" s="154">
        <f t="shared" si="271"/>
        <v>20.927237324879293</v>
      </c>
    </row>
    <row r="3632" spans="1:21" x14ac:dyDescent="0.35">
      <c r="A3632" s="110">
        <v>1973</v>
      </c>
      <c r="B3632" s="110">
        <v>2017</v>
      </c>
      <c r="C3632" s="110" t="s">
        <v>38</v>
      </c>
      <c r="D3632" s="110" t="s">
        <v>143</v>
      </c>
      <c r="E3632" s="110" t="s">
        <v>86</v>
      </c>
      <c r="F3632" s="117">
        <v>860</v>
      </c>
      <c r="G3632" s="110" t="s">
        <v>76</v>
      </c>
      <c r="H3632" s="110" t="str">
        <f t="shared" si="268"/>
        <v>Wallace River</v>
      </c>
      <c r="I3632" s="110" t="str">
        <f>IFERROR(VLOOKUP(H3632,LUTs!$A$1:$C$73,2,FALSE),"NA")</f>
        <v>Snohomish</v>
      </c>
      <c r="J3632" s="110" t="str">
        <f>IFERROR(VLOOKUP(H3632,LUTs!$A$1:$C$73,3,FALSE),"NA")</f>
        <v>2Central Puget Sound</v>
      </c>
      <c r="K3632" s="110" t="s">
        <v>18</v>
      </c>
      <c r="L3632" s="110" t="str">
        <f>VLOOKUP(K3632,LUTs!E$2:G$14,3,)</f>
        <v>06King</v>
      </c>
      <c r="M3632" s="110" t="str">
        <f>VLOOKUP($K3632,LUTs!$E$2:$H$14,2,)</f>
        <v>South Puget Sound</v>
      </c>
      <c r="N3632" s="110" t="str">
        <f>VLOOKUP($K3632,LUTs!$E$2:$H$14,4,)</f>
        <v>02South Puget Sound</v>
      </c>
      <c r="O3632" s="110">
        <v>478.95652173913101</v>
      </c>
      <c r="P3632" s="110">
        <v>8884.6434782608794</v>
      </c>
      <c r="Q3632" s="110">
        <f>SUMIFS('FW_Steelhead_by_Month_2010-2021'!Q$2:Q$3810,'FW_Steelhead_by_Month_2010-2021'!$B$2:$B$3810,'Rec_raw_catch_effort_2010-2021'!$B3632,'FW_Steelhead_by_Month_2010-2021'!$H$2:$H$3810,'Rec_raw_catch_effort_2010-2021'!$F3632,'FW_Steelhead_by_Month_2010-2021'!$M$2:$M$3810,'Rec_raw_catch_effort_2010-2021'!$K3632)</f>
        <v>163.53820816864317</v>
      </c>
      <c r="R3632" s="111">
        <f>VLOOKUP(B3632,Readme!$A$62:$C$74,3,)*Q3632</f>
        <v>3422.4028940307089</v>
      </c>
      <c r="S3632" s="140" t="str">
        <f t="shared" si="269"/>
        <v>Y</v>
      </c>
      <c r="T3632" s="154">
        <f t="shared" si="270"/>
        <v>18.549999999999997</v>
      </c>
      <c r="U3632" s="154">
        <f t="shared" si="271"/>
        <v>20.927237324879293</v>
      </c>
    </row>
    <row r="3633" spans="1:21" x14ac:dyDescent="0.35">
      <c r="A3633" s="110">
        <v>1974</v>
      </c>
      <c r="B3633" s="110">
        <v>2017</v>
      </c>
      <c r="C3633" s="110" t="s">
        <v>38</v>
      </c>
      <c r="D3633" s="110" t="s">
        <v>143</v>
      </c>
      <c r="E3633" s="110" t="s">
        <v>86</v>
      </c>
      <c r="F3633" s="117">
        <v>860</v>
      </c>
      <c r="G3633" s="110" t="s">
        <v>76</v>
      </c>
      <c r="H3633" s="110" t="str">
        <f t="shared" si="268"/>
        <v>Wallace River</v>
      </c>
      <c r="I3633" s="110" t="str">
        <f>IFERROR(VLOOKUP(H3633,LUTs!$A$1:$C$73,2,FALSE),"NA")</f>
        <v>Snohomish</v>
      </c>
      <c r="J3633" s="110" t="str">
        <f>IFERROR(VLOOKUP(H3633,LUTs!$A$1:$C$73,3,FALSE),"NA")</f>
        <v>2Central Puget Sound</v>
      </c>
      <c r="K3633" s="110" t="s">
        <v>26</v>
      </c>
      <c r="L3633" s="110" t="str">
        <f>VLOOKUP(K3633,LUTs!E$2:G$14,3,)</f>
        <v>20Other</v>
      </c>
      <c r="M3633" s="110" t="str">
        <f>VLOOKUP($K3633,LUTs!$E$2:$H$14,2,)</f>
        <v>Non Puget Sound</v>
      </c>
      <c r="N3633" s="110" t="str">
        <f>VLOOKUP($K3633,LUTs!$E$2:$H$14,4,)</f>
        <v>07Non Puget Sound</v>
      </c>
      <c r="O3633" s="110">
        <v>8.86956521739131</v>
      </c>
      <c r="P3633" s="110">
        <v>164.53043478260901</v>
      </c>
      <c r="Q3633" s="110">
        <f>SUMIFS('FW_Steelhead_by_Month_2010-2021'!Q$2:Q$3810,'FW_Steelhead_by_Month_2010-2021'!$B$2:$B$3810,'Rec_raw_catch_effort_2010-2021'!$B3633,'FW_Steelhead_by_Month_2010-2021'!$H$2:$H$3810,'Rec_raw_catch_effort_2010-2021'!$F3633,'FW_Steelhead_by_Month_2010-2021'!$M$2:$M$3810,'Rec_raw_catch_effort_2010-2021'!$K3633)</f>
        <v>4.5</v>
      </c>
      <c r="R3633" s="111">
        <f>VLOOKUP(B3633,Readme!$A$62:$C$74,3,)*Q3633</f>
        <v>94.172567961956815</v>
      </c>
      <c r="S3633" s="140" t="str">
        <f t="shared" si="269"/>
        <v>Y</v>
      </c>
      <c r="T3633" s="154">
        <f t="shared" si="270"/>
        <v>18.550000000000022</v>
      </c>
      <c r="U3633" s="154">
        <f t="shared" si="271"/>
        <v>20.927237324879293</v>
      </c>
    </row>
    <row r="3634" spans="1:21" x14ac:dyDescent="0.35">
      <c r="A3634" s="110">
        <v>1972</v>
      </c>
      <c r="B3634" s="110">
        <v>2017</v>
      </c>
      <c r="C3634" s="110" t="s">
        <v>38</v>
      </c>
      <c r="D3634" s="110" t="s">
        <v>143</v>
      </c>
      <c r="E3634" s="110" t="s">
        <v>86</v>
      </c>
      <c r="F3634" s="117">
        <v>860</v>
      </c>
      <c r="G3634" s="110" t="s">
        <v>76</v>
      </c>
      <c r="H3634" s="110" t="str">
        <f t="shared" si="268"/>
        <v>Wallace River</v>
      </c>
      <c r="I3634" s="110" t="str">
        <f>IFERROR(VLOOKUP(H3634,LUTs!$A$1:$C$73,2,FALSE),"NA")</f>
        <v>Snohomish</v>
      </c>
      <c r="J3634" s="110" t="str">
        <f>IFERROR(VLOOKUP(H3634,LUTs!$A$1:$C$73,3,FALSE),"NA")</f>
        <v>2Central Puget Sound</v>
      </c>
      <c r="K3634" s="110" t="s">
        <v>16</v>
      </c>
      <c r="L3634" s="110" t="str">
        <f>VLOOKUP(K3634,LUTs!E$2:G$14,3,)</f>
        <v>03Snohomish</v>
      </c>
      <c r="M3634" s="110" t="str">
        <f>VLOOKUP($K3634,LUTs!$E$2:$H$14,2,)</f>
        <v>North Puget Sound</v>
      </c>
      <c r="N3634" s="110" t="str">
        <f>VLOOKUP($K3634,LUTs!$E$2:$H$14,4,)</f>
        <v>01North Puget Sound</v>
      </c>
      <c r="O3634" s="110">
        <v>319.304347826087</v>
      </c>
      <c r="P3634" s="110">
        <v>5923.0956521739099</v>
      </c>
      <c r="Q3634" s="110">
        <f>SUMIFS('FW_Steelhead_by_Month_2010-2021'!Q$2:Q$3810,'FW_Steelhead_by_Month_2010-2021'!$B$2:$B$3810,'Rec_raw_catch_effort_2010-2021'!$B3634,'FW_Steelhead_by_Month_2010-2021'!$H$2:$H$3810,'Rec_raw_catch_effort_2010-2021'!$F3634,'FW_Steelhead_by_Month_2010-2021'!$M$2:$M$3810,'Rec_raw_catch_effort_2010-2021'!$K3634)</f>
        <v>154.6133069828723</v>
      </c>
      <c r="R3634" s="111">
        <f>VLOOKUP(B3634,Readme!$A$62:$C$74,3,)*Q3634</f>
        <v>3235.6293688149854</v>
      </c>
      <c r="S3634" s="140" t="str">
        <f t="shared" si="269"/>
        <v>Y</v>
      </c>
      <c r="T3634" s="154">
        <f t="shared" si="270"/>
        <v>18.549999999999986</v>
      </c>
      <c r="U3634" s="154">
        <f t="shared" si="271"/>
        <v>20.927237324879293</v>
      </c>
    </row>
    <row r="3635" spans="1:21" x14ac:dyDescent="0.35">
      <c r="A3635" s="110">
        <v>1971</v>
      </c>
      <c r="B3635" s="110">
        <v>2017</v>
      </c>
      <c r="C3635" s="110" t="s">
        <v>38</v>
      </c>
      <c r="D3635" s="110" t="s">
        <v>143</v>
      </c>
      <c r="E3635" s="110" t="s">
        <v>86</v>
      </c>
      <c r="F3635" s="117">
        <v>860</v>
      </c>
      <c r="G3635" s="110" t="s">
        <v>76</v>
      </c>
      <c r="H3635" s="110" t="str">
        <f t="shared" si="268"/>
        <v>Wallace River</v>
      </c>
      <c r="I3635" s="110" t="str">
        <f>IFERROR(VLOOKUP(H3635,LUTs!$A$1:$C$73,2,FALSE),"NA")</f>
        <v>Snohomish</v>
      </c>
      <c r="J3635" s="110" t="str">
        <f>IFERROR(VLOOKUP(H3635,LUTs!$A$1:$C$73,3,FALSE),"NA")</f>
        <v>2Central Puget Sound</v>
      </c>
      <c r="K3635" s="110" t="s">
        <v>13</v>
      </c>
      <c r="L3635" s="110" t="str">
        <f>VLOOKUP(K3635,LUTs!E$2:G$14,3,)</f>
        <v>01Whatcom</v>
      </c>
      <c r="M3635" s="110" t="str">
        <f>VLOOKUP($K3635,LUTs!$E$2:$H$14,2,)</f>
        <v>North Puget Sound</v>
      </c>
      <c r="N3635" s="110" t="str">
        <f>VLOOKUP($K3635,LUTs!$E$2:$H$14,4,)</f>
        <v>01North Puget Sound</v>
      </c>
      <c r="O3635" s="110">
        <v>8.86956521739131</v>
      </c>
      <c r="P3635" s="110">
        <v>164.53043478260901</v>
      </c>
      <c r="Q3635" s="110">
        <f>SUMIFS('FW_Steelhead_by_Month_2010-2021'!Q$2:Q$3810,'FW_Steelhead_by_Month_2010-2021'!$B$2:$B$3810,'Rec_raw_catch_effort_2010-2021'!$B3635,'FW_Steelhead_by_Month_2010-2021'!$H$2:$H$3810,'Rec_raw_catch_effort_2010-2021'!$F3635,'FW_Steelhead_by_Month_2010-2021'!$M$2:$M$3810,'Rec_raw_catch_effort_2010-2021'!$K3635)</f>
        <v>4.1818181818181799</v>
      </c>
      <c r="R3635" s="111">
        <f>VLOOKUP(B3635,Readme!$A$62:$C$74,3,)*Q3635</f>
        <v>87.513901540404277</v>
      </c>
      <c r="S3635" s="140" t="str">
        <f t="shared" si="269"/>
        <v>Y</v>
      </c>
      <c r="T3635" s="154">
        <f t="shared" si="270"/>
        <v>18.550000000000022</v>
      </c>
      <c r="U3635" s="154">
        <f t="shared" si="271"/>
        <v>20.927237324879293</v>
      </c>
    </row>
    <row r="3636" spans="1:21" x14ac:dyDescent="0.35">
      <c r="A3636" s="110">
        <v>2111</v>
      </c>
      <c r="B3636" s="110">
        <v>2018</v>
      </c>
      <c r="C3636" s="110" t="s">
        <v>38</v>
      </c>
      <c r="D3636" s="110" t="s">
        <v>143</v>
      </c>
      <c r="E3636" s="110" t="s">
        <v>86</v>
      </c>
      <c r="F3636" s="117">
        <v>860</v>
      </c>
      <c r="G3636" s="110" t="s">
        <v>76</v>
      </c>
      <c r="H3636" s="110" t="str">
        <f t="shared" si="268"/>
        <v>Wallace River</v>
      </c>
      <c r="I3636" s="110" t="str">
        <f>IFERROR(VLOOKUP(H3636,LUTs!$A$1:$C$73,2,FALSE),"NA")</f>
        <v>Snohomish</v>
      </c>
      <c r="J3636" s="110" t="str">
        <f>IFERROR(VLOOKUP(H3636,LUTs!$A$1:$C$73,3,FALSE),"NA")</f>
        <v>2Central Puget Sound</v>
      </c>
      <c r="K3636" s="110" t="s">
        <v>18</v>
      </c>
      <c r="L3636" s="110" t="str">
        <f>VLOOKUP(K3636,LUTs!E$2:G$14,3,)</f>
        <v>06King</v>
      </c>
      <c r="M3636" s="110" t="str">
        <f>VLOOKUP($K3636,LUTs!$E$2:$H$14,2,)</f>
        <v>South Puget Sound</v>
      </c>
      <c r="N3636" s="110" t="str">
        <f>VLOOKUP($K3636,LUTs!$E$2:$H$14,4,)</f>
        <v>02South Puget Sound</v>
      </c>
      <c r="O3636" s="110">
        <v>51.428571428571402</v>
      </c>
      <c r="P3636" s="110">
        <v>439.2</v>
      </c>
      <c r="Q3636" s="110">
        <f>SUMIFS('FW_Steelhead_by_Month_2010-2021'!Q$2:Q$3810,'FW_Steelhead_by_Month_2010-2021'!$B$2:$B$3810,'Rec_raw_catch_effort_2010-2021'!$B3636,'FW_Steelhead_by_Month_2010-2021'!$H$2:$H$3810,'Rec_raw_catch_effort_2010-2021'!$F3636,'FW_Steelhead_by_Month_2010-2021'!$M$2:$M$3810,'Rec_raw_catch_effort_2010-2021'!$K3636)</f>
        <v>100.1666666666667</v>
      </c>
      <c r="R3636" s="111">
        <f>VLOOKUP(B3636,Readme!$A$62:$C$74,3,)*Q3636</f>
        <v>2096.2116053754098</v>
      </c>
      <c r="S3636" s="140" t="str">
        <f t="shared" si="269"/>
        <v>Y</v>
      </c>
      <c r="T3636" s="154">
        <f t="shared" si="270"/>
        <v>8.5400000000000045</v>
      </c>
      <c r="U3636" s="154">
        <f t="shared" si="271"/>
        <v>20.927237324879293</v>
      </c>
    </row>
    <row r="3637" spans="1:21" x14ac:dyDescent="0.35">
      <c r="A3637" s="110">
        <v>2110</v>
      </c>
      <c r="B3637" s="110">
        <v>2018</v>
      </c>
      <c r="C3637" s="110" t="s">
        <v>38</v>
      </c>
      <c r="D3637" s="110" t="s">
        <v>143</v>
      </c>
      <c r="E3637" s="110" t="s">
        <v>86</v>
      </c>
      <c r="F3637" s="117">
        <v>860</v>
      </c>
      <c r="G3637" s="110" t="s">
        <v>76</v>
      </c>
      <c r="H3637" s="110" t="str">
        <f t="shared" si="268"/>
        <v>Wallace River</v>
      </c>
      <c r="I3637" s="110" t="str">
        <f>IFERROR(VLOOKUP(H3637,LUTs!$A$1:$C$73,2,FALSE),"NA")</f>
        <v>Snohomish</v>
      </c>
      <c r="J3637" s="110" t="str">
        <f>IFERROR(VLOOKUP(H3637,LUTs!$A$1:$C$73,3,FALSE),"NA")</f>
        <v>2Central Puget Sound</v>
      </c>
      <c r="K3637" s="110" t="s">
        <v>16</v>
      </c>
      <c r="L3637" s="110" t="str">
        <f>VLOOKUP(K3637,LUTs!E$2:G$14,3,)</f>
        <v>03Snohomish</v>
      </c>
      <c r="M3637" s="110" t="str">
        <f>VLOOKUP($K3637,LUTs!$E$2:$H$14,2,)</f>
        <v>North Puget Sound</v>
      </c>
      <c r="N3637" s="110" t="str">
        <f>VLOOKUP($K3637,LUTs!$E$2:$H$14,4,)</f>
        <v>01North Puget Sound</v>
      </c>
      <c r="O3637" s="110">
        <v>38.571428571428598</v>
      </c>
      <c r="P3637" s="110">
        <v>329.4</v>
      </c>
      <c r="Q3637" s="110">
        <f>SUMIFS('FW_Steelhead_by_Month_2010-2021'!Q$2:Q$3810,'FW_Steelhead_by_Month_2010-2021'!$B$2:$B$3810,'Rec_raw_catch_effort_2010-2021'!$B3637,'FW_Steelhead_by_Month_2010-2021'!$H$2:$H$3810,'Rec_raw_catch_effort_2010-2021'!$F3637,'FW_Steelhead_by_Month_2010-2021'!$M$2:$M$3810,'Rec_raw_catch_effort_2010-2021'!$K3637)</f>
        <v>60.8333333333333</v>
      </c>
      <c r="R3637" s="111">
        <f>VLOOKUP(B3637,Readme!$A$62:$C$74,3,)*Q3637</f>
        <v>1273.0736039301562</v>
      </c>
      <c r="S3637" s="140" t="str">
        <f t="shared" si="269"/>
        <v>Y</v>
      </c>
      <c r="T3637" s="154">
        <f t="shared" si="270"/>
        <v>8.5399999999999938</v>
      </c>
      <c r="U3637" s="154">
        <f t="shared" si="271"/>
        <v>20.927237324879293</v>
      </c>
    </row>
    <row r="3638" spans="1:21" x14ac:dyDescent="0.35">
      <c r="A3638" s="110">
        <v>2252</v>
      </c>
      <c r="B3638" s="110">
        <v>2019</v>
      </c>
      <c r="C3638" s="110" t="s">
        <v>38</v>
      </c>
      <c r="D3638" s="110" t="s">
        <v>143</v>
      </c>
      <c r="E3638" s="110" t="s">
        <v>86</v>
      </c>
      <c r="F3638" s="117">
        <v>860</v>
      </c>
      <c r="G3638" s="110" t="s">
        <v>76</v>
      </c>
      <c r="H3638" s="110" t="str">
        <f t="shared" si="268"/>
        <v>Wallace River</v>
      </c>
      <c r="I3638" s="110" t="str">
        <f>IFERROR(VLOOKUP(H3638,LUTs!$A$1:$C$73,2,FALSE),"NA")</f>
        <v>Snohomish</v>
      </c>
      <c r="J3638" s="110" t="str">
        <f>IFERROR(VLOOKUP(H3638,LUTs!$A$1:$C$73,3,FALSE),"NA")</f>
        <v>2Central Puget Sound</v>
      </c>
      <c r="K3638" s="110" t="s">
        <v>16</v>
      </c>
      <c r="L3638" s="110" t="str">
        <f>VLOOKUP(K3638,LUTs!E$2:G$14,3,)</f>
        <v>03Snohomish</v>
      </c>
      <c r="M3638" s="110" t="str">
        <f>VLOOKUP($K3638,LUTs!$E$2:$H$14,2,)</f>
        <v>North Puget Sound</v>
      </c>
      <c r="N3638" s="110" t="str">
        <f>VLOOKUP($K3638,LUTs!$E$2:$H$14,4,)</f>
        <v>01North Puget Sound</v>
      </c>
      <c r="O3638" s="110">
        <v>14</v>
      </c>
      <c r="P3638" s="110">
        <v>259.7</v>
      </c>
      <c r="Q3638" s="110">
        <f>SUMIFS('FW_Steelhead_by_Month_2010-2021'!Q$2:Q$3810,'FW_Steelhead_by_Month_2010-2021'!$B$2:$B$3810,'Rec_raw_catch_effort_2010-2021'!$B3638,'FW_Steelhead_by_Month_2010-2021'!$H$2:$H$3810,'Rec_raw_catch_effort_2010-2021'!$F3638,'FW_Steelhead_by_Month_2010-2021'!$M$2:$M$3810,'Rec_raw_catch_effort_2010-2021'!$K3638)</f>
        <v>10</v>
      </c>
      <c r="R3638" s="111">
        <f>VLOOKUP(B3638,Readme!$A$62:$C$74,3,)*Q3638</f>
        <v>209.27237324879292</v>
      </c>
      <c r="S3638" s="140" t="str">
        <f t="shared" si="269"/>
        <v>Y</v>
      </c>
      <c r="T3638" s="154">
        <f t="shared" si="270"/>
        <v>18.55</v>
      </c>
      <c r="U3638" s="154">
        <f t="shared" si="271"/>
        <v>20.927237324879293</v>
      </c>
    </row>
    <row r="3639" spans="1:21" x14ac:dyDescent="0.35">
      <c r="A3639" s="110">
        <v>2466</v>
      </c>
      <c r="B3639" s="110">
        <v>2020</v>
      </c>
      <c r="C3639" s="110" t="s">
        <v>38</v>
      </c>
      <c r="D3639" s="110" t="s">
        <v>143</v>
      </c>
      <c r="E3639" s="110" t="s">
        <v>86</v>
      </c>
      <c r="F3639" s="117">
        <v>860</v>
      </c>
      <c r="G3639" s="110" t="s">
        <v>76</v>
      </c>
      <c r="H3639" s="110" t="str">
        <f t="shared" si="268"/>
        <v>Wallace River</v>
      </c>
      <c r="I3639" s="110" t="str">
        <f>IFERROR(VLOOKUP(H3639,LUTs!$A$1:$C$73,2,FALSE),"NA")</f>
        <v>Snohomish</v>
      </c>
      <c r="J3639" s="110" t="str">
        <f>IFERROR(VLOOKUP(H3639,LUTs!$A$1:$C$73,3,FALSE),"NA")</f>
        <v>2Central Puget Sound</v>
      </c>
      <c r="K3639" s="110" t="s">
        <v>18</v>
      </c>
      <c r="L3639" s="110" t="str">
        <f>VLOOKUP(K3639,LUTs!E$2:G$14,3,)</f>
        <v>06King</v>
      </c>
      <c r="M3639" s="110" t="str">
        <f>VLOOKUP($K3639,LUTs!$E$2:$H$14,2,)</f>
        <v>South Puget Sound</v>
      </c>
      <c r="N3639" s="110" t="str">
        <f>VLOOKUP($K3639,LUTs!$E$2:$H$14,4,)</f>
        <v>02South Puget Sound</v>
      </c>
      <c r="O3639" s="110">
        <v>48</v>
      </c>
      <c r="P3639" s="110">
        <v>409.92</v>
      </c>
      <c r="Q3639" s="110">
        <f>SUMIFS('FW_Steelhead_by_Month_2010-2021'!Q$2:Q$3810,'FW_Steelhead_by_Month_2010-2021'!$B$2:$B$3810,'Rec_raw_catch_effort_2010-2021'!$B3639,'FW_Steelhead_by_Month_2010-2021'!$H$2:$H$3810,'Rec_raw_catch_effort_2010-2021'!$F3639,'FW_Steelhead_by_Month_2010-2021'!$M$2:$M$3810,'Rec_raw_catch_effort_2010-2021'!$K3639)</f>
        <v>24</v>
      </c>
      <c r="R3639" s="111">
        <f>VLOOKUP(B3639,Readme!$A$62:$C$74,3,)*Q3639</f>
        <v>502.25369579710303</v>
      </c>
      <c r="S3639" s="140" t="str">
        <f t="shared" si="269"/>
        <v>N</v>
      </c>
      <c r="T3639" s="154">
        <f t="shared" si="270"/>
        <v>8.5400000000000009</v>
      </c>
      <c r="U3639" s="154">
        <f t="shared" si="271"/>
        <v>20.927237324879293</v>
      </c>
    </row>
    <row r="3640" spans="1:21" x14ac:dyDescent="0.35">
      <c r="A3640" s="110">
        <v>2465</v>
      </c>
      <c r="B3640" s="110">
        <v>2020</v>
      </c>
      <c r="C3640" s="110" t="s">
        <v>38</v>
      </c>
      <c r="D3640" s="110" t="s">
        <v>143</v>
      </c>
      <c r="E3640" s="110" t="s">
        <v>86</v>
      </c>
      <c r="F3640" s="117">
        <v>860</v>
      </c>
      <c r="G3640" s="110" t="s">
        <v>76</v>
      </c>
      <c r="H3640" s="110" t="str">
        <f t="shared" si="268"/>
        <v>Wallace River</v>
      </c>
      <c r="I3640" s="110" t="str">
        <f>IFERROR(VLOOKUP(H3640,LUTs!$A$1:$C$73,2,FALSE),"NA")</f>
        <v>Snohomish</v>
      </c>
      <c r="J3640" s="110" t="str">
        <f>IFERROR(VLOOKUP(H3640,LUTs!$A$1:$C$73,3,FALSE),"NA")</f>
        <v>2Central Puget Sound</v>
      </c>
      <c r="K3640" s="110" t="s">
        <v>16</v>
      </c>
      <c r="L3640" s="110" t="str">
        <f>VLOOKUP(K3640,LUTs!E$2:G$14,3,)</f>
        <v>03Snohomish</v>
      </c>
      <c r="M3640" s="110" t="str">
        <f>VLOOKUP($K3640,LUTs!$E$2:$H$14,2,)</f>
        <v>North Puget Sound</v>
      </c>
      <c r="N3640" s="110" t="str">
        <f>VLOOKUP($K3640,LUTs!$E$2:$H$14,4,)</f>
        <v>01North Puget Sound</v>
      </c>
      <c r="O3640" s="110">
        <v>16</v>
      </c>
      <c r="P3640" s="110">
        <v>136.63999999999999</v>
      </c>
      <c r="Q3640" s="110">
        <f>SUMIFS('FW_Steelhead_by_Month_2010-2021'!Q$2:Q$3810,'FW_Steelhead_by_Month_2010-2021'!$B$2:$B$3810,'Rec_raw_catch_effort_2010-2021'!$B3640,'FW_Steelhead_by_Month_2010-2021'!$H$2:$H$3810,'Rec_raw_catch_effort_2010-2021'!$F3640,'FW_Steelhead_by_Month_2010-2021'!$M$2:$M$3810,'Rec_raw_catch_effort_2010-2021'!$K3640)</f>
        <v>0</v>
      </c>
      <c r="R3640" s="111">
        <f>VLOOKUP(B3640,Readme!$A$62:$C$74,3,)*Q3640</f>
        <v>0</v>
      </c>
      <c r="S3640" s="140" t="str">
        <f t="shared" si="269"/>
        <v>N</v>
      </c>
      <c r="T3640" s="154">
        <f t="shared" si="270"/>
        <v>8.5399999999999991</v>
      </c>
      <c r="U3640" s="154" t="str">
        <f t="shared" si="271"/>
        <v>NA</v>
      </c>
    </row>
    <row r="3641" spans="1:21" x14ac:dyDescent="0.35">
      <c r="A3641" s="110">
        <v>2584</v>
      </c>
      <c r="B3641" s="110">
        <v>2021</v>
      </c>
      <c r="C3641" s="110" t="s">
        <v>38</v>
      </c>
      <c r="D3641" s="110" t="s">
        <v>143</v>
      </c>
      <c r="E3641" s="110" t="s">
        <v>86</v>
      </c>
      <c r="F3641" s="117">
        <v>860</v>
      </c>
      <c r="G3641" s="110" t="s">
        <v>76</v>
      </c>
      <c r="H3641" s="110" t="str">
        <f t="shared" si="268"/>
        <v>Wallace River</v>
      </c>
      <c r="I3641" s="110" t="str">
        <f>IFERROR(VLOOKUP(H3641,LUTs!$A$1:$C$73,2,FALSE),"NA")</f>
        <v>Snohomish</v>
      </c>
      <c r="J3641" s="110" t="str">
        <f>IFERROR(VLOOKUP(H3641,LUTs!$A$1:$C$73,3,FALSE),"NA")</f>
        <v>2Central Puget Sound</v>
      </c>
      <c r="K3641" s="110" t="s">
        <v>18</v>
      </c>
      <c r="L3641" s="110" t="str">
        <f>VLOOKUP(K3641,LUTs!E$2:G$14,3,)</f>
        <v>06King</v>
      </c>
      <c r="M3641" s="110" t="str">
        <f>VLOOKUP($K3641,LUTs!$E$2:$H$14,2,)</f>
        <v>South Puget Sound</v>
      </c>
      <c r="N3641" s="110" t="str">
        <f>VLOOKUP($K3641,LUTs!$E$2:$H$14,4,)</f>
        <v>02South Puget Sound</v>
      </c>
      <c r="O3641" s="110">
        <v>176.727272727273</v>
      </c>
      <c r="P3641" s="110">
        <v>3278.2909090909102</v>
      </c>
      <c r="Q3641" s="110">
        <f>SUMIFS('FW_Steelhead_by_Month_2010-2021'!Q$2:Q$3810,'FW_Steelhead_by_Month_2010-2021'!$B$2:$B$3810,'Rec_raw_catch_effort_2010-2021'!$B3641,'FW_Steelhead_by_Month_2010-2021'!$H$2:$H$3810,'Rec_raw_catch_effort_2010-2021'!$F3641,'FW_Steelhead_by_Month_2010-2021'!$M$2:$M$3810,'Rec_raw_catch_effort_2010-2021'!$K3641)</f>
        <v>48.3913043478261</v>
      </c>
      <c r="R3641" s="111">
        <f>VLOOKUP(B3641,Readme!$A$62:$C$74,3,)*Q3641</f>
        <v>1012.69631054742</v>
      </c>
      <c r="S3641" s="140" t="str">
        <f t="shared" si="269"/>
        <v>N</v>
      </c>
      <c r="T3641" s="154">
        <f t="shared" si="270"/>
        <v>18.549999999999976</v>
      </c>
      <c r="U3641" s="154">
        <f t="shared" si="271"/>
        <v>20.927237324879293</v>
      </c>
    </row>
    <row r="3642" spans="1:21" x14ac:dyDescent="0.35">
      <c r="A3642" s="110">
        <v>2583</v>
      </c>
      <c r="B3642" s="110">
        <v>2021</v>
      </c>
      <c r="C3642" s="110" t="s">
        <v>38</v>
      </c>
      <c r="D3642" s="110" t="s">
        <v>143</v>
      </c>
      <c r="E3642" s="110" t="s">
        <v>86</v>
      </c>
      <c r="F3642" s="117">
        <v>860</v>
      </c>
      <c r="G3642" s="110" t="s">
        <v>76</v>
      </c>
      <c r="H3642" s="110" t="str">
        <f t="shared" si="268"/>
        <v>Wallace River</v>
      </c>
      <c r="I3642" s="110" t="str">
        <f>IFERROR(VLOOKUP(H3642,LUTs!$A$1:$C$73,2,FALSE),"NA")</f>
        <v>Snohomish</v>
      </c>
      <c r="J3642" s="110" t="str">
        <f>IFERROR(VLOOKUP(H3642,LUTs!$A$1:$C$73,3,FALSE),"NA")</f>
        <v>2Central Puget Sound</v>
      </c>
      <c r="K3642" s="110" t="s">
        <v>16</v>
      </c>
      <c r="L3642" s="110" t="str">
        <f>VLOOKUP(K3642,LUTs!E$2:G$14,3,)</f>
        <v>03Snohomish</v>
      </c>
      <c r="M3642" s="110" t="str">
        <f>VLOOKUP($K3642,LUTs!$E$2:$H$14,2,)</f>
        <v>North Puget Sound</v>
      </c>
      <c r="N3642" s="110" t="str">
        <f>VLOOKUP($K3642,LUTs!$E$2:$H$14,4,)</f>
        <v>01North Puget Sound</v>
      </c>
      <c r="O3642" s="110">
        <v>309.27272727272702</v>
      </c>
      <c r="P3642" s="110">
        <v>5737.0090909090904</v>
      </c>
      <c r="Q3642" s="110">
        <f>SUMIFS('FW_Steelhead_by_Month_2010-2021'!Q$2:Q$3810,'FW_Steelhead_by_Month_2010-2021'!$B$2:$B$3810,'Rec_raw_catch_effort_2010-2021'!$B3642,'FW_Steelhead_by_Month_2010-2021'!$H$2:$H$3810,'Rec_raw_catch_effort_2010-2021'!$F3642,'FW_Steelhead_by_Month_2010-2021'!$M$2:$M$3810,'Rec_raw_catch_effort_2010-2021'!$K3642)</f>
        <v>98.608695652173907</v>
      </c>
      <c r="R3642" s="111">
        <f>VLOOKUP(B3642,Readme!$A$62:$C$74,3,)*Q3642</f>
        <v>2063.6075762098362</v>
      </c>
      <c r="S3642" s="140" t="str">
        <f t="shared" si="269"/>
        <v>N</v>
      </c>
      <c r="T3642" s="154">
        <f t="shared" si="270"/>
        <v>18.550000000000015</v>
      </c>
      <c r="U3642" s="154">
        <f t="shared" si="271"/>
        <v>20.927237324879293</v>
      </c>
    </row>
    <row r="3643" spans="1:21" x14ac:dyDescent="0.35">
      <c r="A3643" s="110">
        <v>2081</v>
      </c>
      <c r="B3643" s="110">
        <v>2010</v>
      </c>
      <c r="C3643" s="110" t="s">
        <v>38</v>
      </c>
      <c r="D3643" s="110" t="s">
        <v>143</v>
      </c>
      <c r="E3643" s="110" t="s">
        <v>86</v>
      </c>
      <c r="F3643" s="117">
        <v>866</v>
      </c>
      <c r="G3643" s="110" t="s">
        <v>102</v>
      </c>
      <c r="H3643" s="110" t="str">
        <f t="shared" si="268"/>
        <v>Canyon Creek</v>
      </c>
      <c r="I3643" s="110" t="str">
        <f>IFERROR(VLOOKUP(H3643,LUTs!$A$1:$C$73,2,FALSE),"NA")</f>
        <v>Snohomish</v>
      </c>
      <c r="J3643" s="110" t="str">
        <f>IFERROR(VLOOKUP(H3643,LUTs!$A$1:$C$73,3,FALSE),"NA")</f>
        <v>2Central Puget Sound</v>
      </c>
      <c r="K3643" s="110" t="s">
        <v>16</v>
      </c>
      <c r="L3643" s="110" t="str">
        <f>VLOOKUP(K3643,LUTs!E$2:G$14,3,)</f>
        <v>03Snohomish</v>
      </c>
      <c r="M3643" s="110" t="str">
        <f>VLOOKUP($K3643,LUTs!$E$2:$H$14,2,)</f>
        <v>North Puget Sound</v>
      </c>
      <c r="N3643" s="110" t="str">
        <f>VLOOKUP($K3643,LUTs!$E$2:$H$14,4,)</f>
        <v>01North Puget Sound</v>
      </c>
      <c r="O3643" s="110">
        <v>11</v>
      </c>
      <c r="P3643" s="110">
        <v>93.94</v>
      </c>
      <c r="Q3643" s="110">
        <f>SUMIFS('FW_Steelhead_by_Month_2010-2021'!Q$2:Q$3810,'FW_Steelhead_by_Month_2010-2021'!$B$2:$B$3810,'Rec_raw_catch_effort_2010-2021'!$B3643,'FW_Steelhead_by_Month_2010-2021'!$H$2:$H$3810,'Rec_raw_catch_effort_2010-2021'!$F3643,'FW_Steelhead_by_Month_2010-2021'!$M$2:$M$3810,'Rec_raw_catch_effort_2010-2021'!$K3643)</f>
        <v>11</v>
      </c>
      <c r="R3643" s="111">
        <f>VLOOKUP(B3643,Readme!$A$62:$C$74,3,)*Q3643</f>
        <v>230.19961057367223</v>
      </c>
      <c r="S3643" s="140" t="str">
        <f t="shared" si="269"/>
        <v>Y</v>
      </c>
      <c r="T3643" s="154">
        <f t="shared" si="270"/>
        <v>8.5399999999999991</v>
      </c>
      <c r="U3643" s="154">
        <f t="shared" si="271"/>
        <v>20.927237324879293</v>
      </c>
    </row>
    <row r="3644" spans="1:21" x14ac:dyDescent="0.35">
      <c r="A3644" s="110">
        <v>2315</v>
      </c>
      <c r="B3644" s="110">
        <v>2012</v>
      </c>
      <c r="C3644" s="110" t="s">
        <v>38</v>
      </c>
      <c r="D3644" s="110" t="s">
        <v>143</v>
      </c>
      <c r="E3644" s="110" t="s">
        <v>86</v>
      </c>
      <c r="F3644" s="117">
        <v>866</v>
      </c>
      <c r="G3644" s="110" t="s">
        <v>102</v>
      </c>
      <c r="H3644" s="110" t="str">
        <f t="shared" si="268"/>
        <v>Canyon Creek</v>
      </c>
      <c r="I3644" s="110" t="str">
        <f>IFERROR(VLOOKUP(H3644,LUTs!$A$1:$C$73,2,FALSE),"NA")</f>
        <v>Snohomish</v>
      </c>
      <c r="J3644" s="110" t="str">
        <f>IFERROR(VLOOKUP(H3644,LUTs!$A$1:$C$73,3,FALSE),"NA")</f>
        <v>2Central Puget Sound</v>
      </c>
      <c r="K3644" s="110" t="s">
        <v>18</v>
      </c>
      <c r="L3644" s="110" t="str">
        <f>VLOOKUP(K3644,LUTs!E$2:G$14,3,)</f>
        <v>06King</v>
      </c>
      <c r="M3644" s="110" t="str">
        <f>VLOOKUP($K3644,LUTs!$E$2:$H$14,2,)</f>
        <v>South Puget Sound</v>
      </c>
      <c r="N3644" s="110" t="str">
        <f>VLOOKUP($K3644,LUTs!$E$2:$H$14,4,)</f>
        <v>02South Puget Sound</v>
      </c>
      <c r="O3644" s="110">
        <v>3.5714285714285698</v>
      </c>
      <c r="P3644" s="110">
        <v>30.5</v>
      </c>
      <c r="Q3644" s="110">
        <f>SUMIFS('FW_Steelhead_by_Month_2010-2021'!Q$2:Q$3810,'FW_Steelhead_by_Month_2010-2021'!$B$2:$B$3810,'Rec_raw_catch_effort_2010-2021'!$B3644,'FW_Steelhead_by_Month_2010-2021'!$H$2:$H$3810,'Rec_raw_catch_effort_2010-2021'!$F3644,'FW_Steelhead_by_Month_2010-2021'!$M$2:$M$3810,'Rec_raw_catch_effort_2010-2021'!$K3644)</f>
        <v>4.5</v>
      </c>
      <c r="R3644" s="111">
        <f>VLOOKUP(B3644,Readme!$A$62:$C$74,3,)*Q3644</f>
        <v>94.172567961956815</v>
      </c>
      <c r="S3644" s="140" t="str">
        <f t="shared" si="269"/>
        <v>Y</v>
      </c>
      <c r="T3644" s="154">
        <f t="shared" si="270"/>
        <v>8.5400000000000045</v>
      </c>
      <c r="U3644" s="154">
        <f t="shared" si="271"/>
        <v>20.927237324879293</v>
      </c>
    </row>
    <row r="3645" spans="1:21" x14ac:dyDescent="0.35">
      <c r="A3645" s="110">
        <v>2314</v>
      </c>
      <c r="B3645" s="110">
        <v>2012</v>
      </c>
      <c r="C3645" s="110" t="s">
        <v>38</v>
      </c>
      <c r="D3645" s="110" t="s">
        <v>143</v>
      </c>
      <c r="E3645" s="110" t="s">
        <v>86</v>
      </c>
      <c r="F3645" s="117">
        <v>866</v>
      </c>
      <c r="G3645" s="110" t="s">
        <v>102</v>
      </c>
      <c r="H3645" s="110" t="str">
        <f t="shared" si="268"/>
        <v>Canyon Creek</v>
      </c>
      <c r="I3645" s="110" t="str">
        <f>IFERROR(VLOOKUP(H3645,LUTs!$A$1:$C$73,2,FALSE),"NA")</f>
        <v>Snohomish</v>
      </c>
      <c r="J3645" s="110" t="str">
        <f>IFERROR(VLOOKUP(H3645,LUTs!$A$1:$C$73,3,FALSE),"NA")</f>
        <v>2Central Puget Sound</v>
      </c>
      <c r="K3645" s="110" t="s">
        <v>16</v>
      </c>
      <c r="L3645" s="110" t="str">
        <f>VLOOKUP(K3645,LUTs!E$2:G$14,3,)</f>
        <v>03Snohomish</v>
      </c>
      <c r="M3645" s="110" t="str">
        <f>VLOOKUP($K3645,LUTs!$E$2:$H$14,2,)</f>
        <v>North Puget Sound</v>
      </c>
      <c r="N3645" s="110" t="str">
        <f>VLOOKUP($K3645,LUTs!$E$2:$H$14,4,)</f>
        <v>01North Puget Sound</v>
      </c>
      <c r="O3645" s="110">
        <v>21.428571428571399</v>
      </c>
      <c r="P3645" s="110">
        <v>183</v>
      </c>
      <c r="Q3645" s="110">
        <f>SUMIFS('FW_Steelhead_by_Month_2010-2021'!Q$2:Q$3810,'FW_Steelhead_by_Month_2010-2021'!$B$2:$B$3810,'Rec_raw_catch_effort_2010-2021'!$B3645,'FW_Steelhead_by_Month_2010-2021'!$H$2:$H$3810,'Rec_raw_catch_effort_2010-2021'!$F3645,'FW_Steelhead_by_Month_2010-2021'!$M$2:$M$3810,'Rec_raw_catch_effort_2010-2021'!$K3645)</f>
        <v>8.5</v>
      </c>
      <c r="R3645" s="111">
        <f>VLOOKUP(B3645,Readme!$A$62:$C$74,3,)*Q3645</f>
        <v>177.88151726147399</v>
      </c>
      <c r="S3645" s="140" t="str">
        <f t="shared" si="269"/>
        <v>Y</v>
      </c>
      <c r="T3645" s="154">
        <f t="shared" si="270"/>
        <v>8.5400000000000116</v>
      </c>
      <c r="U3645" s="154">
        <f t="shared" si="271"/>
        <v>20.927237324879293</v>
      </c>
    </row>
    <row r="3646" spans="1:21" x14ac:dyDescent="0.35">
      <c r="A3646" s="110">
        <v>1457</v>
      </c>
      <c r="B3646" s="110">
        <v>2014</v>
      </c>
      <c r="C3646" s="110" t="s">
        <v>38</v>
      </c>
      <c r="D3646" s="110" t="s">
        <v>143</v>
      </c>
      <c r="E3646" s="110" t="s">
        <v>86</v>
      </c>
      <c r="F3646" s="117">
        <v>866</v>
      </c>
      <c r="G3646" s="110" t="s">
        <v>102</v>
      </c>
      <c r="H3646" s="110" t="str">
        <f t="shared" si="268"/>
        <v>Canyon Creek</v>
      </c>
      <c r="I3646" s="110" t="str">
        <f>IFERROR(VLOOKUP(H3646,LUTs!$A$1:$C$73,2,FALSE),"NA")</f>
        <v>Snohomish</v>
      </c>
      <c r="J3646" s="110" t="str">
        <f>IFERROR(VLOOKUP(H3646,LUTs!$A$1:$C$73,3,FALSE),"NA")</f>
        <v>2Central Puget Sound</v>
      </c>
      <c r="K3646" s="110" t="s">
        <v>26</v>
      </c>
      <c r="L3646" s="110" t="str">
        <f>VLOOKUP(K3646,LUTs!E$2:G$14,3,)</f>
        <v>20Other</v>
      </c>
      <c r="M3646" s="110" t="str">
        <f>VLOOKUP($K3646,LUTs!$E$2:$H$14,2,)</f>
        <v>Non Puget Sound</v>
      </c>
      <c r="N3646" s="110" t="str">
        <f>VLOOKUP($K3646,LUTs!$E$2:$H$14,4,)</f>
        <v>07Non Puget Sound</v>
      </c>
      <c r="O3646" s="110">
        <v>3.25</v>
      </c>
      <c r="P3646" s="110">
        <v>27.754999999999999</v>
      </c>
      <c r="Q3646" s="110">
        <f>SUMIFS('FW_Steelhead_by_Month_2010-2021'!Q$2:Q$3810,'FW_Steelhead_by_Month_2010-2021'!$B$2:$B$3810,'Rec_raw_catch_effort_2010-2021'!$B3646,'FW_Steelhead_by_Month_2010-2021'!$H$2:$H$3810,'Rec_raw_catch_effort_2010-2021'!$F3646,'FW_Steelhead_by_Month_2010-2021'!$M$2:$M$3810,'Rec_raw_catch_effort_2010-2021'!$K3646)</f>
        <v>0</v>
      </c>
      <c r="R3646" s="111">
        <f>VLOOKUP(B3646,Readme!$A$62:$C$74,3,)*Q3646</f>
        <v>0</v>
      </c>
      <c r="S3646" s="140" t="str">
        <f t="shared" si="269"/>
        <v>Y</v>
      </c>
      <c r="T3646" s="154">
        <f t="shared" si="270"/>
        <v>8.5399999999999991</v>
      </c>
      <c r="U3646" s="154" t="str">
        <f t="shared" si="271"/>
        <v>NA</v>
      </c>
    </row>
    <row r="3647" spans="1:21" x14ac:dyDescent="0.35">
      <c r="A3647" s="110">
        <v>1456</v>
      </c>
      <c r="B3647" s="110">
        <v>2014</v>
      </c>
      <c r="C3647" s="110" t="s">
        <v>38</v>
      </c>
      <c r="D3647" s="110" t="s">
        <v>143</v>
      </c>
      <c r="E3647" s="110" t="s">
        <v>86</v>
      </c>
      <c r="F3647" s="117">
        <v>866</v>
      </c>
      <c r="G3647" s="110" t="s">
        <v>102</v>
      </c>
      <c r="H3647" s="110" t="str">
        <f t="shared" si="268"/>
        <v>Canyon Creek</v>
      </c>
      <c r="I3647" s="110" t="str">
        <f>IFERROR(VLOOKUP(H3647,LUTs!$A$1:$C$73,2,FALSE),"NA")</f>
        <v>Snohomish</v>
      </c>
      <c r="J3647" s="110" t="str">
        <f>IFERROR(VLOOKUP(H3647,LUTs!$A$1:$C$73,3,FALSE),"NA")</f>
        <v>2Central Puget Sound</v>
      </c>
      <c r="K3647" s="110" t="s">
        <v>16</v>
      </c>
      <c r="L3647" s="110" t="str">
        <f>VLOOKUP(K3647,LUTs!E$2:G$14,3,)</f>
        <v>03Snohomish</v>
      </c>
      <c r="M3647" s="110" t="str">
        <f>VLOOKUP($K3647,LUTs!$E$2:$H$14,2,)</f>
        <v>North Puget Sound</v>
      </c>
      <c r="N3647" s="110" t="str">
        <f>VLOOKUP($K3647,LUTs!$E$2:$H$14,4,)</f>
        <v>01North Puget Sound</v>
      </c>
      <c r="O3647" s="110">
        <v>9.75</v>
      </c>
      <c r="P3647" s="110">
        <v>83.265000000000001</v>
      </c>
      <c r="Q3647" s="110">
        <f>SUMIFS('FW_Steelhead_by_Month_2010-2021'!Q$2:Q$3810,'FW_Steelhead_by_Month_2010-2021'!$B$2:$B$3810,'Rec_raw_catch_effort_2010-2021'!$B3647,'FW_Steelhead_by_Month_2010-2021'!$H$2:$H$3810,'Rec_raw_catch_effort_2010-2021'!$F3647,'FW_Steelhead_by_Month_2010-2021'!$M$2:$M$3810,'Rec_raw_catch_effort_2010-2021'!$K3647)</f>
        <v>4</v>
      </c>
      <c r="R3647" s="111">
        <f>VLOOKUP(B3647,Readme!$A$62:$C$74,3,)*Q3647</f>
        <v>83.708949299517172</v>
      </c>
      <c r="S3647" s="140" t="str">
        <f t="shared" si="269"/>
        <v>Y</v>
      </c>
      <c r="T3647" s="154">
        <f t="shared" si="270"/>
        <v>8.5400000000000009</v>
      </c>
      <c r="U3647" s="154">
        <f t="shared" si="271"/>
        <v>20.927237324879293</v>
      </c>
    </row>
    <row r="3648" spans="1:21" x14ac:dyDescent="0.35">
      <c r="A3648" s="110">
        <v>2113</v>
      </c>
      <c r="B3648" s="110">
        <v>2018</v>
      </c>
      <c r="C3648" s="110" t="s">
        <v>38</v>
      </c>
      <c r="D3648" s="110" t="s">
        <v>143</v>
      </c>
      <c r="E3648" s="110" t="s">
        <v>86</v>
      </c>
      <c r="F3648" s="117">
        <v>866</v>
      </c>
      <c r="G3648" s="110" t="s">
        <v>102</v>
      </c>
      <c r="H3648" s="110" t="str">
        <f t="shared" si="268"/>
        <v>Canyon Creek</v>
      </c>
      <c r="I3648" s="110" t="str">
        <f>IFERROR(VLOOKUP(H3648,LUTs!$A$1:$C$73,2,FALSE),"NA")</f>
        <v>Snohomish</v>
      </c>
      <c r="J3648" s="110" t="str">
        <f>IFERROR(VLOOKUP(H3648,LUTs!$A$1:$C$73,3,FALSE),"NA")</f>
        <v>2Central Puget Sound</v>
      </c>
      <c r="K3648" s="110" t="s">
        <v>18</v>
      </c>
      <c r="L3648" s="110" t="str">
        <f>VLOOKUP(K3648,LUTs!E$2:G$14,3,)</f>
        <v>06King</v>
      </c>
      <c r="M3648" s="110" t="str">
        <f>VLOOKUP($K3648,LUTs!$E$2:$H$14,2,)</f>
        <v>South Puget Sound</v>
      </c>
      <c r="N3648" s="110" t="str">
        <f>VLOOKUP($K3648,LUTs!$E$2:$H$14,4,)</f>
        <v>02South Puget Sound</v>
      </c>
      <c r="O3648" s="110">
        <v>10</v>
      </c>
      <c r="P3648" s="110">
        <v>85.4</v>
      </c>
      <c r="Q3648" s="110">
        <f>SUMIFS('FW_Steelhead_by_Month_2010-2021'!Q$2:Q$3810,'FW_Steelhead_by_Month_2010-2021'!$B$2:$B$3810,'Rec_raw_catch_effort_2010-2021'!$B3648,'FW_Steelhead_by_Month_2010-2021'!$H$2:$H$3810,'Rec_raw_catch_effort_2010-2021'!$F3648,'FW_Steelhead_by_Month_2010-2021'!$M$2:$M$3810,'Rec_raw_catch_effort_2010-2021'!$K3648)</f>
        <v>3</v>
      </c>
      <c r="R3648" s="111">
        <f>VLOOKUP(B3648,Readme!$A$62:$C$74,3,)*Q3648</f>
        <v>62.781711974637879</v>
      </c>
      <c r="S3648" s="140" t="str">
        <f t="shared" si="269"/>
        <v>Y</v>
      </c>
      <c r="T3648" s="154">
        <f t="shared" si="270"/>
        <v>8.5400000000000009</v>
      </c>
      <c r="U3648" s="154">
        <f t="shared" si="271"/>
        <v>20.927237324879293</v>
      </c>
    </row>
    <row r="3649" spans="1:21" x14ac:dyDescent="0.35">
      <c r="A3649" s="110">
        <v>2112</v>
      </c>
      <c r="B3649" s="110">
        <v>2018</v>
      </c>
      <c r="C3649" s="110" t="s">
        <v>38</v>
      </c>
      <c r="D3649" s="110" t="s">
        <v>143</v>
      </c>
      <c r="E3649" s="110" t="s">
        <v>86</v>
      </c>
      <c r="F3649" s="117">
        <v>866</v>
      </c>
      <c r="G3649" s="110" t="s">
        <v>102</v>
      </c>
      <c r="H3649" s="110" t="str">
        <f t="shared" si="268"/>
        <v>Canyon Creek</v>
      </c>
      <c r="I3649" s="110" t="str">
        <f>IFERROR(VLOOKUP(H3649,LUTs!$A$1:$C$73,2,FALSE),"NA")</f>
        <v>Snohomish</v>
      </c>
      <c r="J3649" s="110" t="str">
        <f>IFERROR(VLOOKUP(H3649,LUTs!$A$1:$C$73,3,FALSE),"NA")</f>
        <v>2Central Puget Sound</v>
      </c>
      <c r="K3649" s="110" t="s">
        <v>16</v>
      </c>
      <c r="L3649" s="110" t="str">
        <f>VLOOKUP(K3649,LUTs!E$2:G$14,3,)</f>
        <v>03Snohomish</v>
      </c>
      <c r="M3649" s="110" t="str">
        <f>VLOOKUP($K3649,LUTs!$E$2:$H$14,2,)</f>
        <v>North Puget Sound</v>
      </c>
      <c r="N3649" s="110" t="str">
        <f>VLOOKUP($K3649,LUTs!$E$2:$H$14,4,)</f>
        <v>01North Puget Sound</v>
      </c>
      <c r="O3649" s="110">
        <v>10</v>
      </c>
      <c r="P3649" s="110">
        <v>85.4</v>
      </c>
      <c r="Q3649" s="110">
        <f>SUMIFS('FW_Steelhead_by_Month_2010-2021'!Q$2:Q$3810,'FW_Steelhead_by_Month_2010-2021'!$B$2:$B$3810,'Rec_raw_catch_effort_2010-2021'!$B3649,'FW_Steelhead_by_Month_2010-2021'!$H$2:$H$3810,'Rec_raw_catch_effort_2010-2021'!$F3649,'FW_Steelhead_by_Month_2010-2021'!$M$2:$M$3810,'Rec_raw_catch_effort_2010-2021'!$K3649)</f>
        <v>7</v>
      </c>
      <c r="R3649" s="111">
        <f>VLOOKUP(B3649,Readme!$A$62:$C$74,3,)*Q3649</f>
        <v>146.49066127415506</v>
      </c>
      <c r="S3649" s="140" t="str">
        <f t="shared" si="269"/>
        <v>Y</v>
      </c>
      <c r="T3649" s="154">
        <f t="shared" si="270"/>
        <v>8.5400000000000009</v>
      </c>
      <c r="U3649" s="154">
        <f t="shared" si="271"/>
        <v>20.927237324879293</v>
      </c>
    </row>
    <row r="3650" spans="1:21" x14ac:dyDescent="0.35">
      <c r="A3650" s="110">
        <v>2585</v>
      </c>
      <c r="B3650" s="110">
        <v>2021</v>
      </c>
      <c r="C3650" s="110" t="s">
        <v>38</v>
      </c>
      <c r="D3650" s="110" t="s">
        <v>143</v>
      </c>
      <c r="E3650" s="110" t="s">
        <v>86</v>
      </c>
      <c r="F3650" s="117">
        <v>866</v>
      </c>
      <c r="G3650" s="110" t="s">
        <v>102</v>
      </c>
      <c r="H3650" s="110" t="str">
        <f t="shared" ref="H3650:H3713" si="272">G3650</f>
        <v>Canyon Creek</v>
      </c>
      <c r="I3650" s="110" t="str">
        <f>IFERROR(VLOOKUP(H3650,LUTs!$A$1:$C$73,2,FALSE),"NA")</f>
        <v>Snohomish</v>
      </c>
      <c r="J3650" s="110" t="str">
        <f>IFERROR(VLOOKUP(H3650,LUTs!$A$1:$C$73,3,FALSE),"NA")</f>
        <v>2Central Puget Sound</v>
      </c>
      <c r="K3650" s="110" t="s">
        <v>16</v>
      </c>
      <c r="L3650" s="110" t="str">
        <f>VLOOKUP(K3650,LUTs!E$2:G$14,3,)</f>
        <v>03Snohomish</v>
      </c>
      <c r="M3650" s="110" t="str">
        <f>VLOOKUP($K3650,LUTs!$E$2:$H$14,2,)</f>
        <v>North Puget Sound</v>
      </c>
      <c r="N3650" s="110" t="str">
        <f>VLOOKUP($K3650,LUTs!$E$2:$H$14,4,)</f>
        <v>01North Puget Sound</v>
      </c>
      <c r="O3650" s="110">
        <v>12</v>
      </c>
      <c r="P3650" s="110">
        <v>222.6</v>
      </c>
      <c r="Q3650" s="110">
        <f>SUMIFS('FW_Steelhead_by_Month_2010-2021'!Q$2:Q$3810,'FW_Steelhead_by_Month_2010-2021'!$B$2:$B$3810,'Rec_raw_catch_effort_2010-2021'!$B3650,'FW_Steelhead_by_Month_2010-2021'!$H$2:$H$3810,'Rec_raw_catch_effort_2010-2021'!$F3650,'FW_Steelhead_by_Month_2010-2021'!$M$2:$M$3810,'Rec_raw_catch_effort_2010-2021'!$K3650)</f>
        <v>6</v>
      </c>
      <c r="R3650" s="111">
        <f>VLOOKUP(B3650,Readme!$A$62:$C$74,3,)*Q3650</f>
        <v>125.56342394927576</v>
      </c>
      <c r="S3650" s="140" t="str">
        <f t="shared" si="269"/>
        <v>N</v>
      </c>
      <c r="T3650" s="154">
        <f t="shared" si="270"/>
        <v>18.55</v>
      </c>
      <c r="U3650" s="154">
        <f t="shared" si="271"/>
        <v>20.927237324879293</v>
      </c>
    </row>
    <row r="3651" spans="1:21" x14ac:dyDescent="0.35">
      <c r="A3651" s="110">
        <v>2133</v>
      </c>
      <c r="B3651" s="110">
        <v>2012</v>
      </c>
      <c r="C3651" s="110" t="s">
        <v>38</v>
      </c>
      <c r="D3651" s="110" t="s">
        <v>143</v>
      </c>
      <c r="E3651" s="110" t="s">
        <v>86</v>
      </c>
      <c r="F3651" s="117">
        <v>870</v>
      </c>
      <c r="G3651" s="110" t="s">
        <v>105</v>
      </c>
      <c r="H3651" s="110" t="str">
        <f t="shared" si="272"/>
        <v>Pilchuck Creek (Stillaguamish System)</v>
      </c>
      <c r="I3651" s="110" t="str">
        <f>IFERROR(VLOOKUP(H3651,LUTs!$A$1:$C$73,2,FALSE),"NA")</f>
        <v>Skagit/Snohomish</v>
      </c>
      <c r="J3651" s="110" t="str">
        <f>IFERROR(VLOOKUP(H3651,LUTs!$A$1:$C$73,3,FALSE),"NA")</f>
        <v>2Central Puget Sound</v>
      </c>
      <c r="K3651" s="110" t="s">
        <v>20</v>
      </c>
      <c r="L3651" s="110" t="str">
        <f>VLOOKUP(K3651,LUTs!E$2:G$14,3,)</f>
        <v>07Pierce</v>
      </c>
      <c r="M3651" s="110" t="str">
        <f>VLOOKUP($K3651,LUTs!$E$2:$H$14,2,)</f>
        <v>South Puget Sound</v>
      </c>
      <c r="N3651" s="110" t="str">
        <f>VLOOKUP($K3651,LUTs!$E$2:$H$14,4,)</f>
        <v>02South Puget Sound</v>
      </c>
      <c r="O3651" s="110">
        <v>4</v>
      </c>
      <c r="P3651" s="110">
        <v>34.159999999999997</v>
      </c>
      <c r="Q3651" s="110">
        <f>SUMIFS('FW_Steelhead_by_Month_2010-2021'!Q$2:Q$3810,'FW_Steelhead_by_Month_2010-2021'!$B$2:$B$3810,'Rec_raw_catch_effort_2010-2021'!$B3651,'FW_Steelhead_by_Month_2010-2021'!$H$2:$H$3810,'Rec_raw_catch_effort_2010-2021'!$F3651,'FW_Steelhead_by_Month_2010-2021'!$M$2:$M$3810,'Rec_raw_catch_effort_2010-2021'!$K3651)</f>
        <v>4</v>
      </c>
      <c r="R3651" s="111">
        <f>VLOOKUP(B3651,Readme!$A$62:$C$74,3,)*Q3651</f>
        <v>83.708949299517172</v>
      </c>
      <c r="S3651" s="140" t="str">
        <f t="shared" ref="S3651:S3714" si="273">IF(B3651&lt;=2019,"Y","N")</f>
        <v>Y</v>
      </c>
      <c r="T3651" s="154">
        <f t="shared" ref="T3651:T3714" si="274">IFERROR(P3651/O3651,"NA")</f>
        <v>8.5399999999999991</v>
      </c>
      <c r="U3651" s="154">
        <f t="shared" ref="U3651:U3714" si="275">IFERROR(R3651/Q3651,"NA")</f>
        <v>20.927237324879293</v>
      </c>
    </row>
    <row r="3652" spans="1:21" x14ac:dyDescent="0.35">
      <c r="A3652" s="110">
        <v>2137</v>
      </c>
      <c r="B3652" s="110">
        <v>2017</v>
      </c>
      <c r="C3652" s="110" t="s">
        <v>38</v>
      </c>
      <c r="D3652" s="110" t="s">
        <v>143</v>
      </c>
      <c r="E3652" s="110" t="s">
        <v>86</v>
      </c>
      <c r="F3652" s="117">
        <v>870</v>
      </c>
      <c r="G3652" s="110" t="s">
        <v>105</v>
      </c>
      <c r="H3652" s="110" t="str">
        <f t="shared" si="272"/>
        <v>Pilchuck Creek (Stillaguamish System)</v>
      </c>
      <c r="I3652" s="110" t="str">
        <f>IFERROR(VLOOKUP(H3652,LUTs!$A$1:$C$73,2,FALSE),"NA")</f>
        <v>Skagit/Snohomish</v>
      </c>
      <c r="J3652" s="110" t="str">
        <f>IFERROR(VLOOKUP(H3652,LUTs!$A$1:$C$73,3,FALSE),"NA")</f>
        <v>2Central Puget Sound</v>
      </c>
      <c r="K3652" s="110" t="s">
        <v>18</v>
      </c>
      <c r="L3652" s="110" t="str">
        <f>VLOOKUP(K3652,LUTs!E$2:G$14,3,)</f>
        <v>06King</v>
      </c>
      <c r="M3652" s="110" t="str">
        <f>VLOOKUP($K3652,LUTs!$E$2:$H$14,2,)</f>
        <v>South Puget Sound</v>
      </c>
      <c r="N3652" s="110" t="str">
        <f>VLOOKUP($K3652,LUTs!$E$2:$H$14,4,)</f>
        <v>02South Puget Sound</v>
      </c>
      <c r="O3652" s="110">
        <v>10</v>
      </c>
      <c r="P3652" s="110">
        <v>185.5</v>
      </c>
      <c r="Q3652" s="110">
        <f>SUMIFS('FW_Steelhead_by_Month_2010-2021'!Q$2:Q$3810,'FW_Steelhead_by_Month_2010-2021'!$B$2:$B$3810,'Rec_raw_catch_effort_2010-2021'!$B3652,'FW_Steelhead_by_Month_2010-2021'!$H$2:$H$3810,'Rec_raw_catch_effort_2010-2021'!$F3652,'FW_Steelhead_by_Month_2010-2021'!$M$2:$M$3810,'Rec_raw_catch_effort_2010-2021'!$K3652)</f>
        <v>5</v>
      </c>
      <c r="R3652" s="111">
        <f>VLOOKUP(B3652,Readme!$A$62:$C$74,3,)*Q3652</f>
        <v>104.63618662439646</v>
      </c>
      <c r="S3652" s="140" t="str">
        <f t="shared" si="273"/>
        <v>Y</v>
      </c>
      <c r="T3652" s="154">
        <f t="shared" si="274"/>
        <v>18.55</v>
      </c>
      <c r="U3652" s="154">
        <f t="shared" si="275"/>
        <v>20.927237324879293</v>
      </c>
    </row>
    <row r="3653" spans="1:21" x14ac:dyDescent="0.35">
      <c r="A3653" s="110">
        <v>2194</v>
      </c>
      <c r="B3653" s="110">
        <v>2018</v>
      </c>
      <c r="C3653" s="110" t="s">
        <v>38</v>
      </c>
      <c r="D3653" s="110" t="s">
        <v>143</v>
      </c>
      <c r="E3653" s="110" t="s">
        <v>86</v>
      </c>
      <c r="F3653" s="117">
        <v>870</v>
      </c>
      <c r="G3653" s="110" t="s">
        <v>105</v>
      </c>
      <c r="H3653" s="110" t="str">
        <f t="shared" si="272"/>
        <v>Pilchuck Creek (Stillaguamish System)</v>
      </c>
      <c r="I3653" s="110" t="str">
        <f>IFERROR(VLOOKUP(H3653,LUTs!$A$1:$C$73,2,FALSE),"NA")</f>
        <v>Skagit/Snohomish</v>
      </c>
      <c r="J3653" s="110" t="str">
        <f>IFERROR(VLOOKUP(H3653,LUTs!$A$1:$C$73,3,FALSE),"NA")</f>
        <v>2Central Puget Sound</v>
      </c>
      <c r="K3653" s="110" t="s">
        <v>16</v>
      </c>
      <c r="L3653" s="110" t="str">
        <f>VLOOKUP(K3653,LUTs!E$2:G$14,3,)</f>
        <v>03Snohomish</v>
      </c>
      <c r="M3653" s="110" t="str">
        <f>VLOOKUP($K3653,LUTs!$E$2:$H$14,2,)</f>
        <v>North Puget Sound</v>
      </c>
      <c r="N3653" s="110" t="str">
        <f>VLOOKUP($K3653,LUTs!$E$2:$H$14,4,)</f>
        <v>01North Puget Sound</v>
      </c>
      <c r="O3653" s="110">
        <v>40</v>
      </c>
      <c r="P3653" s="110">
        <v>341.6</v>
      </c>
      <c r="Q3653" s="110">
        <f>SUMIFS('FW_Steelhead_by_Month_2010-2021'!Q$2:Q$3810,'FW_Steelhead_by_Month_2010-2021'!$B$2:$B$3810,'Rec_raw_catch_effort_2010-2021'!$B3653,'FW_Steelhead_by_Month_2010-2021'!$H$2:$H$3810,'Rec_raw_catch_effort_2010-2021'!$F3653,'FW_Steelhead_by_Month_2010-2021'!$M$2:$M$3810,'Rec_raw_catch_effort_2010-2021'!$K3653)</f>
        <v>20</v>
      </c>
      <c r="R3653" s="111">
        <f>VLOOKUP(B3653,Readme!$A$62:$C$74,3,)*Q3653</f>
        <v>418.54474649758583</v>
      </c>
      <c r="S3653" s="140" t="str">
        <f t="shared" si="273"/>
        <v>Y</v>
      </c>
      <c r="T3653" s="154">
        <f t="shared" si="274"/>
        <v>8.5400000000000009</v>
      </c>
      <c r="U3653" s="154">
        <f t="shared" si="275"/>
        <v>20.927237324879293</v>
      </c>
    </row>
    <row r="3654" spans="1:21" x14ac:dyDescent="0.35">
      <c r="A3654" s="110">
        <v>2229</v>
      </c>
      <c r="B3654" s="110">
        <v>2010</v>
      </c>
      <c r="C3654" s="110" t="s">
        <v>38</v>
      </c>
      <c r="D3654" s="110" t="s">
        <v>143</v>
      </c>
      <c r="E3654" s="110" t="s">
        <v>86</v>
      </c>
      <c r="F3654" s="117">
        <v>872</v>
      </c>
      <c r="G3654" s="110" t="s">
        <v>103</v>
      </c>
      <c r="H3654" s="110" t="str">
        <f t="shared" si="272"/>
        <v>Stillaguamish R, No. Fork</v>
      </c>
      <c r="I3654" s="110" t="str">
        <f>IFERROR(VLOOKUP(H3654,LUTs!$A$1:$C$73,2,FALSE),"NA")</f>
        <v>Snohomish</v>
      </c>
      <c r="J3654" s="110" t="str">
        <f>IFERROR(VLOOKUP(H3654,LUTs!$A$1:$C$73,3,FALSE),"NA")</f>
        <v>2Central Puget Sound</v>
      </c>
      <c r="K3654" s="110" t="s">
        <v>18</v>
      </c>
      <c r="L3654" s="110" t="str">
        <f>VLOOKUP(K3654,LUTs!E$2:G$14,3,)</f>
        <v>06King</v>
      </c>
      <c r="M3654" s="110" t="str">
        <f>VLOOKUP($K3654,LUTs!$E$2:$H$14,2,)</f>
        <v>South Puget Sound</v>
      </c>
      <c r="N3654" s="110" t="str">
        <f>VLOOKUP($K3654,LUTs!$E$2:$H$14,4,)</f>
        <v>02South Puget Sound</v>
      </c>
      <c r="O3654" s="110">
        <v>15.535714285714301</v>
      </c>
      <c r="P3654" s="110">
        <v>132.67500000000001</v>
      </c>
      <c r="Q3654" s="110">
        <f>SUMIFS('FW_Steelhead_by_Month_2010-2021'!Q$2:Q$3810,'FW_Steelhead_by_Month_2010-2021'!$B$2:$B$3810,'Rec_raw_catch_effort_2010-2021'!$B3654,'FW_Steelhead_by_Month_2010-2021'!$H$2:$H$3810,'Rec_raw_catch_effort_2010-2021'!$F3654,'FW_Steelhead_by_Month_2010-2021'!$M$2:$M$3810,'Rec_raw_catch_effort_2010-2021'!$K3654)</f>
        <v>16.285714285714292</v>
      </c>
      <c r="R3654" s="111">
        <f>VLOOKUP(B3654,Readme!$A$62:$C$74,3,)*Q3654</f>
        <v>340.81500786232004</v>
      </c>
      <c r="S3654" s="140" t="str">
        <f t="shared" si="273"/>
        <v>Y</v>
      </c>
      <c r="T3654" s="154">
        <f t="shared" si="274"/>
        <v>8.539999999999992</v>
      </c>
      <c r="U3654" s="154">
        <f t="shared" si="275"/>
        <v>20.927237324879293</v>
      </c>
    </row>
    <row r="3655" spans="1:21" x14ac:dyDescent="0.35">
      <c r="A3655" s="110">
        <v>2230</v>
      </c>
      <c r="B3655" s="110">
        <v>2010</v>
      </c>
      <c r="C3655" s="110" t="s">
        <v>38</v>
      </c>
      <c r="D3655" s="110" t="s">
        <v>143</v>
      </c>
      <c r="E3655" s="110" t="s">
        <v>86</v>
      </c>
      <c r="F3655" s="117">
        <v>872</v>
      </c>
      <c r="G3655" s="110" t="s">
        <v>103</v>
      </c>
      <c r="H3655" s="110" t="str">
        <f t="shared" si="272"/>
        <v>Stillaguamish R, No. Fork</v>
      </c>
      <c r="I3655" s="110" t="str">
        <f>IFERROR(VLOOKUP(H3655,LUTs!$A$1:$C$73,2,FALSE),"NA")</f>
        <v>Snohomish</v>
      </c>
      <c r="J3655" s="110" t="str">
        <f>IFERROR(VLOOKUP(H3655,LUTs!$A$1:$C$73,3,FALSE),"NA")</f>
        <v>2Central Puget Sound</v>
      </c>
      <c r="K3655" s="110" t="s">
        <v>26</v>
      </c>
      <c r="L3655" s="110" t="str">
        <f>VLOOKUP(K3655,LUTs!E$2:G$14,3,)</f>
        <v>20Other</v>
      </c>
      <c r="M3655" s="110" t="str">
        <f>VLOOKUP($K3655,LUTs!$E$2:$H$14,2,)</f>
        <v>Non Puget Sound</v>
      </c>
      <c r="N3655" s="110" t="str">
        <f>VLOOKUP($K3655,LUTs!$E$2:$H$14,4,)</f>
        <v>07Non Puget Sound</v>
      </c>
      <c r="O3655" s="110">
        <v>2.58928571428571</v>
      </c>
      <c r="P3655" s="110">
        <v>22.112500000000001</v>
      </c>
      <c r="Q3655" s="110">
        <f>SUMIFS('FW_Steelhead_by_Month_2010-2021'!Q$2:Q$3810,'FW_Steelhead_by_Month_2010-2021'!$B$2:$B$3810,'Rec_raw_catch_effort_2010-2021'!$B3655,'FW_Steelhead_by_Month_2010-2021'!$H$2:$H$3810,'Rec_raw_catch_effort_2010-2021'!$F3655,'FW_Steelhead_by_Month_2010-2021'!$M$2:$M$3810,'Rec_raw_catch_effort_2010-2021'!$K3655)</f>
        <v>2.4285714285714302</v>
      </c>
      <c r="R3655" s="111">
        <f>VLOOKUP(B3655,Readme!$A$62:$C$74,3,)*Q3655</f>
        <v>50.823290646135462</v>
      </c>
      <c r="S3655" s="140" t="str">
        <f t="shared" si="273"/>
        <v>Y</v>
      </c>
      <c r="T3655" s="154">
        <f t="shared" si="274"/>
        <v>8.5400000000000151</v>
      </c>
      <c r="U3655" s="154">
        <f t="shared" si="275"/>
        <v>20.927237324879293</v>
      </c>
    </row>
    <row r="3656" spans="1:21" x14ac:dyDescent="0.35">
      <c r="A3656" s="110">
        <v>2228</v>
      </c>
      <c r="B3656" s="110">
        <v>2010</v>
      </c>
      <c r="C3656" s="110" t="s">
        <v>38</v>
      </c>
      <c r="D3656" s="110" t="s">
        <v>143</v>
      </c>
      <c r="E3656" s="110" t="s">
        <v>86</v>
      </c>
      <c r="F3656" s="117">
        <v>872</v>
      </c>
      <c r="G3656" s="110" t="s">
        <v>103</v>
      </c>
      <c r="H3656" s="110" t="str">
        <f t="shared" si="272"/>
        <v>Stillaguamish R, No. Fork</v>
      </c>
      <c r="I3656" s="110" t="str">
        <f>IFERROR(VLOOKUP(H3656,LUTs!$A$1:$C$73,2,FALSE),"NA")</f>
        <v>Snohomish</v>
      </c>
      <c r="J3656" s="110" t="str">
        <f>IFERROR(VLOOKUP(H3656,LUTs!$A$1:$C$73,3,FALSE),"NA")</f>
        <v>2Central Puget Sound</v>
      </c>
      <c r="K3656" s="110" t="s">
        <v>30</v>
      </c>
      <c r="L3656" s="110" t="str">
        <f>VLOOKUP(K3656,LUTs!E$2:G$14,3,)</f>
        <v>05San Juan</v>
      </c>
      <c r="M3656" s="110" t="str">
        <f>VLOOKUP($K3656,LUTs!$E$2:$H$14,2,)</f>
        <v>North Puget Sound</v>
      </c>
      <c r="N3656" s="110" t="str">
        <f>VLOOKUP($K3656,LUTs!$E$2:$H$14,4,)</f>
        <v>01North Puget Sound</v>
      </c>
      <c r="O3656" s="110">
        <v>2.58928571428571</v>
      </c>
      <c r="P3656" s="110">
        <v>22.112500000000001</v>
      </c>
      <c r="Q3656" s="110">
        <f>SUMIFS('FW_Steelhead_by_Month_2010-2021'!Q$2:Q$3810,'FW_Steelhead_by_Month_2010-2021'!$B$2:$B$3810,'Rec_raw_catch_effort_2010-2021'!$B3656,'FW_Steelhead_by_Month_2010-2021'!$H$2:$H$3810,'Rec_raw_catch_effort_2010-2021'!$F3656,'FW_Steelhead_by_Month_2010-2021'!$M$2:$M$3810,'Rec_raw_catch_effort_2010-2021'!$K3656)</f>
        <v>0</v>
      </c>
      <c r="R3656" s="111">
        <f>VLOOKUP(B3656,Readme!$A$62:$C$74,3,)*Q3656</f>
        <v>0</v>
      </c>
      <c r="S3656" s="140" t="str">
        <f t="shared" si="273"/>
        <v>Y</v>
      </c>
      <c r="T3656" s="154">
        <f t="shared" si="274"/>
        <v>8.5400000000000151</v>
      </c>
      <c r="U3656" s="154" t="str">
        <f t="shared" si="275"/>
        <v>NA</v>
      </c>
    </row>
    <row r="3657" spans="1:21" x14ac:dyDescent="0.35">
      <c r="A3657" s="110">
        <v>2082</v>
      </c>
      <c r="B3657" s="110">
        <v>2010</v>
      </c>
      <c r="C3657" s="110" t="s">
        <v>38</v>
      </c>
      <c r="D3657" s="110" t="s">
        <v>143</v>
      </c>
      <c r="E3657" s="110" t="s">
        <v>86</v>
      </c>
      <c r="F3657" s="117">
        <v>872</v>
      </c>
      <c r="G3657" s="110" t="s">
        <v>103</v>
      </c>
      <c r="H3657" s="110" t="str">
        <f t="shared" si="272"/>
        <v>Stillaguamish R, No. Fork</v>
      </c>
      <c r="I3657" s="110" t="str">
        <f>IFERROR(VLOOKUP(H3657,LUTs!$A$1:$C$73,2,FALSE),"NA")</f>
        <v>Snohomish</v>
      </c>
      <c r="J3657" s="110" t="str">
        <f>IFERROR(VLOOKUP(H3657,LUTs!$A$1:$C$73,3,FALSE),"NA")</f>
        <v>2Central Puget Sound</v>
      </c>
      <c r="K3657" s="110" t="s">
        <v>15</v>
      </c>
      <c r="L3657" s="110" t="str">
        <f>VLOOKUP(K3657,LUTs!E$2:G$14,3,)</f>
        <v>02Skagit</v>
      </c>
      <c r="M3657" s="110" t="str">
        <f>VLOOKUP($K3657,LUTs!$E$2:$H$14,2,)</f>
        <v>North Puget Sound</v>
      </c>
      <c r="N3657" s="110" t="str">
        <f>VLOOKUP($K3657,LUTs!$E$2:$H$14,4,)</f>
        <v>01North Puget Sound</v>
      </c>
      <c r="O3657" s="110">
        <v>5.1785714285714297</v>
      </c>
      <c r="P3657" s="110">
        <v>44.225000000000001</v>
      </c>
      <c r="Q3657" s="110">
        <f>SUMIFS('FW_Steelhead_by_Month_2010-2021'!Q$2:Q$3810,'FW_Steelhead_by_Month_2010-2021'!$B$2:$B$3810,'Rec_raw_catch_effort_2010-2021'!$B3657,'FW_Steelhead_by_Month_2010-2021'!$H$2:$H$3810,'Rec_raw_catch_effort_2010-2021'!$F3657,'FW_Steelhead_by_Month_2010-2021'!$M$2:$M$3810,'Rec_raw_catch_effort_2010-2021'!$K3657)</f>
        <v>5.4285714285714306</v>
      </c>
      <c r="R3657" s="111">
        <f>VLOOKUP(B3657,Readme!$A$62:$C$74,3,)*Q3657</f>
        <v>113.60500262077335</v>
      </c>
      <c r="S3657" s="140" t="str">
        <f t="shared" si="273"/>
        <v>Y</v>
      </c>
      <c r="T3657" s="154">
        <f t="shared" si="274"/>
        <v>8.5399999999999991</v>
      </c>
      <c r="U3657" s="154">
        <f t="shared" si="275"/>
        <v>20.927237324879293</v>
      </c>
    </row>
    <row r="3658" spans="1:21" x14ac:dyDescent="0.35">
      <c r="A3658" s="110">
        <v>2083</v>
      </c>
      <c r="B3658" s="110">
        <v>2010</v>
      </c>
      <c r="C3658" s="110" t="s">
        <v>38</v>
      </c>
      <c r="D3658" s="110" t="s">
        <v>143</v>
      </c>
      <c r="E3658" s="110" t="s">
        <v>86</v>
      </c>
      <c r="F3658" s="117">
        <v>872</v>
      </c>
      <c r="G3658" s="110" t="s">
        <v>103</v>
      </c>
      <c r="H3658" s="110" t="str">
        <f t="shared" si="272"/>
        <v>Stillaguamish R, No. Fork</v>
      </c>
      <c r="I3658" s="110" t="str">
        <f>IFERROR(VLOOKUP(H3658,LUTs!$A$1:$C$73,2,FALSE),"NA")</f>
        <v>Snohomish</v>
      </c>
      <c r="J3658" s="110" t="str">
        <f>IFERROR(VLOOKUP(H3658,LUTs!$A$1:$C$73,3,FALSE),"NA")</f>
        <v>2Central Puget Sound</v>
      </c>
      <c r="K3658" s="110" t="s">
        <v>16</v>
      </c>
      <c r="L3658" s="110" t="str">
        <f>VLOOKUP(K3658,LUTs!E$2:G$14,3,)</f>
        <v>03Snohomish</v>
      </c>
      <c r="M3658" s="110" t="str">
        <f>VLOOKUP($K3658,LUTs!$E$2:$H$14,2,)</f>
        <v>North Puget Sound</v>
      </c>
      <c r="N3658" s="110" t="str">
        <f>VLOOKUP($K3658,LUTs!$E$2:$H$14,4,)</f>
        <v>01North Puget Sound</v>
      </c>
      <c r="O3658" s="110">
        <v>119.107142857143</v>
      </c>
      <c r="P3658" s="110">
        <v>1017.175</v>
      </c>
      <c r="Q3658" s="110">
        <f>SUMIFS('FW_Steelhead_by_Month_2010-2021'!Q$2:Q$3810,'FW_Steelhead_by_Month_2010-2021'!$B$2:$B$3810,'Rec_raw_catch_effort_2010-2021'!$B3658,'FW_Steelhead_by_Month_2010-2021'!$H$2:$H$3810,'Rec_raw_catch_effort_2010-2021'!$F3658,'FW_Steelhead_by_Month_2010-2021'!$M$2:$M$3810,'Rec_raw_catch_effort_2010-2021'!$K3658)</f>
        <v>105.85714285714286</v>
      </c>
      <c r="R3658" s="111">
        <f>VLOOKUP(B3658,Readme!$A$62:$C$74,3,)*Q3658</f>
        <v>2215.2975511050795</v>
      </c>
      <c r="S3658" s="140" t="str">
        <f t="shared" si="273"/>
        <v>Y</v>
      </c>
      <c r="T3658" s="154">
        <f t="shared" si="274"/>
        <v>8.5399999999999885</v>
      </c>
      <c r="U3658" s="154">
        <f t="shared" si="275"/>
        <v>20.927237324879293</v>
      </c>
    </row>
    <row r="3659" spans="1:21" x14ac:dyDescent="0.35">
      <c r="A3659" s="110">
        <v>2801</v>
      </c>
      <c r="B3659" s="110">
        <v>2011</v>
      </c>
      <c r="C3659" s="110" t="s">
        <v>38</v>
      </c>
      <c r="D3659" s="110" t="s">
        <v>143</v>
      </c>
      <c r="E3659" s="110" t="s">
        <v>86</v>
      </c>
      <c r="F3659" s="117">
        <v>872</v>
      </c>
      <c r="G3659" s="110" t="s">
        <v>103</v>
      </c>
      <c r="H3659" s="110" t="str">
        <f t="shared" si="272"/>
        <v>Stillaguamish R, No. Fork</v>
      </c>
      <c r="I3659" s="110" t="str">
        <f>IFERROR(VLOOKUP(H3659,LUTs!$A$1:$C$73,2,FALSE),"NA")</f>
        <v>Snohomish</v>
      </c>
      <c r="J3659" s="110" t="str">
        <f>IFERROR(VLOOKUP(H3659,LUTs!$A$1:$C$73,3,FALSE),"NA")</f>
        <v>2Central Puget Sound</v>
      </c>
      <c r="K3659" s="110" t="s">
        <v>17</v>
      </c>
      <c r="L3659" s="110" t="str">
        <f>VLOOKUP(K3659,LUTs!E$2:G$14,3,)</f>
        <v>04Island</v>
      </c>
      <c r="M3659" s="110" t="str">
        <f>VLOOKUP($K3659,LUTs!$E$2:$H$14,2,)</f>
        <v>North Puget Sound</v>
      </c>
      <c r="N3659" s="110" t="str">
        <f>VLOOKUP($K3659,LUTs!$E$2:$H$14,4,)</f>
        <v>01North Puget Sound</v>
      </c>
      <c r="O3659" s="110">
        <v>8.1162790697674403</v>
      </c>
      <c r="P3659" s="110">
        <v>150.55697674418599</v>
      </c>
      <c r="Q3659" s="110">
        <f>SUMIFS('FW_Steelhead_by_Month_2010-2021'!Q$2:Q$3810,'FW_Steelhead_by_Month_2010-2021'!$B$2:$B$3810,'Rec_raw_catch_effort_2010-2021'!$B3659,'FW_Steelhead_by_Month_2010-2021'!$H$2:$H$3810,'Rec_raw_catch_effort_2010-2021'!$F3659,'FW_Steelhead_by_Month_2010-2021'!$M$2:$M$3810,'Rec_raw_catch_effort_2010-2021'!$K3659)</f>
        <v>8.6422764227642297</v>
      </c>
      <c r="R3659" s="111">
        <f>VLOOKUP(B3659,Readme!$A$62:$C$74,3,)*Q3659</f>
        <v>180.85896972639588</v>
      </c>
      <c r="S3659" s="140" t="str">
        <f t="shared" si="273"/>
        <v>Y</v>
      </c>
      <c r="T3659" s="154">
        <f t="shared" si="274"/>
        <v>18.549999999999997</v>
      </c>
      <c r="U3659" s="154">
        <f t="shared" si="275"/>
        <v>20.927237324879293</v>
      </c>
    </row>
    <row r="3660" spans="1:21" x14ac:dyDescent="0.35">
      <c r="A3660" s="110">
        <v>2803</v>
      </c>
      <c r="B3660" s="110">
        <v>2011</v>
      </c>
      <c r="C3660" s="110" t="s">
        <v>38</v>
      </c>
      <c r="D3660" s="110" t="s">
        <v>143</v>
      </c>
      <c r="E3660" s="110" t="s">
        <v>86</v>
      </c>
      <c r="F3660" s="117">
        <v>872</v>
      </c>
      <c r="G3660" s="110" t="s">
        <v>103</v>
      </c>
      <c r="H3660" s="110" t="str">
        <f t="shared" si="272"/>
        <v>Stillaguamish R, No. Fork</v>
      </c>
      <c r="I3660" s="110" t="str">
        <f>IFERROR(VLOOKUP(H3660,LUTs!$A$1:$C$73,2,FALSE),"NA")</f>
        <v>Snohomish</v>
      </c>
      <c r="J3660" s="110" t="str">
        <f>IFERROR(VLOOKUP(H3660,LUTs!$A$1:$C$73,3,FALSE),"NA")</f>
        <v>2Central Puget Sound</v>
      </c>
      <c r="K3660" s="110" t="s">
        <v>18</v>
      </c>
      <c r="L3660" s="110" t="str">
        <f>VLOOKUP(K3660,LUTs!E$2:G$14,3,)</f>
        <v>06King</v>
      </c>
      <c r="M3660" s="110" t="str">
        <f>VLOOKUP($K3660,LUTs!$E$2:$H$14,2,)</f>
        <v>South Puget Sound</v>
      </c>
      <c r="N3660" s="110" t="str">
        <f>VLOOKUP($K3660,LUTs!$E$2:$H$14,4,)</f>
        <v>02South Puget Sound</v>
      </c>
      <c r="O3660" s="110">
        <v>24.3488372093023</v>
      </c>
      <c r="P3660" s="110">
        <v>451.67093023255802</v>
      </c>
      <c r="Q3660" s="110">
        <f>SUMIFS('FW_Steelhead_by_Month_2010-2021'!Q$2:Q$3810,'FW_Steelhead_by_Month_2010-2021'!$B$2:$B$3810,'Rec_raw_catch_effort_2010-2021'!$B3660,'FW_Steelhead_by_Month_2010-2021'!$H$2:$H$3810,'Rec_raw_catch_effort_2010-2021'!$F3660,'FW_Steelhead_by_Month_2010-2021'!$M$2:$M$3810,'Rec_raw_catch_effort_2010-2021'!$K3660)</f>
        <v>22.05755277720845</v>
      </c>
      <c r="R3660" s="111">
        <f>VLOOKUP(B3660,Readme!$A$62:$C$74,3,)*Q3660</f>
        <v>461.6036417746916</v>
      </c>
      <c r="S3660" s="140" t="str">
        <f t="shared" si="273"/>
        <v>Y</v>
      </c>
      <c r="T3660" s="154">
        <f t="shared" si="274"/>
        <v>18.550000000000015</v>
      </c>
      <c r="U3660" s="154">
        <f t="shared" si="275"/>
        <v>20.927237324879293</v>
      </c>
    </row>
    <row r="3661" spans="1:21" x14ac:dyDescent="0.35">
      <c r="A3661" s="110">
        <v>2804</v>
      </c>
      <c r="B3661" s="110">
        <v>2011</v>
      </c>
      <c r="C3661" s="110" t="s">
        <v>38</v>
      </c>
      <c r="D3661" s="110" t="s">
        <v>143</v>
      </c>
      <c r="E3661" s="110" t="s">
        <v>86</v>
      </c>
      <c r="F3661" s="117">
        <v>872</v>
      </c>
      <c r="G3661" s="110" t="s">
        <v>103</v>
      </c>
      <c r="H3661" s="110" t="str">
        <f t="shared" si="272"/>
        <v>Stillaguamish R, No. Fork</v>
      </c>
      <c r="I3661" s="110" t="str">
        <f>IFERROR(VLOOKUP(H3661,LUTs!$A$1:$C$73,2,FALSE),"NA")</f>
        <v>Snohomish</v>
      </c>
      <c r="J3661" s="110" t="str">
        <f>IFERROR(VLOOKUP(H3661,LUTs!$A$1:$C$73,3,FALSE),"NA")</f>
        <v>2Central Puget Sound</v>
      </c>
      <c r="K3661" s="110" t="s">
        <v>26</v>
      </c>
      <c r="L3661" s="110" t="str">
        <f>VLOOKUP(K3661,LUTs!E$2:G$14,3,)</f>
        <v>20Other</v>
      </c>
      <c r="M3661" s="110" t="str">
        <f>VLOOKUP($K3661,LUTs!$E$2:$H$14,2,)</f>
        <v>Non Puget Sound</v>
      </c>
      <c r="N3661" s="110" t="str">
        <f>VLOOKUP($K3661,LUTs!$E$2:$H$14,4,)</f>
        <v>07Non Puget Sound</v>
      </c>
      <c r="O3661" s="110">
        <v>2.7054263565891499</v>
      </c>
      <c r="P3661" s="110">
        <v>50.185658914728698</v>
      </c>
      <c r="Q3661" s="110">
        <f>SUMIFS('FW_Steelhead_by_Month_2010-2021'!Q$2:Q$3810,'FW_Steelhead_by_Month_2010-2021'!$B$2:$B$3810,'Rec_raw_catch_effort_2010-2021'!$B3661,'FW_Steelhead_by_Month_2010-2021'!$H$2:$H$3810,'Rec_raw_catch_effort_2010-2021'!$F3661,'FW_Steelhead_by_Month_2010-2021'!$M$2:$M$3810,'Rec_raw_catch_effort_2010-2021'!$K3661)</f>
        <v>3.71428571428571</v>
      </c>
      <c r="R3661" s="111">
        <f>VLOOKUP(B3661,Readme!$A$62:$C$74,3,)*Q3661</f>
        <v>77.729738635265861</v>
      </c>
      <c r="S3661" s="140" t="str">
        <f t="shared" si="273"/>
        <v>Y</v>
      </c>
      <c r="T3661" s="154">
        <f t="shared" si="274"/>
        <v>18.549999999999986</v>
      </c>
      <c r="U3661" s="154">
        <f t="shared" si="275"/>
        <v>20.927237324879293</v>
      </c>
    </row>
    <row r="3662" spans="1:21" x14ac:dyDescent="0.35">
      <c r="A3662" s="110">
        <v>2802</v>
      </c>
      <c r="B3662" s="110">
        <v>2011</v>
      </c>
      <c r="C3662" s="110" t="s">
        <v>38</v>
      </c>
      <c r="D3662" s="110" t="s">
        <v>143</v>
      </c>
      <c r="E3662" s="110" t="s">
        <v>86</v>
      </c>
      <c r="F3662" s="117">
        <v>872</v>
      </c>
      <c r="G3662" s="110" t="s">
        <v>103</v>
      </c>
      <c r="H3662" s="110" t="str">
        <f t="shared" si="272"/>
        <v>Stillaguamish R, No. Fork</v>
      </c>
      <c r="I3662" s="110" t="str">
        <f>IFERROR(VLOOKUP(H3662,LUTs!$A$1:$C$73,2,FALSE),"NA")</f>
        <v>Snohomish</v>
      </c>
      <c r="J3662" s="110" t="str">
        <f>IFERROR(VLOOKUP(H3662,LUTs!$A$1:$C$73,3,FALSE),"NA")</f>
        <v>2Central Puget Sound</v>
      </c>
      <c r="K3662" s="110" t="s">
        <v>30</v>
      </c>
      <c r="L3662" s="110" t="str">
        <f>VLOOKUP(K3662,LUTs!E$2:G$14,3,)</f>
        <v>05San Juan</v>
      </c>
      <c r="M3662" s="110" t="str">
        <f>VLOOKUP($K3662,LUTs!$E$2:$H$14,2,)</f>
        <v>North Puget Sound</v>
      </c>
      <c r="N3662" s="110" t="str">
        <f>VLOOKUP($K3662,LUTs!$E$2:$H$14,4,)</f>
        <v>01North Puget Sound</v>
      </c>
      <c r="O3662" s="110">
        <v>24.3488372093023</v>
      </c>
      <c r="P3662" s="110">
        <v>451.67093023255802</v>
      </c>
      <c r="Q3662" s="110">
        <f>SUMIFS('FW_Steelhead_by_Month_2010-2021'!Q$2:Q$3810,'FW_Steelhead_by_Month_2010-2021'!$B$2:$B$3810,'Rec_raw_catch_effort_2010-2021'!$B3662,'FW_Steelhead_by_Month_2010-2021'!$H$2:$H$3810,'Rec_raw_catch_effort_2010-2021'!$F3662,'FW_Steelhead_by_Month_2010-2021'!$M$2:$M$3810,'Rec_raw_catch_effort_2010-2021'!$K3662)</f>
        <v>23.628919860627207</v>
      </c>
      <c r="R3662" s="111">
        <f>VLOOKUP(B3662,Readme!$A$62:$C$74,3,)*Q3662</f>
        <v>494.48801365389932</v>
      </c>
      <c r="S3662" s="140" t="str">
        <f t="shared" si="273"/>
        <v>Y</v>
      </c>
      <c r="T3662" s="154">
        <f t="shared" si="274"/>
        <v>18.550000000000015</v>
      </c>
      <c r="U3662" s="154">
        <f t="shared" si="275"/>
        <v>20.927237324879293</v>
      </c>
    </row>
    <row r="3663" spans="1:21" x14ac:dyDescent="0.35">
      <c r="A3663" s="110">
        <v>2799</v>
      </c>
      <c r="B3663" s="110">
        <v>2011</v>
      </c>
      <c r="C3663" s="110" t="s">
        <v>38</v>
      </c>
      <c r="D3663" s="110" t="s">
        <v>143</v>
      </c>
      <c r="E3663" s="110" t="s">
        <v>86</v>
      </c>
      <c r="F3663" s="117">
        <v>872</v>
      </c>
      <c r="G3663" s="110" t="s">
        <v>103</v>
      </c>
      <c r="H3663" s="110" t="str">
        <f t="shared" si="272"/>
        <v>Stillaguamish R, No. Fork</v>
      </c>
      <c r="I3663" s="110" t="str">
        <f>IFERROR(VLOOKUP(H3663,LUTs!$A$1:$C$73,2,FALSE),"NA")</f>
        <v>Snohomish</v>
      </c>
      <c r="J3663" s="110" t="str">
        <f>IFERROR(VLOOKUP(H3663,LUTs!$A$1:$C$73,3,FALSE),"NA")</f>
        <v>2Central Puget Sound</v>
      </c>
      <c r="K3663" s="110" t="s">
        <v>15</v>
      </c>
      <c r="L3663" s="110" t="str">
        <f>VLOOKUP(K3663,LUTs!E$2:G$14,3,)</f>
        <v>02Skagit</v>
      </c>
      <c r="M3663" s="110" t="str">
        <f>VLOOKUP($K3663,LUTs!$E$2:$H$14,2,)</f>
        <v>North Puget Sound</v>
      </c>
      <c r="N3663" s="110" t="str">
        <f>VLOOKUP($K3663,LUTs!$E$2:$H$14,4,)</f>
        <v>01North Puget Sound</v>
      </c>
      <c r="O3663" s="110">
        <v>16.232558139534898</v>
      </c>
      <c r="P3663" s="110">
        <v>301.11395348837198</v>
      </c>
      <c r="Q3663" s="110">
        <f>SUMIFS('FW_Steelhead_by_Month_2010-2021'!Q$2:Q$3810,'FW_Steelhead_by_Month_2010-2021'!$B$2:$B$3810,'Rec_raw_catch_effort_2010-2021'!$B3663,'FW_Steelhead_by_Month_2010-2021'!$H$2:$H$3810,'Rec_raw_catch_effort_2010-2021'!$F3663,'FW_Steelhead_by_Month_2010-2021'!$M$2:$M$3810,'Rec_raw_catch_effort_2010-2021'!$K3663)</f>
        <v>19.68403361344534</v>
      </c>
      <c r="R3663" s="111">
        <f>VLOOKUP(B3663,Readme!$A$62:$C$74,3,)*Q3663</f>
        <v>411.93244293947197</v>
      </c>
      <c r="S3663" s="140" t="str">
        <f t="shared" si="273"/>
        <v>Y</v>
      </c>
      <c r="T3663" s="154">
        <f t="shared" si="274"/>
        <v>18.549999999999976</v>
      </c>
      <c r="U3663" s="154">
        <f t="shared" si="275"/>
        <v>20.927237324879293</v>
      </c>
    </row>
    <row r="3664" spans="1:21" x14ac:dyDescent="0.35">
      <c r="A3664" s="110">
        <v>2800</v>
      </c>
      <c r="B3664" s="110">
        <v>2011</v>
      </c>
      <c r="C3664" s="110" t="s">
        <v>38</v>
      </c>
      <c r="D3664" s="110" t="s">
        <v>143</v>
      </c>
      <c r="E3664" s="110" t="s">
        <v>86</v>
      </c>
      <c r="F3664" s="117">
        <v>872</v>
      </c>
      <c r="G3664" s="110" t="s">
        <v>103</v>
      </c>
      <c r="H3664" s="110" t="str">
        <f t="shared" si="272"/>
        <v>Stillaguamish R, No. Fork</v>
      </c>
      <c r="I3664" s="110" t="str">
        <f>IFERROR(VLOOKUP(H3664,LUTs!$A$1:$C$73,2,FALSE),"NA")</f>
        <v>Snohomish</v>
      </c>
      <c r="J3664" s="110" t="str">
        <f>IFERROR(VLOOKUP(H3664,LUTs!$A$1:$C$73,3,FALSE),"NA")</f>
        <v>2Central Puget Sound</v>
      </c>
      <c r="K3664" s="110" t="s">
        <v>16</v>
      </c>
      <c r="L3664" s="110" t="str">
        <f>VLOOKUP(K3664,LUTs!E$2:G$14,3,)</f>
        <v>03Snohomish</v>
      </c>
      <c r="M3664" s="110" t="str">
        <f>VLOOKUP($K3664,LUTs!$E$2:$H$14,2,)</f>
        <v>North Puget Sound</v>
      </c>
      <c r="N3664" s="110" t="str">
        <f>VLOOKUP($K3664,LUTs!$E$2:$H$14,4,)</f>
        <v>01North Puget Sound</v>
      </c>
      <c r="O3664" s="110">
        <v>267.83720930232602</v>
      </c>
      <c r="P3664" s="110">
        <v>4968.3802325581501</v>
      </c>
      <c r="Q3664" s="110">
        <f>SUMIFS('FW_Steelhead_by_Month_2010-2021'!Q$2:Q$3810,'FW_Steelhead_by_Month_2010-2021'!$B$2:$B$3810,'Rec_raw_catch_effort_2010-2021'!$B3664,'FW_Steelhead_by_Month_2010-2021'!$H$2:$H$3810,'Rec_raw_catch_effort_2010-2021'!$F3664,'FW_Steelhead_by_Month_2010-2021'!$M$2:$M$3810,'Rec_raw_catch_effort_2010-2021'!$K3664)</f>
        <v>179.33175514108083</v>
      </c>
      <c r="R3664" s="111">
        <f>VLOOKUP(B3664,Readme!$A$62:$C$74,3,)*Q3664</f>
        <v>3752.918199724541</v>
      </c>
      <c r="S3664" s="140" t="str">
        <f t="shared" si="273"/>
        <v>Y</v>
      </c>
      <c r="T3664" s="154">
        <f t="shared" si="274"/>
        <v>18.550000000000008</v>
      </c>
      <c r="U3664" s="154">
        <f t="shared" si="275"/>
        <v>20.927237324879293</v>
      </c>
    </row>
    <row r="3665" spans="1:21" x14ac:dyDescent="0.35">
      <c r="A3665" s="110">
        <v>2698</v>
      </c>
      <c r="B3665" s="110">
        <v>2011</v>
      </c>
      <c r="C3665" s="110" t="s">
        <v>38</v>
      </c>
      <c r="D3665" s="110" t="s">
        <v>143</v>
      </c>
      <c r="E3665" s="110" t="s">
        <v>86</v>
      </c>
      <c r="F3665" s="117">
        <v>872</v>
      </c>
      <c r="G3665" s="110" t="s">
        <v>103</v>
      </c>
      <c r="H3665" s="110" t="str">
        <f t="shared" si="272"/>
        <v>Stillaguamish R, No. Fork</v>
      </c>
      <c r="I3665" s="110" t="str">
        <f>IFERROR(VLOOKUP(H3665,LUTs!$A$1:$C$73,2,FALSE),"NA")</f>
        <v>Snohomish</v>
      </c>
      <c r="J3665" s="110" t="str">
        <f>IFERROR(VLOOKUP(H3665,LUTs!$A$1:$C$73,3,FALSE),"NA")</f>
        <v>2Central Puget Sound</v>
      </c>
      <c r="K3665" s="110" t="s">
        <v>13</v>
      </c>
      <c r="L3665" s="110" t="str">
        <f>VLOOKUP(K3665,LUTs!E$2:G$14,3,)</f>
        <v>01Whatcom</v>
      </c>
      <c r="M3665" s="110" t="str">
        <f>VLOOKUP($K3665,LUTs!$E$2:$H$14,2,)</f>
        <v>North Puget Sound</v>
      </c>
      <c r="N3665" s="110" t="str">
        <f>VLOOKUP($K3665,LUTs!$E$2:$H$14,4,)</f>
        <v>01North Puget Sound</v>
      </c>
      <c r="O3665" s="110">
        <v>5.4108527131782997</v>
      </c>
      <c r="P3665" s="110">
        <v>100.371317829457</v>
      </c>
      <c r="Q3665" s="110">
        <f>SUMIFS('FW_Steelhead_by_Month_2010-2021'!Q$2:Q$3810,'FW_Steelhead_by_Month_2010-2021'!$B$2:$B$3810,'Rec_raw_catch_effort_2010-2021'!$B3665,'FW_Steelhead_by_Month_2010-2021'!$H$2:$H$3810,'Rec_raw_catch_effort_2010-2021'!$F3665,'FW_Steelhead_by_Month_2010-2021'!$M$2:$M$3810,'Rec_raw_catch_effort_2010-2021'!$K3665)</f>
        <v>4.9411764705882399</v>
      </c>
      <c r="R3665" s="111">
        <f>VLOOKUP(B3665,Readme!$A$62:$C$74,3,)*Q3665</f>
        <v>103.40517266410954</v>
      </c>
      <c r="S3665" s="140" t="str">
        <f t="shared" si="273"/>
        <v>Y</v>
      </c>
      <c r="T3665" s="154">
        <f t="shared" si="274"/>
        <v>18.549999999999915</v>
      </c>
      <c r="U3665" s="154">
        <f t="shared" si="275"/>
        <v>20.927237324879293</v>
      </c>
    </row>
    <row r="3666" spans="1:21" x14ac:dyDescent="0.35">
      <c r="A3666" s="110">
        <v>1278</v>
      </c>
      <c r="B3666" s="110">
        <v>2012</v>
      </c>
      <c r="C3666" s="110" t="s">
        <v>38</v>
      </c>
      <c r="D3666" s="110" t="s">
        <v>143</v>
      </c>
      <c r="E3666" s="110" t="s">
        <v>86</v>
      </c>
      <c r="F3666" s="117">
        <v>872</v>
      </c>
      <c r="G3666" s="110" t="s">
        <v>103</v>
      </c>
      <c r="H3666" s="110" t="str">
        <f t="shared" si="272"/>
        <v>Stillaguamish R, No. Fork</v>
      </c>
      <c r="I3666" s="110" t="str">
        <f>IFERROR(VLOOKUP(H3666,LUTs!$A$1:$C$73,2,FALSE),"NA")</f>
        <v>Snohomish</v>
      </c>
      <c r="J3666" s="110" t="str">
        <f>IFERROR(VLOOKUP(H3666,LUTs!$A$1:$C$73,3,FALSE),"NA")</f>
        <v>2Central Puget Sound</v>
      </c>
      <c r="K3666" s="110" t="s">
        <v>17</v>
      </c>
      <c r="L3666" s="110" t="str">
        <f>VLOOKUP(K3666,LUTs!E$2:G$14,3,)</f>
        <v>04Island</v>
      </c>
      <c r="M3666" s="110" t="str">
        <f>VLOOKUP($K3666,LUTs!$E$2:$H$14,2,)</f>
        <v>North Puget Sound</v>
      </c>
      <c r="N3666" s="110" t="str">
        <f>VLOOKUP($K3666,LUTs!$E$2:$H$14,4,)</f>
        <v>01North Puget Sound</v>
      </c>
      <c r="O3666" s="110">
        <v>16.787564766839399</v>
      </c>
      <c r="P3666" s="110">
        <v>143.365803108808</v>
      </c>
      <c r="Q3666" s="110">
        <f>SUMIFS('FW_Steelhead_by_Month_2010-2021'!Q$2:Q$3810,'FW_Steelhead_by_Month_2010-2021'!$B$2:$B$3810,'Rec_raw_catch_effort_2010-2021'!$B3666,'FW_Steelhead_by_Month_2010-2021'!$H$2:$H$3810,'Rec_raw_catch_effort_2010-2021'!$F3666,'FW_Steelhead_by_Month_2010-2021'!$M$2:$M$3810,'Rec_raw_catch_effort_2010-2021'!$K3666)</f>
        <v>21.551724137931</v>
      </c>
      <c r="R3666" s="111">
        <f>VLOOKUP(B3666,Readme!$A$62:$C$74,3,)*Q3666</f>
        <v>451.01804579481166</v>
      </c>
      <c r="S3666" s="140" t="str">
        <f t="shared" si="273"/>
        <v>Y</v>
      </c>
      <c r="T3666" s="154">
        <f t="shared" si="274"/>
        <v>8.5399999999999725</v>
      </c>
      <c r="U3666" s="154">
        <f t="shared" si="275"/>
        <v>20.927237324879293</v>
      </c>
    </row>
    <row r="3667" spans="1:21" x14ac:dyDescent="0.35">
      <c r="A3667" s="110">
        <v>1280</v>
      </c>
      <c r="B3667" s="110">
        <v>2012</v>
      </c>
      <c r="C3667" s="110" t="s">
        <v>38</v>
      </c>
      <c r="D3667" s="110" t="s">
        <v>143</v>
      </c>
      <c r="E3667" s="110" t="s">
        <v>86</v>
      </c>
      <c r="F3667" s="117">
        <v>872</v>
      </c>
      <c r="G3667" s="110" t="s">
        <v>103</v>
      </c>
      <c r="H3667" s="110" t="str">
        <f t="shared" si="272"/>
        <v>Stillaguamish R, No. Fork</v>
      </c>
      <c r="I3667" s="110" t="str">
        <f>IFERROR(VLOOKUP(H3667,LUTs!$A$1:$C$73,2,FALSE),"NA")</f>
        <v>Snohomish</v>
      </c>
      <c r="J3667" s="110" t="str">
        <f>IFERROR(VLOOKUP(H3667,LUTs!$A$1:$C$73,3,FALSE),"NA")</f>
        <v>2Central Puget Sound</v>
      </c>
      <c r="K3667" s="110" t="s">
        <v>18</v>
      </c>
      <c r="L3667" s="110" t="str">
        <f>VLOOKUP(K3667,LUTs!E$2:G$14,3,)</f>
        <v>06King</v>
      </c>
      <c r="M3667" s="110" t="str">
        <f>VLOOKUP($K3667,LUTs!$E$2:$H$14,2,)</f>
        <v>South Puget Sound</v>
      </c>
      <c r="N3667" s="110" t="str">
        <f>VLOOKUP($K3667,LUTs!$E$2:$H$14,4,)</f>
        <v>02South Puget Sound</v>
      </c>
      <c r="O3667" s="110">
        <v>20.145077720207301</v>
      </c>
      <c r="P3667" s="110">
        <v>172.03896373057</v>
      </c>
      <c r="Q3667" s="110">
        <f>SUMIFS('FW_Steelhead_by_Month_2010-2021'!Q$2:Q$3810,'FW_Steelhead_by_Month_2010-2021'!$B$2:$B$3810,'Rec_raw_catch_effort_2010-2021'!$B3667,'FW_Steelhead_by_Month_2010-2021'!$H$2:$H$3810,'Rec_raw_catch_effort_2010-2021'!$F3667,'FW_Steelhead_by_Month_2010-2021'!$M$2:$M$3810,'Rec_raw_catch_effort_2010-2021'!$K3667)</f>
        <v>29.335717961914568</v>
      </c>
      <c r="R3667" s="111">
        <f>VLOOKUP(B3667,Readme!$A$62:$C$74,3,)*Q3667</f>
        <v>613.9155318847105</v>
      </c>
      <c r="S3667" s="140" t="str">
        <f t="shared" si="273"/>
        <v>Y</v>
      </c>
      <c r="T3667" s="154">
        <f t="shared" si="274"/>
        <v>8.5399999999999832</v>
      </c>
      <c r="U3667" s="154">
        <f t="shared" si="275"/>
        <v>20.927237324879293</v>
      </c>
    </row>
    <row r="3668" spans="1:21" x14ac:dyDescent="0.35">
      <c r="A3668" s="110">
        <v>1416</v>
      </c>
      <c r="B3668" s="110">
        <v>2012</v>
      </c>
      <c r="C3668" s="110" t="s">
        <v>38</v>
      </c>
      <c r="D3668" s="110" t="s">
        <v>143</v>
      </c>
      <c r="E3668" s="110" t="s">
        <v>86</v>
      </c>
      <c r="F3668" s="117">
        <v>872</v>
      </c>
      <c r="G3668" s="110" t="s">
        <v>103</v>
      </c>
      <c r="H3668" s="110" t="str">
        <f t="shared" si="272"/>
        <v>Stillaguamish R, No. Fork</v>
      </c>
      <c r="I3668" s="110" t="str">
        <f>IFERROR(VLOOKUP(H3668,LUTs!$A$1:$C$73,2,FALSE),"NA")</f>
        <v>Snohomish</v>
      </c>
      <c r="J3668" s="110" t="str">
        <f>IFERROR(VLOOKUP(H3668,LUTs!$A$1:$C$73,3,FALSE),"NA")</f>
        <v>2Central Puget Sound</v>
      </c>
      <c r="K3668" s="110" t="s">
        <v>26</v>
      </c>
      <c r="L3668" s="110" t="str">
        <f>VLOOKUP(K3668,LUTs!E$2:G$14,3,)</f>
        <v>20Other</v>
      </c>
      <c r="M3668" s="110" t="str">
        <f>VLOOKUP($K3668,LUTs!$E$2:$H$14,2,)</f>
        <v>Non Puget Sound</v>
      </c>
      <c r="N3668" s="110" t="str">
        <f>VLOOKUP($K3668,LUTs!$E$2:$H$14,4,)</f>
        <v>07Non Puget Sound</v>
      </c>
      <c r="O3668" s="110">
        <v>3.35751295336788</v>
      </c>
      <c r="P3668" s="110">
        <v>28.673160621761699</v>
      </c>
      <c r="Q3668" s="110">
        <f>SUMIFS('FW_Steelhead_by_Month_2010-2021'!Q$2:Q$3810,'FW_Steelhead_by_Month_2010-2021'!$B$2:$B$3810,'Rec_raw_catch_effort_2010-2021'!$B3668,'FW_Steelhead_by_Month_2010-2021'!$H$2:$H$3810,'Rec_raw_catch_effort_2010-2021'!$F3668,'FW_Steelhead_by_Month_2010-2021'!$M$2:$M$3810,'Rec_raw_catch_effort_2010-2021'!$K3668)</f>
        <v>4.31034482758621</v>
      </c>
      <c r="R3668" s="111">
        <f>VLOOKUP(B3668,Readme!$A$62:$C$74,3,)*Q3668</f>
        <v>90.203609158962536</v>
      </c>
      <c r="S3668" s="140" t="str">
        <f t="shared" si="273"/>
        <v>Y</v>
      </c>
      <c r="T3668" s="154">
        <f t="shared" si="274"/>
        <v>8.5400000000000009</v>
      </c>
      <c r="U3668" s="154">
        <f t="shared" si="275"/>
        <v>20.927237324879293</v>
      </c>
    </row>
    <row r="3669" spans="1:21" x14ac:dyDescent="0.35">
      <c r="A3669" s="110">
        <v>1415</v>
      </c>
      <c r="B3669" s="110">
        <v>2012</v>
      </c>
      <c r="C3669" s="110" t="s">
        <v>38</v>
      </c>
      <c r="D3669" s="110" t="s">
        <v>143</v>
      </c>
      <c r="E3669" s="110" t="s">
        <v>86</v>
      </c>
      <c r="F3669" s="117">
        <v>872</v>
      </c>
      <c r="G3669" s="110" t="s">
        <v>103</v>
      </c>
      <c r="H3669" s="110" t="str">
        <f t="shared" si="272"/>
        <v>Stillaguamish R, No. Fork</v>
      </c>
      <c r="I3669" s="110" t="str">
        <f>IFERROR(VLOOKUP(H3669,LUTs!$A$1:$C$73,2,FALSE),"NA")</f>
        <v>Snohomish</v>
      </c>
      <c r="J3669" s="110" t="str">
        <f>IFERROR(VLOOKUP(H3669,LUTs!$A$1:$C$73,3,FALSE),"NA")</f>
        <v>2Central Puget Sound</v>
      </c>
      <c r="K3669" s="110" t="s">
        <v>20</v>
      </c>
      <c r="L3669" s="110" t="str">
        <f>VLOOKUP(K3669,LUTs!E$2:G$14,3,)</f>
        <v>07Pierce</v>
      </c>
      <c r="M3669" s="110" t="str">
        <f>VLOOKUP($K3669,LUTs!$E$2:$H$14,2,)</f>
        <v>South Puget Sound</v>
      </c>
      <c r="N3669" s="110" t="str">
        <f>VLOOKUP($K3669,LUTs!$E$2:$H$14,4,)</f>
        <v>02South Puget Sound</v>
      </c>
      <c r="O3669" s="110">
        <v>3.35751295336788</v>
      </c>
      <c r="P3669" s="110">
        <v>28.673160621761699</v>
      </c>
      <c r="Q3669" s="110">
        <f>SUMIFS('FW_Steelhead_by_Month_2010-2021'!Q$2:Q$3810,'FW_Steelhead_by_Month_2010-2021'!$B$2:$B$3810,'Rec_raw_catch_effort_2010-2021'!$B3669,'FW_Steelhead_by_Month_2010-2021'!$H$2:$H$3810,'Rec_raw_catch_effort_2010-2021'!$F3669,'FW_Steelhead_by_Month_2010-2021'!$M$2:$M$3810,'Rec_raw_catch_effort_2010-2021'!$K3669)</f>
        <v>4.31034482758621</v>
      </c>
      <c r="R3669" s="111">
        <f>VLOOKUP(B3669,Readme!$A$62:$C$74,3,)*Q3669</f>
        <v>90.203609158962536</v>
      </c>
      <c r="S3669" s="140" t="str">
        <f t="shared" si="273"/>
        <v>Y</v>
      </c>
      <c r="T3669" s="154">
        <f t="shared" si="274"/>
        <v>8.5400000000000009</v>
      </c>
      <c r="U3669" s="154">
        <f t="shared" si="275"/>
        <v>20.927237324879293</v>
      </c>
    </row>
    <row r="3670" spans="1:21" x14ac:dyDescent="0.35">
      <c r="A3670" s="110">
        <v>1279</v>
      </c>
      <c r="B3670" s="110">
        <v>2012</v>
      </c>
      <c r="C3670" s="110" t="s">
        <v>38</v>
      </c>
      <c r="D3670" s="110" t="s">
        <v>143</v>
      </c>
      <c r="E3670" s="110" t="s">
        <v>86</v>
      </c>
      <c r="F3670" s="117">
        <v>872</v>
      </c>
      <c r="G3670" s="110" t="s">
        <v>103</v>
      </c>
      <c r="H3670" s="110" t="str">
        <f t="shared" si="272"/>
        <v>Stillaguamish R, No. Fork</v>
      </c>
      <c r="I3670" s="110" t="str">
        <f>IFERROR(VLOOKUP(H3670,LUTs!$A$1:$C$73,2,FALSE),"NA")</f>
        <v>Snohomish</v>
      </c>
      <c r="J3670" s="110" t="str">
        <f>IFERROR(VLOOKUP(H3670,LUTs!$A$1:$C$73,3,FALSE),"NA")</f>
        <v>2Central Puget Sound</v>
      </c>
      <c r="K3670" s="110" t="s">
        <v>30</v>
      </c>
      <c r="L3670" s="110" t="str">
        <f>VLOOKUP(K3670,LUTs!E$2:G$14,3,)</f>
        <v>05San Juan</v>
      </c>
      <c r="M3670" s="110" t="str">
        <f>VLOOKUP($K3670,LUTs!$E$2:$H$14,2,)</f>
        <v>North Puget Sound</v>
      </c>
      <c r="N3670" s="110" t="str">
        <f>VLOOKUP($K3670,LUTs!$E$2:$H$14,4,)</f>
        <v>01North Puget Sound</v>
      </c>
      <c r="O3670" s="110">
        <v>10.072538860103601</v>
      </c>
      <c r="P3670" s="110">
        <v>86.019481865284703</v>
      </c>
      <c r="Q3670" s="110">
        <f>SUMIFS('FW_Steelhead_by_Month_2010-2021'!Q$2:Q$3810,'FW_Steelhead_by_Month_2010-2021'!$B$2:$B$3810,'Rec_raw_catch_effort_2010-2021'!$B3670,'FW_Steelhead_by_Month_2010-2021'!$H$2:$H$3810,'Rec_raw_catch_effort_2010-2021'!$F3670,'FW_Steelhead_by_Month_2010-2021'!$M$2:$M$3810,'Rec_raw_catch_effort_2010-2021'!$K3670)</f>
        <v>2.5</v>
      </c>
      <c r="R3670" s="111">
        <f>VLOOKUP(B3670,Readme!$A$62:$C$74,3,)*Q3670</f>
        <v>52.318093312198229</v>
      </c>
      <c r="S3670" s="140" t="str">
        <f t="shared" si="273"/>
        <v>Y</v>
      </c>
      <c r="T3670" s="154">
        <f t="shared" si="274"/>
        <v>8.5399999999999956</v>
      </c>
      <c r="U3670" s="154">
        <f t="shared" si="275"/>
        <v>20.927237324879293</v>
      </c>
    </row>
    <row r="3671" spans="1:21" x14ac:dyDescent="0.35">
      <c r="A3671" s="110">
        <v>3671</v>
      </c>
      <c r="B3671" s="110">
        <v>2012</v>
      </c>
      <c r="C3671" s="110" t="s">
        <v>38</v>
      </c>
      <c r="D3671" s="110" t="s">
        <v>143</v>
      </c>
      <c r="E3671" s="110" t="s">
        <v>86</v>
      </c>
      <c r="F3671" s="117">
        <v>872</v>
      </c>
      <c r="G3671" s="110" t="s">
        <v>103</v>
      </c>
      <c r="H3671" s="110" t="str">
        <f t="shared" si="272"/>
        <v>Stillaguamish R, No. Fork</v>
      </c>
      <c r="I3671" s="110" t="str">
        <f>IFERROR(VLOOKUP(H3671,LUTs!$A$1:$C$73,2,FALSE),"NA")</f>
        <v>Snohomish</v>
      </c>
      <c r="J3671" s="110" t="str">
        <f>IFERROR(VLOOKUP(H3671,LUTs!$A$1:$C$73,3,FALSE),"NA")</f>
        <v>2Central Puget Sound</v>
      </c>
      <c r="K3671" s="110" t="s">
        <v>15</v>
      </c>
      <c r="L3671" s="110" t="str">
        <f>VLOOKUP(K3671,LUTs!E$2:G$14,3,)</f>
        <v>02Skagit</v>
      </c>
      <c r="M3671" s="110" t="str">
        <f>VLOOKUP($K3671,LUTs!$E$2:$H$14,2,)</f>
        <v>North Puget Sound</v>
      </c>
      <c r="N3671" s="110" t="str">
        <f>VLOOKUP($K3671,LUTs!$E$2:$H$14,4,)</f>
        <v>01North Puget Sound</v>
      </c>
      <c r="O3671" s="110">
        <v>26.860103626943001</v>
      </c>
      <c r="P3671" s="110">
        <v>229.385284974093</v>
      </c>
      <c r="Q3671" s="110">
        <f>SUMIFS('FW_Steelhead_by_Month_2010-2021'!Q$2:Q$3810,'FW_Steelhead_by_Month_2010-2021'!$B$2:$B$3810,'Rec_raw_catch_effort_2010-2021'!$B3671,'FW_Steelhead_by_Month_2010-2021'!$H$2:$H$3810,'Rec_raw_catch_effort_2010-2021'!$F3671,'FW_Steelhead_by_Month_2010-2021'!$M$2:$M$3810,'Rec_raw_catch_effort_2010-2021'!$K3671)</f>
        <v>30.505454804019831</v>
      </c>
      <c r="R3671" s="111">
        <f>VLOOKUP(B3671,Readme!$A$62:$C$74,3,)*Q3671</f>
        <v>638.39489238710212</v>
      </c>
      <c r="S3671" s="140" t="str">
        <f t="shared" si="273"/>
        <v>Y</v>
      </c>
      <c r="T3671" s="154">
        <f t="shared" si="274"/>
        <v>8.539999999999992</v>
      </c>
      <c r="U3671" s="154">
        <f t="shared" si="275"/>
        <v>20.927237324879293</v>
      </c>
    </row>
    <row r="3672" spans="1:21" x14ac:dyDescent="0.35">
      <c r="A3672" s="110">
        <v>1277</v>
      </c>
      <c r="B3672" s="110">
        <v>2012</v>
      </c>
      <c r="C3672" s="110" t="s">
        <v>38</v>
      </c>
      <c r="D3672" s="110" t="s">
        <v>143</v>
      </c>
      <c r="E3672" s="110" t="s">
        <v>86</v>
      </c>
      <c r="F3672" s="117">
        <v>872</v>
      </c>
      <c r="G3672" s="110" t="s">
        <v>103</v>
      </c>
      <c r="H3672" s="110" t="str">
        <f t="shared" si="272"/>
        <v>Stillaguamish R, No. Fork</v>
      </c>
      <c r="I3672" s="110" t="str">
        <f>IFERROR(VLOOKUP(H3672,LUTs!$A$1:$C$73,2,FALSE),"NA")</f>
        <v>Snohomish</v>
      </c>
      <c r="J3672" s="110" t="str">
        <f>IFERROR(VLOOKUP(H3672,LUTs!$A$1:$C$73,3,FALSE),"NA")</f>
        <v>2Central Puget Sound</v>
      </c>
      <c r="K3672" s="110" t="s">
        <v>16</v>
      </c>
      <c r="L3672" s="110" t="str">
        <f>VLOOKUP(K3672,LUTs!E$2:G$14,3,)</f>
        <v>03Snohomish</v>
      </c>
      <c r="M3672" s="110" t="str">
        <f>VLOOKUP($K3672,LUTs!$E$2:$H$14,2,)</f>
        <v>North Puget Sound</v>
      </c>
      <c r="N3672" s="110" t="str">
        <f>VLOOKUP($K3672,LUTs!$E$2:$H$14,4,)</f>
        <v>01North Puget Sound</v>
      </c>
      <c r="O3672" s="110">
        <v>530.48704663212402</v>
      </c>
      <c r="P3672" s="110">
        <v>4530.3593782383396</v>
      </c>
      <c r="Q3672" s="110">
        <f>SUMIFS('FW_Steelhead_by_Month_2010-2021'!Q$2:Q$3810,'FW_Steelhead_by_Month_2010-2021'!$B$2:$B$3810,'Rec_raw_catch_effort_2010-2021'!$B3672,'FW_Steelhead_by_Month_2010-2021'!$H$2:$H$3810,'Rec_raw_catch_effort_2010-2021'!$F3672,'FW_Steelhead_by_Month_2010-2021'!$M$2:$M$3810,'Rec_raw_catch_effort_2010-2021'!$K3672)</f>
        <v>474.51966099628913</v>
      </c>
      <c r="R3672" s="111">
        <f>VLOOKUP(B3672,Readme!$A$62:$C$74,3,)*Q3672</f>
        <v>9930.3855609906113</v>
      </c>
      <c r="S3672" s="140" t="str">
        <f t="shared" si="273"/>
        <v>Y</v>
      </c>
      <c r="T3672" s="154">
        <f t="shared" si="274"/>
        <v>8.5400000000000009</v>
      </c>
      <c r="U3672" s="154">
        <f t="shared" si="275"/>
        <v>20.927237324879293</v>
      </c>
    </row>
    <row r="3673" spans="1:21" x14ac:dyDescent="0.35">
      <c r="A3673" s="110">
        <v>2429</v>
      </c>
      <c r="B3673" s="110">
        <v>2012</v>
      </c>
      <c r="C3673" s="110" t="s">
        <v>38</v>
      </c>
      <c r="D3673" s="110" t="s">
        <v>143</v>
      </c>
      <c r="E3673" s="110" t="s">
        <v>86</v>
      </c>
      <c r="F3673" s="117">
        <v>872</v>
      </c>
      <c r="G3673" s="110" t="s">
        <v>103</v>
      </c>
      <c r="H3673" s="110" t="str">
        <f t="shared" si="272"/>
        <v>Stillaguamish R, No. Fork</v>
      </c>
      <c r="I3673" s="110" t="str">
        <f>IFERROR(VLOOKUP(H3673,LUTs!$A$1:$C$73,2,FALSE),"NA")</f>
        <v>Snohomish</v>
      </c>
      <c r="J3673" s="110" t="str">
        <f>IFERROR(VLOOKUP(H3673,LUTs!$A$1:$C$73,3,FALSE),"NA")</f>
        <v>2Central Puget Sound</v>
      </c>
      <c r="K3673" s="110" t="s">
        <v>13</v>
      </c>
      <c r="L3673" s="110" t="str">
        <f>VLOOKUP(K3673,LUTs!E$2:G$14,3,)</f>
        <v>01Whatcom</v>
      </c>
      <c r="M3673" s="110" t="str">
        <f>VLOOKUP($K3673,LUTs!$E$2:$H$14,2,)</f>
        <v>North Puget Sound</v>
      </c>
      <c r="N3673" s="110" t="str">
        <f>VLOOKUP($K3673,LUTs!$E$2:$H$14,4,)</f>
        <v>01North Puget Sound</v>
      </c>
      <c r="O3673" s="110">
        <v>36.9326424870466</v>
      </c>
      <c r="P3673" s="110">
        <v>315.404766839378</v>
      </c>
      <c r="Q3673" s="110">
        <f>SUMIFS('FW_Steelhead_by_Month_2010-2021'!Q$2:Q$3810,'FW_Steelhead_by_Month_2010-2021'!$B$2:$B$3810,'Rec_raw_catch_effort_2010-2021'!$B3673,'FW_Steelhead_by_Month_2010-2021'!$H$2:$H$3810,'Rec_raw_catch_effort_2010-2021'!$F3673,'FW_Steelhead_by_Month_2010-2021'!$M$2:$M$3810,'Rec_raw_catch_effort_2010-2021'!$K3673)</f>
        <v>45.966752444673162</v>
      </c>
      <c r="R3673" s="111">
        <f>VLOOKUP(B3673,Readme!$A$62:$C$74,3,)*Q3673</f>
        <v>961.95713746365072</v>
      </c>
      <c r="S3673" s="140" t="str">
        <f t="shared" si="273"/>
        <v>Y</v>
      </c>
      <c r="T3673" s="154">
        <f t="shared" si="274"/>
        <v>8.5400000000000009</v>
      </c>
      <c r="U3673" s="154">
        <f t="shared" si="275"/>
        <v>20.927237324879293</v>
      </c>
    </row>
    <row r="3674" spans="1:21" x14ac:dyDescent="0.35">
      <c r="A3674" s="110">
        <v>2556</v>
      </c>
      <c r="B3674" s="110">
        <v>2013</v>
      </c>
      <c r="C3674" s="110" t="s">
        <v>38</v>
      </c>
      <c r="D3674" s="110" t="s">
        <v>143</v>
      </c>
      <c r="E3674" s="110" t="s">
        <v>86</v>
      </c>
      <c r="F3674" s="117">
        <v>872</v>
      </c>
      <c r="G3674" s="110" t="s">
        <v>103</v>
      </c>
      <c r="H3674" s="110" t="str">
        <f t="shared" si="272"/>
        <v>Stillaguamish R, No. Fork</v>
      </c>
      <c r="I3674" s="110" t="str">
        <f>IFERROR(VLOOKUP(H3674,LUTs!$A$1:$C$73,2,FALSE),"NA")</f>
        <v>Snohomish</v>
      </c>
      <c r="J3674" s="110" t="str">
        <f>IFERROR(VLOOKUP(H3674,LUTs!$A$1:$C$73,3,FALSE),"NA")</f>
        <v>2Central Puget Sound</v>
      </c>
      <c r="K3674" s="110" t="s">
        <v>17</v>
      </c>
      <c r="L3674" s="110" t="str">
        <f>VLOOKUP(K3674,LUTs!E$2:G$14,3,)</f>
        <v>04Island</v>
      </c>
      <c r="M3674" s="110" t="str">
        <f>VLOOKUP($K3674,LUTs!$E$2:$H$14,2,)</f>
        <v>North Puget Sound</v>
      </c>
      <c r="N3674" s="110" t="str">
        <f>VLOOKUP($K3674,LUTs!$E$2:$H$14,4,)</f>
        <v>01North Puget Sound</v>
      </c>
      <c r="O3674" s="110">
        <v>12.8571428571429</v>
      </c>
      <c r="P3674" s="110">
        <v>238.50000000000099</v>
      </c>
      <c r="Q3674" s="110">
        <f>SUMIFS('FW_Steelhead_by_Month_2010-2021'!Q$2:Q$3810,'FW_Steelhead_by_Month_2010-2021'!$B$2:$B$3810,'Rec_raw_catch_effort_2010-2021'!$B3674,'FW_Steelhead_by_Month_2010-2021'!$H$2:$H$3810,'Rec_raw_catch_effort_2010-2021'!$F3674,'FW_Steelhead_by_Month_2010-2021'!$M$2:$M$3810,'Rec_raw_catch_effort_2010-2021'!$K3674)</f>
        <v>13.55263157894737</v>
      </c>
      <c r="R3674" s="111">
        <f>VLOOKUP(B3674,Readme!$A$62:$C$74,3,)*Q3674</f>
        <v>283.61913742928516</v>
      </c>
      <c r="S3674" s="140" t="str">
        <f t="shared" si="273"/>
        <v>Y</v>
      </c>
      <c r="T3674" s="154">
        <f t="shared" si="274"/>
        <v>18.550000000000015</v>
      </c>
      <c r="U3674" s="154">
        <f t="shared" si="275"/>
        <v>20.92723732487929</v>
      </c>
    </row>
    <row r="3675" spans="1:21" x14ac:dyDescent="0.35">
      <c r="A3675" s="110">
        <v>2684</v>
      </c>
      <c r="B3675" s="110">
        <v>2013</v>
      </c>
      <c r="C3675" s="110" t="s">
        <v>38</v>
      </c>
      <c r="D3675" s="110" t="s">
        <v>143</v>
      </c>
      <c r="E3675" s="110" t="s">
        <v>86</v>
      </c>
      <c r="F3675" s="117">
        <v>872</v>
      </c>
      <c r="G3675" s="110" t="s">
        <v>103</v>
      </c>
      <c r="H3675" s="110" t="str">
        <f t="shared" si="272"/>
        <v>Stillaguamish R, No. Fork</v>
      </c>
      <c r="I3675" s="110" t="str">
        <f>IFERROR(VLOOKUP(H3675,LUTs!$A$1:$C$73,2,FALSE),"NA")</f>
        <v>Snohomish</v>
      </c>
      <c r="J3675" s="110" t="str">
        <f>IFERROR(VLOOKUP(H3675,LUTs!$A$1:$C$73,3,FALSE),"NA")</f>
        <v>2Central Puget Sound</v>
      </c>
      <c r="K3675" s="110" t="s">
        <v>18</v>
      </c>
      <c r="L3675" s="110" t="str">
        <f>VLOOKUP(K3675,LUTs!E$2:G$14,3,)</f>
        <v>06King</v>
      </c>
      <c r="M3675" s="110" t="str">
        <f>VLOOKUP($K3675,LUTs!$E$2:$H$14,2,)</f>
        <v>South Puget Sound</v>
      </c>
      <c r="N3675" s="110" t="str">
        <f>VLOOKUP($K3675,LUTs!$E$2:$H$14,4,)</f>
        <v>02South Puget Sound</v>
      </c>
      <c r="O3675" s="110">
        <v>28.928571428571399</v>
      </c>
      <c r="P3675" s="110">
        <v>536.62499999999898</v>
      </c>
      <c r="Q3675" s="110">
        <f>SUMIFS('FW_Steelhead_by_Month_2010-2021'!Q$2:Q$3810,'FW_Steelhead_by_Month_2010-2021'!$B$2:$B$3810,'Rec_raw_catch_effort_2010-2021'!$B3675,'FW_Steelhead_by_Month_2010-2021'!$H$2:$H$3810,'Rec_raw_catch_effort_2010-2021'!$F3675,'FW_Steelhead_by_Month_2010-2021'!$M$2:$M$3810,'Rec_raw_catch_effort_2010-2021'!$K3675)</f>
        <v>34.868421052631575</v>
      </c>
      <c r="R3675" s="111">
        <f>VLOOKUP(B3675,Readme!$A$62:$C$74,3,)*Q3675</f>
        <v>729.6997225122384</v>
      </c>
      <c r="S3675" s="140" t="str">
        <f t="shared" si="273"/>
        <v>Y</v>
      </c>
      <c r="T3675" s="154">
        <f t="shared" si="274"/>
        <v>18.549999999999983</v>
      </c>
      <c r="U3675" s="154">
        <f t="shared" si="275"/>
        <v>20.927237324879293</v>
      </c>
    </row>
    <row r="3676" spans="1:21" x14ac:dyDescent="0.35">
      <c r="A3676" s="110">
        <v>2685</v>
      </c>
      <c r="B3676" s="110">
        <v>2013</v>
      </c>
      <c r="C3676" s="110" t="s">
        <v>38</v>
      </c>
      <c r="D3676" s="110" t="s">
        <v>143</v>
      </c>
      <c r="E3676" s="110" t="s">
        <v>86</v>
      </c>
      <c r="F3676" s="117">
        <v>872</v>
      </c>
      <c r="G3676" s="110" t="s">
        <v>103</v>
      </c>
      <c r="H3676" s="110" t="str">
        <f t="shared" si="272"/>
        <v>Stillaguamish R, No. Fork</v>
      </c>
      <c r="I3676" s="110" t="str">
        <f>IFERROR(VLOOKUP(H3676,LUTs!$A$1:$C$73,2,FALSE),"NA")</f>
        <v>Snohomish</v>
      </c>
      <c r="J3676" s="110" t="str">
        <f>IFERROR(VLOOKUP(H3676,LUTs!$A$1:$C$73,3,FALSE),"NA")</f>
        <v>2Central Puget Sound</v>
      </c>
      <c r="K3676" s="110" t="s">
        <v>26</v>
      </c>
      <c r="L3676" s="110" t="str">
        <f>VLOOKUP(K3676,LUTs!E$2:G$14,3,)</f>
        <v>20Other</v>
      </c>
      <c r="M3676" s="110" t="str">
        <f>VLOOKUP($K3676,LUTs!$E$2:$H$14,2,)</f>
        <v>Non Puget Sound</v>
      </c>
      <c r="N3676" s="110" t="str">
        <f>VLOOKUP($K3676,LUTs!$E$2:$H$14,4,)</f>
        <v>07Non Puget Sound</v>
      </c>
      <c r="O3676" s="110">
        <v>6.4285714285714297</v>
      </c>
      <c r="P3676" s="110">
        <v>119.25</v>
      </c>
      <c r="Q3676" s="110">
        <f>SUMIFS('FW_Steelhead_by_Month_2010-2021'!Q$2:Q$3810,'FW_Steelhead_by_Month_2010-2021'!$B$2:$B$3810,'Rec_raw_catch_effort_2010-2021'!$B3676,'FW_Steelhead_by_Month_2010-2021'!$H$2:$H$3810,'Rec_raw_catch_effort_2010-2021'!$F3676,'FW_Steelhead_by_Month_2010-2021'!$M$2:$M$3810,'Rec_raw_catch_effort_2010-2021'!$K3676)</f>
        <v>9</v>
      </c>
      <c r="R3676" s="111">
        <f>VLOOKUP(B3676,Readme!$A$62:$C$74,3,)*Q3676</f>
        <v>188.34513592391363</v>
      </c>
      <c r="S3676" s="140" t="str">
        <f t="shared" si="273"/>
        <v>Y</v>
      </c>
      <c r="T3676" s="154">
        <f t="shared" si="274"/>
        <v>18.549999999999997</v>
      </c>
      <c r="U3676" s="154">
        <f t="shared" si="275"/>
        <v>20.927237324879293</v>
      </c>
    </row>
    <row r="3677" spans="1:21" x14ac:dyDescent="0.35">
      <c r="A3677" s="110">
        <v>2683</v>
      </c>
      <c r="B3677" s="110">
        <v>2013</v>
      </c>
      <c r="C3677" s="110" t="s">
        <v>38</v>
      </c>
      <c r="D3677" s="110" t="s">
        <v>143</v>
      </c>
      <c r="E3677" s="110" t="s">
        <v>86</v>
      </c>
      <c r="F3677" s="117">
        <v>872</v>
      </c>
      <c r="G3677" s="110" t="s">
        <v>103</v>
      </c>
      <c r="H3677" s="110" t="str">
        <f t="shared" si="272"/>
        <v>Stillaguamish R, No. Fork</v>
      </c>
      <c r="I3677" s="110" t="str">
        <f>IFERROR(VLOOKUP(H3677,LUTs!$A$1:$C$73,2,FALSE),"NA")</f>
        <v>Snohomish</v>
      </c>
      <c r="J3677" s="110" t="str">
        <f>IFERROR(VLOOKUP(H3677,LUTs!$A$1:$C$73,3,FALSE),"NA")</f>
        <v>2Central Puget Sound</v>
      </c>
      <c r="K3677" s="110" t="s">
        <v>30</v>
      </c>
      <c r="L3677" s="110" t="str">
        <f>VLOOKUP(K3677,LUTs!E$2:G$14,3,)</f>
        <v>05San Juan</v>
      </c>
      <c r="M3677" s="110" t="str">
        <f>VLOOKUP($K3677,LUTs!$E$2:$H$14,2,)</f>
        <v>North Puget Sound</v>
      </c>
      <c r="N3677" s="110" t="str">
        <f>VLOOKUP($K3677,LUTs!$E$2:$H$14,4,)</f>
        <v>01North Puget Sound</v>
      </c>
      <c r="O3677" s="110">
        <v>6.4285714285714297</v>
      </c>
      <c r="P3677" s="110">
        <v>119.25</v>
      </c>
      <c r="Q3677" s="110">
        <f>SUMIFS('FW_Steelhead_by_Month_2010-2021'!Q$2:Q$3810,'FW_Steelhead_by_Month_2010-2021'!$B$2:$B$3810,'Rec_raw_catch_effort_2010-2021'!$B3677,'FW_Steelhead_by_Month_2010-2021'!$H$2:$H$3810,'Rec_raw_catch_effort_2010-2021'!$F3677,'FW_Steelhead_by_Month_2010-2021'!$M$2:$M$3810,'Rec_raw_catch_effort_2010-2021'!$K3677)</f>
        <v>8.7692307692307701</v>
      </c>
      <c r="R3677" s="111">
        <f>VLOOKUP(B3677,Readme!$A$62:$C$74,3,)*Q3677</f>
        <v>183.51577346432612</v>
      </c>
      <c r="S3677" s="140" t="str">
        <f t="shared" si="273"/>
        <v>Y</v>
      </c>
      <c r="T3677" s="154">
        <f t="shared" si="274"/>
        <v>18.549999999999997</v>
      </c>
      <c r="U3677" s="154">
        <f t="shared" si="275"/>
        <v>20.927237324879293</v>
      </c>
    </row>
    <row r="3678" spans="1:21" x14ac:dyDescent="0.35">
      <c r="A3678" s="110">
        <v>2439</v>
      </c>
      <c r="B3678" s="110">
        <v>2013</v>
      </c>
      <c r="C3678" s="110" t="s">
        <v>38</v>
      </c>
      <c r="D3678" s="110" t="s">
        <v>143</v>
      </c>
      <c r="E3678" s="110" t="s">
        <v>86</v>
      </c>
      <c r="F3678" s="117">
        <v>872</v>
      </c>
      <c r="G3678" s="110" t="s">
        <v>103</v>
      </c>
      <c r="H3678" s="110" t="str">
        <f t="shared" si="272"/>
        <v>Stillaguamish R, No. Fork</v>
      </c>
      <c r="I3678" s="110" t="str">
        <f>IFERROR(VLOOKUP(H3678,LUTs!$A$1:$C$73,2,FALSE),"NA")</f>
        <v>Snohomish</v>
      </c>
      <c r="J3678" s="110" t="str">
        <f>IFERROR(VLOOKUP(H3678,LUTs!$A$1:$C$73,3,FALSE),"NA")</f>
        <v>2Central Puget Sound</v>
      </c>
      <c r="K3678" s="110" t="s">
        <v>15</v>
      </c>
      <c r="L3678" s="110" t="str">
        <f>VLOOKUP(K3678,LUTs!E$2:G$14,3,)</f>
        <v>02Skagit</v>
      </c>
      <c r="M3678" s="110" t="str">
        <f>VLOOKUP($K3678,LUTs!$E$2:$H$14,2,)</f>
        <v>North Puget Sound</v>
      </c>
      <c r="N3678" s="110" t="str">
        <f>VLOOKUP($K3678,LUTs!$E$2:$H$14,4,)</f>
        <v>01North Puget Sound</v>
      </c>
      <c r="O3678" s="110">
        <v>22.5</v>
      </c>
      <c r="P3678" s="110">
        <v>417.375</v>
      </c>
      <c r="Q3678" s="110">
        <f>SUMIFS('FW_Steelhead_by_Month_2010-2021'!Q$2:Q$3810,'FW_Steelhead_by_Month_2010-2021'!$B$2:$B$3810,'Rec_raw_catch_effort_2010-2021'!$B3678,'FW_Steelhead_by_Month_2010-2021'!$H$2:$H$3810,'Rec_raw_catch_effort_2010-2021'!$F3678,'FW_Steelhead_by_Month_2010-2021'!$M$2:$M$3810,'Rec_raw_catch_effort_2010-2021'!$K3678)</f>
        <v>21.122807017543899</v>
      </c>
      <c r="R3678" s="111">
        <f>VLOOKUP(B3678,Readme!$A$62:$C$74,3,)*Q3678</f>
        <v>442.04199542376693</v>
      </c>
      <c r="S3678" s="140" t="str">
        <f t="shared" si="273"/>
        <v>Y</v>
      </c>
      <c r="T3678" s="154">
        <f t="shared" si="274"/>
        <v>18.55</v>
      </c>
      <c r="U3678" s="154">
        <f t="shared" si="275"/>
        <v>20.927237324879293</v>
      </c>
    </row>
    <row r="3679" spans="1:21" x14ac:dyDescent="0.35">
      <c r="A3679" s="110">
        <v>2555</v>
      </c>
      <c r="B3679" s="110">
        <v>2013</v>
      </c>
      <c r="C3679" s="110" t="s">
        <v>38</v>
      </c>
      <c r="D3679" s="110" t="s">
        <v>143</v>
      </c>
      <c r="E3679" s="110" t="s">
        <v>86</v>
      </c>
      <c r="F3679" s="117">
        <v>872</v>
      </c>
      <c r="G3679" s="110" t="s">
        <v>103</v>
      </c>
      <c r="H3679" s="110" t="str">
        <f t="shared" si="272"/>
        <v>Stillaguamish R, No. Fork</v>
      </c>
      <c r="I3679" s="110" t="str">
        <f>IFERROR(VLOOKUP(H3679,LUTs!$A$1:$C$73,2,FALSE),"NA")</f>
        <v>Snohomish</v>
      </c>
      <c r="J3679" s="110" t="str">
        <f>IFERROR(VLOOKUP(H3679,LUTs!$A$1:$C$73,3,FALSE),"NA")</f>
        <v>2Central Puget Sound</v>
      </c>
      <c r="K3679" s="110" t="s">
        <v>16</v>
      </c>
      <c r="L3679" s="110" t="str">
        <f>VLOOKUP(K3679,LUTs!E$2:G$14,3,)</f>
        <v>03Snohomish</v>
      </c>
      <c r="M3679" s="110" t="str">
        <f>VLOOKUP($K3679,LUTs!$E$2:$H$14,2,)</f>
        <v>North Puget Sound</v>
      </c>
      <c r="N3679" s="110" t="str">
        <f>VLOOKUP($K3679,LUTs!$E$2:$H$14,4,)</f>
        <v>01North Puget Sound</v>
      </c>
      <c r="O3679" s="110">
        <v>221.78571428571399</v>
      </c>
      <c r="P3679" s="110">
        <v>4114.12499999999</v>
      </c>
      <c r="Q3679" s="110">
        <f>SUMIFS('FW_Steelhead_by_Month_2010-2021'!Q$2:Q$3810,'FW_Steelhead_by_Month_2010-2021'!$B$2:$B$3810,'Rec_raw_catch_effort_2010-2021'!$B3679,'FW_Steelhead_by_Month_2010-2021'!$H$2:$H$3810,'Rec_raw_catch_effort_2010-2021'!$F3679,'FW_Steelhead_by_Month_2010-2021'!$M$2:$M$3810,'Rec_raw_catch_effort_2010-2021'!$K3679)</f>
        <v>268.95006747638297</v>
      </c>
      <c r="R3679" s="111">
        <f>VLOOKUP(B3679,Readme!$A$62:$C$74,3,)*Q3679</f>
        <v>5628.3818906205661</v>
      </c>
      <c r="S3679" s="140" t="str">
        <f t="shared" si="273"/>
        <v>Y</v>
      </c>
      <c r="T3679" s="154">
        <f t="shared" si="274"/>
        <v>18.549999999999979</v>
      </c>
      <c r="U3679" s="154">
        <f t="shared" si="275"/>
        <v>20.927237324879293</v>
      </c>
    </row>
    <row r="3680" spans="1:21" x14ac:dyDescent="0.35">
      <c r="A3680" s="110">
        <v>2438</v>
      </c>
      <c r="B3680" s="110">
        <v>2013</v>
      </c>
      <c r="C3680" s="110" t="s">
        <v>38</v>
      </c>
      <c r="D3680" s="110" t="s">
        <v>143</v>
      </c>
      <c r="E3680" s="110" t="s">
        <v>86</v>
      </c>
      <c r="F3680" s="117">
        <v>872</v>
      </c>
      <c r="G3680" s="110" t="s">
        <v>103</v>
      </c>
      <c r="H3680" s="110" t="str">
        <f t="shared" si="272"/>
        <v>Stillaguamish R, No. Fork</v>
      </c>
      <c r="I3680" s="110" t="str">
        <f>IFERROR(VLOOKUP(H3680,LUTs!$A$1:$C$73,2,FALSE),"NA")</f>
        <v>Snohomish</v>
      </c>
      <c r="J3680" s="110" t="str">
        <f>IFERROR(VLOOKUP(H3680,LUTs!$A$1:$C$73,3,FALSE),"NA")</f>
        <v>2Central Puget Sound</v>
      </c>
      <c r="K3680" s="110" t="s">
        <v>13</v>
      </c>
      <c r="L3680" s="110" t="str">
        <f>VLOOKUP(K3680,LUTs!E$2:G$14,3,)</f>
        <v>01Whatcom</v>
      </c>
      <c r="M3680" s="110" t="str">
        <f>VLOOKUP($K3680,LUTs!$E$2:$H$14,2,)</f>
        <v>North Puget Sound</v>
      </c>
      <c r="N3680" s="110" t="str">
        <f>VLOOKUP($K3680,LUTs!$E$2:$H$14,4,)</f>
        <v>01North Puget Sound</v>
      </c>
      <c r="O3680" s="110">
        <v>16.071428571428601</v>
      </c>
      <c r="P3680" s="110">
        <v>298.12500000000102</v>
      </c>
      <c r="Q3680" s="110">
        <f>SUMIFS('FW_Steelhead_by_Month_2010-2021'!Q$2:Q$3810,'FW_Steelhead_by_Month_2010-2021'!$B$2:$B$3810,'Rec_raw_catch_effort_2010-2021'!$B3680,'FW_Steelhead_by_Month_2010-2021'!$H$2:$H$3810,'Rec_raw_catch_effort_2010-2021'!$F3680,'FW_Steelhead_by_Month_2010-2021'!$M$2:$M$3810,'Rec_raw_catch_effort_2010-2021'!$K3680)</f>
        <v>16.736842105263172</v>
      </c>
      <c r="R3680" s="111">
        <f>VLOOKUP(B3680,Readme!$A$62:$C$74,3,)*Q3680</f>
        <v>350.2558668058748</v>
      </c>
      <c r="S3680" s="140" t="str">
        <f t="shared" si="273"/>
        <v>Y</v>
      </c>
      <c r="T3680" s="154">
        <f t="shared" si="274"/>
        <v>18.550000000000029</v>
      </c>
      <c r="U3680" s="154">
        <f t="shared" si="275"/>
        <v>20.927237324879293</v>
      </c>
    </row>
    <row r="3681" spans="1:21" x14ac:dyDescent="0.35">
      <c r="A3681" s="110">
        <v>1461</v>
      </c>
      <c r="B3681" s="110">
        <v>2014</v>
      </c>
      <c r="C3681" s="110" t="s">
        <v>38</v>
      </c>
      <c r="D3681" s="110" t="s">
        <v>143</v>
      </c>
      <c r="E3681" s="110" t="s">
        <v>86</v>
      </c>
      <c r="F3681" s="117">
        <v>872</v>
      </c>
      <c r="G3681" s="110" t="s">
        <v>103</v>
      </c>
      <c r="H3681" s="110" t="str">
        <f t="shared" si="272"/>
        <v>Stillaguamish R, No. Fork</v>
      </c>
      <c r="I3681" s="110" t="str">
        <f>IFERROR(VLOOKUP(H3681,LUTs!$A$1:$C$73,2,FALSE),"NA")</f>
        <v>Snohomish</v>
      </c>
      <c r="J3681" s="110" t="str">
        <f>IFERROR(VLOOKUP(H3681,LUTs!$A$1:$C$73,3,FALSE),"NA")</f>
        <v>2Central Puget Sound</v>
      </c>
      <c r="K3681" s="110" t="s">
        <v>17</v>
      </c>
      <c r="L3681" s="110" t="str">
        <f>VLOOKUP(K3681,LUTs!E$2:G$14,3,)</f>
        <v>04Island</v>
      </c>
      <c r="M3681" s="110" t="str">
        <f>VLOOKUP($K3681,LUTs!$E$2:$H$14,2,)</f>
        <v>North Puget Sound</v>
      </c>
      <c r="N3681" s="110" t="str">
        <f>VLOOKUP($K3681,LUTs!$E$2:$H$14,4,)</f>
        <v>01North Puget Sound</v>
      </c>
      <c r="O3681" s="110">
        <v>3.28125</v>
      </c>
      <c r="P3681" s="110">
        <v>28.021875000000001</v>
      </c>
      <c r="Q3681" s="110">
        <f>SUMIFS('FW_Steelhead_by_Month_2010-2021'!Q$2:Q$3810,'FW_Steelhead_by_Month_2010-2021'!$B$2:$B$3810,'Rec_raw_catch_effort_2010-2021'!$B3681,'FW_Steelhead_by_Month_2010-2021'!$H$2:$H$3810,'Rec_raw_catch_effort_2010-2021'!$F3681,'FW_Steelhead_by_Month_2010-2021'!$M$2:$M$3810,'Rec_raw_catch_effort_2010-2021'!$K3681)</f>
        <v>0</v>
      </c>
      <c r="R3681" s="111">
        <f>VLOOKUP(B3681,Readme!$A$62:$C$74,3,)*Q3681</f>
        <v>0</v>
      </c>
      <c r="S3681" s="140" t="str">
        <f t="shared" si="273"/>
        <v>Y</v>
      </c>
      <c r="T3681" s="154">
        <f t="shared" si="274"/>
        <v>8.5400000000000009</v>
      </c>
      <c r="U3681" s="154" t="str">
        <f t="shared" si="275"/>
        <v>NA</v>
      </c>
    </row>
    <row r="3682" spans="1:21" x14ac:dyDescent="0.35">
      <c r="A3682" s="110">
        <v>1462</v>
      </c>
      <c r="B3682" s="110">
        <v>2014</v>
      </c>
      <c r="C3682" s="110" t="s">
        <v>38</v>
      </c>
      <c r="D3682" s="110" t="s">
        <v>143</v>
      </c>
      <c r="E3682" s="110" t="s">
        <v>86</v>
      </c>
      <c r="F3682" s="117">
        <v>872</v>
      </c>
      <c r="G3682" s="110" t="s">
        <v>103</v>
      </c>
      <c r="H3682" s="110" t="str">
        <f t="shared" si="272"/>
        <v>Stillaguamish R, No. Fork</v>
      </c>
      <c r="I3682" s="110" t="str">
        <f>IFERROR(VLOOKUP(H3682,LUTs!$A$1:$C$73,2,FALSE),"NA")</f>
        <v>Snohomish</v>
      </c>
      <c r="J3682" s="110" t="str">
        <f>IFERROR(VLOOKUP(H3682,LUTs!$A$1:$C$73,3,FALSE),"NA")</f>
        <v>2Central Puget Sound</v>
      </c>
      <c r="K3682" s="110" t="s">
        <v>18</v>
      </c>
      <c r="L3682" s="110" t="str">
        <f>VLOOKUP(K3682,LUTs!E$2:G$14,3,)</f>
        <v>06King</v>
      </c>
      <c r="M3682" s="110" t="str">
        <f>VLOOKUP($K3682,LUTs!$E$2:$H$14,2,)</f>
        <v>South Puget Sound</v>
      </c>
      <c r="N3682" s="110" t="str">
        <f>VLOOKUP($K3682,LUTs!$E$2:$H$14,4,)</f>
        <v>02South Puget Sound</v>
      </c>
      <c r="O3682" s="110">
        <v>9.84375</v>
      </c>
      <c r="P3682" s="110">
        <v>84.065624999999997</v>
      </c>
      <c r="Q3682" s="110">
        <f>SUMIFS('FW_Steelhead_by_Month_2010-2021'!Q$2:Q$3810,'FW_Steelhead_by_Month_2010-2021'!$B$2:$B$3810,'Rec_raw_catch_effort_2010-2021'!$B3682,'FW_Steelhead_by_Month_2010-2021'!$H$2:$H$3810,'Rec_raw_catch_effort_2010-2021'!$F3682,'FW_Steelhead_by_Month_2010-2021'!$M$2:$M$3810,'Rec_raw_catch_effort_2010-2021'!$K3682)</f>
        <v>10.16666666666667</v>
      </c>
      <c r="R3682" s="111">
        <f>VLOOKUP(B3682,Readme!$A$62:$C$74,3,)*Q3682</f>
        <v>212.76024613627288</v>
      </c>
      <c r="S3682" s="140" t="str">
        <f t="shared" si="273"/>
        <v>Y</v>
      </c>
      <c r="T3682" s="154">
        <f t="shared" si="274"/>
        <v>8.5399999999999991</v>
      </c>
      <c r="U3682" s="154">
        <f t="shared" si="275"/>
        <v>20.927237324879293</v>
      </c>
    </row>
    <row r="3683" spans="1:21" x14ac:dyDescent="0.35">
      <c r="A3683" s="110">
        <v>1459</v>
      </c>
      <c r="B3683" s="110">
        <v>2014</v>
      </c>
      <c r="C3683" s="110" t="s">
        <v>38</v>
      </c>
      <c r="D3683" s="110" t="s">
        <v>143</v>
      </c>
      <c r="E3683" s="110" t="s">
        <v>86</v>
      </c>
      <c r="F3683" s="117">
        <v>872</v>
      </c>
      <c r="G3683" s="110" t="s">
        <v>103</v>
      </c>
      <c r="H3683" s="110" t="str">
        <f t="shared" si="272"/>
        <v>Stillaguamish R, No. Fork</v>
      </c>
      <c r="I3683" s="110" t="str">
        <f>IFERROR(VLOOKUP(H3683,LUTs!$A$1:$C$73,2,FALSE),"NA")</f>
        <v>Snohomish</v>
      </c>
      <c r="J3683" s="110" t="str">
        <f>IFERROR(VLOOKUP(H3683,LUTs!$A$1:$C$73,3,FALSE),"NA")</f>
        <v>2Central Puget Sound</v>
      </c>
      <c r="K3683" s="110" t="s">
        <v>15</v>
      </c>
      <c r="L3683" s="110" t="str">
        <f>VLOOKUP(K3683,LUTs!E$2:G$14,3,)</f>
        <v>02Skagit</v>
      </c>
      <c r="M3683" s="110" t="str">
        <f>VLOOKUP($K3683,LUTs!$E$2:$H$14,2,)</f>
        <v>North Puget Sound</v>
      </c>
      <c r="N3683" s="110" t="str">
        <f>VLOOKUP($K3683,LUTs!$E$2:$H$14,4,)</f>
        <v>01North Puget Sound</v>
      </c>
      <c r="O3683" s="110">
        <v>16.40625</v>
      </c>
      <c r="P3683" s="110">
        <v>140.109375</v>
      </c>
      <c r="Q3683" s="110">
        <f>SUMIFS('FW_Steelhead_by_Month_2010-2021'!Q$2:Q$3810,'FW_Steelhead_by_Month_2010-2021'!$B$2:$B$3810,'Rec_raw_catch_effort_2010-2021'!$B3683,'FW_Steelhead_by_Month_2010-2021'!$H$2:$H$3810,'Rec_raw_catch_effort_2010-2021'!$F3683,'FW_Steelhead_by_Month_2010-2021'!$M$2:$M$3810,'Rec_raw_catch_effort_2010-2021'!$K3683)</f>
        <v>10.08333333333333</v>
      </c>
      <c r="R3683" s="111">
        <f>VLOOKUP(B3683,Readme!$A$62:$C$74,3,)*Q3683</f>
        <v>211.01630969253281</v>
      </c>
      <c r="S3683" s="140" t="str">
        <f t="shared" si="273"/>
        <v>Y</v>
      </c>
      <c r="T3683" s="154">
        <f t="shared" si="274"/>
        <v>8.5399999999999991</v>
      </c>
      <c r="U3683" s="154">
        <f t="shared" si="275"/>
        <v>20.927237324879293</v>
      </c>
    </row>
    <row r="3684" spans="1:21" x14ac:dyDescent="0.35">
      <c r="A3684" s="110">
        <v>1460</v>
      </c>
      <c r="B3684" s="110">
        <v>2014</v>
      </c>
      <c r="C3684" s="110" t="s">
        <v>38</v>
      </c>
      <c r="D3684" s="110" t="s">
        <v>143</v>
      </c>
      <c r="E3684" s="110" t="s">
        <v>86</v>
      </c>
      <c r="F3684" s="117">
        <v>872</v>
      </c>
      <c r="G3684" s="110" t="s">
        <v>103</v>
      </c>
      <c r="H3684" s="110" t="str">
        <f t="shared" si="272"/>
        <v>Stillaguamish R, No. Fork</v>
      </c>
      <c r="I3684" s="110" t="str">
        <f>IFERROR(VLOOKUP(H3684,LUTs!$A$1:$C$73,2,FALSE),"NA")</f>
        <v>Snohomish</v>
      </c>
      <c r="J3684" s="110" t="str">
        <f>IFERROR(VLOOKUP(H3684,LUTs!$A$1:$C$73,3,FALSE),"NA")</f>
        <v>2Central Puget Sound</v>
      </c>
      <c r="K3684" s="110" t="s">
        <v>16</v>
      </c>
      <c r="L3684" s="110" t="str">
        <f>VLOOKUP(K3684,LUTs!E$2:G$14,3,)</f>
        <v>03Snohomish</v>
      </c>
      <c r="M3684" s="110" t="str">
        <f>VLOOKUP($K3684,LUTs!$E$2:$H$14,2,)</f>
        <v>North Puget Sound</v>
      </c>
      <c r="N3684" s="110" t="str">
        <f>VLOOKUP($K3684,LUTs!$E$2:$H$14,4,)</f>
        <v>01North Puget Sound</v>
      </c>
      <c r="O3684" s="110">
        <v>72.1875</v>
      </c>
      <c r="P3684" s="110">
        <v>616.48125000000005</v>
      </c>
      <c r="Q3684" s="110">
        <f>SUMIFS('FW_Steelhead_by_Month_2010-2021'!Q$2:Q$3810,'FW_Steelhead_by_Month_2010-2021'!$B$2:$B$3810,'Rec_raw_catch_effort_2010-2021'!$B3684,'FW_Steelhead_by_Month_2010-2021'!$H$2:$H$3810,'Rec_raw_catch_effort_2010-2021'!$F3684,'FW_Steelhead_by_Month_2010-2021'!$M$2:$M$3810,'Rec_raw_catch_effort_2010-2021'!$K3684)</f>
        <v>129.67000000000002</v>
      </c>
      <c r="R3684" s="111">
        <f>VLOOKUP(B3684,Readme!$A$62:$C$74,3,)*Q3684</f>
        <v>2713.6348639170983</v>
      </c>
      <c r="S3684" s="140" t="str">
        <f t="shared" si="273"/>
        <v>Y</v>
      </c>
      <c r="T3684" s="154">
        <f t="shared" si="274"/>
        <v>8.5400000000000009</v>
      </c>
      <c r="U3684" s="154">
        <f t="shared" si="275"/>
        <v>20.927237324879293</v>
      </c>
    </row>
    <row r="3685" spans="1:21" x14ac:dyDescent="0.35">
      <c r="A3685" s="110">
        <v>1458</v>
      </c>
      <c r="B3685" s="110">
        <v>2014</v>
      </c>
      <c r="C3685" s="110" t="s">
        <v>38</v>
      </c>
      <c r="D3685" s="110" t="s">
        <v>143</v>
      </c>
      <c r="E3685" s="110" t="s">
        <v>86</v>
      </c>
      <c r="F3685" s="117">
        <v>872</v>
      </c>
      <c r="G3685" s="110" t="s">
        <v>103</v>
      </c>
      <c r="H3685" s="110" t="str">
        <f t="shared" si="272"/>
        <v>Stillaguamish R, No. Fork</v>
      </c>
      <c r="I3685" s="110" t="str">
        <f>IFERROR(VLOOKUP(H3685,LUTs!$A$1:$C$73,2,FALSE),"NA")</f>
        <v>Snohomish</v>
      </c>
      <c r="J3685" s="110" t="str">
        <f>IFERROR(VLOOKUP(H3685,LUTs!$A$1:$C$73,3,FALSE),"NA")</f>
        <v>2Central Puget Sound</v>
      </c>
      <c r="K3685" s="110" t="s">
        <v>13</v>
      </c>
      <c r="L3685" s="110" t="str">
        <f>VLOOKUP(K3685,LUTs!E$2:G$14,3,)</f>
        <v>01Whatcom</v>
      </c>
      <c r="M3685" s="110" t="str">
        <f>VLOOKUP($K3685,LUTs!$E$2:$H$14,2,)</f>
        <v>North Puget Sound</v>
      </c>
      <c r="N3685" s="110" t="str">
        <f>VLOOKUP($K3685,LUTs!$E$2:$H$14,4,)</f>
        <v>01North Puget Sound</v>
      </c>
      <c r="O3685" s="110">
        <v>3.28125</v>
      </c>
      <c r="P3685" s="110">
        <v>28.021875000000001</v>
      </c>
      <c r="Q3685" s="110">
        <f>SUMIFS('FW_Steelhead_by_Month_2010-2021'!Q$2:Q$3810,'FW_Steelhead_by_Month_2010-2021'!$B$2:$B$3810,'Rec_raw_catch_effort_2010-2021'!$B3685,'FW_Steelhead_by_Month_2010-2021'!$H$2:$H$3810,'Rec_raw_catch_effort_2010-2021'!$F3685,'FW_Steelhead_by_Month_2010-2021'!$M$2:$M$3810,'Rec_raw_catch_effort_2010-2021'!$K3685)</f>
        <v>0</v>
      </c>
      <c r="R3685" s="111">
        <f>VLOOKUP(B3685,Readme!$A$62:$C$74,3,)*Q3685</f>
        <v>0</v>
      </c>
      <c r="S3685" s="140" t="str">
        <f t="shared" si="273"/>
        <v>Y</v>
      </c>
      <c r="T3685" s="154">
        <f t="shared" si="274"/>
        <v>8.5400000000000009</v>
      </c>
      <c r="U3685" s="154" t="str">
        <f t="shared" si="275"/>
        <v>NA</v>
      </c>
    </row>
    <row r="3686" spans="1:21" x14ac:dyDescent="0.35">
      <c r="A3686" s="110">
        <v>1804</v>
      </c>
      <c r="B3686" s="110">
        <v>2016</v>
      </c>
      <c r="C3686" s="110" t="s">
        <v>38</v>
      </c>
      <c r="D3686" s="110" t="s">
        <v>143</v>
      </c>
      <c r="E3686" s="110" t="s">
        <v>86</v>
      </c>
      <c r="F3686" s="117">
        <v>872</v>
      </c>
      <c r="G3686" s="110" t="s">
        <v>103</v>
      </c>
      <c r="H3686" s="110" t="str">
        <f t="shared" si="272"/>
        <v>Stillaguamish R, No. Fork</v>
      </c>
      <c r="I3686" s="110" t="str">
        <f>IFERROR(VLOOKUP(H3686,LUTs!$A$1:$C$73,2,FALSE),"NA")</f>
        <v>Snohomish</v>
      </c>
      <c r="J3686" s="110" t="str">
        <f>IFERROR(VLOOKUP(H3686,LUTs!$A$1:$C$73,3,FALSE),"NA")</f>
        <v>2Central Puget Sound</v>
      </c>
      <c r="K3686" s="110" t="s">
        <v>16</v>
      </c>
      <c r="L3686" s="110" t="str">
        <f>VLOOKUP(K3686,LUTs!E$2:G$14,3,)</f>
        <v>03Snohomish</v>
      </c>
      <c r="M3686" s="110" t="str">
        <f>VLOOKUP($K3686,LUTs!$E$2:$H$14,2,)</f>
        <v>North Puget Sound</v>
      </c>
      <c r="N3686" s="110" t="str">
        <f>VLOOKUP($K3686,LUTs!$E$2:$H$14,4,)</f>
        <v>01North Puget Sound</v>
      </c>
      <c r="O3686" s="110">
        <v>21</v>
      </c>
      <c r="P3686" s="110">
        <v>179.34</v>
      </c>
      <c r="Q3686" s="110">
        <f>SUMIFS('FW_Steelhead_by_Month_2010-2021'!Q$2:Q$3810,'FW_Steelhead_by_Month_2010-2021'!$B$2:$B$3810,'Rec_raw_catch_effort_2010-2021'!$B3686,'FW_Steelhead_by_Month_2010-2021'!$H$2:$H$3810,'Rec_raw_catch_effort_2010-2021'!$F3686,'FW_Steelhead_by_Month_2010-2021'!$M$2:$M$3810,'Rec_raw_catch_effort_2010-2021'!$K3686)</f>
        <v>21</v>
      </c>
      <c r="R3686" s="111">
        <f>VLOOKUP(B3686,Readme!$A$62:$C$74,3,)*Q3686</f>
        <v>439.47198382246518</v>
      </c>
      <c r="S3686" s="140" t="str">
        <f t="shared" si="273"/>
        <v>Y</v>
      </c>
      <c r="T3686" s="154">
        <f t="shared" si="274"/>
        <v>8.5400000000000009</v>
      </c>
      <c r="U3686" s="154">
        <f t="shared" si="275"/>
        <v>20.927237324879293</v>
      </c>
    </row>
    <row r="3687" spans="1:21" x14ac:dyDescent="0.35">
      <c r="A3687" s="110">
        <v>1975</v>
      </c>
      <c r="B3687" s="110">
        <v>2017</v>
      </c>
      <c r="C3687" s="110" t="s">
        <v>38</v>
      </c>
      <c r="D3687" s="110" t="s">
        <v>143</v>
      </c>
      <c r="E3687" s="110" t="s">
        <v>86</v>
      </c>
      <c r="F3687" s="117">
        <v>872</v>
      </c>
      <c r="G3687" s="110" t="s">
        <v>103</v>
      </c>
      <c r="H3687" s="110" t="str">
        <f t="shared" si="272"/>
        <v>Stillaguamish R, No. Fork</v>
      </c>
      <c r="I3687" s="110" t="str">
        <f>IFERROR(VLOOKUP(H3687,LUTs!$A$1:$C$73,2,FALSE),"NA")</f>
        <v>Snohomish</v>
      </c>
      <c r="J3687" s="110" t="str">
        <f>IFERROR(VLOOKUP(H3687,LUTs!$A$1:$C$73,3,FALSE),"NA")</f>
        <v>2Central Puget Sound</v>
      </c>
      <c r="K3687" s="110" t="s">
        <v>16</v>
      </c>
      <c r="L3687" s="110" t="str">
        <f>VLOOKUP(K3687,LUTs!E$2:G$14,3,)</f>
        <v>03Snohomish</v>
      </c>
      <c r="M3687" s="110" t="str">
        <f>VLOOKUP($K3687,LUTs!$E$2:$H$14,2,)</f>
        <v>North Puget Sound</v>
      </c>
      <c r="N3687" s="110" t="str">
        <f>VLOOKUP($K3687,LUTs!$E$2:$H$14,4,)</f>
        <v>01North Puget Sound</v>
      </c>
      <c r="O3687" s="110">
        <v>86</v>
      </c>
      <c r="P3687" s="110">
        <v>1595.3</v>
      </c>
      <c r="Q3687" s="110">
        <f>SUMIFS('FW_Steelhead_by_Month_2010-2021'!Q$2:Q$3810,'FW_Steelhead_by_Month_2010-2021'!$B$2:$B$3810,'Rec_raw_catch_effort_2010-2021'!$B3687,'FW_Steelhead_by_Month_2010-2021'!$H$2:$H$3810,'Rec_raw_catch_effort_2010-2021'!$F3687,'FW_Steelhead_by_Month_2010-2021'!$M$2:$M$3810,'Rec_raw_catch_effort_2010-2021'!$K3687)</f>
        <v>27</v>
      </c>
      <c r="R3687" s="111">
        <f>VLOOKUP(B3687,Readme!$A$62:$C$74,3,)*Q3687</f>
        <v>565.03540777174089</v>
      </c>
      <c r="S3687" s="140" t="str">
        <f t="shared" si="273"/>
        <v>Y</v>
      </c>
      <c r="T3687" s="154">
        <f t="shared" si="274"/>
        <v>18.55</v>
      </c>
      <c r="U3687" s="154">
        <f t="shared" si="275"/>
        <v>20.927237324879293</v>
      </c>
    </row>
    <row r="3688" spans="1:21" x14ac:dyDescent="0.35">
      <c r="A3688" s="110">
        <v>2114</v>
      </c>
      <c r="B3688" s="110">
        <v>2018</v>
      </c>
      <c r="C3688" s="110" t="s">
        <v>38</v>
      </c>
      <c r="D3688" s="110" t="s">
        <v>143</v>
      </c>
      <c r="E3688" s="110" t="s">
        <v>86</v>
      </c>
      <c r="F3688" s="117">
        <v>872</v>
      </c>
      <c r="G3688" s="110" t="s">
        <v>103</v>
      </c>
      <c r="H3688" s="110" t="str">
        <f t="shared" si="272"/>
        <v>Stillaguamish R, No. Fork</v>
      </c>
      <c r="I3688" s="110" t="str">
        <f>IFERROR(VLOOKUP(H3688,LUTs!$A$1:$C$73,2,FALSE),"NA")</f>
        <v>Snohomish</v>
      </c>
      <c r="J3688" s="110" t="str">
        <f>IFERROR(VLOOKUP(H3688,LUTs!$A$1:$C$73,3,FALSE),"NA")</f>
        <v>2Central Puget Sound</v>
      </c>
      <c r="K3688" s="110" t="s">
        <v>16</v>
      </c>
      <c r="L3688" s="110" t="str">
        <f>VLOOKUP(K3688,LUTs!E$2:G$14,3,)</f>
        <v>03Snohomish</v>
      </c>
      <c r="M3688" s="110" t="str">
        <f>VLOOKUP($K3688,LUTs!$E$2:$H$14,2,)</f>
        <v>North Puget Sound</v>
      </c>
      <c r="N3688" s="110" t="str">
        <f>VLOOKUP($K3688,LUTs!$E$2:$H$14,4,)</f>
        <v>01North Puget Sound</v>
      </c>
      <c r="O3688" s="110">
        <v>94</v>
      </c>
      <c r="P3688" s="110">
        <v>802.76</v>
      </c>
      <c r="Q3688" s="110">
        <f>SUMIFS('FW_Steelhead_by_Month_2010-2021'!Q$2:Q$3810,'FW_Steelhead_by_Month_2010-2021'!$B$2:$B$3810,'Rec_raw_catch_effort_2010-2021'!$B3688,'FW_Steelhead_by_Month_2010-2021'!$H$2:$H$3810,'Rec_raw_catch_effort_2010-2021'!$F3688,'FW_Steelhead_by_Month_2010-2021'!$M$2:$M$3810,'Rec_raw_catch_effort_2010-2021'!$K3688)</f>
        <v>56</v>
      </c>
      <c r="R3688" s="111">
        <f>VLOOKUP(B3688,Readme!$A$62:$C$74,3,)*Q3688</f>
        <v>1171.9252901932405</v>
      </c>
      <c r="S3688" s="140" t="str">
        <f t="shared" si="273"/>
        <v>Y</v>
      </c>
      <c r="T3688" s="154">
        <f t="shared" si="274"/>
        <v>8.5399999999999991</v>
      </c>
      <c r="U3688" s="154">
        <f t="shared" si="275"/>
        <v>20.927237324879293</v>
      </c>
    </row>
    <row r="3689" spans="1:21" x14ac:dyDescent="0.35">
      <c r="A3689" s="110">
        <v>2359</v>
      </c>
      <c r="B3689" s="110">
        <v>2019</v>
      </c>
      <c r="C3689" s="110" t="s">
        <v>38</v>
      </c>
      <c r="D3689" s="110" t="s">
        <v>143</v>
      </c>
      <c r="E3689" s="110" t="s">
        <v>86</v>
      </c>
      <c r="F3689" s="117">
        <v>872</v>
      </c>
      <c r="G3689" s="110" t="s">
        <v>103</v>
      </c>
      <c r="H3689" s="110" t="str">
        <f t="shared" si="272"/>
        <v>Stillaguamish R, No. Fork</v>
      </c>
      <c r="I3689" s="110" t="str">
        <f>IFERROR(VLOOKUP(H3689,LUTs!$A$1:$C$73,2,FALSE),"NA")</f>
        <v>Snohomish</v>
      </c>
      <c r="J3689" s="110" t="str">
        <f>IFERROR(VLOOKUP(H3689,LUTs!$A$1:$C$73,3,FALSE),"NA")</f>
        <v>2Central Puget Sound</v>
      </c>
      <c r="K3689" s="110" t="s">
        <v>17</v>
      </c>
      <c r="L3689" s="110" t="str">
        <f>VLOOKUP(K3689,LUTs!E$2:G$14,3,)</f>
        <v>04Island</v>
      </c>
      <c r="M3689" s="110" t="str">
        <f>VLOOKUP($K3689,LUTs!$E$2:$H$14,2,)</f>
        <v>North Puget Sound</v>
      </c>
      <c r="N3689" s="110" t="str">
        <f>VLOOKUP($K3689,LUTs!$E$2:$H$14,4,)</f>
        <v>01North Puget Sound</v>
      </c>
      <c r="O3689" s="110">
        <v>9.5</v>
      </c>
      <c r="P3689" s="110">
        <v>176.22499999999999</v>
      </c>
      <c r="Q3689" s="110">
        <f>SUMIFS('FW_Steelhead_by_Month_2010-2021'!Q$2:Q$3810,'FW_Steelhead_by_Month_2010-2021'!$B$2:$B$3810,'Rec_raw_catch_effort_2010-2021'!$B3689,'FW_Steelhead_by_Month_2010-2021'!$H$2:$H$3810,'Rec_raw_catch_effort_2010-2021'!$F3689,'FW_Steelhead_by_Month_2010-2021'!$M$2:$M$3810,'Rec_raw_catch_effort_2010-2021'!$K3689)</f>
        <v>4</v>
      </c>
      <c r="R3689" s="111">
        <f>VLOOKUP(B3689,Readme!$A$62:$C$74,3,)*Q3689</f>
        <v>83.708949299517172</v>
      </c>
      <c r="S3689" s="140" t="str">
        <f t="shared" si="273"/>
        <v>Y</v>
      </c>
      <c r="T3689" s="154">
        <f t="shared" si="274"/>
        <v>18.55</v>
      </c>
      <c r="U3689" s="154">
        <f t="shared" si="275"/>
        <v>20.927237324879293</v>
      </c>
    </row>
    <row r="3690" spans="1:21" x14ac:dyDescent="0.35">
      <c r="A3690" s="110">
        <v>2360</v>
      </c>
      <c r="B3690" s="110">
        <v>2019</v>
      </c>
      <c r="C3690" s="110" t="s">
        <v>38</v>
      </c>
      <c r="D3690" s="110" t="s">
        <v>143</v>
      </c>
      <c r="E3690" s="110" t="s">
        <v>86</v>
      </c>
      <c r="F3690" s="117">
        <v>872</v>
      </c>
      <c r="G3690" s="110" t="s">
        <v>103</v>
      </c>
      <c r="H3690" s="110" t="str">
        <f t="shared" si="272"/>
        <v>Stillaguamish R, No. Fork</v>
      </c>
      <c r="I3690" s="110" t="str">
        <f>IFERROR(VLOOKUP(H3690,LUTs!$A$1:$C$73,2,FALSE),"NA")</f>
        <v>Snohomish</v>
      </c>
      <c r="J3690" s="110" t="str">
        <f>IFERROR(VLOOKUP(H3690,LUTs!$A$1:$C$73,3,FALSE),"NA")</f>
        <v>2Central Puget Sound</v>
      </c>
      <c r="K3690" s="110" t="s">
        <v>18</v>
      </c>
      <c r="L3690" s="110" t="str">
        <f>VLOOKUP(K3690,LUTs!E$2:G$14,3,)</f>
        <v>06King</v>
      </c>
      <c r="M3690" s="110" t="str">
        <f>VLOOKUP($K3690,LUTs!$E$2:$H$14,2,)</f>
        <v>South Puget Sound</v>
      </c>
      <c r="N3690" s="110" t="str">
        <f>VLOOKUP($K3690,LUTs!$E$2:$H$14,4,)</f>
        <v>02South Puget Sound</v>
      </c>
      <c r="O3690" s="110">
        <v>9.5</v>
      </c>
      <c r="P3690" s="110">
        <v>176.22499999999999</v>
      </c>
      <c r="Q3690" s="110">
        <f>SUMIFS('FW_Steelhead_by_Month_2010-2021'!Q$2:Q$3810,'FW_Steelhead_by_Month_2010-2021'!$B$2:$B$3810,'Rec_raw_catch_effort_2010-2021'!$B3690,'FW_Steelhead_by_Month_2010-2021'!$H$2:$H$3810,'Rec_raw_catch_effort_2010-2021'!$F3690,'FW_Steelhead_by_Month_2010-2021'!$M$2:$M$3810,'Rec_raw_catch_effort_2010-2021'!$K3690)</f>
        <v>5</v>
      </c>
      <c r="R3690" s="111">
        <f>VLOOKUP(B3690,Readme!$A$62:$C$74,3,)*Q3690</f>
        <v>104.63618662439646</v>
      </c>
      <c r="S3690" s="140" t="str">
        <f t="shared" si="273"/>
        <v>Y</v>
      </c>
      <c r="T3690" s="154">
        <f t="shared" si="274"/>
        <v>18.55</v>
      </c>
      <c r="U3690" s="154">
        <f t="shared" si="275"/>
        <v>20.927237324879293</v>
      </c>
    </row>
    <row r="3691" spans="1:21" x14ac:dyDescent="0.35">
      <c r="A3691" s="110">
        <v>2361</v>
      </c>
      <c r="B3691" s="110">
        <v>2019</v>
      </c>
      <c r="C3691" s="110" t="s">
        <v>38</v>
      </c>
      <c r="D3691" s="110" t="s">
        <v>143</v>
      </c>
      <c r="E3691" s="110" t="s">
        <v>86</v>
      </c>
      <c r="F3691" s="117">
        <v>872</v>
      </c>
      <c r="G3691" s="110" t="s">
        <v>103</v>
      </c>
      <c r="H3691" s="110" t="str">
        <f t="shared" si="272"/>
        <v>Stillaguamish R, No. Fork</v>
      </c>
      <c r="I3691" s="110" t="str">
        <f>IFERROR(VLOOKUP(H3691,LUTs!$A$1:$C$73,2,FALSE),"NA")</f>
        <v>Snohomish</v>
      </c>
      <c r="J3691" s="110" t="str">
        <f>IFERROR(VLOOKUP(H3691,LUTs!$A$1:$C$73,3,FALSE),"NA")</f>
        <v>2Central Puget Sound</v>
      </c>
      <c r="K3691" s="110" t="s">
        <v>26</v>
      </c>
      <c r="L3691" s="110" t="str">
        <f>VLOOKUP(K3691,LUTs!E$2:G$14,3,)</f>
        <v>20Other</v>
      </c>
      <c r="M3691" s="110" t="str">
        <f>VLOOKUP($K3691,LUTs!$E$2:$H$14,2,)</f>
        <v>Non Puget Sound</v>
      </c>
      <c r="N3691" s="110" t="str">
        <f>VLOOKUP($K3691,LUTs!$E$2:$H$14,4,)</f>
        <v>07Non Puget Sound</v>
      </c>
      <c r="O3691" s="110">
        <v>9.5</v>
      </c>
      <c r="P3691" s="110">
        <v>176.22499999999999</v>
      </c>
      <c r="Q3691" s="110">
        <f>SUMIFS('FW_Steelhead_by_Month_2010-2021'!Q$2:Q$3810,'FW_Steelhead_by_Month_2010-2021'!$B$2:$B$3810,'Rec_raw_catch_effort_2010-2021'!$B3691,'FW_Steelhead_by_Month_2010-2021'!$H$2:$H$3810,'Rec_raw_catch_effort_2010-2021'!$F3691,'FW_Steelhead_by_Month_2010-2021'!$M$2:$M$3810,'Rec_raw_catch_effort_2010-2021'!$K3691)</f>
        <v>4</v>
      </c>
      <c r="R3691" s="111">
        <f>VLOOKUP(B3691,Readme!$A$62:$C$74,3,)*Q3691</f>
        <v>83.708949299517172</v>
      </c>
      <c r="S3691" s="140" t="str">
        <f t="shared" si="273"/>
        <v>Y</v>
      </c>
      <c r="T3691" s="154">
        <f t="shared" si="274"/>
        <v>18.55</v>
      </c>
      <c r="U3691" s="154">
        <f t="shared" si="275"/>
        <v>20.927237324879293</v>
      </c>
    </row>
    <row r="3692" spans="1:21" x14ac:dyDescent="0.35">
      <c r="A3692" s="110">
        <v>2357</v>
      </c>
      <c r="B3692" s="110">
        <v>2019</v>
      </c>
      <c r="C3692" s="110" t="s">
        <v>38</v>
      </c>
      <c r="D3692" s="110" t="s">
        <v>143</v>
      </c>
      <c r="E3692" s="110" t="s">
        <v>86</v>
      </c>
      <c r="F3692" s="117">
        <v>872</v>
      </c>
      <c r="G3692" s="110" t="s">
        <v>103</v>
      </c>
      <c r="H3692" s="110" t="str">
        <f t="shared" si="272"/>
        <v>Stillaguamish R, No. Fork</v>
      </c>
      <c r="I3692" s="110" t="str">
        <f>IFERROR(VLOOKUP(H3692,LUTs!$A$1:$C$73,2,FALSE),"NA")</f>
        <v>Snohomish</v>
      </c>
      <c r="J3692" s="110" t="str">
        <f>IFERROR(VLOOKUP(H3692,LUTs!$A$1:$C$73,3,FALSE),"NA")</f>
        <v>2Central Puget Sound</v>
      </c>
      <c r="K3692" s="110" t="s">
        <v>15</v>
      </c>
      <c r="L3692" s="110" t="str">
        <f>VLOOKUP(K3692,LUTs!E$2:G$14,3,)</f>
        <v>02Skagit</v>
      </c>
      <c r="M3692" s="110" t="str">
        <f>VLOOKUP($K3692,LUTs!$E$2:$H$14,2,)</f>
        <v>North Puget Sound</v>
      </c>
      <c r="N3692" s="110" t="str">
        <f>VLOOKUP($K3692,LUTs!$E$2:$H$14,4,)</f>
        <v>01North Puget Sound</v>
      </c>
      <c r="O3692" s="110">
        <v>9.5</v>
      </c>
      <c r="P3692" s="110">
        <v>176.22499999999999</v>
      </c>
      <c r="Q3692" s="110">
        <f>SUMIFS('FW_Steelhead_by_Month_2010-2021'!Q$2:Q$3810,'FW_Steelhead_by_Month_2010-2021'!$B$2:$B$3810,'Rec_raw_catch_effort_2010-2021'!$B3692,'FW_Steelhead_by_Month_2010-2021'!$H$2:$H$3810,'Rec_raw_catch_effort_2010-2021'!$F3692,'FW_Steelhead_by_Month_2010-2021'!$M$2:$M$3810,'Rec_raw_catch_effort_2010-2021'!$K3692)</f>
        <v>5</v>
      </c>
      <c r="R3692" s="111">
        <f>VLOOKUP(B3692,Readme!$A$62:$C$74,3,)*Q3692</f>
        <v>104.63618662439646</v>
      </c>
      <c r="S3692" s="140" t="str">
        <f t="shared" si="273"/>
        <v>Y</v>
      </c>
      <c r="T3692" s="154">
        <f t="shared" si="274"/>
        <v>18.55</v>
      </c>
      <c r="U3692" s="154">
        <f t="shared" si="275"/>
        <v>20.927237324879293</v>
      </c>
    </row>
    <row r="3693" spans="1:21" x14ac:dyDescent="0.35">
      <c r="A3693" s="110">
        <v>2358</v>
      </c>
      <c r="B3693" s="110">
        <v>2019</v>
      </c>
      <c r="C3693" s="110" t="s">
        <v>38</v>
      </c>
      <c r="D3693" s="110" t="s">
        <v>143</v>
      </c>
      <c r="E3693" s="110" t="s">
        <v>86</v>
      </c>
      <c r="F3693" s="117">
        <v>872</v>
      </c>
      <c r="G3693" s="110" t="s">
        <v>103</v>
      </c>
      <c r="H3693" s="110" t="str">
        <f t="shared" si="272"/>
        <v>Stillaguamish R, No. Fork</v>
      </c>
      <c r="I3693" s="110" t="str">
        <f>IFERROR(VLOOKUP(H3693,LUTs!$A$1:$C$73,2,FALSE),"NA")</f>
        <v>Snohomish</v>
      </c>
      <c r="J3693" s="110" t="str">
        <f>IFERROR(VLOOKUP(H3693,LUTs!$A$1:$C$73,3,FALSE),"NA")</f>
        <v>2Central Puget Sound</v>
      </c>
      <c r="K3693" s="110" t="s">
        <v>16</v>
      </c>
      <c r="L3693" s="110" t="str">
        <f>VLOOKUP(K3693,LUTs!E$2:G$14,3,)</f>
        <v>03Snohomish</v>
      </c>
      <c r="M3693" s="110" t="str">
        <f>VLOOKUP($K3693,LUTs!$E$2:$H$14,2,)</f>
        <v>North Puget Sound</v>
      </c>
      <c r="N3693" s="110" t="str">
        <f>VLOOKUP($K3693,LUTs!$E$2:$H$14,4,)</f>
        <v>01North Puget Sound</v>
      </c>
      <c r="O3693" s="110">
        <v>38</v>
      </c>
      <c r="P3693" s="110">
        <v>704.9</v>
      </c>
      <c r="Q3693" s="110">
        <f>SUMIFS('FW_Steelhead_by_Month_2010-2021'!Q$2:Q$3810,'FW_Steelhead_by_Month_2010-2021'!$B$2:$B$3810,'Rec_raw_catch_effort_2010-2021'!$B3693,'FW_Steelhead_by_Month_2010-2021'!$H$2:$H$3810,'Rec_raw_catch_effort_2010-2021'!$F3693,'FW_Steelhead_by_Month_2010-2021'!$M$2:$M$3810,'Rec_raw_catch_effort_2010-2021'!$K3693)</f>
        <v>27</v>
      </c>
      <c r="R3693" s="111">
        <f>VLOOKUP(B3693,Readme!$A$62:$C$74,3,)*Q3693</f>
        <v>565.03540777174089</v>
      </c>
      <c r="S3693" s="140" t="str">
        <f t="shared" si="273"/>
        <v>Y</v>
      </c>
      <c r="T3693" s="154">
        <f t="shared" si="274"/>
        <v>18.55</v>
      </c>
      <c r="U3693" s="154">
        <f t="shared" si="275"/>
        <v>20.927237324879293</v>
      </c>
    </row>
    <row r="3694" spans="1:21" x14ac:dyDescent="0.35">
      <c r="A3694" s="110">
        <v>2468</v>
      </c>
      <c r="B3694" s="110">
        <v>2020</v>
      </c>
      <c r="C3694" s="110" t="s">
        <v>38</v>
      </c>
      <c r="D3694" s="110" t="s">
        <v>143</v>
      </c>
      <c r="E3694" s="110" t="s">
        <v>86</v>
      </c>
      <c r="F3694" s="117">
        <v>872</v>
      </c>
      <c r="G3694" s="110" t="s">
        <v>103</v>
      </c>
      <c r="H3694" s="110" t="str">
        <f t="shared" si="272"/>
        <v>Stillaguamish R, No. Fork</v>
      </c>
      <c r="I3694" s="110" t="str">
        <f>IFERROR(VLOOKUP(H3694,LUTs!$A$1:$C$73,2,FALSE),"NA")</f>
        <v>Snohomish</v>
      </c>
      <c r="J3694" s="110" t="str">
        <f>IFERROR(VLOOKUP(H3694,LUTs!$A$1:$C$73,3,FALSE),"NA")</f>
        <v>2Central Puget Sound</v>
      </c>
      <c r="K3694" s="110" t="s">
        <v>18</v>
      </c>
      <c r="L3694" s="110" t="str">
        <f>VLOOKUP(K3694,LUTs!E$2:G$14,3,)</f>
        <v>06King</v>
      </c>
      <c r="M3694" s="110" t="str">
        <f>VLOOKUP($K3694,LUTs!$E$2:$H$14,2,)</f>
        <v>South Puget Sound</v>
      </c>
      <c r="N3694" s="110" t="str">
        <f>VLOOKUP($K3694,LUTs!$E$2:$H$14,4,)</f>
        <v>02South Puget Sound</v>
      </c>
      <c r="O3694" s="110">
        <v>24</v>
      </c>
      <c r="P3694" s="110">
        <v>204.96</v>
      </c>
      <c r="Q3694" s="110">
        <f>SUMIFS('FW_Steelhead_by_Month_2010-2021'!Q$2:Q$3810,'FW_Steelhead_by_Month_2010-2021'!$B$2:$B$3810,'Rec_raw_catch_effort_2010-2021'!$B3694,'FW_Steelhead_by_Month_2010-2021'!$H$2:$H$3810,'Rec_raw_catch_effort_2010-2021'!$F3694,'FW_Steelhead_by_Month_2010-2021'!$M$2:$M$3810,'Rec_raw_catch_effort_2010-2021'!$K3694)</f>
        <v>11.25</v>
      </c>
      <c r="R3694" s="111">
        <f>VLOOKUP(B3694,Readme!$A$62:$C$74,3,)*Q3694</f>
        <v>235.43141990489204</v>
      </c>
      <c r="S3694" s="140" t="str">
        <f t="shared" si="273"/>
        <v>N</v>
      </c>
      <c r="T3694" s="154">
        <f t="shared" si="274"/>
        <v>8.5400000000000009</v>
      </c>
      <c r="U3694" s="154">
        <f t="shared" si="275"/>
        <v>20.927237324879293</v>
      </c>
    </row>
    <row r="3695" spans="1:21" x14ac:dyDescent="0.35">
      <c r="A3695" s="110">
        <v>2467</v>
      </c>
      <c r="B3695" s="110">
        <v>2020</v>
      </c>
      <c r="C3695" s="110" t="s">
        <v>38</v>
      </c>
      <c r="D3695" s="110" t="s">
        <v>143</v>
      </c>
      <c r="E3695" s="110" t="s">
        <v>86</v>
      </c>
      <c r="F3695" s="117">
        <v>872</v>
      </c>
      <c r="G3695" s="110" t="s">
        <v>103</v>
      </c>
      <c r="H3695" s="110" t="str">
        <f t="shared" si="272"/>
        <v>Stillaguamish R, No. Fork</v>
      </c>
      <c r="I3695" s="110" t="str">
        <f>IFERROR(VLOOKUP(H3695,LUTs!$A$1:$C$73,2,FALSE),"NA")</f>
        <v>Snohomish</v>
      </c>
      <c r="J3695" s="110" t="str">
        <f>IFERROR(VLOOKUP(H3695,LUTs!$A$1:$C$73,3,FALSE),"NA")</f>
        <v>2Central Puget Sound</v>
      </c>
      <c r="K3695" s="110" t="s">
        <v>16</v>
      </c>
      <c r="L3695" s="110" t="str">
        <f>VLOOKUP(K3695,LUTs!E$2:G$14,3,)</f>
        <v>03Snohomish</v>
      </c>
      <c r="M3695" s="110" t="str">
        <f>VLOOKUP($K3695,LUTs!$E$2:$H$14,2,)</f>
        <v>North Puget Sound</v>
      </c>
      <c r="N3695" s="110" t="str">
        <f>VLOOKUP($K3695,LUTs!$E$2:$H$14,4,)</f>
        <v>01North Puget Sound</v>
      </c>
      <c r="O3695" s="110">
        <v>48</v>
      </c>
      <c r="P3695" s="110">
        <v>409.92</v>
      </c>
      <c r="Q3695" s="110">
        <f>SUMIFS('FW_Steelhead_by_Month_2010-2021'!Q$2:Q$3810,'FW_Steelhead_by_Month_2010-2021'!$B$2:$B$3810,'Rec_raw_catch_effort_2010-2021'!$B3695,'FW_Steelhead_by_Month_2010-2021'!$H$2:$H$3810,'Rec_raw_catch_effort_2010-2021'!$F3695,'FW_Steelhead_by_Month_2010-2021'!$M$2:$M$3810,'Rec_raw_catch_effort_2010-2021'!$K3695)</f>
        <v>24.75</v>
      </c>
      <c r="R3695" s="111">
        <f>VLOOKUP(B3695,Readme!$A$62:$C$74,3,)*Q3695</f>
        <v>517.94912379076254</v>
      </c>
      <c r="S3695" s="140" t="str">
        <f t="shared" si="273"/>
        <v>N</v>
      </c>
      <c r="T3695" s="154">
        <f t="shared" si="274"/>
        <v>8.5400000000000009</v>
      </c>
      <c r="U3695" s="154">
        <f t="shared" si="275"/>
        <v>20.927237324879293</v>
      </c>
    </row>
    <row r="3696" spans="1:21" x14ac:dyDescent="0.35">
      <c r="A3696" s="110">
        <v>2587</v>
      </c>
      <c r="B3696" s="110">
        <v>2021</v>
      </c>
      <c r="C3696" s="110" t="s">
        <v>38</v>
      </c>
      <c r="D3696" s="110" t="s">
        <v>143</v>
      </c>
      <c r="E3696" s="110" t="s">
        <v>86</v>
      </c>
      <c r="F3696" s="117">
        <v>872</v>
      </c>
      <c r="G3696" s="110" t="s">
        <v>103</v>
      </c>
      <c r="H3696" s="110" t="str">
        <f t="shared" si="272"/>
        <v>Stillaguamish R, No. Fork</v>
      </c>
      <c r="I3696" s="110" t="str">
        <f>IFERROR(VLOOKUP(H3696,LUTs!$A$1:$C$73,2,FALSE),"NA")</f>
        <v>Snohomish</v>
      </c>
      <c r="J3696" s="110" t="str">
        <f>IFERROR(VLOOKUP(H3696,LUTs!$A$1:$C$73,3,FALSE),"NA")</f>
        <v>2Central Puget Sound</v>
      </c>
      <c r="K3696" s="110" t="s">
        <v>18</v>
      </c>
      <c r="L3696" s="110" t="str">
        <f>VLOOKUP(K3696,LUTs!E$2:G$14,3,)</f>
        <v>06King</v>
      </c>
      <c r="M3696" s="110" t="str">
        <f>VLOOKUP($K3696,LUTs!$E$2:$H$14,2,)</f>
        <v>South Puget Sound</v>
      </c>
      <c r="N3696" s="110" t="str">
        <f>VLOOKUP($K3696,LUTs!$E$2:$H$14,4,)</f>
        <v>02South Puget Sound</v>
      </c>
      <c r="O3696" s="110">
        <v>23.891891891891898</v>
      </c>
      <c r="P3696" s="110">
        <v>443.194594594595</v>
      </c>
      <c r="Q3696" s="110">
        <f>SUMIFS('FW_Steelhead_by_Month_2010-2021'!Q$2:Q$3810,'FW_Steelhead_by_Month_2010-2021'!$B$2:$B$3810,'Rec_raw_catch_effort_2010-2021'!$B3696,'FW_Steelhead_by_Month_2010-2021'!$H$2:$H$3810,'Rec_raw_catch_effort_2010-2021'!$F3696,'FW_Steelhead_by_Month_2010-2021'!$M$2:$M$3810,'Rec_raw_catch_effort_2010-2021'!$K3696)</f>
        <v>5.6666666666666696</v>
      </c>
      <c r="R3696" s="111">
        <f>VLOOKUP(B3696,Readme!$A$62:$C$74,3,)*Q3696</f>
        <v>118.58767817431605</v>
      </c>
      <c r="S3696" s="140" t="str">
        <f t="shared" si="273"/>
        <v>N</v>
      </c>
      <c r="T3696" s="154">
        <f t="shared" si="274"/>
        <v>18.550000000000011</v>
      </c>
      <c r="U3696" s="154">
        <f t="shared" si="275"/>
        <v>20.927237324879293</v>
      </c>
    </row>
    <row r="3697" spans="1:21" x14ac:dyDescent="0.35">
      <c r="A3697" s="110">
        <v>2586</v>
      </c>
      <c r="B3697" s="110">
        <v>2021</v>
      </c>
      <c r="C3697" s="110" t="s">
        <v>38</v>
      </c>
      <c r="D3697" s="110" t="s">
        <v>143</v>
      </c>
      <c r="E3697" s="110" t="s">
        <v>86</v>
      </c>
      <c r="F3697" s="117">
        <v>872</v>
      </c>
      <c r="G3697" s="110" t="s">
        <v>103</v>
      </c>
      <c r="H3697" s="110" t="str">
        <f t="shared" si="272"/>
        <v>Stillaguamish R, No. Fork</v>
      </c>
      <c r="I3697" s="110" t="str">
        <f>IFERROR(VLOOKUP(H3697,LUTs!$A$1:$C$73,2,FALSE),"NA")</f>
        <v>Snohomish</v>
      </c>
      <c r="J3697" s="110" t="str">
        <f>IFERROR(VLOOKUP(H3697,LUTs!$A$1:$C$73,3,FALSE),"NA")</f>
        <v>2Central Puget Sound</v>
      </c>
      <c r="K3697" s="110" t="s">
        <v>16</v>
      </c>
      <c r="L3697" s="110" t="str">
        <f>VLOOKUP(K3697,LUTs!E$2:G$14,3,)</f>
        <v>03Snohomish</v>
      </c>
      <c r="M3697" s="110" t="str">
        <f>VLOOKUP($K3697,LUTs!$E$2:$H$14,2,)</f>
        <v>North Puget Sound</v>
      </c>
      <c r="N3697" s="110" t="str">
        <f>VLOOKUP($K3697,LUTs!$E$2:$H$14,4,)</f>
        <v>01North Puget Sound</v>
      </c>
      <c r="O3697" s="110">
        <v>418.10810810810801</v>
      </c>
      <c r="P3697" s="110">
        <v>7755.9054054054004</v>
      </c>
      <c r="Q3697" s="110">
        <f>SUMIFS('FW_Steelhead_by_Month_2010-2021'!Q$2:Q$3810,'FW_Steelhead_by_Month_2010-2021'!$B$2:$B$3810,'Rec_raw_catch_effort_2010-2021'!$B3697,'FW_Steelhead_by_Month_2010-2021'!$H$2:$H$3810,'Rec_raw_catch_effort_2010-2021'!$F3697,'FW_Steelhead_by_Month_2010-2021'!$M$2:$M$3810,'Rec_raw_catch_effort_2010-2021'!$K3697)</f>
        <v>247.33333333333331</v>
      </c>
      <c r="R3697" s="111">
        <f>VLOOKUP(B3697,Readme!$A$62:$C$74,3,)*Q3697</f>
        <v>5176.0033650201449</v>
      </c>
      <c r="S3697" s="140" t="str">
        <f t="shared" si="273"/>
        <v>N</v>
      </c>
      <c r="T3697" s="154">
        <f t="shared" si="274"/>
        <v>18.549999999999994</v>
      </c>
      <c r="U3697" s="154">
        <f t="shared" si="275"/>
        <v>20.927237324879293</v>
      </c>
    </row>
    <row r="3698" spans="1:21" x14ac:dyDescent="0.35">
      <c r="A3698" s="110">
        <v>2231</v>
      </c>
      <c r="B3698" s="110">
        <v>2010</v>
      </c>
      <c r="C3698" s="110" t="s">
        <v>38</v>
      </c>
      <c r="D3698" s="110" t="s">
        <v>143</v>
      </c>
      <c r="E3698" s="110" t="s">
        <v>86</v>
      </c>
      <c r="F3698" s="117">
        <v>874</v>
      </c>
      <c r="G3698" s="110" t="s">
        <v>104</v>
      </c>
      <c r="H3698" s="110" t="str">
        <f t="shared" si="272"/>
        <v>Stillaguamish R, So. Fork</v>
      </c>
      <c r="I3698" s="110" t="str">
        <f>IFERROR(VLOOKUP(H3698,LUTs!$A$1:$C$73,2,FALSE),"NA")</f>
        <v>Snohomish</v>
      </c>
      <c r="J3698" s="110" t="str">
        <f>IFERROR(VLOOKUP(H3698,LUTs!$A$1:$C$73,3,FALSE),"NA")</f>
        <v>2Central Puget Sound</v>
      </c>
      <c r="K3698" s="110" t="s">
        <v>16</v>
      </c>
      <c r="L3698" s="110" t="str">
        <f>VLOOKUP(K3698,LUTs!E$2:G$14,3,)</f>
        <v>03Snohomish</v>
      </c>
      <c r="M3698" s="110" t="str">
        <f>VLOOKUP($K3698,LUTs!$E$2:$H$14,2,)</f>
        <v>North Puget Sound</v>
      </c>
      <c r="N3698" s="110" t="str">
        <f>VLOOKUP($K3698,LUTs!$E$2:$H$14,4,)</f>
        <v>01North Puget Sound</v>
      </c>
      <c r="O3698" s="110">
        <v>3</v>
      </c>
      <c r="P3698" s="110">
        <v>25.62</v>
      </c>
      <c r="Q3698" s="110">
        <f>SUMIFS('FW_Steelhead_by_Month_2010-2021'!Q$2:Q$3810,'FW_Steelhead_by_Month_2010-2021'!$B$2:$B$3810,'Rec_raw_catch_effort_2010-2021'!$B3698,'FW_Steelhead_by_Month_2010-2021'!$H$2:$H$3810,'Rec_raw_catch_effort_2010-2021'!$F3698,'FW_Steelhead_by_Month_2010-2021'!$M$2:$M$3810,'Rec_raw_catch_effort_2010-2021'!$K3698)</f>
        <v>3</v>
      </c>
      <c r="R3698" s="111">
        <f>VLOOKUP(B3698,Readme!$A$62:$C$74,3,)*Q3698</f>
        <v>62.781711974637879</v>
      </c>
      <c r="S3698" s="140" t="str">
        <f t="shared" si="273"/>
        <v>Y</v>
      </c>
      <c r="T3698" s="154">
        <f t="shared" si="274"/>
        <v>8.5400000000000009</v>
      </c>
      <c r="U3698" s="154">
        <f t="shared" si="275"/>
        <v>20.927237324879293</v>
      </c>
    </row>
    <row r="3699" spans="1:21" x14ac:dyDescent="0.35">
      <c r="A3699" s="110">
        <v>2805</v>
      </c>
      <c r="B3699" s="110">
        <v>2011</v>
      </c>
      <c r="C3699" s="110" t="s">
        <v>38</v>
      </c>
      <c r="D3699" s="110" t="s">
        <v>143</v>
      </c>
      <c r="E3699" s="110" t="s">
        <v>86</v>
      </c>
      <c r="F3699" s="117">
        <v>874</v>
      </c>
      <c r="G3699" s="110" t="s">
        <v>104</v>
      </c>
      <c r="H3699" s="110" t="str">
        <f t="shared" si="272"/>
        <v>Stillaguamish R, So. Fork</v>
      </c>
      <c r="I3699" s="110" t="str">
        <f>IFERROR(VLOOKUP(H3699,LUTs!$A$1:$C$73,2,FALSE),"NA")</f>
        <v>Snohomish</v>
      </c>
      <c r="J3699" s="110" t="str">
        <f>IFERROR(VLOOKUP(H3699,LUTs!$A$1:$C$73,3,FALSE),"NA")</f>
        <v>2Central Puget Sound</v>
      </c>
      <c r="K3699" s="110" t="s">
        <v>16</v>
      </c>
      <c r="L3699" s="110" t="str">
        <f>VLOOKUP(K3699,LUTs!E$2:G$14,3,)</f>
        <v>03Snohomish</v>
      </c>
      <c r="M3699" s="110" t="str">
        <f>VLOOKUP($K3699,LUTs!$E$2:$H$14,2,)</f>
        <v>North Puget Sound</v>
      </c>
      <c r="N3699" s="110" t="str">
        <f>VLOOKUP($K3699,LUTs!$E$2:$H$14,4,)</f>
        <v>01North Puget Sound</v>
      </c>
      <c r="O3699" s="110">
        <v>11</v>
      </c>
      <c r="P3699" s="110">
        <v>204.05</v>
      </c>
      <c r="Q3699" s="110">
        <f>SUMIFS('FW_Steelhead_by_Month_2010-2021'!Q$2:Q$3810,'FW_Steelhead_by_Month_2010-2021'!$B$2:$B$3810,'Rec_raw_catch_effort_2010-2021'!$B3699,'FW_Steelhead_by_Month_2010-2021'!$H$2:$H$3810,'Rec_raw_catch_effort_2010-2021'!$F3699,'FW_Steelhead_by_Month_2010-2021'!$M$2:$M$3810,'Rec_raw_catch_effort_2010-2021'!$K3699)</f>
        <v>11</v>
      </c>
      <c r="R3699" s="111">
        <f>VLOOKUP(B3699,Readme!$A$62:$C$74,3,)*Q3699</f>
        <v>230.19961057367223</v>
      </c>
      <c r="S3699" s="140" t="str">
        <f t="shared" si="273"/>
        <v>Y</v>
      </c>
      <c r="T3699" s="154">
        <f t="shared" si="274"/>
        <v>18.55</v>
      </c>
      <c r="U3699" s="154">
        <f t="shared" si="275"/>
        <v>20.927237324879293</v>
      </c>
    </row>
    <row r="3700" spans="1:21" x14ac:dyDescent="0.35">
      <c r="A3700" s="110">
        <v>1417</v>
      </c>
      <c r="B3700" s="110">
        <v>2012</v>
      </c>
      <c r="C3700" s="110" t="s">
        <v>38</v>
      </c>
      <c r="D3700" s="110" t="s">
        <v>143</v>
      </c>
      <c r="E3700" s="110" t="s">
        <v>86</v>
      </c>
      <c r="F3700" s="117">
        <v>874</v>
      </c>
      <c r="G3700" s="110" t="s">
        <v>104</v>
      </c>
      <c r="H3700" s="110" t="str">
        <f t="shared" si="272"/>
        <v>Stillaguamish R, So. Fork</v>
      </c>
      <c r="I3700" s="110" t="str">
        <f>IFERROR(VLOOKUP(H3700,LUTs!$A$1:$C$73,2,FALSE),"NA")</f>
        <v>Snohomish</v>
      </c>
      <c r="J3700" s="110" t="str">
        <f>IFERROR(VLOOKUP(H3700,LUTs!$A$1:$C$73,3,FALSE),"NA")</f>
        <v>2Central Puget Sound</v>
      </c>
      <c r="K3700" s="110" t="s">
        <v>16</v>
      </c>
      <c r="L3700" s="110" t="str">
        <f>VLOOKUP(K3700,LUTs!E$2:G$14,3,)</f>
        <v>03Snohomish</v>
      </c>
      <c r="M3700" s="110" t="str">
        <f>VLOOKUP($K3700,LUTs!$E$2:$H$14,2,)</f>
        <v>North Puget Sound</v>
      </c>
      <c r="N3700" s="110" t="str">
        <f>VLOOKUP($K3700,LUTs!$E$2:$H$14,4,)</f>
        <v>01North Puget Sound</v>
      </c>
      <c r="O3700" s="110">
        <v>24</v>
      </c>
      <c r="P3700" s="110">
        <v>204.96</v>
      </c>
      <c r="Q3700" s="110">
        <f>SUMIFS('FW_Steelhead_by_Month_2010-2021'!Q$2:Q$3810,'FW_Steelhead_by_Month_2010-2021'!$B$2:$B$3810,'Rec_raw_catch_effort_2010-2021'!$B3700,'FW_Steelhead_by_Month_2010-2021'!$H$2:$H$3810,'Rec_raw_catch_effort_2010-2021'!$F3700,'FW_Steelhead_by_Month_2010-2021'!$M$2:$M$3810,'Rec_raw_catch_effort_2010-2021'!$K3700)</f>
        <v>21</v>
      </c>
      <c r="R3700" s="111">
        <f>VLOOKUP(B3700,Readme!$A$62:$C$74,3,)*Q3700</f>
        <v>439.47198382246518</v>
      </c>
      <c r="S3700" s="140" t="str">
        <f t="shared" si="273"/>
        <v>Y</v>
      </c>
      <c r="T3700" s="154">
        <f t="shared" si="274"/>
        <v>8.5400000000000009</v>
      </c>
      <c r="U3700" s="154">
        <f t="shared" si="275"/>
        <v>20.927237324879293</v>
      </c>
    </row>
    <row r="3701" spans="1:21" x14ac:dyDescent="0.35">
      <c r="A3701" s="110">
        <v>1463</v>
      </c>
      <c r="B3701" s="110">
        <v>2014</v>
      </c>
      <c r="C3701" s="110" t="s">
        <v>38</v>
      </c>
      <c r="D3701" s="110" t="s">
        <v>143</v>
      </c>
      <c r="E3701" s="110" t="s">
        <v>86</v>
      </c>
      <c r="F3701" s="117">
        <v>874</v>
      </c>
      <c r="G3701" s="110" t="s">
        <v>104</v>
      </c>
      <c r="H3701" s="110" t="str">
        <f t="shared" si="272"/>
        <v>Stillaguamish R, So. Fork</v>
      </c>
      <c r="I3701" s="110" t="str">
        <f>IFERROR(VLOOKUP(H3701,LUTs!$A$1:$C$73,2,FALSE),"NA")</f>
        <v>Snohomish</v>
      </c>
      <c r="J3701" s="110" t="str">
        <f>IFERROR(VLOOKUP(H3701,LUTs!$A$1:$C$73,3,FALSE),"NA")</f>
        <v>2Central Puget Sound</v>
      </c>
      <c r="K3701" s="110" t="s">
        <v>26</v>
      </c>
      <c r="L3701" s="110" t="str">
        <f>VLOOKUP(K3701,LUTs!E$2:G$14,3,)</f>
        <v>20Other</v>
      </c>
      <c r="M3701" s="110" t="str">
        <f>VLOOKUP($K3701,LUTs!$E$2:$H$14,2,)</f>
        <v>Non Puget Sound</v>
      </c>
      <c r="N3701" s="110" t="str">
        <f>VLOOKUP($K3701,LUTs!$E$2:$H$14,4,)</f>
        <v>07Non Puget Sound</v>
      </c>
      <c r="O3701" s="110">
        <v>3</v>
      </c>
      <c r="P3701" s="110">
        <v>25.62</v>
      </c>
      <c r="Q3701" s="110">
        <f>SUMIFS('FW_Steelhead_by_Month_2010-2021'!Q$2:Q$3810,'FW_Steelhead_by_Month_2010-2021'!$B$2:$B$3810,'Rec_raw_catch_effort_2010-2021'!$B3701,'FW_Steelhead_by_Month_2010-2021'!$H$2:$H$3810,'Rec_raw_catch_effort_2010-2021'!$F3701,'FW_Steelhead_by_Month_2010-2021'!$M$2:$M$3810,'Rec_raw_catch_effort_2010-2021'!$K3701)</f>
        <v>0</v>
      </c>
      <c r="R3701" s="111">
        <f>VLOOKUP(B3701,Readme!$A$62:$C$74,3,)*Q3701</f>
        <v>0</v>
      </c>
      <c r="S3701" s="140" t="str">
        <f t="shared" si="273"/>
        <v>Y</v>
      </c>
      <c r="T3701" s="154">
        <f t="shared" si="274"/>
        <v>8.5400000000000009</v>
      </c>
      <c r="U3701" s="154" t="str">
        <f t="shared" si="275"/>
        <v>NA</v>
      </c>
    </row>
    <row r="3702" spans="1:21" x14ac:dyDescent="0.35">
      <c r="A3702" s="110">
        <v>1805</v>
      </c>
      <c r="B3702" s="110">
        <v>2016</v>
      </c>
      <c r="C3702" s="110" t="s">
        <v>38</v>
      </c>
      <c r="D3702" s="110" t="s">
        <v>143</v>
      </c>
      <c r="E3702" s="110" t="s">
        <v>86</v>
      </c>
      <c r="F3702" s="117">
        <v>874</v>
      </c>
      <c r="G3702" s="110" t="s">
        <v>104</v>
      </c>
      <c r="H3702" s="110" t="str">
        <f t="shared" si="272"/>
        <v>Stillaguamish R, So. Fork</v>
      </c>
      <c r="I3702" s="110" t="str">
        <f>IFERROR(VLOOKUP(H3702,LUTs!$A$1:$C$73,2,FALSE),"NA")</f>
        <v>Snohomish</v>
      </c>
      <c r="J3702" s="110" t="str">
        <f>IFERROR(VLOOKUP(H3702,LUTs!$A$1:$C$73,3,FALSE),"NA")</f>
        <v>2Central Puget Sound</v>
      </c>
      <c r="K3702" s="110" t="s">
        <v>16</v>
      </c>
      <c r="L3702" s="110" t="str">
        <f>VLOOKUP(K3702,LUTs!E$2:G$14,3,)</f>
        <v>03Snohomish</v>
      </c>
      <c r="M3702" s="110" t="str">
        <f>VLOOKUP($K3702,LUTs!$E$2:$H$14,2,)</f>
        <v>North Puget Sound</v>
      </c>
      <c r="N3702" s="110" t="str">
        <f>VLOOKUP($K3702,LUTs!$E$2:$H$14,4,)</f>
        <v>01North Puget Sound</v>
      </c>
      <c r="O3702" s="110">
        <v>5</v>
      </c>
      <c r="P3702" s="110">
        <v>42.7</v>
      </c>
      <c r="Q3702" s="110">
        <f>SUMIFS('FW_Steelhead_by_Month_2010-2021'!Q$2:Q$3810,'FW_Steelhead_by_Month_2010-2021'!$B$2:$B$3810,'Rec_raw_catch_effort_2010-2021'!$B3702,'FW_Steelhead_by_Month_2010-2021'!$H$2:$H$3810,'Rec_raw_catch_effort_2010-2021'!$F3702,'FW_Steelhead_by_Month_2010-2021'!$M$2:$M$3810,'Rec_raw_catch_effort_2010-2021'!$K3702)</f>
        <v>8</v>
      </c>
      <c r="R3702" s="111">
        <f>VLOOKUP(B3702,Readme!$A$62:$C$74,3,)*Q3702</f>
        <v>167.41789859903434</v>
      </c>
      <c r="S3702" s="140" t="str">
        <f t="shared" si="273"/>
        <v>Y</v>
      </c>
      <c r="T3702" s="154">
        <f t="shared" si="274"/>
        <v>8.5400000000000009</v>
      </c>
      <c r="U3702" s="154">
        <f t="shared" si="275"/>
        <v>20.927237324879293</v>
      </c>
    </row>
    <row r="3703" spans="1:21" x14ac:dyDescent="0.35">
      <c r="A3703" s="110">
        <v>2233</v>
      </c>
      <c r="B3703" s="110">
        <v>2010</v>
      </c>
      <c r="C3703" s="110" t="s">
        <v>38</v>
      </c>
      <c r="D3703" s="110" t="s">
        <v>143</v>
      </c>
      <c r="E3703" s="110" t="s">
        <v>86</v>
      </c>
      <c r="F3703" s="117">
        <v>876</v>
      </c>
      <c r="G3703" s="110" t="s">
        <v>65</v>
      </c>
      <c r="H3703" s="110" t="str">
        <f t="shared" si="272"/>
        <v>Stillaguamish River</v>
      </c>
      <c r="I3703" s="110" t="str">
        <f>IFERROR(VLOOKUP(H3703,LUTs!$A$1:$C$73,2,FALSE),"NA")</f>
        <v>Snohomish</v>
      </c>
      <c r="J3703" s="110" t="str">
        <f>IFERROR(VLOOKUP(H3703,LUTs!$A$1:$C$73,3,FALSE),"NA")</f>
        <v>2Central Puget Sound</v>
      </c>
      <c r="K3703" s="110" t="s">
        <v>17</v>
      </c>
      <c r="L3703" s="110" t="str">
        <f>VLOOKUP(K3703,LUTs!E$2:G$14,3,)</f>
        <v>04Island</v>
      </c>
      <c r="M3703" s="110" t="str">
        <f>VLOOKUP($K3703,LUTs!$E$2:$H$14,2,)</f>
        <v>North Puget Sound</v>
      </c>
      <c r="N3703" s="110" t="str">
        <f>VLOOKUP($K3703,LUTs!$E$2:$H$14,4,)</f>
        <v>01North Puget Sound</v>
      </c>
      <c r="O3703" s="110">
        <v>3</v>
      </c>
      <c r="P3703" s="110">
        <v>25.62</v>
      </c>
      <c r="Q3703" s="110">
        <f>SUMIFS('FW_Steelhead_by_Month_2010-2021'!Q$2:Q$3810,'FW_Steelhead_by_Month_2010-2021'!$B$2:$B$3810,'Rec_raw_catch_effort_2010-2021'!$B3703,'FW_Steelhead_by_Month_2010-2021'!$H$2:$H$3810,'Rec_raw_catch_effort_2010-2021'!$F3703,'FW_Steelhead_by_Month_2010-2021'!$M$2:$M$3810,'Rec_raw_catch_effort_2010-2021'!$K3703)</f>
        <v>3</v>
      </c>
      <c r="R3703" s="111">
        <f>VLOOKUP(B3703,Readme!$A$62:$C$74,3,)*Q3703</f>
        <v>62.781711974637879</v>
      </c>
      <c r="S3703" s="140" t="str">
        <f t="shared" si="273"/>
        <v>Y</v>
      </c>
      <c r="T3703" s="154">
        <f t="shared" si="274"/>
        <v>8.5400000000000009</v>
      </c>
      <c r="U3703" s="154">
        <f t="shared" si="275"/>
        <v>20.927237324879293</v>
      </c>
    </row>
    <row r="3704" spans="1:21" x14ac:dyDescent="0.35">
      <c r="A3704" s="110">
        <v>2232</v>
      </c>
      <c r="B3704" s="110">
        <v>2010</v>
      </c>
      <c r="C3704" s="110" t="s">
        <v>38</v>
      </c>
      <c r="D3704" s="110" t="s">
        <v>143</v>
      </c>
      <c r="E3704" s="110" t="s">
        <v>86</v>
      </c>
      <c r="F3704" s="117">
        <v>876</v>
      </c>
      <c r="G3704" s="110" t="s">
        <v>65</v>
      </c>
      <c r="H3704" s="110" t="str">
        <f t="shared" si="272"/>
        <v>Stillaguamish River</v>
      </c>
      <c r="I3704" s="110" t="str">
        <f>IFERROR(VLOOKUP(H3704,LUTs!$A$1:$C$73,2,FALSE),"NA")</f>
        <v>Snohomish</v>
      </c>
      <c r="J3704" s="110" t="str">
        <f>IFERROR(VLOOKUP(H3704,LUTs!$A$1:$C$73,3,FALSE),"NA")</f>
        <v>2Central Puget Sound</v>
      </c>
      <c r="K3704" s="110" t="s">
        <v>16</v>
      </c>
      <c r="L3704" s="110" t="str">
        <f>VLOOKUP(K3704,LUTs!E$2:G$14,3,)</f>
        <v>03Snohomish</v>
      </c>
      <c r="M3704" s="110" t="str">
        <f>VLOOKUP($K3704,LUTs!$E$2:$H$14,2,)</f>
        <v>North Puget Sound</v>
      </c>
      <c r="N3704" s="110" t="str">
        <f>VLOOKUP($K3704,LUTs!$E$2:$H$14,4,)</f>
        <v>01North Puget Sound</v>
      </c>
      <c r="O3704" s="110">
        <v>3</v>
      </c>
      <c r="P3704" s="110">
        <v>25.62</v>
      </c>
      <c r="Q3704" s="110">
        <f>SUMIFS('FW_Steelhead_by_Month_2010-2021'!Q$2:Q$3810,'FW_Steelhead_by_Month_2010-2021'!$B$2:$B$3810,'Rec_raw_catch_effort_2010-2021'!$B3704,'FW_Steelhead_by_Month_2010-2021'!$H$2:$H$3810,'Rec_raw_catch_effort_2010-2021'!$F3704,'FW_Steelhead_by_Month_2010-2021'!$M$2:$M$3810,'Rec_raw_catch_effort_2010-2021'!$K3704)</f>
        <v>3</v>
      </c>
      <c r="R3704" s="111">
        <f>VLOOKUP(B3704,Readme!$A$62:$C$74,3,)*Q3704</f>
        <v>62.781711974637879</v>
      </c>
      <c r="S3704" s="140" t="str">
        <f t="shared" si="273"/>
        <v>Y</v>
      </c>
      <c r="T3704" s="154">
        <f t="shared" si="274"/>
        <v>8.5400000000000009</v>
      </c>
      <c r="U3704" s="154">
        <f t="shared" si="275"/>
        <v>20.927237324879293</v>
      </c>
    </row>
    <row r="3705" spans="1:21" x14ac:dyDescent="0.35">
      <c r="A3705" s="110">
        <v>1393</v>
      </c>
      <c r="B3705" s="110">
        <v>2011</v>
      </c>
      <c r="C3705" s="110" t="s">
        <v>38</v>
      </c>
      <c r="D3705" s="110" t="s">
        <v>143</v>
      </c>
      <c r="E3705" s="110" t="s">
        <v>86</v>
      </c>
      <c r="F3705" s="117">
        <v>876</v>
      </c>
      <c r="G3705" s="110" t="s">
        <v>65</v>
      </c>
      <c r="H3705" s="110" t="str">
        <f t="shared" si="272"/>
        <v>Stillaguamish River</v>
      </c>
      <c r="I3705" s="110" t="str">
        <f>IFERROR(VLOOKUP(H3705,LUTs!$A$1:$C$73,2,FALSE),"NA")</f>
        <v>Snohomish</v>
      </c>
      <c r="J3705" s="110" t="str">
        <f>IFERROR(VLOOKUP(H3705,LUTs!$A$1:$C$73,3,FALSE),"NA")</f>
        <v>2Central Puget Sound</v>
      </c>
      <c r="K3705" s="110" t="s">
        <v>18</v>
      </c>
      <c r="L3705" s="110" t="str">
        <f>VLOOKUP(K3705,LUTs!E$2:G$14,3,)</f>
        <v>06King</v>
      </c>
      <c r="M3705" s="110" t="str">
        <f>VLOOKUP($K3705,LUTs!$E$2:$H$14,2,)</f>
        <v>South Puget Sound</v>
      </c>
      <c r="N3705" s="110" t="str">
        <f>VLOOKUP($K3705,LUTs!$E$2:$H$14,4,)</f>
        <v>02South Puget Sound</v>
      </c>
      <c r="O3705" s="110">
        <v>9</v>
      </c>
      <c r="P3705" s="110">
        <v>166.95</v>
      </c>
      <c r="Q3705" s="110">
        <f>SUMIFS('FW_Steelhead_by_Month_2010-2021'!Q$2:Q$3810,'FW_Steelhead_by_Month_2010-2021'!$B$2:$B$3810,'Rec_raw_catch_effort_2010-2021'!$B3705,'FW_Steelhead_by_Month_2010-2021'!$H$2:$H$3810,'Rec_raw_catch_effort_2010-2021'!$F3705,'FW_Steelhead_by_Month_2010-2021'!$M$2:$M$3810,'Rec_raw_catch_effort_2010-2021'!$K3705)</f>
        <v>9.7619047619047699</v>
      </c>
      <c r="R3705" s="111">
        <f>VLOOKUP(B3705,Readme!$A$62:$C$74,3,)*Q3705</f>
        <v>204.2896976952504</v>
      </c>
      <c r="S3705" s="140" t="str">
        <f t="shared" si="273"/>
        <v>Y</v>
      </c>
      <c r="T3705" s="154">
        <f t="shared" si="274"/>
        <v>18.549999999999997</v>
      </c>
      <c r="U3705" s="154">
        <f t="shared" si="275"/>
        <v>20.927237324879293</v>
      </c>
    </row>
    <row r="3706" spans="1:21" x14ac:dyDescent="0.35">
      <c r="A3706" s="110">
        <v>1566</v>
      </c>
      <c r="B3706" s="110">
        <v>2011</v>
      </c>
      <c r="C3706" s="110" t="s">
        <v>38</v>
      </c>
      <c r="D3706" s="110" t="s">
        <v>143</v>
      </c>
      <c r="E3706" s="110" t="s">
        <v>86</v>
      </c>
      <c r="F3706" s="117">
        <v>876</v>
      </c>
      <c r="G3706" s="110" t="s">
        <v>65</v>
      </c>
      <c r="H3706" s="110" t="str">
        <f t="shared" si="272"/>
        <v>Stillaguamish River</v>
      </c>
      <c r="I3706" s="110" t="str">
        <f>IFERROR(VLOOKUP(H3706,LUTs!$A$1:$C$73,2,FALSE),"NA")</f>
        <v>Snohomish</v>
      </c>
      <c r="J3706" s="110" t="str">
        <f>IFERROR(VLOOKUP(H3706,LUTs!$A$1:$C$73,3,FALSE),"NA")</f>
        <v>2Central Puget Sound</v>
      </c>
      <c r="K3706" s="110" t="s">
        <v>26</v>
      </c>
      <c r="L3706" s="110" t="str">
        <f>VLOOKUP(K3706,LUTs!E$2:G$14,3,)</f>
        <v>20Other</v>
      </c>
      <c r="M3706" s="110" t="str">
        <f>VLOOKUP($K3706,LUTs!$E$2:$H$14,2,)</f>
        <v>Non Puget Sound</v>
      </c>
      <c r="N3706" s="110" t="str">
        <f>VLOOKUP($K3706,LUTs!$E$2:$H$14,4,)</f>
        <v>07Non Puget Sound</v>
      </c>
      <c r="O3706" s="110">
        <v>3</v>
      </c>
      <c r="P3706" s="110">
        <v>55.65</v>
      </c>
      <c r="Q3706" s="110">
        <f>SUMIFS('FW_Steelhead_by_Month_2010-2021'!Q$2:Q$3810,'FW_Steelhead_by_Month_2010-2021'!$B$2:$B$3810,'Rec_raw_catch_effort_2010-2021'!$B3706,'FW_Steelhead_by_Month_2010-2021'!$H$2:$H$3810,'Rec_raw_catch_effort_2010-2021'!$F3706,'FW_Steelhead_by_Month_2010-2021'!$M$2:$M$3810,'Rec_raw_catch_effort_2010-2021'!$K3706)</f>
        <v>3.6666666666666701</v>
      </c>
      <c r="R3706" s="111">
        <f>VLOOKUP(B3706,Readme!$A$62:$C$74,3,)*Q3706</f>
        <v>76.733203524557482</v>
      </c>
      <c r="S3706" s="140" t="str">
        <f t="shared" si="273"/>
        <v>Y</v>
      </c>
      <c r="T3706" s="154">
        <f t="shared" si="274"/>
        <v>18.55</v>
      </c>
      <c r="U3706" s="154">
        <f t="shared" si="275"/>
        <v>20.927237324879293</v>
      </c>
    </row>
    <row r="3707" spans="1:21" x14ac:dyDescent="0.35">
      <c r="A3707" s="110">
        <v>1392</v>
      </c>
      <c r="B3707" s="110">
        <v>2011</v>
      </c>
      <c r="C3707" s="110" t="s">
        <v>38</v>
      </c>
      <c r="D3707" s="110" t="s">
        <v>143</v>
      </c>
      <c r="E3707" s="110" t="s">
        <v>86</v>
      </c>
      <c r="F3707" s="117">
        <v>876</v>
      </c>
      <c r="G3707" s="110" t="s">
        <v>65</v>
      </c>
      <c r="H3707" s="110" t="str">
        <f t="shared" si="272"/>
        <v>Stillaguamish River</v>
      </c>
      <c r="I3707" s="110" t="str">
        <f>IFERROR(VLOOKUP(H3707,LUTs!$A$1:$C$73,2,FALSE),"NA")</f>
        <v>Snohomish</v>
      </c>
      <c r="J3707" s="110" t="str">
        <f>IFERROR(VLOOKUP(H3707,LUTs!$A$1:$C$73,3,FALSE),"NA")</f>
        <v>2Central Puget Sound</v>
      </c>
      <c r="K3707" s="110" t="s">
        <v>16</v>
      </c>
      <c r="L3707" s="110" t="str">
        <f>VLOOKUP(K3707,LUTs!E$2:G$14,3,)</f>
        <v>03Snohomish</v>
      </c>
      <c r="M3707" s="110" t="str">
        <f>VLOOKUP($K3707,LUTs!$E$2:$H$14,2,)</f>
        <v>North Puget Sound</v>
      </c>
      <c r="N3707" s="110" t="str">
        <f>VLOOKUP($K3707,LUTs!$E$2:$H$14,4,)</f>
        <v>01North Puget Sound</v>
      </c>
      <c r="O3707" s="110">
        <v>72</v>
      </c>
      <c r="P3707" s="110">
        <v>1335.6</v>
      </c>
      <c r="Q3707" s="110">
        <f>SUMIFS('FW_Steelhead_by_Month_2010-2021'!Q$2:Q$3810,'FW_Steelhead_by_Month_2010-2021'!$B$2:$B$3810,'Rec_raw_catch_effort_2010-2021'!$B3707,'FW_Steelhead_by_Month_2010-2021'!$H$2:$H$3810,'Rec_raw_catch_effort_2010-2021'!$F3707,'FW_Steelhead_by_Month_2010-2021'!$M$2:$M$3810,'Rec_raw_catch_effort_2010-2021'!$K3707)</f>
        <v>53.571428571428598</v>
      </c>
      <c r="R3707" s="111">
        <f>VLOOKUP(B3707,Readme!$A$62:$C$74,3,)*Q3707</f>
        <v>1121.1019995471056</v>
      </c>
      <c r="S3707" s="140" t="str">
        <f t="shared" si="273"/>
        <v>Y</v>
      </c>
      <c r="T3707" s="154">
        <f t="shared" si="274"/>
        <v>18.549999999999997</v>
      </c>
      <c r="U3707" s="154">
        <f t="shared" si="275"/>
        <v>20.927237324879293</v>
      </c>
    </row>
    <row r="3708" spans="1:21" x14ac:dyDescent="0.35">
      <c r="A3708" s="110">
        <v>1598</v>
      </c>
      <c r="B3708" s="110">
        <v>2012</v>
      </c>
      <c r="C3708" s="110" t="s">
        <v>38</v>
      </c>
      <c r="D3708" s="110" t="s">
        <v>143</v>
      </c>
      <c r="E3708" s="110" t="s">
        <v>86</v>
      </c>
      <c r="F3708" s="117">
        <v>876</v>
      </c>
      <c r="G3708" s="110" t="s">
        <v>65</v>
      </c>
      <c r="H3708" s="110" t="str">
        <f t="shared" si="272"/>
        <v>Stillaguamish River</v>
      </c>
      <c r="I3708" s="110" t="str">
        <f>IFERROR(VLOOKUP(H3708,LUTs!$A$1:$C$73,2,FALSE),"NA")</f>
        <v>Snohomish</v>
      </c>
      <c r="J3708" s="110" t="str">
        <f>IFERROR(VLOOKUP(H3708,LUTs!$A$1:$C$73,3,FALSE),"NA")</f>
        <v>2Central Puget Sound</v>
      </c>
      <c r="K3708" s="110" t="s">
        <v>17</v>
      </c>
      <c r="L3708" s="110" t="str">
        <f>VLOOKUP(K3708,LUTs!E$2:G$14,3,)</f>
        <v>04Island</v>
      </c>
      <c r="M3708" s="110" t="str">
        <f>VLOOKUP($K3708,LUTs!$E$2:$H$14,2,)</f>
        <v>North Puget Sound</v>
      </c>
      <c r="N3708" s="110" t="str">
        <f>VLOOKUP($K3708,LUTs!$E$2:$H$14,4,)</f>
        <v>01North Puget Sound</v>
      </c>
      <c r="O3708" s="110">
        <v>3.6315789473684199</v>
      </c>
      <c r="P3708" s="110">
        <v>31.0136842105263</v>
      </c>
      <c r="Q3708" s="110">
        <f>SUMIFS('FW_Steelhead_by_Month_2010-2021'!Q$2:Q$3810,'FW_Steelhead_by_Month_2010-2021'!$B$2:$B$3810,'Rec_raw_catch_effort_2010-2021'!$B3708,'FW_Steelhead_by_Month_2010-2021'!$H$2:$H$3810,'Rec_raw_catch_effort_2010-2021'!$F3708,'FW_Steelhead_by_Month_2010-2021'!$M$2:$M$3810,'Rec_raw_catch_effort_2010-2021'!$K3708)</f>
        <v>4.3333333333333304</v>
      </c>
      <c r="R3708" s="111">
        <f>VLOOKUP(B3708,Readme!$A$62:$C$74,3,)*Q3708</f>
        <v>90.684695074476878</v>
      </c>
      <c r="S3708" s="140" t="str">
        <f t="shared" si="273"/>
        <v>Y</v>
      </c>
      <c r="T3708" s="154">
        <f t="shared" si="274"/>
        <v>8.5399999999999991</v>
      </c>
      <c r="U3708" s="154">
        <f t="shared" si="275"/>
        <v>20.927237324879293</v>
      </c>
    </row>
    <row r="3709" spans="1:21" x14ac:dyDescent="0.35">
      <c r="A3709" s="110">
        <v>1599</v>
      </c>
      <c r="B3709" s="110">
        <v>2012</v>
      </c>
      <c r="C3709" s="110" t="s">
        <v>38</v>
      </c>
      <c r="D3709" s="110" t="s">
        <v>143</v>
      </c>
      <c r="E3709" s="110" t="s">
        <v>86</v>
      </c>
      <c r="F3709" s="117">
        <v>876</v>
      </c>
      <c r="G3709" s="110" t="s">
        <v>65</v>
      </c>
      <c r="H3709" s="110" t="str">
        <f t="shared" si="272"/>
        <v>Stillaguamish River</v>
      </c>
      <c r="I3709" s="110" t="str">
        <f>IFERROR(VLOOKUP(H3709,LUTs!$A$1:$C$73,2,FALSE),"NA")</f>
        <v>Snohomish</v>
      </c>
      <c r="J3709" s="110" t="str">
        <f>IFERROR(VLOOKUP(H3709,LUTs!$A$1:$C$73,3,FALSE),"NA")</f>
        <v>2Central Puget Sound</v>
      </c>
      <c r="K3709" s="110" t="s">
        <v>26</v>
      </c>
      <c r="L3709" s="110" t="str">
        <f>VLOOKUP(K3709,LUTs!E$2:G$14,3,)</f>
        <v>20Other</v>
      </c>
      <c r="M3709" s="110" t="str">
        <f>VLOOKUP($K3709,LUTs!$E$2:$H$14,2,)</f>
        <v>Non Puget Sound</v>
      </c>
      <c r="N3709" s="110" t="str">
        <f>VLOOKUP($K3709,LUTs!$E$2:$H$14,4,)</f>
        <v>07Non Puget Sound</v>
      </c>
      <c r="O3709" s="110">
        <v>10.894736842105299</v>
      </c>
      <c r="P3709" s="110">
        <v>93.041052631579205</v>
      </c>
      <c r="Q3709" s="110">
        <f>SUMIFS('FW_Steelhead_by_Month_2010-2021'!Q$2:Q$3810,'FW_Steelhead_by_Month_2010-2021'!$B$2:$B$3810,'Rec_raw_catch_effort_2010-2021'!$B3709,'FW_Steelhead_by_Month_2010-2021'!$H$2:$H$3810,'Rec_raw_catch_effort_2010-2021'!$F3709,'FW_Steelhead_by_Month_2010-2021'!$M$2:$M$3810,'Rec_raw_catch_effort_2010-2021'!$K3709)</f>
        <v>12.83333333333333</v>
      </c>
      <c r="R3709" s="111">
        <f>VLOOKUP(B3709,Readme!$A$62:$C$74,3,)*Q3709</f>
        <v>268.56621233595087</v>
      </c>
      <c r="S3709" s="140" t="str">
        <f t="shared" si="273"/>
        <v>Y</v>
      </c>
      <c r="T3709" s="154">
        <f t="shared" si="274"/>
        <v>8.5399999999999956</v>
      </c>
      <c r="U3709" s="154">
        <f t="shared" si="275"/>
        <v>20.927237324879293</v>
      </c>
    </row>
    <row r="3710" spans="1:21" x14ac:dyDescent="0.35">
      <c r="A3710" s="110">
        <v>1418</v>
      </c>
      <c r="B3710" s="110">
        <v>2012</v>
      </c>
      <c r="C3710" s="110" t="s">
        <v>38</v>
      </c>
      <c r="D3710" s="110" t="s">
        <v>143</v>
      </c>
      <c r="E3710" s="110" t="s">
        <v>86</v>
      </c>
      <c r="F3710" s="117">
        <v>876</v>
      </c>
      <c r="G3710" s="110" t="s">
        <v>65</v>
      </c>
      <c r="H3710" s="110" t="str">
        <f t="shared" si="272"/>
        <v>Stillaguamish River</v>
      </c>
      <c r="I3710" s="110" t="str">
        <f>IFERROR(VLOOKUP(H3710,LUTs!$A$1:$C$73,2,FALSE),"NA")</f>
        <v>Snohomish</v>
      </c>
      <c r="J3710" s="110" t="str">
        <f>IFERROR(VLOOKUP(H3710,LUTs!$A$1:$C$73,3,FALSE),"NA")</f>
        <v>2Central Puget Sound</v>
      </c>
      <c r="K3710" s="110" t="s">
        <v>15</v>
      </c>
      <c r="L3710" s="110" t="str">
        <f>VLOOKUP(K3710,LUTs!E$2:G$14,3,)</f>
        <v>02Skagit</v>
      </c>
      <c r="M3710" s="110" t="str">
        <f>VLOOKUP($K3710,LUTs!$E$2:$H$14,2,)</f>
        <v>North Puget Sound</v>
      </c>
      <c r="N3710" s="110" t="str">
        <f>VLOOKUP($K3710,LUTs!$E$2:$H$14,4,)</f>
        <v>01North Puget Sound</v>
      </c>
      <c r="O3710" s="110">
        <v>3.6315789473684199</v>
      </c>
      <c r="P3710" s="110">
        <v>31.0136842105263</v>
      </c>
      <c r="Q3710" s="110">
        <f>SUMIFS('FW_Steelhead_by_Month_2010-2021'!Q$2:Q$3810,'FW_Steelhead_by_Month_2010-2021'!$B$2:$B$3810,'Rec_raw_catch_effort_2010-2021'!$B3710,'FW_Steelhead_by_Month_2010-2021'!$H$2:$H$3810,'Rec_raw_catch_effort_2010-2021'!$F3710,'FW_Steelhead_by_Month_2010-2021'!$M$2:$M$3810,'Rec_raw_catch_effort_2010-2021'!$K3710)</f>
        <v>3</v>
      </c>
      <c r="R3710" s="111">
        <f>VLOOKUP(B3710,Readme!$A$62:$C$74,3,)*Q3710</f>
        <v>62.781711974637879</v>
      </c>
      <c r="S3710" s="140" t="str">
        <f t="shared" si="273"/>
        <v>Y</v>
      </c>
      <c r="T3710" s="154">
        <f t="shared" si="274"/>
        <v>8.5399999999999991</v>
      </c>
      <c r="U3710" s="154">
        <f t="shared" si="275"/>
        <v>20.927237324879293</v>
      </c>
    </row>
    <row r="3711" spans="1:21" x14ac:dyDescent="0.35">
      <c r="A3711" s="110">
        <v>1419</v>
      </c>
      <c r="B3711" s="110">
        <v>2012</v>
      </c>
      <c r="C3711" s="110" t="s">
        <v>38</v>
      </c>
      <c r="D3711" s="110" t="s">
        <v>143</v>
      </c>
      <c r="E3711" s="110" t="s">
        <v>86</v>
      </c>
      <c r="F3711" s="117">
        <v>876</v>
      </c>
      <c r="G3711" s="110" t="s">
        <v>65</v>
      </c>
      <c r="H3711" s="110" t="str">
        <f t="shared" si="272"/>
        <v>Stillaguamish River</v>
      </c>
      <c r="I3711" s="110" t="str">
        <f>IFERROR(VLOOKUP(H3711,LUTs!$A$1:$C$73,2,FALSE),"NA")</f>
        <v>Snohomish</v>
      </c>
      <c r="J3711" s="110" t="str">
        <f>IFERROR(VLOOKUP(H3711,LUTs!$A$1:$C$73,3,FALSE),"NA")</f>
        <v>2Central Puget Sound</v>
      </c>
      <c r="K3711" s="110" t="s">
        <v>16</v>
      </c>
      <c r="L3711" s="110" t="str">
        <f>VLOOKUP(K3711,LUTs!E$2:G$14,3,)</f>
        <v>03Snohomish</v>
      </c>
      <c r="M3711" s="110" t="str">
        <f>VLOOKUP($K3711,LUTs!$E$2:$H$14,2,)</f>
        <v>North Puget Sound</v>
      </c>
      <c r="N3711" s="110" t="str">
        <f>VLOOKUP($K3711,LUTs!$E$2:$H$14,4,)</f>
        <v>01North Puget Sound</v>
      </c>
      <c r="O3711" s="110">
        <v>50.842105263157897</v>
      </c>
      <c r="P3711" s="110">
        <v>434.19157894736799</v>
      </c>
      <c r="Q3711" s="110">
        <f>SUMIFS('FW_Steelhead_by_Month_2010-2021'!Q$2:Q$3810,'FW_Steelhead_by_Month_2010-2021'!$B$2:$B$3810,'Rec_raw_catch_effort_2010-2021'!$B3711,'FW_Steelhead_by_Month_2010-2021'!$H$2:$H$3810,'Rec_raw_catch_effort_2010-2021'!$F3711,'FW_Steelhead_by_Month_2010-2021'!$M$2:$M$3810,'Rec_raw_catch_effort_2010-2021'!$K3711)</f>
        <v>62.8333333333333</v>
      </c>
      <c r="R3711" s="111">
        <f>VLOOKUP(B3711,Readme!$A$62:$C$74,3,)*Q3711</f>
        <v>1314.9280785799149</v>
      </c>
      <c r="S3711" s="140" t="str">
        <f t="shared" si="273"/>
        <v>Y</v>
      </c>
      <c r="T3711" s="154">
        <f t="shared" si="274"/>
        <v>8.5399999999999903</v>
      </c>
      <c r="U3711" s="154">
        <f t="shared" si="275"/>
        <v>20.927237324879293</v>
      </c>
    </row>
    <row r="3712" spans="1:21" x14ac:dyDescent="0.35">
      <c r="A3712" s="110">
        <v>1256</v>
      </c>
      <c r="B3712" s="110">
        <v>2013</v>
      </c>
      <c r="C3712" s="110" t="s">
        <v>38</v>
      </c>
      <c r="D3712" s="110" t="s">
        <v>143</v>
      </c>
      <c r="E3712" s="110" t="s">
        <v>86</v>
      </c>
      <c r="F3712" s="117">
        <v>876</v>
      </c>
      <c r="G3712" s="110" t="s">
        <v>65</v>
      </c>
      <c r="H3712" s="110" t="str">
        <f t="shared" si="272"/>
        <v>Stillaguamish River</v>
      </c>
      <c r="I3712" s="110" t="str">
        <f>IFERROR(VLOOKUP(H3712,LUTs!$A$1:$C$73,2,FALSE),"NA")</f>
        <v>Snohomish</v>
      </c>
      <c r="J3712" s="110" t="str">
        <f>IFERROR(VLOOKUP(H3712,LUTs!$A$1:$C$73,3,FALSE),"NA")</f>
        <v>2Central Puget Sound</v>
      </c>
      <c r="K3712" s="110" t="s">
        <v>18</v>
      </c>
      <c r="L3712" s="110" t="str">
        <f>VLOOKUP(K3712,LUTs!E$2:G$14,3,)</f>
        <v>06King</v>
      </c>
      <c r="M3712" s="110" t="str">
        <f>VLOOKUP($K3712,LUTs!$E$2:$H$14,2,)</f>
        <v>South Puget Sound</v>
      </c>
      <c r="N3712" s="110" t="str">
        <f>VLOOKUP($K3712,LUTs!$E$2:$H$14,4,)</f>
        <v>02South Puget Sound</v>
      </c>
      <c r="O3712" s="110">
        <v>8.44444444444445</v>
      </c>
      <c r="P3712" s="110">
        <v>156.64444444444501</v>
      </c>
      <c r="Q3712" s="110">
        <f>SUMIFS('FW_Steelhead_by_Month_2010-2021'!Q$2:Q$3810,'FW_Steelhead_by_Month_2010-2021'!$B$2:$B$3810,'Rec_raw_catch_effort_2010-2021'!$B3712,'FW_Steelhead_by_Month_2010-2021'!$H$2:$H$3810,'Rec_raw_catch_effort_2010-2021'!$F3712,'FW_Steelhead_by_Month_2010-2021'!$M$2:$M$3810,'Rec_raw_catch_effort_2010-2021'!$K3712)</f>
        <v>9</v>
      </c>
      <c r="R3712" s="111">
        <f>VLOOKUP(B3712,Readme!$A$62:$C$74,3,)*Q3712</f>
        <v>188.34513592391363</v>
      </c>
      <c r="S3712" s="140" t="str">
        <f t="shared" si="273"/>
        <v>Y</v>
      </c>
      <c r="T3712" s="154">
        <f t="shared" si="274"/>
        <v>18.550000000000054</v>
      </c>
      <c r="U3712" s="154">
        <f t="shared" si="275"/>
        <v>20.927237324879293</v>
      </c>
    </row>
    <row r="3713" spans="1:21" x14ac:dyDescent="0.35">
      <c r="A3713" s="110">
        <v>2686</v>
      </c>
      <c r="B3713" s="110">
        <v>2013</v>
      </c>
      <c r="C3713" s="110" t="s">
        <v>38</v>
      </c>
      <c r="D3713" s="110" t="s">
        <v>143</v>
      </c>
      <c r="E3713" s="110" t="s">
        <v>86</v>
      </c>
      <c r="F3713" s="117">
        <v>876</v>
      </c>
      <c r="G3713" s="110" t="s">
        <v>65</v>
      </c>
      <c r="H3713" s="110" t="str">
        <f t="shared" si="272"/>
        <v>Stillaguamish River</v>
      </c>
      <c r="I3713" s="110" t="str">
        <f>IFERROR(VLOOKUP(H3713,LUTs!$A$1:$C$73,2,FALSE),"NA")</f>
        <v>Snohomish</v>
      </c>
      <c r="J3713" s="110" t="str">
        <f>IFERROR(VLOOKUP(H3713,LUTs!$A$1:$C$73,3,FALSE),"NA")</f>
        <v>2Central Puget Sound</v>
      </c>
      <c r="K3713" s="110" t="s">
        <v>15</v>
      </c>
      <c r="L3713" s="110" t="str">
        <f>VLOOKUP(K3713,LUTs!E$2:G$14,3,)</f>
        <v>02Skagit</v>
      </c>
      <c r="M3713" s="110" t="str">
        <f>VLOOKUP($K3713,LUTs!$E$2:$H$14,2,)</f>
        <v>North Puget Sound</v>
      </c>
      <c r="N3713" s="110" t="str">
        <f>VLOOKUP($K3713,LUTs!$E$2:$H$14,4,)</f>
        <v>01North Puget Sound</v>
      </c>
      <c r="O3713" s="110">
        <v>4.2222222222222197</v>
      </c>
      <c r="P3713" s="110">
        <v>78.322222222222194</v>
      </c>
      <c r="Q3713" s="110">
        <f>SUMIFS('FW_Steelhead_by_Month_2010-2021'!Q$2:Q$3810,'FW_Steelhead_by_Month_2010-2021'!$B$2:$B$3810,'Rec_raw_catch_effort_2010-2021'!$B3713,'FW_Steelhead_by_Month_2010-2021'!$H$2:$H$3810,'Rec_raw_catch_effort_2010-2021'!$F3713,'FW_Steelhead_by_Month_2010-2021'!$M$2:$M$3810,'Rec_raw_catch_effort_2010-2021'!$K3713)</f>
        <v>5</v>
      </c>
      <c r="R3713" s="111">
        <f>VLOOKUP(B3713,Readme!$A$62:$C$74,3,)*Q3713</f>
        <v>104.63618662439646</v>
      </c>
      <c r="S3713" s="140" t="str">
        <f t="shared" si="273"/>
        <v>Y</v>
      </c>
      <c r="T3713" s="154">
        <f t="shared" si="274"/>
        <v>18.550000000000004</v>
      </c>
      <c r="U3713" s="154">
        <f t="shared" si="275"/>
        <v>20.927237324879293</v>
      </c>
    </row>
    <row r="3714" spans="1:21" x14ac:dyDescent="0.35">
      <c r="A3714" s="110">
        <v>2687</v>
      </c>
      <c r="B3714" s="110">
        <v>2013</v>
      </c>
      <c r="C3714" s="110" t="s">
        <v>38</v>
      </c>
      <c r="D3714" s="110" t="s">
        <v>143</v>
      </c>
      <c r="E3714" s="110" t="s">
        <v>86</v>
      </c>
      <c r="F3714" s="117">
        <v>876</v>
      </c>
      <c r="G3714" s="110" t="s">
        <v>65</v>
      </c>
      <c r="H3714" s="110" t="str">
        <f t="shared" ref="H3714:H3725" si="276">G3714</f>
        <v>Stillaguamish River</v>
      </c>
      <c r="I3714" s="110" t="str">
        <f>IFERROR(VLOOKUP(H3714,LUTs!$A$1:$C$73,2,FALSE),"NA")</f>
        <v>Snohomish</v>
      </c>
      <c r="J3714" s="110" t="str">
        <f>IFERROR(VLOOKUP(H3714,LUTs!$A$1:$C$73,3,FALSE),"NA")</f>
        <v>2Central Puget Sound</v>
      </c>
      <c r="K3714" s="110" t="s">
        <v>16</v>
      </c>
      <c r="L3714" s="110" t="str">
        <f>VLOOKUP(K3714,LUTs!E$2:G$14,3,)</f>
        <v>03Snohomish</v>
      </c>
      <c r="M3714" s="110" t="str">
        <f>VLOOKUP($K3714,LUTs!$E$2:$H$14,2,)</f>
        <v>North Puget Sound</v>
      </c>
      <c r="N3714" s="110" t="str">
        <f>VLOOKUP($K3714,LUTs!$E$2:$H$14,4,)</f>
        <v>01North Puget Sound</v>
      </c>
      <c r="O3714" s="110">
        <v>25.3333333333333</v>
      </c>
      <c r="P3714" s="110">
        <v>469.933333333333</v>
      </c>
      <c r="Q3714" s="110">
        <f>SUMIFS('FW_Steelhead_by_Month_2010-2021'!Q$2:Q$3810,'FW_Steelhead_by_Month_2010-2021'!$B$2:$B$3810,'Rec_raw_catch_effort_2010-2021'!$B3714,'FW_Steelhead_by_Month_2010-2021'!$H$2:$H$3810,'Rec_raw_catch_effort_2010-2021'!$F3714,'FW_Steelhead_by_Month_2010-2021'!$M$2:$M$3810,'Rec_raw_catch_effort_2010-2021'!$K3714)</f>
        <v>27</v>
      </c>
      <c r="R3714" s="111">
        <f>VLOOKUP(B3714,Readme!$A$62:$C$74,3,)*Q3714</f>
        <v>565.03540777174089</v>
      </c>
      <c r="S3714" s="140" t="str">
        <f t="shared" si="273"/>
        <v>Y</v>
      </c>
      <c r="T3714" s="154">
        <f t="shared" si="274"/>
        <v>18.550000000000011</v>
      </c>
      <c r="U3714" s="154">
        <f t="shared" si="275"/>
        <v>20.927237324879293</v>
      </c>
    </row>
    <row r="3715" spans="1:21" x14ac:dyDescent="0.35">
      <c r="A3715" s="110">
        <v>1806</v>
      </c>
      <c r="B3715" s="110">
        <v>2016</v>
      </c>
      <c r="C3715" s="110" t="s">
        <v>38</v>
      </c>
      <c r="D3715" s="110" t="s">
        <v>143</v>
      </c>
      <c r="E3715" s="110" t="s">
        <v>86</v>
      </c>
      <c r="F3715" s="117">
        <v>876</v>
      </c>
      <c r="G3715" s="110" t="s">
        <v>65</v>
      </c>
      <c r="H3715" s="110" t="str">
        <f t="shared" si="276"/>
        <v>Stillaguamish River</v>
      </c>
      <c r="I3715" s="110" t="str">
        <f>IFERROR(VLOOKUP(H3715,LUTs!$A$1:$C$73,2,FALSE),"NA")</f>
        <v>Snohomish</v>
      </c>
      <c r="J3715" s="110" t="str">
        <f>IFERROR(VLOOKUP(H3715,LUTs!$A$1:$C$73,3,FALSE),"NA")</f>
        <v>2Central Puget Sound</v>
      </c>
      <c r="K3715" s="110" t="s">
        <v>16</v>
      </c>
      <c r="L3715" s="110" t="str">
        <f>VLOOKUP(K3715,LUTs!E$2:G$14,3,)</f>
        <v>03Snohomish</v>
      </c>
      <c r="M3715" s="110" t="str">
        <f>VLOOKUP($K3715,LUTs!$E$2:$H$14,2,)</f>
        <v>North Puget Sound</v>
      </c>
      <c r="N3715" s="110" t="str">
        <f>VLOOKUP($K3715,LUTs!$E$2:$H$14,4,)</f>
        <v>01North Puget Sound</v>
      </c>
      <c r="O3715" s="110">
        <v>5</v>
      </c>
      <c r="P3715" s="110">
        <v>42.7</v>
      </c>
      <c r="Q3715" s="110">
        <f>SUMIFS('FW_Steelhead_by_Month_2010-2021'!Q$2:Q$3810,'FW_Steelhead_by_Month_2010-2021'!$B$2:$B$3810,'Rec_raw_catch_effort_2010-2021'!$B3715,'FW_Steelhead_by_Month_2010-2021'!$H$2:$H$3810,'Rec_raw_catch_effort_2010-2021'!$F3715,'FW_Steelhead_by_Month_2010-2021'!$M$2:$M$3810,'Rec_raw_catch_effort_2010-2021'!$K3715)</f>
        <v>11.66666666666667</v>
      </c>
      <c r="R3715" s="111">
        <f>VLOOKUP(B3715,Readme!$A$62:$C$74,3,)*Q3715</f>
        <v>244.15110212359181</v>
      </c>
      <c r="S3715" s="140" t="str">
        <f t="shared" ref="S3715:S3725" si="277">IF(B3715&lt;=2019,"Y","N")</f>
        <v>Y</v>
      </c>
      <c r="T3715" s="154">
        <f t="shared" ref="T3715:T3725" si="278">IFERROR(P3715/O3715,"NA")</f>
        <v>8.5400000000000009</v>
      </c>
      <c r="U3715" s="154">
        <f t="shared" ref="U3715:U3725" si="279">IFERROR(R3715/Q3715,"NA")</f>
        <v>20.927237324879293</v>
      </c>
    </row>
    <row r="3716" spans="1:21" x14ac:dyDescent="0.35">
      <c r="A3716" s="110">
        <v>2470</v>
      </c>
      <c r="B3716" s="110">
        <v>2020</v>
      </c>
      <c r="C3716" s="110" t="s">
        <v>38</v>
      </c>
      <c r="D3716" s="110" t="s">
        <v>143</v>
      </c>
      <c r="E3716" s="110" t="s">
        <v>86</v>
      </c>
      <c r="F3716" s="117">
        <v>876</v>
      </c>
      <c r="G3716" s="110" t="s">
        <v>65</v>
      </c>
      <c r="H3716" s="110" t="str">
        <f t="shared" si="276"/>
        <v>Stillaguamish River</v>
      </c>
      <c r="I3716" s="110" t="str">
        <f>IFERROR(VLOOKUP(H3716,LUTs!$A$1:$C$73,2,FALSE),"NA")</f>
        <v>Snohomish</v>
      </c>
      <c r="J3716" s="110" t="str">
        <f>IFERROR(VLOOKUP(H3716,LUTs!$A$1:$C$73,3,FALSE),"NA")</f>
        <v>2Central Puget Sound</v>
      </c>
      <c r="K3716" s="110" t="s">
        <v>17</v>
      </c>
      <c r="L3716" s="110" t="str">
        <f>VLOOKUP(K3716,LUTs!E$2:G$14,3,)</f>
        <v>04Island</v>
      </c>
      <c r="M3716" s="110" t="str">
        <f>VLOOKUP($K3716,LUTs!$E$2:$H$14,2,)</f>
        <v>North Puget Sound</v>
      </c>
      <c r="N3716" s="110" t="str">
        <f>VLOOKUP($K3716,LUTs!$E$2:$H$14,4,)</f>
        <v>01North Puget Sound</v>
      </c>
      <c r="O3716" s="110">
        <v>10.909090909090899</v>
      </c>
      <c r="P3716" s="110">
        <v>93.1636363636363</v>
      </c>
      <c r="Q3716" s="110">
        <f>SUMIFS('FW_Steelhead_by_Month_2010-2021'!Q$2:Q$3810,'FW_Steelhead_by_Month_2010-2021'!$B$2:$B$3810,'Rec_raw_catch_effort_2010-2021'!$B3716,'FW_Steelhead_by_Month_2010-2021'!$H$2:$H$3810,'Rec_raw_catch_effort_2010-2021'!$F3716,'FW_Steelhead_by_Month_2010-2021'!$M$2:$M$3810,'Rec_raw_catch_effort_2010-2021'!$K3716)</f>
        <v>4</v>
      </c>
      <c r="R3716" s="111">
        <f>VLOOKUP(B3716,Readme!$A$62:$C$74,3,)*Q3716</f>
        <v>83.708949299517172</v>
      </c>
      <c r="S3716" s="140" t="str">
        <f t="shared" si="277"/>
        <v>N</v>
      </c>
      <c r="T3716" s="154">
        <f t="shared" si="278"/>
        <v>8.5400000000000009</v>
      </c>
      <c r="U3716" s="154">
        <f t="shared" si="279"/>
        <v>20.927237324879293</v>
      </c>
    </row>
    <row r="3717" spans="1:21" x14ac:dyDescent="0.35">
      <c r="A3717" s="110">
        <v>2469</v>
      </c>
      <c r="B3717" s="110">
        <v>2020</v>
      </c>
      <c r="C3717" s="110" t="s">
        <v>38</v>
      </c>
      <c r="D3717" s="110" t="s">
        <v>143</v>
      </c>
      <c r="E3717" s="110" t="s">
        <v>86</v>
      </c>
      <c r="F3717" s="117">
        <v>876</v>
      </c>
      <c r="G3717" s="110" t="s">
        <v>65</v>
      </c>
      <c r="H3717" s="110" t="str">
        <f t="shared" si="276"/>
        <v>Stillaguamish River</v>
      </c>
      <c r="I3717" s="110" t="str">
        <f>IFERROR(VLOOKUP(H3717,LUTs!$A$1:$C$73,2,FALSE),"NA")</f>
        <v>Snohomish</v>
      </c>
      <c r="J3717" s="110" t="str">
        <f>IFERROR(VLOOKUP(H3717,LUTs!$A$1:$C$73,3,FALSE),"NA")</f>
        <v>2Central Puget Sound</v>
      </c>
      <c r="K3717" s="110" t="s">
        <v>16</v>
      </c>
      <c r="L3717" s="110" t="str">
        <f>VLOOKUP(K3717,LUTs!E$2:G$14,3,)</f>
        <v>03Snohomish</v>
      </c>
      <c r="M3717" s="110" t="str">
        <f>VLOOKUP($K3717,LUTs!$E$2:$H$14,2,)</f>
        <v>North Puget Sound</v>
      </c>
      <c r="N3717" s="110" t="str">
        <f>VLOOKUP($K3717,LUTs!$E$2:$H$14,4,)</f>
        <v>01North Puget Sound</v>
      </c>
      <c r="O3717" s="110">
        <v>109.09090909090899</v>
      </c>
      <c r="P3717" s="110">
        <v>931.63636363636294</v>
      </c>
      <c r="Q3717" s="110">
        <f>SUMIFS('FW_Steelhead_by_Month_2010-2021'!Q$2:Q$3810,'FW_Steelhead_by_Month_2010-2021'!$B$2:$B$3810,'Rec_raw_catch_effort_2010-2021'!$B3717,'FW_Steelhead_by_Month_2010-2021'!$H$2:$H$3810,'Rec_raw_catch_effort_2010-2021'!$F3717,'FW_Steelhead_by_Month_2010-2021'!$M$2:$M$3810,'Rec_raw_catch_effort_2010-2021'!$K3717)</f>
        <v>39</v>
      </c>
      <c r="R3717" s="111">
        <f>VLOOKUP(B3717,Readme!$A$62:$C$74,3,)*Q3717</f>
        <v>816.16225567029244</v>
      </c>
      <c r="S3717" s="140" t="str">
        <f t="shared" si="277"/>
        <v>N</v>
      </c>
      <c r="T3717" s="154">
        <f t="shared" si="278"/>
        <v>8.5400000000000009</v>
      </c>
      <c r="U3717" s="154">
        <f t="shared" si="279"/>
        <v>20.927237324879293</v>
      </c>
    </row>
    <row r="3718" spans="1:21" x14ac:dyDescent="0.35">
      <c r="A3718" s="110">
        <v>2588</v>
      </c>
      <c r="B3718" s="110">
        <v>2021</v>
      </c>
      <c r="C3718" s="110" t="s">
        <v>38</v>
      </c>
      <c r="D3718" s="110" t="s">
        <v>143</v>
      </c>
      <c r="E3718" s="110" t="s">
        <v>86</v>
      </c>
      <c r="F3718" s="117">
        <v>876</v>
      </c>
      <c r="G3718" s="110" t="s">
        <v>65</v>
      </c>
      <c r="H3718" s="110" t="str">
        <f t="shared" si="276"/>
        <v>Stillaguamish River</v>
      </c>
      <c r="I3718" s="110" t="str">
        <f>IFERROR(VLOOKUP(H3718,LUTs!$A$1:$C$73,2,FALSE),"NA")</f>
        <v>Snohomish</v>
      </c>
      <c r="J3718" s="110" t="str">
        <f>IFERROR(VLOOKUP(H3718,LUTs!$A$1:$C$73,3,FALSE),"NA")</f>
        <v>2Central Puget Sound</v>
      </c>
      <c r="K3718" s="110" t="s">
        <v>16</v>
      </c>
      <c r="L3718" s="110" t="str">
        <f>VLOOKUP(K3718,LUTs!E$2:G$14,3,)</f>
        <v>03Snohomish</v>
      </c>
      <c r="M3718" s="110" t="str">
        <f>VLOOKUP($K3718,LUTs!$E$2:$H$14,2,)</f>
        <v>North Puget Sound</v>
      </c>
      <c r="N3718" s="110" t="str">
        <f>VLOOKUP($K3718,LUTs!$E$2:$H$14,4,)</f>
        <v>01North Puget Sound</v>
      </c>
      <c r="O3718" s="110">
        <v>156</v>
      </c>
      <c r="P3718" s="110">
        <v>2893.8</v>
      </c>
      <c r="Q3718" s="110">
        <f>SUMIFS('FW_Steelhead_by_Month_2010-2021'!Q$2:Q$3810,'FW_Steelhead_by_Month_2010-2021'!$B$2:$B$3810,'Rec_raw_catch_effort_2010-2021'!$B3718,'FW_Steelhead_by_Month_2010-2021'!$H$2:$H$3810,'Rec_raw_catch_effort_2010-2021'!$F3718,'FW_Steelhead_by_Month_2010-2021'!$M$2:$M$3810,'Rec_raw_catch_effort_2010-2021'!$K3718)</f>
        <v>95</v>
      </c>
      <c r="R3718" s="111">
        <f>VLOOKUP(B3718,Readme!$A$62:$C$74,3,)*Q3718</f>
        <v>1988.0875458635328</v>
      </c>
      <c r="S3718" s="140" t="str">
        <f t="shared" si="277"/>
        <v>N</v>
      </c>
      <c r="T3718" s="154">
        <f t="shared" si="278"/>
        <v>18.55</v>
      </c>
      <c r="U3718" s="154">
        <f t="shared" si="279"/>
        <v>20.927237324879293</v>
      </c>
    </row>
    <row r="3719" spans="1:21" x14ac:dyDescent="0.35">
      <c r="A3719" s="110">
        <v>3001</v>
      </c>
      <c r="B3719" s="110">
        <v>2010</v>
      </c>
      <c r="C3719" s="110" t="s">
        <v>38</v>
      </c>
      <c r="D3719" s="110" t="s">
        <v>143</v>
      </c>
      <c r="E3719" s="110" t="s">
        <v>86</v>
      </c>
      <c r="F3719" s="117">
        <v>884</v>
      </c>
      <c r="G3719" s="110" t="s">
        <v>66</v>
      </c>
      <c r="H3719" s="110" t="str">
        <f t="shared" si="276"/>
        <v>Whatcom Creek</v>
      </c>
      <c r="I3719" s="110" t="str">
        <f>IFERROR(VLOOKUP(H3719,LUTs!$A$1:$C$73,2,FALSE),"NA")</f>
        <v>Whatcom</v>
      </c>
      <c r="J3719" s="110" t="str">
        <f>IFERROR(VLOOKUP(H3719,LUTs!$A$1:$C$73,3,FALSE),"NA")</f>
        <v>1North Puget Sound</v>
      </c>
      <c r="K3719" s="110" t="s">
        <v>13</v>
      </c>
      <c r="L3719" s="110" t="str">
        <f>VLOOKUP(K3719,LUTs!E$2:G$14,3,)</f>
        <v>01Whatcom</v>
      </c>
      <c r="M3719" s="110" t="str">
        <f>VLOOKUP($K3719,LUTs!$E$2:$H$14,2,)</f>
        <v>North Puget Sound</v>
      </c>
      <c r="N3719" s="110" t="str">
        <f>VLOOKUP($K3719,LUTs!$E$2:$H$14,4,)</f>
        <v>01North Puget Sound</v>
      </c>
      <c r="O3719" s="110">
        <v>23</v>
      </c>
      <c r="P3719" s="110">
        <v>196.42</v>
      </c>
      <c r="Q3719" s="110">
        <f>SUMIFS('FW_Steelhead_by_Month_2010-2021'!Q$2:Q$3810,'FW_Steelhead_by_Month_2010-2021'!$B$2:$B$3810,'Rec_raw_catch_effort_2010-2021'!$B3719,'FW_Steelhead_by_Month_2010-2021'!$H$2:$H$3810,'Rec_raw_catch_effort_2010-2021'!$F3719,'FW_Steelhead_by_Month_2010-2021'!$M$2:$M$3810,'Rec_raw_catch_effort_2010-2021'!$K3719)</f>
        <v>0</v>
      </c>
      <c r="R3719" s="111">
        <f>VLOOKUP(B3719,Readme!$A$62:$C$74,3,)*Q3719</f>
        <v>0</v>
      </c>
      <c r="S3719" s="140" t="str">
        <f t="shared" si="277"/>
        <v>Y</v>
      </c>
      <c r="T3719" s="154">
        <f t="shared" si="278"/>
        <v>8.5399999999999991</v>
      </c>
      <c r="U3719" s="154" t="str">
        <f t="shared" si="279"/>
        <v>NA</v>
      </c>
    </row>
    <row r="3720" spans="1:21" x14ac:dyDescent="0.35">
      <c r="A3720" s="110">
        <v>3011</v>
      </c>
      <c r="B3720" s="110">
        <v>2011</v>
      </c>
      <c r="C3720" s="110" t="s">
        <v>38</v>
      </c>
      <c r="D3720" s="110" t="s">
        <v>143</v>
      </c>
      <c r="E3720" s="110" t="s">
        <v>86</v>
      </c>
      <c r="F3720" s="117">
        <v>884</v>
      </c>
      <c r="G3720" s="110" t="s">
        <v>66</v>
      </c>
      <c r="H3720" s="110" t="str">
        <f t="shared" si="276"/>
        <v>Whatcom Creek</v>
      </c>
      <c r="I3720" s="110" t="str">
        <f>IFERROR(VLOOKUP(H3720,LUTs!$A$1:$C$73,2,FALSE),"NA")</f>
        <v>Whatcom</v>
      </c>
      <c r="J3720" s="110" t="str">
        <f>IFERROR(VLOOKUP(H3720,LUTs!$A$1:$C$73,3,FALSE),"NA")</f>
        <v>1North Puget Sound</v>
      </c>
      <c r="K3720" s="110" t="s">
        <v>13</v>
      </c>
      <c r="L3720" s="110" t="str">
        <f>VLOOKUP(K3720,LUTs!E$2:G$14,3,)</f>
        <v>01Whatcom</v>
      </c>
      <c r="M3720" s="110" t="str">
        <f>VLOOKUP($K3720,LUTs!$E$2:$H$14,2,)</f>
        <v>North Puget Sound</v>
      </c>
      <c r="N3720" s="110" t="str">
        <f>VLOOKUP($K3720,LUTs!$E$2:$H$14,4,)</f>
        <v>01North Puget Sound</v>
      </c>
      <c r="O3720" s="110">
        <v>4</v>
      </c>
      <c r="P3720" s="110">
        <v>74.2</v>
      </c>
      <c r="Q3720" s="110">
        <f>SUMIFS('FW_Steelhead_by_Month_2010-2021'!Q$2:Q$3810,'FW_Steelhead_by_Month_2010-2021'!$B$2:$B$3810,'Rec_raw_catch_effort_2010-2021'!$B3720,'FW_Steelhead_by_Month_2010-2021'!$H$2:$H$3810,'Rec_raw_catch_effort_2010-2021'!$F3720,'FW_Steelhead_by_Month_2010-2021'!$M$2:$M$3810,'Rec_raw_catch_effort_2010-2021'!$K3720)</f>
        <v>25</v>
      </c>
      <c r="R3720" s="111">
        <f>VLOOKUP(B3720,Readme!$A$62:$C$74,3,)*Q3720</f>
        <v>523.18093312198232</v>
      </c>
      <c r="S3720" s="140" t="str">
        <f t="shared" si="277"/>
        <v>Y</v>
      </c>
      <c r="T3720" s="154">
        <f t="shared" si="278"/>
        <v>18.55</v>
      </c>
      <c r="U3720" s="154">
        <f t="shared" si="279"/>
        <v>20.927237324879293</v>
      </c>
    </row>
    <row r="3721" spans="1:21" x14ac:dyDescent="0.35">
      <c r="A3721" s="110">
        <v>3018</v>
      </c>
      <c r="B3721" s="110">
        <v>2013</v>
      </c>
      <c r="C3721" s="110" t="s">
        <v>38</v>
      </c>
      <c r="D3721" s="110" t="s">
        <v>143</v>
      </c>
      <c r="E3721" s="110" t="s">
        <v>86</v>
      </c>
      <c r="F3721" s="117">
        <v>884</v>
      </c>
      <c r="G3721" s="110" t="s">
        <v>66</v>
      </c>
      <c r="H3721" s="110" t="str">
        <f t="shared" si="276"/>
        <v>Whatcom Creek</v>
      </c>
      <c r="I3721" s="110" t="str">
        <f>IFERROR(VLOOKUP(H3721,LUTs!$A$1:$C$73,2,FALSE),"NA")</f>
        <v>Whatcom</v>
      </c>
      <c r="J3721" s="110" t="str">
        <f>IFERROR(VLOOKUP(H3721,LUTs!$A$1:$C$73,3,FALSE),"NA")</f>
        <v>1North Puget Sound</v>
      </c>
      <c r="K3721" s="110" t="s">
        <v>16</v>
      </c>
      <c r="L3721" s="110" t="str">
        <f>VLOOKUP(K3721,LUTs!E$2:G$14,3,)</f>
        <v>03Snohomish</v>
      </c>
      <c r="M3721" s="110" t="str">
        <f>VLOOKUP($K3721,LUTs!$E$2:$H$14,2,)</f>
        <v>North Puget Sound</v>
      </c>
      <c r="N3721" s="110" t="str">
        <f>VLOOKUP($K3721,LUTs!$E$2:$H$14,4,)</f>
        <v>01North Puget Sound</v>
      </c>
      <c r="O3721" s="110">
        <v>6.8571428571428603</v>
      </c>
      <c r="P3721" s="110">
        <v>127.2</v>
      </c>
      <c r="Q3721" s="110">
        <f>SUMIFS('FW_Steelhead_by_Month_2010-2021'!Q$2:Q$3810,'FW_Steelhead_by_Month_2010-2021'!$B$2:$B$3810,'Rec_raw_catch_effort_2010-2021'!$B3721,'FW_Steelhead_by_Month_2010-2021'!$H$2:$H$3810,'Rec_raw_catch_effort_2010-2021'!$F3721,'FW_Steelhead_by_Month_2010-2021'!$M$2:$M$3810,'Rec_raw_catch_effort_2010-2021'!$K3721)</f>
        <v>3.5</v>
      </c>
      <c r="R3721" s="111">
        <f>VLOOKUP(B3721,Readme!$A$62:$C$74,3,)*Q3721</f>
        <v>73.245330637077529</v>
      </c>
      <c r="S3721" s="140" t="str">
        <f t="shared" si="277"/>
        <v>Y</v>
      </c>
      <c r="T3721" s="154">
        <f t="shared" si="278"/>
        <v>18.549999999999994</v>
      </c>
      <c r="U3721" s="154">
        <f t="shared" si="279"/>
        <v>20.927237324879293</v>
      </c>
    </row>
    <row r="3722" spans="1:21" x14ac:dyDescent="0.35">
      <c r="A3722" s="110">
        <v>3017</v>
      </c>
      <c r="B3722" s="110">
        <v>2013</v>
      </c>
      <c r="C3722" s="110" t="s">
        <v>38</v>
      </c>
      <c r="D3722" s="110" t="s">
        <v>143</v>
      </c>
      <c r="E3722" s="110" t="s">
        <v>86</v>
      </c>
      <c r="F3722" s="117">
        <v>884</v>
      </c>
      <c r="G3722" s="110" t="s">
        <v>66</v>
      </c>
      <c r="H3722" s="110" t="str">
        <f t="shared" si="276"/>
        <v>Whatcom Creek</v>
      </c>
      <c r="I3722" s="110" t="str">
        <f>IFERROR(VLOOKUP(H3722,LUTs!$A$1:$C$73,2,FALSE),"NA")</f>
        <v>Whatcom</v>
      </c>
      <c r="J3722" s="110" t="str">
        <f>IFERROR(VLOOKUP(H3722,LUTs!$A$1:$C$73,3,FALSE),"NA")</f>
        <v>1North Puget Sound</v>
      </c>
      <c r="K3722" s="110" t="s">
        <v>13</v>
      </c>
      <c r="L3722" s="110" t="str">
        <f>VLOOKUP(K3722,LUTs!E$2:G$14,3,)</f>
        <v>01Whatcom</v>
      </c>
      <c r="M3722" s="110" t="str">
        <f>VLOOKUP($K3722,LUTs!$E$2:$H$14,2,)</f>
        <v>North Puget Sound</v>
      </c>
      <c r="N3722" s="110" t="str">
        <f>VLOOKUP($K3722,LUTs!$E$2:$H$14,4,)</f>
        <v>01North Puget Sound</v>
      </c>
      <c r="O3722" s="110">
        <v>41.142857142857103</v>
      </c>
      <c r="P3722" s="110">
        <v>763.19999999999902</v>
      </c>
      <c r="Q3722" s="110">
        <f>SUMIFS('FW_Steelhead_by_Month_2010-2021'!Q$2:Q$3810,'FW_Steelhead_by_Month_2010-2021'!$B$2:$B$3810,'Rec_raw_catch_effort_2010-2021'!$B3722,'FW_Steelhead_by_Month_2010-2021'!$H$2:$H$3810,'Rec_raw_catch_effort_2010-2021'!$F3722,'FW_Steelhead_by_Month_2010-2021'!$M$2:$M$3810,'Rec_raw_catch_effort_2010-2021'!$K3722)</f>
        <v>3.5</v>
      </c>
      <c r="R3722" s="111">
        <f>VLOOKUP(B3722,Readme!$A$62:$C$74,3,)*Q3722</f>
        <v>73.245330637077529</v>
      </c>
      <c r="S3722" s="140" t="str">
        <f t="shared" si="277"/>
        <v>Y</v>
      </c>
      <c r="T3722" s="154">
        <f t="shared" si="278"/>
        <v>18.549999999999994</v>
      </c>
      <c r="U3722" s="154">
        <f t="shared" si="279"/>
        <v>20.927237324879293</v>
      </c>
    </row>
    <row r="3723" spans="1:21" x14ac:dyDescent="0.35">
      <c r="A3723" s="110">
        <v>3090</v>
      </c>
      <c r="B3723" s="110">
        <v>2014</v>
      </c>
      <c r="C3723" s="110" t="s">
        <v>38</v>
      </c>
      <c r="D3723" s="110" t="s">
        <v>143</v>
      </c>
      <c r="E3723" s="110" t="s">
        <v>86</v>
      </c>
      <c r="F3723" s="117">
        <v>884</v>
      </c>
      <c r="G3723" s="110" t="s">
        <v>66</v>
      </c>
      <c r="H3723" s="110" t="str">
        <f t="shared" si="276"/>
        <v>Whatcom Creek</v>
      </c>
      <c r="I3723" s="110" t="str">
        <f>IFERROR(VLOOKUP(H3723,LUTs!$A$1:$C$73,2,FALSE),"NA")</f>
        <v>Whatcom</v>
      </c>
      <c r="J3723" s="110" t="str">
        <f>IFERROR(VLOOKUP(H3723,LUTs!$A$1:$C$73,3,FALSE),"NA")</f>
        <v>1North Puget Sound</v>
      </c>
      <c r="K3723" s="110" t="s">
        <v>16</v>
      </c>
      <c r="L3723" s="110" t="str">
        <f>VLOOKUP(K3723,LUTs!E$2:G$14,3,)</f>
        <v>03Snohomish</v>
      </c>
      <c r="M3723" s="110" t="str">
        <f>VLOOKUP($K3723,LUTs!$E$2:$H$14,2,)</f>
        <v>North Puget Sound</v>
      </c>
      <c r="N3723" s="110" t="str">
        <f>VLOOKUP($K3723,LUTs!$E$2:$H$14,4,)</f>
        <v>01North Puget Sound</v>
      </c>
      <c r="O3723" s="110">
        <v>3</v>
      </c>
      <c r="P3723" s="110">
        <v>25.62</v>
      </c>
      <c r="Q3723" s="110">
        <f>SUMIFS('FW_Steelhead_by_Month_2010-2021'!Q$2:Q$3810,'FW_Steelhead_by_Month_2010-2021'!$B$2:$B$3810,'Rec_raw_catch_effort_2010-2021'!$B3723,'FW_Steelhead_by_Month_2010-2021'!$H$2:$H$3810,'Rec_raw_catch_effort_2010-2021'!$F3723,'FW_Steelhead_by_Month_2010-2021'!$M$2:$M$3810,'Rec_raw_catch_effort_2010-2021'!$K3723)</f>
        <v>6.4</v>
      </c>
      <c r="R3723" s="111">
        <f>VLOOKUP(B3723,Readme!$A$62:$C$74,3,)*Q3723</f>
        <v>133.93431887922748</v>
      </c>
      <c r="S3723" s="140" t="str">
        <f t="shared" si="277"/>
        <v>Y</v>
      </c>
      <c r="T3723" s="154">
        <f t="shared" si="278"/>
        <v>8.5400000000000009</v>
      </c>
      <c r="U3723" s="154">
        <f t="shared" si="279"/>
        <v>20.927237324879293</v>
      </c>
    </row>
    <row r="3724" spans="1:21" x14ac:dyDescent="0.35">
      <c r="A3724" s="110">
        <v>3089</v>
      </c>
      <c r="B3724" s="110">
        <v>2014</v>
      </c>
      <c r="C3724" s="110" t="s">
        <v>38</v>
      </c>
      <c r="D3724" s="110" t="s">
        <v>143</v>
      </c>
      <c r="E3724" s="110" t="s">
        <v>86</v>
      </c>
      <c r="F3724" s="117">
        <v>884</v>
      </c>
      <c r="G3724" s="110" t="s">
        <v>66</v>
      </c>
      <c r="H3724" s="110" t="str">
        <f t="shared" si="276"/>
        <v>Whatcom Creek</v>
      </c>
      <c r="I3724" s="110" t="str">
        <f>IFERROR(VLOOKUP(H3724,LUTs!$A$1:$C$73,2,FALSE),"NA")</f>
        <v>Whatcom</v>
      </c>
      <c r="J3724" s="110" t="str">
        <f>IFERROR(VLOOKUP(H3724,LUTs!$A$1:$C$73,3,FALSE),"NA")</f>
        <v>1North Puget Sound</v>
      </c>
      <c r="K3724" s="110" t="s">
        <v>13</v>
      </c>
      <c r="L3724" s="110" t="str">
        <f>VLOOKUP(K3724,LUTs!E$2:G$14,3,)</f>
        <v>01Whatcom</v>
      </c>
      <c r="M3724" s="110" t="str">
        <f>VLOOKUP($K3724,LUTs!$E$2:$H$14,2,)</f>
        <v>North Puget Sound</v>
      </c>
      <c r="N3724" s="110" t="str">
        <f>VLOOKUP($K3724,LUTs!$E$2:$H$14,4,)</f>
        <v>01North Puget Sound</v>
      </c>
      <c r="O3724" s="110">
        <v>12</v>
      </c>
      <c r="P3724" s="110">
        <v>102.48</v>
      </c>
      <c r="Q3724" s="110">
        <f>SUMIFS('FW_Steelhead_by_Month_2010-2021'!Q$2:Q$3810,'FW_Steelhead_by_Month_2010-2021'!$B$2:$B$3810,'Rec_raw_catch_effort_2010-2021'!$B3724,'FW_Steelhead_by_Month_2010-2021'!$H$2:$H$3810,'Rec_raw_catch_effort_2010-2021'!$F3724,'FW_Steelhead_by_Month_2010-2021'!$M$2:$M$3810,'Rec_raw_catch_effort_2010-2021'!$K3724)</f>
        <v>43.6</v>
      </c>
      <c r="R3724" s="111">
        <f>VLOOKUP(B3724,Readme!$A$62:$C$74,3,)*Q3724</f>
        <v>912.42754736473717</v>
      </c>
      <c r="S3724" s="140" t="str">
        <f t="shared" si="277"/>
        <v>Y</v>
      </c>
      <c r="T3724" s="154">
        <f t="shared" si="278"/>
        <v>8.5400000000000009</v>
      </c>
      <c r="U3724" s="154">
        <f t="shared" si="279"/>
        <v>20.927237324879293</v>
      </c>
    </row>
    <row r="3725" spans="1:21" x14ac:dyDescent="0.35">
      <c r="A3725" s="110">
        <v>1249</v>
      </c>
      <c r="B3725" s="110">
        <v>2018</v>
      </c>
      <c r="C3725" s="110" t="s">
        <v>38</v>
      </c>
      <c r="D3725" s="110" t="s">
        <v>143</v>
      </c>
      <c r="E3725" s="110" t="s">
        <v>86</v>
      </c>
      <c r="F3725" s="117">
        <v>900</v>
      </c>
      <c r="G3725" s="110" t="s">
        <v>109</v>
      </c>
      <c r="H3725" s="110" t="str">
        <f t="shared" si="276"/>
        <v>Other Lakes</v>
      </c>
      <c r="I3725" s="110" t="str">
        <f>IFERROR(VLOOKUP(H3725,LUTs!$A$1:$C$73,2,FALSE),"NA")</f>
        <v>NA</v>
      </c>
      <c r="J3725" s="110" t="str">
        <f>IFERROR(VLOOKUP(H3725,LUTs!$A$1:$C$73,3,FALSE),"NA")</f>
        <v>NA</v>
      </c>
      <c r="K3725" s="110" t="s">
        <v>26</v>
      </c>
      <c r="L3725" s="110" t="str">
        <f>VLOOKUP(K3725,LUTs!E$2:G$14,3,)</f>
        <v>20Other</v>
      </c>
      <c r="M3725" s="110" t="str">
        <f>VLOOKUP($K3725,LUTs!$E$2:$H$14,2,)</f>
        <v>Non Puget Sound</v>
      </c>
      <c r="N3725" s="110" t="str">
        <f>VLOOKUP($K3725,LUTs!$E$2:$H$14,4,)</f>
        <v>07Non Puget Sound</v>
      </c>
      <c r="O3725" s="110">
        <v>0</v>
      </c>
      <c r="P3725" s="110">
        <v>0</v>
      </c>
      <c r="Q3725" s="110">
        <f>SUMIFS('FW_Steelhead_by_Month_2010-2021'!Q$2:Q$3810,'FW_Steelhead_by_Month_2010-2021'!$B$2:$B$3810,'Rec_raw_catch_effort_2010-2021'!$B3725,'FW_Steelhead_by_Month_2010-2021'!$H$2:$H$3810,'Rec_raw_catch_effort_2010-2021'!$F3725,'FW_Steelhead_by_Month_2010-2021'!$M$2:$M$3810,'Rec_raw_catch_effort_2010-2021'!$K3725)</f>
        <v>0</v>
      </c>
      <c r="R3725" s="111">
        <f>VLOOKUP(B3725,Readme!$A$62:$C$74,3,)*Q3725</f>
        <v>0</v>
      </c>
      <c r="S3725" s="140" t="str">
        <f t="shared" si="277"/>
        <v>Y</v>
      </c>
      <c r="T3725" s="154" t="str">
        <f t="shared" si="278"/>
        <v>NA</v>
      </c>
      <c r="U3725" s="154" t="str">
        <f t="shared" si="279"/>
        <v>NA</v>
      </c>
    </row>
    <row r="3727" spans="1:21" x14ac:dyDescent="0.35">
      <c r="L3727" s="110">
        <v>2010</v>
      </c>
      <c r="M3727" s="107" t="s">
        <v>132</v>
      </c>
      <c r="N3727" s="107" t="s">
        <v>10</v>
      </c>
      <c r="O3727">
        <f t="shared" ref="O3727:R3746" si="280">SUMIFS(O$2:O$3725,$B$2:$B$3725,$L3727,$D$2:$D$3725,$M3727,$E$2:$E$3725,$N3727)</f>
        <v>50686.000000000051</v>
      </c>
      <c r="P3727">
        <f t="shared" si="280"/>
        <v>315432.19999999995</v>
      </c>
      <c r="Q3727">
        <f t="shared" si="280"/>
        <v>50686.000000000051</v>
      </c>
      <c r="R3727">
        <f t="shared" si="280"/>
        <v>315432.19999999995</v>
      </c>
      <c r="T3727" s="153">
        <f t="shared" ref="T3727:T3766" si="281">P3727/O3727</f>
        <v>6.2232608609872475</v>
      </c>
      <c r="U3727" s="153">
        <f t="shared" ref="U3727:U3766" si="282">R3727/Q3727</f>
        <v>6.2232608609872475</v>
      </c>
    </row>
    <row r="3728" spans="1:21" x14ac:dyDescent="0.35">
      <c r="L3728" s="110">
        <v>2010</v>
      </c>
      <c r="M3728" s="108" t="s">
        <v>143</v>
      </c>
      <c r="N3728" s="108" t="s">
        <v>10</v>
      </c>
      <c r="O3728">
        <f t="shared" si="280"/>
        <v>39763.000000000029</v>
      </c>
      <c r="P3728">
        <f t="shared" si="280"/>
        <v>343949.94999999995</v>
      </c>
      <c r="Q3728">
        <f t="shared" si="280"/>
        <v>39696.000000000015</v>
      </c>
      <c r="R3728">
        <f t="shared" si="280"/>
        <v>191317.05147367792</v>
      </c>
      <c r="T3728" s="153">
        <f t="shared" si="281"/>
        <v>8.6499999999999932</v>
      </c>
      <c r="U3728" s="153">
        <f t="shared" si="282"/>
        <v>4.8195549041132066</v>
      </c>
    </row>
    <row r="3729" spans="12:21" x14ac:dyDescent="0.35">
      <c r="L3729" s="110">
        <v>2010</v>
      </c>
      <c r="M3729" s="107" t="s">
        <v>132</v>
      </c>
      <c r="N3729" s="107" t="s">
        <v>86</v>
      </c>
      <c r="O3729">
        <f t="shared" si="280"/>
        <v>113.00000000000011</v>
      </c>
      <c r="P3729">
        <f t="shared" si="280"/>
        <v>965.02000000000112</v>
      </c>
      <c r="Q3729">
        <f t="shared" si="280"/>
        <v>113.00000000000011</v>
      </c>
      <c r="R3729">
        <f t="shared" si="280"/>
        <v>1167.6824799554581</v>
      </c>
      <c r="T3729" s="153">
        <f t="shared" si="281"/>
        <v>8.5400000000000009</v>
      </c>
      <c r="U3729" s="153">
        <f t="shared" si="282"/>
        <v>10.333473273942097</v>
      </c>
    </row>
    <row r="3730" spans="12:21" x14ac:dyDescent="0.35">
      <c r="L3730" s="110">
        <v>2010</v>
      </c>
      <c r="M3730" s="110" t="s">
        <v>143</v>
      </c>
      <c r="N3730" s="110" t="s">
        <v>86</v>
      </c>
      <c r="O3730">
        <f t="shared" si="280"/>
        <v>7642.0000000000018</v>
      </c>
      <c r="P3730">
        <f t="shared" si="280"/>
        <v>65262.680000000066</v>
      </c>
      <c r="Q3730">
        <f t="shared" si="280"/>
        <v>6558.0000000000036</v>
      </c>
      <c r="R3730">
        <f t="shared" si="280"/>
        <v>137240.82237655847</v>
      </c>
      <c r="T3730" s="153">
        <f t="shared" si="281"/>
        <v>8.5400000000000063</v>
      </c>
      <c r="U3730" s="153">
        <f t="shared" si="282"/>
        <v>20.927237324879293</v>
      </c>
    </row>
    <row r="3731" spans="12:21" x14ac:dyDescent="0.35">
      <c r="L3731" s="110">
        <v>2011</v>
      </c>
      <c r="M3731" s="107" t="s">
        <v>132</v>
      </c>
      <c r="N3731" s="107" t="s">
        <v>10</v>
      </c>
      <c r="O3731">
        <f t="shared" si="280"/>
        <v>229656.74791152982</v>
      </c>
      <c r="P3731">
        <f t="shared" si="280"/>
        <v>424115.06815997197</v>
      </c>
      <c r="Q3731">
        <f t="shared" si="280"/>
        <v>229656.74791152982</v>
      </c>
      <c r="R3731">
        <f t="shared" si="280"/>
        <v>424115.06815997197</v>
      </c>
      <c r="T3731" s="153">
        <f t="shared" si="281"/>
        <v>1.846734624681496</v>
      </c>
      <c r="U3731" s="153">
        <f t="shared" si="282"/>
        <v>1.846734624681496</v>
      </c>
    </row>
    <row r="3732" spans="12:21" x14ac:dyDescent="0.35">
      <c r="L3732" s="110">
        <v>2011</v>
      </c>
      <c r="M3732" s="108" t="s">
        <v>143</v>
      </c>
      <c r="N3732" s="108" t="s">
        <v>10</v>
      </c>
      <c r="O3732">
        <f t="shared" si="280"/>
        <v>393254.00000000006</v>
      </c>
      <c r="P3732">
        <f t="shared" si="280"/>
        <v>1352793.7600000005</v>
      </c>
      <c r="Q3732">
        <f t="shared" si="280"/>
        <v>392967.00000000012</v>
      </c>
      <c r="R3732">
        <f t="shared" si="280"/>
        <v>1390726.1044999748</v>
      </c>
      <c r="T3732" s="153">
        <f t="shared" si="281"/>
        <v>3.4400000000000008</v>
      </c>
      <c r="U3732" s="153">
        <f t="shared" si="282"/>
        <v>3.53904043978241</v>
      </c>
    </row>
    <row r="3733" spans="12:21" x14ac:dyDescent="0.35">
      <c r="L3733" s="110">
        <v>2011</v>
      </c>
      <c r="M3733" s="107" t="s">
        <v>132</v>
      </c>
      <c r="N3733" s="107" t="s">
        <v>86</v>
      </c>
      <c r="O3733">
        <f t="shared" si="280"/>
        <v>176</v>
      </c>
      <c r="P3733">
        <f t="shared" si="280"/>
        <v>3264.7999999999997</v>
      </c>
      <c r="Q3733">
        <f t="shared" si="280"/>
        <v>176</v>
      </c>
      <c r="R3733">
        <f t="shared" si="280"/>
        <v>323.06750120117317</v>
      </c>
      <c r="T3733" s="153">
        <f t="shared" si="281"/>
        <v>18.549999999999997</v>
      </c>
      <c r="U3733" s="153">
        <f t="shared" si="282"/>
        <v>1.8356108022793931</v>
      </c>
    </row>
    <row r="3734" spans="12:21" x14ac:dyDescent="0.35">
      <c r="L3734" s="110">
        <v>2011</v>
      </c>
      <c r="M3734" s="110" t="s">
        <v>143</v>
      </c>
      <c r="N3734" s="110" t="s">
        <v>86</v>
      </c>
      <c r="O3734">
        <f t="shared" si="280"/>
        <v>10136.000000000013</v>
      </c>
      <c r="P3734">
        <f t="shared" si="280"/>
        <v>188022.80000000028</v>
      </c>
      <c r="Q3734">
        <f t="shared" si="280"/>
        <v>8500.2904761904738</v>
      </c>
      <c r="R3734">
        <f t="shared" si="280"/>
        <v>177887.59612564935</v>
      </c>
      <c r="T3734" s="153">
        <f t="shared" si="281"/>
        <v>18.550000000000004</v>
      </c>
      <c r="U3734" s="153">
        <f t="shared" si="282"/>
        <v>20.927237324879304</v>
      </c>
    </row>
    <row r="3735" spans="12:21" x14ac:dyDescent="0.35">
      <c r="L3735" s="110">
        <v>2012</v>
      </c>
      <c r="M3735" s="107" t="s">
        <v>132</v>
      </c>
      <c r="N3735" s="107" t="s">
        <v>10</v>
      </c>
      <c r="O3735">
        <f t="shared" si="280"/>
        <v>216317.99999999991</v>
      </c>
      <c r="P3735">
        <f t="shared" si="280"/>
        <v>447269.10000000027</v>
      </c>
      <c r="Q3735">
        <f t="shared" si="280"/>
        <v>216317.99999999991</v>
      </c>
      <c r="R3735">
        <f t="shared" si="280"/>
        <v>447269.10000000027</v>
      </c>
      <c r="T3735" s="153">
        <f t="shared" si="281"/>
        <v>2.0676462430310951</v>
      </c>
      <c r="U3735" s="153">
        <f t="shared" si="282"/>
        <v>2.0676462430310951</v>
      </c>
    </row>
    <row r="3736" spans="12:21" x14ac:dyDescent="0.35">
      <c r="L3736" s="110">
        <v>2012</v>
      </c>
      <c r="M3736" s="108" t="s">
        <v>143</v>
      </c>
      <c r="N3736" s="108" t="s">
        <v>10</v>
      </c>
      <c r="O3736">
        <f t="shared" si="280"/>
        <v>92890.000000000029</v>
      </c>
      <c r="P3736">
        <f t="shared" si="280"/>
        <v>803498.5</v>
      </c>
      <c r="Q3736">
        <f t="shared" si="280"/>
        <v>93236.000000000058</v>
      </c>
      <c r="R3736">
        <f t="shared" si="280"/>
        <v>449356.02103989932</v>
      </c>
      <c r="T3736" s="153">
        <f t="shared" si="281"/>
        <v>8.6499999999999968</v>
      </c>
      <c r="U3736" s="153">
        <f t="shared" si="282"/>
        <v>4.8195549041132075</v>
      </c>
    </row>
    <row r="3737" spans="12:21" x14ac:dyDescent="0.35">
      <c r="L3737" s="110">
        <v>2012</v>
      </c>
      <c r="M3737" s="107" t="s">
        <v>132</v>
      </c>
      <c r="N3737" s="107" t="s">
        <v>86</v>
      </c>
      <c r="O3737">
        <f t="shared" si="280"/>
        <v>102.00000000000004</v>
      </c>
      <c r="P3737">
        <f t="shared" si="280"/>
        <v>871.08000000000038</v>
      </c>
      <c r="Q3737">
        <f t="shared" si="280"/>
        <v>102.00000000000004</v>
      </c>
      <c r="R3737">
        <f t="shared" si="280"/>
        <v>219.38365067819092</v>
      </c>
      <c r="T3737" s="153">
        <f t="shared" si="281"/>
        <v>8.5400000000000009</v>
      </c>
      <c r="U3737" s="153">
        <f t="shared" si="282"/>
        <v>2.1508201046881452</v>
      </c>
    </row>
    <row r="3738" spans="12:21" x14ac:dyDescent="0.35">
      <c r="L3738" s="110">
        <v>2012</v>
      </c>
      <c r="M3738" s="110" t="s">
        <v>143</v>
      </c>
      <c r="N3738" s="110" t="s">
        <v>86</v>
      </c>
      <c r="O3738">
        <f t="shared" si="280"/>
        <v>10403.000000000011</v>
      </c>
      <c r="P3738">
        <f t="shared" si="280"/>
        <v>88841.619999999981</v>
      </c>
      <c r="Q3738">
        <f t="shared" si="280"/>
        <v>11143.209375624301</v>
      </c>
      <c r="R3738">
        <f t="shared" si="280"/>
        <v>233196.58716450981</v>
      </c>
      <c r="T3738" s="153">
        <f t="shared" si="281"/>
        <v>8.5399999999999885</v>
      </c>
      <c r="U3738" s="153">
        <f t="shared" si="282"/>
        <v>20.927237324879297</v>
      </c>
    </row>
    <row r="3739" spans="12:21" x14ac:dyDescent="0.35">
      <c r="L3739" s="110">
        <v>2013</v>
      </c>
      <c r="M3739" s="107" t="s">
        <v>132</v>
      </c>
      <c r="N3739" s="107" t="s">
        <v>10</v>
      </c>
      <c r="O3739">
        <f t="shared" si="280"/>
        <v>296304.00000000017</v>
      </c>
      <c r="P3739">
        <f t="shared" si="280"/>
        <v>481166.05000000016</v>
      </c>
      <c r="Q3739">
        <f t="shared" si="280"/>
        <v>296304.00000000017</v>
      </c>
      <c r="R3739">
        <f t="shared" si="280"/>
        <v>481166.05000000016</v>
      </c>
      <c r="T3739" s="153">
        <f t="shared" si="281"/>
        <v>1.6238931975268638</v>
      </c>
      <c r="U3739" s="153">
        <f t="shared" si="282"/>
        <v>1.6238931975268638</v>
      </c>
    </row>
    <row r="3740" spans="12:21" x14ac:dyDescent="0.35">
      <c r="L3740" s="110">
        <v>2013</v>
      </c>
      <c r="M3740" s="108" t="s">
        <v>143</v>
      </c>
      <c r="N3740" s="108" t="s">
        <v>10</v>
      </c>
      <c r="O3740">
        <f t="shared" si="280"/>
        <v>492253.00000000017</v>
      </c>
      <c r="P3740">
        <f t="shared" si="280"/>
        <v>1693350.3200000008</v>
      </c>
      <c r="Q3740">
        <f t="shared" si="280"/>
        <v>492195.00000000029</v>
      </c>
      <c r="R3740">
        <f t="shared" si="280"/>
        <v>1741898.0092587064</v>
      </c>
      <c r="T3740" s="153">
        <f t="shared" si="281"/>
        <v>3.4400000000000004</v>
      </c>
      <c r="U3740" s="153">
        <f t="shared" si="282"/>
        <v>3.539040439782414</v>
      </c>
    </row>
    <row r="3741" spans="12:21" x14ac:dyDescent="0.35">
      <c r="L3741" s="110">
        <v>2013</v>
      </c>
      <c r="M3741" s="107" t="s">
        <v>132</v>
      </c>
      <c r="N3741" s="107" t="s">
        <v>86</v>
      </c>
      <c r="O3741">
        <f t="shared" si="280"/>
        <v>42.000000000000057</v>
      </c>
      <c r="P3741">
        <f t="shared" si="280"/>
        <v>779.10000000000105</v>
      </c>
      <c r="Q3741">
        <f t="shared" si="280"/>
        <v>42.000000000000057</v>
      </c>
      <c r="R3741">
        <f t="shared" si="280"/>
        <v>61.258290968091039</v>
      </c>
      <c r="T3741" s="153">
        <f t="shared" si="281"/>
        <v>18.55</v>
      </c>
      <c r="U3741" s="153">
        <f t="shared" si="282"/>
        <v>1.458530737335499</v>
      </c>
    </row>
    <row r="3742" spans="12:21" x14ac:dyDescent="0.35">
      <c r="L3742" s="110">
        <v>2013</v>
      </c>
      <c r="M3742" s="110" t="s">
        <v>143</v>
      </c>
      <c r="N3742" s="110" t="s">
        <v>86</v>
      </c>
      <c r="O3742">
        <f t="shared" si="280"/>
        <v>9097.9999999999964</v>
      </c>
      <c r="P3742">
        <f t="shared" si="280"/>
        <v>168767.89999999991</v>
      </c>
      <c r="Q3742">
        <f t="shared" si="280"/>
        <v>9285.4620785444658</v>
      </c>
      <c r="R3742">
        <f t="shared" si="280"/>
        <v>194319.06858886709</v>
      </c>
      <c r="T3742" s="153">
        <f t="shared" si="281"/>
        <v>18.549999999999997</v>
      </c>
      <c r="U3742" s="153">
        <f t="shared" si="282"/>
        <v>20.9272373248793</v>
      </c>
    </row>
    <row r="3743" spans="12:21" x14ac:dyDescent="0.35">
      <c r="L3743" s="110">
        <v>2014</v>
      </c>
      <c r="M3743" s="107" t="s">
        <v>132</v>
      </c>
      <c r="N3743" s="107" t="s">
        <v>10</v>
      </c>
      <c r="O3743">
        <f t="shared" si="280"/>
        <v>159882.00000000009</v>
      </c>
      <c r="P3743">
        <f t="shared" si="280"/>
        <v>451972.95000000024</v>
      </c>
      <c r="Q3743">
        <f t="shared" si="280"/>
        <v>159882.00000000009</v>
      </c>
      <c r="R3743">
        <f t="shared" si="280"/>
        <v>451972.95000000024</v>
      </c>
      <c r="T3743" s="153">
        <f t="shared" si="281"/>
        <v>2.8269157878935713</v>
      </c>
      <c r="U3743" s="153">
        <f t="shared" si="282"/>
        <v>2.8269157878935713</v>
      </c>
    </row>
    <row r="3744" spans="12:21" x14ac:dyDescent="0.35">
      <c r="L3744" s="110">
        <v>2014</v>
      </c>
      <c r="M3744" s="108" t="s">
        <v>143</v>
      </c>
      <c r="N3744" s="108" t="s">
        <v>10</v>
      </c>
      <c r="O3744">
        <f t="shared" si="280"/>
        <v>42858.000000000007</v>
      </c>
      <c r="P3744">
        <f t="shared" si="280"/>
        <v>370721.70000000013</v>
      </c>
      <c r="Q3744">
        <f t="shared" si="280"/>
        <v>42844.999999999993</v>
      </c>
      <c r="R3744">
        <f t="shared" si="280"/>
        <v>206493.82986673046</v>
      </c>
      <c r="T3744" s="153">
        <f t="shared" si="281"/>
        <v>8.6500000000000021</v>
      </c>
      <c r="U3744" s="153">
        <f t="shared" si="282"/>
        <v>4.8195549041132102</v>
      </c>
    </row>
    <row r="3745" spans="12:21" x14ac:dyDescent="0.35">
      <c r="L3745" s="110">
        <v>2014</v>
      </c>
      <c r="M3745" s="107" t="s">
        <v>132</v>
      </c>
      <c r="N3745" s="107" t="s">
        <v>86</v>
      </c>
      <c r="O3745">
        <f t="shared" si="280"/>
        <v>19.000000000000011</v>
      </c>
      <c r="P3745">
        <f t="shared" si="280"/>
        <v>162.26000000000008</v>
      </c>
      <c r="Q3745">
        <f t="shared" si="280"/>
        <v>19.000000000000011</v>
      </c>
      <c r="R3745">
        <f t="shared" si="280"/>
        <v>63.645299008314154</v>
      </c>
      <c r="T3745" s="153">
        <f t="shared" si="281"/>
        <v>8.5399999999999991</v>
      </c>
      <c r="U3745" s="153">
        <f t="shared" si="282"/>
        <v>3.3497525793849534</v>
      </c>
    </row>
    <row r="3746" spans="12:21" x14ac:dyDescent="0.35">
      <c r="L3746" s="110">
        <v>2014</v>
      </c>
      <c r="M3746" s="110" t="s">
        <v>143</v>
      </c>
      <c r="N3746" s="110" t="s">
        <v>86</v>
      </c>
      <c r="O3746">
        <f t="shared" si="280"/>
        <v>8210.0000000000073</v>
      </c>
      <c r="P3746">
        <f t="shared" si="280"/>
        <v>70113.39999999998</v>
      </c>
      <c r="Q3746">
        <f t="shared" si="280"/>
        <v>7340.4092359892375</v>
      </c>
      <c r="R3746">
        <f t="shared" si="280"/>
        <v>153614.4861432827</v>
      </c>
      <c r="T3746" s="153">
        <f t="shared" si="281"/>
        <v>8.5399999999999903</v>
      </c>
      <c r="U3746" s="153">
        <f t="shared" si="282"/>
        <v>20.927237324879297</v>
      </c>
    </row>
    <row r="3747" spans="12:21" x14ac:dyDescent="0.35">
      <c r="L3747" s="110">
        <v>2015</v>
      </c>
      <c r="M3747" s="107" t="s">
        <v>132</v>
      </c>
      <c r="N3747" s="107" t="s">
        <v>10</v>
      </c>
      <c r="O3747">
        <f t="shared" ref="O3747:R3766" si="283">SUMIFS(O$2:O$3725,$B$2:$B$3725,$L3747,$D$2:$D$3725,$M3747,$E$2:$E$3725,$N3747)</f>
        <v>373704</v>
      </c>
      <c r="P3747">
        <f t="shared" si="283"/>
        <v>535902.92000000027</v>
      </c>
      <c r="Q3747">
        <f t="shared" si="283"/>
        <v>373704</v>
      </c>
      <c r="R3747">
        <f t="shared" si="283"/>
        <v>535902.92000000027</v>
      </c>
      <c r="T3747" s="153">
        <f t="shared" si="281"/>
        <v>1.4340304626121216</v>
      </c>
      <c r="U3747" s="153">
        <f t="shared" si="282"/>
        <v>1.4340304626121216</v>
      </c>
    </row>
    <row r="3748" spans="12:21" x14ac:dyDescent="0.35">
      <c r="L3748" s="110">
        <v>2015</v>
      </c>
      <c r="M3748" s="108" t="s">
        <v>143</v>
      </c>
      <c r="N3748" s="108" t="s">
        <v>10</v>
      </c>
      <c r="O3748">
        <f t="shared" si="283"/>
        <v>256696.00000000009</v>
      </c>
      <c r="P3748">
        <f t="shared" si="283"/>
        <v>883034.24000000034</v>
      </c>
      <c r="Q3748">
        <f t="shared" si="283"/>
        <v>256764.99999999997</v>
      </c>
      <c r="R3748">
        <f t="shared" si="283"/>
        <v>908701.71852073201</v>
      </c>
      <c r="T3748" s="153">
        <f t="shared" si="281"/>
        <v>3.44</v>
      </c>
      <c r="U3748" s="153">
        <f t="shared" si="282"/>
        <v>3.5390404397824162</v>
      </c>
    </row>
    <row r="3749" spans="12:21" x14ac:dyDescent="0.35">
      <c r="L3749" s="110">
        <v>2015</v>
      </c>
      <c r="M3749" s="107" t="s">
        <v>132</v>
      </c>
      <c r="N3749" s="107" t="s">
        <v>86</v>
      </c>
      <c r="O3749">
        <f t="shared" si="283"/>
        <v>213</v>
      </c>
      <c r="P3749">
        <f t="shared" si="283"/>
        <v>3951.1499999999996</v>
      </c>
      <c r="Q3749">
        <f t="shared" si="283"/>
        <v>213</v>
      </c>
      <c r="R3749">
        <f t="shared" si="283"/>
        <v>326.65005856859136</v>
      </c>
      <c r="T3749" s="153">
        <f t="shared" si="281"/>
        <v>18.549999999999997</v>
      </c>
      <c r="U3749" s="153">
        <f t="shared" si="282"/>
        <v>1.5335683500872834</v>
      </c>
    </row>
    <row r="3750" spans="12:21" x14ac:dyDescent="0.35">
      <c r="L3750" s="110">
        <v>2015</v>
      </c>
      <c r="M3750" s="110" t="s">
        <v>143</v>
      </c>
      <c r="N3750" s="110" t="s">
        <v>86</v>
      </c>
      <c r="O3750">
        <f t="shared" si="283"/>
        <v>4847.9999999999964</v>
      </c>
      <c r="P3750">
        <f t="shared" si="283"/>
        <v>89930.4</v>
      </c>
      <c r="Q3750">
        <f t="shared" si="283"/>
        <v>5456.1608688801389</v>
      </c>
      <c r="R3750">
        <f t="shared" si="283"/>
        <v>114182.37338577428</v>
      </c>
      <c r="T3750" s="153">
        <f t="shared" si="281"/>
        <v>18.550000000000011</v>
      </c>
      <c r="U3750" s="153">
        <f t="shared" si="282"/>
        <v>20.927237324879293</v>
      </c>
    </row>
    <row r="3751" spans="12:21" x14ac:dyDescent="0.35">
      <c r="L3751" s="110">
        <v>2016</v>
      </c>
      <c r="M3751" s="107" t="s">
        <v>132</v>
      </c>
      <c r="N3751" s="107" t="s">
        <v>10</v>
      </c>
      <c r="O3751">
        <f t="shared" si="283"/>
        <v>41333.816620284699</v>
      </c>
      <c r="P3751">
        <f t="shared" si="283"/>
        <v>193488.59999999998</v>
      </c>
      <c r="Q3751">
        <f t="shared" si="283"/>
        <v>41333.816620284699</v>
      </c>
      <c r="R3751">
        <f t="shared" si="283"/>
        <v>193488.59999999998</v>
      </c>
      <c r="T3751" s="153">
        <f t="shared" si="281"/>
        <v>4.6811210727887351</v>
      </c>
      <c r="U3751" s="153">
        <f t="shared" si="282"/>
        <v>4.6811210727887351</v>
      </c>
    </row>
    <row r="3752" spans="12:21" x14ac:dyDescent="0.35">
      <c r="L3752" s="110">
        <v>2016</v>
      </c>
      <c r="M3752" s="108" t="s">
        <v>143</v>
      </c>
      <c r="N3752" s="108" t="s">
        <v>10</v>
      </c>
      <c r="O3752">
        <f t="shared" si="283"/>
        <v>45209.000000000007</v>
      </c>
      <c r="P3752">
        <f t="shared" si="283"/>
        <v>391057.85000000009</v>
      </c>
      <c r="Q3752">
        <f t="shared" si="283"/>
        <v>45218.000000000022</v>
      </c>
      <c r="R3752">
        <f t="shared" si="283"/>
        <v>217930.63365419113</v>
      </c>
      <c r="T3752" s="153">
        <f t="shared" si="281"/>
        <v>8.65</v>
      </c>
      <c r="U3752" s="153">
        <f t="shared" si="282"/>
        <v>4.8195549041132075</v>
      </c>
    </row>
    <row r="3753" spans="12:21" x14ac:dyDescent="0.35">
      <c r="L3753" s="110">
        <v>2016</v>
      </c>
      <c r="M3753" s="107" t="s">
        <v>132</v>
      </c>
      <c r="N3753" s="107" t="s">
        <v>86</v>
      </c>
      <c r="O3753">
        <f t="shared" si="283"/>
        <v>15</v>
      </c>
      <c r="P3753">
        <f t="shared" si="283"/>
        <v>128.10000000000002</v>
      </c>
      <c r="Q3753">
        <f t="shared" si="283"/>
        <v>15</v>
      </c>
      <c r="R3753">
        <f t="shared" si="283"/>
        <v>104.86592288669033</v>
      </c>
      <c r="T3753" s="153">
        <f t="shared" si="281"/>
        <v>8.5400000000000009</v>
      </c>
      <c r="U3753" s="153">
        <f t="shared" si="282"/>
        <v>6.9910615257793554</v>
      </c>
    </row>
    <row r="3754" spans="12:21" x14ac:dyDescent="0.35">
      <c r="L3754" s="110">
        <v>2016</v>
      </c>
      <c r="M3754" s="110" t="s">
        <v>143</v>
      </c>
      <c r="N3754" s="110" t="s">
        <v>86</v>
      </c>
      <c r="O3754">
        <f t="shared" si="283"/>
        <v>2435.0000000000014</v>
      </c>
      <c r="P3754">
        <f t="shared" si="283"/>
        <v>20794.900000000009</v>
      </c>
      <c r="Q3754">
        <f t="shared" si="283"/>
        <v>3383.6722222222234</v>
      </c>
      <c r="R3754">
        <f t="shared" si="283"/>
        <v>70810.911624046174</v>
      </c>
      <c r="T3754" s="153">
        <f t="shared" si="281"/>
        <v>8.5399999999999991</v>
      </c>
      <c r="U3754" s="153">
        <f t="shared" si="282"/>
        <v>20.927237324879293</v>
      </c>
    </row>
    <row r="3755" spans="12:21" x14ac:dyDescent="0.35">
      <c r="L3755" s="110">
        <v>2017</v>
      </c>
      <c r="M3755" s="107" t="s">
        <v>132</v>
      </c>
      <c r="N3755" s="107" t="s">
        <v>10</v>
      </c>
      <c r="O3755">
        <f t="shared" si="283"/>
        <v>99969.000000000044</v>
      </c>
      <c r="P3755">
        <f t="shared" si="283"/>
        <v>196843.25580405805</v>
      </c>
      <c r="Q3755">
        <f t="shared" si="283"/>
        <v>99969.000000000044</v>
      </c>
      <c r="R3755">
        <f t="shared" si="283"/>
        <v>196843.25580405805</v>
      </c>
      <c r="T3755" s="153">
        <f t="shared" si="281"/>
        <v>1.9690429613586007</v>
      </c>
      <c r="U3755" s="153">
        <f t="shared" si="282"/>
        <v>1.9690429613586007</v>
      </c>
    </row>
    <row r="3756" spans="12:21" x14ac:dyDescent="0.35">
      <c r="L3756" s="110">
        <v>2017</v>
      </c>
      <c r="M3756" s="108" t="s">
        <v>143</v>
      </c>
      <c r="N3756" s="108" t="s">
        <v>10</v>
      </c>
      <c r="O3756">
        <f t="shared" si="283"/>
        <v>88810.000000000087</v>
      </c>
      <c r="P3756">
        <f t="shared" si="283"/>
        <v>305506.40000000031</v>
      </c>
      <c r="Q3756">
        <f t="shared" si="283"/>
        <v>88750.000000000029</v>
      </c>
      <c r="R3756">
        <f t="shared" si="283"/>
        <v>314089.83903068939</v>
      </c>
      <c r="T3756" s="153">
        <f t="shared" si="281"/>
        <v>3.44</v>
      </c>
      <c r="U3756" s="153">
        <f t="shared" si="282"/>
        <v>3.5390404397824144</v>
      </c>
    </row>
    <row r="3757" spans="12:21" x14ac:dyDescent="0.35">
      <c r="L3757" s="110">
        <v>2017</v>
      </c>
      <c r="M3757" s="107" t="s">
        <v>132</v>
      </c>
      <c r="N3757" s="107" t="s">
        <v>86</v>
      </c>
      <c r="O3757">
        <f t="shared" si="283"/>
        <v>149.99999999999997</v>
      </c>
      <c r="P3757">
        <f t="shared" si="283"/>
        <v>2782.5000000000018</v>
      </c>
      <c r="Q3757">
        <f t="shared" si="283"/>
        <v>149.99999999999997</v>
      </c>
      <c r="R3757">
        <f t="shared" si="283"/>
        <v>375.98318495560443</v>
      </c>
      <c r="T3757" s="153">
        <f t="shared" si="281"/>
        <v>18.550000000000015</v>
      </c>
      <c r="U3757" s="153">
        <f t="shared" si="282"/>
        <v>2.5065545663706965</v>
      </c>
    </row>
    <row r="3758" spans="12:21" x14ac:dyDescent="0.35">
      <c r="L3758" s="110">
        <v>2017</v>
      </c>
      <c r="M3758" s="110" t="s">
        <v>143</v>
      </c>
      <c r="N3758" s="110" t="s">
        <v>86</v>
      </c>
      <c r="O3758">
        <f t="shared" si="283"/>
        <v>11126.000000000004</v>
      </c>
      <c r="P3758">
        <f t="shared" si="283"/>
        <v>206387.3</v>
      </c>
      <c r="Q3758">
        <f t="shared" si="283"/>
        <v>4321.8333333333339</v>
      </c>
      <c r="R3758">
        <f t="shared" si="283"/>
        <v>90444.031845240839</v>
      </c>
      <c r="T3758" s="153">
        <f t="shared" si="281"/>
        <v>18.549999999999994</v>
      </c>
      <c r="U3758" s="153">
        <f t="shared" si="282"/>
        <v>20.927237324879293</v>
      </c>
    </row>
    <row r="3759" spans="12:21" x14ac:dyDescent="0.35">
      <c r="L3759" s="110">
        <v>2018</v>
      </c>
      <c r="M3759" s="107" t="s">
        <v>132</v>
      </c>
      <c r="N3759" s="107" t="s">
        <v>10</v>
      </c>
      <c r="O3759">
        <f t="shared" si="283"/>
        <v>143953.00000000003</v>
      </c>
      <c r="P3759">
        <f t="shared" si="283"/>
        <v>233436.06112393303</v>
      </c>
      <c r="Q3759">
        <f t="shared" si="283"/>
        <v>143953.00000000003</v>
      </c>
      <c r="R3759">
        <f t="shared" si="283"/>
        <v>233436.06112393303</v>
      </c>
      <c r="T3759" s="153">
        <f t="shared" si="281"/>
        <v>1.6216130342815571</v>
      </c>
      <c r="U3759" s="153">
        <f t="shared" si="282"/>
        <v>1.6216130342815571</v>
      </c>
    </row>
    <row r="3760" spans="12:21" x14ac:dyDescent="0.35">
      <c r="L3760" s="110">
        <v>2018</v>
      </c>
      <c r="M3760" s="108" t="s">
        <v>143</v>
      </c>
      <c r="N3760" s="108" t="s">
        <v>10</v>
      </c>
      <c r="O3760">
        <f t="shared" si="283"/>
        <v>50433</v>
      </c>
      <c r="P3760">
        <f t="shared" si="283"/>
        <v>436245.45000000019</v>
      </c>
      <c r="Q3760">
        <f t="shared" si="283"/>
        <v>50454.000000000007</v>
      </c>
      <c r="R3760">
        <f t="shared" si="283"/>
        <v>243165.82313212781</v>
      </c>
      <c r="T3760" s="153">
        <f t="shared" si="281"/>
        <v>8.6500000000000039</v>
      </c>
      <c r="U3760" s="153">
        <f t="shared" si="282"/>
        <v>4.8195549041132075</v>
      </c>
    </row>
    <row r="3761" spans="12:21" x14ac:dyDescent="0.35">
      <c r="L3761" s="110">
        <v>2018</v>
      </c>
      <c r="M3761" s="107" t="s">
        <v>132</v>
      </c>
      <c r="N3761" s="107" t="s">
        <v>86</v>
      </c>
      <c r="O3761">
        <f t="shared" si="283"/>
        <v>84</v>
      </c>
      <c r="P3761">
        <f t="shared" si="283"/>
        <v>717.36</v>
      </c>
      <c r="Q3761">
        <f t="shared" si="283"/>
        <v>84</v>
      </c>
      <c r="R3761">
        <f t="shared" si="283"/>
        <v>172.8837251775453</v>
      </c>
      <c r="T3761" s="153">
        <f t="shared" si="281"/>
        <v>8.5400000000000009</v>
      </c>
      <c r="U3761" s="153">
        <f t="shared" si="282"/>
        <v>2.058139585446968</v>
      </c>
    </row>
    <row r="3762" spans="12:21" x14ac:dyDescent="0.35">
      <c r="L3762" s="110">
        <v>2018</v>
      </c>
      <c r="M3762" s="110" t="s">
        <v>143</v>
      </c>
      <c r="N3762" s="110" t="s">
        <v>86</v>
      </c>
      <c r="O3762">
        <f t="shared" si="283"/>
        <v>6560.0000000000045</v>
      </c>
      <c r="P3762">
        <f t="shared" si="283"/>
        <v>56022.400000000023</v>
      </c>
      <c r="Q3762">
        <f t="shared" si="283"/>
        <v>4426.1465677179976</v>
      </c>
      <c r="R3762">
        <f t="shared" si="283"/>
        <v>92627.019657334473</v>
      </c>
      <c r="T3762" s="153">
        <f t="shared" si="281"/>
        <v>8.5399999999999974</v>
      </c>
      <c r="U3762" s="153">
        <f t="shared" si="282"/>
        <v>20.927237324879297</v>
      </c>
    </row>
    <row r="3763" spans="12:21" x14ac:dyDescent="0.35">
      <c r="L3763" s="110">
        <v>2019</v>
      </c>
      <c r="M3763" s="107" t="s">
        <v>132</v>
      </c>
      <c r="N3763" s="107" t="s">
        <v>10</v>
      </c>
      <c r="O3763">
        <f t="shared" si="283"/>
        <v>150483.00000000006</v>
      </c>
      <c r="P3763">
        <f t="shared" si="283"/>
        <v>215953.90801281508</v>
      </c>
      <c r="Q3763">
        <f t="shared" si="283"/>
        <v>150483.00000000006</v>
      </c>
      <c r="R3763">
        <f t="shared" si="283"/>
        <v>215953.90801281508</v>
      </c>
      <c r="T3763" s="153">
        <f t="shared" si="281"/>
        <v>1.4350717889250946</v>
      </c>
      <c r="U3763" s="153">
        <f t="shared" si="282"/>
        <v>1.4350717889250946</v>
      </c>
    </row>
    <row r="3764" spans="12:21" x14ac:dyDescent="0.35">
      <c r="L3764" s="110">
        <v>2019</v>
      </c>
      <c r="M3764" s="108" t="s">
        <v>143</v>
      </c>
      <c r="N3764" s="108" t="s">
        <v>10</v>
      </c>
      <c r="O3764">
        <f t="shared" si="283"/>
        <v>94474.000000000116</v>
      </c>
      <c r="P3764">
        <f t="shared" si="283"/>
        <v>324990.56000000017</v>
      </c>
      <c r="Q3764">
        <f t="shared" si="283"/>
        <v>94503.000000000029</v>
      </c>
      <c r="R3764">
        <f t="shared" si="283"/>
        <v>334449.93868075748</v>
      </c>
      <c r="T3764" s="153">
        <f t="shared" si="281"/>
        <v>3.4399999999999977</v>
      </c>
      <c r="U3764" s="153">
        <f t="shared" si="282"/>
        <v>3.5390404397824131</v>
      </c>
    </row>
    <row r="3765" spans="12:21" x14ac:dyDescent="0.35">
      <c r="L3765" s="110">
        <v>2019</v>
      </c>
      <c r="M3765" s="107" t="s">
        <v>132</v>
      </c>
      <c r="N3765" s="107" t="s">
        <v>86</v>
      </c>
      <c r="O3765">
        <f t="shared" si="283"/>
        <v>64</v>
      </c>
      <c r="P3765">
        <f t="shared" si="283"/>
        <v>1187.2</v>
      </c>
      <c r="Q3765">
        <f t="shared" si="283"/>
        <v>64</v>
      </c>
      <c r="R3765">
        <f t="shared" si="283"/>
        <v>86.505076801847352</v>
      </c>
      <c r="T3765" s="153">
        <f t="shared" si="281"/>
        <v>18.55</v>
      </c>
      <c r="U3765" s="153">
        <f t="shared" si="282"/>
        <v>1.3516418250288649</v>
      </c>
    </row>
    <row r="3766" spans="12:21" x14ac:dyDescent="0.35">
      <c r="L3766" s="110">
        <v>2019</v>
      </c>
      <c r="M3766" s="110" t="s">
        <v>143</v>
      </c>
      <c r="N3766" s="110" t="s">
        <v>86</v>
      </c>
      <c r="O3766">
        <f t="shared" si="283"/>
        <v>1318</v>
      </c>
      <c r="P3766">
        <f t="shared" si="283"/>
        <v>24448.9</v>
      </c>
      <c r="Q3766">
        <f t="shared" si="283"/>
        <v>769</v>
      </c>
      <c r="R3766">
        <f t="shared" si="283"/>
        <v>16093.045502832174</v>
      </c>
      <c r="T3766" s="153">
        <f t="shared" si="281"/>
        <v>18.55</v>
      </c>
      <c r="U3766" s="153">
        <f t="shared" si="282"/>
        <v>20.92723732487929</v>
      </c>
    </row>
    <row r="3767" spans="12:21" x14ac:dyDescent="0.35">
      <c r="L3767" s="50" t="s">
        <v>328</v>
      </c>
      <c r="M3767" s="107" t="s">
        <v>132</v>
      </c>
      <c r="N3767" s="107" t="s">
        <v>10</v>
      </c>
      <c r="O3767" s="17">
        <f>SUM(O3727,O3731,O3735,O3739,O3743,O3747,O3751,O3755,O3759,O3763)</f>
        <v>1762289.5645318148</v>
      </c>
      <c r="P3767" s="17">
        <f t="shared" ref="P3767:R3767" si="284">SUM(P3727,P3731,P3735,P3739,P3743,P3747,P3751,P3755,P3759,P3763)</f>
        <v>3495580.1131007797</v>
      </c>
      <c r="Q3767" s="17">
        <f t="shared" si="284"/>
        <v>1762289.5645318148</v>
      </c>
      <c r="R3767" s="17">
        <f t="shared" si="284"/>
        <v>3495580.1131007797</v>
      </c>
    </row>
    <row r="3768" spans="12:21" x14ac:dyDescent="0.35">
      <c r="L3768" s="50" t="s">
        <v>328</v>
      </c>
      <c r="M3768" s="108" t="s">
        <v>143</v>
      </c>
      <c r="N3768" s="108" t="s">
        <v>10</v>
      </c>
      <c r="O3768" s="17">
        <f t="shared" ref="O3768:R3768" si="285">SUM(O3728,O3732,O3736,O3740,O3744,O3748,O3752,O3756,O3760,O3764)</f>
        <v>1596640.0000000005</v>
      </c>
      <c r="P3768" s="17">
        <f t="shared" si="285"/>
        <v>6905148.7300000032</v>
      </c>
      <c r="Q3768" s="17">
        <f t="shared" si="285"/>
        <v>1596629.0000000005</v>
      </c>
      <c r="R3768" s="17">
        <f t="shared" si="285"/>
        <v>5998128.9691574862</v>
      </c>
    </row>
    <row r="3769" spans="12:21" x14ac:dyDescent="0.35">
      <c r="L3769" s="50" t="s">
        <v>328</v>
      </c>
      <c r="M3769" s="107" t="s">
        <v>132</v>
      </c>
      <c r="N3769" s="107" t="s">
        <v>86</v>
      </c>
      <c r="O3769" s="17">
        <f t="shared" ref="O3769:R3769" si="286">SUM(O3729,O3733,O3737,O3741,O3745,O3749,O3753,O3757,O3761,O3765)</f>
        <v>978.00000000000023</v>
      </c>
      <c r="P3769" s="17">
        <f t="shared" si="286"/>
        <v>14808.570000000007</v>
      </c>
      <c r="Q3769" s="17">
        <f t="shared" si="286"/>
        <v>978.00000000000023</v>
      </c>
      <c r="R3769" s="17">
        <f t="shared" si="286"/>
        <v>2901.9251902015062</v>
      </c>
    </row>
    <row r="3770" spans="12:21" x14ac:dyDescent="0.35">
      <c r="L3770" s="50" t="s">
        <v>328</v>
      </c>
      <c r="M3770" s="110" t="s">
        <v>143</v>
      </c>
      <c r="N3770" s="110" t="s">
        <v>86</v>
      </c>
      <c r="O3770" s="17">
        <f t="shared" ref="O3770:R3770" si="287">SUM(O3730,O3734,O3738,O3742,O3746,O3750,O3754,O3758,O3762,O3766)</f>
        <v>71776.000000000029</v>
      </c>
      <c r="P3770" s="17">
        <f t="shared" si="287"/>
        <v>978592.30000000028</v>
      </c>
      <c r="Q3770" s="17">
        <f t="shared" si="287"/>
        <v>61184.184158502176</v>
      </c>
      <c r="R3770" s="17">
        <f t="shared" si="287"/>
        <v>1280415.9424140956</v>
      </c>
    </row>
    <row r="3771" spans="12:21" x14ac:dyDescent="0.35">
      <c r="L3771" s="50" t="s">
        <v>329</v>
      </c>
      <c r="M3771" s="107" t="s">
        <v>132</v>
      </c>
      <c r="N3771" s="107" t="s">
        <v>10</v>
      </c>
      <c r="O3771" s="17">
        <f>AVERAGE(O3727,O3731,O3735,O3739,O3743,O3747,O3751,O3755,O3759,O3763)</f>
        <v>176228.95645318148</v>
      </c>
      <c r="P3771" s="17">
        <f t="shared" ref="P3771:R3771" si="288">AVERAGE(P3727,P3731,P3735,P3739,P3743,P3747,P3751,P3755,P3759,P3763)</f>
        <v>349558.01131007797</v>
      </c>
      <c r="Q3771" s="17">
        <f t="shared" si="288"/>
        <v>176228.95645318148</v>
      </c>
      <c r="R3771" s="17">
        <f t="shared" si="288"/>
        <v>349558.01131007797</v>
      </c>
    </row>
    <row r="3772" spans="12:21" x14ac:dyDescent="0.35">
      <c r="L3772" s="50" t="s">
        <v>329</v>
      </c>
      <c r="M3772" s="108" t="s">
        <v>143</v>
      </c>
      <c r="N3772" s="108" t="s">
        <v>10</v>
      </c>
      <c r="O3772" s="17">
        <f t="shared" ref="O3772:R3772" si="289">AVERAGE(O3728,O3732,O3736,O3740,O3744,O3748,O3752,O3756,O3760,O3764)</f>
        <v>159664.00000000006</v>
      </c>
      <c r="P3772" s="17">
        <f t="shared" si="289"/>
        <v>690514.87300000037</v>
      </c>
      <c r="Q3772" s="17">
        <f t="shared" si="289"/>
        <v>159662.90000000005</v>
      </c>
      <c r="R3772" s="17">
        <f t="shared" si="289"/>
        <v>599812.8969157486</v>
      </c>
    </row>
    <row r="3773" spans="12:21" x14ac:dyDescent="0.35">
      <c r="L3773" s="50" t="s">
        <v>329</v>
      </c>
      <c r="M3773" s="107" t="s">
        <v>132</v>
      </c>
      <c r="N3773" s="107" t="s">
        <v>86</v>
      </c>
      <c r="O3773" s="17">
        <f t="shared" ref="O3773:R3773" si="290">AVERAGE(O3729,O3733,O3737,O3741,O3745,O3749,O3753,O3757,O3761,O3765)</f>
        <v>97.800000000000026</v>
      </c>
      <c r="P3773" s="17">
        <f t="shared" si="290"/>
        <v>1480.8570000000007</v>
      </c>
      <c r="Q3773" s="17">
        <f t="shared" si="290"/>
        <v>97.800000000000026</v>
      </c>
      <c r="R3773" s="17">
        <f t="shared" si="290"/>
        <v>290.1925190201506</v>
      </c>
    </row>
    <row r="3774" spans="12:21" x14ac:dyDescent="0.35">
      <c r="L3774" s="50" t="s">
        <v>329</v>
      </c>
      <c r="M3774" s="110" t="s">
        <v>143</v>
      </c>
      <c r="N3774" s="110" t="s">
        <v>86</v>
      </c>
      <c r="O3774" s="17">
        <f t="shared" ref="O3774:R3774" si="291">AVERAGE(O3730,O3734,O3738,O3742,O3746,O3750,O3754,O3758,O3762,O3766)</f>
        <v>7177.6000000000031</v>
      </c>
      <c r="P3774" s="17">
        <f t="shared" si="291"/>
        <v>97859.230000000025</v>
      </c>
      <c r="Q3774" s="17">
        <f t="shared" si="291"/>
        <v>6118.4184158502176</v>
      </c>
      <c r="R3774" s="17">
        <f t="shared" si="291"/>
        <v>128041.59424140956</v>
      </c>
    </row>
  </sheetData>
  <sortState xmlns:xlrd2="http://schemas.microsoft.com/office/spreadsheetml/2017/richdata2" ref="A2:R3725">
    <sortCondition ref="E2:E3725"/>
    <sortCondition ref="D2:D3725"/>
    <sortCondition ref="F2:F3725"/>
    <sortCondition ref="B2:B3725"/>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8CD2C6"/>
  </sheetPr>
  <dimension ref="A1:AN75"/>
  <sheetViews>
    <sheetView topLeftCell="Y1" workbookViewId="0">
      <selection activeCell="AI6" sqref="AI6:AL13"/>
    </sheetView>
  </sheetViews>
  <sheetFormatPr defaultRowHeight="14.5" x14ac:dyDescent="0.35"/>
  <cols>
    <col min="1" max="1" width="19.90625" bestFit="1" customWidth="1"/>
    <col min="2" max="2" width="17.1796875" bestFit="1" customWidth="1"/>
    <col min="3" max="3" width="11.26953125" bestFit="1" customWidth="1"/>
    <col min="4" max="9" width="4.81640625" bestFit="1" customWidth="1"/>
    <col min="10" max="13" width="6.36328125" customWidth="1"/>
    <col min="14" max="14" width="21.6328125" bestFit="1" customWidth="1"/>
    <col min="15" max="38" width="11.81640625" bestFit="1" customWidth="1"/>
    <col min="39" max="39" width="16.7265625" bestFit="1" customWidth="1"/>
    <col min="40" max="40" width="16.08984375" bestFit="1" customWidth="1"/>
    <col min="41" max="41" width="17.1796875" bestFit="1" customWidth="1"/>
    <col min="42" max="42" width="18.90625" bestFit="1" customWidth="1"/>
  </cols>
  <sheetData>
    <row r="1" spans="1:40" x14ac:dyDescent="0.35">
      <c r="A1" s="45" t="s">
        <v>2</v>
      </c>
      <c r="B1" t="s">
        <v>10</v>
      </c>
    </row>
    <row r="2" spans="1:40" x14ac:dyDescent="0.35">
      <c r="A2" s="45" t="s">
        <v>0</v>
      </c>
      <c r="B2" t="s">
        <v>175</v>
      </c>
      <c r="C2" s="50" t="s">
        <v>176</v>
      </c>
      <c r="N2" s="45" t="s">
        <v>2</v>
      </c>
      <c r="O2" t="s">
        <v>10</v>
      </c>
    </row>
    <row r="3" spans="1:40" x14ac:dyDescent="0.35">
      <c r="N3" s="45" t="s">
        <v>174</v>
      </c>
      <c r="O3" t="s">
        <v>132</v>
      </c>
    </row>
    <row r="4" spans="1:40" x14ac:dyDescent="0.35">
      <c r="C4" t="s">
        <v>129</v>
      </c>
    </row>
    <row r="5" spans="1:40" x14ac:dyDescent="0.35">
      <c r="A5" t="s">
        <v>133</v>
      </c>
      <c r="B5" t="s">
        <v>134</v>
      </c>
      <c r="C5" s="13">
        <v>5453.5974377000093</v>
      </c>
      <c r="J5" s="13"/>
      <c r="K5" s="13"/>
      <c r="L5" s="13"/>
      <c r="M5" s="13"/>
      <c r="O5" s="45" t="s">
        <v>0</v>
      </c>
      <c r="P5" s="45" t="s">
        <v>348</v>
      </c>
    </row>
    <row r="6" spans="1:40" x14ac:dyDescent="0.35">
      <c r="B6" t="s">
        <v>136</v>
      </c>
      <c r="C6" s="13">
        <v>9738.7006527944686</v>
      </c>
      <c r="J6" s="13"/>
      <c r="K6" s="13"/>
      <c r="L6" s="13"/>
      <c r="M6" s="13"/>
      <c r="O6">
        <v>2010</v>
      </c>
      <c r="Q6">
        <v>2011</v>
      </c>
      <c r="S6">
        <v>2012</v>
      </c>
      <c r="U6">
        <v>2013</v>
      </c>
      <c r="W6">
        <v>2014</v>
      </c>
      <c r="Y6">
        <v>2015</v>
      </c>
      <c r="AA6">
        <v>2016</v>
      </c>
      <c r="AC6">
        <v>2017</v>
      </c>
      <c r="AE6">
        <v>2018</v>
      </c>
      <c r="AG6">
        <v>2019</v>
      </c>
      <c r="AI6">
        <v>2020</v>
      </c>
      <c r="AK6">
        <v>2021</v>
      </c>
      <c r="AM6" t="s">
        <v>349</v>
      </c>
      <c r="AN6" t="s">
        <v>350</v>
      </c>
    </row>
    <row r="7" spans="1:40" x14ac:dyDescent="0.35">
      <c r="B7" t="s">
        <v>138</v>
      </c>
      <c r="C7" s="13">
        <v>30947.452656353747</v>
      </c>
      <c r="J7" s="13"/>
      <c r="K7" s="13"/>
      <c r="L7" s="13"/>
      <c r="M7" s="13"/>
      <c r="N7" s="45" t="s">
        <v>5</v>
      </c>
      <c r="O7" t="s">
        <v>169</v>
      </c>
      <c r="P7" t="s">
        <v>129</v>
      </c>
      <c r="Q7" t="s">
        <v>169</v>
      </c>
      <c r="R7" t="s">
        <v>129</v>
      </c>
      <c r="S7" t="s">
        <v>169</v>
      </c>
      <c r="T7" t="s">
        <v>129</v>
      </c>
      <c r="U7" t="s">
        <v>169</v>
      </c>
      <c r="V7" t="s">
        <v>129</v>
      </c>
      <c r="W7" t="s">
        <v>169</v>
      </c>
      <c r="X7" t="s">
        <v>129</v>
      </c>
      <c r="Y7" t="s">
        <v>169</v>
      </c>
      <c r="Z7" t="s">
        <v>129</v>
      </c>
      <c r="AA7" t="s">
        <v>169</v>
      </c>
      <c r="AB7" t="s">
        <v>129</v>
      </c>
      <c r="AC7" t="s">
        <v>169</v>
      </c>
      <c r="AD7" t="s">
        <v>129</v>
      </c>
      <c r="AE7" t="s">
        <v>169</v>
      </c>
      <c r="AF7" t="s">
        <v>129</v>
      </c>
      <c r="AG7" t="s">
        <v>169</v>
      </c>
      <c r="AH7" t="s">
        <v>129</v>
      </c>
      <c r="AI7" t="s">
        <v>169</v>
      </c>
      <c r="AJ7" t="s">
        <v>129</v>
      </c>
      <c r="AK7" t="s">
        <v>169</v>
      </c>
      <c r="AL7" t="s">
        <v>129</v>
      </c>
    </row>
    <row r="8" spans="1:40" x14ac:dyDescent="0.35">
      <c r="B8" t="s">
        <v>140</v>
      </c>
      <c r="C8" s="13">
        <v>16476.72022752669</v>
      </c>
      <c r="J8" s="13"/>
      <c r="K8" s="13"/>
      <c r="L8" s="13"/>
      <c r="M8" s="13"/>
      <c r="N8" t="s">
        <v>133</v>
      </c>
      <c r="O8" s="53">
        <v>22553.000000000011</v>
      </c>
      <c r="P8" s="53">
        <v>50995.450000000026</v>
      </c>
      <c r="Q8" s="53">
        <v>82260.46819194885</v>
      </c>
      <c r="R8" s="53">
        <v>79163.166976392371</v>
      </c>
      <c r="S8" s="53">
        <v>89890</v>
      </c>
      <c r="T8" s="53">
        <v>90080.170000000013</v>
      </c>
      <c r="U8" s="53">
        <v>92379.000000000116</v>
      </c>
      <c r="V8" s="53">
        <v>77823.97000000003</v>
      </c>
      <c r="W8" s="53">
        <v>74612.999999999971</v>
      </c>
      <c r="X8" s="53">
        <v>95012.420000000042</v>
      </c>
      <c r="Y8" s="53">
        <v>116699.00000000004</v>
      </c>
      <c r="Z8" s="53">
        <v>92065.729999999981</v>
      </c>
      <c r="AA8" s="53">
        <v>11541</v>
      </c>
      <c r="AB8" s="53">
        <v>35457.679999999986</v>
      </c>
      <c r="AC8" s="53">
        <v>19170.000000000004</v>
      </c>
      <c r="AD8" s="53">
        <v>31715.603478159843</v>
      </c>
      <c r="AE8" s="53">
        <v>43042.999999999978</v>
      </c>
      <c r="AF8" s="53">
        <v>48517.801776003456</v>
      </c>
      <c r="AG8" s="53">
        <v>36621.000000000015</v>
      </c>
      <c r="AH8" s="53">
        <v>45396.210075898751</v>
      </c>
      <c r="AI8" s="53">
        <v>49675.000000000036</v>
      </c>
      <c r="AJ8" s="53">
        <v>54297.077471348319</v>
      </c>
      <c r="AK8" s="53">
        <v>52650.000000000015</v>
      </c>
      <c r="AL8" s="53">
        <v>60885.308119519716</v>
      </c>
      <c r="AM8" s="53">
        <v>691094.46819194895</v>
      </c>
      <c r="AN8" s="53">
        <v>761410.58789732261</v>
      </c>
    </row>
    <row r="9" spans="1:40" x14ac:dyDescent="0.35">
      <c r="B9" t="s">
        <v>142</v>
      </c>
      <c r="C9" s="13">
        <v>432.45753853181066</v>
      </c>
      <c r="J9" s="13"/>
      <c r="K9" s="13"/>
      <c r="L9" s="13"/>
      <c r="M9" s="13"/>
      <c r="N9" t="s">
        <v>135</v>
      </c>
      <c r="O9" s="53">
        <v>4542.9999999999955</v>
      </c>
      <c r="P9" s="53">
        <v>33960.660000000025</v>
      </c>
      <c r="Q9" s="53">
        <v>19304.926908052003</v>
      </c>
      <c r="R9" s="53">
        <v>41446.764351020021</v>
      </c>
      <c r="S9" s="53">
        <v>9228.0000000000073</v>
      </c>
      <c r="T9" s="53">
        <v>40414.850000000035</v>
      </c>
      <c r="U9" s="53">
        <v>26506</v>
      </c>
      <c r="V9" s="53">
        <v>46149.720000000016</v>
      </c>
      <c r="W9" s="53">
        <v>11221.000000000005</v>
      </c>
      <c r="X9" s="53">
        <v>55828.400000000009</v>
      </c>
      <c r="Y9" s="53">
        <v>40107.000000000007</v>
      </c>
      <c r="Z9" s="53">
        <v>47238.630000000005</v>
      </c>
      <c r="AA9" s="53">
        <v>6205.0000000000045</v>
      </c>
      <c r="AB9" s="53">
        <v>30663.020000000011</v>
      </c>
      <c r="AC9" s="53">
        <v>13055.000000000004</v>
      </c>
      <c r="AD9" s="53">
        <v>36195.093891677425</v>
      </c>
      <c r="AE9" s="53">
        <v>13867.000000000004</v>
      </c>
      <c r="AF9" s="53">
        <v>32271.992345742394</v>
      </c>
      <c r="AG9" s="53">
        <v>11916.000000000007</v>
      </c>
      <c r="AH9" s="53">
        <v>26541.473270436931</v>
      </c>
      <c r="AI9" s="53">
        <v>12528.000000000007</v>
      </c>
      <c r="AJ9" s="53">
        <v>25558.923585298573</v>
      </c>
      <c r="AK9" s="53">
        <v>4614</v>
      </c>
      <c r="AL9" s="53">
        <v>9337.4702138899447</v>
      </c>
      <c r="AM9" s="53">
        <v>173094.926908052</v>
      </c>
      <c r="AN9" s="53">
        <v>425606.99765806546</v>
      </c>
    </row>
    <row r="10" spans="1:40" x14ac:dyDescent="0.35">
      <c r="B10" t="s">
        <v>144</v>
      </c>
      <c r="C10" s="13">
        <v>77403.288301485401</v>
      </c>
      <c r="J10" s="13"/>
      <c r="K10" s="13"/>
      <c r="L10" s="13"/>
      <c r="M10" s="13"/>
      <c r="N10" t="s">
        <v>137</v>
      </c>
      <c r="O10" s="53">
        <v>8979.9999999999945</v>
      </c>
      <c r="P10" s="53">
        <v>92794.589999999982</v>
      </c>
      <c r="Q10" s="53">
        <v>72547.708774438841</v>
      </c>
      <c r="R10" s="53">
        <v>133169.35790697948</v>
      </c>
      <c r="S10" s="53">
        <v>70113.000000000073</v>
      </c>
      <c r="T10" s="53">
        <v>150800.45000000013</v>
      </c>
      <c r="U10" s="53">
        <v>122033.9999999999</v>
      </c>
      <c r="V10" s="53">
        <v>177990.34000000005</v>
      </c>
      <c r="W10" s="53">
        <v>49915.000000000007</v>
      </c>
      <c r="X10" s="53">
        <v>167202.9</v>
      </c>
      <c r="Y10" s="53">
        <v>166129.99999999994</v>
      </c>
      <c r="Z10" s="53">
        <v>254771.71000000028</v>
      </c>
      <c r="AA10" s="53">
        <v>7413.8655208333294</v>
      </c>
      <c r="AB10" s="53">
        <v>51830.790000000008</v>
      </c>
      <c r="AC10" s="53">
        <v>16299.000000000011</v>
      </c>
      <c r="AD10" s="53">
        <v>40854.332877276007</v>
      </c>
      <c r="AE10" s="53">
        <v>29209.999999999996</v>
      </c>
      <c r="AF10" s="53">
        <v>60118.257290905953</v>
      </c>
      <c r="AG10" s="53">
        <v>46505.000000000036</v>
      </c>
      <c r="AH10" s="53">
        <v>62858.103072967388</v>
      </c>
      <c r="AI10" s="53">
        <v>11121.000000000002</v>
      </c>
      <c r="AJ10" s="53">
        <v>52458.568551647819</v>
      </c>
      <c r="AK10" s="53">
        <v>67743</v>
      </c>
      <c r="AL10" s="53">
        <v>74127.314545421978</v>
      </c>
      <c r="AM10" s="53">
        <v>668011.57429527212</v>
      </c>
      <c r="AN10" s="53">
        <v>1318976.7142451992</v>
      </c>
    </row>
    <row r="11" spans="1:40" x14ac:dyDescent="0.35">
      <c r="B11" t="s">
        <v>145</v>
      </c>
      <c r="C11" s="13">
        <v>80941.283776141703</v>
      </c>
      <c r="J11" s="13"/>
      <c r="K11" s="13"/>
      <c r="L11" s="13"/>
      <c r="M11" s="13"/>
      <c r="N11" t="s">
        <v>139</v>
      </c>
      <c r="O11" s="53">
        <v>12195.000000000002</v>
      </c>
      <c r="P11" s="53">
        <v>126383.09999999999</v>
      </c>
      <c r="Q11" s="53">
        <v>49805.644037090162</v>
      </c>
      <c r="R11" s="53">
        <v>137657.35892558016</v>
      </c>
      <c r="S11" s="53">
        <v>40231.999999999978</v>
      </c>
      <c r="T11" s="53">
        <v>138671.1400000001</v>
      </c>
      <c r="U11" s="53">
        <v>49838.999999999993</v>
      </c>
      <c r="V11" s="53">
        <v>156072.49000000014</v>
      </c>
      <c r="W11" s="53">
        <v>20588.999999999993</v>
      </c>
      <c r="X11" s="53">
        <v>117416.65000000004</v>
      </c>
      <c r="Y11" s="53">
        <v>46437.000000000007</v>
      </c>
      <c r="Z11" s="53">
        <v>113207.91999999997</v>
      </c>
      <c r="AA11" s="53">
        <v>6498.9510994513475</v>
      </c>
      <c r="AB11" s="53">
        <v>49480.460000000014</v>
      </c>
      <c r="AC11" s="53">
        <v>40047.999999999978</v>
      </c>
      <c r="AD11" s="53">
        <v>81182.608331414434</v>
      </c>
      <c r="AE11" s="53">
        <v>49605.000000000051</v>
      </c>
      <c r="AF11" s="53">
        <v>85568.76007323034</v>
      </c>
      <c r="AG11" s="53">
        <v>51815.000000000007</v>
      </c>
      <c r="AH11" s="53">
        <v>77819.635970544623</v>
      </c>
      <c r="AI11" s="53">
        <v>41146.000000000051</v>
      </c>
      <c r="AJ11" s="53">
        <v>93454.228536186929</v>
      </c>
      <c r="AK11" s="53">
        <v>51680.000000000029</v>
      </c>
      <c r="AL11" s="53">
        <v>104994.94932305248</v>
      </c>
      <c r="AM11" s="53">
        <v>459890.59513654164</v>
      </c>
      <c r="AN11" s="53">
        <v>1281909.3011600091</v>
      </c>
    </row>
    <row r="12" spans="1:40" x14ac:dyDescent="0.35">
      <c r="B12" t="s">
        <v>146</v>
      </c>
      <c r="C12" s="13">
        <v>23924.173195422605</v>
      </c>
      <c r="J12" s="13"/>
      <c r="K12" s="13"/>
      <c r="L12" s="13"/>
      <c r="M12" s="13"/>
      <c r="N12" t="s">
        <v>141</v>
      </c>
      <c r="O12" s="53">
        <v>2415.0000000000018</v>
      </c>
      <c r="P12" s="53">
        <v>11298.400000000007</v>
      </c>
      <c r="Q12" s="53">
        <v>5738.0000000000018</v>
      </c>
      <c r="R12" s="53">
        <v>32678.420000000006</v>
      </c>
      <c r="S12" s="53">
        <v>6854.9999999999909</v>
      </c>
      <c r="T12" s="53">
        <v>27302.489999999994</v>
      </c>
      <c r="U12" s="53">
        <v>5546.0000000000009</v>
      </c>
      <c r="V12" s="53">
        <v>23129.530000000006</v>
      </c>
      <c r="W12" s="53">
        <v>3543.9999999999995</v>
      </c>
      <c r="X12" s="53">
        <v>16512.580000000009</v>
      </c>
      <c r="Y12" s="53">
        <v>4331.0000000000009</v>
      </c>
      <c r="Z12" s="53">
        <v>28618.930000000008</v>
      </c>
      <c r="AA12" s="53">
        <v>9674.9999999999982</v>
      </c>
      <c r="AB12" s="53">
        <v>26056.649999999994</v>
      </c>
      <c r="AC12" s="53">
        <v>11397.000000000004</v>
      </c>
      <c r="AD12" s="53">
        <v>6895.6172255304118</v>
      </c>
      <c r="AE12" s="53">
        <v>8227.9999999999982</v>
      </c>
      <c r="AF12" s="53">
        <v>6959.2496380509247</v>
      </c>
      <c r="AG12" s="53">
        <v>3625.9999999999982</v>
      </c>
      <c r="AH12" s="53">
        <v>3338.4856229672605</v>
      </c>
      <c r="AI12" s="53">
        <v>4518.9999999999964</v>
      </c>
      <c r="AJ12" s="53">
        <v>4003.190243441974</v>
      </c>
      <c r="AK12" s="53">
        <v>8235.9999999999982</v>
      </c>
      <c r="AL12" s="53">
        <v>4022.7698344106693</v>
      </c>
      <c r="AM12" s="53">
        <v>74110</v>
      </c>
      <c r="AN12" s="53">
        <v>190816.31256440125</v>
      </c>
    </row>
    <row r="13" spans="1:40" x14ac:dyDescent="0.35">
      <c r="B13" t="s">
        <v>147</v>
      </c>
      <c r="C13" s="13">
        <v>15994.19559364453</v>
      </c>
      <c r="J13" s="13"/>
      <c r="K13" s="13"/>
      <c r="L13" s="13"/>
      <c r="M13" s="13"/>
      <c r="N13" t="s">
        <v>157</v>
      </c>
      <c r="O13" s="53">
        <v>50686</v>
      </c>
      <c r="P13" s="53">
        <v>315432.2</v>
      </c>
      <c r="Q13" s="53">
        <v>229656.74791152985</v>
      </c>
      <c r="R13" s="53">
        <v>424115.06815997203</v>
      </c>
      <c r="S13" s="53">
        <v>216318.00000000003</v>
      </c>
      <c r="T13" s="53">
        <v>447269.10000000033</v>
      </c>
      <c r="U13" s="53">
        <v>296304</v>
      </c>
      <c r="V13" s="53">
        <v>481166.05000000028</v>
      </c>
      <c r="W13" s="53">
        <v>159881.99999999997</v>
      </c>
      <c r="X13" s="53">
        <v>451972.95000000013</v>
      </c>
      <c r="Y13" s="53">
        <v>373704</v>
      </c>
      <c r="Z13" s="53">
        <v>535902.92000000027</v>
      </c>
      <c r="AA13" s="53">
        <v>41333.816620284677</v>
      </c>
      <c r="AB13" s="53">
        <v>193488.6</v>
      </c>
      <c r="AC13" s="53">
        <v>99969</v>
      </c>
      <c r="AD13" s="53">
        <v>196843.25580405811</v>
      </c>
      <c r="AE13" s="53">
        <v>143953.00000000003</v>
      </c>
      <c r="AF13" s="53">
        <v>233436.06112393306</v>
      </c>
      <c r="AG13" s="53">
        <v>150483.00000000006</v>
      </c>
      <c r="AH13" s="53">
        <v>215953.90801281497</v>
      </c>
      <c r="AI13" s="53">
        <v>118989.00000000009</v>
      </c>
      <c r="AJ13" s="53">
        <v>229771.98838792363</v>
      </c>
      <c r="AK13" s="53">
        <v>184923.00000000006</v>
      </c>
      <c r="AL13" s="53">
        <v>253367.81203629478</v>
      </c>
      <c r="AM13" s="53">
        <v>2066201.5645318148</v>
      </c>
      <c r="AN13" s="53">
        <v>3978719.9135249979</v>
      </c>
    </row>
    <row r="14" spans="1:40" x14ac:dyDescent="0.35">
      <c r="B14" t="s">
        <v>148</v>
      </c>
      <c r="C14" s="13">
        <v>52205.264172579336</v>
      </c>
      <c r="J14" s="13"/>
      <c r="K14" s="13"/>
      <c r="L14" s="13"/>
      <c r="M14" s="13"/>
    </row>
    <row r="15" spans="1:40" x14ac:dyDescent="0.35">
      <c r="B15" t="s">
        <v>149</v>
      </c>
      <c r="C15" s="13">
        <v>232181.5961666028</v>
      </c>
      <c r="J15" s="13"/>
      <c r="K15" s="13"/>
      <c r="L15" s="13"/>
      <c r="M15" s="13"/>
    </row>
    <row r="16" spans="1:40" x14ac:dyDescent="0.35">
      <c r="B16" t="s">
        <v>150</v>
      </c>
      <c r="C16" s="13">
        <v>18336.067117506482</v>
      </c>
      <c r="J16" s="13"/>
      <c r="K16" s="13"/>
      <c r="L16" s="13"/>
      <c r="M16" s="13"/>
    </row>
    <row r="17" spans="1:13" x14ac:dyDescent="0.35">
      <c r="B17" t="s">
        <v>151</v>
      </c>
      <c r="C17" s="13">
        <v>124916.67547016502</v>
      </c>
      <c r="J17" s="13"/>
      <c r="K17" s="13"/>
      <c r="L17" s="13"/>
      <c r="M17" s="13"/>
    </row>
    <row r="18" spans="1:13" x14ac:dyDescent="0.35">
      <c r="A18" t="s">
        <v>152</v>
      </c>
      <c r="C18" s="13">
        <v>688951.47230645467</v>
      </c>
      <c r="J18" s="13"/>
      <c r="K18" s="13"/>
      <c r="L18" s="13"/>
      <c r="M18" s="13"/>
    </row>
    <row r="19" spans="1:13" x14ac:dyDescent="0.35">
      <c r="A19" t="s">
        <v>135</v>
      </c>
      <c r="B19" t="s">
        <v>134</v>
      </c>
      <c r="C19" s="13">
        <v>415694.7878118261</v>
      </c>
      <c r="J19" s="13"/>
      <c r="K19" s="13"/>
      <c r="L19" s="13"/>
      <c r="M19" s="13"/>
    </row>
    <row r="20" spans="1:13" x14ac:dyDescent="0.35">
      <c r="B20" t="s">
        <v>136</v>
      </c>
      <c r="C20" s="13">
        <v>345680.31180737383</v>
      </c>
      <c r="J20" s="13"/>
      <c r="K20" s="13"/>
      <c r="L20" s="13"/>
      <c r="M20" s="13"/>
    </row>
    <row r="21" spans="1:13" x14ac:dyDescent="0.35">
      <c r="B21" t="s">
        <v>138</v>
      </c>
      <c r="C21" s="13">
        <v>393920.77410018636</v>
      </c>
      <c r="J21" s="13"/>
      <c r="K21" s="13"/>
      <c r="L21" s="13"/>
      <c r="M21" s="13"/>
    </row>
    <row r="22" spans="1:13" x14ac:dyDescent="0.35">
      <c r="B22" t="s">
        <v>140</v>
      </c>
      <c r="C22" s="13">
        <v>75332.674888016598</v>
      </c>
      <c r="J22" s="13"/>
      <c r="K22" s="13"/>
      <c r="L22" s="13"/>
      <c r="M22" s="13"/>
    </row>
    <row r="23" spans="1:13" x14ac:dyDescent="0.35">
      <c r="B23" t="s">
        <v>142</v>
      </c>
      <c r="C23" s="13">
        <v>49371.04855037947</v>
      </c>
      <c r="J23" s="13"/>
      <c r="K23" s="13"/>
      <c r="L23" s="13"/>
      <c r="M23" s="13"/>
    </row>
    <row r="24" spans="1:13" x14ac:dyDescent="0.35">
      <c r="B24" t="s">
        <v>144</v>
      </c>
      <c r="C24" s="13">
        <v>144533.92413288247</v>
      </c>
      <c r="J24" s="13"/>
      <c r="K24" s="13"/>
      <c r="L24" s="13"/>
      <c r="M24" s="13"/>
    </row>
    <row r="25" spans="1:13" x14ac:dyDescent="0.35">
      <c r="B25" t="s">
        <v>145</v>
      </c>
      <c r="C25" s="13">
        <v>19890.083069364424</v>
      </c>
      <c r="J25" s="13"/>
      <c r="K25" s="13"/>
      <c r="L25" s="13"/>
      <c r="M25" s="13"/>
    </row>
    <row r="26" spans="1:13" x14ac:dyDescent="0.35">
      <c r="B26" t="s">
        <v>146</v>
      </c>
      <c r="C26" s="13">
        <v>6426.5205988499529</v>
      </c>
      <c r="J26" s="13"/>
      <c r="K26" s="13"/>
      <c r="L26" s="13"/>
      <c r="M26" s="13"/>
    </row>
    <row r="27" spans="1:13" x14ac:dyDescent="0.35">
      <c r="B27" t="s">
        <v>147</v>
      </c>
      <c r="C27" s="13">
        <v>1267.0897661651766</v>
      </c>
      <c r="J27" s="13"/>
      <c r="K27" s="13"/>
      <c r="L27" s="13"/>
      <c r="M27" s="13"/>
    </row>
    <row r="28" spans="1:13" x14ac:dyDescent="0.35">
      <c r="B28" t="s">
        <v>148</v>
      </c>
      <c r="C28" s="13">
        <v>2958.4388045595697</v>
      </c>
      <c r="J28" s="13"/>
      <c r="K28" s="13"/>
      <c r="L28" s="13"/>
      <c r="M28" s="13"/>
    </row>
    <row r="29" spans="1:13" x14ac:dyDescent="0.35">
      <c r="B29" t="s">
        <v>149</v>
      </c>
      <c r="C29" s="13">
        <v>5105.7361091529383</v>
      </c>
      <c r="J29" s="13"/>
      <c r="K29" s="13"/>
      <c r="L29" s="13"/>
      <c r="M29" s="13"/>
    </row>
    <row r="30" spans="1:13" x14ac:dyDescent="0.35">
      <c r="B30" t="s">
        <v>150</v>
      </c>
      <c r="C30" s="13">
        <v>769.55694386844436</v>
      </c>
      <c r="J30" s="13"/>
      <c r="K30" s="13"/>
      <c r="L30" s="13"/>
      <c r="M30" s="13"/>
    </row>
    <row r="31" spans="1:13" x14ac:dyDescent="0.35">
      <c r="B31" t="s">
        <v>151</v>
      </c>
      <c r="C31" s="13">
        <v>105485.86727625148</v>
      </c>
      <c r="J31" s="13"/>
      <c r="K31" s="13"/>
      <c r="L31" s="13"/>
      <c r="M31" s="13"/>
    </row>
    <row r="32" spans="1:13" x14ac:dyDescent="0.35">
      <c r="A32" t="s">
        <v>153</v>
      </c>
      <c r="C32" s="13">
        <v>1566436.8138588769</v>
      </c>
      <c r="J32" s="13"/>
      <c r="K32" s="13"/>
      <c r="L32" s="13"/>
      <c r="M32" s="13"/>
    </row>
    <row r="33" spans="1:13" x14ac:dyDescent="0.35">
      <c r="A33" t="s">
        <v>137</v>
      </c>
      <c r="B33" t="s">
        <v>134</v>
      </c>
      <c r="C33" s="13">
        <v>153635.66228655702</v>
      </c>
      <c r="J33" s="13"/>
      <c r="K33" s="13"/>
      <c r="L33" s="13"/>
      <c r="M33" s="13"/>
    </row>
    <row r="34" spans="1:13" x14ac:dyDescent="0.35">
      <c r="B34" t="s">
        <v>136</v>
      </c>
      <c r="C34" s="13">
        <v>529350.16282637313</v>
      </c>
      <c r="J34" s="13"/>
      <c r="K34" s="13"/>
      <c r="L34" s="13"/>
      <c r="M34" s="13"/>
    </row>
    <row r="35" spans="1:13" x14ac:dyDescent="0.35">
      <c r="B35" t="s">
        <v>138</v>
      </c>
      <c r="C35" s="13">
        <v>1327669.8212272162</v>
      </c>
      <c r="J35" s="13"/>
      <c r="K35" s="13"/>
      <c r="L35" s="13"/>
      <c r="M35" s="13"/>
    </row>
    <row r="36" spans="1:13" x14ac:dyDescent="0.35">
      <c r="B36" t="s">
        <v>140</v>
      </c>
      <c r="C36" s="13">
        <v>264974.80850959022</v>
      </c>
      <c r="J36" s="13"/>
      <c r="K36" s="13"/>
      <c r="L36" s="13"/>
      <c r="M36" s="13"/>
    </row>
    <row r="37" spans="1:13" x14ac:dyDescent="0.35">
      <c r="B37" t="s">
        <v>142</v>
      </c>
      <c r="C37" s="13">
        <v>929.74139700868011</v>
      </c>
      <c r="J37" s="13"/>
      <c r="K37" s="13"/>
      <c r="L37" s="13"/>
      <c r="M37" s="13"/>
    </row>
    <row r="38" spans="1:13" x14ac:dyDescent="0.35">
      <c r="B38" t="s">
        <v>144</v>
      </c>
      <c r="C38" s="13">
        <v>457217.86906331748</v>
      </c>
      <c r="J38" s="13"/>
      <c r="K38" s="13"/>
      <c r="L38" s="13"/>
      <c r="M38" s="13"/>
    </row>
    <row r="39" spans="1:13" x14ac:dyDescent="0.35">
      <c r="B39" t="s">
        <v>145</v>
      </c>
      <c r="C39" s="13">
        <v>36612.096494625097</v>
      </c>
      <c r="J39" s="13"/>
      <c r="K39" s="13"/>
      <c r="L39" s="13"/>
      <c r="M39" s="13"/>
    </row>
    <row r="40" spans="1:13" x14ac:dyDescent="0.35">
      <c r="B40" t="s">
        <v>146</v>
      </c>
      <c r="C40" s="13">
        <v>12024.317360709754</v>
      </c>
      <c r="J40" s="13"/>
      <c r="K40" s="13"/>
      <c r="L40" s="13"/>
      <c r="M40" s="13"/>
    </row>
    <row r="41" spans="1:13" x14ac:dyDescent="0.35">
      <c r="B41" t="s">
        <v>147</v>
      </c>
      <c r="C41" s="13">
        <v>5440.4234545127028</v>
      </c>
      <c r="J41" s="13"/>
      <c r="K41" s="13"/>
      <c r="L41" s="13"/>
      <c r="M41" s="13"/>
    </row>
    <row r="42" spans="1:13" x14ac:dyDescent="0.35">
      <c r="B42" t="s">
        <v>148</v>
      </c>
      <c r="C42" s="13">
        <v>83801.628529357884</v>
      </c>
      <c r="J42" s="13"/>
      <c r="K42" s="13"/>
      <c r="L42" s="13"/>
      <c r="M42" s="13"/>
    </row>
    <row r="43" spans="1:13" x14ac:dyDescent="0.35">
      <c r="B43" t="s">
        <v>149</v>
      </c>
      <c r="C43" s="13">
        <v>6820.0586408930394</v>
      </c>
      <c r="J43" s="13"/>
      <c r="K43" s="13"/>
      <c r="L43" s="13"/>
      <c r="M43" s="13"/>
    </row>
    <row r="44" spans="1:13" x14ac:dyDescent="0.35">
      <c r="B44" t="s">
        <v>150</v>
      </c>
      <c r="C44" s="13">
        <v>46766.979634945797</v>
      </c>
      <c r="J44" s="13"/>
      <c r="K44" s="13"/>
      <c r="L44" s="13"/>
      <c r="M44" s="13"/>
    </row>
    <row r="45" spans="1:13" x14ac:dyDescent="0.35">
      <c r="B45" t="s">
        <v>151</v>
      </c>
      <c r="C45" s="13">
        <v>223307.30172302393</v>
      </c>
      <c r="J45" s="13"/>
      <c r="K45" s="13"/>
      <c r="L45" s="13"/>
      <c r="M45" s="13"/>
    </row>
    <row r="46" spans="1:13" x14ac:dyDescent="0.35">
      <c r="A46" t="s">
        <v>154</v>
      </c>
      <c r="C46" s="13">
        <v>3148550.8711481309</v>
      </c>
      <c r="J46" s="13"/>
      <c r="K46" s="13"/>
      <c r="L46" s="13"/>
      <c r="M46" s="13"/>
    </row>
    <row r="47" spans="1:13" x14ac:dyDescent="0.35">
      <c r="A47" t="s">
        <v>139</v>
      </c>
      <c r="B47" t="s">
        <v>134</v>
      </c>
      <c r="C47" s="13">
        <v>4577.1857304939103</v>
      </c>
      <c r="J47" s="13"/>
      <c r="K47" s="13"/>
      <c r="L47" s="13"/>
      <c r="M47" s="13"/>
    </row>
    <row r="48" spans="1:13" x14ac:dyDescent="0.35">
      <c r="B48" t="s">
        <v>136</v>
      </c>
      <c r="C48" s="13">
        <v>4718.6097781410162</v>
      </c>
      <c r="J48" s="13"/>
      <c r="K48" s="13"/>
      <c r="L48" s="13"/>
      <c r="M48" s="13"/>
    </row>
    <row r="49" spans="1:13" x14ac:dyDescent="0.35">
      <c r="B49" t="s">
        <v>138</v>
      </c>
      <c r="C49" s="13">
        <v>134651.69548379446</v>
      </c>
      <c r="J49" s="13"/>
      <c r="K49" s="13"/>
      <c r="L49" s="13"/>
      <c r="M49" s="13"/>
    </row>
    <row r="50" spans="1:13" x14ac:dyDescent="0.35">
      <c r="B50" t="s">
        <v>140</v>
      </c>
      <c r="C50" s="13">
        <v>5298.0916250860582</v>
      </c>
      <c r="J50" s="13"/>
      <c r="K50" s="13"/>
      <c r="L50" s="13"/>
      <c r="M50" s="13"/>
    </row>
    <row r="51" spans="1:13" x14ac:dyDescent="0.35">
      <c r="B51" t="s">
        <v>142</v>
      </c>
      <c r="C51" s="13">
        <v>539.49256973983211</v>
      </c>
      <c r="J51" s="13"/>
      <c r="K51" s="13"/>
      <c r="L51" s="13"/>
      <c r="M51" s="13"/>
    </row>
    <row r="52" spans="1:13" x14ac:dyDescent="0.35">
      <c r="B52" t="s">
        <v>144</v>
      </c>
      <c r="C52" s="13">
        <v>1633966.1760416673</v>
      </c>
      <c r="J52" s="13"/>
      <c r="K52" s="13"/>
      <c r="L52" s="13"/>
      <c r="M52" s="13"/>
    </row>
    <row r="53" spans="1:13" x14ac:dyDescent="0.35">
      <c r="B53" t="s">
        <v>145</v>
      </c>
      <c r="C53" s="13">
        <v>1764477.8046493931</v>
      </c>
      <c r="J53" s="13"/>
      <c r="K53" s="13"/>
      <c r="L53" s="13"/>
      <c r="M53" s="13"/>
    </row>
    <row r="54" spans="1:13" x14ac:dyDescent="0.35">
      <c r="B54" t="s">
        <v>146</v>
      </c>
      <c r="C54" s="13">
        <v>369655.91717643285</v>
      </c>
      <c r="J54" s="13"/>
      <c r="K54" s="13"/>
      <c r="L54" s="13"/>
      <c r="M54" s="13"/>
    </row>
    <row r="55" spans="1:13" x14ac:dyDescent="0.35">
      <c r="B55" t="s">
        <v>147</v>
      </c>
      <c r="C55" s="13">
        <v>45623.488960805844</v>
      </c>
      <c r="J55" s="13"/>
      <c r="K55" s="13"/>
      <c r="L55" s="13"/>
      <c r="M55" s="13"/>
    </row>
    <row r="56" spans="1:13" x14ac:dyDescent="0.35">
      <c r="B56" t="s">
        <v>148</v>
      </c>
      <c r="C56" s="13">
        <v>149490.74639490168</v>
      </c>
      <c r="J56" s="13"/>
      <c r="K56" s="13"/>
      <c r="L56" s="13"/>
      <c r="M56" s="13"/>
    </row>
    <row r="57" spans="1:13" x14ac:dyDescent="0.35">
      <c r="B57" t="s">
        <v>149</v>
      </c>
      <c r="C57" s="13">
        <v>2735.3862100461461</v>
      </c>
      <c r="J57" s="13"/>
      <c r="K57" s="13"/>
      <c r="L57" s="13"/>
      <c r="M57" s="13"/>
    </row>
    <row r="58" spans="1:13" x14ac:dyDescent="0.35">
      <c r="B58" t="s">
        <v>150</v>
      </c>
      <c r="C58" s="13">
        <v>2298.2892469420326</v>
      </c>
      <c r="J58" s="13"/>
      <c r="K58" s="13"/>
      <c r="L58" s="13"/>
      <c r="M58" s="13"/>
    </row>
    <row r="59" spans="1:13" x14ac:dyDescent="0.35">
      <c r="B59" t="s">
        <v>151</v>
      </c>
      <c r="C59" s="13">
        <v>231225.85943332652</v>
      </c>
      <c r="J59" s="13"/>
      <c r="K59" s="13"/>
      <c r="L59" s="13"/>
      <c r="M59" s="13"/>
    </row>
    <row r="60" spans="1:13" x14ac:dyDescent="0.35">
      <c r="A60" t="s">
        <v>155</v>
      </c>
      <c r="C60" s="13">
        <v>4349258.7433007713</v>
      </c>
      <c r="J60" s="13"/>
      <c r="K60" s="13"/>
      <c r="L60" s="13"/>
      <c r="M60" s="13"/>
    </row>
    <row r="61" spans="1:13" x14ac:dyDescent="0.35">
      <c r="A61" t="s">
        <v>141</v>
      </c>
      <c r="B61" t="s">
        <v>134</v>
      </c>
      <c r="C61" s="13">
        <v>733.31263689557352</v>
      </c>
      <c r="J61" s="13"/>
      <c r="K61" s="13"/>
      <c r="L61" s="13"/>
      <c r="M61" s="13"/>
    </row>
    <row r="62" spans="1:13" x14ac:dyDescent="0.35">
      <c r="B62" t="s">
        <v>136</v>
      </c>
      <c r="C62" s="13">
        <v>950.74336560155723</v>
      </c>
      <c r="J62" s="13"/>
      <c r="K62" s="13"/>
      <c r="L62" s="13"/>
      <c r="M62" s="13"/>
    </row>
    <row r="63" spans="1:13" x14ac:dyDescent="0.35">
      <c r="B63" t="s">
        <v>138</v>
      </c>
      <c r="C63" s="13">
        <v>17896.879202944296</v>
      </c>
      <c r="J63" s="13"/>
      <c r="K63" s="13"/>
      <c r="L63" s="13"/>
      <c r="M63" s="13"/>
    </row>
    <row r="64" spans="1:13" x14ac:dyDescent="0.35">
      <c r="B64" t="s">
        <v>140</v>
      </c>
      <c r="C64" s="13">
        <v>2013.7354836606303</v>
      </c>
      <c r="J64" s="13"/>
      <c r="K64" s="13"/>
      <c r="L64" s="13"/>
      <c r="M64" s="13"/>
    </row>
    <row r="65" spans="1:13" x14ac:dyDescent="0.35">
      <c r="B65" t="s">
        <v>142</v>
      </c>
      <c r="C65" s="13">
        <v>65.010157480315002</v>
      </c>
      <c r="J65" s="13"/>
      <c r="K65" s="13"/>
      <c r="L65" s="13"/>
      <c r="M65" s="13"/>
    </row>
    <row r="66" spans="1:13" x14ac:dyDescent="0.35">
      <c r="B66" t="s">
        <v>144</v>
      </c>
      <c r="C66" s="13">
        <v>115669.36597739362</v>
      </c>
      <c r="J66" s="13"/>
      <c r="K66" s="13"/>
      <c r="L66" s="13"/>
      <c r="M66" s="13"/>
    </row>
    <row r="67" spans="1:13" x14ac:dyDescent="0.35">
      <c r="B67" t="s">
        <v>145</v>
      </c>
      <c r="C67" s="13">
        <v>123935.83106393534</v>
      </c>
      <c r="J67" s="13"/>
      <c r="K67" s="13"/>
      <c r="L67" s="13"/>
      <c r="M67" s="13"/>
    </row>
    <row r="68" spans="1:13" x14ac:dyDescent="0.35">
      <c r="B68" t="s">
        <v>146</v>
      </c>
      <c r="C68" s="13">
        <v>81725.199257819462</v>
      </c>
      <c r="J68" s="13"/>
      <c r="K68" s="13"/>
      <c r="L68" s="13"/>
      <c r="M68" s="13"/>
    </row>
    <row r="69" spans="1:13" x14ac:dyDescent="0.35">
      <c r="B69" t="s">
        <v>147</v>
      </c>
      <c r="C69" s="13">
        <v>74356.749473497708</v>
      </c>
      <c r="J69" s="13"/>
      <c r="K69" s="13"/>
      <c r="L69" s="13"/>
      <c r="M69" s="13"/>
    </row>
    <row r="70" spans="1:13" x14ac:dyDescent="0.35">
      <c r="B70" t="s">
        <v>148</v>
      </c>
      <c r="C70" s="13">
        <v>89998.599441915081</v>
      </c>
      <c r="J70" s="13"/>
      <c r="K70" s="13"/>
      <c r="L70" s="13"/>
      <c r="M70" s="13"/>
    </row>
    <row r="71" spans="1:13" x14ac:dyDescent="0.35">
      <c r="B71" t="s">
        <v>149</v>
      </c>
      <c r="C71" s="13">
        <v>32484.900219341827</v>
      </c>
    </row>
    <row r="72" spans="1:13" x14ac:dyDescent="0.35">
      <c r="B72" t="s">
        <v>150</v>
      </c>
      <c r="C72" s="13">
        <v>51887.084078466738</v>
      </c>
    </row>
    <row r="73" spans="1:13" x14ac:dyDescent="0.35">
      <c r="B73" t="s">
        <v>151</v>
      </c>
      <c r="C73" s="13">
        <v>55804.882127596684</v>
      </c>
    </row>
    <row r="74" spans="1:13" x14ac:dyDescent="0.35">
      <c r="A74" t="s">
        <v>156</v>
      </c>
      <c r="C74" s="13">
        <v>647522.29248654877</v>
      </c>
    </row>
    <row r="75" spans="1:13" x14ac:dyDescent="0.35">
      <c r="A75" t="s">
        <v>157</v>
      </c>
      <c r="C75" s="13">
        <v>10400720.193100784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249977111117893"/>
  </sheetPr>
  <dimension ref="A1:F76"/>
  <sheetViews>
    <sheetView topLeftCell="A37" zoomScale="87" zoomScaleNormal="87" workbookViewId="0">
      <selection activeCell="C18" sqref="C18"/>
    </sheetView>
  </sheetViews>
  <sheetFormatPr defaultRowHeight="14.5" x14ac:dyDescent="0.35"/>
  <cols>
    <col min="1" max="1" width="21.453125" customWidth="1"/>
    <col min="2" max="2" width="24.26953125" customWidth="1"/>
    <col min="3" max="3" width="12" bestFit="1" customWidth="1"/>
    <col min="4" max="5" width="12" customWidth="1"/>
    <col min="6" max="6" width="11.36328125" customWidth="1"/>
    <col min="7" max="7" width="12.26953125" customWidth="1"/>
  </cols>
  <sheetData>
    <row r="1" spans="1:6" ht="18.5" x14ac:dyDescent="0.45">
      <c r="A1" s="14" t="s">
        <v>340</v>
      </c>
    </row>
    <row r="3" spans="1:6" x14ac:dyDescent="0.35">
      <c r="A3" s="50" t="s">
        <v>345</v>
      </c>
      <c r="B3" s="41" t="s">
        <v>176</v>
      </c>
      <c r="C3" s="140" t="s">
        <v>344</v>
      </c>
      <c r="D3" s="140" t="s">
        <v>344</v>
      </c>
      <c r="E3" s="140" t="s">
        <v>344</v>
      </c>
      <c r="F3" s="140" t="s">
        <v>344</v>
      </c>
    </row>
    <row r="4" spans="1:6" x14ac:dyDescent="0.35">
      <c r="A4" s="50" t="s">
        <v>346</v>
      </c>
      <c r="B4" t="s">
        <v>303</v>
      </c>
      <c r="C4" s="41" t="s">
        <v>10</v>
      </c>
      <c r="D4" s="41" t="s">
        <v>10</v>
      </c>
      <c r="E4" s="41" t="s">
        <v>86</v>
      </c>
      <c r="F4" s="41" t="s">
        <v>86</v>
      </c>
    </row>
    <row r="5" spans="1:6" x14ac:dyDescent="0.35">
      <c r="A5" s="156" t="s">
        <v>5</v>
      </c>
      <c r="B5" s="156" t="s">
        <v>131</v>
      </c>
      <c r="C5" s="157" t="s">
        <v>341</v>
      </c>
      <c r="D5" s="157" t="s">
        <v>342</v>
      </c>
      <c r="E5" s="157" t="s">
        <v>341</v>
      </c>
      <c r="F5" s="157" t="s">
        <v>342</v>
      </c>
    </row>
    <row r="6" spans="1:6" x14ac:dyDescent="0.35">
      <c r="A6" s="15" t="s">
        <v>133</v>
      </c>
      <c r="B6" s="15" t="s">
        <v>134</v>
      </c>
      <c r="C6" s="13">
        <f>SUMIFS('Rec_raw_catch_effort_2010-2021'!$R:$R,'Rec_raw_catch_effort_2010-2021'!$J:$J,'Data_For_Appx_Table_C-4'!$A6,'Rec_raw_catch_effort_2010-2021'!$L:$L,'Data_For_Appx_Table_C-4'!$B6,'Rec_raw_catch_effort_2010-2021'!$E:$E,'Data_For_Appx_Table_C-4'!$C$4,'Rec_raw_catch_effort_2010-2021'!$S:$S,'Data_For_Appx_Table_C-4'!C$3)</f>
        <v>5453.5974377000102</v>
      </c>
      <c r="D6" s="13">
        <f>SUMIFS('Rec_raw_catch_effort_2010-2021'!$Q:$Q,'Rec_raw_catch_effort_2010-2021'!$J:$J,'Data_For_Appx_Table_C-4'!$A6,'Rec_raw_catch_effort_2010-2021'!$L:$L,'Data_For_Appx_Table_C-4'!$B6,'Rec_raw_catch_effort_2010-2021'!$E:$E,'Data_For_Appx_Table_C-4'!$D$4,'Rec_raw_catch_effort_2010-2021'!$S:$S,'Data_For_Appx_Table_C-4'!D$3)</f>
        <v>5028.4699351451463</v>
      </c>
      <c r="E6" s="13">
        <f>SUMIFS('Rec_raw_catch_effort_2010-2021'!$R:$R,'Rec_raw_catch_effort_2010-2021'!$J:$J,'Data_For_Appx_Table_C-4'!$A6,'Rec_raw_catch_effort_2010-2021'!$L:$L,'Data_For_Appx_Table_C-4'!$B6,'Rec_raw_catch_effort_2010-2021'!$E:$E,'Data_For_Appx_Table_C-4'!$E$4,'Rec_raw_catch_effort_2010-2021'!$S:$S,'Data_For_Appx_Table_C-4'!E$3)</f>
        <v>472.95556354227205</v>
      </c>
      <c r="F6" s="13">
        <f>SUMIFS('Rec_raw_catch_effort_2010-2021'!$Q:$Q,'Rec_raw_catch_effort_2010-2021'!$J:$J,'Data_For_Appx_Table_C-4'!$A6,'Rec_raw_catch_effort_2010-2021'!$L:$L,'Data_For_Appx_Table_C-4'!$B6,'Rec_raw_catch_effort_2010-2021'!$E:$E,'Data_For_Appx_Table_C-4'!$F$4,'Rec_raw_catch_effort_2010-2021'!$S:$S,'Data_For_Appx_Table_C-4'!F$3)</f>
        <v>22.6</v>
      </c>
    </row>
    <row r="7" spans="1:6" x14ac:dyDescent="0.35">
      <c r="A7" s="15" t="s">
        <v>133</v>
      </c>
      <c r="B7" s="15" t="s">
        <v>136</v>
      </c>
      <c r="C7" s="13">
        <f>SUMIFS('Rec_raw_catch_effort_2010-2021'!$R:$R,'Rec_raw_catch_effort_2010-2021'!$J:$J,'Data_For_Appx_Table_C-4'!$A7,'Rec_raw_catch_effort_2010-2021'!$L:$L,'Data_For_Appx_Table_C-4'!$B7,'Rec_raw_catch_effort_2010-2021'!$E:$E,'Data_For_Appx_Table_C-4'!$C$4,'Rec_raw_catch_effort_2010-2021'!$S:$S,'Data_For_Appx_Table_C-4'!C$3)</f>
        <v>9743.7707780352903</v>
      </c>
      <c r="D7" s="13">
        <f>SUMIFS('Rec_raw_catch_effort_2010-2021'!$Q:$Q,'Rec_raw_catch_effort_2010-2021'!$J:$J,'Data_For_Appx_Table_C-4'!$A7,'Rec_raw_catch_effort_2010-2021'!$L:$L,'Data_For_Appx_Table_C-4'!$B7,'Rec_raw_catch_effort_2010-2021'!$E:$E,'Data_For_Appx_Table_C-4'!$D$4,'Rec_raw_catch_effort_2010-2021'!$S:$S,'Data_For_Appx_Table_C-4'!D$3)</f>
        <v>8667.248461605217</v>
      </c>
      <c r="E7" s="13">
        <f>SUMIFS('Rec_raw_catch_effort_2010-2021'!$R:$R,'Rec_raw_catch_effort_2010-2021'!$J:$J,'Data_For_Appx_Table_C-4'!$A7,'Rec_raw_catch_effort_2010-2021'!$L:$L,'Data_For_Appx_Table_C-4'!$B7,'Rec_raw_catch_effort_2010-2021'!$E:$E,'Data_For_Appx_Table_C-4'!$E$4,'Rec_raw_catch_effort_2010-2021'!$S:$S,'Data_For_Appx_Table_C-4'!E$3)</f>
        <v>305.76375630827567</v>
      </c>
      <c r="F7" s="13">
        <f>SUMIFS('Rec_raw_catch_effort_2010-2021'!$Q:$Q,'Rec_raw_catch_effort_2010-2021'!$J:$J,'Data_For_Appx_Table_C-4'!$A7,'Rec_raw_catch_effort_2010-2021'!$L:$L,'Data_For_Appx_Table_C-4'!$B7,'Rec_raw_catch_effort_2010-2021'!$E:$E,'Data_For_Appx_Table_C-4'!$F$4,'Rec_raw_catch_effort_2010-2021'!$S:$S,'Data_For_Appx_Table_C-4'!F$3)</f>
        <v>14.61080368906455</v>
      </c>
    </row>
    <row r="8" spans="1:6" x14ac:dyDescent="0.35">
      <c r="A8" s="15" t="s">
        <v>133</v>
      </c>
      <c r="B8" s="15" t="s">
        <v>138</v>
      </c>
      <c r="C8" s="13">
        <f>SUMIFS('Rec_raw_catch_effort_2010-2021'!$R:$R,'Rec_raw_catch_effort_2010-2021'!$J:$J,'Data_For_Appx_Table_C-4'!$A8,'Rec_raw_catch_effort_2010-2021'!$L:$L,'Data_For_Appx_Table_C-4'!$B8,'Rec_raw_catch_effort_2010-2021'!$E:$E,'Data_For_Appx_Table_C-4'!$C$4,'Rec_raw_catch_effort_2010-2021'!$S:$S,'Data_For_Appx_Table_C-4'!C$3)</f>
        <v>30804.992025759355</v>
      </c>
      <c r="D8" s="13">
        <f>SUMIFS('Rec_raw_catch_effort_2010-2021'!$Q:$Q,'Rec_raw_catch_effort_2010-2021'!$J:$J,'Data_For_Appx_Table_C-4'!$A8,'Rec_raw_catch_effort_2010-2021'!$L:$L,'Data_For_Appx_Table_C-4'!$B8,'Rec_raw_catch_effort_2010-2021'!$E:$E,'Data_For_Appx_Table_C-4'!$D$4,'Rec_raw_catch_effort_2010-2021'!$S:$S,'Data_For_Appx_Table_C-4'!D$3)</f>
        <v>28867.703123912404</v>
      </c>
      <c r="E8" s="13">
        <f>SUMIFS('Rec_raw_catch_effort_2010-2021'!$R:$R,'Rec_raw_catch_effort_2010-2021'!$J:$J,'Data_For_Appx_Table_C-4'!$A8,'Rec_raw_catch_effort_2010-2021'!$L:$L,'Data_For_Appx_Table_C-4'!$B8,'Rec_raw_catch_effort_2010-2021'!$E:$E,'Data_For_Appx_Table_C-4'!$E$4,'Rec_raw_catch_effort_2010-2021'!$S:$S,'Data_For_Appx_Table_C-4'!E$3)</f>
        <v>733.01470532258099</v>
      </c>
      <c r="F8" s="13">
        <f>SUMIFS('Rec_raw_catch_effort_2010-2021'!$Q:$Q,'Rec_raw_catch_effort_2010-2021'!$J:$J,'Data_For_Appx_Table_C-4'!$A8,'Rec_raw_catch_effort_2010-2021'!$L:$L,'Data_For_Appx_Table_C-4'!$B8,'Rec_raw_catch_effort_2010-2021'!$E:$E,'Data_For_Appx_Table_C-4'!$F$4,'Rec_raw_catch_effort_2010-2021'!$S:$S,'Data_For_Appx_Table_C-4'!F$3)</f>
        <v>35.026826233347975</v>
      </c>
    </row>
    <row r="9" spans="1:6" x14ac:dyDescent="0.35">
      <c r="A9" s="15" t="s">
        <v>133</v>
      </c>
      <c r="B9" s="15" t="s">
        <v>140</v>
      </c>
      <c r="C9" s="13">
        <f>SUMIFS('Rec_raw_catch_effort_2010-2021'!$R:$R,'Rec_raw_catch_effort_2010-2021'!$J:$J,'Data_For_Appx_Table_C-4'!$A9,'Rec_raw_catch_effort_2010-2021'!$L:$L,'Data_For_Appx_Table_C-4'!$B9,'Rec_raw_catch_effort_2010-2021'!$E:$E,'Data_For_Appx_Table_C-4'!$C$4,'Rec_raw_catch_effort_2010-2021'!$S:$S,'Data_For_Appx_Table_C-4'!C$3)</f>
        <v>16476.720227526686</v>
      </c>
      <c r="D9" s="13">
        <f>SUMIFS('Rec_raw_catch_effort_2010-2021'!$Q:$Q,'Rec_raw_catch_effort_2010-2021'!$J:$J,'Data_For_Appx_Table_C-4'!$A9,'Rec_raw_catch_effort_2010-2021'!$L:$L,'Data_For_Appx_Table_C-4'!$B9,'Rec_raw_catch_effort_2010-2021'!$E:$E,'Data_For_Appx_Table_C-4'!$D$4,'Rec_raw_catch_effort_2010-2021'!$S:$S,'Data_For_Appx_Table_C-4'!D$3)</f>
        <v>15469.593601106353</v>
      </c>
      <c r="E9" s="13">
        <f>SUMIFS('Rec_raw_catch_effort_2010-2021'!$R:$R,'Rec_raw_catch_effort_2010-2021'!$J:$J,'Data_For_Appx_Table_C-4'!$A9,'Rec_raw_catch_effort_2010-2021'!$L:$L,'Data_For_Appx_Table_C-4'!$B9,'Rec_raw_catch_effort_2010-2021'!$E:$E,'Data_For_Appx_Table_C-4'!$E$4,'Rec_raw_catch_effort_2010-2021'!$S:$S,'Data_For_Appx_Table_C-4'!E$3)</f>
        <v>1300.0456834065687</v>
      </c>
      <c r="F9" s="13">
        <f>SUMIFS('Rec_raw_catch_effort_2010-2021'!$Q:$Q,'Rec_raw_catch_effort_2010-2021'!$J:$J,'Data_For_Appx_Table_C-4'!$A9,'Rec_raw_catch_effort_2010-2021'!$L:$L,'Data_For_Appx_Table_C-4'!$B9,'Rec_raw_catch_effort_2010-2021'!$E:$E,'Data_For_Appx_Table_C-4'!$F$4,'Rec_raw_catch_effort_2010-2021'!$S:$S,'Data_For_Appx_Table_C-4'!F$3)</f>
        <v>62.122183794466402</v>
      </c>
    </row>
    <row r="10" spans="1:6" x14ac:dyDescent="0.35">
      <c r="A10" s="15" t="s">
        <v>133</v>
      </c>
      <c r="B10" s="15" t="s">
        <v>142</v>
      </c>
      <c r="C10" s="13">
        <f>SUMIFS('Rec_raw_catch_effort_2010-2021'!$R:$R,'Rec_raw_catch_effort_2010-2021'!$J:$J,'Data_For_Appx_Table_C-4'!$A10,'Rec_raw_catch_effort_2010-2021'!$L:$L,'Data_For_Appx_Table_C-4'!$B10,'Rec_raw_catch_effort_2010-2021'!$E:$E,'Data_For_Appx_Table_C-4'!$C$4,'Rec_raw_catch_effort_2010-2021'!$S:$S,'Data_For_Appx_Table_C-4'!C$3)</f>
        <v>432.45753853181066</v>
      </c>
      <c r="D10" s="13">
        <f>SUMIFS('Rec_raw_catch_effort_2010-2021'!$Q:$Q,'Rec_raw_catch_effort_2010-2021'!$J:$J,'Data_For_Appx_Table_C-4'!$A10,'Rec_raw_catch_effort_2010-2021'!$L:$L,'Data_For_Appx_Table_C-4'!$B10,'Rec_raw_catch_effort_2010-2021'!$E:$E,'Data_For_Appx_Table_C-4'!$D$4,'Rec_raw_catch_effort_2010-2021'!$S:$S,'Data_For_Appx_Table_C-4'!D$3)</f>
        <v>374.12183197047239</v>
      </c>
      <c r="E10" s="13">
        <f>SUMIFS('Rec_raw_catch_effort_2010-2021'!$R:$R,'Rec_raw_catch_effort_2010-2021'!$J:$J,'Data_For_Appx_Table_C-4'!$A10,'Rec_raw_catch_effort_2010-2021'!$L:$L,'Data_For_Appx_Table_C-4'!$B10,'Rec_raw_catch_effort_2010-2021'!$E:$E,'Data_For_Appx_Table_C-4'!$E$4,'Rec_raw_catch_effort_2010-2021'!$S:$S,'Data_For_Appx_Table_C-4'!E$3)</f>
        <v>0</v>
      </c>
      <c r="F10" s="13">
        <f>SUMIFS('Rec_raw_catch_effort_2010-2021'!$Q:$Q,'Rec_raw_catch_effort_2010-2021'!$J:$J,'Data_For_Appx_Table_C-4'!$A10,'Rec_raw_catch_effort_2010-2021'!$L:$L,'Data_For_Appx_Table_C-4'!$B10,'Rec_raw_catch_effort_2010-2021'!$E:$E,'Data_For_Appx_Table_C-4'!$F$4,'Rec_raw_catch_effort_2010-2021'!$S:$S,'Data_For_Appx_Table_C-4'!F$3)</f>
        <v>0</v>
      </c>
    </row>
    <row r="11" spans="1:6" x14ac:dyDescent="0.35">
      <c r="A11" s="15" t="s">
        <v>133</v>
      </c>
      <c r="B11" s="15" t="s">
        <v>144</v>
      </c>
      <c r="C11" s="13">
        <f>SUMIFS('Rec_raw_catch_effort_2010-2021'!$R:$R,'Rec_raw_catch_effort_2010-2021'!$J:$J,'Data_For_Appx_Table_C-4'!$A11,'Rec_raw_catch_effort_2010-2021'!$L:$L,'Data_For_Appx_Table_C-4'!$B11,'Rec_raw_catch_effort_2010-2021'!$E:$E,'Data_For_Appx_Table_C-4'!$C$4,'Rec_raw_catch_effort_2010-2021'!$S:$S,'Data_For_Appx_Table_C-4'!C$3)</f>
        <v>77361.236896785864</v>
      </c>
      <c r="D11" s="13">
        <f>SUMIFS('Rec_raw_catch_effort_2010-2021'!$Q:$Q,'Rec_raw_catch_effort_2010-2021'!$J:$J,'Data_For_Appx_Table_C-4'!$A11,'Rec_raw_catch_effort_2010-2021'!$L:$L,'Data_For_Appx_Table_C-4'!$B11,'Rec_raw_catch_effort_2010-2021'!$E:$E,'Data_For_Appx_Table_C-4'!$D$4,'Rec_raw_catch_effort_2010-2021'!$S:$S,'Data_For_Appx_Table_C-4'!D$3)</f>
        <v>74833.850819941028</v>
      </c>
      <c r="E11" s="13">
        <f>SUMIFS('Rec_raw_catch_effort_2010-2021'!$R:$R,'Rec_raw_catch_effort_2010-2021'!$J:$J,'Data_For_Appx_Table_C-4'!$A11,'Rec_raw_catch_effort_2010-2021'!$L:$L,'Data_For_Appx_Table_C-4'!$B11,'Rec_raw_catch_effort_2010-2021'!$E:$E,'Data_For_Appx_Table_C-4'!$E$4,'Rec_raw_catch_effort_2010-2021'!$S:$S,'Data_For_Appx_Table_C-4'!E$3)</f>
        <v>2273.6446829549068</v>
      </c>
      <c r="F11" s="13">
        <f>SUMIFS('Rec_raw_catch_effort_2010-2021'!$Q:$Q,'Rec_raw_catch_effort_2010-2021'!$J:$J,'Data_For_Appx_Table_C-4'!$A11,'Rec_raw_catch_effort_2010-2021'!$L:$L,'Data_For_Appx_Table_C-4'!$B11,'Rec_raw_catch_effort_2010-2021'!$E:$E,'Data_For_Appx_Table_C-4'!$F$4,'Rec_raw_catch_effort_2010-2021'!$S:$S,'Data_For_Appx_Table_C-4'!F$3)</f>
        <v>108.64523814865376</v>
      </c>
    </row>
    <row r="12" spans="1:6" x14ac:dyDescent="0.35">
      <c r="A12" s="15" t="s">
        <v>133</v>
      </c>
      <c r="B12" s="15" t="s">
        <v>145</v>
      </c>
      <c r="C12" s="13">
        <f>SUMIFS('Rec_raw_catch_effort_2010-2021'!$R:$R,'Rec_raw_catch_effort_2010-2021'!$J:$J,'Data_For_Appx_Table_C-4'!$A12,'Rec_raw_catch_effort_2010-2021'!$L:$L,'Data_For_Appx_Table_C-4'!$B12,'Rec_raw_catch_effort_2010-2021'!$E:$E,'Data_For_Appx_Table_C-4'!$C$4,'Rec_raw_catch_effort_2010-2021'!$S:$S,'Data_For_Appx_Table_C-4'!C$3)</f>
        <v>80761.959816906994</v>
      </c>
      <c r="D12" s="13">
        <f>SUMIFS('Rec_raw_catch_effort_2010-2021'!$Q:$Q,'Rec_raw_catch_effort_2010-2021'!$J:$J,'Data_For_Appx_Table_C-4'!$A12,'Rec_raw_catch_effort_2010-2021'!$L:$L,'Data_For_Appx_Table_C-4'!$B12,'Rec_raw_catch_effort_2010-2021'!$E:$E,'Data_For_Appx_Table_C-4'!$D$4,'Rec_raw_catch_effort_2010-2021'!$S:$S,'Data_For_Appx_Table_C-4'!D$3)</f>
        <v>77043.788286800336</v>
      </c>
      <c r="E12" s="13">
        <f>SUMIFS('Rec_raw_catch_effort_2010-2021'!$R:$R,'Rec_raw_catch_effort_2010-2021'!$J:$J,'Data_For_Appx_Table_C-4'!$A12,'Rec_raw_catch_effort_2010-2021'!$L:$L,'Data_For_Appx_Table_C-4'!$B12,'Rec_raw_catch_effort_2010-2021'!$E:$E,'Data_For_Appx_Table_C-4'!$E$4,'Rec_raw_catch_effort_2010-2021'!$S:$S,'Data_For_Appx_Table_C-4'!E$3)</f>
        <v>4144.2758666844684</v>
      </c>
      <c r="F12" s="13">
        <f>SUMIFS('Rec_raw_catch_effort_2010-2021'!$Q:$Q,'Rec_raw_catch_effort_2010-2021'!$J:$J,'Data_For_Appx_Table_C-4'!$A12,'Rec_raw_catch_effort_2010-2021'!$L:$L,'Data_For_Appx_Table_C-4'!$B12,'Rec_raw_catch_effort_2010-2021'!$E:$E,'Data_For_Appx_Table_C-4'!$F$4,'Rec_raw_catch_effort_2010-2021'!$S:$S,'Data_For_Appx_Table_C-4'!F$3)</f>
        <v>198.03263098457609</v>
      </c>
    </row>
    <row r="13" spans="1:6" x14ac:dyDescent="0.35">
      <c r="A13" s="15" t="s">
        <v>133</v>
      </c>
      <c r="B13" s="15" t="s">
        <v>146</v>
      </c>
      <c r="C13" s="13">
        <f>SUMIFS('Rec_raw_catch_effort_2010-2021'!$R:$R,'Rec_raw_catch_effort_2010-2021'!$J:$J,'Data_For_Appx_Table_C-4'!$A13,'Rec_raw_catch_effort_2010-2021'!$L:$L,'Data_For_Appx_Table_C-4'!$B13,'Rec_raw_catch_effort_2010-2021'!$E:$E,'Data_For_Appx_Table_C-4'!$C$4,'Rec_raw_catch_effort_2010-2021'!$S:$S,'Data_For_Appx_Table_C-4'!C$3)</f>
        <v>23846.069553047862</v>
      </c>
      <c r="D13" s="13">
        <f>SUMIFS('Rec_raw_catch_effort_2010-2021'!$Q:$Q,'Rec_raw_catch_effort_2010-2021'!$J:$J,'Data_For_Appx_Table_C-4'!$A13,'Rec_raw_catch_effort_2010-2021'!$L:$L,'Data_For_Appx_Table_C-4'!$B13,'Rec_raw_catch_effort_2010-2021'!$E:$E,'Data_For_Appx_Table_C-4'!$D$4,'Rec_raw_catch_effort_2010-2021'!$S:$S,'Data_For_Appx_Table_C-4'!D$3)</f>
        <v>23277.7592272455</v>
      </c>
      <c r="E13" s="13">
        <f>SUMIFS('Rec_raw_catch_effort_2010-2021'!$R:$R,'Rec_raw_catch_effort_2010-2021'!$J:$J,'Data_For_Appx_Table_C-4'!$A13,'Rec_raw_catch_effort_2010-2021'!$L:$L,'Data_For_Appx_Table_C-4'!$B13,'Rec_raw_catch_effort_2010-2021'!$E:$E,'Data_For_Appx_Table_C-4'!$E$4,'Rec_raw_catch_effort_2010-2021'!$S:$S,'Data_For_Appx_Table_C-4'!E$3)</f>
        <v>256.31526742351582</v>
      </c>
      <c r="F13" s="13">
        <f>SUMIFS('Rec_raw_catch_effort_2010-2021'!$Q:$Q,'Rec_raw_catch_effort_2010-2021'!$J:$J,'Data_For_Appx_Table_C-4'!$A13,'Rec_raw_catch_effort_2010-2021'!$L:$L,'Data_For_Appx_Table_C-4'!$B13,'Rec_raw_catch_effort_2010-2021'!$E:$E,'Data_For_Appx_Table_C-4'!$F$4,'Rec_raw_catch_effort_2010-2021'!$S:$S,'Data_For_Appx_Table_C-4'!F$3)</f>
        <v>12.247926634768751</v>
      </c>
    </row>
    <row r="14" spans="1:6" x14ac:dyDescent="0.35">
      <c r="A14" s="15" t="s">
        <v>133</v>
      </c>
      <c r="B14" s="15" t="s">
        <v>147</v>
      </c>
      <c r="C14" s="13">
        <f>SUMIFS('Rec_raw_catch_effort_2010-2021'!$R:$R,'Rec_raw_catch_effort_2010-2021'!$J:$J,'Data_For_Appx_Table_C-4'!$A14,'Rec_raw_catch_effort_2010-2021'!$L:$L,'Data_For_Appx_Table_C-4'!$B14,'Rec_raw_catch_effort_2010-2021'!$E:$E,'Data_For_Appx_Table_C-4'!$C$4,'Rec_raw_catch_effort_2010-2021'!$S:$S,'Data_For_Appx_Table_C-4'!C$3)</f>
        <v>15922.198292175941</v>
      </c>
      <c r="D14" s="13">
        <f>SUMIFS('Rec_raw_catch_effort_2010-2021'!$Q:$Q,'Rec_raw_catch_effort_2010-2021'!$J:$J,'Data_For_Appx_Table_C-4'!$A14,'Rec_raw_catch_effort_2010-2021'!$L:$L,'Data_For_Appx_Table_C-4'!$B14,'Rec_raw_catch_effort_2010-2021'!$E:$E,'Data_For_Appx_Table_C-4'!$D$4,'Rec_raw_catch_effort_2010-2021'!$S:$S,'Data_For_Appx_Table_C-4'!D$3)</f>
        <v>16352.972151319773</v>
      </c>
      <c r="E14" s="13">
        <f>SUMIFS('Rec_raw_catch_effort_2010-2021'!$R:$R,'Rec_raw_catch_effort_2010-2021'!$J:$J,'Data_For_Appx_Table_C-4'!$A14,'Rec_raw_catch_effort_2010-2021'!$L:$L,'Data_For_Appx_Table_C-4'!$B14,'Rec_raw_catch_effort_2010-2021'!$E:$E,'Data_For_Appx_Table_C-4'!$E$4,'Rec_raw_catch_effort_2010-2021'!$S:$S,'Data_For_Appx_Table_C-4'!E$3)</f>
        <v>564.19831827874577</v>
      </c>
      <c r="F14" s="13">
        <f>SUMIFS('Rec_raw_catch_effort_2010-2021'!$Q:$Q,'Rec_raw_catch_effort_2010-2021'!$J:$J,'Data_For_Appx_Table_C-4'!$A14,'Rec_raw_catch_effort_2010-2021'!$L:$L,'Data_For_Appx_Table_C-4'!$B14,'Rec_raw_catch_effort_2010-2021'!$E:$E,'Data_For_Appx_Table_C-4'!$F$4,'Rec_raw_catch_effort_2010-2021'!$S:$S,'Data_For_Appx_Table_C-4'!F$3)</f>
        <v>26.96</v>
      </c>
    </row>
    <row r="15" spans="1:6" x14ac:dyDescent="0.35">
      <c r="A15" s="15" t="s">
        <v>133</v>
      </c>
      <c r="B15" s="15" t="s">
        <v>148</v>
      </c>
      <c r="C15" s="13">
        <f>SUMIFS('Rec_raw_catch_effort_2010-2021'!$R:$R,'Rec_raw_catch_effort_2010-2021'!$J:$J,'Data_For_Appx_Table_C-4'!$A15,'Rec_raw_catch_effort_2010-2021'!$L:$L,'Data_For_Appx_Table_C-4'!$B15,'Rec_raw_catch_effort_2010-2021'!$E:$E,'Data_For_Appx_Table_C-4'!$C$4,'Rec_raw_catch_effort_2010-2021'!$S:$S,'Data_For_Appx_Table_C-4'!C$3)</f>
        <v>51420.96226866333</v>
      </c>
      <c r="D15" s="13">
        <f>SUMIFS('Rec_raw_catch_effort_2010-2021'!$Q:$Q,'Rec_raw_catch_effort_2010-2021'!$J:$J,'Data_For_Appx_Table_C-4'!$A15,'Rec_raw_catch_effort_2010-2021'!$L:$L,'Data_For_Appx_Table_C-4'!$B15,'Rec_raw_catch_effort_2010-2021'!$E:$E,'Data_For_Appx_Table_C-4'!$D$4,'Rec_raw_catch_effort_2010-2021'!$S:$S,'Data_For_Appx_Table_C-4'!D$3)</f>
        <v>47788.702659954972</v>
      </c>
      <c r="E15" s="13">
        <f>SUMIFS('Rec_raw_catch_effort_2010-2021'!$R:$R,'Rec_raw_catch_effort_2010-2021'!$J:$J,'Data_For_Appx_Table_C-4'!$A15,'Rec_raw_catch_effort_2010-2021'!$L:$L,'Data_For_Appx_Table_C-4'!$B15,'Rec_raw_catch_effort_2010-2021'!$E:$E,'Data_For_Appx_Table_C-4'!$E$4,'Rec_raw_catch_effort_2010-2021'!$S:$S,'Data_For_Appx_Table_C-4'!E$3)</f>
        <v>874.21775907606741</v>
      </c>
      <c r="F15" s="13">
        <f>SUMIFS('Rec_raw_catch_effort_2010-2021'!$Q:$Q,'Rec_raw_catch_effort_2010-2021'!$J:$J,'Data_For_Appx_Table_C-4'!$A15,'Rec_raw_catch_effort_2010-2021'!$L:$L,'Data_For_Appx_Table_C-4'!$B15,'Rec_raw_catch_effort_2010-2021'!$E:$E,'Data_For_Appx_Table_C-4'!$F$4,'Rec_raw_catch_effort_2010-2021'!$S:$S,'Data_For_Appx_Table_C-4'!F$3)</f>
        <v>41.774159938290374</v>
      </c>
    </row>
    <row r="16" spans="1:6" x14ac:dyDescent="0.35">
      <c r="A16" s="15" t="s">
        <v>133</v>
      </c>
      <c r="B16" s="15" t="s">
        <v>149</v>
      </c>
      <c r="C16" s="13">
        <f>SUMIFS('Rec_raw_catch_effort_2010-2021'!$R:$R,'Rec_raw_catch_effort_2010-2021'!$J:$J,'Data_For_Appx_Table_C-4'!$A16,'Rec_raw_catch_effort_2010-2021'!$L:$L,'Data_For_Appx_Table_C-4'!$B16,'Rec_raw_catch_effort_2010-2021'!$E:$E,'Data_For_Appx_Table_C-4'!$C$4,'Rec_raw_catch_effort_2010-2021'!$S:$S,'Data_For_Appx_Table_C-4'!C$3)</f>
        <v>224198.39107379364</v>
      </c>
      <c r="D16" s="13">
        <f>SUMIFS('Rec_raw_catch_effort_2010-2021'!$Q:$Q,'Rec_raw_catch_effort_2010-2021'!$J:$J,'Data_For_Appx_Table_C-4'!$A16,'Rec_raw_catch_effort_2010-2021'!$L:$L,'Data_For_Appx_Table_C-4'!$B16,'Rec_raw_catch_effort_2010-2021'!$E:$E,'Data_For_Appx_Table_C-4'!$D$4,'Rec_raw_catch_effort_2010-2021'!$S:$S,'Data_For_Appx_Table_C-4'!D$3)</f>
        <v>166712.91029740803</v>
      </c>
      <c r="E16" s="13">
        <f>SUMIFS('Rec_raw_catch_effort_2010-2021'!$R:$R,'Rec_raw_catch_effort_2010-2021'!$J:$J,'Data_For_Appx_Table_C-4'!$A16,'Rec_raw_catch_effort_2010-2021'!$L:$L,'Data_For_Appx_Table_C-4'!$B16,'Rec_raw_catch_effort_2010-2021'!$E:$E,'Data_For_Appx_Table_C-4'!$E$4,'Rec_raw_catch_effort_2010-2021'!$S:$S,'Data_For_Appx_Table_C-4'!E$3)</f>
        <v>40544.293814288947</v>
      </c>
      <c r="F16" s="13">
        <f>SUMIFS('Rec_raw_catch_effort_2010-2021'!$Q:$Q,'Rec_raw_catch_effort_2010-2021'!$J:$J,'Data_For_Appx_Table_C-4'!$A16,'Rec_raw_catch_effort_2010-2021'!$L:$L,'Data_For_Appx_Table_C-4'!$B16,'Rec_raw_catch_effort_2010-2021'!$E:$E,'Data_For_Appx_Table_C-4'!$F$4,'Rec_raw_catch_effort_2010-2021'!$S:$S,'Data_For_Appx_Table_C-4'!F$3)</f>
        <v>1937.3935118558607</v>
      </c>
    </row>
    <row r="17" spans="1:6" x14ac:dyDescent="0.35">
      <c r="A17" s="15" t="s">
        <v>133</v>
      </c>
      <c r="B17" s="15" t="s">
        <v>150</v>
      </c>
      <c r="C17" s="13">
        <f>SUMIFS('Rec_raw_catch_effort_2010-2021'!$R:$R,'Rec_raw_catch_effort_2010-2021'!$J:$J,'Data_For_Appx_Table_C-4'!$A17,'Rec_raw_catch_effort_2010-2021'!$L:$L,'Data_For_Appx_Table_C-4'!$B17,'Rec_raw_catch_effort_2010-2021'!$E:$E,'Data_For_Appx_Table_C-4'!$C$4,'Rec_raw_catch_effort_2010-2021'!$S:$S,'Data_For_Appx_Table_C-4'!C$3)</f>
        <v>18093.619618379522</v>
      </c>
      <c r="D17" s="13">
        <f>SUMIFS('Rec_raw_catch_effort_2010-2021'!$Q:$Q,'Rec_raw_catch_effort_2010-2021'!$J:$J,'Data_For_Appx_Table_C-4'!$A17,'Rec_raw_catch_effort_2010-2021'!$L:$L,'Data_For_Appx_Table_C-4'!$B17,'Rec_raw_catch_effort_2010-2021'!$E:$E,'Data_For_Appx_Table_C-4'!$D$4,'Rec_raw_catch_effort_2010-2021'!$S:$S,'Data_For_Appx_Table_C-4'!D$3)</f>
        <v>14133.997164341254</v>
      </c>
      <c r="E17" s="13">
        <f>SUMIFS('Rec_raw_catch_effort_2010-2021'!$R:$R,'Rec_raw_catch_effort_2010-2021'!$J:$J,'Data_For_Appx_Table_C-4'!$A17,'Rec_raw_catch_effort_2010-2021'!$L:$L,'Data_For_Appx_Table_C-4'!$B17,'Rec_raw_catch_effort_2010-2021'!$E:$E,'Data_For_Appx_Table_C-4'!$E$4,'Rec_raw_catch_effort_2010-2021'!$S:$S,'Data_For_Appx_Table_C-4'!E$3)</f>
        <v>846.28818331678144</v>
      </c>
      <c r="F17" s="13">
        <f>SUMIFS('Rec_raw_catch_effort_2010-2021'!$Q:$Q,'Rec_raw_catch_effort_2010-2021'!$J:$J,'Data_For_Appx_Table_C-4'!$A17,'Rec_raw_catch_effort_2010-2021'!$L:$L,'Data_For_Appx_Table_C-4'!$B17,'Rec_raw_catch_effort_2010-2021'!$E:$E,'Data_For_Appx_Table_C-4'!$F$4,'Rec_raw_catch_effort_2010-2021'!$S:$S,'Data_For_Appx_Table_C-4'!F$3)</f>
        <v>40.439555884936318</v>
      </c>
    </row>
    <row r="18" spans="1:6" x14ac:dyDescent="0.35">
      <c r="A18" s="15" t="s">
        <v>133</v>
      </c>
      <c r="B18" s="15" t="s">
        <v>151</v>
      </c>
      <c r="C18" s="13">
        <f>SUMIFS('Rec_raw_catch_effort_2010-2021'!$R:$R,'Rec_raw_catch_effort_2010-2021'!$J:$J,'Data_For_Appx_Table_C-4'!$A18,'Rec_raw_catch_effort_2010-2021'!$L:$L,'Data_For_Appx_Table_C-4'!$B18,'Rec_raw_catch_effort_2010-2021'!$E:$E,'Data_For_Appx_Table_C-4'!$C$4,'Rec_raw_catch_effort_2010-2021'!$S:$S,'Data_For_Appx_Table_C-4'!C$3)</f>
        <v>124703.95681698823</v>
      </c>
      <c r="D18" s="13">
        <f>SUMIFS('Rec_raw_catch_effort_2010-2021'!$Q:$Q,'Rec_raw_catch_effort_2010-2021'!$J:$J,'Data_For_Appx_Table_C-4'!$A18,'Rec_raw_catch_effort_2010-2021'!$L:$L,'Data_For_Appx_Table_C-4'!$B18,'Rec_raw_catch_effort_2010-2021'!$E:$E,'Data_For_Appx_Table_C-4'!$D$4,'Rec_raw_catch_effort_2010-2021'!$S:$S,'Data_For_Appx_Table_C-4'!D$3)</f>
        <v>118568.35063119839</v>
      </c>
      <c r="E18" s="13">
        <f>SUMIFS('Rec_raw_catch_effort_2010-2021'!$R:$R,'Rec_raw_catch_effort_2010-2021'!$J:$J,'Data_For_Appx_Table_C-4'!$A18,'Rec_raw_catch_effort_2010-2021'!$L:$L,'Data_For_Appx_Table_C-4'!$B18,'Rec_raw_catch_effort_2010-2021'!$E:$E,'Data_For_Appx_Table_C-4'!$E$4,'Rec_raw_catch_effort_2010-2021'!$S:$S,'Data_For_Appx_Table_C-4'!E$3)</f>
        <v>1943.6407403485255</v>
      </c>
      <c r="F18" s="13">
        <f>SUMIFS('Rec_raw_catch_effort_2010-2021'!$Q:$Q,'Rec_raw_catch_effort_2010-2021'!$J:$J,'Data_For_Appx_Table_C-4'!$A18,'Rec_raw_catch_effort_2010-2021'!$L:$L,'Data_For_Appx_Table_C-4'!$B18,'Rec_raw_catch_effort_2010-2021'!$E:$E,'Data_For_Appx_Table_C-4'!$F$4,'Rec_raw_catch_effort_2010-2021'!$S:$S,'Data_For_Appx_Table_C-4'!F$3)</f>
        <v>92.876126464998464</v>
      </c>
    </row>
    <row r="19" spans="1:6" x14ac:dyDescent="0.35">
      <c r="A19" s="15" t="s">
        <v>152</v>
      </c>
      <c r="B19" s="15"/>
      <c r="C19" s="39">
        <f>SUM(C6:C18)</f>
        <v>679219.9323442945</v>
      </c>
      <c r="D19" s="39">
        <f>SUM(D6:D18)</f>
        <v>597119.46819194884</v>
      </c>
      <c r="E19" s="39">
        <f>SUM(E6:E18)</f>
        <v>54258.65434095166</v>
      </c>
      <c r="F19" s="39">
        <f>SUM(F6:F18)</f>
        <v>2592.7289636289634</v>
      </c>
    </row>
    <row r="20" spans="1:6" x14ac:dyDescent="0.35">
      <c r="A20" s="15" t="s">
        <v>135</v>
      </c>
      <c r="B20" s="15" t="s">
        <v>134</v>
      </c>
      <c r="C20" s="13">
        <f>SUMIFS('Rec_raw_catch_effort_2010-2021'!$R:$R,'Rec_raw_catch_effort_2010-2021'!$J:$J,'Data_For_Appx_Table_C-4'!$A20,'Rec_raw_catch_effort_2010-2021'!$L:$L,'Data_For_Appx_Table_C-4'!$B20,'Rec_raw_catch_effort_2010-2021'!$E:$E,'Data_For_Appx_Table_C-4'!$C$4,'Rec_raw_catch_effort_2010-2021'!$S:$S,'Data_For_Appx_Table_C-4'!C$3)</f>
        <v>326657.48040029017</v>
      </c>
      <c r="D20" s="13">
        <f>SUMIFS('Rec_raw_catch_effort_2010-2021'!$Q:$Q,'Rec_raw_catch_effort_2010-2021'!$J:$J,'Data_For_Appx_Table_C-4'!$A20,'Rec_raw_catch_effort_2010-2021'!$L:$L,'Data_For_Appx_Table_C-4'!$B20,'Rec_raw_catch_effort_2010-2021'!$E:$E,'Data_For_Appx_Table_C-4'!$D$4,'Rec_raw_catch_effort_2010-2021'!$S:$S,'Data_For_Appx_Table_C-4'!D$3)</f>
        <v>88795.036942868464</v>
      </c>
      <c r="E20" s="13">
        <f>SUMIFS('Rec_raw_catch_effort_2010-2021'!$R:$R,'Rec_raw_catch_effort_2010-2021'!$J:$J,'Data_For_Appx_Table_C-4'!$A20,'Rec_raw_catch_effort_2010-2021'!$L:$L,'Data_For_Appx_Table_C-4'!$B20,'Rec_raw_catch_effort_2010-2021'!$E:$E,'Data_For_Appx_Table_C-4'!$E$4,'Rec_raw_catch_effort_2010-2021'!$S:$S,'Data_For_Appx_Table_C-4'!E$3)</f>
        <v>24877.660890164007</v>
      </c>
      <c r="F20" s="13">
        <f>SUMIFS('Rec_raw_catch_effort_2010-2021'!$Q:$Q,'Rec_raw_catch_effort_2010-2021'!$J:$J,'Data_For_Appx_Table_C-4'!$A20,'Rec_raw_catch_effort_2010-2021'!$L:$L,'Data_For_Appx_Table_C-4'!$B20,'Rec_raw_catch_effort_2010-2021'!$E:$E,'Data_For_Appx_Table_C-4'!$F$4,'Rec_raw_catch_effort_2010-2021'!$S:$S,'Data_For_Appx_Table_C-4'!F$3)</f>
        <v>1188.7694731969359</v>
      </c>
    </row>
    <row r="21" spans="1:6" x14ac:dyDescent="0.35">
      <c r="A21" s="15" t="s">
        <v>135</v>
      </c>
      <c r="B21" s="15" t="s">
        <v>136</v>
      </c>
      <c r="C21" s="13">
        <f>SUMIFS('Rec_raw_catch_effort_2010-2021'!$R:$R,'Rec_raw_catch_effort_2010-2021'!$J:$J,'Data_For_Appx_Table_C-4'!$A21,'Rec_raw_catch_effort_2010-2021'!$L:$L,'Data_For_Appx_Table_C-4'!$B21,'Rec_raw_catch_effort_2010-2021'!$E:$E,'Data_For_Appx_Table_C-4'!$C$4,'Rec_raw_catch_effort_2010-2021'!$S:$S,'Data_For_Appx_Table_C-4'!C$3)</f>
        <v>264835.31100065901</v>
      </c>
      <c r="D21" s="13">
        <f>SUMIFS('Rec_raw_catch_effort_2010-2021'!$Q:$Q,'Rec_raw_catch_effort_2010-2021'!$J:$J,'Data_For_Appx_Table_C-4'!$A21,'Rec_raw_catch_effort_2010-2021'!$L:$L,'Data_For_Appx_Table_C-4'!$B21,'Rec_raw_catch_effort_2010-2021'!$E:$E,'Data_For_Appx_Table_C-4'!$D$4,'Rec_raw_catch_effort_2010-2021'!$S:$S,'Data_For_Appx_Table_C-4'!D$3)</f>
        <v>76213.972891489218</v>
      </c>
      <c r="E21" s="13">
        <f>SUMIFS('Rec_raw_catch_effort_2010-2021'!$R:$R,'Rec_raw_catch_effort_2010-2021'!$J:$J,'Data_For_Appx_Table_C-4'!$A21,'Rec_raw_catch_effort_2010-2021'!$L:$L,'Data_For_Appx_Table_C-4'!$B21,'Rec_raw_catch_effort_2010-2021'!$E:$E,'Data_For_Appx_Table_C-4'!$E$4,'Rec_raw_catch_effort_2010-2021'!$S:$S,'Data_For_Appx_Table_C-4'!E$3)</f>
        <v>26498.672991941818</v>
      </c>
      <c r="F21" s="13">
        <f>SUMIFS('Rec_raw_catch_effort_2010-2021'!$Q:$Q,'Rec_raw_catch_effort_2010-2021'!$J:$J,'Data_For_Appx_Table_C-4'!$A21,'Rec_raw_catch_effort_2010-2021'!$L:$L,'Data_For_Appx_Table_C-4'!$B21,'Rec_raw_catch_effort_2010-2021'!$E:$E,'Data_For_Appx_Table_C-4'!$F$4,'Rec_raw_catch_effort_2010-2021'!$S:$S,'Data_For_Appx_Table_C-4'!F$3)</f>
        <v>1266.2289140496791</v>
      </c>
    </row>
    <row r="22" spans="1:6" x14ac:dyDescent="0.35">
      <c r="A22" s="15" t="s">
        <v>135</v>
      </c>
      <c r="B22" s="15" t="s">
        <v>138</v>
      </c>
      <c r="C22" s="13">
        <f>SUMIFS('Rec_raw_catch_effort_2010-2021'!$R:$R,'Rec_raw_catch_effort_2010-2021'!$J:$J,'Data_For_Appx_Table_C-4'!$A22,'Rec_raw_catch_effort_2010-2021'!$L:$L,'Data_For_Appx_Table_C-4'!$B22,'Rec_raw_catch_effort_2010-2021'!$E:$E,'Data_For_Appx_Table_C-4'!$C$4,'Rec_raw_catch_effort_2010-2021'!$S:$S,'Data_For_Appx_Table_C-4'!C$3)</f>
        <v>284146.79784948676</v>
      </c>
      <c r="D22" s="13">
        <f>SUMIFS('Rec_raw_catch_effort_2010-2021'!$Q:$Q,'Rec_raw_catch_effort_2010-2021'!$J:$J,'Data_For_Appx_Table_C-4'!$A22,'Rec_raw_catch_effort_2010-2021'!$L:$L,'Data_For_Appx_Table_C-4'!$B22,'Rec_raw_catch_effort_2010-2021'!$E:$E,'Data_For_Appx_Table_C-4'!$D$4,'Rec_raw_catch_effort_2010-2021'!$S:$S,'Data_For_Appx_Table_C-4'!D$3)</f>
        <v>74085.06473932571</v>
      </c>
      <c r="E22" s="13">
        <f>SUMIFS('Rec_raw_catch_effort_2010-2021'!$R:$R,'Rec_raw_catch_effort_2010-2021'!$J:$J,'Data_For_Appx_Table_C-4'!$A22,'Rec_raw_catch_effort_2010-2021'!$L:$L,'Data_For_Appx_Table_C-4'!$B22,'Rec_raw_catch_effort_2010-2021'!$E:$E,'Data_For_Appx_Table_C-4'!$E$4,'Rec_raw_catch_effort_2010-2021'!$S:$S,'Data_For_Appx_Table_C-4'!E$3)</f>
        <v>9915.1175252316134</v>
      </c>
      <c r="F22" s="13">
        <f>SUMIFS('Rec_raw_catch_effort_2010-2021'!$Q:$Q,'Rec_raw_catch_effort_2010-2021'!$J:$J,'Data_For_Appx_Table_C-4'!$A22,'Rec_raw_catch_effort_2010-2021'!$L:$L,'Data_For_Appx_Table_C-4'!$B22,'Rec_raw_catch_effort_2010-2021'!$E:$E,'Data_For_Appx_Table_C-4'!$F$4,'Rec_raw_catch_effort_2010-2021'!$S:$S,'Data_For_Appx_Table_C-4'!F$3)</f>
        <v>473.79008377011382</v>
      </c>
    </row>
    <row r="23" spans="1:6" x14ac:dyDescent="0.35">
      <c r="A23" s="15" t="s">
        <v>135</v>
      </c>
      <c r="B23" s="15" t="s">
        <v>140</v>
      </c>
      <c r="C23" s="13">
        <f>SUMIFS('Rec_raw_catch_effort_2010-2021'!$R:$R,'Rec_raw_catch_effort_2010-2021'!$J:$J,'Data_For_Appx_Table_C-4'!$A23,'Rec_raw_catch_effort_2010-2021'!$L:$L,'Data_For_Appx_Table_C-4'!$B23,'Rec_raw_catch_effort_2010-2021'!$E:$E,'Data_For_Appx_Table_C-4'!$C$4,'Rec_raw_catch_effort_2010-2021'!$S:$S,'Data_For_Appx_Table_C-4'!C$3)</f>
        <v>59578.764916703803</v>
      </c>
      <c r="D23" s="13">
        <f>SUMIFS('Rec_raw_catch_effort_2010-2021'!$Q:$Q,'Rec_raw_catch_effort_2010-2021'!$J:$J,'Data_For_Appx_Table_C-4'!$A23,'Rec_raw_catch_effort_2010-2021'!$L:$L,'Data_For_Appx_Table_C-4'!$B23,'Rec_raw_catch_effort_2010-2021'!$E:$E,'Data_For_Appx_Table_C-4'!$D$4,'Rec_raw_catch_effort_2010-2021'!$S:$S,'Data_For_Appx_Table_C-4'!D$3)</f>
        <v>18215.528339011304</v>
      </c>
      <c r="E23" s="13">
        <f>SUMIFS('Rec_raw_catch_effort_2010-2021'!$R:$R,'Rec_raw_catch_effort_2010-2021'!$J:$J,'Data_For_Appx_Table_C-4'!$A23,'Rec_raw_catch_effort_2010-2021'!$L:$L,'Data_For_Appx_Table_C-4'!$B23,'Rec_raw_catch_effort_2010-2021'!$E:$E,'Data_For_Appx_Table_C-4'!$E$4,'Rec_raw_catch_effort_2010-2021'!$S:$S,'Data_For_Appx_Table_C-4'!E$3)</f>
        <v>2069.6500272785515</v>
      </c>
      <c r="F23" s="13">
        <f>SUMIFS('Rec_raw_catch_effort_2010-2021'!$Q:$Q,'Rec_raw_catch_effort_2010-2021'!$J:$J,'Data_For_Appx_Table_C-4'!$A23,'Rec_raw_catch_effort_2010-2021'!$L:$L,'Data_For_Appx_Table_C-4'!$B23,'Rec_raw_catch_effort_2010-2021'!$E:$E,'Data_For_Appx_Table_C-4'!$F$4,'Rec_raw_catch_effort_2010-2021'!$S:$S,'Data_For_Appx_Table_C-4'!F$3)</f>
        <v>98.897431856332659</v>
      </c>
    </row>
    <row r="24" spans="1:6" x14ac:dyDescent="0.35">
      <c r="A24" s="15" t="s">
        <v>135</v>
      </c>
      <c r="B24" s="15" t="s">
        <v>142</v>
      </c>
      <c r="C24" s="13">
        <f>SUMIFS('Rec_raw_catch_effort_2010-2021'!$R:$R,'Rec_raw_catch_effort_2010-2021'!$J:$J,'Data_For_Appx_Table_C-4'!$A24,'Rec_raw_catch_effort_2010-2021'!$L:$L,'Data_For_Appx_Table_C-4'!$B24,'Rec_raw_catch_effort_2010-2021'!$E:$E,'Data_For_Appx_Table_C-4'!$C$4,'Rec_raw_catch_effort_2010-2021'!$S:$S,'Data_For_Appx_Table_C-4'!C$3)</f>
        <v>49028.859938271678</v>
      </c>
      <c r="D24" s="13">
        <f>SUMIFS('Rec_raw_catch_effort_2010-2021'!$Q:$Q,'Rec_raw_catch_effort_2010-2021'!$J:$J,'Data_For_Appx_Table_C-4'!$A24,'Rec_raw_catch_effort_2010-2021'!$L:$L,'Data_For_Appx_Table_C-4'!$B24,'Rec_raw_catch_effort_2010-2021'!$E:$E,'Data_For_Appx_Table_C-4'!$D$4,'Rec_raw_catch_effort_2010-2021'!$S:$S,'Data_For_Appx_Table_C-4'!D$3)</f>
        <v>19891.317844544912</v>
      </c>
      <c r="E24" s="13">
        <f>SUMIFS('Rec_raw_catch_effort_2010-2021'!$R:$R,'Rec_raw_catch_effort_2010-2021'!$J:$J,'Data_For_Appx_Table_C-4'!$A24,'Rec_raw_catch_effort_2010-2021'!$L:$L,'Data_For_Appx_Table_C-4'!$B24,'Rec_raw_catch_effort_2010-2021'!$E:$E,'Data_For_Appx_Table_C-4'!$E$4,'Rec_raw_catch_effort_2010-2021'!$S:$S,'Data_For_Appx_Table_C-4'!E$3)</f>
        <v>1285.0671754398038</v>
      </c>
      <c r="F24" s="13">
        <f>SUMIFS('Rec_raw_catch_effort_2010-2021'!$Q:$Q,'Rec_raw_catch_effort_2010-2021'!$J:$J,'Data_For_Appx_Table_C-4'!$A24,'Rec_raw_catch_effort_2010-2021'!$L:$L,'Data_For_Appx_Table_C-4'!$B24,'Rec_raw_catch_effort_2010-2021'!$E:$E,'Data_For_Appx_Table_C-4'!$F$4,'Rec_raw_catch_effort_2010-2021'!$S:$S,'Data_For_Appx_Table_C-4'!F$3)</f>
        <v>61.406441542671047</v>
      </c>
    </row>
    <row r="25" spans="1:6" x14ac:dyDescent="0.35">
      <c r="A25" s="15" t="s">
        <v>135</v>
      </c>
      <c r="B25" s="15" t="s">
        <v>144</v>
      </c>
      <c r="C25" s="13">
        <f>SUMIFS('Rec_raw_catch_effort_2010-2021'!$R:$R,'Rec_raw_catch_effort_2010-2021'!$J:$J,'Data_For_Appx_Table_C-4'!$A25,'Rec_raw_catch_effort_2010-2021'!$L:$L,'Data_For_Appx_Table_C-4'!$B25,'Rec_raw_catch_effort_2010-2021'!$E:$E,'Data_For_Appx_Table_C-4'!$C$4,'Rec_raw_catch_effort_2010-2021'!$S:$S,'Data_For_Appx_Table_C-4'!C$3)</f>
        <v>114863.82715997421</v>
      </c>
      <c r="D25" s="13">
        <f>SUMIFS('Rec_raw_catch_effort_2010-2021'!$Q:$Q,'Rec_raw_catch_effort_2010-2021'!$J:$J,'Data_For_Appx_Table_C-4'!$A25,'Rec_raw_catch_effort_2010-2021'!$L:$L,'Data_For_Appx_Table_C-4'!$B25,'Rec_raw_catch_effort_2010-2021'!$E:$E,'Data_For_Appx_Table_C-4'!$D$4,'Rec_raw_catch_effort_2010-2021'!$S:$S,'Data_For_Appx_Table_C-4'!D$3)</f>
        <v>36087.981823280112</v>
      </c>
      <c r="E25" s="13">
        <f>SUMIFS('Rec_raw_catch_effort_2010-2021'!$R:$R,'Rec_raw_catch_effort_2010-2021'!$J:$J,'Data_For_Appx_Table_C-4'!$A25,'Rec_raw_catch_effort_2010-2021'!$L:$L,'Data_For_Appx_Table_C-4'!$B25,'Rec_raw_catch_effort_2010-2021'!$E:$E,'Data_For_Appx_Table_C-4'!$E$4,'Rec_raw_catch_effort_2010-2021'!$S:$S,'Data_For_Appx_Table_C-4'!E$3)</f>
        <v>2479.2097083247659</v>
      </c>
      <c r="F25" s="13">
        <f>SUMIFS('Rec_raw_catch_effort_2010-2021'!$Q:$Q,'Rec_raw_catch_effort_2010-2021'!$J:$J,'Data_For_Appx_Table_C-4'!$A25,'Rec_raw_catch_effort_2010-2021'!$L:$L,'Data_For_Appx_Table_C-4'!$B25,'Rec_raw_catch_effort_2010-2021'!$E:$E,'Data_For_Appx_Table_C-4'!$F$4,'Rec_raw_catch_effort_2010-2021'!$S:$S,'Data_For_Appx_Table_C-4'!F$3)</f>
        <v>118.46808395379372</v>
      </c>
    </row>
    <row r="26" spans="1:6" x14ac:dyDescent="0.35">
      <c r="A26" s="15" t="s">
        <v>135</v>
      </c>
      <c r="B26" s="15" t="s">
        <v>145</v>
      </c>
      <c r="C26" s="13">
        <f>SUMIFS('Rec_raw_catch_effort_2010-2021'!$R:$R,'Rec_raw_catch_effort_2010-2021'!$J:$J,'Data_For_Appx_Table_C-4'!$A26,'Rec_raw_catch_effort_2010-2021'!$L:$L,'Data_For_Appx_Table_C-4'!$B26,'Rec_raw_catch_effort_2010-2021'!$E:$E,'Data_For_Appx_Table_C-4'!$C$4,'Rec_raw_catch_effort_2010-2021'!$S:$S,'Data_For_Appx_Table_C-4'!C$3)</f>
        <v>15409.228227025149</v>
      </c>
      <c r="D26" s="13">
        <f>SUMIFS('Rec_raw_catch_effort_2010-2021'!$Q:$Q,'Rec_raw_catch_effort_2010-2021'!$J:$J,'Data_For_Appx_Table_C-4'!$A26,'Rec_raw_catch_effort_2010-2021'!$L:$L,'Data_For_Appx_Table_C-4'!$B26,'Rec_raw_catch_effort_2010-2021'!$E:$E,'Data_For_Appx_Table_C-4'!$D$4,'Rec_raw_catch_effort_2010-2021'!$S:$S,'Data_For_Appx_Table_C-4'!D$3)</f>
        <v>4487.7323154977275</v>
      </c>
      <c r="E26" s="13">
        <f>SUMIFS('Rec_raw_catch_effort_2010-2021'!$R:$R,'Rec_raw_catch_effort_2010-2021'!$J:$J,'Data_For_Appx_Table_C-4'!$A26,'Rec_raw_catch_effort_2010-2021'!$L:$L,'Data_For_Appx_Table_C-4'!$B26,'Rec_raw_catch_effort_2010-2021'!$E:$E,'Data_For_Appx_Table_C-4'!$E$4,'Rec_raw_catch_effort_2010-2021'!$S:$S,'Data_For_Appx_Table_C-4'!E$3)</f>
        <v>205.9614806405371</v>
      </c>
      <c r="F26" s="13">
        <f>SUMIFS('Rec_raw_catch_effort_2010-2021'!$Q:$Q,'Rec_raw_catch_effort_2010-2021'!$J:$J,'Data_For_Appx_Table_C-4'!$A26,'Rec_raw_catch_effort_2010-2021'!$L:$L,'Data_For_Appx_Table_C-4'!$B26,'Rec_raw_catch_effort_2010-2021'!$E:$E,'Data_For_Appx_Table_C-4'!$F$4,'Rec_raw_catch_effort_2010-2021'!$S:$S,'Data_For_Appx_Table_C-4'!F$3)</f>
        <v>9.8417902680197713</v>
      </c>
    </row>
    <row r="27" spans="1:6" x14ac:dyDescent="0.35">
      <c r="A27" s="15" t="s">
        <v>135</v>
      </c>
      <c r="B27" s="15" t="s">
        <v>146</v>
      </c>
      <c r="C27" s="13">
        <f>SUMIFS('Rec_raw_catch_effort_2010-2021'!$R:$R,'Rec_raw_catch_effort_2010-2021'!$J:$J,'Data_For_Appx_Table_C-4'!$A27,'Rec_raw_catch_effort_2010-2021'!$L:$L,'Data_For_Appx_Table_C-4'!$B27,'Rec_raw_catch_effort_2010-2021'!$E:$E,'Data_For_Appx_Table_C-4'!$C$4,'Rec_raw_catch_effort_2010-2021'!$S:$S,'Data_For_Appx_Table_C-4'!C$3)</f>
        <v>5701.8135408656954</v>
      </c>
      <c r="D27" s="13">
        <f>SUMIFS('Rec_raw_catch_effort_2010-2021'!$Q:$Q,'Rec_raw_catch_effort_2010-2021'!$J:$J,'Data_For_Appx_Table_C-4'!$A27,'Rec_raw_catch_effort_2010-2021'!$L:$L,'Data_For_Appx_Table_C-4'!$B27,'Rec_raw_catch_effort_2010-2021'!$E:$E,'Data_For_Appx_Table_C-4'!$D$4,'Rec_raw_catch_effort_2010-2021'!$S:$S,'Data_For_Appx_Table_C-4'!D$3)</f>
        <v>1801.2662118101216</v>
      </c>
      <c r="E27" s="13">
        <f>SUMIFS('Rec_raw_catch_effort_2010-2021'!$R:$R,'Rec_raw_catch_effort_2010-2021'!$J:$J,'Data_For_Appx_Table_C-4'!$A27,'Rec_raw_catch_effort_2010-2021'!$L:$L,'Data_For_Appx_Table_C-4'!$B27,'Rec_raw_catch_effort_2010-2021'!$E:$E,'Data_For_Appx_Table_C-4'!$E$4,'Rec_raw_catch_effort_2010-2021'!$S:$S,'Data_For_Appx_Table_C-4'!E$3)</f>
        <v>0</v>
      </c>
      <c r="F27" s="13">
        <f>SUMIFS('Rec_raw_catch_effort_2010-2021'!$Q:$Q,'Rec_raw_catch_effort_2010-2021'!$J:$J,'Data_For_Appx_Table_C-4'!$A27,'Rec_raw_catch_effort_2010-2021'!$L:$L,'Data_For_Appx_Table_C-4'!$B27,'Rec_raw_catch_effort_2010-2021'!$E:$E,'Data_For_Appx_Table_C-4'!$F$4,'Rec_raw_catch_effort_2010-2021'!$S:$S,'Data_For_Appx_Table_C-4'!F$3)</f>
        <v>0</v>
      </c>
    </row>
    <row r="28" spans="1:6" x14ac:dyDescent="0.35">
      <c r="A28" s="15" t="s">
        <v>135</v>
      </c>
      <c r="B28" s="15" t="s">
        <v>147</v>
      </c>
      <c r="C28" s="13">
        <f>SUMIFS('Rec_raw_catch_effort_2010-2021'!$R:$R,'Rec_raw_catch_effort_2010-2021'!$J:$J,'Data_For_Appx_Table_C-4'!$A28,'Rec_raw_catch_effort_2010-2021'!$L:$L,'Data_For_Appx_Table_C-4'!$B28,'Rec_raw_catch_effort_2010-2021'!$E:$E,'Data_For_Appx_Table_C-4'!$C$4,'Rec_raw_catch_effort_2010-2021'!$S:$S,'Data_For_Appx_Table_C-4'!C$3)</f>
        <v>1205.0029547802592</v>
      </c>
      <c r="D28" s="13">
        <f>SUMIFS('Rec_raw_catch_effort_2010-2021'!$Q:$Q,'Rec_raw_catch_effort_2010-2021'!$J:$J,'Data_For_Appx_Table_C-4'!$A28,'Rec_raw_catch_effort_2010-2021'!$L:$L,'Data_For_Appx_Table_C-4'!$B28,'Rec_raw_catch_effort_2010-2021'!$E:$E,'Data_For_Appx_Table_C-4'!$D$4,'Rec_raw_catch_effort_2010-2021'!$S:$S,'Data_For_Appx_Table_C-4'!D$3)</f>
        <v>569.69298037728208</v>
      </c>
      <c r="E28" s="13">
        <f>SUMIFS('Rec_raw_catch_effort_2010-2021'!$R:$R,'Rec_raw_catch_effort_2010-2021'!$J:$J,'Data_For_Appx_Table_C-4'!$A28,'Rec_raw_catch_effort_2010-2021'!$L:$L,'Data_For_Appx_Table_C-4'!$B28,'Rec_raw_catch_effort_2010-2021'!$E:$E,'Data_For_Appx_Table_C-4'!$E$4,'Rec_raw_catch_effort_2010-2021'!$S:$S,'Data_For_Appx_Table_C-4'!E$3)</f>
        <v>0</v>
      </c>
      <c r="F28" s="13">
        <f>SUMIFS('Rec_raw_catch_effort_2010-2021'!$Q:$Q,'Rec_raw_catch_effort_2010-2021'!$J:$J,'Data_For_Appx_Table_C-4'!$A28,'Rec_raw_catch_effort_2010-2021'!$L:$L,'Data_For_Appx_Table_C-4'!$B28,'Rec_raw_catch_effort_2010-2021'!$E:$E,'Data_For_Appx_Table_C-4'!$F$4,'Rec_raw_catch_effort_2010-2021'!$S:$S,'Data_For_Appx_Table_C-4'!F$3)</f>
        <v>0</v>
      </c>
    </row>
    <row r="29" spans="1:6" x14ac:dyDescent="0.35">
      <c r="A29" s="15" t="s">
        <v>135</v>
      </c>
      <c r="B29" s="15" t="s">
        <v>148</v>
      </c>
      <c r="C29" s="13">
        <f>SUMIFS('Rec_raw_catch_effort_2010-2021'!$R:$R,'Rec_raw_catch_effort_2010-2021'!$J:$J,'Data_For_Appx_Table_C-4'!$A29,'Rec_raw_catch_effort_2010-2021'!$L:$L,'Data_For_Appx_Table_C-4'!$B29,'Rec_raw_catch_effort_2010-2021'!$E:$E,'Data_For_Appx_Table_C-4'!$C$4,'Rec_raw_catch_effort_2010-2021'!$S:$S,'Data_For_Appx_Table_C-4'!C$3)</f>
        <v>2513.4593131602373</v>
      </c>
      <c r="D29" s="13">
        <f>SUMIFS('Rec_raw_catch_effort_2010-2021'!$Q:$Q,'Rec_raw_catch_effort_2010-2021'!$J:$J,'Data_For_Appx_Table_C-4'!$A29,'Rec_raw_catch_effort_2010-2021'!$L:$L,'Data_For_Appx_Table_C-4'!$B29,'Rec_raw_catch_effort_2010-2021'!$E:$E,'Data_For_Appx_Table_C-4'!$D$4,'Rec_raw_catch_effort_2010-2021'!$S:$S,'Data_For_Appx_Table_C-4'!D$3)</f>
        <v>1031.036442861395</v>
      </c>
      <c r="E29" s="13">
        <f>SUMIFS('Rec_raw_catch_effort_2010-2021'!$R:$R,'Rec_raw_catch_effort_2010-2021'!$J:$J,'Data_For_Appx_Table_C-4'!$A29,'Rec_raw_catch_effort_2010-2021'!$L:$L,'Data_For_Appx_Table_C-4'!$B29,'Rec_raw_catch_effort_2010-2021'!$E:$E,'Data_For_Appx_Table_C-4'!$E$4,'Rec_raw_catch_effort_2010-2021'!$S:$S,'Data_For_Appx_Table_C-4'!E$3)</f>
        <v>305.25119810630304</v>
      </c>
      <c r="F29" s="13">
        <f>SUMIFS('Rec_raw_catch_effort_2010-2021'!$Q:$Q,'Rec_raw_catch_effort_2010-2021'!$J:$J,'Data_For_Appx_Table_C-4'!$A29,'Rec_raw_catch_effort_2010-2021'!$L:$L,'Data_For_Appx_Table_C-4'!$B29,'Rec_raw_catch_effort_2010-2021'!$E:$E,'Data_For_Appx_Table_C-4'!$F$4,'Rec_raw_catch_effort_2010-2021'!$S:$S,'Data_For_Appx_Table_C-4'!F$3)</f>
        <v>14.58631129219364</v>
      </c>
    </row>
    <row r="30" spans="1:6" x14ac:dyDescent="0.35">
      <c r="A30" s="15" t="s">
        <v>135</v>
      </c>
      <c r="B30" s="15" t="s">
        <v>149</v>
      </c>
      <c r="C30" s="13">
        <f>SUMIFS('Rec_raw_catch_effort_2010-2021'!$R:$R,'Rec_raw_catch_effort_2010-2021'!$J:$J,'Data_For_Appx_Table_C-4'!$A30,'Rec_raw_catch_effort_2010-2021'!$L:$L,'Data_For_Appx_Table_C-4'!$B30,'Rec_raw_catch_effort_2010-2021'!$E:$E,'Data_For_Appx_Table_C-4'!$C$4,'Rec_raw_catch_effort_2010-2021'!$S:$S,'Data_For_Appx_Table_C-4'!C$3)</f>
        <v>4953.0206939106038</v>
      </c>
      <c r="D30" s="13">
        <f>SUMIFS('Rec_raw_catch_effort_2010-2021'!$Q:$Q,'Rec_raw_catch_effort_2010-2021'!$J:$J,'Data_For_Appx_Table_C-4'!$A30,'Rec_raw_catch_effort_2010-2021'!$L:$L,'Data_For_Appx_Table_C-4'!$B30,'Rec_raw_catch_effort_2010-2021'!$E:$E,'Data_For_Appx_Table_C-4'!$D$4,'Rec_raw_catch_effort_2010-2021'!$S:$S,'Data_For_Appx_Table_C-4'!D$3)</f>
        <v>1818.5077116244713</v>
      </c>
      <c r="E30" s="13">
        <f>SUMIFS('Rec_raw_catch_effort_2010-2021'!$R:$R,'Rec_raw_catch_effort_2010-2021'!$J:$J,'Data_For_Appx_Table_C-4'!$A30,'Rec_raw_catch_effort_2010-2021'!$L:$L,'Data_For_Appx_Table_C-4'!$B30,'Rec_raw_catch_effort_2010-2021'!$E:$E,'Data_For_Appx_Table_C-4'!$E$4,'Rec_raw_catch_effort_2010-2021'!$S:$S,'Data_For_Appx_Table_C-4'!E$3)</f>
        <v>50.225369579710303</v>
      </c>
      <c r="F30" s="13">
        <f>SUMIFS('Rec_raw_catch_effort_2010-2021'!$Q:$Q,'Rec_raw_catch_effort_2010-2021'!$J:$J,'Data_For_Appx_Table_C-4'!$A30,'Rec_raw_catch_effort_2010-2021'!$L:$L,'Data_For_Appx_Table_C-4'!$B30,'Rec_raw_catch_effort_2010-2021'!$E:$E,'Data_For_Appx_Table_C-4'!$F$4,'Rec_raw_catch_effort_2010-2021'!$S:$S,'Data_For_Appx_Table_C-4'!F$3)</f>
        <v>2.4</v>
      </c>
    </row>
    <row r="31" spans="1:6" x14ac:dyDescent="0.35">
      <c r="A31" s="15" t="s">
        <v>135</v>
      </c>
      <c r="B31" s="15" t="s">
        <v>150</v>
      </c>
      <c r="C31" s="13">
        <f>SUMIFS('Rec_raw_catch_effort_2010-2021'!$R:$R,'Rec_raw_catch_effort_2010-2021'!$J:$J,'Data_For_Appx_Table_C-4'!$A31,'Rec_raw_catch_effort_2010-2021'!$L:$L,'Data_For_Appx_Table_C-4'!$B31,'Rec_raw_catch_effort_2010-2021'!$E:$E,'Data_For_Appx_Table_C-4'!$C$4,'Rec_raw_catch_effort_2010-2021'!$S:$S,'Data_For_Appx_Table_C-4'!C$3)</f>
        <v>774.73444088905944</v>
      </c>
      <c r="D31" s="13">
        <f>SUMIFS('Rec_raw_catch_effort_2010-2021'!$Q:$Q,'Rec_raw_catch_effort_2010-2021'!$J:$J,'Data_For_Appx_Table_C-4'!$A31,'Rec_raw_catch_effort_2010-2021'!$L:$L,'Data_For_Appx_Table_C-4'!$B31,'Rec_raw_catch_effort_2010-2021'!$E:$E,'Data_For_Appx_Table_C-4'!$D$4,'Rec_raw_catch_effort_2010-2021'!$S:$S,'Data_For_Appx_Table_C-4'!D$3)</f>
        <v>259.34762373283849</v>
      </c>
      <c r="E31" s="13">
        <f>SUMIFS('Rec_raw_catch_effort_2010-2021'!$R:$R,'Rec_raw_catch_effort_2010-2021'!$J:$J,'Data_For_Appx_Table_C-4'!$A31,'Rec_raw_catch_effort_2010-2021'!$L:$L,'Data_For_Appx_Table_C-4'!$B31,'Rec_raw_catch_effort_2010-2021'!$E:$E,'Data_For_Appx_Table_C-4'!$E$4,'Rec_raw_catch_effort_2010-2021'!$S:$S,'Data_For_Appx_Table_C-4'!E$3)</f>
        <v>0</v>
      </c>
      <c r="F31" s="13">
        <f>SUMIFS('Rec_raw_catch_effort_2010-2021'!$Q:$Q,'Rec_raw_catch_effort_2010-2021'!$J:$J,'Data_For_Appx_Table_C-4'!$A31,'Rec_raw_catch_effort_2010-2021'!$L:$L,'Data_For_Appx_Table_C-4'!$B31,'Rec_raw_catch_effort_2010-2021'!$E:$E,'Data_For_Appx_Table_C-4'!$F$4,'Rec_raw_catch_effort_2010-2021'!$S:$S,'Data_For_Appx_Table_C-4'!F$3)</f>
        <v>0</v>
      </c>
    </row>
    <row r="32" spans="1:6" x14ac:dyDescent="0.35">
      <c r="A32" s="15" t="s">
        <v>135</v>
      </c>
      <c r="B32" s="15" t="s">
        <v>151</v>
      </c>
      <c r="C32" s="13">
        <f>SUMIFS('Rec_raw_catch_effort_2010-2021'!$R:$R,'Rec_raw_catch_effort_2010-2021'!$J:$J,'Data_For_Appx_Table_C-4'!$A32,'Rec_raw_catch_effort_2010-2021'!$L:$L,'Data_For_Appx_Table_C-4'!$B32,'Rec_raw_catch_effort_2010-2021'!$E:$E,'Data_For_Appx_Table_C-4'!$C$4,'Rec_raw_catch_effort_2010-2021'!$S:$S,'Data_For_Appx_Table_C-4'!C$3)</f>
        <v>87681.394981414909</v>
      </c>
      <c r="D32" s="13">
        <f>SUMIFS('Rec_raw_catch_effort_2010-2021'!$Q:$Q,'Rec_raw_catch_effort_2010-2021'!$J:$J,'Data_For_Appx_Table_C-4'!$A32,'Rec_raw_catch_effort_2010-2021'!$L:$L,'Data_For_Appx_Table_C-4'!$B32,'Rec_raw_catch_effort_2010-2021'!$E:$E,'Data_For_Appx_Table_C-4'!$D$4,'Rec_raw_catch_effort_2010-2021'!$S:$S,'Data_For_Appx_Table_C-4'!D$3)</f>
        <v>32309.44104162851</v>
      </c>
      <c r="E32" s="13">
        <f>SUMIFS('Rec_raw_catch_effort_2010-2021'!$R:$R,'Rec_raw_catch_effort_2010-2021'!$J:$J,'Data_For_Appx_Table_C-4'!$A32,'Rec_raw_catch_effort_2010-2021'!$L:$L,'Data_For_Appx_Table_C-4'!$B32,'Rec_raw_catch_effort_2010-2021'!$E:$E,'Data_For_Appx_Table_C-4'!$E$4,'Rec_raw_catch_effort_2010-2021'!$S:$S,'Data_For_Appx_Table_C-4'!E$3)</f>
        <v>759.5518101653638</v>
      </c>
      <c r="F32" s="13">
        <f>SUMIFS('Rec_raw_catch_effort_2010-2021'!$Q:$Q,'Rec_raw_catch_effort_2010-2021'!$J:$J,'Data_For_Appx_Table_C-4'!$A32,'Rec_raw_catch_effort_2010-2021'!$L:$L,'Data_For_Appx_Table_C-4'!$B32,'Rec_raw_catch_effort_2010-2021'!$E:$E,'Data_For_Appx_Table_C-4'!$F$4,'Rec_raw_catch_effort_2010-2021'!$S:$S,'Data_For_Appx_Table_C-4'!F$3)</f>
        <v>36.294891598633157</v>
      </c>
    </row>
    <row r="33" spans="1:6" x14ac:dyDescent="0.35">
      <c r="A33" s="15" t="s">
        <v>153</v>
      </c>
      <c r="B33" s="15"/>
      <c r="C33" s="39">
        <f>SUM(C20:C32)</f>
        <v>1217349.6954174316</v>
      </c>
      <c r="D33" s="39">
        <f>SUM(D20:D32)</f>
        <v>355565.92690805194</v>
      </c>
      <c r="E33" s="39">
        <f>SUM(E20:E32)</f>
        <v>68446.368176872478</v>
      </c>
      <c r="F33" s="39">
        <f>SUM(F20:F32)</f>
        <v>3270.6834215283734</v>
      </c>
    </row>
    <row r="34" spans="1:6" x14ac:dyDescent="0.35">
      <c r="A34" s="15" t="s">
        <v>137</v>
      </c>
      <c r="B34" s="15" t="s">
        <v>134</v>
      </c>
      <c r="C34" s="13">
        <f>SUMIFS('Rec_raw_catch_effort_2010-2021'!$R:$R,'Rec_raw_catch_effort_2010-2021'!$J:$J,'Data_For_Appx_Table_C-4'!$A34,'Rec_raw_catch_effort_2010-2021'!$L:$L,'Data_For_Appx_Table_C-4'!$B34,'Rec_raw_catch_effort_2010-2021'!$E:$E,'Data_For_Appx_Table_C-4'!$C$4,'Rec_raw_catch_effort_2010-2021'!$S:$S,'Data_For_Appx_Table_C-4'!C$3)</f>
        <v>148215.0159745912</v>
      </c>
      <c r="D34" s="13">
        <f>SUMIFS('Rec_raw_catch_effort_2010-2021'!$Q:$Q,'Rec_raw_catch_effort_2010-2021'!$J:$J,'Data_For_Appx_Table_C-4'!$A34,'Rec_raw_catch_effort_2010-2021'!$L:$L,'Data_For_Appx_Table_C-4'!$B34,'Rec_raw_catch_effort_2010-2021'!$E:$E,'Data_For_Appx_Table_C-4'!$D$4,'Rec_raw_catch_effort_2010-2021'!$S:$S,'Data_For_Appx_Table_C-4'!D$3)</f>
        <v>43440.633631069468</v>
      </c>
      <c r="E34" s="13">
        <f>SUMIFS('Rec_raw_catch_effort_2010-2021'!$R:$R,'Rec_raw_catch_effort_2010-2021'!$J:$J,'Data_For_Appx_Table_C-4'!$A34,'Rec_raw_catch_effort_2010-2021'!$L:$L,'Data_For_Appx_Table_C-4'!$B34,'Rec_raw_catch_effort_2010-2021'!$E:$E,'Data_For_Appx_Table_C-4'!$E$4,'Rec_raw_catch_effort_2010-2021'!$S:$S,'Data_For_Appx_Table_C-4'!E$3)</f>
        <v>7341.1193979346353</v>
      </c>
      <c r="F34" s="13">
        <f>SUMIFS('Rec_raw_catch_effort_2010-2021'!$Q:$Q,'Rec_raw_catch_effort_2010-2021'!$J:$J,'Data_For_Appx_Table_C-4'!$A34,'Rec_raw_catch_effort_2010-2021'!$L:$L,'Data_For_Appx_Table_C-4'!$B34,'Rec_raw_catch_effort_2010-2021'!$E:$E,'Data_For_Appx_Table_C-4'!$F$4,'Rec_raw_catch_effort_2010-2021'!$S:$S,'Data_For_Appx_Table_C-4'!F$3)</f>
        <v>350.79257161226747</v>
      </c>
    </row>
    <row r="35" spans="1:6" x14ac:dyDescent="0.35">
      <c r="A35" s="15" t="s">
        <v>137</v>
      </c>
      <c r="B35" s="15" t="s">
        <v>136</v>
      </c>
      <c r="C35" s="13">
        <f>SUMIFS('Rec_raw_catch_effort_2010-2021'!$R:$R,'Rec_raw_catch_effort_2010-2021'!$J:$J,'Data_For_Appx_Table_C-4'!$A35,'Rec_raw_catch_effort_2010-2021'!$L:$L,'Data_For_Appx_Table_C-4'!$B35,'Rec_raw_catch_effort_2010-2021'!$E:$E,'Data_For_Appx_Table_C-4'!$C$4,'Rec_raw_catch_effort_2010-2021'!$S:$S,'Data_For_Appx_Table_C-4'!C$3)</f>
        <v>489688.92187946412</v>
      </c>
      <c r="D35" s="13">
        <f>SUMIFS('Rec_raw_catch_effort_2010-2021'!$Q:$Q,'Rec_raw_catch_effort_2010-2021'!$J:$J,'Data_For_Appx_Table_C-4'!$A35,'Rec_raw_catch_effort_2010-2021'!$L:$L,'Data_For_Appx_Table_C-4'!$B35,'Rec_raw_catch_effort_2010-2021'!$E:$E,'Data_For_Appx_Table_C-4'!$D$4,'Rec_raw_catch_effort_2010-2021'!$S:$S,'Data_For_Appx_Table_C-4'!D$3)</f>
        <v>141330.6193361737</v>
      </c>
      <c r="E35" s="13">
        <f>SUMIFS('Rec_raw_catch_effort_2010-2021'!$R:$R,'Rec_raw_catch_effort_2010-2021'!$J:$J,'Data_For_Appx_Table_C-4'!$A35,'Rec_raw_catch_effort_2010-2021'!$L:$L,'Data_For_Appx_Table_C-4'!$B35,'Rec_raw_catch_effort_2010-2021'!$E:$E,'Data_For_Appx_Table_C-4'!$E$4,'Rec_raw_catch_effort_2010-2021'!$S:$S,'Data_For_Appx_Table_C-4'!E$3)</f>
        <v>14118.87965737159</v>
      </c>
      <c r="F35" s="13">
        <f>SUMIFS('Rec_raw_catch_effort_2010-2021'!$Q:$Q,'Rec_raw_catch_effort_2010-2021'!$J:$J,'Data_For_Appx_Table_C-4'!$A35,'Rec_raw_catch_effort_2010-2021'!$L:$L,'Data_For_Appx_Table_C-4'!$B35,'Rec_raw_catch_effort_2010-2021'!$E:$E,'Data_For_Appx_Table_C-4'!$F$4,'Rec_raw_catch_effort_2010-2021'!$S:$S,'Data_For_Appx_Table_C-4'!F$3)</f>
        <v>678.17754437232918</v>
      </c>
    </row>
    <row r="36" spans="1:6" x14ac:dyDescent="0.35">
      <c r="A36" s="15" t="s">
        <v>137</v>
      </c>
      <c r="B36" s="15" t="s">
        <v>138</v>
      </c>
      <c r="C36" s="13">
        <f>SUMIFS('Rec_raw_catch_effort_2010-2021'!$R:$R,'Rec_raw_catch_effort_2010-2021'!$J:$J,'Data_For_Appx_Table_C-4'!$A36,'Rec_raw_catch_effort_2010-2021'!$L:$L,'Data_For_Appx_Table_C-4'!$B36,'Rec_raw_catch_effort_2010-2021'!$E:$E,'Data_For_Appx_Table_C-4'!$C$4,'Rec_raw_catch_effort_2010-2021'!$S:$S,'Data_For_Appx_Table_C-4'!C$3)</f>
        <v>1303590.409756752</v>
      </c>
      <c r="D36" s="13">
        <f>SUMIFS('Rec_raw_catch_effort_2010-2021'!$Q:$Q,'Rec_raw_catch_effort_2010-2021'!$J:$J,'Data_For_Appx_Table_C-4'!$A36,'Rec_raw_catch_effort_2010-2021'!$L:$L,'Data_For_Appx_Table_C-4'!$B36,'Rec_raw_catch_effort_2010-2021'!$E:$E,'Data_For_Appx_Table_C-4'!$D$4,'Rec_raw_catch_effort_2010-2021'!$S:$S,'Data_For_Appx_Table_C-4'!D$3)</f>
        <v>457018.81598107779</v>
      </c>
      <c r="E36" s="13">
        <f>SUMIFS('Rec_raw_catch_effort_2010-2021'!$R:$R,'Rec_raw_catch_effort_2010-2021'!$J:$J,'Data_For_Appx_Table_C-4'!$A36,'Rec_raw_catch_effort_2010-2021'!$L:$L,'Data_For_Appx_Table_C-4'!$B36,'Rec_raw_catch_effort_2010-2021'!$E:$E,'Data_For_Appx_Table_C-4'!$E$4,'Rec_raw_catch_effort_2010-2021'!$S:$S,'Data_For_Appx_Table_C-4'!E$3)</f>
        <v>524062.13420691388</v>
      </c>
      <c r="F36" s="13">
        <f>SUMIFS('Rec_raw_catch_effort_2010-2021'!$Q:$Q,'Rec_raw_catch_effort_2010-2021'!$J:$J,'Data_For_Appx_Table_C-4'!$A36,'Rec_raw_catch_effort_2010-2021'!$L:$L,'Data_For_Appx_Table_C-4'!$B36,'Rec_raw_catch_effort_2010-2021'!$E:$E,'Data_For_Appx_Table_C-4'!$F$4,'Rec_raw_catch_effort_2010-2021'!$S:$S,'Data_For_Appx_Table_C-4'!F$3)</f>
        <v>25362.675758330268</v>
      </c>
    </row>
    <row r="37" spans="1:6" x14ac:dyDescent="0.35">
      <c r="A37" s="15" t="s">
        <v>137</v>
      </c>
      <c r="B37" s="15" t="s">
        <v>140</v>
      </c>
      <c r="C37" s="13">
        <f>SUMIFS('Rec_raw_catch_effort_2010-2021'!$R:$R,'Rec_raw_catch_effort_2010-2021'!$J:$J,'Data_For_Appx_Table_C-4'!$A37,'Rec_raw_catch_effort_2010-2021'!$L:$L,'Data_For_Appx_Table_C-4'!$B37,'Rec_raw_catch_effort_2010-2021'!$E:$E,'Data_For_Appx_Table_C-4'!$C$4,'Rec_raw_catch_effort_2010-2021'!$S:$S,'Data_For_Appx_Table_C-4'!C$3)</f>
        <v>263751.98044056504</v>
      </c>
      <c r="D37" s="13">
        <f>SUMIFS('Rec_raw_catch_effort_2010-2021'!$Q:$Q,'Rec_raw_catch_effort_2010-2021'!$J:$J,'Data_For_Appx_Table_C-4'!$A37,'Rec_raw_catch_effort_2010-2021'!$L:$L,'Data_For_Appx_Table_C-4'!$B37,'Rec_raw_catch_effort_2010-2021'!$E:$E,'Data_For_Appx_Table_C-4'!$D$4,'Rec_raw_catch_effort_2010-2021'!$S:$S,'Data_For_Appx_Table_C-4'!D$3)</f>
        <v>130275.01813594536</v>
      </c>
      <c r="E37" s="13">
        <f>SUMIFS('Rec_raw_catch_effort_2010-2021'!$R:$R,'Rec_raw_catch_effort_2010-2021'!$J:$J,'Data_For_Appx_Table_C-4'!$A37,'Rec_raw_catch_effort_2010-2021'!$L:$L,'Data_For_Appx_Table_C-4'!$B37,'Rec_raw_catch_effort_2010-2021'!$E:$E,'Data_For_Appx_Table_C-4'!$E$4,'Rec_raw_catch_effort_2010-2021'!$S:$S,'Data_For_Appx_Table_C-4'!E$3)</f>
        <v>5076.9394072935365</v>
      </c>
      <c r="F37" s="13">
        <f>SUMIFS('Rec_raw_catch_effort_2010-2021'!$Q:$Q,'Rec_raw_catch_effort_2010-2021'!$J:$J,'Data_For_Appx_Table_C-4'!$A37,'Rec_raw_catch_effort_2010-2021'!$L:$L,'Data_For_Appx_Table_C-4'!$B37,'Rec_raw_catch_effort_2010-2021'!$E:$E,'Data_For_Appx_Table_C-4'!$F$4,'Rec_raw_catch_effort_2010-2021'!$S:$S,'Data_For_Appx_Table_C-4'!F$3)</f>
        <v>595.89308829437289</v>
      </c>
    </row>
    <row r="38" spans="1:6" x14ac:dyDescent="0.35">
      <c r="A38" s="15" t="s">
        <v>137</v>
      </c>
      <c r="B38" s="15" t="s">
        <v>142</v>
      </c>
      <c r="C38" s="13">
        <f>SUMIFS('Rec_raw_catch_effort_2010-2021'!$R:$R,'Rec_raw_catch_effort_2010-2021'!$J:$J,'Data_For_Appx_Table_C-4'!$A38,'Rec_raw_catch_effort_2010-2021'!$L:$L,'Data_For_Appx_Table_C-4'!$B38,'Rec_raw_catch_effort_2010-2021'!$E:$E,'Data_For_Appx_Table_C-4'!$C$4,'Rec_raw_catch_effort_2010-2021'!$S:$S,'Data_For_Appx_Table_C-4'!C$3)</f>
        <v>813.65366656166714</v>
      </c>
      <c r="D38" s="13">
        <f>SUMIFS('Rec_raw_catch_effort_2010-2021'!$Q:$Q,'Rec_raw_catch_effort_2010-2021'!$J:$J,'Data_For_Appx_Table_C-4'!$A38,'Rec_raw_catch_effort_2010-2021'!$L:$L,'Data_For_Appx_Table_C-4'!$B38,'Rec_raw_catch_effort_2010-2021'!$E:$E,'Data_For_Appx_Table_C-4'!$D$4,'Rec_raw_catch_effort_2010-2021'!$S:$S,'Data_For_Appx_Table_C-4'!D$3)</f>
        <v>287.23897825848394</v>
      </c>
      <c r="E38" s="13">
        <f>SUMIFS('Rec_raw_catch_effort_2010-2021'!$R:$R,'Rec_raw_catch_effort_2010-2021'!$J:$J,'Data_For_Appx_Table_C-4'!$A38,'Rec_raw_catch_effort_2010-2021'!$L:$L,'Data_For_Appx_Table_C-4'!$B38,'Rec_raw_catch_effort_2010-2021'!$E:$E,'Data_For_Appx_Table_C-4'!$E$4,'Rec_raw_catch_effort_2010-2021'!$S:$S,'Data_For_Appx_Table_C-4'!E$3)</f>
        <v>730.32188043042368</v>
      </c>
      <c r="F38" s="13">
        <f>SUMIFS('Rec_raw_catch_effort_2010-2021'!$Q:$Q,'Rec_raw_catch_effort_2010-2021'!$J:$J,'Data_For_Appx_Table_C-4'!$A38,'Rec_raw_catch_effort_2010-2021'!$L:$L,'Data_For_Appx_Table_C-4'!$B38,'Rec_raw_catch_effort_2010-2021'!$E:$E,'Data_For_Appx_Table_C-4'!$F$4,'Rec_raw_catch_effort_2010-2021'!$S:$S,'Data_For_Appx_Table_C-4'!F$3)</f>
        <v>34.89815062985798</v>
      </c>
    </row>
    <row r="39" spans="1:6" x14ac:dyDescent="0.35">
      <c r="A39" s="15" t="s">
        <v>137</v>
      </c>
      <c r="B39" s="15" t="s">
        <v>144</v>
      </c>
      <c r="C39" s="13">
        <f>SUMIFS('Rec_raw_catch_effort_2010-2021'!$R:$R,'Rec_raw_catch_effort_2010-2021'!$J:$J,'Data_For_Appx_Table_C-4'!$A39,'Rec_raw_catch_effort_2010-2021'!$L:$L,'Data_For_Appx_Table_C-4'!$B39,'Rec_raw_catch_effort_2010-2021'!$E:$E,'Data_For_Appx_Table_C-4'!$C$4,'Rec_raw_catch_effort_2010-2021'!$S:$S,'Data_For_Appx_Table_C-4'!C$3)</f>
        <v>456412.85999298928</v>
      </c>
      <c r="D39" s="13">
        <f>SUMIFS('Rec_raw_catch_effort_2010-2021'!$Q:$Q,'Rec_raw_catch_effort_2010-2021'!$J:$J,'Data_For_Appx_Table_C-4'!$A39,'Rec_raw_catch_effort_2010-2021'!$L:$L,'Data_For_Appx_Table_C-4'!$B39,'Rec_raw_catch_effort_2010-2021'!$E:$E,'Data_For_Appx_Table_C-4'!$D$4,'Rec_raw_catch_effort_2010-2021'!$S:$S,'Data_For_Appx_Table_C-4'!D$3)</f>
        <v>164686.26177227517</v>
      </c>
      <c r="E39" s="13">
        <f>SUMIFS('Rec_raw_catch_effort_2010-2021'!$R:$R,'Rec_raw_catch_effort_2010-2021'!$J:$J,'Data_For_Appx_Table_C-4'!$A39,'Rec_raw_catch_effort_2010-2021'!$L:$L,'Data_For_Appx_Table_C-4'!$B39,'Rec_raw_catch_effort_2010-2021'!$E:$E,'Data_For_Appx_Table_C-4'!$E$4,'Rec_raw_catch_effort_2010-2021'!$S:$S,'Data_For_Appx_Table_C-4'!E$3)</f>
        <v>482531.85544870276</v>
      </c>
      <c r="F39" s="13">
        <f>SUMIFS('Rec_raw_catch_effort_2010-2021'!$Q:$Q,'Rec_raw_catch_effort_2010-2021'!$J:$J,'Data_For_Appx_Table_C-4'!$A39,'Rec_raw_catch_effort_2010-2021'!$L:$L,'Data_For_Appx_Table_C-4'!$B39,'Rec_raw_catch_effort_2010-2021'!$E:$E,'Data_For_Appx_Table_C-4'!$F$4,'Rec_raw_catch_effort_2010-2021'!$S:$S,'Data_For_Appx_Table_C-4'!F$3)</f>
        <v>23106.095220852192</v>
      </c>
    </row>
    <row r="40" spans="1:6" x14ac:dyDescent="0.35">
      <c r="A40" s="15" t="s">
        <v>137</v>
      </c>
      <c r="B40" s="15" t="s">
        <v>145</v>
      </c>
      <c r="C40" s="13">
        <f>SUMIFS('Rec_raw_catch_effort_2010-2021'!$R:$R,'Rec_raw_catch_effort_2010-2021'!$J:$J,'Data_For_Appx_Table_C-4'!$A40,'Rec_raw_catch_effort_2010-2021'!$L:$L,'Data_For_Appx_Table_C-4'!$B40,'Rec_raw_catch_effort_2010-2021'!$E:$E,'Data_For_Appx_Table_C-4'!$C$4,'Rec_raw_catch_effort_2010-2021'!$S:$S,'Data_For_Appx_Table_C-4'!C$3)</f>
        <v>34538.109372887819</v>
      </c>
      <c r="D40" s="13">
        <f>SUMIFS('Rec_raw_catch_effort_2010-2021'!$Q:$Q,'Rec_raw_catch_effort_2010-2021'!$J:$J,'Data_For_Appx_Table_C-4'!$A40,'Rec_raw_catch_effort_2010-2021'!$L:$L,'Data_For_Appx_Table_C-4'!$B40,'Rec_raw_catch_effort_2010-2021'!$E:$E,'Data_For_Appx_Table_C-4'!$D$4,'Rec_raw_catch_effort_2010-2021'!$S:$S,'Data_For_Appx_Table_C-4'!D$3)</f>
        <v>12986.421808696736</v>
      </c>
      <c r="E40" s="13">
        <f>SUMIFS('Rec_raw_catch_effort_2010-2021'!$R:$R,'Rec_raw_catch_effort_2010-2021'!$J:$J,'Data_For_Appx_Table_C-4'!$A40,'Rec_raw_catch_effort_2010-2021'!$L:$L,'Data_For_Appx_Table_C-4'!$B40,'Rec_raw_catch_effort_2010-2021'!$E:$E,'Data_For_Appx_Table_C-4'!$E$4,'Rec_raw_catch_effort_2010-2021'!$S:$S,'Data_For_Appx_Table_C-4'!E$3)</f>
        <v>14686.774875981799</v>
      </c>
      <c r="F40" s="13">
        <f>SUMIFS('Rec_raw_catch_effort_2010-2021'!$Q:$Q,'Rec_raw_catch_effort_2010-2021'!$J:$J,'Data_For_Appx_Table_C-4'!$A40,'Rec_raw_catch_effort_2010-2021'!$L:$L,'Data_For_Appx_Table_C-4'!$B40,'Rec_raw_catch_effort_2010-2021'!$E:$E,'Data_For_Appx_Table_C-4'!$F$4,'Rec_raw_catch_effort_2010-2021'!$S:$S,'Data_For_Appx_Table_C-4'!F$3)</f>
        <v>719.44345730302518</v>
      </c>
    </row>
    <row r="41" spans="1:6" x14ac:dyDescent="0.35">
      <c r="A41" s="15" t="s">
        <v>137</v>
      </c>
      <c r="B41" s="15" t="s">
        <v>146</v>
      </c>
      <c r="C41" s="13">
        <f>SUMIFS('Rec_raw_catch_effort_2010-2021'!$R:$R,'Rec_raw_catch_effort_2010-2021'!$J:$J,'Data_For_Appx_Table_C-4'!$A41,'Rec_raw_catch_effort_2010-2021'!$L:$L,'Data_For_Appx_Table_C-4'!$B41,'Rec_raw_catch_effort_2010-2021'!$E:$E,'Data_For_Appx_Table_C-4'!$C$4,'Rec_raw_catch_effort_2010-2021'!$S:$S,'Data_For_Appx_Table_C-4'!C$3)</f>
        <v>11712.302803137951</v>
      </c>
      <c r="D41" s="13">
        <f>SUMIFS('Rec_raw_catch_effort_2010-2021'!$Q:$Q,'Rec_raw_catch_effort_2010-2021'!$J:$J,'Data_For_Appx_Table_C-4'!$A41,'Rec_raw_catch_effort_2010-2021'!$L:$L,'Data_For_Appx_Table_C-4'!$B41,'Rec_raw_catch_effort_2010-2021'!$E:$E,'Data_For_Appx_Table_C-4'!$D$4,'Rec_raw_catch_effort_2010-2021'!$S:$S,'Data_For_Appx_Table_C-4'!D$3)</f>
        <v>4336.4223073833746</v>
      </c>
      <c r="E41" s="13">
        <f>SUMIFS('Rec_raw_catch_effort_2010-2021'!$R:$R,'Rec_raw_catch_effort_2010-2021'!$J:$J,'Data_For_Appx_Table_C-4'!$A41,'Rec_raw_catch_effort_2010-2021'!$L:$L,'Data_For_Appx_Table_C-4'!$B41,'Rec_raw_catch_effort_2010-2021'!$E:$E,'Data_For_Appx_Table_C-4'!$E$4,'Rec_raw_catch_effort_2010-2021'!$S:$S,'Data_For_Appx_Table_C-4'!E$3)</f>
        <v>2031.5460790311195</v>
      </c>
      <c r="F41" s="13">
        <f>SUMIFS('Rec_raw_catch_effort_2010-2021'!$Q:$Q,'Rec_raw_catch_effort_2010-2021'!$J:$J,'Data_For_Appx_Table_C-4'!$A41,'Rec_raw_catch_effort_2010-2021'!$L:$L,'Data_For_Appx_Table_C-4'!$B41,'Rec_raw_catch_effort_2010-2021'!$E:$E,'Data_For_Appx_Table_C-4'!$F$4,'Rec_raw_catch_effort_2010-2021'!$S:$S,'Data_For_Appx_Table_C-4'!F$3)</f>
        <v>105.29868664000369</v>
      </c>
    </row>
    <row r="42" spans="1:6" x14ac:dyDescent="0.35">
      <c r="A42" s="15" t="s">
        <v>137</v>
      </c>
      <c r="B42" s="15" t="s">
        <v>147</v>
      </c>
      <c r="C42" s="13">
        <f>SUMIFS('Rec_raw_catch_effort_2010-2021'!$R:$R,'Rec_raw_catch_effort_2010-2021'!$J:$J,'Data_For_Appx_Table_C-4'!$A42,'Rec_raw_catch_effort_2010-2021'!$L:$L,'Data_For_Appx_Table_C-4'!$B42,'Rec_raw_catch_effort_2010-2021'!$E:$E,'Data_For_Appx_Table_C-4'!$C$4,'Rec_raw_catch_effort_2010-2021'!$S:$S,'Data_For_Appx_Table_C-4'!C$3)</f>
        <v>5326.7060708305371</v>
      </c>
      <c r="D42" s="13">
        <f>SUMIFS('Rec_raw_catch_effort_2010-2021'!$Q:$Q,'Rec_raw_catch_effort_2010-2021'!$J:$J,'Data_For_Appx_Table_C-4'!$A42,'Rec_raw_catch_effort_2010-2021'!$L:$L,'Data_For_Appx_Table_C-4'!$B42,'Rec_raw_catch_effort_2010-2021'!$E:$E,'Data_For_Appx_Table_C-4'!$D$4,'Rec_raw_catch_effort_2010-2021'!$S:$S,'Data_For_Appx_Table_C-4'!D$3)</f>
        <v>2141.082248579638</v>
      </c>
      <c r="E42" s="13">
        <f>SUMIFS('Rec_raw_catch_effort_2010-2021'!$R:$R,'Rec_raw_catch_effort_2010-2021'!$J:$J,'Data_For_Appx_Table_C-4'!$A42,'Rec_raw_catch_effort_2010-2021'!$L:$L,'Data_For_Appx_Table_C-4'!$B42,'Rec_raw_catch_effort_2010-2021'!$E:$E,'Data_For_Appx_Table_C-4'!$E$4,'Rec_raw_catch_effort_2010-2021'!$S:$S,'Data_For_Appx_Table_C-4'!E$3)</f>
        <v>189.21472492301334</v>
      </c>
      <c r="F42" s="13">
        <f>SUMIFS('Rec_raw_catch_effort_2010-2021'!$Q:$Q,'Rec_raw_catch_effort_2010-2021'!$J:$J,'Data_For_Appx_Table_C-4'!$A42,'Rec_raw_catch_effort_2010-2021'!$L:$L,'Data_For_Appx_Table_C-4'!$B42,'Rec_raw_catch_effort_2010-2021'!$E:$E,'Data_For_Appx_Table_C-4'!$F$4,'Rec_raw_catch_effort_2010-2021'!$S:$S,'Data_For_Appx_Table_C-4'!F$3)</f>
        <v>21.378499999999999</v>
      </c>
    </row>
    <row r="43" spans="1:6" x14ac:dyDescent="0.35">
      <c r="A43" s="15" t="s">
        <v>137</v>
      </c>
      <c r="B43" s="15" t="s">
        <v>148</v>
      </c>
      <c r="C43" s="13">
        <f>SUMIFS('Rec_raw_catch_effort_2010-2021'!$R:$R,'Rec_raw_catch_effort_2010-2021'!$J:$J,'Data_For_Appx_Table_C-4'!$A43,'Rec_raw_catch_effort_2010-2021'!$L:$L,'Data_For_Appx_Table_C-4'!$B43,'Rec_raw_catch_effort_2010-2021'!$E:$E,'Data_For_Appx_Table_C-4'!$C$4,'Rec_raw_catch_effort_2010-2021'!$S:$S,'Data_For_Appx_Table_C-4'!C$3)</f>
        <v>83462.88626451914</v>
      </c>
      <c r="D43" s="13">
        <f>SUMIFS('Rec_raw_catch_effort_2010-2021'!$Q:$Q,'Rec_raw_catch_effort_2010-2021'!$J:$J,'Data_For_Appx_Table_C-4'!$A43,'Rec_raw_catch_effort_2010-2021'!$L:$L,'Data_For_Appx_Table_C-4'!$B43,'Rec_raw_catch_effort_2010-2021'!$E:$E,'Data_For_Appx_Table_C-4'!$D$4,'Rec_raw_catch_effort_2010-2021'!$S:$S,'Data_For_Appx_Table_C-4'!D$3)</f>
        <v>39553.060708572259</v>
      </c>
      <c r="E43" s="13">
        <f>SUMIFS('Rec_raw_catch_effort_2010-2021'!$R:$R,'Rec_raw_catch_effort_2010-2021'!$J:$J,'Data_For_Appx_Table_C-4'!$A43,'Rec_raw_catch_effort_2010-2021'!$L:$L,'Data_For_Appx_Table_C-4'!$B43,'Rec_raw_catch_effort_2010-2021'!$E:$E,'Data_For_Appx_Table_C-4'!$E$4,'Rec_raw_catch_effort_2010-2021'!$S:$S,'Data_For_Appx_Table_C-4'!E$3)</f>
        <v>2818.170549676031</v>
      </c>
      <c r="F43" s="13">
        <f>SUMIFS('Rec_raw_catch_effort_2010-2021'!$Q:$Q,'Rec_raw_catch_effort_2010-2021'!$J:$J,'Data_For_Appx_Table_C-4'!$A43,'Rec_raw_catch_effort_2010-2021'!$L:$L,'Data_For_Appx_Table_C-4'!$B43,'Rec_raw_catch_effort_2010-2021'!$E:$E,'Data_For_Appx_Table_C-4'!$F$4,'Rec_raw_catch_effort_2010-2021'!$S:$S,'Data_For_Appx_Table_C-4'!F$3)</f>
        <v>146.67419424828753</v>
      </c>
    </row>
    <row r="44" spans="1:6" x14ac:dyDescent="0.35">
      <c r="A44" s="15" t="s">
        <v>137</v>
      </c>
      <c r="B44" s="15" t="s">
        <v>149</v>
      </c>
      <c r="C44" s="13">
        <f>SUMIFS('Rec_raw_catch_effort_2010-2021'!$R:$R,'Rec_raw_catch_effort_2010-2021'!$J:$J,'Data_For_Appx_Table_C-4'!$A44,'Rec_raw_catch_effort_2010-2021'!$L:$L,'Data_For_Appx_Table_C-4'!$B44,'Rec_raw_catch_effort_2010-2021'!$E:$E,'Data_For_Appx_Table_C-4'!$C$4,'Rec_raw_catch_effort_2010-2021'!$S:$S,'Data_For_Appx_Table_C-4'!C$3)</f>
        <v>6747.5230278916479</v>
      </c>
      <c r="D44" s="13">
        <f>SUMIFS('Rec_raw_catch_effort_2010-2021'!$Q:$Q,'Rec_raw_catch_effort_2010-2021'!$J:$J,'Data_For_Appx_Table_C-4'!$A44,'Rec_raw_catch_effort_2010-2021'!$L:$L,'Data_For_Appx_Table_C-4'!$B44,'Rec_raw_catch_effort_2010-2021'!$E:$E,'Data_For_Appx_Table_C-4'!$D$4,'Rec_raw_catch_effort_2010-2021'!$S:$S,'Data_For_Appx_Table_C-4'!D$3)</f>
        <v>2952.9038778476092</v>
      </c>
      <c r="E44" s="13">
        <f>SUMIFS('Rec_raw_catch_effort_2010-2021'!$R:$R,'Rec_raw_catch_effort_2010-2021'!$J:$J,'Data_For_Appx_Table_C-4'!$A44,'Rec_raw_catch_effort_2010-2021'!$L:$L,'Data_For_Appx_Table_C-4'!$B44,'Rec_raw_catch_effort_2010-2021'!$E:$E,'Data_For_Appx_Table_C-4'!$E$4,'Rec_raw_catch_effort_2010-2021'!$S:$S,'Data_For_Appx_Table_C-4'!E$3)</f>
        <v>1514.2622319009242</v>
      </c>
      <c r="F44" s="13">
        <f>SUMIFS('Rec_raw_catch_effort_2010-2021'!$Q:$Q,'Rec_raw_catch_effort_2010-2021'!$J:$J,'Data_For_Appx_Table_C-4'!$A44,'Rec_raw_catch_effort_2010-2021'!$L:$L,'Data_For_Appx_Table_C-4'!$B44,'Rec_raw_catch_effort_2010-2021'!$E:$E,'Data_For_Appx_Table_C-4'!$F$4,'Rec_raw_catch_effort_2010-2021'!$S:$S,'Data_For_Appx_Table_C-4'!F$3)</f>
        <v>72.35843931012802</v>
      </c>
    </row>
    <row r="45" spans="1:6" x14ac:dyDescent="0.35">
      <c r="A45" s="15" t="s">
        <v>137</v>
      </c>
      <c r="B45" s="15" t="s">
        <v>150</v>
      </c>
      <c r="C45" s="13">
        <f>SUMIFS('Rec_raw_catch_effort_2010-2021'!$R:$R,'Rec_raw_catch_effort_2010-2021'!$J:$J,'Data_For_Appx_Table_C-4'!$A45,'Rec_raw_catch_effort_2010-2021'!$L:$L,'Data_For_Appx_Table_C-4'!$B45,'Rec_raw_catch_effort_2010-2021'!$E:$E,'Data_For_Appx_Table_C-4'!$C$4,'Rec_raw_catch_effort_2010-2021'!$S:$S,'Data_For_Appx_Table_C-4'!C$3)</f>
        <v>46695.950467076815</v>
      </c>
      <c r="D45" s="13">
        <f>SUMIFS('Rec_raw_catch_effort_2010-2021'!$Q:$Q,'Rec_raw_catch_effort_2010-2021'!$J:$J,'Data_For_Appx_Table_C-4'!$A45,'Rec_raw_catch_effort_2010-2021'!$L:$L,'Data_For_Appx_Table_C-4'!$B45,'Rec_raw_catch_effort_2010-2021'!$E:$E,'Data_For_Appx_Table_C-4'!$D$4,'Rec_raw_catch_effort_2010-2021'!$S:$S,'Data_For_Appx_Table_C-4'!D$3)</f>
        <v>21743.742179870093</v>
      </c>
      <c r="E45" s="13">
        <f>SUMIFS('Rec_raw_catch_effort_2010-2021'!$R:$R,'Rec_raw_catch_effort_2010-2021'!$J:$J,'Data_For_Appx_Table_C-4'!$A45,'Rec_raw_catch_effort_2010-2021'!$L:$L,'Data_For_Appx_Table_C-4'!$B45,'Rec_raw_catch_effort_2010-2021'!$E:$E,'Data_For_Appx_Table_C-4'!$E$4,'Rec_raw_catch_effort_2010-2021'!$S:$S,'Data_For_Appx_Table_C-4'!E$3)</f>
        <v>89.997339778345207</v>
      </c>
      <c r="F45" s="13">
        <f>SUMIFS('Rec_raw_catch_effort_2010-2021'!$Q:$Q,'Rec_raw_catch_effort_2010-2021'!$J:$J,'Data_For_Appx_Table_C-4'!$A45,'Rec_raw_catch_effort_2010-2021'!$L:$L,'Data_For_Appx_Table_C-4'!$B45,'Rec_raw_catch_effort_2010-2021'!$E:$E,'Data_For_Appx_Table_C-4'!$F$4,'Rec_raw_catch_effort_2010-2021'!$S:$S,'Data_For_Appx_Table_C-4'!F$3)</f>
        <v>18.744451626804562</v>
      </c>
    </row>
    <row r="46" spans="1:6" x14ac:dyDescent="0.35">
      <c r="A46" s="15" t="s">
        <v>137</v>
      </c>
      <c r="B46" s="15" t="s">
        <v>151</v>
      </c>
      <c r="C46" s="13">
        <f>SUMIFS('Rec_raw_catch_effort_2010-2021'!$R:$R,'Rec_raw_catch_effort_2010-2021'!$J:$J,'Data_For_Appx_Table_C-4'!$A46,'Rec_raw_catch_effort_2010-2021'!$L:$L,'Data_For_Appx_Table_C-4'!$B46,'Rec_raw_catch_effort_2010-2021'!$E:$E,'Data_For_Appx_Table_C-4'!$C$4,'Rec_raw_catch_effort_2010-2021'!$S:$S,'Data_For_Appx_Table_C-4'!C$3)</f>
        <v>223010.20016109326</v>
      </c>
      <c r="D46" s="13">
        <f>SUMIFS('Rec_raw_catch_effort_2010-2021'!$Q:$Q,'Rec_raw_catch_effort_2010-2021'!$J:$J,'Data_For_Appx_Table_C-4'!$A46,'Rec_raw_catch_effort_2010-2021'!$L:$L,'Data_For_Appx_Table_C-4'!$B46,'Rec_raw_catch_effort_2010-2021'!$E:$E,'Data_For_Appx_Table_C-4'!$D$4,'Rec_raw_catch_effort_2010-2021'!$S:$S,'Data_For_Appx_Table_C-4'!D$3)</f>
        <v>85843.353329522957</v>
      </c>
      <c r="E46" s="13">
        <f>SUMIFS('Rec_raw_catch_effort_2010-2021'!$R:$R,'Rec_raw_catch_effort_2010-2021'!$J:$J,'Data_For_Appx_Table_C-4'!$A46,'Rec_raw_catch_effort_2010-2021'!$L:$L,'Data_For_Appx_Table_C-4'!$B46,'Rec_raw_catch_effort_2010-2021'!$E:$E,'Data_For_Appx_Table_C-4'!$E$4,'Rec_raw_catch_effort_2010-2021'!$S:$S,'Data_For_Appx_Table_C-4'!E$3)</f>
        <v>22307.496463290234</v>
      </c>
      <c r="F46" s="13">
        <f>SUMIFS('Rec_raw_catch_effort_2010-2021'!$Q:$Q,'Rec_raw_catch_effort_2010-2021'!$J:$J,'Data_For_Appx_Table_C-4'!$A46,'Rec_raw_catch_effort_2010-2021'!$L:$L,'Data_For_Appx_Table_C-4'!$B46,'Rec_raw_catch_effort_2010-2021'!$E:$E,'Data_For_Appx_Table_C-4'!$F$4,'Rec_raw_catch_effort_2010-2021'!$S:$S,'Data_For_Appx_Table_C-4'!F$3)</f>
        <v>1114.7647870483784</v>
      </c>
    </row>
    <row r="47" spans="1:6" x14ac:dyDescent="0.35">
      <c r="A47" s="15" t="s">
        <v>154</v>
      </c>
      <c r="B47" s="15"/>
      <c r="C47" s="39">
        <f>SUM(C34:C46)</f>
        <v>3073966.5198783604</v>
      </c>
      <c r="D47" s="39">
        <f>SUM(D34:D46)</f>
        <v>1106595.5742952726</v>
      </c>
      <c r="E47" s="39">
        <f>SUM(E34:E46)</f>
        <v>1077498.7122632281</v>
      </c>
      <c r="F47" s="39">
        <f>SUM(F34:F46)</f>
        <v>52327.194850267908</v>
      </c>
    </row>
    <row r="48" spans="1:6" x14ac:dyDescent="0.35">
      <c r="A48" s="15" t="s">
        <v>139</v>
      </c>
      <c r="B48" s="15" t="s">
        <v>134</v>
      </c>
      <c r="C48" s="13">
        <f>SUMIFS('Rec_raw_catch_effort_2010-2021'!$R:$R,'Rec_raw_catch_effort_2010-2021'!$J:$J,'Data_For_Appx_Table_C-4'!$A48,'Rec_raw_catch_effort_2010-2021'!$L:$L,'Data_For_Appx_Table_C-4'!$B48,'Rec_raw_catch_effort_2010-2021'!$E:$E,'Data_For_Appx_Table_C-4'!$C$4,'Rec_raw_catch_effort_2010-2021'!$S:$S,'Data_For_Appx_Table_C-4'!C$3)</f>
        <v>3881.3163437383778</v>
      </c>
      <c r="D48" s="13">
        <f>SUMIFS('Rec_raw_catch_effort_2010-2021'!$Q:$Q,'Rec_raw_catch_effort_2010-2021'!$J:$J,'Data_For_Appx_Table_C-4'!$A48,'Rec_raw_catch_effort_2010-2021'!$L:$L,'Data_For_Appx_Table_C-4'!$B48,'Rec_raw_catch_effort_2010-2021'!$E:$E,'Data_For_Appx_Table_C-4'!$D$4,'Rec_raw_catch_effort_2010-2021'!$S:$S,'Data_For_Appx_Table_C-4'!D$3)</f>
        <v>1210.5081334861948</v>
      </c>
      <c r="E48" s="13">
        <f>SUMIFS('Rec_raw_catch_effort_2010-2021'!$R:$R,'Rec_raw_catch_effort_2010-2021'!$J:$J,'Data_For_Appx_Table_C-4'!$A48,'Rec_raw_catch_effort_2010-2021'!$L:$L,'Data_For_Appx_Table_C-4'!$B48,'Rec_raw_catch_effort_2010-2021'!$E:$E,'Data_For_Appx_Table_C-4'!$E$4,'Rec_raw_catch_effort_2010-2021'!$S:$S,'Data_For_Appx_Table_C-4'!E$3)</f>
        <v>147.77192070220892</v>
      </c>
      <c r="F48" s="13">
        <f>SUMIFS('Rec_raw_catch_effort_2010-2021'!$Q:$Q,'Rec_raw_catch_effort_2010-2021'!$J:$J,'Data_For_Appx_Table_C-4'!$A48,'Rec_raw_catch_effort_2010-2021'!$L:$L,'Data_For_Appx_Table_C-4'!$B48,'Rec_raw_catch_effort_2010-2021'!$E:$E,'Data_For_Appx_Table_C-4'!$F$4,'Rec_raw_catch_effort_2010-2021'!$S:$S,'Data_For_Appx_Table_C-4'!F$3)</f>
        <v>7.0612244897959204</v>
      </c>
    </row>
    <row r="49" spans="1:6" x14ac:dyDescent="0.35">
      <c r="A49" s="15" t="s">
        <v>139</v>
      </c>
      <c r="B49" s="15" t="s">
        <v>136</v>
      </c>
      <c r="C49" s="13">
        <f>SUMIFS('Rec_raw_catch_effort_2010-2021'!$R:$R,'Rec_raw_catch_effort_2010-2021'!$J:$J,'Data_For_Appx_Table_C-4'!$A49,'Rec_raw_catch_effort_2010-2021'!$L:$L,'Data_For_Appx_Table_C-4'!$B49,'Rec_raw_catch_effort_2010-2021'!$E:$E,'Data_For_Appx_Table_C-4'!$C$4,'Rec_raw_catch_effort_2010-2021'!$S:$S,'Data_For_Appx_Table_C-4'!C$3)</f>
        <v>4640.2371567490572</v>
      </c>
      <c r="D49" s="13">
        <f>SUMIFS('Rec_raw_catch_effort_2010-2021'!$Q:$Q,'Rec_raw_catch_effort_2010-2021'!$J:$J,'Data_For_Appx_Table_C-4'!$A49,'Rec_raw_catch_effort_2010-2021'!$L:$L,'Data_For_Appx_Table_C-4'!$B49,'Rec_raw_catch_effort_2010-2021'!$E:$E,'Data_For_Appx_Table_C-4'!$D$4,'Rec_raw_catch_effort_2010-2021'!$S:$S,'Data_For_Appx_Table_C-4'!D$3)</f>
        <v>1551.0540665287838</v>
      </c>
      <c r="E49" s="13">
        <f>SUMIFS('Rec_raw_catch_effort_2010-2021'!$R:$R,'Rec_raw_catch_effort_2010-2021'!$J:$J,'Data_For_Appx_Table_C-4'!$A49,'Rec_raw_catch_effort_2010-2021'!$L:$L,'Data_For_Appx_Table_C-4'!$B49,'Rec_raw_catch_effort_2010-2021'!$E:$E,'Data_For_Appx_Table_C-4'!$E$4,'Rec_raw_catch_effort_2010-2021'!$S:$S,'Data_For_Appx_Table_C-4'!E$3)</f>
        <v>0</v>
      </c>
      <c r="F49" s="13">
        <f>SUMIFS('Rec_raw_catch_effort_2010-2021'!$Q:$Q,'Rec_raw_catch_effort_2010-2021'!$J:$J,'Data_For_Appx_Table_C-4'!$A49,'Rec_raw_catch_effort_2010-2021'!$L:$L,'Data_For_Appx_Table_C-4'!$B49,'Rec_raw_catch_effort_2010-2021'!$E:$E,'Data_For_Appx_Table_C-4'!$F$4,'Rec_raw_catch_effort_2010-2021'!$S:$S,'Data_For_Appx_Table_C-4'!F$3)</f>
        <v>0</v>
      </c>
    </row>
    <row r="50" spans="1:6" x14ac:dyDescent="0.35">
      <c r="A50" s="15" t="s">
        <v>139</v>
      </c>
      <c r="B50" s="15" t="s">
        <v>138</v>
      </c>
      <c r="C50" s="13">
        <f>SUMIFS('Rec_raw_catch_effort_2010-2021'!$R:$R,'Rec_raw_catch_effort_2010-2021'!$J:$J,'Data_For_Appx_Table_C-4'!$A50,'Rec_raw_catch_effort_2010-2021'!$L:$L,'Data_For_Appx_Table_C-4'!$B50,'Rec_raw_catch_effort_2010-2021'!$E:$E,'Data_For_Appx_Table_C-4'!$C$4,'Rec_raw_catch_effort_2010-2021'!$S:$S,'Data_For_Appx_Table_C-4'!C$3)</f>
        <v>120089.95516793113</v>
      </c>
      <c r="D50" s="13">
        <f>SUMIFS('Rec_raw_catch_effort_2010-2021'!$Q:$Q,'Rec_raw_catch_effort_2010-2021'!$J:$J,'Data_For_Appx_Table_C-4'!$A50,'Rec_raw_catch_effort_2010-2021'!$L:$L,'Data_For_Appx_Table_C-4'!$B50,'Rec_raw_catch_effort_2010-2021'!$E:$E,'Data_For_Appx_Table_C-4'!$D$4,'Rec_raw_catch_effort_2010-2021'!$S:$S,'Data_For_Appx_Table_C-4'!D$3)</f>
        <v>53570.384355463961</v>
      </c>
      <c r="E50" s="13">
        <f>SUMIFS('Rec_raw_catch_effort_2010-2021'!$R:$R,'Rec_raw_catch_effort_2010-2021'!$J:$J,'Data_For_Appx_Table_C-4'!$A50,'Rec_raw_catch_effort_2010-2021'!$L:$L,'Data_For_Appx_Table_C-4'!$B50,'Rec_raw_catch_effort_2010-2021'!$E:$E,'Data_For_Appx_Table_C-4'!$E$4,'Rec_raw_catch_effort_2010-2021'!$S:$S,'Data_For_Appx_Table_C-4'!E$3)</f>
        <v>777.28972827596897</v>
      </c>
      <c r="F50" s="13">
        <f>SUMIFS('Rec_raw_catch_effort_2010-2021'!$Q:$Q,'Rec_raw_catch_effort_2010-2021'!$J:$J,'Data_For_Appx_Table_C-4'!$A50,'Rec_raw_catch_effort_2010-2021'!$L:$L,'Data_For_Appx_Table_C-4'!$B50,'Rec_raw_catch_effort_2010-2021'!$E:$E,'Data_For_Appx_Table_C-4'!$F$4,'Rec_raw_catch_effort_2010-2021'!$S:$S,'Data_For_Appx_Table_C-4'!F$3)</f>
        <v>37.142491204603012</v>
      </c>
    </row>
    <row r="51" spans="1:6" x14ac:dyDescent="0.35">
      <c r="A51" s="15" t="s">
        <v>139</v>
      </c>
      <c r="B51" s="15" t="s">
        <v>140</v>
      </c>
      <c r="C51" s="13">
        <f>SUMIFS('Rec_raw_catch_effort_2010-2021'!$R:$R,'Rec_raw_catch_effort_2010-2021'!$J:$J,'Data_For_Appx_Table_C-4'!$A51,'Rec_raw_catch_effort_2010-2021'!$L:$L,'Data_For_Appx_Table_C-4'!$B51,'Rec_raw_catch_effort_2010-2021'!$E:$E,'Data_For_Appx_Table_C-4'!$C$4,'Rec_raw_catch_effort_2010-2021'!$S:$S,'Data_For_Appx_Table_C-4'!C$3)</f>
        <v>4789.5683838971308</v>
      </c>
      <c r="D51" s="13">
        <f>SUMIFS('Rec_raw_catch_effort_2010-2021'!$Q:$Q,'Rec_raw_catch_effort_2010-2021'!$J:$J,'Data_For_Appx_Table_C-4'!$A51,'Rec_raw_catch_effort_2010-2021'!$L:$L,'Data_For_Appx_Table_C-4'!$B51,'Rec_raw_catch_effort_2010-2021'!$E:$E,'Data_For_Appx_Table_C-4'!$D$4,'Rec_raw_catch_effort_2010-2021'!$S:$S,'Data_For_Appx_Table_C-4'!D$3)</f>
        <v>1958.3235793537181</v>
      </c>
      <c r="E51" s="13">
        <f>SUMIFS('Rec_raw_catch_effort_2010-2021'!$R:$R,'Rec_raw_catch_effort_2010-2021'!$J:$J,'Data_For_Appx_Table_C-4'!$A51,'Rec_raw_catch_effort_2010-2021'!$L:$L,'Data_For_Appx_Table_C-4'!$B51,'Rec_raw_catch_effort_2010-2021'!$E:$E,'Data_For_Appx_Table_C-4'!$E$4,'Rec_raw_catch_effort_2010-2021'!$S:$S,'Data_For_Appx_Table_C-4'!E$3)</f>
        <v>0</v>
      </c>
      <c r="F51" s="13">
        <f>SUMIFS('Rec_raw_catch_effort_2010-2021'!$Q:$Q,'Rec_raw_catch_effort_2010-2021'!$J:$J,'Data_For_Appx_Table_C-4'!$A51,'Rec_raw_catch_effort_2010-2021'!$L:$L,'Data_For_Appx_Table_C-4'!$B51,'Rec_raw_catch_effort_2010-2021'!$E:$E,'Data_For_Appx_Table_C-4'!$F$4,'Rec_raw_catch_effort_2010-2021'!$S:$S,'Data_For_Appx_Table_C-4'!F$3)</f>
        <v>0</v>
      </c>
    </row>
    <row r="52" spans="1:6" x14ac:dyDescent="0.35">
      <c r="A52" s="15" t="s">
        <v>139</v>
      </c>
      <c r="B52" s="15" t="s">
        <v>142</v>
      </c>
      <c r="C52" s="13">
        <f>SUMIFS('Rec_raw_catch_effort_2010-2021'!$R:$R,'Rec_raw_catch_effort_2010-2021'!$J:$J,'Data_For_Appx_Table_C-4'!$A52,'Rec_raw_catch_effort_2010-2021'!$L:$L,'Data_For_Appx_Table_C-4'!$B52,'Rec_raw_catch_effort_2010-2021'!$E:$E,'Data_For_Appx_Table_C-4'!$C$4,'Rec_raw_catch_effort_2010-2021'!$S:$S,'Data_For_Appx_Table_C-4'!C$3)</f>
        <v>539.49256973983211</v>
      </c>
      <c r="D52" s="13">
        <f>SUMIFS('Rec_raw_catch_effort_2010-2021'!$Q:$Q,'Rec_raw_catch_effort_2010-2021'!$J:$J,'Data_For_Appx_Table_C-4'!$A52,'Rec_raw_catch_effort_2010-2021'!$L:$L,'Data_For_Appx_Table_C-4'!$B52,'Rec_raw_catch_effort_2010-2021'!$E:$E,'Data_For_Appx_Table_C-4'!$D$4,'Rec_raw_catch_effort_2010-2021'!$S:$S,'Data_For_Appx_Table_C-4'!D$3)</f>
        <v>253.56277090087863</v>
      </c>
      <c r="E52" s="13">
        <f>SUMIFS('Rec_raw_catch_effort_2010-2021'!$R:$R,'Rec_raw_catch_effort_2010-2021'!$J:$J,'Data_For_Appx_Table_C-4'!$A52,'Rec_raw_catch_effort_2010-2021'!$L:$L,'Data_For_Appx_Table_C-4'!$B52,'Rec_raw_catch_effort_2010-2021'!$E:$E,'Data_For_Appx_Table_C-4'!$E$4,'Rec_raw_catch_effort_2010-2021'!$S:$S,'Data_For_Appx_Table_C-4'!E$3)</f>
        <v>0</v>
      </c>
      <c r="F52" s="13">
        <f>SUMIFS('Rec_raw_catch_effort_2010-2021'!$Q:$Q,'Rec_raw_catch_effort_2010-2021'!$J:$J,'Data_For_Appx_Table_C-4'!$A52,'Rec_raw_catch_effort_2010-2021'!$L:$L,'Data_For_Appx_Table_C-4'!$B52,'Rec_raw_catch_effort_2010-2021'!$E:$E,'Data_For_Appx_Table_C-4'!$F$4,'Rec_raw_catch_effort_2010-2021'!$S:$S,'Data_For_Appx_Table_C-4'!F$3)</f>
        <v>0</v>
      </c>
    </row>
    <row r="53" spans="1:6" x14ac:dyDescent="0.35">
      <c r="A53" s="15" t="s">
        <v>139</v>
      </c>
      <c r="B53" s="15" t="s">
        <v>144</v>
      </c>
      <c r="C53" s="13">
        <f>SUMIFS('Rec_raw_catch_effort_2010-2021'!$R:$R,'Rec_raw_catch_effort_2010-2021'!$J:$J,'Data_For_Appx_Table_C-4'!$A53,'Rec_raw_catch_effort_2010-2021'!$L:$L,'Data_For_Appx_Table_C-4'!$B53,'Rec_raw_catch_effort_2010-2021'!$E:$E,'Data_For_Appx_Table_C-4'!$C$4,'Rec_raw_catch_effort_2010-2021'!$S:$S,'Data_For_Appx_Table_C-4'!C$3)</f>
        <v>1508813.9837193748</v>
      </c>
      <c r="D53" s="13">
        <f>SUMIFS('Rec_raw_catch_effort_2010-2021'!$Q:$Q,'Rec_raw_catch_effort_2010-2021'!$J:$J,'Data_For_Appx_Table_C-4'!$A53,'Rec_raw_catch_effort_2010-2021'!$L:$L,'Data_For_Appx_Table_C-4'!$B53,'Rec_raw_catch_effort_2010-2021'!$E:$E,'Data_For_Appx_Table_C-4'!$D$4,'Rec_raw_catch_effort_2010-2021'!$S:$S,'Data_For_Appx_Table_C-4'!D$3)</f>
        <v>459806.16995571047</v>
      </c>
      <c r="E53" s="13">
        <f>SUMIFS('Rec_raw_catch_effort_2010-2021'!$R:$R,'Rec_raw_catch_effort_2010-2021'!$J:$J,'Data_For_Appx_Table_C-4'!$A53,'Rec_raw_catch_effort_2010-2021'!$L:$L,'Data_For_Appx_Table_C-4'!$B53,'Rec_raw_catch_effort_2010-2021'!$E:$E,'Data_For_Appx_Table_C-4'!$E$4,'Rec_raw_catch_effort_2010-2021'!$S:$S,'Data_For_Appx_Table_C-4'!E$3)</f>
        <v>57733.524755891514</v>
      </c>
      <c r="F53" s="13">
        <f>SUMIFS('Rec_raw_catch_effort_2010-2021'!$Q:$Q,'Rec_raw_catch_effort_2010-2021'!$J:$J,'Data_For_Appx_Table_C-4'!$A53,'Rec_raw_catch_effort_2010-2021'!$L:$L,'Data_For_Appx_Table_C-4'!$B53,'Rec_raw_catch_effort_2010-2021'!$E:$E,'Data_For_Appx_Table_C-4'!$F$4,'Rec_raw_catch_effort_2010-2021'!$S:$S,'Data_For_Appx_Table_C-4'!F$3)</f>
        <v>2758.7743121379503</v>
      </c>
    </row>
    <row r="54" spans="1:6" x14ac:dyDescent="0.35">
      <c r="A54" s="15" t="s">
        <v>139</v>
      </c>
      <c r="B54" s="15" t="s">
        <v>145</v>
      </c>
      <c r="C54" s="13">
        <f>SUMIFS('Rec_raw_catch_effort_2010-2021'!$R:$R,'Rec_raw_catch_effort_2010-2021'!$J:$J,'Data_For_Appx_Table_C-4'!$A54,'Rec_raw_catch_effort_2010-2021'!$L:$L,'Data_For_Appx_Table_C-4'!$B54,'Rec_raw_catch_effort_2010-2021'!$E:$E,'Data_For_Appx_Table_C-4'!$C$4,'Rec_raw_catch_effort_2010-2021'!$S:$S,'Data_For_Appx_Table_C-4'!C$3)</f>
        <v>1633358.6243884023</v>
      </c>
      <c r="D54" s="13">
        <f>SUMIFS('Rec_raw_catch_effort_2010-2021'!$Q:$Q,'Rec_raw_catch_effort_2010-2021'!$J:$J,'Data_For_Appx_Table_C-4'!$A54,'Rec_raw_catch_effort_2010-2021'!$L:$L,'Data_For_Appx_Table_C-4'!$B54,'Rec_raw_catch_effort_2010-2021'!$E:$E,'Data_For_Appx_Table_C-4'!$D$4,'Rec_raw_catch_effort_2010-2021'!$S:$S,'Data_For_Appx_Table_C-4'!D$3)</f>
        <v>426539.19880996516</v>
      </c>
      <c r="E54" s="13">
        <f>SUMIFS('Rec_raw_catch_effort_2010-2021'!$R:$R,'Rec_raw_catch_effort_2010-2021'!$J:$J,'Data_For_Appx_Table_C-4'!$A54,'Rec_raw_catch_effort_2010-2021'!$L:$L,'Data_For_Appx_Table_C-4'!$B54,'Rec_raw_catch_effort_2010-2021'!$E:$E,'Data_For_Appx_Table_C-4'!$E$4,'Rec_raw_catch_effort_2010-2021'!$S:$S,'Data_For_Appx_Table_C-4'!E$3)</f>
        <v>21660.548094698432</v>
      </c>
      <c r="F54" s="13">
        <f>SUMIFS('Rec_raw_catch_effort_2010-2021'!$Q:$Q,'Rec_raw_catch_effort_2010-2021'!$J:$J,'Data_For_Appx_Table_C-4'!$A54,'Rec_raw_catch_effort_2010-2021'!$L:$L,'Data_For_Appx_Table_C-4'!$B54,'Rec_raw_catch_effort_2010-2021'!$E:$E,'Data_For_Appx_Table_C-4'!$F$4,'Rec_raw_catch_effort_2010-2021'!$S:$S,'Data_For_Appx_Table_C-4'!F$3)</f>
        <v>1035.040973561634</v>
      </c>
    </row>
    <row r="55" spans="1:6" x14ac:dyDescent="0.35">
      <c r="A55" s="15" t="s">
        <v>139</v>
      </c>
      <c r="B55" s="15" t="s">
        <v>146</v>
      </c>
      <c r="C55" s="13">
        <f>SUMIFS('Rec_raw_catch_effort_2010-2021'!$R:$R,'Rec_raw_catch_effort_2010-2021'!$J:$J,'Data_For_Appx_Table_C-4'!$A55,'Rec_raw_catch_effort_2010-2021'!$L:$L,'Data_For_Appx_Table_C-4'!$B55,'Rec_raw_catch_effort_2010-2021'!$E:$E,'Data_For_Appx_Table_C-4'!$C$4,'Rec_raw_catch_effort_2010-2021'!$S:$S,'Data_For_Appx_Table_C-4'!C$3)</f>
        <v>326086.57306272577</v>
      </c>
      <c r="D55" s="13">
        <f>SUMIFS('Rec_raw_catch_effort_2010-2021'!$Q:$Q,'Rec_raw_catch_effort_2010-2021'!$J:$J,'Data_For_Appx_Table_C-4'!$A55,'Rec_raw_catch_effort_2010-2021'!$L:$L,'Data_For_Appx_Table_C-4'!$B55,'Rec_raw_catch_effort_2010-2021'!$E:$E,'Data_For_Appx_Table_C-4'!$D$4,'Rec_raw_catch_effort_2010-2021'!$S:$S,'Data_For_Appx_Table_C-4'!D$3)</f>
        <v>80714.417819224065</v>
      </c>
      <c r="E55" s="13">
        <f>SUMIFS('Rec_raw_catch_effort_2010-2021'!$R:$R,'Rec_raw_catch_effort_2010-2021'!$J:$J,'Data_For_Appx_Table_C-4'!$A55,'Rec_raw_catch_effort_2010-2021'!$L:$L,'Data_For_Appx_Table_C-4'!$B55,'Rec_raw_catch_effort_2010-2021'!$E:$E,'Data_For_Appx_Table_C-4'!$E$4,'Rec_raw_catch_effort_2010-2021'!$S:$S,'Data_For_Appx_Table_C-4'!E$3)</f>
        <v>446.0270364439948</v>
      </c>
      <c r="F55" s="13">
        <f>SUMIFS('Rec_raw_catch_effort_2010-2021'!$Q:$Q,'Rec_raw_catch_effort_2010-2021'!$J:$J,'Data_For_Appx_Table_C-4'!$A55,'Rec_raw_catch_effort_2010-2021'!$L:$L,'Data_For_Appx_Table_C-4'!$B55,'Rec_raw_catch_effort_2010-2021'!$E:$E,'Data_For_Appx_Table_C-4'!$F$4,'Rec_raw_catch_effort_2010-2021'!$S:$S,'Data_For_Appx_Table_C-4'!F$3)</f>
        <v>21.313230672533003</v>
      </c>
    </row>
    <row r="56" spans="1:6" x14ac:dyDescent="0.35">
      <c r="A56" s="15" t="s">
        <v>139</v>
      </c>
      <c r="B56" s="15" t="s">
        <v>147</v>
      </c>
      <c r="C56" s="13">
        <f>SUMIFS('Rec_raw_catch_effort_2010-2021'!$R:$R,'Rec_raw_catch_effort_2010-2021'!$J:$J,'Data_For_Appx_Table_C-4'!$A56,'Rec_raw_catch_effort_2010-2021'!$L:$L,'Data_For_Appx_Table_C-4'!$B56,'Rec_raw_catch_effort_2010-2021'!$E:$E,'Data_For_Appx_Table_C-4'!$C$4,'Rec_raw_catch_effort_2010-2021'!$S:$S,'Data_For_Appx_Table_C-4'!C$3)</f>
        <v>38550.212189871243</v>
      </c>
      <c r="D56" s="13">
        <f>SUMIFS('Rec_raw_catch_effort_2010-2021'!$Q:$Q,'Rec_raw_catch_effort_2010-2021'!$J:$J,'Data_For_Appx_Table_C-4'!$A56,'Rec_raw_catch_effort_2010-2021'!$L:$L,'Data_For_Appx_Table_C-4'!$B56,'Rec_raw_catch_effort_2010-2021'!$E:$E,'Data_For_Appx_Table_C-4'!$D$4,'Rec_raw_catch_effort_2010-2021'!$S:$S,'Data_For_Appx_Table_C-4'!D$3)</f>
        <v>8804.8714911955685</v>
      </c>
      <c r="E56" s="13">
        <f>SUMIFS('Rec_raw_catch_effort_2010-2021'!$R:$R,'Rec_raw_catch_effort_2010-2021'!$J:$J,'Data_For_Appx_Table_C-4'!$A56,'Rec_raw_catch_effort_2010-2021'!$L:$L,'Data_For_Appx_Table_C-4'!$B56,'Rec_raw_catch_effort_2010-2021'!$E:$E,'Data_For_Appx_Table_C-4'!$E$4,'Rec_raw_catch_effort_2010-2021'!$S:$S,'Data_For_Appx_Table_C-4'!E$3)</f>
        <v>0</v>
      </c>
      <c r="F56" s="13">
        <f>SUMIFS('Rec_raw_catch_effort_2010-2021'!$Q:$Q,'Rec_raw_catch_effort_2010-2021'!$J:$J,'Data_For_Appx_Table_C-4'!$A56,'Rec_raw_catch_effort_2010-2021'!$L:$L,'Data_For_Appx_Table_C-4'!$B56,'Rec_raw_catch_effort_2010-2021'!$E:$E,'Data_For_Appx_Table_C-4'!$F$4,'Rec_raw_catch_effort_2010-2021'!$S:$S,'Data_For_Appx_Table_C-4'!F$3)</f>
        <v>0</v>
      </c>
    </row>
    <row r="57" spans="1:6" x14ac:dyDescent="0.35">
      <c r="A57" s="15" t="s">
        <v>139</v>
      </c>
      <c r="B57" s="15" t="s">
        <v>148</v>
      </c>
      <c r="C57" s="13">
        <f>SUMIFS('Rec_raw_catch_effort_2010-2021'!$R:$R,'Rec_raw_catch_effort_2010-2021'!$J:$J,'Data_For_Appx_Table_C-4'!$A57,'Rec_raw_catch_effort_2010-2021'!$L:$L,'Data_For_Appx_Table_C-4'!$B57,'Rec_raw_catch_effort_2010-2021'!$E:$E,'Data_For_Appx_Table_C-4'!$C$4,'Rec_raw_catch_effort_2010-2021'!$S:$S,'Data_For_Appx_Table_C-4'!C$3)</f>
        <v>131877.61010856638</v>
      </c>
      <c r="D57" s="13">
        <f>SUMIFS('Rec_raw_catch_effort_2010-2021'!$Q:$Q,'Rec_raw_catch_effort_2010-2021'!$J:$J,'Data_For_Appx_Table_C-4'!$A57,'Rec_raw_catch_effort_2010-2021'!$L:$L,'Data_For_Appx_Table_C-4'!$B57,'Rec_raw_catch_effort_2010-2021'!$E:$E,'Data_For_Appx_Table_C-4'!$D$4,'Rec_raw_catch_effort_2010-2021'!$S:$S,'Data_For_Appx_Table_C-4'!D$3)</f>
        <v>47021.263804000948</v>
      </c>
      <c r="E57" s="13">
        <f>SUMIFS('Rec_raw_catch_effort_2010-2021'!$R:$R,'Rec_raw_catch_effort_2010-2021'!$J:$J,'Data_For_Appx_Table_C-4'!$A57,'Rec_raw_catch_effort_2010-2021'!$L:$L,'Data_For_Appx_Table_C-4'!$B57,'Rec_raw_catch_effort_2010-2021'!$E:$E,'Data_For_Appx_Table_C-4'!$E$4,'Rec_raw_catch_effort_2010-2021'!$S:$S,'Data_For_Appx_Table_C-4'!E$3)</f>
        <v>77.840224049713967</v>
      </c>
      <c r="F57" s="13">
        <f>SUMIFS('Rec_raw_catch_effort_2010-2021'!$Q:$Q,'Rec_raw_catch_effort_2010-2021'!$J:$J,'Data_For_Appx_Table_C-4'!$A57,'Rec_raw_catch_effort_2010-2021'!$L:$L,'Data_For_Appx_Table_C-4'!$B57,'Rec_raw_catch_effort_2010-2021'!$E:$E,'Data_For_Appx_Table_C-4'!$F$4,'Rec_raw_catch_effort_2010-2021'!$S:$S,'Data_For_Appx_Table_C-4'!F$3)</f>
        <v>3.7195652173912999</v>
      </c>
    </row>
    <row r="58" spans="1:6" x14ac:dyDescent="0.35">
      <c r="A58" s="15" t="s">
        <v>139</v>
      </c>
      <c r="B58" s="15" t="s">
        <v>149</v>
      </c>
      <c r="C58" s="13">
        <f>SUMIFS('Rec_raw_catch_effort_2010-2021'!$R:$R,'Rec_raw_catch_effort_2010-2021'!$J:$J,'Data_For_Appx_Table_C-4'!$A58,'Rec_raw_catch_effort_2010-2021'!$L:$L,'Data_For_Appx_Table_C-4'!$B58,'Rec_raw_catch_effort_2010-2021'!$E:$E,'Data_For_Appx_Table_C-4'!$C$4,'Rec_raw_catch_effort_2010-2021'!$S:$S,'Data_For_Appx_Table_C-4'!C$3)</f>
        <v>2641.5920034891228</v>
      </c>
      <c r="D58" s="13">
        <f>SUMIFS('Rec_raw_catch_effort_2010-2021'!$Q:$Q,'Rec_raw_catch_effort_2010-2021'!$J:$J,'Data_For_Appx_Table_C-4'!$A58,'Rec_raw_catch_effort_2010-2021'!$L:$L,'Data_For_Appx_Table_C-4'!$B58,'Rec_raw_catch_effort_2010-2021'!$E:$E,'Data_For_Appx_Table_C-4'!$D$4,'Rec_raw_catch_effort_2010-2021'!$S:$S,'Data_For_Appx_Table_C-4'!D$3)</f>
        <v>756.53791350155416</v>
      </c>
      <c r="E58" s="13">
        <f>SUMIFS('Rec_raw_catch_effort_2010-2021'!$R:$R,'Rec_raw_catch_effort_2010-2021'!$J:$J,'Data_For_Appx_Table_C-4'!$A58,'Rec_raw_catch_effort_2010-2021'!$L:$L,'Data_For_Appx_Table_C-4'!$B58,'Rec_raw_catch_effort_2010-2021'!$E:$E,'Data_For_Appx_Table_C-4'!$E$4,'Rec_raw_catch_effort_2010-2021'!$S:$S,'Data_For_Appx_Table_C-4'!E$3)</f>
        <v>83.222269361729246</v>
      </c>
      <c r="F58" s="13">
        <f>SUMIFS('Rec_raw_catch_effort_2010-2021'!$Q:$Q,'Rec_raw_catch_effort_2010-2021'!$J:$J,'Data_For_Appx_Table_C-4'!$A58,'Rec_raw_catch_effort_2010-2021'!$L:$L,'Data_For_Appx_Table_C-4'!$B58,'Rec_raw_catch_effort_2010-2021'!$E:$E,'Data_For_Appx_Table_C-4'!$F$4,'Rec_raw_catch_effort_2010-2021'!$S:$S,'Data_For_Appx_Table_C-4'!F$3)</f>
        <v>3.9767441860465098</v>
      </c>
    </row>
    <row r="59" spans="1:6" x14ac:dyDescent="0.35">
      <c r="A59" s="15" t="s">
        <v>139</v>
      </c>
      <c r="B59" s="15" t="s">
        <v>150</v>
      </c>
      <c r="C59" s="13">
        <f>SUMIFS('Rec_raw_catch_effort_2010-2021'!$R:$R,'Rec_raw_catch_effort_2010-2021'!$J:$J,'Data_For_Appx_Table_C-4'!$A59,'Rec_raw_catch_effort_2010-2021'!$L:$L,'Data_For_Appx_Table_C-4'!$B59,'Rec_raw_catch_effort_2010-2021'!$E:$E,'Data_For_Appx_Table_C-4'!$C$4,'Rec_raw_catch_effort_2010-2021'!$S:$S,'Data_For_Appx_Table_C-4'!C$3)</f>
        <v>2250.928012041818</v>
      </c>
      <c r="D59" s="13">
        <f>SUMIFS('Rec_raw_catch_effort_2010-2021'!$Q:$Q,'Rec_raw_catch_effort_2010-2021'!$J:$J,'Data_For_Appx_Table_C-4'!$A59,'Rec_raw_catch_effort_2010-2021'!$L:$L,'Data_For_Appx_Table_C-4'!$B59,'Rec_raw_catch_effort_2010-2021'!$E:$E,'Data_For_Appx_Table_C-4'!$D$4,'Rec_raw_catch_effort_2010-2021'!$S:$S,'Data_For_Appx_Table_C-4'!D$3)</f>
        <v>984.0117040635821</v>
      </c>
      <c r="E59" s="13">
        <f>SUMIFS('Rec_raw_catch_effort_2010-2021'!$R:$R,'Rec_raw_catch_effort_2010-2021'!$J:$J,'Data_For_Appx_Table_C-4'!$A59,'Rec_raw_catch_effort_2010-2021'!$L:$L,'Data_For_Appx_Table_C-4'!$B59,'Rec_raw_catch_effort_2010-2021'!$E:$E,'Data_For_Appx_Table_C-4'!$E$4,'Rec_raw_catch_effort_2010-2021'!$S:$S,'Data_For_Appx_Table_C-4'!E$3)</f>
        <v>0</v>
      </c>
      <c r="F59" s="13">
        <f>SUMIFS('Rec_raw_catch_effort_2010-2021'!$Q:$Q,'Rec_raw_catch_effort_2010-2021'!$J:$J,'Data_For_Appx_Table_C-4'!$A59,'Rec_raw_catch_effort_2010-2021'!$L:$L,'Data_For_Appx_Table_C-4'!$B59,'Rec_raw_catch_effort_2010-2021'!$E:$E,'Data_For_Appx_Table_C-4'!$F$4,'Rec_raw_catch_effort_2010-2021'!$S:$S,'Data_For_Appx_Table_C-4'!F$3)</f>
        <v>0</v>
      </c>
    </row>
    <row r="60" spans="1:6" x14ac:dyDescent="0.35">
      <c r="A60" s="15" t="s">
        <v>139</v>
      </c>
      <c r="B60" s="15" t="s">
        <v>151</v>
      </c>
      <c r="C60" s="13">
        <f>SUMIFS('Rec_raw_catch_effort_2010-2021'!$R:$R,'Rec_raw_catch_effort_2010-2021'!$J:$J,'Data_For_Appx_Table_C-4'!$A60,'Rec_raw_catch_effort_2010-2021'!$L:$L,'Data_For_Appx_Table_C-4'!$B60,'Rec_raw_catch_effort_2010-2021'!$E:$E,'Data_For_Appx_Table_C-4'!$C$4,'Rec_raw_catch_effort_2010-2021'!$S:$S,'Data_For_Appx_Table_C-4'!C$3)</f>
        <v>222135.92350835825</v>
      </c>
      <c r="D60" s="13">
        <f>SUMIFS('Rec_raw_catch_effort_2010-2021'!$Q:$Q,'Rec_raw_catch_effort_2010-2021'!$J:$J,'Data_For_Appx_Table_C-4'!$A60,'Rec_raw_catch_effort_2010-2021'!$L:$L,'Data_For_Appx_Table_C-4'!$B60,'Rec_raw_catch_effort_2010-2021'!$E:$E,'Data_For_Appx_Table_C-4'!$D$4,'Rec_raw_catch_effort_2010-2021'!$S:$S,'Data_For_Appx_Table_C-4'!D$3)</f>
        <v>72604.290733146772</v>
      </c>
      <c r="E60" s="13">
        <f>SUMIFS('Rec_raw_catch_effort_2010-2021'!$R:$R,'Rec_raw_catch_effort_2010-2021'!$J:$J,'Data_For_Appx_Table_C-4'!$A60,'Rec_raw_catch_effort_2010-2021'!$L:$L,'Data_For_Appx_Table_C-4'!$B60,'Rec_raw_catch_effort_2010-2021'!$E:$E,'Data_For_Appx_Table_C-4'!$E$4,'Rec_raw_catch_effort_2010-2021'!$S:$S,'Data_For_Appx_Table_C-4'!E$3)</f>
        <v>2187.9087938211096</v>
      </c>
      <c r="F60" s="13">
        <f>SUMIFS('Rec_raw_catch_effort_2010-2021'!$Q:$Q,'Rec_raw_catch_effort_2010-2021'!$J:$J,'Data_For_Appx_Table_C-4'!$A60,'Rec_raw_catch_effort_2010-2021'!$L:$L,'Data_For_Appx_Table_C-4'!$B60,'Rec_raw_catch_effort_2010-2021'!$E:$E,'Data_For_Appx_Table_C-4'!$F$4,'Rec_raw_catch_effort_2010-2021'!$S:$S,'Data_For_Appx_Table_C-4'!F$3)</f>
        <v>104.54838160697017</v>
      </c>
    </row>
    <row r="61" spans="1:6" x14ac:dyDescent="0.35">
      <c r="A61" s="15" t="s">
        <v>155</v>
      </c>
      <c r="B61" s="15"/>
      <c r="C61" s="39">
        <f>SUM(C48:C60)</f>
        <v>3999656.0166148855</v>
      </c>
      <c r="D61" s="39">
        <f>SUM(D48:D60)</f>
        <v>1155774.5951365414</v>
      </c>
      <c r="E61" s="39">
        <f>SUM(E48:E60)</f>
        <v>83114.132823244654</v>
      </c>
      <c r="F61" s="39">
        <f>SUM(F48:F60)</f>
        <v>3971.5769230769238</v>
      </c>
    </row>
    <row r="62" spans="1:6" x14ac:dyDescent="0.35">
      <c r="A62" s="15" t="s">
        <v>141</v>
      </c>
      <c r="B62" s="15" t="s">
        <v>134</v>
      </c>
      <c r="C62" s="13">
        <f>SUMIFS('Rec_raw_catch_effort_2010-2021'!$R:$R,'Rec_raw_catch_effort_2010-2021'!$J:$J,'Data_For_Appx_Table_C-4'!$A62,'Rec_raw_catch_effort_2010-2021'!$L:$L,'Data_For_Appx_Table_C-4'!$B62,'Rec_raw_catch_effort_2010-2021'!$E:$E,'Data_For_Appx_Table_C-4'!$C$4,'Rec_raw_catch_effort_2010-2021'!$S:$S,'Data_For_Appx_Table_C-4'!C$3)</f>
        <v>525.8989679174307</v>
      </c>
      <c r="D62" s="13">
        <f>SUMIFS('Rec_raw_catch_effort_2010-2021'!$Q:$Q,'Rec_raw_catch_effort_2010-2021'!$J:$J,'Data_For_Appx_Table_C-4'!$A62,'Rec_raw_catch_effort_2010-2021'!$L:$L,'Data_For_Appx_Table_C-4'!$B62,'Rec_raw_catch_effort_2010-2021'!$E:$E,'Data_For_Appx_Table_C-4'!$D$4,'Rec_raw_catch_effort_2010-2021'!$S:$S,'Data_For_Appx_Table_C-4'!D$3)</f>
        <v>129.99020179340596</v>
      </c>
      <c r="E62" s="13">
        <f>SUMIFS('Rec_raw_catch_effort_2010-2021'!$R:$R,'Rec_raw_catch_effort_2010-2021'!$J:$J,'Data_For_Appx_Table_C-4'!$A62,'Rec_raw_catch_effort_2010-2021'!$L:$L,'Data_For_Appx_Table_C-4'!$B62,'Rec_raw_catch_effort_2010-2021'!$E:$E,'Data_For_Appx_Table_C-4'!$E$4,'Rec_raw_catch_effort_2010-2021'!$S:$S,'Data_For_Appx_Table_C-4'!E$3)</f>
        <v>0</v>
      </c>
      <c r="F62" s="13">
        <f>SUMIFS('Rec_raw_catch_effort_2010-2021'!$Q:$Q,'Rec_raw_catch_effort_2010-2021'!$J:$J,'Data_For_Appx_Table_C-4'!$A62,'Rec_raw_catch_effort_2010-2021'!$L:$L,'Data_For_Appx_Table_C-4'!$B62,'Rec_raw_catch_effort_2010-2021'!$E:$E,'Data_For_Appx_Table_C-4'!$F$4,'Rec_raw_catch_effort_2010-2021'!$S:$S,'Data_For_Appx_Table_C-4'!F$3)</f>
        <v>0</v>
      </c>
    </row>
    <row r="63" spans="1:6" x14ac:dyDescent="0.35">
      <c r="A63" s="15" t="s">
        <v>141</v>
      </c>
      <c r="B63" s="15" t="s">
        <v>136</v>
      </c>
      <c r="C63" s="13">
        <f>SUMIFS('Rec_raw_catch_effort_2010-2021'!$R:$R,'Rec_raw_catch_effort_2010-2021'!$J:$J,'Data_For_Appx_Table_C-4'!$A63,'Rec_raw_catch_effort_2010-2021'!$L:$L,'Data_For_Appx_Table_C-4'!$B63,'Rec_raw_catch_effort_2010-2021'!$E:$E,'Data_For_Appx_Table_C-4'!$C$4,'Rec_raw_catch_effort_2010-2021'!$S:$S,'Data_For_Appx_Table_C-4'!C$3)</f>
        <v>610.86515018228624</v>
      </c>
      <c r="D63" s="13">
        <f>SUMIFS('Rec_raw_catch_effort_2010-2021'!$Q:$Q,'Rec_raw_catch_effort_2010-2021'!$J:$J,'Data_For_Appx_Table_C-4'!$A63,'Rec_raw_catch_effort_2010-2021'!$L:$L,'Data_For_Appx_Table_C-4'!$B63,'Rec_raw_catch_effort_2010-2021'!$E:$E,'Data_For_Appx_Table_C-4'!$D$4,'Rec_raw_catch_effort_2010-2021'!$S:$S,'Data_For_Appx_Table_C-4'!D$3)</f>
        <v>134.1220870327335</v>
      </c>
      <c r="E63" s="13">
        <f>SUMIFS('Rec_raw_catch_effort_2010-2021'!$R:$R,'Rec_raw_catch_effort_2010-2021'!$J:$J,'Data_For_Appx_Table_C-4'!$A63,'Rec_raw_catch_effort_2010-2021'!$L:$L,'Data_For_Appx_Table_C-4'!$B63,'Rec_raw_catch_effort_2010-2021'!$E:$E,'Data_For_Appx_Table_C-4'!$E$4,'Rec_raw_catch_effort_2010-2021'!$S:$S,'Data_For_Appx_Table_C-4'!E$3)</f>
        <v>0</v>
      </c>
      <c r="F63" s="13">
        <f>SUMIFS('Rec_raw_catch_effort_2010-2021'!$Q:$Q,'Rec_raw_catch_effort_2010-2021'!$J:$J,'Data_For_Appx_Table_C-4'!$A63,'Rec_raw_catch_effort_2010-2021'!$L:$L,'Data_For_Appx_Table_C-4'!$B63,'Rec_raw_catch_effort_2010-2021'!$E:$E,'Data_For_Appx_Table_C-4'!$F$4,'Rec_raw_catch_effort_2010-2021'!$S:$S,'Data_For_Appx_Table_C-4'!F$3)</f>
        <v>0</v>
      </c>
    </row>
    <row r="64" spans="1:6" x14ac:dyDescent="0.35">
      <c r="A64" s="15" t="s">
        <v>141</v>
      </c>
      <c r="B64" s="15" t="s">
        <v>138</v>
      </c>
      <c r="C64" s="13">
        <f>SUMIFS('Rec_raw_catch_effort_2010-2021'!$R:$R,'Rec_raw_catch_effort_2010-2021'!$J:$J,'Data_For_Appx_Table_C-4'!$A64,'Rec_raw_catch_effort_2010-2021'!$L:$L,'Data_For_Appx_Table_C-4'!$B64,'Rec_raw_catch_effort_2010-2021'!$E:$E,'Data_For_Appx_Table_C-4'!$C$4,'Rec_raw_catch_effort_2010-2021'!$S:$S,'Data_For_Appx_Table_C-4'!C$3)</f>
        <v>14015.592656637764</v>
      </c>
      <c r="D64" s="13">
        <f>SUMIFS('Rec_raw_catch_effort_2010-2021'!$Q:$Q,'Rec_raw_catch_effort_2010-2021'!$J:$J,'Data_For_Appx_Table_C-4'!$A64,'Rec_raw_catch_effort_2010-2021'!$L:$L,'Data_For_Appx_Table_C-4'!$B64,'Rec_raw_catch_effort_2010-2021'!$E:$E,'Data_For_Appx_Table_C-4'!$D$4,'Rec_raw_catch_effort_2010-2021'!$S:$S,'Data_For_Appx_Table_C-4'!D$3)</f>
        <v>3751.2344982917198</v>
      </c>
      <c r="E64" s="13">
        <f>SUMIFS('Rec_raw_catch_effort_2010-2021'!$R:$R,'Rec_raw_catch_effort_2010-2021'!$J:$J,'Data_For_Appx_Table_C-4'!$A64,'Rec_raw_catch_effort_2010-2021'!$L:$L,'Data_For_Appx_Table_C-4'!$B64,'Rec_raw_catch_effort_2010-2021'!$E:$E,'Data_For_Appx_Table_C-4'!$E$4,'Rec_raw_catch_effort_2010-2021'!$S:$S,'Data_For_Appx_Table_C-4'!E$3)</f>
        <v>0</v>
      </c>
      <c r="F64" s="13">
        <f>SUMIFS('Rec_raw_catch_effort_2010-2021'!$Q:$Q,'Rec_raw_catch_effort_2010-2021'!$J:$J,'Data_For_Appx_Table_C-4'!$A64,'Rec_raw_catch_effort_2010-2021'!$L:$L,'Data_For_Appx_Table_C-4'!$B64,'Rec_raw_catch_effort_2010-2021'!$E:$E,'Data_For_Appx_Table_C-4'!$F$4,'Rec_raw_catch_effort_2010-2021'!$S:$S,'Data_For_Appx_Table_C-4'!F$3)</f>
        <v>0</v>
      </c>
    </row>
    <row r="65" spans="1:6" x14ac:dyDescent="0.35">
      <c r="A65" s="15" t="s">
        <v>141</v>
      </c>
      <c r="B65" s="15" t="s">
        <v>140</v>
      </c>
      <c r="C65" s="13">
        <f>SUMIFS('Rec_raw_catch_effort_2010-2021'!$R:$R,'Rec_raw_catch_effort_2010-2021'!$J:$J,'Data_For_Appx_Table_C-4'!$A65,'Rec_raw_catch_effort_2010-2021'!$L:$L,'Data_For_Appx_Table_C-4'!$B65,'Rec_raw_catch_effort_2010-2021'!$E:$E,'Data_For_Appx_Table_C-4'!$C$4,'Rec_raw_catch_effort_2010-2021'!$S:$S,'Data_For_Appx_Table_C-4'!C$3)</f>
        <v>1541.0348239531797</v>
      </c>
      <c r="D65" s="13">
        <f>SUMIFS('Rec_raw_catch_effort_2010-2021'!$Q:$Q,'Rec_raw_catch_effort_2010-2021'!$J:$J,'Data_For_Appx_Table_C-4'!$A65,'Rec_raw_catch_effort_2010-2021'!$L:$L,'Data_For_Appx_Table_C-4'!$B65,'Rec_raw_catch_effort_2010-2021'!$E:$E,'Data_For_Appx_Table_C-4'!$D$4,'Rec_raw_catch_effort_2010-2021'!$S:$S,'Data_For_Appx_Table_C-4'!D$3)</f>
        <v>377.96227198941654</v>
      </c>
      <c r="E65" s="13">
        <f>SUMIFS('Rec_raw_catch_effort_2010-2021'!$R:$R,'Rec_raw_catch_effort_2010-2021'!$J:$J,'Data_For_Appx_Table_C-4'!$A65,'Rec_raw_catch_effort_2010-2021'!$L:$L,'Data_For_Appx_Table_C-4'!$B65,'Rec_raw_catch_effort_2010-2021'!$E:$E,'Data_For_Appx_Table_C-4'!$E$4,'Rec_raw_catch_effort_2010-2021'!$S:$S,'Data_For_Appx_Table_C-4'!E$3)</f>
        <v>0</v>
      </c>
      <c r="F65" s="13">
        <f>SUMIFS('Rec_raw_catch_effort_2010-2021'!$Q:$Q,'Rec_raw_catch_effort_2010-2021'!$J:$J,'Data_For_Appx_Table_C-4'!$A65,'Rec_raw_catch_effort_2010-2021'!$L:$L,'Data_For_Appx_Table_C-4'!$B65,'Rec_raw_catch_effort_2010-2021'!$E:$E,'Data_For_Appx_Table_C-4'!$F$4,'Rec_raw_catch_effort_2010-2021'!$S:$S,'Data_For_Appx_Table_C-4'!F$3)</f>
        <v>0</v>
      </c>
    </row>
    <row r="66" spans="1:6" x14ac:dyDescent="0.35">
      <c r="A66" s="15" t="s">
        <v>141</v>
      </c>
      <c r="B66" s="15" t="s">
        <v>142</v>
      </c>
      <c r="C66" s="13">
        <f>SUMIFS('Rec_raw_catch_effort_2010-2021'!$R:$R,'Rec_raw_catch_effort_2010-2021'!$J:$J,'Data_For_Appx_Table_C-4'!$A66,'Rec_raw_catch_effort_2010-2021'!$L:$L,'Data_For_Appx_Table_C-4'!$B66,'Rec_raw_catch_effort_2010-2021'!$E:$E,'Data_For_Appx_Table_C-4'!$C$4,'Rec_raw_catch_effort_2010-2021'!$S:$S,'Data_For_Appx_Table_C-4'!C$3)</f>
        <v>65.010157480315002</v>
      </c>
      <c r="D66" s="13">
        <f>SUMIFS('Rec_raw_catch_effort_2010-2021'!$Q:$Q,'Rec_raw_catch_effort_2010-2021'!$J:$J,'Data_For_Appx_Table_C-4'!$A66,'Rec_raw_catch_effort_2010-2021'!$L:$L,'Data_For_Appx_Table_C-4'!$B66,'Rec_raw_catch_effort_2010-2021'!$E:$E,'Data_For_Appx_Table_C-4'!$D$4,'Rec_raw_catch_effort_2010-2021'!$S:$S,'Data_For_Appx_Table_C-4'!D$3)</f>
        <v>13.9527559055118</v>
      </c>
      <c r="E66" s="13">
        <f>SUMIFS('Rec_raw_catch_effort_2010-2021'!$R:$R,'Rec_raw_catch_effort_2010-2021'!$J:$J,'Data_For_Appx_Table_C-4'!$A66,'Rec_raw_catch_effort_2010-2021'!$L:$L,'Data_For_Appx_Table_C-4'!$B66,'Rec_raw_catch_effort_2010-2021'!$E:$E,'Data_For_Appx_Table_C-4'!$E$4,'Rec_raw_catch_effort_2010-2021'!$S:$S,'Data_For_Appx_Table_C-4'!E$3)</f>
        <v>0</v>
      </c>
      <c r="F66" s="13">
        <f>SUMIFS('Rec_raw_catch_effort_2010-2021'!$Q:$Q,'Rec_raw_catch_effort_2010-2021'!$J:$J,'Data_For_Appx_Table_C-4'!$A66,'Rec_raw_catch_effort_2010-2021'!$L:$L,'Data_For_Appx_Table_C-4'!$B66,'Rec_raw_catch_effort_2010-2021'!$E:$E,'Data_For_Appx_Table_C-4'!$F$4,'Rec_raw_catch_effort_2010-2021'!$S:$S,'Data_For_Appx_Table_C-4'!F$3)</f>
        <v>0</v>
      </c>
    </row>
    <row r="67" spans="1:6" x14ac:dyDescent="0.35">
      <c r="A67" s="15" t="s">
        <v>141</v>
      </c>
      <c r="B67" s="15" t="s">
        <v>144</v>
      </c>
      <c r="C67" s="13">
        <f>SUMIFS('Rec_raw_catch_effort_2010-2021'!$R:$R,'Rec_raw_catch_effort_2010-2021'!$J:$J,'Data_For_Appx_Table_C-4'!$A67,'Rec_raw_catch_effort_2010-2021'!$L:$L,'Data_For_Appx_Table_C-4'!$B67,'Rec_raw_catch_effort_2010-2021'!$E:$E,'Data_For_Appx_Table_C-4'!$C$4,'Rec_raw_catch_effort_2010-2021'!$S:$S,'Data_For_Appx_Table_C-4'!C$3)</f>
        <v>93214.364089151146</v>
      </c>
      <c r="D67" s="13">
        <f>SUMIFS('Rec_raw_catch_effort_2010-2021'!$Q:$Q,'Rec_raw_catch_effort_2010-2021'!$J:$J,'Data_For_Appx_Table_C-4'!$A67,'Rec_raw_catch_effort_2010-2021'!$L:$L,'Data_For_Appx_Table_C-4'!$B67,'Rec_raw_catch_effort_2010-2021'!$E:$E,'Data_For_Appx_Table_C-4'!$D$4,'Rec_raw_catch_effort_2010-2021'!$S:$S,'Data_For_Appx_Table_C-4'!D$3)</f>
        <v>26881.284566379851</v>
      </c>
      <c r="E67" s="13">
        <f>SUMIFS('Rec_raw_catch_effort_2010-2021'!$R:$R,'Rec_raw_catch_effort_2010-2021'!$J:$J,'Data_For_Appx_Table_C-4'!$A67,'Rec_raw_catch_effort_2010-2021'!$L:$L,'Data_For_Appx_Table_C-4'!$B67,'Rec_raw_catch_effort_2010-2021'!$E:$E,'Data_For_Appx_Table_C-4'!$E$4,'Rec_raw_catch_effort_2010-2021'!$S:$S,'Data_For_Appx_Table_C-4'!E$3)</f>
        <v>0</v>
      </c>
      <c r="F67" s="13">
        <f>SUMIFS('Rec_raw_catch_effort_2010-2021'!$Q:$Q,'Rec_raw_catch_effort_2010-2021'!$J:$J,'Data_For_Appx_Table_C-4'!$A67,'Rec_raw_catch_effort_2010-2021'!$L:$L,'Data_For_Appx_Table_C-4'!$B67,'Rec_raw_catch_effort_2010-2021'!$E:$E,'Data_For_Appx_Table_C-4'!$F$4,'Rec_raw_catch_effort_2010-2021'!$S:$S,'Data_For_Appx_Table_C-4'!F$3)</f>
        <v>0</v>
      </c>
    </row>
    <row r="68" spans="1:6" x14ac:dyDescent="0.35">
      <c r="A68" s="15" t="s">
        <v>141</v>
      </c>
      <c r="B68" s="15" t="s">
        <v>145</v>
      </c>
      <c r="C68" s="13">
        <f>SUMIFS('Rec_raw_catch_effort_2010-2021'!$R:$R,'Rec_raw_catch_effort_2010-2021'!$J:$J,'Data_For_Appx_Table_C-4'!$A68,'Rec_raw_catch_effort_2010-2021'!$L:$L,'Data_For_Appx_Table_C-4'!$B68,'Rec_raw_catch_effort_2010-2021'!$E:$E,'Data_For_Appx_Table_C-4'!$C$4,'Rec_raw_catch_effort_2010-2021'!$S:$S,'Data_For_Appx_Table_C-4'!C$3)</f>
        <v>94330.284720162832</v>
      </c>
      <c r="D68" s="13">
        <f>SUMIFS('Rec_raw_catch_effort_2010-2021'!$Q:$Q,'Rec_raw_catch_effort_2010-2021'!$J:$J,'Data_For_Appx_Table_C-4'!$A68,'Rec_raw_catch_effort_2010-2021'!$L:$L,'Data_For_Appx_Table_C-4'!$B68,'Rec_raw_catch_effort_2010-2021'!$E:$E,'Data_For_Appx_Table_C-4'!$D$4,'Rec_raw_catch_effort_2010-2021'!$S:$S,'Data_For_Appx_Table_C-4'!D$3)</f>
        <v>25036.292967101253</v>
      </c>
      <c r="E68" s="13">
        <f>SUMIFS('Rec_raw_catch_effort_2010-2021'!$R:$R,'Rec_raw_catch_effort_2010-2021'!$J:$J,'Data_For_Appx_Table_C-4'!$A68,'Rec_raw_catch_effort_2010-2021'!$L:$L,'Data_For_Appx_Table_C-4'!$B68,'Rec_raw_catch_effort_2010-2021'!$E:$E,'Data_For_Appx_Table_C-4'!$E$4,'Rec_raw_catch_effort_2010-2021'!$S:$S,'Data_For_Appx_Table_C-4'!E$3)</f>
        <v>0</v>
      </c>
      <c r="F68" s="13">
        <f>SUMIFS('Rec_raw_catch_effort_2010-2021'!$Q:$Q,'Rec_raw_catch_effort_2010-2021'!$J:$J,'Data_For_Appx_Table_C-4'!$A68,'Rec_raw_catch_effort_2010-2021'!$L:$L,'Data_For_Appx_Table_C-4'!$B68,'Rec_raw_catch_effort_2010-2021'!$E:$E,'Data_For_Appx_Table_C-4'!$F$4,'Rec_raw_catch_effort_2010-2021'!$S:$S,'Data_For_Appx_Table_C-4'!F$3)</f>
        <v>0</v>
      </c>
    </row>
    <row r="69" spans="1:6" x14ac:dyDescent="0.35">
      <c r="A69" s="15" t="s">
        <v>141</v>
      </c>
      <c r="B69" s="15" t="s">
        <v>146</v>
      </c>
      <c r="C69" s="13">
        <f>SUMIFS('Rec_raw_catch_effort_2010-2021'!$R:$R,'Rec_raw_catch_effort_2010-2021'!$J:$J,'Data_For_Appx_Table_C-4'!$A69,'Rec_raw_catch_effort_2010-2021'!$L:$L,'Data_For_Appx_Table_C-4'!$B69,'Rec_raw_catch_effort_2010-2021'!$E:$E,'Data_For_Appx_Table_C-4'!$C$4,'Rec_raw_catch_effort_2010-2021'!$S:$S,'Data_For_Appx_Table_C-4'!C$3)</f>
        <v>65825.336244134975</v>
      </c>
      <c r="D69" s="13">
        <f>SUMIFS('Rec_raw_catch_effort_2010-2021'!$Q:$Q,'Rec_raw_catch_effort_2010-2021'!$J:$J,'Data_For_Appx_Table_C-4'!$A69,'Rec_raw_catch_effort_2010-2021'!$L:$L,'Data_For_Appx_Table_C-4'!$B69,'Rec_raw_catch_effort_2010-2021'!$E:$E,'Data_For_Appx_Table_C-4'!$D$4,'Rec_raw_catch_effort_2010-2021'!$S:$S,'Data_For_Appx_Table_C-4'!D$3)</f>
        <v>17400.21979107962</v>
      </c>
      <c r="E69" s="13">
        <f>SUMIFS('Rec_raw_catch_effort_2010-2021'!$R:$R,'Rec_raw_catch_effort_2010-2021'!$J:$J,'Data_For_Appx_Table_C-4'!$A69,'Rec_raw_catch_effort_2010-2021'!$L:$L,'Data_For_Appx_Table_C-4'!$B69,'Rec_raw_catch_effort_2010-2021'!$E:$E,'Data_For_Appx_Table_C-4'!$E$4,'Rec_raw_catch_effort_2010-2021'!$S:$S,'Data_For_Appx_Table_C-4'!E$3)</f>
        <v>0</v>
      </c>
      <c r="F69" s="13">
        <f>SUMIFS('Rec_raw_catch_effort_2010-2021'!$Q:$Q,'Rec_raw_catch_effort_2010-2021'!$J:$J,'Data_For_Appx_Table_C-4'!$A69,'Rec_raw_catch_effort_2010-2021'!$L:$L,'Data_For_Appx_Table_C-4'!$B69,'Rec_raw_catch_effort_2010-2021'!$E:$E,'Data_For_Appx_Table_C-4'!$F$4,'Rec_raw_catch_effort_2010-2021'!$S:$S,'Data_For_Appx_Table_C-4'!F$3)</f>
        <v>0</v>
      </c>
    </row>
    <row r="70" spans="1:6" x14ac:dyDescent="0.35">
      <c r="A70" s="15" t="s">
        <v>141</v>
      </c>
      <c r="B70" s="15" t="s">
        <v>147</v>
      </c>
      <c r="C70" s="13">
        <f>SUMIFS('Rec_raw_catch_effort_2010-2021'!$R:$R,'Rec_raw_catch_effort_2010-2021'!$J:$J,'Data_For_Appx_Table_C-4'!$A70,'Rec_raw_catch_effort_2010-2021'!$L:$L,'Data_For_Appx_Table_C-4'!$B70,'Rec_raw_catch_effort_2010-2021'!$E:$E,'Data_For_Appx_Table_C-4'!$C$4,'Rec_raw_catch_effort_2010-2021'!$S:$S,'Data_For_Appx_Table_C-4'!C$3)</f>
        <v>63903.043819716295</v>
      </c>
      <c r="D70" s="13">
        <f>SUMIFS('Rec_raw_catch_effort_2010-2021'!$Q:$Q,'Rec_raw_catch_effort_2010-2021'!$J:$J,'Data_For_Appx_Table_C-4'!$A70,'Rec_raw_catch_effort_2010-2021'!$L:$L,'Data_For_Appx_Table_C-4'!$B70,'Rec_raw_catch_effort_2010-2021'!$E:$E,'Data_For_Appx_Table_C-4'!$D$4,'Rec_raw_catch_effort_2010-2021'!$S:$S,'Data_For_Appx_Table_C-4'!D$3)</f>
        <v>17537.421469901241</v>
      </c>
      <c r="E70" s="13">
        <f>SUMIFS('Rec_raw_catch_effort_2010-2021'!$R:$R,'Rec_raw_catch_effort_2010-2021'!$J:$J,'Data_For_Appx_Table_C-4'!$A70,'Rec_raw_catch_effort_2010-2021'!$L:$L,'Data_For_Appx_Table_C-4'!$B70,'Rec_raw_catch_effort_2010-2021'!$E:$E,'Data_For_Appx_Table_C-4'!$E$4,'Rec_raw_catch_effort_2010-2021'!$S:$S,'Data_For_Appx_Table_C-4'!E$3)</f>
        <v>0</v>
      </c>
      <c r="F70" s="13">
        <f>SUMIFS('Rec_raw_catch_effort_2010-2021'!$Q:$Q,'Rec_raw_catch_effort_2010-2021'!$J:$J,'Data_For_Appx_Table_C-4'!$A70,'Rec_raw_catch_effort_2010-2021'!$L:$L,'Data_For_Appx_Table_C-4'!$B70,'Rec_raw_catch_effort_2010-2021'!$E:$E,'Data_For_Appx_Table_C-4'!$F$4,'Rec_raw_catch_effort_2010-2021'!$S:$S,'Data_For_Appx_Table_C-4'!F$3)</f>
        <v>0</v>
      </c>
    </row>
    <row r="71" spans="1:6" x14ac:dyDescent="0.35">
      <c r="A71" s="15" t="s">
        <v>141</v>
      </c>
      <c r="B71" s="15" t="s">
        <v>148</v>
      </c>
      <c r="C71" s="13">
        <f>SUMIFS('Rec_raw_catch_effort_2010-2021'!$R:$R,'Rec_raw_catch_effort_2010-2021'!$J:$J,'Data_For_Appx_Table_C-4'!$A71,'Rec_raw_catch_effort_2010-2021'!$L:$L,'Data_For_Appx_Table_C-4'!$B71,'Rec_raw_catch_effort_2010-2021'!$E:$E,'Data_For_Appx_Table_C-4'!$C$4,'Rec_raw_catch_effort_2010-2021'!$S:$S,'Data_For_Appx_Table_C-4'!C$3)</f>
        <v>78091.914349074272</v>
      </c>
      <c r="D71" s="13">
        <f>SUMIFS('Rec_raw_catch_effort_2010-2021'!$Q:$Q,'Rec_raw_catch_effort_2010-2021'!$J:$J,'Data_For_Appx_Table_C-4'!$A71,'Rec_raw_catch_effort_2010-2021'!$L:$L,'Data_For_Appx_Table_C-4'!$B71,'Rec_raw_catch_effort_2010-2021'!$E:$E,'Data_For_Appx_Table_C-4'!$D$4,'Rec_raw_catch_effort_2010-2021'!$S:$S,'Data_For_Appx_Table_C-4'!D$3)</f>
        <v>21282.556339370214</v>
      </c>
      <c r="E71" s="13">
        <f>SUMIFS('Rec_raw_catch_effort_2010-2021'!$R:$R,'Rec_raw_catch_effort_2010-2021'!$J:$J,'Data_For_Appx_Table_C-4'!$A71,'Rec_raw_catch_effort_2010-2021'!$L:$L,'Data_For_Appx_Table_C-4'!$B71,'Rec_raw_catch_effort_2010-2021'!$E:$E,'Data_For_Appx_Table_C-4'!$E$4,'Rec_raw_catch_effort_2010-2021'!$S:$S,'Data_For_Appx_Table_C-4'!E$3)</f>
        <v>0</v>
      </c>
      <c r="F71" s="13">
        <f>SUMIFS('Rec_raw_catch_effort_2010-2021'!$Q:$Q,'Rec_raw_catch_effort_2010-2021'!$J:$J,'Data_For_Appx_Table_C-4'!$A71,'Rec_raw_catch_effort_2010-2021'!$L:$L,'Data_For_Appx_Table_C-4'!$B71,'Rec_raw_catch_effort_2010-2021'!$E:$E,'Data_For_Appx_Table_C-4'!$F$4,'Rec_raw_catch_effort_2010-2021'!$S:$S,'Data_For_Appx_Table_C-4'!F$3)</f>
        <v>0</v>
      </c>
    </row>
    <row r="72" spans="1:6" x14ac:dyDescent="0.35">
      <c r="A72" s="15" t="s">
        <v>141</v>
      </c>
      <c r="B72" s="15" t="s">
        <v>149</v>
      </c>
      <c r="C72" s="13">
        <f>SUMIFS('Rec_raw_catch_effort_2010-2021'!$R:$R,'Rec_raw_catch_effort_2010-2021'!$J:$J,'Data_For_Appx_Table_C-4'!$A72,'Rec_raw_catch_effort_2010-2021'!$L:$L,'Data_For_Appx_Table_C-4'!$B72,'Rec_raw_catch_effort_2010-2021'!$E:$E,'Data_For_Appx_Table_C-4'!$C$4,'Rec_raw_catch_effort_2010-2021'!$S:$S,'Data_For_Appx_Table_C-4'!C$3)</f>
        <v>23985.200805978697</v>
      </c>
      <c r="D72" s="13">
        <f>SUMIFS('Rec_raw_catch_effort_2010-2021'!$Q:$Q,'Rec_raw_catch_effort_2010-2021'!$J:$J,'Data_For_Appx_Table_C-4'!$A72,'Rec_raw_catch_effort_2010-2021'!$L:$L,'Data_For_Appx_Table_C-4'!$B72,'Rec_raw_catch_effort_2010-2021'!$E:$E,'Data_For_Appx_Table_C-4'!$D$4,'Rec_raw_catch_effort_2010-2021'!$S:$S,'Data_For_Appx_Table_C-4'!D$3)</f>
        <v>5901.2480076323909</v>
      </c>
      <c r="E72" s="13">
        <f>SUMIFS('Rec_raw_catch_effort_2010-2021'!$R:$R,'Rec_raw_catch_effort_2010-2021'!$J:$J,'Data_For_Appx_Table_C-4'!$A72,'Rec_raw_catch_effort_2010-2021'!$L:$L,'Data_For_Appx_Table_C-4'!$B72,'Rec_raw_catch_effort_2010-2021'!$E:$E,'Data_For_Appx_Table_C-4'!$E$4,'Rec_raw_catch_effort_2010-2021'!$S:$S,'Data_For_Appx_Table_C-4'!E$3)</f>
        <v>0</v>
      </c>
      <c r="F72" s="13">
        <f>SUMIFS('Rec_raw_catch_effort_2010-2021'!$Q:$Q,'Rec_raw_catch_effort_2010-2021'!$J:$J,'Data_For_Appx_Table_C-4'!$A72,'Rec_raw_catch_effort_2010-2021'!$L:$L,'Data_For_Appx_Table_C-4'!$B72,'Rec_raw_catch_effort_2010-2021'!$E:$E,'Data_For_Appx_Table_C-4'!$F$4,'Rec_raw_catch_effort_2010-2021'!$S:$S,'Data_For_Appx_Table_C-4'!F$3)</f>
        <v>0</v>
      </c>
    </row>
    <row r="73" spans="1:6" x14ac:dyDescent="0.35">
      <c r="A73" s="15" t="s">
        <v>141</v>
      </c>
      <c r="B73" s="15" t="s">
        <v>150</v>
      </c>
      <c r="C73" s="13">
        <f>SUMIFS('Rec_raw_catch_effort_2010-2021'!$R:$R,'Rec_raw_catch_effort_2010-2021'!$J:$J,'Data_For_Appx_Table_C-4'!$A73,'Rec_raw_catch_effort_2010-2021'!$L:$L,'Data_For_Appx_Table_C-4'!$B73,'Rec_raw_catch_effort_2010-2021'!$E:$E,'Data_For_Appx_Table_C-4'!$C$4,'Rec_raw_catch_effort_2010-2021'!$S:$S,'Data_For_Appx_Table_C-4'!C$3)</f>
        <v>42116.662978750232</v>
      </c>
      <c r="D73" s="13">
        <f>SUMIFS('Rec_raw_catch_effort_2010-2021'!$Q:$Q,'Rec_raw_catch_effort_2010-2021'!$J:$J,'Data_For_Appx_Table_C-4'!$A73,'Rec_raw_catch_effort_2010-2021'!$L:$L,'Data_For_Appx_Table_C-4'!$B73,'Rec_raw_catch_effort_2010-2021'!$E:$E,'Data_For_Appx_Table_C-4'!$D$4,'Rec_raw_catch_effort_2010-2021'!$S:$S,'Data_For_Appx_Table_C-4'!D$3)</f>
        <v>12076.661008102357</v>
      </c>
      <c r="E73" s="13">
        <f>SUMIFS('Rec_raw_catch_effort_2010-2021'!$R:$R,'Rec_raw_catch_effort_2010-2021'!$J:$J,'Data_For_Appx_Table_C-4'!$A73,'Rec_raw_catch_effort_2010-2021'!$L:$L,'Data_For_Appx_Table_C-4'!$B73,'Rec_raw_catch_effort_2010-2021'!$E:$E,'Data_For_Appx_Table_C-4'!$E$4,'Rec_raw_catch_effort_2010-2021'!$S:$S,'Data_For_Appx_Table_C-4'!E$3)</f>
        <v>0</v>
      </c>
      <c r="F73" s="13">
        <f>SUMIFS('Rec_raw_catch_effort_2010-2021'!$Q:$Q,'Rec_raw_catch_effort_2010-2021'!$J:$J,'Data_For_Appx_Table_C-4'!$A73,'Rec_raw_catch_effort_2010-2021'!$L:$L,'Data_For_Appx_Table_C-4'!$B73,'Rec_raw_catch_effort_2010-2021'!$E:$E,'Data_For_Appx_Table_C-4'!$F$4,'Rec_raw_catch_effort_2010-2021'!$S:$S,'Data_For_Appx_Table_C-4'!F$3)</f>
        <v>0</v>
      </c>
    </row>
    <row r="74" spans="1:6" x14ac:dyDescent="0.35">
      <c r="A74" s="15" t="s">
        <v>141</v>
      </c>
      <c r="B74" s="15" t="s">
        <v>151</v>
      </c>
      <c r="C74" s="13">
        <f>SUMIFS('Rec_raw_catch_effort_2010-2021'!$R:$R,'Rec_raw_catch_effort_2010-2021'!$J:$J,'Data_For_Appx_Table_C-4'!$A74,'Rec_raw_catch_effort_2010-2021'!$L:$L,'Data_For_Appx_Table_C-4'!$B74,'Rec_raw_catch_effort_2010-2021'!$E:$E,'Data_For_Appx_Table_C-4'!$C$4,'Rec_raw_catch_effort_2010-2021'!$S:$S,'Data_For_Appx_Table_C-4'!C$3)</f>
        <v>45291.709240156531</v>
      </c>
      <c r="D74" s="13">
        <f>SUMIFS('Rec_raw_catch_effort_2010-2021'!$Q:$Q,'Rec_raw_catch_effort_2010-2021'!$J:$J,'Data_For_Appx_Table_C-4'!$A74,'Rec_raw_catch_effort_2010-2021'!$L:$L,'Data_For_Appx_Table_C-4'!$B74,'Rec_raw_catch_effort_2010-2021'!$E:$E,'Data_For_Appx_Table_C-4'!$D$4,'Rec_raw_catch_effort_2010-2021'!$S:$S,'Data_For_Appx_Table_C-4'!D$3)</f>
        <v>13340.054035420306</v>
      </c>
      <c r="E74" s="13">
        <f>SUMIFS('Rec_raw_catch_effort_2010-2021'!$R:$R,'Rec_raw_catch_effort_2010-2021'!$J:$J,'Data_For_Appx_Table_C-4'!$A74,'Rec_raw_catch_effort_2010-2021'!$L:$L,'Data_For_Appx_Table_C-4'!$B74,'Rec_raw_catch_effort_2010-2021'!$E:$E,'Data_For_Appx_Table_C-4'!$E$4,'Rec_raw_catch_effort_2010-2021'!$S:$S,'Data_For_Appx_Table_C-4'!E$3)</f>
        <v>0</v>
      </c>
      <c r="F74" s="13">
        <f>SUMIFS('Rec_raw_catch_effort_2010-2021'!$Q:$Q,'Rec_raw_catch_effort_2010-2021'!$J:$J,'Data_For_Appx_Table_C-4'!$A74,'Rec_raw_catch_effort_2010-2021'!$L:$L,'Data_For_Appx_Table_C-4'!$B74,'Rec_raw_catch_effort_2010-2021'!$E:$E,'Data_For_Appx_Table_C-4'!$F$4,'Rec_raw_catch_effort_2010-2021'!$S:$S,'Data_For_Appx_Table_C-4'!F$3)</f>
        <v>0</v>
      </c>
    </row>
    <row r="75" spans="1:6" x14ac:dyDescent="0.35">
      <c r="A75" s="15" t="s">
        <v>156</v>
      </c>
      <c r="B75" s="15"/>
      <c r="C75" s="39">
        <f>SUM(C62:C74)</f>
        <v>523516.91800329596</v>
      </c>
      <c r="D75" s="39">
        <f>SUM(D62:D74)</f>
        <v>143863</v>
      </c>
      <c r="E75" s="39">
        <f>SUM(E62:E74)</f>
        <v>0</v>
      </c>
      <c r="F75" s="39">
        <f>SUM(F62:F74)</f>
        <v>0</v>
      </c>
    </row>
    <row r="76" spans="1:6" x14ac:dyDescent="0.35">
      <c r="A76" s="15" t="s">
        <v>157</v>
      </c>
      <c r="B76" s="15"/>
      <c r="C76" s="39">
        <f>SUM(C19,C33,C47,C61,C75)</f>
        <v>9493709.0822582692</v>
      </c>
      <c r="D76" s="39">
        <f>SUM(D19,D33,D47,D61,D75)</f>
        <v>3358918.5645318148</v>
      </c>
      <c r="E76" s="39">
        <f>SUM(E19,E33,E47,E61,E75)</f>
        <v>1283317.8676042969</v>
      </c>
      <c r="F76" s="39">
        <f>SUM(F19,F33,F47,F61,F75)</f>
        <v>62162.184158502168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39997558519241921"/>
  </sheetPr>
  <dimension ref="A1:AV156"/>
  <sheetViews>
    <sheetView tabSelected="1" zoomScale="85" zoomScaleNormal="85" workbookViewId="0">
      <pane xSplit="3" ySplit="4" topLeftCell="D110" activePane="bottomRight" state="frozen"/>
      <selection pane="topRight" activeCell="C1" sqref="C1"/>
      <selection pane="bottomLeft" activeCell="A5" sqref="A5"/>
      <selection pane="bottomRight" activeCell="D124" sqref="D124"/>
    </sheetView>
  </sheetViews>
  <sheetFormatPr defaultRowHeight="14.5" x14ac:dyDescent="0.35"/>
  <cols>
    <col min="1" max="1" width="3.90625" bestFit="1" customWidth="1"/>
    <col min="2" max="2" width="32.26953125" customWidth="1"/>
    <col min="3" max="3" width="22.453125" customWidth="1"/>
    <col min="4" max="4" width="16.453125" customWidth="1"/>
    <col min="5" max="5" width="13.1796875" bestFit="1" customWidth="1"/>
    <col min="6" max="6" width="10.08984375" bestFit="1" customWidth="1"/>
    <col min="7" max="7" width="10.7265625" customWidth="1"/>
    <col min="8" max="8" width="12.54296875" customWidth="1"/>
    <col min="9" max="9" width="11" customWidth="1"/>
    <col min="10" max="10" width="12.1796875" customWidth="1"/>
    <col min="11" max="12" width="8.6328125" bestFit="1" customWidth="1"/>
    <col min="13" max="13" width="13.6328125" bestFit="1" customWidth="1"/>
    <col min="14" max="14" width="11.1796875" bestFit="1" customWidth="1"/>
    <col min="15" max="15" width="7.6328125" bestFit="1" customWidth="1"/>
    <col min="16" max="16" width="10.1796875" customWidth="1"/>
    <col min="17" max="17" width="10.1796875" bestFit="1" customWidth="1"/>
    <col min="18" max="18" width="10.08984375" bestFit="1" customWidth="1"/>
    <col min="19" max="19" width="10.1796875" bestFit="1" customWidth="1"/>
    <col min="20" max="20" width="8.6328125" bestFit="1" customWidth="1"/>
    <col min="21" max="21" width="10.08984375" bestFit="1" customWidth="1"/>
    <col min="22" max="25" width="8.6328125" bestFit="1" customWidth="1"/>
    <col min="26" max="26" width="10.1796875" bestFit="1" customWidth="1"/>
    <col min="27" max="27" width="10.08984375" bestFit="1" customWidth="1"/>
    <col min="28" max="28" width="10.1796875" customWidth="1"/>
    <col min="29" max="29" width="10.1796875" bestFit="1" customWidth="1"/>
    <col min="30" max="30" width="10.08984375" bestFit="1" customWidth="1"/>
    <col min="31" max="31" width="10.1796875" bestFit="1" customWidth="1"/>
    <col min="32" max="32" width="8.6328125" bestFit="1" customWidth="1"/>
    <col min="33" max="33" width="10.08984375" bestFit="1" customWidth="1"/>
    <col min="34" max="37" width="8.6328125" bestFit="1" customWidth="1"/>
    <col min="38" max="38" width="10.1796875" bestFit="1" customWidth="1"/>
  </cols>
  <sheetData>
    <row r="1" spans="1:39" ht="18.5" x14ac:dyDescent="0.45">
      <c r="B1" s="14" t="s">
        <v>177</v>
      </c>
    </row>
    <row r="2" spans="1:39" x14ac:dyDescent="0.35">
      <c r="B2" s="58" t="s">
        <v>332</v>
      </c>
    </row>
    <row r="3" spans="1:39" x14ac:dyDescent="0.35">
      <c r="B3" s="15" t="s">
        <v>333</v>
      </c>
      <c r="C3" t="s">
        <v>2</v>
      </c>
      <c r="D3" s="15" t="s">
        <v>338</v>
      </c>
      <c r="P3" s="15" t="s">
        <v>334</v>
      </c>
      <c r="AB3" s="15" t="s">
        <v>336</v>
      </c>
    </row>
    <row r="4" spans="1:39" x14ac:dyDescent="0.35">
      <c r="A4" s="15" t="s">
        <v>330</v>
      </c>
      <c r="B4" s="15" t="s">
        <v>130</v>
      </c>
      <c r="C4" s="15" t="s">
        <v>5</v>
      </c>
      <c r="D4" s="44">
        <v>2010</v>
      </c>
      <c r="E4" s="44">
        <v>2011</v>
      </c>
      <c r="F4" s="44">
        <v>2012</v>
      </c>
      <c r="G4" s="44">
        <v>2013</v>
      </c>
      <c r="H4" s="44">
        <v>2014</v>
      </c>
      <c r="I4" s="44">
        <v>2015</v>
      </c>
      <c r="J4" s="44">
        <v>2016</v>
      </c>
      <c r="K4" s="44">
        <v>2017</v>
      </c>
      <c r="L4" s="44">
        <v>2018</v>
      </c>
      <c r="M4" s="44">
        <v>2019</v>
      </c>
      <c r="N4" s="35" t="s">
        <v>166</v>
      </c>
      <c r="O4" s="15" t="s">
        <v>330</v>
      </c>
      <c r="P4" s="44">
        <v>2010</v>
      </c>
      <c r="Q4" s="44">
        <v>2011</v>
      </c>
      <c r="R4" s="44">
        <v>2012</v>
      </c>
      <c r="S4" s="44">
        <v>2013</v>
      </c>
      <c r="T4" s="44">
        <v>2014</v>
      </c>
      <c r="U4" s="44">
        <v>2015</v>
      </c>
      <c r="V4" s="44">
        <v>2016</v>
      </c>
      <c r="W4" s="44">
        <v>2017</v>
      </c>
      <c r="X4" s="44">
        <v>2018</v>
      </c>
      <c r="Y4" s="44">
        <v>2019</v>
      </c>
      <c r="Z4" s="35" t="s">
        <v>166</v>
      </c>
      <c r="AA4" s="15" t="s">
        <v>330</v>
      </c>
      <c r="AB4" s="44">
        <v>2010</v>
      </c>
      <c r="AC4" s="44">
        <v>2011</v>
      </c>
      <c r="AD4" s="44">
        <v>2012</v>
      </c>
      <c r="AE4" s="44">
        <v>2013</v>
      </c>
      <c r="AF4" s="44">
        <v>2014</v>
      </c>
      <c r="AG4" s="44">
        <v>2015</v>
      </c>
      <c r="AH4" s="44">
        <v>2016</v>
      </c>
      <c r="AI4" s="44">
        <v>2017</v>
      </c>
      <c r="AJ4" s="44">
        <v>2018</v>
      </c>
      <c r="AK4" s="44">
        <v>2019</v>
      </c>
      <c r="AL4" s="35" t="s">
        <v>166</v>
      </c>
    </row>
    <row r="5" spans="1:39" x14ac:dyDescent="0.35">
      <c r="A5" t="s">
        <v>331</v>
      </c>
      <c r="B5" t="s">
        <v>132</v>
      </c>
      <c r="C5" s="17" t="s">
        <v>133</v>
      </c>
      <c r="D5" s="17">
        <f>SUMIFS('Rec_raw_catch_effort_2010-2021'!$R:$R,'Rec_raw_catch_effort_2010-2021'!$D:$D,Existing_Conditions!$B5,'Rec_raw_catch_effort_2010-2021'!$J:$J,Existing_Conditions!$C5,'Rec_raw_catch_effort_2010-2021'!$B:$B,Existing_Conditions!D$4)</f>
        <v>50995.450000000026</v>
      </c>
      <c r="E5" s="17">
        <f>SUMIFS('Rec_raw_catch_effort_2010-2021'!$R:$R,'Rec_raw_catch_effort_2010-2021'!$D:$D,Existing_Conditions!$B5,'Rec_raw_catch_effort_2010-2021'!$J:$J,Existing_Conditions!$C5,'Rec_raw_catch_effort_2010-2021'!$B:$B,Existing_Conditions!E$4)</f>
        <v>79163.166976392371</v>
      </c>
      <c r="F5" s="17">
        <f>SUMIFS('Rec_raw_catch_effort_2010-2021'!$R:$R,'Rec_raw_catch_effort_2010-2021'!$D:$D,Existing_Conditions!$B5,'Rec_raw_catch_effort_2010-2021'!$J:$J,Existing_Conditions!$C5,'Rec_raw_catch_effort_2010-2021'!$B:$B,Existing_Conditions!F$4)</f>
        <v>90080.170000000013</v>
      </c>
      <c r="G5" s="17">
        <f>SUMIFS('Rec_raw_catch_effort_2010-2021'!$R:$R,'Rec_raw_catch_effort_2010-2021'!$D:$D,Existing_Conditions!$B5,'Rec_raw_catch_effort_2010-2021'!$J:$J,Existing_Conditions!$C5,'Rec_raw_catch_effort_2010-2021'!$B:$B,Existing_Conditions!G$4)</f>
        <v>77823.97000000003</v>
      </c>
      <c r="H5" s="17">
        <f>SUMIFS('Rec_raw_catch_effort_2010-2021'!$R:$R,'Rec_raw_catch_effort_2010-2021'!$D:$D,Existing_Conditions!$B5,'Rec_raw_catch_effort_2010-2021'!$J:$J,Existing_Conditions!$C5,'Rec_raw_catch_effort_2010-2021'!$B:$B,Existing_Conditions!H$4)</f>
        <v>95012.420000000042</v>
      </c>
      <c r="I5" s="17">
        <f>SUMIFS('Rec_raw_catch_effort_2010-2021'!$R:$R,'Rec_raw_catch_effort_2010-2021'!$D:$D,Existing_Conditions!$B5,'Rec_raw_catch_effort_2010-2021'!$J:$J,Existing_Conditions!$C5,'Rec_raw_catch_effort_2010-2021'!$B:$B,Existing_Conditions!I$4)</f>
        <v>92065.729999999981</v>
      </c>
      <c r="J5" s="17">
        <f>SUMIFS('Rec_raw_catch_effort_2010-2021'!$R:$R,'Rec_raw_catch_effort_2010-2021'!$D:$D,Existing_Conditions!$B5,'Rec_raw_catch_effort_2010-2021'!$J:$J,Existing_Conditions!$C5,'Rec_raw_catch_effort_2010-2021'!$B:$B,Existing_Conditions!J$4)</f>
        <v>35457.679999999986</v>
      </c>
      <c r="K5" s="17">
        <f>SUMIFS('Rec_raw_catch_effort_2010-2021'!$R:$R,'Rec_raw_catch_effort_2010-2021'!$D:$D,Existing_Conditions!$B5,'Rec_raw_catch_effort_2010-2021'!$J:$J,Existing_Conditions!$C5,'Rec_raw_catch_effort_2010-2021'!$B:$B,Existing_Conditions!K$4)</f>
        <v>31715.603478159843</v>
      </c>
      <c r="L5" s="17">
        <f>SUMIFS('Rec_raw_catch_effort_2010-2021'!$R:$R,'Rec_raw_catch_effort_2010-2021'!$D:$D,Existing_Conditions!$B5,'Rec_raw_catch_effort_2010-2021'!$J:$J,Existing_Conditions!$C5,'Rec_raw_catch_effort_2010-2021'!$B:$B,Existing_Conditions!L$4)</f>
        <v>48517.801776003456</v>
      </c>
      <c r="M5" s="17">
        <f>SUMIFS('Rec_raw_catch_effort_2010-2021'!$R:$R,'Rec_raw_catch_effort_2010-2021'!$D:$D,Existing_Conditions!$B5,'Rec_raw_catch_effort_2010-2021'!$J:$J,Existing_Conditions!$C5,'Rec_raw_catch_effort_2010-2021'!$B:$B,Existing_Conditions!M$4)</f>
        <v>45396.210075898751</v>
      </c>
      <c r="N5" s="37">
        <f t="shared" ref="N5:N17" si="0">AVERAGE(D5:M5)</f>
        <v>64622.820230645455</v>
      </c>
      <c r="O5" t="s">
        <v>10</v>
      </c>
      <c r="P5" s="17">
        <f>SUMIFS('Rec_raw_catch_effort_2010-2021'!$R:$R,'Rec_raw_catch_effort_2010-2021'!$D:$D,Existing_Conditions!$B5,'Rec_raw_catch_effort_2010-2021'!$J:$J,Existing_Conditions!$C5,'Rec_raw_catch_effort_2010-2021'!$B:$B,Existing_Conditions!P$4,'Rec_raw_catch_effort_2010-2021'!$E:$E,Existing_Conditions!$O5)</f>
        <v>50995.450000000026</v>
      </c>
      <c r="Q5" s="17">
        <f>SUMIFS('Rec_raw_catch_effort_2010-2021'!$R:$R,'Rec_raw_catch_effort_2010-2021'!$D:$D,Existing_Conditions!$B5,'Rec_raw_catch_effort_2010-2021'!$J:$J,Existing_Conditions!$C5,'Rec_raw_catch_effort_2010-2021'!$B:$B,Existing_Conditions!Q$4,'Rec_raw_catch_effort_2010-2021'!$E:$E,Existing_Conditions!$O5)</f>
        <v>79163.166976392371</v>
      </c>
      <c r="R5" s="17">
        <f>SUMIFS('Rec_raw_catch_effort_2010-2021'!$R:$R,'Rec_raw_catch_effort_2010-2021'!$D:$D,Existing_Conditions!$B5,'Rec_raw_catch_effort_2010-2021'!$J:$J,Existing_Conditions!$C5,'Rec_raw_catch_effort_2010-2021'!$B:$B,Existing_Conditions!R$4,'Rec_raw_catch_effort_2010-2021'!$E:$E,Existing_Conditions!$O5)</f>
        <v>90080.170000000013</v>
      </c>
      <c r="S5" s="17">
        <f>SUMIFS('Rec_raw_catch_effort_2010-2021'!$R:$R,'Rec_raw_catch_effort_2010-2021'!$D:$D,Existing_Conditions!$B5,'Rec_raw_catch_effort_2010-2021'!$J:$J,Existing_Conditions!$C5,'Rec_raw_catch_effort_2010-2021'!$B:$B,Existing_Conditions!S$4,'Rec_raw_catch_effort_2010-2021'!$E:$E,Existing_Conditions!$O5)</f>
        <v>77823.97000000003</v>
      </c>
      <c r="T5" s="17">
        <f>SUMIFS('Rec_raw_catch_effort_2010-2021'!$R:$R,'Rec_raw_catch_effort_2010-2021'!$D:$D,Existing_Conditions!$B5,'Rec_raw_catch_effort_2010-2021'!$J:$J,Existing_Conditions!$C5,'Rec_raw_catch_effort_2010-2021'!$B:$B,Existing_Conditions!T$4,'Rec_raw_catch_effort_2010-2021'!$E:$E,Existing_Conditions!$O5)</f>
        <v>95012.420000000042</v>
      </c>
      <c r="U5" s="17">
        <f>SUMIFS('Rec_raw_catch_effort_2010-2021'!$R:$R,'Rec_raw_catch_effort_2010-2021'!$D:$D,Existing_Conditions!$B5,'Rec_raw_catch_effort_2010-2021'!$J:$J,Existing_Conditions!$C5,'Rec_raw_catch_effort_2010-2021'!$B:$B,Existing_Conditions!U$4,'Rec_raw_catch_effort_2010-2021'!$E:$E,Existing_Conditions!$O5)</f>
        <v>92065.729999999981</v>
      </c>
      <c r="V5" s="17">
        <f>SUMIFS('Rec_raw_catch_effort_2010-2021'!$R:$R,'Rec_raw_catch_effort_2010-2021'!$D:$D,Existing_Conditions!$B5,'Rec_raw_catch_effort_2010-2021'!$J:$J,Existing_Conditions!$C5,'Rec_raw_catch_effort_2010-2021'!$B:$B,Existing_Conditions!V$4,'Rec_raw_catch_effort_2010-2021'!$E:$E,Existing_Conditions!$O5)</f>
        <v>35457.679999999986</v>
      </c>
      <c r="W5" s="17">
        <f>SUMIFS('Rec_raw_catch_effort_2010-2021'!$R:$R,'Rec_raw_catch_effort_2010-2021'!$D:$D,Existing_Conditions!$B5,'Rec_raw_catch_effort_2010-2021'!$J:$J,Existing_Conditions!$C5,'Rec_raw_catch_effort_2010-2021'!$B:$B,Existing_Conditions!W$4,'Rec_raw_catch_effort_2010-2021'!$E:$E,Existing_Conditions!$O5)</f>
        <v>31715.603478159843</v>
      </c>
      <c r="X5" s="17">
        <f>SUMIFS('Rec_raw_catch_effort_2010-2021'!$R:$R,'Rec_raw_catch_effort_2010-2021'!$D:$D,Existing_Conditions!$B5,'Rec_raw_catch_effort_2010-2021'!$J:$J,Existing_Conditions!$C5,'Rec_raw_catch_effort_2010-2021'!$B:$B,Existing_Conditions!X$4,'Rec_raw_catch_effort_2010-2021'!$E:$E,Existing_Conditions!$O5)</f>
        <v>48517.801776003456</v>
      </c>
      <c r="Y5" s="17">
        <f>SUMIFS('Rec_raw_catch_effort_2010-2021'!$R:$R,'Rec_raw_catch_effort_2010-2021'!$D:$D,Existing_Conditions!$B5,'Rec_raw_catch_effort_2010-2021'!$J:$J,Existing_Conditions!$C5,'Rec_raw_catch_effort_2010-2021'!$B:$B,Existing_Conditions!Y$4,'Rec_raw_catch_effort_2010-2021'!$E:$E,Existing_Conditions!$O5)</f>
        <v>45396.210075898751</v>
      </c>
      <c r="Z5" s="37">
        <f t="shared" ref="Z5:Z17" si="1">AVERAGE(P5:Y5)</f>
        <v>64622.820230645455</v>
      </c>
      <c r="AA5" t="s">
        <v>86</v>
      </c>
      <c r="AB5" s="17">
        <f>SUMIFS('Rec_raw_catch_effort_2010-2021'!$R:$R,'Rec_raw_catch_effort_2010-2021'!$D:$D,Existing_Conditions!$B5,'Rec_raw_catch_effort_2010-2021'!$J:$J,Existing_Conditions!$C5,'Rec_raw_catch_effort_2010-2021'!$B:$B,Existing_Conditions!AB$4,'Rec_raw_catch_effort_2010-2021'!$E:$E,Existing_Conditions!$AA5)</f>
        <v>0</v>
      </c>
      <c r="AC5" s="17">
        <f>SUMIFS('Rec_raw_catch_effort_2010-2021'!$R:$R,'Rec_raw_catch_effort_2010-2021'!$D:$D,Existing_Conditions!$B5,'Rec_raw_catch_effort_2010-2021'!$J:$J,Existing_Conditions!$C5,'Rec_raw_catch_effort_2010-2021'!$B:$B,Existing_Conditions!AC$4,'Rec_raw_catch_effort_2010-2021'!$E:$E,Existing_Conditions!$AA5)</f>
        <v>0</v>
      </c>
      <c r="AD5" s="17">
        <f>SUMIFS('Rec_raw_catch_effort_2010-2021'!$R:$R,'Rec_raw_catch_effort_2010-2021'!$D:$D,Existing_Conditions!$B5,'Rec_raw_catch_effort_2010-2021'!$J:$J,Existing_Conditions!$C5,'Rec_raw_catch_effort_2010-2021'!$B:$B,Existing_Conditions!AD$4,'Rec_raw_catch_effort_2010-2021'!$E:$E,Existing_Conditions!$AA5)</f>
        <v>0</v>
      </c>
      <c r="AE5" s="17">
        <f>SUMIFS('Rec_raw_catch_effort_2010-2021'!$R:$R,'Rec_raw_catch_effort_2010-2021'!$D:$D,Existing_Conditions!$B5,'Rec_raw_catch_effort_2010-2021'!$J:$J,Existing_Conditions!$C5,'Rec_raw_catch_effort_2010-2021'!$B:$B,Existing_Conditions!AE$4,'Rec_raw_catch_effort_2010-2021'!$E:$E,Existing_Conditions!$AA5)</f>
        <v>0</v>
      </c>
      <c r="AF5" s="17">
        <f>SUMIFS('Rec_raw_catch_effort_2010-2021'!$R:$R,'Rec_raw_catch_effort_2010-2021'!$D:$D,Existing_Conditions!$B5,'Rec_raw_catch_effort_2010-2021'!$J:$J,Existing_Conditions!$C5,'Rec_raw_catch_effort_2010-2021'!$B:$B,Existing_Conditions!AF$4,'Rec_raw_catch_effort_2010-2021'!$E:$E,Existing_Conditions!$AA5)</f>
        <v>0</v>
      </c>
      <c r="AG5" s="17">
        <f>SUMIFS('Rec_raw_catch_effort_2010-2021'!$R:$R,'Rec_raw_catch_effort_2010-2021'!$D:$D,Existing_Conditions!$B5,'Rec_raw_catch_effort_2010-2021'!$J:$J,Existing_Conditions!$C5,'Rec_raw_catch_effort_2010-2021'!$B:$B,Existing_Conditions!AG$4,'Rec_raw_catch_effort_2010-2021'!$E:$E,Existing_Conditions!$AA5)</f>
        <v>0</v>
      </c>
      <c r="AH5" s="17">
        <f>SUMIFS('Rec_raw_catch_effort_2010-2021'!$R:$R,'Rec_raw_catch_effort_2010-2021'!$D:$D,Existing_Conditions!$B5,'Rec_raw_catch_effort_2010-2021'!$J:$J,Existing_Conditions!$C5,'Rec_raw_catch_effort_2010-2021'!$B:$B,Existing_Conditions!AH$4,'Rec_raw_catch_effort_2010-2021'!$E:$E,Existing_Conditions!$AA5)</f>
        <v>0</v>
      </c>
      <c r="AI5" s="17">
        <f>SUMIFS('Rec_raw_catch_effort_2010-2021'!$R:$R,'Rec_raw_catch_effort_2010-2021'!$D:$D,Existing_Conditions!$B5,'Rec_raw_catch_effort_2010-2021'!$J:$J,Existing_Conditions!$C5,'Rec_raw_catch_effort_2010-2021'!$B:$B,Existing_Conditions!AI$4,'Rec_raw_catch_effort_2010-2021'!$E:$E,Existing_Conditions!$AA5)</f>
        <v>0</v>
      </c>
      <c r="AJ5" s="17">
        <f>SUMIFS('Rec_raw_catch_effort_2010-2021'!$R:$R,'Rec_raw_catch_effort_2010-2021'!$D:$D,Existing_Conditions!$B5,'Rec_raw_catch_effort_2010-2021'!$J:$J,Existing_Conditions!$C5,'Rec_raw_catch_effort_2010-2021'!$B:$B,Existing_Conditions!AJ$4,'Rec_raw_catch_effort_2010-2021'!$E:$E,Existing_Conditions!$AA5)</f>
        <v>0</v>
      </c>
      <c r="AK5" s="17">
        <f>SUMIFS('Rec_raw_catch_effort_2010-2021'!$R:$R,'Rec_raw_catch_effort_2010-2021'!$D:$D,Existing_Conditions!$B5,'Rec_raw_catch_effort_2010-2021'!$J:$J,Existing_Conditions!$C5,'Rec_raw_catch_effort_2010-2021'!$B:$B,Existing_Conditions!AK$4,'Rec_raw_catch_effort_2010-2021'!$E:$E,Existing_Conditions!$AA5)</f>
        <v>0</v>
      </c>
      <c r="AL5" s="37">
        <f t="shared" ref="AL5:AL17" si="2">AVERAGE(AB5:AK5)</f>
        <v>0</v>
      </c>
    </row>
    <row r="6" spans="1:39" x14ac:dyDescent="0.35">
      <c r="A6" t="s">
        <v>331</v>
      </c>
      <c r="B6" t="s">
        <v>132</v>
      </c>
      <c r="C6" s="17" t="s">
        <v>135</v>
      </c>
      <c r="D6" s="17">
        <f>SUMIFS('Rec_raw_catch_effort_2010-2021'!$R:$R,'Rec_raw_catch_effort_2010-2021'!$D:$D,Existing_Conditions!$B6,'Rec_raw_catch_effort_2010-2021'!$J:$J,Existing_Conditions!$C6,'Rec_raw_catch_effort_2010-2021'!$B:$B,Existing_Conditions!D$4)</f>
        <v>33960.660000000025</v>
      </c>
      <c r="E6" s="17">
        <f>SUMIFS('Rec_raw_catch_effort_2010-2021'!$R:$R,'Rec_raw_catch_effort_2010-2021'!$D:$D,Existing_Conditions!$B6,'Rec_raw_catch_effort_2010-2021'!$J:$J,Existing_Conditions!$C6,'Rec_raw_catch_effort_2010-2021'!$B:$B,Existing_Conditions!E$4)</f>
        <v>41446.764351020021</v>
      </c>
      <c r="F6" s="17">
        <f>SUMIFS('Rec_raw_catch_effort_2010-2021'!$R:$R,'Rec_raw_catch_effort_2010-2021'!$D:$D,Existing_Conditions!$B6,'Rec_raw_catch_effort_2010-2021'!$J:$J,Existing_Conditions!$C6,'Rec_raw_catch_effort_2010-2021'!$B:$B,Existing_Conditions!F$4)</f>
        <v>40414.850000000035</v>
      </c>
      <c r="G6" s="17">
        <f>SUMIFS('Rec_raw_catch_effort_2010-2021'!$R:$R,'Rec_raw_catch_effort_2010-2021'!$D:$D,Existing_Conditions!$B6,'Rec_raw_catch_effort_2010-2021'!$J:$J,Existing_Conditions!$C6,'Rec_raw_catch_effort_2010-2021'!$B:$B,Existing_Conditions!G$4)</f>
        <v>46149.720000000016</v>
      </c>
      <c r="H6" s="17">
        <f>SUMIFS('Rec_raw_catch_effort_2010-2021'!$R:$R,'Rec_raw_catch_effort_2010-2021'!$D:$D,Existing_Conditions!$B6,'Rec_raw_catch_effort_2010-2021'!$J:$J,Existing_Conditions!$C6,'Rec_raw_catch_effort_2010-2021'!$B:$B,Existing_Conditions!H$4)</f>
        <v>55828.400000000009</v>
      </c>
      <c r="I6" s="17">
        <f>SUMIFS('Rec_raw_catch_effort_2010-2021'!$R:$R,'Rec_raw_catch_effort_2010-2021'!$D:$D,Existing_Conditions!$B6,'Rec_raw_catch_effort_2010-2021'!$J:$J,Existing_Conditions!$C6,'Rec_raw_catch_effort_2010-2021'!$B:$B,Existing_Conditions!I$4)</f>
        <v>47238.630000000005</v>
      </c>
      <c r="J6" s="17">
        <f>SUMIFS('Rec_raw_catch_effort_2010-2021'!$R:$R,'Rec_raw_catch_effort_2010-2021'!$D:$D,Existing_Conditions!$B6,'Rec_raw_catch_effort_2010-2021'!$J:$J,Existing_Conditions!$C6,'Rec_raw_catch_effort_2010-2021'!$B:$B,Existing_Conditions!J$4)</f>
        <v>30663.020000000011</v>
      </c>
      <c r="K6" s="17">
        <f>SUMIFS('Rec_raw_catch_effort_2010-2021'!$R:$R,'Rec_raw_catch_effort_2010-2021'!$D:$D,Existing_Conditions!$B6,'Rec_raw_catch_effort_2010-2021'!$J:$J,Existing_Conditions!$C6,'Rec_raw_catch_effort_2010-2021'!$B:$B,Existing_Conditions!K$4)</f>
        <v>36195.093891677425</v>
      </c>
      <c r="L6" s="17">
        <f>SUMIFS('Rec_raw_catch_effort_2010-2021'!$R:$R,'Rec_raw_catch_effort_2010-2021'!$D:$D,Existing_Conditions!$B6,'Rec_raw_catch_effort_2010-2021'!$J:$J,Existing_Conditions!$C6,'Rec_raw_catch_effort_2010-2021'!$B:$B,Existing_Conditions!L$4)</f>
        <v>32271.992345742394</v>
      </c>
      <c r="M6" s="17">
        <f>SUMIFS('Rec_raw_catch_effort_2010-2021'!$R:$R,'Rec_raw_catch_effort_2010-2021'!$D:$D,Existing_Conditions!$B6,'Rec_raw_catch_effort_2010-2021'!$J:$J,Existing_Conditions!$C6,'Rec_raw_catch_effort_2010-2021'!$B:$B,Existing_Conditions!M$4)</f>
        <v>26541.473270436931</v>
      </c>
      <c r="N6" s="37">
        <f t="shared" si="0"/>
        <v>39071.060385887693</v>
      </c>
      <c r="O6" t="s">
        <v>10</v>
      </c>
      <c r="P6" s="17">
        <f>SUMIFS('Rec_raw_catch_effort_2010-2021'!$R:$R,'Rec_raw_catch_effort_2010-2021'!$D:$D,Existing_Conditions!$B6,'Rec_raw_catch_effort_2010-2021'!$J:$J,Existing_Conditions!$C6,'Rec_raw_catch_effort_2010-2021'!$B:$B,Existing_Conditions!P$4,'Rec_raw_catch_effort_2010-2021'!$E:$E,Existing_Conditions!$O6)</f>
        <v>33960.660000000025</v>
      </c>
      <c r="Q6" s="17">
        <f>SUMIFS('Rec_raw_catch_effort_2010-2021'!$R:$R,'Rec_raw_catch_effort_2010-2021'!$D:$D,Existing_Conditions!$B6,'Rec_raw_catch_effort_2010-2021'!$J:$J,Existing_Conditions!$C6,'Rec_raw_catch_effort_2010-2021'!$B:$B,Existing_Conditions!Q$4,'Rec_raw_catch_effort_2010-2021'!$E:$E,Existing_Conditions!$O6)</f>
        <v>41446.764351020021</v>
      </c>
      <c r="R6" s="17">
        <f>SUMIFS('Rec_raw_catch_effort_2010-2021'!$R:$R,'Rec_raw_catch_effort_2010-2021'!$D:$D,Existing_Conditions!$B6,'Rec_raw_catch_effort_2010-2021'!$J:$J,Existing_Conditions!$C6,'Rec_raw_catch_effort_2010-2021'!$B:$B,Existing_Conditions!R$4,'Rec_raw_catch_effort_2010-2021'!$E:$E,Existing_Conditions!$O6)</f>
        <v>40414.850000000035</v>
      </c>
      <c r="S6" s="17">
        <f>SUMIFS('Rec_raw_catch_effort_2010-2021'!$R:$R,'Rec_raw_catch_effort_2010-2021'!$D:$D,Existing_Conditions!$B6,'Rec_raw_catch_effort_2010-2021'!$J:$J,Existing_Conditions!$C6,'Rec_raw_catch_effort_2010-2021'!$B:$B,Existing_Conditions!S$4,'Rec_raw_catch_effort_2010-2021'!$E:$E,Existing_Conditions!$O6)</f>
        <v>46149.720000000016</v>
      </c>
      <c r="T6" s="17">
        <f>SUMIFS('Rec_raw_catch_effort_2010-2021'!$R:$R,'Rec_raw_catch_effort_2010-2021'!$D:$D,Existing_Conditions!$B6,'Rec_raw_catch_effort_2010-2021'!$J:$J,Existing_Conditions!$C6,'Rec_raw_catch_effort_2010-2021'!$B:$B,Existing_Conditions!T$4,'Rec_raw_catch_effort_2010-2021'!$E:$E,Existing_Conditions!$O6)</f>
        <v>55828.400000000009</v>
      </c>
      <c r="U6" s="17">
        <f>SUMIFS('Rec_raw_catch_effort_2010-2021'!$R:$R,'Rec_raw_catch_effort_2010-2021'!$D:$D,Existing_Conditions!$B6,'Rec_raw_catch_effort_2010-2021'!$J:$J,Existing_Conditions!$C6,'Rec_raw_catch_effort_2010-2021'!$B:$B,Existing_Conditions!U$4,'Rec_raw_catch_effort_2010-2021'!$E:$E,Existing_Conditions!$O6)</f>
        <v>47238.630000000005</v>
      </c>
      <c r="V6" s="17">
        <f>SUMIFS('Rec_raw_catch_effort_2010-2021'!$R:$R,'Rec_raw_catch_effort_2010-2021'!$D:$D,Existing_Conditions!$B6,'Rec_raw_catch_effort_2010-2021'!$J:$J,Existing_Conditions!$C6,'Rec_raw_catch_effort_2010-2021'!$B:$B,Existing_Conditions!V$4,'Rec_raw_catch_effort_2010-2021'!$E:$E,Existing_Conditions!$O6)</f>
        <v>30663.020000000011</v>
      </c>
      <c r="W6" s="17">
        <f>SUMIFS('Rec_raw_catch_effort_2010-2021'!$R:$R,'Rec_raw_catch_effort_2010-2021'!$D:$D,Existing_Conditions!$B6,'Rec_raw_catch_effort_2010-2021'!$J:$J,Existing_Conditions!$C6,'Rec_raw_catch_effort_2010-2021'!$B:$B,Existing_Conditions!W$4,'Rec_raw_catch_effort_2010-2021'!$E:$E,Existing_Conditions!$O6)</f>
        <v>36195.093891677425</v>
      </c>
      <c r="X6" s="17">
        <f>SUMIFS('Rec_raw_catch_effort_2010-2021'!$R:$R,'Rec_raw_catch_effort_2010-2021'!$D:$D,Existing_Conditions!$B6,'Rec_raw_catch_effort_2010-2021'!$J:$J,Existing_Conditions!$C6,'Rec_raw_catch_effort_2010-2021'!$B:$B,Existing_Conditions!X$4,'Rec_raw_catch_effort_2010-2021'!$E:$E,Existing_Conditions!$O6)</f>
        <v>32271.992345742394</v>
      </c>
      <c r="Y6" s="17">
        <f>SUMIFS('Rec_raw_catch_effort_2010-2021'!$R:$R,'Rec_raw_catch_effort_2010-2021'!$D:$D,Existing_Conditions!$B6,'Rec_raw_catch_effort_2010-2021'!$J:$J,Existing_Conditions!$C6,'Rec_raw_catch_effort_2010-2021'!$B:$B,Existing_Conditions!Y$4,'Rec_raw_catch_effort_2010-2021'!$E:$E,Existing_Conditions!$O6)</f>
        <v>26541.473270436931</v>
      </c>
      <c r="Z6" s="37">
        <f t="shared" si="1"/>
        <v>39071.060385887693</v>
      </c>
      <c r="AA6" t="s">
        <v>86</v>
      </c>
      <c r="AB6" s="17">
        <f>SUMIFS('Rec_raw_catch_effort_2010-2021'!$R:$R,'Rec_raw_catch_effort_2010-2021'!$D:$D,Existing_Conditions!$B6,'Rec_raw_catch_effort_2010-2021'!$J:$J,Existing_Conditions!$C6,'Rec_raw_catch_effort_2010-2021'!$B:$B,Existing_Conditions!AB$4,'Rec_raw_catch_effort_2010-2021'!$E:$E,Existing_Conditions!$AA6)</f>
        <v>0</v>
      </c>
      <c r="AC6" s="17">
        <f>SUMIFS('Rec_raw_catch_effort_2010-2021'!$R:$R,'Rec_raw_catch_effort_2010-2021'!$D:$D,Existing_Conditions!$B6,'Rec_raw_catch_effort_2010-2021'!$J:$J,Existing_Conditions!$C6,'Rec_raw_catch_effort_2010-2021'!$B:$B,Existing_Conditions!AC$4,'Rec_raw_catch_effort_2010-2021'!$E:$E,Existing_Conditions!$AA6)</f>
        <v>0</v>
      </c>
      <c r="AD6" s="17">
        <f>SUMIFS('Rec_raw_catch_effort_2010-2021'!$R:$R,'Rec_raw_catch_effort_2010-2021'!$D:$D,Existing_Conditions!$B6,'Rec_raw_catch_effort_2010-2021'!$J:$J,Existing_Conditions!$C6,'Rec_raw_catch_effort_2010-2021'!$B:$B,Existing_Conditions!AD$4,'Rec_raw_catch_effort_2010-2021'!$E:$E,Existing_Conditions!$AA6)</f>
        <v>0</v>
      </c>
      <c r="AE6" s="17">
        <f>SUMIFS('Rec_raw_catch_effort_2010-2021'!$R:$R,'Rec_raw_catch_effort_2010-2021'!$D:$D,Existing_Conditions!$B6,'Rec_raw_catch_effort_2010-2021'!$J:$J,Existing_Conditions!$C6,'Rec_raw_catch_effort_2010-2021'!$B:$B,Existing_Conditions!AE$4,'Rec_raw_catch_effort_2010-2021'!$E:$E,Existing_Conditions!$AA6)</f>
        <v>0</v>
      </c>
      <c r="AF6" s="17">
        <f>SUMIFS('Rec_raw_catch_effort_2010-2021'!$R:$R,'Rec_raw_catch_effort_2010-2021'!$D:$D,Existing_Conditions!$B6,'Rec_raw_catch_effort_2010-2021'!$J:$J,Existing_Conditions!$C6,'Rec_raw_catch_effort_2010-2021'!$B:$B,Existing_Conditions!AF$4,'Rec_raw_catch_effort_2010-2021'!$E:$E,Existing_Conditions!$AA6)</f>
        <v>0</v>
      </c>
      <c r="AG6" s="17">
        <f>SUMIFS('Rec_raw_catch_effort_2010-2021'!$R:$R,'Rec_raw_catch_effort_2010-2021'!$D:$D,Existing_Conditions!$B6,'Rec_raw_catch_effort_2010-2021'!$J:$J,Existing_Conditions!$C6,'Rec_raw_catch_effort_2010-2021'!$B:$B,Existing_Conditions!AG$4,'Rec_raw_catch_effort_2010-2021'!$E:$E,Existing_Conditions!$AA6)</f>
        <v>0</v>
      </c>
      <c r="AH6" s="17">
        <f>SUMIFS('Rec_raw_catch_effort_2010-2021'!$R:$R,'Rec_raw_catch_effort_2010-2021'!$D:$D,Existing_Conditions!$B6,'Rec_raw_catch_effort_2010-2021'!$J:$J,Existing_Conditions!$C6,'Rec_raw_catch_effort_2010-2021'!$B:$B,Existing_Conditions!AH$4,'Rec_raw_catch_effort_2010-2021'!$E:$E,Existing_Conditions!$AA6)</f>
        <v>0</v>
      </c>
      <c r="AI6" s="17">
        <f>SUMIFS('Rec_raw_catch_effort_2010-2021'!$R:$R,'Rec_raw_catch_effort_2010-2021'!$D:$D,Existing_Conditions!$B6,'Rec_raw_catch_effort_2010-2021'!$J:$J,Existing_Conditions!$C6,'Rec_raw_catch_effort_2010-2021'!$B:$B,Existing_Conditions!AI$4,'Rec_raw_catch_effort_2010-2021'!$E:$E,Existing_Conditions!$AA6)</f>
        <v>0</v>
      </c>
      <c r="AJ6" s="17">
        <f>SUMIFS('Rec_raw_catch_effort_2010-2021'!$R:$R,'Rec_raw_catch_effort_2010-2021'!$D:$D,Existing_Conditions!$B6,'Rec_raw_catch_effort_2010-2021'!$J:$J,Existing_Conditions!$C6,'Rec_raw_catch_effort_2010-2021'!$B:$B,Existing_Conditions!AJ$4,'Rec_raw_catch_effort_2010-2021'!$E:$E,Existing_Conditions!$AA6)</f>
        <v>0</v>
      </c>
      <c r="AK6" s="17">
        <f>SUMIFS('Rec_raw_catch_effort_2010-2021'!$R:$R,'Rec_raw_catch_effort_2010-2021'!$D:$D,Existing_Conditions!$B6,'Rec_raw_catch_effort_2010-2021'!$J:$J,Existing_Conditions!$C6,'Rec_raw_catch_effort_2010-2021'!$B:$B,Existing_Conditions!AK$4,'Rec_raw_catch_effort_2010-2021'!$E:$E,Existing_Conditions!$AA6)</f>
        <v>0</v>
      </c>
      <c r="AL6" s="37">
        <f t="shared" si="2"/>
        <v>0</v>
      </c>
    </row>
    <row r="7" spans="1:39" x14ac:dyDescent="0.35">
      <c r="A7" t="s">
        <v>331</v>
      </c>
      <c r="B7" t="s">
        <v>132</v>
      </c>
      <c r="C7" s="17" t="s">
        <v>137</v>
      </c>
      <c r="D7" s="17">
        <f>SUMIFS('Rec_raw_catch_effort_2010-2021'!$R:$R,'Rec_raw_catch_effort_2010-2021'!$D:$D,Existing_Conditions!$B7,'Rec_raw_catch_effort_2010-2021'!$J:$J,Existing_Conditions!$C7,'Rec_raw_catch_effort_2010-2021'!$B:$B,Existing_Conditions!D$4)</f>
        <v>93962.272479955442</v>
      </c>
      <c r="E7" s="17">
        <f>SUMIFS('Rec_raw_catch_effort_2010-2021'!$R:$R,'Rec_raw_catch_effort_2010-2021'!$D:$D,Existing_Conditions!$B7,'Rec_raw_catch_effort_2010-2021'!$J:$J,Existing_Conditions!$C7,'Rec_raw_catch_effort_2010-2021'!$B:$B,Existing_Conditions!E$4)</f>
        <v>133492.4254081806</v>
      </c>
      <c r="F7" s="17">
        <f>SUMIFS('Rec_raw_catch_effort_2010-2021'!$R:$R,'Rec_raw_catch_effort_2010-2021'!$D:$D,Existing_Conditions!$B7,'Rec_raw_catch_effort_2010-2021'!$J:$J,Existing_Conditions!$C7,'Rec_raw_catch_effort_2010-2021'!$B:$B,Existing_Conditions!F$4)</f>
        <v>151019.83365067831</v>
      </c>
      <c r="G7" s="17">
        <f>SUMIFS('Rec_raw_catch_effort_2010-2021'!$R:$R,'Rec_raw_catch_effort_2010-2021'!$D:$D,Existing_Conditions!$B7,'Rec_raw_catch_effort_2010-2021'!$J:$J,Existing_Conditions!$C7,'Rec_raw_catch_effort_2010-2021'!$B:$B,Existing_Conditions!G$4)</f>
        <v>178051.59829096816</v>
      </c>
      <c r="H7" s="17">
        <f>SUMIFS('Rec_raw_catch_effort_2010-2021'!$R:$R,'Rec_raw_catch_effort_2010-2021'!$D:$D,Existing_Conditions!$B7,'Rec_raw_catch_effort_2010-2021'!$J:$J,Existing_Conditions!$C7,'Rec_raw_catch_effort_2010-2021'!$B:$B,Existing_Conditions!H$4)</f>
        <v>167266.54529900828</v>
      </c>
      <c r="I7" s="17">
        <f>SUMIFS('Rec_raw_catch_effort_2010-2021'!$R:$R,'Rec_raw_catch_effort_2010-2021'!$D:$D,Existing_Conditions!$B7,'Rec_raw_catch_effort_2010-2021'!$J:$J,Existing_Conditions!$C7,'Rec_raw_catch_effort_2010-2021'!$B:$B,Existing_Conditions!I$4)</f>
        <v>255098.36005856888</v>
      </c>
      <c r="J7" s="17">
        <f>SUMIFS('Rec_raw_catch_effort_2010-2021'!$R:$R,'Rec_raw_catch_effort_2010-2021'!$D:$D,Existing_Conditions!$B7,'Rec_raw_catch_effort_2010-2021'!$J:$J,Existing_Conditions!$C7,'Rec_raw_catch_effort_2010-2021'!$B:$B,Existing_Conditions!J$4)</f>
        <v>51935.655922886697</v>
      </c>
      <c r="K7" s="17">
        <f>SUMIFS('Rec_raw_catch_effort_2010-2021'!$R:$R,'Rec_raw_catch_effort_2010-2021'!$D:$D,Existing_Conditions!$B7,'Rec_raw_catch_effort_2010-2021'!$J:$J,Existing_Conditions!$C7,'Rec_raw_catch_effort_2010-2021'!$B:$B,Existing_Conditions!K$4)</f>
        <v>41230.316062231614</v>
      </c>
      <c r="L7" s="17">
        <f>SUMIFS('Rec_raw_catch_effort_2010-2021'!$R:$R,'Rec_raw_catch_effort_2010-2021'!$D:$D,Existing_Conditions!$B7,'Rec_raw_catch_effort_2010-2021'!$J:$J,Existing_Conditions!$C7,'Rec_raw_catch_effort_2010-2021'!$B:$B,Existing_Conditions!L$4)</f>
        <v>60291.1410160835</v>
      </c>
      <c r="M7" s="17">
        <f>SUMIFS('Rec_raw_catch_effort_2010-2021'!$R:$R,'Rec_raw_catch_effort_2010-2021'!$D:$D,Existing_Conditions!$B7,'Rec_raw_catch_effort_2010-2021'!$J:$J,Existing_Conditions!$C7,'Rec_raw_catch_effort_2010-2021'!$B:$B,Existing_Conditions!M$4)</f>
        <v>62944.608149769228</v>
      </c>
      <c r="N7" s="37">
        <f t="shared" si="0"/>
        <v>119529.27563383307</v>
      </c>
      <c r="O7" t="s">
        <v>10</v>
      </c>
      <c r="P7" s="17">
        <f>SUMIFS('Rec_raw_catch_effort_2010-2021'!$R:$R,'Rec_raw_catch_effort_2010-2021'!$D:$D,Existing_Conditions!$B7,'Rec_raw_catch_effort_2010-2021'!$J:$J,Existing_Conditions!$C7,'Rec_raw_catch_effort_2010-2021'!$B:$B,Existing_Conditions!P$4,'Rec_raw_catch_effort_2010-2021'!$E:$E,Existing_Conditions!$O7)</f>
        <v>92794.589999999982</v>
      </c>
      <c r="Q7" s="17">
        <f>SUMIFS('Rec_raw_catch_effort_2010-2021'!$R:$R,'Rec_raw_catch_effort_2010-2021'!$D:$D,Existing_Conditions!$B7,'Rec_raw_catch_effort_2010-2021'!$J:$J,Existing_Conditions!$C7,'Rec_raw_catch_effort_2010-2021'!$B:$B,Existing_Conditions!Q$4,'Rec_raw_catch_effort_2010-2021'!$E:$E,Existing_Conditions!$O7)</f>
        <v>133169.35790697948</v>
      </c>
      <c r="R7" s="17">
        <f>SUMIFS('Rec_raw_catch_effort_2010-2021'!$R:$R,'Rec_raw_catch_effort_2010-2021'!$D:$D,Existing_Conditions!$B7,'Rec_raw_catch_effort_2010-2021'!$J:$J,Existing_Conditions!$C7,'Rec_raw_catch_effort_2010-2021'!$B:$B,Existing_Conditions!R$4,'Rec_raw_catch_effort_2010-2021'!$E:$E,Existing_Conditions!$O7)</f>
        <v>150800.45000000013</v>
      </c>
      <c r="S7" s="17">
        <f>SUMIFS('Rec_raw_catch_effort_2010-2021'!$R:$R,'Rec_raw_catch_effort_2010-2021'!$D:$D,Existing_Conditions!$B7,'Rec_raw_catch_effort_2010-2021'!$J:$J,Existing_Conditions!$C7,'Rec_raw_catch_effort_2010-2021'!$B:$B,Existing_Conditions!S$4,'Rec_raw_catch_effort_2010-2021'!$E:$E,Existing_Conditions!$O7)</f>
        <v>177990.34000000005</v>
      </c>
      <c r="T7" s="17">
        <f>SUMIFS('Rec_raw_catch_effort_2010-2021'!$R:$R,'Rec_raw_catch_effort_2010-2021'!$D:$D,Existing_Conditions!$B7,'Rec_raw_catch_effort_2010-2021'!$J:$J,Existing_Conditions!$C7,'Rec_raw_catch_effort_2010-2021'!$B:$B,Existing_Conditions!T$4,'Rec_raw_catch_effort_2010-2021'!$E:$E,Existing_Conditions!$O7)</f>
        <v>167202.9</v>
      </c>
      <c r="U7" s="17">
        <f>SUMIFS('Rec_raw_catch_effort_2010-2021'!$R:$R,'Rec_raw_catch_effort_2010-2021'!$D:$D,Existing_Conditions!$B7,'Rec_raw_catch_effort_2010-2021'!$J:$J,Existing_Conditions!$C7,'Rec_raw_catch_effort_2010-2021'!$B:$B,Existing_Conditions!U$4,'Rec_raw_catch_effort_2010-2021'!$E:$E,Existing_Conditions!$O7)</f>
        <v>254771.71000000028</v>
      </c>
      <c r="V7" s="17">
        <f>SUMIFS('Rec_raw_catch_effort_2010-2021'!$R:$R,'Rec_raw_catch_effort_2010-2021'!$D:$D,Existing_Conditions!$B7,'Rec_raw_catch_effort_2010-2021'!$J:$J,Existing_Conditions!$C7,'Rec_raw_catch_effort_2010-2021'!$B:$B,Existing_Conditions!V$4,'Rec_raw_catch_effort_2010-2021'!$E:$E,Existing_Conditions!$O7)</f>
        <v>51830.790000000008</v>
      </c>
      <c r="W7" s="17">
        <f>SUMIFS('Rec_raw_catch_effort_2010-2021'!$R:$R,'Rec_raw_catch_effort_2010-2021'!$D:$D,Existing_Conditions!$B7,'Rec_raw_catch_effort_2010-2021'!$J:$J,Existing_Conditions!$C7,'Rec_raw_catch_effort_2010-2021'!$B:$B,Existing_Conditions!W$4,'Rec_raw_catch_effort_2010-2021'!$E:$E,Existing_Conditions!$O7)</f>
        <v>40854.332877276007</v>
      </c>
      <c r="X7" s="17">
        <f>SUMIFS('Rec_raw_catch_effort_2010-2021'!$R:$R,'Rec_raw_catch_effort_2010-2021'!$D:$D,Existing_Conditions!$B7,'Rec_raw_catch_effort_2010-2021'!$J:$J,Existing_Conditions!$C7,'Rec_raw_catch_effort_2010-2021'!$B:$B,Existing_Conditions!X$4,'Rec_raw_catch_effort_2010-2021'!$E:$E,Existing_Conditions!$O7)</f>
        <v>60118.257290905953</v>
      </c>
      <c r="Y7" s="17">
        <f>SUMIFS('Rec_raw_catch_effort_2010-2021'!$R:$R,'Rec_raw_catch_effort_2010-2021'!$D:$D,Existing_Conditions!$B7,'Rec_raw_catch_effort_2010-2021'!$J:$J,Existing_Conditions!$C7,'Rec_raw_catch_effort_2010-2021'!$B:$B,Existing_Conditions!Y$4,'Rec_raw_catch_effort_2010-2021'!$E:$E,Existing_Conditions!$O7)</f>
        <v>62858.103072967388</v>
      </c>
      <c r="Z7" s="37">
        <f t="shared" si="1"/>
        <v>119239.08311481294</v>
      </c>
      <c r="AA7" t="s">
        <v>86</v>
      </c>
      <c r="AB7" s="167">
        <f>SUMIFS('Rec_raw_catch_effort_2010-2021'!$R:$R,'Rec_raw_catch_effort_2010-2021'!$D:$D,Existing_Conditions!$B7,'Rec_raw_catch_effort_2010-2021'!$J:$J,Existing_Conditions!$C7,'Rec_raw_catch_effort_2010-2021'!$B:$B,Existing_Conditions!AB$4,'Rec_raw_catch_effort_2010-2021'!$E:$E,Existing_Conditions!$AA7)</f>
        <v>1167.6824799554581</v>
      </c>
      <c r="AC7" s="167">
        <f>SUMIFS('Rec_raw_catch_effort_2010-2021'!$R:$R,'Rec_raw_catch_effort_2010-2021'!$D:$D,Existing_Conditions!$B7,'Rec_raw_catch_effort_2010-2021'!$J:$J,Existing_Conditions!$C7,'Rec_raw_catch_effort_2010-2021'!$B:$B,Existing_Conditions!AC$4,'Rec_raw_catch_effort_2010-2021'!$E:$E,Existing_Conditions!$AA7)</f>
        <v>323.06750120117317</v>
      </c>
      <c r="AD7" s="167">
        <f>SUMIFS('Rec_raw_catch_effort_2010-2021'!$R:$R,'Rec_raw_catch_effort_2010-2021'!$D:$D,Existing_Conditions!$B7,'Rec_raw_catch_effort_2010-2021'!$J:$J,Existing_Conditions!$C7,'Rec_raw_catch_effort_2010-2021'!$B:$B,Existing_Conditions!AD$4,'Rec_raw_catch_effort_2010-2021'!$E:$E,Existing_Conditions!$AA7)</f>
        <v>219.38365067819092</v>
      </c>
      <c r="AE7" s="167">
        <f>SUMIFS('Rec_raw_catch_effort_2010-2021'!$R:$R,'Rec_raw_catch_effort_2010-2021'!$D:$D,Existing_Conditions!$B7,'Rec_raw_catch_effort_2010-2021'!$J:$J,Existing_Conditions!$C7,'Rec_raw_catch_effort_2010-2021'!$B:$B,Existing_Conditions!AE$4,'Rec_raw_catch_effort_2010-2021'!$E:$E,Existing_Conditions!$AA7)</f>
        <v>61.258290968091039</v>
      </c>
      <c r="AF7" s="167">
        <f>SUMIFS('Rec_raw_catch_effort_2010-2021'!$R:$R,'Rec_raw_catch_effort_2010-2021'!$D:$D,Existing_Conditions!$B7,'Rec_raw_catch_effort_2010-2021'!$J:$J,Existing_Conditions!$C7,'Rec_raw_catch_effort_2010-2021'!$B:$B,Existing_Conditions!AF$4,'Rec_raw_catch_effort_2010-2021'!$E:$E,Existing_Conditions!$AA7)</f>
        <v>63.645299008314154</v>
      </c>
      <c r="AG7" s="167">
        <f>SUMIFS('Rec_raw_catch_effort_2010-2021'!$R:$R,'Rec_raw_catch_effort_2010-2021'!$D:$D,Existing_Conditions!$B7,'Rec_raw_catch_effort_2010-2021'!$J:$J,Existing_Conditions!$C7,'Rec_raw_catch_effort_2010-2021'!$B:$B,Existing_Conditions!AG$4,'Rec_raw_catch_effort_2010-2021'!$E:$E,Existing_Conditions!$AA7)</f>
        <v>326.65005856859136</v>
      </c>
      <c r="AH7" s="167">
        <f>SUMIFS('Rec_raw_catch_effort_2010-2021'!$R:$R,'Rec_raw_catch_effort_2010-2021'!$D:$D,Existing_Conditions!$B7,'Rec_raw_catch_effort_2010-2021'!$J:$J,Existing_Conditions!$C7,'Rec_raw_catch_effort_2010-2021'!$B:$B,Existing_Conditions!AH$4,'Rec_raw_catch_effort_2010-2021'!$E:$E,Existing_Conditions!$AA7)</f>
        <v>104.86592288669033</v>
      </c>
      <c r="AI7" s="167">
        <f>SUMIFS('Rec_raw_catch_effort_2010-2021'!$R:$R,'Rec_raw_catch_effort_2010-2021'!$D:$D,Existing_Conditions!$B7,'Rec_raw_catch_effort_2010-2021'!$J:$J,Existing_Conditions!$C7,'Rec_raw_catch_effort_2010-2021'!$B:$B,Existing_Conditions!AI$4,'Rec_raw_catch_effort_2010-2021'!$E:$E,Existing_Conditions!$AA7)</f>
        <v>375.98318495560443</v>
      </c>
      <c r="AJ7" s="167">
        <f>SUMIFS('Rec_raw_catch_effort_2010-2021'!$R:$R,'Rec_raw_catch_effort_2010-2021'!$D:$D,Existing_Conditions!$B7,'Rec_raw_catch_effort_2010-2021'!$J:$J,Existing_Conditions!$C7,'Rec_raw_catch_effort_2010-2021'!$B:$B,Existing_Conditions!AJ$4,'Rec_raw_catch_effort_2010-2021'!$E:$E,Existing_Conditions!$AA7)</f>
        <v>172.8837251775453</v>
      </c>
      <c r="AK7" s="167">
        <f>SUMIFS('Rec_raw_catch_effort_2010-2021'!$R:$R,'Rec_raw_catch_effort_2010-2021'!$D:$D,Existing_Conditions!$B7,'Rec_raw_catch_effort_2010-2021'!$J:$J,Existing_Conditions!$C7,'Rec_raw_catch_effort_2010-2021'!$B:$B,Existing_Conditions!AK$4,'Rec_raw_catch_effort_2010-2021'!$E:$E,Existing_Conditions!$AA7)</f>
        <v>86.505076801847352</v>
      </c>
      <c r="AL7" s="37">
        <f t="shared" si="2"/>
        <v>290.1925190201506</v>
      </c>
      <c r="AM7" t="s">
        <v>354</v>
      </c>
    </row>
    <row r="8" spans="1:39" x14ac:dyDescent="0.35">
      <c r="A8" t="s">
        <v>331</v>
      </c>
      <c r="B8" t="s">
        <v>132</v>
      </c>
      <c r="C8" s="17" t="s">
        <v>139</v>
      </c>
      <c r="D8" s="17">
        <f>SUMIFS('Rec_raw_catch_effort_2010-2021'!$R:$R,'Rec_raw_catch_effort_2010-2021'!$D:$D,Existing_Conditions!$B8,'Rec_raw_catch_effort_2010-2021'!$J:$J,Existing_Conditions!$C8,'Rec_raw_catch_effort_2010-2021'!$B:$B,Existing_Conditions!D$4)</f>
        <v>126383.09999999999</v>
      </c>
      <c r="E8" s="17">
        <f>SUMIFS('Rec_raw_catch_effort_2010-2021'!$R:$R,'Rec_raw_catch_effort_2010-2021'!$D:$D,Existing_Conditions!$B8,'Rec_raw_catch_effort_2010-2021'!$J:$J,Existing_Conditions!$C8,'Rec_raw_catch_effort_2010-2021'!$B:$B,Existing_Conditions!E$4)</f>
        <v>137657.35892558016</v>
      </c>
      <c r="F8" s="17">
        <f>SUMIFS('Rec_raw_catch_effort_2010-2021'!$R:$R,'Rec_raw_catch_effort_2010-2021'!$D:$D,Existing_Conditions!$B8,'Rec_raw_catch_effort_2010-2021'!$J:$J,Existing_Conditions!$C8,'Rec_raw_catch_effort_2010-2021'!$B:$B,Existing_Conditions!F$4)</f>
        <v>138671.1400000001</v>
      </c>
      <c r="G8" s="17">
        <f>SUMIFS('Rec_raw_catch_effort_2010-2021'!$R:$R,'Rec_raw_catch_effort_2010-2021'!$D:$D,Existing_Conditions!$B8,'Rec_raw_catch_effort_2010-2021'!$J:$J,Existing_Conditions!$C8,'Rec_raw_catch_effort_2010-2021'!$B:$B,Existing_Conditions!G$4)</f>
        <v>156072.49000000014</v>
      </c>
      <c r="H8" s="17">
        <f>SUMIFS('Rec_raw_catch_effort_2010-2021'!$R:$R,'Rec_raw_catch_effort_2010-2021'!$D:$D,Existing_Conditions!$B8,'Rec_raw_catch_effort_2010-2021'!$J:$J,Existing_Conditions!$C8,'Rec_raw_catch_effort_2010-2021'!$B:$B,Existing_Conditions!H$4)</f>
        <v>117416.65000000004</v>
      </c>
      <c r="I8" s="17">
        <f>SUMIFS('Rec_raw_catch_effort_2010-2021'!$R:$R,'Rec_raw_catch_effort_2010-2021'!$D:$D,Existing_Conditions!$B8,'Rec_raw_catch_effort_2010-2021'!$J:$J,Existing_Conditions!$C8,'Rec_raw_catch_effort_2010-2021'!$B:$B,Existing_Conditions!I$4)</f>
        <v>113207.91999999997</v>
      </c>
      <c r="J8" s="17">
        <f>SUMIFS('Rec_raw_catch_effort_2010-2021'!$R:$R,'Rec_raw_catch_effort_2010-2021'!$D:$D,Existing_Conditions!$B8,'Rec_raw_catch_effort_2010-2021'!$J:$J,Existing_Conditions!$C8,'Rec_raw_catch_effort_2010-2021'!$B:$B,Existing_Conditions!J$4)</f>
        <v>49480.460000000014</v>
      </c>
      <c r="K8" s="17">
        <f>SUMIFS('Rec_raw_catch_effort_2010-2021'!$R:$R,'Rec_raw_catch_effort_2010-2021'!$D:$D,Existing_Conditions!$B8,'Rec_raw_catch_effort_2010-2021'!$J:$J,Existing_Conditions!$C8,'Rec_raw_catch_effort_2010-2021'!$B:$B,Existing_Conditions!K$4)</f>
        <v>81182.608331414434</v>
      </c>
      <c r="L8" s="17">
        <f>SUMIFS('Rec_raw_catch_effort_2010-2021'!$R:$R,'Rec_raw_catch_effort_2010-2021'!$D:$D,Existing_Conditions!$B8,'Rec_raw_catch_effort_2010-2021'!$J:$J,Existing_Conditions!$C8,'Rec_raw_catch_effort_2010-2021'!$B:$B,Existing_Conditions!L$4)</f>
        <v>85568.76007323034</v>
      </c>
      <c r="M8" s="17">
        <f>SUMIFS('Rec_raw_catch_effort_2010-2021'!$R:$R,'Rec_raw_catch_effort_2010-2021'!$D:$D,Existing_Conditions!$B8,'Rec_raw_catch_effort_2010-2021'!$J:$J,Existing_Conditions!$C8,'Rec_raw_catch_effort_2010-2021'!$B:$B,Existing_Conditions!M$4)</f>
        <v>77819.635970544623</v>
      </c>
      <c r="N8" s="37">
        <f t="shared" si="0"/>
        <v>108346.01233007696</v>
      </c>
      <c r="O8" t="s">
        <v>10</v>
      </c>
      <c r="P8" s="17">
        <f>SUMIFS('Rec_raw_catch_effort_2010-2021'!$R:$R,'Rec_raw_catch_effort_2010-2021'!$D:$D,Existing_Conditions!$B8,'Rec_raw_catch_effort_2010-2021'!$J:$J,Existing_Conditions!$C8,'Rec_raw_catch_effort_2010-2021'!$B:$B,Existing_Conditions!P$4,'Rec_raw_catch_effort_2010-2021'!$E:$E,Existing_Conditions!$O8)</f>
        <v>126383.09999999999</v>
      </c>
      <c r="Q8" s="17">
        <f>SUMIFS('Rec_raw_catch_effort_2010-2021'!$R:$R,'Rec_raw_catch_effort_2010-2021'!$D:$D,Existing_Conditions!$B8,'Rec_raw_catch_effort_2010-2021'!$J:$J,Existing_Conditions!$C8,'Rec_raw_catch_effort_2010-2021'!$B:$B,Existing_Conditions!Q$4,'Rec_raw_catch_effort_2010-2021'!$E:$E,Existing_Conditions!$O8)</f>
        <v>137657.35892558016</v>
      </c>
      <c r="R8" s="17">
        <f>SUMIFS('Rec_raw_catch_effort_2010-2021'!$R:$R,'Rec_raw_catch_effort_2010-2021'!$D:$D,Existing_Conditions!$B8,'Rec_raw_catch_effort_2010-2021'!$J:$J,Existing_Conditions!$C8,'Rec_raw_catch_effort_2010-2021'!$B:$B,Existing_Conditions!R$4,'Rec_raw_catch_effort_2010-2021'!$E:$E,Existing_Conditions!$O8)</f>
        <v>138671.1400000001</v>
      </c>
      <c r="S8" s="17">
        <f>SUMIFS('Rec_raw_catch_effort_2010-2021'!$R:$R,'Rec_raw_catch_effort_2010-2021'!$D:$D,Existing_Conditions!$B8,'Rec_raw_catch_effort_2010-2021'!$J:$J,Existing_Conditions!$C8,'Rec_raw_catch_effort_2010-2021'!$B:$B,Existing_Conditions!S$4,'Rec_raw_catch_effort_2010-2021'!$E:$E,Existing_Conditions!$O8)</f>
        <v>156072.49000000014</v>
      </c>
      <c r="T8" s="17">
        <f>SUMIFS('Rec_raw_catch_effort_2010-2021'!$R:$R,'Rec_raw_catch_effort_2010-2021'!$D:$D,Existing_Conditions!$B8,'Rec_raw_catch_effort_2010-2021'!$J:$J,Existing_Conditions!$C8,'Rec_raw_catch_effort_2010-2021'!$B:$B,Existing_Conditions!T$4,'Rec_raw_catch_effort_2010-2021'!$E:$E,Existing_Conditions!$O8)</f>
        <v>117416.65000000004</v>
      </c>
      <c r="U8" s="17">
        <f>SUMIFS('Rec_raw_catch_effort_2010-2021'!$R:$R,'Rec_raw_catch_effort_2010-2021'!$D:$D,Existing_Conditions!$B8,'Rec_raw_catch_effort_2010-2021'!$J:$J,Existing_Conditions!$C8,'Rec_raw_catch_effort_2010-2021'!$B:$B,Existing_Conditions!U$4,'Rec_raw_catch_effort_2010-2021'!$E:$E,Existing_Conditions!$O8)</f>
        <v>113207.91999999997</v>
      </c>
      <c r="V8" s="17">
        <f>SUMIFS('Rec_raw_catch_effort_2010-2021'!$R:$R,'Rec_raw_catch_effort_2010-2021'!$D:$D,Existing_Conditions!$B8,'Rec_raw_catch_effort_2010-2021'!$J:$J,Existing_Conditions!$C8,'Rec_raw_catch_effort_2010-2021'!$B:$B,Existing_Conditions!V$4,'Rec_raw_catch_effort_2010-2021'!$E:$E,Existing_Conditions!$O8)</f>
        <v>49480.460000000014</v>
      </c>
      <c r="W8" s="17">
        <f>SUMIFS('Rec_raw_catch_effort_2010-2021'!$R:$R,'Rec_raw_catch_effort_2010-2021'!$D:$D,Existing_Conditions!$B8,'Rec_raw_catch_effort_2010-2021'!$J:$J,Existing_Conditions!$C8,'Rec_raw_catch_effort_2010-2021'!$B:$B,Existing_Conditions!W$4,'Rec_raw_catch_effort_2010-2021'!$E:$E,Existing_Conditions!$O8)</f>
        <v>81182.608331414434</v>
      </c>
      <c r="X8" s="17">
        <f>SUMIFS('Rec_raw_catch_effort_2010-2021'!$R:$R,'Rec_raw_catch_effort_2010-2021'!$D:$D,Existing_Conditions!$B8,'Rec_raw_catch_effort_2010-2021'!$J:$J,Existing_Conditions!$C8,'Rec_raw_catch_effort_2010-2021'!$B:$B,Existing_Conditions!X$4,'Rec_raw_catch_effort_2010-2021'!$E:$E,Existing_Conditions!$O8)</f>
        <v>85568.76007323034</v>
      </c>
      <c r="Y8" s="17">
        <f>SUMIFS('Rec_raw_catch_effort_2010-2021'!$R:$R,'Rec_raw_catch_effort_2010-2021'!$D:$D,Existing_Conditions!$B8,'Rec_raw_catch_effort_2010-2021'!$J:$J,Existing_Conditions!$C8,'Rec_raw_catch_effort_2010-2021'!$B:$B,Existing_Conditions!Y$4,'Rec_raw_catch_effort_2010-2021'!$E:$E,Existing_Conditions!$O8)</f>
        <v>77819.635970544623</v>
      </c>
      <c r="Z8" s="37">
        <f t="shared" si="1"/>
        <v>108346.01233007696</v>
      </c>
      <c r="AA8" t="s">
        <v>86</v>
      </c>
      <c r="AB8" s="17">
        <f>SUMIFS('Rec_raw_catch_effort_2010-2021'!$R:$R,'Rec_raw_catch_effort_2010-2021'!$D:$D,Existing_Conditions!$B8,'Rec_raw_catch_effort_2010-2021'!$J:$J,Existing_Conditions!$C8,'Rec_raw_catch_effort_2010-2021'!$B:$B,Existing_Conditions!AB$4,'Rec_raw_catch_effort_2010-2021'!$E:$E,Existing_Conditions!$AA8)</f>
        <v>0</v>
      </c>
      <c r="AC8" s="17">
        <f>SUMIFS('Rec_raw_catch_effort_2010-2021'!$R:$R,'Rec_raw_catch_effort_2010-2021'!$D:$D,Existing_Conditions!$B8,'Rec_raw_catch_effort_2010-2021'!$J:$J,Existing_Conditions!$C8,'Rec_raw_catch_effort_2010-2021'!$B:$B,Existing_Conditions!AC$4,'Rec_raw_catch_effort_2010-2021'!$E:$E,Existing_Conditions!$AA8)</f>
        <v>0</v>
      </c>
      <c r="AD8" s="17">
        <f>SUMIFS('Rec_raw_catch_effort_2010-2021'!$R:$R,'Rec_raw_catch_effort_2010-2021'!$D:$D,Existing_Conditions!$B8,'Rec_raw_catch_effort_2010-2021'!$J:$J,Existing_Conditions!$C8,'Rec_raw_catch_effort_2010-2021'!$B:$B,Existing_Conditions!AD$4,'Rec_raw_catch_effort_2010-2021'!$E:$E,Existing_Conditions!$AA8)</f>
        <v>0</v>
      </c>
      <c r="AE8" s="17">
        <f>SUMIFS('Rec_raw_catch_effort_2010-2021'!$R:$R,'Rec_raw_catch_effort_2010-2021'!$D:$D,Existing_Conditions!$B8,'Rec_raw_catch_effort_2010-2021'!$J:$J,Existing_Conditions!$C8,'Rec_raw_catch_effort_2010-2021'!$B:$B,Existing_Conditions!AE$4,'Rec_raw_catch_effort_2010-2021'!$E:$E,Existing_Conditions!$AA8)</f>
        <v>0</v>
      </c>
      <c r="AF8" s="17">
        <f>SUMIFS('Rec_raw_catch_effort_2010-2021'!$R:$R,'Rec_raw_catch_effort_2010-2021'!$D:$D,Existing_Conditions!$B8,'Rec_raw_catch_effort_2010-2021'!$J:$J,Existing_Conditions!$C8,'Rec_raw_catch_effort_2010-2021'!$B:$B,Existing_Conditions!AF$4,'Rec_raw_catch_effort_2010-2021'!$E:$E,Existing_Conditions!$AA8)</f>
        <v>0</v>
      </c>
      <c r="AG8" s="17">
        <f>SUMIFS('Rec_raw_catch_effort_2010-2021'!$R:$R,'Rec_raw_catch_effort_2010-2021'!$D:$D,Existing_Conditions!$B8,'Rec_raw_catch_effort_2010-2021'!$J:$J,Existing_Conditions!$C8,'Rec_raw_catch_effort_2010-2021'!$B:$B,Existing_Conditions!AG$4,'Rec_raw_catch_effort_2010-2021'!$E:$E,Existing_Conditions!$AA8)</f>
        <v>0</v>
      </c>
      <c r="AH8" s="17">
        <f>SUMIFS('Rec_raw_catch_effort_2010-2021'!$R:$R,'Rec_raw_catch_effort_2010-2021'!$D:$D,Existing_Conditions!$B8,'Rec_raw_catch_effort_2010-2021'!$J:$J,Existing_Conditions!$C8,'Rec_raw_catch_effort_2010-2021'!$B:$B,Existing_Conditions!AH$4,'Rec_raw_catch_effort_2010-2021'!$E:$E,Existing_Conditions!$AA8)</f>
        <v>0</v>
      </c>
      <c r="AI8" s="17">
        <f>SUMIFS('Rec_raw_catch_effort_2010-2021'!$R:$R,'Rec_raw_catch_effort_2010-2021'!$D:$D,Existing_Conditions!$B8,'Rec_raw_catch_effort_2010-2021'!$J:$J,Existing_Conditions!$C8,'Rec_raw_catch_effort_2010-2021'!$B:$B,Existing_Conditions!AI$4,'Rec_raw_catch_effort_2010-2021'!$E:$E,Existing_Conditions!$AA8)</f>
        <v>0</v>
      </c>
      <c r="AJ8" s="17">
        <f>SUMIFS('Rec_raw_catch_effort_2010-2021'!$R:$R,'Rec_raw_catch_effort_2010-2021'!$D:$D,Existing_Conditions!$B8,'Rec_raw_catch_effort_2010-2021'!$J:$J,Existing_Conditions!$C8,'Rec_raw_catch_effort_2010-2021'!$B:$B,Existing_Conditions!AJ$4,'Rec_raw_catch_effort_2010-2021'!$E:$E,Existing_Conditions!$AA8)</f>
        <v>0</v>
      </c>
      <c r="AK8" s="17">
        <f>SUMIFS('Rec_raw_catch_effort_2010-2021'!$R:$R,'Rec_raw_catch_effort_2010-2021'!$D:$D,Existing_Conditions!$B8,'Rec_raw_catch_effort_2010-2021'!$J:$J,Existing_Conditions!$C8,'Rec_raw_catch_effort_2010-2021'!$B:$B,Existing_Conditions!AK$4,'Rec_raw_catch_effort_2010-2021'!$E:$E,Existing_Conditions!$AA8)</f>
        <v>0</v>
      </c>
      <c r="AL8" s="37">
        <f t="shared" si="2"/>
        <v>0</v>
      </c>
    </row>
    <row r="9" spans="1:39" x14ac:dyDescent="0.35">
      <c r="A9" t="s">
        <v>331</v>
      </c>
      <c r="B9" t="s">
        <v>132</v>
      </c>
      <c r="C9" s="17" t="s">
        <v>141</v>
      </c>
      <c r="D9" s="17">
        <f>SUMIFS('Rec_raw_catch_effort_2010-2021'!$R:$R,'Rec_raw_catch_effort_2010-2021'!$D:$D,Existing_Conditions!$B9,'Rec_raw_catch_effort_2010-2021'!$J:$J,Existing_Conditions!$C9,'Rec_raw_catch_effort_2010-2021'!$B:$B,Existing_Conditions!D$4)</f>
        <v>11298.400000000007</v>
      </c>
      <c r="E9" s="17">
        <f>SUMIFS('Rec_raw_catch_effort_2010-2021'!$R:$R,'Rec_raw_catch_effort_2010-2021'!$D:$D,Existing_Conditions!$B9,'Rec_raw_catch_effort_2010-2021'!$J:$J,Existing_Conditions!$C9,'Rec_raw_catch_effort_2010-2021'!$B:$B,Existing_Conditions!E$4)</f>
        <v>32678.420000000006</v>
      </c>
      <c r="F9" s="17">
        <f>SUMIFS('Rec_raw_catch_effort_2010-2021'!$R:$R,'Rec_raw_catch_effort_2010-2021'!$D:$D,Existing_Conditions!$B9,'Rec_raw_catch_effort_2010-2021'!$J:$J,Existing_Conditions!$C9,'Rec_raw_catch_effort_2010-2021'!$B:$B,Existing_Conditions!F$4)</f>
        <v>27302.489999999994</v>
      </c>
      <c r="G9" s="17">
        <f>SUMIFS('Rec_raw_catch_effort_2010-2021'!$R:$R,'Rec_raw_catch_effort_2010-2021'!$D:$D,Existing_Conditions!$B9,'Rec_raw_catch_effort_2010-2021'!$J:$J,Existing_Conditions!$C9,'Rec_raw_catch_effort_2010-2021'!$B:$B,Existing_Conditions!G$4)</f>
        <v>23129.530000000006</v>
      </c>
      <c r="H9" s="17">
        <f>SUMIFS('Rec_raw_catch_effort_2010-2021'!$R:$R,'Rec_raw_catch_effort_2010-2021'!$D:$D,Existing_Conditions!$B9,'Rec_raw_catch_effort_2010-2021'!$J:$J,Existing_Conditions!$C9,'Rec_raw_catch_effort_2010-2021'!$B:$B,Existing_Conditions!H$4)</f>
        <v>16512.580000000009</v>
      </c>
      <c r="I9" s="17">
        <f>SUMIFS('Rec_raw_catch_effort_2010-2021'!$R:$R,'Rec_raw_catch_effort_2010-2021'!$D:$D,Existing_Conditions!$B9,'Rec_raw_catch_effort_2010-2021'!$J:$J,Existing_Conditions!$C9,'Rec_raw_catch_effort_2010-2021'!$B:$B,Existing_Conditions!I$4)</f>
        <v>28618.930000000008</v>
      </c>
      <c r="J9" s="17">
        <f>SUMIFS('Rec_raw_catch_effort_2010-2021'!$R:$R,'Rec_raw_catch_effort_2010-2021'!$D:$D,Existing_Conditions!$B9,'Rec_raw_catch_effort_2010-2021'!$J:$J,Existing_Conditions!$C9,'Rec_raw_catch_effort_2010-2021'!$B:$B,Existing_Conditions!J$4)</f>
        <v>26056.649999999994</v>
      </c>
      <c r="K9" s="17">
        <f>SUMIFS('Rec_raw_catch_effort_2010-2021'!$R:$R,'Rec_raw_catch_effort_2010-2021'!$D:$D,Existing_Conditions!$B9,'Rec_raw_catch_effort_2010-2021'!$J:$J,Existing_Conditions!$C9,'Rec_raw_catch_effort_2010-2021'!$B:$B,Existing_Conditions!K$4)</f>
        <v>6895.6172255304118</v>
      </c>
      <c r="L9" s="17">
        <f>SUMIFS('Rec_raw_catch_effort_2010-2021'!$R:$R,'Rec_raw_catch_effort_2010-2021'!$D:$D,Existing_Conditions!$B9,'Rec_raw_catch_effort_2010-2021'!$J:$J,Existing_Conditions!$C9,'Rec_raw_catch_effort_2010-2021'!$B:$B,Existing_Conditions!L$4)</f>
        <v>6959.2496380509247</v>
      </c>
      <c r="M9" s="17">
        <f>SUMIFS('Rec_raw_catch_effort_2010-2021'!$R:$R,'Rec_raw_catch_effort_2010-2021'!$D:$D,Existing_Conditions!$B9,'Rec_raw_catch_effort_2010-2021'!$J:$J,Existing_Conditions!$C9,'Rec_raw_catch_effort_2010-2021'!$B:$B,Existing_Conditions!M$4)</f>
        <v>3338.4856229672605</v>
      </c>
      <c r="N9" s="37">
        <f t="shared" si="0"/>
        <v>18279.035248654862</v>
      </c>
      <c r="O9" t="s">
        <v>10</v>
      </c>
      <c r="P9" s="17">
        <f>SUMIFS('Rec_raw_catch_effort_2010-2021'!$R:$R,'Rec_raw_catch_effort_2010-2021'!$D:$D,Existing_Conditions!$B9,'Rec_raw_catch_effort_2010-2021'!$J:$J,Existing_Conditions!$C9,'Rec_raw_catch_effort_2010-2021'!$B:$B,Existing_Conditions!P$4,'Rec_raw_catch_effort_2010-2021'!$E:$E,Existing_Conditions!$O9)</f>
        <v>11298.400000000007</v>
      </c>
      <c r="Q9" s="17">
        <f>SUMIFS('Rec_raw_catch_effort_2010-2021'!$R:$R,'Rec_raw_catch_effort_2010-2021'!$D:$D,Existing_Conditions!$B9,'Rec_raw_catch_effort_2010-2021'!$J:$J,Existing_Conditions!$C9,'Rec_raw_catch_effort_2010-2021'!$B:$B,Existing_Conditions!Q$4,'Rec_raw_catch_effort_2010-2021'!$E:$E,Existing_Conditions!$O9)</f>
        <v>32678.420000000006</v>
      </c>
      <c r="R9" s="17">
        <f>SUMIFS('Rec_raw_catch_effort_2010-2021'!$R:$R,'Rec_raw_catch_effort_2010-2021'!$D:$D,Existing_Conditions!$B9,'Rec_raw_catch_effort_2010-2021'!$J:$J,Existing_Conditions!$C9,'Rec_raw_catch_effort_2010-2021'!$B:$B,Existing_Conditions!R$4,'Rec_raw_catch_effort_2010-2021'!$E:$E,Existing_Conditions!$O9)</f>
        <v>27302.489999999994</v>
      </c>
      <c r="S9" s="17">
        <f>SUMIFS('Rec_raw_catch_effort_2010-2021'!$R:$R,'Rec_raw_catch_effort_2010-2021'!$D:$D,Existing_Conditions!$B9,'Rec_raw_catch_effort_2010-2021'!$J:$J,Existing_Conditions!$C9,'Rec_raw_catch_effort_2010-2021'!$B:$B,Existing_Conditions!S$4,'Rec_raw_catch_effort_2010-2021'!$E:$E,Existing_Conditions!$O9)</f>
        <v>23129.530000000006</v>
      </c>
      <c r="T9" s="17">
        <f>SUMIFS('Rec_raw_catch_effort_2010-2021'!$R:$R,'Rec_raw_catch_effort_2010-2021'!$D:$D,Existing_Conditions!$B9,'Rec_raw_catch_effort_2010-2021'!$J:$J,Existing_Conditions!$C9,'Rec_raw_catch_effort_2010-2021'!$B:$B,Existing_Conditions!T$4,'Rec_raw_catch_effort_2010-2021'!$E:$E,Existing_Conditions!$O9)</f>
        <v>16512.580000000009</v>
      </c>
      <c r="U9" s="17">
        <f>SUMIFS('Rec_raw_catch_effort_2010-2021'!$R:$R,'Rec_raw_catch_effort_2010-2021'!$D:$D,Existing_Conditions!$B9,'Rec_raw_catch_effort_2010-2021'!$J:$J,Existing_Conditions!$C9,'Rec_raw_catch_effort_2010-2021'!$B:$B,Existing_Conditions!U$4,'Rec_raw_catch_effort_2010-2021'!$E:$E,Existing_Conditions!$O9)</f>
        <v>28618.930000000008</v>
      </c>
      <c r="V9" s="17">
        <f>SUMIFS('Rec_raw_catch_effort_2010-2021'!$R:$R,'Rec_raw_catch_effort_2010-2021'!$D:$D,Existing_Conditions!$B9,'Rec_raw_catch_effort_2010-2021'!$J:$J,Existing_Conditions!$C9,'Rec_raw_catch_effort_2010-2021'!$B:$B,Existing_Conditions!V$4,'Rec_raw_catch_effort_2010-2021'!$E:$E,Existing_Conditions!$O9)</f>
        <v>26056.649999999994</v>
      </c>
      <c r="W9" s="17">
        <f>SUMIFS('Rec_raw_catch_effort_2010-2021'!$R:$R,'Rec_raw_catch_effort_2010-2021'!$D:$D,Existing_Conditions!$B9,'Rec_raw_catch_effort_2010-2021'!$J:$J,Existing_Conditions!$C9,'Rec_raw_catch_effort_2010-2021'!$B:$B,Existing_Conditions!W$4,'Rec_raw_catch_effort_2010-2021'!$E:$E,Existing_Conditions!$O9)</f>
        <v>6895.6172255304118</v>
      </c>
      <c r="X9" s="17">
        <f>SUMIFS('Rec_raw_catch_effort_2010-2021'!$R:$R,'Rec_raw_catch_effort_2010-2021'!$D:$D,Existing_Conditions!$B9,'Rec_raw_catch_effort_2010-2021'!$J:$J,Existing_Conditions!$C9,'Rec_raw_catch_effort_2010-2021'!$B:$B,Existing_Conditions!X$4,'Rec_raw_catch_effort_2010-2021'!$E:$E,Existing_Conditions!$O9)</f>
        <v>6959.2496380509247</v>
      </c>
      <c r="Y9" s="17">
        <f>SUMIFS('Rec_raw_catch_effort_2010-2021'!$R:$R,'Rec_raw_catch_effort_2010-2021'!$D:$D,Existing_Conditions!$B9,'Rec_raw_catch_effort_2010-2021'!$J:$J,Existing_Conditions!$C9,'Rec_raw_catch_effort_2010-2021'!$B:$B,Existing_Conditions!Y$4,'Rec_raw_catch_effort_2010-2021'!$E:$E,Existing_Conditions!$O9)</f>
        <v>3338.4856229672605</v>
      </c>
      <c r="Z9" s="37">
        <f t="shared" si="1"/>
        <v>18279.035248654862</v>
      </c>
      <c r="AA9" t="s">
        <v>86</v>
      </c>
      <c r="AB9" s="17">
        <f>SUMIFS('Rec_raw_catch_effort_2010-2021'!$R:$R,'Rec_raw_catch_effort_2010-2021'!$D:$D,Existing_Conditions!$B9,'Rec_raw_catch_effort_2010-2021'!$J:$J,Existing_Conditions!$C9,'Rec_raw_catch_effort_2010-2021'!$B:$B,Existing_Conditions!AB$4,'Rec_raw_catch_effort_2010-2021'!$E:$E,Existing_Conditions!$AA9)</f>
        <v>0</v>
      </c>
      <c r="AC9" s="17">
        <f>SUMIFS('Rec_raw_catch_effort_2010-2021'!$R:$R,'Rec_raw_catch_effort_2010-2021'!$D:$D,Existing_Conditions!$B9,'Rec_raw_catch_effort_2010-2021'!$J:$J,Existing_Conditions!$C9,'Rec_raw_catch_effort_2010-2021'!$B:$B,Existing_Conditions!AC$4,'Rec_raw_catch_effort_2010-2021'!$E:$E,Existing_Conditions!$AA9)</f>
        <v>0</v>
      </c>
      <c r="AD9" s="17">
        <f>SUMIFS('Rec_raw_catch_effort_2010-2021'!$R:$R,'Rec_raw_catch_effort_2010-2021'!$D:$D,Existing_Conditions!$B9,'Rec_raw_catch_effort_2010-2021'!$J:$J,Existing_Conditions!$C9,'Rec_raw_catch_effort_2010-2021'!$B:$B,Existing_Conditions!AD$4,'Rec_raw_catch_effort_2010-2021'!$E:$E,Existing_Conditions!$AA9)</f>
        <v>0</v>
      </c>
      <c r="AE9" s="17">
        <f>SUMIFS('Rec_raw_catch_effort_2010-2021'!$R:$R,'Rec_raw_catch_effort_2010-2021'!$D:$D,Existing_Conditions!$B9,'Rec_raw_catch_effort_2010-2021'!$J:$J,Existing_Conditions!$C9,'Rec_raw_catch_effort_2010-2021'!$B:$B,Existing_Conditions!AE$4,'Rec_raw_catch_effort_2010-2021'!$E:$E,Existing_Conditions!$AA9)</f>
        <v>0</v>
      </c>
      <c r="AF9" s="17">
        <f>SUMIFS('Rec_raw_catch_effort_2010-2021'!$R:$R,'Rec_raw_catch_effort_2010-2021'!$D:$D,Existing_Conditions!$B9,'Rec_raw_catch_effort_2010-2021'!$J:$J,Existing_Conditions!$C9,'Rec_raw_catch_effort_2010-2021'!$B:$B,Existing_Conditions!AF$4,'Rec_raw_catch_effort_2010-2021'!$E:$E,Existing_Conditions!$AA9)</f>
        <v>0</v>
      </c>
      <c r="AG9" s="17">
        <f>SUMIFS('Rec_raw_catch_effort_2010-2021'!$R:$R,'Rec_raw_catch_effort_2010-2021'!$D:$D,Existing_Conditions!$B9,'Rec_raw_catch_effort_2010-2021'!$J:$J,Existing_Conditions!$C9,'Rec_raw_catch_effort_2010-2021'!$B:$B,Existing_Conditions!AG$4,'Rec_raw_catch_effort_2010-2021'!$E:$E,Existing_Conditions!$AA9)</f>
        <v>0</v>
      </c>
      <c r="AH9" s="17">
        <f>SUMIFS('Rec_raw_catch_effort_2010-2021'!$R:$R,'Rec_raw_catch_effort_2010-2021'!$D:$D,Existing_Conditions!$B9,'Rec_raw_catch_effort_2010-2021'!$J:$J,Existing_Conditions!$C9,'Rec_raw_catch_effort_2010-2021'!$B:$B,Existing_Conditions!AH$4,'Rec_raw_catch_effort_2010-2021'!$E:$E,Existing_Conditions!$AA9)</f>
        <v>0</v>
      </c>
      <c r="AI9" s="17">
        <f>SUMIFS('Rec_raw_catch_effort_2010-2021'!$R:$R,'Rec_raw_catch_effort_2010-2021'!$D:$D,Existing_Conditions!$B9,'Rec_raw_catch_effort_2010-2021'!$J:$J,Existing_Conditions!$C9,'Rec_raw_catch_effort_2010-2021'!$B:$B,Existing_Conditions!AI$4,'Rec_raw_catch_effort_2010-2021'!$E:$E,Existing_Conditions!$AA9)</f>
        <v>0</v>
      </c>
      <c r="AJ9" s="17">
        <f>SUMIFS('Rec_raw_catch_effort_2010-2021'!$R:$R,'Rec_raw_catch_effort_2010-2021'!$D:$D,Existing_Conditions!$B9,'Rec_raw_catch_effort_2010-2021'!$J:$J,Existing_Conditions!$C9,'Rec_raw_catch_effort_2010-2021'!$B:$B,Existing_Conditions!AJ$4,'Rec_raw_catch_effort_2010-2021'!$E:$E,Existing_Conditions!$AA9)</f>
        <v>0</v>
      </c>
      <c r="AK9" s="17">
        <f>SUMIFS('Rec_raw_catch_effort_2010-2021'!$R:$R,'Rec_raw_catch_effort_2010-2021'!$D:$D,Existing_Conditions!$B9,'Rec_raw_catch_effort_2010-2021'!$J:$J,Existing_Conditions!$C9,'Rec_raw_catch_effort_2010-2021'!$B:$B,Existing_Conditions!AK$4,'Rec_raw_catch_effort_2010-2021'!$E:$E,Existing_Conditions!$AA9)</f>
        <v>0</v>
      </c>
      <c r="AL9" s="37">
        <f t="shared" si="2"/>
        <v>0</v>
      </c>
    </row>
    <row r="10" spans="1:39" x14ac:dyDescent="0.35">
      <c r="A10" t="s">
        <v>331</v>
      </c>
      <c r="B10" t="s">
        <v>167</v>
      </c>
      <c r="C10" s="17"/>
      <c r="D10" s="52">
        <f>SUM(D5:D9)</f>
        <v>316599.8824799555</v>
      </c>
      <c r="E10" s="52">
        <f t="shared" ref="E10:M10" si="3">SUM(E5:E9)</f>
        <v>424438.13566117315</v>
      </c>
      <c r="F10" s="52">
        <f t="shared" si="3"/>
        <v>447488.48365067842</v>
      </c>
      <c r="G10" s="52">
        <f t="shared" si="3"/>
        <v>481227.30829096842</v>
      </c>
      <c r="H10" s="52">
        <f t="shared" si="3"/>
        <v>452036.59529900836</v>
      </c>
      <c r="I10" s="52">
        <f t="shared" si="3"/>
        <v>536229.57005856885</v>
      </c>
      <c r="J10" s="52">
        <f t="shared" si="3"/>
        <v>193593.46592288671</v>
      </c>
      <c r="K10" s="52">
        <f t="shared" si="3"/>
        <v>197219.23898901371</v>
      </c>
      <c r="L10" s="52">
        <f t="shared" si="3"/>
        <v>233608.94484911062</v>
      </c>
      <c r="M10" s="52">
        <f t="shared" si="3"/>
        <v>216040.41308961681</v>
      </c>
      <c r="N10" s="37">
        <f>SUM(N5:N9)</f>
        <v>349848.20382909803</v>
      </c>
      <c r="O10" t="s">
        <v>10</v>
      </c>
      <c r="P10" s="52">
        <f>SUM(P5:P9)</f>
        <v>315432.2</v>
      </c>
      <c r="Q10" s="52">
        <f t="shared" ref="Q10:Y10" si="4">SUM(Q5:Q9)</f>
        <v>424115.06815997203</v>
      </c>
      <c r="R10" s="52">
        <f t="shared" si="4"/>
        <v>447269.10000000033</v>
      </c>
      <c r="S10" s="52">
        <f t="shared" si="4"/>
        <v>481166.05000000028</v>
      </c>
      <c r="T10" s="52">
        <f t="shared" si="4"/>
        <v>451972.95000000013</v>
      </c>
      <c r="U10" s="52">
        <f t="shared" si="4"/>
        <v>535902.92000000027</v>
      </c>
      <c r="V10" s="52">
        <f t="shared" si="4"/>
        <v>193488.6</v>
      </c>
      <c r="W10" s="52">
        <f t="shared" si="4"/>
        <v>196843.25580405811</v>
      </c>
      <c r="X10" s="52">
        <f t="shared" si="4"/>
        <v>233436.06112393306</v>
      </c>
      <c r="Y10" s="52">
        <f t="shared" si="4"/>
        <v>215953.90801281497</v>
      </c>
      <c r="Z10" s="37">
        <f>SUM(Z5:Z9)</f>
        <v>349558.01131007785</v>
      </c>
      <c r="AA10" t="s">
        <v>86</v>
      </c>
      <c r="AB10" s="52">
        <f>SUM(AB5:AB9)</f>
        <v>1167.6824799554581</v>
      </c>
      <c r="AC10" s="52">
        <f t="shared" ref="AC10:AK10" si="5">SUM(AC5:AC9)</f>
        <v>323.06750120117317</v>
      </c>
      <c r="AD10" s="52">
        <f t="shared" si="5"/>
        <v>219.38365067819092</v>
      </c>
      <c r="AE10" s="52">
        <f t="shared" si="5"/>
        <v>61.258290968091039</v>
      </c>
      <c r="AF10" s="52">
        <f t="shared" si="5"/>
        <v>63.645299008314154</v>
      </c>
      <c r="AG10" s="52">
        <f t="shared" si="5"/>
        <v>326.65005856859136</v>
      </c>
      <c r="AH10" s="52">
        <f t="shared" si="5"/>
        <v>104.86592288669033</v>
      </c>
      <c r="AI10" s="52">
        <f t="shared" si="5"/>
        <v>375.98318495560443</v>
      </c>
      <c r="AJ10" s="52">
        <f t="shared" si="5"/>
        <v>172.8837251775453</v>
      </c>
      <c r="AK10" s="52">
        <f t="shared" si="5"/>
        <v>86.505076801847352</v>
      </c>
      <c r="AL10" s="37">
        <f>SUM(AL5:AL9)</f>
        <v>290.1925190201506</v>
      </c>
    </row>
    <row r="11" spans="1:39" x14ac:dyDescent="0.35">
      <c r="A11" t="s">
        <v>331</v>
      </c>
      <c r="B11" t="s">
        <v>143</v>
      </c>
      <c r="C11" s="17" t="s">
        <v>133</v>
      </c>
      <c r="D11" s="17">
        <f>SUMIFS('Rec_raw_catch_effort_2010-2021'!$R:$R,'Rec_raw_catch_effort_2010-2021'!$D:$D,Existing_Conditions!$B11,'Rec_raw_catch_effort_2010-2021'!$J:$J,Existing_Conditions!$C11,'Rec_raw_catch_effort_2010-2021'!$B:$B,Existing_Conditions!D$4)</f>
        <v>14159.860156731178</v>
      </c>
      <c r="E11" s="17">
        <f>SUMIFS('Rec_raw_catch_effort_2010-2021'!$R:$R,'Rec_raw_catch_effort_2010-2021'!$D:$D,Existing_Conditions!$B11,'Rec_raw_catch_effort_2010-2021'!$J:$J,Existing_Conditions!$C11,'Rec_raw_catch_effort_2010-2021'!$B:$B,Existing_Conditions!E$4)</f>
        <v>19267.39026206209</v>
      </c>
      <c r="F11" s="17">
        <f>SUMIFS('Rec_raw_catch_effort_2010-2021'!$R:$R,'Rec_raw_catch_effort_2010-2021'!$D:$D,Existing_Conditions!$B11,'Rec_raw_catch_effort_2010-2021'!$J:$J,Existing_Conditions!$C11,'Rec_raw_catch_effort_2010-2021'!$B:$B,Existing_Conditions!F$4)</f>
        <v>10505.923394959878</v>
      </c>
      <c r="G11" s="17">
        <f>SUMIFS('Rec_raw_catch_effort_2010-2021'!$R:$R,'Rec_raw_catch_effort_2010-2021'!$D:$D,Existing_Conditions!$B11,'Rec_raw_catch_effort_2010-2021'!$J:$J,Existing_Conditions!$C11,'Rec_raw_catch_effort_2010-2021'!$B:$B,Existing_Conditions!G$4)</f>
        <v>9268.4211668674925</v>
      </c>
      <c r="H11" s="17">
        <f>SUMIFS('Rec_raw_catch_effort_2010-2021'!$R:$R,'Rec_raw_catch_effort_2010-2021'!$D:$D,Existing_Conditions!$B11,'Rec_raw_catch_effort_2010-2021'!$J:$J,Existing_Conditions!$C11,'Rec_raw_catch_effort_2010-2021'!$B:$B,Existing_Conditions!H$4)</f>
        <v>8851.1829462908299</v>
      </c>
      <c r="I11" s="17">
        <f>SUMIFS('Rec_raw_catch_effort_2010-2021'!$R:$R,'Rec_raw_catch_effort_2010-2021'!$D:$D,Existing_Conditions!$B11,'Rec_raw_catch_effort_2010-2021'!$J:$J,Existing_Conditions!$C11,'Rec_raw_catch_effort_2010-2021'!$B:$B,Existing_Conditions!I$4)</f>
        <v>4429.6126708843321</v>
      </c>
      <c r="J11" s="17">
        <f>SUMIFS('Rec_raw_catch_effort_2010-2021'!$R:$R,'Rec_raw_catch_effort_2010-2021'!$D:$D,Existing_Conditions!$B11,'Rec_raw_catch_effort_2010-2021'!$J:$J,Existing_Conditions!$C11,'Rec_raw_catch_effort_2010-2021'!$B:$B,Existing_Conditions!J$4)</f>
        <v>7745.7640373766426</v>
      </c>
      <c r="K11" s="17">
        <f>SUMIFS('Rec_raw_catch_effort_2010-2021'!$R:$R,'Rec_raw_catch_effort_2010-2021'!$D:$D,Existing_Conditions!$B11,'Rec_raw_catch_effort_2010-2021'!$J:$J,Existing_Conditions!$C11,'Rec_raw_catch_effort_2010-2021'!$B:$B,Existing_Conditions!K$4)</f>
        <v>6735.9787068060859</v>
      </c>
      <c r="L11" s="17">
        <f>SUMIFS('Rec_raw_catch_effort_2010-2021'!$R:$R,'Rec_raw_catch_effort_2010-2021'!$D:$D,Existing_Conditions!$B11,'Rec_raw_catch_effort_2010-2021'!$J:$J,Existing_Conditions!$C11,'Rec_raw_catch_effort_2010-2021'!$B:$B,Existing_Conditions!L$4)</f>
        <v>3689.968398594111</v>
      </c>
      <c r="M11" s="17">
        <f>SUMIFS('Rec_raw_catch_effort_2010-2021'!$R:$R,'Rec_raw_catch_effort_2010-2021'!$D:$D,Existing_Conditions!$B11,'Rec_raw_catch_effort_2010-2021'!$J:$J,Existing_Conditions!$C11,'Rec_raw_catch_effort_2010-2021'!$B:$B,Existing_Conditions!M$4)</f>
        <v>2596.2826382190328</v>
      </c>
      <c r="N11" s="37">
        <f>AVERAGE(D11:M11)</f>
        <v>8725.0384378791678</v>
      </c>
      <c r="O11" t="s">
        <v>10</v>
      </c>
      <c r="P11" s="17">
        <f>SUMIFS('Rec_raw_catch_effort_2010-2021'!$R:$R,'Rec_raw_catch_effort_2010-2021'!$D:$D,Existing_Conditions!$B11,'Rec_raw_catch_effort_2010-2021'!$J:$J,Existing_Conditions!$C11,'Rec_raw_catch_effort_2010-2021'!$B:$B,Existing_Conditions!P$4,'Rec_raw_catch_effort_2010-2021'!$E:$E,Existing_Conditions!$O11)</f>
        <v>1498.8815751792074</v>
      </c>
      <c r="Q11" s="17">
        <f>SUMIFS('Rec_raw_catch_effort_2010-2021'!$R:$R,'Rec_raw_catch_effort_2010-2021'!$D:$D,Existing_Conditions!$B11,'Rec_raw_catch_effort_2010-2021'!$J:$J,Existing_Conditions!$C11,'Rec_raw_catch_effort_2010-2021'!$B:$B,Existing_Conditions!Q$4,'Rec_raw_catch_effort_2010-2021'!$E:$E,Existing_Conditions!$O11)</f>
        <v>7711.5691182858855</v>
      </c>
      <c r="R11" s="17">
        <f>SUMIFS('Rec_raw_catch_effort_2010-2021'!$R:$R,'Rec_raw_catch_effort_2010-2021'!$D:$D,Existing_Conditions!$B11,'Rec_raw_catch_effort_2010-2021'!$J:$J,Existing_Conditions!$C11,'Rec_raw_catch_effort_2010-2021'!$B:$B,Existing_Conditions!R$4,'Rec_raw_catch_effort_2010-2021'!$E:$E,Existing_Conditions!$O11)</f>
        <v>4371.3362980306802</v>
      </c>
      <c r="S11" s="17">
        <f>SUMIFS('Rec_raw_catch_effort_2010-2021'!$R:$R,'Rec_raw_catch_effort_2010-2021'!$D:$D,Existing_Conditions!$B11,'Rec_raw_catch_effort_2010-2021'!$J:$J,Existing_Conditions!$C11,'Rec_raw_catch_effort_2010-2021'!$B:$B,Existing_Conditions!S$4,'Rec_raw_catch_effort_2010-2021'!$E:$E,Existing_Conditions!$O11)</f>
        <v>5120.9915163651667</v>
      </c>
      <c r="T11" s="17">
        <f>SUMIFS('Rec_raw_catch_effort_2010-2021'!$R:$R,'Rec_raw_catch_effort_2010-2021'!$D:$D,Existing_Conditions!$B11,'Rec_raw_catch_effort_2010-2021'!$J:$J,Existing_Conditions!$C11,'Rec_raw_catch_effort_2010-2021'!$B:$B,Existing_Conditions!T$4,'Rec_raw_catch_effort_2010-2021'!$E:$E,Existing_Conditions!$O11)</f>
        <v>2236.2734755085285</v>
      </c>
      <c r="U11" s="17">
        <f>SUMIFS('Rec_raw_catch_effort_2010-2021'!$R:$R,'Rec_raw_catch_effort_2010-2021'!$D:$D,Existing_Conditions!$B11,'Rec_raw_catch_effort_2010-2021'!$J:$J,Existing_Conditions!$C11,'Rec_raw_catch_effort_2010-2021'!$B:$B,Existing_Conditions!U$4,'Rec_raw_catch_effort_2010-2021'!$E:$E,Existing_Conditions!$O11)</f>
        <v>1266.9764774421062</v>
      </c>
      <c r="V11" s="17">
        <f>SUMIFS('Rec_raw_catch_effort_2010-2021'!$R:$R,'Rec_raw_catch_effort_2010-2021'!$D:$D,Existing_Conditions!$B11,'Rec_raw_catch_effort_2010-2021'!$J:$J,Existing_Conditions!$C11,'Rec_raw_catch_effort_2010-2021'!$B:$B,Existing_Conditions!V$4,'Rec_raw_catch_effort_2010-2021'!$E:$E,Existing_Conditions!$O11)</f>
        <v>3821.9070389617764</v>
      </c>
      <c r="W11" s="17">
        <f>SUMIFS('Rec_raw_catch_effort_2010-2021'!$R:$R,'Rec_raw_catch_effort_2010-2021'!$D:$D,Existing_Conditions!$B11,'Rec_raw_catch_effort_2010-2021'!$J:$J,Existing_Conditions!$C11,'Rec_raw_catch_effort_2010-2021'!$B:$B,Existing_Conditions!W$4,'Rec_raw_catch_effort_2010-2021'!$E:$E,Existing_Conditions!$O11)</f>
        <v>3680.6020573737123</v>
      </c>
      <c r="X11" s="17">
        <f>SUMIFS('Rec_raw_catch_effort_2010-2021'!$R:$R,'Rec_raw_catch_effort_2010-2021'!$D:$D,Existing_Conditions!$B11,'Rec_raw_catch_effort_2010-2021'!$J:$J,Existing_Conditions!$C11,'Rec_raw_catch_effort_2010-2021'!$B:$B,Existing_Conditions!X$4,'Rec_raw_catch_effort_2010-2021'!$E:$E,Existing_Conditions!$O11)</f>
        <v>1021.7456396720007</v>
      </c>
      <c r="Y11" s="17">
        <f>SUMIFS('Rec_raw_catch_effort_2010-2021'!$R:$R,'Rec_raw_catch_effort_2010-2021'!$D:$D,Existing_Conditions!$B11,'Rec_raw_catch_effort_2010-2021'!$J:$J,Existing_Conditions!$C11,'Rec_raw_catch_effort_2010-2021'!$B:$B,Existing_Conditions!Y$4,'Rec_raw_catch_effort_2010-2021'!$E:$E,Existing_Conditions!$O11)</f>
        <v>2261.4468410209643</v>
      </c>
      <c r="Z11" s="37">
        <f>AVERAGE(P11:Y11)</f>
        <v>3299.1730037840034</v>
      </c>
      <c r="AA11" t="s">
        <v>86</v>
      </c>
      <c r="AB11" s="17">
        <f>SUMIFS('Rec_raw_catch_effort_2010-2021'!$R:$R,'Rec_raw_catch_effort_2010-2021'!$D:$D,Existing_Conditions!$B11,'Rec_raw_catch_effort_2010-2021'!$J:$J,Existing_Conditions!$C11,'Rec_raw_catch_effort_2010-2021'!$B:$B,Existing_Conditions!AB$4,'Rec_raw_catch_effort_2010-2021'!$E:$E,Existing_Conditions!$AA11)</f>
        <v>12660.978581551972</v>
      </c>
      <c r="AC11" s="17">
        <f>SUMIFS('Rec_raw_catch_effort_2010-2021'!$R:$R,'Rec_raw_catch_effort_2010-2021'!$D:$D,Existing_Conditions!$B11,'Rec_raw_catch_effort_2010-2021'!$J:$J,Existing_Conditions!$C11,'Rec_raw_catch_effort_2010-2021'!$B:$B,Existing_Conditions!AC$4,'Rec_raw_catch_effort_2010-2021'!$E:$E,Existing_Conditions!$AA11)</f>
        <v>11555.821143776204</v>
      </c>
      <c r="AD11" s="17">
        <f>SUMIFS('Rec_raw_catch_effort_2010-2021'!$R:$R,'Rec_raw_catch_effort_2010-2021'!$D:$D,Existing_Conditions!$B11,'Rec_raw_catch_effort_2010-2021'!$J:$J,Existing_Conditions!$C11,'Rec_raw_catch_effort_2010-2021'!$B:$B,Existing_Conditions!AD$4,'Rec_raw_catch_effort_2010-2021'!$E:$E,Existing_Conditions!$AA11)</f>
        <v>6134.5870969292</v>
      </c>
      <c r="AE11" s="17">
        <f>SUMIFS('Rec_raw_catch_effort_2010-2021'!$R:$R,'Rec_raw_catch_effort_2010-2021'!$D:$D,Existing_Conditions!$B11,'Rec_raw_catch_effort_2010-2021'!$J:$J,Existing_Conditions!$C11,'Rec_raw_catch_effort_2010-2021'!$B:$B,Existing_Conditions!AE$4,'Rec_raw_catch_effort_2010-2021'!$E:$E,Existing_Conditions!$AA11)</f>
        <v>4147.4296505023285</v>
      </c>
      <c r="AF11" s="17">
        <f>SUMIFS('Rec_raw_catch_effort_2010-2021'!$R:$R,'Rec_raw_catch_effort_2010-2021'!$D:$D,Existing_Conditions!$B11,'Rec_raw_catch_effort_2010-2021'!$J:$J,Existing_Conditions!$C11,'Rec_raw_catch_effort_2010-2021'!$B:$B,Existing_Conditions!AF$4,'Rec_raw_catch_effort_2010-2021'!$E:$E,Existing_Conditions!$AA11)</f>
        <v>6614.9094707823006</v>
      </c>
      <c r="AG11" s="17">
        <f>SUMIFS('Rec_raw_catch_effort_2010-2021'!$R:$R,'Rec_raw_catch_effort_2010-2021'!$D:$D,Existing_Conditions!$B11,'Rec_raw_catch_effort_2010-2021'!$J:$J,Existing_Conditions!$C11,'Rec_raw_catch_effort_2010-2021'!$B:$B,Existing_Conditions!AG$4,'Rec_raw_catch_effort_2010-2021'!$E:$E,Existing_Conditions!$AA11)</f>
        <v>3162.6361934422262</v>
      </c>
      <c r="AH11" s="17">
        <f>SUMIFS('Rec_raw_catch_effort_2010-2021'!$R:$R,'Rec_raw_catch_effort_2010-2021'!$D:$D,Existing_Conditions!$B11,'Rec_raw_catch_effort_2010-2021'!$J:$J,Existing_Conditions!$C11,'Rec_raw_catch_effort_2010-2021'!$B:$B,Existing_Conditions!AH$4,'Rec_raw_catch_effort_2010-2021'!$E:$E,Existing_Conditions!$AA11)</f>
        <v>3923.8569984148676</v>
      </c>
      <c r="AI11" s="17">
        <f>SUMIFS('Rec_raw_catch_effort_2010-2021'!$R:$R,'Rec_raw_catch_effort_2010-2021'!$D:$D,Existing_Conditions!$B11,'Rec_raw_catch_effort_2010-2021'!$J:$J,Existing_Conditions!$C11,'Rec_raw_catch_effort_2010-2021'!$B:$B,Existing_Conditions!AI$4,'Rec_raw_catch_effort_2010-2021'!$E:$E,Existing_Conditions!$AA11)</f>
        <v>3055.3766494323754</v>
      </c>
      <c r="AJ11" s="17">
        <f>SUMIFS('Rec_raw_catch_effort_2010-2021'!$R:$R,'Rec_raw_catch_effort_2010-2021'!$D:$D,Existing_Conditions!$B11,'Rec_raw_catch_effort_2010-2021'!$J:$J,Existing_Conditions!$C11,'Rec_raw_catch_effort_2010-2021'!$B:$B,Existing_Conditions!AJ$4,'Rec_raw_catch_effort_2010-2021'!$E:$E,Existing_Conditions!$AA11)</f>
        <v>2668.2227589221102</v>
      </c>
      <c r="AK11" s="17">
        <f>SUMIFS('Rec_raw_catch_effort_2010-2021'!$R:$R,'Rec_raw_catch_effort_2010-2021'!$D:$D,Existing_Conditions!$B11,'Rec_raw_catch_effort_2010-2021'!$J:$J,Existing_Conditions!$C11,'Rec_raw_catch_effort_2010-2021'!$B:$B,Existing_Conditions!AK$4,'Rec_raw_catch_effort_2010-2021'!$E:$E,Existing_Conditions!$AA11)</f>
        <v>334.83579719806869</v>
      </c>
      <c r="AL11" s="37">
        <f>AVERAGE(AB11:AK11)</f>
        <v>5425.8654340951643</v>
      </c>
    </row>
    <row r="12" spans="1:39" x14ac:dyDescent="0.35">
      <c r="A12" t="s">
        <v>331</v>
      </c>
      <c r="B12" t="s">
        <v>143</v>
      </c>
      <c r="C12" s="17" t="s">
        <v>135</v>
      </c>
      <c r="D12" s="17">
        <f>SUMIFS('Rec_raw_catch_effort_2010-2021'!$R:$R,'Rec_raw_catch_effort_2010-2021'!$D:$D,Existing_Conditions!$B12,'Rec_raw_catch_effort_2010-2021'!$J:$J,Existing_Conditions!$C12,'Rec_raw_catch_effort_2010-2021'!$B:$B,Existing_Conditions!D$4)</f>
        <v>73008.155514607424</v>
      </c>
      <c r="E12" s="17">
        <f>SUMIFS('Rec_raw_catch_effort_2010-2021'!$R:$R,'Rec_raw_catch_effort_2010-2021'!$D:$D,Existing_Conditions!$B12,'Rec_raw_catch_effort_2010-2021'!$J:$J,Existing_Conditions!$C12,'Rec_raw_catch_effort_2010-2021'!$B:$B,Existing_Conditions!E$4)</f>
        <v>95896.889352018436</v>
      </c>
      <c r="F12" s="17">
        <f>SUMIFS('Rec_raw_catch_effort_2010-2021'!$R:$R,'Rec_raw_catch_effort_2010-2021'!$D:$D,Existing_Conditions!$B12,'Rec_raw_catch_effort_2010-2021'!$J:$J,Existing_Conditions!$C12,'Rec_raw_catch_effort_2010-2021'!$B:$B,Existing_Conditions!F$4)</f>
        <v>134844.77989080991</v>
      </c>
      <c r="G12" s="17">
        <f>SUMIFS('Rec_raw_catch_effort_2010-2021'!$R:$R,'Rec_raw_catch_effort_2010-2021'!$D:$D,Existing_Conditions!$B12,'Rec_raw_catch_effort_2010-2021'!$J:$J,Existing_Conditions!$C12,'Rec_raw_catch_effort_2010-2021'!$B:$B,Existing_Conditions!G$4)</f>
        <v>94183.309231739448</v>
      </c>
      <c r="H12" s="17">
        <f>SUMIFS('Rec_raw_catch_effort_2010-2021'!$R:$R,'Rec_raw_catch_effort_2010-2021'!$D:$D,Existing_Conditions!$B12,'Rec_raw_catch_effort_2010-2021'!$J:$J,Existing_Conditions!$C12,'Rec_raw_catch_effort_2010-2021'!$B:$B,Existing_Conditions!H$4)</f>
        <v>77383.495623214854</v>
      </c>
      <c r="I12" s="17">
        <f>SUMIFS('Rec_raw_catch_effort_2010-2021'!$R:$R,'Rec_raw_catch_effort_2010-2021'!$D:$D,Existing_Conditions!$B12,'Rec_raw_catch_effort_2010-2021'!$J:$J,Existing_Conditions!$C12,'Rec_raw_catch_effort_2010-2021'!$B:$B,Existing_Conditions!I$4)</f>
        <v>105881.49931883418</v>
      </c>
      <c r="J12" s="17">
        <f>SUMIFS('Rec_raw_catch_effort_2010-2021'!$R:$R,'Rec_raw_catch_effort_2010-2021'!$D:$D,Existing_Conditions!$B12,'Rec_raw_catch_effort_2010-2021'!$J:$J,Existing_Conditions!$C12,'Rec_raw_catch_effort_2010-2021'!$B:$B,Existing_Conditions!J$4)</f>
        <v>106901.15330686896</v>
      </c>
      <c r="K12" s="17">
        <f>SUMIFS('Rec_raw_catch_effort_2010-2021'!$R:$R,'Rec_raw_catch_effort_2010-2021'!$D:$D,Existing_Conditions!$B12,'Rec_raw_catch_effort_2010-2021'!$J:$J,Existing_Conditions!$C12,'Rec_raw_catch_effort_2010-2021'!$B:$B,Existing_Conditions!K$4)</f>
        <v>61697.046919992004</v>
      </c>
      <c r="L12" s="17">
        <f>SUMIFS('Rec_raw_catch_effort_2010-2021'!$R:$R,'Rec_raw_catch_effort_2010-2021'!$D:$D,Existing_Conditions!$B12,'Rec_raw_catch_effort_2010-2021'!$J:$J,Existing_Conditions!$C12,'Rec_raw_catch_effort_2010-2021'!$B:$B,Existing_Conditions!L$4)</f>
        <v>98570.709760414044</v>
      </c>
      <c r="M12" s="17">
        <f>SUMIFS('Rec_raw_catch_effort_2010-2021'!$R:$R,'Rec_raw_catch_effort_2010-2021'!$D:$D,Existing_Conditions!$B12,'Rec_raw_catch_effort_2010-2021'!$J:$J,Existing_Conditions!$C12,'Rec_raw_catch_effort_2010-2021'!$B:$B,Existing_Conditions!M$4)</f>
        <v>46718.420816927865</v>
      </c>
      <c r="N12" s="37">
        <f t="shared" si="0"/>
        <v>89508.545973542714</v>
      </c>
      <c r="O12" t="s">
        <v>10</v>
      </c>
      <c r="P12" s="17">
        <f>SUMIFS('Rec_raw_catch_effort_2010-2021'!$R:$R,'Rec_raw_catch_effort_2010-2021'!$D:$D,Existing_Conditions!$B12,'Rec_raw_catch_effort_2010-2021'!$J:$J,Existing_Conditions!$C12,'Rec_raw_catch_effort_2010-2021'!$B:$B,Existing_Conditions!P$4,'Rec_raw_catch_effort_2010-2021'!$E:$E,Existing_Conditions!$O12)</f>
        <v>59593.796389359799</v>
      </c>
      <c r="Q12" s="17">
        <f>SUMIFS('Rec_raw_catch_effort_2010-2021'!$R:$R,'Rec_raw_catch_effort_2010-2021'!$D:$D,Existing_Conditions!$B12,'Rec_raw_catch_effort_2010-2021'!$J:$J,Existing_Conditions!$C12,'Rec_raw_catch_effort_2010-2021'!$B:$B,Existing_Conditions!Q$4,'Rec_raw_catch_effort_2010-2021'!$E:$E,Existing_Conditions!$O12)</f>
        <v>79217.88120408963</v>
      </c>
      <c r="R12" s="17">
        <f>SUMIFS('Rec_raw_catch_effort_2010-2021'!$R:$R,'Rec_raw_catch_effort_2010-2021'!$D:$D,Existing_Conditions!$B12,'Rec_raw_catch_effort_2010-2021'!$J:$J,Existing_Conditions!$C12,'Rec_raw_catch_effort_2010-2021'!$B:$B,Existing_Conditions!R$4,'Rec_raw_catch_effort_2010-2021'!$E:$E,Existing_Conditions!$O12)</f>
        <v>121279.27960710484</v>
      </c>
      <c r="S12" s="17">
        <f>SUMIFS('Rec_raw_catch_effort_2010-2021'!$R:$R,'Rec_raw_catch_effort_2010-2021'!$D:$D,Existing_Conditions!$B12,'Rec_raw_catch_effort_2010-2021'!$J:$J,Existing_Conditions!$C12,'Rec_raw_catch_effort_2010-2021'!$B:$B,Existing_Conditions!S$4,'Rec_raw_catch_effort_2010-2021'!$E:$E,Existing_Conditions!$O12)</f>
        <v>86865.747594459419</v>
      </c>
      <c r="T12" s="17">
        <f>SUMIFS('Rec_raw_catch_effort_2010-2021'!$R:$R,'Rec_raw_catch_effort_2010-2021'!$D:$D,Existing_Conditions!$B12,'Rec_raw_catch_effort_2010-2021'!$J:$J,Existing_Conditions!$C12,'Rec_raw_catch_effort_2010-2021'!$B:$B,Existing_Conditions!T$4,'Rec_raw_catch_effort_2010-2021'!$E:$E,Existing_Conditions!$O12)</f>
        <v>69117.23687988754</v>
      </c>
      <c r="U12" s="17">
        <f>SUMIFS('Rec_raw_catch_effort_2010-2021'!$R:$R,'Rec_raw_catch_effort_2010-2021'!$D:$D,Existing_Conditions!$B12,'Rec_raw_catch_effort_2010-2021'!$J:$J,Existing_Conditions!$C12,'Rec_raw_catch_effort_2010-2021'!$B:$B,Existing_Conditions!U$4,'Rec_raw_catch_effort_2010-2021'!$E:$E,Existing_Conditions!$O12)</f>
        <v>100905.12101907618</v>
      </c>
      <c r="V12" s="17">
        <f>SUMIFS('Rec_raw_catch_effort_2010-2021'!$R:$R,'Rec_raw_catch_effort_2010-2021'!$D:$D,Existing_Conditions!$B12,'Rec_raw_catch_effort_2010-2021'!$J:$J,Existing_Conditions!$C12,'Rec_raw_catch_effort_2010-2021'!$B:$B,Existing_Conditions!V$4,'Rec_raw_catch_effort_2010-2021'!$E:$E,Existing_Conditions!$O12)</f>
        <v>106796.51712024456</v>
      </c>
      <c r="W12" s="17">
        <f>SUMIFS('Rec_raw_catch_effort_2010-2021'!$R:$R,'Rec_raw_catch_effort_2010-2021'!$D:$D,Existing_Conditions!$B12,'Rec_raw_catch_effort_2010-2021'!$J:$J,Existing_Conditions!$C12,'Rec_raw_catch_effort_2010-2021'!$B:$B,Existing_Conditions!W$4,'Rec_raw_catch_effort_2010-2021'!$E:$E,Existing_Conditions!$O12)</f>
        <v>60797.175715022197</v>
      </c>
      <c r="X12" s="17">
        <f>SUMIFS('Rec_raw_catch_effort_2010-2021'!$R:$R,'Rec_raw_catch_effort_2010-2021'!$D:$D,Existing_Conditions!$B12,'Rec_raw_catch_effort_2010-2021'!$J:$J,Existing_Conditions!$C12,'Rec_raw_catch_effort_2010-2021'!$B:$B,Existing_Conditions!X$4,'Rec_raw_catch_effort_2010-2021'!$E:$E,Existing_Conditions!$O12)</f>
        <v>95619.969297606061</v>
      </c>
      <c r="Y12" s="17">
        <f>SUMIFS('Rec_raw_catch_effort_2010-2021'!$R:$R,'Rec_raw_catch_effort_2010-2021'!$D:$D,Existing_Conditions!$B12,'Rec_raw_catch_effort_2010-2021'!$J:$J,Existing_Conditions!$C12,'Rec_raw_catch_effort_2010-2021'!$B:$B,Existing_Conditions!Y$4,'Rec_raw_catch_effort_2010-2021'!$E:$E,Existing_Conditions!$O12)</f>
        <v>46446.366731704438</v>
      </c>
      <c r="Z12" s="37">
        <f t="shared" si="1"/>
        <v>82663.909155855465</v>
      </c>
      <c r="AA12" t="s">
        <v>86</v>
      </c>
      <c r="AB12" s="17">
        <f>SUMIFS('Rec_raw_catch_effort_2010-2021'!$R:$R,'Rec_raw_catch_effort_2010-2021'!$D:$D,Existing_Conditions!$B12,'Rec_raw_catch_effort_2010-2021'!$J:$J,Existing_Conditions!$C12,'Rec_raw_catch_effort_2010-2021'!$B:$B,Existing_Conditions!AB$4,'Rec_raw_catch_effort_2010-2021'!$E:$E,Existing_Conditions!$AA12)</f>
        <v>13414.359125247625</v>
      </c>
      <c r="AC12" s="17">
        <f>SUMIFS('Rec_raw_catch_effort_2010-2021'!$R:$R,'Rec_raw_catch_effort_2010-2021'!$D:$D,Existing_Conditions!$B12,'Rec_raw_catch_effort_2010-2021'!$J:$J,Existing_Conditions!$C12,'Rec_raw_catch_effort_2010-2021'!$B:$B,Existing_Conditions!AC$4,'Rec_raw_catch_effort_2010-2021'!$E:$E,Existing_Conditions!$AA12)</f>
        <v>16679.008147928806</v>
      </c>
      <c r="AD12" s="17">
        <f>SUMIFS('Rec_raw_catch_effort_2010-2021'!$R:$R,'Rec_raw_catch_effort_2010-2021'!$D:$D,Existing_Conditions!$B12,'Rec_raw_catch_effort_2010-2021'!$J:$J,Existing_Conditions!$C12,'Rec_raw_catch_effort_2010-2021'!$B:$B,Existing_Conditions!AD$4,'Rec_raw_catch_effort_2010-2021'!$E:$E,Existing_Conditions!$AA12)</f>
        <v>13565.500283705083</v>
      </c>
      <c r="AE12" s="17">
        <f>SUMIFS('Rec_raw_catch_effort_2010-2021'!$R:$R,'Rec_raw_catch_effort_2010-2021'!$D:$D,Existing_Conditions!$B12,'Rec_raw_catch_effort_2010-2021'!$J:$J,Existing_Conditions!$C12,'Rec_raw_catch_effort_2010-2021'!$B:$B,Existing_Conditions!AE$4,'Rec_raw_catch_effort_2010-2021'!$E:$E,Existing_Conditions!$AA12)</f>
        <v>7317.5616372800205</v>
      </c>
      <c r="AF12" s="17">
        <f>SUMIFS('Rec_raw_catch_effort_2010-2021'!$R:$R,'Rec_raw_catch_effort_2010-2021'!$D:$D,Existing_Conditions!$B12,'Rec_raw_catch_effort_2010-2021'!$J:$J,Existing_Conditions!$C12,'Rec_raw_catch_effort_2010-2021'!$B:$B,Existing_Conditions!AF$4,'Rec_raw_catch_effort_2010-2021'!$E:$E,Existing_Conditions!$AA12)</f>
        <v>8266.2587433273202</v>
      </c>
      <c r="AG12" s="17">
        <f>SUMIFS('Rec_raw_catch_effort_2010-2021'!$R:$R,'Rec_raw_catch_effort_2010-2021'!$D:$D,Existing_Conditions!$B12,'Rec_raw_catch_effort_2010-2021'!$J:$J,Existing_Conditions!$C12,'Rec_raw_catch_effort_2010-2021'!$B:$B,Existing_Conditions!AG$4,'Rec_raw_catch_effort_2010-2021'!$E:$E,Existing_Conditions!$AA12)</f>
        <v>4976.3782997580074</v>
      </c>
      <c r="AH12" s="17">
        <f>SUMIFS('Rec_raw_catch_effort_2010-2021'!$R:$R,'Rec_raw_catch_effort_2010-2021'!$D:$D,Existing_Conditions!$B12,'Rec_raw_catch_effort_2010-2021'!$J:$J,Existing_Conditions!$C12,'Rec_raw_catch_effort_2010-2021'!$B:$B,Existing_Conditions!AH$4,'Rec_raw_catch_effort_2010-2021'!$E:$E,Existing_Conditions!$AA12)</f>
        <v>104.63618662439646</v>
      </c>
      <c r="AI12" s="17">
        <f>SUMIFS('Rec_raw_catch_effort_2010-2021'!$R:$R,'Rec_raw_catch_effort_2010-2021'!$D:$D,Existing_Conditions!$B12,'Rec_raw_catch_effort_2010-2021'!$J:$J,Existing_Conditions!$C12,'Rec_raw_catch_effort_2010-2021'!$B:$B,Existing_Conditions!AI$4,'Rec_raw_catch_effort_2010-2021'!$E:$E,Existing_Conditions!$AA12)</f>
        <v>899.87120496980958</v>
      </c>
      <c r="AJ12" s="17">
        <f>SUMIFS('Rec_raw_catch_effort_2010-2021'!$R:$R,'Rec_raw_catch_effort_2010-2021'!$D:$D,Existing_Conditions!$B12,'Rec_raw_catch_effort_2010-2021'!$J:$J,Existing_Conditions!$C12,'Rec_raw_catch_effort_2010-2021'!$B:$B,Existing_Conditions!AJ$4,'Rec_raw_catch_effort_2010-2021'!$E:$E,Existing_Conditions!$AA12)</f>
        <v>2950.7404628079807</v>
      </c>
      <c r="AK12" s="17">
        <f>SUMIFS('Rec_raw_catch_effort_2010-2021'!$R:$R,'Rec_raw_catch_effort_2010-2021'!$D:$D,Existing_Conditions!$B12,'Rec_raw_catch_effort_2010-2021'!$J:$J,Existing_Conditions!$C12,'Rec_raw_catch_effort_2010-2021'!$B:$B,Existing_Conditions!AK$4,'Rec_raw_catch_effort_2010-2021'!$E:$E,Existing_Conditions!$AA12)</f>
        <v>272.05408522343077</v>
      </c>
      <c r="AL12" s="37">
        <f t="shared" si="2"/>
        <v>6844.6368176872475</v>
      </c>
    </row>
    <row r="13" spans="1:39" x14ac:dyDescent="0.35">
      <c r="A13" t="s">
        <v>331</v>
      </c>
      <c r="B13" t="s">
        <v>143</v>
      </c>
      <c r="C13" s="17" t="s">
        <v>137</v>
      </c>
      <c r="D13" s="17">
        <f>SUMIFS('Rec_raw_catch_effort_2010-2021'!$R:$R,'Rec_raw_catch_effort_2010-2021'!$D:$D,Existing_Conditions!$B13,'Rec_raw_catch_effort_2010-2021'!$J:$J,Existing_Conditions!$C13,'Rec_raw_catch_effort_2010-2021'!$B:$B,Existing_Conditions!D$4)</f>
        <v>124083.80489681987</v>
      </c>
      <c r="E13" s="17">
        <f>SUMIFS('Rec_raw_catch_effort_2010-2021'!$R:$R,'Rec_raw_catch_effort_2010-2021'!$D:$D,Existing_Conditions!$B13,'Rec_raw_catch_effort_2010-2021'!$J:$J,Existing_Conditions!$C13,'Rec_raw_catch_effort_2010-2021'!$B:$B,Existing_Conditions!E$4)</f>
        <v>728599.34637303557</v>
      </c>
      <c r="F13" s="17">
        <f>SUMIFS('Rec_raw_catch_effort_2010-2021'!$R:$R,'Rec_raw_catch_effort_2010-2021'!$D:$D,Existing_Conditions!$B13,'Rec_raw_catch_effort_2010-2021'!$J:$J,Existing_Conditions!$C13,'Rec_raw_catch_effort_2010-2021'!$B:$B,Existing_Conditions!F$4)</f>
        <v>280744.72766162298</v>
      </c>
      <c r="G13" s="17">
        <f>SUMIFS('Rec_raw_catch_effort_2010-2021'!$R:$R,'Rec_raw_catch_effort_2010-2021'!$D:$D,Existing_Conditions!$B13,'Rec_raw_catch_effort_2010-2021'!$J:$J,Existing_Conditions!$C13,'Rec_raw_catch_effort_2010-2021'!$B:$B,Existing_Conditions!G$4)</f>
        <v>903552.09611335048</v>
      </c>
      <c r="H13" s="17">
        <f>SUMIFS('Rec_raw_catch_effort_2010-2021'!$R:$R,'Rec_raw_catch_effort_2010-2021'!$D:$D,Existing_Conditions!$B13,'Rec_raw_catch_effort_2010-2021'!$J:$J,Existing_Conditions!$C13,'Rec_raw_catch_effort_2010-2021'!$B:$B,Existing_Conditions!H$4)</f>
        <v>168503.84483462834</v>
      </c>
      <c r="I13" s="17">
        <f>SUMIFS('Rec_raw_catch_effort_2010-2021'!$R:$R,'Rec_raw_catch_effort_2010-2021'!$D:$D,Existing_Conditions!$B13,'Rec_raw_catch_effort_2010-2021'!$J:$J,Existing_Conditions!$C13,'Rec_raw_catch_effort_2010-2021'!$B:$B,Existing_Conditions!I$4)</f>
        <v>370281.32178298465</v>
      </c>
      <c r="J13" s="17">
        <f>SUMIFS('Rec_raw_catch_effort_2010-2021'!$R:$R,'Rec_raw_catch_effort_2010-2021'!$D:$D,Existing_Conditions!$B13,'Rec_raw_catch_effort_2010-2021'!$J:$J,Existing_Conditions!$C13,'Rec_raw_catch_effort_2010-2021'!$B:$B,Existing_Conditions!J$4)</f>
        <v>88532.398393497075</v>
      </c>
      <c r="K13" s="17">
        <f>SUMIFS('Rec_raw_catch_effort_2010-2021'!$R:$R,'Rec_raw_catch_effort_2010-2021'!$D:$D,Existing_Conditions!$B13,'Rec_raw_catch_effort_2010-2021'!$J:$J,Existing_Conditions!$C13,'Rec_raw_catch_effort_2010-2021'!$B:$B,Existing_Conditions!K$4)</f>
        <v>138067.57101956778</v>
      </c>
      <c r="L13" s="17">
        <f>SUMIFS('Rec_raw_catch_effort_2010-2021'!$R:$R,'Rec_raw_catch_effort_2010-2021'!$D:$D,Existing_Conditions!$B13,'Rec_raw_catch_effort_2010-2021'!$J:$J,Existing_Conditions!$C13,'Rec_raw_catch_effort_2010-2021'!$B:$B,Existing_Conditions!L$4)</f>
        <v>109724.01271995604</v>
      </c>
      <c r="M13" s="17">
        <f>SUMIFS('Rec_raw_catch_effort_2010-2021'!$R:$R,'Rec_raw_catch_effort_2010-2021'!$D:$D,Existing_Conditions!$B13,'Rec_raw_catch_effort_2010-2021'!$J:$J,Existing_Conditions!$C13,'Rec_raw_catch_effort_2010-2021'!$B:$B,Existing_Conditions!M$4)</f>
        <v>44083.352007796093</v>
      </c>
      <c r="N13" s="37">
        <f t="shared" si="0"/>
        <v>295617.24758032587</v>
      </c>
      <c r="O13" t="s">
        <v>10</v>
      </c>
      <c r="P13" s="17">
        <f>SUMIFS('Rec_raw_catch_effort_2010-2021'!$R:$R,'Rec_raw_catch_effort_2010-2021'!$D:$D,Existing_Conditions!$B13,'Rec_raw_catch_effort_2010-2021'!$J:$J,Existing_Conditions!$C13,'Rec_raw_catch_effort_2010-2021'!$B:$B,Existing_Conditions!P$4,'Rec_raw_catch_effort_2010-2021'!$E:$E,Existing_Conditions!$O13)</f>
        <v>23842.338110648037</v>
      </c>
      <c r="Q13" s="17">
        <f>SUMIFS('Rec_raw_catch_effort_2010-2021'!$R:$R,'Rec_raw_catch_effort_2010-2021'!$D:$D,Existing_Conditions!$B13,'Rec_raw_catch_effort_2010-2021'!$J:$J,Existing_Conditions!$C13,'Rec_raw_catch_effort_2010-2021'!$B:$B,Existing_Conditions!Q$4,'Rec_raw_catch_effort_2010-2021'!$E:$E,Existing_Conditions!$O13)</f>
        <v>591147.15889949561</v>
      </c>
      <c r="R13" s="17">
        <f>SUMIFS('Rec_raw_catch_effort_2010-2021'!$R:$R,'Rec_raw_catch_effort_2010-2021'!$D:$D,Existing_Conditions!$B13,'Rec_raw_catch_effort_2010-2021'!$J:$J,Existing_Conditions!$C13,'Rec_raw_catch_effort_2010-2021'!$B:$B,Existing_Conditions!R$4,'Rec_raw_catch_effort_2010-2021'!$E:$E,Existing_Conditions!$O13)</f>
        <v>82587.89283688397</v>
      </c>
      <c r="S13" s="17">
        <f>SUMIFS('Rec_raw_catch_effort_2010-2021'!$R:$R,'Rec_raw_catch_effort_2010-2021'!$D:$D,Existing_Conditions!$B13,'Rec_raw_catch_effort_2010-2021'!$J:$J,Existing_Conditions!$C13,'Rec_raw_catch_effort_2010-2021'!$B:$B,Existing_Conditions!S$4,'Rec_raw_catch_effort_2010-2021'!$E:$E,Existing_Conditions!$O13)</f>
        <v>738841.93357293576</v>
      </c>
      <c r="T13" s="17">
        <f>SUMIFS('Rec_raw_catch_effort_2010-2021'!$R:$R,'Rec_raw_catch_effort_2010-2021'!$D:$D,Existing_Conditions!$B13,'Rec_raw_catch_effort_2010-2021'!$J:$J,Existing_Conditions!$C13,'Rec_raw_catch_effort_2010-2021'!$B:$B,Existing_Conditions!T$4,'Rec_raw_catch_effort_2010-2021'!$E:$E,Existing_Conditions!$O13)</f>
        <v>34845.381956738514</v>
      </c>
      <c r="U13" s="17">
        <f>SUMIFS('Rec_raw_catch_effort_2010-2021'!$R:$R,'Rec_raw_catch_effort_2010-2021'!$D:$D,Existing_Conditions!$B13,'Rec_raw_catch_effort_2010-2021'!$J:$J,Existing_Conditions!$C13,'Rec_raw_catch_effort_2010-2021'!$B:$B,Existing_Conditions!U$4,'Rec_raw_catch_effort_2010-2021'!$E:$E,Existing_Conditions!$O13)</f>
        <v>267420.51275127876</v>
      </c>
      <c r="V13" s="17">
        <f>SUMIFS('Rec_raw_catch_effort_2010-2021'!$R:$R,'Rec_raw_catch_effort_2010-2021'!$D:$D,Existing_Conditions!$B13,'Rec_raw_catch_effort_2010-2021'!$J:$J,Existing_Conditions!$C13,'Rec_raw_catch_effort_2010-2021'!$B:$B,Existing_Conditions!V$4,'Rec_raw_catch_effort_2010-2021'!$E:$E,Existing_Conditions!$O13)</f>
        <v>25244.828587744971</v>
      </c>
      <c r="W13" s="17">
        <f>SUMIFS('Rec_raw_catch_effort_2010-2021'!$R:$R,'Rec_raw_catch_effort_2010-2021'!$D:$D,Existing_Conditions!$B13,'Rec_raw_catch_effort_2010-2021'!$J:$J,Existing_Conditions!$C13,'Rec_raw_catch_effort_2010-2021'!$B:$B,Existing_Conditions!W$4,'Rec_raw_catch_effort_2010-2021'!$E:$E,Existing_Conditions!$O13)</f>
        <v>59112.592465685659</v>
      </c>
      <c r="X13" s="17">
        <f>SUMIFS('Rec_raw_catch_effort_2010-2021'!$R:$R,'Rec_raw_catch_effort_2010-2021'!$D:$D,Existing_Conditions!$B13,'Rec_raw_catch_effort_2010-2021'!$J:$J,Existing_Conditions!$C13,'Rec_raw_catch_effort_2010-2021'!$B:$B,Existing_Conditions!X$4,'Rec_raw_catch_effort_2010-2021'!$E:$E,Existing_Conditions!$O13)</f>
        <v>22820.592470976051</v>
      </c>
      <c r="Y13" s="17">
        <f>SUMIFS('Rec_raw_catch_effort_2010-2021'!$R:$R,'Rec_raw_catch_effort_2010-2021'!$D:$D,Existing_Conditions!$B13,'Rec_raw_catch_effort_2010-2021'!$J:$J,Existing_Conditions!$C13,'Rec_raw_catch_effort_2010-2021'!$B:$B,Existing_Conditions!Y$4,'Rec_raw_catch_effort_2010-2021'!$E:$E,Existing_Conditions!$O13)</f>
        <v>35712.457077844381</v>
      </c>
      <c r="Z13" s="37">
        <f t="shared" si="1"/>
        <v>188157.56887302318</v>
      </c>
      <c r="AA13" t="s">
        <v>86</v>
      </c>
      <c r="AB13" s="17">
        <f>SUMIFS('Rec_raw_catch_effort_2010-2021'!$R:$R,'Rec_raw_catch_effort_2010-2021'!$D:$D,Existing_Conditions!$B13,'Rec_raw_catch_effort_2010-2021'!$J:$J,Existing_Conditions!$C13,'Rec_raw_catch_effort_2010-2021'!$B:$B,Existing_Conditions!AB$4,'Rec_raw_catch_effort_2010-2021'!$E:$E,Existing_Conditions!$AA13)</f>
        <v>100241.46678617183</v>
      </c>
      <c r="AC13" s="17">
        <f>SUMIFS('Rec_raw_catch_effort_2010-2021'!$R:$R,'Rec_raw_catch_effort_2010-2021'!$D:$D,Existing_Conditions!$B13,'Rec_raw_catch_effort_2010-2021'!$J:$J,Existing_Conditions!$C13,'Rec_raw_catch_effort_2010-2021'!$B:$B,Existing_Conditions!AC$4,'Rec_raw_catch_effort_2010-2021'!$E:$E,Existing_Conditions!$AA13)</f>
        <v>137452.1874735397</v>
      </c>
      <c r="AD13" s="17">
        <f>SUMIFS('Rec_raw_catch_effort_2010-2021'!$R:$R,'Rec_raw_catch_effort_2010-2021'!$D:$D,Existing_Conditions!$B13,'Rec_raw_catch_effort_2010-2021'!$J:$J,Existing_Conditions!$C13,'Rec_raw_catch_effort_2010-2021'!$B:$B,Existing_Conditions!AD$4,'Rec_raw_catch_effort_2010-2021'!$E:$E,Existing_Conditions!$AA13)</f>
        <v>198156.83482473899</v>
      </c>
      <c r="AE13" s="17">
        <f>SUMIFS('Rec_raw_catch_effort_2010-2021'!$R:$R,'Rec_raw_catch_effort_2010-2021'!$D:$D,Existing_Conditions!$B13,'Rec_raw_catch_effort_2010-2021'!$J:$J,Existing_Conditions!$C13,'Rec_raw_catch_effort_2010-2021'!$B:$B,Existing_Conditions!AE$4,'Rec_raw_catch_effort_2010-2021'!$E:$E,Existing_Conditions!$AA13)</f>
        <v>164710.16254041437</v>
      </c>
      <c r="AF13" s="17">
        <f>SUMIFS('Rec_raw_catch_effort_2010-2021'!$R:$R,'Rec_raw_catch_effort_2010-2021'!$D:$D,Existing_Conditions!$B13,'Rec_raw_catch_effort_2010-2021'!$J:$J,Existing_Conditions!$C13,'Rec_raw_catch_effort_2010-2021'!$B:$B,Existing_Conditions!AF$4,'Rec_raw_catch_effort_2010-2021'!$E:$E,Existing_Conditions!$AA13)</f>
        <v>133658.4628778898</v>
      </c>
      <c r="AG13" s="17">
        <f>SUMIFS('Rec_raw_catch_effort_2010-2021'!$R:$R,'Rec_raw_catch_effort_2010-2021'!$D:$D,Existing_Conditions!$B13,'Rec_raw_catch_effort_2010-2021'!$J:$J,Existing_Conditions!$C13,'Rec_raw_catch_effort_2010-2021'!$B:$B,Existing_Conditions!AG$4,'Rec_raw_catch_effort_2010-2021'!$E:$E,Existing_Conditions!$AA13)</f>
        <v>102860.80903170585</v>
      </c>
      <c r="AH13" s="17">
        <f>SUMIFS('Rec_raw_catch_effort_2010-2021'!$R:$R,'Rec_raw_catch_effort_2010-2021'!$D:$D,Existing_Conditions!$B13,'Rec_raw_catch_effort_2010-2021'!$J:$J,Existing_Conditions!$C13,'Rec_raw_catch_effort_2010-2021'!$B:$B,Existing_Conditions!AH$4,'Rec_raw_catch_effort_2010-2021'!$E:$E,Existing_Conditions!$AA13)</f>
        <v>63287.569805752071</v>
      </c>
      <c r="AI13" s="17">
        <f>SUMIFS('Rec_raw_catch_effort_2010-2021'!$R:$R,'Rec_raw_catch_effort_2010-2021'!$D:$D,Existing_Conditions!$B13,'Rec_raw_catch_effort_2010-2021'!$J:$J,Existing_Conditions!$C13,'Rec_raw_catch_effort_2010-2021'!$B:$B,Existing_Conditions!AI$4,'Rec_raw_catch_effort_2010-2021'!$E:$E,Existing_Conditions!$AA13)</f>
        <v>78954.978553882102</v>
      </c>
      <c r="AJ13" s="17">
        <f>SUMIFS('Rec_raw_catch_effort_2010-2021'!$R:$R,'Rec_raw_catch_effort_2010-2021'!$D:$D,Existing_Conditions!$B13,'Rec_raw_catch_effort_2010-2021'!$J:$J,Existing_Conditions!$C13,'Rec_raw_catch_effort_2010-2021'!$B:$B,Existing_Conditions!AJ$4,'Rec_raw_catch_effort_2010-2021'!$E:$E,Existing_Conditions!$AA13)</f>
        <v>86903.420248979994</v>
      </c>
      <c r="AK13" s="17">
        <f>SUMIFS('Rec_raw_catch_effort_2010-2021'!$R:$R,'Rec_raw_catch_effort_2010-2021'!$D:$D,Existing_Conditions!$B13,'Rec_raw_catch_effort_2010-2021'!$J:$J,Existing_Conditions!$C13,'Rec_raw_catch_effort_2010-2021'!$B:$B,Existing_Conditions!AK$4,'Rec_raw_catch_effort_2010-2021'!$E:$E,Existing_Conditions!$AA13)</f>
        <v>8370.8949299517153</v>
      </c>
      <c r="AL13" s="37">
        <f t="shared" si="2"/>
        <v>107459.67870730264</v>
      </c>
    </row>
    <row r="14" spans="1:39" x14ac:dyDescent="0.35">
      <c r="A14" t="s">
        <v>331</v>
      </c>
      <c r="B14" t="s">
        <v>143</v>
      </c>
      <c r="C14" s="17" t="s">
        <v>139</v>
      </c>
      <c r="D14" s="17">
        <f>SUMIFS('Rec_raw_catch_effort_2010-2021'!$R:$R,'Rec_raw_catch_effort_2010-2021'!$D:$D,Existing_Conditions!$B14,'Rec_raw_catch_effort_2010-2021'!$J:$J,Existing_Conditions!$C14,'Rec_raw_catch_effort_2010-2021'!$B:$B,Existing_Conditions!D$4)</f>
        <v>76672.385885499432</v>
      </c>
      <c r="E14" s="17">
        <f>SUMIFS('Rec_raw_catch_effort_2010-2021'!$R:$R,'Rec_raw_catch_effort_2010-2021'!$D:$D,Existing_Conditions!$B14,'Rec_raw_catch_effort_2010-2021'!$J:$J,Existing_Conditions!$C14,'Rec_raw_catch_effort_2010-2021'!$B:$B,Existing_Conditions!E$4)</f>
        <v>667064.62233774283</v>
      </c>
      <c r="F14" s="17">
        <f>SUMIFS('Rec_raw_catch_effort_2010-2021'!$R:$R,'Rec_raw_catch_effort_2010-2021'!$D:$D,Existing_Conditions!$B14,'Rec_raw_catch_effort_2010-2021'!$J:$J,Existing_Conditions!$C14,'Rec_raw_catch_effort_2010-2021'!$B:$B,Existing_Conditions!F$4)</f>
        <v>168037.62298615536</v>
      </c>
      <c r="G14" s="17">
        <f>SUMIFS('Rec_raw_catch_effort_2010-2021'!$R:$R,'Rec_raw_catch_effort_2010-2021'!$D:$D,Existing_Conditions!$B14,'Rec_raw_catch_effort_2010-2021'!$J:$J,Existing_Conditions!$C14,'Rec_raw_catch_effort_2010-2021'!$B:$B,Existing_Conditions!G$4)</f>
        <v>871254.3860533</v>
      </c>
      <c r="H14" s="17">
        <f>SUMIFS('Rec_raw_catch_effort_2010-2021'!$R:$R,'Rec_raw_catch_effort_2010-2021'!$D:$D,Existing_Conditions!$B14,'Rec_raw_catch_effort_2010-2021'!$J:$J,Existing_Conditions!$C14,'Rec_raw_catch_effort_2010-2021'!$B:$B,Existing_Conditions!H$4)</f>
        <v>79329.737458955453</v>
      </c>
      <c r="I14" s="17">
        <f>SUMIFS('Rec_raw_catch_effort_2010-2021'!$R:$R,'Rec_raw_catch_effort_2010-2021'!$D:$D,Existing_Conditions!$B14,'Rec_raw_catch_effort_2010-2021'!$J:$J,Existing_Conditions!$C14,'Rec_raw_catch_effort_2010-2021'!$B:$B,Existing_Conditions!I$4)</f>
        <v>515883.33837214677</v>
      </c>
      <c r="J14" s="17">
        <f>SUMIFS('Rec_raw_catch_effort_2010-2021'!$R:$R,'Rec_raw_catch_effort_2010-2021'!$D:$D,Existing_Conditions!$B14,'Rec_raw_catch_effort_2010-2021'!$J:$J,Existing_Conditions!$C14,'Rec_raw_catch_effort_2010-2021'!$B:$B,Existing_Conditions!J$4)</f>
        <v>69614.322362784005</v>
      </c>
      <c r="K14" s="17">
        <f>SUMIFS('Rec_raw_catch_effort_2010-2021'!$R:$R,'Rec_raw_catch_effort_2010-2021'!$D:$D,Existing_Conditions!$B14,'Rec_raw_catch_effort_2010-2021'!$J:$J,Existing_Conditions!$C14,'Rec_raw_catch_effort_2010-2021'!$B:$B,Existing_Conditions!K$4)</f>
        <v>189061.80671471599</v>
      </c>
      <c r="L14" s="17">
        <f>SUMIFS('Rec_raw_catch_effort_2010-2021'!$R:$R,'Rec_raw_catch_effort_2010-2021'!$D:$D,Existing_Conditions!$B14,'Rec_raw_catch_effort_2010-2021'!$J:$J,Existing_Conditions!$C14,'Rec_raw_catch_effort_2010-2021'!$B:$B,Existing_Conditions!L$4)</f>
        <v>111450.81313635185</v>
      </c>
      <c r="M14" s="17">
        <f>SUMIFS('Rec_raw_catch_effort_2010-2021'!$R:$R,'Rec_raw_catch_effort_2010-2021'!$D:$D,Existing_Conditions!$B14,'Rec_raw_catch_effort_2010-2021'!$J:$J,Existing_Conditions!$C14,'Rec_raw_catch_effort_2010-2021'!$B:$B,Existing_Conditions!M$4)</f>
        <v>250940.99082970835</v>
      </c>
      <c r="N14" s="37">
        <f t="shared" si="0"/>
        <v>299931.00261373597</v>
      </c>
      <c r="O14" t="s">
        <v>10</v>
      </c>
      <c r="P14" s="17">
        <f>SUMIFS('Rec_raw_catch_effort_2010-2021'!$R:$R,'Rec_raw_catch_effort_2010-2021'!$D:$D,Existing_Conditions!$B14,'Rec_raw_catch_effort_2010-2021'!$J:$J,Existing_Conditions!$C14,'Rec_raw_catch_effort_2010-2021'!$B:$B,Existing_Conditions!P$4,'Rec_raw_catch_effort_2010-2021'!$E:$E,Existing_Conditions!$O14)</f>
        <v>65748.368001912429</v>
      </c>
      <c r="Q14" s="17">
        <f>SUMIFS('Rec_raw_catch_effort_2010-2021'!$R:$R,'Rec_raw_catch_effort_2010-2021'!$D:$D,Existing_Conditions!$B14,'Rec_raw_catch_effort_2010-2021'!$J:$J,Existing_Conditions!$C14,'Rec_raw_catch_effort_2010-2021'!$B:$B,Existing_Conditions!Q$4,'Rec_raw_catch_effort_2010-2021'!$E:$E,Existing_Conditions!$O14)</f>
        <v>654864.04297733819</v>
      </c>
      <c r="R14" s="17">
        <f>SUMIFS('Rec_raw_catch_effort_2010-2021'!$R:$R,'Rec_raw_catch_effort_2010-2021'!$D:$D,Existing_Conditions!$B14,'Rec_raw_catch_effort_2010-2021'!$J:$J,Existing_Conditions!$C14,'Rec_raw_catch_effort_2010-2021'!$B:$B,Existing_Conditions!R$4,'Rec_raw_catch_effort_2010-2021'!$E:$E,Existing_Conditions!$O14)</f>
        <v>152697.95802701885</v>
      </c>
      <c r="S14" s="17">
        <f>SUMIFS('Rec_raw_catch_effort_2010-2021'!$R:$R,'Rec_raw_catch_effort_2010-2021'!$D:$D,Existing_Conditions!$B14,'Rec_raw_catch_effort_2010-2021'!$J:$J,Existing_Conditions!$C14,'Rec_raw_catch_effort_2010-2021'!$B:$B,Existing_Conditions!S$4,'Rec_raw_catch_effort_2010-2021'!$E:$E,Existing_Conditions!$O14)</f>
        <v>853110.47129262961</v>
      </c>
      <c r="T14" s="17">
        <f>SUMIFS('Rec_raw_catch_effort_2010-2021'!$R:$R,'Rec_raw_catch_effort_2010-2021'!$D:$D,Existing_Conditions!$B14,'Rec_raw_catch_effort_2010-2021'!$J:$J,Existing_Conditions!$C14,'Rec_raw_catch_effort_2010-2021'!$B:$B,Existing_Conditions!T$4,'Rec_raw_catch_effort_2010-2021'!$E:$E,Existing_Conditions!$O14)</f>
        <v>74254.882407672223</v>
      </c>
      <c r="U14" s="17">
        <f>SUMIFS('Rec_raw_catch_effort_2010-2021'!$R:$R,'Rec_raw_catch_effort_2010-2021'!$D:$D,Existing_Conditions!$B14,'Rec_raw_catch_effort_2010-2021'!$J:$J,Existing_Conditions!$C14,'Rec_raw_catch_effort_2010-2021'!$B:$B,Existing_Conditions!U$4,'Rec_raw_catch_effort_2010-2021'!$E:$E,Existing_Conditions!$O14)</f>
        <v>512700.78851127857</v>
      </c>
      <c r="V14" s="17">
        <f>SUMIFS('Rec_raw_catch_effort_2010-2021'!$R:$R,'Rec_raw_catch_effort_2010-2021'!$D:$D,Existing_Conditions!$B14,'Rec_raw_catch_effort_2010-2021'!$J:$J,Existing_Conditions!$C14,'Rec_raw_catch_effort_2010-2021'!$B:$B,Existing_Conditions!V$4,'Rec_raw_catch_effort_2010-2021'!$E:$E,Existing_Conditions!$O14)</f>
        <v>66119.473729529171</v>
      </c>
      <c r="W14" s="17">
        <f>SUMIFS('Rec_raw_catch_effort_2010-2021'!$R:$R,'Rec_raw_catch_effort_2010-2021'!$D:$D,Existing_Conditions!$B14,'Rec_raw_catch_effort_2010-2021'!$J:$J,Existing_Conditions!$C14,'Rec_raw_catch_effort_2010-2021'!$B:$B,Existing_Conditions!W$4,'Rec_raw_catch_effort_2010-2021'!$E:$E,Existing_Conditions!$O14)</f>
        <v>181528.00127775944</v>
      </c>
      <c r="X14" s="17">
        <f>SUMIFS('Rec_raw_catch_effort_2010-2021'!$R:$R,'Rec_raw_catch_effort_2010-2021'!$D:$D,Existing_Conditions!$B14,'Rec_raw_catch_effort_2010-2021'!$J:$J,Existing_Conditions!$C14,'Rec_raw_catch_effort_2010-2021'!$B:$B,Existing_Conditions!X$4,'Rec_raw_catch_effort_2010-2021'!$E:$E,Existing_Conditions!$O14)</f>
        <v>111346.17694972745</v>
      </c>
      <c r="Y14" s="17">
        <f>SUMIFS('Rec_raw_catch_effort_2010-2021'!$R:$R,'Rec_raw_catch_effort_2010-2021'!$D:$D,Existing_Conditions!$B14,'Rec_raw_catch_effort_2010-2021'!$J:$J,Existing_Conditions!$C14,'Rec_raw_catch_effort_2010-2021'!$B:$B,Existing_Conditions!Y$4,'Rec_raw_catch_effort_2010-2021'!$E:$E,Existing_Conditions!$O14)</f>
        <v>243825.73013924938</v>
      </c>
      <c r="Z14" s="37">
        <f t="shared" si="1"/>
        <v>291619.58933141152</v>
      </c>
      <c r="AA14" t="s">
        <v>86</v>
      </c>
      <c r="AB14" s="17">
        <f>SUMIFS('Rec_raw_catch_effort_2010-2021'!$R:$R,'Rec_raw_catch_effort_2010-2021'!$D:$D,Existing_Conditions!$B14,'Rec_raw_catch_effort_2010-2021'!$J:$J,Existing_Conditions!$C14,'Rec_raw_catch_effort_2010-2021'!$B:$B,Existing_Conditions!AB$4,'Rec_raw_catch_effort_2010-2021'!$E:$E,Existing_Conditions!$AA14)</f>
        <v>10924.017883587001</v>
      </c>
      <c r="AC14" s="17">
        <f>SUMIFS('Rec_raw_catch_effort_2010-2021'!$R:$R,'Rec_raw_catch_effort_2010-2021'!$D:$D,Existing_Conditions!$B14,'Rec_raw_catch_effort_2010-2021'!$J:$J,Existing_Conditions!$C14,'Rec_raw_catch_effort_2010-2021'!$B:$B,Existing_Conditions!AC$4,'Rec_raw_catch_effort_2010-2021'!$E:$E,Existing_Conditions!$AA14)</f>
        <v>12200.57936040463</v>
      </c>
      <c r="AD14" s="17">
        <f>SUMIFS('Rec_raw_catch_effort_2010-2021'!$R:$R,'Rec_raw_catch_effort_2010-2021'!$D:$D,Existing_Conditions!$B14,'Rec_raw_catch_effort_2010-2021'!$J:$J,Existing_Conditions!$C14,'Rec_raw_catch_effort_2010-2021'!$B:$B,Existing_Conditions!AD$4,'Rec_raw_catch_effort_2010-2021'!$E:$E,Existing_Conditions!$AA14)</f>
        <v>15339.664959136526</v>
      </c>
      <c r="AE14" s="17">
        <f>SUMIFS('Rec_raw_catch_effort_2010-2021'!$R:$R,'Rec_raw_catch_effort_2010-2021'!$D:$D,Existing_Conditions!$B14,'Rec_raw_catch_effort_2010-2021'!$J:$J,Existing_Conditions!$C14,'Rec_raw_catch_effort_2010-2021'!$B:$B,Existing_Conditions!AE$4,'Rec_raw_catch_effort_2010-2021'!$E:$E,Existing_Conditions!$AA14)</f>
        <v>18143.914760670348</v>
      </c>
      <c r="AF14" s="17">
        <f>SUMIFS('Rec_raw_catch_effort_2010-2021'!$R:$R,'Rec_raw_catch_effort_2010-2021'!$D:$D,Existing_Conditions!$B14,'Rec_raw_catch_effort_2010-2021'!$J:$J,Existing_Conditions!$C14,'Rec_raw_catch_effort_2010-2021'!$B:$B,Existing_Conditions!AF$4,'Rec_raw_catch_effort_2010-2021'!$E:$E,Existing_Conditions!$AA14)</f>
        <v>5074.855051283228</v>
      </c>
      <c r="AG14" s="17">
        <f>SUMIFS('Rec_raw_catch_effort_2010-2021'!$R:$R,'Rec_raw_catch_effort_2010-2021'!$D:$D,Existing_Conditions!$B14,'Rec_raw_catch_effort_2010-2021'!$J:$J,Existing_Conditions!$C14,'Rec_raw_catch_effort_2010-2021'!$B:$B,Existing_Conditions!AG$4,'Rec_raw_catch_effort_2010-2021'!$E:$E,Existing_Conditions!$AA14)</f>
        <v>3182.5498608681828</v>
      </c>
      <c r="AH14" s="17">
        <f>SUMIFS('Rec_raw_catch_effort_2010-2021'!$R:$R,'Rec_raw_catch_effort_2010-2021'!$D:$D,Existing_Conditions!$B14,'Rec_raw_catch_effort_2010-2021'!$J:$J,Existing_Conditions!$C14,'Rec_raw_catch_effort_2010-2021'!$B:$B,Existing_Conditions!AH$4,'Rec_raw_catch_effort_2010-2021'!$E:$E,Existing_Conditions!$AA14)</f>
        <v>3494.8486332548418</v>
      </c>
      <c r="AI14" s="17">
        <f>SUMIFS('Rec_raw_catch_effort_2010-2021'!$R:$R,'Rec_raw_catch_effort_2010-2021'!$D:$D,Existing_Conditions!$B14,'Rec_raw_catch_effort_2010-2021'!$J:$J,Existing_Conditions!$C14,'Rec_raw_catch_effort_2010-2021'!$B:$B,Existing_Conditions!AI$4,'Rec_raw_catch_effort_2010-2021'!$E:$E,Existing_Conditions!$AA14)</f>
        <v>7533.8054369565507</v>
      </c>
      <c r="AJ14" s="17">
        <f>SUMIFS('Rec_raw_catch_effort_2010-2021'!$R:$R,'Rec_raw_catch_effort_2010-2021'!$D:$D,Existing_Conditions!$B14,'Rec_raw_catch_effort_2010-2021'!$J:$J,Existing_Conditions!$C14,'Rec_raw_catch_effort_2010-2021'!$B:$B,Existing_Conditions!AJ$4,'Rec_raw_catch_effort_2010-2021'!$E:$E,Existing_Conditions!$AA14)</f>
        <v>104.63618662439646</v>
      </c>
      <c r="AK14" s="17">
        <f>SUMIFS('Rec_raw_catch_effort_2010-2021'!$R:$R,'Rec_raw_catch_effort_2010-2021'!$D:$D,Existing_Conditions!$B14,'Rec_raw_catch_effort_2010-2021'!$J:$J,Existing_Conditions!$C14,'Rec_raw_catch_effort_2010-2021'!$B:$B,Existing_Conditions!AK$4,'Rec_raw_catch_effort_2010-2021'!$E:$E,Existing_Conditions!$AA14)</f>
        <v>7115.2606904589593</v>
      </c>
      <c r="AL14" s="37">
        <f t="shared" si="2"/>
        <v>8311.4132823244672</v>
      </c>
    </row>
    <row r="15" spans="1:39" x14ac:dyDescent="0.35">
      <c r="A15" t="s">
        <v>331</v>
      </c>
      <c r="B15" t="s">
        <v>143</v>
      </c>
      <c r="C15" s="17" t="s">
        <v>141</v>
      </c>
      <c r="D15" s="17">
        <f>SUMIFS('Rec_raw_catch_effort_2010-2021'!$R:$R,'Rec_raw_catch_effort_2010-2021'!$D:$D,Existing_Conditions!$B15,'Rec_raw_catch_effort_2010-2021'!$J:$J,Existing_Conditions!$C15,'Rec_raw_catch_effort_2010-2021'!$B:$B,Existing_Conditions!D$4)</f>
        <v>40633.66739657845</v>
      </c>
      <c r="E15" s="17">
        <f>SUMIFS('Rec_raw_catch_effort_2010-2021'!$R:$R,'Rec_raw_catch_effort_2010-2021'!$D:$D,Existing_Conditions!$B15,'Rec_raw_catch_effort_2010-2021'!$J:$J,Existing_Conditions!$C15,'Rec_raw_catch_effort_2010-2021'!$B:$B,Existing_Conditions!E$4)</f>
        <v>57785.45230076732</v>
      </c>
      <c r="F15" s="17">
        <f>SUMIFS('Rec_raw_catch_effort_2010-2021'!$R:$R,'Rec_raw_catch_effort_2010-2021'!$D:$D,Existing_Conditions!$B15,'Rec_raw_catch_effort_2010-2021'!$J:$J,Existing_Conditions!$C15,'Rec_raw_catch_effort_2010-2021'!$B:$B,Existing_Conditions!F$4)</f>
        <v>88419.554270860972</v>
      </c>
      <c r="G15" s="17">
        <f>SUMIFS('Rec_raw_catch_effort_2010-2021'!$R:$R,'Rec_raw_catch_effort_2010-2021'!$D:$D,Existing_Conditions!$B15,'Rec_raw_catch_effort_2010-2021'!$J:$J,Existing_Conditions!$C15,'Rec_raw_catch_effort_2010-2021'!$B:$B,Existing_Conditions!G$4)</f>
        <v>57958.865282316634</v>
      </c>
      <c r="H15" s="17">
        <f>SUMIFS('Rec_raw_catch_effort_2010-2021'!$R:$R,'Rec_raw_catch_effort_2010-2021'!$D:$D,Existing_Conditions!$B15,'Rec_raw_catch_effort_2010-2021'!$J:$J,Existing_Conditions!$C15,'Rec_raw_catch_effort_2010-2021'!$B:$B,Existing_Conditions!H$4)</f>
        <v>26040.055146923671</v>
      </c>
      <c r="I15" s="17">
        <f>SUMIFS('Rec_raw_catch_effort_2010-2021'!$R:$R,'Rec_raw_catch_effort_2010-2021'!$D:$D,Existing_Conditions!$B15,'Rec_raw_catch_effort_2010-2021'!$J:$J,Existing_Conditions!$C15,'Rec_raw_catch_effort_2010-2021'!$B:$B,Existing_Conditions!I$4)</f>
        <v>26408.319761656381</v>
      </c>
      <c r="J15" s="17">
        <f>SUMIFS('Rec_raw_catch_effort_2010-2021'!$R:$R,'Rec_raw_catch_effort_2010-2021'!$D:$D,Existing_Conditions!$B15,'Rec_raw_catch_effort_2010-2021'!$J:$J,Existing_Conditions!$C15,'Rec_raw_catch_effort_2010-2021'!$B:$B,Existing_Conditions!J$4)</f>
        <v>15947.907177710607</v>
      </c>
      <c r="K15" s="17">
        <f>SUMIFS('Rec_raw_catch_effort_2010-2021'!$R:$R,'Rec_raw_catch_effort_2010-2021'!$D:$D,Existing_Conditions!$B15,'Rec_raw_catch_effort_2010-2021'!$J:$J,Existing_Conditions!$C15,'Rec_raw_catch_effort_2010-2021'!$B:$B,Existing_Conditions!K$4)</f>
        <v>8971.4675148484239</v>
      </c>
      <c r="L15" s="17">
        <f>SUMIFS('Rec_raw_catch_effort_2010-2021'!$R:$R,'Rec_raw_catch_effort_2010-2021'!$D:$D,Existing_Conditions!$B15,'Rec_raw_catch_effort_2010-2021'!$J:$J,Existing_Conditions!$C15,'Rec_raw_catch_effort_2010-2021'!$B:$B,Existing_Conditions!L$4)</f>
        <v>12357.338774146268</v>
      </c>
      <c r="M15" s="17">
        <f>SUMIFS('Rec_raw_catch_effort_2010-2021'!$R:$R,'Rec_raw_catch_effort_2010-2021'!$D:$D,Existing_Conditions!$B15,'Rec_raw_catch_effort_2010-2021'!$J:$J,Existing_Conditions!$C15,'Rec_raw_catch_effort_2010-2021'!$B:$B,Existing_Conditions!M$4)</f>
        <v>6203.937890938575</v>
      </c>
      <c r="N15" s="37">
        <f t="shared" si="0"/>
        <v>34072.656551674743</v>
      </c>
      <c r="O15" t="s">
        <v>10</v>
      </c>
      <c r="P15" s="17">
        <f>SUMIFS('Rec_raw_catch_effort_2010-2021'!$R:$R,'Rec_raw_catch_effort_2010-2021'!$D:$D,Existing_Conditions!$B15,'Rec_raw_catch_effort_2010-2021'!$J:$J,Existing_Conditions!$C15,'Rec_raw_catch_effort_2010-2021'!$B:$B,Existing_Conditions!P$4,'Rec_raw_catch_effort_2010-2021'!$E:$E,Existing_Conditions!$O15)</f>
        <v>40633.66739657845</v>
      </c>
      <c r="Q15" s="17">
        <f>SUMIFS('Rec_raw_catch_effort_2010-2021'!$R:$R,'Rec_raw_catch_effort_2010-2021'!$D:$D,Existing_Conditions!$B15,'Rec_raw_catch_effort_2010-2021'!$J:$J,Existing_Conditions!$C15,'Rec_raw_catch_effort_2010-2021'!$B:$B,Existing_Conditions!Q$4,'Rec_raw_catch_effort_2010-2021'!$E:$E,Existing_Conditions!$O15)</f>
        <v>57785.45230076732</v>
      </c>
      <c r="R15" s="17">
        <f>SUMIFS('Rec_raw_catch_effort_2010-2021'!$R:$R,'Rec_raw_catch_effort_2010-2021'!$D:$D,Existing_Conditions!$B15,'Rec_raw_catch_effort_2010-2021'!$J:$J,Existing_Conditions!$C15,'Rec_raw_catch_effort_2010-2021'!$B:$B,Existing_Conditions!R$4,'Rec_raw_catch_effort_2010-2021'!$E:$E,Existing_Conditions!$O15)</f>
        <v>88419.554270860972</v>
      </c>
      <c r="S15" s="17">
        <f>SUMIFS('Rec_raw_catch_effort_2010-2021'!$R:$R,'Rec_raw_catch_effort_2010-2021'!$D:$D,Existing_Conditions!$B15,'Rec_raw_catch_effort_2010-2021'!$J:$J,Existing_Conditions!$C15,'Rec_raw_catch_effort_2010-2021'!$B:$B,Existing_Conditions!S$4,'Rec_raw_catch_effort_2010-2021'!$E:$E,Existing_Conditions!$O15)</f>
        <v>57958.865282316634</v>
      </c>
      <c r="T15" s="17">
        <f>SUMIFS('Rec_raw_catch_effort_2010-2021'!$R:$R,'Rec_raw_catch_effort_2010-2021'!$D:$D,Existing_Conditions!$B15,'Rec_raw_catch_effort_2010-2021'!$J:$J,Existing_Conditions!$C15,'Rec_raw_catch_effort_2010-2021'!$B:$B,Existing_Conditions!T$4,'Rec_raw_catch_effort_2010-2021'!$E:$E,Existing_Conditions!$O15)</f>
        <v>26040.055146923671</v>
      </c>
      <c r="U15" s="17">
        <f>SUMIFS('Rec_raw_catch_effort_2010-2021'!$R:$R,'Rec_raw_catch_effort_2010-2021'!$D:$D,Existing_Conditions!$B15,'Rec_raw_catch_effort_2010-2021'!$J:$J,Existing_Conditions!$C15,'Rec_raw_catch_effort_2010-2021'!$B:$B,Existing_Conditions!U$4,'Rec_raw_catch_effort_2010-2021'!$E:$E,Existing_Conditions!$O15)</f>
        <v>26408.319761656381</v>
      </c>
      <c r="V15" s="17">
        <f>SUMIFS('Rec_raw_catch_effort_2010-2021'!$R:$R,'Rec_raw_catch_effort_2010-2021'!$D:$D,Existing_Conditions!$B15,'Rec_raw_catch_effort_2010-2021'!$J:$J,Existing_Conditions!$C15,'Rec_raw_catch_effort_2010-2021'!$B:$B,Existing_Conditions!V$4,'Rec_raw_catch_effort_2010-2021'!$E:$E,Existing_Conditions!$O15)</f>
        <v>15947.907177710607</v>
      </c>
      <c r="W15" s="17">
        <f>SUMIFS('Rec_raw_catch_effort_2010-2021'!$R:$R,'Rec_raw_catch_effort_2010-2021'!$D:$D,Existing_Conditions!$B15,'Rec_raw_catch_effort_2010-2021'!$J:$J,Existing_Conditions!$C15,'Rec_raw_catch_effort_2010-2021'!$B:$B,Existing_Conditions!W$4,'Rec_raw_catch_effort_2010-2021'!$E:$E,Existing_Conditions!$O15)</f>
        <v>8971.4675148484239</v>
      </c>
      <c r="X15" s="17">
        <f>SUMIFS('Rec_raw_catch_effort_2010-2021'!$R:$R,'Rec_raw_catch_effort_2010-2021'!$D:$D,Existing_Conditions!$B15,'Rec_raw_catch_effort_2010-2021'!$J:$J,Existing_Conditions!$C15,'Rec_raw_catch_effort_2010-2021'!$B:$B,Existing_Conditions!X$4,'Rec_raw_catch_effort_2010-2021'!$E:$E,Existing_Conditions!$O15)</f>
        <v>12357.338774146268</v>
      </c>
      <c r="Y15" s="17">
        <f>SUMIFS('Rec_raw_catch_effort_2010-2021'!$R:$R,'Rec_raw_catch_effort_2010-2021'!$D:$D,Existing_Conditions!$B15,'Rec_raw_catch_effort_2010-2021'!$J:$J,Existing_Conditions!$C15,'Rec_raw_catch_effort_2010-2021'!$B:$B,Existing_Conditions!Y$4,'Rec_raw_catch_effort_2010-2021'!$E:$E,Existing_Conditions!$O15)</f>
        <v>6203.937890938575</v>
      </c>
      <c r="Z15" s="37">
        <f t="shared" si="1"/>
        <v>34072.656551674743</v>
      </c>
      <c r="AA15" t="s">
        <v>86</v>
      </c>
      <c r="AB15" s="17">
        <f>SUMIFS('Rec_raw_catch_effort_2010-2021'!$R:$R,'Rec_raw_catch_effort_2010-2021'!$D:$D,Existing_Conditions!$B15,'Rec_raw_catch_effort_2010-2021'!$J:$J,Existing_Conditions!$C15,'Rec_raw_catch_effort_2010-2021'!$B:$B,Existing_Conditions!AB$4,'Rec_raw_catch_effort_2010-2021'!$E:$E,Existing_Conditions!$AA15)</f>
        <v>0</v>
      </c>
      <c r="AC15" s="17">
        <f>SUMIFS('Rec_raw_catch_effort_2010-2021'!$R:$R,'Rec_raw_catch_effort_2010-2021'!$D:$D,Existing_Conditions!$B15,'Rec_raw_catch_effort_2010-2021'!$J:$J,Existing_Conditions!$C15,'Rec_raw_catch_effort_2010-2021'!$B:$B,Existing_Conditions!AC$4,'Rec_raw_catch_effort_2010-2021'!$E:$E,Existing_Conditions!$AA15)</f>
        <v>0</v>
      </c>
      <c r="AD15" s="17">
        <f>SUMIFS('Rec_raw_catch_effort_2010-2021'!$R:$R,'Rec_raw_catch_effort_2010-2021'!$D:$D,Existing_Conditions!$B15,'Rec_raw_catch_effort_2010-2021'!$J:$J,Existing_Conditions!$C15,'Rec_raw_catch_effort_2010-2021'!$B:$B,Existing_Conditions!AD$4,'Rec_raw_catch_effort_2010-2021'!$E:$E,Existing_Conditions!$AA15)</f>
        <v>0</v>
      </c>
      <c r="AE15" s="17">
        <f>SUMIFS('Rec_raw_catch_effort_2010-2021'!$R:$R,'Rec_raw_catch_effort_2010-2021'!$D:$D,Existing_Conditions!$B15,'Rec_raw_catch_effort_2010-2021'!$J:$J,Existing_Conditions!$C15,'Rec_raw_catch_effort_2010-2021'!$B:$B,Existing_Conditions!AE$4,'Rec_raw_catch_effort_2010-2021'!$E:$E,Existing_Conditions!$AA15)</f>
        <v>0</v>
      </c>
      <c r="AF15" s="17">
        <f>SUMIFS('Rec_raw_catch_effort_2010-2021'!$R:$R,'Rec_raw_catch_effort_2010-2021'!$D:$D,Existing_Conditions!$B15,'Rec_raw_catch_effort_2010-2021'!$J:$J,Existing_Conditions!$C15,'Rec_raw_catch_effort_2010-2021'!$B:$B,Existing_Conditions!AF$4,'Rec_raw_catch_effort_2010-2021'!$E:$E,Existing_Conditions!$AA15)</f>
        <v>0</v>
      </c>
      <c r="AG15" s="17">
        <f>SUMIFS('Rec_raw_catch_effort_2010-2021'!$R:$R,'Rec_raw_catch_effort_2010-2021'!$D:$D,Existing_Conditions!$B15,'Rec_raw_catch_effort_2010-2021'!$J:$J,Existing_Conditions!$C15,'Rec_raw_catch_effort_2010-2021'!$B:$B,Existing_Conditions!AG$4,'Rec_raw_catch_effort_2010-2021'!$E:$E,Existing_Conditions!$AA15)</f>
        <v>0</v>
      </c>
      <c r="AH15" s="17">
        <f>SUMIFS('Rec_raw_catch_effort_2010-2021'!$R:$R,'Rec_raw_catch_effort_2010-2021'!$D:$D,Existing_Conditions!$B15,'Rec_raw_catch_effort_2010-2021'!$J:$J,Existing_Conditions!$C15,'Rec_raw_catch_effort_2010-2021'!$B:$B,Existing_Conditions!AH$4,'Rec_raw_catch_effort_2010-2021'!$E:$E,Existing_Conditions!$AA15)</f>
        <v>0</v>
      </c>
      <c r="AI15" s="17">
        <f>SUMIFS('Rec_raw_catch_effort_2010-2021'!$R:$R,'Rec_raw_catch_effort_2010-2021'!$D:$D,Existing_Conditions!$B15,'Rec_raw_catch_effort_2010-2021'!$J:$J,Existing_Conditions!$C15,'Rec_raw_catch_effort_2010-2021'!$B:$B,Existing_Conditions!AI$4,'Rec_raw_catch_effort_2010-2021'!$E:$E,Existing_Conditions!$AA15)</f>
        <v>0</v>
      </c>
      <c r="AJ15" s="17">
        <f>SUMIFS('Rec_raw_catch_effort_2010-2021'!$R:$R,'Rec_raw_catch_effort_2010-2021'!$D:$D,Existing_Conditions!$B15,'Rec_raw_catch_effort_2010-2021'!$J:$J,Existing_Conditions!$C15,'Rec_raw_catch_effort_2010-2021'!$B:$B,Existing_Conditions!AJ$4,'Rec_raw_catch_effort_2010-2021'!$E:$E,Existing_Conditions!$AA15)</f>
        <v>0</v>
      </c>
      <c r="AK15" s="17">
        <f>SUMIFS('Rec_raw_catch_effort_2010-2021'!$R:$R,'Rec_raw_catch_effort_2010-2021'!$D:$D,Existing_Conditions!$B15,'Rec_raw_catch_effort_2010-2021'!$J:$J,Existing_Conditions!$C15,'Rec_raw_catch_effort_2010-2021'!$B:$B,Existing_Conditions!AK$4,'Rec_raw_catch_effort_2010-2021'!$E:$E,Existing_Conditions!$AA15)</f>
        <v>0</v>
      </c>
      <c r="AL15" s="37">
        <f t="shared" si="2"/>
        <v>0</v>
      </c>
    </row>
    <row r="16" spans="1:39" x14ac:dyDescent="0.35">
      <c r="A16" t="s">
        <v>331</v>
      </c>
      <c r="B16" t="s">
        <v>168</v>
      </c>
      <c r="D16" s="52">
        <f>SUM(D11:D15)</f>
        <v>328557.87385023636</v>
      </c>
      <c r="E16" s="52">
        <f t="shared" ref="E16:M16" si="6">SUM(E11:E15)</f>
        <v>1568613.7006256264</v>
      </c>
      <c r="F16" s="52">
        <f t="shared" si="6"/>
        <v>682552.60820440913</v>
      </c>
      <c r="G16" s="52">
        <f t="shared" si="6"/>
        <v>1936217.0778475741</v>
      </c>
      <c r="H16" s="52">
        <f t="shared" si="6"/>
        <v>360108.31601001316</v>
      </c>
      <c r="I16" s="52">
        <f t="shared" si="6"/>
        <v>1022884.0919065062</v>
      </c>
      <c r="J16" s="52">
        <f t="shared" si="6"/>
        <v>288741.54527823732</v>
      </c>
      <c r="K16" s="52">
        <f t="shared" si="6"/>
        <v>404533.8708759303</v>
      </c>
      <c r="L16" s="52">
        <f t="shared" si="6"/>
        <v>335792.8427894623</v>
      </c>
      <c r="M16" s="52">
        <f t="shared" si="6"/>
        <v>350542.98418358993</v>
      </c>
      <c r="N16" s="37">
        <f>SUM(N11:N15)</f>
        <v>727854.49115715839</v>
      </c>
      <c r="O16" t="s">
        <v>10</v>
      </c>
      <c r="P16" s="52">
        <f>SUM(P11:P15)</f>
        <v>191317.05147367792</v>
      </c>
      <c r="Q16" s="52">
        <f t="shared" ref="Q16:Y16" si="7">SUM(Q11:Q15)</f>
        <v>1390726.1044999766</v>
      </c>
      <c r="R16" s="52">
        <f t="shared" si="7"/>
        <v>449356.02103989932</v>
      </c>
      <c r="S16" s="52">
        <f t="shared" si="7"/>
        <v>1741898.0092587066</v>
      </c>
      <c r="T16" s="52">
        <f t="shared" si="7"/>
        <v>206493.82986673046</v>
      </c>
      <c r="U16" s="52">
        <f t="shared" si="7"/>
        <v>908701.71852073201</v>
      </c>
      <c r="V16" s="52">
        <f t="shared" si="7"/>
        <v>217930.6336541911</v>
      </c>
      <c r="W16" s="52">
        <f t="shared" si="7"/>
        <v>314089.83903068944</v>
      </c>
      <c r="X16" s="52">
        <f t="shared" si="7"/>
        <v>243165.82313212781</v>
      </c>
      <c r="Y16" s="52">
        <f t="shared" si="7"/>
        <v>334449.93868075777</v>
      </c>
      <c r="Z16" s="37">
        <f>SUM(Z11:Z15)</f>
        <v>599812.89691574895</v>
      </c>
      <c r="AA16" t="s">
        <v>86</v>
      </c>
      <c r="AB16" s="52">
        <f>SUM(AB11:AB15)</f>
        <v>137240.82237655841</v>
      </c>
      <c r="AC16" s="52">
        <f t="shared" ref="AC16:AK16" si="8">SUM(AC11:AC15)</f>
        <v>177887.59612564935</v>
      </c>
      <c r="AD16" s="52">
        <f t="shared" si="8"/>
        <v>233196.58716450978</v>
      </c>
      <c r="AE16" s="52">
        <f t="shared" si="8"/>
        <v>194319.06858886709</v>
      </c>
      <c r="AF16" s="52">
        <f t="shared" si="8"/>
        <v>153614.48614328264</v>
      </c>
      <c r="AG16" s="52">
        <f t="shared" si="8"/>
        <v>114182.37338577426</v>
      </c>
      <c r="AH16" s="52">
        <f t="shared" si="8"/>
        <v>70810.911624046188</v>
      </c>
      <c r="AI16" s="52">
        <f t="shared" si="8"/>
        <v>90444.031845240839</v>
      </c>
      <c r="AJ16" s="52">
        <f t="shared" si="8"/>
        <v>92627.019657334487</v>
      </c>
      <c r="AK16" s="52">
        <f t="shared" si="8"/>
        <v>16093.045502832174</v>
      </c>
      <c r="AL16" s="37">
        <f>SUM(AL11:AL15)</f>
        <v>128041.59424140952</v>
      </c>
    </row>
    <row r="17" spans="1:38" x14ac:dyDescent="0.35">
      <c r="A17" t="s">
        <v>331</v>
      </c>
      <c r="B17" t="s">
        <v>157</v>
      </c>
      <c r="D17" s="53">
        <f>D10+D16</f>
        <v>645157.75633019186</v>
      </c>
      <c r="E17" s="53">
        <f t="shared" ref="E17:M17" si="9">E10+E16</f>
        <v>1993051.8362867995</v>
      </c>
      <c r="F17" s="53">
        <f t="shared" si="9"/>
        <v>1130041.0918550876</v>
      </c>
      <c r="G17" s="53">
        <f t="shared" si="9"/>
        <v>2417444.3861385426</v>
      </c>
      <c r="H17" s="53">
        <f t="shared" si="9"/>
        <v>812144.91130902153</v>
      </c>
      <c r="I17" s="53">
        <f t="shared" si="9"/>
        <v>1559113.6619650749</v>
      </c>
      <c r="J17" s="53">
        <f t="shared" si="9"/>
        <v>482335.01120112406</v>
      </c>
      <c r="K17" s="53">
        <f t="shared" si="9"/>
        <v>601753.10986494401</v>
      </c>
      <c r="L17" s="53">
        <f t="shared" si="9"/>
        <v>569401.78763857298</v>
      </c>
      <c r="M17" s="53">
        <f t="shared" si="9"/>
        <v>566583.39727320673</v>
      </c>
      <c r="N17" s="37">
        <f t="shared" si="0"/>
        <v>1077702.6949862568</v>
      </c>
      <c r="O17" t="s">
        <v>10</v>
      </c>
      <c r="P17" s="53">
        <f>P10+P16</f>
        <v>506749.25147367793</v>
      </c>
      <c r="Q17" s="53">
        <f t="shared" ref="Q17:Y17" si="10">Q10+Q16</f>
        <v>1814841.1726599487</v>
      </c>
      <c r="R17" s="53">
        <f t="shared" si="10"/>
        <v>896625.12103989965</v>
      </c>
      <c r="S17" s="53">
        <f t="shared" si="10"/>
        <v>2223064.0592587069</v>
      </c>
      <c r="T17" s="53">
        <f t="shared" si="10"/>
        <v>658466.77986673056</v>
      </c>
      <c r="U17" s="53">
        <f t="shared" si="10"/>
        <v>1444604.6385207323</v>
      </c>
      <c r="V17" s="53">
        <f t="shared" si="10"/>
        <v>411419.23365419114</v>
      </c>
      <c r="W17" s="53">
        <f t="shared" si="10"/>
        <v>510933.09483474755</v>
      </c>
      <c r="X17" s="53">
        <f t="shared" si="10"/>
        <v>476601.88425606088</v>
      </c>
      <c r="Y17" s="53">
        <f t="shared" si="10"/>
        <v>550403.8466935727</v>
      </c>
      <c r="Z17" s="37">
        <f t="shared" si="1"/>
        <v>949370.90822582692</v>
      </c>
      <c r="AA17" t="s">
        <v>86</v>
      </c>
      <c r="AB17" s="53">
        <f>AB10+AB16</f>
        <v>138408.50485651387</v>
      </c>
      <c r="AC17" s="53">
        <f t="shared" ref="AC17:AK17" si="11">AC10+AC16</f>
        <v>178210.66362685052</v>
      </c>
      <c r="AD17" s="53">
        <f t="shared" si="11"/>
        <v>233415.97081518796</v>
      </c>
      <c r="AE17" s="53">
        <f t="shared" si="11"/>
        <v>194380.32687983516</v>
      </c>
      <c r="AF17" s="53">
        <f t="shared" si="11"/>
        <v>153678.13144229096</v>
      </c>
      <c r="AG17" s="53">
        <f t="shared" si="11"/>
        <v>114509.02344434285</v>
      </c>
      <c r="AH17" s="53">
        <f t="shared" si="11"/>
        <v>70915.777546932877</v>
      </c>
      <c r="AI17" s="53">
        <f t="shared" si="11"/>
        <v>90820.015030196446</v>
      </c>
      <c r="AJ17" s="53">
        <f t="shared" si="11"/>
        <v>92799.903382512028</v>
      </c>
      <c r="AK17" s="53">
        <f t="shared" si="11"/>
        <v>16179.550579634022</v>
      </c>
      <c r="AL17" s="37">
        <f t="shared" si="2"/>
        <v>128331.78676042969</v>
      </c>
    </row>
    <row r="20" spans="1:38" x14ac:dyDescent="0.35">
      <c r="A20" s="15" t="s">
        <v>330</v>
      </c>
      <c r="B20" s="15" t="s">
        <v>311</v>
      </c>
      <c r="C20" t="s">
        <v>2</v>
      </c>
      <c r="D20" s="15" t="s">
        <v>339</v>
      </c>
      <c r="P20" s="15" t="s">
        <v>335</v>
      </c>
      <c r="AB20" s="15" t="s">
        <v>337</v>
      </c>
    </row>
    <row r="21" spans="1:38" x14ac:dyDescent="0.35">
      <c r="A21" t="s">
        <v>331</v>
      </c>
      <c r="B21" s="15" t="s">
        <v>130</v>
      </c>
      <c r="C21" s="15" t="s">
        <v>5</v>
      </c>
      <c r="D21" s="44">
        <v>2010</v>
      </c>
      <c r="E21" s="44">
        <v>2011</v>
      </c>
      <c r="F21" s="44">
        <v>2012</v>
      </c>
      <c r="G21" s="44">
        <v>2013</v>
      </c>
      <c r="H21" s="44">
        <v>2014</v>
      </c>
      <c r="I21" s="44">
        <v>2015</v>
      </c>
      <c r="J21" s="44">
        <v>2016</v>
      </c>
      <c r="K21" s="44">
        <v>2017</v>
      </c>
      <c r="L21" s="44">
        <v>2018</v>
      </c>
      <c r="M21" s="44">
        <v>2019</v>
      </c>
      <c r="N21" s="35" t="s">
        <v>166</v>
      </c>
      <c r="O21" s="15" t="s">
        <v>330</v>
      </c>
      <c r="P21" s="44">
        <v>2010</v>
      </c>
      <c r="Q21" s="44">
        <v>2011</v>
      </c>
      <c r="R21" s="44">
        <v>2012</v>
      </c>
      <c r="S21" s="44">
        <v>2013</v>
      </c>
      <c r="T21" s="44">
        <v>2014</v>
      </c>
      <c r="U21" s="44">
        <v>2015</v>
      </c>
      <c r="V21" s="44">
        <v>2016</v>
      </c>
      <c r="W21" s="44">
        <v>2017</v>
      </c>
      <c r="X21" s="44">
        <v>2018</v>
      </c>
      <c r="Y21" s="44">
        <v>2019</v>
      </c>
      <c r="Z21" s="35" t="s">
        <v>166</v>
      </c>
      <c r="AA21" s="15" t="s">
        <v>330</v>
      </c>
      <c r="AB21" s="44">
        <v>2010</v>
      </c>
      <c r="AC21" s="44">
        <v>2011</v>
      </c>
      <c r="AD21" s="44">
        <v>2012</v>
      </c>
      <c r="AE21" s="44">
        <v>2013</v>
      </c>
      <c r="AF21" s="44">
        <v>2014</v>
      </c>
      <c r="AG21" s="44">
        <v>2015</v>
      </c>
      <c r="AH21" s="44">
        <v>2016</v>
      </c>
      <c r="AI21" s="44">
        <v>2017</v>
      </c>
      <c r="AJ21" s="44">
        <v>2018</v>
      </c>
      <c r="AK21" s="44">
        <v>2019</v>
      </c>
      <c r="AL21" s="35" t="s">
        <v>166</v>
      </c>
    </row>
    <row r="22" spans="1:38" x14ac:dyDescent="0.35">
      <c r="A22" t="s">
        <v>331</v>
      </c>
      <c r="B22" t="s">
        <v>132</v>
      </c>
      <c r="C22" t="s">
        <v>133</v>
      </c>
      <c r="D22" s="17">
        <f>SUMIFS('Rec_raw_catch_effort_2010-2021'!$Q:$Q,'Rec_raw_catch_effort_2010-2021'!$D:$D,Existing_Conditions!$B22,'Rec_raw_catch_effort_2010-2021'!$J:$J,Existing_Conditions!$C22,'Rec_raw_catch_effort_2010-2021'!$B:$B,Existing_Conditions!D$4)</f>
        <v>22553.000000000011</v>
      </c>
      <c r="E22" s="17">
        <f>SUMIFS('Rec_raw_catch_effort_2010-2021'!$Q:$Q,'Rec_raw_catch_effort_2010-2021'!$D:$D,Existing_Conditions!$B22,'Rec_raw_catch_effort_2010-2021'!$J:$J,Existing_Conditions!$C22,'Rec_raw_catch_effort_2010-2021'!$B:$B,Existing_Conditions!E$4)</f>
        <v>82260.46819194885</v>
      </c>
      <c r="F22" s="17">
        <f>SUMIFS('Rec_raw_catch_effort_2010-2021'!$Q:$Q,'Rec_raw_catch_effort_2010-2021'!$D:$D,Existing_Conditions!$B22,'Rec_raw_catch_effort_2010-2021'!$J:$J,Existing_Conditions!$C22,'Rec_raw_catch_effort_2010-2021'!$B:$B,Existing_Conditions!F$4)</f>
        <v>89890</v>
      </c>
      <c r="G22" s="17">
        <f>SUMIFS('Rec_raw_catch_effort_2010-2021'!$Q:$Q,'Rec_raw_catch_effort_2010-2021'!$D:$D,Existing_Conditions!$B22,'Rec_raw_catch_effort_2010-2021'!$J:$J,Existing_Conditions!$C22,'Rec_raw_catch_effort_2010-2021'!$B:$B,Existing_Conditions!G$4)</f>
        <v>92379.000000000116</v>
      </c>
      <c r="H22" s="17">
        <f>SUMIFS('Rec_raw_catch_effort_2010-2021'!$Q:$Q,'Rec_raw_catch_effort_2010-2021'!$D:$D,Existing_Conditions!$B22,'Rec_raw_catch_effort_2010-2021'!$J:$J,Existing_Conditions!$C22,'Rec_raw_catch_effort_2010-2021'!$B:$B,Existing_Conditions!H$4)</f>
        <v>74612.999999999971</v>
      </c>
      <c r="I22" s="17">
        <f>SUMIFS('Rec_raw_catch_effort_2010-2021'!$Q:$Q,'Rec_raw_catch_effort_2010-2021'!$D:$D,Existing_Conditions!$B22,'Rec_raw_catch_effort_2010-2021'!$J:$J,Existing_Conditions!$C22,'Rec_raw_catch_effort_2010-2021'!$B:$B,Existing_Conditions!I$4)</f>
        <v>116699.00000000004</v>
      </c>
      <c r="J22" s="17">
        <f>SUMIFS('Rec_raw_catch_effort_2010-2021'!$Q:$Q,'Rec_raw_catch_effort_2010-2021'!$D:$D,Existing_Conditions!$B22,'Rec_raw_catch_effort_2010-2021'!$J:$J,Existing_Conditions!$C22,'Rec_raw_catch_effort_2010-2021'!$B:$B,Existing_Conditions!J$4)</f>
        <v>11541</v>
      </c>
      <c r="K22" s="17">
        <f>SUMIFS('Rec_raw_catch_effort_2010-2021'!$Q:$Q,'Rec_raw_catch_effort_2010-2021'!$D:$D,Existing_Conditions!$B22,'Rec_raw_catch_effort_2010-2021'!$J:$J,Existing_Conditions!$C22,'Rec_raw_catch_effort_2010-2021'!$B:$B,Existing_Conditions!K$4)</f>
        <v>19170.000000000004</v>
      </c>
      <c r="L22" s="17">
        <f>SUMIFS('Rec_raw_catch_effort_2010-2021'!$Q:$Q,'Rec_raw_catch_effort_2010-2021'!$D:$D,Existing_Conditions!$B22,'Rec_raw_catch_effort_2010-2021'!$J:$J,Existing_Conditions!$C22,'Rec_raw_catch_effort_2010-2021'!$B:$B,Existing_Conditions!L$4)</f>
        <v>43042.999999999978</v>
      </c>
      <c r="M22" s="17">
        <f>SUMIFS('Rec_raw_catch_effort_2010-2021'!$Q:$Q,'Rec_raw_catch_effort_2010-2021'!$D:$D,Existing_Conditions!$B22,'Rec_raw_catch_effort_2010-2021'!$J:$J,Existing_Conditions!$C22,'Rec_raw_catch_effort_2010-2021'!$B:$B,Existing_Conditions!M$4)</f>
        <v>36621.000000000015</v>
      </c>
      <c r="N22" s="37">
        <f t="shared" ref="N22:N34" si="12">AVERAGE(D22:M22)</f>
        <v>58876.946819194898</v>
      </c>
      <c r="O22" t="s">
        <v>10</v>
      </c>
      <c r="P22" s="17">
        <f>SUMIFS('Rec_raw_catch_effort_2010-2021'!$Q:$Q,'Rec_raw_catch_effort_2010-2021'!$D:$D,Existing_Conditions!$B22,'Rec_raw_catch_effort_2010-2021'!$J:$J,Existing_Conditions!$C22,'Rec_raw_catch_effort_2010-2021'!$B:$B,Existing_Conditions!P$4,'Rec_raw_catch_effort_2010-2021'!$E:$E,Existing_Conditions!$O22)</f>
        <v>22553.000000000011</v>
      </c>
      <c r="Q22" s="17">
        <f>SUMIFS('Rec_raw_catch_effort_2010-2021'!$Q:$Q,'Rec_raw_catch_effort_2010-2021'!$D:$D,Existing_Conditions!$B22,'Rec_raw_catch_effort_2010-2021'!$J:$J,Existing_Conditions!$C22,'Rec_raw_catch_effort_2010-2021'!$B:$B,Existing_Conditions!Q$4,'Rec_raw_catch_effort_2010-2021'!$E:$E,Existing_Conditions!$O22)</f>
        <v>82260.46819194885</v>
      </c>
      <c r="R22" s="17">
        <f>SUMIFS('Rec_raw_catch_effort_2010-2021'!$Q:$Q,'Rec_raw_catch_effort_2010-2021'!$D:$D,Existing_Conditions!$B22,'Rec_raw_catch_effort_2010-2021'!$J:$J,Existing_Conditions!$C22,'Rec_raw_catch_effort_2010-2021'!$B:$B,Existing_Conditions!R$4,'Rec_raw_catch_effort_2010-2021'!$E:$E,Existing_Conditions!$O22)</f>
        <v>89890</v>
      </c>
      <c r="S22" s="17">
        <f>SUMIFS('Rec_raw_catch_effort_2010-2021'!$Q:$Q,'Rec_raw_catch_effort_2010-2021'!$D:$D,Existing_Conditions!$B22,'Rec_raw_catch_effort_2010-2021'!$J:$J,Existing_Conditions!$C22,'Rec_raw_catch_effort_2010-2021'!$B:$B,Existing_Conditions!S$4,'Rec_raw_catch_effort_2010-2021'!$E:$E,Existing_Conditions!$O22)</f>
        <v>92379.000000000116</v>
      </c>
      <c r="T22" s="17">
        <f>SUMIFS('Rec_raw_catch_effort_2010-2021'!$Q:$Q,'Rec_raw_catch_effort_2010-2021'!$D:$D,Existing_Conditions!$B22,'Rec_raw_catch_effort_2010-2021'!$J:$J,Existing_Conditions!$C22,'Rec_raw_catch_effort_2010-2021'!$B:$B,Existing_Conditions!T$4,'Rec_raw_catch_effort_2010-2021'!$E:$E,Existing_Conditions!$O22)</f>
        <v>74612.999999999971</v>
      </c>
      <c r="U22" s="17">
        <f>SUMIFS('Rec_raw_catch_effort_2010-2021'!$Q:$Q,'Rec_raw_catch_effort_2010-2021'!$D:$D,Existing_Conditions!$B22,'Rec_raw_catch_effort_2010-2021'!$J:$J,Existing_Conditions!$C22,'Rec_raw_catch_effort_2010-2021'!$B:$B,Existing_Conditions!U$4,'Rec_raw_catch_effort_2010-2021'!$E:$E,Existing_Conditions!$O22)</f>
        <v>116699.00000000004</v>
      </c>
      <c r="V22" s="17">
        <f>SUMIFS('Rec_raw_catch_effort_2010-2021'!$Q:$Q,'Rec_raw_catch_effort_2010-2021'!$D:$D,Existing_Conditions!$B22,'Rec_raw_catch_effort_2010-2021'!$J:$J,Existing_Conditions!$C22,'Rec_raw_catch_effort_2010-2021'!$B:$B,Existing_Conditions!V$4,'Rec_raw_catch_effort_2010-2021'!$E:$E,Existing_Conditions!$O22)</f>
        <v>11541</v>
      </c>
      <c r="W22" s="17">
        <f>SUMIFS('Rec_raw_catch_effort_2010-2021'!$Q:$Q,'Rec_raw_catch_effort_2010-2021'!$D:$D,Existing_Conditions!$B22,'Rec_raw_catch_effort_2010-2021'!$J:$J,Existing_Conditions!$C22,'Rec_raw_catch_effort_2010-2021'!$B:$B,Existing_Conditions!W$4,'Rec_raw_catch_effort_2010-2021'!$E:$E,Existing_Conditions!$O22)</f>
        <v>19170.000000000004</v>
      </c>
      <c r="X22" s="17">
        <f>SUMIFS('Rec_raw_catch_effort_2010-2021'!$Q:$Q,'Rec_raw_catch_effort_2010-2021'!$D:$D,Existing_Conditions!$B22,'Rec_raw_catch_effort_2010-2021'!$J:$J,Existing_Conditions!$C22,'Rec_raw_catch_effort_2010-2021'!$B:$B,Existing_Conditions!X$4,'Rec_raw_catch_effort_2010-2021'!$E:$E,Existing_Conditions!$O22)</f>
        <v>43042.999999999978</v>
      </c>
      <c r="Y22" s="17">
        <f>SUMIFS('Rec_raw_catch_effort_2010-2021'!$Q:$Q,'Rec_raw_catch_effort_2010-2021'!$D:$D,Existing_Conditions!$B22,'Rec_raw_catch_effort_2010-2021'!$J:$J,Existing_Conditions!$C22,'Rec_raw_catch_effort_2010-2021'!$B:$B,Existing_Conditions!Y$4,'Rec_raw_catch_effort_2010-2021'!$E:$E,Existing_Conditions!$O22)</f>
        <v>36621.000000000015</v>
      </c>
      <c r="Z22" s="37">
        <f t="shared" ref="Z22:Z34" si="13">AVERAGE(P22:Y22)</f>
        <v>58876.946819194898</v>
      </c>
      <c r="AA22" t="s">
        <v>86</v>
      </c>
      <c r="AB22" s="17">
        <f>SUMIFS('Rec_raw_catch_effort_2010-2021'!$Q:$Q,'Rec_raw_catch_effort_2010-2021'!$D:$D,Existing_Conditions!$B22,'Rec_raw_catch_effort_2010-2021'!$J:$J,Existing_Conditions!$C22,'Rec_raw_catch_effort_2010-2021'!$B:$B,Existing_Conditions!AB$4,'Rec_raw_catch_effort_2010-2021'!$E:$E,Existing_Conditions!$AA22)</f>
        <v>0</v>
      </c>
      <c r="AC22" s="17">
        <f>SUMIFS('Rec_raw_catch_effort_2010-2021'!$Q:$Q,'Rec_raw_catch_effort_2010-2021'!$D:$D,Existing_Conditions!$B22,'Rec_raw_catch_effort_2010-2021'!$J:$J,Existing_Conditions!$C22,'Rec_raw_catch_effort_2010-2021'!$B:$B,Existing_Conditions!AC$4,'Rec_raw_catch_effort_2010-2021'!$E:$E,Existing_Conditions!$AA22)</f>
        <v>0</v>
      </c>
      <c r="AD22" s="17">
        <f>SUMIFS('Rec_raw_catch_effort_2010-2021'!$Q:$Q,'Rec_raw_catch_effort_2010-2021'!$D:$D,Existing_Conditions!$B22,'Rec_raw_catch_effort_2010-2021'!$J:$J,Existing_Conditions!$C22,'Rec_raw_catch_effort_2010-2021'!$B:$B,Existing_Conditions!AD$4,'Rec_raw_catch_effort_2010-2021'!$E:$E,Existing_Conditions!$AA22)</f>
        <v>0</v>
      </c>
      <c r="AE22" s="17">
        <f>SUMIFS('Rec_raw_catch_effort_2010-2021'!$Q:$Q,'Rec_raw_catch_effort_2010-2021'!$D:$D,Existing_Conditions!$B22,'Rec_raw_catch_effort_2010-2021'!$J:$J,Existing_Conditions!$C22,'Rec_raw_catch_effort_2010-2021'!$B:$B,Existing_Conditions!AE$4,'Rec_raw_catch_effort_2010-2021'!$E:$E,Existing_Conditions!$AA22)</f>
        <v>0</v>
      </c>
      <c r="AF22" s="17">
        <f>SUMIFS('Rec_raw_catch_effort_2010-2021'!$Q:$Q,'Rec_raw_catch_effort_2010-2021'!$D:$D,Existing_Conditions!$B22,'Rec_raw_catch_effort_2010-2021'!$J:$J,Existing_Conditions!$C22,'Rec_raw_catch_effort_2010-2021'!$B:$B,Existing_Conditions!AF$4,'Rec_raw_catch_effort_2010-2021'!$E:$E,Existing_Conditions!$AA22)</f>
        <v>0</v>
      </c>
      <c r="AG22" s="17">
        <f>SUMIFS('Rec_raw_catch_effort_2010-2021'!$Q:$Q,'Rec_raw_catch_effort_2010-2021'!$D:$D,Existing_Conditions!$B22,'Rec_raw_catch_effort_2010-2021'!$J:$J,Existing_Conditions!$C22,'Rec_raw_catch_effort_2010-2021'!$B:$B,Existing_Conditions!AG$4,'Rec_raw_catch_effort_2010-2021'!$E:$E,Existing_Conditions!$AA22)</f>
        <v>0</v>
      </c>
      <c r="AH22" s="17">
        <f>SUMIFS('Rec_raw_catch_effort_2010-2021'!$Q:$Q,'Rec_raw_catch_effort_2010-2021'!$D:$D,Existing_Conditions!$B22,'Rec_raw_catch_effort_2010-2021'!$J:$J,Existing_Conditions!$C22,'Rec_raw_catch_effort_2010-2021'!$B:$B,Existing_Conditions!AH$4,'Rec_raw_catch_effort_2010-2021'!$E:$E,Existing_Conditions!$AA22)</f>
        <v>0</v>
      </c>
      <c r="AI22" s="17">
        <f>SUMIFS('Rec_raw_catch_effort_2010-2021'!$Q:$Q,'Rec_raw_catch_effort_2010-2021'!$D:$D,Existing_Conditions!$B22,'Rec_raw_catch_effort_2010-2021'!$J:$J,Existing_Conditions!$C22,'Rec_raw_catch_effort_2010-2021'!$B:$B,Existing_Conditions!AI$4,'Rec_raw_catch_effort_2010-2021'!$E:$E,Existing_Conditions!$AA22)</f>
        <v>0</v>
      </c>
      <c r="AJ22" s="17">
        <f>SUMIFS('Rec_raw_catch_effort_2010-2021'!$Q:$Q,'Rec_raw_catch_effort_2010-2021'!$D:$D,Existing_Conditions!$B22,'Rec_raw_catch_effort_2010-2021'!$J:$J,Existing_Conditions!$C22,'Rec_raw_catch_effort_2010-2021'!$B:$B,Existing_Conditions!AJ$4,'Rec_raw_catch_effort_2010-2021'!$E:$E,Existing_Conditions!$AA22)</f>
        <v>0</v>
      </c>
      <c r="AK22" s="17">
        <f>SUMIFS('Rec_raw_catch_effort_2010-2021'!$Q:$Q,'Rec_raw_catch_effort_2010-2021'!$D:$D,Existing_Conditions!$B22,'Rec_raw_catch_effort_2010-2021'!$J:$J,Existing_Conditions!$C22,'Rec_raw_catch_effort_2010-2021'!$B:$B,Existing_Conditions!AK$4,'Rec_raw_catch_effort_2010-2021'!$E:$E,Existing_Conditions!$AA22)</f>
        <v>0</v>
      </c>
      <c r="AL22" s="37">
        <f t="shared" ref="AL22:AL34" si="14">AVERAGE(AB22:AK22)</f>
        <v>0</v>
      </c>
    </row>
    <row r="23" spans="1:38" x14ac:dyDescent="0.35">
      <c r="A23" t="s">
        <v>331</v>
      </c>
      <c r="B23" t="s">
        <v>132</v>
      </c>
      <c r="C23" t="s">
        <v>135</v>
      </c>
      <c r="D23" s="17">
        <f>SUMIFS('Rec_raw_catch_effort_2010-2021'!$Q:$Q,'Rec_raw_catch_effort_2010-2021'!$D:$D,Existing_Conditions!$B23,'Rec_raw_catch_effort_2010-2021'!$J:$J,Existing_Conditions!$C23,'Rec_raw_catch_effort_2010-2021'!$B:$B,Existing_Conditions!D$4)</f>
        <v>4542.9999999999955</v>
      </c>
      <c r="E23" s="17">
        <f>SUMIFS('Rec_raw_catch_effort_2010-2021'!$Q:$Q,'Rec_raw_catch_effort_2010-2021'!$D:$D,Existing_Conditions!$B23,'Rec_raw_catch_effort_2010-2021'!$J:$J,Existing_Conditions!$C23,'Rec_raw_catch_effort_2010-2021'!$B:$B,Existing_Conditions!E$4)</f>
        <v>19304.926908052003</v>
      </c>
      <c r="F23" s="17">
        <f>SUMIFS('Rec_raw_catch_effort_2010-2021'!$Q:$Q,'Rec_raw_catch_effort_2010-2021'!$D:$D,Existing_Conditions!$B23,'Rec_raw_catch_effort_2010-2021'!$J:$J,Existing_Conditions!$C23,'Rec_raw_catch_effort_2010-2021'!$B:$B,Existing_Conditions!F$4)</f>
        <v>9228.0000000000073</v>
      </c>
      <c r="G23" s="17">
        <f>SUMIFS('Rec_raw_catch_effort_2010-2021'!$Q:$Q,'Rec_raw_catch_effort_2010-2021'!$D:$D,Existing_Conditions!$B23,'Rec_raw_catch_effort_2010-2021'!$J:$J,Existing_Conditions!$C23,'Rec_raw_catch_effort_2010-2021'!$B:$B,Existing_Conditions!G$4)</f>
        <v>26506</v>
      </c>
      <c r="H23" s="17">
        <f>SUMIFS('Rec_raw_catch_effort_2010-2021'!$Q:$Q,'Rec_raw_catch_effort_2010-2021'!$D:$D,Existing_Conditions!$B23,'Rec_raw_catch_effort_2010-2021'!$J:$J,Existing_Conditions!$C23,'Rec_raw_catch_effort_2010-2021'!$B:$B,Existing_Conditions!H$4)</f>
        <v>11221.000000000005</v>
      </c>
      <c r="I23" s="17">
        <f>SUMIFS('Rec_raw_catch_effort_2010-2021'!$Q:$Q,'Rec_raw_catch_effort_2010-2021'!$D:$D,Existing_Conditions!$B23,'Rec_raw_catch_effort_2010-2021'!$J:$J,Existing_Conditions!$C23,'Rec_raw_catch_effort_2010-2021'!$B:$B,Existing_Conditions!I$4)</f>
        <v>40107.000000000007</v>
      </c>
      <c r="J23" s="17">
        <f>SUMIFS('Rec_raw_catch_effort_2010-2021'!$Q:$Q,'Rec_raw_catch_effort_2010-2021'!$D:$D,Existing_Conditions!$B23,'Rec_raw_catch_effort_2010-2021'!$J:$J,Existing_Conditions!$C23,'Rec_raw_catch_effort_2010-2021'!$B:$B,Existing_Conditions!J$4)</f>
        <v>6205.0000000000045</v>
      </c>
      <c r="K23" s="17">
        <f>SUMIFS('Rec_raw_catch_effort_2010-2021'!$Q:$Q,'Rec_raw_catch_effort_2010-2021'!$D:$D,Existing_Conditions!$B23,'Rec_raw_catch_effort_2010-2021'!$J:$J,Existing_Conditions!$C23,'Rec_raw_catch_effort_2010-2021'!$B:$B,Existing_Conditions!K$4)</f>
        <v>13055.000000000004</v>
      </c>
      <c r="L23" s="17">
        <f>SUMIFS('Rec_raw_catch_effort_2010-2021'!$Q:$Q,'Rec_raw_catch_effort_2010-2021'!$D:$D,Existing_Conditions!$B23,'Rec_raw_catch_effort_2010-2021'!$J:$J,Existing_Conditions!$C23,'Rec_raw_catch_effort_2010-2021'!$B:$B,Existing_Conditions!L$4)</f>
        <v>13867.000000000004</v>
      </c>
      <c r="M23" s="17">
        <f>SUMIFS('Rec_raw_catch_effort_2010-2021'!$Q:$Q,'Rec_raw_catch_effort_2010-2021'!$D:$D,Existing_Conditions!$B23,'Rec_raw_catch_effort_2010-2021'!$J:$J,Existing_Conditions!$C23,'Rec_raw_catch_effort_2010-2021'!$B:$B,Existing_Conditions!M$4)</f>
        <v>11916.000000000007</v>
      </c>
      <c r="N23" s="37">
        <f t="shared" si="12"/>
        <v>15595.2926908052</v>
      </c>
      <c r="O23" t="s">
        <v>10</v>
      </c>
      <c r="P23" s="17">
        <f>SUMIFS('Rec_raw_catch_effort_2010-2021'!$Q:$Q,'Rec_raw_catch_effort_2010-2021'!$D:$D,Existing_Conditions!$B23,'Rec_raw_catch_effort_2010-2021'!$J:$J,Existing_Conditions!$C23,'Rec_raw_catch_effort_2010-2021'!$B:$B,Existing_Conditions!P$4,'Rec_raw_catch_effort_2010-2021'!$E:$E,Existing_Conditions!$O23)</f>
        <v>4542.9999999999955</v>
      </c>
      <c r="Q23" s="17">
        <f>SUMIFS('Rec_raw_catch_effort_2010-2021'!$Q:$Q,'Rec_raw_catch_effort_2010-2021'!$D:$D,Existing_Conditions!$B23,'Rec_raw_catch_effort_2010-2021'!$J:$J,Existing_Conditions!$C23,'Rec_raw_catch_effort_2010-2021'!$B:$B,Existing_Conditions!Q$4,'Rec_raw_catch_effort_2010-2021'!$E:$E,Existing_Conditions!$O23)</f>
        <v>19304.926908052003</v>
      </c>
      <c r="R23" s="17">
        <f>SUMIFS('Rec_raw_catch_effort_2010-2021'!$Q:$Q,'Rec_raw_catch_effort_2010-2021'!$D:$D,Existing_Conditions!$B23,'Rec_raw_catch_effort_2010-2021'!$J:$J,Existing_Conditions!$C23,'Rec_raw_catch_effort_2010-2021'!$B:$B,Existing_Conditions!R$4,'Rec_raw_catch_effort_2010-2021'!$E:$E,Existing_Conditions!$O23)</f>
        <v>9228.0000000000073</v>
      </c>
      <c r="S23" s="17">
        <f>SUMIFS('Rec_raw_catch_effort_2010-2021'!$Q:$Q,'Rec_raw_catch_effort_2010-2021'!$D:$D,Existing_Conditions!$B23,'Rec_raw_catch_effort_2010-2021'!$J:$J,Existing_Conditions!$C23,'Rec_raw_catch_effort_2010-2021'!$B:$B,Existing_Conditions!S$4,'Rec_raw_catch_effort_2010-2021'!$E:$E,Existing_Conditions!$O23)</f>
        <v>26506</v>
      </c>
      <c r="T23" s="17">
        <f>SUMIFS('Rec_raw_catch_effort_2010-2021'!$Q:$Q,'Rec_raw_catch_effort_2010-2021'!$D:$D,Existing_Conditions!$B23,'Rec_raw_catch_effort_2010-2021'!$J:$J,Existing_Conditions!$C23,'Rec_raw_catch_effort_2010-2021'!$B:$B,Existing_Conditions!T$4,'Rec_raw_catch_effort_2010-2021'!$E:$E,Existing_Conditions!$O23)</f>
        <v>11221.000000000005</v>
      </c>
      <c r="U23" s="17">
        <f>SUMIFS('Rec_raw_catch_effort_2010-2021'!$Q:$Q,'Rec_raw_catch_effort_2010-2021'!$D:$D,Existing_Conditions!$B23,'Rec_raw_catch_effort_2010-2021'!$J:$J,Existing_Conditions!$C23,'Rec_raw_catch_effort_2010-2021'!$B:$B,Existing_Conditions!U$4,'Rec_raw_catch_effort_2010-2021'!$E:$E,Existing_Conditions!$O23)</f>
        <v>40107.000000000007</v>
      </c>
      <c r="V23" s="17">
        <f>SUMIFS('Rec_raw_catch_effort_2010-2021'!$Q:$Q,'Rec_raw_catch_effort_2010-2021'!$D:$D,Existing_Conditions!$B23,'Rec_raw_catch_effort_2010-2021'!$J:$J,Existing_Conditions!$C23,'Rec_raw_catch_effort_2010-2021'!$B:$B,Existing_Conditions!V$4,'Rec_raw_catch_effort_2010-2021'!$E:$E,Existing_Conditions!$O23)</f>
        <v>6205.0000000000045</v>
      </c>
      <c r="W23" s="17">
        <f>SUMIFS('Rec_raw_catch_effort_2010-2021'!$Q:$Q,'Rec_raw_catch_effort_2010-2021'!$D:$D,Existing_Conditions!$B23,'Rec_raw_catch_effort_2010-2021'!$J:$J,Existing_Conditions!$C23,'Rec_raw_catch_effort_2010-2021'!$B:$B,Existing_Conditions!W$4,'Rec_raw_catch_effort_2010-2021'!$E:$E,Existing_Conditions!$O23)</f>
        <v>13055.000000000004</v>
      </c>
      <c r="X23" s="17">
        <f>SUMIFS('Rec_raw_catch_effort_2010-2021'!$Q:$Q,'Rec_raw_catch_effort_2010-2021'!$D:$D,Existing_Conditions!$B23,'Rec_raw_catch_effort_2010-2021'!$J:$J,Existing_Conditions!$C23,'Rec_raw_catch_effort_2010-2021'!$B:$B,Existing_Conditions!X$4,'Rec_raw_catch_effort_2010-2021'!$E:$E,Existing_Conditions!$O23)</f>
        <v>13867.000000000004</v>
      </c>
      <c r="Y23" s="17">
        <f>SUMIFS('Rec_raw_catch_effort_2010-2021'!$Q:$Q,'Rec_raw_catch_effort_2010-2021'!$D:$D,Existing_Conditions!$B23,'Rec_raw_catch_effort_2010-2021'!$J:$J,Existing_Conditions!$C23,'Rec_raw_catch_effort_2010-2021'!$B:$B,Existing_Conditions!Y$4,'Rec_raw_catch_effort_2010-2021'!$E:$E,Existing_Conditions!$O23)</f>
        <v>11916.000000000007</v>
      </c>
      <c r="Z23" s="37">
        <f t="shared" si="13"/>
        <v>15595.2926908052</v>
      </c>
      <c r="AA23" t="s">
        <v>86</v>
      </c>
      <c r="AB23" s="17">
        <f>SUMIFS('Rec_raw_catch_effort_2010-2021'!$Q:$Q,'Rec_raw_catch_effort_2010-2021'!$D:$D,Existing_Conditions!$B23,'Rec_raw_catch_effort_2010-2021'!$J:$J,Existing_Conditions!$C23,'Rec_raw_catch_effort_2010-2021'!$B:$B,Existing_Conditions!AB$4,'Rec_raw_catch_effort_2010-2021'!$E:$E,Existing_Conditions!$AA23)</f>
        <v>0</v>
      </c>
      <c r="AC23" s="17">
        <f>SUMIFS('Rec_raw_catch_effort_2010-2021'!$Q:$Q,'Rec_raw_catch_effort_2010-2021'!$D:$D,Existing_Conditions!$B23,'Rec_raw_catch_effort_2010-2021'!$J:$J,Existing_Conditions!$C23,'Rec_raw_catch_effort_2010-2021'!$B:$B,Existing_Conditions!AC$4,'Rec_raw_catch_effort_2010-2021'!$E:$E,Existing_Conditions!$AA23)</f>
        <v>0</v>
      </c>
      <c r="AD23" s="17">
        <f>SUMIFS('Rec_raw_catch_effort_2010-2021'!$Q:$Q,'Rec_raw_catch_effort_2010-2021'!$D:$D,Existing_Conditions!$B23,'Rec_raw_catch_effort_2010-2021'!$J:$J,Existing_Conditions!$C23,'Rec_raw_catch_effort_2010-2021'!$B:$B,Existing_Conditions!AD$4,'Rec_raw_catch_effort_2010-2021'!$E:$E,Existing_Conditions!$AA23)</f>
        <v>0</v>
      </c>
      <c r="AE23" s="17">
        <f>SUMIFS('Rec_raw_catch_effort_2010-2021'!$Q:$Q,'Rec_raw_catch_effort_2010-2021'!$D:$D,Existing_Conditions!$B23,'Rec_raw_catch_effort_2010-2021'!$J:$J,Existing_Conditions!$C23,'Rec_raw_catch_effort_2010-2021'!$B:$B,Existing_Conditions!AE$4,'Rec_raw_catch_effort_2010-2021'!$E:$E,Existing_Conditions!$AA23)</f>
        <v>0</v>
      </c>
      <c r="AF23" s="17">
        <f>SUMIFS('Rec_raw_catch_effort_2010-2021'!$Q:$Q,'Rec_raw_catch_effort_2010-2021'!$D:$D,Existing_Conditions!$B23,'Rec_raw_catch_effort_2010-2021'!$J:$J,Existing_Conditions!$C23,'Rec_raw_catch_effort_2010-2021'!$B:$B,Existing_Conditions!AF$4,'Rec_raw_catch_effort_2010-2021'!$E:$E,Existing_Conditions!$AA23)</f>
        <v>0</v>
      </c>
      <c r="AG23" s="17">
        <f>SUMIFS('Rec_raw_catch_effort_2010-2021'!$Q:$Q,'Rec_raw_catch_effort_2010-2021'!$D:$D,Existing_Conditions!$B23,'Rec_raw_catch_effort_2010-2021'!$J:$J,Existing_Conditions!$C23,'Rec_raw_catch_effort_2010-2021'!$B:$B,Existing_Conditions!AG$4,'Rec_raw_catch_effort_2010-2021'!$E:$E,Existing_Conditions!$AA23)</f>
        <v>0</v>
      </c>
      <c r="AH23" s="17">
        <f>SUMIFS('Rec_raw_catch_effort_2010-2021'!$Q:$Q,'Rec_raw_catch_effort_2010-2021'!$D:$D,Existing_Conditions!$B23,'Rec_raw_catch_effort_2010-2021'!$J:$J,Existing_Conditions!$C23,'Rec_raw_catch_effort_2010-2021'!$B:$B,Existing_Conditions!AH$4,'Rec_raw_catch_effort_2010-2021'!$E:$E,Existing_Conditions!$AA23)</f>
        <v>0</v>
      </c>
      <c r="AI23" s="17">
        <f>SUMIFS('Rec_raw_catch_effort_2010-2021'!$Q:$Q,'Rec_raw_catch_effort_2010-2021'!$D:$D,Existing_Conditions!$B23,'Rec_raw_catch_effort_2010-2021'!$J:$J,Existing_Conditions!$C23,'Rec_raw_catch_effort_2010-2021'!$B:$B,Existing_Conditions!AI$4,'Rec_raw_catch_effort_2010-2021'!$E:$E,Existing_Conditions!$AA23)</f>
        <v>0</v>
      </c>
      <c r="AJ23" s="17">
        <f>SUMIFS('Rec_raw_catch_effort_2010-2021'!$Q:$Q,'Rec_raw_catch_effort_2010-2021'!$D:$D,Existing_Conditions!$B23,'Rec_raw_catch_effort_2010-2021'!$J:$J,Existing_Conditions!$C23,'Rec_raw_catch_effort_2010-2021'!$B:$B,Existing_Conditions!AJ$4,'Rec_raw_catch_effort_2010-2021'!$E:$E,Existing_Conditions!$AA23)</f>
        <v>0</v>
      </c>
      <c r="AK23" s="17">
        <f>SUMIFS('Rec_raw_catch_effort_2010-2021'!$Q:$Q,'Rec_raw_catch_effort_2010-2021'!$D:$D,Existing_Conditions!$B23,'Rec_raw_catch_effort_2010-2021'!$J:$J,Existing_Conditions!$C23,'Rec_raw_catch_effort_2010-2021'!$B:$B,Existing_Conditions!AK$4,'Rec_raw_catch_effort_2010-2021'!$E:$E,Existing_Conditions!$AA23)</f>
        <v>0</v>
      </c>
      <c r="AL23" s="37">
        <f t="shared" si="14"/>
        <v>0</v>
      </c>
    </row>
    <row r="24" spans="1:38" x14ac:dyDescent="0.35">
      <c r="A24" t="s">
        <v>331</v>
      </c>
      <c r="B24" t="s">
        <v>132</v>
      </c>
      <c r="C24" t="s">
        <v>137</v>
      </c>
      <c r="D24" s="17">
        <f>SUMIFS('Rec_raw_catch_effort_2010-2021'!$Q:$Q,'Rec_raw_catch_effort_2010-2021'!$D:$D,Existing_Conditions!$B24,'Rec_raw_catch_effort_2010-2021'!$J:$J,Existing_Conditions!$C24,'Rec_raw_catch_effort_2010-2021'!$B:$B,Existing_Conditions!D$4)</f>
        <v>9092.9999999999945</v>
      </c>
      <c r="E24" s="17">
        <f>SUMIFS('Rec_raw_catch_effort_2010-2021'!$Q:$Q,'Rec_raw_catch_effort_2010-2021'!$D:$D,Existing_Conditions!$B24,'Rec_raw_catch_effort_2010-2021'!$J:$J,Existing_Conditions!$C24,'Rec_raw_catch_effort_2010-2021'!$B:$B,Existing_Conditions!E$4)</f>
        <v>72723.708774438855</v>
      </c>
      <c r="F24" s="17">
        <f>SUMIFS('Rec_raw_catch_effort_2010-2021'!$Q:$Q,'Rec_raw_catch_effort_2010-2021'!$D:$D,Existing_Conditions!$B24,'Rec_raw_catch_effort_2010-2021'!$J:$J,Existing_Conditions!$C24,'Rec_raw_catch_effort_2010-2021'!$B:$B,Existing_Conditions!F$4)</f>
        <v>70215.000000000073</v>
      </c>
      <c r="G24" s="17">
        <f>SUMIFS('Rec_raw_catch_effort_2010-2021'!$Q:$Q,'Rec_raw_catch_effort_2010-2021'!$D:$D,Existing_Conditions!$B24,'Rec_raw_catch_effort_2010-2021'!$J:$J,Existing_Conditions!$C24,'Rec_raw_catch_effort_2010-2021'!$B:$B,Existing_Conditions!G$4)</f>
        <v>122075.9999999999</v>
      </c>
      <c r="H24" s="17">
        <f>SUMIFS('Rec_raw_catch_effort_2010-2021'!$Q:$Q,'Rec_raw_catch_effort_2010-2021'!$D:$D,Existing_Conditions!$B24,'Rec_raw_catch_effort_2010-2021'!$J:$J,Existing_Conditions!$C24,'Rec_raw_catch_effort_2010-2021'!$B:$B,Existing_Conditions!H$4)</f>
        <v>49934.000000000015</v>
      </c>
      <c r="I24" s="17">
        <f>SUMIFS('Rec_raw_catch_effort_2010-2021'!$Q:$Q,'Rec_raw_catch_effort_2010-2021'!$D:$D,Existing_Conditions!$B24,'Rec_raw_catch_effort_2010-2021'!$J:$J,Existing_Conditions!$C24,'Rec_raw_catch_effort_2010-2021'!$B:$B,Existing_Conditions!I$4)</f>
        <v>166342.99999999994</v>
      </c>
      <c r="J24" s="17">
        <f>SUMIFS('Rec_raw_catch_effort_2010-2021'!$Q:$Q,'Rec_raw_catch_effort_2010-2021'!$D:$D,Existing_Conditions!$B24,'Rec_raw_catch_effort_2010-2021'!$J:$J,Existing_Conditions!$C24,'Rec_raw_catch_effort_2010-2021'!$B:$B,Existing_Conditions!J$4)</f>
        <v>7428.8655208333294</v>
      </c>
      <c r="K24" s="17">
        <f>SUMIFS('Rec_raw_catch_effort_2010-2021'!$Q:$Q,'Rec_raw_catch_effort_2010-2021'!$D:$D,Existing_Conditions!$B24,'Rec_raw_catch_effort_2010-2021'!$J:$J,Existing_Conditions!$C24,'Rec_raw_catch_effort_2010-2021'!$B:$B,Existing_Conditions!K$4)</f>
        <v>16449.000000000011</v>
      </c>
      <c r="L24" s="17">
        <f>SUMIFS('Rec_raw_catch_effort_2010-2021'!$Q:$Q,'Rec_raw_catch_effort_2010-2021'!$D:$D,Existing_Conditions!$B24,'Rec_raw_catch_effort_2010-2021'!$J:$J,Existing_Conditions!$C24,'Rec_raw_catch_effort_2010-2021'!$B:$B,Existing_Conditions!L$4)</f>
        <v>29293.999999999996</v>
      </c>
      <c r="M24" s="17">
        <f>SUMIFS('Rec_raw_catch_effort_2010-2021'!$Q:$Q,'Rec_raw_catch_effort_2010-2021'!$D:$D,Existing_Conditions!$B24,'Rec_raw_catch_effort_2010-2021'!$J:$J,Existing_Conditions!$C24,'Rec_raw_catch_effort_2010-2021'!$B:$B,Existing_Conditions!M$4)</f>
        <v>46569.000000000036</v>
      </c>
      <c r="N24" s="37">
        <f t="shared" si="12"/>
        <v>59012.557429527209</v>
      </c>
      <c r="O24" t="s">
        <v>10</v>
      </c>
      <c r="P24" s="17">
        <f>SUMIFS('Rec_raw_catch_effort_2010-2021'!$Q:$Q,'Rec_raw_catch_effort_2010-2021'!$D:$D,Existing_Conditions!$B24,'Rec_raw_catch_effort_2010-2021'!$J:$J,Existing_Conditions!$C24,'Rec_raw_catch_effort_2010-2021'!$B:$B,Existing_Conditions!P$4,'Rec_raw_catch_effort_2010-2021'!$E:$E,Existing_Conditions!$O24)</f>
        <v>8979.9999999999945</v>
      </c>
      <c r="Q24" s="17">
        <f>SUMIFS('Rec_raw_catch_effort_2010-2021'!$Q:$Q,'Rec_raw_catch_effort_2010-2021'!$D:$D,Existing_Conditions!$B24,'Rec_raw_catch_effort_2010-2021'!$J:$J,Existing_Conditions!$C24,'Rec_raw_catch_effort_2010-2021'!$B:$B,Existing_Conditions!Q$4,'Rec_raw_catch_effort_2010-2021'!$E:$E,Existing_Conditions!$O24)</f>
        <v>72547.708774438841</v>
      </c>
      <c r="R24" s="17">
        <f>SUMIFS('Rec_raw_catch_effort_2010-2021'!$Q:$Q,'Rec_raw_catch_effort_2010-2021'!$D:$D,Existing_Conditions!$B24,'Rec_raw_catch_effort_2010-2021'!$J:$J,Existing_Conditions!$C24,'Rec_raw_catch_effort_2010-2021'!$B:$B,Existing_Conditions!R$4,'Rec_raw_catch_effort_2010-2021'!$E:$E,Existing_Conditions!$O24)</f>
        <v>70113.000000000073</v>
      </c>
      <c r="S24" s="17">
        <f>SUMIFS('Rec_raw_catch_effort_2010-2021'!$Q:$Q,'Rec_raw_catch_effort_2010-2021'!$D:$D,Existing_Conditions!$B24,'Rec_raw_catch_effort_2010-2021'!$J:$J,Existing_Conditions!$C24,'Rec_raw_catch_effort_2010-2021'!$B:$B,Existing_Conditions!S$4,'Rec_raw_catch_effort_2010-2021'!$E:$E,Existing_Conditions!$O24)</f>
        <v>122033.9999999999</v>
      </c>
      <c r="T24" s="17">
        <f>SUMIFS('Rec_raw_catch_effort_2010-2021'!$Q:$Q,'Rec_raw_catch_effort_2010-2021'!$D:$D,Existing_Conditions!$B24,'Rec_raw_catch_effort_2010-2021'!$J:$J,Existing_Conditions!$C24,'Rec_raw_catch_effort_2010-2021'!$B:$B,Existing_Conditions!T$4,'Rec_raw_catch_effort_2010-2021'!$E:$E,Existing_Conditions!$O24)</f>
        <v>49915.000000000007</v>
      </c>
      <c r="U24" s="17">
        <f>SUMIFS('Rec_raw_catch_effort_2010-2021'!$Q:$Q,'Rec_raw_catch_effort_2010-2021'!$D:$D,Existing_Conditions!$B24,'Rec_raw_catch_effort_2010-2021'!$J:$J,Existing_Conditions!$C24,'Rec_raw_catch_effort_2010-2021'!$B:$B,Existing_Conditions!U$4,'Rec_raw_catch_effort_2010-2021'!$E:$E,Existing_Conditions!$O24)</f>
        <v>166129.99999999994</v>
      </c>
      <c r="V24" s="17">
        <f>SUMIFS('Rec_raw_catch_effort_2010-2021'!$Q:$Q,'Rec_raw_catch_effort_2010-2021'!$D:$D,Existing_Conditions!$B24,'Rec_raw_catch_effort_2010-2021'!$J:$J,Existing_Conditions!$C24,'Rec_raw_catch_effort_2010-2021'!$B:$B,Existing_Conditions!V$4,'Rec_raw_catch_effort_2010-2021'!$E:$E,Existing_Conditions!$O24)</f>
        <v>7413.8655208333294</v>
      </c>
      <c r="W24" s="17">
        <f>SUMIFS('Rec_raw_catch_effort_2010-2021'!$Q:$Q,'Rec_raw_catch_effort_2010-2021'!$D:$D,Existing_Conditions!$B24,'Rec_raw_catch_effort_2010-2021'!$J:$J,Existing_Conditions!$C24,'Rec_raw_catch_effort_2010-2021'!$B:$B,Existing_Conditions!W$4,'Rec_raw_catch_effort_2010-2021'!$E:$E,Existing_Conditions!$O24)</f>
        <v>16299.000000000011</v>
      </c>
      <c r="X24" s="17">
        <f>SUMIFS('Rec_raw_catch_effort_2010-2021'!$Q:$Q,'Rec_raw_catch_effort_2010-2021'!$D:$D,Existing_Conditions!$B24,'Rec_raw_catch_effort_2010-2021'!$J:$J,Existing_Conditions!$C24,'Rec_raw_catch_effort_2010-2021'!$B:$B,Existing_Conditions!X$4,'Rec_raw_catch_effort_2010-2021'!$E:$E,Existing_Conditions!$O24)</f>
        <v>29209.999999999996</v>
      </c>
      <c r="Y24" s="17">
        <f>SUMIFS('Rec_raw_catch_effort_2010-2021'!$Q:$Q,'Rec_raw_catch_effort_2010-2021'!$D:$D,Existing_Conditions!$B24,'Rec_raw_catch_effort_2010-2021'!$J:$J,Existing_Conditions!$C24,'Rec_raw_catch_effort_2010-2021'!$B:$B,Existing_Conditions!Y$4,'Rec_raw_catch_effort_2010-2021'!$E:$E,Existing_Conditions!$O24)</f>
        <v>46505.000000000036</v>
      </c>
      <c r="Z24" s="37">
        <f t="shared" si="13"/>
        <v>58914.757429527213</v>
      </c>
      <c r="AA24" t="s">
        <v>86</v>
      </c>
      <c r="AB24" s="17">
        <f>SUMIFS('Rec_raw_catch_effort_2010-2021'!$Q:$Q,'Rec_raw_catch_effort_2010-2021'!$D:$D,Existing_Conditions!$B24,'Rec_raw_catch_effort_2010-2021'!$J:$J,Existing_Conditions!$C24,'Rec_raw_catch_effort_2010-2021'!$B:$B,Existing_Conditions!AB$4,'Rec_raw_catch_effort_2010-2021'!$E:$E,Existing_Conditions!$AA24)</f>
        <v>113.00000000000011</v>
      </c>
      <c r="AC24" s="17">
        <f>SUMIFS('Rec_raw_catch_effort_2010-2021'!$Q:$Q,'Rec_raw_catch_effort_2010-2021'!$D:$D,Existing_Conditions!$B24,'Rec_raw_catch_effort_2010-2021'!$J:$J,Existing_Conditions!$C24,'Rec_raw_catch_effort_2010-2021'!$B:$B,Existing_Conditions!AC$4,'Rec_raw_catch_effort_2010-2021'!$E:$E,Existing_Conditions!$AA24)</f>
        <v>176</v>
      </c>
      <c r="AD24" s="17">
        <f>SUMIFS('Rec_raw_catch_effort_2010-2021'!$Q:$Q,'Rec_raw_catch_effort_2010-2021'!$D:$D,Existing_Conditions!$B24,'Rec_raw_catch_effort_2010-2021'!$J:$J,Existing_Conditions!$C24,'Rec_raw_catch_effort_2010-2021'!$B:$B,Existing_Conditions!AD$4,'Rec_raw_catch_effort_2010-2021'!$E:$E,Existing_Conditions!$AA24)</f>
        <v>102.00000000000004</v>
      </c>
      <c r="AE24" s="17">
        <f>SUMIFS('Rec_raw_catch_effort_2010-2021'!$Q:$Q,'Rec_raw_catch_effort_2010-2021'!$D:$D,Existing_Conditions!$B24,'Rec_raw_catch_effort_2010-2021'!$J:$J,Existing_Conditions!$C24,'Rec_raw_catch_effort_2010-2021'!$B:$B,Existing_Conditions!AE$4,'Rec_raw_catch_effort_2010-2021'!$E:$E,Existing_Conditions!$AA24)</f>
        <v>42.000000000000057</v>
      </c>
      <c r="AF24" s="17">
        <f>SUMIFS('Rec_raw_catch_effort_2010-2021'!$Q:$Q,'Rec_raw_catch_effort_2010-2021'!$D:$D,Existing_Conditions!$B24,'Rec_raw_catch_effort_2010-2021'!$J:$J,Existing_Conditions!$C24,'Rec_raw_catch_effort_2010-2021'!$B:$B,Existing_Conditions!AF$4,'Rec_raw_catch_effort_2010-2021'!$E:$E,Existing_Conditions!$AA24)</f>
        <v>19.000000000000011</v>
      </c>
      <c r="AG24" s="17">
        <f>SUMIFS('Rec_raw_catch_effort_2010-2021'!$Q:$Q,'Rec_raw_catch_effort_2010-2021'!$D:$D,Existing_Conditions!$B24,'Rec_raw_catch_effort_2010-2021'!$J:$J,Existing_Conditions!$C24,'Rec_raw_catch_effort_2010-2021'!$B:$B,Existing_Conditions!AG$4,'Rec_raw_catch_effort_2010-2021'!$E:$E,Existing_Conditions!$AA24)</f>
        <v>213</v>
      </c>
      <c r="AH24" s="17">
        <f>SUMIFS('Rec_raw_catch_effort_2010-2021'!$Q:$Q,'Rec_raw_catch_effort_2010-2021'!$D:$D,Existing_Conditions!$B24,'Rec_raw_catch_effort_2010-2021'!$J:$J,Existing_Conditions!$C24,'Rec_raw_catch_effort_2010-2021'!$B:$B,Existing_Conditions!AH$4,'Rec_raw_catch_effort_2010-2021'!$E:$E,Existing_Conditions!$AA24)</f>
        <v>15</v>
      </c>
      <c r="AI24" s="17">
        <f>SUMIFS('Rec_raw_catch_effort_2010-2021'!$Q:$Q,'Rec_raw_catch_effort_2010-2021'!$D:$D,Existing_Conditions!$B24,'Rec_raw_catch_effort_2010-2021'!$J:$J,Existing_Conditions!$C24,'Rec_raw_catch_effort_2010-2021'!$B:$B,Existing_Conditions!AI$4,'Rec_raw_catch_effort_2010-2021'!$E:$E,Existing_Conditions!$AA24)</f>
        <v>149.99999999999997</v>
      </c>
      <c r="AJ24" s="17">
        <f>SUMIFS('Rec_raw_catch_effort_2010-2021'!$Q:$Q,'Rec_raw_catch_effort_2010-2021'!$D:$D,Existing_Conditions!$B24,'Rec_raw_catch_effort_2010-2021'!$J:$J,Existing_Conditions!$C24,'Rec_raw_catch_effort_2010-2021'!$B:$B,Existing_Conditions!AJ$4,'Rec_raw_catch_effort_2010-2021'!$E:$E,Existing_Conditions!$AA24)</f>
        <v>84</v>
      </c>
      <c r="AK24" s="17">
        <f>SUMIFS('Rec_raw_catch_effort_2010-2021'!$Q:$Q,'Rec_raw_catch_effort_2010-2021'!$D:$D,Existing_Conditions!$B24,'Rec_raw_catch_effort_2010-2021'!$J:$J,Existing_Conditions!$C24,'Rec_raw_catch_effort_2010-2021'!$B:$B,Existing_Conditions!AK$4,'Rec_raw_catch_effort_2010-2021'!$E:$E,Existing_Conditions!$AA24)</f>
        <v>64</v>
      </c>
      <c r="AL24" s="37">
        <f t="shared" si="14"/>
        <v>97.800000000000026</v>
      </c>
    </row>
    <row r="25" spans="1:38" x14ac:dyDescent="0.35">
      <c r="A25" t="s">
        <v>331</v>
      </c>
      <c r="B25" t="s">
        <v>132</v>
      </c>
      <c r="C25" t="s">
        <v>139</v>
      </c>
      <c r="D25" s="17">
        <f>SUMIFS('Rec_raw_catch_effort_2010-2021'!$Q:$Q,'Rec_raw_catch_effort_2010-2021'!$D:$D,Existing_Conditions!$B25,'Rec_raw_catch_effort_2010-2021'!$J:$J,Existing_Conditions!$C25,'Rec_raw_catch_effort_2010-2021'!$B:$B,Existing_Conditions!D$4)</f>
        <v>12195.000000000002</v>
      </c>
      <c r="E25" s="17">
        <f>SUMIFS('Rec_raw_catch_effort_2010-2021'!$Q:$Q,'Rec_raw_catch_effort_2010-2021'!$D:$D,Existing_Conditions!$B25,'Rec_raw_catch_effort_2010-2021'!$J:$J,Existing_Conditions!$C25,'Rec_raw_catch_effort_2010-2021'!$B:$B,Existing_Conditions!E$4)</f>
        <v>49805.644037090162</v>
      </c>
      <c r="F25" s="17">
        <f>SUMIFS('Rec_raw_catch_effort_2010-2021'!$Q:$Q,'Rec_raw_catch_effort_2010-2021'!$D:$D,Existing_Conditions!$B25,'Rec_raw_catch_effort_2010-2021'!$J:$J,Existing_Conditions!$C25,'Rec_raw_catch_effort_2010-2021'!$B:$B,Existing_Conditions!F$4)</f>
        <v>40231.999999999978</v>
      </c>
      <c r="G25" s="17">
        <f>SUMIFS('Rec_raw_catch_effort_2010-2021'!$Q:$Q,'Rec_raw_catch_effort_2010-2021'!$D:$D,Existing_Conditions!$B25,'Rec_raw_catch_effort_2010-2021'!$J:$J,Existing_Conditions!$C25,'Rec_raw_catch_effort_2010-2021'!$B:$B,Existing_Conditions!G$4)</f>
        <v>49838.999999999993</v>
      </c>
      <c r="H25" s="17">
        <f>SUMIFS('Rec_raw_catch_effort_2010-2021'!$Q:$Q,'Rec_raw_catch_effort_2010-2021'!$D:$D,Existing_Conditions!$B25,'Rec_raw_catch_effort_2010-2021'!$J:$J,Existing_Conditions!$C25,'Rec_raw_catch_effort_2010-2021'!$B:$B,Existing_Conditions!H$4)</f>
        <v>20588.999999999993</v>
      </c>
      <c r="I25" s="17">
        <f>SUMIFS('Rec_raw_catch_effort_2010-2021'!$Q:$Q,'Rec_raw_catch_effort_2010-2021'!$D:$D,Existing_Conditions!$B25,'Rec_raw_catch_effort_2010-2021'!$J:$J,Existing_Conditions!$C25,'Rec_raw_catch_effort_2010-2021'!$B:$B,Existing_Conditions!I$4)</f>
        <v>46437.000000000007</v>
      </c>
      <c r="J25" s="17">
        <f>SUMIFS('Rec_raw_catch_effort_2010-2021'!$Q:$Q,'Rec_raw_catch_effort_2010-2021'!$D:$D,Existing_Conditions!$B25,'Rec_raw_catch_effort_2010-2021'!$J:$J,Existing_Conditions!$C25,'Rec_raw_catch_effort_2010-2021'!$B:$B,Existing_Conditions!J$4)</f>
        <v>6498.9510994513475</v>
      </c>
      <c r="K25" s="17">
        <f>SUMIFS('Rec_raw_catch_effort_2010-2021'!$Q:$Q,'Rec_raw_catch_effort_2010-2021'!$D:$D,Existing_Conditions!$B25,'Rec_raw_catch_effort_2010-2021'!$J:$J,Existing_Conditions!$C25,'Rec_raw_catch_effort_2010-2021'!$B:$B,Existing_Conditions!K$4)</f>
        <v>40047.999999999978</v>
      </c>
      <c r="L25" s="17">
        <f>SUMIFS('Rec_raw_catch_effort_2010-2021'!$Q:$Q,'Rec_raw_catch_effort_2010-2021'!$D:$D,Existing_Conditions!$B25,'Rec_raw_catch_effort_2010-2021'!$J:$J,Existing_Conditions!$C25,'Rec_raw_catch_effort_2010-2021'!$B:$B,Existing_Conditions!L$4)</f>
        <v>49605.000000000051</v>
      </c>
      <c r="M25" s="17">
        <f>SUMIFS('Rec_raw_catch_effort_2010-2021'!$Q:$Q,'Rec_raw_catch_effort_2010-2021'!$D:$D,Existing_Conditions!$B25,'Rec_raw_catch_effort_2010-2021'!$J:$J,Existing_Conditions!$C25,'Rec_raw_catch_effort_2010-2021'!$B:$B,Existing_Conditions!M$4)</f>
        <v>51815.000000000007</v>
      </c>
      <c r="N25" s="37">
        <f t="shared" si="12"/>
        <v>36706.459513654154</v>
      </c>
      <c r="O25" t="s">
        <v>10</v>
      </c>
      <c r="P25" s="17">
        <f>SUMIFS('Rec_raw_catch_effort_2010-2021'!$Q:$Q,'Rec_raw_catch_effort_2010-2021'!$D:$D,Existing_Conditions!$B25,'Rec_raw_catch_effort_2010-2021'!$J:$J,Existing_Conditions!$C25,'Rec_raw_catch_effort_2010-2021'!$B:$B,Existing_Conditions!P$4,'Rec_raw_catch_effort_2010-2021'!$E:$E,Existing_Conditions!$O25)</f>
        <v>12195.000000000002</v>
      </c>
      <c r="Q25" s="17">
        <f>SUMIFS('Rec_raw_catch_effort_2010-2021'!$Q:$Q,'Rec_raw_catch_effort_2010-2021'!$D:$D,Existing_Conditions!$B25,'Rec_raw_catch_effort_2010-2021'!$J:$J,Existing_Conditions!$C25,'Rec_raw_catch_effort_2010-2021'!$B:$B,Existing_Conditions!Q$4,'Rec_raw_catch_effort_2010-2021'!$E:$E,Existing_Conditions!$O25)</f>
        <v>49805.644037090162</v>
      </c>
      <c r="R25" s="17">
        <f>SUMIFS('Rec_raw_catch_effort_2010-2021'!$Q:$Q,'Rec_raw_catch_effort_2010-2021'!$D:$D,Existing_Conditions!$B25,'Rec_raw_catch_effort_2010-2021'!$J:$J,Existing_Conditions!$C25,'Rec_raw_catch_effort_2010-2021'!$B:$B,Existing_Conditions!R$4,'Rec_raw_catch_effort_2010-2021'!$E:$E,Existing_Conditions!$O25)</f>
        <v>40231.999999999978</v>
      </c>
      <c r="S25" s="17">
        <f>SUMIFS('Rec_raw_catch_effort_2010-2021'!$Q:$Q,'Rec_raw_catch_effort_2010-2021'!$D:$D,Existing_Conditions!$B25,'Rec_raw_catch_effort_2010-2021'!$J:$J,Existing_Conditions!$C25,'Rec_raw_catch_effort_2010-2021'!$B:$B,Existing_Conditions!S$4,'Rec_raw_catch_effort_2010-2021'!$E:$E,Existing_Conditions!$O25)</f>
        <v>49838.999999999993</v>
      </c>
      <c r="T25" s="17">
        <f>SUMIFS('Rec_raw_catch_effort_2010-2021'!$Q:$Q,'Rec_raw_catch_effort_2010-2021'!$D:$D,Existing_Conditions!$B25,'Rec_raw_catch_effort_2010-2021'!$J:$J,Existing_Conditions!$C25,'Rec_raw_catch_effort_2010-2021'!$B:$B,Existing_Conditions!T$4,'Rec_raw_catch_effort_2010-2021'!$E:$E,Existing_Conditions!$O25)</f>
        <v>20588.999999999993</v>
      </c>
      <c r="U25" s="17">
        <f>SUMIFS('Rec_raw_catch_effort_2010-2021'!$Q:$Q,'Rec_raw_catch_effort_2010-2021'!$D:$D,Existing_Conditions!$B25,'Rec_raw_catch_effort_2010-2021'!$J:$J,Existing_Conditions!$C25,'Rec_raw_catch_effort_2010-2021'!$B:$B,Existing_Conditions!U$4,'Rec_raw_catch_effort_2010-2021'!$E:$E,Existing_Conditions!$O25)</f>
        <v>46437.000000000007</v>
      </c>
      <c r="V25" s="17">
        <f>SUMIFS('Rec_raw_catch_effort_2010-2021'!$Q:$Q,'Rec_raw_catch_effort_2010-2021'!$D:$D,Existing_Conditions!$B25,'Rec_raw_catch_effort_2010-2021'!$J:$J,Existing_Conditions!$C25,'Rec_raw_catch_effort_2010-2021'!$B:$B,Existing_Conditions!V$4,'Rec_raw_catch_effort_2010-2021'!$E:$E,Existing_Conditions!$O25)</f>
        <v>6498.9510994513475</v>
      </c>
      <c r="W25" s="17">
        <f>SUMIFS('Rec_raw_catch_effort_2010-2021'!$Q:$Q,'Rec_raw_catch_effort_2010-2021'!$D:$D,Existing_Conditions!$B25,'Rec_raw_catch_effort_2010-2021'!$J:$J,Existing_Conditions!$C25,'Rec_raw_catch_effort_2010-2021'!$B:$B,Existing_Conditions!W$4,'Rec_raw_catch_effort_2010-2021'!$E:$E,Existing_Conditions!$O25)</f>
        <v>40047.999999999978</v>
      </c>
      <c r="X25" s="17">
        <f>SUMIFS('Rec_raw_catch_effort_2010-2021'!$Q:$Q,'Rec_raw_catch_effort_2010-2021'!$D:$D,Existing_Conditions!$B25,'Rec_raw_catch_effort_2010-2021'!$J:$J,Existing_Conditions!$C25,'Rec_raw_catch_effort_2010-2021'!$B:$B,Existing_Conditions!X$4,'Rec_raw_catch_effort_2010-2021'!$E:$E,Existing_Conditions!$O25)</f>
        <v>49605.000000000051</v>
      </c>
      <c r="Y25" s="17">
        <f>SUMIFS('Rec_raw_catch_effort_2010-2021'!$Q:$Q,'Rec_raw_catch_effort_2010-2021'!$D:$D,Existing_Conditions!$B25,'Rec_raw_catch_effort_2010-2021'!$J:$J,Existing_Conditions!$C25,'Rec_raw_catch_effort_2010-2021'!$B:$B,Existing_Conditions!Y$4,'Rec_raw_catch_effort_2010-2021'!$E:$E,Existing_Conditions!$O25)</f>
        <v>51815.000000000007</v>
      </c>
      <c r="Z25" s="37">
        <f t="shared" si="13"/>
        <v>36706.459513654154</v>
      </c>
      <c r="AA25" t="s">
        <v>86</v>
      </c>
      <c r="AB25" s="17">
        <f>SUMIFS('Rec_raw_catch_effort_2010-2021'!$Q:$Q,'Rec_raw_catch_effort_2010-2021'!$D:$D,Existing_Conditions!$B25,'Rec_raw_catch_effort_2010-2021'!$J:$J,Existing_Conditions!$C25,'Rec_raw_catch_effort_2010-2021'!$B:$B,Existing_Conditions!AB$4,'Rec_raw_catch_effort_2010-2021'!$E:$E,Existing_Conditions!$AA25)</f>
        <v>0</v>
      </c>
      <c r="AC25" s="17">
        <f>SUMIFS('Rec_raw_catch_effort_2010-2021'!$Q:$Q,'Rec_raw_catch_effort_2010-2021'!$D:$D,Existing_Conditions!$B25,'Rec_raw_catch_effort_2010-2021'!$J:$J,Existing_Conditions!$C25,'Rec_raw_catch_effort_2010-2021'!$B:$B,Existing_Conditions!AC$4,'Rec_raw_catch_effort_2010-2021'!$E:$E,Existing_Conditions!$AA25)</f>
        <v>0</v>
      </c>
      <c r="AD25" s="17">
        <f>SUMIFS('Rec_raw_catch_effort_2010-2021'!$Q:$Q,'Rec_raw_catch_effort_2010-2021'!$D:$D,Existing_Conditions!$B25,'Rec_raw_catch_effort_2010-2021'!$J:$J,Existing_Conditions!$C25,'Rec_raw_catch_effort_2010-2021'!$B:$B,Existing_Conditions!AD$4,'Rec_raw_catch_effort_2010-2021'!$E:$E,Existing_Conditions!$AA25)</f>
        <v>0</v>
      </c>
      <c r="AE25" s="17">
        <f>SUMIFS('Rec_raw_catch_effort_2010-2021'!$Q:$Q,'Rec_raw_catch_effort_2010-2021'!$D:$D,Existing_Conditions!$B25,'Rec_raw_catch_effort_2010-2021'!$J:$J,Existing_Conditions!$C25,'Rec_raw_catch_effort_2010-2021'!$B:$B,Existing_Conditions!AE$4,'Rec_raw_catch_effort_2010-2021'!$E:$E,Existing_Conditions!$AA25)</f>
        <v>0</v>
      </c>
      <c r="AF25" s="17">
        <f>SUMIFS('Rec_raw_catch_effort_2010-2021'!$Q:$Q,'Rec_raw_catch_effort_2010-2021'!$D:$D,Existing_Conditions!$B25,'Rec_raw_catch_effort_2010-2021'!$J:$J,Existing_Conditions!$C25,'Rec_raw_catch_effort_2010-2021'!$B:$B,Existing_Conditions!AF$4,'Rec_raw_catch_effort_2010-2021'!$E:$E,Existing_Conditions!$AA25)</f>
        <v>0</v>
      </c>
      <c r="AG25" s="17">
        <f>SUMIFS('Rec_raw_catch_effort_2010-2021'!$Q:$Q,'Rec_raw_catch_effort_2010-2021'!$D:$D,Existing_Conditions!$B25,'Rec_raw_catch_effort_2010-2021'!$J:$J,Existing_Conditions!$C25,'Rec_raw_catch_effort_2010-2021'!$B:$B,Existing_Conditions!AG$4,'Rec_raw_catch_effort_2010-2021'!$E:$E,Existing_Conditions!$AA25)</f>
        <v>0</v>
      </c>
      <c r="AH25" s="17">
        <f>SUMIFS('Rec_raw_catch_effort_2010-2021'!$Q:$Q,'Rec_raw_catch_effort_2010-2021'!$D:$D,Existing_Conditions!$B25,'Rec_raw_catch_effort_2010-2021'!$J:$J,Existing_Conditions!$C25,'Rec_raw_catch_effort_2010-2021'!$B:$B,Existing_Conditions!AH$4,'Rec_raw_catch_effort_2010-2021'!$E:$E,Existing_Conditions!$AA25)</f>
        <v>0</v>
      </c>
      <c r="AI25" s="17">
        <f>SUMIFS('Rec_raw_catch_effort_2010-2021'!$Q:$Q,'Rec_raw_catch_effort_2010-2021'!$D:$D,Existing_Conditions!$B25,'Rec_raw_catch_effort_2010-2021'!$J:$J,Existing_Conditions!$C25,'Rec_raw_catch_effort_2010-2021'!$B:$B,Existing_Conditions!AI$4,'Rec_raw_catch_effort_2010-2021'!$E:$E,Existing_Conditions!$AA25)</f>
        <v>0</v>
      </c>
      <c r="AJ25" s="17">
        <f>SUMIFS('Rec_raw_catch_effort_2010-2021'!$Q:$Q,'Rec_raw_catch_effort_2010-2021'!$D:$D,Existing_Conditions!$B25,'Rec_raw_catch_effort_2010-2021'!$J:$J,Existing_Conditions!$C25,'Rec_raw_catch_effort_2010-2021'!$B:$B,Existing_Conditions!AJ$4,'Rec_raw_catch_effort_2010-2021'!$E:$E,Existing_Conditions!$AA25)</f>
        <v>0</v>
      </c>
      <c r="AK25" s="17">
        <f>SUMIFS('Rec_raw_catch_effort_2010-2021'!$Q:$Q,'Rec_raw_catch_effort_2010-2021'!$D:$D,Existing_Conditions!$B25,'Rec_raw_catch_effort_2010-2021'!$J:$J,Existing_Conditions!$C25,'Rec_raw_catch_effort_2010-2021'!$B:$B,Existing_Conditions!AK$4,'Rec_raw_catch_effort_2010-2021'!$E:$E,Existing_Conditions!$AA25)</f>
        <v>0</v>
      </c>
      <c r="AL25" s="37">
        <f t="shared" si="14"/>
        <v>0</v>
      </c>
    </row>
    <row r="26" spans="1:38" x14ac:dyDescent="0.35">
      <c r="A26" t="s">
        <v>331</v>
      </c>
      <c r="B26" t="s">
        <v>132</v>
      </c>
      <c r="C26" t="s">
        <v>141</v>
      </c>
      <c r="D26" s="17">
        <f>SUMIFS('Rec_raw_catch_effort_2010-2021'!$Q:$Q,'Rec_raw_catch_effort_2010-2021'!$D:$D,Existing_Conditions!$B26,'Rec_raw_catch_effort_2010-2021'!$J:$J,Existing_Conditions!$C26,'Rec_raw_catch_effort_2010-2021'!$B:$B,Existing_Conditions!D$4)</f>
        <v>2415.0000000000018</v>
      </c>
      <c r="E26" s="17">
        <f>SUMIFS('Rec_raw_catch_effort_2010-2021'!$Q:$Q,'Rec_raw_catch_effort_2010-2021'!$D:$D,Existing_Conditions!$B26,'Rec_raw_catch_effort_2010-2021'!$J:$J,Existing_Conditions!$C26,'Rec_raw_catch_effort_2010-2021'!$B:$B,Existing_Conditions!E$4)</f>
        <v>5738.0000000000018</v>
      </c>
      <c r="F26" s="17">
        <f>SUMIFS('Rec_raw_catch_effort_2010-2021'!$Q:$Q,'Rec_raw_catch_effort_2010-2021'!$D:$D,Existing_Conditions!$B26,'Rec_raw_catch_effort_2010-2021'!$J:$J,Existing_Conditions!$C26,'Rec_raw_catch_effort_2010-2021'!$B:$B,Existing_Conditions!F$4)</f>
        <v>6854.9999999999909</v>
      </c>
      <c r="G26" s="17">
        <f>SUMIFS('Rec_raw_catch_effort_2010-2021'!$Q:$Q,'Rec_raw_catch_effort_2010-2021'!$D:$D,Existing_Conditions!$B26,'Rec_raw_catch_effort_2010-2021'!$J:$J,Existing_Conditions!$C26,'Rec_raw_catch_effort_2010-2021'!$B:$B,Existing_Conditions!G$4)</f>
        <v>5546.0000000000009</v>
      </c>
      <c r="H26" s="17">
        <f>SUMIFS('Rec_raw_catch_effort_2010-2021'!$Q:$Q,'Rec_raw_catch_effort_2010-2021'!$D:$D,Existing_Conditions!$B26,'Rec_raw_catch_effort_2010-2021'!$J:$J,Existing_Conditions!$C26,'Rec_raw_catch_effort_2010-2021'!$B:$B,Existing_Conditions!H$4)</f>
        <v>3543.9999999999995</v>
      </c>
      <c r="I26" s="17">
        <f>SUMIFS('Rec_raw_catch_effort_2010-2021'!$Q:$Q,'Rec_raw_catch_effort_2010-2021'!$D:$D,Existing_Conditions!$B26,'Rec_raw_catch_effort_2010-2021'!$J:$J,Existing_Conditions!$C26,'Rec_raw_catch_effort_2010-2021'!$B:$B,Existing_Conditions!I$4)</f>
        <v>4331.0000000000009</v>
      </c>
      <c r="J26" s="17">
        <f>SUMIFS('Rec_raw_catch_effort_2010-2021'!$Q:$Q,'Rec_raw_catch_effort_2010-2021'!$D:$D,Existing_Conditions!$B26,'Rec_raw_catch_effort_2010-2021'!$J:$J,Existing_Conditions!$C26,'Rec_raw_catch_effort_2010-2021'!$B:$B,Existing_Conditions!J$4)</f>
        <v>9674.9999999999982</v>
      </c>
      <c r="K26" s="17">
        <f>SUMIFS('Rec_raw_catch_effort_2010-2021'!$Q:$Q,'Rec_raw_catch_effort_2010-2021'!$D:$D,Existing_Conditions!$B26,'Rec_raw_catch_effort_2010-2021'!$J:$J,Existing_Conditions!$C26,'Rec_raw_catch_effort_2010-2021'!$B:$B,Existing_Conditions!K$4)</f>
        <v>11397.000000000004</v>
      </c>
      <c r="L26" s="17">
        <f>SUMIFS('Rec_raw_catch_effort_2010-2021'!$Q:$Q,'Rec_raw_catch_effort_2010-2021'!$D:$D,Existing_Conditions!$B26,'Rec_raw_catch_effort_2010-2021'!$J:$J,Existing_Conditions!$C26,'Rec_raw_catch_effort_2010-2021'!$B:$B,Existing_Conditions!L$4)</f>
        <v>8227.9999999999982</v>
      </c>
      <c r="M26" s="17">
        <f>SUMIFS('Rec_raw_catch_effort_2010-2021'!$Q:$Q,'Rec_raw_catch_effort_2010-2021'!$D:$D,Existing_Conditions!$B26,'Rec_raw_catch_effort_2010-2021'!$J:$J,Existing_Conditions!$C26,'Rec_raw_catch_effort_2010-2021'!$B:$B,Existing_Conditions!M$4)</f>
        <v>3625.9999999999982</v>
      </c>
      <c r="N26" s="37">
        <f t="shared" si="12"/>
        <v>6135.5</v>
      </c>
      <c r="O26" t="s">
        <v>10</v>
      </c>
      <c r="P26" s="17">
        <f>SUMIFS('Rec_raw_catch_effort_2010-2021'!$Q:$Q,'Rec_raw_catch_effort_2010-2021'!$D:$D,Existing_Conditions!$B26,'Rec_raw_catch_effort_2010-2021'!$J:$J,Existing_Conditions!$C26,'Rec_raw_catch_effort_2010-2021'!$B:$B,Existing_Conditions!P$4,'Rec_raw_catch_effort_2010-2021'!$E:$E,Existing_Conditions!$O26)</f>
        <v>2415.0000000000018</v>
      </c>
      <c r="Q26" s="17">
        <f>SUMIFS('Rec_raw_catch_effort_2010-2021'!$Q:$Q,'Rec_raw_catch_effort_2010-2021'!$D:$D,Existing_Conditions!$B26,'Rec_raw_catch_effort_2010-2021'!$J:$J,Existing_Conditions!$C26,'Rec_raw_catch_effort_2010-2021'!$B:$B,Existing_Conditions!Q$4,'Rec_raw_catch_effort_2010-2021'!$E:$E,Existing_Conditions!$O26)</f>
        <v>5738.0000000000018</v>
      </c>
      <c r="R26" s="17">
        <f>SUMIFS('Rec_raw_catch_effort_2010-2021'!$Q:$Q,'Rec_raw_catch_effort_2010-2021'!$D:$D,Existing_Conditions!$B26,'Rec_raw_catch_effort_2010-2021'!$J:$J,Existing_Conditions!$C26,'Rec_raw_catch_effort_2010-2021'!$B:$B,Existing_Conditions!R$4,'Rec_raw_catch_effort_2010-2021'!$E:$E,Existing_Conditions!$O26)</f>
        <v>6854.9999999999909</v>
      </c>
      <c r="S26" s="17">
        <f>SUMIFS('Rec_raw_catch_effort_2010-2021'!$Q:$Q,'Rec_raw_catch_effort_2010-2021'!$D:$D,Existing_Conditions!$B26,'Rec_raw_catch_effort_2010-2021'!$J:$J,Existing_Conditions!$C26,'Rec_raw_catch_effort_2010-2021'!$B:$B,Existing_Conditions!S$4,'Rec_raw_catch_effort_2010-2021'!$E:$E,Existing_Conditions!$O26)</f>
        <v>5546.0000000000009</v>
      </c>
      <c r="T26" s="17">
        <f>SUMIFS('Rec_raw_catch_effort_2010-2021'!$Q:$Q,'Rec_raw_catch_effort_2010-2021'!$D:$D,Existing_Conditions!$B26,'Rec_raw_catch_effort_2010-2021'!$J:$J,Existing_Conditions!$C26,'Rec_raw_catch_effort_2010-2021'!$B:$B,Existing_Conditions!T$4,'Rec_raw_catch_effort_2010-2021'!$E:$E,Existing_Conditions!$O26)</f>
        <v>3543.9999999999995</v>
      </c>
      <c r="U26" s="17">
        <f>SUMIFS('Rec_raw_catch_effort_2010-2021'!$Q:$Q,'Rec_raw_catch_effort_2010-2021'!$D:$D,Existing_Conditions!$B26,'Rec_raw_catch_effort_2010-2021'!$J:$J,Existing_Conditions!$C26,'Rec_raw_catch_effort_2010-2021'!$B:$B,Existing_Conditions!U$4,'Rec_raw_catch_effort_2010-2021'!$E:$E,Existing_Conditions!$O26)</f>
        <v>4331.0000000000009</v>
      </c>
      <c r="V26" s="17">
        <f>SUMIFS('Rec_raw_catch_effort_2010-2021'!$Q:$Q,'Rec_raw_catch_effort_2010-2021'!$D:$D,Existing_Conditions!$B26,'Rec_raw_catch_effort_2010-2021'!$J:$J,Existing_Conditions!$C26,'Rec_raw_catch_effort_2010-2021'!$B:$B,Existing_Conditions!V$4,'Rec_raw_catch_effort_2010-2021'!$E:$E,Existing_Conditions!$O26)</f>
        <v>9674.9999999999982</v>
      </c>
      <c r="W26" s="17">
        <f>SUMIFS('Rec_raw_catch_effort_2010-2021'!$Q:$Q,'Rec_raw_catch_effort_2010-2021'!$D:$D,Existing_Conditions!$B26,'Rec_raw_catch_effort_2010-2021'!$J:$J,Existing_Conditions!$C26,'Rec_raw_catch_effort_2010-2021'!$B:$B,Existing_Conditions!W$4,'Rec_raw_catch_effort_2010-2021'!$E:$E,Existing_Conditions!$O26)</f>
        <v>11397.000000000004</v>
      </c>
      <c r="X26" s="17">
        <f>SUMIFS('Rec_raw_catch_effort_2010-2021'!$Q:$Q,'Rec_raw_catch_effort_2010-2021'!$D:$D,Existing_Conditions!$B26,'Rec_raw_catch_effort_2010-2021'!$J:$J,Existing_Conditions!$C26,'Rec_raw_catch_effort_2010-2021'!$B:$B,Existing_Conditions!X$4,'Rec_raw_catch_effort_2010-2021'!$E:$E,Existing_Conditions!$O26)</f>
        <v>8227.9999999999982</v>
      </c>
      <c r="Y26" s="17">
        <f>SUMIFS('Rec_raw_catch_effort_2010-2021'!$Q:$Q,'Rec_raw_catch_effort_2010-2021'!$D:$D,Existing_Conditions!$B26,'Rec_raw_catch_effort_2010-2021'!$J:$J,Existing_Conditions!$C26,'Rec_raw_catch_effort_2010-2021'!$B:$B,Existing_Conditions!Y$4,'Rec_raw_catch_effort_2010-2021'!$E:$E,Existing_Conditions!$O26)</f>
        <v>3625.9999999999982</v>
      </c>
      <c r="Z26" s="37">
        <f t="shared" si="13"/>
        <v>6135.5</v>
      </c>
      <c r="AA26" t="s">
        <v>86</v>
      </c>
      <c r="AB26" s="17">
        <f>SUMIFS('Rec_raw_catch_effort_2010-2021'!$Q:$Q,'Rec_raw_catch_effort_2010-2021'!$D:$D,Existing_Conditions!$B26,'Rec_raw_catch_effort_2010-2021'!$J:$J,Existing_Conditions!$C26,'Rec_raw_catch_effort_2010-2021'!$B:$B,Existing_Conditions!AB$4,'Rec_raw_catch_effort_2010-2021'!$E:$E,Existing_Conditions!$AA26)</f>
        <v>0</v>
      </c>
      <c r="AC26" s="17">
        <f>SUMIFS('Rec_raw_catch_effort_2010-2021'!$Q:$Q,'Rec_raw_catch_effort_2010-2021'!$D:$D,Existing_Conditions!$B26,'Rec_raw_catch_effort_2010-2021'!$J:$J,Existing_Conditions!$C26,'Rec_raw_catch_effort_2010-2021'!$B:$B,Existing_Conditions!AC$4,'Rec_raw_catch_effort_2010-2021'!$E:$E,Existing_Conditions!$AA26)</f>
        <v>0</v>
      </c>
      <c r="AD26" s="17">
        <f>SUMIFS('Rec_raw_catch_effort_2010-2021'!$Q:$Q,'Rec_raw_catch_effort_2010-2021'!$D:$D,Existing_Conditions!$B26,'Rec_raw_catch_effort_2010-2021'!$J:$J,Existing_Conditions!$C26,'Rec_raw_catch_effort_2010-2021'!$B:$B,Existing_Conditions!AD$4,'Rec_raw_catch_effort_2010-2021'!$E:$E,Existing_Conditions!$AA26)</f>
        <v>0</v>
      </c>
      <c r="AE26" s="17">
        <f>SUMIFS('Rec_raw_catch_effort_2010-2021'!$Q:$Q,'Rec_raw_catch_effort_2010-2021'!$D:$D,Existing_Conditions!$B26,'Rec_raw_catch_effort_2010-2021'!$J:$J,Existing_Conditions!$C26,'Rec_raw_catch_effort_2010-2021'!$B:$B,Existing_Conditions!AE$4,'Rec_raw_catch_effort_2010-2021'!$E:$E,Existing_Conditions!$AA26)</f>
        <v>0</v>
      </c>
      <c r="AF26" s="17">
        <f>SUMIFS('Rec_raw_catch_effort_2010-2021'!$Q:$Q,'Rec_raw_catch_effort_2010-2021'!$D:$D,Existing_Conditions!$B26,'Rec_raw_catch_effort_2010-2021'!$J:$J,Existing_Conditions!$C26,'Rec_raw_catch_effort_2010-2021'!$B:$B,Existing_Conditions!AF$4,'Rec_raw_catch_effort_2010-2021'!$E:$E,Existing_Conditions!$AA26)</f>
        <v>0</v>
      </c>
      <c r="AG26" s="17">
        <f>SUMIFS('Rec_raw_catch_effort_2010-2021'!$Q:$Q,'Rec_raw_catch_effort_2010-2021'!$D:$D,Existing_Conditions!$B26,'Rec_raw_catch_effort_2010-2021'!$J:$J,Existing_Conditions!$C26,'Rec_raw_catch_effort_2010-2021'!$B:$B,Existing_Conditions!AG$4,'Rec_raw_catch_effort_2010-2021'!$E:$E,Existing_Conditions!$AA26)</f>
        <v>0</v>
      </c>
      <c r="AH26" s="17">
        <f>SUMIFS('Rec_raw_catch_effort_2010-2021'!$Q:$Q,'Rec_raw_catch_effort_2010-2021'!$D:$D,Existing_Conditions!$B26,'Rec_raw_catch_effort_2010-2021'!$J:$J,Existing_Conditions!$C26,'Rec_raw_catch_effort_2010-2021'!$B:$B,Existing_Conditions!AH$4,'Rec_raw_catch_effort_2010-2021'!$E:$E,Existing_Conditions!$AA26)</f>
        <v>0</v>
      </c>
      <c r="AI26" s="17">
        <f>SUMIFS('Rec_raw_catch_effort_2010-2021'!$Q:$Q,'Rec_raw_catch_effort_2010-2021'!$D:$D,Existing_Conditions!$B26,'Rec_raw_catch_effort_2010-2021'!$J:$J,Existing_Conditions!$C26,'Rec_raw_catch_effort_2010-2021'!$B:$B,Existing_Conditions!AI$4,'Rec_raw_catch_effort_2010-2021'!$E:$E,Existing_Conditions!$AA26)</f>
        <v>0</v>
      </c>
      <c r="AJ26" s="17">
        <f>SUMIFS('Rec_raw_catch_effort_2010-2021'!$Q:$Q,'Rec_raw_catch_effort_2010-2021'!$D:$D,Existing_Conditions!$B26,'Rec_raw_catch_effort_2010-2021'!$J:$J,Existing_Conditions!$C26,'Rec_raw_catch_effort_2010-2021'!$B:$B,Existing_Conditions!AJ$4,'Rec_raw_catch_effort_2010-2021'!$E:$E,Existing_Conditions!$AA26)</f>
        <v>0</v>
      </c>
      <c r="AK26" s="17">
        <f>SUMIFS('Rec_raw_catch_effort_2010-2021'!$Q:$Q,'Rec_raw_catch_effort_2010-2021'!$D:$D,Existing_Conditions!$B26,'Rec_raw_catch_effort_2010-2021'!$J:$J,Existing_Conditions!$C26,'Rec_raw_catch_effort_2010-2021'!$B:$B,Existing_Conditions!AK$4,'Rec_raw_catch_effort_2010-2021'!$E:$E,Existing_Conditions!$AA26)</f>
        <v>0</v>
      </c>
      <c r="AL26" s="37">
        <f t="shared" si="14"/>
        <v>0</v>
      </c>
    </row>
    <row r="27" spans="1:38" x14ac:dyDescent="0.35">
      <c r="A27" t="s">
        <v>331</v>
      </c>
      <c r="B27" t="s">
        <v>167</v>
      </c>
      <c r="D27" s="52">
        <f>SUM(D22:D26)</f>
        <v>50799</v>
      </c>
      <c r="E27" s="52">
        <f t="shared" ref="E27:M27" si="15">SUM(E22:E26)</f>
        <v>229832.74791152988</v>
      </c>
      <c r="F27" s="52">
        <f t="shared" si="15"/>
        <v>216420.00000000003</v>
      </c>
      <c r="G27" s="52">
        <f t="shared" si="15"/>
        <v>296346</v>
      </c>
      <c r="H27" s="52">
        <f t="shared" si="15"/>
        <v>159901</v>
      </c>
      <c r="I27" s="52">
        <f t="shared" si="15"/>
        <v>373917</v>
      </c>
      <c r="J27" s="52">
        <f t="shared" si="15"/>
        <v>41348.816620284677</v>
      </c>
      <c r="K27" s="52">
        <f t="shared" si="15"/>
        <v>100119</v>
      </c>
      <c r="L27" s="52">
        <f t="shared" si="15"/>
        <v>144037.00000000003</v>
      </c>
      <c r="M27" s="52">
        <f t="shared" si="15"/>
        <v>150547.00000000006</v>
      </c>
      <c r="N27" s="37">
        <f>SUM(N22:N26)</f>
        <v>176326.75645318147</v>
      </c>
      <c r="O27" t="s">
        <v>10</v>
      </c>
      <c r="P27" s="52">
        <f>SUM(P22:P26)</f>
        <v>50686</v>
      </c>
      <c r="Q27" s="52">
        <f t="shared" ref="Q27:Y27" si="16">SUM(Q22:Q26)</f>
        <v>229656.74791152985</v>
      </c>
      <c r="R27" s="52">
        <f t="shared" si="16"/>
        <v>216318.00000000003</v>
      </c>
      <c r="S27" s="52">
        <f t="shared" si="16"/>
        <v>296304</v>
      </c>
      <c r="T27" s="52">
        <f t="shared" si="16"/>
        <v>159881.99999999997</v>
      </c>
      <c r="U27" s="52">
        <f t="shared" si="16"/>
        <v>373704</v>
      </c>
      <c r="V27" s="52">
        <f t="shared" si="16"/>
        <v>41333.816620284677</v>
      </c>
      <c r="W27" s="52">
        <f t="shared" si="16"/>
        <v>99969</v>
      </c>
      <c r="X27" s="52">
        <f t="shared" si="16"/>
        <v>143953.00000000003</v>
      </c>
      <c r="Y27" s="52">
        <f t="shared" si="16"/>
        <v>150483.00000000006</v>
      </c>
      <c r="Z27" s="37">
        <f>SUM(Z22:Z26)</f>
        <v>176228.95645318145</v>
      </c>
      <c r="AA27" t="s">
        <v>86</v>
      </c>
      <c r="AB27" s="52">
        <f>SUM(AB22:AB26)</f>
        <v>113.00000000000011</v>
      </c>
      <c r="AC27" s="52">
        <f t="shared" ref="AC27:AK27" si="17">SUM(AC22:AC26)</f>
        <v>176</v>
      </c>
      <c r="AD27" s="52">
        <f t="shared" si="17"/>
        <v>102.00000000000004</v>
      </c>
      <c r="AE27" s="52">
        <f t="shared" si="17"/>
        <v>42.000000000000057</v>
      </c>
      <c r="AF27" s="52">
        <f t="shared" si="17"/>
        <v>19.000000000000011</v>
      </c>
      <c r="AG27" s="52">
        <f t="shared" si="17"/>
        <v>213</v>
      </c>
      <c r="AH27" s="52">
        <f t="shared" si="17"/>
        <v>15</v>
      </c>
      <c r="AI27" s="52">
        <f t="shared" si="17"/>
        <v>149.99999999999997</v>
      </c>
      <c r="AJ27" s="52">
        <f t="shared" si="17"/>
        <v>84</v>
      </c>
      <c r="AK27" s="52">
        <f t="shared" si="17"/>
        <v>64</v>
      </c>
      <c r="AL27" s="37">
        <f>SUM(AL22:AL26)</f>
        <v>97.800000000000026</v>
      </c>
    </row>
    <row r="28" spans="1:38" x14ac:dyDescent="0.35">
      <c r="A28" t="s">
        <v>331</v>
      </c>
      <c r="B28" t="s">
        <v>143</v>
      </c>
      <c r="C28" t="s">
        <v>133</v>
      </c>
      <c r="D28" s="17">
        <f>SUMIFS('Rec_raw_catch_effort_2010-2021'!$Q:$Q,'Rec_raw_catch_effort_2010-2021'!$D:$D,Existing_Conditions!$B28,'Rec_raw_catch_effort_2010-2021'!$J:$J,Existing_Conditions!$C28,'Rec_raw_catch_effort_2010-2021'!$B:$B,Existing_Conditions!D$4)</f>
        <v>915.99999999999977</v>
      </c>
      <c r="E28" s="17">
        <f>SUMIFS('Rec_raw_catch_effort_2010-2021'!$Q:$Q,'Rec_raw_catch_effort_2010-2021'!$D:$D,Existing_Conditions!$B28,'Rec_raw_catch_effort_2010-2021'!$J:$J,Existing_Conditions!$C28,'Rec_raw_catch_effort_2010-2021'!$B:$B,Existing_Conditions!E$4)</f>
        <v>2731.1904761904766</v>
      </c>
      <c r="F28" s="17">
        <f>SUMIFS('Rec_raw_catch_effort_2010-2021'!$Q:$Q,'Rec_raw_catch_effort_2010-2021'!$D:$D,Existing_Conditions!$B28,'Rec_raw_catch_effort_2010-2021'!$J:$J,Existing_Conditions!$C28,'Rec_raw_catch_effort_2010-2021'!$B:$B,Existing_Conditions!F$4)</f>
        <v>1200.1388888888891</v>
      </c>
      <c r="G28" s="17">
        <f>SUMIFS('Rec_raw_catch_effort_2010-2021'!$Q:$Q,'Rec_raw_catch_effort_2010-2021'!$D:$D,Existing_Conditions!$B28,'Rec_raw_catch_effort_2010-2021'!$J:$J,Existing_Conditions!$C28,'Rec_raw_catch_effort_2010-2021'!$B:$B,Existing_Conditions!G$4)</f>
        <v>1645.1833333333366</v>
      </c>
      <c r="H28" s="17">
        <f>SUMIFS('Rec_raw_catch_effort_2010-2021'!$Q:$Q,'Rec_raw_catch_effort_2010-2021'!$D:$D,Existing_Conditions!$B28,'Rec_raw_catch_effort_2010-2021'!$J:$J,Existing_Conditions!$C28,'Rec_raw_catch_effort_2010-2021'!$B:$B,Existing_Conditions!H$4)</f>
        <v>780.09090909090912</v>
      </c>
      <c r="I28" s="17">
        <f>SUMIFS('Rec_raw_catch_effort_2010-2021'!$Q:$Q,'Rec_raw_catch_effort_2010-2021'!$D:$D,Existing_Conditions!$B28,'Rec_raw_catch_effort_2010-2021'!$J:$J,Existing_Conditions!$C28,'Rec_raw_catch_effort_2010-2021'!$B:$B,Existing_Conditions!I$4)</f>
        <v>509.12535612535646</v>
      </c>
      <c r="J28" s="17">
        <f>SUMIFS('Rec_raw_catch_effort_2010-2021'!$Q:$Q,'Rec_raw_catch_effort_2010-2021'!$D:$D,Existing_Conditions!$B28,'Rec_raw_catch_effort_2010-2021'!$J:$J,Existing_Conditions!$C28,'Rec_raw_catch_effort_2010-2021'!$B:$B,Existing_Conditions!J$4)</f>
        <v>980.50000000000057</v>
      </c>
      <c r="K28" s="17">
        <f>SUMIFS('Rec_raw_catch_effort_2010-2021'!$Q:$Q,'Rec_raw_catch_effort_2010-2021'!$D:$D,Existing_Conditions!$B28,'Rec_raw_catch_effort_2010-2021'!$J:$J,Existing_Conditions!$C28,'Rec_raw_catch_effort_2010-2021'!$B:$B,Existing_Conditions!K$4)</f>
        <v>1185.9999999999998</v>
      </c>
      <c r="L28" s="17">
        <f>SUMIFS('Rec_raw_catch_effort_2010-2021'!$Q:$Q,'Rec_raw_catch_effort_2010-2021'!$D:$D,Existing_Conditions!$B28,'Rec_raw_catch_effort_2010-2021'!$J:$J,Existing_Conditions!$C28,'Rec_raw_catch_effort_2010-2021'!$B:$B,Existing_Conditions!L$4)</f>
        <v>339.50000000000011</v>
      </c>
      <c r="M28" s="17">
        <f>SUMIFS('Rec_raw_catch_effort_2010-2021'!$Q:$Q,'Rec_raw_catch_effort_2010-2021'!$D:$D,Existing_Conditions!$B28,'Rec_raw_catch_effort_2010-2021'!$J:$J,Existing_Conditions!$C28,'Rec_raw_catch_effort_2010-2021'!$B:$B,Existing_Conditions!M$4)</f>
        <v>655.00000000000023</v>
      </c>
      <c r="N28" s="37">
        <f>AVERAGE(D28:M28)</f>
        <v>1094.2728963628967</v>
      </c>
      <c r="O28" t="s">
        <v>10</v>
      </c>
      <c r="P28" s="17">
        <f>SUMIFS('Rec_raw_catch_effort_2010-2021'!$Q:$Q,'Rec_raw_catch_effort_2010-2021'!$D:$D,Existing_Conditions!$B28,'Rec_raw_catch_effort_2010-2021'!$J:$J,Existing_Conditions!$C28,'Rec_raw_catch_effort_2010-2021'!$B:$B,Existing_Conditions!P$4,'Rec_raw_catch_effort_2010-2021'!$E:$E,Existing_Conditions!$O28)</f>
        <v>310.99999999999994</v>
      </c>
      <c r="Q28" s="17">
        <f>SUMIFS('Rec_raw_catch_effort_2010-2021'!$Q:$Q,'Rec_raw_catch_effort_2010-2021'!$D:$D,Existing_Conditions!$B28,'Rec_raw_catch_effort_2010-2021'!$J:$J,Existing_Conditions!$C28,'Rec_raw_catch_effort_2010-2021'!$B:$B,Existing_Conditions!Q$4,'Rec_raw_catch_effort_2010-2021'!$E:$E,Existing_Conditions!$O28)</f>
        <v>2179.0000000000009</v>
      </c>
      <c r="R28" s="17">
        <f>SUMIFS('Rec_raw_catch_effort_2010-2021'!$Q:$Q,'Rec_raw_catch_effort_2010-2021'!$D:$D,Existing_Conditions!$B28,'Rec_raw_catch_effort_2010-2021'!$J:$J,Existing_Conditions!$C28,'Rec_raw_catch_effort_2010-2021'!$B:$B,Existing_Conditions!R$4,'Rec_raw_catch_effort_2010-2021'!$E:$E,Existing_Conditions!$O28)</f>
        <v>907</v>
      </c>
      <c r="S28" s="17">
        <f>SUMIFS('Rec_raw_catch_effort_2010-2021'!$Q:$Q,'Rec_raw_catch_effort_2010-2021'!$D:$D,Existing_Conditions!$B28,'Rec_raw_catch_effort_2010-2021'!$J:$J,Existing_Conditions!$C28,'Rec_raw_catch_effort_2010-2021'!$B:$B,Existing_Conditions!S$4,'Rec_raw_catch_effort_2010-2021'!$E:$E,Existing_Conditions!$O28)</f>
        <v>1447.0000000000032</v>
      </c>
      <c r="T28" s="17">
        <f>SUMIFS('Rec_raw_catch_effort_2010-2021'!$Q:$Q,'Rec_raw_catch_effort_2010-2021'!$D:$D,Existing_Conditions!$B28,'Rec_raw_catch_effort_2010-2021'!$J:$J,Existing_Conditions!$C28,'Rec_raw_catch_effort_2010-2021'!$B:$B,Existing_Conditions!T$4,'Rec_raw_catch_effort_2010-2021'!$E:$E,Existing_Conditions!$O28)</f>
        <v>464</v>
      </c>
      <c r="U28" s="17">
        <f>SUMIFS('Rec_raw_catch_effort_2010-2021'!$Q:$Q,'Rec_raw_catch_effort_2010-2021'!$D:$D,Existing_Conditions!$B28,'Rec_raw_catch_effort_2010-2021'!$J:$J,Existing_Conditions!$C28,'Rec_raw_catch_effort_2010-2021'!$B:$B,Existing_Conditions!U$4,'Rec_raw_catch_effort_2010-2021'!$E:$E,Existing_Conditions!$O28)</f>
        <v>358.00000000000045</v>
      </c>
      <c r="V28" s="17">
        <f>SUMIFS('Rec_raw_catch_effort_2010-2021'!$Q:$Q,'Rec_raw_catch_effort_2010-2021'!$D:$D,Existing_Conditions!$B28,'Rec_raw_catch_effort_2010-2021'!$J:$J,Existing_Conditions!$C28,'Rec_raw_catch_effort_2010-2021'!$B:$B,Existing_Conditions!V$4,'Rec_raw_catch_effort_2010-2021'!$E:$E,Existing_Conditions!$O28)</f>
        <v>793.00000000000068</v>
      </c>
      <c r="W28" s="17">
        <f>SUMIFS('Rec_raw_catch_effort_2010-2021'!$Q:$Q,'Rec_raw_catch_effort_2010-2021'!$D:$D,Existing_Conditions!$B28,'Rec_raw_catch_effort_2010-2021'!$J:$J,Existing_Conditions!$C28,'Rec_raw_catch_effort_2010-2021'!$B:$B,Existing_Conditions!W$4,'Rec_raw_catch_effort_2010-2021'!$E:$E,Existing_Conditions!$O28)</f>
        <v>1040.0000000000002</v>
      </c>
      <c r="X28" s="17">
        <f>SUMIFS('Rec_raw_catch_effort_2010-2021'!$Q:$Q,'Rec_raw_catch_effort_2010-2021'!$D:$D,Existing_Conditions!$B28,'Rec_raw_catch_effort_2010-2021'!$J:$J,Existing_Conditions!$C28,'Rec_raw_catch_effort_2010-2021'!$B:$B,Existing_Conditions!X$4,'Rec_raw_catch_effort_2010-2021'!$E:$E,Existing_Conditions!$O28)</f>
        <v>212.00000000000011</v>
      </c>
      <c r="Y28" s="17">
        <f>SUMIFS('Rec_raw_catch_effort_2010-2021'!$Q:$Q,'Rec_raw_catch_effort_2010-2021'!$D:$D,Existing_Conditions!$B28,'Rec_raw_catch_effort_2010-2021'!$J:$J,Existing_Conditions!$C28,'Rec_raw_catch_effort_2010-2021'!$B:$B,Existing_Conditions!Y$4,'Rec_raw_catch_effort_2010-2021'!$E:$E,Existing_Conditions!$O28)</f>
        <v>639.00000000000023</v>
      </c>
      <c r="Z28" s="37">
        <f>AVERAGE(P28:Y28)</f>
        <v>835.00000000000057</v>
      </c>
      <c r="AA28" t="s">
        <v>86</v>
      </c>
      <c r="AB28" s="17">
        <f>SUMIFS('Rec_raw_catch_effort_2010-2021'!$Q:$Q,'Rec_raw_catch_effort_2010-2021'!$D:$D,Existing_Conditions!$B28,'Rec_raw_catch_effort_2010-2021'!$J:$J,Existing_Conditions!$C28,'Rec_raw_catch_effort_2010-2021'!$B:$B,Existing_Conditions!AB$4,'Rec_raw_catch_effort_2010-2021'!$E:$E,Existing_Conditions!$AA28)</f>
        <v>604.99999999999989</v>
      </c>
      <c r="AC28" s="17">
        <f>SUMIFS('Rec_raw_catch_effort_2010-2021'!$Q:$Q,'Rec_raw_catch_effort_2010-2021'!$D:$D,Existing_Conditions!$B28,'Rec_raw_catch_effort_2010-2021'!$J:$J,Existing_Conditions!$C28,'Rec_raw_catch_effort_2010-2021'!$B:$B,Existing_Conditions!AC$4,'Rec_raw_catch_effort_2010-2021'!$E:$E,Existing_Conditions!$AA28)</f>
        <v>552.19047619047637</v>
      </c>
      <c r="AD28" s="17">
        <f>SUMIFS('Rec_raw_catch_effort_2010-2021'!$Q:$Q,'Rec_raw_catch_effort_2010-2021'!$D:$D,Existing_Conditions!$B28,'Rec_raw_catch_effort_2010-2021'!$J:$J,Existing_Conditions!$C28,'Rec_raw_catch_effort_2010-2021'!$B:$B,Existing_Conditions!AD$4,'Rec_raw_catch_effort_2010-2021'!$E:$E,Existing_Conditions!$AA28)</f>
        <v>293.13888888888891</v>
      </c>
      <c r="AE28" s="17">
        <f>SUMIFS('Rec_raw_catch_effort_2010-2021'!$Q:$Q,'Rec_raw_catch_effort_2010-2021'!$D:$D,Existing_Conditions!$B28,'Rec_raw_catch_effort_2010-2021'!$J:$J,Existing_Conditions!$C28,'Rec_raw_catch_effort_2010-2021'!$B:$B,Existing_Conditions!AE$4,'Rec_raw_catch_effort_2010-2021'!$E:$E,Existing_Conditions!$AA28)</f>
        <v>198.18333333333337</v>
      </c>
      <c r="AF28" s="17">
        <f>SUMIFS('Rec_raw_catch_effort_2010-2021'!$Q:$Q,'Rec_raw_catch_effort_2010-2021'!$D:$D,Existing_Conditions!$B28,'Rec_raw_catch_effort_2010-2021'!$J:$J,Existing_Conditions!$C28,'Rec_raw_catch_effort_2010-2021'!$B:$B,Existing_Conditions!AF$4,'Rec_raw_catch_effort_2010-2021'!$E:$E,Existing_Conditions!$AA28)</f>
        <v>316.09090909090924</v>
      </c>
      <c r="AG28" s="17">
        <f>SUMIFS('Rec_raw_catch_effort_2010-2021'!$Q:$Q,'Rec_raw_catch_effort_2010-2021'!$D:$D,Existing_Conditions!$B28,'Rec_raw_catch_effort_2010-2021'!$J:$J,Existing_Conditions!$C28,'Rec_raw_catch_effort_2010-2021'!$B:$B,Existing_Conditions!AG$4,'Rec_raw_catch_effort_2010-2021'!$E:$E,Existing_Conditions!$AA28)</f>
        <v>151.12535612535603</v>
      </c>
      <c r="AH28" s="17">
        <f>SUMIFS('Rec_raw_catch_effort_2010-2021'!$Q:$Q,'Rec_raw_catch_effort_2010-2021'!$D:$D,Existing_Conditions!$B28,'Rec_raw_catch_effort_2010-2021'!$J:$J,Existing_Conditions!$C28,'Rec_raw_catch_effort_2010-2021'!$B:$B,Existing_Conditions!AH$4,'Rec_raw_catch_effort_2010-2021'!$E:$E,Existing_Conditions!$AA28)</f>
        <v>187.50000000000006</v>
      </c>
      <c r="AI28" s="17">
        <f>SUMIFS('Rec_raw_catch_effort_2010-2021'!$Q:$Q,'Rec_raw_catch_effort_2010-2021'!$D:$D,Existing_Conditions!$B28,'Rec_raw_catch_effort_2010-2021'!$J:$J,Existing_Conditions!$C28,'Rec_raw_catch_effort_2010-2021'!$B:$B,Existing_Conditions!AI$4,'Rec_raw_catch_effort_2010-2021'!$E:$E,Existing_Conditions!$AA28)</f>
        <v>145.99999999999991</v>
      </c>
      <c r="AJ28" s="17">
        <f>SUMIFS('Rec_raw_catch_effort_2010-2021'!$Q:$Q,'Rec_raw_catch_effort_2010-2021'!$D:$D,Existing_Conditions!$B28,'Rec_raw_catch_effort_2010-2021'!$J:$J,Existing_Conditions!$C28,'Rec_raw_catch_effort_2010-2021'!$B:$B,Existing_Conditions!AJ$4,'Rec_raw_catch_effort_2010-2021'!$E:$E,Existing_Conditions!$AA28)</f>
        <v>127.5</v>
      </c>
      <c r="AK28" s="17">
        <f>SUMIFS('Rec_raw_catch_effort_2010-2021'!$Q:$Q,'Rec_raw_catch_effort_2010-2021'!$D:$D,Existing_Conditions!$B28,'Rec_raw_catch_effort_2010-2021'!$J:$J,Existing_Conditions!$C28,'Rec_raw_catch_effort_2010-2021'!$B:$B,Existing_Conditions!AK$4,'Rec_raw_catch_effort_2010-2021'!$E:$E,Existing_Conditions!$AA28)</f>
        <v>16</v>
      </c>
      <c r="AL28" s="37">
        <f>AVERAGE(AB28:AK28)</f>
        <v>259.2728963628964</v>
      </c>
    </row>
    <row r="29" spans="1:38" x14ac:dyDescent="0.35">
      <c r="A29" t="s">
        <v>331</v>
      </c>
      <c r="B29" t="s">
        <v>143</v>
      </c>
      <c r="C29" t="s">
        <v>135</v>
      </c>
      <c r="D29" s="17">
        <f>SUMIFS('Rec_raw_catch_effort_2010-2021'!$Q:$Q,'Rec_raw_catch_effort_2010-2021'!$D:$D,Existing_Conditions!$B29,'Rec_raw_catch_effort_2010-2021'!$J:$J,Existing_Conditions!$C29,'Rec_raw_catch_effort_2010-2021'!$B:$B,Existing_Conditions!D$4)</f>
        <v>13005.999999999995</v>
      </c>
      <c r="E29" s="17">
        <f>SUMIFS('Rec_raw_catch_effort_2010-2021'!$Q:$Q,'Rec_raw_catch_effort_2010-2021'!$D:$D,Existing_Conditions!$B29,'Rec_raw_catch_effort_2010-2021'!$J:$J,Existing_Conditions!$C29,'Rec_raw_catch_effort_2010-2021'!$B:$B,Existing_Conditions!E$4)</f>
        <v>23181.000000000007</v>
      </c>
      <c r="F29" s="17">
        <f>SUMIFS('Rec_raw_catch_effort_2010-2021'!$Q:$Q,'Rec_raw_catch_effort_2010-2021'!$D:$D,Existing_Conditions!$B29,'Rec_raw_catch_effort_2010-2021'!$J:$J,Existing_Conditions!$C29,'Rec_raw_catch_effort_2010-2021'!$B:$B,Existing_Conditions!F$4)</f>
        <v>25812.222222222234</v>
      </c>
      <c r="G29" s="17">
        <f>SUMIFS('Rec_raw_catch_effort_2010-2021'!$Q:$Q,'Rec_raw_catch_effort_2010-2021'!$D:$D,Existing_Conditions!$B29,'Rec_raw_catch_effort_2010-2021'!$J:$J,Existing_Conditions!$C29,'Rec_raw_catch_effort_2010-2021'!$B:$B,Existing_Conditions!G$4)</f>
        <v>24894.66687306502</v>
      </c>
      <c r="H29" s="17">
        <f>SUMIFS('Rec_raw_catch_effort_2010-2021'!$Q:$Q,'Rec_raw_catch_effort_2010-2021'!$D:$D,Existing_Conditions!$B29,'Rec_raw_catch_effort_2010-2021'!$J:$J,Existing_Conditions!$C29,'Rec_raw_catch_effort_2010-2021'!$B:$B,Existing_Conditions!H$4)</f>
        <v>14736.000000000009</v>
      </c>
      <c r="I29" s="17">
        <f>SUMIFS('Rec_raw_catch_effort_2010-2021'!$Q:$Q,'Rec_raw_catch_effort_2010-2021'!$D:$D,Existing_Conditions!$B29,'Rec_raw_catch_effort_2010-2021'!$J:$J,Existing_Conditions!$C29,'Rec_raw_catch_effort_2010-2021'!$B:$B,Existing_Conditions!I$4)</f>
        <v>28749.794326241117</v>
      </c>
      <c r="J29" s="17">
        <f>SUMIFS('Rec_raw_catch_effort_2010-2021'!$Q:$Q,'Rec_raw_catch_effort_2010-2021'!$D:$D,Existing_Conditions!$B29,'Rec_raw_catch_effort_2010-2021'!$J:$J,Existing_Conditions!$C29,'Rec_raw_catch_effort_2010-2021'!$B:$B,Existing_Conditions!J$4)</f>
        <v>22163.999999999996</v>
      </c>
      <c r="K29" s="17">
        <f>SUMIFS('Rec_raw_catch_effort_2010-2021'!$Q:$Q,'Rec_raw_catch_effort_2010-2021'!$D:$D,Existing_Conditions!$B29,'Rec_raw_catch_effort_2010-2021'!$J:$J,Existing_Conditions!$C29,'Rec_raw_catch_effort_2010-2021'!$B:$B,Existing_Conditions!K$4)</f>
        <v>17222.000000000015</v>
      </c>
      <c r="L29" s="17">
        <f>SUMIFS('Rec_raw_catch_effort_2010-2021'!$Q:$Q,'Rec_raw_catch_effort_2010-2021'!$D:$D,Existing_Conditions!$B29,'Rec_raw_catch_effort_2010-2021'!$J:$J,Existing_Conditions!$C29,'Rec_raw_catch_effort_2010-2021'!$B:$B,Existing_Conditions!L$4)</f>
        <v>19981.000000000004</v>
      </c>
      <c r="M29" s="17">
        <f>SUMIFS('Rec_raw_catch_effort_2010-2021'!$Q:$Q,'Rec_raw_catch_effort_2010-2021'!$D:$D,Existing_Conditions!$B29,'Rec_raw_catch_effort_2010-2021'!$J:$J,Existing_Conditions!$C29,'Rec_raw_catch_effort_2010-2021'!$B:$B,Existing_Conditions!M$4)</f>
        <v>13137.000000000005</v>
      </c>
      <c r="N29" s="37">
        <f t="shared" si="12"/>
        <v>20288.368342152837</v>
      </c>
      <c r="O29" t="s">
        <v>10</v>
      </c>
      <c r="P29" s="17">
        <f>SUMIFS('Rec_raw_catch_effort_2010-2021'!$Q:$Q,'Rec_raw_catch_effort_2010-2021'!$D:$D,Existing_Conditions!$B29,'Rec_raw_catch_effort_2010-2021'!$J:$J,Existing_Conditions!$C29,'Rec_raw_catch_effort_2010-2021'!$B:$B,Existing_Conditions!P$4,'Rec_raw_catch_effort_2010-2021'!$E:$E,Existing_Conditions!$O29)</f>
        <v>12364.999999999996</v>
      </c>
      <c r="Q29" s="17">
        <f>SUMIFS('Rec_raw_catch_effort_2010-2021'!$Q:$Q,'Rec_raw_catch_effort_2010-2021'!$D:$D,Existing_Conditions!$B29,'Rec_raw_catch_effort_2010-2021'!$J:$J,Existing_Conditions!$C29,'Rec_raw_catch_effort_2010-2021'!$B:$B,Existing_Conditions!Q$4,'Rec_raw_catch_effort_2010-2021'!$E:$E,Existing_Conditions!$O29)</f>
        <v>22384.000000000007</v>
      </c>
      <c r="R29" s="17">
        <f>SUMIFS('Rec_raw_catch_effort_2010-2021'!$Q:$Q,'Rec_raw_catch_effort_2010-2021'!$D:$D,Existing_Conditions!$B29,'Rec_raw_catch_effort_2010-2021'!$J:$J,Existing_Conditions!$C29,'Rec_raw_catch_effort_2010-2021'!$B:$B,Existing_Conditions!R$4,'Rec_raw_catch_effort_2010-2021'!$E:$E,Existing_Conditions!$O29)</f>
        <v>25164.000000000015</v>
      </c>
      <c r="S29" s="17">
        <f>SUMIFS('Rec_raw_catch_effort_2010-2021'!$Q:$Q,'Rec_raw_catch_effort_2010-2021'!$D:$D,Existing_Conditions!$B29,'Rec_raw_catch_effort_2010-2021'!$J:$J,Existing_Conditions!$C29,'Rec_raw_catch_effort_2010-2021'!$B:$B,Existing_Conditions!S$4,'Rec_raw_catch_effort_2010-2021'!$E:$E,Existing_Conditions!$O29)</f>
        <v>24545.000000000004</v>
      </c>
      <c r="T29" s="17">
        <f>SUMIFS('Rec_raw_catch_effort_2010-2021'!$Q:$Q,'Rec_raw_catch_effort_2010-2021'!$D:$D,Existing_Conditions!$B29,'Rec_raw_catch_effort_2010-2021'!$J:$J,Existing_Conditions!$C29,'Rec_raw_catch_effort_2010-2021'!$B:$B,Existing_Conditions!T$4,'Rec_raw_catch_effort_2010-2021'!$E:$E,Existing_Conditions!$O29)</f>
        <v>14341.000000000009</v>
      </c>
      <c r="U29" s="17">
        <f>SUMIFS('Rec_raw_catch_effort_2010-2021'!$Q:$Q,'Rec_raw_catch_effort_2010-2021'!$D:$D,Existing_Conditions!$B29,'Rec_raw_catch_effort_2010-2021'!$J:$J,Existing_Conditions!$C29,'Rec_raw_catch_effort_2010-2021'!$B:$B,Existing_Conditions!U$4,'Rec_raw_catch_effort_2010-2021'!$E:$E,Existing_Conditions!$O29)</f>
        <v>28511.999999999982</v>
      </c>
      <c r="V29" s="17">
        <f>SUMIFS('Rec_raw_catch_effort_2010-2021'!$Q:$Q,'Rec_raw_catch_effort_2010-2021'!$D:$D,Existing_Conditions!$B29,'Rec_raw_catch_effort_2010-2021'!$J:$J,Existing_Conditions!$C29,'Rec_raw_catch_effort_2010-2021'!$B:$B,Existing_Conditions!V$4,'Rec_raw_catch_effort_2010-2021'!$E:$E,Existing_Conditions!$O29)</f>
        <v>22158.999999999996</v>
      </c>
      <c r="W29" s="17">
        <f>SUMIFS('Rec_raw_catch_effort_2010-2021'!$Q:$Q,'Rec_raw_catch_effort_2010-2021'!$D:$D,Existing_Conditions!$B29,'Rec_raw_catch_effort_2010-2021'!$J:$J,Existing_Conditions!$C29,'Rec_raw_catch_effort_2010-2021'!$B:$B,Existing_Conditions!W$4,'Rec_raw_catch_effort_2010-2021'!$E:$E,Existing_Conditions!$O29)</f>
        <v>17179.000000000015</v>
      </c>
      <c r="X29" s="17">
        <f>SUMIFS('Rec_raw_catch_effort_2010-2021'!$Q:$Q,'Rec_raw_catch_effort_2010-2021'!$D:$D,Existing_Conditions!$B29,'Rec_raw_catch_effort_2010-2021'!$J:$J,Existing_Conditions!$C29,'Rec_raw_catch_effort_2010-2021'!$B:$B,Existing_Conditions!X$4,'Rec_raw_catch_effort_2010-2021'!$E:$E,Existing_Conditions!$O29)</f>
        <v>19840.000000000004</v>
      </c>
      <c r="Y29" s="17">
        <f>SUMIFS('Rec_raw_catch_effort_2010-2021'!$Q:$Q,'Rec_raw_catch_effort_2010-2021'!$D:$D,Existing_Conditions!$B29,'Rec_raw_catch_effort_2010-2021'!$J:$J,Existing_Conditions!$C29,'Rec_raw_catch_effort_2010-2021'!$B:$B,Existing_Conditions!Y$4,'Rec_raw_catch_effort_2010-2021'!$E:$E,Existing_Conditions!$O29)</f>
        <v>13124.000000000005</v>
      </c>
      <c r="Z29" s="37">
        <f t="shared" si="13"/>
        <v>19961.3</v>
      </c>
      <c r="AA29" t="s">
        <v>86</v>
      </c>
      <c r="AB29" s="17">
        <f>SUMIFS('Rec_raw_catch_effort_2010-2021'!$Q:$Q,'Rec_raw_catch_effort_2010-2021'!$D:$D,Existing_Conditions!$B29,'Rec_raw_catch_effort_2010-2021'!$J:$J,Existing_Conditions!$C29,'Rec_raw_catch_effort_2010-2021'!$B:$B,Existing_Conditions!AB$4,'Rec_raw_catch_effort_2010-2021'!$E:$E,Existing_Conditions!$AA29)</f>
        <v>640.99999999999989</v>
      </c>
      <c r="AC29" s="17">
        <f>SUMIFS('Rec_raw_catch_effort_2010-2021'!$Q:$Q,'Rec_raw_catch_effort_2010-2021'!$D:$D,Existing_Conditions!$B29,'Rec_raw_catch_effort_2010-2021'!$J:$J,Existing_Conditions!$C29,'Rec_raw_catch_effort_2010-2021'!$B:$B,Existing_Conditions!AC$4,'Rec_raw_catch_effort_2010-2021'!$E:$E,Existing_Conditions!$AA29)</f>
        <v>797.00000000000034</v>
      </c>
      <c r="AD29" s="17">
        <f>SUMIFS('Rec_raw_catch_effort_2010-2021'!$Q:$Q,'Rec_raw_catch_effort_2010-2021'!$D:$D,Existing_Conditions!$B29,'Rec_raw_catch_effort_2010-2021'!$J:$J,Existing_Conditions!$C29,'Rec_raw_catch_effort_2010-2021'!$B:$B,Existing_Conditions!AD$4,'Rec_raw_catch_effort_2010-2021'!$E:$E,Existing_Conditions!$AA29)</f>
        <v>648.22222222222194</v>
      </c>
      <c r="AE29" s="17">
        <f>SUMIFS('Rec_raw_catch_effort_2010-2021'!$Q:$Q,'Rec_raw_catch_effort_2010-2021'!$D:$D,Existing_Conditions!$B29,'Rec_raw_catch_effort_2010-2021'!$J:$J,Existing_Conditions!$C29,'Rec_raw_catch_effort_2010-2021'!$B:$B,Existing_Conditions!AE$4,'Rec_raw_catch_effort_2010-2021'!$E:$E,Existing_Conditions!$AA29)</f>
        <v>349.66687306501547</v>
      </c>
      <c r="AF29" s="17">
        <f>SUMIFS('Rec_raw_catch_effort_2010-2021'!$Q:$Q,'Rec_raw_catch_effort_2010-2021'!$D:$D,Existing_Conditions!$B29,'Rec_raw_catch_effort_2010-2021'!$J:$J,Existing_Conditions!$C29,'Rec_raw_catch_effort_2010-2021'!$B:$B,Existing_Conditions!AF$4,'Rec_raw_catch_effort_2010-2021'!$E:$E,Existing_Conditions!$AA29)</f>
        <v>395</v>
      </c>
      <c r="AG29" s="17">
        <f>SUMIFS('Rec_raw_catch_effort_2010-2021'!$Q:$Q,'Rec_raw_catch_effort_2010-2021'!$D:$D,Existing_Conditions!$B29,'Rec_raw_catch_effort_2010-2021'!$J:$J,Existing_Conditions!$C29,'Rec_raw_catch_effort_2010-2021'!$B:$B,Existing_Conditions!AG$4,'Rec_raw_catch_effort_2010-2021'!$E:$E,Existing_Conditions!$AA29)</f>
        <v>237.79432624113514</v>
      </c>
      <c r="AH29" s="17">
        <f>SUMIFS('Rec_raw_catch_effort_2010-2021'!$Q:$Q,'Rec_raw_catch_effort_2010-2021'!$D:$D,Existing_Conditions!$B29,'Rec_raw_catch_effort_2010-2021'!$J:$J,Existing_Conditions!$C29,'Rec_raw_catch_effort_2010-2021'!$B:$B,Existing_Conditions!AH$4,'Rec_raw_catch_effort_2010-2021'!$E:$E,Existing_Conditions!$AA29)</f>
        <v>5</v>
      </c>
      <c r="AI29" s="17">
        <f>SUMIFS('Rec_raw_catch_effort_2010-2021'!$Q:$Q,'Rec_raw_catch_effort_2010-2021'!$D:$D,Existing_Conditions!$B29,'Rec_raw_catch_effort_2010-2021'!$J:$J,Existing_Conditions!$C29,'Rec_raw_catch_effort_2010-2021'!$B:$B,Existing_Conditions!AI$4,'Rec_raw_catch_effort_2010-2021'!$E:$E,Existing_Conditions!$AA29)</f>
        <v>43</v>
      </c>
      <c r="AJ29" s="17">
        <f>SUMIFS('Rec_raw_catch_effort_2010-2021'!$Q:$Q,'Rec_raw_catch_effort_2010-2021'!$D:$D,Existing_Conditions!$B29,'Rec_raw_catch_effort_2010-2021'!$J:$J,Existing_Conditions!$C29,'Rec_raw_catch_effort_2010-2021'!$B:$B,Existing_Conditions!AJ$4,'Rec_raw_catch_effort_2010-2021'!$E:$E,Existing_Conditions!$AA29)</f>
        <v>141</v>
      </c>
      <c r="AK29" s="17">
        <f>SUMIFS('Rec_raw_catch_effort_2010-2021'!$Q:$Q,'Rec_raw_catch_effort_2010-2021'!$D:$D,Existing_Conditions!$B29,'Rec_raw_catch_effort_2010-2021'!$J:$J,Existing_Conditions!$C29,'Rec_raw_catch_effort_2010-2021'!$B:$B,Existing_Conditions!AK$4,'Rec_raw_catch_effort_2010-2021'!$E:$E,Existing_Conditions!$AA29)</f>
        <v>13</v>
      </c>
      <c r="AL29" s="37">
        <f t="shared" si="14"/>
        <v>327.06834215283726</v>
      </c>
    </row>
    <row r="30" spans="1:38" x14ac:dyDescent="0.35">
      <c r="A30" t="s">
        <v>331</v>
      </c>
      <c r="B30" t="s">
        <v>143</v>
      </c>
      <c r="C30" t="s">
        <v>137</v>
      </c>
      <c r="D30" s="17">
        <f>SUMIFS('Rec_raw_catch_effort_2010-2021'!$Q:$Q,'Rec_raw_catch_effort_2010-2021'!$D:$D,Existing_Conditions!$B30,'Rec_raw_catch_effort_2010-2021'!$J:$J,Existing_Conditions!$C30,'Rec_raw_catch_effort_2010-2021'!$B:$B,Existing_Conditions!D$4)</f>
        <v>9737</v>
      </c>
      <c r="E30" s="17">
        <f>SUMIFS('Rec_raw_catch_effort_2010-2021'!$Q:$Q,'Rec_raw_catch_effort_2010-2021'!$D:$D,Existing_Conditions!$B30,'Rec_raw_catch_effort_2010-2021'!$J:$J,Existing_Conditions!$C30,'Rec_raw_catch_effort_2010-2021'!$B:$B,Existing_Conditions!E$4)</f>
        <v>173604.10000000003</v>
      </c>
      <c r="F30" s="17">
        <f>SUMIFS('Rec_raw_catch_effort_2010-2021'!$Q:$Q,'Rec_raw_catch_effort_2010-2021'!$D:$D,Existing_Conditions!$B30,'Rec_raw_catch_effort_2010-2021'!$J:$J,Existing_Conditions!$C30,'Rec_raw_catch_effort_2010-2021'!$B:$B,Existing_Conditions!F$4)</f>
        <v>26604.848264513199</v>
      </c>
      <c r="G30" s="17">
        <f>SUMIFS('Rec_raw_catch_effort_2010-2021'!$Q:$Q,'Rec_raw_catch_effort_2010-2021'!$D:$D,Existing_Conditions!$B30,'Rec_raw_catch_effort_2010-2021'!$J:$J,Existing_Conditions!$C30,'Rec_raw_catch_effort_2010-2021'!$B:$B,Existing_Conditions!G$4)</f>
        <v>216639.61187214628</v>
      </c>
      <c r="H30" s="17">
        <f>SUMIFS('Rec_raw_catch_effort_2010-2021'!$Q:$Q,'Rec_raw_catch_effort_2010-2021'!$D:$D,Existing_Conditions!$B30,'Rec_raw_catch_effort_2010-2021'!$J:$J,Existing_Conditions!$C30,'Rec_raw_catch_effort_2010-2021'!$B:$B,Existing_Conditions!H$4)</f>
        <v>13616.818326898336</v>
      </c>
      <c r="I30" s="17">
        <f>SUMIFS('Rec_raw_catch_effort_2010-2021'!$Q:$Q,'Rec_raw_catch_effort_2010-2021'!$D:$D,Existing_Conditions!$B30,'Rec_raw_catch_effort_2010-2021'!$J:$J,Existing_Conditions!$C30,'Rec_raw_catch_effort_2010-2021'!$B:$B,Existing_Conditions!I$4)</f>
        <v>80478.16426343676</v>
      </c>
      <c r="J30" s="17">
        <f>SUMIFS('Rec_raw_catch_effort_2010-2021'!$Q:$Q,'Rec_raw_catch_effort_2010-2021'!$D:$D,Existing_Conditions!$B30,'Rec_raw_catch_effort_2010-2021'!$J:$J,Existing_Conditions!$C30,'Rec_raw_catch_effort_2010-2021'!$B:$B,Existing_Conditions!J$4)</f>
        <v>8262.1722222222179</v>
      </c>
      <c r="K30" s="17">
        <f>SUMIFS('Rec_raw_catch_effort_2010-2021'!$Q:$Q,'Rec_raw_catch_effort_2010-2021'!$D:$D,Existing_Conditions!$B30,'Rec_raw_catch_effort_2010-2021'!$J:$J,Existing_Conditions!$C30,'Rec_raw_catch_effort_2010-2021'!$B:$B,Existing_Conditions!K$4)</f>
        <v>20475.833333333336</v>
      </c>
      <c r="L30" s="17">
        <f>SUMIFS('Rec_raw_catch_effort_2010-2021'!$Q:$Q,'Rec_raw_catch_effort_2010-2021'!$D:$D,Existing_Conditions!$B30,'Rec_raw_catch_effort_2010-2021'!$J:$J,Existing_Conditions!$C30,'Rec_raw_catch_effort_2010-2021'!$B:$B,Existing_Conditions!L$4)</f>
        <v>8887.6465677179967</v>
      </c>
      <c r="M30" s="17">
        <f>SUMIFS('Rec_raw_catch_effort_2010-2021'!$Q:$Q,'Rec_raw_catch_effort_2010-2021'!$D:$D,Existing_Conditions!$B30,'Rec_raw_catch_effort_2010-2021'!$J:$J,Existing_Conditions!$C30,'Rec_raw_catch_effort_2010-2021'!$B:$B,Existing_Conditions!M$4)</f>
        <v>10491.000000000009</v>
      </c>
      <c r="N30" s="37">
        <f t="shared" si="12"/>
        <v>56879.719485026821</v>
      </c>
      <c r="O30" t="s">
        <v>10</v>
      </c>
      <c r="P30" s="17">
        <f>SUMIFS('Rec_raw_catch_effort_2010-2021'!$Q:$Q,'Rec_raw_catch_effort_2010-2021'!$D:$D,Existing_Conditions!$B30,'Rec_raw_catch_effort_2010-2021'!$J:$J,Existing_Conditions!$C30,'Rec_raw_catch_effort_2010-2021'!$B:$B,Existing_Conditions!P$4,'Rec_raw_catch_effort_2010-2021'!$E:$E,Existing_Conditions!$O30)</f>
        <v>4947.0000000000009</v>
      </c>
      <c r="Q30" s="17">
        <f>SUMIFS('Rec_raw_catch_effort_2010-2021'!$Q:$Q,'Rec_raw_catch_effort_2010-2021'!$D:$D,Existing_Conditions!$B30,'Rec_raw_catch_effort_2010-2021'!$J:$J,Existing_Conditions!$C30,'Rec_raw_catch_effort_2010-2021'!$B:$B,Existing_Conditions!Q$4,'Rec_raw_catch_effort_2010-2021'!$E:$E,Existing_Conditions!$O30)</f>
        <v>167036.00000000003</v>
      </c>
      <c r="R30" s="17">
        <f>SUMIFS('Rec_raw_catch_effort_2010-2021'!$Q:$Q,'Rec_raw_catch_effort_2010-2021'!$D:$D,Existing_Conditions!$B30,'Rec_raw_catch_effort_2010-2021'!$J:$J,Existing_Conditions!$C30,'Rec_raw_catch_effort_2010-2021'!$B:$B,Existing_Conditions!R$4,'Rec_raw_catch_effort_2010-2021'!$E:$E,Existing_Conditions!$O30)</f>
        <v>17136.000000000007</v>
      </c>
      <c r="S30" s="17">
        <f>SUMIFS('Rec_raw_catch_effort_2010-2021'!$Q:$Q,'Rec_raw_catch_effort_2010-2021'!$D:$D,Existing_Conditions!$B30,'Rec_raw_catch_effort_2010-2021'!$J:$J,Existing_Conditions!$C30,'Rec_raw_catch_effort_2010-2021'!$B:$B,Existing_Conditions!S$4,'Rec_raw_catch_effort_2010-2021'!$E:$E,Existing_Conditions!$O30)</f>
        <v>208769.00000000015</v>
      </c>
      <c r="T30" s="17">
        <f>SUMIFS('Rec_raw_catch_effort_2010-2021'!$Q:$Q,'Rec_raw_catch_effort_2010-2021'!$D:$D,Existing_Conditions!$B30,'Rec_raw_catch_effort_2010-2021'!$J:$J,Existing_Conditions!$C30,'Rec_raw_catch_effort_2010-2021'!$B:$B,Existing_Conditions!T$4,'Rec_raw_catch_effort_2010-2021'!$E:$E,Existing_Conditions!$O30)</f>
        <v>7230.0000000000045</v>
      </c>
      <c r="U30" s="17">
        <f>SUMIFS('Rec_raw_catch_effort_2010-2021'!$Q:$Q,'Rec_raw_catch_effort_2010-2021'!$D:$D,Existing_Conditions!$B30,'Rec_raw_catch_effort_2010-2021'!$J:$J,Existing_Conditions!$C30,'Rec_raw_catch_effort_2010-2021'!$B:$B,Existing_Conditions!U$4,'Rec_raw_catch_effort_2010-2021'!$E:$E,Existing_Conditions!$O30)</f>
        <v>75563.000000000044</v>
      </c>
      <c r="V30" s="17">
        <f>SUMIFS('Rec_raw_catch_effort_2010-2021'!$Q:$Q,'Rec_raw_catch_effort_2010-2021'!$D:$D,Existing_Conditions!$B30,'Rec_raw_catch_effort_2010-2021'!$J:$J,Existing_Conditions!$C30,'Rec_raw_catch_effort_2010-2021'!$B:$B,Existing_Conditions!V$4,'Rec_raw_catch_effort_2010-2021'!$E:$E,Existing_Conditions!$O30)</f>
        <v>5237.9999999999964</v>
      </c>
      <c r="W30" s="17">
        <f>SUMIFS('Rec_raw_catch_effort_2010-2021'!$Q:$Q,'Rec_raw_catch_effort_2010-2021'!$D:$D,Existing_Conditions!$B30,'Rec_raw_catch_effort_2010-2021'!$J:$J,Existing_Conditions!$C30,'Rec_raw_catch_effort_2010-2021'!$B:$B,Existing_Conditions!W$4,'Rec_raw_catch_effort_2010-2021'!$E:$E,Existing_Conditions!$O30)</f>
        <v>16702.999999999993</v>
      </c>
      <c r="X30" s="17">
        <f>SUMIFS('Rec_raw_catch_effort_2010-2021'!$Q:$Q,'Rec_raw_catch_effort_2010-2021'!$D:$D,Existing_Conditions!$B30,'Rec_raw_catch_effort_2010-2021'!$J:$J,Existing_Conditions!$C30,'Rec_raw_catch_effort_2010-2021'!$B:$B,Existing_Conditions!X$4,'Rec_raw_catch_effort_2010-2021'!$E:$E,Existing_Conditions!$O30)</f>
        <v>4735</v>
      </c>
      <c r="Y30" s="17">
        <f>SUMIFS('Rec_raw_catch_effort_2010-2021'!$Q:$Q,'Rec_raw_catch_effort_2010-2021'!$D:$D,Existing_Conditions!$B30,'Rec_raw_catch_effort_2010-2021'!$J:$J,Existing_Conditions!$C30,'Rec_raw_catch_effort_2010-2021'!$B:$B,Existing_Conditions!Y$4,'Rec_raw_catch_effort_2010-2021'!$E:$E,Existing_Conditions!$O30)</f>
        <v>10091.000000000011</v>
      </c>
      <c r="Z30" s="37">
        <f t="shared" si="13"/>
        <v>51744.800000000025</v>
      </c>
      <c r="AA30" t="s">
        <v>86</v>
      </c>
      <c r="AB30" s="17">
        <f>SUMIFS('Rec_raw_catch_effort_2010-2021'!$Q:$Q,'Rec_raw_catch_effort_2010-2021'!$D:$D,Existing_Conditions!$B30,'Rec_raw_catch_effort_2010-2021'!$J:$J,Existing_Conditions!$C30,'Rec_raw_catch_effort_2010-2021'!$B:$B,Existing_Conditions!AB$4,'Rec_raw_catch_effort_2010-2021'!$E:$E,Existing_Conditions!$AA30)</f>
        <v>4790.0000000000018</v>
      </c>
      <c r="AC30" s="17">
        <f>SUMIFS('Rec_raw_catch_effort_2010-2021'!$Q:$Q,'Rec_raw_catch_effort_2010-2021'!$D:$D,Existing_Conditions!$B30,'Rec_raw_catch_effort_2010-2021'!$J:$J,Existing_Conditions!$C30,'Rec_raw_catch_effort_2010-2021'!$B:$B,Existing_Conditions!AC$4,'Rec_raw_catch_effort_2010-2021'!$E:$E,Existing_Conditions!$AA30)</f>
        <v>6568.0999999999995</v>
      </c>
      <c r="AD30" s="17">
        <f>SUMIFS('Rec_raw_catch_effort_2010-2021'!$Q:$Q,'Rec_raw_catch_effort_2010-2021'!$D:$D,Existing_Conditions!$B30,'Rec_raw_catch_effort_2010-2021'!$J:$J,Existing_Conditions!$C30,'Rec_raw_catch_effort_2010-2021'!$B:$B,Existing_Conditions!AD$4,'Rec_raw_catch_effort_2010-2021'!$E:$E,Existing_Conditions!$AA30)</f>
        <v>9468.8482645131917</v>
      </c>
      <c r="AE30" s="17">
        <f>SUMIFS('Rec_raw_catch_effort_2010-2021'!$Q:$Q,'Rec_raw_catch_effort_2010-2021'!$D:$D,Existing_Conditions!$B30,'Rec_raw_catch_effort_2010-2021'!$J:$J,Existing_Conditions!$C30,'Rec_raw_catch_effort_2010-2021'!$B:$B,Existing_Conditions!AE$4,'Rec_raw_catch_effort_2010-2021'!$E:$E,Existing_Conditions!$AA30)</f>
        <v>7870.6118721461216</v>
      </c>
      <c r="AF30" s="17">
        <f>SUMIFS('Rec_raw_catch_effort_2010-2021'!$Q:$Q,'Rec_raw_catch_effort_2010-2021'!$D:$D,Existing_Conditions!$B30,'Rec_raw_catch_effort_2010-2021'!$J:$J,Existing_Conditions!$C30,'Rec_raw_catch_effort_2010-2021'!$B:$B,Existing_Conditions!AF$4,'Rec_raw_catch_effort_2010-2021'!$E:$E,Existing_Conditions!$AA30)</f>
        <v>6386.8183268983294</v>
      </c>
      <c r="AG30" s="17">
        <f>SUMIFS('Rec_raw_catch_effort_2010-2021'!$Q:$Q,'Rec_raw_catch_effort_2010-2021'!$D:$D,Existing_Conditions!$B30,'Rec_raw_catch_effort_2010-2021'!$J:$J,Existing_Conditions!$C30,'Rec_raw_catch_effort_2010-2021'!$B:$B,Existing_Conditions!AG$4,'Rec_raw_catch_effort_2010-2021'!$E:$E,Existing_Conditions!$AA30)</f>
        <v>4915.1642634367254</v>
      </c>
      <c r="AH30" s="17">
        <f>SUMIFS('Rec_raw_catch_effort_2010-2021'!$Q:$Q,'Rec_raw_catch_effort_2010-2021'!$D:$D,Existing_Conditions!$B30,'Rec_raw_catch_effort_2010-2021'!$J:$J,Existing_Conditions!$C30,'Rec_raw_catch_effort_2010-2021'!$B:$B,Existing_Conditions!AH$4,'Rec_raw_catch_effort_2010-2021'!$E:$E,Existing_Conditions!$AA30)</f>
        <v>3024.1722222222234</v>
      </c>
      <c r="AI30" s="17">
        <f>SUMIFS('Rec_raw_catch_effort_2010-2021'!$Q:$Q,'Rec_raw_catch_effort_2010-2021'!$D:$D,Existing_Conditions!$B30,'Rec_raw_catch_effort_2010-2021'!$J:$J,Existing_Conditions!$C30,'Rec_raw_catch_effort_2010-2021'!$B:$B,Existing_Conditions!AI$4,'Rec_raw_catch_effort_2010-2021'!$E:$E,Existing_Conditions!$AA30)</f>
        <v>3772.8333333333339</v>
      </c>
      <c r="AJ30" s="17">
        <f>SUMIFS('Rec_raw_catch_effort_2010-2021'!$Q:$Q,'Rec_raw_catch_effort_2010-2021'!$D:$D,Existing_Conditions!$B30,'Rec_raw_catch_effort_2010-2021'!$J:$J,Existing_Conditions!$C30,'Rec_raw_catch_effort_2010-2021'!$B:$B,Existing_Conditions!AJ$4,'Rec_raw_catch_effort_2010-2021'!$E:$E,Existing_Conditions!$AA30)</f>
        <v>4152.6465677179976</v>
      </c>
      <c r="AK30" s="17">
        <f>SUMIFS('Rec_raw_catch_effort_2010-2021'!$Q:$Q,'Rec_raw_catch_effort_2010-2021'!$D:$D,Existing_Conditions!$B30,'Rec_raw_catch_effort_2010-2021'!$J:$J,Existing_Conditions!$C30,'Rec_raw_catch_effort_2010-2021'!$B:$B,Existing_Conditions!AK$4,'Rec_raw_catch_effort_2010-2021'!$E:$E,Existing_Conditions!$AA30)</f>
        <v>400</v>
      </c>
      <c r="AL30" s="37">
        <f t="shared" si="14"/>
        <v>5134.9194850267922</v>
      </c>
    </row>
    <row r="31" spans="1:38" x14ac:dyDescent="0.35">
      <c r="A31" t="s">
        <v>331</v>
      </c>
      <c r="B31" t="s">
        <v>143</v>
      </c>
      <c r="C31" t="s">
        <v>139</v>
      </c>
      <c r="D31" s="17">
        <f>SUMIFS('Rec_raw_catch_effort_2010-2021'!$Q:$Q,'Rec_raw_catch_effort_2010-2021'!$D:$D,Existing_Conditions!$B31,'Rec_raw_catch_effort_2010-2021'!$J:$J,Existing_Conditions!$C31,'Rec_raw_catch_effort_2010-2021'!$B:$B,Existing_Conditions!D$4)</f>
        <v>14164.000000000007</v>
      </c>
      <c r="E31" s="17">
        <f>SUMIFS('Rec_raw_catch_effort_2010-2021'!$Q:$Q,'Rec_raw_catch_effort_2010-2021'!$D:$D,Existing_Conditions!$B31,'Rec_raw_catch_effort_2010-2021'!$J:$J,Existing_Conditions!$C31,'Rec_raw_catch_effort_2010-2021'!$B:$B,Existing_Conditions!E$4)</f>
        <v>185623.00000000006</v>
      </c>
      <c r="F31" s="17">
        <f>SUMIFS('Rec_raw_catch_effort_2010-2021'!$Q:$Q,'Rec_raw_catch_effort_2010-2021'!$D:$D,Existing_Conditions!$B31,'Rec_raw_catch_effort_2010-2021'!$J:$J,Existing_Conditions!$C31,'Rec_raw_catch_effort_2010-2021'!$B:$B,Existing_Conditions!F$4)</f>
        <v>32416.000000000004</v>
      </c>
      <c r="G31" s="17">
        <f>SUMIFS('Rec_raw_catch_effort_2010-2021'!$Q:$Q,'Rec_raw_catch_effort_2010-2021'!$D:$D,Existing_Conditions!$B31,'Rec_raw_catch_effort_2010-2021'!$J:$J,Existing_Conditions!$C31,'Rec_raw_catch_effort_2010-2021'!$B:$B,Existing_Conditions!G$4)</f>
        <v>241923.99999999997</v>
      </c>
      <c r="H31" s="17">
        <f>SUMIFS('Rec_raw_catch_effort_2010-2021'!$Q:$Q,'Rec_raw_catch_effort_2010-2021'!$D:$D,Existing_Conditions!$B31,'Rec_raw_catch_effort_2010-2021'!$J:$J,Existing_Conditions!$C31,'Rec_raw_catch_effort_2010-2021'!$B:$B,Existing_Conditions!H$4)</f>
        <v>15649.500000000004</v>
      </c>
      <c r="I31" s="17">
        <f>SUMIFS('Rec_raw_catch_effort_2010-2021'!$Q:$Q,'Rec_raw_catch_effort_2010-2021'!$D:$D,Existing_Conditions!$B31,'Rec_raw_catch_effort_2010-2021'!$J:$J,Existing_Conditions!$C31,'Rec_raw_catch_effort_2010-2021'!$B:$B,Existing_Conditions!I$4)</f>
        <v>145022.07692307697</v>
      </c>
      <c r="J31" s="17">
        <f>SUMIFS('Rec_raw_catch_effort_2010-2021'!$Q:$Q,'Rec_raw_catch_effort_2010-2021'!$D:$D,Existing_Conditions!$B31,'Rec_raw_catch_effort_2010-2021'!$J:$J,Existing_Conditions!$C31,'Rec_raw_catch_effort_2010-2021'!$B:$B,Existing_Conditions!J$4)</f>
        <v>13886.000000000005</v>
      </c>
      <c r="K31" s="17">
        <f>SUMIFS('Rec_raw_catch_effort_2010-2021'!$Q:$Q,'Rec_raw_catch_effort_2010-2021'!$D:$D,Existing_Conditions!$B31,'Rec_raw_catch_effort_2010-2021'!$J:$J,Existing_Conditions!$C31,'Rec_raw_catch_effort_2010-2021'!$B:$B,Existing_Conditions!K$4)</f>
        <v>51653.000000000007</v>
      </c>
      <c r="L31" s="17">
        <f>SUMIFS('Rec_raw_catch_effort_2010-2021'!$Q:$Q,'Rec_raw_catch_effort_2010-2021'!$D:$D,Existing_Conditions!$B31,'Rec_raw_catch_effort_2010-2021'!$J:$J,Existing_Conditions!$C31,'Rec_raw_catch_effort_2010-2021'!$B:$B,Existing_Conditions!L$4)</f>
        <v>23108.000000000007</v>
      </c>
      <c r="M31" s="17">
        <f>SUMIFS('Rec_raw_catch_effort_2010-2021'!$Q:$Q,'Rec_raw_catch_effort_2010-2021'!$D:$D,Existing_Conditions!$B31,'Rec_raw_catch_effort_2010-2021'!$J:$J,Existing_Conditions!$C31,'Rec_raw_catch_effort_2010-2021'!$B:$B,Existing_Conditions!M$4)</f>
        <v>69236.000000000015</v>
      </c>
      <c r="N31" s="37">
        <f t="shared" si="12"/>
        <v>79268.157692307694</v>
      </c>
      <c r="O31" t="s">
        <v>10</v>
      </c>
      <c r="P31" s="17">
        <f>SUMIFS('Rec_raw_catch_effort_2010-2021'!$Q:$Q,'Rec_raw_catch_effort_2010-2021'!$D:$D,Existing_Conditions!$B31,'Rec_raw_catch_effort_2010-2021'!$J:$J,Existing_Conditions!$C31,'Rec_raw_catch_effort_2010-2021'!$B:$B,Existing_Conditions!P$4,'Rec_raw_catch_effort_2010-2021'!$E:$E,Existing_Conditions!$O31)</f>
        <v>13642.000000000007</v>
      </c>
      <c r="Q31" s="17">
        <f>SUMIFS('Rec_raw_catch_effort_2010-2021'!$Q:$Q,'Rec_raw_catch_effort_2010-2021'!$D:$D,Existing_Conditions!$B31,'Rec_raw_catch_effort_2010-2021'!$J:$J,Existing_Conditions!$C31,'Rec_raw_catch_effort_2010-2021'!$B:$B,Existing_Conditions!Q$4,'Rec_raw_catch_effort_2010-2021'!$E:$E,Existing_Conditions!$O31)</f>
        <v>185040.00000000006</v>
      </c>
      <c r="R31" s="17">
        <f>SUMIFS('Rec_raw_catch_effort_2010-2021'!$Q:$Q,'Rec_raw_catch_effort_2010-2021'!$D:$D,Existing_Conditions!$B31,'Rec_raw_catch_effort_2010-2021'!$J:$J,Existing_Conditions!$C31,'Rec_raw_catch_effort_2010-2021'!$B:$B,Existing_Conditions!R$4,'Rec_raw_catch_effort_2010-2021'!$E:$E,Existing_Conditions!$O31)</f>
        <v>31683.000000000007</v>
      </c>
      <c r="S31" s="17">
        <f>SUMIFS('Rec_raw_catch_effort_2010-2021'!$Q:$Q,'Rec_raw_catch_effort_2010-2021'!$D:$D,Existing_Conditions!$B31,'Rec_raw_catch_effort_2010-2021'!$J:$J,Existing_Conditions!$C31,'Rec_raw_catch_effort_2010-2021'!$B:$B,Existing_Conditions!S$4,'Rec_raw_catch_effort_2010-2021'!$E:$E,Existing_Conditions!$O31)</f>
        <v>241056.99999999997</v>
      </c>
      <c r="T31" s="17">
        <f>SUMIFS('Rec_raw_catch_effort_2010-2021'!$Q:$Q,'Rec_raw_catch_effort_2010-2021'!$D:$D,Existing_Conditions!$B31,'Rec_raw_catch_effort_2010-2021'!$J:$J,Existing_Conditions!$C31,'Rec_raw_catch_effort_2010-2021'!$B:$B,Existing_Conditions!T$4,'Rec_raw_catch_effort_2010-2021'!$E:$E,Existing_Conditions!$O31)</f>
        <v>15407.000000000005</v>
      </c>
      <c r="U31" s="17">
        <f>SUMIFS('Rec_raw_catch_effort_2010-2021'!$Q:$Q,'Rec_raw_catch_effort_2010-2021'!$D:$D,Existing_Conditions!$B31,'Rec_raw_catch_effort_2010-2021'!$J:$J,Existing_Conditions!$C31,'Rec_raw_catch_effort_2010-2021'!$B:$B,Existing_Conditions!U$4,'Rec_raw_catch_effort_2010-2021'!$E:$E,Existing_Conditions!$O31)</f>
        <v>144870.00000000003</v>
      </c>
      <c r="V31" s="17">
        <f>SUMIFS('Rec_raw_catch_effort_2010-2021'!$Q:$Q,'Rec_raw_catch_effort_2010-2021'!$D:$D,Existing_Conditions!$B31,'Rec_raw_catch_effort_2010-2021'!$J:$J,Existing_Conditions!$C31,'Rec_raw_catch_effort_2010-2021'!$B:$B,Existing_Conditions!V$4,'Rec_raw_catch_effort_2010-2021'!$E:$E,Existing_Conditions!$O31)</f>
        <v>13719.000000000005</v>
      </c>
      <c r="W31" s="17">
        <f>SUMIFS('Rec_raw_catch_effort_2010-2021'!$Q:$Q,'Rec_raw_catch_effort_2010-2021'!$D:$D,Existing_Conditions!$B31,'Rec_raw_catch_effort_2010-2021'!$J:$J,Existing_Conditions!$C31,'Rec_raw_catch_effort_2010-2021'!$B:$B,Existing_Conditions!W$4,'Rec_raw_catch_effort_2010-2021'!$E:$E,Existing_Conditions!$O31)</f>
        <v>51293.000000000007</v>
      </c>
      <c r="X31" s="17">
        <f>SUMIFS('Rec_raw_catch_effort_2010-2021'!$Q:$Q,'Rec_raw_catch_effort_2010-2021'!$D:$D,Existing_Conditions!$B31,'Rec_raw_catch_effort_2010-2021'!$J:$J,Existing_Conditions!$C31,'Rec_raw_catch_effort_2010-2021'!$B:$B,Existing_Conditions!X$4,'Rec_raw_catch_effort_2010-2021'!$E:$E,Existing_Conditions!$O31)</f>
        <v>23103.000000000007</v>
      </c>
      <c r="Y31" s="17">
        <f>SUMIFS('Rec_raw_catch_effort_2010-2021'!$Q:$Q,'Rec_raw_catch_effort_2010-2021'!$D:$D,Existing_Conditions!$B31,'Rec_raw_catch_effort_2010-2021'!$J:$J,Existing_Conditions!$C31,'Rec_raw_catch_effort_2010-2021'!$B:$B,Existing_Conditions!Y$4,'Rec_raw_catch_effort_2010-2021'!$E:$E,Existing_Conditions!$O31)</f>
        <v>68896.000000000015</v>
      </c>
      <c r="Z31" s="37">
        <f t="shared" si="13"/>
        <v>78871</v>
      </c>
      <c r="AA31" t="s">
        <v>86</v>
      </c>
      <c r="AB31" s="17">
        <f>SUMIFS('Rec_raw_catch_effort_2010-2021'!$Q:$Q,'Rec_raw_catch_effort_2010-2021'!$D:$D,Existing_Conditions!$B31,'Rec_raw_catch_effort_2010-2021'!$J:$J,Existing_Conditions!$C31,'Rec_raw_catch_effort_2010-2021'!$B:$B,Existing_Conditions!AB$4,'Rec_raw_catch_effort_2010-2021'!$E:$E,Existing_Conditions!$AA31)</f>
        <v>522.00000000000045</v>
      </c>
      <c r="AC31" s="17">
        <f>SUMIFS('Rec_raw_catch_effort_2010-2021'!$Q:$Q,'Rec_raw_catch_effort_2010-2021'!$D:$D,Existing_Conditions!$B31,'Rec_raw_catch_effort_2010-2021'!$J:$J,Existing_Conditions!$C31,'Rec_raw_catch_effort_2010-2021'!$B:$B,Existing_Conditions!AC$4,'Rec_raw_catch_effort_2010-2021'!$E:$E,Existing_Conditions!$AA31)</f>
        <v>583.00000000000011</v>
      </c>
      <c r="AD31" s="17">
        <f>SUMIFS('Rec_raw_catch_effort_2010-2021'!$Q:$Q,'Rec_raw_catch_effort_2010-2021'!$D:$D,Existing_Conditions!$B31,'Rec_raw_catch_effort_2010-2021'!$J:$J,Existing_Conditions!$C31,'Rec_raw_catch_effort_2010-2021'!$B:$B,Existing_Conditions!AD$4,'Rec_raw_catch_effort_2010-2021'!$E:$E,Existing_Conditions!$AA31)</f>
        <v>733.00000000000023</v>
      </c>
      <c r="AE31" s="17">
        <f>SUMIFS('Rec_raw_catch_effort_2010-2021'!$Q:$Q,'Rec_raw_catch_effort_2010-2021'!$D:$D,Existing_Conditions!$B31,'Rec_raw_catch_effort_2010-2021'!$J:$J,Existing_Conditions!$C31,'Rec_raw_catch_effort_2010-2021'!$B:$B,Existing_Conditions!AE$4,'Rec_raw_catch_effort_2010-2021'!$E:$E,Existing_Conditions!$AA31)</f>
        <v>867</v>
      </c>
      <c r="AF31" s="17">
        <f>SUMIFS('Rec_raw_catch_effort_2010-2021'!$Q:$Q,'Rec_raw_catch_effort_2010-2021'!$D:$D,Existing_Conditions!$B31,'Rec_raw_catch_effort_2010-2021'!$J:$J,Existing_Conditions!$C31,'Rec_raw_catch_effort_2010-2021'!$B:$B,Existing_Conditions!AF$4,'Rec_raw_catch_effort_2010-2021'!$E:$E,Existing_Conditions!$AA31)</f>
        <v>242.49999999999997</v>
      </c>
      <c r="AG31" s="17">
        <f>SUMIFS('Rec_raw_catch_effort_2010-2021'!$Q:$Q,'Rec_raw_catch_effort_2010-2021'!$D:$D,Existing_Conditions!$B31,'Rec_raw_catch_effort_2010-2021'!$J:$J,Existing_Conditions!$C31,'Rec_raw_catch_effort_2010-2021'!$B:$B,Existing_Conditions!AG$4,'Rec_raw_catch_effort_2010-2021'!$E:$E,Existing_Conditions!$AA31)</f>
        <v>152.07692307692315</v>
      </c>
      <c r="AH31" s="17">
        <f>SUMIFS('Rec_raw_catch_effort_2010-2021'!$Q:$Q,'Rec_raw_catch_effort_2010-2021'!$D:$D,Existing_Conditions!$B31,'Rec_raw_catch_effort_2010-2021'!$J:$J,Existing_Conditions!$C31,'Rec_raw_catch_effort_2010-2021'!$B:$B,Existing_Conditions!AH$4,'Rec_raw_catch_effort_2010-2021'!$E:$E,Existing_Conditions!$AA31)</f>
        <v>167</v>
      </c>
      <c r="AI31" s="17">
        <f>SUMIFS('Rec_raw_catch_effort_2010-2021'!$Q:$Q,'Rec_raw_catch_effort_2010-2021'!$D:$D,Existing_Conditions!$B31,'Rec_raw_catch_effort_2010-2021'!$J:$J,Existing_Conditions!$C31,'Rec_raw_catch_effort_2010-2021'!$B:$B,Existing_Conditions!AI$4,'Rec_raw_catch_effort_2010-2021'!$E:$E,Existing_Conditions!$AA31)</f>
        <v>360.00000000000023</v>
      </c>
      <c r="AJ31" s="17">
        <f>SUMIFS('Rec_raw_catch_effort_2010-2021'!$Q:$Q,'Rec_raw_catch_effort_2010-2021'!$D:$D,Existing_Conditions!$B31,'Rec_raw_catch_effort_2010-2021'!$J:$J,Existing_Conditions!$C31,'Rec_raw_catch_effort_2010-2021'!$B:$B,Existing_Conditions!AJ$4,'Rec_raw_catch_effort_2010-2021'!$E:$E,Existing_Conditions!$AA31)</f>
        <v>5</v>
      </c>
      <c r="AK31" s="17">
        <f>SUMIFS('Rec_raw_catch_effort_2010-2021'!$Q:$Q,'Rec_raw_catch_effort_2010-2021'!$D:$D,Existing_Conditions!$B31,'Rec_raw_catch_effort_2010-2021'!$J:$J,Existing_Conditions!$C31,'Rec_raw_catch_effort_2010-2021'!$B:$B,Existing_Conditions!AK$4,'Rec_raw_catch_effort_2010-2021'!$E:$E,Existing_Conditions!$AA31)</f>
        <v>340</v>
      </c>
      <c r="AL31" s="37">
        <f t="shared" si="14"/>
        <v>397.15769230769246</v>
      </c>
    </row>
    <row r="32" spans="1:38" x14ac:dyDescent="0.35">
      <c r="A32" t="s">
        <v>331</v>
      </c>
      <c r="B32" t="s">
        <v>143</v>
      </c>
      <c r="C32" t="s">
        <v>141</v>
      </c>
      <c r="D32" s="17">
        <f>SUMIFS('Rec_raw_catch_effort_2010-2021'!$Q:$Q,'Rec_raw_catch_effort_2010-2021'!$D:$D,Existing_Conditions!$B32,'Rec_raw_catch_effort_2010-2021'!$J:$J,Existing_Conditions!$C32,'Rec_raw_catch_effort_2010-2021'!$B:$B,Existing_Conditions!D$4)</f>
        <v>8430.9999999999964</v>
      </c>
      <c r="E32" s="17">
        <f>SUMIFS('Rec_raw_catch_effort_2010-2021'!$Q:$Q,'Rec_raw_catch_effort_2010-2021'!$D:$D,Existing_Conditions!$B32,'Rec_raw_catch_effort_2010-2021'!$J:$J,Existing_Conditions!$C32,'Rec_raw_catch_effort_2010-2021'!$B:$B,Existing_Conditions!E$4)</f>
        <v>16328.000000000015</v>
      </c>
      <c r="F32" s="17">
        <f>SUMIFS('Rec_raw_catch_effort_2010-2021'!$Q:$Q,'Rec_raw_catch_effort_2010-2021'!$D:$D,Existing_Conditions!$B32,'Rec_raw_catch_effort_2010-2021'!$J:$J,Existing_Conditions!$C32,'Rec_raw_catch_effort_2010-2021'!$B:$B,Existing_Conditions!F$4)</f>
        <v>18346.000000000011</v>
      </c>
      <c r="G32" s="17">
        <f>SUMIFS('Rec_raw_catch_effort_2010-2021'!$Q:$Q,'Rec_raw_catch_effort_2010-2021'!$D:$D,Existing_Conditions!$B32,'Rec_raw_catch_effort_2010-2021'!$J:$J,Existing_Conditions!$C32,'Rec_raw_catch_effort_2010-2021'!$B:$B,Existing_Conditions!G$4)</f>
        <v>16377.000000000004</v>
      </c>
      <c r="H32" s="17">
        <f>SUMIFS('Rec_raw_catch_effort_2010-2021'!$Q:$Q,'Rec_raw_catch_effort_2010-2021'!$D:$D,Existing_Conditions!$B32,'Rec_raw_catch_effort_2010-2021'!$J:$J,Existing_Conditions!$C32,'Rec_raw_catch_effort_2010-2021'!$B:$B,Existing_Conditions!H$4)</f>
        <v>5403</v>
      </c>
      <c r="I32" s="17">
        <f>SUMIFS('Rec_raw_catch_effort_2010-2021'!$Q:$Q,'Rec_raw_catch_effort_2010-2021'!$D:$D,Existing_Conditions!$B32,'Rec_raw_catch_effort_2010-2021'!$J:$J,Existing_Conditions!$C32,'Rec_raw_catch_effort_2010-2021'!$B:$B,Existing_Conditions!I$4)</f>
        <v>7462</v>
      </c>
      <c r="J32" s="17">
        <f>SUMIFS('Rec_raw_catch_effort_2010-2021'!$Q:$Q,'Rec_raw_catch_effort_2010-2021'!$D:$D,Existing_Conditions!$B32,'Rec_raw_catch_effort_2010-2021'!$J:$J,Existing_Conditions!$C32,'Rec_raw_catch_effort_2010-2021'!$B:$B,Existing_Conditions!J$4)</f>
        <v>3309.0000000000009</v>
      </c>
      <c r="K32" s="17">
        <f>SUMIFS('Rec_raw_catch_effort_2010-2021'!$Q:$Q,'Rec_raw_catch_effort_2010-2021'!$D:$D,Existing_Conditions!$B32,'Rec_raw_catch_effort_2010-2021'!$J:$J,Existing_Conditions!$C32,'Rec_raw_catch_effort_2010-2021'!$B:$B,Existing_Conditions!K$4)</f>
        <v>2535.0000000000005</v>
      </c>
      <c r="L32" s="17">
        <f>SUMIFS('Rec_raw_catch_effort_2010-2021'!$Q:$Q,'Rec_raw_catch_effort_2010-2021'!$D:$D,Existing_Conditions!$B32,'Rec_raw_catch_effort_2010-2021'!$J:$J,Existing_Conditions!$C32,'Rec_raw_catch_effort_2010-2021'!$B:$B,Existing_Conditions!L$4)</f>
        <v>2564.0000000000009</v>
      </c>
      <c r="M32" s="17">
        <f>SUMIFS('Rec_raw_catch_effort_2010-2021'!$Q:$Q,'Rec_raw_catch_effort_2010-2021'!$D:$D,Existing_Conditions!$B32,'Rec_raw_catch_effort_2010-2021'!$J:$J,Existing_Conditions!$C32,'Rec_raw_catch_effort_2010-2021'!$B:$B,Existing_Conditions!M$4)</f>
        <v>1753.0000000000002</v>
      </c>
      <c r="N32" s="37">
        <f t="shared" si="12"/>
        <v>8250.8000000000029</v>
      </c>
      <c r="O32" t="s">
        <v>10</v>
      </c>
      <c r="P32" s="17">
        <f>SUMIFS('Rec_raw_catch_effort_2010-2021'!$Q:$Q,'Rec_raw_catch_effort_2010-2021'!$D:$D,Existing_Conditions!$B32,'Rec_raw_catch_effort_2010-2021'!$J:$J,Existing_Conditions!$C32,'Rec_raw_catch_effort_2010-2021'!$B:$B,Existing_Conditions!P$4,'Rec_raw_catch_effort_2010-2021'!$E:$E,Existing_Conditions!$O32)</f>
        <v>8430.9999999999964</v>
      </c>
      <c r="Q32" s="17">
        <f>SUMIFS('Rec_raw_catch_effort_2010-2021'!$Q:$Q,'Rec_raw_catch_effort_2010-2021'!$D:$D,Existing_Conditions!$B32,'Rec_raw_catch_effort_2010-2021'!$J:$J,Existing_Conditions!$C32,'Rec_raw_catch_effort_2010-2021'!$B:$B,Existing_Conditions!Q$4,'Rec_raw_catch_effort_2010-2021'!$E:$E,Existing_Conditions!$O32)</f>
        <v>16328.000000000015</v>
      </c>
      <c r="R32" s="17">
        <f>SUMIFS('Rec_raw_catch_effort_2010-2021'!$Q:$Q,'Rec_raw_catch_effort_2010-2021'!$D:$D,Existing_Conditions!$B32,'Rec_raw_catch_effort_2010-2021'!$J:$J,Existing_Conditions!$C32,'Rec_raw_catch_effort_2010-2021'!$B:$B,Existing_Conditions!R$4,'Rec_raw_catch_effort_2010-2021'!$E:$E,Existing_Conditions!$O32)</f>
        <v>18346.000000000011</v>
      </c>
      <c r="S32" s="17">
        <f>SUMIFS('Rec_raw_catch_effort_2010-2021'!$Q:$Q,'Rec_raw_catch_effort_2010-2021'!$D:$D,Existing_Conditions!$B32,'Rec_raw_catch_effort_2010-2021'!$J:$J,Existing_Conditions!$C32,'Rec_raw_catch_effort_2010-2021'!$B:$B,Existing_Conditions!S$4,'Rec_raw_catch_effort_2010-2021'!$E:$E,Existing_Conditions!$O32)</f>
        <v>16377.000000000004</v>
      </c>
      <c r="T32" s="17">
        <f>SUMIFS('Rec_raw_catch_effort_2010-2021'!$Q:$Q,'Rec_raw_catch_effort_2010-2021'!$D:$D,Existing_Conditions!$B32,'Rec_raw_catch_effort_2010-2021'!$J:$J,Existing_Conditions!$C32,'Rec_raw_catch_effort_2010-2021'!$B:$B,Existing_Conditions!T$4,'Rec_raw_catch_effort_2010-2021'!$E:$E,Existing_Conditions!$O32)</f>
        <v>5403</v>
      </c>
      <c r="U32" s="17">
        <f>SUMIFS('Rec_raw_catch_effort_2010-2021'!$Q:$Q,'Rec_raw_catch_effort_2010-2021'!$D:$D,Existing_Conditions!$B32,'Rec_raw_catch_effort_2010-2021'!$J:$J,Existing_Conditions!$C32,'Rec_raw_catch_effort_2010-2021'!$B:$B,Existing_Conditions!U$4,'Rec_raw_catch_effort_2010-2021'!$E:$E,Existing_Conditions!$O32)</f>
        <v>7462</v>
      </c>
      <c r="V32" s="17">
        <f>SUMIFS('Rec_raw_catch_effort_2010-2021'!$Q:$Q,'Rec_raw_catch_effort_2010-2021'!$D:$D,Existing_Conditions!$B32,'Rec_raw_catch_effort_2010-2021'!$J:$J,Existing_Conditions!$C32,'Rec_raw_catch_effort_2010-2021'!$B:$B,Existing_Conditions!V$4,'Rec_raw_catch_effort_2010-2021'!$E:$E,Existing_Conditions!$O32)</f>
        <v>3309.0000000000009</v>
      </c>
      <c r="W32" s="17">
        <f>SUMIFS('Rec_raw_catch_effort_2010-2021'!$Q:$Q,'Rec_raw_catch_effort_2010-2021'!$D:$D,Existing_Conditions!$B32,'Rec_raw_catch_effort_2010-2021'!$J:$J,Existing_Conditions!$C32,'Rec_raw_catch_effort_2010-2021'!$B:$B,Existing_Conditions!W$4,'Rec_raw_catch_effort_2010-2021'!$E:$E,Existing_Conditions!$O32)</f>
        <v>2535.0000000000005</v>
      </c>
      <c r="X32" s="17">
        <f>SUMIFS('Rec_raw_catch_effort_2010-2021'!$Q:$Q,'Rec_raw_catch_effort_2010-2021'!$D:$D,Existing_Conditions!$B32,'Rec_raw_catch_effort_2010-2021'!$J:$J,Existing_Conditions!$C32,'Rec_raw_catch_effort_2010-2021'!$B:$B,Existing_Conditions!X$4,'Rec_raw_catch_effort_2010-2021'!$E:$E,Existing_Conditions!$O32)</f>
        <v>2564.0000000000009</v>
      </c>
      <c r="Y32" s="17">
        <f>SUMIFS('Rec_raw_catch_effort_2010-2021'!$Q:$Q,'Rec_raw_catch_effort_2010-2021'!$D:$D,Existing_Conditions!$B32,'Rec_raw_catch_effort_2010-2021'!$J:$J,Existing_Conditions!$C32,'Rec_raw_catch_effort_2010-2021'!$B:$B,Existing_Conditions!Y$4,'Rec_raw_catch_effort_2010-2021'!$E:$E,Existing_Conditions!$O32)</f>
        <v>1753.0000000000002</v>
      </c>
      <c r="Z32" s="37">
        <f t="shared" si="13"/>
        <v>8250.8000000000029</v>
      </c>
      <c r="AA32" t="s">
        <v>86</v>
      </c>
      <c r="AB32" s="17">
        <f>SUMIFS('Rec_raw_catch_effort_2010-2021'!$Q:$Q,'Rec_raw_catch_effort_2010-2021'!$D:$D,Existing_Conditions!$B32,'Rec_raw_catch_effort_2010-2021'!$J:$J,Existing_Conditions!$C32,'Rec_raw_catch_effort_2010-2021'!$B:$B,Existing_Conditions!AB$4,'Rec_raw_catch_effort_2010-2021'!$E:$E,Existing_Conditions!$AA32)</f>
        <v>0</v>
      </c>
      <c r="AC32" s="17">
        <f>SUMIFS('Rec_raw_catch_effort_2010-2021'!$Q:$Q,'Rec_raw_catch_effort_2010-2021'!$D:$D,Existing_Conditions!$B32,'Rec_raw_catch_effort_2010-2021'!$J:$J,Existing_Conditions!$C32,'Rec_raw_catch_effort_2010-2021'!$B:$B,Existing_Conditions!AC$4,'Rec_raw_catch_effort_2010-2021'!$E:$E,Existing_Conditions!$AA32)</f>
        <v>0</v>
      </c>
      <c r="AD32" s="17">
        <f>SUMIFS('Rec_raw_catch_effort_2010-2021'!$Q:$Q,'Rec_raw_catch_effort_2010-2021'!$D:$D,Existing_Conditions!$B32,'Rec_raw_catch_effort_2010-2021'!$J:$J,Existing_Conditions!$C32,'Rec_raw_catch_effort_2010-2021'!$B:$B,Existing_Conditions!AD$4,'Rec_raw_catch_effort_2010-2021'!$E:$E,Existing_Conditions!$AA32)</f>
        <v>0</v>
      </c>
      <c r="AE32" s="17">
        <f>SUMIFS('Rec_raw_catch_effort_2010-2021'!$Q:$Q,'Rec_raw_catch_effort_2010-2021'!$D:$D,Existing_Conditions!$B32,'Rec_raw_catch_effort_2010-2021'!$J:$J,Existing_Conditions!$C32,'Rec_raw_catch_effort_2010-2021'!$B:$B,Existing_Conditions!AE$4,'Rec_raw_catch_effort_2010-2021'!$E:$E,Existing_Conditions!$AA32)</f>
        <v>0</v>
      </c>
      <c r="AF32" s="17">
        <f>SUMIFS('Rec_raw_catch_effort_2010-2021'!$Q:$Q,'Rec_raw_catch_effort_2010-2021'!$D:$D,Existing_Conditions!$B32,'Rec_raw_catch_effort_2010-2021'!$J:$J,Existing_Conditions!$C32,'Rec_raw_catch_effort_2010-2021'!$B:$B,Existing_Conditions!AF$4,'Rec_raw_catch_effort_2010-2021'!$E:$E,Existing_Conditions!$AA32)</f>
        <v>0</v>
      </c>
      <c r="AG32" s="17">
        <f>SUMIFS('Rec_raw_catch_effort_2010-2021'!$Q:$Q,'Rec_raw_catch_effort_2010-2021'!$D:$D,Existing_Conditions!$B32,'Rec_raw_catch_effort_2010-2021'!$J:$J,Existing_Conditions!$C32,'Rec_raw_catch_effort_2010-2021'!$B:$B,Existing_Conditions!AG$4,'Rec_raw_catch_effort_2010-2021'!$E:$E,Existing_Conditions!$AA32)</f>
        <v>0</v>
      </c>
      <c r="AH32" s="17">
        <f>SUMIFS('Rec_raw_catch_effort_2010-2021'!$Q:$Q,'Rec_raw_catch_effort_2010-2021'!$D:$D,Existing_Conditions!$B32,'Rec_raw_catch_effort_2010-2021'!$J:$J,Existing_Conditions!$C32,'Rec_raw_catch_effort_2010-2021'!$B:$B,Existing_Conditions!AH$4,'Rec_raw_catch_effort_2010-2021'!$E:$E,Existing_Conditions!$AA32)</f>
        <v>0</v>
      </c>
      <c r="AI32" s="17">
        <f>SUMIFS('Rec_raw_catch_effort_2010-2021'!$Q:$Q,'Rec_raw_catch_effort_2010-2021'!$D:$D,Existing_Conditions!$B32,'Rec_raw_catch_effort_2010-2021'!$J:$J,Existing_Conditions!$C32,'Rec_raw_catch_effort_2010-2021'!$B:$B,Existing_Conditions!AI$4,'Rec_raw_catch_effort_2010-2021'!$E:$E,Existing_Conditions!$AA32)</f>
        <v>0</v>
      </c>
      <c r="AJ32" s="17">
        <f>SUMIFS('Rec_raw_catch_effort_2010-2021'!$Q:$Q,'Rec_raw_catch_effort_2010-2021'!$D:$D,Existing_Conditions!$B32,'Rec_raw_catch_effort_2010-2021'!$J:$J,Existing_Conditions!$C32,'Rec_raw_catch_effort_2010-2021'!$B:$B,Existing_Conditions!AJ$4,'Rec_raw_catch_effort_2010-2021'!$E:$E,Existing_Conditions!$AA32)</f>
        <v>0</v>
      </c>
      <c r="AK32" s="17">
        <f>SUMIFS('Rec_raw_catch_effort_2010-2021'!$Q:$Q,'Rec_raw_catch_effort_2010-2021'!$D:$D,Existing_Conditions!$B32,'Rec_raw_catch_effort_2010-2021'!$J:$J,Existing_Conditions!$C32,'Rec_raw_catch_effort_2010-2021'!$B:$B,Existing_Conditions!AK$4,'Rec_raw_catch_effort_2010-2021'!$E:$E,Existing_Conditions!$AA32)</f>
        <v>0</v>
      </c>
      <c r="AL32" s="37">
        <f t="shared" si="14"/>
        <v>0</v>
      </c>
    </row>
    <row r="33" spans="1:38" x14ac:dyDescent="0.35">
      <c r="A33" t="s">
        <v>331</v>
      </c>
      <c r="B33" t="s">
        <v>168</v>
      </c>
      <c r="D33" s="52">
        <f>SUM(D28:D32)</f>
        <v>46254</v>
      </c>
      <c r="E33" s="52">
        <f t="shared" ref="E33:M33" si="18">SUM(E28:E32)</f>
        <v>401467.29047619057</v>
      </c>
      <c r="F33" s="52">
        <f t="shared" si="18"/>
        <v>104379.20937562434</v>
      </c>
      <c r="G33" s="52">
        <f t="shared" si="18"/>
        <v>501480.4620785446</v>
      </c>
      <c r="H33" s="52">
        <f t="shared" si="18"/>
        <v>50185.409235989253</v>
      </c>
      <c r="I33" s="52">
        <f t="shared" si="18"/>
        <v>262221.16086888022</v>
      </c>
      <c r="J33" s="52">
        <f t="shared" si="18"/>
        <v>48601.672222222223</v>
      </c>
      <c r="K33" s="52">
        <f t="shared" si="18"/>
        <v>93071.833333333358</v>
      </c>
      <c r="L33" s="52">
        <f t="shared" si="18"/>
        <v>54880.146567718009</v>
      </c>
      <c r="M33" s="52">
        <f t="shared" si="18"/>
        <v>95272.000000000029</v>
      </c>
      <c r="N33" s="37">
        <f>SUM(N28:N32)</f>
        <v>165781.31841585023</v>
      </c>
      <c r="O33" t="s">
        <v>10</v>
      </c>
      <c r="P33" s="52">
        <f>SUM(P28:P32)</f>
        <v>39696</v>
      </c>
      <c r="Q33" s="52">
        <f t="shared" ref="Q33:Y33" si="19">SUM(Q28:Q32)</f>
        <v>392967.00000000012</v>
      </c>
      <c r="R33" s="52">
        <f t="shared" si="19"/>
        <v>93236.000000000044</v>
      </c>
      <c r="S33" s="52">
        <f t="shared" si="19"/>
        <v>492195.00000000012</v>
      </c>
      <c r="T33" s="52">
        <f t="shared" si="19"/>
        <v>42845.000000000022</v>
      </c>
      <c r="U33" s="52">
        <f t="shared" si="19"/>
        <v>256765.00000000006</v>
      </c>
      <c r="V33" s="52">
        <f t="shared" si="19"/>
        <v>45218</v>
      </c>
      <c r="W33" s="52">
        <f t="shared" si="19"/>
        <v>88750.000000000015</v>
      </c>
      <c r="X33" s="52">
        <f t="shared" si="19"/>
        <v>50454.000000000015</v>
      </c>
      <c r="Y33" s="52">
        <f t="shared" si="19"/>
        <v>94503.000000000029</v>
      </c>
      <c r="Z33" s="37">
        <f>SUM(Z28:Z32)</f>
        <v>159662.90000000002</v>
      </c>
      <c r="AA33" t="s">
        <v>86</v>
      </c>
      <c r="AB33" s="52">
        <f>SUM(AB28:AB32)</f>
        <v>6558.0000000000018</v>
      </c>
      <c r="AC33" s="52">
        <f t="shared" ref="AC33:AK33" si="20">SUM(AC28:AC32)</f>
        <v>8500.2904761904756</v>
      </c>
      <c r="AD33" s="52">
        <f t="shared" si="20"/>
        <v>11143.209375624303</v>
      </c>
      <c r="AE33" s="52">
        <f t="shared" si="20"/>
        <v>9285.4620785444713</v>
      </c>
      <c r="AF33" s="52">
        <f t="shared" si="20"/>
        <v>7340.4092359892384</v>
      </c>
      <c r="AG33" s="52">
        <f t="shared" si="20"/>
        <v>5456.1608688801398</v>
      </c>
      <c r="AH33" s="52">
        <f t="shared" si="20"/>
        <v>3383.6722222222234</v>
      </c>
      <c r="AI33" s="52">
        <f t="shared" si="20"/>
        <v>4321.8333333333339</v>
      </c>
      <c r="AJ33" s="52">
        <f t="shared" si="20"/>
        <v>4426.1465677179976</v>
      </c>
      <c r="AK33" s="52">
        <f t="shared" si="20"/>
        <v>769</v>
      </c>
      <c r="AL33" s="37">
        <f>SUM(AL28:AL32)</f>
        <v>6118.4184158502185</v>
      </c>
    </row>
    <row r="34" spans="1:38" x14ac:dyDescent="0.35">
      <c r="B34" t="s">
        <v>157</v>
      </c>
      <c r="D34" s="53">
        <f>D27+D33</f>
        <v>97053</v>
      </c>
      <c r="E34" s="53">
        <f t="shared" ref="E34:M34" si="21">E27+E33</f>
        <v>631300.03838772047</v>
      </c>
      <c r="F34" s="53">
        <f t="shared" si="21"/>
        <v>320799.20937562437</v>
      </c>
      <c r="G34" s="53">
        <f t="shared" si="21"/>
        <v>797826.46207854454</v>
      </c>
      <c r="H34" s="53">
        <f t="shared" si="21"/>
        <v>210086.40923598927</v>
      </c>
      <c r="I34" s="53">
        <f t="shared" si="21"/>
        <v>636138.16086888022</v>
      </c>
      <c r="J34" s="53">
        <f t="shared" si="21"/>
        <v>89950.488842506893</v>
      </c>
      <c r="K34" s="53">
        <f t="shared" si="21"/>
        <v>193190.83333333337</v>
      </c>
      <c r="L34" s="53">
        <f t="shared" si="21"/>
        <v>198917.14656771804</v>
      </c>
      <c r="M34" s="53">
        <f t="shared" si="21"/>
        <v>245819.00000000009</v>
      </c>
      <c r="N34" s="37">
        <f t="shared" si="12"/>
        <v>342108.07486903173</v>
      </c>
      <c r="O34" t="s">
        <v>10</v>
      </c>
      <c r="P34" s="53">
        <f>P27+P33</f>
        <v>90382</v>
      </c>
      <c r="Q34" s="53">
        <f t="shared" ref="Q34:Y34" si="22">Q27+Q33</f>
        <v>622623.74791152996</v>
      </c>
      <c r="R34" s="53">
        <f t="shared" si="22"/>
        <v>309554.00000000006</v>
      </c>
      <c r="S34" s="53">
        <f t="shared" si="22"/>
        <v>788499.00000000012</v>
      </c>
      <c r="T34" s="53">
        <f t="shared" si="22"/>
        <v>202727</v>
      </c>
      <c r="U34" s="53">
        <f t="shared" si="22"/>
        <v>630469</v>
      </c>
      <c r="V34" s="53">
        <f t="shared" si="22"/>
        <v>86551.816620284677</v>
      </c>
      <c r="W34" s="53">
        <f t="shared" si="22"/>
        <v>188719</v>
      </c>
      <c r="X34" s="53">
        <f t="shared" si="22"/>
        <v>194407.00000000006</v>
      </c>
      <c r="Y34" s="53">
        <f t="shared" si="22"/>
        <v>244986.00000000009</v>
      </c>
      <c r="Z34" s="37">
        <f t="shared" si="13"/>
        <v>335891.85645318148</v>
      </c>
      <c r="AA34" t="s">
        <v>86</v>
      </c>
      <c r="AB34" s="53">
        <f>AB27+AB33</f>
        <v>6671.0000000000018</v>
      </c>
      <c r="AC34" s="53">
        <f t="shared" ref="AC34:AK34" si="23">AC27+AC33</f>
        <v>8676.2904761904756</v>
      </c>
      <c r="AD34" s="53">
        <f t="shared" si="23"/>
        <v>11245.209375624303</v>
      </c>
      <c r="AE34" s="53">
        <f t="shared" si="23"/>
        <v>9327.4620785444713</v>
      </c>
      <c r="AF34" s="53">
        <f t="shared" si="23"/>
        <v>7359.4092359892384</v>
      </c>
      <c r="AG34" s="53">
        <f t="shared" si="23"/>
        <v>5669.1608688801398</v>
      </c>
      <c r="AH34" s="53">
        <f t="shared" si="23"/>
        <v>3398.6722222222234</v>
      </c>
      <c r="AI34" s="53">
        <f t="shared" si="23"/>
        <v>4471.8333333333339</v>
      </c>
      <c r="AJ34" s="53">
        <f t="shared" si="23"/>
        <v>4510.1465677179976</v>
      </c>
      <c r="AK34" s="53">
        <f t="shared" si="23"/>
        <v>833</v>
      </c>
      <c r="AL34" s="37">
        <f t="shared" si="14"/>
        <v>6216.2184158502187</v>
      </c>
    </row>
    <row r="36" spans="1:38" x14ac:dyDescent="0.35">
      <c r="C36" s="15"/>
    </row>
    <row r="37" spans="1:38" x14ac:dyDescent="0.35">
      <c r="B37" s="15" t="s">
        <v>182</v>
      </c>
      <c r="C37" t="s">
        <v>2</v>
      </c>
      <c r="D37" s="15" t="s">
        <v>338</v>
      </c>
      <c r="P37" s="15" t="s">
        <v>334</v>
      </c>
      <c r="AB37" s="15" t="s">
        <v>336</v>
      </c>
    </row>
    <row r="38" spans="1:38" x14ac:dyDescent="0.35">
      <c r="A38" s="15" t="s">
        <v>330</v>
      </c>
      <c r="C38" s="15" t="s">
        <v>5</v>
      </c>
      <c r="D38" s="44">
        <v>2010</v>
      </c>
      <c r="E38" s="44">
        <v>2011</v>
      </c>
      <c r="F38" s="44">
        <v>2012</v>
      </c>
      <c r="G38" s="44">
        <v>2013</v>
      </c>
      <c r="H38" s="44">
        <v>2014</v>
      </c>
      <c r="I38" s="44">
        <v>2015</v>
      </c>
      <c r="J38" s="44">
        <v>2016</v>
      </c>
      <c r="K38" s="44">
        <v>2017</v>
      </c>
      <c r="L38" s="44">
        <v>2018</v>
      </c>
      <c r="M38" s="44">
        <v>2019</v>
      </c>
      <c r="N38" s="35" t="s">
        <v>166</v>
      </c>
      <c r="O38" s="15" t="s">
        <v>330</v>
      </c>
      <c r="P38" s="44">
        <v>2010</v>
      </c>
      <c r="Q38" s="44">
        <v>2011</v>
      </c>
      <c r="R38" s="44">
        <v>2012</v>
      </c>
      <c r="S38" s="44">
        <v>2013</v>
      </c>
      <c r="T38" s="44">
        <v>2014</v>
      </c>
      <c r="U38" s="44">
        <v>2015</v>
      </c>
      <c r="V38" s="44">
        <v>2016</v>
      </c>
      <c r="W38" s="44">
        <v>2017</v>
      </c>
      <c r="X38" s="44">
        <v>2018</v>
      </c>
      <c r="Y38" s="44">
        <v>2019</v>
      </c>
      <c r="Z38" s="35" t="s">
        <v>166</v>
      </c>
      <c r="AA38" s="15" t="s">
        <v>330</v>
      </c>
      <c r="AB38" s="44">
        <v>2010</v>
      </c>
      <c r="AC38" s="44">
        <v>2011</v>
      </c>
      <c r="AD38" s="44">
        <v>2012</v>
      </c>
      <c r="AE38" s="44">
        <v>2013</v>
      </c>
      <c r="AF38" s="44">
        <v>2014</v>
      </c>
      <c r="AG38" s="44">
        <v>2015</v>
      </c>
      <c r="AH38" s="44">
        <v>2016</v>
      </c>
      <c r="AI38" s="44">
        <v>2017</v>
      </c>
      <c r="AJ38" s="44">
        <v>2018</v>
      </c>
      <c r="AK38" s="44">
        <v>2019</v>
      </c>
      <c r="AL38" s="35" t="s">
        <v>166</v>
      </c>
    </row>
    <row r="39" spans="1:38" x14ac:dyDescent="0.35">
      <c r="A39" t="s">
        <v>331</v>
      </c>
      <c r="C39" s="17" t="s">
        <v>133</v>
      </c>
      <c r="D39" s="13">
        <f>SUM(D5,D11)</f>
        <v>65155.310156731204</v>
      </c>
      <c r="E39" s="13">
        <f t="shared" ref="E39:M39" si="24">SUM(E5,E11)</f>
        <v>98430.557238454465</v>
      </c>
      <c r="F39" s="13">
        <f t="shared" si="24"/>
        <v>100586.0933949599</v>
      </c>
      <c r="G39" s="13">
        <f t="shared" si="24"/>
        <v>87092.391166867528</v>
      </c>
      <c r="H39" s="13">
        <f t="shared" si="24"/>
        <v>103863.60294629088</v>
      </c>
      <c r="I39" s="13">
        <f t="shared" si="24"/>
        <v>96495.342670884318</v>
      </c>
      <c r="J39" s="13">
        <f t="shared" si="24"/>
        <v>43203.444037376627</v>
      </c>
      <c r="K39" s="13">
        <f t="shared" si="24"/>
        <v>38451.582184965926</v>
      </c>
      <c r="L39" s="13">
        <f t="shared" si="24"/>
        <v>52207.770174597565</v>
      </c>
      <c r="M39" s="13">
        <f t="shared" si="24"/>
        <v>47992.492714117783</v>
      </c>
      <c r="N39" s="37">
        <f>AVERAGE(D39:M39)</f>
        <v>73347.858668524612</v>
      </c>
      <c r="O39" t="s">
        <v>10</v>
      </c>
      <c r="P39" s="13">
        <f>SUM(P5,P11)</f>
        <v>52494.331575179232</v>
      </c>
      <c r="Q39" s="13">
        <f t="shared" ref="Q39:Y39" si="25">SUM(Q5,Q11)</f>
        <v>86874.736094678257</v>
      </c>
      <c r="R39" s="13">
        <f t="shared" si="25"/>
        <v>94451.506298030698</v>
      </c>
      <c r="S39" s="13">
        <f t="shared" si="25"/>
        <v>82944.961516365191</v>
      </c>
      <c r="T39" s="13">
        <f t="shared" si="25"/>
        <v>97248.693475508568</v>
      </c>
      <c r="U39" s="13">
        <f t="shared" si="25"/>
        <v>93332.706477442087</v>
      </c>
      <c r="V39" s="13">
        <f t="shared" si="25"/>
        <v>39279.587038961763</v>
      </c>
      <c r="W39" s="13">
        <f t="shared" si="25"/>
        <v>35396.205535533554</v>
      </c>
      <c r="X39" s="13">
        <f t="shared" si="25"/>
        <v>49539.547415675457</v>
      </c>
      <c r="Y39" s="13">
        <f t="shared" si="25"/>
        <v>47657.656916919717</v>
      </c>
      <c r="Z39" s="37">
        <f>AVERAGE(P39:Y39)</f>
        <v>67921.993234429465</v>
      </c>
      <c r="AA39" t="s">
        <v>86</v>
      </c>
      <c r="AB39" s="13">
        <f>SUM(AB5,AB11)</f>
        <v>12660.978581551972</v>
      </c>
      <c r="AC39" s="13">
        <f t="shared" ref="AC39:AK39" si="26">SUM(AC5,AC11)</f>
        <v>11555.821143776204</v>
      </c>
      <c r="AD39" s="13">
        <f t="shared" si="26"/>
        <v>6134.5870969292</v>
      </c>
      <c r="AE39" s="13">
        <f t="shared" si="26"/>
        <v>4147.4296505023285</v>
      </c>
      <c r="AF39" s="13">
        <f t="shared" si="26"/>
        <v>6614.9094707823006</v>
      </c>
      <c r="AG39" s="13">
        <f t="shared" si="26"/>
        <v>3162.6361934422262</v>
      </c>
      <c r="AH39" s="13">
        <f t="shared" si="26"/>
        <v>3923.8569984148676</v>
      </c>
      <c r="AI39" s="13">
        <f t="shared" si="26"/>
        <v>3055.3766494323754</v>
      </c>
      <c r="AJ39" s="13">
        <f t="shared" si="26"/>
        <v>2668.2227589221102</v>
      </c>
      <c r="AK39" s="13">
        <f t="shared" si="26"/>
        <v>334.83579719806869</v>
      </c>
      <c r="AL39" s="37">
        <f>AVERAGE(AB39:AK39)</f>
        <v>5425.8654340951643</v>
      </c>
    </row>
    <row r="40" spans="1:38" x14ac:dyDescent="0.35">
      <c r="A40" t="s">
        <v>331</v>
      </c>
      <c r="C40" s="17" t="s">
        <v>135</v>
      </c>
      <c r="D40" s="13">
        <f t="shared" ref="D40:M40" si="27">SUM(D6,D12)</f>
        <v>106968.81551460744</v>
      </c>
      <c r="E40" s="13">
        <f t="shared" si="27"/>
        <v>137343.65370303846</v>
      </c>
      <c r="F40" s="13">
        <f t="shared" si="27"/>
        <v>175259.62989080994</v>
      </c>
      <c r="G40" s="13">
        <f t="shared" si="27"/>
        <v>140333.02923173946</v>
      </c>
      <c r="H40" s="13">
        <f t="shared" si="27"/>
        <v>133211.89562321486</v>
      </c>
      <c r="I40" s="13">
        <f t="shared" si="27"/>
        <v>153120.12931883417</v>
      </c>
      <c r="J40" s="13">
        <f t="shared" si="27"/>
        <v>137564.17330686896</v>
      </c>
      <c r="K40" s="13">
        <f t="shared" si="27"/>
        <v>97892.140811669437</v>
      </c>
      <c r="L40" s="13">
        <f t="shared" si="27"/>
        <v>130842.70210615644</v>
      </c>
      <c r="M40" s="13">
        <f t="shared" si="27"/>
        <v>73259.894087364795</v>
      </c>
      <c r="N40" s="37">
        <f t="shared" ref="N40:N43" si="28">AVERAGE(D40:M40)</f>
        <v>128579.6063594304</v>
      </c>
      <c r="O40" t="s">
        <v>10</v>
      </c>
      <c r="P40" s="13">
        <f t="shared" ref="P40:Y40" si="29">SUM(P6,P12)</f>
        <v>93554.456389359824</v>
      </c>
      <c r="Q40" s="13">
        <f t="shared" si="29"/>
        <v>120664.64555510966</v>
      </c>
      <c r="R40" s="13">
        <f t="shared" si="29"/>
        <v>161694.12960710487</v>
      </c>
      <c r="S40" s="13">
        <f t="shared" si="29"/>
        <v>133015.46759445942</v>
      </c>
      <c r="T40" s="13">
        <f t="shared" si="29"/>
        <v>124945.63687988755</v>
      </c>
      <c r="U40" s="13">
        <f t="shared" si="29"/>
        <v>148143.75101907618</v>
      </c>
      <c r="V40" s="13">
        <f t="shared" si="29"/>
        <v>137459.53712024458</v>
      </c>
      <c r="W40" s="13">
        <f t="shared" si="29"/>
        <v>96992.269606699614</v>
      </c>
      <c r="X40" s="13">
        <f t="shared" si="29"/>
        <v>127891.96164334845</v>
      </c>
      <c r="Y40" s="13">
        <f t="shared" si="29"/>
        <v>72987.840002141369</v>
      </c>
      <c r="Z40" s="37">
        <f t="shared" ref="Z40:Z43" si="30">AVERAGE(P40:Y40)</f>
        <v>121734.96954174316</v>
      </c>
      <c r="AA40" t="s">
        <v>86</v>
      </c>
      <c r="AB40" s="13">
        <f t="shared" ref="AB40:AK40" si="31">SUM(AB6,AB12)</f>
        <v>13414.359125247625</v>
      </c>
      <c r="AC40" s="13">
        <f t="shared" si="31"/>
        <v>16679.008147928806</v>
      </c>
      <c r="AD40" s="13">
        <f t="shared" si="31"/>
        <v>13565.500283705083</v>
      </c>
      <c r="AE40" s="13">
        <f t="shared" si="31"/>
        <v>7317.5616372800205</v>
      </c>
      <c r="AF40" s="13">
        <f t="shared" si="31"/>
        <v>8266.2587433273202</v>
      </c>
      <c r="AG40" s="13">
        <f t="shared" si="31"/>
        <v>4976.3782997580074</v>
      </c>
      <c r="AH40" s="13">
        <f t="shared" si="31"/>
        <v>104.63618662439646</v>
      </c>
      <c r="AI40" s="13">
        <f t="shared" si="31"/>
        <v>899.87120496980958</v>
      </c>
      <c r="AJ40" s="13">
        <f t="shared" si="31"/>
        <v>2950.7404628079807</v>
      </c>
      <c r="AK40" s="13">
        <f t="shared" si="31"/>
        <v>272.05408522343077</v>
      </c>
      <c r="AL40" s="37">
        <f t="shared" ref="AL40:AL43" si="32">AVERAGE(AB40:AK40)</f>
        <v>6844.6368176872475</v>
      </c>
    </row>
    <row r="41" spans="1:38" x14ac:dyDescent="0.35">
      <c r="A41" t="s">
        <v>331</v>
      </c>
      <c r="C41" s="17" t="s">
        <v>137</v>
      </c>
      <c r="D41" s="13">
        <f t="shared" ref="D41:M41" si="33">SUM(D7,D13)</f>
        <v>218046.07737677533</v>
      </c>
      <c r="E41" s="13">
        <f t="shared" si="33"/>
        <v>862091.77178121614</v>
      </c>
      <c r="F41" s="13">
        <f t="shared" si="33"/>
        <v>431764.56131230132</v>
      </c>
      <c r="G41" s="13">
        <f t="shared" si="33"/>
        <v>1081603.6944043187</v>
      </c>
      <c r="H41" s="13">
        <f t="shared" si="33"/>
        <v>335770.39013363665</v>
      </c>
      <c r="I41" s="13">
        <f t="shared" si="33"/>
        <v>625379.68184155354</v>
      </c>
      <c r="J41" s="13">
        <f t="shared" si="33"/>
        <v>140468.05431638379</v>
      </c>
      <c r="K41" s="13">
        <f t="shared" si="33"/>
        <v>179297.88708179939</v>
      </c>
      <c r="L41" s="13">
        <f t="shared" si="33"/>
        <v>170015.15373603953</v>
      </c>
      <c r="M41" s="13">
        <f t="shared" si="33"/>
        <v>107027.96015756532</v>
      </c>
      <c r="N41" s="37">
        <f t="shared" si="28"/>
        <v>415146.52321415895</v>
      </c>
      <c r="O41" t="s">
        <v>10</v>
      </c>
      <c r="P41" s="13">
        <f t="shared" ref="P41:Y41" si="34">SUM(P7,P13)</f>
        <v>116636.92811064802</v>
      </c>
      <c r="Q41" s="13">
        <f t="shared" si="34"/>
        <v>724316.51680647512</v>
      </c>
      <c r="R41" s="13">
        <f t="shared" si="34"/>
        <v>233388.34283688408</v>
      </c>
      <c r="S41" s="13">
        <f t="shared" si="34"/>
        <v>916832.27357293584</v>
      </c>
      <c r="T41" s="13">
        <f t="shared" si="34"/>
        <v>202048.2819567385</v>
      </c>
      <c r="U41" s="13">
        <f t="shared" si="34"/>
        <v>522192.22275127901</v>
      </c>
      <c r="V41" s="13">
        <f t="shared" si="34"/>
        <v>77075.618587744975</v>
      </c>
      <c r="W41" s="13">
        <f t="shared" si="34"/>
        <v>99966.925342961666</v>
      </c>
      <c r="X41" s="13">
        <f t="shared" si="34"/>
        <v>82938.849761882011</v>
      </c>
      <c r="Y41" s="13">
        <f t="shared" si="34"/>
        <v>98570.560150811769</v>
      </c>
      <c r="Z41" s="37">
        <f t="shared" si="30"/>
        <v>307396.65198783606</v>
      </c>
      <c r="AA41" t="s">
        <v>86</v>
      </c>
      <c r="AB41" s="13">
        <f t="shared" ref="AB41:AK41" si="35">SUM(AB7,AB13)</f>
        <v>101409.14926612729</v>
      </c>
      <c r="AC41" s="13">
        <f t="shared" si="35"/>
        <v>137775.25497474088</v>
      </c>
      <c r="AD41" s="13">
        <f t="shared" si="35"/>
        <v>198376.21847541718</v>
      </c>
      <c r="AE41" s="13">
        <f t="shared" si="35"/>
        <v>164771.42083138245</v>
      </c>
      <c r="AF41" s="13">
        <f t="shared" si="35"/>
        <v>133722.10817689812</v>
      </c>
      <c r="AG41" s="13">
        <f t="shared" si="35"/>
        <v>103187.45909027444</v>
      </c>
      <c r="AH41" s="13">
        <f t="shared" si="35"/>
        <v>63392.43572863876</v>
      </c>
      <c r="AI41" s="13">
        <f t="shared" si="35"/>
        <v>79330.961738837708</v>
      </c>
      <c r="AJ41" s="13">
        <f t="shared" si="35"/>
        <v>87076.303974157534</v>
      </c>
      <c r="AK41" s="13">
        <f t="shared" si="35"/>
        <v>8457.4000067535635</v>
      </c>
      <c r="AL41" s="37">
        <f t="shared" si="32"/>
        <v>107749.87122632279</v>
      </c>
    </row>
    <row r="42" spans="1:38" x14ac:dyDescent="0.35">
      <c r="A42" t="s">
        <v>331</v>
      </c>
      <c r="C42" s="17" t="s">
        <v>139</v>
      </c>
      <c r="D42" s="13">
        <f t="shared" ref="D42:M42" si="36">SUM(D8,D14)</f>
        <v>203055.48588549942</v>
      </c>
      <c r="E42" s="13">
        <f t="shared" si="36"/>
        <v>804721.98126332299</v>
      </c>
      <c r="F42" s="13">
        <f t="shared" si="36"/>
        <v>306708.76298615546</v>
      </c>
      <c r="G42" s="13">
        <f t="shared" si="36"/>
        <v>1027326.8760533001</v>
      </c>
      <c r="H42" s="13">
        <f t="shared" si="36"/>
        <v>196746.38745895549</v>
      </c>
      <c r="I42" s="13">
        <f t="shared" si="36"/>
        <v>629091.25837214675</v>
      </c>
      <c r="J42" s="13">
        <f t="shared" si="36"/>
        <v>119094.78236278403</v>
      </c>
      <c r="K42" s="13">
        <f t="shared" si="36"/>
        <v>270244.41504613042</v>
      </c>
      <c r="L42" s="13">
        <f t="shared" si="36"/>
        <v>197019.57320958219</v>
      </c>
      <c r="M42" s="13">
        <f t="shared" si="36"/>
        <v>328760.62680025294</v>
      </c>
      <c r="N42" s="37">
        <f t="shared" si="28"/>
        <v>408277.01494381303</v>
      </c>
      <c r="O42" t="s">
        <v>10</v>
      </c>
      <c r="P42" s="13">
        <f t="shared" ref="P42:Y42" si="37">SUM(P8,P14)</f>
        <v>192131.46800191241</v>
      </c>
      <c r="Q42" s="13">
        <f t="shared" si="37"/>
        <v>792521.40190291835</v>
      </c>
      <c r="R42" s="13">
        <f t="shared" si="37"/>
        <v>291369.09802701895</v>
      </c>
      <c r="S42" s="13">
        <f t="shared" si="37"/>
        <v>1009182.9612926297</v>
      </c>
      <c r="T42" s="13">
        <f t="shared" si="37"/>
        <v>191671.53240767226</v>
      </c>
      <c r="U42" s="13">
        <f t="shared" si="37"/>
        <v>625908.7085112785</v>
      </c>
      <c r="V42" s="13">
        <f t="shared" si="37"/>
        <v>115599.93372952918</v>
      </c>
      <c r="W42" s="13">
        <f t="shared" si="37"/>
        <v>262710.60960917384</v>
      </c>
      <c r="X42" s="13">
        <f t="shared" si="37"/>
        <v>196914.93702295778</v>
      </c>
      <c r="Y42" s="13">
        <f t="shared" si="37"/>
        <v>321645.36610979401</v>
      </c>
      <c r="Z42" s="37">
        <f t="shared" si="30"/>
        <v>399965.60166148853</v>
      </c>
      <c r="AA42" t="s">
        <v>86</v>
      </c>
      <c r="AB42" s="13">
        <f t="shared" ref="AB42:AK42" si="38">SUM(AB8,AB14)</f>
        <v>10924.017883587001</v>
      </c>
      <c r="AC42" s="13">
        <f t="shared" si="38"/>
        <v>12200.57936040463</v>
      </c>
      <c r="AD42" s="13">
        <f t="shared" si="38"/>
        <v>15339.664959136526</v>
      </c>
      <c r="AE42" s="13">
        <f t="shared" si="38"/>
        <v>18143.914760670348</v>
      </c>
      <c r="AF42" s="13">
        <f t="shared" si="38"/>
        <v>5074.855051283228</v>
      </c>
      <c r="AG42" s="13">
        <f t="shared" si="38"/>
        <v>3182.5498608681828</v>
      </c>
      <c r="AH42" s="13">
        <f t="shared" si="38"/>
        <v>3494.8486332548418</v>
      </c>
      <c r="AI42" s="13">
        <f t="shared" si="38"/>
        <v>7533.8054369565507</v>
      </c>
      <c r="AJ42" s="13">
        <f t="shared" si="38"/>
        <v>104.63618662439646</v>
      </c>
      <c r="AK42" s="13">
        <f t="shared" si="38"/>
        <v>7115.2606904589593</v>
      </c>
      <c r="AL42" s="37">
        <f t="shared" si="32"/>
        <v>8311.4132823244672</v>
      </c>
    </row>
    <row r="43" spans="1:38" x14ac:dyDescent="0.35">
      <c r="A43" t="s">
        <v>331</v>
      </c>
      <c r="C43" s="17" t="s">
        <v>141</v>
      </c>
      <c r="D43" s="13">
        <f t="shared" ref="D43:M43" si="39">SUM(D9,D15)</f>
        <v>51932.067396578459</v>
      </c>
      <c r="E43" s="13">
        <f t="shared" si="39"/>
        <v>90463.872300767325</v>
      </c>
      <c r="F43" s="13">
        <f t="shared" si="39"/>
        <v>115722.04427086096</v>
      </c>
      <c r="G43" s="13">
        <f t="shared" si="39"/>
        <v>81088.395282316633</v>
      </c>
      <c r="H43" s="13">
        <f t="shared" si="39"/>
        <v>42552.635146923683</v>
      </c>
      <c r="I43" s="13">
        <f t="shared" si="39"/>
        <v>55027.249761656392</v>
      </c>
      <c r="J43" s="13">
        <f t="shared" si="39"/>
        <v>42004.557177710602</v>
      </c>
      <c r="K43" s="13">
        <f t="shared" si="39"/>
        <v>15867.084740378836</v>
      </c>
      <c r="L43" s="13">
        <f t="shared" si="39"/>
        <v>19316.588412197194</v>
      </c>
      <c r="M43" s="13">
        <f t="shared" si="39"/>
        <v>9542.4235139058364</v>
      </c>
      <c r="N43" s="37">
        <f t="shared" si="28"/>
        <v>52351.691800329594</v>
      </c>
      <c r="O43" t="s">
        <v>10</v>
      </c>
      <c r="P43" s="13">
        <f t="shared" ref="P43:Y43" si="40">SUM(P9,P15)</f>
        <v>51932.067396578459</v>
      </c>
      <c r="Q43" s="13">
        <f t="shared" si="40"/>
        <v>90463.872300767325</v>
      </c>
      <c r="R43" s="13">
        <f t="shared" si="40"/>
        <v>115722.04427086096</v>
      </c>
      <c r="S43" s="13">
        <f t="shared" si="40"/>
        <v>81088.395282316633</v>
      </c>
      <c r="T43" s="13">
        <f t="shared" si="40"/>
        <v>42552.635146923683</v>
      </c>
      <c r="U43" s="13">
        <f t="shared" si="40"/>
        <v>55027.249761656392</v>
      </c>
      <c r="V43" s="13">
        <f t="shared" si="40"/>
        <v>42004.557177710602</v>
      </c>
      <c r="W43" s="13">
        <f t="shared" si="40"/>
        <v>15867.084740378836</v>
      </c>
      <c r="X43" s="13">
        <f t="shared" si="40"/>
        <v>19316.588412197194</v>
      </c>
      <c r="Y43" s="13">
        <f t="shared" si="40"/>
        <v>9542.4235139058364</v>
      </c>
      <c r="Z43" s="37">
        <f t="shared" si="30"/>
        <v>52351.691800329594</v>
      </c>
      <c r="AA43" t="s">
        <v>86</v>
      </c>
      <c r="AB43" s="13">
        <f t="shared" ref="AB43:AK43" si="41">SUM(AB9,AB15)</f>
        <v>0</v>
      </c>
      <c r="AC43" s="13">
        <f t="shared" si="41"/>
        <v>0</v>
      </c>
      <c r="AD43" s="13">
        <f t="shared" si="41"/>
        <v>0</v>
      </c>
      <c r="AE43" s="13">
        <f t="shared" si="41"/>
        <v>0</v>
      </c>
      <c r="AF43" s="13">
        <f t="shared" si="41"/>
        <v>0</v>
      </c>
      <c r="AG43" s="13">
        <f t="shared" si="41"/>
        <v>0</v>
      </c>
      <c r="AH43" s="13">
        <f t="shared" si="41"/>
        <v>0</v>
      </c>
      <c r="AI43" s="13">
        <f t="shared" si="41"/>
        <v>0</v>
      </c>
      <c r="AJ43" s="13">
        <f t="shared" si="41"/>
        <v>0</v>
      </c>
      <c r="AK43" s="13">
        <f t="shared" si="41"/>
        <v>0</v>
      </c>
      <c r="AL43" s="37">
        <f t="shared" si="32"/>
        <v>0</v>
      </c>
    </row>
    <row r="44" spans="1:38" x14ac:dyDescent="0.35">
      <c r="C44" s="17"/>
      <c r="D44" s="38">
        <f>SUM(D39:D43)</f>
        <v>645157.75633019186</v>
      </c>
      <c r="E44" s="38">
        <f t="shared" ref="E44:M44" si="42">SUM(E39:E43)</f>
        <v>1993051.8362867993</v>
      </c>
      <c r="F44" s="38">
        <f t="shared" si="42"/>
        <v>1130041.0918550876</v>
      </c>
      <c r="G44" s="38">
        <f t="shared" si="42"/>
        <v>2417444.3861385421</v>
      </c>
      <c r="H44" s="38">
        <f t="shared" si="42"/>
        <v>812144.91130902164</v>
      </c>
      <c r="I44" s="38">
        <f t="shared" si="42"/>
        <v>1559113.6619650752</v>
      </c>
      <c r="J44" s="38">
        <f t="shared" si="42"/>
        <v>482335.011201124</v>
      </c>
      <c r="K44" s="38">
        <f t="shared" si="42"/>
        <v>601753.10986494413</v>
      </c>
      <c r="L44" s="38">
        <f t="shared" si="42"/>
        <v>569401.78763857286</v>
      </c>
      <c r="M44" s="38">
        <f t="shared" si="42"/>
        <v>566583.39727320662</v>
      </c>
      <c r="N44" s="37">
        <f>SUM(N39:N43)</f>
        <v>1077702.6949862565</v>
      </c>
      <c r="O44" t="s">
        <v>10</v>
      </c>
      <c r="P44" s="38">
        <f>SUM(P39:P43)</f>
        <v>506749.25147367793</v>
      </c>
      <c r="Q44" s="38">
        <f t="shared" ref="Q44:Y44" si="43">SUM(Q39:Q43)</f>
        <v>1814841.1726599487</v>
      </c>
      <c r="R44" s="38">
        <f t="shared" si="43"/>
        <v>896625.12103989953</v>
      </c>
      <c r="S44" s="38">
        <f t="shared" si="43"/>
        <v>2223064.0592587064</v>
      </c>
      <c r="T44" s="38">
        <f t="shared" si="43"/>
        <v>658466.77986673056</v>
      </c>
      <c r="U44" s="38">
        <f t="shared" si="43"/>
        <v>1444604.6385207321</v>
      </c>
      <c r="V44" s="38">
        <f t="shared" si="43"/>
        <v>411419.23365419108</v>
      </c>
      <c r="W44" s="38">
        <f t="shared" si="43"/>
        <v>510933.09483474749</v>
      </c>
      <c r="X44" s="38">
        <f t="shared" si="43"/>
        <v>476601.88425606088</v>
      </c>
      <c r="Y44" s="38">
        <f t="shared" si="43"/>
        <v>550403.8466935727</v>
      </c>
      <c r="Z44" s="37">
        <f>SUM(Z39:Z43)</f>
        <v>949370.9082258268</v>
      </c>
      <c r="AA44" t="s">
        <v>86</v>
      </c>
      <c r="AB44" s="38">
        <f>SUM(AB39:AB43)</f>
        <v>138408.50485651387</v>
      </c>
      <c r="AC44" s="38">
        <f t="shared" ref="AC44:AK44" si="44">SUM(AC39:AC43)</f>
        <v>178210.66362685052</v>
      </c>
      <c r="AD44" s="38">
        <f t="shared" si="44"/>
        <v>233415.97081518796</v>
      </c>
      <c r="AE44" s="38">
        <f t="shared" si="44"/>
        <v>194380.32687983516</v>
      </c>
      <c r="AF44" s="38">
        <f t="shared" si="44"/>
        <v>153678.13144229096</v>
      </c>
      <c r="AG44" s="38">
        <f t="shared" si="44"/>
        <v>114509.02344434285</v>
      </c>
      <c r="AH44" s="38">
        <f t="shared" si="44"/>
        <v>70915.777546932863</v>
      </c>
      <c r="AI44" s="38">
        <f t="shared" si="44"/>
        <v>90820.015030196446</v>
      </c>
      <c r="AJ44" s="38">
        <f t="shared" si="44"/>
        <v>92799.903382512028</v>
      </c>
      <c r="AK44" s="38">
        <f t="shared" si="44"/>
        <v>16179.550579634022</v>
      </c>
      <c r="AL44" s="37">
        <f>SUM(AL39:AL43)</f>
        <v>128331.78676042968</v>
      </c>
    </row>
    <row r="45" spans="1:38" x14ac:dyDescent="0.35">
      <c r="B45" s="36"/>
      <c r="C45" s="39"/>
      <c r="D45" s="39"/>
      <c r="E45" s="39"/>
      <c r="F45" s="39"/>
      <c r="G45" s="39"/>
      <c r="H45" s="39"/>
      <c r="I45" s="39"/>
    </row>
    <row r="46" spans="1:38" x14ac:dyDescent="0.35">
      <c r="C46" s="15"/>
    </row>
    <row r="47" spans="1:38" x14ac:dyDescent="0.35">
      <c r="B47" s="15" t="s">
        <v>182</v>
      </c>
      <c r="C47" t="s">
        <v>2</v>
      </c>
      <c r="D47" s="15" t="s">
        <v>339</v>
      </c>
      <c r="P47" s="15" t="s">
        <v>335</v>
      </c>
      <c r="AB47" s="15" t="s">
        <v>337</v>
      </c>
    </row>
    <row r="48" spans="1:38" x14ac:dyDescent="0.35">
      <c r="A48" s="15" t="s">
        <v>330</v>
      </c>
      <c r="C48" s="15" t="s">
        <v>5</v>
      </c>
      <c r="D48" s="44">
        <v>2010</v>
      </c>
      <c r="E48" s="44">
        <v>2011</v>
      </c>
      <c r="F48" s="44">
        <v>2012</v>
      </c>
      <c r="G48" s="44">
        <v>2013</v>
      </c>
      <c r="H48" s="44">
        <v>2014</v>
      </c>
      <c r="I48" s="44">
        <v>2015</v>
      </c>
      <c r="J48" s="44">
        <v>2016</v>
      </c>
      <c r="K48" s="44">
        <v>2017</v>
      </c>
      <c r="L48" s="44">
        <v>2018</v>
      </c>
      <c r="M48" s="44">
        <v>2019</v>
      </c>
      <c r="N48" s="35" t="s">
        <v>166</v>
      </c>
      <c r="O48" s="15" t="s">
        <v>330</v>
      </c>
      <c r="P48" s="44">
        <v>2010</v>
      </c>
      <c r="Q48" s="44">
        <v>2011</v>
      </c>
      <c r="R48" s="44">
        <v>2012</v>
      </c>
      <c r="S48" s="44">
        <v>2013</v>
      </c>
      <c r="T48" s="44">
        <v>2014</v>
      </c>
      <c r="U48" s="44">
        <v>2015</v>
      </c>
      <c r="V48" s="44">
        <v>2016</v>
      </c>
      <c r="W48" s="44">
        <v>2017</v>
      </c>
      <c r="X48" s="44">
        <v>2018</v>
      </c>
      <c r="Y48" s="44">
        <v>2019</v>
      </c>
      <c r="Z48" s="35" t="s">
        <v>166</v>
      </c>
      <c r="AA48" s="15" t="s">
        <v>330</v>
      </c>
      <c r="AB48" s="44">
        <v>2010</v>
      </c>
      <c r="AC48" s="44">
        <v>2011</v>
      </c>
      <c r="AD48" s="44">
        <v>2012</v>
      </c>
      <c r="AE48" s="44">
        <v>2013</v>
      </c>
      <c r="AF48" s="44">
        <v>2014</v>
      </c>
      <c r="AG48" s="44">
        <v>2015</v>
      </c>
      <c r="AH48" s="44">
        <v>2016</v>
      </c>
      <c r="AI48" s="44">
        <v>2017</v>
      </c>
      <c r="AJ48" s="44">
        <v>2018</v>
      </c>
      <c r="AK48" s="44">
        <v>2019</v>
      </c>
      <c r="AL48" s="35" t="s">
        <v>166</v>
      </c>
    </row>
    <row r="49" spans="1:38" x14ac:dyDescent="0.35">
      <c r="A49" t="s">
        <v>331</v>
      </c>
      <c r="C49" s="17" t="s">
        <v>133</v>
      </c>
      <c r="D49" s="13">
        <f>SUM(D22,D28)</f>
        <v>23469.000000000011</v>
      </c>
      <c r="E49" s="13">
        <f t="shared" ref="E49:M49" si="45">SUM(E22,E28)</f>
        <v>84991.658668139324</v>
      </c>
      <c r="F49" s="13">
        <f t="shared" si="45"/>
        <v>91090.138888888891</v>
      </c>
      <c r="G49" s="13">
        <f t="shared" si="45"/>
        <v>94024.183333333451</v>
      </c>
      <c r="H49" s="13">
        <f t="shared" si="45"/>
        <v>75393.090909090883</v>
      </c>
      <c r="I49" s="13">
        <f t="shared" si="45"/>
        <v>117208.1253561254</v>
      </c>
      <c r="J49" s="13">
        <f t="shared" si="45"/>
        <v>12521.5</v>
      </c>
      <c r="K49" s="13">
        <f t="shared" si="45"/>
        <v>20356.000000000004</v>
      </c>
      <c r="L49" s="13">
        <f t="shared" si="45"/>
        <v>43382.499999999978</v>
      </c>
      <c r="M49" s="13">
        <f t="shared" si="45"/>
        <v>37276.000000000015</v>
      </c>
      <c r="N49" s="37">
        <f>AVERAGE(D49:M49)</f>
        <v>59971.219715557796</v>
      </c>
      <c r="O49" t="s">
        <v>10</v>
      </c>
      <c r="P49" s="13">
        <f>SUM(P22,P28)</f>
        <v>22864.000000000011</v>
      </c>
      <c r="Q49" s="13">
        <f t="shared" ref="Q49:Y49" si="46">SUM(Q22,Q28)</f>
        <v>84439.46819194885</v>
      </c>
      <c r="R49" s="13">
        <f t="shared" si="46"/>
        <v>90797</v>
      </c>
      <c r="S49" s="13">
        <f t="shared" si="46"/>
        <v>93826.000000000116</v>
      </c>
      <c r="T49" s="13">
        <f t="shared" si="46"/>
        <v>75076.999999999971</v>
      </c>
      <c r="U49" s="13">
        <f t="shared" si="46"/>
        <v>117057.00000000004</v>
      </c>
      <c r="V49" s="13">
        <f t="shared" si="46"/>
        <v>12334</v>
      </c>
      <c r="W49" s="13">
        <f t="shared" si="46"/>
        <v>20210.000000000004</v>
      </c>
      <c r="X49" s="13">
        <f t="shared" si="46"/>
        <v>43254.999999999978</v>
      </c>
      <c r="Y49" s="13">
        <f t="shared" si="46"/>
        <v>37260.000000000015</v>
      </c>
      <c r="Z49" s="37">
        <f>AVERAGE(P49:Y49)</f>
        <v>59711.946819194898</v>
      </c>
      <c r="AA49" t="s">
        <v>86</v>
      </c>
      <c r="AB49" s="13">
        <f>SUM(AB22,AB28)</f>
        <v>604.99999999999989</v>
      </c>
      <c r="AC49" s="13">
        <f t="shared" ref="AC49:AK49" si="47">SUM(AC22,AC28)</f>
        <v>552.19047619047637</v>
      </c>
      <c r="AD49" s="13">
        <f t="shared" si="47"/>
        <v>293.13888888888891</v>
      </c>
      <c r="AE49" s="13">
        <f t="shared" si="47"/>
        <v>198.18333333333337</v>
      </c>
      <c r="AF49" s="13">
        <f t="shared" si="47"/>
        <v>316.09090909090924</v>
      </c>
      <c r="AG49" s="13">
        <f t="shared" si="47"/>
        <v>151.12535612535603</v>
      </c>
      <c r="AH49" s="13">
        <f t="shared" si="47"/>
        <v>187.50000000000006</v>
      </c>
      <c r="AI49" s="13">
        <f t="shared" si="47"/>
        <v>145.99999999999991</v>
      </c>
      <c r="AJ49" s="13">
        <f t="shared" si="47"/>
        <v>127.5</v>
      </c>
      <c r="AK49" s="13">
        <f t="shared" si="47"/>
        <v>16</v>
      </c>
      <c r="AL49" s="37">
        <f>AVERAGE(AB49:AK49)</f>
        <v>259.2728963628964</v>
      </c>
    </row>
    <row r="50" spans="1:38" x14ac:dyDescent="0.35">
      <c r="A50" t="s">
        <v>331</v>
      </c>
      <c r="C50" s="17" t="s">
        <v>135</v>
      </c>
      <c r="D50" s="13">
        <f t="shared" ref="D50:M50" si="48">SUM(D23,D29)</f>
        <v>17548.999999999989</v>
      </c>
      <c r="E50" s="13">
        <f t="shared" si="48"/>
        <v>42485.92690805201</v>
      </c>
      <c r="F50" s="13">
        <f t="shared" si="48"/>
        <v>35040.222222222241</v>
      </c>
      <c r="G50" s="13">
        <f t="shared" si="48"/>
        <v>51400.66687306502</v>
      </c>
      <c r="H50" s="13">
        <f t="shared" si="48"/>
        <v>25957.000000000015</v>
      </c>
      <c r="I50" s="13">
        <f t="shared" si="48"/>
        <v>68856.794326241128</v>
      </c>
      <c r="J50" s="13">
        <f t="shared" si="48"/>
        <v>28369</v>
      </c>
      <c r="K50" s="13">
        <f t="shared" si="48"/>
        <v>30277.000000000018</v>
      </c>
      <c r="L50" s="13">
        <f t="shared" si="48"/>
        <v>33848.000000000007</v>
      </c>
      <c r="M50" s="13">
        <f t="shared" si="48"/>
        <v>25053.000000000015</v>
      </c>
      <c r="N50" s="37">
        <f t="shared" ref="N50:N53" si="49">AVERAGE(D50:M50)</f>
        <v>35883.661032958044</v>
      </c>
      <c r="O50" t="s">
        <v>10</v>
      </c>
      <c r="P50" s="13">
        <f t="shared" ref="P50:Y50" si="50">SUM(P23,P29)</f>
        <v>16907.999999999993</v>
      </c>
      <c r="Q50" s="13">
        <f t="shared" si="50"/>
        <v>41688.92690805201</v>
      </c>
      <c r="R50" s="13">
        <f t="shared" si="50"/>
        <v>34392.000000000022</v>
      </c>
      <c r="S50" s="13">
        <f t="shared" si="50"/>
        <v>51051</v>
      </c>
      <c r="T50" s="13">
        <f t="shared" si="50"/>
        <v>25562.000000000015</v>
      </c>
      <c r="U50" s="13">
        <f t="shared" si="50"/>
        <v>68618.999999999985</v>
      </c>
      <c r="V50" s="13">
        <f t="shared" si="50"/>
        <v>28364</v>
      </c>
      <c r="W50" s="13">
        <f t="shared" si="50"/>
        <v>30234.000000000018</v>
      </c>
      <c r="X50" s="13">
        <f t="shared" si="50"/>
        <v>33707.000000000007</v>
      </c>
      <c r="Y50" s="13">
        <f t="shared" si="50"/>
        <v>25040.000000000015</v>
      </c>
      <c r="Z50" s="37">
        <f t="shared" ref="Z50:Z53" si="51">AVERAGE(P50:Y50)</f>
        <v>35556.592690805206</v>
      </c>
      <c r="AA50" t="s">
        <v>86</v>
      </c>
      <c r="AB50" s="13">
        <f t="shared" ref="AB50:AK50" si="52">SUM(AB23,AB29)</f>
        <v>640.99999999999989</v>
      </c>
      <c r="AC50" s="13">
        <f t="shared" si="52"/>
        <v>797.00000000000034</v>
      </c>
      <c r="AD50" s="13">
        <f t="shared" si="52"/>
        <v>648.22222222222194</v>
      </c>
      <c r="AE50" s="13">
        <f t="shared" si="52"/>
        <v>349.66687306501547</v>
      </c>
      <c r="AF50" s="13">
        <f t="shared" si="52"/>
        <v>395</v>
      </c>
      <c r="AG50" s="13">
        <f t="shared" si="52"/>
        <v>237.79432624113514</v>
      </c>
      <c r="AH50" s="13">
        <f t="shared" si="52"/>
        <v>5</v>
      </c>
      <c r="AI50" s="13">
        <f t="shared" si="52"/>
        <v>43</v>
      </c>
      <c r="AJ50" s="13">
        <f t="shared" si="52"/>
        <v>141</v>
      </c>
      <c r="AK50" s="13">
        <f t="shared" si="52"/>
        <v>13</v>
      </c>
      <c r="AL50" s="37">
        <f t="shared" ref="AL50:AL53" si="53">AVERAGE(AB50:AK50)</f>
        <v>327.06834215283726</v>
      </c>
    </row>
    <row r="51" spans="1:38" x14ac:dyDescent="0.35">
      <c r="A51" t="s">
        <v>331</v>
      </c>
      <c r="C51" s="17" t="s">
        <v>137</v>
      </c>
      <c r="D51" s="13">
        <f t="shared" ref="D51:M51" si="54">SUM(D24,D30)</f>
        <v>18829.999999999993</v>
      </c>
      <c r="E51" s="13">
        <f t="shared" si="54"/>
        <v>246327.80877443889</v>
      </c>
      <c r="F51" s="13">
        <f t="shared" si="54"/>
        <v>96819.848264513275</v>
      </c>
      <c r="G51" s="13">
        <f t="shared" si="54"/>
        <v>338715.6118721462</v>
      </c>
      <c r="H51" s="13">
        <f t="shared" si="54"/>
        <v>63550.818326898348</v>
      </c>
      <c r="I51" s="13">
        <f t="shared" si="54"/>
        <v>246821.16426343669</v>
      </c>
      <c r="J51" s="13">
        <f t="shared" si="54"/>
        <v>15691.037743055547</v>
      </c>
      <c r="K51" s="13">
        <f t="shared" si="54"/>
        <v>36924.833333333343</v>
      </c>
      <c r="L51" s="13">
        <f t="shared" si="54"/>
        <v>38181.646567717995</v>
      </c>
      <c r="M51" s="13">
        <f t="shared" si="54"/>
        <v>57060.000000000044</v>
      </c>
      <c r="N51" s="37">
        <f t="shared" si="49"/>
        <v>115892.27691455402</v>
      </c>
      <c r="O51" t="s">
        <v>10</v>
      </c>
      <c r="P51" s="13">
        <f t="shared" ref="P51:Y51" si="55">SUM(P24,P30)</f>
        <v>13926.999999999996</v>
      </c>
      <c r="Q51" s="13">
        <f t="shared" si="55"/>
        <v>239583.70877443888</v>
      </c>
      <c r="R51" s="13">
        <f t="shared" si="55"/>
        <v>87249.000000000087</v>
      </c>
      <c r="S51" s="13">
        <f t="shared" si="55"/>
        <v>330803.00000000006</v>
      </c>
      <c r="T51" s="13">
        <f t="shared" si="55"/>
        <v>57145.000000000015</v>
      </c>
      <c r="U51" s="13">
        <f t="shared" si="55"/>
        <v>241693</v>
      </c>
      <c r="V51" s="13">
        <f t="shared" si="55"/>
        <v>12651.865520833326</v>
      </c>
      <c r="W51" s="13">
        <f t="shared" si="55"/>
        <v>33002</v>
      </c>
      <c r="X51" s="13">
        <f t="shared" si="55"/>
        <v>33945</v>
      </c>
      <c r="Y51" s="13">
        <f t="shared" si="55"/>
        <v>56596.000000000044</v>
      </c>
      <c r="Z51" s="37">
        <f t="shared" si="51"/>
        <v>110659.55742952724</v>
      </c>
      <c r="AA51" t="s">
        <v>86</v>
      </c>
      <c r="AB51" s="13">
        <f t="shared" ref="AB51:AK51" si="56">SUM(AB24,AB30)</f>
        <v>4903.0000000000018</v>
      </c>
      <c r="AC51" s="13">
        <f t="shared" si="56"/>
        <v>6744.0999999999995</v>
      </c>
      <c r="AD51" s="13">
        <f t="shared" si="56"/>
        <v>9570.8482645131917</v>
      </c>
      <c r="AE51" s="13">
        <f t="shared" si="56"/>
        <v>7912.6118721461216</v>
      </c>
      <c r="AF51" s="13">
        <f t="shared" si="56"/>
        <v>6405.8183268983294</v>
      </c>
      <c r="AG51" s="13">
        <f t="shared" si="56"/>
        <v>5128.1642634367254</v>
      </c>
      <c r="AH51" s="13">
        <f t="shared" si="56"/>
        <v>3039.1722222222234</v>
      </c>
      <c r="AI51" s="13">
        <f t="shared" si="56"/>
        <v>3922.8333333333339</v>
      </c>
      <c r="AJ51" s="13">
        <f t="shared" si="56"/>
        <v>4236.6465677179976</v>
      </c>
      <c r="AK51" s="13">
        <f t="shared" si="56"/>
        <v>464</v>
      </c>
      <c r="AL51" s="37">
        <f t="shared" si="53"/>
        <v>5232.7194850267924</v>
      </c>
    </row>
    <row r="52" spans="1:38" x14ac:dyDescent="0.35">
      <c r="A52" t="s">
        <v>331</v>
      </c>
      <c r="C52" s="17" t="s">
        <v>139</v>
      </c>
      <c r="D52" s="13">
        <f t="shared" ref="D52:M52" si="57">SUM(D25,D31)</f>
        <v>26359.000000000007</v>
      </c>
      <c r="E52" s="13">
        <f t="shared" si="57"/>
        <v>235428.64403709021</v>
      </c>
      <c r="F52" s="13">
        <f t="shared" si="57"/>
        <v>72647.999999999985</v>
      </c>
      <c r="G52" s="13">
        <f t="shared" si="57"/>
        <v>291762.99999999994</v>
      </c>
      <c r="H52" s="13">
        <f t="shared" si="57"/>
        <v>36238.5</v>
      </c>
      <c r="I52" s="13">
        <f t="shared" si="57"/>
        <v>191459.07692307697</v>
      </c>
      <c r="J52" s="13">
        <f t="shared" si="57"/>
        <v>20384.951099451355</v>
      </c>
      <c r="K52" s="13">
        <f t="shared" si="57"/>
        <v>91700.999999999985</v>
      </c>
      <c r="L52" s="13">
        <f t="shared" si="57"/>
        <v>72713.000000000058</v>
      </c>
      <c r="M52" s="13">
        <f t="shared" si="57"/>
        <v>121051.00000000003</v>
      </c>
      <c r="N52" s="37">
        <f t="shared" si="49"/>
        <v>115974.61720596187</v>
      </c>
      <c r="O52" t="s">
        <v>10</v>
      </c>
      <c r="P52" s="13">
        <f t="shared" ref="P52:Y52" si="58">SUM(P25,P31)</f>
        <v>25837.000000000007</v>
      </c>
      <c r="Q52" s="13">
        <f t="shared" si="58"/>
        <v>234845.64403709021</v>
      </c>
      <c r="R52" s="13">
        <f t="shared" si="58"/>
        <v>71914.999999999985</v>
      </c>
      <c r="S52" s="13">
        <f t="shared" si="58"/>
        <v>290895.99999999994</v>
      </c>
      <c r="T52" s="13">
        <f t="shared" si="58"/>
        <v>35996</v>
      </c>
      <c r="U52" s="13">
        <f t="shared" si="58"/>
        <v>191307.00000000003</v>
      </c>
      <c r="V52" s="13">
        <f t="shared" si="58"/>
        <v>20217.951099451355</v>
      </c>
      <c r="W52" s="13">
        <f t="shared" si="58"/>
        <v>91340.999999999985</v>
      </c>
      <c r="X52" s="13">
        <f t="shared" si="58"/>
        <v>72708.000000000058</v>
      </c>
      <c r="Y52" s="13">
        <f t="shared" si="58"/>
        <v>120711.00000000003</v>
      </c>
      <c r="Z52" s="37">
        <f t="shared" si="51"/>
        <v>115577.45951365416</v>
      </c>
      <c r="AA52" t="s">
        <v>86</v>
      </c>
      <c r="AB52" s="13">
        <f t="shared" ref="AB52:AK52" si="59">SUM(AB25,AB31)</f>
        <v>522.00000000000045</v>
      </c>
      <c r="AC52" s="13">
        <f t="shared" si="59"/>
        <v>583.00000000000011</v>
      </c>
      <c r="AD52" s="13">
        <f t="shared" si="59"/>
        <v>733.00000000000023</v>
      </c>
      <c r="AE52" s="13">
        <f t="shared" si="59"/>
        <v>867</v>
      </c>
      <c r="AF52" s="13">
        <f t="shared" si="59"/>
        <v>242.49999999999997</v>
      </c>
      <c r="AG52" s="13">
        <f t="shared" si="59"/>
        <v>152.07692307692315</v>
      </c>
      <c r="AH52" s="13">
        <f t="shared" si="59"/>
        <v>167</v>
      </c>
      <c r="AI52" s="13">
        <f t="shared" si="59"/>
        <v>360.00000000000023</v>
      </c>
      <c r="AJ52" s="13">
        <f t="shared" si="59"/>
        <v>5</v>
      </c>
      <c r="AK52" s="13">
        <f t="shared" si="59"/>
        <v>340</v>
      </c>
      <c r="AL52" s="37">
        <f t="shared" si="53"/>
        <v>397.15769230769246</v>
      </c>
    </row>
    <row r="53" spans="1:38" x14ac:dyDescent="0.35">
      <c r="A53" t="s">
        <v>331</v>
      </c>
      <c r="C53" s="17" t="s">
        <v>141</v>
      </c>
      <c r="D53" s="13">
        <f t="shared" ref="D53:M53" si="60">SUM(D26,D32)</f>
        <v>10845.999999999998</v>
      </c>
      <c r="E53" s="13">
        <f t="shared" si="60"/>
        <v>22066.000000000015</v>
      </c>
      <c r="F53" s="13">
        <f t="shared" si="60"/>
        <v>25201</v>
      </c>
      <c r="G53" s="13">
        <f t="shared" si="60"/>
        <v>21923.000000000004</v>
      </c>
      <c r="H53" s="13">
        <f t="shared" si="60"/>
        <v>8947</v>
      </c>
      <c r="I53" s="13">
        <f t="shared" si="60"/>
        <v>11793</v>
      </c>
      <c r="J53" s="13">
        <f t="shared" si="60"/>
        <v>12984</v>
      </c>
      <c r="K53" s="13">
        <f t="shared" si="60"/>
        <v>13932.000000000004</v>
      </c>
      <c r="L53" s="13">
        <f t="shared" si="60"/>
        <v>10792</v>
      </c>
      <c r="M53" s="13">
        <f t="shared" si="60"/>
        <v>5378.9999999999982</v>
      </c>
      <c r="N53" s="37">
        <f t="shared" si="49"/>
        <v>14386.3</v>
      </c>
      <c r="O53" t="s">
        <v>10</v>
      </c>
      <c r="P53" s="13">
        <f t="shared" ref="P53:Y53" si="61">SUM(P26,P32)</f>
        <v>10845.999999999998</v>
      </c>
      <c r="Q53" s="13">
        <f t="shared" si="61"/>
        <v>22066.000000000015</v>
      </c>
      <c r="R53" s="13">
        <f t="shared" si="61"/>
        <v>25201</v>
      </c>
      <c r="S53" s="13">
        <f t="shared" si="61"/>
        <v>21923.000000000004</v>
      </c>
      <c r="T53" s="13">
        <f t="shared" si="61"/>
        <v>8947</v>
      </c>
      <c r="U53" s="13">
        <f t="shared" si="61"/>
        <v>11793</v>
      </c>
      <c r="V53" s="13">
        <f t="shared" si="61"/>
        <v>12984</v>
      </c>
      <c r="W53" s="13">
        <f t="shared" si="61"/>
        <v>13932.000000000004</v>
      </c>
      <c r="X53" s="13">
        <f t="shared" si="61"/>
        <v>10792</v>
      </c>
      <c r="Y53" s="13">
        <f t="shared" si="61"/>
        <v>5378.9999999999982</v>
      </c>
      <c r="Z53" s="37">
        <f t="shared" si="51"/>
        <v>14386.3</v>
      </c>
      <c r="AA53" t="s">
        <v>86</v>
      </c>
      <c r="AB53" s="13">
        <f t="shared" ref="AB53:AK53" si="62">SUM(AB26,AB32)</f>
        <v>0</v>
      </c>
      <c r="AC53" s="13">
        <f t="shared" si="62"/>
        <v>0</v>
      </c>
      <c r="AD53" s="13">
        <f t="shared" si="62"/>
        <v>0</v>
      </c>
      <c r="AE53" s="13">
        <f t="shared" si="62"/>
        <v>0</v>
      </c>
      <c r="AF53" s="13">
        <f t="shared" si="62"/>
        <v>0</v>
      </c>
      <c r="AG53" s="13">
        <f t="shared" si="62"/>
        <v>0</v>
      </c>
      <c r="AH53" s="13">
        <f t="shared" si="62"/>
        <v>0</v>
      </c>
      <c r="AI53" s="13">
        <f t="shared" si="62"/>
        <v>0</v>
      </c>
      <c r="AJ53" s="13">
        <f t="shared" si="62"/>
        <v>0</v>
      </c>
      <c r="AK53" s="13">
        <f t="shared" si="62"/>
        <v>0</v>
      </c>
      <c r="AL53" s="37">
        <f t="shared" si="53"/>
        <v>0</v>
      </c>
    </row>
    <row r="54" spans="1:38" x14ac:dyDescent="0.35">
      <c r="C54" s="17"/>
      <c r="D54" s="38">
        <f>SUM(D49:D53)</f>
        <v>97053</v>
      </c>
      <c r="E54" s="38">
        <f t="shared" ref="E54:M54" si="63">SUM(E49:E53)</f>
        <v>631300.03838772047</v>
      </c>
      <c r="F54" s="38">
        <f t="shared" si="63"/>
        <v>320799.20937562437</v>
      </c>
      <c r="G54" s="38">
        <f t="shared" si="63"/>
        <v>797826.46207854454</v>
      </c>
      <c r="H54" s="38">
        <f t="shared" si="63"/>
        <v>210086.40923598924</v>
      </c>
      <c r="I54" s="38">
        <f t="shared" si="63"/>
        <v>636138.16086888022</v>
      </c>
      <c r="J54" s="38">
        <f t="shared" si="63"/>
        <v>89950.488842506893</v>
      </c>
      <c r="K54" s="38">
        <f t="shared" si="63"/>
        <v>193190.83333333337</v>
      </c>
      <c r="L54" s="38">
        <f t="shared" si="63"/>
        <v>198917.14656771804</v>
      </c>
      <c r="M54" s="38">
        <f t="shared" si="63"/>
        <v>245819.00000000012</v>
      </c>
      <c r="N54" s="37">
        <f>SUM(N49:N53)</f>
        <v>342108.07486903173</v>
      </c>
      <c r="O54" t="s">
        <v>10</v>
      </c>
      <c r="P54" s="38">
        <f>SUM(P49:P53)</f>
        <v>90382</v>
      </c>
      <c r="Q54" s="38">
        <f t="shared" ref="Q54" si="64">SUM(Q49:Q53)</f>
        <v>622623.74791152996</v>
      </c>
      <c r="R54" s="38">
        <f t="shared" ref="R54" si="65">SUM(R49:R53)</f>
        <v>309554.00000000012</v>
      </c>
      <c r="S54" s="38">
        <f t="shared" ref="S54" si="66">SUM(S49:S53)</f>
        <v>788499.00000000012</v>
      </c>
      <c r="T54" s="38">
        <f t="shared" ref="T54" si="67">SUM(T49:T53)</f>
        <v>202727</v>
      </c>
      <c r="U54" s="38">
        <f t="shared" ref="U54" si="68">SUM(U49:U53)</f>
        <v>630469</v>
      </c>
      <c r="V54" s="38">
        <f t="shared" ref="V54" si="69">SUM(V49:V53)</f>
        <v>86551.816620284677</v>
      </c>
      <c r="W54" s="38">
        <f t="shared" ref="W54" si="70">SUM(W49:W53)</f>
        <v>188719</v>
      </c>
      <c r="X54" s="38">
        <f t="shared" ref="X54" si="71">SUM(X49:X53)</f>
        <v>194407.00000000006</v>
      </c>
      <c r="Y54" s="38">
        <f t="shared" ref="Y54" si="72">SUM(Y49:Y53)</f>
        <v>244986.00000000012</v>
      </c>
      <c r="Z54" s="37">
        <f>SUM(Z49:Z53)</f>
        <v>335891.85645318148</v>
      </c>
      <c r="AA54" t="s">
        <v>86</v>
      </c>
      <c r="AB54" s="38">
        <f>SUM(AB49:AB53)</f>
        <v>6671.0000000000018</v>
      </c>
      <c r="AC54" s="38">
        <f t="shared" ref="AC54:AK54" si="73">SUM(AC49:AC53)</f>
        <v>8676.2904761904756</v>
      </c>
      <c r="AD54" s="38">
        <f t="shared" si="73"/>
        <v>11245.209375624303</v>
      </c>
      <c r="AE54" s="38">
        <f t="shared" si="73"/>
        <v>9327.4620785444713</v>
      </c>
      <c r="AF54" s="38">
        <f t="shared" si="73"/>
        <v>7359.4092359892384</v>
      </c>
      <c r="AG54" s="38">
        <f t="shared" si="73"/>
        <v>5669.1608688801398</v>
      </c>
      <c r="AH54" s="38">
        <f t="shared" si="73"/>
        <v>3398.6722222222234</v>
      </c>
      <c r="AI54" s="38">
        <f t="shared" si="73"/>
        <v>4471.8333333333339</v>
      </c>
      <c r="AJ54" s="38">
        <f t="shared" si="73"/>
        <v>4510.1465677179976</v>
      </c>
      <c r="AK54" s="38">
        <f t="shared" si="73"/>
        <v>833</v>
      </c>
      <c r="AL54" s="37">
        <f>SUM(AL49:AL53)</f>
        <v>6216.2184158502187</v>
      </c>
    </row>
    <row r="55" spans="1:38" x14ac:dyDescent="0.35">
      <c r="B55" s="36"/>
      <c r="C55" s="39"/>
      <c r="D55" s="39"/>
      <c r="E55" s="39"/>
      <c r="F55" s="39"/>
      <c r="G55" s="129" t="s">
        <v>318</v>
      </c>
    </row>
    <row r="56" spans="1:38" x14ac:dyDescent="0.35">
      <c r="B56" s="36"/>
      <c r="C56" s="16" t="s">
        <v>176</v>
      </c>
      <c r="D56" s="16" t="s">
        <v>176</v>
      </c>
      <c r="E56" s="16" t="s">
        <v>176</v>
      </c>
      <c r="F56" s="39"/>
      <c r="G56" s="131"/>
      <c r="H56" s="132" t="s">
        <v>176</v>
      </c>
      <c r="I56" s="132" t="s">
        <v>176</v>
      </c>
      <c r="J56" s="132" t="s">
        <v>176</v>
      </c>
      <c r="N56" s="40"/>
    </row>
    <row r="57" spans="1:38" x14ac:dyDescent="0.35">
      <c r="B57" s="18" t="s">
        <v>183</v>
      </c>
      <c r="C57" s="16" t="s">
        <v>179</v>
      </c>
      <c r="D57" s="16" t="s">
        <v>302</v>
      </c>
      <c r="E57" s="16" t="s">
        <v>301</v>
      </c>
      <c r="F57" s="15"/>
      <c r="G57" s="133" t="s">
        <v>9</v>
      </c>
      <c r="H57" s="132" t="s">
        <v>179</v>
      </c>
      <c r="I57" s="132" t="s">
        <v>302</v>
      </c>
      <c r="J57" s="132" t="s">
        <v>301</v>
      </c>
      <c r="N57" s="41"/>
    </row>
    <row r="58" spans="1:38" x14ac:dyDescent="0.35">
      <c r="B58" s="17" t="s">
        <v>133</v>
      </c>
      <c r="C58" s="42">
        <f>SUM(D5:M5)/SUM(D22:M22)</f>
        <v>1.0975912258000666</v>
      </c>
      <c r="D58" s="42">
        <f>SUM(P5:Y5)/SUM(P22:Y22)</f>
        <v>1.0975912258000666</v>
      </c>
      <c r="E58" s="113" t="str">
        <f>IFERROR(SUM(AB5:AK5)/SUM(AB22:AK22),"-")</f>
        <v>-</v>
      </c>
      <c r="F58" s="43"/>
      <c r="G58" s="134" t="s">
        <v>312</v>
      </c>
      <c r="H58" s="135">
        <f t="shared" ref="H58:H63" si="74">N5/N22</f>
        <v>1.0975912258000664</v>
      </c>
      <c r="I58" s="135">
        <f t="shared" ref="I58:I63" si="75">Z5/Z22</f>
        <v>1.0975912258000664</v>
      </c>
      <c r="J58" s="135" t="str">
        <f t="shared" ref="J58:J63" si="76">IFERROR(AL5/AL22,"")</f>
        <v/>
      </c>
      <c r="K58" s="36"/>
      <c r="L58" s="36"/>
      <c r="M58" s="36"/>
    </row>
    <row r="59" spans="1:38" x14ac:dyDescent="0.35">
      <c r="B59" s="17" t="s">
        <v>180</v>
      </c>
      <c r="C59" s="42">
        <f>SUM(D6:M7)/SUM(D23:M24)</f>
        <v>2.1257861708107098</v>
      </c>
      <c r="D59" s="42">
        <f>SUM(P6:Y7)/SUM(P23:Y24)</f>
        <v>2.1246817475633497</v>
      </c>
      <c r="E59" s="42">
        <f>SUM(AB6:AK7)/SUM(AB23:AK24)</f>
        <v>2.9672036709626846</v>
      </c>
      <c r="F59" s="43"/>
      <c r="G59" s="134" t="s">
        <v>313</v>
      </c>
      <c r="H59" s="135">
        <f t="shared" si="74"/>
        <v>2.5053111320522716</v>
      </c>
      <c r="I59" s="135">
        <f t="shared" si="75"/>
        <v>2.5053111320522716</v>
      </c>
      <c r="J59" s="135" t="str">
        <f t="shared" si="76"/>
        <v/>
      </c>
      <c r="K59" s="36"/>
      <c r="L59" s="36"/>
      <c r="M59" s="36"/>
    </row>
    <row r="60" spans="1:38" x14ac:dyDescent="0.35">
      <c r="B60" s="17" t="s">
        <v>181</v>
      </c>
      <c r="C60" s="42">
        <f>SUM(D8:M9)/SUM(D25:M26)</f>
        <v>2.9556315587846806</v>
      </c>
      <c r="D60" s="42">
        <f>SUM(P8:Y9)/SUM(P25:Y26)</f>
        <v>2.9556315587846806</v>
      </c>
      <c r="E60" s="42" t="str">
        <f>IFERROR(SUM(AB8:AK9)/SUM(AB25:AK26),"")</f>
        <v/>
      </c>
      <c r="F60" s="17"/>
      <c r="G60" s="136" t="s">
        <v>314</v>
      </c>
      <c r="H60" s="135">
        <f t="shared" si="74"/>
        <v>2.0254888254347376</v>
      </c>
      <c r="I60" s="135">
        <f t="shared" si="75"/>
        <v>2.0239255547719877</v>
      </c>
      <c r="J60" s="135">
        <f t="shared" si="76"/>
        <v>2.9672036709626841</v>
      </c>
      <c r="K60" s="36"/>
      <c r="L60" s="36"/>
      <c r="M60" s="36"/>
    </row>
    <row r="61" spans="1:38" x14ac:dyDescent="0.35">
      <c r="B61" s="17" t="s">
        <v>127</v>
      </c>
      <c r="C61" s="42">
        <f>SUM(D10:M10)/SUM(D27:M27)</f>
        <v>1.9840902813974817</v>
      </c>
      <c r="D61" s="42">
        <f>SUM(P10:Y10)/SUM(P27:Y27)</f>
        <v>1.9835446929117158</v>
      </c>
      <c r="E61" s="42">
        <f>SUM(AB10:AK10)/SUM(AB27:AK27)</f>
        <v>2.9672036709626846</v>
      </c>
      <c r="F61" s="17"/>
      <c r="G61" s="136" t="s">
        <v>315</v>
      </c>
      <c r="H61" s="135">
        <f t="shared" si="74"/>
        <v>2.9516878981415835</v>
      </c>
      <c r="I61" s="135">
        <f t="shared" si="75"/>
        <v>2.9516878981415835</v>
      </c>
      <c r="J61" s="135" t="str">
        <f t="shared" si="76"/>
        <v/>
      </c>
      <c r="K61" s="36"/>
      <c r="L61" s="36"/>
      <c r="M61" s="36"/>
    </row>
    <row r="62" spans="1:38" x14ac:dyDescent="0.35">
      <c r="G62" s="136" t="s">
        <v>316</v>
      </c>
      <c r="H62" s="135">
        <f t="shared" si="74"/>
        <v>2.9792250425645608</v>
      </c>
      <c r="I62" s="135">
        <f t="shared" si="75"/>
        <v>2.9792250425645608</v>
      </c>
      <c r="J62" s="135" t="str">
        <f t="shared" si="76"/>
        <v/>
      </c>
    </row>
    <row r="63" spans="1:38" x14ac:dyDescent="0.35">
      <c r="B63" s="36"/>
      <c r="C63" s="16" t="s">
        <v>176</v>
      </c>
      <c r="D63" s="16" t="s">
        <v>176</v>
      </c>
      <c r="E63" s="16" t="s">
        <v>176</v>
      </c>
      <c r="F63" s="39"/>
      <c r="G63" s="137" t="s">
        <v>127</v>
      </c>
      <c r="H63" s="138">
        <f t="shared" si="74"/>
        <v>1.9840902813974817</v>
      </c>
      <c r="I63" s="138">
        <f t="shared" si="75"/>
        <v>1.9835446929117153</v>
      </c>
      <c r="J63" s="138">
        <f t="shared" si="76"/>
        <v>2.9672036709626841</v>
      </c>
      <c r="N63" s="40"/>
    </row>
    <row r="64" spans="1:38" x14ac:dyDescent="0.35">
      <c r="B64" s="18" t="s">
        <v>170</v>
      </c>
      <c r="C64" s="16" t="s">
        <v>179</v>
      </c>
      <c r="D64" s="16" t="s">
        <v>302</v>
      </c>
      <c r="E64" s="16" t="s">
        <v>301</v>
      </c>
      <c r="F64" s="15"/>
      <c r="G64" s="139"/>
      <c r="H64" s="132" t="s">
        <v>176</v>
      </c>
      <c r="I64" s="132" t="s">
        <v>176</v>
      </c>
      <c r="J64" s="132" t="s">
        <v>176</v>
      </c>
      <c r="N64" s="41"/>
    </row>
    <row r="65" spans="2:48" x14ac:dyDescent="0.35">
      <c r="B65" s="17" t="s">
        <v>133</v>
      </c>
      <c r="C65" s="42">
        <f>SUM(D11:M11)/SUM(D28:M28)</f>
        <v>7.9733661199862693</v>
      </c>
      <c r="D65" s="42">
        <f>SUM(P11:Y11)/SUM(P28:Y28)</f>
        <v>3.9511053937532945</v>
      </c>
      <c r="E65" s="42">
        <f>SUM(AB11:AK11)/SUM(AB28:AK28)</f>
        <v>20.92723732487929</v>
      </c>
      <c r="F65" s="43"/>
      <c r="G65" s="133" t="s">
        <v>317</v>
      </c>
      <c r="H65" s="132" t="s">
        <v>179</v>
      </c>
      <c r="I65" s="132" t="s">
        <v>302</v>
      </c>
      <c r="J65" s="132" t="s">
        <v>301</v>
      </c>
      <c r="K65" s="36"/>
      <c r="L65" s="36"/>
      <c r="M65" s="36"/>
    </row>
    <row r="66" spans="2:48" x14ac:dyDescent="0.35">
      <c r="B66" s="17" t="s">
        <v>180</v>
      </c>
      <c r="C66" s="42">
        <f>SUM(D12:M13)/SUM(D29:M30)</f>
        <v>4.9907391046979139</v>
      </c>
      <c r="D66" s="42">
        <f>SUM(P12:Y13)/SUM(P29:Y30)</f>
        <v>3.7768262118408145</v>
      </c>
      <c r="E66" s="42">
        <f>SUM(AB12:AK13)/SUM(AB29:AK30)</f>
        <v>20.927237324879293</v>
      </c>
      <c r="F66" s="43"/>
      <c r="G66" s="134" t="s">
        <v>312</v>
      </c>
      <c r="H66" s="135">
        <f t="shared" ref="H66:H71" si="77">N11/N28</f>
        <v>7.9733661199862702</v>
      </c>
      <c r="I66" s="135">
        <f t="shared" ref="I66:I71" si="78">Z11/Z28</f>
        <v>3.9511053937532949</v>
      </c>
      <c r="J66" s="135">
        <f t="shared" ref="J66:J71" si="79">IFERROR(AL11/AL28,"")</f>
        <v>20.927237324879286</v>
      </c>
      <c r="K66" s="36"/>
      <c r="L66" s="36"/>
      <c r="M66" s="36"/>
    </row>
    <row r="67" spans="2:48" x14ac:dyDescent="0.35">
      <c r="B67" s="17" t="s">
        <v>181</v>
      </c>
      <c r="C67" s="42">
        <f>SUM(D14:M15)/SUM(D31:M32)</f>
        <v>3.8163578266056888</v>
      </c>
      <c r="D67" s="42">
        <f>SUM(P14:Y15)/SUM(P31:Y32)</f>
        <v>3.7383553356689849</v>
      </c>
      <c r="E67" s="42">
        <f>SUM(AB14:AK15)/SUM(AB31:AK32)</f>
        <v>20.927237324879293</v>
      </c>
      <c r="F67" s="17"/>
      <c r="G67" s="134" t="s">
        <v>313</v>
      </c>
      <c r="H67" s="135">
        <f t="shared" si="77"/>
        <v>4.4118158968738834</v>
      </c>
      <c r="I67" s="135">
        <f t="shared" si="78"/>
        <v>4.1412086966207342</v>
      </c>
      <c r="J67" s="135">
        <f t="shared" si="79"/>
        <v>20.927237324879293</v>
      </c>
      <c r="K67" s="36"/>
      <c r="L67" s="36"/>
      <c r="M67" s="36"/>
    </row>
    <row r="68" spans="2:48" x14ac:dyDescent="0.35">
      <c r="B68" s="17" t="s">
        <v>127</v>
      </c>
      <c r="C68" s="42">
        <f>SUM(D16:M16)/SUM(D33:M33)</f>
        <v>4.3904494071605171</v>
      </c>
      <c r="D68" s="42">
        <f>SUM(P16:Y16)/SUM(P33:Y33)</f>
        <v>3.7567455991075498</v>
      </c>
      <c r="E68" s="42">
        <f>SUM(AB16:AK16)/SUM(AB33:AK33)</f>
        <v>20.927237324879297</v>
      </c>
      <c r="F68" s="17"/>
      <c r="G68" s="136" t="s">
        <v>314</v>
      </c>
      <c r="H68" s="135">
        <f t="shared" si="77"/>
        <v>5.1972346252190116</v>
      </c>
      <c r="I68" s="135">
        <f t="shared" si="78"/>
        <v>3.6362604333773265</v>
      </c>
      <c r="J68" s="135">
        <f t="shared" si="79"/>
        <v>20.92723732487929</v>
      </c>
      <c r="K68" s="36"/>
      <c r="L68" s="36"/>
      <c r="M68" s="36"/>
    </row>
    <row r="69" spans="2:48" x14ac:dyDescent="0.35">
      <c r="G69" s="136" t="s">
        <v>315</v>
      </c>
      <c r="H69" s="135">
        <f t="shared" si="77"/>
        <v>3.7837513996221177</v>
      </c>
      <c r="I69" s="135">
        <f t="shared" si="78"/>
        <v>3.6974247737623656</v>
      </c>
      <c r="J69" s="135">
        <f t="shared" si="79"/>
        <v>20.927237324879293</v>
      </c>
    </row>
    <row r="70" spans="2:48" x14ac:dyDescent="0.35">
      <c r="G70" s="136" t="s">
        <v>316</v>
      </c>
      <c r="H70" s="135">
        <f t="shared" si="77"/>
        <v>4.1296185281033031</v>
      </c>
      <c r="I70" s="135">
        <f t="shared" si="78"/>
        <v>4.1296185281033031</v>
      </c>
      <c r="J70" s="135" t="str">
        <f t="shared" si="79"/>
        <v/>
      </c>
      <c r="AV70" s="130"/>
    </row>
    <row r="71" spans="2:48" x14ac:dyDescent="0.35">
      <c r="G71" s="137" t="s">
        <v>127</v>
      </c>
      <c r="H71" s="138">
        <f t="shared" si="77"/>
        <v>4.3904494071605162</v>
      </c>
      <c r="I71" s="138">
        <f t="shared" si="78"/>
        <v>3.7567455991075502</v>
      </c>
      <c r="J71" s="138">
        <f t="shared" si="79"/>
        <v>20.927237324879293</v>
      </c>
      <c r="AV71" s="130"/>
    </row>
    <row r="72" spans="2:48" ht="15.5" x14ac:dyDescent="0.35">
      <c r="B72" s="121" t="s">
        <v>309</v>
      </c>
    </row>
    <row r="73" spans="2:48" x14ac:dyDescent="0.35">
      <c r="B73" t="s">
        <v>2</v>
      </c>
      <c r="C73" s="41" t="s">
        <v>10</v>
      </c>
    </row>
    <row r="74" spans="2:48" x14ac:dyDescent="0.35">
      <c r="B74" t="s">
        <v>174</v>
      </c>
      <c r="C74" s="41" t="s">
        <v>310</v>
      </c>
    </row>
    <row r="75" spans="2:48" ht="15" thickBot="1" x14ac:dyDescent="0.4">
      <c r="B75" s="15" t="s">
        <v>333</v>
      </c>
      <c r="C75" s="50" t="s">
        <v>0</v>
      </c>
    </row>
    <row r="76" spans="2:48" x14ac:dyDescent="0.35">
      <c r="B76" s="15" t="s">
        <v>172</v>
      </c>
      <c r="C76" s="15">
        <v>2010</v>
      </c>
      <c r="D76" s="15">
        <v>2011</v>
      </c>
      <c r="E76" s="15">
        <v>2012</v>
      </c>
      <c r="F76" s="15">
        <v>2013</v>
      </c>
      <c r="G76" s="15">
        <v>2014</v>
      </c>
      <c r="H76" s="15">
        <v>2015</v>
      </c>
      <c r="I76" s="15">
        <v>2016</v>
      </c>
      <c r="J76" s="15">
        <v>2017</v>
      </c>
      <c r="K76" s="15">
        <v>2018</v>
      </c>
      <c r="L76" s="15">
        <v>2019</v>
      </c>
      <c r="M76" s="118" t="s">
        <v>128</v>
      </c>
      <c r="N76" s="119" t="s">
        <v>127</v>
      </c>
    </row>
    <row r="77" spans="2:48" x14ac:dyDescent="0.35">
      <c r="B77" t="s">
        <v>14</v>
      </c>
      <c r="C77" s="122">
        <f>SUMIFS('Rec_raw_catch_effort_2010-2021'!$R:$R,'Rec_raw_catch_effort_2010-2021'!$M:$M,Existing_Conditions!$B77,'Rec_raw_catch_effort_2010-2021'!$B:$B,Existing_Conditions!C$76,'Rec_raw_catch_effort_2010-2021'!$E:$E,Existing_Conditions!$C$73)</f>
        <v>167379.47548906779</v>
      </c>
      <c r="D77" s="122">
        <f>SUMIFS('Rec_raw_catch_effort_2010-2021'!$R:$R,'Rec_raw_catch_effort_2010-2021'!$M:$M,Existing_Conditions!$B77,'Rec_raw_catch_effort_2010-2021'!$B:$B,Existing_Conditions!D$76,'Rec_raw_catch_effort_2010-2021'!$E:$E,Existing_Conditions!$C$73)</f>
        <v>680291.11824963114</v>
      </c>
      <c r="E77" s="122">
        <f>SUMIFS('Rec_raw_catch_effort_2010-2021'!$R:$R,'Rec_raw_catch_effort_2010-2021'!$M:$M,Existing_Conditions!$B77,'Rec_raw_catch_effort_2010-2021'!$B:$B,Existing_Conditions!E$76,'Rec_raw_catch_effort_2010-2021'!$E:$E,Existing_Conditions!$C$73)</f>
        <v>322436.0146821338</v>
      </c>
      <c r="F77" s="122">
        <f>SUMIFS('Rec_raw_catch_effort_2010-2021'!$R:$R,'Rec_raw_catch_effort_2010-2021'!$M:$M,Existing_Conditions!$B77,'Rec_raw_catch_effort_2010-2021'!$B:$B,Existing_Conditions!F$76,'Rec_raw_catch_effort_2010-2021'!$E:$E,Existing_Conditions!$C$73)</f>
        <v>830370.3181934962</v>
      </c>
      <c r="G77" s="122">
        <f>SUMIFS('Rec_raw_catch_effort_2010-2021'!$R:$R,'Rec_raw_catch_effort_2010-2021'!$M:$M,Existing_Conditions!$B77,'Rec_raw_catch_effort_2010-2021'!$B:$B,Existing_Conditions!G$76,'Rec_raw_catch_effort_2010-2021'!$E:$E,Existing_Conditions!$C$73)</f>
        <v>260704.22351485657</v>
      </c>
      <c r="H77" s="122">
        <f>SUMIFS('Rec_raw_catch_effort_2010-2021'!$R:$R,'Rec_raw_catch_effort_2010-2021'!$M:$M,Existing_Conditions!$B77,'Rec_raw_catch_effort_2010-2021'!$B:$B,Existing_Conditions!H$76,'Rec_raw_catch_effort_2010-2021'!$E:$E,Existing_Conditions!$C$73)</f>
        <v>494914.08462408406</v>
      </c>
      <c r="I77" s="122">
        <f>SUMIFS('Rec_raw_catch_effort_2010-2021'!$R:$R,'Rec_raw_catch_effort_2010-2021'!$M:$M,Existing_Conditions!$B77,'Rec_raw_catch_effort_2010-2021'!$B:$B,Existing_Conditions!I$76,'Rec_raw_catch_effort_2010-2021'!$E:$E,Existing_Conditions!$C$73)</f>
        <v>166613.74825330952</v>
      </c>
      <c r="J77" s="122">
        <f>SUMIFS('Rec_raw_catch_effort_2010-2021'!$R:$R,'Rec_raw_catch_effort_2010-2021'!$M:$M,Existing_Conditions!$B77,'Rec_raw_catch_effort_2010-2021'!$B:$B,Existing_Conditions!J$76,'Rec_raw_catch_effort_2010-2021'!$E:$E,Existing_Conditions!$C$73)</f>
        <v>158130.84351019101</v>
      </c>
      <c r="K77" s="122">
        <f>SUMIFS('Rec_raw_catch_effort_2010-2021'!$R:$R,'Rec_raw_catch_effort_2010-2021'!$M:$M,Existing_Conditions!$B77,'Rec_raw_catch_effort_2010-2021'!$B:$B,Existing_Conditions!K$76,'Rec_raw_catch_effort_2010-2021'!$E:$E,Existing_Conditions!$C$73)</f>
        <v>175034.2221030957</v>
      </c>
      <c r="L77" s="122">
        <f>SUMIFS('Rec_raw_catch_effort_2010-2021'!$R:$R,'Rec_raw_catch_effort_2010-2021'!$M:$M,Existing_Conditions!$B77,'Rec_raw_catch_effort_2010-2021'!$B:$B,Existing_Conditions!L$76,'Rec_raw_catch_effort_2010-2021'!$E:$E,Existing_Conditions!$C$73)</f>
        <v>148043.65658925939</v>
      </c>
      <c r="M77" s="123">
        <f t="shared" ref="M77:M81" si="80">AVERAGE(C77:L77)</f>
        <v>340391.77052091254</v>
      </c>
      <c r="N77" s="120">
        <f t="shared" ref="N77:N81" si="81">SUM(C77:L77)</f>
        <v>3403917.7052091253</v>
      </c>
    </row>
    <row r="78" spans="2:48" x14ac:dyDescent="0.35">
      <c r="B78" t="s">
        <v>19</v>
      </c>
      <c r="C78" s="122">
        <f>SUMIFS('Rec_raw_catch_effort_2010-2021'!$R:$R,'Rec_raw_catch_effort_2010-2021'!$M:$M,Existing_Conditions!$B78,'Rec_raw_catch_effort_2010-2021'!$B:$B,Existing_Conditions!C$76,'Rec_raw_catch_effort_2010-2021'!$E:$E,Existing_Conditions!$C$73)</f>
        <v>273230.32078364817</v>
      </c>
      <c r="D78" s="122">
        <f>SUMIFS('Rec_raw_catch_effort_2010-2021'!$R:$R,'Rec_raw_catch_effort_2010-2021'!$M:$M,Existing_Conditions!$B78,'Rec_raw_catch_effort_2010-2021'!$B:$B,Existing_Conditions!D$76,'Rec_raw_catch_effort_2010-2021'!$E:$E,Existing_Conditions!$C$73)</f>
        <v>953053.89245678752</v>
      </c>
      <c r="E78" s="122">
        <f>SUMIFS('Rec_raw_catch_effort_2010-2021'!$R:$R,'Rec_raw_catch_effort_2010-2021'!$M:$M,Existing_Conditions!$B78,'Rec_raw_catch_effort_2010-2021'!$B:$B,Existing_Conditions!E$76,'Rec_raw_catch_effort_2010-2021'!$E:$E,Existing_Conditions!$C$73)</f>
        <v>464553.88699652959</v>
      </c>
      <c r="F78" s="122">
        <f>SUMIFS('Rec_raw_catch_effort_2010-2021'!$R:$R,'Rec_raw_catch_effort_2010-2021'!$M:$M,Existing_Conditions!$B78,'Rec_raw_catch_effort_2010-2021'!$B:$B,Existing_Conditions!F$76,'Rec_raw_catch_effort_2010-2021'!$E:$E,Existing_Conditions!$C$73)</f>
        <v>1187639.2483620795</v>
      </c>
      <c r="G78" s="122">
        <f>SUMIFS('Rec_raw_catch_effort_2010-2021'!$R:$R,'Rec_raw_catch_effort_2010-2021'!$M:$M,Existing_Conditions!$B78,'Rec_raw_catch_effort_2010-2021'!$B:$B,Existing_Conditions!G$76,'Rec_raw_catch_effort_2010-2021'!$E:$E,Existing_Conditions!$C$73)</f>
        <v>304432.94180685026</v>
      </c>
      <c r="H78" s="122">
        <f>SUMIFS('Rec_raw_catch_effort_2010-2021'!$R:$R,'Rec_raw_catch_effort_2010-2021'!$M:$M,Existing_Conditions!$B78,'Rec_raw_catch_effort_2010-2021'!$B:$B,Existing_Conditions!H$76,'Rec_raw_catch_effort_2010-2021'!$E:$E,Existing_Conditions!$C$73)</f>
        <v>778632.84442548419</v>
      </c>
      <c r="I78" s="122">
        <f>SUMIFS('Rec_raw_catch_effort_2010-2021'!$R:$R,'Rec_raw_catch_effort_2010-2021'!$M:$M,Existing_Conditions!$B78,'Rec_raw_catch_effort_2010-2021'!$B:$B,Existing_Conditions!I$76,'Rec_raw_catch_effort_2010-2021'!$E:$E,Existing_Conditions!$C$73)</f>
        <v>180173.89221942457</v>
      </c>
      <c r="J78" s="122">
        <f>SUMIFS('Rec_raw_catch_effort_2010-2021'!$R:$R,'Rec_raw_catch_effort_2010-2021'!$M:$M,Existing_Conditions!$B78,'Rec_raw_catch_effort_2010-2021'!$B:$B,Existing_Conditions!J$76,'Rec_raw_catch_effort_2010-2021'!$E:$E,Existing_Conditions!$C$73)</f>
        <v>295199.39735274576</v>
      </c>
      <c r="K78" s="122">
        <f>SUMIFS('Rec_raw_catch_effort_2010-2021'!$R:$R,'Rec_raw_catch_effort_2010-2021'!$M:$M,Existing_Conditions!$B78,'Rec_raw_catch_effort_2010-2021'!$B:$B,Existing_Conditions!K$76,'Rec_raw_catch_effort_2010-2021'!$E:$E,Existing_Conditions!$C$73)</f>
        <v>236844.93519471961</v>
      </c>
      <c r="L78" s="122">
        <f>SUMIFS('Rec_raw_catch_effort_2010-2021'!$R:$R,'Rec_raw_catch_effort_2010-2021'!$M:$M,Existing_Conditions!$B78,'Rec_raw_catch_effort_2010-2021'!$B:$B,Existing_Conditions!L$76,'Rec_raw_catch_effort_2010-2021'!$E:$E,Existing_Conditions!$C$73)</f>
        <v>340749.20962066139</v>
      </c>
      <c r="M78" s="123">
        <f t="shared" si="80"/>
        <v>501451.05692189297</v>
      </c>
      <c r="N78" s="120">
        <f t="shared" si="81"/>
        <v>5014510.5692189299</v>
      </c>
    </row>
    <row r="79" spans="2:48" x14ac:dyDescent="0.35">
      <c r="B79" t="s">
        <v>12</v>
      </c>
      <c r="C79" s="122">
        <f>SUMIFS('Rec_raw_catch_effort_2010-2021'!$R:$R,'Rec_raw_catch_effort_2010-2021'!$M:$M,Existing_Conditions!$B79,'Rec_raw_catch_effort_2010-2021'!$B:$B,Existing_Conditions!C$76,'Rec_raw_catch_effort_2010-2021'!$E:$E,Existing_Conditions!$C$73)</f>
        <v>28677.83245788077</v>
      </c>
      <c r="D79" s="122">
        <f>SUMIFS('Rec_raw_catch_effort_2010-2021'!$R:$R,'Rec_raw_catch_effort_2010-2021'!$M:$M,Existing_Conditions!$B79,'Rec_raw_catch_effort_2010-2021'!$B:$B,Existing_Conditions!D$76,'Rec_raw_catch_effort_2010-2021'!$E:$E,Existing_Conditions!$C$73)</f>
        <v>52649.69766767609</v>
      </c>
      <c r="E79" s="122">
        <f>SUMIFS('Rec_raw_catch_effort_2010-2021'!$R:$R,'Rec_raw_catch_effort_2010-2021'!$M:$M,Existing_Conditions!$B79,'Rec_raw_catch_effort_2010-2021'!$B:$B,Existing_Conditions!E$76,'Rec_raw_catch_effort_2010-2021'!$E:$E,Existing_Conditions!$C$73)</f>
        <v>54119.618805348793</v>
      </c>
      <c r="F79" s="122">
        <f>SUMIFS('Rec_raw_catch_effort_2010-2021'!$R:$R,'Rec_raw_catch_effort_2010-2021'!$M:$M,Existing_Conditions!$B79,'Rec_raw_catch_effort_2010-2021'!$B:$B,Existing_Conditions!F$76,'Rec_raw_catch_effort_2010-2021'!$E:$E,Existing_Conditions!$C$73)</f>
        <v>44391.664316664901</v>
      </c>
      <c r="G79" s="122">
        <f>SUMIFS('Rec_raw_catch_effort_2010-2021'!$R:$R,'Rec_raw_catch_effort_2010-2021'!$M:$M,Existing_Conditions!$B79,'Rec_raw_catch_effort_2010-2021'!$B:$B,Existing_Conditions!G$76,'Rec_raw_catch_effort_2010-2021'!$E:$E,Existing_Conditions!$C$73)</f>
        <v>44108.012700657913</v>
      </c>
      <c r="H79" s="122">
        <f>SUMIFS('Rec_raw_catch_effort_2010-2021'!$R:$R,'Rec_raw_catch_effort_2010-2021'!$M:$M,Existing_Conditions!$B79,'Rec_raw_catch_effort_2010-2021'!$B:$B,Existing_Conditions!H$76,'Rec_raw_catch_effort_2010-2021'!$E:$E,Existing_Conditions!$C$73)</f>
        <v>42707.171457866665</v>
      </c>
      <c r="I79" s="122">
        <f>SUMIFS('Rec_raw_catch_effort_2010-2021'!$R:$R,'Rec_raw_catch_effort_2010-2021'!$M:$M,Existing_Conditions!$B79,'Rec_raw_catch_effort_2010-2021'!$B:$B,Existing_Conditions!I$76,'Rec_raw_catch_effort_2010-2021'!$E:$E,Existing_Conditions!$C$73)</f>
        <v>33933.040259232046</v>
      </c>
      <c r="J79" s="122">
        <f>SUMIFS('Rec_raw_catch_effort_2010-2021'!$R:$R,'Rec_raw_catch_effort_2010-2021'!$M:$M,Existing_Conditions!$B79,'Rec_raw_catch_effort_2010-2021'!$B:$B,Existing_Conditions!J$76,'Rec_raw_catch_effort_2010-2021'!$E:$E,Existing_Conditions!$C$73)</f>
        <v>19124.869278116741</v>
      </c>
      <c r="K79" s="122">
        <f>SUMIFS('Rec_raw_catch_effort_2010-2021'!$R:$R,'Rec_raw_catch_effort_2010-2021'!$M:$M,Existing_Conditions!$B79,'Rec_raw_catch_effort_2010-2021'!$B:$B,Existing_Conditions!K$76,'Rec_raw_catch_effort_2010-2021'!$E:$E,Existing_Conditions!$C$73)</f>
        <v>29410.402022678489</v>
      </c>
      <c r="L79" s="122">
        <f>SUMIFS('Rec_raw_catch_effort_2010-2021'!$R:$R,'Rec_raw_catch_effort_2010-2021'!$M:$M,Existing_Conditions!$B79,'Rec_raw_catch_effort_2010-2021'!$B:$B,Existing_Conditions!L$76,'Rec_raw_catch_effort_2010-2021'!$E:$E,Existing_Conditions!$C$73)</f>
        <v>23335.314156078734</v>
      </c>
      <c r="M79" s="123">
        <f t="shared" si="80"/>
        <v>37245.762312220104</v>
      </c>
      <c r="N79" s="120">
        <f t="shared" si="81"/>
        <v>372457.62312220107</v>
      </c>
    </row>
    <row r="80" spans="2:48" x14ac:dyDescent="0.35">
      <c r="B80" s="15" t="s">
        <v>306</v>
      </c>
      <c r="C80" s="122">
        <f>SUM(C77:C79)</f>
        <v>469287.62873059674</v>
      </c>
      <c r="D80" s="122">
        <f t="shared" ref="D80:L80" si="82">SUM(D77:D79)</f>
        <v>1685994.7083740947</v>
      </c>
      <c r="E80" s="122">
        <f t="shared" si="82"/>
        <v>841109.5204840122</v>
      </c>
      <c r="F80" s="122">
        <f t="shared" si="82"/>
        <v>2062401.2308722406</v>
      </c>
      <c r="G80" s="122">
        <f t="shared" si="82"/>
        <v>609245.17802236474</v>
      </c>
      <c r="H80" s="122">
        <f t="shared" si="82"/>
        <v>1316254.1005074349</v>
      </c>
      <c r="I80" s="122">
        <f t="shared" si="82"/>
        <v>380720.68073196616</v>
      </c>
      <c r="J80" s="122">
        <f t="shared" si="82"/>
        <v>472455.1101410535</v>
      </c>
      <c r="K80" s="122">
        <f t="shared" si="82"/>
        <v>441289.55932049378</v>
      </c>
      <c r="L80" s="122">
        <f t="shared" si="82"/>
        <v>512128.18036599952</v>
      </c>
      <c r="M80" s="124">
        <f>SUM(M77:M79)</f>
        <v>879088.58975502558</v>
      </c>
      <c r="N80" s="125">
        <f>SUM(N77:N79)</f>
        <v>8790885.8975502551</v>
      </c>
    </row>
    <row r="81" spans="2:14" x14ac:dyDescent="0.35">
      <c r="B81" t="s">
        <v>27</v>
      </c>
      <c r="C81" s="122">
        <f>SUMIFS('Rec_raw_catch_effort_2010-2021'!$R:$R,'Rec_raw_catch_effort_2010-2021'!$M:$M,Existing_Conditions!$B81,'Rec_raw_catch_effort_2010-2021'!$B:$B,Existing_Conditions!C$76,'Rec_raw_catch_effort_2010-2021'!$E:$E,Existing_Conditions!$C$73)</f>
        <v>37461.622743081192</v>
      </c>
      <c r="D81" s="122">
        <f>SUMIFS('Rec_raw_catch_effort_2010-2021'!$R:$R,'Rec_raw_catch_effort_2010-2021'!$M:$M,Existing_Conditions!$B81,'Rec_raw_catch_effort_2010-2021'!$B:$B,Existing_Conditions!D$76,'Rec_raw_catch_effort_2010-2021'!$E:$E,Existing_Conditions!$C$73)</f>
        <v>128846.46428585418</v>
      </c>
      <c r="E81" s="122">
        <f>SUMIFS('Rec_raw_catch_effort_2010-2021'!$R:$R,'Rec_raw_catch_effort_2010-2021'!$M:$M,Existing_Conditions!$B81,'Rec_raw_catch_effort_2010-2021'!$B:$B,Existing_Conditions!E$76,'Rec_raw_catch_effort_2010-2021'!$E:$E,Existing_Conditions!$C$73)</f>
        <v>55515.600555887242</v>
      </c>
      <c r="F81" s="122">
        <f>SUMIFS('Rec_raw_catch_effort_2010-2021'!$R:$R,'Rec_raw_catch_effort_2010-2021'!$M:$M,Existing_Conditions!$B81,'Rec_raw_catch_effort_2010-2021'!$B:$B,Existing_Conditions!F$76,'Rec_raw_catch_effort_2010-2021'!$E:$E,Existing_Conditions!$C$73)</f>
        <v>160662.82838646602</v>
      </c>
      <c r="G81" s="122">
        <f>SUMIFS('Rec_raw_catch_effort_2010-2021'!$R:$R,'Rec_raw_catch_effort_2010-2021'!$M:$M,Existing_Conditions!$B81,'Rec_raw_catch_effort_2010-2021'!$B:$B,Existing_Conditions!G$76,'Rec_raw_catch_effort_2010-2021'!$E:$E,Existing_Conditions!$C$73)</f>
        <v>49221.601844365898</v>
      </c>
      <c r="H81" s="122">
        <f>SUMIFS('Rec_raw_catch_effort_2010-2021'!$R:$R,'Rec_raw_catch_effort_2010-2021'!$M:$M,Existing_Conditions!$B81,'Rec_raw_catch_effort_2010-2021'!$B:$B,Existing_Conditions!H$76,'Rec_raw_catch_effort_2010-2021'!$E:$E,Existing_Conditions!$C$73)</f>
        <v>128350.53801329734</v>
      </c>
      <c r="I81" s="122">
        <f>SUMIFS('Rec_raw_catch_effort_2010-2021'!$R:$R,'Rec_raw_catch_effort_2010-2021'!$M:$M,Existing_Conditions!$B81,'Rec_raw_catch_effort_2010-2021'!$B:$B,Existing_Conditions!I$76,'Rec_raw_catch_effort_2010-2021'!$E:$E,Existing_Conditions!$C$73)</f>
        <v>30698.552922225026</v>
      </c>
      <c r="J81" s="122">
        <f>SUMIFS('Rec_raw_catch_effort_2010-2021'!$R:$R,'Rec_raw_catch_effort_2010-2021'!$M:$M,Existing_Conditions!$B81,'Rec_raw_catch_effort_2010-2021'!$B:$B,Existing_Conditions!J$76,'Rec_raw_catch_effort_2010-2021'!$E:$E,Existing_Conditions!$C$73)</f>
        <v>38477.984693694067</v>
      </c>
      <c r="K81" s="122">
        <f>SUMIFS('Rec_raw_catch_effort_2010-2021'!$R:$R,'Rec_raw_catch_effort_2010-2021'!$M:$M,Existing_Conditions!$B81,'Rec_raw_catch_effort_2010-2021'!$B:$B,Existing_Conditions!K$76,'Rec_raw_catch_effort_2010-2021'!$E:$E,Existing_Conditions!$C$73)</f>
        <v>35312.324935567049</v>
      </c>
      <c r="L81" s="122">
        <f>SUMIFS('Rec_raw_catch_effort_2010-2021'!$R:$R,'Rec_raw_catch_effort_2010-2021'!$M:$M,Existing_Conditions!$B81,'Rec_raw_catch_effort_2010-2021'!$B:$B,Existing_Conditions!L$76,'Rec_raw_catch_effort_2010-2021'!$E:$E,Existing_Conditions!$C$73)</f>
        <v>38275.666327573155</v>
      </c>
      <c r="M81" s="123">
        <f t="shared" si="80"/>
        <v>70282.31847080111</v>
      </c>
      <c r="N81" s="120">
        <f t="shared" si="81"/>
        <v>702823.1847080111</v>
      </c>
    </row>
    <row r="82" spans="2:14" ht="15" thickBot="1" x14ac:dyDescent="0.4">
      <c r="B82" t="s">
        <v>307</v>
      </c>
      <c r="C82" s="122">
        <f>C80+C81</f>
        <v>506749.25147367793</v>
      </c>
      <c r="D82" s="122">
        <f t="shared" ref="D82:L82" si="83">D80+D81</f>
        <v>1814841.1726599489</v>
      </c>
      <c r="E82" s="122">
        <f t="shared" si="83"/>
        <v>896625.12103989942</v>
      </c>
      <c r="F82" s="122">
        <f t="shared" si="83"/>
        <v>2223064.0592587069</v>
      </c>
      <c r="G82" s="122">
        <f t="shared" si="83"/>
        <v>658466.77986673068</v>
      </c>
      <c r="H82" s="122">
        <f t="shared" si="83"/>
        <v>1444604.6385207323</v>
      </c>
      <c r="I82" s="122">
        <f t="shared" si="83"/>
        <v>411419.23365419119</v>
      </c>
      <c r="J82" s="122">
        <f t="shared" si="83"/>
        <v>510933.09483474755</v>
      </c>
      <c r="K82" s="122">
        <f t="shared" si="83"/>
        <v>476601.88425606082</v>
      </c>
      <c r="L82" s="122">
        <f t="shared" si="83"/>
        <v>550403.8466935727</v>
      </c>
      <c r="M82" s="126">
        <f>SUM(M80,M81)</f>
        <v>949370.90822582669</v>
      </c>
      <c r="N82" s="127">
        <f>SUM(N80,N81)</f>
        <v>9493709.0822582655</v>
      </c>
    </row>
    <row r="83" spans="2:14" x14ac:dyDescent="0.35">
      <c r="C83" s="53"/>
      <c r="D83" s="53"/>
      <c r="E83" s="53"/>
      <c r="F83" s="53"/>
      <c r="G83" s="53"/>
      <c r="H83" s="53"/>
      <c r="I83" s="53"/>
      <c r="J83" s="53"/>
      <c r="K83" s="53"/>
      <c r="L83" s="53"/>
    </row>
    <row r="84" spans="2:14" x14ac:dyDescent="0.35">
      <c r="B84" t="s">
        <v>2</v>
      </c>
      <c r="C84" s="41" t="s">
        <v>86</v>
      </c>
    </row>
    <row r="85" spans="2:14" x14ac:dyDescent="0.35">
      <c r="B85" t="s">
        <v>174</v>
      </c>
      <c r="C85" s="41" t="s">
        <v>310</v>
      </c>
    </row>
    <row r="86" spans="2:14" ht="15" thickBot="1" x14ac:dyDescent="0.4">
      <c r="B86" s="15" t="s">
        <v>333</v>
      </c>
      <c r="C86" s="50" t="s">
        <v>0</v>
      </c>
    </row>
    <row r="87" spans="2:14" x14ac:dyDescent="0.35">
      <c r="B87" s="15" t="s">
        <v>172</v>
      </c>
      <c r="C87" s="15">
        <v>2010</v>
      </c>
      <c r="D87" s="15">
        <v>2011</v>
      </c>
      <c r="E87" s="15">
        <v>2012</v>
      </c>
      <c r="F87" s="15">
        <v>2013</v>
      </c>
      <c r="G87" s="15">
        <v>2014</v>
      </c>
      <c r="H87" s="15">
        <v>2015</v>
      </c>
      <c r="I87" s="15">
        <v>2016</v>
      </c>
      <c r="J87" s="15">
        <v>2017</v>
      </c>
      <c r="K87" s="15">
        <v>2018</v>
      </c>
      <c r="L87" s="15">
        <v>2019</v>
      </c>
      <c r="M87" s="118" t="s">
        <v>128</v>
      </c>
      <c r="N87" s="119" t="s">
        <v>127</v>
      </c>
    </row>
    <row r="88" spans="2:14" x14ac:dyDescent="0.35">
      <c r="B88" t="s">
        <v>14</v>
      </c>
      <c r="C88" s="122">
        <f>SUMIFS('Rec_raw_catch_effort_2010-2021'!$R:$R,'Rec_raw_catch_effort_2010-2021'!$M:$M,Existing_Conditions!$B88,'Rec_raw_catch_effort_2010-2021'!$B:$B,Existing_Conditions!C$87,'Rec_raw_catch_effort_2010-2021'!$E:$E,Existing_Conditions!$C$84)</f>
        <v>67757.316897124183</v>
      </c>
      <c r="D88" s="122">
        <f>SUMIFS('Rec_raw_catch_effort_2010-2021'!$R:$R,'Rec_raw_catch_effort_2010-2021'!$M:$M,Existing_Conditions!$B88,'Rec_raw_catch_effort_2010-2021'!$B:$B,Existing_Conditions!D$87,'Rec_raw_catch_effort_2010-2021'!$E:$E,Existing_Conditions!$C$84)</f>
        <v>87817.970124650456</v>
      </c>
      <c r="E88" s="122">
        <f>SUMIFS('Rec_raw_catch_effort_2010-2021'!$R:$R,'Rec_raw_catch_effort_2010-2021'!$M:$M,Existing_Conditions!$B88,'Rec_raw_catch_effort_2010-2021'!$B:$B,Existing_Conditions!E$87,'Rec_raw_catch_effort_2010-2021'!$E:$E,Existing_Conditions!$C$84)</f>
        <v>116068.57573568217</v>
      </c>
      <c r="F88" s="122">
        <f>SUMIFS('Rec_raw_catch_effort_2010-2021'!$R:$R,'Rec_raw_catch_effort_2010-2021'!$M:$M,Existing_Conditions!$B88,'Rec_raw_catch_effort_2010-2021'!$B:$B,Existing_Conditions!F$87,'Rec_raw_catch_effort_2010-2021'!$E:$E,Existing_Conditions!$C$84)</f>
        <v>98236.940187308588</v>
      </c>
      <c r="G88" s="122">
        <f>SUMIFS('Rec_raw_catch_effort_2010-2021'!$R:$R,'Rec_raw_catch_effort_2010-2021'!$M:$M,Existing_Conditions!$B88,'Rec_raw_catch_effort_2010-2021'!$B:$B,Existing_Conditions!G$87,'Rec_raw_catch_effort_2010-2021'!$E:$E,Existing_Conditions!$C$84)</f>
        <v>67862.926848529503</v>
      </c>
      <c r="H88" s="122">
        <f>SUMIFS('Rec_raw_catch_effort_2010-2021'!$R:$R,'Rec_raw_catch_effort_2010-2021'!$M:$M,Existing_Conditions!$B88,'Rec_raw_catch_effort_2010-2021'!$B:$B,Existing_Conditions!H$87,'Rec_raw_catch_effort_2010-2021'!$E:$E,Existing_Conditions!$C$84)</f>
        <v>54667.774675631554</v>
      </c>
      <c r="I88" s="122">
        <f>SUMIFS('Rec_raw_catch_effort_2010-2021'!$R:$R,'Rec_raw_catch_effort_2010-2021'!$M:$M,Existing_Conditions!$B88,'Rec_raw_catch_effort_2010-2021'!$B:$B,Existing_Conditions!I$87,'Rec_raw_catch_effort_2010-2021'!$E:$E,Existing_Conditions!$C$84)</f>
        <v>35957.4611990091</v>
      </c>
      <c r="J88" s="122">
        <f>SUMIFS('Rec_raw_catch_effort_2010-2021'!$R:$R,'Rec_raw_catch_effort_2010-2021'!$M:$M,Existing_Conditions!$B88,'Rec_raw_catch_effort_2010-2021'!$B:$B,Existing_Conditions!J$87,'Rec_raw_catch_effort_2010-2021'!$E:$E,Existing_Conditions!$C$84)</f>
        <v>41378.008536426263</v>
      </c>
      <c r="K88" s="122">
        <f>SUMIFS('Rec_raw_catch_effort_2010-2021'!$R:$R,'Rec_raw_catch_effort_2010-2021'!$M:$M,Existing_Conditions!$B88,'Rec_raw_catch_effort_2010-2021'!$B:$B,Existing_Conditions!K$87,'Rec_raw_catch_effort_2010-2021'!$E:$E,Existing_Conditions!$C$84)</f>
        <v>44480.556692253762</v>
      </c>
      <c r="L88" s="122">
        <f>SUMIFS('Rec_raw_catch_effort_2010-2021'!$R:$R,'Rec_raw_catch_effort_2010-2021'!$M:$M,Existing_Conditions!$B88,'Rec_raw_catch_effort_2010-2021'!$B:$B,Existing_Conditions!L$87,'Rec_raw_catch_effort_2010-2021'!$E:$E,Existing_Conditions!$C$84)</f>
        <v>5484.8736209419685</v>
      </c>
      <c r="M88" s="123">
        <f t="shared" ref="M88:M92" si="84">AVERAGE(C88:L88)</f>
        <v>61971.240451755759</v>
      </c>
      <c r="N88" s="120">
        <f t="shared" ref="N88:N92" si="85">SUM(C88:L88)</f>
        <v>619712.40451755759</v>
      </c>
    </row>
    <row r="89" spans="2:14" x14ac:dyDescent="0.35">
      <c r="B89" t="s">
        <v>19</v>
      </c>
      <c r="C89" s="122">
        <f>SUMIFS('Rec_raw_catch_effort_2010-2021'!$R:$R,'Rec_raw_catch_effort_2010-2021'!$M:$M,Existing_Conditions!$B89,'Rec_raw_catch_effort_2010-2021'!$B:$B,Existing_Conditions!C$87,'Rec_raw_catch_effort_2010-2021'!$E:$E,Existing_Conditions!$C$84)</f>
        <v>56701.491652882934</v>
      </c>
      <c r="D89" s="122">
        <f>SUMIFS('Rec_raw_catch_effort_2010-2021'!$R:$R,'Rec_raw_catch_effort_2010-2021'!$M:$M,Existing_Conditions!$B89,'Rec_raw_catch_effort_2010-2021'!$B:$B,Existing_Conditions!D$87,'Rec_raw_catch_effort_2010-2021'!$E:$E,Existing_Conditions!$C$84)</f>
        <v>74333.00004777209</v>
      </c>
      <c r="E89" s="122">
        <f>SUMIFS('Rec_raw_catch_effort_2010-2021'!$R:$R,'Rec_raw_catch_effort_2010-2021'!$M:$M,Existing_Conditions!$B89,'Rec_raw_catch_effort_2010-2021'!$B:$B,Existing_Conditions!E$87,'Rec_raw_catch_effort_2010-2021'!$E:$E,Existing_Conditions!$C$84)</f>
        <v>108595.4763253706</v>
      </c>
      <c r="F89" s="122">
        <f>SUMIFS('Rec_raw_catch_effort_2010-2021'!$R:$R,'Rec_raw_catch_effort_2010-2021'!$M:$M,Existing_Conditions!$B89,'Rec_raw_catch_effort_2010-2021'!$B:$B,Existing_Conditions!F$87,'Rec_raw_catch_effort_2010-2021'!$E:$E,Existing_Conditions!$C$84)</f>
        <v>88756.616530705694</v>
      </c>
      <c r="G89" s="122">
        <f>SUMIFS('Rec_raw_catch_effort_2010-2021'!$R:$R,'Rec_raw_catch_effort_2010-2021'!$M:$M,Existing_Conditions!$B89,'Rec_raw_catch_effort_2010-2021'!$B:$B,Existing_Conditions!G$87,'Rec_raw_catch_effort_2010-2021'!$E:$E,Existing_Conditions!$C$84)</f>
        <v>77526.108869938034</v>
      </c>
      <c r="H89" s="122">
        <f>SUMIFS('Rec_raw_catch_effort_2010-2021'!$R:$R,'Rec_raw_catch_effort_2010-2021'!$M:$M,Existing_Conditions!$B89,'Rec_raw_catch_effort_2010-2021'!$B:$B,Existing_Conditions!H$87,'Rec_raw_catch_effort_2010-2021'!$E:$E,Existing_Conditions!$C$84)</f>
        <v>55975.453216834714</v>
      </c>
      <c r="I89" s="122">
        <f>SUMIFS('Rec_raw_catch_effort_2010-2021'!$R:$R,'Rec_raw_catch_effort_2010-2021'!$M:$M,Existing_Conditions!$B89,'Rec_raw_catch_effort_2010-2021'!$B:$B,Existing_Conditions!I$87,'Rec_raw_catch_effort_2010-2021'!$E:$E,Existing_Conditions!$C$84)</f>
        <v>31781.228733650249</v>
      </c>
      <c r="J89" s="122">
        <f>SUMIFS('Rec_raw_catch_effort_2010-2021'!$R:$R,'Rec_raw_catch_effort_2010-2021'!$M:$M,Existing_Conditions!$B89,'Rec_raw_catch_effort_2010-2021'!$B:$B,Existing_Conditions!J$87,'Rec_raw_catch_effort_2010-2021'!$E:$E,Existing_Conditions!$C$84)</f>
        <v>44798.414523143772</v>
      </c>
      <c r="K89" s="122">
        <f>SUMIFS('Rec_raw_catch_effort_2010-2021'!$R:$R,'Rec_raw_catch_effort_2010-2021'!$M:$M,Existing_Conditions!$B89,'Rec_raw_catch_effort_2010-2021'!$B:$B,Existing_Conditions!K$87,'Rec_raw_catch_effort_2010-2021'!$E:$E,Existing_Conditions!$C$84)</f>
        <v>44815.078938548213</v>
      </c>
      <c r="L89" s="122">
        <f>SUMIFS('Rec_raw_catch_effort_2010-2021'!$R:$R,'Rec_raw_catch_effort_2010-2021'!$M:$M,Existing_Conditions!$B89,'Rec_raw_catch_effort_2010-2021'!$B:$B,Existing_Conditions!L$87,'Rec_raw_catch_effort_2010-2021'!$E:$E,Existing_Conditions!$C$84)</f>
        <v>9995.707232041088</v>
      </c>
      <c r="M89" s="123">
        <f t="shared" si="84"/>
        <v>59327.857607088728</v>
      </c>
      <c r="N89" s="120">
        <f t="shared" si="85"/>
        <v>593278.57607088727</v>
      </c>
    </row>
    <row r="90" spans="2:14" x14ac:dyDescent="0.35">
      <c r="B90" t="s">
        <v>12</v>
      </c>
      <c r="C90" s="122">
        <f>SUMIFS('Rec_raw_catch_effort_2010-2021'!$R:$R,'Rec_raw_catch_effort_2010-2021'!$M:$M,Existing_Conditions!$B90,'Rec_raw_catch_effort_2010-2021'!$B:$B,Existing_Conditions!C$87,'Rec_raw_catch_effort_2010-2021'!$E:$E,Existing_Conditions!$C$84)</f>
        <v>10082.470396978997</v>
      </c>
      <c r="D90" s="122">
        <f>SUMIFS('Rec_raw_catch_effort_2010-2021'!$R:$R,'Rec_raw_catch_effort_2010-2021'!$M:$M,Existing_Conditions!$B90,'Rec_raw_catch_effort_2010-2021'!$B:$B,Existing_Conditions!D$87,'Rec_raw_catch_effort_2010-2021'!$E:$E,Existing_Conditions!$C$84)</f>
        <v>10812.792315545683</v>
      </c>
      <c r="E90" s="122">
        <f>SUMIFS('Rec_raw_catch_effort_2010-2021'!$R:$R,'Rec_raw_catch_effort_2010-2021'!$M:$M,Existing_Conditions!$B90,'Rec_raw_catch_effort_2010-2021'!$B:$B,Existing_Conditions!E$87,'Rec_raw_catch_effort_2010-2021'!$E:$E,Existing_Conditions!$C$84)</f>
        <v>4500.3807564958352</v>
      </c>
      <c r="F90" s="122">
        <f>SUMIFS('Rec_raw_catch_effort_2010-2021'!$R:$R,'Rec_raw_catch_effort_2010-2021'!$M:$M,Existing_Conditions!$B90,'Rec_raw_catch_effort_2010-2021'!$B:$B,Existing_Conditions!F$87,'Rec_raw_catch_effort_2010-2021'!$E:$E,Existing_Conditions!$C$84)</f>
        <v>3180.7124456717465</v>
      </c>
      <c r="G90" s="122">
        <f>SUMIFS('Rec_raw_catch_effort_2010-2021'!$R:$R,'Rec_raw_catch_effort_2010-2021'!$M:$M,Existing_Conditions!$B90,'Rec_raw_catch_effort_2010-2021'!$B:$B,Existing_Conditions!G$87,'Rec_raw_catch_effort_2010-2021'!$E:$E,Existing_Conditions!$C$84)</f>
        <v>4807.420849952774</v>
      </c>
      <c r="H90" s="122">
        <f>SUMIFS('Rec_raw_catch_effort_2010-2021'!$R:$R,'Rec_raw_catch_effort_2010-2021'!$M:$M,Existing_Conditions!$B90,'Rec_raw_catch_effort_2010-2021'!$B:$B,Existing_Conditions!H$87,'Rec_raw_catch_effort_2010-2021'!$E:$E,Existing_Conditions!$C$84)</f>
        <v>2460.7390384361256</v>
      </c>
      <c r="I90" s="122">
        <f>SUMIFS('Rec_raw_catch_effort_2010-2021'!$R:$R,'Rec_raw_catch_effort_2010-2021'!$M:$M,Existing_Conditions!$B90,'Rec_raw_catch_effort_2010-2021'!$B:$B,Existing_Conditions!I$87,'Rec_raw_catch_effort_2010-2021'!$E:$E,Existing_Conditions!$C$84)</f>
        <v>2082.6832507557265</v>
      </c>
      <c r="J90" s="122">
        <f>SUMIFS('Rec_raw_catch_effort_2010-2021'!$R:$R,'Rec_raw_catch_effort_2010-2021'!$M:$M,Existing_Conditions!$B90,'Rec_raw_catch_effort_2010-2021'!$B:$B,Existing_Conditions!J$87,'Rec_raw_catch_effort_2010-2021'!$E:$E,Existing_Conditions!$C$84)</f>
        <v>2509.4871486392758</v>
      </c>
      <c r="K90" s="122">
        <f>SUMIFS('Rec_raw_catch_effort_2010-2021'!$R:$R,'Rec_raw_catch_effort_2010-2021'!$M:$M,Existing_Conditions!$B90,'Rec_raw_catch_effort_2010-2021'!$B:$B,Existing_Conditions!K$87,'Rec_raw_catch_effort_2010-2021'!$E:$E,Existing_Conditions!$C$84)</f>
        <v>2461.4033951765996</v>
      </c>
      <c r="L90" s="122">
        <f>SUMIFS('Rec_raw_catch_effort_2010-2021'!$R:$R,'Rec_raw_catch_effort_2010-2021'!$M:$M,Existing_Conditions!$B90,'Rec_raw_catch_effort_2010-2021'!$B:$B,Existing_Conditions!L$87,'Rec_raw_catch_effort_2010-2021'!$E:$E,Existing_Conditions!$C$84)</f>
        <v>230.19961057367223</v>
      </c>
      <c r="M90" s="123">
        <f t="shared" si="84"/>
        <v>4312.8289208226433</v>
      </c>
      <c r="N90" s="120">
        <f t="shared" si="85"/>
        <v>43128.289208226437</v>
      </c>
    </row>
    <row r="91" spans="2:14" x14ac:dyDescent="0.35">
      <c r="B91" s="15" t="s">
        <v>306</v>
      </c>
      <c r="C91" s="122">
        <f>SUM(C88:C90)</f>
        <v>134541.2789469861</v>
      </c>
      <c r="D91" s="122">
        <f t="shared" ref="D91:L91" si="86">SUM(D88:D90)</f>
        <v>172963.76248796823</v>
      </c>
      <c r="E91" s="122">
        <f t="shared" si="86"/>
        <v>229164.4328175486</v>
      </c>
      <c r="F91" s="122">
        <f t="shared" si="86"/>
        <v>190174.26916368605</v>
      </c>
      <c r="G91" s="122">
        <f t="shared" si="86"/>
        <v>150196.45656842034</v>
      </c>
      <c r="H91" s="122">
        <f t="shared" si="86"/>
        <v>113103.96693090239</v>
      </c>
      <c r="I91" s="122">
        <f t="shared" si="86"/>
        <v>69821.373183415082</v>
      </c>
      <c r="J91" s="122">
        <f t="shared" si="86"/>
        <v>88685.910208209316</v>
      </c>
      <c r="K91" s="122">
        <f t="shared" si="86"/>
        <v>91757.039025978578</v>
      </c>
      <c r="L91" s="122">
        <f t="shared" si="86"/>
        <v>15710.78046355673</v>
      </c>
      <c r="M91" s="124">
        <f>SUM(M88:M90)</f>
        <v>125611.92697966713</v>
      </c>
      <c r="N91" s="125">
        <f>SUM(N88:N90)</f>
        <v>1256119.2697966713</v>
      </c>
    </row>
    <row r="92" spans="2:14" x14ac:dyDescent="0.35">
      <c r="B92" t="s">
        <v>27</v>
      </c>
      <c r="C92" s="122">
        <f>SUMIFS('Rec_raw_catch_effort_2010-2021'!$R:$R,'Rec_raw_catch_effort_2010-2021'!$M:$M,Existing_Conditions!$B92,'Rec_raw_catch_effort_2010-2021'!$B:$B,Existing_Conditions!C$87,'Rec_raw_catch_effort_2010-2021'!$E:$E,Existing_Conditions!$C$84)</f>
        <v>3867.2259095277491</v>
      </c>
      <c r="D92" s="122">
        <f>SUMIFS('Rec_raw_catch_effort_2010-2021'!$R:$R,'Rec_raw_catch_effort_2010-2021'!$M:$M,Existing_Conditions!$B92,'Rec_raw_catch_effort_2010-2021'!$B:$B,Existing_Conditions!D$87,'Rec_raw_catch_effort_2010-2021'!$E:$E,Existing_Conditions!$C$84)</f>
        <v>5246.9011388822873</v>
      </c>
      <c r="E92" s="122">
        <f>SUMIFS('Rec_raw_catch_effort_2010-2021'!$R:$R,'Rec_raw_catch_effort_2010-2021'!$M:$M,Existing_Conditions!$B92,'Rec_raw_catch_effort_2010-2021'!$B:$B,Existing_Conditions!E$87,'Rec_raw_catch_effort_2010-2021'!$E:$E,Existing_Conditions!$C$84)</f>
        <v>4251.5379976392423</v>
      </c>
      <c r="F92" s="122">
        <f>SUMIFS('Rec_raw_catch_effort_2010-2021'!$R:$R,'Rec_raw_catch_effort_2010-2021'!$M:$M,Existing_Conditions!$B92,'Rec_raw_catch_effort_2010-2021'!$B:$B,Existing_Conditions!F$87,'Rec_raw_catch_effort_2010-2021'!$E:$E,Existing_Conditions!$C$84)</f>
        <v>4206.0577161491074</v>
      </c>
      <c r="G92" s="122">
        <f>SUMIFS('Rec_raw_catch_effort_2010-2021'!$R:$R,'Rec_raw_catch_effort_2010-2021'!$M:$M,Existing_Conditions!$B92,'Rec_raw_catch_effort_2010-2021'!$B:$B,Existing_Conditions!G$87,'Rec_raw_catch_effort_2010-2021'!$E:$E,Existing_Conditions!$C$84)</f>
        <v>3481.674873870681</v>
      </c>
      <c r="H92" s="122">
        <f>SUMIFS('Rec_raw_catch_effort_2010-2021'!$R:$R,'Rec_raw_catch_effort_2010-2021'!$M:$M,Existing_Conditions!$B92,'Rec_raw_catch_effort_2010-2021'!$B:$B,Existing_Conditions!H$87,'Rec_raw_catch_effort_2010-2021'!$E:$E,Existing_Conditions!$C$84)</f>
        <v>1405.0565134404783</v>
      </c>
      <c r="I92" s="122">
        <f>SUMIFS('Rec_raw_catch_effort_2010-2021'!$R:$R,'Rec_raw_catch_effort_2010-2021'!$M:$M,Existing_Conditions!$B92,'Rec_raw_catch_effort_2010-2021'!$B:$B,Existing_Conditions!I$87,'Rec_raw_catch_effort_2010-2021'!$E:$E,Existing_Conditions!$C$84)</f>
        <v>1094.4043635177873</v>
      </c>
      <c r="J92" s="122">
        <f>SUMIFS('Rec_raw_catch_effort_2010-2021'!$R:$R,'Rec_raw_catch_effort_2010-2021'!$M:$M,Existing_Conditions!$B92,'Rec_raw_catch_effort_2010-2021'!$B:$B,Existing_Conditions!J$87,'Rec_raw_catch_effort_2010-2021'!$E:$E,Existing_Conditions!$C$84)</f>
        <v>2134.1048219871527</v>
      </c>
      <c r="K92" s="122">
        <f>SUMIFS('Rec_raw_catch_effort_2010-2021'!$R:$R,'Rec_raw_catch_effort_2010-2021'!$M:$M,Existing_Conditions!$B92,'Rec_raw_catch_effort_2010-2021'!$B:$B,Existing_Conditions!K$87,'Rec_raw_catch_effort_2010-2021'!$E:$E,Existing_Conditions!$C$84)</f>
        <v>1042.8643565334373</v>
      </c>
      <c r="L92" s="122">
        <f>SUMIFS('Rec_raw_catch_effort_2010-2021'!$R:$R,'Rec_raw_catch_effort_2010-2021'!$M:$M,Existing_Conditions!$B92,'Rec_raw_catch_effort_2010-2021'!$B:$B,Existing_Conditions!L$87,'Rec_raw_catch_effort_2010-2021'!$E:$E,Existing_Conditions!$C$84)</f>
        <v>468.77011607729605</v>
      </c>
      <c r="M92" s="123">
        <f t="shared" si="84"/>
        <v>2719.859780762522</v>
      </c>
      <c r="N92" s="120">
        <f t="shared" si="85"/>
        <v>27198.597807625218</v>
      </c>
    </row>
    <row r="93" spans="2:14" ht="15" thickBot="1" x14ac:dyDescent="0.4">
      <c r="B93" t="s">
        <v>307</v>
      </c>
      <c r="C93" s="122">
        <f>C91+C92</f>
        <v>138408.50485651384</v>
      </c>
      <c r="D93" s="122">
        <f t="shared" ref="D93:L93" si="87">D91+D92</f>
        <v>178210.66362685052</v>
      </c>
      <c r="E93" s="122">
        <f t="shared" si="87"/>
        <v>233415.97081518784</v>
      </c>
      <c r="F93" s="122">
        <f t="shared" si="87"/>
        <v>194380.32687983516</v>
      </c>
      <c r="G93" s="122">
        <f t="shared" si="87"/>
        <v>153678.13144229102</v>
      </c>
      <c r="H93" s="122">
        <f t="shared" si="87"/>
        <v>114509.02344434286</v>
      </c>
      <c r="I93" s="122">
        <f t="shared" si="87"/>
        <v>70915.777546932863</v>
      </c>
      <c r="J93" s="122">
        <f t="shared" si="87"/>
        <v>90820.015030196475</v>
      </c>
      <c r="K93" s="122">
        <f t="shared" si="87"/>
        <v>92799.903382512013</v>
      </c>
      <c r="L93" s="122">
        <f t="shared" si="87"/>
        <v>16179.550579634026</v>
      </c>
      <c r="M93" s="126">
        <f>SUM(M91,M92)</f>
        <v>128331.78676042965</v>
      </c>
      <c r="N93" s="127">
        <f>SUM(N91,N92)</f>
        <v>1283317.8676042967</v>
      </c>
    </row>
    <row r="96" spans="2:14" ht="15.5" x14ac:dyDescent="0.35">
      <c r="B96" s="121" t="s">
        <v>308</v>
      </c>
    </row>
    <row r="97" spans="2:14" x14ac:dyDescent="0.35">
      <c r="B97" t="s">
        <v>2</v>
      </c>
      <c r="C97" s="41" t="s">
        <v>10</v>
      </c>
    </row>
    <row r="98" spans="2:14" x14ac:dyDescent="0.35">
      <c r="B98" t="s">
        <v>174</v>
      </c>
      <c r="C98" s="41" t="s">
        <v>310</v>
      </c>
    </row>
    <row r="99" spans="2:14" ht="15" thickBot="1" x14ac:dyDescent="0.4">
      <c r="B99" s="15" t="s">
        <v>311</v>
      </c>
      <c r="C99" s="50" t="s">
        <v>0</v>
      </c>
    </row>
    <row r="100" spans="2:14" x14ac:dyDescent="0.35">
      <c r="B100" s="15" t="s">
        <v>172</v>
      </c>
      <c r="C100" s="15">
        <v>2010</v>
      </c>
      <c r="D100" s="15">
        <v>2011</v>
      </c>
      <c r="E100" s="15">
        <v>2012</v>
      </c>
      <c r="F100" s="15">
        <v>2013</v>
      </c>
      <c r="G100" s="15">
        <v>2014</v>
      </c>
      <c r="H100" s="15">
        <v>2015</v>
      </c>
      <c r="I100" s="15">
        <v>2016</v>
      </c>
      <c r="J100" s="15">
        <v>2017</v>
      </c>
      <c r="K100" s="15">
        <v>2018</v>
      </c>
      <c r="L100" s="15">
        <v>2019</v>
      </c>
      <c r="M100" s="118" t="s">
        <v>128</v>
      </c>
      <c r="N100" s="119" t="s">
        <v>127</v>
      </c>
    </row>
    <row r="101" spans="2:14" x14ac:dyDescent="0.35">
      <c r="B101" t="s">
        <v>14</v>
      </c>
      <c r="C101" s="122">
        <f>SUMIFS('Rec_raw_catch_effort_2010-2021'!$Q:$Q,'Rec_raw_catch_effort_2010-2021'!$M:$M,Existing_Conditions!$B101,'Rec_raw_catch_effort_2010-2021'!$B:$B,Existing_Conditions!C$100,'Rec_raw_catch_effort_2010-2021'!$E:$E,Existing_Conditions!$C$97)</f>
        <v>27129.084412165779</v>
      </c>
      <c r="D101" s="122">
        <f>SUMIFS('Rec_raw_catch_effort_2010-2021'!$Q:$Q,'Rec_raw_catch_effort_2010-2021'!$M:$M,Existing_Conditions!$B101,'Rec_raw_catch_effort_2010-2021'!$B:$B,Existing_Conditions!D$100,'Rec_raw_catch_effort_2010-2021'!$E:$E,Existing_Conditions!$C$97)</f>
        <v>229153.58331278554</v>
      </c>
      <c r="E101" s="122">
        <f>SUMIFS('Rec_raw_catch_effort_2010-2021'!$Q:$Q,'Rec_raw_catch_effort_2010-2021'!$M:$M,Existing_Conditions!$B101,'Rec_raw_catch_effort_2010-2021'!$B:$B,Existing_Conditions!E$100,'Rec_raw_catch_effort_2010-2021'!$E:$E,Existing_Conditions!$C$97)</f>
        <v>99905.266679128254</v>
      </c>
      <c r="F101" s="122">
        <f>SUMIFS('Rec_raw_catch_effort_2010-2021'!$Q:$Q,'Rec_raw_catch_effort_2010-2021'!$M:$M,Existing_Conditions!$B101,'Rec_raw_catch_effort_2010-2021'!$B:$B,Existing_Conditions!F$100,'Rec_raw_catch_effort_2010-2021'!$E:$E,Existing_Conditions!$C$97)</f>
        <v>299534.24175988644</v>
      </c>
      <c r="G101" s="122">
        <f>SUMIFS('Rec_raw_catch_effort_2010-2021'!$Q:$Q,'Rec_raw_catch_effort_2010-2021'!$M:$M,Existing_Conditions!$B101,'Rec_raw_catch_effort_2010-2021'!$B:$B,Existing_Conditions!G$100,'Rec_raw_catch_effort_2010-2021'!$E:$E,Existing_Conditions!$C$97)</f>
        <v>68686.973902885904</v>
      </c>
      <c r="H101" s="122">
        <f>SUMIFS('Rec_raw_catch_effort_2010-2021'!$Q:$Q,'Rec_raw_catch_effort_2010-2021'!$M:$M,Existing_Conditions!$B101,'Rec_raw_catch_effort_2010-2021'!$B:$B,Existing_Conditions!H$100,'Rec_raw_catch_effort_2010-2021'!$E:$E,Existing_Conditions!$C$97)</f>
        <v>226168.13286815563</v>
      </c>
      <c r="I101" s="122">
        <f>SUMIFS('Rec_raw_catch_effort_2010-2021'!$Q:$Q,'Rec_raw_catch_effort_2010-2021'!$M:$M,Existing_Conditions!$B101,'Rec_raw_catch_effort_2010-2021'!$B:$B,Existing_Conditions!I$100,'Rec_raw_catch_effort_2010-2021'!$E:$E,Existing_Conditions!$C$97)</f>
        <v>31932.615659734813</v>
      </c>
      <c r="J101" s="122">
        <f>SUMIFS('Rec_raw_catch_effort_2010-2021'!$Q:$Q,'Rec_raw_catch_effort_2010-2021'!$M:$M,Existing_Conditions!$B101,'Rec_raw_catch_effort_2010-2021'!$B:$B,Existing_Conditions!J$100,'Rec_raw_catch_effort_2010-2021'!$E:$E,Existing_Conditions!$C$97)</f>
        <v>54367.764155866877</v>
      </c>
      <c r="K101" s="122">
        <f>SUMIFS('Rec_raw_catch_effort_2010-2021'!$Q:$Q,'Rec_raw_catch_effort_2010-2021'!$M:$M,Existing_Conditions!$B101,'Rec_raw_catch_effort_2010-2021'!$B:$B,Existing_Conditions!K$100,'Rec_raw_catch_effort_2010-2021'!$E:$E,Existing_Conditions!$C$97)</f>
        <v>60511.124809872228</v>
      </c>
      <c r="L101" s="122">
        <f>SUMIFS('Rec_raw_catch_effort_2010-2021'!$Q:$Q,'Rec_raw_catch_effort_2010-2021'!$M:$M,Existing_Conditions!$B101,'Rec_raw_catch_effort_2010-2021'!$B:$B,Existing_Conditions!L$100,'Rec_raw_catch_effort_2010-2021'!$E:$E,Existing_Conditions!$C$97)</f>
        <v>73522.690933768594</v>
      </c>
      <c r="M101" s="123">
        <f t="shared" ref="M101:M103" si="88">AVERAGE(C101:L101)</f>
        <v>117091.14784942502</v>
      </c>
      <c r="N101" s="120">
        <f t="shared" ref="N101:N103" si="89">SUM(C101:L101)</f>
        <v>1170911.4784942502</v>
      </c>
    </row>
    <row r="102" spans="2:14" x14ac:dyDescent="0.35">
      <c r="B102" t="s">
        <v>19</v>
      </c>
      <c r="C102" s="122">
        <f>SUMIFS('Rec_raw_catch_effort_2010-2021'!$Q:$Q,'Rec_raw_catch_effort_2010-2021'!$M:$M,Existing_Conditions!$B102,'Rec_raw_catch_effort_2010-2021'!$B:$B,Existing_Conditions!C$100,'Rec_raw_catch_effort_2010-2021'!$E:$E,Existing_Conditions!$C$97)</f>
        <v>47353.023996317839</v>
      </c>
      <c r="D102" s="122">
        <f>SUMIFS('Rec_raw_catch_effort_2010-2021'!$Q:$Q,'Rec_raw_catch_effort_2010-2021'!$M:$M,Existing_Conditions!$B102,'Rec_raw_catch_effort_2010-2021'!$B:$B,Existing_Conditions!D$100,'Rec_raw_catch_effort_2010-2021'!$E:$E,Existing_Conditions!$C$97)</f>
        <v>309236.11644699599</v>
      </c>
      <c r="E102" s="122">
        <f>SUMIFS('Rec_raw_catch_effort_2010-2021'!$Q:$Q,'Rec_raw_catch_effort_2010-2021'!$M:$M,Existing_Conditions!$B102,'Rec_raw_catch_effort_2010-2021'!$B:$B,Existing_Conditions!E$100,'Rec_raw_catch_effort_2010-2021'!$E:$E,Existing_Conditions!$C$97)</f>
        <v>149930.47078925342</v>
      </c>
      <c r="F102" s="122">
        <f>SUMIFS('Rec_raw_catch_effort_2010-2021'!$Q:$Q,'Rec_raw_catch_effort_2010-2021'!$M:$M,Existing_Conditions!$B102,'Rec_raw_catch_effort_2010-2021'!$B:$B,Existing_Conditions!F$100,'Rec_raw_catch_effort_2010-2021'!$E:$E,Existing_Conditions!$C$97)</f>
        <v>384012.26591704355</v>
      </c>
      <c r="G102" s="122">
        <f>SUMIFS('Rec_raw_catch_effort_2010-2021'!$Q:$Q,'Rec_raw_catch_effort_2010-2021'!$M:$M,Existing_Conditions!$B102,'Rec_raw_catch_effort_2010-2021'!$B:$B,Existing_Conditions!G$100,'Rec_raw_catch_effort_2010-2021'!$E:$E,Existing_Conditions!$C$97)</f>
        <v>87165.352664162259</v>
      </c>
      <c r="H102" s="122">
        <f>SUMIFS('Rec_raw_catch_effort_2010-2021'!$Q:$Q,'Rec_raw_catch_effort_2010-2021'!$M:$M,Existing_Conditions!$B102,'Rec_raw_catch_effort_2010-2021'!$B:$B,Existing_Conditions!H$100,'Rec_raw_catch_effort_2010-2021'!$E:$E,Existing_Conditions!$C$97)</f>
        <v>291444.39255203091</v>
      </c>
      <c r="I102" s="122">
        <f>SUMIFS('Rec_raw_catch_effort_2010-2021'!$Q:$Q,'Rec_raw_catch_effort_2010-2021'!$M:$M,Existing_Conditions!$B102,'Rec_raw_catch_effort_2010-2021'!$B:$B,Existing_Conditions!I$100,'Rec_raw_catch_effort_2010-2021'!$E:$E,Existing_Conditions!$C$97)</f>
        <v>37706.93032237453</v>
      </c>
      <c r="J102" s="122">
        <f>SUMIFS('Rec_raw_catch_effort_2010-2021'!$Q:$Q,'Rec_raw_catch_effort_2010-2021'!$M:$M,Existing_Conditions!$B102,'Rec_raw_catch_effort_2010-2021'!$B:$B,Existing_Conditions!J$100,'Rec_raw_catch_effort_2010-2021'!$E:$E,Existing_Conditions!$C$97)</f>
        <v>106403.163698937</v>
      </c>
      <c r="K102" s="122">
        <f>SUMIFS('Rec_raw_catch_effort_2010-2021'!$Q:$Q,'Rec_raw_catch_effort_2010-2021'!$M:$M,Existing_Conditions!$B102,'Rec_raw_catch_effort_2010-2021'!$B:$B,Existing_Conditions!K$100,'Rec_raw_catch_effort_2010-2021'!$E:$E,Existing_Conditions!$C$97)</f>
        <v>92908.08837322898</v>
      </c>
      <c r="L102" s="122">
        <f>SUMIFS('Rec_raw_catch_effort_2010-2021'!$Q:$Q,'Rec_raw_catch_effort_2010-2021'!$M:$M,Existing_Conditions!$B102,'Rec_raw_catch_effort_2010-2021'!$B:$B,Existing_Conditions!L$100,'Rec_raw_catch_effort_2010-2021'!$E:$E,Existing_Conditions!$C$97)</f>
        <v>131841.92401817971</v>
      </c>
      <c r="M102" s="123">
        <f t="shared" si="88"/>
        <v>163800.1728778524</v>
      </c>
      <c r="N102" s="120">
        <f t="shared" si="89"/>
        <v>1638001.7287785241</v>
      </c>
    </row>
    <row r="103" spans="2:14" x14ac:dyDescent="0.35">
      <c r="B103" t="s">
        <v>12</v>
      </c>
      <c r="C103" s="122">
        <f>SUMIFS('Rec_raw_catch_effort_2010-2021'!$Q:$Q,'Rec_raw_catch_effort_2010-2021'!$M:$M,Existing_Conditions!$B103,'Rec_raw_catch_effort_2010-2021'!$B:$B,Existing_Conditions!C$100,'Rec_raw_catch_effort_2010-2021'!$E:$E,Existing_Conditions!$C$97)</f>
        <v>7215.2414475245987</v>
      </c>
      <c r="D103" s="122">
        <f>SUMIFS('Rec_raw_catch_effort_2010-2021'!$Q:$Q,'Rec_raw_catch_effort_2010-2021'!$M:$M,Existing_Conditions!$B103,'Rec_raw_catch_effort_2010-2021'!$B:$B,Existing_Conditions!D$100,'Rec_raw_catch_effort_2010-2021'!$E:$E,Existing_Conditions!$C$97)</f>
        <v>29564.755123280564</v>
      </c>
      <c r="E103" s="122">
        <f>SUMIFS('Rec_raw_catch_effort_2010-2021'!$Q:$Q,'Rec_raw_catch_effort_2010-2021'!$M:$M,Existing_Conditions!$B103,'Rec_raw_catch_effort_2010-2021'!$B:$B,Existing_Conditions!E$100,'Rec_raw_catch_effort_2010-2021'!$E:$E,Existing_Conditions!$C$97)</f>
        <v>31486.357821623325</v>
      </c>
      <c r="F103" s="122">
        <f>SUMIFS('Rec_raw_catch_effort_2010-2021'!$Q:$Q,'Rec_raw_catch_effort_2010-2021'!$M:$M,Existing_Conditions!$B103,'Rec_raw_catch_effort_2010-2021'!$B:$B,Existing_Conditions!F$100,'Rec_raw_catch_effort_2010-2021'!$E:$E,Existing_Conditions!$C$97)</f>
        <v>34115.320776578359</v>
      </c>
      <c r="G103" s="122">
        <f>SUMIFS('Rec_raw_catch_effort_2010-2021'!$Q:$Q,'Rec_raw_catch_effort_2010-2021'!$M:$M,Existing_Conditions!$B103,'Rec_raw_catch_effort_2010-2021'!$B:$B,Existing_Conditions!G$100,'Rec_raw_catch_effort_2010-2021'!$E:$E,Existing_Conditions!$C$97)</f>
        <v>25485.607334550794</v>
      </c>
      <c r="H103" s="122">
        <f>SUMIFS('Rec_raw_catch_effort_2010-2021'!$Q:$Q,'Rec_raw_catch_effort_2010-2021'!$M:$M,Existing_Conditions!$B103,'Rec_raw_catch_effort_2010-2021'!$B:$B,Existing_Conditions!H$100,'Rec_raw_catch_effort_2010-2021'!$E:$E,Existing_Conditions!$C$97)</f>
        <v>38596.970400051534</v>
      </c>
      <c r="I103" s="122">
        <f>SUMIFS('Rec_raw_catch_effort_2010-2021'!$Q:$Q,'Rec_raw_catch_effort_2010-2021'!$M:$M,Existing_Conditions!$B103,'Rec_raw_catch_effort_2010-2021'!$B:$B,Existing_Conditions!I$100,'Rec_raw_catch_effort_2010-2021'!$E:$E,Existing_Conditions!$C$97)</f>
        <v>10318.373056120301</v>
      </c>
      <c r="J103" s="122">
        <f>SUMIFS('Rec_raw_catch_effort_2010-2021'!$Q:$Q,'Rec_raw_catch_effort_2010-2021'!$M:$M,Existing_Conditions!$B103,'Rec_raw_catch_effort_2010-2021'!$B:$B,Existing_Conditions!J$100,'Rec_raw_catch_effort_2010-2021'!$E:$E,Existing_Conditions!$C$97)</f>
        <v>11445.823439383403</v>
      </c>
      <c r="K103" s="122">
        <f>SUMIFS('Rec_raw_catch_effort_2010-2021'!$Q:$Q,'Rec_raw_catch_effort_2010-2021'!$M:$M,Existing_Conditions!$B103,'Rec_raw_catch_effort_2010-2021'!$B:$B,Existing_Conditions!K$100,'Rec_raw_catch_effort_2010-2021'!$E:$E,Existing_Conditions!$C$97)</f>
        <v>21813.757275800006</v>
      </c>
      <c r="L103" s="122">
        <f>SUMIFS('Rec_raw_catch_effort_2010-2021'!$Q:$Q,'Rec_raw_catch_effort_2010-2021'!$M:$M,Existing_Conditions!$B103,'Rec_raw_catch_effort_2010-2021'!$B:$B,Existing_Conditions!L$100,'Rec_raw_catch_effort_2010-2021'!$E:$E,Existing_Conditions!$C$97)</f>
        <v>17297.660813211303</v>
      </c>
      <c r="M103" s="123">
        <f t="shared" si="88"/>
        <v>22733.986748812422</v>
      </c>
      <c r="N103" s="120">
        <f t="shared" si="89"/>
        <v>227339.86748812423</v>
      </c>
    </row>
    <row r="104" spans="2:14" x14ac:dyDescent="0.35">
      <c r="B104" s="15" t="s">
        <v>306</v>
      </c>
      <c r="C104" s="122">
        <f>SUM(C101:C103)</f>
        <v>81697.349856008223</v>
      </c>
      <c r="D104" s="122">
        <f t="shared" ref="D104:L104" si="90">SUM(D101:D103)</f>
        <v>567954.45488306216</v>
      </c>
      <c r="E104" s="122">
        <f t="shared" si="90"/>
        <v>281322.09529000497</v>
      </c>
      <c r="F104" s="122">
        <f t="shared" si="90"/>
        <v>717661.82845350832</v>
      </c>
      <c r="G104" s="122">
        <f t="shared" si="90"/>
        <v>181337.93390159894</v>
      </c>
      <c r="H104" s="122">
        <f t="shared" si="90"/>
        <v>556209.49582023814</v>
      </c>
      <c r="I104" s="122">
        <f t="shared" si="90"/>
        <v>79957.919038229636</v>
      </c>
      <c r="J104" s="122">
        <f t="shared" si="90"/>
        <v>172216.7512941873</v>
      </c>
      <c r="K104" s="122">
        <f t="shared" si="90"/>
        <v>175232.97045890123</v>
      </c>
      <c r="L104" s="122">
        <f t="shared" si="90"/>
        <v>222662.27576515957</v>
      </c>
      <c r="M104" s="124">
        <f>SUM(M101:M103)</f>
        <v>303625.30747608986</v>
      </c>
      <c r="N104" s="125">
        <f>SUM(N101:N103)</f>
        <v>3036253.0747608989</v>
      </c>
    </row>
    <row r="105" spans="2:14" x14ac:dyDescent="0.35">
      <c r="B105" t="s">
        <v>27</v>
      </c>
      <c r="C105" s="122">
        <f>SUMIFS('Rec_raw_catch_effort_2010-2021'!$Q:$Q,'Rec_raw_catch_effort_2010-2021'!$M:$M,Existing_Conditions!$B105,'Rec_raw_catch_effort_2010-2021'!$B:$B,Existing_Conditions!C$100,'Rec_raw_catch_effort_2010-2021'!$E:$E,Existing_Conditions!$C$97)</f>
        <v>8684.650143991772</v>
      </c>
      <c r="D105" s="122">
        <f>SUMIFS('Rec_raw_catch_effort_2010-2021'!$Q:$Q,'Rec_raw_catch_effort_2010-2021'!$M:$M,Existing_Conditions!$B105,'Rec_raw_catch_effort_2010-2021'!$B:$B,Existing_Conditions!D$100,'Rec_raw_catch_effort_2010-2021'!$E:$E,Existing_Conditions!$C$97)</f>
        <v>54669.293028467844</v>
      </c>
      <c r="E105" s="122">
        <f>SUMIFS('Rec_raw_catch_effort_2010-2021'!$Q:$Q,'Rec_raw_catch_effort_2010-2021'!$M:$M,Existing_Conditions!$B105,'Rec_raw_catch_effort_2010-2021'!$B:$B,Existing_Conditions!E$100,'Rec_raw_catch_effort_2010-2021'!$E:$E,Existing_Conditions!$C$97)</f>
        <v>28231.904709995109</v>
      </c>
      <c r="F105" s="122">
        <f>SUMIFS('Rec_raw_catch_effort_2010-2021'!$Q:$Q,'Rec_raw_catch_effort_2010-2021'!$M:$M,Existing_Conditions!$B105,'Rec_raw_catch_effort_2010-2021'!$B:$B,Existing_Conditions!F$100,'Rec_raw_catch_effort_2010-2021'!$E:$E,Existing_Conditions!$C$97)</f>
        <v>70837.171546491867</v>
      </c>
      <c r="G105" s="122">
        <f>SUMIFS('Rec_raw_catch_effort_2010-2021'!$Q:$Q,'Rec_raw_catch_effort_2010-2021'!$M:$M,Existing_Conditions!$B105,'Rec_raw_catch_effort_2010-2021'!$B:$B,Existing_Conditions!G$100,'Rec_raw_catch_effort_2010-2021'!$E:$E,Existing_Conditions!$C$97)</f>
        <v>21389.066098401028</v>
      </c>
      <c r="H105" s="122">
        <f>SUMIFS('Rec_raw_catch_effort_2010-2021'!$Q:$Q,'Rec_raw_catch_effort_2010-2021'!$M:$M,Existing_Conditions!$B105,'Rec_raw_catch_effort_2010-2021'!$B:$B,Existing_Conditions!H$100,'Rec_raw_catch_effort_2010-2021'!$E:$E,Existing_Conditions!$C$97)</f>
        <v>74259.504179762269</v>
      </c>
      <c r="I105" s="122">
        <f>SUMIFS('Rec_raw_catch_effort_2010-2021'!$Q:$Q,'Rec_raw_catch_effort_2010-2021'!$M:$M,Existing_Conditions!$B105,'Rec_raw_catch_effort_2010-2021'!$B:$B,Existing_Conditions!I$100,'Rec_raw_catch_effort_2010-2021'!$E:$E,Existing_Conditions!$C$97)</f>
        <v>6593.8975820550213</v>
      </c>
      <c r="J105" s="122">
        <f>SUMIFS('Rec_raw_catch_effort_2010-2021'!$Q:$Q,'Rec_raw_catch_effort_2010-2021'!$M:$M,Existing_Conditions!$B105,'Rec_raw_catch_effort_2010-2021'!$B:$B,Existing_Conditions!J$100,'Rec_raw_catch_effort_2010-2021'!$E:$E,Existing_Conditions!$C$97)</f>
        <v>16502.248705812741</v>
      </c>
      <c r="K105" s="122">
        <f>SUMIFS('Rec_raw_catch_effort_2010-2021'!$Q:$Q,'Rec_raw_catch_effort_2010-2021'!$M:$M,Existing_Conditions!$B105,'Rec_raw_catch_effort_2010-2021'!$B:$B,Existing_Conditions!K$100,'Rec_raw_catch_effort_2010-2021'!$E:$E,Existing_Conditions!$C$97)</f>
        <v>19174.029541098775</v>
      </c>
      <c r="L105" s="122">
        <f>SUMIFS('Rec_raw_catch_effort_2010-2021'!$Q:$Q,'Rec_raw_catch_effort_2010-2021'!$M:$M,Existing_Conditions!$B105,'Rec_raw_catch_effort_2010-2021'!$B:$B,Existing_Conditions!L$100,'Rec_raw_catch_effort_2010-2021'!$E:$E,Existing_Conditions!$C$97)</f>
        <v>22323.724234840509</v>
      </c>
      <c r="M105" s="123">
        <f t="shared" ref="M105" si="91">AVERAGE(C105:L105)</f>
        <v>32266.548977091687</v>
      </c>
      <c r="N105" s="120">
        <f t="shared" ref="N105" si="92">SUM(C105:L105)</f>
        <v>322665.48977091687</v>
      </c>
    </row>
    <row r="106" spans="2:14" ht="15" thickBot="1" x14ac:dyDescent="0.4">
      <c r="B106" t="s">
        <v>307</v>
      </c>
      <c r="C106" s="122">
        <f>C104+C105</f>
        <v>90382</v>
      </c>
      <c r="D106" s="122">
        <f t="shared" ref="D106:L106" si="93">D104+D105</f>
        <v>622623.74791152996</v>
      </c>
      <c r="E106" s="122">
        <f t="shared" si="93"/>
        <v>309554.00000000006</v>
      </c>
      <c r="F106" s="122">
        <f t="shared" si="93"/>
        <v>788499.00000000023</v>
      </c>
      <c r="G106" s="122">
        <f t="shared" si="93"/>
        <v>202726.99999999997</v>
      </c>
      <c r="H106" s="122">
        <f t="shared" si="93"/>
        <v>630469.00000000047</v>
      </c>
      <c r="I106" s="122">
        <f t="shared" si="93"/>
        <v>86551.816620284662</v>
      </c>
      <c r="J106" s="122">
        <f t="shared" si="93"/>
        <v>188719.00000000003</v>
      </c>
      <c r="K106" s="122">
        <f t="shared" si="93"/>
        <v>194407</v>
      </c>
      <c r="L106" s="122">
        <f t="shared" si="93"/>
        <v>244986.00000000009</v>
      </c>
      <c r="M106" s="126">
        <f>SUM(M104,M105)</f>
        <v>335891.85645318154</v>
      </c>
      <c r="N106" s="127">
        <f>SUM(N104,N105)</f>
        <v>3358918.5645318157</v>
      </c>
    </row>
    <row r="108" spans="2:14" x14ac:dyDescent="0.35">
      <c r="B108" t="s">
        <v>2</v>
      </c>
      <c r="C108" s="41" t="s">
        <v>86</v>
      </c>
    </row>
    <row r="109" spans="2:14" x14ac:dyDescent="0.35">
      <c r="B109" t="s">
        <v>174</v>
      </c>
      <c r="C109" s="41" t="s">
        <v>310</v>
      </c>
    </row>
    <row r="110" spans="2:14" ht="15" thickBot="1" x14ac:dyDescent="0.4">
      <c r="B110" s="15" t="s">
        <v>311</v>
      </c>
      <c r="C110" s="50" t="s">
        <v>0</v>
      </c>
    </row>
    <row r="111" spans="2:14" x14ac:dyDescent="0.35">
      <c r="B111" s="15" t="s">
        <v>172</v>
      </c>
      <c r="C111" s="15">
        <v>2010</v>
      </c>
      <c r="D111" s="15">
        <v>2011</v>
      </c>
      <c r="E111" s="15">
        <v>2012</v>
      </c>
      <c r="F111" s="15">
        <v>2013</v>
      </c>
      <c r="G111" s="15">
        <v>2014</v>
      </c>
      <c r="H111" s="15">
        <v>2015</v>
      </c>
      <c r="I111" s="15">
        <v>2016</v>
      </c>
      <c r="J111" s="15">
        <v>2017</v>
      </c>
      <c r="K111" s="15">
        <v>2018</v>
      </c>
      <c r="L111" s="15">
        <v>2019</v>
      </c>
      <c r="M111" s="118" t="s">
        <v>128</v>
      </c>
      <c r="N111" s="119" t="s">
        <v>127</v>
      </c>
    </row>
    <row r="112" spans="2:14" x14ac:dyDescent="0.35">
      <c r="B112" t="s">
        <v>14</v>
      </c>
      <c r="C112" s="122">
        <f>SUMIFS('Rec_raw_catch_effort_2010-2021'!$Q:$Q,'Rec_raw_catch_effort_2010-2021'!$M:$M,Existing_Conditions!$B112,'Rec_raw_catch_effort_2010-2021'!$B:$B,Existing_Conditions!C$111,'Rec_raw_catch_effort_2010-2021'!$E:$E,Existing_Conditions!$C$108)</f>
        <v>3284.6929531117903</v>
      </c>
      <c r="D112" s="122">
        <f>SUMIFS('Rec_raw_catch_effort_2010-2021'!$Q:$Q,'Rec_raw_catch_effort_2010-2021'!$M:$M,Existing_Conditions!$B112,'Rec_raw_catch_effort_2010-2021'!$B:$B,Existing_Conditions!D$111,'Rec_raw_catch_effort_2010-2021'!$E:$E,Existing_Conditions!$C$108)</f>
        <v>4341.6751489544595</v>
      </c>
      <c r="E112" s="122">
        <f>SUMIFS('Rec_raw_catch_effort_2010-2021'!$Q:$Q,'Rec_raw_catch_effort_2010-2021'!$M:$M,Existing_Conditions!$B112,'Rec_raw_catch_effort_2010-2021'!$B:$B,Existing_Conditions!E$111,'Rec_raw_catch_effort_2010-2021'!$E:$E,Existing_Conditions!$C$108)</f>
        <v>5604.5083507453292</v>
      </c>
      <c r="F112" s="122">
        <f>SUMIFS('Rec_raw_catch_effort_2010-2021'!$Q:$Q,'Rec_raw_catch_effort_2010-2021'!$M:$M,Existing_Conditions!$B112,'Rec_raw_catch_effort_2010-2021'!$B:$B,Existing_Conditions!F$111,'Rec_raw_catch_effort_2010-2021'!$E:$E,Existing_Conditions!$C$108)</f>
        <v>4725.4070344700413</v>
      </c>
      <c r="G112" s="122">
        <f>SUMIFS('Rec_raw_catch_effort_2010-2021'!$Q:$Q,'Rec_raw_catch_effort_2010-2021'!$M:$M,Existing_Conditions!$B112,'Rec_raw_catch_effort_2010-2021'!$B:$B,Existing_Conditions!G$111,'Rec_raw_catch_effort_2010-2021'!$E:$E,Existing_Conditions!$C$108)</f>
        <v>3255.3265444915182</v>
      </c>
      <c r="H112" s="122">
        <f>SUMIFS('Rec_raw_catch_effort_2010-2021'!$Q:$Q,'Rec_raw_catch_effort_2010-2021'!$M:$M,Existing_Conditions!$B112,'Rec_raw_catch_effort_2010-2021'!$B:$B,Existing_Conditions!H$111,'Rec_raw_catch_effort_2010-2021'!$E:$E,Existing_Conditions!$C$108)</f>
        <v>2772.6589330355469</v>
      </c>
      <c r="I112" s="122">
        <f>SUMIFS('Rec_raw_catch_effort_2010-2021'!$Q:$Q,'Rec_raw_catch_effort_2010-2021'!$M:$M,Existing_Conditions!$B112,'Rec_raw_catch_effort_2010-2021'!$B:$B,Existing_Conditions!I$111,'Rec_raw_catch_effort_2010-2021'!$E:$E,Existing_Conditions!$C$108)</f>
        <v>1728.2024987120089</v>
      </c>
      <c r="J112" s="122">
        <f>SUMIFS('Rec_raw_catch_effort_2010-2021'!$Q:$Q,'Rec_raw_catch_effort_2010-2021'!$M:$M,Existing_Conditions!$B112,'Rec_raw_catch_effort_2010-2021'!$B:$B,Existing_Conditions!J$111,'Rec_raw_catch_effort_2010-2021'!$E:$E,Existing_Conditions!$C$108)</f>
        <v>2071.5420982088517</v>
      </c>
      <c r="K112" s="122">
        <f>SUMIFS('Rec_raw_catch_effort_2010-2021'!$Q:$Q,'Rec_raw_catch_effort_2010-2021'!$M:$M,Existing_Conditions!$B112,'Rec_raw_catch_effort_2010-2021'!$B:$B,Existing_Conditions!K$111,'Rec_raw_catch_effort_2010-2021'!$E:$E,Existing_Conditions!$C$108)</f>
        <v>2201.2251396222832</v>
      </c>
      <c r="L112" s="122">
        <f>SUMIFS('Rec_raw_catch_effort_2010-2021'!$Q:$Q,'Rec_raw_catch_effort_2010-2021'!$M:$M,Existing_Conditions!$B112,'Rec_raw_catch_effort_2010-2021'!$B:$B,Existing_Conditions!L$111,'Rec_raw_catch_effort_2010-2021'!$E:$E,Existing_Conditions!$C$108)</f>
        <v>304.85428571428571</v>
      </c>
      <c r="M112" s="123">
        <f t="shared" ref="M112:M114" si="94">AVERAGE(C112:L112)</f>
        <v>3029.0092987066114</v>
      </c>
      <c r="N112" s="120">
        <f t="shared" ref="N112:N114" si="95">SUM(C112:L112)</f>
        <v>30290.092987066113</v>
      </c>
    </row>
    <row r="113" spans="2:26" x14ac:dyDescent="0.35">
      <c r="B113" t="s">
        <v>19</v>
      </c>
      <c r="C113" s="122">
        <f>SUMIFS('Rec_raw_catch_effort_2010-2021'!$Q:$Q,'Rec_raw_catch_effort_2010-2021'!$M:$M,Existing_Conditions!$B113,'Rec_raw_catch_effort_2010-2021'!$B:$B,Existing_Conditions!C$111,'Rec_raw_catch_effort_2010-2021'!$E:$E,Existing_Conditions!$C$108)</f>
        <v>2715.3259543880699</v>
      </c>
      <c r="D113" s="122">
        <f>SUMIFS('Rec_raw_catch_effort_2010-2021'!$Q:$Q,'Rec_raw_catch_effort_2010-2021'!$M:$M,Existing_Conditions!$B113,'Rec_raw_catch_effort_2010-2021'!$B:$B,Existing_Conditions!D$111,'Rec_raw_catch_effort_2010-2021'!$E:$E,Existing_Conditions!$C$108)</f>
        <v>3563.6967407984257</v>
      </c>
      <c r="E113" s="122">
        <f>SUMIFS('Rec_raw_catch_effort_2010-2021'!$Q:$Q,'Rec_raw_catch_effort_2010-2021'!$M:$M,Existing_Conditions!$B113,'Rec_raw_catch_effort_2010-2021'!$B:$B,Existing_Conditions!E$111,'Rec_raw_catch_effort_2010-2021'!$E:$E,Existing_Conditions!$C$108)</f>
        <v>5216.4894494228211</v>
      </c>
      <c r="F113" s="122">
        <f>SUMIFS('Rec_raw_catch_effort_2010-2021'!$Q:$Q,'Rec_raw_catch_effort_2010-2021'!$M:$M,Existing_Conditions!$B113,'Rec_raw_catch_effort_2010-2021'!$B:$B,Existing_Conditions!F$111,'Rec_raw_catch_effort_2010-2021'!$E:$E,Existing_Conditions!$C$108)</f>
        <v>4243.2803450099573</v>
      </c>
      <c r="G113" s="122">
        <f>SUMIFS('Rec_raw_catch_effort_2010-2021'!$Q:$Q,'Rec_raw_catch_effort_2010-2021'!$M:$M,Existing_Conditions!$B113,'Rec_raw_catch_effort_2010-2021'!$B:$B,Existing_Conditions!G$111,'Rec_raw_catch_effort_2010-2021'!$E:$E,Existing_Conditions!$C$108)</f>
        <v>3707.991435153579</v>
      </c>
      <c r="H113" s="122">
        <f>SUMIFS('Rec_raw_catch_effort_2010-2021'!$Q:$Q,'Rec_raw_catch_effort_2010-2021'!$M:$M,Existing_Conditions!$B113,'Rec_raw_catch_effort_2010-2021'!$B:$B,Existing_Conditions!H$111,'Rec_raw_catch_effort_2010-2021'!$E:$E,Existing_Conditions!$C$108)</f>
        <v>2687.1024857260268</v>
      </c>
      <c r="I113" s="122">
        <f>SUMIFS('Rec_raw_catch_effort_2010-2021'!$Q:$Q,'Rec_raw_catch_effort_2010-2021'!$M:$M,Existing_Conditions!$B113,'Rec_raw_catch_effort_2010-2021'!$B:$B,Existing_Conditions!I$111,'Rec_raw_catch_effort_2010-2021'!$E:$E,Existing_Conditions!$C$108)</f>
        <v>1518.6538117894434</v>
      </c>
      <c r="J113" s="122">
        <f>SUMIFS('Rec_raw_catch_effort_2010-2021'!$Q:$Q,'Rec_raw_catch_effort_2010-2021'!$M:$M,Existing_Conditions!$B113,'Rec_raw_catch_effort_2010-2021'!$B:$B,Existing_Conditions!J$111,'Rec_raw_catch_effort_2010-2021'!$E:$E,Existing_Conditions!$C$108)</f>
        <v>2159.5370061422191</v>
      </c>
      <c r="K113" s="122">
        <f>SUMIFS('Rec_raw_catch_effort_2010-2021'!$Q:$Q,'Rec_raw_catch_effort_2010-2021'!$M:$M,Existing_Conditions!$B113,'Rec_raw_catch_effort_2010-2021'!$B:$B,Existing_Conditions!K$111,'Rec_raw_catch_effort_2010-2021'!$E:$E,Existing_Conditions!$C$108)</f>
        <v>2141.4713391370551</v>
      </c>
      <c r="L113" s="122">
        <f>SUMIFS('Rec_raw_catch_effort_2010-2021'!$Q:$Q,'Rec_raw_catch_effort_2010-2021'!$M:$M,Existing_Conditions!$B113,'Rec_raw_catch_effort_2010-2021'!$B:$B,Existing_Conditions!L$111,'Rec_raw_catch_effort_2010-2021'!$E:$E,Existing_Conditions!$C$108)</f>
        <v>494.74571428571431</v>
      </c>
      <c r="M113" s="123">
        <f t="shared" si="94"/>
        <v>2844.8294281853314</v>
      </c>
      <c r="N113" s="120">
        <f t="shared" si="95"/>
        <v>28448.294281853316</v>
      </c>
    </row>
    <row r="114" spans="2:26" x14ac:dyDescent="0.35">
      <c r="B114" t="s">
        <v>12</v>
      </c>
      <c r="C114" s="122">
        <f>SUMIFS('Rec_raw_catch_effort_2010-2021'!$Q:$Q,'Rec_raw_catch_effort_2010-2021'!$M:$M,Existing_Conditions!$B114,'Rec_raw_catch_effort_2010-2021'!$B:$B,Existing_Conditions!C$111,'Rec_raw_catch_effort_2010-2021'!$E:$E,Existing_Conditions!$C$108)</f>
        <v>484.72045038739043</v>
      </c>
      <c r="D114" s="122">
        <f>SUMIFS('Rec_raw_catch_effort_2010-2021'!$Q:$Q,'Rec_raw_catch_effort_2010-2021'!$M:$M,Existing_Conditions!$B114,'Rec_raw_catch_effort_2010-2021'!$B:$B,Existing_Conditions!D$111,'Rec_raw_catch_effort_2010-2021'!$E:$E,Existing_Conditions!$C$108)</f>
        <v>516.68512893916125</v>
      </c>
      <c r="E114" s="122">
        <f>SUMIFS('Rec_raw_catch_effort_2010-2021'!$Q:$Q,'Rec_raw_catch_effort_2010-2021'!$M:$M,Existing_Conditions!$B114,'Rec_raw_catch_effort_2010-2021'!$B:$B,Existing_Conditions!E$111,'Rec_raw_catch_effort_2010-2021'!$E:$E,Existing_Conditions!$C$108)</f>
        <v>215.04896640826877</v>
      </c>
      <c r="F114" s="122">
        <f>SUMIFS('Rec_raw_catch_effort_2010-2021'!$Q:$Q,'Rec_raw_catch_effort_2010-2021'!$M:$M,Existing_Conditions!$B114,'Rec_raw_catch_effort_2010-2021'!$B:$B,Existing_Conditions!F$111,'Rec_raw_catch_effort_2010-2021'!$E:$E,Existing_Conditions!$C$108)</f>
        <v>154.06862745098044</v>
      </c>
      <c r="G114" s="122">
        <f>SUMIFS('Rec_raw_catch_effort_2010-2021'!$Q:$Q,'Rec_raw_catch_effort_2010-2021'!$M:$M,Existing_Conditions!$B114,'Rec_raw_catch_effort_2010-2021'!$B:$B,Existing_Conditions!G$111,'Rec_raw_catch_effort_2010-2021'!$E:$E,Existing_Conditions!$C$108)</f>
        <v>229.72075937789862</v>
      </c>
      <c r="H114" s="122">
        <f>SUMIFS('Rec_raw_catch_effort_2010-2021'!$Q:$Q,'Rec_raw_catch_effort_2010-2021'!$M:$M,Existing_Conditions!$B114,'Rec_raw_catch_effort_2010-2021'!$B:$B,Existing_Conditions!H$111,'Rec_raw_catch_effort_2010-2021'!$E:$E,Existing_Conditions!$C$108)</f>
        <v>117.58547008547001</v>
      </c>
      <c r="I114" s="122">
        <f>SUMIFS('Rec_raw_catch_effort_2010-2021'!$Q:$Q,'Rec_raw_catch_effort_2010-2021'!$M:$M,Existing_Conditions!$B114,'Rec_raw_catch_effort_2010-2021'!$B:$B,Existing_Conditions!I$111,'Rec_raw_catch_effort_2010-2021'!$E:$E,Existing_Conditions!$C$108)</f>
        <v>99.520219435736678</v>
      </c>
      <c r="J114" s="122">
        <f>SUMIFS('Rec_raw_catch_effort_2010-2021'!$Q:$Q,'Rec_raw_catch_effort_2010-2021'!$M:$M,Existing_Conditions!$B114,'Rec_raw_catch_effort_2010-2021'!$B:$B,Existing_Conditions!J$111,'Rec_raw_catch_effort_2010-2021'!$E:$E,Existing_Conditions!$C$108)</f>
        <v>129.3458646616541</v>
      </c>
      <c r="K114" s="122">
        <f>SUMIFS('Rec_raw_catch_effort_2010-2021'!$Q:$Q,'Rec_raw_catch_effort_2010-2021'!$M:$M,Existing_Conditions!$B114,'Rec_raw_catch_effort_2010-2021'!$B:$B,Existing_Conditions!K$111,'Rec_raw_catch_effort_2010-2021'!$E:$E,Existing_Conditions!$C$108)</f>
        <v>117.61721611721612</v>
      </c>
      <c r="L114" s="122">
        <f>SUMIFS('Rec_raw_catch_effort_2010-2021'!$Q:$Q,'Rec_raw_catch_effort_2010-2021'!$M:$M,Existing_Conditions!$B114,'Rec_raw_catch_effort_2010-2021'!$B:$B,Existing_Conditions!L$111,'Rec_raw_catch_effort_2010-2021'!$E:$E,Existing_Conditions!$C$108)</f>
        <v>11</v>
      </c>
      <c r="M114" s="123">
        <f t="shared" si="94"/>
        <v>207.53127028637761</v>
      </c>
      <c r="N114" s="120">
        <f t="shared" si="95"/>
        <v>2075.3127028637759</v>
      </c>
    </row>
    <row r="115" spans="2:26" x14ac:dyDescent="0.35">
      <c r="B115" s="15" t="s">
        <v>306</v>
      </c>
      <c r="C115" s="122">
        <f>SUM(C112:C114)</f>
        <v>6484.7393578872507</v>
      </c>
      <c r="D115" s="122">
        <f t="shared" ref="D115:L115" si="96">SUM(D112:D114)</f>
        <v>8422.0570186920468</v>
      </c>
      <c r="E115" s="122">
        <f t="shared" si="96"/>
        <v>11036.046766576419</v>
      </c>
      <c r="F115" s="122">
        <f t="shared" si="96"/>
        <v>9122.7560069309784</v>
      </c>
      <c r="G115" s="122">
        <f t="shared" si="96"/>
        <v>7193.0387390229953</v>
      </c>
      <c r="H115" s="122">
        <f t="shared" si="96"/>
        <v>5577.3468888470434</v>
      </c>
      <c r="I115" s="122">
        <f t="shared" si="96"/>
        <v>3346.3765299371889</v>
      </c>
      <c r="J115" s="122">
        <f t="shared" si="96"/>
        <v>4360.4249690127253</v>
      </c>
      <c r="K115" s="122">
        <f t="shared" si="96"/>
        <v>4460.313694876555</v>
      </c>
      <c r="L115" s="122">
        <f t="shared" si="96"/>
        <v>810.6</v>
      </c>
      <c r="M115" s="124">
        <f>SUM(M112:M114)</f>
        <v>6081.3699971783208</v>
      </c>
      <c r="N115" s="125">
        <f>SUM(N112:N114)</f>
        <v>60813.6999717832</v>
      </c>
    </row>
    <row r="116" spans="2:26" x14ac:dyDescent="0.35">
      <c r="B116" t="s">
        <v>27</v>
      </c>
      <c r="C116" s="122">
        <f>SUMIFS('Rec_raw_catch_effort_2010-2021'!$Q:$Q,'Rec_raw_catch_effort_2010-2021'!$M:$M,Existing_Conditions!$B116,'Rec_raw_catch_effort_2010-2021'!$B:$B,Existing_Conditions!C$111,'Rec_raw_catch_effort_2010-2021'!$E:$E,Existing_Conditions!$C$108)</f>
        <v>186.2606421127488</v>
      </c>
      <c r="D116" s="122">
        <f>SUMIFS('Rec_raw_catch_effort_2010-2021'!$Q:$Q,'Rec_raw_catch_effort_2010-2021'!$M:$M,Existing_Conditions!$B116,'Rec_raw_catch_effort_2010-2021'!$B:$B,Existing_Conditions!D$111,'Rec_raw_catch_effort_2010-2021'!$E:$E,Existing_Conditions!$C$108)</f>
        <v>254.2334574984319</v>
      </c>
      <c r="E116" s="122">
        <f>SUMIFS('Rec_raw_catch_effort_2010-2021'!$Q:$Q,'Rec_raw_catch_effort_2010-2021'!$M:$M,Existing_Conditions!$B116,'Rec_raw_catch_effort_2010-2021'!$B:$B,Existing_Conditions!E$111,'Rec_raw_catch_effort_2010-2021'!$E:$E,Existing_Conditions!$C$108)</f>
        <v>209.1626090478789</v>
      </c>
      <c r="F116" s="122">
        <f>SUMIFS('Rec_raw_catch_effort_2010-2021'!$Q:$Q,'Rec_raw_catch_effort_2010-2021'!$M:$M,Existing_Conditions!$B116,'Rec_raw_catch_effort_2010-2021'!$B:$B,Existing_Conditions!F$111,'Rec_raw_catch_effort_2010-2021'!$E:$E,Existing_Conditions!$C$108)</f>
        <v>204.70607161349196</v>
      </c>
      <c r="G116" s="122">
        <f>SUMIFS('Rec_raw_catch_effort_2010-2021'!$Q:$Q,'Rec_raw_catch_effort_2010-2021'!$M:$M,Existing_Conditions!$B116,'Rec_raw_catch_effort_2010-2021'!$B:$B,Existing_Conditions!G$111,'Rec_raw_catch_effort_2010-2021'!$E:$E,Existing_Conditions!$C$108)</f>
        <v>166.37049696624314</v>
      </c>
      <c r="H116" s="122">
        <f>SUMIFS('Rec_raw_catch_effort_2010-2021'!$Q:$Q,'Rec_raw_catch_effort_2010-2021'!$M:$M,Existing_Conditions!$B116,'Rec_raw_catch_effort_2010-2021'!$B:$B,Existing_Conditions!H$111,'Rec_raw_catch_effort_2010-2021'!$E:$E,Existing_Conditions!$C$108)</f>
        <v>91.813980033095362</v>
      </c>
      <c r="I116" s="122">
        <f>SUMIFS('Rec_raw_catch_effort_2010-2021'!$Q:$Q,'Rec_raw_catch_effort_2010-2021'!$M:$M,Existing_Conditions!$B116,'Rec_raw_catch_effort_2010-2021'!$B:$B,Existing_Conditions!I$111,'Rec_raw_catch_effort_2010-2021'!$E:$E,Existing_Conditions!$C$108)</f>
        <v>52.295692285035031</v>
      </c>
      <c r="J116" s="122">
        <f>SUMIFS('Rec_raw_catch_effort_2010-2021'!$Q:$Q,'Rec_raw_catch_effort_2010-2021'!$M:$M,Existing_Conditions!$B116,'Rec_raw_catch_effort_2010-2021'!$B:$B,Existing_Conditions!J$111,'Rec_raw_catch_effort_2010-2021'!$E:$E,Existing_Conditions!$C$108)</f>
        <v>111.40836432061047</v>
      </c>
      <c r="K116" s="122">
        <f>SUMIFS('Rec_raw_catch_effort_2010-2021'!$Q:$Q,'Rec_raw_catch_effort_2010-2021'!$M:$M,Existing_Conditions!$B116,'Rec_raw_catch_effort_2010-2021'!$B:$B,Existing_Conditions!K$111,'Rec_raw_catch_effort_2010-2021'!$E:$E,Existing_Conditions!$C$108)</f>
        <v>49.83287284144432</v>
      </c>
      <c r="L116" s="122">
        <f>SUMIFS('Rec_raw_catch_effort_2010-2021'!$Q:$Q,'Rec_raw_catch_effort_2010-2021'!$M:$M,Existing_Conditions!$B116,'Rec_raw_catch_effort_2010-2021'!$B:$B,Existing_Conditions!L$111,'Rec_raw_catch_effort_2010-2021'!$E:$E,Existing_Conditions!$C$108)</f>
        <v>22.4</v>
      </c>
      <c r="M116" s="123">
        <f t="shared" ref="M116" si="97">AVERAGE(C116:L116)</f>
        <v>134.84841867189797</v>
      </c>
      <c r="N116" s="120">
        <f t="shared" ref="N116" si="98">SUM(C116:L116)</f>
        <v>1348.4841867189798</v>
      </c>
    </row>
    <row r="117" spans="2:26" ht="15" thickBot="1" x14ac:dyDescent="0.4">
      <c r="B117" t="s">
        <v>307</v>
      </c>
      <c r="C117" s="122">
        <f>C115+C116</f>
        <v>6670.9999999999991</v>
      </c>
      <c r="D117" s="122">
        <f t="shared" ref="D117:L117" si="99">D115+D116</f>
        <v>8676.2904761904792</v>
      </c>
      <c r="E117" s="122">
        <f t="shared" si="99"/>
        <v>11245.209375624298</v>
      </c>
      <c r="F117" s="122">
        <f t="shared" si="99"/>
        <v>9327.4620785444695</v>
      </c>
      <c r="G117" s="122">
        <f t="shared" si="99"/>
        <v>7359.4092359892384</v>
      </c>
      <c r="H117" s="122">
        <f t="shared" si="99"/>
        <v>5669.1608688801389</v>
      </c>
      <c r="I117" s="122">
        <f t="shared" si="99"/>
        <v>3398.6722222222238</v>
      </c>
      <c r="J117" s="122">
        <f t="shared" si="99"/>
        <v>4471.8333333333358</v>
      </c>
      <c r="K117" s="122">
        <f t="shared" si="99"/>
        <v>4510.1465677179995</v>
      </c>
      <c r="L117" s="122">
        <f t="shared" si="99"/>
        <v>833</v>
      </c>
      <c r="M117" s="126">
        <f>SUM(M115,M116)</f>
        <v>6216.2184158502187</v>
      </c>
      <c r="N117" s="127">
        <f>SUM(N115,N116)</f>
        <v>62162.184158502183</v>
      </c>
    </row>
    <row r="121" spans="2:26" x14ac:dyDescent="0.35">
      <c r="B121" s="15" t="s">
        <v>355</v>
      </c>
    </row>
    <row r="122" spans="2:26" x14ac:dyDescent="0.35">
      <c r="B122" t="s">
        <v>2</v>
      </c>
      <c r="C122" t="s">
        <v>10</v>
      </c>
    </row>
    <row r="123" spans="2:26" x14ac:dyDescent="0.35">
      <c r="B123" t="s">
        <v>174</v>
      </c>
      <c r="C123" t="s">
        <v>132</v>
      </c>
    </row>
    <row r="124" spans="2:26" x14ac:dyDescent="0.35">
      <c r="C124" t="s">
        <v>0</v>
      </c>
      <c r="D124" t="s">
        <v>348</v>
      </c>
    </row>
    <row r="125" spans="2:26" x14ac:dyDescent="0.35">
      <c r="C125">
        <v>2010</v>
      </c>
      <c r="E125">
        <v>2011</v>
      </c>
      <c r="G125">
        <v>2012</v>
      </c>
      <c r="I125">
        <v>2013</v>
      </c>
      <c r="K125">
        <v>2014</v>
      </c>
      <c r="M125">
        <v>2015</v>
      </c>
      <c r="O125">
        <v>2016</v>
      </c>
      <c r="Q125">
        <v>2017</v>
      </c>
      <c r="S125">
        <v>2018</v>
      </c>
      <c r="U125">
        <v>2019</v>
      </c>
      <c r="W125">
        <v>2020</v>
      </c>
      <c r="Y125">
        <v>2021</v>
      </c>
    </row>
    <row r="126" spans="2:26" x14ac:dyDescent="0.35">
      <c r="B126" t="s">
        <v>5</v>
      </c>
      <c r="C126" s="17" t="s">
        <v>169</v>
      </c>
      <c r="D126" s="17" t="s">
        <v>129</v>
      </c>
      <c r="E126" s="17" t="s">
        <v>169</v>
      </c>
      <c r="F126" s="17" t="s">
        <v>129</v>
      </c>
      <c r="G126" s="17" t="s">
        <v>169</v>
      </c>
      <c r="H126" s="17" t="s">
        <v>129</v>
      </c>
      <c r="I126" s="17" t="s">
        <v>169</v>
      </c>
      <c r="J126" s="17" t="s">
        <v>129</v>
      </c>
      <c r="K126" s="17" t="s">
        <v>169</v>
      </c>
      <c r="L126" s="17" t="s">
        <v>129</v>
      </c>
      <c r="M126" s="17" t="s">
        <v>169</v>
      </c>
      <c r="N126" t="s">
        <v>129</v>
      </c>
      <c r="O126" t="s">
        <v>169</v>
      </c>
      <c r="P126" t="s">
        <v>129</v>
      </c>
      <c r="Q126" t="s">
        <v>169</v>
      </c>
      <c r="R126" t="s">
        <v>129</v>
      </c>
      <c r="S126" t="s">
        <v>169</v>
      </c>
      <c r="T126" t="s">
        <v>129</v>
      </c>
      <c r="U126" t="s">
        <v>169</v>
      </c>
      <c r="V126" t="s">
        <v>129</v>
      </c>
      <c r="W126" t="s">
        <v>169</v>
      </c>
      <c r="X126" t="s">
        <v>129</v>
      </c>
      <c r="Y126" t="s">
        <v>169</v>
      </c>
      <c r="Z126" t="s">
        <v>129</v>
      </c>
    </row>
    <row r="127" spans="2:26" x14ac:dyDescent="0.35">
      <c r="B127" t="s">
        <v>133</v>
      </c>
      <c r="C127" s="17">
        <v>22553.000000000011</v>
      </c>
      <c r="D127" s="17">
        <v>50995.450000000026</v>
      </c>
      <c r="E127" s="17">
        <v>82260.46819194885</v>
      </c>
      <c r="F127" s="17">
        <v>79163.166976392371</v>
      </c>
      <c r="G127" s="17">
        <v>89890</v>
      </c>
      <c r="H127" s="17">
        <v>90080.170000000013</v>
      </c>
      <c r="I127" s="17">
        <v>92379.000000000116</v>
      </c>
      <c r="J127" s="17">
        <v>77823.97000000003</v>
      </c>
      <c r="K127" s="17">
        <v>74612.999999999971</v>
      </c>
      <c r="L127" s="17">
        <v>95012.420000000042</v>
      </c>
      <c r="M127" s="17">
        <v>116699.00000000004</v>
      </c>
      <c r="N127">
        <v>92065.729999999981</v>
      </c>
      <c r="O127">
        <v>11541</v>
      </c>
      <c r="P127">
        <v>35457.679999999986</v>
      </c>
      <c r="Q127">
        <v>19170.000000000004</v>
      </c>
      <c r="R127">
        <v>31715.603478159843</v>
      </c>
      <c r="S127">
        <v>43042.999999999978</v>
      </c>
      <c r="T127">
        <v>48517.801776003456</v>
      </c>
      <c r="U127">
        <v>36621.000000000015</v>
      </c>
      <c r="V127">
        <v>45396.210075898751</v>
      </c>
      <c r="W127">
        <v>49675.000000000036</v>
      </c>
      <c r="X127">
        <v>54297.077471348319</v>
      </c>
      <c r="Y127">
        <v>52650.000000000015</v>
      </c>
      <c r="Z127">
        <v>60885.308119519716</v>
      </c>
    </row>
    <row r="128" spans="2:26" x14ac:dyDescent="0.35">
      <c r="B128" t="s">
        <v>135</v>
      </c>
      <c r="C128" s="17">
        <v>4542.9999999999955</v>
      </c>
      <c r="D128" s="17">
        <v>33960.660000000025</v>
      </c>
      <c r="E128" s="17">
        <v>19304.926908052003</v>
      </c>
      <c r="F128" s="17">
        <v>41446.764351020021</v>
      </c>
      <c r="G128" s="17">
        <v>9228.0000000000073</v>
      </c>
      <c r="H128" s="17">
        <v>40414.850000000035</v>
      </c>
      <c r="I128" s="17">
        <v>26506</v>
      </c>
      <c r="J128" s="17">
        <v>46149.720000000016</v>
      </c>
      <c r="K128" s="17">
        <v>11221.000000000005</v>
      </c>
      <c r="L128" s="17">
        <v>55828.400000000009</v>
      </c>
      <c r="M128" s="17">
        <v>40107.000000000007</v>
      </c>
      <c r="N128">
        <v>47238.630000000005</v>
      </c>
      <c r="O128">
        <v>6205.0000000000045</v>
      </c>
      <c r="P128">
        <v>30663.020000000011</v>
      </c>
      <c r="Q128">
        <v>13055.000000000004</v>
      </c>
      <c r="R128">
        <v>36195.093891677425</v>
      </c>
      <c r="S128">
        <v>13867.000000000004</v>
      </c>
      <c r="T128">
        <v>32271.992345742394</v>
      </c>
      <c r="U128">
        <v>11916.000000000007</v>
      </c>
      <c r="V128">
        <v>26541.473270436931</v>
      </c>
      <c r="W128">
        <v>12528.000000000007</v>
      </c>
      <c r="X128">
        <v>25558.923585298573</v>
      </c>
      <c r="Y128">
        <v>4614</v>
      </c>
      <c r="Z128">
        <v>9337.4702138899447</v>
      </c>
    </row>
    <row r="129" spans="2:26" x14ac:dyDescent="0.35">
      <c r="B129" t="s">
        <v>137</v>
      </c>
      <c r="C129" s="17">
        <v>8979.9999999999945</v>
      </c>
      <c r="D129" s="17">
        <v>92794.589999999982</v>
      </c>
      <c r="E129" s="17">
        <v>72547.708774438855</v>
      </c>
      <c r="F129" s="17">
        <v>133169.35790697945</v>
      </c>
      <c r="G129" s="17">
        <v>70113.000000000029</v>
      </c>
      <c r="H129" s="17">
        <v>150800.45000000001</v>
      </c>
      <c r="I129" s="17">
        <v>122033.9999999999</v>
      </c>
      <c r="J129" s="17">
        <v>177990.34000000011</v>
      </c>
      <c r="K129" s="17">
        <v>49915.000000000015</v>
      </c>
      <c r="L129" s="17">
        <v>167202.9</v>
      </c>
      <c r="M129" s="17">
        <v>166129.99999999991</v>
      </c>
      <c r="N129">
        <v>254771.71000000022</v>
      </c>
      <c r="O129">
        <v>7413.8655208333303</v>
      </c>
      <c r="P129">
        <v>51830.790000000015</v>
      </c>
      <c r="Q129">
        <v>16299.000000000011</v>
      </c>
      <c r="R129">
        <v>40854.332877276</v>
      </c>
      <c r="S129">
        <v>29210.000000000004</v>
      </c>
      <c r="T129">
        <v>60118.257290905938</v>
      </c>
      <c r="U129">
        <v>46505.000000000022</v>
      </c>
      <c r="V129">
        <v>62858.103072967395</v>
      </c>
      <c r="W129">
        <v>11121.000000000002</v>
      </c>
      <c r="X129">
        <v>52458.568551647819</v>
      </c>
      <c r="Y129">
        <v>67743</v>
      </c>
      <c r="Z129">
        <v>74127.314545421978</v>
      </c>
    </row>
    <row r="130" spans="2:26" x14ac:dyDescent="0.35">
      <c r="B130" t="s">
        <v>139</v>
      </c>
      <c r="C130" s="17">
        <v>12195.000000000002</v>
      </c>
      <c r="D130" s="17">
        <v>126383.09999999999</v>
      </c>
      <c r="E130" s="17">
        <v>49805.644037090162</v>
      </c>
      <c r="F130" s="17">
        <v>137657.35892558016</v>
      </c>
      <c r="G130" s="17">
        <v>40231.999999999978</v>
      </c>
      <c r="H130" s="17">
        <v>138671.1400000001</v>
      </c>
      <c r="I130" s="17">
        <v>49838.999999999993</v>
      </c>
      <c r="J130" s="17">
        <v>156072.49000000014</v>
      </c>
      <c r="K130" s="17">
        <v>20588.999999999993</v>
      </c>
      <c r="L130" s="17">
        <v>117416.65000000004</v>
      </c>
      <c r="M130" s="17">
        <v>46437.000000000007</v>
      </c>
      <c r="N130">
        <v>113207.91999999997</v>
      </c>
      <c r="O130">
        <v>6498.9510994513475</v>
      </c>
      <c r="P130">
        <v>49480.460000000014</v>
      </c>
      <c r="Q130">
        <v>40047.999999999978</v>
      </c>
      <c r="R130">
        <v>81182.608331414434</v>
      </c>
      <c r="S130">
        <v>49605.000000000051</v>
      </c>
      <c r="T130">
        <v>85568.76007323034</v>
      </c>
      <c r="U130">
        <v>51815.000000000007</v>
      </c>
      <c r="V130">
        <v>77819.635970544623</v>
      </c>
      <c r="W130">
        <v>41146.000000000051</v>
      </c>
      <c r="X130">
        <v>93454.228536186929</v>
      </c>
      <c r="Y130">
        <v>51680.000000000029</v>
      </c>
      <c r="Z130">
        <v>104994.94932305248</v>
      </c>
    </row>
    <row r="131" spans="2:26" x14ac:dyDescent="0.35">
      <c r="B131" t="s">
        <v>141</v>
      </c>
      <c r="C131" s="17">
        <v>2415.0000000000018</v>
      </c>
      <c r="D131" s="17">
        <v>11298.400000000007</v>
      </c>
      <c r="E131" s="17">
        <v>5738.0000000000018</v>
      </c>
      <c r="F131" s="17">
        <v>32678.420000000006</v>
      </c>
      <c r="G131" s="17">
        <v>6854.9999999999909</v>
      </c>
      <c r="H131" s="17">
        <v>27302.489999999994</v>
      </c>
      <c r="I131" s="17">
        <v>5546.0000000000009</v>
      </c>
      <c r="J131" s="17">
        <v>23129.530000000006</v>
      </c>
      <c r="K131" s="17">
        <v>3543.9999999999995</v>
      </c>
      <c r="L131" s="17">
        <v>16512.580000000009</v>
      </c>
      <c r="M131" s="17">
        <v>4331.0000000000009</v>
      </c>
      <c r="N131">
        <v>28618.930000000008</v>
      </c>
      <c r="O131">
        <v>9674.9999999999982</v>
      </c>
      <c r="P131">
        <v>26056.649999999994</v>
      </c>
      <c r="Q131">
        <v>11397.000000000004</v>
      </c>
      <c r="R131">
        <v>6895.6172255304118</v>
      </c>
      <c r="S131">
        <v>8227.9999999999982</v>
      </c>
      <c r="T131">
        <v>6959.2496380509247</v>
      </c>
      <c r="U131">
        <v>3625.9999999999982</v>
      </c>
      <c r="V131">
        <v>3338.4856229672605</v>
      </c>
      <c r="W131">
        <v>4518.9999999999964</v>
      </c>
      <c r="X131">
        <v>4003.190243441974</v>
      </c>
      <c r="Y131">
        <v>8235.9999999999982</v>
      </c>
      <c r="Z131">
        <v>4022.7698344106693</v>
      </c>
    </row>
    <row r="132" spans="2:26" x14ac:dyDescent="0.35">
      <c r="B132" t="s">
        <v>157</v>
      </c>
      <c r="C132">
        <v>50686</v>
      </c>
      <c r="D132">
        <v>315432.2</v>
      </c>
      <c r="E132">
        <v>229656.74791152988</v>
      </c>
      <c r="F132">
        <v>424115.06815997203</v>
      </c>
      <c r="G132">
        <v>216318</v>
      </c>
      <c r="H132">
        <v>447269.10000000021</v>
      </c>
      <c r="I132">
        <v>296304</v>
      </c>
      <c r="J132">
        <v>481166.05000000028</v>
      </c>
      <c r="K132">
        <v>159882</v>
      </c>
      <c r="L132">
        <v>451972.95000000013</v>
      </c>
      <c r="M132">
        <v>373704</v>
      </c>
      <c r="N132">
        <v>535902.92000000016</v>
      </c>
      <c r="O132">
        <v>41333.816620284677</v>
      </c>
      <c r="P132">
        <v>193488.60000000003</v>
      </c>
      <c r="Q132">
        <v>99969</v>
      </c>
      <c r="R132">
        <v>196843.25580405811</v>
      </c>
      <c r="S132">
        <v>143953.00000000003</v>
      </c>
      <c r="T132">
        <v>233436.06112393303</v>
      </c>
      <c r="U132">
        <v>150483.00000000006</v>
      </c>
      <c r="V132">
        <v>215953.90801281499</v>
      </c>
      <c r="W132">
        <v>118989.00000000009</v>
      </c>
      <c r="X132">
        <v>229771.98838792363</v>
      </c>
      <c r="Y132">
        <v>184923.00000000006</v>
      </c>
      <c r="Z132">
        <v>253367.81203629478</v>
      </c>
    </row>
    <row r="134" spans="2:26" x14ac:dyDescent="0.35">
      <c r="B134" s="15" t="s">
        <v>351</v>
      </c>
    </row>
    <row r="135" spans="2:26" x14ac:dyDescent="0.35">
      <c r="B135" s="15" t="s">
        <v>5</v>
      </c>
      <c r="C135" s="17"/>
      <c r="D135" s="164">
        <f>C125</f>
        <v>2010</v>
      </c>
      <c r="E135" s="164">
        <f>E125</f>
        <v>2011</v>
      </c>
      <c r="F135" s="164">
        <f>G125</f>
        <v>2012</v>
      </c>
      <c r="G135" s="164">
        <f>I125</f>
        <v>2013</v>
      </c>
      <c r="H135" s="164">
        <f>K125</f>
        <v>2014</v>
      </c>
      <c r="I135" s="164">
        <f>M125</f>
        <v>2015</v>
      </c>
      <c r="J135" s="164">
        <f>O125</f>
        <v>2016</v>
      </c>
      <c r="K135" s="164">
        <f>Q125</f>
        <v>2017</v>
      </c>
      <c r="L135" s="164">
        <f>S125</f>
        <v>2018</v>
      </c>
      <c r="M135" s="164">
        <f>U125</f>
        <v>2019</v>
      </c>
      <c r="N135" s="164">
        <f>W125</f>
        <v>2020</v>
      </c>
      <c r="O135" s="164">
        <f>Y125</f>
        <v>2021</v>
      </c>
    </row>
    <row r="136" spans="2:26" x14ac:dyDescent="0.35">
      <c r="B136" t="s">
        <v>133</v>
      </c>
      <c r="C136" s="17"/>
      <c r="D136" s="163">
        <f>D127/C127</f>
        <v>2.2611382077772357</v>
      </c>
      <c r="E136" s="163">
        <f>F127/E127</f>
        <v>0.96234763448793958</v>
      </c>
      <c r="F136" s="163">
        <f>H127/G127</f>
        <v>1.002115585715875</v>
      </c>
      <c r="G136" s="163">
        <f>J127/I127</f>
        <v>0.84244222171705618</v>
      </c>
      <c r="H136" s="163">
        <f>L127/K127</f>
        <v>1.2734030262822844</v>
      </c>
      <c r="I136" s="163">
        <f>N127/M127</f>
        <v>0.78891618608557013</v>
      </c>
      <c r="J136" s="163">
        <f>P127/O127</f>
        <v>3.0723230222684332</v>
      </c>
      <c r="K136" s="163">
        <f>R127/Q127</f>
        <v>1.6544394093980093</v>
      </c>
      <c r="L136" s="163">
        <f>T127/S127</f>
        <v>1.1271937777572074</v>
      </c>
      <c r="M136" s="163">
        <f>V127/U127</f>
        <v>1.2396223499057573</v>
      </c>
      <c r="N136" s="163">
        <f>X127/W127</f>
        <v>1.0930463507065582</v>
      </c>
      <c r="O136" s="163">
        <f>Z127/Y127</f>
        <v>1.1564161086328528</v>
      </c>
    </row>
    <row r="137" spans="2:26" x14ac:dyDescent="0.35">
      <c r="B137" t="s">
        <v>135</v>
      </c>
      <c r="C137" s="17"/>
      <c r="D137" s="163">
        <f>D128/C128</f>
        <v>7.4753819062293765</v>
      </c>
      <c r="E137" s="163">
        <f>F128/E128</f>
        <v>2.1469526690480634</v>
      </c>
      <c r="F137" s="163">
        <f>H128/G128</f>
        <v>4.3795892934547034</v>
      </c>
      <c r="G137" s="163">
        <f>J128/I128</f>
        <v>1.7411046555496874</v>
      </c>
      <c r="H137" s="163">
        <f>L128/K128</f>
        <v>4.9753497905712489</v>
      </c>
      <c r="I137" s="163">
        <f>N128/M128</f>
        <v>1.1778150946218864</v>
      </c>
      <c r="J137" s="163">
        <f>P128/O128</f>
        <v>4.9416631748589825</v>
      </c>
      <c r="K137" s="163">
        <f>R128/Q128</f>
        <v>2.7725081494965464</v>
      </c>
      <c r="L137" s="163">
        <f>T128/S128</f>
        <v>2.3272511967795761</v>
      </c>
      <c r="M137" s="163">
        <f>V128/U128</f>
        <v>2.2273811069517384</v>
      </c>
      <c r="N137" s="163">
        <f>X128/W128</f>
        <v>2.0401439643437547</v>
      </c>
      <c r="O137" s="163">
        <f>Z128/Y128</f>
        <v>2.023725664042034</v>
      </c>
    </row>
    <row r="138" spans="2:26" x14ac:dyDescent="0.35">
      <c r="B138" s="107" t="s">
        <v>137</v>
      </c>
      <c r="C138" s="107"/>
      <c r="D138" s="165">
        <f>D129/C129</f>
        <v>10.333473273942097</v>
      </c>
      <c r="E138" s="165">
        <f>F129/E129</f>
        <v>1.8356108022793929</v>
      </c>
      <c r="F138" s="165">
        <f>H129/G129</f>
        <v>2.1508201046881457</v>
      </c>
      <c r="G138" s="165">
        <f>J129/I129</f>
        <v>1.4585307373354988</v>
      </c>
      <c r="H138" s="165">
        <f>L129/K129</f>
        <v>3.3497525793849534</v>
      </c>
      <c r="I138" s="165">
        <f>N129/M129</f>
        <v>1.5335683500872832</v>
      </c>
      <c r="J138" s="165">
        <f>P129/O129</f>
        <v>6.9910615257793554</v>
      </c>
      <c r="K138" s="165">
        <f>R129/Q129</f>
        <v>2.5065545663706961</v>
      </c>
      <c r="L138" s="165">
        <f>T129/S129</f>
        <v>2.058139585446968</v>
      </c>
      <c r="M138" s="165">
        <f>V129/U129</f>
        <v>1.3516418250288649</v>
      </c>
      <c r="N138" s="165">
        <f>X129/W129</f>
        <v>4.7170729747008195</v>
      </c>
      <c r="O138" s="165">
        <f>Z129/Y129</f>
        <v>1.0942431623255831</v>
      </c>
    </row>
    <row r="139" spans="2:26" x14ac:dyDescent="0.35">
      <c r="B139" t="s">
        <v>139</v>
      </c>
      <c r="D139" s="163">
        <f>D130/C130</f>
        <v>10.363517835178349</v>
      </c>
      <c r="E139" s="163">
        <f>F130/E130</f>
        <v>2.7638907514792299</v>
      </c>
      <c r="F139" s="163">
        <f>H130/G130</f>
        <v>3.4467871346192132</v>
      </c>
      <c r="G139" s="163">
        <f>J130/I130</f>
        <v>3.1315333373462582</v>
      </c>
      <c r="H139" s="163">
        <f>L130/K130</f>
        <v>5.7028826072174503</v>
      </c>
      <c r="I139" s="163">
        <f>N130/M130</f>
        <v>2.4378818614466904</v>
      </c>
      <c r="J139" s="163">
        <f>P130/O130</f>
        <v>7.613607064096426</v>
      </c>
      <c r="K139" s="163">
        <f>R130/Q130</f>
        <v>2.0271326491064343</v>
      </c>
      <c r="L139" s="163">
        <f>T130/S130</f>
        <v>1.7250027229761165</v>
      </c>
      <c r="M139" s="163">
        <f>V130/U130</f>
        <v>1.5018746689287776</v>
      </c>
      <c r="N139" s="163">
        <f>X130/W130</f>
        <v>2.2712834427693291</v>
      </c>
      <c r="O139" s="163">
        <f>Z130/Y130</f>
        <v>2.0316360163129339</v>
      </c>
    </row>
    <row r="140" spans="2:26" x14ac:dyDescent="0.35">
      <c r="B140" t="s">
        <v>141</v>
      </c>
      <c r="D140" s="163">
        <f>D131/C131</f>
        <v>4.6784265010351964</v>
      </c>
      <c r="E140" s="163">
        <f>F131/E131</f>
        <v>5.6950888811432545</v>
      </c>
      <c r="F140" s="163">
        <f>H131/G131</f>
        <v>3.9828577680525208</v>
      </c>
      <c r="G140" s="163">
        <f>J131/I131</f>
        <v>4.1704886404615946</v>
      </c>
      <c r="H140" s="163">
        <f>L131/K131</f>
        <v>4.6593058690744948</v>
      </c>
      <c r="I140" s="163">
        <f>N131/M131</f>
        <v>6.6079265758485342</v>
      </c>
      <c r="J140" s="163">
        <f>P131/O131</f>
        <v>2.6931937984496122</v>
      </c>
      <c r="K140" s="163">
        <f>R131/Q131</f>
        <v>0.60503792450034299</v>
      </c>
      <c r="L140" s="163">
        <f>T131/S131</f>
        <v>0.8458008796853338</v>
      </c>
      <c r="M140" s="163">
        <f>V131/U131</f>
        <v>0.92070756287017708</v>
      </c>
      <c r="N140" s="163">
        <f>X131/W131</f>
        <v>0.88585754446602727</v>
      </c>
      <c r="O140" s="163">
        <f>Z131/Y131</f>
        <v>0.4884373281217424</v>
      </c>
    </row>
    <row r="141" spans="2:26" x14ac:dyDescent="0.35">
      <c r="B141" t="s">
        <v>157</v>
      </c>
      <c r="D141" s="163">
        <f>D132/C132</f>
        <v>6.2232608609872555</v>
      </c>
      <c r="E141" s="163">
        <f>F132/E132</f>
        <v>1.8467346246814957</v>
      </c>
      <c r="F141" s="163">
        <f>H132/G132</f>
        <v>2.0676462430310942</v>
      </c>
      <c r="G141" s="163">
        <f>J132/I132</f>
        <v>1.6238931975268653</v>
      </c>
      <c r="H141" s="163">
        <f>L132/K132</f>
        <v>2.8269157878935722</v>
      </c>
      <c r="I141" s="163">
        <f>N132/M132</f>
        <v>1.4340304626121212</v>
      </c>
      <c r="J141" s="163">
        <f>P132/O132</f>
        <v>4.6811210727887396</v>
      </c>
      <c r="K141" s="163">
        <f>R132/Q132</f>
        <v>1.9690429613586022</v>
      </c>
      <c r="L141" s="163">
        <f>T132/S132</f>
        <v>1.6216130342815571</v>
      </c>
      <c r="M141" s="163">
        <f>V132/U132</f>
        <v>1.4350717889250939</v>
      </c>
      <c r="N141" s="163">
        <f>X132/W132</f>
        <v>1.9310355443606002</v>
      </c>
      <c r="O141" s="163">
        <f>Z132/Y132</f>
        <v>1.3701260094001</v>
      </c>
    </row>
    <row r="142" spans="2:26" x14ac:dyDescent="0.35">
      <c r="D142" s="163"/>
    </row>
    <row r="143" spans="2:26" x14ac:dyDescent="0.35">
      <c r="C143" s="15" t="s">
        <v>352</v>
      </c>
    </row>
    <row r="144" spans="2:26" x14ac:dyDescent="0.35">
      <c r="C144" s="16" t="s">
        <v>0</v>
      </c>
      <c r="D144" s="16" t="s">
        <v>353</v>
      </c>
    </row>
    <row r="145" spans="3:13" x14ac:dyDescent="0.35">
      <c r="C145">
        <v>2010</v>
      </c>
      <c r="D145" s="86">
        <f>$D$138</f>
        <v>10.333473273942097</v>
      </c>
      <c r="E145" s="86"/>
      <c r="F145" s="86"/>
      <c r="G145" s="86"/>
      <c r="H145" s="86"/>
      <c r="I145" s="86"/>
      <c r="J145" s="86"/>
      <c r="K145" s="86"/>
      <c r="L145" s="86"/>
      <c r="M145" s="86"/>
    </row>
    <row r="146" spans="3:13" x14ac:dyDescent="0.35">
      <c r="C146">
        <f>C145+1</f>
        <v>2011</v>
      </c>
      <c r="D146" s="86">
        <f>$E$138</f>
        <v>1.8356108022793929</v>
      </c>
    </row>
    <row r="147" spans="3:13" x14ac:dyDescent="0.35">
      <c r="C147">
        <f t="shared" ref="C147:C156" si="100">C146+1</f>
        <v>2012</v>
      </c>
      <c r="D147" s="86">
        <f>$F$138</f>
        <v>2.1508201046881457</v>
      </c>
    </row>
    <row r="148" spans="3:13" x14ac:dyDescent="0.35">
      <c r="C148">
        <f t="shared" si="100"/>
        <v>2013</v>
      </c>
      <c r="D148" s="86">
        <f>$G$138</f>
        <v>1.4585307373354988</v>
      </c>
    </row>
    <row r="149" spans="3:13" x14ac:dyDescent="0.35">
      <c r="C149">
        <f t="shared" si="100"/>
        <v>2014</v>
      </c>
      <c r="D149" s="86">
        <f>$H$138</f>
        <v>3.3497525793849534</v>
      </c>
    </row>
    <row r="150" spans="3:13" x14ac:dyDescent="0.35">
      <c r="C150">
        <f t="shared" si="100"/>
        <v>2015</v>
      </c>
      <c r="D150" s="86">
        <f>$I$138</f>
        <v>1.5335683500872832</v>
      </c>
    </row>
    <row r="151" spans="3:13" x14ac:dyDescent="0.35">
      <c r="C151">
        <f t="shared" si="100"/>
        <v>2016</v>
      </c>
      <c r="D151" s="86">
        <f>$J$138</f>
        <v>6.9910615257793554</v>
      </c>
    </row>
    <row r="152" spans="3:13" x14ac:dyDescent="0.35">
      <c r="C152">
        <f t="shared" si="100"/>
        <v>2017</v>
      </c>
      <c r="D152" s="86">
        <f>$K$138</f>
        <v>2.5065545663706961</v>
      </c>
    </row>
    <row r="153" spans="3:13" x14ac:dyDescent="0.35">
      <c r="C153">
        <f t="shared" si="100"/>
        <v>2018</v>
      </c>
      <c r="D153" s="86">
        <f>$L$138</f>
        <v>2.058139585446968</v>
      </c>
    </row>
    <row r="154" spans="3:13" x14ac:dyDescent="0.35">
      <c r="C154">
        <f t="shared" si="100"/>
        <v>2019</v>
      </c>
      <c r="D154" s="86">
        <f>$M$138</f>
        <v>1.3516418250288649</v>
      </c>
    </row>
    <row r="155" spans="3:13" x14ac:dyDescent="0.35">
      <c r="C155">
        <f t="shared" si="100"/>
        <v>2020</v>
      </c>
      <c r="D155" s="86">
        <f>$N$138</f>
        <v>4.7170729747008195</v>
      </c>
    </row>
    <row r="156" spans="3:13" x14ac:dyDescent="0.35">
      <c r="C156">
        <f t="shared" si="100"/>
        <v>2021</v>
      </c>
      <c r="D156" s="86">
        <f>$O$138</f>
        <v>1.0942431623255831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F35D-7E2D-47AF-B3EE-42874FA3A7CA}">
  <sheetPr>
    <tabColor theme="8" tint="0.59999389629810485"/>
  </sheetPr>
  <dimension ref="A1:AF3816"/>
  <sheetViews>
    <sheetView showGridLines="0" topLeftCell="L1" zoomScale="75" zoomScaleNormal="75" workbookViewId="0">
      <pane ySplit="1" topLeftCell="A2" activePane="bottomLeft" state="frozen"/>
      <selection activeCell="J3815" sqref="J3815"/>
      <selection pane="bottomLeft" activeCell="Q2" sqref="Q2"/>
    </sheetView>
  </sheetViews>
  <sheetFormatPr defaultColWidth="11.453125" defaultRowHeight="12" customHeight="1" x14ac:dyDescent="0.35"/>
  <cols>
    <col min="1" max="1" width="5.54296875" style="75" bestFit="1" customWidth="1"/>
    <col min="2" max="2" width="5.54296875" style="71" customWidth="1"/>
    <col min="3" max="3" width="7.7265625" style="71" customWidth="1"/>
    <col min="4" max="4" width="15.36328125" style="81" customWidth="1"/>
    <col min="5" max="5" width="11.54296875" style="71" bestFit="1" customWidth="1"/>
    <col min="6" max="6" width="12.6328125" style="71" bestFit="1" customWidth="1"/>
    <col min="7" max="7" width="7.7265625" style="71" bestFit="1" customWidth="1"/>
    <col min="8" max="8" width="14.7265625" style="71" bestFit="1" customWidth="1"/>
    <col min="9" max="10" width="31.1796875" style="71" bestFit="1" customWidth="1"/>
    <col min="11" max="11" width="17" style="71" bestFit="1" customWidth="1"/>
    <col min="12" max="12" width="29.7265625" style="71" customWidth="1"/>
    <col min="13" max="13" width="19.6328125" style="71" bestFit="1" customWidth="1"/>
    <col min="14" max="14" width="23.54296875" bestFit="1" customWidth="1"/>
    <col min="15" max="15" width="22.453125" bestFit="1" customWidth="1"/>
    <col min="16" max="16" width="9.7265625" style="77" bestFit="1" customWidth="1"/>
    <col min="17" max="18" width="11.453125" style="71"/>
    <col min="19" max="19" width="20.7265625" style="71" bestFit="1" customWidth="1"/>
    <col min="20" max="20" width="16.453125" style="71" bestFit="1" customWidth="1"/>
    <col min="21" max="21" width="9.36328125" style="71" bestFit="1" customWidth="1"/>
    <col min="22" max="22" width="8.26953125" style="71" bestFit="1" customWidth="1"/>
    <col min="23" max="24" width="9.36328125" style="71" bestFit="1" customWidth="1"/>
    <col min="25" max="26" width="11" style="71" bestFit="1" customWidth="1"/>
    <col min="27" max="29" width="9.36328125" style="71" bestFit="1" customWidth="1"/>
    <col min="30" max="30" width="11" style="71" bestFit="1" customWidth="1"/>
    <col min="31" max="31" width="9.36328125" style="71" bestFit="1" customWidth="1"/>
    <col min="32" max="32" width="11" style="71" bestFit="1" customWidth="1"/>
    <col min="33" max="16384" width="11.453125" style="71"/>
  </cols>
  <sheetData>
    <row r="1" spans="1:32" ht="14.15" customHeight="1" x14ac:dyDescent="0.35">
      <c r="A1" s="50" t="s">
        <v>110</v>
      </c>
      <c r="B1" t="s">
        <v>0</v>
      </c>
      <c r="C1" s="67" t="s">
        <v>196</v>
      </c>
      <c r="D1" s="98" t="s">
        <v>287</v>
      </c>
      <c r="E1" t="s">
        <v>1</v>
      </c>
      <c r="F1" s="47" t="s">
        <v>174</v>
      </c>
      <c r="G1" t="s">
        <v>2</v>
      </c>
      <c r="H1" t="s">
        <v>3</v>
      </c>
      <c r="I1" t="s">
        <v>4</v>
      </c>
      <c r="J1" s="47" t="s">
        <v>173</v>
      </c>
      <c r="K1" s="62" t="s">
        <v>159</v>
      </c>
      <c r="L1" s="51" t="s">
        <v>5</v>
      </c>
      <c r="M1" t="s">
        <v>171</v>
      </c>
      <c r="N1" s="62" t="s">
        <v>178</v>
      </c>
      <c r="O1" s="68" t="s">
        <v>270</v>
      </c>
      <c r="P1" s="69" t="s">
        <v>7</v>
      </c>
      <c r="Q1" s="70" t="s">
        <v>273</v>
      </c>
      <c r="S1"/>
      <c r="T1"/>
    </row>
    <row r="2" spans="1:32" ht="14.15" customHeight="1" x14ac:dyDescent="0.35">
      <c r="A2" s="50">
        <v>1</v>
      </c>
      <c r="B2">
        <v>2010</v>
      </c>
      <c r="C2" s="64">
        <v>8</v>
      </c>
      <c r="D2" s="80">
        <f t="shared" ref="D2:D65" si="0">IF(C2&gt;3,B2,B2-1)</f>
        <v>2010</v>
      </c>
      <c r="E2" t="s">
        <v>38</v>
      </c>
      <c r="F2" t="s">
        <v>143</v>
      </c>
      <c r="G2" t="s">
        <v>10</v>
      </c>
      <c r="H2" s="72" t="s">
        <v>197</v>
      </c>
      <c r="I2" s="72" t="s">
        <v>39</v>
      </c>
      <c r="J2" t="str">
        <f t="shared" ref="J2" si="1">I2</f>
        <v>Chambers Creek</v>
      </c>
      <c r="K2" t="str">
        <f>IFERROR(VLOOKUP(J2,LUTs!$A$1:$C$73,2,FALSE),"NA")</f>
        <v>Pierce</v>
      </c>
      <c r="L2" t="str">
        <f>IFERROR(VLOOKUP(J2,LUTs!$A$1:$C$73,3,FALSE),"NA")</f>
        <v>3South Puget Sound</v>
      </c>
      <c r="M2" s="72" t="s">
        <v>23</v>
      </c>
      <c r="N2" t="str">
        <f>VLOOKUP(M2,LUTs!E$2:H$14,3,)</f>
        <v>10Kitsap</v>
      </c>
      <c r="O2" t="str">
        <f>VLOOKUP(M2,LUTs!E$2:H$14,4,)</f>
        <v>02South Puget Sound</v>
      </c>
      <c r="P2" s="73">
        <v>4.5384615384615401</v>
      </c>
      <c r="Q2" s="74">
        <f>VLOOKUP(B2,Readme!A$40:C$51,2,)*P2</f>
        <v>39.257692307692324</v>
      </c>
      <c r="S2" s="85" t="s">
        <v>285</v>
      </c>
    </row>
    <row r="3" spans="1:32" ht="14.15" customHeight="1" x14ac:dyDescent="0.35">
      <c r="A3" s="75">
        <v>2</v>
      </c>
      <c r="B3" s="64">
        <v>2010</v>
      </c>
      <c r="C3" s="64">
        <v>8</v>
      </c>
      <c r="D3" s="80">
        <f t="shared" si="0"/>
        <v>2010</v>
      </c>
      <c r="E3" t="s">
        <v>38</v>
      </c>
      <c r="F3" t="s">
        <v>143</v>
      </c>
      <c r="G3" t="s">
        <v>10</v>
      </c>
      <c r="H3" s="72" t="s">
        <v>197</v>
      </c>
      <c r="I3" s="72" t="s">
        <v>39</v>
      </c>
      <c r="J3" t="str">
        <f t="shared" ref="J3:J66" si="2">I3</f>
        <v>Chambers Creek</v>
      </c>
      <c r="K3" t="str">
        <f>IFERROR(VLOOKUP(J3,LUTs!$A$1:$C$73,2,FALSE),"NA")</f>
        <v>Pierce</v>
      </c>
      <c r="L3" t="str">
        <f>IFERROR(VLOOKUP(J3,LUTs!$A$1:$C$73,3,FALSE),"NA")</f>
        <v>3South Puget Sound</v>
      </c>
      <c r="M3" s="72" t="s">
        <v>20</v>
      </c>
      <c r="N3" t="str">
        <f>VLOOKUP(M3,LUTs!E$2:H$14,3,)</f>
        <v>07Pierce</v>
      </c>
      <c r="O3" t="str">
        <f>VLOOKUP(M3,LUTs!E$2:H$14,4,)</f>
        <v>02South Puget Sound</v>
      </c>
      <c r="P3" s="73">
        <v>54.461538461538503</v>
      </c>
      <c r="Q3" s="74">
        <f>VLOOKUP(B3,Readme!A$40:C$51,2,)*P3</f>
        <v>471.09230769230805</v>
      </c>
      <c r="S3" s="87" t="s">
        <v>169</v>
      </c>
      <c r="T3" s="87"/>
      <c r="U3" s="87"/>
      <c r="V3" s="87"/>
      <c r="W3" s="87"/>
      <c r="X3" s="87"/>
      <c r="Y3" s="87"/>
      <c r="Z3" s="87"/>
      <c r="AA3" s="87"/>
      <c r="AB3" s="87"/>
      <c r="AC3" s="87"/>
      <c r="AD3" s="87"/>
    </row>
    <row r="4" spans="1:32" ht="14.15" customHeight="1" x14ac:dyDescent="0.35">
      <c r="A4" s="75">
        <v>3</v>
      </c>
      <c r="B4" s="64">
        <v>2010</v>
      </c>
      <c r="C4" s="64">
        <v>9</v>
      </c>
      <c r="D4" s="80">
        <f t="shared" si="0"/>
        <v>2010</v>
      </c>
      <c r="E4" t="s">
        <v>38</v>
      </c>
      <c r="F4" t="s">
        <v>143</v>
      </c>
      <c r="G4" t="s">
        <v>10</v>
      </c>
      <c r="H4" s="72" t="s">
        <v>197</v>
      </c>
      <c r="I4" s="72" t="s">
        <v>39</v>
      </c>
      <c r="J4" t="str">
        <f t="shared" si="2"/>
        <v>Chambers Creek</v>
      </c>
      <c r="K4" t="str">
        <f>IFERROR(VLOOKUP(J4,LUTs!$A$1:$C$73,2,FALSE),"NA")</f>
        <v>Pierce</v>
      </c>
      <c r="L4" t="str">
        <f>IFERROR(VLOOKUP(J4,LUTs!$A$1:$C$73,3,FALSE),"NA")</f>
        <v>3South Puget Sound</v>
      </c>
      <c r="M4" s="72" t="s">
        <v>23</v>
      </c>
      <c r="N4" t="str">
        <f>VLOOKUP(M4,LUTs!E$2:H$14,3,)</f>
        <v>10Kitsap</v>
      </c>
      <c r="O4" t="str">
        <f>VLOOKUP(M4,LUTs!E$2:H$14,4,)</f>
        <v>02South Puget Sound</v>
      </c>
      <c r="P4" s="73">
        <v>9.1428571428571406</v>
      </c>
      <c r="Q4" s="74">
        <f>VLOOKUP(B4,Readme!A$40:C$51,2,)*P4</f>
        <v>79.085714285714275</v>
      </c>
      <c r="S4" s="88" t="s">
        <v>274</v>
      </c>
      <c r="T4" s="88">
        <v>2010</v>
      </c>
      <c r="U4" s="88">
        <v>2011</v>
      </c>
      <c r="V4" s="88">
        <v>2012</v>
      </c>
      <c r="W4" s="88">
        <v>2013</v>
      </c>
      <c r="X4" s="88">
        <v>2014</v>
      </c>
      <c r="Y4" s="88">
        <v>2015</v>
      </c>
      <c r="Z4" s="88">
        <v>2016</v>
      </c>
      <c r="AA4" s="88">
        <v>2017</v>
      </c>
      <c r="AB4" s="88">
        <v>2018</v>
      </c>
      <c r="AC4" s="88">
        <v>2019</v>
      </c>
      <c r="AD4" s="89" t="s">
        <v>157</v>
      </c>
    </row>
    <row r="5" spans="1:32" ht="14.15" customHeight="1" x14ac:dyDescent="0.35">
      <c r="A5" s="75">
        <v>4</v>
      </c>
      <c r="B5" s="64">
        <v>2010</v>
      </c>
      <c r="C5" s="64">
        <v>9</v>
      </c>
      <c r="D5" s="80">
        <f t="shared" si="0"/>
        <v>2010</v>
      </c>
      <c r="E5" t="s">
        <v>38</v>
      </c>
      <c r="F5" t="s">
        <v>143</v>
      </c>
      <c r="G5" t="s">
        <v>10</v>
      </c>
      <c r="H5" s="72" t="s">
        <v>197</v>
      </c>
      <c r="I5" s="72" t="s">
        <v>39</v>
      </c>
      <c r="J5" t="str">
        <f t="shared" si="2"/>
        <v>Chambers Creek</v>
      </c>
      <c r="K5" t="str">
        <f>IFERROR(VLOOKUP(J5,LUTs!$A$1:$C$73,2,FALSE),"NA")</f>
        <v>Pierce</v>
      </c>
      <c r="L5" t="str">
        <f>IFERROR(VLOOKUP(J5,LUTs!$A$1:$C$73,3,FALSE),"NA")</f>
        <v>3South Puget Sound</v>
      </c>
      <c r="M5" s="72" t="s">
        <v>20</v>
      </c>
      <c r="N5" t="str">
        <f>VLOOKUP(M5,LUTs!E$2:H$14,3,)</f>
        <v>07Pierce</v>
      </c>
      <c r="O5" t="str">
        <f>VLOOKUP(M5,LUTs!E$2:H$14,4,)</f>
        <v>02South Puget Sound</v>
      </c>
      <c r="P5" s="73">
        <v>50.285714285714299</v>
      </c>
      <c r="Q5" s="74">
        <f>VLOOKUP(B5,Readme!A$40:C$51,2,)*P5</f>
        <v>434.9714285714287</v>
      </c>
      <c r="S5" s="90" t="s">
        <v>133</v>
      </c>
      <c r="T5" s="95">
        <f>Existing_Conditions!P28</f>
        <v>310.99999999999994</v>
      </c>
      <c r="U5" s="95">
        <f>Existing_Conditions!Q28</f>
        <v>2179.0000000000009</v>
      </c>
      <c r="V5" s="95">
        <f>Existing_Conditions!R28</f>
        <v>907</v>
      </c>
      <c r="W5" s="95">
        <f>Existing_Conditions!S28</f>
        <v>1447.0000000000032</v>
      </c>
      <c r="X5" s="95">
        <f>Existing_Conditions!T28</f>
        <v>464</v>
      </c>
      <c r="Y5" s="95">
        <f>Existing_Conditions!U28</f>
        <v>358.00000000000045</v>
      </c>
      <c r="Z5" s="95">
        <f>Existing_Conditions!V28</f>
        <v>793.00000000000068</v>
      </c>
      <c r="AA5" s="95">
        <f>Existing_Conditions!W28</f>
        <v>1040.0000000000002</v>
      </c>
      <c r="AB5" s="95">
        <f>Existing_Conditions!X28</f>
        <v>212.00000000000011</v>
      </c>
      <c r="AC5" s="95">
        <f>Existing_Conditions!Y28</f>
        <v>639.00000000000023</v>
      </c>
      <c r="AD5" s="96">
        <f t="shared" ref="AD5:AD10" si="3">SUM(T5:AC5)</f>
        <v>8350.0000000000055</v>
      </c>
    </row>
    <row r="6" spans="1:32" ht="14.15" customHeight="1" x14ac:dyDescent="0.35">
      <c r="A6" s="75">
        <v>5</v>
      </c>
      <c r="B6" s="64">
        <v>2010</v>
      </c>
      <c r="C6" s="64">
        <v>9</v>
      </c>
      <c r="D6" s="80">
        <f t="shared" si="0"/>
        <v>2010</v>
      </c>
      <c r="E6" t="s">
        <v>38</v>
      </c>
      <c r="F6" t="s">
        <v>143</v>
      </c>
      <c r="G6" t="s">
        <v>10</v>
      </c>
      <c r="H6" s="72" t="s">
        <v>197</v>
      </c>
      <c r="I6" s="72" t="s">
        <v>39</v>
      </c>
      <c r="J6" t="str">
        <f t="shared" si="2"/>
        <v>Chambers Creek</v>
      </c>
      <c r="K6" t="str">
        <f>IFERROR(VLOOKUP(J6,LUTs!$A$1:$C$73,2,FALSE),"NA")</f>
        <v>Pierce</v>
      </c>
      <c r="L6" t="str">
        <f>IFERROR(VLOOKUP(J6,LUTs!$A$1:$C$73,3,FALSE),"NA")</f>
        <v>3South Puget Sound</v>
      </c>
      <c r="M6" s="72" t="s">
        <v>21</v>
      </c>
      <c r="N6" t="str">
        <f>VLOOKUP(M6,LUTs!E$2:H$14,3,)</f>
        <v>08Thurston</v>
      </c>
      <c r="O6" t="str">
        <f>VLOOKUP(M6,LUTs!E$2:H$14,4,)</f>
        <v>02South Puget Sound</v>
      </c>
      <c r="P6" s="73">
        <v>4.5714285714285703</v>
      </c>
      <c r="Q6" s="74">
        <f>VLOOKUP(B6,Readme!A$40:C$51,2,)*P6</f>
        <v>39.542857142857137</v>
      </c>
      <c r="S6" s="90" t="s">
        <v>135</v>
      </c>
      <c r="T6" s="95">
        <f>Existing_Conditions!P29</f>
        <v>12364.999999999996</v>
      </c>
      <c r="U6" s="95">
        <f>Existing_Conditions!Q29</f>
        <v>22384.000000000007</v>
      </c>
      <c r="V6" s="95">
        <f>Existing_Conditions!R29</f>
        <v>25164.000000000015</v>
      </c>
      <c r="W6" s="95">
        <f>Existing_Conditions!S29</f>
        <v>24545.000000000004</v>
      </c>
      <c r="X6" s="95">
        <f>Existing_Conditions!T29</f>
        <v>14341.000000000009</v>
      </c>
      <c r="Y6" s="95">
        <f>Existing_Conditions!U29</f>
        <v>28511.999999999982</v>
      </c>
      <c r="Z6" s="95">
        <f>Existing_Conditions!V29</f>
        <v>22158.999999999996</v>
      </c>
      <c r="AA6" s="95">
        <f>Existing_Conditions!W29</f>
        <v>17179.000000000015</v>
      </c>
      <c r="AB6" s="95">
        <f>Existing_Conditions!X29</f>
        <v>19840.000000000004</v>
      </c>
      <c r="AC6" s="95">
        <f>Existing_Conditions!Y29</f>
        <v>13124.000000000005</v>
      </c>
      <c r="AD6" s="96">
        <f t="shared" si="3"/>
        <v>199613</v>
      </c>
    </row>
    <row r="7" spans="1:32" ht="14.15" customHeight="1" x14ac:dyDescent="0.35">
      <c r="A7" s="75">
        <v>6</v>
      </c>
      <c r="B7" s="64">
        <v>2010</v>
      </c>
      <c r="C7" s="64">
        <v>10</v>
      </c>
      <c r="D7" s="80">
        <f t="shared" si="0"/>
        <v>2010</v>
      </c>
      <c r="E7" t="s">
        <v>38</v>
      </c>
      <c r="F7" t="s">
        <v>143</v>
      </c>
      <c r="G7" t="s">
        <v>10</v>
      </c>
      <c r="H7" s="72" t="s">
        <v>197</v>
      </c>
      <c r="I7" s="72" t="s">
        <v>39</v>
      </c>
      <c r="J7" t="str">
        <f t="shared" si="2"/>
        <v>Chambers Creek</v>
      </c>
      <c r="K7" t="str">
        <f>IFERROR(VLOOKUP(J7,LUTs!$A$1:$C$73,2,FALSE),"NA")</f>
        <v>Pierce</v>
      </c>
      <c r="L7" t="str">
        <f>IFERROR(VLOOKUP(J7,LUTs!$A$1:$C$73,3,FALSE),"NA")</f>
        <v>3South Puget Sound</v>
      </c>
      <c r="M7" s="72" t="s">
        <v>20</v>
      </c>
      <c r="N7" t="str">
        <f>VLOOKUP(M7,LUTs!E$2:H$14,3,)</f>
        <v>07Pierce</v>
      </c>
      <c r="O7" t="str">
        <f>VLOOKUP(M7,LUTs!E$2:H$14,4,)</f>
        <v>02South Puget Sound</v>
      </c>
      <c r="P7" s="73">
        <v>28</v>
      </c>
      <c r="Q7" s="74">
        <f>VLOOKUP(B7,Readme!A$40:C$51,2,)*P7</f>
        <v>242.20000000000002</v>
      </c>
      <c r="S7" s="90" t="s">
        <v>137</v>
      </c>
      <c r="T7" s="95">
        <f>Existing_Conditions!P30</f>
        <v>4947.0000000000009</v>
      </c>
      <c r="U7" s="95">
        <f>Existing_Conditions!Q30</f>
        <v>167036.00000000003</v>
      </c>
      <c r="V7" s="95">
        <f>Existing_Conditions!R30</f>
        <v>17136.000000000007</v>
      </c>
      <c r="W7" s="95">
        <f>Existing_Conditions!S30</f>
        <v>208769.00000000015</v>
      </c>
      <c r="X7" s="95">
        <f>Existing_Conditions!T30</f>
        <v>7230.0000000000045</v>
      </c>
      <c r="Y7" s="95">
        <f>Existing_Conditions!U30</f>
        <v>75563.000000000044</v>
      </c>
      <c r="Z7" s="95">
        <f>Existing_Conditions!V30</f>
        <v>5237.9999999999964</v>
      </c>
      <c r="AA7" s="95">
        <f>Existing_Conditions!W30</f>
        <v>16702.999999999993</v>
      </c>
      <c r="AB7" s="95">
        <f>Existing_Conditions!X30</f>
        <v>4735</v>
      </c>
      <c r="AC7" s="95">
        <f>Existing_Conditions!Y30</f>
        <v>10091.000000000011</v>
      </c>
      <c r="AD7" s="96">
        <f t="shared" si="3"/>
        <v>517448.00000000023</v>
      </c>
    </row>
    <row r="8" spans="1:32" ht="14.15" customHeight="1" x14ac:dyDescent="0.35">
      <c r="A8" s="75">
        <v>7</v>
      </c>
      <c r="B8" s="64">
        <v>2010</v>
      </c>
      <c r="C8" s="64">
        <v>9</v>
      </c>
      <c r="D8" s="80">
        <f t="shared" si="0"/>
        <v>2010</v>
      </c>
      <c r="E8" t="s">
        <v>38</v>
      </c>
      <c r="F8" t="s">
        <v>143</v>
      </c>
      <c r="G8" t="s">
        <v>10</v>
      </c>
      <c r="H8" s="72" t="s">
        <v>198</v>
      </c>
      <c r="I8" s="72" t="s">
        <v>40</v>
      </c>
      <c r="J8" t="str">
        <f t="shared" si="2"/>
        <v>Dakota Creek (Whatcom Co)</v>
      </c>
      <c r="K8" t="str">
        <f>IFERROR(VLOOKUP(J8,LUTs!$A$1:$C$73,2,FALSE),"NA")</f>
        <v>Whatcom</v>
      </c>
      <c r="L8" t="str">
        <f>IFERROR(VLOOKUP(J8,LUTs!$A$1:$C$73,3,FALSE),"NA")</f>
        <v>1North Puget Sound</v>
      </c>
      <c r="M8" s="72" t="s">
        <v>13</v>
      </c>
      <c r="N8" t="str">
        <f>VLOOKUP(M8,LUTs!E$2:H$14,3,)</f>
        <v>01Whatcom</v>
      </c>
      <c r="O8" t="str">
        <f>VLOOKUP(M8,LUTs!E$2:H$14,4,)</f>
        <v>01North Puget Sound</v>
      </c>
      <c r="P8" s="73">
        <v>6</v>
      </c>
      <c r="Q8" s="74">
        <f>VLOOKUP(B8,Readme!A$40:C$51,2,)*P8</f>
        <v>51.900000000000006</v>
      </c>
      <c r="S8" s="90" t="s">
        <v>139</v>
      </c>
      <c r="T8" s="95">
        <f>Existing_Conditions!P31</f>
        <v>13642.000000000007</v>
      </c>
      <c r="U8" s="95">
        <f>Existing_Conditions!Q31</f>
        <v>185040.00000000006</v>
      </c>
      <c r="V8" s="95">
        <f>Existing_Conditions!R31</f>
        <v>31683.000000000007</v>
      </c>
      <c r="W8" s="95">
        <f>Existing_Conditions!S31</f>
        <v>241056.99999999997</v>
      </c>
      <c r="X8" s="95">
        <f>Existing_Conditions!T31</f>
        <v>15407.000000000005</v>
      </c>
      <c r="Y8" s="95">
        <f>Existing_Conditions!U31</f>
        <v>144870.00000000003</v>
      </c>
      <c r="Z8" s="95">
        <f>Existing_Conditions!V31</f>
        <v>13719.000000000005</v>
      </c>
      <c r="AA8" s="95">
        <f>Existing_Conditions!W31</f>
        <v>51293.000000000007</v>
      </c>
      <c r="AB8" s="95">
        <f>Existing_Conditions!X31</f>
        <v>23103.000000000007</v>
      </c>
      <c r="AC8" s="95">
        <f>Existing_Conditions!Y31</f>
        <v>68896.000000000015</v>
      </c>
      <c r="AD8" s="96">
        <f t="shared" si="3"/>
        <v>788710</v>
      </c>
    </row>
    <row r="9" spans="1:32" ht="14.15" customHeight="1" x14ac:dyDescent="0.35">
      <c r="A9" s="75">
        <v>8</v>
      </c>
      <c r="B9" s="64">
        <v>2010</v>
      </c>
      <c r="C9" s="64">
        <v>10</v>
      </c>
      <c r="D9" s="80">
        <f t="shared" si="0"/>
        <v>2010</v>
      </c>
      <c r="E9" t="s">
        <v>38</v>
      </c>
      <c r="F9" t="s">
        <v>143</v>
      </c>
      <c r="G9" t="s">
        <v>10</v>
      </c>
      <c r="H9" s="72" t="s">
        <v>198</v>
      </c>
      <c r="I9" s="72" t="s">
        <v>40</v>
      </c>
      <c r="J9" t="str">
        <f t="shared" si="2"/>
        <v>Dakota Creek (Whatcom Co)</v>
      </c>
      <c r="K9" t="str">
        <f>IFERROR(VLOOKUP(J9,LUTs!$A$1:$C$73,2,FALSE),"NA")</f>
        <v>Whatcom</v>
      </c>
      <c r="L9" t="str">
        <f>IFERROR(VLOOKUP(J9,LUTs!$A$1:$C$73,3,FALSE),"NA")</f>
        <v>1North Puget Sound</v>
      </c>
      <c r="M9" s="72" t="s">
        <v>16</v>
      </c>
      <c r="N9" t="str">
        <f>VLOOKUP(M9,LUTs!E$2:H$14,3,)</f>
        <v>03Snohomish</v>
      </c>
      <c r="O9" t="str">
        <f>VLOOKUP(M9,LUTs!E$2:H$14,4,)</f>
        <v>01North Puget Sound</v>
      </c>
      <c r="P9" s="73">
        <v>12.2608695652174</v>
      </c>
      <c r="Q9" s="74">
        <f>VLOOKUP(B9,Readme!A$40:C$51,2,)*P9</f>
        <v>106.05652173913052</v>
      </c>
      <c r="S9" s="90" t="s">
        <v>141</v>
      </c>
      <c r="T9" s="95">
        <f>Existing_Conditions!P32</f>
        <v>8430.9999999999964</v>
      </c>
      <c r="U9" s="95">
        <f>Existing_Conditions!Q32</f>
        <v>16328.000000000015</v>
      </c>
      <c r="V9" s="95">
        <f>Existing_Conditions!R32</f>
        <v>18346.000000000011</v>
      </c>
      <c r="W9" s="95">
        <f>Existing_Conditions!S32</f>
        <v>16377.000000000004</v>
      </c>
      <c r="X9" s="95">
        <f>Existing_Conditions!T32</f>
        <v>5403</v>
      </c>
      <c r="Y9" s="95">
        <f>Existing_Conditions!U32</f>
        <v>7462</v>
      </c>
      <c r="Z9" s="95">
        <f>Existing_Conditions!V32</f>
        <v>3309.0000000000009</v>
      </c>
      <c r="AA9" s="95">
        <f>Existing_Conditions!W32</f>
        <v>2535.0000000000005</v>
      </c>
      <c r="AB9" s="95">
        <f>Existing_Conditions!X32</f>
        <v>2564.0000000000009</v>
      </c>
      <c r="AC9" s="95">
        <f>Existing_Conditions!Y32</f>
        <v>1753.0000000000002</v>
      </c>
      <c r="AD9" s="96">
        <f t="shared" si="3"/>
        <v>82508.000000000029</v>
      </c>
    </row>
    <row r="10" spans="1:32" ht="14.15" customHeight="1" x14ac:dyDescent="0.35">
      <c r="A10" s="75">
        <v>9</v>
      </c>
      <c r="B10" s="64">
        <v>2010</v>
      </c>
      <c r="C10" s="64">
        <v>10</v>
      </c>
      <c r="D10" s="80">
        <f t="shared" si="0"/>
        <v>2010</v>
      </c>
      <c r="E10" t="s">
        <v>38</v>
      </c>
      <c r="F10" t="s">
        <v>143</v>
      </c>
      <c r="G10" t="s">
        <v>10</v>
      </c>
      <c r="H10" s="72" t="s">
        <v>198</v>
      </c>
      <c r="I10" s="72" t="s">
        <v>40</v>
      </c>
      <c r="J10" t="str">
        <f t="shared" si="2"/>
        <v>Dakota Creek (Whatcom Co)</v>
      </c>
      <c r="K10" t="str">
        <f>IFERROR(VLOOKUP(J10,LUTs!$A$1:$C$73,2,FALSE),"NA")</f>
        <v>Whatcom</v>
      </c>
      <c r="L10" t="str">
        <f>IFERROR(VLOOKUP(J10,LUTs!$A$1:$C$73,3,FALSE),"NA")</f>
        <v>1North Puget Sound</v>
      </c>
      <c r="M10" s="72" t="s">
        <v>13</v>
      </c>
      <c r="N10" t="str">
        <f>VLOOKUP(M10,LUTs!E$2:H$14,3,)</f>
        <v>01Whatcom</v>
      </c>
      <c r="O10" t="str">
        <f>VLOOKUP(M10,LUTs!E$2:H$14,4,)</f>
        <v>01North Puget Sound</v>
      </c>
      <c r="P10" s="73">
        <v>128.73913043478299</v>
      </c>
      <c r="Q10" s="74">
        <f>VLOOKUP(B10,Readme!A$40:C$51,2,)*P10</f>
        <v>1113.5934782608729</v>
      </c>
      <c r="S10" s="97" t="s">
        <v>157</v>
      </c>
      <c r="T10" s="97">
        <f>SUM(T5:T9)</f>
        <v>39696</v>
      </c>
      <c r="U10" s="97">
        <f t="shared" ref="U10:AC10" si="4">SUM(U5:U9)</f>
        <v>392967.00000000012</v>
      </c>
      <c r="V10" s="97">
        <f t="shared" si="4"/>
        <v>93236.000000000044</v>
      </c>
      <c r="W10" s="97">
        <f t="shared" si="4"/>
        <v>492195.00000000012</v>
      </c>
      <c r="X10" s="97">
        <f t="shared" si="4"/>
        <v>42845.000000000022</v>
      </c>
      <c r="Y10" s="97">
        <f t="shared" si="4"/>
        <v>256765.00000000006</v>
      </c>
      <c r="Z10" s="97">
        <f t="shared" si="4"/>
        <v>45218</v>
      </c>
      <c r="AA10" s="97">
        <f t="shared" si="4"/>
        <v>88750.000000000015</v>
      </c>
      <c r="AB10" s="97">
        <f t="shared" si="4"/>
        <v>50454.000000000015</v>
      </c>
      <c r="AC10" s="97">
        <f t="shared" si="4"/>
        <v>94503.000000000029</v>
      </c>
      <c r="AD10" s="97">
        <f t="shared" si="3"/>
        <v>1596629.0000000002</v>
      </c>
    </row>
    <row r="11" spans="1:32" ht="14.15" customHeight="1" x14ac:dyDescent="0.35">
      <c r="A11" s="75">
        <v>10</v>
      </c>
      <c r="B11" s="64">
        <v>2010</v>
      </c>
      <c r="C11" s="64">
        <v>8</v>
      </c>
      <c r="D11" s="80">
        <f t="shared" si="0"/>
        <v>2010</v>
      </c>
      <c r="E11" t="s">
        <v>38</v>
      </c>
      <c r="F11" t="s">
        <v>143</v>
      </c>
      <c r="G11" t="s">
        <v>10</v>
      </c>
      <c r="H11" s="72" t="s">
        <v>199</v>
      </c>
      <c r="I11" s="72" t="s">
        <v>41</v>
      </c>
      <c r="J11" t="str">
        <f t="shared" si="2"/>
        <v>Deschutes River</v>
      </c>
      <c r="K11" t="str">
        <f>IFERROR(VLOOKUP(J11,LUTs!$A$1:$C$73,2,FALSE),"NA")</f>
        <v>Thurston</v>
      </c>
      <c r="L11" t="str">
        <f>IFERROR(VLOOKUP(J11,LUTs!$A$1:$C$73,3,FALSE),"NA")</f>
        <v>3South Puget Sound</v>
      </c>
      <c r="M11" s="72" t="s">
        <v>21</v>
      </c>
      <c r="N11" t="str">
        <f>VLOOKUP(M11,LUTs!E$2:H$14,3,)</f>
        <v>08Thurston</v>
      </c>
      <c r="O11" t="str">
        <f>VLOOKUP(M11,LUTs!E$2:H$14,4,)</f>
        <v>02South Puget Sound</v>
      </c>
      <c r="P11" s="73">
        <v>6</v>
      </c>
      <c r="Q11" s="74">
        <f>VLOOKUP(B11,Readme!A$40:C$51,2,)*P11</f>
        <v>51.900000000000006</v>
      </c>
      <c r="S11"/>
      <c r="T11"/>
      <c r="U11"/>
      <c r="V11"/>
      <c r="W11"/>
      <c r="X11"/>
      <c r="Y11"/>
      <c r="Z11"/>
      <c r="AA11"/>
      <c r="AB11"/>
      <c r="AC11"/>
      <c r="AD11"/>
    </row>
    <row r="12" spans="1:32" ht="14.15" customHeight="1" x14ac:dyDescent="0.35">
      <c r="A12" s="75">
        <v>11</v>
      </c>
      <c r="B12" s="64">
        <v>2010</v>
      </c>
      <c r="C12" s="64">
        <v>9</v>
      </c>
      <c r="D12" s="80">
        <f t="shared" si="0"/>
        <v>2010</v>
      </c>
      <c r="E12" t="s">
        <v>38</v>
      </c>
      <c r="F12" t="s">
        <v>143</v>
      </c>
      <c r="G12" t="s">
        <v>10</v>
      </c>
      <c r="H12" s="72" t="s">
        <v>199</v>
      </c>
      <c r="I12" s="72" t="s">
        <v>41</v>
      </c>
      <c r="J12" t="str">
        <f t="shared" si="2"/>
        <v>Deschutes River</v>
      </c>
      <c r="K12" t="str">
        <f>IFERROR(VLOOKUP(J12,LUTs!$A$1:$C$73,2,FALSE),"NA")</f>
        <v>Thurston</v>
      </c>
      <c r="L12" t="str">
        <f>IFERROR(VLOOKUP(J12,LUTs!$A$1:$C$73,3,FALSE),"NA")</f>
        <v>3South Puget Sound</v>
      </c>
      <c r="M12" s="72" t="s">
        <v>20</v>
      </c>
      <c r="N12" t="str">
        <f>VLOOKUP(M12,LUTs!E$2:H$14,3,)</f>
        <v>07Pierce</v>
      </c>
      <c r="O12" t="str">
        <f>VLOOKUP(M12,LUTs!E$2:H$14,4,)</f>
        <v>02South Puget Sound</v>
      </c>
      <c r="P12" s="73">
        <v>13</v>
      </c>
      <c r="Q12" s="74">
        <f>VLOOKUP(B12,Readme!A$40:C$51,2,)*P12</f>
        <v>112.45</v>
      </c>
    </row>
    <row r="13" spans="1:32" ht="14.15" customHeight="1" x14ac:dyDescent="0.35">
      <c r="A13" s="75">
        <v>12</v>
      </c>
      <c r="B13" s="64">
        <v>2010</v>
      </c>
      <c r="C13" s="64">
        <v>11</v>
      </c>
      <c r="D13" s="80">
        <f t="shared" si="0"/>
        <v>2010</v>
      </c>
      <c r="E13" t="s">
        <v>38</v>
      </c>
      <c r="F13" t="s">
        <v>143</v>
      </c>
      <c r="G13" t="s">
        <v>10</v>
      </c>
      <c r="H13" s="72" t="s">
        <v>200</v>
      </c>
      <c r="I13" s="72" t="s">
        <v>42</v>
      </c>
      <c r="J13" t="str">
        <f t="shared" si="2"/>
        <v>Duckabush River</v>
      </c>
      <c r="K13" t="str">
        <f>IFERROR(VLOOKUP(J13,LUTs!$A$1:$C$73,2,FALSE),"NA")</f>
        <v>Jefferson</v>
      </c>
      <c r="L13" t="str">
        <f>IFERROR(VLOOKUP(J13,LUTs!$A$1:$C$73,3,FALSE),"NA")</f>
        <v>4 Hood Canal</v>
      </c>
      <c r="M13" s="72" t="s">
        <v>26</v>
      </c>
      <c r="N13" t="str">
        <f>VLOOKUP(M13,LUTs!E$2:H$14,3,)</f>
        <v>20Other</v>
      </c>
      <c r="O13" t="str">
        <f>VLOOKUP(M13,LUTs!E$2:H$14,4,)</f>
        <v>07Non Puget Sound</v>
      </c>
      <c r="P13" s="73">
        <v>6</v>
      </c>
      <c r="Q13" s="74">
        <f>VLOOKUP(B13,Readme!A$40:C$51,2,)*P13</f>
        <v>51.900000000000006</v>
      </c>
      <c r="S13" s="15" t="s">
        <v>288</v>
      </c>
      <c r="T13"/>
      <c r="U13"/>
    </row>
    <row r="14" spans="1:32" ht="14.15" customHeight="1" x14ac:dyDescent="0.35">
      <c r="A14" s="75">
        <v>13</v>
      </c>
      <c r="B14" s="64">
        <v>2010</v>
      </c>
      <c r="C14" s="64">
        <v>12</v>
      </c>
      <c r="D14" s="80">
        <f t="shared" si="0"/>
        <v>2010</v>
      </c>
      <c r="E14" t="s">
        <v>38</v>
      </c>
      <c r="F14" t="s">
        <v>143</v>
      </c>
      <c r="G14" t="s">
        <v>10</v>
      </c>
      <c r="H14" s="72" t="s">
        <v>200</v>
      </c>
      <c r="I14" s="72" t="s">
        <v>42</v>
      </c>
      <c r="J14" t="str">
        <f t="shared" si="2"/>
        <v>Duckabush River</v>
      </c>
      <c r="K14" t="str">
        <f>IFERROR(VLOOKUP(J14,LUTs!$A$1:$C$73,2,FALSE),"NA")</f>
        <v>Jefferson</v>
      </c>
      <c r="L14" t="str">
        <f>IFERROR(VLOOKUP(J14,LUTs!$A$1:$C$73,3,FALSE),"NA")</f>
        <v>4 Hood Canal</v>
      </c>
      <c r="M14" s="72" t="s">
        <v>21</v>
      </c>
      <c r="N14" t="str">
        <f>VLOOKUP(M14,LUTs!E$2:H$14,3,)</f>
        <v>08Thurston</v>
      </c>
      <c r="O14" t="str">
        <f>VLOOKUP(M14,LUTs!E$2:H$14,4,)</f>
        <v>02South Puget Sound</v>
      </c>
      <c r="P14" s="73">
        <v>32</v>
      </c>
      <c r="Q14" s="74">
        <f>VLOOKUP(B14,Readme!A$40:C$51,2,)*P14</f>
        <v>276.8</v>
      </c>
      <c r="S14" s="45" t="s">
        <v>169</v>
      </c>
      <c r="T14" s="45" t="s">
        <v>275</v>
      </c>
      <c r="U14"/>
      <c r="V14"/>
      <c r="W14"/>
      <c r="X14"/>
      <c r="Y14"/>
      <c r="Z14"/>
      <c r="AA14"/>
      <c r="AB14"/>
      <c r="AC14"/>
      <c r="AD14"/>
      <c r="AE14"/>
      <c r="AF14"/>
    </row>
    <row r="15" spans="1:32" ht="14.5" x14ac:dyDescent="0.35">
      <c r="A15" s="75">
        <v>14</v>
      </c>
      <c r="B15" s="64">
        <v>2010</v>
      </c>
      <c r="C15" s="64">
        <v>10</v>
      </c>
      <c r="D15" s="80">
        <f t="shared" si="0"/>
        <v>2010</v>
      </c>
      <c r="E15" t="s">
        <v>38</v>
      </c>
      <c r="F15" t="s">
        <v>143</v>
      </c>
      <c r="G15" t="s">
        <v>10</v>
      </c>
      <c r="H15" s="72" t="s">
        <v>201</v>
      </c>
      <c r="I15" s="72" t="s">
        <v>43</v>
      </c>
      <c r="J15" t="str">
        <f t="shared" si="2"/>
        <v>Dungeness River</v>
      </c>
      <c r="K15" t="str">
        <f>IFERROR(VLOOKUP(J15,LUTs!$A$1:$C$73,2,FALSE),"NA")</f>
        <v>Clallam</v>
      </c>
      <c r="L15" t="str">
        <f>IFERROR(VLOOKUP(J15,LUTs!$A$1:$C$73,3,FALSE),"NA")</f>
        <v>0Strait of Juan de Fuca</v>
      </c>
      <c r="M15" s="72" t="s">
        <v>24</v>
      </c>
      <c r="N15" t="str">
        <f>VLOOKUP(M15,LUTs!E$2:H$14,3,)</f>
        <v>11Clallam</v>
      </c>
      <c r="O15" t="str">
        <f>VLOOKUP(M15,LUTs!E$2:H$14,4,)</f>
        <v>03Strait of Juan de Fuca</v>
      </c>
      <c r="P15" s="73">
        <v>145.07692307692301</v>
      </c>
      <c r="Q15" s="74">
        <f>VLOOKUP(B15,Readme!A$40:C$51,2,)*P15</f>
        <v>1254.915384615384</v>
      </c>
      <c r="S15" s="45" t="s">
        <v>274</v>
      </c>
      <c r="T15" s="99">
        <v>2010</v>
      </c>
      <c r="U15" s="99">
        <v>2011</v>
      </c>
      <c r="V15" s="99">
        <v>2012</v>
      </c>
      <c r="W15" s="99">
        <v>2013</v>
      </c>
      <c r="X15" s="99">
        <v>2014</v>
      </c>
      <c r="Y15" s="99">
        <v>2015</v>
      </c>
      <c r="Z15" s="99">
        <v>2016</v>
      </c>
      <c r="AA15" s="99">
        <v>2017</v>
      </c>
      <c r="AB15" s="99">
        <v>2018</v>
      </c>
      <c r="AC15" s="99">
        <v>2019</v>
      </c>
      <c r="AD15" s="100" t="s">
        <v>157</v>
      </c>
      <c r="AE15"/>
      <c r="AF15"/>
    </row>
    <row r="16" spans="1:32" ht="14.5" x14ac:dyDescent="0.35">
      <c r="A16" s="75">
        <v>15</v>
      </c>
      <c r="B16" s="64">
        <v>2010</v>
      </c>
      <c r="C16" s="64">
        <v>10</v>
      </c>
      <c r="D16" s="80">
        <f t="shared" si="0"/>
        <v>2010</v>
      </c>
      <c r="E16" t="s">
        <v>38</v>
      </c>
      <c r="F16" t="s">
        <v>143</v>
      </c>
      <c r="G16" t="s">
        <v>10</v>
      </c>
      <c r="H16" s="72" t="s">
        <v>201</v>
      </c>
      <c r="I16" s="72" t="s">
        <v>43</v>
      </c>
      <c r="J16" t="str">
        <f t="shared" si="2"/>
        <v>Dungeness River</v>
      </c>
      <c r="K16" t="str">
        <f>IFERROR(VLOOKUP(J16,LUTs!$A$1:$C$73,2,FALSE),"NA")</f>
        <v>Clallam</v>
      </c>
      <c r="L16" t="str">
        <f>IFERROR(VLOOKUP(J16,LUTs!$A$1:$C$73,3,FALSE),"NA")</f>
        <v>0Strait of Juan de Fuca</v>
      </c>
      <c r="M16" s="72" t="s">
        <v>18</v>
      </c>
      <c r="N16" t="str">
        <f>VLOOKUP(M16,LUTs!E$2:H$14,3,)</f>
        <v>06King</v>
      </c>
      <c r="O16" t="str">
        <f>VLOOKUP(M16,LUTs!E$2:H$14,4,)</f>
        <v>02South Puget Sound</v>
      </c>
      <c r="P16" s="73">
        <v>6.3076923076923102</v>
      </c>
      <c r="Q16" s="74">
        <f>VLOOKUP(B16,Readme!A$40:C$51,2,)*P16</f>
        <v>54.561538461538483</v>
      </c>
      <c r="S16" s="59" t="s">
        <v>133</v>
      </c>
      <c r="T16" s="53">
        <v>310.99999999999994</v>
      </c>
      <c r="U16" s="53">
        <v>2179.0000000000009</v>
      </c>
      <c r="V16" s="53">
        <v>907</v>
      </c>
      <c r="W16" s="53">
        <v>1447.0000000000032</v>
      </c>
      <c r="X16" s="53">
        <v>464</v>
      </c>
      <c r="Y16" s="53">
        <v>358.00000000000045</v>
      </c>
      <c r="Z16" s="53">
        <v>793.00000000000057</v>
      </c>
      <c r="AA16" s="53">
        <v>1040</v>
      </c>
      <c r="AB16" s="53">
        <v>212.00000000000011</v>
      </c>
      <c r="AC16" s="53">
        <v>639.00000000000023</v>
      </c>
      <c r="AD16" s="53">
        <v>8350.0000000000055</v>
      </c>
      <c r="AE16"/>
      <c r="AF16"/>
    </row>
    <row r="17" spans="1:32" ht="14.5" x14ac:dyDescent="0.35">
      <c r="A17" s="75">
        <v>16</v>
      </c>
      <c r="B17" s="64">
        <v>2010</v>
      </c>
      <c r="C17" s="64">
        <v>10</v>
      </c>
      <c r="D17" s="80">
        <f t="shared" si="0"/>
        <v>2010</v>
      </c>
      <c r="E17" t="s">
        <v>38</v>
      </c>
      <c r="F17" t="s">
        <v>143</v>
      </c>
      <c r="G17" t="s">
        <v>10</v>
      </c>
      <c r="H17" s="72" t="s">
        <v>201</v>
      </c>
      <c r="I17" s="72" t="s">
        <v>43</v>
      </c>
      <c r="J17" t="str">
        <f t="shared" si="2"/>
        <v>Dungeness River</v>
      </c>
      <c r="K17" t="str">
        <f>IFERROR(VLOOKUP(J17,LUTs!$A$1:$C$73,2,FALSE),"NA")</f>
        <v>Clallam</v>
      </c>
      <c r="L17" t="str">
        <f>IFERROR(VLOOKUP(J17,LUTs!$A$1:$C$73,3,FALSE),"NA")</f>
        <v>0Strait of Juan de Fuca</v>
      </c>
      <c r="M17" s="72" t="s">
        <v>23</v>
      </c>
      <c r="N17" t="str">
        <f>VLOOKUP(M17,LUTs!E$2:H$14,3,)</f>
        <v>10Kitsap</v>
      </c>
      <c r="O17" t="str">
        <f>VLOOKUP(M17,LUTs!E$2:H$14,4,)</f>
        <v>02South Puget Sound</v>
      </c>
      <c r="P17" s="73">
        <v>12.615384615384601</v>
      </c>
      <c r="Q17" s="74">
        <f>VLOOKUP(B17,Readme!A$40:C$51,2,)*P17</f>
        <v>109.12307692307679</v>
      </c>
      <c r="S17" s="59" t="s">
        <v>135</v>
      </c>
      <c r="T17" s="53">
        <v>12364.999999999998</v>
      </c>
      <c r="U17" s="53">
        <v>22384.000000000007</v>
      </c>
      <c r="V17" s="53">
        <v>25164.000000000018</v>
      </c>
      <c r="W17" s="53">
        <v>24545.000000000004</v>
      </c>
      <c r="X17" s="53">
        <v>14341.000000000005</v>
      </c>
      <c r="Y17" s="53">
        <v>28511.999999999978</v>
      </c>
      <c r="Z17" s="53">
        <v>22158.999999999989</v>
      </c>
      <c r="AA17" s="53">
        <v>17179.000000000022</v>
      </c>
      <c r="AB17" s="53">
        <v>19840.000000000015</v>
      </c>
      <c r="AC17" s="53">
        <v>13124.000000000011</v>
      </c>
      <c r="AD17" s="53">
        <v>199613.00000000006</v>
      </c>
      <c r="AE17"/>
      <c r="AF17"/>
    </row>
    <row r="18" spans="1:32" ht="14.5" x14ac:dyDescent="0.35">
      <c r="A18" s="75">
        <v>17</v>
      </c>
      <c r="B18" s="64">
        <v>2010</v>
      </c>
      <c r="C18" s="64">
        <v>11</v>
      </c>
      <c r="D18" s="80">
        <f t="shared" si="0"/>
        <v>2010</v>
      </c>
      <c r="E18" t="s">
        <v>38</v>
      </c>
      <c r="F18" t="s">
        <v>143</v>
      </c>
      <c r="G18" t="s">
        <v>10</v>
      </c>
      <c r="H18" s="72" t="s">
        <v>201</v>
      </c>
      <c r="I18" s="72" t="s">
        <v>43</v>
      </c>
      <c r="J18" t="str">
        <f t="shared" si="2"/>
        <v>Dungeness River</v>
      </c>
      <c r="K18" t="str">
        <f>IFERROR(VLOOKUP(J18,LUTs!$A$1:$C$73,2,FALSE),"NA")</f>
        <v>Clallam</v>
      </c>
      <c r="L18" t="str">
        <f>IFERROR(VLOOKUP(J18,LUTs!$A$1:$C$73,3,FALSE),"NA")</f>
        <v>0Strait of Juan de Fuca</v>
      </c>
      <c r="M18" s="72" t="s">
        <v>24</v>
      </c>
      <c r="N18" t="str">
        <f>VLOOKUP(M18,LUTs!E$2:H$14,3,)</f>
        <v>11Clallam</v>
      </c>
      <c r="O18" t="str">
        <f>VLOOKUP(M18,LUTs!E$2:H$14,4,)</f>
        <v>03Strait of Juan de Fuca</v>
      </c>
      <c r="P18" s="73">
        <v>56.454545454545503</v>
      </c>
      <c r="Q18" s="74">
        <f>VLOOKUP(B18,Readme!A$40:C$51,2,)*P18</f>
        <v>488.33181818181862</v>
      </c>
      <c r="S18" s="59" t="s">
        <v>137</v>
      </c>
      <c r="T18" s="53">
        <v>4727</v>
      </c>
      <c r="U18" s="53">
        <v>166734.00000000003</v>
      </c>
      <c r="V18" s="53">
        <v>16766.000000000011</v>
      </c>
      <c r="W18" s="53">
        <v>208296.00000000017</v>
      </c>
      <c r="X18" s="53">
        <v>6436.0000000000055</v>
      </c>
      <c r="Y18" s="53">
        <v>75431.000000000087</v>
      </c>
      <c r="Z18" s="53">
        <v>4466.9999999999982</v>
      </c>
      <c r="AA18" s="53">
        <v>16140.999999999989</v>
      </c>
      <c r="AB18" s="53">
        <v>4424</v>
      </c>
      <c r="AC18" s="53">
        <v>9464.0000000000073</v>
      </c>
      <c r="AD18" s="53">
        <v>512886.00000000035</v>
      </c>
      <c r="AE18"/>
      <c r="AF18"/>
    </row>
    <row r="19" spans="1:32" ht="14.5" x14ac:dyDescent="0.35">
      <c r="A19" s="75">
        <v>18</v>
      </c>
      <c r="B19" s="64">
        <v>2010</v>
      </c>
      <c r="C19" s="64">
        <v>11</v>
      </c>
      <c r="D19" s="80">
        <f t="shared" si="0"/>
        <v>2010</v>
      </c>
      <c r="E19" t="s">
        <v>38</v>
      </c>
      <c r="F19" t="s">
        <v>143</v>
      </c>
      <c r="G19" t="s">
        <v>10</v>
      </c>
      <c r="H19" s="72" t="s">
        <v>201</v>
      </c>
      <c r="I19" s="72" t="s">
        <v>43</v>
      </c>
      <c r="J19" t="str">
        <f t="shared" si="2"/>
        <v>Dungeness River</v>
      </c>
      <c r="K19" t="str">
        <f>IFERROR(VLOOKUP(J19,LUTs!$A$1:$C$73,2,FALSE),"NA")</f>
        <v>Clallam</v>
      </c>
      <c r="L19" t="str">
        <f>IFERROR(VLOOKUP(J19,LUTs!$A$1:$C$73,3,FALSE),"NA")</f>
        <v>0Strait of Juan de Fuca</v>
      </c>
      <c r="M19" s="72" t="s">
        <v>23</v>
      </c>
      <c r="N19" t="str">
        <f>VLOOKUP(M19,LUTs!E$2:H$14,3,)</f>
        <v>10Kitsap</v>
      </c>
      <c r="O19" t="str">
        <f>VLOOKUP(M19,LUTs!E$2:H$14,4,)</f>
        <v>02South Puget Sound</v>
      </c>
      <c r="P19" s="73">
        <v>12.545454545454501</v>
      </c>
      <c r="Q19" s="74">
        <f>VLOOKUP(B19,Readme!A$40:C$51,2,)*P19</f>
        <v>108.51818181818143</v>
      </c>
      <c r="S19" s="59" t="s">
        <v>139</v>
      </c>
      <c r="T19" s="53">
        <v>13923.000000000013</v>
      </c>
      <c r="U19" s="53">
        <v>185996.00000000003</v>
      </c>
      <c r="V19" s="53">
        <v>32919.000000000007</v>
      </c>
      <c r="W19" s="53">
        <v>241930.99999999991</v>
      </c>
      <c r="X19" s="53">
        <v>16497.000000000007</v>
      </c>
      <c r="Y19" s="53">
        <v>145092</v>
      </c>
      <c r="Z19" s="53">
        <v>14544.000000000013</v>
      </c>
      <c r="AA19" s="53">
        <v>52180.000000000007</v>
      </c>
      <c r="AB19" s="53">
        <v>23395.000000000007</v>
      </c>
      <c r="AC19" s="53">
        <v>69494.000000000029</v>
      </c>
      <c r="AD19" s="53">
        <v>795971</v>
      </c>
      <c r="AE19"/>
      <c r="AF19"/>
    </row>
    <row r="20" spans="1:32" ht="14.5" x14ac:dyDescent="0.35">
      <c r="A20" s="75">
        <v>19</v>
      </c>
      <c r="B20" s="64">
        <v>2010</v>
      </c>
      <c r="C20" s="64">
        <v>10</v>
      </c>
      <c r="D20" s="80">
        <f t="shared" si="0"/>
        <v>2010</v>
      </c>
      <c r="E20" t="s">
        <v>38</v>
      </c>
      <c r="F20" t="s">
        <v>143</v>
      </c>
      <c r="G20" t="s">
        <v>10</v>
      </c>
      <c r="H20" s="72" t="s">
        <v>202</v>
      </c>
      <c r="I20" s="72" t="s">
        <v>44</v>
      </c>
      <c r="J20" t="str">
        <f t="shared" si="2"/>
        <v>Elwha River</v>
      </c>
      <c r="K20" t="str">
        <f>IFERROR(VLOOKUP(J20,LUTs!$A$1:$C$73,2,FALSE),"NA")</f>
        <v>Clallam</v>
      </c>
      <c r="L20" t="str">
        <f>IFERROR(VLOOKUP(J20,LUTs!$A$1:$C$73,3,FALSE),"NA")</f>
        <v>0Strait of Juan de Fuca</v>
      </c>
      <c r="M20" s="72" t="s">
        <v>24</v>
      </c>
      <c r="N20" t="str">
        <f>VLOOKUP(M20,LUTs!E$2:H$14,3,)</f>
        <v>11Clallam</v>
      </c>
      <c r="O20" t="str">
        <f>VLOOKUP(M20,LUTs!E$2:H$14,4,)</f>
        <v>03Strait of Juan de Fuca</v>
      </c>
      <c r="P20" s="73">
        <v>38</v>
      </c>
      <c r="Q20" s="74">
        <f>VLOOKUP(B20,Readme!A$40:C$51,2,)*P20</f>
        <v>328.7</v>
      </c>
      <c r="S20" s="59" t="s">
        <v>141</v>
      </c>
      <c r="T20" s="53">
        <v>8436.9999999999964</v>
      </c>
      <c r="U20" s="53">
        <v>15961.000000000004</v>
      </c>
      <c r="V20" s="53">
        <v>17133.000000000015</v>
      </c>
      <c r="W20" s="53">
        <v>16034.000000000005</v>
      </c>
      <c r="X20" s="53">
        <v>5120.0000000000018</v>
      </c>
      <c r="Y20" s="53">
        <v>7302.9999999999991</v>
      </c>
      <c r="Z20" s="53">
        <v>3246</v>
      </c>
      <c r="AA20" s="53">
        <v>2270</v>
      </c>
      <c r="AB20" s="53">
        <v>2562.0000000000005</v>
      </c>
      <c r="AC20" s="53">
        <v>1753</v>
      </c>
      <c r="AD20" s="53">
        <v>79819.000000000015</v>
      </c>
      <c r="AE20"/>
      <c r="AF20"/>
    </row>
    <row r="21" spans="1:32" ht="14.5" x14ac:dyDescent="0.35">
      <c r="A21" s="75">
        <v>20</v>
      </c>
      <c r="B21" s="64">
        <v>2010</v>
      </c>
      <c r="C21" s="64">
        <v>10</v>
      </c>
      <c r="D21" s="80">
        <f t="shared" si="0"/>
        <v>2010</v>
      </c>
      <c r="E21" t="s">
        <v>38</v>
      </c>
      <c r="F21" t="s">
        <v>143</v>
      </c>
      <c r="G21" t="s">
        <v>10</v>
      </c>
      <c r="H21" s="72" t="s">
        <v>202</v>
      </c>
      <c r="I21" s="72" t="s">
        <v>44</v>
      </c>
      <c r="J21" t="str">
        <f t="shared" si="2"/>
        <v>Elwha River</v>
      </c>
      <c r="K21" t="str">
        <f>IFERROR(VLOOKUP(J21,LUTs!$A$1:$C$73,2,FALSE),"NA")</f>
        <v>Clallam</v>
      </c>
      <c r="L21" t="str">
        <f>IFERROR(VLOOKUP(J21,LUTs!$A$1:$C$73,3,FALSE),"NA")</f>
        <v>0Strait of Juan de Fuca</v>
      </c>
      <c r="M21" s="72" t="s">
        <v>16</v>
      </c>
      <c r="N21" t="str">
        <f>VLOOKUP(M21,LUTs!E$2:H$14,3,)</f>
        <v>03Snohomish</v>
      </c>
      <c r="O21" t="str">
        <f>VLOOKUP(M21,LUTs!E$2:H$14,4,)</f>
        <v>01North Puget Sound</v>
      </c>
      <c r="P21" s="73">
        <v>38</v>
      </c>
      <c r="Q21" s="74">
        <f>VLOOKUP(B21,Readme!A$40:C$51,2,)*P21</f>
        <v>328.7</v>
      </c>
      <c r="S21" s="59" t="s">
        <v>157</v>
      </c>
      <c r="T21" s="53">
        <v>39763.000000000015</v>
      </c>
      <c r="U21" s="53">
        <v>393254.00000000006</v>
      </c>
      <c r="V21" s="53">
        <v>92889.000000000044</v>
      </c>
      <c r="W21" s="53">
        <v>492253.00000000012</v>
      </c>
      <c r="X21" s="53">
        <v>42858.000000000015</v>
      </c>
      <c r="Y21" s="53">
        <v>256696.00000000006</v>
      </c>
      <c r="Z21" s="53">
        <v>45209</v>
      </c>
      <c r="AA21" s="53">
        <v>88810.000000000029</v>
      </c>
      <c r="AB21" s="53">
        <v>50433.000000000022</v>
      </c>
      <c r="AC21" s="53">
        <v>94474.000000000044</v>
      </c>
      <c r="AD21" s="53">
        <v>1596639.0000000005</v>
      </c>
      <c r="AE21"/>
      <c r="AF21"/>
    </row>
    <row r="22" spans="1:32" ht="14.15" customHeight="1" x14ac:dyDescent="0.35">
      <c r="A22" s="75">
        <v>21</v>
      </c>
      <c r="B22" s="64">
        <v>2010</v>
      </c>
      <c r="C22" s="64">
        <v>8</v>
      </c>
      <c r="D22" s="80">
        <f t="shared" si="0"/>
        <v>2010</v>
      </c>
      <c r="E22" t="s">
        <v>38</v>
      </c>
      <c r="F22" t="s">
        <v>143</v>
      </c>
      <c r="G22" t="s">
        <v>10</v>
      </c>
      <c r="H22" s="72" t="s">
        <v>203</v>
      </c>
      <c r="I22" s="72" t="s">
        <v>45</v>
      </c>
      <c r="J22" t="str">
        <f t="shared" si="2"/>
        <v>Green - Duwamish River</v>
      </c>
      <c r="K22" t="str">
        <f>IFERROR(VLOOKUP(J22,LUTs!$A$1:$C$73,2,FALSE),"NA")</f>
        <v>King</v>
      </c>
      <c r="L22" t="str">
        <f>IFERROR(VLOOKUP(J22,LUTs!$A$1:$C$73,3,FALSE),"NA")</f>
        <v>3South Puget Sound</v>
      </c>
      <c r="M22" s="72" t="s">
        <v>18</v>
      </c>
      <c r="N22" t="str">
        <f>VLOOKUP(M22,LUTs!E$2:H$14,3,)</f>
        <v>06King</v>
      </c>
      <c r="O22" t="str">
        <f>VLOOKUP(M22,LUTs!E$2:H$14,4,)</f>
        <v>02South Puget Sound</v>
      </c>
      <c r="P22" s="73">
        <v>6</v>
      </c>
      <c r="Q22" s="74">
        <f>VLOOKUP(B22,Readme!A$40:C$51,2,)*P22</f>
        <v>51.900000000000006</v>
      </c>
    </row>
    <row r="23" spans="1:32" ht="14.15" customHeight="1" x14ac:dyDescent="0.35">
      <c r="A23" s="75">
        <v>22</v>
      </c>
      <c r="B23" s="64">
        <v>2010</v>
      </c>
      <c r="C23" s="64">
        <v>9</v>
      </c>
      <c r="D23" s="80">
        <f t="shared" si="0"/>
        <v>2010</v>
      </c>
      <c r="E23" t="s">
        <v>38</v>
      </c>
      <c r="F23" t="s">
        <v>143</v>
      </c>
      <c r="G23" t="s">
        <v>10</v>
      </c>
      <c r="H23" s="72" t="s">
        <v>203</v>
      </c>
      <c r="I23" s="72" t="s">
        <v>45</v>
      </c>
      <c r="J23" t="str">
        <f t="shared" si="2"/>
        <v>Green - Duwamish River</v>
      </c>
      <c r="K23" t="str">
        <f>IFERROR(VLOOKUP(J23,LUTs!$A$1:$C$73,2,FALSE),"NA")</f>
        <v>King</v>
      </c>
      <c r="L23" t="str">
        <f>IFERROR(VLOOKUP(J23,LUTs!$A$1:$C$73,3,FALSE),"NA")</f>
        <v>3South Puget Sound</v>
      </c>
      <c r="M23" s="72" t="s">
        <v>18</v>
      </c>
      <c r="N23" t="str">
        <f>VLOOKUP(M23,LUTs!E$2:H$14,3,)</f>
        <v>06King</v>
      </c>
      <c r="O23" t="str">
        <f>VLOOKUP(M23,LUTs!E$2:H$14,4,)</f>
        <v>02South Puget Sound</v>
      </c>
      <c r="P23" s="73">
        <v>453.951219512195</v>
      </c>
      <c r="Q23" s="74">
        <f>VLOOKUP(B23,Readme!A$40:C$51,2,)*P23</f>
        <v>3926.6780487804867</v>
      </c>
      <c r="S23" s="15" t="s">
        <v>279</v>
      </c>
    </row>
    <row r="24" spans="1:32" ht="14.15" customHeight="1" x14ac:dyDescent="0.35">
      <c r="A24" s="75">
        <v>23</v>
      </c>
      <c r="B24" s="64">
        <v>2010</v>
      </c>
      <c r="C24" s="64">
        <v>9</v>
      </c>
      <c r="D24" s="80">
        <f t="shared" si="0"/>
        <v>2010</v>
      </c>
      <c r="E24" t="s">
        <v>38</v>
      </c>
      <c r="F24" t="s">
        <v>143</v>
      </c>
      <c r="G24" t="s">
        <v>10</v>
      </c>
      <c r="H24" s="72" t="s">
        <v>203</v>
      </c>
      <c r="I24" s="72" t="s">
        <v>45</v>
      </c>
      <c r="J24" t="str">
        <f t="shared" si="2"/>
        <v>Green - Duwamish River</v>
      </c>
      <c r="K24" t="str">
        <f>IFERROR(VLOOKUP(J24,LUTs!$A$1:$C$73,2,FALSE),"NA")</f>
        <v>King</v>
      </c>
      <c r="L24" t="str">
        <f>IFERROR(VLOOKUP(J24,LUTs!$A$1:$C$73,3,FALSE),"NA")</f>
        <v>3South Puget Sound</v>
      </c>
      <c r="M24" s="72" t="s">
        <v>26</v>
      </c>
      <c r="N24" t="str">
        <f>VLOOKUP(M24,LUTs!E$2:H$14,3,)</f>
        <v>20Other</v>
      </c>
      <c r="O24" t="str">
        <f>VLOOKUP(M24,LUTs!E$2:H$14,4,)</f>
        <v>07Non Puget Sound</v>
      </c>
      <c r="P24" s="73">
        <v>25.219512195122</v>
      </c>
      <c r="Q24" s="74">
        <f>VLOOKUP(B24,Readme!A$40:C$51,2,)*P24</f>
        <v>218.14878048780531</v>
      </c>
      <c r="S24" s="45" t="s">
        <v>0</v>
      </c>
      <c r="T24" t="s">
        <v>175</v>
      </c>
    </row>
    <row r="25" spans="1:32" ht="14.15" customHeight="1" x14ac:dyDescent="0.35">
      <c r="A25" s="75">
        <v>24</v>
      </c>
      <c r="B25" s="64">
        <v>2010</v>
      </c>
      <c r="C25" s="64">
        <v>9</v>
      </c>
      <c r="D25" s="80">
        <f t="shared" si="0"/>
        <v>2010</v>
      </c>
      <c r="E25" t="s">
        <v>38</v>
      </c>
      <c r="F25" t="s">
        <v>143</v>
      </c>
      <c r="G25" t="s">
        <v>10</v>
      </c>
      <c r="H25" s="72" t="s">
        <v>203</v>
      </c>
      <c r="I25" s="72" t="s">
        <v>45</v>
      </c>
      <c r="J25" t="str">
        <f t="shared" si="2"/>
        <v>Green - Duwamish River</v>
      </c>
      <c r="K25" t="str">
        <f>IFERROR(VLOOKUP(J25,LUTs!$A$1:$C$73,2,FALSE),"NA")</f>
        <v>King</v>
      </c>
      <c r="L25" t="str">
        <f>IFERROR(VLOOKUP(J25,LUTs!$A$1:$C$73,3,FALSE),"NA")</f>
        <v>3South Puget Sound</v>
      </c>
      <c r="M25" s="72" t="s">
        <v>20</v>
      </c>
      <c r="N25" t="str">
        <f>VLOOKUP(M25,LUTs!E$2:H$14,3,)</f>
        <v>07Pierce</v>
      </c>
      <c r="O25" t="str">
        <f>VLOOKUP(M25,LUTs!E$2:H$14,4,)</f>
        <v>02South Puget Sound</v>
      </c>
      <c r="P25" s="73">
        <v>31.524390243902399</v>
      </c>
      <c r="Q25" s="74">
        <f>VLOOKUP(B25,Readme!A$40:C$51,2,)*P25</f>
        <v>272.68597560975576</v>
      </c>
      <c r="S25" s="15"/>
      <c r="T25"/>
      <c r="U25"/>
    </row>
    <row r="26" spans="1:32" ht="14.15" customHeight="1" x14ac:dyDescent="0.35">
      <c r="A26" s="75">
        <v>25</v>
      </c>
      <c r="B26" s="64">
        <v>2010</v>
      </c>
      <c r="C26" s="64">
        <v>9</v>
      </c>
      <c r="D26" s="80">
        <f t="shared" si="0"/>
        <v>2010</v>
      </c>
      <c r="E26" t="s">
        <v>38</v>
      </c>
      <c r="F26" t="s">
        <v>143</v>
      </c>
      <c r="G26" t="s">
        <v>10</v>
      </c>
      <c r="H26" s="72" t="s">
        <v>203</v>
      </c>
      <c r="I26" s="72" t="s">
        <v>45</v>
      </c>
      <c r="J26" t="str">
        <f t="shared" si="2"/>
        <v>Green - Duwamish River</v>
      </c>
      <c r="K26" t="str">
        <f>IFERROR(VLOOKUP(J26,LUTs!$A$1:$C$73,2,FALSE),"NA")</f>
        <v>King</v>
      </c>
      <c r="L26" t="str">
        <f>IFERROR(VLOOKUP(J26,LUTs!$A$1:$C$73,3,FALSE),"NA")</f>
        <v>3South Puget Sound</v>
      </c>
      <c r="M26" s="72" t="s">
        <v>16</v>
      </c>
      <c r="N26" t="str">
        <f>VLOOKUP(M26,LUTs!E$2:H$14,3,)</f>
        <v>03Snohomish</v>
      </c>
      <c r="O26" t="str">
        <f>VLOOKUP(M26,LUTs!E$2:H$14,4,)</f>
        <v>01North Puget Sound</v>
      </c>
      <c r="P26" s="73">
        <v>6.3048780487804903</v>
      </c>
      <c r="Q26" s="74">
        <f>VLOOKUP(B26,Readme!A$40:C$51,2,)*P26</f>
        <v>54.537195121951243</v>
      </c>
      <c r="S26" s="45" t="s">
        <v>169</v>
      </c>
      <c r="T26" s="45" t="s">
        <v>275</v>
      </c>
      <c r="U26"/>
      <c r="V26"/>
      <c r="W26"/>
      <c r="X26"/>
      <c r="Y26"/>
      <c r="Z26"/>
      <c r="AA26"/>
      <c r="AB26"/>
      <c r="AC26"/>
      <c r="AD26"/>
    </row>
    <row r="27" spans="1:32" ht="14.15" customHeight="1" x14ac:dyDescent="0.35">
      <c r="A27" s="75">
        <v>26</v>
      </c>
      <c r="B27" s="64">
        <v>2010</v>
      </c>
      <c r="C27" s="64">
        <v>10</v>
      </c>
      <c r="D27" s="80">
        <f t="shared" si="0"/>
        <v>2010</v>
      </c>
      <c r="E27" t="s">
        <v>38</v>
      </c>
      <c r="F27" t="s">
        <v>143</v>
      </c>
      <c r="G27" t="s">
        <v>10</v>
      </c>
      <c r="H27" s="72" t="s">
        <v>203</v>
      </c>
      <c r="I27" s="72" t="s">
        <v>45</v>
      </c>
      <c r="J27" t="str">
        <f t="shared" si="2"/>
        <v>Green - Duwamish River</v>
      </c>
      <c r="K27" t="str">
        <f>IFERROR(VLOOKUP(J27,LUTs!$A$1:$C$73,2,FALSE),"NA")</f>
        <v>King</v>
      </c>
      <c r="L27" t="str">
        <f>IFERROR(VLOOKUP(J27,LUTs!$A$1:$C$73,3,FALSE),"NA")</f>
        <v>3South Puget Sound</v>
      </c>
      <c r="M27" s="72" t="s">
        <v>18</v>
      </c>
      <c r="N27" t="str">
        <f>VLOOKUP(M27,LUTs!E$2:H$14,3,)</f>
        <v>06King</v>
      </c>
      <c r="O27" t="str">
        <f>VLOOKUP(M27,LUTs!E$2:H$14,4,)</f>
        <v>02South Puget Sound</v>
      </c>
      <c r="P27" s="73">
        <v>484.24444444444498</v>
      </c>
      <c r="Q27" s="74">
        <f>VLOOKUP(B27,Readme!A$40:C$51,2,)*P27</f>
        <v>4188.7144444444493</v>
      </c>
      <c r="S27" s="45" t="s">
        <v>274</v>
      </c>
      <c r="T27">
        <v>1</v>
      </c>
      <c r="U27">
        <v>3</v>
      </c>
      <c r="V27">
        <v>5</v>
      </c>
      <c r="W27">
        <v>6</v>
      </c>
      <c r="X27">
        <v>7</v>
      </c>
      <c r="Y27">
        <v>8</v>
      </c>
      <c r="Z27">
        <v>9</v>
      </c>
      <c r="AA27">
        <v>10</v>
      </c>
      <c r="AB27">
        <v>11</v>
      </c>
      <c r="AC27">
        <v>12</v>
      </c>
      <c r="AD27" s="50" t="s">
        <v>157</v>
      </c>
    </row>
    <row r="28" spans="1:32" ht="14.15" customHeight="1" x14ac:dyDescent="0.35">
      <c r="A28" s="75">
        <v>27</v>
      </c>
      <c r="B28" s="64">
        <v>2010</v>
      </c>
      <c r="C28" s="64">
        <v>10</v>
      </c>
      <c r="D28" s="80">
        <f t="shared" si="0"/>
        <v>2010</v>
      </c>
      <c r="E28" t="s">
        <v>38</v>
      </c>
      <c r="F28" t="s">
        <v>143</v>
      </c>
      <c r="G28" t="s">
        <v>10</v>
      </c>
      <c r="H28" s="72" t="s">
        <v>203</v>
      </c>
      <c r="I28" s="72" t="s">
        <v>45</v>
      </c>
      <c r="J28" t="str">
        <f t="shared" si="2"/>
        <v>Green - Duwamish River</v>
      </c>
      <c r="K28" t="str">
        <f>IFERROR(VLOOKUP(J28,LUTs!$A$1:$C$73,2,FALSE),"NA")</f>
        <v>King</v>
      </c>
      <c r="L28" t="str">
        <f>IFERROR(VLOOKUP(J28,LUTs!$A$1:$C$73,3,FALSE),"NA")</f>
        <v>3South Puget Sound</v>
      </c>
      <c r="M28" s="72" t="s">
        <v>26</v>
      </c>
      <c r="N28" t="str">
        <f>VLOOKUP(M28,LUTs!E$2:H$14,3,)</f>
        <v>20Other</v>
      </c>
      <c r="O28" t="str">
        <f>VLOOKUP(M28,LUTs!E$2:H$14,4,)</f>
        <v>07Non Puget Sound</v>
      </c>
      <c r="P28" s="73">
        <v>12.577777777777801</v>
      </c>
      <c r="Q28" s="74">
        <f>VLOOKUP(B28,Readme!A$40:C$51,2,)*P28</f>
        <v>108.79777777777798</v>
      </c>
      <c r="S28" s="59" t="s">
        <v>133</v>
      </c>
      <c r="T28" s="53"/>
      <c r="U28" s="53"/>
      <c r="V28" s="53"/>
      <c r="W28" s="53"/>
      <c r="X28" s="53"/>
      <c r="Y28" s="53">
        <v>0</v>
      </c>
      <c r="Z28" s="53">
        <v>25</v>
      </c>
      <c r="AA28" s="53">
        <v>6006.0000000000027</v>
      </c>
      <c r="AB28" s="53">
        <v>2225.0000000000009</v>
      </c>
      <c r="AC28" s="53">
        <v>94</v>
      </c>
      <c r="AD28" s="53">
        <v>8350.0000000000036</v>
      </c>
    </row>
    <row r="29" spans="1:32" ht="14.15" customHeight="1" x14ac:dyDescent="0.35">
      <c r="A29" s="75">
        <v>28</v>
      </c>
      <c r="B29" s="64">
        <v>2010</v>
      </c>
      <c r="C29" s="64">
        <v>10</v>
      </c>
      <c r="D29" s="80">
        <f t="shared" si="0"/>
        <v>2010</v>
      </c>
      <c r="E29" t="s">
        <v>38</v>
      </c>
      <c r="F29" t="s">
        <v>143</v>
      </c>
      <c r="G29" t="s">
        <v>10</v>
      </c>
      <c r="H29" s="72" t="s">
        <v>203</v>
      </c>
      <c r="I29" s="72" t="s">
        <v>45</v>
      </c>
      <c r="J29" t="str">
        <f t="shared" si="2"/>
        <v>Green - Duwamish River</v>
      </c>
      <c r="K29" t="str">
        <f>IFERROR(VLOOKUP(J29,LUTs!$A$1:$C$73,2,FALSE),"NA")</f>
        <v>King</v>
      </c>
      <c r="L29" t="str">
        <f>IFERROR(VLOOKUP(J29,LUTs!$A$1:$C$73,3,FALSE),"NA")</f>
        <v>3South Puget Sound</v>
      </c>
      <c r="M29" s="72" t="s">
        <v>20</v>
      </c>
      <c r="N29" t="str">
        <f>VLOOKUP(M29,LUTs!E$2:H$14,3,)</f>
        <v>07Pierce</v>
      </c>
      <c r="O29" t="str">
        <f>VLOOKUP(M29,LUTs!E$2:H$14,4,)</f>
        <v>02South Puget Sound</v>
      </c>
      <c r="P29" s="73">
        <v>25.155555555555601</v>
      </c>
      <c r="Q29" s="74">
        <f>VLOOKUP(B29,Readme!A$40:C$51,2,)*P29</f>
        <v>217.59555555555596</v>
      </c>
      <c r="S29" s="59" t="s">
        <v>135</v>
      </c>
      <c r="T29" s="53"/>
      <c r="U29" s="53">
        <v>0</v>
      </c>
      <c r="V29" s="53">
        <v>192</v>
      </c>
      <c r="W29" s="53">
        <v>1110.0000000000002</v>
      </c>
      <c r="X29" s="53">
        <v>43278</v>
      </c>
      <c r="Y29" s="53">
        <v>37815.999999999993</v>
      </c>
      <c r="Z29" s="53">
        <v>62230.999999999985</v>
      </c>
      <c r="AA29" s="53">
        <v>36014.000000000007</v>
      </c>
      <c r="AB29" s="53">
        <v>17882.000000000004</v>
      </c>
      <c r="AC29" s="53">
        <v>1090.0000000000002</v>
      </c>
      <c r="AD29" s="53">
        <v>199613</v>
      </c>
    </row>
    <row r="30" spans="1:32" ht="14.15" customHeight="1" x14ac:dyDescent="0.35">
      <c r="A30" s="75">
        <v>29</v>
      </c>
      <c r="B30" s="64">
        <v>2010</v>
      </c>
      <c r="C30" s="64">
        <v>10</v>
      </c>
      <c r="D30" s="80">
        <f t="shared" si="0"/>
        <v>2010</v>
      </c>
      <c r="E30" t="s">
        <v>38</v>
      </c>
      <c r="F30" t="s">
        <v>143</v>
      </c>
      <c r="G30" t="s">
        <v>10</v>
      </c>
      <c r="H30" s="72" t="s">
        <v>203</v>
      </c>
      <c r="I30" s="72" t="s">
        <v>45</v>
      </c>
      <c r="J30" t="str">
        <f t="shared" si="2"/>
        <v>Green - Duwamish River</v>
      </c>
      <c r="K30" t="str">
        <f>IFERROR(VLOOKUP(J30,LUTs!$A$1:$C$73,2,FALSE),"NA")</f>
        <v>King</v>
      </c>
      <c r="L30" t="str">
        <f>IFERROR(VLOOKUP(J30,LUTs!$A$1:$C$73,3,FALSE),"NA")</f>
        <v>3South Puget Sound</v>
      </c>
      <c r="M30" s="72" t="s">
        <v>16</v>
      </c>
      <c r="N30" t="str">
        <f>VLOOKUP(M30,LUTs!E$2:H$14,3,)</f>
        <v>03Snohomish</v>
      </c>
      <c r="O30" t="str">
        <f>VLOOKUP(M30,LUTs!E$2:H$14,4,)</f>
        <v>01North Puget Sound</v>
      </c>
      <c r="P30" s="73">
        <v>12.577777777777801</v>
      </c>
      <c r="Q30" s="74">
        <f>VLOOKUP(B30,Readme!A$40:C$51,2,)*P30</f>
        <v>108.79777777777798</v>
      </c>
      <c r="S30" s="59" t="s">
        <v>137</v>
      </c>
      <c r="T30" s="53">
        <v>0</v>
      </c>
      <c r="U30" s="53"/>
      <c r="V30" s="53">
        <v>120</v>
      </c>
      <c r="W30" s="53">
        <v>3639</v>
      </c>
      <c r="X30" s="53">
        <v>12018</v>
      </c>
      <c r="Y30" s="53">
        <v>129992.0000000001</v>
      </c>
      <c r="Z30" s="53">
        <v>288986.00000000041</v>
      </c>
      <c r="AA30" s="53">
        <v>69569.999999999985</v>
      </c>
      <c r="AB30" s="53">
        <v>7683</v>
      </c>
      <c r="AC30" s="53">
        <v>878.00000000000034</v>
      </c>
      <c r="AD30" s="53">
        <v>512886.00000000052</v>
      </c>
    </row>
    <row r="31" spans="1:32" ht="14.15" customHeight="1" x14ac:dyDescent="0.35">
      <c r="A31" s="75">
        <v>30</v>
      </c>
      <c r="B31" s="64">
        <v>2010</v>
      </c>
      <c r="C31" s="64">
        <v>10</v>
      </c>
      <c r="D31" s="80">
        <f t="shared" si="0"/>
        <v>2010</v>
      </c>
      <c r="E31" t="s">
        <v>38</v>
      </c>
      <c r="F31" t="s">
        <v>143</v>
      </c>
      <c r="G31" t="s">
        <v>10</v>
      </c>
      <c r="H31" s="72" t="s">
        <v>203</v>
      </c>
      <c r="I31" s="72" t="s">
        <v>45</v>
      </c>
      <c r="J31" t="str">
        <f t="shared" si="2"/>
        <v>Green - Duwamish River</v>
      </c>
      <c r="K31" t="str">
        <f>IFERROR(VLOOKUP(J31,LUTs!$A$1:$C$73,2,FALSE),"NA")</f>
        <v>King</v>
      </c>
      <c r="L31" t="str">
        <f>IFERROR(VLOOKUP(J31,LUTs!$A$1:$C$73,3,FALSE),"NA")</f>
        <v>3South Puget Sound</v>
      </c>
      <c r="M31" s="72" t="s">
        <v>21</v>
      </c>
      <c r="N31" t="str">
        <f>VLOOKUP(M31,LUTs!E$2:H$14,3,)</f>
        <v>08Thurston</v>
      </c>
      <c r="O31" t="str">
        <f>VLOOKUP(M31,LUTs!E$2:H$14,4,)</f>
        <v>02South Puget Sound</v>
      </c>
      <c r="P31" s="73">
        <v>6.2888888888888896</v>
      </c>
      <c r="Q31" s="74">
        <f>VLOOKUP(B31,Readme!A$40:C$51,2,)*P31</f>
        <v>54.398888888888898</v>
      </c>
      <c r="S31" s="59" t="s">
        <v>139</v>
      </c>
      <c r="T31" s="53">
        <v>663.00000000000045</v>
      </c>
      <c r="U31" s="53">
        <v>10</v>
      </c>
      <c r="V31" s="53"/>
      <c r="W31" s="53">
        <v>9</v>
      </c>
      <c r="X31" s="53">
        <v>1467.0000000000011</v>
      </c>
      <c r="Y31" s="53">
        <v>298067.99999999988</v>
      </c>
      <c r="Z31" s="53">
        <v>357694</v>
      </c>
      <c r="AA31" s="53">
        <v>69255.999999999956</v>
      </c>
      <c r="AB31" s="53">
        <v>49535.000000000029</v>
      </c>
      <c r="AC31" s="53">
        <v>19269.000000000015</v>
      </c>
      <c r="AD31" s="53">
        <v>795970.99999999988</v>
      </c>
    </row>
    <row r="32" spans="1:32" ht="14.15" customHeight="1" x14ac:dyDescent="0.35">
      <c r="A32" s="75">
        <v>31</v>
      </c>
      <c r="B32" s="64">
        <v>2010</v>
      </c>
      <c r="C32" s="64">
        <v>10</v>
      </c>
      <c r="D32" s="80">
        <f t="shared" si="0"/>
        <v>2010</v>
      </c>
      <c r="E32" t="s">
        <v>38</v>
      </c>
      <c r="F32" t="s">
        <v>143</v>
      </c>
      <c r="G32" t="s">
        <v>10</v>
      </c>
      <c r="H32" s="72" t="s">
        <v>203</v>
      </c>
      <c r="I32" s="72" t="s">
        <v>45</v>
      </c>
      <c r="J32" t="str">
        <f t="shared" si="2"/>
        <v>Green - Duwamish River</v>
      </c>
      <c r="K32" t="str">
        <f>IFERROR(VLOOKUP(J32,LUTs!$A$1:$C$73,2,FALSE),"NA")</f>
        <v>King</v>
      </c>
      <c r="L32" t="str">
        <f>IFERROR(VLOOKUP(J32,LUTs!$A$1:$C$73,3,FALSE),"NA")</f>
        <v>3South Puget Sound</v>
      </c>
      <c r="M32" s="72" t="s">
        <v>13</v>
      </c>
      <c r="N32" t="str">
        <f>VLOOKUP(M32,LUTs!E$2:H$14,3,)</f>
        <v>01Whatcom</v>
      </c>
      <c r="O32" t="str">
        <f>VLOOKUP(M32,LUTs!E$2:H$14,4,)</f>
        <v>01North Puget Sound</v>
      </c>
      <c r="P32" s="73">
        <v>25.155555555555601</v>
      </c>
      <c r="Q32" s="74">
        <f>VLOOKUP(B32,Readme!A$40:C$51,2,)*P32</f>
        <v>217.59555555555596</v>
      </c>
      <c r="S32" s="59" t="s">
        <v>141</v>
      </c>
      <c r="T32" s="53"/>
      <c r="U32" s="53">
        <v>6</v>
      </c>
      <c r="V32" s="53"/>
      <c r="W32" s="53"/>
      <c r="X32" s="53">
        <v>1344.0000000000002</v>
      </c>
      <c r="Y32" s="53">
        <v>34050.999999999978</v>
      </c>
      <c r="Z32" s="53">
        <v>24428.999999999996</v>
      </c>
      <c r="AA32" s="53">
        <v>10813.000000000005</v>
      </c>
      <c r="AB32" s="53">
        <v>8845.0000000000036</v>
      </c>
      <c r="AC32" s="53">
        <v>331.00000000000006</v>
      </c>
      <c r="AD32" s="53">
        <v>79818.999999999971</v>
      </c>
    </row>
    <row r="33" spans="1:30" ht="14.15" customHeight="1" x14ac:dyDescent="0.35">
      <c r="A33" s="75">
        <v>32</v>
      </c>
      <c r="B33" s="64">
        <v>2010</v>
      </c>
      <c r="C33" s="64">
        <v>11</v>
      </c>
      <c r="D33" s="80">
        <f t="shared" si="0"/>
        <v>2010</v>
      </c>
      <c r="E33" t="s">
        <v>38</v>
      </c>
      <c r="F33" t="s">
        <v>143</v>
      </c>
      <c r="G33" t="s">
        <v>10</v>
      </c>
      <c r="H33" s="72" t="s">
        <v>203</v>
      </c>
      <c r="I33" s="72" t="s">
        <v>45</v>
      </c>
      <c r="J33" t="str">
        <f t="shared" si="2"/>
        <v>Green - Duwamish River</v>
      </c>
      <c r="K33" t="str">
        <f>IFERROR(VLOOKUP(J33,LUTs!$A$1:$C$73,2,FALSE),"NA")</f>
        <v>King</v>
      </c>
      <c r="L33" t="str">
        <f>IFERROR(VLOOKUP(J33,LUTs!$A$1:$C$73,3,FALSE),"NA")</f>
        <v>3South Puget Sound</v>
      </c>
      <c r="M33" s="72" t="s">
        <v>18</v>
      </c>
      <c r="N33" t="str">
        <f>VLOOKUP(M33,LUTs!E$2:H$14,3,)</f>
        <v>06King</v>
      </c>
      <c r="O33" t="str">
        <f>VLOOKUP(M33,LUTs!E$2:H$14,4,)</f>
        <v>02South Puget Sound</v>
      </c>
      <c r="P33" s="73">
        <v>280.08620689655203</v>
      </c>
      <c r="Q33" s="74">
        <f>VLOOKUP(B33,Readme!A$40:C$51,2,)*P33</f>
        <v>2422.7456896551753</v>
      </c>
      <c r="S33" s="59" t="s">
        <v>157</v>
      </c>
      <c r="T33" s="53">
        <v>663.00000000000045</v>
      </c>
      <c r="U33" s="53">
        <v>16</v>
      </c>
      <c r="V33" s="53">
        <v>312</v>
      </c>
      <c r="W33" s="53">
        <v>4758</v>
      </c>
      <c r="X33" s="53">
        <v>58107</v>
      </c>
      <c r="Y33" s="53">
        <v>499927</v>
      </c>
      <c r="Z33" s="53">
        <v>733365.00000000047</v>
      </c>
      <c r="AA33" s="53">
        <v>191658.99999999994</v>
      </c>
      <c r="AB33" s="53">
        <v>86170.000000000029</v>
      </c>
      <c r="AC33" s="53">
        <v>21662.000000000015</v>
      </c>
      <c r="AD33" s="53">
        <v>1596639.0000000005</v>
      </c>
    </row>
    <row r="34" spans="1:30" ht="14.15" customHeight="1" x14ac:dyDescent="0.35">
      <c r="A34" s="75">
        <v>33</v>
      </c>
      <c r="B34" s="64">
        <v>2010</v>
      </c>
      <c r="C34" s="64">
        <v>11</v>
      </c>
      <c r="D34" s="80">
        <f t="shared" si="0"/>
        <v>2010</v>
      </c>
      <c r="E34" t="s">
        <v>38</v>
      </c>
      <c r="F34" t="s">
        <v>143</v>
      </c>
      <c r="G34" t="s">
        <v>10</v>
      </c>
      <c r="H34" s="72" t="s">
        <v>203</v>
      </c>
      <c r="I34" s="72" t="s">
        <v>45</v>
      </c>
      <c r="J34" t="str">
        <f t="shared" si="2"/>
        <v>Green - Duwamish River</v>
      </c>
      <c r="K34" t="str">
        <f>IFERROR(VLOOKUP(J34,LUTs!$A$1:$C$73,2,FALSE),"NA")</f>
        <v>King</v>
      </c>
      <c r="L34" t="str">
        <f>IFERROR(VLOOKUP(J34,LUTs!$A$1:$C$73,3,FALSE),"NA")</f>
        <v>3South Puget Sound</v>
      </c>
      <c r="M34" s="72" t="s">
        <v>20</v>
      </c>
      <c r="N34" t="str">
        <f>VLOOKUP(M34,LUTs!E$2:H$14,3,)</f>
        <v>07Pierce</v>
      </c>
      <c r="O34" t="str">
        <f>VLOOKUP(M34,LUTs!E$2:H$14,4,)</f>
        <v>02South Puget Sound</v>
      </c>
      <c r="P34" s="73">
        <v>49.7931034482759</v>
      </c>
      <c r="Q34" s="74">
        <f>VLOOKUP(B34,Readme!A$40:C$51,2,)*P34</f>
        <v>430.71034482758654</v>
      </c>
    </row>
    <row r="35" spans="1:30" ht="14.15" customHeight="1" x14ac:dyDescent="0.35">
      <c r="A35" s="75">
        <v>34</v>
      </c>
      <c r="B35" s="64">
        <v>2010</v>
      </c>
      <c r="C35" s="64">
        <v>11</v>
      </c>
      <c r="D35" s="80">
        <f t="shared" si="0"/>
        <v>2010</v>
      </c>
      <c r="E35" t="s">
        <v>38</v>
      </c>
      <c r="F35" t="s">
        <v>143</v>
      </c>
      <c r="G35" t="s">
        <v>10</v>
      </c>
      <c r="H35" s="72" t="s">
        <v>203</v>
      </c>
      <c r="I35" s="72" t="s">
        <v>45</v>
      </c>
      <c r="J35" t="str">
        <f t="shared" si="2"/>
        <v>Green - Duwamish River</v>
      </c>
      <c r="K35" t="str">
        <f>IFERROR(VLOOKUP(J35,LUTs!$A$1:$C$73,2,FALSE),"NA")</f>
        <v>King</v>
      </c>
      <c r="L35" t="str">
        <f>IFERROR(VLOOKUP(J35,LUTs!$A$1:$C$73,3,FALSE),"NA")</f>
        <v>3South Puget Sound</v>
      </c>
      <c r="M35" s="72" t="s">
        <v>16</v>
      </c>
      <c r="N35" t="str">
        <f>VLOOKUP(M35,LUTs!E$2:H$14,3,)</f>
        <v>03Snohomish</v>
      </c>
      <c r="O35" t="str">
        <f>VLOOKUP(M35,LUTs!E$2:H$14,4,)</f>
        <v>01North Puget Sound</v>
      </c>
      <c r="P35" s="73">
        <v>24.8965517241379</v>
      </c>
      <c r="Q35" s="74">
        <f>VLOOKUP(B35,Readme!A$40:C$51,2,)*P35</f>
        <v>215.35517241379284</v>
      </c>
      <c r="S35" s="15" t="s">
        <v>280</v>
      </c>
    </row>
    <row r="36" spans="1:30" ht="14.15" customHeight="1" x14ac:dyDescent="0.35">
      <c r="A36" s="75">
        <v>35</v>
      </c>
      <c r="B36" s="64">
        <v>2010</v>
      </c>
      <c r="C36" s="64">
        <v>11</v>
      </c>
      <c r="D36" s="80">
        <f t="shared" si="0"/>
        <v>2010</v>
      </c>
      <c r="E36" t="s">
        <v>38</v>
      </c>
      <c r="F36" t="s">
        <v>143</v>
      </c>
      <c r="G36" t="s">
        <v>10</v>
      </c>
      <c r="H36" s="72" t="s">
        <v>203</v>
      </c>
      <c r="I36" s="72" t="s">
        <v>45</v>
      </c>
      <c r="J36" t="str">
        <f t="shared" si="2"/>
        <v>Green - Duwamish River</v>
      </c>
      <c r="K36" t="str">
        <f>IFERROR(VLOOKUP(J36,LUTs!$A$1:$C$73,2,FALSE),"NA")</f>
        <v>King</v>
      </c>
      <c r="L36" t="str">
        <f>IFERROR(VLOOKUP(J36,LUTs!$A$1:$C$73,3,FALSE),"NA")</f>
        <v>3South Puget Sound</v>
      </c>
      <c r="M36" s="72" t="s">
        <v>13</v>
      </c>
      <c r="N36" t="str">
        <f>VLOOKUP(M36,LUTs!E$2:H$14,3,)</f>
        <v>01Whatcom</v>
      </c>
      <c r="O36" t="str">
        <f>VLOOKUP(M36,LUTs!E$2:H$14,4,)</f>
        <v>01North Puget Sound</v>
      </c>
      <c r="P36" s="73">
        <v>6.2241379310344902</v>
      </c>
      <c r="Q36" s="74">
        <f>VLOOKUP(B36,Readme!A$40:C$51,2,)*P36</f>
        <v>53.838793103448346</v>
      </c>
      <c r="S36" s="45" t="s">
        <v>0</v>
      </c>
      <c r="T36" t="s">
        <v>175</v>
      </c>
    </row>
    <row r="37" spans="1:30" ht="14.15" customHeight="1" x14ac:dyDescent="0.35">
      <c r="A37" s="75">
        <v>36</v>
      </c>
      <c r="B37" s="64">
        <v>2010</v>
      </c>
      <c r="C37" s="64">
        <v>12</v>
      </c>
      <c r="D37" s="80">
        <f t="shared" si="0"/>
        <v>2010</v>
      </c>
      <c r="E37" t="s">
        <v>38</v>
      </c>
      <c r="F37" t="s">
        <v>143</v>
      </c>
      <c r="G37" t="s">
        <v>10</v>
      </c>
      <c r="H37" s="72" t="s">
        <v>203</v>
      </c>
      <c r="I37" s="72" t="s">
        <v>45</v>
      </c>
      <c r="J37" t="str">
        <f t="shared" si="2"/>
        <v>Green - Duwamish River</v>
      </c>
      <c r="K37" t="str">
        <f>IFERROR(VLOOKUP(J37,LUTs!$A$1:$C$73,2,FALSE),"NA")</f>
        <v>King</v>
      </c>
      <c r="L37" t="str">
        <f>IFERROR(VLOOKUP(J37,LUTs!$A$1:$C$73,3,FALSE),"NA")</f>
        <v>3South Puget Sound</v>
      </c>
      <c r="M37" s="72" t="s">
        <v>18</v>
      </c>
      <c r="N37" t="str">
        <f>VLOOKUP(M37,LUTs!E$2:H$14,3,)</f>
        <v>06King</v>
      </c>
      <c r="O37" t="str">
        <f>VLOOKUP(M37,LUTs!E$2:H$14,4,)</f>
        <v>02South Puget Sound</v>
      </c>
      <c r="P37" s="73">
        <v>44</v>
      </c>
      <c r="Q37" s="74">
        <f>VLOOKUP(B37,Readme!A$40:C$51,2,)*P37</f>
        <v>380.6</v>
      </c>
      <c r="S37" s="15"/>
      <c r="T37"/>
      <c r="U37"/>
    </row>
    <row r="38" spans="1:30" ht="14.15" customHeight="1" x14ac:dyDescent="0.35">
      <c r="A38" s="75">
        <v>37</v>
      </c>
      <c r="B38" s="64">
        <v>2010</v>
      </c>
      <c r="C38" s="64">
        <v>11</v>
      </c>
      <c r="D38" s="80">
        <f t="shared" si="0"/>
        <v>2010</v>
      </c>
      <c r="E38" t="s">
        <v>38</v>
      </c>
      <c r="F38" t="s">
        <v>143</v>
      </c>
      <c r="G38" t="s">
        <v>10</v>
      </c>
      <c r="H38" s="72" t="s">
        <v>204</v>
      </c>
      <c r="I38" s="72" t="s">
        <v>46</v>
      </c>
      <c r="J38" t="str">
        <f t="shared" si="2"/>
        <v>Hoko River</v>
      </c>
      <c r="K38" t="str">
        <f>IFERROR(VLOOKUP(J38,LUTs!$A$1:$C$73,2,FALSE),"NA")</f>
        <v>Clallam</v>
      </c>
      <c r="L38" t="str">
        <f>IFERROR(VLOOKUP(J38,LUTs!$A$1:$C$73,3,FALSE),"NA")</f>
        <v>0Strait of Juan de Fuca</v>
      </c>
      <c r="M38" s="72" t="s">
        <v>24</v>
      </c>
      <c r="N38" t="str">
        <f>VLOOKUP(M38,LUTs!E$2:H$14,3,)</f>
        <v>11Clallam</v>
      </c>
      <c r="O38" t="str">
        <f>VLOOKUP(M38,LUTs!E$2:H$14,4,)</f>
        <v>03Strait of Juan de Fuca</v>
      </c>
      <c r="P38" s="73">
        <v>2</v>
      </c>
      <c r="Q38" s="74">
        <f>VLOOKUP(B38,Readme!A$40:C$51,2,)*P38</f>
        <v>17.3</v>
      </c>
      <c r="S38" s="45" t="s">
        <v>169</v>
      </c>
      <c r="T38" s="45" t="s">
        <v>275</v>
      </c>
      <c r="U38"/>
      <c r="V38"/>
      <c r="W38"/>
      <c r="X38"/>
      <c r="Y38"/>
      <c r="Z38"/>
      <c r="AA38"/>
      <c r="AB38"/>
      <c r="AC38"/>
      <c r="AD38"/>
    </row>
    <row r="39" spans="1:30" ht="14.15" customHeight="1" x14ac:dyDescent="0.35">
      <c r="A39" s="75">
        <v>38</v>
      </c>
      <c r="B39" s="64">
        <v>2010</v>
      </c>
      <c r="C39" s="64">
        <v>10</v>
      </c>
      <c r="D39" s="80">
        <f t="shared" si="0"/>
        <v>2010</v>
      </c>
      <c r="E39" t="s">
        <v>38</v>
      </c>
      <c r="F39" t="s">
        <v>143</v>
      </c>
      <c r="G39" t="s">
        <v>10</v>
      </c>
      <c r="H39" s="72" t="s">
        <v>205</v>
      </c>
      <c r="I39" s="72" t="s">
        <v>47</v>
      </c>
      <c r="J39" t="str">
        <f t="shared" si="2"/>
        <v>Kennedy Creek</v>
      </c>
      <c r="K39" t="str">
        <f>IFERROR(VLOOKUP(J39,LUTs!$A$1:$C$73,2,FALSE),"NA")</f>
        <v>Mason/Thurston</v>
      </c>
      <c r="L39" t="str">
        <f>IFERROR(VLOOKUP(J39,LUTs!$A$1:$C$73,3,FALSE),"NA")</f>
        <v>3South Puget Sound</v>
      </c>
      <c r="M39" s="72" t="s">
        <v>22</v>
      </c>
      <c r="N39" t="str">
        <f>VLOOKUP(M39,LUTs!E$2:H$14,3,)</f>
        <v>09Mason</v>
      </c>
      <c r="O39" t="str">
        <f>VLOOKUP(M39,LUTs!E$2:H$14,4,)</f>
        <v>02South Puget Sound</v>
      </c>
      <c r="P39" s="73">
        <v>25.161290322580701</v>
      </c>
      <c r="Q39" s="74">
        <f>VLOOKUP(B39,Readme!A$40:C$51,2,)*P39</f>
        <v>217.64516129032307</v>
      </c>
      <c r="S39" s="45" t="s">
        <v>274</v>
      </c>
      <c r="T39">
        <v>1</v>
      </c>
      <c r="U39">
        <v>3</v>
      </c>
      <c r="V39">
        <v>5</v>
      </c>
      <c r="W39">
        <v>6</v>
      </c>
      <c r="X39">
        <v>7</v>
      </c>
      <c r="Y39">
        <v>8</v>
      </c>
      <c r="Z39">
        <v>9</v>
      </c>
      <c r="AA39">
        <v>10</v>
      </c>
      <c r="AB39">
        <v>11</v>
      </c>
      <c r="AC39">
        <v>12</v>
      </c>
      <c r="AD39" s="50" t="s">
        <v>157</v>
      </c>
    </row>
    <row r="40" spans="1:30" ht="14.15" customHeight="1" x14ac:dyDescent="0.35">
      <c r="A40" s="75">
        <v>39</v>
      </c>
      <c r="B40" s="64">
        <v>2010</v>
      </c>
      <c r="C40" s="64">
        <v>10</v>
      </c>
      <c r="D40" s="80">
        <f t="shared" si="0"/>
        <v>2010</v>
      </c>
      <c r="E40" t="s">
        <v>38</v>
      </c>
      <c r="F40" t="s">
        <v>143</v>
      </c>
      <c r="G40" t="s">
        <v>10</v>
      </c>
      <c r="H40" s="72" t="s">
        <v>205</v>
      </c>
      <c r="I40" s="72" t="s">
        <v>47</v>
      </c>
      <c r="J40" t="str">
        <f t="shared" si="2"/>
        <v>Kennedy Creek</v>
      </c>
      <c r="K40" t="str">
        <f>IFERROR(VLOOKUP(J40,LUTs!$A$1:$C$73,2,FALSE),"NA")</f>
        <v>Mason/Thurston</v>
      </c>
      <c r="L40" t="str">
        <f>IFERROR(VLOOKUP(J40,LUTs!$A$1:$C$73,3,FALSE),"NA")</f>
        <v>3South Puget Sound</v>
      </c>
      <c r="M40" s="72" t="s">
        <v>26</v>
      </c>
      <c r="N40" t="str">
        <f>VLOOKUP(M40,LUTs!E$2:H$14,3,)</f>
        <v>20Other</v>
      </c>
      <c r="O40" t="str">
        <f>VLOOKUP(M40,LUTs!E$2:H$14,4,)</f>
        <v>07Non Puget Sound</v>
      </c>
      <c r="P40" s="73">
        <v>18.870967741935502</v>
      </c>
      <c r="Q40" s="74">
        <f>VLOOKUP(B40,Readme!A$40:C$51,2,)*P40</f>
        <v>163.23387096774209</v>
      </c>
      <c r="S40" s="59" t="s">
        <v>133</v>
      </c>
      <c r="T40" s="12">
        <v>0</v>
      </c>
      <c r="U40" s="12">
        <v>0</v>
      </c>
      <c r="V40" s="12">
        <v>0</v>
      </c>
      <c r="W40" s="12">
        <v>0</v>
      </c>
      <c r="X40" s="12">
        <v>0</v>
      </c>
      <c r="Y40" s="12">
        <v>0</v>
      </c>
      <c r="Z40" s="12">
        <v>2.9940119760479031E-3</v>
      </c>
      <c r="AA40" s="12">
        <v>0.71928143712574855</v>
      </c>
      <c r="AB40" s="12">
        <v>0.26646706586826346</v>
      </c>
      <c r="AC40" s="12">
        <v>1.1257485029940114E-2</v>
      </c>
      <c r="AD40" s="12">
        <v>1</v>
      </c>
    </row>
    <row r="41" spans="1:30" ht="14.15" customHeight="1" x14ac:dyDescent="0.35">
      <c r="A41" s="75">
        <v>40</v>
      </c>
      <c r="B41" s="64">
        <v>2010</v>
      </c>
      <c r="C41" s="64">
        <v>10</v>
      </c>
      <c r="D41" s="80">
        <f t="shared" si="0"/>
        <v>2010</v>
      </c>
      <c r="E41" t="s">
        <v>38</v>
      </c>
      <c r="F41" t="s">
        <v>143</v>
      </c>
      <c r="G41" t="s">
        <v>10</v>
      </c>
      <c r="H41" s="72" t="s">
        <v>205</v>
      </c>
      <c r="I41" s="72" t="s">
        <v>47</v>
      </c>
      <c r="J41" t="str">
        <f t="shared" si="2"/>
        <v>Kennedy Creek</v>
      </c>
      <c r="K41" t="str">
        <f>IFERROR(VLOOKUP(J41,LUTs!$A$1:$C$73,2,FALSE),"NA")</f>
        <v>Mason/Thurston</v>
      </c>
      <c r="L41" t="str">
        <f>IFERROR(VLOOKUP(J41,LUTs!$A$1:$C$73,3,FALSE),"NA")</f>
        <v>3South Puget Sound</v>
      </c>
      <c r="M41" s="72" t="s">
        <v>20</v>
      </c>
      <c r="N41" t="str">
        <f>VLOOKUP(M41,LUTs!E$2:H$14,3,)</f>
        <v>07Pierce</v>
      </c>
      <c r="O41" t="str">
        <f>VLOOKUP(M41,LUTs!E$2:H$14,4,)</f>
        <v>02South Puget Sound</v>
      </c>
      <c r="P41" s="73">
        <v>31.451612903225801</v>
      </c>
      <c r="Q41" s="74">
        <f>VLOOKUP(B41,Readme!A$40:C$51,2,)*P41</f>
        <v>272.05645161290317</v>
      </c>
      <c r="S41" s="59" t="s">
        <v>135</v>
      </c>
      <c r="T41" s="12">
        <v>0</v>
      </c>
      <c r="U41" s="12">
        <v>0</v>
      </c>
      <c r="V41" s="12">
        <v>9.6186120142475692E-4</v>
      </c>
      <c r="W41" s="12">
        <v>5.560760070736877E-3</v>
      </c>
      <c r="X41" s="12">
        <v>0.21680952643364912</v>
      </c>
      <c r="Y41" s="12">
        <v>0.18944657913061771</v>
      </c>
      <c r="Z41" s="12">
        <v>0.31175825221804182</v>
      </c>
      <c r="AA41" s="12">
        <v>0.18041911097974583</v>
      </c>
      <c r="AB41" s="12">
        <v>8.9583343770195348E-2</v>
      </c>
      <c r="AC41" s="12">
        <v>5.4605661955884647E-3</v>
      </c>
      <c r="AD41" s="12">
        <v>1</v>
      </c>
    </row>
    <row r="42" spans="1:30" ht="14.15" customHeight="1" x14ac:dyDescent="0.35">
      <c r="A42" s="75">
        <v>41</v>
      </c>
      <c r="B42" s="64">
        <v>2010</v>
      </c>
      <c r="C42" s="64">
        <v>10</v>
      </c>
      <c r="D42" s="80">
        <f t="shared" si="0"/>
        <v>2010</v>
      </c>
      <c r="E42" t="s">
        <v>38</v>
      </c>
      <c r="F42" t="s">
        <v>143</v>
      </c>
      <c r="G42" t="s">
        <v>10</v>
      </c>
      <c r="H42" s="72" t="s">
        <v>205</v>
      </c>
      <c r="I42" s="72" t="s">
        <v>47</v>
      </c>
      <c r="J42" t="str">
        <f t="shared" si="2"/>
        <v>Kennedy Creek</v>
      </c>
      <c r="K42" t="str">
        <f>IFERROR(VLOOKUP(J42,LUTs!$A$1:$C$73,2,FALSE),"NA")</f>
        <v>Mason/Thurston</v>
      </c>
      <c r="L42" t="str">
        <f>IFERROR(VLOOKUP(J42,LUTs!$A$1:$C$73,3,FALSE),"NA")</f>
        <v>3South Puget Sound</v>
      </c>
      <c r="M42" s="72" t="s">
        <v>21</v>
      </c>
      <c r="N42" t="str">
        <f>VLOOKUP(M42,LUTs!E$2:H$14,3,)</f>
        <v>08Thurston</v>
      </c>
      <c r="O42" t="str">
        <f>VLOOKUP(M42,LUTs!E$2:H$14,4,)</f>
        <v>02South Puget Sound</v>
      </c>
      <c r="P42" s="73">
        <v>119.51612903225799</v>
      </c>
      <c r="Q42" s="74">
        <f>VLOOKUP(B42,Readme!A$40:C$51,2,)*P42</f>
        <v>1033.8145161290317</v>
      </c>
      <c r="S42" s="59" t="s">
        <v>137</v>
      </c>
      <c r="T42" s="12">
        <v>0</v>
      </c>
      <c r="U42" s="12">
        <v>0</v>
      </c>
      <c r="V42" s="12">
        <v>2.339701220154184E-4</v>
      </c>
      <c r="W42" s="12">
        <v>7.0951439501175627E-3</v>
      </c>
      <c r="X42" s="12">
        <v>2.3432107719844154E-2</v>
      </c>
      <c r="Y42" s="12">
        <v>0.25345203417523576</v>
      </c>
      <c r="Z42" s="12">
        <v>0.56345074733956491</v>
      </c>
      <c r="AA42" s="12">
        <v>0.13564417823843877</v>
      </c>
      <c r="AB42" s="12">
        <v>1.4979937062037162E-2</v>
      </c>
      <c r="AC42" s="12">
        <v>1.7118813927461452E-3</v>
      </c>
      <c r="AD42" s="12">
        <v>1</v>
      </c>
    </row>
    <row r="43" spans="1:30" ht="14.15" customHeight="1" x14ac:dyDescent="0.35">
      <c r="A43" s="75">
        <v>42</v>
      </c>
      <c r="B43" s="64">
        <v>2010</v>
      </c>
      <c r="C43" s="64">
        <v>11</v>
      </c>
      <c r="D43" s="80">
        <f t="shared" si="0"/>
        <v>2010</v>
      </c>
      <c r="E43" t="s">
        <v>38</v>
      </c>
      <c r="F43" t="s">
        <v>143</v>
      </c>
      <c r="G43" t="s">
        <v>10</v>
      </c>
      <c r="H43" s="72" t="s">
        <v>205</v>
      </c>
      <c r="I43" s="72" t="s">
        <v>47</v>
      </c>
      <c r="J43" t="str">
        <f t="shared" si="2"/>
        <v>Kennedy Creek</v>
      </c>
      <c r="K43" t="str">
        <f>IFERROR(VLOOKUP(J43,LUTs!$A$1:$C$73,2,FALSE),"NA")</f>
        <v>Mason/Thurston</v>
      </c>
      <c r="L43" t="str">
        <f>IFERROR(VLOOKUP(J43,LUTs!$A$1:$C$73,3,FALSE),"NA")</f>
        <v>3South Puget Sound</v>
      </c>
      <c r="M43" s="72" t="s">
        <v>26</v>
      </c>
      <c r="N43" t="str">
        <f>VLOOKUP(M43,LUTs!E$2:H$14,3,)</f>
        <v>20Other</v>
      </c>
      <c r="O43" t="str">
        <f>VLOOKUP(M43,LUTs!E$2:H$14,4,)</f>
        <v>07Non Puget Sound</v>
      </c>
      <c r="P43" s="73">
        <v>12.533333333333299</v>
      </c>
      <c r="Q43" s="74">
        <f>VLOOKUP(B43,Readme!A$40:C$51,2,)*P43</f>
        <v>108.41333333333304</v>
      </c>
      <c r="S43" s="59" t="s">
        <v>139</v>
      </c>
      <c r="T43" s="12">
        <v>8.3294491884754662E-4</v>
      </c>
      <c r="U43" s="12">
        <v>1.2563271777489384E-5</v>
      </c>
      <c r="V43" s="12">
        <v>0</v>
      </c>
      <c r="W43" s="12">
        <v>1.1306944599740444E-5</v>
      </c>
      <c r="X43" s="12">
        <v>1.8430319697576938E-3</v>
      </c>
      <c r="Y43" s="12">
        <v>0.37447092921727038</v>
      </c>
      <c r="Z43" s="12">
        <v>0.44938069351772875</v>
      </c>
      <c r="AA43" s="12">
        <v>8.7008195022180421E-2</v>
      </c>
      <c r="AB43" s="12">
        <v>6.2232166749793691E-2</v>
      </c>
      <c r="AC43" s="12">
        <v>2.4208168388044311E-2</v>
      </c>
      <c r="AD43" s="12">
        <v>1</v>
      </c>
    </row>
    <row r="44" spans="1:30" ht="14.15" customHeight="1" x14ac:dyDescent="0.35">
      <c r="A44" s="75">
        <v>43</v>
      </c>
      <c r="B44" s="64">
        <v>2010</v>
      </c>
      <c r="C44" s="64">
        <v>11</v>
      </c>
      <c r="D44" s="80">
        <f t="shared" si="0"/>
        <v>2010</v>
      </c>
      <c r="E44" t="s">
        <v>38</v>
      </c>
      <c r="F44" t="s">
        <v>143</v>
      </c>
      <c r="G44" t="s">
        <v>10</v>
      </c>
      <c r="H44" s="72" t="s">
        <v>205</v>
      </c>
      <c r="I44" s="72" t="s">
        <v>47</v>
      </c>
      <c r="J44" t="str">
        <f t="shared" si="2"/>
        <v>Kennedy Creek</v>
      </c>
      <c r="K44" t="str">
        <f>IFERROR(VLOOKUP(J44,LUTs!$A$1:$C$73,2,FALSE),"NA")</f>
        <v>Mason/Thurston</v>
      </c>
      <c r="L44" t="str">
        <f>IFERROR(VLOOKUP(J44,LUTs!$A$1:$C$73,3,FALSE),"NA")</f>
        <v>3South Puget Sound</v>
      </c>
      <c r="M44" s="72" t="s">
        <v>20</v>
      </c>
      <c r="N44" t="str">
        <f>VLOOKUP(M44,LUTs!E$2:H$14,3,)</f>
        <v>07Pierce</v>
      </c>
      <c r="O44" t="str">
        <f>VLOOKUP(M44,LUTs!E$2:H$14,4,)</f>
        <v>02South Puget Sound</v>
      </c>
      <c r="P44" s="73">
        <v>12.533333333333299</v>
      </c>
      <c r="Q44" s="74">
        <f>VLOOKUP(B44,Readme!A$40:C$51,2,)*P44</f>
        <v>108.41333333333304</v>
      </c>
      <c r="S44" s="59" t="s">
        <v>141</v>
      </c>
      <c r="T44" s="12">
        <v>0</v>
      </c>
      <c r="U44" s="12">
        <v>7.5170072288552884E-5</v>
      </c>
      <c r="V44" s="12">
        <v>0</v>
      </c>
      <c r="W44" s="12">
        <v>0</v>
      </c>
      <c r="X44" s="12">
        <v>1.6838096192635849E-2</v>
      </c>
      <c r="Y44" s="12">
        <v>0.42660268858291872</v>
      </c>
      <c r="Z44" s="12">
        <v>0.306054949322843</v>
      </c>
      <c r="AA44" s="12">
        <v>0.13546899860935377</v>
      </c>
      <c r="AB44" s="12">
        <v>0.11081321489870842</v>
      </c>
      <c r="AC44" s="12">
        <v>4.1468823212518343E-3</v>
      </c>
      <c r="AD44" s="12">
        <v>1</v>
      </c>
    </row>
    <row r="45" spans="1:30" ht="14.15" customHeight="1" x14ac:dyDescent="0.35">
      <c r="A45" s="75">
        <v>44</v>
      </c>
      <c r="B45" s="64">
        <v>2010</v>
      </c>
      <c r="C45" s="64">
        <v>11</v>
      </c>
      <c r="D45" s="80">
        <f t="shared" si="0"/>
        <v>2010</v>
      </c>
      <c r="E45" t="s">
        <v>38</v>
      </c>
      <c r="F45" t="s">
        <v>143</v>
      </c>
      <c r="G45" t="s">
        <v>10</v>
      </c>
      <c r="H45" s="72" t="s">
        <v>205</v>
      </c>
      <c r="I45" s="72" t="s">
        <v>47</v>
      </c>
      <c r="J45" t="str">
        <f t="shared" si="2"/>
        <v>Kennedy Creek</v>
      </c>
      <c r="K45" t="str">
        <f>IFERROR(VLOOKUP(J45,LUTs!$A$1:$C$73,2,FALSE),"NA")</f>
        <v>Mason/Thurston</v>
      </c>
      <c r="L45" t="str">
        <f>IFERROR(VLOOKUP(J45,LUTs!$A$1:$C$73,3,FALSE),"NA")</f>
        <v>3South Puget Sound</v>
      </c>
      <c r="M45" s="72" t="s">
        <v>21</v>
      </c>
      <c r="N45" t="str">
        <f>VLOOKUP(M45,LUTs!E$2:H$14,3,)</f>
        <v>08Thurston</v>
      </c>
      <c r="O45" t="str">
        <f>VLOOKUP(M45,LUTs!E$2:H$14,4,)</f>
        <v>02South Puget Sound</v>
      </c>
      <c r="P45" s="73">
        <v>68.933333333333294</v>
      </c>
      <c r="Q45" s="74">
        <f>VLOOKUP(B45,Readme!A$40:C$51,2,)*P45</f>
        <v>596.27333333333297</v>
      </c>
      <c r="S45" s="59" t="s">
        <v>157</v>
      </c>
      <c r="T45" s="12">
        <v>4.1524727881506104E-4</v>
      </c>
      <c r="U45" s="12">
        <v>1.0021050469141739E-5</v>
      </c>
      <c r="V45" s="12">
        <v>1.9541048414826388E-4</v>
      </c>
      <c r="W45" s="12">
        <v>2.9800098832610243E-3</v>
      </c>
      <c r="X45" s="12">
        <v>3.6393323725651183E-2</v>
      </c>
      <c r="Y45" s="12">
        <v>0.31311210611791385</v>
      </c>
      <c r="Z45" s="12">
        <v>0.45931797983138345</v>
      </c>
      <c r="AA45" s="12">
        <v>0.12003903199157724</v>
      </c>
      <c r="AB45" s="12">
        <v>5.3969619932871492E-2</v>
      </c>
      <c r="AC45" s="12">
        <v>1.356724970390928E-2</v>
      </c>
      <c r="AD45" s="12">
        <v>1</v>
      </c>
    </row>
    <row r="46" spans="1:30" ht="14.15" customHeight="1" x14ac:dyDescent="0.35">
      <c r="A46" s="75">
        <v>45</v>
      </c>
      <c r="B46" s="64">
        <v>2010</v>
      </c>
      <c r="C46" s="64">
        <v>10</v>
      </c>
      <c r="D46" s="80">
        <f t="shared" si="0"/>
        <v>2010</v>
      </c>
      <c r="E46" t="s">
        <v>38</v>
      </c>
      <c r="F46" t="s">
        <v>143</v>
      </c>
      <c r="G46" t="s">
        <v>10</v>
      </c>
      <c r="H46" s="72" t="s">
        <v>206</v>
      </c>
      <c r="I46" s="72" t="s">
        <v>48</v>
      </c>
      <c r="J46" t="str">
        <f t="shared" si="2"/>
        <v>Lake Washington</v>
      </c>
      <c r="K46" t="str">
        <f>IFERROR(VLOOKUP(J46,LUTs!$A$1:$C$73,2,FALSE),"NA")</f>
        <v>King</v>
      </c>
      <c r="L46" t="str">
        <f>IFERROR(VLOOKUP(J46,LUTs!$A$1:$C$73,3,FALSE),"NA")</f>
        <v>2Central Puget Sound</v>
      </c>
      <c r="M46" s="72" t="s">
        <v>18</v>
      </c>
      <c r="N46" t="str">
        <f>VLOOKUP(M46,LUTs!E$2:H$14,3,)</f>
        <v>06King</v>
      </c>
      <c r="O46" t="str">
        <f>VLOOKUP(M46,LUTs!E$2:H$14,4,)</f>
        <v>02South Puget Sound</v>
      </c>
      <c r="P46" s="73">
        <v>6</v>
      </c>
      <c r="Q46" s="74">
        <f>VLOOKUP(B46,Readme!A$40:C$51,2,)*P46</f>
        <v>51.900000000000006</v>
      </c>
    </row>
    <row r="47" spans="1:30" ht="14.15" customHeight="1" x14ac:dyDescent="0.35">
      <c r="A47" s="75">
        <v>46</v>
      </c>
      <c r="B47" s="64">
        <v>2010</v>
      </c>
      <c r="C47" s="64">
        <v>8</v>
      </c>
      <c r="D47" s="80">
        <f t="shared" si="0"/>
        <v>2010</v>
      </c>
      <c r="E47" t="s">
        <v>38</v>
      </c>
      <c r="F47" t="s">
        <v>143</v>
      </c>
      <c r="G47" t="s">
        <v>10</v>
      </c>
      <c r="H47" s="72" t="s">
        <v>207</v>
      </c>
      <c r="I47" s="72" t="s">
        <v>49</v>
      </c>
      <c r="J47" t="str">
        <f t="shared" si="2"/>
        <v>Lake Sammamish</v>
      </c>
      <c r="K47" t="str">
        <f>IFERROR(VLOOKUP(J47,LUTs!$A$1:$C$73,2,FALSE),"NA")</f>
        <v>King</v>
      </c>
      <c r="L47" t="str">
        <f>IFERROR(VLOOKUP(J47,LUTs!$A$1:$C$73,3,FALSE),"NA")</f>
        <v>2Central Puget Sound</v>
      </c>
      <c r="M47" s="72" t="s">
        <v>18</v>
      </c>
      <c r="N47" t="str">
        <f>VLOOKUP(M47,LUTs!E$2:H$14,3,)</f>
        <v>06King</v>
      </c>
      <c r="O47" t="str">
        <f>VLOOKUP(M47,LUTs!E$2:H$14,4,)</f>
        <v>02South Puget Sound</v>
      </c>
      <c r="P47" s="73">
        <v>25.8461538461539</v>
      </c>
      <c r="Q47" s="74">
        <f>VLOOKUP(B47,Readme!A$40:C$51,2,)*P47</f>
        <v>223.56923076923124</v>
      </c>
    </row>
    <row r="48" spans="1:30" ht="14.15" customHeight="1" x14ac:dyDescent="0.35">
      <c r="A48" s="75">
        <v>47</v>
      </c>
      <c r="B48" s="64">
        <v>2010</v>
      </c>
      <c r="C48" s="64">
        <v>8</v>
      </c>
      <c r="D48" s="80">
        <f t="shared" si="0"/>
        <v>2010</v>
      </c>
      <c r="E48" t="s">
        <v>38</v>
      </c>
      <c r="F48" t="s">
        <v>143</v>
      </c>
      <c r="G48" t="s">
        <v>10</v>
      </c>
      <c r="H48" s="72" t="s">
        <v>207</v>
      </c>
      <c r="I48" s="72" t="s">
        <v>49</v>
      </c>
      <c r="J48" t="str">
        <f t="shared" si="2"/>
        <v>Lake Sammamish</v>
      </c>
      <c r="K48" t="str">
        <f>IFERROR(VLOOKUP(J48,LUTs!$A$1:$C$73,2,FALSE),"NA")</f>
        <v>King</v>
      </c>
      <c r="L48" t="str">
        <f>IFERROR(VLOOKUP(J48,LUTs!$A$1:$C$73,3,FALSE),"NA")</f>
        <v>2Central Puget Sound</v>
      </c>
      <c r="M48" s="72" t="s">
        <v>26</v>
      </c>
      <c r="N48" t="str">
        <f>VLOOKUP(M48,LUTs!E$2:H$14,3,)</f>
        <v>20Other</v>
      </c>
      <c r="O48" t="str">
        <f>VLOOKUP(M48,LUTs!E$2:H$14,4,)</f>
        <v>07Non Puget Sound</v>
      </c>
      <c r="P48" s="73">
        <v>38.769230769230802</v>
      </c>
      <c r="Q48" s="74">
        <f>VLOOKUP(B48,Readme!A$40:C$51,2,)*P48</f>
        <v>335.35384615384646</v>
      </c>
      <c r="S48" s="15" t="s">
        <v>281</v>
      </c>
    </row>
    <row r="49" spans="1:30" ht="14.15" customHeight="1" x14ac:dyDescent="0.35">
      <c r="A49" s="75">
        <v>48</v>
      </c>
      <c r="B49" s="64">
        <v>2010</v>
      </c>
      <c r="C49" s="64">
        <v>8</v>
      </c>
      <c r="D49" s="80">
        <f t="shared" si="0"/>
        <v>2010</v>
      </c>
      <c r="E49" t="s">
        <v>38</v>
      </c>
      <c r="F49" t="s">
        <v>143</v>
      </c>
      <c r="G49" t="s">
        <v>10</v>
      </c>
      <c r="H49" s="72" t="s">
        <v>207</v>
      </c>
      <c r="I49" s="72" t="s">
        <v>49</v>
      </c>
      <c r="J49" t="str">
        <f t="shared" si="2"/>
        <v>Lake Sammamish</v>
      </c>
      <c r="K49" t="str">
        <f>IFERROR(VLOOKUP(J49,LUTs!$A$1:$C$73,2,FALSE),"NA")</f>
        <v>King</v>
      </c>
      <c r="L49" t="str">
        <f>IFERROR(VLOOKUP(J49,LUTs!$A$1:$C$73,3,FALSE),"NA")</f>
        <v>2Central Puget Sound</v>
      </c>
      <c r="M49" s="72" t="s">
        <v>16</v>
      </c>
      <c r="N49" t="str">
        <f>VLOOKUP(M49,LUTs!E$2:H$14,3,)</f>
        <v>03Snohomish</v>
      </c>
      <c r="O49" t="str">
        <f>VLOOKUP(M49,LUTs!E$2:H$14,4,)</f>
        <v>01North Puget Sound</v>
      </c>
      <c r="P49" s="73">
        <v>19.384615384615401</v>
      </c>
      <c r="Q49" s="74">
        <f>VLOOKUP(B49,Readme!A$40:C$51,2,)*P49</f>
        <v>167.67692307692323</v>
      </c>
      <c r="S49" s="45" t="s">
        <v>0</v>
      </c>
      <c r="T49" t="s">
        <v>175</v>
      </c>
    </row>
    <row r="50" spans="1:30" ht="14.15" customHeight="1" x14ac:dyDescent="0.35">
      <c r="A50" s="75">
        <v>49</v>
      </c>
      <c r="B50" s="64">
        <v>2010</v>
      </c>
      <c r="C50" s="64">
        <v>9</v>
      </c>
      <c r="D50" s="80">
        <f t="shared" si="0"/>
        <v>2010</v>
      </c>
      <c r="E50" t="s">
        <v>38</v>
      </c>
      <c r="F50" t="s">
        <v>143</v>
      </c>
      <c r="G50" t="s">
        <v>10</v>
      </c>
      <c r="H50" s="72" t="s">
        <v>207</v>
      </c>
      <c r="I50" s="72" t="s">
        <v>49</v>
      </c>
      <c r="J50" t="str">
        <f t="shared" si="2"/>
        <v>Lake Sammamish</v>
      </c>
      <c r="K50" t="str">
        <f>IFERROR(VLOOKUP(J50,LUTs!$A$1:$C$73,2,FALSE),"NA")</f>
        <v>King</v>
      </c>
      <c r="L50" t="str">
        <f>IFERROR(VLOOKUP(J50,LUTs!$A$1:$C$73,3,FALSE),"NA")</f>
        <v>2Central Puget Sound</v>
      </c>
      <c r="M50" s="72" t="s">
        <v>18</v>
      </c>
      <c r="N50" t="str">
        <f>VLOOKUP(M50,LUTs!E$2:H$14,3,)</f>
        <v>06King</v>
      </c>
      <c r="O50" t="str">
        <f>VLOOKUP(M50,LUTs!E$2:H$14,4,)</f>
        <v>02South Puget Sound</v>
      </c>
      <c r="P50" s="73">
        <v>110.5</v>
      </c>
      <c r="Q50" s="74">
        <f>VLOOKUP(B50,Readme!A$40:C$51,2,)*P50</f>
        <v>955.82500000000005</v>
      </c>
      <c r="S50" s="15"/>
      <c r="T50"/>
      <c r="U50"/>
    </row>
    <row r="51" spans="1:30" ht="14.15" customHeight="1" x14ac:dyDescent="0.35">
      <c r="A51" s="75">
        <v>50</v>
      </c>
      <c r="B51" s="64">
        <v>2010</v>
      </c>
      <c r="C51" s="64">
        <v>9</v>
      </c>
      <c r="D51" s="80">
        <f t="shared" si="0"/>
        <v>2010</v>
      </c>
      <c r="E51" t="s">
        <v>38</v>
      </c>
      <c r="F51" t="s">
        <v>143</v>
      </c>
      <c r="G51" t="s">
        <v>10</v>
      </c>
      <c r="H51" s="72" t="s">
        <v>207</v>
      </c>
      <c r="I51" s="72" t="s">
        <v>49</v>
      </c>
      <c r="J51" t="str">
        <f t="shared" si="2"/>
        <v>Lake Sammamish</v>
      </c>
      <c r="K51" t="str">
        <f>IFERROR(VLOOKUP(J51,LUTs!$A$1:$C$73,2,FALSE),"NA")</f>
        <v>King</v>
      </c>
      <c r="L51" t="str">
        <f>IFERROR(VLOOKUP(J51,LUTs!$A$1:$C$73,3,FALSE),"NA")</f>
        <v>2Central Puget Sound</v>
      </c>
      <c r="M51" s="72" t="s">
        <v>16</v>
      </c>
      <c r="N51" t="str">
        <f>VLOOKUP(M51,LUTs!E$2:H$14,3,)</f>
        <v>03Snohomish</v>
      </c>
      <c r="O51" t="str">
        <f>VLOOKUP(M51,LUTs!E$2:H$14,4,)</f>
        <v>01North Puget Sound</v>
      </c>
      <c r="P51" s="73">
        <v>19.5</v>
      </c>
      <c r="Q51" s="74">
        <f>VLOOKUP(B51,Readme!A$40:C$51,2,)*P51</f>
        <v>168.67500000000001</v>
      </c>
      <c r="S51" s="45" t="s">
        <v>278</v>
      </c>
      <c r="T51" s="45" t="s">
        <v>275</v>
      </c>
      <c r="U51"/>
      <c r="V51"/>
      <c r="W51"/>
      <c r="X51"/>
      <c r="Y51"/>
      <c r="Z51"/>
      <c r="AA51"/>
      <c r="AB51"/>
      <c r="AC51"/>
      <c r="AD51"/>
    </row>
    <row r="52" spans="1:30" ht="14.15" customHeight="1" x14ac:dyDescent="0.35">
      <c r="A52" s="75">
        <v>51</v>
      </c>
      <c r="B52" s="64">
        <v>2010</v>
      </c>
      <c r="C52" s="64">
        <v>11</v>
      </c>
      <c r="D52" s="80">
        <f t="shared" si="0"/>
        <v>2010</v>
      </c>
      <c r="E52" t="s">
        <v>38</v>
      </c>
      <c r="F52" t="s">
        <v>143</v>
      </c>
      <c r="G52" t="s">
        <v>10</v>
      </c>
      <c r="H52" s="72" t="s">
        <v>208</v>
      </c>
      <c r="I52" s="72" t="s">
        <v>50</v>
      </c>
      <c r="J52" t="str">
        <f t="shared" si="2"/>
        <v>Minter Creek</v>
      </c>
      <c r="K52" t="str">
        <f>IFERROR(VLOOKUP(J52,LUTs!$A$1:$C$73,2,FALSE),"NA")</f>
        <v>Kitsap/Pierce</v>
      </c>
      <c r="L52" t="str">
        <f>IFERROR(VLOOKUP(J52,LUTs!$A$1:$C$73,3,FALSE),"NA")</f>
        <v>3South Puget Sound</v>
      </c>
      <c r="M52" s="72" t="s">
        <v>18</v>
      </c>
      <c r="N52" t="str">
        <f>VLOOKUP(M52,LUTs!E$2:H$14,3,)</f>
        <v>06King</v>
      </c>
      <c r="O52" t="str">
        <f>VLOOKUP(M52,LUTs!E$2:H$14,4,)</f>
        <v>02South Puget Sound</v>
      </c>
      <c r="P52" s="73">
        <v>1681.41896024465</v>
      </c>
      <c r="Q52" s="74">
        <f>VLOOKUP(B52,Readme!A$40:C$51,2,)*P52</f>
        <v>14544.274006116222</v>
      </c>
      <c r="S52" s="45" t="s">
        <v>274</v>
      </c>
      <c r="T52">
        <v>1</v>
      </c>
      <c r="U52">
        <v>3</v>
      </c>
      <c r="V52">
        <v>5</v>
      </c>
      <c r="W52">
        <v>6</v>
      </c>
      <c r="X52">
        <v>7</v>
      </c>
      <c r="Y52">
        <v>8</v>
      </c>
      <c r="Z52">
        <v>9</v>
      </c>
      <c r="AA52">
        <v>10</v>
      </c>
      <c r="AB52">
        <v>11</v>
      </c>
      <c r="AC52">
        <v>12</v>
      </c>
      <c r="AD52" s="50" t="s">
        <v>157</v>
      </c>
    </row>
    <row r="53" spans="1:30" ht="14.15" customHeight="1" x14ac:dyDescent="0.35">
      <c r="A53" s="75">
        <v>52</v>
      </c>
      <c r="B53" s="64">
        <v>2010</v>
      </c>
      <c r="C53" s="64">
        <v>11</v>
      </c>
      <c r="D53" s="80">
        <f t="shared" si="0"/>
        <v>2010</v>
      </c>
      <c r="E53" t="s">
        <v>38</v>
      </c>
      <c r="F53" t="s">
        <v>143</v>
      </c>
      <c r="G53" t="s">
        <v>10</v>
      </c>
      <c r="H53" s="72" t="s">
        <v>208</v>
      </c>
      <c r="I53" s="72" t="s">
        <v>50</v>
      </c>
      <c r="J53" t="str">
        <f t="shared" si="2"/>
        <v>Minter Creek</v>
      </c>
      <c r="K53" t="str">
        <f>IFERROR(VLOOKUP(J53,LUTs!$A$1:$C$73,2,FALSE),"NA")</f>
        <v>Kitsap/Pierce</v>
      </c>
      <c r="L53" t="str">
        <f>IFERROR(VLOOKUP(J53,LUTs!$A$1:$C$73,3,FALSE),"NA")</f>
        <v>3South Puget Sound</v>
      </c>
      <c r="M53" s="72" t="s">
        <v>23</v>
      </c>
      <c r="N53" t="str">
        <f>VLOOKUP(M53,LUTs!E$2:H$14,3,)</f>
        <v>10Kitsap</v>
      </c>
      <c r="O53" t="str">
        <f>VLOOKUP(M53,LUTs!E$2:H$14,4,)</f>
        <v>02South Puget Sound</v>
      </c>
      <c r="P53" s="73">
        <v>284.183486238532</v>
      </c>
      <c r="Q53" s="74">
        <f>VLOOKUP(B53,Readme!A$40:C$51,2,)*P53</f>
        <v>2458.1871559633018</v>
      </c>
      <c r="S53" s="59" t="s">
        <v>133</v>
      </c>
      <c r="T53" s="53"/>
      <c r="U53" s="53"/>
      <c r="V53" s="53"/>
      <c r="W53" s="53"/>
      <c r="X53" s="53"/>
      <c r="Y53" s="53">
        <v>0</v>
      </c>
      <c r="Z53" s="53">
        <v>86</v>
      </c>
      <c r="AA53" s="53">
        <v>30491.910000000014</v>
      </c>
      <c r="AB53" s="53">
        <v>11822.000000000004</v>
      </c>
      <c r="AC53" s="53">
        <v>323.35999999999996</v>
      </c>
      <c r="AD53" s="53">
        <v>42723.270000000019</v>
      </c>
    </row>
    <row r="54" spans="1:30" ht="14.15" customHeight="1" x14ac:dyDescent="0.35">
      <c r="A54" s="75">
        <v>53</v>
      </c>
      <c r="B54" s="64">
        <v>2010</v>
      </c>
      <c r="C54" s="64">
        <v>11</v>
      </c>
      <c r="D54" s="80">
        <f t="shared" si="0"/>
        <v>2010</v>
      </c>
      <c r="E54" t="s">
        <v>38</v>
      </c>
      <c r="F54" t="s">
        <v>143</v>
      </c>
      <c r="G54" t="s">
        <v>10</v>
      </c>
      <c r="H54" s="72" t="s">
        <v>208</v>
      </c>
      <c r="I54" s="72" t="s">
        <v>50</v>
      </c>
      <c r="J54" t="str">
        <f t="shared" si="2"/>
        <v>Minter Creek</v>
      </c>
      <c r="K54" t="str">
        <f>IFERROR(VLOOKUP(J54,LUTs!$A$1:$C$73,2,FALSE),"NA")</f>
        <v>Kitsap/Pierce</v>
      </c>
      <c r="L54" t="str">
        <f>IFERROR(VLOOKUP(J54,LUTs!$A$1:$C$73,3,FALSE),"NA")</f>
        <v>3South Puget Sound</v>
      </c>
      <c r="M54" s="72" t="s">
        <v>22</v>
      </c>
      <c r="N54" t="str">
        <f>VLOOKUP(M54,LUTs!E$2:H$14,3,)</f>
        <v>09Mason</v>
      </c>
      <c r="O54" t="str">
        <f>VLOOKUP(M54,LUTs!E$2:H$14,4,)</f>
        <v>02South Puget Sound</v>
      </c>
      <c r="P54" s="73">
        <v>124.33027522935799</v>
      </c>
      <c r="Q54" s="74">
        <f>VLOOKUP(B54,Readme!A$40:C$51,2,)*P54</f>
        <v>1075.4568807339467</v>
      </c>
      <c r="S54" s="59" t="s">
        <v>135</v>
      </c>
      <c r="T54" s="53"/>
      <c r="U54" s="53">
        <v>0</v>
      </c>
      <c r="V54" s="53">
        <v>993.92</v>
      </c>
      <c r="W54" s="53">
        <v>6246.2600000000039</v>
      </c>
      <c r="X54" s="53">
        <v>256233.5799999999</v>
      </c>
      <c r="Y54" s="53">
        <v>206142.62</v>
      </c>
      <c r="Z54" s="53">
        <v>371135.30000000016</v>
      </c>
      <c r="AA54" s="53">
        <v>215797.77000000014</v>
      </c>
      <c r="AB54" s="53">
        <v>111962.51000000007</v>
      </c>
      <c r="AC54" s="53">
        <v>7214.2500000000018</v>
      </c>
      <c r="AD54" s="53">
        <v>1175726.2100000002</v>
      </c>
    </row>
    <row r="55" spans="1:30" ht="14.15" customHeight="1" x14ac:dyDescent="0.35">
      <c r="A55" s="75">
        <v>54</v>
      </c>
      <c r="B55" s="64">
        <v>2010</v>
      </c>
      <c r="C55" s="64">
        <v>11</v>
      </c>
      <c r="D55" s="80">
        <f t="shared" si="0"/>
        <v>2010</v>
      </c>
      <c r="E55" t="s">
        <v>38</v>
      </c>
      <c r="F55" t="s">
        <v>143</v>
      </c>
      <c r="G55" t="s">
        <v>10</v>
      </c>
      <c r="H55" s="72" t="s">
        <v>208</v>
      </c>
      <c r="I55" s="72" t="s">
        <v>50</v>
      </c>
      <c r="J55" t="str">
        <f t="shared" si="2"/>
        <v>Minter Creek</v>
      </c>
      <c r="K55" t="str">
        <f>IFERROR(VLOOKUP(J55,LUTs!$A$1:$C$73,2,FALSE),"NA")</f>
        <v>Kitsap/Pierce</v>
      </c>
      <c r="L55" t="str">
        <f>IFERROR(VLOOKUP(J55,LUTs!$A$1:$C$73,3,FALSE),"NA")</f>
        <v>3South Puget Sound</v>
      </c>
      <c r="M55" s="72" t="s">
        <v>26</v>
      </c>
      <c r="N55" t="str">
        <f>VLOOKUP(M55,LUTs!E$2:H$14,3,)</f>
        <v>20Other</v>
      </c>
      <c r="O55" t="str">
        <f>VLOOKUP(M55,LUTs!E$2:H$14,4,)</f>
        <v>07Non Puget Sound</v>
      </c>
      <c r="P55" s="73">
        <v>106.56880733945</v>
      </c>
      <c r="Q55" s="74">
        <f>VLOOKUP(B55,Readme!A$40:C$51,2,)*P55</f>
        <v>921.82018348624263</v>
      </c>
      <c r="S55" s="59" t="s">
        <v>137</v>
      </c>
      <c r="T55" s="53">
        <v>0</v>
      </c>
      <c r="U55" s="53"/>
      <c r="V55" s="53">
        <v>829.60000000000014</v>
      </c>
      <c r="W55" s="53">
        <v>21536.669999999984</v>
      </c>
      <c r="X55" s="53">
        <v>62036.040000000059</v>
      </c>
      <c r="Y55" s="53">
        <v>448042.55000000034</v>
      </c>
      <c r="Z55" s="53">
        <v>1045107.3199999993</v>
      </c>
      <c r="AA55" s="53">
        <v>330766.7200000002</v>
      </c>
      <c r="AB55" s="53">
        <v>42283.55</v>
      </c>
      <c r="AC55" s="53">
        <v>5557.5900000000029</v>
      </c>
      <c r="AD55" s="53">
        <v>1956160.04</v>
      </c>
    </row>
    <row r="56" spans="1:30" ht="14.15" customHeight="1" x14ac:dyDescent="0.35">
      <c r="A56" s="75">
        <v>55</v>
      </c>
      <c r="B56" s="64">
        <v>2010</v>
      </c>
      <c r="C56" s="64">
        <v>11</v>
      </c>
      <c r="D56" s="80">
        <f t="shared" si="0"/>
        <v>2010</v>
      </c>
      <c r="E56" t="s">
        <v>38</v>
      </c>
      <c r="F56" t="s">
        <v>143</v>
      </c>
      <c r="G56" t="s">
        <v>10</v>
      </c>
      <c r="H56" s="72" t="s">
        <v>208</v>
      </c>
      <c r="I56" s="72" t="s">
        <v>50</v>
      </c>
      <c r="J56" t="str">
        <f t="shared" si="2"/>
        <v>Minter Creek</v>
      </c>
      <c r="K56" t="str">
        <f>IFERROR(VLOOKUP(J56,LUTs!$A$1:$C$73,2,FALSE),"NA")</f>
        <v>Kitsap/Pierce</v>
      </c>
      <c r="L56" t="str">
        <f>IFERROR(VLOOKUP(J56,LUTs!$A$1:$C$73,3,FALSE),"NA")</f>
        <v>3South Puget Sound</v>
      </c>
      <c r="M56" s="72" t="s">
        <v>20</v>
      </c>
      <c r="N56" t="str">
        <f>VLOOKUP(M56,LUTs!E$2:H$14,3,)</f>
        <v>07Pierce</v>
      </c>
      <c r="O56" t="str">
        <f>VLOOKUP(M56,LUTs!E$2:H$14,4,)</f>
        <v>02South Puget Sound</v>
      </c>
      <c r="P56" s="73">
        <v>1438.6788990825701</v>
      </c>
      <c r="Q56" s="74">
        <f>VLOOKUP(B56,Readme!A$40:C$51,2,)*P56</f>
        <v>12444.572477064232</v>
      </c>
      <c r="S56" s="59" t="s">
        <v>139</v>
      </c>
      <c r="T56" s="53">
        <v>4823.2000000000035</v>
      </c>
      <c r="U56" s="53">
        <v>34.4</v>
      </c>
      <c r="V56" s="53"/>
      <c r="W56" s="53">
        <v>77.850000000000009</v>
      </c>
      <c r="X56" s="53">
        <v>6104.1100000000015</v>
      </c>
      <c r="Y56" s="53">
        <v>1083377.6900000006</v>
      </c>
      <c r="Z56" s="53">
        <v>1433287.450000002</v>
      </c>
      <c r="AA56" s="53">
        <v>327732.80999999982</v>
      </c>
      <c r="AB56" s="53">
        <v>303604.47000000044</v>
      </c>
      <c r="AC56" s="53">
        <v>108335.27000000003</v>
      </c>
      <c r="AD56" s="53">
        <v>3267377.2500000033</v>
      </c>
    </row>
    <row r="57" spans="1:30" ht="14.15" customHeight="1" x14ac:dyDescent="0.35">
      <c r="A57" s="75">
        <v>56</v>
      </c>
      <c r="B57" s="64">
        <v>2010</v>
      </c>
      <c r="C57" s="64">
        <v>11</v>
      </c>
      <c r="D57" s="80">
        <f t="shared" si="0"/>
        <v>2010</v>
      </c>
      <c r="E57" t="s">
        <v>38</v>
      </c>
      <c r="F57" t="s">
        <v>143</v>
      </c>
      <c r="G57" t="s">
        <v>10</v>
      </c>
      <c r="H57" s="72" t="s">
        <v>208</v>
      </c>
      <c r="I57" s="72" t="s">
        <v>50</v>
      </c>
      <c r="J57" t="str">
        <f t="shared" si="2"/>
        <v>Minter Creek</v>
      </c>
      <c r="K57" t="str">
        <f>IFERROR(VLOOKUP(J57,LUTs!$A$1:$C$73,2,FALSE),"NA")</f>
        <v>Kitsap/Pierce</v>
      </c>
      <c r="L57" t="str">
        <f>IFERROR(VLOOKUP(J57,LUTs!$A$1:$C$73,3,FALSE),"NA")</f>
        <v>3South Puget Sound</v>
      </c>
      <c r="M57" s="72" t="s">
        <v>16</v>
      </c>
      <c r="N57" t="str">
        <f>VLOOKUP(M57,LUTs!E$2:H$14,3,)</f>
        <v>03Snohomish</v>
      </c>
      <c r="O57" t="str">
        <f>VLOOKUP(M57,LUTs!E$2:H$14,4,)</f>
        <v>01North Puget Sound</v>
      </c>
      <c r="P57" s="73">
        <v>130.25076452599399</v>
      </c>
      <c r="Q57" s="74">
        <f>VLOOKUP(B57,Readme!A$40:C$51,2,)*P57</f>
        <v>1126.669113149848</v>
      </c>
      <c r="S57" s="59" t="s">
        <v>141</v>
      </c>
      <c r="T57" s="53"/>
      <c r="U57" s="53">
        <v>20.64</v>
      </c>
      <c r="V57" s="53"/>
      <c r="W57" s="53"/>
      <c r="X57" s="53">
        <v>6462.4900000000016</v>
      </c>
      <c r="Y57" s="53">
        <v>201589.54000000004</v>
      </c>
      <c r="Z57" s="53">
        <v>157236.26</v>
      </c>
      <c r="AA57" s="53">
        <v>57682.44000000001</v>
      </c>
      <c r="AB57" s="53">
        <v>40133.030000000013</v>
      </c>
      <c r="AC57" s="53">
        <v>1576.2800000000004</v>
      </c>
      <c r="AD57" s="53">
        <v>464700.68000000011</v>
      </c>
    </row>
    <row r="58" spans="1:30" ht="14.15" customHeight="1" x14ac:dyDescent="0.35">
      <c r="A58" s="75">
        <v>57</v>
      </c>
      <c r="B58" s="64">
        <v>2010</v>
      </c>
      <c r="C58" s="64">
        <v>11</v>
      </c>
      <c r="D58" s="80">
        <f t="shared" si="0"/>
        <v>2010</v>
      </c>
      <c r="E58" t="s">
        <v>38</v>
      </c>
      <c r="F58" t="s">
        <v>143</v>
      </c>
      <c r="G58" t="s">
        <v>10</v>
      </c>
      <c r="H58" s="72" t="s">
        <v>208</v>
      </c>
      <c r="I58" s="72" t="s">
        <v>50</v>
      </c>
      <c r="J58" t="str">
        <f t="shared" si="2"/>
        <v>Minter Creek</v>
      </c>
      <c r="K58" t="str">
        <f>IFERROR(VLOOKUP(J58,LUTs!$A$1:$C$73,2,FALSE),"NA")</f>
        <v>Kitsap/Pierce</v>
      </c>
      <c r="L58" t="str">
        <f>IFERROR(VLOOKUP(J58,LUTs!$A$1:$C$73,3,FALSE),"NA")</f>
        <v>3South Puget Sound</v>
      </c>
      <c r="M58" s="72" t="s">
        <v>21</v>
      </c>
      <c r="N58" t="str">
        <f>VLOOKUP(M58,LUTs!E$2:H$14,3,)</f>
        <v>08Thurston</v>
      </c>
      <c r="O58" t="str">
        <f>VLOOKUP(M58,LUTs!E$2:H$14,4,)</f>
        <v>02South Puget Sound</v>
      </c>
      <c r="P58" s="73">
        <v>106.56880733945</v>
      </c>
      <c r="Q58" s="74">
        <f>VLOOKUP(B58,Readme!A$40:C$51,2,)*P58</f>
        <v>921.82018348624263</v>
      </c>
      <c r="S58" s="59" t="s">
        <v>157</v>
      </c>
      <c r="T58" s="53">
        <v>4823.2000000000035</v>
      </c>
      <c r="U58" s="53">
        <v>55.04</v>
      </c>
      <c r="V58" s="53">
        <v>1823.52</v>
      </c>
      <c r="W58" s="53">
        <v>27860.779999999984</v>
      </c>
      <c r="X58" s="53">
        <v>330836.21999999991</v>
      </c>
      <c r="Y58" s="53">
        <v>1939152.4000000011</v>
      </c>
      <c r="Z58" s="53">
        <v>3006852.330000001</v>
      </c>
      <c r="AA58" s="53">
        <v>962471.65000000026</v>
      </c>
      <c r="AB58" s="53">
        <v>509805.56000000052</v>
      </c>
      <c r="AC58" s="53">
        <v>123006.75000000003</v>
      </c>
      <c r="AD58" s="53">
        <v>6906687.450000003</v>
      </c>
    </row>
    <row r="59" spans="1:30" ht="14.15" customHeight="1" x14ac:dyDescent="0.35">
      <c r="A59" s="75">
        <v>58</v>
      </c>
      <c r="B59" s="64">
        <v>2010</v>
      </c>
      <c r="C59" s="64">
        <v>12</v>
      </c>
      <c r="D59" s="80">
        <f t="shared" si="0"/>
        <v>2010</v>
      </c>
      <c r="E59" t="s">
        <v>38</v>
      </c>
      <c r="F59" t="s">
        <v>143</v>
      </c>
      <c r="G59" t="s">
        <v>10</v>
      </c>
      <c r="H59" s="72" t="s">
        <v>208</v>
      </c>
      <c r="I59" s="72" t="s">
        <v>50</v>
      </c>
      <c r="J59" t="str">
        <f t="shared" si="2"/>
        <v>Minter Creek</v>
      </c>
      <c r="K59" t="str">
        <f>IFERROR(VLOOKUP(J59,LUTs!$A$1:$C$73,2,FALSE),"NA")</f>
        <v>Kitsap/Pierce</v>
      </c>
      <c r="L59" t="str">
        <f>IFERROR(VLOOKUP(J59,LUTs!$A$1:$C$73,3,FALSE),"NA")</f>
        <v>3South Puget Sound</v>
      </c>
      <c r="M59" s="72" t="s">
        <v>18</v>
      </c>
      <c r="N59" t="str">
        <f>VLOOKUP(M59,LUTs!E$2:H$14,3,)</f>
        <v>06King</v>
      </c>
      <c r="O59" t="str">
        <f>VLOOKUP(M59,LUTs!E$2:H$14,4,)</f>
        <v>02South Puget Sound</v>
      </c>
      <c r="P59" s="73">
        <v>722.26050420168099</v>
      </c>
      <c r="Q59" s="74">
        <f>VLOOKUP(B59,Readme!A$40:C$51,2,)*P59</f>
        <v>6247.5533613445405</v>
      </c>
    </row>
    <row r="60" spans="1:30" ht="14.15" customHeight="1" x14ac:dyDescent="0.35">
      <c r="A60" s="75">
        <v>59</v>
      </c>
      <c r="B60" s="64">
        <v>2010</v>
      </c>
      <c r="C60" s="64">
        <v>12</v>
      </c>
      <c r="D60" s="80">
        <f t="shared" si="0"/>
        <v>2010</v>
      </c>
      <c r="E60" t="s">
        <v>38</v>
      </c>
      <c r="F60" t="s">
        <v>143</v>
      </c>
      <c r="G60" t="s">
        <v>10</v>
      </c>
      <c r="H60" s="72" t="s">
        <v>208</v>
      </c>
      <c r="I60" s="72" t="s">
        <v>50</v>
      </c>
      <c r="J60" t="str">
        <f t="shared" si="2"/>
        <v>Minter Creek</v>
      </c>
      <c r="K60" t="str">
        <f>IFERROR(VLOOKUP(J60,LUTs!$A$1:$C$73,2,FALSE),"NA")</f>
        <v>Kitsap/Pierce</v>
      </c>
      <c r="L60" t="str">
        <f>IFERROR(VLOOKUP(J60,LUTs!$A$1:$C$73,3,FALSE),"NA")</f>
        <v>3South Puget Sound</v>
      </c>
      <c r="M60" s="72" t="s">
        <v>23</v>
      </c>
      <c r="N60" t="str">
        <f>VLOOKUP(M60,LUTs!E$2:H$14,3,)</f>
        <v>10Kitsap</v>
      </c>
      <c r="O60" t="str">
        <f>VLOOKUP(M60,LUTs!E$2:H$14,4,)</f>
        <v>02South Puget Sound</v>
      </c>
      <c r="P60" s="73">
        <v>148.004201680672</v>
      </c>
      <c r="Q60" s="74">
        <f>VLOOKUP(B60,Readme!A$40:C$51,2,)*P60</f>
        <v>1280.2363445378128</v>
      </c>
      <c r="S60" s="15" t="s">
        <v>282</v>
      </c>
    </row>
    <row r="61" spans="1:30" ht="14.15" customHeight="1" x14ac:dyDescent="0.35">
      <c r="A61" s="75">
        <v>60</v>
      </c>
      <c r="B61" s="64">
        <v>2010</v>
      </c>
      <c r="C61" s="64">
        <v>12</v>
      </c>
      <c r="D61" s="80">
        <f t="shared" si="0"/>
        <v>2010</v>
      </c>
      <c r="E61" t="s">
        <v>38</v>
      </c>
      <c r="F61" t="s">
        <v>143</v>
      </c>
      <c r="G61" t="s">
        <v>10</v>
      </c>
      <c r="H61" s="72" t="s">
        <v>208</v>
      </c>
      <c r="I61" s="72" t="s">
        <v>50</v>
      </c>
      <c r="J61" t="str">
        <f t="shared" si="2"/>
        <v>Minter Creek</v>
      </c>
      <c r="K61" t="str">
        <f>IFERROR(VLOOKUP(J61,LUTs!$A$1:$C$73,2,FALSE),"NA")</f>
        <v>Kitsap/Pierce</v>
      </c>
      <c r="L61" t="str">
        <f>IFERROR(VLOOKUP(J61,LUTs!$A$1:$C$73,3,FALSE),"NA")</f>
        <v>3South Puget Sound</v>
      </c>
      <c r="M61" s="72" t="s">
        <v>26</v>
      </c>
      <c r="N61" t="str">
        <f>VLOOKUP(M61,LUTs!E$2:H$14,3,)</f>
        <v>20Other</v>
      </c>
      <c r="O61" t="str">
        <f>VLOOKUP(M61,LUTs!E$2:H$14,4,)</f>
        <v>07Non Puget Sound</v>
      </c>
      <c r="P61" s="73">
        <v>35.5210084033613</v>
      </c>
      <c r="Q61" s="74">
        <f>VLOOKUP(B61,Readme!A$40:C$51,2,)*P61</f>
        <v>307.25672268907527</v>
      </c>
      <c r="S61" s="45" t="s">
        <v>0</v>
      </c>
      <c r="T61" t="s">
        <v>175</v>
      </c>
    </row>
    <row r="62" spans="1:30" ht="14.15" customHeight="1" x14ac:dyDescent="0.35">
      <c r="A62" s="75">
        <v>61</v>
      </c>
      <c r="B62" s="64">
        <v>2010</v>
      </c>
      <c r="C62" s="64">
        <v>12</v>
      </c>
      <c r="D62" s="80">
        <f t="shared" si="0"/>
        <v>2010</v>
      </c>
      <c r="E62" t="s">
        <v>38</v>
      </c>
      <c r="F62" t="s">
        <v>143</v>
      </c>
      <c r="G62" t="s">
        <v>10</v>
      </c>
      <c r="H62" s="72" t="s">
        <v>208</v>
      </c>
      <c r="I62" s="72" t="s">
        <v>50</v>
      </c>
      <c r="J62" t="str">
        <f t="shared" si="2"/>
        <v>Minter Creek</v>
      </c>
      <c r="K62" t="str">
        <f>IFERROR(VLOOKUP(J62,LUTs!$A$1:$C$73,2,FALSE),"NA")</f>
        <v>Kitsap/Pierce</v>
      </c>
      <c r="L62" t="str">
        <f>IFERROR(VLOOKUP(J62,LUTs!$A$1:$C$73,3,FALSE),"NA")</f>
        <v>3South Puget Sound</v>
      </c>
      <c r="M62" s="72" t="s">
        <v>20</v>
      </c>
      <c r="N62" t="str">
        <f>VLOOKUP(M62,LUTs!E$2:H$14,3,)</f>
        <v>07Pierce</v>
      </c>
      <c r="O62" t="str">
        <f>VLOOKUP(M62,LUTs!E$2:H$14,4,)</f>
        <v>02South Puget Sound</v>
      </c>
      <c r="P62" s="73">
        <v>367.05042016806698</v>
      </c>
      <c r="Q62" s="74">
        <f>VLOOKUP(B62,Readme!A$40:C$51,2,)*P62</f>
        <v>3174.9861344537794</v>
      </c>
      <c r="S62" s="15"/>
      <c r="T62"/>
      <c r="U62"/>
    </row>
    <row r="63" spans="1:30" ht="14.15" customHeight="1" x14ac:dyDescent="0.35">
      <c r="A63" s="75">
        <v>62</v>
      </c>
      <c r="B63" s="64">
        <v>2010</v>
      </c>
      <c r="C63" s="64">
        <v>12</v>
      </c>
      <c r="D63" s="80">
        <f t="shared" si="0"/>
        <v>2010</v>
      </c>
      <c r="E63" t="s">
        <v>38</v>
      </c>
      <c r="F63" t="s">
        <v>143</v>
      </c>
      <c r="G63" t="s">
        <v>10</v>
      </c>
      <c r="H63" s="72" t="s">
        <v>208</v>
      </c>
      <c r="I63" s="72" t="s">
        <v>50</v>
      </c>
      <c r="J63" t="str">
        <f t="shared" si="2"/>
        <v>Minter Creek</v>
      </c>
      <c r="K63" t="str">
        <f>IFERROR(VLOOKUP(J63,LUTs!$A$1:$C$73,2,FALSE),"NA")</f>
        <v>Kitsap/Pierce</v>
      </c>
      <c r="L63" t="str">
        <f>IFERROR(VLOOKUP(J63,LUTs!$A$1:$C$73,3,FALSE),"NA")</f>
        <v>3South Puget Sound</v>
      </c>
      <c r="M63" s="72" t="s">
        <v>16</v>
      </c>
      <c r="N63" t="str">
        <f>VLOOKUP(M63,LUTs!E$2:H$14,3,)</f>
        <v>03Snohomish</v>
      </c>
      <c r="O63" t="str">
        <f>VLOOKUP(M63,LUTs!E$2:H$14,4,)</f>
        <v>01North Puget Sound</v>
      </c>
      <c r="P63" s="73">
        <v>112.483193277311</v>
      </c>
      <c r="Q63" s="74">
        <f>VLOOKUP(B63,Readme!A$40:C$51,2,)*P63</f>
        <v>972.97962184874018</v>
      </c>
      <c r="S63" s="45" t="s">
        <v>278</v>
      </c>
      <c r="T63" s="45" t="s">
        <v>275</v>
      </c>
      <c r="U63"/>
      <c r="V63"/>
      <c r="W63"/>
      <c r="X63"/>
      <c r="Y63"/>
      <c r="Z63"/>
      <c r="AA63"/>
      <c r="AB63"/>
      <c r="AC63"/>
      <c r="AD63"/>
    </row>
    <row r="64" spans="1:30" ht="14.15" customHeight="1" x14ac:dyDescent="0.35">
      <c r="A64" s="75">
        <v>63</v>
      </c>
      <c r="B64" s="64">
        <v>2010</v>
      </c>
      <c r="C64" s="64">
        <v>12</v>
      </c>
      <c r="D64" s="80">
        <f t="shared" si="0"/>
        <v>2010</v>
      </c>
      <c r="E64" t="s">
        <v>38</v>
      </c>
      <c r="F64" t="s">
        <v>143</v>
      </c>
      <c r="G64" t="s">
        <v>10</v>
      </c>
      <c r="H64" s="72" t="s">
        <v>208</v>
      </c>
      <c r="I64" s="72" t="s">
        <v>50</v>
      </c>
      <c r="J64" t="str">
        <f t="shared" si="2"/>
        <v>Minter Creek</v>
      </c>
      <c r="K64" t="str">
        <f>IFERROR(VLOOKUP(J64,LUTs!$A$1:$C$73,2,FALSE),"NA")</f>
        <v>Kitsap/Pierce</v>
      </c>
      <c r="L64" t="str">
        <f>IFERROR(VLOOKUP(J64,LUTs!$A$1:$C$73,3,FALSE),"NA")</f>
        <v>3South Puget Sound</v>
      </c>
      <c r="M64" s="72" t="s">
        <v>21</v>
      </c>
      <c r="N64" t="str">
        <f>VLOOKUP(M64,LUTs!E$2:H$14,3,)</f>
        <v>08Thurston</v>
      </c>
      <c r="O64" t="str">
        <f>VLOOKUP(M64,LUTs!E$2:H$14,4,)</f>
        <v>02South Puget Sound</v>
      </c>
      <c r="P64" s="73">
        <v>23.6806722689076</v>
      </c>
      <c r="Q64" s="74">
        <f>VLOOKUP(B64,Readme!A$40:C$51,2,)*P64</f>
        <v>204.83781512605074</v>
      </c>
      <c r="S64" s="45" t="s">
        <v>274</v>
      </c>
      <c r="T64">
        <v>1</v>
      </c>
      <c r="U64">
        <v>3</v>
      </c>
      <c r="V64">
        <v>5</v>
      </c>
      <c r="W64">
        <v>6</v>
      </c>
      <c r="X64">
        <v>7</v>
      </c>
      <c r="Y64">
        <v>8</v>
      </c>
      <c r="Z64">
        <v>9</v>
      </c>
      <c r="AA64">
        <v>10</v>
      </c>
      <c r="AB64">
        <v>11</v>
      </c>
      <c r="AC64">
        <v>12</v>
      </c>
      <c r="AD64" s="50" t="s">
        <v>157</v>
      </c>
    </row>
    <row r="65" spans="1:30" ht="14.15" customHeight="1" x14ac:dyDescent="0.35">
      <c r="A65" s="75">
        <v>64</v>
      </c>
      <c r="B65" s="64">
        <v>2010</v>
      </c>
      <c r="C65" s="64">
        <v>7</v>
      </c>
      <c r="D65" s="80">
        <f t="shared" si="0"/>
        <v>2010</v>
      </c>
      <c r="E65" t="s">
        <v>38</v>
      </c>
      <c r="F65" t="s">
        <v>143</v>
      </c>
      <c r="G65" t="s">
        <v>10</v>
      </c>
      <c r="H65" s="72" t="s">
        <v>209</v>
      </c>
      <c r="I65" s="72" t="s">
        <v>51</v>
      </c>
      <c r="J65" t="str">
        <f t="shared" si="2"/>
        <v>Nisqually River</v>
      </c>
      <c r="K65" t="str">
        <f>IFERROR(VLOOKUP(J65,LUTs!$A$1:$C$73,2,FALSE),"NA")</f>
        <v>Thurston/Pierce</v>
      </c>
      <c r="L65" t="str">
        <f>IFERROR(VLOOKUP(J65,LUTs!$A$1:$C$73,3,FALSE),"NA")</f>
        <v>3South Puget Sound</v>
      </c>
      <c r="M65" s="72" t="s">
        <v>18</v>
      </c>
      <c r="N65" t="str">
        <f>VLOOKUP(M65,LUTs!E$2:H$14,3,)</f>
        <v>06King</v>
      </c>
      <c r="O65" t="str">
        <f>VLOOKUP(M65,LUTs!E$2:H$14,4,)</f>
        <v>02South Puget Sound</v>
      </c>
      <c r="P65" s="73">
        <v>6.125</v>
      </c>
      <c r="Q65" s="74">
        <f>VLOOKUP(B65,Readme!A$40:C$51,2,)*P65</f>
        <v>52.981250000000003</v>
      </c>
      <c r="S65" s="59" t="s">
        <v>133</v>
      </c>
      <c r="T65" s="12">
        <v>0</v>
      </c>
      <c r="U65" s="12">
        <v>0</v>
      </c>
      <c r="V65" s="12">
        <v>0</v>
      </c>
      <c r="W65" s="12">
        <v>0</v>
      </c>
      <c r="X65" s="12">
        <v>0</v>
      </c>
      <c r="Y65" s="12">
        <v>0</v>
      </c>
      <c r="Z65" s="12">
        <v>2.0129545327405877E-3</v>
      </c>
      <c r="AA65" s="12">
        <v>0.71370730751648925</v>
      </c>
      <c r="AB65" s="12">
        <v>0.27671102890766552</v>
      </c>
      <c r="AC65" s="12">
        <v>7.5687090431046083E-3</v>
      </c>
      <c r="AD65" s="12">
        <v>1</v>
      </c>
    </row>
    <row r="66" spans="1:30" ht="14.15" customHeight="1" x14ac:dyDescent="0.35">
      <c r="A66" s="75">
        <v>65</v>
      </c>
      <c r="B66" s="64">
        <v>2010</v>
      </c>
      <c r="C66" s="64">
        <v>7</v>
      </c>
      <c r="D66" s="80">
        <f t="shared" ref="D66:D129" si="5">IF(C66&gt;3,B66,B66-1)</f>
        <v>2010</v>
      </c>
      <c r="E66" t="s">
        <v>38</v>
      </c>
      <c r="F66" t="s">
        <v>143</v>
      </c>
      <c r="G66" t="s">
        <v>10</v>
      </c>
      <c r="H66" s="72" t="s">
        <v>209</v>
      </c>
      <c r="I66" s="72" t="s">
        <v>51</v>
      </c>
      <c r="J66" t="str">
        <f t="shared" si="2"/>
        <v>Nisqually River</v>
      </c>
      <c r="K66" t="str">
        <f>IFERROR(VLOOKUP(J66,LUTs!$A$1:$C$73,2,FALSE),"NA")</f>
        <v>Thurston/Pierce</v>
      </c>
      <c r="L66" t="str">
        <f>IFERROR(VLOOKUP(J66,LUTs!$A$1:$C$73,3,FALSE),"NA")</f>
        <v>3South Puget Sound</v>
      </c>
      <c r="M66" s="72" t="s">
        <v>20</v>
      </c>
      <c r="N66" t="str">
        <f>VLOOKUP(M66,LUTs!E$2:H$14,3,)</f>
        <v>07Pierce</v>
      </c>
      <c r="O66" t="str">
        <f>VLOOKUP(M66,LUTs!E$2:H$14,4,)</f>
        <v>02South Puget Sound</v>
      </c>
      <c r="P66" s="73">
        <v>6.125</v>
      </c>
      <c r="Q66" s="74">
        <f>VLOOKUP(B66,Readme!A$40:C$51,2,)*P66</f>
        <v>52.981250000000003</v>
      </c>
      <c r="S66" s="59" t="s">
        <v>135</v>
      </c>
      <c r="T66" s="12">
        <v>0</v>
      </c>
      <c r="U66" s="12">
        <v>0</v>
      </c>
      <c r="V66" s="12">
        <v>8.4536688180150363E-4</v>
      </c>
      <c r="W66" s="12">
        <v>5.3126824484077823E-3</v>
      </c>
      <c r="X66" s="12">
        <v>0.21793643606873395</v>
      </c>
      <c r="Y66" s="12">
        <v>0.1753321634294433</v>
      </c>
      <c r="Z66" s="12">
        <v>0.31566473286327446</v>
      </c>
      <c r="AA66" s="12">
        <v>0.18354423688487825</v>
      </c>
      <c r="AB66" s="12">
        <v>9.5228386547579008E-2</v>
      </c>
      <c r="AC66" s="12">
        <v>6.1359948758818606E-3</v>
      </c>
      <c r="AD66" s="12">
        <v>1</v>
      </c>
    </row>
    <row r="67" spans="1:30" ht="14.15" customHeight="1" x14ac:dyDescent="0.35">
      <c r="A67" s="75">
        <v>66</v>
      </c>
      <c r="B67" s="64">
        <v>2010</v>
      </c>
      <c r="C67" s="64">
        <v>7</v>
      </c>
      <c r="D67" s="80">
        <f t="shared" si="5"/>
        <v>2010</v>
      </c>
      <c r="E67" t="s">
        <v>38</v>
      </c>
      <c r="F67" t="s">
        <v>143</v>
      </c>
      <c r="G67" t="s">
        <v>10</v>
      </c>
      <c r="H67" s="72" t="s">
        <v>209</v>
      </c>
      <c r="I67" s="72" t="s">
        <v>51</v>
      </c>
      <c r="J67" t="str">
        <f t="shared" ref="J67:J130" si="6">I67</f>
        <v>Nisqually River</v>
      </c>
      <c r="K67" t="str">
        <f>IFERROR(VLOOKUP(J67,LUTs!$A$1:$C$73,2,FALSE),"NA")</f>
        <v>Thurston/Pierce</v>
      </c>
      <c r="L67" t="str">
        <f>IFERROR(VLOOKUP(J67,LUTs!$A$1:$C$73,3,FALSE),"NA")</f>
        <v>3South Puget Sound</v>
      </c>
      <c r="M67" s="72" t="s">
        <v>16</v>
      </c>
      <c r="N67" t="str">
        <f>VLOOKUP(M67,LUTs!E$2:H$14,3,)</f>
        <v>03Snohomish</v>
      </c>
      <c r="O67" t="str">
        <f>VLOOKUP(M67,LUTs!E$2:H$14,4,)</f>
        <v>01North Puget Sound</v>
      </c>
      <c r="P67" s="73">
        <v>6.125</v>
      </c>
      <c r="Q67" s="74">
        <f>VLOOKUP(B67,Readme!A$40:C$51,2,)*P67</f>
        <v>52.981250000000003</v>
      </c>
      <c r="S67" s="59" t="s">
        <v>137</v>
      </c>
      <c r="T67" s="12">
        <v>0</v>
      </c>
      <c r="U67" s="12">
        <v>0</v>
      </c>
      <c r="V67" s="12">
        <v>4.2409617977882838E-4</v>
      </c>
      <c r="W67" s="12">
        <v>1.1009666673285066E-2</v>
      </c>
      <c r="X67" s="12">
        <v>3.1713172098127546E-2</v>
      </c>
      <c r="Y67" s="12">
        <v>0.22904186816943686</v>
      </c>
      <c r="Z67" s="12">
        <v>0.53426473224552695</v>
      </c>
      <c r="AA67" s="12">
        <v>0.16908980514702682</v>
      </c>
      <c r="AB67" s="12">
        <v>2.1615588262400044E-2</v>
      </c>
      <c r="AC67" s="12">
        <v>2.8410712244178152E-3</v>
      </c>
      <c r="AD67" s="12">
        <v>1</v>
      </c>
    </row>
    <row r="68" spans="1:30" ht="14.15" customHeight="1" x14ac:dyDescent="0.35">
      <c r="A68" s="75">
        <v>67</v>
      </c>
      <c r="B68" s="64">
        <v>2010</v>
      </c>
      <c r="C68" s="64">
        <v>7</v>
      </c>
      <c r="D68" s="80">
        <f t="shared" si="5"/>
        <v>2010</v>
      </c>
      <c r="E68" t="s">
        <v>38</v>
      </c>
      <c r="F68" t="s">
        <v>143</v>
      </c>
      <c r="G68" t="s">
        <v>10</v>
      </c>
      <c r="H68" s="72" t="s">
        <v>209</v>
      </c>
      <c r="I68" s="72" t="s">
        <v>51</v>
      </c>
      <c r="J68" t="str">
        <f t="shared" si="6"/>
        <v>Nisqually River</v>
      </c>
      <c r="K68" t="str">
        <f>IFERROR(VLOOKUP(J68,LUTs!$A$1:$C$73,2,FALSE),"NA")</f>
        <v>Thurston/Pierce</v>
      </c>
      <c r="L68" t="str">
        <f>IFERROR(VLOOKUP(J68,LUTs!$A$1:$C$73,3,FALSE),"NA")</f>
        <v>3South Puget Sound</v>
      </c>
      <c r="M68" s="72" t="s">
        <v>21</v>
      </c>
      <c r="N68" t="str">
        <f>VLOOKUP(M68,LUTs!E$2:H$14,3,)</f>
        <v>08Thurston</v>
      </c>
      <c r="O68" t="str">
        <f>VLOOKUP(M68,LUTs!E$2:H$14,4,)</f>
        <v>02South Puget Sound</v>
      </c>
      <c r="P68" s="73">
        <v>30.625</v>
      </c>
      <c r="Q68" s="74">
        <f>VLOOKUP(B68,Readme!A$40:C$51,2,)*P68</f>
        <v>264.90625</v>
      </c>
      <c r="S68" s="59" t="s">
        <v>139</v>
      </c>
      <c r="T68" s="12">
        <v>1.4761686915705857E-3</v>
      </c>
      <c r="U68" s="12">
        <v>1.052832206626889E-5</v>
      </c>
      <c r="V68" s="12">
        <v>0</v>
      </c>
      <c r="W68" s="12">
        <v>2.3826449792413756E-5</v>
      </c>
      <c r="X68" s="12">
        <v>1.8681987211608317E-3</v>
      </c>
      <c r="Y68" s="12">
        <v>0.33157410580611701</v>
      </c>
      <c r="Z68" s="12">
        <v>0.43866604323085145</v>
      </c>
      <c r="AA68" s="12">
        <v>0.10030455160939848</v>
      </c>
      <c r="AB68" s="12">
        <v>9.2919931422060356E-2</v>
      </c>
      <c r="AC68" s="12">
        <v>3.3156645746982516E-2</v>
      </c>
      <c r="AD68" s="12">
        <v>1</v>
      </c>
    </row>
    <row r="69" spans="1:30" ht="14.15" customHeight="1" x14ac:dyDescent="0.35">
      <c r="A69" s="75">
        <v>68</v>
      </c>
      <c r="B69" s="64">
        <v>2010</v>
      </c>
      <c r="C69" s="64">
        <v>8</v>
      </c>
      <c r="D69" s="80">
        <f t="shared" si="5"/>
        <v>2010</v>
      </c>
      <c r="E69" t="s">
        <v>38</v>
      </c>
      <c r="F69" t="s">
        <v>143</v>
      </c>
      <c r="G69" t="s">
        <v>10</v>
      </c>
      <c r="H69" s="72" t="s">
        <v>209</v>
      </c>
      <c r="I69" s="72" t="s">
        <v>51</v>
      </c>
      <c r="J69" t="str">
        <f t="shared" si="6"/>
        <v>Nisqually River</v>
      </c>
      <c r="K69" t="str">
        <f>IFERROR(VLOOKUP(J69,LUTs!$A$1:$C$73,2,FALSE),"NA")</f>
        <v>Thurston/Pierce</v>
      </c>
      <c r="L69" t="str">
        <f>IFERROR(VLOOKUP(J69,LUTs!$A$1:$C$73,3,FALSE),"NA")</f>
        <v>3South Puget Sound</v>
      </c>
      <c r="M69" s="72" t="s">
        <v>18</v>
      </c>
      <c r="N69" t="str">
        <f>VLOOKUP(M69,LUTs!E$2:H$14,3,)</f>
        <v>06King</v>
      </c>
      <c r="O69" t="str">
        <f>VLOOKUP(M69,LUTs!E$2:H$14,4,)</f>
        <v>02South Puget Sound</v>
      </c>
      <c r="P69" s="73">
        <v>30.307692307692299</v>
      </c>
      <c r="Q69" s="74">
        <f>VLOOKUP(B69,Readme!A$40:C$51,2,)*P69</f>
        <v>262.16153846153838</v>
      </c>
      <c r="S69" s="59" t="s">
        <v>141</v>
      </c>
      <c r="T69" s="12">
        <v>0</v>
      </c>
      <c r="U69" s="12">
        <v>4.4415687104223725E-5</v>
      </c>
      <c r="V69" s="12">
        <v>0</v>
      </c>
      <c r="W69" s="12">
        <v>0</v>
      </c>
      <c r="X69" s="12">
        <v>1.3906779736151882E-2</v>
      </c>
      <c r="Y69" s="12">
        <v>0.43380513237036794</v>
      </c>
      <c r="Z69" s="12">
        <v>0.33836029678286672</v>
      </c>
      <c r="AA69" s="12">
        <v>0.12412815922713949</v>
      </c>
      <c r="AB69" s="12">
        <v>8.6363183286067069E-2</v>
      </c>
      <c r="AC69" s="12">
        <v>3.392032910302606E-3</v>
      </c>
      <c r="AD69" s="12">
        <v>1</v>
      </c>
    </row>
    <row r="70" spans="1:30" ht="14.15" customHeight="1" x14ac:dyDescent="0.35">
      <c r="A70" s="75">
        <v>69</v>
      </c>
      <c r="B70" s="64">
        <v>2010</v>
      </c>
      <c r="C70" s="64">
        <v>8</v>
      </c>
      <c r="D70" s="80">
        <f t="shared" si="5"/>
        <v>2010</v>
      </c>
      <c r="E70" t="s">
        <v>38</v>
      </c>
      <c r="F70" t="s">
        <v>143</v>
      </c>
      <c r="G70" t="s">
        <v>10</v>
      </c>
      <c r="H70" s="72" t="s">
        <v>209</v>
      </c>
      <c r="I70" s="72" t="s">
        <v>51</v>
      </c>
      <c r="J70" t="str">
        <f t="shared" si="6"/>
        <v>Nisqually River</v>
      </c>
      <c r="K70" t="str">
        <f>IFERROR(VLOOKUP(J70,LUTs!$A$1:$C$73,2,FALSE),"NA")</f>
        <v>Thurston/Pierce</v>
      </c>
      <c r="L70" t="str">
        <f>IFERROR(VLOOKUP(J70,LUTs!$A$1:$C$73,3,FALSE),"NA")</f>
        <v>3South Puget Sound</v>
      </c>
      <c r="M70" s="72" t="s">
        <v>23</v>
      </c>
      <c r="N70" t="str">
        <f>VLOOKUP(M70,LUTs!E$2:H$14,3,)</f>
        <v>10Kitsap</v>
      </c>
      <c r="O70" t="str">
        <f>VLOOKUP(M70,LUTs!E$2:H$14,4,)</f>
        <v>02South Puget Sound</v>
      </c>
      <c r="P70" s="73">
        <v>6.0615384615384604</v>
      </c>
      <c r="Q70" s="74">
        <f>VLOOKUP(B70,Readme!A$40:C$51,2,)*P70</f>
        <v>52.432307692307688</v>
      </c>
      <c r="S70" s="59" t="s">
        <v>157</v>
      </c>
      <c r="T70" s="12">
        <v>6.9833766692309221E-4</v>
      </c>
      <c r="U70" s="12">
        <v>7.9690879887723853E-6</v>
      </c>
      <c r="V70" s="12">
        <v>2.6402237153499671E-4</v>
      </c>
      <c r="W70" s="12">
        <v>4.0338845795027216E-3</v>
      </c>
      <c r="X70" s="12">
        <v>4.7900852962442911E-2</v>
      </c>
      <c r="Y70" s="12">
        <v>0.28076446401233929</v>
      </c>
      <c r="Z70" s="12">
        <v>0.4353537570315274</v>
      </c>
      <c r="AA70" s="12">
        <v>0.13935358403977002</v>
      </c>
      <c r="AB70" s="12">
        <v>7.3813324215214096E-2</v>
      </c>
      <c r="AC70" s="12">
        <v>1.7809804032756685E-2</v>
      </c>
      <c r="AD70" s="12">
        <v>1</v>
      </c>
    </row>
    <row r="71" spans="1:30" ht="14.15" customHeight="1" x14ac:dyDescent="0.35">
      <c r="A71" s="75">
        <v>70</v>
      </c>
      <c r="B71" s="64">
        <v>2010</v>
      </c>
      <c r="C71" s="64">
        <v>8</v>
      </c>
      <c r="D71" s="80">
        <f t="shared" si="5"/>
        <v>2010</v>
      </c>
      <c r="E71" t="s">
        <v>38</v>
      </c>
      <c r="F71" t="s">
        <v>143</v>
      </c>
      <c r="G71" t="s">
        <v>10</v>
      </c>
      <c r="H71" s="72" t="s">
        <v>209</v>
      </c>
      <c r="I71" s="72" t="s">
        <v>51</v>
      </c>
      <c r="J71" t="str">
        <f t="shared" si="6"/>
        <v>Nisqually River</v>
      </c>
      <c r="K71" t="str">
        <f>IFERROR(VLOOKUP(J71,LUTs!$A$1:$C$73,2,FALSE),"NA")</f>
        <v>Thurston/Pierce</v>
      </c>
      <c r="L71" t="str">
        <f>IFERROR(VLOOKUP(J71,LUTs!$A$1:$C$73,3,FALSE),"NA")</f>
        <v>3South Puget Sound</v>
      </c>
      <c r="M71" s="72" t="s">
        <v>22</v>
      </c>
      <c r="N71" t="str">
        <f>VLOOKUP(M71,LUTs!E$2:H$14,3,)</f>
        <v>09Mason</v>
      </c>
      <c r="O71" t="str">
        <f>VLOOKUP(M71,LUTs!E$2:H$14,4,)</f>
        <v>02South Puget Sound</v>
      </c>
      <c r="P71" s="73">
        <v>6.0615384615384604</v>
      </c>
      <c r="Q71" s="74">
        <f>VLOOKUP(B71,Readme!A$40:C$51,2,)*P71</f>
        <v>52.432307692307688</v>
      </c>
    </row>
    <row r="72" spans="1:30" ht="14.15" customHeight="1" x14ac:dyDescent="0.35">
      <c r="A72" s="75">
        <v>71</v>
      </c>
      <c r="B72" s="64">
        <v>2010</v>
      </c>
      <c r="C72" s="64">
        <v>8</v>
      </c>
      <c r="D72" s="80">
        <f t="shared" si="5"/>
        <v>2010</v>
      </c>
      <c r="E72" t="s">
        <v>38</v>
      </c>
      <c r="F72" t="s">
        <v>143</v>
      </c>
      <c r="G72" t="s">
        <v>10</v>
      </c>
      <c r="H72" s="72" t="s">
        <v>209</v>
      </c>
      <c r="I72" s="72" t="s">
        <v>51</v>
      </c>
      <c r="J72" t="str">
        <f t="shared" si="6"/>
        <v>Nisqually River</v>
      </c>
      <c r="K72" t="str">
        <f>IFERROR(VLOOKUP(J72,LUTs!$A$1:$C$73,2,FALSE),"NA")</f>
        <v>Thurston/Pierce</v>
      </c>
      <c r="L72" t="str">
        <f>IFERROR(VLOOKUP(J72,LUTs!$A$1:$C$73,3,FALSE),"NA")</f>
        <v>3South Puget Sound</v>
      </c>
      <c r="M72" s="72" t="s">
        <v>26</v>
      </c>
      <c r="N72" t="str">
        <f>VLOOKUP(M72,LUTs!E$2:H$14,3,)</f>
        <v>20Other</v>
      </c>
      <c r="O72" t="str">
        <f>VLOOKUP(M72,LUTs!E$2:H$14,4,)</f>
        <v>07Non Puget Sound</v>
      </c>
      <c r="P72" s="73">
        <v>30.307692307692299</v>
      </c>
      <c r="Q72" s="74">
        <f>VLOOKUP(B72,Readme!A$40:C$51,2,)*P72</f>
        <v>262.16153846153838</v>
      </c>
    </row>
    <row r="73" spans="1:30" ht="14.15" customHeight="1" x14ac:dyDescent="0.35">
      <c r="A73" s="75">
        <v>72</v>
      </c>
      <c r="B73" s="64">
        <v>2010</v>
      </c>
      <c r="C73" s="64">
        <v>8</v>
      </c>
      <c r="D73" s="80">
        <f t="shared" si="5"/>
        <v>2010</v>
      </c>
      <c r="E73" t="s">
        <v>38</v>
      </c>
      <c r="F73" t="s">
        <v>143</v>
      </c>
      <c r="G73" t="s">
        <v>10</v>
      </c>
      <c r="H73" s="72" t="s">
        <v>209</v>
      </c>
      <c r="I73" s="72" t="s">
        <v>51</v>
      </c>
      <c r="J73" t="str">
        <f t="shared" si="6"/>
        <v>Nisqually River</v>
      </c>
      <c r="K73" t="str">
        <f>IFERROR(VLOOKUP(J73,LUTs!$A$1:$C$73,2,FALSE),"NA")</f>
        <v>Thurston/Pierce</v>
      </c>
      <c r="L73" t="str">
        <f>IFERROR(VLOOKUP(J73,LUTs!$A$1:$C$73,3,FALSE),"NA")</f>
        <v>3South Puget Sound</v>
      </c>
      <c r="M73" s="72" t="s">
        <v>20</v>
      </c>
      <c r="N73" t="str">
        <f>VLOOKUP(M73,LUTs!E$2:H$14,3,)</f>
        <v>07Pierce</v>
      </c>
      <c r="O73" t="str">
        <f>VLOOKUP(M73,LUTs!E$2:H$14,4,)</f>
        <v>02South Puget Sound</v>
      </c>
      <c r="P73" s="73">
        <v>84.861538461538501</v>
      </c>
      <c r="Q73" s="74">
        <f>VLOOKUP(B73,Readme!A$40:C$51,2,)*P73</f>
        <v>734.05230769230809</v>
      </c>
    </row>
    <row r="74" spans="1:30" ht="14.15" customHeight="1" x14ac:dyDescent="0.35">
      <c r="A74" s="75">
        <v>73</v>
      </c>
      <c r="B74" s="64">
        <v>2010</v>
      </c>
      <c r="C74" s="64">
        <v>8</v>
      </c>
      <c r="D74" s="80">
        <f t="shared" si="5"/>
        <v>2010</v>
      </c>
      <c r="E74" t="s">
        <v>38</v>
      </c>
      <c r="F74" t="s">
        <v>143</v>
      </c>
      <c r="G74" t="s">
        <v>10</v>
      </c>
      <c r="H74" s="72" t="s">
        <v>209</v>
      </c>
      <c r="I74" s="72" t="s">
        <v>51</v>
      </c>
      <c r="J74" t="str">
        <f t="shared" si="6"/>
        <v>Nisqually River</v>
      </c>
      <c r="K74" t="str">
        <f>IFERROR(VLOOKUP(J74,LUTs!$A$1:$C$73,2,FALSE),"NA")</f>
        <v>Thurston/Pierce</v>
      </c>
      <c r="L74" t="str">
        <f>IFERROR(VLOOKUP(J74,LUTs!$A$1:$C$73,3,FALSE),"NA")</f>
        <v>3South Puget Sound</v>
      </c>
      <c r="M74" s="72" t="s">
        <v>21</v>
      </c>
      <c r="N74" t="str">
        <f>VLOOKUP(M74,LUTs!E$2:H$14,3,)</f>
        <v>08Thurston</v>
      </c>
      <c r="O74" t="str">
        <f>VLOOKUP(M74,LUTs!E$2:H$14,4,)</f>
        <v>02South Puget Sound</v>
      </c>
      <c r="P74" s="73">
        <v>236.4</v>
      </c>
      <c r="Q74" s="74">
        <f>VLOOKUP(B74,Readme!A$40:C$51,2,)*P74</f>
        <v>2044.8600000000001</v>
      </c>
    </row>
    <row r="75" spans="1:30" ht="14.15" customHeight="1" x14ac:dyDescent="0.35">
      <c r="A75" s="75">
        <v>74</v>
      </c>
      <c r="B75" s="64">
        <v>2010</v>
      </c>
      <c r="C75" s="64">
        <v>9</v>
      </c>
      <c r="D75" s="80">
        <f t="shared" si="5"/>
        <v>2010</v>
      </c>
      <c r="E75" t="s">
        <v>38</v>
      </c>
      <c r="F75" t="s">
        <v>143</v>
      </c>
      <c r="G75" t="s">
        <v>10</v>
      </c>
      <c r="H75" s="72" t="s">
        <v>209</v>
      </c>
      <c r="I75" s="72" t="s">
        <v>51</v>
      </c>
      <c r="J75" t="str">
        <f t="shared" si="6"/>
        <v>Nisqually River</v>
      </c>
      <c r="K75" t="str">
        <f>IFERROR(VLOOKUP(J75,LUTs!$A$1:$C$73,2,FALSE),"NA")</f>
        <v>Thurston/Pierce</v>
      </c>
      <c r="L75" t="str">
        <f>IFERROR(VLOOKUP(J75,LUTs!$A$1:$C$73,3,FALSE),"NA")</f>
        <v>3South Puget Sound</v>
      </c>
      <c r="M75" s="72" t="s">
        <v>18</v>
      </c>
      <c r="N75" t="str">
        <f>VLOOKUP(M75,LUTs!E$2:H$14,3,)</f>
        <v>06King</v>
      </c>
      <c r="O75" t="str">
        <f>VLOOKUP(M75,LUTs!E$2:H$14,4,)</f>
        <v>02South Puget Sound</v>
      </c>
      <c r="P75" s="73">
        <v>188.15384615384599</v>
      </c>
      <c r="Q75" s="74">
        <f>VLOOKUP(B75,Readme!A$40:C$51,2,)*P75</f>
        <v>1627.5307692307679</v>
      </c>
    </row>
    <row r="76" spans="1:30" ht="14.15" customHeight="1" x14ac:dyDescent="0.35">
      <c r="A76" s="75">
        <v>75</v>
      </c>
      <c r="B76" s="64">
        <v>2010</v>
      </c>
      <c r="C76" s="64">
        <v>9</v>
      </c>
      <c r="D76" s="80">
        <f t="shared" si="5"/>
        <v>2010</v>
      </c>
      <c r="E76" t="s">
        <v>38</v>
      </c>
      <c r="F76" t="s">
        <v>143</v>
      </c>
      <c r="G76" t="s">
        <v>10</v>
      </c>
      <c r="H76" s="72" t="s">
        <v>209</v>
      </c>
      <c r="I76" s="72" t="s">
        <v>51</v>
      </c>
      <c r="J76" t="str">
        <f t="shared" si="6"/>
        <v>Nisqually River</v>
      </c>
      <c r="K76" t="str">
        <f>IFERROR(VLOOKUP(J76,LUTs!$A$1:$C$73,2,FALSE),"NA")</f>
        <v>Thurston/Pierce</v>
      </c>
      <c r="L76" t="str">
        <f>IFERROR(VLOOKUP(J76,LUTs!$A$1:$C$73,3,FALSE),"NA")</f>
        <v>3South Puget Sound</v>
      </c>
      <c r="M76" s="72" t="s">
        <v>23</v>
      </c>
      <c r="N76" t="str">
        <f>VLOOKUP(M76,LUTs!E$2:H$14,3,)</f>
        <v>10Kitsap</v>
      </c>
      <c r="O76" t="str">
        <f>VLOOKUP(M76,LUTs!E$2:H$14,4,)</f>
        <v>02South Puget Sound</v>
      </c>
      <c r="P76" s="73">
        <v>54.625310173697301</v>
      </c>
      <c r="Q76" s="74">
        <f>VLOOKUP(B76,Readme!A$40:C$51,2,)*P76</f>
        <v>472.50893300248168</v>
      </c>
    </row>
    <row r="77" spans="1:30" ht="14.15" customHeight="1" x14ac:dyDescent="0.35">
      <c r="A77" s="75">
        <v>76</v>
      </c>
      <c r="B77" s="64">
        <v>2010</v>
      </c>
      <c r="C77" s="64">
        <v>9</v>
      </c>
      <c r="D77" s="80">
        <f t="shared" si="5"/>
        <v>2010</v>
      </c>
      <c r="E77" t="s">
        <v>38</v>
      </c>
      <c r="F77" t="s">
        <v>143</v>
      </c>
      <c r="G77" t="s">
        <v>10</v>
      </c>
      <c r="H77" s="72" t="s">
        <v>209</v>
      </c>
      <c r="I77" s="72" t="s">
        <v>51</v>
      </c>
      <c r="J77" t="str">
        <f t="shared" si="6"/>
        <v>Nisqually River</v>
      </c>
      <c r="K77" t="str">
        <f>IFERROR(VLOOKUP(J77,LUTs!$A$1:$C$73,2,FALSE),"NA")</f>
        <v>Thurston/Pierce</v>
      </c>
      <c r="L77" t="str">
        <f>IFERROR(VLOOKUP(J77,LUTs!$A$1:$C$73,3,FALSE),"NA")</f>
        <v>3South Puget Sound</v>
      </c>
      <c r="M77" s="72" t="s">
        <v>22</v>
      </c>
      <c r="N77" t="str">
        <f>VLOOKUP(M77,LUTs!E$2:H$14,3,)</f>
        <v>09Mason</v>
      </c>
      <c r="O77" t="str">
        <f>VLOOKUP(M77,LUTs!E$2:H$14,4,)</f>
        <v>02South Puget Sound</v>
      </c>
      <c r="P77" s="73">
        <v>18.2084367245658</v>
      </c>
      <c r="Q77" s="74">
        <f>VLOOKUP(B77,Readme!A$40:C$51,2,)*P77</f>
        <v>157.50297766749418</v>
      </c>
    </row>
    <row r="78" spans="1:30" ht="14.15" customHeight="1" x14ac:dyDescent="0.35">
      <c r="A78" s="75">
        <v>77</v>
      </c>
      <c r="B78" s="64">
        <v>2010</v>
      </c>
      <c r="C78" s="64">
        <v>9</v>
      </c>
      <c r="D78" s="80">
        <f t="shared" si="5"/>
        <v>2010</v>
      </c>
      <c r="E78" t="s">
        <v>38</v>
      </c>
      <c r="F78" t="s">
        <v>143</v>
      </c>
      <c r="G78" t="s">
        <v>10</v>
      </c>
      <c r="H78" s="72" t="s">
        <v>209</v>
      </c>
      <c r="I78" s="72" t="s">
        <v>51</v>
      </c>
      <c r="J78" t="str">
        <f t="shared" si="6"/>
        <v>Nisqually River</v>
      </c>
      <c r="K78" t="str">
        <f>IFERROR(VLOOKUP(J78,LUTs!$A$1:$C$73,2,FALSE),"NA")</f>
        <v>Thurston/Pierce</v>
      </c>
      <c r="L78" t="str">
        <f>IFERROR(VLOOKUP(J78,LUTs!$A$1:$C$73,3,FALSE),"NA")</f>
        <v>3South Puget Sound</v>
      </c>
      <c r="M78" s="72" t="s">
        <v>26</v>
      </c>
      <c r="N78" t="str">
        <f>VLOOKUP(M78,LUTs!E$2:H$14,3,)</f>
        <v>20Other</v>
      </c>
      <c r="O78" t="str">
        <f>VLOOKUP(M78,LUTs!E$2:H$14,4,)</f>
        <v>07Non Puget Sound</v>
      </c>
      <c r="P78" s="73">
        <v>176.01488833746899</v>
      </c>
      <c r="Q78" s="74">
        <f>VLOOKUP(B78,Readme!A$40:C$51,2,)*P78</f>
        <v>1522.5287841191068</v>
      </c>
    </row>
    <row r="79" spans="1:30" ht="14.15" customHeight="1" x14ac:dyDescent="0.35">
      <c r="A79" s="75">
        <v>78</v>
      </c>
      <c r="B79" s="64">
        <v>2010</v>
      </c>
      <c r="C79" s="64">
        <v>9</v>
      </c>
      <c r="D79" s="80">
        <f t="shared" si="5"/>
        <v>2010</v>
      </c>
      <c r="E79" t="s">
        <v>38</v>
      </c>
      <c r="F79" t="s">
        <v>143</v>
      </c>
      <c r="G79" t="s">
        <v>10</v>
      </c>
      <c r="H79" s="72" t="s">
        <v>209</v>
      </c>
      <c r="I79" s="72" t="s">
        <v>51</v>
      </c>
      <c r="J79" t="str">
        <f t="shared" si="6"/>
        <v>Nisqually River</v>
      </c>
      <c r="K79" t="str">
        <f>IFERROR(VLOOKUP(J79,LUTs!$A$1:$C$73,2,FALSE),"NA")</f>
        <v>Thurston/Pierce</v>
      </c>
      <c r="L79" t="str">
        <f>IFERROR(VLOOKUP(J79,LUTs!$A$1:$C$73,3,FALSE),"NA")</f>
        <v>3South Puget Sound</v>
      </c>
      <c r="M79" s="72" t="s">
        <v>20</v>
      </c>
      <c r="N79" t="str">
        <f>VLOOKUP(M79,LUTs!E$2:H$14,3,)</f>
        <v>07Pierce</v>
      </c>
      <c r="O79" t="str">
        <f>VLOOKUP(M79,LUTs!E$2:H$14,4,)</f>
        <v>02South Puget Sound</v>
      </c>
      <c r="P79" s="73">
        <v>1177.4789081885899</v>
      </c>
      <c r="Q79" s="74">
        <f>VLOOKUP(B79,Readme!A$40:C$51,2,)*P79</f>
        <v>10185.192555831303</v>
      </c>
    </row>
    <row r="80" spans="1:30" ht="14.15" customHeight="1" x14ac:dyDescent="0.35">
      <c r="A80" s="75">
        <v>79</v>
      </c>
      <c r="B80" s="64">
        <v>2010</v>
      </c>
      <c r="C80" s="64">
        <v>9</v>
      </c>
      <c r="D80" s="80">
        <f t="shared" si="5"/>
        <v>2010</v>
      </c>
      <c r="E80" t="s">
        <v>38</v>
      </c>
      <c r="F80" t="s">
        <v>143</v>
      </c>
      <c r="G80" t="s">
        <v>10</v>
      </c>
      <c r="H80" s="72" t="s">
        <v>209</v>
      </c>
      <c r="I80" s="72" t="s">
        <v>51</v>
      </c>
      <c r="J80" t="str">
        <f t="shared" si="6"/>
        <v>Nisqually River</v>
      </c>
      <c r="K80" t="str">
        <f>IFERROR(VLOOKUP(J80,LUTs!$A$1:$C$73,2,FALSE),"NA")</f>
        <v>Thurston/Pierce</v>
      </c>
      <c r="L80" t="str">
        <f>IFERROR(VLOOKUP(J80,LUTs!$A$1:$C$73,3,FALSE),"NA")</f>
        <v>3South Puget Sound</v>
      </c>
      <c r="M80" s="72" t="s">
        <v>16</v>
      </c>
      <c r="N80" t="str">
        <f>VLOOKUP(M80,LUTs!E$2:H$14,3,)</f>
        <v>03Snohomish</v>
      </c>
      <c r="O80" t="str">
        <f>VLOOKUP(M80,LUTs!E$2:H$14,4,)</f>
        <v>01North Puget Sound</v>
      </c>
      <c r="P80" s="73">
        <v>30.347394540942901</v>
      </c>
      <c r="Q80" s="74">
        <f>VLOOKUP(B80,Readme!A$40:C$51,2,)*P80</f>
        <v>262.50496277915607</v>
      </c>
    </row>
    <row r="81" spans="1:17" ht="14.15" customHeight="1" x14ac:dyDescent="0.35">
      <c r="A81" s="75">
        <v>80</v>
      </c>
      <c r="B81" s="64">
        <v>2010</v>
      </c>
      <c r="C81" s="64">
        <v>9</v>
      </c>
      <c r="D81" s="80">
        <f t="shared" si="5"/>
        <v>2010</v>
      </c>
      <c r="E81" t="s">
        <v>38</v>
      </c>
      <c r="F81" t="s">
        <v>143</v>
      </c>
      <c r="G81" t="s">
        <v>10</v>
      </c>
      <c r="H81" s="72" t="s">
        <v>209</v>
      </c>
      <c r="I81" s="72" t="s">
        <v>51</v>
      </c>
      <c r="J81" t="str">
        <f t="shared" si="6"/>
        <v>Nisqually River</v>
      </c>
      <c r="K81" t="str">
        <f>IFERROR(VLOOKUP(J81,LUTs!$A$1:$C$73,2,FALSE),"NA")</f>
        <v>Thurston/Pierce</v>
      </c>
      <c r="L81" t="str">
        <f>IFERROR(VLOOKUP(J81,LUTs!$A$1:$C$73,3,FALSE),"NA")</f>
        <v>3South Puget Sound</v>
      </c>
      <c r="M81" s="72" t="s">
        <v>21</v>
      </c>
      <c r="N81" t="str">
        <f>VLOOKUP(M81,LUTs!E$2:H$14,3,)</f>
        <v>08Thurston</v>
      </c>
      <c r="O81" t="str">
        <f>VLOOKUP(M81,LUTs!E$2:H$14,4,)</f>
        <v>02South Puget Sound</v>
      </c>
      <c r="P81" s="73">
        <v>801.17121588089299</v>
      </c>
      <c r="Q81" s="74">
        <f>VLOOKUP(B81,Readme!A$40:C$51,2,)*P81</f>
        <v>6930.1310173697248</v>
      </c>
    </row>
    <row r="82" spans="1:17" ht="14.15" customHeight="1" x14ac:dyDescent="0.35">
      <c r="A82" s="75">
        <v>81</v>
      </c>
      <c r="B82" s="64">
        <v>2010</v>
      </c>
      <c r="C82" s="64">
        <v>10</v>
      </c>
      <c r="D82" s="80">
        <f t="shared" si="5"/>
        <v>2010</v>
      </c>
      <c r="E82" t="s">
        <v>38</v>
      </c>
      <c r="F82" t="s">
        <v>143</v>
      </c>
      <c r="G82" t="s">
        <v>10</v>
      </c>
      <c r="H82" s="72" t="s">
        <v>209</v>
      </c>
      <c r="I82" s="72" t="s">
        <v>51</v>
      </c>
      <c r="J82" t="str">
        <f t="shared" si="6"/>
        <v>Nisqually River</v>
      </c>
      <c r="K82" t="str">
        <f>IFERROR(VLOOKUP(J82,LUTs!$A$1:$C$73,2,FALSE),"NA")</f>
        <v>Thurston/Pierce</v>
      </c>
      <c r="L82" t="str">
        <f>IFERROR(VLOOKUP(J82,LUTs!$A$1:$C$73,3,FALSE),"NA")</f>
        <v>3South Puget Sound</v>
      </c>
      <c r="M82" s="72" t="s">
        <v>18</v>
      </c>
      <c r="N82" t="str">
        <f>VLOOKUP(M82,LUTs!E$2:H$14,3,)</f>
        <v>06King</v>
      </c>
      <c r="O82" t="str">
        <f>VLOOKUP(M82,LUTs!E$2:H$14,4,)</f>
        <v>02South Puget Sound</v>
      </c>
      <c r="P82" s="73">
        <v>114.985185185185</v>
      </c>
      <c r="Q82" s="74">
        <f>VLOOKUP(B82,Readme!A$40:C$51,2,)*P82</f>
        <v>994.62185185185035</v>
      </c>
    </row>
    <row r="83" spans="1:17" ht="14.15" customHeight="1" x14ac:dyDescent="0.35">
      <c r="A83" s="75">
        <v>82</v>
      </c>
      <c r="B83" s="64">
        <v>2010</v>
      </c>
      <c r="C83" s="64">
        <v>10</v>
      </c>
      <c r="D83" s="80">
        <f t="shared" si="5"/>
        <v>2010</v>
      </c>
      <c r="E83" t="s">
        <v>38</v>
      </c>
      <c r="F83" t="s">
        <v>143</v>
      </c>
      <c r="G83" t="s">
        <v>10</v>
      </c>
      <c r="H83" s="72" t="s">
        <v>209</v>
      </c>
      <c r="I83" s="72" t="s">
        <v>51</v>
      </c>
      <c r="J83" t="str">
        <f t="shared" si="6"/>
        <v>Nisqually River</v>
      </c>
      <c r="K83" t="str">
        <f>IFERROR(VLOOKUP(J83,LUTs!$A$1:$C$73,2,FALSE),"NA")</f>
        <v>Thurston/Pierce</v>
      </c>
      <c r="L83" t="str">
        <f>IFERROR(VLOOKUP(J83,LUTs!$A$1:$C$73,3,FALSE),"NA")</f>
        <v>3South Puget Sound</v>
      </c>
      <c r="M83" s="72" t="s">
        <v>23</v>
      </c>
      <c r="N83" t="str">
        <f>VLOOKUP(M83,LUTs!E$2:H$14,3,)</f>
        <v>10Kitsap</v>
      </c>
      <c r="O83" t="str">
        <f>VLOOKUP(M83,LUTs!E$2:H$14,4,)</f>
        <v>02South Puget Sound</v>
      </c>
      <c r="P83" s="73">
        <v>12.103703703703699</v>
      </c>
      <c r="Q83" s="74">
        <f>VLOOKUP(B83,Readme!A$40:C$51,2,)*P83</f>
        <v>104.69703703703701</v>
      </c>
    </row>
    <row r="84" spans="1:17" ht="14.15" customHeight="1" x14ac:dyDescent="0.35">
      <c r="A84" s="75">
        <v>83</v>
      </c>
      <c r="B84" s="64">
        <v>2010</v>
      </c>
      <c r="C84" s="64">
        <v>10</v>
      </c>
      <c r="D84" s="80">
        <f t="shared" si="5"/>
        <v>2010</v>
      </c>
      <c r="E84" t="s">
        <v>38</v>
      </c>
      <c r="F84" t="s">
        <v>143</v>
      </c>
      <c r="G84" t="s">
        <v>10</v>
      </c>
      <c r="H84" s="72" t="s">
        <v>209</v>
      </c>
      <c r="I84" s="72" t="s">
        <v>51</v>
      </c>
      <c r="J84" t="str">
        <f t="shared" si="6"/>
        <v>Nisqually River</v>
      </c>
      <c r="K84" t="str">
        <f>IFERROR(VLOOKUP(J84,LUTs!$A$1:$C$73,2,FALSE),"NA")</f>
        <v>Thurston/Pierce</v>
      </c>
      <c r="L84" t="str">
        <f>IFERROR(VLOOKUP(J84,LUTs!$A$1:$C$73,3,FALSE),"NA")</f>
        <v>3South Puget Sound</v>
      </c>
      <c r="M84" s="72" t="s">
        <v>26</v>
      </c>
      <c r="N84" t="str">
        <f>VLOOKUP(M84,LUTs!E$2:H$14,3,)</f>
        <v>20Other</v>
      </c>
      <c r="O84" t="str">
        <f>VLOOKUP(M84,LUTs!E$2:H$14,4,)</f>
        <v>07Non Puget Sound</v>
      </c>
      <c r="P84" s="73">
        <v>30.259259259259299</v>
      </c>
      <c r="Q84" s="74">
        <f>VLOOKUP(B84,Readme!A$40:C$51,2,)*P84</f>
        <v>261.74259259259293</v>
      </c>
    </row>
    <row r="85" spans="1:17" ht="14.15" customHeight="1" x14ac:dyDescent="0.35">
      <c r="A85" s="75">
        <v>84</v>
      </c>
      <c r="B85" s="64">
        <v>2010</v>
      </c>
      <c r="C85" s="64">
        <v>10</v>
      </c>
      <c r="D85" s="80">
        <f t="shared" si="5"/>
        <v>2010</v>
      </c>
      <c r="E85" t="s">
        <v>38</v>
      </c>
      <c r="F85" t="s">
        <v>143</v>
      </c>
      <c r="G85" t="s">
        <v>10</v>
      </c>
      <c r="H85" s="72" t="s">
        <v>209</v>
      </c>
      <c r="I85" s="72" t="s">
        <v>51</v>
      </c>
      <c r="J85" t="str">
        <f t="shared" si="6"/>
        <v>Nisqually River</v>
      </c>
      <c r="K85" t="str">
        <f>IFERROR(VLOOKUP(J85,LUTs!$A$1:$C$73,2,FALSE),"NA")</f>
        <v>Thurston/Pierce</v>
      </c>
      <c r="L85" t="str">
        <f>IFERROR(VLOOKUP(J85,LUTs!$A$1:$C$73,3,FALSE),"NA")</f>
        <v>3South Puget Sound</v>
      </c>
      <c r="M85" s="72" t="s">
        <v>20</v>
      </c>
      <c r="N85" t="str">
        <f>VLOOKUP(M85,LUTs!E$2:H$14,3,)</f>
        <v>07Pierce</v>
      </c>
      <c r="O85" t="str">
        <f>VLOOKUP(M85,LUTs!E$2:H$14,4,)</f>
        <v>02South Puget Sound</v>
      </c>
      <c r="P85" s="73">
        <v>338.90370370370402</v>
      </c>
      <c r="Q85" s="74">
        <f>VLOOKUP(B85,Readme!A$40:C$51,2,)*P85</f>
        <v>2931.5170370370402</v>
      </c>
    </row>
    <row r="86" spans="1:17" ht="14.15" customHeight="1" x14ac:dyDescent="0.35">
      <c r="A86" s="75">
        <v>85</v>
      </c>
      <c r="B86" s="64">
        <v>2010</v>
      </c>
      <c r="C86" s="64">
        <v>10</v>
      </c>
      <c r="D86" s="80">
        <f t="shared" si="5"/>
        <v>2010</v>
      </c>
      <c r="E86" t="s">
        <v>38</v>
      </c>
      <c r="F86" t="s">
        <v>143</v>
      </c>
      <c r="G86" t="s">
        <v>10</v>
      </c>
      <c r="H86" s="72" t="s">
        <v>209</v>
      </c>
      <c r="I86" s="72" t="s">
        <v>51</v>
      </c>
      <c r="J86" t="str">
        <f t="shared" si="6"/>
        <v>Nisqually River</v>
      </c>
      <c r="K86" t="str">
        <f>IFERROR(VLOOKUP(J86,LUTs!$A$1:$C$73,2,FALSE),"NA")</f>
        <v>Thurston/Pierce</v>
      </c>
      <c r="L86" t="str">
        <f>IFERROR(VLOOKUP(J86,LUTs!$A$1:$C$73,3,FALSE),"NA")</f>
        <v>3South Puget Sound</v>
      </c>
      <c r="M86" s="72" t="s">
        <v>21</v>
      </c>
      <c r="N86" t="str">
        <f>VLOOKUP(M86,LUTs!E$2:H$14,3,)</f>
        <v>08Thurston</v>
      </c>
      <c r="O86" t="str">
        <f>VLOOKUP(M86,LUTs!E$2:H$14,4,)</f>
        <v>02South Puget Sound</v>
      </c>
      <c r="P86" s="73">
        <v>320.748148148148</v>
      </c>
      <c r="Q86" s="74">
        <f>VLOOKUP(B86,Readme!A$40:C$51,2,)*P86</f>
        <v>2774.4714814814802</v>
      </c>
    </row>
    <row r="87" spans="1:17" ht="14.15" customHeight="1" x14ac:dyDescent="0.35">
      <c r="A87" s="75">
        <v>86</v>
      </c>
      <c r="B87" s="64">
        <v>2010</v>
      </c>
      <c r="C87" s="64">
        <v>11</v>
      </c>
      <c r="D87" s="80">
        <f t="shared" si="5"/>
        <v>2010</v>
      </c>
      <c r="E87" t="s">
        <v>38</v>
      </c>
      <c r="F87" t="s">
        <v>143</v>
      </c>
      <c r="G87" t="s">
        <v>10</v>
      </c>
      <c r="H87" s="72" t="s">
        <v>209</v>
      </c>
      <c r="I87" s="72" t="s">
        <v>51</v>
      </c>
      <c r="J87" t="str">
        <f t="shared" si="6"/>
        <v>Nisqually River</v>
      </c>
      <c r="K87" t="str">
        <f>IFERROR(VLOOKUP(J87,LUTs!$A$1:$C$73,2,FALSE),"NA")</f>
        <v>Thurston/Pierce</v>
      </c>
      <c r="L87" t="str">
        <f>IFERROR(VLOOKUP(J87,LUTs!$A$1:$C$73,3,FALSE),"NA")</f>
        <v>3South Puget Sound</v>
      </c>
      <c r="M87" s="72" t="s">
        <v>26</v>
      </c>
      <c r="N87" t="str">
        <f>VLOOKUP(M87,LUTs!E$2:H$14,3,)</f>
        <v>20Other</v>
      </c>
      <c r="O87" t="str">
        <f>VLOOKUP(M87,LUTs!E$2:H$14,4,)</f>
        <v>07Non Puget Sound</v>
      </c>
      <c r="P87" s="73">
        <v>6.0555555555555598</v>
      </c>
      <c r="Q87" s="74">
        <f>VLOOKUP(B87,Readme!A$40:C$51,2,)*P87</f>
        <v>52.380555555555596</v>
      </c>
    </row>
    <row r="88" spans="1:17" ht="14.15" customHeight="1" x14ac:dyDescent="0.35">
      <c r="A88" s="75">
        <v>87</v>
      </c>
      <c r="B88" s="64">
        <v>2010</v>
      </c>
      <c r="C88" s="64">
        <v>11</v>
      </c>
      <c r="D88" s="80">
        <f t="shared" si="5"/>
        <v>2010</v>
      </c>
      <c r="E88" t="s">
        <v>38</v>
      </c>
      <c r="F88" t="s">
        <v>143</v>
      </c>
      <c r="G88" t="s">
        <v>10</v>
      </c>
      <c r="H88" s="72" t="s">
        <v>209</v>
      </c>
      <c r="I88" s="72" t="s">
        <v>51</v>
      </c>
      <c r="J88" t="str">
        <f t="shared" si="6"/>
        <v>Nisqually River</v>
      </c>
      <c r="K88" t="str">
        <f>IFERROR(VLOOKUP(J88,LUTs!$A$1:$C$73,2,FALSE),"NA")</f>
        <v>Thurston/Pierce</v>
      </c>
      <c r="L88" t="str">
        <f>IFERROR(VLOOKUP(J88,LUTs!$A$1:$C$73,3,FALSE),"NA")</f>
        <v>3South Puget Sound</v>
      </c>
      <c r="M88" s="72" t="s">
        <v>20</v>
      </c>
      <c r="N88" t="str">
        <f>VLOOKUP(M88,LUTs!E$2:H$14,3,)</f>
        <v>07Pierce</v>
      </c>
      <c r="O88" t="str">
        <f>VLOOKUP(M88,LUTs!E$2:H$14,4,)</f>
        <v>02South Puget Sound</v>
      </c>
      <c r="P88" s="73">
        <v>6.0555555555555598</v>
      </c>
      <c r="Q88" s="74">
        <f>VLOOKUP(B88,Readme!A$40:C$51,2,)*P88</f>
        <v>52.380555555555596</v>
      </c>
    </row>
    <row r="89" spans="1:17" ht="14.15" customHeight="1" x14ac:dyDescent="0.35">
      <c r="A89" s="75">
        <v>88</v>
      </c>
      <c r="B89" s="64">
        <v>2010</v>
      </c>
      <c r="C89" s="64">
        <v>11</v>
      </c>
      <c r="D89" s="80">
        <f t="shared" si="5"/>
        <v>2010</v>
      </c>
      <c r="E89" t="s">
        <v>38</v>
      </c>
      <c r="F89" t="s">
        <v>143</v>
      </c>
      <c r="G89" t="s">
        <v>10</v>
      </c>
      <c r="H89" s="72" t="s">
        <v>209</v>
      </c>
      <c r="I89" s="72" t="s">
        <v>51</v>
      </c>
      <c r="J89" t="str">
        <f t="shared" si="6"/>
        <v>Nisqually River</v>
      </c>
      <c r="K89" t="str">
        <f>IFERROR(VLOOKUP(J89,LUTs!$A$1:$C$73,2,FALSE),"NA")</f>
        <v>Thurston/Pierce</v>
      </c>
      <c r="L89" t="str">
        <f>IFERROR(VLOOKUP(J89,LUTs!$A$1:$C$73,3,FALSE),"NA")</f>
        <v>3South Puget Sound</v>
      </c>
      <c r="M89" s="72" t="s">
        <v>21</v>
      </c>
      <c r="N89" t="str">
        <f>VLOOKUP(M89,LUTs!E$2:H$14,3,)</f>
        <v>08Thurston</v>
      </c>
      <c r="O89" t="str">
        <f>VLOOKUP(M89,LUTs!E$2:H$14,4,)</f>
        <v>02South Puget Sound</v>
      </c>
      <c r="P89" s="73">
        <v>96.8888888888889</v>
      </c>
      <c r="Q89" s="74">
        <f>VLOOKUP(B89,Readme!A$40:C$51,2,)*P89</f>
        <v>838.08888888888907</v>
      </c>
    </row>
    <row r="90" spans="1:17" ht="14.15" customHeight="1" x14ac:dyDescent="0.35">
      <c r="A90" s="75">
        <v>89</v>
      </c>
      <c r="B90" s="64">
        <v>2010</v>
      </c>
      <c r="C90" s="64">
        <v>12</v>
      </c>
      <c r="D90" s="80">
        <f t="shared" si="5"/>
        <v>2010</v>
      </c>
      <c r="E90" t="s">
        <v>38</v>
      </c>
      <c r="F90" t="s">
        <v>143</v>
      </c>
      <c r="G90" t="s">
        <v>10</v>
      </c>
      <c r="H90" s="72" t="s">
        <v>209</v>
      </c>
      <c r="I90" s="72" t="s">
        <v>51</v>
      </c>
      <c r="J90" t="str">
        <f t="shared" si="6"/>
        <v>Nisqually River</v>
      </c>
      <c r="K90" t="str">
        <f>IFERROR(VLOOKUP(J90,LUTs!$A$1:$C$73,2,FALSE),"NA")</f>
        <v>Thurston/Pierce</v>
      </c>
      <c r="L90" t="str">
        <f>IFERROR(VLOOKUP(J90,LUTs!$A$1:$C$73,3,FALSE),"NA")</f>
        <v>3South Puget Sound</v>
      </c>
      <c r="M90" s="72" t="s">
        <v>18</v>
      </c>
      <c r="N90" t="str">
        <f>VLOOKUP(M90,LUTs!E$2:H$14,3,)</f>
        <v>06King</v>
      </c>
      <c r="O90" t="str">
        <f>VLOOKUP(M90,LUTs!E$2:H$14,4,)</f>
        <v>02South Puget Sound</v>
      </c>
      <c r="P90" s="73">
        <v>66.841176470588294</v>
      </c>
      <c r="Q90" s="74">
        <f>VLOOKUP(B90,Readme!A$40:C$51,2,)*P90</f>
        <v>578.17617647058876</v>
      </c>
    </row>
    <row r="91" spans="1:17" ht="14.15" customHeight="1" x14ac:dyDescent="0.35">
      <c r="A91" s="75">
        <v>90</v>
      </c>
      <c r="B91" s="64">
        <v>2010</v>
      </c>
      <c r="C91" s="64">
        <v>12</v>
      </c>
      <c r="D91" s="80">
        <f t="shared" si="5"/>
        <v>2010</v>
      </c>
      <c r="E91" t="s">
        <v>38</v>
      </c>
      <c r="F91" t="s">
        <v>143</v>
      </c>
      <c r="G91" t="s">
        <v>10</v>
      </c>
      <c r="H91" s="72" t="s">
        <v>209</v>
      </c>
      <c r="I91" s="72" t="s">
        <v>51</v>
      </c>
      <c r="J91" t="str">
        <f t="shared" si="6"/>
        <v>Nisqually River</v>
      </c>
      <c r="K91" t="str">
        <f>IFERROR(VLOOKUP(J91,LUTs!$A$1:$C$73,2,FALSE),"NA")</f>
        <v>Thurston/Pierce</v>
      </c>
      <c r="L91" t="str">
        <f>IFERROR(VLOOKUP(J91,LUTs!$A$1:$C$73,3,FALSE),"NA")</f>
        <v>3South Puget Sound</v>
      </c>
      <c r="M91" s="72" t="s">
        <v>23</v>
      </c>
      <c r="N91" t="str">
        <f>VLOOKUP(M91,LUTs!E$2:H$14,3,)</f>
        <v>10Kitsap</v>
      </c>
      <c r="O91" t="str">
        <f>VLOOKUP(M91,LUTs!E$2:H$14,4,)</f>
        <v>02South Puget Sound</v>
      </c>
      <c r="P91" s="73">
        <v>18.229411764705901</v>
      </c>
      <c r="Q91" s="74">
        <f>VLOOKUP(B91,Readme!A$40:C$51,2,)*P91</f>
        <v>157.68441176470606</v>
      </c>
    </row>
    <row r="92" spans="1:17" ht="14.15" customHeight="1" x14ac:dyDescent="0.35">
      <c r="A92" s="75">
        <v>91</v>
      </c>
      <c r="B92" s="64">
        <v>2010</v>
      </c>
      <c r="C92" s="64">
        <v>12</v>
      </c>
      <c r="D92" s="80">
        <f t="shared" si="5"/>
        <v>2010</v>
      </c>
      <c r="E92" t="s">
        <v>38</v>
      </c>
      <c r="F92" t="s">
        <v>143</v>
      </c>
      <c r="G92" t="s">
        <v>10</v>
      </c>
      <c r="H92" s="72" t="s">
        <v>209</v>
      </c>
      <c r="I92" s="72" t="s">
        <v>51</v>
      </c>
      <c r="J92" t="str">
        <f t="shared" si="6"/>
        <v>Nisqually River</v>
      </c>
      <c r="K92" t="str">
        <f>IFERROR(VLOOKUP(J92,LUTs!$A$1:$C$73,2,FALSE),"NA")</f>
        <v>Thurston/Pierce</v>
      </c>
      <c r="L92" t="str">
        <f>IFERROR(VLOOKUP(J92,LUTs!$A$1:$C$73,3,FALSE),"NA")</f>
        <v>3South Puget Sound</v>
      </c>
      <c r="M92" s="72" t="s">
        <v>26</v>
      </c>
      <c r="N92" t="str">
        <f>VLOOKUP(M92,LUTs!E$2:H$14,3,)</f>
        <v>20Other</v>
      </c>
      <c r="O92" t="str">
        <f>VLOOKUP(M92,LUTs!E$2:H$14,4,)</f>
        <v>07Non Puget Sound</v>
      </c>
      <c r="P92" s="73">
        <v>66.841176470588294</v>
      </c>
      <c r="Q92" s="74">
        <f>VLOOKUP(B92,Readme!A$40:C$51,2,)*P92</f>
        <v>578.17617647058876</v>
      </c>
    </row>
    <row r="93" spans="1:17" ht="14.15" customHeight="1" x14ac:dyDescent="0.35">
      <c r="A93" s="75">
        <v>92</v>
      </c>
      <c r="B93" s="64">
        <v>2010</v>
      </c>
      <c r="C93" s="64">
        <v>12</v>
      </c>
      <c r="D93" s="80">
        <f t="shared" si="5"/>
        <v>2010</v>
      </c>
      <c r="E93" t="s">
        <v>38</v>
      </c>
      <c r="F93" t="s">
        <v>143</v>
      </c>
      <c r="G93" t="s">
        <v>10</v>
      </c>
      <c r="H93" s="72" t="s">
        <v>209</v>
      </c>
      <c r="I93" s="72" t="s">
        <v>51</v>
      </c>
      <c r="J93" t="str">
        <f t="shared" si="6"/>
        <v>Nisqually River</v>
      </c>
      <c r="K93" t="str">
        <f>IFERROR(VLOOKUP(J93,LUTs!$A$1:$C$73,2,FALSE),"NA")</f>
        <v>Thurston/Pierce</v>
      </c>
      <c r="L93" t="str">
        <f>IFERROR(VLOOKUP(J93,LUTs!$A$1:$C$73,3,FALSE),"NA")</f>
        <v>3South Puget Sound</v>
      </c>
      <c r="M93" s="72" t="s">
        <v>20</v>
      </c>
      <c r="N93" t="str">
        <f>VLOOKUP(M93,LUTs!E$2:H$14,3,)</f>
        <v>07Pierce</v>
      </c>
      <c r="O93" t="str">
        <f>VLOOKUP(M93,LUTs!E$2:H$14,4,)</f>
        <v>02South Puget Sound</v>
      </c>
      <c r="P93" s="73">
        <v>346.35882352941201</v>
      </c>
      <c r="Q93" s="74">
        <f>VLOOKUP(B93,Readme!A$40:C$51,2,)*P93</f>
        <v>2996.0038235294141</v>
      </c>
    </row>
    <row r="94" spans="1:17" ht="14.15" customHeight="1" x14ac:dyDescent="0.35">
      <c r="A94" s="75">
        <v>93</v>
      </c>
      <c r="B94" s="64">
        <v>2010</v>
      </c>
      <c r="C94" s="64">
        <v>12</v>
      </c>
      <c r="D94" s="80">
        <f t="shared" si="5"/>
        <v>2010</v>
      </c>
      <c r="E94" t="s">
        <v>38</v>
      </c>
      <c r="F94" t="s">
        <v>143</v>
      </c>
      <c r="G94" t="s">
        <v>10</v>
      </c>
      <c r="H94" s="72" t="s">
        <v>209</v>
      </c>
      <c r="I94" s="72" t="s">
        <v>51</v>
      </c>
      <c r="J94" t="str">
        <f t="shared" si="6"/>
        <v>Nisqually River</v>
      </c>
      <c r="K94" t="str">
        <f>IFERROR(VLOOKUP(J94,LUTs!$A$1:$C$73,2,FALSE),"NA")</f>
        <v>Thurston/Pierce</v>
      </c>
      <c r="L94" t="str">
        <f>IFERROR(VLOOKUP(J94,LUTs!$A$1:$C$73,3,FALSE),"NA")</f>
        <v>3South Puget Sound</v>
      </c>
      <c r="M94" s="72" t="s">
        <v>16</v>
      </c>
      <c r="N94" t="str">
        <f>VLOOKUP(M94,LUTs!E$2:H$14,3,)</f>
        <v>03Snohomish</v>
      </c>
      <c r="O94" t="str">
        <f>VLOOKUP(M94,LUTs!E$2:H$14,4,)</f>
        <v>01North Puget Sound</v>
      </c>
      <c r="P94" s="73">
        <v>36.458823529411802</v>
      </c>
      <c r="Q94" s="74">
        <f>VLOOKUP(B94,Readme!A$40:C$51,2,)*P94</f>
        <v>315.36882352941211</v>
      </c>
    </row>
    <row r="95" spans="1:17" ht="14.15" customHeight="1" x14ac:dyDescent="0.35">
      <c r="A95" s="75">
        <v>94</v>
      </c>
      <c r="B95" s="64">
        <v>2010</v>
      </c>
      <c r="C95" s="64">
        <v>12</v>
      </c>
      <c r="D95" s="80">
        <f t="shared" si="5"/>
        <v>2010</v>
      </c>
      <c r="E95" t="s">
        <v>38</v>
      </c>
      <c r="F95" t="s">
        <v>143</v>
      </c>
      <c r="G95" t="s">
        <v>10</v>
      </c>
      <c r="H95" s="72" t="s">
        <v>209</v>
      </c>
      <c r="I95" s="72" t="s">
        <v>51</v>
      </c>
      <c r="J95" t="str">
        <f t="shared" si="6"/>
        <v>Nisqually River</v>
      </c>
      <c r="K95" t="str">
        <f>IFERROR(VLOOKUP(J95,LUTs!$A$1:$C$73,2,FALSE),"NA")</f>
        <v>Thurston/Pierce</v>
      </c>
      <c r="L95" t="str">
        <f>IFERROR(VLOOKUP(J95,LUTs!$A$1:$C$73,3,FALSE),"NA")</f>
        <v>3South Puget Sound</v>
      </c>
      <c r="M95" s="72" t="s">
        <v>21</v>
      </c>
      <c r="N95" t="str">
        <f>VLOOKUP(M95,LUTs!E$2:H$14,3,)</f>
        <v>08Thurston</v>
      </c>
      <c r="O95" t="str">
        <f>VLOOKUP(M95,LUTs!E$2:H$14,4,)</f>
        <v>02South Puget Sound</v>
      </c>
      <c r="P95" s="73">
        <v>498.27058823529399</v>
      </c>
      <c r="Q95" s="74">
        <f>VLOOKUP(B95,Readme!A$40:C$51,2,)*P95</f>
        <v>4310.0405882352934</v>
      </c>
    </row>
    <row r="96" spans="1:17" ht="14.15" customHeight="1" x14ac:dyDescent="0.35">
      <c r="A96" s="75">
        <v>95</v>
      </c>
      <c r="B96" s="64">
        <v>2011</v>
      </c>
      <c r="C96" s="64">
        <v>1</v>
      </c>
      <c r="D96" s="80">
        <f t="shared" si="5"/>
        <v>2010</v>
      </c>
      <c r="E96" t="s">
        <v>38</v>
      </c>
      <c r="F96" t="s">
        <v>143</v>
      </c>
      <c r="G96" t="s">
        <v>10</v>
      </c>
      <c r="H96" s="72" t="s">
        <v>209</v>
      </c>
      <c r="I96" s="72" t="s">
        <v>51</v>
      </c>
      <c r="J96" t="str">
        <f t="shared" si="6"/>
        <v>Nisqually River</v>
      </c>
      <c r="K96" t="str">
        <f>IFERROR(VLOOKUP(J96,LUTs!$A$1:$C$73,2,FALSE),"NA")</f>
        <v>Thurston/Pierce</v>
      </c>
      <c r="L96" t="str">
        <f>IFERROR(VLOOKUP(J96,LUTs!$A$1:$C$73,3,FALSE),"NA")</f>
        <v>3South Puget Sound</v>
      </c>
      <c r="M96" s="72" t="s">
        <v>20</v>
      </c>
      <c r="N96" t="str">
        <f>VLOOKUP(M96,LUTs!E$2:H$14,3,)</f>
        <v>07Pierce</v>
      </c>
      <c r="O96" t="str">
        <f>VLOOKUP(M96,LUTs!E$2:H$14,4,)</f>
        <v>02South Puget Sound</v>
      </c>
      <c r="P96" s="73">
        <v>42.7</v>
      </c>
      <c r="Q96" s="74">
        <f>VLOOKUP(B96,Readme!A$40:C$51,2,)*P96</f>
        <v>146.88800000000001</v>
      </c>
    </row>
    <row r="97" spans="1:17" ht="14.15" customHeight="1" x14ac:dyDescent="0.35">
      <c r="A97" s="75">
        <v>96</v>
      </c>
      <c r="B97" s="64">
        <v>2011</v>
      </c>
      <c r="C97" s="64">
        <v>1</v>
      </c>
      <c r="D97" s="80">
        <f t="shared" si="5"/>
        <v>2010</v>
      </c>
      <c r="E97" t="s">
        <v>38</v>
      </c>
      <c r="F97" t="s">
        <v>143</v>
      </c>
      <c r="G97" t="s">
        <v>10</v>
      </c>
      <c r="H97" s="72" t="s">
        <v>209</v>
      </c>
      <c r="I97" s="72" t="s">
        <v>51</v>
      </c>
      <c r="J97" t="str">
        <f t="shared" si="6"/>
        <v>Nisqually River</v>
      </c>
      <c r="K97" t="str">
        <f>IFERROR(VLOOKUP(J97,LUTs!$A$1:$C$73,2,FALSE),"NA")</f>
        <v>Thurston/Pierce</v>
      </c>
      <c r="L97" t="str">
        <f>IFERROR(VLOOKUP(J97,LUTs!$A$1:$C$73,3,FALSE),"NA")</f>
        <v>3South Puget Sound</v>
      </c>
      <c r="M97" s="72" t="s">
        <v>21</v>
      </c>
      <c r="N97" t="str">
        <f>VLOOKUP(M97,LUTs!E$2:H$14,3,)</f>
        <v>08Thurston</v>
      </c>
      <c r="O97" t="str">
        <f>VLOOKUP(M97,LUTs!E$2:H$14,4,)</f>
        <v>02South Puget Sound</v>
      </c>
      <c r="P97" s="73">
        <v>18.3</v>
      </c>
      <c r="Q97" s="74">
        <f>VLOOKUP(B97,Readme!A$40:C$51,2,)*P97</f>
        <v>62.951999999999998</v>
      </c>
    </row>
    <row r="98" spans="1:17" ht="14.15" customHeight="1" x14ac:dyDescent="0.35">
      <c r="A98" s="75">
        <v>97</v>
      </c>
      <c r="B98" s="64">
        <v>2010</v>
      </c>
      <c r="C98" s="64">
        <v>9</v>
      </c>
      <c r="D98" s="80">
        <f t="shared" si="5"/>
        <v>2010</v>
      </c>
      <c r="E98" t="s">
        <v>38</v>
      </c>
      <c r="F98" t="s">
        <v>143</v>
      </c>
      <c r="G98" t="s">
        <v>10</v>
      </c>
      <c r="H98" s="72" t="s">
        <v>210</v>
      </c>
      <c r="I98" s="72" t="s">
        <v>52</v>
      </c>
      <c r="J98" t="str">
        <f t="shared" si="6"/>
        <v>Nooksack River</v>
      </c>
      <c r="K98" t="str">
        <f>IFERROR(VLOOKUP(J98,LUTs!$A$1:$C$73,2,FALSE),"NA")</f>
        <v>Whatcom</v>
      </c>
      <c r="L98" t="str">
        <f>IFERROR(VLOOKUP(J98,LUTs!$A$1:$C$73,3,FALSE),"NA")</f>
        <v>1North Puget Sound</v>
      </c>
      <c r="M98" s="72" t="s">
        <v>13</v>
      </c>
      <c r="N98" t="str">
        <f>VLOOKUP(M98,LUTs!E$2:H$14,3,)</f>
        <v>01Whatcom</v>
      </c>
      <c r="O98" t="str">
        <f>VLOOKUP(M98,LUTs!E$2:H$14,4,)</f>
        <v>01North Puget Sound</v>
      </c>
      <c r="P98" s="73">
        <v>113</v>
      </c>
      <c r="Q98" s="74">
        <f>VLOOKUP(B98,Readme!A$40:C$51,2,)*P98</f>
        <v>977.45</v>
      </c>
    </row>
    <row r="99" spans="1:17" ht="14.15" customHeight="1" x14ac:dyDescent="0.35">
      <c r="A99" s="75">
        <v>98</v>
      </c>
      <c r="B99" s="64">
        <v>2010</v>
      </c>
      <c r="C99" s="64">
        <v>10</v>
      </c>
      <c r="D99" s="80">
        <f t="shared" si="5"/>
        <v>2010</v>
      </c>
      <c r="E99" t="s">
        <v>38</v>
      </c>
      <c r="F99" t="s">
        <v>143</v>
      </c>
      <c r="G99" t="s">
        <v>10</v>
      </c>
      <c r="H99" s="72" t="s">
        <v>210</v>
      </c>
      <c r="I99" s="72" t="s">
        <v>52</v>
      </c>
      <c r="J99" t="str">
        <f t="shared" si="6"/>
        <v>Nooksack River</v>
      </c>
      <c r="K99" t="str">
        <f>IFERROR(VLOOKUP(J99,LUTs!$A$1:$C$73,2,FALSE),"NA")</f>
        <v>Whatcom</v>
      </c>
      <c r="L99" t="str">
        <f>IFERROR(VLOOKUP(J99,LUTs!$A$1:$C$73,3,FALSE),"NA")</f>
        <v>1North Puget Sound</v>
      </c>
      <c r="M99" s="72" t="s">
        <v>18</v>
      </c>
      <c r="N99" t="str">
        <f>VLOOKUP(M99,LUTs!E$2:H$14,3,)</f>
        <v>06King</v>
      </c>
      <c r="O99" t="str">
        <f>VLOOKUP(M99,LUTs!E$2:H$14,4,)</f>
        <v>02South Puget Sound</v>
      </c>
      <c r="P99" s="73">
        <v>12.625</v>
      </c>
      <c r="Q99" s="74">
        <f>VLOOKUP(B99,Readme!A$40:C$51,2,)*P99</f>
        <v>109.20625000000001</v>
      </c>
    </row>
    <row r="100" spans="1:17" ht="14.15" customHeight="1" x14ac:dyDescent="0.35">
      <c r="A100" s="75">
        <v>99</v>
      </c>
      <c r="B100" s="64">
        <v>2010</v>
      </c>
      <c r="C100" s="64">
        <v>10</v>
      </c>
      <c r="D100" s="80">
        <f t="shared" si="5"/>
        <v>2010</v>
      </c>
      <c r="E100" t="s">
        <v>38</v>
      </c>
      <c r="F100" t="s">
        <v>143</v>
      </c>
      <c r="G100" t="s">
        <v>10</v>
      </c>
      <c r="H100" s="72" t="s">
        <v>210</v>
      </c>
      <c r="I100" s="72" t="s">
        <v>52</v>
      </c>
      <c r="J100" t="str">
        <f t="shared" si="6"/>
        <v>Nooksack River</v>
      </c>
      <c r="K100" t="str">
        <f>IFERROR(VLOOKUP(J100,LUTs!$A$1:$C$73,2,FALSE),"NA")</f>
        <v>Whatcom</v>
      </c>
      <c r="L100" t="str">
        <f>IFERROR(VLOOKUP(J100,LUTs!$A$1:$C$73,3,FALSE),"NA")</f>
        <v>1North Puget Sound</v>
      </c>
      <c r="M100" s="72" t="s">
        <v>26</v>
      </c>
      <c r="N100" t="str">
        <f>VLOOKUP(M100,LUTs!E$2:H$14,3,)</f>
        <v>20Other</v>
      </c>
      <c r="O100" t="str">
        <f>VLOOKUP(M100,LUTs!E$2:H$14,4,)</f>
        <v>07Non Puget Sound</v>
      </c>
      <c r="P100" s="73">
        <v>25.25</v>
      </c>
      <c r="Q100" s="74">
        <f>VLOOKUP(B100,Readme!A$40:C$51,2,)*P100</f>
        <v>218.41250000000002</v>
      </c>
    </row>
    <row r="101" spans="1:17" ht="14.15" customHeight="1" x14ac:dyDescent="0.35">
      <c r="A101" s="75">
        <v>100</v>
      </c>
      <c r="B101" s="64">
        <v>2010</v>
      </c>
      <c r="C101" s="64">
        <v>10</v>
      </c>
      <c r="D101" s="80">
        <f t="shared" si="5"/>
        <v>2010</v>
      </c>
      <c r="E101" t="s">
        <v>38</v>
      </c>
      <c r="F101" t="s">
        <v>143</v>
      </c>
      <c r="G101" t="s">
        <v>10</v>
      </c>
      <c r="H101" s="72" t="s">
        <v>210</v>
      </c>
      <c r="I101" s="72" t="s">
        <v>52</v>
      </c>
      <c r="J101" t="str">
        <f t="shared" si="6"/>
        <v>Nooksack River</v>
      </c>
      <c r="K101" t="str">
        <f>IFERROR(VLOOKUP(J101,LUTs!$A$1:$C$73,2,FALSE),"NA")</f>
        <v>Whatcom</v>
      </c>
      <c r="L101" t="str">
        <f>IFERROR(VLOOKUP(J101,LUTs!$A$1:$C$73,3,FALSE),"NA")</f>
        <v>1North Puget Sound</v>
      </c>
      <c r="M101" s="72" t="s">
        <v>15</v>
      </c>
      <c r="N101" t="str">
        <f>VLOOKUP(M101,LUTs!E$2:H$14,3,)</f>
        <v>02Skagit</v>
      </c>
      <c r="O101" t="str">
        <f>VLOOKUP(M101,LUTs!E$2:H$14,4,)</f>
        <v>01North Puget Sound</v>
      </c>
      <c r="P101" s="73">
        <v>25.25</v>
      </c>
      <c r="Q101" s="74">
        <f>VLOOKUP(B101,Readme!A$40:C$51,2,)*P101</f>
        <v>218.41250000000002</v>
      </c>
    </row>
    <row r="102" spans="1:17" ht="14.15" customHeight="1" x14ac:dyDescent="0.35">
      <c r="A102" s="75">
        <v>101</v>
      </c>
      <c r="B102" s="64">
        <v>2010</v>
      </c>
      <c r="C102" s="64">
        <v>10</v>
      </c>
      <c r="D102" s="80">
        <f t="shared" si="5"/>
        <v>2010</v>
      </c>
      <c r="E102" t="s">
        <v>38</v>
      </c>
      <c r="F102" t="s">
        <v>143</v>
      </c>
      <c r="G102" t="s">
        <v>10</v>
      </c>
      <c r="H102" s="72" t="s">
        <v>210</v>
      </c>
      <c r="I102" s="72" t="s">
        <v>52</v>
      </c>
      <c r="J102" t="str">
        <f t="shared" si="6"/>
        <v>Nooksack River</v>
      </c>
      <c r="K102" t="str">
        <f>IFERROR(VLOOKUP(J102,LUTs!$A$1:$C$73,2,FALSE),"NA")</f>
        <v>Whatcom</v>
      </c>
      <c r="L102" t="str">
        <f>IFERROR(VLOOKUP(J102,LUTs!$A$1:$C$73,3,FALSE),"NA")</f>
        <v>1North Puget Sound</v>
      </c>
      <c r="M102" s="72" t="s">
        <v>16</v>
      </c>
      <c r="N102" t="str">
        <f>VLOOKUP(M102,LUTs!E$2:H$14,3,)</f>
        <v>03Snohomish</v>
      </c>
      <c r="O102" t="str">
        <f>VLOOKUP(M102,LUTs!E$2:H$14,4,)</f>
        <v>01North Puget Sound</v>
      </c>
      <c r="P102" s="73">
        <v>6.3125</v>
      </c>
      <c r="Q102" s="74">
        <f>VLOOKUP(B102,Readme!A$40:C$51,2,)*P102</f>
        <v>54.603125000000006</v>
      </c>
    </row>
    <row r="103" spans="1:17" ht="14.15" customHeight="1" x14ac:dyDescent="0.35">
      <c r="A103" s="75">
        <v>102</v>
      </c>
      <c r="B103" s="64">
        <v>2010</v>
      </c>
      <c r="C103" s="64">
        <v>10</v>
      </c>
      <c r="D103" s="80">
        <f t="shared" si="5"/>
        <v>2010</v>
      </c>
      <c r="E103" t="s">
        <v>38</v>
      </c>
      <c r="F103" t="s">
        <v>143</v>
      </c>
      <c r="G103" t="s">
        <v>10</v>
      </c>
      <c r="H103" s="72" t="s">
        <v>210</v>
      </c>
      <c r="I103" s="72" t="s">
        <v>52</v>
      </c>
      <c r="J103" t="str">
        <f t="shared" si="6"/>
        <v>Nooksack River</v>
      </c>
      <c r="K103" t="str">
        <f>IFERROR(VLOOKUP(J103,LUTs!$A$1:$C$73,2,FALSE),"NA")</f>
        <v>Whatcom</v>
      </c>
      <c r="L103" t="str">
        <f>IFERROR(VLOOKUP(J103,LUTs!$A$1:$C$73,3,FALSE),"NA")</f>
        <v>1North Puget Sound</v>
      </c>
      <c r="M103" s="72" t="s">
        <v>13</v>
      </c>
      <c r="N103" t="str">
        <f>VLOOKUP(M103,LUTs!E$2:H$14,3,)</f>
        <v>01Whatcom</v>
      </c>
      <c r="O103" t="str">
        <f>VLOOKUP(M103,LUTs!E$2:H$14,4,)</f>
        <v>01North Puget Sound</v>
      </c>
      <c r="P103" s="73">
        <v>738.5625</v>
      </c>
      <c r="Q103" s="74">
        <f>VLOOKUP(B103,Readme!A$40:C$51,2,)*P103</f>
        <v>6388.5656250000002</v>
      </c>
    </row>
    <row r="104" spans="1:17" ht="14.15" customHeight="1" x14ac:dyDescent="0.35">
      <c r="A104" s="75">
        <v>103</v>
      </c>
      <c r="B104" s="64">
        <v>2010</v>
      </c>
      <c r="C104" s="64">
        <v>11</v>
      </c>
      <c r="D104" s="80">
        <f t="shared" si="5"/>
        <v>2010</v>
      </c>
      <c r="E104" t="s">
        <v>38</v>
      </c>
      <c r="F104" t="s">
        <v>143</v>
      </c>
      <c r="G104" t="s">
        <v>10</v>
      </c>
      <c r="H104" s="72" t="s">
        <v>210</v>
      </c>
      <c r="I104" s="72" t="s">
        <v>52</v>
      </c>
      <c r="J104" t="str">
        <f t="shared" si="6"/>
        <v>Nooksack River</v>
      </c>
      <c r="K104" t="str">
        <f>IFERROR(VLOOKUP(J104,LUTs!$A$1:$C$73,2,FALSE),"NA")</f>
        <v>Whatcom</v>
      </c>
      <c r="L104" t="str">
        <f>IFERROR(VLOOKUP(J104,LUTs!$A$1:$C$73,3,FALSE),"NA")</f>
        <v>1North Puget Sound</v>
      </c>
      <c r="M104" s="72" t="s">
        <v>18</v>
      </c>
      <c r="N104" t="str">
        <f>VLOOKUP(M104,LUTs!E$2:H$14,3,)</f>
        <v>06King</v>
      </c>
      <c r="O104" t="str">
        <f>VLOOKUP(M104,LUTs!E$2:H$14,4,)</f>
        <v>02South Puget Sound</v>
      </c>
      <c r="P104" s="73">
        <v>6.2380952380952399</v>
      </c>
      <c r="Q104" s="74">
        <f>VLOOKUP(B104,Readme!A$40:C$51,2,)*P104</f>
        <v>53.95952380952383</v>
      </c>
    </row>
    <row r="105" spans="1:17" ht="14.15" customHeight="1" x14ac:dyDescent="0.35">
      <c r="A105" s="75">
        <v>104</v>
      </c>
      <c r="B105" s="64">
        <v>2010</v>
      </c>
      <c r="C105" s="64">
        <v>11</v>
      </c>
      <c r="D105" s="80">
        <f t="shared" si="5"/>
        <v>2010</v>
      </c>
      <c r="E105" t="s">
        <v>38</v>
      </c>
      <c r="F105" t="s">
        <v>143</v>
      </c>
      <c r="G105" t="s">
        <v>10</v>
      </c>
      <c r="H105" s="72" t="s">
        <v>210</v>
      </c>
      <c r="I105" s="72" t="s">
        <v>52</v>
      </c>
      <c r="J105" t="str">
        <f t="shared" si="6"/>
        <v>Nooksack River</v>
      </c>
      <c r="K105" t="str">
        <f>IFERROR(VLOOKUP(J105,LUTs!$A$1:$C$73,2,FALSE),"NA")</f>
        <v>Whatcom</v>
      </c>
      <c r="L105" t="str">
        <f>IFERROR(VLOOKUP(J105,LUTs!$A$1:$C$73,3,FALSE),"NA")</f>
        <v>1North Puget Sound</v>
      </c>
      <c r="M105" s="72" t="s">
        <v>20</v>
      </c>
      <c r="N105" t="str">
        <f>VLOOKUP(M105,LUTs!E$2:H$14,3,)</f>
        <v>07Pierce</v>
      </c>
      <c r="O105" t="str">
        <f>VLOOKUP(M105,LUTs!E$2:H$14,4,)</f>
        <v>02South Puget Sound</v>
      </c>
      <c r="P105" s="73">
        <v>6.2380952380952399</v>
      </c>
      <c r="Q105" s="74">
        <f>VLOOKUP(B105,Readme!A$40:C$51,2,)*P105</f>
        <v>53.95952380952383</v>
      </c>
    </row>
    <row r="106" spans="1:17" ht="14.15" customHeight="1" x14ac:dyDescent="0.35">
      <c r="A106" s="75">
        <v>105</v>
      </c>
      <c r="B106" s="64">
        <v>2010</v>
      </c>
      <c r="C106" s="64">
        <v>11</v>
      </c>
      <c r="D106" s="80">
        <f t="shared" si="5"/>
        <v>2010</v>
      </c>
      <c r="E106" t="s">
        <v>38</v>
      </c>
      <c r="F106" t="s">
        <v>143</v>
      </c>
      <c r="G106" t="s">
        <v>10</v>
      </c>
      <c r="H106" s="72" t="s">
        <v>210</v>
      </c>
      <c r="I106" s="72" t="s">
        <v>52</v>
      </c>
      <c r="J106" t="str">
        <f t="shared" si="6"/>
        <v>Nooksack River</v>
      </c>
      <c r="K106" t="str">
        <f>IFERROR(VLOOKUP(J106,LUTs!$A$1:$C$73,2,FALSE),"NA")</f>
        <v>Whatcom</v>
      </c>
      <c r="L106" t="str">
        <f>IFERROR(VLOOKUP(J106,LUTs!$A$1:$C$73,3,FALSE),"NA")</f>
        <v>1North Puget Sound</v>
      </c>
      <c r="M106" s="72" t="s">
        <v>13</v>
      </c>
      <c r="N106" t="str">
        <f>VLOOKUP(M106,LUTs!E$2:H$14,3,)</f>
        <v>01Whatcom</v>
      </c>
      <c r="O106" t="str">
        <f>VLOOKUP(M106,LUTs!E$2:H$14,4,)</f>
        <v>01North Puget Sound</v>
      </c>
      <c r="P106" s="73">
        <v>118.52380952381</v>
      </c>
      <c r="Q106" s="74">
        <f>VLOOKUP(B106,Readme!A$40:C$51,2,)*P106</f>
        <v>1025.2309523809565</v>
      </c>
    </row>
    <row r="107" spans="1:17" ht="14.15" customHeight="1" x14ac:dyDescent="0.35">
      <c r="A107" s="75">
        <v>106</v>
      </c>
      <c r="B107" s="64">
        <v>2010</v>
      </c>
      <c r="C107" s="64">
        <v>12</v>
      </c>
      <c r="D107" s="80">
        <f t="shared" si="5"/>
        <v>2010</v>
      </c>
      <c r="E107" t="s">
        <v>38</v>
      </c>
      <c r="F107" t="s">
        <v>143</v>
      </c>
      <c r="G107" t="s">
        <v>10</v>
      </c>
      <c r="H107" s="72" t="s">
        <v>210</v>
      </c>
      <c r="I107" s="72" t="s">
        <v>52</v>
      </c>
      <c r="J107" t="str">
        <f t="shared" si="6"/>
        <v>Nooksack River</v>
      </c>
      <c r="K107" t="str">
        <f>IFERROR(VLOOKUP(J107,LUTs!$A$1:$C$73,2,FALSE),"NA")</f>
        <v>Whatcom</v>
      </c>
      <c r="L107" t="str">
        <f>IFERROR(VLOOKUP(J107,LUTs!$A$1:$C$73,3,FALSE),"NA")</f>
        <v>1North Puget Sound</v>
      </c>
      <c r="M107" s="72" t="s">
        <v>13</v>
      </c>
      <c r="N107" t="str">
        <f>VLOOKUP(M107,LUTs!E$2:H$14,3,)</f>
        <v>01Whatcom</v>
      </c>
      <c r="O107" t="str">
        <f>VLOOKUP(M107,LUTs!E$2:H$14,4,)</f>
        <v>01North Puget Sound</v>
      </c>
      <c r="P107" s="73">
        <v>12</v>
      </c>
      <c r="Q107" s="74">
        <f>VLOOKUP(B107,Readme!A$40:C$51,2,)*P107</f>
        <v>103.80000000000001</v>
      </c>
    </row>
    <row r="108" spans="1:17" ht="14.15" customHeight="1" x14ac:dyDescent="0.35">
      <c r="A108" s="75">
        <v>107</v>
      </c>
      <c r="B108" s="64">
        <v>2010</v>
      </c>
      <c r="C108" s="64">
        <v>8</v>
      </c>
      <c r="D108" s="80">
        <f t="shared" si="5"/>
        <v>2010</v>
      </c>
      <c r="E108" t="s">
        <v>38</v>
      </c>
      <c r="F108" t="s">
        <v>143</v>
      </c>
      <c r="G108" t="s">
        <v>10</v>
      </c>
      <c r="H108" s="72" t="s">
        <v>211</v>
      </c>
      <c r="I108" s="72" t="s">
        <v>53</v>
      </c>
      <c r="J108" t="str">
        <f t="shared" si="6"/>
        <v>Carbon River</v>
      </c>
      <c r="K108" t="str">
        <f>IFERROR(VLOOKUP(J108,LUTs!$A$1:$C$73,2,FALSE),"NA")</f>
        <v>Pierce</v>
      </c>
      <c r="L108" t="str">
        <f>IFERROR(VLOOKUP(J108,LUTs!$A$1:$C$73,3,FALSE),"NA")</f>
        <v>3South Puget Sound</v>
      </c>
      <c r="M108" s="72" t="s">
        <v>20</v>
      </c>
      <c r="N108" t="str">
        <f>VLOOKUP(M108,LUTs!E$2:H$14,3,)</f>
        <v>07Pierce</v>
      </c>
      <c r="O108" t="str">
        <f>VLOOKUP(M108,LUTs!E$2:H$14,4,)</f>
        <v>02South Puget Sound</v>
      </c>
      <c r="P108" s="73">
        <v>12</v>
      </c>
      <c r="Q108" s="74">
        <f>VLOOKUP(B108,Readme!A$40:C$51,2,)*P108</f>
        <v>103.80000000000001</v>
      </c>
    </row>
    <row r="109" spans="1:17" ht="14.15" customHeight="1" x14ac:dyDescent="0.35">
      <c r="A109" s="75">
        <v>108</v>
      </c>
      <c r="B109" s="64">
        <v>2010</v>
      </c>
      <c r="C109" s="64">
        <v>9</v>
      </c>
      <c r="D109" s="80">
        <f t="shared" si="5"/>
        <v>2010</v>
      </c>
      <c r="E109" t="s">
        <v>38</v>
      </c>
      <c r="F109" t="s">
        <v>143</v>
      </c>
      <c r="G109" t="s">
        <v>10</v>
      </c>
      <c r="H109" s="72" t="s">
        <v>211</v>
      </c>
      <c r="I109" s="72" t="s">
        <v>53</v>
      </c>
      <c r="J109" t="str">
        <f t="shared" si="6"/>
        <v>Carbon River</v>
      </c>
      <c r="K109" t="str">
        <f>IFERROR(VLOOKUP(J109,LUTs!$A$1:$C$73,2,FALSE),"NA")</f>
        <v>Pierce</v>
      </c>
      <c r="L109" t="str">
        <f>IFERROR(VLOOKUP(J109,LUTs!$A$1:$C$73,3,FALSE),"NA")</f>
        <v>3South Puget Sound</v>
      </c>
      <c r="M109" s="72" t="s">
        <v>18</v>
      </c>
      <c r="N109" t="str">
        <f>VLOOKUP(M109,LUTs!E$2:H$14,3,)</f>
        <v>06King</v>
      </c>
      <c r="O109" t="str">
        <f>VLOOKUP(M109,LUTs!E$2:H$14,4,)</f>
        <v>02South Puget Sound</v>
      </c>
      <c r="P109" s="73">
        <v>36.2068965517241</v>
      </c>
      <c r="Q109" s="74">
        <f>VLOOKUP(B109,Readme!A$40:C$51,2,)*P109</f>
        <v>313.1896551724135</v>
      </c>
    </row>
    <row r="110" spans="1:17" ht="14.15" customHeight="1" x14ac:dyDescent="0.35">
      <c r="A110" s="75">
        <v>109</v>
      </c>
      <c r="B110" s="64">
        <v>2010</v>
      </c>
      <c r="C110" s="64">
        <v>9</v>
      </c>
      <c r="D110" s="80">
        <f t="shared" si="5"/>
        <v>2010</v>
      </c>
      <c r="E110" t="s">
        <v>38</v>
      </c>
      <c r="F110" t="s">
        <v>143</v>
      </c>
      <c r="G110" t="s">
        <v>10</v>
      </c>
      <c r="H110" s="72" t="s">
        <v>211</v>
      </c>
      <c r="I110" s="72" t="s">
        <v>53</v>
      </c>
      <c r="J110" t="str">
        <f t="shared" si="6"/>
        <v>Carbon River</v>
      </c>
      <c r="K110" t="str">
        <f>IFERROR(VLOOKUP(J110,LUTs!$A$1:$C$73,2,FALSE),"NA")</f>
        <v>Pierce</v>
      </c>
      <c r="L110" t="str">
        <f>IFERROR(VLOOKUP(J110,LUTs!$A$1:$C$73,3,FALSE),"NA")</f>
        <v>3South Puget Sound</v>
      </c>
      <c r="M110" s="72" t="s">
        <v>26</v>
      </c>
      <c r="N110" t="str">
        <f>VLOOKUP(M110,LUTs!E$2:H$14,3,)</f>
        <v>20Other</v>
      </c>
      <c r="O110" t="str">
        <f>VLOOKUP(M110,LUTs!E$2:H$14,4,)</f>
        <v>07Non Puget Sound</v>
      </c>
      <c r="P110" s="73">
        <v>6.0344827586206904</v>
      </c>
      <c r="Q110" s="74">
        <f>VLOOKUP(B110,Readme!A$40:C$51,2,)*P110</f>
        <v>52.198275862068975</v>
      </c>
    </row>
    <row r="111" spans="1:17" ht="14.15" customHeight="1" x14ac:dyDescent="0.35">
      <c r="A111" s="75">
        <v>110</v>
      </c>
      <c r="B111" s="64">
        <v>2010</v>
      </c>
      <c r="C111" s="64">
        <v>9</v>
      </c>
      <c r="D111" s="80">
        <f t="shared" si="5"/>
        <v>2010</v>
      </c>
      <c r="E111" t="s">
        <v>38</v>
      </c>
      <c r="F111" t="s">
        <v>143</v>
      </c>
      <c r="G111" t="s">
        <v>10</v>
      </c>
      <c r="H111" s="72" t="s">
        <v>211</v>
      </c>
      <c r="I111" s="72" t="s">
        <v>53</v>
      </c>
      <c r="J111" t="str">
        <f t="shared" si="6"/>
        <v>Carbon River</v>
      </c>
      <c r="K111" t="str">
        <f>IFERROR(VLOOKUP(J111,LUTs!$A$1:$C$73,2,FALSE),"NA")</f>
        <v>Pierce</v>
      </c>
      <c r="L111" t="str">
        <f>IFERROR(VLOOKUP(J111,LUTs!$A$1:$C$73,3,FALSE),"NA")</f>
        <v>3South Puget Sound</v>
      </c>
      <c r="M111" s="72" t="s">
        <v>20</v>
      </c>
      <c r="N111" t="str">
        <f>VLOOKUP(M111,LUTs!E$2:H$14,3,)</f>
        <v>07Pierce</v>
      </c>
      <c r="O111" t="str">
        <f>VLOOKUP(M111,LUTs!E$2:H$14,4,)</f>
        <v>02South Puget Sound</v>
      </c>
      <c r="P111" s="73">
        <v>132.758620689655</v>
      </c>
      <c r="Q111" s="74">
        <f>VLOOKUP(B111,Readme!A$40:C$51,2,)*P111</f>
        <v>1148.3620689655158</v>
      </c>
    </row>
    <row r="112" spans="1:17" ht="14.15" customHeight="1" x14ac:dyDescent="0.35">
      <c r="A112" s="75">
        <v>111</v>
      </c>
      <c r="B112" s="64">
        <v>2010</v>
      </c>
      <c r="C112" s="64">
        <v>10</v>
      </c>
      <c r="D112" s="80">
        <f t="shared" si="5"/>
        <v>2010</v>
      </c>
      <c r="E112" t="s">
        <v>38</v>
      </c>
      <c r="F112" t="s">
        <v>143</v>
      </c>
      <c r="G112" t="s">
        <v>10</v>
      </c>
      <c r="H112" s="72" t="s">
        <v>211</v>
      </c>
      <c r="I112" s="72" t="s">
        <v>53</v>
      </c>
      <c r="J112" t="str">
        <f t="shared" si="6"/>
        <v>Carbon River</v>
      </c>
      <c r="K112" t="str">
        <f>IFERROR(VLOOKUP(J112,LUTs!$A$1:$C$73,2,FALSE),"NA")</f>
        <v>Pierce</v>
      </c>
      <c r="L112" t="str">
        <f>IFERROR(VLOOKUP(J112,LUTs!$A$1:$C$73,3,FALSE),"NA")</f>
        <v>3South Puget Sound</v>
      </c>
      <c r="M112" s="72" t="s">
        <v>20</v>
      </c>
      <c r="N112" t="str">
        <f>VLOOKUP(M112,LUTs!E$2:H$14,3,)</f>
        <v>07Pierce</v>
      </c>
      <c r="O112" t="str">
        <f>VLOOKUP(M112,LUTs!E$2:H$14,4,)</f>
        <v>02South Puget Sound</v>
      </c>
      <c r="P112" s="73">
        <v>18</v>
      </c>
      <c r="Q112" s="74">
        <f>VLOOKUP(B112,Readme!A$40:C$51,2,)*P112</f>
        <v>155.70000000000002</v>
      </c>
    </row>
    <row r="113" spans="1:17" ht="14.15" customHeight="1" x14ac:dyDescent="0.35">
      <c r="A113" s="75">
        <v>112</v>
      </c>
      <c r="B113" s="64">
        <v>2010</v>
      </c>
      <c r="C113" s="64">
        <v>10</v>
      </c>
      <c r="D113" s="80">
        <f t="shared" si="5"/>
        <v>2010</v>
      </c>
      <c r="E113" t="s">
        <v>38</v>
      </c>
      <c r="F113" t="s">
        <v>143</v>
      </c>
      <c r="G113" t="s">
        <v>10</v>
      </c>
      <c r="H113" s="72" t="s">
        <v>211</v>
      </c>
      <c r="I113" s="72" t="s">
        <v>53</v>
      </c>
      <c r="J113" t="str">
        <f t="shared" si="6"/>
        <v>Carbon River</v>
      </c>
      <c r="K113" t="str">
        <f>IFERROR(VLOOKUP(J113,LUTs!$A$1:$C$73,2,FALSE),"NA")</f>
        <v>Pierce</v>
      </c>
      <c r="L113" t="str">
        <f>IFERROR(VLOOKUP(J113,LUTs!$A$1:$C$73,3,FALSE),"NA")</f>
        <v>3South Puget Sound</v>
      </c>
      <c r="M113" s="72" t="s">
        <v>15</v>
      </c>
      <c r="N113" t="str">
        <f>VLOOKUP(M113,LUTs!E$2:H$14,3,)</f>
        <v>02Skagit</v>
      </c>
      <c r="O113" t="str">
        <f>VLOOKUP(M113,LUTs!E$2:H$14,4,)</f>
        <v>01North Puget Sound</v>
      </c>
      <c r="P113" s="73">
        <v>6</v>
      </c>
      <c r="Q113" s="74">
        <f>VLOOKUP(B113,Readme!A$40:C$51,2,)*P113</f>
        <v>51.900000000000006</v>
      </c>
    </row>
    <row r="114" spans="1:17" ht="14.15" customHeight="1" x14ac:dyDescent="0.35">
      <c r="A114" s="75">
        <v>113</v>
      </c>
      <c r="B114" s="64">
        <v>2010</v>
      </c>
      <c r="C114" s="64">
        <v>8</v>
      </c>
      <c r="D114" s="80">
        <f t="shared" si="5"/>
        <v>2010</v>
      </c>
      <c r="E114" t="s">
        <v>38</v>
      </c>
      <c r="F114" t="s">
        <v>143</v>
      </c>
      <c r="G114" t="s">
        <v>10</v>
      </c>
      <c r="H114" s="72" t="s">
        <v>212</v>
      </c>
      <c r="I114" s="72" t="s">
        <v>54</v>
      </c>
      <c r="J114" t="str">
        <f t="shared" si="6"/>
        <v>Puyallup River</v>
      </c>
      <c r="K114" t="str">
        <f>IFERROR(VLOOKUP(J114,LUTs!$A$1:$C$73,2,FALSE),"NA")</f>
        <v>Pierce</v>
      </c>
      <c r="L114" t="str">
        <f>IFERROR(VLOOKUP(J114,LUTs!$A$1:$C$73,3,FALSE),"NA")</f>
        <v>3South Puget Sound</v>
      </c>
      <c r="M114" s="72" t="s">
        <v>18</v>
      </c>
      <c r="N114" t="str">
        <f>VLOOKUP(M114,LUTs!E$2:H$14,3,)</f>
        <v>06King</v>
      </c>
      <c r="O114" t="str">
        <f>VLOOKUP(M114,LUTs!E$2:H$14,4,)</f>
        <v>02South Puget Sound</v>
      </c>
      <c r="P114" s="73">
        <v>68.1463414634147</v>
      </c>
      <c r="Q114" s="74">
        <f>VLOOKUP(B114,Readme!A$40:C$51,2,)*P114</f>
        <v>589.46585365853718</v>
      </c>
    </row>
    <row r="115" spans="1:17" ht="14.15" customHeight="1" x14ac:dyDescent="0.35">
      <c r="A115" s="75">
        <v>114</v>
      </c>
      <c r="B115" s="64">
        <v>2010</v>
      </c>
      <c r="C115" s="64">
        <v>8</v>
      </c>
      <c r="D115" s="80">
        <f t="shared" si="5"/>
        <v>2010</v>
      </c>
      <c r="E115" t="s">
        <v>38</v>
      </c>
      <c r="F115" t="s">
        <v>143</v>
      </c>
      <c r="G115" t="s">
        <v>10</v>
      </c>
      <c r="H115" s="72" t="s">
        <v>212</v>
      </c>
      <c r="I115" s="72" t="s">
        <v>54</v>
      </c>
      <c r="J115" t="str">
        <f t="shared" si="6"/>
        <v>Puyallup River</v>
      </c>
      <c r="K115" t="str">
        <f>IFERROR(VLOOKUP(J115,LUTs!$A$1:$C$73,2,FALSE),"NA")</f>
        <v>Pierce</v>
      </c>
      <c r="L115" t="str">
        <f>IFERROR(VLOOKUP(J115,LUTs!$A$1:$C$73,3,FALSE),"NA")</f>
        <v>3South Puget Sound</v>
      </c>
      <c r="M115" s="72" t="s">
        <v>20</v>
      </c>
      <c r="N115" t="str">
        <f>VLOOKUP(M115,LUTs!E$2:H$14,3,)</f>
        <v>07Pierce</v>
      </c>
      <c r="O115" t="str">
        <f>VLOOKUP(M115,LUTs!E$2:H$14,4,)</f>
        <v>02South Puget Sound</v>
      </c>
      <c r="P115" s="73">
        <v>185.85365853658499</v>
      </c>
      <c r="Q115" s="74">
        <f>VLOOKUP(B115,Readme!A$40:C$51,2,)*P115</f>
        <v>1607.6341463414601</v>
      </c>
    </row>
    <row r="116" spans="1:17" ht="14.15" customHeight="1" x14ac:dyDescent="0.35">
      <c r="A116" s="75">
        <v>115</v>
      </c>
      <c r="B116" s="64">
        <v>2010</v>
      </c>
      <c r="C116" s="64">
        <v>8</v>
      </c>
      <c r="D116" s="80">
        <f t="shared" si="5"/>
        <v>2010</v>
      </c>
      <c r="E116" t="s">
        <v>38</v>
      </c>
      <c r="F116" t="s">
        <v>143</v>
      </c>
      <c r="G116" t="s">
        <v>10</v>
      </c>
      <c r="H116" s="72" t="s">
        <v>212</v>
      </c>
      <c r="I116" s="72" t="s">
        <v>54</v>
      </c>
      <c r="J116" t="str">
        <f t="shared" si="6"/>
        <v>Puyallup River</v>
      </c>
      <c r="K116" t="str">
        <f>IFERROR(VLOOKUP(J116,LUTs!$A$1:$C$73,2,FALSE),"NA")</f>
        <v>Pierce</v>
      </c>
      <c r="L116" t="str">
        <f>IFERROR(VLOOKUP(J116,LUTs!$A$1:$C$73,3,FALSE),"NA")</f>
        <v>3South Puget Sound</v>
      </c>
      <c r="M116" s="72" t="s">
        <v>21</v>
      </c>
      <c r="N116" t="str">
        <f>VLOOKUP(M116,LUTs!E$2:H$14,3,)</f>
        <v>08Thurston</v>
      </c>
      <c r="O116" t="str">
        <f>VLOOKUP(M116,LUTs!E$2:H$14,4,)</f>
        <v>02South Puget Sound</v>
      </c>
      <c r="P116" s="73">
        <v>0</v>
      </c>
      <c r="Q116" s="74">
        <f>VLOOKUP(B116,Readme!A$40:C$51,2,)*P116</f>
        <v>0</v>
      </c>
    </row>
    <row r="117" spans="1:17" ht="14.15" customHeight="1" x14ac:dyDescent="0.35">
      <c r="A117" s="75">
        <v>116</v>
      </c>
      <c r="B117" s="64">
        <v>2010</v>
      </c>
      <c r="C117" s="64">
        <v>9</v>
      </c>
      <c r="D117" s="80">
        <f t="shared" si="5"/>
        <v>2010</v>
      </c>
      <c r="E117" t="s">
        <v>38</v>
      </c>
      <c r="F117" t="s">
        <v>143</v>
      </c>
      <c r="G117" t="s">
        <v>10</v>
      </c>
      <c r="H117" s="72" t="s">
        <v>212</v>
      </c>
      <c r="I117" s="72" t="s">
        <v>54</v>
      </c>
      <c r="J117" t="str">
        <f t="shared" si="6"/>
        <v>Puyallup River</v>
      </c>
      <c r="K117" t="str">
        <f>IFERROR(VLOOKUP(J117,LUTs!$A$1:$C$73,2,FALSE),"NA")</f>
        <v>Pierce</v>
      </c>
      <c r="L117" t="str">
        <f>IFERROR(VLOOKUP(J117,LUTs!$A$1:$C$73,3,FALSE),"NA")</f>
        <v>3South Puget Sound</v>
      </c>
      <c r="M117" s="72" t="s">
        <v>18</v>
      </c>
      <c r="N117" t="str">
        <f>VLOOKUP(M117,LUTs!E$2:H$14,3,)</f>
        <v>06King</v>
      </c>
      <c r="O117" t="str">
        <f>VLOOKUP(M117,LUTs!E$2:H$14,4,)</f>
        <v>02South Puget Sound</v>
      </c>
      <c r="P117" s="73">
        <v>183.08411214953301</v>
      </c>
      <c r="Q117" s="74">
        <f>VLOOKUP(B117,Readme!A$40:C$51,2,)*P117</f>
        <v>1583.6775700934606</v>
      </c>
    </row>
    <row r="118" spans="1:17" ht="14.15" customHeight="1" x14ac:dyDescent="0.35">
      <c r="A118" s="75">
        <v>117</v>
      </c>
      <c r="B118" s="64">
        <v>2010</v>
      </c>
      <c r="C118" s="64">
        <v>9</v>
      </c>
      <c r="D118" s="80">
        <f t="shared" si="5"/>
        <v>2010</v>
      </c>
      <c r="E118" t="s">
        <v>38</v>
      </c>
      <c r="F118" t="s">
        <v>143</v>
      </c>
      <c r="G118" t="s">
        <v>10</v>
      </c>
      <c r="H118" s="72" t="s">
        <v>212</v>
      </c>
      <c r="I118" s="72" t="s">
        <v>54</v>
      </c>
      <c r="J118" t="str">
        <f t="shared" si="6"/>
        <v>Puyallup River</v>
      </c>
      <c r="K118" t="str">
        <f>IFERROR(VLOOKUP(J118,LUTs!$A$1:$C$73,2,FALSE),"NA")</f>
        <v>Pierce</v>
      </c>
      <c r="L118" t="str">
        <f>IFERROR(VLOOKUP(J118,LUTs!$A$1:$C$73,3,FALSE),"NA")</f>
        <v>3South Puget Sound</v>
      </c>
      <c r="M118" s="72" t="s">
        <v>26</v>
      </c>
      <c r="N118" t="str">
        <f>VLOOKUP(M118,LUTs!E$2:H$14,3,)</f>
        <v>20Other</v>
      </c>
      <c r="O118" t="str">
        <f>VLOOKUP(M118,LUTs!E$2:H$14,4,)</f>
        <v>07Non Puget Sound</v>
      </c>
      <c r="P118" s="73">
        <v>18.308411214953299</v>
      </c>
      <c r="Q118" s="74">
        <f>VLOOKUP(B118,Readme!A$40:C$51,2,)*P118</f>
        <v>158.36775700934604</v>
      </c>
    </row>
    <row r="119" spans="1:17" ht="14.15" customHeight="1" x14ac:dyDescent="0.35">
      <c r="A119" s="75">
        <v>118</v>
      </c>
      <c r="B119" s="64">
        <v>2010</v>
      </c>
      <c r="C119" s="64">
        <v>9</v>
      </c>
      <c r="D119" s="80">
        <f t="shared" si="5"/>
        <v>2010</v>
      </c>
      <c r="E119" t="s">
        <v>38</v>
      </c>
      <c r="F119" t="s">
        <v>143</v>
      </c>
      <c r="G119" t="s">
        <v>10</v>
      </c>
      <c r="H119" s="72" t="s">
        <v>212</v>
      </c>
      <c r="I119" s="72" t="s">
        <v>54</v>
      </c>
      <c r="J119" t="str">
        <f t="shared" si="6"/>
        <v>Puyallup River</v>
      </c>
      <c r="K119" t="str">
        <f>IFERROR(VLOOKUP(J119,LUTs!$A$1:$C$73,2,FALSE),"NA")</f>
        <v>Pierce</v>
      </c>
      <c r="L119" t="str">
        <f>IFERROR(VLOOKUP(J119,LUTs!$A$1:$C$73,3,FALSE),"NA")</f>
        <v>3South Puget Sound</v>
      </c>
      <c r="M119" s="72" t="s">
        <v>20</v>
      </c>
      <c r="N119" t="str">
        <f>VLOOKUP(M119,LUTs!E$2:H$14,3,)</f>
        <v>07Pierce</v>
      </c>
      <c r="O119" t="str">
        <f>VLOOKUP(M119,LUTs!E$2:H$14,4,)</f>
        <v>02South Puget Sound</v>
      </c>
      <c r="P119" s="73">
        <v>427.196261682243</v>
      </c>
      <c r="Q119" s="74">
        <f>VLOOKUP(B119,Readme!A$40:C$51,2,)*P119</f>
        <v>3695.2476635514022</v>
      </c>
    </row>
    <row r="120" spans="1:17" ht="14.15" customHeight="1" x14ac:dyDescent="0.35">
      <c r="A120" s="75">
        <v>119</v>
      </c>
      <c r="B120" s="64">
        <v>2010</v>
      </c>
      <c r="C120" s="64">
        <v>9</v>
      </c>
      <c r="D120" s="80">
        <f t="shared" si="5"/>
        <v>2010</v>
      </c>
      <c r="E120" t="s">
        <v>38</v>
      </c>
      <c r="F120" t="s">
        <v>143</v>
      </c>
      <c r="G120" t="s">
        <v>10</v>
      </c>
      <c r="H120" s="72" t="s">
        <v>212</v>
      </c>
      <c r="I120" s="72" t="s">
        <v>54</v>
      </c>
      <c r="J120" t="str">
        <f t="shared" si="6"/>
        <v>Puyallup River</v>
      </c>
      <c r="K120" t="str">
        <f>IFERROR(VLOOKUP(J120,LUTs!$A$1:$C$73,2,FALSE),"NA")</f>
        <v>Pierce</v>
      </c>
      <c r="L120" t="str">
        <f>IFERROR(VLOOKUP(J120,LUTs!$A$1:$C$73,3,FALSE),"NA")</f>
        <v>3South Puget Sound</v>
      </c>
      <c r="M120" s="72" t="s">
        <v>21</v>
      </c>
      <c r="N120" t="str">
        <f>VLOOKUP(M120,LUTs!E$2:H$14,3,)</f>
        <v>08Thurston</v>
      </c>
      <c r="O120" t="str">
        <f>VLOOKUP(M120,LUTs!E$2:H$14,4,)</f>
        <v>02South Puget Sound</v>
      </c>
      <c r="P120" s="73">
        <v>24.411214953270999</v>
      </c>
      <c r="Q120" s="74">
        <f>VLOOKUP(B120,Readme!A$40:C$51,2,)*P120</f>
        <v>211.15700934579417</v>
      </c>
    </row>
    <row r="121" spans="1:17" ht="14.15" customHeight="1" x14ac:dyDescent="0.35">
      <c r="A121" s="75">
        <v>120</v>
      </c>
      <c r="B121" s="64">
        <v>2010</v>
      </c>
      <c r="C121" s="64">
        <v>10</v>
      </c>
      <c r="D121" s="80">
        <f t="shared" si="5"/>
        <v>2010</v>
      </c>
      <c r="E121" t="s">
        <v>38</v>
      </c>
      <c r="F121" t="s">
        <v>143</v>
      </c>
      <c r="G121" t="s">
        <v>10</v>
      </c>
      <c r="H121" s="72" t="s">
        <v>212</v>
      </c>
      <c r="I121" s="72" t="s">
        <v>54</v>
      </c>
      <c r="J121" t="str">
        <f t="shared" si="6"/>
        <v>Puyallup River</v>
      </c>
      <c r="K121" t="str">
        <f>IFERROR(VLOOKUP(J121,LUTs!$A$1:$C$73,2,FALSE),"NA")</f>
        <v>Pierce</v>
      </c>
      <c r="L121" t="str">
        <f>IFERROR(VLOOKUP(J121,LUTs!$A$1:$C$73,3,FALSE),"NA")</f>
        <v>3South Puget Sound</v>
      </c>
      <c r="M121" s="72" t="s">
        <v>20</v>
      </c>
      <c r="N121" t="str">
        <f>VLOOKUP(M121,LUTs!E$2:H$14,3,)</f>
        <v>07Pierce</v>
      </c>
      <c r="O121" t="str">
        <f>VLOOKUP(M121,LUTs!E$2:H$14,4,)</f>
        <v>02South Puget Sound</v>
      </c>
      <c r="P121" s="73">
        <v>55</v>
      </c>
      <c r="Q121" s="74">
        <f>VLOOKUP(B121,Readme!A$40:C$51,2,)*P121</f>
        <v>475.75</v>
      </c>
    </row>
    <row r="122" spans="1:17" ht="14.15" customHeight="1" x14ac:dyDescent="0.35">
      <c r="A122" s="75">
        <v>121</v>
      </c>
      <c r="B122" s="64">
        <v>2010</v>
      </c>
      <c r="C122" s="64">
        <v>11</v>
      </c>
      <c r="D122" s="80">
        <f t="shared" si="5"/>
        <v>2010</v>
      </c>
      <c r="E122" t="s">
        <v>38</v>
      </c>
      <c r="F122" t="s">
        <v>143</v>
      </c>
      <c r="G122" t="s">
        <v>10</v>
      </c>
      <c r="H122" s="72" t="s">
        <v>212</v>
      </c>
      <c r="I122" s="72" t="s">
        <v>54</v>
      </c>
      <c r="J122" t="str">
        <f t="shared" si="6"/>
        <v>Puyallup River</v>
      </c>
      <c r="K122" t="str">
        <f>IFERROR(VLOOKUP(J122,LUTs!$A$1:$C$73,2,FALSE),"NA")</f>
        <v>Pierce</v>
      </c>
      <c r="L122" t="str">
        <f>IFERROR(VLOOKUP(J122,LUTs!$A$1:$C$73,3,FALSE),"NA")</f>
        <v>3South Puget Sound</v>
      </c>
      <c r="M122" s="72" t="s">
        <v>26</v>
      </c>
      <c r="N122" t="str">
        <f>VLOOKUP(M122,LUTs!E$2:H$14,3,)</f>
        <v>20Other</v>
      </c>
      <c r="O122" t="str">
        <f>VLOOKUP(M122,LUTs!E$2:H$14,4,)</f>
        <v>07Non Puget Sound</v>
      </c>
      <c r="P122" s="73">
        <v>6.1315789473684204</v>
      </c>
      <c r="Q122" s="74">
        <f>VLOOKUP(B122,Readme!A$40:C$51,2,)*P122</f>
        <v>53.038157894736841</v>
      </c>
    </row>
    <row r="123" spans="1:17" ht="14.15" customHeight="1" x14ac:dyDescent="0.35">
      <c r="A123" s="75">
        <v>122</v>
      </c>
      <c r="B123" s="64">
        <v>2010</v>
      </c>
      <c r="C123" s="64">
        <v>11</v>
      </c>
      <c r="D123" s="80">
        <f t="shared" si="5"/>
        <v>2010</v>
      </c>
      <c r="E123" t="s">
        <v>38</v>
      </c>
      <c r="F123" t="s">
        <v>143</v>
      </c>
      <c r="G123" t="s">
        <v>10</v>
      </c>
      <c r="H123" s="72" t="s">
        <v>212</v>
      </c>
      <c r="I123" s="72" t="s">
        <v>54</v>
      </c>
      <c r="J123" t="str">
        <f t="shared" si="6"/>
        <v>Puyallup River</v>
      </c>
      <c r="K123" t="str">
        <f>IFERROR(VLOOKUP(J123,LUTs!$A$1:$C$73,2,FALSE),"NA")</f>
        <v>Pierce</v>
      </c>
      <c r="L123" t="str">
        <f>IFERROR(VLOOKUP(J123,LUTs!$A$1:$C$73,3,FALSE),"NA")</f>
        <v>3South Puget Sound</v>
      </c>
      <c r="M123" s="72" t="s">
        <v>20</v>
      </c>
      <c r="N123" t="str">
        <f>VLOOKUP(M123,LUTs!E$2:H$14,3,)</f>
        <v>07Pierce</v>
      </c>
      <c r="O123" t="str">
        <f>VLOOKUP(M123,LUTs!E$2:H$14,4,)</f>
        <v>02South Puget Sound</v>
      </c>
      <c r="P123" s="73">
        <v>226.86842105263199</v>
      </c>
      <c r="Q123" s="74">
        <f>VLOOKUP(B123,Readme!A$40:C$51,2,)*P123</f>
        <v>1962.4118421052667</v>
      </c>
    </row>
    <row r="124" spans="1:17" ht="14.15" customHeight="1" x14ac:dyDescent="0.35">
      <c r="A124" s="75">
        <v>123</v>
      </c>
      <c r="B124" s="64">
        <v>2010</v>
      </c>
      <c r="C124" s="64">
        <v>12</v>
      </c>
      <c r="D124" s="80">
        <f t="shared" si="5"/>
        <v>2010</v>
      </c>
      <c r="E124" t="s">
        <v>38</v>
      </c>
      <c r="F124" t="s">
        <v>143</v>
      </c>
      <c r="G124" t="s">
        <v>10</v>
      </c>
      <c r="H124" s="72" t="s">
        <v>212</v>
      </c>
      <c r="I124" s="72" t="s">
        <v>54</v>
      </c>
      <c r="J124" t="str">
        <f t="shared" si="6"/>
        <v>Puyallup River</v>
      </c>
      <c r="K124" t="str">
        <f>IFERROR(VLOOKUP(J124,LUTs!$A$1:$C$73,2,FALSE),"NA")</f>
        <v>Pierce</v>
      </c>
      <c r="L124" t="str">
        <f>IFERROR(VLOOKUP(J124,LUTs!$A$1:$C$73,3,FALSE),"NA")</f>
        <v>3South Puget Sound</v>
      </c>
      <c r="M124" s="72" t="s">
        <v>20</v>
      </c>
      <c r="N124" t="str">
        <f>VLOOKUP(M124,LUTs!E$2:H$14,3,)</f>
        <v>07Pierce</v>
      </c>
      <c r="O124" t="str">
        <f>VLOOKUP(M124,LUTs!E$2:H$14,4,)</f>
        <v>02South Puget Sound</v>
      </c>
      <c r="P124" s="73">
        <v>154</v>
      </c>
      <c r="Q124" s="74">
        <f>VLOOKUP(B124,Readme!A$40:C$51,2,)*P124</f>
        <v>1332.1000000000001</v>
      </c>
    </row>
    <row r="125" spans="1:17" ht="14.15" customHeight="1" x14ac:dyDescent="0.35">
      <c r="A125" s="75">
        <v>124</v>
      </c>
      <c r="B125" s="64">
        <v>2010</v>
      </c>
      <c r="C125" s="64">
        <v>8</v>
      </c>
      <c r="D125" s="80">
        <f t="shared" si="5"/>
        <v>2010</v>
      </c>
      <c r="E125" t="s">
        <v>38</v>
      </c>
      <c r="F125" t="s">
        <v>143</v>
      </c>
      <c r="G125" t="s">
        <v>10</v>
      </c>
      <c r="H125" s="72" t="s">
        <v>213</v>
      </c>
      <c r="I125" s="72" t="s">
        <v>55</v>
      </c>
      <c r="J125" t="str">
        <f t="shared" si="6"/>
        <v>Quilcene River</v>
      </c>
      <c r="K125" t="str">
        <f>IFERROR(VLOOKUP(J125,LUTs!$A$1:$C$73,2,FALSE),"NA")</f>
        <v>Jefferson</v>
      </c>
      <c r="L125" t="str">
        <f>IFERROR(VLOOKUP(J125,LUTs!$A$1:$C$73,3,FALSE),"NA")</f>
        <v>4 Hood Canal</v>
      </c>
      <c r="M125" s="72" t="s">
        <v>24</v>
      </c>
      <c r="N125" t="str">
        <f>VLOOKUP(M125,LUTs!E$2:H$14,3,)</f>
        <v>11Clallam</v>
      </c>
      <c r="O125" t="str">
        <f>VLOOKUP(M125,LUTs!E$2:H$14,4,)</f>
        <v>03Strait of Juan de Fuca</v>
      </c>
      <c r="P125" s="73">
        <v>81.65625</v>
      </c>
      <c r="Q125" s="74">
        <f>VLOOKUP(B125,Readme!A$40:C$51,2,)*P125</f>
        <v>706.32656250000002</v>
      </c>
    </row>
    <row r="126" spans="1:17" ht="14.15" customHeight="1" x14ac:dyDescent="0.35">
      <c r="A126" s="75">
        <v>125</v>
      </c>
      <c r="B126" s="64">
        <v>2010</v>
      </c>
      <c r="C126" s="64">
        <v>8</v>
      </c>
      <c r="D126" s="80">
        <f t="shared" si="5"/>
        <v>2010</v>
      </c>
      <c r="E126" t="s">
        <v>38</v>
      </c>
      <c r="F126" t="s">
        <v>143</v>
      </c>
      <c r="G126" t="s">
        <v>10</v>
      </c>
      <c r="H126" s="72" t="s">
        <v>213</v>
      </c>
      <c r="I126" s="72" t="s">
        <v>55</v>
      </c>
      <c r="J126" t="str">
        <f t="shared" si="6"/>
        <v>Quilcene River</v>
      </c>
      <c r="K126" t="str">
        <f>IFERROR(VLOOKUP(J126,LUTs!$A$1:$C$73,2,FALSE),"NA")</f>
        <v>Jefferson</v>
      </c>
      <c r="L126" t="str">
        <f>IFERROR(VLOOKUP(J126,LUTs!$A$1:$C$73,3,FALSE),"NA")</f>
        <v>4 Hood Canal</v>
      </c>
      <c r="M126" s="72" t="s">
        <v>25</v>
      </c>
      <c r="N126" t="str">
        <f>VLOOKUP(M126,LUTs!E$2:H$14,3,)</f>
        <v>12Jefferson</v>
      </c>
      <c r="O126" t="str">
        <f>VLOOKUP(M126,LUTs!E$2:H$14,4,)</f>
        <v>03Strait of Juan de Fuca</v>
      </c>
      <c r="P126" s="73">
        <v>18.84375</v>
      </c>
      <c r="Q126" s="74">
        <f>VLOOKUP(B126,Readme!A$40:C$51,2,)*P126</f>
        <v>162.99843749999999</v>
      </c>
    </row>
    <row r="127" spans="1:17" ht="14.15" customHeight="1" x14ac:dyDescent="0.35">
      <c r="A127" s="75">
        <v>126</v>
      </c>
      <c r="B127" s="64">
        <v>2010</v>
      </c>
      <c r="C127" s="64">
        <v>8</v>
      </c>
      <c r="D127" s="80">
        <f t="shared" si="5"/>
        <v>2010</v>
      </c>
      <c r="E127" t="s">
        <v>38</v>
      </c>
      <c r="F127" t="s">
        <v>143</v>
      </c>
      <c r="G127" t="s">
        <v>10</v>
      </c>
      <c r="H127" s="72" t="s">
        <v>213</v>
      </c>
      <c r="I127" s="72" t="s">
        <v>55</v>
      </c>
      <c r="J127" t="str">
        <f t="shared" si="6"/>
        <v>Quilcene River</v>
      </c>
      <c r="K127" t="str">
        <f>IFERROR(VLOOKUP(J127,LUTs!$A$1:$C$73,2,FALSE),"NA")</f>
        <v>Jefferson</v>
      </c>
      <c r="L127" t="str">
        <f>IFERROR(VLOOKUP(J127,LUTs!$A$1:$C$73,3,FALSE),"NA")</f>
        <v>4 Hood Canal</v>
      </c>
      <c r="M127" s="72" t="s">
        <v>22</v>
      </c>
      <c r="N127" t="str">
        <f>VLOOKUP(M127,LUTs!E$2:H$14,3,)</f>
        <v>09Mason</v>
      </c>
      <c r="O127" t="str">
        <f>VLOOKUP(M127,LUTs!E$2:H$14,4,)</f>
        <v>02South Puget Sound</v>
      </c>
      <c r="P127" s="73">
        <v>18.84375</v>
      </c>
      <c r="Q127" s="74">
        <f>VLOOKUP(B127,Readme!A$40:C$51,2,)*P127</f>
        <v>162.99843749999999</v>
      </c>
    </row>
    <row r="128" spans="1:17" ht="14.15" customHeight="1" x14ac:dyDescent="0.35">
      <c r="A128" s="75">
        <v>127</v>
      </c>
      <c r="B128" s="64">
        <v>2010</v>
      </c>
      <c r="C128" s="64">
        <v>8</v>
      </c>
      <c r="D128" s="80">
        <f t="shared" si="5"/>
        <v>2010</v>
      </c>
      <c r="E128" t="s">
        <v>38</v>
      </c>
      <c r="F128" t="s">
        <v>143</v>
      </c>
      <c r="G128" t="s">
        <v>10</v>
      </c>
      <c r="H128" s="72" t="s">
        <v>213</v>
      </c>
      <c r="I128" s="72" t="s">
        <v>55</v>
      </c>
      <c r="J128" t="str">
        <f t="shared" si="6"/>
        <v>Quilcene River</v>
      </c>
      <c r="K128" t="str">
        <f>IFERROR(VLOOKUP(J128,LUTs!$A$1:$C$73,2,FALSE),"NA")</f>
        <v>Jefferson</v>
      </c>
      <c r="L128" t="str">
        <f>IFERROR(VLOOKUP(J128,LUTs!$A$1:$C$73,3,FALSE),"NA")</f>
        <v>4 Hood Canal</v>
      </c>
      <c r="M128" s="72" t="s">
        <v>16</v>
      </c>
      <c r="N128" t="str">
        <f>VLOOKUP(M128,LUTs!E$2:H$14,3,)</f>
        <v>03Snohomish</v>
      </c>
      <c r="O128" t="str">
        <f>VLOOKUP(M128,LUTs!E$2:H$14,4,)</f>
        <v>01North Puget Sound</v>
      </c>
      <c r="P128" s="73">
        <v>25.125</v>
      </c>
      <c r="Q128" s="74">
        <f>VLOOKUP(B128,Readme!A$40:C$51,2,)*P128</f>
        <v>217.33125000000001</v>
      </c>
    </row>
    <row r="129" spans="1:17" ht="14.15" customHeight="1" x14ac:dyDescent="0.35">
      <c r="A129" s="75">
        <v>128</v>
      </c>
      <c r="B129" s="64">
        <v>2010</v>
      </c>
      <c r="C129" s="64">
        <v>8</v>
      </c>
      <c r="D129" s="80">
        <f t="shared" si="5"/>
        <v>2010</v>
      </c>
      <c r="E129" t="s">
        <v>38</v>
      </c>
      <c r="F129" t="s">
        <v>143</v>
      </c>
      <c r="G129" t="s">
        <v>10</v>
      </c>
      <c r="H129" s="72" t="s">
        <v>213</v>
      </c>
      <c r="I129" s="72" t="s">
        <v>55</v>
      </c>
      <c r="J129" t="str">
        <f t="shared" si="6"/>
        <v>Quilcene River</v>
      </c>
      <c r="K129" t="str">
        <f>IFERROR(VLOOKUP(J129,LUTs!$A$1:$C$73,2,FALSE),"NA")</f>
        <v>Jefferson</v>
      </c>
      <c r="L129" t="str">
        <f>IFERROR(VLOOKUP(J129,LUTs!$A$1:$C$73,3,FALSE),"NA")</f>
        <v>4 Hood Canal</v>
      </c>
      <c r="M129" s="72" t="s">
        <v>21</v>
      </c>
      <c r="N129" t="str">
        <f>VLOOKUP(M129,LUTs!E$2:H$14,3,)</f>
        <v>08Thurston</v>
      </c>
      <c r="O129" t="str">
        <f>VLOOKUP(M129,LUTs!E$2:H$14,4,)</f>
        <v>02South Puget Sound</v>
      </c>
      <c r="P129" s="73">
        <v>56.53125</v>
      </c>
      <c r="Q129" s="74">
        <f>VLOOKUP(B129,Readme!A$40:C$51,2,)*P129</f>
        <v>488.99531250000001</v>
      </c>
    </row>
    <row r="130" spans="1:17" ht="14.15" customHeight="1" x14ac:dyDescent="0.35">
      <c r="A130" s="75">
        <v>129</v>
      </c>
      <c r="B130" s="64">
        <v>2010</v>
      </c>
      <c r="C130" s="64">
        <v>9</v>
      </c>
      <c r="D130" s="80">
        <f t="shared" ref="D130:D193" si="7">IF(C130&gt;3,B130,B130-1)</f>
        <v>2010</v>
      </c>
      <c r="E130" t="s">
        <v>38</v>
      </c>
      <c r="F130" t="s">
        <v>143</v>
      </c>
      <c r="G130" t="s">
        <v>10</v>
      </c>
      <c r="H130" s="72" t="s">
        <v>213</v>
      </c>
      <c r="I130" s="72" t="s">
        <v>55</v>
      </c>
      <c r="J130" t="str">
        <f t="shared" si="6"/>
        <v>Quilcene River</v>
      </c>
      <c r="K130" t="str">
        <f>IFERROR(VLOOKUP(J130,LUTs!$A$1:$C$73,2,FALSE),"NA")</f>
        <v>Jefferson</v>
      </c>
      <c r="L130" t="str">
        <f>IFERROR(VLOOKUP(J130,LUTs!$A$1:$C$73,3,FALSE),"NA")</f>
        <v>4 Hood Canal</v>
      </c>
      <c r="M130" s="72" t="s">
        <v>24</v>
      </c>
      <c r="N130" t="str">
        <f>VLOOKUP(M130,LUTs!E$2:H$14,3,)</f>
        <v>11Clallam</v>
      </c>
      <c r="O130" t="str">
        <f>VLOOKUP(M130,LUTs!E$2:H$14,4,)</f>
        <v>03Strait of Juan de Fuca</v>
      </c>
      <c r="P130" s="73">
        <v>37.764705882352899</v>
      </c>
      <c r="Q130" s="74">
        <f>VLOOKUP(B130,Readme!A$40:C$51,2,)*P130</f>
        <v>326.66470588235262</v>
      </c>
    </row>
    <row r="131" spans="1:17" ht="14.15" customHeight="1" x14ac:dyDescent="0.35">
      <c r="A131" s="75">
        <v>130</v>
      </c>
      <c r="B131" s="64">
        <v>2010</v>
      </c>
      <c r="C131" s="64">
        <v>9</v>
      </c>
      <c r="D131" s="80">
        <f t="shared" si="7"/>
        <v>2010</v>
      </c>
      <c r="E131" t="s">
        <v>38</v>
      </c>
      <c r="F131" t="s">
        <v>143</v>
      </c>
      <c r="G131" t="s">
        <v>10</v>
      </c>
      <c r="H131" s="72" t="s">
        <v>213</v>
      </c>
      <c r="I131" s="72" t="s">
        <v>55</v>
      </c>
      <c r="J131" t="str">
        <f t="shared" ref="J131:J194" si="8">I131</f>
        <v>Quilcene River</v>
      </c>
      <c r="K131" t="str">
        <f>IFERROR(VLOOKUP(J131,LUTs!$A$1:$C$73,2,FALSE),"NA")</f>
        <v>Jefferson</v>
      </c>
      <c r="L131" t="str">
        <f>IFERROR(VLOOKUP(J131,LUTs!$A$1:$C$73,3,FALSE),"NA")</f>
        <v>4 Hood Canal</v>
      </c>
      <c r="M131" s="72" t="s">
        <v>25</v>
      </c>
      <c r="N131" t="str">
        <f>VLOOKUP(M131,LUTs!E$2:H$14,3,)</f>
        <v>12Jefferson</v>
      </c>
      <c r="O131" t="str">
        <f>VLOOKUP(M131,LUTs!E$2:H$14,4,)</f>
        <v>03Strait of Juan de Fuca</v>
      </c>
      <c r="P131" s="73">
        <v>62.941176470588303</v>
      </c>
      <c r="Q131" s="74">
        <f>VLOOKUP(B131,Readme!A$40:C$51,2,)*P131</f>
        <v>544.44117647058886</v>
      </c>
    </row>
    <row r="132" spans="1:17" ht="14.15" customHeight="1" x14ac:dyDescent="0.35">
      <c r="A132" s="75">
        <v>131</v>
      </c>
      <c r="B132" s="64">
        <v>2010</v>
      </c>
      <c r="C132" s="64">
        <v>9</v>
      </c>
      <c r="D132" s="80">
        <f t="shared" si="7"/>
        <v>2010</v>
      </c>
      <c r="E132" t="s">
        <v>38</v>
      </c>
      <c r="F132" t="s">
        <v>143</v>
      </c>
      <c r="G132" t="s">
        <v>10</v>
      </c>
      <c r="H132" s="72" t="s">
        <v>213</v>
      </c>
      <c r="I132" s="72" t="s">
        <v>55</v>
      </c>
      <c r="J132" t="str">
        <f t="shared" si="8"/>
        <v>Quilcene River</v>
      </c>
      <c r="K132" t="str">
        <f>IFERROR(VLOOKUP(J132,LUTs!$A$1:$C$73,2,FALSE),"NA")</f>
        <v>Jefferson</v>
      </c>
      <c r="L132" t="str">
        <f>IFERROR(VLOOKUP(J132,LUTs!$A$1:$C$73,3,FALSE),"NA")</f>
        <v>4 Hood Canal</v>
      </c>
      <c r="M132" s="72" t="s">
        <v>18</v>
      </c>
      <c r="N132" t="str">
        <f>VLOOKUP(M132,LUTs!E$2:H$14,3,)</f>
        <v>06King</v>
      </c>
      <c r="O132" t="str">
        <f>VLOOKUP(M132,LUTs!E$2:H$14,4,)</f>
        <v>02South Puget Sound</v>
      </c>
      <c r="P132" s="73">
        <v>6.2941176470588296</v>
      </c>
      <c r="Q132" s="74">
        <f>VLOOKUP(B132,Readme!A$40:C$51,2,)*P132</f>
        <v>54.444117647058881</v>
      </c>
    </row>
    <row r="133" spans="1:17" ht="14.15" customHeight="1" x14ac:dyDescent="0.35">
      <c r="A133" s="75">
        <v>132</v>
      </c>
      <c r="B133" s="64">
        <v>2010</v>
      </c>
      <c r="C133" s="64">
        <v>9</v>
      </c>
      <c r="D133" s="80">
        <f t="shared" si="7"/>
        <v>2010</v>
      </c>
      <c r="E133" t="s">
        <v>38</v>
      </c>
      <c r="F133" t="s">
        <v>143</v>
      </c>
      <c r="G133" t="s">
        <v>10</v>
      </c>
      <c r="H133" s="72" t="s">
        <v>213</v>
      </c>
      <c r="I133" s="72" t="s">
        <v>55</v>
      </c>
      <c r="J133" t="str">
        <f t="shared" si="8"/>
        <v>Quilcene River</v>
      </c>
      <c r="K133" t="str">
        <f>IFERROR(VLOOKUP(J133,LUTs!$A$1:$C$73,2,FALSE),"NA")</f>
        <v>Jefferson</v>
      </c>
      <c r="L133" t="str">
        <f>IFERROR(VLOOKUP(J133,LUTs!$A$1:$C$73,3,FALSE),"NA")</f>
        <v>4 Hood Canal</v>
      </c>
      <c r="M133" s="72" t="s">
        <v>23</v>
      </c>
      <c r="N133" t="str">
        <f>VLOOKUP(M133,LUTs!E$2:H$14,3,)</f>
        <v>10Kitsap</v>
      </c>
      <c r="O133" t="str">
        <f>VLOOKUP(M133,LUTs!E$2:H$14,4,)</f>
        <v>02South Puget Sound</v>
      </c>
      <c r="P133" s="73">
        <v>6.2941176470588296</v>
      </c>
      <c r="Q133" s="74">
        <f>VLOOKUP(B133,Readme!A$40:C$51,2,)*P133</f>
        <v>54.444117647058881</v>
      </c>
    </row>
    <row r="134" spans="1:17" ht="14.15" customHeight="1" x14ac:dyDescent="0.35">
      <c r="A134" s="75">
        <v>133</v>
      </c>
      <c r="B134" s="64">
        <v>2010</v>
      </c>
      <c r="C134" s="64">
        <v>9</v>
      </c>
      <c r="D134" s="80">
        <f t="shared" si="7"/>
        <v>2010</v>
      </c>
      <c r="E134" t="s">
        <v>38</v>
      </c>
      <c r="F134" t="s">
        <v>143</v>
      </c>
      <c r="G134" t="s">
        <v>10</v>
      </c>
      <c r="H134" s="72" t="s">
        <v>213</v>
      </c>
      <c r="I134" s="72" t="s">
        <v>55</v>
      </c>
      <c r="J134" t="str">
        <f t="shared" si="8"/>
        <v>Quilcene River</v>
      </c>
      <c r="K134" t="str">
        <f>IFERROR(VLOOKUP(J134,LUTs!$A$1:$C$73,2,FALSE),"NA")</f>
        <v>Jefferson</v>
      </c>
      <c r="L134" t="str">
        <f>IFERROR(VLOOKUP(J134,LUTs!$A$1:$C$73,3,FALSE),"NA")</f>
        <v>4 Hood Canal</v>
      </c>
      <c r="M134" s="72" t="s">
        <v>22</v>
      </c>
      <c r="N134" t="str">
        <f>VLOOKUP(M134,LUTs!E$2:H$14,3,)</f>
        <v>09Mason</v>
      </c>
      <c r="O134" t="str">
        <f>VLOOKUP(M134,LUTs!E$2:H$14,4,)</f>
        <v>02South Puget Sound</v>
      </c>
      <c r="P134" s="73">
        <v>62.941176470588303</v>
      </c>
      <c r="Q134" s="74">
        <f>VLOOKUP(B134,Readme!A$40:C$51,2,)*P134</f>
        <v>544.44117647058886</v>
      </c>
    </row>
    <row r="135" spans="1:17" ht="14.15" customHeight="1" x14ac:dyDescent="0.35">
      <c r="A135" s="75">
        <v>134</v>
      </c>
      <c r="B135" s="64">
        <v>2010</v>
      </c>
      <c r="C135" s="64">
        <v>9</v>
      </c>
      <c r="D135" s="80">
        <f t="shared" si="7"/>
        <v>2010</v>
      </c>
      <c r="E135" t="s">
        <v>38</v>
      </c>
      <c r="F135" t="s">
        <v>143</v>
      </c>
      <c r="G135" t="s">
        <v>10</v>
      </c>
      <c r="H135" s="72" t="s">
        <v>213</v>
      </c>
      <c r="I135" s="72" t="s">
        <v>55</v>
      </c>
      <c r="J135" t="str">
        <f t="shared" si="8"/>
        <v>Quilcene River</v>
      </c>
      <c r="K135" t="str">
        <f>IFERROR(VLOOKUP(J135,LUTs!$A$1:$C$73,2,FALSE),"NA")</f>
        <v>Jefferson</v>
      </c>
      <c r="L135" t="str">
        <f>IFERROR(VLOOKUP(J135,LUTs!$A$1:$C$73,3,FALSE),"NA")</f>
        <v>4 Hood Canal</v>
      </c>
      <c r="M135" s="72" t="s">
        <v>16</v>
      </c>
      <c r="N135" t="str">
        <f>VLOOKUP(M135,LUTs!E$2:H$14,3,)</f>
        <v>03Snohomish</v>
      </c>
      <c r="O135" t="str">
        <f>VLOOKUP(M135,LUTs!E$2:H$14,4,)</f>
        <v>01North Puget Sound</v>
      </c>
      <c r="P135" s="73">
        <v>12.5882352941177</v>
      </c>
      <c r="Q135" s="74">
        <f>VLOOKUP(B135,Readme!A$40:C$51,2,)*P135</f>
        <v>108.8882352941181</v>
      </c>
    </row>
    <row r="136" spans="1:17" ht="14.15" customHeight="1" x14ac:dyDescent="0.35">
      <c r="A136" s="75">
        <v>135</v>
      </c>
      <c r="B136" s="64">
        <v>2010</v>
      </c>
      <c r="C136" s="64">
        <v>9</v>
      </c>
      <c r="D136" s="80">
        <f t="shared" si="7"/>
        <v>2010</v>
      </c>
      <c r="E136" t="s">
        <v>38</v>
      </c>
      <c r="F136" t="s">
        <v>143</v>
      </c>
      <c r="G136" t="s">
        <v>10</v>
      </c>
      <c r="H136" s="72" t="s">
        <v>213</v>
      </c>
      <c r="I136" s="72" t="s">
        <v>55</v>
      </c>
      <c r="J136" t="str">
        <f t="shared" si="8"/>
        <v>Quilcene River</v>
      </c>
      <c r="K136" t="str">
        <f>IFERROR(VLOOKUP(J136,LUTs!$A$1:$C$73,2,FALSE),"NA")</f>
        <v>Jefferson</v>
      </c>
      <c r="L136" t="str">
        <f>IFERROR(VLOOKUP(J136,LUTs!$A$1:$C$73,3,FALSE),"NA")</f>
        <v>4 Hood Canal</v>
      </c>
      <c r="M136" s="72" t="s">
        <v>21</v>
      </c>
      <c r="N136" t="str">
        <f>VLOOKUP(M136,LUTs!E$2:H$14,3,)</f>
        <v>08Thurston</v>
      </c>
      <c r="O136" t="str">
        <f>VLOOKUP(M136,LUTs!E$2:H$14,4,)</f>
        <v>02South Puget Sound</v>
      </c>
      <c r="P136" s="73">
        <v>25.176470588235301</v>
      </c>
      <c r="Q136" s="74">
        <f>VLOOKUP(B136,Readme!A$40:C$51,2,)*P136</f>
        <v>217.77647058823536</v>
      </c>
    </row>
    <row r="137" spans="1:17" ht="14.15" customHeight="1" x14ac:dyDescent="0.35">
      <c r="A137" s="75">
        <v>136</v>
      </c>
      <c r="B137" s="64">
        <v>2010</v>
      </c>
      <c r="C137" s="64">
        <v>10</v>
      </c>
      <c r="D137" s="80">
        <f t="shared" si="7"/>
        <v>2010</v>
      </c>
      <c r="E137" t="s">
        <v>38</v>
      </c>
      <c r="F137" t="s">
        <v>143</v>
      </c>
      <c r="G137" t="s">
        <v>10</v>
      </c>
      <c r="H137" s="72" t="s">
        <v>213</v>
      </c>
      <c r="I137" s="72" t="s">
        <v>55</v>
      </c>
      <c r="J137" t="str">
        <f t="shared" si="8"/>
        <v>Quilcene River</v>
      </c>
      <c r="K137" t="str">
        <f>IFERROR(VLOOKUP(J137,LUTs!$A$1:$C$73,2,FALSE),"NA")</f>
        <v>Jefferson</v>
      </c>
      <c r="L137" t="str">
        <f>IFERROR(VLOOKUP(J137,LUTs!$A$1:$C$73,3,FALSE),"NA")</f>
        <v>4 Hood Canal</v>
      </c>
      <c r="M137" s="72" t="s">
        <v>25</v>
      </c>
      <c r="N137" t="str">
        <f>VLOOKUP(M137,LUTs!E$2:H$14,3,)</f>
        <v>12Jefferson</v>
      </c>
      <c r="O137" t="str">
        <f>VLOOKUP(M137,LUTs!E$2:H$14,4,)</f>
        <v>03Strait of Juan de Fuca</v>
      </c>
      <c r="P137" s="73">
        <v>6.2</v>
      </c>
      <c r="Q137" s="74">
        <f>VLOOKUP(B137,Readme!A$40:C$51,2,)*P137</f>
        <v>53.63</v>
      </c>
    </row>
    <row r="138" spans="1:17" ht="14.15" customHeight="1" x14ac:dyDescent="0.35">
      <c r="A138" s="75">
        <v>137</v>
      </c>
      <c r="B138" s="64">
        <v>2010</v>
      </c>
      <c r="C138" s="64">
        <v>10</v>
      </c>
      <c r="D138" s="80">
        <f t="shared" si="7"/>
        <v>2010</v>
      </c>
      <c r="E138" t="s">
        <v>38</v>
      </c>
      <c r="F138" t="s">
        <v>143</v>
      </c>
      <c r="G138" t="s">
        <v>10</v>
      </c>
      <c r="H138" s="72" t="s">
        <v>213</v>
      </c>
      <c r="I138" s="72" t="s">
        <v>55</v>
      </c>
      <c r="J138" t="str">
        <f t="shared" si="8"/>
        <v>Quilcene River</v>
      </c>
      <c r="K138" t="str">
        <f>IFERROR(VLOOKUP(J138,LUTs!$A$1:$C$73,2,FALSE),"NA")</f>
        <v>Jefferson</v>
      </c>
      <c r="L138" t="str">
        <f>IFERROR(VLOOKUP(J138,LUTs!$A$1:$C$73,3,FALSE),"NA")</f>
        <v>4 Hood Canal</v>
      </c>
      <c r="M138" s="72" t="s">
        <v>23</v>
      </c>
      <c r="N138" t="str">
        <f>VLOOKUP(M138,LUTs!E$2:H$14,3,)</f>
        <v>10Kitsap</v>
      </c>
      <c r="O138" t="str">
        <f>VLOOKUP(M138,LUTs!E$2:H$14,4,)</f>
        <v>02South Puget Sound</v>
      </c>
      <c r="P138" s="73">
        <v>12.4</v>
      </c>
      <c r="Q138" s="74">
        <f>VLOOKUP(B138,Readme!A$40:C$51,2,)*P138</f>
        <v>107.26</v>
      </c>
    </row>
    <row r="139" spans="1:17" ht="14.15" customHeight="1" x14ac:dyDescent="0.35">
      <c r="A139" s="75">
        <v>138</v>
      </c>
      <c r="B139" s="64">
        <v>2010</v>
      </c>
      <c r="C139" s="64">
        <v>10</v>
      </c>
      <c r="D139" s="80">
        <f t="shared" si="7"/>
        <v>2010</v>
      </c>
      <c r="E139" t="s">
        <v>38</v>
      </c>
      <c r="F139" t="s">
        <v>143</v>
      </c>
      <c r="G139" t="s">
        <v>10</v>
      </c>
      <c r="H139" s="72" t="s">
        <v>213</v>
      </c>
      <c r="I139" s="72" t="s">
        <v>55</v>
      </c>
      <c r="J139" t="str">
        <f t="shared" si="8"/>
        <v>Quilcene River</v>
      </c>
      <c r="K139" t="str">
        <f>IFERROR(VLOOKUP(J139,LUTs!$A$1:$C$73,2,FALSE),"NA")</f>
        <v>Jefferson</v>
      </c>
      <c r="L139" t="str">
        <f>IFERROR(VLOOKUP(J139,LUTs!$A$1:$C$73,3,FALSE),"NA")</f>
        <v>4 Hood Canal</v>
      </c>
      <c r="M139" s="72" t="s">
        <v>16</v>
      </c>
      <c r="N139" t="str">
        <f>VLOOKUP(M139,LUTs!E$2:H$14,3,)</f>
        <v>03Snohomish</v>
      </c>
      <c r="O139" t="str">
        <f>VLOOKUP(M139,LUTs!E$2:H$14,4,)</f>
        <v>01North Puget Sound</v>
      </c>
      <c r="P139" s="73">
        <v>12.4</v>
      </c>
      <c r="Q139" s="74">
        <f>VLOOKUP(B139,Readme!A$40:C$51,2,)*P139</f>
        <v>107.26</v>
      </c>
    </row>
    <row r="140" spans="1:17" ht="14.15" customHeight="1" x14ac:dyDescent="0.35">
      <c r="A140" s="75">
        <v>139</v>
      </c>
      <c r="B140" s="64">
        <v>2010</v>
      </c>
      <c r="C140" s="64">
        <v>7</v>
      </c>
      <c r="D140" s="80">
        <f t="shared" si="7"/>
        <v>2010</v>
      </c>
      <c r="E140" t="s">
        <v>38</v>
      </c>
      <c r="F140" t="s">
        <v>143</v>
      </c>
      <c r="G140" t="s">
        <v>10</v>
      </c>
      <c r="H140" s="72" t="s">
        <v>214</v>
      </c>
      <c r="I140" s="72" t="s">
        <v>56</v>
      </c>
      <c r="J140" t="str">
        <f t="shared" si="8"/>
        <v>Samish River</v>
      </c>
      <c r="K140" t="str">
        <f>IFERROR(VLOOKUP(J140,LUTs!$A$1:$C$73,2,FALSE),"NA")</f>
        <v>Skagit</v>
      </c>
      <c r="L140" t="str">
        <f>IFERROR(VLOOKUP(J140,LUTs!$A$1:$C$73,3,FALSE),"NA")</f>
        <v>1North Puget Sound</v>
      </c>
      <c r="M140" s="72" t="s">
        <v>30</v>
      </c>
      <c r="N140" t="str">
        <f>VLOOKUP(M140,LUTs!E$2:H$14,3,)</f>
        <v>05San Juan</v>
      </c>
      <c r="O140" t="str">
        <f>VLOOKUP(M140,LUTs!E$2:H$14,4,)</f>
        <v>01North Puget Sound</v>
      </c>
      <c r="P140" s="73">
        <v>62.727272727272698</v>
      </c>
      <c r="Q140" s="74">
        <f>VLOOKUP(B140,Readme!A$40:C$51,2,)*P140</f>
        <v>542.59090909090889</v>
      </c>
    </row>
    <row r="141" spans="1:17" ht="14.15" customHeight="1" x14ac:dyDescent="0.35">
      <c r="A141" s="75">
        <v>140</v>
      </c>
      <c r="B141" s="64">
        <v>2010</v>
      </c>
      <c r="C141" s="64">
        <v>7</v>
      </c>
      <c r="D141" s="80">
        <f t="shared" si="7"/>
        <v>2010</v>
      </c>
      <c r="E141" t="s">
        <v>38</v>
      </c>
      <c r="F141" t="s">
        <v>143</v>
      </c>
      <c r="G141" t="s">
        <v>10</v>
      </c>
      <c r="H141" s="72" t="s">
        <v>214</v>
      </c>
      <c r="I141" s="72" t="s">
        <v>56</v>
      </c>
      <c r="J141" t="str">
        <f t="shared" si="8"/>
        <v>Samish River</v>
      </c>
      <c r="K141" t="str">
        <f>IFERROR(VLOOKUP(J141,LUTs!$A$1:$C$73,2,FALSE),"NA")</f>
        <v>Skagit</v>
      </c>
      <c r="L141" t="str">
        <f>IFERROR(VLOOKUP(J141,LUTs!$A$1:$C$73,3,FALSE),"NA")</f>
        <v>1North Puget Sound</v>
      </c>
      <c r="M141" s="72" t="s">
        <v>16</v>
      </c>
      <c r="N141" t="str">
        <f>VLOOKUP(M141,LUTs!E$2:H$14,3,)</f>
        <v>03Snohomish</v>
      </c>
      <c r="O141" t="str">
        <f>VLOOKUP(M141,LUTs!E$2:H$14,4,)</f>
        <v>01North Puget Sound</v>
      </c>
      <c r="P141" s="73">
        <v>6.2727272727272698</v>
      </c>
      <c r="Q141" s="74">
        <f>VLOOKUP(B141,Readme!A$40:C$51,2,)*P141</f>
        <v>54.259090909090887</v>
      </c>
    </row>
    <row r="142" spans="1:17" ht="14.15" customHeight="1" x14ac:dyDescent="0.35">
      <c r="A142" s="75">
        <v>141</v>
      </c>
      <c r="B142" s="64">
        <v>2010</v>
      </c>
      <c r="C142" s="64">
        <v>8</v>
      </c>
      <c r="D142" s="80">
        <f t="shared" si="7"/>
        <v>2010</v>
      </c>
      <c r="E142" t="s">
        <v>38</v>
      </c>
      <c r="F142" t="s">
        <v>143</v>
      </c>
      <c r="G142" t="s">
        <v>10</v>
      </c>
      <c r="H142" s="72" t="s">
        <v>214</v>
      </c>
      <c r="I142" s="72" t="s">
        <v>56</v>
      </c>
      <c r="J142" t="str">
        <f t="shared" si="8"/>
        <v>Samish River</v>
      </c>
      <c r="K142" t="str">
        <f>IFERROR(VLOOKUP(J142,LUTs!$A$1:$C$73,2,FALSE),"NA")</f>
        <v>Skagit</v>
      </c>
      <c r="L142" t="str">
        <f>IFERROR(VLOOKUP(J142,LUTs!$A$1:$C$73,3,FALSE),"NA")</f>
        <v>1North Puget Sound</v>
      </c>
      <c r="M142" s="72" t="s">
        <v>17</v>
      </c>
      <c r="N142" t="str">
        <f>VLOOKUP(M142,LUTs!E$2:H$14,3,)</f>
        <v>04Island</v>
      </c>
      <c r="O142" t="str">
        <f>VLOOKUP(M142,LUTs!E$2:H$14,4,)</f>
        <v>01North Puget Sound</v>
      </c>
      <c r="P142" s="73">
        <v>43.683544303797497</v>
      </c>
      <c r="Q142" s="74">
        <f>VLOOKUP(B142,Readme!A$40:C$51,2,)*P142</f>
        <v>377.86265822784839</v>
      </c>
    </row>
    <row r="143" spans="1:17" ht="14.15" customHeight="1" x14ac:dyDescent="0.35">
      <c r="A143" s="75">
        <v>142</v>
      </c>
      <c r="B143" s="64">
        <v>2010</v>
      </c>
      <c r="C143" s="64">
        <v>8</v>
      </c>
      <c r="D143" s="80">
        <f t="shared" si="7"/>
        <v>2010</v>
      </c>
      <c r="E143" t="s">
        <v>38</v>
      </c>
      <c r="F143" t="s">
        <v>143</v>
      </c>
      <c r="G143" t="s">
        <v>10</v>
      </c>
      <c r="H143" s="72" t="s">
        <v>214</v>
      </c>
      <c r="I143" s="72" t="s">
        <v>56</v>
      </c>
      <c r="J143" t="str">
        <f t="shared" si="8"/>
        <v>Samish River</v>
      </c>
      <c r="K143" t="str">
        <f>IFERROR(VLOOKUP(J143,LUTs!$A$1:$C$73,2,FALSE),"NA")</f>
        <v>Skagit</v>
      </c>
      <c r="L143" t="str">
        <f>IFERROR(VLOOKUP(J143,LUTs!$A$1:$C$73,3,FALSE),"NA")</f>
        <v>1North Puget Sound</v>
      </c>
      <c r="M143" s="72" t="s">
        <v>18</v>
      </c>
      <c r="N143" t="str">
        <f>VLOOKUP(M143,LUTs!E$2:H$14,3,)</f>
        <v>06King</v>
      </c>
      <c r="O143" t="str">
        <f>VLOOKUP(M143,LUTs!E$2:H$14,4,)</f>
        <v>02South Puget Sound</v>
      </c>
      <c r="P143" s="73">
        <v>6.2405063291139298</v>
      </c>
      <c r="Q143" s="74">
        <f>VLOOKUP(B143,Readme!A$40:C$51,2,)*P143</f>
        <v>53.980379746835496</v>
      </c>
    </row>
    <row r="144" spans="1:17" ht="14.15" customHeight="1" x14ac:dyDescent="0.35">
      <c r="A144" s="75">
        <v>143</v>
      </c>
      <c r="B144" s="64">
        <v>2010</v>
      </c>
      <c r="C144" s="64">
        <v>8</v>
      </c>
      <c r="D144" s="80">
        <f t="shared" si="7"/>
        <v>2010</v>
      </c>
      <c r="E144" t="s">
        <v>38</v>
      </c>
      <c r="F144" t="s">
        <v>143</v>
      </c>
      <c r="G144" t="s">
        <v>10</v>
      </c>
      <c r="H144" s="72" t="s">
        <v>214</v>
      </c>
      <c r="I144" s="72" t="s">
        <v>56</v>
      </c>
      <c r="J144" t="str">
        <f t="shared" si="8"/>
        <v>Samish River</v>
      </c>
      <c r="K144" t="str">
        <f>IFERROR(VLOOKUP(J144,LUTs!$A$1:$C$73,2,FALSE),"NA")</f>
        <v>Skagit</v>
      </c>
      <c r="L144" t="str">
        <f>IFERROR(VLOOKUP(J144,LUTs!$A$1:$C$73,3,FALSE),"NA")</f>
        <v>1North Puget Sound</v>
      </c>
      <c r="M144" s="72" t="s">
        <v>26</v>
      </c>
      <c r="N144" t="str">
        <f>VLOOKUP(M144,LUTs!E$2:H$14,3,)</f>
        <v>20Other</v>
      </c>
      <c r="O144" t="str">
        <f>VLOOKUP(M144,LUTs!E$2:H$14,4,)</f>
        <v>07Non Puget Sound</v>
      </c>
      <c r="P144" s="73">
        <v>6.2405063291139298</v>
      </c>
      <c r="Q144" s="74">
        <f>VLOOKUP(B144,Readme!A$40:C$51,2,)*P144</f>
        <v>53.980379746835496</v>
      </c>
    </row>
    <row r="145" spans="1:17" ht="14.15" customHeight="1" x14ac:dyDescent="0.35">
      <c r="A145" s="75">
        <v>144</v>
      </c>
      <c r="B145" s="64">
        <v>2010</v>
      </c>
      <c r="C145" s="64">
        <v>8</v>
      </c>
      <c r="D145" s="80">
        <f t="shared" si="7"/>
        <v>2010</v>
      </c>
      <c r="E145" t="s">
        <v>38</v>
      </c>
      <c r="F145" t="s">
        <v>143</v>
      </c>
      <c r="G145" t="s">
        <v>10</v>
      </c>
      <c r="H145" s="72" t="s">
        <v>214</v>
      </c>
      <c r="I145" s="72" t="s">
        <v>56</v>
      </c>
      <c r="J145" t="str">
        <f t="shared" si="8"/>
        <v>Samish River</v>
      </c>
      <c r="K145" t="str">
        <f>IFERROR(VLOOKUP(J145,LUTs!$A$1:$C$73,2,FALSE),"NA")</f>
        <v>Skagit</v>
      </c>
      <c r="L145" t="str">
        <f>IFERROR(VLOOKUP(J145,LUTs!$A$1:$C$73,3,FALSE),"NA")</f>
        <v>1North Puget Sound</v>
      </c>
      <c r="M145" s="72" t="s">
        <v>30</v>
      </c>
      <c r="N145" t="str">
        <f>VLOOKUP(M145,LUTs!E$2:H$14,3,)</f>
        <v>05San Juan</v>
      </c>
      <c r="O145" t="str">
        <f>VLOOKUP(M145,LUTs!E$2:H$14,4,)</f>
        <v>01North Puget Sound</v>
      </c>
      <c r="P145" s="73">
        <v>12.4810126582279</v>
      </c>
      <c r="Q145" s="74">
        <f>VLOOKUP(B145,Readme!A$40:C$51,2,)*P145</f>
        <v>107.96075949367135</v>
      </c>
    </row>
    <row r="146" spans="1:17" ht="14.15" customHeight="1" x14ac:dyDescent="0.35">
      <c r="A146" s="75">
        <v>145</v>
      </c>
      <c r="B146" s="64">
        <v>2010</v>
      </c>
      <c r="C146" s="64">
        <v>8</v>
      </c>
      <c r="D146" s="80">
        <f t="shared" si="7"/>
        <v>2010</v>
      </c>
      <c r="E146" t="s">
        <v>38</v>
      </c>
      <c r="F146" t="s">
        <v>143</v>
      </c>
      <c r="G146" t="s">
        <v>10</v>
      </c>
      <c r="H146" s="72" t="s">
        <v>214</v>
      </c>
      <c r="I146" s="72" t="s">
        <v>56</v>
      </c>
      <c r="J146" t="str">
        <f t="shared" si="8"/>
        <v>Samish River</v>
      </c>
      <c r="K146" t="str">
        <f>IFERROR(VLOOKUP(J146,LUTs!$A$1:$C$73,2,FALSE),"NA")</f>
        <v>Skagit</v>
      </c>
      <c r="L146" t="str">
        <f>IFERROR(VLOOKUP(J146,LUTs!$A$1:$C$73,3,FALSE),"NA")</f>
        <v>1North Puget Sound</v>
      </c>
      <c r="M146" s="72" t="s">
        <v>15</v>
      </c>
      <c r="N146" t="str">
        <f>VLOOKUP(M146,LUTs!E$2:H$14,3,)</f>
        <v>02Skagit</v>
      </c>
      <c r="O146" t="str">
        <f>VLOOKUP(M146,LUTs!E$2:H$14,4,)</f>
        <v>01North Puget Sound</v>
      </c>
      <c r="P146" s="73">
        <v>224.65822784810101</v>
      </c>
      <c r="Q146" s="74">
        <f>VLOOKUP(B146,Readme!A$40:C$51,2,)*P146</f>
        <v>1943.2936708860739</v>
      </c>
    </row>
    <row r="147" spans="1:17" ht="14.15" customHeight="1" x14ac:dyDescent="0.35">
      <c r="A147" s="75">
        <v>146</v>
      </c>
      <c r="B147" s="64">
        <v>2010</v>
      </c>
      <c r="C147" s="64">
        <v>8</v>
      </c>
      <c r="D147" s="80">
        <f t="shared" si="7"/>
        <v>2010</v>
      </c>
      <c r="E147" t="s">
        <v>38</v>
      </c>
      <c r="F147" t="s">
        <v>143</v>
      </c>
      <c r="G147" t="s">
        <v>10</v>
      </c>
      <c r="H147" s="72" t="s">
        <v>214</v>
      </c>
      <c r="I147" s="72" t="s">
        <v>56</v>
      </c>
      <c r="J147" t="str">
        <f t="shared" si="8"/>
        <v>Samish River</v>
      </c>
      <c r="K147" t="str">
        <f>IFERROR(VLOOKUP(J147,LUTs!$A$1:$C$73,2,FALSE),"NA")</f>
        <v>Skagit</v>
      </c>
      <c r="L147" t="str">
        <f>IFERROR(VLOOKUP(J147,LUTs!$A$1:$C$73,3,FALSE),"NA")</f>
        <v>1North Puget Sound</v>
      </c>
      <c r="M147" s="72" t="s">
        <v>16</v>
      </c>
      <c r="N147" t="str">
        <f>VLOOKUP(M147,LUTs!E$2:H$14,3,)</f>
        <v>03Snohomish</v>
      </c>
      <c r="O147" t="str">
        <f>VLOOKUP(M147,LUTs!E$2:H$14,4,)</f>
        <v>01North Puget Sound</v>
      </c>
      <c r="P147" s="73">
        <v>156.01265822784799</v>
      </c>
      <c r="Q147" s="74">
        <f>VLOOKUP(B147,Readme!A$40:C$51,2,)*P147</f>
        <v>1349.5094936708851</v>
      </c>
    </row>
    <row r="148" spans="1:17" ht="14.15" customHeight="1" x14ac:dyDescent="0.35">
      <c r="A148" s="75">
        <v>147</v>
      </c>
      <c r="B148" s="64">
        <v>2010</v>
      </c>
      <c r="C148" s="64">
        <v>8</v>
      </c>
      <c r="D148" s="80">
        <f t="shared" si="7"/>
        <v>2010</v>
      </c>
      <c r="E148" t="s">
        <v>38</v>
      </c>
      <c r="F148" t="s">
        <v>143</v>
      </c>
      <c r="G148" t="s">
        <v>10</v>
      </c>
      <c r="H148" s="72" t="s">
        <v>214</v>
      </c>
      <c r="I148" s="72" t="s">
        <v>56</v>
      </c>
      <c r="J148" t="str">
        <f t="shared" si="8"/>
        <v>Samish River</v>
      </c>
      <c r="K148" t="str">
        <f>IFERROR(VLOOKUP(J148,LUTs!$A$1:$C$73,2,FALSE),"NA")</f>
        <v>Skagit</v>
      </c>
      <c r="L148" t="str">
        <f>IFERROR(VLOOKUP(J148,LUTs!$A$1:$C$73,3,FALSE),"NA")</f>
        <v>1North Puget Sound</v>
      </c>
      <c r="M148" s="72" t="s">
        <v>13</v>
      </c>
      <c r="N148" t="str">
        <f>VLOOKUP(M148,LUTs!E$2:H$14,3,)</f>
        <v>01Whatcom</v>
      </c>
      <c r="O148" t="str">
        <f>VLOOKUP(M148,LUTs!E$2:H$14,4,)</f>
        <v>01North Puget Sound</v>
      </c>
      <c r="P148" s="73">
        <v>43.683544303797497</v>
      </c>
      <c r="Q148" s="74">
        <f>VLOOKUP(B148,Readme!A$40:C$51,2,)*P148</f>
        <v>377.86265822784839</v>
      </c>
    </row>
    <row r="149" spans="1:17" ht="14.15" customHeight="1" x14ac:dyDescent="0.35">
      <c r="A149" s="75">
        <v>148</v>
      </c>
      <c r="B149" s="64">
        <v>2010</v>
      </c>
      <c r="C149" s="64">
        <v>9</v>
      </c>
      <c r="D149" s="80">
        <f t="shared" si="7"/>
        <v>2010</v>
      </c>
      <c r="E149" t="s">
        <v>38</v>
      </c>
      <c r="F149" t="s">
        <v>143</v>
      </c>
      <c r="G149" t="s">
        <v>10</v>
      </c>
      <c r="H149" s="72" t="s">
        <v>214</v>
      </c>
      <c r="I149" s="72" t="s">
        <v>56</v>
      </c>
      <c r="J149" t="str">
        <f t="shared" si="8"/>
        <v>Samish River</v>
      </c>
      <c r="K149" t="str">
        <f>IFERROR(VLOOKUP(J149,LUTs!$A$1:$C$73,2,FALSE),"NA")</f>
        <v>Skagit</v>
      </c>
      <c r="L149" t="str">
        <f>IFERROR(VLOOKUP(J149,LUTs!$A$1:$C$73,3,FALSE),"NA")</f>
        <v>1North Puget Sound</v>
      </c>
      <c r="M149" s="72" t="s">
        <v>17</v>
      </c>
      <c r="N149" t="str">
        <f>VLOOKUP(M149,LUTs!E$2:H$14,3,)</f>
        <v>04Island</v>
      </c>
      <c r="O149" t="str">
        <f>VLOOKUP(M149,LUTs!E$2:H$14,4,)</f>
        <v>01North Puget Sound</v>
      </c>
      <c r="P149" s="73">
        <v>413.01886792452802</v>
      </c>
      <c r="Q149" s="74">
        <f>VLOOKUP(B149,Readme!A$40:C$51,2,)*P149</f>
        <v>3572.6132075471673</v>
      </c>
    </row>
    <row r="150" spans="1:17" ht="14.15" customHeight="1" x14ac:dyDescent="0.35">
      <c r="A150" s="75">
        <v>149</v>
      </c>
      <c r="B150" s="64">
        <v>2010</v>
      </c>
      <c r="C150" s="64">
        <v>9</v>
      </c>
      <c r="D150" s="80">
        <f t="shared" si="7"/>
        <v>2010</v>
      </c>
      <c r="E150" t="s">
        <v>38</v>
      </c>
      <c r="F150" t="s">
        <v>143</v>
      </c>
      <c r="G150" t="s">
        <v>10</v>
      </c>
      <c r="H150" s="72" t="s">
        <v>214</v>
      </c>
      <c r="I150" s="72" t="s">
        <v>56</v>
      </c>
      <c r="J150" t="str">
        <f t="shared" si="8"/>
        <v>Samish River</v>
      </c>
      <c r="K150" t="str">
        <f>IFERROR(VLOOKUP(J150,LUTs!$A$1:$C$73,2,FALSE),"NA")</f>
        <v>Skagit</v>
      </c>
      <c r="L150" t="str">
        <f>IFERROR(VLOOKUP(J150,LUTs!$A$1:$C$73,3,FALSE),"NA")</f>
        <v>1North Puget Sound</v>
      </c>
      <c r="M150" s="72" t="s">
        <v>18</v>
      </c>
      <c r="N150" t="str">
        <f>VLOOKUP(M150,LUTs!E$2:H$14,3,)</f>
        <v>06King</v>
      </c>
      <c r="O150" t="str">
        <f>VLOOKUP(M150,LUTs!E$2:H$14,4,)</f>
        <v>02South Puget Sound</v>
      </c>
      <c r="P150" s="73">
        <v>219.025157232704</v>
      </c>
      <c r="Q150" s="74">
        <f>VLOOKUP(B150,Readme!A$40:C$51,2,)*P150</f>
        <v>1894.5676100628898</v>
      </c>
    </row>
    <row r="151" spans="1:17" ht="14.15" customHeight="1" x14ac:dyDescent="0.35">
      <c r="A151" s="75">
        <v>150</v>
      </c>
      <c r="B151" s="64">
        <v>2010</v>
      </c>
      <c r="C151" s="64">
        <v>9</v>
      </c>
      <c r="D151" s="80">
        <f t="shared" si="7"/>
        <v>2010</v>
      </c>
      <c r="E151" t="s">
        <v>38</v>
      </c>
      <c r="F151" t="s">
        <v>143</v>
      </c>
      <c r="G151" t="s">
        <v>10</v>
      </c>
      <c r="H151" s="72" t="s">
        <v>214</v>
      </c>
      <c r="I151" s="72" t="s">
        <v>56</v>
      </c>
      <c r="J151" t="str">
        <f t="shared" si="8"/>
        <v>Samish River</v>
      </c>
      <c r="K151" t="str">
        <f>IFERROR(VLOOKUP(J151,LUTs!$A$1:$C$73,2,FALSE),"NA")</f>
        <v>Skagit</v>
      </c>
      <c r="L151" t="str">
        <f>IFERROR(VLOOKUP(J151,LUTs!$A$1:$C$73,3,FALSE),"NA")</f>
        <v>1North Puget Sound</v>
      </c>
      <c r="M151" s="72" t="s">
        <v>23</v>
      </c>
      <c r="N151" t="str">
        <f>VLOOKUP(M151,LUTs!E$2:H$14,3,)</f>
        <v>10Kitsap</v>
      </c>
      <c r="O151" t="str">
        <f>VLOOKUP(M151,LUTs!E$2:H$14,4,)</f>
        <v>02South Puget Sound</v>
      </c>
      <c r="P151" s="73">
        <v>6.2578616352201299</v>
      </c>
      <c r="Q151" s="74">
        <f>VLOOKUP(B151,Readme!A$40:C$51,2,)*P151</f>
        <v>54.130503144654128</v>
      </c>
    </row>
    <row r="152" spans="1:17" ht="14.15" customHeight="1" x14ac:dyDescent="0.35">
      <c r="A152" s="75">
        <v>151</v>
      </c>
      <c r="B152" s="64">
        <v>2010</v>
      </c>
      <c r="C152" s="64">
        <v>9</v>
      </c>
      <c r="D152" s="80">
        <f t="shared" si="7"/>
        <v>2010</v>
      </c>
      <c r="E152" t="s">
        <v>38</v>
      </c>
      <c r="F152" t="s">
        <v>143</v>
      </c>
      <c r="G152" t="s">
        <v>10</v>
      </c>
      <c r="H152" s="72" t="s">
        <v>214</v>
      </c>
      <c r="I152" s="72" t="s">
        <v>56</v>
      </c>
      <c r="J152" t="str">
        <f t="shared" si="8"/>
        <v>Samish River</v>
      </c>
      <c r="K152" t="str">
        <f>IFERROR(VLOOKUP(J152,LUTs!$A$1:$C$73,2,FALSE),"NA")</f>
        <v>Skagit</v>
      </c>
      <c r="L152" t="str">
        <f>IFERROR(VLOOKUP(J152,LUTs!$A$1:$C$73,3,FALSE),"NA")</f>
        <v>1North Puget Sound</v>
      </c>
      <c r="M152" s="72" t="s">
        <v>26</v>
      </c>
      <c r="N152" t="str">
        <f>VLOOKUP(M152,LUTs!E$2:H$14,3,)</f>
        <v>20Other</v>
      </c>
      <c r="O152" t="str">
        <f>VLOOKUP(M152,LUTs!E$2:H$14,4,)</f>
        <v>07Non Puget Sound</v>
      </c>
      <c r="P152" s="73">
        <v>344.18238993710702</v>
      </c>
      <c r="Q152" s="74">
        <f>VLOOKUP(B152,Readme!A$40:C$51,2,)*P152</f>
        <v>2977.177672955976</v>
      </c>
    </row>
    <row r="153" spans="1:17" ht="14.15" customHeight="1" x14ac:dyDescent="0.35">
      <c r="A153" s="75">
        <v>152</v>
      </c>
      <c r="B153" s="64">
        <v>2010</v>
      </c>
      <c r="C153" s="64">
        <v>9</v>
      </c>
      <c r="D153" s="80">
        <f t="shared" si="7"/>
        <v>2010</v>
      </c>
      <c r="E153" t="s">
        <v>38</v>
      </c>
      <c r="F153" t="s">
        <v>143</v>
      </c>
      <c r="G153" t="s">
        <v>10</v>
      </c>
      <c r="H153" s="72" t="s">
        <v>214</v>
      </c>
      <c r="I153" s="72" t="s">
        <v>56</v>
      </c>
      <c r="J153" t="str">
        <f t="shared" si="8"/>
        <v>Samish River</v>
      </c>
      <c r="K153" t="str">
        <f>IFERROR(VLOOKUP(J153,LUTs!$A$1:$C$73,2,FALSE),"NA")</f>
        <v>Skagit</v>
      </c>
      <c r="L153" t="str">
        <f>IFERROR(VLOOKUP(J153,LUTs!$A$1:$C$73,3,FALSE),"NA")</f>
        <v>1North Puget Sound</v>
      </c>
      <c r="M153" s="72" t="s">
        <v>15</v>
      </c>
      <c r="N153" t="str">
        <f>VLOOKUP(M153,LUTs!E$2:H$14,3,)</f>
        <v>02Skagit</v>
      </c>
      <c r="O153" t="str">
        <f>VLOOKUP(M153,LUTs!E$2:H$14,4,)</f>
        <v>01North Puget Sound</v>
      </c>
      <c r="P153" s="73">
        <v>1551.9496855345899</v>
      </c>
      <c r="Q153" s="74">
        <f>VLOOKUP(B153,Readme!A$40:C$51,2,)*P153</f>
        <v>13424.364779874202</v>
      </c>
    </row>
    <row r="154" spans="1:17" ht="14.15" customHeight="1" x14ac:dyDescent="0.35">
      <c r="A154" s="75">
        <v>153</v>
      </c>
      <c r="B154" s="64">
        <v>2010</v>
      </c>
      <c r="C154" s="64">
        <v>9</v>
      </c>
      <c r="D154" s="80">
        <f t="shared" si="7"/>
        <v>2010</v>
      </c>
      <c r="E154" t="s">
        <v>38</v>
      </c>
      <c r="F154" t="s">
        <v>143</v>
      </c>
      <c r="G154" t="s">
        <v>10</v>
      </c>
      <c r="H154" s="72" t="s">
        <v>214</v>
      </c>
      <c r="I154" s="72" t="s">
        <v>56</v>
      </c>
      <c r="J154" t="str">
        <f t="shared" si="8"/>
        <v>Samish River</v>
      </c>
      <c r="K154" t="str">
        <f>IFERROR(VLOOKUP(J154,LUTs!$A$1:$C$73,2,FALSE),"NA")</f>
        <v>Skagit</v>
      </c>
      <c r="L154" t="str">
        <f>IFERROR(VLOOKUP(J154,LUTs!$A$1:$C$73,3,FALSE),"NA")</f>
        <v>1North Puget Sound</v>
      </c>
      <c r="M154" s="72" t="s">
        <v>16</v>
      </c>
      <c r="N154" t="str">
        <f>VLOOKUP(M154,LUTs!E$2:H$14,3,)</f>
        <v>03Snohomish</v>
      </c>
      <c r="O154" t="str">
        <f>VLOOKUP(M154,LUTs!E$2:H$14,4,)</f>
        <v>01North Puget Sound</v>
      </c>
      <c r="P154" s="73">
        <v>1551.9496855345899</v>
      </c>
      <c r="Q154" s="74">
        <f>VLOOKUP(B154,Readme!A$40:C$51,2,)*P154</f>
        <v>13424.364779874202</v>
      </c>
    </row>
    <row r="155" spans="1:17" ht="14.15" customHeight="1" x14ac:dyDescent="0.35">
      <c r="A155" s="75">
        <v>154</v>
      </c>
      <c r="B155" s="64">
        <v>2010</v>
      </c>
      <c r="C155" s="64">
        <v>9</v>
      </c>
      <c r="D155" s="80">
        <f t="shared" si="7"/>
        <v>2010</v>
      </c>
      <c r="E155" t="s">
        <v>38</v>
      </c>
      <c r="F155" t="s">
        <v>143</v>
      </c>
      <c r="G155" t="s">
        <v>10</v>
      </c>
      <c r="H155" s="72" t="s">
        <v>214</v>
      </c>
      <c r="I155" s="72" t="s">
        <v>56</v>
      </c>
      <c r="J155" t="str">
        <f t="shared" si="8"/>
        <v>Samish River</v>
      </c>
      <c r="K155" t="str">
        <f>IFERROR(VLOOKUP(J155,LUTs!$A$1:$C$73,2,FALSE),"NA")</f>
        <v>Skagit</v>
      </c>
      <c r="L155" t="str">
        <f>IFERROR(VLOOKUP(J155,LUTs!$A$1:$C$73,3,FALSE),"NA")</f>
        <v>1North Puget Sound</v>
      </c>
      <c r="M155" s="72" t="s">
        <v>13</v>
      </c>
      <c r="N155" t="str">
        <f>VLOOKUP(M155,LUTs!E$2:H$14,3,)</f>
        <v>01Whatcom</v>
      </c>
      <c r="O155" t="str">
        <f>VLOOKUP(M155,LUTs!E$2:H$14,4,)</f>
        <v>01North Puget Sound</v>
      </c>
      <c r="P155" s="73">
        <v>888.616352201258</v>
      </c>
      <c r="Q155" s="74">
        <f>VLOOKUP(B155,Readme!A$40:C$51,2,)*P155</f>
        <v>7686.5314465408819</v>
      </c>
    </row>
    <row r="156" spans="1:17" ht="14.15" customHeight="1" x14ac:dyDescent="0.35">
      <c r="A156" s="75">
        <v>155</v>
      </c>
      <c r="B156" s="64">
        <v>2010</v>
      </c>
      <c r="C156" s="64">
        <v>10</v>
      </c>
      <c r="D156" s="80">
        <f t="shared" si="7"/>
        <v>2010</v>
      </c>
      <c r="E156" t="s">
        <v>38</v>
      </c>
      <c r="F156" t="s">
        <v>143</v>
      </c>
      <c r="G156" t="s">
        <v>10</v>
      </c>
      <c r="H156" s="72" t="s">
        <v>214</v>
      </c>
      <c r="I156" s="72" t="s">
        <v>56</v>
      </c>
      <c r="J156" t="str">
        <f t="shared" si="8"/>
        <v>Samish River</v>
      </c>
      <c r="K156" t="str">
        <f>IFERROR(VLOOKUP(J156,LUTs!$A$1:$C$73,2,FALSE),"NA")</f>
        <v>Skagit</v>
      </c>
      <c r="L156" t="str">
        <f>IFERROR(VLOOKUP(J156,LUTs!$A$1:$C$73,3,FALSE),"NA")</f>
        <v>1North Puget Sound</v>
      </c>
      <c r="M156" s="72" t="s">
        <v>17</v>
      </c>
      <c r="N156" t="str">
        <f>VLOOKUP(M156,LUTs!E$2:H$14,3,)</f>
        <v>04Island</v>
      </c>
      <c r="O156" t="str">
        <f>VLOOKUP(M156,LUTs!E$2:H$14,4,)</f>
        <v>01North Puget Sound</v>
      </c>
      <c r="P156" s="73">
        <v>18.6428571428571</v>
      </c>
      <c r="Q156" s="74">
        <f>VLOOKUP(B156,Readme!A$40:C$51,2,)*P156</f>
        <v>161.26071428571393</v>
      </c>
    </row>
    <row r="157" spans="1:17" ht="14.15" customHeight="1" x14ac:dyDescent="0.35">
      <c r="A157" s="75">
        <v>156</v>
      </c>
      <c r="B157" s="64">
        <v>2010</v>
      </c>
      <c r="C157" s="64">
        <v>10</v>
      </c>
      <c r="D157" s="80">
        <f t="shared" si="7"/>
        <v>2010</v>
      </c>
      <c r="E157" t="s">
        <v>38</v>
      </c>
      <c r="F157" t="s">
        <v>143</v>
      </c>
      <c r="G157" t="s">
        <v>10</v>
      </c>
      <c r="H157" s="72" t="s">
        <v>214</v>
      </c>
      <c r="I157" s="72" t="s">
        <v>56</v>
      </c>
      <c r="J157" t="str">
        <f t="shared" si="8"/>
        <v>Samish River</v>
      </c>
      <c r="K157" t="str">
        <f>IFERROR(VLOOKUP(J157,LUTs!$A$1:$C$73,2,FALSE),"NA")</f>
        <v>Skagit</v>
      </c>
      <c r="L157" t="str">
        <f>IFERROR(VLOOKUP(J157,LUTs!$A$1:$C$73,3,FALSE),"NA")</f>
        <v>1North Puget Sound</v>
      </c>
      <c r="M157" s="72" t="s">
        <v>18</v>
      </c>
      <c r="N157" t="str">
        <f>VLOOKUP(M157,LUTs!E$2:H$14,3,)</f>
        <v>06King</v>
      </c>
      <c r="O157" t="str">
        <f>VLOOKUP(M157,LUTs!E$2:H$14,4,)</f>
        <v>02South Puget Sound</v>
      </c>
      <c r="P157" s="73">
        <v>37.285714285714299</v>
      </c>
      <c r="Q157" s="74">
        <f>VLOOKUP(B157,Readme!A$40:C$51,2,)*P157</f>
        <v>322.52142857142871</v>
      </c>
    </row>
    <row r="158" spans="1:17" ht="14.15" customHeight="1" x14ac:dyDescent="0.35">
      <c r="A158" s="75">
        <v>157</v>
      </c>
      <c r="B158" s="64">
        <v>2010</v>
      </c>
      <c r="C158" s="64">
        <v>10</v>
      </c>
      <c r="D158" s="80">
        <f t="shared" si="7"/>
        <v>2010</v>
      </c>
      <c r="E158" t="s">
        <v>38</v>
      </c>
      <c r="F158" t="s">
        <v>143</v>
      </c>
      <c r="G158" t="s">
        <v>10</v>
      </c>
      <c r="H158" s="72" t="s">
        <v>214</v>
      </c>
      <c r="I158" s="72" t="s">
        <v>56</v>
      </c>
      <c r="J158" t="str">
        <f t="shared" si="8"/>
        <v>Samish River</v>
      </c>
      <c r="K158" t="str">
        <f>IFERROR(VLOOKUP(J158,LUTs!$A$1:$C$73,2,FALSE),"NA")</f>
        <v>Skagit</v>
      </c>
      <c r="L158" t="str">
        <f>IFERROR(VLOOKUP(J158,LUTs!$A$1:$C$73,3,FALSE),"NA")</f>
        <v>1North Puget Sound</v>
      </c>
      <c r="M158" s="72" t="s">
        <v>26</v>
      </c>
      <c r="N158" t="str">
        <f>VLOOKUP(M158,LUTs!E$2:H$14,3,)</f>
        <v>20Other</v>
      </c>
      <c r="O158" t="str">
        <f>VLOOKUP(M158,LUTs!E$2:H$14,4,)</f>
        <v>07Non Puget Sound</v>
      </c>
      <c r="P158" s="73">
        <v>6.2142857142857197</v>
      </c>
      <c r="Q158" s="74">
        <f>VLOOKUP(B158,Readme!A$40:C$51,2,)*P158</f>
        <v>53.753571428571476</v>
      </c>
    </row>
    <row r="159" spans="1:17" ht="14.15" customHeight="1" x14ac:dyDescent="0.35">
      <c r="A159" s="75">
        <v>158</v>
      </c>
      <c r="B159" s="64">
        <v>2010</v>
      </c>
      <c r="C159" s="64">
        <v>10</v>
      </c>
      <c r="D159" s="80">
        <f t="shared" si="7"/>
        <v>2010</v>
      </c>
      <c r="E159" t="s">
        <v>38</v>
      </c>
      <c r="F159" t="s">
        <v>143</v>
      </c>
      <c r="G159" t="s">
        <v>10</v>
      </c>
      <c r="H159" s="72" t="s">
        <v>214</v>
      </c>
      <c r="I159" s="72" t="s">
        <v>56</v>
      </c>
      <c r="J159" t="str">
        <f t="shared" si="8"/>
        <v>Samish River</v>
      </c>
      <c r="K159" t="str">
        <f>IFERROR(VLOOKUP(J159,LUTs!$A$1:$C$73,2,FALSE),"NA")</f>
        <v>Skagit</v>
      </c>
      <c r="L159" t="str">
        <f>IFERROR(VLOOKUP(J159,LUTs!$A$1:$C$73,3,FALSE),"NA")</f>
        <v>1North Puget Sound</v>
      </c>
      <c r="M159" s="72" t="s">
        <v>15</v>
      </c>
      <c r="N159" t="str">
        <f>VLOOKUP(M159,LUTs!E$2:H$14,3,)</f>
        <v>02Skagit</v>
      </c>
      <c r="O159" t="str">
        <f>VLOOKUP(M159,LUTs!E$2:H$14,4,)</f>
        <v>01North Puget Sound</v>
      </c>
      <c r="P159" s="73">
        <v>304.5</v>
      </c>
      <c r="Q159" s="74">
        <f>VLOOKUP(B159,Readme!A$40:C$51,2,)*P159</f>
        <v>2633.9250000000002</v>
      </c>
    </row>
    <row r="160" spans="1:17" ht="14.15" customHeight="1" x14ac:dyDescent="0.35">
      <c r="A160" s="75">
        <v>159</v>
      </c>
      <c r="B160" s="64">
        <v>2010</v>
      </c>
      <c r="C160" s="64">
        <v>10</v>
      </c>
      <c r="D160" s="80">
        <f t="shared" si="7"/>
        <v>2010</v>
      </c>
      <c r="E160" t="s">
        <v>38</v>
      </c>
      <c r="F160" t="s">
        <v>143</v>
      </c>
      <c r="G160" t="s">
        <v>10</v>
      </c>
      <c r="H160" s="72" t="s">
        <v>214</v>
      </c>
      <c r="I160" s="72" t="s">
        <v>56</v>
      </c>
      <c r="J160" t="str">
        <f t="shared" si="8"/>
        <v>Samish River</v>
      </c>
      <c r="K160" t="str">
        <f>IFERROR(VLOOKUP(J160,LUTs!$A$1:$C$73,2,FALSE),"NA")</f>
        <v>Skagit</v>
      </c>
      <c r="L160" t="str">
        <f>IFERROR(VLOOKUP(J160,LUTs!$A$1:$C$73,3,FALSE),"NA")</f>
        <v>1North Puget Sound</v>
      </c>
      <c r="M160" s="72" t="s">
        <v>16</v>
      </c>
      <c r="N160" t="str">
        <f>VLOOKUP(M160,LUTs!E$2:H$14,3,)</f>
        <v>03Snohomish</v>
      </c>
      <c r="O160" t="str">
        <f>VLOOKUP(M160,LUTs!E$2:H$14,4,)</f>
        <v>01North Puget Sound</v>
      </c>
      <c r="P160" s="73">
        <v>174</v>
      </c>
      <c r="Q160" s="74">
        <f>VLOOKUP(B160,Readme!A$40:C$51,2,)*P160</f>
        <v>1505.1000000000001</v>
      </c>
    </row>
    <row r="161" spans="1:17" ht="14.15" customHeight="1" x14ac:dyDescent="0.35">
      <c r="A161" s="75">
        <v>160</v>
      </c>
      <c r="B161" s="64">
        <v>2010</v>
      </c>
      <c r="C161" s="64">
        <v>10</v>
      </c>
      <c r="D161" s="80">
        <f t="shared" si="7"/>
        <v>2010</v>
      </c>
      <c r="E161" t="s">
        <v>38</v>
      </c>
      <c r="F161" t="s">
        <v>143</v>
      </c>
      <c r="G161" t="s">
        <v>10</v>
      </c>
      <c r="H161" s="72" t="s">
        <v>214</v>
      </c>
      <c r="I161" s="72" t="s">
        <v>56</v>
      </c>
      <c r="J161" t="str">
        <f t="shared" si="8"/>
        <v>Samish River</v>
      </c>
      <c r="K161" t="str">
        <f>IFERROR(VLOOKUP(J161,LUTs!$A$1:$C$73,2,FALSE),"NA")</f>
        <v>Skagit</v>
      </c>
      <c r="L161" t="str">
        <f>IFERROR(VLOOKUP(J161,LUTs!$A$1:$C$73,3,FALSE),"NA")</f>
        <v>1North Puget Sound</v>
      </c>
      <c r="M161" s="72" t="s">
        <v>13</v>
      </c>
      <c r="N161" t="str">
        <f>VLOOKUP(M161,LUTs!E$2:H$14,3,)</f>
        <v>01Whatcom</v>
      </c>
      <c r="O161" t="str">
        <f>VLOOKUP(M161,LUTs!E$2:H$14,4,)</f>
        <v>01North Puget Sound</v>
      </c>
      <c r="P161" s="73">
        <v>68.357142857142904</v>
      </c>
      <c r="Q161" s="74">
        <f>VLOOKUP(B161,Readme!A$40:C$51,2,)*P161</f>
        <v>591.28928571428617</v>
      </c>
    </row>
    <row r="162" spans="1:17" ht="14.15" customHeight="1" x14ac:dyDescent="0.35">
      <c r="A162" s="75">
        <v>161</v>
      </c>
      <c r="B162" s="64">
        <v>2010</v>
      </c>
      <c r="C162" s="64">
        <v>11</v>
      </c>
      <c r="D162" s="80">
        <f t="shared" si="7"/>
        <v>2010</v>
      </c>
      <c r="E162" t="s">
        <v>38</v>
      </c>
      <c r="F162" t="s">
        <v>143</v>
      </c>
      <c r="G162" t="s">
        <v>10</v>
      </c>
      <c r="H162" s="72" t="s">
        <v>214</v>
      </c>
      <c r="I162" s="72" t="s">
        <v>56</v>
      </c>
      <c r="J162" t="str">
        <f t="shared" si="8"/>
        <v>Samish River</v>
      </c>
      <c r="K162" t="str">
        <f>IFERROR(VLOOKUP(J162,LUTs!$A$1:$C$73,2,FALSE),"NA")</f>
        <v>Skagit</v>
      </c>
      <c r="L162" t="str">
        <f>IFERROR(VLOOKUP(J162,LUTs!$A$1:$C$73,3,FALSE),"NA")</f>
        <v>1North Puget Sound</v>
      </c>
      <c r="M162" s="72" t="s">
        <v>15</v>
      </c>
      <c r="N162" t="str">
        <f>VLOOKUP(M162,LUTs!E$2:H$14,3,)</f>
        <v>02Skagit</v>
      </c>
      <c r="O162" t="str">
        <f>VLOOKUP(M162,LUTs!E$2:H$14,4,)</f>
        <v>01North Puget Sound</v>
      </c>
      <c r="P162" s="73">
        <v>12</v>
      </c>
      <c r="Q162" s="74">
        <f>VLOOKUP(B162,Readme!A$40:C$51,2,)*P162</f>
        <v>103.80000000000001</v>
      </c>
    </row>
    <row r="163" spans="1:17" ht="14.15" customHeight="1" x14ac:dyDescent="0.35">
      <c r="A163" s="75">
        <v>162</v>
      </c>
      <c r="B163" s="64">
        <v>2010</v>
      </c>
      <c r="C163" s="64">
        <v>7</v>
      </c>
      <c r="D163" s="80">
        <f t="shared" si="7"/>
        <v>2010</v>
      </c>
      <c r="E163" t="s">
        <v>38</v>
      </c>
      <c r="F163" t="s">
        <v>143</v>
      </c>
      <c r="G163" t="s">
        <v>10</v>
      </c>
      <c r="H163" s="72" t="s">
        <v>215</v>
      </c>
      <c r="I163" s="72" t="s">
        <v>57</v>
      </c>
      <c r="J163" t="str">
        <f t="shared" si="8"/>
        <v>Baker River</v>
      </c>
      <c r="K163" t="str">
        <f>IFERROR(VLOOKUP(J163,LUTs!$A$1:$C$73,2,FALSE),"NA")</f>
        <v>Skagit/Whatcom</v>
      </c>
      <c r="L163" t="str">
        <f>IFERROR(VLOOKUP(J163,LUTs!$A$1:$C$73,3,FALSE),"NA")</f>
        <v>1North Puget Sound</v>
      </c>
      <c r="M163" s="72" t="s">
        <v>20</v>
      </c>
      <c r="N163" t="str">
        <f>VLOOKUP(M163,LUTs!E$2:H$14,3,)</f>
        <v>07Pierce</v>
      </c>
      <c r="O163" t="str">
        <f>VLOOKUP(M163,LUTs!E$2:H$14,4,)</f>
        <v>02South Puget Sound</v>
      </c>
      <c r="P163" s="73">
        <v>5.9230769230769198</v>
      </c>
      <c r="Q163" s="74">
        <f>VLOOKUP(B163,Readme!A$40:C$51,2,)*P163</f>
        <v>51.23461538461536</v>
      </c>
    </row>
    <row r="164" spans="1:17" ht="14.15" customHeight="1" x14ac:dyDescent="0.35">
      <c r="A164" s="75">
        <v>163</v>
      </c>
      <c r="B164" s="64">
        <v>2010</v>
      </c>
      <c r="C164" s="64">
        <v>7</v>
      </c>
      <c r="D164" s="80">
        <f t="shared" si="7"/>
        <v>2010</v>
      </c>
      <c r="E164" t="s">
        <v>38</v>
      </c>
      <c r="F164" t="s">
        <v>143</v>
      </c>
      <c r="G164" t="s">
        <v>10</v>
      </c>
      <c r="H164" s="72" t="s">
        <v>215</v>
      </c>
      <c r="I164" s="72" t="s">
        <v>57</v>
      </c>
      <c r="J164" t="str">
        <f t="shared" si="8"/>
        <v>Baker River</v>
      </c>
      <c r="K164" t="str">
        <f>IFERROR(VLOOKUP(J164,LUTs!$A$1:$C$73,2,FALSE),"NA")</f>
        <v>Skagit/Whatcom</v>
      </c>
      <c r="L164" t="str">
        <f>IFERROR(VLOOKUP(J164,LUTs!$A$1:$C$73,3,FALSE),"NA")</f>
        <v>1North Puget Sound</v>
      </c>
      <c r="M164" s="72" t="s">
        <v>15</v>
      </c>
      <c r="N164" t="str">
        <f>VLOOKUP(M164,LUTs!E$2:H$14,3,)</f>
        <v>02Skagit</v>
      </c>
      <c r="O164" t="str">
        <f>VLOOKUP(M164,LUTs!E$2:H$14,4,)</f>
        <v>01North Puget Sound</v>
      </c>
      <c r="P164" s="73">
        <v>136.230769230769</v>
      </c>
      <c r="Q164" s="74">
        <f>VLOOKUP(B164,Readme!A$40:C$51,2,)*P164</f>
        <v>1178.3961538461519</v>
      </c>
    </row>
    <row r="165" spans="1:17" ht="14.15" customHeight="1" x14ac:dyDescent="0.35">
      <c r="A165" s="75">
        <v>164</v>
      </c>
      <c r="B165" s="64">
        <v>2010</v>
      </c>
      <c r="C165" s="64">
        <v>7</v>
      </c>
      <c r="D165" s="80">
        <f t="shared" si="7"/>
        <v>2010</v>
      </c>
      <c r="E165" t="s">
        <v>38</v>
      </c>
      <c r="F165" t="s">
        <v>143</v>
      </c>
      <c r="G165" t="s">
        <v>10</v>
      </c>
      <c r="H165" s="72" t="s">
        <v>215</v>
      </c>
      <c r="I165" s="72" t="s">
        <v>57</v>
      </c>
      <c r="J165" t="str">
        <f t="shared" si="8"/>
        <v>Baker River</v>
      </c>
      <c r="K165" t="str">
        <f>IFERROR(VLOOKUP(J165,LUTs!$A$1:$C$73,2,FALSE),"NA")</f>
        <v>Skagit/Whatcom</v>
      </c>
      <c r="L165" t="str">
        <f>IFERROR(VLOOKUP(J165,LUTs!$A$1:$C$73,3,FALSE),"NA")</f>
        <v>1North Puget Sound</v>
      </c>
      <c r="M165" s="72" t="s">
        <v>16</v>
      </c>
      <c r="N165" t="str">
        <f>VLOOKUP(M165,LUTs!E$2:H$14,3,)</f>
        <v>03Snohomish</v>
      </c>
      <c r="O165" t="str">
        <f>VLOOKUP(M165,LUTs!E$2:H$14,4,)</f>
        <v>01North Puget Sound</v>
      </c>
      <c r="P165" s="73">
        <v>5.9230769230769198</v>
      </c>
      <c r="Q165" s="74">
        <f>VLOOKUP(B165,Readme!A$40:C$51,2,)*P165</f>
        <v>51.23461538461536</v>
      </c>
    </row>
    <row r="166" spans="1:17" ht="14.15" customHeight="1" x14ac:dyDescent="0.35">
      <c r="A166" s="75">
        <v>165</v>
      </c>
      <c r="B166" s="64">
        <v>2010</v>
      </c>
      <c r="C166" s="64">
        <v>7</v>
      </c>
      <c r="D166" s="80">
        <f t="shared" si="7"/>
        <v>2010</v>
      </c>
      <c r="E166" t="s">
        <v>38</v>
      </c>
      <c r="F166" t="s">
        <v>143</v>
      </c>
      <c r="G166" t="s">
        <v>10</v>
      </c>
      <c r="H166" s="72" t="s">
        <v>215</v>
      </c>
      <c r="I166" s="72" t="s">
        <v>57</v>
      </c>
      <c r="J166" t="str">
        <f t="shared" si="8"/>
        <v>Baker River</v>
      </c>
      <c r="K166" t="str">
        <f>IFERROR(VLOOKUP(J166,LUTs!$A$1:$C$73,2,FALSE),"NA")</f>
        <v>Skagit/Whatcom</v>
      </c>
      <c r="L166" t="str">
        <f>IFERROR(VLOOKUP(J166,LUTs!$A$1:$C$73,3,FALSE),"NA")</f>
        <v>1North Puget Sound</v>
      </c>
      <c r="M166" s="72" t="s">
        <v>13</v>
      </c>
      <c r="N166" t="str">
        <f>VLOOKUP(M166,LUTs!E$2:H$14,3,)</f>
        <v>01Whatcom</v>
      </c>
      <c r="O166" t="str">
        <f>VLOOKUP(M166,LUTs!E$2:H$14,4,)</f>
        <v>01North Puget Sound</v>
      </c>
      <c r="P166" s="73">
        <v>5.9230769230769198</v>
      </c>
      <c r="Q166" s="74">
        <f>VLOOKUP(B166,Readme!A$40:C$51,2,)*P166</f>
        <v>51.23461538461536</v>
      </c>
    </row>
    <row r="167" spans="1:17" ht="14.15" customHeight="1" x14ac:dyDescent="0.35">
      <c r="A167" s="75">
        <v>166</v>
      </c>
      <c r="B167" s="64">
        <v>2010</v>
      </c>
      <c r="C167" s="64">
        <v>7</v>
      </c>
      <c r="D167" s="80">
        <f t="shared" si="7"/>
        <v>2010</v>
      </c>
      <c r="E167" t="s">
        <v>38</v>
      </c>
      <c r="F167" t="s">
        <v>143</v>
      </c>
      <c r="G167" t="s">
        <v>10</v>
      </c>
      <c r="H167" s="72" t="s">
        <v>216</v>
      </c>
      <c r="I167" s="72" t="s">
        <v>58</v>
      </c>
      <c r="J167" t="str">
        <f t="shared" si="8"/>
        <v>Baker Lake</v>
      </c>
      <c r="K167" t="str">
        <f>IFERROR(VLOOKUP(J167,LUTs!$A$1:$C$73,2,FALSE),"NA")</f>
        <v>Whatcom</v>
      </c>
      <c r="L167" t="str">
        <f>IFERROR(VLOOKUP(J167,LUTs!$A$1:$C$73,3,FALSE),"NA")</f>
        <v>1North Puget Sound</v>
      </c>
      <c r="M167" s="72" t="s">
        <v>17</v>
      </c>
      <c r="N167" t="str">
        <f>VLOOKUP(M167,LUTs!E$2:H$14,3,)</f>
        <v>04Island</v>
      </c>
      <c r="O167" t="str">
        <f>VLOOKUP(M167,LUTs!E$2:H$14,4,)</f>
        <v>01North Puget Sound</v>
      </c>
      <c r="P167" s="73">
        <v>54.214285714285701</v>
      </c>
      <c r="Q167" s="74">
        <f>VLOOKUP(B167,Readme!A$40:C$51,2,)*P167</f>
        <v>468.95357142857131</v>
      </c>
    </row>
    <row r="168" spans="1:17" ht="14.15" customHeight="1" x14ac:dyDescent="0.35">
      <c r="A168" s="75">
        <v>167</v>
      </c>
      <c r="B168" s="64">
        <v>2010</v>
      </c>
      <c r="C168" s="64">
        <v>7</v>
      </c>
      <c r="D168" s="80">
        <f t="shared" si="7"/>
        <v>2010</v>
      </c>
      <c r="E168" t="s">
        <v>38</v>
      </c>
      <c r="F168" t="s">
        <v>143</v>
      </c>
      <c r="G168" t="s">
        <v>10</v>
      </c>
      <c r="H168" s="72" t="s">
        <v>216</v>
      </c>
      <c r="I168" s="72" t="s">
        <v>58</v>
      </c>
      <c r="J168" t="str">
        <f t="shared" si="8"/>
        <v>Baker Lake</v>
      </c>
      <c r="K168" t="str">
        <f>IFERROR(VLOOKUP(J168,LUTs!$A$1:$C$73,2,FALSE),"NA")</f>
        <v>Whatcom</v>
      </c>
      <c r="L168" t="str">
        <f>IFERROR(VLOOKUP(J168,LUTs!$A$1:$C$73,3,FALSE),"NA")</f>
        <v>1North Puget Sound</v>
      </c>
      <c r="M168" s="72" t="s">
        <v>18</v>
      </c>
      <c r="N168" t="str">
        <f>VLOOKUP(M168,LUTs!E$2:H$14,3,)</f>
        <v>06King</v>
      </c>
      <c r="O168" t="str">
        <f>VLOOKUP(M168,LUTs!E$2:H$14,4,)</f>
        <v>02South Puget Sound</v>
      </c>
      <c r="P168" s="73">
        <v>253</v>
      </c>
      <c r="Q168" s="74">
        <f>VLOOKUP(B168,Readme!A$40:C$51,2,)*P168</f>
        <v>2188.4500000000003</v>
      </c>
    </row>
    <row r="169" spans="1:17" ht="14.15" customHeight="1" x14ac:dyDescent="0.35">
      <c r="A169" s="75">
        <v>168</v>
      </c>
      <c r="B169" s="64">
        <v>2010</v>
      </c>
      <c r="C169" s="64">
        <v>7</v>
      </c>
      <c r="D169" s="80">
        <f t="shared" si="7"/>
        <v>2010</v>
      </c>
      <c r="E169" t="s">
        <v>38</v>
      </c>
      <c r="F169" t="s">
        <v>143</v>
      </c>
      <c r="G169" t="s">
        <v>10</v>
      </c>
      <c r="H169" s="72" t="s">
        <v>216</v>
      </c>
      <c r="I169" s="72" t="s">
        <v>58</v>
      </c>
      <c r="J169" t="str">
        <f t="shared" si="8"/>
        <v>Baker Lake</v>
      </c>
      <c r="K169" t="str">
        <f>IFERROR(VLOOKUP(J169,LUTs!$A$1:$C$73,2,FALSE),"NA")</f>
        <v>Whatcom</v>
      </c>
      <c r="L169" t="str">
        <f>IFERROR(VLOOKUP(J169,LUTs!$A$1:$C$73,3,FALSE),"NA")</f>
        <v>1North Puget Sound</v>
      </c>
      <c r="M169" s="72" t="s">
        <v>26</v>
      </c>
      <c r="N169" t="str">
        <f>VLOOKUP(M169,LUTs!E$2:H$14,3,)</f>
        <v>20Other</v>
      </c>
      <c r="O169" t="str">
        <f>VLOOKUP(M169,LUTs!E$2:H$14,4,)</f>
        <v>07Non Puget Sound</v>
      </c>
      <c r="P169" s="73">
        <v>30.119047619047599</v>
      </c>
      <c r="Q169" s="74">
        <f>VLOOKUP(B169,Readme!A$40:C$51,2,)*P169</f>
        <v>260.52976190476176</v>
      </c>
    </row>
    <row r="170" spans="1:17" ht="14.15" customHeight="1" x14ac:dyDescent="0.35">
      <c r="A170" s="75">
        <v>169</v>
      </c>
      <c r="B170" s="64">
        <v>2010</v>
      </c>
      <c r="C170" s="64">
        <v>7</v>
      </c>
      <c r="D170" s="80">
        <f t="shared" si="7"/>
        <v>2010</v>
      </c>
      <c r="E170" t="s">
        <v>38</v>
      </c>
      <c r="F170" t="s">
        <v>143</v>
      </c>
      <c r="G170" t="s">
        <v>10</v>
      </c>
      <c r="H170" s="72" t="s">
        <v>216</v>
      </c>
      <c r="I170" s="72" t="s">
        <v>58</v>
      </c>
      <c r="J170" t="str">
        <f t="shared" si="8"/>
        <v>Baker Lake</v>
      </c>
      <c r="K170" t="str">
        <f>IFERROR(VLOOKUP(J170,LUTs!$A$1:$C$73,2,FALSE),"NA")</f>
        <v>Whatcom</v>
      </c>
      <c r="L170" t="str">
        <f>IFERROR(VLOOKUP(J170,LUTs!$A$1:$C$73,3,FALSE),"NA")</f>
        <v>1North Puget Sound</v>
      </c>
      <c r="M170" s="72" t="s">
        <v>20</v>
      </c>
      <c r="N170" t="str">
        <f>VLOOKUP(M170,LUTs!E$2:H$14,3,)</f>
        <v>07Pierce</v>
      </c>
      <c r="O170" t="str">
        <f>VLOOKUP(M170,LUTs!E$2:H$14,4,)</f>
        <v>02South Puget Sound</v>
      </c>
      <c r="P170" s="73">
        <v>18.071428571428601</v>
      </c>
      <c r="Q170" s="74">
        <f>VLOOKUP(B170,Readme!A$40:C$51,2,)*P170</f>
        <v>156.31785714285741</v>
      </c>
    </row>
    <row r="171" spans="1:17" ht="14.15" customHeight="1" x14ac:dyDescent="0.35">
      <c r="A171" s="75">
        <v>170</v>
      </c>
      <c r="B171" s="64">
        <v>2010</v>
      </c>
      <c r="C171" s="64">
        <v>7</v>
      </c>
      <c r="D171" s="80">
        <f t="shared" si="7"/>
        <v>2010</v>
      </c>
      <c r="E171" t="s">
        <v>38</v>
      </c>
      <c r="F171" t="s">
        <v>143</v>
      </c>
      <c r="G171" t="s">
        <v>10</v>
      </c>
      <c r="H171" s="72" t="s">
        <v>216</v>
      </c>
      <c r="I171" s="72" t="s">
        <v>58</v>
      </c>
      <c r="J171" t="str">
        <f t="shared" si="8"/>
        <v>Baker Lake</v>
      </c>
      <c r="K171" t="str">
        <f>IFERROR(VLOOKUP(J171,LUTs!$A$1:$C$73,2,FALSE),"NA")</f>
        <v>Whatcom</v>
      </c>
      <c r="L171" t="str">
        <f>IFERROR(VLOOKUP(J171,LUTs!$A$1:$C$73,3,FALSE),"NA")</f>
        <v>1North Puget Sound</v>
      </c>
      <c r="M171" s="72" t="s">
        <v>15</v>
      </c>
      <c r="N171" t="str">
        <f>VLOOKUP(M171,LUTs!E$2:H$14,3,)</f>
        <v>02Skagit</v>
      </c>
      <c r="O171" t="str">
        <f>VLOOKUP(M171,LUTs!E$2:H$14,4,)</f>
        <v>01North Puget Sound</v>
      </c>
      <c r="P171" s="73">
        <v>409.61904761904799</v>
      </c>
      <c r="Q171" s="74">
        <f>VLOOKUP(B171,Readme!A$40:C$51,2,)*P171</f>
        <v>3543.2047619047653</v>
      </c>
    </row>
    <row r="172" spans="1:17" ht="14.15" customHeight="1" x14ac:dyDescent="0.35">
      <c r="A172" s="75">
        <v>171</v>
      </c>
      <c r="B172" s="64">
        <v>2010</v>
      </c>
      <c r="C172" s="64">
        <v>7</v>
      </c>
      <c r="D172" s="80">
        <f t="shared" si="7"/>
        <v>2010</v>
      </c>
      <c r="E172" t="s">
        <v>38</v>
      </c>
      <c r="F172" t="s">
        <v>143</v>
      </c>
      <c r="G172" t="s">
        <v>10</v>
      </c>
      <c r="H172" s="72" t="s">
        <v>216</v>
      </c>
      <c r="I172" s="72" t="s">
        <v>58</v>
      </c>
      <c r="J172" t="str">
        <f t="shared" si="8"/>
        <v>Baker Lake</v>
      </c>
      <c r="K172" t="str">
        <f>IFERROR(VLOOKUP(J172,LUTs!$A$1:$C$73,2,FALSE),"NA")</f>
        <v>Whatcom</v>
      </c>
      <c r="L172" t="str">
        <f>IFERROR(VLOOKUP(J172,LUTs!$A$1:$C$73,3,FALSE),"NA")</f>
        <v>1North Puget Sound</v>
      </c>
      <c r="M172" s="72" t="s">
        <v>16</v>
      </c>
      <c r="N172" t="str">
        <f>VLOOKUP(M172,LUTs!E$2:H$14,3,)</f>
        <v>03Snohomish</v>
      </c>
      <c r="O172" t="str">
        <f>VLOOKUP(M172,LUTs!E$2:H$14,4,)</f>
        <v>01North Puget Sound</v>
      </c>
      <c r="P172" s="73">
        <v>325.28571428571399</v>
      </c>
      <c r="Q172" s="74">
        <f>VLOOKUP(B172,Readme!A$40:C$51,2,)*P172</f>
        <v>2813.7214285714263</v>
      </c>
    </row>
    <row r="173" spans="1:17" ht="14.15" customHeight="1" x14ac:dyDescent="0.35">
      <c r="A173" s="75">
        <v>172</v>
      </c>
      <c r="B173" s="64">
        <v>2010</v>
      </c>
      <c r="C173" s="64">
        <v>7</v>
      </c>
      <c r="D173" s="80">
        <f t="shared" si="7"/>
        <v>2010</v>
      </c>
      <c r="E173" t="s">
        <v>38</v>
      </c>
      <c r="F173" t="s">
        <v>143</v>
      </c>
      <c r="G173" t="s">
        <v>10</v>
      </c>
      <c r="H173" s="72" t="s">
        <v>216</v>
      </c>
      <c r="I173" s="72" t="s">
        <v>58</v>
      </c>
      <c r="J173" t="str">
        <f t="shared" si="8"/>
        <v>Baker Lake</v>
      </c>
      <c r="K173" t="str">
        <f>IFERROR(VLOOKUP(J173,LUTs!$A$1:$C$73,2,FALSE),"NA")</f>
        <v>Whatcom</v>
      </c>
      <c r="L173" t="str">
        <f>IFERROR(VLOOKUP(J173,LUTs!$A$1:$C$73,3,FALSE),"NA")</f>
        <v>1North Puget Sound</v>
      </c>
      <c r="M173" s="72" t="s">
        <v>13</v>
      </c>
      <c r="N173" t="str">
        <f>VLOOKUP(M173,LUTs!E$2:H$14,3,)</f>
        <v>01Whatcom</v>
      </c>
      <c r="O173" t="str">
        <f>VLOOKUP(M173,LUTs!E$2:H$14,4,)</f>
        <v>01North Puget Sound</v>
      </c>
      <c r="P173" s="73">
        <v>174.69047619047601</v>
      </c>
      <c r="Q173" s="74">
        <f>VLOOKUP(B173,Readme!A$40:C$51,2,)*P173</f>
        <v>1511.0726190476175</v>
      </c>
    </row>
    <row r="174" spans="1:17" ht="14.15" customHeight="1" x14ac:dyDescent="0.35">
      <c r="A174" s="75">
        <v>173</v>
      </c>
      <c r="B174" s="64">
        <v>2010</v>
      </c>
      <c r="C174" s="64">
        <v>8</v>
      </c>
      <c r="D174" s="80">
        <f t="shared" si="7"/>
        <v>2010</v>
      </c>
      <c r="E174" t="s">
        <v>38</v>
      </c>
      <c r="F174" t="s">
        <v>143</v>
      </c>
      <c r="G174" t="s">
        <v>10</v>
      </c>
      <c r="H174" s="72" t="s">
        <v>216</v>
      </c>
      <c r="I174" s="72" t="s">
        <v>58</v>
      </c>
      <c r="J174" t="str">
        <f t="shared" si="8"/>
        <v>Baker Lake</v>
      </c>
      <c r="K174" t="str">
        <f>IFERROR(VLOOKUP(J174,LUTs!$A$1:$C$73,2,FALSE),"NA")</f>
        <v>Whatcom</v>
      </c>
      <c r="L174" t="str">
        <f>IFERROR(VLOOKUP(J174,LUTs!$A$1:$C$73,3,FALSE),"NA")</f>
        <v>1North Puget Sound</v>
      </c>
      <c r="M174" s="72" t="s">
        <v>17</v>
      </c>
      <c r="N174" t="str">
        <f>VLOOKUP(M174,LUTs!E$2:H$14,3,)</f>
        <v>04Island</v>
      </c>
      <c r="O174" t="str">
        <f>VLOOKUP(M174,LUTs!E$2:H$14,4,)</f>
        <v>01North Puget Sound</v>
      </c>
      <c r="P174" s="73">
        <v>126.4921875</v>
      </c>
      <c r="Q174" s="74">
        <f>VLOOKUP(B174,Readme!A$40:C$51,2,)*P174</f>
        <v>1094.157421875</v>
      </c>
    </row>
    <row r="175" spans="1:17" ht="14.15" customHeight="1" x14ac:dyDescent="0.35">
      <c r="A175" s="75">
        <v>174</v>
      </c>
      <c r="B175" s="64">
        <v>2010</v>
      </c>
      <c r="C175" s="64">
        <v>8</v>
      </c>
      <c r="D175" s="80">
        <f t="shared" si="7"/>
        <v>2010</v>
      </c>
      <c r="E175" t="s">
        <v>38</v>
      </c>
      <c r="F175" t="s">
        <v>143</v>
      </c>
      <c r="G175" t="s">
        <v>10</v>
      </c>
      <c r="H175" s="72" t="s">
        <v>216</v>
      </c>
      <c r="I175" s="72" t="s">
        <v>58</v>
      </c>
      <c r="J175" t="str">
        <f t="shared" si="8"/>
        <v>Baker Lake</v>
      </c>
      <c r="K175" t="str">
        <f>IFERROR(VLOOKUP(J175,LUTs!$A$1:$C$73,2,FALSE),"NA")</f>
        <v>Whatcom</v>
      </c>
      <c r="L175" t="str">
        <f>IFERROR(VLOOKUP(J175,LUTs!$A$1:$C$73,3,FALSE),"NA")</f>
        <v>1North Puget Sound</v>
      </c>
      <c r="M175" s="72" t="s">
        <v>18</v>
      </c>
      <c r="N175" t="str">
        <f>VLOOKUP(M175,LUTs!E$2:H$14,3,)</f>
        <v>06King</v>
      </c>
      <c r="O175" t="str">
        <f>VLOOKUP(M175,LUTs!E$2:H$14,4,)</f>
        <v>02South Puget Sound</v>
      </c>
      <c r="P175" s="73">
        <v>156.609375</v>
      </c>
      <c r="Q175" s="74">
        <f>VLOOKUP(B175,Readme!A$40:C$51,2,)*P175</f>
        <v>1354.67109375</v>
      </c>
    </row>
    <row r="176" spans="1:17" ht="14.15" customHeight="1" x14ac:dyDescent="0.35">
      <c r="A176" s="75">
        <v>175</v>
      </c>
      <c r="B176" s="64">
        <v>2010</v>
      </c>
      <c r="C176" s="64">
        <v>8</v>
      </c>
      <c r="D176" s="80">
        <f t="shared" si="7"/>
        <v>2010</v>
      </c>
      <c r="E176" t="s">
        <v>38</v>
      </c>
      <c r="F176" t="s">
        <v>143</v>
      </c>
      <c r="G176" t="s">
        <v>10</v>
      </c>
      <c r="H176" s="72" t="s">
        <v>216</v>
      </c>
      <c r="I176" s="72" t="s">
        <v>58</v>
      </c>
      <c r="J176" t="str">
        <f t="shared" si="8"/>
        <v>Baker Lake</v>
      </c>
      <c r="K176" t="str">
        <f>IFERROR(VLOOKUP(J176,LUTs!$A$1:$C$73,2,FALSE),"NA")</f>
        <v>Whatcom</v>
      </c>
      <c r="L176" t="str">
        <f>IFERROR(VLOOKUP(J176,LUTs!$A$1:$C$73,3,FALSE),"NA")</f>
        <v>1North Puget Sound</v>
      </c>
      <c r="M176" s="72" t="s">
        <v>26</v>
      </c>
      <c r="N176" t="str">
        <f>VLOOKUP(M176,LUTs!E$2:H$14,3,)</f>
        <v>20Other</v>
      </c>
      <c r="O176" t="str">
        <f>VLOOKUP(M176,LUTs!E$2:H$14,4,)</f>
        <v>07Non Puget Sound</v>
      </c>
      <c r="P176" s="73">
        <v>54.2109375</v>
      </c>
      <c r="Q176" s="74">
        <f>VLOOKUP(B176,Readme!A$40:C$51,2,)*P176</f>
        <v>468.92460937500005</v>
      </c>
    </row>
    <row r="177" spans="1:17" ht="14.15" customHeight="1" x14ac:dyDescent="0.35">
      <c r="A177" s="75">
        <v>176</v>
      </c>
      <c r="B177" s="64">
        <v>2010</v>
      </c>
      <c r="C177" s="64">
        <v>8</v>
      </c>
      <c r="D177" s="80">
        <f t="shared" si="7"/>
        <v>2010</v>
      </c>
      <c r="E177" t="s">
        <v>38</v>
      </c>
      <c r="F177" t="s">
        <v>143</v>
      </c>
      <c r="G177" t="s">
        <v>10</v>
      </c>
      <c r="H177" s="72" t="s">
        <v>216</v>
      </c>
      <c r="I177" s="72" t="s">
        <v>58</v>
      </c>
      <c r="J177" t="str">
        <f t="shared" si="8"/>
        <v>Baker Lake</v>
      </c>
      <c r="K177" t="str">
        <f>IFERROR(VLOOKUP(J177,LUTs!$A$1:$C$73,2,FALSE),"NA")</f>
        <v>Whatcom</v>
      </c>
      <c r="L177" t="str">
        <f>IFERROR(VLOOKUP(J177,LUTs!$A$1:$C$73,3,FALSE),"NA")</f>
        <v>1North Puget Sound</v>
      </c>
      <c r="M177" s="72" t="s">
        <v>20</v>
      </c>
      <c r="N177" t="str">
        <f>VLOOKUP(M177,LUTs!E$2:H$14,3,)</f>
        <v>07Pierce</v>
      </c>
      <c r="O177" t="str">
        <f>VLOOKUP(M177,LUTs!E$2:H$14,4,)</f>
        <v>02South Puget Sound</v>
      </c>
      <c r="P177" s="73">
        <v>12.046875</v>
      </c>
      <c r="Q177" s="74">
        <f>VLOOKUP(B177,Readme!A$40:C$51,2,)*P177</f>
        <v>104.20546875000001</v>
      </c>
    </row>
    <row r="178" spans="1:17" ht="14.15" customHeight="1" x14ac:dyDescent="0.35">
      <c r="A178" s="75">
        <v>177</v>
      </c>
      <c r="B178" s="64">
        <v>2010</v>
      </c>
      <c r="C178" s="64">
        <v>8</v>
      </c>
      <c r="D178" s="80">
        <f t="shared" si="7"/>
        <v>2010</v>
      </c>
      <c r="E178" t="s">
        <v>38</v>
      </c>
      <c r="F178" t="s">
        <v>143</v>
      </c>
      <c r="G178" t="s">
        <v>10</v>
      </c>
      <c r="H178" s="72" t="s">
        <v>216</v>
      </c>
      <c r="I178" s="72" t="s">
        <v>58</v>
      </c>
      <c r="J178" t="str">
        <f t="shared" si="8"/>
        <v>Baker Lake</v>
      </c>
      <c r="K178" t="str">
        <f>IFERROR(VLOOKUP(J178,LUTs!$A$1:$C$73,2,FALSE),"NA")</f>
        <v>Whatcom</v>
      </c>
      <c r="L178" t="str">
        <f>IFERROR(VLOOKUP(J178,LUTs!$A$1:$C$73,3,FALSE),"NA")</f>
        <v>1North Puget Sound</v>
      </c>
      <c r="M178" s="72" t="s">
        <v>15</v>
      </c>
      <c r="N178" t="str">
        <f>VLOOKUP(M178,LUTs!E$2:H$14,3,)</f>
        <v>02Skagit</v>
      </c>
      <c r="O178" t="str">
        <f>VLOOKUP(M178,LUTs!E$2:H$14,4,)</f>
        <v>01North Puget Sound</v>
      </c>
      <c r="P178" s="73">
        <v>542.109375</v>
      </c>
      <c r="Q178" s="74">
        <f>VLOOKUP(B178,Readme!A$40:C$51,2,)*P178</f>
        <v>4689.24609375</v>
      </c>
    </row>
    <row r="179" spans="1:17" ht="14.15" customHeight="1" x14ac:dyDescent="0.35">
      <c r="A179" s="75">
        <v>178</v>
      </c>
      <c r="B179" s="64">
        <v>2010</v>
      </c>
      <c r="C179" s="64">
        <v>8</v>
      </c>
      <c r="D179" s="80">
        <f t="shared" si="7"/>
        <v>2010</v>
      </c>
      <c r="E179" t="s">
        <v>38</v>
      </c>
      <c r="F179" t="s">
        <v>143</v>
      </c>
      <c r="G179" t="s">
        <v>10</v>
      </c>
      <c r="H179" s="72" t="s">
        <v>216</v>
      </c>
      <c r="I179" s="72" t="s">
        <v>58</v>
      </c>
      <c r="J179" t="str">
        <f t="shared" si="8"/>
        <v>Baker Lake</v>
      </c>
      <c r="K179" t="str">
        <f>IFERROR(VLOOKUP(J179,LUTs!$A$1:$C$73,2,FALSE),"NA")</f>
        <v>Whatcom</v>
      </c>
      <c r="L179" t="str">
        <f>IFERROR(VLOOKUP(J179,LUTs!$A$1:$C$73,3,FALSE),"NA")</f>
        <v>1North Puget Sound</v>
      </c>
      <c r="M179" s="72" t="s">
        <v>16</v>
      </c>
      <c r="N179" t="str">
        <f>VLOOKUP(M179,LUTs!E$2:H$14,3,)</f>
        <v>03Snohomish</v>
      </c>
      <c r="O179" t="str">
        <f>VLOOKUP(M179,LUTs!E$2:H$14,4,)</f>
        <v>01North Puget Sound</v>
      </c>
      <c r="P179" s="73">
        <v>548.1328125</v>
      </c>
      <c r="Q179" s="74">
        <f>VLOOKUP(B179,Readme!A$40:C$51,2,)*P179</f>
        <v>4741.3488281250002</v>
      </c>
    </row>
    <row r="180" spans="1:17" ht="14.15" customHeight="1" x14ac:dyDescent="0.35">
      <c r="A180" s="75">
        <v>179</v>
      </c>
      <c r="B180" s="64">
        <v>2010</v>
      </c>
      <c r="C180" s="64">
        <v>8</v>
      </c>
      <c r="D180" s="80">
        <f t="shared" si="7"/>
        <v>2010</v>
      </c>
      <c r="E180" t="s">
        <v>38</v>
      </c>
      <c r="F180" t="s">
        <v>143</v>
      </c>
      <c r="G180" t="s">
        <v>10</v>
      </c>
      <c r="H180" s="72" t="s">
        <v>216</v>
      </c>
      <c r="I180" s="72" t="s">
        <v>58</v>
      </c>
      <c r="J180" t="str">
        <f t="shared" si="8"/>
        <v>Baker Lake</v>
      </c>
      <c r="K180" t="str">
        <f>IFERROR(VLOOKUP(J180,LUTs!$A$1:$C$73,2,FALSE),"NA")</f>
        <v>Whatcom</v>
      </c>
      <c r="L180" t="str">
        <f>IFERROR(VLOOKUP(J180,LUTs!$A$1:$C$73,3,FALSE),"NA")</f>
        <v>1North Puget Sound</v>
      </c>
      <c r="M180" s="72" t="s">
        <v>13</v>
      </c>
      <c r="N180" t="str">
        <f>VLOOKUP(M180,LUTs!E$2:H$14,3,)</f>
        <v>01Whatcom</v>
      </c>
      <c r="O180" t="str">
        <f>VLOOKUP(M180,LUTs!E$2:H$14,4,)</f>
        <v>01North Puget Sound</v>
      </c>
      <c r="P180" s="73">
        <v>102.3984375</v>
      </c>
      <c r="Q180" s="74">
        <f>VLOOKUP(B180,Readme!A$40:C$51,2,)*P180</f>
        <v>885.74648437500002</v>
      </c>
    </row>
    <row r="181" spans="1:17" ht="14.15" customHeight="1" x14ac:dyDescent="0.35">
      <c r="A181" s="75">
        <v>180</v>
      </c>
      <c r="B181" s="64">
        <v>2010</v>
      </c>
      <c r="C181" s="64">
        <v>9</v>
      </c>
      <c r="D181" s="80">
        <f t="shared" si="7"/>
        <v>2010</v>
      </c>
      <c r="E181" t="s">
        <v>38</v>
      </c>
      <c r="F181" t="s">
        <v>143</v>
      </c>
      <c r="G181" t="s">
        <v>10</v>
      </c>
      <c r="H181" s="72" t="s">
        <v>216</v>
      </c>
      <c r="I181" s="72" t="s">
        <v>58</v>
      </c>
      <c r="J181" t="str">
        <f t="shared" si="8"/>
        <v>Baker Lake</v>
      </c>
      <c r="K181" t="str">
        <f>IFERROR(VLOOKUP(J181,LUTs!$A$1:$C$73,2,FALSE),"NA")</f>
        <v>Whatcom</v>
      </c>
      <c r="L181" t="str">
        <f>IFERROR(VLOOKUP(J181,LUTs!$A$1:$C$73,3,FALSE),"NA")</f>
        <v>1North Puget Sound</v>
      </c>
      <c r="M181" s="72" t="s">
        <v>18</v>
      </c>
      <c r="N181" t="str">
        <f>VLOOKUP(M181,LUTs!E$2:H$14,3,)</f>
        <v>06King</v>
      </c>
      <c r="O181" t="str">
        <f>VLOOKUP(M181,LUTs!E$2:H$14,4,)</f>
        <v>02South Puget Sound</v>
      </c>
      <c r="P181" s="73">
        <v>30</v>
      </c>
      <c r="Q181" s="74">
        <f>VLOOKUP(B181,Readme!A$40:C$51,2,)*P181</f>
        <v>259.5</v>
      </c>
    </row>
    <row r="182" spans="1:17" ht="14.15" customHeight="1" x14ac:dyDescent="0.35">
      <c r="A182" s="75">
        <v>181</v>
      </c>
      <c r="B182" s="64">
        <v>2010</v>
      </c>
      <c r="C182" s="64">
        <v>9</v>
      </c>
      <c r="D182" s="80">
        <f t="shared" si="7"/>
        <v>2010</v>
      </c>
      <c r="E182" t="s">
        <v>38</v>
      </c>
      <c r="F182" t="s">
        <v>143</v>
      </c>
      <c r="G182" t="s">
        <v>10</v>
      </c>
      <c r="H182" s="72" t="s">
        <v>216</v>
      </c>
      <c r="I182" s="72" t="s">
        <v>58</v>
      </c>
      <c r="J182" t="str">
        <f t="shared" si="8"/>
        <v>Baker Lake</v>
      </c>
      <c r="K182" t="str">
        <f>IFERROR(VLOOKUP(J182,LUTs!$A$1:$C$73,2,FALSE),"NA")</f>
        <v>Whatcom</v>
      </c>
      <c r="L182" t="str">
        <f>IFERROR(VLOOKUP(J182,LUTs!$A$1:$C$73,3,FALSE),"NA")</f>
        <v>1North Puget Sound</v>
      </c>
      <c r="M182" s="72" t="s">
        <v>15</v>
      </c>
      <c r="N182" t="str">
        <f>VLOOKUP(M182,LUTs!E$2:H$14,3,)</f>
        <v>02Skagit</v>
      </c>
      <c r="O182" t="str">
        <f>VLOOKUP(M182,LUTs!E$2:H$14,4,)</f>
        <v>01North Puget Sound</v>
      </c>
      <c r="P182" s="73">
        <v>36</v>
      </c>
      <c r="Q182" s="74">
        <f>VLOOKUP(B182,Readme!A$40:C$51,2,)*P182</f>
        <v>311.40000000000003</v>
      </c>
    </row>
    <row r="183" spans="1:17" ht="14.15" customHeight="1" x14ac:dyDescent="0.35">
      <c r="A183" s="75">
        <v>182</v>
      </c>
      <c r="B183" s="64">
        <v>2010</v>
      </c>
      <c r="C183" s="64">
        <v>9</v>
      </c>
      <c r="D183" s="80">
        <f t="shared" si="7"/>
        <v>2010</v>
      </c>
      <c r="E183" t="s">
        <v>38</v>
      </c>
      <c r="F183" t="s">
        <v>143</v>
      </c>
      <c r="G183" t="s">
        <v>10</v>
      </c>
      <c r="H183" s="72" t="s">
        <v>216</v>
      </c>
      <c r="I183" s="72" t="s">
        <v>58</v>
      </c>
      <c r="J183" t="str">
        <f t="shared" si="8"/>
        <v>Baker Lake</v>
      </c>
      <c r="K183" t="str">
        <f>IFERROR(VLOOKUP(J183,LUTs!$A$1:$C$73,2,FALSE),"NA")</f>
        <v>Whatcom</v>
      </c>
      <c r="L183" t="str">
        <f>IFERROR(VLOOKUP(J183,LUTs!$A$1:$C$73,3,FALSE),"NA")</f>
        <v>1North Puget Sound</v>
      </c>
      <c r="M183" s="72" t="s">
        <v>16</v>
      </c>
      <c r="N183" t="str">
        <f>VLOOKUP(M183,LUTs!E$2:H$14,3,)</f>
        <v>03Snohomish</v>
      </c>
      <c r="O183" t="str">
        <f>VLOOKUP(M183,LUTs!E$2:H$14,4,)</f>
        <v>01North Puget Sound</v>
      </c>
      <c r="P183" s="73">
        <v>60</v>
      </c>
      <c r="Q183" s="74">
        <f>VLOOKUP(B183,Readme!A$40:C$51,2,)*P183</f>
        <v>519</v>
      </c>
    </row>
    <row r="184" spans="1:17" ht="14.15" customHeight="1" x14ac:dyDescent="0.35">
      <c r="A184" s="75">
        <v>183</v>
      </c>
      <c r="B184" s="64">
        <v>2010</v>
      </c>
      <c r="C184" s="64">
        <v>6</v>
      </c>
      <c r="D184" s="80">
        <f t="shared" si="7"/>
        <v>2010</v>
      </c>
      <c r="E184" t="s">
        <v>38</v>
      </c>
      <c r="F184" t="s">
        <v>143</v>
      </c>
      <c r="G184" t="s">
        <v>10</v>
      </c>
      <c r="H184" s="72" t="s">
        <v>217</v>
      </c>
      <c r="I184" s="72" t="s">
        <v>59</v>
      </c>
      <c r="J184" t="str">
        <f t="shared" si="8"/>
        <v>Cascade River</v>
      </c>
      <c r="K184" t="str">
        <f>IFERROR(VLOOKUP(J184,LUTs!$A$1:$C$73,2,FALSE),"NA")</f>
        <v>Skagit</v>
      </c>
      <c r="L184" t="str">
        <f>IFERROR(VLOOKUP(J184,LUTs!$A$1:$C$73,3,FALSE),"NA")</f>
        <v>1North Puget Sound</v>
      </c>
      <c r="M184" s="72" t="s">
        <v>17</v>
      </c>
      <c r="N184" t="str">
        <f>VLOOKUP(M184,LUTs!E$2:H$14,3,)</f>
        <v>04Island</v>
      </c>
      <c r="O184" t="str">
        <f>VLOOKUP(M184,LUTs!E$2:H$14,4,)</f>
        <v>01North Puget Sound</v>
      </c>
      <c r="P184" s="73">
        <v>23.692307692307701</v>
      </c>
      <c r="Q184" s="74">
        <f>VLOOKUP(B184,Readme!A$40:C$51,2,)*P184</f>
        <v>204.93846153846161</v>
      </c>
    </row>
    <row r="185" spans="1:17" ht="14.15" customHeight="1" x14ac:dyDescent="0.35">
      <c r="A185" s="75">
        <v>184</v>
      </c>
      <c r="B185" s="64">
        <v>2010</v>
      </c>
      <c r="C185" s="64">
        <v>6</v>
      </c>
      <c r="D185" s="80">
        <f t="shared" si="7"/>
        <v>2010</v>
      </c>
      <c r="E185" t="s">
        <v>38</v>
      </c>
      <c r="F185" t="s">
        <v>143</v>
      </c>
      <c r="G185" t="s">
        <v>10</v>
      </c>
      <c r="H185" s="72" t="s">
        <v>217</v>
      </c>
      <c r="I185" s="72" t="s">
        <v>59</v>
      </c>
      <c r="J185" t="str">
        <f t="shared" si="8"/>
        <v>Cascade River</v>
      </c>
      <c r="K185" t="str">
        <f>IFERROR(VLOOKUP(J185,LUTs!$A$1:$C$73,2,FALSE),"NA")</f>
        <v>Skagit</v>
      </c>
      <c r="L185" t="str">
        <f>IFERROR(VLOOKUP(J185,LUTs!$A$1:$C$73,3,FALSE),"NA")</f>
        <v>1North Puget Sound</v>
      </c>
      <c r="M185" s="72" t="s">
        <v>26</v>
      </c>
      <c r="N185" t="str">
        <f>VLOOKUP(M185,LUTs!E$2:H$14,3,)</f>
        <v>20Other</v>
      </c>
      <c r="O185" t="str">
        <f>VLOOKUP(M185,LUTs!E$2:H$14,4,)</f>
        <v>07Non Puget Sound</v>
      </c>
      <c r="P185" s="73">
        <v>5.9230769230769198</v>
      </c>
      <c r="Q185" s="74">
        <f>VLOOKUP(B185,Readme!A$40:C$51,2,)*P185</f>
        <v>51.23461538461536</v>
      </c>
    </row>
    <row r="186" spans="1:17" ht="14.15" customHeight="1" x14ac:dyDescent="0.35">
      <c r="A186" s="75">
        <v>185</v>
      </c>
      <c r="B186" s="64">
        <v>2010</v>
      </c>
      <c r="C186" s="64">
        <v>6</v>
      </c>
      <c r="D186" s="80">
        <f t="shared" si="7"/>
        <v>2010</v>
      </c>
      <c r="E186" t="s">
        <v>38</v>
      </c>
      <c r="F186" t="s">
        <v>143</v>
      </c>
      <c r="G186" t="s">
        <v>10</v>
      </c>
      <c r="H186" s="72" t="s">
        <v>217</v>
      </c>
      <c r="I186" s="72" t="s">
        <v>59</v>
      </c>
      <c r="J186" t="str">
        <f t="shared" si="8"/>
        <v>Cascade River</v>
      </c>
      <c r="K186" t="str">
        <f>IFERROR(VLOOKUP(J186,LUTs!$A$1:$C$73,2,FALSE),"NA")</f>
        <v>Skagit</v>
      </c>
      <c r="L186" t="str">
        <f>IFERROR(VLOOKUP(J186,LUTs!$A$1:$C$73,3,FALSE),"NA")</f>
        <v>1North Puget Sound</v>
      </c>
      <c r="M186" s="72" t="s">
        <v>20</v>
      </c>
      <c r="N186" t="str">
        <f>VLOOKUP(M186,LUTs!E$2:H$14,3,)</f>
        <v>07Pierce</v>
      </c>
      <c r="O186" t="str">
        <f>VLOOKUP(M186,LUTs!E$2:H$14,4,)</f>
        <v>02South Puget Sound</v>
      </c>
      <c r="P186" s="73">
        <v>5.9230769230769198</v>
      </c>
      <c r="Q186" s="74">
        <f>VLOOKUP(B186,Readme!A$40:C$51,2,)*P186</f>
        <v>51.23461538461536</v>
      </c>
    </row>
    <row r="187" spans="1:17" ht="14.15" customHeight="1" x14ac:dyDescent="0.35">
      <c r="A187" s="75">
        <v>186</v>
      </c>
      <c r="B187" s="64">
        <v>2010</v>
      </c>
      <c r="C187" s="64">
        <v>6</v>
      </c>
      <c r="D187" s="80">
        <f t="shared" si="7"/>
        <v>2010</v>
      </c>
      <c r="E187" t="s">
        <v>38</v>
      </c>
      <c r="F187" t="s">
        <v>143</v>
      </c>
      <c r="G187" t="s">
        <v>10</v>
      </c>
      <c r="H187" s="72" t="s">
        <v>217</v>
      </c>
      <c r="I187" s="72" t="s">
        <v>59</v>
      </c>
      <c r="J187" t="str">
        <f t="shared" si="8"/>
        <v>Cascade River</v>
      </c>
      <c r="K187" t="str">
        <f>IFERROR(VLOOKUP(J187,LUTs!$A$1:$C$73,2,FALSE),"NA")</f>
        <v>Skagit</v>
      </c>
      <c r="L187" t="str">
        <f>IFERROR(VLOOKUP(J187,LUTs!$A$1:$C$73,3,FALSE),"NA")</f>
        <v>1North Puget Sound</v>
      </c>
      <c r="M187" s="72" t="s">
        <v>15</v>
      </c>
      <c r="N187" t="str">
        <f>VLOOKUP(M187,LUTs!E$2:H$14,3,)</f>
        <v>02Skagit</v>
      </c>
      <c r="O187" t="str">
        <f>VLOOKUP(M187,LUTs!E$2:H$14,4,)</f>
        <v>01North Puget Sound</v>
      </c>
      <c r="P187" s="73">
        <v>11.846153846153801</v>
      </c>
      <c r="Q187" s="74">
        <f>VLOOKUP(B187,Readme!A$40:C$51,2,)*P187</f>
        <v>102.46923076923038</v>
      </c>
    </row>
    <row r="188" spans="1:17" ht="14.15" customHeight="1" x14ac:dyDescent="0.35">
      <c r="A188" s="75">
        <v>187</v>
      </c>
      <c r="B188" s="64">
        <v>2010</v>
      </c>
      <c r="C188" s="64">
        <v>6</v>
      </c>
      <c r="D188" s="80">
        <f t="shared" si="7"/>
        <v>2010</v>
      </c>
      <c r="E188" t="s">
        <v>38</v>
      </c>
      <c r="F188" t="s">
        <v>143</v>
      </c>
      <c r="G188" t="s">
        <v>10</v>
      </c>
      <c r="H188" s="72" t="s">
        <v>217</v>
      </c>
      <c r="I188" s="72" t="s">
        <v>59</v>
      </c>
      <c r="J188" t="str">
        <f t="shared" si="8"/>
        <v>Cascade River</v>
      </c>
      <c r="K188" t="str">
        <f>IFERROR(VLOOKUP(J188,LUTs!$A$1:$C$73,2,FALSE),"NA")</f>
        <v>Skagit</v>
      </c>
      <c r="L188" t="str">
        <f>IFERROR(VLOOKUP(J188,LUTs!$A$1:$C$73,3,FALSE),"NA")</f>
        <v>1North Puget Sound</v>
      </c>
      <c r="M188" s="72" t="s">
        <v>16</v>
      </c>
      <c r="N188" t="str">
        <f>VLOOKUP(M188,LUTs!E$2:H$14,3,)</f>
        <v>03Snohomish</v>
      </c>
      <c r="O188" t="str">
        <f>VLOOKUP(M188,LUTs!E$2:H$14,4,)</f>
        <v>01North Puget Sound</v>
      </c>
      <c r="P188" s="73">
        <v>29.615384615384599</v>
      </c>
      <c r="Q188" s="74">
        <f>VLOOKUP(B188,Readme!A$40:C$51,2,)*P188</f>
        <v>256.17307692307679</v>
      </c>
    </row>
    <row r="189" spans="1:17" ht="14.15" customHeight="1" x14ac:dyDescent="0.35">
      <c r="A189" s="75">
        <v>188</v>
      </c>
      <c r="B189" s="64">
        <v>2010</v>
      </c>
      <c r="C189" s="64">
        <v>7</v>
      </c>
      <c r="D189" s="80">
        <f t="shared" si="7"/>
        <v>2010</v>
      </c>
      <c r="E189" t="s">
        <v>38</v>
      </c>
      <c r="F189" t="s">
        <v>143</v>
      </c>
      <c r="G189" t="s">
        <v>10</v>
      </c>
      <c r="H189" s="72" t="s">
        <v>217</v>
      </c>
      <c r="I189" s="72" t="s">
        <v>59</v>
      </c>
      <c r="J189" t="str">
        <f t="shared" si="8"/>
        <v>Cascade River</v>
      </c>
      <c r="K189" t="str">
        <f>IFERROR(VLOOKUP(J189,LUTs!$A$1:$C$73,2,FALSE),"NA")</f>
        <v>Skagit</v>
      </c>
      <c r="L189" t="str">
        <f>IFERROR(VLOOKUP(J189,LUTs!$A$1:$C$73,3,FALSE),"NA")</f>
        <v>1North Puget Sound</v>
      </c>
      <c r="M189" s="72" t="s">
        <v>17</v>
      </c>
      <c r="N189" t="str">
        <f>VLOOKUP(M189,LUTs!E$2:H$14,3,)</f>
        <v>04Island</v>
      </c>
      <c r="O189" t="str">
        <f>VLOOKUP(M189,LUTs!E$2:H$14,4,)</f>
        <v>01North Puget Sound</v>
      </c>
      <c r="P189" s="73">
        <v>12</v>
      </c>
      <c r="Q189" s="74">
        <f>VLOOKUP(B189,Readme!A$40:C$51,2,)*P189</f>
        <v>103.80000000000001</v>
      </c>
    </row>
    <row r="190" spans="1:17" ht="14.15" customHeight="1" x14ac:dyDescent="0.35">
      <c r="A190" s="75">
        <v>189</v>
      </c>
      <c r="B190" s="64">
        <v>2010</v>
      </c>
      <c r="C190" s="64">
        <v>7</v>
      </c>
      <c r="D190" s="80">
        <f t="shared" si="7"/>
        <v>2010</v>
      </c>
      <c r="E190" t="s">
        <v>38</v>
      </c>
      <c r="F190" t="s">
        <v>143</v>
      </c>
      <c r="G190" t="s">
        <v>10</v>
      </c>
      <c r="H190" s="72" t="s">
        <v>217</v>
      </c>
      <c r="I190" s="72" t="s">
        <v>59</v>
      </c>
      <c r="J190" t="str">
        <f t="shared" si="8"/>
        <v>Cascade River</v>
      </c>
      <c r="K190" t="str">
        <f>IFERROR(VLOOKUP(J190,LUTs!$A$1:$C$73,2,FALSE),"NA")</f>
        <v>Skagit</v>
      </c>
      <c r="L190" t="str">
        <f>IFERROR(VLOOKUP(J190,LUTs!$A$1:$C$73,3,FALSE),"NA")</f>
        <v>1North Puget Sound</v>
      </c>
      <c r="M190" s="72" t="s">
        <v>16</v>
      </c>
      <c r="N190" t="str">
        <f>VLOOKUP(M190,LUTs!E$2:H$14,3,)</f>
        <v>03Snohomish</v>
      </c>
      <c r="O190" t="str">
        <f>VLOOKUP(M190,LUTs!E$2:H$14,4,)</f>
        <v>01North Puget Sound</v>
      </c>
      <c r="P190" s="73">
        <v>12</v>
      </c>
      <c r="Q190" s="74">
        <f>VLOOKUP(B190,Readme!A$40:C$51,2,)*P190</f>
        <v>103.80000000000001</v>
      </c>
    </row>
    <row r="191" spans="1:17" ht="14.15" customHeight="1" x14ac:dyDescent="0.35">
      <c r="A191" s="75">
        <v>190</v>
      </c>
      <c r="B191" s="64">
        <v>2010</v>
      </c>
      <c r="C191" s="64">
        <v>9</v>
      </c>
      <c r="D191" s="80">
        <f t="shared" si="7"/>
        <v>2010</v>
      </c>
      <c r="E191" t="s">
        <v>38</v>
      </c>
      <c r="F191" t="s">
        <v>143</v>
      </c>
      <c r="G191" t="s">
        <v>10</v>
      </c>
      <c r="H191" s="72" t="s">
        <v>217</v>
      </c>
      <c r="I191" s="72" t="s">
        <v>59</v>
      </c>
      <c r="J191" t="str">
        <f t="shared" si="8"/>
        <v>Cascade River</v>
      </c>
      <c r="K191" t="str">
        <f>IFERROR(VLOOKUP(J191,LUTs!$A$1:$C$73,2,FALSE),"NA")</f>
        <v>Skagit</v>
      </c>
      <c r="L191" t="str">
        <f>IFERROR(VLOOKUP(J191,LUTs!$A$1:$C$73,3,FALSE),"NA")</f>
        <v>1North Puget Sound</v>
      </c>
      <c r="M191" s="72" t="s">
        <v>15</v>
      </c>
      <c r="N191" t="str">
        <f>VLOOKUP(M191,LUTs!E$2:H$14,3,)</f>
        <v>02Skagit</v>
      </c>
      <c r="O191" t="str">
        <f>VLOOKUP(M191,LUTs!E$2:H$14,4,)</f>
        <v>01North Puget Sound</v>
      </c>
      <c r="P191" s="73">
        <v>29.5</v>
      </c>
      <c r="Q191" s="74">
        <f>VLOOKUP(B191,Readme!A$40:C$51,2,)*P191</f>
        <v>255.17500000000001</v>
      </c>
    </row>
    <row r="192" spans="1:17" ht="14.15" customHeight="1" x14ac:dyDescent="0.35">
      <c r="A192" s="75">
        <v>191</v>
      </c>
      <c r="B192" s="64">
        <v>2010</v>
      </c>
      <c r="C192" s="64">
        <v>9</v>
      </c>
      <c r="D192" s="80">
        <f t="shared" si="7"/>
        <v>2010</v>
      </c>
      <c r="E192" t="s">
        <v>38</v>
      </c>
      <c r="F192" t="s">
        <v>143</v>
      </c>
      <c r="G192" t="s">
        <v>10</v>
      </c>
      <c r="H192" s="72" t="s">
        <v>217</v>
      </c>
      <c r="I192" s="72" t="s">
        <v>59</v>
      </c>
      <c r="J192" t="str">
        <f t="shared" si="8"/>
        <v>Cascade River</v>
      </c>
      <c r="K192" t="str">
        <f>IFERROR(VLOOKUP(J192,LUTs!$A$1:$C$73,2,FALSE),"NA")</f>
        <v>Skagit</v>
      </c>
      <c r="L192" t="str">
        <f>IFERROR(VLOOKUP(J192,LUTs!$A$1:$C$73,3,FALSE),"NA")</f>
        <v>1North Puget Sound</v>
      </c>
      <c r="M192" s="72" t="s">
        <v>16</v>
      </c>
      <c r="N192" t="str">
        <f>VLOOKUP(M192,LUTs!E$2:H$14,3,)</f>
        <v>03Snohomish</v>
      </c>
      <c r="O192" t="str">
        <f>VLOOKUP(M192,LUTs!E$2:H$14,4,)</f>
        <v>01North Puget Sound</v>
      </c>
      <c r="P192" s="73">
        <v>88.5</v>
      </c>
      <c r="Q192" s="74">
        <f>VLOOKUP(B192,Readme!A$40:C$51,2,)*P192</f>
        <v>765.52499999999998</v>
      </c>
    </row>
    <row r="193" spans="1:17" ht="14.15" customHeight="1" x14ac:dyDescent="0.35">
      <c r="A193" s="75">
        <v>192</v>
      </c>
      <c r="B193" s="64">
        <v>2010</v>
      </c>
      <c r="C193" s="64">
        <v>10</v>
      </c>
      <c r="D193" s="80">
        <f t="shared" si="7"/>
        <v>2010</v>
      </c>
      <c r="E193" t="s">
        <v>38</v>
      </c>
      <c r="F193" t="s">
        <v>143</v>
      </c>
      <c r="G193" t="s">
        <v>10</v>
      </c>
      <c r="H193" s="72" t="s">
        <v>217</v>
      </c>
      <c r="I193" s="72" t="s">
        <v>59</v>
      </c>
      <c r="J193" t="str">
        <f t="shared" si="8"/>
        <v>Cascade River</v>
      </c>
      <c r="K193" t="str">
        <f>IFERROR(VLOOKUP(J193,LUTs!$A$1:$C$73,2,FALSE),"NA")</f>
        <v>Skagit</v>
      </c>
      <c r="L193" t="str">
        <f>IFERROR(VLOOKUP(J193,LUTs!$A$1:$C$73,3,FALSE),"NA")</f>
        <v>1North Puget Sound</v>
      </c>
      <c r="M193" s="72" t="s">
        <v>15</v>
      </c>
      <c r="N193" t="str">
        <f>VLOOKUP(M193,LUTs!E$2:H$14,3,)</f>
        <v>02Skagit</v>
      </c>
      <c r="O193" t="str">
        <f>VLOOKUP(M193,LUTs!E$2:H$14,4,)</f>
        <v>01North Puget Sound</v>
      </c>
      <c r="P193" s="73">
        <v>23.7</v>
      </c>
      <c r="Q193" s="74">
        <f>VLOOKUP(B193,Readme!A$40:C$51,2,)*P193</f>
        <v>205.005</v>
      </c>
    </row>
    <row r="194" spans="1:17" ht="14.15" customHeight="1" x14ac:dyDescent="0.35">
      <c r="A194" s="75">
        <v>193</v>
      </c>
      <c r="B194" s="64">
        <v>2010</v>
      </c>
      <c r="C194" s="64">
        <v>10</v>
      </c>
      <c r="D194" s="80">
        <f t="shared" ref="D194:D257" si="9">IF(C194&gt;3,B194,B194-1)</f>
        <v>2010</v>
      </c>
      <c r="E194" t="s">
        <v>38</v>
      </c>
      <c r="F194" t="s">
        <v>143</v>
      </c>
      <c r="G194" t="s">
        <v>10</v>
      </c>
      <c r="H194" s="72" t="s">
        <v>217</v>
      </c>
      <c r="I194" s="72" t="s">
        <v>59</v>
      </c>
      <c r="J194" t="str">
        <f t="shared" si="8"/>
        <v>Cascade River</v>
      </c>
      <c r="K194" t="str">
        <f>IFERROR(VLOOKUP(J194,LUTs!$A$1:$C$73,2,FALSE),"NA")</f>
        <v>Skagit</v>
      </c>
      <c r="L194" t="str">
        <f>IFERROR(VLOOKUP(J194,LUTs!$A$1:$C$73,3,FALSE),"NA")</f>
        <v>1North Puget Sound</v>
      </c>
      <c r="M194" s="72" t="s">
        <v>16</v>
      </c>
      <c r="N194" t="str">
        <f>VLOOKUP(M194,LUTs!E$2:H$14,3,)</f>
        <v>03Snohomish</v>
      </c>
      <c r="O194" t="str">
        <f>VLOOKUP(M194,LUTs!E$2:H$14,4,)</f>
        <v>01North Puget Sound</v>
      </c>
      <c r="P194" s="73">
        <v>207.375</v>
      </c>
      <c r="Q194" s="74">
        <f>VLOOKUP(B194,Readme!A$40:C$51,2,)*P194</f>
        <v>1793.79375</v>
      </c>
    </row>
    <row r="195" spans="1:17" ht="14.15" customHeight="1" x14ac:dyDescent="0.35">
      <c r="A195" s="75">
        <v>194</v>
      </c>
      <c r="B195" s="64">
        <v>2010</v>
      </c>
      <c r="C195" s="64">
        <v>10</v>
      </c>
      <c r="D195" s="80">
        <f t="shared" si="9"/>
        <v>2010</v>
      </c>
      <c r="E195" t="s">
        <v>38</v>
      </c>
      <c r="F195" t="s">
        <v>143</v>
      </c>
      <c r="G195" t="s">
        <v>10</v>
      </c>
      <c r="H195" s="72" t="s">
        <v>217</v>
      </c>
      <c r="I195" s="72" t="s">
        <v>59</v>
      </c>
      <c r="J195" t="str">
        <f t="shared" ref="J195:J258" si="10">I195</f>
        <v>Cascade River</v>
      </c>
      <c r="K195" t="str">
        <f>IFERROR(VLOOKUP(J195,LUTs!$A$1:$C$73,2,FALSE),"NA")</f>
        <v>Skagit</v>
      </c>
      <c r="L195" t="str">
        <f>IFERROR(VLOOKUP(J195,LUTs!$A$1:$C$73,3,FALSE),"NA")</f>
        <v>1North Puget Sound</v>
      </c>
      <c r="M195" s="72" t="s">
        <v>13</v>
      </c>
      <c r="N195" t="str">
        <f>VLOOKUP(M195,LUTs!E$2:H$14,3,)</f>
        <v>01Whatcom</v>
      </c>
      <c r="O195" t="str">
        <f>VLOOKUP(M195,LUTs!E$2:H$14,4,)</f>
        <v>01North Puget Sound</v>
      </c>
      <c r="P195" s="73">
        <v>5.9249999999999998</v>
      </c>
      <c r="Q195" s="74">
        <f>VLOOKUP(B195,Readme!A$40:C$51,2,)*P195</f>
        <v>51.251249999999999</v>
      </c>
    </row>
    <row r="196" spans="1:17" ht="14.15" customHeight="1" x14ac:dyDescent="0.35">
      <c r="A196" s="75">
        <v>195</v>
      </c>
      <c r="B196" s="64">
        <v>2010</v>
      </c>
      <c r="C196" s="64">
        <v>11</v>
      </c>
      <c r="D196" s="80">
        <f t="shared" si="9"/>
        <v>2010</v>
      </c>
      <c r="E196" t="s">
        <v>38</v>
      </c>
      <c r="F196" t="s">
        <v>143</v>
      </c>
      <c r="G196" t="s">
        <v>10</v>
      </c>
      <c r="H196" s="72" t="s">
        <v>217</v>
      </c>
      <c r="I196" s="72" t="s">
        <v>59</v>
      </c>
      <c r="J196" t="str">
        <f t="shared" si="10"/>
        <v>Cascade River</v>
      </c>
      <c r="K196" t="str">
        <f>IFERROR(VLOOKUP(J196,LUTs!$A$1:$C$73,2,FALSE),"NA")</f>
        <v>Skagit</v>
      </c>
      <c r="L196" t="str">
        <f>IFERROR(VLOOKUP(J196,LUTs!$A$1:$C$73,3,FALSE),"NA")</f>
        <v>1North Puget Sound</v>
      </c>
      <c r="M196" s="72" t="s">
        <v>23</v>
      </c>
      <c r="N196" t="str">
        <f>VLOOKUP(M196,LUTs!E$2:H$14,3,)</f>
        <v>10Kitsap</v>
      </c>
      <c r="O196" t="str">
        <f>VLOOKUP(M196,LUTs!E$2:H$14,4,)</f>
        <v>02South Puget Sound</v>
      </c>
      <c r="P196" s="73">
        <v>11.75</v>
      </c>
      <c r="Q196" s="74">
        <f>VLOOKUP(B196,Readme!A$40:C$51,2,)*P196</f>
        <v>101.6375</v>
      </c>
    </row>
    <row r="197" spans="1:17" ht="14.15" customHeight="1" x14ac:dyDescent="0.35">
      <c r="A197" s="75">
        <v>196</v>
      </c>
      <c r="B197" s="64">
        <v>2010</v>
      </c>
      <c r="C197" s="64">
        <v>11</v>
      </c>
      <c r="D197" s="80">
        <f t="shared" si="9"/>
        <v>2010</v>
      </c>
      <c r="E197" t="s">
        <v>38</v>
      </c>
      <c r="F197" t="s">
        <v>143</v>
      </c>
      <c r="G197" t="s">
        <v>10</v>
      </c>
      <c r="H197" s="72" t="s">
        <v>217</v>
      </c>
      <c r="I197" s="72" t="s">
        <v>59</v>
      </c>
      <c r="J197" t="str">
        <f t="shared" si="10"/>
        <v>Cascade River</v>
      </c>
      <c r="K197" t="str">
        <f>IFERROR(VLOOKUP(J197,LUTs!$A$1:$C$73,2,FALSE),"NA")</f>
        <v>Skagit</v>
      </c>
      <c r="L197" t="str">
        <f>IFERROR(VLOOKUP(J197,LUTs!$A$1:$C$73,3,FALSE),"NA")</f>
        <v>1North Puget Sound</v>
      </c>
      <c r="M197" s="72" t="s">
        <v>15</v>
      </c>
      <c r="N197" t="str">
        <f>VLOOKUP(M197,LUTs!E$2:H$14,3,)</f>
        <v>02Skagit</v>
      </c>
      <c r="O197" t="str">
        <f>VLOOKUP(M197,LUTs!E$2:H$14,4,)</f>
        <v>01North Puget Sound</v>
      </c>
      <c r="P197" s="73">
        <v>5.875</v>
      </c>
      <c r="Q197" s="74">
        <f>VLOOKUP(B197,Readme!A$40:C$51,2,)*P197</f>
        <v>50.818750000000001</v>
      </c>
    </row>
    <row r="198" spans="1:17" ht="14.15" customHeight="1" x14ac:dyDescent="0.35">
      <c r="A198" s="75">
        <v>197</v>
      </c>
      <c r="B198" s="64">
        <v>2010</v>
      </c>
      <c r="C198" s="64">
        <v>11</v>
      </c>
      <c r="D198" s="80">
        <f t="shared" si="9"/>
        <v>2010</v>
      </c>
      <c r="E198" t="s">
        <v>38</v>
      </c>
      <c r="F198" t="s">
        <v>143</v>
      </c>
      <c r="G198" t="s">
        <v>10</v>
      </c>
      <c r="H198" s="72" t="s">
        <v>217</v>
      </c>
      <c r="I198" s="72" t="s">
        <v>59</v>
      </c>
      <c r="J198" t="str">
        <f t="shared" si="10"/>
        <v>Cascade River</v>
      </c>
      <c r="K198" t="str">
        <f>IFERROR(VLOOKUP(J198,LUTs!$A$1:$C$73,2,FALSE),"NA")</f>
        <v>Skagit</v>
      </c>
      <c r="L198" t="str">
        <f>IFERROR(VLOOKUP(J198,LUTs!$A$1:$C$73,3,FALSE),"NA")</f>
        <v>1North Puget Sound</v>
      </c>
      <c r="M198" s="72" t="s">
        <v>16</v>
      </c>
      <c r="N198" t="str">
        <f>VLOOKUP(M198,LUTs!E$2:H$14,3,)</f>
        <v>03Snohomish</v>
      </c>
      <c r="O198" t="str">
        <f>VLOOKUP(M198,LUTs!E$2:H$14,4,)</f>
        <v>01North Puget Sound</v>
      </c>
      <c r="P198" s="73">
        <v>29.375</v>
      </c>
      <c r="Q198" s="74">
        <f>VLOOKUP(B198,Readme!A$40:C$51,2,)*P198</f>
        <v>254.09375</v>
      </c>
    </row>
    <row r="199" spans="1:17" ht="14.15" customHeight="1" x14ac:dyDescent="0.35">
      <c r="A199" s="75">
        <v>198</v>
      </c>
      <c r="B199" s="64">
        <v>2010</v>
      </c>
      <c r="C199" s="64">
        <v>12</v>
      </c>
      <c r="D199" s="80">
        <f t="shared" si="9"/>
        <v>2010</v>
      </c>
      <c r="E199" t="s">
        <v>38</v>
      </c>
      <c r="F199" t="s">
        <v>143</v>
      </c>
      <c r="G199" t="s">
        <v>10</v>
      </c>
      <c r="H199" s="72" t="s">
        <v>217</v>
      </c>
      <c r="I199" s="72" t="s">
        <v>59</v>
      </c>
      <c r="J199" t="str">
        <f t="shared" si="10"/>
        <v>Cascade River</v>
      </c>
      <c r="K199" t="str">
        <f>IFERROR(VLOOKUP(J199,LUTs!$A$1:$C$73,2,FALSE),"NA")</f>
        <v>Skagit</v>
      </c>
      <c r="L199" t="str">
        <f>IFERROR(VLOOKUP(J199,LUTs!$A$1:$C$73,3,FALSE),"NA")</f>
        <v>1North Puget Sound</v>
      </c>
      <c r="M199" s="72" t="s">
        <v>15</v>
      </c>
      <c r="N199" t="str">
        <f>VLOOKUP(M199,LUTs!E$2:H$14,3,)</f>
        <v>02Skagit</v>
      </c>
      <c r="O199" t="str">
        <f>VLOOKUP(M199,LUTs!E$2:H$14,4,)</f>
        <v>01North Puget Sound</v>
      </c>
      <c r="P199" s="73">
        <v>6</v>
      </c>
      <c r="Q199" s="74">
        <f>VLOOKUP(B199,Readme!A$40:C$51,2,)*P199</f>
        <v>51.900000000000006</v>
      </c>
    </row>
    <row r="200" spans="1:17" ht="14.15" customHeight="1" x14ac:dyDescent="0.35">
      <c r="A200" s="75">
        <v>199</v>
      </c>
      <c r="B200" s="64">
        <v>2010</v>
      </c>
      <c r="C200" s="64">
        <v>12</v>
      </c>
      <c r="D200" s="80">
        <f t="shared" si="9"/>
        <v>2010</v>
      </c>
      <c r="E200" t="s">
        <v>38</v>
      </c>
      <c r="F200" t="s">
        <v>143</v>
      </c>
      <c r="G200" t="s">
        <v>10</v>
      </c>
      <c r="H200" s="72" t="s">
        <v>217</v>
      </c>
      <c r="I200" s="72" t="s">
        <v>59</v>
      </c>
      <c r="J200" t="str">
        <f t="shared" si="10"/>
        <v>Cascade River</v>
      </c>
      <c r="K200" t="str">
        <f>IFERROR(VLOOKUP(J200,LUTs!$A$1:$C$73,2,FALSE),"NA")</f>
        <v>Skagit</v>
      </c>
      <c r="L200" t="str">
        <f>IFERROR(VLOOKUP(J200,LUTs!$A$1:$C$73,3,FALSE),"NA")</f>
        <v>1North Puget Sound</v>
      </c>
      <c r="M200" s="72" t="s">
        <v>16</v>
      </c>
      <c r="N200" t="str">
        <f>VLOOKUP(M200,LUTs!E$2:H$14,3,)</f>
        <v>03Snohomish</v>
      </c>
      <c r="O200" t="str">
        <f>VLOOKUP(M200,LUTs!E$2:H$14,4,)</f>
        <v>01North Puget Sound</v>
      </c>
      <c r="P200" s="73">
        <v>6</v>
      </c>
      <c r="Q200" s="74">
        <f>VLOOKUP(B200,Readme!A$40:C$51,2,)*P200</f>
        <v>51.900000000000006</v>
      </c>
    </row>
    <row r="201" spans="1:17" ht="14.15" customHeight="1" x14ac:dyDescent="0.35">
      <c r="A201" s="75">
        <v>200</v>
      </c>
      <c r="B201" s="64">
        <v>2010</v>
      </c>
      <c r="C201" s="64">
        <v>6</v>
      </c>
      <c r="D201" s="80">
        <f t="shared" si="9"/>
        <v>2010</v>
      </c>
      <c r="E201" t="s">
        <v>38</v>
      </c>
      <c r="F201" t="s">
        <v>143</v>
      </c>
      <c r="G201" t="s">
        <v>10</v>
      </c>
      <c r="H201" s="72" t="s">
        <v>218</v>
      </c>
      <c r="I201" s="72" t="s">
        <v>60</v>
      </c>
      <c r="J201" t="str">
        <f t="shared" si="10"/>
        <v>Skagit River</v>
      </c>
      <c r="K201" t="str">
        <f>IFERROR(VLOOKUP(J201,LUTs!$A$1:$C$73,2,FALSE),"NA")</f>
        <v>Skagit/Whatcom</v>
      </c>
      <c r="L201" t="str">
        <f>IFERROR(VLOOKUP(J201,LUTs!$A$1:$C$73,3,FALSE),"NA")</f>
        <v>2Central Puget Sound</v>
      </c>
      <c r="M201" s="72" t="s">
        <v>18</v>
      </c>
      <c r="N201" t="str">
        <f>VLOOKUP(M201,LUTs!E$2:H$14,3,)</f>
        <v>06King</v>
      </c>
      <c r="O201" t="str">
        <f>VLOOKUP(M201,LUTs!E$2:H$14,4,)</f>
        <v>02South Puget Sound</v>
      </c>
      <c r="P201" s="73">
        <v>5.9444444444444402</v>
      </c>
      <c r="Q201" s="74">
        <f>VLOOKUP(B201,Readme!A$40:C$51,2,)*P201</f>
        <v>51.419444444444409</v>
      </c>
    </row>
    <row r="202" spans="1:17" ht="14.15" customHeight="1" x14ac:dyDescent="0.35">
      <c r="A202" s="75">
        <v>201</v>
      </c>
      <c r="B202" s="64">
        <v>2010</v>
      </c>
      <c r="C202" s="64">
        <v>6</v>
      </c>
      <c r="D202" s="80">
        <f t="shared" si="9"/>
        <v>2010</v>
      </c>
      <c r="E202" t="s">
        <v>38</v>
      </c>
      <c r="F202" t="s">
        <v>143</v>
      </c>
      <c r="G202" t="s">
        <v>10</v>
      </c>
      <c r="H202" s="72" t="s">
        <v>218</v>
      </c>
      <c r="I202" s="72" t="s">
        <v>60</v>
      </c>
      <c r="J202" t="str">
        <f t="shared" si="10"/>
        <v>Skagit River</v>
      </c>
      <c r="K202" t="str">
        <f>IFERROR(VLOOKUP(J202,LUTs!$A$1:$C$73,2,FALSE),"NA")</f>
        <v>Skagit/Whatcom</v>
      </c>
      <c r="L202" t="str">
        <f>IFERROR(VLOOKUP(J202,LUTs!$A$1:$C$73,3,FALSE),"NA")</f>
        <v>2Central Puget Sound</v>
      </c>
      <c r="M202" s="72" t="s">
        <v>15</v>
      </c>
      <c r="N202" t="str">
        <f>VLOOKUP(M202,LUTs!E$2:H$14,3,)</f>
        <v>02Skagit</v>
      </c>
      <c r="O202" t="str">
        <f>VLOOKUP(M202,LUTs!E$2:H$14,4,)</f>
        <v>01North Puget Sound</v>
      </c>
      <c r="P202" s="73">
        <v>83.2222222222222</v>
      </c>
      <c r="Q202" s="74">
        <f>VLOOKUP(B202,Readme!A$40:C$51,2,)*P202</f>
        <v>719.87222222222204</v>
      </c>
    </row>
    <row r="203" spans="1:17" ht="14.15" customHeight="1" x14ac:dyDescent="0.35">
      <c r="A203" s="75">
        <v>202</v>
      </c>
      <c r="B203" s="64">
        <v>2010</v>
      </c>
      <c r="C203" s="64">
        <v>6</v>
      </c>
      <c r="D203" s="80">
        <f t="shared" si="9"/>
        <v>2010</v>
      </c>
      <c r="E203" t="s">
        <v>38</v>
      </c>
      <c r="F203" t="s">
        <v>143</v>
      </c>
      <c r="G203" t="s">
        <v>10</v>
      </c>
      <c r="H203" s="72" t="s">
        <v>218</v>
      </c>
      <c r="I203" s="72" t="s">
        <v>60</v>
      </c>
      <c r="J203" t="str">
        <f t="shared" si="10"/>
        <v>Skagit River</v>
      </c>
      <c r="K203" t="str">
        <f>IFERROR(VLOOKUP(J203,LUTs!$A$1:$C$73,2,FALSE),"NA")</f>
        <v>Skagit/Whatcom</v>
      </c>
      <c r="L203" t="str">
        <f>IFERROR(VLOOKUP(J203,LUTs!$A$1:$C$73,3,FALSE),"NA")</f>
        <v>2Central Puget Sound</v>
      </c>
      <c r="M203" s="72" t="s">
        <v>16</v>
      </c>
      <c r="N203" t="str">
        <f>VLOOKUP(M203,LUTs!E$2:H$14,3,)</f>
        <v>03Snohomish</v>
      </c>
      <c r="O203" t="str">
        <f>VLOOKUP(M203,LUTs!E$2:H$14,4,)</f>
        <v>01North Puget Sound</v>
      </c>
      <c r="P203" s="73">
        <v>11.8888888888889</v>
      </c>
      <c r="Q203" s="74">
        <f>VLOOKUP(B203,Readme!A$40:C$51,2,)*P203</f>
        <v>102.83888888888899</v>
      </c>
    </row>
    <row r="204" spans="1:17" ht="14.15" customHeight="1" x14ac:dyDescent="0.35">
      <c r="A204" s="75">
        <v>203</v>
      </c>
      <c r="B204" s="64">
        <v>2010</v>
      </c>
      <c r="C204" s="64">
        <v>6</v>
      </c>
      <c r="D204" s="80">
        <f t="shared" si="9"/>
        <v>2010</v>
      </c>
      <c r="E204" t="s">
        <v>38</v>
      </c>
      <c r="F204" t="s">
        <v>143</v>
      </c>
      <c r="G204" t="s">
        <v>10</v>
      </c>
      <c r="H204" s="72" t="s">
        <v>218</v>
      </c>
      <c r="I204" s="72" t="s">
        <v>60</v>
      </c>
      <c r="J204" t="str">
        <f t="shared" si="10"/>
        <v>Skagit River</v>
      </c>
      <c r="K204" t="str">
        <f>IFERROR(VLOOKUP(J204,LUTs!$A$1:$C$73,2,FALSE),"NA")</f>
        <v>Skagit/Whatcom</v>
      </c>
      <c r="L204" t="str">
        <f>IFERROR(VLOOKUP(J204,LUTs!$A$1:$C$73,3,FALSE),"NA")</f>
        <v>2Central Puget Sound</v>
      </c>
      <c r="M204" s="72" t="s">
        <v>13</v>
      </c>
      <c r="N204" t="str">
        <f>VLOOKUP(M204,LUTs!E$2:H$14,3,)</f>
        <v>01Whatcom</v>
      </c>
      <c r="O204" t="str">
        <f>VLOOKUP(M204,LUTs!E$2:H$14,4,)</f>
        <v>01North Puget Sound</v>
      </c>
      <c r="P204" s="73">
        <v>5.9444444444444402</v>
      </c>
      <c r="Q204" s="74">
        <f>VLOOKUP(B204,Readme!A$40:C$51,2,)*P204</f>
        <v>51.419444444444409</v>
      </c>
    </row>
    <row r="205" spans="1:17" ht="14.15" customHeight="1" x14ac:dyDescent="0.35">
      <c r="A205" s="75">
        <v>204</v>
      </c>
      <c r="B205" s="64">
        <v>2010</v>
      </c>
      <c r="C205" s="64">
        <v>7</v>
      </c>
      <c r="D205" s="80">
        <f t="shared" si="9"/>
        <v>2010</v>
      </c>
      <c r="E205" t="s">
        <v>38</v>
      </c>
      <c r="F205" t="s">
        <v>143</v>
      </c>
      <c r="G205" t="s">
        <v>10</v>
      </c>
      <c r="H205" s="72" t="s">
        <v>218</v>
      </c>
      <c r="I205" s="72" t="s">
        <v>60</v>
      </c>
      <c r="J205" t="str">
        <f t="shared" si="10"/>
        <v>Skagit River</v>
      </c>
      <c r="K205" t="str">
        <f>IFERROR(VLOOKUP(J205,LUTs!$A$1:$C$73,2,FALSE),"NA")</f>
        <v>Skagit/Whatcom</v>
      </c>
      <c r="L205" t="str">
        <f>IFERROR(VLOOKUP(J205,LUTs!$A$1:$C$73,3,FALSE),"NA")</f>
        <v>2Central Puget Sound</v>
      </c>
      <c r="M205" s="72" t="s">
        <v>15</v>
      </c>
      <c r="N205" t="str">
        <f>VLOOKUP(M205,LUTs!E$2:H$14,3,)</f>
        <v>02Skagit</v>
      </c>
      <c r="O205" t="str">
        <f>VLOOKUP(M205,LUTs!E$2:H$14,4,)</f>
        <v>01North Puget Sound</v>
      </c>
      <c r="P205" s="73">
        <v>36</v>
      </c>
      <c r="Q205" s="74">
        <f>VLOOKUP(B205,Readme!A$40:C$51,2,)*P205</f>
        <v>311.40000000000003</v>
      </c>
    </row>
    <row r="206" spans="1:17" ht="14.15" customHeight="1" x14ac:dyDescent="0.35">
      <c r="A206" s="75">
        <v>205</v>
      </c>
      <c r="B206" s="64">
        <v>2010</v>
      </c>
      <c r="C206" s="64">
        <v>7</v>
      </c>
      <c r="D206" s="80">
        <f t="shared" si="9"/>
        <v>2010</v>
      </c>
      <c r="E206" t="s">
        <v>38</v>
      </c>
      <c r="F206" t="s">
        <v>143</v>
      </c>
      <c r="G206" t="s">
        <v>10</v>
      </c>
      <c r="H206" s="72" t="s">
        <v>218</v>
      </c>
      <c r="I206" s="72" t="s">
        <v>60</v>
      </c>
      <c r="J206" t="str">
        <f t="shared" si="10"/>
        <v>Skagit River</v>
      </c>
      <c r="K206" t="str">
        <f>IFERROR(VLOOKUP(J206,LUTs!$A$1:$C$73,2,FALSE),"NA")</f>
        <v>Skagit/Whatcom</v>
      </c>
      <c r="L206" t="str">
        <f>IFERROR(VLOOKUP(J206,LUTs!$A$1:$C$73,3,FALSE),"NA")</f>
        <v>2Central Puget Sound</v>
      </c>
      <c r="M206" s="72" t="s">
        <v>16</v>
      </c>
      <c r="N206" t="str">
        <f>VLOOKUP(M206,LUTs!E$2:H$14,3,)</f>
        <v>03Snohomish</v>
      </c>
      <c r="O206" t="str">
        <f>VLOOKUP(M206,LUTs!E$2:H$14,4,)</f>
        <v>01North Puget Sound</v>
      </c>
      <c r="P206" s="73">
        <v>6</v>
      </c>
      <c r="Q206" s="74">
        <f>VLOOKUP(B206,Readme!A$40:C$51,2,)*P206</f>
        <v>51.900000000000006</v>
      </c>
    </row>
    <row r="207" spans="1:17" ht="14.15" customHeight="1" x14ac:dyDescent="0.35">
      <c r="A207" s="75">
        <v>206</v>
      </c>
      <c r="B207" s="64">
        <v>2010</v>
      </c>
      <c r="C207" s="64">
        <v>8</v>
      </c>
      <c r="D207" s="80">
        <f t="shared" si="9"/>
        <v>2010</v>
      </c>
      <c r="E207" t="s">
        <v>38</v>
      </c>
      <c r="F207" t="s">
        <v>143</v>
      </c>
      <c r="G207" t="s">
        <v>10</v>
      </c>
      <c r="H207" s="72" t="s">
        <v>218</v>
      </c>
      <c r="I207" s="72" t="s">
        <v>60</v>
      </c>
      <c r="J207" t="str">
        <f t="shared" si="10"/>
        <v>Skagit River</v>
      </c>
      <c r="K207" t="str">
        <f>IFERROR(VLOOKUP(J207,LUTs!$A$1:$C$73,2,FALSE),"NA")</f>
        <v>Skagit/Whatcom</v>
      </c>
      <c r="L207" t="str">
        <f>IFERROR(VLOOKUP(J207,LUTs!$A$1:$C$73,3,FALSE),"NA")</f>
        <v>2Central Puget Sound</v>
      </c>
      <c r="M207" s="72" t="s">
        <v>20</v>
      </c>
      <c r="N207" t="str">
        <f>VLOOKUP(M207,LUTs!E$2:H$14,3,)</f>
        <v>07Pierce</v>
      </c>
      <c r="O207" t="str">
        <f>VLOOKUP(M207,LUTs!E$2:H$14,4,)</f>
        <v>02South Puget Sound</v>
      </c>
      <c r="P207" s="73">
        <v>6</v>
      </c>
      <c r="Q207" s="74">
        <f>VLOOKUP(B207,Readme!A$40:C$51,2,)*P207</f>
        <v>51.900000000000006</v>
      </c>
    </row>
    <row r="208" spans="1:17" ht="14.15" customHeight="1" x14ac:dyDescent="0.35">
      <c r="A208" s="75">
        <v>207</v>
      </c>
      <c r="B208" s="64">
        <v>2010</v>
      </c>
      <c r="C208" s="64">
        <v>9</v>
      </c>
      <c r="D208" s="80">
        <f t="shared" si="9"/>
        <v>2010</v>
      </c>
      <c r="E208" t="s">
        <v>38</v>
      </c>
      <c r="F208" t="s">
        <v>143</v>
      </c>
      <c r="G208" t="s">
        <v>10</v>
      </c>
      <c r="H208" s="72" t="s">
        <v>218</v>
      </c>
      <c r="I208" s="72" t="s">
        <v>60</v>
      </c>
      <c r="J208" t="str">
        <f t="shared" si="10"/>
        <v>Skagit River</v>
      </c>
      <c r="K208" t="str">
        <f>IFERROR(VLOOKUP(J208,LUTs!$A$1:$C$73,2,FALSE),"NA")</f>
        <v>Skagit/Whatcom</v>
      </c>
      <c r="L208" t="str">
        <f>IFERROR(VLOOKUP(J208,LUTs!$A$1:$C$73,3,FALSE),"NA")</f>
        <v>2Central Puget Sound</v>
      </c>
      <c r="M208" s="72" t="s">
        <v>17</v>
      </c>
      <c r="N208" t="str">
        <f>VLOOKUP(M208,LUTs!E$2:H$14,3,)</f>
        <v>04Island</v>
      </c>
      <c r="O208" t="str">
        <f>VLOOKUP(M208,LUTs!E$2:H$14,4,)</f>
        <v>01North Puget Sound</v>
      </c>
      <c r="P208" s="73">
        <v>29.841269841269799</v>
      </c>
      <c r="Q208" s="74">
        <f>VLOOKUP(B208,Readme!A$40:C$51,2,)*P208</f>
        <v>258.12698412698376</v>
      </c>
    </row>
    <row r="209" spans="1:17" ht="14.15" customHeight="1" x14ac:dyDescent="0.35">
      <c r="A209" s="75">
        <v>208</v>
      </c>
      <c r="B209" s="64">
        <v>2010</v>
      </c>
      <c r="C209" s="64">
        <v>9</v>
      </c>
      <c r="D209" s="80">
        <f t="shared" si="9"/>
        <v>2010</v>
      </c>
      <c r="E209" t="s">
        <v>38</v>
      </c>
      <c r="F209" t="s">
        <v>143</v>
      </c>
      <c r="G209" t="s">
        <v>10</v>
      </c>
      <c r="H209" s="72" t="s">
        <v>218</v>
      </c>
      <c r="I209" s="72" t="s">
        <v>60</v>
      </c>
      <c r="J209" t="str">
        <f t="shared" si="10"/>
        <v>Skagit River</v>
      </c>
      <c r="K209" t="str">
        <f>IFERROR(VLOOKUP(J209,LUTs!$A$1:$C$73,2,FALSE),"NA")</f>
        <v>Skagit/Whatcom</v>
      </c>
      <c r="L209" t="str">
        <f>IFERROR(VLOOKUP(J209,LUTs!$A$1:$C$73,3,FALSE),"NA")</f>
        <v>2Central Puget Sound</v>
      </c>
      <c r="M209" s="72" t="s">
        <v>26</v>
      </c>
      <c r="N209" t="str">
        <f>VLOOKUP(M209,LUTs!E$2:H$14,3,)</f>
        <v>20Other</v>
      </c>
      <c r="O209" t="str">
        <f>VLOOKUP(M209,LUTs!E$2:H$14,4,)</f>
        <v>07Non Puget Sound</v>
      </c>
      <c r="P209" s="73">
        <v>29.841269841269799</v>
      </c>
      <c r="Q209" s="74">
        <f>VLOOKUP(B209,Readme!A$40:C$51,2,)*P209</f>
        <v>258.12698412698376</v>
      </c>
    </row>
    <row r="210" spans="1:17" ht="14.15" customHeight="1" x14ac:dyDescent="0.35">
      <c r="A210" s="75">
        <v>209</v>
      </c>
      <c r="B210" s="64">
        <v>2010</v>
      </c>
      <c r="C210" s="64">
        <v>9</v>
      </c>
      <c r="D210" s="80">
        <f t="shared" si="9"/>
        <v>2010</v>
      </c>
      <c r="E210" t="s">
        <v>38</v>
      </c>
      <c r="F210" t="s">
        <v>143</v>
      </c>
      <c r="G210" t="s">
        <v>10</v>
      </c>
      <c r="H210" s="72" t="s">
        <v>218</v>
      </c>
      <c r="I210" s="72" t="s">
        <v>60</v>
      </c>
      <c r="J210" t="str">
        <f t="shared" si="10"/>
        <v>Skagit River</v>
      </c>
      <c r="K210" t="str">
        <f>IFERROR(VLOOKUP(J210,LUTs!$A$1:$C$73,2,FALSE),"NA")</f>
        <v>Skagit/Whatcom</v>
      </c>
      <c r="L210" t="str">
        <f>IFERROR(VLOOKUP(J210,LUTs!$A$1:$C$73,3,FALSE),"NA")</f>
        <v>2Central Puget Sound</v>
      </c>
      <c r="M210" s="72" t="s">
        <v>15</v>
      </c>
      <c r="N210" t="str">
        <f>VLOOKUP(M210,LUTs!E$2:H$14,3,)</f>
        <v>02Skagit</v>
      </c>
      <c r="O210" t="str">
        <f>VLOOKUP(M210,LUTs!E$2:H$14,4,)</f>
        <v>01North Puget Sound</v>
      </c>
      <c r="P210" s="73">
        <v>513.26984126984098</v>
      </c>
      <c r="Q210" s="74">
        <f>VLOOKUP(B210,Readme!A$40:C$51,2,)*P210</f>
        <v>4439.7841269841247</v>
      </c>
    </row>
    <row r="211" spans="1:17" ht="14.15" customHeight="1" x14ac:dyDescent="0.35">
      <c r="A211" s="75">
        <v>210</v>
      </c>
      <c r="B211" s="64">
        <v>2010</v>
      </c>
      <c r="C211" s="64">
        <v>9</v>
      </c>
      <c r="D211" s="80">
        <f t="shared" si="9"/>
        <v>2010</v>
      </c>
      <c r="E211" t="s">
        <v>38</v>
      </c>
      <c r="F211" t="s">
        <v>143</v>
      </c>
      <c r="G211" t="s">
        <v>10</v>
      </c>
      <c r="H211" s="72" t="s">
        <v>218</v>
      </c>
      <c r="I211" s="72" t="s">
        <v>60</v>
      </c>
      <c r="J211" t="str">
        <f t="shared" si="10"/>
        <v>Skagit River</v>
      </c>
      <c r="K211" t="str">
        <f>IFERROR(VLOOKUP(J211,LUTs!$A$1:$C$73,2,FALSE),"NA")</f>
        <v>Skagit/Whatcom</v>
      </c>
      <c r="L211" t="str">
        <f>IFERROR(VLOOKUP(J211,LUTs!$A$1:$C$73,3,FALSE),"NA")</f>
        <v>2Central Puget Sound</v>
      </c>
      <c r="M211" s="72" t="s">
        <v>16</v>
      </c>
      <c r="N211" t="str">
        <f>VLOOKUP(M211,LUTs!E$2:H$14,3,)</f>
        <v>03Snohomish</v>
      </c>
      <c r="O211" t="str">
        <f>VLOOKUP(M211,LUTs!E$2:H$14,4,)</f>
        <v>01North Puget Sound</v>
      </c>
      <c r="P211" s="73">
        <v>47.746031746031797</v>
      </c>
      <c r="Q211" s="74">
        <f>VLOOKUP(B211,Readme!A$40:C$51,2,)*P211</f>
        <v>413.00317460317507</v>
      </c>
    </row>
    <row r="212" spans="1:17" ht="14.15" customHeight="1" x14ac:dyDescent="0.35">
      <c r="A212" s="75">
        <v>211</v>
      </c>
      <c r="B212" s="64">
        <v>2010</v>
      </c>
      <c r="C212" s="64">
        <v>9</v>
      </c>
      <c r="D212" s="80">
        <f t="shared" si="9"/>
        <v>2010</v>
      </c>
      <c r="E212" t="s">
        <v>38</v>
      </c>
      <c r="F212" t="s">
        <v>143</v>
      </c>
      <c r="G212" t="s">
        <v>10</v>
      </c>
      <c r="H212" s="72" t="s">
        <v>218</v>
      </c>
      <c r="I212" s="72" t="s">
        <v>60</v>
      </c>
      <c r="J212" t="str">
        <f t="shared" si="10"/>
        <v>Skagit River</v>
      </c>
      <c r="K212" t="str">
        <f>IFERROR(VLOOKUP(J212,LUTs!$A$1:$C$73,2,FALSE),"NA")</f>
        <v>Skagit/Whatcom</v>
      </c>
      <c r="L212" t="str">
        <f>IFERROR(VLOOKUP(J212,LUTs!$A$1:$C$73,3,FALSE),"NA")</f>
        <v>2Central Puget Sound</v>
      </c>
      <c r="M212" s="72" t="s">
        <v>13</v>
      </c>
      <c r="N212" t="str">
        <f>VLOOKUP(M212,LUTs!E$2:H$14,3,)</f>
        <v>01Whatcom</v>
      </c>
      <c r="O212" t="str">
        <f>VLOOKUP(M212,LUTs!E$2:H$14,4,)</f>
        <v>01North Puget Sound</v>
      </c>
      <c r="P212" s="73">
        <v>131.30158730158701</v>
      </c>
      <c r="Q212" s="74">
        <f>VLOOKUP(B212,Readme!A$40:C$51,2,)*P212</f>
        <v>1135.7587301587278</v>
      </c>
    </row>
    <row r="213" spans="1:17" ht="14.15" customHeight="1" x14ac:dyDescent="0.35">
      <c r="A213" s="75">
        <v>212</v>
      </c>
      <c r="B213" s="64">
        <v>2010</v>
      </c>
      <c r="C213" s="64">
        <v>10</v>
      </c>
      <c r="D213" s="80">
        <f t="shared" si="9"/>
        <v>2010</v>
      </c>
      <c r="E213" t="s">
        <v>38</v>
      </c>
      <c r="F213" t="s">
        <v>143</v>
      </c>
      <c r="G213" t="s">
        <v>10</v>
      </c>
      <c r="H213" s="72" t="s">
        <v>218</v>
      </c>
      <c r="I213" s="72" t="s">
        <v>60</v>
      </c>
      <c r="J213" t="str">
        <f t="shared" si="10"/>
        <v>Skagit River</v>
      </c>
      <c r="K213" t="str">
        <f>IFERROR(VLOOKUP(J213,LUTs!$A$1:$C$73,2,FALSE),"NA")</f>
        <v>Skagit/Whatcom</v>
      </c>
      <c r="L213" t="str">
        <f>IFERROR(VLOOKUP(J213,LUTs!$A$1:$C$73,3,FALSE),"NA")</f>
        <v>2Central Puget Sound</v>
      </c>
      <c r="M213" s="72" t="s">
        <v>17</v>
      </c>
      <c r="N213" t="str">
        <f>VLOOKUP(M213,LUTs!E$2:H$14,3,)</f>
        <v>04Island</v>
      </c>
      <c r="O213" t="str">
        <f>VLOOKUP(M213,LUTs!E$2:H$14,4,)</f>
        <v>01North Puget Sound</v>
      </c>
      <c r="P213" s="73">
        <v>5.9484978540772504</v>
      </c>
      <c r="Q213" s="74">
        <f>VLOOKUP(B213,Readme!A$40:C$51,2,)*P213</f>
        <v>51.454506437768217</v>
      </c>
    </row>
    <row r="214" spans="1:17" ht="14.15" customHeight="1" x14ac:dyDescent="0.35">
      <c r="A214" s="75">
        <v>213</v>
      </c>
      <c r="B214" s="64">
        <v>2010</v>
      </c>
      <c r="C214" s="64">
        <v>10</v>
      </c>
      <c r="D214" s="80">
        <f t="shared" si="9"/>
        <v>2010</v>
      </c>
      <c r="E214" t="s">
        <v>38</v>
      </c>
      <c r="F214" t="s">
        <v>143</v>
      </c>
      <c r="G214" t="s">
        <v>10</v>
      </c>
      <c r="H214" s="72" t="s">
        <v>218</v>
      </c>
      <c r="I214" s="72" t="s">
        <v>60</v>
      </c>
      <c r="J214" t="str">
        <f t="shared" si="10"/>
        <v>Skagit River</v>
      </c>
      <c r="K214" t="str">
        <f>IFERROR(VLOOKUP(J214,LUTs!$A$1:$C$73,2,FALSE),"NA")</f>
        <v>Skagit/Whatcom</v>
      </c>
      <c r="L214" t="str">
        <f>IFERROR(VLOOKUP(J214,LUTs!$A$1:$C$73,3,FALSE),"NA")</f>
        <v>2Central Puget Sound</v>
      </c>
      <c r="M214" s="72" t="s">
        <v>18</v>
      </c>
      <c r="N214" t="str">
        <f>VLOOKUP(M214,LUTs!E$2:H$14,3,)</f>
        <v>06King</v>
      </c>
      <c r="O214" t="str">
        <f>VLOOKUP(M214,LUTs!E$2:H$14,4,)</f>
        <v>02South Puget Sound</v>
      </c>
      <c r="P214" s="73">
        <v>29.742489270386301</v>
      </c>
      <c r="Q214" s="74">
        <f>VLOOKUP(B214,Readme!A$40:C$51,2,)*P214</f>
        <v>257.27253218884152</v>
      </c>
    </row>
    <row r="215" spans="1:17" ht="14.15" customHeight="1" x14ac:dyDescent="0.35">
      <c r="A215" s="75">
        <v>214</v>
      </c>
      <c r="B215" s="64">
        <v>2010</v>
      </c>
      <c r="C215" s="64">
        <v>10</v>
      </c>
      <c r="D215" s="80">
        <f t="shared" si="9"/>
        <v>2010</v>
      </c>
      <c r="E215" t="s">
        <v>38</v>
      </c>
      <c r="F215" t="s">
        <v>143</v>
      </c>
      <c r="G215" t="s">
        <v>10</v>
      </c>
      <c r="H215" s="72" t="s">
        <v>218</v>
      </c>
      <c r="I215" s="72" t="s">
        <v>60</v>
      </c>
      <c r="J215" t="str">
        <f t="shared" si="10"/>
        <v>Skagit River</v>
      </c>
      <c r="K215" t="str">
        <f>IFERROR(VLOOKUP(J215,LUTs!$A$1:$C$73,2,FALSE),"NA")</f>
        <v>Skagit/Whatcom</v>
      </c>
      <c r="L215" t="str">
        <f>IFERROR(VLOOKUP(J215,LUTs!$A$1:$C$73,3,FALSE),"NA")</f>
        <v>2Central Puget Sound</v>
      </c>
      <c r="M215" s="72" t="s">
        <v>26</v>
      </c>
      <c r="N215" t="str">
        <f>VLOOKUP(M215,LUTs!E$2:H$14,3,)</f>
        <v>20Other</v>
      </c>
      <c r="O215" t="str">
        <f>VLOOKUP(M215,LUTs!E$2:H$14,4,)</f>
        <v>07Non Puget Sound</v>
      </c>
      <c r="P215" s="73">
        <v>41.6394849785408</v>
      </c>
      <c r="Q215" s="74">
        <f>VLOOKUP(B215,Readme!A$40:C$51,2,)*P215</f>
        <v>360.18154506437793</v>
      </c>
    </row>
    <row r="216" spans="1:17" ht="14.15" customHeight="1" x14ac:dyDescent="0.35">
      <c r="A216" s="75">
        <v>215</v>
      </c>
      <c r="B216" s="64">
        <v>2010</v>
      </c>
      <c r="C216" s="64">
        <v>10</v>
      </c>
      <c r="D216" s="80">
        <f t="shared" si="9"/>
        <v>2010</v>
      </c>
      <c r="E216" t="s">
        <v>38</v>
      </c>
      <c r="F216" t="s">
        <v>143</v>
      </c>
      <c r="G216" t="s">
        <v>10</v>
      </c>
      <c r="H216" s="72" t="s">
        <v>218</v>
      </c>
      <c r="I216" s="72" t="s">
        <v>60</v>
      </c>
      <c r="J216" t="str">
        <f t="shared" si="10"/>
        <v>Skagit River</v>
      </c>
      <c r="K216" t="str">
        <f>IFERROR(VLOOKUP(J216,LUTs!$A$1:$C$73,2,FALSE),"NA")</f>
        <v>Skagit/Whatcom</v>
      </c>
      <c r="L216" t="str">
        <f>IFERROR(VLOOKUP(J216,LUTs!$A$1:$C$73,3,FALSE),"NA")</f>
        <v>2Central Puget Sound</v>
      </c>
      <c r="M216" s="72" t="s">
        <v>20</v>
      </c>
      <c r="N216" t="str">
        <f>VLOOKUP(M216,LUTs!E$2:H$14,3,)</f>
        <v>07Pierce</v>
      </c>
      <c r="O216" t="str">
        <f>VLOOKUP(M216,LUTs!E$2:H$14,4,)</f>
        <v>02South Puget Sound</v>
      </c>
      <c r="P216" s="73">
        <v>71.381974248927094</v>
      </c>
      <c r="Q216" s="74">
        <f>VLOOKUP(B216,Readme!A$40:C$51,2,)*P216</f>
        <v>617.45407725321934</v>
      </c>
    </row>
    <row r="217" spans="1:17" ht="14.15" customHeight="1" x14ac:dyDescent="0.35">
      <c r="A217" s="75">
        <v>216</v>
      </c>
      <c r="B217" s="64">
        <v>2010</v>
      </c>
      <c r="C217" s="64">
        <v>10</v>
      </c>
      <c r="D217" s="80">
        <f t="shared" si="9"/>
        <v>2010</v>
      </c>
      <c r="E217" t="s">
        <v>38</v>
      </c>
      <c r="F217" t="s">
        <v>143</v>
      </c>
      <c r="G217" t="s">
        <v>10</v>
      </c>
      <c r="H217" s="72" t="s">
        <v>218</v>
      </c>
      <c r="I217" s="72" t="s">
        <v>60</v>
      </c>
      <c r="J217" t="str">
        <f t="shared" si="10"/>
        <v>Skagit River</v>
      </c>
      <c r="K217" t="str">
        <f>IFERROR(VLOOKUP(J217,LUTs!$A$1:$C$73,2,FALSE),"NA")</f>
        <v>Skagit/Whatcom</v>
      </c>
      <c r="L217" t="str">
        <f>IFERROR(VLOOKUP(J217,LUTs!$A$1:$C$73,3,FALSE),"NA")</f>
        <v>2Central Puget Sound</v>
      </c>
      <c r="M217" s="72" t="s">
        <v>15</v>
      </c>
      <c r="N217" t="str">
        <f>VLOOKUP(M217,LUTs!E$2:H$14,3,)</f>
        <v>02Skagit</v>
      </c>
      <c r="O217" t="str">
        <f>VLOOKUP(M217,LUTs!E$2:H$14,4,)</f>
        <v>01North Puget Sound</v>
      </c>
      <c r="P217" s="73">
        <v>945.81115879828303</v>
      </c>
      <c r="Q217" s="74">
        <f>VLOOKUP(B217,Readme!A$40:C$51,2,)*P217</f>
        <v>8181.2665236051489</v>
      </c>
    </row>
    <row r="218" spans="1:17" ht="14.15" customHeight="1" x14ac:dyDescent="0.35">
      <c r="A218" s="75">
        <v>217</v>
      </c>
      <c r="B218" s="64">
        <v>2010</v>
      </c>
      <c r="C218" s="64">
        <v>10</v>
      </c>
      <c r="D218" s="80">
        <f t="shared" si="9"/>
        <v>2010</v>
      </c>
      <c r="E218" t="s">
        <v>38</v>
      </c>
      <c r="F218" t="s">
        <v>143</v>
      </c>
      <c r="G218" t="s">
        <v>10</v>
      </c>
      <c r="H218" s="72" t="s">
        <v>218</v>
      </c>
      <c r="I218" s="72" t="s">
        <v>60</v>
      </c>
      <c r="J218" t="str">
        <f t="shared" si="10"/>
        <v>Skagit River</v>
      </c>
      <c r="K218" t="str">
        <f>IFERROR(VLOOKUP(J218,LUTs!$A$1:$C$73,2,FALSE),"NA")</f>
        <v>Skagit/Whatcom</v>
      </c>
      <c r="L218" t="str">
        <f>IFERROR(VLOOKUP(J218,LUTs!$A$1:$C$73,3,FALSE),"NA")</f>
        <v>2Central Puget Sound</v>
      </c>
      <c r="M218" s="72" t="s">
        <v>16</v>
      </c>
      <c r="N218" t="str">
        <f>VLOOKUP(M218,LUTs!E$2:H$14,3,)</f>
        <v>03Snohomish</v>
      </c>
      <c r="O218" t="str">
        <f>VLOOKUP(M218,LUTs!E$2:H$14,4,)</f>
        <v>01North Puget Sound</v>
      </c>
      <c r="P218" s="73">
        <v>71.381974248927094</v>
      </c>
      <c r="Q218" s="74">
        <f>VLOOKUP(B218,Readme!A$40:C$51,2,)*P218</f>
        <v>617.45407725321934</v>
      </c>
    </row>
    <row r="219" spans="1:17" ht="14.15" customHeight="1" x14ac:dyDescent="0.35">
      <c r="A219" s="75">
        <v>218</v>
      </c>
      <c r="B219" s="64">
        <v>2010</v>
      </c>
      <c r="C219" s="64">
        <v>10</v>
      </c>
      <c r="D219" s="80">
        <f t="shared" si="9"/>
        <v>2010</v>
      </c>
      <c r="E219" t="s">
        <v>38</v>
      </c>
      <c r="F219" t="s">
        <v>143</v>
      </c>
      <c r="G219" t="s">
        <v>10</v>
      </c>
      <c r="H219" s="72" t="s">
        <v>218</v>
      </c>
      <c r="I219" s="72" t="s">
        <v>60</v>
      </c>
      <c r="J219" t="str">
        <f t="shared" si="10"/>
        <v>Skagit River</v>
      </c>
      <c r="K219" t="str">
        <f>IFERROR(VLOOKUP(J219,LUTs!$A$1:$C$73,2,FALSE),"NA")</f>
        <v>Skagit/Whatcom</v>
      </c>
      <c r="L219" t="str">
        <f>IFERROR(VLOOKUP(J219,LUTs!$A$1:$C$73,3,FALSE),"NA")</f>
        <v>2Central Puget Sound</v>
      </c>
      <c r="M219" s="72" t="s">
        <v>21</v>
      </c>
      <c r="N219" t="str">
        <f>VLOOKUP(M219,LUTs!E$2:H$14,3,)</f>
        <v>08Thurston</v>
      </c>
      <c r="O219" t="str">
        <f>VLOOKUP(M219,LUTs!E$2:H$14,4,)</f>
        <v>02South Puget Sound</v>
      </c>
      <c r="P219" s="73">
        <v>5.9484978540772504</v>
      </c>
      <c r="Q219" s="74">
        <f>VLOOKUP(B219,Readme!A$40:C$51,2,)*P219</f>
        <v>51.454506437768217</v>
      </c>
    </row>
    <row r="220" spans="1:17" ht="14.15" customHeight="1" x14ac:dyDescent="0.35">
      <c r="A220" s="75">
        <v>219</v>
      </c>
      <c r="B220" s="64">
        <v>2010</v>
      </c>
      <c r="C220" s="64">
        <v>10</v>
      </c>
      <c r="D220" s="80">
        <f t="shared" si="9"/>
        <v>2010</v>
      </c>
      <c r="E220" t="s">
        <v>38</v>
      </c>
      <c r="F220" t="s">
        <v>143</v>
      </c>
      <c r="G220" t="s">
        <v>10</v>
      </c>
      <c r="H220" s="72" t="s">
        <v>218</v>
      </c>
      <c r="I220" s="72" t="s">
        <v>60</v>
      </c>
      <c r="J220" t="str">
        <f t="shared" si="10"/>
        <v>Skagit River</v>
      </c>
      <c r="K220" t="str">
        <f>IFERROR(VLOOKUP(J220,LUTs!$A$1:$C$73,2,FALSE),"NA")</f>
        <v>Skagit/Whatcom</v>
      </c>
      <c r="L220" t="str">
        <f>IFERROR(VLOOKUP(J220,LUTs!$A$1:$C$73,3,FALSE),"NA")</f>
        <v>2Central Puget Sound</v>
      </c>
      <c r="M220" s="72" t="s">
        <v>13</v>
      </c>
      <c r="N220" t="str">
        <f>VLOOKUP(M220,LUTs!E$2:H$14,3,)</f>
        <v>01Whatcom</v>
      </c>
      <c r="O220" t="str">
        <f>VLOOKUP(M220,LUTs!E$2:H$14,4,)</f>
        <v>01North Puget Sound</v>
      </c>
      <c r="P220" s="73">
        <v>214.145922746781</v>
      </c>
      <c r="Q220" s="74">
        <f>VLOOKUP(B220,Readme!A$40:C$51,2,)*P220</f>
        <v>1852.3622317596557</v>
      </c>
    </row>
    <row r="221" spans="1:17" ht="14.15" customHeight="1" x14ac:dyDescent="0.35">
      <c r="A221" s="75">
        <v>220</v>
      </c>
      <c r="B221" s="64">
        <v>2010</v>
      </c>
      <c r="C221" s="64">
        <v>11</v>
      </c>
      <c r="D221" s="80">
        <f t="shared" si="9"/>
        <v>2010</v>
      </c>
      <c r="E221" t="s">
        <v>38</v>
      </c>
      <c r="F221" t="s">
        <v>143</v>
      </c>
      <c r="G221" t="s">
        <v>10</v>
      </c>
      <c r="H221" s="72" t="s">
        <v>218</v>
      </c>
      <c r="I221" s="72" t="s">
        <v>60</v>
      </c>
      <c r="J221" t="str">
        <f t="shared" si="10"/>
        <v>Skagit River</v>
      </c>
      <c r="K221" t="str">
        <f>IFERROR(VLOOKUP(J221,LUTs!$A$1:$C$73,2,FALSE),"NA")</f>
        <v>Skagit/Whatcom</v>
      </c>
      <c r="L221" t="str">
        <f>IFERROR(VLOOKUP(J221,LUTs!$A$1:$C$73,3,FALSE),"NA")</f>
        <v>2Central Puget Sound</v>
      </c>
      <c r="M221" s="72" t="s">
        <v>17</v>
      </c>
      <c r="N221" t="str">
        <f>VLOOKUP(M221,LUTs!E$2:H$14,3,)</f>
        <v>04Island</v>
      </c>
      <c r="O221" t="str">
        <f>VLOOKUP(M221,LUTs!E$2:H$14,4,)</f>
        <v>01North Puget Sound</v>
      </c>
      <c r="P221" s="73">
        <v>5.96428571428571</v>
      </c>
      <c r="Q221" s="74">
        <f>VLOOKUP(B221,Readme!A$40:C$51,2,)*P221</f>
        <v>51.591071428571396</v>
      </c>
    </row>
    <row r="222" spans="1:17" ht="14.15" customHeight="1" x14ac:dyDescent="0.35">
      <c r="A222" s="75">
        <v>221</v>
      </c>
      <c r="B222" s="64">
        <v>2010</v>
      </c>
      <c r="C222" s="64">
        <v>11</v>
      </c>
      <c r="D222" s="80">
        <f t="shared" si="9"/>
        <v>2010</v>
      </c>
      <c r="E222" t="s">
        <v>38</v>
      </c>
      <c r="F222" t="s">
        <v>143</v>
      </c>
      <c r="G222" t="s">
        <v>10</v>
      </c>
      <c r="H222" s="72" t="s">
        <v>218</v>
      </c>
      <c r="I222" s="72" t="s">
        <v>60</v>
      </c>
      <c r="J222" t="str">
        <f t="shared" si="10"/>
        <v>Skagit River</v>
      </c>
      <c r="K222" t="str">
        <f>IFERROR(VLOOKUP(J222,LUTs!$A$1:$C$73,2,FALSE),"NA")</f>
        <v>Skagit/Whatcom</v>
      </c>
      <c r="L222" t="str">
        <f>IFERROR(VLOOKUP(J222,LUTs!$A$1:$C$73,3,FALSE),"NA")</f>
        <v>2Central Puget Sound</v>
      </c>
      <c r="M222" s="72" t="s">
        <v>18</v>
      </c>
      <c r="N222" t="str">
        <f>VLOOKUP(M222,LUTs!E$2:H$14,3,)</f>
        <v>06King</v>
      </c>
      <c r="O222" t="str">
        <f>VLOOKUP(M222,LUTs!E$2:H$14,4,)</f>
        <v>02South Puget Sound</v>
      </c>
      <c r="P222" s="73">
        <v>5.96428571428571</v>
      </c>
      <c r="Q222" s="74">
        <f>VLOOKUP(B222,Readme!A$40:C$51,2,)*P222</f>
        <v>51.591071428571396</v>
      </c>
    </row>
    <row r="223" spans="1:17" ht="14.15" customHeight="1" x14ac:dyDescent="0.35">
      <c r="A223" s="75">
        <v>222</v>
      </c>
      <c r="B223" s="64">
        <v>2010</v>
      </c>
      <c r="C223" s="64">
        <v>11</v>
      </c>
      <c r="D223" s="80">
        <f t="shared" si="9"/>
        <v>2010</v>
      </c>
      <c r="E223" t="s">
        <v>38</v>
      </c>
      <c r="F223" t="s">
        <v>143</v>
      </c>
      <c r="G223" t="s">
        <v>10</v>
      </c>
      <c r="H223" s="72" t="s">
        <v>218</v>
      </c>
      <c r="I223" s="72" t="s">
        <v>60</v>
      </c>
      <c r="J223" t="str">
        <f t="shared" si="10"/>
        <v>Skagit River</v>
      </c>
      <c r="K223" t="str">
        <f>IFERROR(VLOOKUP(J223,LUTs!$A$1:$C$73,2,FALSE),"NA")</f>
        <v>Skagit/Whatcom</v>
      </c>
      <c r="L223" t="str">
        <f>IFERROR(VLOOKUP(J223,LUTs!$A$1:$C$73,3,FALSE),"NA")</f>
        <v>2Central Puget Sound</v>
      </c>
      <c r="M223" s="72" t="s">
        <v>26</v>
      </c>
      <c r="N223" t="str">
        <f>VLOOKUP(M223,LUTs!E$2:H$14,3,)</f>
        <v>20Other</v>
      </c>
      <c r="O223" t="str">
        <f>VLOOKUP(M223,LUTs!E$2:H$14,4,)</f>
        <v>07Non Puget Sound</v>
      </c>
      <c r="P223" s="73">
        <v>11.9285714285714</v>
      </c>
      <c r="Q223" s="74">
        <f>VLOOKUP(B223,Readme!A$40:C$51,2,)*P223</f>
        <v>103.18214285714262</v>
      </c>
    </row>
    <row r="224" spans="1:17" ht="14.15" customHeight="1" x14ac:dyDescent="0.35">
      <c r="A224" s="75">
        <v>223</v>
      </c>
      <c r="B224" s="64">
        <v>2010</v>
      </c>
      <c r="C224" s="64">
        <v>11</v>
      </c>
      <c r="D224" s="80">
        <f t="shared" si="9"/>
        <v>2010</v>
      </c>
      <c r="E224" t="s">
        <v>38</v>
      </c>
      <c r="F224" t="s">
        <v>143</v>
      </c>
      <c r="G224" t="s">
        <v>10</v>
      </c>
      <c r="H224" s="72" t="s">
        <v>218</v>
      </c>
      <c r="I224" s="72" t="s">
        <v>60</v>
      </c>
      <c r="J224" t="str">
        <f t="shared" si="10"/>
        <v>Skagit River</v>
      </c>
      <c r="K224" t="str">
        <f>IFERROR(VLOOKUP(J224,LUTs!$A$1:$C$73,2,FALSE),"NA")</f>
        <v>Skagit/Whatcom</v>
      </c>
      <c r="L224" t="str">
        <f>IFERROR(VLOOKUP(J224,LUTs!$A$1:$C$73,3,FALSE),"NA")</f>
        <v>2Central Puget Sound</v>
      </c>
      <c r="M224" s="72" t="s">
        <v>15</v>
      </c>
      <c r="N224" t="str">
        <f>VLOOKUP(M224,LUTs!E$2:H$14,3,)</f>
        <v>02Skagit</v>
      </c>
      <c r="O224" t="str">
        <f>VLOOKUP(M224,LUTs!E$2:H$14,4,)</f>
        <v>01North Puget Sound</v>
      </c>
      <c r="P224" s="73">
        <v>101.392857142857</v>
      </c>
      <c r="Q224" s="74">
        <f>VLOOKUP(B224,Readme!A$40:C$51,2,)*P224</f>
        <v>877.04821428571302</v>
      </c>
    </row>
    <row r="225" spans="1:17" ht="14.15" customHeight="1" x14ac:dyDescent="0.35">
      <c r="A225" s="75">
        <v>224</v>
      </c>
      <c r="B225" s="64">
        <v>2010</v>
      </c>
      <c r="C225" s="64">
        <v>11</v>
      </c>
      <c r="D225" s="80">
        <f t="shared" si="9"/>
        <v>2010</v>
      </c>
      <c r="E225" t="s">
        <v>38</v>
      </c>
      <c r="F225" t="s">
        <v>143</v>
      </c>
      <c r="G225" t="s">
        <v>10</v>
      </c>
      <c r="H225" s="72" t="s">
        <v>218</v>
      </c>
      <c r="I225" s="72" t="s">
        <v>60</v>
      </c>
      <c r="J225" t="str">
        <f t="shared" si="10"/>
        <v>Skagit River</v>
      </c>
      <c r="K225" t="str">
        <f>IFERROR(VLOOKUP(J225,LUTs!$A$1:$C$73,2,FALSE),"NA")</f>
        <v>Skagit/Whatcom</v>
      </c>
      <c r="L225" t="str">
        <f>IFERROR(VLOOKUP(J225,LUTs!$A$1:$C$73,3,FALSE),"NA")</f>
        <v>2Central Puget Sound</v>
      </c>
      <c r="M225" s="72" t="s">
        <v>16</v>
      </c>
      <c r="N225" t="str">
        <f>VLOOKUP(M225,LUTs!E$2:H$14,3,)</f>
        <v>03Snohomish</v>
      </c>
      <c r="O225" t="str">
        <f>VLOOKUP(M225,LUTs!E$2:H$14,4,)</f>
        <v>01North Puget Sound</v>
      </c>
      <c r="P225" s="73">
        <v>11.9285714285714</v>
      </c>
      <c r="Q225" s="74">
        <f>VLOOKUP(B225,Readme!A$40:C$51,2,)*P225</f>
        <v>103.18214285714262</v>
      </c>
    </row>
    <row r="226" spans="1:17" ht="14.15" customHeight="1" x14ac:dyDescent="0.35">
      <c r="A226" s="75">
        <v>225</v>
      </c>
      <c r="B226" s="64">
        <v>2010</v>
      </c>
      <c r="C226" s="64">
        <v>11</v>
      </c>
      <c r="D226" s="80">
        <f t="shared" si="9"/>
        <v>2010</v>
      </c>
      <c r="E226" t="s">
        <v>38</v>
      </c>
      <c r="F226" t="s">
        <v>143</v>
      </c>
      <c r="G226" t="s">
        <v>10</v>
      </c>
      <c r="H226" s="72" t="s">
        <v>218</v>
      </c>
      <c r="I226" s="72" t="s">
        <v>60</v>
      </c>
      <c r="J226" t="str">
        <f t="shared" si="10"/>
        <v>Skagit River</v>
      </c>
      <c r="K226" t="str">
        <f>IFERROR(VLOOKUP(J226,LUTs!$A$1:$C$73,2,FALSE),"NA")</f>
        <v>Skagit/Whatcom</v>
      </c>
      <c r="L226" t="str">
        <f>IFERROR(VLOOKUP(J226,LUTs!$A$1:$C$73,3,FALSE),"NA")</f>
        <v>2Central Puget Sound</v>
      </c>
      <c r="M226" s="72" t="s">
        <v>13</v>
      </c>
      <c r="N226" t="str">
        <f>VLOOKUP(M226,LUTs!E$2:H$14,3,)</f>
        <v>01Whatcom</v>
      </c>
      <c r="O226" t="str">
        <f>VLOOKUP(M226,LUTs!E$2:H$14,4,)</f>
        <v>01North Puget Sound</v>
      </c>
      <c r="P226" s="73">
        <v>29.821428571428601</v>
      </c>
      <c r="Q226" s="74">
        <f>VLOOKUP(B226,Readme!A$40:C$51,2,)*P226</f>
        <v>257.95535714285739</v>
      </c>
    </row>
    <row r="227" spans="1:17" ht="14.15" customHeight="1" x14ac:dyDescent="0.35">
      <c r="A227" s="75">
        <v>226</v>
      </c>
      <c r="B227" s="64">
        <v>2010</v>
      </c>
      <c r="C227" s="64">
        <v>12</v>
      </c>
      <c r="D227" s="80">
        <f t="shared" si="9"/>
        <v>2010</v>
      </c>
      <c r="E227" t="s">
        <v>38</v>
      </c>
      <c r="F227" t="s">
        <v>143</v>
      </c>
      <c r="G227" t="s">
        <v>10</v>
      </c>
      <c r="H227" s="72" t="s">
        <v>218</v>
      </c>
      <c r="I227" s="72" t="s">
        <v>60</v>
      </c>
      <c r="J227" t="str">
        <f t="shared" si="10"/>
        <v>Skagit River</v>
      </c>
      <c r="K227" t="str">
        <f>IFERROR(VLOOKUP(J227,LUTs!$A$1:$C$73,2,FALSE),"NA")</f>
        <v>Skagit/Whatcom</v>
      </c>
      <c r="L227" t="str">
        <f>IFERROR(VLOOKUP(J227,LUTs!$A$1:$C$73,3,FALSE),"NA")</f>
        <v>2Central Puget Sound</v>
      </c>
      <c r="M227" s="72" t="s">
        <v>15</v>
      </c>
      <c r="N227" t="str">
        <f>VLOOKUP(M227,LUTs!E$2:H$14,3,)</f>
        <v>02Skagit</v>
      </c>
      <c r="O227" t="str">
        <f>VLOOKUP(M227,LUTs!E$2:H$14,4,)</f>
        <v>01North Puget Sound</v>
      </c>
      <c r="P227" s="73">
        <v>72</v>
      </c>
      <c r="Q227" s="74">
        <f>VLOOKUP(B227,Readme!A$40:C$51,2,)*P227</f>
        <v>622.80000000000007</v>
      </c>
    </row>
    <row r="228" spans="1:17" ht="14.15" customHeight="1" x14ac:dyDescent="0.35">
      <c r="A228" s="75">
        <v>227</v>
      </c>
      <c r="B228" s="64">
        <v>2010</v>
      </c>
      <c r="C228" s="64">
        <v>12</v>
      </c>
      <c r="D228" s="80">
        <f t="shared" si="9"/>
        <v>2010</v>
      </c>
      <c r="E228" t="s">
        <v>38</v>
      </c>
      <c r="F228" t="s">
        <v>143</v>
      </c>
      <c r="G228" t="s">
        <v>10</v>
      </c>
      <c r="H228" s="72" t="s">
        <v>218</v>
      </c>
      <c r="I228" s="72" t="s">
        <v>60</v>
      </c>
      <c r="J228" t="str">
        <f t="shared" si="10"/>
        <v>Skagit River</v>
      </c>
      <c r="K228" t="str">
        <f>IFERROR(VLOOKUP(J228,LUTs!$A$1:$C$73,2,FALSE),"NA")</f>
        <v>Skagit/Whatcom</v>
      </c>
      <c r="L228" t="str">
        <f>IFERROR(VLOOKUP(J228,LUTs!$A$1:$C$73,3,FALSE),"NA")</f>
        <v>2Central Puget Sound</v>
      </c>
      <c r="M228" s="72" t="s">
        <v>16</v>
      </c>
      <c r="N228" t="str">
        <f>VLOOKUP(M228,LUTs!E$2:H$14,3,)</f>
        <v>03Snohomish</v>
      </c>
      <c r="O228" t="str">
        <f>VLOOKUP(M228,LUTs!E$2:H$14,4,)</f>
        <v>01North Puget Sound</v>
      </c>
      <c r="P228" s="73">
        <v>24</v>
      </c>
      <c r="Q228" s="74">
        <f>VLOOKUP(B228,Readme!A$40:C$51,2,)*P228</f>
        <v>207.60000000000002</v>
      </c>
    </row>
    <row r="229" spans="1:17" ht="14.15" customHeight="1" x14ac:dyDescent="0.35">
      <c r="A229" s="75">
        <v>228</v>
      </c>
      <c r="B229" s="64">
        <v>2010</v>
      </c>
      <c r="C229" s="64">
        <v>7</v>
      </c>
      <c r="D229" s="80">
        <f t="shared" si="9"/>
        <v>2010</v>
      </c>
      <c r="E229" t="s">
        <v>38</v>
      </c>
      <c r="F229" t="s">
        <v>143</v>
      </c>
      <c r="G229" t="s">
        <v>10</v>
      </c>
      <c r="H229" s="72" t="s">
        <v>219</v>
      </c>
      <c r="I229" s="72" t="s">
        <v>61</v>
      </c>
      <c r="J229" t="str">
        <f t="shared" si="10"/>
        <v>Skokomish River</v>
      </c>
      <c r="K229" t="str">
        <f>IFERROR(VLOOKUP(J229,LUTs!$A$1:$C$73,2,FALSE),"NA")</f>
        <v>Mason</v>
      </c>
      <c r="L229" t="str">
        <f>IFERROR(VLOOKUP(J229,LUTs!$A$1:$C$73,3,FALSE),"NA")</f>
        <v>4 Hood Canal</v>
      </c>
      <c r="M229" s="72" t="s">
        <v>18</v>
      </c>
      <c r="N229" t="str">
        <f>VLOOKUP(M229,LUTs!E$2:H$14,3,)</f>
        <v>06King</v>
      </c>
      <c r="O229" t="str">
        <f>VLOOKUP(M229,LUTs!E$2:H$14,4,)</f>
        <v>02South Puget Sound</v>
      </c>
      <c r="P229" s="73">
        <v>41.870370370370402</v>
      </c>
      <c r="Q229" s="74">
        <f>VLOOKUP(B229,Readme!A$40:C$51,2,)*P229</f>
        <v>362.178703703704</v>
      </c>
    </row>
    <row r="230" spans="1:17" ht="14.15" customHeight="1" x14ac:dyDescent="0.35">
      <c r="A230" s="75">
        <v>229</v>
      </c>
      <c r="B230" s="64">
        <v>2010</v>
      </c>
      <c r="C230" s="64">
        <v>7</v>
      </c>
      <c r="D230" s="80">
        <f t="shared" si="9"/>
        <v>2010</v>
      </c>
      <c r="E230" t="s">
        <v>38</v>
      </c>
      <c r="F230" t="s">
        <v>143</v>
      </c>
      <c r="G230" t="s">
        <v>10</v>
      </c>
      <c r="H230" s="72" t="s">
        <v>219</v>
      </c>
      <c r="I230" s="72" t="s">
        <v>61</v>
      </c>
      <c r="J230" t="str">
        <f t="shared" si="10"/>
        <v>Skokomish River</v>
      </c>
      <c r="K230" t="str">
        <f>IFERROR(VLOOKUP(J230,LUTs!$A$1:$C$73,2,FALSE),"NA")</f>
        <v>Mason</v>
      </c>
      <c r="L230" t="str">
        <f>IFERROR(VLOOKUP(J230,LUTs!$A$1:$C$73,3,FALSE),"NA")</f>
        <v>4 Hood Canal</v>
      </c>
      <c r="M230" s="72" t="s">
        <v>23</v>
      </c>
      <c r="N230" t="str">
        <f>VLOOKUP(M230,LUTs!E$2:H$14,3,)</f>
        <v>10Kitsap</v>
      </c>
      <c r="O230" t="str">
        <f>VLOOKUP(M230,LUTs!E$2:H$14,4,)</f>
        <v>02South Puget Sound</v>
      </c>
      <c r="P230" s="73">
        <v>11.962962962962999</v>
      </c>
      <c r="Q230" s="74">
        <f>VLOOKUP(B230,Readme!A$40:C$51,2,)*P230</f>
        <v>103.47962962962995</v>
      </c>
    </row>
    <row r="231" spans="1:17" ht="14.15" customHeight="1" x14ac:dyDescent="0.35">
      <c r="A231" s="75">
        <v>230</v>
      </c>
      <c r="B231" s="64">
        <v>2010</v>
      </c>
      <c r="C231" s="64">
        <v>7</v>
      </c>
      <c r="D231" s="80">
        <f t="shared" si="9"/>
        <v>2010</v>
      </c>
      <c r="E231" t="s">
        <v>38</v>
      </c>
      <c r="F231" t="s">
        <v>143</v>
      </c>
      <c r="G231" t="s">
        <v>10</v>
      </c>
      <c r="H231" s="72" t="s">
        <v>219</v>
      </c>
      <c r="I231" s="72" t="s">
        <v>61</v>
      </c>
      <c r="J231" t="str">
        <f t="shared" si="10"/>
        <v>Skokomish River</v>
      </c>
      <c r="K231" t="str">
        <f>IFERROR(VLOOKUP(J231,LUTs!$A$1:$C$73,2,FALSE),"NA")</f>
        <v>Mason</v>
      </c>
      <c r="L231" t="str">
        <f>IFERROR(VLOOKUP(J231,LUTs!$A$1:$C$73,3,FALSE),"NA")</f>
        <v>4 Hood Canal</v>
      </c>
      <c r="M231" s="72" t="s">
        <v>22</v>
      </c>
      <c r="N231" t="str">
        <f>VLOOKUP(M231,LUTs!E$2:H$14,3,)</f>
        <v>09Mason</v>
      </c>
      <c r="O231" t="str">
        <f>VLOOKUP(M231,LUTs!E$2:H$14,4,)</f>
        <v>02South Puget Sound</v>
      </c>
      <c r="P231" s="73">
        <v>23.925925925925899</v>
      </c>
      <c r="Q231" s="74">
        <f>VLOOKUP(B231,Readme!A$40:C$51,2,)*P231</f>
        <v>206.95925925925903</v>
      </c>
    </row>
    <row r="232" spans="1:17" ht="14.15" customHeight="1" x14ac:dyDescent="0.35">
      <c r="A232" s="75">
        <v>231</v>
      </c>
      <c r="B232" s="64">
        <v>2010</v>
      </c>
      <c r="C232" s="64">
        <v>7</v>
      </c>
      <c r="D232" s="80">
        <f t="shared" si="9"/>
        <v>2010</v>
      </c>
      <c r="E232" t="s">
        <v>38</v>
      </c>
      <c r="F232" t="s">
        <v>143</v>
      </c>
      <c r="G232" t="s">
        <v>10</v>
      </c>
      <c r="H232" s="72" t="s">
        <v>219</v>
      </c>
      <c r="I232" s="72" t="s">
        <v>61</v>
      </c>
      <c r="J232" t="str">
        <f t="shared" si="10"/>
        <v>Skokomish River</v>
      </c>
      <c r="K232" t="str">
        <f>IFERROR(VLOOKUP(J232,LUTs!$A$1:$C$73,2,FALSE),"NA")</f>
        <v>Mason</v>
      </c>
      <c r="L232" t="str">
        <f>IFERROR(VLOOKUP(J232,LUTs!$A$1:$C$73,3,FALSE),"NA")</f>
        <v>4 Hood Canal</v>
      </c>
      <c r="M232" s="72" t="s">
        <v>26</v>
      </c>
      <c r="N232" t="str">
        <f>VLOOKUP(M232,LUTs!E$2:H$14,3,)</f>
        <v>20Other</v>
      </c>
      <c r="O232" t="str">
        <f>VLOOKUP(M232,LUTs!E$2:H$14,4,)</f>
        <v>07Non Puget Sound</v>
      </c>
      <c r="P232" s="73">
        <v>11.962962962962999</v>
      </c>
      <c r="Q232" s="74">
        <f>VLOOKUP(B232,Readme!A$40:C$51,2,)*P232</f>
        <v>103.47962962962995</v>
      </c>
    </row>
    <row r="233" spans="1:17" ht="14.15" customHeight="1" x14ac:dyDescent="0.35">
      <c r="A233" s="75">
        <v>232</v>
      </c>
      <c r="B233" s="64">
        <v>2010</v>
      </c>
      <c r="C233" s="64">
        <v>7</v>
      </c>
      <c r="D233" s="80">
        <f t="shared" si="9"/>
        <v>2010</v>
      </c>
      <c r="E233" t="s">
        <v>38</v>
      </c>
      <c r="F233" t="s">
        <v>143</v>
      </c>
      <c r="G233" t="s">
        <v>10</v>
      </c>
      <c r="H233" s="72" t="s">
        <v>219</v>
      </c>
      <c r="I233" s="72" t="s">
        <v>61</v>
      </c>
      <c r="J233" t="str">
        <f t="shared" si="10"/>
        <v>Skokomish River</v>
      </c>
      <c r="K233" t="str">
        <f>IFERROR(VLOOKUP(J233,LUTs!$A$1:$C$73,2,FALSE),"NA")</f>
        <v>Mason</v>
      </c>
      <c r="L233" t="str">
        <f>IFERROR(VLOOKUP(J233,LUTs!$A$1:$C$73,3,FALSE),"NA")</f>
        <v>4 Hood Canal</v>
      </c>
      <c r="M233" s="72" t="s">
        <v>20</v>
      </c>
      <c r="N233" t="str">
        <f>VLOOKUP(M233,LUTs!E$2:H$14,3,)</f>
        <v>07Pierce</v>
      </c>
      <c r="O233" t="str">
        <f>VLOOKUP(M233,LUTs!E$2:H$14,4,)</f>
        <v>02South Puget Sound</v>
      </c>
      <c r="P233" s="73">
        <v>131.59259259259301</v>
      </c>
      <c r="Q233" s="74">
        <f>VLOOKUP(B233,Readme!A$40:C$51,2,)*P233</f>
        <v>1138.2759259259296</v>
      </c>
    </row>
    <row r="234" spans="1:17" ht="14.15" customHeight="1" x14ac:dyDescent="0.35">
      <c r="A234" s="75">
        <v>233</v>
      </c>
      <c r="B234" s="64">
        <v>2010</v>
      </c>
      <c r="C234" s="64">
        <v>7</v>
      </c>
      <c r="D234" s="80">
        <f t="shared" si="9"/>
        <v>2010</v>
      </c>
      <c r="E234" t="s">
        <v>38</v>
      </c>
      <c r="F234" t="s">
        <v>143</v>
      </c>
      <c r="G234" t="s">
        <v>10</v>
      </c>
      <c r="H234" s="72" t="s">
        <v>219</v>
      </c>
      <c r="I234" s="72" t="s">
        <v>61</v>
      </c>
      <c r="J234" t="str">
        <f t="shared" si="10"/>
        <v>Skokomish River</v>
      </c>
      <c r="K234" t="str">
        <f>IFERROR(VLOOKUP(J234,LUTs!$A$1:$C$73,2,FALSE),"NA")</f>
        <v>Mason</v>
      </c>
      <c r="L234" t="str">
        <f>IFERROR(VLOOKUP(J234,LUTs!$A$1:$C$73,3,FALSE),"NA")</f>
        <v>4 Hood Canal</v>
      </c>
      <c r="M234" s="72" t="s">
        <v>21</v>
      </c>
      <c r="N234" t="str">
        <f>VLOOKUP(M234,LUTs!E$2:H$14,3,)</f>
        <v>08Thurston</v>
      </c>
      <c r="O234" t="str">
        <f>VLOOKUP(M234,LUTs!E$2:H$14,4,)</f>
        <v>02South Puget Sound</v>
      </c>
      <c r="P234" s="73">
        <v>101.68518518518501</v>
      </c>
      <c r="Q234" s="74">
        <f>VLOOKUP(B234,Readme!A$40:C$51,2,)*P234</f>
        <v>879.57685185185028</v>
      </c>
    </row>
    <row r="235" spans="1:17" ht="14.15" customHeight="1" x14ac:dyDescent="0.35">
      <c r="A235" s="75">
        <v>234</v>
      </c>
      <c r="B235" s="64">
        <v>2010</v>
      </c>
      <c r="C235" s="64">
        <v>8</v>
      </c>
      <c r="D235" s="80">
        <f t="shared" si="9"/>
        <v>2010</v>
      </c>
      <c r="E235" t="s">
        <v>38</v>
      </c>
      <c r="F235" t="s">
        <v>143</v>
      </c>
      <c r="G235" t="s">
        <v>10</v>
      </c>
      <c r="H235" s="72" t="s">
        <v>219</v>
      </c>
      <c r="I235" s="72" t="s">
        <v>61</v>
      </c>
      <c r="J235" t="str">
        <f t="shared" si="10"/>
        <v>Skokomish River</v>
      </c>
      <c r="K235" t="str">
        <f>IFERROR(VLOOKUP(J235,LUTs!$A$1:$C$73,2,FALSE),"NA")</f>
        <v>Mason</v>
      </c>
      <c r="L235" t="str">
        <f>IFERROR(VLOOKUP(J235,LUTs!$A$1:$C$73,3,FALSE),"NA")</f>
        <v>4 Hood Canal</v>
      </c>
      <c r="M235" s="72" t="s">
        <v>24</v>
      </c>
      <c r="N235" t="str">
        <f>VLOOKUP(M235,LUTs!E$2:H$14,3,)</f>
        <v>11Clallam</v>
      </c>
      <c r="O235" t="str">
        <f>VLOOKUP(M235,LUTs!E$2:H$14,4,)</f>
        <v>03Strait of Juan de Fuca</v>
      </c>
      <c r="P235" s="73">
        <v>23.981308411215</v>
      </c>
      <c r="Q235" s="74">
        <f>VLOOKUP(B235,Readme!A$40:C$51,2,)*P235</f>
        <v>207.43831775700977</v>
      </c>
    </row>
    <row r="236" spans="1:17" ht="14.15" customHeight="1" x14ac:dyDescent="0.35">
      <c r="A236" s="75">
        <v>235</v>
      </c>
      <c r="B236" s="64">
        <v>2010</v>
      </c>
      <c r="C236" s="64">
        <v>8</v>
      </c>
      <c r="D236" s="80">
        <f t="shared" si="9"/>
        <v>2010</v>
      </c>
      <c r="E236" t="s">
        <v>38</v>
      </c>
      <c r="F236" t="s">
        <v>143</v>
      </c>
      <c r="G236" t="s">
        <v>10</v>
      </c>
      <c r="H236" s="72" t="s">
        <v>219</v>
      </c>
      <c r="I236" s="72" t="s">
        <v>61</v>
      </c>
      <c r="J236" t="str">
        <f t="shared" si="10"/>
        <v>Skokomish River</v>
      </c>
      <c r="K236" t="str">
        <f>IFERROR(VLOOKUP(J236,LUTs!$A$1:$C$73,2,FALSE),"NA")</f>
        <v>Mason</v>
      </c>
      <c r="L236" t="str">
        <f>IFERROR(VLOOKUP(J236,LUTs!$A$1:$C$73,3,FALSE),"NA")</f>
        <v>4 Hood Canal</v>
      </c>
      <c r="M236" s="72" t="s">
        <v>17</v>
      </c>
      <c r="N236" t="str">
        <f>VLOOKUP(M236,LUTs!E$2:H$14,3,)</f>
        <v>04Island</v>
      </c>
      <c r="O236" t="str">
        <f>VLOOKUP(M236,LUTs!E$2:H$14,4,)</f>
        <v>01North Puget Sound</v>
      </c>
      <c r="P236" s="73">
        <v>47.962616822429901</v>
      </c>
      <c r="Q236" s="74">
        <f>VLOOKUP(B236,Readme!A$40:C$51,2,)*P236</f>
        <v>414.87663551401863</v>
      </c>
    </row>
    <row r="237" spans="1:17" ht="14.15" customHeight="1" x14ac:dyDescent="0.35">
      <c r="A237" s="75">
        <v>236</v>
      </c>
      <c r="B237" s="64">
        <v>2010</v>
      </c>
      <c r="C237" s="64">
        <v>8</v>
      </c>
      <c r="D237" s="80">
        <f t="shared" si="9"/>
        <v>2010</v>
      </c>
      <c r="E237" t="s">
        <v>38</v>
      </c>
      <c r="F237" t="s">
        <v>143</v>
      </c>
      <c r="G237" t="s">
        <v>10</v>
      </c>
      <c r="H237" s="72" t="s">
        <v>219</v>
      </c>
      <c r="I237" s="72" t="s">
        <v>61</v>
      </c>
      <c r="J237" t="str">
        <f t="shared" si="10"/>
        <v>Skokomish River</v>
      </c>
      <c r="K237" t="str">
        <f>IFERROR(VLOOKUP(J237,LUTs!$A$1:$C$73,2,FALSE),"NA")</f>
        <v>Mason</v>
      </c>
      <c r="L237" t="str">
        <f>IFERROR(VLOOKUP(J237,LUTs!$A$1:$C$73,3,FALSE),"NA")</f>
        <v>4 Hood Canal</v>
      </c>
      <c r="M237" s="72" t="s">
        <v>18</v>
      </c>
      <c r="N237" t="str">
        <f>VLOOKUP(M237,LUTs!E$2:H$14,3,)</f>
        <v>06King</v>
      </c>
      <c r="O237" t="str">
        <f>VLOOKUP(M237,LUTs!E$2:H$14,4,)</f>
        <v>02South Puget Sound</v>
      </c>
      <c r="P237" s="73">
        <v>1043.1869158878501</v>
      </c>
      <c r="Q237" s="74">
        <f>VLOOKUP(B237,Readme!A$40:C$51,2,)*P237</f>
        <v>9023.5668224299043</v>
      </c>
    </row>
    <row r="238" spans="1:17" ht="14.15" customHeight="1" x14ac:dyDescent="0.35">
      <c r="A238" s="75">
        <v>237</v>
      </c>
      <c r="B238" s="64">
        <v>2010</v>
      </c>
      <c r="C238" s="64">
        <v>8</v>
      </c>
      <c r="D238" s="80">
        <f t="shared" si="9"/>
        <v>2010</v>
      </c>
      <c r="E238" t="s">
        <v>38</v>
      </c>
      <c r="F238" t="s">
        <v>143</v>
      </c>
      <c r="G238" t="s">
        <v>10</v>
      </c>
      <c r="H238" s="72" t="s">
        <v>219</v>
      </c>
      <c r="I238" s="72" t="s">
        <v>61</v>
      </c>
      <c r="J238" t="str">
        <f t="shared" si="10"/>
        <v>Skokomish River</v>
      </c>
      <c r="K238" t="str">
        <f>IFERROR(VLOOKUP(J238,LUTs!$A$1:$C$73,2,FALSE),"NA")</f>
        <v>Mason</v>
      </c>
      <c r="L238" t="str">
        <f>IFERROR(VLOOKUP(J238,LUTs!$A$1:$C$73,3,FALSE),"NA")</f>
        <v>4 Hood Canal</v>
      </c>
      <c r="M238" s="72" t="s">
        <v>23</v>
      </c>
      <c r="N238" t="str">
        <f>VLOOKUP(M238,LUTs!E$2:H$14,3,)</f>
        <v>10Kitsap</v>
      </c>
      <c r="O238" t="str">
        <f>VLOOKUP(M238,LUTs!E$2:H$14,4,)</f>
        <v>02South Puget Sound</v>
      </c>
      <c r="P238" s="73">
        <v>311.75700934579402</v>
      </c>
      <c r="Q238" s="74">
        <f>VLOOKUP(B238,Readme!A$40:C$51,2,)*P238</f>
        <v>2696.6981308411182</v>
      </c>
    </row>
    <row r="239" spans="1:17" ht="14.15" customHeight="1" x14ac:dyDescent="0.35">
      <c r="A239" s="75">
        <v>238</v>
      </c>
      <c r="B239" s="64">
        <v>2010</v>
      </c>
      <c r="C239" s="64">
        <v>8</v>
      </c>
      <c r="D239" s="80">
        <f t="shared" si="9"/>
        <v>2010</v>
      </c>
      <c r="E239" t="s">
        <v>38</v>
      </c>
      <c r="F239" t="s">
        <v>143</v>
      </c>
      <c r="G239" t="s">
        <v>10</v>
      </c>
      <c r="H239" s="72" t="s">
        <v>219</v>
      </c>
      <c r="I239" s="72" t="s">
        <v>61</v>
      </c>
      <c r="J239" t="str">
        <f t="shared" si="10"/>
        <v>Skokomish River</v>
      </c>
      <c r="K239" t="str">
        <f>IFERROR(VLOOKUP(J239,LUTs!$A$1:$C$73,2,FALSE),"NA")</f>
        <v>Mason</v>
      </c>
      <c r="L239" t="str">
        <f>IFERROR(VLOOKUP(J239,LUTs!$A$1:$C$73,3,FALSE),"NA")</f>
        <v>4 Hood Canal</v>
      </c>
      <c r="M239" s="72" t="s">
        <v>22</v>
      </c>
      <c r="N239" t="str">
        <f>VLOOKUP(M239,LUTs!E$2:H$14,3,)</f>
        <v>09Mason</v>
      </c>
      <c r="O239" t="str">
        <f>VLOOKUP(M239,LUTs!E$2:H$14,4,)</f>
        <v>02South Puget Sound</v>
      </c>
      <c r="P239" s="73">
        <v>383.70093457943898</v>
      </c>
      <c r="Q239" s="74">
        <f>VLOOKUP(B239,Readme!A$40:C$51,2,)*P239</f>
        <v>3319.0130841121472</v>
      </c>
    </row>
    <row r="240" spans="1:17" ht="14.15" customHeight="1" x14ac:dyDescent="0.35">
      <c r="A240" s="75">
        <v>239</v>
      </c>
      <c r="B240" s="64">
        <v>2010</v>
      </c>
      <c r="C240" s="64">
        <v>8</v>
      </c>
      <c r="D240" s="80">
        <f t="shared" si="9"/>
        <v>2010</v>
      </c>
      <c r="E240" t="s">
        <v>38</v>
      </c>
      <c r="F240" t="s">
        <v>143</v>
      </c>
      <c r="G240" t="s">
        <v>10</v>
      </c>
      <c r="H240" s="72" t="s">
        <v>219</v>
      </c>
      <c r="I240" s="72" t="s">
        <v>61</v>
      </c>
      <c r="J240" t="str">
        <f t="shared" si="10"/>
        <v>Skokomish River</v>
      </c>
      <c r="K240" t="str">
        <f>IFERROR(VLOOKUP(J240,LUTs!$A$1:$C$73,2,FALSE),"NA")</f>
        <v>Mason</v>
      </c>
      <c r="L240" t="str">
        <f>IFERROR(VLOOKUP(J240,LUTs!$A$1:$C$73,3,FALSE),"NA")</f>
        <v>4 Hood Canal</v>
      </c>
      <c r="M240" s="72" t="s">
        <v>26</v>
      </c>
      <c r="N240" t="str">
        <f>VLOOKUP(M240,LUTs!E$2:H$14,3,)</f>
        <v>20Other</v>
      </c>
      <c r="O240" t="str">
        <f>VLOOKUP(M240,LUTs!E$2:H$14,4,)</f>
        <v>07Non Puget Sound</v>
      </c>
      <c r="P240" s="73">
        <v>335.73831775700899</v>
      </c>
      <c r="Q240" s="74">
        <f>VLOOKUP(B240,Readme!A$40:C$51,2,)*P240</f>
        <v>2904.136448598128</v>
      </c>
    </row>
    <row r="241" spans="1:17" ht="14.15" customHeight="1" x14ac:dyDescent="0.35">
      <c r="A241" s="75">
        <v>240</v>
      </c>
      <c r="B241" s="64">
        <v>2010</v>
      </c>
      <c r="C241" s="64">
        <v>8</v>
      </c>
      <c r="D241" s="80">
        <f t="shared" si="9"/>
        <v>2010</v>
      </c>
      <c r="E241" t="s">
        <v>38</v>
      </c>
      <c r="F241" t="s">
        <v>143</v>
      </c>
      <c r="G241" t="s">
        <v>10</v>
      </c>
      <c r="H241" s="72" t="s">
        <v>219</v>
      </c>
      <c r="I241" s="72" t="s">
        <v>61</v>
      </c>
      <c r="J241" t="str">
        <f t="shared" si="10"/>
        <v>Skokomish River</v>
      </c>
      <c r="K241" t="str">
        <f>IFERROR(VLOOKUP(J241,LUTs!$A$1:$C$73,2,FALSE),"NA")</f>
        <v>Mason</v>
      </c>
      <c r="L241" t="str">
        <f>IFERROR(VLOOKUP(J241,LUTs!$A$1:$C$73,3,FALSE),"NA")</f>
        <v>4 Hood Canal</v>
      </c>
      <c r="M241" s="72" t="s">
        <v>20</v>
      </c>
      <c r="N241" t="str">
        <f>VLOOKUP(M241,LUTs!E$2:H$14,3,)</f>
        <v>07Pierce</v>
      </c>
      <c r="O241" t="str">
        <f>VLOOKUP(M241,LUTs!E$2:H$14,4,)</f>
        <v>02South Puget Sound</v>
      </c>
      <c r="P241" s="73">
        <v>1978.45794392523</v>
      </c>
      <c r="Q241" s="74">
        <f>VLOOKUP(B241,Readme!A$40:C$51,2,)*P241</f>
        <v>17113.661214953241</v>
      </c>
    </row>
    <row r="242" spans="1:17" ht="14.15" customHeight="1" x14ac:dyDescent="0.35">
      <c r="A242" s="75">
        <v>241</v>
      </c>
      <c r="B242" s="64">
        <v>2010</v>
      </c>
      <c r="C242" s="64">
        <v>8</v>
      </c>
      <c r="D242" s="80">
        <f t="shared" si="9"/>
        <v>2010</v>
      </c>
      <c r="E242" t="s">
        <v>38</v>
      </c>
      <c r="F242" t="s">
        <v>143</v>
      </c>
      <c r="G242" t="s">
        <v>10</v>
      </c>
      <c r="H242" s="72" t="s">
        <v>219</v>
      </c>
      <c r="I242" s="72" t="s">
        <v>61</v>
      </c>
      <c r="J242" t="str">
        <f t="shared" si="10"/>
        <v>Skokomish River</v>
      </c>
      <c r="K242" t="str">
        <f>IFERROR(VLOOKUP(J242,LUTs!$A$1:$C$73,2,FALSE),"NA")</f>
        <v>Mason</v>
      </c>
      <c r="L242" t="str">
        <f>IFERROR(VLOOKUP(J242,LUTs!$A$1:$C$73,3,FALSE),"NA")</f>
        <v>4 Hood Canal</v>
      </c>
      <c r="M242" s="72" t="s">
        <v>16</v>
      </c>
      <c r="N242" t="str">
        <f>VLOOKUP(M242,LUTs!E$2:H$14,3,)</f>
        <v>03Snohomish</v>
      </c>
      <c r="O242" t="str">
        <f>VLOOKUP(M242,LUTs!E$2:H$14,4,)</f>
        <v>01North Puget Sound</v>
      </c>
      <c r="P242" s="73">
        <v>113.911214953271</v>
      </c>
      <c r="Q242" s="74">
        <f>VLOOKUP(B242,Readme!A$40:C$51,2,)*P242</f>
        <v>985.33200934579418</v>
      </c>
    </row>
    <row r="243" spans="1:17" ht="14.15" customHeight="1" x14ac:dyDescent="0.35">
      <c r="A243" s="75">
        <v>242</v>
      </c>
      <c r="B243" s="64">
        <v>2010</v>
      </c>
      <c r="C243" s="64">
        <v>8</v>
      </c>
      <c r="D243" s="80">
        <f t="shared" si="9"/>
        <v>2010</v>
      </c>
      <c r="E243" t="s">
        <v>38</v>
      </c>
      <c r="F243" t="s">
        <v>143</v>
      </c>
      <c r="G243" t="s">
        <v>10</v>
      </c>
      <c r="H243" s="72" t="s">
        <v>219</v>
      </c>
      <c r="I243" s="72" t="s">
        <v>61</v>
      </c>
      <c r="J243" t="str">
        <f t="shared" si="10"/>
        <v>Skokomish River</v>
      </c>
      <c r="K243" t="str">
        <f>IFERROR(VLOOKUP(J243,LUTs!$A$1:$C$73,2,FALSE),"NA")</f>
        <v>Mason</v>
      </c>
      <c r="L243" t="str">
        <f>IFERROR(VLOOKUP(J243,LUTs!$A$1:$C$73,3,FALSE),"NA")</f>
        <v>4 Hood Canal</v>
      </c>
      <c r="M243" s="72" t="s">
        <v>21</v>
      </c>
      <c r="N243" t="str">
        <f>VLOOKUP(M243,LUTs!E$2:H$14,3,)</f>
        <v>08Thurston</v>
      </c>
      <c r="O243" t="str">
        <f>VLOOKUP(M243,LUTs!E$2:H$14,4,)</f>
        <v>02South Puget Sound</v>
      </c>
      <c r="P243" s="73">
        <v>869.32242990654197</v>
      </c>
      <c r="Q243" s="74">
        <f>VLOOKUP(B243,Readme!A$40:C$51,2,)*P243</f>
        <v>7519.6390186915887</v>
      </c>
    </row>
    <row r="244" spans="1:17" ht="14.15" customHeight="1" x14ac:dyDescent="0.35">
      <c r="A244" s="75">
        <v>243</v>
      </c>
      <c r="B244" s="64">
        <v>2010</v>
      </c>
      <c r="C244" s="64">
        <v>8</v>
      </c>
      <c r="D244" s="80">
        <f t="shared" si="9"/>
        <v>2010</v>
      </c>
      <c r="E244" t="s">
        <v>38</v>
      </c>
      <c r="F244" t="s">
        <v>143</v>
      </c>
      <c r="G244" t="s">
        <v>10</v>
      </c>
      <c r="H244" s="72" t="s">
        <v>219</v>
      </c>
      <c r="I244" s="72" t="s">
        <v>61</v>
      </c>
      <c r="J244" t="str">
        <f t="shared" si="10"/>
        <v>Skokomish River</v>
      </c>
      <c r="K244" t="str">
        <f>IFERROR(VLOOKUP(J244,LUTs!$A$1:$C$73,2,FALSE),"NA")</f>
        <v>Mason</v>
      </c>
      <c r="L244" t="str">
        <f>IFERROR(VLOOKUP(J244,LUTs!$A$1:$C$73,3,FALSE),"NA")</f>
        <v>4 Hood Canal</v>
      </c>
      <c r="M244" s="72" t="s">
        <v>13</v>
      </c>
      <c r="N244" t="str">
        <f>VLOOKUP(M244,LUTs!E$2:H$14,3,)</f>
        <v>01Whatcom</v>
      </c>
      <c r="O244" t="str">
        <f>VLOOKUP(M244,LUTs!E$2:H$14,4,)</f>
        <v>01North Puget Sound</v>
      </c>
      <c r="P244" s="73">
        <v>23.981308411215</v>
      </c>
      <c r="Q244" s="74">
        <f>VLOOKUP(B244,Readme!A$40:C$51,2,)*P244</f>
        <v>207.43831775700977</v>
      </c>
    </row>
    <row r="245" spans="1:17" ht="14.15" customHeight="1" x14ac:dyDescent="0.35">
      <c r="A245" s="75">
        <v>244</v>
      </c>
      <c r="B245" s="64">
        <v>2010</v>
      </c>
      <c r="C245" s="64">
        <v>9</v>
      </c>
      <c r="D245" s="80">
        <f t="shared" si="9"/>
        <v>2010</v>
      </c>
      <c r="E245" t="s">
        <v>38</v>
      </c>
      <c r="F245" t="s">
        <v>143</v>
      </c>
      <c r="G245" t="s">
        <v>10</v>
      </c>
      <c r="H245" s="72" t="s">
        <v>219</v>
      </c>
      <c r="I245" s="72" t="s">
        <v>61</v>
      </c>
      <c r="J245" t="str">
        <f t="shared" si="10"/>
        <v>Skokomish River</v>
      </c>
      <c r="K245" t="str">
        <f>IFERROR(VLOOKUP(J245,LUTs!$A$1:$C$73,2,FALSE),"NA")</f>
        <v>Mason</v>
      </c>
      <c r="L245" t="str">
        <f>IFERROR(VLOOKUP(J245,LUTs!$A$1:$C$73,3,FALSE),"NA")</f>
        <v>4 Hood Canal</v>
      </c>
      <c r="M245" s="72" t="s">
        <v>18</v>
      </c>
      <c r="N245" t="str">
        <f>VLOOKUP(M245,LUTs!E$2:H$14,3,)</f>
        <v>06King</v>
      </c>
      <c r="O245" t="str">
        <f>VLOOKUP(M245,LUTs!E$2:H$14,4,)</f>
        <v>02South Puget Sound</v>
      </c>
      <c r="P245" s="73">
        <v>281.29145728643198</v>
      </c>
      <c r="Q245" s="74">
        <f>VLOOKUP(B245,Readme!A$40:C$51,2,)*P245</f>
        <v>2433.1711055276369</v>
      </c>
    </row>
    <row r="246" spans="1:17" ht="14.15" customHeight="1" x14ac:dyDescent="0.35">
      <c r="A246" s="75">
        <v>245</v>
      </c>
      <c r="B246" s="64">
        <v>2010</v>
      </c>
      <c r="C246" s="64">
        <v>9</v>
      </c>
      <c r="D246" s="80">
        <f t="shared" si="9"/>
        <v>2010</v>
      </c>
      <c r="E246" t="s">
        <v>38</v>
      </c>
      <c r="F246" t="s">
        <v>143</v>
      </c>
      <c r="G246" t="s">
        <v>10</v>
      </c>
      <c r="H246" s="72" t="s">
        <v>219</v>
      </c>
      <c r="I246" s="72" t="s">
        <v>61</v>
      </c>
      <c r="J246" t="str">
        <f t="shared" si="10"/>
        <v>Skokomish River</v>
      </c>
      <c r="K246" t="str">
        <f>IFERROR(VLOOKUP(J246,LUTs!$A$1:$C$73,2,FALSE),"NA")</f>
        <v>Mason</v>
      </c>
      <c r="L246" t="str">
        <f>IFERROR(VLOOKUP(J246,LUTs!$A$1:$C$73,3,FALSE),"NA")</f>
        <v>4 Hood Canal</v>
      </c>
      <c r="M246" s="72" t="s">
        <v>23</v>
      </c>
      <c r="N246" t="str">
        <f>VLOOKUP(M246,LUTs!E$2:H$14,3,)</f>
        <v>10Kitsap</v>
      </c>
      <c r="O246" t="str">
        <f>VLOOKUP(M246,LUTs!E$2:H$14,4,)</f>
        <v>02South Puget Sound</v>
      </c>
      <c r="P246" s="73">
        <v>137.65326633165799</v>
      </c>
      <c r="Q246" s="74">
        <f>VLOOKUP(B246,Readme!A$40:C$51,2,)*P246</f>
        <v>1190.7007537688417</v>
      </c>
    </row>
    <row r="247" spans="1:17" ht="14.15" customHeight="1" x14ac:dyDescent="0.35">
      <c r="A247" s="75">
        <v>246</v>
      </c>
      <c r="B247" s="64">
        <v>2010</v>
      </c>
      <c r="C247" s="64">
        <v>9</v>
      </c>
      <c r="D247" s="80">
        <f t="shared" si="9"/>
        <v>2010</v>
      </c>
      <c r="E247" t="s">
        <v>38</v>
      </c>
      <c r="F247" t="s">
        <v>143</v>
      </c>
      <c r="G247" t="s">
        <v>10</v>
      </c>
      <c r="H247" s="72" t="s">
        <v>219</v>
      </c>
      <c r="I247" s="72" t="s">
        <v>61</v>
      </c>
      <c r="J247" t="str">
        <f t="shared" si="10"/>
        <v>Skokomish River</v>
      </c>
      <c r="K247" t="str">
        <f>IFERROR(VLOOKUP(J247,LUTs!$A$1:$C$73,2,FALSE),"NA")</f>
        <v>Mason</v>
      </c>
      <c r="L247" t="str">
        <f>IFERROR(VLOOKUP(J247,LUTs!$A$1:$C$73,3,FALSE),"NA")</f>
        <v>4 Hood Canal</v>
      </c>
      <c r="M247" s="72" t="s">
        <v>22</v>
      </c>
      <c r="N247" t="str">
        <f>VLOOKUP(M247,LUTs!E$2:H$14,3,)</f>
        <v>09Mason</v>
      </c>
      <c r="O247" t="str">
        <f>VLOOKUP(M247,LUTs!E$2:H$14,4,)</f>
        <v>02South Puget Sound</v>
      </c>
      <c r="P247" s="73">
        <v>119.698492462312</v>
      </c>
      <c r="Q247" s="74">
        <f>VLOOKUP(B247,Readme!A$40:C$51,2,)*P247</f>
        <v>1035.3919597989989</v>
      </c>
    </row>
    <row r="248" spans="1:17" ht="14.15" customHeight="1" x14ac:dyDescent="0.35">
      <c r="A248" s="75">
        <v>247</v>
      </c>
      <c r="B248" s="64">
        <v>2010</v>
      </c>
      <c r="C248" s="64">
        <v>9</v>
      </c>
      <c r="D248" s="80">
        <f t="shared" si="9"/>
        <v>2010</v>
      </c>
      <c r="E248" t="s">
        <v>38</v>
      </c>
      <c r="F248" t="s">
        <v>143</v>
      </c>
      <c r="G248" t="s">
        <v>10</v>
      </c>
      <c r="H248" s="72" t="s">
        <v>219</v>
      </c>
      <c r="I248" s="72" t="s">
        <v>61</v>
      </c>
      <c r="J248" t="str">
        <f t="shared" si="10"/>
        <v>Skokomish River</v>
      </c>
      <c r="K248" t="str">
        <f>IFERROR(VLOOKUP(J248,LUTs!$A$1:$C$73,2,FALSE),"NA")</f>
        <v>Mason</v>
      </c>
      <c r="L248" t="str">
        <f>IFERROR(VLOOKUP(J248,LUTs!$A$1:$C$73,3,FALSE),"NA")</f>
        <v>4 Hood Canal</v>
      </c>
      <c r="M248" s="72" t="s">
        <v>26</v>
      </c>
      <c r="N248" t="str">
        <f>VLOOKUP(M248,LUTs!E$2:H$14,3,)</f>
        <v>20Other</v>
      </c>
      <c r="O248" t="str">
        <f>VLOOKUP(M248,LUTs!E$2:H$14,4,)</f>
        <v>07Non Puget Sound</v>
      </c>
      <c r="P248" s="73">
        <v>41.8944723618091</v>
      </c>
      <c r="Q248" s="74">
        <f>VLOOKUP(B248,Readme!A$40:C$51,2,)*P248</f>
        <v>362.38718592964875</v>
      </c>
    </row>
    <row r="249" spans="1:17" ht="14.15" customHeight="1" x14ac:dyDescent="0.35">
      <c r="A249" s="75">
        <v>248</v>
      </c>
      <c r="B249" s="64">
        <v>2010</v>
      </c>
      <c r="C249" s="64">
        <v>9</v>
      </c>
      <c r="D249" s="80">
        <f t="shared" si="9"/>
        <v>2010</v>
      </c>
      <c r="E249" t="s">
        <v>38</v>
      </c>
      <c r="F249" t="s">
        <v>143</v>
      </c>
      <c r="G249" t="s">
        <v>10</v>
      </c>
      <c r="H249" s="72" t="s">
        <v>219</v>
      </c>
      <c r="I249" s="72" t="s">
        <v>61</v>
      </c>
      <c r="J249" t="str">
        <f t="shared" si="10"/>
        <v>Skokomish River</v>
      </c>
      <c r="K249" t="str">
        <f>IFERROR(VLOOKUP(J249,LUTs!$A$1:$C$73,2,FALSE),"NA")</f>
        <v>Mason</v>
      </c>
      <c r="L249" t="str">
        <f>IFERROR(VLOOKUP(J249,LUTs!$A$1:$C$73,3,FALSE),"NA")</f>
        <v>4 Hood Canal</v>
      </c>
      <c r="M249" s="72" t="s">
        <v>20</v>
      </c>
      <c r="N249" t="str">
        <f>VLOOKUP(M249,LUTs!E$2:H$14,3,)</f>
        <v>07Pierce</v>
      </c>
      <c r="O249" t="str">
        <f>VLOOKUP(M249,LUTs!E$2:H$14,4,)</f>
        <v>02South Puget Sound</v>
      </c>
      <c r="P249" s="73">
        <v>269.321608040201</v>
      </c>
      <c r="Q249" s="74">
        <f>VLOOKUP(B249,Readme!A$40:C$51,2,)*P249</f>
        <v>2329.6319095477388</v>
      </c>
    </row>
    <row r="250" spans="1:17" ht="14.15" customHeight="1" x14ac:dyDescent="0.35">
      <c r="A250" s="75">
        <v>249</v>
      </c>
      <c r="B250" s="64">
        <v>2010</v>
      </c>
      <c r="C250" s="64">
        <v>9</v>
      </c>
      <c r="D250" s="80">
        <f t="shared" si="9"/>
        <v>2010</v>
      </c>
      <c r="E250" t="s">
        <v>38</v>
      </c>
      <c r="F250" t="s">
        <v>143</v>
      </c>
      <c r="G250" t="s">
        <v>10</v>
      </c>
      <c r="H250" s="72" t="s">
        <v>219</v>
      </c>
      <c r="I250" s="72" t="s">
        <v>61</v>
      </c>
      <c r="J250" t="str">
        <f t="shared" si="10"/>
        <v>Skokomish River</v>
      </c>
      <c r="K250" t="str">
        <f>IFERROR(VLOOKUP(J250,LUTs!$A$1:$C$73,2,FALSE),"NA")</f>
        <v>Mason</v>
      </c>
      <c r="L250" t="str">
        <f>IFERROR(VLOOKUP(J250,LUTs!$A$1:$C$73,3,FALSE),"NA")</f>
        <v>4 Hood Canal</v>
      </c>
      <c r="M250" s="72" t="s">
        <v>16</v>
      </c>
      <c r="N250" t="str">
        <f>VLOOKUP(M250,LUTs!E$2:H$14,3,)</f>
        <v>03Snohomish</v>
      </c>
      <c r="O250" t="str">
        <f>VLOOKUP(M250,LUTs!E$2:H$14,4,)</f>
        <v>01North Puget Sound</v>
      </c>
      <c r="P250" s="73">
        <v>11.969849246231201</v>
      </c>
      <c r="Q250" s="74">
        <f>VLOOKUP(B250,Readme!A$40:C$51,2,)*P250</f>
        <v>103.53919597989989</v>
      </c>
    </row>
    <row r="251" spans="1:17" ht="14.15" customHeight="1" x14ac:dyDescent="0.35">
      <c r="A251" s="75">
        <v>250</v>
      </c>
      <c r="B251" s="64">
        <v>2010</v>
      </c>
      <c r="C251" s="64">
        <v>9</v>
      </c>
      <c r="D251" s="80">
        <f t="shared" si="9"/>
        <v>2010</v>
      </c>
      <c r="E251" t="s">
        <v>38</v>
      </c>
      <c r="F251" t="s">
        <v>143</v>
      </c>
      <c r="G251" t="s">
        <v>10</v>
      </c>
      <c r="H251" s="72" t="s">
        <v>219</v>
      </c>
      <c r="I251" s="72" t="s">
        <v>61</v>
      </c>
      <c r="J251" t="str">
        <f t="shared" si="10"/>
        <v>Skokomish River</v>
      </c>
      <c r="K251" t="str">
        <f>IFERROR(VLOOKUP(J251,LUTs!$A$1:$C$73,2,FALSE),"NA")</f>
        <v>Mason</v>
      </c>
      <c r="L251" t="str">
        <f>IFERROR(VLOOKUP(J251,LUTs!$A$1:$C$73,3,FALSE),"NA")</f>
        <v>4 Hood Canal</v>
      </c>
      <c r="M251" s="72" t="s">
        <v>21</v>
      </c>
      <c r="N251" t="str">
        <f>VLOOKUP(M251,LUTs!E$2:H$14,3,)</f>
        <v>08Thurston</v>
      </c>
      <c r="O251" t="str">
        <f>VLOOKUP(M251,LUTs!E$2:H$14,4,)</f>
        <v>02South Puget Sound</v>
      </c>
      <c r="P251" s="73">
        <v>329.17085427135697</v>
      </c>
      <c r="Q251" s="74">
        <f>VLOOKUP(B251,Readme!A$40:C$51,2,)*P251</f>
        <v>2847.3278894472378</v>
      </c>
    </row>
    <row r="252" spans="1:17" ht="14.15" customHeight="1" x14ac:dyDescent="0.35">
      <c r="A252" s="75">
        <v>251</v>
      </c>
      <c r="B252" s="64">
        <v>2010</v>
      </c>
      <c r="C252" s="64">
        <v>10</v>
      </c>
      <c r="D252" s="80">
        <f t="shared" si="9"/>
        <v>2010</v>
      </c>
      <c r="E252" t="s">
        <v>38</v>
      </c>
      <c r="F252" t="s">
        <v>143</v>
      </c>
      <c r="G252" t="s">
        <v>10</v>
      </c>
      <c r="H252" s="72" t="s">
        <v>219</v>
      </c>
      <c r="I252" s="72" t="s">
        <v>61</v>
      </c>
      <c r="J252" t="str">
        <f t="shared" si="10"/>
        <v>Skokomish River</v>
      </c>
      <c r="K252" t="str">
        <f>IFERROR(VLOOKUP(J252,LUTs!$A$1:$C$73,2,FALSE),"NA")</f>
        <v>Mason</v>
      </c>
      <c r="L252" t="str">
        <f>IFERROR(VLOOKUP(J252,LUTs!$A$1:$C$73,3,FALSE),"NA")</f>
        <v>4 Hood Canal</v>
      </c>
      <c r="M252" s="72" t="s">
        <v>24</v>
      </c>
      <c r="N252" t="str">
        <f>VLOOKUP(M252,LUTs!E$2:H$14,3,)</f>
        <v>11Clallam</v>
      </c>
      <c r="O252" t="str">
        <f>VLOOKUP(M252,LUTs!E$2:H$14,4,)</f>
        <v>03Strait of Juan de Fuca</v>
      </c>
      <c r="P252" s="73">
        <v>17.890243902439</v>
      </c>
      <c r="Q252" s="74">
        <f>VLOOKUP(B252,Readme!A$40:C$51,2,)*P252</f>
        <v>154.75060975609736</v>
      </c>
    </row>
    <row r="253" spans="1:17" ht="14.15" customHeight="1" x14ac:dyDescent="0.35">
      <c r="A253" s="75">
        <v>252</v>
      </c>
      <c r="B253" s="64">
        <v>2010</v>
      </c>
      <c r="C253" s="64">
        <v>10</v>
      </c>
      <c r="D253" s="80">
        <f t="shared" si="9"/>
        <v>2010</v>
      </c>
      <c r="E253" t="s">
        <v>38</v>
      </c>
      <c r="F253" t="s">
        <v>143</v>
      </c>
      <c r="G253" t="s">
        <v>10</v>
      </c>
      <c r="H253" s="72" t="s">
        <v>219</v>
      </c>
      <c r="I253" s="72" t="s">
        <v>61</v>
      </c>
      <c r="J253" t="str">
        <f t="shared" si="10"/>
        <v>Skokomish River</v>
      </c>
      <c r="K253" t="str">
        <f>IFERROR(VLOOKUP(J253,LUTs!$A$1:$C$73,2,FALSE),"NA")</f>
        <v>Mason</v>
      </c>
      <c r="L253" t="str">
        <f>IFERROR(VLOOKUP(J253,LUTs!$A$1:$C$73,3,FALSE),"NA")</f>
        <v>4 Hood Canal</v>
      </c>
      <c r="M253" s="72" t="s">
        <v>17</v>
      </c>
      <c r="N253" t="str">
        <f>VLOOKUP(M253,LUTs!E$2:H$14,3,)</f>
        <v>04Island</v>
      </c>
      <c r="O253" t="str">
        <f>VLOOKUP(M253,LUTs!E$2:H$14,4,)</f>
        <v>01North Puget Sound</v>
      </c>
      <c r="P253" s="73">
        <v>11.9268292682927</v>
      </c>
      <c r="Q253" s="74">
        <f>VLOOKUP(B253,Readme!A$40:C$51,2,)*P253</f>
        <v>103.16707317073185</v>
      </c>
    </row>
    <row r="254" spans="1:17" ht="14.15" customHeight="1" x14ac:dyDescent="0.35">
      <c r="A254" s="75">
        <v>253</v>
      </c>
      <c r="B254" s="64">
        <v>2010</v>
      </c>
      <c r="C254" s="64">
        <v>10</v>
      </c>
      <c r="D254" s="80">
        <f t="shared" si="9"/>
        <v>2010</v>
      </c>
      <c r="E254" t="s">
        <v>38</v>
      </c>
      <c r="F254" t="s">
        <v>143</v>
      </c>
      <c r="G254" t="s">
        <v>10</v>
      </c>
      <c r="H254" s="72" t="s">
        <v>219</v>
      </c>
      <c r="I254" s="72" t="s">
        <v>61</v>
      </c>
      <c r="J254" t="str">
        <f t="shared" si="10"/>
        <v>Skokomish River</v>
      </c>
      <c r="K254" t="str">
        <f>IFERROR(VLOOKUP(J254,LUTs!$A$1:$C$73,2,FALSE),"NA")</f>
        <v>Mason</v>
      </c>
      <c r="L254" t="str">
        <f>IFERROR(VLOOKUP(J254,LUTs!$A$1:$C$73,3,FALSE),"NA")</f>
        <v>4 Hood Canal</v>
      </c>
      <c r="M254" s="72" t="s">
        <v>18</v>
      </c>
      <c r="N254" t="str">
        <f>VLOOKUP(M254,LUTs!E$2:H$14,3,)</f>
        <v>06King</v>
      </c>
      <c r="O254" t="str">
        <f>VLOOKUP(M254,LUTs!E$2:H$14,4,)</f>
        <v>02South Puget Sound</v>
      </c>
      <c r="P254" s="73">
        <v>172.93902439024399</v>
      </c>
      <c r="Q254" s="74">
        <f>VLOOKUP(B254,Readme!A$40:C$51,2,)*P254</f>
        <v>1495.9225609756106</v>
      </c>
    </row>
    <row r="255" spans="1:17" ht="14.15" customHeight="1" x14ac:dyDescent="0.35">
      <c r="A255" s="75">
        <v>254</v>
      </c>
      <c r="B255" s="64">
        <v>2010</v>
      </c>
      <c r="C255" s="64">
        <v>10</v>
      </c>
      <c r="D255" s="80">
        <f t="shared" si="9"/>
        <v>2010</v>
      </c>
      <c r="E255" t="s">
        <v>38</v>
      </c>
      <c r="F255" t="s">
        <v>143</v>
      </c>
      <c r="G255" t="s">
        <v>10</v>
      </c>
      <c r="H255" s="72" t="s">
        <v>219</v>
      </c>
      <c r="I255" s="72" t="s">
        <v>61</v>
      </c>
      <c r="J255" t="str">
        <f t="shared" si="10"/>
        <v>Skokomish River</v>
      </c>
      <c r="K255" t="str">
        <f>IFERROR(VLOOKUP(J255,LUTs!$A$1:$C$73,2,FALSE),"NA")</f>
        <v>Mason</v>
      </c>
      <c r="L255" t="str">
        <f>IFERROR(VLOOKUP(J255,LUTs!$A$1:$C$73,3,FALSE),"NA")</f>
        <v>4 Hood Canal</v>
      </c>
      <c r="M255" s="72" t="s">
        <v>23</v>
      </c>
      <c r="N255" t="str">
        <f>VLOOKUP(M255,LUTs!E$2:H$14,3,)</f>
        <v>10Kitsap</v>
      </c>
      <c r="O255" t="str">
        <f>VLOOKUP(M255,LUTs!E$2:H$14,4,)</f>
        <v>02South Puget Sound</v>
      </c>
      <c r="P255" s="73">
        <v>95.414634146341498</v>
      </c>
      <c r="Q255" s="74">
        <f>VLOOKUP(B255,Readme!A$40:C$51,2,)*P255</f>
        <v>825.33658536585403</v>
      </c>
    </row>
    <row r="256" spans="1:17" ht="14.15" customHeight="1" x14ac:dyDescent="0.35">
      <c r="A256" s="75">
        <v>255</v>
      </c>
      <c r="B256" s="64">
        <v>2010</v>
      </c>
      <c r="C256" s="64">
        <v>10</v>
      </c>
      <c r="D256" s="80">
        <f t="shared" si="9"/>
        <v>2010</v>
      </c>
      <c r="E256" t="s">
        <v>38</v>
      </c>
      <c r="F256" t="s">
        <v>143</v>
      </c>
      <c r="G256" t="s">
        <v>10</v>
      </c>
      <c r="H256" s="72" t="s">
        <v>219</v>
      </c>
      <c r="I256" s="72" t="s">
        <v>61</v>
      </c>
      <c r="J256" t="str">
        <f t="shared" si="10"/>
        <v>Skokomish River</v>
      </c>
      <c r="K256" t="str">
        <f>IFERROR(VLOOKUP(J256,LUTs!$A$1:$C$73,2,FALSE),"NA")</f>
        <v>Mason</v>
      </c>
      <c r="L256" t="str">
        <f>IFERROR(VLOOKUP(J256,LUTs!$A$1:$C$73,3,FALSE),"NA")</f>
        <v>4 Hood Canal</v>
      </c>
      <c r="M256" s="72" t="s">
        <v>22</v>
      </c>
      <c r="N256" t="str">
        <f>VLOOKUP(M256,LUTs!E$2:H$14,3,)</f>
        <v>09Mason</v>
      </c>
      <c r="O256" t="str">
        <f>VLOOKUP(M256,LUTs!E$2:H$14,4,)</f>
        <v>02South Puget Sound</v>
      </c>
      <c r="P256" s="73">
        <v>47.707317073170699</v>
      </c>
      <c r="Q256" s="74">
        <f>VLOOKUP(B256,Readme!A$40:C$51,2,)*P256</f>
        <v>412.66829268292656</v>
      </c>
    </row>
    <row r="257" spans="1:17" ht="14.15" customHeight="1" x14ac:dyDescent="0.35">
      <c r="A257" s="75">
        <v>256</v>
      </c>
      <c r="B257" s="64">
        <v>2010</v>
      </c>
      <c r="C257" s="64">
        <v>10</v>
      </c>
      <c r="D257" s="80">
        <f t="shared" si="9"/>
        <v>2010</v>
      </c>
      <c r="E257" t="s">
        <v>38</v>
      </c>
      <c r="F257" t="s">
        <v>143</v>
      </c>
      <c r="G257" t="s">
        <v>10</v>
      </c>
      <c r="H257" s="72" t="s">
        <v>219</v>
      </c>
      <c r="I257" s="72" t="s">
        <v>61</v>
      </c>
      <c r="J257" t="str">
        <f t="shared" si="10"/>
        <v>Skokomish River</v>
      </c>
      <c r="K257" t="str">
        <f>IFERROR(VLOOKUP(J257,LUTs!$A$1:$C$73,2,FALSE),"NA")</f>
        <v>Mason</v>
      </c>
      <c r="L257" t="str">
        <f>IFERROR(VLOOKUP(J257,LUTs!$A$1:$C$73,3,FALSE),"NA")</f>
        <v>4 Hood Canal</v>
      </c>
      <c r="M257" s="72" t="s">
        <v>26</v>
      </c>
      <c r="N257" t="str">
        <f>VLOOKUP(M257,LUTs!E$2:H$14,3,)</f>
        <v>20Other</v>
      </c>
      <c r="O257" t="str">
        <f>VLOOKUP(M257,LUTs!E$2:H$14,4,)</f>
        <v>07Non Puget Sound</v>
      </c>
      <c r="P257" s="73">
        <v>41.743902439024403</v>
      </c>
      <c r="Q257" s="74">
        <f>VLOOKUP(B257,Readme!A$40:C$51,2,)*P257</f>
        <v>361.08475609756113</v>
      </c>
    </row>
    <row r="258" spans="1:17" ht="14.15" customHeight="1" x14ac:dyDescent="0.35">
      <c r="A258" s="75">
        <v>257</v>
      </c>
      <c r="B258" s="64">
        <v>2010</v>
      </c>
      <c r="C258" s="64">
        <v>10</v>
      </c>
      <c r="D258" s="80">
        <f t="shared" ref="D258:D321" si="11">IF(C258&gt;3,B258,B258-1)</f>
        <v>2010</v>
      </c>
      <c r="E258" t="s">
        <v>38</v>
      </c>
      <c r="F258" t="s">
        <v>143</v>
      </c>
      <c r="G258" t="s">
        <v>10</v>
      </c>
      <c r="H258" s="72" t="s">
        <v>219</v>
      </c>
      <c r="I258" s="72" t="s">
        <v>61</v>
      </c>
      <c r="J258" t="str">
        <f t="shared" si="10"/>
        <v>Skokomish River</v>
      </c>
      <c r="K258" t="str">
        <f>IFERROR(VLOOKUP(J258,LUTs!$A$1:$C$73,2,FALSE),"NA")</f>
        <v>Mason</v>
      </c>
      <c r="L258" t="str">
        <f>IFERROR(VLOOKUP(J258,LUTs!$A$1:$C$73,3,FALSE),"NA")</f>
        <v>4 Hood Canal</v>
      </c>
      <c r="M258" s="72" t="s">
        <v>20</v>
      </c>
      <c r="N258" t="str">
        <f>VLOOKUP(M258,LUTs!E$2:H$14,3,)</f>
        <v>07Pierce</v>
      </c>
      <c r="O258" t="str">
        <f>VLOOKUP(M258,LUTs!E$2:H$14,4,)</f>
        <v>02South Puget Sound</v>
      </c>
      <c r="P258" s="73">
        <v>322.02439024390299</v>
      </c>
      <c r="Q258" s="74">
        <f>VLOOKUP(B258,Readme!A$40:C$51,2,)*P258</f>
        <v>2785.5109756097609</v>
      </c>
    </row>
    <row r="259" spans="1:17" ht="14.15" customHeight="1" x14ac:dyDescent="0.35">
      <c r="A259" s="75">
        <v>258</v>
      </c>
      <c r="B259" s="64">
        <v>2010</v>
      </c>
      <c r="C259" s="64">
        <v>10</v>
      </c>
      <c r="D259" s="80">
        <f t="shared" si="11"/>
        <v>2010</v>
      </c>
      <c r="E259" t="s">
        <v>38</v>
      </c>
      <c r="F259" t="s">
        <v>143</v>
      </c>
      <c r="G259" t="s">
        <v>10</v>
      </c>
      <c r="H259" s="72" t="s">
        <v>219</v>
      </c>
      <c r="I259" s="72" t="s">
        <v>61</v>
      </c>
      <c r="J259" t="str">
        <f t="shared" ref="J259:J322" si="12">I259</f>
        <v>Skokomish River</v>
      </c>
      <c r="K259" t="str">
        <f>IFERROR(VLOOKUP(J259,LUTs!$A$1:$C$73,2,FALSE),"NA")</f>
        <v>Mason</v>
      </c>
      <c r="L259" t="str">
        <f>IFERROR(VLOOKUP(J259,LUTs!$A$1:$C$73,3,FALSE),"NA")</f>
        <v>4 Hood Canal</v>
      </c>
      <c r="M259" s="72" t="s">
        <v>15</v>
      </c>
      <c r="N259" t="str">
        <f>VLOOKUP(M259,LUTs!E$2:H$14,3,)</f>
        <v>02Skagit</v>
      </c>
      <c r="O259" t="str">
        <f>VLOOKUP(M259,LUTs!E$2:H$14,4,)</f>
        <v>01North Puget Sound</v>
      </c>
      <c r="P259" s="73">
        <v>11.9268292682927</v>
      </c>
      <c r="Q259" s="74">
        <f>VLOOKUP(B259,Readme!A$40:C$51,2,)*P259</f>
        <v>103.16707317073185</v>
      </c>
    </row>
    <row r="260" spans="1:17" ht="14.15" customHeight="1" x14ac:dyDescent="0.35">
      <c r="A260" s="75">
        <v>259</v>
      </c>
      <c r="B260" s="64">
        <v>2010</v>
      </c>
      <c r="C260" s="64">
        <v>10</v>
      </c>
      <c r="D260" s="80">
        <f t="shared" si="11"/>
        <v>2010</v>
      </c>
      <c r="E260" t="s">
        <v>38</v>
      </c>
      <c r="F260" t="s">
        <v>143</v>
      </c>
      <c r="G260" t="s">
        <v>10</v>
      </c>
      <c r="H260" s="72" t="s">
        <v>219</v>
      </c>
      <c r="I260" s="72" t="s">
        <v>61</v>
      </c>
      <c r="J260" t="str">
        <f t="shared" si="12"/>
        <v>Skokomish River</v>
      </c>
      <c r="K260" t="str">
        <f>IFERROR(VLOOKUP(J260,LUTs!$A$1:$C$73,2,FALSE),"NA")</f>
        <v>Mason</v>
      </c>
      <c r="L260" t="str">
        <f>IFERROR(VLOOKUP(J260,LUTs!$A$1:$C$73,3,FALSE),"NA")</f>
        <v>4 Hood Canal</v>
      </c>
      <c r="M260" s="72" t="s">
        <v>16</v>
      </c>
      <c r="N260" t="str">
        <f>VLOOKUP(M260,LUTs!E$2:H$14,3,)</f>
        <v>03Snohomish</v>
      </c>
      <c r="O260" t="str">
        <f>VLOOKUP(M260,LUTs!E$2:H$14,4,)</f>
        <v>01North Puget Sound</v>
      </c>
      <c r="P260" s="73">
        <v>17.890243902439</v>
      </c>
      <c r="Q260" s="74">
        <f>VLOOKUP(B260,Readme!A$40:C$51,2,)*P260</f>
        <v>154.75060975609736</v>
      </c>
    </row>
    <row r="261" spans="1:17" ht="14.15" customHeight="1" x14ac:dyDescent="0.35">
      <c r="A261" s="75">
        <v>260</v>
      </c>
      <c r="B261" s="64">
        <v>2010</v>
      </c>
      <c r="C261" s="64">
        <v>10</v>
      </c>
      <c r="D261" s="80">
        <f t="shared" si="11"/>
        <v>2010</v>
      </c>
      <c r="E261" t="s">
        <v>38</v>
      </c>
      <c r="F261" t="s">
        <v>143</v>
      </c>
      <c r="G261" t="s">
        <v>10</v>
      </c>
      <c r="H261" s="72" t="s">
        <v>219</v>
      </c>
      <c r="I261" s="72" t="s">
        <v>61</v>
      </c>
      <c r="J261" t="str">
        <f t="shared" si="12"/>
        <v>Skokomish River</v>
      </c>
      <c r="K261" t="str">
        <f>IFERROR(VLOOKUP(J261,LUTs!$A$1:$C$73,2,FALSE),"NA")</f>
        <v>Mason</v>
      </c>
      <c r="L261" t="str">
        <f>IFERROR(VLOOKUP(J261,LUTs!$A$1:$C$73,3,FALSE),"NA")</f>
        <v>4 Hood Canal</v>
      </c>
      <c r="M261" s="72" t="s">
        <v>21</v>
      </c>
      <c r="N261" t="str">
        <f>VLOOKUP(M261,LUTs!E$2:H$14,3,)</f>
        <v>08Thurston</v>
      </c>
      <c r="O261" t="str">
        <f>VLOOKUP(M261,LUTs!E$2:H$14,4,)</f>
        <v>02South Puget Sound</v>
      </c>
      <c r="P261" s="73">
        <v>238.53658536585399</v>
      </c>
      <c r="Q261" s="74">
        <f>VLOOKUP(B261,Readme!A$40:C$51,2,)*P261</f>
        <v>2063.341463414637</v>
      </c>
    </row>
    <row r="262" spans="1:17" ht="14.15" customHeight="1" x14ac:dyDescent="0.35">
      <c r="A262" s="75">
        <v>261</v>
      </c>
      <c r="B262" s="64">
        <v>2010</v>
      </c>
      <c r="C262" s="64">
        <v>11</v>
      </c>
      <c r="D262" s="80">
        <f t="shared" si="11"/>
        <v>2010</v>
      </c>
      <c r="E262" t="s">
        <v>38</v>
      </c>
      <c r="F262" t="s">
        <v>143</v>
      </c>
      <c r="G262" t="s">
        <v>10</v>
      </c>
      <c r="H262" s="72" t="s">
        <v>219</v>
      </c>
      <c r="I262" s="72" t="s">
        <v>61</v>
      </c>
      <c r="J262" t="str">
        <f t="shared" si="12"/>
        <v>Skokomish River</v>
      </c>
      <c r="K262" t="str">
        <f>IFERROR(VLOOKUP(J262,LUTs!$A$1:$C$73,2,FALSE),"NA")</f>
        <v>Mason</v>
      </c>
      <c r="L262" t="str">
        <f>IFERROR(VLOOKUP(J262,LUTs!$A$1:$C$73,3,FALSE),"NA")</f>
        <v>4 Hood Canal</v>
      </c>
      <c r="M262" s="72" t="s">
        <v>18</v>
      </c>
      <c r="N262" t="str">
        <f>VLOOKUP(M262,LUTs!E$2:H$14,3,)</f>
        <v>06King</v>
      </c>
      <c r="O262" t="str">
        <f>VLOOKUP(M262,LUTs!E$2:H$14,4,)</f>
        <v>02South Puget Sound</v>
      </c>
      <c r="P262" s="73">
        <v>11.959183673469401</v>
      </c>
      <c r="Q262" s="74">
        <f>VLOOKUP(B262,Readme!A$40:C$51,2,)*P262</f>
        <v>103.44693877551032</v>
      </c>
    </row>
    <row r="263" spans="1:17" ht="14.15" customHeight="1" x14ac:dyDescent="0.35">
      <c r="A263" s="75">
        <v>262</v>
      </c>
      <c r="B263" s="64">
        <v>2010</v>
      </c>
      <c r="C263" s="64">
        <v>11</v>
      </c>
      <c r="D263" s="80">
        <f t="shared" si="11"/>
        <v>2010</v>
      </c>
      <c r="E263" t="s">
        <v>38</v>
      </c>
      <c r="F263" t="s">
        <v>143</v>
      </c>
      <c r="G263" t="s">
        <v>10</v>
      </c>
      <c r="H263" s="72" t="s">
        <v>219</v>
      </c>
      <c r="I263" s="72" t="s">
        <v>61</v>
      </c>
      <c r="J263" t="str">
        <f t="shared" si="12"/>
        <v>Skokomish River</v>
      </c>
      <c r="K263" t="str">
        <f>IFERROR(VLOOKUP(J263,LUTs!$A$1:$C$73,2,FALSE),"NA")</f>
        <v>Mason</v>
      </c>
      <c r="L263" t="str">
        <f>IFERROR(VLOOKUP(J263,LUTs!$A$1:$C$73,3,FALSE),"NA")</f>
        <v>4 Hood Canal</v>
      </c>
      <c r="M263" s="72" t="s">
        <v>23</v>
      </c>
      <c r="N263" t="str">
        <f>VLOOKUP(M263,LUTs!E$2:H$14,3,)</f>
        <v>10Kitsap</v>
      </c>
      <c r="O263" t="str">
        <f>VLOOKUP(M263,LUTs!E$2:H$14,4,)</f>
        <v>02South Puget Sound</v>
      </c>
      <c r="P263" s="73">
        <v>11.959183673469401</v>
      </c>
      <c r="Q263" s="74">
        <f>VLOOKUP(B263,Readme!A$40:C$51,2,)*P263</f>
        <v>103.44693877551032</v>
      </c>
    </row>
    <row r="264" spans="1:17" ht="14.15" customHeight="1" x14ac:dyDescent="0.35">
      <c r="A264" s="75">
        <v>263</v>
      </c>
      <c r="B264" s="64">
        <v>2010</v>
      </c>
      <c r="C264" s="64">
        <v>11</v>
      </c>
      <c r="D264" s="80">
        <f t="shared" si="11"/>
        <v>2010</v>
      </c>
      <c r="E264" t="s">
        <v>38</v>
      </c>
      <c r="F264" t="s">
        <v>143</v>
      </c>
      <c r="G264" t="s">
        <v>10</v>
      </c>
      <c r="H264" s="72" t="s">
        <v>219</v>
      </c>
      <c r="I264" s="72" t="s">
        <v>61</v>
      </c>
      <c r="J264" t="str">
        <f t="shared" si="12"/>
        <v>Skokomish River</v>
      </c>
      <c r="K264" t="str">
        <f>IFERROR(VLOOKUP(J264,LUTs!$A$1:$C$73,2,FALSE),"NA")</f>
        <v>Mason</v>
      </c>
      <c r="L264" t="str">
        <f>IFERROR(VLOOKUP(J264,LUTs!$A$1:$C$73,3,FALSE),"NA")</f>
        <v>4 Hood Canal</v>
      </c>
      <c r="M264" s="72" t="s">
        <v>22</v>
      </c>
      <c r="N264" t="str">
        <f>VLOOKUP(M264,LUTs!E$2:H$14,3,)</f>
        <v>09Mason</v>
      </c>
      <c r="O264" t="str">
        <f>VLOOKUP(M264,LUTs!E$2:H$14,4,)</f>
        <v>02South Puget Sound</v>
      </c>
      <c r="P264" s="73">
        <v>23.918367346938801</v>
      </c>
      <c r="Q264" s="74">
        <f>VLOOKUP(B264,Readme!A$40:C$51,2,)*P264</f>
        <v>206.89387755102064</v>
      </c>
    </row>
    <row r="265" spans="1:17" ht="14.15" customHeight="1" x14ac:dyDescent="0.35">
      <c r="A265" s="75">
        <v>264</v>
      </c>
      <c r="B265" s="64">
        <v>2010</v>
      </c>
      <c r="C265" s="64">
        <v>11</v>
      </c>
      <c r="D265" s="80">
        <f t="shared" si="11"/>
        <v>2010</v>
      </c>
      <c r="E265" t="s">
        <v>38</v>
      </c>
      <c r="F265" t="s">
        <v>143</v>
      </c>
      <c r="G265" t="s">
        <v>10</v>
      </c>
      <c r="H265" s="72" t="s">
        <v>219</v>
      </c>
      <c r="I265" s="72" t="s">
        <v>61</v>
      </c>
      <c r="J265" t="str">
        <f t="shared" si="12"/>
        <v>Skokomish River</v>
      </c>
      <c r="K265" t="str">
        <f>IFERROR(VLOOKUP(J265,LUTs!$A$1:$C$73,2,FALSE),"NA")</f>
        <v>Mason</v>
      </c>
      <c r="L265" t="str">
        <f>IFERROR(VLOOKUP(J265,LUTs!$A$1:$C$73,3,FALSE),"NA")</f>
        <v>4 Hood Canal</v>
      </c>
      <c r="M265" s="72" t="s">
        <v>26</v>
      </c>
      <c r="N265" t="str">
        <f>VLOOKUP(M265,LUTs!E$2:H$14,3,)</f>
        <v>20Other</v>
      </c>
      <c r="O265" t="str">
        <f>VLOOKUP(M265,LUTs!E$2:H$14,4,)</f>
        <v>07Non Puget Sound</v>
      </c>
      <c r="P265" s="73">
        <v>53.816326530612301</v>
      </c>
      <c r="Q265" s="74">
        <f>VLOOKUP(B265,Readme!A$40:C$51,2,)*P265</f>
        <v>465.5112244897964</v>
      </c>
    </row>
    <row r="266" spans="1:17" ht="14.15" customHeight="1" x14ac:dyDescent="0.35">
      <c r="A266" s="75">
        <v>265</v>
      </c>
      <c r="B266" s="64">
        <v>2010</v>
      </c>
      <c r="C266" s="64">
        <v>11</v>
      </c>
      <c r="D266" s="80">
        <f t="shared" si="11"/>
        <v>2010</v>
      </c>
      <c r="E266" t="s">
        <v>38</v>
      </c>
      <c r="F266" t="s">
        <v>143</v>
      </c>
      <c r="G266" t="s">
        <v>10</v>
      </c>
      <c r="H266" s="72" t="s">
        <v>219</v>
      </c>
      <c r="I266" s="72" t="s">
        <v>61</v>
      </c>
      <c r="J266" t="str">
        <f t="shared" si="12"/>
        <v>Skokomish River</v>
      </c>
      <c r="K266" t="str">
        <f>IFERROR(VLOOKUP(J266,LUTs!$A$1:$C$73,2,FALSE),"NA")</f>
        <v>Mason</v>
      </c>
      <c r="L266" t="str">
        <f>IFERROR(VLOOKUP(J266,LUTs!$A$1:$C$73,3,FALSE),"NA")</f>
        <v>4 Hood Canal</v>
      </c>
      <c r="M266" s="72" t="s">
        <v>20</v>
      </c>
      <c r="N266" t="str">
        <f>VLOOKUP(M266,LUTs!E$2:H$14,3,)</f>
        <v>07Pierce</v>
      </c>
      <c r="O266" t="str">
        <f>VLOOKUP(M266,LUTs!E$2:H$14,4,)</f>
        <v>02South Puget Sound</v>
      </c>
      <c r="P266" s="73">
        <v>65.775510204081598</v>
      </c>
      <c r="Q266" s="74">
        <f>VLOOKUP(B266,Readme!A$40:C$51,2,)*P266</f>
        <v>568.95816326530587</v>
      </c>
    </row>
    <row r="267" spans="1:17" ht="14.15" customHeight="1" x14ac:dyDescent="0.35">
      <c r="A267" s="75">
        <v>266</v>
      </c>
      <c r="B267" s="64">
        <v>2010</v>
      </c>
      <c r="C267" s="64">
        <v>11</v>
      </c>
      <c r="D267" s="80">
        <f t="shared" si="11"/>
        <v>2010</v>
      </c>
      <c r="E267" t="s">
        <v>38</v>
      </c>
      <c r="F267" t="s">
        <v>143</v>
      </c>
      <c r="G267" t="s">
        <v>10</v>
      </c>
      <c r="H267" s="72" t="s">
        <v>219</v>
      </c>
      <c r="I267" s="72" t="s">
        <v>61</v>
      </c>
      <c r="J267" t="str">
        <f t="shared" si="12"/>
        <v>Skokomish River</v>
      </c>
      <c r="K267" t="str">
        <f>IFERROR(VLOOKUP(J267,LUTs!$A$1:$C$73,2,FALSE),"NA")</f>
        <v>Mason</v>
      </c>
      <c r="L267" t="str">
        <f>IFERROR(VLOOKUP(J267,LUTs!$A$1:$C$73,3,FALSE),"NA")</f>
        <v>4 Hood Canal</v>
      </c>
      <c r="M267" s="72" t="s">
        <v>15</v>
      </c>
      <c r="N267" t="str">
        <f>VLOOKUP(M267,LUTs!E$2:H$14,3,)</f>
        <v>02Skagit</v>
      </c>
      <c r="O267" t="str">
        <f>VLOOKUP(M267,LUTs!E$2:H$14,4,)</f>
        <v>01North Puget Sound</v>
      </c>
      <c r="P267" s="73">
        <v>47.836734693877602</v>
      </c>
      <c r="Q267" s="74">
        <f>VLOOKUP(B267,Readme!A$40:C$51,2,)*P267</f>
        <v>413.78775510204127</v>
      </c>
    </row>
    <row r="268" spans="1:17" ht="14.15" customHeight="1" x14ac:dyDescent="0.35">
      <c r="A268" s="75">
        <v>267</v>
      </c>
      <c r="B268" s="64">
        <v>2010</v>
      </c>
      <c r="C268" s="64">
        <v>11</v>
      </c>
      <c r="D268" s="80">
        <f t="shared" si="11"/>
        <v>2010</v>
      </c>
      <c r="E268" t="s">
        <v>38</v>
      </c>
      <c r="F268" t="s">
        <v>143</v>
      </c>
      <c r="G268" t="s">
        <v>10</v>
      </c>
      <c r="H268" s="72" t="s">
        <v>219</v>
      </c>
      <c r="I268" s="72" t="s">
        <v>61</v>
      </c>
      <c r="J268" t="str">
        <f t="shared" si="12"/>
        <v>Skokomish River</v>
      </c>
      <c r="K268" t="str">
        <f>IFERROR(VLOOKUP(J268,LUTs!$A$1:$C$73,2,FALSE),"NA")</f>
        <v>Mason</v>
      </c>
      <c r="L268" t="str">
        <f>IFERROR(VLOOKUP(J268,LUTs!$A$1:$C$73,3,FALSE),"NA")</f>
        <v>4 Hood Canal</v>
      </c>
      <c r="M268" s="72" t="s">
        <v>21</v>
      </c>
      <c r="N268" t="str">
        <f>VLOOKUP(M268,LUTs!E$2:H$14,3,)</f>
        <v>08Thurston</v>
      </c>
      <c r="O268" t="str">
        <f>VLOOKUP(M268,LUTs!E$2:H$14,4,)</f>
        <v>02South Puget Sound</v>
      </c>
      <c r="P268" s="73">
        <v>71.755102040816297</v>
      </c>
      <c r="Q268" s="74">
        <f>VLOOKUP(B268,Readme!A$40:C$51,2,)*P268</f>
        <v>620.681632653061</v>
      </c>
    </row>
    <row r="269" spans="1:17" ht="14.15" customHeight="1" x14ac:dyDescent="0.35">
      <c r="A269" s="75">
        <v>268</v>
      </c>
      <c r="B269" s="64">
        <v>2010</v>
      </c>
      <c r="C269" s="64">
        <v>11</v>
      </c>
      <c r="D269" s="80">
        <f t="shared" si="11"/>
        <v>2010</v>
      </c>
      <c r="E269" t="s">
        <v>38</v>
      </c>
      <c r="F269" t="s">
        <v>143</v>
      </c>
      <c r="G269" t="s">
        <v>10</v>
      </c>
      <c r="H269" s="72" t="s">
        <v>219</v>
      </c>
      <c r="I269" s="72" t="s">
        <v>61</v>
      </c>
      <c r="J269" t="str">
        <f t="shared" si="12"/>
        <v>Skokomish River</v>
      </c>
      <c r="K269" t="str">
        <f>IFERROR(VLOOKUP(J269,LUTs!$A$1:$C$73,2,FALSE),"NA")</f>
        <v>Mason</v>
      </c>
      <c r="L269" t="str">
        <f>IFERROR(VLOOKUP(J269,LUTs!$A$1:$C$73,3,FALSE),"NA")</f>
        <v>4 Hood Canal</v>
      </c>
      <c r="M269" s="72" t="s">
        <v>13</v>
      </c>
      <c r="N269" t="str">
        <f>VLOOKUP(M269,LUTs!E$2:H$14,3,)</f>
        <v>01Whatcom</v>
      </c>
      <c r="O269" t="str">
        <f>VLOOKUP(M269,LUTs!E$2:H$14,4,)</f>
        <v>01North Puget Sound</v>
      </c>
      <c r="P269" s="73">
        <v>5.9795918367346896</v>
      </c>
      <c r="Q269" s="74">
        <f>VLOOKUP(B269,Readme!A$40:C$51,2,)*P269</f>
        <v>51.723469387755067</v>
      </c>
    </row>
    <row r="270" spans="1:17" ht="14.15" customHeight="1" x14ac:dyDescent="0.35">
      <c r="A270" s="75">
        <v>269</v>
      </c>
      <c r="B270" s="64">
        <v>2010</v>
      </c>
      <c r="C270" s="64">
        <v>12</v>
      </c>
      <c r="D270" s="80">
        <f t="shared" si="11"/>
        <v>2010</v>
      </c>
      <c r="E270" t="s">
        <v>38</v>
      </c>
      <c r="F270" t="s">
        <v>143</v>
      </c>
      <c r="G270" t="s">
        <v>10</v>
      </c>
      <c r="H270" s="72" t="s">
        <v>219</v>
      </c>
      <c r="I270" s="72" t="s">
        <v>61</v>
      </c>
      <c r="J270" t="str">
        <f t="shared" si="12"/>
        <v>Skokomish River</v>
      </c>
      <c r="K270" t="str">
        <f>IFERROR(VLOOKUP(J270,LUTs!$A$1:$C$73,2,FALSE),"NA")</f>
        <v>Mason</v>
      </c>
      <c r="L270" t="str">
        <f>IFERROR(VLOOKUP(J270,LUTs!$A$1:$C$73,3,FALSE),"NA")</f>
        <v>4 Hood Canal</v>
      </c>
      <c r="M270" s="72" t="s">
        <v>20</v>
      </c>
      <c r="N270" t="str">
        <f>VLOOKUP(M270,LUTs!E$2:H$14,3,)</f>
        <v>07Pierce</v>
      </c>
      <c r="O270" t="str">
        <f>VLOOKUP(M270,LUTs!E$2:H$14,4,)</f>
        <v>02South Puget Sound</v>
      </c>
      <c r="P270" s="73">
        <v>30</v>
      </c>
      <c r="Q270" s="74">
        <f>VLOOKUP(B270,Readme!A$40:C$51,2,)*P270</f>
        <v>259.5</v>
      </c>
    </row>
    <row r="271" spans="1:17" ht="14.15" customHeight="1" x14ac:dyDescent="0.35">
      <c r="A271" s="75">
        <v>270</v>
      </c>
      <c r="B271" s="64">
        <v>2011</v>
      </c>
      <c r="C271" s="64">
        <v>3</v>
      </c>
      <c r="D271" s="80">
        <f t="shared" si="11"/>
        <v>2010</v>
      </c>
      <c r="E271" t="s">
        <v>38</v>
      </c>
      <c r="F271" t="s">
        <v>143</v>
      </c>
      <c r="G271" t="s">
        <v>10</v>
      </c>
      <c r="H271" s="72" t="s">
        <v>219</v>
      </c>
      <c r="I271" s="72" t="s">
        <v>61</v>
      </c>
      <c r="J271" t="str">
        <f t="shared" si="12"/>
        <v>Skokomish River</v>
      </c>
      <c r="K271" t="str">
        <f>IFERROR(VLOOKUP(J271,LUTs!$A$1:$C$73,2,FALSE),"NA")</f>
        <v>Mason</v>
      </c>
      <c r="L271" t="str">
        <f>IFERROR(VLOOKUP(J271,LUTs!$A$1:$C$73,3,FALSE),"NA")</f>
        <v>4 Hood Canal</v>
      </c>
      <c r="M271" s="72" t="s">
        <v>18</v>
      </c>
      <c r="N271" t="str">
        <f>VLOOKUP(M271,LUTs!E$2:H$14,3,)</f>
        <v>06King</v>
      </c>
      <c r="O271" t="str">
        <f>VLOOKUP(M271,LUTs!E$2:H$14,4,)</f>
        <v>02South Puget Sound</v>
      </c>
      <c r="P271" s="73">
        <v>6</v>
      </c>
      <c r="Q271" s="74">
        <f>VLOOKUP(B271,Readme!A$40:C$51,2,)*P271</f>
        <v>20.64</v>
      </c>
    </row>
    <row r="272" spans="1:17" ht="14.15" customHeight="1" x14ac:dyDescent="0.35">
      <c r="A272" s="75">
        <v>271</v>
      </c>
      <c r="B272" s="64">
        <v>2010</v>
      </c>
      <c r="C272" s="64">
        <v>6</v>
      </c>
      <c r="D272" s="80">
        <f t="shared" si="11"/>
        <v>2010</v>
      </c>
      <c r="E272" t="s">
        <v>38</v>
      </c>
      <c r="F272" t="s">
        <v>143</v>
      </c>
      <c r="G272" t="s">
        <v>10</v>
      </c>
      <c r="H272" s="72" t="s">
        <v>220</v>
      </c>
      <c r="I272" s="72" t="s">
        <v>62</v>
      </c>
      <c r="J272" t="str">
        <f t="shared" si="12"/>
        <v>Skykomish River</v>
      </c>
      <c r="K272" t="str">
        <f>IFERROR(VLOOKUP(J272,LUTs!$A$1:$C$73,2,FALSE),"NA")</f>
        <v>Snohomish</v>
      </c>
      <c r="L272" t="str">
        <f>IFERROR(VLOOKUP(J272,LUTs!$A$1:$C$73,3,FALSE),"NA")</f>
        <v>2Central Puget Sound</v>
      </c>
      <c r="M272" s="72" t="s">
        <v>18</v>
      </c>
      <c r="N272" t="str">
        <f>VLOOKUP(M272,LUTs!E$2:H$14,3,)</f>
        <v>06King</v>
      </c>
      <c r="O272" t="str">
        <f>VLOOKUP(M272,LUTs!E$2:H$14,4,)</f>
        <v>02South Puget Sound</v>
      </c>
      <c r="P272" s="73">
        <v>89.6</v>
      </c>
      <c r="Q272" s="74">
        <f>VLOOKUP(B272,Readme!A$40:C$51,2,)*P272</f>
        <v>775.04</v>
      </c>
    </row>
    <row r="273" spans="1:17" ht="14.15" customHeight="1" x14ac:dyDescent="0.35">
      <c r="A273" s="75">
        <v>272</v>
      </c>
      <c r="B273" s="64">
        <v>2010</v>
      </c>
      <c r="C273" s="64">
        <v>6</v>
      </c>
      <c r="D273" s="80">
        <f t="shared" si="11"/>
        <v>2010</v>
      </c>
      <c r="E273" t="s">
        <v>38</v>
      </c>
      <c r="F273" t="s">
        <v>143</v>
      </c>
      <c r="G273" t="s">
        <v>10</v>
      </c>
      <c r="H273" s="72" t="s">
        <v>220</v>
      </c>
      <c r="I273" s="72" t="s">
        <v>62</v>
      </c>
      <c r="J273" t="str">
        <f t="shared" si="12"/>
        <v>Skykomish River</v>
      </c>
      <c r="K273" t="str">
        <f>IFERROR(VLOOKUP(J273,LUTs!$A$1:$C$73,2,FALSE),"NA")</f>
        <v>Snohomish</v>
      </c>
      <c r="L273" t="str">
        <f>IFERROR(VLOOKUP(J273,LUTs!$A$1:$C$73,3,FALSE),"NA")</f>
        <v>2Central Puget Sound</v>
      </c>
      <c r="M273" s="72" t="s">
        <v>20</v>
      </c>
      <c r="N273" t="str">
        <f>VLOOKUP(M273,LUTs!E$2:H$14,3,)</f>
        <v>07Pierce</v>
      </c>
      <c r="O273" t="str">
        <f>VLOOKUP(M273,LUTs!E$2:H$14,4,)</f>
        <v>02South Puget Sound</v>
      </c>
      <c r="P273" s="73">
        <v>12.8</v>
      </c>
      <c r="Q273" s="74">
        <f>VLOOKUP(B273,Readme!A$40:C$51,2,)*P273</f>
        <v>110.72000000000001</v>
      </c>
    </row>
    <row r="274" spans="1:17" ht="14.15" customHeight="1" x14ac:dyDescent="0.35">
      <c r="A274" s="75">
        <v>273</v>
      </c>
      <c r="B274" s="64">
        <v>2010</v>
      </c>
      <c r="C274" s="64">
        <v>6</v>
      </c>
      <c r="D274" s="80">
        <f t="shared" si="11"/>
        <v>2010</v>
      </c>
      <c r="E274" t="s">
        <v>38</v>
      </c>
      <c r="F274" t="s">
        <v>143</v>
      </c>
      <c r="G274" t="s">
        <v>10</v>
      </c>
      <c r="H274" s="72" t="s">
        <v>220</v>
      </c>
      <c r="I274" s="72" t="s">
        <v>62</v>
      </c>
      <c r="J274" t="str">
        <f t="shared" si="12"/>
        <v>Skykomish River</v>
      </c>
      <c r="K274" t="str">
        <f>IFERROR(VLOOKUP(J274,LUTs!$A$1:$C$73,2,FALSE),"NA")</f>
        <v>Snohomish</v>
      </c>
      <c r="L274" t="str">
        <f>IFERROR(VLOOKUP(J274,LUTs!$A$1:$C$73,3,FALSE),"NA")</f>
        <v>2Central Puget Sound</v>
      </c>
      <c r="M274" s="72" t="s">
        <v>15</v>
      </c>
      <c r="N274" t="str">
        <f>VLOOKUP(M274,LUTs!E$2:H$14,3,)</f>
        <v>02Skagit</v>
      </c>
      <c r="O274" t="str">
        <f>VLOOKUP(M274,LUTs!E$2:H$14,4,)</f>
        <v>01North Puget Sound</v>
      </c>
      <c r="P274" s="73">
        <v>6.4</v>
      </c>
      <c r="Q274" s="74">
        <f>VLOOKUP(B274,Readme!A$40:C$51,2,)*P274</f>
        <v>55.360000000000007</v>
      </c>
    </row>
    <row r="275" spans="1:17" ht="14.15" customHeight="1" x14ac:dyDescent="0.35">
      <c r="A275" s="75">
        <v>274</v>
      </c>
      <c r="B275" s="64">
        <v>2010</v>
      </c>
      <c r="C275" s="64">
        <v>6</v>
      </c>
      <c r="D275" s="80">
        <f t="shared" si="11"/>
        <v>2010</v>
      </c>
      <c r="E275" t="s">
        <v>38</v>
      </c>
      <c r="F275" t="s">
        <v>143</v>
      </c>
      <c r="G275" t="s">
        <v>10</v>
      </c>
      <c r="H275" s="72" t="s">
        <v>220</v>
      </c>
      <c r="I275" s="72" t="s">
        <v>62</v>
      </c>
      <c r="J275" t="str">
        <f t="shared" si="12"/>
        <v>Skykomish River</v>
      </c>
      <c r="K275" t="str">
        <f>IFERROR(VLOOKUP(J275,LUTs!$A$1:$C$73,2,FALSE),"NA")</f>
        <v>Snohomish</v>
      </c>
      <c r="L275" t="str">
        <f>IFERROR(VLOOKUP(J275,LUTs!$A$1:$C$73,3,FALSE),"NA")</f>
        <v>2Central Puget Sound</v>
      </c>
      <c r="M275" s="72" t="s">
        <v>16</v>
      </c>
      <c r="N275" t="str">
        <f>VLOOKUP(M275,LUTs!E$2:H$14,3,)</f>
        <v>03Snohomish</v>
      </c>
      <c r="O275" t="str">
        <f>VLOOKUP(M275,LUTs!E$2:H$14,4,)</f>
        <v>01North Puget Sound</v>
      </c>
      <c r="P275" s="73">
        <v>51.2</v>
      </c>
      <c r="Q275" s="74">
        <f>VLOOKUP(B275,Readme!A$40:C$51,2,)*P275</f>
        <v>442.88000000000005</v>
      </c>
    </row>
    <row r="276" spans="1:17" ht="14.15" customHeight="1" x14ac:dyDescent="0.35">
      <c r="A276" s="75">
        <v>275</v>
      </c>
      <c r="B276" s="64">
        <v>2010</v>
      </c>
      <c r="C276" s="64">
        <v>7</v>
      </c>
      <c r="D276" s="80">
        <f t="shared" si="11"/>
        <v>2010</v>
      </c>
      <c r="E276" t="s">
        <v>38</v>
      </c>
      <c r="F276" t="s">
        <v>143</v>
      </c>
      <c r="G276" t="s">
        <v>10</v>
      </c>
      <c r="H276" s="72" t="s">
        <v>220</v>
      </c>
      <c r="I276" s="72" t="s">
        <v>62</v>
      </c>
      <c r="J276" t="str">
        <f t="shared" si="12"/>
        <v>Skykomish River</v>
      </c>
      <c r="K276" t="str">
        <f>IFERROR(VLOOKUP(J276,LUTs!$A$1:$C$73,2,FALSE),"NA")</f>
        <v>Snohomish</v>
      </c>
      <c r="L276" t="str">
        <f>IFERROR(VLOOKUP(J276,LUTs!$A$1:$C$73,3,FALSE),"NA")</f>
        <v>2Central Puget Sound</v>
      </c>
      <c r="M276" s="72" t="s">
        <v>18</v>
      </c>
      <c r="N276" t="str">
        <f>VLOOKUP(M276,LUTs!E$2:H$14,3,)</f>
        <v>06King</v>
      </c>
      <c r="O276" t="str">
        <f>VLOOKUP(M276,LUTs!E$2:H$14,4,)</f>
        <v>02South Puget Sound</v>
      </c>
      <c r="P276" s="73">
        <v>6.44444444444445</v>
      </c>
      <c r="Q276" s="74">
        <f>VLOOKUP(B276,Readme!A$40:C$51,2,)*P276</f>
        <v>55.744444444444497</v>
      </c>
    </row>
    <row r="277" spans="1:17" ht="14.15" customHeight="1" x14ac:dyDescent="0.35">
      <c r="A277" s="75">
        <v>276</v>
      </c>
      <c r="B277" s="64">
        <v>2010</v>
      </c>
      <c r="C277" s="64">
        <v>7</v>
      </c>
      <c r="D277" s="80">
        <f t="shared" si="11"/>
        <v>2010</v>
      </c>
      <c r="E277" t="s">
        <v>38</v>
      </c>
      <c r="F277" t="s">
        <v>143</v>
      </c>
      <c r="G277" t="s">
        <v>10</v>
      </c>
      <c r="H277" s="72" t="s">
        <v>220</v>
      </c>
      <c r="I277" s="72" t="s">
        <v>62</v>
      </c>
      <c r="J277" t="str">
        <f t="shared" si="12"/>
        <v>Skykomish River</v>
      </c>
      <c r="K277" t="str">
        <f>IFERROR(VLOOKUP(J277,LUTs!$A$1:$C$73,2,FALSE),"NA")</f>
        <v>Snohomish</v>
      </c>
      <c r="L277" t="str">
        <f>IFERROR(VLOOKUP(J277,LUTs!$A$1:$C$73,3,FALSE),"NA")</f>
        <v>2Central Puget Sound</v>
      </c>
      <c r="M277" s="72" t="s">
        <v>26</v>
      </c>
      <c r="N277" t="str">
        <f>VLOOKUP(M277,LUTs!E$2:H$14,3,)</f>
        <v>20Other</v>
      </c>
      <c r="O277" t="str">
        <f>VLOOKUP(M277,LUTs!E$2:H$14,4,)</f>
        <v>07Non Puget Sound</v>
      </c>
      <c r="P277" s="73">
        <v>6.44444444444445</v>
      </c>
      <c r="Q277" s="74">
        <f>VLOOKUP(B277,Readme!A$40:C$51,2,)*P277</f>
        <v>55.744444444444497</v>
      </c>
    </row>
    <row r="278" spans="1:17" ht="14.15" customHeight="1" x14ac:dyDescent="0.35">
      <c r="A278" s="75">
        <v>277</v>
      </c>
      <c r="B278" s="64">
        <v>2010</v>
      </c>
      <c r="C278" s="64">
        <v>7</v>
      </c>
      <c r="D278" s="80">
        <f t="shared" si="11"/>
        <v>2010</v>
      </c>
      <c r="E278" t="s">
        <v>38</v>
      </c>
      <c r="F278" t="s">
        <v>143</v>
      </c>
      <c r="G278" t="s">
        <v>10</v>
      </c>
      <c r="H278" s="72" t="s">
        <v>220</v>
      </c>
      <c r="I278" s="72" t="s">
        <v>62</v>
      </c>
      <c r="J278" t="str">
        <f t="shared" si="12"/>
        <v>Skykomish River</v>
      </c>
      <c r="K278" t="str">
        <f>IFERROR(VLOOKUP(J278,LUTs!$A$1:$C$73,2,FALSE),"NA")</f>
        <v>Snohomish</v>
      </c>
      <c r="L278" t="str">
        <f>IFERROR(VLOOKUP(J278,LUTs!$A$1:$C$73,3,FALSE),"NA")</f>
        <v>2Central Puget Sound</v>
      </c>
      <c r="M278" s="72" t="s">
        <v>20</v>
      </c>
      <c r="N278" t="str">
        <f>VLOOKUP(M278,LUTs!E$2:H$14,3,)</f>
        <v>07Pierce</v>
      </c>
      <c r="O278" t="str">
        <f>VLOOKUP(M278,LUTs!E$2:H$14,4,)</f>
        <v>02South Puget Sound</v>
      </c>
      <c r="P278" s="73">
        <v>45.1111111111111</v>
      </c>
      <c r="Q278" s="74">
        <f>VLOOKUP(B278,Readme!A$40:C$51,2,)*P278</f>
        <v>390.21111111111105</v>
      </c>
    </row>
    <row r="279" spans="1:17" ht="14.15" customHeight="1" x14ac:dyDescent="0.35">
      <c r="A279" s="75">
        <v>278</v>
      </c>
      <c r="B279" s="64">
        <v>2010</v>
      </c>
      <c r="C279" s="64">
        <v>9</v>
      </c>
      <c r="D279" s="80">
        <f t="shared" si="11"/>
        <v>2010</v>
      </c>
      <c r="E279" t="s">
        <v>38</v>
      </c>
      <c r="F279" t="s">
        <v>143</v>
      </c>
      <c r="G279" t="s">
        <v>10</v>
      </c>
      <c r="H279" s="72" t="s">
        <v>220</v>
      </c>
      <c r="I279" s="72" t="s">
        <v>62</v>
      </c>
      <c r="J279" t="str">
        <f t="shared" si="12"/>
        <v>Skykomish River</v>
      </c>
      <c r="K279" t="str">
        <f>IFERROR(VLOOKUP(J279,LUTs!$A$1:$C$73,2,FALSE),"NA")</f>
        <v>Snohomish</v>
      </c>
      <c r="L279" t="str">
        <f>IFERROR(VLOOKUP(J279,LUTs!$A$1:$C$73,3,FALSE),"NA")</f>
        <v>2Central Puget Sound</v>
      </c>
      <c r="M279" s="72" t="s">
        <v>18</v>
      </c>
      <c r="N279" t="str">
        <f>VLOOKUP(M279,LUTs!E$2:H$14,3,)</f>
        <v>06King</v>
      </c>
      <c r="O279" t="str">
        <f>VLOOKUP(M279,LUTs!E$2:H$14,4,)</f>
        <v>02South Puget Sound</v>
      </c>
      <c r="P279" s="73">
        <v>66.785714285714306</v>
      </c>
      <c r="Q279" s="74">
        <f>VLOOKUP(B279,Readme!A$40:C$51,2,)*P279</f>
        <v>577.69642857142878</v>
      </c>
    </row>
    <row r="280" spans="1:17" ht="14.15" customHeight="1" x14ac:dyDescent="0.35">
      <c r="A280" s="75">
        <v>279</v>
      </c>
      <c r="B280" s="64">
        <v>2010</v>
      </c>
      <c r="C280" s="64">
        <v>9</v>
      </c>
      <c r="D280" s="80">
        <f t="shared" si="11"/>
        <v>2010</v>
      </c>
      <c r="E280" t="s">
        <v>38</v>
      </c>
      <c r="F280" t="s">
        <v>143</v>
      </c>
      <c r="G280" t="s">
        <v>10</v>
      </c>
      <c r="H280" s="72" t="s">
        <v>220</v>
      </c>
      <c r="I280" s="72" t="s">
        <v>62</v>
      </c>
      <c r="J280" t="str">
        <f t="shared" si="12"/>
        <v>Skykomish River</v>
      </c>
      <c r="K280" t="str">
        <f>IFERROR(VLOOKUP(J280,LUTs!$A$1:$C$73,2,FALSE),"NA")</f>
        <v>Snohomish</v>
      </c>
      <c r="L280" t="str">
        <f>IFERROR(VLOOKUP(J280,LUTs!$A$1:$C$73,3,FALSE),"NA")</f>
        <v>2Central Puget Sound</v>
      </c>
      <c r="M280" s="72" t="s">
        <v>16</v>
      </c>
      <c r="N280" t="str">
        <f>VLOOKUP(M280,LUTs!E$2:H$14,3,)</f>
        <v>03Snohomish</v>
      </c>
      <c r="O280" t="str">
        <f>VLOOKUP(M280,LUTs!E$2:H$14,4,)</f>
        <v>01North Puget Sound</v>
      </c>
      <c r="P280" s="73">
        <v>103.21428571428601</v>
      </c>
      <c r="Q280" s="74">
        <f>VLOOKUP(B280,Readme!A$40:C$51,2,)*P280</f>
        <v>892.80357142857395</v>
      </c>
    </row>
    <row r="281" spans="1:17" ht="14.15" customHeight="1" x14ac:dyDescent="0.35">
      <c r="A281" s="75">
        <v>280</v>
      </c>
      <c r="B281" s="64">
        <v>2010</v>
      </c>
      <c r="C281" s="64">
        <v>10</v>
      </c>
      <c r="D281" s="80">
        <f t="shared" si="11"/>
        <v>2010</v>
      </c>
      <c r="E281" t="s">
        <v>38</v>
      </c>
      <c r="F281" t="s">
        <v>143</v>
      </c>
      <c r="G281" t="s">
        <v>10</v>
      </c>
      <c r="H281" s="72" t="s">
        <v>220</v>
      </c>
      <c r="I281" s="72" t="s">
        <v>62</v>
      </c>
      <c r="J281" t="str">
        <f t="shared" si="12"/>
        <v>Skykomish River</v>
      </c>
      <c r="K281" t="str">
        <f>IFERROR(VLOOKUP(J281,LUTs!$A$1:$C$73,2,FALSE),"NA")</f>
        <v>Snohomish</v>
      </c>
      <c r="L281" t="str">
        <f>IFERROR(VLOOKUP(J281,LUTs!$A$1:$C$73,3,FALSE),"NA")</f>
        <v>2Central Puget Sound</v>
      </c>
      <c r="M281" s="72" t="s">
        <v>18</v>
      </c>
      <c r="N281" t="str">
        <f>VLOOKUP(M281,LUTs!E$2:H$14,3,)</f>
        <v>06King</v>
      </c>
      <c r="O281" t="str">
        <f>VLOOKUP(M281,LUTs!E$2:H$14,4,)</f>
        <v>02South Puget Sound</v>
      </c>
      <c r="P281" s="73">
        <v>103.60377358490599</v>
      </c>
      <c r="Q281" s="74">
        <f>VLOOKUP(B281,Readme!A$40:C$51,2,)*P281</f>
        <v>896.17264150943686</v>
      </c>
    </row>
    <row r="282" spans="1:17" ht="14.15" customHeight="1" x14ac:dyDescent="0.35">
      <c r="A282" s="75">
        <v>281</v>
      </c>
      <c r="B282" s="64">
        <v>2010</v>
      </c>
      <c r="C282" s="64">
        <v>10</v>
      </c>
      <c r="D282" s="80">
        <f t="shared" si="11"/>
        <v>2010</v>
      </c>
      <c r="E282" t="s">
        <v>38</v>
      </c>
      <c r="F282" t="s">
        <v>143</v>
      </c>
      <c r="G282" t="s">
        <v>10</v>
      </c>
      <c r="H282" s="72" t="s">
        <v>220</v>
      </c>
      <c r="I282" s="72" t="s">
        <v>62</v>
      </c>
      <c r="J282" t="str">
        <f t="shared" si="12"/>
        <v>Skykomish River</v>
      </c>
      <c r="K282" t="str">
        <f>IFERROR(VLOOKUP(J282,LUTs!$A$1:$C$73,2,FALSE),"NA")</f>
        <v>Snohomish</v>
      </c>
      <c r="L282" t="str">
        <f>IFERROR(VLOOKUP(J282,LUTs!$A$1:$C$73,3,FALSE),"NA")</f>
        <v>2Central Puget Sound</v>
      </c>
      <c r="M282" s="72" t="s">
        <v>15</v>
      </c>
      <c r="N282" t="str">
        <f>VLOOKUP(M282,LUTs!E$2:H$14,3,)</f>
        <v>02Skagit</v>
      </c>
      <c r="O282" t="str">
        <f>VLOOKUP(M282,LUTs!E$2:H$14,4,)</f>
        <v>01North Puget Sound</v>
      </c>
      <c r="P282" s="73">
        <v>6.0943396226415096</v>
      </c>
      <c r="Q282" s="74">
        <f>VLOOKUP(B282,Readme!A$40:C$51,2,)*P282</f>
        <v>52.716037735849063</v>
      </c>
    </row>
    <row r="283" spans="1:17" ht="14.15" customHeight="1" x14ac:dyDescent="0.35">
      <c r="A283" s="75">
        <v>282</v>
      </c>
      <c r="B283" s="64">
        <v>2010</v>
      </c>
      <c r="C283" s="64">
        <v>10</v>
      </c>
      <c r="D283" s="80">
        <f t="shared" si="11"/>
        <v>2010</v>
      </c>
      <c r="E283" t="s">
        <v>38</v>
      </c>
      <c r="F283" t="s">
        <v>143</v>
      </c>
      <c r="G283" t="s">
        <v>10</v>
      </c>
      <c r="H283" s="72" t="s">
        <v>220</v>
      </c>
      <c r="I283" s="72" t="s">
        <v>62</v>
      </c>
      <c r="J283" t="str">
        <f t="shared" si="12"/>
        <v>Skykomish River</v>
      </c>
      <c r="K283" t="str">
        <f>IFERROR(VLOOKUP(J283,LUTs!$A$1:$C$73,2,FALSE),"NA")</f>
        <v>Snohomish</v>
      </c>
      <c r="L283" t="str">
        <f>IFERROR(VLOOKUP(J283,LUTs!$A$1:$C$73,3,FALSE),"NA")</f>
        <v>2Central Puget Sound</v>
      </c>
      <c r="M283" s="72" t="s">
        <v>16</v>
      </c>
      <c r="N283" t="str">
        <f>VLOOKUP(M283,LUTs!E$2:H$14,3,)</f>
        <v>03Snohomish</v>
      </c>
      <c r="O283" t="str">
        <f>VLOOKUP(M283,LUTs!E$2:H$14,4,)</f>
        <v>01North Puget Sound</v>
      </c>
      <c r="P283" s="73">
        <v>188.92452830188699</v>
      </c>
      <c r="Q283" s="74">
        <f>VLOOKUP(B283,Readme!A$40:C$51,2,)*P283</f>
        <v>1634.1971698113225</v>
      </c>
    </row>
    <row r="284" spans="1:17" ht="14.15" customHeight="1" x14ac:dyDescent="0.35">
      <c r="A284" s="75">
        <v>283</v>
      </c>
      <c r="B284" s="64">
        <v>2010</v>
      </c>
      <c r="C284" s="64">
        <v>10</v>
      </c>
      <c r="D284" s="80">
        <f t="shared" si="11"/>
        <v>2010</v>
      </c>
      <c r="E284" t="s">
        <v>38</v>
      </c>
      <c r="F284" t="s">
        <v>143</v>
      </c>
      <c r="G284" t="s">
        <v>10</v>
      </c>
      <c r="H284" s="72" t="s">
        <v>220</v>
      </c>
      <c r="I284" s="72" t="s">
        <v>62</v>
      </c>
      <c r="J284" t="str">
        <f t="shared" si="12"/>
        <v>Skykomish River</v>
      </c>
      <c r="K284" t="str">
        <f>IFERROR(VLOOKUP(J284,LUTs!$A$1:$C$73,2,FALSE),"NA")</f>
        <v>Snohomish</v>
      </c>
      <c r="L284" t="str">
        <f>IFERROR(VLOOKUP(J284,LUTs!$A$1:$C$73,3,FALSE),"NA")</f>
        <v>2Central Puget Sound</v>
      </c>
      <c r="M284" s="72" t="s">
        <v>13</v>
      </c>
      <c r="N284" t="str">
        <f>VLOOKUP(M284,LUTs!E$2:H$14,3,)</f>
        <v>01Whatcom</v>
      </c>
      <c r="O284" t="str">
        <f>VLOOKUP(M284,LUTs!E$2:H$14,4,)</f>
        <v>01North Puget Sound</v>
      </c>
      <c r="P284" s="73">
        <v>24.377358490565999</v>
      </c>
      <c r="Q284" s="74">
        <f>VLOOKUP(B284,Readme!A$40:C$51,2,)*P284</f>
        <v>210.86415094339591</v>
      </c>
    </row>
    <row r="285" spans="1:17" ht="14.15" customHeight="1" x14ac:dyDescent="0.35">
      <c r="A285" s="75">
        <v>284</v>
      </c>
      <c r="B285" s="64">
        <v>2010</v>
      </c>
      <c r="C285" s="64">
        <v>11</v>
      </c>
      <c r="D285" s="80">
        <f t="shared" si="11"/>
        <v>2010</v>
      </c>
      <c r="E285" t="s">
        <v>38</v>
      </c>
      <c r="F285" t="s">
        <v>143</v>
      </c>
      <c r="G285" t="s">
        <v>10</v>
      </c>
      <c r="H285" s="72" t="s">
        <v>220</v>
      </c>
      <c r="I285" s="72" t="s">
        <v>62</v>
      </c>
      <c r="J285" t="str">
        <f t="shared" si="12"/>
        <v>Skykomish River</v>
      </c>
      <c r="K285" t="str">
        <f>IFERROR(VLOOKUP(J285,LUTs!$A$1:$C$73,2,FALSE),"NA")</f>
        <v>Snohomish</v>
      </c>
      <c r="L285" t="str">
        <f>IFERROR(VLOOKUP(J285,LUTs!$A$1:$C$73,3,FALSE),"NA")</f>
        <v>2Central Puget Sound</v>
      </c>
      <c r="M285" s="72" t="s">
        <v>18</v>
      </c>
      <c r="N285" t="str">
        <f>VLOOKUP(M285,LUTs!E$2:H$14,3,)</f>
        <v>06King</v>
      </c>
      <c r="O285" t="str">
        <f>VLOOKUP(M285,LUTs!E$2:H$14,4,)</f>
        <v>02South Puget Sound</v>
      </c>
      <c r="P285" s="73">
        <v>18.176470588235301</v>
      </c>
      <c r="Q285" s="74">
        <f>VLOOKUP(B285,Readme!A$40:C$51,2,)*P285</f>
        <v>157.22647058823534</v>
      </c>
    </row>
    <row r="286" spans="1:17" ht="14.15" customHeight="1" x14ac:dyDescent="0.35">
      <c r="A286" s="75">
        <v>285</v>
      </c>
      <c r="B286" s="64">
        <v>2010</v>
      </c>
      <c r="C286" s="64">
        <v>11</v>
      </c>
      <c r="D286" s="80">
        <f t="shared" si="11"/>
        <v>2010</v>
      </c>
      <c r="E286" t="s">
        <v>38</v>
      </c>
      <c r="F286" t="s">
        <v>143</v>
      </c>
      <c r="G286" t="s">
        <v>10</v>
      </c>
      <c r="H286" s="72" t="s">
        <v>220</v>
      </c>
      <c r="I286" s="72" t="s">
        <v>62</v>
      </c>
      <c r="J286" t="str">
        <f t="shared" si="12"/>
        <v>Skykomish River</v>
      </c>
      <c r="K286" t="str">
        <f>IFERROR(VLOOKUP(J286,LUTs!$A$1:$C$73,2,FALSE),"NA")</f>
        <v>Snohomish</v>
      </c>
      <c r="L286" t="str">
        <f>IFERROR(VLOOKUP(J286,LUTs!$A$1:$C$73,3,FALSE),"NA")</f>
        <v>2Central Puget Sound</v>
      </c>
      <c r="M286" s="72" t="s">
        <v>16</v>
      </c>
      <c r="N286" t="str">
        <f>VLOOKUP(M286,LUTs!E$2:H$14,3,)</f>
        <v>03Snohomish</v>
      </c>
      <c r="O286" t="str">
        <f>VLOOKUP(M286,LUTs!E$2:H$14,4,)</f>
        <v>01North Puget Sound</v>
      </c>
      <c r="P286" s="73">
        <v>72.705882352941202</v>
      </c>
      <c r="Q286" s="74">
        <f>VLOOKUP(B286,Readme!A$40:C$51,2,)*P286</f>
        <v>628.90588235294138</v>
      </c>
    </row>
    <row r="287" spans="1:17" ht="14.15" customHeight="1" x14ac:dyDescent="0.35">
      <c r="A287" s="75">
        <v>286</v>
      </c>
      <c r="B287" s="64">
        <v>2010</v>
      </c>
      <c r="C287" s="64">
        <v>11</v>
      </c>
      <c r="D287" s="80">
        <f t="shared" si="11"/>
        <v>2010</v>
      </c>
      <c r="E287" t="s">
        <v>38</v>
      </c>
      <c r="F287" t="s">
        <v>143</v>
      </c>
      <c r="G287" t="s">
        <v>10</v>
      </c>
      <c r="H287" s="72" t="s">
        <v>220</v>
      </c>
      <c r="I287" s="72" t="s">
        <v>62</v>
      </c>
      <c r="J287" t="str">
        <f t="shared" si="12"/>
        <v>Skykomish River</v>
      </c>
      <c r="K287" t="str">
        <f>IFERROR(VLOOKUP(J287,LUTs!$A$1:$C$73,2,FALSE),"NA")</f>
        <v>Snohomish</v>
      </c>
      <c r="L287" t="str">
        <f>IFERROR(VLOOKUP(J287,LUTs!$A$1:$C$73,3,FALSE),"NA")</f>
        <v>2Central Puget Sound</v>
      </c>
      <c r="M287" s="72" t="s">
        <v>13</v>
      </c>
      <c r="N287" t="str">
        <f>VLOOKUP(M287,LUTs!E$2:H$14,3,)</f>
        <v>01Whatcom</v>
      </c>
      <c r="O287" t="str">
        <f>VLOOKUP(M287,LUTs!E$2:H$14,4,)</f>
        <v>01North Puget Sound</v>
      </c>
      <c r="P287" s="73">
        <v>12.117647058823501</v>
      </c>
      <c r="Q287" s="74">
        <f>VLOOKUP(B287,Readme!A$40:C$51,2,)*P287</f>
        <v>104.81764705882328</v>
      </c>
    </row>
    <row r="288" spans="1:17" ht="14.15" customHeight="1" x14ac:dyDescent="0.35">
      <c r="A288" s="75">
        <v>287</v>
      </c>
      <c r="B288" s="64">
        <v>2010</v>
      </c>
      <c r="C288" s="64">
        <v>12</v>
      </c>
      <c r="D288" s="80">
        <f t="shared" si="11"/>
        <v>2010</v>
      </c>
      <c r="E288" t="s">
        <v>38</v>
      </c>
      <c r="F288" t="s">
        <v>143</v>
      </c>
      <c r="G288" t="s">
        <v>10</v>
      </c>
      <c r="H288" s="72" t="s">
        <v>220</v>
      </c>
      <c r="I288" s="72" t="s">
        <v>62</v>
      </c>
      <c r="J288" t="str">
        <f t="shared" si="12"/>
        <v>Skykomish River</v>
      </c>
      <c r="K288" t="str">
        <f>IFERROR(VLOOKUP(J288,LUTs!$A$1:$C$73,2,FALSE),"NA")</f>
        <v>Snohomish</v>
      </c>
      <c r="L288" t="str">
        <f>IFERROR(VLOOKUP(J288,LUTs!$A$1:$C$73,3,FALSE),"NA")</f>
        <v>2Central Puget Sound</v>
      </c>
      <c r="M288" s="72" t="s">
        <v>18</v>
      </c>
      <c r="N288" t="str">
        <f>VLOOKUP(M288,LUTs!E$2:H$14,3,)</f>
        <v>06King</v>
      </c>
      <c r="O288" t="str">
        <f>VLOOKUP(M288,LUTs!E$2:H$14,4,)</f>
        <v>02South Puget Sound</v>
      </c>
      <c r="P288" s="73">
        <v>12</v>
      </c>
      <c r="Q288" s="74">
        <f>VLOOKUP(B288,Readme!A$40:C$51,2,)*P288</f>
        <v>103.80000000000001</v>
      </c>
    </row>
    <row r="289" spans="1:17" ht="14.15" customHeight="1" x14ac:dyDescent="0.35">
      <c r="A289" s="75">
        <v>288</v>
      </c>
      <c r="B289" s="64">
        <v>2010</v>
      </c>
      <c r="C289" s="64">
        <v>12</v>
      </c>
      <c r="D289" s="80">
        <f t="shared" si="11"/>
        <v>2010</v>
      </c>
      <c r="E289" t="s">
        <v>38</v>
      </c>
      <c r="F289" t="s">
        <v>143</v>
      </c>
      <c r="G289" t="s">
        <v>10</v>
      </c>
      <c r="H289" s="72" t="s">
        <v>220</v>
      </c>
      <c r="I289" s="72" t="s">
        <v>62</v>
      </c>
      <c r="J289" t="str">
        <f t="shared" si="12"/>
        <v>Skykomish River</v>
      </c>
      <c r="K289" t="str">
        <f>IFERROR(VLOOKUP(J289,LUTs!$A$1:$C$73,2,FALSE),"NA")</f>
        <v>Snohomish</v>
      </c>
      <c r="L289" t="str">
        <f>IFERROR(VLOOKUP(J289,LUTs!$A$1:$C$73,3,FALSE),"NA")</f>
        <v>2Central Puget Sound</v>
      </c>
      <c r="M289" s="72" t="s">
        <v>16</v>
      </c>
      <c r="N289" t="str">
        <f>VLOOKUP(M289,LUTs!E$2:H$14,3,)</f>
        <v>03Snohomish</v>
      </c>
      <c r="O289" t="str">
        <f>VLOOKUP(M289,LUTs!E$2:H$14,4,)</f>
        <v>01North Puget Sound</v>
      </c>
      <c r="P289" s="73">
        <v>6</v>
      </c>
      <c r="Q289" s="74">
        <f>VLOOKUP(B289,Readme!A$40:C$51,2,)*P289</f>
        <v>51.900000000000006</v>
      </c>
    </row>
    <row r="290" spans="1:17" ht="14.15" customHeight="1" x14ac:dyDescent="0.35">
      <c r="A290" s="75">
        <v>289</v>
      </c>
      <c r="B290" s="64">
        <v>2010</v>
      </c>
      <c r="C290" s="64">
        <v>8</v>
      </c>
      <c r="D290" s="80">
        <f t="shared" si="11"/>
        <v>2010</v>
      </c>
      <c r="E290" t="s">
        <v>38</v>
      </c>
      <c r="F290" t="s">
        <v>143</v>
      </c>
      <c r="G290" t="s">
        <v>10</v>
      </c>
      <c r="H290" s="72" t="s">
        <v>221</v>
      </c>
      <c r="I290" s="72" t="s">
        <v>63</v>
      </c>
      <c r="J290" t="str">
        <f t="shared" si="12"/>
        <v>Snohomish River</v>
      </c>
      <c r="K290" t="str">
        <f>IFERROR(VLOOKUP(J290,LUTs!$A$1:$C$73,2,FALSE),"NA")</f>
        <v>Snohomish</v>
      </c>
      <c r="L290" t="str">
        <f>IFERROR(VLOOKUP(J290,LUTs!$A$1:$C$73,3,FALSE),"NA")</f>
        <v>2Central Puget Sound</v>
      </c>
      <c r="M290" s="72" t="s">
        <v>20</v>
      </c>
      <c r="N290" t="str">
        <f>VLOOKUP(M290,LUTs!E$2:H$14,3,)</f>
        <v>07Pierce</v>
      </c>
      <c r="O290" t="str">
        <f>VLOOKUP(M290,LUTs!E$2:H$14,4,)</f>
        <v>02South Puget Sound</v>
      </c>
      <c r="P290" s="73">
        <v>0</v>
      </c>
      <c r="Q290" s="74">
        <f>VLOOKUP(B290,Readme!A$40:C$51,2,)*P290</f>
        <v>0</v>
      </c>
    </row>
    <row r="291" spans="1:17" ht="14.15" customHeight="1" x14ac:dyDescent="0.35">
      <c r="A291" s="75">
        <v>290</v>
      </c>
      <c r="B291" s="64">
        <v>2010</v>
      </c>
      <c r="C291" s="64">
        <v>8</v>
      </c>
      <c r="D291" s="80">
        <f t="shared" si="11"/>
        <v>2010</v>
      </c>
      <c r="E291" t="s">
        <v>38</v>
      </c>
      <c r="F291" t="s">
        <v>143</v>
      </c>
      <c r="G291" t="s">
        <v>10</v>
      </c>
      <c r="H291" s="72" t="s">
        <v>221</v>
      </c>
      <c r="I291" s="72" t="s">
        <v>63</v>
      </c>
      <c r="J291" t="str">
        <f t="shared" si="12"/>
        <v>Snohomish River</v>
      </c>
      <c r="K291" t="str">
        <f>IFERROR(VLOOKUP(J291,LUTs!$A$1:$C$73,2,FALSE),"NA")</f>
        <v>Snohomish</v>
      </c>
      <c r="L291" t="str">
        <f>IFERROR(VLOOKUP(J291,LUTs!$A$1:$C$73,3,FALSE),"NA")</f>
        <v>2Central Puget Sound</v>
      </c>
      <c r="M291" s="72" t="s">
        <v>16</v>
      </c>
      <c r="N291" t="str">
        <f>VLOOKUP(M291,LUTs!E$2:H$14,3,)</f>
        <v>03Snohomish</v>
      </c>
      <c r="O291" t="str">
        <f>VLOOKUP(M291,LUTs!E$2:H$14,4,)</f>
        <v>01North Puget Sound</v>
      </c>
      <c r="P291" s="73">
        <v>0</v>
      </c>
      <c r="Q291" s="74">
        <f>VLOOKUP(B291,Readme!A$40:C$51,2,)*P291</f>
        <v>0</v>
      </c>
    </row>
    <row r="292" spans="1:17" ht="14.15" customHeight="1" x14ac:dyDescent="0.35">
      <c r="A292" s="75">
        <v>291</v>
      </c>
      <c r="B292" s="64">
        <v>2010</v>
      </c>
      <c r="C292" s="64">
        <v>9</v>
      </c>
      <c r="D292" s="80">
        <f t="shared" si="11"/>
        <v>2010</v>
      </c>
      <c r="E292" t="s">
        <v>38</v>
      </c>
      <c r="F292" t="s">
        <v>143</v>
      </c>
      <c r="G292" t="s">
        <v>10</v>
      </c>
      <c r="H292" s="72" t="s">
        <v>221</v>
      </c>
      <c r="I292" s="72" t="s">
        <v>63</v>
      </c>
      <c r="J292" t="str">
        <f t="shared" si="12"/>
        <v>Snohomish River</v>
      </c>
      <c r="K292" t="str">
        <f>IFERROR(VLOOKUP(J292,LUTs!$A$1:$C$73,2,FALSE),"NA")</f>
        <v>Snohomish</v>
      </c>
      <c r="L292" t="str">
        <f>IFERROR(VLOOKUP(J292,LUTs!$A$1:$C$73,3,FALSE),"NA")</f>
        <v>2Central Puget Sound</v>
      </c>
      <c r="M292" s="72" t="s">
        <v>25</v>
      </c>
      <c r="N292" t="str">
        <f>VLOOKUP(M292,LUTs!E$2:H$14,3,)</f>
        <v>12Jefferson</v>
      </c>
      <c r="O292" t="str">
        <f>VLOOKUP(M292,LUTs!E$2:H$14,4,)</f>
        <v>03Strait of Juan de Fuca</v>
      </c>
      <c r="P292" s="73">
        <v>6.1833333333333398</v>
      </c>
      <c r="Q292" s="74">
        <f>VLOOKUP(B292,Readme!A$40:C$51,2,)*P292</f>
        <v>53.485833333333389</v>
      </c>
    </row>
    <row r="293" spans="1:17" ht="14.15" customHeight="1" x14ac:dyDescent="0.35">
      <c r="A293" s="75">
        <v>292</v>
      </c>
      <c r="B293" s="64">
        <v>2010</v>
      </c>
      <c r="C293" s="64">
        <v>9</v>
      </c>
      <c r="D293" s="80">
        <f t="shared" si="11"/>
        <v>2010</v>
      </c>
      <c r="E293" t="s">
        <v>38</v>
      </c>
      <c r="F293" t="s">
        <v>143</v>
      </c>
      <c r="G293" t="s">
        <v>10</v>
      </c>
      <c r="H293" s="72" t="s">
        <v>221</v>
      </c>
      <c r="I293" s="72" t="s">
        <v>63</v>
      </c>
      <c r="J293" t="str">
        <f t="shared" si="12"/>
        <v>Snohomish River</v>
      </c>
      <c r="K293" t="str">
        <f>IFERROR(VLOOKUP(J293,LUTs!$A$1:$C$73,2,FALSE),"NA")</f>
        <v>Snohomish</v>
      </c>
      <c r="L293" t="str">
        <f>IFERROR(VLOOKUP(J293,LUTs!$A$1:$C$73,3,FALSE),"NA")</f>
        <v>2Central Puget Sound</v>
      </c>
      <c r="M293" s="72" t="s">
        <v>18</v>
      </c>
      <c r="N293" t="str">
        <f>VLOOKUP(M293,LUTs!E$2:H$14,3,)</f>
        <v>06King</v>
      </c>
      <c r="O293" t="str">
        <f>VLOOKUP(M293,LUTs!E$2:H$14,4,)</f>
        <v>02South Puget Sound</v>
      </c>
      <c r="P293" s="73">
        <v>30.9166666666667</v>
      </c>
      <c r="Q293" s="74">
        <f>VLOOKUP(B293,Readme!A$40:C$51,2,)*P293</f>
        <v>267.42916666666696</v>
      </c>
    </row>
    <row r="294" spans="1:17" ht="14.15" customHeight="1" x14ac:dyDescent="0.35">
      <c r="A294" s="75">
        <v>293</v>
      </c>
      <c r="B294" s="64">
        <v>2010</v>
      </c>
      <c r="C294" s="64">
        <v>9</v>
      </c>
      <c r="D294" s="80">
        <f t="shared" si="11"/>
        <v>2010</v>
      </c>
      <c r="E294" t="s">
        <v>38</v>
      </c>
      <c r="F294" t="s">
        <v>143</v>
      </c>
      <c r="G294" t="s">
        <v>10</v>
      </c>
      <c r="H294" s="72" t="s">
        <v>221</v>
      </c>
      <c r="I294" s="72" t="s">
        <v>63</v>
      </c>
      <c r="J294" t="str">
        <f t="shared" si="12"/>
        <v>Snohomish River</v>
      </c>
      <c r="K294" t="str">
        <f>IFERROR(VLOOKUP(J294,LUTs!$A$1:$C$73,2,FALSE),"NA")</f>
        <v>Snohomish</v>
      </c>
      <c r="L294" t="str">
        <f>IFERROR(VLOOKUP(J294,LUTs!$A$1:$C$73,3,FALSE),"NA")</f>
        <v>2Central Puget Sound</v>
      </c>
      <c r="M294" s="72" t="s">
        <v>26</v>
      </c>
      <c r="N294" t="str">
        <f>VLOOKUP(M294,LUTs!E$2:H$14,3,)</f>
        <v>20Other</v>
      </c>
      <c r="O294" t="str">
        <f>VLOOKUP(M294,LUTs!E$2:H$14,4,)</f>
        <v>07Non Puget Sound</v>
      </c>
      <c r="P294" s="73">
        <v>18.55</v>
      </c>
      <c r="Q294" s="74">
        <f>VLOOKUP(B294,Readme!A$40:C$51,2,)*P294</f>
        <v>160.45750000000001</v>
      </c>
    </row>
    <row r="295" spans="1:17" ht="14.15" customHeight="1" x14ac:dyDescent="0.35">
      <c r="A295" s="75">
        <v>294</v>
      </c>
      <c r="B295" s="64">
        <v>2010</v>
      </c>
      <c r="C295" s="64">
        <v>9</v>
      </c>
      <c r="D295" s="80">
        <f t="shared" si="11"/>
        <v>2010</v>
      </c>
      <c r="E295" t="s">
        <v>38</v>
      </c>
      <c r="F295" t="s">
        <v>143</v>
      </c>
      <c r="G295" t="s">
        <v>10</v>
      </c>
      <c r="H295" s="72" t="s">
        <v>221</v>
      </c>
      <c r="I295" s="72" t="s">
        <v>63</v>
      </c>
      <c r="J295" t="str">
        <f t="shared" si="12"/>
        <v>Snohomish River</v>
      </c>
      <c r="K295" t="str">
        <f>IFERROR(VLOOKUP(J295,LUTs!$A$1:$C$73,2,FALSE),"NA")</f>
        <v>Snohomish</v>
      </c>
      <c r="L295" t="str">
        <f>IFERROR(VLOOKUP(J295,LUTs!$A$1:$C$73,3,FALSE),"NA")</f>
        <v>2Central Puget Sound</v>
      </c>
      <c r="M295" s="72" t="s">
        <v>20</v>
      </c>
      <c r="N295" t="str">
        <f>VLOOKUP(M295,LUTs!E$2:H$14,3,)</f>
        <v>07Pierce</v>
      </c>
      <c r="O295" t="str">
        <f>VLOOKUP(M295,LUTs!E$2:H$14,4,)</f>
        <v>02South Puget Sound</v>
      </c>
      <c r="P295" s="73">
        <v>18.55</v>
      </c>
      <c r="Q295" s="74">
        <f>VLOOKUP(B295,Readme!A$40:C$51,2,)*P295</f>
        <v>160.45750000000001</v>
      </c>
    </row>
    <row r="296" spans="1:17" ht="14.15" customHeight="1" x14ac:dyDescent="0.35">
      <c r="A296" s="75">
        <v>295</v>
      </c>
      <c r="B296" s="64">
        <v>2010</v>
      </c>
      <c r="C296" s="64">
        <v>9</v>
      </c>
      <c r="D296" s="80">
        <f t="shared" si="11"/>
        <v>2010</v>
      </c>
      <c r="E296" t="s">
        <v>38</v>
      </c>
      <c r="F296" t="s">
        <v>143</v>
      </c>
      <c r="G296" t="s">
        <v>10</v>
      </c>
      <c r="H296" s="72" t="s">
        <v>221</v>
      </c>
      <c r="I296" s="72" t="s">
        <v>63</v>
      </c>
      <c r="J296" t="str">
        <f t="shared" si="12"/>
        <v>Snohomish River</v>
      </c>
      <c r="K296" t="str">
        <f>IFERROR(VLOOKUP(J296,LUTs!$A$1:$C$73,2,FALSE),"NA")</f>
        <v>Snohomish</v>
      </c>
      <c r="L296" t="str">
        <f>IFERROR(VLOOKUP(J296,LUTs!$A$1:$C$73,3,FALSE),"NA")</f>
        <v>2Central Puget Sound</v>
      </c>
      <c r="M296" s="72" t="s">
        <v>16</v>
      </c>
      <c r="N296" t="str">
        <f>VLOOKUP(M296,LUTs!E$2:H$14,3,)</f>
        <v>03Snohomish</v>
      </c>
      <c r="O296" t="str">
        <f>VLOOKUP(M296,LUTs!E$2:H$14,4,)</f>
        <v>01North Puget Sound</v>
      </c>
      <c r="P296" s="73">
        <v>296.8</v>
      </c>
      <c r="Q296" s="74">
        <f>VLOOKUP(B296,Readme!A$40:C$51,2,)*P296</f>
        <v>2567.3200000000002</v>
      </c>
    </row>
    <row r="297" spans="1:17" ht="14.15" customHeight="1" x14ac:dyDescent="0.35">
      <c r="A297" s="75">
        <v>296</v>
      </c>
      <c r="B297" s="64">
        <v>2010</v>
      </c>
      <c r="C297" s="64">
        <v>10</v>
      </c>
      <c r="D297" s="80">
        <f t="shared" si="11"/>
        <v>2010</v>
      </c>
      <c r="E297" t="s">
        <v>38</v>
      </c>
      <c r="F297" t="s">
        <v>143</v>
      </c>
      <c r="G297" t="s">
        <v>10</v>
      </c>
      <c r="H297" s="72" t="s">
        <v>221</v>
      </c>
      <c r="I297" s="72" t="s">
        <v>63</v>
      </c>
      <c r="J297" t="str">
        <f t="shared" si="12"/>
        <v>Snohomish River</v>
      </c>
      <c r="K297" t="str">
        <f>IFERROR(VLOOKUP(J297,LUTs!$A$1:$C$73,2,FALSE),"NA")</f>
        <v>Snohomish</v>
      </c>
      <c r="L297" t="str">
        <f>IFERROR(VLOOKUP(J297,LUTs!$A$1:$C$73,3,FALSE),"NA")</f>
        <v>2Central Puget Sound</v>
      </c>
      <c r="M297" s="72" t="s">
        <v>18</v>
      </c>
      <c r="N297" t="str">
        <f>VLOOKUP(M297,LUTs!E$2:H$14,3,)</f>
        <v>06King</v>
      </c>
      <c r="O297" t="str">
        <f>VLOOKUP(M297,LUTs!E$2:H$14,4,)</f>
        <v>02South Puget Sound</v>
      </c>
      <c r="P297" s="73">
        <v>74.228571428571399</v>
      </c>
      <c r="Q297" s="74">
        <f>VLOOKUP(B297,Readme!A$40:C$51,2,)*P297</f>
        <v>642.07714285714258</v>
      </c>
    </row>
    <row r="298" spans="1:17" ht="14.15" customHeight="1" x14ac:dyDescent="0.35">
      <c r="A298" s="75">
        <v>297</v>
      </c>
      <c r="B298" s="64">
        <v>2010</v>
      </c>
      <c r="C298" s="64">
        <v>10</v>
      </c>
      <c r="D298" s="80">
        <f t="shared" si="11"/>
        <v>2010</v>
      </c>
      <c r="E298" t="s">
        <v>38</v>
      </c>
      <c r="F298" t="s">
        <v>143</v>
      </c>
      <c r="G298" t="s">
        <v>10</v>
      </c>
      <c r="H298" s="72" t="s">
        <v>221</v>
      </c>
      <c r="I298" s="72" t="s">
        <v>63</v>
      </c>
      <c r="J298" t="str">
        <f t="shared" si="12"/>
        <v>Snohomish River</v>
      </c>
      <c r="K298" t="str">
        <f>IFERROR(VLOOKUP(J298,LUTs!$A$1:$C$73,2,FALSE),"NA")</f>
        <v>Snohomish</v>
      </c>
      <c r="L298" t="str">
        <f>IFERROR(VLOOKUP(J298,LUTs!$A$1:$C$73,3,FALSE),"NA")</f>
        <v>2Central Puget Sound</v>
      </c>
      <c r="M298" s="72" t="s">
        <v>20</v>
      </c>
      <c r="N298" t="str">
        <f>VLOOKUP(M298,LUTs!E$2:H$14,3,)</f>
        <v>07Pierce</v>
      </c>
      <c r="O298" t="str">
        <f>VLOOKUP(M298,LUTs!E$2:H$14,4,)</f>
        <v>02South Puget Sound</v>
      </c>
      <c r="P298" s="73">
        <v>6.1857142857142904</v>
      </c>
      <c r="Q298" s="74">
        <f>VLOOKUP(B298,Readme!A$40:C$51,2,)*P298</f>
        <v>53.506428571428614</v>
      </c>
    </row>
    <row r="299" spans="1:17" ht="14.15" customHeight="1" x14ac:dyDescent="0.35">
      <c r="A299" s="75">
        <v>298</v>
      </c>
      <c r="B299" s="64">
        <v>2010</v>
      </c>
      <c r="C299" s="64">
        <v>10</v>
      </c>
      <c r="D299" s="80">
        <f t="shared" si="11"/>
        <v>2010</v>
      </c>
      <c r="E299" t="s">
        <v>38</v>
      </c>
      <c r="F299" t="s">
        <v>143</v>
      </c>
      <c r="G299" t="s">
        <v>10</v>
      </c>
      <c r="H299" s="72" t="s">
        <v>221</v>
      </c>
      <c r="I299" s="72" t="s">
        <v>63</v>
      </c>
      <c r="J299" t="str">
        <f t="shared" si="12"/>
        <v>Snohomish River</v>
      </c>
      <c r="K299" t="str">
        <f>IFERROR(VLOOKUP(J299,LUTs!$A$1:$C$73,2,FALSE),"NA")</f>
        <v>Snohomish</v>
      </c>
      <c r="L299" t="str">
        <f>IFERROR(VLOOKUP(J299,LUTs!$A$1:$C$73,3,FALSE),"NA")</f>
        <v>2Central Puget Sound</v>
      </c>
      <c r="M299" s="72" t="s">
        <v>15</v>
      </c>
      <c r="N299" t="str">
        <f>VLOOKUP(M299,LUTs!E$2:H$14,3,)</f>
        <v>02Skagit</v>
      </c>
      <c r="O299" t="str">
        <f>VLOOKUP(M299,LUTs!E$2:H$14,4,)</f>
        <v>01North Puget Sound</v>
      </c>
      <c r="P299" s="73">
        <v>18.5571428571429</v>
      </c>
      <c r="Q299" s="74">
        <f>VLOOKUP(B299,Readme!A$40:C$51,2,)*P299</f>
        <v>160.5192857142861</v>
      </c>
    </row>
    <row r="300" spans="1:17" ht="14.15" customHeight="1" x14ac:dyDescent="0.35">
      <c r="A300" s="75">
        <v>299</v>
      </c>
      <c r="B300" s="64">
        <v>2010</v>
      </c>
      <c r="C300" s="64">
        <v>10</v>
      </c>
      <c r="D300" s="80">
        <f t="shared" si="11"/>
        <v>2010</v>
      </c>
      <c r="E300" t="s">
        <v>38</v>
      </c>
      <c r="F300" t="s">
        <v>143</v>
      </c>
      <c r="G300" t="s">
        <v>10</v>
      </c>
      <c r="H300" s="72" t="s">
        <v>221</v>
      </c>
      <c r="I300" s="72" t="s">
        <v>63</v>
      </c>
      <c r="J300" t="str">
        <f t="shared" si="12"/>
        <v>Snohomish River</v>
      </c>
      <c r="K300" t="str">
        <f>IFERROR(VLOOKUP(J300,LUTs!$A$1:$C$73,2,FALSE),"NA")</f>
        <v>Snohomish</v>
      </c>
      <c r="L300" t="str">
        <f>IFERROR(VLOOKUP(J300,LUTs!$A$1:$C$73,3,FALSE),"NA")</f>
        <v>2Central Puget Sound</v>
      </c>
      <c r="M300" s="72" t="s">
        <v>16</v>
      </c>
      <c r="N300" t="str">
        <f>VLOOKUP(M300,LUTs!E$2:H$14,3,)</f>
        <v>03Snohomish</v>
      </c>
      <c r="O300" t="str">
        <f>VLOOKUP(M300,LUTs!E$2:H$14,4,)</f>
        <v>01North Puget Sound</v>
      </c>
      <c r="P300" s="73">
        <v>334.02857142857198</v>
      </c>
      <c r="Q300" s="74">
        <f>VLOOKUP(B300,Readme!A$40:C$51,2,)*P300</f>
        <v>2889.3471428571479</v>
      </c>
    </row>
    <row r="301" spans="1:17" ht="14.15" customHeight="1" x14ac:dyDescent="0.35">
      <c r="A301" s="75">
        <v>300</v>
      </c>
      <c r="B301" s="64">
        <v>2010</v>
      </c>
      <c r="C301" s="64">
        <v>11</v>
      </c>
      <c r="D301" s="80">
        <f t="shared" si="11"/>
        <v>2010</v>
      </c>
      <c r="E301" t="s">
        <v>38</v>
      </c>
      <c r="F301" t="s">
        <v>143</v>
      </c>
      <c r="G301" t="s">
        <v>10</v>
      </c>
      <c r="H301" s="72" t="s">
        <v>221</v>
      </c>
      <c r="I301" s="72" t="s">
        <v>63</v>
      </c>
      <c r="J301" t="str">
        <f t="shared" si="12"/>
        <v>Snohomish River</v>
      </c>
      <c r="K301" t="str">
        <f>IFERROR(VLOOKUP(J301,LUTs!$A$1:$C$73,2,FALSE),"NA")</f>
        <v>Snohomish</v>
      </c>
      <c r="L301" t="str">
        <f>IFERROR(VLOOKUP(J301,LUTs!$A$1:$C$73,3,FALSE),"NA")</f>
        <v>2Central Puget Sound</v>
      </c>
      <c r="M301" s="72" t="s">
        <v>16</v>
      </c>
      <c r="N301" t="str">
        <f>VLOOKUP(M301,LUTs!E$2:H$14,3,)</f>
        <v>03Snohomish</v>
      </c>
      <c r="O301" t="str">
        <f>VLOOKUP(M301,LUTs!E$2:H$14,4,)</f>
        <v>01North Puget Sound</v>
      </c>
      <c r="P301" s="73">
        <v>6</v>
      </c>
      <c r="Q301" s="74">
        <f>VLOOKUP(B301,Readme!A$40:C$51,2,)*P301</f>
        <v>51.900000000000006</v>
      </c>
    </row>
    <row r="302" spans="1:17" ht="14.15" customHeight="1" x14ac:dyDescent="0.35">
      <c r="A302" s="75">
        <v>301</v>
      </c>
      <c r="B302" s="64">
        <v>2010</v>
      </c>
      <c r="C302" s="64">
        <v>9</v>
      </c>
      <c r="D302" s="80">
        <f t="shared" si="11"/>
        <v>2010</v>
      </c>
      <c r="E302" t="s">
        <v>38</v>
      </c>
      <c r="F302" t="s">
        <v>143</v>
      </c>
      <c r="G302" t="s">
        <v>10</v>
      </c>
      <c r="H302" s="72" t="s">
        <v>222</v>
      </c>
      <c r="I302" s="72" t="s">
        <v>64</v>
      </c>
      <c r="J302" t="str">
        <f t="shared" si="12"/>
        <v>Snoqualmie River</v>
      </c>
      <c r="K302" t="str">
        <f>IFERROR(VLOOKUP(J302,LUTs!$A$1:$C$73,2,FALSE),"NA")</f>
        <v>Snohomish/King</v>
      </c>
      <c r="L302" t="str">
        <f>IFERROR(VLOOKUP(J302,LUTs!$A$1:$C$73,3,FALSE),"NA")</f>
        <v>2Central Puget Sound</v>
      </c>
      <c r="M302" s="72" t="s">
        <v>18</v>
      </c>
      <c r="N302" t="str">
        <f>VLOOKUP(M302,LUTs!E$2:H$14,3,)</f>
        <v>06King</v>
      </c>
      <c r="O302" t="str">
        <f>VLOOKUP(M302,LUTs!E$2:H$14,4,)</f>
        <v>02South Puget Sound</v>
      </c>
      <c r="P302" s="73">
        <v>6</v>
      </c>
      <c r="Q302" s="74">
        <f>VLOOKUP(B302,Readme!A$40:C$51,2,)*P302</f>
        <v>51.900000000000006</v>
      </c>
    </row>
    <row r="303" spans="1:17" ht="14.15" customHeight="1" x14ac:dyDescent="0.35">
      <c r="A303" s="75">
        <v>302</v>
      </c>
      <c r="B303" s="64">
        <v>2010</v>
      </c>
      <c r="C303" s="64">
        <v>10</v>
      </c>
      <c r="D303" s="80">
        <f t="shared" si="11"/>
        <v>2010</v>
      </c>
      <c r="E303" t="s">
        <v>38</v>
      </c>
      <c r="F303" t="s">
        <v>143</v>
      </c>
      <c r="G303" t="s">
        <v>10</v>
      </c>
      <c r="H303" s="72" t="s">
        <v>222</v>
      </c>
      <c r="I303" s="72" t="s">
        <v>64</v>
      </c>
      <c r="J303" t="str">
        <f t="shared" si="12"/>
        <v>Snoqualmie River</v>
      </c>
      <c r="K303" t="str">
        <f>IFERROR(VLOOKUP(J303,LUTs!$A$1:$C$73,2,FALSE),"NA")</f>
        <v>Snohomish/King</v>
      </c>
      <c r="L303" t="str">
        <f>IFERROR(VLOOKUP(J303,LUTs!$A$1:$C$73,3,FALSE),"NA")</f>
        <v>2Central Puget Sound</v>
      </c>
      <c r="M303" s="72" t="s">
        <v>18</v>
      </c>
      <c r="N303" t="str">
        <f>VLOOKUP(M303,LUTs!E$2:H$14,3,)</f>
        <v>06King</v>
      </c>
      <c r="O303" t="str">
        <f>VLOOKUP(M303,LUTs!E$2:H$14,4,)</f>
        <v>02South Puget Sound</v>
      </c>
      <c r="P303" s="73">
        <v>94.565217391304401</v>
      </c>
      <c r="Q303" s="74">
        <f>VLOOKUP(B303,Readme!A$40:C$51,2,)*P303</f>
        <v>817.98913043478308</v>
      </c>
    </row>
    <row r="304" spans="1:17" ht="14.15" customHeight="1" x14ac:dyDescent="0.35">
      <c r="A304" s="75">
        <v>303</v>
      </c>
      <c r="B304" s="64">
        <v>2010</v>
      </c>
      <c r="C304" s="64">
        <v>10</v>
      </c>
      <c r="D304" s="80">
        <f t="shared" si="11"/>
        <v>2010</v>
      </c>
      <c r="E304" t="s">
        <v>38</v>
      </c>
      <c r="F304" t="s">
        <v>143</v>
      </c>
      <c r="G304" t="s">
        <v>10</v>
      </c>
      <c r="H304" s="72" t="s">
        <v>222</v>
      </c>
      <c r="I304" s="72" t="s">
        <v>64</v>
      </c>
      <c r="J304" t="str">
        <f t="shared" si="12"/>
        <v>Snoqualmie River</v>
      </c>
      <c r="K304" t="str">
        <f>IFERROR(VLOOKUP(J304,LUTs!$A$1:$C$73,2,FALSE),"NA")</f>
        <v>Snohomish/King</v>
      </c>
      <c r="L304" t="str">
        <f>IFERROR(VLOOKUP(J304,LUTs!$A$1:$C$73,3,FALSE),"NA")</f>
        <v>2Central Puget Sound</v>
      </c>
      <c r="M304" s="72" t="s">
        <v>16</v>
      </c>
      <c r="N304" t="str">
        <f>VLOOKUP(M304,LUTs!E$2:H$14,3,)</f>
        <v>03Snohomish</v>
      </c>
      <c r="O304" t="str">
        <f>VLOOKUP(M304,LUTs!E$2:H$14,4,)</f>
        <v>01North Puget Sound</v>
      </c>
      <c r="P304" s="73">
        <v>50.434782608695699</v>
      </c>
      <c r="Q304" s="74">
        <f>VLOOKUP(B304,Readme!A$40:C$51,2,)*P304</f>
        <v>436.26086956521783</v>
      </c>
    </row>
    <row r="305" spans="1:17" ht="14.15" customHeight="1" x14ac:dyDescent="0.35">
      <c r="A305" s="75">
        <v>304</v>
      </c>
      <c r="B305" s="64">
        <v>2010</v>
      </c>
      <c r="C305" s="64">
        <v>11</v>
      </c>
      <c r="D305" s="80">
        <f t="shared" si="11"/>
        <v>2010</v>
      </c>
      <c r="E305" t="s">
        <v>38</v>
      </c>
      <c r="F305" t="s">
        <v>143</v>
      </c>
      <c r="G305" t="s">
        <v>10</v>
      </c>
      <c r="H305" s="72" t="s">
        <v>222</v>
      </c>
      <c r="I305" s="72" t="s">
        <v>64</v>
      </c>
      <c r="J305" t="str">
        <f t="shared" si="12"/>
        <v>Snoqualmie River</v>
      </c>
      <c r="K305" t="str">
        <f>IFERROR(VLOOKUP(J305,LUTs!$A$1:$C$73,2,FALSE),"NA")</f>
        <v>Snohomish/King</v>
      </c>
      <c r="L305" t="str">
        <f>IFERROR(VLOOKUP(J305,LUTs!$A$1:$C$73,3,FALSE),"NA")</f>
        <v>2Central Puget Sound</v>
      </c>
      <c r="M305" s="72" t="s">
        <v>18</v>
      </c>
      <c r="N305" t="str">
        <f>VLOOKUP(M305,LUTs!E$2:H$14,3,)</f>
        <v>06King</v>
      </c>
      <c r="O305" t="str">
        <f>VLOOKUP(M305,LUTs!E$2:H$14,4,)</f>
        <v>02South Puget Sound</v>
      </c>
      <c r="P305" s="73">
        <v>31</v>
      </c>
      <c r="Q305" s="74">
        <f>VLOOKUP(B305,Readme!A$40:C$51,2,)*P305</f>
        <v>268.15000000000003</v>
      </c>
    </row>
    <row r="306" spans="1:17" ht="14.15" customHeight="1" x14ac:dyDescent="0.35">
      <c r="A306" s="75">
        <v>305</v>
      </c>
      <c r="B306" s="64">
        <v>2010</v>
      </c>
      <c r="C306" s="64">
        <v>12</v>
      </c>
      <c r="D306" s="80">
        <f t="shared" si="11"/>
        <v>2010</v>
      </c>
      <c r="E306" t="s">
        <v>38</v>
      </c>
      <c r="F306" t="s">
        <v>143</v>
      </c>
      <c r="G306" t="s">
        <v>10</v>
      </c>
      <c r="H306" s="72" t="s">
        <v>222</v>
      </c>
      <c r="I306" s="72" t="s">
        <v>64</v>
      </c>
      <c r="J306" t="str">
        <f t="shared" si="12"/>
        <v>Snoqualmie River</v>
      </c>
      <c r="K306" t="str">
        <f>IFERROR(VLOOKUP(J306,LUTs!$A$1:$C$73,2,FALSE),"NA")</f>
        <v>Snohomish/King</v>
      </c>
      <c r="L306" t="str">
        <f>IFERROR(VLOOKUP(J306,LUTs!$A$1:$C$73,3,FALSE),"NA")</f>
        <v>2Central Puget Sound</v>
      </c>
      <c r="M306" s="72" t="s">
        <v>18</v>
      </c>
      <c r="N306" t="str">
        <f>VLOOKUP(M306,LUTs!E$2:H$14,3,)</f>
        <v>06King</v>
      </c>
      <c r="O306" t="str">
        <f>VLOOKUP(M306,LUTs!E$2:H$14,4,)</f>
        <v>02South Puget Sound</v>
      </c>
      <c r="P306" s="73">
        <v>6</v>
      </c>
      <c r="Q306" s="74">
        <f>VLOOKUP(B306,Readme!A$40:C$51,2,)*P306</f>
        <v>51.900000000000006</v>
      </c>
    </row>
    <row r="307" spans="1:17" ht="14.15" customHeight="1" x14ac:dyDescent="0.35">
      <c r="A307" s="75">
        <v>306</v>
      </c>
      <c r="B307" s="64">
        <v>2010</v>
      </c>
      <c r="C307" s="64">
        <v>9</v>
      </c>
      <c r="D307" s="80">
        <f t="shared" si="11"/>
        <v>2010</v>
      </c>
      <c r="E307" t="s">
        <v>38</v>
      </c>
      <c r="F307" t="s">
        <v>143</v>
      </c>
      <c r="G307" t="s">
        <v>10</v>
      </c>
      <c r="H307" s="72" t="s">
        <v>223</v>
      </c>
      <c r="I307" s="72" t="s">
        <v>65</v>
      </c>
      <c r="J307" t="str">
        <f t="shared" si="12"/>
        <v>Stillaguamish River</v>
      </c>
      <c r="K307" t="str">
        <f>IFERROR(VLOOKUP(J307,LUTs!$A$1:$C$73,2,FALSE),"NA")</f>
        <v>Snohomish</v>
      </c>
      <c r="L307" t="str">
        <f>IFERROR(VLOOKUP(J307,LUTs!$A$1:$C$73,3,FALSE),"NA")</f>
        <v>2Central Puget Sound</v>
      </c>
      <c r="M307" s="72" t="s">
        <v>16</v>
      </c>
      <c r="N307" t="str">
        <f>VLOOKUP(M307,LUTs!E$2:H$14,3,)</f>
        <v>03Snohomish</v>
      </c>
      <c r="O307" t="str">
        <f>VLOOKUP(M307,LUTs!E$2:H$14,4,)</f>
        <v>01North Puget Sound</v>
      </c>
      <c r="P307" s="73">
        <v>61</v>
      </c>
      <c r="Q307" s="74">
        <f>VLOOKUP(B307,Readme!A$40:C$51,2,)*P307</f>
        <v>527.65</v>
      </c>
    </row>
    <row r="308" spans="1:17" ht="14.15" customHeight="1" x14ac:dyDescent="0.35">
      <c r="A308" s="75">
        <v>307</v>
      </c>
      <c r="B308" s="64">
        <v>2010</v>
      </c>
      <c r="C308" s="64">
        <v>10</v>
      </c>
      <c r="D308" s="80">
        <f t="shared" si="11"/>
        <v>2010</v>
      </c>
      <c r="E308" t="s">
        <v>38</v>
      </c>
      <c r="F308" t="s">
        <v>143</v>
      </c>
      <c r="G308" t="s">
        <v>10</v>
      </c>
      <c r="H308" s="72" t="s">
        <v>223</v>
      </c>
      <c r="I308" s="72" t="s">
        <v>65</v>
      </c>
      <c r="J308" t="str">
        <f t="shared" si="12"/>
        <v>Stillaguamish River</v>
      </c>
      <c r="K308" t="str">
        <f>IFERROR(VLOOKUP(J308,LUTs!$A$1:$C$73,2,FALSE),"NA")</f>
        <v>Snohomish</v>
      </c>
      <c r="L308" t="str">
        <f>IFERROR(VLOOKUP(J308,LUTs!$A$1:$C$73,3,FALSE),"NA")</f>
        <v>2Central Puget Sound</v>
      </c>
      <c r="M308" s="72" t="s">
        <v>17</v>
      </c>
      <c r="N308" t="str">
        <f>VLOOKUP(M308,LUTs!E$2:H$14,3,)</f>
        <v>04Island</v>
      </c>
      <c r="O308" t="str">
        <f>VLOOKUP(M308,LUTs!E$2:H$14,4,)</f>
        <v>01North Puget Sound</v>
      </c>
      <c r="P308" s="73">
        <v>12.1904761904762</v>
      </c>
      <c r="Q308" s="74">
        <f>VLOOKUP(B308,Readme!A$40:C$51,2,)*P308</f>
        <v>105.44761904761914</v>
      </c>
    </row>
    <row r="309" spans="1:17" ht="14.15" customHeight="1" x14ac:dyDescent="0.35">
      <c r="A309" s="75">
        <v>308</v>
      </c>
      <c r="B309" s="64">
        <v>2010</v>
      </c>
      <c r="C309" s="64">
        <v>10</v>
      </c>
      <c r="D309" s="80">
        <f t="shared" si="11"/>
        <v>2010</v>
      </c>
      <c r="E309" t="s">
        <v>38</v>
      </c>
      <c r="F309" t="s">
        <v>143</v>
      </c>
      <c r="G309" t="s">
        <v>10</v>
      </c>
      <c r="H309" s="72" t="s">
        <v>223</v>
      </c>
      <c r="I309" s="72" t="s">
        <v>65</v>
      </c>
      <c r="J309" t="str">
        <f t="shared" si="12"/>
        <v>Stillaguamish River</v>
      </c>
      <c r="K309" t="str">
        <f>IFERROR(VLOOKUP(J309,LUTs!$A$1:$C$73,2,FALSE),"NA")</f>
        <v>Snohomish</v>
      </c>
      <c r="L309" t="str">
        <f>IFERROR(VLOOKUP(J309,LUTs!$A$1:$C$73,3,FALSE),"NA")</f>
        <v>2Central Puget Sound</v>
      </c>
      <c r="M309" s="72" t="s">
        <v>16</v>
      </c>
      <c r="N309" t="str">
        <f>VLOOKUP(M309,LUTs!E$2:H$14,3,)</f>
        <v>03Snohomish</v>
      </c>
      <c r="O309" t="str">
        <f>VLOOKUP(M309,LUTs!E$2:H$14,4,)</f>
        <v>01North Puget Sound</v>
      </c>
      <c r="P309" s="73">
        <v>243.80952380952399</v>
      </c>
      <c r="Q309" s="74">
        <f>VLOOKUP(B309,Readme!A$40:C$51,2,)*P309</f>
        <v>2108.9523809523826</v>
      </c>
    </row>
    <row r="310" spans="1:17" ht="14.15" customHeight="1" x14ac:dyDescent="0.35">
      <c r="A310" s="75">
        <v>309</v>
      </c>
      <c r="B310" s="64">
        <v>2010</v>
      </c>
      <c r="C310" s="64">
        <v>11</v>
      </c>
      <c r="D310" s="80">
        <f t="shared" si="11"/>
        <v>2010</v>
      </c>
      <c r="E310" t="s">
        <v>38</v>
      </c>
      <c r="F310" t="s">
        <v>143</v>
      </c>
      <c r="G310" t="s">
        <v>10</v>
      </c>
      <c r="H310" s="72" t="s">
        <v>223</v>
      </c>
      <c r="I310" s="72" t="s">
        <v>65</v>
      </c>
      <c r="J310" t="str">
        <f t="shared" si="12"/>
        <v>Stillaguamish River</v>
      </c>
      <c r="K310" t="str">
        <f>IFERROR(VLOOKUP(J310,LUTs!$A$1:$C$73,2,FALSE),"NA")</f>
        <v>Snohomish</v>
      </c>
      <c r="L310" t="str">
        <f>IFERROR(VLOOKUP(J310,LUTs!$A$1:$C$73,3,FALSE),"NA")</f>
        <v>2Central Puget Sound</v>
      </c>
      <c r="M310" s="72" t="s">
        <v>16</v>
      </c>
      <c r="N310" t="str">
        <f>VLOOKUP(M310,LUTs!E$2:H$14,3,)</f>
        <v>03Snohomish</v>
      </c>
      <c r="O310" t="str">
        <f>VLOOKUP(M310,LUTs!E$2:H$14,4,)</f>
        <v>01North Puget Sound</v>
      </c>
      <c r="P310" s="73">
        <v>12</v>
      </c>
      <c r="Q310" s="74">
        <f>VLOOKUP(B310,Readme!A$40:C$51,2,)*P310</f>
        <v>103.80000000000001</v>
      </c>
    </row>
    <row r="311" spans="1:17" ht="14.15" customHeight="1" x14ac:dyDescent="0.35">
      <c r="A311" s="75">
        <v>310</v>
      </c>
      <c r="B311" s="64">
        <v>2010</v>
      </c>
      <c r="C311" s="64">
        <v>12</v>
      </c>
      <c r="D311" s="80">
        <f t="shared" si="11"/>
        <v>2010</v>
      </c>
      <c r="E311" t="s">
        <v>38</v>
      </c>
      <c r="F311" t="s">
        <v>143</v>
      </c>
      <c r="G311" t="s">
        <v>10</v>
      </c>
      <c r="H311" s="72" t="s">
        <v>223</v>
      </c>
      <c r="I311" s="72" t="s">
        <v>65</v>
      </c>
      <c r="J311" t="str">
        <f t="shared" si="12"/>
        <v>Stillaguamish River</v>
      </c>
      <c r="K311" t="str">
        <f>IFERROR(VLOOKUP(J311,LUTs!$A$1:$C$73,2,FALSE),"NA")</f>
        <v>Snohomish</v>
      </c>
      <c r="L311" t="str">
        <f>IFERROR(VLOOKUP(J311,LUTs!$A$1:$C$73,3,FALSE),"NA")</f>
        <v>2Central Puget Sound</v>
      </c>
      <c r="M311" s="72" t="s">
        <v>16</v>
      </c>
      <c r="N311" t="str">
        <f>VLOOKUP(M311,LUTs!E$2:H$14,3,)</f>
        <v>03Snohomish</v>
      </c>
      <c r="O311" t="str">
        <f>VLOOKUP(M311,LUTs!E$2:H$14,4,)</f>
        <v>01North Puget Sound</v>
      </c>
      <c r="P311" s="73">
        <v>12</v>
      </c>
      <c r="Q311" s="74">
        <f>VLOOKUP(B311,Readme!A$40:C$51,2,)*P311</f>
        <v>103.80000000000001</v>
      </c>
    </row>
    <row r="312" spans="1:17" ht="14.15" customHeight="1" x14ac:dyDescent="0.35">
      <c r="A312" s="75">
        <v>311</v>
      </c>
      <c r="B312" s="64">
        <v>2010</v>
      </c>
      <c r="C312" s="64">
        <v>8</v>
      </c>
      <c r="D312" s="80">
        <f t="shared" si="11"/>
        <v>2010</v>
      </c>
      <c r="E312" t="s">
        <v>38</v>
      </c>
      <c r="F312" t="s">
        <v>143</v>
      </c>
      <c r="G312" t="s">
        <v>10</v>
      </c>
      <c r="H312" s="72" t="s">
        <v>224</v>
      </c>
      <c r="I312" s="72" t="s">
        <v>66</v>
      </c>
      <c r="J312" t="str">
        <f t="shared" si="12"/>
        <v>Whatcom Creek</v>
      </c>
      <c r="K312" t="str">
        <f>IFERROR(VLOOKUP(J312,LUTs!$A$1:$C$73,2,FALSE),"NA")</f>
        <v>Whatcom</v>
      </c>
      <c r="L312" t="str">
        <f>IFERROR(VLOOKUP(J312,LUTs!$A$1:$C$73,3,FALSE),"NA")</f>
        <v>1North Puget Sound</v>
      </c>
      <c r="M312" s="72" t="s">
        <v>18</v>
      </c>
      <c r="N312" t="str">
        <f>VLOOKUP(M312,LUTs!E$2:H$14,3,)</f>
        <v>06King</v>
      </c>
      <c r="O312" t="str">
        <f>VLOOKUP(M312,LUTs!E$2:H$14,4,)</f>
        <v>02South Puget Sound</v>
      </c>
      <c r="P312" s="73">
        <v>0</v>
      </c>
      <c r="Q312" s="74">
        <f>VLOOKUP(B312,Readme!A$40:C$51,2,)*P312</f>
        <v>0</v>
      </c>
    </row>
    <row r="313" spans="1:17" ht="14.15" customHeight="1" x14ac:dyDescent="0.35">
      <c r="A313" s="75">
        <v>312</v>
      </c>
      <c r="B313" s="64">
        <v>2010</v>
      </c>
      <c r="C313" s="64">
        <v>10</v>
      </c>
      <c r="D313" s="80">
        <f t="shared" si="11"/>
        <v>2010</v>
      </c>
      <c r="E313" t="s">
        <v>38</v>
      </c>
      <c r="F313" t="s">
        <v>143</v>
      </c>
      <c r="G313" t="s">
        <v>10</v>
      </c>
      <c r="H313" s="72" t="s">
        <v>224</v>
      </c>
      <c r="I313" s="72" t="s">
        <v>66</v>
      </c>
      <c r="J313" t="str">
        <f t="shared" si="12"/>
        <v>Whatcom Creek</v>
      </c>
      <c r="K313" t="str">
        <f>IFERROR(VLOOKUP(J313,LUTs!$A$1:$C$73,2,FALSE),"NA")</f>
        <v>Whatcom</v>
      </c>
      <c r="L313" t="str">
        <f>IFERROR(VLOOKUP(J313,LUTs!$A$1:$C$73,3,FALSE),"NA")</f>
        <v>1North Puget Sound</v>
      </c>
      <c r="M313" s="72" t="s">
        <v>20</v>
      </c>
      <c r="N313" t="str">
        <f>VLOOKUP(M313,LUTs!E$2:H$14,3,)</f>
        <v>07Pierce</v>
      </c>
      <c r="O313" t="str">
        <f>VLOOKUP(M313,LUTs!E$2:H$14,4,)</f>
        <v>02South Puget Sound</v>
      </c>
      <c r="P313" s="73">
        <v>6.1395348837209296</v>
      </c>
      <c r="Q313" s="74">
        <f>VLOOKUP(B313,Readme!A$40:C$51,2,)*P313</f>
        <v>53.106976744186042</v>
      </c>
    </row>
    <row r="314" spans="1:17" ht="14.15" customHeight="1" x14ac:dyDescent="0.35">
      <c r="A314" s="75">
        <v>313</v>
      </c>
      <c r="B314" s="64">
        <v>2010</v>
      </c>
      <c r="C314" s="64">
        <v>10</v>
      </c>
      <c r="D314" s="80">
        <f t="shared" si="11"/>
        <v>2010</v>
      </c>
      <c r="E314" t="s">
        <v>38</v>
      </c>
      <c r="F314" t="s">
        <v>143</v>
      </c>
      <c r="G314" t="s">
        <v>10</v>
      </c>
      <c r="H314" s="72" t="s">
        <v>224</v>
      </c>
      <c r="I314" s="72" t="s">
        <v>66</v>
      </c>
      <c r="J314" t="str">
        <f t="shared" si="12"/>
        <v>Whatcom Creek</v>
      </c>
      <c r="K314" t="str">
        <f>IFERROR(VLOOKUP(J314,LUTs!$A$1:$C$73,2,FALSE),"NA")</f>
        <v>Whatcom</v>
      </c>
      <c r="L314" t="str">
        <f>IFERROR(VLOOKUP(J314,LUTs!$A$1:$C$73,3,FALSE),"NA")</f>
        <v>1North Puget Sound</v>
      </c>
      <c r="M314" s="72" t="s">
        <v>15</v>
      </c>
      <c r="N314" t="str">
        <f>VLOOKUP(M314,LUTs!E$2:H$14,3,)</f>
        <v>02Skagit</v>
      </c>
      <c r="O314" t="str">
        <f>VLOOKUP(M314,LUTs!E$2:H$14,4,)</f>
        <v>01North Puget Sound</v>
      </c>
      <c r="P314" s="73">
        <v>12.2790697674419</v>
      </c>
      <c r="Q314" s="74">
        <f>VLOOKUP(B314,Readme!A$40:C$51,2,)*P314</f>
        <v>106.21395348837244</v>
      </c>
    </row>
    <row r="315" spans="1:17" ht="14.15" customHeight="1" x14ac:dyDescent="0.35">
      <c r="A315" s="75">
        <v>314</v>
      </c>
      <c r="B315" s="64">
        <v>2010</v>
      </c>
      <c r="C315" s="64">
        <v>10</v>
      </c>
      <c r="D315" s="80">
        <f t="shared" si="11"/>
        <v>2010</v>
      </c>
      <c r="E315" t="s">
        <v>38</v>
      </c>
      <c r="F315" t="s">
        <v>143</v>
      </c>
      <c r="G315" t="s">
        <v>10</v>
      </c>
      <c r="H315" s="72" t="s">
        <v>224</v>
      </c>
      <c r="I315" s="72" t="s">
        <v>66</v>
      </c>
      <c r="J315" t="str">
        <f t="shared" si="12"/>
        <v>Whatcom Creek</v>
      </c>
      <c r="K315" t="str">
        <f>IFERROR(VLOOKUP(J315,LUTs!$A$1:$C$73,2,FALSE),"NA")</f>
        <v>Whatcom</v>
      </c>
      <c r="L315" t="str">
        <f>IFERROR(VLOOKUP(J315,LUTs!$A$1:$C$73,3,FALSE),"NA")</f>
        <v>1North Puget Sound</v>
      </c>
      <c r="M315" s="72" t="s">
        <v>16</v>
      </c>
      <c r="N315" t="str">
        <f>VLOOKUP(M315,LUTs!E$2:H$14,3,)</f>
        <v>03Snohomish</v>
      </c>
      <c r="O315" t="str">
        <f>VLOOKUP(M315,LUTs!E$2:H$14,4,)</f>
        <v>01North Puget Sound</v>
      </c>
      <c r="P315" s="73">
        <v>18.418604651162799</v>
      </c>
      <c r="Q315" s="74">
        <f>VLOOKUP(B315,Readme!A$40:C$51,2,)*P315</f>
        <v>159.32093023255823</v>
      </c>
    </row>
    <row r="316" spans="1:17" ht="14.15" customHeight="1" x14ac:dyDescent="0.35">
      <c r="A316" s="75">
        <v>315</v>
      </c>
      <c r="B316" s="64">
        <v>2010</v>
      </c>
      <c r="C316" s="64">
        <v>10</v>
      </c>
      <c r="D316" s="80">
        <f t="shared" si="11"/>
        <v>2010</v>
      </c>
      <c r="E316" t="s">
        <v>38</v>
      </c>
      <c r="F316" t="s">
        <v>143</v>
      </c>
      <c r="G316" t="s">
        <v>10</v>
      </c>
      <c r="H316" s="72" t="s">
        <v>224</v>
      </c>
      <c r="I316" s="72" t="s">
        <v>66</v>
      </c>
      <c r="J316" t="str">
        <f t="shared" si="12"/>
        <v>Whatcom Creek</v>
      </c>
      <c r="K316" t="str">
        <f>IFERROR(VLOOKUP(J316,LUTs!$A$1:$C$73,2,FALSE),"NA")</f>
        <v>Whatcom</v>
      </c>
      <c r="L316" t="str">
        <f>IFERROR(VLOOKUP(J316,LUTs!$A$1:$C$73,3,FALSE),"NA")</f>
        <v>1North Puget Sound</v>
      </c>
      <c r="M316" s="72" t="s">
        <v>13</v>
      </c>
      <c r="N316" t="str">
        <f>VLOOKUP(M316,LUTs!E$2:H$14,3,)</f>
        <v>01Whatcom</v>
      </c>
      <c r="O316" t="str">
        <f>VLOOKUP(M316,LUTs!E$2:H$14,4,)</f>
        <v>01North Puget Sound</v>
      </c>
      <c r="P316" s="73">
        <v>227.16279069767401</v>
      </c>
      <c r="Q316" s="74">
        <f>VLOOKUP(B316,Readme!A$40:C$51,2,)*P316</f>
        <v>1964.9581395348803</v>
      </c>
    </row>
    <row r="317" spans="1:17" ht="14.15" customHeight="1" x14ac:dyDescent="0.35">
      <c r="A317" s="75">
        <v>316</v>
      </c>
      <c r="B317" s="64">
        <v>2010</v>
      </c>
      <c r="C317" s="64">
        <v>11</v>
      </c>
      <c r="D317" s="80">
        <f t="shared" si="11"/>
        <v>2010</v>
      </c>
      <c r="E317" t="s">
        <v>38</v>
      </c>
      <c r="F317" t="s">
        <v>143</v>
      </c>
      <c r="G317" t="s">
        <v>10</v>
      </c>
      <c r="H317" s="72" t="s">
        <v>224</v>
      </c>
      <c r="I317" s="72" t="s">
        <v>66</v>
      </c>
      <c r="J317" t="str">
        <f t="shared" si="12"/>
        <v>Whatcom Creek</v>
      </c>
      <c r="K317" t="str">
        <f>IFERROR(VLOOKUP(J317,LUTs!$A$1:$C$73,2,FALSE),"NA")</f>
        <v>Whatcom</v>
      </c>
      <c r="L317" t="str">
        <f>IFERROR(VLOOKUP(J317,LUTs!$A$1:$C$73,3,FALSE),"NA")</f>
        <v>1North Puget Sound</v>
      </c>
      <c r="M317" s="72" t="s">
        <v>17</v>
      </c>
      <c r="N317" t="str">
        <f>VLOOKUP(M317,LUTs!E$2:H$14,3,)</f>
        <v>04Island</v>
      </c>
      <c r="O317" t="str">
        <f>VLOOKUP(M317,LUTs!E$2:H$14,4,)</f>
        <v>01North Puget Sound</v>
      </c>
      <c r="P317" s="73">
        <v>24.5586592178771</v>
      </c>
      <c r="Q317" s="74">
        <f>VLOOKUP(B317,Readme!A$40:C$51,2,)*P317</f>
        <v>212.43240223463692</v>
      </c>
    </row>
    <row r="318" spans="1:17" ht="14.15" customHeight="1" x14ac:dyDescent="0.35">
      <c r="A318" s="75">
        <v>317</v>
      </c>
      <c r="B318" s="64">
        <v>2010</v>
      </c>
      <c r="C318" s="64">
        <v>11</v>
      </c>
      <c r="D318" s="80">
        <f t="shared" si="11"/>
        <v>2010</v>
      </c>
      <c r="E318" t="s">
        <v>38</v>
      </c>
      <c r="F318" t="s">
        <v>143</v>
      </c>
      <c r="G318" t="s">
        <v>10</v>
      </c>
      <c r="H318" s="72" t="s">
        <v>224</v>
      </c>
      <c r="I318" s="72" t="s">
        <v>66</v>
      </c>
      <c r="J318" t="str">
        <f t="shared" si="12"/>
        <v>Whatcom Creek</v>
      </c>
      <c r="K318" t="str">
        <f>IFERROR(VLOOKUP(J318,LUTs!$A$1:$C$73,2,FALSE),"NA")</f>
        <v>Whatcom</v>
      </c>
      <c r="L318" t="str">
        <f>IFERROR(VLOOKUP(J318,LUTs!$A$1:$C$73,3,FALSE),"NA")</f>
        <v>1North Puget Sound</v>
      </c>
      <c r="M318" s="72" t="s">
        <v>18</v>
      </c>
      <c r="N318" t="str">
        <f>VLOOKUP(M318,LUTs!E$2:H$14,3,)</f>
        <v>06King</v>
      </c>
      <c r="O318" t="str">
        <f>VLOOKUP(M318,LUTs!E$2:H$14,4,)</f>
        <v>02South Puget Sound</v>
      </c>
      <c r="P318" s="73">
        <v>18.418994413407798</v>
      </c>
      <c r="Q318" s="74">
        <f>VLOOKUP(B318,Readme!A$40:C$51,2,)*P318</f>
        <v>159.32430167597747</v>
      </c>
    </row>
    <row r="319" spans="1:17" ht="14.15" customHeight="1" x14ac:dyDescent="0.35">
      <c r="A319" s="75">
        <v>318</v>
      </c>
      <c r="B319" s="64">
        <v>2010</v>
      </c>
      <c r="C319" s="64">
        <v>11</v>
      </c>
      <c r="D319" s="80">
        <f t="shared" si="11"/>
        <v>2010</v>
      </c>
      <c r="E319" t="s">
        <v>38</v>
      </c>
      <c r="F319" t="s">
        <v>143</v>
      </c>
      <c r="G319" t="s">
        <v>10</v>
      </c>
      <c r="H319" s="72" t="s">
        <v>224</v>
      </c>
      <c r="I319" s="72" t="s">
        <v>66</v>
      </c>
      <c r="J319" t="str">
        <f t="shared" si="12"/>
        <v>Whatcom Creek</v>
      </c>
      <c r="K319" t="str">
        <f>IFERROR(VLOOKUP(J319,LUTs!$A$1:$C$73,2,FALSE),"NA")</f>
        <v>Whatcom</v>
      </c>
      <c r="L319" t="str">
        <f>IFERROR(VLOOKUP(J319,LUTs!$A$1:$C$73,3,FALSE),"NA")</f>
        <v>1North Puget Sound</v>
      </c>
      <c r="M319" s="72" t="s">
        <v>26</v>
      </c>
      <c r="N319" t="str">
        <f>VLOOKUP(M319,LUTs!E$2:H$14,3,)</f>
        <v>20Other</v>
      </c>
      <c r="O319" t="str">
        <f>VLOOKUP(M319,LUTs!E$2:H$14,4,)</f>
        <v>07Non Puget Sound</v>
      </c>
      <c r="P319" s="73">
        <v>18.418994413407798</v>
      </c>
      <c r="Q319" s="74">
        <f>VLOOKUP(B319,Readme!A$40:C$51,2,)*P319</f>
        <v>159.32430167597747</v>
      </c>
    </row>
    <row r="320" spans="1:17" ht="14.15" customHeight="1" x14ac:dyDescent="0.35">
      <c r="A320" s="75">
        <v>319</v>
      </c>
      <c r="B320" s="64">
        <v>2010</v>
      </c>
      <c r="C320" s="64">
        <v>11</v>
      </c>
      <c r="D320" s="80">
        <f t="shared" si="11"/>
        <v>2010</v>
      </c>
      <c r="E320" t="s">
        <v>38</v>
      </c>
      <c r="F320" t="s">
        <v>143</v>
      </c>
      <c r="G320" t="s">
        <v>10</v>
      </c>
      <c r="H320" s="72" t="s">
        <v>224</v>
      </c>
      <c r="I320" s="72" t="s">
        <v>66</v>
      </c>
      <c r="J320" t="str">
        <f t="shared" si="12"/>
        <v>Whatcom Creek</v>
      </c>
      <c r="K320" t="str">
        <f>IFERROR(VLOOKUP(J320,LUTs!$A$1:$C$73,2,FALSE),"NA")</f>
        <v>Whatcom</v>
      </c>
      <c r="L320" t="str">
        <f>IFERROR(VLOOKUP(J320,LUTs!$A$1:$C$73,3,FALSE),"NA")</f>
        <v>1North Puget Sound</v>
      </c>
      <c r="M320" s="72" t="s">
        <v>20</v>
      </c>
      <c r="N320" t="str">
        <f>VLOOKUP(M320,LUTs!E$2:H$14,3,)</f>
        <v>07Pierce</v>
      </c>
      <c r="O320" t="str">
        <f>VLOOKUP(M320,LUTs!E$2:H$14,4,)</f>
        <v>02South Puget Sound</v>
      </c>
      <c r="P320" s="73">
        <v>12.2793296089386</v>
      </c>
      <c r="Q320" s="74">
        <f>VLOOKUP(B320,Readme!A$40:C$51,2,)*P320</f>
        <v>106.21620111731889</v>
      </c>
    </row>
    <row r="321" spans="1:17" ht="14.15" customHeight="1" x14ac:dyDescent="0.35">
      <c r="A321" s="75">
        <v>320</v>
      </c>
      <c r="B321" s="64">
        <v>2010</v>
      </c>
      <c r="C321" s="64">
        <v>11</v>
      </c>
      <c r="D321" s="80">
        <f t="shared" si="11"/>
        <v>2010</v>
      </c>
      <c r="E321" t="s">
        <v>38</v>
      </c>
      <c r="F321" t="s">
        <v>143</v>
      </c>
      <c r="G321" t="s">
        <v>10</v>
      </c>
      <c r="H321" s="72" t="s">
        <v>224</v>
      </c>
      <c r="I321" s="72" t="s">
        <v>66</v>
      </c>
      <c r="J321" t="str">
        <f t="shared" si="12"/>
        <v>Whatcom Creek</v>
      </c>
      <c r="K321" t="str">
        <f>IFERROR(VLOOKUP(J321,LUTs!$A$1:$C$73,2,FALSE),"NA")</f>
        <v>Whatcom</v>
      </c>
      <c r="L321" t="str">
        <f>IFERROR(VLOOKUP(J321,LUTs!$A$1:$C$73,3,FALSE),"NA")</f>
        <v>1North Puget Sound</v>
      </c>
      <c r="M321" s="72" t="s">
        <v>15</v>
      </c>
      <c r="N321" t="str">
        <f>VLOOKUP(M321,LUTs!E$2:H$14,3,)</f>
        <v>02Skagit</v>
      </c>
      <c r="O321" t="str">
        <f>VLOOKUP(M321,LUTs!E$2:H$14,4,)</f>
        <v>01North Puget Sound</v>
      </c>
      <c r="P321" s="73">
        <v>42.977653631284902</v>
      </c>
      <c r="Q321" s="74">
        <f>VLOOKUP(B321,Readme!A$40:C$51,2,)*P321</f>
        <v>371.75670391061442</v>
      </c>
    </row>
    <row r="322" spans="1:17" ht="14.15" customHeight="1" x14ac:dyDescent="0.35">
      <c r="A322" s="75">
        <v>321</v>
      </c>
      <c r="B322" s="64">
        <v>2010</v>
      </c>
      <c r="C322" s="64">
        <v>11</v>
      </c>
      <c r="D322" s="80">
        <f t="shared" ref="D322:D385" si="13">IF(C322&gt;3,B322,B322-1)</f>
        <v>2010</v>
      </c>
      <c r="E322" t="s">
        <v>38</v>
      </c>
      <c r="F322" t="s">
        <v>143</v>
      </c>
      <c r="G322" t="s">
        <v>10</v>
      </c>
      <c r="H322" s="72" t="s">
        <v>224</v>
      </c>
      <c r="I322" s="72" t="s">
        <v>66</v>
      </c>
      <c r="J322" t="str">
        <f t="shared" si="12"/>
        <v>Whatcom Creek</v>
      </c>
      <c r="K322" t="str">
        <f>IFERROR(VLOOKUP(J322,LUTs!$A$1:$C$73,2,FALSE),"NA")</f>
        <v>Whatcom</v>
      </c>
      <c r="L322" t="str">
        <f>IFERROR(VLOOKUP(J322,LUTs!$A$1:$C$73,3,FALSE),"NA")</f>
        <v>1North Puget Sound</v>
      </c>
      <c r="M322" s="72" t="s">
        <v>16</v>
      </c>
      <c r="N322" t="str">
        <f>VLOOKUP(M322,LUTs!E$2:H$14,3,)</f>
        <v>03Snohomish</v>
      </c>
      <c r="O322" t="str">
        <f>VLOOKUP(M322,LUTs!E$2:H$14,4,)</f>
        <v>01North Puget Sound</v>
      </c>
      <c r="P322" s="73">
        <v>49.1173184357542</v>
      </c>
      <c r="Q322" s="74">
        <f>VLOOKUP(B322,Readme!A$40:C$51,2,)*P322</f>
        <v>424.86480446927385</v>
      </c>
    </row>
    <row r="323" spans="1:17" ht="14.15" customHeight="1" x14ac:dyDescent="0.35">
      <c r="A323" s="75">
        <v>322</v>
      </c>
      <c r="B323" s="64">
        <v>2010</v>
      </c>
      <c r="C323" s="64">
        <v>11</v>
      </c>
      <c r="D323" s="80">
        <f t="shared" si="13"/>
        <v>2010</v>
      </c>
      <c r="E323" t="s">
        <v>38</v>
      </c>
      <c r="F323" t="s">
        <v>143</v>
      </c>
      <c r="G323" t="s">
        <v>10</v>
      </c>
      <c r="H323" s="72" t="s">
        <v>224</v>
      </c>
      <c r="I323" s="72" t="s">
        <v>66</v>
      </c>
      <c r="J323" t="str">
        <f t="shared" ref="J323:J386" si="14">I323</f>
        <v>Whatcom Creek</v>
      </c>
      <c r="K323" t="str">
        <f>IFERROR(VLOOKUP(J323,LUTs!$A$1:$C$73,2,FALSE),"NA")</f>
        <v>Whatcom</v>
      </c>
      <c r="L323" t="str">
        <f>IFERROR(VLOOKUP(J323,LUTs!$A$1:$C$73,3,FALSE),"NA")</f>
        <v>1North Puget Sound</v>
      </c>
      <c r="M323" s="72" t="s">
        <v>13</v>
      </c>
      <c r="N323" t="str">
        <f>VLOOKUP(M323,LUTs!E$2:H$14,3,)</f>
        <v>01Whatcom</v>
      </c>
      <c r="O323" t="str">
        <f>VLOOKUP(M323,LUTs!E$2:H$14,4,)</f>
        <v>01North Puget Sound</v>
      </c>
      <c r="P323" s="73">
        <v>933.22905027932995</v>
      </c>
      <c r="Q323" s="74">
        <f>VLOOKUP(B323,Readme!A$40:C$51,2,)*P323</f>
        <v>8072.4312849162043</v>
      </c>
    </row>
    <row r="324" spans="1:17" ht="14.15" customHeight="1" x14ac:dyDescent="0.35">
      <c r="A324" s="75">
        <v>323</v>
      </c>
      <c r="B324" s="64">
        <v>2010</v>
      </c>
      <c r="C324" s="64">
        <v>12</v>
      </c>
      <c r="D324" s="80">
        <f t="shared" si="13"/>
        <v>2010</v>
      </c>
      <c r="E324" t="s">
        <v>38</v>
      </c>
      <c r="F324" t="s">
        <v>143</v>
      </c>
      <c r="G324" t="s">
        <v>10</v>
      </c>
      <c r="H324" s="72" t="s">
        <v>224</v>
      </c>
      <c r="I324" s="72" t="s">
        <v>66</v>
      </c>
      <c r="J324" t="str">
        <f t="shared" si="14"/>
        <v>Whatcom Creek</v>
      </c>
      <c r="K324" t="str">
        <f>IFERROR(VLOOKUP(J324,LUTs!$A$1:$C$73,2,FALSE),"NA")</f>
        <v>Whatcom</v>
      </c>
      <c r="L324" t="str">
        <f>IFERROR(VLOOKUP(J324,LUTs!$A$1:$C$73,3,FALSE),"NA")</f>
        <v>1North Puget Sound</v>
      </c>
      <c r="M324" s="72" t="s">
        <v>13</v>
      </c>
      <c r="N324" t="str">
        <f>VLOOKUP(M324,LUTs!E$2:H$14,3,)</f>
        <v>01Whatcom</v>
      </c>
      <c r="O324" t="str">
        <f>VLOOKUP(M324,LUTs!E$2:H$14,4,)</f>
        <v>01North Puget Sound</v>
      </c>
      <c r="P324" s="73">
        <v>31</v>
      </c>
      <c r="Q324" s="74">
        <f>VLOOKUP(B324,Readme!A$40:C$51,2,)*P324</f>
        <v>268.15000000000003</v>
      </c>
    </row>
    <row r="325" spans="1:17" ht="12" customHeight="1" x14ac:dyDescent="0.35">
      <c r="A325" s="75">
        <v>324</v>
      </c>
      <c r="B325" s="64">
        <v>2011</v>
      </c>
      <c r="C325" s="64">
        <v>9</v>
      </c>
      <c r="D325" s="80">
        <f t="shared" si="13"/>
        <v>2011</v>
      </c>
      <c r="E325" t="s">
        <v>38</v>
      </c>
      <c r="F325" t="s">
        <v>143</v>
      </c>
      <c r="G325" t="s">
        <v>10</v>
      </c>
      <c r="H325" s="72" t="s">
        <v>197</v>
      </c>
      <c r="I325" s="72" t="s">
        <v>39</v>
      </c>
      <c r="J325" t="str">
        <f t="shared" si="14"/>
        <v>Chambers Creek</v>
      </c>
      <c r="K325" t="str">
        <f>IFERROR(VLOOKUP(J325,LUTs!$A$1:$C$73,2,FALSE),"NA")</f>
        <v>Pierce</v>
      </c>
      <c r="L325" t="str">
        <f>IFERROR(VLOOKUP(J325,LUTs!$A$1:$C$73,3,FALSE),"NA")</f>
        <v>3South Puget Sound</v>
      </c>
      <c r="M325" s="72" t="s">
        <v>20</v>
      </c>
      <c r="N325" t="str">
        <f>VLOOKUP(M325,LUTs!E$2:H$14,3,)</f>
        <v>07Pierce</v>
      </c>
      <c r="O325" t="str">
        <f>VLOOKUP(M325,LUTs!E$2:H$14,4,)</f>
        <v>02South Puget Sound</v>
      </c>
      <c r="P325" s="73">
        <v>8.8333333333333304</v>
      </c>
      <c r="Q325" s="74">
        <f>VLOOKUP(B325,Readme!A$40:C$51,2,)*P325</f>
        <v>30.386666666666656</v>
      </c>
    </row>
    <row r="326" spans="1:17" ht="12" customHeight="1" x14ac:dyDescent="0.35">
      <c r="A326" s="75">
        <v>325</v>
      </c>
      <c r="B326" s="64">
        <v>2011</v>
      </c>
      <c r="C326" s="64">
        <v>9</v>
      </c>
      <c r="D326" s="80">
        <f t="shared" si="13"/>
        <v>2011</v>
      </c>
      <c r="E326" t="s">
        <v>38</v>
      </c>
      <c r="F326" t="s">
        <v>143</v>
      </c>
      <c r="G326" t="s">
        <v>10</v>
      </c>
      <c r="H326" s="72" t="s">
        <v>197</v>
      </c>
      <c r="I326" s="72" t="s">
        <v>39</v>
      </c>
      <c r="J326" t="str">
        <f t="shared" si="14"/>
        <v>Chambers Creek</v>
      </c>
      <c r="K326" t="str">
        <f>IFERROR(VLOOKUP(J326,LUTs!$A$1:$C$73,2,FALSE),"NA")</f>
        <v>Pierce</v>
      </c>
      <c r="L326" t="str">
        <f>IFERROR(VLOOKUP(J326,LUTs!$A$1:$C$73,3,FALSE),"NA")</f>
        <v>3South Puget Sound</v>
      </c>
      <c r="M326" s="72" t="s">
        <v>21</v>
      </c>
      <c r="N326" t="str">
        <f>VLOOKUP(M326,LUTs!E$2:H$14,3,)</f>
        <v>08Thurston</v>
      </c>
      <c r="O326" t="str">
        <f>VLOOKUP(M326,LUTs!E$2:H$14,4,)</f>
        <v>02South Puget Sound</v>
      </c>
      <c r="P326" s="73">
        <v>44.1666666666667</v>
      </c>
      <c r="Q326" s="74">
        <f>VLOOKUP(B326,Readme!A$40:C$51,2,)*P326</f>
        <v>151.93333333333345</v>
      </c>
    </row>
    <row r="327" spans="1:17" ht="12" customHeight="1" x14ac:dyDescent="0.35">
      <c r="A327" s="75">
        <v>326</v>
      </c>
      <c r="B327" s="64">
        <v>2011</v>
      </c>
      <c r="C327" s="64">
        <v>10</v>
      </c>
      <c r="D327" s="80">
        <f t="shared" si="13"/>
        <v>2011</v>
      </c>
      <c r="E327" t="s">
        <v>38</v>
      </c>
      <c r="F327" t="s">
        <v>143</v>
      </c>
      <c r="G327" t="s">
        <v>10</v>
      </c>
      <c r="H327" s="72" t="s">
        <v>197</v>
      </c>
      <c r="I327" s="72" t="s">
        <v>39</v>
      </c>
      <c r="J327" t="str">
        <f t="shared" si="14"/>
        <v>Chambers Creek</v>
      </c>
      <c r="K327" t="str">
        <f>IFERROR(VLOOKUP(J327,LUTs!$A$1:$C$73,2,FALSE),"NA")</f>
        <v>Pierce</v>
      </c>
      <c r="L327" t="str">
        <f>IFERROR(VLOOKUP(J327,LUTs!$A$1:$C$73,3,FALSE),"NA")</f>
        <v>3South Puget Sound</v>
      </c>
      <c r="M327" s="72" t="s">
        <v>21</v>
      </c>
      <c r="N327" t="str">
        <f>VLOOKUP(M327,LUTs!E$2:H$14,3,)</f>
        <v>08Thurston</v>
      </c>
      <c r="O327" t="str">
        <f>VLOOKUP(M327,LUTs!E$2:H$14,4,)</f>
        <v>02South Puget Sound</v>
      </c>
      <c r="P327" s="73">
        <v>9</v>
      </c>
      <c r="Q327" s="74">
        <f>VLOOKUP(B327,Readme!A$40:C$51,2,)*P327</f>
        <v>30.96</v>
      </c>
    </row>
    <row r="328" spans="1:17" ht="12" customHeight="1" x14ac:dyDescent="0.35">
      <c r="A328" s="75">
        <v>327</v>
      </c>
      <c r="B328" s="64">
        <v>2011</v>
      </c>
      <c r="C328" s="64">
        <v>10</v>
      </c>
      <c r="D328" s="80">
        <f t="shared" si="13"/>
        <v>2011</v>
      </c>
      <c r="E328" t="s">
        <v>38</v>
      </c>
      <c r="F328" t="s">
        <v>143</v>
      </c>
      <c r="G328" t="s">
        <v>10</v>
      </c>
      <c r="H328" s="72" t="s">
        <v>198</v>
      </c>
      <c r="I328" s="72" t="s">
        <v>40</v>
      </c>
      <c r="J328" t="str">
        <f t="shared" si="14"/>
        <v>Dakota Creek (Whatcom Co)</v>
      </c>
      <c r="K328" t="str">
        <f>IFERROR(VLOOKUP(J328,LUTs!$A$1:$C$73,2,FALSE),"NA")</f>
        <v>Whatcom</v>
      </c>
      <c r="L328" t="str">
        <f>IFERROR(VLOOKUP(J328,LUTs!$A$1:$C$73,3,FALSE),"NA")</f>
        <v>1North Puget Sound</v>
      </c>
      <c r="M328" s="72" t="s">
        <v>13</v>
      </c>
      <c r="N328" t="str">
        <f>VLOOKUP(M328,LUTs!E$2:H$14,3,)</f>
        <v>01Whatcom</v>
      </c>
      <c r="O328" t="str">
        <f>VLOOKUP(M328,LUTs!E$2:H$14,4,)</f>
        <v>01North Puget Sound</v>
      </c>
      <c r="P328" s="73">
        <v>159</v>
      </c>
      <c r="Q328" s="74">
        <f>VLOOKUP(B328,Readme!A$40:C$51,2,)*P328</f>
        <v>546.96</v>
      </c>
    </row>
    <row r="329" spans="1:17" ht="12" customHeight="1" x14ac:dyDescent="0.35">
      <c r="A329" s="75">
        <v>328</v>
      </c>
      <c r="B329" s="64">
        <v>2011</v>
      </c>
      <c r="C329" s="64">
        <v>11</v>
      </c>
      <c r="D329" s="80">
        <f t="shared" si="13"/>
        <v>2011</v>
      </c>
      <c r="E329" t="s">
        <v>38</v>
      </c>
      <c r="F329" t="s">
        <v>143</v>
      </c>
      <c r="G329" t="s">
        <v>10</v>
      </c>
      <c r="H329" s="72" t="s">
        <v>198</v>
      </c>
      <c r="I329" s="72" t="s">
        <v>40</v>
      </c>
      <c r="J329" t="str">
        <f t="shared" si="14"/>
        <v>Dakota Creek (Whatcom Co)</v>
      </c>
      <c r="K329" t="str">
        <f>IFERROR(VLOOKUP(J329,LUTs!$A$1:$C$73,2,FALSE),"NA")</f>
        <v>Whatcom</v>
      </c>
      <c r="L329" t="str">
        <f>IFERROR(VLOOKUP(J329,LUTs!$A$1:$C$73,3,FALSE),"NA")</f>
        <v>1North Puget Sound</v>
      </c>
      <c r="M329" s="72" t="s">
        <v>13</v>
      </c>
      <c r="N329" t="str">
        <f>VLOOKUP(M329,LUTs!E$2:H$14,3,)</f>
        <v>01Whatcom</v>
      </c>
      <c r="O329" t="str">
        <f>VLOOKUP(M329,LUTs!E$2:H$14,4,)</f>
        <v>01North Puget Sound</v>
      </c>
      <c r="P329" s="73">
        <v>36</v>
      </c>
      <c r="Q329" s="74">
        <f>VLOOKUP(B329,Readme!A$40:C$51,2,)*P329</f>
        <v>123.84</v>
      </c>
    </row>
    <row r="330" spans="1:17" ht="12" customHeight="1" x14ac:dyDescent="0.35">
      <c r="A330" s="75">
        <v>329</v>
      </c>
      <c r="B330" s="64">
        <v>2011</v>
      </c>
      <c r="C330" s="64">
        <v>10</v>
      </c>
      <c r="D330" s="80">
        <f t="shared" si="13"/>
        <v>2011</v>
      </c>
      <c r="E330" t="s">
        <v>38</v>
      </c>
      <c r="F330" t="s">
        <v>143</v>
      </c>
      <c r="G330" t="s">
        <v>10</v>
      </c>
      <c r="H330" s="72" t="s">
        <v>225</v>
      </c>
      <c r="I330" s="72" t="s">
        <v>67</v>
      </c>
      <c r="J330" t="str">
        <f t="shared" si="14"/>
        <v>Dewatto River</v>
      </c>
      <c r="K330" t="str">
        <f>IFERROR(VLOOKUP(J330,LUTs!$A$1:$C$73,2,FALSE),"NA")</f>
        <v>Mason</v>
      </c>
      <c r="L330" t="str">
        <f>IFERROR(VLOOKUP(J330,LUTs!$A$1:$C$73,3,FALSE),"NA")</f>
        <v>4 Hood Canal</v>
      </c>
      <c r="M330" s="72" t="s">
        <v>23</v>
      </c>
      <c r="N330" t="str">
        <f>VLOOKUP(M330,LUTs!E$2:H$14,3,)</f>
        <v>10Kitsap</v>
      </c>
      <c r="O330" t="str">
        <f>VLOOKUP(M330,LUTs!E$2:H$14,4,)</f>
        <v>02South Puget Sound</v>
      </c>
      <c r="P330" s="73">
        <v>141.17647058823499</v>
      </c>
      <c r="Q330" s="74">
        <f>VLOOKUP(B330,Readme!A$40:C$51,2,)*P330</f>
        <v>485.64705882352837</v>
      </c>
    </row>
    <row r="331" spans="1:17" ht="12" customHeight="1" x14ac:dyDescent="0.35">
      <c r="A331" s="75">
        <v>330</v>
      </c>
      <c r="B331" s="64">
        <v>2011</v>
      </c>
      <c r="C331" s="64">
        <v>10</v>
      </c>
      <c r="D331" s="80">
        <f t="shared" si="13"/>
        <v>2011</v>
      </c>
      <c r="E331" t="s">
        <v>38</v>
      </c>
      <c r="F331" t="s">
        <v>143</v>
      </c>
      <c r="G331" t="s">
        <v>10</v>
      </c>
      <c r="H331" s="72" t="s">
        <v>225</v>
      </c>
      <c r="I331" s="72" t="s">
        <v>67</v>
      </c>
      <c r="J331" t="str">
        <f t="shared" si="14"/>
        <v>Dewatto River</v>
      </c>
      <c r="K331" t="str">
        <f>IFERROR(VLOOKUP(J331,LUTs!$A$1:$C$73,2,FALSE),"NA")</f>
        <v>Mason</v>
      </c>
      <c r="L331" t="str">
        <f>IFERROR(VLOOKUP(J331,LUTs!$A$1:$C$73,3,FALSE),"NA")</f>
        <v>4 Hood Canal</v>
      </c>
      <c r="M331" s="72" t="s">
        <v>21</v>
      </c>
      <c r="N331" t="str">
        <f>VLOOKUP(M331,LUTs!E$2:H$14,3,)</f>
        <v>08Thurston</v>
      </c>
      <c r="O331" t="str">
        <f>VLOOKUP(M331,LUTs!E$2:H$14,4,)</f>
        <v>02South Puget Sound</v>
      </c>
      <c r="P331" s="73">
        <v>8.8235294117647101</v>
      </c>
      <c r="Q331" s="74">
        <f>VLOOKUP(B331,Readme!A$40:C$51,2,)*P331</f>
        <v>30.352941176470601</v>
      </c>
    </row>
    <row r="332" spans="1:17" ht="12" customHeight="1" x14ac:dyDescent="0.35">
      <c r="A332" s="75">
        <v>331</v>
      </c>
      <c r="B332" s="64">
        <v>2011</v>
      </c>
      <c r="C332" s="64">
        <v>11</v>
      </c>
      <c r="D332" s="80">
        <f t="shared" si="13"/>
        <v>2011</v>
      </c>
      <c r="E332" t="s">
        <v>38</v>
      </c>
      <c r="F332" t="s">
        <v>143</v>
      </c>
      <c r="G332" t="s">
        <v>10</v>
      </c>
      <c r="H332" s="72" t="s">
        <v>226</v>
      </c>
      <c r="I332" s="72" t="s">
        <v>68</v>
      </c>
      <c r="J332" t="str">
        <f t="shared" si="14"/>
        <v>Dosewallips River</v>
      </c>
      <c r="K332" t="str">
        <f>IFERROR(VLOOKUP(J332,LUTs!$A$1:$C$73,2,FALSE),"NA")</f>
        <v>Jefferson</v>
      </c>
      <c r="L332" t="str">
        <f>IFERROR(VLOOKUP(J332,LUTs!$A$1:$C$73,3,FALSE),"NA")</f>
        <v>4 Hood Canal</v>
      </c>
      <c r="M332" s="72" t="s">
        <v>18</v>
      </c>
      <c r="N332" t="str">
        <f>VLOOKUP(M332,LUTs!E$2:H$14,3,)</f>
        <v>06King</v>
      </c>
      <c r="O332" t="str">
        <f>VLOOKUP(M332,LUTs!E$2:H$14,4,)</f>
        <v>02South Puget Sound</v>
      </c>
      <c r="P332" s="73">
        <v>9</v>
      </c>
      <c r="Q332" s="74">
        <f>VLOOKUP(B332,Readme!A$40:C$51,2,)*P332</f>
        <v>30.96</v>
      </c>
    </row>
    <row r="333" spans="1:17" ht="12" customHeight="1" x14ac:dyDescent="0.35">
      <c r="A333" s="75">
        <v>332</v>
      </c>
      <c r="B333" s="64">
        <v>2011</v>
      </c>
      <c r="C333" s="64">
        <v>11</v>
      </c>
      <c r="D333" s="80">
        <f t="shared" si="13"/>
        <v>2011</v>
      </c>
      <c r="E333" t="s">
        <v>38</v>
      </c>
      <c r="F333" t="s">
        <v>143</v>
      </c>
      <c r="G333" t="s">
        <v>10</v>
      </c>
      <c r="H333" s="72" t="s">
        <v>226</v>
      </c>
      <c r="I333" s="72" t="s">
        <v>68</v>
      </c>
      <c r="J333" t="str">
        <f t="shared" si="14"/>
        <v>Dosewallips River</v>
      </c>
      <c r="K333" t="str">
        <f>IFERROR(VLOOKUP(J333,LUTs!$A$1:$C$73,2,FALSE),"NA")</f>
        <v>Jefferson</v>
      </c>
      <c r="L333" t="str">
        <f>IFERROR(VLOOKUP(J333,LUTs!$A$1:$C$73,3,FALSE),"NA")</f>
        <v>4 Hood Canal</v>
      </c>
      <c r="M333" s="72" t="s">
        <v>23</v>
      </c>
      <c r="N333" t="str">
        <f>VLOOKUP(M333,LUTs!E$2:H$14,3,)</f>
        <v>10Kitsap</v>
      </c>
      <c r="O333" t="str">
        <f>VLOOKUP(M333,LUTs!E$2:H$14,4,)</f>
        <v>02South Puget Sound</v>
      </c>
      <c r="P333" s="73">
        <v>9</v>
      </c>
      <c r="Q333" s="74">
        <f>VLOOKUP(B333,Readme!A$40:C$51,2,)*P333</f>
        <v>30.96</v>
      </c>
    </row>
    <row r="334" spans="1:17" ht="12" customHeight="1" x14ac:dyDescent="0.35">
      <c r="A334" s="75">
        <v>333</v>
      </c>
      <c r="B334" s="64">
        <v>2011</v>
      </c>
      <c r="C334" s="64">
        <v>12</v>
      </c>
      <c r="D334" s="80">
        <f t="shared" si="13"/>
        <v>2011</v>
      </c>
      <c r="E334" t="s">
        <v>38</v>
      </c>
      <c r="F334" t="s">
        <v>143</v>
      </c>
      <c r="G334" t="s">
        <v>10</v>
      </c>
      <c r="H334" s="72" t="s">
        <v>200</v>
      </c>
      <c r="I334" s="72" t="s">
        <v>42</v>
      </c>
      <c r="J334" t="str">
        <f t="shared" si="14"/>
        <v>Duckabush River</v>
      </c>
      <c r="K334" t="str">
        <f>IFERROR(VLOOKUP(J334,LUTs!$A$1:$C$73,2,FALSE),"NA")</f>
        <v>Jefferson</v>
      </c>
      <c r="L334" t="str">
        <f>IFERROR(VLOOKUP(J334,LUTs!$A$1:$C$73,3,FALSE),"NA")</f>
        <v>4 Hood Canal</v>
      </c>
      <c r="M334" s="72" t="s">
        <v>23</v>
      </c>
      <c r="N334" t="str">
        <f>VLOOKUP(M334,LUTs!E$2:H$14,3,)</f>
        <v>10Kitsap</v>
      </c>
      <c r="O334" t="str">
        <f>VLOOKUP(M334,LUTs!E$2:H$14,4,)</f>
        <v>02South Puget Sound</v>
      </c>
      <c r="P334" s="73">
        <v>43.75</v>
      </c>
      <c r="Q334" s="74">
        <f>VLOOKUP(B334,Readme!A$40:C$51,2,)*P334</f>
        <v>150.5</v>
      </c>
    </row>
    <row r="335" spans="1:17" ht="12" customHeight="1" x14ac:dyDescent="0.35">
      <c r="A335" s="75">
        <v>334</v>
      </c>
      <c r="B335" s="64">
        <v>2011</v>
      </c>
      <c r="C335" s="64">
        <v>12</v>
      </c>
      <c r="D335" s="80">
        <f t="shared" si="13"/>
        <v>2011</v>
      </c>
      <c r="E335" t="s">
        <v>38</v>
      </c>
      <c r="F335" t="s">
        <v>143</v>
      </c>
      <c r="G335" t="s">
        <v>10</v>
      </c>
      <c r="H335" s="72" t="s">
        <v>200</v>
      </c>
      <c r="I335" s="72" t="s">
        <v>42</v>
      </c>
      <c r="J335" t="str">
        <f t="shared" si="14"/>
        <v>Duckabush River</v>
      </c>
      <c r="K335" t="str">
        <f>IFERROR(VLOOKUP(J335,LUTs!$A$1:$C$73,2,FALSE),"NA")</f>
        <v>Jefferson</v>
      </c>
      <c r="L335" t="str">
        <f>IFERROR(VLOOKUP(J335,LUTs!$A$1:$C$73,3,FALSE),"NA")</f>
        <v>4 Hood Canal</v>
      </c>
      <c r="M335" s="72" t="s">
        <v>26</v>
      </c>
      <c r="N335" t="str">
        <f>VLOOKUP(M335,LUTs!E$2:H$14,3,)</f>
        <v>20Other</v>
      </c>
      <c r="O335" t="str">
        <f>VLOOKUP(M335,LUTs!E$2:H$14,4,)</f>
        <v>07Non Puget Sound</v>
      </c>
      <c r="P335" s="73">
        <v>8.75</v>
      </c>
      <c r="Q335" s="74">
        <f>VLOOKUP(B335,Readme!A$40:C$51,2,)*P335</f>
        <v>30.099999999999998</v>
      </c>
    </row>
    <row r="336" spans="1:17" ht="12" customHeight="1" x14ac:dyDescent="0.35">
      <c r="A336" s="75">
        <v>335</v>
      </c>
      <c r="B336" s="64">
        <v>2011</v>
      </c>
      <c r="C336" s="64">
        <v>12</v>
      </c>
      <c r="D336" s="80">
        <f t="shared" si="13"/>
        <v>2011</v>
      </c>
      <c r="E336" t="s">
        <v>38</v>
      </c>
      <c r="F336" t="s">
        <v>143</v>
      </c>
      <c r="G336" t="s">
        <v>10</v>
      </c>
      <c r="H336" s="72" t="s">
        <v>200</v>
      </c>
      <c r="I336" s="72" t="s">
        <v>42</v>
      </c>
      <c r="J336" t="str">
        <f t="shared" si="14"/>
        <v>Duckabush River</v>
      </c>
      <c r="K336" t="str">
        <f>IFERROR(VLOOKUP(J336,LUTs!$A$1:$C$73,2,FALSE),"NA")</f>
        <v>Jefferson</v>
      </c>
      <c r="L336" t="str">
        <f>IFERROR(VLOOKUP(J336,LUTs!$A$1:$C$73,3,FALSE),"NA")</f>
        <v>4 Hood Canal</v>
      </c>
      <c r="M336" s="72" t="s">
        <v>21</v>
      </c>
      <c r="N336" t="str">
        <f>VLOOKUP(M336,LUTs!E$2:H$14,3,)</f>
        <v>08Thurston</v>
      </c>
      <c r="O336" t="str">
        <f>VLOOKUP(M336,LUTs!E$2:H$14,4,)</f>
        <v>02South Puget Sound</v>
      </c>
      <c r="P336" s="73">
        <v>17.5</v>
      </c>
      <c r="Q336" s="74">
        <f>VLOOKUP(B336,Readme!A$40:C$51,2,)*P336</f>
        <v>60.199999999999996</v>
      </c>
    </row>
    <row r="337" spans="1:17" ht="12" customHeight="1" x14ac:dyDescent="0.35">
      <c r="A337" s="75">
        <v>336</v>
      </c>
      <c r="B337" s="64">
        <v>2011</v>
      </c>
      <c r="C337" s="64">
        <v>9</v>
      </c>
      <c r="D337" s="80">
        <f t="shared" si="13"/>
        <v>2011</v>
      </c>
      <c r="E337" t="s">
        <v>38</v>
      </c>
      <c r="F337" t="s">
        <v>143</v>
      </c>
      <c r="G337" t="s">
        <v>10</v>
      </c>
      <c r="H337" s="72" t="s">
        <v>201</v>
      </c>
      <c r="I337" s="72" t="s">
        <v>43</v>
      </c>
      <c r="J337" t="str">
        <f t="shared" si="14"/>
        <v>Dungeness River</v>
      </c>
      <c r="K337" t="str">
        <f>IFERROR(VLOOKUP(J337,LUTs!$A$1:$C$73,2,FALSE),"NA")</f>
        <v>Clallam</v>
      </c>
      <c r="L337" t="str">
        <f>IFERROR(VLOOKUP(J337,LUTs!$A$1:$C$73,3,FALSE),"NA")</f>
        <v>0Strait of Juan de Fuca</v>
      </c>
      <c r="M337" s="72" t="s">
        <v>24</v>
      </c>
      <c r="N337" t="str">
        <f>VLOOKUP(M337,LUTs!E$2:H$14,3,)</f>
        <v>11Clallam</v>
      </c>
      <c r="O337" t="str">
        <f>VLOOKUP(M337,LUTs!E$2:H$14,4,)</f>
        <v>03Strait of Juan de Fuca</v>
      </c>
      <c r="P337" s="73">
        <v>7</v>
      </c>
      <c r="Q337" s="74">
        <f>VLOOKUP(B337,Readme!A$40:C$51,2,)*P337</f>
        <v>24.08</v>
      </c>
    </row>
    <row r="338" spans="1:17" ht="12" customHeight="1" x14ac:dyDescent="0.35">
      <c r="A338" s="75">
        <v>337</v>
      </c>
      <c r="B338" s="64">
        <v>2011</v>
      </c>
      <c r="C338" s="64">
        <v>10</v>
      </c>
      <c r="D338" s="80">
        <f t="shared" si="13"/>
        <v>2011</v>
      </c>
      <c r="E338" t="s">
        <v>38</v>
      </c>
      <c r="F338" t="s">
        <v>143</v>
      </c>
      <c r="G338" t="s">
        <v>10</v>
      </c>
      <c r="H338" s="72" t="s">
        <v>201</v>
      </c>
      <c r="I338" s="72" t="s">
        <v>43</v>
      </c>
      <c r="J338" t="str">
        <f t="shared" si="14"/>
        <v>Dungeness River</v>
      </c>
      <c r="K338" t="str">
        <f>IFERROR(VLOOKUP(J338,LUTs!$A$1:$C$73,2,FALSE),"NA")</f>
        <v>Clallam</v>
      </c>
      <c r="L338" t="str">
        <f>IFERROR(VLOOKUP(J338,LUTs!$A$1:$C$73,3,FALSE),"NA")</f>
        <v>0Strait of Juan de Fuca</v>
      </c>
      <c r="M338" s="72" t="s">
        <v>24</v>
      </c>
      <c r="N338" t="str">
        <f>VLOOKUP(M338,LUTs!E$2:H$14,3,)</f>
        <v>11Clallam</v>
      </c>
      <c r="O338" t="str">
        <f>VLOOKUP(M338,LUTs!E$2:H$14,4,)</f>
        <v>03Strait of Juan de Fuca</v>
      </c>
      <c r="P338" s="73">
        <v>921.86597938144303</v>
      </c>
      <c r="Q338" s="74">
        <f>VLOOKUP(B338,Readme!A$40:C$51,2,)*P338</f>
        <v>3171.2189690721639</v>
      </c>
    </row>
    <row r="339" spans="1:17" ht="12" customHeight="1" x14ac:dyDescent="0.35">
      <c r="A339" s="75">
        <v>338</v>
      </c>
      <c r="B339" s="64">
        <v>2011</v>
      </c>
      <c r="C339" s="64">
        <v>10</v>
      </c>
      <c r="D339" s="80">
        <f t="shared" si="13"/>
        <v>2011</v>
      </c>
      <c r="E339" t="s">
        <v>38</v>
      </c>
      <c r="F339" t="s">
        <v>143</v>
      </c>
      <c r="G339" t="s">
        <v>10</v>
      </c>
      <c r="H339" s="72" t="s">
        <v>201</v>
      </c>
      <c r="I339" s="72" t="s">
        <v>43</v>
      </c>
      <c r="J339" t="str">
        <f t="shared" si="14"/>
        <v>Dungeness River</v>
      </c>
      <c r="K339" t="str">
        <f>IFERROR(VLOOKUP(J339,LUTs!$A$1:$C$73,2,FALSE),"NA")</f>
        <v>Clallam</v>
      </c>
      <c r="L339" t="str">
        <f>IFERROR(VLOOKUP(J339,LUTs!$A$1:$C$73,3,FALSE),"NA")</f>
        <v>0Strait of Juan de Fuca</v>
      </c>
      <c r="M339" s="72" t="s">
        <v>25</v>
      </c>
      <c r="N339" t="str">
        <f>VLOOKUP(M339,LUTs!E$2:H$14,3,)</f>
        <v>12Jefferson</v>
      </c>
      <c r="O339" t="str">
        <f>VLOOKUP(M339,LUTs!E$2:H$14,4,)</f>
        <v>03Strait of Juan de Fuca</v>
      </c>
      <c r="P339" s="73">
        <v>239.83505154639201</v>
      </c>
      <c r="Q339" s="74">
        <f>VLOOKUP(B339,Readme!A$40:C$51,2,)*P339</f>
        <v>825.03257731958854</v>
      </c>
    </row>
    <row r="340" spans="1:17" ht="12" customHeight="1" x14ac:dyDescent="0.35">
      <c r="A340" s="75">
        <v>339</v>
      </c>
      <c r="B340" s="64">
        <v>2011</v>
      </c>
      <c r="C340" s="64">
        <v>10</v>
      </c>
      <c r="D340" s="80">
        <f t="shared" si="13"/>
        <v>2011</v>
      </c>
      <c r="E340" t="s">
        <v>38</v>
      </c>
      <c r="F340" t="s">
        <v>143</v>
      </c>
      <c r="G340" t="s">
        <v>10</v>
      </c>
      <c r="H340" s="72" t="s">
        <v>201</v>
      </c>
      <c r="I340" s="72" t="s">
        <v>43</v>
      </c>
      <c r="J340" t="str">
        <f t="shared" si="14"/>
        <v>Dungeness River</v>
      </c>
      <c r="K340" t="str">
        <f>IFERROR(VLOOKUP(J340,LUTs!$A$1:$C$73,2,FALSE),"NA")</f>
        <v>Clallam</v>
      </c>
      <c r="L340" t="str">
        <f>IFERROR(VLOOKUP(J340,LUTs!$A$1:$C$73,3,FALSE),"NA")</f>
        <v>0Strait of Juan de Fuca</v>
      </c>
      <c r="M340" s="72" t="s">
        <v>23</v>
      </c>
      <c r="N340" t="str">
        <f>VLOOKUP(M340,LUTs!E$2:H$14,3,)</f>
        <v>10Kitsap</v>
      </c>
      <c r="O340" t="str">
        <f>VLOOKUP(M340,LUTs!E$2:H$14,4,)</f>
        <v>02South Puget Sound</v>
      </c>
      <c r="P340" s="73">
        <v>149.89690721649501</v>
      </c>
      <c r="Q340" s="74">
        <f>VLOOKUP(B340,Readme!A$40:C$51,2,)*P340</f>
        <v>515.64536082474285</v>
      </c>
    </row>
    <row r="341" spans="1:17" ht="12" customHeight="1" x14ac:dyDescent="0.35">
      <c r="A341" s="75">
        <v>340</v>
      </c>
      <c r="B341" s="64">
        <v>2011</v>
      </c>
      <c r="C341" s="64">
        <v>10</v>
      </c>
      <c r="D341" s="80">
        <f t="shared" si="13"/>
        <v>2011</v>
      </c>
      <c r="E341" t="s">
        <v>38</v>
      </c>
      <c r="F341" t="s">
        <v>143</v>
      </c>
      <c r="G341" t="s">
        <v>10</v>
      </c>
      <c r="H341" s="72" t="s">
        <v>201</v>
      </c>
      <c r="I341" s="72" t="s">
        <v>43</v>
      </c>
      <c r="J341" t="str">
        <f t="shared" si="14"/>
        <v>Dungeness River</v>
      </c>
      <c r="K341" t="str">
        <f>IFERROR(VLOOKUP(J341,LUTs!$A$1:$C$73,2,FALSE),"NA")</f>
        <v>Clallam</v>
      </c>
      <c r="L341" t="str">
        <f>IFERROR(VLOOKUP(J341,LUTs!$A$1:$C$73,3,FALSE),"NA")</f>
        <v>0Strait of Juan de Fuca</v>
      </c>
      <c r="M341" s="72" t="s">
        <v>26</v>
      </c>
      <c r="N341" t="str">
        <f>VLOOKUP(M341,LUTs!E$2:H$14,3,)</f>
        <v>20Other</v>
      </c>
      <c r="O341" t="str">
        <f>VLOOKUP(M341,LUTs!E$2:H$14,4,)</f>
        <v>07Non Puget Sound</v>
      </c>
      <c r="P341" s="73">
        <v>119.917525773196</v>
      </c>
      <c r="Q341" s="74">
        <f>VLOOKUP(B341,Readme!A$40:C$51,2,)*P341</f>
        <v>412.51628865979427</v>
      </c>
    </row>
    <row r="342" spans="1:17" ht="12" customHeight="1" x14ac:dyDescent="0.35">
      <c r="A342" s="75">
        <v>341</v>
      </c>
      <c r="B342" s="64">
        <v>2011</v>
      </c>
      <c r="C342" s="64">
        <v>10</v>
      </c>
      <c r="D342" s="80">
        <f t="shared" si="13"/>
        <v>2011</v>
      </c>
      <c r="E342" t="s">
        <v>38</v>
      </c>
      <c r="F342" t="s">
        <v>143</v>
      </c>
      <c r="G342" t="s">
        <v>10</v>
      </c>
      <c r="H342" s="72" t="s">
        <v>201</v>
      </c>
      <c r="I342" s="72" t="s">
        <v>43</v>
      </c>
      <c r="J342" t="str">
        <f t="shared" si="14"/>
        <v>Dungeness River</v>
      </c>
      <c r="K342" t="str">
        <f>IFERROR(VLOOKUP(J342,LUTs!$A$1:$C$73,2,FALSE),"NA")</f>
        <v>Clallam</v>
      </c>
      <c r="L342" t="str">
        <f>IFERROR(VLOOKUP(J342,LUTs!$A$1:$C$73,3,FALSE),"NA")</f>
        <v>0Strait of Juan de Fuca</v>
      </c>
      <c r="M342" s="72" t="s">
        <v>20</v>
      </c>
      <c r="N342" t="str">
        <f>VLOOKUP(M342,LUTs!E$2:H$14,3,)</f>
        <v>07Pierce</v>
      </c>
      <c r="O342" t="str">
        <f>VLOOKUP(M342,LUTs!E$2:H$14,4,)</f>
        <v>02South Puget Sound</v>
      </c>
      <c r="P342" s="73">
        <v>7.4948453608247396</v>
      </c>
      <c r="Q342" s="74">
        <f>VLOOKUP(B342,Readme!A$40:C$51,2,)*P342</f>
        <v>25.782268041237103</v>
      </c>
    </row>
    <row r="343" spans="1:17" ht="12" customHeight="1" x14ac:dyDescent="0.35">
      <c r="A343" s="75">
        <v>342</v>
      </c>
      <c r="B343" s="64">
        <v>2011</v>
      </c>
      <c r="C343" s="64">
        <v>10</v>
      </c>
      <c r="D343" s="80">
        <f t="shared" si="13"/>
        <v>2011</v>
      </c>
      <c r="E343" t="s">
        <v>38</v>
      </c>
      <c r="F343" t="s">
        <v>143</v>
      </c>
      <c r="G343" t="s">
        <v>10</v>
      </c>
      <c r="H343" s="72" t="s">
        <v>201</v>
      </c>
      <c r="I343" s="72" t="s">
        <v>43</v>
      </c>
      <c r="J343" t="str">
        <f t="shared" si="14"/>
        <v>Dungeness River</v>
      </c>
      <c r="K343" t="str">
        <f>IFERROR(VLOOKUP(J343,LUTs!$A$1:$C$73,2,FALSE),"NA")</f>
        <v>Clallam</v>
      </c>
      <c r="L343" t="str">
        <f>IFERROR(VLOOKUP(J343,LUTs!$A$1:$C$73,3,FALSE),"NA")</f>
        <v>0Strait of Juan de Fuca</v>
      </c>
      <c r="M343" s="72" t="s">
        <v>15</v>
      </c>
      <c r="N343" t="str">
        <f>VLOOKUP(M343,LUTs!E$2:H$14,3,)</f>
        <v>02Skagit</v>
      </c>
      <c r="O343" t="str">
        <f>VLOOKUP(M343,LUTs!E$2:H$14,4,)</f>
        <v>01North Puget Sound</v>
      </c>
      <c r="P343" s="73">
        <v>14.989690721649501</v>
      </c>
      <c r="Q343" s="74">
        <f>VLOOKUP(B343,Readme!A$40:C$51,2,)*P343</f>
        <v>51.564536082474284</v>
      </c>
    </row>
    <row r="344" spans="1:17" ht="12" customHeight="1" x14ac:dyDescent="0.35">
      <c r="A344" s="75">
        <v>343</v>
      </c>
      <c r="B344" s="64">
        <v>2011</v>
      </c>
      <c r="C344" s="64">
        <v>11</v>
      </c>
      <c r="D344" s="80">
        <f t="shared" si="13"/>
        <v>2011</v>
      </c>
      <c r="E344" t="s">
        <v>38</v>
      </c>
      <c r="F344" t="s">
        <v>143</v>
      </c>
      <c r="G344" t="s">
        <v>10</v>
      </c>
      <c r="H344" s="72" t="s">
        <v>201</v>
      </c>
      <c r="I344" s="72" t="s">
        <v>43</v>
      </c>
      <c r="J344" t="str">
        <f t="shared" si="14"/>
        <v>Dungeness River</v>
      </c>
      <c r="K344" t="str">
        <f>IFERROR(VLOOKUP(J344,LUTs!$A$1:$C$73,2,FALSE),"NA")</f>
        <v>Clallam</v>
      </c>
      <c r="L344" t="str">
        <f>IFERROR(VLOOKUP(J344,LUTs!$A$1:$C$73,3,FALSE),"NA")</f>
        <v>0Strait of Juan de Fuca</v>
      </c>
      <c r="M344" s="72" t="s">
        <v>24</v>
      </c>
      <c r="N344" t="str">
        <f>VLOOKUP(M344,LUTs!E$2:H$14,3,)</f>
        <v>11Clallam</v>
      </c>
      <c r="O344" t="str">
        <f>VLOOKUP(M344,LUTs!E$2:H$14,4,)</f>
        <v>03Strait of Juan de Fuca</v>
      </c>
      <c r="P344" s="73">
        <v>494.59259259259301</v>
      </c>
      <c r="Q344" s="74">
        <f>VLOOKUP(B344,Readme!A$40:C$51,2,)*P344</f>
        <v>1701.3985185185199</v>
      </c>
    </row>
    <row r="345" spans="1:17" ht="12" customHeight="1" x14ac:dyDescent="0.35">
      <c r="A345" s="75">
        <v>344</v>
      </c>
      <c r="B345" s="64">
        <v>2011</v>
      </c>
      <c r="C345" s="64">
        <v>11</v>
      </c>
      <c r="D345" s="80">
        <f t="shared" si="13"/>
        <v>2011</v>
      </c>
      <c r="E345" t="s">
        <v>38</v>
      </c>
      <c r="F345" t="s">
        <v>143</v>
      </c>
      <c r="G345" t="s">
        <v>10</v>
      </c>
      <c r="H345" s="72" t="s">
        <v>201</v>
      </c>
      <c r="I345" s="72" t="s">
        <v>43</v>
      </c>
      <c r="J345" t="str">
        <f t="shared" si="14"/>
        <v>Dungeness River</v>
      </c>
      <c r="K345" t="str">
        <f>IFERROR(VLOOKUP(J345,LUTs!$A$1:$C$73,2,FALSE),"NA")</f>
        <v>Clallam</v>
      </c>
      <c r="L345" t="str">
        <f>IFERROR(VLOOKUP(J345,LUTs!$A$1:$C$73,3,FALSE),"NA")</f>
        <v>0Strait of Juan de Fuca</v>
      </c>
      <c r="M345" s="72" t="s">
        <v>25</v>
      </c>
      <c r="N345" t="str">
        <f>VLOOKUP(M345,LUTs!E$2:H$14,3,)</f>
        <v>12Jefferson</v>
      </c>
      <c r="O345" t="str">
        <f>VLOOKUP(M345,LUTs!E$2:H$14,4,)</f>
        <v>03Strait of Juan de Fuca</v>
      </c>
      <c r="P345" s="73">
        <v>59.950617283950599</v>
      </c>
      <c r="Q345" s="74">
        <f>VLOOKUP(B345,Readme!A$40:C$51,2,)*P345</f>
        <v>206.23012345679007</v>
      </c>
    </row>
    <row r="346" spans="1:17" ht="12" customHeight="1" x14ac:dyDescent="0.35">
      <c r="A346" s="75">
        <v>345</v>
      </c>
      <c r="B346" s="64">
        <v>2011</v>
      </c>
      <c r="C346" s="64">
        <v>11</v>
      </c>
      <c r="D346" s="80">
        <f t="shared" si="13"/>
        <v>2011</v>
      </c>
      <c r="E346" t="s">
        <v>38</v>
      </c>
      <c r="F346" t="s">
        <v>143</v>
      </c>
      <c r="G346" t="s">
        <v>10</v>
      </c>
      <c r="H346" s="72" t="s">
        <v>201</v>
      </c>
      <c r="I346" s="72" t="s">
        <v>43</v>
      </c>
      <c r="J346" t="str">
        <f t="shared" si="14"/>
        <v>Dungeness River</v>
      </c>
      <c r="K346" t="str">
        <f>IFERROR(VLOOKUP(J346,LUTs!$A$1:$C$73,2,FALSE),"NA")</f>
        <v>Clallam</v>
      </c>
      <c r="L346" t="str">
        <f>IFERROR(VLOOKUP(J346,LUTs!$A$1:$C$73,3,FALSE),"NA")</f>
        <v>0Strait of Juan de Fuca</v>
      </c>
      <c r="M346" s="72" t="s">
        <v>23</v>
      </c>
      <c r="N346" t="str">
        <f>VLOOKUP(M346,LUTs!E$2:H$14,3,)</f>
        <v>10Kitsap</v>
      </c>
      <c r="O346" t="str">
        <f>VLOOKUP(M346,LUTs!E$2:H$14,4,)</f>
        <v>02South Puget Sound</v>
      </c>
      <c r="P346" s="73">
        <v>29.9753086419753</v>
      </c>
      <c r="Q346" s="74">
        <f>VLOOKUP(B346,Readme!A$40:C$51,2,)*P346</f>
        <v>103.11506172839503</v>
      </c>
    </row>
    <row r="347" spans="1:17" ht="12" customHeight="1" x14ac:dyDescent="0.35">
      <c r="A347" s="75">
        <v>346</v>
      </c>
      <c r="B347" s="64">
        <v>2011</v>
      </c>
      <c r="C347" s="64">
        <v>11</v>
      </c>
      <c r="D347" s="80">
        <f t="shared" si="13"/>
        <v>2011</v>
      </c>
      <c r="E347" t="s">
        <v>38</v>
      </c>
      <c r="F347" t="s">
        <v>143</v>
      </c>
      <c r="G347" t="s">
        <v>10</v>
      </c>
      <c r="H347" s="72" t="s">
        <v>201</v>
      </c>
      <c r="I347" s="72" t="s">
        <v>43</v>
      </c>
      <c r="J347" t="str">
        <f t="shared" si="14"/>
        <v>Dungeness River</v>
      </c>
      <c r="K347" t="str">
        <f>IFERROR(VLOOKUP(J347,LUTs!$A$1:$C$73,2,FALSE),"NA")</f>
        <v>Clallam</v>
      </c>
      <c r="L347" t="str">
        <f>IFERROR(VLOOKUP(J347,LUTs!$A$1:$C$73,3,FALSE),"NA")</f>
        <v>0Strait of Juan de Fuca</v>
      </c>
      <c r="M347" s="72" t="s">
        <v>15</v>
      </c>
      <c r="N347" t="str">
        <f>VLOOKUP(M347,LUTs!E$2:H$14,3,)</f>
        <v>02Skagit</v>
      </c>
      <c r="O347" t="str">
        <f>VLOOKUP(M347,LUTs!E$2:H$14,4,)</f>
        <v>01North Puget Sound</v>
      </c>
      <c r="P347" s="73">
        <v>22.481481481481499</v>
      </c>
      <c r="Q347" s="74">
        <f>VLOOKUP(B347,Readme!A$40:C$51,2,)*P347</f>
        <v>77.336296296296354</v>
      </c>
    </row>
    <row r="348" spans="1:17" ht="12" customHeight="1" x14ac:dyDescent="0.35">
      <c r="A348" s="75">
        <v>347</v>
      </c>
      <c r="B348" s="64">
        <v>2011</v>
      </c>
      <c r="C348" s="64">
        <v>12</v>
      </c>
      <c r="D348" s="80">
        <f t="shared" si="13"/>
        <v>2011</v>
      </c>
      <c r="E348" t="s">
        <v>38</v>
      </c>
      <c r="F348" t="s">
        <v>143</v>
      </c>
      <c r="G348" t="s">
        <v>10</v>
      </c>
      <c r="H348" s="72" t="s">
        <v>201</v>
      </c>
      <c r="I348" s="72" t="s">
        <v>43</v>
      </c>
      <c r="J348" t="str">
        <f t="shared" si="14"/>
        <v>Dungeness River</v>
      </c>
      <c r="K348" t="str">
        <f>IFERROR(VLOOKUP(J348,LUTs!$A$1:$C$73,2,FALSE),"NA")</f>
        <v>Clallam</v>
      </c>
      <c r="L348" t="str">
        <f>IFERROR(VLOOKUP(J348,LUTs!$A$1:$C$73,3,FALSE),"NA")</f>
        <v>0Strait of Juan de Fuca</v>
      </c>
      <c r="M348" s="72" t="s">
        <v>24</v>
      </c>
      <c r="N348" t="str">
        <f>VLOOKUP(M348,LUTs!E$2:H$14,3,)</f>
        <v>11Clallam</v>
      </c>
      <c r="O348" t="str">
        <f>VLOOKUP(M348,LUTs!E$2:H$14,4,)</f>
        <v>03Strait of Juan de Fuca</v>
      </c>
      <c r="P348" s="73">
        <v>75</v>
      </c>
      <c r="Q348" s="74">
        <f>VLOOKUP(B348,Readme!A$40:C$51,2,)*P348</f>
        <v>258</v>
      </c>
    </row>
    <row r="349" spans="1:17" ht="12" customHeight="1" x14ac:dyDescent="0.35">
      <c r="A349" s="75">
        <v>348</v>
      </c>
      <c r="B349" s="64">
        <v>2011</v>
      </c>
      <c r="C349" s="64">
        <v>10</v>
      </c>
      <c r="D349" s="80">
        <f t="shared" si="13"/>
        <v>2011</v>
      </c>
      <c r="E349" t="s">
        <v>38</v>
      </c>
      <c r="F349" t="s">
        <v>143</v>
      </c>
      <c r="G349" t="s">
        <v>10</v>
      </c>
      <c r="H349" s="72" t="s">
        <v>202</v>
      </c>
      <c r="I349" s="72" t="s">
        <v>44</v>
      </c>
      <c r="J349" t="str">
        <f t="shared" si="14"/>
        <v>Elwha River</v>
      </c>
      <c r="K349" t="str">
        <f>IFERROR(VLOOKUP(J349,LUTs!$A$1:$C$73,2,FALSE),"NA")</f>
        <v>Clallam</v>
      </c>
      <c r="L349" t="str">
        <f>IFERROR(VLOOKUP(J349,LUTs!$A$1:$C$73,3,FALSE),"NA")</f>
        <v>0Strait of Juan de Fuca</v>
      </c>
      <c r="M349" s="72" t="s">
        <v>24</v>
      </c>
      <c r="N349" t="str">
        <f>VLOOKUP(M349,LUTs!E$2:H$14,3,)</f>
        <v>11Clallam</v>
      </c>
      <c r="O349" t="str">
        <f>VLOOKUP(M349,LUTs!E$2:H$14,4,)</f>
        <v>03Strait of Juan de Fuca</v>
      </c>
      <c r="P349" s="73">
        <v>9</v>
      </c>
      <c r="Q349" s="74">
        <f>VLOOKUP(B349,Readme!A$40:C$51,2,)*P349</f>
        <v>30.96</v>
      </c>
    </row>
    <row r="350" spans="1:17" ht="12" customHeight="1" x14ac:dyDescent="0.35">
      <c r="A350" s="75">
        <v>349</v>
      </c>
      <c r="B350" s="64">
        <v>2011</v>
      </c>
      <c r="C350" s="64">
        <v>7</v>
      </c>
      <c r="D350" s="80">
        <f t="shared" si="13"/>
        <v>2011</v>
      </c>
      <c r="E350" t="s">
        <v>38</v>
      </c>
      <c r="F350" t="s">
        <v>143</v>
      </c>
      <c r="G350" t="s">
        <v>10</v>
      </c>
      <c r="H350" s="72" t="s">
        <v>203</v>
      </c>
      <c r="I350" s="72" t="s">
        <v>45</v>
      </c>
      <c r="J350" t="str">
        <f t="shared" si="14"/>
        <v>Green - Duwamish River</v>
      </c>
      <c r="K350" t="str">
        <f>IFERROR(VLOOKUP(J350,LUTs!$A$1:$C$73,2,FALSE),"NA")</f>
        <v>King</v>
      </c>
      <c r="L350" t="str">
        <f>IFERROR(VLOOKUP(J350,LUTs!$A$1:$C$73,3,FALSE),"NA")</f>
        <v>3South Puget Sound</v>
      </c>
      <c r="M350" s="72" t="s">
        <v>20</v>
      </c>
      <c r="N350" t="str">
        <f>VLOOKUP(M350,LUTs!E$2:H$14,3,)</f>
        <v>07Pierce</v>
      </c>
      <c r="O350" t="str">
        <f>VLOOKUP(M350,LUTs!E$2:H$14,4,)</f>
        <v>02South Puget Sound</v>
      </c>
      <c r="P350" s="73">
        <v>0</v>
      </c>
      <c r="Q350" s="74">
        <f>VLOOKUP(B350,Readme!A$40:C$51,2,)*P350</f>
        <v>0</v>
      </c>
    </row>
    <row r="351" spans="1:17" ht="12" customHeight="1" x14ac:dyDescent="0.35">
      <c r="A351" s="75">
        <v>350</v>
      </c>
      <c r="B351" s="64">
        <v>2011</v>
      </c>
      <c r="C351" s="64">
        <v>8</v>
      </c>
      <c r="D351" s="80">
        <f t="shared" si="13"/>
        <v>2011</v>
      </c>
      <c r="E351" t="s">
        <v>38</v>
      </c>
      <c r="F351" t="s">
        <v>143</v>
      </c>
      <c r="G351" t="s">
        <v>10</v>
      </c>
      <c r="H351" s="72" t="s">
        <v>203</v>
      </c>
      <c r="I351" s="72" t="s">
        <v>45</v>
      </c>
      <c r="J351" t="str">
        <f t="shared" si="14"/>
        <v>Green - Duwamish River</v>
      </c>
      <c r="K351" t="str">
        <f>IFERROR(VLOOKUP(J351,LUTs!$A$1:$C$73,2,FALSE),"NA")</f>
        <v>King</v>
      </c>
      <c r="L351" t="str">
        <f>IFERROR(VLOOKUP(J351,LUTs!$A$1:$C$73,3,FALSE),"NA")</f>
        <v>3South Puget Sound</v>
      </c>
      <c r="M351" s="72" t="s">
        <v>18</v>
      </c>
      <c r="N351" t="str">
        <f>VLOOKUP(M351,LUTs!E$2:H$14,3,)</f>
        <v>06King</v>
      </c>
      <c r="O351" t="str">
        <f>VLOOKUP(M351,LUTs!E$2:H$14,4,)</f>
        <v>02South Puget Sound</v>
      </c>
      <c r="P351" s="73">
        <v>1468.8461538461499</v>
      </c>
      <c r="Q351" s="74">
        <f>VLOOKUP(B351,Readme!A$40:C$51,2,)*P351</f>
        <v>5052.8307692307553</v>
      </c>
    </row>
    <row r="352" spans="1:17" ht="12" customHeight="1" x14ac:dyDescent="0.35">
      <c r="A352" s="75">
        <v>351</v>
      </c>
      <c r="B352" s="64">
        <v>2011</v>
      </c>
      <c r="C352" s="64">
        <v>8</v>
      </c>
      <c r="D352" s="80">
        <f t="shared" si="13"/>
        <v>2011</v>
      </c>
      <c r="E352" t="s">
        <v>38</v>
      </c>
      <c r="F352" t="s">
        <v>143</v>
      </c>
      <c r="G352" t="s">
        <v>10</v>
      </c>
      <c r="H352" s="72" t="s">
        <v>203</v>
      </c>
      <c r="I352" s="72" t="s">
        <v>45</v>
      </c>
      <c r="J352" t="str">
        <f t="shared" si="14"/>
        <v>Green - Duwamish River</v>
      </c>
      <c r="K352" t="str">
        <f>IFERROR(VLOOKUP(J352,LUTs!$A$1:$C$73,2,FALSE),"NA")</f>
        <v>King</v>
      </c>
      <c r="L352" t="str">
        <f>IFERROR(VLOOKUP(J352,LUTs!$A$1:$C$73,3,FALSE),"NA")</f>
        <v>3South Puget Sound</v>
      </c>
      <c r="M352" s="72" t="s">
        <v>26</v>
      </c>
      <c r="N352" t="str">
        <f>VLOOKUP(M352,LUTs!E$2:H$14,3,)</f>
        <v>20Other</v>
      </c>
      <c r="O352" t="str">
        <f>VLOOKUP(M352,LUTs!E$2:H$14,4,)</f>
        <v>07Non Puget Sound</v>
      </c>
      <c r="P352" s="73">
        <v>116.92307692307701</v>
      </c>
      <c r="Q352" s="74">
        <f>VLOOKUP(B352,Readme!A$40:C$51,2,)*P352</f>
        <v>402.21538461538489</v>
      </c>
    </row>
    <row r="353" spans="1:17" ht="12" customHeight="1" x14ac:dyDescent="0.35">
      <c r="A353" s="75">
        <v>352</v>
      </c>
      <c r="B353" s="64">
        <v>2011</v>
      </c>
      <c r="C353" s="64">
        <v>8</v>
      </c>
      <c r="D353" s="80">
        <f t="shared" si="13"/>
        <v>2011</v>
      </c>
      <c r="E353" t="s">
        <v>38</v>
      </c>
      <c r="F353" t="s">
        <v>143</v>
      </c>
      <c r="G353" t="s">
        <v>10</v>
      </c>
      <c r="H353" s="72" t="s">
        <v>203</v>
      </c>
      <c r="I353" s="72" t="s">
        <v>45</v>
      </c>
      <c r="J353" t="str">
        <f t="shared" si="14"/>
        <v>Green - Duwamish River</v>
      </c>
      <c r="K353" t="str">
        <f>IFERROR(VLOOKUP(J353,LUTs!$A$1:$C$73,2,FALSE),"NA")</f>
        <v>King</v>
      </c>
      <c r="L353" t="str">
        <f>IFERROR(VLOOKUP(J353,LUTs!$A$1:$C$73,3,FALSE),"NA")</f>
        <v>3South Puget Sound</v>
      </c>
      <c r="M353" s="72" t="s">
        <v>20</v>
      </c>
      <c r="N353" t="str">
        <f>VLOOKUP(M353,LUTs!E$2:H$14,3,)</f>
        <v>07Pierce</v>
      </c>
      <c r="O353" t="str">
        <f>VLOOKUP(M353,LUTs!E$2:H$14,4,)</f>
        <v>02South Puget Sound</v>
      </c>
      <c r="P353" s="73">
        <v>21.923076923076898</v>
      </c>
      <c r="Q353" s="74">
        <f>VLOOKUP(B353,Readme!A$40:C$51,2,)*P353</f>
        <v>75.415384615384525</v>
      </c>
    </row>
    <row r="354" spans="1:17" ht="12" customHeight="1" x14ac:dyDescent="0.35">
      <c r="A354" s="75">
        <v>353</v>
      </c>
      <c r="B354" s="64">
        <v>2011</v>
      </c>
      <c r="C354" s="64">
        <v>8</v>
      </c>
      <c r="D354" s="80">
        <f t="shared" si="13"/>
        <v>2011</v>
      </c>
      <c r="E354" t="s">
        <v>38</v>
      </c>
      <c r="F354" t="s">
        <v>143</v>
      </c>
      <c r="G354" t="s">
        <v>10</v>
      </c>
      <c r="H354" s="72" t="s">
        <v>203</v>
      </c>
      <c r="I354" s="72" t="s">
        <v>45</v>
      </c>
      <c r="J354" t="str">
        <f t="shared" si="14"/>
        <v>Green - Duwamish River</v>
      </c>
      <c r="K354" t="str">
        <f>IFERROR(VLOOKUP(J354,LUTs!$A$1:$C$73,2,FALSE),"NA")</f>
        <v>King</v>
      </c>
      <c r="L354" t="str">
        <f>IFERROR(VLOOKUP(J354,LUTs!$A$1:$C$73,3,FALSE),"NA")</f>
        <v>3South Puget Sound</v>
      </c>
      <c r="M354" s="72" t="s">
        <v>16</v>
      </c>
      <c r="N354" t="str">
        <f>VLOOKUP(M354,LUTs!E$2:H$14,3,)</f>
        <v>03Snohomish</v>
      </c>
      <c r="O354" t="str">
        <f>VLOOKUP(M354,LUTs!E$2:H$14,4,)</f>
        <v>01North Puget Sound</v>
      </c>
      <c r="P354" s="73">
        <v>102.30769230769199</v>
      </c>
      <c r="Q354" s="74">
        <f>VLOOKUP(B354,Readme!A$40:C$51,2,)*P354</f>
        <v>351.93846153846044</v>
      </c>
    </row>
    <row r="355" spans="1:17" ht="12" customHeight="1" x14ac:dyDescent="0.35">
      <c r="A355" s="75">
        <v>354</v>
      </c>
      <c r="B355" s="64">
        <v>2011</v>
      </c>
      <c r="C355" s="64">
        <v>9</v>
      </c>
      <c r="D355" s="80">
        <f t="shared" si="13"/>
        <v>2011</v>
      </c>
      <c r="E355" t="s">
        <v>38</v>
      </c>
      <c r="F355" t="s">
        <v>143</v>
      </c>
      <c r="G355" t="s">
        <v>10</v>
      </c>
      <c r="H355" s="72" t="s">
        <v>203</v>
      </c>
      <c r="I355" s="72" t="s">
        <v>45</v>
      </c>
      <c r="J355" t="str">
        <f t="shared" si="14"/>
        <v>Green - Duwamish River</v>
      </c>
      <c r="K355" t="str">
        <f>IFERROR(VLOOKUP(J355,LUTs!$A$1:$C$73,2,FALSE),"NA")</f>
        <v>King</v>
      </c>
      <c r="L355" t="str">
        <f>IFERROR(VLOOKUP(J355,LUTs!$A$1:$C$73,3,FALSE),"NA")</f>
        <v>3South Puget Sound</v>
      </c>
      <c r="M355" s="72" t="s">
        <v>17</v>
      </c>
      <c r="N355" t="str">
        <f>VLOOKUP(M355,LUTs!E$2:H$14,3,)</f>
        <v>04Island</v>
      </c>
      <c r="O355" t="str">
        <f>VLOOKUP(M355,LUTs!E$2:H$14,4,)</f>
        <v>01North Puget Sound</v>
      </c>
      <c r="P355" s="73">
        <v>7.2972304648862503</v>
      </c>
      <c r="Q355" s="74">
        <f>VLOOKUP(B355,Readme!A$40:C$51,2,)*P355</f>
        <v>25.102472799208702</v>
      </c>
    </row>
    <row r="356" spans="1:17" ht="12" customHeight="1" x14ac:dyDescent="0.35">
      <c r="A356" s="75">
        <v>355</v>
      </c>
      <c r="B356" s="64">
        <v>2011</v>
      </c>
      <c r="C356" s="64">
        <v>9</v>
      </c>
      <c r="D356" s="80">
        <f t="shared" si="13"/>
        <v>2011</v>
      </c>
      <c r="E356" t="s">
        <v>38</v>
      </c>
      <c r="F356" t="s">
        <v>143</v>
      </c>
      <c r="G356" t="s">
        <v>10</v>
      </c>
      <c r="H356" s="72" t="s">
        <v>203</v>
      </c>
      <c r="I356" s="72" t="s">
        <v>45</v>
      </c>
      <c r="J356" t="str">
        <f t="shared" si="14"/>
        <v>Green - Duwamish River</v>
      </c>
      <c r="K356" t="str">
        <f>IFERROR(VLOOKUP(J356,LUTs!$A$1:$C$73,2,FALSE),"NA")</f>
        <v>King</v>
      </c>
      <c r="L356" t="str">
        <f>IFERROR(VLOOKUP(J356,LUTs!$A$1:$C$73,3,FALSE),"NA")</f>
        <v>3South Puget Sound</v>
      </c>
      <c r="M356" s="72" t="s">
        <v>18</v>
      </c>
      <c r="N356" t="str">
        <f>VLOOKUP(M356,LUTs!E$2:H$14,3,)</f>
        <v>06King</v>
      </c>
      <c r="O356" t="str">
        <f>VLOOKUP(M356,LUTs!E$2:H$14,4,)</f>
        <v>02South Puget Sound</v>
      </c>
      <c r="P356" s="73">
        <v>12478.264094955501</v>
      </c>
      <c r="Q356" s="74">
        <f>VLOOKUP(B356,Readme!A$40:C$51,2,)*P356</f>
        <v>42925.22848664692</v>
      </c>
    </row>
    <row r="357" spans="1:17" ht="12" customHeight="1" x14ac:dyDescent="0.35">
      <c r="A357" s="75">
        <v>356</v>
      </c>
      <c r="B357" s="64">
        <v>2011</v>
      </c>
      <c r="C357" s="64">
        <v>9</v>
      </c>
      <c r="D357" s="80">
        <f t="shared" si="13"/>
        <v>2011</v>
      </c>
      <c r="E357" t="s">
        <v>38</v>
      </c>
      <c r="F357" t="s">
        <v>143</v>
      </c>
      <c r="G357" t="s">
        <v>10</v>
      </c>
      <c r="H357" s="72" t="s">
        <v>203</v>
      </c>
      <c r="I357" s="72" t="s">
        <v>45</v>
      </c>
      <c r="J357" t="str">
        <f t="shared" si="14"/>
        <v>Green - Duwamish River</v>
      </c>
      <c r="K357" t="str">
        <f>IFERROR(VLOOKUP(J357,LUTs!$A$1:$C$73,2,FALSE),"NA")</f>
        <v>King</v>
      </c>
      <c r="L357" t="str">
        <f>IFERROR(VLOOKUP(J357,LUTs!$A$1:$C$73,3,FALSE),"NA")</f>
        <v>3South Puget Sound</v>
      </c>
      <c r="M357" s="72" t="s">
        <v>23</v>
      </c>
      <c r="N357" t="str">
        <f>VLOOKUP(M357,LUTs!E$2:H$14,3,)</f>
        <v>10Kitsap</v>
      </c>
      <c r="O357" t="str">
        <f>VLOOKUP(M357,LUTs!E$2:H$14,4,)</f>
        <v>02South Puget Sound</v>
      </c>
      <c r="P357" s="73">
        <v>58.377843719090002</v>
      </c>
      <c r="Q357" s="74">
        <f>VLOOKUP(B357,Readme!A$40:C$51,2,)*P357</f>
        <v>200.81978239366961</v>
      </c>
    </row>
    <row r="358" spans="1:17" ht="12" customHeight="1" x14ac:dyDescent="0.35">
      <c r="A358" s="75">
        <v>357</v>
      </c>
      <c r="B358" s="64">
        <v>2011</v>
      </c>
      <c r="C358" s="64">
        <v>9</v>
      </c>
      <c r="D358" s="80">
        <f t="shared" si="13"/>
        <v>2011</v>
      </c>
      <c r="E358" t="s">
        <v>38</v>
      </c>
      <c r="F358" t="s">
        <v>143</v>
      </c>
      <c r="G358" t="s">
        <v>10</v>
      </c>
      <c r="H358" s="72" t="s">
        <v>203</v>
      </c>
      <c r="I358" s="72" t="s">
        <v>45</v>
      </c>
      <c r="J358" t="str">
        <f t="shared" si="14"/>
        <v>Green - Duwamish River</v>
      </c>
      <c r="K358" t="str">
        <f>IFERROR(VLOOKUP(J358,LUTs!$A$1:$C$73,2,FALSE),"NA")</f>
        <v>King</v>
      </c>
      <c r="L358" t="str">
        <f>IFERROR(VLOOKUP(J358,LUTs!$A$1:$C$73,3,FALSE),"NA")</f>
        <v>3South Puget Sound</v>
      </c>
      <c r="M358" s="72" t="s">
        <v>26</v>
      </c>
      <c r="N358" t="str">
        <f>VLOOKUP(M358,LUTs!E$2:H$14,3,)</f>
        <v>20Other</v>
      </c>
      <c r="O358" t="str">
        <f>VLOOKUP(M358,LUTs!E$2:H$14,4,)</f>
        <v>07Non Puget Sound</v>
      </c>
      <c r="P358" s="73">
        <v>722.425816023739</v>
      </c>
      <c r="Q358" s="74">
        <f>VLOOKUP(B358,Readme!A$40:C$51,2,)*P358</f>
        <v>2485.1448071216623</v>
      </c>
    </row>
    <row r="359" spans="1:17" ht="12" customHeight="1" x14ac:dyDescent="0.35">
      <c r="A359" s="75">
        <v>358</v>
      </c>
      <c r="B359" s="64">
        <v>2011</v>
      </c>
      <c r="C359" s="64">
        <v>9</v>
      </c>
      <c r="D359" s="80">
        <f t="shared" si="13"/>
        <v>2011</v>
      </c>
      <c r="E359" t="s">
        <v>38</v>
      </c>
      <c r="F359" t="s">
        <v>143</v>
      </c>
      <c r="G359" t="s">
        <v>10</v>
      </c>
      <c r="H359" s="72" t="s">
        <v>203</v>
      </c>
      <c r="I359" s="72" t="s">
        <v>45</v>
      </c>
      <c r="J359" t="str">
        <f t="shared" si="14"/>
        <v>Green - Duwamish River</v>
      </c>
      <c r="K359" t="str">
        <f>IFERROR(VLOOKUP(J359,LUTs!$A$1:$C$73,2,FALSE),"NA")</f>
        <v>King</v>
      </c>
      <c r="L359" t="str">
        <f>IFERROR(VLOOKUP(J359,LUTs!$A$1:$C$73,3,FALSE),"NA")</f>
        <v>3South Puget Sound</v>
      </c>
      <c r="M359" s="72" t="s">
        <v>20</v>
      </c>
      <c r="N359" t="str">
        <f>VLOOKUP(M359,LUTs!E$2:H$14,3,)</f>
        <v>07Pierce</v>
      </c>
      <c r="O359" t="str">
        <f>VLOOKUP(M359,LUTs!E$2:H$14,4,)</f>
        <v>02South Puget Sound</v>
      </c>
      <c r="P359" s="73">
        <v>999.72057368941705</v>
      </c>
      <c r="Q359" s="74">
        <f>VLOOKUP(B359,Readme!A$40:C$51,2,)*P359</f>
        <v>3439.0387734915944</v>
      </c>
    </row>
    <row r="360" spans="1:17" ht="12" customHeight="1" x14ac:dyDescent="0.35">
      <c r="A360" s="75">
        <v>359</v>
      </c>
      <c r="B360" s="64">
        <v>2011</v>
      </c>
      <c r="C360" s="64">
        <v>9</v>
      </c>
      <c r="D360" s="80">
        <f t="shared" si="13"/>
        <v>2011</v>
      </c>
      <c r="E360" t="s">
        <v>38</v>
      </c>
      <c r="F360" t="s">
        <v>143</v>
      </c>
      <c r="G360" t="s">
        <v>10</v>
      </c>
      <c r="H360" s="72" t="s">
        <v>203</v>
      </c>
      <c r="I360" s="72" t="s">
        <v>45</v>
      </c>
      <c r="J360" t="str">
        <f t="shared" si="14"/>
        <v>Green - Duwamish River</v>
      </c>
      <c r="K360" t="str">
        <f>IFERROR(VLOOKUP(J360,LUTs!$A$1:$C$73,2,FALSE),"NA")</f>
        <v>King</v>
      </c>
      <c r="L360" t="str">
        <f>IFERROR(VLOOKUP(J360,LUTs!$A$1:$C$73,3,FALSE),"NA")</f>
        <v>3South Puget Sound</v>
      </c>
      <c r="M360" s="72" t="s">
        <v>15</v>
      </c>
      <c r="N360" t="str">
        <f>VLOOKUP(M360,LUTs!E$2:H$14,3,)</f>
        <v>02Skagit</v>
      </c>
      <c r="O360" t="str">
        <f>VLOOKUP(M360,LUTs!E$2:H$14,4,)</f>
        <v>01North Puget Sound</v>
      </c>
      <c r="P360" s="73">
        <v>14.594460929772501</v>
      </c>
      <c r="Q360" s="74">
        <f>VLOOKUP(B360,Readme!A$40:C$51,2,)*P360</f>
        <v>50.204945598417403</v>
      </c>
    </row>
    <row r="361" spans="1:17" ht="12" customHeight="1" x14ac:dyDescent="0.35">
      <c r="A361" s="75">
        <v>360</v>
      </c>
      <c r="B361" s="64">
        <v>2011</v>
      </c>
      <c r="C361" s="64">
        <v>9</v>
      </c>
      <c r="D361" s="80">
        <f t="shared" si="13"/>
        <v>2011</v>
      </c>
      <c r="E361" t="s">
        <v>38</v>
      </c>
      <c r="F361" t="s">
        <v>143</v>
      </c>
      <c r="G361" t="s">
        <v>10</v>
      </c>
      <c r="H361" s="72" t="s">
        <v>203</v>
      </c>
      <c r="I361" s="72" t="s">
        <v>45</v>
      </c>
      <c r="J361" t="str">
        <f t="shared" si="14"/>
        <v>Green - Duwamish River</v>
      </c>
      <c r="K361" t="str">
        <f>IFERROR(VLOOKUP(J361,LUTs!$A$1:$C$73,2,FALSE),"NA")</f>
        <v>King</v>
      </c>
      <c r="L361" t="str">
        <f>IFERROR(VLOOKUP(J361,LUTs!$A$1:$C$73,3,FALSE),"NA")</f>
        <v>3South Puget Sound</v>
      </c>
      <c r="M361" s="72" t="s">
        <v>16</v>
      </c>
      <c r="N361" t="str">
        <f>VLOOKUP(M361,LUTs!E$2:H$14,3,)</f>
        <v>03Snohomish</v>
      </c>
      <c r="O361" t="str">
        <f>VLOOKUP(M361,LUTs!E$2:H$14,4,)</f>
        <v>01North Puget Sound</v>
      </c>
      <c r="P361" s="73">
        <v>437.833827893175</v>
      </c>
      <c r="Q361" s="74">
        <f>VLOOKUP(B361,Readme!A$40:C$51,2,)*P361</f>
        <v>1506.148367952522</v>
      </c>
    </row>
    <row r="362" spans="1:17" ht="12" customHeight="1" x14ac:dyDescent="0.35">
      <c r="A362" s="75">
        <v>361</v>
      </c>
      <c r="B362" s="64">
        <v>2011</v>
      </c>
      <c r="C362" s="64">
        <v>9</v>
      </c>
      <c r="D362" s="80">
        <f t="shared" si="13"/>
        <v>2011</v>
      </c>
      <c r="E362" t="s">
        <v>38</v>
      </c>
      <c r="F362" t="s">
        <v>143</v>
      </c>
      <c r="G362" t="s">
        <v>10</v>
      </c>
      <c r="H362" s="72" t="s">
        <v>203</v>
      </c>
      <c r="I362" s="72" t="s">
        <v>45</v>
      </c>
      <c r="J362" t="str">
        <f t="shared" si="14"/>
        <v>Green - Duwamish River</v>
      </c>
      <c r="K362" t="str">
        <f>IFERROR(VLOOKUP(J362,LUTs!$A$1:$C$73,2,FALSE),"NA")</f>
        <v>King</v>
      </c>
      <c r="L362" t="str">
        <f>IFERROR(VLOOKUP(J362,LUTs!$A$1:$C$73,3,FALSE),"NA")</f>
        <v>3South Puget Sound</v>
      </c>
      <c r="M362" s="72" t="s">
        <v>13</v>
      </c>
      <c r="N362" t="str">
        <f>VLOOKUP(M362,LUTs!E$2:H$14,3,)</f>
        <v>01Whatcom</v>
      </c>
      <c r="O362" t="str">
        <f>VLOOKUP(M362,LUTs!E$2:H$14,4,)</f>
        <v>01North Puget Sound</v>
      </c>
      <c r="P362" s="73">
        <v>36.486152324431302</v>
      </c>
      <c r="Q362" s="74">
        <f>VLOOKUP(B362,Readme!A$40:C$51,2,)*P362</f>
        <v>125.51236399604367</v>
      </c>
    </row>
    <row r="363" spans="1:17" ht="12" customHeight="1" x14ac:dyDescent="0.35">
      <c r="A363" s="75">
        <v>362</v>
      </c>
      <c r="B363" s="64">
        <v>2011</v>
      </c>
      <c r="C363" s="64">
        <v>10</v>
      </c>
      <c r="D363" s="80">
        <f t="shared" si="13"/>
        <v>2011</v>
      </c>
      <c r="E363" t="s">
        <v>38</v>
      </c>
      <c r="F363" t="s">
        <v>143</v>
      </c>
      <c r="G363" t="s">
        <v>10</v>
      </c>
      <c r="H363" s="72" t="s">
        <v>203</v>
      </c>
      <c r="I363" s="72" t="s">
        <v>45</v>
      </c>
      <c r="J363" t="str">
        <f t="shared" si="14"/>
        <v>Green - Duwamish River</v>
      </c>
      <c r="K363" t="str">
        <f>IFERROR(VLOOKUP(J363,LUTs!$A$1:$C$73,2,FALSE),"NA")</f>
        <v>King</v>
      </c>
      <c r="L363" t="str">
        <f>IFERROR(VLOOKUP(J363,LUTs!$A$1:$C$73,3,FALSE),"NA")</f>
        <v>3South Puget Sound</v>
      </c>
      <c r="M363" s="72" t="s">
        <v>18</v>
      </c>
      <c r="N363" t="str">
        <f>VLOOKUP(M363,LUTs!E$2:H$14,3,)</f>
        <v>06King</v>
      </c>
      <c r="O363" t="str">
        <f>VLOOKUP(M363,LUTs!E$2:H$14,4,)</f>
        <v>02South Puget Sound</v>
      </c>
      <c r="P363" s="73">
        <v>6828.8941574936498</v>
      </c>
      <c r="Q363" s="74">
        <f>VLOOKUP(B363,Readme!A$40:C$51,2,)*P363</f>
        <v>23491.395901778156</v>
      </c>
    </row>
    <row r="364" spans="1:17" ht="12" customHeight="1" x14ac:dyDescent="0.35">
      <c r="A364" s="75">
        <v>363</v>
      </c>
      <c r="B364" s="64">
        <v>2011</v>
      </c>
      <c r="C364" s="64">
        <v>10</v>
      </c>
      <c r="D364" s="80">
        <f t="shared" si="13"/>
        <v>2011</v>
      </c>
      <c r="E364" t="s">
        <v>38</v>
      </c>
      <c r="F364" t="s">
        <v>143</v>
      </c>
      <c r="G364" t="s">
        <v>10</v>
      </c>
      <c r="H364" s="72" t="s">
        <v>203</v>
      </c>
      <c r="I364" s="72" t="s">
        <v>45</v>
      </c>
      <c r="J364" t="str">
        <f t="shared" si="14"/>
        <v>Green - Duwamish River</v>
      </c>
      <c r="K364" t="str">
        <f>IFERROR(VLOOKUP(J364,LUTs!$A$1:$C$73,2,FALSE),"NA")</f>
        <v>King</v>
      </c>
      <c r="L364" t="str">
        <f>IFERROR(VLOOKUP(J364,LUTs!$A$1:$C$73,3,FALSE),"NA")</f>
        <v>3South Puget Sound</v>
      </c>
      <c r="M364" s="72" t="s">
        <v>23</v>
      </c>
      <c r="N364" t="str">
        <f>VLOOKUP(M364,LUTs!E$2:H$14,3,)</f>
        <v>10Kitsap</v>
      </c>
      <c r="O364" t="str">
        <f>VLOOKUP(M364,LUTs!E$2:H$14,4,)</f>
        <v>02South Puget Sound</v>
      </c>
      <c r="P364" s="73">
        <v>50.961896697713797</v>
      </c>
      <c r="Q364" s="74">
        <f>VLOOKUP(B364,Readme!A$40:C$51,2,)*P364</f>
        <v>175.30892464013547</v>
      </c>
    </row>
    <row r="365" spans="1:17" ht="12" customHeight="1" x14ac:dyDescent="0.35">
      <c r="A365" s="75">
        <v>364</v>
      </c>
      <c r="B365" s="64">
        <v>2011</v>
      </c>
      <c r="C365" s="64">
        <v>10</v>
      </c>
      <c r="D365" s="80">
        <f t="shared" si="13"/>
        <v>2011</v>
      </c>
      <c r="E365" t="s">
        <v>38</v>
      </c>
      <c r="F365" t="s">
        <v>143</v>
      </c>
      <c r="G365" t="s">
        <v>10</v>
      </c>
      <c r="H365" s="72" t="s">
        <v>203</v>
      </c>
      <c r="I365" s="72" t="s">
        <v>45</v>
      </c>
      <c r="J365" t="str">
        <f t="shared" si="14"/>
        <v>Green - Duwamish River</v>
      </c>
      <c r="K365" t="str">
        <f>IFERROR(VLOOKUP(J365,LUTs!$A$1:$C$73,2,FALSE),"NA")</f>
        <v>King</v>
      </c>
      <c r="L365" t="str">
        <f>IFERROR(VLOOKUP(J365,LUTs!$A$1:$C$73,3,FALSE),"NA")</f>
        <v>3South Puget Sound</v>
      </c>
      <c r="M365" s="72" t="s">
        <v>26</v>
      </c>
      <c r="N365" t="str">
        <f>VLOOKUP(M365,LUTs!E$2:H$14,3,)</f>
        <v>20Other</v>
      </c>
      <c r="O365" t="str">
        <f>VLOOKUP(M365,LUTs!E$2:H$14,4,)</f>
        <v>07Non Puget Sound</v>
      </c>
      <c r="P365" s="73">
        <v>218.40812870448801</v>
      </c>
      <c r="Q365" s="74">
        <f>VLOOKUP(B365,Readme!A$40:C$51,2,)*P365</f>
        <v>751.32396274343876</v>
      </c>
    </row>
    <row r="366" spans="1:17" ht="12" customHeight="1" x14ac:dyDescent="0.35">
      <c r="A366" s="75">
        <v>365</v>
      </c>
      <c r="B366" s="64">
        <v>2011</v>
      </c>
      <c r="C366" s="64">
        <v>10</v>
      </c>
      <c r="D366" s="80">
        <f t="shared" si="13"/>
        <v>2011</v>
      </c>
      <c r="E366" t="s">
        <v>38</v>
      </c>
      <c r="F366" t="s">
        <v>143</v>
      </c>
      <c r="G366" t="s">
        <v>10</v>
      </c>
      <c r="H366" s="72" t="s">
        <v>203</v>
      </c>
      <c r="I366" s="72" t="s">
        <v>45</v>
      </c>
      <c r="J366" t="str">
        <f t="shared" si="14"/>
        <v>Green - Duwamish River</v>
      </c>
      <c r="K366" t="str">
        <f>IFERROR(VLOOKUP(J366,LUTs!$A$1:$C$73,2,FALSE),"NA")</f>
        <v>King</v>
      </c>
      <c r="L366" t="str">
        <f>IFERROR(VLOOKUP(J366,LUTs!$A$1:$C$73,3,FALSE),"NA")</f>
        <v>3South Puget Sound</v>
      </c>
      <c r="M366" s="72" t="s">
        <v>20</v>
      </c>
      <c r="N366" t="str">
        <f>VLOOKUP(M366,LUTs!E$2:H$14,3,)</f>
        <v>07Pierce</v>
      </c>
      <c r="O366" t="str">
        <f>VLOOKUP(M366,LUTs!E$2:H$14,4,)</f>
        <v>02South Puget Sound</v>
      </c>
      <c r="P366" s="73">
        <v>1121.1617273497</v>
      </c>
      <c r="Q366" s="74">
        <f>VLOOKUP(B366,Readme!A$40:C$51,2,)*P366</f>
        <v>3856.7963420829678</v>
      </c>
    </row>
    <row r="367" spans="1:17" ht="12" customHeight="1" x14ac:dyDescent="0.35">
      <c r="A367" s="75">
        <v>366</v>
      </c>
      <c r="B367" s="64">
        <v>2011</v>
      </c>
      <c r="C367" s="64">
        <v>10</v>
      </c>
      <c r="D367" s="80">
        <f t="shared" si="13"/>
        <v>2011</v>
      </c>
      <c r="E367" t="s">
        <v>38</v>
      </c>
      <c r="F367" t="s">
        <v>143</v>
      </c>
      <c r="G367" t="s">
        <v>10</v>
      </c>
      <c r="H367" s="72" t="s">
        <v>203</v>
      </c>
      <c r="I367" s="72" t="s">
        <v>45</v>
      </c>
      <c r="J367" t="str">
        <f t="shared" si="14"/>
        <v>Green - Duwamish River</v>
      </c>
      <c r="K367" t="str">
        <f>IFERROR(VLOOKUP(J367,LUTs!$A$1:$C$73,2,FALSE),"NA")</f>
        <v>King</v>
      </c>
      <c r="L367" t="str">
        <f>IFERROR(VLOOKUP(J367,LUTs!$A$1:$C$73,3,FALSE),"NA")</f>
        <v>3South Puget Sound</v>
      </c>
      <c r="M367" s="72" t="s">
        <v>16</v>
      </c>
      <c r="N367" t="str">
        <f>VLOOKUP(M367,LUTs!E$2:H$14,3,)</f>
        <v>03Snohomish</v>
      </c>
      <c r="O367" t="str">
        <f>VLOOKUP(M367,LUTs!E$2:H$14,4,)</f>
        <v>01North Puget Sound</v>
      </c>
      <c r="P367" s="73">
        <v>378.57408975444503</v>
      </c>
      <c r="Q367" s="74">
        <f>VLOOKUP(B367,Readme!A$40:C$51,2,)*P367</f>
        <v>1302.294868755291</v>
      </c>
    </row>
    <row r="368" spans="1:17" ht="12" customHeight="1" x14ac:dyDescent="0.35">
      <c r="A368" s="75">
        <v>367</v>
      </c>
      <c r="B368" s="64">
        <v>2011</v>
      </c>
      <c r="C368" s="64">
        <v>11</v>
      </c>
      <c r="D368" s="80">
        <f t="shared" si="13"/>
        <v>2011</v>
      </c>
      <c r="E368" t="s">
        <v>38</v>
      </c>
      <c r="F368" t="s">
        <v>143</v>
      </c>
      <c r="G368" t="s">
        <v>10</v>
      </c>
      <c r="H368" s="72" t="s">
        <v>203</v>
      </c>
      <c r="I368" s="72" t="s">
        <v>45</v>
      </c>
      <c r="J368" t="str">
        <f t="shared" si="14"/>
        <v>Green - Duwamish River</v>
      </c>
      <c r="K368" t="str">
        <f>IFERROR(VLOOKUP(J368,LUTs!$A$1:$C$73,2,FALSE),"NA")</f>
        <v>King</v>
      </c>
      <c r="L368" t="str">
        <f>IFERROR(VLOOKUP(J368,LUTs!$A$1:$C$73,3,FALSE),"NA")</f>
        <v>3South Puget Sound</v>
      </c>
      <c r="M368" s="72" t="s">
        <v>18</v>
      </c>
      <c r="N368" t="str">
        <f>VLOOKUP(M368,LUTs!E$2:H$14,3,)</f>
        <v>06King</v>
      </c>
      <c r="O368" t="str">
        <f>VLOOKUP(M368,LUTs!E$2:H$14,4,)</f>
        <v>02South Puget Sound</v>
      </c>
      <c r="P368" s="73">
        <v>562.54945054945097</v>
      </c>
      <c r="Q368" s="74">
        <f>VLOOKUP(B368,Readme!A$40:C$51,2,)*P368</f>
        <v>1935.1701098901112</v>
      </c>
    </row>
    <row r="369" spans="1:17" ht="12" customHeight="1" x14ac:dyDescent="0.35">
      <c r="A369" s="75">
        <v>368</v>
      </c>
      <c r="B369" s="64">
        <v>2011</v>
      </c>
      <c r="C369" s="64">
        <v>11</v>
      </c>
      <c r="D369" s="80">
        <f t="shared" si="13"/>
        <v>2011</v>
      </c>
      <c r="E369" t="s">
        <v>38</v>
      </c>
      <c r="F369" t="s">
        <v>143</v>
      </c>
      <c r="G369" t="s">
        <v>10</v>
      </c>
      <c r="H369" s="72" t="s">
        <v>203</v>
      </c>
      <c r="I369" s="72" t="s">
        <v>45</v>
      </c>
      <c r="J369" t="str">
        <f t="shared" si="14"/>
        <v>Green - Duwamish River</v>
      </c>
      <c r="K369" t="str">
        <f>IFERROR(VLOOKUP(J369,LUTs!$A$1:$C$73,2,FALSE),"NA")</f>
        <v>King</v>
      </c>
      <c r="L369" t="str">
        <f>IFERROR(VLOOKUP(J369,LUTs!$A$1:$C$73,3,FALSE),"NA")</f>
        <v>3South Puget Sound</v>
      </c>
      <c r="M369" s="72" t="s">
        <v>26</v>
      </c>
      <c r="N369" t="str">
        <f>VLOOKUP(M369,LUTs!E$2:H$14,3,)</f>
        <v>20Other</v>
      </c>
      <c r="O369" t="str">
        <f>VLOOKUP(M369,LUTs!E$2:H$14,4,)</f>
        <v>07Non Puget Sound</v>
      </c>
      <c r="P369" s="73">
        <v>42.725274725274701</v>
      </c>
      <c r="Q369" s="74">
        <f>VLOOKUP(B369,Readme!A$40:C$51,2,)*P369</f>
        <v>146.97494505494498</v>
      </c>
    </row>
    <row r="370" spans="1:17" ht="12" customHeight="1" x14ac:dyDescent="0.35">
      <c r="A370" s="75">
        <v>369</v>
      </c>
      <c r="B370" s="64">
        <v>2011</v>
      </c>
      <c r="C370" s="64">
        <v>11</v>
      </c>
      <c r="D370" s="80">
        <f t="shared" si="13"/>
        <v>2011</v>
      </c>
      <c r="E370" t="s">
        <v>38</v>
      </c>
      <c r="F370" t="s">
        <v>143</v>
      </c>
      <c r="G370" t="s">
        <v>10</v>
      </c>
      <c r="H370" s="72" t="s">
        <v>203</v>
      </c>
      <c r="I370" s="72" t="s">
        <v>45</v>
      </c>
      <c r="J370" t="str">
        <f t="shared" si="14"/>
        <v>Green - Duwamish River</v>
      </c>
      <c r="K370" t="str">
        <f>IFERROR(VLOOKUP(J370,LUTs!$A$1:$C$73,2,FALSE),"NA")</f>
        <v>King</v>
      </c>
      <c r="L370" t="str">
        <f>IFERROR(VLOOKUP(J370,LUTs!$A$1:$C$73,3,FALSE),"NA")</f>
        <v>3South Puget Sound</v>
      </c>
      <c r="M370" s="72" t="s">
        <v>20</v>
      </c>
      <c r="N370" t="str">
        <f>VLOOKUP(M370,LUTs!E$2:H$14,3,)</f>
        <v>07Pierce</v>
      </c>
      <c r="O370" t="str">
        <f>VLOOKUP(M370,LUTs!E$2:H$14,4,)</f>
        <v>02South Puget Sound</v>
      </c>
      <c r="P370" s="73">
        <v>42.725274725274701</v>
      </c>
      <c r="Q370" s="74">
        <f>VLOOKUP(B370,Readme!A$40:C$51,2,)*P370</f>
        <v>146.97494505494498</v>
      </c>
    </row>
    <row r="371" spans="1:17" ht="12" customHeight="1" x14ac:dyDescent="0.35">
      <c r="A371" s="75">
        <v>370</v>
      </c>
      <c r="B371" s="64">
        <v>2011</v>
      </c>
      <c r="C371" s="64">
        <v>12</v>
      </c>
      <c r="D371" s="80">
        <f t="shared" si="13"/>
        <v>2011</v>
      </c>
      <c r="E371" t="s">
        <v>38</v>
      </c>
      <c r="F371" t="s">
        <v>143</v>
      </c>
      <c r="G371" t="s">
        <v>10</v>
      </c>
      <c r="H371" s="72" t="s">
        <v>203</v>
      </c>
      <c r="I371" s="72" t="s">
        <v>45</v>
      </c>
      <c r="J371" t="str">
        <f t="shared" si="14"/>
        <v>Green - Duwamish River</v>
      </c>
      <c r="K371" t="str">
        <f>IFERROR(VLOOKUP(J371,LUTs!$A$1:$C$73,2,FALSE),"NA")</f>
        <v>King</v>
      </c>
      <c r="L371" t="str">
        <f>IFERROR(VLOOKUP(J371,LUTs!$A$1:$C$73,3,FALSE),"NA")</f>
        <v>3South Puget Sound</v>
      </c>
      <c r="M371" s="72" t="s">
        <v>18</v>
      </c>
      <c r="N371" t="str">
        <f>VLOOKUP(M371,LUTs!E$2:H$14,3,)</f>
        <v>06King</v>
      </c>
      <c r="O371" t="str">
        <f>VLOOKUP(M371,LUTs!E$2:H$14,4,)</f>
        <v>02South Puget Sound</v>
      </c>
      <c r="P371" s="73">
        <v>451.32467532467501</v>
      </c>
      <c r="Q371" s="74">
        <f>VLOOKUP(B371,Readme!A$40:C$51,2,)*P371</f>
        <v>1552.5568831168821</v>
      </c>
    </row>
    <row r="372" spans="1:17" ht="12" customHeight="1" x14ac:dyDescent="0.35">
      <c r="A372" s="75">
        <v>371</v>
      </c>
      <c r="B372" s="64">
        <v>2011</v>
      </c>
      <c r="C372" s="64">
        <v>12</v>
      </c>
      <c r="D372" s="80">
        <f t="shared" si="13"/>
        <v>2011</v>
      </c>
      <c r="E372" t="s">
        <v>38</v>
      </c>
      <c r="F372" t="s">
        <v>143</v>
      </c>
      <c r="G372" t="s">
        <v>10</v>
      </c>
      <c r="H372" s="72" t="s">
        <v>203</v>
      </c>
      <c r="I372" s="72" t="s">
        <v>45</v>
      </c>
      <c r="J372" t="str">
        <f t="shared" si="14"/>
        <v>Green - Duwamish River</v>
      </c>
      <c r="K372" t="str">
        <f>IFERROR(VLOOKUP(J372,LUTs!$A$1:$C$73,2,FALSE),"NA")</f>
        <v>King</v>
      </c>
      <c r="L372" t="str">
        <f>IFERROR(VLOOKUP(J372,LUTs!$A$1:$C$73,3,FALSE),"NA")</f>
        <v>3South Puget Sound</v>
      </c>
      <c r="M372" s="72" t="s">
        <v>20</v>
      </c>
      <c r="N372" t="str">
        <f>VLOOKUP(M372,LUTs!E$2:H$14,3,)</f>
        <v>07Pierce</v>
      </c>
      <c r="O372" t="str">
        <f>VLOOKUP(M372,LUTs!E$2:H$14,4,)</f>
        <v>02South Puget Sound</v>
      </c>
      <c r="P372" s="73">
        <v>91.675324675324703</v>
      </c>
      <c r="Q372" s="74">
        <f>VLOOKUP(B372,Readme!A$40:C$51,2,)*P372</f>
        <v>315.36311688311696</v>
      </c>
    </row>
    <row r="373" spans="1:17" ht="12" customHeight="1" x14ac:dyDescent="0.35">
      <c r="A373" s="75">
        <v>372</v>
      </c>
      <c r="B373" s="64">
        <v>2011</v>
      </c>
      <c r="C373" s="64">
        <v>10</v>
      </c>
      <c r="D373" s="80">
        <f t="shared" si="13"/>
        <v>2011</v>
      </c>
      <c r="E373" t="s">
        <v>38</v>
      </c>
      <c r="F373" t="s">
        <v>143</v>
      </c>
      <c r="G373" t="s">
        <v>10</v>
      </c>
      <c r="H373" s="72" t="s">
        <v>205</v>
      </c>
      <c r="I373" s="72" t="s">
        <v>47</v>
      </c>
      <c r="J373" t="str">
        <f t="shared" si="14"/>
        <v>Kennedy Creek</v>
      </c>
      <c r="K373" t="str">
        <f>IFERROR(VLOOKUP(J373,LUTs!$A$1:$C$73,2,FALSE),"NA")</f>
        <v>Mason/Thurston</v>
      </c>
      <c r="L373" t="str">
        <f>IFERROR(VLOOKUP(J373,LUTs!$A$1:$C$73,3,FALSE),"NA")</f>
        <v>3South Puget Sound</v>
      </c>
      <c r="M373" s="72" t="s">
        <v>18</v>
      </c>
      <c r="N373" t="str">
        <f>VLOOKUP(M373,LUTs!E$2:H$14,3,)</f>
        <v>06King</v>
      </c>
      <c r="O373" t="str">
        <f>VLOOKUP(M373,LUTs!E$2:H$14,4,)</f>
        <v>02South Puget Sound</v>
      </c>
      <c r="P373" s="73">
        <v>52.5</v>
      </c>
      <c r="Q373" s="74">
        <f>VLOOKUP(B373,Readme!A$40:C$51,2,)*P373</f>
        <v>180.6</v>
      </c>
    </row>
    <row r="374" spans="1:17" ht="12" customHeight="1" x14ac:dyDescent="0.35">
      <c r="A374" s="75">
        <v>373</v>
      </c>
      <c r="B374" s="64">
        <v>2011</v>
      </c>
      <c r="C374" s="64">
        <v>10</v>
      </c>
      <c r="D374" s="80">
        <f t="shared" si="13"/>
        <v>2011</v>
      </c>
      <c r="E374" t="s">
        <v>38</v>
      </c>
      <c r="F374" t="s">
        <v>143</v>
      </c>
      <c r="G374" t="s">
        <v>10</v>
      </c>
      <c r="H374" s="72" t="s">
        <v>205</v>
      </c>
      <c r="I374" s="72" t="s">
        <v>47</v>
      </c>
      <c r="J374" t="str">
        <f t="shared" si="14"/>
        <v>Kennedy Creek</v>
      </c>
      <c r="K374" t="str">
        <f>IFERROR(VLOOKUP(J374,LUTs!$A$1:$C$73,2,FALSE),"NA")</f>
        <v>Mason/Thurston</v>
      </c>
      <c r="L374" t="str">
        <f>IFERROR(VLOOKUP(J374,LUTs!$A$1:$C$73,3,FALSE),"NA")</f>
        <v>3South Puget Sound</v>
      </c>
      <c r="M374" s="72" t="s">
        <v>22</v>
      </c>
      <c r="N374" t="str">
        <f>VLOOKUP(M374,LUTs!E$2:H$14,3,)</f>
        <v>09Mason</v>
      </c>
      <c r="O374" t="str">
        <f>VLOOKUP(M374,LUTs!E$2:H$14,4,)</f>
        <v>02South Puget Sound</v>
      </c>
      <c r="P374" s="73">
        <v>15</v>
      </c>
      <c r="Q374" s="74">
        <f>VLOOKUP(B374,Readme!A$40:C$51,2,)*P374</f>
        <v>51.6</v>
      </c>
    </row>
    <row r="375" spans="1:17" ht="12" customHeight="1" x14ac:dyDescent="0.35">
      <c r="A375" s="75">
        <v>374</v>
      </c>
      <c r="B375" s="64">
        <v>2011</v>
      </c>
      <c r="C375" s="64">
        <v>10</v>
      </c>
      <c r="D375" s="80">
        <f t="shared" si="13"/>
        <v>2011</v>
      </c>
      <c r="E375" t="s">
        <v>38</v>
      </c>
      <c r="F375" t="s">
        <v>143</v>
      </c>
      <c r="G375" t="s">
        <v>10</v>
      </c>
      <c r="H375" s="72" t="s">
        <v>205</v>
      </c>
      <c r="I375" s="72" t="s">
        <v>47</v>
      </c>
      <c r="J375" t="str">
        <f t="shared" si="14"/>
        <v>Kennedy Creek</v>
      </c>
      <c r="K375" t="str">
        <f>IFERROR(VLOOKUP(J375,LUTs!$A$1:$C$73,2,FALSE),"NA")</f>
        <v>Mason/Thurston</v>
      </c>
      <c r="L375" t="str">
        <f>IFERROR(VLOOKUP(J375,LUTs!$A$1:$C$73,3,FALSE),"NA")</f>
        <v>3South Puget Sound</v>
      </c>
      <c r="M375" s="72" t="s">
        <v>21</v>
      </c>
      <c r="N375" t="str">
        <f>VLOOKUP(M375,LUTs!E$2:H$14,3,)</f>
        <v>08Thurston</v>
      </c>
      <c r="O375" t="str">
        <f>VLOOKUP(M375,LUTs!E$2:H$14,4,)</f>
        <v>02South Puget Sound</v>
      </c>
      <c r="P375" s="73">
        <v>22.5</v>
      </c>
      <c r="Q375" s="74">
        <f>VLOOKUP(B375,Readme!A$40:C$51,2,)*P375</f>
        <v>77.400000000000006</v>
      </c>
    </row>
    <row r="376" spans="1:17" ht="12" customHeight="1" x14ac:dyDescent="0.35">
      <c r="A376" s="75">
        <v>375</v>
      </c>
      <c r="B376" s="64">
        <v>2011</v>
      </c>
      <c r="C376" s="64">
        <v>11</v>
      </c>
      <c r="D376" s="80">
        <f t="shared" si="13"/>
        <v>2011</v>
      </c>
      <c r="E376" t="s">
        <v>38</v>
      </c>
      <c r="F376" t="s">
        <v>143</v>
      </c>
      <c r="G376" t="s">
        <v>10</v>
      </c>
      <c r="H376" s="72" t="s">
        <v>205</v>
      </c>
      <c r="I376" s="72" t="s">
        <v>47</v>
      </c>
      <c r="J376" t="str">
        <f t="shared" si="14"/>
        <v>Kennedy Creek</v>
      </c>
      <c r="K376" t="str">
        <f>IFERROR(VLOOKUP(J376,LUTs!$A$1:$C$73,2,FALSE),"NA")</f>
        <v>Mason/Thurston</v>
      </c>
      <c r="L376" t="str">
        <f>IFERROR(VLOOKUP(J376,LUTs!$A$1:$C$73,3,FALSE),"NA")</f>
        <v>3South Puget Sound</v>
      </c>
      <c r="M376" s="72" t="s">
        <v>18</v>
      </c>
      <c r="N376" t="str">
        <f>VLOOKUP(M376,LUTs!E$2:H$14,3,)</f>
        <v>06King</v>
      </c>
      <c r="O376" t="str">
        <f>VLOOKUP(M376,LUTs!E$2:H$14,4,)</f>
        <v>02South Puget Sound</v>
      </c>
      <c r="P376" s="73">
        <v>7.5294117647058796</v>
      </c>
      <c r="Q376" s="74">
        <f>VLOOKUP(B376,Readme!A$40:C$51,2,)*P376</f>
        <v>25.901176470588226</v>
      </c>
    </row>
    <row r="377" spans="1:17" ht="12" customHeight="1" x14ac:dyDescent="0.35">
      <c r="A377" s="75">
        <v>376</v>
      </c>
      <c r="B377" s="64">
        <v>2011</v>
      </c>
      <c r="C377" s="64">
        <v>11</v>
      </c>
      <c r="D377" s="80">
        <f t="shared" si="13"/>
        <v>2011</v>
      </c>
      <c r="E377" t="s">
        <v>38</v>
      </c>
      <c r="F377" t="s">
        <v>143</v>
      </c>
      <c r="G377" t="s">
        <v>10</v>
      </c>
      <c r="H377" s="72" t="s">
        <v>205</v>
      </c>
      <c r="I377" s="72" t="s">
        <v>47</v>
      </c>
      <c r="J377" t="str">
        <f t="shared" si="14"/>
        <v>Kennedy Creek</v>
      </c>
      <c r="K377" t="str">
        <f>IFERROR(VLOOKUP(J377,LUTs!$A$1:$C$73,2,FALSE),"NA")</f>
        <v>Mason/Thurston</v>
      </c>
      <c r="L377" t="str">
        <f>IFERROR(VLOOKUP(J377,LUTs!$A$1:$C$73,3,FALSE),"NA")</f>
        <v>3South Puget Sound</v>
      </c>
      <c r="M377" s="72" t="s">
        <v>22</v>
      </c>
      <c r="N377" t="str">
        <f>VLOOKUP(M377,LUTs!E$2:H$14,3,)</f>
        <v>09Mason</v>
      </c>
      <c r="O377" t="str">
        <f>VLOOKUP(M377,LUTs!E$2:H$14,4,)</f>
        <v>02South Puget Sound</v>
      </c>
      <c r="P377" s="73">
        <v>30.117647058823501</v>
      </c>
      <c r="Q377" s="74">
        <f>VLOOKUP(B377,Readme!A$40:C$51,2,)*P377</f>
        <v>103.60470588235285</v>
      </c>
    </row>
    <row r="378" spans="1:17" ht="12" customHeight="1" x14ac:dyDescent="0.35">
      <c r="A378" s="75">
        <v>377</v>
      </c>
      <c r="B378" s="64">
        <v>2011</v>
      </c>
      <c r="C378" s="64">
        <v>11</v>
      </c>
      <c r="D378" s="80">
        <f t="shared" si="13"/>
        <v>2011</v>
      </c>
      <c r="E378" t="s">
        <v>38</v>
      </c>
      <c r="F378" t="s">
        <v>143</v>
      </c>
      <c r="G378" t="s">
        <v>10</v>
      </c>
      <c r="H378" s="72" t="s">
        <v>205</v>
      </c>
      <c r="I378" s="72" t="s">
        <v>47</v>
      </c>
      <c r="J378" t="str">
        <f t="shared" si="14"/>
        <v>Kennedy Creek</v>
      </c>
      <c r="K378" t="str">
        <f>IFERROR(VLOOKUP(J378,LUTs!$A$1:$C$73,2,FALSE),"NA")</f>
        <v>Mason/Thurston</v>
      </c>
      <c r="L378" t="str">
        <f>IFERROR(VLOOKUP(J378,LUTs!$A$1:$C$73,3,FALSE),"NA")</f>
        <v>3South Puget Sound</v>
      </c>
      <c r="M378" s="72" t="s">
        <v>26</v>
      </c>
      <c r="N378" t="str">
        <f>VLOOKUP(M378,LUTs!E$2:H$14,3,)</f>
        <v>20Other</v>
      </c>
      <c r="O378" t="str">
        <f>VLOOKUP(M378,LUTs!E$2:H$14,4,)</f>
        <v>07Non Puget Sound</v>
      </c>
      <c r="P378" s="73">
        <v>7.5294117647058796</v>
      </c>
      <c r="Q378" s="74">
        <f>VLOOKUP(B378,Readme!A$40:C$51,2,)*P378</f>
        <v>25.901176470588226</v>
      </c>
    </row>
    <row r="379" spans="1:17" ht="12" customHeight="1" x14ac:dyDescent="0.35">
      <c r="A379" s="75">
        <v>378</v>
      </c>
      <c r="B379" s="64">
        <v>2011</v>
      </c>
      <c r="C379" s="64">
        <v>11</v>
      </c>
      <c r="D379" s="80">
        <f t="shared" si="13"/>
        <v>2011</v>
      </c>
      <c r="E379" t="s">
        <v>38</v>
      </c>
      <c r="F379" t="s">
        <v>143</v>
      </c>
      <c r="G379" t="s">
        <v>10</v>
      </c>
      <c r="H379" s="72" t="s">
        <v>205</v>
      </c>
      <c r="I379" s="72" t="s">
        <v>47</v>
      </c>
      <c r="J379" t="str">
        <f t="shared" si="14"/>
        <v>Kennedy Creek</v>
      </c>
      <c r="K379" t="str">
        <f>IFERROR(VLOOKUP(J379,LUTs!$A$1:$C$73,2,FALSE),"NA")</f>
        <v>Mason/Thurston</v>
      </c>
      <c r="L379" t="str">
        <f>IFERROR(VLOOKUP(J379,LUTs!$A$1:$C$73,3,FALSE),"NA")</f>
        <v>3South Puget Sound</v>
      </c>
      <c r="M379" s="72" t="s">
        <v>20</v>
      </c>
      <c r="N379" t="str">
        <f>VLOOKUP(M379,LUTs!E$2:H$14,3,)</f>
        <v>07Pierce</v>
      </c>
      <c r="O379" t="str">
        <f>VLOOKUP(M379,LUTs!E$2:H$14,4,)</f>
        <v>02South Puget Sound</v>
      </c>
      <c r="P379" s="73">
        <v>7.5294117647058796</v>
      </c>
      <c r="Q379" s="74">
        <f>VLOOKUP(B379,Readme!A$40:C$51,2,)*P379</f>
        <v>25.901176470588226</v>
      </c>
    </row>
    <row r="380" spans="1:17" ht="12" customHeight="1" x14ac:dyDescent="0.35">
      <c r="A380" s="75">
        <v>379</v>
      </c>
      <c r="B380" s="64">
        <v>2011</v>
      </c>
      <c r="C380" s="64">
        <v>11</v>
      </c>
      <c r="D380" s="80">
        <f t="shared" si="13"/>
        <v>2011</v>
      </c>
      <c r="E380" t="s">
        <v>38</v>
      </c>
      <c r="F380" t="s">
        <v>143</v>
      </c>
      <c r="G380" t="s">
        <v>10</v>
      </c>
      <c r="H380" s="72" t="s">
        <v>205</v>
      </c>
      <c r="I380" s="72" t="s">
        <v>47</v>
      </c>
      <c r="J380" t="str">
        <f t="shared" si="14"/>
        <v>Kennedy Creek</v>
      </c>
      <c r="K380" t="str">
        <f>IFERROR(VLOOKUP(J380,LUTs!$A$1:$C$73,2,FALSE),"NA")</f>
        <v>Mason/Thurston</v>
      </c>
      <c r="L380" t="str">
        <f>IFERROR(VLOOKUP(J380,LUTs!$A$1:$C$73,3,FALSE),"NA")</f>
        <v>3South Puget Sound</v>
      </c>
      <c r="M380" s="72" t="s">
        <v>21</v>
      </c>
      <c r="N380" t="str">
        <f>VLOOKUP(M380,LUTs!E$2:H$14,3,)</f>
        <v>08Thurston</v>
      </c>
      <c r="O380" t="str">
        <f>VLOOKUP(M380,LUTs!E$2:H$14,4,)</f>
        <v>02South Puget Sound</v>
      </c>
      <c r="P380" s="73">
        <v>75.294117647058798</v>
      </c>
      <c r="Q380" s="74">
        <f>VLOOKUP(B380,Readme!A$40:C$51,2,)*P380</f>
        <v>259.01176470588229</v>
      </c>
    </row>
    <row r="381" spans="1:17" ht="12" customHeight="1" x14ac:dyDescent="0.35">
      <c r="A381" s="75">
        <v>380</v>
      </c>
      <c r="B381" s="64">
        <v>2011</v>
      </c>
      <c r="C381" s="64">
        <v>9</v>
      </c>
      <c r="D381" s="80">
        <f t="shared" si="13"/>
        <v>2011</v>
      </c>
      <c r="E381" t="s">
        <v>38</v>
      </c>
      <c r="F381" t="s">
        <v>143</v>
      </c>
      <c r="G381" t="s">
        <v>10</v>
      </c>
      <c r="H381" s="72" t="s">
        <v>206</v>
      </c>
      <c r="I381" s="72" t="s">
        <v>48</v>
      </c>
      <c r="J381" t="str">
        <f t="shared" si="14"/>
        <v>Lake Washington</v>
      </c>
      <c r="K381" t="str">
        <f>IFERROR(VLOOKUP(J381,LUTs!$A$1:$C$73,2,FALSE),"NA")</f>
        <v>King</v>
      </c>
      <c r="L381" t="str">
        <f>IFERROR(VLOOKUP(J381,LUTs!$A$1:$C$73,3,FALSE),"NA")</f>
        <v>2Central Puget Sound</v>
      </c>
      <c r="M381" s="72" t="s">
        <v>18</v>
      </c>
      <c r="N381" t="str">
        <f>VLOOKUP(M381,LUTs!E$2:H$14,3,)</f>
        <v>06King</v>
      </c>
      <c r="O381" t="str">
        <f>VLOOKUP(M381,LUTs!E$2:H$14,4,)</f>
        <v>02South Puget Sound</v>
      </c>
      <c r="P381" s="73">
        <v>15.3333333333333</v>
      </c>
      <c r="Q381" s="74">
        <f>VLOOKUP(B381,Readme!A$40:C$51,2,)*P381</f>
        <v>52.746666666666549</v>
      </c>
    </row>
    <row r="382" spans="1:17" ht="12" customHeight="1" x14ac:dyDescent="0.35">
      <c r="A382" s="75">
        <v>381</v>
      </c>
      <c r="B382" s="64">
        <v>2011</v>
      </c>
      <c r="C382" s="64">
        <v>9</v>
      </c>
      <c r="D382" s="80">
        <f t="shared" si="13"/>
        <v>2011</v>
      </c>
      <c r="E382" t="s">
        <v>38</v>
      </c>
      <c r="F382" t="s">
        <v>143</v>
      </c>
      <c r="G382" t="s">
        <v>10</v>
      </c>
      <c r="H382" s="72" t="s">
        <v>206</v>
      </c>
      <c r="I382" s="72" t="s">
        <v>48</v>
      </c>
      <c r="J382" t="str">
        <f t="shared" si="14"/>
        <v>Lake Washington</v>
      </c>
      <c r="K382" t="str">
        <f>IFERROR(VLOOKUP(J382,LUTs!$A$1:$C$73,2,FALSE),"NA")</f>
        <v>King</v>
      </c>
      <c r="L382" t="str">
        <f>IFERROR(VLOOKUP(J382,LUTs!$A$1:$C$73,3,FALSE),"NA")</f>
        <v>2Central Puget Sound</v>
      </c>
      <c r="M382" s="72" t="s">
        <v>26</v>
      </c>
      <c r="N382" t="str">
        <f>VLOOKUP(M382,LUTs!E$2:H$14,3,)</f>
        <v>20Other</v>
      </c>
      <c r="O382" t="str">
        <f>VLOOKUP(M382,LUTs!E$2:H$14,4,)</f>
        <v>07Non Puget Sound</v>
      </c>
      <c r="P382" s="73">
        <v>7.6666666666666696</v>
      </c>
      <c r="Q382" s="74">
        <f>VLOOKUP(B382,Readme!A$40:C$51,2,)*P382</f>
        <v>26.373333333333342</v>
      </c>
    </row>
    <row r="383" spans="1:17" ht="12" customHeight="1" x14ac:dyDescent="0.35">
      <c r="A383" s="75">
        <v>382</v>
      </c>
      <c r="B383" s="64">
        <v>2011</v>
      </c>
      <c r="C383" s="64">
        <v>10</v>
      </c>
      <c r="D383" s="80">
        <f t="shared" si="13"/>
        <v>2011</v>
      </c>
      <c r="E383" t="s">
        <v>38</v>
      </c>
      <c r="F383" t="s">
        <v>143</v>
      </c>
      <c r="G383" t="s">
        <v>10</v>
      </c>
      <c r="H383" s="72" t="s">
        <v>206</v>
      </c>
      <c r="I383" s="72" t="s">
        <v>48</v>
      </c>
      <c r="J383" t="str">
        <f t="shared" si="14"/>
        <v>Lake Washington</v>
      </c>
      <c r="K383" t="str">
        <f>IFERROR(VLOOKUP(J383,LUTs!$A$1:$C$73,2,FALSE),"NA")</f>
        <v>King</v>
      </c>
      <c r="L383" t="str">
        <f>IFERROR(VLOOKUP(J383,LUTs!$A$1:$C$73,3,FALSE),"NA")</f>
        <v>2Central Puget Sound</v>
      </c>
      <c r="M383" s="72" t="s">
        <v>18</v>
      </c>
      <c r="N383" t="str">
        <f>VLOOKUP(M383,LUTs!E$2:H$14,3,)</f>
        <v>06King</v>
      </c>
      <c r="O383" t="str">
        <f>VLOOKUP(M383,LUTs!E$2:H$14,4,)</f>
        <v>02South Puget Sound</v>
      </c>
      <c r="P383" s="73">
        <v>37.5</v>
      </c>
      <c r="Q383" s="74">
        <f>VLOOKUP(B383,Readme!A$40:C$51,2,)*P383</f>
        <v>129</v>
      </c>
    </row>
    <row r="384" spans="1:17" ht="12" customHeight="1" x14ac:dyDescent="0.35">
      <c r="A384" s="75">
        <v>383</v>
      </c>
      <c r="B384" s="64">
        <v>2011</v>
      </c>
      <c r="C384" s="64">
        <v>10</v>
      </c>
      <c r="D384" s="80">
        <f t="shared" si="13"/>
        <v>2011</v>
      </c>
      <c r="E384" t="s">
        <v>38</v>
      </c>
      <c r="F384" t="s">
        <v>143</v>
      </c>
      <c r="G384" t="s">
        <v>10</v>
      </c>
      <c r="H384" s="72" t="s">
        <v>206</v>
      </c>
      <c r="I384" s="72" t="s">
        <v>48</v>
      </c>
      <c r="J384" t="str">
        <f t="shared" si="14"/>
        <v>Lake Washington</v>
      </c>
      <c r="K384" t="str">
        <f>IFERROR(VLOOKUP(J384,LUTs!$A$1:$C$73,2,FALSE),"NA")</f>
        <v>King</v>
      </c>
      <c r="L384" t="str">
        <f>IFERROR(VLOOKUP(J384,LUTs!$A$1:$C$73,3,FALSE),"NA")</f>
        <v>2Central Puget Sound</v>
      </c>
      <c r="M384" s="72" t="s">
        <v>16</v>
      </c>
      <c r="N384" t="str">
        <f>VLOOKUP(M384,LUTs!E$2:H$14,3,)</f>
        <v>03Snohomish</v>
      </c>
      <c r="O384" t="str">
        <f>VLOOKUP(M384,LUTs!E$2:H$14,4,)</f>
        <v>01North Puget Sound</v>
      </c>
      <c r="P384" s="73">
        <v>37.5</v>
      </c>
      <c r="Q384" s="74">
        <f>VLOOKUP(B384,Readme!A$40:C$51,2,)*P384</f>
        <v>129</v>
      </c>
    </row>
    <row r="385" spans="1:17" ht="12" customHeight="1" x14ac:dyDescent="0.35">
      <c r="A385" s="75">
        <v>384</v>
      </c>
      <c r="B385" s="64">
        <v>2011</v>
      </c>
      <c r="C385" s="64">
        <v>8</v>
      </c>
      <c r="D385" s="80">
        <f t="shared" si="13"/>
        <v>2011</v>
      </c>
      <c r="E385" t="s">
        <v>38</v>
      </c>
      <c r="F385" t="s">
        <v>143</v>
      </c>
      <c r="G385" t="s">
        <v>10</v>
      </c>
      <c r="H385" s="72" t="s">
        <v>207</v>
      </c>
      <c r="I385" s="72" t="s">
        <v>49</v>
      </c>
      <c r="J385" t="str">
        <f t="shared" si="14"/>
        <v>Lake Sammamish</v>
      </c>
      <c r="K385" t="str">
        <f>IFERROR(VLOOKUP(J385,LUTs!$A$1:$C$73,2,FALSE),"NA")</f>
        <v>King</v>
      </c>
      <c r="L385" t="str">
        <f>IFERROR(VLOOKUP(J385,LUTs!$A$1:$C$73,3,FALSE),"NA")</f>
        <v>2Central Puget Sound</v>
      </c>
      <c r="M385" s="72" t="s">
        <v>18</v>
      </c>
      <c r="N385" t="str">
        <f>VLOOKUP(M385,LUTs!E$2:H$14,3,)</f>
        <v>06King</v>
      </c>
      <c r="O385" t="str">
        <f>VLOOKUP(M385,LUTs!E$2:H$14,4,)</f>
        <v>02South Puget Sound</v>
      </c>
      <c r="P385" s="73">
        <v>60</v>
      </c>
      <c r="Q385" s="74">
        <f>VLOOKUP(B385,Readme!A$40:C$51,2,)*P385</f>
        <v>206.4</v>
      </c>
    </row>
    <row r="386" spans="1:17" ht="12" customHeight="1" x14ac:dyDescent="0.35">
      <c r="A386" s="75">
        <v>385</v>
      </c>
      <c r="B386" s="64">
        <v>2011</v>
      </c>
      <c r="C386" s="64">
        <v>8</v>
      </c>
      <c r="D386" s="80">
        <f t="shared" ref="D386:D449" si="15">IF(C386&gt;3,B386,B386-1)</f>
        <v>2011</v>
      </c>
      <c r="E386" t="s">
        <v>38</v>
      </c>
      <c r="F386" t="s">
        <v>143</v>
      </c>
      <c r="G386" t="s">
        <v>10</v>
      </c>
      <c r="H386" s="72" t="s">
        <v>207</v>
      </c>
      <c r="I386" s="72" t="s">
        <v>49</v>
      </c>
      <c r="J386" t="str">
        <f t="shared" si="14"/>
        <v>Lake Sammamish</v>
      </c>
      <c r="K386" t="str">
        <f>IFERROR(VLOOKUP(J386,LUTs!$A$1:$C$73,2,FALSE),"NA")</f>
        <v>King</v>
      </c>
      <c r="L386" t="str">
        <f>IFERROR(VLOOKUP(J386,LUTs!$A$1:$C$73,3,FALSE),"NA")</f>
        <v>2Central Puget Sound</v>
      </c>
      <c r="M386" s="72" t="s">
        <v>26</v>
      </c>
      <c r="N386" t="str">
        <f>VLOOKUP(M386,LUTs!E$2:H$14,3,)</f>
        <v>20Other</v>
      </c>
      <c r="O386" t="str">
        <f>VLOOKUP(M386,LUTs!E$2:H$14,4,)</f>
        <v>07Non Puget Sound</v>
      </c>
      <c r="P386" s="73">
        <v>7.5</v>
      </c>
      <c r="Q386" s="74">
        <f>VLOOKUP(B386,Readme!A$40:C$51,2,)*P386</f>
        <v>25.8</v>
      </c>
    </row>
    <row r="387" spans="1:17" ht="12" customHeight="1" x14ac:dyDescent="0.35">
      <c r="A387" s="75">
        <v>386</v>
      </c>
      <c r="B387" s="64">
        <v>2011</v>
      </c>
      <c r="C387" s="64">
        <v>8</v>
      </c>
      <c r="D387" s="80">
        <f t="shared" si="15"/>
        <v>2011</v>
      </c>
      <c r="E387" t="s">
        <v>38</v>
      </c>
      <c r="F387" t="s">
        <v>143</v>
      </c>
      <c r="G387" t="s">
        <v>10</v>
      </c>
      <c r="H387" s="72" t="s">
        <v>207</v>
      </c>
      <c r="I387" s="72" t="s">
        <v>49</v>
      </c>
      <c r="J387" t="str">
        <f t="shared" ref="J387:J450" si="16">I387</f>
        <v>Lake Sammamish</v>
      </c>
      <c r="K387" t="str">
        <f>IFERROR(VLOOKUP(J387,LUTs!$A$1:$C$73,2,FALSE),"NA")</f>
        <v>King</v>
      </c>
      <c r="L387" t="str">
        <f>IFERROR(VLOOKUP(J387,LUTs!$A$1:$C$73,3,FALSE),"NA")</f>
        <v>2Central Puget Sound</v>
      </c>
      <c r="M387" s="72" t="s">
        <v>20</v>
      </c>
      <c r="N387" t="str">
        <f>VLOOKUP(M387,LUTs!E$2:H$14,3,)</f>
        <v>07Pierce</v>
      </c>
      <c r="O387" t="str">
        <f>VLOOKUP(M387,LUTs!E$2:H$14,4,)</f>
        <v>02South Puget Sound</v>
      </c>
      <c r="P387" s="73">
        <v>7.5</v>
      </c>
      <c r="Q387" s="74">
        <f>VLOOKUP(B387,Readme!A$40:C$51,2,)*P387</f>
        <v>25.8</v>
      </c>
    </row>
    <row r="388" spans="1:17" ht="12" customHeight="1" x14ac:dyDescent="0.35">
      <c r="A388" s="75">
        <v>387</v>
      </c>
      <c r="B388" s="64">
        <v>2011</v>
      </c>
      <c r="C388" s="64">
        <v>9</v>
      </c>
      <c r="D388" s="80">
        <f t="shared" si="15"/>
        <v>2011</v>
      </c>
      <c r="E388" t="s">
        <v>38</v>
      </c>
      <c r="F388" t="s">
        <v>143</v>
      </c>
      <c r="G388" t="s">
        <v>10</v>
      </c>
      <c r="H388" s="72" t="s">
        <v>207</v>
      </c>
      <c r="I388" s="72" t="s">
        <v>49</v>
      </c>
      <c r="J388" t="str">
        <f t="shared" si="16"/>
        <v>Lake Sammamish</v>
      </c>
      <c r="K388" t="str">
        <f>IFERROR(VLOOKUP(J388,LUTs!$A$1:$C$73,2,FALSE),"NA")</f>
        <v>King</v>
      </c>
      <c r="L388" t="str">
        <f>IFERROR(VLOOKUP(J388,LUTs!$A$1:$C$73,3,FALSE),"NA")</f>
        <v>2Central Puget Sound</v>
      </c>
      <c r="M388" s="72" t="s">
        <v>18</v>
      </c>
      <c r="N388" t="str">
        <f>VLOOKUP(M388,LUTs!E$2:H$14,3,)</f>
        <v>06King</v>
      </c>
      <c r="O388" t="str">
        <f>VLOOKUP(M388,LUTs!E$2:H$14,4,)</f>
        <v>02South Puget Sound</v>
      </c>
      <c r="P388" s="73">
        <v>76</v>
      </c>
      <c r="Q388" s="74">
        <f>VLOOKUP(B388,Readme!A$40:C$51,2,)*P388</f>
        <v>261.44</v>
      </c>
    </row>
    <row r="389" spans="1:17" ht="12" customHeight="1" x14ac:dyDescent="0.35">
      <c r="A389" s="75">
        <v>388</v>
      </c>
      <c r="B389" s="64">
        <v>2011</v>
      </c>
      <c r="C389" s="64">
        <v>9</v>
      </c>
      <c r="D389" s="80">
        <f t="shared" si="15"/>
        <v>2011</v>
      </c>
      <c r="E389" t="s">
        <v>38</v>
      </c>
      <c r="F389" t="s">
        <v>143</v>
      </c>
      <c r="G389" t="s">
        <v>10</v>
      </c>
      <c r="H389" s="72" t="s">
        <v>207</v>
      </c>
      <c r="I389" s="72" t="s">
        <v>49</v>
      </c>
      <c r="J389" t="str">
        <f t="shared" si="16"/>
        <v>Lake Sammamish</v>
      </c>
      <c r="K389" t="str">
        <f>IFERROR(VLOOKUP(J389,LUTs!$A$1:$C$73,2,FALSE),"NA")</f>
        <v>King</v>
      </c>
      <c r="L389" t="str">
        <f>IFERROR(VLOOKUP(J389,LUTs!$A$1:$C$73,3,FALSE),"NA")</f>
        <v>2Central Puget Sound</v>
      </c>
      <c r="M389" s="72" t="s">
        <v>26</v>
      </c>
      <c r="N389" t="str">
        <f>VLOOKUP(M389,LUTs!E$2:H$14,3,)</f>
        <v>20Other</v>
      </c>
      <c r="O389" t="str">
        <f>VLOOKUP(M389,LUTs!E$2:H$14,4,)</f>
        <v>07Non Puget Sound</v>
      </c>
      <c r="P389" s="73">
        <v>30.4</v>
      </c>
      <c r="Q389" s="74">
        <f>VLOOKUP(B389,Readme!A$40:C$51,2,)*P389</f>
        <v>104.57599999999999</v>
      </c>
    </row>
    <row r="390" spans="1:17" ht="12" customHeight="1" x14ac:dyDescent="0.35">
      <c r="A390" s="75">
        <v>389</v>
      </c>
      <c r="B390" s="64">
        <v>2011</v>
      </c>
      <c r="C390" s="64">
        <v>9</v>
      </c>
      <c r="D390" s="80">
        <f t="shared" si="15"/>
        <v>2011</v>
      </c>
      <c r="E390" t="s">
        <v>38</v>
      </c>
      <c r="F390" t="s">
        <v>143</v>
      </c>
      <c r="G390" t="s">
        <v>10</v>
      </c>
      <c r="H390" s="72" t="s">
        <v>207</v>
      </c>
      <c r="I390" s="72" t="s">
        <v>49</v>
      </c>
      <c r="J390" t="str">
        <f t="shared" si="16"/>
        <v>Lake Sammamish</v>
      </c>
      <c r="K390" t="str">
        <f>IFERROR(VLOOKUP(J390,LUTs!$A$1:$C$73,2,FALSE),"NA")</f>
        <v>King</v>
      </c>
      <c r="L390" t="str">
        <f>IFERROR(VLOOKUP(J390,LUTs!$A$1:$C$73,3,FALSE),"NA")</f>
        <v>2Central Puget Sound</v>
      </c>
      <c r="M390" s="72" t="s">
        <v>16</v>
      </c>
      <c r="N390" t="str">
        <f>VLOOKUP(M390,LUTs!E$2:H$14,3,)</f>
        <v>03Snohomish</v>
      </c>
      <c r="O390" t="str">
        <f>VLOOKUP(M390,LUTs!E$2:H$14,4,)</f>
        <v>01North Puget Sound</v>
      </c>
      <c r="P390" s="73">
        <v>7.6</v>
      </c>
      <c r="Q390" s="74">
        <f>VLOOKUP(B390,Readme!A$40:C$51,2,)*P390</f>
        <v>26.143999999999998</v>
      </c>
    </row>
    <row r="391" spans="1:17" ht="12" customHeight="1" x14ac:dyDescent="0.35">
      <c r="A391" s="75">
        <v>390</v>
      </c>
      <c r="B391" s="64">
        <v>2011</v>
      </c>
      <c r="C391" s="64">
        <v>10</v>
      </c>
      <c r="D391" s="80">
        <f t="shared" si="15"/>
        <v>2011</v>
      </c>
      <c r="E391" t="s">
        <v>38</v>
      </c>
      <c r="F391" t="s">
        <v>143</v>
      </c>
      <c r="G391" t="s">
        <v>10</v>
      </c>
      <c r="H391" s="72" t="s">
        <v>207</v>
      </c>
      <c r="I391" s="72" t="s">
        <v>49</v>
      </c>
      <c r="J391" t="str">
        <f t="shared" si="16"/>
        <v>Lake Sammamish</v>
      </c>
      <c r="K391" t="str">
        <f>IFERROR(VLOOKUP(J391,LUTs!$A$1:$C$73,2,FALSE),"NA")</f>
        <v>King</v>
      </c>
      <c r="L391" t="str">
        <f>IFERROR(VLOOKUP(J391,LUTs!$A$1:$C$73,3,FALSE),"NA")</f>
        <v>2Central Puget Sound</v>
      </c>
      <c r="M391" s="72" t="s">
        <v>18</v>
      </c>
      <c r="N391" t="str">
        <f>VLOOKUP(M391,LUTs!E$2:H$14,3,)</f>
        <v>06King</v>
      </c>
      <c r="O391" t="str">
        <f>VLOOKUP(M391,LUTs!E$2:H$14,4,)</f>
        <v>02South Puget Sound</v>
      </c>
      <c r="P391" s="73">
        <v>15</v>
      </c>
      <c r="Q391" s="74">
        <f>VLOOKUP(B391,Readme!A$40:C$51,2,)*P391</f>
        <v>51.6</v>
      </c>
    </row>
    <row r="392" spans="1:17" ht="12" customHeight="1" x14ac:dyDescent="0.35">
      <c r="A392" s="75">
        <v>391</v>
      </c>
      <c r="B392" s="64">
        <v>2011</v>
      </c>
      <c r="C392" s="64">
        <v>10</v>
      </c>
      <c r="D392" s="80">
        <f t="shared" si="15"/>
        <v>2011</v>
      </c>
      <c r="E392" t="s">
        <v>38</v>
      </c>
      <c r="F392" t="s">
        <v>143</v>
      </c>
      <c r="G392" t="s">
        <v>10</v>
      </c>
      <c r="H392" s="72" t="s">
        <v>208</v>
      </c>
      <c r="I392" s="72" t="s">
        <v>50</v>
      </c>
      <c r="J392" t="str">
        <f t="shared" si="16"/>
        <v>Minter Creek</v>
      </c>
      <c r="K392" t="str">
        <f>IFERROR(VLOOKUP(J392,LUTs!$A$1:$C$73,2,FALSE),"NA")</f>
        <v>Kitsap/Pierce</v>
      </c>
      <c r="L392" t="str">
        <f>IFERROR(VLOOKUP(J392,LUTs!$A$1:$C$73,3,FALSE),"NA")</f>
        <v>3South Puget Sound</v>
      </c>
      <c r="M392" s="72" t="s">
        <v>18</v>
      </c>
      <c r="N392" t="str">
        <f>VLOOKUP(M392,LUTs!E$2:H$14,3,)</f>
        <v>06King</v>
      </c>
      <c r="O392" t="str">
        <f>VLOOKUP(M392,LUTs!E$2:H$14,4,)</f>
        <v>02South Puget Sound</v>
      </c>
      <c r="P392" s="73">
        <v>7</v>
      </c>
      <c r="Q392" s="74">
        <f>VLOOKUP(B392,Readme!A$40:C$51,2,)*P392</f>
        <v>24.08</v>
      </c>
    </row>
    <row r="393" spans="1:17" ht="12" customHeight="1" x14ac:dyDescent="0.35">
      <c r="A393" s="75">
        <v>392</v>
      </c>
      <c r="B393" s="64">
        <v>2011</v>
      </c>
      <c r="C393" s="64">
        <v>11</v>
      </c>
      <c r="D393" s="80">
        <f t="shared" si="15"/>
        <v>2011</v>
      </c>
      <c r="E393" t="s">
        <v>38</v>
      </c>
      <c r="F393" t="s">
        <v>143</v>
      </c>
      <c r="G393" t="s">
        <v>10</v>
      </c>
      <c r="H393" s="72" t="s">
        <v>208</v>
      </c>
      <c r="I393" s="72" t="s">
        <v>50</v>
      </c>
      <c r="J393" t="str">
        <f t="shared" si="16"/>
        <v>Minter Creek</v>
      </c>
      <c r="K393" t="str">
        <f>IFERROR(VLOOKUP(J393,LUTs!$A$1:$C$73,2,FALSE),"NA")</f>
        <v>Kitsap/Pierce</v>
      </c>
      <c r="L393" t="str">
        <f>IFERROR(VLOOKUP(J393,LUTs!$A$1:$C$73,3,FALSE),"NA")</f>
        <v>3South Puget Sound</v>
      </c>
      <c r="M393" s="72" t="s">
        <v>18</v>
      </c>
      <c r="N393" t="str">
        <f>VLOOKUP(M393,LUTs!E$2:H$14,3,)</f>
        <v>06King</v>
      </c>
      <c r="O393" t="str">
        <f>VLOOKUP(M393,LUTs!E$2:H$14,4,)</f>
        <v>02South Puget Sound</v>
      </c>
      <c r="P393" s="73">
        <v>919.14545454545498</v>
      </c>
      <c r="Q393" s="74">
        <f>VLOOKUP(B393,Readme!A$40:C$51,2,)*P393</f>
        <v>3161.860363636365</v>
      </c>
    </row>
    <row r="394" spans="1:17" ht="12" customHeight="1" x14ac:dyDescent="0.35">
      <c r="A394" s="75">
        <v>393</v>
      </c>
      <c r="B394" s="64">
        <v>2011</v>
      </c>
      <c r="C394" s="64">
        <v>11</v>
      </c>
      <c r="D394" s="80">
        <f t="shared" si="15"/>
        <v>2011</v>
      </c>
      <c r="E394" t="s">
        <v>38</v>
      </c>
      <c r="F394" t="s">
        <v>143</v>
      </c>
      <c r="G394" t="s">
        <v>10</v>
      </c>
      <c r="H394" s="72" t="s">
        <v>208</v>
      </c>
      <c r="I394" s="72" t="s">
        <v>50</v>
      </c>
      <c r="J394" t="str">
        <f t="shared" si="16"/>
        <v>Minter Creek</v>
      </c>
      <c r="K394" t="str">
        <f>IFERROR(VLOOKUP(J394,LUTs!$A$1:$C$73,2,FALSE),"NA")</f>
        <v>Kitsap/Pierce</v>
      </c>
      <c r="L394" t="str">
        <f>IFERROR(VLOOKUP(J394,LUTs!$A$1:$C$73,3,FALSE),"NA")</f>
        <v>3South Puget Sound</v>
      </c>
      <c r="M394" s="72" t="s">
        <v>23</v>
      </c>
      <c r="N394" t="str">
        <f>VLOOKUP(M394,LUTs!E$2:H$14,3,)</f>
        <v>10Kitsap</v>
      </c>
      <c r="O394" t="str">
        <f>VLOOKUP(M394,LUTs!E$2:H$14,4,)</f>
        <v>02South Puget Sound</v>
      </c>
      <c r="P394" s="73">
        <v>239.12727272727301</v>
      </c>
      <c r="Q394" s="74">
        <f>VLOOKUP(B394,Readme!A$40:C$51,2,)*P394</f>
        <v>822.59781818181909</v>
      </c>
    </row>
    <row r="395" spans="1:17" ht="12" customHeight="1" x14ac:dyDescent="0.35">
      <c r="A395" s="75">
        <v>394</v>
      </c>
      <c r="B395" s="64">
        <v>2011</v>
      </c>
      <c r="C395" s="64">
        <v>11</v>
      </c>
      <c r="D395" s="80">
        <f t="shared" si="15"/>
        <v>2011</v>
      </c>
      <c r="E395" t="s">
        <v>38</v>
      </c>
      <c r="F395" t="s">
        <v>143</v>
      </c>
      <c r="G395" t="s">
        <v>10</v>
      </c>
      <c r="H395" s="72" t="s">
        <v>208</v>
      </c>
      <c r="I395" s="72" t="s">
        <v>50</v>
      </c>
      <c r="J395" t="str">
        <f t="shared" si="16"/>
        <v>Minter Creek</v>
      </c>
      <c r="K395" t="str">
        <f>IFERROR(VLOOKUP(J395,LUTs!$A$1:$C$73,2,FALSE),"NA")</f>
        <v>Kitsap/Pierce</v>
      </c>
      <c r="L395" t="str">
        <f>IFERROR(VLOOKUP(J395,LUTs!$A$1:$C$73,3,FALSE),"NA")</f>
        <v>3South Puget Sound</v>
      </c>
      <c r="M395" s="72" t="s">
        <v>22</v>
      </c>
      <c r="N395" t="str">
        <f>VLOOKUP(M395,LUTs!E$2:H$14,3,)</f>
        <v>09Mason</v>
      </c>
      <c r="O395" t="str">
        <f>VLOOKUP(M395,LUTs!E$2:H$14,4,)</f>
        <v>02South Puget Sound</v>
      </c>
      <c r="P395" s="73">
        <v>82.2</v>
      </c>
      <c r="Q395" s="74">
        <f>VLOOKUP(B395,Readme!A$40:C$51,2,)*P395</f>
        <v>282.76800000000003</v>
      </c>
    </row>
    <row r="396" spans="1:17" ht="12" customHeight="1" x14ac:dyDescent="0.35">
      <c r="A396" s="75">
        <v>395</v>
      </c>
      <c r="B396" s="64">
        <v>2011</v>
      </c>
      <c r="C396" s="64">
        <v>11</v>
      </c>
      <c r="D396" s="80">
        <f t="shared" si="15"/>
        <v>2011</v>
      </c>
      <c r="E396" t="s">
        <v>38</v>
      </c>
      <c r="F396" t="s">
        <v>143</v>
      </c>
      <c r="G396" t="s">
        <v>10</v>
      </c>
      <c r="H396" s="72" t="s">
        <v>208</v>
      </c>
      <c r="I396" s="72" t="s">
        <v>50</v>
      </c>
      <c r="J396" t="str">
        <f t="shared" si="16"/>
        <v>Minter Creek</v>
      </c>
      <c r="K396" t="str">
        <f>IFERROR(VLOOKUP(J396,LUTs!$A$1:$C$73,2,FALSE),"NA")</f>
        <v>Kitsap/Pierce</v>
      </c>
      <c r="L396" t="str">
        <f>IFERROR(VLOOKUP(J396,LUTs!$A$1:$C$73,3,FALSE),"NA")</f>
        <v>3South Puget Sound</v>
      </c>
      <c r="M396" s="72" t="s">
        <v>26</v>
      </c>
      <c r="N396" t="str">
        <f>VLOOKUP(M396,LUTs!E$2:H$14,3,)</f>
        <v>20Other</v>
      </c>
      <c r="O396" t="str">
        <f>VLOOKUP(M396,LUTs!E$2:H$14,4,)</f>
        <v>07Non Puget Sound</v>
      </c>
      <c r="P396" s="73">
        <v>112.09090909090899</v>
      </c>
      <c r="Q396" s="74">
        <f>VLOOKUP(B396,Readme!A$40:C$51,2,)*P396</f>
        <v>385.59272727272696</v>
      </c>
    </row>
    <row r="397" spans="1:17" ht="12" customHeight="1" x14ac:dyDescent="0.35">
      <c r="A397" s="75">
        <v>396</v>
      </c>
      <c r="B397" s="64">
        <v>2011</v>
      </c>
      <c r="C397" s="64">
        <v>11</v>
      </c>
      <c r="D397" s="80">
        <f t="shared" si="15"/>
        <v>2011</v>
      </c>
      <c r="E397" t="s">
        <v>38</v>
      </c>
      <c r="F397" t="s">
        <v>143</v>
      </c>
      <c r="G397" t="s">
        <v>10</v>
      </c>
      <c r="H397" s="72" t="s">
        <v>208</v>
      </c>
      <c r="I397" s="72" t="s">
        <v>50</v>
      </c>
      <c r="J397" t="str">
        <f t="shared" si="16"/>
        <v>Minter Creek</v>
      </c>
      <c r="K397" t="str">
        <f>IFERROR(VLOOKUP(J397,LUTs!$A$1:$C$73,2,FALSE),"NA")</f>
        <v>Kitsap/Pierce</v>
      </c>
      <c r="L397" t="str">
        <f>IFERROR(VLOOKUP(J397,LUTs!$A$1:$C$73,3,FALSE),"NA")</f>
        <v>3South Puget Sound</v>
      </c>
      <c r="M397" s="72" t="s">
        <v>20</v>
      </c>
      <c r="N397" t="str">
        <f>VLOOKUP(M397,LUTs!E$2:H$14,3,)</f>
        <v>07Pierce</v>
      </c>
      <c r="O397" t="str">
        <f>VLOOKUP(M397,LUTs!E$2:H$14,4,)</f>
        <v>02South Puget Sound</v>
      </c>
      <c r="P397" s="73">
        <v>919.14545454545498</v>
      </c>
      <c r="Q397" s="74">
        <f>VLOOKUP(B397,Readme!A$40:C$51,2,)*P397</f>
        <v>3161.860363636365</v>
      </c>
    </row>
    <row r="398" spans="1:17" ht="12" customHeight="1" x14ac:dyDescent="0.35">
      <c r="A398" s="75">
        <v>397</v>
      </c>
      <c r="B398" s="64">
        <v>2011</v>
      </c>
      <c r="C398" s="64">
        <v>11</v>
      </c>
      <c r="D398" s="80">
        <f t="shared" si="15"/>
        <v>2011</v>
      </c>
      <c r="E398" t="s">
        <v>38</v>
      </c>
      <c r="F398" t="s">
        <v>143</v>
      </c>
      <c r="G398" t="s">
        <v>10</v>
      </c>
      <c r="H398" s="72" t="s">
        <v>208</v>
      </c>
      <c r="I398" s="72" t="s">
        <v>50</v>
      </c>
      <c r="J398" t="str">
        <f t="shared" si="16"/>
        <v>Minter Creek</v>
      </c>
      <c r="K398" t="str">
        <f>IFERROR(VLOOKUP(J398,LUTs!$A$1:$C$73,2,FALSE),"NA")</f>
        <v>Kitsap/Pierce</v>
      </c>
      <c r="L398" t="str">
        <f>IFERROR(VLOOKUP(J398,LUTs!$A$1:$C$73,3,FALSE),"NA")</f>
        <v>3South Puget Sound</v>
      </c>
      <c r="M398" s="72" t="s">
        <v>16</v>
      </c>
      <c r="N398" t="str">
        <f>VLOOKUP(M398,LUTs!E$2:H$14,3,)</f>
        <v>03Snohomish</v>
      </c>
      <c r="O398" t="str">
        <f>VLOOKUP(M398,LUTs!E$2:H$14,4,)</f>
        <v>01North Puget Sound</v>
      </c>
      <c r="P398" s="73">
        <v>119.56363636363599</v>
      </c>
      <c r="Q398" s="74">
        <f>VLOOKUP(B398,Readme!A$40:C$51,2,)*P398</f>
        <v>411.29890909090778</v>
      </c>
    </row>
    <row r="399" spans="1:17" ht="12" customHeight="1" x14ac:dyDescent="0.35">
      <c r="A399" s="75">
        <v>398</v>
      </c>
      <c r="B399" s="64">
        <v>2011</v>
      </c>
      <c r="C399" s="64">
        <v>11</v>
      </c>
      <c r="D399" s="80">
        <f t="shared" si="15"/>
        <v>2011</v>
      </c>
      <c r="E399" t="s">
        <v>38</v>
      </c>
      <c r="F399" t="s">
        <v>143</v>
      </c>
      <c r="G399" t="s">
        <v>10</v>
      </c>
      <c r="H399" s="72" t="s">
        <v>208</v>
      </c>
      <c r="I399" s="72" t="s">
        <v>50</v>
      </c>
      <c r="J399" t="str">
        <f t="shared" si="16"/>
        <v>Minter Creek</v>
      </c>
      <c r="K399" t="str">
        <f>IFERROR(VLOOKUP(J399,LUTs!$A$1:$C$73,2,FALSE),"NA")</f>
        <v>Kitsap/Pierce</v>
      </c>
      <c r="L399" t="str">
        <f>IFERROR(VLOOKUP(J399,LUTs!$A$1:$C$73,3,FALSE),"NA")</f>
        <v>3South Puget Sound</v>
      </c>
      <c r="M399" s="72" t="s">
        <v>21</v>
      </c>
      <c r="N399" t="str">
        <f>VLOOKUP(M399,LUTs!E$2:H$14,3,)</f>
        <v>08Thurston</v>
      </c>
      <c r="O399" t="str">
        <f>VLOOKUP(M399,LUTs!E$2:H$14,4,)</f>
        <v>02South Puget Sound</v>
      </c>
      <c r="P399" s="73">
        <v>74.727272727272805</v>
      </c>
      <c r="Q399" s="74">
        <f>VLOOKUP(B399,Readme!A$40:C$51,2,)*P399</f>
        <v>257.06181818181847</v>
      </c>
    </row>
    <row r="400" spans="1:17" ht="12" customHeight="1" x14ac:dyDescent="0.35">
      <c r="A400" s="75">
        <v>399</v>
      </c>
      <c r="B400" s="64">
        <v>2011</v>
      </c>
      <c r="C400" s="64">
        <v>12</v>
      </c>
      <c r="D400" s="80">
        <f t="shared" si="15"/>
        <v>2011</v>
      </c>
      <c r="E400" t="s">
        <v>38</v>
      </c>
      <c r="F400" t="s">
        <v>143</v>
      </c>
      <c r="G400" t="s">
        <v>10</v>
      </c>
      <c r="H400" s="72" t="s">
        <v>208</v>
      </c>
      <c r="I400" s="72" t="s">
        <v>50</v>
      </c>
      <c r="J400" t="str">
        <f t="shared" si="16"/>
        <v>Minter Creek</v>
      </c>
      <c r="K400" t="str">
        <f>IFERROR(VLOOKUP(J400,LUTs!$A$1:$C$73,2,FALSE),"NA")</f>
        <v>Kitsap/Pierce</v>
      </c>
      <c r="L400" t="str">
        <f>IFERROR(VLOOKUP(J400,LUTs!$A$1:$C$73,3,FALSE),"NA")</f>
        <v>3South Puget Sound</v>
      </c>
      <c r="M400" s="72" t="s">
        <v>18</v>
      </c>
      <c r="N400" t="str">
        <f>VLOOKUP(M400,LUTs!E$2:H$14,3,)</f>
        <v>06King</v>
      </c>
      <c r="O400" t="str">
        <f>VLOOKUP(M400,LUTs!E$2:H$14,4,)</f>
        <v>02South Puget Sound</v>
      </c>
      <c r="P400" s="73">
        <v>1598.95126705653</v>
      </c>
      <c r="Q400" s="74">
        <f>VLOOKUP(B400,Readme!A$40:C$51,2,)*P400</f>
        <v>5500.3923586744631</v>
      </c>
    </row>
    <row r="401" spans="1:17" ht="12" customHeight="1" x14ac:dyDescent="0.35">
      <c r="A401" s="75">
        <v>400</v>
      </c>
      <c r="B401" s="64">
        <v>2011</v>
      </c>
      <c r="C401" s="64">
        <v>12</v>
      </c>
      <c r="D401" s="80">
        <f t="shared" si="15"/>
        <v>2011</v>
      </c>
      <c r="E401" t="s">
        <v>38</v>
      </c>
      <c r="F401" t="s">
        <v>143</v>
      </c>
      <c r="G401" t="s">
        <v>10</v>
      </c>
      <c r="H401" s="72" t="s">
        <v>208</v>
      </c>
      <c r="I401" s="72" t="s">
        <v>50</v>
      </c>
      <c r="J401" t="str">
        <f t="shared" si="16"/>
        <v>Minter Creek</v>
      </c>
      <c r="K401" t="str">
        <f>IFERROR(VLOOKUP(J401,LUTs!$A$1:$C$73,2,FALSE),"NA")</f>
        <v>Kitsap/Pierce</v>
      </c>
      <c r="L401" t="str">
        <f>IFERROR(VLOOKUP(J401,LUTs!$A$1:$C$73,3,FALSE),"NA")</f>
        <v>3South Puget Sound</v>
      </c>
      <c r="M401" s="72" t="s">
        <v>23</v>
      </c>
      <c r="N401" t="str">
        <f>VLOOKUP(M401,LUTs!E$2:H$14,3,)</f>
        <v>10Kitsap</v>
      </c>
      <c r="O401" t="str">
        <f>VLOOKUP(M401,LUTs!E$2:H$14,4,)</f>
        <v>02South Puget Sound</v>
      </c>
      <c r="P401" s="73">
        <v>209.208576998051</v>
      </c>
      <c r="Q401" s="74">
        <f>VLOOKUP(B401,Readme!A$40:C$51,2,)*P401</f>
        <v>719.67750487329545</v>
      </c>
    </row>
    <row r="402" spans="1:17" ht="12" customHeight="1" x14ac:dyDescent="0.35">
      <c r="A402" s="75">
        <v>401</v>
      </c>
      <c r="B402" s="64">
        <v>2011</v>
      </c>
      <c r="C402" s="64">
        <v>12</v>
      </c>
      <c r="D402" s="80">
        <f t="shared" si="15"/>
        <v>2011</v>
      </c>
      <c r="E402" t="s">
        <v>38</v>
      </c>
      <c r="F402" t="s">
        <v>143</v>
      </c>
      <c r="G402" t="s">
        <v>10</v>
      </c>
      <c r="H402" s="72" t="s">
        <v>208</v>
      </c>
      <c r="I402" s="72" t="s">
        <v>50</v>
      </c>
      <c r="J402" t="str">
        <f t="shared" si="16"/>
        <v>Minter Creek</v>
      </c>
      <c r="K402" t="str">
        <f>IFERROR(VLOOKUP(J402,LUTs!$A$1:$C$73,2,FALSE),"NA")</f>
        <v>Kitsap/Pierce</v>
      </c>
      <c r="L402" t="str">
        <f>IFERROR(VLOOKUP(J402,LUTs!$A$1:$C$73,3,FALSE),"NA")</f>
        <v>3South Puget Sound</v>
      </c>
      <c r="M402" s="72" t="s">
        <v>22</v>
      </c>
      <c r="N402" t="str">
        <f>VLOOKUP(M402,LUTs!E$2:H$14,3,)</f>
        <v>09Mason</v>
      </c>
      <c r="O402" t="str">
        <f>VLOOKUP(M402,LUTs!E$2:H$14,4,)</f>
        <v>02South Puget Sound</v>
      </c>
      <c r="P402" s="73">
        <v>313.81286549707602</v>
      </c>
      <c r="Q402" s="74">
        <f>VLOOKUP(B402,Readme!A$40:C$51,2,)*P402</f>
        <v>1079.5162573099415</v>
      </c>
    </row>
    <row r="403" spans="1:17" ht="12" customHeight="1" x14ac:dyDescent="0.35">
      <c r="A403" s="75">
        <v>402</v>
      </c>
      <c r="B403" s="64">
        <v>2011</v>
      </c>
      <c r="C403" s="64">
        <v>12</v>
      </c>
      <c r="D403" s="80">
        <f t="shared" si="15"/>
        <v>2011</v>
      </c>
      <c r="E403" t="s">
        <v>38</v>
      </c>
      <c r="F403" t="s">
        <v>143</v>
      </c>
      <c r="G403" t="s">
        <v>10</v>
      </c>
      <c r="H403" s="72" t="s">
        <v>208</v>
      </c>
      <c r="I403" s="72" t="s">
        <v>50</v>
      </c>
      <c r="J403" t="str">
        <f t="shared" si="16"/>
        <v>Minter Creek</v>
      </c>
      <c r="K403" t="str">
        <f>IFERROR(VLOOKUP(J403,LUTs!$A$1:$C$73,2,FALSE),"NA")</f>
        <v>Kitsap/Pierce</v>
      </c>
      <c r="L403" t="str">
        <f>IFERROR(VLOOKUP(J403,LUTs!$A$1:$C$73,3,FALSE),"NA")</f>
        <v>3South Puget Sound</v>
      </c>
      <c r="M403" s="72" t="s">
        <v>26</v>
      </c>
      <c r="N403" t="str">
        <f>VLOOKUP(M403,LUTs!E$2:H$14,3,)</f>
        <v>20Other</v>
      </c>
      <c r="O403" t="str">
        <f>VLOOKUP(M403,LUTs!E$2:H$14,4,)</f>
        <v>07Non Puget Sound</v>
      </c>
      <c r="P403" s="73">
        <v>119.54775828459999</v>
      </c>
      <c r="Q403" s="74">
        <f>VLOOKUP(B403,Readme!A$40:C$51,2,)*P403</f>
        <v>411.24428849902398</v>
      </c>
    </row>
    <row r="404" spans="1:17" ht="12" customHeight="1" x14ac:dyDescent="0.35">
      <c r="A404" s="75">
        <v>403</v>
      </c>
      <c r="B404" s="64">
        <v>2011</v>
      </c>
      <c r="C404" s="64">
        <v>12</v>
      </c>
      <c r="D404" s="80">
        <f t="shared" si="15"/>
        <v>2011</v>
      </c>
      <c r="E404" t="s">
        <v>38</v>
      </c>
      <c r="F404" t="s">
        <v>143</v>
      </c>
      <c r="G404" t="s">
        <v>10</v>
      </c>
      <c r="H404" s="72" t="s">
        <v>208</v>
      </c>
      <c r="I404" s="72" t="s">
        <v>50</v>
      </c>
      <c r="J404" t="str">
        <f t="shared" si="16"/>
        <v>Minter Creek</v>
      </c>
      <c r="K404" t="str">
        <f>IFERROR(VLOOKUP(J404,LUTs!$A$1:$C$73,2,FALSE),"NA")</f>
        <v>Kitsap/Pierce</v>
      </c>
      <c r="L404" t="str">
        <f>IFERROR(VLOOKUP(J404,LUTs!$A$1:$C$73,3,FALSE),"NA")</f>
        <v>3South Puget Sound</v>
      </c>
      <c r="M404" s="72" t="s">
        <v>20</v>
      </c>
      <c r="N404" t="str">
        <f>VLOOKUP(M404,LUTs!E$2:H$14,3,)</f>
        <v>07Pierce</v>
      </c>
      <c r="O404" t="str">
        <f>VLOOKUP(M404,LUTs!E$2:H$14,4,)</f>
        <v>02South Puget Sound</v>
      </c>
      <c r="P404" s="73">
        <v>1300.0818713450301</v>
      </c>
      <c r="Q404" s="74">
        <f>VLOOKUP(B404,Readme!A$40:C$51,2,)*P404</f>
        <v>4472.2816374269032</v>
      </c>
    </row>
    <row r="405" spans="1:17" ht="12" customHeight="1" x14ac:dyDescent="0.35">
      <c r="A405" s="75">
        <v>404</v>
      </c>
      <c r="B405" s="64">
        <v>2011</v>
      </c>
      <c r="C405" s="64">
        <v>12</v>
      </c>
      <c r="D405" s="80">
        <f t="shared" si="15"/>
        <v>2011</v>
      </c>
      <c r="E405" t="s">
        <v>38</v>
      </c>
      <c r="F405" t="s">
        <v>143</v>
      </c>
      <c r="G405" t="s">
        <v>10</v>
      </c>
      <c r="H405" s="72" t="s">
        <v>208</v>
      </c>
      <c r="I405" s="72" t="s">
        <v>50</v>
      </c>
      <c r="J405" t="str">
        <f t="shared" si="16"/>
        <v>Minter Creek</v>
      </c>
      <c r="K405" t="str">
        <f>IFERROR(VLOOKUP(J405,LUTs!$A$1:$C$73,2,FALSE),"NA")</f>
        <v>Kitsap/Pierce</v>
      </c>
      <c r="L405" t="str">
        <f>IFERROR(VLOOKUP(J405,LUTs!$A$1:$C$73,3,FALSE),"NA")</f>
        <v>3South Puget Sound</v>
      </c>
      <c r="M405" s="72" t="s">
        <v>16</v>
      </c>
      <c r="N405" t="str">
        <f>VLOOKUP(M405,LUTs!E$2:H$14,3,)</f>
        <v>03Snohomish</v>
      </c>
      <c r="O405" t="str">
        <f>VLOOKUP(M405,LUTs!E$2:H$14,4,)</f>
        <v>01North Puget Sound</v>
      </c>
      <c r="P405" s="73">
        <v>149.43469785575101</v>
      </c>
      <c r="Q405" s="74">
        <f>VLOOKUP(B405,Readme!A$40:C$51,2,)*P405</f>
        <v>514.05536062378349</v>
      </c>
    </row>
    <row r="406" spans="1:17" ht="12" customHeight="1" x14ac:dyDescent="0.35">
      <c r="A406" s="75">
        <v>405</v>
      </c>
      <c r="B406" s="64">
        <v>2011</v>
      </c>
      <c r="C406" s="64">
        <v>12</v>
      </c>
      <c r="D406" s="80">
        <f t="shared" si="15"/>
        <v>2011</v>
      </c>
      <c r="E406" t="s">
        <v>38</v>
      </c>
      <c r="F406" t="s">
        <v>143</v>
      </c>
      <c r="G406" t="s">
        <v>10</v>
      </c>
      <c r="H406" s="72" t="s">
        <v>208</v>
      </c>
      <c r="I406" s="72" t="s">
        <v>50</v>
      </c>
      <c r="J406" t="str">
        <f t="shared" si="16"/>
        <v>Minter Creek</v>
      </c>
      <c r="K406" t="str">
        <f>IFERROR(VLOOKUP(J406,LUTs!$A$1:$C$73,2,FALSE),"NA")</f>
        <v>Kitsap/Pierce</v>
      </c>
      <c r="L406" t="str">
        <f>IFERROR(VLOOKUP(J406,LUTs!$A$1:$C$73,3,FALSE),"NA")</f>
        <v>3South Puget Sound</v>
      </c>
      <c r="M406" s="72" t="s">
        <v>21</v>
      </c>
      <c r="N406" t="str">
        <f>VLOOKUP(M406,LUTs!E$2:H$14,3,)</f>
        <v>08Thurston</v>
      </c>
      <c r="O406" t="str">
        <f>VLOOKUP(M406,LUTs!E$2:H$14,4,)</f>
        <v>02South Puget Sound</v>
      </c>
      <c r="P406" s="73">
        <v>127.019493177388</v>
      </c>
      <c r="Q406" s="74">
        <f>VLOOKUP(B406,Readme!A$40:C$51,2,)*P406</f>
        <v>436.9470565302147</v>
      </c>
    </row>
    <row r="407" spans="1:17" ht="12" customHeight="1" x14ac:dyDescent="0.35">
      <c r="A407" s="75">
        <v>406</v>
      </c>
      <c r="B407" s="64">
        <v>2011</v>
      </c>
      <c r="C407" s="64">
        <v>12</v>
      </c>
      <c r="D407" s="80">
        <f t="shared" si="15"/>
        <v>2011</v>
      </c>
      <c r="E407" t="s">
        <v>38</v>
      </c>
      <c r="F407" t="s">
        <v>143</v>
      </c>
      <c r="G407" t="s">
        <v>10</v>
      </c>
      <c r="H407" s="72" t="s">
        <v>208</v>
      </c>
      <c r="I407" s="72" t="s">
        <v>50</v>
      </c>
      <c r="J407" t="str">
        <f t="shared" si="16"/>
        <v>Minter Creek</v>
      </c>
      <c r="K407" t="str">
        <f>IFERROR(VLOOKUP(J407,LUTs!$A$1:$C$73,2,FALSE),"NA")</f>
        <v>Kitsap/Pierce</v>
      </c>
      <c r="L407" t="str">
        <f>IFERROR(VLOOKUP(J407,LUTs!$A$1:$C$73,3,FALSE),"NA")</f>
        <v>3South Puget Sound</v>
      </c>
      <c r="M407" s="72" t="s">
        <v>13</v>
      </c>
      <c r="N407" t="str">
        <f>VLOOKUP(M407,LUTs!E$2:H$14,3,)</f>
        <v>01Whatcom</v>
      </c>
      <c r="O407" t="str">
        <f>VLOOKUP(M407,LUTs!E$2:H$14,4,)</f>
        <v>01North Puget Sound</v>
      </c>
      <c r="P407" s="73">
        <v>14.9434697855751</v>
      </c>
      <c r="Q407" s="74">
        <f>VLOOKUP(B407,Readme!A$40:C$51,2,)*P407</f>
        <v>51.405536062378346</v>
      </c>
    </row>
    <row r="408" spans="1:17" ht="12" customHeight="1" x14ac:dyDescent="0.35">
      <c r="A408" s="75">
        <v>407</v>
      </c>
      <c r="B408" s="64">
        <v>2011</v>
      </c>
      <c r="C408" s="64">
        <v>7</v>
      </c>
      <c r="D408" s="80">
        <f t="shared" si="15"/>
        <v>2011</v>
      </c>
      <c r="E408" t="s">
        <v>38</v>
      </c>
      <c r="F408" t="s">
        <v>143</v>
      </c>
      <c r="G408" t="s">
        <v>10</v>
      </c>
      <c r="H408" s="72" t="s">
        <v>209</v>
      </c>
      <c r="I408" s="72" t="s">
        <v>51</v>
      </c>
      <c r="J408" t="str">
        <f t="shared" si="16"/>
        <v>Nisqually River</v>
      </c>
      <c r="K408" t="str">
        <f>IFERROR(VLOOKUP(J408,LUTs!$A$1:$C$73,2,FALSE),"NA")</f>
        <v>Thurston/Pierce</v>
      </c>
      <c r="L408" t="str">
        <f>IFERROR(VLOOKUP(J408,LUTs!$A$1:$C$73,3,FALSE),"NA")</f>
        <v>3South Puget Sound</v>
      </c>
      <c r="M408" s="72" t="s">
        <v>21</v>
      </c>
      <c r="N408" t="str">
        <f>VLOOKUP(M408,LUTs!E$2:H$14,3,)</f>
        <v>08Thurston</v>
      </c>
      <c r="O408" t="str">
        <f>VLOOKUP(M408,LUTs!E$2:H$14,4,)</f>
        <v>02South Puget Sound</v>
      </c>
      <c r="P408" s="73">
        <v>15</v>
      </c>
      <c r="Q408" s="74">
        <f>VLOOKUP(B408,Readme!A$40:C$51,2,)*P408</f>
        <v>51.6</v>
      </c>
    </row>
    <row r="409" spans="1:17" ht="12" customHeight="1" x14ac:dyDescent="0.35">
      <c r="A409" s="75">
        <v>408</v>
      </c>
      <c r="B409" s="64">
        <v>2011</v>
      </c>
      <c r="C409" s="64">
        <v>8</v>
      </c>
      <c r="D409" s="80">
        <f t="shared" si="15"/>
        <v>2011</v>
      </c>
      <c r="E409" t="s">
        <v>38</v>
      </c>
      <c r="F409" t="s">
        <v>143</v>
      </c>
      <c r="G409" t="s">
        <v>10</v>
      </c>
      <c r="H409" s="72" t="s">
        <v>209</v>
      </c>
      <c r="I409" s="72" t="s">
        <v>51</v>
      </c>
      <c r="J409" t="str">
        <f t="shared" si="16"/>
        <v>Nisqually River</v>
      </c>
      <c r="K409" t="str">
        <f>IFERROR(VLOOKUP(J409,LUTs!$A$1:$C$73,2,FALSE),"NA")</f>
        <v>Thurston/Pierce</v>
      </c>
      <c r="L409" t="str">
        <f>IFERROR(VLOOKUP(J409,LUTs!$A$1:$C$73,3,FALSE),"NA")</f>
        <v>3South Puget Sound</v>
      </c>
      <c r="M409" s="72" t="s">
        <v>18</v>
      </c>
      <c r="N409" t="str">
        <f>VLOOKUP(M409,LUTs!E$2:H$14,3,)</f>
        <v>06King</v>
      </c>
      <c r="O409" t="str">
        <f>VLOOKUP(M409,LUTs!E$2:H$14,4,)</f>
        <v>02South Puget Sound</v>
      </c>
      <c r="P409" s="73">
        <v>51.17</v>
      </c>
      <c r="Q409" s="74">
        <f>VLOOKUP(B409,Readme!A$40:C$51,2,)*P409</f>
        <v>176.0248</v>
      </c>
    </row>
    <row r="410" spans="1:17" ht="12" customHeight="1" x14ac:dyDescent="0.35">
      <c r="A410" s="75">
        <v>409</v>
      </c>
      <c r="B410" s="64">
        <v>2011</v>
      </c>
      <c r="C410" s="64">
        <v>8</v>
      </c>
      <c r="D410" s="80">
        <f t="shared" si="15"/>
        <v>2011</v>
      </c>
      <c r="E410" t="s">
        <v>38</v>
      </c>
      <c r="F410" t="s">
        <v>143</v>
      </c>
      <c r="G410" t="s">
        <v>10</v>
      </c>
      <c r="H410" s="72" t="s">
        <v>209</v>
      </c>
      <c r="I410" s="72" t="s">
        <v>51</v>
      </c>
      <c r="J410" t="str">
        <f t="shared" si="16"/>
        <v>Nisqually River</v>
      </c>
      <c r="K410" t="str">
        <f>IFERROR(VLOOKUP(J410,LUTs!$A$1:$C$73,2,FALSE),"NA")</f>
        <v>Thurston/Pierce</v>
      </c>
      <c r="L410" t="str">
        <f>IFERROR(VLOOKUP(J410,LUTs!$A$1:$C$73,3,FALSE),"NA")</f>
        <v>3South Puget Sound</v>
      </c>
      <c r="M410" s="72" t="s">
        <v>26</v>
      </c>
      <c r="N410" t="str">
        <f>VLOOKUP(M410,LUTs!E$2:H$14,3,)</f>
        <v>20Other</v>
      </c>
      <c r="O410" t="str">
        <f>VLOOKUP(M410,LUTs!E$2:H$14,4,)</f>
        <v>07Non Puget Sound</v>
      </c>
      <c r="P410" s="73">
        <v>58.48</v>
      </c>
      <c r="Q410" s="74">
        <f>VLOOKUP(B410,Readme!A$40:C$51,2,)*P410</f>
        <v>201.1712</v>
      </c>
    </row>
    <row r="411" spans="1:17" ht="12" customHeight="1" x14ac:dyDescent="0.35">
      <c r="A411" s="75">
        <v>410</v>
      </c>
      <c r="B411" s="64">
        <v>2011</v>
      </c>
      <c r="C411" s="64">
        <v>8</v>
      </c>
      <c r="D411" s="80">
        <f t="shared" si="15"/>
        <v>2011</v>
      </c>
      <c r="E411" t="s">
        <v>38</v>
      </c>
      <c r="F411" t="s">
        <v>143</v>
      </c>
      <c r="G411" t="s">
        <v>10</v>
      </c>
      <c r="H411" s="72" t="s">
        <v>209</v>
      </c>
      <c r="I411" s="72" t="s">
        <v>51</v>
      </c>
      <c r="J411" t="str">
        <f t="shared" si="16"/>
        <v>Nisqually River</v>
      </c>
      <c r="K411" t="str">
        <f>IFERROR(VLOOKUP(J411,LUTs!$A$1:$C$73,2,FALSE),"NA")</f>
        <v>Thurston/Pierce</v>
      </c>
      <c r="L411" t="str">
        <f>IFERROR(VLOOKUP(J411,LUTs!$A$1:$C$73,3,FALSE),"NA")</f>
        <v>3South Puget Sound</v>
      </c>
      <c r="M411" s="72" t="s">
        <v>20</v>
      </c>
      <c r="N411" t="str">
        <f>VLOOKUP(M411,LUTs!E$2:H$14,3,)</f>
        <v>07Pierce</v>
      </c>
      <c r="O411" t="str">
        <f>VLOOKUP(M411,LUTs!E$2:H$14,4,)</f>
        <v>02South Puget Sound</v>
      </c>
      <c r="P411" s="73">
        <v>197.37</v>
      </c>
      <c r="Q411" s="74">
        <f>VLOOKUP(B411,Readme!A$40:C$51,2,)*P411</f>
        <v>678.95280000000002</v>
      </c>
    </row>
    <row r="412" spans="1:17" ht="12" customHeight="1" x14ac:dyDescent="0.35">
      <c r="A412" s="75">
        <v>411</v>
      </c>
      <c r="B412" s="64">
        <v>2011</v>
      </c>
      <c r="C412" s="64">
        <v>8</v>
      </c>
      <c r="D412" s="80">
        <f t="shared" si="15"/>
        <v>2011</v>
      </c>
      <c r="E412" t="s">
        <v>38</v>
      </c>
      <c r="F412" t="s">
        <v>143</v>
      </c>
      <c r="G412" t="s">
        <v>10</v>
      </c>
      <c r="H412" s="72" t="s">
        <v>209</v>
      </c>
      <c r="I412" s="72" t="s">
        <v>51</v>
      </c>
      <c r="J412" t="str">
        <f t="shared" si="16"/>
        <v>Nisqually River</v>
      </c>
      <c r="K412" t="str">
        <f>IFERROR(VLOOKUP(J412,LUTs!$A$1:$C$73,2,FALSE),"NA")</f>
        <v>Thurston/Pierce</v>
      </c>
      <c r="L412" t="str">
        <f>IFERROR(VLOOKUP(J412,LUTs!$A$1:$C$73,3,FALSE),"NA")</f>
        <v>3South Puget Sound</v>
      </c>
      <c r="M412" s="72" t="s">
        <v>21</v>
      </c>
      <c r="N412" t="str">
        <f>VLOOKUP(M412,LUTs!E$2:H$14,3,)</f>
        <v>08Thurston</v>
      </c>
      <c r="O412" t="str">
        <f>VLOOKUP(M412,LUTs!E$2:H$14,4,)</f>
        <v>02South Puget Sound</v>
      </c>
      <c r="P412" s="73">
        <v>423.98</v>
      </c>
      <c r="Q412" s="74">
        <f>VLOOKUP(B412,Readme!A$40:C$51,2,)*P412</f>
        <v>1458.4911999999999</v>
      </c>
    </row>
    <row r="413" spans="1:17" ht="12" customHeight="1" x14ac:dyDescent="0.35">
      <c r="A413" s="75">
        <v>412</v>
      </c>
      <c r="B413" s="64">
        <v>2011</v>
      </c>
      <c r="C413" s="64">
        <v>9</v>
      </c>
      <c r="D413" s="80">
        <f t="shared" si="15"/>
        <v>2011</v>
      </c>
      <c r="E413" t="s">
        <v>38</v>
      </c>
      <c r="F413" t="s">
        <v>143</v>
      </c>
      <c r="G413" t="s">
        <v>10</v>
      </c>
      <c r="H413" s="72" t="s">
        <v>209</v>
      </c>
      <c r="I413" s="72" t="s">
        <v>51</v>
      </c>
      <c r="J413" t="str">
        <f t="shared" si="16"/>
        <v>Nisqually River</v>
      </c>
      <c r="K413" t="str">
        <f>IFERROR(VLOOKUP(J413,LUTs!$A$1:$C$73,2,FALSE),"NA")</f>
        <v>Thurston/Pierce</v>
      </c>
      <c r="L413" t="str">
        <f>IFERROR(VLOOKUP(J413,LUTs!$A$1:$C$73,3,FALSE),"NA")</f>
        <v>3South Puget Sound</v>
      </c>
      <c r="M413" s="72" t="s">
        <v>18</v>
      </c>
      <c r="N413" t="str">
        <f>VLOOKUP(M413,LUTs!E$2:H$14,3,)</f>
        <v>06King</v>
      </c>
      <c r="O413" t="str">
        <f>VLOOKUP(M413,LUTs!E$2:H$14,4,)</f>
        <v>02South Puget Sound</v>
      </c>
      <c r="P413" s="73">
        <v>504.17424975798701</v>
      </c>
      <c r="Q413" s="74">
        <f>VLOOKUP(B413,Readme!A$40:C$51,2,)*P413</f>
        <v>1734.3594191674754</v>
      </c>
    </row>
    <row r="414" spans="1:17" ht="12" customHeight="1" x14ac:dyDescent="0.35">
      <c r="A414" s="75">
        <v>413</v>
      </c>
      <c r="B414" s="64">
        <v>2011</v>
      </c>
      <c r="C414" s="64">
        <v>9</v>
      </c>
      <c r="D414" s="80">
        <f t="shared" si="15"/>
        <v>2011</v>
      </c>
      <c r="E414" t="s">
        <v>38</v>
      </c>
      <c r="F414" t="s">
        <v>143</v>
      </c>
      <c r="G414" t="s">
        <v>10</v>
      </c>
      <c r="H414" s="72" t="s">
        <v>209</v>
      </c>
      <c r="I414" s="72" t="s">
        <v>51</v>
      </c>
      <c r="J414" t="str">
        <f t="shared" si="16"/>
        <v>Nisqually River</v>
      </c>
      <c r="K414" t="str">
        <f>IFERROR(VLOOKUP(J414,LUTs!$A$1:$C$73,2,FALSE),"NA")</f>
        <v>Thurston/Pierce</v>
      </c>
      <c r="L414" t="str">
        <f>IFERROR(VLOOKUP(J414,LUTs!$A$1:$C$73,3,FALSE),"NA")</f>
        <v>3South Puget Sound</v>
      </c>
      <c r="M414" s="72" t="s">
        <v>23</v>
      </c>
      <c r="N414" t="str">
        <f>VLOOKUP(M414,LUTs!E$2:H$14,3,)</f>
        <v>10Kitsap</v>
      </c>
      <c r="O414" t="str">
        <f>VLOOKUP(M414,LUTs!E$2:H$14,4,)</f>
        <v>02South Puget Sound</v>
      </c>
      <c r="P414" s="73">
        <v>36.534365924491802</v>
      </c>
      <c r="Q414" s="74">
        <f>VLOOKUP(B414,Readme!A$40:C$51,2,)*P414</f>
        <v>125.6782187802518</v>
      </c>
    </row>
    <row r="415" spans="1:17" ht="12" customHeight="1" x14ac:dyDescent="0.35">
      <c r="A415" s="75">
        <v>414</v>
      </c>
      <c r="B415" s="64">
        <v>2011</v>
      </c>
      <c r="C415" s="64">
        <v>9</v>
      </c>
      <c r="D415" s="80">
        <f t="shared" si="15"/>
        <v>2011</v>
      </c>
      <c r="E415" t="s">
        <v>38</v>
      </c>
      <c r="F415" t="s">
        <v>143</v>
      </c>
      <c r="G415" t="s">
        <v>10</v>
      </c>
      <c r="H415" s="72" t="s">
        <v>209</v>
      </c>
      <c r="I415" s="72" t="s">
        <v>51</v>
      </c>
      <c r="J415" t="str">
        <f t="shared" si="16"/>
        <v>Nisqually River</v>
      </c>
      <c r="K415" t="str">
        <f>IFERROR(VLOOKUP(J415,LUTs!$A$1:$C$73,2,FALSE),"NA")</f>
        <v>Thurston/Pierce</v>
      </c>
      <c r="L415" t="str">
        <f>IFERROR(VLOOKUP(J415,LUTs!$A$1:$C$73,3,FALSE),"NA")</f>
        <v>3South Puget Sound</v>
      </c>
      <c r="M415" s="72" t="s">
        <v>22</v>
      </c>
      <c r="N415" t="str">
        <f>VLOOKUP(M415,LUTs!E$2:H$14,3,)</f>
        <v>09Mason</v>
      </c>
      <c r="O415" t="str">
        <f>VLOOKUP(M415,LUTs!E$2:H$14,4,)</f>
        <v>02South Puget Sound</v>
      </c>
      <c r="P415" s="73">
        <v>29.227492739593401</v>
      </c>
      <c r="Q415" s="74">
        <f>VLOOKUP(B415,Readme!A$40:C$51,2,)*P415</f>
        <v>100.5425750242013</v>
      </c>
    </row>
    <row r="416" spans="1:17" ht="12" customHeight="1" x14ac:dyDescent="0.35">
      <c r="A416" s="75">
        <v>415</v>
      </c>
      <c r="B416" s="64">
        <v>2011</v>
      </c>
      <c r="C416" s="64">
        <v>9</v>
      </c>
      <c r="D416" s="80">
        <f t="shared" si="15"/>
        <v>2011</v>
      </c>
      <c r="E416" t="s">
        <v>38</v>
      </c>
      <c r="F416" t="s">
        <v>143</v>
      </c>
      <c r="G416" t="s">
        <v>10</v>
      </c>
      <c r="H416" s="72" t="s">
        <v>209</v>
      </c>
      <c r="I416" s="72" t="s">
        <v>51</v>
      </c>
      <c r="J416" t="str">
        <f t="shared" si="16"/>
        <v>Nisqually River</v>
      </c>
      <c r="K416" t="str">
        <f>IFERROR(VLOOKUP(J416,LUTs!$A$1:$C$73,2,FALSE),"NA")</f>
        <v>Thurston/Pierce</v>
      </c>
      <c r="L416" t="str">
        <f>IFERROR(VLOOKUP(J416,LUTs!$A$1:$C$73,3,FALSE),"NA")</f>
        <v>3South Puget Sound</v>
      </c>
      <c r="M416" s="72" t="s">
        <v>26</v>
      </c>
      <c r="N416" t="str">
        <f>VLOOKUP(M416,LUTs!E$2:H$14,3,)</f>
        <v>20Other</v>
      </c>
      <c r="O416" t="str">
        <f>VLOOKUP(M416,LUTs!E$2:H$14,4,)</f>
        <v>07Non Puget Sound</v>
      </c>
      <c r="P416" s="73">
        <v>321.50242013552798</v>
      </c>
      <c r="Q416" s="74">
        <f>VLOOKUP(B416,Readme!A$40:C$51,2,)*P416</f>
        <v>1105.9683252662162</v>
      </c>
    </row>
    <row r="417" spans="1:17" ht="12" customHeight="1" x14ac:dyDescent="0.35">
      <c r="A417" s="75">
        <v>416</v>
      </c>
      <c r="B417" s="64">
        <v>2011</v>
      </c>
      <c r="C417" s="64">
        <v>9</v>
      </c>
      <c r="D417" s="80">
        <f t="shared" si="15"/>
        <v>2011</v>
      </c>
      <c r="E417" t="s">
        <v>38</v>
      </c>
      <c r="F417" t="s">
        <v>143</v>
      </c>
      <c r="G417" t="s">
        <v>10</v>
      </c>
      <c r="H417" s="72" t="s">
        <v>209</v>
      </c>
      <c r="I417" s="72" t="s">
        <v>51</v>
      </c>
      <c r="J417" t="str">
        <f t="shared" si="16"/>
        <v>Nisqually River</v>
      </c>
      <c r="K417" t="str">
        <f>IFERROR(VLOOKUP(J417,LUTs!$A$1:$C$73,2,FALSE),"NA")</f>
        <v>Thurston/Pierce</v>
      </c>
      <c r="L417" t="str">
        <f>IFERROR(VLOOKUP(J417,LUTs!$A$1:$C$73,3,FALSE),"NA")</f>
        <v>3South Puget Sound</v>
      </c>
      <c r="M417" s="72" t="s">
        <v>20</v>
      </c>
      <c r="N417" t="str">
        <f>VLOOKUP(M417,LUTs!E$2:H$14,3,)</f>
        <v>07Pierce</v>
      </c>
      <c r="O417" t="str">
        <f>VLOOKUP(M417,LUTs!E$2:H$14,4,)</f>
        <v>02South Puget Sound</v>
      </c>
      <c r="P417" s="73">
        <v>2688.92933204259</v>
      </c>
      <c r="Q417" s="74">
        <f>VLOOKUP(B417,Readme!A$40:C$51,2,)*P417</f>
        <v>9249.9169022265087</v>
      </c>
    </row>
    <row r="418" spans="1:17" ht="12" customHeight="1" x14ac:dyDescent="0.35">
      <c r="A418" s="75">
        <v>417</v>
      </c>
      <c r="B418" s="64">
        <v>2011</v>
      </c>
      <c r="C418" s="64">
        <v>9</v>
      </c>
      <c r="D418" s="80">
        <f t="shared" si="15"/>
        <v>2011</v>
      </c>
      <c r="E418" t="s">
        <v>38</v>
      </c>
      <c r="F418" t="s">
        <v>143</v>
      </c>
      <c r="G418" t="s">
        <v>10</v>
      </c>
      <c r="H418" s="72" t="s">
        <v>209</v>
      </c>
      <c r="I418" s="72" t="s">
        <v>51</v>
      </c>
      <c r="J418" t="str">
        <f t="shared" si="16"/>
        <v>Nisqually River</v>
      </c>
      <c r="K418" t="str">
        <f>IFERROR(VLOOKUP(J418,LUTs!$A$1:$C$73,2,FALSE),"NA")</f>
        <v>Thurston/Pierce</v>
      </c>
      <c r="L418" t="str">
        <f>IFERROR(VLOOKUP(J418,LUTs!$A$1:$C$73,3,FALSE),"NA")</f>
        <v>3South Puget Sound</v>
      </c>
      <c r="M418" s="72" t="s">
        <v>15</v>
      </c>
      <c r="N418" t="str">
        <f>VLOOKUP(M418,LUTs!E$2:H$14,3,)</f>
        <v>02Skagit</v>
      </c>
      <c r="O418" t="str">
        <f>VLOOKUP(M418,LUTs!E$2:H$14,4,)</f>
        <v>01North Puget Sound</v>
      </c>
      <c r="P418" s="73">
        <v>14.613746369796701</v>
      </c>
      <c r="Q418" s="74">
        <f>VLOOKUP(B418,Readme!A$40:C$51,2,)*P418</f>
        <v>50.271287512100649</v>
      </c>
    </row>
    <row r="419" spans="1:17" ht="12" customHeight="1" x14ac:dyDescent="0.35">
      <c r="A419" s="75">
        <v>418</v>
      </c>
      <c r="B419" s="64">
        <v>2011</v>
      </c>
      <c r="C419" s="64">
        <v>9</v>
      </c>
      <c r="D419" s="80">
        <f t="shared" si="15"/>
        <v>2011</v>
      </c>
      <c r="E419" t="s">
        <v>38</v>
      </c>
      <c r="F419" t="s">
        <v>143</v>
      </c>
      <c r="G419" t="s">
        <v>10</v>
      </c>
      <c r="H419" s="72" t="s">
        <v>209</v>
      </c>
      <c r="I419" s="72" t="s">
        <v>51</v>
      </c>
      <c r="J419" t="str">
        <f t="shared" si="16"/>
        <v>Nisqually River</v>
      </c>
      <c r="K419" t="str">
        <f>IFERROR(VLOOKUP(J419,LUTs!$A$1:$C$73,2,FALSE),"NA")</f>
        <v>Thurston/Pierce</v>
      </c>
      <c r="L419" t="str">
        <f>IFERROR(VLOOKUP(J419,LUTs!$A$1:$C$73,3,FALSE),"NA")</f>
        <v>3South Puget Sound</v>
      </c>
      <c r="M419" s="72" t="s">
        <v>16</v>
      </c>
      <c r="N419" t="str">
        <f>VLOOKUP(M419,LUTs!E$2:H$14,3,)</f>
        <v>03Snohomish</v>
      </c>
      <c r="O419" t="str">
        <f>VLOOKUP(M419,LUTs!E$2:H$14,4,)</f>
        <v>01North Puget Sound</v>
      </c>
      <c r="P419" s="73">
        <v>80.375605033881897</v>
      </c>
      <c r="Q419" s="74">
        <f>VLOOKUP(B419,Readme!A$40:C$51,2,)*P419</f>
        <v>276.49208131655371</v>
      </c>
    </row>
    <row r="420" spans="1:17" ht="12" customHeight="1" x14ac:dyDescent="0.35">
      <c r="A420" s="75">
        <v>419</v>
      </c>
      <c r="B420" s="64">
        <v>2011</v>
      </c>
      <c r="C420" s="64">
        <v>9</v>
      </c>
      <c r="D420" s="80">
        <f t="shared" si="15"/>
        <v>2011</v>
      </c>
      <c r="E420" t="s">
        <v>38</v>
      </c>
      <c r="F420" t="s">
        <v>143</v>
      </c>
      <c r="G420" t="s">
        <v>10</v>
      </c>
      <c r="H420" s="72" t="s">
        <v>209</v>
      </c>
      <c r="I420" s="72" t="s">
        <v>51</v>
      </c>
      <c r="J420" t="str">
        <f t="shared" si="16"/>
        <v>Nisqually River</v>
      </c>
      <c r="K420" t="str">
        <f>IFERROR(VLOOKUP(J420,LUTs!$A$1:$C$73,2,FALSE),"NA")</f>
        <v>Thurston/Pierce</v>
      </c>
      <c r="L420" t="str">
        <f>IFERROR(VLOOKUP(J420,LUTs!$A$1:$C$73,3,FALSE),"NA")</f>
        <v>3South Puget Sound</v>
      </c>
      <c r="M420" s="72" t="s">
        <v>21</v>
      </c>
      <c r="N420" t="str">
        <f>VLOOKUP(M420,LUTs!E$2:H$14,3,)</f>
        <v>08Thurston</v>
      </c>
      <c r="O420" t="str">
        <f>VLOOKUP(M420,LUTs!E$2:H$14,4,)</f>
        <v>02South Puget Sound</v>
      </c>
      <c r="P420" s="73">
        <v>3872.6427879961302</v>
      </c>
      <c r="Q420" s="74">
        <f>VLOOKUP(B420,Readme!A$40:C$51,2,)*P420</f>
        <v>13321.891190706689</v>
      </c>
    </row>
    <row r="421" spans="1:17" ht="12" customHeight="1" x14ac:dyDescent="0.35">
      <c r="A421" s="75">
        <v>420</v>
      </c>
      <c r="B421" s="64">
        <v>2011</v>
      </c>
      <c r="C421" s="64">
        <v>10</v>
      </c>
      <c r="D421" s="80">
        <f t="shared" si="15"/>
        <v>2011</v>
      </c>
      <c r="E421" t="s">
        <v>38</v>
      </c>
      <c r="F421" t="s">
        <v>143</v>
      </c>
      <c r="G421" t="s">
        <v>10</v>
      </c>
      <c r="H421" s="72" t="s">
        <v>209</v>
      </c>
      <c r="I421" s="72" t="s">
        <v>51</v>
      </c>
      <c r="J421" t="str">
        <f t="shared" si="16"/>
        <v>Nisqually River</v>
      </c>
      <c r="K421" t="str">
        <f>IFERROR(VLOOKUP(J421,LUTs!$A$1:$C$73,2,FALSE),"NA")</f>
        <v>Thurston/Pierce</v>
      </c>
      <c r="L421" t="str">
        <f>IFERROR(VLOOKUP(J421,LUTs!$A$1:$C$73,3,FALSE),"NA")</f>
        <v>3South Puget Sound</v>
      </c>
      <c r="M421" s="72" t="s">
        <v>18</v>
      </c>
      <c r="N421" t="str">
        <f>VLOOKUP(M421,LUTs!E$2:H$14,3,)</f>
        <v>06King</v>
      </c>
      <c r="O421" t="str">
        <f>VLOOKUP(M421,LUTs!E$2:H$14,4,)</f>
        <v>02South Puget Sound</v>
      </c>
      <c r="P421" s="73">
        <v>161.72759856630799</v>
      </c>
      <c r="Q421" s="74">
        <f>VLOOKUP(B421,Readme!A$40:C$51,2,)*P421</f>
        <v>556.34293906809944</v>
      </c>
    </row>
    <row r="422" spans="1:17" ht="12" customHeight="1" x14ac:dyDescent="0.35">
      <c r="A422" s="75">
        <v>421</v>
      </c>
      <c r="B422" s="64">
        <v>2011</v>
      </c>
      <c r="C422" s="64">
        <v>10</v>
      </c>
      <c r="D422" s="80">
        <f t="shared" si="15"/>
        <v>2011</v>
      </c>
      <c r="E422" t="s">
        <v>38</v>
      </c>
      <c r="F422" t="s">
        <v>143</v>
      </c>
      <c r="G422" t="s">
        <v>10</v>
      </c>
      <c r="H422" s="72" t="s">
        <v>209</v>
      </c>
      <c r="I422" s="72" t="s">
        <v>51</v>
      </c>
      <c r="J422" t="str">
        <f t="shared" si="16"/>
        <v>Nisqually River</v>
      </c>
      <c r="K422" t="str">
        <f>IFERROR(VLOOKUP(J422,LUTs!$A$1:$C$73,2,FALSE),"NA")</f>
        <v>Thurston/Pierce</v>
      </c>
      <c r="L422" t="str">
        <f>IFERROR(VLOOKUP(J422,LUTs!$A$1:$C$73,3,FALSE),"NA")</f>
        <v>3South Puget Sound</v>
      </c>
      <c r="M422" s="72" t="s">
        <v>23</v>
      </c>
      <c r="N422" t="str">
        <f>VLOOKUP(M422,LUTs!E$2:H$14,3,)</f>
        <v>10Kitsap</v>
      </c>
      <c r="O422" t="str">
        <f>VLOOKUP(M422,LUTs!E$2:H$14,4,)</f>
        <v>02South Puget Sound</v>
      </c>
      <c r="P422" s="73">
        <v>7.3512544802867401</v>
      </c>
      <c r="Q422" s="74">
        <f>VLOOKUP(B422,Readme!A$40:C$51,2,)*P422</f>
        <v>25.288315412186385</v>
      </c>
    </row>
    <row r="423" spans="1:17" ht="12" customHeight="1" x14ac:dyDescent="0.35">
      <c r="A423" s="75">
        <v>422</v>
      </c>
      <c r="B423" s="64">
        <v>2011</v>
      </c>
      <c r="C423" s="64">
        <v>10</v>
      </c>
      <c r="D423" s="80">
        <f t="shared" si="15"/>
        <v>2011</v>
      </c>
      <c r="E423" t="s">
        <v>38</v>
      </c>
      <c r="F423" t="s">
        <v>143</v>
      </c>
      <c r="G423" t="s">
        <v>10</v>
      </c>
      <c r="H423" s="72" t="s">
        <v>209</v>
      </c>
      <c r="I423" s="72" t="s">
        <v>51</v>
      </c>
      <c r="J423" t="str">
        <f t="shared" si="16"/>
        <v>Nisqually River</v>
      </c>
      <c r="K423" t="str">
        <f>IFERROR(VLOOKUP(J423,LUTs!$A$1:$C$73,2,FALSE),"NA")</f>
        <v>Thurston/Pierce</v>
      </c>
      <c r="L423" t="str">
        <f>IFERROR(VLOOKUP(J423,LUTs!$A$1:$C$73,3,FALSE),"NA")</f>
        <v>3South Puget Sound</v>
      </c>
      <c r="M423" s="72" t="s">
        <v>26</v>
      </c>
      <c r="N423" t="str">
        <f>VLOOKUP(M423,LUTs!E$2:H$14,3,)</f>
        <v>20Other</v>
      </c>
      <c r="O423" t="str">
        <f>VLOOKUP(M423,LUTs!E$2:H$14,4,)</f>
        <v>07Non Puget Sound</v>
      </c>
      <c r="P423" s="73">
        <v>183.78136200716901</v>
      </c>
      <c r="Q423" s="74">
        <f>VLOOKUP(B423,Readme!A$40:C$51,2,)*P423</f>
        <v>632.20788530466143</v>
      </c>
    </row>
    <row r="424" spans="1:17" ht="12" customHeight="1" x14ac:dyDescent="0.35">
      <c r="A424" s="75">
        <v>423</v>
      </c>
      <c r="B424" s="64">
        <v>2011</v>
      </c>
      <c r="C424" s="64">
        <v>10</v>
      </c>
      <c r="D424" s="80">
        <f t="shared" si="15"/>
        <v>2011</v>
      </c>
      <c r="E424" t="s">
        <v>38</v>
      </c>
      <c r="F424" t="s">
        <v>143</v>
      </c>
      <c r="G424" t="s">
        <v>10</v>
      </c>
      <c r="H424" s="72" t="s">
        <v>209</v>
      </c>
      <c r="I424" s="72" t="s">
        <v>51</v>
      </c>
      <c r="J424" t="str">
        <f t="shared" si="16"/>
        <v>Nisqually River</v>
      </c>
      <c r="K424" t="str">
        <f>IFERROR(VLOOKUP(J424,LUTs!$A$1:$C$73,2,FALSE),"NA")</f>
        <v>Thurston/Pierce</v>
      </c>
      <c r="L424" t="str">
        <f>IFERROR(VLOOKUP(J424,LUTs!$A$1:$C$73,3,FALSE),"NA")</f>
        <v>3South Puget Sound</v>
      </c>
      <c r="M424" s="72" t="s">
        <v>20</v>
      </c>
      <c r="N424" t="str">
        <f>VLOOKUP(M424,LUTs!E$2:H$14,3,)</f>
        <v>07Pierce</v>
      </c>
      <c r="O424" t="str">
        <f>VLOOKUP(M424,LUTs!E$2:H$14,4,)</f>
        <v>02South Puget Sound</v>
      </c>
      <c r="P424" s="73">
        <v>860.09677419354898</v>
      </c>
      <c r="Q424" s="74">
        <f>VLOOKUP(B424,Readme!A$40:C$51,2,)*P424</f>
        <v>2958.7329032258085</v>
      </c>
    </row>
    <row r="425" spans="1:17" ht="12" customHeight="1" x14ac:dyDescent="0.35">
      <c r="A425" s="75">
        <v>424</v>
      </c>
      <c r="B425" s="64">
        <v>2011</v>
      </c>
      <c r="C425" s="64">
        <v>10</v>
      </c>
      <c r="D425" s="80">
        <f t="shared" si="15"/>
        <v>2011</v>
      </c>
      <c r="E425" t="s">
        <v>38</v>
      </c>
      <c r="F425" t="s">
        <v>143</v>
      </c>
      <c r="G425" t="s">
        <v>10</v>
      </c>
      <c r="H425" s="72" t="s">
        <v>209</v>
      </c>
      <c r="I425" s="72" t="s">
        <v>51</v>
      </c>
      <c r="J425" t="str">
        <f t="shared" si="16"/>
        <v>Nisqually River</v>
      </c>
      <c r="K425" t="str">
        <f>IFERROR(VLOOKUP(J425,LUTs!$A$1:$C$73,2,FALSE),"NA")</f>
        <v>Thurston/Pierce</v>
      </c>
      <c r="L425" t="str">
        <f>IFERROR(VLOOKUP(J425,LUTs!$A$1:$C$73,3,FALSE),"NA")</f>
        <v>3South Puget Sound</v>
      </c>
      <c r="M425" s="72" t="s">
        <v>15</v>
      </c>
      <c r="N425" t="str">
        <f>VLOOKUP(M425,LUTs!E$2:H$14,3,)</f>
        <v>02Skagit</v>
      </c>
      <c r="O425" t="str">
        <f>VLOOKUP(M425,LUTs!E$2:H$14,4,)</f>
        <v>01North Puget Sound</v>
      </c>
      <c r="P425" s="73">
        <v>7.3512544802867401</v>
      </c>
      <c r="Q425" s="74">
        <f>VLOOKUP(B425,Readme!A$40:C$51,2,)*P425</f>
        <v>25.288315412186385</v>
      </c>
    </row>
    <row r="426" spans="1:17" ht="12" customHeight="1" x14ac:dyDescent="0.35">
      <c r="A426" s="75">
        <v>425</v>
      </c>
      <c r="B426" s="64">
        <v>2011</v>
      </c>
      <c r="C426" s="64">
        <v>10</v>
      </c>
      <c r="D426" s="80">
        <f t="shared" si="15"/>
        <v>2011</v>
      </c>
      <c r="E426" t="s">
        <v>38</v>
      </c>
      <c r="F426" t="s">
        <v>143</v>
      </c>
      <c r="G426" t="s">
        <v>10</v>
      </c>
      <c r="H426" s="72" t="s">
        <v>209</v>
      </c>
      <c r="I426" s="72" t="s">
        <v>51</v>
      </c>
      <c r="J426" t="str">
        <f t="shared" si="16"/>
        <v>Nisqually River</v>
      </c>
      <c r="K426" t="str">
        <f>IFERROR(VLOOKUP(J426,LUTs!$A$1:$C$73,2,FALSE),"NA")</f>
        <v>Thurston/Pierce</v>
      </c>
      <c r="L426" t="str">
        <f>IFERROR(VLOOKUP(J426,LUTs!$A$1:$C$73,3,FALSE),"NA")</f>
        <v>3South Puget Sound</v>
      </c>
      <c r="M426" s="72" t="s">
        <v>21</v>
      </c>
      <c r="N426" t="str">
        <f>VLOOKUP(M426,LUTs!E$2:H$14,3,)</f>
        <v>08Thurston</v>
      </c>
      <c r="O426" t="str">
        <f>VLOOKUP(M426,LUTs!E$2:H$14,4,)</f>
        <v>02South Puget Sound</v>
      </c>
      <c r="P426" s="73">
        <v>830.69175627240202</v>
      </c>
      <c r="Q426" s="74">
        <f>VLOOKUP(B426,Readme!A$40:C$51,2,)*P426</f>
        <v>2857.5796415770628</v>
      </c>
    </row>
    <row r="427" spans="1:17" ht="12" customHeight="1" x14ac:dyDescent="0.35">
      <c r="A427" s="75">
        <v>426</v>
      </c>
      <c r="B427" s="64">
        <v>2011</v>
      </c>
      <c r="C427" s="64">
        <v>11</v>
      </c>
      <c r="D427" s="80">
        <f t="shared" si="15"/>
        <v>2011</v>
      </c>
      <c r="E427" t="s">
        <v>38</v>
      </c>
      <c r="F427" t="s">
        <v>143</v>
      </c>
      <c r="G427" t="s">
        <v>10</v>
      </c>
      <c r="H427" s="72" t="s">
        <v>209</v>
      </c>
      <c r="I427" s="72" t="s">
        <v>51</v>
      </c>
      <c r="J427" t="str">
        <f t="shared" si="16"/>
        <v>Nisqually River</v>
      </c>
      <c r="K427" t="str">
        <f>IFERROR(VLOOKUP(J427,LUTs!$A$1:$C$73,2,FALSE),"NA")</f>
        <v>Thurston/Pierce</v>
      </c>
      <c r="L427" t="str">
        <f>IFERROR(VLOOKUP(J427,LUTs!$A$1:$C$73,3,FALSE),"NA")</f>
        <v>3South Puget Sound</v>
      </c>
      <c r="M427" s="72" t="s">
        <v>18</v>
      </c>
      <c r="N427" t="str">
        <f>VLOOKUP(M427,LUTs!E$2:H$14,3,)</f>
        <v>06King</v>
      </c>
      <c r="O427" t="str">
        <f>VLOOKUP(M427,LUTs!E$2:H$14,4,)</f>
        <v>02South Puget Sound</v>
      </c>
      <c r="P427" s="73">
        <v>15</v>
      </c>
      <c r="Q427" s="74">
        <f>VLOOKUP(B427,Readme!A$40:C$51,2,)*P427</f>
        <v>51.6</v>
      </c>
    </row>
    <row r="428" spans="1:17" ht="12" customHeight="1" x14ac:dyDescent="0.35">
      <c r="A428" s="75">
        <v>427</v>
      </c>
      <c r="B428" s="64">
        <v>2011</v>
      </c>
      <c r="C428" s="64">
        <v>11</v>
      </c>
      <c r="D428" s="80">
        <f t="shared" si="15"/>
        <v>2011</v>
      </c>
      <c r="E428" t="s">
        <v>38</v>
      </c>
      <c r="F428" t="s">
        <v>143</v>
      </c>
      <c r="G428" t="s">
        <v>10</v>
      </c>
      <c r="H428" s="72" t="s">
        <v>209</v>
      </c>
      <c r="I428" s="72" t="s">
        <v>51</v>
      </c>
      <c r="J428" t="str">
        <f t="shared" si="16"/>
        <v>Nisqually River</v>
      </c>
      <c r="K428" t="str">
        <f>IFERROR(VLOOKUP(J428,LUTs!$A$1:$C$73,2,FALSE),"NA")</f>
        <v>Thurston/Pierce</v>
      </c>
      <c r="L428" t="str">
        <f>IFERROR(VLOOKUP(J428,LUTs!$A$1:$C$73,3,FALSE),"NA")</f>
        <v>3South Puget Sound</v>
      </c>
      <c r="M428" s="72" t="s">
        <v>22</v>
      </c>
      <c r="N428" t="str">
        <f>VLOOKUP(M428,LUTs!E$2:H$14,3,)</f>
        <v>09Mason</v>
      </c>
      <c r="O428" t="str">
        <f>VLOOKUP(M428,LUTs!E$2:H$14,4,)</f>
        <v>02South Puget Sound</v>
      </c>
      <c r="P428" s="73">
        <v>15</v>
      </c>
      <c r="Q428" s="74">
        <f>VLOOKUP(B428,Readme!A$40:C$51,2,)*P428</f>
        <v>51.6</v>
      </c>
    </row>
    <row r="429" spans="1:17" ht="12" customHeight="1" x14ac:dyDescent="0.35">
      <c r="A429" s="75">
        <v>428</v>
      </c>
      <c r="B429" s="64">
        <v>2011</v>
      </c>
      <c r="C429" s="64">
        <v>11</v>
      </c>
      <c r="D429" s="80">
        <f t="shared" si="15"/>
        <v>2011</v>
      </c>
      <c r="E429" t="s">
        <v>38</v>
      </c>
      <c r="F429" t="s">
        <v>143</v>
      </c>
      <c r="G429" t="s">
        <v>10</v>
      </c>
      <c r="H429" s="72" t="s">
        <v>209</v>
      </c>
      <c r="I429" s="72" t="s">
        <v>51</v>
      </c>
      <c r="J429" t="str">
        <f t="shared" si="16"/>
        <v>Nisqually River</v>
      </c>
      <c r="K429" t="str">
        <f>IFERROR(VLOOKUP(J429,LUTs!$A$1:$C$73,2,FALSE),"NA")</f>
        <v>Thurston/Pierce</v>
      </c>
      <c r="L429" t="str">
        <f>IFERROR(VLOOKUP(J429,LUTs!$A$1:$C$73,3,FALSE),"NA")</f>
        <v>3South Puget Sound</v>
      </c>
      <c r="M429" s="72" t="s">
        <v>20</v>
      </c>
      <c r="N429" t="str">
        <f>VLOOKUP(M429,LUTs!E$2:H$14,3,)</f>
        <v>07Pierce</v>
      </c>
      <c r="O429" t="str">
        <f>VLOOKUP(M429,LUTs!E$2:H$14,4,)</f>
        <v>02South Puget Sound</v>
      </c>
      <c r="P429" s="73">
        <v>22.5</v>
      </c>
      <c r="Q429" s="74">
        <f>VLOOKUP(B429,Readme!A$40:C$51,2,)*P429</f>
        <v>77.400000000000006</v>
      </c>
    </row>
    <row r="430" spans="1:17" ht="12" customHeight="1" x14ac:dyDescent="0.35">
      <c r="A430" s="75">
        <v>429</v>
      </c>
      <c r="B430" s="64">
        <v>2011</v>
      </c>
      <c r="C430" s="64">
        <v>11</v>
      </c>
      <c r="D430" s="80">
        <f t="shared" si="15"/>
        <v>2011</v>
      </c>
      <c r="E430" t="s">
        <v>38</v>
      </c>
      <c r="F430" t="s">
        <v>143</v>
      </c>
      <c r="G430" t="s">
        <v>10</v>
      </c>
      <c r="H430" s="72" t="s">
        <v>209</v>
      </c>
      <c r="I430" s="72" t="s">
        <v>51</v>
      </c>
      <c r="J430" t="str">
        <f t="shared" si="16"/>
        <v>Nisqually River</v>
      </c>
      <c r="K430" t="str">
        <f>IFERROR(VLOOKUP(J430,LUTs!$A$1:$C$73,2,FALSE),"NA")</f>
        <v>Thurston/Pierce</v>
      </c>
      <c r="L430" t="str">
        <f>IFERROR(VLOOKUP(J430,LUTs!$A$1:$C$73,3,FALSE),"NA")</f>
        <v>3South Puget Sound</v>
      </c>
      <c r="M430" s="72" t="s">
        <v>16</v>
      </c>
      <c r="N430" t="str">
        <f>VLOOKUP(M430,LUTs!E$2:H$14,3,)</f>
        <v>03Snohomish</v>
      </c>
      <c r="O430" t="str">
        <f>VLOOKUP(M430,LUTs!E$2:H$14,4,)</f>
        <v>01North Puget Sound</v>
      </c>
      <c r="P430" s="73">
        <v>30</v>
      </c>
      <c r="Q430" s="74">
        <f>VLOOKUP(B430,Readme!A$40:C$51,2,)*P430</f>
        <v>103.2</v>
      </c>
    </row>
    <row r="431" spans="1:17" ht="12" customHeight="1" x14ac:dyDescent="0.35">
      <c r="A431" s="75">
        <v>430</v>
      </c>
      <c r="B431" s="64">
        <v>2011</v>
      </c>
      <c r="C431" s="64">
        <v>11</v>
      </c>
      <c r="D431" s="80">
        <f t="shared" si="15"/>
        <v>2011</v>
      </c>
      <c r="E431" t="s">
        <v>38</v>
      </c>
      <c r="F431" t="s">
        <v>143</v>
      </c>
      <c r="G431" t="s">
        <v>10</v>
      </c>
      <c r="H431" s="72" t="s">
        <v>209</v>
      </c>
      <c r="I431" s="72" t="s">
        <v>51</v>
      </c>
      <c r="J431" t="str">
        <f t="shared" si="16"/>
        <v>Nisqually River</v>
      </c>
      <c r="K431" t="str">
        <f>IFERROR(VLOOKUP(J431,LUTs!$A$1:$C$73,2,FALSE),"NA")</f>
        <v>Thurston/Pierce</v>
      </c>
      <c r="L431" t="str">
        <f>IFERROR(VLOOKUP(J431,LUTs!$A$1:$C$73,3,FALSE),"NA")</f>
        <v>3South Puget Sound</v>
      </c>
      <c r="M431" s="72" t="s">
        <v>21</v>
      </c>
      <c r="N431" t="str">
        <f>VLOOKUP(M431,LUTs!E$2:H$14,3,)</f>
        <v>08Thurston</v>
      </c>
      <c r="O431" t="str">
        <f>VLOOKUP(M431,LUTs!E$2:H$14,4,)</f>
        <v>02South Puget Sound</v>
      </c>
      <c r="P431" s="73">
        <v>37.5</v>
      </c>
      <c r="Q431" s="74">
        <f>VLOOKUP(B431,Readme!A$40:C$51,2,)*P431</f>
        <v>129</v>
      </c>
    </row>
    <row r="432" spans="1:17" ht="12" customHeight="1" x14ac:dyDescent="0.35">
      <c r="A432" s="75">
        <v>431</v>
      </c>
      <c r="B432" s="64">
        <v>2011</v>
      </c>
      <c r="C432" s="64">
        <v>12</v>
      </c>
      <c r="D432" s="80">
        <f t="shared" si="15"/>
        <v>2011</v>
      </c>
      <c r="E432" t="s">
        <v>38</v>
      </c>
      <c r="F432" t="s">
        <v>143</v>
      </c>
      <c r="G432" t="s">
        <v>10</v>
      </c>
      <c r="H432" s="72" t="s">
        <v>209</v>
      </c>
      <c r="I432" s="72" t="s">
        <v>51</v>
      </c>
      <c r="J432" t="str">
        <f t="shared" si="16"/>
        <v>Nisqually River</v>
      </c>
      <c r="K432" t="str">
        <f>IFERROR(VLOOKUP(J432,LUTs!$A$1:$C$73,2,FALSE),"NA")</f>
        <v>Thurston/Pierce</v>
      </c>
      <c r="L432" t="str">
        <f>IFERROR(VLOOKUP(J432,LUTs!$A$1:$C$73,3,FALSE),"NA")</f>
        <v>3South Puget Sound</v>
      </c>
      <c r="M432" s="72" t="s">
        <v>18</v>
      </c>
      <c r="N432" t="str">
        <f>VLOOKUP(M432,LUTs!E$2:H$14,3,)</f>
        <v>06King</v>
      </c>
      <c r="O432" t="str">
        <f>VLOOKUP(M432,LUTs!E$2:H$14,4,)</f>
        <v>02South Puget Sound</v>
      </c>
      <c r="P432" s="73">
        <v>67.708609271523201</v>
      </c>
      <c r="Q432" s="74">
        <f>VLOOKUP(B432,Readme!A$40:C$51,2,)*P432</f>
        <v>232.91761589403981</v>
      </c>
    </row>
    <row r="433" spans="1:17" ht="12" customHeight="1" x14ac:dyDescent="0.35">
      <c r="A433" s="75">
        <v>432</v>
      </c>
      <c r="B433" s="64">
        <v>2011</v>
      </c>
      <c r="C433" s="64">
        <v>12</v>
      </c>
      <c r="D433" s="80">
        <f t="shared" si="15"/>
        <v>2011</v>
      </c>
      <c r="E433" t="s">
        <v>38</v>
      </c>
      <c r="F433" t="s">
        <v>143</v>
      </c>
      <c r="G433" t="s">
        <v>10</v>
      </c>
      <c r="H433" s="72" t="s">
        <v>209</v>
      </c>
      <c r="I433" s="72" t="s">
        <v>51</v>
      </c>
      <c r="J433" t="str">
        <f t="shared" si="16"/>
        <v>Nisqually River</v>
      </c>
      <c r="K433" t="str">
        <f>IFERROR(VLOOKUP(J433,LUTs!$A$1:$C$73,2,FALSE),"NA")</f>
        <v>Thurston/Pierce</v>
      </c>
      <c r="L433" t="str">
        <f>IFERROR(VLOOKUP(J433,LUTs!$A$1:$C$73,3,FALSE),"NA")</f>
        <v>3South Puget Sound</v>
      </c>
      <c r="M433" s="72" t="s">
        <v>26</v>
      </c>
      <c r="N433" t="str">
        <f>VLOOKUP(M433,LUTs!E$2:H$14,3,)</f>
        <v>20Other</v>
      </c>
      <c r="O433" t="str">
        <f>VLOOKUP(M433,LUTs!E$2:H$14,4,)</f>
        <v>07Non Puget Sound</v>
      </c>
      <c r="P433" s="73">
        <v>195.60264900662301</v>
      </c>
      <c r="Q433" s="74">
        <f>VLOOKUP(B433,Readme!A$40:C$51,2,)*P433</f>
        <v>672.87311258278316</v>
      </c>
    </row>
    <row r="434" spans="1:17" ht="12" customHeight="1" x14ac:dyDescent="0.35">
      <c r="A434" s="75">
        <v>433</v>
      </c>
      <c r="B434" s="64">
        <v>2011</v>
      </c>
      <c r="C434" s="64">
        <v>12</v>
      </c>
      <c r="D434" s="80">
        <f t="shared" si="15"/>
        <v>2011</v>
      </c>
      <c r="E434" t="s">
        <v>38</v>
      </c>
      <c r="F434" t="s">
        <v>143</v>
      </c>
      <c r="G434" t="s">
        <v>10</v>
      </c>
      <c r="H434" s="72" t="s">
        <v>209</v>
      </c>
      <c r="I434" s="72" t="s">
        <v>51</v>
      </c>
      <c r="J434" t="str">
        <f t="shared" si="16"/>
        <v>Nisqually River</v>
      </c>
      <c r="K434" t="str">
        <f>IFERROR(VLOOKUP(J434,LUTs!$A$1:$C$73,2,FALSE),"NA")</f>
        <v>Thurston/Pierce</v>
      </c>
      <c r="L434" t="str">
        <f>IFERROR(VLOOKUP(J434,LUTs!$A$1:$C$73,3,FALSE),"NA")</f>
        <v>3South Puget Sound</v>
      </c>
      <c r="M434" s="72" t="s">
        <v>20</v>
      </c>
      <c r="N434" t="str">
        <f>VLOOKUP(M434,LUTs!E$2:H$14,3,)</f>
        <v>07Pierce</v>
      </c>
      <c r="O434" t="str">
        <f>VLOOKUP(M434,LUTs!E$2:H$14,4,)</f>
        <v>02South Puget Sound</v>
      </c>
      <c r="P434" s="73">
        <v>1068.2913907284801</v>
      </c>
      <c r="Q434" s="74">
        <f>VLOOKUP(B434,Readme!A$40:C$51,2,)*P434</f>
        <v>3674.9223841059716</v>
      </c>
    </row>
    <row r="435" spans="1:17" ht="12" customHeight="1" x14ac:dyDescent="0.35">
      <c r="A435" s="75">
        <v>434</v>
      </c>
      <c r="B435" s="64">
        <v>2011</v>
      </c>
      <c r="C435" s="64">
        <v>12</v>
      </c>
      <c r="D435" s="80">
        <f t="shared" si="15"/>
        <v>2011</v>
      </c>
      <c r="E435" t="s">
        <v>38</v>
      </c>
      <c r="F435" t="s">
        <v>143</v>
      </c>
      <c r="G435" t="s">
        <v>10</v>
      </c>
      <c r="H435" s="72" t="s">
        <v>209</v>
      </c>
      <c r="I435" s="72" t="s">
        <v>51</v>
      </c>
      <c r="J435" t="str">
        <f t="shared" si="16"/>
        <v>Nisqually River</v>
      </c>
      <c r="K435" t="str">
        <f>IFERROR(VLOOKUP(J435,LUTs!$A$1:$C$73,2,FALSE),"NA")</f>
        <v>Thurston/Pierce</v>
      </c>
      <c r="L435" t="str">
        <f>IFERROR(VLOOKUP(J435,LUTs!$A$1:$C$73,3,FALSE),"NA")</f>
        <v>3South Puget Sound</v>
      </c>
      <c r="M435" s="72" t="s">
        <v>16</v>
      </c>
      <c r="N435" t="str">
        <f>VLOOKUP(M435,LUTs!E$2:H$14,3,)</f>
        <v>03Snohomish</v>
      </c>
      <c r="O435" t="str">
        <f>VLOOKUP(M435,LUTs!E$2:H$14,4,)</f>
        <v>01North Puget Sound</v>
      </c>
      <c r="P435" s="73">
        <v>22.5695364238411</v>
      </c>
      <c r="Q435" s="74">
        <f>VLOOKUP(B435,Readme!A$40:C$51,2,)*P435</f>
        <v>77.63920529801338</v>
      </c>
    </row>
    <row r="436" spans="1:17" ht="12" customHeight="1" x14ac:dyDescent="0.35">
      <c r="A436" s="75">
        <v>435</v>
      </c>
      <c r="B436" s="64">
        <v>2011</v>
      </c>
      <c r="C436" s="64">
        <v>12</v>
      </c>
      <c r="D436" s="80">
        <f t="shared" si="15"/>
        <v>2011</v>
      </c>
      <c r="E436" t="s">
        <v>38</v>
      </c>
      <c r="F436" t="s">
        <v>143</v>
      </c>
      <c r="G436" t="s">
        <v>10</v>
      </c>
      <c r="H436" s="72" t="s">
        <v>209</v>
      </c>
      <c r="I436" s="72" t="s">
        <v>51</v>
      </c>
      <c r="J436" t="str">
        <f t="shared" si="16"/>
        <v>Nisqually River</v>
      </c>
      <c r="K436" t="str">
        <f>IFERROR(VLOOKUP(J436,LUTs!$A$1:$C$73,2,FALSE),"NA")</f>
        <v>Thurston/Pierce</v>
      </c>
      <c r="L436" t="str">
        <f>IFERROR(VLOOKUP(J436,LUTs!$A$1:$C$73,3,FALSE),"NA")</f>
        <v>3South Puget Sound</v>
      </c>
      <c r="M436" s="72" t="s">
        <v>21</v>
      </c>
      <c r="N436" t="str">
        <f>VLOOKUP(M436,LUTs!E$2:H$14,3,)</f>
        <v>08Thurston</v>
      </c>
      <c r="O436" t="str">
        <f>VLOOKUP(M436,LUTs!E$2:H$14,4,)</f>
        <v>02South Puget Sound</v>
      </c>
      <c r="P436" s="73">
        <v>917.82781456953705</v>
      </c>
      <c r="Q436" s="74">
        <f>VLOOKUP(B436,Readme!A$40:C$51,2,)*P436</f>
        <v>3157.3276821192076</v>
      </c>
    </row>
    <row r="437" spans="1:17" ht="12" customHeight="1" x14ac:dyDescent="0.35">
      <c r="A437" s="75">
        <v>436</v>
      </c>
      <c r="B437" s="64">
        <v>2012</v>
      </c>
      <c r="C437" s="64">
        <v>1</v>
      </c>
      <c r="D437" s="80">
        <f t="shared" si="15"/>
        <v>2011</v>
      </c>
      <c r="E437" t="s">
        <v>38</v>
      </c>
      <c r="F437" t="s">
        <v>143</v>
      </c>
      <c r="G437" t="s">
        <v>10</v>
      </c>
      <c r="H437" s="72" t="s">
        <v>209</v>
      </c>
      <c r="I437" s="72" t="s">
        <v>51</v>
      </c>
      <c r="J437" t="str">
        <f t="shared" si="16"/>
        <v>Nisqually River</v>
      </c>
      <c r="K437" t="str">
        <f>IFERROR(VLOOKUP(J437,LUTs!$A$1:$C$73,2,FALSE),"NA")</f>
        <v>Thurston/Pierce</v>
      </c>
      <c r="L437" t="str">
        <f>IFERROR(VLOOKUP(J437,LUTs!$A$1:$C$73,3,FALSE),"NA")</f>
        <v>3South Puget Sound</v>
      </c>
      <c r="M437" s="72" t="s">
        <v>23</v>
      </c>
      <c r="N437" t="str">
        <f>VLOOKUP(M437,LUTs!E$2:H$14,3,)</f>
        <v>10Kitsap</v>
      </c>
      <c r="O437" t="str">
        <f>VLOOKUP(M437,LUTs!E$2:H$14,4,)</f>
        <v>02South Puget Sound</v>
      </c>
      <c r="P437" s="73">
        <v>7.5319148936170199</v>
      </c>
      <c r="Q437" s="74">
        <f>VLOOKUP(B437,Readme!A$40:C$51,2,)*P437</f>
        <v>65.151063829787219</v>
      </c>
    </row>
    <row r="438" spans="1:17" ht="12" customHeight="1" x14ac:dyDescent="0.35">
      <c r="A438" s="75">
        <v>437</v>
      </c>
      <c r="B438" s="64">
        <v>2012</v>
      </c>
      <c r="C438" s="64">
        <v>1</v>
      </c>
      <c r="D438" s="80">
        <f t="shared" si="15"/>
        <v>2011</v>
      </c>
      <c r="E438" t="s">
        <v>38</v>
      </c>
      <c r="F438" t="s">
        <v>143</v>
      </c>
      <c r="G438" t="s">
        <v>10</v>
      </c>
      <c r="H438" s="72" t="s">
        <v>209</v>
      </c>
      <c r="I438" s="72" t="s">
        <v>51</v>
      </c>
      <c r="J438" t="str">
        <f t="shared" si="16"/>
        <v>Nisqually River</v>
      </c>
      <c r="K438" t="str">
        <f>IFERROR(VLOOKUP(J438,LUTs!$A$1:$C$73,2,FALSE),"NA")</f>
        <v>Thurston/Pierce</v>
      </c>
      <c r="L438" t="str">
        <f>IFERROR(VLOOKUP(J438,LUTs!$A$1:$C$73,3,FALSE),"NA")</f>
        <v>3South Puget Sound</v>
      </c>
      <c r="M438" s="72" t="s">
        <v>26</v>
      </c>
      <c r="N438" t="str">
        <f>VLOOKUP(M438,LUTs!E$2:H$14,3,)</f>
        <v>20Other</v>
      </c>
      <c r="O438" t="str">
        <f>VLOOKUP(M438,LUTs!E$2:H$14,4,)</f>
        <v>07Non Puget Sound</v>
      </c>
      <c r="P438" s="73">
        <v>37.659574468085097</v>
      </c>
      <c r="Q438" s="74">
        <f>VLOOKUP(B438,Readme!A$40:C$51,2,)*P438</f>
        <v>325.75531914893611</v>
      </c>
    </row>
    <row r="439" spans="1:17" ht="12" customHeight="1" x14ac:dyDescent="0.35">
      <c r="A439" s="75">
        <v>438</v>
      </c>
      <c r="B439" s="64">
        <v>2012</v>
      </c>
      <c r="C439" s="64">
        <v>1</v>
      </c>
      <c r="D439" s="80">
        <f t="shared" si="15"/>
        <v>2011</v>
      </c>
      <c r="E439" t="s">
        <v>38</v>
      </c>
      <c r="F439" t="s">
        <v>143</v>
      </c>
      <c r="G439" t="s">
        <v>10</v>
      </c>
      <c r="H439" s="72" t="s">
        <v>209</v>
      </c>
      <c r="I439" s="72" t="s">
        <v>51</v>
      </c>
      <c r="J439" t="str">
        <f t="shared" si="16"/>
        <v>Nisqually River</v>
      </c>
      <c r="K439" t="str">
        <f>IFERROR(VLOOKUP(J439,LUTs!$A$1:$C$73,2,FALSE),"NA")</f>
        <v>Thurston/Pierce</v>
      </c>
      <c r="L439" t="str">
        <f>IFERROR(VLOOKUP(J439,LUTs!$A$1:$C$73,3,FALSE),"NA")</f>
        <v>3South Puget Sound</v>
      </c>
      <c r="M439" s="72" t="s">
        <v>20</v>
      </c>
      <c r="N439" t="str">
        <f>VLOOKUP(M439,LUTs!E$2:H$14,3,)</f>
        <v>07Pierce</v>
      </c>
      <c r="O439" t="str">
        <f>VLOOKUP(M439,LUTs!E$2:H$14,4,)</f>
        <v>02South Puget Sound</v>
      </c>
      <c r="P439" s="73">
        <v>82.851063829787293</v>
      </c>
      <c r="Q439" s="74">
        <f>VLOOKUP(B439,Readme!A$40:C$51,2,)*P439</f>
        <v>716.66170212766008</v>
      </c>
    </row>
    <row r="440" spans="1:17" ht="12" customHeight="1" x14ac:dyDescent="0.35">
      <c r="A440" s="75">
        <v>439</v>
      </c>
      <c r="B440" s="64">
        <v>2012</v>
      </c>
      <c r="C440" s="64">
        <v>1</v>
      </c>
      <c r="D440" s="80">
        <f t="shared" si="15"/>
        <v>2011</v>
      </c>
      <c r="E440" t="s">
        <v>38</v>
      </c>
      <c r="F440" t="s">
        <v>143</v>
      </c>
      <c r="G440" t="s">
        <v>10</v>
      </c>
      <c r="H440" s="72" t="s">
        <v>209</v>
      </c>
      <c r="I440" s="72" t="s">
        <v>51</v>
      </c>
      <c r="J440" t="str">
        <f t="shared" si="16"/>
        <v>Nisqually River</v>
      </c>
      <c r="K440" t="str">
        <f>IFERROR(VLOOKUP(J440,LUTs!$A$1:$C$73,2,FALSE),"NA")</f>
        <v>Thurston/Pierce</v>
      </c>
      <c r="L440" t="str">
        <f>IFERROR(VLOOKUP(J440,LUTs!$A$1:$C$73,3,FALSE),"NA")</f>
        <v>3South Puget Sound</v>
      </c>
      <c r="M440" s="72" t="s">
        <v>21</v>
      </c>
      <c r="N440" t="str">
        <f>VLOOKUP(M440,LUTs!E$2:H$14,3,)</f>
        <v>08Thurston</v>
      </c>
      <c r="O440" t="str">
        <f>VLOOKUP(M440,LUTs!E$2:H$14,4,)</f>
        <v>02South Puget Sound</v>
      </c>
      <c r="P440" s="73">
        <v>225.95744680851101</v>
      </c>
      <c r="Q440" s="74">
        <f>VLOOKUP(B440,Readme!A$40:C$51,2,)*P440</f>
        <v>1954.5319148936203</v>
      </c>
    </row>
    <row r="441" spans="1:17" ht="12" customHeight="1" x14ac:dyDescent="0.35">
      <c r="A441" s="75">
        <v>440</v>
      </c>
      <c r="B441" s="64">
        <v>2011</v>
      </c>
      <c r="C441" s="64">
        <v>8</v>
      </c>
      <c r="D441" s="80">
        <f t="shared" si="15"/>
        <v>2011</v>
      </c>
      <c r="E441" t="s">
        <v>38</v>
      </c>
      <c r="F441" t="s">
        <v>143</v>
      </c>
      <c r="G441" t="s">
        <v>10</v>
      </c>
      <c r="H441" s="72" t="s">
        <v>210</v>
      </c>
      <c r="I441" s="72" t="s">
        <v>52</v>
      </c>
      <c r="J441" t="str">
        <f t="shared" si="16"/>
        <v>Nooksack River</v>
      </c>
      <c r="K441" t="str">
        <f>IFERROR(VLOOKUP(J441,LUTs!$A$1:$C$73,2,FALSE),"NA")</f>
        <v>Whatcom</v>
      </c>
      <c r="L441" t="str">
        <f>IFERROR(VLOOKUP(J441,LUTs!$A$1:$C$73,3,FALSE),"NA")</f>
        <v>1North Puget Sound</v>
      </c>
      <c r="M441" s="72" t="s">
        <v>26</v>
      </c>
      <c r="N441" t="str">
        <f>VLOOKUP(M441,LUTs!E$2:H$14,3,)</f>
        <v>20Other</v>
      </c>
      <c r="O441" t="str">
        <f>VLOOKUP(M441,LUTs!E$2:H$14,4,)</f>
        <v>07Non Puget Sound</v>
      </c>
      <c r="P441" s="73">
        <v>36.153846153846203</v>
      </c>
      <c r="Q441" s="74">
        <f>VLOOKUP(B441,Readme!A$40:C$51,2,)*P441</f>
        <v>124.36923076923094</v>
      </c>
    </row>
    <row r="442" spans="1:17" ht="12" customHeight="1" x14ac:dyDescent="0.35">
      <c r="A442" s="75">
        <v>441</v>
      </c>
      <c r="B442" s="64">
        <v>2011</v>
      </c>
      <c r="C442" s="64">
        <v>8</v>
      </c>
      <c r="D442" s="80">
        <f t="shared" si="15"/>
        <v>2011</v>
      </c>
      <c r="E442" t="s">
        <v>38</v>
      </c>
      <c r="F442" t="s">
        <v>143</v>
      </c>
      <c r="G442" t="s">
        <v>10</v>
      </c>
      <c r="H442" s="72" t="s">
        <v>210</v>
      </c>
      <c r="I442" s="72" t="s">
        <v>52</v>
      </c>
      <c r="J442" t="str">
        <f t="shared" si="16"/>
        <v>Nooksack River</v>
      </c>
      <c r="K442" t="str">
        <f>IFERROR(VLOOKUP(J442,LUTs!$A$1:$C$73,2,FALSE),"NA")</f>
        <v>Whatcom</v>
      </c>
      <c r="L442" t="str">
        <f>IFERROR(VLOOKUP(J442,LUTs!$A$1:$C$73,3,FALSE),"NA")</f>
        <v>1North Puget Sound</v>
      </c>
      <c r="M442" s="72" t="s">
        <v>13</v>
      </c>
      <c r="N442" t="str">
        <f>VLOOKUP(M442,LUTs!E$2:H$14,3,)</f>
        <v>01Whatcom</v>
      </c>
      <c r="O442" t="str">
        <f>VLOOKUP(M442,LUTs!E$2:H$14,4,)</f>
        <v>01North Puget Sound</v>
      </c>
      <c r="P442" s="73">
        <v>433.84615384615398</v>
      </c>
      <c r="Q442" s="74">
        <f>VLOOKUP(B442,Readme!A$40:C$51,2,)*P442</f>
        <v>1492.4307692307698</v>
      </c>
    </row>
    <row r="443" spans="1:17" ht="12" customHeight="1" x14ac:dyDescent="0.35">
      <c r="A443" s="75">
        <v>442</v>
      </c>
      <c r="B443" s="64">
        <v>2011</v>
      </c>
      <c r="C443" s="64">
        <v>9</v>
      </c>
      <c r="D443" s="80">
        <f t="shared" si="15"/>
        <v>2011</v>
      </c>
      <c r="E443" t="s">
        <v>38</v>
      </c>
      <c r="F443" t="s">
        <v>143</v>
      </c>
      <c r="G443" t="s">
        <v>10</v>
      </c>
      <c r="H443" s="72" t="s">
        <v>210</v>
      </c>
      <c r="I443" s="72" t="s">
        <v>52</v>
      </c>
      <c r="J443" t="str">
        <f t="shared" si="16"/>
        <v>Nooksack River</v>
      </c>
      <c r="K443" t="str">
        <f>IFERROR(VLOOKUP(J443,LUTs!$A$1:$C$73,2,FALSE),"NA")</f>
        <v>Whatcom</v>
      </c>
      <c r="L443" t="str">
        <f>IFERROR(VLOOKUP(J443,LUTs!$A$1:$C$73,3,FALSE),"NA")</f>
        <v>1North Puget Sound</v>
      </c>
      <c r="M443" s="72" t="s">
        <v>26</v>
      </c>
      <c r="N443" t="str">
        <f>VLOOKUP(M443,LUTs!E$2:H$14,3,)</f>
        <v>20Other</v>
      </c>
      <c r="O443" t="str">
        <f>VLOOKUP(M443,LUTs!E$2:H$14,4,)</f>
        <v>07Non Puget Sound</v>
      </c>
      <c r="P443" s="73">
        <v>14.48</v>
      </c>
      <c r="Q443" s="74">
        <f>VLOOKUP(B443,Readme!A$40:C$51,2,)*P443</f>
        <v>49.811199999999999</v>
      </c>
    </row>
    <row r="444" spans="1:17" ht="12" customHeight="1" x14ac:dyDescent="0.35">
      <c r="A444" s="75">
        <v>443</v>
      </c>
      <c r="B444" s="64">
        <v>2011</v>
      </c>
      <c r="C444" s="64">
        <v>9</v>
      </c>
      <c r="D444" s="80">
        <f t="shared" si="15"/>
        <v>2011</v>
      </c>
      <c r="E444" t="s">
        <v>38</v>
      </c>
      <c r="F444" t="s">
        <v>143</v>
      </c>
      <c r="G444" t="s">
        <v>10</v>
      </c>
      <c r="H444" s="72" t="s">
        <v>210</v>
      </c>
      <c r="I444" s="72" t="s">
        <v>52</v>
      </c>
      <c r="J444" t="str">
        <f t="shared" si="16"/>
        <v>Nooksack River</v>
      </c>
      <c r="K444" t="str">
        <f>IFERROR(VLOOKUP(J444,LUTs!$A$1:$C$73,2,FALSE),"NA")</f>
        <v>Whatcom</v>
      </c>
      <c r="L444" t="str">
        <f>IFERROR(VLOOKUP(J444,LUTs!$A$1:$C$73,3,FALSE),"NA")</f>
        <v>1North Puget Sound</v>
      </c>
      <c r="M444" s="72" t="s">
        <v>13</v>
      </c>
      <c r="N444" t="str">
        <f>VLOOKUP(M444,LUTs!E$2:H$14,3,)</f>
        <v>01Whatcom</v>
      </c>
      <c r="O444" t="str">
        <f>VLOOKUP(M444,LUTs!E$2:H$14,4,)</f>
        <v>01North Puget Sound</v>
      </c>
      <c r="P444" s="73">
        <v>528.52</v>
      </c>
      <c r="Q444" s="74">
        <f>VLOOKUP(B444,Readme!A$40:C$51,2,)*P444</f>
        <v>1818.1088</v>
      </c>
    </row>
    <row r="445" spans="1:17" ht="12" customHeight="1" x14ac:dyDescent="0.35">
      <c r="A445" s="75">
        <v>444</v>
      </c>
      <c r="B445" s="64">
        <v>2011</v>
      </c>
      <c r="C445" s="64">
        <v>10</v>
      </c>
      <c r="D445" s="80">
        <f t="shared" si="15"/>
        <v>2011</v>
      </c>
      <c r="E445" t="s">
        <v>38</v>
      </c>
      <c r="F445" t="s">
        <v>143</v>
      </c>
      <c r="G445" t="s">
        <v>10</v>
      </c>
      <c r="H445" s="72" t="s">
        <v>210</v>
      </c>
      <c r="I445" s="72" t="s">
        <v>52</v>
      </c>
      <c r="J445" t="str">
        <f t="shared" si="16"/>
        <v>Nooksack River</v>
      </c>
      <c r="K445" t="str">
        <f>IFERROR(VLOOKUP(J445,LUTs!$A$1:$C$73,2,FALSE),"NA")</f>
        <v>Whatcom</v>
      </c>
      <c r="L445" t="str">
        <f>IFERROR(VLOOKUP(J445,LUTs!$A$1:$C$73,3,FALSE),"NA")</f>
        <v>1North Puget Sound</v>
      </c>
      <c r="M445" s="72" t="s">
        <v>18</v>
      </c>
      <c r="N445" t="str">
        <f>VLOOKUP(M445,LUTs!E$2:H$14,3,)</f>
        <v>06King</v>
      </c>
      <c r="O445" t="str">
        <f>VLOOKUP(M445,LUTs!E$2:H$14,4,)</f>
        <v>02South Puget Sound</v>
      </c>
      <c r="P445" s="73">
        <v>14.4458598726115</v>
      </c>
      <c r="Q445" s="74">
        <f>VLOOKUP(B445,Readme!A$40:C$51,2,)*P445</f>
        <v>49.693757961783561</v>
      </c>
    </row>
    <row r="446" spans="1:17" ht="12" customHeight="1" x14ac:dyDescent="0.35">
      <c r="A446" s="75">
        <v>445</v>
      </c>
      <c r="B446" s="64">
        <v>2011</v>
      </c>
      <c r="C446" s="64">
        <v>10</v>
      </c>
      <c r="D446" s="80">
        <f t="shared" si="15"/>
        <v>2011</v>
      </c>
      <c r="E446" t="s">
        <v>38</v>
      </c>
      <c r="F446" t="s">
        <v>143</v>
      </c>
      <c r="G446" t="s">
        <v>10</v>
      </c>
      <c r="H446" s="72" t="s">
        <v>210</v>
      </c>
      <c r="I446" s="72" t="s">
        <v>52</v>
      </c>
      <c r="J446" t="str">
        <f t="shared" si="16"/>
        <v>Nooksack River</v>
      </c>
      <c r="K446" t="str">
        <f>IFERROR(VLOOKUP(J446,LUTs!$A$1:$C$73,2,FALSE),"NA")</f>
        <v>Whatcom</v>
      </c>
      <c r="L446" t="str">
        <f>IFERROR(VLOOKUP(J446,LUTs!$A$1:$C$73,3,FALSE),"NA")</f>
        <v>1North Puget Sound</v>
      </c>
      <c r="M446" s="72" t="s">
        <v>26</v>
      </c>
      <c r="N446" t="str">
        <f>VLOOKUP(M446,LUTs!E$2:H$14,3,)</f>
        <v>20Other</v>
      </c>
      <c r="O446" t="str">
        <f>VLOOKUP(M446,LUTs!E$2:H$14,4,)</f>
        <v>07Non Puget Sound</v>
      </c>
      <c r="P446" s="73">
        <v>14.4458598726115</v>
      </c>
      <c r="Q446" s="74">
        <f>VLOOKUP(B446,Readme!A$40:C$51,2,)*P446</f>
        <v>49.693757961783561</v>
      </c>
    </row>
    <row r="447" spans="1:17" ht="12" customHeight="1" x14ac:dyDescent="0.35">
      <c r="A447" s="75">
        <v>446</v>
      </c>
      <c r="B447" s="64">
        <v>2011</v>
      </c>
      <c r="C447" s="64">
        <v>10</v>
      </c>
      <c r="D447" s="80">
        <f t="shared" si="15"/>
        <v>2011</v>
      </c>
      <c r="E447" t="s">
        <v>38</v>
      </c>
      <c r="F447" t="s">
        <v>143</v>
      </c>
      <c r="G447" t="s">
        <v>10</v>
      </c>
      <c r="H447" s="72" t="s">
        <v>210</v>
      </c>
      <c r="I447" s="72" t="s">
        <v>52</v>
      </c>
      <c r="J447" t="str">
        <f t="shared" si="16"/>
        <v>Nooksack River</v>
      </c>
      <c r="K447" t="str">
        <f>IFERROR(VLOOKUP(J447,LUTs!$A$1:$C$73,2,FALSE),"NA")</f>
        <v>Whatcom</v>
      </c>
      <c r="L447" t="str">
        <f>IFERROR(VLOOKUP(J447,LUTs!$A$1:$C$73,3,FALSE),"NA")</f>
        <v>1North Puget Sound</v>
      </c>
      <c r="M447" s="72" t="s">
        <v>13</v>
      </c>
      <c r="N447" t="str">
        <f>VLOOKUP(M447,LUTs!E$2:H$14,3,)</f>
        <v>01Whatcom</v>
      </c>
      <c r="O447" t="str">
        <f>VLOOKUP(M447,LUTs!E$2:H$14,4,)</f>
        <v>01North Puget Sound</v>
      </c>
      <c r="P447" s="73">
        <v>1105.1082802547801</v>
      </c>
      <c r="Q447" s="74">
        <f>VLOOKUP(B447,Readme!A$40:C$51,2,)*P447</f>
        <v>3801.5724840764433</v>
      </c>
    </row>
    <row r="448" spans="1:17" ht="12" customHeight="1" x14ac:dyDescent="0.35">
      <c r="A448" s="75">
        <v>447</v>
      </c>
      <c r="B448" s="64">
        <v>2011</v>
      </c>
      <c r="C448" s="64">
        <v>11</v>
      </c>
      <c r="D448" s="80">
        <f t="shared" si="15"/>
        <v>2011</v>
      </c>
      <c r="E448" t="s">
        <v>38</v>
      </c>
      <c r="F448" t="s">
        <v>143</v>
      </c>
      <c r="G448" t="s">
        <v>10</v>
      </c>
      <c r="H448" s="72" t="s">
        <v>210</v>
      </c>
      <c r="I448" s="72" t="s">
        <v>52</v>
      </c>
      <c r="J448" t="str">
        <f t="shared" si="16"/>
        <v>Nooksack River</v>
      </c>
      <c r="K448" t="str">
        <f>IFERROR(VLOOKUP(J448,LUTs!$A$1:$C$73,2,FALSE),"NA")</f>
        <v>Whatcom</v>
      </c>
      <c r="L448" t="str">
        <f>IFERROR(VLOOKUP(J448,LUTs!$A$1:$C$73,3,FALSE),"NA")</f>
        <v>1North Puget Sound</v>
      </c>
      <c r="M448" s="72" t="s">
        <v>17</v>
      </c>
      <c r="N448" t="str">
        <f>VLOOKUP(M448,LUTs!E$2:H$14,3,)</f>
        <v>04Island</v>
      </c>
      <c r="O448" t="str">
        <f>VLOOKUP(M448,LUTs!E$2:H$14,4,)</f>
        <v>01North Puget Sound</v>
      </c>
      <c r="P448" s="73">
        <v>50.489361702127702</v>
      </c>
      <c r="Q448" s="74">
        <f>VLOOKUP(B448,Readme!A$40:C$51,2,)*P448</f>
        <v>173.68340425531929</v>
      </c>
    </row>
    <row r="449" spans="1:17" ht="12" customHeight="1" x14ac:dyDescent="0.35">
      <c r="A449" s="75">
        <v>448</v>
      </c>
      <c r="B449" s="64">
        <v>2011</v>
      </c>
      <c r="C449" s="64">
        <v>11</v>
      </c>
      <c r="D449" s="80">
        <f t="shared" si="15"/>
        <v>2011</v>
      </c>
      <c r="E449" t="s">
        <v>38</v>
      </c>
      <c r="F449" t="s">
        <v>143</v>
      </c>
      <c r="G449" t="s">
        <v>10</v>
      </c>
      <c r="H449" s="72" t="s">
        <v>210</v>
      </c>
      <c r="I449" s="72" t="s">
        <v>52</v>
      </c>
      <c r="J449" t="str">
        <f t="shared" si="16"/>
        <v>Nooksack River</v>
      </c>
      <c r="K449" t="str">
        <f>IFERROR(VLOOKUP(J449,LUTs!$A$1:$C$73,2,FALSE),"NA")</f>
        <v>Whatcom</v>
      </c>
      <c r="L449" t="str">
        <f>IFERROR(VLOOKUP(J449,LUTs!$A$1:$C$73,3,FALSE),"NA")</f>
        <v>1North Puget Sound</v>
      </c>
      <c r="M449" s="72" t="s">
        <v>18</v>
      </c>
      <c r="N449" t="str">
        <f>VLOOKUP(M449,LUTs!E$2:H$14,3,)</f>
        <v>06King</v>
      </c>
      <c r="O449" t="str">
        <f>VLOOKUP(M449,LUTs!E$2:H$14,4,)</f>
        <v>02South Puget Sound</v>
      </c>
      <c r="P449" s="73">
        <v>7.2127659574468099</v>
      </c>
      <c r="Q449" s="74">
        <f>VLOOKUP(B449,Readme!A$40:C$51,2,)*P449</f>
        <v>24.811914893617026</v>
      </c>
    </row>
    <row r="450" spans="1:17" ht="12" customHeight="1" x14ac:dyDescent="0.35">
      <c r="A450" s="75">
        <v>449</v>
      </c>
      <c r="B450" s="64">
        <v>2011</v>
      </c>
      <c r="C450" s="64">
        <v>11</v>
      </c>
      <c r="D450" s="80">
        <f t="shared" ref="D450:D513" si="17">IF(C450&gt;3,B450,B450-1)</f>
        <v>2011</v>
      </c>
      <c r="E450" t="s">
        <v>38</v>
      </c>
      <c r="F450" t="s">
        <v>143</v>
      </c>
      <c r="G450" t="s">
        <v>10</v>
      </c>
      <c r="H450" s="72" t="s">
        <v>210</v>
      </c>
      <c r="I450" s="72" t="s">
        <v>52</v>
      </c>
      <c r="J450" t="str">
        <f t="shared" si="16"/>
        <v>Nooksack River</v>
      </c>
      <c r="K450" t="str">
        <f>IFERROR(VLOOKUP(J450,LUTs!$A$1:$C$73,2,FALSE),"NA")</f>
        <v>Whatcom</v>
      </c>
      <c r="L450" t="str">
        <f>IFERROR(VLOOKUP(J450,LUTs!$A$1:$C$73,3,FALSE),"NA")</f>
        <v>1North Puget Sound</v>
      </c>
      <c r="M450" s="72" t="s">
        <v>26</v>
      </c>
      <c r="N450" t="str">
        <f>VLOOKUP(M450,LUTs!E$2:H$14,3,)</f>
        <v>20Other</v>
      </c>
      <c r="O450" t="str">
        <f>VLOOKUP(M450,LUTs!E$2:H$14,4,)</f>
        <v>07Non Puget Sound</v>
      </c>
      <c r="P450" s="73">
        <v>14.4255319148936</v>
      </c>
      <c r="Q450" s="74">
        <f>VLOOKUP(B450,Readme!A$40:C$51,2,)*P450</f>
        <v>49.623829787233987</v>
      </c>
    </row>
    <row r="451" spans="1:17" ht="12" customHeight="1" x14ac:dyDescent="0.35">
      <c r="A451" s="75">
        <v>450</v>
      </c>
      <c r="B451" s="64">
        <v>2011</v>
      </c>
      <c r="C451" s="64">
        <v>11</v>
      </c>
      <c r="D451" s="80">
        <f t="shared" si="17"/>
        <v>2011</v>
      </c>
      <c r="E451" t="s">
        <v>38</v>
      </c>
      <c r="F451" t="s">
        <v>143</v>
      </c>
      <c r="G451" t="s">
        <v>10</v>
      </c>
      <c r="H451" s="72" t="s">
        <v>210</v>
      </c>
      <c r="I451" s="72" t="s">
        <v>52</v>
      </c>
      <c r="J451" t="str">
        <f t="shared" ref="J451:J514" si="18">I451</f>
        <v>Nooksack River</v>
      </c>
      <c r="K451" t="str">
        <f>IFERROR(VLOOKUP(J451,LUTs!$A$1:$C$73,2,FALSE),"NA")</f>
        <v>Whatcom</v>
      </c>
      <c r="L451" t="str">
        <f>IFERROR(VLOOKUP(J451,LUTs!$A$1:$C$73,3,FALSE),"NA")</f>
        <v>1North Puget Sound</v>
      </c>
      <c r="M451" s="72" t="s">
        <v>13</v>
      </c>
      <c r="N451" t="str">
        <f>VLOOKUP(M451,LUTs!E$2:H$14,3,)</f>
        <v>01Whatcom</v>
      </c>
      <c r="O451" t="str">
        <f>VLOOKUP(M451,LUTs!E$2:H$14,4,)</f>
        <v>01North Puget Sound</v>
      </c>
      <c r="P451" s="73">
        <v>266.872340425532</v>
      </c>
      <c r="Q451" s="74">
        <f>VLOOKUP(B451,Readme!A$40:C$51,2,)*P451</f>
        <v>918.04085106383002</v>
      </c>
    </row>
    <row r="452" spans="1:17" ht="12" customHeight="1" x14ac:dyDescent="0.35">
      <c r="A452" s="75">
        <v>451</v>
      </c>
      <c r="B452" s="64">
        <v>2011</v>
      </c>
      <c r="C452" s="64">
        <v>12</v>
      </c>
      <c r="D452" s="80">
        <f t="shared" si="17"/>
        <v>2011</v>
      </c>
      <c r="E452" t="s">
        <v>38</v>
      </c>
      <c r="F452" t="s">
        <v>143</v>
      </c>
      <c r="G452" t="s">
        <v>10</v>
      </c>
      <c r="H452" s="72" t="s">
        <v>210</v>
      </c>
      <c r="I452" s="72" t="s">
        <v>52</v>
      </c>
      <c r="J452" t="str">
        <f t="shared" si="18"/>
        <v>Nooksack River</v>
      </c>
      <c r="K452" t="str">
        <f>IFERROR(VLOOKUP(J452,LUTs!$A$1:$C$73,2,FALSE),"NA")</f>
        <v>Whatcom</v>
      </c>
      <c r="L452" t="str">
        <f>IFERROR(VLOOKUP(J452,LUTs!$A$1:$C$73,3,FALSE),"NA")</f>
        <v>1North Puget Sound</v>
      </c>
      <c r="M452" s="72" t="s">
        <v>17</v>
      </c>
      <c r="N452" t="str">
        <f>VLOOKUP(M452,LUTs!E$2:H$14,3,)</f>
        <v>04Island</v>
      </c>
      <c r="O452" t="str">
        <f>VLOOKUP(M452,LUTs!E$2:H$14,4,)</f>
        <v>01North Puget Sound</v>
      </c>
      <c r="P452" s="73">
        <v>14.375</v>
      </c>
      <c r="Q452" s="74">
        <f>VLOOKUP(B452,Readme!A$40:C$51,2,)*P452</f>
        <v>49.449999999999996</v>
      </c>
    </row>
    <row r="453" spans="1:17" ht="12" customHeight="1" x14ac:dyDescent="0.35">
      <c r="A453" s="75">
        <v>452</v>
      </c>
      <c r="B453" s="64">
        <v>2011</v>
      </c>
      <c r="C453" s="64">
        <v>12</v>
      </c>
      <c r="D453" s="80">
        <f t="shared" si="17"/>
        <v>2011</v>
      </c>
      <c r="E453" t="s">
        <v>38</v>
      </c>
      <c r="F453" t="s">
        <v>143</v>
      </c>
      <c r="G453" t="s">
        <v>10</v>
      </c>
      <c r="H453" s="72" t="s">
        <v>210</v>
      </c>
      <c r="I453" s="72" t="s">
        <v>52</v>
      </c>
      <c r="J453" t="str">
        <f t="shared" si="18"/>
        <v>Nooksack River</v>
      </c>
      <c r="K453" t="str">
        <f>IFERROR(VLOOKUP(J453,LUTs!$A$1:$C$73,2,FALSE),"NA")</f>
        <v>Whatcom</v>
      </c>
      <c r="L453" t="str">
        <f>IFERROR(VLOOKUP(J453,LUTs!$A$1:$C$73,3,FALSE),"NA")</f>
        <v>1North Puget Sound</v>
      </c>
      <c r="M453" s="72" t="s">
        <v>26</v>
      </c>
      <c r="N453" t="str">
        <f>VLOOKUP(M453,LUTs!E$2:H$14,3,)</f>
        <v>20Other</v>
      </c>
      <c r="O453" t="str">
        <f>VLOOKUP(M453,LUTs!E$2:H$14,4,)</f>
        <v>07Non Puget Sound</v>
      </c>
      <c r="P453" s="73">
        <v>14.375</v>
      </c>
      <c r="Q453" s="74">
        <f>VLOOKUP(B453,Readme!A$40:C$51,2,)*P453</f>
        <v>49.449999999999996</v>
      </c>
    </row>
    <row r="454" spans="1:17" ht="12" customHeight="1" x14ac:dyDescent="0.35">
      <c r="A454" s="75">
        <v>453</v>
      </c>
      <c r="B454" s="64">
        <v>2011</v>
      </c>
      <c r="C454" s="64">
        <v>12</v>
      </c>
      <c r="D454" s="80">
        <f t="shared" si="17"/>
        <v>2011</v>
      </c>
      <c r="E454" t="s">
        <v>38</v>
      </c>
      <c r="F454" t="s">
        <v>143</v>
      </c>
      <c r="G454" t="s">
        <v>10</v>
      </c>
      <c r="H454" s="72" t="s">
        <v>210</v>
      </c>
      <c r="I454" s="72" t="s">
        <v>52</v>
      </c>
      <c r="J454" t="str">
        <f t="shared" si="18"/>
        <v>Nooksack River</v>
      </c>
      <c r="K454" t="str">
        <f>IFERROR(VLOOKUP(J454,LUTs!$A$1:$C$73,2,FALSE),"NA")</f>
        <v>Whatcom</v>
      </c>
      <c r="L454" t="str">
        <f>IFERROR(VLOOKUP(J454,LUTs!$A$1:$C$73,3,FALSE),"NA")</f>
        <v>1North Puget Sound</v>
      </c>
      <c r="M454" s="72" t="s">
        <v>13</v>
      </c>
      <c r="N454" t="str">
        <f>VLOOKUP(M454,LUTs!E$2:H$14,3,)</f>
        <v>01Whatcom</v>
      </c>
      <c r="O454" t="str">
        <f>VLOOKUP(M454,LUTs!E$2:H$14,4,)</f>
        <v>01North Puget Sound</v>
      </c>
      <c r="P454" s="73">
        <v>86.25</v>
      </c>
      <c r="Q454" s="74">
        <f>VLOOKUP(B454,Readme!A$40:C$51,2,)*P454</f>
        <v>296.7</v>
      </c>
    </row>
    <row r="455" spans="1:17" ht="12" customHeight="1" x14ac:dyDescent="0.35">
      <c r="A455" s="75">
        <v>454</v>
      </c>
      <c r="B455" s="64">
        <v>2011</v>
      </c>
      <c r="C455" s="64">
        <v>8</v>
      </c>
      <c r="D455" s="80">
        <f t="shared" si="17"/>
        <v>2011</v>
      </c>
      <c r="E455" t="s">
        <v>38</v>
      </c>
      <c r="F455" t="s">
        <v>143</v>
      </c>
      <c r="G455" t="s">
        <v>10</v>
      </c>
      <c r="H455" s="72" t="s">
        <v>211</v>
      </c>
      <c r="I455" s="72" t="s">
        <v>53</v>
      </c>
      <c r="J455" t="str">
        <f t="shared" si="18"/>
        <v>Carbon River</v>
      </c>
      <c r="K455" t="str">
        <f>IFERROR(VLOOKUP(J455,LUTs!$A$1:$C$73,2,FALSE),"NA")</f>
        <v>Pierce</v>
      </c>
      <c r="L455" t="str">
        <f>IFERROR(VLOOKUP(J455,LUTs!$A$1:$C$73,3,FALSE),"NA")</f>
        <v>3South Puget Sound</v>
      </c>
      <c r="M455" s="72" t="s">
        <v>18</v>
      </c>
      <c r="N455" t="str">
        <f>VLOOKUP(M455,LUTs!E$2:H$14,3,)</f>
        <v>06King</v>
      </c>
      <c r="O455" t="str">
        <f>VLOOKUP(M455,LUTs!E$2:H$14,4,)</f>
        <v>02South Puget Sound</v>
      </c>
      <c r="P455" s="73">
        <v>7.5</v>
      </c>
      <c r="Q455" s="74">
        <f>VLOOKUP(B455,Readme!A$40:C$51,2,)*P455</f>
        <v>25.8</v>
      </c>
    </row>
    <row r="456" spans="1:17" ht="12" customHeight="1" x14ac:dyDescent="0.35">
      <c r="A456" s="75">
        <v>455</v>
      </c>
      <c r="B456" s="64">
        <v>2011</v>
      </c>
      <c r="C456" s="64">
        <v>8</v>
      </c>
      <c r="D456" s="80">
        <f t="shared" si="17"/>
        <v>2011</v>
      </c>
      <c r="E456" t="s">
        <v>38</v>
      </c>
      <c r="F456" t="s">
        <v>143</v>
      </c>
      <c r="G456" t="s">
        <v>10</v>
      </c>
      <c r="H456" s="72" t="s">
        <v>211</v>
      </c>
      <c r="I456" s="72" t="s">
        <v>53</v>
      </c>
      <c r="J456" t="str">
        <f t="shared" si="18"/>
        <v>Carbon River</v>
      </c>
      <c r="K456" t="str">
        <f>IFERROR(VLOOKUP(J456,LUTs!$A$1:$C$73,2,FALSE),"NA")</f>
        <v>Pierce</v>
      </c>
      <c r="L456" t="str">
        <f>IFERROR(VLOOKUP(J456,LUTs!$A$1:$C$73,3,FALSE),"NA")</f>
        <v>3South Puget Sound</v>
      </c>
      <c r="M456" s="72" t="s">
        <v>20</v>
      </c>
      <c r="N456" t="str">
        <f>VLOOKUP(M456,LUTs!E$2:H$14,3,)</f>
        <v>07Pierce</v>
      </c>
      <c r="O456" t="str">
        <f>VLOOKUP(M456,LUTs!E$2:H$14,4,)</f>
        <v>02South Puget Sound</v>
      </c>
      <c r="P456" s="73">
        <v>7.5</v>
      </c>
      <c r="Q456" s="74">
        <f>VLOOKUP(B456,Readme!A$40:C$51,2,)*P456</f>
        <v>25.8</v>
      </c>
    </row>
    <row r="457" spans="1:17" ht="12" customHeight="1" x14ac:dyDescent="0.35">
      <c r="A457" s="75">
        <v>456</v>
      </c>
      <c r="B457" s="64">
        <v>2011</v>
      </c>
      <c r="C457" s="64">
        <v>8</v>
      </c>
      <c r="D457" s="80">
        <f t="shared" si="17"/>
        <v>2011</v>
      </c>
      <c r="E457" t="s">
        <v>38</v>
      </c>
      <c r="F457" t="s">
        <v>143</v>
      </c>
      <c r="G457" t="s">
        <v>10</v>
      </c>
      <c r="H457" s="72" t="s">
        <v>211</v>
      </c>
      <c r="I457" s="72" t="s">
        <v>53</v>
      </c>
      <c r="J457" t="str">
        <f t="shared" si="18"/>
        <v>Carbon River</v>
      </c>
      <c r="K457" t="str">
        <f>IFERROR(VLOOKUP(J457,LUTs!$A$1:$C$73,2,FALSE),"NA")</f>
        <v>Pierce</v>
      </c>
      <c r="L457" t="str">
        <f>IFERROR(VLOOKUP(J457,LUTs!$A$1:$C$73,3,FALSE),"NA")</f>
        <v>3South Puget Sound</v>
      </c>
      <c r="M457" s="72" t="s">
        <v>16</v>
      </c>
      <c r="N457" t="str">
        <f>VLOOKUP(M457,LUTs!E$2:H$14,3,)</f>
        <v>03Snohomish</v>
      </c>
      <c r="O457" t="str">
        <f>VLOOKUP(M457,LUTs!E$2:H$14,4,)</f>
        <v>01North Puget Sound</v>
      </c>
      <c r="P457" s="73">
        <v>15</v>
      </c>
      <c r="Q457" s="74">
        <f>VLOOKUP(B457,Readme!A$40:C$51,2,)*P457</f>
        <v>51.6</v>
      </c>
    </row>
    <row r="458" spans="1:17" ht="12" customHeight="1" x14ac:dyDescent="0.35">
      <c r="A458" s="75">
        <v>457</v>
      </c>
      <c r="B458" s="64">
        <v>2011</v>
      </c>
      <c r="C458" s="64">
        <v>9</v>
      </c>
      <c r="D458" s="80">
        <f t="shared" si="17"/>
        <v>2011</v>
      </c>
      <c r="E458" t="s">
        <v>38</v>
      </c>
      <c r="F458" t="s">
        <v>143</v>
      </c>
      <c r="G458" t="s">
        <v>10</v>
      </c>
      <c r="H458" s="72" t="s">
        <v>211</v>
      </c>
      <c r="I458" s="72" t="s">
        <v>53</v>
      </c>
      <c r="J458" t="str">
        <f t="shared" si="18"/>
        <v>Carbon River</v>
      </c>
      <c r="K458" t="str">
        <f>IFERROR(VLOOKUP(J458,LUTs!$A$1:$C$73,2,FALSE),"NA")</f>
        <v>Pierce</v>
      </c>
      <c r="L458" t="str">
        <f>IFERROR(VLOOKUP(J458,LUTs!$A$1:$C$73,3,FALSE),"NA")</f>
        <v>3South Puget Sound</v>
      </c>
      <c r="M458" s="72" t="s">
        <v>18</v>
      </c>
      <c r="N458" t="str">
        <f>VLOOKUP(M458,LUTs!E$2:H$14,3,)</f>
        <v>06King</v>
      </c>
      <c r="O458" t="str">
        <f>VLOOKUP(M458,LUTs!E$2:H$14,4,)</f>
        <v>02South Puget Sound</v>
      </c>
      <c r="P458" s="73">
        <v>459.66531440162299</v>
      </c>
      <c r="Q458" s="74">
        <f>VLOOKUP(B458,Readme!A$40:C$51,2,)*P458</f>
        <v>1581.248681541583</v>
      </c>
    </row>
    <row r="459" spans="1:17" ht="12" customHeight="1" x14ac:dyDescent="0.35">
      <c r="A459" s="75">
        <v>458</v>
      </c>
      <c r="B459" s="64">
        <v>2011</v>
      </c>
      <c r="C459" s="64">
        <v>9</v>
      </c>
      <c r="D459" s="80">
        <f t="shared" si="17"/>
        <v>2011</v>
      </c>
      <c r="E459" t="s">
        <v>38</v>
      </c>
      <c r="F459" t="s">
        <v>143</v>
      </c>
      <c r="G459" t="s">
        <v>10</v>
      </c>
      <c r="H459" s="72" t="s">
        <v>211</v>
      </c>
      <c r="I459" s="72" t="s">
        <v>53</v>
      </c>
      <c r="J459" t="str">
        <f t="shared" si="18"/>
        <v>Carbon River</v>
      </c>
      <c r="K459" t="str">
        <f>IFERROR(VLOOKUP(J459,LUTs!$A$1:$C$73,2,FALSE),"NA")</f>
        <v>Pierce</v>
      </c>
      <c r="L459" t="str">
        <f>IFERROR(VLOOKUP(J459,LUTs!$A$1:$C$73,3,FALSE),"NA")</f>
        <v>3South Puget Sound</v>
      </c>
      <c r="M459" s="72" t="s">
        <v>23</v>
      </c>
      <c r="N459" t="str">
        <f>VLOOKUP(M459,LUTs!E$2:H$14,3,)</f>
        <v>10Kitsap</v>
      </c>
      <c r="O459" t="str">
        <f>VLOOKUP(M459,LUTs!E$2:H$14,4,)</f>
        <v>02South Puget Sound</v>
      </c>
      <c r="P459" s="73">
        <v>75.354969574036502</v>
      </c>
      <c r="Q459" s="74">
        <f>VLOOKUP(B459,Readme!A$40:C$51,2,)*P459</f>
        <v>259.22109533468557</v>
      </c>
    </row>
    <row r="460" spans="1:17" ht="12" customHeight="1" x14ac:dyDescent="0.35">
      <c r="A460" s="75">
        <v>459</v>
      </c>
      <c r="B460" s="64">
        <v>2011</v>
      </c>
      <c r="C460" s="64">
        <v>9</v>
      </c>
      <c r="D460" s="80">
        <f t="shared" si="17"/>
        <v>2011</v>
      </c>
      <c r="E460" t="s">
        <v>38</v>
      </c>
      <c r="F460" t="s">
        <v>143</v>
      </c>
      <c r="G460" t="s">
        <v>10</v>
      </c>
      <c r="H460" s="72" t="s">
        <v>211</v>
      </c>
      <c r="I460" s="72" t="s">
        <v>53</v>
      </c>
      <c r="J460" t="str">
        <f t="shared" si="18"/>
        <v>Carbon River</v>
      </c>
      <c r="K460" t="str">
        <f>IFERROR(VLOOKUP(J460,LUTs!$A$1:$C$73,2,FALSE),"NA")</f>
        <v>Pierce</v>
      </c>
      <c r="L460" t="str">
        <f>IFERROR(VLOOKUP(J460,LUTs!$A$1:$C$73,3,FALSE),"NA")</f>
        <v>3South Puget Sound</v>
      </c>
      <c r="M460" s="72" t="s">
        <v>22</v>
      </c>
      <c r="N460" t="str">
        <f>VLOOKUP(M460,LUTs!E$2:H$14,3,)</f>
        <v>09Mason</v>
      </c>
      <c r="O460" t="str">
        <f>VLOOKUP(M460,LUTs!E$2:H$14,4,)</f>
        <v>02South Puget Sound</v>
      </c>
      <c r="P460" s="73">
        <v>7.5354969574036499</v>
      </c>
      <c r="Q460" s="74">
        <f>VLOOKUP(B460,Readme!A$40:C$51,2,)*P460</f>
        <v>25.922109533468554</v>
      </c>
    </row>
    <row r="461" spans="1:17" ht="12" customHeight="1" x14ac:dyDescent="0.35">
      <c r="A461" s="75">
        <v>460</v>
      </c>
      <c r="B461" s="64">
        <v>2011</v>
      </c>
      <c r="C461" s="64">
        <v>9</v>
      </c>
      <c r="D461" s="80">
        <f t="shared" si="17"/>
        <v>2011</v>
      </c>
      <c r="E461" t="s">
        <v>38</v>
      </c>
      <c r="F461" t="s">
        <v>143</v>
      </c>
      <c r="G461" t="s">
        <v>10</v>
      </c>
      <c r="H461" s="72" t="s">
        <v>211</v>
      </c>
      <c r="I461" s="72" t="s">
        <v>53</v>
      </c>
      <c r="J461" t="str">
        <f t="shared" si="18"/>
        <v>Carbon River</v>
      </c>
      <c r="K461" t="str">
        <f>IFERROR(VLOOKUP(J461,LUTs!$A$1:$C$73,2,FALSE),"NA")</f>
        <v>Pierce</v>
      </c>
      <c r="L461" t="str">
        <f>IFERROR(VLOOKUP(J461,LUTs!$A$1:$C$73,3,FALSE),"NA")</f>
        <v>3South Puget Sound</v>
      </c>
      <c r="M461" s="72" t="s">
        <v>26</v>
      </c>
      <c r="N461" t="str">
        <f>VLOOKUP(M461,LUTs!E$2:H$14,3,)</f>
        <v>20Other</v>
      </c>
      <c r="O461" t="str">
        <f>VLOOKUP(M461,LUTs!E$2:H$14,4,)</f>
        <v>07Non Puget Sound</v>
      </c>
      <c r="P461" s="73">
        <v>278.81338742393501</v>
      </c>
      <c r="Q461" s="74">
        <f>VLOOKUP(B461,Readme!A$40:C$51,2,)*P461</f>
        <v>959.11805273833647</v>
      </c>
    </row>
    <row r="462" spans="1:17" ht="12" customHeight="1" x14ac:dyDescent="0.35">
      <c r="A462" s="75">
        <v>461</v>
      </c>
      <c r="B462" s="64">
        <v>2011</v>
      </c>
      <c r="C462" s="64">
        <v>9</v>
      </c>
      <c r="D462" s="80">
        <f t="shared" si="17"/>
        <v>2011</v>
      </c>
      <c r="E462" t="s">
        <v>38</v>
      </c>
      <c r="F462" t="s">
        <v>143</v>
      </c>
      <c r="G462" t="s">
        <v>10</v>
      </c>
      <c r="H462" s="72" t="s">
        <v>211</v>
      </c>
      <c r="I462" s="72" t="s">
        <v>53</v>
      </c>
      <c r="J462" t="str">
        <f t="shared" si="18"/>
        <v>Carbon River</v>
      </c>
      <c r="K462" t="str">
        <f>IFERROR(VLOOKUP(J462,LUTs!$A$1:$C$73,2,FALSE),"NA")</f>
        <v>Pierce</v>
      </c>
      <c r="L462" t="str">
        <f>IFERROR(VLOOKUP(J462,LUTs!$A$1:$C$73,3,FALSE),"NA")</f>
        <v>3South Puget Sound</v>
      </c>
      <c r="M462" s="72" t="s">
        <v>20</v>
      </c>
      <c r="N462" t="str">
        <f>VLOOKUP(M462,LUTs!E$2:H$14,3,)</f>
        <v>07Pierce</v>
      </c>
      <c r="O462" t="str">
        <f>VLOOKUP(M462,LUTs!E$2:H$14,4,)</f>
        <v>02South Puget Sound</v>
      </c>
      <c r="P462" s="73">
        <v>2780.59837728195</v>
      </c>
      <c r="Q462" s="74">
        <f>VLOOKUP(B462,Readme!A$40:C$51,2,)*P462</f>
        <v>9565.2584178499073</v>
      </c>
    </row>
    <row r="463" spans="1:17" ht="12" customHeight="1" x14ac:dyDescent="0.35">
      <c r="A463" s="75">
        <v>462</v>
      </c>
      <c r="B463" s="64">
        <v>2011</v>
      </c>
      <c r="C463" s="64">
        <v>9</v>
      </c>
      <c r="D463" s="80">
        <f t="shared" si="17"/>
        <v>2011</v>
      </c>
      <c r="E463" t="s">
        <v>38</v>
      </c>
      <c r="F463" t="s">
        <v>143</v>
      </c>
      <c r="G463" t="s">
        <v>10</v>
      </c>
      <c r="H463" s="72" t="s">
        <v>211</v>
      </c>
      <c r="I463" s="72" t="s">
        <v>53</v>
      </c>
      <c r="J463" t="str">
        <f t="shared" si="18"/>
        <v>Carbon River</v>
      </c>
      <c r="K463" t="str">
        <f>IFERROR(VLOOKUP(J463,LUTs!$A$1:$C$73,2,FALSE),"NA")</f>
        <v>Pierce</v>
      </c>
      <c r="L463" t="str">
        <f>IFERROR(VLOOKUP(J463,LUTs!$A$1:$C$73,3,FALSE),"NA")</f>
        <v>3South Puget Sound</v>
      </c>
      <c r="M463" s="72" t="s">
        <v>16</v>
      </c>
      <c r="N463" t="str">
        <f>VLOOKUP(M463,LUTs!E$2:H$14,3,)</f>
        <v>03Snohomish</v>
      </c>
      <c r="O463" t="str">
        <f>VLOOKUP(M463,LUTs!E$2:H$14,4,)</f>
        <v>01North Puget Sound</v>
      </c>
      <c r="P463" s="73">
        <v>30.1419878296146</v>
      </c>
      <c r="Q463" s="74">
        <f>VLOOKUP(B463,Readme!A$40:C$51,2,)*P463</f>
        <v>103.68843813387421</v>
      </c>
    </row>
    <row r="464" spans="1:17" ht="12" customHeight="1" x14ac:dyDescent="0.35">
      <c r="A464" s="75">
        <v>463</v>
      </c>
      <c r="B464" s="64">
        <v>2011</v>
      </c>
      <c r="C464" s="64">
        <v>9</v>
      </c>
      <c r="D464" s="80">
        <f t="shared" si="17"/>
        <v>2011</v>
      </c>
      <c r="E464" t="s">
        <v>38</v>
      </c>
      <c r="F464" t="s">
        <v>143</v>
      </c>
      <c r="G464" t="s">
        <v>10</v>
      </c>
      <c r="H464" s="72" t="s">
        <v>211</v>
      </c>
      <c r="I464" s="72" t="s">
        <v>53</v>
      </c>
      <c r="J464" t="str">
        <f t="shared" si="18"/>
        <v>Carbon River</v>
      </c>
      <c r="K464" t="str">
        <f>IFERROR(VLOOKUP(J464,LUTs!$A$1:$C$73,2,FALSE),"NA")</f>
        <v>Pierce</v>
      </c>
      <c r="L464" t="str">
        <f>IFERROR(VLOOKUP(J464,LUTs!$A$1:$C$73,3,FALSE),"NA")</f>
        <v>3South Puget Sound</v>
      </c>
      <c r="M464" s="72" t="s">
        <v>21</v>
      </c>
      <c r="N464" t="str">
        <f>VLOOKUP(M464,LUTs!E$2:H$14,3,)</f>
        <v>08Thurston</v>
      </c>
      <c r="O464" t="str">
        <f>VLOOKUP(M464,LUTs!E$2:H$14,4,)</f>
        <v>02South Puget Sound</v>
      </c>
      <c r="P464" s="73">
        <v>37.677484787018301</v>
      </c>
      <c r="Q464" s="74">
        <f>VLOOKUP(B464,Readme!A$40:C$51,2,)*P464</f>
        <v>129.61054766734296</v>
      </c>
    </row>
    <row r="465" spans="1:17" ht="12" customHeight="1" x14ac:dyDescent="0.35">
      <c r="A465" s="75">
        <v>464</v>
      </c>
      <c r="B465" s="64">
        <v>2011</v>
      </c>
      <c r="C465" s="64">
        <v>9</v>
      </c>
      <c r="D465" s="80">
        <f t="shared" si="17"/>
        <v>2011</v>
      </c>
      <c r="E465" t="s">
        <v>38</v>
      </c>
      <c r="F465" t="s">
        <v>143</v>
      </c>
      <c r="G465" t="s">
        <v>10</v>
      </c>
      <c r="H465" s="72" t="s">
        <v>211</v>
      </c>
      <c r="I465" s="72" t="s">
        <v>53</v>
      </c>
      <c r="J465" t="str">
        <f t="shared" si="18"/>
        <v>Carbon River</v>
      </c>
      <c r="K465" t="str">
        <f>IFERROR(VLOOKUP(J465,LUTs!$A$1:$C$73,2,FALSE),"NA")</f>
        <v>Pierce</v>
      </c>
      <c r="L465" t="str">
        <f>IFERROR(VLOOKUP(J465,LUTs!$A$1:$C$73,3,FALSE),"NA")</f>
        <v>3South Puget Sound</v>
      </c>
      <c r="M465" s="72" t="s">
        <v>13</v>
      </c>
      <c r="N465" t="str">
        <f>VLOOKUP(M465,LUTs!E$2:H$14,3,)</f>
        <v>01Whatcom</v>
      </c>
      <c r="O465" t="str">
        <f>VLOOKUP(M465,LUTs!E$2:H$14,4,)</f>
        <v>01North Puget Sound</v>
      </c>
      <c r="P465" s="73">
        <v>45.212981744421903</v>
      </c>
      <c r="Q465" s="74">
        <f>VLOOKUP(B465,Readme!A$40:C$51,2,)*P465</f>
        <v>155.53265720081134</v>
      </c>
    </row>
    <row r="466" spans="1:17" ht="12" customHeight="1" x14ac:dyDescent="0.35">
      <c r="A466" s="75">
        <v>465</v>
      </c>
      <c r="B466" s="64">
        <v>2011</v>
      </c>
      <c r="C466" s="64">
        <v>10</v>
      </c>
      <c r="D466" s="80">
        <f t="shared" si="17"/>
        <v>2011</v>
      </c>
      <c r="E466" t="s">
        <v>38</v>
      </c>
      <c r="F466" t="s">
        <v>143</v>
      </c>
      <c r="G466" t="s">
        <v>10</v>
      </c>
      <c r="H466" s="72" t="s">
        <v>211</v>
      </c>
      <c r="I466" s="72" t="s">
        <v>53</v>
      </c>
      <c r="J466" t="str">
        <f t="shared" si="18"/>
        <v>Carbon River</v>
      </c>
      <c r="K466" t="str">
        <f>IFERROR(VLOOKUP(J466,LUTs!$A$1:$C$73,2,FALSE),"NA")</f>
        <v>Pierce</v>
      </c>
      <c r="L466" t="str">
        <f>IFERROR(VLOOKUP(J466,LUTs!$A$1:$C$73,3,FALSE),"NA")</f>
        <v>3South Puget Sound</v>
      </c>
      <c r="M466" s="72" t="s">
        <v>18</v>
      </c>
      <c r="N466" t="str">
        <f>VLOOKUP(M466,LUTs!E$2:H$14,3,)</f>
        <v>06King</v>
      </c>
      <c r="O466" t="str">
        <f>VLOOKUP(M466,LUTs!E$2:H$14,4,)</f>
        <v>02South Puget Sound</v>
      </c>
      <c r="P466" s="73">
        <v>149.27536231884099</v>
      </c>
      <c r="Q466" s="74">
        <f>VLOOKUP(B466,Readme!A$40:C$51,2,)*P466</f>
        <v>513.50724637681299</v>
      </c>
    </row>
    <row r="467" spans="1:17" ht="12" customHeight="1" x14ac:dyDescent="0.35">
      <c r="A467" s="75">
        <v>466</v>
      </c>
      <c r="B467" s="64">
        <v>2011</v>
      </c>
      <c r="C467" s="64">
        <v>10</v>
      </c>
      <c r="D467" s="80">
        <f t="shared" si="17"/>
        <v>2011</v>
      </c>
      <c r="E467" t="s">
        <v>38</v>
      </c>
      <c r="F467" t="s">
        <v>143</v>
      </c>
      <c r="G467" t="s">
        <v>10</v>
      </c>
      <c r="H467" s="72" t="s">
        <v>211</v>
      </c>
      <c r="I467" s="72" t="s">
        <v>53</v>
      </c>
      <c r="J467" t="str">
        <f t="shared" si="18"/>
        <v>Carbon River</v>
      </c>
      <c r="K467" t="str">
        <f>IFERROR(VLOOKUP(J467,LUTs!$A$1:$C$73,2,FALSE),"NA")</f>
        <v>Pierce</v>
      </c>
      <c r="L467" t="str">
        <f>IFERROR(VLOOKUP(J467,LUTs!$A$1:$C$73,3,FALSE),"NA")</f>
        <v>3South Puget Sound</v>
      </c>
      <c r="M467" s="72" t="s">
        <v>23</v>
      </c>
      <c r="N467" t="str">
        <f>VLOOKUP(M467,LUTs!E$2:H$14,3,)</f>
        <v>10Kitsap</v>
      </c>
      <c r="O467" t="str">
        <f>VLOOKUP(M467,LUTs!E$2:H$14,4,)</f>
        <v>02South Puget Sound</v>
      </c>
      <c r="P467" s="73">
        <v>22.3913043478261</v>
      </c>
      <c r="Q467" s="74">
        <f>VLOOKUP(B467,Readme!A$40:C$51,2,)*P467</f>
        <v>77.02608695652178</v>
      </c>
    </row>
    <row r="468" spans="1:17" ht="12" customHeight="1" x14ac:dyDescent="0.35">
      <c r="A468" s="75">
        <v>467</v>
      </c>
      <c r="B468" s="64">
        <v>2011</v>
      </c>
      <c r="C468" s="64">
        <v>10</v>
      </c>
      <c r="D468" s="80">
        <f t="shared" si="17"/>
        <v>2011</v>
      </c>
      <c r="E468" t="s">
        <v>38</v>
      </c>
      <c r="F468" t="s">
        <v>143</v>
      </c>
      <c r="G468" t="s">
        <v>10</v>
      </c>
      <c r="H468" s="72" t="s">
        <v>211</v>
      </c>
      <c r="I468" s="72" t="s">
        <v>53</v>
      </c>
      <c r="J468" t="str">
        <f t="shared" si="18"/>
        <v>Carbon River</v>
      </c>
      <c r="K468" t="str">
        <f>IFERROR(VLOOKUP(J468,LUTs!$A$1:$C$73,2,FALSE),"NA")</f>
        <v>Pierce</v>
      </c>
      <c r="L468" t="str">
        <f>IFERROR(VLOOKUP(J468,LUTs!$A$1:$C$73,3,FALSE),"NA")</f>
        <v>3South Puget Sound</v>
      </c>
      <c r="M468" s="72" t="s">
        <v>20</v>
      </c>
      <c r="N468" t="str">
        <f>VLOOKUP(M468,LUTs!E$2:H$14,3,)</f>
        <v>07Pierce</v>
      </c>
      <c r="O468" t="str">
        <f>VLOOKUP(M468,LUTs!E$2:H$14,4,)</f>
        <v>02South Puget Sound</v>
      </c>
      <c r="P468" s="73">
        <v>1888.3333333333301</v>
      </c>
      <c r="Q468" s="74">
        <f>VLOOKUP(B468,Readme!A$40:C$51,2,)*P468</f>
        <v>6495.866666666655</v>
      </c>
    </row>
    <row r="469" spans="1:17" ht="12" customHeight="1" x14ac:dyDescent="0.35">
      <c r="A469" s="75">
        <v>468</v>
      </c>
      <c r="B469" s="64">
        <v>2011</v>
      </c>
      <c r="C469" s="64">
        <v>11</v>
      </c>
      <c r="D469" s="80">
        <f t="shared" si="17"/>
        <v>2011</v>
      </c>
      <c r="E469" t="s">
        <v>38</v>
      </c>
      <c r="F469" t="s">
        <v>143</v>
      </c>
      <c r="G469" t="s">
        <v>10</v>
      </c>
      <c r="H469" s="72" t="s">
        <v>211</v>
      </c>
      <c r="I469" s="72" t="s">
        <v>53</v>
      </c>
      <c r="J469" t="str">
        <f t="shared" si="18"/>
        <v>Carbon River</v>
      </c>
      <c r="K469" t="str">
        <f>IFERROR(VLOOKUP(J469,LUTs!$A$1:$C$73,2,FALSE),"NA")</f>
        <v>Pierce</v>
      </c>
      <c r="L469" t="str">
        <f>IFERROR(VLOOKUP(J469,LUTs!$A$1:$C$73,3,FALSE),"NA")</f>
        <v>3South Puget Sound</v>
      </c>
      <c r="M469" s="72" t="s">
        <v>20</v>
      </c>
      <c r="N469" t="str">
        <f>VLOOKUP(M469,LUTs!E$2:H$14,3,)</f>
        <v>07Pierce</v>
      </c>
      <c r="O469" t="str">
        <f>VLOOKUP(M469,LUTs!E$2:H$14,4,)</f>
        <v>02South Puget Sound</v>
      </c>
      <c r="P469" s="73">
        <v>73</v>
      </c>
      <c r="Q469" s="74">
        <f>VLOOKUP(B469,Readme!A$40:C$51,2,)*P469</f>
        <v>251.12</v>
      </c>
    </row>
    <row r="470" spans="1:17" ht="12" customHeight="1" x14ac:dyDescent="0.35">
      <c r="A470" s="75">
        <v>469</v>
      </c>
      <c r="B470" s="64">
        <v>2011</v>
      </c>
      <c r="C470" s="64">
        <v>12</v>
      </c>
      <c r="D470" s="80">
        <f t="shared" si="17"/>
        <v>2011</v>
      </c>
      <c r="E470" t="s">
        <v>38</v>
      </c>
      <c r="F470" t="s">
        <v>143</v>
      </c>
      <c r="G470" t="s">
        <v>10</v>
      </c>
      <c r="H470" s="72" t="s">
        <v>211</v>
      </c>
      <c r="I470" s="72" t="s">
        <v>53</v>
      </c>
      <c r="J470" t="str">
        <f t="shared" si="18"/>
        <v>Carbon River</v>
      </c>
      <c r="K470" t="str">
        <f>IFERROR(VLOOKUP(J470,LUTs!$A$1:$C$73,2,FALSE),"NA")</f>
        <v>Pierce</v>
      </c>
      <c r="L470" t="str">
        <f>IFERROR(VLOOKUP(J470,LUTs!$A$1:$C$73,3,FALSE),"NA")</f>
        <v>3South Puget Sound</v>
      </c>
      <c r="M470" s="72" t="s">
        <v>20</v>
      </c>
      <c r="N470" t="str">
        <f>VLOOKUP(M470,LUTs!E$2:H$14,3,)</f>
        <v>07Pierce</v>
      </c>
      <c r="O470" t="str">
        <f>VLOOKUP(M470,LUTs!E$2:H$14,4,)</f>
        <v>02South Puget Sound</v>
      </c>
      <c r="P470" s="73">
        <v>22</v>
      </c>
      <c r="Q470" s="74">
        <f>VLOOKUP(B470,Readme!A$40:C$51,2,)*P470</f>
        <v>75.679999999999993</v>
      </c>
    </row>
    <row r="471" spans="1:17" ht="12" customHeight="1" x14ac:dyDescent="0.35">
      <c r="A471" s="75">
        <v>470</v>
      </c>
      <c r="B471" s="64">
        <v>2011</v>
      </c>
      <c r="C471" s="64">
        <v>8</v>
      </c>
      <c r="D471" s="80">
        <f t="shared" si="17"/>
        <v>2011</v>
      </c>
      <c r="E471" t="s">
        <v>38</v>
      </c>
      <c r="F471" t="s">
        <v>143</v>
      </c>
      <c r="G471" t="s">
        <v>10</v>
      </c>
      <c r="H471" s="72" t="s">
        <v>212</v>
      </c>
      <c r="I471" s="72" t="s">
        <v>54</v>
      </c>
      <c r="J471" t="str">
        <f t="shared" si="18"/>
        <v>Puyallup River</v>
      </c>
      <c r="K471" t="str">
        <f>IFERROR(VLOOKUP(J471,LUTs!$A$1:$C$73,2,FALSE),"NA")</f>
        <v>Pierce</v>
      </c>
      <c r="L471" t="str">
        <f>IFERROR(VLOOKUP(J471,LUTs!$A$1:$C$73,3,FALSE),"NA")</f>
        <v>3South Puget Sound</v>
      </c>
      <c r="M471" s="72" t="s">
        <v>24</v>
      </c>
      <c r="N471" t="str">
        <f>VLOOKUP(M471,LUTs!E$2:H$14,3,)</f>
        <v>11Clallam</v>
      </c>
      <c r="O471" t="str">
        <f>VLOOKUP(M471,LUTs!E$2:H$14,4,)</f>
        <v>03Strait of Juan de Fuca</v>
      </c>
      <c r="P471" s="73">
        <v>75.632107023411393</v>
      </c>
      <c r="Q471" s="74">
        <f>VLOOKUP(B471,Readme!A$40:C$51,2,)*P471</f>
        <v>260.17444816053518</v>
      </c>
    </row>
    <row r="472" spans="1:17" ht="12" customHeight="1" x14ac:dyDescent="0.35">
      <c r="A472" s="75">
        <v>471</v>
      </c>
      <c r="B472" s="64">
        <v>2011</v>
      </c>
      <c r="C472" s="64">
        <v>8</v>
      </c>
      <c r="D472" s="80">
        <f t="shared" si="17"/>
        <v>2011</v>
      </c>
      <c r="E472" t="s">
        <v>38</v>
      </c>
      <c r="F472" t="s">
        <v>143</v>
      </c>
      <c r="G472" t="s">
        <v>10</v>
      </c>
      <c r="H472" s="72" t="s">
        <v>212</v>
      </c>
      <c r="I472" s="72" t="s">
        <v>54</v>
      </c>
      <c r="J472" t="str">
        <f t="shared" si="18"/>
        <v>Puyallup River</v>
      </c>
      <c r="K472" t="str">
        <f>IFERROR(VLOOKUP(J472,LUTs!$A$1:$C$73,2,FALSE),"NA")</f>
        <v>Pierce</v>
      </c>
      <c r="L472" t="str">
        <f>IFERROR(VLOOKUP(J472,LUTs!$A$1:$C$73,3,FALSE),"NA")</f>
        <v>3South Puget Sound</v>
      </c>
      <c r="M472" s="72" t="s">
        <v>25</v>
      </c>
      <c r="N472" t="str">
        <f>VLOOKUP(M472,LUTs!E$2:H$14,3,)</f>
        <v>12Jefferson</v>
      </c>
      <c r="O472" t="str">
        <f>VLOOKUP(M472,LUTs!E$2:H$14,4,)</f>
        <v>03Strait of Juan de Fuca</v>
      </c>
      <c r="P472" s="73">
        <v>7.5632107023411397</v>
      </c>
      <c r="Q472" s="74">
        <f>VLOOKUP(B472,Readme!A$40:C$51,2,)*P472</f>
        <v>26.017444816053519</v>
      </c>
    </row>
    <row r="473" spans="1:17" ht="12" customHeight="1" x14ac:dyDescent="0.35">
      <c r="A473" s="75">
        <v>472</v>
      </c>
      <c r="B473" s="64">
        <v>2011</v>
      </c>
      <c r="C473" s="64">
        <v>8</v>
      </c>
      <c r="D473" s="80">
        <f t="shared" si="17"/>
        <v>2011</v>
      </c>
      <c r="E473" t="s">
        <v>38</v>
      </c>
      <c r="F473" t="s">
        <v>143</v>
      </c>
      <c r="G473" t="s">
        <v>10</v>
      </c>
      <c r="H473" s="72" t="s">
        <v>212</v>
      </c>
      <c r="I473" s="72" t="s">
        <v>54</v>
      </c>
      <c r="J473" t="str">
        <f t="shared" si="18"/>
        <v>Puyallup River</v>
      </c>
      <c r="K473" t="str">
        <f>IFERROR(VLOOKUP(J473,LUTs!$A$1:$C$73,2,FALSE),"NA")</f>
        <v>Pierce</v>
      </c>
      <c r="L473" t="str">
        <f>IFERROR(VLOOKUP(J473,LUTs!$A$1:$C$73,3,FALSE),"NA")</f>
        <v>3South Puget Sound</v>
      </c>
      <c r="M473" s="72" t="s">
        <v>18</v>
      </c>
      <c r="N473" t="str">
        <f>VLOOKUP(M473,LUTs!E$2:H$14,3,)</f>
        <v>06King</v>
      </c>
      <c r="O473" t="str">
        <f>VLOOKUP(M473,LUTs!E$2:H$14,4,)</f>
        <v>02South Puget Sound</v>
      </c>
      <c r="P473" s="73">
        <v>17266.810033444799</v>
      </c>
      <c r="Q473" s="74">
        <f>VLOOKUP(B473,Readme!A$40:C$51,2,)*P473</f>
        <v>59397.82651505011</v>
      </c>
    </row>
    <row r="474" spans="1:17" ht="12" customHeight="1" x14ac:dyDescent="0.35">
      <c r="A474" s="75">
        <v>473</v>
      </c>
      <c r="B474" s="64">
        <v>2011</v>
      </c>
      <c r="C474" s="64">
        <v>8</v>
      </c>
      <c r="D474" s="80">
        <f t="shared" si="17"/>
        <v>2011</v>
      </c>
      <c r="E474" t="s">
        <v>38</v>
      </c>
      <c r="F474" t="s">
        <v>143</v>
      </c>
      <c r="G474" t="s">
        <v>10</v>
      </c>
      <c r="H474" s="72" t="s">
        <v>212</v>
      </c>
      <c r="I474" s="72" t="s">
        <v>54</v>
      </c>
      <c r="J474" t="str">
        <f t="shared" si="18"/>
        <v>Puyallup River</v>
      </c>
      <c r="K474" t="str">
        <f>IFERROR(VLOOKUP(J474,LUTs!$A$1:$C$73,2,FALSE),"NA")</f>
        <v>Pierce</v>
      </c>
      <c r="L474" t="str">
        <f>IFERROR(VLOOKUP(J474,LUTs!$A$1:$C$73,3,FALSE),"NA")</f>
        <v>3South Puget Sound</v>
      </c>
      <c r="M474" s="72" t="s">
        <v>23</v>
      </c>
      <c r="N474" t="str">
        <f>VLOOKUP(M474,LUTs!E$2:H$14,3,)</f>
        <v>10Kitsap</v>
      </c>
      <c r="O474" t="str">
        <f>VLOOKUP(M474,LUTs!E$2:H$14,4,)</f>
        <v>02South Puget Sound</v>
      </c>
      <c r="P474" s="73">
        <v>642.87290969899698</v>
      </c>
      <c r="Q474" s="74">
        <f>VLOOKUP(B474,Readme!A$40:C$51,2,)*P474</f>
        <v>2211.4828093645497</v>
      </c>
    </row>
    <row r="475" spans="1:17" ht="12" customHeight="1" x14ac:dyDescent="0.35">
      <c r="A475" s="75">
        <v>474</v>
      </c>
      <c r="B475" s="64">
        <v>2011</v>
      </c>
      <c r="C475" s="64">
        <v>8</v>
      </c>
      <c r="D475" s="80">
        <f t="shared" si="17"/>
        <v>2011</v>
      </c>
      <c r="E475" t="s">
        <v>38</v>
      </c>
      <c r="F475" t="s">
        <v>143</v>
      </c>
      <c r="G475" t="s">
        <v>10</v>
      </c>
      <c r="H475" s="72" t="s">
        <v>212</v>
      </c>
      <c r="I475" s="72" t="s">
        <v>54</v>
      </c>
      <c r="J475" t="str">
        <f t="shared" si="18"/>
        <v>Puyallup River</v>
      </c>
      <c r="K475" t="str">
        <f>IFERROR(VLOOKUP(J475,LUTs!$A$1:$C$73,2,FALSE),"NA")</f>
        <v>Pierce</v>
      </c>
      <c r="L475" t="str">
        <f>IFERROR(VLOOKUP(J475,LUTs!$A$1:$C$73,3,FALSE),"NA")</f>
        <v>3South Puget Sound</v>
      </c>
      <c r="M475" s="72" t="s">
        <v>22</v>
      </c>
      <c r="N475" t="str">
        <f>VLOOKUP(M475,LUTs!E$2:H$14,3,)</f>
        <v>09Mason</v>
      </c>
      <c r="O475" t="str">
        <f>VLOOKUP(M475,LUTs!E$2:H$14,4,)</f>
        <v>02South Puget Sound</v>
      </c>
      <c r="P475" s="73">
        <v>204.20668896321101</v>
      </c>
      <c r="Q475" s="74">
        <f>VLOOKUP(B475,Readme!A$40:C$51,2,)*P475</f>
        <v>702.47101003344585</v>
      </c>
    </row>
    <row r="476" spans="1:17" ht="12" customHeight="1" x14ac:dyDescent="0.35">
      <c r="A476" s="75">
        <v>475</v>
      </c>
      <c r="B476" s="64">
        <v>2011</v>
      </c>
      <c r="C476" s="64">
        <v>8</v>
      </c>
      <c r="D476" s="80">
        <f t="shared" si="17"/>
        <v>2011</v>
      </c>
      <c r="E476" t="s">
        <v>38</v>
      </c>
      <c r="F476" t="s">
        <v>143</v>
      </c>
      <c r="G476" t="s">
        <v>10</v>
      </c>
      <c r="H476" s="72" t="s">
        <v>212</v>
      </c>
      <c r="I476" s="72" t="s">
        <v>54</v>
      </c>
      <c r="J476" t="str">
        <f t="shared" si="18"/>
        <v>Puyallup River</v>
      </c>
      <c r="K476" t="str">
        <f>IFERROR(VLOOKUP(J476,LUTs!$A$1:$C$73,2,FALSE),"NA")</f>
        <v>Pierce</v>
      </c>
      <c r="L476" t="str">
        <f>IFERROR(VLOOKUP(J476,LUTs!$A$1:$C$73,3,FALSE),"NA")</f>
        <v>3South Puget Sound</v>
      </c>
      <c r="M476" s="72" t="s">
        <v>26</v>
      </c>
      <c r="N476" t="str">
        <f>VLOOKUP(M476,LUTs!E$2:H$14,3,)</f>
        <v>20Other</v>
      </c>
      <c r="O476" t="str">
        <f>VLOOKUP(M476,LUTs!E$2:H$14,4,)</f>
        <v>07Non Puget Sound</v>
      </c>
      <c r="P476" s="73">
        <v>3191.6749163879599</v>
      </c>
      <c r="Q476" s="74">
        <f>VLOOKUP(B476,Readme!A$40:C$51,2,)*P476</f>
        <v>10979.361712374583</v>
      </c>
    </row>
    <row r="477" spans="1:17" ht="12" customHeight="1" x14ac:dyDescent="0.35">
      <c r="A477" s="75">
        <v>476</v>
      </c>
      <c r="B477" s="64">
        <v>2011</v>
      </c>
      <c r="C477" s="64">
        <v>8</v>
      </c>
      <c r="D477" s="80">
        <f t="shared" si="17"/>
        <v>2011</v>
      </c>
      <c r="E477" t="s">
        <v>38</v>
      </c>
      <c r="F477" t="s">
        <v>143</v>
      </c>
      <c r="G477" t="s">
        <v>10</v>
      </c>
      <c r="H477" s="72" t="s">
        <v>212</v>
      </c>
      <c r="I477" s="72" t="s">
        <v>54</v>
      </c>
      <c r="J477" t="str">
        <f t="shared" si="18"/>
        <v>Puyallup River</v>
      </c>
      <c r="K477" t="str">
        <f>IFERROR(VLOOKUP(J477,LUTs!$A$1:$C$73,2,FALSE),"NA")</f>
        <v>Pierce</v>
      </c>
      <c r="L477" t="str">
        <f>IFERROR(VLOOKUP(J477,LUTs!$A$1:$C$73,3,FALSE),"NA")</f>
        <v>3South Puget Sound</v>
      </c>
      <c r="M477" s="72" t="s">
        <v>20</v>
      </c>
      <c r="N477" t="str">
        <f>VLOOKUP(M477,LUTs!E$2:H$14,3,)</f>
        <v>07Pierce</v>
      </c>
      <c r="O477" t="str">
        <f>VLOOKUP(M477,LUTs!E$2:H$14,4,)</f>
        <v>02South Puget Sound</v>
      </c>
      <c r="P477" s="73">
        <v>31500.772575250801</v>
      </c>
      <c r="Q477" s="74">
        <f>VLOOKUP(B477,Readme!A$40:C$51,2,)*P477</f>
        <v>108362.65765886275</v>
      </c>
    </row>
    <row r="478" spans="1:17" ht="12" customHeight="1" x14ac:dyDescent="0.35">
      <c r="A478" s="75">
        <v>477</v>
      </c>
      <c r="B478" s="64">
        <v>2011</v>
      </c>
      <c r="C478" s="64">
        <v>8</v>
      </c>
      <c r="D478" s="80">
        <f t="shared" si="17"/>
        <v>2011</v>
      </c>
      <c r="E478" t="s">
        <v>38</v>
      </c>
      <c r="F478" t="s">
        <v>143</v>
      </c>
      <c r="G478" t="s">
        <v>10</v>
      </c>
      <c r="H478" s="72" t="s">
        <v>212</v>
      </c>
      <c r="I478" s="72" t="s">
        <v>54</v>
      </c>
      <c r="J478" t="str">
        <f t="shared" si="18"/>
        <v>Puyallup River</v>
      </c>
      <c r="K478" t="str">
        <f>IFERROR(VLOOKUP(J478,LUTs!$A$1:$C$73,2,FALSE),"NA")</f>
        <v>Pierce</v>
      </c>
      <c r="L478" t="str">
        <f>IFERROR(VLOOKUP(J478,LUTs!$A$1:$C$73,3,FALSE),"NA")</f>
        <v>3South Puget Sound</v>
      </c>
      <c r="M478" s="72" t="s">
        <v>16</v>
      </c>
      <c r="N478" t="str">
        <f>VLOOKUP(M478,LUTs!E$2:H$14,3,)</f>
        <v>03Snohomish</v>
      </c>
      <c r="O478" t="str">
        <f>VLOOKUP(M478,LUTs!E$2:H$14,4,)</f>
        <v>01North Puget Sound</v>
      </c>
      <c r="P478" s="73">
        <v>582.36722408026799</v>
      </c>
      <c r="Q478" s="74">
        <f>VLOOKUP(B478,Readme!A$40:C$51,2,)*P478</f>
        <v>2003.3432508361218</v>
      </c>
    </row>
    <row r="479" spans="1:17" ht="12" customHeight="1" x14ac:dyDescent="0.35">
      <c r="A479" s="75">
        <v>478</v>
      </c>
      <c r="B479" s="64">
        <v>2011</v>
      </c>
      <c r="C479" s="64">
        <v>8</v>
      </c>
      <c r="D479" s="80">
        <f t="shared" si="17"/>
        <v>2011</v>
      </c>
      <c r="E479" t="s">
        <v>38</v>
      </c>
      <c r="F479" t="s">
        <v>143</v>
      </c>
      <c r="G479" t="s">
        <v>10</v>
      </c>
      <c r="H479" s="72" t="s">
        <v>212</v>
      </c>
      <c r="I479" s="72" t="s">
        <v>54</v>
      </c>
      <c r="J479" t="str">
        <f t="shared" si="18"/>
        <v>Puyallup River</v>
      </c>
      <c r="K479" t="str">
        <f>IFERROR(VLOOKUP(J479,LUTs!$A$1:$C$73,2,FALSE),"NA")</f>
        <v>Pierce</v>
      </c>
      <c r="L479" t="str">
        <f>IFERROR(VLOOKUP(J479,LUTs!$A$1:$C$73,3,FALSE),"NA")</f>
        <v>3South Puget Sound</v>
      </c>
      <c r="M479" s="72" t="s">
        <v>21</v>
      </c>
      <c r="N479" t="str">
        <f>VLOOKUP(M479,LUTs!E$2:H$14,3,)</f>
        <v>08Thurston</v>
      </c>
      <c r="O479" t="str">
        <f>VLOOKUP(M479,LUTs!E$2:H$14,4,)</f>
        <v>02South Puget Sound</v>
      </c>
      <c r="P479" s="73">
        <v>3063.1003344481601</v>
      </c>
      <c r="Q479" s="74">
        <f>VLOOKUP(B479,Readme!A$40:C$51,2,)*P479</f>
        <v>10537.06515050167</v>
      </c>
    </row>
    <row r="480" spans="1:17" ht="12" customHeight="1" x14ac:dyDescent="0.35">
      <c r="A480" s="75">
        <v>479</v>
      </c>
      <c r="B480" s="64">
        <v>2011</v>
      </c>
      <c r="C480" s="64">
        <v>9</v>
      </c>
      <c r="D480" s="80">
        <f t="shared" si="17"/>
        <v>2011</v>
      </c>
      <c r="E480" t="s">
        <v>38</v>
      </c>
      <c r="F480" t="s">
        <v>143</v>
      </c>
      <c r="G480" t="s">
        <v>10</v>
      </c>
      <c r="H480" s="72" t="s">
        <v>212</v>
      </c>
      <c r="I480" s="72" t="s">
        <v>54</v>
      </c>
      <c r="J480" t="str">
        <f t="shared" si="18"/>
        <v>Puyallup River</v>
      </c>
      <c r="K480" t="str">
        <f>IFERROR(VLOOKUP(J480,LUTs!$A$1:$C$73,2,FALSE),"NA")</f>
        <v>Pierce</v>
      </c>
      <c r="L480" t="str">
        <f>IFERROR(VLOOKUP(J480,LUTs!$A$1:$C$73,3,FALSE),"NA")</f>
        <v>3South Puget Sound</v>
      </c>
      <c r="M480" s="72" t="s">
        <v>17</v>
      </c>
      <c r="N480" t="str">
        <f>VLOOKUP(M480,LUTs!E$2:H$14,3,)</f>
        <v>04Island</v>
      </c>
      <c r="O480" t="str">
        <f>VLOOKUP(M480,LUTs!E$2:H$14,4,)</f>
        <v>01North Puget Sound</v>
      </c>
      <c r="P480" s="73">
        <v>15.129344026321199</v>
      </c>
      <c r="Q480" s="74">
        <f>VLOOKUP(B480,Readme!A$40:C$51,2,)*P480</f>
        <v>52.044943450544928</v>
      </c>
    </row>
    <row r="481" spans="1:17" ht="12" customHeight="1" x14ac:dyDescent="0.35">
      <c r="A481" s="75">
        <v>480</v>
      </c>
      <c r="B481" s="64">
        <v>2011</v>
      </c>
      <c r="C481" s="64">
        <v>9</v>
      </c>
      <c r="D481" s="80">
        <f t="shared" si="17"/>
        <v>2011</v>
      </c>
      <c r="E481" t="s">
        <v>38</v>
      </c>
      <c r="F481" t="s">
        <v>143</v>
      </c>
      <c r="G481" t="s">
        <v>10</v>
      </c>
      <c r="H481" s="72" t="s">
        <v>212</v>
      </c>
      <c r="I481" s="72" t="s">
        <v>54</v>
      </c>
      <c r="J481" t="str">
        <f t="shared" si="18"/>
        <v>Puyallup River</v>
      </c>
      <c r="K481" t="str">
        <f>IFERROR(VLOOKUP(J481,LUTs!$A$1:$C$73,2,FALSE),"NA")</f>
        <v>Pierce</v>
      </c>
      <c r="L481" t="str">
        <f>IFERROR(VLOOKUP(J481,LUTs!$A$1:$C$73,3,FALSE),"NA")</f>
        <v>3South Puget Sound</v>
      </c>
      <c r="M481" s="72" t="s">
        <v>18</v>
      </c>
      <c r="N481" t="str">
        <f>VLOOKUP(M481,LUTs!E$2:H$14,3,)</f>
        <v>06King</v>
      </c>
      <c r="O481" t="str">
        <f>VLOOKUP(M481,LUTs!E$2:H$14,4,)</f>
        <v>02South Puget Sound</v>
      </c>
      <c r="P481" s="73">
        <v>24411.196586469301</v>
      </c>
      <c r="Q481" s="74">
        <f>VLOOKUP(B481,Readme!A$40:C$51,2,)*P481</f>
        <v>83974.516257454394</v>
      </c>
    </row>
    <row r="482" spans="1:17" ht="12" customHeight="1" x14ac:dyDescent="0.35">
      <c r="A482" s="75">
        <v>481</v>
      </c>
      <c r="B482" s="64">
        <v>2011</v>
      </c>
      <c r="C482" s="64">
        <v>9</v>
      </c>
      <c r="D482" s="80">
        <f t="shared" si="17"/>
        <v>2011</v>
      </c>
      <c r="E482" t="s">
        <v>38</v>
      </c>
      <c r="F482" t="s">
        <v>143</v>
      </c>
      <c r="G482" t="s">
        <v>10</v>
      </c>
      <c r="H482" s="72" t="s">
        <v>212</v>
      </c>
      <c r="I482" s="72" t="s">
        <v>54</v>
      </c>
      <c r="J482" t="str">
        <f t="shared" si="18"/>
        <v>Puyallup River</v>
      </c>
      <c r="K482" t="str">
        <f>IFERROR(VLOOKUP(J482,LUTs!$A$1:$C$73,2,FALSE),"NA")</f>
        <v>Pierce</v>
      </c>
      <c r="L482" t="str">
        <f>IFERROR(VLOOKUP(J482,LUTs!$A$1:$C$73,3,FALSE),"NA")</f>
        <v>3South Puget Sound</v>
      </c>
      <c r="M482" s="72" t="s">
        <v>23</v>
      </c>
      <c r="N482" t="str">
        <f>VLOOKUP(M482,LUTs!E$2:H$14,3,)</f>
        <v>10Kitsap</v>
      </c>
      <c r="O482" t="str">
        <f>VLOOKUP(M482,LUTs!E$2:H$14,4,)</f>
        <v>02South Puget Sound</v>
      </c>
      <c r="P482" s="73">
        <v>990.97203372403897</v>
      </c>
      <c r="Q482" s="74">
        <f>VLOOKUP(B482,Readme!A$40:C$51,2,)*P482</f>
        <v>3408.9437960106939</v>
      </c>
    </row>
    <row r="483" spans="1:17" ht="12" customHeight="1" x14ac:dyDescent="0.35">
      <c r="A483" s="75">
        <v>482</v>
      </c>
      <c r="B483" s="64">
        <v>2011</v>
      </c>
      <c r="C483" s="64">
        <v>9</v>
      </c>
      <c r="D483" s="80">
        <f t="shared" si="17"/>
        <v>2011</v>
      </c>
      <c r="E483" t="s">
        <v>38</v>
      </c>
      <c r="F483" t="s">
        <v>143</v>
      </c>
      <c r="G483" t="s">
        <v>10</v>
      </c>
      <c r="H483" s="72" t="s">
        <v>212</v>
      </c>
      <c r="I483" s="72" t="s">
        <v>54</v>
      </c>
      <c r="J483" t="str">
        <f t="shared" si="18"/>
        <v>Puyallup River</v>
      </c>
      <c r="K483" t="str">
        <f>IFERROR(VLOOKUP(J483,LUTs!$A$1:$C$73,2,FALSE),"NA")</f>
        <v>Pierce</v>
      </c>
      <c r="L483" t="str">
        <f>IFERROR(VLOOKUP(J483,LUTs!$A$1:$C$73,3,FALSE),"NA")</f>
        <v>3South Puget Sound</v>
      </c>
      <c r="M483" s="72" t="s">
        <v>22</v>
      </c>
      <c r="N483" t="str">
        <f>VLOOKUP(M483,LUTs!E$2:H$14,3,)</f>
        <v>09Mason</v>
      </c>
      <c r="O483" t="str">
        <f>VLOOKUP(M483,LUTs!E$2:H$14,4,)</f>
        <v>02South Puget Sound</v>
      </c>
      <c r="P483" s="73">
        <v>287.457536500103</v>
      </c>
      <c r="Q483" s="74">
        <f>VLOOKUP(B483,Readme!A$40:C$51,2,)*P483</f>
        <v>988.85392556035436</v>
      </c>
    </row>
    <row r="484" spans="1:17" ht="12" customHeight="1" x14ac:dyDescent="0.35">
      <c r="A484" s="75">
        <v>483</v>
      </c>
      <c r="B484" s="64">
        <v>2011</v>
      </c>
      <c r="C484" s="64">
        <v>9</v>
      </c>
      <c r="D484" s="80">
        <f t="shared" si="17"/>
        <v>2011</v>
      </c>
      <c r="E484" t="s">
        <v>38</v>
      </c>
      <c r="F484" t="s">
        <v>143</v>
      </c>
      <c r="G484" t="s">
        <v>10</v>
      </c>
      <c r="H484" s="72" t="s">
        <v>212</v>
      </c>
      <c r="I484" s="72" t="s">
        <v>54</v>
      </c>
      <c r="J484" t="str">
        <f t="shared" si="18"/>
        <v>Puyallup River</v>
      </c>
      <c r="K484" t="str">
        <f>IFERROR(VLOOKUP(J484,LUTs!$A$1:$C$73,2,FALSE),"NA")</f>
        <v>Pierce</v>
      </c>
      <c r="L484" t="str">
        <f>IFERROR(VLOOKUP(J484,LUTs!$A$1:$C$73,3,FALSE),"NA")</f>
        <v>3South Puget Sound</v>
      </c>
      <c r="M484" s="72" t="s">
        <v>26</v>
      </c>
      <c r="N484" t="str">
        <f>VLOOKUP(M484,LUTs!E$2:H$14,3,)</f>
        <v>20Other</v>
      </c>
      <c r="O484" t="str">
        <f>VLOOKUP(M484,LUTs!E$2:H$14,4,)</f>
        <v>07Non Puget Sound</v>
      </c>
      <c r="P484" s="73">
        <v>4274.0396874357402</v>
      </c>
      <c r="Q484" s="74">
        <f>VLOOKUP(B484,Readme!A$40:C$51,2,)*P484</f>
        <v>14702.696524778947</v>
      </c>
    </row>
    <row r="485" spans="1:17" ht="12" customHeight="1" x14ac:dyDescent="0.35">
      <c r="A485" s="75">
        <v>484</v>
      </c>
      <c r="B485" s="64">
        <v>2011</v>
      </c>
      <c r="C485" s="64">
        <v>9</v>
      </c>
      <c r="D485" s="80">
        <f t="shared" si="17"/>
        <v>2011</v>
      </c>
      <c r="E485" t="s">
        <v>38</v>
      </c>
      <c r="F485" t="s">
        <v>143</v>
      </c>
      <c r="G485" t="s">
        <v>10</v>
      </c>
      <c r="H485" s="72" t="s">
        <v>212</v>
      </c>
      <c r="I485" s="72" t="s">
        <v>54</v>
      </c>
      <c r="J485" t="str">
        <f t="shared" si="18"/>
        <v>Puyallup River</v>
      </c>
      <c r="K485" t="str">
        <f>IFERROR(VLOOKUP(J485,LUTs!$A$1:$C$73,2,FALSE),"NA")</f>
        <v>Pierce</v>
      </c>
      <c r="L485" t="str">
        <f>IFERROR(VLOOKUP(J485,LUTs!$A$1:$C$73,3,FALSE),"NA")</f>
        <v>3South Puget Sound</v>
      </c>
      <c r="M485" s="72" t="s">
        <v>20</v>
      </c>
      <c r="N485" t="str">
        <f>VLOOKUP(M485,LUTs!E$2:H$14,3,)</f>
        <v>07Pierce</v>
      </c>
      <c r="O485" t="str">
        <f>VLOOKUP(M485,LUTs!E$2:H$14,4,)</f>
        <v>02South Puget Sound</v>
      </c>
      <c r="P485" s="73">
        <v>38020.041538145197</v>
      </c>
      <c r="Q485" s="74">
        <f>VLOOKUP(B485,Readme!A$40:C$51,2,)*P485</f>
        <v>130788.94289121947</v>
      </c>
    </row>
    <row r="486" spans="1:17" ht="12" customHeight="1" x14ac:dyDescent="0.35">
      <c r="A486" s="75">
        <v>485</v>
      </c>
      <c r="B486" s="64">
        <v>2011</v>
      </c>
      <c r="C486" s="64">
        <v>9</v>
      </c>
      <c r="D486" s="80">
        <f t="shared" si="17"/>
        <v>2011</v>
      </c>
      <c r="E486" t="s">
        <v>38</v>
      </c>
      <c r="F486" t="s">
        <v>143</v>
      </c>
      <c r="G486" t="s">
        <v>10</v>
      </c>
      <c r="H486" s="72" t="s">
        <v>212</v>
      </c>
      <c r="I486" s="72" t="s">
        <v>54</v>
      </c>
      <c r="J486" t="str">
        <f t="shared" si="18"/>
        <v>Puyallup River</v>
      </c>
      <c r="K486" t="str">
        <f>IFERROR(VLOOKUP(J486,LUTs!$A$1:$C$73,2,FALSE),"NA")</f>
        <v>Pierce</v>
      </c>
      <c r="L486" t="str">
        <f>IFERROR(VLOOKUP(J486,LUTs!$A$1:$C$73,3,FALSE),"NA")</f>
        <v>3South Puget Sound</v>
      </c>
      <c r="M486" s="72" t="s">
        <v>15</v>
      </c>
      <c r="N486" t="str">
        <f>VLOOKUP(M486,LUTs!E$2:H$14,3,)</f>
        <v>02Skagit</v>
      </c>
      <c r="O486" t="str">
        <f>VLOOKUP(M486,LUTs!E$2:H$14,4,)</f>
        <v>01North Puget Sound</v>
      </c>
      <c r="P486" s="73">
        <v>15.129344026321199</v>
      </c>
      <c r="Q486" s="74">
        <f>VLOOKUP(B486,Readme!A$40:C$51,2,)*P486</f>
        <v>52.044943450544928</v>
      </c>
    </row>
    <row r="487" spans="1:17" ht="12" customHeight="1" x14ac:dyDescent="0.35">
      <c r="A487" s="75">
        <v>486</v>
      </c>
      <c r="B487" s="64">
        <v>2011</v>
      </c>
      <c r="C487" s="64">
        <v>9</v>
      </c>
      <c r="D487" s="80">
        <f t="shared" si="17"/>
        <v>2011</v>
      </c>
      <c r="E487" t="s">
        <v>38</v>
      </c>
      <c r="F487" t="s">
        <v>143</v>
      </c>
      <c r="G487" t="s">
        <v>10</v>
      </c>
      <c r="H487" s="72" t="s">
        <v>212</v>
      </c>
      <c r="I487" s="72" t="s">
        <v>54</v>
      </c>
      <c r="J487" t="str">
        <f t="shared" si="18"/>
        <v>Puyallup River</v>
      </c>
      <c r="K487" t="str">
        <f>IFERROR(VLOOKUP(J487,LUTs!$A$1:$C$73,2,FALSE),"NA")</f>
        <v>Pierce</v>
      </c>
      <c r="L487" t="str">
        <f>IFERROR(VLOOKUP(J487,LUTs!$A$1:$C$73,3,FALSE),"NA")</f>
        <v>3South Puget Sound</v>
      </c>
      <c r="M487" s="72" t="s">
        <v>16</v>
      </c>
      <c r="N487" t="str">
        <f>VLOOKUP(M487,LUTs!E$2:H$14,3,)</f>
        <v>03Snohomish</v>
      </c>
      <c r="O487" t="str">
        <f>VLOOKUP(M487,LUTs!E$2:H$14,4,)</f>
        <v>01North Puget Sound</v>
      </c>
      <c r="P487" s="73">
        <v>1233.0415381451801</v>
      </c>
      <c r="Q487" s="74">
        <f>VLOOKUP(B487,Readme!A$40:C$51,2,)*P487</f>
        <v>4241.6628912194192</v>
      </c>
    </row>
    <row r="488" spans="1:17" ht="12" customHeight="1" x14ac:dyDescent="0.35">
      <c r="A488" s="75">
        <v>487</v>
      </c>
      <c r="B488" s="64">
        <v>2011</v>
      </c>
      <c r="C488" s="64">
        <v>9</v>
      </c>
      <c r="D488" s="80">
        <f t="shared" si="17"/>
        <v>2011</v>
      </c>
      <c r="E488" t="s">
        <v>38</v>
      </c>
      <c r="F488" t="s">
        <v>143</v>
      </c>
      <c r="G488" t="s">
        <v>10</v>
      </c>
      <c r="H488" s="72" t="s">
        <v>212</v>
      </c>
      <c r="I488" s="72" t="s">
        <v>54</v>
      </c>
      <c r="J488" t="str">
        <f t="shared" si="18"/>
        <v>Puyallup River</v>
      </c>
      <c r="K488" t="str">
        <f>IFERROR(VLOOKUP(J488,LUTs!$A$1:$C$73,2,FALSE),"NA")</f>
        <v>Pierce</v>
      </c>
      <c r="L488" t="str">
        <f>IFERROR(VLOOKUP(J488,LUTs!$A$1:$C$73,3,FALSE),"NA")</f>
        <v>3South Puget Sound</v>
      </c>
      <c r="M488" s="72" t="s">
        <v>21</v>
      </c>
      <c r="N488" t="str">
        <f>VLOOKUP(M488,LUTs!E$2:H$14,3,)</f>
        <v>08Thurston</v>
      </c>
      <c r="O488" t="str">
        <f>VLOOKUP(M488,LUTs!E$2:H$14,4,)</f>
        <v>02South Puget Sound</v>
      </c>
      <c r="P488" s="73">
        <v>4289.16903146206</v>
      </c>
      <c r="Q488" s="74">
        <f>VLOOKUP(B488,Readme!A$40:C$51,2,)*P488</f>
        <v>14754.741468229486</v>
      </c>
    </row>
    <row r="489" spans="1:17" ht="12" customHeight="1" x14ac:dyDescent="0.35">
      <c r="A489" s="75">
        <v>488</v>
      </c>
      <c r="B489" s="64">
        <v>2011</v>
      </c>
      <c r="C489" s="64">
        <v>9</v>
      </c>
      <c r="D489" s="80">
        <f t="shared" si="17"/>
        <v>2011</v>
      </c>
      <c r="E489" t="s">
        <v>38</v>
      </c>
      <c r="F489" t="s">
        <v>143</v>
      </c>
      <c r="G489" t="s">
        <v>10</v>
      </c>
      <c r="H489" s="72" t="s">
        <v>212</v>
      </c>
      <c r="I489" s="72" t="s">
        <v>54</v>
      </c>
      <c r="J489" t="str">
        <f t="shared" si="18"/>
        <v>Puyallup River</v>
      </c>
      <c r="K489" t="str">
        <f>IFERROR(VLOOKUP(J489,LUTs!$A$1:$C$73,2,FALSE),"NA")</f>
        <v>Pierce</v>
      </c>
      <c r="L489" t="str">
        <f>IFERROR(VLOOKUP(J489,LUTs!$A$1:$C$73,3,FALSE),"NA")</f>
        <v>3South Puget Sound</v>
      </c>
      <c r="M489" s="72" t="s">
        <v>13</v>
      </c>
      <c r="N489" t="str">
        <f>VLOOKUP(M489,LUTs!E$2:H$14,3,)</f>
        <v>01Whatcom</v>
      </c>
      <c r="O489" t="str">
        <f>VLOOKUP(M489,LUTs!E$2:H$14,4,)</f>
        <v>01North Puget Sound</v>
      </c>
      <c r="P489" s="73">
        <v>37.823360065803001</v>
      </c>
      <c r="Q489" s="74">
        <f>VLOOKUP(B489,Readme!A$40:C$51,2,)*P489</f>
        <v>130.11235862636232</v>
      </c>
    </row>
    <row r="490" spans="1:17" ht="12" customHeight="1" x14ac:dyDescent="0.35">
      <c r="A490" s="75">
        <v>489</v>
      </c>
      <c r="B490" s="64">
        <v>2011</v>
      </c>
      <c r="C490" s="64">
        <v>10</v>
      </c>
      <c r="D490" s="80">
        <f t="shared" si="17"/>
        <v>2011</v>
      </c>
      <c r="E490" t="s">
        <v>38</v>
      </c>
      <c r="F490" t="s">
        <v>143</v>
      </c>
      <c r="G490" t="s">
        <v>10</v>
      </c>
      <c r="H490" s="72" t="s">
        <v>212</v>
      </c>
      <c r="I490" s="72" t="s">
        <v>54</v>
      </c>
      <c r="J490" t="str">
        <f t="shared" si="18"/>
        <v>Puyallup River</v>
      </c>
      <c r="K490" t="str">
        <f>IFERROR(VLOOKUP(J490,LUTs!$A$1:$C$73,2,FALSE),"NA")</f>
        <v>Pierce</v>
      </c>
      <c r="L490" t="str">
        <f>IFERROR(VLOOKUP(J490,LUTs!$A$1:$C$73,3,FALSE),"NA")</f>
        <v>3South Puget Sound</v>
      </c>
      <c r="M490" s="72" t="s">
        <v>18</v>
      </c>
      <c r="N490" t="str">
        <f>VLOOKUP(M490,LUTs!E$2:H$14,3,)</f>
        <v>06King</v>
      </c>
      <c r="O490" t="str">
        <f>VLOOKUP(M490,LUTs!E$2:H$14,4,)</f>
        <v>02South Puget Sound</v>
      </c>
      <c r="P490" s="73">
        <v>650.18965517241395</v>
      </c>
      <c r="Q490" s="74">
        <f>VLOOKUP(B490,Readme!A$40:C$51,2,)*P490</f>
        <v>2236.6524137931037</v>
      </c>
    </row>
    <row r="491" spans="1:17" ht="12" customHeight="1" x14ac:dyDescent="0.35">
      <c r="A491" s="75">
        <v>490</v>
      </c>
      <c r="B491" s="64">
        <v>2011</v>
      </c>
      <c r="C491" s="64">
        <v>10</v>
      </c>
      <c r="D491" s="80">
        <f t="shared" si="17"/>
        <v>2011</v>
      </c>
      <c r="E491" t="s">
        <v>38</v>
      </c>
      <c r="F491" t="s">
        <v>143</v>
      </c>
      <c r="G491" t="s">
        <v>10</v>
      </c>
      <c r="H491" s="72" t="s">
        <v>212</v>
      </c>
      <c r="I491" s="72" t="s">
        <v>54</v>
      </c>
      <c r="J491" t="str">
        <f t="shared" si="18"/>
        <v>Puyallup River</v>
      </c>
      <c r="K491" t="str">
        <f>IFERROR(VLOOKUP(J491,LUTs!$A$1:$C$73,2,FALSE),"NA")</f>
        <v>Pierce</v>
      </c>
      <c r="L491" t="str">
        <f>IFERROR(VLOOKUP(J491,LUTs!$A$1:$C$73,3,FALSE),"NA")</f>
        <v>3South Puget Sound</v>
      </c>
      <c r="M491" s="72" t="s">
        <v>22</v>
      </c>
      <c r="N491" t="str">
        <f>VLOOKUP(M491,LUTs!E$2:H$14,3,)</f>
        <v>09Mason</v>
      </c>
      <c r="O491" t="str">
        <f>VLOOKUP(M491,LUTs!E$2:H$14,4,)</f>
        <v>02South Puget Sound</v>
      </c>
      <c r="P491" s="73">
        <v>7.56034482758621</v>
      </c>
      <c r="Q491" s="74">
        <f>VLOOKUP(B491,Readme!A$40:C$51,2,)*P491</f>
        <v>26.007586206896562</v>
      </c>
    </row>
    <row r="492" spans="1:17" ht="12" customHeight="1" x14ac:dyDescent="0.35">
      <c r="A492" s="75">
        <v>491</v>
      </c>
      <c r="B492" s="64">
        <v>2011</v>
      </c>
      <c r="C492" s="64">
        <v>10</v>
      </c>
      <c r="D492" s="80">
        <f t="shared" si="17"/>
        <v>2011</v>
      </c>
      <c r="E492" t="s">
        <v>38</v>
      </c>
      <c r="F492" t="s">
        <v>143</v>
      </c>
      <c r="G492" t="s">
        <v>10</v>
      </c>
      <c r="H492" s="72" t="s">
        <v>212</v>
      </c>
      <c r="I492" s="72" t="s">
        <v>54</v>
      </c>
      <c r="J492" t="str">
        <f t="shared" si="18"/>
        <v>Puyallup River</v>
      </c>
      <c r="K492" t="str">
        <f>IFERROR(VLOOKUP(J492,LUTs!$A$1:$C$73,2,FALSE),"NA")</f>
        <v>Pierce</v>
      </c>
      <c r="L492" t="str">
        <f>IFERROR(VLOOKUP(J492,LUTs!$A$1:$C$73,3,FALSE),"NA")</f>
        <v>3South Puget Sound</v>
      </c>
      <c r="M492" s="72" t="s">
        <v>26</v>
      </c>
      <c r="N492" t="str">
        <f>VLOOKUP(M492,LUTs!E$2:H$14,3,)</f>
        <v>20Other</v>
      </c>
      <c r="O492" t="str">
        <f>VLOOKUP(M492,LUTs!E$2:H$14,4,)</f>
        <v>07Non Puget Sound</v>
      </c>
      <c r="P492" s="73">
        <v>105.844827586207</v>
      </c>
      <c r="Q492" s="74">
        <f>VLOOKUP(B492,Readme!A$40:C$51,2,)*P492</f>
        <v>364.10620689655207</v>
      </c>
    </row>
    <row r="493" spans="1:17" ht="12" customHeight="1" x14ac:dyDescent="0.35">
      <c r="A493" s="75">
        <v>492</v>
      </c>
      <c r="B493" s="64">
        <v>2011</v>
      </c>
      <c r="C493" s="64">
        <v>10</v>
      </c>
      <c r="D493" s="80">
        <f t="shared" si="17"/>
        <v>2011</v>
      </c>
      <c r="E493" t="s">
        <v>38</v>
      </c>
      <c r="F493" t="s">
        <v>143</v>
      </c>
      <c r="G493" t="s">
        <v>10</v>
      </c>
      <c r="H493" s="72" t="s">
        <v>212</v>
      </c>
      <c r="I493" s="72" t="s">
        <v>54</v>
      </c>
      <c r="J493" t="str">
        <f t="shared" si="18"/>
        <v>Puyallup River</v>
      </c>
      <c r="K493" t="str">
        <f>IFERROR(VLOOKUP(J493,LUTs!$A$1:$C$73,2,FALSE),"NA")</f>
        <v>Pierce</v>
      </c>
      <c r="L493" t="str">
        <f>IFERROR(VLOOKUP(J493,LUTs!$A$1:$C$73,3,FALSE),"NA")</f>
        <v>3South Puget Sound</v>
      </c>
      <c r="M493" s="72" t="s">
        <v>20</v>
      </c>
      <c r="N493" t="str">
        <f>VLOOKUP(M493,LUTs!E$2:H$14,3,)</f>
        <v>07Pierce</v>
      </c>
      <c r="O493" t="str">
        <f>VLOOKUP(M493,LUTs!E$2:H$14,4,)</f>
        <v>02South Puget Sound</v>
      </c>
      <c r="P493" s="73">
        <v>1731.31896551724</v>
      </c>
      <c r="Q493" s="74">
        <f>VLOOKUP(B493,Readme!A$40:C$51,2,)*P493</f>
        <v>5955.7372413793055</v>
      </c>
    </row>
    <row r="494" spans="1:17" ht="12" customHeight="1" x14ac:dyDescent="0.35">
      <c r="A494" s="75">
        <v>493</v>
      </c>
      <c r="B494" s="64">
        <v>2011</v>
      </c>
      <c r="C494" s="64">
        <v>10</v>
      </c>
      <c r="D494" s="80">
        <f t="shared" si="17"/>
        <v>2011</v>
      </c>
      <c r="E494" t="s">
        <v>38</v>
      </c>
      <c r="F494" t="s">
        <v>143</v>
      </c>
      <c r="G494" t="s">
        <v>10</v>
      </c>
      <c r="H494" s="72" t="s">
        <v>212</v>
      </c>
      <c r="I494" s="72" t="s">
        <v>54</v>
      </c>
      <c r="J494" t="str">
        <f t="shared" si="18"/>
        <v>Puyallup River</v>
      </c>
      <c r="K494" t="str">
        <f>IFERROR(VLOOKUP(J494,LUTs!$A$1:$C$73,2,FALSE),"NA")</f>
        <v>Pierce</v>
      </c>
      <c r="L494" t="str">
        <f>IFERROR(VLOOKUP(J494,LUTs!$A$1:$C$73,3,FALSE),"NA")</f>
        <v>3South Puget Sound</v>
      </c>
      <c r="M494" s="72" t="s">
        <v>16</v>
      </c>
      <c r="N494" t="str">
        <f>VLOOKUP(M494,LUTs!E$2:H$14,3,)</f>
        <v>03Snohomish</v>
      </c>
      <c r="O494" t="str">
        <f>VLOOKUP(M494,LUTs!E$2:H$14,4,)</f>
        <v>01North Puget Sound</v>
      </c>
      <c r="P494" s="73">
        <v>15.1206896551724</v>
      </c>
      <c r="Q494" s="74">
        <f>VLOOKUP(B494,Readme!A$40:C$51,2,)*P494</f>
        <v>52.01517241379306</v>
      </c>
    </row>
    <row r="495" spans="1:17" ht="12" customHeight="1" x14ac:dyDescent="0.35">
      <c r="A495" s="75">
        <v>494</v>
      </c>
      <c r="B495" s="64">
        <v>2011</v>
      </c>
      <c r="C495" s="64">
        <v>10</v>
      </c>
      <c r="D495" s="80">
        <f t="shared" si="17"/>
        <v>2011</v>
      </c>
      <c r="E495" t="s">
        <v>38</v>
      </c>
      <c r="F495" t="s">
        <v>143</v>
      </c>
      <c r="G495" t="s">
        <v>10</v>
      </c>
      <c r="H495" s="72" t="s">
        <v>212</v>
      </c>
      <c r="I495" s="72" t="s">
        <v>54</v>
      </c>
      <c r="J495" t="str">
        <f t="shared" si="18"/>
        <v>Puyallup River</v>
      </c>
      <c r="K495" t="str">
        <f>IFERROR(VLOOKUP(J495,LUTs!$A$1:$C$73,2,FALSE),"NA")</f>
        <v>Pierce</v>
      </c>
      <c r="L495" t="str">
        <f>IFERROR(VLOOKUP(J495,LUTs!$A$1:$C$73,3,FALSE),"NA")</f>
        <v>3South Puget Sound</v>
      </c>
      <c r="M495" s="72" t="s">
        <v>21</v>
      </c>
      <c r="N495" t="str">
        <f>VLOOKUP(M495,LUTs!E$2:H$14,3,)</f>
        <v>08Thurston</v>
      </c>
      <c r="O495" t="str">
        <f>VLOOKUP(M495,LUTs!E$2:H$14,4,)</f>
        <v>02South Puget Sound</v>
      </c>
      <c r="P495" s="73">
        <v>90.724137931034505</v>
      </c>
      <c r="Q495" s="74">
        <f>VLOOKUP(B495,Readme!A$40:C$51,2,)*P495</f>
        <v>312.09103448275869</v>
      </c>
    </row>
    <row r="496" spans="1:17" ht="12" customHeight="1" x14ac:dyDescent="0.35">
      <c r="A496" s="75">
        <v>495</v>
      </c>
      <c r="B496" s="64">
        <v>2011</v>
      </c>
      <c r="C496" s="64">
        <v>10</v>
      </c>
      <c r="D496" s="80">
        <f t="shared" si="17"/>
        <v>2011</v>
      </c>
      <c r="E496" t="s">
        <v>38</v>
      </c>
      <c r="F496" t="s">
        <v>143</v>
      </c>
      <c r="G496" t="s">
        <v>10</v>
      </c>
      <c r="H496" s="72" t="s">
        <v>212</v>
      </c>
      <c r="I496" s="72" t="s">
        <v>54</v>
      </c>
      <c r="J496" t="str">
        <f t="shared" si="18"/>
        <v>Puyallup River</v>
      </c>
      <c r="K496" t="str">
        <f>IFERROR(VLOOKUP(J496,LUTs!$A$1:$C$73,2,FALSE),"NA")</f>
        <v>Pierce</v>
      </c>
      <c r="L496" t="str">
        <f>IFERROR(VLOOKUP(J496,LUTs!$A$1:$C$73,3,FALSE),"NA")</f>
        <v>3South Puget Sound</v>
      </c>
      <c r="M496" s="72" t="s">
        <v>13</v>
      </c>
      <c r="N496" t="str">
        <f>VLOOKUP(M496,LUTs!E$2:H$14,3,)</f>
        <v>01Whatcom</v>
      </c>
      <c r="O496" t="str">
        <f>VLOOKUP(M496,LUTs!E$2:H$14,4,)</f>
        <v>01North Puget Sound</v>
      </c>
      <c r="P496" s="73">
        <v>30.241379310344801</v>
      </c>
      <c r="Q496" s="74">
        <f>VLOOKUP(B496,Readme!A$40:C$51,2,)*P496</f>
        <v>104.03034482758612</v>
      </c>
    </row>
    <row r="497" spans="1:17" ht="12" customHeight="1" x14ac:dyDescent="0.35">
      <c r="A497" s="75">
        <v>496</v>
      </c>
      <c r="B497" s="64">
        <v>2011</v>
      </c>
      <c r="C497" s="64">
        <v>11</v>
      </c>
      <c r="D497" s="80">
        <f t="shared" si="17"/>
        <v>2011</v>
      </c>
      <c r="E497" t="s">
        <v>38</v>
      </c>
      <c r="F497" t="s">
        <v>143</v>
      </c>
      <c r="G497" t="s">
        <v>10</v>
      </c>
      <c r="H497" s="72" t="s">
        <v>212</v>
      </c>
      <c r="I497" s="72" t="s">
        <v>54</v>
      </c>
      <c r="J497" t="str">
        <f t="shared" si="18"/>
        <v>Puyallup River</v>
      </c>
      <c r="K497" t="str">
        <f>IFERROR(VLOOKUP(J497,LUTs!$A$1:$C$73,2,FALSE),"NA")</f>
        <v>Pierce</v>
      </c>
      <c r="L497" t="str">
        <f>IFERROR(VLOOKUP(J497,LUTs!$A$1:$C$73,3,FALSE),"NA")</f>
        <v>3South Puget Sound</v>
      </c>
      <c r="M497" s="72" t="s">
        <v>18</v>
      </c>
      <c r="N497" t="str">
        <f>VLOOKUP(M497,LUTs!E$2:H$14,3,)</f>
        <v>06King</v>
      </c>
      <c r="O497" t="str">
        <f>VLOOKUP(M497,LUTs!E$2:H$14,4,)</f>
        <v>02South Puget Sound</v>
      </c>
      <c r="P497" s="73">
        <v>52.1111111111111</v>
      </c>
      <c r="Q497" s="74">
        <f>VLOOKUP(B497,Readme!A$40:C$51,2,)*P497</f>
        <v>179.26222222222219</v>
      </c>
    </row>
    <row r="498" spans="1:17" ht="12" customHeight="1" x14ac:dyDescent="0.35">
      <c r="A498" s="75">
        <v>497</v>
      </c>
      <c r="B498" s="64">
        <v>2011</v>
      </c>
      <c r="C498" s="64">
        <v>11</v>
      </c>
      <c r="D498" s="80">
        <f t="shared" si="17"/>
        <v>2011</v>
      </c>
      <c r="E498" t="s">
        <v>38</v>
      </c>
      <c r="F498" t="s">
        <v>143</v>
      </c>
      <c r="G498" t="s">
        <v>10</v>
      </c>
      <c r="H498" s="72" t="s">
        <v>212</v>
      </c>
      <c r="I498" s="72" t="s">
        <v>54</v>
      </c>
      <c r="J498" t="str">
        <f t="shared" si="18"/>
        <v>Puyallup River</v>
      </c>
      <c r="K498" t="str">
        <f>IFERROR(VLOOKUP(J498,LUTs!$A$1:$C$73,2,FALSE),"NA")</f>
        <v>Pierce</v>
      </c>
      <c r="L498" t="str">
        <f>IFERROR(VLOOKUP(J498,LUTs!$A$1:$C$73,3,FALSE),"NA")</f>
        <v>3South Puget Sound</v>
      </c>
      <c r="M498" s="72" t="s">
        <v>20</v>
      </c>
      <c r="N498" t="str">
        <f>VLOOKUP(M498,LUTs!E$2:H$14,3,)</f>
        <v>07Pierce</v>
      </c>
      <c r="O498" t="str">
        <f>VLOOKUP(M498,LUTs!E$2:H$14,4,)</f>
        <v>02South Puget Sound</v>
      </c>
      <c r="P498" s="73">
        <v>208.444444444445</v>
      </c>
      <c r="Q498" s="74">
        <f>VLOOKUP(B498,Readme!A$40:C$51,2,)*P498</f>
        <v>717.04888888889081</v>
      </c>
    </row>
    <row r="499" spans="1:17" ht="12" customHeight="1" x14ac:dyDescent="0.35">
      <c r="A499" s="75">
        <v>498</v>
      </c>
      <c r="B499" s="64">
        <v>2011</v>
      </c>
      <c r="C499" s="64">
        <v>11</v>
      </c>
      <c r="D499" s="80">
        <f t="shared" si="17"/>
        <v>2011</v>
      </c>
      <c r="E499" t="s">
        <v>38</v>
      </c>
      <c r="F499" t="s">
        <v>143</v>
      </c>
      <c r="G499" t="s">
        <v>10</v>
      </c>
      <c r="H499" s="72" t="s">
        <v>212</v>
      </c>
      <c r="I499" s="72" t="s">
        <v>54</v>
      </c>
      <c r="J499" t="str">
        <f t="shared" si="18"/>
        <v>Puyallup River</v>
      </c>
      <c r="K499" t="str">
        <f>IFERROR(VLOOKUP(J499,LUTs!$A$1:$C$73,2,FALSE),"NA")</f>
        <v>Pierce</v>
      </c>
      <c r="L499" t="str">
        <f>IFERROR(VLOOKUP(J499,LUTs!$A$1:$C$73,3,FALSE),"NA")</f>
        <v>3South Puget Sound</v>
      </c>
      <c r="M499" s="72" t="s">
        <v>13</v>
      </c>
      <c r="N499" t="str">
        <f>VLOOKUP(M499,LUTs!E$2:H$14,3,)</f>
        <v>01Whatcom</v>
      </c>
      <c r="O499" t="str">
        <f>VLOOKUP(M499,LUTs!E$2:H$14,4,)</f>
        <v>01North Puget Sound</v>
      </c>
      <c r="P499" s="73">
        <v>7.44444444444445</v>
      </c>
      <c r="Q499" s="74">
        <f>VLOOKUP(B499,Readme!A$40:C$51,2,)*P499</f>
        <v>25.608888888888906</v>
      </c>
    </row>
    <row r="500" spans="1:17" ht="12" customHeight="1" x14ac:dyDescent="0.35">
      <c r="A500" s="75">
        <v>499</v>
      </c>
      <c r="B500" s="64">
        <v>2011</v>
      </c>
      <c r="C500" s="64">
        <v>12</v>
      </c>
      <c r="D500" s="80">
        <f t="shared" si="17"/>
        <v>2011</v>
      </c>
      <c r="E500" t="s">
        <v>38</v>
      </c>
      <c r="F500" t="s">
        <v>143</v>
      </c>
      <c r="G500" t="s">
        <v>10</v>
      </c>
      <c r="H500" s="72" t="s">
        <v>212</v>
      </c>
      <c r="I500" s="72" t="s">
        <v>54</v>
      </c>
      <c r="J500" t="str">
        <f t="shared" si="18"/>
        <v>Puyallup River</v>
      </c>
      <c r="K500" t="str">
        <f>IFERROR(VLOOKUP(J500,LUTs!$A$1:$C$73,2,FALSE),"NA")</f>
        <v>Pierce</v>
      </c>
      <c r="L500" t="str">
        <f>IFERROR(VLOOKUP(J500,LUTs!$A$1:$C$73,3,FALSE),"NA")</f>
        <v>3South Puget Sound</v>
      </c>
      <c r="M500" s="72" t="s">
        <v>20</v>
      </c>
      <c r="N500" t="str">
        <f>VLOOKUP(M500,LUTs!E$2:H$14,3,)</f>
        <v>07Pierce</v>
      </c>
      <c r="O500" t="str">
        <f>VLOOKUP(M500,LUTs!E$2:H$14,4,)</f>
        <v>02South Puget Sound</v>
      </c>
      <c r="P500" s="73">
        <v>494</v>
      </c>
      <c r="Q500" s="74">
        <f>VLOOKUP(B500,Readme!A$40:C$51,2,)*P500</f>
        <v>1699.36</v>
      </c>
    </row>
    <row r="501" spans="1:17" ht="12" customHeight="1" x14ac:dyDescent="0.35">
      <c r="A501" s="75">
        <v>500</v>
      </c>
      <c r="B501" s="64">
        <v>2011</v>
      </c>
      <c r="C501" s="64">
        <v>11</v>
      </c>
      <c r="D501" s="80">
        <f t="shared" si="17"/>
        <v>2011</v>
      </c>
      <c r="E501" t="s">
        <v>38</v>
      </c>
      <c r="F501" t="s">
        <v>143</v>
      </c>
      <c r="G501" t="s">
        <v>10</v>
      </c>
      <c r="H501" s="72" t="s">
        <v>227</v>
      </c>
      <c r="I501" s="72" t="s">
        <v>69</v>
      </c>
      <c r="J501" t="str">
        <f t="shared" si="18"/>
        <v>Pysht River</v>
      </c>
      <c r="K501" t="str">
        <f>IFERROR(VLOOKUP(J501,LUTs!$A$1:$C$73,2,FALSE),"NA")</f>
        <v>Clallam</v>
      </c>
      <c r="L501" t="str">
        <f>IFERROR(VLOOKUP(J501,LUTs!$A$1:$C$73,3,FALSE),"NA")</f>
        <v>0Strait of Juan de Fuca</v>
      </c>
      <c r="M501" s="72" t="s">
        <v>23</v>
      </c>
      <c r="N501" t="str">
        <f>VLOOKUP(M501,LUTs!E$2:H$14,3,)</f>
        <v>10Kitsap</v>
      </c>
      <c r="O501" t="str">
        <f>VLOOKUP(M501,LUTs!E$2:H$14,4,)</f>
        <v>02South Puget Sound</v>
      </c>
      <c r="P501" s="73">
        <v>18</v>
      </c>
      <c r="Q501" s="74">
        <f>VLOOKUP(B501,Readme!A$40:C$51,2,)*P501</f>
        <v>61.92</v>
      </c>
    </row>
    <row r="502" spans="1:17" ht="12" customHeight="1" x14ac:dyDescent="0.35">
      <c r="A502" s="75">
        <v>501</v>
      </c>
      <c r="B502" s="64">
        <v>2011</v>
      </c>
      <c r="C502" s="64">
        <v>12</v>
      </c>
      <c r="D502" s="80">
        <f t="shared" si="17"/>
        <v>2011</v>
      </c>
      <c r="E502" t="s">
        <v>38</v>
      </c>
      <c r="F502" t="s">
        <v>143</v>
      </c>
      <c r="G502" t="s">
        <v>10</v>
      </c>
      <c r="H502" s="72" t="s">
        <v>227</v>
      </c>
      <c r="I502" s="72" t="s">
        <v>69</v>
      </c>
      <c r="J502" t="str">
        <f t="shared" si="18"/>
        <v>Pysht River</v>
      </c>
      <c r="K502" t="str">
        <f>IFERROR(VLOOKUP(J502,LUTs!$A$1:$C$73,2,FALSE),"NA")</f>
        <v>Clallam</v>
      </c>
      <c r="L502" t="str">
        <f>IFERROR(VLOOKUP(J502,LUTs!$A$1:$C$73,3,FALSE),"NA")</f>
        <v>0Strait of Juan de Fuca</v>
      </c>
      <c r="M502" s="72" t="s">
        <v>23</v>
      </c>
      <c r="N502" t="str">
        <f>VLOOKUP(M502,LUTs!E$2:H$14,3,)</f>
        <v>10Kitsap</v>
      </c>
      <c r="O502" t="str">
        <f>VLOOKUP(M502,LUTs!E$2:H$14,4,)</f>
        <v>02South Puget Sound</v>
      </c>
      <c r="P502" s="73">
        <v>9</v>
      </c>
      <c r="Q502" s="74">
        <f>VLOOKUP(B502,Readme!A$40:C$51,2,)*P502</f>
        <v>30.96</v>
      </c>
    </row>
    <row r="503" spans="1:17" ht="12" customHeight="1" x14ac:dyDescent="0.35">
      <c r="A503" s="75">
        <v>502</v>
      </c>
      <c r="B503" s="64">
        <v>2011</v>
      </c>
      <c r="C503" s="64">
        <v>8</v>
      </c>
      <c r="D503" s="80">
        <f t="shared" si="17"/>
        <v>2011</v>
      </c>
      <c r="E503" t="s">
        <v>38</v>
      </c>
      <c r="F503" t="s">
        <v>143</v>
      </c>
      <c r="G503" t="s">
        <v>10</v>
      </c>
      <c r="H503" s="72" t="s">
        <v>213</v>
      </c>
      <c r="I503" s="72" t="s">
        <v>55</v>
      </c>
      <c r="J503" t="str">
        <f t="shared" si="18"/>
        <v>Quilcene River</v>
      </c>
      <c r="K503" t="str">
        <f>IFERROR(VLOOKUP(J503,LUTs!$A$1:$C$73,2,FALSE),"NA")</f>
        <v>Jefferson</v>
      </c>
      <c r="L503" t="str">
        <f>IFERROR(VLOOKUP(J503,LUTs!$A$1:$C$73,3,FALSE),"NA")</f>
        <v>4 Hood Canal</v>
      </c>
      <c r="M503" s="72" t="s">
        <v>24</v>
      </c>
      <c r="N503" t="str">
        <f>VLOOKUP(M503,LUTs!E$2:H$14,3,)</f>
        <v>11Clallam</v>
      </c>
      <c r="O503" t="str">
        <f>VLOOKUP(M503,LUTs!E$2:H$14,4,)</f>
        <v>03Strait of Juan de Fuca</v>
      </c>
      <c r="P503" s="73">
        <v>165</v>
      </c>
      <c r="Q503" s="74">
        <f>VLOOKUP(B503,Readme!A$40:C$51,2,)*P503</f>
        <v>567.6</v>
      </c>
    </row>
    <row r="504" spans="1:17" ht="12" customHeight="1" x14ac:dyDescent="0.35">
      <c r="A504" s="75">
        <v>503</v>
      </c>
      <c r="B504" s="64">
        <v>2011</v>
      </c>
      <c r="C504" s="64">
        <v>8</v>
      </c>
      <c r="D504" s="80">
        <f t="shared" si="17"/>
        <v>2011</v>
      </c>
      <c r="E504" t="s">
        <v>38</v>
      </c>
      <c r="F504" t="s">
        <v>143</v>
      </c>
      <c r="G504" t="s">
        <v>10</v>
      </c>
      <c r="H504" s="72" t="s">
        <v>213</v>
      </c>
      <c r="I504" s="72" t="s">
        <v>55</v>
      </c>
      <c r="J504" t="str">
        <f t="shared" si="18"/>
        <v>Quilcene River</v>
      </c>
      <c r="K504" t="str">
        <f>IFERROR(VLOOKUP(J504,LUTs!$A$1:$C$73,2,FALSE),"NA")</f>
        <v>Jefferson</v>
      </c>
      <c r="L504" t="str">
        <f>IFERROR(VLOOKUP(J504,LUTs!$A$1:$C$73,3,FALSE),"NA")</f>
        <v>4 Hood Canal</v>
      </c>
      <c r="M504" s="72" t="s">
        <v>17</v>
      </c>
      <c r="N504" t="str">
        <f>VLOOKUP(M504,LUTs!E$2:H$14,3,)</f>
        <v>04Island</v>
      </c>
      <c r="O504" t="str">
        <f>VLOOKUP(M504,LUTs!E$2:H$14,4,)</f>
        <v>01North Puget Sound</v>
      </c>
      <c r="P504" s="73">
        <v>105</v>
      </c>
      <c r="Q504" s="74">
        <f>VLOOKUP(B504,Readme!A$40:C$51,2,)*P504</f>
        <v>361.2</v>
      </c>
    </row>
    <row r="505" spans="1:17" ht="12" customHeight="1" x14ac:dyDescent="0.35">
      <c r="A505" s="75">
        <v>504</v>
      </c>
      <c r="B505" s="64">
        <v>2011</v>
      </c>
      <c r="C505" s="64">
        <v>8</v>
      </c>
      <c r="D505" s="80">
        <f t="shared" si="17"/>
        <v>2011</v>
      </c>
      <c r="E505" t="s">
        <v>38</v>
      </c>
      <c r="F505" t="s">
        <v>143</v>
      </c>
      <c r="G505" t="s">
        <v>10</v>
      </c>
      <c r="H505" s="72" t="s">
        <v>213</v>
      </c>
      <c r="I505" s="72" t="s">
        <v>55</v>
      </c>
      <c r="J505" t="str">
        <f t="shared" si="18"/>
        <v>Quilcene River</v>
      </c>
      <c r="K505" t="str">
        <f>IFERROR(VLOOKUP(J505,LUTs!$A$1:$C$73,2,FALSE),"NA")</f>
        <v>Jefferson</v>
      </c>
      <c r="L505" t="str">
        <f>IFERROR(VLOOKUP(J505,LUTs!$A$1:$C$73,3,FALSE),"NA")</f>
        <v>4 Hood Canal</v>
      </c>
      <c r="M505" s="72" t="s">
        <v>25</v>
      </c>
      <c r="N505" t="str">
        <f>VLOOKUP(M505,LUTs!E$2:H$14,3,)</f>
        <v>12Jefferson</v>
      </c>
      <c r="O505" t="str">
        <f>VLOOKUP(M505,LUTs!E$2:H$14,4,)</f>
        <v>03Strait of Juan de Fuca</v>
      </c>
      <c r="P505" s="73">
        <v>135</v>
      </c>
      <c r="Q505" s="74">
        <f>VLOOKUP(B505,Readme!A$40:C$51,2,)*P505</f>
        <v>464.4</v>
      </c>
    </row>
    <row r="506" spans="1:17" ht="12" customHeight="1" x14ac:dyDescent="0.35">
      <c r="A506" s="75">
        <v>505</v>
      </c>
      <c r="B506" s="64">
        <v>2011</v>
      </c>
      <c r="C506" s="64">
        <v>8</v>
      </c>
      <c r="D506" s="80">
        <f t="shared" si="17"/>
        <v>2011</v>
      </c>
      <c r="E506" t="s">
        <v>38</v>
      </c>
      <c r="F506" t="s">
        <v>143</v>
      </c>
      <c r="G506" t="s">
        <v>10</v>
      </c>
      <c r="H506" s="72" t="s">
        <v>213</v>
      </c>
      <c r="I506" s="72" t="s">
        <v>55</v>
      </c>
      <c r="J506" t="str">
        <f t="shared" si="18"/>
        <v>Quilcene River</v>
      </c>
      <c r="K506" t="str">
        <f>IFERROR(VLOOKUP(J506,LUTs!$A$1:$C$73,2,FALSE),"NA")</f>
        <v>Jefferson</v>
      </c>
      <c r="L506" t="str">
        <f>IFERROR(VLOOKUP(J506,LUTs!$A$1:$C$73,3,FALSE),"NA")</f>
        <v>4 Hood Canal</v>
      </c>
      <c r="M506" s="72" t="s">
        <v>18</v>
      </c>
      <c r="N506" t="str">
        <f>VLOOKUP(M506,LUTs!E$2:H$14,3,)</f>
        <v>06King</v>
      </c>
      <c r="O506" t="str">
        <f>VLOOKUP(M506,LUTs!E$2:H$14,4,)</f>
        <v>02South Puget Sound</v>
      </c>
      <c r="P506" s="73">
        <v>202.5</v>
      </c>
      <c r="Q506" s="74">
        <f>VLOOKUP(B506,Readme!A$40:C$51,2,)*P506</f>
        <v>696.6</v>
      </c>
    </row>
    <row r="507" spans="1:17" ht="12" customHeight="1" x14ac:dyDescent="0.35">
      <c r="A507" s="75">
        <v>506</v>
      </c>
      <c r="B507" s="64">
        <v>2011</v>
      </c>
      <c r="C507" s="64">
        <v>8</v>
      </c>
      <c r="D507" s="80">
        <f t="shared" si="17"/>
        <v>2011</v>
      </c>
      <c r="E507" t="s">
        <v>38</v>
      </c>
      <c r="F507" t="s">
        <v>143</v>
      </c>
      <c r="G507" t="s">
        <v>10</v>
      </c>
      <c r="H507" s="72" t="s">
        <v>213</v>
      </c>
      <c r="I507" s="72" t="s">
        <v>55</v>
      </c>
      <c r="J507" t="str">
        <f t="shared" si="18"/>
        <v>Quilcene River</v>
      </c>
      <c r="K507" t="str">
        <f>IFERROR(VLOOKUP(J507,LUTs!$A$1:$C$73,2,FALSE),"NA")</f>
        <v>Jefferson</v>
      </c>
      <c r="L507" t="str">
        <f>IFERROR(VLOOKUP(J507,LUTs!$A$1:$C$73,3,FALSE),"NA")</f>
        <v>4 Hood Canal</v>
      </c>
      <c r="M507" s="72" t="s">
        <v>23</v>
      </c>
      <c r="N507" t="str">
        <f>VLOOKUP(M507,LUTs!E$2:H$14,3,)</f>
        <v>10Kitsap</v>
      </c>
      <c r="O507" t="str">
        <f>VLOOKUP(M507,LUTs!E$2:H$14,4,)</f>
        <v>02South Puget Sound</v>
      </c>
      <c r="P507" s="73">
        <v>97.5</v>
      </c>
      <c r="Q507" s="74">
        <f>VLOOKUP(B507,Readme!A$40:C$51,2,)*P507</f>
        <v>335.4</v>
      </c>
    </row>
    <row r="508" spans="1:17" ht="12" customHeight="1" x14ac:dyDescent="0.35">
      <c r="A508" s="75">
        <v>507</v>
      </c>
      <c r="B508" s="64">
        <v>2011</v>
      </c>
      <c r="C508" s="64">
        <v>8</v>
      </c>
      <c r="D508" s="80">
        <f t="shared" si="17"/>
        <v>2011</v>
      </c>
      <c r="E508" t="s">
        <v>38</v>
      </c>
      <c r="F508" t="s">
        <v>143</v>
      </c>
      <c r="G508" t="s">
        <v>10</v>
      </c>
      <c r="H508" s="72" t="s">
        <v>213</v>
      </c>
      <c r="I508" s="72" t="s">
        <v>55</v>
      </c>
      <c r="J508" t="str">
        <f t="shared" si="18"/>
        <v>Quilcene River</v>
      </c>
      <c r="K508" t="str">
        <f>IFERROR(VLOOKUP(J508,LUTs!$A$1:$C$73,2,FALSE),"NA")</f>
        <v>Jefferson</v>
      </c>
      <c r="L508" t="str">
        <f>IFERROR(VLOOKUP(J508,LUTs!$A$1:$C$73,3,FALSE),"NA")</f>
        <v>4 Hood Canal</v>
      </c>
      <c r="M508" s="72" t="s">
        <v>22</v>
      </c>
      <c r="N508" t="str">
        <f>VLOOKUP(M508,LUTs!E$2:H$14,3,)</f>
        <v>09Mason</v>
      </c>
      <c r="O508" t="str">
        <f>VLOOKUP(M508,LUTs!E$2:H$14,4,)</f>
        <v>02South Puget Sound</v>
      </c>
      <c r="P508" s="73">
        <v>15</v>
      </c>
      <c r="Q508" s="74">
        <f>VLOOKUP(B508,Readme!A$40:C$51,2,)*P508</f>
        <v>51.6</v>
      </c>
    </row>
    <row r="509" spans="1:17" ht="12" customHeight="1" x14ac:dyDescent="0.35">
      <c r="A509" s="75">
        <v>508</v>
      </c>
      <c r="B509" s="64">
        <v>2011</v>
      </c>
      <c r="C509" s="64">
        <v>8</v>
      </c>
      <c r="D509" s="80">
        <f t="shared" si="17"/>
        <v>2011</v>
      </c>
      <c r="E509" t="s">
        <v>38</v>
      </c>
      <c r="F509" t="s">
        <v>143</v>
      </c>
      <c r="G509" t="s">
        <v>10</v>
      </c>
      <c r="H509" s="72" t="s">
        <v>213</v>
      </c>
      <c r="I509" s="72" t="s">
        <v>55</v>
      </c>
      <c r="J509" t="str">
        <f t="shared" si="18"/>
        <v>Quilcene River</v>
      </c>
      <c r="K509" t="str">
        <f>IFERROR(VLOOKUP(J509,LUTs!$A$1:$C$73,2,FALSE),"NA")</f>
        <v>Jefferson</v>
      </c>
      <c r="L509" t="str">
        <f>IFERROR(VLOOKUP(J509,LUTs!$A$1:$C$73,3,FALSE),"NA")</f>
        <v>4 Hood Canal</v>
      </c>
      <c r="M509" s="72" t="s">
        <v>26</v>
      </c>
      <c r="N509" t="str">
        <f>VLOOKUP(M509,LUTs!E$2:H$14,3,)</f>
        <v>20Other</v>
      </c>
      <c r="O509" t="str">
        <f>VLOOKUP(M509,LUTs!E$2:H$14,4,)</f>
        <v>07Non Puget Sound</v>
      </c>
      <c r="P509" s="73">
        <v>7.5</v>
      </c>
      <c r="Q509" s="74">
        <f>VLOOKUP(B509,Readme!A$40:C$51,2,)*P509</f>
        <v>25.8</v>
      </c>
    </row>
    <row r="510" spans="1:17" ht="12" customHeight="1" x14ac:dyDescent="0.35">
      <c r="A510" s="75">
        <v>509</v>
      </c>
      <c r="B510" s="64">
        <v>2011</v>
      </c>
      <c r="C510" s="64">
        <v>8</v>
      </c>
      <c r="D510" s="80">
        <f t="shared" si="17"/>
        <v>2011</v>
      </c>
      <c r="E510" t="s">
        <v>38</v>
      </c>
      <c r="F510" t="s">
        <v>143</v>
      </c>
      <c r="G510" t="s">
        <v>10</v>
      </c>
      <c r="H510" s="72" t="s">
        <v>213</v>
      </c>
      <c r="I510" s="72" t="s">
        <v>55</v>
      </c>
      <c r="J510" t="str">
        <f t="shared" si="18"/>
        <v>Quilcene River</v>
      </c>
      <c r="K510" t="str">
        <f>IFERROR(VLOOKUP(J510,LUTs!$A$1:$C$73,2,FALSE),"NA")</f>
        <v>Jefferson</v>
      </c>
      <c r="L510" t="str">
        <f>IFERROR(VLOOKUP(J510,LUTs!$A$1:$C$73,3,FALSE),"NA")</f>
        <v>4 Hood Canal</v>
      </c>
      <c r="M510" s="72" t="s">
        <v>16</v>
      </c>
      <c r="N510" t="str">
        <f>VLOOKUP(M510,LUTs!E$2:H$14,3,)</f>
        <v>03Snohomish</v>
      </c>
      <c r="O510" t="str">
        <f>VLOOKUP(M510,LUTs!E$2:H$14,4,)</f>
        <v>01North Puget Sound</v>
      </c>
      <c r="P510" s="73">
        <v>30</v>
      </c>
      <c r="Q510" s="74">
        <f>VLOOKUP(B510,Readme!A$40:C$51,2,)*P510</f>
        <v>103.2</v>
      </c>
    </row>
    <row r="511" spans="1:17" ht="12" customHeight="1" x14ac:dyDescent="0.35">
      <c r="A511" s="75">
        <v>510</v>
      </c>
      <c r="B511" s="64">
        <v>2011</v>
      </c>
      <c r="C511" s="64">
        <v>8</v>
      </c>
      <c r="D511" s="80">
        <f t="shared" si="17"/>
        <v>2011</v>
      </c>
      <c r="E511" t="s">
        <v>38</v>
      </c>
      <c r="F511" t="s">
        <v>143</v>
      </c>
      <c r="G511" t="s">
        <v>10</v>
      </c>
      <c r="H511" s="72" t="s">
        <v>213</v>
      </c>
      <c r="I511" s="72" t="s">
        <v>55</v>
      </c>
      <c r="J511" t="str">
        <f t="shared" si="18"/>
        <v>Quilcene River</v>
      </c>
      <c r="K511" t="str">
        <f>IFERROR(VLOOKUP(J511,LUTs!$A$1:$C$73,2,FALSE),"NA")</f>
        <v>Jefferson</v>
      </c>
      <c r="L511" t="str">
        <f>IFERROR(VLOOKUP(J511,LUTs!$A$1:$C$73,3,FALSE),"NA")</f>
        <v>4 Hood Canal</v>
      </c>
      <c r="M511" s="72" t="s">
        <v>21</v>
      </c>
      <c r="N511" t="str">
        <f>VLOOKUP(M511,LUTs!E$2:H$14,3,)</f>
        <v>08Thurston</v>
      </c>
      <c r="O511" t="str">
        <f>VLOOKUP(M511,LUTs!E$2:H$14,4,)</f>
        <v>02South Puget Sound</v>
      </c>
      <c r="P511" s="73">
        <v>37.5</v>
      </c>
      <c r="Q511" s="74">
        <f>VLOOKUP(B511,Readme!A$40:C$51,2,)*P511</f>
        <v>129</v>
      </c>
    </row>
    <row r="512" spans="1:17" ht="12" customHeight="1" x14ac:dyDescent="0.35">
      <c r="A512" s="75">
        <v>511</v>
      </c>
      <c r="B512" s="64">
        <v>2011</v>
      </c>
      <c r="C512" s="64">
        <v>9</v>
      </c>
      <c r="D512" s="80">
        <f t="shared" si="17"/>
        <v>2011</v>
      </c>
      <c r="E512" t="s">
        <v>38</v>
      </c>
      <c r="F512" t="s">
        <v>143</v>
      </c>
      <c r="G512" t="s">
        <v>10</v>
      </c>
      <c r="H512" s="72" t="s">
        <v>213</v>
      </c>
      <c r="I512" s="72" t="s">
        <v>55</v>
      </c>
      <c r="J512" t="str">
        <f t="shared" si="18"/>
        <v>Quilcene River</v>
      </c>
      <c r="K512" t="str">
        <f>IFERROR(VLOOKUP(J512,LUTs!$A$1:$C$73,2,FALSE),"NA")</f>
        <v>Jefferson</v>
      </c>
      <c r="L512" t="str">
        <f>IFERROR(VLOOKUP(J512,LUTs!$A$1:$C$73,3,FALSE),"NA")</f>
        <v>4 Hood Canal</v>
      </c>
      <c r="M512" s="72" t="s">
        <v>24</v>
      </c>
      <c r="N512" t="str">
        <f>VLOOKUP(M512,LUTs!E$2:H$14,3,)</f>
        <v>11Clallam</v>
      </c>
      <c r="O512" t="str">
        <f>VLOOKUP(M512,LUTs!E$2:H$14,4,)</f>
        <v>03Strait of Juan de Fuca</v>
      </c>
      <c r="P512" s="73">
        <v>877.98347107437996</v>
      </c>
      <c r="Q512" s="74">
        <f>VLOOKUP(B512,Readme!A$40:C$51,2,)*P512</f>
        <v>3020.263140495867</v>
      </c>
    </row>
    <row r="513" spans="1:17" ht="12" customHeight="1" x14ac:dyDescent="0.35">
      <c r="A513" s="75">
        <v>512</v>
      </c>
      <c r="B513" s="64">
        <v>2011</v>
      </c>
      <c r="C513" s="64">
        <v>9</v>
      </c>
      <c r="D513" s="80">
        <f t="shared" si="17"/>
        <v>2011</v>
      </c>
      <c r="E513" t="s">
        <v>38</v>
      </c>
      <c r="F513" t="s">
        <v>143</v>
      </c>
      <c r="G513" t="s">
        <v>10</v>
      </c>
      <c r="H513" s="72" t="s">
        <v>213</v>
      </c>
      <c r="I513" s="72" t="s">
        <v>55</v>
      </c>
      <c r="J513" t="str">
        <f t="shared" si="18"/>
        <v>Quilcene River</v>
      </c>
      <c r="K513" t="str">
        <f>IFERROR(VLOOKUP(J513,LUTs!$A$1:$C$73,2,FALSE),"NA")</f>
        <v>Jefferson</v>
      </c>
      <c r="L513" t="str">
        <f>IFERROR(VLOOKUP(J513,LUTs!$A$1:$C$73,3,FALSE),"NA")</f>
        <v>4 Hood Canal</v>
      </c>
      <c r="M513" s="72" t="s">
        <v>17</v>
      </c>
      <c r="N513" t="str">
        <f>VLOOKUP(M513,LUTs!E$2:H$14,3,)</f>
        <v>04Island</v>
      </c>
      <c r="O513" t="str">
        <f>VLOOKUP(M513,LUTs!E$2:H$14,4,)</f>
        <v>01North Puget Sound</v>
      </c>
      <c r="P513" s="73">
        <v>67.537190082644599</v>
      </c>
      <c r="Q513" s="74">
        <f>VLOOKUP(B513,Readme!A$40:C$51,2,)*P513</f>
        <v>232.32793388429741</v>
      </c>
    </row>
    <row r="514" spans="1:17" ht="12" customHeight="1" x14ac:dyDescent="0.35">
      <c r="A514" s="75">
        <v>513</v>
      </c>
      <c r="B514" s="64">
        <v>2011</v>
      </c>
      <c r="C514" s="64">
        <v>9</v>
      </c>
      <c r="D514" s="80">
        <f t="shared" ref="D514:D577" si="19">IF(C514&gt;3,B514,B514-1)</f>
        <v>2011</v>
      </c>
      <c r="E514" t="s">
        <v>38</v>
      </c>
      <c r="F514" t="s">
        <v>143</v>
      </c>
      <c r="G514" t="s">
        <v>10</v>
      </c>
      <c r="H514" s="72" t="s">
        <v>213</v>
      </c>
      <c r="I514" s="72" t="s">
        <v>55</v>
      </c>
      <c r="J514" t="str">
        <f t="shared" si="18"/>
        <v>Quilcene River</v>
      </c>
      <c r="K514" t="str">
        <f>IFERROR(VLOOKUP(J514,LUTs!$A$1:$C$73,2,FALSE),"NA")</f>
        <v>Jefferson</v>
      </c>
      <c r="L514" t="str">
        <f>IFERROR(VLOOKUP(J514,LUTs!$A$1:$C$73,3,FALSE),"NA")</f>
        <v>4 Hood Canal</v>
      </c>
      <c r="M514" s="72" t="s">
        <v>25</v>
      </c>
      <c r="N514" t="str">
        <f>VLOOKUP(M514,LUTs!E$2:H$14,3,)</f>
        <v>12Jefferson</v>
      </c>
      <c r="O514" t="str">
        <f>VLOOKUP(M514,LUTs!E$2:H$14,4,)</f>
        <v>03Strait of Juan de Fuca</v>
      </c>
      <c r="P514" s="73">
        <v>1073.0909090909099</v>
      </c>
      <c r="Q514" s="74">
        <f>VLOOKUP(B514,Readme!A$40:C$51,2,)*P514</f>
        <v>3691.4327272727301</v>
      </c>
    </row>
    <row r="515" spans="1:17" ht="12" customHeight="1" x14ac:dyDescent="0.35">
      <c r="A515" s="75">
        <v>514</v>
      </c>
      <c r="B515" s="64">
        <v>2011</v>
      </c>
      <c r="C515" s="64">
        <v>9</v>
      </c>
      <c r="D515" s="80">
        <f t="shared" si="19"/>
        <v>2011</v>
      </c>
      <c r="E515" t="s">
        <v>38</v>
      </c>
      <c r="F515" t="s">
        <v>143</v>
      </c>
      <c r="G515" t="s">
        <v>10</v>
      </c>
      <c r="H515" s="72" t="s">
        <v>213</v>
      </c>
      <c r="I515" s="72" t="s">
        <v>55</v>
      </c>
      <c r="J515" t="str">
        <f t="shared" ref="J515:J578" si="20">I515</f>
        <v>Quilcene River</v>
      </c>
      <c r="K515" t="str">
        <f>IFERROR(VLOOKUP(J515,LUTs!$A$1:$C$73,2,FALSE),"NA")</f>
        <v>Jefferson</v>
      </c>
      <c r="L515" t="str">
        <f>IFERROR(VLOOKUP(J515,LUTs!$A$1:$C$73,3,FALSE),"NA")</f>
        <v>4 Hood Canal</v>
      </c>
      <c r="M515" s="72" t="s">
        <v>18</v>
      </c>
      <c r="N515" t="str">
        <f>VLOOKUP(M515,LUTs!E$2:H$14,3,)</f>
        <v>06King</v>
      </c>
      <c r="O515" t="str">
        <f>VLOOKUP(M515,LUTs!E$2:H$14,4,)</f>
        <v>02South Puget Sound</v>
      </c>
      <c r="P515" s="73">
        <v>255.140495867769</v>
      </c>
      <c r="Q515" s="74">
        <f>VLOOKUP(B515,Readme!A$40:C$51,2,)*P515</f>
        <v>877.68330578512541</v>
      </c>
    </row>
    <row r="516" spans="1:17" ht="12" customHeight="1" x14ac:dyDescent="0.35">
      <c r="A516" s="75">
        <v>515</v>
      </c>
      <c r="B516" s="64">
        <v>2011</v>
      </c>
      <c r="C516" s="64">
        <v>9</v>
      </c>
      <c r="D516" s="80">
        <f t="shared" si="19"/>
        <v>2011</v>
      </c>
      <c r="E516" t="s">
        <v>38</v>
      </c>
      <c r="F516" t="s">
        <v>143</v>
      </c>
      <c r="G516" t="s">
        <v>10</v>
      </c>
      <c r="H516" s="72" t="s">
        <v>213</v>
      </c>
      <c r="I516" s="72" t="s">
        <v>55</v>
      </c>
      <c r="J516" t="str">
        <f t="shared" si="20"/>
        <v>Quilcene River</v>
      </c>
      <c r="K516" t="str">
        <f>IFERROR(VLOOKUP(J516,LUTs!$A$1:$C$73,2,FALSE),"NA")</f>
        <v>Jefferson</v>
      </c>
      <c r="L516" t="str">
        <f>IFERROR(VLOOKUP(J516,LUTs!$A$1:$C$73,3,FALSE),"NA")</f>
        <v>4 Hood Canal</v>
      </c>
      <c r="M516" s="72" t="s">
        <v>23</v>
      </c>
      <c r="N516" t="str">
        <f>VLOOKUP(M516,LUTs!E$2:H$14,3,)</f>
        <v>10Kitsap</v>
      </c>
      <c r="O516" t="str">
        <f>VLOOKUP(M516,LUTs!E$2:H$14,4,)</f>
        <v>02South Puget Sound</v>
      </c>
      <c r="P516" s="73">
        <v>622.84297520661198</v>
      </c>
      <c r="Q516" s="74">
        <f>VLOOKUP(B516,Readme!A$40:C$51,2,)*P516</f>
        <v>2142.5798347107452</v>
      </c>
    </row>
    <row r="517" spans="1:17" ht="12" customHeight="1" x14ac:dyDescent="0.35">
      <c r="A517" s="75">
        <v>516</v>
      </c>
      <c r="B517" s="64">
        <v>2011</v>
      </c>
      <c r="C517" s="64">
        <v>9</v>
      </c>
      <c r="D517" s="80">
        <f t="shared" si="19"/>
        <v>2011</v>
      </c>
      <c r="E517" t="s">
        <v>38</v>
      </c>
      <c r="F517" t="s">
        <v>143</v>
      </c>
      <c r="G517" t="s">
        <v>10</v>
      </c>
      <c r="H517" s="72" t="s">
        <v>213</v>
      </c>
      <c r="I517" s="72" t="s">
        <v>55</v>
      </c>
      <c r="J517" t="str">
        <f t="shared" si="20"/>
        <v>Quilcene River</v>
      </c>
      <c r="K517" t="str">
        <f>IFERROR(VLOOKUP(J517,LUTs!$A$1:$C$73,2,FALSE),"NA")</f>
        <v>Jefferson</v>
      </c>
      <c r="L517" t="str">
        <f>IFERROR(VLOOKUP(J517,LUTs!$A$1:$C$73,3,FALSE),"NA")</f>
        <v>4 Hood Canal</v>
      </c>
      <c r="M517" s="72" t="s">
        <v>22</v>
      </c>
      <c r="N517" t="str">
        <f>VLOOKUP(M517,LUTs!E$2:H$14,3,)</f>
        <v>09Mason</v>
      </c>
      <c r="O517" t="str">
        <f>VLOOKUP(M517,LUTs!E$2:H$14,4,)</f>
        <v>02South Puget Sound</v>
      </c>
      <c r="P517" s="73">
        <v>247.636363636364</v>
      </c>
      <c r="Q517" s="74">
        <f>VLOOKUP(B517,Readme!A$40:C$51,2,)*P517</f>
        <v>851.86909090909217</v>
      </c>
    </row>
    <row r="518" spans="1:17" ht="12" customHeight="1" x14ac:dyDescent="0.35">
      <c r="A518" s="75">
        <v>517</v>
      </c>
      <c r="B518" s="64">
        <v>2011</v>
      </c>
      <c r="C518" s="64">
        <v>9</v>
      </c>
      <c r="D518" s="80">
        <f t="shared" si="19"/>
        <v>2011</v>
      </c>
      <c r="E518" t="s">
        <v>38</v>
      </c>
      <c r="F518" t="s">
        <v>143</v>
      </c>
      <c r="G518" t="s">
        <v>10</v>
      </c>
      <c r="H518" s="72" t="s">
        <v>213</v>
      </c>
      <c r="I518" s="72" t="s">
        <v>55</v>
      </c>
      <c r="J518" t="str">
        <f t="shared" si="20"/>
        <v>Quilcene River</v>
      </c>
      <c r="K518" t="str">
        <f>IFERROR(VLOOKUP(J518,LUTs!$A$1:$C$73,2,FALSE),"NA")</f>
        <v>Jefferson</v>
      </c>
      <c r="L518" t="str">
        <f>IFERROR(VLOOKUP(J518,LUTs!$A$1:$C$73,3,FALSE),"NA")</f>
        <v>4 Hood Canal</v>
      </c>
      <c r="M518" s="72" t="s">
        <v>26</v>
      </c>
      <c r="N518" t="str">
        <f>VLOOKUP(M518,LUTs!E$2:H$14,3,)</f>
        <v>20Other</v>
      </c>
      <c r="O518" t="str">
        <f>VLOOKUP(M518,LUTs!E$2:H$14,4,)</f>
        <v>07Non Puget Sound</v>
      </c>
      <c r="P518" s="73">
        <v>127.570247933884</v>
      </c>
      <c r="Q518" s="74">
        <f>VLOOKUP(B518,Readme!A$40:C$51,2,)*P518</f>
        <v>438.84165289256094</v>
      </c>
    </row>
    <row r="519" spans="1:17" ht="12" customHeight="1" x14ac:dyDescent="0.35">
      <c r="A519" s="75">
        <v>518</v>
      </c>
      <c r="B519" s="64">
        <v>2011</v>
      </c>
      <c r="C519" s="64">
        <v>9</v>
      </c>
      <c r="D519" s="80">
        <f t="shared" si="19"/>
        <v>2011</v>
      </c>
      <c r="E519" t="s">
        <v>38</v>
      </c>
      <c r="F519" t="s">
        <v>143</v>
      </c>
      <c r="G519" t="s">
        <v>10</v>
      </c>
      <c r="H519" s="72" t="s">
        <v>213</v>
      </c>
      <c r="I519" s="72" t="s">
        <v>55</v>
      </c>
      <c r="J519" t="str">
        <f t="shared" si="20"/>
        <v>Quilcene River</v>
      </c>
      <c r="K519" t="str">
        <f>IFERROR(VLOOKUP(J519,LUTs!$A$1:$C$73,2,FALSE),"NA")</f>
        <v>Jefferson</v>
      </c>
      <c r="L519" t="str">
        <f>IFERROR(VLOOKUP(J519,LUTs!$A$1:$C$73,3,FALSE),"NA")</f>
        <v>4 Hood Canal</v>
      </c>
      <c r="M519" s="72" t="s">
        <v>20</v>
      </c>
      <c r="N519" t="str">
        <f>VLOOKUP(M519,LUTs!E$2:H$14,3,)</f>
        <v>07Pierce</v>
      </c>
      <c r="O519" t="str">
        <f>VLOOKUP(M519,LUTs!E$2:H$14,4,)</f>
        <v>02South Puget Sound</v>
      </c>
      <c r="P519" s="73">
        <v>172.59504132231399</v>
      </c>
      <c r="Q519" s="74">
        <f>VLOOKUP(B519,Readme!A$40:C$51,2,)*P519</f>
        <v>593.72694214876014</v>
      </c>
    </row>
    <row r="520" spans="1:17" ht="12" customHeight="1" x14ac:dyDescent="0.35">
      <c r="A520" s="75">
        <v>519</v>
      </c>
      <c r="B520" s="64">
        <v>2011</v>
      </c>
      <c r="C520" s="64">
        <v>9</v>
      </c>
      <c r="D520" s="80">
        <f t="shared" si="19"/>
        <v>2011</v>
      </c>
      <c r="E520" t="s">
        <v>38</v>
      </c>
      <c r="F520" t="s">
        <v>143</v>
      </c>
      <c r="G520" t="s">
        <v>10</v>
      </c>
      <c r="H520" s="72" t="s">
        <v>213</v>
      </c>
      <c r="I520" s="72" t="s">
        <v>55</v>
      </c>
      <c r="J520" t="str">
        <f t="shared" si="20"/>
        <v>Quilcene River</v>
      </c>
      <c r="K520" t="str">
        <f>IFERROR(VLOOKUP(J520,LUTs!$A$1:$C$73,2,FALSE),"NA")</f>
        <v>Jefferson</v>
      </c>
      <c r="L520" t="str">
        <f>IFERROR(VLOOKUP(J520,LUTs!$A$1:$C$73,3,FALSE),"NA")</f>
        <v>4 Hood Canal</v>
      </c>
      <c r="M520" s="72" t="s">
        <v>16</v>
      </c>
      <c r="N520" t="str">
        <f>VLOOKUP(M520,LUTs!E$2:H$14,3,)</f>
        <v>03Snohomish</v>
      </c>
      <c r="O520" t="str">
        <f>VLOOKUP(M520,LUTs!E$2:H$14,4,)</f>
        <v>01North Puget Sound</v>
      </c>
      <c r="P520" s="73">
        <v>45.024793388429799</v>
      </c>
      <c r="Q520" s="74">
        <f>VLOOKUP(B520,Readme!A$40:C$51,2,)*P520</f>
        <v>154.88528925619852</v>
      </c>
    </row>
    <row r="521" spans="1:17" ht="12" customHeight="1" x14ac:dyDescent="0.35">
      <c r="A521" s="75">
        <v>520</v>
      </c>
      <c r="B521" s="64">
        <v>2011</v>
      </c>
      <c r="C521" s="64">
        <v>9</v>
      </c>
      <c r="D521" s="80">
        <f t="shared" si="19"/>
        <v>2011</v>
      </c>
      <c r="E521" t="s">
        <v>38</v>
      </c>
      <c r="F521" t="s">
        <v>143</v>
      </c>
      <c r="G521" t="s">
        <v>10</v>
      </c>
      <c r="H521" s="72" t="s">
        <v>213</v>
      </c>
      <c r="I521" s="72" t="s">
        <v>55</v>
      </c>
      <c r="J521" t="str">
        <f t="shared" si="20"/>
        <v>Quilcene River</v>
      </c>
      <c r="K521" t="str">
        <f>IFERROR(VLOOKUP(J521,LUTs!$A$1:$C$73,2,FALSE),"NA")</f>
        <v>Jefferson</v>
      </c>
      <c r="L521" t="str">
        <f>IFERROR(VLOOKUP(J521,LUTs!$A$1:$C$73,3,FALSE),"NA")</f>
        <v>4 Hood Canal</v>
      </c>
      <c r="M521" s="72" t="s">
        <v>21</v>
      </c>
      <c r="N521" t="str">
        <f>VLOOKUP(M521,LUTs!E$2:H$14,3,)</f>
        <v>08Thurston</v>
      </c>
      <c r="O521" t="str">
        <f>VLOOKUP(M521,LUTs!E$2:H$14,4,)</f>
        <v>02South Puget Sound</v>
      </c>
      <c r="P521" s="73">
        <v>142.57851239669401</v>
      </c>
      <c r="Q521" s="74">
        <f>VLOOKUP(B521,Readme!A$40:C$51,2,)*P521</f>
        <v>490.47008264462738</v>
      </c>
    </row>
    <row r="522" spans="1:17" ht="12" customHeight="1" x14ac:dyDescent="0.35">
      <c r="A522" s="75">
        <v>521</v>
      </c>
      <c r="B522" s="64">
        <v>2011</v>
      </c>
      <c r="C522" s="64">
        <v>10</v>
      </c>
      <c r="D522" s="80">
        <f t="shared" si="19"/>
        <v>2011</v>
      </c>
      <c r="E522" t="s">
        <v>38</v>
      </c>
      <c r="F522" t="s">
        <v>143</v>
      </c>
      <c r="G522" t="s">
        <v>10</v>
      </c>
      <c r="H522" s="72" t="s">
        <v>213</v>
      </c>
      <c r="I522" s="72" t="s">
        <v>55</v>
      </c>
      <c r="J522" t="str">
        <f t="shared" si="20"/>
        <v>Quilcene River</v>
      </c>
      <c r="K522" t="str">
        <f>IFERROR(VLOOKUP(J522,LUTs!$A$1:$C$73,2,FALSE),"NA")</f>
        <v>Jefferson</v>
      </c>
      <c r="L522" t="str">
        <f>IFERROR(VLOOKUP(J522,LUTs!$A$1:$C$73,3,FALSE),"NA")</f>
        <v>4 Hood Canal</v>
      </c>
      <c r="M522" s="72" t="s">
        <v>24</v>
      </c>
      <c r="N522" t="str">
        <f>VLOOKUP(M522,LUTs!E$2:H$14,3,)</f>
        <v>11Clallam</v>
      </c>
      <c r="O522" t="str">
        <f>VLOOKUP(M522,LUTs!E$2:H$14,4,)</f>
        <v>03Strait of Juan de Fuca</v>
      </c>
      <c r="P522" s="73">
        <v>37.5</v>
      </c>
      <c r="Q522" s="74">
        <f>VLOOKUP(B522,Readme!A$40:C$51,2,)*P522</f>
        <v>129</v>
      </c>
    </row>
    <row r="523" spans="1:17" ht="12" customHeight="1" x14ac:dyDescent="0.35">
      <c r="A523" s="75">
        <v>522</v>
      </c>
      <c r="B523" s="64">
        <v>2011</v>
      </c>
      <c r="C523" s="64">
        <v>10</v>
      </c>
      <c r="D523" s="80">
        <f t="shared" si="19"/>
        <v>2011</v>
      </c>
      <c r="E523" t="s">
        <v>38</v>
      </c>
      <c r="F523" t="s">
        <v>143</v>
      </c>
      <c r="G523" t="s">
        <v>10</v>
      </c>
      <c r="H523" s="72" t="s">
        <v>213</v>
      </c>
      <c r="I523" s="72" t="s">
        <v>55</v>
      </c>
      <c r="J523" t="str">
        <f t="shared" si="20"/>
        <v>Quilcene River</v>
      </c>
      <c r="K523" t="str">
        <f>IFERROR(VLOOKUP(J523,LUTs!$A$1:$C$73,2,FALSE),"NA")</f>
        <v>Jefferson</v>
      </c>
      <c r="L523" t="str">
        <f>IFERROR(VLOOKUP(J523,LUTs!$A$1:$C$73,3,FALSE),"NA")</f>
        <v>4 Hood Canal</v>
      </c>
      <c r="M523" s="72" t="s">
        <v>25</v>
      </c>
      <c r="N523" t="str">
        <f>VLOOKUP(M523,LUTs!E$2:H$14,3,)</f>
        <v>12Jefferson</v>
      </c>
      <c r="O523" t="str">
        <f>VLOOKUP(M523,LUTs!E$2:H$14,4,)</f>
        <v>03Strait of Juan de Fuca</v>
      </c>
      <c r="P523" s="73">
        <v>435</v>
      </c>
      <c r="Q523" s="74">
        <f>VLOOKUP(B523,Readme!A$40:C$51,2,)*P523</f>
        <v>1496.3999999999999</v>
      </c>
    </row>
    <row r="524" spans="1:17" ht="12" customHeight="1" x14ac:dyDescent="0.35">
      <c r="A524" s="75">
        <v>523</v>
      </c>
      <c r="B524" s="64">
        <v>2011</v>
      </c>
      <c r="C524" s="64">
        <v>10</v>
      </c>
      <c r="D524" s="80">
        <f t="shared" si="19"/>
        <v>2011</v>
      </c>
      <c r="E524" t="s">
        <v>38</v>
      </c>
      <c r="F524" t="s">
        <v>143</v>
      </c>
      <c r="G524" t="s">
        <v>10</v>
      </c>
      <c r="H524" s="72" t="s">
        <v>213</v>
      </c>
      <c r="I524" s="72" t="s">
        <v>55</v>
      </c>
      <c r="J524" t="str">
        <f t="shared" si="20"/>
        <v>Quilcene River</v>
      </c>
      <c r="K524" t="str">
        <f>IFERROR(VLOOKUP(J524,LUTs!$A$1:$C$73,2,FALSE),"NA")</f>
        <v>Jefferson</v>
      </c>
      <c r="L524" t="str">
        <f>IFERROR(VLOOKUP(J524,LUTs!$A$1:$C$73,3,FALSE),"NA")</f>
        <v>4 Hood Canal</v>
      </c>
      <c r="M524" s="72" t="s">
        <v>18</v>
      </c>
      <c r="N524" t="str">
        <f>VLOOKUP(M524,LUTs!E$2:H$14,3,)</f>
        <v>06King</v>
      </c>
      <c r="O524" t="str">
        <f>VLOOKUP(M524,LUTs!E$2:H$14,4,)</f>
        <v>02South Puget Sound</v>
      </c>
      <c r="P524" s="73">
        <v>7.5</v>
      </c>
      <c r="Q524" s="74">
        <f>VLOOKUP(B524,Readme!A$40:C$51,2,)*P524</f>
        <v>25.8</v>
      </c>
    </row>
    <row r="525" spans="1:17" ht="12" customHeight="1" x14ac:dyDescent="0.35">
      <c r="A525" s="75">
        <v>524</v>
      </c>
      <c r="B525" s="64">
        <v>2011</v>
      </c>
      <c r="C525" s="64">
        <v>10</v>
      </c>
      <c r="D525" s="80">
        <f t="shared" si="19"/>
        <v>2011</v>
      </c>
      <c r="E525" t="s">
        <v>38</v>
      </c>
      <c r="F525" t="s">
        <v>143</v>
      </c>
      <c r="G525" t="s">
        <v>10</v>
      </c>
      <c r="H525" s="72" t="s">
        <v>213</v>
      </c>
      <c r="I525" s="72" t="s">
        <v>55</v>
      </c>
      <c r="J525" t="str">
        <f t="shared" si="20"/>
        <v>Quilcene River</v>
      </c>
      <c r="K525" t="str">
        <f>IFERROR(VLOOKUP(J525,LUTs!$A$1:$C$73,2,FALSE),"NA")</f>
        <v>Jefferson</v>
      </c>
      <c r="L525" t="str">
        <f>IFERROR(VLOOKUP(J525,LUTs!$A$1:$C$73,3,FALSE),"NA")</f>
        <v>4 Hood Canal</v>
      </c>
      <c r="M525" s="72" t="s">
        <v>23</v>
      </c>
      <c r="N525" t="str">
        <f>VLOOKUP(M525,LUTs!E$2:H$14,3,)</f>
        <v>10Kitsap</v>
      </c>
      <c r="O525" t="str">
        <f>VLOOKUP(M525,LUTs!E$2:H$14,4,)</f>
        <v>02South Puget Sound</v>
      </c>
      <c r="P525" s="73">
        <v>195</v>
      </c>
      <c r="Q525" s="74">
        <f>VLOOKUP(B525,Readme!A$40:C$51,2,)*P525</f>
        <v>670.8</v>
      </c>
    </row>
    <row r="526" spans="1:17" ht="12" customHeight="1" x14ac:dyDescent="0.35">
      <c r="A526" s="75">
        <v>525</v>
      </c>
      <c r="B526" s="64">
        <v>2011</v>
      </c>
      <c r="C526" s="64">
        <v>10</v>
      </c>
      <c r="D526" s="80">
        <f t="shared" si="19"/>
        <v>2011</v>
      </c>
      <c r="E526" t="s">
        <v>38</v>
      </c>
      <c r="F526" t="s">
        <v>143</v>
      </c>
      <c r="G526" t="s">
        <v>10</v>
      </c>
      <c r="H526" s="72" t="s">
        <v>213</v>
      </c>
      <c r="I526" s="72" t="s">
        <v>55</v>
      </c>
      <c r="J526" t="str">
        <f t="shared" si="20"/>
        <v>Quilcene River</v>
      </c>
      <c r="K526" t="str">
        <f>IFERROR(VLOOKUP(J526,LUTs!$A$1:$C$73,2,FALSE),"NA")</f>
        <v>Jefferson</v>
      </c>
      <c r="L526" t="str">
        <f>IFERROR(VLOOKUP(J526,LUTs!$A$1:$C$73,3,FALSE),"NA")</f>
        <v>4 Hood Canal</v>
      </c>
      <c r="M526" s="72" t="s">
        <v>22</v>
      </c>
      <c r="N526" t="str">
        <f>VLOOKUP(M526,LUTs!E$2:H$14,3,)</f>
        <v>09Mason</v>
      </c>
      <c r="O526" t="str">
        <f>VLOOKUP(M526,LUTs!E$2:H$14,4,)</f>
        <v>02South Puget Sound</v>
      </c>
      <c r="P526" s="73">
        <v>112.5</v>
      </c>
      <c r="Q526" s="74">
        <f>VLOOKUP(B526,Readme!A$40:C$51,2,)*P526</f>
        <v>387</v>
      </c>
    </row>
    <row r="527" spans="1:17" ht="12" customHeight="1" x14ac:dyDescent="0.35">
      <c r="A527" s="75">
        <v>526</v>
      </c>
      <c r="B527" s="64">
        <v>2011</v>
      </c>
      <c r="C527" s="64">
        <v>10</v>
      </c>
      <c r="D527" s="80">
        <f t="shared" si="19"/>
        <v>2011</v>
      </c>
      <c r="E527" t="s">
        <v>38</v>
      </c>
      <c r="F527" t="s">
        <v>143</v>
      </c>
      <c r="G527" t="s">
        <v>10</v>
      </c>
      <c r="H527" s="72" t="s">
        <v>213</v>
      </c>
      <c r="I527" s="72" t="s">
        <v>55</v>
      </c>
      <c r="J527" t="str">
        <f t="shared" si="20"/>
        <v>Quilcene River</v>
      </c>
      <c r="K527" t="str">
        <f>IFERROR(VLOOKUP(J527,LUTs!$A$1:$C$73,2,FALSE),"NA")</f>
        <v>Jefferson</v>
      </c>
      <c r="L527" t="str">
        <f>IFERROR(VLOOKUP(J527,LUTs!$A$1:$C$73,3,FALSE),"NA")</f>
        <v>4 Hood Canal</v>
      </c>
      <c r="M527" s="72" t="s">
        <v>20</v>
      </c>
      <c r="N527" t="str">
        <f>VLOOKUP(M527,LUTs!E$2:H$14,3,)</f>
        <v>07Pierce</v>
      </c>
      <c r="O527" t="str">
        <f>VLOOKUP(M527,LUTs!E$2:H$14,4,)</f>
        <v>02South Puget Sound</v>
      </c>
      <c r="P527" s="73">
        <v>15</v>
      </c>
      <c r="Q527" s="74">
        <f>VLOOKUP(B527,Readme!A$40:C$51,2,)*P527</f>
        <v>51.6</v>
      </c>
    </row>
    <row r="528" spans="1:17" ht="12" customHeight="1" x14ac:dyDescent="0.35">
      <c r="A528" s="75">
        <v>527</v>
      </c>
      <c r="B528" s="64">
        <v>2011</v>
      </c>
      <c r="C528" s="64">
        <v>10</v>
      </c>
      <c r="D528" s="80">
        <f t="shared" si="19"/>
        <v>2011</v>
      </c>
      <c r="E528" t="s">
        <v>38</v>
      </c>
      <c r="F528" t="s">
        <v>143</v>
      </c>
      <c r="G528" t="s">
        <v>10</v>
      </c>
      <c r="H528" s="72" t="s">
        <v>213</v>
      </c>
      <c r="I528" s="72" t="s">
        <v>55</v>
      </c>
      <c r="J528" t="str">
        <f t="shared" si="20"/>
        <v>Quilcene River</v>
      </c>
      <c r="K528" t="str">
        <f>IFERROR(VLOOKUP(J528,LUTs!$A$1:$C$73,2,FALSE),"NA")</f>
        <v>Jefferson</v>
      </c>
      <c r="L528" t="str">
        <f>IFERROR(VLOOKUP(J528,LUTs!$A$1:$C$73,3,FALSE),"NA")</f>
        <v>4 Hood Canal</v>
      </c>
      <c r="M528" s="72" t="s">
        <v>16</v>
      </c>
      <c r="N528" t="str">
        <f>VLOOKUP(M528,LUTs!E$2:H$14,3,)</f>
        <v>03Snohomish</v>
      </c>
      <c r="O528" t="str">
        <f>VLOOKUP(M528,LUTs!E$2:H$14,4,)</f>
        <v>01North Puget Sound</v>
      </c>
      <c r="P528" s="73">
        <v>7.5</v>
      </c>
      <c r="Q528" s="74">
        <f>VLOOKUP(B528,Readme!A$40:C$51,2,)*P528</f>
        <v>25.8</v>
      </c>
    </row>
    <row r="529" spans="1:17" ht="12" customHeight="1" x14ac:dyDescent="0.35">
      <c r="A529" s="75">
        <v>528</v>
      </c>
      <c r="B529" s="64">
        <v>2011</v>
      </c>
      <c r="C529" s="64">
        <v>8</v>
      </c>
      <c r="D529" s="80">
        <f t="shared" si="19"/>
        <v>2011</v>
      </c>
      <c r="E529" t="s">
        <v>38</v>
      </c>
      <c r="F529" t="s">
        <v>143</v>
      </c>
      <c r="G529" t="s">
        <v>10</v>
      </c>
      <c r="H529" s="72" t="s">
        <v>214</v>
      </c>
      <c r="I529" s="72" t="s">
        <v>56</v>
      </c>
      <c r="J529" t="str">
        <f t="shared" si="20"/>
        <v>Samish River</v>
      </c>
      <c r="K529" t="str">
        <f>IFERROR(VLOOKUP(J529,LUTs!$A$1:$C$73,2,FALSE),"NA")</f>
        <v>Skagit</v>
      </c>
      <c r="L529" t="str">
        <f>IFERROR(VLOOKUP(J529,LUTs!$A$1:$C$73,3,FALSE),"NA")</f>
        <v>1North Puget Sound</v>
      </c>
      <c r="M529" s="72" t="s">
        <v>17</v>
      </c>
      <c r="N529" t="str">
        <f>VLOOKUP(M529,LUTs!E$2:H$14,3,)</f>
        <v>04Island</v>
      </c>
      <c r="O529" t="str">
        <f>VLOOKUP(M529,LUTs!E$2:H$14,4,)</f>
        <v>01North Puget Sound</v>
      </c>
      <c r="P529" s="73">
        <v>73.536585365853696</v>
      </c>
      <c r="Q529" s="74">
        <f>VLOOKUP(B529,Readme!A$40:C$51,2,)*P529</f>
        <v>252.9658536585367</v>
      </c>
    </row>
    <row r="530" spans="1:17" ht="12" customHeight="1" x14ac:dyDescent="0.35">
      <c r="A530" s="75">
        <v>529</v>
      </c>
      <c r="B530" s="64">
        <v>2011</v>
      </c>
      <c r="C530" s="64">
        <v>8</v>
      </c>
      <c r="D530" s="80">
        <f t="shared" si="19"/>
        <v>2011</v>
      </c>
      <c r="E530" t="s">
        <v>38</v>
      </c>
      <c r="F530" t="s">
        <v>143</v>
      </c>
      <c r="G530" t="s">
        <v>10</v>
      </c>
      <c r="H530" s="72" t="s">
        <v>214</v>
      </c>
      <c r="I530" s="72" t="s">
        <v>56</v>
      </c>
      <c r="J530" t="str">
        <f t="shared" si="20"/>
        <v>Samish River</v>
      </c>
      <c r="K530" t="str">
        <f>IFERROR(VLOOKUP(J530,LUTs!$A$1:$C$73,2,FALSE),"NA")</f>
        <v>Skagit</v>
      </c>
      <c r="L530" t="str">
        <f>IFERROR(VLOOKUP(J530,LUTs!$A$1:$C$73,3,FALSE),"NA")</f>
        <v>1North Puget Sound</v>
      </c>
      <c r="M530" s="72" t="s">
        <v>18</v>
      </c>
      <c r="N530" t="str">
        <f>VLOOKUP(M530,LUTs!E$2:H$14,3,)</f>
        <v>06King</v>
      </c>
      <c r="O530" t="str">
        <f>VLOOKUP(M530,LUTs!E$2:H$14,4,)</f>
        <v>02South Puget Sound</v>
      </c>
      <c r="P530" s="73">
        <v>51.475609756097597</v>
      </c>
      <c r="Q530" s="74">
        <f>VLOOKUP(B530,Readme!A$40:C$51,2,)*P530</f>
        <v>177.07609756097574</v>
      </c>
    </row>
    <row r="531" spans="1:17" ht="12" customHeight="1" x14ac:dyDescent="0.35">
      <c r="A531" s="75">
        <v>530</v>
      </c>
      <c r="B531" s="64">
        <v>2011</v>
      </c>
      <c r="C531" s="64">
        <v>8</v>
      </c>
      <c r="D531" s="80">
        <f t="shared" si="19"/>
        <v>2011</v>
      </c>
      <c r="E531" t="s">
        <v>38</v>
      </c>
      <c r="F531" t="s">
        <v>143</v>
      </c>
      <c r="G531" t="s">
        <v>10</v>
      </c>
      <c r="H531" s="72" t="s">
        <v>214</v>
      </c>
      <c r="I531" s="72" t="s">
        <v>56</v>
      </c>
      <c r="J531" t="str">
        <f t="shared" si="20"/>
        <v>Samish River</v>
      </c>
      <c r="K531" t="str">
        <f>IFERROR(VLOOKUP(J531,LUTs!$A$1:$C$73,2,FALSE),"NA")</f>
        <v>Skagit</v>
      </c>
      <c r="L531" t="str">
        <f>IFERROR(VLOOKUP(J531,LUTs!$A$1:$C$73,3,FALSE),"NA")</f>
        <v>1North Puget Sound</v>
      </c>
      <c r="M531" s="72" t="s">
        <v>26</v>
      </c>
      <c r="N531" t="str">
        <f>VLOOKUP(M531,LUTs!E$2:H$14,3,)</f>
        <v>20Other</v>
      </c>
      <c r="O531" t="str">
        <f>VLOOKUP(M531,LUTs!E$2:H$14,4,)</f>
        <v>07Non Puget Sound</v>
      </c>
      <c r="P531" s="73">
        <v>14.707317073170699</v>
      </c>
      <c r="Q531" s="74">
        <f>VLOOKUP(B531,Readme!A$40:C$51,2,)*P531</f>
        <v>50.593170731707204</v>
      </c>
    </row>
    <row r="532" spans="1:17" ht="12" customHeight="1" x14ac:dyDescent="0.35">
      <c r="A532" s="75">
        <v>531</v>
      </c>
      <c r="B532" s="64">
        <v>2011</v>
      </c>
      <c r="C532" s="64">
        <v>8</v>
      </c>
      <c r="D532" s="80">
        <f t="shared" si="19"/>
        <v>2011</v>
      </c>
      <c r="E532" t="s">
        <v>38</v>
      </c>
      <c r="F532" t="s">
        <v>143</v>
      </c>
      <c r="G532" t="s">
        <v>10</v>
      </c>
      <c r="H532" s="72" t="s">
        <v>214</v>
      </c>
      <c r="I532" s="72" t="s">
        <v>56</v>
      </c>
      <c r="J532" t="str">
        <f t="shared" si="20"/>
        <v>Samish River</v>
      </c>
      <c r="K532" t="str">
        <f>IFERROR(VLOOKUP(J532,LUTs!$A$1:$C$73,2,FALSE),"NA")</f>
        <v>Skagit</v>
      </c>
      <c r="L532" t="str">
        <f>IFERROR(VLOOKUP(J532,LUTs!$A$1:$C$73,3,FALSE),"NA")</f>
        <v>1North Puget Sound</v>
      </c>
      <c r="M532" s="72" t="s">
        <v>20</v>
      </c>
      <c r="N532" t="str">
        <f>VLOOKUP(M532,LUTs!E$2:H$14,3,)</f>
        <v>07Pierce</v>
      </c>
      <c r="O532" t="str">
        <f>VLOOKUP(M532,LUTs!E$2:H$14,4,)</f>
        <v>02South Puget Sound</v>
      </c>
      <c r="P532" s="73">
        <v>22.060975609756099</v>
      </c>
      <c r="Q532" s="74">
        <f>VLOOKUP(B532,Readme!A$40:C$51,2,)*P532</f>
        <v>75.889756097560976</v>
      </c>
    </row>
    <row r="533" spans="1:17" ht="12" customHeight="1" x14ac:dyDescent="0.35">
      <c r="A533" s="75">
        <v>532</v>
      </c>
      <c r="B533" s="64">
        <v>2011</v>
      </c>
      <c r="C533" s="64">
        <v>8</v>
      </c>
      <c r="D533" s="80">
        <f t="shared" si="19"/>
        <v>2011</v>
      </c>
      <c r="E533" t="s">
        <v>38</v>
      </c>
      <c r="F533" t="s">
        <v>143</v>
      </c>
      <c r="G533" t="s">
        <v>10</v>
      </c>
      <c r="H533" s="72" t="s">
        <v>214</v>
      </c>
      <c r="I533" s="72" t="s">
        <v>56</v>
      </c>
      <c r="J533" t="str">
        <f t="shared" si="20"/>
        <v>Samish River</v>
      </c>
      <c r="K533" t="str">
        <f>IFERROR(VLOOKUP(J533,LUTs!$A$1:$C$73,2,FALSE),"NA")</f>
        <v>Skagit</v>
      </c>
      <c r="L533" t="str">
        <f>IFERROR(VLOOKUP(J533,LUTs!$A$1:$C$73,3,FALSE),"NA")</f>
        <v>1North Puget Sound</v>
      </c>
      <c r="M533" s="72" t="s">
        <v>15</v>
      </c>
      <c r="N533" t="str">
        <f>VLOOKUP(M533,LUTs!E$2:H$14,3,)</f>
        <v>02Skagit</v>
      </c>
      <c r="O533" t="str">
        <f>VLOOKUP(M533,LUTs!E$2:H$14,4,)</f>
        <v>01North Puget Sound</v>
      </c>
      <c r="P533" s="73">
        <v>272.08536585365903</v>
      </c>
      <c r="Q533" s="74">
        <f>VLOOKUP(B533,Readme!A$40:C$51,2,)*P533</f>
        <v>935.9736585365871</v>
      </c>
    </row>
    <row r="534" spans="1:17" ht="12" customHeight="1" x14ac:dyDescent="0.35">
      <c r="A534" s="75">
        <v>533</v>
      </c>
      <c r="B534" s="64">
        <v>2011</v>
      </c>
      <c r="C534" s="64">
        <v>8</v>
      </c>
      <c r="D534" s="80">
        <f t="shared" si="19"/>
        <v>2011</v>
      </c>
      <c r="E534" t="s">
        <v>38</v>
      </c>
      <c r="F534" t="s">
        <v>143</v>
      </c>
      <c r="G534" t="s">
        <v>10</v>
      </c>
      <c r="H534" s="72" t="s">
        <v>214</v>
      </c>
      <c r="I534" s="72" t="s">
        <v>56</v>
      </c>
      <c r="J534" t="str">
        <f t="shared" si="20"/>
        <v>Samish River</v>
      </c>
      <c r="K534" t="str">
        <f>IFERROR(VLOOKUP(J534,LUTs!$A$1:$C$73,2,FALSE),"NA")</f>
        <v>Skagit</v>
      </c>
      <c r="L534" t="str">
        <f>IFERROR(VLOOKUP(J534,LUTs!$A$1:$C$73,3,FALSE),"NA")</f>
        <v>1North Puget Sound</v>
      </c>
      <c r="M534" s="72" t="s">
        <v>16</v>
      </c>
      <c r="N534" t="str">
        <f>VLOOKUP(M534,LUTs!E$2:H$14,3,)</f>
        <v>03Snohomish</v>
      </c>
      <c r="O534" t="str">
        <f>VLOOKUP(M534,LUTs!E$2:H$14,4,)</f>
        <v>01North Puget Sound</v>
      </c>
      <c r="P534" s="73">
        <v>102.951219512195</v>
      </c>
      <c r="Q534" s="74">
        <f>VLOOKUP(B534,Readme!A$40:C$51,2,)*P534</f>
        <v>354.1521951219508</v>
      </c>
    </row>
    <row r="535" spans="1:17" ht="12" customHeight="1" x14ac:dyDescent="0.35">
      <c r="A535" s="75">
        <v>534</v>
      </c>
      <c r="B535" s="64">
        <v>2011</v>
      </c>
      <c r="C535" s="64">
        <v>8</v>
      </c>
      <c r="D535" s="80">
        <f t="shared" si="19"/>
        <v>2011</v>
      </c>
      <c r="E535" t="s">
        <v>38</v>
      </c>
      <c r="F535" t="s">
        <v>143</v>
      </c>
      <c r="G535" t="s">
        <v>10</v>
      </c>
      <c r="H535" s="72" t="s">
        <v>214</v>
      </c>
      <c r="I535" s="72" t="s">
        <v>56</v>
      </c>
      <c r="J535" t="str">
        <f t="shared" si="20"/>
        <v>Samish River</v>
      </c>
      <c r="K535" t="str">
        <f>IFERROR(VLOOKUP(J535,LUTs!$A$1:$C$73,2,FALSE),"NA")</f>
        <v>Skagit</v>
      </c>
      <c r="L535" t="str">
        <f>IFERROR(VLOOKUP(J535,LUTs!$A$1:$C$73,3,FALSE),"NA")</f>
        <v>1North Puget Sound</v>
      </c>
      <c r="M535" s="72" t="s">
        <v>13</v>
      </c>
      <c r="N535" t="str">
        <f>VLOOKUP(M535,LUTs!E$2:H$14,3,)</f>
        <v>01Whatcom</v>
      </c>
      <c r="O535" t="str">
        <f>VLOOKUP(M535,LUTs!E$2:H$14,4,)</f>
        <v>01North Puget Sound</v>
      </c>
      <c r="P535" s="73">
        <v>66.182926829268297</v>
      </c>
      <c r="Q535" s="74">
        <f>VLOOKUP(B535,Readme!A$40:C$51,2,)*P535</f>
        <v>227.66926829268294</v>
      </c>
    </row>
    <row r="536" spans="1:17" ht="12" customHeight="1" x14ac:dyDescent="0.35">
      <c r="A536" s="75">
        <v>535</v>
      </c>
      <c r="B536" s="64">
        <v>2011</v>
      </c>
      <c r="C536" s="64">
        <v>9</v>
      </c>
      <c r="D536" s="80">
        <f t="shared" si="19"/>
        <v>2011</v>
      </c>
      <c r="E536" t="s">
        <v>38</v>
      </c>
      <c r="F536" t="s">
        <v>143</v>
      </c>
      <c r="G536" t="s">
        <v>10</v>
      </c>
      <c r="H536" s="72" t="s">
        <v>214</v>
      </c>
      <c r="I536" s="72" t="s">
        <v>56</v>
      </c>
      <c r="J536" t="str">
        <f t="shared" si="20"/>
        <v>Samish River</v>
      </c>
      <c r="K536" t="str">
        <f>IFERROR(VLOOKUP(J536,LUTs!$A$1:$C$73,2,FALSE),"NA")</f>
        <v>Skagit</v>
      </c>
      <c r="L536" t="str">
        <f>IFERROR(VLOOKUP(J536,LUTs!$A$1:$C$73,3,FALSE),"NA")</f>
        <v>1North Puget Sound</v>
      </c>
      <c r="M536" s="72" t="s">
        <v>17</v>
      </c>
      <c r="N536" t="str">
        <f>VLOOKUP(M536,LUTs!E$2:H$14,3,)</f>
        <v>04Island</v>
      </c>
      <c r="O536" t="str">
        <f>VLOOKUP(M536,LUTs!E$2:H$14,4,)</f>
        <v>01North Puget Sound</v>
      </c>
      <c r="P536" s="73">
        <v>737.77520278099701</v>
      </c>
      <c r="Q536" s="74">
        <f>VLOOKUP(B536,Readme!A$40:C$51,2,)*P536</f>
        <v>2537.9466975666296</v>
      </c>
    </row>
    <row r="537" spans="1:17" ht="12" customHeight="1" x14ac:dyDescent="0.35">
      <c r="A537" s="75">
        <v>536</v>
      </c>
      <c r="B537" s="64">
        <v>2011</v>
      </c>
      <c r="C537" s="64">
        <v>9</v>
      </c>
      <c r="D537" s="80">
        <f t="shared" si="19"/>
        <v>2011</v>
      </c>
      <c r="E537" t="s">
        <v>38</v>
      </c>
      <c r="F537" t="s">
        <v>143</v>
      </c>
      <c r="G537" t="s">
        <v>10</v>
      </c>
      <c r="H537" s="72" t="s">
        <v>214</v>
      </c>
      <c r="I537" s="72" t="s">
        <v>56</v>
      </c>
      <c r="J537" t="str">
        <f t="shared" si="20"/>
        <v>Samish River</v>
      </c>
      <c r="K537" t="str">
        <f>IFERROR(VLOOKUP(J537,LUTs!$A$1:$C$73,2,FALSE),"NA")</f>
        <v>Skagit</v>
      </c>
      <c r="L537" t="str">
        <f>IFERROR(VLOOKUP(J537,LUTs!$A$1:$C$73,3,FALSE),"NA")</f>
        <v>1North Puget Sound</v>
      </c>
      <c r="M537" s="72" t="s">
        <v>18</v>
      </c>
      <c r="N537" t="str">
        <f>VLOOKUP(M537,LUTs!E$2:H$14,3,)</f>
        <v>06King</v>
      </c>
      <c r="O537" t="str">
        <f>VLOOKUP(M537,LUTs!E$2:H$14,4,)</f>
        <v>02South Puget Sound</v>
      </c>
      <c r="P537" s="73">
        <v>339.37659327925797</v>
      </c>
      <c r="Q537" s="74">
        <f>VLOOKUP(B537,Readme!A$40:C$51,2,)*P537</f>
        <v>1167.4554808806474</v>
      </c>
    </row>
    <row r="538" spans="1:17" ht="12" customHeight="1" x14ac:dyDescent="0.35">
      <c r="A538" s="75">
        <v>537</v>
      </c>
      <c r="B538" s="64">
        <v>2011</v>
      </c>
      <c r="C538" s="64">
        <v>9</v>
      </c>
      <c r="D538" s="80">
        <f t="shared" si="19"/>
        <v>2011</v>
      </c>
      <c r="E538" t="s">
        <v>38</v>
      </c>
      <c r="F538" t="s">
        <v>143</v>
      </c>
      <c r="G538" t="s">
        <v>10</v>
      </c>
      <c r="H538" s="72" t="s">
        <v>214</v>
      </c>
      <c r="I538" s="72" t="s">
        <v>56</v>
      </c>
      <c r="J538" t="str">
        <f t="shared" si="20"/>
        <v>Samish River</v>
      </c>
      <c r="K538" t="str">
        <f>IFERROR(VLOOKUP(J538,LUTs!$A$1:$C$73,2,FALSE),"NA")</f>
        <v>Skagit</v>
      </c>
      <c r="L538" t="str">
        <f>IFERROR(VLOOKUP(J538,LUTs!$A$1:$C$73,3,FALSE),"NA")</f>
        <v>1North Puget Sound</v>
      </c>
      <c r="M538" s="72" t="s">
        <v>26</v>
      </c>
      <c r="N538" t="str">
        <f>VLOOKUP(M538,LUTs!E$2:H$14,3,)</f>
        <v>20Other</v>
      </c>
      <c r="O538" t="str">
        <f>VLOOKUP(M538,LUTs!E$2:H$14,4,)</f>
        <v>07Non Puget Sound</v>
      </c>
      <c r="P538" s="73">
        <v>309.86558516801898</v>
      </c>
      <c r="Q538" s="74">
        <f>VLOOKUP(B538,Readme!A$40:C$51,2,)*P538</f>
        <v>1065.9376129779853</v>
      </c>
    </row>
    <row r="539" spans="1:17" ht="12" customHeight="1" x14ac:dyDescent="0.35">
      <c r="A539" s="75">
        <v>538</v>
      </c>
      <c r="B539" s="64">
        <v>2011</v>
      </c>
      <c r="C539" s="64">
        <v>9</v>
      </c>
      <c r="D539" s="80">
        <f t="shared" si="19"/>
        <v>2011</v>
      </c>
      <c r="E539" t="s">
        <v>38</v>
      </c>
      <c r="F539" t="s">
        <v>143</v>
      </c>
      <c r="G539" t="s">
        <v>10</v>
      </c>
      <c r="H539" s="72" t="s">
        <v>214</v>
      </c>
      <c r="I539" s="72" t="s">
        <v>56</v>
      </c>
      <c r="J539" t="str">
        <f t="shared" si="20"/>
        <v>Samish River</v>
      </c>
      <c r="K539" t="str">
        <f>IFERROR(VLOOKUP(J539,LUTs!$A$1:$C$73,2,FALSE),"NA")</f>
        <v>Skagit</v>
      </c>
      <c r="L539" t="str">
        <f>IFERROR(VLOOKUP(J539,LUTs!$A$1:$C$73,3,FALSE),"NA")</f>
        <v>1North Puget Sound</v>
      </c>
      <c r="M539" s="72" t="s">
        <v>20</v>
      </c>
      <c r="N539" t="str">
        <f>VLOOKUP(M539,LUTs!E$2:H$14,3,)</f>
        <v>07Pierce</v>
      </c>
      <c r="O539" t="str">
        <f>VLOOKUP(M539,LUTs!E$2:H$14,4,)</f>
        <v>02South Puget Sound</v>
      </c>
      <c r="P539" s="73">
        <v>88.533024333719595</v>
      </c>
      <c r="Q539" s="74">
        <f>VLOOKUP(B539,Readme!A$40:C$51,2,)*P539</f>
        <v>304.55360370799542</v>
      </c>
    </row>
    <row r="540" spans="1:17" ht="12" customHeight="1" x14ac:dyDescent="0.35">
      <c r="A540" s="75">
        <v>539</v>
      </c>
      <c r="B540" s="64">
        <v>2011</v>
      </c>
      <c r="C540" s="64">
        <v>9</v>
      </c>
      <c r="D540" s="80">
        <f t="shared" si="19"/>
        <v>2011</v>
      </c>
      <c r="E540" t="s">
        <v>38</v>
      </c>
      <c r="F540" t="s">
        <v>143</v>
      </c>
      <c r="G540" t="s">
        <v>10</v>
      </c>
      <c r="H540" s="72" t="s">
        <v>214</v>
      </c>
      <c r="I540" s="72" t="s">
        <v>56</v>
      </c>
      <c r="J540" t="str">
        <f t="shared" si="20"/>
        <v>Samish River</v>
      </c>
      <c r="K540" t="str">
        <f>IFERROR(VLOOKUP(J540,LUTs!$A$1:$C$73,2,FALSE),"NA")</f>
        <v>Skagit</v>
      </c>
      <c r="L540" t="str">
        <f>IFERROR(VLOOKUP(J540,LUTs!$A$1:$C$73,3,FALSE),"NA")</f>
        <v>1North Puget Sound</v>
      </c>
      <c r="M540" s="72" t="s">
        <v>15</v>
      </c>
      <c r="N540" t="str">
        <f>VLOOKUP(M540,LUTs!E$2:H$14,3,)</f>
        <v>02Skagit</v>
      </c>
      <c r="O540" t="str">
        <f>VLOOKUP(M540,LUTs!E$2:H$14,4,)</f>
        <v>01North Puget Sound</v>
      </c>
      <c r="P540" s="73">
        <v>2176.4368482039399</v>
      </c>
      <c r="Q540" s="74">
        <f>VLOOKUP(B540,Readme!A$40:C$51,2,)*P540</f>
        <v>7486.9427578215536</v>
      </c>
    </row>
    <row r="541" spans="1:17" ht="12" customHeight="1" x14ac:dyDescent="0.35">
      <c r="A541" s="75">
        <v>540</v>
      </c>
      <c r="B541" s="64">
        <v>2011</v>
      </c>
      <c r="C541" s="64">
        <v>9</v>
      </c>
      <c r="D541" s="80">
        <f t="shared" si="19"/>
        <v>2011</v>
      </c>
      <c r="E541" t="s">
        <v>38</v>
      </c>
      <c r="F541" t="s">
        <v>143</v>
      </c>
      <c r="G541" t="s">
        <v>10</v>
      </c>
      <c r="H541" s="72" t="s">
        <v>214</v>
      </c>
      <c r="I541" s="72" t="s">
        <v>56</v>
      </c>
      <c r="J541" t="str">
        <f t="shared" si="20"/>
        <v>Samish River</v>
      </c>
      <c r="K541" t="str">
        <f>IFERROR(VLOOKUP(J541,LUTs!$A$1:$C$73,2,FALSE),"NA")</f>
        <v>Skagit</v>
      </c>
      <c r="L541" t="str">
        <f>IFERROR(VLOOKUP(J541,LUTs!$A$1:$C$73,3,FALSE),"NA")</f>
        <v>1North Puget Sound</v>
      </c>
      <c r="M541" s="72" t="s">
        <v>16</v>
      </c>
      <c r="N541" t="str">
        <f>VLOOKUP(M541,LUTs!E$2:H$14,3,)</f>
        <v>03Snohomish</v>
      </c>
      <c r="O541" t="str">
        <f>VLOOKUP(M541,LUTs!E$2:H$14,4,)</f>
        <v>01North Puget Sound</v>
      </c>
      <c r="P541" s="73">
        <v>1741.1494785631501</v>
      </c>
      <c r="Q541" s="74">
        <f>VLOOKUP(B541,Readme!A$40:C$51,2,)*P541</f>
        <v>5989.5542062572358</v>
      </c>
    </row>
    <row r="542" spans="1:17" ht="12" customHeight="1" x14ac:dyDescent="0.35">
      <c r="A542" s="75">
        <v>541</v>
      </c>
      <c r="B542" s="64">
        <v>2011</v>
      </c>
      <c r="C542" s="64">
        <v>9</v>
      </c>
      <c r="D542" s="80">
        <f t="shared" si="19"/>
        <v>2011</v>
      </c>
      <c r="E542" t="s">
        <v>38</v>
      </c>
      <c r="F542" t="s">
        <v>143</v>
      </c>
      <c r="G542" t="s">
        <v>10</v>
      </c>
      <c r="H542" s="72" t="s">
        <v>214</v>
      </c>
      <c r="I542" s="72" t="s">
        <v>56</v>
      </c>
      <c r="J542" t="str">
        <f t="shared" si="20"/>
        <v>Samish River</v>
      </c>
      <c r="K542" t="str">
        <f>IFERROR(VLOOKUP(J542,LUTs!$A$1:$C$73,2,FALSE),"NA")</f>
        <v>Skagit</v>
      </c>
      <c r="L542" t="str">
        <f>IFERROR(VLOOKUP(J542,LUTs!$A$1:$C$73,3,FALSE),"NA")</f>
        <v>1North Puget Sound</v>
      </c>
      <c r="M542" s="72" t="s">
        <v>21</v>
      </c>
      <c r="N542" t="str">
        <f>VLOOKUP(M542,LUTs!E$2:H$14,3,)</f>
        <v>08Thurston</v>
      </c>
      <c r="O542" t="str">
        <f>VLOOKUP(M542,LUTs!E$2:H$14,4,)</f>
        <v>02South Puget Sound</v>
      </c>
      <c r="P542" s="73">
        <v>14.7555040556199</v>
      </c>
      <c r="Q542" s="74">
        <f>VLOOKUP(B542,Readme!A$40:C$51,2,)*P542</f>
        <v>50.758933951332452</v>
      </c>
    </row>
    <row r="543" spans="1:17" ht="12" customHeight="1" x14ac:dyDescent="0.35">
      <c r="A543" s="75">
        <v>542</v>
      </c>
      <c r="B543" s="64">
        <v>2011</v>
      </c>
      <c r="C543" s="64">
        <v>9</v>
      </c>
      <c r="D543" s="80">
        <f t="shared" si="19"/>
        <v>2011</v>
      </c>
      <c r="E543" t="s">
        <v>38</v>
      </c>
      <c r="F543" t="s">
        <v>143</v>
      </c>
      <c r="G543" t="s">
        <v>10</v>
      </c>
      <c r="H543" s="72" t="s">
        <v>214</v>
      </c>
      <c r="I543" s="72" t="s">
        <v>56</v>
      </c>
      <c r="J543" t="str">
        <f t="shared" si="20"/>
        <v>Samish River</v>
      </c>
      <c r="K543" t="str">
        <f>IFERROR(VLOOKUP(J543,LUTs!$A$1:$C$73,2,FALSE),"NA")</f>
        <v>Skagit</v>
      </c>
      <c r="L543" t="str">
        <f>IFERROR(VLOOKUP(J543,LUTs!$A$1:$C$73,3,FALSE),"NA")</f>
        <v>1North Puget Sound</v>
      </c>
      <c r="M543" s="72" t="s">
        <v>13</v>
      </c>
      <c r="N543" t="str">
        <f>VLOOKUP(M543,LUTs!E$2:H$14,3,)</f>
        <v>01Whatcom</v>
      </c>
      <c r="O543" t="str">
        <f>VLOOKUP(M543,LUTs!E$2:H$14,4,)</f>
        <v>01North Puget Sound</v>
      </c>
      <c r="P543" s="73">
        <v>959.10776361529599</v>
      </c>
      <c r="Q543" s="74">
        <f>VLOOKUP(B543,Readme!A$40:C$51,2,)*P543</f>
        <v>3299.330706836618</v>
      </c>
    </row>
    <row r="544" spans="1:17" ht="12" customHeight="1" x14ac:dyDescent="0.35">
      <c r="A544" s="75">
        <v>543</v>
      </c>
      <c r="B544" s="64">
        <v>2011</v>
      </c>
      <c r="C544" s="64">
        <v>10</v>
      </c>
      <c r="D544" s="80">
        <f t="shared" si="19"/>
        <v>2011</v>
      </c>
      <c r="E544" t="s">
        <v>38</v>
      </c>
      <c r="F544" t="s">
        <v>143</v>
      </c>
      <c r="G544" t="s">
        <v>10</v>
      </c>
      <c r="H544" s="72" t="s">
        <v>214</v>
      </c>
      <c r="I544" s="72" t="s">
        <v>56</v>
      </c>
      <c r="J544" t="str">
        <f t="shared" si="20"/>
        <v>Samish River</v>
      </c>
      <c r="K544" t="str">
        <f>IFERROR(VLOOKUP(J544,LUTs!$A$1:$C$73,2,FALSE),"NA")</f>
        <v>Skagit</v>
      </c>
      <c r="L544" t="str">
        <f>IFERROR(VLOOKUP(J544,LUTs!$A$1:$C$73,3,FALSE),"NA")</f>
        <v>1North Puget Sound</v>
      </c>
      <c r="M544" s="72" t="s">
        <v>24</v>
      </c>
      <c r="N544" t="str">
        <f>VLOOKUP(M544,LUTs!E$2:H$14,3,)</f>
        <v>11Clallam</v>
      </c>
      <c r="O544" t="str">
        <f>VLOOKUP(M544,LUTs!E$2:H$14,4,)</f>
        <v>03Strait of Juan de Fuca</v>
      </c>
      <c r="P544" s="73">
        <v>29.481481481481499</v>
      </c>
      <c r="Q544" s="74">
        <f>VLOOKUP(B544,Readme!A$40:C$51,2,)*P544</f>
        <v>101.41629629629635</v>
      </c>
    </row>
    <row r="545" spans="1:17" ht="12" customHeight="1" x14ac:dyDescent="0.35">
      <c r="A545" s="75">
        <v>544</v>
      </c>
      <c r="B545" s="64">
        <v>2011</v>
      </c>
      <c r="C545" s="64">
        <v>10</v>
      </c>
      <c r="D545" s="80">
        <f t="shared" si="19"/>
        <v>2011</v>
      </c>
      <c r="E545" t="s">
        <v>38</v>
      </c>
      <c r="F545" t="s">
        <v>143</v>
      </c>
      <c r="G545" t="s">
        <v>10</v>
      </c>
      <c r="H545" s="72" t="s">
        <v>214</v>
      </c>
      <c r="I545" s="72" t="s">
        <v>56</v>
      </c>
      <c r="J545" t="str">
        <f t="shared" si="20"/>
        <v>Samish River</v>
      </c>
      <c r="K545" t="str">
        <f>IFERROR(VLOOKUP(J545,LUTs!$A$1:$C$73,2,FALSE),"NA")</f>
        <v>Skagit</v>
      </c>
      <c r="L545" t="str">
        <f>IFERROR(VLOOKUP(J545,LUTs!$A$1:$C$73,3,FALSE),"NA")</f>
        <v>1North Puget Sound</v>
      </c>
      <c r="M545" s="72" t="s">
        <v>17</v>
      </c>
      <c r="N545" t="str">
        <f>VLOOKUP(M545,LUTs!E$2:H$14,3,)</f>
        <v>04Island</v>
      </c>
      <c r="O545" t="str">
        <f>VLOOKUP(M545,LUTs!E$2:H$14,4,)</f>
        <v>01North Puget Sound</v>
      </c>
      <c r="P545" s="73">
        <v>110.555555555556</v>
      </c>
      <c r="Q545" s="74">
        <f>VLOOKUP(B545,Readme!A$40:C$51,2,)*P545</f>
        <v>380.31111111111261</v>
      </c>
    </row>
    <row r="546" spans="1:17" ht="12" customHeight="1" x14ac:dyDescent="0.35">
      <c r="A546" s="75">
        <v>545</v>
      </c>
      <c r="B546" s="64">
        <v>2011</v>
      </c>
      <c r="C546" s="64">
        <v>10</v>
      </c>
      <c r="D546" s="80">
        <f t="shared" si="19"/>
        <v>2011</v>
      </c>
      <c r="E546" t="s">
        <v>38</v>
      </c>
      <c r="F546" t="s">
        <v>143</v>
      </c>
      <c r="G546" t="s">
        <v>10</v>
      </c>
      <c r="H546" s="72" t="s">
        <v>214</v>
      </c>
      <c r="I546" s="72" t="s">
        <v>56</v>
      </c>
      <c r="J546" t="str">
        <f t="shared" si="20"/>
        <v>Samish River</v>
      </c>
      <c r="K546" t="str">
        <f>IFERROR(VLOOKUP(J546,LUTs!$A$1:$C$73,2,FALSE),"NA")</f>
        <v>Skagit</v>
      </c>
      <c r="L546" t="str">
        <f>IFERROR(VLOOKUP(J546,LUTs!$A$1:$C$73,3,FALSE),"NA")</f>
        <v>1North Puget Sound</v>
      </c>
      <c r="M546" s="72" t="s">
        <v>18</v>
      </c>
      <c r="N546" t="str">
        <f>VLOOKUP(M546,LUTs!E$2:H$14,3,)</f>
        <v>06King</v>
      </c>
      <c r="O546" t="str">
        <f>VLOOKUP(M546,LUTs!E$2:H$14,4,)</f>
        <v>02South Puget Sound</v>
      </c>
      <c r="P546" s="73">
        <v>110.555555555556</v>
      </c>
      <c r="Q546" s="74">
        <f>VLOOKUP(B546,Readme!A$40:C$51,2,)*P546</f>
        <v>380.31111111111261</v>
      </c>
    </row>
    <row r="547" spans="1:17" ht="12" customHeight="1" x14ac:dyDescent="0.35">
      <c r="A547" s="75">
        <v>546</v>
      </c>
      <c r="B547" s="64">
        <v>2011</v>
      </c>
      <c r="C547" s="64">
        <v>10</v>
      </c>
      <c r="D547" s="80">
        <f t="shared" si="19"/>
        <v>2011</v>
      </c>
      <c r="E547" t="s">
        <v>38</v>
      </c>
      <c r="F547" t="s">
        <v>143</v>
      </c>
      <c r="G547" t="s">
        <v>10</v>
      </c>
      <c r="H547" s="72" t="s">
        <v>214</v>
      </c>
      <c r="I547" s="72" t="s">
        <v>56</v>
      </c>
      <c r="J547" t="str">
        <f t="shared" si="20"/>
        <v>Samish River</v>
      </c>
      <c r="K547" t="str">
        <f>IFERROR(VLOOKUP(J547,LUTs!$A$1:$C$73,2,FALSE),"NA")</f>
        <v>Skagit</v>
      </c>
      <c r="L547" t="str">
        <f>IFERROR(VLOOKUP(J547,LUTs!$A$1:$C$73,3,FALSE),"NA")</f>
        <v>1North Puget Sound</v>
      </c>
      <c r="M547" s="72" t="s">
        <v>26</v>
      </c>
      <c r="N547" t="str">
        <f>VLOOKUP(M547,LUTs!E$2:H$14,3,)</f>
        <v>20Other</v>
      </c>
      <c r="O547" t="str">
        <f>VLOOKUP(M547,LUTs!E$2:H$14,4,)</f>
        <v>07Non Puget Sound</v>
      </c>
      <c r="P547" s="73">
        <v>7.3703703703703702</v>
      </c>
      <c r="Q547" s="74">
        <f>VLOOKUP(B547,Readme!A$40:C$51,2,)*P547</f>
        <v>25.354074074074074</v>
      </c>
    </row>
    <row r="548" spans="1:17" ht="12" customHeight="1" x14ac:dyDescent="0.35">
      <c r="A548" s="75">
        <v>547</v>
      </c>
      <c r="B548" s="64">
        <v>2011</v>
      </c>
      <c r="C548" s="64">
        <v>10</v>
      </c>
      <c r="D548" s="80">
        <f t="shared" si="19"/>
        <v>2011</v>
      </c>
      <c r="E548" t="s">
        <v>38</v>
      </c>
      <c r="F548" t="s">
        <v>143</v>
      </c>
      <c r="G548" t="s">
        <v>10</v>
      </c>
      <c r="H548" s="72" t="s">
        <v>214</v>
      </c>
      <c r="I548" s="72" t="s">
        <v>56</v>
      </c>
      <c r="J548" t="str">
        <f t="shared" si="20"/>
        <v>Samish River</v>
      </c>
      <c r="K548" t="str">
        <f>IFERROR(VLOOKUP(J548,LUTs!$A$1:$C$73,2,FALSE),"NA")</f>
        <v>Skagit</v>
      </c>
      <c r="L548" t="str">
        <f>IFERROR(VLOOKUP(J548,LUTs!$A$1:$C$73,3,FALSE),"NA")</f>
        <v>1North Puget Sound</v>
      </c>
      <c r="M548" s="72" t="s">
        <v>20</v>
      </c>
      <c r="N548" t="str">
        <f>VLOOKUP(M548,LUTs!E$2:H$14,3,)</f>
        <v>07Pierce</v>
      </c>
      <c r="O548" t="str">
        <f>VLOOKUP(M548,LUTs!E$2:H$14,4,)</f>
        <v>02South Puget Sound</v>
      </c>
      <c r="P548" s="73">
        <v>7.3703703703703702</v>
      </c>
      <c r="Q548" s="74">
        <f>VLOOKUP(B548,Readme!A$40:C$51,2,)*P548</f>
        <v>25.354074074074074</v>
      </c>
    </row>
    <row r="549" spans="1:17" ht="12" customHeight="1" x14ac:dyDescent="0.35">
      <c r="A549" s="75">
        <v>548</v>
      </c>
      <c r="B549" s="64">
        <v>2011</v>
      </c>
      <c r="C549" s="64">
        <v>10</v>
      </c>
      <c r="D549" s="80">
        <f t="shared" si="19"/>
        <v>2011</v>
      </c>
      <c r="E549" t="s">
        <v>38</v>
      </c>
      <c r="F549" t="s">
        <v>143</v>
      </c>
      <c r="G549" t="s">
        <v>10</v>
      </c>
      <c r="H549" s="72" t="s">
        <v>214</v>
      </c>
      <c r="I549" s="72" t="s">
        <v>56</v>
      </c>
      <c r="J549" t="str">
        <f t="shared" si="20"/>
        <v>Samish River</v>
      </c>
      <c r="K549" t="str">
        <f>IFERROR(VLOOKUP(J549,LUTs!$A$1:$C$73,2,FALSE),"NA")</f>
        <v>Skagit</v>
      </c>
      <c r="L549" t="str">
        <f>IFERROR(VLOOKUP(J549,LUTs!$A$1:$C$73,3,FALSE),"NA")</f>
        <v>1North Puget Sound</v>
      </c>
      <c r="M549" s="72" t="s">
        <v>15</v>
      </c>
      <c r="N549" t="str">
        <f>VLOOKUP(M549,LUTs!E$2:H$14,3,)</f>
        <v>02Skagit</v>
      </c>
      <c r="O549" t="str">
        <f>VLOOKUP(M549,LUTs!E$2:H$14,4,)</f>
        <v>01North Puget Sound</v>
      </c>
      <c r="P549" s="73">
        <v>574.88888888888903</v>
      </c>
      <c r="Q549" s="74">
        <f>VLOOKUP(B549,Readme!A$40:C$51,2,)*P549</f>
        <v>1977.6177777777782</v>
      </c>
    </row>
    <row r="550" spans="1:17" ht="12" customHeight="1" x14ac:dyDescent="0.35">
      <c r="A550" s="75">
        <v>549</v>
      </c>
      <c r="B550" s="64">
        <v>2011</v>
      </c>
      <c r="C550" s="64">
        <v>10</v>
      </c>
      <c r="D550" s="80">
        <f t="shared" si="19"/>
        <v>2011</v>
      </c>
      <c r="E550" t="s">
        <v>38</v>
      </c>
      <c r="F550" t="s">
        <v>143</v>
      </c>
      <c r="G550" t="s">
        <v>10</v>
      </c>
      <c r="H550" s="72" t="s">
        <v>214</v>
      </c>
      <c r="I550" s="72" t="s">
        <v>56</v>
      </c>
      <c r="J550" t="str">
        <f t="shared" si="20"/>
        <v>Samish River</v>
      </c>
      <c r="K550" t="str">
        <f>IFERROR(VLOOKUP(J550,LUTs!$A$1:$C$73,2,FALSE),"NA")</f>
        <v>Skagit</v>
      </c>
      <c r="L550" t="str">
        <f>IFERROR(VLOOKUP(J550,LUTs!$A$1:$C$73,3,FALSE),"NA")</f>
        <v>1North Puget Sound</v>
      </c>
      <c r="M550" s="72" t="s">
        <v>16</v>
      </c>
      <c r="N550" t="str">
        <f>VLOOKUP(M550,LUTs!E$2:H$14,3,)</f>
        <v>03Snohomish</v>
      </c>
      <c r="O550" t="str">
        <f>VLOOKUP(M550,LUTs!E$2:H$14,4,)</f>
        <v>01North Puget Sound</v>
      </c>
      <c r="P550" s="73">
        <v>604.37037037036998</v>
      </c>
      <c r="Q550" s="74">
        <f>VLOOKUP(B550,Readme!A$40:C$51,2,)*P550</f>
        <v>2079.0340740740726</v>
      </c>
    </row>
    <row r="551" spans="1:17" ht="12" customHeight="1" x14ac:dyDescent="0.35">
      <c r="A551" s="75">
        <v>550</v>
      </c>
      <c r="B551" s="64">
        <v>2011</v>
      </c>
      <c r="C551" s="64">
        <v>10</v>
      </c>
      <c r="D551" s="80">
        <f t="shared" si="19"/>
        <v>2011</v>
      </c>
      <c r="E551" t="s">
        <v>38</v>
      </c>
      <c r="F551" t="s">
        <v>143</v>
      </c>
      <c r="G551" t="s">
        <v>10</v>
      </c>
      <c r="H551" s="72" t="s">
        <v>214</v>
      </c>
      <c r="I551" s="72" t="s">
        <v>56</v>
      </c>
      <c r="J551" t="str">
        <f t="shared" si="20"/>
        <v>Samish River</v>
      </c>
      <c r="K551" t="str">
        <f>IFERROR(VLOOKUP(J551,LUTs!$A$1:$C$73,2,FALSE),"NA")</f>
        <v>Skagit</v>
      </c>
      <c r="L551" t="str">
        <f>IFERROR(VLOOKUP(J551,LUTs!$A$1:$C$73,3,FALSE),"NA")</f>
        <v>1North Puget Sound</v>
      </c>
      <c r="M551" s="72" t="s">
        <v>13</v>
      </c>
      <c r="N551" t="str">
        <f>VLOOKUP(M551,LUTs!E$2:H$14,3,)</f>
        <v>01Whatcom</v>
      </c>
      <c r="O551" t="str">
        <f>VLOOKUP(M551,LUTs!E$2:H$14,4,)</f>
        <v>01North Puget Sound</v>
      </c>
      <c r="P551" s="73">
        <v>545.40740740740705</v>
      </c>
      <c r="Q551" s="74">
        <f>VLOOKUP(B551,Readme!A$40:C$51,2,)*P551</f>
        <v>1876.2014814814802</v>
      </c>
    </row>
    <row r="552" spans="1:17" ht="12" customHeight="1" x14ac:dyDescent="0.35">
      <c r="A552" s="75">
        <v>551</v>
      </c>
      <c r="B552" s="64">
        <v>2011</v>
      </c>
      <c r="C552" s="64">
        <v>11</v>
      </c>
      <c r="D552" s="80">
        <f t="shared" si="19"/>
        <v>2011</v>
      </c>
      <c r="E552" t="s">
        <v>38</v>
      </c>
      <c r="F552" t="s">
        <v>143</v>
      </c>
      <c r="G552" t="s">
        <v>10</v>
      </c>
      <c r="H552" s="72" t="s">
        <v>214</v>
      </c>
      <c r="I552" s="72" t="s">
        <v>56</v>
      </c>
      <c r="J552" t="str">
        <f t="shared" si="20"/>
        <v>Samish River</v>
      </c>
      <c r="K552" t="str">
        <f>IFERROR(VLOOKUP(J552,LUTs!$A$1:$C$73,2,FALSE),"NA")</f>
        <v>Skagit</v>
      </c>
      <c r="L552" t="str">
        <f>IFERROR(VLOOKUP(J552,LUTs!$A$1:$C$73,3,FALSE),"NA")</f>
        <v>1North Puget Sound</v>
      </c>
      <c r="M552" s="72" t="s">
        <v>26</v>
      </c>
      <c r="N552" t="str">
        <f>VLOOKUP(M552,LUTs!E$2:H$14,3,)</f>
        <v>20Other</v>
      </c>
      <c r="O552" t="str">
        <f>VLOOKUP(M552,LUTs!E$2:H$14,4,)</f>
        <v>07Non Puget Sound</v>
      </c>
      <c r="P552" s="73">
        <v>7</v>
      </c>
      <c r="Q552" s="74">
        <f>VLOOKUP(B552,Readme!A$40:C$51,2,)*P552</f>
        <v>24.08</v>
      </c>
    </row>
    <row r="553" spans="1:17" ht="12" customHeight="1" x14ac:dyDescent="0.35">
      <c r="A553" s="75">
        <v>552</v>
      </c>
      <c r="B553" s="64">
        <v>2011</v>
      </c>
      <c r="C553" s="64">
        <v>12</v>
      </c>
      <c r="D553" s="80">
        <f t="shared" si="19"/>
        <v>2011</v>
      </c>
      <c r="E553" t="s">
        <v>38</v>
      </c>
      <c r="F553" t="s">
        <v>143</v>
      </c>
      <c r="G553" t="s">
        <v>10</v>
      </c>
      <c r="H553" s="72" t="s">
        <v>214</v>
      </c>
      <c r="I553" s="72" t="s">
        <v>56</v>
      </c>
      <c r="J553" t="str">
        <f t="shared" si="20"/>
        <v>Samish River</v>
      </c>
      <c r="K553" t="str">
        <f>IFERROR(VLOOKUP(J553,LUTs!$A$1:$C$73,2,FALSE),"NA")</f>
        <v>Skagit</v>
      </c>
      <c r="L553" t="str">
        <f>IFERROR(VLOOKUP(J553,LUTs!$A$1:$C$73,3,FALSE),"NA")</f>
        <v>1North Puget Sound</v>
      </c>
      <c r="M553" s="72" t="s">
        <v>15</v>
      </c>
      <c r="N553" t="str">
        <f>VLOOKUP(M553,LUTs!E$2:H$14,3,)</f>
        <v>02Skagit</v>
      </c>
      <c r="O553" t="str">
        <f>VLOOKUP(M553,LUTs!E$2:H$14,4,)</f>
        <v>01North Puget Sound</v>
      </c>
      <c r="P553" s="73">
        <v>7</v>
      </c>
      <c r="Q553" s="74">
        <f>VLOOKUP(B553,Readme!A$40:C$51,2,)*P553</f>
        <v>24.08</v>
      </c>
    </row>
    <row r="554" spans="1:17" ht="12" customHeight="1" x14ac:dyDescent="0.35">
      <c r="A554" s="75">
        <v>553</v>
      </c>
      <c r="B554" s="64">
        <v>2011</v>
      </c>
      <c r="C554" s="64">
        <v>7</v>
      </c>
      <c r="D554" s="80">
        <f t="shared" si="19"/>
        <v>2011</v>
      </c>
      <c r="E554" t="s">
        <v>38</v>
      </c>
      <c r="F554" t="s">
        <v>143</v>
      </c>
      <c r="G554" t="s">
        <v>10</v>
      </c>
      <c r="H554" s="72" t="s">
        <v>215</v>
      </c>
      <c r="I554" s="72" t="s">
        <v>57</v>
      </c>
      <c r="J554" t="str">
        <f t="shared" si="20"/>
        <v>Baker River</v>
      </c>
      <c r="K554" t="str">
        <f>IFERROR(VLOOKUP(J554,LUTs!$A$1:$C$73,2,FALSE),"NA")</f>
        <v>Skagit/Whatcom</v>
      </c>
      <c r="L554" t="str">
        <f>IFERROR(VLOOKUP(J554,LUTs!$A$1:$C$73,3,FALSE),"NA")</f>
        <v>1North Puget Sound</v>
      </c>
      <c r="M554" s="72" t="s">
        <v>15</v>
      </c>
      <c r="N554" t="str">
        <f>VLOOKUP(M554,LUTs!E$2:H$14,3,)</f>
        <v>02Skagit</v>
      </c>
      <c r="O554" t="str">
        <f>VLOOKUP(M554,LUTs!E$2:H$14,4,)</f>
        <v>01North Puget Sound</v>
      </c>
      <c r="P554" s="73">
        <v>7</v>
      </c>
      <c r="Q554" s="74">
        <f>VLOOKUP(B554,Readme!A$40:C$51,2,)*P554</f>
        <v>24.08</v>
      </c>
    </row>
    <row r="555" spans="1:17" ht="12" customHeight="1" x14ac:dyDescent="0.35">
      <c r="A555" s="75">
        <v>554</v>
      </c>
      <c r="B555" s="64">
        <v>2011</v>
      </c>
      <c r="C555" s="64">
        <v>7</v>
      </c>
      <c r="D555" s="80">
        <f t="shared" si="19"/>
        <v>2011</v>
      </c>
      <c r="E555" t="s">
        <v>38</v>
      </c>
      <c r="F555" t="s">
        <v>143</v>
      </c>
      <c r="G555" t="s">
        <v>10</v>
      </c>
      <c r="H555" s="72" t="s">
        <v>216</v>
      </c>
      <c r="I555" s="72" t="s">
        <v>58</v>
      </c>
      <c r="J555" t="str">
        <f t="shared" si="20"/>
        <v>Baker Lake</v>
      </c>
      <c r="K555" t="str">
        <f>IFERROR(VLOOKUP(J555,LUTs!$A$1:$C$73,2,FALSE),"NA")</f>
        <v>Whatcom</v>
      </c>
      <c r="L555" t="str">
        <f>IFERROR(VLOOKUP(J555,LUTs!$A$1:$C$73,3,FALSE),"NA")</f>
        <v>1North Puget Sound</v>
      </c>
      <c r="M555" s="72" t="s">
        <v>17</v>
      </c>
      <c r="N555" t="str">
        <f>VLOOKUP(M555,LUTs!E$2:H$14,3,)</f>
        <v>04Island</v>
      </c>
      <c r="O555" t="str">
        <f>VLOOKUP(M555,LUTs!E$2:H$14,4,)</f>
        <v>01North Puget Sound</v>
      </c>
      <c r="P555" s="73">
        <v>66.262500000000003</v>
      </c>
      <c r="Q555" s="74">
        <f>VLOOKUP(B555,Readme!A$40:C$51,2,)*P555</f>
        <v>227.94300000000001</v>
      </c>
    </row>
    <row r="556" spans="1:17" ht="12" customHeight="1" x14ac:dyDescent="0.35">
      <c r="A556" s="75">
        <v>555</v>
      </c>
      <c r="B556" s="64">
        <v>2011</v>
      </c>
      <c r="C556" s="64">
        <v>7</v>
      </c>
      <c r="D556" s="80">
        <f t="shared" si="19"/>
        <v>2011</v>
      </c>
      <c r="E556" t="s">
        <v>38</v>
      </c>
      <c r="F556" t="s">
        <v>143</v>
      </c>
      <c r="G556" t="s">
        <v>10</v>
      </c>
      <c r="H556" s="72" t="s">
        <v>216</v>
      </c>
      <c r="I556" s="72" t="s">
        <v>58</v>
      </c>
      <c r="J556" t="str">
        <f t="shared" si="20"/>
        <v>Baker Lake</v>
      </c>
      <c r="K556" t="str">
        <f>IFERROR(VLOOKUP(J556,LUTs!$A$1:$C$73,2,FALSE),"NA")</f>
        <v>Whatcom</v>
      </c>
      <c r="L556" t="str">
        <f>IFERROR(VLOOKUP(J556,LUTs!$A$1:$C$73,3,FALSE),"NA")</f>
        <v>1North Puget Sound</v>
      </c>
      <c r="M556" s="72" t="s">
        <v>18</v>
      </c>
      <c r="N556" t="str">
        <f>VLOOKUP(M556,LUTs!E$2:H$14,3,)</f>
        <v>06King</v>
      </c>
      <c r="O556" t="str">
        <f>VLOOKUP(M556,LUTs!E$2:H$14,4,)</f>
        <v>02South Puget Sound</v>
      </c>
      <c r="P556" s="73">
        <v>603.72500000000002</v>
      </c>
      <c r="Q556" s="74">
        <f>VLOOKUP(B556,Readme!A$40:C$51,2,)*P556</f>
        <v>2076.8139999999999</v>
      </c>
    </row>
    <row r="557" spans="1:17" ht="12" customHeight="1" x14ac:dyDescent="0.35">
      <c r="A557" s="75">
        <v>556</v>
      </c>
      <c r="B557" s="64">
        <v>2011</v>
      </c>
      <c r="C557" s="64">
        <v>7</v>
      </c>
      <c r="D557" s="80">
        <f t="shared" si="19"/>
        <v>2011</v>
      </c>
      <c r="E557" t="s">
        <v>38</v>
      </c>
      <c r="F557" t="s">
        <v>143</v>
      </c>
      <c r="G557" t="s">
        <v>10</v>
      </c>
      <c r="H557" s="72" t="s">
        <v>216</v>
      </c>
      <c r="I557" s="72" t="s">
        <v>58</v>
      </c>
      <c r="J557" t="str">
        <f t="shared" si="20"/>
        <v>Baker Lake</v>
      </c>
      <c r="K557" t="str">
        <f>IFERROR(VLOOKUP(J557,LUTs!$A$1:$C$73,2,FALSE),"NA")</f>
        <v>Whatcom</v>
      </c>
      <c r="L557" t="str">
        <f>IFERROR(VLOOKUP(J557,LUTs!$A$1:$C$73,3,FALSE),"NA")</f>
        <v>1North Puget Sound</v>
      </c>
      <c r="M557" s="72" t="s">
        <v>26</v>
      </c>
      <c r="N557" t="str">
        <f>VLOOKUP(M557,LUTs!E$2:H$14,3,)</f>
        <v>20Other</v>
      </c>
      <c r="O557" t="str">
        <f>VLOOKUP(M557,LUTs!E$2:H$14,4,)</f>
        <v>07Non Puget Sound</v>
      </c>
      <c r="P557" s="73">
        <v>176.7</v>
      </c>
      <c r="Q557" s="74">
        <f>VLOOKUP(B557,Readme!A$40:C$51,2,)*P557</f>
        <v>607.84799999999996</v>
      </c>
    </row>
    <row r="558" spans="1:17" ht="12" customHeight="1" x14ac:dyDescent="0.35">
      <c r="A558" s="75">
        <v>557</v>
      </c>
      <c r="B558" s="64">
        <v>2011</v>
      </c>
      <c r="C558" s="64">
        <v>7</v>
      </c>
      <c r="D558" s="80">
        <f t="shared" si="19"/>
        <v>2011</v>
      </c>
      <c r="E558" t="s">
        <v>38</v>
      </c>
      <c r="F558" t="s">
        <v>143</v>
      </c>
      <c r="G558" t="s">
        <v>10</v>
      </c>
      <c r="H558" s="72" t="s">
        <v>216</v>
      </c>
      <c r="I558" s="72" t="s">
        <v>58</v>
      </c>
      <c r="J558" t="str">
        <f t="shared" si="20"/>
        <v>Baker Lake</v>
      </c>
      <c r="K558" t="str">
        <f>IFERROR(VLOOKUP(J558,LUTs!$A$1:$C$73,2,FALSE),"NA")</f>
        <v>Whatcom</v>
      </c>
      <c r="L558" t="str">
        <f>IFERROR(VLOOKUP(J558,LUTs!$A$1:$C$73,3,FALSE),"NA")</f>
        <v>1North Puget Sound</v>
      </c>
      <c r="M558" s="72" t="s">
        <v>20</v>
      </c>
      <c r="N558" t="str">
        <f>VLOOKUP(M558,LUTs!E$2:H$14,3,)</f>
        <v>07Pierce</v>
      </c>
      <c r="O558" t="str">
        <f>VLOOKUP(M558,LUTs!E$2:H$14,4,)</f>
        <v>02South Puget Sound</v>
      </c>
      <c r="P558" s="73">
        <v>66.262500000000003</v>
      </c>
      <c r="Q558" s="74">
        <f>VLOOKUP(B558,Readme!A$40:C$51,2,)*P558</f>
        <v>227.94300000000001</v>
      </c>
    </row>
    <row r="559" spans="1:17" ht="12" customHeight="1" x14ac:dyDescent="0.35">
      <c r="A559" s="75">
        <v>558</v>
      </c>
      <c r="B559" s="64">
        <v>2011</v>
      </c>
      <c r="C559" s="64">
        <v>7</v>
      </c>
      <c r="D559" s="80">
        <f t="shared" si="19"/>
        <v>2011</v>
      </c>
      <c r="E559" t="s">
        <v>38</v>
      </c>
      <c r="F559" t="s">
        <v>143</v>
      </c>
      <c r="G559" t="s">
        <v>10</v>
      </c>
      <c r="H559" s="72" t="s">
        <v>216</v>
      </c>
      <c r="I559" s="72" t="s">
        <v>58</v>
      </c>
      <c r="J559" t="str">
        <f t="shared" si="20"/>
        <v>Baker Lake</v>
      </c>
      <c r="K559" t="str">
        <f>IFERROR(VLOOKUP(J559,LUTs!$A$1:$C$73,2,FALSE),"NA")</f>
        <v>Whatcom</v>
      </c>
      <c r="L559" t="str">
        <f>IFERROR(VLOOKUP(J559,LUTs!$A$1:$C$73,3,FALSE),"NA")</f>
        <v>1North Puget Sound</v>
      </c>
      <c r="M559" s="72" t="s">
        <v>30</v>
      </c>
      <c r="N559" t="str">
        <f>VLOOKUP(M559,LUTs!E$2:H$14,3,)</f>
        <v>05San Juan</v>
      </c>
      <c r="O559" t="str">
        <f>VLOOKUP(M559,LUTs!E$2:H$14,4,)</f>
        <v>01North Puget Sound</v>
      </c>
      <c r="P559" s="73">
        <v>36.8125</v>
      </c>
      <c r="Q559" s="74">
        <f>VLOOKUP(B559,Readme!A$40:C$51,2,)*P559</f>
        <v>126.63500000000001</v>
      </c>
    </row>
    <row r="560" spans="1:17" ht="12" customHeight="1" x14ac:dyDescent="0.35">
      <c r="A560" s="75">
        <v>559</v>
      </c>
      <c r="B560" s="64">
        <v>2011</v>
      </c>
      <c r="C560" s="64">
        <v>7</v>
      </c>
      <c r="D560" s="80">
        <f t="shared" si="19"/>
        <v>2011</v>
      </c>
      <c r="E560" t="s">
        <v>38</v>
      </c>
      <c r="F560" t="s">
        <v>143</v>
      </c>
      <c r="G560" t="s">
        <v>10</v>
      </c>
      <c r="H560" s="72" t="s">
        <v>216</v>
      </c>
      <c r="I560" s="72" t="s">
        <v>58</v>
      </c>
      <c r="J560" t="str">
        <f t="shared" si="20"/>
        <v>Baker Lake</v>
      </c>
      <c r="K560" t="str">
        <f>IFERROR(VLOOKUP(J560,LUTs!$A$1:$C$73,2,FALSE),"NA")</f>
        <v>Whatcom</v>
      </c>
      <c r="L560" t="str">
        <f>IFERROR(VLOOKUP(J560,LUTs!$A$1:$C$73,3,FALSE),"NA")</f>
        <v>1North Puget Sound</v>
      </c>
      <c r="M560" s="72" t="s">
        <v>15</v>
      </c>
      <c r="N560" t="str">
        <f>VLOOKUP(M560,LUTs!E$2:H$14,3,)</f>
        <v>02Skagit</v>
      </c>
      <c r="O560" t="str">
        <f>VLOOKUP(M560,LUTs!E$2:H$14,4,)</f>
        <v>01North Puget Sound</v>
      </c>
      <c r="P560" s="73">
        <v>890.86249999999995</v>
      </c>
      <c r="Q560" s="74">
        <f>VLOOKUP(B560,Readme!A$40:C$51,2,)*P560</f>
        <v>3064.567</v>
      </c>
    </row>
    <row r="561" spans="1:17" ht="12" customHeight="1" x14ac:dyDescent="0.35">
      <c r="A561" s="75">
        <v>560</v>
      </c>
      <c r="B561" s="64">
        <v>2011</v>
      </c>
      <c r="C561" s="64">
        <v>7</v>
      </c>
      <c r="D561" s="80">
        <f t="shared" si="19"/>
        <v>2011</v>
      </c>
      <c r="E561" t="s">
        <v>38</v>
      </c>
      <c r="F561" t="s">
        <v>143</v>
      </c>
      <c r="G561" t="s">
        <v>10</v>
      </c>
      <c r="H561" s="72" t="s">
        <v>216</v>
      </c>
      <c r="I561" s="72" t="s">
        <v>58</v>
      </c>
      <c r="J561" t="str">
        <f t="shared" si="20"/>
        <v>Baker Lake</v>
      </c>
      <c r="K561" t="str">
        <f>IFERROR(VLOOKUP(J561,LUTs!$A$1:$C$73,2,FALSE),"NA")</f>
        <v>Whatcom</v>
      </c>
      <c r="L561" t="str">
        <f>IFERROR(VLOOKUP(J561,LUTs!$A$1:$C$73,3,FALSE),"NA")</f>
        <v>1North Puget Sound</v>
      </c>
      <c r="M561" s="72" t="s">
        <v>16</v>
      </c>
      <c r="N561" t="str">
        <f>VLOOKUP(M561,LUTs!E$2:H$14,3,)</f>
        <v>03Snohomish</v>
      </c>
      <c r="O561" t="str">
        <f>VLOOKUP(M561,LUTs!E$2:H$14,4,)</f>
        <v>01North Puget Sound</v>
      </c>
      <c r="P561" s="73">
        <v>905.58749999999998</v>
      </c>
      <c r="Q561" s="74">
        <f>VLOOKUP(B561,Readme!A$40:C$51,2,)*P561</f>
        <v>3115.221</v>
      </c>
    </row>
    <row r="562" spans="1:17" ht="12" customHeight="1" x14ac:dyDescent="0.35">
      <c r="A562" s="75">
        <v>561</v>
      </c>
      <c r="B562" s="64">
        <v>2011</v>
      </c>
      <c r="C562" s="64">
        <v>7</v>
      </c>
      <c r="D562" s="80">
        <f t="shared" si="19"/>
        <v>2011</v>
      </c>
      <c r="E562" t="s">
        <v>38</v>
      </c>
      <c r="F562" t="s">
        <v>143</v>
      </c>
      <c r="G562" t="s">
        <v>10</v>
      </c>
      <c r="H562" s="72" t="s">
        <v>216</v>
      </c>
      <c r="I562" s="72" t="s">
        <v>58</v>
      </c>
      <c r="J562" t="str">
        <f t="shared" si="20"/>
        <v>Baker Lake</v>
      </c>
      <c r="K562" t="str">
        <f>IFERROR(VLOOKUP(J562,LUTs!$A$1:$C$73,2,FALSE),"NA")</f>
        <v>Whatcom</v>
      </c>
      <c r="L562" t="str">
        <f>IFERROR(VLOOKUP(J562,LUTs!$A$1:$C$73,3,FALSE),"NA")</f>
        <v>1North Puget Sound</v>
      </c>
      <c r="M562" s="72" t="s">
        <v>21</v>
      </c>
      <c r="N562" t="str">
        <f>VLOOKUP(M562,LUTs!E$2:H$14,3,)</f>
        <v>08Thurston</v>
      </c>
      <c r="O562" t="str">
        <f>VLOOKUP(M562,LUTs!E$2:H$14,4,)</f>
        <v>02South Puget Sound</v>
      </c>
      <c r="P562" s="73">
        <v>7.3624999999999998</v>
      </c>
      <c r="Q562" s="74">
        <f>VLOOKUP(B562,Readme!A$40:C$51,2,)*P562</f>
        <v>25.326999999999998</v>
      </c>
    </row>
    <row r="563" spans="1:17" ht="12" customHeight="1" x14ac:dyDescent="0.35">
      <c r="A563" s="75">
        <v>562</v>
      </c>
      <c r="B563" s="64">
        <v>2011</v>
      </c>
      <c r="C563" s="64">
        <v>7</v>
      </c>
      <c r="D563" s="80">
        <f t="shared" si="19"/>
        <v>2011</v>
      </c>
      <c r="E563" t="s">
        <v>38</v>
      </c>
      <c r="F563" t="s">
        <v>143</v>
      </c>
      <c r="G563" t="s">
        <v>10</v>
      </c>
      <c r="H563" s="72" t="s">
        <v>216</v>
      </c>
      <c r="I563" s="72" t="s">
        <v>58</v>
      </c>
      <c r="J563" t="str">
        <f t="shared" si="20"/>
        <v>Baker Lake</v>
      </c>
      <c r="K563" t="str">
        <f>IFERROR(VLOOKUP(J563,LUTs!$A$1:$C$73,2,FALSE),"NA")</f>
        <v>Whatcom</v>
      </c>
      <c r="L563" t="str">
        <f>IFERROR(VLOOKUP(J563,LUTs!$A$1:$C$73,3,FALSE),"NA")</f>
        <v>1North Puget Sound</v>
      </c>
      <c r="M563" s="72" t="s">
        <v>13</v>
      </c>
      <c r="N563" t="str">
        <f>VLOOKUP(M563,LUTs!E$2:H$14,3,)</f>
        <v>01Whatcom</v>
      </c>
      <c r="O563" t="str">
        <f>VLOOKUP(M563,LUTs!E$2:H$14,4,)</f>
        <v>01North Puget Sound</v>
      </c>
      <c r="P563" s="73">
        <v>780.42499999999995</v>
      </c>
      <c r="Q563" s="74">
        <f>VLOOKUP(B563,Readme!A$40:C$51,2,)*P563</f>
        <v>2684.6619999999998</v>
      </c>
    </row>
    <row r="564" spans="1:17" ht="12" customHeight="1" x14ac:dyDescent="0.35">
      <c r="A564" s="75">
        <v>563</v>
      </c>
      <c r="B564" s="64">
        <v>2011</v>
      </c>
      <c r="C564" s="64">
        <v>8</v>
      </c>
      <c r="D564" s="80">
        <f t="shared" si="19"/>
        <v>2011</v>
      </c>
      <c r="E564" t="s">
        <v>38</v>
      </c>
      <c r="F564" t="s">
        <v>143</v>
      </c>
      <c r="G564" t="s">
        <v>10</v>
      </c>
      <c r="H564" s="72" t="s">
        <v>216</v>
      </c>
      <c r="I564" s="72" t="s">
        <v>58</v>
      </c>
      <c r="J564" t="str">
        <f t="shared" si="20"/>
        <v>Baker Lake</v>
      </c>
      <c r="K564" t="str">
        <f>IFERROR(VLOOKUP(J564,LUTs!$A$1:$C$73,2,FALSE),"NA")</f>
        <v>Whatcom</v>
      </c>
      <c r="L564" t="str">
        <f>IFERROR(VLOOKUP(J564,LUTs!$A$1:$C$73,3,FALSE),"NA")</f>
        <v>1North Puget Sound</v>
      </c>
      <c r="M564" s="72" t="s">
        <v>24</v>
      </c>
      <c r="N564" t="str">
        <f>VLOOKUP(M564,LUTs!E$2:H$14,3,)</f>
        <v>11Clallam</v>
      </c>
      <c r="O564" t="str">
        <f>VLOOKUP(M564,LUTs!E$2:H$14,4,)</f>
        <v>03Strait of Juan de Fuca</v>
      </c>
      <c r="P564" s="73">
        <v>14.7246376811594</v>
      </c>
      <c r="Q564" s="74">
        <f>VLOOKUP(B564,Readme!A$40:C$51,2,)*P564</f>
        <v>50.652753623188339</v>
      </c>
    </row>
    <row r="565" spans="1:17" ht="12" customHeight="1" x14ac:dyDescent="0.35">
      <c r="A565" s="75">
        <v>564</v>
      </c>
      <c r="B565" s="64">
        <v>2011</v>
      </c>
      <c r="C565" s="64">
        <v>8</v>
      </c>
      <c r="D565" s="80">
        <f t="shared" si="19"/>
        <v>2011</v>
      </c>
      <c r="E565" t="s">
        <v>38</v>
      </c>
      <c r="F565" t="s">
        <v>143</v>
      </c>
      <c r="G565" t="s">
        <v>10</v>
      </c>
      <c r="H565" s="72" t="s">
        <v>216</v>
      </c>
      <c r="I565" s="72" t="s">
        <v>58</v>
      </c>
      <c r="J565" t="str">
        <f t="shared" si="20"/>
        <v>Baker Lake</v>
      </c>
      <c r="K565" t="str">
        <f>IFERROR(VLOOKUP(J565,LUTs!$A$1:$C$73,2,FALSE),"NA")</f>
        <v>Whatcom</v>
      </c>
      <c r="L565" t="str">
        <f>IFERROR(VLOOKUP(J565,LUTs!$A$1:$C$73,3,FALSE),"NA")</f>
        <v>1North Puget Sound</v>
      </c>
      <c r="M565" s="72" t="s">
        <v>17</v>
      </c>
      <c r="N565" t="str">
        <f>VLOOKUP(M565,LUTs!E$2:H$14,3,)</f>
        <v>04Island</v>
      </c>
      <c r="O565" t="str">
        <f>VLOOKUP(M565,LUTs!E$2:H$14,4,)</f>
        <v>01North Puget Sound</v>
      </c>
      <c r="P565" s="73">
        <v>161.97101449275399</v>
      </c>
      <c r="Q565" s="74">
        <f>VLOOKUP(B565,Readme!A$40:C$51,2,)*P565</f>
        <v>557.18028985507374</v>
      </c>
    </row>
    <row r="566" spans="1:17" ht="12" customHeight="1" x14ac:dyDescent="0.35">
      <c r="A566" s="75">
        <v>565</v>
      </c>
      <c r="B566" s="64">
        <v>2011</v>
      </c>
      <c r="C566" s="64">
        <v>8</v>
      </c>
      <c r="D566" s="80">
        <f t="shared" si="19"/>
        <v>2011</v>
      </c>
      <c r="E566" t="s">
        <v>38</v>
      </c>
      <c r="F566" t="s">
        <v>143</v>
      </c>
      <c r="G566" t="s">
        <v>10</v>
      </c>
      <c r="H566" s="72" t="s">
        <v>216</v>
      </c>
      <c r="I566" s="72" t="s">
        <v>58</v>
      </c>
      <c r="J566" t="str">
        <f t="shared" si="20"/>
        <v>Baker Lake</v>
      </c>
      <c r="K566" t="str">
        <f>IFERROR(VLOOKUP(J566,LUTs!$A$1:$C$73,2,FALSE),"NA")</f>
        <v>Whatcom</v>
      </c>
      <c r="L566" t="str">
        <f>IFERROR(VLOOKUP(J566,LUTs!$A$1:$C$73,3,FALSE),"NA")</f>
        <v>1North Puget Sound</v>
      </c>
      <c r="M566" s="72" t="s">
        <v>18</v>
      </c>
      <c r="N566" t="str">
        <f>VLOOKUP(M566,LUTs!E$2:H$14,3,)</f>
        <v>06King</v>
      </c>
      <c r="O566" t="str">
        <f>VLOOKUP(M566,LUTs!E$2:H$14,4,)</f>
        <v>02South Puget Sound</v>
      </c>
      <c r="P566" s="73">
        <v>552.17391304347802</v>
      </c>
      <c r="Q566" s="74">
        <f>VLOOKUP(B566,Readme!A$40:C$51,2,)*P566</f>
        <v>1899.4782608695643</v>
      </c>
    </row>
    <row r="567" spans="1:17" ht="12" customHeight="1" x14ac:dyDescent="0.35">
      <c r="A567" s="75">
        <v>566</v>
      </c>
      <c r="B567" s="64">
        <v>2011</v>
      </c>
      <c r="C567" s="64">
        <v>8</v>
      </c>
      <c r="D567" s="80">
        <f t="shared" si="19"/>
        <v>2011</v>
      </c>
      <c r="E567" t="s">
        <v>38</v>
      </c>
      <c r="F567" t="s">
        <v>143</v>
      </c>
      <c r="G567" t="s">
        <v>10</v>
      </c>
      <c r="H567" s="72" t="s">
        <v>216</v>
      </c>
      <c r="I567" s="72" t="s">
        <v>58</v>
      </c>
      <c r="J567" t="str">
        <f t="shared" si="20"/>
        <v>Baker Lake</v>
      </c>
      <c r="K567" t="str">
        <f>IFERROR(VLOOKUP(J567,LUTs!$A$1:$C$73,2,FALSE),"NA")</f>
        <v>Whatcom</v>
      </c>
      <c r="L567" t="str">
        <f>IFERROR(VLOOKUP(J567,LUTs!$A$1:$C$73,3,FALSE),"NA")</f>
        <v>1North Puget Sound</v>
      </c>
      <c r="M567" s="72" t="s">
        <v>26</v>
      </c>
      <c r="N567" t="str">
        <f>VLOOKUP(M567,LUTs!E$2:H$14,3,)</f>
        <v>20Other</v>
      </c>
      <c r="O567" t="str">
        <f>VLOOKUP(M567,LUTs!E$2:H$14,4,)</f>
        <v>07Non Puget Sound</v>
      </c>
      <c r="P567" s="73">
        <v>441.73913043478302</v>
      </c>
      <c r="Q567" s="74">
        <f>VLOOKUP(B567,Readme!A$40:C$51,2,)*P567</f>
        <v>1519.5826086956536</v>
      </c>
    </row>
    <row r="568" spans="1:17" ht="12" customHeight="1" x14ac:dyDescent="0.35">
      <c r="A568" s="75">
        <v>567</v>
      </c>
      <c r="B568" s="64">
        <v>2011</v>
      </c>
      <c r="C568" s="64">
        <v>8</v>
      </c>
      <c r="D568" s="80">
        <f t="shared" si="19"/>
        <v>2011</v>
      </c>
      <c r="E568" t="s">
        <v>38</v>
      </c>
      <c r="F568" t="s">
        <v>143</v>
      </c>
      <c r="G568" t="s">
        <v>10</v>
      </c>
      <c r="H568" s="72" t="s">
        <v>216</v>
      </c>
      <c r="I568" s="72" t="s">
        <v>58</v>
      </c>
      <c r="J568" t="str">
        <f t="shared" si="20"/>
        <v>Baker Lake</v>
      </c>
      <c r="K568" t="str">
        <f>IFERROR(VLOOKUP(J568,LUTs!$A$1:$C$73,2,FALSE),"NA")</f>
        <v>Whatcom</v>
      </c>
      <c r="L568" t="str">
        <f>IFERROR(VLOOKUP(J568,LUTs!$A$1:$C$73,3,FALSE),"NA")</f>
        <v>1North Puget Sound</v>
      </c>
      <c r="M568" s="72" t="s">
        <v>20</v>
      </c>
      <c r="N568" t="str">
        <f>VLOOKUP(M568,LUTs!E$2:H$14,3,)</f>
        <v>07Pierce</v>
      </c>
      <c r="O568" t="str">
        <f>VLOOKUP(M568,LUTs!E$2:H$14,4,)</f>
        <v>02South Puget Sound</v>
      </c>
      <c r="P568" s="73">
        <v>66.260869565217405</v>
      </c>
      <c r="Q568" s="74">
        <f>VLOOKUP(B568,Readme!A$40:C$51,2,)*P568</f>
        <v>227.93739130434787</v>
      </c>
    </row>
    <row r="569" spans="1:17" ht="12" customHeight="1" x14ac:dyDescent="0.35">
      <c r="A569" s="75">
        <v>568</v>
      </c>
      <c r="B569" s="64">
        <v>2011</v>
      </c>
      <c r="C569" s="64">
        <v>8</v>
      </c>
      <c r="D569" s="80">
        <f t="shared" si="19"/>
        <v>2011</v>
      </c>
      <c r="E569" t="s">
        <v>38</v>
      </c>
      <c r="F569" t="s">
        <v>143</v>
      </c>
      <c r="G569" t="s">
        <v>10</v>
      </c>
      <c r="H569" s="72" t="s">
        <v>216</v>
      </c>
      <c r="I569" s="72" t="s">
        <v>58</v>
      </c>
      <c r="J569" t="str">
        <f t="shared" si="20"/>
        <v>Baker Lake</v>
      </c>
      <c r="K569" t="str">
        <f>IFERROR(VLOOKUP(J569,LUTs!$A$1:$C$73,2,FALSE),"NA")</f>
        <v>Whatcom</v>
      </c>
      <c r="L569" t="str">
        <f>IFERROR(VLOOKUP(J569,LUTs!$A$1:$C$73,3,FALSE),"NA")</f>
        <v>1North Puget Sound</v>
      </c>
      <c r="M569" s="72" t="s">
        <v>15</v>
      </c>
      <c r="N569" t="str">
        <f>VLOOKUP(M569,LUTs!E$2:H$14,3,)</f>
        <v>02Skagit</v>
      </c>
      <c r="O569" t="str">
        <f>VLOOKUP(M569,LUTs!E$2:H$14,4,)</f>
        <v>01North Puget Sound</v>
      </c>
      <c r="P569" s="73">
        <v>1008.63768115942</v>
      </c>
      <c r="Q569" s="74">
        <f>VLOOKUP(B569,Readme!A$40:C$51,2,)*P569</f>
        <v>3469.7136231884047</v>
      </c>
    </row>
    <row r="570" spans="1:17" ht="12" customHeight="1" x14ac:dyDescent="0.35">
      <c r="A570" s="75">
        <v>569</v>
      </c>
      <c r="B570" s="64">
        <v>2011</v>
      </c>
      <c r="C570" s="64">
        <v>8</v>
      </c>
      <c r="D570" s="80">
        <f t="shared" si="19"/>
        <v>2011</v>
      </c>
      <c r="E570" t="s">
        <v>38</v>
      </c>
      <c r="F570" t="s">
        <v>143</v>
      </c>
      <c r="G570" t="s">
        <v>10</v>
      </c>
      <c r="H570" s="72" t="s">
        <v>216</v>
      </c>
      <c r="I570" s="72" t="s">
        <v>58</v>
      </c>
      <c r="J570" t="str">
        <f t="shared" si="20"/>
        <v>Baker Lake</v>
      </c>
      <c r="K570" t="str">
        <f>IFERROR(VLOOKUP(J570,LUTs!$A$1:$C$73,2,FALSE),"NA")</f>
        <v>Whatcom</v>
      </c>
      <c r="L570" t="str">
        <f>IFERROR(VLOOKUP(J570,LUTs!$A$1:$C$73,3,FALSE),"NA")</f>
        <v>1North Puget Sound</v>
      </c>
      <c r="M570" s="72" t="s">
        <v>16</v>
      </c>
      <c r="N570" t="str">
        <f>VLOOKUP(M570,LUTs!E$2:H$14,3,)</f>
        <v>03Snohomish</v>
      </c>
      <c r="O570" t="str">
        <f>VLOOKUP(M570,LUTs!E$2:H$14,4,)</f>
        <v>01North Puget Sound</v>
      </c>
      <c r="P570" s="73">
        <v>1303.1304347826101</v>
      </c>
      <c r="Q570" s="74">
        <f>VLOOKUP(B570,Readme!A$40:C$51,2,)*P570</f>
        <v>4482.7686956521784</v>
      </c>
    </row>
    <row r="571" spans="1:17" ht="12" customHeight="1" x14ac:dyDescent="0.35">
      <c r="A571" s="75">
        <v>570</v>
      </c>
      <c r="B571" s="64">
        <v>2011</v>
      </c>
      <c r="C571" s="64">
        <v>8</v>
      </c>
      <c r="D571" s="80">
        <f t="shared" si="19"/>
        <v>2011</v>
      </c>
      <c r="E571" t="s">
        <v>38</v>
      </c>
      <c r="F571" t="s">
        <v>143</v>
      </c>
      <c r="G571" t="s">
        <v>10</v>
      </c>
      <c r="H571" s="72" t="s">
        <v>216</v>
      </c>
      <c r="I571" s="72" t="s">
        <v>58</v>
      </c>
      <c r="J571" t="str">
        <f t="shared" si="20"/>
        <v>Baker Lake</v>
      </c>
      <c r="K571" t="str">
        <f>IFERROR(VLOOKUP(J571,LUTs!$A$1:$C$73,2,FALSE),"NA")</f>
        <v>Whatcom</v>
      </c>
      <c r="L571" t="str">
        <f>IFERROR(VLOOKUP(J571,LUTs!$A$1:$C$73,3,FALSE),"NA")</f>
        <v>1North Puget Sound</v>
      </c>
      <c r="M571" s="72" t="s">
        <v>21</v>
      </c>
      <c r="N571" t="str">
        <f>VLOOKUP(M571,LUTs!E$2:H$14,3,)</f>
        <v>08Thurston</v>
      </c>
      <c r="O571" t="str">
        <f>VLOOKUP(M571,LUTs!E$2:H$14,4,)</f>
        <v>02South Puget Sound</v>
      </c>
      <c r="P571" s="73">
        <v>73.623188405797094</v>
      </c>
      <c r="Q571" s="74">
        <f>VLOOKUP(B571,Readme!A$40:C$51,2,)*P571</f>
        <v>253.26376811594201</v>
      </c>
    </row>
    <row r="572" spans="1:17" ht="12" customHeight="1" x14ac:dyDescent="0.35">
      <c r="A572" s="75">
        <v>571</v>
      </c>
      <c r="B572" s="64">
        <v>2011</v>
      </c>
      <c r="C572" s="64">
        <v>8</v>
      </c>
      <c r="D572" s="80">
        <f t="shared" si="19"/>
        <v>2011</v>
      </c>
      <c r="E572" t="s">
        <v>38</v>
      </c>
      <c r="F572" t="s">
        <v>143</v>
      </c>
      <c r="G572" t="s">
        <v>10</v>
      </c>
      <c r="H572" s="72" t="s">
        <v>216</v>
      </c>
      <c r="I572" s="72" t="s">
        <v>58</v>
      </c>
      <c r="J572" t="str">
        <f t="shared" si="20"/>
        <v>Baker Lake</v>
      </c>
      <c r="K572" t="str">
        <f>IFERROR(VLOOKUP(J572,LUTs!$A$1:$C$73,2,FALSE),"NA")</f>
        <v>Whatcom</v>
      </c>
      <c r="L572" t="str">
        <f>IFERROR(VLOOKUP(J572,LUTs!$A$1:$C$73,3,FALSE),"NA")</f>
        <v>1North Puget Sound</v>
      </c>
      <c r="M572" s="72" t="s">
        <v>13</v>
      </c>
      <c r="N572" t="str">
        <f>VLOOKUP(M572,LUTs!E$2:H$14,3,)</f>
        <v>01Whatcom</v>
      </c>
      <c r="O572" t="str">
        <f>VLOOKUP(M572,LUTs!E$2:H$14,4,)</f>
        <v>01North Puget Sound</v>
      </c>
      <c r="P572" s="73">
        <v>949.73913043478296</v>
      </c>
      <c r="Q572" s="74">
        <f>VLOOKUP(B572,Readme!A$40:C$51,2,)*P572</f>
        <v>3267.1026086956535</v>
      </c>
    </row>
    <row r="573" spans="1:17" ht="12" customHeight="1" x14ac:dyDescent="0.35">
      <c r="A573" s="75">
        <v>572</v>
      </c>
      <c r="B573" s="64">
        <v>2011</v>
      </c>
      <c r="C573" s="64">
        <v>9</v>
      </c>
      <c r="D573" s="80">
        <f t="shared" si="19"/>
        <v>2011</v>
      </c>
      <c r="E573" t="s">
        <v>38</v>
      </c>
      <c r="F573" t="s">
        <v>143</v>
      </c>
      <c r="G573" t="s">
        <v>10</v>
      </c>
      <c r="H573" s="72" t="s">
        <v>216</v>
      </c>
      <c r="I573" s="72" t="s">
        <v>58</v>
      </c>
      <c r="J573" t="str">
        <f t="shared" si="20"/>
        <v>Baker Lake</v>
      </c>
      <c r="K573" t="str">
        <f>IFERROR(VLOOKUP(J573,LUTs!$A$1:$C$73,2,FALSE),"NA")</f>
        <v>Whatcom</v>
      </c>
      <c r="L573" t="str">
        <f>IFERROR(VLOOKUP(J573,LUTs!$A$1:$C$73,3,FALSE),"NA")</f>
        <v>1North Puget Sound</v>
      </c>
      <c r="M573" s="72" t="s">
        <v>26</v>
      </c>
      <c r="N573" t="str">
        <f>VLOOKUP(M573,LUTs!E$2:H$14,3,)</f>
        <v>20Other</v>
      </c>
      <c r="O573" t="str">
        <f>VLOOKUP(M573,LUTs!E$2:H$14,4,)</f>
        <v>07Non Puget Sound</v>
      </c>
      <c r="P573" s="73">
        <v>14.709677419354801</v>
      </c>
      <c r="Q573" s="74">
        <f>VLOOKUP(B573,Readme!A$40:C$51,2,)*P573</f>
        <v>50.60129032258051</v>
      </c>
    </row>
    <row r="574" spans="1:17" ht="12" customHeight="1" x14ac:dyDescent="0.35">
      <c r="A574" s="75">
        <v>573</v>
      </c>
      <c r="B574" s="64">
        <v>2011</v>
      </c>
      <c r="C574" s="64">
        <v>9</v>
      </c>
      <c r="D574" s="80">
        <f t="shared" si="19"/>
        <v>2011</v>
      </c>
      <c r="E574" t="s">
        <v>38</v>
      </c>
      <c r="F574" t="s">
        <v>143</v>
      </c>
      <c r="G574" t="s">
        <v>10</v>
      </c>
      <c r="H574" s="72" t="s">
        <v>216</v>
      </c>
      <c r="I574" s="72" t="s">
        <v>58</v>
      </c>
      <c r="J574" t="str">
        <f t="shared" si="20"/>
        <v>Baker Lake</v>
      </c>
      <c r="K574" t="str">
        <f>IFERROR(VLOOKUP(J574,LUTs!$A$1:$C$73,2,FALSE),"NA")</f>
        <v>Whatcom</v>
      </c>
      <c r="L574" t="str">
        <f>IFERROR(VLOOKUP(J574,LUTs!$A$1:$C$73,3,FALSE),"NA")</f>
        <v>1North Puget Sound</v>
      </c>
      <c r="M574" s="72" t="s">
        <v>15</v>
      </c>
      <c r="N574" t="str">
        <f>VLOOKUP(M574,LUTs!E$2:H$14,3,)</f>
        <v>02Skagit</v>
      </c>
      <c r="O574" t="str">
        <f>VLOOKUP(M574,LUTs!E$2:H$14,4,)</f>
        <v>01North Puget Sound</v>
      </c>
      <c r="P574" s="73">
        <v>110.322580645161</v>
      </c>
      <c r="Q574" s="74">
        <f>VLOOKUP(B574,Readme!A$40:C$51,2,)*P574</f>
        <v>379.50967741935381</v>
      </c>
    </row>
    <row r="575" spans="1:17" ht="12" customHeight="1" x14ac:dyDescent="0.35">
      <c r="A575" s="75">
        <v>574</v>
      </c>
      <c r="B575" s="64">
        <v>2011</v>
      </c>
      <c r="C575" s="64">
        <v>9</v>
      </c>
      <c r="D575" s="80">
        <f t="shared" si="19"/>
        <v>2011</v>
      </c>
      <c r="E575" t="s">
        <v>38</v>
      </c>
      <c r="F575" t="s">
        <v>143</v>
      </c>
      <c r="G575" t="s">
        <v>10</v>
      </c>
      <c r="H575" s="72" t="s">
        <v>216</v>
      </c>
      <c r="I575" s="72" t="s">
        <v>58</v>
      </c>
      <c r="J575" t="str">
        <f t="shared" si="20"/>
        <v>Baker Lake</v>
      </c>
      <c r="K575" t="str">
        <f>IFERROR(VLOOKUP(J575,LUTs!$A$1:$C$73,2,FALSE),"NA")</f>
        <v>Whatcom</v>
      </c>
      <c r="L575" t="str">
        <f>IFERROR(VLOOKUP(J575,LUTs!$A$1:$C$73,3,FALSE),"NA")</f>
        <v>1North Puget Sound</v>
      </c>
      <c r="M575" s="72" t="s">
        <v>16</v>
      </c>
      <c r="N575" t="str">
        <f>VLOOKUP(M575,LUTs!E$2:H$14,3,)</f>
        <v>03Snohomish</v>
      </c>
      <c r="O575" t="str">
        <f>VLOOKUP(M575,LUTs!E$2:H$14,4,)</f>
        <v>01North Puget Sound</v>
      </c>
      <c r="P575" s="73">
        <v>88.258064516128997</v>
      </c>
      <c r="Q575" s="74">
        <f>VLOOKUP(B575,Readme!A$40:C$51,2,)*P575</f>
        <v>303.60774193548372</v>
      </c>
    </row>
    <row r="576" spans="1:17" ht="12" customHeight="1" x14ac:dyDescent="0.35">
      <c r="A576" s="75">
        <v>575</v>
      </c>
      <c r="B576" s="64">
        <v>2011</v>
      </c>
      <c r="C576" s="64">
        <v>9</v>
      </c>
      <c r="D576" s="80">
        <f t="shared" si="19"/>
        <v>2011</v>
      </c>
      <c r="E576" t="s">
        <v>38</v>
      </c>
      <c r="F576" t="s">
        <v>143</v>
      </c>
      <c r="G576" t="s">
        <v>10</v>
      </c>
      <c r="H576" s="72" t="s">
        <v>216</v>
      </c>
      <c r="I576" s="72" t="s">
        <v>58</v>
      </c>
      <c r="J576" t="str">
        <f t="shared" si="20"/>
        <v>Baker Lake</v>
      </c>
      <c r="K576" t="str">
        <f>IFERROR(VLOOKUP(J576,LUTs!$A$1:$C$73,2,FALSE),"NA")</f>
        <v>Whatcom</v>
      </c>
      <c r="L576" t="str">
        <f>IFERROR(VLOOKUP(J576,LUTs!$A$1:$C$73,3,FALSE),"NA")</f>
        <v>1North Puget Sound</v>
      </c>
      <c r="M576" s="72" t="s">
        <v>13</v>
      </c>
      <c r="N576" t="str">
        <f>VLOOKUP(M576,LUTs!E$2:H$14,3,)</f>
        <v>01Whatcom</v>
      </c>
      <c r="O576" t="str">
        <f>VLOOKUP(M576,LUTs!E$2:H$14,4,)</f>
        <v>01North Puget Sound</v>
      </c>
      <c r="P576" s="73">
        <v>14.709677419354801</v>
      </c>
      <c r="Q576" s="74">
        <f>VLOOKUP(B576,Readme!A$40:C$51,2,)*P576</f>
        <v>50.60129032258051</v>
      </c>
    </row>
    <row r="577" spans="1:17" ht="12" customHeight="1" x14ac:dyDescent="0.35">
      <c r="A577" s="75">
        <v>576</v>
      </c>
      <c r="B577" s="64">
        <v>2011</v>
      </c>
      <c r="C577" s="64">
        <v>6</v>
      </c>
      <c r="D577" s="80">
        <f t="shared" si="19"/>
        <v>2011</v>
      </c>
      <c r="E577" t="s">
        <v>38</v>
      </c>
      <c r="F577" t="s">
        <v>143</v>
      </c>
      <c r="G577" t="s">
        <v>10</v>
      </c>
      <c r="H577" s="72" t="s">
        <v>217</v>
      </c>
      <c r="I577" s="72" t="s">
        <v>59</v>
      </c>
      <c r="J577" t="str">
        <f t="shared" si="20"/>
        <v>Cascade River</v>
      </c>
      <c r="K577" t="str">
        <f>IFERROR(VLOOKUP(J577,LUTs!$A$1:$C$73,2,FALSE),"NA")</f>
        <v>Skagit</v>
      </c>
      <c r="L577" t="str">
        <f>IFERROR(VLOOKUP(J577,LUTs!$A$1:$C$73,3,FALSE),"NA")</f>
        <v>1North Puget Sound</v>
      </c>
      <c r="M577" s="72" t="s">
        <v>17</v>
      </c>
      <c r="N577" t="str">
        <f>VLOOKUP(M577,LUTs!E$2:H$14,3,)</f>
        <v>04Island</v>
      </c>
      <c r="O577" t="str">
        <f>VLOOKUP(M577,LUTs!E$2:H$14,4,)</f>
        <v>01North Puget Sound</v>
      </c>
      <c r="P577" s="73">
        <v>7.28571428571429</v>
      </c>
      <c r="Q577" s="74">
        <f>VLOOKUP(B577,Readme!A$40:C$51,2,)*P577</f>
        <v>25.062857142857158</v>
      </c>
    </row>
    <row r="578" spans="1:17" ht="12" customHeight="1" x14ac:dyDescent="0.35">
      <c r="A578" s="75">
        <v>577</v>
      </c>
      <c r="B578" s="64">
        <v>2011</v>
      </c>
      <c r="C578" s="64">
        <v>6</v>
      </c>
      <c r="D578" s="80">
        <f t="shared" ref="D578:D641" si="21">IF(C578&gt;3,B578,B578-1)</f>
        <v>2011</v>
      </c>
      <c r="E578" t="s">
        <v>38</v>
      </c>
      <c r="F578" t="s">
        <v>143</v>
      </c>
      <c r="G578" t="s">
        <v>10</v>
      </c>
      <c r="H578" s="72" t="s">
        <v>217</v>
      </c>
      <c r="I578" s="72" t="s">
        <v>59</v>
      </c>
      <c r="J578" t="str">
        <f t="shared" si="20"/>
        <v>Cascade River</v>
      </c>
      <c r="K578" t="str">
        <f>IFERROR(VLOOKUP(J578,LUTs!$A$1:$C$73,2,FALSE),"NA")</f>
        <v>Skagit</v>
      </c>
      <c r="L578" t="str">
        <f>IFERROR(VLOOKUP(J578,LUTs!$A$1:$C$73,3,FALSE),"NA")</f>
        <v>1North Puget Sound</v>
      </c>
      <c r="M578" s="72" t="s">
        <v>18</v>
      </c>
      <c r="N578" t="str">
        <f>VLOOKUP(M578,LUTs!E$2:H$14,3,)</f>
        <v>06King</v>
      </c>
      <c r="O578" t="str">
        <f>VLOOKUP(M578,LUTs!E$2:H$14,4,)</f>
        <v>02South Puget Sound</v>
      </c>
      <c r="P578" s="73">
        <v>14.5714285714286</v>
      </c>
      <c r="Q578" s="74">
        <f>VLOOKUP(B578,Readme!A$40:C$51,2,)*P578</f>
        <v>50.12571428571438</v>
      </c>
    </row>
    <row r="579" spans="1:17" ht="12" customHeight="1" x14ac:dyDescent="0.35">
      <c r="A579" s="75">
        <v>578</v>
      </c>
      <c r="B579" s="64">
        <v>2011</v>
      </c>
      <c r="C579" s="64">
        <v>6</v>
      </c>
      <c r="D579" s="80">
        <f t="shared" si="21"/>
        <v>2011</v>
      </c>
      <c r="E579" t="s">
        <v>38</v>
      </c>
      <c r="F579" t="s">
        <v>143</v>
      </c>
      <c r="G579" t="s">
        <v>10</v>
      </c>
      <c r="H579" s="72" t="s">
        <v>217</v>
      </c>
      <c r="I579" s="72" t="s">
        <v>59</v>
      </c>
      <c r="J579" t="str">
        <f t="shared" ref="J579:J642" si="22">I579</f>
        <v>Cascade River</v>
      </c>
      <c r="K579" t="str">
        <f>IFERROR(VLOOKUP(J579,LUTs!$A$1:$C$73,2,FALSE),"NA")</f>
        <v>Skagit</v>
      </c>
      <c r="L579" t="str">
        <f>IFERROR(VLOOKUP(J579,LUTs!$A$1:$C$73,3,FALSE),"NA")</f>
        <v>1North Puget Sound</v>
      </c>
      <c r="M579" s="72" t="s">
        <v>26</v>
      </c>
      <c r="N579" t="str">
        <f>VLOOKUP(M579,LUTs!E$2:H$14,3,)</f>
        <v>20Other</v>
      </c>
      <c r="O579" t="str">
        <f>VLOOKUP(M579,LUTs!E$2:H$14,4,)</f>
        <v>07Non Puget Sound</v>
      </c>
      <c r="P579" s="73">
        <v>51</v>
      </c>
      <c r="Q579" s="74">
        <f>VLOOKUP(B579,Readme!A$40:C$51,2,)*P579</f>
        <v>175.44</v>
      </c>
    </row>
    <row r="580" spans="1:17" ht="12" customHeight="1" x14ac:dyDescent="0.35">
      <c r="A580" s="75">
        <v>579</v>
      </c>
      <c r="B580" s="64">
        <v>2011</v>
      </c>
      <c r="C580" s="64">
        <v>6</v>
      </c>
      <c r="D580" s="80">
        <f t="shared" si="21"/>
        <v>2011</v>
      </c>
      <c r="E580" t="s">
        <v>38</v>
      </c>
      <c r="F580" t="s">
        <v>143</v>
      </c>
      <c r="G580" t="s">
        <v>10</v>
      </c>
      <c r="H580" s="72" t="s">
        <v>217</v>
      </c>
      <c r="I580" s="72" t="s">
        <v>59</v>
      </c>
      <c r="J580" t="str">
        <f t="shared" si="22"/>
        <v>Cascade River</v>
      </c>
      <c r="K580" t="str">
        <f>IFERROR(VLOOKUP(J580,LUTs!$A$1:$C$73,2,FALSE),"NA")</f>
        <v>Skagit</v>
      </c>
      <c r="L580" t="str">
        <f>IFERROR(VLOOKUP(J580,LUTs!$A$1:$C$73,3,FALSE),"NA")</f>
        <v>1North Puget Sound</v>
      </c>
      <c r="M580" s="72" t="s">
        <v>20</v>
      </c>
      <c r="N580" t="str">
        <f>VLOOKUP(M580,LUTs!E$2:H$14,3,)</f>
        <v>07Pierce</v>
      </c>
      <c r="O580" t="str">
        <f>VLOOKUP(M580,LUTs!E$2:H$14,4,)</f>
        <v>02South Puget Sound</v>
      </c>
      <c r="P580" s="73">
        <v>7.28571428571429</v>
      </c>
      <c r="Q580" s="74">
        <f>VLOOKUP(B580,Readme!A$40:C$51,2,)*P580</f>
        <v>25.062857142857158</v>
      </c>
    </row>
    <row r="581" spans="1:17" ht="12" customHeight="1" x14ac:dyDescent="0.35">
      <c r="A581" s="75">
        <v>580</v>
      </c>
      <c r="B581" s="64">
        <v>2011</v>
      </c>
      <c r="C581" s="64">
        <v>6</v>
      </c>
      <c r="D581" s="80">
        <f t="shared" si="21"/>
        <v>2011</v>
      </c>
      <c r="E581" t="s">
        <v>38</v>
      </c>
      <c r="F581" t="s">
        <v>143</v>
      </c>
      <c r="G581" t="s">
        <v>10</v>
      </c>
      <c r="H581" s="72" t="s">
        <v>217</v>
      </c>
      <c r="I581" s="72" t="s">
        <v>59</v>
      </c>
      <c r="J581" t="str">
        <f t="shared" si="22"/>
        <v>Cascade River</v>
      </c>
      <c r="K581" t="str">
        <f>IFERROR(VLOOKUP(J581,LUTs!$A$1:$C$73,2,FALSE),"NA")</f>
        <v>Skagit</v>
      </c>
      <c r="L581" t="str">
        <f>IFERROR(VLOOKUP(J581,LUTs!$A$1:$C$73,3,FALSE),"NA")</f>
        <v>1North Puget Sound</v>
      </c>
      <c r="M581" s="72" t="s">
        <v>15</v>
      </c>
      <c r="N581" t="str">
        <f>VLOOKUP(M581,LUTs!E$2:H$14,3,)</f>
        <v>02Skagit</v>
      </c>
      <c r="O581" t="str">
        <f>VLOOKUP(M581,LUTs!E$2:H$14,4,)</f>
        <v>01North Puget Sound</v>
      </c>
      <c r="P581" s="73">
        <v>29.1428571428571</v>
      </c>
      <c r="Q581" s="74">
        <f>VLOOKUP(B581,Readme!A$40:C$51,2,)*P581</f>
        <v>100.25142857142842</v>
      </c>
    </row>
    <row r="582" spans="1:17" ht="12" customHeight="1" x14ac:dyDescent="0.35">
      <c r="A582" s="75">
        <v>581</v>
      </c>
      <c r="B582" s="64">
        <v>2011</v>
      </c>
      <c r="C582" s="64">
        <v>6</v>
      </c>
      <c r="D582" s="80">
        <f t="shared" si="21"/>
        <v>2011</v>
      </c>
      <c r="E582" t="s">
        <v>38</v>
      </c>
      <c r="F582" t="s">
        <v>143</v>
      </c>
      <c r="G582" t="s">
        <v>10</v>
      </c>
      <c r="H582" s="72" t="s">
        <v>217</v>
      </c>
      <c r="I582" s="72" t="s">
        <v>59</v>
      </c>
      <c r="J582" t="str">
        <f t="shared" si="22"/>
        <v>Cascade River</v>
      </c>
      <c r="K582" t="str">
        <f>IFERROR(VLOOKUP(J582,LUTs!$A$1:$C$73,2,FALSE),"NA")</f>
        <v>Skagit</v>
      </c>
      <c r="L582" t="str">
        <f>IFERROR(VLOOKUP(J582,LUTs!$A$1:$C$73,3,FALSE),"NA")</f>
        <v>1North Puget Sound</v>
      </c>
      <c r="M582" s="72" t="s">
        <v>16</v>
      </c>
      <c r="N582" t="str">
        <f>VLOOKUP(M582,LUTs!E$2:H$14,3,)</f>
        <v>03Snohomish</v>
      </c>
      <c r="O582" t="str">
        <f>VLOOKUP(M582,LUTs!E$2:H$14,4,)</f>
        <v>01North Puget Sound</v>
      </c>
      <c r="P582" s="73">
        <v>36.428571428571402</v>
      </c>
      <c r="Q582" s="74">
        <f>VLOOKUP(B582,Readme!A$40:C$51,2,)*P582</f>
        <v>125.31428571428562</v>
      </c>
    </row>
    <row r="583" spans="1:17" ht="12" customHeight="1" x14ac:dyDescent="0.35">
      <c r="A583" s="75">
        <v>582</v>
      </c>
      <c r="B583" s="64">
        <v>2011</v>
      </c>
      <c r="C583" s="64">
        <v>6</v>
      </c>
      <c r="D583" s="80">
        <f t="shared" si="21"/>
        <v>2011</v>
      </c>
      <c r="E583" t="s">
        <v>38</v>
      </c>
      <c r="F583" t="s">
        <v>143</v>
      </c>
      <c r="G583" t="s">
        <v>10</v>
      </c>
      <c r="H583" s="72" t="s">
        <v>217</v>
      </c>
      <c r="I583" s="72" t="s">
        <v>59</v>
      </c>
      <c r="J583" t="str">
        <f t="shared" si="22"/>
        <v>Cascade River</v>
      </c>
      <c r="K583" t="str">
        <f>IFERROR(VLOOKUP(J583,LUTs!$A$1:$C$73,2,FALSE),"NA")</f>
        <v>Skagit</v>
      </c>
      <c r="L583" t="str">
        <f>IFERROR(VLOOKUP(J583,LUTs!$A$1:$C$73,3,FALSE),"NA")</f>
        <v>1North Puget Sound</v>
      </c>
      <c r="M583" s="72" t="s">
        <v>13</v>
      </c>
      <c r="N583" t="str">
        <f>VLOOKUP(M583,LUTs!E$2:H$14,3,)</f>
        <v>01Whatcom</v>
      </c>
      <c r="O583" t="str">
        <f>VLOOKUP(M583,LUTs!E$2:H$14,4,)</f>
        <v>01North Puget Sound</v>
      </c>
      <c r="P583" s="73">
        <v>7.28571428571429</v>
      </c>
      <c r="Q583" s="74">
        <f>VLOOKUP(B583,Readme!A$40:C$51,2,)*P583</f>
        <v>25.062857142857158</v>
      </c>
    </row>
    <row r="584" spans="1:17" ht="12" customHeight="1" x14ac:dyDescent="0.35">
      <c r="A584" s="75">
        <v>583</v>
      </c>
      <c r="B584" s="64">
        <v>2011</v>
      </c>
      <c r="C584" s="64">
        <v>7</v>
      </c>
      <c r="D584" s="80">
        <f t="shared" si="21"/>
        <v>2011</v>
      </c>
      <c r="E584" t="s">
        <v>38</v>
      </c>
      <c r="F584" t="s">
        <v>143</v>
      </c>
      <c r="G584" t="s">
        <v>10</v>
      </c>
      <c r="H584" s="72" t="s">
        <v>217</v>
      </c>
      <c r="I584" s="72" t="s">
        <v>59</v>
      </c>
      <c r="J584" t="str">
        <f t="shared" si="22"/>
        <v>Cascade River</v>
      </c>
      <c r="K584" t="str">
        <f>IFERROR(VLOOKUP(J584,LUTs!$A$1:$C$73,2,FALSE),"NA")</f>
        <v>Skagit</v>
      </c>
      <c r="L584" t="str">
        <f>IFERROR(VLOOKUP(J584,LUTs!$A$1:$C$73,3,FALSE),"NA")</f>
        <v>1North Puget Sound</v>
      </c>
      <c r="M584" s="72" t="s">
        <v>18</v>
      </c>
      <c r="N584" t="str">
        <f>VLOOKUP(M584,LUTs!E$2:H$14,3,)</f>
        <v>06King</v>
      </c>
      <c r="O584" t="str">
        <f>VLOOKUP(M584,LUTs!E$2:H$14,4,)</f>
        <v>02South Puget Sound</v>
      </c>
      <c r="P584" s="73">
        <v>7.25</v>
      </c>
      <c r="Q584" s="74">
        <f>VLOOKUP(B584,Readme!A$40:C$51,2,)*P584</f>
        <v>24.94</v>
      </c>
    </row>
    <row r="585" spans="1:17" ht="12" customHeight="1" x14ac:dyDescent="0.35">
      <c r="A585" s="75">
        <v>584</v>
      </c>
      <c r="B585" s="64">
        <v>2011</v>
      </c>
      <c r="C585" s="64">
        <v>7</v>
      </c>
      <c r="D585" s="80">
        <f t="shared" si="21"/>
        <v>2011</v>
      </c>
      <c r="E585" t="s">
        <v>38</v>
      </c>
      <c r="F585" t="s">
        <v>143</v>
      </c>
      <c r="G585" t="s">
        <v>10</v>
      </c>
      <c r="H585" s="72" t="s">
        <v>217</v>
      </c>
      <c r="I585" s="72" t="s">
        <v>59</v>
      </c>
      <c r="J585" t="str">
        <f t="shared" si="22"/>
        <v>Cascade River</v>
      </c>
      <c r="K585" t="str">
        <f>IFERROR(VLOOKUP(J585,LUTs!$A$1:$C$73,2,FALSE),"NA")</f>
        <v>Skagit</v>
      </c>
      <c r="L585" t="str">
        <f>IFERROR(VLOOKUP(J585,LUTs!$A$1:$C$73,3,FALSE),"NA")</f>
        <v>1North Puget Sound</v>
      </c>
      <c r="M585" s="72" t="s">
        <v>26</v>
      </c>
      <c r="N585" t="str">
        <f>VLOOKUP(M585,LUTs!E$2:H$14,3,)</f>
        <v>20Other</v>
      </c>
      <c r="O585" t="str">
        <f>VLOOKUP(M585,LUTs!E$2:H$14,4,)</f>
        <v>07Non Puget Sound</v>
      </c>
      <c r="P585" s="73">
        <v>7.25</v>
      </c>
      <c r="Q585" s="74">
        <f>VLOOKUP(B585,Readme!A$40:C$51,2,)*P585</f>
        <v>24.94</v>
      </c>
    </row>
    <row r="586" spans="1:17" ht="12" customHeight="1" x14ac:dyDescent="0.35">
      <c r="A586" s="75">
        <v>585</v>
      </c>
      <c r="B586" s="64">
        <v>2011</v>
      </c>
      <c r="C586" s="64">
        <v>7</v>
      </c>
      <c r="D586" s="80">
        <f t="shared" si="21"/>
        <v>2011</v>
      </c>
      <c r="E586" t="s">
        <v>38</v>
      </c>
      <c r="F586" t="s">
        <v>143</v>
      </c>
      <c r="G586" t="s">
        <v>10</v>
      </c>
      <c r="H586" s="72" t="s">
        <v>217</v>
      </c>
      <c r="I586" s="72" t="s">
        <v>59</v>
      </c>
      <c r="J586" t="str">
        <f t="shared" si="22"/>
        <v>Cascade River</v>
      </c>
      <c r="K586" t="str">
        <f>IFERROR(VLOOKUP(J586,LUTs!$A$1:$C$73,2,FALSE),"NA")</f>
        <v>Skagit</v>
      </c>
      <c r="L586" t="str">
        <f>IFERROR(VLOOKUP(J586,LUTs!$A$1:$C$73,3,FALSE),"NA")</f>
        <v>1North Puget Sound</v>
      </c>
      <c r="M586" s="72" t="s">
        <v>15</v>
      </c>
      <c r="N586" t="str">
        <f>VLOOKUP(M586,LUTs!E$2:H$14,3,)</f>
        <v>02Skagit</v>
      </c>
      <c r="O586" t="str">
        <f>VLOOKUP(M586,LUTs!E$2:H$14,4,)</f>
        <v>01North Puget Sound</v>
      </c>
      <c r="P586" s="73">
        <v>7.25</v>
      </c>
      <c r="Q586" s="74">
        <f>VLOOKUP(B586,Readme!A$40:C$51,2,)*P586</f>
        <v>24.94</v>
      </c>
    </row>
    <row r="587" spans="1:17" ht="12" customHeight="1" x14ac:dyDescent="0.35">
      <c r="A587" s="75">
        <v>586</v>
      </c>
      <c r="B587" s="64">
        <v>2011</v>
      </c>
      <c r="C587" s="64">
        <v>7</v>
      </c>
      <c r="D587" s="80">
        <f t="shared" si="21"/>
        <v>2011</v>
      </c>
      <c r="E587" t="s">
        <v>38</v>
      </c>
      <c r="F587" t="s">
        <v>143</v>
      </c>
      <c r="G587" t="s">
        <v>10</v>
      </c>
      <c r="H587" s="72" t="s">
        <v>217</v>
      </c>
      <c r="I587" s="72" t="s">
        <v>59</v>
      </c>
      <c r="J587" t="str">
        <f t="shared" si="22"/>
        <v>Cascade River</v>
      </c>
      <c r="K587" t="str">
        <f>IFERROR(VLOOKUP(J587,LUTs!$A$1:$C$73,2,FALSE),"NA")</f>
        <v>Skagit</v>
      </c>
      <c r="L587" t="str">
        <f>IFERROR(VLOOKUP(J587,LUTs!$A$1:$C$73,3,FALSE),"NA")</f>
        <v>1North Puget Sound</v>
      </c>
      <c r="M587" s="72" t="s">
        <v>16</v>
      </c>
      <c r="N587" t="str">
        <f>VLOOKUP(M587,LUTs!E$2:H$14,3,)</f>
        <v>03Snohomish</v>
      </c>
      <c r="O587" t="str">
        <f>VLOOKUP(M587,LUTs!E$2:H$14,4,)</f>
        <v>01North Puget Sound</v>
      </c>
      <c r="P587" s="73">
        <v>7.25</v>
      </c>
      <c r="Q587" s="74">
        <f>VLOOKUP(B587,Readme!A$40:C$51,2,)*P587</f>
        <v>24.94</v>
      </c>
    </row>
    <row r="588" spans="1:17" ht="12" customHeight="1" x14ac:dyDescent="0.35">
      <c r="A588" s="75">
        <v>587</v>
      </c>
      <c r="B588" s="64">
        <v>2011</v>
      </c>
      <c r="C588" s="64">
        <v>9</v>
      </c>
      <c r="D588" s="80">
        <f t="shared" si="21"/>
        <v>2011</v>
      </c>
      <c r="E588" t="s">
        <v>38</v>
      </c>
      <c r="F588" t="s">
        <v>143</v>
      </c>
      <c r="G588" t="s">
        <v>10</v>
      </c>
      <c r="H588" s="72" t="s">
        <v>217</v>
      </c>
      <c r="I588" s="72" t="s">
        <v>59</v>
      </c>
      <c r="J588" t="str">
        <f t="shared" si="22"/>
        <v>Cascade River</v>
      </c>
      <c r="K588" t="str">
        <f>IFERROR(VLOOKUP(J588,LUTs!$A$1:$C$73,2,FALSE),"NA")</f>
        <v>Skagit</v>
      </c>
      <c r="L588" t="str">
        <f>IFERROR(VLOOKUP(J588,LUTs!$A$1:$C$73,3,FALSE),"NA")</f>
        <v>1North Puget Sound</v>
      </c>
      <c r="M588" s="72" t="s">
        <v>15</v>
      </c>
      <c r="N588" t="str">
        <f>VLOOKUP(M588,LUTs!E$2:H$14,3,)</f>
        <v>02Skagit</v>
      </c>
      <c r="O588" t="str">
        <f>VLOOKUP(M588,LUTs!E$2:H$14,4,)</f>
        <v>01North Puget Sound</v>
      </c>
      <c r="P588" s="73">
        <v>30</v>
      </c>
      <c r="Q588" s="74">
        <f>VLOOKUP(B588,Readme!A$40:C$51,2,)*P588</f>
        <v>103.2</v>
      </c>
    </row>
    <row r="589" spans="1:17" ht="12" customHeight="1" x14ac:dyDescent="0.35">
      <c r="A589" s="75">
        <v>588</v>
      </c>
      <c r="B589" s="64">
        <v>2011</v>
      </c>
      <c r="C589" s="64">
        <v>9</v>
      </c>
      <c r="D589" s="80">
        <f t="shared" si="21"/>
        <v>2011</v>
      </c>
      <c r="E589" t="s">
        <v>38</v>
      </c>
      <c r="F589" t="s">
        <v>143</v>
      </c>
      <c r="G589" t="s">
        <v>10</v>
      </c>
      <c r="H589" s="72" t="s">
        <v>217</v>
      </c>
      <c r="I589" s="72" t="s">
        <v>59</v>
      </c>
      <c r="J589" t="str">
        <f t="shared" si="22"/>
        <v>Cascade River</v>
      </c>
      <c r="K589" t="str">
        <f>IFERROR(VLOOKUP(J589,LUTs!$A$1:$C$73,2,FALSE),"NA")</f>
        <v>Skagit</v>
      </c>
      <c r="L589" t="str">
        <f>IFERROR(VLOOKUP(J589,LUTs!$A$1:$C$73,3,FALSE),"NA")</f>
        <v>1North Puget Sound</v>
      </c>
      <c r="M589" s="72" t="s">
        <v>16</v>
      </c>
      <c r="N589" t="str">
        <f>VLOOKUP(M589,LUTs!E$2:H$14,3,)</f>
        <v>03Snohomish</v>
      </c>
      <c r="O589" t="str">
        <f>VLOOKUP(M589,LUTs!E$2:H$14,4,)</f>
        <v>01North Puget Sound</v>
      </c>
      <c r="P589" s="73">
        <v>60</v>
      </c>
      <c r="Q589" s="74">
        <f>VLOOKUP(B589,Readme!A$40:C$51,2,)*P589</f>
        <v>206.4</v>
      </c>
    </row>
    <row r="590" spans="1:17" ht="12" customHeight="1" x14ac:dyDescent="0.35">
      <c r="A590" s="75">
        <v>589</v>
      </c>
      <c r="B590" s="64">
        <v>2011</v>
      </c>
      <c r="C590" s="64">
        <v>10</v>
      </c>
      <c r="D590" s="80">
        <f t="shared" si="21"/>
        <v>2011</v>
      </c>
      <c r="E590" t="s">
        <v>38</v>
      </c>
      <c r="F590" t="s">
        <v>143</v>
      </c>
      <c r="G590" t="s">
        <v>10</v>
      </c>
      <c r="H590" s="72" t="s">
        <v>217</v>
      </c>
      <c r="I590" s="72" t="s">
        <v>59</v>
      </c>
      <c r="J590" t="str">
        <f t="shared" si="22"/>
        <v>Cascade River</v>
      </c>
      <c r="K590" t="str">
        <f>IFERROR(VLOOKUP(J590,LUTs!$A$1:$C$73,2,FALSE),"NA")</f>
        <v>Skagit</v>
      </c>
      <c r="L590" t="str">
        <f>IFERROR(VLOOKUP(J590,LUTs!$A$1:$C$73,3,FALSE),"NA")</f>
        <v>1North Puget Sound</v>
      </c>
      <c r="M590" s="72" t="s">
        <v>17</v>
      </c>
      <c r="N590" t="str">
        <f>VLOOKUP(M590,LUTs!E$2:H$14,3,)</f>
        <v>04Island</v>
      </c>
      <c r="O590" t="str">
        <f>VLOOKUP(M590,LUTs!E$2:H$14,4,)</f>
        <v>01North Puget Sound</v>
      </c>
      <c r="P590" s="73">
        <v>60.176991150442497</v>
      </c>
      <c r="Q590" s="74">
        <f>VLOOKUP(B590,Readme!A$40:C$51,2,)*P590</f>
        <v>207.00884955752218</v>
      </c>
    </row>
    <row r="591" spans="1:17" ht="12" customHeight="1" x14ac:dyDescent="0.35">
      <c r="A591" s="75">
        <v>590</v>
      </c>
      <c r="B591" s="64">
        <v>2011</v>
      </c>
      <c r="C591" s="64">
        <v>10</v>
      </c>
      <c r="D591" s="80">
        <f t="shared" si="21"/>
        <v>2011</v>
      </c>
      <c r="E591" t="s">
        <v>38</v>
      </c>
      <c r="F591" t="s">
        <v>143</v>
      </c>
      <c r="G591" t="s">
        <v>10</v>
      </c>
      <c r="H591" s="72" t="s">
        <v>217</v>
      </c>
      <c r="I591" s="72" t="s">
        <v>59</v>
      </c>
      <c r="J591" t="str">
        <f t="shared" si="22"/>
        <v>Cascade River</v>
      </c>
      <c r="K591" t="str">
        <f>IFERROR(VLOOKUP(J591,LUTs!$A$1:$C$73,2,FALSE),"NA")</f>
        <v>Skagit</v>
      </c>
      <c r="L591" t="str">
        <f>IFERROR(VLOOKUP(J591,LUTs!$A$1:$C$73,3,FALSE),"NA")</f>
        <v>1North Puget Sound</v>
      </c>
      <c r="M591" s="72" t="s">
        <v>18</v>
      </c>
      <c r="N591" t="str">
        <f>VLOOKUP(M591,LUTs!E$2:H$14,3,)</f>
        <v>06King</v>
      </c>
      <c r="O591" t="str">
        <f>VLOOKUP(M591,LUTs!E$2:H$14,4,)</f>
        <v>02South Puget Sound</v>
      </c>
      <c r="P591" s="73">
        <v>240.70796460176999</v>
      </c>
      <c r="Q591" s="74">
        <f>VLOOKUP(B591,Readme!A$40:C$51,2,)*P591</f>
        <v>828.03539823008873</v>
      </c>
    </row>
    <row r="592" spans="1:17" ht="12" customHeight="1" x14ac:dyDescent="0.35">
      <c r="A592" s="75">
        <v>591</v>
      </c>
      <c r="B592" s="64">
        <v>2011</v>
      </c>
      <c r="C592" s="64">
        <v>10</v>
      </c>
      <c r="D592" s="80">
        <f t="shared" si="21"/>
        <v>2011</v>
      </c>
      <c r="E592" t="s">
        <v>38</v>
      </c>
      <c r="F592" t="s">
        <v>143</v>
      </c>
      <c r="G592" t="s">
        <v>10</v>
      </c>
      <c r="H592" s="72" t="s">
        <v>217</v>
      </c>
      <c r="I592" s="72" t="s">
        <v>59</v>
      </c>
      <c r="J592" t="str">
        <f t="shared" si="22"/>
        <v>Cascade River</v>
      </c>
      <c r="K592" t="str">
        <f>IFERROR(VLOOKUP(J592,LUTs!$A$1:$C$73,2,FALSE),"NA")</f>
        <v>Skagit</v>
      </c>
      <c r="L592" t="str">
        <f>IFERROR(VLOOKUP(J592,LUTs!$A$1:$C$73,3,FALSE),"NA")</f>
        <v>1North Puget Sound</v>
      </c>
      <c r="M592" s="72" t="s">
        <v>23</v>
      </c>
      <c r="N592" t="str">
        <f>VLOOKUP(M592,LUTs!E$2:H$14,3,)</f>
        <v>10Kitsap</v>
      </c>
      <c r="O592" t="str">
        <f>VLOOKUP(M592,LUTs!E$2:H$14,4,)</f>
        <v>02South Puget Sound</v>
      </c>
      <c r="P592" s="73">
        <v>52.654867256637203</v>
      </c>
      <c r="Q592" s="74">
        <f>VLOOKUP(B592,Readme!A$40:C$51,2,)*P592</f>
        <v>181.13274336283197</v>
      </c>
    </row>
    <row r="593" spans="1:17" ht="12" customHeight="1" x14ac:dyDescent="0.35">
      <c r="A593" s="75">
        <v>592</v>
      </c>
      <c r="B593" s="64">
        <v>2011</v>
      </c>
      <c r="C593" s="64">
        <v>10</v>
      </c>
      <c r="D593" s="80">
        <f t="shared" si="21"/>
        <v>2011</v>
      </c>
      <c r="E593" t="s">
        <v>38</v>
      </c>
      <c r="F593" t="s">
        <v>143</v>
      </c>
      <c r="G593" t="s">
        <v>10</v>
      </c>
      <c r="H593" s="72" t="s">
        <v>217</v>
      </c>
      <c r="I593" s="72" t="s">
        <v>59</v>
      </c>
      <c r="J593" t="str">
        <f t="shared" si="22"/>
        <v>Cascade River</v>
      </c>
      <c r="K593" t="str">
        <f>IFERROR(VLOOKUP(J593,LUTs!$A$1:$C$73,2,FALSE),"NA")</f>
        <v>Skagit</v>
      </c>
      <c r="L593" t="str">
        <f>IFERROR(VLOOKUP(J593,LUTs!$A$1:$C$73,3,FALSE),"NA")</f>
        <v>1North Puget Sound</v>
      </c>
      <c r="M593" s="72" t="s">
        <v>30</v>
      </c>
      <c r="N593" t="str">
        <f>VLOOKUP(M593,LUTs!E$2:H$14,3,)</f>
        <v>05San Juan</v>
      </c>
      <c r="O593" t="str">
        <f>VLOOKUP(M593,LUTs!E$2:H$14,4,)</f>
        <v>01North Puget Sound</v>
      </c>
      <c r="P593" s="73">
        <v>37.610619469026602</v>
      </c>
      <c r="Q593" s="74">
        <f>VLOOKUP(B593,Readme!A$40:C$51,2,)*P593</f>
        <v>129.3805309734515</v>
      </c>
    </row>
    <row r="594" spans="1:17" ht="12" customHeight="1" x14ac:dyDescent="0.35">
      <c r="A594" s="75">
        <v>593</v>
      </c>
      <c r="B594" s="64">
        <v>2011</v>
      </c>
      <c r="C594" s="64">
        <v>10</v>
      </c>
      <c r="D594" s="80">
        <f t="shared" si="21"/>
        <v>2011</v>
      </c>
      <c r="E594" t="s">
        <v>38</v>
      </c>
      <c r="F594" t="s">
        <v>143</v>
      </c>
      <c r="G594" t="s">
        <v>10</v>
      </c>
      <c r="H594" s="72" t="s">
        <v>217</v>
      </c>
      <c r="I594" s="72" t="s">
        <v>59</v>
      </c>
      <c r="J594" t="str">
        <f t="shared" si="22"/>
        <v>Cascade River</v>
      </c>
      <c r="K594" t="str">
        <f>IFERROR(VLOOKUP(J594,LUTs!$A$1:$C$73,2,FALSE),"NA")</f>
        <v>Skagit</v>
      </c>
      <c r="L594" t="str">
        <f>IFERROR(VLOOKUP(J594,LUTs!$A$1:$C$73,3,FALSE),"NA")</f>
        <v>1North Puget Sound</v>
      </c>
      <c r="M594" s="72" t="s">
        <v>15</v>
      </c>
      <c r="N594" t="str">
        <f>VLOOKUP(M594,LUTs!E$2:H$14,3,)</f>
        <v>02Skagit</v>
      </c>
      <c r="O594" t="str">
        <f>VLOOKUP(M594,LUTs!E$2:H$14,4,)</f>
        <v>01North Puget Sound</v>
      </c>
      <c r="P594" s="73">
        <v>180.53097345132699</v>
      </c>
      <c r="Q594" s="74">
        <f>VLOOKUP(B594,Readme!A$40:C$51,2,)*P594</f>
        <v>621.02654867256479</v>
      </c>
    </row>
    <row r="595" spans="1:17" ht="12" customHeight="1" x14ac:dyDescent="0.35">
      <c r="A595" s="75">
        <v>594</v>
      </c>
      <c r="B595" s="64">
        <v>2011</v>
      </c>
      <c r="C595" s="64">
        <v>10</v>
      </c>
      <c r="D595" s="80">
        <f t="shared" si="21"/>
        <v>2011</v>
      </c>
      <c r="E595" t="s">
        <v>38</v>
      </c>
      <c r="F595" t="s">
        <v>143</v>
      </c>
      <c r="G595" t="s">
        <v>10</v>
      </c>
      <c r="H595" s="72" t="s">
        <v>217</v>
      </c>
      <c r="I595" s="72" t="s">
        <v>59</v>
      </c>
      <c r="J595" t="str">
        <f t="shared" si="22"/>
        <v>Cascade River</v>
      </c>
      <c r="K595" t="str">
        <f>IFERROR(VLOOKUP(J595,LUTs!$A$1:$C$73,2,FALSE),"NA")</f>
        <v>Skagit</v>
      </c>
      <c r="L595" t="str">
        <f>IFERROR(VLOOKUP(J595,LUTs!$A$1:$C$73,3,FALSE),"NA")</f>
        <v>1North Puget Sound</v>
      </c>
      <c r="M595" s="72" t="s">
        <v>16</v>
      </c>
      <c r="N595" t="str">
        <f>VLOOKUP(M595,LUTs!E$2:H$14,3,)</f>
        <v>03Snohomish</v>
      </c>
      <c r="O595" t="str">
        <f>VLOOKUP(M595,LUTs!E$2:H$14,4,)</f>
        <v>01North Puget Sound</v>
      </c>
      <c r="P595" s="73">
        <v>278.31858407079699</v>
      </c>
      <c r="Q595" s="74">
        <f>VLOOKUP(B595,Readme!A$40:C$51,2,)*P595</f>
        <v>957.41592920354162</v>
      </c>
    </row>
    <row r="596" spans="1:17" ht="12" customHeight="1" x14ac:dyDescent="0.35">
      <c r="A596" s="75">
        <v>595</v>
      </c>
      <c r="B596" s="64">
        <v>2011</v>
      </c>
      <c r="C596" s="64">
        <v>11</v>
      </c>
      <c r="D596" s="80">
        <f t="shared" si="21"/>
        <v>2011</v>
      </c>
      <c r="E596" t="s">
        <v>38</v>
      </c>
      <c r="F596" t="s">
        <v>143</v>
      </c>
      <c r="G596" t="s">
        <v>10</v>
      </c>
      <c r="H596" s="72" t="s">
        <v>217</v>
      </c>
      <c r="I596" s="72" t="s">
        <v>59</v>
      </c>
      <c r="J596" t="str">
        <f t="shared" si="22"/>
        <v>Cascade River</v>
      </c>
      <c r="K596" t="str">
        <f>IFERROR(VLOOKUP(J596,LUTs!$A$1:$C$73,2,FALSE),"NA")</f>
        <v>Skagit</v>
      </c>
      <c r="L596" t="str">
        <f>IFERROR(VLOOKUP(J596,LUTs!$A$1:$C$73,3,FALSE),"NA")</f>
        <v>1North Puget Sound</v>
      </c>
      <c r="M596" s="72" t="s">
        <v>17</v>
      </c>
      <c r="N596" t="str">
        <f>VLOOKUP(M596,LUTs!E$2:H$14,3,)</f>
        <v>04Island</v>
      </c>
      <c r="O596" t="str">
        <f>VLOOKUP(M596,LUTs!E$2:H$14,4,)</f>
        <v>01North Puget Sound</v>
      </c>
      <c r="P596" s="73">
        <v>7.4848484848484897</v>
      </c>
      <c r="Q596" s="74">
        <f>VLOOKUP(B596,Readme!A$40:C$51,2,)*P596</f>
        <v>25.747878787878804</v>
      </c>
    </row>
    <row r="597" spans="1:17" ht="12" customHeight="1" x14ac:dyDescent="0.35">
      <c r="A597" s="75">
        <v>596</v>
      </c>
      <c r="B597" s="64">
        <v>2011</v>
      </c>
      <c r="C597" s="64">
        <v>11</v>
      </c>
      <c r="D597" s="80">
        <f t="shared" si="21"/>
        <v>2011</v>
      </c>
      <c r="E597" t="s">
        <v>38</v>
      </c>
      <c r="F597" t="s">
        <v>143</v>
      </c>
      <c r="G597" t="s">
        <v>10</v>
      </c>
      <c r="H597" s="72" t="s">
        <v>217</v>
      </c>
      <c r="I597" s="72" t="s">
        <v>59</v>
      </c>
      <c r="J597" t="str">
        <f t="shared" si="22"/>
        <v>Cascade River</v>
      </c>
      <c r="K597" t="str">
        <f>IFERROR(VLOOKUP(J597,LUTs!$A$1:$C$73,2,FALSE),"NA")</f>
        <v>Skagit</v>
      </c>
      <c r="L597" t="str">
        <f>IFERROR(VLOOKUP(J597,LUTs!$A$1:$C$73,3,FALSE),"NA")</f>
        <v>1North Puget Sound</v>
      </c>
      <c r="M597" s="72" t="s">
        <v>18</v>
      </c>
      <c r="N597" t="str">
        <f>VLOOKUP(M597,LUTs!E$2:H$14,3,)</f>
        <v>06King</v>
      </c>
      <c r="O597" t="str">
        <f>VLOOKUP(M597,LUTs!E$2:H$14,4,)</f>
        <v>02South Puget Sound</v>
      </c>
      <c r="P597" s="73">
        <v>14.969696969697001</v>
      </c>
      <c r="Q597" s="74">
        <f>VLOOKUP(B597,Readme!A$40:C$51,2,)*P597</f>
        <v>51.495757575757679</v>
      </c>
    </row>
    <row r="598" spans="1:17" ht="12" customHeight="1" x14ac:dyDescent="0.35">
      <c r="A598" s="75">
        <v>597</v>
      </c>
      <c r="B598" s="64">
        <v>2011</v>
      </c>
      <c r="C598" s="64">
        <v>11</v>
      </c>
      <c r="D598" s="80">
        <f t="shared" si="21"/>
        <v>2011</v>
      </c>
      <c r="E598" t="s">
        <v>38</v>
      </c>
      <c r="F598" t="s">
        <v>143</v>
      </c>
      <c r="G598" t="s">
        <v>10</v>
      </c>
      <c r="H598" s="72" t="s">
        <v>217</v>
      </c>
      <c r="I598" s="72" t="s">
        <v>59</v>
      </c>
      <c r="J598" t="str">
        <f t="shared" si="22"/>
        <v>Cascade River</v>
      </c>
      <c r="K598" t="str">
        <f>IFERROR(VLOOKUP(J598,LUTs!$A$1:$C$73,2,FALSE),"NA")</f>
        <v>Skagit</v>
      </c>
      <c r="L598" t="str">
        <f>IFERROR(VLOOKUP(J598,LUTs!$A$1:$C$73,3,FALSE),"NA")</f>
        <v>1North Puget Sound</v>
      </c>
      <c r="M598" s="72" t="s">
        <v>23</v>
      </c>
      <c r="N598" t="str">
        <f>VLOOKUP(M598,LUTs!E$2:H$14,3,)</f>
        <v>10Kitsap</v>
      </c>
      <c r="O598" t="str">
        <f>VLOOKUP(M598,LUTs!E$2:H$14,4,)</f>
        <v>02South Puget Sound</v>
      </c>
      <c r="P598" s="73">
        <v>14.969696969697001</v>
      </c>
      <c r="Q598" s="74">
        <f>VLOOKUP(B598,Readme!A$40:C$51,2,)*P598</f>
        <v>51.495757575757679</v>
      </c>
    </row>
    <row r="599" spans="1:17" ht="12" customHeight="1" x14ac:dyDescent="0.35">
      <c r="A599" s="75">
        <v>598</v>
      </c>
      <c r="B599" s="64">
        <v>2011</v>
      </c>
      <c r="C599" s="64">
        <v>11</v>
      </c>
      <c r="D599" s="80">
        <f t="shared" si="21"/>
        <v>2011</v>
      </c>
      <c r="E599" t="s">
        <v>38</v>
      </c>
      <c r="F599" t="s">
        <v>143</v>
      </c>
      <c r="G599" t="s">
        <v>10</v>
      </c>
      <c r="H599" s="72" t="s">
        <v>217</v>
      </c>
      <c r="I599" s="72" t="s">
        <v>59</v>
      </c>
      <c r="J599" t="str">
        <f t="shared" si="22"/>
        <v>Cascade River</v>
      </c>
      <c r="K599" t="str">
        <f>IFERROR(VLOOKUP(J599,LUTs!$A$1:$C$73,2,FALSE),"NA")</f>
        <v>Skagit</v>
      </c>
      <c r="L599" t="str">
        <f>IFERROR(VLOOKUP(J599,LUTs!$A$1:$C$73,3,FALSE),"NA")</f>
        <v>1North Puget Sound</v>
      </c>
      <c r="M599" s="72" t="s">
        <v>26</v>
      </c>
      <c r="N599" t="str">
        <f>VLOOKUP(M599,LUTs!E$2:H$14,3,)</f>
        <v>20Other</v>
      </c>
      <c r="O599" t="str">
        <f>VLOOKUP(M599,LUTs!E$2:H$14,4,)</f>
        <v>07Non Puget Sound</v>
      </c>
      <c r="P599" s="73">
        <v>22.454545454545499</v>
      </c>
      <c r="Q599" s="74">
        <f>VLOOKUP(B599,Readme!A$40:C$51,2,)*P599</f>
        <v>77.243636363636512</v>
      </c>
    </row>
    <row r="600" spans="1:17" ht="12" customHeight="1" x14ac:dyDescent="0.35">
      <c r="A600" s="75">
        <v>599</v>
      </c>
      <c r="B600" s="64">
        <v>2011</v>
      </c>
      <c r="C600" s="64">
        <v>11</v>
      </c>
      <c r="D600" s="80">
        <f t="shared" si="21"/>
        <v>2011</v>
      </c>
      <c r="E600" t="s">
        <v>38</v>
      </c>
      <c r="F600" t="s">
        <v>143</v>
      </c>
      <c r="G600" t="s">
        <v>10</v>
      </c>
      <c r="H600" s="72" t="s">
        <v>217</v>
      </c>
      <c r="I600" s="72" t="s">
        <v>59</v>
      </c>
      <c r="J600" t="str">
        <f t="shared" si="22"/>
        <v>Cascade River</v>
      </c>
      <c r="K600" t="str">
        <f>IFERROR(VLOOKUP(J600,LUTs!$A$1:$C$73,2,FALSE),"NA")</f>
        <v>Skagit</v>
      </c>
      <c r="L600" t="str">
        <f>IFERROR(VLOOKUP(J600,LUTs!$A$1:$C$73,3,FALSE),"NA")</f>
        <v>1North Puget Sound</v>
      </c>
      <c r="M600" s="72" t="s">
        <v>15</v>
      </c>
      <c r="N600" t="str">
        <f>VLOOKUP(M600,LUTs!E$2:H$14,3,)</f>
        <v>02Skagit</v>
      </c>
      <c r="O600" t="str">
        <f>VLOOKUP(M600,LUTs!E$2:H$14,4,)</f>
        <v>01North Puget Sound</v>
      </c>
      <c r="P600" s="73">
        <v>37.424242424242401</v>
      </c>
      <c r="Q600" s="74">
        <f>VLOOKUP(B600,Readme!A$40:C$51,2,)*P600</f>
        <v>128.73939393939386</v>
      </c>
    </row>
    <row r="601" spans="1:17" ht="12" customHeight="1" x14ac:dyDescent="0.35">
      <c r="A601" s="75">
        <v>600</v>
      </c>
      <c r="B601" s="64">
        <v>2011</v>
      </c>
      <c r="C601" s="64">
        <v>11</v>
      </c>
      <c r="D601" s="80">
        <f t="shared" si="21"/>
        <v>2011</v>
      </c>
      <c r="E601" t="s">
        <v>38</v>
      </c>
      <c r="F601" t="s">
        <v>143</v>
      </c>
      <c r="G601" t="s">
        <v>10</v>
      </c>
      <c r="H601" s="72" t="s">
        <v>217</v>
      </c>
      <c r="I601" s="72" t="s">
        <v>59</v>
      </c>
      <c r="J601" t="str">
        <f t="shared" si="22"/>
        <v>Cascade River</v>
      </c>
      <c r="K601" t="str">
        <f>IFERROR(VLOOKUP(J601,LUTs!$A$1:$C$73,2,FALSE),"NA")</f>
        <v>Skagit</v>
      </c>
      <c r="L601" t="str">
        <f>IFERROR(VLOOKUP(J601,LUTs!$A$1:$C$73,3,FALSE),"NA")</f>
        <v>1North Puget Sound</v>
      </c>
      <c r="M601" s="72" t="s">
        <v>16</v>
      </c>
      <c r="N601" t="str">
        <f>VLOOKUP(M601,LUTs!E$2:H$14,3,)</f>
        <v>03Snohomish</v>
      </c>
      <c r="O601" t="str">
        <f>VLOOKUP(M601,LUTs!E$2:H$14,4,)</f>
        <v>01North Puget Sound</v>
      </c>
      <c r="P601" s="73">
        <v>149.69696969697</v>
      </c>
      <c r="Q601" s="74">
        <f>VLOOKUP(B601,Readme!A$40:C$51,2,)*P601</f>
        <v>514.95757575757682</v>
      </c>
    </row>
    <row r="602" spans="1:17" ht="12" customHeight="1" x14ac:dyDescent="0.35">
      <c r="A602" s="75">
        <v>601</v>
      </c>
      <c r="B602" s="64">
        <v>2011</v>
      </c>
      <c r="C602" s="64">
        <v>6</v>
      </c>
      <c r="D602" s="80">
        <f t="shared" si="21"/>
        <v>2011</v>
      </c>
      <c r="E602" t="s">
        <v>38</v>
      </c>
      <c r="F602" t="s">
        <v>143</v>
      </c>
      <c r="G602" t="s">
        <v>10</v>
      </c>
      <c r="H602" s="72" t="s">
        <v>218</v>
      </c>
      <c r="I602" s="72" t="s">
        <v>60</v>
      </c>
      <c r="J602" t="str">
        <f t="shared" si="22"/>
        <v>Skagit River</v>
      </c>
      <c r="K602" t="str">
        <f>IFERROR(VLOOKUP(J602,LUTs!$A$1:$C$73,2,FALSE),"NA")</f>
        <v>Skagit/Whatcom</v>
      </c>
      <c r="L602" t="str">
        <f>IFERROR(VLOOKUP(J602,LUTs!$A$1:$C$73,3,FALSE),"NA")</f>
        <v>2Central Puget Sound</v>
      </c>
      <c r="M602" s="72" t="s">
        <v>26</v>
      </c>
      <c r="N602" t="str">
        <f>VLOOKUP(M602,LUTs!E$2:H$14,3,)</f>
        <v>20Other</v>
      </c>
      <c r="O602" t="str">
        <f>VLOOKUP(M602,LUTs!E$2:H$14,4,)</f>
        <v>07Non Puget Sound</v>
      </c>
      <c r="P602" s="73">
        <v>8.7142857142857206</v>
      </c>
      <c r="Q602" s="74">
        <f>VLOOKUP(B602,Readme!A$40:C$51,2,)*P602</f>
        <v>29.97714285714288</v>
      </c>
    </row>
    <row r="603" spans="1:17" ht="12" customHeight="1" x14ac:dyDescent="0.35">
      <c r="A603" s="75">
        <v>602</v>
      </c>
      <c r="B603" s="64">
        <v>2011</v>
      </c>
      <c r="C603" s="64">
        <v>6</v>
      </c>
      <c r="D603" s="80">
        <f t="shared" si="21"/>
        <v>2011</v>
      </c>
      <c r="E603" t="s">
        <v>38</v>
      </c>
      <c r="F603" t="s">
        <v>143</v>
      </c>
      <c r="G603" t="s">
        <v>10</v>
      </c>
      <c r="H603" s="72" t="s">
        <v>218</v>
      </c>
      <c r="I603" s="72" t="s">
        <v>60</v>
      </c>
      <c r="J603" t="str">
        <f t="shared" si="22"/>
        <v>Skagit River</v>
      </c>
      <c r="K603" t="str">
        <f>IFERROR(VLOOKUP(J603,LUTs!$A$1:$C$73,2,FALSE),"NA")</f>
        <v>Skagit/Whatcom</v>
      </c>
      <c r="L603" t="str">
        <f>IFERROR(VLOOKUP(J603,LUTs!$A$1:$C$73,3,FALSE),"NA")</f>
        <v>2Central Puget Sound</v>
      </c>
      <c r="M603" s="72" t="s">
        <v>15</v>
      </c>
      <c r="N603" t="str">
        <f>VLOOKUP(M603,LUTs!E$2:H$14,3,)</f>
        <v>02Skagit</v>
      </c>
      <c r="O603" t="str">
        <f>VLOOKUP(M603,LUTs!E$2:H$14,4,)</f>
        <v>01North Puget Sound</v>
      </c>
      <c r="P603" s="73">
        <v>17.428571428571399</v>
      </c>
      <c r="Q603" s="74">
        <f>VLOOKUP(B603,Readme!A$40:C$51,2,)*P603</f>
        <v>59.954285714285611</v>
      </c>
    </row>
    <row r="604" spans="1:17" ht="12" customHeight="1" x14ac:dyDescent="0.35">
      <c r="A604" s="75">
        <v>603</v>
      </c>
      <c r="B604" s="64">
        <v>2011</v>
      </c>
      <c r="C604" s="64">
        <v>6</v>
      </c>
      <c r="D604" s="80">
        <f t="shared" si="21"/>
        <v>2011</v>
      </c>
      <c r="E604" t="s">
        <v>38</v>
      </c>
      <c r="F604" t="s">
        <v>143</v>
      </c>
      <c r="G604" t="s">
        <v>10</v>
      </c>
      <c r="H604" s="72" t="s">
        <v>218</v>
      </c>
      <c r="I604" s="72" t="s">
        <v>60</v>
      </c>
      <c r="J604" t="str">
        <f t="shared" si="22"/>
        <v>Skagit River</v>
      </c>
      <c r="K604" t="str">
        <f>IFERROR(VLOOKUP(J604,LUTs!$A$1:$C$73,2,FALSE),"NA")</f>
        <v>Skagit/Whatcom</v>
      </c>
      <c r="L604" t="str">
        <f>IFERROR(VLOOKUP(J604,LUTs!$A$1:$C$73,3,FALSE),"NA")</f>
        <v>2Central Puget Sound</v>
      </c>
      <c r="M604" s="72" t="s">
        <v>16</v>
      </c>
      <c r="N604" t="str">
        <f>VLOOKUP(M604,LUTs!E$2:H$14,3,)</f>
        <v>03Snohomish</v>
      </c>
      <c r="O604" t="str">
        <f>VLOOKUP(M604,LUTs!E$2:H$14,4,)</f>
        <v>01North Puget Sound</v>
      </c>
      <c r="P604" s="73">
        <v>26.1428571428571</v>
      </c>
      <c r="Q604" s="74">
        <f>VLOOKUP(B604,Readme!A$40:C$51,2,)*P604</f>
        <v>89.931428571428427</v>
      </c>
    </row>
    <row r="605" spans="1:17" ht="12" customHeight="1" x14ac:dyDescent="0.35">
      <c r="A605" s="75">
        <v>604</v>
      </c>
      <c r="B605" s="64">
        <v>2011</v>
      </c>
      <c r="C605" s="64">
        <v>6</v>
      </c>
      <c r="D605" s="80">
        <f t="shared" si="21"/>
        <v>2011</v>
      </c>
      <c r="E605" t="s">
        <v>38</v>
      </c>
      <c r="F605" t="s">
        <v>143</v>
      </c>
      <c r="G605" t="s">
        <v>10</v>
      </c>
      <c r="H605" s="72" t="s">
        <v>218</v>
      </c>
      <c r="I605" s="72" t="s">
        <v>60</v>
      </c>
      <c r="J605" t="str">
        <f t="shared" si="22"/>
        <v>Skagit River</v>
      </c>
      <c r="K605" t="str">
        <f>IFERROR(VLOOKUP(J605,LUTs!$A$1:$C$73,2,FALSE),"NA")</f>
        <v>Skagit/Whatcom</v>
      </c>
      <c r="L605" t="str">
        <f>IFERROR(VLOOKUP(J605,LUTs!$A$1:$C$73,3,FALSE),"NA")</f>
        <v>2Central Puget Sound</v>
      </c>
      <c r="M605" s="72" t="s">
        <v>13</v>
      </c>
      <c r="N605" t="str">
        <f>VLOOKUP(M605,LUTs!E$2:H$14,3,)</f>
        <v>01Whatcom</v>
      </c>
      <c r="O605" t="str">
        <f>VLOOKUP(M605,LUTs!E$2:H$14,4,)</f>
        <v>01North Puget Sound</v>
      </c>
      <c r="P605" s="73">
        <v>8.7142857142857206</v>
      </c>
      <c r="Q605" s="74">
        <f>VLOOKUP(B605,Readme!A$40:C$51,2,)*P605</f>
        <v>29.97714285714288</v>
      </c>
    </row>
    <row r="606" spans="1:17" ht="12" customHeight="1" x14ac:dyDescent="0.35">
      <c r="A606" s="75">
        <v>605</v>
      </c>
      <c r="B606" s="64">
        <v>2011</v>
      </c>
      <c r="C606" s="64">
        <v>7</v>
      </c>
      <c r="D606" s="80">
        <f t="shared" si="21"/>
        <v>2011</v>
      </c>
      <c r="E606" t="s">
        <v>38</v>
      </c>
      <c r="F606" t="s">
        <v>143</v>
      </c>
      <c r="G606" t="s">
        <v>10</v>
      </c>
      <c r="H606" s="72" t="s">
        <v>218</v>
      </c>
      <c r="I606" s="72" t="s">
        <v>60</v>
      </c>
      <c r="J606" t="str">
        <f t="shared" si="22"/>
        <v>Skagit River</v>
      </c>
      <c r="K606" t="str">
        <f>IFERROR(VLOOKUP(J606,LUTs!$A$1:$C$73,2,FALSE),"NA")</f>
        <v>Skagit/Whatcom</v>
      </c>
      <c r="L606" t="str">
        <f>IFERROR(VLOOKUP(J606,LUTs!$A$1:$C$73,3,FALSE),"NA")</f>
        <v>2Central Puget Sound</v>
      </c>
      <c r="M606" s="72" t="s">
        <v>26</v>
      </c>
      <c r="N606" t="str">
        <f>VLOOKUP(M606,LUTs!E$2:H$14,3,)</f>
        <v>20Other</v>
      </c>
      <c r="O606" t="str">
        <f>VLOOKUP(M606,LUTs!E$2:H$14,4,)</f>
        <v>07Non Puget Sound</v>
      </c>
      <c r="P606" s="73">
        <v>10</v>
      </c>
      <c r="Q606" s="74">
        <f>VLOOKUP(B606,Readme!A$40:C$51,2,)*P606</f>
        <v>34.4</v>
      </c>
    </row>
    <row r="607" spans="1:17" ht="12" customHeight="1" x14ac:dyDescent="0.35">
      <c r="A607" s="75">
        <v>606</v>
      </c>
      <c r="B607" s="64">
        <v>2011</v>
      </c>
      <c r="C607" s="64">
        <v>8</v>
      </c>
      <c r="D607" s="80">
        <f t="shared" si="21"/>
        <v>2011</v>
      </c>
      <c r="E607" t="s">
        <v>38</v>
      </c>
      <c r="F607" t="s">
        <v>143</v>
      </c>
      <c r="G607" t="s">
        <v>10</v>
      </c>
      <c r="H607" s="72" t="s">
        <v>218</v>
      </c>
      <c r="I607" s="72" t="s">
        <v>60</v>
      </c>
      <c r="J607" t="str">
        <f t="shared" si="22"/>
        <v>Skagit River</v>
      </c>
      <c r="K607" t="str">
        <f>IFERROR(VLOOKUP(J607,LUTs!$A$1:$C$73,2,FALSE),"NA")</f>
        <v>Skagit/Whatcom</v>
      </c>
      <c r="L607" t="str">
        <f>IFERROR(VLOOKUP(J607,LUTs!$A$1:$C$73,3,FALSE),"NA")</f>
        <v>2Central Puget Sound</v>
      </c>
      <c r="M607" s="72" t="s">
        <v>17</v>
      </c>
      <c r="N607" t="str">
        <f>VLOOKUP(M607,LUTs!E$2:H$14,3,)</f>
        <v>04Island</v>
      </c>
      <c r="O607" t="str">
        <f>VLOOKUP(M607,LUTs!E$2:H$14,4,)</f>
        <v>01North Puget Sound</v>
      </c>
      <c r="P607" s="73">
        <v>485.88413098236799</v>
      </c>
      <c r="Q607" s="74">
        <f>VLOOKUP(B607,Readme!A$40:C$51,2,)*P607</f>
        <v>1671.4414105793458</v>
      </c>
    </row>
    <row r="608" spans="1:17" ht="12" customHeight="1" x14ac:dyDescent="0.35">
      <c r="A608" s="75">
        <v>607</v>
      </c>
      <c r="B608" s="64">
        <v>2011</v>
      </c>
      <c r="C608" s="64">
        <v>8</v>
      </c>
      <c r="D608" s="80">
        <f t="shared" si="21"/>
        <v>2011</v>
      </c>
      <c r="E608" t="s">
        <v>38</v>
      </c>
      <c r="F608" t="s">
        <v>143</v>
      </c>
      <c r="G608" t="s">
        <v>10</v>
      </c>
      <c r="H608" s="72" t="s">
        <v>218</v>
      </c>
      <c r="I608" s="72" t="s">
        <v>60</v>
      </c>
      <c r="J608" t="str">
        <f t="shared" si="22"/>
        <v>Skagit River</v>
      </c>
      <c r="K608" t="str">
        <f>IFERROR(VLOOKUP(J608,LUTs!$A$1:$C$73,2,FALSE),"NA")</f>
        <v>Skagit/Whatcom</v>
      </c>
      <c r="L608" t="str">
        <f>IFERROR(VLOOKUP(J608,LUTs!$A$1:$C$73,3,FALSE),"NA")</f>
        <v>2Central Puget Sound</v>
      </c>
      <c r="M608" s="72" t="s">
        <v>18</v>
      </c>
      <c r="N608" t="str">
        <f>VLOOKUP(M608,LUTs!E$2:H$14,3,)</f>
        <v>06King</v>
      </c>
      <c r="O608" t="str">
        <f>VLOOKUP(M608,LUTs!E$2:H$14,4,)</f>
        <v>02South Puget Sound</v>
      </c>
      <c r="P608" s="73">
        <v>774.37783375314905</v>
      </c>
      <c r="Q608" s="74">
        <f>VLOOKUP(B608,Readme!A$40:C$51,2,)*P608</f>
        <v>2663.8597481108327</v>
      </c>
    </row>
    <row r="609" spans="1:17" ht="12" customHeight="1" x14ac:dyDescent="0.35">
      <c r="A609" s="75">
        <v>608</v>
      </c>
      <c r="B609" s="64">
        <v>2011</v>
      </c>
      <c r="C609" s="64">
        <v>8</v>
      </c>
      <c r="D609" s="80">
        <f t="shared" si="21"/>
        <v>2011</v>
      </c>
      <c r="E609" t="s">
        <v>38</v>
      </c>
      <c r="F609" t="s">
        <v>143</v>
      </c>
      <c r="G609" t="s">
        <v>10</v>
      </c>
      <c r="H609" s="72" t="s">
        <v>218</v>
      </c>
      <c r="I609" s="72" t="s">
        <v>60</v>
      </c>
      <c r="J609" t="str">
        <f t="shared" si="22"/>
        <v>Skagit River</v>
      </c>
      <c r="K609" t="str">
        <f>IFERROR(VLOOKUP(J609,LUTs!$A$1:$C$73,2,FALSE),"NA")</f>
        <v>Skagit/Whatcom</v>
      </c>
      <c r="L609" t="str">
        <f>IFERROR(VLOOKUP(J609,LUTs!$A$1:$C$73,3,FALSE),"NA")</f>
        <v>2Central Puget Sound</v>
      </c>
      <c r="M609" s="72" t="s">
        <v>23</v>
      </c>
      <c r="N609" t="str">
        <f>VLOOKUP(M609,LUTs!E$2:H$14,3,)</f>
        <v>10Kitsap</v>
      </c>
      <c r="O609" t="str">
        <f>VLOOKUP(M609,LUTs!E$2:H$14,4,)</f>
        <v>02South Puget Sound</v>
      </c>
      <c r="P609" s="73">
        <v>45.551637279597003</v>
      </c>
      <c r="Q609" s="74">
        <f>VLOOKUP(B609,Readme!A$40:C$51,2,)*P609</f>
        <v>156.69763224181369</v>
      </c>
    </row>
    <row r="610" spans="1:17" ht="12" customHeight="1" x14ac:dyDescent="0.35">
      <c r="A610" s="75">
        <v>609</v>
      </c>
      <c r="B610" s="64">
        <v>2011</v>
      </c>
      <c r="C610" s="64">
        <v>8</v>
      </c>
      <c r="D610" s="80">
        <f t="shared" si="21"/>
        <v>2011</v>
      </c>
      <c r="E610" t="s">
        <v>38</v>
      </c>
      <c r="F610" t="s">
        <v>143</v>
      </c>
      <c r="G610" t="s">
        <v>10</v>
      </c>
      <c r="H610" s="72" t="s">
        <v>218</v>
      </c>
      <c r="I610" s="72" t="s">
        <v>60</v>
      </c>
      <c r="J610" t="str">
        <f t="shared" si="22"/>
        <v>Skagit River</v>
      </c>
      <c r="K610" t="str">
        <f>IFERROR(VLOOKUP(J610,LUTs!$A$1:$C$73,2,FALSE),"NA")</f>
        <v>Skagit/Whatcom</v>
      </c>
      <c r="L610" t="str">
        <f>IFERROR(VLOOKUP(J610,LUTs!$A$1:$C$73,3,FALSE),"NA")</f>
        <v>2Central Puget Sound</v>
      </c>
      <c r="M610" s="72" t="s">
        <v>26</v>
      </c>
      <c r="N610" t="str">
        <f>VLOOKUP(M610,LUTs!E$2:H$14,3,)</f>
        <v>20Other</v>
      </c>
      <c r="O610" t="str">
        <f>VLOOKUP(M610,LUTs!E$2:H$14,4,)</f>
        <v>07Non Puget Sound</v>
      </c>
      <c r="P610" s="73">
        <v>1123.60705289673</v>
      </c>
      <c r="Q610" s="74">
        <f>VLOOKUP(B610,Readme!A$40:C$51,2,)*P610</f>
        <v>3865.2082619647513</v>
      </c>
    </row>
    <row r="611" spans="1:17" ht="12" customHeight="1" x14ac:dyDescent="0.35">
      <c r="A611" s="75">
        <v>610</v>
      </c>
      <c r="B611" s="64">
        <v>2011</v>
      </c>
      <c r="C611" s="64">
        <v>8</v>
      </c>
      <c r="D611" s="80">
        <f t="shared" si="21"/>
        <v>2011</v>
      </c>
      <c r="E611" t="s">
        <v>38</v>
      </c>
      <c r="F611" t="s">
        <v>143</v>
      </c>
      <c r="G611" t="s">
        <v>10</v>
      </c>
      <c r="H611" s="72" t="s">
        <v>218</v>
      </c>
      <c r="I611" s="72" t="s">
        <v>60</v>
      </c>
      <c r="J611" t="str">
        <f t="shared" si="22"/>
        <v>Skagit River</v>
      </c>
      <c r="K611" t="str">
        <f>IFERROR(VLOOKUP(J611,LUTs!$A$1:$C$73,2,FALSE),"NA")</f>
        <v>Skagit/Whatcom</v>
      </c>
      <c r="L611" t="str">
        <f>IFERROR(VLOOKUP(J611,LUTs!$A$1:$C$73,3,FALSE),"NA")</f>
        <v>2Central Puget Sound</v>
      </c>
      <c r="M611" s="72" t="s">
        <v>20</v>
      </c>
      <c r="N611" t="str">
        <f>VLOOKUP(M611,LUTs!E$2:H$14,3,)</f>
        <v>07Pierce</v>
      </c>
      <c r="O611" t="str">
        <f>VLOOKUP(M611,LUTs!E$2:H$14,4,)</f>
        <v>02South Puget Sound</v>
      </c>
      <c r="P611" s="73">
        <v>45.551637279597003</v>
      </c>
      <c r="Q611" s="74">
        <f>VLOOKUP(B611,Readme!A$40:C$51,2,)*P611</f>
        <v>156.69763224181369</v>
      </c>
    </row>
    <row r="612" spans="1:17" ht="12" customHeight="1" x14ac:dyDescent="0.35">
      <c r="A612" s="75">
        <v>611</v>
      </c>
      <c r="B612" s="64">
        <v>2011</v>
      </c>
      <c r="C612" s="64">
        <v>8</v>
      </c>
      <c r="D612" s="80">
        <f t="shared" si="21"/>
        <v>2011</v>
      </c>
      <c r="E612" t="s">
        <v>38</v>
      </c>
      <c r="F612" t="s">
        <v>143</v>
      </c>
      <c r="G612" t="s">
        <v>10</v>
      </c>
      <c r="H612" s="72" t="s">
        <v>218</v>
      </c>
      <c r="I612" s="72" t="s">
        <v>60</v>
      </c>
      <c r="J612" t="str">
        <f t="shared" si="22"/>
        <v>Skagit River</v>
      </c>
      <c r="K612" t="str">
        <f>IFERROR(VLOOKUP(J612,LUTs!$A$1:$C$73,2,FALSE),"NA")</f>
        <v>Skagit/Whatcom</v>
      </c>
      <c r="L612" t="str">
        <f>IFERROR(VLOOKUP(J612,LUTs!$A$1:$C$73,3,FALSE),"NA")</f>
        <v>2Central Puget Sound</v>
      </c>
      <c r="M612" s="72" t="s">
        <v>15</v>
      </c>
      <c r="N612" t="str">
        <f>VLOOKUP(M612,LUTs!E$2:H$14,3,)</f>
        <v>02Skagit</v>
      </c>
      <c r="O612" t="str">
        <f>VLOOKUP(M612,LUTs!E$2:H$14,4,)</f>
        <v>01North Puget Sound</v>
      </c>
      <c r="P612" s="73">
        <v>11706.770780856399</v>
      </c>
      <c r="Q612" s="74">
        <f>VLOOKUP(B612,Readme!A$40:C$51,2,)*P612</f>
        <v>40271.291486146016</v>
      </c>
    </row>
    <row r="613" spans="1:17" ht="12" customHeight="1" x14ac:dyDescent="0.35">
      <c r="A613" s="75">
        <v>612</v>
      </c>
      <c r="B613" s="64">
        <v>2011</v>
      </c>
      <c r="C613" s="64">
        <v>8</v>
      </c>
      <c r="D613" s="80">
        <f t="shared" si="21"/>
        <v>2011</v>
      </c>
      <c r="E613" t="s">
        <v>38</v>
      </c>
      <c r="F613" t="s">
        <v>143</v>
      </c>
      <c r="G613" t="s">
        <v>10</v>
      </c>
      <c r="H613" s="72" t="s">
        <v>218</v>
      </c>
      <c r="I613" s="72" t="s">
        <v>60</v>
      </c>
      <c r="J613" t="str">
        <f t="shared" si="22"/>
        <v>Skagit River</v>
      </c>
      <c r="K613" t="str">
        <f>IFERROR(VLOOKUP(J613,LUTs!$A$1:$C$73,2,FALSE),"NA")</f>
        <v>Skagit/Whatcom</v>
      </c>
      <c r="L613" t="str">
        <f>IFERROR(VLOOKUP(J613,LUTs!$A$1:$C$73,3,FALSE),"NA")</f>
        <v>2Central Puget Sound</v>
      </c>
      <c r="M613" s="72" t="s">
        <v>16</v>
      </c>
      <c r="N613" t="str">
        <f>VLOOKUP(M613,LUTs!E$2:H$14,3,)</f>
        <v>03Snohomish</v>
      </c>
      <c r="O613" t="str">
        <f>VLOOKUP(M613,LUTs!E$2:H$14,4,)</f>
        <v>01North Puget Sound</v>
      </c>
      <c r="P613" s="73">
        <v>3477.1083123425701</v>
      </c>
      <c r="Q613" s="74">
        <f>VLOOKUP(B613,Readme!A$40:C$51,2,)*P613</f>
        <v>11961.252594458441</v>
      </c>
    </row>
    <row r="614" spans="1:17" ht="12" customHeight="1" x14ac:dyDescent="0.35">
      <c r="A614" s="75">
        <v>613</v>
      </c>
      <c r="B614" s="64">
        <v>2011</v>
      </c>
      <c r="C614" s="64">
        <v>8</v>
      </c>
      <c r="D614" s="80">
        <f t="shared" si="21"/>
        <v>2011</v>
      </c>
      <c r="E614" t="s">
        <v>38</v>
      </c>
      <c r="F614" t="s">
        <v>143</v>
      </c>
      <c r="G614" t="s">
        <v>10</v>
      </c>
      <c r="H614" s="72" t="s">
        <v>218</v>
      </c>
      <c r="I614" s="72" t="s">
        <v>60</v>
      </c>
      <c r="J614" t="str">
        <f t="shared" si="22"/>
        <v>Skagit River</v>
      </c>
      <c r="K614" t="str">
        <f>IFERROR(VLOOKUP(J614,LUTs!$A$1:$C$73,2,FALSE),"NA")</f>
        <v>Skagit/Whatcom</v>
      </c>
      <c r="L614" t="str">
        <f>IFERROR(VLOOKUP(J614,LUTs!$A$1:$C$73,3,FALSE),"NA")</f>
        <v>2Central Puget Sound</v>
      </c>
      <c r="M614" s="72" t="s">
        <v>21</v>
      </c>
      <c r="N614" t="str">
        <f>VLOOKUP(M614,LUTs!E$2:H$14,3,)</f>
        <v>08Thurston</v>
      </c>
      <c r="O614" t="str">
        <f>VLOOKUP(M614,LUTs!E$2:H$14,4,)</f>
        <v>02South Puget Sound</v>
      </c>
      <c r="P614" s="73">
        <v>7.5919395465994999</v>
      </c>
      <c r="Q614" s="74">
        <f>VLOOKUP(B614,Readme!A$40:C$51,2,)*P614</f>
        <v>26.116272040302277</v>
      </c>
    </row>
    <row r="615" spans="1:17" ht="12" customHeight="1" x14ac:dyDescent="0.35">
      <c r="A615" s="75">
        <v>614</v>
      </c>
      <c r="B615" s="64">
        <v>2011</v>
      </c>
      <c r="C615" s="64">
        <v>8</v>
      </c>
      <c r="D615" s="80">
        <f t="shared" si="21"/>
        <v>2011</v>
      </c>
      <c r="E615" t="s">
        <v>38</v>
      </c>
      <c r="F615" t="s">
        <v>143</v>
      </c>
      <c r="G615" t="s">
        <v>10</v>
      </c>
      <c r="H615" s="72" t="s">
        <v>218</v>
      </c>
      <c r="I615" s="72" t="s">
        <v>60</v>
      </c>
      <c r="J615" t="str">
        <f t="shared" si="22"/>
        <v>Skagit River</v>
      </c>
      <c r="K615" t="str">
        <f>IFERROR(VLOOKUP(J615,LUTs!$A$1:$C$73,2,FALSE),"NA")</f>
        <v>Skagit/Whatcom</v>
      </c>
      <c r="L615" t="str">
        <f>IFERROR(VLOOKUP(J615,LUTs!$A$1:$C$73,3,FALSE),"NA")</f>
        <v>2Central Puget Sound</v>
      </c>
      <c r="M615" s="72" t="s">
        <v>13</v>
      </c>
      <c r="N615" t="str">
        <f>VLOOKUP(M615,LUTs!E$2:H$14,3,)</f>
        <v>01Whatcom</v>
      </c>
      <c r="O615" t="str">
        <f>VLOOKUP(M615,LUTs!E$2:H$14,4,)</f>
        <v>01North Puget Sound</v>
      </c>
      <c r="P615" s="73">
        <v>3431.55667506297</v>
      </c>
      <c r="Q615" s="74">
        <f>VLOOKUP(B615,Readme!A$40:C$51,2,)*P615</f>
        <v>11804.554962216616</v>
      </c>
    </row>
    <row r="616" spans="1:17" ht="12" customHeight="1" x14ac:dyDescent="0.35">
      <c r="A616" s="75">
        <v>615</v>
      </c>
      <c r="B616" s="64">
        <v>2011</v>
      </c>
      <c r="C616" s="64">
        <v>9</v>
      </c>
      <c r="D616" s="80">
        <f t="shared" si="21"/>
        <v>2011</v>
      </c>
      <c r="E616" t="s">
        <v>38</v>
      </c>
      <c r="F616" t="s">
        <v>143</v>
      </c>
      <c r="G616" t="s">
        <v>10</v>
      </c>
      <c r="H616" s="72" t="s">
        <v>218</v>
      </c>
      <c r="I616" s="72" t="s">
        <v>60</v>
      </c>
      <c r="J616" t="str">
        <f t="shared" si="22"/>
        <v>Skagit River</v>
      </c>
      <c r="K616" t="str">
        <f>IFERROR(VLOOKUP(J616,LUTs!$A$1:$C$73,2,FALSE),"NA")</f>
        <v>Skagit/Whatcom</v>
      </c>
      <c r="L616" t="str">
        <f>IFERROR(VLOOKUP(J616,LUTs!$A$1:$C$73,3,FALSE),"NA")</f>
        <v>2Central Puget Sound</v>
      </c>
      <c r="M616" s="72" t="s">
        <v>24</v>
      </c>
      <c r="N616" t="str">
        <f>VLOOKUP(M616,LUTs!E$2:H$14,3,)</f>
        <v>11Clallam</v>
      </c>
      <c r="O616" t="str">
        <f>VLOOKUP(M616,LUTs!E$2:H$14,4,)</f>
        <v>03Strait of Juan de Fuca</v>
      </c>
      <c r="P616" s="73">
        <v>30.3738087918844</v>
      </c>
      <c r="Q616" s="74">
        <f>VLOOKUP(B616,Readme!A$40:C$51,2,)*P616</f>
        <v>104.48590224408234</v>
      </c>
    </row>
    <row r="617" spans="1:17" ht="12" customHeight="1" x14ac:dyDescent="0.35">
      <c r="A617" s="75">
        <v>616</v>
      </c>
      <c r="B617" s="64">
        <v>2011</v>
      </c>
      <c r="C617" s="64">
        <v>9</v>
      </c>
      <c r="D617" s="80">
        <f t="shared" si="21"/>
        <v>2011</v>
      </c>
      <c r="E617" t="s">
        <v>38</v>
      </c>
      <c r="F617" t="s">
        <v>143</v>
      </c>
      <c r="G617" t="s">
        <v>10</v>
      </c>
      <c r="H617" s="72" t="s">
        <v>218</v>
      </c>
      <c r="I617" s="72" t="s">
        <v>60</v>
      </c>
      <c r="J617" t="str">
        <f t="shared" si="22"/>
        <v>Skagit River</v>
      </c>
      <c r="K617" t="str">
        <f>IFERROR(VLOOKUP(J617,LUTs!$A$1:$C$73,2,FALSE),"NA")</f>
        <v>Skagit/Whatcom</v>
      </c>
      <c r="L617" t="str">
        <f>IFERROR(VLOOKUP(J617,LUTs!$A$1:$C$73,3,FALSE),"NA")</f>
        <v>2Central Puget Sound</v>
      </c>
      <c r="M617" s="72" t="s">
        <v>17</v>
      </c>
      <c r="N617" t="str">
        <f>VLOOKUP(M617,LUTs!E$2:H$14,3,)</f>
        <v>04Island</v>
      </c>
      <c r="O617" t="str">
        <f>VLOOKUP(M617,LUTs!E$2:H$14,4,)</f>
        <v>01North Puget Sound</v>
      </c>
      <c r="P617" s="73">
        <v>2164.1338764217699</v>
      </c>
      <c r="Q617" s="74">
        <f>VLOOKUP(B617,Readme!A$40:C$51,2,)*P617</f>
        <v>7444.6205348908879</v>
      </c>
    </row>
    <row r="618" spans="1:17" ht="12" customHeight="1" x14ac:dyDescent="0.35">
      <c r="A618" s="75">
        <v>617</v>
      </c>
      <c r="B618" s="64">
        <v>2011</v>
      </c>
      <c r="C618" s="64">
        <v>9</v>
      </c>
      <c r="D618" s="80">
        <f t="shared" si="21"/>
        <v>2011</v>
      </c>
      <c r="E618" t="s">
        <v>38</v>
      </c>
      <c r="F618" t="s">
        <v>143</v>
      </c>
      <c r="G618" t="s">
        <v>10</v>
      </c>
      <c r="H618" s="72" t="s">
        <v>218</v>
      </c>
      <c r="I618" s="72" t="s">
        <v>60</v>
      </c>
      <c r="J618" t="str">
        <f t="shared" si="22"/>
        <v>Skagit River</v>
      </c>
      <c r="K618" t="str">
        <f>IFERROR(VLOOKUP(J618,LUTs!$A$1:$C$73,2,FALSE),"NA")</f>
        <v>Skagit/Whatcom</v>
      </c>
      <c r="L618" t="str">
        <f>IFERROR(VLOOKUP(J618,LUTs!$A$1:$C$73,3,FALSE),"NA")</f>
        <v>2Central Puget Sound</v>
      </c>
      <c r="M618" s="72" t="s">
        <v>18</v>
      </c>
      <c r="N618" t="str">
        <f>VLOOKUP(M618,LUTs!E$2:H$14,3,)</f>
        <v>06King</v>
      </c>
      <c r="O618" t="str">
        <f>VLOOKUP(M618,LUTs!E$2:H$14,4,)</f>
        <v>02South Puget Sound</v>
      </c>
      <c r="P618" s="73">
        <v>1647.7791269597301</v>
      </c>
      <c r="Q618" s="74">
        <f>VLOOKUP(B618,Readme!A$40:C$51,2,)*P618</f>
        <v>5668.3601967414716</v>
      </c>
    </row>
    <row r="619" spans="1:17" ht="12" customHeight="1" x14ac:dyDescent="0.35">
      <c r="A619" s="75">
        <v>618</v>
      </c>
      <c r="B619" s="64">
        <v>2011</v>
      </c>
      <c r="C619" s="64">
        <v>9</v>
      </c>
      <c r="D619" s="80">
        <f t="shared" si="21"/>
        <v>2011</v>
      </c>
      <c r="E619" t="s">
        <v>38</v>
      </c>
      <c r="F619" t="s">
        <v>143</v>
      </c>
      <c r="G619" t="s">
        <v>10</v>
      </c>
      <c r="H619" s="72" t="s">
        <v>218</v>
      </c>
      <c r="I619" s="72" t="s">
        <v>60</v>
      </c>
      <c r="J619" t="str">
        <f t="shared" si="22"/>
        <v>Skagit River</v>
      </c>
      <c r="K619" t="str">
        <f>IFERROR(VLOOKUP(J619,LUTs!$A$1:$C$73,2,FALSE),"NA")</f>
        <v>Skagit/Whatcom</v>
      </c>
      <c r="L619" t="str">
        <f>IFERROR(VLOOKUP(J619,LUTs!$A$1:$C$73,3,FALSE),"NA")</f>
        <v>2Central Puget Sound</v>
      </c>
      <c r="M619" s="72" t="s">
        <v>23</v>
      </c>
      <c r="N619" t="str">
        <f>VLOOKUP(M619,LUTs!E$2:H$14,3,)</f>
        <v>10Kitsap</v>
      </c>
      <c r="O619" t="str">
        <f>VLOOKUP(M619,LUTs!E$2:H$14,4,)</f>
        <v>02South Puget Sound</v>
      </c>
      <c r="P619" s="73">
        <v>68.341069781740003</v>
      </c>
      <c r="Q619" s="74">
        <f>VLOOKUP(B619,Readme!A$40:C$51,2,)*P619</f>
        <v>235.09328004918561</v>
      </c>
    </row>
    <row r="620" spans="1:17" ht="12" customHeight="1" x14ac:dyDescent="0.35">
      <c r="A620" s="75">
        <v>619</v>
      </c>
      <c r="B620" s="64">
        <v>2011</v>
      </c>
      <c r="C620" s="64">
        <v>9</v>
      </c>
      <c r="D620" s="80">
        <f t="shared" si="21"/>
        <v>2011</v>
      </c>
      <c r="E620" t="s">
        <v>38</v>
      </c>
      <c r="F620" t="s">
        <v>143</v>
      </c>
      <c r="G620" t="s">
        <v>10</v>
      </c>
      <c r="H620" s="72" t="s">
        <v>218</v>
      </c>
      <c r="I620" s="72" t="s">
        <v>60</v>
      </c>
      <c r="J620" t="str">
        <f t="shared" si="22"/>
        <v>Skagit River</v>
      </c>
      <c r="K620" t="str">
        <f>IFERROR(VLOOKUP(J620,LUTs!$A$1:$C$73,2,FALSE),"NA")</f>
        <v>Skagit/Whatcom</v>
      </c>
      <c r="L620" t="str">
        <f>IFERROR(VLOOKUP(J620,LUTs!$A$1:$C$73,3,FALSE),"NA")</f>
        <v>2Central Puget Sound</v>
      </c>
      <c r="M620" s="72" t="s">
        <v>22</v>
      </c>
      <c r="N620" t="str">
        <f>VLOOKUP(M620,LUTs!E$2:H$14,3,)</f>
        <v>09Mason</v>
      </c>
      <c r="O620" t="str">
        <f>VLOOKUP(M620,LUTs!E$2:H$14,4,)</f>
        <v>02South Puget Sound</v>
      </c>
      <c r="P620" s="73">
        <v>91.1214263756533</v>
      </c>
      <c r="Q620" s="74">
        <f>VLOOKUP(B620,Readme!A$40:C$51,2,)*P620</f>
        <v>313.45770673224735</v>
      </c>
    </row>
    <row r="621" spans="1:17" ht="12" customHeight="1" x14ac:dyDescent="0.35">
      <c r="A621" s="75">
        <v>620</v>
      </c>
      <c r="B621" s="64">
        <v>2011</v>
      </c>
      <c r="C621" s="64">
        <v>9</v>
      </c>
      <c r="D621" s="80">
        <f t="shared" si="21"/>
        <v>2011</v>
      </c>
      <c r="E621" t="s">
        <v>38</v>
      </c>
      <c r="F621" t="s">
        <v>143</v>
      </c>
      <c r="G621" t="s">
        <v>10</v>
      </c>
      <c r="H621" s="72" t="s">
        <v>218</v>
      </c>
      <c r="I621" s="72" t="s">
        <v>60</v>
      </c>
      <c r="J621" t="str">
        <f t="shared" si="22"/>
        <v>Skagit River</v>
      </c>
      <c r="K621" t="str">
        <f>IFERROR(VLOOKUP(J621,LUTs!$A$1:$C$73,2,FALSE),"NA")</f>
        <v>Skagit/Whatcom</v>
      </c>
      <c r="L621" t="str">
        <f>IFERROR(VLOOKUP(J621,LUTs!$A$1:$C$73,3,FALSE),"NA")</f>
        <v>2Central Puget Sound</v>
      </c>
      <c r="M621" s="72" t="s">
        <v>26</v>
      </c>
      <c r="N621" t="str">
        <f>VLOOKUP(M621,LUTs!E$2:H$14,3,)</f>
        <v>20Other</v>
      </c>
      <c r="O621" t="str">
        <f>VLOOKUP(M621,LUTs!E$2:H$14,4,)</f>
        <v>07Non Puget Sound</v>
      </c>
      <c r="P621" s="73">
        <v>2976.6332616046702</v>
      </c>
      <c r="Q621" s="74">
        <f>VLOOKUP(B621,Readme!A$40:C$51,2,)*P621</f>
        <v>10239.618419920065</v>
      </c>
    </row>
    <row r="622" spans="1:17" ht="12" customHeight="1" x14ac:dyDescent="0.35">
      <c r="A622" s="75">
        <v>621</v>
      </c>
      <c r="B622" s="64">
        <v>2011</v>
      </c>
      <c r="C622" s="64">
        <v>9</v>
      </c>
      <c r="D622" s="80">
        <f t="shared" si="21"/>
        <v>2011</v>
      </c>
      <c r="E622" t="s">
        <v>38</v>
      </c>
      <c r="F622" t="s">
        <v>143</v>
      </c>
      <c r="G622" t="s">
        <v>10</v>
      </c>
      <c r="H622" s="72" t="s">
        <v>218</v>
      </c>
      <c r="I622" s="72" t="s">
        <v>60</v>
      </c>
      <c r="J622" t="str">
        <f t="shared" si="22"/>
        <v>Skagit River</v>
      </c>
      <c r="K622" t="str">
        <f>IFERROR(VLOOKUP(J622,LUTs!$A$1:$C$73,2,FALSE),"NA")</f>
        <v>Skagit/Whatcom</v>
      </c>
      <c r="L622" t="str">
        <f>IFERROR(VLOOKUP(J622,LUTs!$A$1:$C$73,3,FALSE),"NA")</f>
        <v>2Central Puget Sound</v>
      </c>
      <c r="M622" s="72" t="s">
        <v>20</v>
      </c>
      <c r="N622" t="str">
        <f>VLOOKUP(M622,LUTs!E$2:H$14,3,)</f>
        <v>07Pierce</v>
      </c>
      <c r="O622" t="str">
        <f>VLOOKUP(M622,LUTs!E$2:H$14,4,)</f>
        <v>02South Puget Sound</v>
      </c>
      <c r="P622" s="73">
        <v>227.80356593913299</v>
      </c>
      <c r="Q622" s="74">
        <f>VLOOKUP(B622,Readme!A$40:C$51,2,)*P622</f>
        <v>783.64426683061754</v>
      </c>
    </row>
    <row r="623" spans="1:17" ht="12" customHeight="1" x14ac:dyDescent="0.35">
      <c r="A623" s="75">
        <v>622</v>
      </c>
      <c r="B623" s="64">
        <v>2011</v>
      </c>
      <c r="C623" s="64">
        <v>9</v>
      </c>
      <c r="D623" s="80">
        <f t="shared" si="21"/>
        <v>2011</v>
      </c>
      <c r="E623" t="s">
        <v>38</v>
      </c>
      <c r="F623" t="s">
        <v>143</v>
      </c>
      <c r="G623" t="s">
        <v>10</v>
      </c>
      <c r="H623" s="72" t="s">
        <v>218</v>
      </c>
      <c r="I623" s="72" t="s">
        <v>60</v>
      </c>
      <c r="J623" t="str">
        <f t="shared" si="22"/>
        <v>Skagit River</v>
      </c>
      <c r="K623" t="str">
        <f>IFERROR(VLOOKUP(J623,LUTs!$A$1:$C$73,2,FALSE),"NA")</f>
        <v>Skagit/Whatcom</v>
      </c>
      <c r="L623" t="str">
        <f>IFERROR(VLOOKUP(J623,LUTs!$A$1:$C$73,3,FALSE),"NA")</f>
        <v>2Central Puget Sound</v>
      </c>
      <c r="M623" s="72" t="s">
        <v>15</v>
      </c>
      <c r="N623" t="str">
        <f>VLOOKUP(M623,LUTs!E$2:H$14,3,)</f>
        <v>02Skagit</v>
      </c>
      <c r="O623" t="str">
        <f>VLOOKUP(M623,LUTs!E$2:H$14,4,)</f>
        <v>01North Puget Sound</v>
      </c>
      <c r="P623" s="73">
        <v>23577.669074700301</v>
      </c>
      <c r="Q623" s="74">
        <f>VLOOKUP(B623,Readme!A$40:C$51,2,)*P623</f>
        <v>81107.181616969028</v>
      </c>
    </row>
    <row r="624" spans="1:17" ht="12" customHeight="1" x14ac:dyDescent="0.35">
      <c r="A624" s="75">
        <v>623</v>
      </c>
      <c r="B624" s="64">
        <v>2011</v>
      </c>
      <c r="C624" s="64">
        <v>9</v>
      </c>
      <c r="D624" s="80">
        <f t="shared" si="21"/>
        <v>2011</v>
      </c>
      <c r="E624" t="s">
        <v>38</v>
      </c>
      <c r="F624" t="s">
        <v>143</v>
      </c>
      <c r="G624" t="s">
        <v>10</v>
      </c>
      <c r="H624" s="72" t="s">
        <v>218</v>
      </c>
      <c r="I624" s="72" t="s">
        <v>60</v>
      </c>
      <c r="J624" t="str">
        <f t="shared" si="22"/>
        <v>Skagit River</v>
      </c>
      <c r="K624" t="str">
        <f>IFERROR(VLOOKUP(J624,LUTs!$A$1:$C$73,2,FALSE),"NA")</f>
        <v>Skagit/Whatcom</v>
      </c>
      <c r="L624" t="str">
        <f>IFERROR(VLOOKUP(J624,LUTs!$A$1:$C$73,3,FALSE),"NA")</f>
        <v>2Central Puget Sound</v>
      </c>
      <c r="M624" s="72" t="s">
        <v>16</v>
      </c>
      <c r="N624" t="str">
        <f>VLOOKUP(M624,LUTs!E$2:H$14,3,)</f>
        <v>03Snohomish</v>
      </c>
      <c r="O624" t="str">
        <f>VLOOKUP(M624,LUTs!E$2:H$14,4,)</f>
        <v>01North Puget Sound</v>
      </c>
      <c r="P624" s="73">
        <v>8314.8301567783601</v>
      </c>
      <c r="Q624" s="74">
        <f>VLOOKUP(B624,Readme!A$40:C$51,2,)*P624</f>
        <v>28603.015739317558</v>
      </c>
    </row>
    <row r="625" spans="1:17" ht="12" customHeight="1" x14ac:dyDescent="0.35">
      <c r="A625" s="75">
        <v>624</v>
      </c>
      <c r="B625" s="64">
        <v>2011</v>
      </c>
      <c r="C625" s="64">
        <v>9</v>
      </c>
      <c r="D625" s="80">
        <f t="shared" si="21"/>
        <v>2011</v>
      </c>
      <c r="E625" t="s">
        <v>38</v>
      </c>
      <c r="F625" t="s">
        <v>143</v>
      </c>
      <c r="G625" t="s">
        <v>10</v>
      </c>
      <c r="H625" s="72" t="s">
        <v>218</v>
      </c>
      <c r="I625" s="72" t="s">
        <v>60</v>
      </c>
      <c r="J625" t="str">
        <f t="shared" si="22"/>
        <v>Skagit River</v>
      </c>
      <c r="K625" t="str">
        <f>IFERROR(VLOOKUP(J625,LUTs!$A$1:$C$73,2,FALSE),"NA")</f>
        <v>Skagit/Whatcom</v>
      </c>
      <c r="L625" t="str">
        <f>IFERROR(VLOOKUP(J625,LUTs!$A$1:$C$73,3,FALSE),"NA")</f>
        <v>2Central Puget Sound</v>
      </c>
      <c r="M625" s="72" t="s">
        <v>21</v>
      </c>
      <c r="N625" t="str">
        <f>VLOOKUP(M625,LUTs!E$2:H$14,3,)</f>
        <v>08Thurston</v>
      </c>
      <c r="O625" t="str">
        <f>VLOOKUP(M625,LUTs!E$2:H$14,4,)</f>
        <v>02South Puget Sound</v>
      </c>
      <c r="P625" s="73">
        <v>91.1214263756533</v>
      </c>
      <c r="Q625" s="74">
        <f>VLOOKUP(B625,Readme!A$40:C$51,2,)*P625</f>
        <v>313.45770673224735</v>
      </c>
    </row>
    <row r="626" spans="1:17" ht="12" customHeight="1" x14ac:dyDescent="0.35">
      <c r="A626" s="75">
        <v>625</v>
      </c>
      <c r="B626" s="64">
        <v>2011</v>
      </c>
      <c r="C626" s="64">
        <v>9</v>
      </c>
      <c r="D626" s="80">
        <f t="shared" si="21"/>
        <v>2011</v>
      </c>
      <c r="E626" t="s">
        <v>38</v>
      </c>
      <c r="F626" t="s">
        <v>143</v>
      </c>
      <c r="G626" t="s">
        <v>10</v>
      </c>
      <c r="H626" s="72" t="s">
        <v>218</v>
      </c>
      <c r="I626" s="72" t="s">
        <v>60</v>
      </c>
      <c r="J626" t="str">
        <f t="shared" si="22"/>
        <v>Skagit River</v>
      </c>
      <c r="K626" t="str">
        <f>IFERROR(VLOOKUP(J626,LUTs!$A$1:$C$73,2,FALSE),"NA")</f>
        <v>Skagit/Whatcom</v>
      </c>
      <c r="L626" t="str">
        <f>IFERROR(VLOOKUP(J626,LUTs!$A$1:$C$73,3,FALSE),"NA")</f>
        <v>2Central Puget Sound</v>
      </c>
      <c r="M626" s="72" t="s">
        <v>13</v>
      </c>
      <c r="N626" t="str">
        <f>VLOOKUP(M626,LUTs!E$2:H$14,3,)</f>
        <v>01Whatcom</v>
      </c>
      <c r="O626" t="str">
        <f>VLOOKUP(M626,LUTs!E$2:H$14,4,)</f>
        <v>01North Puget Sound</v>
      </c>
      <c r="P626" s="73">
        <v>10213.1932062711</v>
      </c>
      <c r="Q626" s="74">
        <f>VLOOKUP(B626,Readme!A$40:C$51,2,)*P626</f>
        <v>35133.384629572582</v>
      </c>
    </row>
    <row r="627" spans="1:17" ht="12" customHeight="1" x14ac:dyDescent="0.35">
      <c r="A627" s="75">
        <v>626</v>
      </c>
      <c r="B627" s="64">
        <v>2011</v>
      </c>
      <c r="C627" s="64">
        <v>10</v>
      </c>
      <c r="D627" s="80">
        <f t="shared" si="21"/>
        <v>2011</v>
      </c>
      <c r="E627" t="s">
        <v>38</v>
      </c>
      <c r="F627" t="s">
        <v>143</v>
      </c>
      <c r="G627" t="s">
        <v>10</v>
      </c>
      <c r="H627" s="72" t="s">
        <v>218</v>
      </c>
      <c r="I627" s="72" t="s">
        <v>60</v>
      </c>
      <c r="J627" t="str">
        <f t="shared" si="22"/>
        <v>Skagit River</v>
      </c>
      <c r="K627" t="str">
        <f>IFERROR(VLOOKUP(J627,LUTs!$A$1:$C$73,2,FALSE),"NA")</f>
        <v>Skagit/Whatcom</v>
      </c>
      <c r="L627" t="str">
        <f>IFERROR(VLOOKUP(J627,LUTs!$A$1:$C$73,3,FALSE),"NA")</f>
        <v>2Central Puget Sound</v>
      </c>
      <c r="M627" s="72" t="s">
        <v>17</v>
      </c>
      <c r="N627" t="str">
        <f>VLOOKUP(M627,LUTs!E$2:H$14,3,)</f>
        <v>04Island</v>
      </c>
      <c r="O627" t="str">
        <f>VLOOKUP(M627,LUTs!E$2:H$14,4,)</f>
        <v>01North Puget Sound</v>
      </c>
      <c r="P627" s="73">
        <v>215.07004470938901</v>
      </c>
      <c r="Q627" s="74">
        <f>VLOOKUP(B627,Readme!A$40:C$51,2,)*P627</f>
        <v>739.84095380029817</v>
      </c>
    </row>
    <row r="628" spans="1:17" ht="12" customHeight="1" x14ac:dyDescent="0.35">
      <c r="A628" s="75">
        <v>627</v>
      </c>
      <c r="B628" s="64">
        <v>2011</v>
      </c>
      <c r="C628" s="64">
        <v>10</v>
      </c>
      <c r="D628" s="80">
        <f t="shared" si="21"/>
        <v>2011</v>
      </c>
      <c r="E628" t="s">
        <v>38</v>
      </c>
      <c r="F628" t="s">
        <v>143</v>
      </c>
      <c r="G628" t="s">
        <v>10</v>
      </c>
      <c r="H628" s="72" t="s">
        <v>218</v>
      </c>
      <c r="I628" s="72" t="s">
        <v>60</v>
      </c>
      <c r="J628" t="str">
        <f t="shared" si="22"/>
        <v>Skagit River</v>
      </c>
      <c r="K628" t="str">
        <f>IFERROR(VLOOKUP(J628,LUTs!$A$1:$C$73,2,FALSE),"NA")</f>
        <v>Skagit/Whatcom</v>
      </c>
      <c r="L628" t="str">
        <f>IFERROR(VLOOKUP(J628,LUTs!$A$1:$C$73,3,FALSE),"NA")</f>
        <v>2Central Puget Sound</v>
      </c>
      <c r="M628" s="72" t="s">
        <v>25</v>
      </c>
      <c r="N628" t="str">
        <f>VLOOKUP(M628,LUTs!E$2:H$14,3,)</f>
        <v>12Jefferson</v>
      </c>
      <c r="O628" t="str">
        <f>VLOOKUP(M628,LUTs!E$2:H$14,4,)</f>
        <v>03Strait of Juan de Fuca</v>
      </c>
      <c r="P628" s="73">
        <v>7.6810730253353201</v>
      </c>
      <c r="Q628" s="74">
        <f>VLOOKUP(B628,Readme!A$40:C$51,2,)*P628</f>
        <v>26.422891207153501</v>
      </c>
    </row>
    <row r="629" spans="1:17" ht="12" customHeight="1" x14ac:dyDescent="0.35">
      <c r="A629" s="75">
        <v>628</v>
      </c>
      <c r="B629" s="64">
        <v>2011</v>
      </c>
      <c r="C629" s="64">
        <v>10</v>
      </c>
      <c r="D629" s="80">
        <f t="shared" si="21"/>
        <v>2011</v>
      </c>
      <c r="E629" t="s">
        <v>38</v>
      </c>
      <c r="F629" t="s">
        <v>143</v>
      </c>
      <c r="G629" t="s">
        <v>10</v>
      </c>
      <c r="H629" s="72" t="s">
        <v>218</v>
      </c>
      <c r="I629" s="72" t="s">
        <v>60</v>
      </c>
      <c r="J629" t="str">
        <f t="shared" si="22"/>
        <v>Skagit River</v>
      </c>
      <c r="K629" t="str">
        <f>IFERROR(VLOOKUP(J629,LUTs!$A$1:$C$73,2,FALSE),"NA")</f>
        <v>Skagit/Whatcom</v>
      </c>
      <c r="L629" t="str">
        <f>IFERROR(VLOOKUP(J629,LUTs!$A$1:$C$73,3,FALSE),"NA")</f>
        <v>2Central Puget Sound</v>
      </c>
      <c r="M629" s="72" t="s">
        <v>18</v>
      </c>
      <c r="N629" t="str">
        <f>VLOOKUP(M629,LUTs!E$2:H$14,3,)</f>
        <v>06King</v>
      </c>
      <c r="O629" t="str">
        <f>VLOOKUP(M629,LUTs!E$2:H$14,4,)</f>
        <v>02South Puget Sound</v>
      </c>
      <c r="P629" s="73">
        <v>238.11326378539499</v>
      </c>
      <c r="Q629" s="74">
        <f>VLOOKUP(B629,Readme!A$40:C$51,2,)*P629</f>
        <v>819.10962742175877</v>
      </c>
    </row>
    <row r="630" spans="1:17" ht="12" customHeight="1" x14ac:dyDescent="0.35">
      <c r="A630" s="75">
        <v>629</v>
      </c>
      <c r="B630" s="64">
        <v>2011</v>
      </c>
      <c r="C630" s="64">
        <v>10</v>
      </c>
      <c r="D630" s="80">
        <f t="shared" si="21"/>
        <v>2011</v>
      </c>
      <c r="E630" t="s">
        <v>38</v>
      </c>
      <c r="F630" t="s">
        <v>143</v>
      </c>
      <c r="G630" t="s">
        <v>10</v>
      </c>
      <c r="H630" s="72" t="s">
        <v>218</v>
      </c>
      <c r="I630" s="72" t="s">
        <v>60</v>
      </c>
      <c r="J630" t="str">
        <f t="shared" si="22"/>
        <v>Skagit River</v>
      </c>
      <c r="K630" t="str">
        <f>IFERROR(VLOOKUP(J630,LUTs!$A$1:$C$73,2,FALSE),"NA")</f>
        <v>Skagit/Whatcom</v>
      </c>
      <c r="L630" t="str">
        <f>IFERROR(VLOOKUP(J630,LUTs!$A$1:$C$73,3,FALSE),"NA")</f>
        <v>2Central Puget Sound</v>
      </c>
      <c r="M630" s="72" t="s">
        <v>23</v>
      </c>
      <c r="N630" t="str">
        <f>VLOOKUP(M630,LUTs!E$2:H$14,3,)</f>
        <v>10Kitsap</v>
      </c>
      <c r="O630" t="str">
        <f>VLOOKUP(M630,LUTs!E$2:H$14,4,)</f>
        <v>02South Puget Sound</v>
      </c>
      <c r="P630" s="73">
        <v>15.362146050670599</v>
      </c>
      <c r="Q630" s="74">
        <f>VLOOKUP(B630,Readme!A$40:C$51,2,)*P630</f>
        <v>52.845782414306861</v>
      </c>
    </row>
    <row r="631" spans="1:17" ht="12" customHeight="1" x14ac:dyDescent="0.35">
      <c r="A631" s="75">
        <v>630</v>
      </c>
      <c r="B631" s="64">
        <v>2011</v>
      </c>
      <c r="C631" s="64">
        <v>10</v>
      </c>
      <c r="D631" s="80">
        <f t="shared" si="21"/>
        <v>2011</v>
      </c>
      <c r="E631" t="s">
        <v>38</v>
      </c>
      <c r="F631" t="s">
        <v>143</v>
      </c>
      <c r="G631" t="s">
        <v>10</v>
      </c>
      <c r="H631" s="72" t="s">
        <v>218</v>
      </c>
      <c r="I631" s="72" t="s">
        <v>60</v>
      </c>
      <c r="J631" t="str">
        <f t="shared" si="22"/>
        <v>Skagit River</v>
      </c>
      <c r="K631" t="str">
        <f>IFERROR(VLOOKUP(J631,LUTs!$A$1:$C$73,2,FALSE),"NA")</f>
        <v>Skagit/Whatcom</v>
      </c>
      <c r="L631" t="str">
        <f>IFERROR(VLOOKUP(J631,LUTs!$A$1:$C$73,3,FALSE),"NA")</f>
        <v>2Central Puget Sound</v>
      </c>
      <c r="M631" s="72" t="s">
        <v>26</v>
      </c>
      <c r="N631" t="str">
        <f>VLOOKUP(M631,LUTs!E$2:H$14,3,)</f>
        <v>20Other</v>
      </c>
      <c r="O631" t="str">
        <f>VLOOKUP(M631,LUTs!E$2:H$14,4,)</f>
        <v>07Non Puget Sound</v>
      </c>
      <c r="P631" s="73">
        <v>384.053651266766</v>
      </c>
      <c r="Q631" s="74">
        <f>VLOOKUP(B631,Readme!A$40:C$51,2,)*P631</f>
        <v>1321.1445603576751</v>
      </c>
    </row>
    <row r="632" spans="1:17" ht="12" customHeight="1" x14ac:dyDescent="0.35">
      <c r="A632" s="75">
        <v>631</v>
      </c>
      <c r="B632" s="64">
        <v>2011</v>
      </c>
      <c r="C632" s="64">
        <v>10</v>
      </c>
      <c r="D632" s="80">
        <f t="shared" si="21"/>
        <v>2011</v>
      </c>
      <c r="E632" t="s">
        <v>38</v>
      </c>
      <c r="F632" t="s">
        <v>143</v>
      </c>
      <c r="G632" t="s">
        <v>10</v>
      </c>
      <c r="H632" s="72" t="s">
        <v>218</v>
      </c>
      <c r="I632" s="72" t="s">
        <v>60</v>
      </c>
      <c r="J632" t="str">
        <f t="shared" si="22"/>
        <v>Skagit River</v>
      </c>
      <c r="K632" t="str">
        <f>IFERROR(VLOOKUP(J632,LUTs!$A$1:$C$73,2,FALSE),"NA")</f>
        <v>Skagit/Whatcom</v>
      </c>
      <c r="L632" t="str">
        <f>IFERROR(VLOOKUP(J632,LUTs!$A$1:$C$73,3,FALSE),"NA")</f>
        <v>2Central Puget Sound</v>
      </c>
      <c r="M632" s="72" t="s">
        <v>20</v>
      </c>
      <c r="N632" t="str">
        <f>VLOOKUP(M632,LUTs!E$2:H$14,3,)</f>
        <v>07Pierce</v>
      </c>
      <c r="O632" t="str">
        <f>VLOOKUP(M632,LUTs!E$2:H$14,4,)</f>
        <v>02South Puget Sound</v>
      </c>
      <c r="P632" s="73">
        <v>138.25931445603601</v>
      </c>
      <c r="Q632" s="74">
        <f>VLOOKUP(B632,Readme!A$40:C$51,2,)*P632</f>
        <v>475.61204172876387</v>
      </c>
    </row>
    <row r="633" spans="1:17" ht="12" customHeight="1" x14ac:dyDescent="0.35">
      <c r="A633" s="75">
        <v>632</v>
      </c>
      <c r="B633" s="64">
        <v>2011</v>
      </c>
      <c r="C633" s="64">
        <v>10</v>
      </c>
      <c r="D633" s="80">
        <f t="shared" si="21"/>
        <v>2011</v>
      </c>
      <c r="E633" t="s">
        <v>38</v>
      </c>
      <c r="F633" t="s">
        <v>143</v>
      </c>
      <c r="G633" t="s">
        <v>10</v>
      </c>
      <c r="H633" s="72" t="s">
        <v>218</v>
      </c>
      <c r="I633" s="72" t="s">
        <v>60</v>
      </c>
      <c r="J633" t="str">
        <f t="shared" si="22"/>
        <v>Skagit River</v>
      </c>
      <c r="K633" t="str">
        <f>IFERROR(VLOOKUP(J633,LUTs!$A$1:$C$73,2,FALSE),"NA")</f>
        <v>Skagit/Whatcom</v>
      </c>
      <c r="L633" t="str">
        <f>IFERROR(VLOOKUP(J633,LUTs!$A$1:$C$73,3,FALSE),"NA")</f>
        <v>2Central Puget Sound</v>
      </c>
      <c r="M633" s="72" t="s">
        <v>30</v>
      </c>
      <c r="N633" t="str">
        <f>VLOOKUP(M633,LUTs!E$2:H$14,3,)</f>
        <v>05San Juan</v>
      </c>
      <c r="O633" t="str">
        <f>VLOOKUP(M633,LUTs!E$2:H$14,4,)</f>
        <v>01North Puget Sound</v>
      </c>
      <c r="P633" s="73">
        <v>15.362146050670599</v>
      </c>
      <c r="Q633" s="74">
        <f>VLOOKUP(B633,Readme!A$40:C$51,2,)*P633</f>
        <v>52.845782414306861</v>
      </c>
    </row>
    <row r="634" spans="1:17" ht="12" customHeight="1" x14ac:dyDescent="0.35">
      <c r="A634" s="75">
        <v>633</v>
      </c>
      <c r="B634" s="64">
        <v>2011</v>
      </c>
      <c r="C634" s="64">
        <v>10</v>
      </c>
      <c r="D634" s="80">
        <f t="shared" si="21"/>
        <v>2011</v>
      </c>
      <c r="E634" t="s">
        <v>38</v>
      </c>
      <c r="F634" t="s">
        <v>143</v>
      </c>
      <c r="G634" t="s">
        <v>10</v>
      </c>
      <c r="H634" s="72" t="s">
        <v>218</v>
      </c>
      <c r="I634" s="72" t="s">
        <v>60</v>
      </c>
      <c r="J634" t="str">
        <f t="shared" si="22"/>
        <v>Skagit River</v>
      </c>
      <c r="K634" t="str">
        <f>IFERROR(VLOOKUP(J634,LUTs!$A$1:$C$73,2,FALSE),"NA")</f>
        <v>Skagit/Whatcom</v>
      </c>
      <c r="L634" t="str">
        <f>IFERROR(VLOOKUP(J634,LUTs!$A$1:$C$73,3,FALSE),"NA")</f>
        <v>2Central Puget Sound</v>
      </c>
      <c r="M634" s="72" t="s">
        <v>15</v>
      </c>
      <c r="N634" t="str">
        <f>VLOOKUP(M634,LUTs!E$2:H$14,3,)</f>
        <v>02Skagit</v>
      </c>
      <c r="O634" t="str">
        <f>VLOOKUP(M634,LUTs!E$2:H$14,4,)</f>
        <v>01North Puget Sound</v>
      </c>
      <c r="P634" s="73">
        <v>2742.1430700447099</v>
      </c>
      <c r="Q634" s="74">
        <f>VLOOKUP(B634,Readme!A$40:C$51,2,)*P634</f>
        <v>9432.9721609538028</v>
      </c>
    </row>
    <row r="635" spans="1:17" ht="12" customHeight="1" x14ac:dyDescent="0.35">
      <c r="A635" s="75">
        <v>634</v>
      </c>
      <c r="B635" s="64">
        <v>2011</v>
      </c>
      <c r="C635" s="64">
        <v>10</v>
      </c>
      <c r="D635" s="80">
        <f t="shared" si="21"/>
        <v>2011</v>
      </c>
      <c r="E635" t="s">
        <v>38</v>
      </c>
      <c r="F635" t="s">
        <v>143</v>
      </c>
      <c r="G635" t="s">
        <v>10</v>
      </c>
      <c r="H635" s="72" t="s">
        <v>218</v>
      </c>
      <c r="I635" s="72" t="s">
        <v>60</v>
      </c>
      <c r="J635" t="str">
        <f t="shared" si="22"/>
        <v>Skagit River</v>
      </c>
      <c r="K635" t="str">
        <f>IFERROR(VLOOKUP(J635,LUTs!$A$1:$C$73,2,FALSE),"NA")</f>
        <v>Skagit/Whatcom</v>
      </c>
      <c r="L635" t="str">
        <f>IFERROR(VLOOKUP(J635,LUTs!$A$1:$C$73,3,FALSE),"NA")</f>
        <v>2Central Puget Sound</v>
      </c>
      <c r="M635" s="72" t="s">
        <v>16</v>
      </c>
      <c r="N635" t="str">
        <f>VLOOKUP(M635,LUTs!E$2:H$14,3,)</f>
        <v>03Snohomish</v>
      </c>
      <c r="O635" t="str">
        <f>VLOOKUP(M635,LUTs!E$2:H$14,4,)</f>
        <v>01North Puget Sound</v>
      </c>
      <c r="P635" s="73">
        <v>560.718330849479</v>
      </c>
      <c r="Q635" s="74">
        <f>VLOOKUP(B635,Readme!A$40:C$51,2,)*P635</f>
        <v>1928.8710581222078</v>
      </c>
    </row>
    <row r="636" spans="1:17" ht="12" customHeight="1" x14ac:dyDescent="0.35">
      <c r="A636" s="75">
        <v>635</v>
      </c>
      <c r="B636" s="64">
        <v>2011</v>
      </c>
      <c r="C636" s="64">
        <v>10</v>
      </c>
      <c r="D636" s="80">
        <f t="shared" si="21"/>
        <v>2011</v>
      </c>
      <c r="E636" t="s">
        <v>38</v>
      </c>
      <c r="F636" t="s">
        <v>143</v>
      </c>
      <c r="G636" t="s">
        <v>10</v>
      </c>
      <c r="H636" s="72" t="s">
        <v>218</v>
      </c>
      <c r="I636" s="72" t="s">
        <v>60</v>
      </c>
      <c r="J636" t="str">
        <f t="shared" si="22"/>
        <v>Skagit River</v>
      </c>
      <c r="K636" t="str">
        <f>IFERROR(VLOOKUP(J636,LUTs!$A$1:$C$73,2,FALSE),"NA")</f>
        <v>Skagit/Whatcom</v>
      </c>
      <c r="L636" t="str">
        <f>IFERROR(VLOOKUP(J636,LUTs!$A$1:$C$73,3,FALSE),"NA")</f>
        <v>2Central Puget Sound</v>
      </c>
      <c r="M636" s="72" t="s">
        <v>21</v>
      </c>
      <c r="N636" t="str">
        <f>VLOOKUP(M636,LUTs!E$2:H$14,3,)</f>
        <v>08Thurston</v>
      </c>
      <c r="O636" t="str">
        <f>VLOOKUP(M636,LUTs!E$2:H$14,4,)</f>
        <v>02South Puget Sound</v>
      </c>
      <c r="P636" s="73">
        <v>53.767511177347302</v>
      </c>
      <c r="Q636" s="74">
        <f>VLOOKUP(B636,Readme!A$40:C$51,2,)*P636</f>
        <v>184.96023845007471</v>
      </c>
    </row>
    <row r="637" spans="1:17" ht="12" customHeight="1" x14ac:dyDescent="0.35">
      <c r="A637" s="75">
        <v>636</v>
      </c>
      <c r="B637" s="64">
        <v>2011</v>
      </c>
      <c r="C637" s="64">
        <v>10</v>
      </c>
      <c r="D637" s="80">
        <f t="shared" si="21"/>
        <v>2011</v>
      </c>
      <c r="E637" t="s">
        <v>38</v>
      </c>
      <c r="F637" t="s">
        <v>143</v>
      </c>
      <c r="G637" t="s">
        <v>10</v>
      </c>
      <c r="H637" s="72" t="s">
        <v>218</v>
      </c>
      <c r="I637" s="72" t="s">
        <v>60</v>
      </c>
      <c r="J637" t="str">
        <f t="shared" si="22"/>
        <v>Skagit River</v>
      </c>
      <c r="K637" t="str">
        <f>IFERROR(VLOOKUP(J637,LUTs!$A$1:$C$73,2,FALSE),"NA")</f>
        <v>Skagit/Whatcom</v>
      </c>
      <c r="L637" t="str">
        <f>IFERROR(VLOOKUP(J637,LUTs!$A$1:$C$73,3,FALSE),"NA")</f>
        <v>2Central Puget Sound</v>
      </c>
      <c r="M637" s="72" t="s">
        <v>13</v>
      </c>
      <c r="N637" t="str">
        <f>VLOOKUP(M637,LUTs!E$2:H$14,3,)</f>
        <v>01Whatcom</v>
      </c>
      <c r="O637" t="str">
        <f>VLOOKUP(M637,LUTs!E$2:H$14,4,)</f>
        <v>01North Puget Sound</v>
      </c>
      <c r="P637" s="73">
        <v>783.46944858420295</v>
      </c>
      <c r="Q637" s="74">
        <f>VLOOKUP(B637,Readme!A$40:C$51,2,)*P637</f>
        <v>2695.1349031296581</v>
      </c>
    </row>
    <row r="638" spans="1:17" ht="12" customHeight="1" x14ac:dyDescent="0.35">
      <c r="A638" s="75">
        <v>637</v>
      </c>
      <c r="B638" s="64">
        <v>2011</v>
      </c>
      <c r="C638" s="64">
        <v>11</v>
      </c>
      <c r="D638" s="80">
        <f t="shared" si="21"/>
        <v>2011</v>
      </c>
      <c r="E638" t="s">
        <v>38</v>
      </c>
      <c r="F638" t="s">
        <v>143</v>
      </c>
      <c r="G638" t="s">
        <v>10</v>
      </c>
      <c r="H638" s="72" t="s">
        <v>218</v>
      </c>
      <c r="I638" s="72" t="s">
        <v>60</v>
      </c>
      <c r="J638" t="str">
        <f t="shared" si="22"/>
        <v>Skagit River</v>
      </c>
      <c r="K638" t="str">
        <f>IFERROR(VLOOKUP(J638,LUTs!$A$1:$C$73,2,FALSE),"NA")</f>
        <v>Skagit/Whatcom</v>
      </c>
      <c r="L638" t="str">
        <f>IFERROR(VLOOKUP(J638,LUTs!$A$1:$C$73,3,FALSE),"NA")</f>
        <v>2Central Puget Sound</v>
      </c>
      <c r="M638" s="72" t="s">
        <v>17</v>
      </c>
      <c r="N638" t="str">
        <f>VLOOKUP(M638,LUTs!E$2:H$14,3,)</f>
        <v>04Island</v>
      </c>
      <c r="O638" t="str">
        <f>VLOOKUP(M638,LUTs!E$2:H$14,4,)</f>
        <v>01North Puget Sound</v>
      </c>
      <c r="P638" s="73">
        <v>7.7471264367816097</v>
      </c>
      <c r="Q638" s="74">
        <f>VLOOKUP(B638,Readme!A$40:C$51,2,)*P638</f>
        <v>26.650114942528738</v>
      </c>
    </row>
    <row r="639" spans="1:17" ht="12" customHeight="1" x14ac:dyDescent="0.35">
      <c r="A639" s="75">
        <v>638</v>
      </c>
      <c r="B639" s="64">
        <v>2011</v>
      </c>
      <c r="C639" s="64">
        <v>11</v>
      </c>
      <c r="D639" s="80">
        <f t="shared" si="21"/>
        <v>2011</v>
      </c>
      <c r="E639" t="s">
        <v>38</v>
      </c>
      <c r="F639" t="s">
        <v>143</v>
      </c>
      <c r="G639" t="s">
        <v>10</v>
      </c>
      <c r="H639" s="72" t="s">
        <v>218</v>
      </c>
      <c r="I639" s="72" t="s">
        <v>60</v>
      </c>
      <c r="J639" t="str">
        <f t="shared" si="22"/>
        <v>Skagit River</v>
      </c>
      <c r="K639" t="str">
        <f>IFERROR(VLOOKUP(J639,LUTs!$A$1:$C$73,2,FALSE),"NA")</f>
        <v>Skagit/Whatcom</v>
      </c>
      <c r="L639" t="str">
        <f>IFERROR(VLOOKUP(J639,LUTs!$A$1:$C$73,3,FALSE),"NA")</f>
        <v>2Central Puget Sound</v>
      </c>
      <c r="M639" s="72" t="s">
        <v>18</v>
      </c>
      <c r="N639" t="str">
        <f>VLOOKUP(M639,LUTs!E$2:H$14,3,)</f>
        <v>06King</v>
      </c>
      <c r="O639" t="str">
        <f>VLOOKUP(M639,LUTs!E$2:H$14,4,)</f>
        <v>02South Puget Sound</v>
      </c>
      <c r="P639" s="73">
        <v>38.735632183908102</v>
      </c>
      <c r="Q639" s="74">
        <f>VLOOKUP(B639,Readme!A$40:C$51,2,)*P639</f>
        <v>133.25057471264387</v>
      </c>
    </row>
    <row r="640" spans="1:17" ht="12" customHeight="1" x14ac:dyDescent="0.35">
      <c r="A640" s="75">
        <v>639</v>
      </c>
      <c r="B640" s="64">
        <v>2011</v>
      </c>
      <c r="C640" s="64">
        <v>11</v>
      </c>
      <c r="D640" s="80">
        <f t="shared" si="21"/>
        <v>2011</v>
      </c>
      <c r="E640" t="s">
        <v>38</v>
      </c>
      <c r="F640" t="s">
        <v>143</v>
      </c>
      <c r="G640" t="s">
        <v>10</v>
      </c>
      <c r="H640" s="72" t="s">
        <v>218</v>
      </c>
      <c r="I640" s="72" t="s">
        <v>60</v>
      </c>
      <c r="J640" t="str">
        <f t="shared" si="22"/>
        <v>Skagit River</v>
      </c>
      <c r="K640" t="str">
        <f>IFERROR(VLOOKUP(J640,LUTs!$A$1:$C$73,2,FALSE),"NA")</f>
        <v>Skagit/Whatcom</v>
      </c>
      <c r="L640" t="str">
        <f>IFERROR(VLOOKUP(J640,LUTs!$A$1:$C$73,3,FALSE),"NA")</f>
        <v>2Central Puget Sound</v>
      </c>
      <c r="M640" s="72" t="s">
        <v>15</v>
      </c>
      <c r="N640" t="str">
        <f>VLOOKUP(M640,LUTs!E$2:H$14,3,)</f>
        <v>02Skagit</v>
      </c>
      <c r="O640" t="str">
        <f>VLOOKUP(M640,LUTs!E$2:H$14,4,)</f>
        <v>01North Puget Sound</v>
      </c>
      <c r="P640" s="73">
        <v>402.850574712644</v>
      </c>
      <c r="Q640" s="74">
        <f>VLOOKUP(B640,Readme!A$40:C$51,2,)*P640</f>
        <v>1385.8059770114953</v>
      </c>
    </row>
    <row r="641" spans="1:17" ht="12" customHeight="1" x14ac:dyDescent="0.35">
      <c r="A641" s="75">
        <v>640</v>
      </c>
      <c r="B641" s="64">
        <v>2011</v>
      </c>
      <c r="C641" s="64">
        <v>11</v>
      </c>
      <c r="D641" s="80">
        <f t="shared" si="21"/>
        <v>2011</v>
      </c>
      <c r="E641" t="s">
        <v>38</v>
      </c>
      <c r="F641" t="s">
        <v>143</v>
      </c>
      <c r="G641" t="s">
        <v>10</v>
      </c>
      <c r="H641" s="72" t="s">
        <v>218</v>
      </c>
      <c r="I641" s="72" t="s">
        <v>60</v>
      </c>
      <c r="J641" t="str">
        <f t="shared" si="22"/>
        <v>Skagit River</v>
      </c>
      <c r="K641" t="str">
        <f>IFERROR(VLOOKUP(J641,LUTs!$A$1:$C$73,2,FALSE),"NA")</f>
        <v>Skagit/Whatcom</v>
      </c>
      <c r="L641" t="str">
        <f>IFERROR(VLOOKUP(J641,LUTs!$A$1:$C$73,3,FALSE),"NA")</f>
        <v>2Central Puget Sound</v>
      </c>
      <c r="M641" s="72" t="s">
        <v>16</v>
      </c>
      <c r="N641" t="str">
        <f>VLOOKUP(M641,LUTs!E$2:H$14,3,)</f>
        <v>03Snohomish</v>
      </c>
      <c r="O641" t="str">
        <f>VLOOKUP(M641,LUTs!E$2:H$14,4,)</f>
        <v>01North Puget Sound</v>
      </c>
      <c r="P641" s="73">
        <v>85.218390804597703</v>
      </c>
      <c r="Q641" s="74">
        <f>VLOOKUP(B641,Readme!A$40:C$51,2,)*P641</f>
        <v>293.15126436781611</v>
      </c>
    </row>
    <row r="642" spans="1:17" ht="12" customHeight="1" x14ac:dyDescent="0.35">
      <c r="A642" s="75">
        <v>641</v>
      </c>
      <c r="B642" s="64">
        <v>2011</v>
      </c>
      <c r="C642" s="64">
        <v>11</v>
      </c>
      <c r="D642" s="80">
        <f t="shared" ref="D642:D705" si="23">IF(C642&gt;3,B642,B642-1)</f>
        <v>2011</v>
      </c>
      <c r="E642" t="s">
        <v>38</v>
      </c>
      <c r="F642" t="s">
        <v>143</v>
      </c>
      <c r="G642" t="s">
        <v>10</v>
      </c>
      <c r="H642" s="72" t="s">
        <v>218</v>
      </c>
      <c r="I642" s="72" t="s">
        <v>60</v>
      </c>
      <c r="J642" t="str">
        <f t="shared" si="22"/>
        <v>Skagit River</v>
      </c>
      <c r="K642" t="str">
        <f>IFERROR(VLOOKUP(J642,LUTs!$A$1:$C$73,2,FALSE),"NA")</f>
        <v>Skagit/Whatcom</v>
      </c>
      <c r="L642" t="str">
        <f>IFERROR(VLOOKUP(J642,LUTs!$A$1:$C$73,3,FALSE),"NA")</f>
        <v>2Central Puget Sound</v>
      </c>
      <c r="M642" s="72" t="s">
        <v>13</v>
      </c>
      <c r="N642" t="str">
        <f>VLOOKUP(M642,LUTs!E$2:H$14,3,)</f>
        <v>01Whatcom</v>
      </c>
      <c r="O642" t="str">
        <f>VLOOKUP(M642,LUTs!E$2:H$14,4,)</f>
        <v>01North Puget Sound</v>
      </c>
      <c r="P642" s="73">
        <v>139.44827586206901</v>
      </c>
      <c r="Q642" s="74">
        <f>VLOOKUP(B642,Readme!A$40:C$51,2,)*P642</f>
        <v>479.70206896551741</v>
      </c>
    </row>
    <row r="643" spans="1:17" ht="12" customHeight="1" x14ac:dyDescent="0.35">
      <c r="A643" s="75">
        <v>642</v>
      </c>
      <c r="B643" s="64">
        <v>2011</v>
      </c>
      <c r="C643" s="64">
        <v>12</v>
      </c>
      <c r="D643" s="80">
        <f t="shared" si="23"/>
        <v>2011</v>
      </c>
      <c r="E643" t="s">
        <v>38</v>
      </c>
      <c r="F643" t="s">
        <v>143</v>
      </c>
      <c r="G643" t="s">
        <v>10</v>
      </c>
      <c r="H643" s="72" t="s">
        <v>218</v>
      </c>
      <c r="I643" s="72" t="s">
        <v>60</v>
      </c>
      <c r="J643" t="str">
        <f t="shared" ref="J643:J706" si="24">I643</f>
        <v>Skagit River</v>
      </c>
      <c r="K643" t="str">
        <f>IFERROR(VLOOKUP(J643,LUTs!$A$1:$C$73,2,FALSE),"NA")</f>
        <v>Skagit/Whatcom</v>
      </c>
      <c r="L643" t="str">
        <f>IFERROR(VLOOKUP(J643,LUTs!$A$1:$C$73,3,FALSE),"NA")</f>
        <v>2Central Puget Sound</v>
      </c>
      <c r="M643" s="72" t="s">
        <v>17</v>
      </c>
      <c r="N643" t="str">
        <f>VLOOKUP(M643,LUTs!E$2:H$14,3,)</f>
        <v>04Island</v>
      </c>
      <c r="O643" t="str">
        <f>VLOOKUP(M643,LUTs!E$2:H$14,4,)</f>
        <v>01North Puget Sound</v>
      </c>
      <c r="P643" s="73">
        <v>15.5</v>
      </c>
      <c r="Q643" s="74">
        <f>VLOOKUP(B643,Readme!A$40:C$51,2,)*P643</f>
        <v>53.32</v>
      </c>
    </row>
    <row r="644" spans="1:17" ht="12" customHeight="1" x14ac:dyDescent="0.35">
      <c r="A644" s="75">
        <v>643</v>
      </c>
      <c r="B644" s="64">
        <v>2011</v>
      </c>
      <c r="C644" s="64">
        <v>12</v>
      </c>
      <c r="D644" s="80">
        <f t="shared" si="23"/>
        <v>2011</v>
      </c>
      <c r="E644" t="s">
        <v>38</v>
      </c>
      <c r="F644" t="s">
        <v>143</v>
      </c>
      <c r="G644" t="s">
        <v>10</v>
      </c>
      <c r="H644" s="72" t="s">
        <v>218</v>
      </c>
      <c r="I644" s="72" t="s">
        <v>60</v>
      </c>
      <c r="J644" t="str">
        <f t="shared" si="24"/>
        <v>Skagit River</v>
      </c>
      <c r="K644" t="str">
        <f>IFERROR(VLOOKUP(J644,LUTs!$A$1:$C$73,2,FALSE),"NA")</f>
        <v>Skagit/Whatcom</v>
      </c>
      <c r="L644" t="str">
        <f>IFERROR(VLOOKUP(J644,LUTs!$A$1:$C$73,3,FALSE),"NA")</f>
        <v>2Central Puget Sound</v>
      </c>
      <c r="M644" s="72" t="s">
        <v>13</v>
      </c>
      <c r="N644" t="str">
        <f>VLOOKUP(M644,LUTs!E$2:H$14,3,)</f>
        <v>01Whatcom</v>
      </c>
      <c r="O644" t="str">
        <f>VLOOKUP(M644,LUTs!E$2:H$14,4,)</f>
        <v>01North Puget Sound</v>
      </c>
      <c r="P644" s="73">
        <v>15.5</v>
      </c>
      <c r="Q644" s="74">
        <f>VLOOKUP(B644,Readme!A$40:C$51,2,)*P644</f>
        <v>53.32</v>
      </c>
    </row>
    <row r="645" spans="1:17" ht="12" customHeight="1" x14ac:dyDescent="0.35">
      <c r="A645" s="75">
        <v>644</v>
      </c>
      <c r="B645" s="64">
        <v>2011</v>
      </c>
      <c r="C645" s="64">
        <v>8</v>
      </c>
      <c r="D645" s="80">
        <f t="shared" si="23"/>
        <v>2011</v>
      </c>
      <c r="E645" t="s">
        <v>38</v>
      </c>
      <c r="F645" t="s">
        <v>143</v>
      </c>
      <c r="G645" t="s">
        <v>10</v>
      </c>
      <c r="H645" s="72" t="s">
        <v>219</v>
      </c>
      <c r="I645" s="72" t="s">
        <v>61</v>
      </c>
      <c r="J645" t="str">
        <f t="shared" si="24"/>
        <v>Skokomish River</v>
      </c>
      <c r="K645" t="str">
        <f>IFERROR(VLOOKUP(J645,LUTs!$A$1:$C$73,2,FALSE),"NA")</f>
        <v>Mason</v>
      </c>
      <c r="L645" t="str">
        <f>IFERROR(VLOOKUP(J645,LUTs!$A$1:$C$73,3,FALSE),"NA")</f>
        <v>4 Hood Canal</v>
      </c>
      <c r="M645" s="72" t="s">
        <v>24</v>
      </c>
      <c r="N645" t="str">
        <f>VLOOKUP(M645,LUTs!E$2:H$14,3,)</f>
        <v>11Clallam</v>
      </c>
      <c r="O645" t="str">
        <f>VLOOKUP(M645,LUTs!E$2:H$14,4,)</f>
        <v>03Strait of Juan de Fuca</v>
      </c>
      <c r="P645" s="73">
        <v>52.215406562054199</v>
      </c>
      <c r="Q645" s="74">
        <f>VLOOKUP(B645,Readme!A$40:C$51,2,)*P645</f>
        <v>179.62099857346644</v>
      </c>
    </row>
    <row r="646" spans="1:17" ht="12" customHeight="1" x14ac:dyDescent="0.35">
      <c r="A646" s="75">
        <v>645</v>
      </c>
      <c r="B646" s="64">
        <v>2011</v>
      </c>
      <c r="C646" s="64">
        <v>8</v>
      </c>
      <c r="D646" s="80">
        <f t="shared" si="23"/>
        <v>2011</v>
      </c>
      <c r="E646" t="s">
        <v>38</v>
      </c>
      <c r="F646" t="s">
        <v>143</v>
      </c>
      <c r="G646" t="s">
        <v>10</v>
      </c>
      <c r="H646" s="72" t="s">
        <v>219</v>
      </c>
      <c r="I646" s="72" t="s">
        <v>61</v>
      </c>
      <c r="J646" t="str">
        <f t="shared" si="24"/>
        <v>Skokomish River</v>
      </c>
      <c r="K646" t="str">
        <f>IFERROR(VLOOKUP(J646,LUTs!$A$1:$C$73,2,FALSE),"NA")</f>
        <v>Mason</v>
      </c>
      <c r="L646" t="str">
        <f>IFERROR(VLOOKUP(J646,LUTs!$A$1:$C$73,3,FALSE),"NA")</f>
        <v>4 Hood Canal</v>
      </c>
      <c r="M646" s="72" t="s">
        <v>17</v>
      </c>
      <c r="N646" t="str">
        <f>VLOOKUP(M646,LUTs!E$2:H$14,3,)</f>
        <v>04Island</v>
      </c>
      <c r="O646" t="str">
        <f>VLOOKUP(M646,LUTs!E$2:H$14,4,)</f>
        <v>01North Puget Sound</v>
      </c>
      <c r="P646" s="73">
        <v>44.756062767475001</v>
      </c>
      <c r="Q646" s="74">
        <f>VLOOKUP(B646,Readme!A$40:C$51,2,)*P646</f>
        <v>153.960855920114</v>
      </c>
    </row>
    <row r="647" spans="1:17" ht="12" customHeight="1" x14ac:dyDescent="0.35">
      <c r="A647" s="75">
        <v>646</v>
      </c>
      <c r="B647" s="64">
        <v>2011</v>
      </c>
      <c r="C647" s="64">
        <v>8</v>
      </c>
      <c r="D647" s="80">
        <f t="shared" si="23"/>
        <v>2011</v>
      </c>
      <c r="E647" t="s">
        <v>38</v>
      </c>
      <c r="F647" t="s">
        <v>143</v>
      </c>
      <c r="G647" t="s">
        <v>10</v>
      </c>
      <c r="H647" s="72" t="s">
        <v>219</v>
      </c>
      <c r="I647" s="72" t="s">
        <v>61</v>
      </c>
      <c r="J647" t="str">
        <f t="shared" si="24"/>
        <v>Skokomish River</v>
      </c>
      <c r="K647" t="str">
        <f>IFERROR(VLOOKUP(J647,LUTs!$A$1:$C$73,2,FALSE),"NA")</f>
        <v>Mason</v>
      </c>
      <c r="L647" t="str">
        <f>IFERROR(VLOOKUP(J647,LUTs!$A$1:$C$73,3,FALSE),"NA")</f>
        <v>4 Hood Canal</v>
      </c>
      <c r="M647" s="72" t="s">
        <v>25</v>
      </c>
      <c r="N647" t="str">
        <f>VLOOKUP(M647,LUTs!E$2:H$14,3,)</f>
        <v>12Jefferson</v>
      </c>
      <c r="O647" t="str">
        <f>VLOOKUP(M647,LUTs!E$2:H$14,4,)</f>
        <v>03Strait of Juan de Fuca</v>
      </c>
      <c r="P647" s="73">
        <v>7.4593437945791701</v>
      </c>
      <c r="Q647" s="74">
        <f>VLOOKUP(B647,Readme!A$40:C$51,2,)*P647</f>
        <v>25.660142653352345</v>
      </c>
    </row>
    <row r="648" spans="1:17" ht="12" customHeight="1" x14ac:dyDescent="0.35">
      <c r="A648" s="75">
        <v>647</v>
      </c>
      <c r="B648" s="64">
        <v>2011</v>
      </c>
      <c r="C648" s="64">
        <v>8</v>
      </c>
      <c r="D648" s="80">
        <f t="shared" si="23"/>
        <v>2011</v>
      </c>
      <c r="E648" t="s">
        <v>38</v>
      </c>
      <c r="F648" t="s">
        <v>143</v>
      </c>
      <c r="G648" t="s">
        <v>10</v>
      </c>
      <c r="H648" s="72" t="s">
        <v>219</v>
      </c>
      <c r="I648" s="72" t="s">
        <v>61</v>
      </c>
      <c r="J648" t="str">
        <f t="shared" si="24"/>
        <v>Skokomish River</v>
      </c>
      <c r="K648" t="str">
        <f>IFERROR(VLOOKUP(J648,LUTs!$A$1:$C$73,2,FALSE),"NA")</f>
        <v>Mason</v>
      </c>
      <c r="L648" t="str">
        <f>IFERROR(VLOOKUP(J648,LUTs!$A$1:$C$73,3,FALSE),"NA")</f>
        <v>4 Hood Canal</v>
      </c>
      <c r="M648" s="72" t="s">
        <v>18</v>
      </c>
      <c r="N648" t="str">
        <f>VLOOKUP(M648,LUTs!E$2:H$14,3,)</f>
        <v>06King</v>
      </c>
      <c r="O648" t="str">
        <f>VLOOKUP(M648,LUTs!E$2:H$14,4,)</f>
        <v>02South Puget Sound</v>
      </c>
      <c r="P648" s="73">
        <v>648.96291012838799</v>
      </c>
      <c r="Q648" s="74">
        <f>VLOOKUP(B648,Readme!A$40:C$51,2,)*P648</f>
        <v>2232.4324108416545</v>
      </c>
    </row>
    <row r="649" spans="1:17" ht="12" customHeight="1" x14ac:dyDescent="0.35">
      <c r="A649" s="75">
        <v>648</v>
      </c>
      <c r="B649" s="64">
        <v>2011</v>
      </c>
      <c r="C649" s="64">
        <v>8</v>
      </c>
      <c r="D649" s="80">
        <f t="shared" si="23"/>
        <v>2011</v>
      </c>
      <c r="E649" t="s">
        <v>38</v>
      </c>
      <c r="F649" t="s">
        <v>143</v>
      </c>
      <c r="G649" t="s">
        <v>10</v>
      </c>
      <c r="H649" s="72" t="s">
        <v>219</v>
      </c>
      <c r="I649" s="72" t="s">
        <v>61</v>
      </c>
      <c r="J649" t="str">
        <f t="shared" si="24"/>
        <v>Skokomish River</v>
      </c>
      <c r="K649" t="str">
        <f>IFERROR(VLOOKUP(J649,LUTs!$A$1:$C$73,2,FALSE),"NA")</f>
        <v>Mason</v>
      </c>
      <c r="L649" t="str">
        <f>IFERROR(VLOOKUP(J649,LUTs!$A$1:$C$73,3,FALSE),"NA")</f>
        <v>4 Hood Canal</v>
      </c>
      <c r="M649" s="72" t="s">
        <v>23</v>
      </c>
      <c r="N649" t="str">
        <f>VLOOKUP(M649,LUTs!E$2:H$14,3,)</f>
        <v>10Kitsap</v>
      </c>
      <c r="O649" t="str">
        <f>VLOOKUP(M649,LUTs!E$2:H$14,4,)</f>
        <v>02South Puget Sound</v>
      </c>
      <c r="P649" s="73">
        <v>723.55634807418005</v>
      </c>
      <c r="Q649" s="74">
        <f>VLOOKUP(B649,Readme!A$40:C$51,2,)*P649</f>
        <v>2489.0338373751792</v>
      </c>
    </row>
    <row r="650" spans="1:17" ht="12" customHeight="1" x14ac:dyDescent="0.35">
      <c r="A650" s="75">
        <v>649</v>
      </c>
      <c r="B650" s="64">
        <v>2011</v>
      </c>
      <c r="C650" s="64">
        <v>8</v>
      </c>
      <c r="D650" s="80">
        <f t="shared" si="23"/>
        <v>2011</v>
      </c>
      <c r="E650" t="s">
        <v>38</v>
      </c>
      <c r="F650" t="s">
        <v>143</v>
      </c>
      <c r="G650" t="s">
        <v>10</v>
      </c>
      <c r="H650" s="72" t="s">
        <v>219</v>
      </c>
      <c r="I650" s="72" t="s">
        <v>61</v>
      </c>
      <c r="J650" t="str">
        <f t="shared" si="24"/>
        <v>Skokomish River</v>
      </c>
      <c r="K650" t="str">
        <f>IFERROR(VLOOKUP(J650,LUTs!$A$1:$C$73,2,FALSE),"NA")</f>
        <v>Mason</v>
      </c>
      <c r="L650" t="str">
        <f>IFERROR(VLOOKUP(J650,LUTs!$A$1:$C$73,3,FALSE),"NA")</f>
        <v>4 Hood Canal</v>
      </c>
      <c r="M650" s="72" t="s">
        <v>22</v>
      </c>
      <c r="N650" t="str">
        <f>VLOOKUP(M650,LUTs!E$2:H$14,3,)</f>
        <v>09Mason</v>
      </c>
      <c r="O650" t="str">
        <f>VLOOKUP(M650,LUTs!E$2:H$14,4,)</f>
        <v>02South Puget Sound</v>
      </c>
      <c r="P650" s="73">
        <v>738.47503566333796</v>
      </c>
      <c r="Q650" s="74">
        <f>VLOOKUP(B650,Readme!A$40:C$51,2,)*P650</f>
        <v>2540.3541226818825</v>
      </c>
    </row>
    <row r="651" spans="1:17" ht="12" customHeight="1" x14ac:dyDescent="0.35">
      <c r="A651" s="75">
        <v>650</v>
      </c>
      <c r="B651" s="64">
        <v>2011</v>
      </c>
      <c r="C651" s="64">
        <v>8</v>
      </c>
      <c r="D651" s="80">
        <f t="shared" si="23"/>
        <v>2011</v>
      </c>
      <c r="E651" t="s">
        <v>38</v>
      </c>
      <c r="F651" t="s">
        <v>143</v>
      </c>
      <c r="G651" t="s">
        <v>10</v>
      </c>
      <c r="H651" s="72" t="s">
        <v>219</v>
      </c>
      <c r="I651" s="72" t="s">
        <v>61</v>
      </c>
      <c r="J651" t="str">
        <f t="shared" si="24"/>
        <v>Skokomish River</v>
      </c>
      <c r="K651" t="str">
        <f>IFERROR(VLOOKUP(J651,LUTs!$A$1:$C$73,2,FALSE),"NA")</f>
        <v>Mason</v>
      </c>
      <c r="L651" t="str">
        <f>IFERROR(VLOOKUP(J651,LUTs!$A$1:$C$73,3,FALSE),"NA")</f>
        <v>4 Hood Canal</v>
      </c>
      <c r="M651" s="72" t="s">
        <v>26</v>
      </c>
      <c r="N651" t="str">
        <f>VLOOKUP(M651,LUTs!E$2:H$14,3,)</f>
        <v>20Other</v>
      </c>
      <c r="O651" t="str">
        <f>VLOOKUP(M651,LUTs!E$2:H$14,4,)</f>
        <v>07Non Puget Sound</v>
      </c>
      <c r="P651" s="73">
        <v>425.182596291013</v>
      </c>
      <c r="Q651" s="74">
        <f>VLOOKUP(B651,Readme!A$40:C$51,2,)*P651</f>
        <v>1462.6281312410847</v>
      </c>
    </row>
    <row r="652" spans="1:17" ht="12" customHeight="1" x14ac:dyDescent="0.35">
      <c r="A652" s="75">
        <v>651</v>
      </c>
      <c r="B652" s="64">
        <v>2011</v>
      </c>
      <c r="C652" s="64">
        <v>8</v>
      </c>
      <c r="D652" s="80">
        <f t="shared" si="23"/>
        <v>2011</v>
      </c>
      <c r="E652" t="s">
        <v>38</v>
      </c>
      <c r="F652" t="s">
        <v>143</v>
      </c>
      <c r="G652" t="s">
        <v>10</v>
      </c>
      <c r="H652" s="72" t="s">
        <v>219</v>
      </c>
      <c r="I652" s="72" t="s">
        <v>61</v>
      </c>
      <c r="J652" t="str">
        <f t="shared" si="24"/>
        <v>Skokomish River</v>
      </c>
      <c r="K652" t="str">
        <f>IFERROR(VLOOKUP(J652,LUTs!$A$1:$C$73,2,FALSE),"NA")</f>
        <v>Mason</v>
      </c>
      <c r="L652" t="str">
        <f>IFERROR(VLOOKUP(J652,LUTs!$A$1:$C$73,3,FALSE),"NA")</f>
        <v>4 Hood Canal</v>
      </c>
      <c r="M652" s="72" t="s">
        <v>20</v>
      </c>
      <c r="N652" t="str">
        <f>VLOOKUP(M652,LUTs!E$2:H$14,3,)</f>
        <v>07Pierce</v>
      </c>
      <c r="O652" t="str">
        <f>VLOOKUP(M652,LUTs!E$2:H$14,4,)</f>
        <v>02South Puget Sound</v>
      </c>
      <c r="P652" s="73">
        <v>1171.1169757489299</v>
      </c>
      <c r="Q652" s="74">
        <f>VLOOKUP(B652,Readme!A$40:C$51,2,)*P652</f>
        <v>4028.6423965763188</v>
      </c>
    </row>
    <row r="653" spans="1:17" ht="12" customHeight="1" x14ac:dyDescent="0.35">
      <c r="A653" s="75">
        <v>652</v>
      </c>
      <c r="B653" s="64">
        <v>2011</v>
      </c>
      <c r="C653" s="64">
        <v>8</v>
      </c>
      <c r="D653" s="80">
        <f t="shared" si="23"/>
        <v>2011</v>
      </c>
      <c r="E653" t="s">
        <v>38</v>
      </c>
      <c r="F653" t="s">
        <v>143</v>
      </c>
      <c r="G653" t="s">
        <v>10</v>
      </c>
      <c r="H653" s="72" t="s">
        <v>219</v>
      </c>
      <c r="I653" s="72" t="s">
        <v>61</v>
      </c>
      <c r="J653" t="str">
        <f t="shared" si="24"/>
        <v>Skokomish River</v>
      </c>
      <c r="K653" t="str">
        <f>IFERROR(VLOOKUP(J653,LUTs!$A$1:$C$73,2,FALSE),"NA")</f>
        <v>Mason</v>
      </c>
      <c r="L653" t="str">
        <f>IFERROR(VLOOKUP(J653,LUTs!$A$1:$C$73,3,FALSE),"NA")</f>
        <v>4 Hood Canal</v>
      </c>
      <c r="M653" s="72" t="s">
        <v>16</v>
      </c>
      <c r="N653" t="str">
        <f>VLOOKUP(M653,LUTs!E$2:H$14,3,)</f>
        <v>03Snohomish</v>
      </c>
      <c r="O653" t="str">
        <f>VLOOKUP(M653,LUTs!E$2:H$14,4,)</f>
        <v>01North Puget Sound</v>
      </c>
      <c r="P653" s="73">
        <v>111.89015691868801</v>
      </c>
      <c r="Q653" s="74">
        <f>VLOOKUP(B653,Readme!A$40:C$51,2,)*P653</f>
        <v>384.90213980028676</v>
      </c>
    </row>
    <row r="654" spans="1:17" ht="12" customHeight="1" x14ac:dyDescent="0.35">
      <c r="A654" s="75">
        <v>653</v>
      </c>
      <c r="B654" s="64">
        <v>2011</v>
      </c>
      <c r="C654" s="64">
        <v>8</v>
      </c>
      <c r="D654" s="80">
        <f t="shared" si="23"/>
        <v>2011</v>
      </c>
      <c r="E654" t="s">
        <v>38</v>
      </c>
      <c r="F654" t="s">
        <v>143</v>
      </c>
      <c r="G654" t="s">
        <v>10</v>
      </c>
      <c r="H654" s="72" t="s">
        <v>219</v>
      </c>
      <c r="I654" s="72" t="s">
        <v>61</v>
      </c>
      <c r="J654" t="str">
        <f t="shared" si="24"/>
        <v>Skokomish River</v>
      </c>
      <c r="K654" t="str">
        <f>IFERROR(VLOOKUP(J654,LUTs!$A$1:$C$73,2,FALSE),"NA")</f>
        <v>Mason</v>
      </c>
      <c r="L654" t="str">
        <f>IFERROR(VLOOKUP(J654,LUTs!$A$1:$C$73,3,FALSE),"NA")</f>
        <v>4 Hood Canal</v>
      </c>
      <c r="M654" s="72" t="s">
        <v>21</v>
      </c>
      <c r="N654" t="str">
        <f>VLOOKUP(M654,LUTs!E$2:H$14,3,)</f>
        <v>08Thurston</v>
      </c>
      <c r="O654" t="str">
        <f>VLOOKUP(M654,LUTs!E$2:H$14,4,)</f>
        <v>02South Puget Sound</v>
      </c>
      <c r="P654" s="73">
        <v>1305.3851640513601</v>
      </c>
      <c r="Q654" s="74">
        <f>VLOOKUP(B654,Readme!A$40:C$51,2,)*P654</f>
        <v>4490.5249643366787</v>
      </c>
    </row>
    <row r="655" spans="1:17" ht="12" customHeight="1" x14ac:dyDescent="0.35">
      <c r="A655" s="75">
        <v>654</v>
      </c>
      <c r="B655" s="64">
        <v>2011</v>
      </c>
      <c r="C655" s="64">
        <v>9</v>
      </c>
      <c r="D655" s="80">
        <f t="shared" si="23"/>
        <v>2011</v>
      </c>
      <c r="E655" t="s">
        <v>38</v>
      </c>
      <c r="F655" t="s">
        <v>143</v>
      </c>
      <c r="G655" t="s">
        <v>10</v>
      </c>
      <c r="H655" s="72" t="s">
        <v>219</v>
      </c>
      <c r="I655" s="72" t="s">
        <v>61</v>
      </c>
      <c r="J655" t="str">
        <f t="shared" si="24"/>
        <v>Skokomish River</v>
      </c>
      <c r="K655" t="str">
        <f>IFERROR(VLOOKUP(J655,LUTs!$A$1:$C$73,2,FALSE),"NA")</f>
        <v>Mason</v>
      </c>
      <c r="L655" t="str">
        <f>IFERROR(VLOOKUP(J655,LUTs!$A$1:$C$73,3,FALSE),"NA")</f>
        <v>4 Hood Canal</v>
      </c>
      <c r="M655" s="72" t="s">
        <v>18</v>
      </c>
      <c r="N655" t="str">
        <f>VLOOKUP(M655,LUTs!E$2:H$14,3,)</f>
        <v>06King</v>
      </c>
      <c r="O655" t="str">
        <f>VLOOKUP(M655,LUTs!E$2:H$14,4,)</f>
        <v>02South Puget Sound</v>
      </c>
      <c r="P655" s="73">
        <v>237.29230769230799</v>
      </c>
      <c r="Q655" s="74">
        <f>VLOOKUP(B655,Readme!A$40:C$51,2,)*P655</f>
        <v>816.28553846153943</v>
      </c>
    </row>
    <row r="656" spans="1:17" ht="12" customHeight="1" x14ac:dyDescent="0.35">
      <c r="A656" s="75">
        <v>655</v>
      </c>
      <c r="B656" s="64">
        <v>2011</v>
      </c>
      <c r="C656" s="64">
        <v>9</v>
      </c>
      <c r="D656" s="80">
        <f t="shared" si="23"/>
        <v>2011</v>
      </c>
      <c r="E656" t="s">
        <v>38</v>
      </c>
      <c r="F656" t="s">
        <v>143</v>
      </c>
      <c r="G656" t="s">
        <v>10</v>
      </c>
      <c r="H656" s="72" t="s">
        <v>219</v>
      </c>
      <c r="I656" s="72" t="s">
        <v>61</v>
      </c>
      <c r="J656" t="str">
        <f t="shared" si="24"/>
        <v>Skokomish River</v>
      </c>
      <c r="K656" t="str">
        <f>IFERROR(VLOOKUP(J656,LUTs!$A$1:$C$73,2,FALSE),"NA")</f>
        <v>Mason</v>
      </c>
      <c r="L656" t="str">
        <f>IFERROR(VLOOKUP(J656,LUTs!$A$1:$C$73,3,FALSE),"NA")</f>
        <v>4 Hood Canal</v>
      </c>
      <c r="M656" s="72" t="s">
        <v>23</v>
      </c>
      <c r="N656" t="str">
        <f>VLOOKUP(M656,LUTs!E$2:H$14,3,)</f>
        <v>10Kitsap</v>
      </c>
      <c r="O656" t="str">
        <f>VLOOKUP(M656,LUTs!E$2:H$14,4,)</f>
        <v>02South Puget Sound</v>
      </c>
      <c r="P656" s="73">
        <v>467.16923076923098</v>
      </c>
      <c r="Q656" s="74">
        <f>VLOOKUP(B656,Readme!A$40:C$51,2,)*P656</f>
        <v>1607.0621538461546</v>
      </c>
    </row>
    <row r="657" spans="1:17" ht="12" customHeight="1" x14ac:dyDescent="0.35">
      <c r="A657" s="75">
        <v>656</v>
      </c>
      <c r="B657" s="64">
        <v>2011</v>
      </c>
      <c r="C657" s="64">
        <v>9</v>
      </c>
      <c r="D657" s="80">
        <f t="shared" si="23"/>
        <v>2011</v>
      </c>
      <c r="E657" t="s">
        <v>38</v>
      </c>
      <c r="F657" t="s">
        <v>143</v>
      </c>
      <c r="G657" t="s">
        <v>10</v>
      </c>
      <c r="H657" s="72" t="s">
        <v>219</v>
      </c>
      <c r="I657" s="72" t="s">
        <v>61</v>
      </c>
      <c r="J657" t="str">
        <f t="shared" si="24"/>
        <v>Skokomish River</v>
      </c>
      <c r="K657" t="str">
        <f>IFERROR(VLOOKUP(J657,LUTs!$A$1:$C$73,2,FALSE),"NA")</f>
        <v>Mason</v>
      </c>
      <c r="L657" t="str">
        <f>IFERROR(VLOOKUP(J657,LUTs!$A$1:$C$73,3,FALSE),"NA")</f>
        <v>4 Hood Canal</v>
      </c>
      <c r="M657" s="72" t="s">
        <v>22</v>
      </c>
      <c r="N657" t="str">
        <f>VLOOKUP(M657,LUTs!E$2:H$14,3,)</f>
        <v>09Mason</v>
      </c>
      <c r="O657" t="str">
        <f>VLOOKUP(M657,LUTs!E$2:H$14,4,)</f>
        <v>02South Puget Sound</v>
      </c>
      <c r="P657" s="73">
        <v>704.46153846153902</v>
      </c>
      <c r="Q657" s="74">
        <f>VLOOKUP(B657,Readme!A$40:C$51,2,)*P657</f>
        <v>2423.3476923076942</v>
      </c>
    </row>
    <row r="658" spans="1:17" ht="12" customHeight="1" x14ac:dyDescent="0.35">
      <c r="A658" s="75">
        <v>657</v>
      </c>
      <c r="B658" s="64">
        <v>2011</v>
      </c>
      <c r="C658" s="64">
        <v>9</v>
      </c>
      <c r="D658" s="80">
        <f t="shared" si="23"/>
        <v>2011</v>
      </c>
      <c r="E658" t="s">
        <v>38</v>
      </c>
      <c r="F658" t="s">
        <v>143</v>
      </c>
      <c r="G658" t="s">
        <v>10</v>
      </c>
      <c r="H658" s="72" t="s">
        <v>219</v>
      </c>
      <c r="I658" s="72" t="s">
        <v>61</v>
      </c>
      <c r="J658" t="str">
        <f t="shared" si="24"/>
        <v>Skokomish River</v>
      </c>
      <c r="K658" t="str">
        <f>IFERROR(VLOOKUP(J658,LUTs!$A$1:$C$73,2,FALSE),"NA")</f>
        <v>Mason</v>
      </c>
      <c r="L658" t="str">
        <f>IFERROR(VLOOKUP(J658,LUTs!$A$1:$C$73,3,FALSE),"NA")</f>
        <v>4 Hood Canal</v>
      </c>
      <c r="M658" s="72" t="s">
        <v>26</v>
      </c>
      <c r="N658" t="str">
        <f>VLOOKUP(M658,LUTs!E$2:H$14,3,)</f>
        <v>20Other</v>
      </c>
      <c r="O658" t="str">
        <f>VLOOKUP(M658,LUTs!E$2:H$14,4,)</f>
        <v>07Non Puget Sound</v>
      </c>
      <c r="P658" s="73">
        <v>185.38461538461499</v>
      </c>
      <c r="Q658" s="74">
        <f>VLOOKUP(B658,Readme!A$40:C$51,2,)*P658</f>
        <v>637.7230769230755</v>
      </c>
    </row>
    <row r="659" spans="1:17" ht="12" customHeight="1" x14ac:dyDescent="0.35">
      <c r="A659" s="75">
        <v>658</v>
      </c>
      <c r="B659" s="64">
        <v>2011</v>
      </c>
      <c r="C659" s="64">
        <v>9</v>
      </c>
      <c r="D659" s="80">
        <f t="shared" si="23"/>
        <v>2011</v>
      </c>
      <c r="E659" t="s">
        <v>38</v>
      </c>
      <c r="F659" t="s">
        <v>143</v>
      </c>
      <c r="G659" t="s">
        <v>10</v>
      </c>
      <c r="H659" s="72" t="s">
        <v>219</v>
      </c>
      <c r="I659" s="72" t="s">
        <v>61</v>
      </c>
      <c r="J659" t="str">
        <f t="shared" si="24"/>
        <v>Skokomish River</v>
      </c>
      <c r="K659" t="str">
        <f>IFERROR(VLOOKUP(J659,LUTs!$A$1:$C$73,2,FALSE),"NA")</f>
        <v>Mason</v>
      </c>
      <c r="L659" t="str">
        <f>IFERROR(VLOOKUP(J659,LUTs!$A$1:$C$73,3,FALSE),"NA")</f>
        <v>4 Hood Canal</v>
      </c>
      <c r="M659" s="72" t="s">
        <v>20</v>
      </c>
      <c r="N659" t="str">
        <f>VLOOKUP(M659,LUTs!E$2:H$14,3,)</f>
        <v>07Pierce</v>
      </c>
      <c r="O659" t="str">
        <f>VLOOKUP(M659,LUTs!E$2:H$14,4,)</f>
        <v>02South Puget Sound</v>
      </c>
      <c r="P659" s="73">
        <v>207.630769230769</v>
      </c>
      <c r="Q659" s="74">
        <f>VLOOKUP(B659,Readme!A$40:C$51,2,)*P659</f>
        <v>714.2498461538454</v>
      </c>
    </row>
    <row r="660" spans="1:17" ht="12" customHeight="1" x14ac:dyDescent="0.35">
      <c r="A660" s="75">
        <v>659</v>
      </c>
      <c r="B660" s="64">
        <v>2011</v>
      </c>
      <c r="C660" s="64">
        <v>9</v>
      </c>
      <c r="D660" s="80">
        <f t="shared" si="23"/>
        <v>2011</v>
      </c>
      <c r="E660" t="s">
        <v>38</v>
      </c>
      <c r="F660" t="s">
        <v>143</v>
      </c>
      <c r="G660" t="s">
        <v>10</v>
      </c>
      <c r="H660" s="72" t="s">
        <v>219</v>
      </c>
      <c r="I660" s="72" t="s">
        <v>61</v>
      </c>
      <c r="J660" t="str">
        <f t="shared" si="24"/>
        <v>Skokomish River</v>
      </c>
      <c r="K660" t="str">
        <f>IFERROR(VLOOKUP(J660,LUTs!$A$1:$C$73,2,FALSE),"NA")</f>
        <v>Mason</v>
      </c>
      <c r="L660" t="str">
        <f>IFERROR(VLOOKUP(J660,LUTs!$A$1:$C$73,3,FALSE),"NA")</f>
        <v>4 Hood Canal</v>
      </c>
      <c r="M660" s="72" t="s">
        <v>16</v>
      </c>
      <c r="N660" t="str">
        <f>VLOOKUP(M660,LUTs!E$2:H$14,3,)</f>
        <v>03Snohomish</v>
      </c>
      <c r="O660" t="str">
        <f>VLOOKUP(M660,LUTs!E$2:H$14,4,)</f>
        <v>01North Puget Sound</v>
      </c>
      <c r="P660" s="73">
        <v>29.661538461538498</v>
      </c>
      <c r="Q660" s="74">
        <f>VLOOKUP(B660,Readme!A$40:C$51,2,)*P660</f>
        <v>102.03569230769243</v>
      </c>
    </row>
    <row r="661" spans="1:17" ht="12" customHeight="1" x14ac:dyDescent="0.35">
      <c r="A661" s="75">
        <v>660</v>
      </c>
      <c r="B661" s="64">
        <v>2011</v>
      </c>
      <c r="C661" s="64">
        <v>9</v>
      </c>
      <c r="D661" s="80">
        <f t="shared" si="23"/>
        <v>2011</v>
      </c>
      <c r="E661" t="s">
        <v>38</v>
      </c>
      <c r="F661" t="s">
        <v>143</v>
      </c>
      <c r="G661" t="s">
        <v>10</v>
      </c>
      <c r="H661" s="72" t="s">
        <v>219</v>
      </c>
      <c r="I661" s="72" t="s">
        <v>61</v>
      </c>
      <c r="J661" t="str">
        <f t="shared" si="24"/>
        <v>Skokomish River</v>
      </c>
      <c r="K661" t="str">
        <f>IFERROR(VLOOKUP(J661,LUTs!$A$1:$C$73,2,FALSE),"NA")</f>
        <v>Mason</v>
      </c>
      <c r="L661" t="str">
        <f>IFERROR(VLOOKUP(J661,LUTs!$A$1:$C$73,3,FALSE),"NA")</f>
        <v>4 Hood Canal</v>
      </c>
      <c r="M661" s="72" t="s">
        <v>21</v>
      </c>
      <c r="N661" t="str">
        <f>VLOOKUP(M661,LUTs!E$2:H$14,3,)</f>
        <v>08Thurston</v>
      </c>
      <c r="O661" t="str">
        <f>VLOOKUP(M661,LUTs!E$2:H$14,4,)</f>
        <v>02South Puget Sound</v>
      </c>
      <c r="P661" s="73">
        <v>548.73846153846205</v>
      </c>
      <c r="Q661" s="74">
        <f>VLOOKUP(B661,Readme!A$40:C$51,2,)*P661</f>
        <v>1887.6603076923095</v>
      </c>
    </row>
    <row r="662" spans="1:17" ht="12" customHeight="1" x14ac:dyDescent="0.35">
      <c r="A662" s="75">
        <v>661</v>
      </c>
      <c r="B662" s="64">
        <v>2011</v>
      </c>
      <c r="C662" s="64">
        <v>9</v>
      </c>
      <c r="D662" s="80">
        <f t="shared" si="23"/>
        <v>2011</v>
      </c>
      <c r="E662" t="s">
        <v>38</v>
      </c>
      <c r="F662" t="s">
        <v>143</v>
      </c>
      <c r="G662" t="s">
        <v>10</v>
      </c>
      <c r="H662" s="72" t="s">
        <v>219</v>
      </c>
      <c r="I662" s="72" t="s">
        <v>61</v>
      </c>
      <c r="J662" t="str">
        <f t="shared" si="24"/>
        <v>Skokomish River</v>
      </c>
      <c r="K662" t="str">
        <f>IFERROR(VLOOKUP(J662,LUTs!$A$1:$C$73,2,FALSE),"NA")</f>
        <v>Mason</v>
      </c>
      <c r="L662" t="str">
        <f>IFERROR(VLOOKUP(J662,LUTs!$A$1:$C$73,3,FALSE),"NA")</f>
        <v>4 Hood Canal</v>
      </c>
      <c r="M662" s="72" t="s">
        <v>13</v>
      </c>
      <c r="N662" t="str">
        <f>VLOOKUP(M662,LUTs!E$2:H$14,3,)</f>
        <v>01Whatcom</v>
      </c>
      <c r="O662" t="str">
        <f>VLOOKUP(M662,LUTs!E$2:H$14,4,)</f>
        <v>01North Puget Sound</v>
      </c>
      <c r="P662" s="73">
        <v>29.661538461538498</v>
      </c>
      <c r="Q662" s="74">
        <f>VLOOKUP(B662,Readme!A$40:C$51,2,)*P662</f>
        <v>102.03569230769243</v>
      </c>
    </row>
    <row r="663" spans="1:17" ht="12" customHeight="1" x14ac:dyDescent="0.35">
      <c r="A663" s="75">
        <v>662</v>
      </c>
      <c r="B663" s="64">
        <v>2011</v>
      </c>
      <c r="C663" s="64">
        <v>10</v>
      </c>
      <c r="D663" s="80">
        <f t="shared" si="23"/>
        <v>2011</v>
      </c>
      <c r="E663" t="s">
        <v>38</v>
      </c>
      <c r="F663" t="s">
        <v>143</v>
      </c>
      <c r="G663" t="s">
        <v>10</v>
      </c>
      <c r="H663" s="72" t="s">
        <v>219</v>
      </c>
      <c r="I663" s="72" t="s">
        <v>61</v>
      </c>
      <c r="J663" t="str">
        <f t="shared" si="24"/>
        <v>Skokomish River</v>
      </c>
      <c r="K663" t="str">
        <f>IFERROR(VLOOKUP(J663,LUTs!$A$1:$C$73,2,FALSE),"NA")</f>
        <v>Mason</v>
      </c>
      <c r="L663" t="str">
        <f>IFERROR(VLOOKUP(J663,LUTs!$A$1:$C$73,3,FALSE),"NA")</f>
        <v>4 Hood Canal</v>
      </c>
      <c r="M663" s="72" t="s">
        <v>18</v>
      </c>
      <c r="N663" t="str">
        <f>VLOOKUP(M663,LUTs!E$2:H$14,3,)</f>
        <v>06King</v>
      </c>
      <c r="O663" t="str">
        <f>VLOOKUP(M663,LUTs!E$2:H$14,4,)</f>
        <v>02South Puget Sound</v>
      </c>
      <c r="P663" s="73">
        <v>247.17105263157899</v>
      </c>
      <c r="Q663" s="74">
        <f>VLOOKUP(B663,Readme!A$40:C$51,2,)*P663</f>
        <v>850.26842105263165</v>
      </c>
    </row>
    <row r="664" spans="1:17" ht="12" customHeight="1" x14ac:dyDescent="0.35">
      <c r="A664" s="75">
        <v>663</v>
      </c>
      <c r="B664" s="64">
        <v>2011</v>
      </c>
      <c r="C664" s="64">
        <v>10</v>
      </c>
      <c r="D664" s="80">
        <f t="shared" si="23"/>
        <v>2011</v>
      </c>
      <c r="E664" t="s">
        <v>38</v>
      </c>
      <c r="F664" t="s">
        <v>143</v>
      </c>
      <c r="G664" t="s">
        <v>10</v>
      </c>
      <c r="H664" s="72" t="s">
        <v>219</v>
      </c>
      <c r="I664" s="72" t="s">
        <v>61</v>
      </c>
      <c r="J664" t="str">
        <f t="shared" si="24"/>
        <v>Skokomish River</v>
      </c>
      <c r="K664" t="str">
        <f>IFERROR(VLOOKUP(J664,LUTs!$A$1:$C$73,2,FALSE),"NA")</f>
        <v>Mason</v>
      </c>
      <c r="L664" t="str">
        <f>IFERROR(VLOOKUP(J664,LUTs!$A$1:$C$73,3,FALSE),"NA")</f>
        <v>4 Hood Canal</v>
      </c>
      <c r="M664" s="72" t="s">
        <v>23</v>
      </c>
      <c r="N664" t="str">
        <f>VLOOKUP(M664,LUTs!E$2:H$14,3,)</f>
        <v>10Kitsap</v>
      </c>
      <c r="O664" t="str">
        <f>VLOOKUP(M664,LUTs!E$2:H$14,4,)</f>
        <v>02South Puget Sound</v>
      </c>
      <c r="P664" s="73">
        <v>218.092105263158</v>
      </c>
      <c r="Q664" s="74">
        <f>VLOOKUP(B664,Readme!A$40:C$51,2,)*P664</f>
        <v>750.23684210526358</v>
      </c>
    </row>
    <row r="665" spans="1:17" ht="12" customHeight="1" x14ac:dyDescent="0.35">
      <c r="A665" s="75">
        <v>664</v>
      </c>
      <c r="B665" s="64">
        <v>2011</v>
      </c>
      <c r="C665" s="64">
        <v>10</v>
      </c>
      <c r="D665" s="80">
        <f t="shared" si="23"/>
        <v>2011</v>
      </c>
      <c r="E665" t="s">
        <v>38</v>
      </c>
      <c r="F665" t="s">
        <v>143</v>
      </c>
      <c r="G665" t="s">
        <v>10</v>
      </c>
      <c r="H665" s="72" t="s">
        <v>219</v>
      </c>
      <c r="I665" s="72" t="s">
        <v>61</v>
      </c>
      <c r="J665" t="str">
        <f t="shared" si="24"/>
        <v>Skokomish River</v>
      </c>
      <c r="K665" t="str">
        <f>IFERROR(VLOOKUP(J665,LUTs!$A$1:$C$73,2,FALSE),"NA")</f>
        <v>Mason</v>
      </c>
      <c r="L665" t="str">
        <f>IFERROR(VLOOKUP(J665,LUTs!$A$1:$C$73,3,FALSE),"NA")</f>
        <v>4 Hood Canal</v>
      </c>
      <c r="M665" s="72" t="s">
        <v>22</v>
      </c>
      <c r="N665" t="str">
        <f>VLOOKUP(M665,LUTs!E$2:H$14,3,)</f>
        <v>09Mason</v>
      </c>
      <c r="O665" t="str">
        <f>VLOOKUP(M665,LUTs!E$2:H$14,4,)</f>
        <v>02South Puget Sound</v>
      </c>
      <c r="P665" s="73">
        <v>196.282894736842</v>
      </c>
      <c r="Q665" s="74">
        <f>VLOOKUP(B665,Readme!A$40:C$51,2,)*P665</f>
        <v>675.21315789473647</v>
      </c>
    </row>
    <row r="666" spans="1:17" ht="12" customHeight="1" x14ac:dyDescent="0.35">
      <c r="A666" s="75">
        <v>665</v>
      </c>
      <c r="B666" s="64">
        <v>2011</v>
      </c>
      <c r="C666" s="64">
        <v>10</v>
      </c>
      <c r="D666" s="80">
        <f t="shared" si="23"/>
        <v>2011</v>
      </c>
      <c r="E666" t="s">
        <v>38</v>
      </c>
      <c r="F666" t="s">
        <v>143</v>
      </c>
      <c r="G666" t="s">
        <v>10</v>
      </c>
      <c r="H666" s="72" t="s">
        <v>219</v>
      </c>
      <c r="I666" s="72" t="s">
        <v>61</v>
      </c>
      <c r="J666" t="str">
        <f t="shared" si="24"/>
        <v>Skokomish River</v>
      </c>
      <c r="K666" t="str">
        <f>IFERROR(VLOOKUP(J666,LUTs!$A$1:$C$73,2,FALSE),"NA")</f>
        <v>Mason</v>
      </c>
      <c r="L666" t="str">
        <f>IFERROR(VLOOKUP(J666,LUTs!$A$1:$C$73,3,FALSE),"NA")</f>
        <v>4 Hood Canal</v>
      </c>
      <c r="M666" s="72" t="s">
        <v>26</v>
      </c>
      <c r="N666" t="str">
        <f>VLOOKUP(M666,LUTs!E$2:H$14,3,)</f>
        <v>20Other</v>
      </c>
      <c r="O666" t="str">
        <f>VLOOKUP(M666,LUTs!E$2:H$14,4,)</f>
        <v>07Non Puget Sound</v>
      </c>
      <c r="P666" s="73">
        <v>159.93421052631601</v>
      </c>
      <c r="Q666" s="74">
        <f>VLOOKUP(B666,Readme!A$40:C$51,2,)*P666</f>
        <v>550.17368421052709</v>
      </c>
    </row>
    <row r="667" spans="1:17" ht="12" customHeight="1" x14ac:dyDescent="0.35">
      <c r="A667" s="75">
        <v>666</v>
      </c>
      <c r="B667" s="64">
        <v>2011</v>
      </c>
      <c r="C667" s="64">
        <v>10</v>
      </c>
      <c r="D667" s="80">
        <f t="shared" si="23"/>
        <v>2011</v>
      </c>
      <c r="E667" t="s">
        <v>38</v>
      </c>
      <c r="F667" t="s">
        <v>143</v>
      </c>
      <c r="G667" t="s">
        <v>10</v>
      </c>
      <c r="H667" s="72" t="s">
        <v>219</v>
      </c>
      <c r="I667" s="72" t="s">
        <v>61</v>
      </c>
      <c r="J667" t="str">
        <f t="shared" si="24"/>
        <v>Skokomish River</v>
      </c>
      <c r="K667" t="str">
        <f>IFERROR(VLOOKUP(J667,LUTs!$A$1:$C$73,2,FALSE),"NA")</f>
        <v>Mason</v>
      </c>
      <c r="L667" t="str">
        <f>IFERROR(VLOOKUP(J667,LUTs!$A$1:$C$73,3,FALSE),"NA")</f>
        <v>4 Hood Canal</v>
      </c>
      <c r="M667" s="72" t="s">
        <v>20</v>
      </c>
      <c r="N667" t="str">
        <f>VLOOKUP(M667,LUTs!E$2:H$14,3,)</f>
        <v>07Pierce</v>
      </c>
      <c r="O667" t="str">
        <f>VLOOKUP(M667,LUTs!E$2:H$14,4,)</f>
        <v>02South Puget Sound</v>
      </c>
      <c r="P667" s="73">
        <v>101.776315789474</v>
      </c>
      <c r="Q667" s="74">
        <f>VLOOKUP(B667,Readme!A$40:C$51,2,)*P667</f>
        <v>350.11052631579054</v>
      </c>
    </row>
    <row r="668" spans="1:17" ht="12" customHeight="1" x14ac:dyDescent="0.35">
      <c r="A668" s="75">
        <v>667</v>
      </c>
      <c r="B668" s="64">
        <v>2011</v>
      </c>
      <c r="C668" s="64">
        <v>10</v>
      </c>
      <c r="D668" s="80">
        <f t="shared" si="23"/>
        <v>2011</v>
      </c>
      <c r="E668" t="s">
        <v>38</v>
      </c>
      <c r="F668" t="s">
        <v>143</v>
      </c>
      <c r="G668" t="s">
        <v>10</v>
      </c>
      <c r="H668" s="72" t="s">
        <v>219</v>
      </c>
      <c r="I668" s="72" t="s">
        <v>61</v>
      </c>
      <c r="J668" t="str">
        <f t="shared" si="24"/>
        <v>Skokomish River</v>
      </c>
      <c r="K668" t="str">
        <f>IFERROR(VLOOKUP(J668,LUTs!$A$1:$C$73,2,FALSE),"NA")</f>
        <v>Mason</v>
      </c>
      <c r="L668" t="str">
        <f>IFERROR(VLOOKUP(J668,LUTs!$A$1:$C$73,3,FALSE),"NA")</f>
        <v>4 Hood Canal</v>
      </c>
      <c r="M668" s="72" t="s">
        <v>16</v>
      </c>
      <c r="N668" t="str">
        <f>VLOOKUP(M668,LUTs!E$2:H$14,3,)</f>
        <v>03Snohomish</v>
      </c>
      <c r="O668" t="str">
        <f>VLOOKUP(M668,LUTs!E$2:H$14,4,)</f>
        <v>01North Puget Sound</v>
      </c>
      <c r="P668" s="73">
        <v>79.967105263157904</v>
      </c>
      <c r="Q668" s="74">
        <f>VLOOKUP(B668,Readme!A$40:C$51,2,)*P668</f>
        <v>275.0868421052632</v>
      </c>
    </row>
    <row r="669" spans="1:17" ht="12" customHeight="1" x14ac:dyDescent="0.35">
      <c r="A669" s="75">
        <v>668</v>
      </c>
      <c r="B669" s="64">
        <v>2011</v>
      </c>
      <c r="C669" s="64">
        <v>10</v>
      </c>
      <c r="D669" s="80">
        <f t="shared" si="23"/>
        <v>2011</v>
      </c>
      <c r="E669" t="s">
        <v>38</v>
      </c>
      <c r="F669" t="s">
        <v>143</v>
      </c>
      <c r="G669" t="s">
        <v>10</v>
      </c>
      <c r="H669" s="72" t="s">
        <v>219</v>
      </c>
      <c r="I669" s="72" t="s">
        <v>61</v>
      </c>
      <c r="J669" t="str">
        <f t="shared" si="24"/>
        <v>Skokomish River</v>
      </c>
      <c r="K669" t="str">
        <f>IFERROR(VLOOKUP(J669,LUTs!$A$1:$C$73,2,FALSE),"NA")</f>
        <v>Mason</v>
      </c>
      <c r="L669" t="str">
        <f>IFERROR(VLOOKUP(J669,LUTs!$A$1:$C$73,3,FALSE),"NA")</f>
        <v>4 Hood Canal</v>
      </c>
      <c r="M669" s="72" t="s">
        <v>21</v>
      </c>
      <c r="N669" t="str">
        <f>VLOOKUP(M669,LUTs!E$2:H$14,3,)</f>
        <v>08Thurston</v>
      </c>
      <c r="O669" t="str">
        <f>VLOOKUP(M669,LUTs!E$2:H$14,4,)</f>
        <v>02South Puget Sound</v>
      </c>
      <c r="P669" s="73">
        <v>101.776315789474</v>
      </c>
      <c r="Q669" s="74">
        <f>VLOOKUP(B669,Readme!A$40:C$51,2,)*P669</f>
        <v>350.11052631579054</v>
      </c>
    </row>
    <row r="670" spans="1:17" ht="12" customHeight="1" x14ac:dyDescent="0.35">
      <c r="A670" s="75">
        <v>669</v>
      </c>
      <c r="B670" s="64">
        <v>2011</v>
      </c>
      <c r="C670" s="64">
        <v>11</v>
      </c>
      <c r="D670" s="80">
        <f t="shared" si="23"/>
        <v>2011</v>
      </c>
      <c r="E670" t="s">
        <v>38</v>
      </c>
      <c r="F670" t="s">
        <v>143</v>
      </c>
      <c r="G670" t="s">
        <v>10</v>
      </c>
      <c r="H670" s="72" t="s">
        <v>219</v>
      </c>
      <c r="I670" s="72" t="s">
        <v>61</v>
      </c>
      <c r="J670" t="str">
        <f t="shared" si="24"/>
        <v>Skokomish River</v>
      </c>
      <c r="K670" t="str">
        <f>IFERROR(VLOOKUP(J670,LUTs!$A$1:$C$73,2,FALSE),"NA")</f>
        <v>Mason</v>
      </c>
      <c r="L670" t="str">
        <f>IFERROR(VLOOKUP(J670,LUTs!$A$1:$C$73,3,FALSE),"NA")</f>
        <v>4 Hood Canal</v>
      </c>
      <c r="M670" s="72" t="s">
        <v>18</v>
      </c>
      <c r="N670" t="str">
        <f>VLOOKUP(M670,LUTs!E$2:H$14,3,)</f>
        <v>06King</v>
      </c>
      <c r="O670" t="str">
        <f>VLOOKUP(M670,LUTs!E$2:H$14,4,)</f>
        <v>02South Puget Sound</v>
      </c>
      <c r="P670" s="73">
        <v>700.47328244274797</v>
      </c>
      <c r="Q670" s="74">
        <f>VLOOKUP(B670,Readme!A$40:C$51,2,)*P670</f>
        <v>2409.6280916030528</v>
      </c>
    </row>
    <row r="671" spans="1:17" ht="12" customHeight="1" x14ac:dyDescent="0.35">
      <c r="A671" s="75">
        <v>670</v>
      </c>
      <c r="B671" s="64">
        <v>2011</v>
      </c>
      <c r="C671" s="64">
        <v>11</v>
      </c>
      <c r="D671" s="80">
        <f t="shared" si="23"/>
        <v>2011</v>
      </c>
      <c r="E671" t="s">
        <v>38</v>
      </c>
      <c r="F671" t="s">
        <v>143</v>
      </c>
      <c r="G671" t="s">
        <v>10</v>
      </c>
      <c r="H671" s="72" t="s">
        <v>219</v>
      </c>
      <c r="I671" s="72" t="s">
        <v>61</v>
      </c>
      <c r="J671" t="str">
        <f t="shared" si="24"/>
        <v>Skokomish River</v>
      </c>
      <c r="K671" t="str">
        <f>IFERROR(VLOOKUP(J671,LUTs!$A$1:$C$73,2,FALSE),"NA")</f>
        <v>Mason</v>
      </c>
      <c r="L671" t="str">
        <f>IFERROR(VLOOKUP(J671,LUTs!$A$1:$C$73,3,FALSE),"NA")</f>
        <v>4 Hood Canal</v>
      </c>
      <c r="M671" s="72" t="s">
        <v>23</v>
      </c>
      <c r="N671" t="str">
        <f>VLOOKUP(M671,LUTs!E$2:H$14,3,)</f>
        <v>10Kitsap</v>
      </c>
      <c r="O671" t="str">
        <f>VLOOKUP(M671,LUTs!E$2:H$14,4,)</f>
        <v>02South Puget Sound</v>
      </c>
      <c r="P671" s="73">
        <v>281.63358778626002</v>
      </c>
      <c r="Q671" s="74">
        <f>VLOOKUP(B671,Readme!A$40:C$51,2,)*P671</f>
        <v>968.81954198473443</v>
      </c>
    </row>
    <row r="672" spans="1:17" ht="12" customHeight="1" x14ac:dyDescent="0.35">
      <c r="A672" s="75">
        <v>671</v>
      </c>
      <c r="B672" s="64">
        <v>2011</v>
      </c>
      <c r="C672" s="64">
        <v>11</v>
      </c>
      <c r="D672" s="80">
        <f t="shared" si="23"/>
        <v>2011</v>
      </c>
      <c r="E672" t="s">
        <v>38</v>
      </c>
      <c r="F672" t="s">
        <v>143</v>
      </c>
      <c r="G672" t="s">
        <v>10</v>
      </c>
      <c r="H672" s="72" t="s">
        <v>219</v>
      </c>
      <c r="I672" s="72" t="s">
        <v>61</v>
      </c>
      <c r="J672" t="str">
        <f t="shared" si="24"/>
        <v>Skokomish River</v>
      </c>
      <c r="K672" t="str">
        <f>IFERROR(VLOOKUP(J672,LUTs!$A$1:$C$73,2,FALSE),"NA")</f>
        <v>Mason</v>
      </c>
      <c r="L672" t="str">
        <f>IFERROR(VLOOKUP(J672,LUTs!$A$1:$C$73,3,FALSE),"NA")</f>
        <v>4 Hood Canal</v>
      </c>
      <c r="M672" s="72" t="s">
        <v>22</v>
      </c>
      <c r="N672" t="str">
        <f>VLOOKUP(M672,LUTs!E$2:H$14,3,)</f>
        <v>09Mason</v>
      </c>
      <c r="O672" t="str">
        <f>VLOOKUP(M672,LUTs!E$2:H$14,4,)</f>
        <v>02South Puget Sound</v>
      </c>
      <c r="P672" s="73">
        <v>202.19847328244299</v>
      </c>
      <c r="Q672" s="74">
        <f>VLOOKUP(B672,Readme!A$40:C$51,2,)*P672</f>
        <v>695.56274809160391</v>
      </c>
    </row>
    <row r="673" spans="1:17" ht="12" customHeight="1" x14ac:dyDescent="0.35">
      <c r="A673" s="75">
        <v>672</v>
      </c>
      <c r="B673" s="64">
        <v>2011</v>
      </c>
      <c r="C673" s="64">
        <v>11</v>
      </c>
      <c r="D673" s="80">
        <f t="shared" si="23"/>
        <v>2011</v>
      </c>
      <c r="E673" t="s">
        <v>38</v>
      </c>
      <c r="F673" t="s">
        <v>143</v>
      </c>
      <c r="G673" t="s">
        <v>10</v>
      </c>
      <c r="H673" s="72" t="s">
        <v>219</v>
      </c>
      <c r="I673" s="72" t="s">
        <v>61</v>
      </c>
      <c r="J673" t="str">
        <f t="shared" si="24"/>
        <v>Skokomish River</v>
      </c>
      <c r="K673" t="str">
        <f>IFERROR(VLOOKUP(J673,LUTs!$A$1:$C$73,2,FALSE),"NA")</f>
        <v>Mason</v>
      </c>
      <c r="L673" t="str">
        <f>IFERROR(VLOOKUP(J673,LUTs!$A$1:$C$73,3,FALSE),"NA")</f>
        <v>4 Hood Canal</v>
      </c>
      <c r="M673" s="72" t="s">
        <v>26</v>
      </c>
      <c r="N673" t="str">
        <f>VLOOKUP(M673,LUTs!E$2:H$14,3,)</f>
        <v>20Other</v>
      </c>
      <c r="O673" t="str">
        <f>VLOOKUP(M673,LUTs!E$2:H$14,4,)</f>
        <v>07Non Puget Sound</v>
      </c>
      <c r="P673" s="73">
        <v>151.648854961832</v>
      </c>
      <c r="Q673" s="74">
        <f>VLOOKUP(B673,Readme!A$40:C$51,2,)*P673</f>
        <v>521.67206106870208</v>
      </c>
    </row>
    <row r="674" spans="1:17" ht="12" customHeight="1" x14ac:dyDescent="0.35">
      <c r="A674" s="75">
        <v>673</v>
      </c>
      <c r="B674" s="64">
        <v>2011</v>
      </c>
      <c r="C674" s="64">
        <v>11</v>
      </c>
      <c r="D674" s="80">
        <f t="shared" si="23"/>
        <v>2011</v>
      </c>
      <c r="E674" t="s">
        <v>38</v>
      </c>
      <c r="F674" t="s">
        <v>143</v>
      </c>
      <c r="G674" t="s">
        <v>10</v>
      </c>
      <c r="H674" s="72" t="s">
        <v>219</v>
      </c>
      <c r="I674" s="72" t="s">
        <v>61</v>
      </c>
      <c r="J674" t="str">
        <f t="shared" si="24"/>
        <v>Skokomish River</v>
      </c>
      <c r="K674" t="str">
        <f>IFERROR(VLOOKUP(J674,LUTs!$A$1:$C$73,2,FALSE),"NA")</f>
        <v>Mason</v>
      </c>
      <c r="L674" t="str">
        <f>IFERROR(VLOOKUP(J674,LUTs!$A$1:$C$73,3,FALSE),"NA")</f>
        <v>4 Hood Canal</v>
      </c>
      <c r="M674" s="72" t="s">
        <v>20</v>
      </c>
      <c r="N674" t="str">
        <f>VLOOKUP(M674,LUTs!E$2:H$14,3,)</f>
        <v>07Pierce</v>
      </c>
      <c r="O674" t="str">
        <f>VLOOKUP(M674,LUTs!E$2:H$14,4,)</f>
        <v>02South Puget Sound</v>
      </c>
      <c r="P674" s="73">
        <v>202.19847328244299</v>
      </c>
      <c r="Q674" s="74">
        <f>VLOOKUP(B674,Readme!A$40:C$51,2,)*P674</f>
        <v>695.56274809160391</v>
      </c>
    </row>
    <row r="675" spans="1:17" ht="12" customHeight="1" x14ac:dyDescent="0.35">
      <c r="A675" s="75">
        <v>674</v>
      </c>
      <c r="B675" s="64">
        <v>2011</v>
      </c>
      <c r="C675" s="64">
        <v>11</v>
      </c>
      <c r="D675" s="80">
        <f t="shared" si="23"/>
        <v>2011</v>
      </c>
      <c r="E675" t="s">
        <v>38</v>
      </c>
      <c r="F675" t="s">
        <v>143</v>
      </c>
      <c r="G675" t="s">
        <v>10</v>
      </c>
      <c r="H675" s="72" t="s">
        <v>219</v>
      </c>
      <c r="I675" s="72" t="s">
        <v>61</v>
      </c>
      <c r="J675" t="str">
        <f t="shared" si="24"/>
        <v>Skokomish River</v>
      </c>
      <c r="K675" t="str">
        <f>IFERROR(VLOOKUP(J675,LUTs!$A$1:$C$73,2,FALSE),"NA")</f>
        <v>Mason</v>
      </c>
      <c r="L675" t="str">
        <f>IFERROR(VLOOKUP(J675,LUTs!$A$1:$C$73,3,FALSE),"NA")</f>
        <v>4 Hood Canal</v>
      </c>
      <c r="M675" s="72" t="s">
        <v>16</v>
      </c>
      <c r="N675" t="str">
        <f>VLOOKUP(M675,LUTs!E$2:H$14,3,)</f>
        <v>03Snohomish</v>
      </c>
      <c r="O675" t="str">
        <f>VLOOKUP(M675,LUTs!E$2:H$14,4,)</f>
        <v>01North Puget Sound</v>
      </c>
      <c r="P675" s="73">
        <v>57.770992366412202</v>
      </c>
      <c r="Q675" s="74">
        <f>VLOOKUP(B675,Readme!A$40:C$51,2,)*P675</f>
        <v>198.73221374045798</v>
      </c>
    </row>
    <row r="676" spans="1:17" ht="12" customHeight="1" x14ac:dyDescent="0.35">
      <c r="A676" s="75">
        <v>675</v>
      </c>
      <c r="B676" s="64">
        <v>2011</v>
      </c>
      <c r="C676" s="64">
        <v>11</v>
      </c>
      <c r="D676" s="80">
        <f t="shared" si="23"/>
        <v>2011</v>
      </c>
      <c r="E676" t="s">
        <v>38</v>
      </c>
      <c r="F676" t="s">
        <v>143</v>
      </c>
      <c r="G676" t="s">
        <v>10</v>
      </c>
      <c r="H676" s="72" t="s">
        <v>219</v>
      </c>
      <c r="I676" s="72" t="s">
        <v>61</v>
      </c>
      <c r="J676" t="str">
        <f t="shared" si="24"/>
        <v>Skokomish River</v>
      </c>
      <c r="K676" t="str">
        <f>IFERROR(VLOOKUP(J676,LUTs!$A$1:$C$73,2,FALSE),"NA")</f>
        <v>Mason</v>
      </c>
      <c r="L676" t="str">
        <f>IFERROR(VLOOKUP(J676,LUTs!$A$1:$C$73,3,FALSE),"NA")</f>
        <v>4 Hood Canal</v>
      </c>
      <c r="M676" s="72" t="s">
        <v>21</v>
      </c>
      <c r="N676" t="str">
        <f>VLOOKUP(M676,LUTs!E$2:H$14,3,)</f>
        <v>08Thurston</v>
      </c>
      <c r="O676" t="str">
        <f>VLOOKUP(M676,LUTs!E$2:H$14,4,)</f>
        <v>02South Puget Sound</v>
      </c>
      <c r="P676" s="73">
        <v>296.07633587786302</v>
      </c>
      <c r="Q676" s="74">
        <f>VLOOKUP(B676,Readme!A$40:C$51,2,)*P676</f>
        <v>1018.5025954198487</v>
      </c>
    </row>
    <row r="677" spans="1:17" ht="12" customHeight="1" x14ac:dyDescent="0.35">
      <c r="A677" s="75">
        <v>676</v>
      </c>
      <c r="B677" s="64">
        <v>2011</v>
      </c>
      <c r="C677" s="64">
        <v>9</v>
      </c>
      <c r="D677" s="80">
        <f t="shared" si="23"/>
        <v>2011</v>
      </c>
      <c r="E677" t="s">
        <v>38</v>
      </c>
      <c r="F677" t="s">
        <v>143</v>
      </c>
      <c r="G677" t="s">
        <v>10</v>
      </c>
      <c r="H677" s="72" t="s">
        <v>228</v>
      </c>
      <c r="I677" s="72" t="s">
        <v>70</v>
      </c>
      <c r="J677" t="str">
        <f t="shared" si="24"/>
        <v>Pilchuck River (Snohomish System)</v>
      </c>
      <c r="K677" t="str">
        <f>IFERROR(VLOOKUP(J677,LUTs!$A$1:$C$73,2,FALSE),"NA")</f>
        <v>Snohomish</v>
      </c>
      <c r="L677" t="str">
        <f>IFERROR(VLOOKUP(J677,LUTs!$A$1:$C$73,3,FALSE),"NA")</f>
        <v>2Central Puget Sound</v>
      </c>
      <c r="M677" s="72" t="s">
        <v>18</v>
      </c>
      <c r="N677" t="str">
        <f>VLOOKUP(M677,LUTs!E$2:H$14,3,)</f>
        <v>06King</v>
      </c>
      <c r="O677" t="str">
        <f>VLOOKUP(M677,LUTs!E$2:H$14,4,)</f>
        <v>02South Puget Sound</v>
      </c>
      <c r="P677" s="73">
        <v>4</v>
      </c>
      <c r="Q677" s="74">
        <f>VLOOKUP(B677,Readme!A$40:C$51,2,)*P677</f>
        <v>13.76</v>
      </c>
    </row>
    <row r="678" spans="1:17" ht="12" customHeight="1" x14ac:dyDescent="0.35">
      <c r="A678" s="75">
        <v>677</v>
      </c>
      <c r="B678" s="64">
        <v>2011</v>
      </c>
      <c r="C678" s="64">
        <v>9</v>
      </c>
      <c r="D678" s="80">
        <f t="shared" si="23"/>
        <v>2011</v>
      </c>
      <c r="E678" t="s">
        <v>38</v>
      </c>
      <c r="F678" t="s">
        <v>143</v>
      </c>
      <c r="G678" t="s">
        <v>10</v>
      </c>
      <c r="H678" s="72" t="s">
        <v>228</v>
      </c>
      <c r="I678" s="72" t="s">
        <v>70</v>
      </c>
      <c r="J678" t="str">
        <f t="shared" si="24"/>
        <v>Pilchuck River (Snohomish System)</v>
      </c>
      <c r="K678" t="str">
        <f>IFERROR(VLOOKUP(J678,LUTs!$A$1:$C$73,2,FALSE),"NA")</f>
        <v>Snohomish</v>
      </c>
      <c r="L678" t="str">
        <f>IFERROR(VLOOKUP(J678,LUTs!$A$1:$C$73,3,FALSE),"NA")</f>
        <v>2Central Puget Sound</v>
      </c>
      <c r="M678" s="72" t="s">
        <v>16</v>
      </c>
      <c r="N678" t="str">
        <f>VLOOKUP(M678,LUTs!E$2:H$14,3,)</f>
        <v>03Snohomish</v>
      </c>
      <c r="O678" t="str">
        <f>VLOOKUP(M678,LUTs!E$2:H$14,4,)</f>
        <v>01North Puget Sound</v>
      </c>
      <c r="P678" s="73">
        <v>4</v>
      </c>
      <c r="Q678" s="74">
        <f>VLOOKUP(B678,Readme!A$40:C$51,2,)*P678</f>
        <v>13.76</v>
      </c>
    </row>
    <row r="679" spans="1:17" ht="12" customHeight="1" x14ac:dyDescent="0.35">
      <c r="A679" s="75">
        <v>678</v>
      </c>
      <c r="B679" s="64">
        <v>2011</v>
      </c>
      <c r="C679" s="64">
        <v>6</v>
      </c>
      <c r="D679" s="80">
        <f t="shared" si="23"/>
        <v>2011</v>
      </c>
      <c r="E679" t="s">
        <v>38</v>
      </c>
      <c r="F679" t="s">
        <v>143</v>
      </c>
      <c r="G679" t="s">
        <v>10</v>
      </c>
      <c r="H679" s="72" t="s">
        <v>220</v>
      </c>
      <c r="I679" s="72" t="s">
        <v>62</v>
      </c>
      <c r="J679" t="str">
        <f t="shared" si="24"/>
        <v>Skykomish River</v>
      </c>
      <c r="K679" t="str">
        <f>IFERROR(VLOOKUP(J679,LUTs!$A$1:$C$73,2,FALSE),"NA")</f>
        <v>Snohomish</v>
      </c>
      <c r="L679" t="str">
        <f>IFERROR(VLOOKUP(J679,LUTs!$A$1:$C$73,3,FALSE),"NA")</f>
        <v>2Central Puget Sound</v>
      </c>
      <c r="M679" s="72" t="s">
        <v>18</v>
      </c>
      <c r="N679" t="str">
        <f>VLOOKUP(M679,LUTs!E$2:H$14,3,)</f>
        <v>06King</v>
      </c>
      <c r="O679" t="str">
        <f>VLOOKUP(M679,LUTs!E$2:H$14,4,)</f>
        <v>02South Puget Sound</v>
      </c>
      <c r="P679" s="73">
        <v>28.75</v>
      </c>
      <c r="Q679" s="74">
        <f>VLOOKUP(B679,Readme!A$40:C$51,2,)*P679</f>
        <v>98.899999999999991</v>
      </c>
    </row>
    <row r="680" spans="1:17" ht="12" customHeight="1" x14ac:dyDescent="0.35">
      <c r="A680" s="75">
        <v>679</v>
      </c>
      <c r="B680" s="64">
        <v>2011</v>
      </c>
      <c r="C680" s="64">
        <v>6</v>
      </c>
      <c r="D680" s="80">
        <f t="shared" si="23"/>
        <v>2011</v>
      </c>
      <c r="E680" t="s">
        <v>38</v>
      </c>
      <c r="F680" t="s">
        <v>143</v>
      </c>
      <c r="G680" t="s">
        <v>10</v>
      </c>
      <c r="H680" s="72" t="s">
        <v>220</v>
      </c>
      <c r="I680" s="72" t="s">
        <v>62</v>
      </c>
      <c r="J680" t="str">
        <f t="shared" si="24"/>
        <v>Skykomish River</v>
      </c>
      <c r="K680" t="str">
        <f>IFERROR(VLOOKUP(J680,LUTs!$A$1:$C$73,2,FALSE),"NA")</f>
        <v>Snohomish</v>
      </c>
      <c r="L680" t="str">
        <f>IFERROR(VLOOKUP(J680,LUTs!$A$1:$C$73,3,FALSE),"NA")</f>
        <v>2Central Puget Sound</v>
      </c>
      <c r="M680" s="72" t="s">
        <v>26</v>
      </c>
      <c r="N680" t="str">
        <f>VLOOKUP(M680,LUTs!E$2:H$14,3,)</f>
        <v>20Other</v>
      </c>
      <c r="O680" t="str">
        <f>VLOOKUP(M680,LUTs!E$2:H$14,4,)</f>
        <v>07Non Puget Sound</v>
      </c>
      <c r="P680" s="73">
        <v>14.375</v>
      </c>
      <c r="Q680" s="74">
        <f>VLOOKUP(B680,Readme!A$40:C$51,2,)*P680</f>
        <v>49.449999999999996</v>
      </c>
    </row>
    <row r="681" spans="1:17" ht="12" customHeight="1" x14ac:dyDescent="0.35">
      <c r="A681" s="75">
        <v>680</v>
      </c>
      <c r="B681" s="64">
        <v>2011</v>
      </c>
      <c r="C681" s="64">
        <v>6</v>
      </c>
      <c r="D681" s="80">
        <f t="shared" si="23"/>
        <v>2011</v>
      </c>
      <c r="E681" t="s">
        <v>38</v>
      </c>
      <c r="F681" t="s">
        <v>143</v>
      </c>
      <c r="G681" t="s">
        <v>10</v>
      </c>
      <c r="H681" s="72" t="s">
        <v>220</v>
      </c>
      <c r="I681" s="72" t="s">
        <v>62</v>
      </c>
      <c r="J681" t="str">
        <f t="shared" si="24"/>
        <v>Skykomish River</v>
      </c>
      <c r="K681" t="str">
        <f>IFERROR(VLOOKUP(J681,LUTs!$A$1:$C$73,2,FALSE),"NA")</f>
        <v>Snohomish</v>
      </c>
      <c r="L681" t="str">
        <f>IFERROR(VLOOKUP(J681,LUTs!$A$1:$C$73,3,FALSE),"NA")</f>
        <v>2Central Puget Sound</v>
      </c>
      <c r="M681" s="72" t="s">
        <v>20</v>
      </c>
      <c r="N681" t="str">
        <f>VLOOKUP(M681,LUTs!E$2:H$14,3,)</f>
        <v>07Pierce</v>
      </c>
      <c r="O681" t="str">
        <f>VLOOKUP(M681,LUTs!E$2:H$14,4,)</f>
        <v>02South Puget Sound</v>
      </c>
      <c r="P681" s="73">
        <v>14.375</v>
      </c>
      <c r="Q681" s="74">
        <f>VLOOKUP(B681,Readme!A$40:C$51,2,)*P681</f>
        <v>49.449999999999996</v>
      </c>
    </row>
    <row r="682" spans="1:17" ht="12" customHeight="1" x14ac:dyDescent="0.35">
      <c r="A682" s="75">
        <v>681</v>
      </c>
      <c r="B682" s="64">
        <v>2011</v>
      </c>
      <c r="C682" s="64">
        <v>6</v>
      </c>
      <c r="D682" s="80">
        <f t="shared" si="23"/>
        <v>2011</v>
      </c>
      <c r="E682" t="s">
        <v>38</v>
      </c>
      <c r="F682" t="s">
        <v>143</v>
      </c>
      <c r="G682" t="s">
        <v>10</v>
      </c>
      <c r="H682" s="72" t="s">
        <v>220</v>
      </c>
      <c r="I682" s="72" t="s">
        <v>62</v>
      </c>
      <c r="J682" t="str">
        <f t="shared" si="24"/>
        <v>Skykomish River</v>
      </c>
      <c r="K682" t="str">
        <f>IFERROR(VLOOKUP(J682,LUTs!$A$1:$C$73,2,FALSE),"NA")</f>
        <v>Snohomish</v>
      </c>
      <c r="L682" t="str">
        <f>IFERROR(VLOOKUP(J682,LUTs!$A$1:$C$73,3,FALSE),"NA")</f>
        <v>2Central Puget Sound</v>
      </c>
      <c r="M682" s="72" t="s">
        <v>16</v>
      </c>
      <c r="N682" t="str">
        <f>VLOOKUP(M682,LUTs!E$2:H$14,3,)</f>
        <v>03Snohomish</v>
      </c>
      <c r="O682" t="str">
        <f>VLOOKUP(M682,LUTs!E$2:H$14,4,)</f>
        <v>01North Puget Sound</v>
      </c>
      <c r="P682" s="73">
        <v>50.3125</v>
      </c>
      <c r="Q682" s="74">
        <f>VLOOKUP(B682,Readme!A$40:C$51,2,)*P682</f>
        <v>173.07499999999999</v>
      </c>
    </row>
    <row r="683" spans="1:17" ht="12" customHeight="1" x14ac:dyDescent="0.35">
      <c r="A683" s="75">
        <v>682</v>
      </c>
      <c r="B683" s="64">
        <v>2011</v>
      </c>
      <c r="C683" s="64">
        <v>6</v>
      </c>
      <c r="D683" s="80">
        <f t="shared" si="23"/>
        <v>2011</v>
      </c>
      <c r="E683" t="s">
        <v>38</v>
      </c>
      <c r="F683" t="s">
        <v>143</v>
      </c>
      <c r="G683" t="s">
        <v>10</v>
      </c>
      <c r="H683" s="72" t="s">
        <v>220</v>
      </c>
      <c r="I683" s="72" t="s">
        <v>62</v>
      </c>
      <c r="J683" t="str">
        <f t="shared" si="24"/>
        <v>Skykomish River</v>
      </c>
      <c r="K683" t="str">
        <f>IFERROR(VLOOKUP(J683,LUTs!$A$1:$C$73,2,FALSE),"NA")</f>
        <v>Snohomish</v>
      </c>
      <c r="L683" t="str">
        <f>IFERROR(VLOOKUP(J683,LUTs!$A$1:$C$73,3,FALSE),"NA")</f>
        <v>2Central Puget Sound</v>
      </c>
      <c r="M683" s="72" t="s">
        <v>21</v>
      </c>
      <c r="N683" t="str">
        <f>VLOOKUP(M683,LUTs!E$2:H$14,3,)</f>
        <v>08Thurston</v>
      </c>
      <c r="O683" t="str">
        <f>VLOOKUP(M683,LUTs!E$2:H$14,4,)</f>
        <v>02South Puget Sound</v>
      </c>
      <c r="P683" s="73">
        <v>7.1875</v>
      </c>
      <c r="Q683" s="74">
        <f>VLOOKUP(B683,Readme!A$40:C$51,2,)*P683</f>
        <v>24.724999999999998</v>
      </c>
    </row>
    <row r="684" spans="1:17" ht="12" customHeight="1" x14ac:dyDescent="0.35">
      <c r="A684" s="75">
        <v>683</v>
      </c>
      <c r="B684" s="64">
        <v>2011</v>
      </c>
      <c r="C684" s="64">
        <v>7</v>
      </c>
      <c r="D684" s="80">
        <f t="shared" si="23"/>
        <v>2011</v>
      </c>
      <c r="E684" t="s">
        <v>38</v>
      </c>
      <c r="F684" t="s">
        <v>143</v>
      </c>
      <c r="G684" t="s">
        <v>10</v>
      </c>
      <c r="H684" s="72" t="s">
        <v>220</v>
      </c>
      <c r="I684" s="72" t="s">
        <v>62</v>
      </c>
      <c r="J684" t="str">
        <f t="shared" si="24"/>
        <v>Skykomish River</v>
      </c>
      <c r="K684" t="str">
        <f>IFERROR(VLOOKUP(J684,LUTs!$A$1:$C$73,2,FALSE),"NA")</f>
        <v>Snohomish</v>
      </c>
      <c r="L684" t="str">
        <f>IFERROR(VLOOKUP(J684,LUTs!$A$1:$C$73,3,FALSE),"NA")</f>
        <v>2Central Puget Sound</v>
      </c>
      <c r="M684" s="72" t="s">
        <v>18</v>
      </c>
      <c r="N684" t="str">
        <f>VLOOKUP(M684,LUTs!E$2:H$14,3,)</f>
        <v>06King</v>
      </c>
      <c r="O684" t="str">
        <f>VLOOKUP(M684,LUTs!E$2:H$14,4,)</f>
        <v>02South Puget Sound</v>
      </c>
      <c r="P684" s="73">
        <v>64.875</v>
      </c>
      <c r="Q684" s="74">
        <f>VLOOKUP(B684,Readme!A$40:C$51,2,)*P684</f>
        <v>223.17</v>
      </c>
    </row>
    <row r="685" spans="1:17" ht="12" customHeight="1" x14ac:dyDescent="0.35">
      <c r="A685" s="75">
        <v>684</v>
      </c>
      <c r="B685" s="64">
        <v>2011</v>
      </c>
      <c r="C685" s="64">
        <v>7</v>
      </c>
      <c r="D685" s="80">
        <f t="shared" si="23"/>
        <v>2011</v>
      </c>
      <c r="E685" t="s">
        <v>38</v>
      </c>
      <c r="F685" t="s">
        <v>143</v>
      </c>
      <c r="G685" t="s">
        <v>10</v>
      </c>
      <c r="H685" s="72" t="s">
        <v>220</v>
      </c>
      <c r="I685" s="72" t="s">
        <v>62</v>
      </c>
      <c r="J685" t="str">
        <f t="shared" si="24"/>
        <v>Skykomish River</v>
      </c>
      <c r="K685" t="str">
        <f>IFERROR(VLOOKUP(J685,LUTs!$A$1:$C$73,2,FALSE),"NA")</f>
        <v>Snohomish</v>
      </c>
      <c r="L685" t="str">
        <f>IFERROR(VLOOKUP(J685,LUTs!$A$1:$C$73,3,FALSE),"NA")</f>
        <v>2Central Puget Sound</v>
      </c>
      <c r="M685" s="72" t="s">
        <v>26</v>
      </c>
      <c r="N685" t="str">
        <f>VLOOKUP(M685,LUTs!E$2:H$14,3,)</f>
        <v>20Other</v>
      </c>
      <c r="O685" t="str">
        <f>VLOOKUP(M685,LUTs!E$2:H$14,4,)</f>
        <v>07Non Puget Sound</v>
      </c>
      <c r="P685" s="73">
        <v>7.2083333333333401</v>
      </c>
      <c r="Q685" s="74">
        <f>VLOOKUP(B685,Readme!A$40:C$51,2,)*P685</f>
        <v>24.796666666666688</v>
      </c>
    </row>
    <row r="686" spans="1:17" ht="12" customHeight="1" x14ac:dyDescent="0.35">
      <c r="A686" s="75">
        <v>685</v>
      </c>
      <c r="B686" s="64">
        <v>2011</v>
      </c>
      <c r="C686" s="64">
        <v>7</v>
      </c>
      <c r="D686" s="80">
        <f t="shared" si="23"/>
        <v>2011</v>
      </c>
      <c r="E686" t="s">
        <v>38</v>
      </c>
      <c r="F686" t="s">
        <v>143</v>
      </c>
      <c r="G686" t="s">
        <v>10</v>
      </c>
      <c r="H686" s="72" t="s">
        <v>220</v>
      </c>
      <c r="I686" s="72" t="s">
        <v>62</v>
      </c>
      <c r="J686" t="str">
        <f t="shared" si="24"/>
        <v>Skykomish River</v>
      </c>
      <c r="K686" t="str">
        <f>IFERROR(VLOOKUP(J686,LUTs!$A$1:$C$73,2,FALSE),"NA")</f>
        <v>Snohomish</v>
      </c>
      <c r="L686" t="str">
        <f>IFERROR(VLOOKUP(J686,LUTs!$A$1:$C$73,3,FALSE),"NA")</f>
        <v>2Central Puget Sound</v>
      </c>
      <c r="M686" s="72" t="s">
        <v>16</v>
      </c>
      <c r="N686" t="str">
        <f>VLOOKUP(M686,LUTs!E$2:H$14,3,)</f>
        <v>03Snohomish</v>
      </c>
      <c r="O686" t="str">
        <f>VLOOKUP(M686,LUTs!E$2:H$14,4,)</f>
        <v>01North Puget Sound</v>
      </c>
      <c r="P686" s="73">
        <v>100.916666666667</v>
      </c>
      <c r="Q686" s="74">
        <f>VLOOKUP(B686,Readme!A$40:C$51,2,)*P686</f>
        <v>347.15333333333444</v>
      </c>
    </row>
    <row r="687" spans="1:17" ht="12" customHeight="1" x14ac:dyDescent="0.35">
      <c r="A687" s="75">
        <v>686</v>
      </c>
      <c r="B687" s="64">
        <v>2011</v>
      </c>
      <c r="C687" s="64">
        <v>8</v>
      </c>
      <c r="D687" s="80">
        <f t="shared" si="23"/>
        <v>2011</v>
      </c>
      <c r="E687" t="s">
        <v>38</v>
      </c>
      <c r="F687" t="s">
        <v>143</v>
      </c>
      <c r="G687" t="s">
        <v>10</v>
      </c>
      <c r="H687" s="72" t="s">
        <v>220</v>
      </c>
      <c r="I687" s="72" t="s">
        <v>62</v>
      </c>
      <c r="J687" t="str">
        <f t="shared" si="24"/>
        <v>Skykomish River</v>
      </c>
      <c r="K687" t="str">
        <f>IFERROR(VLOOKUP(J687,LUTs!$A$1:$C$73,2,FALSE),"NA")</f>
        <v>Snohomish</v>
      </c>
      <c r="L687" t="str">
        <f>IFERROR(VLOOKUP(J687,LUTs!$A$1:$C$73,3,FALSE),"NA")</f>
        <v>2Central Puget Sound</v>
      </c>
      <c r="M687" s="72" t="s">
        <v>18</v>
      </c>
      <c r="N687" t="str">
        <f>VLOOKUP(M687,LUTs!E$2:H$14,3,)</f>
        <v>06King</v>
      </c>
      <c r="O687" t="str">
        <f>VLOOKUP(M687,LUTs!E$2:H$14,4,)</f>
        <v>02South Puget Sound</v>
      </c>
      <c r="P687" s="73">
        <v>482.27011494252901</v>
      </c>
      <c r="Q687" s="74">
        <f>VLOOKUP(B687,Readme!A$40:C$51,2,)*P687</f>
        <v>1659.0091954022998</v>
      </c>
    </row>
    <row r="688" spans="1:17" ht="12" customHeight="1" x14ac:dyDescent="0.35">
      <c r="A688" s="75">
        <v>687</v>
      </c>
      <c r="B688" s="64">
        <v>2011</v>
      </c>
      <c r="C688" s="64">
        <v>8</v>
      </c>
      <c r="D688" s="80">
        <f t="shared" si="23"/>
        <v>2011</v>
      </c>
      <c r="E688" t="s">
        <v>38</v>
      </c>
      <c r="F688" t="s">
        <v>143</v>
      </c>
      <c r="G688" t="s">
        <v>10</v>
      </c>
      <c r="H688" s="72" t="s">
        <v>220</v>
      </c>
      <c r="I688" s="72" t="s">
        <v>62</v>
      </c>
      <c r="J688" t="str">
        <f t="shared" si="24"/>
        <v>Skykomish River</v>
      </c>
      <c r="K688" t="str">
        <f>IFERROR(VLOOKUP(J688,LUTs!$A$1:$C$73,2,FALSE),"NA")</f>
        <v>Snohomish</v>
      </c>
      <c r="L688" t="str">
        <f>IFERROR(VLOOKUP(J688,LUTs!$A$1:$C$73,3,FALSE),"NA")</f>
        <v>2Central Puget Sound</v>
      </c>
      <c r="M688" s="72" t="s">
        <v>26</v>
      </c>
      <c r="N688" t="str">
        <f>VLOOKUP(M688,LUTs!E$2:H$14,3,)</f>
        <v>20Other</v>
      </c>
      <c r="O688" t="str">
        <f>VLOOKUP(M688,LUTs!E$2:H$14,4,)</f>
        <v>07Non Puget Sound</v>
      </c>
      <c r="P688" s="73">
        <v>59.356321839080501</v>
      </c>
      <c r="Q688" s="74">
        <f>VLOOKUP(B688,Readme!A$40:C$51,2,)*P688</f>
        <v>204.18574712643692</v>
      </c>
    </row>
    <row r="689" spans="1:17" ht="12" customHeight="1" x14ac:dyDescent="0.35">
      <c r="A689" s="75">
        <v>688</v>
      </c>
      <c r="B689" s="64">
        <v>2011</v>
      </c>
      <c r="C689" s="64">
        <v>8</v>
      </c>
      <c r="D689" s="80">
        <f t="shared" si="23"/>
        <v>2011</v>
      </c>
      <c r="E689" t="s">
        <v>38</v>
      </c>
      <c r="F689" t="s">
        <v>143</v>
      </c>
      <c r="G689" t="s">
        <v>10</v>
      </c>
      <c r="H689" s="72" t="s">
        <v>220</v>
      </c>
      <c r="I689" s="72" t="s">
        <v>62</v>
      </c>
      <c r="J689" t="str">
        <f t="shared" si="24"/>
        <v>Skykomish River</v>
      </c>
      <c r="K689" t="str">
        <f>IFERROR(VLOOKUP(J689,LUTs!$A$1:$C$73,2,FALSE),"NA")</f>
        <v>Snohomish</v>
      </c>
      <c r="L689" t="str">
        <f>IFERROR(VLOOKUP(J689,LUTs!$A$1:$C$73,3,FALSE),"NA")</f>
        <v>2Central Puget Sound</v>
      </c>
      <c r="M689" s="72" t="s">
        <v>20</v>
      </c>
      <c r="N689" t="str">
        <f>VLOOKUP(M689,LUTs!E$2:H$14,3,)</f>
        <v>07Pierce</v>
      </c>
      <c r="O689" t="str">
        <f>VLOOKUP(M689,LUTs!E$2:H$14,4,)</f>
        <v>02South Puget Sound</v>
      </c>
      <c r="P689" s="73">
        <v>0</v>
      </c>
      <c r="Q689" s="74">
        <f>VLOOKUP(B689,Readme!A$40:C$51,2,)*P689</f>
        <v>0</v>
      </c>
    </row>
    <row r="690" spans="1:17" ht="12" customHeight="1" x14ac:dyDescent="0.35">
      <c r="A690" s="75">
        <v>689</v>
      </c>
      <c r="B690" s="64">
        <v>2011</v>
      </c>
      <c r="C690" s="64">
        <v>8</v>
      </c>
      <c r="D690" s="80">
        <f t="shared" si="23"/>
        <v>2011</v>
      </c>
      <c r="E690" t="s">
        <v>38</v>
      </c>
      <c r="F690" t="s">
        <v>143</v>
      </c>
      <c r="G690" t="s">
        <v>10</v>
      </c>
      <c r="H690" s="72" t="s">
        <v>220</v>
      </c>
      <c r="I690" s="72" t="s">
        <v>62</v>
      </c>
      <c r="J690" t="str">
        <f t="shared" si="24"/>
        <v>Skykomish River</v>
      </c>
      <c r="K690" t="str">
        <f>IFERROR(VLOOKUP(J690,LUTs!$A$1:$C$73,2,FALSE),"NA")</f>
        <v>Snohomish</v>
      </c>
      <c r="L690" t="str">
        <f>IFERROR(VLOOKUP(J690,LUTs!$A$1:$C$73,3,FALSE),"NA")</f>
        <v>2Central Puget Sound</v>
      </c>
      <c r="M690" s="72" t="s">
        <v>16</v>
      </c>
      <c r="N690" t="str">
        <f>VLOOKUP(M690,LUTs!E$2:H$14,3,)</f>
        <v>03Snohomish</v>
      </c>
      <c r="O690" t="str">
        <f>VLOOKUP(M690,LUTs!E$2:H$14,4,)</f>
        <v>01North Puget Sound</v>
      </c>
      <c r="P690" s="73">
        <v>749.37356321839104</v>
      </c>
      <c r="Q690" s="74">
        <f>VLOOKUP(B690,Readme!A$40:C$51,2,)*P690</f>
        <v>2577.8450574712651</v>
      </c>
    </row>
    <row r="691" spans="1:17" ht="12" customHeight="1" x14ac:dyDescent="0.35">
      <c r="A691" s="75">
        <v>690</v>
      </c>
      <c r="B691" s="64">
        <v>2011</v>
      </c>
      <c r="C691" s="64">
        <v>9</v>
      </c>
      <c r="D691" s="80">
        <f t="shared" si="23"/>
        <v>2011</v>
      </c>
      <c r="E691" t="s">
        <v>38</v>
      </c>
      <c r="F691" t="s">
        <v>143</v>
      </c>
      <c r="G691" t="s">
        <v>10</v>
      </c>
      <c r="H691" s="72" t="s">
        <v>220</v>
      </c>
      <c r="I691" s="72" t="s">
        <v>62</v>
      </c>
      <c r="J691" t="str">
        <f t="shared" si="24"/>
        <v>Skykomish River</v>
      </c>
      <c r="K691" t="str">
        <f>IFERROR(VLOOKUP(J691,LUTs!$A$1:$C$73,2,FALSE),"NA")</f>
        <v>Snohomish</v>
      </c>
      <c r="L691" t="str">
        <f>IFERROR(VLOOKUP(J691,LUTs!$A$1:$C$73,3,FALSE),"NA")</f>
        <v>2Central Puget Sound</v>
      </c>
      <c r="M691" s="72" t="s">
        <v>18</v>
      </c>
      <c r="N691" t="str">
        <f>VLOOKUP(M691,LUTs!E$2:H$14,3,)</f>
        <v>06King</v>
      </c>
      <c r="O691" t="str">
        <f>VLOOKUP(M691,LUTs!E$2:H$14,4,)</f>
        <v>02South Puget Sound</v>
      </c>
      <c r="P691" s="73">
        <v>2523.0371203599602</v>
      </c>
      <c r="Q691" s="74">
        <f>VLOOKUP(B691,Readme!A$40:C$51,2,)*P691</f>
        <v>8679.2476940382639</v>
      </c>
    </row>
    <row r="692" spans="1:17" ht="12" customHeight="1" x14ac:dyDescent="0.35">
      <c r="A692" s="75">
        <v>691</v>
      </c>
      <c r="B692" s="64">
        <v>2011</v>
      </c>
      <c r="C692" s="64">
        <v>9</v>
      </c>
      <c r="D692" s="80">
        <f t="shared" si="23"/>
        <v>2011</v>
      </c>
      <c r="E692" t="s">
        <v>38</v>
      </c>
      <c r="F692" t="s">
        <v>143</v>
      </c>
      <c r="G692" t="s">
        <v>10</v>
      </c>
      <c r="H692" s="72" t="s">
        <v>220</v>
      </c>
      <c r="I692" s="72" t="s">
        <v>62</v>
      </c>
      <c r="J692" t="str">
        <f t="shared" si="24"/>
        <v>Skykomish River</v>
      </c>
      <c r="K692" t="str">
        <f>IFERROR(VLOOKUP(J692,LUTs!$A$1:$C$73,2,FALSE),"NA")</f>
        <v>Snohomish</v>
      </c>
      <c r="L692" t="str">
        <f>IFERROR(VLOOKUP(J692,LUTs!$A$1:$C$73,3,FALSE),"NA")</f>
        <v>2Central Puget Sound</v>
      </c>
      <c r="M692" s="72" t="s">
        <v>23</v>
      </c>
      <c r="N692" t="str">
        <f>VLOOKUP(M692,LUTs!E$2:H$14,3,)</f>
        <v>10Kitsap</v>
      </c>
      <c r="O692" t="str">
        <f>VLOOKUP(M692,LUTs!E$2:H$14,4,)</f>
        <v>02South Puget Sound</v>
      </c>
      <c r="P692" s="73">
        <v>7.4206974128234</v>
      </c>
      <c r="Q692" s="74">
        <f>VLOOKUP(B692,Readme!A$40:C$51,2,)*P692</f>
        <v>25.527199100112497</v>
      </c>
    </row>
    <row r="693" spans="1:17" ht="12" customHeight="1" x14ac:dyDescent="0.35">
      <c r="A693" s="75">
        <v>692</v>
      </c>
      <c r="B693" s="64">
        <v>2011</v>
      </c>
      <c r="C693" s="64">
        <v>9</v>
      </c>
      <c r="D693" s="80">
        <f t="shared" si="23"/>
        <v>2011</v>
      </c>
      <c r="E693" t="s">
        <v>38</v>
      </c>
      <c r="F693" t="s">
        <v>143</v>
      </c>
      <c r="G693" t="s">
        <v>10</v>
      </c>
      <c r="H693" s="72" t="s">
        <v>220</v>
      </c>
      <c r="I693" s="72" t="s">
        <v>62</v>
      </c>
      <c r="J693" t="str">
        <f t="shared" si="24"/>
        <v>Skykomish River</v>
      </c>
      <c r="K693" t="str">
        <f>IFERROR(VLOOKUP(J693,LUTs!$A$1:$C$73,2,FALSE),"NA")</f>
        <v>Snohomish</v>
      </c>
      <c r="L693" t="str">
        <f>IFERROR(VLOOKUP(J693,LUTs!$A$1:$C$73,3,FALSE),"NA")</f>
        <v>2Central Puget Sound</v>
      </c>
      <c r="M693" s="72" t="s">
        <v>26</v>
      </c>
      <c r="N693" t="str">
        <f>VLOOKUP(M693,LUTs!E$2:H$14,3,)</f>
        <v>20Other</v>
      </c>
      <c r="O693" t="str">
        <f>VLOOKUP(M693,LUTs!E$2:H$14,4,)</f>
        <v>07Non Puget Sound</v>
      </c>
      <c r="P693" s="73">
        <v>764.33183352081005</v>
      </c>
      <c r="Q693" s="74">
        <f>VLOOKUP(B693,Readme!A$40:C$51,2,)*P693</f>
        <v>2629.3015073115866</v>
      </c>
    </row>
    <row r="694" spans="1:17" ht="12" customHeight="1" x14ac:dyDescent="0.35">
      <c r="A694" s="75">
        <v>693</v>
      </c>
      <c r="B694" s="64">
        <v>2011</v>
      </c>
      <c r="C694" s="64">
        <v>9</v>
      </c>
      <c r="D694" s="80">
        <f t="shared" si="23"/>
        <v>2011</v>
      </c>
      <c r="E694" t="s">
        <v>38</v>
      </c>
      <c r="F694" t="s">
        <v>143</v>
      </c>
      <c r="G694" t="s">
        <v>10</v>
      </c>
      <c r="H694" s="72" t="s">
        <v>220</v>
      </c>
      <c r="I694" s="72" t="s">
        <v>62</v>
      </c>
      <c r="J694" t="str">
        <f t="shared" si="24"/>
        <v>Skykomish River</v>
      </c>
      <c r="K694" t="str">
        <f>IFERROR(VLOOKUP(J694,LUTs!$A$1:$C$73,2,FALSE),"NA")</f>
        <v>Snohomish</v>
      </c>
      <c r="L694" t="str">
        <f>IFERROR(VLOOKUP(J694,LUTs!$A$1:$C$73,3,FALSE),"NA")</f>
        <v>2Central Puget Sound</v>
      </c>
      <c r="M694" s="72" t="s">
        <v>20</v>
      </c>
      <c r="N694" t="str">
        <f>VLOOKUP(M694,LUTs!E$2:H$14,3,)</f>
        <v>07Pierce</v>
      </c>
      <c r="O694" t="str">
        <f>VLOOKUP(M694,LUTs!E$2:H$14,4,)</f>
        <v>02South Puget Sound</v>
      </c>
      <c r="P694" s="73">
        <v>96.469066366704197</v>
      </c>
      <c r="Q694" s="74">
        <f>VLOOKUP(B694,Readme!A$40:C$51,2,)*P694</f>
        <v>331.85358830146242</v>
      </c>
    </row>
    <row r="695" spans="1:17" ht="12" customHeight="1" x14ac:dyDescent="0.35">
      <c r="A695" s="75">
        <v>694</v>
      </c>
      <c r="B695" s="64">
        <v>2011</v>
      </c>
      <c r="C695" s="64">
        <v>9</v>
      </c>
      <c r="D695" s="80">
        <f t="shared" si="23"/>
        <v>2011</v>
      </c>
      <c r="E695" t="s">
        <v>38</v>
      </c>
      <c r="F695" t="s">
        <v>143</v>
      </c>
      <c r="G695" t="s">
        <v>10</v>
      </c>
      <c r="H695" s="72" t="s">
        <v>220</v>
      </c>
      <c r="I695" s="72" t="s">
        <v>62</v>
      </c>
      <c r="J695" t="str">
        <f t="shared" si="24"/>
        <v>Skykomish River</v>
      </c>
      <c r="K695" t="str">
        <f>IFERROR(VLOOKUP(J695,LUTs!$A$1:$C$73,2,FALSE),"NA")</f>
        <v>Snohomish</v>
      </c>
      <c r="L695" t="str">
        <f>IFERROR(VLOOKUP(J695,LUTs!$A$1:$C$73,3,FALSE),"NA")</f>
        <v>2Central Puget Sound</v>
      </c>
      <c r="M695" s="72" t="s">
        <v>15</v>
      </c>
      <c r="N695" t="str">
        <f>VLOOKUP(M695,LUTs!E$2:H$14,3,)</f>
        <v>02Skagit</v>
      </c>
      <c r="O695" t="str">
        <f>VLOOKUP(M695,LUTs!E$2:H$14,4,)</f>
        <v>01North Puget Sound</v>
      </c>
      <c r="P695" s="73">
        <v>66.786276715410594</v>
      </c>
      <c r="Q695" s="74">
        <f>VLOOKUP(B695,Readme!A$40:C$51,2,)*P695</f>
        <v>229.74479190101243</v>
      </c>
    </row>
    <row r="696" spans="1:17" ht="12" customHeight="1" x14ac:dyDescent="0.35">
      <c r="A696" s="75">
        <v>695</v>
      </c>
      <c r="B696" s="64">
        <v>2011</v>
      </c>
      <c r="C696" s="64">
        <v>9</v>
      </c>
      <c r="D696" s="80">
        <f t="shared" si="23"/>
        <v>2011</v>
      </c>
      <c r="E696" t="s">
        <v>38</v>
      </c>
      <c r="F696" t="s">
        <v>143</v>
      </c>
      <c r="G696" t="s">
        <v>10</v>
      </c>
      <c r="H696" s="72" t="s">
        <v>220</v>
      </c>
      <c r="I696" s="72" t="s">
        <v>62</v>
      </c>
      <c r="J696" t="str">
        <f t="shared" si="24"/>
        <v>Skykomish River</v>
      </c>
      <c r="K696" t="str">
        <f>IFERROR(VLOOKUP(J696,LUTs!$A$1:$C$73,2,FALSE),"NA")</f>
        <v>Snohomish</v>
      </c>
      <c r="L696" t="str">
        <f>IFERROR(VLOOKUP(J696,LUTs!$A$1:$C$73,3,FALSE),"NA")</f>
        <v>2Central Puget Sound</v>
      </c>
      <c r="M696" s="72" t="s">
        <v>16</v>
      </c>
      <c r="N696" t="str">
        <f>VLOOKUP(M696,LUTs!E$2:H$14,3,)</f>
        <v>03Snohomish</v>
      </c>
      <c r="O696" t="str">
        <f>VLOOKUP(M696,LUTs!E$2:H$14,4,)</f>
        <v>01North Puget Sound</v>
      </c>
      <c r="P696" s="73">
        <v>3035.0652418447698</v>
      </c>
      <c r="Q696" s="74">
        <f>VLOOKUP(B696,Readme!A$40:C$51,2,)*P696</f>
        <v>10440.624431946007</v>
      </c>
    </row>
    <row r="697" spans="1:17" ht="12" customHeight="1" x14ac:dyDescent="0.35">
      <c r="A697" s="75">
        <v>696</v>
      </c>
      <c r="B697" s="64">
        <v>2011</v>
      </c>
      <c r="C697" s="64">
        <v>9</v>
      </c>
      <c r="D697" s="80">
        <f t="shared" si="23"/>
        <v>2011</v>
      </c>
      <c r="E697" t="s">
        <v>38</v>
      </c>
      <c r="F697" t="s">
        <v>143</v>
      </c>
      <c r="G697" t="s">
        <v>10</v>
      </c>
      <c r="H697" s="72" t="s">
        <v>220</v>
      </c>
      <c r="I697" s="72" t="s">
        <v>62</v>
      </c>
      <c r="J697" t="str">
        <f t="shared" si="24"/>
        <v>Skykomish River</v>
      </c>
      <c r="K697" t="str">
        <f>IFERROR(VLOOKUP(J697,LUTs!$A$1:$C$73,2,FALSE),"NA")</f>
        <v>Snohomish</v>
      </c>
      <c r="L697" t="str">
        <f>IFERROR(VLOOKUP(J697,LUTs!$A$1:$C$73,3,FALSE),"NA")</f>
        <v>2Central Puget Sound</v>
      </c>
      <c r="M697" s="72" t="s">
        <v>21</v>
      </c>
      <c r="N697" t="str">
        <f>VLOOKUP(M697,LUTs!E$2:H$14,3,)</f>
        <v>08Thurston</v>
      </c>
      <c r="O697" t="str">
        <f>VLOOKUP(M697,LUTs!E$2:H$14,4,)</f>
        <v>02South Puget Sound</v>
      </c>
      <c r="P697" s="73">
        <v>29.6827896512936</v>
      </c>
      <c r="Q697" s="74">
        <f>VLOOKUP(B697,Readme!A$40:C$51,2,)*P697</f>
        <v>102.10879640044999</v>
      </c>
    </row>
    <row r="698" spans="1:17" ht="12" customHeight="1" x14ac:dyDescent="0.35">
      <c r="A698" s="75">
        <v>697</v>
      </c>
      <c r="B698" s="64">
        <v>2011</v>
      </c>
      <c r="C698" s="64">
        <v>9</v>
      </c>
      <c r="D698" s="80">
        <f t="shared" si="23"/>
        <v>2011</v>
      </c>
      <c r="E698" t="s">
        <v>38</v>
      </c>
      <c r="F698" t="s">
        <v>143</v>
      </c>
      <c r="G698" t="s">
        <v>10</v>
      </c>
      <c r="H698" s="72" t="s">
        <v>220</v>
      </c>
      <c r="I698" s="72" t="s">
        <v>62</v>
      </c>
      <c r="J698" t="str">
        <f t="shared" si="24"/>
        <v>Skykomish River</v>
      </c>
      <c r="K698" t="str">
        <f>IFERROR(VLOOKUP(J698,LUTs!$A$1:$C$73,2,FALSE),"NA")</f>
        <v>Snohomish</v>
      </c>
      <c r="L698" t="str">
        <f>IFERROR(VLOOKUP(J698,LUTs!$A$1:$C$73,3,FALSE),"NA")</f>
        <v>2Central Puget Sound</v>
      </c>
      <c r="M698" s="72" t="s">
        <v>13</v>
      </c>
      <c r="N698" t="str">
        <f>VLOOKUP(M698,LUTs!E$2:H$14,3,)</f>
        <v>01Whatcom</v>
      </c>
      <c r="O698" t="str">
        <f>VLOOKUP(M698,LUTs!E$2:H$14,4,)</f>
        <v>01North Puget Sound</v>
      </c>
      <c r="P698" s="73">
        <v>74.206974128233995</v>
      </c>
      <c r="Q698" s="74">
        <f>VLOOKUP(B698,Readme!A$40:C$51,2,)*P698</f>
        <v>255.27199100112495</v>
      </c>
    </row>
    <row r="699" spans="1:17" ht="12" customHeight="1" x14ac:dyDescent="0.35">
      <c r="A699" s="75">
        <v>698</v>
      </c>
      <c r="B699" s="64">
        <v>2011</v>
      </c>
      <c r="C699" s="64">
        <v>10</v>
      </c>
      <c r="D699" s="80">
        <f t="shared" si="23"/>
        <v>2011</v>
      </c>
      <c r="E699" t="s">
        <v>38</v>
      </c>
      <c r="F699" t="s">
        <v>143</v>
      </c>
      <c r="G699" t="s">
        <v>10</v>
      </c>
      <c r="H699" s="72" t="s">
        <v>220</v>
      </c>
      <c r="I699" s="72" t="s">
        <v>62</v>
      </c>
      <c r="J699" t="str">
        <f t="shared" si="24"/>
        <v>Skykomish River</v>
      </c>
      <c r="K699" t="str">
        <f>IFERROR(VLOOKUP(J699,LUTs!$A$1:$C$73,2,FALSE),"NA")</f>
        <v>Snohomish</v>
      </c>
      <c r="L699" t="str">
        <f>IFERROR(VLOOKUP(J699,LUTs!$A$1:$C$73,3,FALSE),"NA")</f>
        <v>2Central Puget Sound</v>
      </c>
      <c r="M699" s="72" t="s">
        <v>18</v>
      </c>
      <c r="N699" t="str">
        <f>VLOOKUP(M699,LUTs!E$2:H$14,3,)</f>
        <v>06King</v>
      </c>
      <c r="O699" t="str">
        <f>VLOOKUP(M699,LUTs!E$2:H$14,4,)</f>
        <v>02South Puget Sound</v>
      </c>
      <c r="P699" s="73">
        <v>848.09473684210502</v>
      </c>
      <c r="Q699" s="74">
        <f>VLOOKUP(B699,Readme!A$40:C$51,2,)*P699</f>
        <v>2917.4458947368412</v>
      </c>
    </row>
    <row r="700" spans="1:17" ht="12" customHeight="1" x14ac:dyDescent="0.35">
      <c r="A700" s="75">
        <v>699</v>
      </c>
      <c r="B700" s="64">
        <v>2011</v>
      </c>
      <c r="C700" s="64">
        <v>10</v>
      </c>
      <c r="D700" s="80">
        <f t="shared" si="23"/>
        <v>2011</v>
      </c>
      <c r="E700" t="s">
        <v>38</v>
      </c>
      <c r="F700" t="s">
        <v>143</v>
      </c>
      <c r="G700" t="s">
        <v>10</v>
      </c>
      <c r="H700" s="72" t="s">
        <v>220</v>
      </c>
      <c r="I700" s="72" t="s">
        <v>62</v>
      </c>
      <c r="J700" t="str">
        <f t="shared" si="24"/>
        <v>Skykomish River</v>
      </c>
      <c r="K700" t="str">
        <f>IFERROR(VLOOKUP(J700,LUTs!$A$1:$C$73,2,FALSE),"NA")</f>
        <v>Snohomish</v>
      </c>
      <c r="L700" t="str">
        <f>IFERROR(VLOOKUP(J700,LUTs!$A$1:$C$73,3,FALSE),"NA")</f>
        <v>2Central Puget Sound</v>
      </c>
      <c r="M700" s="72" t="s">
        <v>26</v>
      </c>
      <c r="N700" t="str">
        <f>VLOOKUP(M700,LUTs!E$2:H$14,3,)</f>
        <v>20Other</v>
      </c>
      <c r="O700" t="str">
        <f>VLOOKUP(M700,LUTs!E$2:H$14,4,)</f>
        <v>07Non Puget Sound</v>
      </c>
      <c r="P700" s="73">
        <v>202.64210526315799</v>
      </c>
      <c r="Q700" s="74">
        <f>VLOOKUP(B700,Readme!A$40:C$51,2,)*P700</f>
        <v>697.08884210526344</v>
      </c>
    </row>
    <row r="701" spans="1:17" ht="12" customHeight="1" x14ac:dyDescent="0.35">
      <c r="A701" s="75">
        <v>700</v>
      </c>
      <c r="B701" s="64">
        <v>2011</v>
      </c>
      <c r="C701" s="64">
        <v>10</v>
      </c>
      <c r="D701" s="80">
        <f t="shared" si="23"/>
        <v>2011</v>
      </c>
      <c r="E701" t="s">
        <v>38</v>
      </c>
      <c r="F701" t="s">
        <v>143</v>
      </c>
      <c r="G701" t="s">
        <v>10</v>
      </c>
      <c r="H701" s="72" t="s">
        <v>220</v>
      </c>
      <c r="I701" s="72" t="s">
        <v>62</v>
      </c>
      <c r="J701" t="str">
        <f t="shared" si="24"/>
        <v>Skykomish River</v>
      </c>
      <c r="K701" t="str">
        <f>IFERROR(VLOOKUP(J701,LUTs!$A$1:$C$73,2,FALSE),"NA")</f>
        <v>Snohomish</v>
      </c>
      <c r="L701" t="str">
        <f>IFERROR(VLOOKUP(J701,LUTs!$A$1:$C$73,3,FALSE),"NA")</f>
        <v>2Central Puget Sound</v>
      </c>
      <c r="M701" s="72" t="s">
        <v>20</v>
      </c>
      <c r="N701" t="str">
        <f>VLOOKUP(M701,LUTs!E$2:H$14,3,)</f>
        <v>07Pierce</v>
      </c>
      <c r="O701" t="str">
        <f>VLOOKUP(M701,LUTs!E$2:H$14,4,)</f>
        <v>02South Puget Sound</v>
      </c>
      <c r="P701" s="73">
        <v>82.557894736842101</v>
      </c>
      <c r="Q701" s="74">
        <f>VLOOKUP(B701,Readme!A$40:C$51,2,)*P701</f>
        <v>283.99915789473681</v>
      </c>
    </row>
    <row r="702" spans="1:17" ht="12" customHeight="1" x14ac:dyDescent="0.35">
      <c r="A702" s="75">
        <v>701</v>
      </c>
      <c r="B702" s="64">
        <v>2011</v>
      </c>
      <c r="C702" s="64">
        <v>10</v>
      </c>
      <c r="D702" s="80">
        <f t="shared" si="23"/>
        <v>2011</v>
      </c>
      <c r="E702" t="s">
        <v>38</v>
      </c>
      <c r="F702" t="s">
        <v>143</v>
      </c>
      <c r="G702" t="s">
        <v>10</v>
      </c>
      <c r="H702" s="72" t="s">
        <v>220</v>
      </c>
      <c r="I702" s="72" t="s">
        <v>62</v>
      </c>
      <c r="J702" t="str">
        <f t="shared" si="24"/>
        <v>Skykomish River</v>
      </c>
      <c r="K702" t="str">
        <f>IFERROR(VLOOKUP(J702,LUTs!$A$1:$C$73,2,FALSE),"NA")</f>
        <v>Snohomish</v>
      </c>
      <c r="L702" t="str">
        <f>IFERROR(VLOOKUP(J702,LUTs!$A$1:$C$73,3,FALSE),"NA")</f>
        <v>2Central Puget Sound</v>
      </c>
      <c r="M702" s="72" t="s">
        <v>15</v>
      </c>
      <c r="N702" t="str">
        <f>VLOOKUP(M702,LUTs!E$2:H$14,3,)</f>
        <v>02Skagit</v>
      </c>
      <c r="O702" t="str">
        <f>VLOOKUP(M702,LUTs!E$2:H$14,4,)</f>
        <v>01North Puget Sound</v>
      </c>
      <c r="P702" s="73">
        <v>45.031578947368402</v>
      </c>
      <c r="Q702" s="74">
        <f>VLOOKUP(B702,Readme!A$40:C$51,2,)*P702</f>
        <v>154.90863157894731</v>
      </c>
    </row>
    <row r="703" spans="1:17" ht="12" customHeight="1" x14ac:dyDescent="0.35">
      <c r="A703" s="75">
        <v>702</v>
      </c>
      <c r="B703" s="64">
        <v>2011</v>
      </c>
      <c r="C703" s="64">
        <v>10</v>
      </c>
      <c r="D703" s="80">
        <f t="shared" si="23"/>
        <v>2011</v>
      </c>
      <c r="E703" t="s">
        <v>38</v>
      </c>
      <c r="F703" t="s">
        <v>143</v>
      </c>
      <c r="G703" t="s">
        <v>10</v>
      </c>
      <c r="H703" s="72" t="s">
        <v>220</v>
      </c>
      <c r="I703" s="72" t="s">
        <v>62</v>
      </c>
      <c r="J703" t="str">
        <f t="shared" si="24"/>
        <v>Skykomish River</v>
      </c>
      <c r="K703" t="str">
        <f>IFERROR(VLOOKUP(J703,LUTs!$A$1:$C$73,2,FALSE),"NA")</f>
        <v>Snohomish</v>
      </c>
      <c r="L703" t="str">
        <f>IFERROR(VLOOKUP(J703,LUTs!$A$1:$C$73,3,FALSE),"NA")</f>
        <v>2Central Puget Sound</v>
      </c>
      <c r="M703" s="72" t="s">
        <v>16</v>
      </c>
      <c r="N703" t="str">
        <f>VLOOKUP(M703,LUTs!E$2:H$14,3,)</f>
        <v>03Snohomish</v>
      </c>
      <c r="O703" t="str">
        <f>VLOOKUP(M703,LUTs!E$2:H$14,4,)</f>
        <v>01North Puget Sound</v>
      </c>
      <c r="P703" s="73">
        <v>1673.6736842105299</v>
      </c>
      <c r="Q703" s="74">
        <f>VLOOKUP(B703,Readme!A$40:C$51,2,)*P703</f>
        <v>5757.4374736842228</v>
      </c>
    </row>
    <row r="704" spans="1:17" ht="12" customHeight="1" x14ac:dyDescent="0.35">
      <c r="A704" s="75">
        <v>703</v>
      </c>
      <c r="B704" s="64">
        <v>2011</v>
      </c>
      <c r="C704" s="64">
        <v>11</v>
      </c>
      <c r="D704" s="80">
        <f t="shared" si="23"/>
        <v>2011</v>
      </c>
      <c r="E704" t="s">
        <v>38</v>
      </c>
      <c r="F704" t="s">
        <v>143</v>
      </c>
      <c r="G704" t="s">
        <v>10</v>
      </c>
      <c r="H704" s="72" t="s">
        <v>220</v>
      </c>
      <c r="I704" s="72" t="s">
        <v>62</v>
      </c>
      <c r="J704" t="str">
        <f t="shared" si="24"/>
        <v>Skykomish River</v>
      </c>
      <c r="K704" t="str">
        <f>IFERROR(VLOOKUP(J704,LUTs!$A$1:$C$73,2,FALSE),"NA")</f>
        <v>Snohomish</v>
      </c>
      <c r="L704" t="str">
        <f>IFERROR(VLOOKUP(J704,LUTs!$A$1:$C$73,3,FALSE),"NA")</f>
        <v>2Central Puget Sound</v>
      </c>
      <c r="M704" s="72" t="s">
        <v>18</v>
      </c>
      <c r="N704" t="str">
        <f>VLOOKUP(M704,LUTs!E$2:H$14,3,)</f>
        <v>06King</v>
      </c>
      <c r="O704" t="str">
        <f>VLOOKUP(M704,LUTs!E$2:H$14,4,)</f>
        <v>02South Puget Sound</v>
      </c>
      <c r="P704" s="73">
        <v>333.78125</v>
      </c>
      <c r="Q704" s="74">
        <f>VLOOKUP(B704,Readme!A$40:C$51,2,)*P704</f>
        <v>1148.2075</v>
      </c>
    </row>
    <row r="705" spans="1:17" ht="12" customHeight="1" x14ac:dyDescent="0.35">
      <c r="A705" s="75">
        <v>704</v>
      </c>
      <c r="B705" s="64">
        <v>2011</v>
      </c>
      <c r="C705" s="64">
        <v>11</v>
      </c>
      <c r="D705" s="80">
        <f t="shared" si="23"/>
        <v>2011</v>
      </c>
      <c r="E705" t="s">
        <v>38</v>
      </c>
      <c r="F705" t="s">
        <v>143</v>
      </c>
      <c r="G705" t="s">
        <v>10</v>
      </c>
      <c r="H705" s="72" t="s">
        <v>220</v>
      </c>
      <c r="I705" s="72" t="s">
        <v>62</v>
      </c>
      <c r="J705" t="str">
        <f t="shared" si="24"/>
        <v>Skykomish River</v>
      </c>
      <c r="K705" t="str">
        <f>IFERROR(VLOOKUP(J705,LUTs!$A$1:$C$73,2,FALSE),"NA")</f>
        <v>Snohomish</v>
      </c>
      <c r="L705" t="str">
        <f>IFERROR(VLOOKUP(J705,LUTs!$A$1:$C$73,3,FALSE),"NA")</f>
        <v>2Central Puget Sound</v>
      </c>
      <c r="M705" s="72" t="s">
        <v>23</v>
      </c>
      <c r="N705" t="str">
        <f>VLOOKUP(M705,LUTs!E$2:H$14,3,)</f>
        <v>10Kitsap</v>
      </c>
      <c r="O705" t="str">
        <f>VLOOKUP(M705,LUTs!E$2:H$14,4,)</f>
        <v>02South Puget Sound</v>
      </c>
      <c r="P705" s="73">
        <v>7.5859375</v>
      </c>
      <c r="Q705" s="74">
        <f>VLOOKUP(B705,Readme!A$40:C$51,2,)*P705</f>
        <v>26.095624999999998</v>
      </c>
    </row>
    <row r="706" spans="1:17" ht="12" customHeight="1" x14ac:dyDescent="0.35">
      <c r="A706" s="75">
        <v>705</v>
      </c>
      <c r="B706" s="64">
        <v>2011</v>
      </c>
      <c r="C706" s="64">
        <v>11</v>
      </c>
      <c r="D706" s="80">
        <f t="shared" ref="D706:D769" si="25">IF(C706&gt;3,B706,B706-1)</f>
        <v>2011</v>
      </c>
      <c r="E706" t="s">
        <v>38</v>
      </c>
      <c r="F706" t="s">
        <v>143</v>
      </c>
      <c r="G706" t="s">
        <v>10</v>
      </c>
      <c r="H706" s="72" t="s">
        <v>220</v>
      </c>
      <c r="I706" s="72" t="s">
        <v>62</v>
      </c>
      <c r="J706" t="str">
        <f t="shared" si="24"/>
        <v>Skykomish River</v>
      </c>
      <c r="K706" t="str">
        <f>IFERROR(VLOOKUP(J706,LUTs!$A$1:$C$73,2,FALSE),"NA")</f>
        <v>Snohomish</v>
      </c>
      <c r="L706" t="str">
        <f>IFERROR(VLOOKUP(J706,LUTs!$A$1:$C$73,3,FALSE),"NA")</f>
        <v>2Central Puget Sound</v>
      </c>
      <c r="M706" s="72" t="s">
        <v>26</v>
      </c>
      <c r="N706" t="str">
        <f>VLOOKUP(M706,LUTs!E$2:H$14,3,)</f>
        <v>20Other</v>
      </c>
      <c r="O706" t="str">
        <f>VLOOKUP(M706,LUTs!E$2:H$14,4,)</f>
        <v>07Non Puget Sound</v>
      </c>
      <c r="P706" s="73">
        <v>60.6875</v>
      </c>
      <c r="Q706" s="74">
        <f>VLOOKUP(B706,Readme!A$40:C$51,2,)*P706</f>
        <v>208.76499999999999</v>
      </c>
    </row>
    <row r="707" spans="1:17" ht="12" customHeight="1" x14ac:dyDescent="0.35">
      <c r="A707" s="75">
        <v>706</v>
      </c>
      <c r="B707" s="64">
        <v>2011</v>
      </c>
      <c r="C707" s="64">
        <v>11</v>
      </c>
      <c r="D707" s="80">
        <f t="shared" si="25"/>
        <v>2011</v>
      </c>
      <c r="E707" t="s">
        <v>38</v>
      </c>
      <c r="F707" t="s">
        <v>143</v>
      </c>
      <c r="G707" t="s">
        <v>10</v>
      </c>
      <c r="H707" s="72" t="s">
        <v>220</v>
      </c>
      <c r="I707" s="72" t="s">
        <v>62</v>
      </c>
      <c r="J707" t="str">
        <f t="shared" ref="J707:J770" si="26">I707</f>
        <v>Skykomish River</v>
      </c>
      <c r="K707" t="str">
        <f>IFERROR(VLOOKUP(J707,LUTs!$A$1:$C$73,2,FALSE),"NA")</f>
        <v>Snohomish</v>
      </c>
      <c r="L707" t="str">
        <f>IFERROR(VLOOKUP(J707,LUTs!$A$1:$C$73,3,FALSE),"NA")</f>
        <v>2Central Puget Sound</v>
      </c>
      <c r="M707" s="72" t="s">
        <v>20</v>
      </c>
      <c r="N707" t="str">
        <f>VLOOKUP(M707,LUTs!E$2:H$14,3,)</f>
        <v>07Pierce</v>
      </c>
      <c r="O707" t="str">
        <f>VLOOKUP(M707,LUTs!E$2:H$14,4,)</f>
        <v>02South Puget Sound</v>
      </c>
      <c r="P707" s="73">
        <v>30.34375</v>
      </c>
      <c r="Q707" s="74">
        <f>VLOOKUP(B707,Readme!A$40:C$51,2,)*P707</f>
        <v>104.38249999999999</v>
      </c>
    </row>
    <row r="708" spans="1:17" ht="12" customHeight="1" x14ac:dyDescent="0.35">
      <c r="A708" s="75">
        <v>707</v>
      </c>
      <c r="B708" s="64">
        <v>2011</v>
      </c>
      <c r="C708" s="64">
        <v>11</v>
      </c>
      <c r="D708" s="80">
        <f t="shared" si="25"/>
        <v>2011</v>
      </c>
      <c r="E708" t="s">
        <v>38</v>
      </c>
      <c r="F708" t="s">
        <v>143</v>
      </c>
      <c r="G708" t="s">
        <v>10</v>
      </c>
      <c r="H708" s="72" t="s">
        <v>220</v>
      </c>
      <c r="I708" s="72" t="s">
        <v>62</v>
      </c>
      <c r="J708" t="str">
        <f t="shared" si="26"/>
        <v>Skykomish River</v>
      </c>
      <c r="K708" t="str">
        <f>IFERROR(VLOOKUP(J708,LUTs!$A$1:$C$73,2,FALSE),"NA")</f>
        <v>Snohomish</v>
      </c>
      <c r="L708" t="str">
        <f>IFERROR(VLOOKUP(J708,LUTs!$A$1:$C$73,3,FALSE),"NA")</f>
        <v>2Central Puget Sound</v>
      </c>
      <c r="M708" s="72" t="s">
        <v>15</v>
      </c>
      <c r="N708" t="str">
        <f>VLOOKUP(M708,LUTs!E$2:H$14,3,)</f>
        <v>02Skagit</v>
      </c>
      <c r="O708" t="str">
        <f>VLOOKUP(M708,LUTs!E$2:H$14,4,)</f>
        <v>01North Puget Sound</v>
      </c>
      <c r="P708" s="73">
        <v>30.34375</v>
      </c>
      <c r="Q708" s="74">
        <f>VLOOKUP(B708,Readme!A$40:C$51,2,)*P708</f>
        <v>104.38249999999999</v>
      </c>
    </row>
    <row r="709" spans="1:17" ht="12" customHeight="1" x14ac:dyDescent="0.35">
      <c r="A709" s="75">
        <v>708</v>
      </c>
      <c r="B709" s="64">
        <v>2011</v>
      </c>
      <c r="C709" s="64">
        <v>11</v>
      </c>
      <c r="D709" s="80">
        <f t="shared" si="25"/>
        <v>2011</v>
      </c>
      <c r="E709" t="s">
        <v>38</v>
      </c>
      <c r="F709" t="s">
        <v>143</v>
      </c>
      <c r="G709" t="s">
        <v>10</v>
      </c>
      <c r="H709" s="72" t="s">
        <v>220</v>
      </c>
      <c r="I709" s="72" t="s">
        <v>62</v>
      </c>
      <c r="J709" t="str">
        <f t="shared" si="26"/>
        <v>Skykomish River</v>
      </c>
      <c r="K709" t="str">
        <f>IFERROR(VLOOKUP(J709,LUTs!$A$1:$C$73,2,FALSE),"NA")</f>
        <v>Snohomish</v>
      </c>
      <c r="L709" t="str">
        <f>IFERROR(VLOOKUP(J709,LUTs!$A$1:$C$73,3,FALSE),"NA")</f>
        <v>2Central Puget Sound</v>
      </c>
      <c r="M709" s="72" t="s">
        <v>16</v>
      </c>
      <c r="N709" t="str">
        <f>VLOOKUP(M709,LUTs!E$2:H$14,3,)</f>
        <v>03Snohomish</v>
      </c>
      <c r="O709" t="str">
        <f>VLOOKUP(M709,LUTs!E$2:H$14,4,)</f>
        <v>01North Puget Sound</v>
      </c>
      <c r="P709" s="73">
        <v>493.0859375</v>
      </c>
      <c r="Q709" s="74">
        <f>VLOOKUP(B709,Readme!A$40:C$51,2,)*P709</f>
        <v>1696.215625</v>
      </c>
    </row>
    <row r="710" spans="1:17" ht="12" customHeight="1" x14ac:dyDescent="0.35">
      <c r="A710" s="75">
        <v>709</v>
      </c>
      <c r="B710" s="64">
        <v>2011</v>
      </c>
      <c r="C710" s="64">
        <v>11</v>
      </c>
      <c r="D710" s="80">
        <f t="shared" si="25"/>
        <v>2011</v>
      </c>
      <c r="E710" t="s">
        <v>38</v>
      </c>
      <c r="F710" t="s">
        <v>143</v>
      </c>
      <c r="G710" t="s">
        <v>10</v>
      </c>
      <c r="H710" s="72" t="s">
        <v>220</v>
      </c>
      <c r="I710" s="72" t="s">
        <v>62</v>
      </c>
      <c r="J710" t="str">
        <f t="shared" si="26"/>
        <v>Skykomish River</v>
      </c>
      <c r="K710" t="str">
        <f>IFERROR(VLOOKUP(J710,LUTs!$A$1:$C$73,2,FALSE),"NA")</f>
        <v>Snohomish</v>
      </c>
      <c r="L710" t="str">
        <f>IFERROR(VLOOKUP(J710,LUTs!$A$1:$C$73,3,FALSE),"NA")</f>
        <v>2Central Puget Sound</v>
      </c>
      <c r="M710" s="72" t="s">
        <v>21</v>
      </c>
      <c r="N710" t="str">
        <f>VLOOKUP(M710,LUTs!E$2:H$14,3,)</f>
        <v>08Thurston</v>
      </c>
      <c r="O710" t="str">
        <f>VLOOKUP(M710,LUTs!E$2:H$14,4,)</f>
        <v>02South Puget Sound</v>
      </c>
      <c r="P710" s="73">
        <v>15.171875</v>
      </c>
      <c r="Q710" s="74">
        <f>VLOOKUP(B710,Readme!A$40:C$51,2,)*P710</f>
        <v>52.191249999999997</v>
      </c>
    </row>
    <row r="711" spans="1:17" ht="12" customHeight="1" x14ac:dyDescent="0.35">
      <c r="A711" s="75">
        <v>710</v>
      </c>
      <c r="B711" s="64">
        <v>2011</v>
      </c>
      <c r="C711" s="64">
        <v>12</v>
      </c>
      <c r="D711" s="80">
        <f t="shared" si="25"/>
        <v>2011</v>
      </c>
      <c r="E711" t="s">
        <v>38</v>
      </c>
      <c r="F711" t="s">
        <v>143</v>
      </c>
      <c r="G711" t="s">
        <v>10</v>
      </c>
      <c r="H711" s="72" t="s">
        <v>220</v>
      </c>
      <c r="I711" s="72" t="s">
        <v>62</v>
      </c>
      <c r="J711" t="str">
        <f t="shared" si="26"/>
        <v>Skykomish River</v>
      </c>
      <c r="K711" t="str">
        <f>IFERROR(VLOOKUP(J711,LUTs!$A$1:$C$73,2,FALSE),"NA")</f>
        <v>Snohomish</v>
      </c>
      <c r="L711" t="str">
        <f>IFERROR(VLOOKUP(J711,LUTs!$A$1:$C$73,3,FALSE),"NA")</f>
        <v>2Central Puget Sound</v>
      </c>
      <c r="M711" s="72" t="s">
        <v>18</v>
      </c>
      <c r="N711" t="str">
        <f>VLOOKUP(M711,LUTs!E$2:H$14,3,)</f>
        <v>06King</v>
      </c>
      <c r="O711" t="str">
        <f>VLOOKUP(M711,LUTs!E$2:H$14,4,)</f>
        <v>02South Puget Sound</v>
      </c>
      <c r="P711" s="73">
        <v>22.7368421052632</v>
      </c>
      <c r="Q711" s="74">
        <f>VLOOKUP(B711,Readme!A$40:C$51,2,)*P711</f>
        <v>78.21473684210541</v>
      </c>
    </row>
    <row r="712" spans="1:17" ht="12" customHeight="1" x14ac:dyDescent="0.35">
      <c r="A712" s="75">
        <v>711</v>
      </c>
      <c r="B712" s="64">
        <v>2011</v>
      </c>
      <c r="C712" s="64">
        <v>12</v>
      </c>
      <c r="D712" s="80">
        <f t="shared" si="25"/>
        <v>2011</v>
      </c>
      <c r="E712" t="s">
        <v>38</v>
      </c>
      <c r="F712" t="s">
        <v>143</v>
      </c>
      <c r="G712" t="s">
        <v>10</v>
      </c>
      <c r="H712" s="72" t="s">
        <v>220</v>
      </c>
      <c r="I712" s="72" t="s">
        <v>62</v>
      </c>
      <c r="J712" t="str">
        <f t="shared" si="26"/>
        <v>Skykomish River</v>
      </c>
      <c r="K712" t="str">
        <f>IFERROR(VLOOKUP(J712,LUTs!$A$1:$C$73,2,FALSE),"NA")</f>
        <v>Snohomish</v>
      </c>
      <c r="L712" t="str">
        <f>IFERROR(VLOOKUP(J712,LUTs!$A$1:$C$73,3,FALSE),"NA")</f>
        <v>2Central Puget Sound</v>
      </c>
      <c r="M712" s="72" t="s">
        <v>16</v>
      </c>
      <c r="N712" t="str">
        <f>VLOOKUP(M712,LUTs!E$2:H$14,3,)</f>
        <v>03Snohomish</v>
      </c>
      <c r="O712" t="str">
        <f>VLOOKUP(M712,LUTs!E$2:H$14,4,)</f>
        <v>01North Puget Sound</v>
      </c>
      <c r="P712" s="73">
        <v>121.26315789473701</v>
      </c>
      <c r="Q712" s="74">
        <f>VLOOKUP(B712,Readme!A$40:C$51,2,)*P712</f>
        <v>417.14526315789527</v>
      </c>
    </row>
    <row r="713" spans="1:17" ht="12" customHeight="1" x14ac:dyDescent="0.35">
      <c r="A713" s="75">
        <v>712</v>
      </c>
      <c r="B713" s="64">
        <v>2011</v>
      </c>
      <c r="C713" s="64">
        <v>8</v>
      </c>
      <c r="D713" s="80">
        <f t="shared" si="25"/>
        <v>2011</v>
      </c>
      <c r="E713" t="s">
        <v>38</v>
      </c>
      <c r="F713" t="s">
        <v>143</v>
      </c>
      <c r="G713" t="s">
        <v>10</v>
      </c>
      <c r="H713" s="72" t="s">
        <v>221</v>
      </c>
      <c r="I713" s="72" t="s">
        <v>63</v>
      </c>
      <c r="J713" t="str">
        <f t="shared" si="26"/>
        <v>Snohomish River</v>
      </c>
      <c r="K713" t="str">
        <f>IFERROR(VLOOKUP(J713,LUTs!$A$1:$C$73,2,FALSE),"NA")</f>
        <v>Snohomish</v>
      </c>
      <c r="L713" t="str">
        <f>IFERROR(VLOOKUP(J713,LUTs!$A$1:$C$73,3,FALSE),"NA")</f>
        <v>2Central Puget Sound</v>
      </c>
      <c r="M713" s="72" t="s">
        <v>24</v>
      </c>
      <c r="N713" t="str">
        <f>VLOOKUP(M713,LUTs!E$2:H$14,3,)</f>
        <v>11Clallam</v>
      </c>
      <c r="O713" t="str">
        <f>VLOOKUP(M713,LUTs!E$2:H$14,4,)</f>
        <v>03Strait of Juan de Fuca</v>
      </c>
      <c r="P713" s="73">
        <v>30.0863723608445</v>
      </c>
      <c r="Q713" s="74">
        <f>VLOOKUP(B713,Readme!A$40:C$51,2,)*P713</f>
        <v>103.49712092130508</v>
      </c>
    </row>
    <row r="714" spans="1:17" ht="12" customHeight="1" x14ac:dyDescent="0.35">
      <c r="A714" s="75">
        <v>713</v>
      </c>
      <c r="B714" s="64">
        <v>2011</v>
      </c>
      <c r="C714" s="64">
        <v>8</v>
      </c>
      <c r="D714" s="80">
        <f t="shared" si="25"/>
        <v>2011</v>
      </c>
      <c r="E714" t="s">
        <v>38</v>
      </c>
      <c r="F714" t="s">
        <v>143</v>
      </c>
      <c r="G714" t="s">
        <v>10</v>
      </c>
      <c r="H714" s="72" t="s">
        <v>221</v>
      </c>
      <c r="I714" s="72" t="s">
        <v>63</v>
      </c>
      <c r="J714" t="str">
        <f t="shared" si="26"/>
        <v>Snohomish River</v>
      </c>
      <c r="K714" t="str">
        <f>IFERROR(VLOOKUP(J714,LUTs!$A$1:$C$73,2,FALSE),"NA")</f>
        <v>Snohomish</v>
      </c>
      <c r="L714" t="str">
        <f>IFERROR(VLOOKUP(J714,LUTs!$A$1:$C$73,3,FALSE),"NA")</f>
        <v>2Central Puget Sound</v>
      </c>
      <c r="M714" s="72" t="s">
        <v>17</v>
      </c>
      <c r="N714" t="str">
        <f>VLOOKUP(M714,LUTs!E$2:H$14,3,)</f>
        <v>04Island</v>
      </c>
      <c r="O714" t="str">
        <f>VLOOKUP(M714,LUTs!E$2:H$14,4,)</f>
        <v>01North Puget Sound</v>
      </c>
      <c r="P714" s="73">
        <v>22.564779270633402</v>
      </c>
      <c r="Q714" s="74">
        <f>VLOOKUP(B714,Readme!A$40:C$51,2,)*P714</f>
        <v>77.622840690978904</v>
      </c>
    </row>
    <row r="715" spans="1:17" ht="12" customHeight="1" x14ac:dyDescent="0.35">
      <c r="A715" s="75">
        <v>714</v>
      </c>
      <c r="B715" s="64">
        <v>2011</v>
      </c>
      <c r="C715" s="64">
        <v>8</v>
      </c>
      <c r="D715" s="80">
        <f t="shared" si="25"/>
        <v>2011</v>
      </c>
      <c r="E715" t="s">
        <v>38</v>
      </c>
      <c r="F715" t="s">
        <v>143</v>
      </c>
      <c r="G715" t="s">
        <v>10</v>
      </c>
      <c r="H715" s="72" t="s">
        <v>221</v>
      </c>
      <c r="I715" s="72" t="s">
        <v>63</v>
      </c>
      <c r="J715" t="str">
        <f t="shared" si="26"/>
        <v>Snohomish River</v>
      </c>
      <c r="K715" t="str">
        <f>IFERROR(VLOOKUP(J715,LUTs!$A$1:$C$73,2,FALSE),"NA")</f>
        <v>Snohomish</v>
      </c>
      <c r="L715" t="str">
        <f>IFERROR(VLOOKUP(J715,LUTs!$A$1:$C$73,3,FALSE),"NA")</f>
        <v>2Central Puget Sound</v>
      </c>
      <c r="M715" s="72" t="s">
        <v>18</v>
      </c>
      <c r="N715" t="str">
        <f>VLOOKUP(M715,LUTs!E$2:H$14,3,)</f>
        <v>06King</v>
      </c>
      <c r="O715" t="str">
        <f>VLOOKUP(M715,LUTs!E$2:H$14,4,)</f>
        <v>02South Puget Sound</v>
      </c>
      <c r="P715" s="73">
        <v>3008.6372360844498</v>
      </c>
      <c r="Q715" s="74">
        <f>VLOOKUP(B715,Readme!A$40:C$51,2,)*P715</f>
        <v>10349.712092130507</v>
      </c>
    </row>
    <row r="716" spans="1:17" ht="12" customHeight="1" x14ac:dyDescent="0.35">
      <c r="A716" s="75">
        <v>715</v>
      </c>
      <c r="B716" s="64">
        <v>2011</v>
      </c>
      <c r="C716" s="64">
        <v>8</v>
      </c>
      <c r="D716" s="80">
        <f t="shared" si="25"/>
        <v>2011</v>
      </c>
      <c r="E716" t="s">
        <v>38</v>
      </c>
      <c r="F716" t="s">
        <v>143</v>
      </c>
      <c r="G716" t="s">
        <v>10</v>
      </c>
      <c r="H716" s="72" t="s">
        <v>221</v>
      </c>
      <c r="I716" s="72" t="s">
        <v>63</v>
      </c>
      <c r="J716" t="str">
        <f t="shared" si="26"/>
        <v>Snohomish River</v>
      </c>
      <c r="K716" t="str">
        <f>IFERROR(VLOOKUP(J716,LUTs!$A$1:$C$73,2,FALSE),"NA")</f>
        <v>Snohomish</v>
      </c>
      <c r="L716" t="str">
        <f>IFERROR(VLOOKUP(J716,LUTs!$A$1:$C$73,3,FALSE),"NA")</f>
        <v>2Central Puget Sound</v>
      </c>
      <c r="M716" s="72" t="s">
        <v>26</v>
      </c>
      <c r="N716" t="str">
        <f>VLOOKUP(M716,LUTs!E$2:H$14,3,)</f>
        <v>20Other</v>
      </c>
      <c r="O716" t="str">
        <f>VLOOKUP(M716,LUTs!E$2:H$14,4,)</f>
        <v>07Non Puget Sound</v>
      </c>
      <c r="P716" s="73">
        <v>1143.2821497120899</v>
      </c>
      <c r="Q716" s="74">
        <f>VLOOKUP(B716,Readme!A$40:C$51,2,)*P716</f>
        <v>3932.8905950095891</v>
      </c>
    </row>
    <row r="717" spans="1:17" ht="12" customHeight="1" x14ac:dyDescent="0.35">
      <c r="A717" s="75">
        <v>716</v>
      </c>
      <c r="B717" s="64">
        <v>2011</v>
      </c>
      <c r="C717" s="64">
        <v>8</v>
      </c>
      <c r="D717" s="80">
        <f t="shared" si="25"/>
        <v>2011</v>
      </c>
      <c r="E717" t="s">
        <v>38</v>
      </c>
      <c r="F717" t="s">
        <v>143</v>
      </c>
      <c r="G717" t="s">
        <v>10</v>
      </c>
      <c r="H717" s="72" t="s">
        <v>221</v>
      </c>
      <c r="I717" s="72" t="s">
        <v>63</v>
      </c>
      <c r="J717" t="str">
        <f t="shared" si="26"/>
        <v>Snohomish River</v>
      </c>
      <c r="K717" t="str">
        <f>IFERROR(VLOOKUP(J717,LUTs!$A$1:$C$73,2,FALSE),"NA")</f>
        <v>Snohomish</v>
      </c>
      <c r="L717" t="str">
        <f>IFERROR(VLOOKUP(J717,LUTs!$A$1:$C$73,3,FALSE),"NA")</f>
        <v>2Central Puget Sound</v>
      </c>
      <c r="M717" s="72" t="s">
        <v>20</v>
      </c>
      <c r="N717" t="str">
        <f>VLOOKUP(M717,LUTs!E$2:H$14,3,)</f>
        <v>07Pierce</v>
      </c>
      <c r="O717" t="str">
        <f>VLOOKUP(M717,LUTs!E$2:H$14,4,)</f>
        <v>02South Puget Sound</v>
      </c>
      <c r="P717" s="73">
        <v>75.215930902111296</v>
      </c>
      <c r="Q717" s="74">
        <f>VLOOKUP(B717,Readme!A$40:C$51,2,)*P717</f>
        <v>258.74280230326286</v>
      </c>
    </row>
    <row r="718" spans="1:17" ht="12" customHeight="1" x14ac:dyDescent="0.35">
      <c r="A718" s="75">
        <v>717</v>
      </c>
      <c r="B718" s="64">
        <v>2011</v>
      </c>
      <c r="C718" s="64">
        <v>8</v>
      </c>
      <c r="D718" s="80">
        <f t="shared" si="25"/>
        <v>2011</v>
      </c>
      <c r="E718" t="s">
        <v>38</v>
      </c>
      <c r="F718" t="s">
        <v>143</v>
      </c>
      <c r="G718" t="s">
        <v>10</v>
      </c>
      <c r="H718" s="72" t="s">
        <v>221</v>
      </c>
      <c r="I718" s="72" t="s">
        <v>63</v>
      </c>
      <c r="J718" t="str">
        <f t="shared" si="26"/>
        <v>Snohomish River</v>
      </c>
      <c r="K718" t="str">
        <f>IFERROR(VLOOKUP(J718,LUTs!$A$1:$C$73,2,FALSE),"NA")</f>
        <v>Snohomish</v>
      </c>
      <c r="L718" t="str">
        <f>IFERROR(VLOOKUP(J718,LUTs!$A$1:$C$73,3,FALSE),"NA")</f>
        <v>2Central Puget Sound</v>
      </c>
      <c r="M718" s="72" t="s">
        <v>15</v>
      </c>
      <c r="N718" t="str">
        <f>VLOOKUP(M718,LUTs!E$2:H$14,3,)</f>
        <v>02Skagit</v>
      </c>
      <c r="O718" t="str">
        <f>VLOOKUP(M718,LUTs!E$2:H$14,4,)</f>
        <v>01North Puget Sound</v>
      </c>
      <c r="P718" s="73">
        <v>45.129558541266803</v>
      </c>
      <c r="Q718" s="74">
        <f>VLOOKUP(B718,Readme!A$40:C$51,2,)*P718</f>
        <v>155.24568138195781</v>
      </c>
    </row>
    <row r="719" spans="1:17" ht="12" customHeight="1" x14ac:dyDescent="0.35">
      <c r="A719" s="75">
        <v>718</v>
      </c>
      <c r="B719" s="64">
        <v>2011</v>
      </c>
      <c r="C719" s="64">
        <v>8</v>
      </c>
      <c r="D719" s="80">
        <f t="shared" si="25"/>
        <v>2011</v>
      </c>
      <c r="E719" t="s">
        <v>38</v>
      </c>
      <c r="F719" t="s">
        <v>143</v>
      </c>
      <c r="G719" t="s">
        <v>10</v>
      </c>
      <c r="H719" s="72" t="s">
        <v>221</v>
      </c>
      <c r="I719" s="72" t="s">
        <v>63</v>
      </c>
      <c r="J719" t="str">
        <f t="shared" si="26"/>
        <v>Snohomish River</v>
      </c>
      <c r="K719" t="str">
        <f>IFERROR(VLOOKUP(J719,LUTs!$A$1:$C$73,2,FALSE),"NA")</f>
        <v>Snohomish</v>
      </c>
      <c r="L719" t="str">
        <f>IFERROR(VLOOKUP(J719,LUTs!$A$1:$C$73,3,FALSE),"NA")</f>
        <v>2Central Puget Sound</v>
      </c>
      <c r="M719" s="72" t="s">
        <v>16</v>
      </c>
      <c r="N719" t="str">
        <f>VLOOKUP(M719,LUTs!E$2:H$14,3,)</f>
        <v>03Snohomish</v>
      </c>
      <c r="O719" t="str">
        <f>VLOOKUP(M719,LUTs!E$2:H$14,4,)</f>
        <v>01North Puget Sound</v>
      </c>
      <c r="P719" s="73">
        <v>11267.346449136299</v>
      </c>
      <c r="Q719" s="74">
        <f>VLOOKUP(B719,Readme!A$40:C$51,2,)*P719</f>
        <v>38759.67178502887</v>
      </c>
    </row>
    <row r="720" spans="1:17" ht="12" customHeight="1" x14ac:dyDescent="0.35">
      <c r="A720" s="75">
        <v>719</v>
      </c>
      <c r="B720" s="64">
        <v>2011</v>
      </c>
      <c r="C720" s="64">
        <v>8</v>
      </c>
      <c r="D720" s="80">
        <f t="shared" si="25"/>
        <v>2011</v>
      </c>
      <c r="E720" t="s">
        <v>38</v>
      </c>
      <c r="F720" t="s">
        <v>143</v>
      </c>
      <c r="G720" t="s">
        <v>10</v>
      </c>
      <c r="H720" s="72" t="s">
        <v>221</v>
      </c>
      <c r="I720" s="72" t="s">
        <v>63</v>
      </c>
      <c r="J720" t="str">
        <f t="shared" si="26"/>
        <v>Snohomish River</v>
      </c>
      <c r="K720" t="str">
        <f>IFERROR(VLOOKUP(J720,LUTs!$A$1:$C$73,2,FALSE),"NA")</f>
        <v>Snohomish</v>
      </c>
      <c r="L720" t="str">
        <f>IFERROR(VLOOKUP(J720,LUTs!$A$1:$C$73,3,FALSE),"NA")</f>
        <v>2Central Puget Sound</v>
      </c>
      <c r="M720" s="72" t="s">
        <v>21</v>
      </c>
      <c r="N720" t="str">
        <f>VLOOKUP(M720,LUTs!E$2:H$14,3,)</f>
        <v>08Thurston</v>
      </c>
      <c r="O720" t="str">
        <f>VLOOKUP(M720,LUTs!E$2:H$14,4,)</f>
        <v>02South Puget Sound</v>
      </c>
      <c r="P720" s="73">
        <v>60.172744721689099</v>
      </c>
      <c r="Q720" s="74">
        <f>VLOOKUP(B720,Readme!A$40:C$51,2,)*P720</f>
        <v>206.99424184261051</v>
      </c>
    </row>
    <row r="721" spans="1:17" ht="12" customHeight="1" x14ac:dyDescent="0.35">
      <c r="A721" s="75">
        <v>720</v>
      </c>
      <c r="B721" s="64">
        <v>2011</v>
      </c>
      <c r="C721" s="64">
        <v>8</v>
      </c>
      <c r="D721" s="80">
        <f t="shared" si="25"/>
        <v>2011</v>
      </c>
      <c r="E721" t="s">
        <v>38</v>
      </c>
      <c r="F721" t="s">
        <v>143</v>
      </c>
      <c r="G721" t="s">
        <v>10</v>
      </c>
      <c r="H721" s="72" t="s">
        <v>221</v>
      </c>
      <c r="I721" s="72" t="s">
        <v>63</v>
      </c>
      <c r="J721" t="str">
        <f t="shared" si="26"/>
        <v>Snohomish River</v>
      </c>
      <c r="K721" t="str">
        <f>IFERROR(VLOOKUP(J721,LUTs!$A$1:$C$73,2,FALSE),"NA")</f>
        <v>Snohomish</v>
      </c>
      <c r="L721" t="str">
        <f>IFERROR(VLOOKUP(J721,LUTs!$A$1:$C$73,3,FALSE),"NA")</f>
        <v>2Central Puget Sound</v>
      </c>
      <c r="M721" s="72" t="s">
        <v>13</v>
      </c>
      <c r="N721" t="str">
        <f>VLOOKUP(M721,LUTs!E$2:H$14,3,)</f>
        <v>01Whatcom</v>
      </c>
      <c r="O721" t="str">
        <f>VLOOKUP(M721,LUTs!E$2:H$14,4,)</f>
        <v>01North Puget Sound</v>
      </c>
      <c r="P721" s="73">
        <v>22.564779270633402</v>
      </c>
      <c r="Q721" s="74">
        <f>VLOOKUP(B721,Readme!A$40:C$51,2,)*P721</f>
        <v>77.622840690978904</v>
      </c>
    </row>
    <row r="722" spans="1:17" ht="12" customHeight="1" x14ac:dyDescent="0.35">
      <c r="A722" s="75">
        <v>721</v>
      </c>
      <c r="B722" s="64">
        <v>2011</v>
      </c>
      <c r="C722" s="64">
        <v>9</v>
      </c>
      <c r="D722" s="80">
        <f t="shared" si="25"/>
        <v>2011</v>
      </c>
      <c r="E722" t="s">
        <v>38</v>
      </c>
      <c r="F722" t="s">
        <v>143</v>
      </c>
      <c r="G722" t="s">
        <v>10</v>
      </c>
      <c r="H722" s="72" t="s">
        <v>221</v>
      </c>
      <c r="I722" s="72" t="s">
        <v>63</v>
      </c>
      <c r="J722" t="str">
        <f t="shared" si="26"/>
        <v>Snohomish River</v>
      </c>
      <c r="K722" t="str">
        <f>IFERROR(VLOOKUP(J722,LUTs!$A$1:$C$73,2,FALSE),"NA")</f>
        <v>Snohomish</v>
      </c>
      <c r="L722" t="str">
        <f>IFERROR(VLOOKUP(J722,LUTs!$A$1:$C$73,3,FALSE),"NA")</f>
        <v>2Central Puget Sound</v>
      </c>
      <c r="M722" s="72" t="s">
        <v>17</v>
      </c>
      <c r="N722" t="str">
        <f>VLOOKUP(M722,LUTs!E$2:H$14,3,)</f>
        <v>04Island</v>
      </c>
      <c r="O722" t="str">
        <f>VLOOKUP(M722,LUTs!E$2:H$14,4,)</f>
        <v>01North Puget Sound</v>
      </c>
      <c r="P722" s="73">
        <v>22.557193207305399</v>
      </c>
      <c r="Q722" s="74">
        <f>VLOOKUP(B722,Readme!A$40:C$51,2,)*P722</f>
        <v>77.596744633130569</v>
      </c>
    </row>
    <row r="723" spans="1:17" ht="12" customHeight="1" x14ac:dyDescent="0.35">
      <c r="A723" s="75">
        <v>722</v>
      </c>
      <c r="B723" s="64">
        <v>2011</v>
      </c>
      <c r="C723" s="64">
        <v>9</v>
      </c>
      <c r="D723" s="80">
        <f t="shared" si="25"/>
        <v>2011</v>
      </c>
      <c r="E723" t="s">
        <v>38</v>
      </c>
      <c r="F723" t="s">
        <v>143</v>
      </c>
      <c r="G723" t="s">
        <v>10</v>
      </c>
      <c r="H723" s="72" t="s">
        <v>221</v>
      </c>
      <c r="I723" s="72" t="s">
        <v>63</v>
      </c>
      <c r="J723" t="str">
        <f t="shared" si="26"/>
        <v>Snohomish River</v>
      </c>
      <c r="K723" t="str">
        <f>IFERROR(VLOOKUP(J723,LUTs!$A$1:$C$73,2,FALSE),"NA")</f>
        <v>Snohomish</v>
      </c>
      <c r="L723" t="str">
        <f>IFERROR(VLOOKUP(J723,LUTs!$A$1:$C$73,3,FALSE),"NA")</f>
        <v>2Central Puget Sound</v>
      </c>
      <c r="M723" s="72" t="s">
        <v>18</v>
      </c>
      <c r="N723" t="str">
        <f>VLOOKUP(M723,LUTs!E$2:H$14,3,)</f>
        <v>06King</v>
      </c>
      <c r="O723" t="str">
        <f>VLOOKUP(M723,LUTs!E$2:H$14,4,)</f>
        <v>02South Puget Sound</v>
      </c>
      <c r="P723" s="73">
        <v>9834.9362383851403</v>
      </c>
      <c r="Q723" s="74">
        <f>VLOOKUP(B723,Readme!A$40:C$51,2,)*P723</f>
        <v>33832.180660044884</v>
      </c>
    </row>
    <row r="724" spans="1:17" ht="12" customHeight="1" x14ac:dyDescent="0.35">
      <c r="A724" s="75">
        <v>723</v>
      </c>
      <c r="B724" s="64">
        <v>2011</v>
      </c>
      <c r="C724" s="64">
        <v>9</v>
      </c>
      <c r="D724" s="80">
        <f t="shared" si="25"/>
        <v>2011</v>
      </c>
      <c r="E724" t="s">
        <v>38</v>
      </c>
      <c r="F724" t="s">
        <v>143</v>
      </c>
      <c r="G724" t="s">
        <v>10</v>
      </c>
      <c r="H724" s="72" t="s">
        <v>221</v>
      </c>
      <c r="I724" s="72" t="s">
        <v>63</v>
      </c>
      <c r="J724" t="str">
        <f t="shared" si="26"/>
        <v>Snohomish River</v>
      </c>
      <c r="K724" t="str">
        <f>IFERROR(VLOOKUP(J724,LUTs!$A$1:$C$73,2,FALSE),"NA")</f>
        <v>Snohomish</v>
      </c>
      <c r="L724" t="str">
        <f>IFERROR(VLOOKUP(J724,LUTs!$A$1:$C$73,3,FALSE),"NA")</f>
        <v>2Central Puget Sound</v>
      </c>
      <c r="M724" s="72" t="s">
        <v>23</v>
      </c>
      <c r="N724" t="str">
        <f>VLOOKUP(M724,LUTs!E$2:H$14,3,)</f>
        <v>10Kitsap</v>
      </c>
      <c r="O724" t="str">
        <f>VLOOKUP(M724,LUTs!E$2:H$14,4,)</f>
        <v>02South Puget Sound</v>
      </c>
      <c r="P724" s="73">
        <v>52.633450817045798</v>
      </c>
      <c r="Q724" s="74">
        <f>VLOOKUP(B724,Readme!A$40:C$51,2,)*P724</f>
        <v>181.05907081063754</v>
      </c>
    </row>
    <row r="725" spans="1:17" ht="12" customHeight="1" x14ac:dyDescent="0.35">
      <c r="A725" s="75">
        <v>724</v>
      </c>
      <c r="B725" s="64">
        <v>2011</v>
      </c>
      <c r="C725" s="64">
        <v>9</v>
      </c>
      <c r="D725" s="80">
        <f t="shared" si="25"/>
        <v>2011</v>
      </c>
      <c r="E725" t="s">
        <v>38</v>
      </c>
      <c r="F725" t="s">
        <v>143</v>
      </c>
      <c r="G725" t="s">
        <v>10</v>
      </c>
      <c r="H725" s="72" t="s">
        <v>221</v>
      </c>
      <c r="I725" s="72" t="s">
        <v>63</v>
      </c>
      <c r="J725" t="str">
        <f t="shared" si="26"/>
        <v>Snohomish River</v>
      </c>
      <c r="K725" t="str">
        <f>IFERROR(VLOOKUP(J725,LUTs!$A$1:$C$73,2,FALSE),"NA")</f>
        <v>Snohomish</v>
      </c>
      <c r="L725" t="str">
        <f>IFERROR(VLOOKUP(J725,LUTs!$A$1:$C$73,3,FALSE),"NA")</f>
        <v>2Central Puget Sound</v>
      </c>
      <c r="M725" s="72" t="s">
        <v>22</v>
      </c>
      <c r="N725" t="str">
        <f>VLOOKUP(M725,LUTs!E$2:H$14,3,)</f>
        <v>09Mason</v>
      </c>
      <c r="O725" t="str">
        <f>VLOOKUP(M725,LUTs!E$2:H$14,4,)</f>
        <v>02South Puget Sound</v>
      </c>
      <c r="P725" s="73">
        <v>30.076257609740502</v>
      </c>
      <c r="Q725" s="74">
        <f>VLOOKUP(B725,Readme!A$40:C$51,2,)*P725</f>
        <v>103.46232617750732</v>
      </c>
    </row>
    <row r="726" spans="1:17" ht="12" customHeight="1" x14ac:dyDescent="0.35">
      <c r="A726" s="75">
        <v>725</v>
      </c>
      <c r="B726" s="64">
        <v>2011</v>
      </c>
      <c r="C726" s="64">
        <v>9</v>
      </c>
      <c r="D726" s="80">
        <f t="shared" si="25"/>
        <v>2011</v>
      </c>
      <c r="E726" t="s">
        <v>38</v>
      </c>
      <c r="F726" t="s">
        <v>143</v>
      </c>
      <c r="G726" t="s">
        <v>10</v>
      </c>
      <c r="H726" s="72" t="s">
        <v>221</v>
      </c>
      <c r="I726" s="72" t="s">
        <v>63</v>
      </c>
      <c r="J726" t="str">
        <f t="shared" si="26"/>
        <v>Snohomish River</v>
      </c>
      <c r="K726" t="str">
        <f>IFERROR(VLOOKUP(J726,LUTs!$A$1:$C$73,2,FALSE),"NA")</f>
        <v>Snohomish</v>
      </c>
      <c r="L726" t="str">
        <f>IFERROR(VLOOKUP(J726,LUTs!$A$1:$C$73,3,FALSE),"NA")</f>
        <v>2Central Puget Sound</v>
      </c>
      <c r="M726" s="72" t="s">
        <v>26</v>
      </c>
      <c r="N726" t="str">
        <f>VLOOKUP(M726,LUTs!E$2:H$14,3,)</f>
        <v>20Other</v>
      </c>
      <c r="O726" t="str">
        <f>VLOOKUP(M726,LUTs!E$2:H$14,4,)</f>
        <v>07Non Puget Sound</v>
      </c>
      <c r="P726" s="73">
        <v>2872.28260173021</v>
      </c>
      <c r="Q726" s="74">
        <f>VLOOKUP(B726,Readme!A$40:C$51,2,)*P726</f>
        <v>9880.6521499519222</v>
      </c>
    </row>
    <row r="727" spans="1:17" ht="12" customHeight="1" x14ac:dyDescent="0.35">
      <c r="A727" s="75">
        <v>726</v>
      </c>
      <c r="B727" s="64">
        <v>2011</v>
      </c>
      <c r="C727" s="64">
        <v>9</v>
      </c>
      <c r="D727" s="80">
        <f t="shared" si="25"/>
        <v>2011</v>
      </c>
      <c r="E727" t="s">
        <v>38</v>
      </c>
      <c r="F727" t="s">
        <v>143</v>
      </c>
      <c r="G727" t="s">
        <v>10</v>
      </c>
      <c r="H727" s="72" t="s">
        <v>221</v>
      </c>
      <c r="I727" s="72" t="s">
        <v>63</v>
      </c>
      <c r="J727" t="str">
        <f t="shared" si="26"/>
        <v>Snohomish River</v>
      </c>
      <c r="K727" t="str">
        <f>IFERROR(VLOOKUP(J727,LUTs!$A$1:$C$73,2,FALSE),"NA")</f>
        <v>Snohomish</v>
      </c>
      <c r="L727" t="str">
        <f>IFERROR(VLOOKUP(J727,LUTs!$A$1:$C$73,3,FALSE),"NA")</f>
        <v>2Central Puget Sound</v>
      </c>
      <c r="M727" s="72" t="s">
        <v>20</v>
      </c>
      <c r="N727" t="str">
        <f>VLOOKUP(M727,LUTs!E$2:H$14,3,)</f>
        <v>07Pierce</v>
      </c>
      <c r="O727" t="str">
        <f>VLOOKUP(M727,LUTs!E$2:H$14,4,)</f>
        <v>02South Puget Sound</v>
      </c>
      <c r="P727" s="73">
        <v>233.09099647548899</v>
      </c>
      <c r="Q727" s="74">
        <f>VLOOKUP(B727,Readme!A$40:C$51,2,)*P727</f>
        <v>801.83302787568209</v>
      </c>
    </row>
    <row r="728" spans="1:17" ht="12" customHeight="1" x14ac:dyDescent="0.35">
      <c r="A728" s="75">
        <v>727</v>
      </c>
      <c r="B728" s="64">
        <v>2011</v>
      </c>
      <c r="C728" s="64">
        <v>9</v>
      </c>
      <c r="D728" s="80">
        <f t="shared" si="25"/>
        <v>2011</v>
      </c>
      <c r="E728" t="s">
        <v>38</v>
      </c>
      <c r="F728" t="s">
        <v>143</v>
      </c>
      <c r="G728" t="s">
        <v>10</v>
      </c>
      <c r="H728" s="72" t="s">
        <v>221</v>
      </c>
      <c r="I728" s="72" t="s">
        <v>63</v>
      </c>
      <c r="J728" t="str">
        <f t="shared" si="26"/>
        <v>Snohomish River</v>
      </c>
      <c r="K728" t="str">
        <f>IFERROR(VLOOKUP(J728,LUTs!$A$1:$C$73,2,FALSE),"NA")</f>
        <v>Snohomish</v>
      </c>
      <c r="L728" t="str">
        <f>IFERROR(VLOOKUP(J728,LUTs!$A$1:$C$73,3,FALSE),"NA")</f>
        <v>2Central Puget Sound</v>
      </c>
      <c r="M728" s="72" t="s">
        <v>15</v>
      </c>
      <c r="N728" t="str">
        <f>VLOOKUP(M728,LUTs!E$2:H$14,3,)</f>
        <v>02Skagit</v>
      </c>
      <c r="O728" t="str">
        <f>VLOOKUP(M728,LUTs!E$2:H$14,4,)</f>
        <v>01North Puget Sound</v>
      </c>
      <c r="P728" s="73">
        <v>383.47228452419102</v>
      </c>
      <c r="Q728" s="74">
        <f>VLOOKUP(B728,Readme!A$40:C$51,2,)*P728</f>
        <v>1319.1446587632172</v>
      </c>
    </row>
    <row r="729" spans="1:17" ht="12" customHeight="1" x14ac:dyDescent="0.35">
      <c r="A729" s="75">
        <v>728</v>
      </c>
      <c r="B729" s="64">
        <v>2011</v>
      </c>
      <c r="C729" s="64">
        <v>9</v>
      </c>
      <c r="D729" s="80">
        <f t="shared" si="25"/>
        <v>2011</v>
      </c>
      <c r="E729" t="s">
        <v>38</v>
      </c>
      <c r="F729" t="s">
        <v>143</v>
      </c>
      <c r="G729" t="s">
        <v>10</v>
      </c>
      <c r="H729" s="72" t="s">
        <v>221</v>
      </c>
      <c r="I729" s="72" t="s">
        <v>63</v>
      </c>
      <c r="J729" t="str">
        <f t="shared" si="26"/>
        <v>Snohomish River</v>
      </c>
      <c r="K729" t="str">
        <f>IFERROR(VLOOKUP(J729,LUTs!$A$1:$C$73,2,FALSE),"NA")</f>
        <v>Snohomish</v>
      </c>
      <c r="L729" t="str">
        <f>IFERROR(VLOOKUP(J729,LUTs!$A$1:$C$73,3,FALSE),"NA")</f>
        <v>2Central Puget Sound</v>
      </c>
      <c r="M729" s="72" t="s">
        <v>16</v>
      </c>
      <c r="N729" t="str">
        <f>VLOOKUP(M729,LUTs!E$2:H$14,3,)</f>
        <v>03Snohomish</v>
      </c>
      <c r="O729" t="str">
        <f>VLOOKUP(M729,LUTs!E$2:H$14,4,)</f>
        <v>01North Puget Sound</v>
      </c>
      <c r="P729" s="73">
        <v>33098.921499519398</v>
      </c>
      <c r="Q729" s="74">
        <f>VLOOKUP(B729,Readme!A$40:C$51,2,)*P729</f>
        <v>113860.28995834672</v>
      </c>
    </row>
    <row r="730" spans="1:17" ht="12" customHeight="1" x14ac:dyDescent="0.35">
      <c r="A730" s="75">
        <v>729</v>
      </c>
      <c r="B730" s="64">
        <v>2011</v>
      </c>
      <c r="C730" s="64">
        <v>9</v>
      </c>
      <c r="D730" s="80">
        <f t="shared" si="25"/>
        <v>2011</v>
      </c>
      <c r="E730" t="s">
        <v>38</v>
      </c>
      <c r="F730" t="s">
        <v>143</v>
      </c>
      <c r="G730" t="s">
        <v>10</v>
      </c>
      <c r="H730" s="72" t="s">
        <v>221</v>
      </c>
      <c r="I730" s="72" t="s">
        <v>63</v>
      </c>
      <c r="J730" t="str">
        <f t="shared" si="26"/>
        <v>Snohomish River</v>
      </c>
      <c r="K730" t="str">
        <f>IFERROR(VLOOKUP(J730,LUTs!$A$1:$C$73,2,FALSE),"NA")</f>
        <v>Snohomish</v>
      </c>
      <c r="L730" t="str">
        <f>IFERROR(VLOOKUP(J730,LUTs!$A$1:$C$73,3,FALSE),"NA")</f>
        <v>2Central Puget Sound</v>
      </c>
      <c r="M730" s="72" t="s">
        <v>21</v>
      </c>
      <c r="N730" t="str">
        <f>VLOOKUP(M730,LUTs!E$2:H$14,3,)</f>
        <v>08Thurston</v>
      </c>
      <c r="O730" t="str">
        <f>VLOOKUP(M730,LUTs!E$2:H$14,4,)</f>
        <v>02South Puget Sound</v>
      </c>
      <c r="P730" s="73">
        <v>300.76257609740497</v>
      </c>
      <c r="Q730" s="74">
        <f>VLOOKUP(B730,Readme!A$40:C$51,2,)*P730</f>
        <v>1034.6232617750732</v>
      </c>
    </row>
    <row r="731" spans="1:17" ht="12" customHeight="1" x14ac:dyDescent="0.35">
      <c r="A731" s="75">
        <v>730</v>
      </c>
      <c r="B731" s="64">
        <v>2011</v>
      </c>
      <c r="C731" s="64">
        <v>9</v>
      </c>
      <c r="D731" s="80">
        <f t="shared" si="25"/>
        <v>2011</v>
      </c>
      <c r="E731" t="s">
        <v>38</v>
      </c>
      <c r="F731" t="s">
        <v>143</v>
      </c>
      <c r="G731" t="s">
        <v>10</v>
      </c>
      <c r="H731" s="72" t="s">
        <v>221</v>
      </c>
      <c r="I731" s="72" t="s">
        <v>63</v>
      </c>
      <c r="J731" t="str">
        <f t="shared" si="26"/>
        <v>Snohomish River</v>
      </c>
      <c r="K731" t="str">
        <f>IFERROR(VLOOKUP(J731,LUTs!$A$1:$C$73,2,FALSE),"NA")</f>
        <v>Snohomish</v>
      </c>
      <c r="L731" t="str">
        <f>IFERROR(VLOOKUP(J731,LUTs!$A$1:$C$73,3,FALSE),"NA")</f>
        <v>2Central Puget Sound</v>
      </c>
      <c r="M731" s="72" t="s">
        <v>13</v>
      </c>
      <c r="N731" t="str">
        <f>VLOOKUP(M731,LUTs!E$2:H$14,3,)</f>
        <v>01Whatcom</v>
      </c>
      <c r="O731" t="str">
        <f>VLOOKUP(M731,LUTs!E$2:H$14,4,)</f>
        <v>01North Puget Sound</v>
      </c>
      <c r="P731" s="73">
        <v>105.26690163409199</v>
      </c>
      <c r="Q731" s="74">
        <f>VLOOKUP(B731,Readme!A$40:C$51,2,)*P731</f>
        <v>362.11814162127644</v>
      </c>
    </row>
    <row r="732" spans="1:17" ht="12" customHeight="1" x14ac:dyDescent="0.35">
      <c r="A732" s="75">
        <v>731</v>
      </c>
      <c r="B732" s="64">
        <v>2011</v>
      </c>
      <c r="C732" s="64">
        <v>10</v>
      </c>
      <c r="D732" s="80">
        <f t="shared" si="25"/>
        <v>2011</v>
      </c>
      <c r="E732" t="s">
        <v>38</v>
      </c>
      <c r="F732" t="s">
        <v>143</v>
      </c>
      <c r="G732" t="s">
        <v>10</v>
      </c>
      <c r="H732" s="72" t="s">
        <v>221</v>
      </c>
      <c r="I732" s="72" t="s">
        <v>63</v>
      </c>
      <c r="J732" t="str">
        <f t="shared" si="26"/>
        <v>Snohomish River</v>
      </c>
      <c r="K732" t="str">
        <f>IFERROR(VLOOKUP(J732,LUTs!$A$1:$C$73,2,FALSE),"NA")</f>
        <v>Snohomish</v>
      </c>
      <c r="L732" t="str">
        <f>IFERROR(VLOOKUP(J732,LUTs!$A$1:$C$73,3,FALSE),"NA")</f>
        <v>2Central Puget Sound</v>
      </c>
      <c r="M732" s="72" t="s">
        <v>24</v>
      </c>
      <c r="N732" t="str">
        <f>VLOOKUP(M732,LUTs!E$2:H$14,3,)</f>
        <v>11Clallam</v>
      </c>
      <c r="O732" t="str">
        <f>VLOOKUP(M732,LUTs!E$2:H$14,4,)</f>
        <v>03Strait of Juan de Fuca</v>
      </c>
      <c r="P732" s="73">
        <v>7.4418604651162799</v>
      </c>
      <c r="Q732" s="74">
        <f>VLOOKUP(B732,Readme!A$40:C$51,2,)*P732</f>
        <v>25.6</v>
      </c>
    </row>
    <row r="733" spans="1:17" ht="12" customHeight="1" x14ac:dyDescent="0.35">
      <c r="A733" s="75">
        <v>732</v>
      </c>
      <c r="B733" s="64">
        <v>2011</v>
      </c>
      <c r="C733" s="64">
        <v>10</v>
      </c>
      <c r="D733" s="80">
        <f t="shared" si="25"/>
        <v>2011</v>
      </c>
      <c r="E733" t="s">
        <v>38</v>
      </c>
      <c r="F733" t="s">
        <v>143</v>
      </c>
      <c r="G733" t="s">
        <v>10</v>
      </c>
      <c r="H733" s="72" t="s">
        <v>221</v>
      </c>
      <c r="I733" s="72" t="s">
        <v>63</v>
      </c>
      <c r="J733" t="str">
        <f t="shared" si="26"/>
        <v>Snohomish River</v>
      </c>
      <c r="K733" t="str">
        <f>IFERROR(VLOOKUP(J733,LUTs!$A$1:$C$73,2,FALSE),"NA")</f>
        <v>Snohomish</v>
      </c>
      <c r="L733" t="str">
        <f>IFERROR(VLOOKUP(J733,LUTs!$A$1:$C$73,3,FALSE),"NA")</f>
        <v>2Central Puget Sound</v>
      </c>
      <c r="M733" s="72" t="s">
        <v>18</v>
      </c>
      <c r="N733" t="str">
        <f>VLOOKUP(M733,LUTs!E$2:H$14,3,)</f>
        <v>06King</v>
      </c>
      <c r="O733" t="str">
        <f>VLOOKUP(M733,LUTs!E$2:H$14,4,)</f>
        <v>02South Puget Sound</v>
      </c>
      <c r="P733" s="73">
        <v>1146.0465116279099</v>
      </c>
      <c r="Q733" s="74">
        <f>VLOOKUP(B733,Readme!A$40:C$51,2,)*P733</f>
        <v>3942.4000000000101</v>
      </c>
    </row>
    <row r="734" spans="1:17" ht="12" customHeight="1" x14ac:dyDescent="0.35">
      <c r="A734" s="75">
        <v>733</v>
      </c>
      <c r="B734" s="64">
        <v>2011</v>
      </c>
      <c r="C734" s="64">
        <v>10</v>
      </c>
      <c r="D734" s="80">
        <f t="shared" si="25"/>
        <v>2011</v>
      </c>
      <c r="E734" t="s">
        <v>38</v>
      </c>
      <c r="F734" t="s">
        <v>143</v>
      </c>
      <c r="G734" t="s">
        <v>10</v>
      </c>
      <c r="H734" s="72" t="s">
        <v>221</v>
      </c>
      <c r="I734" s="72" t="s">
        <v>63</v>
      </c>
      <c r="J734" t="str">
        <f t="shared" si="26"/>
        <v>Snohomish River</v>
      </c>
      <c r="K734" t="str">
        <f>IFERROR(VLOOKUP(J734,LUTs!$A$1:$C$73,2,FALSE),"NA")</f>
        <v>Snohomish</v>
      </c>
      <c r="L734" t="str">
        <f>IFERROR(VLOOKUP(J734,LUTs!$A$1:$C$73,3,FALSE),"NA")</f>
        <v>2Central Puget Sound</v>
      </c>
      <c r="M734" s="72" t="s">
        <v>26</v>
      </c>
      <c r="N734" t="str">
        <f>VLOOKUP(M734,LUTs!E$2:H$14,3,)</f>
        <v>20Other</v>
      </c>
      <c r="O734" t="str">
        <f>VLOOKUP(M734,LUTs!E$2:H$14,4,)</f>
        <v>07Non Puget Sound</v>
      </c>
      <c r="P734" s="73">
        <v>200.93023255814001</v>
      </c>
      <c r="Q734" s="74">
        <f>VLOOKUP(B734,Readme!A$40:C$51,2,)*P734</f>
        <v>691.20000000000164</v>
      </c>
    </row>
    <row r="735" spans="1:17" ht="12" customHeight="1" x14ac:dyDescent="0.35">
      <c r="A735" s="75">
        <v>734</v>
      </c>
      <c r="B735" s="64">
        <v>2011</v>
      </c>
      <c r="C735" s="64">
        <v>10</v>
      </c>
      <c r="D735" s="80">
        <f t="shared" si="25"/>
        <v>2011</v>
      </c>
      <c r="E735" t="s">
        <v>38</v>
      </c>
      <c r="F735" t="s">
        <v>143</v>
      </c>
      <c r="G735" t="s">
        <v>10</v>
      </c>
      <c r="H735" s="72" t="s">
        <v>221</v>
      </c>
      <c r="I735" s="72" t="s">
        <v>63</v>
      </c>
      <c r="J735" t="str">
        <f t="shared" si="26"/>
        <v>Snohomish River</v>
      </c>
      <c r="K735" t="str">
        <f>IFERROR(VLOOKUP(J735,LUTs!$A$1:$C$73,2,FALSE),"NA")</f>
        <v>Snohomish</v>
      </c>
      <c r="L735" t="str">
        <f>IFERROR(VLOOKUP(J735,LUTs!$A$1:$C$73,3,FALSE),"NA")</f>
        <v>2Central Puget Sound</v>
      </c>
      <c r="M735" s="72" t="s">
        <v>20</v>
      </c>
      <c r="N735" t="str">
        <f>VLOOKUP(M735,LUTs!E$2:H$14,3,)</f>
        <v>07Pierce</v>
      </c>
      <c r="O735" t="str">
        <f>VLOOKUP(M735,LUTs!E$2:H$14,4,)</f>
        <v>02South Puget Sound</v>
      </c>
      <c r="P735" s="73">
        <v>14.883720930232601</v>
      </c>
      <c r="Q735" s="74">
        <f>VLOOKUP(B735,Readme!A$40:C$51,2,)*P735</f>
        <v>51.200000000000145</v>
      </c>
    </row>
    <row r="736" spans="1:17" ht="12" customHeight="1" x14ac:dyDescent="0.35">
      <c r="A736" s="75">
        <v>735</v>
      </c>
      <c r="B736" s="64">
        <v>2011</v>
      </c>
      <c r="C736" s="64">
        <v>10</v>
      </c>
      <c r="D736" s="80">
        <f t="shared" si="25"/>
        <v>2011</v>
      </c>
      <c r="E736" t="s">
        <v>38</v>
      </c>
      <c r="F736" t="s">
        <v>143</v>
      </c>
      <c r="G736" t="s">
        <v>10</v>
      </c>
      <c r="H736" s="72" t="s">
        <v>221</v>
      </c>
      <c r="I736" s="72" t="s">
        <v>63</v>
      </c>
      <c r="J736" t="str">
        <f t="shared" si="26"/>
        <v>Snohomish River</v>
      </c>
      <c r="K736" t="str">
        <f>IFERROR(VLOOKUP(J736,LUTs!$A$1:$C$73,2,FALSE),"NA")</f>
        <v>Snohomish</v>
      </c>
      <c r="L736" t="str">
        <f>IFERROR(VLOOKUP(J736,LUTs!$A$1:$C$73,3,FALSE),"NA")</f>
        <v>2Central Puget Sound</v>
      </c>
      <c r="M736" s="72" t="s">
        <v>16</v>
      </c>
      <c r="N736" t="str">
        <f>VLOOKUP(M736,LUTs!E$2:H$14,3,)</f>
        <v>03Snohomish</v>
      </c>
      <c r="O736" t="str">
        <f>VLOOKUP(M736,LUTs!E$2:H$14,4,)</f>
        <v>01North Puget Sound</v>
      </c>
      <c r="P736" s="73">
        <v>3371.1627906976801</v>
      </c>
      <c r="Q736" s="74">
        <f>VLOOKUP(B736,Readme!A$40:C$51,2,)*P736</f>
        <v>11596.800000000019</v>
      </c>
    </row>
    <row r="737" spans="1:17" ht="12" customHeight="1" x14ac:dyDescent="0.35">
      <c r="A737" s="75">
        <v>736</v>
      </c>
      <c r="B737" s="64">
        <v>2011</v>
      </c>
      <c r="C737" s="64">
        <v>10</v>
      </c>
      <c r="D737" s="80">
        <f t="shared" si="25"/>
        <v>2011</v>
      </c>
      <c r="E737" t="s">
        <v>38</v>
      </c>
      <c r="F737" t="s">
        <v>143</v>
      </c>
      <c r="G737" t="s">
        <v>10</v>
      </c>
      <c r="H737" s="72" t="s">
        <v>221</v>
      </c>
      <c r="I737" s="72" t="s">
        <v>63</v>
      </c>
      <c r="J737" t="str">
        <f t="shared" si="26"/>
        <v>Snohomish River</v>
      </c>
      <c r="K737" t="str">
        <f>IFERROR(VLOOKUP(J737,LUTs!$A$1:$C$73,2,FALSE),"NA")</f>
        <v>Snohomish</v>
      </c>
      <c r="L737" t="str">
        <f>IFERROR(VLOOKUP(J737,LUTs!$A$1:$C$73,3,FALSE),"NA")</f>
        <v>2Central Puget Sound</v>
      </c>
      <c r="M737" s="72" t="s">
        <v>13</v>
      </c>
      <c r="N737" t="str">
        <f>VLOOKUP(M737,LUTs!E$2:H$14,3,)</f>
        <v>01Whatcom</v>
      </c>
      <c r="O737" t="str">
        <f>VLOOKUP(M737,LUTs!E$2:H$14,4,)</f>
        <v>01North Puget Sound</v>
      </c>
      <c r="P737" s="73">
        <v>59.534883720930203</v>
      </c>
      <c r="Q737" s="74">
        <f>VLOOKUP(B737,Readme!A$40:C$51,2,)*P737</f>
        <v>204.7999999999999</v>
      </c>
    </row>
    <row r="738" spans="1:17" ht="12" customHeight="1" x14ac:dyDescent="0.35">
      <c r="A738" s="75">
        <v>737</v>
      </c>
      <c r="B738" s="64">
        <v>2011</v>
      </c>
      <c r="C738" s="64">
        <v>11</v>
      </c>
      <c r="D738" s="80">
        <f t="shared" si="25"/>
        <v>2011</v>
      </c>
      <c r="E738" t="s">
        <v>38</v>
      </c>
      <c r="F738" t="s">
        <v>143</v>
      </c>
      <c r="G738" t="s">
        <v>10</v>
      </c>
      <c r="H738" s="72" t="s">
        <v>221</v>
      </c>
      <c r="I738" s="72" t="s">
        <v>63</v>
      </c>
      <c r="J738" t="str">
        <f t="shared" si="26"/>
        <v>Snohomish River</v>
      </c>
      <c r="K738" t="str">
        <f>IFERROR(VLOOKUP(J738,LUTs!$A$1:$C$73,2,FALSE),"NA")</f>
        <v>Snohomish</v>
      </c>
      <c r="L738" t="str">
        <f>IFERROR(VLOOKUP(J738,LUTs!$A$1:$C$73,3,FALSE),"NA")</f>
        <v>2Central Puget Sound</v>
      </c>
      <c r="M738" s="72" t="s">
        <v>16</v>
      </c>
      <c r="N738" t="str">
        <f>VLOOKUP(M738,LUTs!E$2:H$14,3,)</f>
        <v>03Snohomish</v>
      </c>
      <c r="O738" t="str">
        <f>VLOOKUP(M738,LUTs!E$2:H$14,4,)</f>
        <v>01North Puget Sound</v>
      </c>
      <c r="P738" s="73">
        <v>112</v>
      </c>
      <c r="Q738" s="74">
        <f>VLOOKUP(B738,Readme!A$40:C$51,2,)*P738</f>
        <v>385.28</v>
      </c>
    </row>
    <row r="739" spans="1:17" ht="12" customHeight="1" x14ac:dyDescent="0.35">
      <c r="A739" s="75">
        <v>738</v>
      </c>
      <c r="B739" s="64">
        <v>2011</v>
      </c>
      <c r="C739" s="64">
        <v>9</v>
      </c>
      <c r="D739" s="80">
        <f t="shared" si="25"/>
        <v>2011</v>
      </c>
      <c r="E739" t="s">
        <v>38</v>
      </c>
      <c r="F739" t="s">
        <v>143</v>
      </c>
      <c r="G739" t="s">
        <v>10</v>
      </c>
      <c r="H739" s="72" t="s">
        <v>222</v>
      </c>
      <c r="I739" s="72" t="s">
        <v>64</v>
      </c>
      <c r="J739" t="str">
        <f t="shared" si="26"/>
        <v>Snoqualmie River</v>
      </c>
      <c r="K739" t="str">
        <f>IFERROR(VLOOKUP(J739,LUTs!$A$1:$C$73,2,FALSE),"NA")</f>
        <v>Snohomish/King</v>
      </c>
      <c r="L739" t="str">
        <f>IFERROR(VLOOKUP(J739,LUTs!$A$1:$C$73,3,FALSE),"NA")</f>
        <v>2Central Puget Sound</v>
      </c>
      <c r="M739" s="72" t="s">
        <v>18</v>
      </c>
      <c r="N739" t="str">
        <f>VLOOKUP(M739,LUTs!E$2:H$14,3,)</f>
        <v>06King</v>
      </c>
      <c r="O739" t="str">
        <f>VLOOKUP(M739,LUTs!E$2:H$14,4,)</f>
        <v>02South Puget Sound</v>
      </c>
      <c r="P739" s="73">
        <v>312.86153846153798</v>
      </c>
      <c r="Q739" s="74">
        <f>VLOOKUP(B739,Readme!A$40:C$51,2,)*P739</f>
        <v>1076.2436923076907</v>
      </c>
    </row>
    <row r="740" spans="1:17" ht="12" customHeight="1" x14ac:dyDescent="0.35">
      <c r="A740" s="75">
        <v>739</v>
      </c>
      <c r="B740" s="64">
        <v>2011</v>
      </c>
      <c r="C740" s="64">
        <v>9</v>
      </c>
      <c r="D740" s="80">
        <f t="shared" si="25"/>
        <v>2011</v>
      </c>
      <c r="E740" t="s">
        <v>38</v>
      </c>
      <c r="F740" t="s">
        <v>143</v>
      </c>
      <c r="G740" t="s">
        <v>10</v>
      </c>
      <c r="H740" s="72" t="s">
        <v>222</v>
      </c>
      <c r="I740" s="72" t="s">
        <v>64</v>
      </c>
      <c r="J740" t="str">
        <f t="shared" si="26"/>
        <v>Snoqualmie River</v>
      </c>
      <c r="K740" t="str">
        <f>IFERROR(VLOOKUP(J740,LUTs!$A$1:$C$73,2,FALSE),"NA")</f>
        <v>Snohomish/King</v>
      </c>
      <c r="L740" t="str">
        <f>IFERROR(VLOOKUP(J740,LUTs!$A$1:$C$73,3,FALSE),"NA")</f>
        <v>2Central Puget Sound</v>
      </c>
      <c r="M740" s="72" t="s">
        <v>26</v>
      </c>
      <c r="N740" t="str">
        <f>VLOOKUP(M740,LUTs!E$2:H$14,3,)</f>
        <v>20Other</v>
      </c>
      <c r="O740" t="str">
        <f>VLOOKUP(M740,LUTs!E$2:H$14,4,)</f>
        <v>07Non Puget Sound</v>
      </c>
      <c r="P740" s="73">
        <v>53.415384615384603</v>
      </c>
      <c r="Q740" s="74">
        <f>VLOOKUP(B740,Readme!A$40:C$51,2,)*P740</f>
        <v>183.74892307692303</v>
      </c>
    </row>
    <row r="741" spans="1:17" ht="12" customHeight="1" x14ac:dyDescent="0.35">
      <c r="A741" s="75">
        <v>740</v>
      </c>
      <c r="B741" s="64">
        <v>2011</v>
      </c>
      <c r="C741" s="64">
        <v>9</v>
      </c>
      <c r="D741" s="80">
        <f t="shared" si="25"/>
        <v>2011</v>
      </c>
      <c r="E741" t="s">
        <v>38</v>
      </c>
      <c r="F741" t="s">
        <v>143</v>
      </c>
      <c r="G741" t="s">
        <v>10</v>
      </c>
      <c r="H741" s="72" t="s">
        <v>222</v>
      </c>
      <c r="I741" s="72" t="s">
        <v>64</v>
      </c>
      <c r="J741" t="str">
        <f t="shared" si="26"/>
        <v>Snoqualmie River</v>
      </c>
      <c r="K741" t="str">
        <f>IFERROR(VLOOKUP(J741,LUTs!$A$1:$C$73,2,FALSE),"NA")</f>
        <v>Snohomish/King</v>
      </c>
      <c r="L741" t="str">
        <f>IFERROR(VLOOKUP(J741,LUTs!$A$1:$C$73,3,FALSE),"NA")</f>
        <v>2Central Puget Sound</v>
      </c>
      <c r="M741" s="72" t="s">
        <v>16</v>
      </c>
      <c r="N741" t="str">
        <f>VLOOKUP(M741,LUTs!E$2:H$14,3,)</f>
        <v>03Snohomish</v>
      </c>
      <c r="O741" t="str">
        <f>VLOOKUP(M741,LUTs!E$2:H$14,4,)</f>
        <v>01North Puget Sound</v>
      </c>
      <c r="P741" s="73">
        <v>129.723076923077</v>
      </c>
      <c r="Q741" s="74">
        <f>VLOOKUP(B741,Readme!A$40:C$51,2,)*P741</f>
        <v>446.24738461538487</v>
      </c>
    </row>
    <row r="742" spans="1:17" ht="12" customHeight="1" x14ac:dyDescent="0.35">
      <c r="A742" s="75">
        <v>741</v>
      </c>
      <c r="B742" s="64">
        <v>2011</v>
      </c>
      <c r="C742" s="64">
        <v>10</v>
      </c>
      <c r="D742" s="80">
        <f t="shared" si="25"/>
        <v>2011</v>
      </c>
      <c r="E742" t="s">
        <v>38</v>
      </c>
      <c r="F742" t="s">
        <v>143</v>
      </c>
      <c r="G742" t="s">
        <v>10</v>
      </c>
      <c r="H742" s="72" t="s">
        <v>222</v>
      </c>
      <c r="I742" s="72" t="s">
        <v>64</v>
      </c>
      <c r="J742" t="str">
        <f t="shared" si="26"/>
        <v>Snoqualmie River</v>
      </c>
      <c r="K742" t="str">
        <f>IFERROR(VLOOKUP(J742,LUTs!$A$1:$C$73,2,FALSE),"NA")</f>
        <v>Snohomish/King</v>
      </c>
      <c r="L742" t="str">
        <f>IFERROR(VLOOKUP(J742,LUTs!$A$1:$C$73,3,FALSE),"NA")</f>
        <v>2Central Puget Sound</v>
      </c>
      <c r="M742" s="72" t="s">
        <v>18</v>
      </c>
      <c r="N742" t="str">
        <f>VLOOKUP(M742,LUTs!E$2:H$14,3,)</f>
        <v>06King</v>
      </c>
      <c r="O742" t="str">
        <f>VLOOKUP(M742,LUTs!E$2:H$14,4,)</f>
        <v>02South Puget Sound</v>
      </c>
      <c r="P742" s="73">
        <v>266.92682926829298</v>
      </c>
      <c r="Q742" s="74">
        <f>VLOOKUP(B742,Readme!A$40:C$51,2,)*P742</f>
        <v>918.22829268292787</v>
      </c>
    </row>
    <row r="743" spans="1:17" ht="12" customHeight="1" x14ac:dyDescent="0.35">
      <c r="A743" s="75">
        <v>742</v>
      </c>
      <c r="B743" s="64">
        <v>2011</v>
      </c>
      <c r="C743" s="64">
        <v>10</v>
      </c>
      <c r="D743" s="80">
        <f t="shared" si="25"/>
        <v>2011</v>
      </c>
      <c r="E743" t="s">
        <v>38</v>
      </c>
      <c r="F743" t="s">
        <v>143</v>
      </c>
      <c r="G743" t="s">
        <v>10</v>
      </c>
      <c r="H743" s="72" t="s">
        <v>222</v>
      </c>
      <c r="I743" s="72" t="s">
        <v>64</v>
      </c>
      <c r="J743" t="str">
        <f t="shared" si="26"/>
        <v>Snoqualmie River</v>
      </c>
      <c r="K743" t="str">
        <f>IFERROR(VLOOKUP(J743,LUTs!$A$1:$C$73,2,FALSE),"NA")</f>
        <v>Snohomish/King</v>
      </c>
      <c r="L743" t="str">
        <f>IFERROR(VLOOKUP(J743,LUTs!$A$1:$C$73,3,FALSE),"NA")</f>
        <v>2Central Puget Sound</v>
      </c>
      <c r="M743" s="72" t="s">
        <v>16</v>
      </c>
      <c r="N743" t="str">
        <f>VLOOKUP(M743,LUTs!E$2:H$14,3,)</f>
        <v>03Snohomish</v>
      </c>
      <c r="O743" t="str">
        <f>VLOOKUP(M743,LUTs!E$2:H$14,4,)</f>
        <v>01North Puget Sound</v>
      </c>
      <c r="P743" s="73">
        <v>37.0731707317073</v>
      </c>
      <c r="Q743" s="74">
        <f>VLOOKUP(B743,Readme!A$40:C$51,2,)*P743</f>
        <v>127.53170731707311</v>
      </c>
    </row>
    <row r="744" spans="1:17" ht="12" customHeight="1" x14ac:dyDescent="0.35">
      <c r="A744" s="75">
        <v>743</v>
      </c>
      <c r="B744" s="64">
        <v>2011</v>
      </c>
      <c r="C744" s="64">
        <v>11</v>
      </c>
      <c r="D744" s="80">
        <f t="shared" si="25"/>
        <v>2011</v>
      </c>
      <c r="E744" t="s">
        <v>38</v>
      </c>
      <c r="F744" t="s">
        <v>143</v>
      </c>
      <c r="G744" t="s">
        <v>10</v>
      </c>
      <c r="H744" s="72" t="s">
        <v>222</v>
      </c>
      <c r="I744" s="72" t="s">
        <v>64</v>
      </c>
      <c r="J744" t="str">
        <f t="shared" si="26"/>
        <v>Snoqualmie River</v>
      </c>
      <c r="K744" t="str">
        <f>IFERROR(VLOOKUP(J744,LUTs!$A$1:$C$73,2,FALSE),"NA")</f>
        <v>Snohomish/King</v>
      </c>
      <c r="L744" t="str">
        <f>IFERROR(VLOOKUP(J744,LUTs!$A$1:$C$73,3,FALSE),"NA")</f>
        <v>2Central Puget Sound</v>
      </c>
      <c r="M744" s="72" t="s">
        <v>18</v>
      </c>
      <c r="N744" t="str">
        <f>VLOOKUP(M744,LUTs!E$2:H$14,3,)</f>
        <v>06King</v>
      </c>
      <c r="O744" t="str">
        <f>VLOOKUP(M744,LUTs!E$2:H$14,4,)</f>
        <v>02South Puget Sound</v>
      </c>
      <c r="P744" s="73">
        <v>122.777777777778</v>
      </c>
      <c r="Q744" s="74">
        <f>VLOOKUP(B744,Readme!A$40:C$51,2,)*P744</f>
        <v>422.35555555555629</v>
      </c>
    </row>
    <row r="745" spans="1:17" ht="12" customHeight="1" x14ac:dyDescent="0.35">
      <c r="A745" s="75">
        <v>744</v>
      </c>
      <c r="B745" s="64">
        <v>2011</v>
      </c>
      <c r="C745" s="64">
        <v>11</v>
      </c>
      <c r="D745" s="80">
        <f t="shared" si="25"/>
        <v>2011</v>
      </c>
      <c r="E745" t="s">
        <v>38</v>
      </c>
      <c r="F745" t="s">
        <v>143</v>
      </c>
      <c r="G745" t="s">
        <v>10</v>
      </c>
      <c r="H745" s="72" t="s">
        <v>222</v>
      </c>
      <c r="I745" s="72" t="s">
        <v>64</v>
      </c>
      <c r="J745" t="str">
        <f t="shared" si="26"/>
        <v>Snoqualmie River</v>
      </c>
      <c r="K745" t="str">
        <f>IFERROR(VLOOKUP(J745,LUTs!$A$1:$C$73,2,FALSE),"NA")</f>
        <v>Snohomish/King</v>
      </c>
      <c r="L745" t="str">
        <f>IFERROR(VLOOKUP(J745,LUTs!$A$1:$C$73,3,FALSE),"NA")</f>
        <v>2Central Puget Sound</v>
      </c>
      <c r="M745" s="72" t="s">
        <v>16</v>
      </c>
      <c r="N745" t="str">
        <f>VLOOKUP(M745,LUTs!E$2:H$14,3,)</f>
        <v>03Snohomish</v>
      </c>
      <c r="O745" t="str">
        <f>VLOOKUP(M745,LUTs!E$2:H$14,4,)</f>
        <v>01North Puget Sound</v>
      </c>
      <c r="P745" s="73">
        <v>7.2222222222222197</v>
      </c>
      <c r="Q745" s="74">
        <f>VLOOKUP(B745,Readme!A$40:C$51,2,)*P745</f>
        <v>24.844444444444434</v>
      </c>
    </row>
    <row r="746" spans="1:17" ht="12" customHeight="1" x14ac:dyDescent="0.35">
      <c r="A746" s="75">
        <v>745</v>
      </c>
      <c r="B746" s="64">
        <v>2011</v>
      </c>
      <c r="C746" s="64">
        <v>12</v>
      </c>
      <c r="D746" s="80">
        <f t="shared" si="25"/>
        <v>2011</v>
      </c>
      <c r="E746" t="s">
        <v>38</v>
      </c>
      <c r="F746" t="s">
        <v>143</v>
      </c>
      <c r="G746" t="s">
        <v>10</v>
      </c>
      <c r="H746" s="72" t="s">
        <v>222</v>
      </c>
      <c r="I746" s="72" t="s">
        <v>64</v>
      </c>
      <c r="J746" t="str">
        <f t="shared" si="26"/>
        <v>Snoqualmie River</v>
      </c>
      <c r="K746" t="str">
        <f>IFERROR(VLOOKUP(J746,LUTs!$A$1:$C$73,2,FALSE),"NA")</f>
        <v>Snohomish/King</v>
      </c>
      <c r="L746" t="str">
        <f>IFERROR(VLOOKUP(J746,LUTs!$A$1:$C$73,3,FALSE),"NA")</f>
        <v>2Central Puget Sound</v>
      </c>
      <c r="M746" s="72" t="s">
        <v>18</v>
      </c>
      <c r="N746" t="str">
        <f>VLOOKUP(M746,LUTs!E$2:H$14,3,)</f>
        <v>06King</v>
      </c>
      <c r="O746" t="str">
        <f>VLOOKUP(M746,LUTs!E$2:H$14,4,)</f>
        <v>02South Puget Sound</v>
      </c>
      <c r="P746" s="73">
        <v>36</v>
      </c>
      <c r="Q746" s="74">
        <f>VLOOKUP(B746,Readme!A$40:C$51,2,)*P746</f>
        <v>123.84</v>
      </c>
    </row>
    <row r="747" spans="1:17" ht="12" customHeight="1" x14ac:dyDescent="0.35">
      <c r="A747" s="75">
        <v>746</v>
      </c>
      <c r="B747" s="64">
        <v>2011</v>
      </c>
      <c r="C747" s="64">
        <v>10</v>
      </c>
      <c r="D747" s="80">
        <f t="shared" si="25"/>
        <v>2011</v>
      </c>
      <c r="E747" t="s">
        <v>38</v>
      </c>
      <c r="F747" t="s">
        <v>143</v>
      </c>
      <c r="G747" t="s">
        <v>10</v>
      </c>
      <c r="H747" s="72" t="s">
        <v>229</v>
      </c>
      <c r="I747" s="72" t="s">
        <v>71</v>
      </c>
      <c r="J747" t="str">
        <f t="shared" si="26"/>
        <v>Tolt River</v>
      </c>
      <c r="K747" t="str">
        <f>IFERROR(VLOOKUP(J747,LUTs!$A$1:$C$73,2,FALSE),"NA")</f>
        <v>King</v>
      </c>
      <c r="L747" t="str">
        <f>IFERROR(VLOOKUP(J747,LUTs!$A$1:$C$73,3,FALSE),"NA")</f>
        <v>2Central Puget Sound</v>
      </c>
      <c r="M747" s="72" t="s">
        <v>18</v>
      </c>
      <c r="N747" t="str">
        <f>VLOOKUP(M747,LUTs!E$2:H$14,3,)</f>
        <v>06King</v>
      </c>
      <c r="O747" t="str">
        <f>VLOOKUP(M747,LUTs!E$2:H$14,4,)</f>
        <v>02South Puget Sound</v>
      </c>
      <c r="P747" s="73">
        <v>3</v>
      </c>
      <c r="Q747" s="74">
        <f>VLOOKUP(B747,Readme!A$40:C$51,2,)*P747</f>
        <v>10.32</v>
      </c>
    </row>
    <row r="748" spans="1:17" ht="12" customHeight="1" x14ac:dyDescent="0.35">
      <c r="A748" s="75">
        <v>747</v>
      </c>
      <c r="B748" s="64">
        <v>2011</v>
      </c>
      <c r="C748" s="64">
        <v>11</v>
      </c>
      <c r="D748" s="80">
        <f t="shared" si="25"/>
        <v>2011</v>
      </c>
      <c r="E748" t="s">
        <v>38</v>
      </c>
      <c r="F748" t="s">
        <v>143</v>
      </c>
      <c r="G748" t="s">
        <v>10</v>
      </c>
      <c r="H748" s="72" t="s">
        <v>229</v>
      </c>
      <c r="I748" s="72" t="s">
        <v>71</v>
      </c>
      <c r="J748" t="str">
        <f t="shared" si="26"/>
        <v>Tolt River</v>
      </c>
      <c r="K748" t="str">
        <f>IFERROR(VLOOKUP(J748,LUTs!$A$1:$C$73,2,FALSE),"NA")</f>
        <v>King</v>
      </c>
      <c r="L748" t="str">
        <f>IFERROR(VLOOKUP(J748,LUTs!$A$1:$C$73,3,FALSE),"NA")</f>
        <v>2Central Puget Sound</v>
      </c>
      <c r="M748" s="72" t="s">
        <v>18</v>
      </c>
      <c r="N748" t="str">
        <f>VLOOKUP(M748,LUTs!E$2:H$14,3,)</f>
        <v>06King</v>
      </c>
      <c r="O748" t="str">
        <f>VLOOKUP(M748,LUTs!E$2:H$14,4,)</f>
        <v>02South Puget Sound</v>
      </c>
      <c r="P748" s="73">
        <v>1</v>
      </c>
      <c r="Q748" s="74">
        <f>VLOOKUP(B748,Readme!A$40:C$51,2,)*P748</f>
        <v>3.44</v>
      </c>
    </row>
    <row r="749" spans="1:17" ht="12" customHeight="1" x14ac:dyDescent="0.35">
      <c r="A749" s="75">
        <v>748</v>
      </c>
      <c r="B749" s="64">
        <v>2011</v>
      </c>
      <c r="C749" s="64">
        <v>8</v>
      </c>
      <c r="D749" s="80">
        <f t="shared" si="25"/>
        <v>2011</v>
      </c>
      <c r="E749" t="s">
        <v>38</v>
      </c>
      <c r="F749" t="s">
        <v>143</v>
      </c>
      <c r="G749" t="s">
        <v>10</v>
      </c>
      <c r="H749" s="72" t="s">
        <v>223</v>
      </c>
      <c r="I749" s="72" t="s">
        <v>65</v>
      </c>
      <c r="J749" t="str">
        <f t="shared" si="26"/>
        <v>Stillaguamish River</v>
      </c>
      <c r="K749" t="str">
        <f>IFERROR(VLOOKUP(J749,LUTs!$A$1:$C$73,2,FALSE),"NA")</f>
        <v>Snohomish</v>
      </c>
      <c r="L749" t="str">
        <f>IFERROR(VLOOKUP(J749,LUTs!$A$1:$C$73,3,FALSE),"NA")</f>
        <v>2Central Puget Sound</v>
      </c>
      <c r="M749" s="72" t="s">
        <v>18</v>
      </c>
      <c r="N749" t="str">
        <f>VLOOKUP(M749,LUTs!E$2:H$14,3,)</f>
        <v>06King</v>
      </c>
      <c r="O749" t="str">
        <f>VLOOKUP(M749,LUTs!E$2:H$14,4,)</f>
        <v>02South Puget Sound</v>
      </c>
      <c r="P749" s="73">
        <v>2</v>
      </c>
      <c r="Q749" s="74">
        <f>VLOOKUP(B749,Readme!A$40:C$51,2,)*P749</f>
        <v>6.88</v>
      </c>
    </row>
    <row r="750" spans="1:17" ht="12" customHeight="1" x14ac:dyDescent="0.35">
      <c r="A750" s="75">
        <v>749</v>
      </c>
      <c r="B750" s="64">
        <v>2011</v>
      </c>
      <c r="C750" s="64">
        <v>8</v>
      </c>
      <c r="D750" s="80">
        <f t="shared" si="25"/>
        <v>2011</v>
      </c>
      <c r="E750" t="s">
        <v>38</v>
      </c>
      <c r="F750" t="s">
        <v>143</v>
      </c>
      <c r="G750" t="s">
        <v>10</v>
      </c>
      <c r="H750" s="72" t="s">
        <v>223</v>
      </c>
      <c r="I750" s="72" t="s">
        <v>65</v>
      </c>
      <c r="J750" t="str">
        <f t="shared" si="26"/>
        <v>Stillaguamish River</v>
      </c>
      <c r="K750" t="str">
        <f>IFERROR(VLOOKUP(J750,LUTs!$A$1:$C$73,2,FALSE),"NA")</f>
        <v>Snohomish</v>
      </c>
      <c r="L750" t="str">
        <f>IFERROR(VLOOKUP(J750,LUTs!$A$1:$C$73,3,FALSE),"NA")</f>
        <v>2Central Puget Sound</v>
      </c>
      <c r="M750" s="72" t="s">
        <v>16</v>
      </c>
      <c r="N750" t="str">
        <f>VLOOKUP(M750,LUTs!E$2:H$14,3,)</f>
        <v>03Snohomish</v>
      </c>
      <c r="O750" t="str">
        <f>VLOOKUP(M750,LUTs!E$2:H$14,4,)</f>
        <v>01North Puget Sound</v>
      </c>
      <c r="P750" s="73">
        <v>6</v>
      </c>
      <c r="Q750" s="74">
        <f>VLOOKUP(B750,Readme!A$40:C$51,2,)*P750</f>
        <v>20.64</v>
      </c>
    </row>
    <row r="751" spans="1:17" ht="12" customHeight="1" x14ac:dyDescent="0.35">
      <c r="A751" s="75">
        <v>750</v>
      </c>
      <c r="B751" s="64">
        <v>2011</v>
      </c>
      <c r="C751" s="64">
        <v>9</v>
      </c>
      <c r="D751" s="80">
        <f t="shared" si="25"/>
        <v>2011</v>
      </c>
      <c r="E751" t="s">
        <v>38</v>
      </c>
      <c r="F751" t="s">
        <v>143</v>
      </c>
      <c r="G751" t="s">
        <v>10</v>
      </c>
      <c r="H751" s="72" t="s">
        <v>223</v>
      </c>
      <c r="I751" s="72" t="s">
        <v>65</v>
      </c>
      <c r="J751" t="str">
        <f t="shared" si="26"/>
        <v>Stillaguamish River</v>
      </c>
      <c r="K751" t="str">
        <f>IFERROR(VLOOKUP(J751,LUTs!$A$1:$C$73,2,FALSE),"NA")</f>
        <v>Snohomish</v>
      </c>
      <c r="L751" t="str">
        <f>IFERROR(VLOOKUP(J751,LUTs!$A$1:$C$73,3,FALSE),"NA")</f>
        <v>2Central Puget Sound</v>
      </c>
      <c r="M751" s="72" t="s">
        <v>24</v>
      </c>
      <c r="N751" t="str">
        <f>VLOOKUP(M751,LUTs!E$2:H$14,3,)</f>
        <v>11Clallam</v>
      </c>
      <c r="O751" t="str">
        <f>VLOOKUP(M751,LUTs!E$2:H$14,4,)</f>
        <v>03Strait of Juan de Fuca</v>
      </c>
      <c r="P751" s="73">
        <v>88.247689463955695</v>
      </c>
      <c r="Q751" s="74">
        <f>VLOOKUP(B751,Readme!A$40:C$51,2,)*P751</f>
        <v>303.57205175600757</v>
      </c>
    </row>
    <row r="752" spans="1:17" ht="12" customHeight="1" x14ac:dyDescent="0.35">
      <c r="A752" s="75">
        <v>751</v>
      </c>
      <c r="B752" s="64">
        <v>2011</v>
      </c>
      <c r="C752" s="64">
        <v>9</v>
      </c>
      <c r="D752" s="80">
        <f t="shared" si="25"/>
        <v>2011</v>
      </c>
      <c r="E752" t="s">
        <v>38</v>
      </c>
      <c r="F752" t="s">
        <v>143</v>
      </c>
      <c r="G752" t="s">
        <v>10</v>
      </c>
      <c r="H752" s="72" t="s">
        <v>223</v>
      </c>
      <c r="I752" s="72" t="s">
        <v>65</v>
      </c>
      <c r="J752" t="str">
        <f t="shared" si="26"/>
        <v>Stillaguamish River</v>
      </c>
      <c r="K752" t="str">
        <f>IFERROR(VLOOKUP(J752,LUTs!$A$1:$C$73,2,FALSE),"NA")</f>
        <v>Snohomish</v>
      </c>
      <c r="L752" t="str">
        <f>IFERROR(VLOOKUP(J752,LUTs!$A$1:$C$73,3,FALSE),"NA")</f>
        <v>2Central Puget Sound</v>
      </c>
      <c r="M752" s="72" t="s">
        <v>17</v>
      </c>
      <c r="N752" t="str">
        <f>VLOOKUP(M752,LUTs!E$2:H$14,3,)</f>
        <v>04Island</v>
      </c>
      <c r="O752" t="str">
        <f>VLOOKUP(M752,LUTs!E$2:H$14,4,)</f>
        <v>01North Puget Sound</v>
      </c>
      <c r="P752" s="73">
        <v>323.574861367837</v>
      </c>
      <c r="Q752" s="74">
        <f>VLOOKUP(B752,Readme!A$40:C$51,2,)*P752</f>
        <v>1113.0975231053592</v>
      </c>
    </row>
    <row r="753" spans="1:17" ht="12" customHeight="1" x14ac:dyDescent="0.35">
      <c r="A753" s="75">
        <v>752</v>
      </c>
      <c r="B753" s="64">
        <v>2011</v>
      </c>
      <c r="C753" s="64">
        <v>9</v>
      </c>
      <c r="D753" s="80">
        <f t="shared" si="25"/>
        <v>2011</v>
      </c>
      <c r="E753" t="s">
        <v>38</v>
      </c>
      <c r="F753" t="s">
        <v>143</v>
      </c>
      <c r="G753" t="s">
        <v>10</v>
      </c>
      <c r="H753" s="72" t="s">
        <v>223</v>
      </c>
      <c r="I753" s="72" t="s">
        <v>65</v>
      </c>
      <c r="J753" t="str">
        <f t="shared" si="26"/>
        <v>Stillaguamish River</v>
      </c>
      <c r="K753" t="str">
        <f>IFERROR(VLOOKUP(J753,LUTs!$A$1:$C$73,2,FALSE),"NA")</f>
        <v>Snohomish</v>
      </c>
      <c r="L753" t="str">
        <f>IFERROR(VLOOKUP(J753,LUTs!$A$1:$C$73,3,FALSE),"NA")</f>
        <v>2Central Puget Sound</v>
      </c>
      <c r="M753" s="72" t="s">
        <v>18</v>
      </c>
      <c r="N753" t="str">
        <f>VLOOKUP(M753,LUTs!E$2:H$14,3,)</f>
        <v>06King</v>
      </c>
      <c r="O753" t="str">
        <f>VLOOKUP(M753,LUTs!E$2:H$14,4,)</f>
        <v>02South Puget Sound</v>
      </c>
      <c r="P753" s="73">
        <v>661.85767097966698</v>
      </c>
      <c r="Q753" s="74">
        <f>VLOOKUP(B753,Readme!A$40:C$51,2,)*P753</f>
        <v>2276.7903881700545</v>
      </c>
    </row>
    <row r="754" spans="1:17" ht="12" customHeight="1" x14ac:dyDescent="0.35">
      <c r="A754" s="75">
        <v>753</v>
      </c>
      <c r="B754" s="64">
        <v>2011</v>
      </c>
      <c r="C754" s="64">
        <v>9</v>
      </c>
      <c r="D754" s="80">
        <f t="shared" si="25"/>
        <v>2011</v>
      </c>
      <c r="E754" t="s">
        <v>38</v>
      </c>
      <c r="F754" t="s">
        <v>143</v>
      </c>
      <c r="G754" t="s">
        <v>10</v>
      </c>
      <c r="H754" s="72" t="s">
        <v>223</v>
      </c>
      <c r="I754" s="72" t="s">
        <v>65</v>
      </c>
      <c r="J754" t="str">
        <f t="shared" si="26"/>
        <v>Stillaguamish River</v>
      </c>
      <c r="K754" t="str">
        <f>IFERROR(VLOOKUP(J754,LUTs!$A$1:$C$73,2,FALSE),"NA")</f>
        <v>Snohomish</v>
      </c>
      <c r="L754" t="str">
        <f>IFERROR(VLOOKUP(J754,LUTs!$A$1:$C$73,3,FALSE),"NA")</f>
        <v>2Central Puget Sound</v>
      </c>
      <c r="M754" s="72" t="s">
        <v>26</v>
      </c>
      <c r="N754" t="str">
        <f>VLOOKUP(M754,LUTs!E$2:H$14,3,)</f>
        <v>20Other</v>
      </c>
      <c r="O754" t="str">
        <f>VLOOKUP(M754,LUTs!E$2:H$14,4,)</f>
        <v>07Non Puget Sound</v>
      </c>
      <c r="P754" s="73">
        <v>250.03512014787401</v>
      </c>
      <c r="Q754" s="74">
        <f>VLOOKUP(B754,Readme!A$40:C$51,2,)*P754</f>
        <v>860.12081330868659</v>
      </c>
    </row>
    <row r="755" spans="1:17" ht="12" customHeight="1" x14ac:dyDescent="0.35">
      <c r="A755" s="75">
        <v>754</v>
      </c>
      <c r="B755" s="64">
        <v>2011</v>
      </c>
      <c r="C755" s="64">
        <v>9</v>
      </c>
      <c r="D755" s="80">
        <f t="shared" si="25"/>
        <v>2011</v>
      </c>
      <c r="E755" t="s">
        <v>38</v>
      </c>
      <c r="F755" t="s">
        <v>143</v>
      </c>
      <c r="G755" t="s">
        <v>10</v>
      </c>
      <c r="H755" s="72" t="s">
        <v>223</v>
      </c>
      <c r="I755" s="72" t="s">
        <v>65</v>
      </c>
      <c r="J755" t="str">
        <f t="shared" si="26"/>
        <v>Stillaguamish River</v>
      </c>
      <c r="K755" t="str">
        <f>IFERROR(VLOOKUP(J755,LUTs!$A$1:$C$73,2,FALSE),"NA")</f>
        <v>Snohomish</v>
      </c>
      <c r="L755" t="str">
        <f>IFERROR(VLOOKUP(J755,LUTs!$A$1:$C$73,3,FALSE),"NA")</f>
        <v>2Central Puget Sound</v>
      </c>
      <c r="M755" s="72" t="s">
        <v>15</v>
      </c>
      <c r="N755" t="str">
        <f>VLOOKUP(M755,LUTs!E$2:H$14,3,)</f>
        <v>02Skagit</v>
      </c>
      <c r="O755" t="str">
        <f>VLOOKUP(M755,LUTs!E$2:H$14,4,)</f>
        <v>01North Puget Sound</v>
      </c>
      <c r="P755" s="73">
        <v>227.97319778188501</v>
      </c>
      <c r="Q755" s="74">
        <f>VLOOKUP(B755,Readme!A$40:C$51,2,)*P755</f>
        <v>784.22780036968436</v>
      </c>
    </row>
    <row r="756" spans="1:17" ht="12" customHeight="1" x14ac:dyDescent="0.35">
      <c r="A756" s="75">
        <v>755</v>
      </c>
      <c r="B756" s="64">
        <v>2011</v>
      </c>
      <c r="C756" s="64">
        <v>9</v>
      </c>
      <c r="D756" s="80">
        <f t="shared" si="25"/>
        <v>2011</v>
      </c>
      <c r="E756" t="s">
        <v>38</v>
      </c>
      <c r="F756" t="s">
        <v>143</v>
      </c>
      <c r="G756" t="s">
        <v>10</v>
      </c>
      <c r="H756" s="72" t="s">
        <v>223</v>
      </c>
      <c r="I756" s="72" t="s">
        <v>65</v>
      </c>
      <c r="J756" t="str">
        <f t="shared" si="26"/>
        <v>Stillaguamish River</v>
      </c>
      <c r="K756" t="str">
        <f>IFERROR(VLOOKUP(J756,LUTs!$A$1:$C$73,2,FALSE),"NA")</f>
        <v>Snohomish</v>
      </c>
      <c r="L756" t="str">
        <f>IFERROR(VLOOKUP(J756,LUTs!$A$1:$C$73,3,FALSE),"NA")</f>
        <v>2Central Puget Sound</v>
      </c>
      <c r="M756" s="72" t="s">
        <v>16</v>
      </c>
      <c r="N756" t="str">
        <f>VLOOKUP(M756,LUTs!E$2:H$14,3,)</f>
        <v>03Snohomish</v>
      </c>
      <c r="O756" t="str">
        <f>VLOOKUP(M756,LUTs!E$2:H$14,4,)</f>
        <v>01North Puget Sound</v>
      </c>
      <c r="P756" s="73">
        <v>6177.3382624769001</v>
      </c>
      <c r="Q756" s="74">
        <f>VLOOKUP(B756,Readme!A$40:C$51,2,)*P756</f>
        <v>21250.043622920537</v>
      </c>
    </row>
    <row r="757" spans="1:17" ht="12" customHeight="1" x14ac:dyDescent="0.35">
      <c r="A757" s="75">
        <v>756</v>
      </c>
      <c r="B757" s="64">
        <v>2011</v>
      </c>
      <c r="C757" s="64">
        <v>9</v>
      </c>
      <c r="D757" s="80">
        <f t="shared" si="25"/>
        <v>2011</v>
      </c>
      <c r="E757" t="s">
        <v>38</v>
      </c>
      <c r="F757" t="s">
        <v>143</v>
      </c>
      <c r="G757" t="s">
        <v>10</v>
      </c>
      <c r="H757" s="72" t="s">
        <v>223</v>
      </c>
      <c r="I757" s="72" t="s">
        <v>65</v>
      </c>
      <c r="J757" t="str">
        <f t="shared" si="26"/>
        <v>Stillaguamish River</v>
      </c>
      <c r="K757" t="str">
        <f>IFERROR(VLOOKUP(J757,LUTs!$A$1:$C$73,2,FALSE),"NA")</f>
        <v>Snohomish</v>
      </c>
      <c r="L757" t="str">
        <f>IFERROR(VLOOKUP(J757,LUTs!$A$1:$C$73,3,FALSE),"NA")</f>
        <v>2Central Puget Sound</v>
      </c>
      <c r="M757" s="72" t="s">
        <v>21</v>
      </c>
      <c r="N757" t="str">
        <f>VLOOKUP(M757,LUTs!E$2:H$14,3,)</f>
        <v>08Thurston</v>
      </c>
      <c r="O757" t="str">
        <f>VLOOKUP(M757,LUTs!E$2:H$14,4,)</f>
        <v>02South Puget Sound</v>
      </c>
      <c r="P757" s="73">
        <v>7.3539741219963002</v>
      </c>
      <c r="Q757" s="74">
        <f>VLOOKUP(B757,Readme!A$40:C$51,2,)*P757</f>
        <v>25.297670979667274</v>
      </c>
    </row>
    <row r="758" spans="1:17" ht="12" customHeight="1" x14ac:dyDescent="0.35">
      <c r="A758" s="75">
        <v>757</v>
      </c>
      <c r="B758" s="64">
        <v>2011</v>
      </c>
      <c r="C758" s="64">
        <v>9</v>
      </c>
      <c r="D758" s="80">
        <f t="shared" si="25"/>
        <v>2011</v>
      </c>
      <c r="E758" t="s">
        <v>38</v>
      </c>
      <c r="F758" t="s">
        <v>143</v>
      </c>
      <c r="G758" t="s">
        <v>10</v>
      </c>
      <c r="H758" s="72" t="s">
        <v>223</v>
      </c>
      <c r="I758" s="72" t="s">
        <v>65</v>
      </c>
      <c r="J758" t="str">
        <f t="shared" si="26"/>
        <v>Stillaguamish River</v>
      </c>
      <c r="K758" t="str">
        <f>IFERROR(VLOOKUP(J758,LUTs!$A$1:$C$73,2,FALSE),"NA")</f>
        <v>Snohomish</v>
      </c>
      <c r="L758" t="str">
        <f>IFERROR(VLOOKUP(J758,LUTs!$A$1:$C$73,3,FALSE),"NA")</f>
        <v>2Central Puget Sound</v>
      </c>
      <c r="M758" s="72" t="s">
        <v>13</v>
      </c>
      <c r="N758" t="str">
        <f>VLOOKUP(M758,LUTs!E$2:H$14,3,)</f>
        <v>01Whatcom</v>
      </c>
      <c r="O758" t="str">
        <f>VLOOKUP(M758,LUTs!E$2:H$14,4,)</f>
        <v>01North Puget Sound</v>
      </c>
      <c r="P758" s="73">
        <v>220.619223659889</v>
      </c>
      <c r="Q758" s="74">
        <f>VLOOKUP(B758,Readme!A$40:C$51,2,)*P758</f>
        <v>758.93012939001812</v>
      </c>
    </row>
    <row r="759" spans="1:17" ht="12" customHeight="1" x14ac:dyDescent="0.35">
      <c r="A759" s="75">
        <v>758</v>
      </c>
      <c r="B759" s="64">
        <v>2011</v>
      </c>
      <c r="C759" s="64">
        <v>10</v>
      </c>
      <c r="D759" s="80">
        <f t="shared" si="25"/>
        <v>2011</v>
      </c>
      <c r="E759" t="s">
        <v>38</v>
      </c>
      <c r="F759" t="s">
        <v>143</v>
      </c>
      <c r="G759" t="s">
        <v>10</v>
      </c>
      <c r="H759" s="72" t="s">
        <v>223</v>
      </c>
      <c r="I759" s="72" t="s">
        <v>65</v>
      </c>
      <c r="J759" t="str">
        <f t="shared" si="26"/>
        <v>Stillaguamish River</v>
      </c>
      <c r="K759" t="str">
        <f>IFERROR(VLOOKUP(J759,LUTs!$A$1:$C$73,2,FALSE),"NA")</f>
        <v>Snohomish</v>
      </c>
      <c r="L759" t="str">
        <f>IFERROR(VLOOKUP(J759,LUTs!$A$1:$C$73,3,FALSE),"NA")</f>
        <v>2Central Puget Sound</v>
      </c>
      <c r="M759" s="72" t="s">
        <v>17</v>
      </c>
      <c r="N759" t="str">
        <f>VLOOKUP(M759,LUTs!E$2:H$14,3,)</f>
        <v>04Island</v>
      </c>
      <c r="O759" t="str">
        <f>VLOOKUP(M759,LUTs!E$2:H$14,4,)</f>
        <v>01North Puget Sound</v>
      </c>
      <c r="P759" s="73">
        <v>80.786046511627902</v>
      </c>
      <c r="Q759" s="74">
        <f>VLOOKUP(B759,Readme!A$40:C$51,2,)*P759</f>
        <v>277.904</v>
      </c>
    </row>
    <row r="760" spans="1:17" ht="12" customHeight="1" x14ac:dyDescent="0.35">
      <c r="A760" s="75">
        <v>759</v>
      </c>
      <c r="B760" s="64">
        <v>2011</v>
      </c>
      <c r="C760" s="64">
        <v>10</v>
      </c>
      <c r="D760" s="80">
        <f t="shared" si="25"/>
        <v>2011</v>
      </c>
      <c r="E760" t="s">
        <v>38</v>
      </c>
      <c r="F760" t="s">
        <v>143</v>
      </c>
      <c r="G760" t="s">
        <v>10</v>
      </c>
      <c r="H760" s="72" t="s">
        <v>223</v>
      </c>
      <c r="I760" s="72" t="s">
        <v>65</v>
      </c>
      <c r="J760" t="str">
        <f t="shared" si="26"/>
        <v>Stillaguamish River</v>
      </c>
      <c r="K760" t="str">
        <f>IFERROR(VLOOKUP(J760,LUTs!$A$1:$C$73,2,FALSE),"NA")</f>
        <v>Snohomish</v>
      </c>
      <c r="L760" t="str">
        <f>IFERROR(VLOOKUP(J760,LUTs!$A$1:$C$73,3,FALSE),"NA")</f>
        <v>2Central Puget Sound</v>
      </c>
      <c r="M760" s="72" t="s">
        <v>18</v>
      </c>
      <c r="N760" t="str">
        <f>VLOOKUP(M760,LUTs!E$2:H$14,3,)</f>
        <v>06King</v>
      </c>
      <c r="O760" t="str">
        <f>VLOOKUP(M760,LUTs!E$2:H$14,4,)</f>
        <v>02South Puget Sound</v>
      </c>
      <c r="P760" s="73">
        <v>110.162790697674</v>
      </c>
      <c r="Q760" s="74">
        <f>VLOOKUP(B760,Readme!A$40:C$51,2,)*P760</f>
        <v>378.95999999999856</v>
      </c>
    </row>
    <row r="761" spans="1:17" ht="12" customHeight="1" x14ac:dyDescent="0.35">
      <c r="A761" s="75">
        <v>760</v>
      </c>
      <c r="B761" s="64">
        <v>2011</v>
      </c>
      <c r="C761" s="64">
        <v>10</v>
      </c>
      <c r="D761" s="80">
        <f t="shared" si="25"/>
        <v>2011</v>
      </c>
      <c r="E761" t="s">
        <v>38</v>
      </c>
      <c r="F761" t="s">
        <v>143</v>
      </c>
      <c r="G761" t="s">
        <v>10</v>
      </c>
      <c r="H761" s="72" t="s">
        <v>223</v>
      </c>
      <c r="I761" s="72" t="s">
        <v>65</v>
      </c>
      <c r="J761" t="str">
        <f t="shared" si="26"/>
        <v>Stillaguamish River</v>
      </c>
      <c r="K761" t="str">
        <f>IFERROR(VLOOKUP(J761,LUTs!$A$1:$C$73,2,FALSE),"NA")</f>
        <v>Snohomish</v>
      </c>
      <c r="L761" t="str">
        <f>IFERROR(VLOOKUP(J761,LUTs!$A$1:$C$73,3,FALSE),"NA")</f>
        <v>2Central Puget Sound</v>
      </c>
      <c r="M761" s="72" t="s">
        <v>20</v>
      </c>
      <c r="N761" t="str">
        <f>VLOOKUP(M761,LUTs!E$2:H$14,3,)</f>
        <v>07Pierce</v>
      </c>
      <c r="O761" t="str">
        <f>VLOOKUP(M761,LUTs!E$2:H$14,4,)</f>
        <v>02South Puget Sound</v>
      </c>
      <c r="P761" s="73">
        <v>7.3441860465116298</v>
      </c>
      <c r="Q761" s="74">
        <f>VLOOKUP(B761,Readme!A$40:C$51,2,)*P761</f>
        <v>25.264000000000006</v>
      </c>
    </row>
    <row r="762" spans="1:17" ht="12" customHeight="1" x14ac:dyDescent="0.35">
      <c r="A762" s="75">
        <v>761</v>
      </c>
      <c r="B762" s="64">
        <v>2011</v>
      </c>
      <c r="C762" s="64">
        <v>10</v>
      </c>
      <c r="D762" s="80">
        <f t="shared" si="25"/>
        <v>2011</v>
      </c>
      <c r="E762" t="s">
        <v>38</v>
      </c>
      <c r="F762" t="s">
        <v>143</v>
      </c>
      <c r="G762" t="s">
        <v>10</v>
      </c>
      <c r="H762" s="72" t="s">
        <v>223</v>
      </c>
      <c r="I762" s="72" t="s">
        <v>65</v>
      </c>
      <c r="J762" t="str">
        <f t="shared" si="26"/>
        <v>Stillaguamish River</v>
      </c>
      <c r="K762" t="str">
        <f>IFERROR(VLOOKUP(J762,LUTs!$A$1:$C$73,2,FALSE),"NA")</f>
        <v>Snohomish</v>
      </c>
      <c r="L762" t="str">
        <f>IFERROR(VLOOKUP(J762,LUTs!$A$1:$C$73,3,FALSE),"NA")</f>
        <v>2Central Puget Sound</v>
      </c>
      <c r="M762" s="72" t="s">
        <v>15</v>
      </c>
      <c r="N762" t="str">
        <f>VLOOKUP(M762,LUTs!E$2:H$14,3,)</f>
        <v>02Skagit</v>
      </c>
      <c r="O762" t="str">
        <f>VLOOKUP(M762,LUTs!E$2:H$14,4,)</f>
        <v>01North Puget Sound</v>
      </c>
      <c r="P762" s="73">
        <v>22.032558139534899</v>
      </c>
      <c r="Q762" s="74">
        <f>VLOOKUP(B762,Readme!A$40:C$51,2,)*P762</f>
        <v>75.792000000000058</v>
      </c>
    </row>
    <row r="763" spans="1:17" ht="12" customHeight="1" x14ac:dyDescent="0.35">
      <c r="A763" s="75">
        <v>762</v>
      </c>
      <c r="B763" s="64">
        <v>2011</v>
      </c>
      <c r="C763" s="64">
        <v>10</v>
      </c>
      <c r="D763" s="80">
        <f t="shared" si="25"/>
        <v>2011</v>
      </c>
      <c r="E763" t="s">
        <v>38</v>
      </c>
      <c r="F763" t="s">
        <v>143</v>
      </c>
      <c r="G763" t="s">
        <v>10</v>
      </c>
      <c r="H763" s="72" t="s">
        <v>223</v>
      </c>
      <c r="I763" s="72" t="s">
        <v>65</v>
      </c>
      <c r="J763" t="str">
        <f t="shared" si="26"/>
        <v>Stillaguamish River</v>
      </c>
      <c r="K763" t="str">
        <f>IFERROR(VLOOKUP(J763,LUTs!$A$1:$C$73,2,FALSE),"NA")</f>
        <v>Snohomish</v>
      </c>
      <c r="L763" t="str">
        <f>IFERROR(VLOOKUP(J763,LUTs!$A$1:$C$73,3,FALSE),"NA")</f>
        <v>2Central Puget Sound</v>
      </c>
      <c r="M763" s="72" t="s">
        <v>16</v>
      </c>
      <c r="N763" t="str">
        <f>VLOOKUP(M763,LUTs!E$2:H$14,3,)</f>
        <v>03Snohomish</v>
      </c>
      <c r="O763" t="str">
        <f>VLOOKUP(M763,LUTs!E$2:H$14,4,)</f>
        <v>01North Puget Sound</v>
      </c>
      <c r="P763" s="73">
        <v>1321.9534883720901</v>
      </c>
      <c r="Q763" s="74">
        <f>VLOOKUP(B763,Readme!A$40:C$51,2,)*P763</f>
        <v>4547.5199999999895</v>
      </c>
    </row>
    <row r="764" spans="1:17" ht="12" customHeight="1" x14ac:dyDescent="0.35">
      <c r="A764" s="75">
        <v>763</v>
      </c>
      <c r="B764" s="64">
        <v>2011</v>
      </c>
      <c r="C764" s="64">
        <v>10</v>
      </c>
      <c r="D764" s="80">
        <f t="shared" si="25"/>
        <v>2011</v>
      </c>
      <c r="E764" t="s">
        <v>38</v>
      </c>
      <c r="F764" t="s">
        <v>143</v>
      </c>
      <c r="G764" t="s">
        <v>10</v>
      </c>
      <c r="H764" s="72" t="s">
        <v>223</v>
      </c>
      <c r="I764" s="72" t="s">
        <v>65</v>
      </c>
      <c r="J764" t="str">
        <f t="shared" si="26"/>
        <v>Stillaguamish River</v>
      </c>
      <c r="K764" t="str">
        <f>IFERROR(VLOOKUP(J764,LUTs!$A$1:$C$73,2,FALSE),"NA")</f>
        <v>Snohomish</v>
      </c>
      <c r="L764" t="str">
        <f>IFERROR(VLOOKUP(J764,LUTs!$A$1:$C$73,3,FALSE),"NA")</f>
        <v>2Central Puget Sound</v>
      </c>
      <c r="M764" s="72" t="s">
        <v>13</v>
      </c>
      <c r="N764" t="str">
        <f>VLOOKUP(M764,LUTs!E$2:H$14,3,)</f>
        <v>01Whatcom</v>
      </c>
      <c r="O764" t="str">
        <f>VLOOKUP(M764,LUTs!E$2:H$14,4,)</f>
        <v>01North Puget Sound</v>
      </c>
      <c r="P764" s="73">
        <v>36.720930232558104</v>
      </c>
      <c r="Q764" s="74">
        <f>VLOOKUP(B764,Readme!A$40:C$51,2,)*P764</f>
        <v>126.31999999999988</v>
      </c>
    </row>
    <row r="765" spans="1:17" ht="12" customHeight="1" x14ac:dyDescent="0.35">
      <c r="A765" s="75">
        <v>764</v>
      </c>
      <c r="B765" s="64">
        <v>2011</v>
      </c>
      <c r="C765" s="64">
        <v>11</v>
      </c>
      <c r="D765" s="80">
        <f t="shared" si="25"/>
        <v>2011</v>
      </c>
      <c r="E765" t="s">
        <v>38</v>
      </c>
      <c r="F765" t="s">
        <v>143</v>
      </c>
      <c r="G765" t="s">
        <v>10</v>
      </c>
      <c r="H765" s="72" t="s">
        <v>223</v>
      </c>
      <c r="I765" s="72" t="s">
        <v>65</v>
      </c>
      <c r="J765" t="str">
        <f t="shared" si="26"/>
        <v>Stillaguamish River</v>
      </c>
      <c r="K765" t="str">
        <f>IFERROR(VLOOKUP(J765,LUTs!$A$1:$C$73,2,FALSE),"NA")</f>
        <v>Snohomish</v>
      </c>
      <c r="L765" t="str">
        <f>IFERROR(VLOOKUP(J765,LUTs!$A$1:$C$73,3,FALSE),"NA")</f>
        <v>2Central Puget Sound</v>
      </c>
      <c r="M765" s="72" t="s">
        <v>16</v>
      </c>
      <c r="N765" t="str">
        <f>VLOOKUP(M765,LUTs!E$2:H$14,3,)</f>
        <v>03Snohomish</v>
      </c>
      <c r="O765" t="str">
        <f>VLOOKUP(M765,LUTs!E$2:H$14,4,)</f>
        <v>01North Puget Sound</v>
      </c>
      <c r="P765" s="73">
        <v>117</v>
      </c>
      <c r="Q765" s="74">
        <f>VLOOKUP(B765,Readme!A$40:C$51,2,)*P765</f>
        <v>402.48</v>
      </c>
    </row>
    <row r="766" spans="1:17" ht="12" customHeight="1" x14ac:dyDescent="0.35">
      <c r="A766" s="75">
        <v>765</v>
      </c>
      <c r="B766" s="64">
        <v>2011</v>
      </c>
      <c r="C766" s="64">
        <v>10</v>
      </c>
      <c r="D766" s="80">
        <f t="shared" si="25"/>
        <v>2011</v>
      </c>
      <c r="E766" t="s">
        <v>38</v>
      </c>
      <c r="F766" t="s">
        <v>143</v>
      </c>
      <c r="G766" t="s">
        <v>10</v>
      </c>
      <c r="H766" s="72" t="s">
        <v>230</v>
      </c>
      <c r="I766" s="72" t="s">
        <v>72</v>
      </c>
      <c r="J766" t="str">
        <f t="shared" si="26"/>
        <v>Tahuya River</v>
      </c>
      <c r="K766" t="str">
        <f>IFERROR(VLOOKUP(J766,LUTs!$A$1:$C$73,2,FALSE),"NA")</f>
        <v>Mason</v>
      </c>
      <c r="L766" t="str">
        <f>IFERROR(VLOOKUP(J766,LUTs!$A$1:$C$73,3,FALSE),"NA")</f>
        <v>4 Hood Canal</v>
      </c>
      <c r="M766" s="72" t="s">
        <v>25</v>
      </c>
      <c r="N766" t="str">
        <f>VLOOKUP(M766,LUTs!E$2:H$14,3,)</f>
        <v>12Jefferson</v>
      </c>
      <c r="O766" t="str">
        <f>VLOOKUP(M766,LUTs!E$2:H$14,4,)</f>
        <v>03Strait of Juan de Fuca</v>
      </c>
      <c r="P766" s="73">
        <v>15.0714285714286</v>
      </c>
      <c r="Q766" s="74">
        <f>VLOOKUP(B766,Readme!A$40:C$51,2,)*P766</f>
        <v>51.845714285714379</v>
      </c>
    </row>
    <row r="767" spans="1:17" ht="12" customHeight="1" x14ac:dyDescent="0.35">
      <c r="A767" s="75">
        <v>766</v>
      </c>
      <c r="B767" s="64">
        <v>2011</v>
      </c>
      <c r="C767" s="64">
        <v>10</v>
      </c>
      <c r="D767" s="80">
        <f t="shared" si="25"/>
        <v>2011</v>
      </c>
      <c r="E767" t="s">
        <v>38</v>
      </c>
      <c r="F767" t="s">
        <v>143</v>
      </c>
      <c r="G767" t="s">
        <v>10</v>
      </c>
      <c r="H767" s="72" t="s">
        <v>230</v>
      </c>
      <c r="I767" s="72" t="s">
        <v>72</v>
      </c>
      <c r="J767" t="str">
        <f t="shared" si="26"/>
        <v>Tahuya River</v>
      </c>
      <c r="K767" t="str">
        <f>IFERROR(VLOOKUP(J767,LUTs!$A$1:$C$73,2,FALSE),"NA")</f>
        <v>Mason</v>
      </c>
      <c r="L767" t="str">
        <f>IFERROR(VLOOKUP(J767,LUTs!$A$1:$C$73,3,FALSE),"NA")</f>
        <v>4 Hood Canal</v>
      </c>
      <c r="M767" s="72" t="s">
        <v>18</v>
      </c>
      <c r="N767" t="str">
        <f>VLOOKUP(M767,LUTs!E$2:H$14,3,)</f>
        <v>06King</v>
      </c>
      <c r="O767" t="str">
        <f>VLOOKUP(M767,LUTs!E$2:H$14,4,)</f>
        <v>02South Puget Sound</v>
      </c>
      <c r="P767" s="73">
        <v>15.0714285714286</v>
      </c>
      <c r="Q767" s="74">
        <f>VLOOKUP(B767,Readme!A$40:C$51,2,)*P767</f>
        <v>51.845714285714379</v>
      </c>
    </row>
    <row r="768" spans="1:17" ht="12" customHeight="1" x14ac:dyDescent="0.35">
      <c r="A768" s="75">
        <v>767</v>
      </c>
      <c r="B768" s="64">
        <v>2011</v>
      </c>
      <c r="C768" s="64">
        <v>10</v>
      </c>
      <c r="D768" s="80">
        <f t="shared" si="25"/>
        <v>2011</v>
      </c>
      <c r="E768" t="s">
        <v>38</v>
      </c>
      <c r="F768" t="s">
        <v>143</v>
      </c>
      <c r="G768" t="s">
        <v>10</v>
      </c>
      <c r="H768" s="72" t="s">
        <v>230</v>
      </c>
      <c r="I768" s="72" t="s">
        <v>72</v>
      </c>
      <c r="J768" t="str">
        <f t="shared" si="26"/>
        <v>Tahuya River</v>
      </c>
      <c r="K768" t="str">
        <f>IFERROR(VLOOKUP(J768,LUTs!$A$1:$C$73,2,FALSE),"NA")</f>
        <v>Mason</v>
      </c>
      <c r="L768" t="str">
        <f>IFERROR(VLOOKUP(J768,LUTs!$A$1:$C$73,3,FALSE),"NA")</f>
        <v>4 Hood Canal</v>
      </c>
      <c r="M768" s="72" t="s">
        <v>23</v>
      </c>
      <c r="N768" t="str">
        <f>VLOOKUP(M768,LUTs!E$2:H$14,3,)</f>
        <v>10Kitsap</v>
      </c>
      <c r="O768" t="str">
        <f>VLOOKUP(M768,LUTs!E$2:H$14,4,)</f>
        <v>02South Puget Sound</v>
      </c>
      <c r="P768" s="73">
        <v>105.5</v>
      </c>
      <c r="Q768" s="74">
        <f>VLOOKUP(B768,Readme!A$40:C$51,2,)*P768</f>
        <v>362.92</v>
      </c>
    </row>
    <row r="769" spans="1:17" ht="12" customHeight="1" x14ac:dyDescent="0.35">
      <c r="A769" s="75">
        <v>768</v>
      </c>
      <c r="B769" s="64">
        <v>2011</v>
      </c>
      <c r="C769" s="64">
        <v>10</v>
      </c>
      <c r="D769" s="80">
        <f t="shared" si="25"/>
        <v>2011</v>
      </c>
      <c r="E769" t="s">
        <v>38</v>
      </c>
      <c r="F769" t="s">
        <v>143</v>
      </c>
      <c r="G769" t="s">
        <v>10</v>
      </c>
      <c r="H769" s="72" t="s">
        <v>230</v>
      </c>
      <c r="I769" s="72" t="s">
        <v>72</v>
      </c>
      <c r="J769" t="str">
        <f t="shared" si="26"/>
        <v>Tahuya River</v>
      </c>
      <c r="K769" t="str">
        <f>IFERROR(VLOOKUP(J769,LUTs!$A$1:$C$73,2,FALSE),"NA")</f>
        <v>Mason</v>
      </c>
      <c r="L769" t="str">
        <f>IFERROR(VLOOKUP(J769,LUTs!$A$1:$C$73,3,FALSE),"NA")</f>
        <v>4 Hood Canal</v>
      </c>
      <c r="M769" s="72" t="s">
        <v>22</v>
      </c>
      <c r="N769" t="str">
        <f>VLOOKUP(M769,LUTs!E$2:H$14,3,)</f>
        <v>09Mason</v>
      </c>
      <c r="O769" t="str">
        <f>VLOOKUP(M769,LUTs!E$2:H$14,4,)</f>
        <v>02South Puget Sound</v>
      </c>
      <c r="P769" s="73">
        <v>60.285714285714299</v>
      </c>
      <c r="Q769" s="74">
        <f>VLOOKUP(B769,Readme!A$40:C$51,2,)*P769</f>
        <v>207.38285714285718</v>
      </c>
    </row>
    <row r="770" spans="1:17" ht="12" customHeight="1" x14ac:dyDescent="0.35">
      <c r="A770" s="75">
        <v>769</v>
      </c>
      <c r="B770" s="64">
        <v>2011</v>
      </c>
      <c r="C770" s="64">
        <v>10</v>
      </c>
      <c r="D770" s="80">
        <f t="shared" ref="D770:D833" si="27">IF(C770&gt;3,B770,B770-1)</f>
        <v>2011</v>
      </c>
      <c r="E770" t="s">
        <v>38</v>
      </c>
      <c r="F770" t="s">
        <v>143</v>
      </c>
      <c r="G770" t="s">
        <v>10</v>
      </c>
      <c r="H770" s="72" t="s">
        <v>230</v>
      </c>
      <c r="I770" s="72" t="s">
        <v>72</v>
      </c>
      <c r="J770" t="str">
        <f t="shared" si="26"/>
        <v>Tahuya River</v>
      </c>
      <c r="K770" t="str">
        <f>IFERROR(VLOOKUP(J770,LUTs!$A$1:$C$73,2,FALSE),"NA")</f>
        <v>Mason</v>
      </c>
      <c r="L770" t="str">
        <f>IFERROR(VLOOKUP(J770,LUTs!$A$1:$C$73,3,FALSE),"NA")</f>
        <v>4 Hood Canal</v>
      </c>
      <c r="M770" s="72" t="s">
        <v>20</v>
      </c>
      <c r="N770" t="str">
        <f>VLOOKUP(M770,LUTs!E$2:H$14,3,)</f>
        <v>07Pierce</v>
      </c>
      <c r="O770" t="str">
        <f>VLOOKUP(M770,LUTs!E$2:H$14,4,)</f>
        <v>02South Puget Sound</v>
      </c>
      <c r="P770" s="73">
        <v>15.0714285714286</v>
      </c>
      <c r="Q770" s="74">
        <f>VLOOKUP(B770,Readme!A$40:C$51,2,)*P770</f>
        <v>51.845714285714379</v>
      </c>
    </row>
    <row r="771" spans="1:17" ht="12" customHeight="1" x14ac:dyDescent="0.35">
      <c r="A771" s="75">
        <v>770</v>
      </c>
      <c r="B771" s="64">
        <v>2011</v>
      </c>
      <c r="C771" s="64">
        <v>8</v>
      </c>
      <c r="D771" s="80">
        <f t="shared" si="27"/>
        <v>2011</v>
      </c>
      <c r="E771" t="s">
        <v>38</v>
      </c>
      <c r="F771" t="s">
        <v>143</v>
      </c>
      <c r="G771" t="s">
        <v>10</v>
      </c>
      <c r="H771" s="72" t="s">
        <v>224</v>
      </c>
      <c r="I771" s="72" t="s">
        <v>66</v>
      </c>
      <c r="J771" t="str">
        <f t="shared" ref="J771:J834" si="28">I771</f>
        <v>Whatcom Creek</v>
      </c>
      <c r="K771" t="str">
        <f>IFERROR(VLOOKUP(J771,LUTs!$A$1:$C$73,2,FALSE),"NA")</f>
        <v>Whatcom</v>
      </c>
      <c r="L771" t="str">
        <f>IFERROR(VLOOKUP(J771,LUTs!$A$1:$C$73,3,FALSE),"NA")</f>
        <v>1North Puget Sound</v>
      </c>
      <c r="M771" s="72" t="s">
        <v>13</v>
      </c>
      <c r="N771" t="str">
        <f>VLOOKUP(M771,LUTs!E$2:H$14,3,)</f>
        <v>01Whatcom</v>
      </c>
      <c r="O771" t="str">
        <f>VLOOKUP(M771,LUTs!E$2:H$14,4,)</f>
        <v>01North Puget Sound</v>
      </c>
      <c r="P771" s="73">
        <v>54</v>
      </c>
      <c r="Q771" s="74">
        <f>VLOOKUP(B771,Readme!A$40:C$51,2,)*P771</f>
        <v>185.76</v>
      </c>
    </row>
    <row r="772" spans="1:17" ht="12" customHeight="1" x14ac:dyDescent="0.35">
      <c r="A772" s="75">
        <v>771</v>
      </c>
      <c r="B772" s="64">
        <v>2011</v>
      </c>
      <c r="C772" s="64">
        <v>9</v>
      </c>
      <c r="D772" s="80">
        <f t="shared" si="27"/>
        <v>2011</v>
      </c>
      <c r="E772" t="s">
        <v>38</v>
      </c>
      <c r="F772" t="s">
        <v>143</v>
      </c>
      <c r="G772" t="s">
        <v>10</v>
      </c>
      <c r="H772" s="72" t="s">
        <v>224</v>
      </c>
      <c r="I772" s="72" t="s">
        <v>66</v>
      </c>
      <c r="J772" t="str">
        <f t="shared" si="28"/>
        <v>Whatcom Creek</v>
      </c>
      <c r="K772" t="str">
        <f>IFERROR(VLOOKUP(J772,LUTs!$A$1:$C$73,2,FALSE),"NA")</f>
        <v>Whatcom</v>
      </c>
      <c r="L772" t="str">
        <f>IFERROR(VLOOKUP(J772,LUTs!$A$1:$C$73,3,FALSE),"NA")</f>
        <v>1North Puget Sound</v>
      </c>
      <c r="M772" s="72" t="s">
        <v>13</v>
      </c>
      <c r="N772" t="str">
        <f>VLOOKUP(M772,LUTs!E$2:H$14,3,)</f>
        <v>01Whatcom</v>
      </c>
      <c r="O772" t="str">
        <f>VLOOKUP(M772,LUTs!E$2:H$14,4,)</f>
        <v>01North Puget Sound</v>
      </c>
      <c r="P772" s="73">
        <v>83</v>
      </c>
      <c r="Q772" s="74">
        <f>VLOOKUP(B772,Readme!A$40:C$51,2,)*P772</f>
        <v>285.52</v>
      </c>
    </row>
    <row r="773" spans="1:17" ht="12" customHeight="1" x14ac:dyDescent="0.35">
      <c r="A773" s="75">
        <v>772</v>
      </c>
      <c r="B773" s="64">
        <v>2011</v>
      </c>
      <c r="C773" s="64">
        <v>10</v>
      </c>
      <c r="D773" s="80">
        <f t="shared" si="27"/>
        <v>2011</v>
      </c>
      <c r="E773" t="s">
        <v>38</v>
      </c>
      <c r="F773" t="s">
        <v>143</v>
      </c>
      <c r="G773" t="s">
        <v>10</v>
      </c>
      <c r="H773" s="72" t="s">
        <v>224</v>
      </c>
      <c r="I773" s="72" t="s">
        <v>66</v>
      </c>
      <c r="J773" t="str">
        <f t="shared" si="28"/>
        <v>Whatcom Creek</v>
      </c>
      <c r="K773" t="str">
        <f>IFERROR(VLOOKUP(J773,LUTs!$A$1:$C$73,2,FALSE),"NA")</f>
        <v>Whatcom</v>
      </c>
      <c r="L773" t="str">
        <f>IFERROR(VLOOKUP(J773,LUTs!$A$1:$C$73,3,FALSE),"NA")</f>
        <v>1North Puget Sound</v>
      </c>
      <c r="M773" s="72" t="s">
        <v>18</v>
      </c>
      <c r="N773" t="str">
        <f>VLOOKUP(M773,LUTs!E$2:H$14,3,)</f>
        <v>06King</v>
      </c>
      <c r="O773" t="str">
        <f>VLOOKUP(M773,LUTs!E$2:H$14,4,)</f>
        <v>02South Puget Sound</v>
      </c>
      <c r="P773" s="73">
        <v>14.75</v>
      </c>
      <c r="Q773" s="74">
        <f>VLOOKUP(B773,Readme!A$40:C$51,2,)*P773</f>
        <v>50.74</v>
      </c>
    </row>
    <row r="774" spans="1:17" ht="12" customHeight="1" x14ac:dyDescent="0.35">
      <c r="A774" s="75">
        <v>773</v>
      </c>
      <c r="B774" s="64">
        <v>2011</v>
      </c>
      <c r="C774" s="64">
        <v>10</v>
      </c>
      <c r="D774" s="80">
        <f t="shared" si="27"/>
        <v>2011</v>
      </c>
      <c r="E774" t="s">
        <v>38</v>
      </c>
      <c r="F774" t="s">
        <v>143</v>
      </c>
      <c r="G774" t="s">
        <v>10</v>
      </c>
      <c r="H774" s="72" t="s">
        <v>224</v>
      </c>
      <c r="I774" s="72" t="s">
        <v>66</v>
      </c>
      <c r="J774" t="str">
        <f t="shared" si="28"/>
        <v>Whatcom Creek</v>
      </c>
      <c r="K774" t="str">
        <f>IFERROR(VLOOKUP(J774,LUTs!$A$1:$C$73,2,FALSE),"NA")</f>
        <v>Whatcom</v>
      </c>
      <c r="L774" t="str">
        <f>IFERROR(VLOOKUP(J774,LUTs!$A$1:$C$73,3,FALSE),"NA")</f>
        <v>1North Puget Sound</v>
      </c>
      <c r="M774" s="72" t="s">
        <v>13</v>
      </c>
      <c r="N774" t="str">
        <f>VLOOKUP(M774,LUTs!E$2:H$14,3,)</f>
        <v>01Whatcom</v>
      </c>
      <c r="O774" t="str">
        <f>VLOOKUP(M774,LUTs!E$2:H$14,4,)</f>
        <v>01North Puget Sound</v>
      </c>
      <c r="P774" s="73">
        <v>44.25</v>
      </c>
      <c r="Q774" s="74">
        <f>VLOOKUP(B774,Readme!A$40:C$51,2,)*P774</f>
        <v>152.22</v>
      </c>
    </row>
    <row r="775" spans="1:17" ht="12" customHeight="1" x14ac:dyDescent="0.35">
      <c r="A775" s="75">
        <v>774</v>
      </c>
      <c r="B775" s="64">
        <v>2011</v>
      </c>
      <c r="C775" s="64">
        <v>11</v>
      </c>
      <c r="D775" s="80">
        <f t="shared" si="27"/>
        <v>2011</v>
      </c>
      <c r="E775" t="s">
        <v>38</v>
      </c>
      <c r="F775" t="s">
        <v>143</v>
      </c>
      <c r="G775" t="s">
        <v>10</v>
      </c>
      <c r="H775" s="72" t="s">
        <v>224</v>
      </c>
      <c r="I775" s="72" t="s">
        <v>66</v>
      </c>
      <c r="J775" t="str">
        <f t="shared" si="28"/>
        <v>Whatcom Creek</v>
      </c>
      <c r="K775" t="str">
        <f>IFERROR(VLOOKUP(J775,LUTs!$A$1:$C$73,2,FALSE),"NA")</f>
        <v>Whatcom</v>
      </c>
      <c r="L775" t="str">
        <f>IFERROR(VLOOKUP(J775,LUTs!$A$1:$C$73,3,FALSE),"NA")</f>
        <v>1North Puget Sound</v>
      </c>
      <c r="M775" s="72" t="s">
        <v>17</v>
      </c>
      <c r="N775" t="str">
        <f>VLOOKUP(M775,LUTs!E$2:H$14,3,)</f>
        <v>04Island</v>
      </c>
      <c r="O775" t="str">
        <f>VLOOKUP(M775,LUTs!E$2:H$14,4,)</f>
        <v>01North Puget Sound</v>
      </c>
      <c r="P775" s="73">
        <v>22.837499999999999</v>
      </c>
      <c r="Q775" s="74">
        <f>VLOOKUP(B775,Readme!A$40:C$51,2,)*P775</f>
        <v>78.560999999999993</v>
      </c>
    </row>
    <row r="776" spans="1:17" ht="12" customHeight="1" x14ac:dyDescent="0.35">
      <c r="A776" s="75">
        <v>775</v>
      </c>
      <c r="B776" s="64">
        <v>2011</v>
      </c>
      <c r="C776" s="64">
        <v>11</v>
      </c>
      <c r="D776" s="80">
        <f t="shared" si="27"/>
        <v>2011</v>
      </c>
      <c r="E776" t="s">
        <v>38</v>
      </c>
      <c r="F776" t="s">
        <v>143</v>
      </c>
      <c r="G776" t="s">
        <v>10</v>
      </c>
      <c r="H776" s="72" t="s">
        <v>224</v>
      </c>
      <c r="I776" s="72" t="s">
        <v>66</v>
      </c>
      <c r="J776" t="str">
        <f t="shared" si="28"/>
        <v>Whatcom Creek</v>
      </c>
      <c r="K776" t="str">
        <f>IFERROR(VLOOKUP(J776,LUTs!$A$1:$C$73,2,FALSE),"NA")</f>
        <v>Whatcom</v>
      </c>
      <c r="L776" t="str">
        <f>IFERROR(VLOOKUP(J776,LUTs!$A$1:$C$73,3,FALSE),"NA")</f>
        <v>1North Puget Sound</v>
      </c>
      <c r="M776" s="72" t="s">
        <v>15</v>
      </c>
      <c r="N776" t="str">
        <f>VLOOKUP(M776,LUTs!E$2:H$14,3,)</f>
        <v>02Skagit</v>
      </c>
      <c r="O776" t="str">
        <f>VLOOKUP(M776,LUTs!E$2:H$14,4,)</f>
        <v>01North Puget Sound</v>
      </c>
      <c r="P776" s="73">
        <v>76.125</v>
      </c>
      <c r="Q776" s="74">
        <f>VLOOKUP(B776,Readme!A$40:C$51,2,)*P776</f>
        <v>261.87</v>
      </c>
    </row>
    <row r="777" spans="1:17" ht="12" customHeight="1" x14ac:dyDescent="0.35">
      <c r="A777" s="75">
        <v>776</v>
      </c>
      <c r="B777" s="64">
        <v>2011</v>
      </c>
      <c r="C777" s="64">
        <v>11</v>
      </c>
      <c r="D777" s="80">
        <f t="shared" si="27"/>
        <v>2011</v>
      </c>
      <c r="E777" t="s">
        <v>38</v>
      </c>
      <c r="F777" t="s">
        <v>143</v>
      </c>
      <c r="G777" t="s">
        <v>10</v>
      </c>
      <c r="H777" s="72" t="s">
        <v>224</v>
      </c>
      <c r="I777" s="72" t="s">
        <v>66</v>
      </c>
      <c r="J777" t="str">
        <f t="shared" si="28"/>
        <v>Whatcom Creek</v>
      </c>
      <c r="K777" t="str">
        <f>IFERROR(VLOOKUP(J777,LUTs!$A$1:$C$73,2,FALSE),"NA")</f>
        <v>Whatcom</v>
      </c>
      <c r="L777" t="str">
        <f>IFERROR(VLOOKUP(J777,LUTs!$A$1:$C$73,3,FALSE),"NA")</f>
        <v>1North Puget Sound</v>
      </c>
      <c r="M777" s="72" t="s">
        <v>16</v>
      </c>
      <c r="N777" t="str">
        <f>VLOOKUP(M777,LUTs!E$2:H$14,3,)</f>
        <v>03Snohomish</v>
      </c>
      <c r="O777" t="str">
        <f>VLOOKUP(M777,LUTs!E$2:H$14,4,)</f>
        <v>01North Puget Sound</v>
      </c>
      <c r="P777" s="73">
        <v>7.6124999999999998</v>
      </c>
      <c r="Q777" s="74">
        <f>VLOOKUP(B777,Readme!A$40:C$51,2,)*P777</f>
        <v>26.186999999999998</v>
      </c>
    </row>
    <row r="778" spans="1:17" ht="12" customHeight="1" x14ac:dyDescent="0.35">
      <c r="A778" s="75">
        <v>777</v>
      </c>
      <c r="B778" s="64">
        <v>2011</v>
      </c>
      <c r="C778" s="64">
        <v>11</v>
      </c>
      <c r="D778" s="80">
        <f t="shared" si="27"/>
        <v>2011</v>
      </c>
      <c r="E778" t="s">
        <v>38</v>
      </c>
      <c r="F778" t="s">
        <v>143</v>
      </c>
      <c r="G778" t="s">
        <v>10</v>
      </c>
      <c r="H778" s="72" t="s">
        <v>224</v>
      </c>
      <c r="I778" s="72" t="s">
        <v>66</v>
      </c>
      <c r="J778" t="str">
        <f t="shared" si="28"/>
        <v>Whatcom Creek</v>
      </c>
      <c r="K778" t="str">
        <f>IFERROR(VLOOKUP(J778,LUTs!$A$1:$C$73,2,FALSE),"NA")</f>
        <v>Whatcom</v>
      </c>
      <c r="L778" t="str">
        <f>IFERROR(VLOOKUP(J778,LUTs!$A$1:$C$73,3,FALSE),"NA")</f>
        <v>1North Puget Sound</v>
      </c>
      <c r="M778" s="72" t="s">
        <v>13</v>
      </c>
      <c r="N778" t="str">
        <f>VLOOKUP(M778,LUTs!E$2:H$14,3,)</f>
        <v>01Whatcom</v>
      </c>
      <c r="O778" t="str">
        <f>VLOOKUP(M778,LUTs!E$2:H$14,4,)</f>
        <v>01North Puget Sound</v>
      </c>
      <c r="P778" s="73">
        <v>502.42500000000001</v>
      </c>
      <c r="Q778" s="74">
        <f>VLOOKUP(B778,Readme!A$40:C$51,2,)*P778</f>
        <v>1728.3420000000001</v>
      </c>
    </row>
    <row r="779" spans="1:17" ht="12" customHeight="1" x14ac:dyDescent="0.35">
      <c r="A779" s="75">
        <v>778</v>
      </c>
      <c r="B779" s="64">
        <v>2011</v>
      </c>
      <c r="C779" s="64">
        <v>12</v>
      </c>
      <c r="D779" s="80">
        <f t="shared" si="27"/>
        <v>2011</v>
      </c>
      <c r="E779" t="s">
        <v>38</v>
      </c>
      <c r="F779" t="s">
        <v>143</v>
      </c>
      <c r="G779" t="s">
        <v>10</v>
      </c>
      <c r="H779" s="72" t="s">
        <v>224</v>
      </c>
      <c r="I779" s="72" t="s">
        <v>66</v>
      </c>
      <c r="J779" t="str">
        <f t="shared" si="28"/>
        <v>Whatcom Creek</v>
      </c>
      <c r="K779" t="str">
        <f>IFERROR(VLOOKUP(J779,LUTs!$A$1:$C$73,2,FALSE),"NA")</f>
        <v>Whatcom</v>
      </c>
      <c r="L779" t="str">
        <f>IFERROR(VLOOKUP(J779,LUTs!$A$1:$C$73,3,FALSE),"NA")</f>
        <v>1North Puget Sound</v>
      </c>
      <c r="M779" s="72" t="s">
        <v>15</v>
      </c>
      <c r="N779" t="str">
        <f>VLOOKUP(M779,LUTs!E$2:H$14,3,)</f>
        <v>02Skagit</v>
      </c>
      <c r="O779" t="str">
        <f>VLOOKUP(M779,LUTs!E$2:H$14,4,)</f>
        <v>01North Puget Sound</v>
      </c>
      <c r="P779" s="73">
        <v>30.461538461538499</v>
      </c>
      <c r="Q779" s="74">
        <f>VLOOKUP(B779,Readme!A$40:C$51,2,)*P779</f>
        <v>104.78769230769244</v>
      </c>
    </row>
    <row r="780" spans="1:17" ht="12" customHeight="1" x14ac:dyDescent="0.35">
      <c r="A780" s="75">
        <v>779</v>
      </c>
      <c r="B780" s="64">
        <v>2011</v>
      </c>
      <c r="C780" s="64">
        <v>12</v>
      </c>
      <c r="D780" s="80">
        <f t="shared" si="27"/>
        <v>2011</v>
      </c>
      <c r="E780" t="s">
        <v>38</v>
      </c>
      <c r="F780" t="s">
        <v>143</v>
      </c>
      <c r="G780" t="s">
        <v>10</v>
      </c>
      <c r="H780" s="72" t="s">
        <v>224</v>
      </c>
      <c r="I780" s="72" t="s">
        <v>66</v>
      </c>
      <c r="J780" t="str">
        <f t="shared" si="28"/>
        <v>Whatcom Creek</v>
      </c>
      <c r="K780" t="str">
        <f>IFERROR(VLOOKUP(J780,LUTs!$A$1:$C$73,2,FALSE),"NA")</f>
        <v>Whatcom</v>
      </c>
      <c r="L780" t="str">
        <f>IFERROR(VLOOKUP(J780,LUTs!$A$1:$C$73,3,FALSE),"NA")</f>
        <v>1North Puget Sound</v>
      </c>
      <c r="M780" s="72" t="s">
        <v>13</v>
      </c>
      <c r="N780" t="str">
        <f>VLOOKUP(M780,LUTs!E$2:H$14,3,)</f>
        <v>01Whatcom</v>
      </c>
      <c r="O780" t="str">
        <f>VLOOKUP(M780,LUTs!E$2:H$14,4,)</f>
        <v>01North Puget Sound</v>
      </c>
      <c r="P780" s="73">
        <v>68.538461538461604</v>
      </c>
      <c r="Q780" s="74">
        <f>VLOOKUP(B780,Readme!A$40:C$51,2,)*P780</f>
        <v>235.77230769230792</v>
      </c>
    </row>
    <row r="781" spans="1:17" ht="12" customHeight="1" x14ac:dyDescent="0.35">
      <c r="A781" s="75">
        <v>780</v>
      </c>
      <c r="B781" s="64">
        <v>2012</v>
      </c>
      <c r="C781" s="64">
        <v>8</v>
      </c>
      <c r="D781" s="80">
        <f t="shared" si="27"/>
        <v>2012</v>
      </c>
      <c r="E781" t="s">
        <v>38</v>
      </c>
      <c r="F781" t="s">
        <v>143</v>
      </c>
      <c r="G781" t="s">
        <v>10</v>
      </c>
      <c r="H781" s="72" t="s">
        <v>197</v>
      </c>
      <c r="I781" s="72" t="s">
        <v>39</v>
      </c>
      <c r="J781" t="str">
        <f t="shared" si="28"/>
        <v>Chambers Creek</v>
      </c>
      <c r="K781" t="str">
        <f>IFERROR(VLOOKUP(J781,LUTs!$A$1:$C$73,2,FALSE),"NA")</f>
        <v>Pierce</v>
      </c>
      <c r="L781" t="str">
        <f>IFERROR(VLOOKUP(J781,LUTs!$A$1:$C$73,3,FALSE),"NA")</f>
        <v>3South Puget Sound</v>
      </c>
      <c r="M781" s="72" t="s">
        <v>18</v>
      </c>
      <c r="N781" t="str">
        <f>VLOOKUP(M781,LUTs!E$2:H$14,3,)</f>
        <v>06King</v>
      </c>
      <c r="O781" t="str">
        <f>VLOOKUP(M781,LUTs!E$2:H$14,4,)</f>
        <v>02South Puget Sound</v>
      </c>
      <c r="P781" s="73">
        <v>15.3333333333333</v>
      </c>
      <c r="Q781" s="74">
        <f>VLOOKUP(B781,Readme!A$40:C$51,2,)*P781</f>
        <v>132.63333333333304</v>
      </c>
    </row>
    <row r="782" spans="1:17" ht="12" customHeight="1" x14ac:dyDescent="0.35">
      <c r="A782" s="75">
        <v>781</v>
      </c>
      <c r="B782" s="64">
        <v>2012</v>
      </c>
      <c r="C782" s="64">
        <v>8</v>
      </c>
      <c r="D782" s="80">
        <f t="shared" si="27"/>
        <v>2012</v>
      </c>
      <c r="E782" t="s">
        <v>38</v>
      </c>
      <c r="F782" t="s">
        <v>143</v>
      </c>
      <c r="G782" t="s">
        <v>10</v>
      </c>
      <c r="H782" s="72" t="s">
        <v>197</v>
      </c>
      <c r="I782" s="72" t="s">
        <v>39</v>
      </c>
      <c r="J782" t="str">
        <f t="shared" si="28"/>
        <v>Chambers Creek</v>
      </c>
      <c r="K782" t="str">
        <f>IFERROR(VLOOKUP(J782,LUTs!$A$1:$C$73,2,FALSE),"NA")</f>
        <v>Pierce</v>
      </c>
      <c r="L782" t="str">
        <f>IFERROR(VLOOKUP(J782,LUTs!$A$1:$C$73,3,FALSE),"NA")</f>
        <v>3South Puget Sound</v>
      </c>
      <c r="M782" s="72" t="s">
        <v>20</v>
      </c>
      <c r="N782" t="str">
        <f>VLOOKUP(M782,LUTs!E$2:H$14,3,)</f>
        <v>07Pierce</v>
      </c>
      <c r="O782" t="str">
        <f>VLOOKUP(M782,LUTs!E$2:H$14,4,)</f>
        <v>02South Puget Sound</v>
      </c>
      <c r="P782" s="73">
        <v>7.6666666666666696</v>
      </c>
      <c r="Q782" s="74">
        <f>VLOOKUP(B782,Readme!A$40:C$51,2,)*P782</f>
        <v>66.316666666666691</v>
      </c>
    </row>
    <row r="783" spans="1:17" ht="12" customHeight="1" x14ac:dyDescent="0.35">
      <c r="A783" s="75">
        <v>782</v>
      </c>
      <c r="B783" s="64">
        <v>2012</v>
      </c>
      <c r="C783" s="64">
        <v>9</v>
      </c>
      <c r="D783" s="80">
        <f t="shared" si="27"/>
        <v>2012</v>
      </c>
      <c r="E783" t="s">
        <v>38</v>
      </c>
      <c r="F783" t="s">
        <v>143</v>
      </c>
      <c r="G783" t="s">
        <v>10</v>
      </c>
      <c r="H783" s="72" t="s">
        <v>197</v>
      </c>
      <c r="I783" s="72" t="s">
        <v>39</v>
      </c>
      <c r="J783" t="str">
        <f t="shared" si="28"/>
        <v>Chambers Creek</v>
      </c>
      <c r="K783" t="str">
        <f>IFERROR(VLOOKUP(J783,LUTs!$A$1:$C$73,2,FALSE),"NA")</f>
        <v>Pierce</v>
      </c>
      <c r="L783" t="str">
        <f>IFERROR(VLOOKUP(J783,LUTs!$A$1:$C$73,3,FALSE),"NA")</f>
        <v>3South Puget Sound</v>
      </c>
      <c r="M783" s="72" t="s">
        <v>18</v>
      </c>
      <c r="N783" t="str">
        <f>VLOOKUP(M783,LUTs!E$2:H$14,3,)</f>
        <v>06King</v>
      </c>
      <c r="O783" t="str">
        <f>VLOOKUP(M783,LUTs!E$2:H$14,4,)</f>
        <v>02South Puget Sound</v>
      </c>
      <c r="P783" s="73">
        <v>7.6</v>
      </c>
      <c r="Q783" s="74">
        <f>VLOOKUP(B783,Readme!A$40:C$51,2,)*P783</f>
        <v>65.739999999999995</v>
      </c>
    </row>
    <row r="784" spans="1:17" ht="12" customHeight="1" x14ac:dyDescent="0.35">
      <c r="A784" s="75">
        <v>783</v>
      </c>
      <c r="B784" s="64">
        <v>2012</v>
      </c>
      <c r="C784" s="64">
        <v>9</v>
      </c>
      <c r="D784" s="80">
        <f t="shared" si="27"/>
        <v>2012</v>
      </c>
      <c r="E784" t="s">
        <v>38</v>
      </c>
      <c r="F784" t="s">
        <v>143</v>
      </c>
      <c r="G784" t="s">
        <v>10</v>
      </c>
      <c r="H784" s="72" t="s">
        <v>197</v>
      </c>
      <c r="I784" s="72" t="s">
        <v>39</v>
      </c>
      <c r="J784" t="str">
        <f t="shared" si="28"/>
        <v>Chambers Creek</v>
      </c>
      <c r="K784" t="str">
        <f>IFERROR(VLOOKUP(J784,LUTs!$A$1:$C$73,2,FALSE),"NA")</f>
        <v>Pierce</v>
      </c>
      <c r="L784" t="str">
        <f>IFERROR(VLOOKUP(J784,LUTs!$A$1:$C$73,3,FALSE),"NA")</f>
        <v>3South Puget Sound</v>
      </c>
      <c r="M784" s="72" t="s">
        <v>20</v>
      </c>
      <c r="N784" t="str">
        <f>VLOOKUP(M784,LUTs!E$2:H$14,3,)</f>
        <v>07Pierce</v>
      </c>
      <c r="O784" t="str">
        <f>VLOOKUP(M784,LUTs!E$2:H$14,4,)</f>
        <v>02South Puget Sound</v>
      </c>
      <c r="P784" s="73">
        <v>15.2</v>
      </c>
      <c r="Q784" s="74">
        <f>VLOOKUP(B784,Readme!A$40:C$51,2,)*P784</f>
        <v>131.47999999999999</v>
      </c>
    </row>
    <row r="785" spans="1:17" ht="12" customHeight="1" x14ac:dyDescent="0.35">
      <c r="A785" s="75">
        <v>784</v>
      </c>
      <c r="B785" s="64">
        <v>2012</v>
      </c>
      <c r="C785" s="64">
        <v>9</v>
      </c>
      <c r="D785" s="80">
        <f t="shared" si="27"/>
        <v>2012</v>
      </c>
      <c r="E785" t="s">
        <v>38</v>
      </c>
      <c r="F785" t="s">
        <v>143</v>
      </c>
      <c r="G785" t="s">
        <v>10</v>
      </c>
      <c r="H785" s="72" t="s">
        <v>197</v>
      </c>
      <c r="I785" s="72" t="s">
        <v>39</v>
      </c>
      <c r="J785" t="str">
        <f t="shared" si="28"/>
        <v>Chambers Creek</v>
      </c>
      <c r="K785" t="str">
        <f>IFERROR(VLOOKUP(J785,LUTs!$A$1:$C$73,2,FALSE),"NA")</f>
        <v>Pierce</v>
      </c>
      <c r="L785" t="str">
        <f>IFERROR(VLOOKUP(J785,LUTs!$A$1:$C$73,3,FALSE),"NA")</f>
        <v>3South Puget Sound</v>
      </c>
      <c r="M785" s="72" t="s">
        <v>21</v>
      </c>
      <c r="N785" t="str">
        <f>VLOOKUP(M785,LUTs!E$2:H$14,3,)</f>
        <v>08Thurston</v>
      </c>
      <c r="O785" t="str">
        <f>VLOOKUP(M785,LUTs!E$2:H$14,4,)</f>
        <v>02South Puget Sound</v>
      </c>
      <c r="P785" s="73">
        <v>53.2</v>
      </c>
      <c r="Q785" s="74">
        <f>VLOOKUP(B785,Readme!A$40:C$51,2,)*P785</f>
        <v>460.18000000000006</v>
      </c>
    </row>
    <row r="786" spans="1:17" ht="12" customHeight="1" x14ac:dyDescent="0.35">
      <c r="A786" s="75">
        <v>785</v>
      </c>
      <c r="B786" s="64">
        <v>2012</v>
      </c>
      <c r="C786" s="64">
        <v>10</v>
      </c>
      <c r="D786" s="80">
        <f t="shared" si="27"/>
        <v>2012</v>
      </c>
      <c r="E786" t="s">
        <v>38</v>
      </c>
      <c r="F786" t="s">
        <v>143</v>
      </c>
      <c r="G786" t="s">
        <v>10</v>
      </c>
      <c r="H786" s="72" t="s">
        <v>197</v>
      </c>
      <c r="I786" s="72" t="s">
        <v>39</v>
      </c>
      <c r="J786" t="str">
        <f t="shared" si="28"/>
        <v>Chambers Creek</v>
      </c>
      <c r="K786" t="str">
        <f>IFERROR(VLOOKUP(J786,LUTs!$A$1:$C$73,2,FALSE),"NA")</f>
        <v>Pierce</v>
      </c>
      <c r="L786" t="str">
        <f>IFERROR(VLOOKUP(J786,LUTs!$A$1:$C$73,3,FALSE),"NA")</f>
        <v>3South Puget Sound</v>
      </c>
      <c r="M786" s="72" t="s">
        <v>20</v>
      </c>
      <c r="N786" t="str">
        <f>VLOOKUP(M786,LUTs!E$2:H$14,3,)</f>
        <v>07Pierce</v>
      </c>
      <c r="O786" t="str">
        <f>VLOOKUP(M786,LUTs!E$2:H$14,4,)</f>
        <v>02South Puget Sound</v>
      </c>
      <c r="P786" s="73">
        <v>68.538461538461604</v>
      </c>
      <c r="Q786" s="74">
        <f>VLOOKUP(B786,Readme!A$40:C$51,2,)*P786</f>
        <v>592.8576923076929</v>
      </c>
    </row>
    <row r="787" spans="1:17" ht="12" customHeight="1" x14ac:dyDescent="0.35">
      <c r="A787" s="75">
        <v>786</v>
      </c>
      <c r="B787" s="64">
        <v>2012</v>
      </c>
      <c r="C787" s="64">
        <v>10</v>
      </c>
      <c r="D787" s="80">
        <f t="shared" si="27"/>
        <v>2012</v>
      </c>
      <c r="E787" t="s">
        <v>38</v>
      </c>
      <c r="F787" t="s">
        <v>143</v>
      </c>
      <c r="G787" t="s">
        <v>10</v>
      </c>
      <c r="H787" s="72" t="s">
        <v>197</v>
      </c>
      <c r="I787" s="72" t="s">
        <v>39</v>
      </c>
      <c r="J787" t="str">
        <f t="shared" si="28"/>
        <v>Chambers Creek</v>
      </c>
      <c r="K787" t="str">
        <f>IFERROR(VLOOKUP(J787,LUTs!$A$1:$C$73,2,FALSE),"NA")</f>
        <v>Pierce</v>
      </c>
      <c r="L787" t="str">
        <f>IFERROR(VLOOKUP(J787,LUTs!$A$1:$C$73,3,FALSE),"NA")</f>
        <v>3South Puget Sound</v>
      </c>
      <c r="M787" s="72" t="s">
        <v>13</v>
      </c>
      <c r="N787" t="str">
        <f>VLOOKUP(M787,LUTs!E$2:H$14,3,)</f>
        <v>01Whatcom</v>
      </c>
      <c r="O787" t="str">
        <f>VLOOKUP(M787,LUTs!E$2:H$14,4,)</f>
        <v>01North Puget Sound</v>
      </c>
      <c r="P787" s="73">
        <v>30.461538461538499</v>
      </c>
      <c r="Q787" s="74">
        <f>VLOOKUP(B787,Readme!A$40:C$51,2,)*P787</f>
        <v>263.49230769230803</v>
      </c>
    </row>
    <row r="788" spans="1:17" ht="12" customHeight="1" x14ac:dyDescent="0.35">
      <c r="A788" s="75">
        <v>787</v>
      </c>
      <c r="B788" s="64">
        <v>2012</v>
      </c>
      <c r="C788" s="64">
        <v>10</v>
      </c>
      <c r="D788" s="80">
        <f t="shared" si="27"/>
        <v>2012</v>
      </c>
      <c r="E788" t="s">
        <v>38</v>
      </c>
      <c r="F788" t="s">
        <v>143</v>
      </c>
      <c r="G788" t="s">
        <v>10</v>
      </c>
      <c r="H788" s="72" t="s">
        <v>198</v>
      </c>
      <c r="I788" s="72" t="s">
        <v>40</v>
      </c>
      <c r="J788" t="str">
        <f t="shared" si="28"/>
        <v>Dakota Creek (Whatcom Co)</v>
      </c>
      <c r="K788" t="str">
        <f>IFERROR(VLOOKUP(J788,LUTs!$A$1:$C$73,2,FALSE),"NA")</f>
        <v>Whatcom</v>
      </c>
      <c r="L788" t="str">
        <f>IFERROR(VLOOKUP(J788,LUTs!$A$1:$C$73,3,FALSE),"NA")</f>
        <v>1North Puget Sound</v>
      </c>
      <c r="M788" s="72" t="s">
        <v>16</v>
      </c>
      <c r="N788" t="str">
        <f>VLOOKUP(M788,LUTs!E$2:H$14,3,)</f>
        <v>03Snohomish</v>
      </c>
      <c r="O788" t="str">
        <f>VLOOKUP(M788,LUTs!E$2:H$14,4,)</f>
        <v>01North Puget Sound</v>
      </c>
      <c r="P788" s="73">
        <v>14</v>
      </c>
      <c r="Q788" s="74">
        <f>VLOOKUP(B788,Readme!A$40:C$51,2,)*P788</f>
        <v>121.10000000000001</v>
      </c>
    </row>
    <row r="789" spans="1:17" ht="12" customHeight="1" x14ac:dyDescent="0.35">
      <c r="A789" s="75">
        <v>788</v>
      </c>
      <c r="B789" s="64">
        <v>2012</v>
      </c>
      <c r="C789" s="64">
        <v>10</v>
      </c>
      <c r="D789" s="80">
        <f t="shared" si="27"/>
        <v>2012</v>
      </c>
      <c r="E789" t="s">
        <v>38</v>
      </c>
      <c r="F789" t="s">
        <v>143</v>
      </c>
      <c r="G789" t="s">
        <v>10</v>
      </c>
      <c r="H789" s="72" t="s">
        <v>198</v>
      </c>
      <c r="I789" s="72" t="s">
        <v>40</v>
      </c>
      <c r="J789" t="str">
        <f t="shared" si="28"/>
        <v>Dakota Creek (Whatcom Co)</v>
      </c>
      <c r="K789" t="str">
        <f>IFERROR(VLOOKUP(J789,LUTs!$A$1:$C$73,2,FALSE),"NA")</f>
        <v>Whatcom</v>
      </c>
      <c r="L789" t="str">
        <f>IFERROR(VLOOKUP(J789,LUTs!$A$1:$C$73,3,FALSE),"NA")</f>
        <v>1North Puget Sound</v>
      </c>
      <c r="M789" s="72" t="s">
        <v>13</v>
      </c>
      <c r="N789" t="str">
        <f>VLOOKUP(M789,LUTs!E$2:H$14,3,)</f>
        <v>01Whatcom</v>
      </c>
      <c r="O789" t="str">
        <f>VLOOKUP(M789,LUTs!E$2:H$14,4,)</f>
        <v>01North Puget Sound</v>
      </c>
      <c r="P789" s="73">
        <v>49</v>
      </c>
      <c r="Q789" s="74">
        <f>VLOOKUP(B789,Readme!A$40:C$51,2,)*P789</f>
        <v>423.85</v>
      </c>
    </row>
    <row r="790" spans="1:17" ht="12" customHeight="1" x14ac:dyDescent="0.35">
      <c r="A790" s="75">
        <v>789</v>
      </c>
      <c r="B790" s="64">
        <v>2012</v>
      </c>
      <c r="C790" s="64">
        <v>9</v>
      </c>
      <c r="D790" s="80">
        <f t="shared" si="27"/>
        <v>2012</v>
      </c>
      <c r="E790" t="s">
        <v>38</v>
      </c>
      <c r="F790" t="s">
        <v>143</v>
      </c>
      <c r="G790" t="s">
        <v>10</v>
      </c>
      <c r="H790" s="72" t="s">
        <v>199</v>
      </c>
      <c r="I790" s="72" t="s">
        <v>41</v>
      </c>
      <c r="J790" t="str">
        <f t="shared" si="28"/>
        <v>Deschutes River</v>
      </c>
      <c r="K790" t="str">
        <f>IFERROR(VLOOKUP(J790,LUTs!$A$1:$C$73,2,FALSE),"NA")</f>
        <v>Thurston</v>
      </c>
      <c r="L790" t="str">
        <f>IFERROR(VLOOKUP(J790,LUTs!$A$1:$C$73,3,FALSE),"NA")</f>
        <v>3South Puget Sound</v>
      </c>
      <c r="M790" s="72" t="s">
        <v>26</v>
      </c>
      <c r="N790" t="str">
        <f>VLOOKUP(M790,LUTs!E$2:H$14,3,)</f>
        <v>20Other</v>
      </c>
      <c r="O790" t="str">
        <f>VLOOKUP(M790,LUTs!E$2:H$14,4,)</f>
        <v>07Non Puget Sound</v>
      </c>
      <c r="P790" s="73">
        <v>1</v>
      </c>
      <c r="Q790" s="74">
        <f>VLOOKUP(B790,Readme!A$40:C$51,2,)*P790</f>
        <v>8.65</v>
      </c>
    </row>
    <row r="791" spans="1:17" ht="12" customHeight="1" x14ac:dyDescent="0.35">
      <c r="A791" s="75">
        <v>790</v>
      </c>
      <c r="B791" s="64">
        <v>2012</v>
      </c>
      <c r="C791" s="64">
        <v>9</v>
      </c>
      <c r="D791" s="80">
        <f t="shared" si="27"/>
        <v>2012</v>
      </c>
      <c r="E791" t="s">
        <v>38</v>
      </c>
      <c r="F791" t="s">
        <v>143</v>
      </c>
      <c r="G791" t="s">
        <v>10</v>
      </c>
      <c r="H791" s="72" t="s">
        <v>199</v>
      </c>
      <c r="I791" s="72" t="s">
        <v>41</v>
      </c>
      <c r="J791" t="str">
        <f t="shared" si="28"/>
        <v>Deschutes River</v>
      </c>
      <c r="K791" t="str">
        <f>IFERROR(VLOOKUP(J791,LUTs!$A$1:$C$73,2,FALSE),"NA")</f>
        <v>Thurston</v>
      </c>
      <c r="L791" t="str">
        <f>IFERROR(VLOOKUP(J791,LUTs!$A$1:$C$73,3,FALSE),"NA")</f>
        <v>3South Puget Sound</v>
      </c>
      <c r="M791" s="72" t="s">
        <v>21</v>
      </c>
      <c r="N791" t="str">
        <f>VLOOKUP(M791,LUTs!E$2:H$14,3,)</f>
        <v>08Thurston</v>
      </c>
      <c r="O791" t="str">
        <f>VLOOKUP(M791,LUTs!E$2:H$14,4,)</f>
        <v>02South Puget Sound</v>
      </c>
      <c r="P791" s="73">
        <v>2</v>
      </c>
      <c r="Q791" s="74">
        <f>VLOOKUP(B791,Readme!A$40:C$51,2,)*P791</f>
        <v>17.3</v>
      </c>
    </row>
    <row r="792" spans="1:17" ht="12" customHeight="1" x14ac:dyDescent="0.35">
      <c r="A792" s="75">
        <v>791</v>
      </c>
      <c r="B792" s="64">
        <v>2012</v>
      </c>
      <c r="C792" s="64">
        <v>10</v>
      </c>
      <c r="D792" s="80">
        <f t="shared" si="27"/>
        <v>2012</v>
      </c>
      <c r="E792" t="s">
        <v>38</v>
      </c>
      <c r="F792" t="s">
        <v>143</v>
      </c>
      <c r="G792" t="s">
        <v>10</v>
      </c>
      <c r="H792" s="72" t="s">
        <v>225</v>
      </c>
      <c r="I792" s="72" t="s">
        <v>67</v>
      </c>
      <c r="J792" t="str">
        <f t="shared" si="28"/>
        <v>Dewatto River</v>
      </c>
      <c r="K792" t="str">
        <f>IFERROR(VLOOKUP(J792,LUTs!$A$1:$C$73,2,FALSE),"NA")</f>
        <v>Mason</v>
      </c>
      <c r="L792" t="str">
        <f>IFERROR(VLOOKUP(J792,LUTs!$A$1:$C$73,3,FALSE),"NA")</f>
        <v>4 Hood Canal</v>
      </c>
      <c r="M792" s="72" t="s">
        <v>23</v>
      </c>
      <c r="N792" t="str">
        <f>VLOOKUP(M792,LUTs!E$2:H$14,3,)</f>
        <v>10Kitsap</v>
      </c>
      <c r="O792" t="str">
        <f>VLOOKUP(M792,LUTs!E$2:H$14,4,)</f>
        <v>02South Puget Sound</v>
      </c>
      <c r="P792" s="73">
        <v>1.1818181818181801</v>
      </c>
      <c r="Q792" s="74">
        <f>VLOOKUP(B792,Readme!A$40:C$51,2,)*P792</f>
        <v>10.222727272727258</v>
      </c>
    </row>
    <row r="793" spans="1:17" ht="12" customHeight="1" x14ac:dyDescent="0.35">
      <c r="A793" s="75">
        <v>792</v>
      </c>
      <c r="B793" s="64">
        <v>2012</v>
      </c>
      <c r="C793" s="64">
        <v>10</v>
      </c>
      <c r="D793" s="80">
        <f t="shared" si="27"/>
        <v>2012</v>
      </c>
      <c r="E793" t="s">
        <v>38</v>
      </c>
      <c r="F793" t="s">
        <v>143</v>
      </c>
      <c r="G793" t="s">
        <v>10</v>
      </c>
      <c r="H793" s="72" t="s">
        <v>225</v>
      </c>
      <c r="I793" s="72" t="s">
        <v>67</v>
      </c>
      <c r="J793" t="str">
        <f t="shared" si="28"/>
        <v>Dewatto River</v>
      </c>
      <c r="K793" t="str">
        <f>IFERROR(VLOOKUP(J793,LUTs!$A$1:$C$73,2,FALSE),"NA")</f>
        <v>Mason</v>
      </c>
      <c r="L793" t="str">
        <f>IFERROR(VLOOKUP(J793,LUTs!$A$1:$C$73,3,FALSE),"NA")</f>
        <v>4 Hood Canal</v>
      </c>
      <c r="M793" s="72" t="s">
        <v>22</v>
      </c>
      <c r="N793" t="str">
        <f>VLOOKUP(M793,LUTs!E$2:H$14,3,)</f>
        <v>09Mason</v>
      </c>
      <c r="O793" t="str">
        <f>VLOOKUP(M793,LUTs!E$2:H$14,4,)</f>
        <v>02South Puget Sound</v>
      </c>
      <c r="P793" s="73">
        <v>11.818181818181801</v>
      </c>
      <c r="Q793" s="74">
        <f>VLOOKUP(B793,Readme!A$40:C$51,2,)*P793</f>
        <v>102.22727272727258</v>
      </c>
    </row>
    <row r="794" spans="1:17" ht="12" customHeight="1" x14ac:dyDescent="0.35">
      <c r="A794" s="75">
        <v>793</v>
      </c>
      <c r="B794" s="64">
        <v>2012</v>
      </c>
      <c r="C794" s="64">
        <v>10</v>
      </c>
      <c r="D794" s="80">
        <f t="shared" si="27"/>
        <v>2012</v>
      </c>
      <c r="E794" t="s">
        <v>38</v>
      </c>
      <c r="F794" t="s">
        <v>143</v>
      </c>
      <c r="G794" t="s">
        <v>10</v>
      </c>
      <c r="H794" s="72" t="s">
        <v>201</v>
      </c>
      <c r="I794" s="72" t="s">
        <v>43</v>
      </c>
      <c r="J794" t="str">
        <f t="shared" si="28"/>
        <v>Dungeness River</v>
      </c>
      <c r="K794" t="str">
        <f>IFERROR(VLOOKUP(J794,LUTs!$A$1:$C$73,2,FALSE),"NA")</f>
        <v>Clallam</v>
      </c>
      <c r="L794" t="str">
        <f>IFERROR(VLOOKUP(J794,LUTs!$A$1:$C$73,3,FALSE),"NA")</f>
        <v>0Strait of Juan de Fuca</v>
      </c>
      <c r="M794" s="72" t="s">
        <v>24</v>
      </c>
      <c r="N794" t="str">
        <f>VLOOKUP(M794,LUTs!E$2:H$14,3,)</f>
        <v>11Clallam</v>
      </c>
      <c r="O794" t="str">
        <f>VLOOKUP(M794,LUTs!E$2:H$14,4,)</f>
        <v>03Strait of Juan de Fuca</v>
      </c>
      <c r="P794" s="73">
        <v>502.15384615384602</v>
      </c>
      <c r="Q794" s="74">
        <f>VLOOKUP(B794,Readme!A$40:C$51,2,)*P794</f>
        <v>4343.6307692307682</v>
      </c>
    </row>
    <row r="795" spans="1:17" ht="12" customHeight="1" x14ac:dyDescent="0.35">
      <c r="A795" s="75">
        <v>794</v>
      </c>
      <c r="B795" s="64">
        <v>2012</v>
      </c>
      <c r="C795" s="64">
        <v>10</v>
      </c>
      <c r="D795" s="80">
        <f t="shared" si="27"/>
        <v>2012</v>
      </c>
      <c r="E795" t="s">
        <v>38</v>
      </c>
      <c r="F795" t="s">
        <v>143</v>
      </c>
      <c r="G795" t="s">
        <v>10</v>
      </c>
      <c r="H795" s="72" t="s">
        <v>201</v>
      </c>
      <c r="I795" s="72" t="s">
        <v>43</v>
      </c>
      <c r="J795" t="str">
        <f t="shared" si="28"/>
        <v>Dungeness River</v>
      </c>
      <c r="K795" t="str">
        <f>IFERROR(VLOOKUP(J795,LUTs!$A$1:$C$73,2,FALSE),"NA")</f>
        <v>Clallam</v>
      </c>
      <c r="L795" t="str">
        <f>IFERROR(VLOOKUP(J795,LUTs!$A$1:$C$73,3,FALSE),"NA")</f>
        <v>0Strait of Juan de Fuca</v>
      </c>
      <c r="M795" s="72" t="s">
        <v>23</v>
      </c>
      <c r="N795" t="str">
        <f>VLOOKUP(M795,LUTs!E$2:H$14,3,)</f>
        <v>10Kitsap</v>
      </c>
      <c r="O795" t="str">
        <f>VLOOKUP(M795,LUTs!E$2:H$14,4,)</f>
        <v>02South Puget Sound</v>
      </c>
      <c r="P795" s="73">
        <v>13.948717948718</v>
      </c>
      <c r="Q795" s="74">
        <f>VLOOKUP(B795,Readme!A$40:C$51,2,)*P795</f>
        <v>120.65641025641071</v>
      </c>
    </row>
    <row r="796" spans="1:17" ht="12" customHeight="1" x14ac:dyDescent="0.35">
      <c r="A796" s="75">
        <v>795</v>
      </c>
      <c r="B796" s="64">
        <v>2012</v>
      </c>
      <c r="C796" s="64">
        <v>10</v>
      </c>
      <c r="D796" s="80">
        <f t="shared" si="27"/>
        <v>2012</v>
      </c>
      <c r="E796" t="s">
        <v>38</v>
      </c>
      <c r="F796" t="s">
        <v>143</v>
      </c>
      <c r="G796" t="s">
        <v>10</v>
      </c>
      <c r="H796" s="72" t="s">
        <v>201</v>
      </c>
      <c r="I796" s="72" t="s">
        <v>43</v>
      </c>
      <c r="J796" t="str">
        <f t="shared" si="28"/>
        <v>Dungeness River</v>
      </c>
      <c r="K796" t="str">
        <f>IFERROR(VLOOKUP(J796,LUTs!$A$1:$C$73,2,FALSE),"NA")</f>
        <v>Clallam</v>
      </c>
      <c r="L796" t="str">
        <f>IFERROR(VLOOKUP(J796,LUTs!$A$1:$C$73,3,FALSE),"NA")</f>
        <v>0Strait of Juan de Fuca</v>
      </c>
      <c r="M796" s="72" t="s">
        <v>26</v>
      </c>
      <c r="N796" t="str">
        <f>VLOOKUP(M796,LUTs!E$2:H$14,3,)</f>
        <v>20Other</v>
      </c>
      <c r="O796" t="str">
        <f>VLOOKUP(M796,LUTs!E$2:H$14,4,)</f>
        <v>07Non Puget Sound</v>
      </c>
      <c r="P796" s="73">
        <v>6.9743589743589798</v>
      </c>
      <c r="Q796" s="74">
        <f>VLOOKUP(B796,Readme!A$40:C$51,2,)*P796</f>
        <v>60.328205128205177</v>
      </c>
    </row>
    <row r="797" spans="1:17" ht="12" customHeight="1" x14ac:dyDescent="0.35">
      <c r="A797" s="75">
        <v>796</v>
      </c>
      <c r="B797" s="64">
        <v>2012</v>
      </c>
      <c r="C797" s="64">
        <v>10</v>
      </c>
      <c r="D797" s="80">
        <f t="shared" si="27"/>
        <v>2012</v>
      </c>
      <c r="E797" t="s">
        <v>38</v>
      </c>
      <c r="F797" t="s">
        <v>143</v>
      </c>
      <c r="G797" t="s">
        <v>10</v>
      </c>
      <c r="H797" s="72" t="s">
        <v>201</v>
      </c>
      <c r="I797" s="72" t="s">
        <v>43</v>
      </c>
      <c r="J797" t="str">
        <f t="shared" si="28"/>
        <v>Dungeness River</v>
      </c>
      <c r="K797" t="str">
        <f>IFERROR(VLOOKUP(J797,LUTs!$A$1:$C$73,2,FALSE),"NA")</f>
        <v>Clallam</v>
      </c>
      <c r="L797" t="str">
        <f>IFERROR(VLOOKUP(J797,LUTs!$A$1:$C$73,3,FALSE),"NA")</f>
        <v>0Strait of Juan de Fuca</v>
      </c>
      <c r="M797" s="72" t="s">
        <v>20</v>
      </c>
      <c r="N797" t="str">
        <f>VLOOKUP(M797,LUTs!E$2:H$14,3,)</f>
        <v>07Pierce</v>
      </c>
      <c r="O797" t="str">
        <f>VLOOKUP(M797,LUTs!E$2:H$14,4,)</f>
        <v>02South Puget Sound</v>
      </c>
      <c r="P797" s="73">
        <v>20.923076923076898</v>
      </c>
      <c r="Q797" s="74">
        <f>VLOOKUP(B797,Readme!A$40:C$51,2,)*P797</f>
        <v>180.98461538461518</v>
      </c>
    </row>
    <row r="798" spans="1:17" ht="12" customHeight="1" x14ac:dyDescent="0.35">
      <c r="A798" s="75">
        <v>797</v>
      </c>
      <c r="B798" s="64">
        <v>2012</v>
      </c>
      <c r="C798" s="64">
        <v>11</v>
      </c>
      <c r="D798" s="80">
        <f t="shared" si="27"/>
        <v>2012</v>
      </c>
      <c r="E798" t="s">
        <v>38</v>
      </c>
      <c r="F798" t="s">
        <v>143</v>
      </c>
      <c r="G798" t="s">
        <v>10</v>
      </c>
      <c r="H798" s="72" t="s">
        <v>201</v>
      </c>
      <c r="I798" s="72" t="s">
        <v>43</v>
      </c>
      <c r="J798" t="str">
        <f t="shared" si="28"/>
        <v>Dungeness River</v>
      </c>
      <c r="K798" t="str">
        <f>IFERROR(VLOOKUP(J798,LUTs!$A$1:$C$73,2,FALSE),"NA")</f>
        <v>Clallam</v>
      </c>
      <c r="L798" t="str">
        <f>IFERROR(VLOOKUP(J798,LUTs!$A$1:$C$73,3,FALSE),"NA")</f>
        <v>0Strait of Juan de Fuca</v>
      </c>
      <c r="M798" s="72" t="s">
        <v>24</v>
      </c>
      <c r="N798" t="str">
        <f>VLOOKUP(M798,LUTs!E$2:H$14,3,)</f>
        <v>11Clallam</v>
      </c>
      <c r="O798" t="str">
        <f>VLOOKUP(M798,LUTs!E$2:H$14,4,)</f>
        <v>03Strait of Juan de Fuca</v>
      </c>
      <c r="P798" s="73">
        <v>328.09615384615398</v>
      </c>
      <c r="Q798" s="74">
        <f>VLOOKUP(B798,Readme!A$40:C$51,2,)*P798</f>
        <v>2838.0317307692321</v>
      </c>
    </row>
    <row r="799" spans="1:17" ht="12" customHeight="1" x14ac:dyDescent="0.35">
      <c r="A799" s="75">
        <v>798</v>
      </c>
      <c r="B799" s="64">
        <v>2012</v>
      </c>
      <c r="C799" s="64">
        <v>11</v>
      </c>
      <c r="D799" s="80">
        <f t="shared" si="27"/>
        <v>2012</v>
      </c>
      <c r="E799" t="s">
        <v>38</v>
      </c>
      <c r="F799" t="s">
        <v>143</v>
      </c>
      <c r="G799" t="s">
        <v>10</v>
      </c>
      <c r="H799" s="72" t="s">
        <v>201</v>
      </c>
      <c r="I799" s="72" t="s">
        <v>43</v>
      </c>
      <c r="J799" t="str">
        <f t="shared" si="28"/>
        <v>Dungeness River</v>
      </c>
      <c r="K799" t="str">
        <f>IFERROR(VLOOKUP(J799,LUTs!$A$1:$C$73,2,FALSE),"NA")</f>
        <v>Clallam</v>
      </c>
      <c r="L799" t="str">
        <f>IFERROR(VLOOKUP(J799,LUTs!$A$1:$C$73,3,FALSE),"NA")</f>
        <v>0Strait of Juan de Fuca</v>
      </c>
      <c r="M799" s="72" t="s">
        <v>25</v>
      </c>
      <c r="N799" t="str">
        <f>VLOOKUP(M799,LUTs!E$2:H$14,3,)</f>
        <v>12Jefferson</v>
      </c>
      <c r="O799" t="str">
        <f>VLOOKUP(M799,LUTs!E$2:H$14,4,)</f>
        <v>03Strait of Juan de Fuca</v>
      </c>
      <c r="P799" s="73">
        <v>27.923076923076898</v>
      </c>
      <c r="Q799" s="74">
        <f>VLOOKUP(B799,Readme!A$40:C$51,2,)*P799</f>
        <v>241.53461538461519</v>
      </c>
    </row>
    <row r="800" spans="1:17" ht="12" customHeight="1" x14ac:dyDescent="0.35">
      <c r="A800" s="75">
        <v>799</v>
      </c>
      <c r="B800" s="64">
        <v>2012</v>
      </c>
      <c r="C800" s="64">
        <v>11</v>
      </c>
      <c r="D800" s="80">
        <f t="shared" si="27"/>
        <v>2012</v>
      </c>
      <c r="E800" t="s">
        <v>38</v>
      </c>
      <c r="F800" t="s">
        <v>143</v>
      </c>
      <c r="G800" t="s">
        <v>10</v>
      </c>
      <c r="H800" s="72" t="s">
        <v>201</v>
      </c>
      <c r="I800" s="72" t="s">
        <v>43</v>
      </c>
      <c r="J800" t="str">
        <f t="shared" si="28"/>
        <v>Dungeness River</v>
      </c>
      <c r="K800" t="str">
        <f>IFERROR(VLOOKUP(J800,LUTs!$A$1:$C$73,2,FALSE),"NA")</f>
        <v>Clallam</v>
      </c>
      <c r="L800" t="str">
        <f>IFERROR(VLOOKUP(J800,LUTs!$A$1:$C$73,3,FALSE),"NA")</f>
        <v>0Strait of Juan de Fuca</v>
      </c>
      <c r="M800" s="72" t="s">
        <v>23</v>
      </c>
      <c r="N800" t="str">
        <f>VLOOKUP(M800,LUTs!E$2:H$14,3,)</f>
        <v>10Kitsap</v>
      </c>
      <c r="O800" t="str">
        <f>VLOOKUP(M800,LUTs!E$2:H$14,4,)</f>
        <v>02South Puget Sound</v>
      </c>
      <c r="P800" s="73">
        <v>6.9807692307692299</v>
      </c>
      <c r="Q800" s="74">
        <f>VLOOKUP(B800,Readme!A$40:C$51,2,)*P800</f>
        <v>60.383653846153841</v>
      </c>
    </row>
    <row r="801" spans="1:17" ht="12" customHeight="1" x14ac:dyDescent="0.35">
      <c r="A801" s="75">
        <v>800</v>
      </c>
      <c r="B801" s="64">
        <v>2012</v>
      </c>
      <c r="C801" s="64">
        <v>9</v>
      </c>
      <c r="D801" s="80">
        <f t="shared" si="27"/>
        <v>2012</v>
      </c>
      <c r="E801" t="s">
        <v>38</v>
      </c>
      <c r="F801" t="s">
        <v>143</v>
      </c>
      <c r="G801" t="s">
        <v>10</v>
      </c>
      <c r="H801" s="72" t="s">
        <v>203</v>
      </c>
      <c r="I801" s="72" t="s">
        <v>45</v>
      </c>
      <c r="J801" t="str">
        <f t="shared" si="28"/>
        <v>Green - Duwamish River</v>
      </c>
      <c r="K801" t="str">
        <f>IFERROR(VLOOKUP(J801,LUTs!$A$1:$C$73,2,FALSE),"NA")</f>
        <v>King</v>
      </c>
      <c r="L801" t="str">
        <f>IFERROR(VLOOKUP(J801,LUTs!$A$1:$C$73,3,FALSE),"NA")</f>
        <v>3South Puget Sound</v>
      </c>
      <c r="M801" s="72" t="s">
        <v>24</v>
      </c>
      <c r="N801" t="str">
        <f>VLOOKUP(M801,LUTs!E$2:H$14,3,)</f>
        <v>11Clallam</v>
      </c>
      <c r="O801" t="str">
        <f>VLOOKUP(M801,LUTs!E$2:H$14,4,)</f>
        <v>03Strait of Juan de Fuca</v>
      </c>
      <c r="P801" s="73">
        <v>13.535353535353501</v>
      </c>
      <c r="Q801" s="74">
        <f>VLOOKUP(B801,Readme!A$40:C$51,2,)*P801</f>
        <v>117.08080808080778</v>
      </c>
    </row>
    <row r="802" spans="1:17" ht="12" customHeight="1" x14ac:dyDescent="0.35">
      <c r="A802" s="75">
        <v>801</v>
      </c>
      <c r="B802" s="64">
        <v>2012</v>
      </c>
      <c r="C802" s="64">
        <v>9</v>
      </c>
      <c r="D802" s="80">
        <f t="shared" si="27"/>
        <v>2012</v>
      </c>
      <c r="E802" t="s">
        <v>38</v>
      </c>
      <c r="F802" t="s">
        <v>143</v>
      </c>
      <c r="G802" t="s">
        <v>10</v>
      </c>
      <c r="H802" s="72" t="s">
        <v>203</v>
      </c>
      <c r="I802" s="72" t="s">
        <v>45</v>
      </c>
      <c r="J802" t="str">
        <f t="shared" si="28"/>
        <v>Green - Duwamish River</v>
      </c>
      <c r="K802" t="str">
        <f>IFERROR(VLOOKUP(J802,LUTs!$A$1:$C$73,2,FALSE),"NA")</f>
        <v>King</v>
      </c>
      <c r="L802" t="str">
        <f>IFERROR(VLOOKUP(J802,LUTs!$A$1:$C$73,3,FALSE),"NA")</f>
        <v>3South Puget Sound</v>
      </c>
      <c r="M802" s="72" t="s">
        <v>18</v>
      </c>
      <c r="N802" t="str">
        <f>VLOOKUP(M802,LUTs!E$2:H$14,3,)</f>
        <v>06King</v>
      </c>
      <c r="O802" t="str">
        <f>VLOOKUP(M802,LUTs!E$2:H$14,4,)</f>
        <v>02South Puget Sound</v>
      </c>
      <c r="P802" s="73">
        <v>2097.9797979798</v>
      </c>
      <c r="Q802" s="74">
        <f>VLOOKUP(B802,Readme!A$40:C$51,2,)*P802</f>
        <v>18147.525252525269</v>
      </c>
    </row>
    <row r="803" spans="1:17" ht="12" customHeight="1" x14ac:dyDescent="0.35">
      <c r="A803" s="75">
        <v>802</v>
      </c>
      <c r="B803" s="64">
        <v>2012</v>
      </c>
      <c r="C803" s="64">
        <v>9</v>
      </c>
      <c r="D803" s="80">
        <f t="shared" si="27"/>
        <v>2012</v>
      </c>
      <c r="E803" t="s">
        <v>38</v>
      </c>
      <c r="F803" t="s">
        <v>143</v>
      </c>
      <c r="G803" t="s">
        <v>10</v>
      </c>
      <c r="H803" s="72" t="s">
        <v>203</v>
      </c>
      <c r="I803" s="72" t="s">
        <v>45</v>
      </c>
      <c r="J803" t="str">
        <f t="shared" si="28"/>
        <v>Green - Duwamish River</v>
      </c>
      <c r="K803" t="str">
        <f>IFERROR(VLOOKUP(J803,LUTs!$A$1:$C$73,2,FALSE),"NA")</f>
        <v>King</v>
      </c>
      <c r="L803" t="str">
        <f>IFERROR(VLOOKUP(J803,LUTs!$A$1:$C$73,3,FALSE),"NA")</f>
        <v>3South Puget Sound</v>
      </c>
      <c r="M803" s="72" t="s">
        <v>22</v>
      </c>
      <c r="N803" t="str">
        <f>VLOOKUP(M803,LUTs!E$2:H$14,3,)</f>
        <v>09Mason</v>
      </c>
      <c r="O803" t="str">
        <f>VLOOKUP(M803,LUTs!E$2:H$14,4,)</f>
        <v>02South Puget Sound</v>
      </c>
      <c r="P803" s="73">
        <v>13.535353535353501</v>
      </c>
      <c r="Q803" s="74">
        <f>VLOOKUP(B803,Readme!A$40:C$51,2,)*P803</f>
        <v>117.08080808080778</v>
      </c>
    </row>
    <row r="804" spans="1:17" ht="12" customHeight="1" x14ac:dyDescent="0.35">
      <c r="A804" s="75">
        <v>803</v>
      </c>
      <c r="B804" s="64">
        <v>2012</v>
      </c>
      <c r="C804" s="64">
        <v>9</v>
      </c>
      <c r="D804" s="80">
        <f t="shared" si="27"/>
        <v>2012</v>
      </c>
      <c r="E804" t="s">
        <v>38</v>
      </c>
      <c r="F804" t="s">
        <v>143</v>
      </c>
      <c r="G804" t="s">
        <v>10</v>
      </c>
      <c r="H804" s="72" t="s">
        <v>203</v>
      </c>
      <c r="I804" s="72" t="s">
        <v>45</v>
      </c>
      <c r="J804" t="str">
        <f t="shared" si="28"/>
        <v>Green - Duwamish River</v>
      </c>
      <c r="K804" t="str">
        <f>IFERROR(VLOOKUP(J804,LUTs!$A$1:$C$73,2,FALSE),"NA")</f>
        <v>King</v>
      </c>
      <c r="L804" t="str">
        <f>IFERROR(VLOOKUP(J804,LUTs!$A$1:$C$73,3,FALSE),"NA")</f>
        <v>3South Puget Sound</v>
      </c>
      <c r="M804" s="72" t="s">
        <v>26</v>
      </c>
      <c r="N804" t="str">
        <f>VLOOKUP(M804,LUTs!E$2:H$14,3,)</f>
        <v>20Other</v>
      </c>
      <c r="O804" t="str">
        <f>VLOOKUP(M804,LUTs!E$2:H$14,4,)</f>
        <v>07Non Puget Sound</v>
      </c>
      <c r="P804" s="73">
        <v>47.373737373737399</v>
      </c>
      <c r="Q804" s="74">
        <f>VLOOKUP(B804,Readme!A$40:C$51,2,)*P804</f>
        <v>409.78282828282852</v>
      </c>
    </row>
    <row r="805" spans="1:17" ht="12" customHeight="1" x14ac:dyDescent="0.35">
      <c r="A805" s="75">
        <v>804</v>
      </c>
      <c r="B805" s="64">
        <v>2012</v>
      </c>
      <c r="C805" s="64">
        <v>9</v>
      </c>
      <c r="D805" s="80">
        <f t="shared" si="27"/>
        <v>2012</v>
      </c>
      <c r="E805" t="s">
        <v>38</v>
      </c>
      <c r="F805" t="s">
        <v>143</v>
      </c>
      <c r="G805" t="s">
        <v>10</v>
      </c>
      <c r="H805" s="72" t="s">
        <v>203</v>
      </c>
      <c r="I805" s="72" t="s">
        <v>45</v>
      </c>
      <c r="J805" t="str">
        <f t="shared" si="28"/>
        <v>Green - Duwamish River</v>
      </c>
      <c r="K805" t="str">
        <f>IFERROR(VLOOKUP(J805,LUTs!$A$1:$C$73,2,FALSE),"NA")</f>
        <v>King</v>
      </c>
      <c r="L805" t="str">
        <f>IFERROR(VLOOKUP(J805,LUTs!$A$1:$C$73,3,FALSE),"NA")</f>
        <v>3South Puget Sound</v>
      </c>
      <c r="M805" s="72" t="s">
        <v>20</v>
      </c>
      <c r="N805" t="str">
        <f>VLOOKUP(M805,LUTs!E$2:H$14,3,)</f>
        <v>07Pierce</v>
      </c>
      <c r="O805" t="str">
        <f>VLOOKUP(M805,LUTs!E$2:H$14,4,)</f>
        <v>02South Puget Sound</v>
      </c>
      <c r="P805" s="73">
        <v>223.333333333333</v>
      </c>
      <c r="Q805" s="74">
        <f>VLOOKUP(B805,Readme!A$40:C$51,2,)*P805</f>
        <v>1931.8333333333305</v>
      </c>
    </row>
    <row r="806" spans="1:17" ht="12" customHeight="1" x14ac:dyDescent="0.35">
      <c r="A806" s="75">
        <v>805</v>
      </c>
      <c r="B806" s="64">
        <v>2012</v>
      </c>
      <c r="C806" s="64">
        <v>9</v>
      </c>
      <c r="D806" s="80">
        <f t="shared" si="27"/>
        <v>2012</v>
      </c>
      <c r="E806" t="s">
        <v>38</v>
      </c>
      <c r="F806" t="s">
        <v>143</v>
      </c>
      <c r="G806" t="s">
        <v>10</v>
      </c>
      <c r="H806" s="72" t="s">
        <v>203</v>
      </c>
      <c r="I806" s="72" t="s">
        <v>45</v>
      </c>
      <c r="J806" t="str">
        <f t="shared" si="28"/>
        <v>Green - Duwamish River</v>
      </c>
      <c r="K806" t="str">
        <f>IFERROR(VLOOKUP(J806,LUTs!$A$1:$C$73,2,FALSE),"NA")</f>
        <v>King</v>
      </c>
      <c r="L806" t="str">
        <f>IFERROR(VLOOKUP(J806,LUTs!$A$1:$C$73,3,FALSE),"NA")</f>
        <v>3South Puget Sound</v>
      </c>
      <c r="M806" s="72" t="s">
        <v>16</v>
      </c>
      <c r="N806" t="str">
        <f>VLOOKUP(M806,LUTs!E$2:H$14,3,)</f>
        <v>03Snohomish</v>
      </c>
      <c r="O806" t="str">
        <f>VLOOKUP(M806,LUTs!E$2:H$14,4,)</f>
        <v>01North Puget Sound</v>
      </c>
      <c r="P806" s="73">
        <v>270.70707070707101</v>
      </c>
      <c r="Q806" s="74">
        <f>VLOOKUP(B806,Readme!A$40:C$51,2,)*P806</f>
        <v>2341.6161616161644</v>
      </c>
    </row>
    <row r="807" spans="1:17" ht="12" customHeight="1" x14ac:dyDescent="0.35">
      <c r="A807" s="75">
        <v>806</v>
      </c>
      <c r="B807" s="64">
        <v>2012</v>
      </c>
      <c r="C807" s="64">
        <v>9</v>
      </c>
      <c r="D807" s="80">
        <f t="shared" si="27"/>
        <v>2012</v>
      </c>
      <c r="E807" t="s">
        <v>38</v>
      </c>
      <c r="F807" t="s">
        <v>143</v>
      </c>
      <c r="G807" t="s">
        <v>10</v>
      </c>
      <c r="H807" s="72" t="s">
        <v>203</v>
      </c>
      <c r="I807" s="72" t="s">
        <v>45</v>
      </c>
      <c r="J807" t="str">
        <f t="shared" si="28"/>
        <v>Green - Duwamish River</v>
      </c>
      <c r="K807" t="str">
        <f>IFERROR(VLOOKUP(J807,LUTs!$A$1:$C$73,2,FALSE),"NA")</f>
        <v>King</v>
      </c>
      <c r="L807" t="str">
        <f>IFERROR(VLOOKUP(J807,LUTs!$A$1:$C$73,3,FALSE),"NA")</f>
        <v>3South Puget Sound</v>
      </c>
      <c r="M807" s="72" t="s">
        <v>21</v>
      </c>
      <c r="N807" t="str">
        <f>VLOOKUP(M807,LUTs!E$2:H$14,3,)</f>
        <v>08Thurston</v>
      </c>
      <c r="O807" t="str">
        <f>VLOOKUP(M807,LUTs!E$2:H$14,4,)</f>
        <v>02South Puget Sound</v>
      </c>
      <c r="P807" s="73">
        <v>13.535353535353501</v>
      </c>
      <c r="Q807" s="74">
        <f>VLOOKUP(B807,Readme!A$40:C$51,2,)*P807</f>
        <v>117.08080808080778</v>
      </c>
    </row>
    <row r="808" spans="1:17" ht="12" customHeight="1" x14ac:dyDescent="0.35">
      <c r="A808" s="75">
        <v>807</v>
      </c>
      <c r="B808" s="64">
        <v>2012</v>
      </c>
      <c r="C808" s="64">
        <v>10</v>
      </c>
      <c r="D808" s="80">
        <f t="shared" si="27"/>
        <v>2012</v>
      </c>
      <c r="E808" t="s">
        <v>38</v>
      </c>
      <c r="F808" t="s">
        <v>143</v>
      </c>
      <c r="G808" t="s">
        <v>10</v>
      </c>
      <c r="H808" s="72" t="s">
        <v>203</v>
      </c>
      <c r="I808" s="72" t="s">
        <v>45</v>
      </c>
      <c r="J808" t="str">
        <f t="shared" si="28"/>
        <v>Green - Duwamish River</v>
      </c>
      <c r="K808" t="str">
        <f>IFERROR(VLOOKUP(J808,LUTs!$A$1:$C$73,2,FALSE),"NA")</f>
        <v>King</v>
      </c>
      <c r="L808" t="str">
        <f>IFERROR(VLOOKUP(J808,LUTs!$A$1:$C$73,3,FALSE),"NA")</f>
        <v>3South Puget Sound</v>
      </c>
      <c r="M808" s="72" t="s">
        <v>18</v>
      </c>
      <c r="N808" t="str">
        <f>VLOOKUP(M808,LUTs!E$2:H$14,3,)</f>
        <v>06King</v>
      </c>
      <c r="O808" t="str">
        <f>VLOOKUP(M808,LUTs!E$2:H$14,4,)</f>
        <v>02South Puget Sound</v>
      </c>
      <c r="P808" s="73">
        <v>1697.41007194245</v>
      </c>
      <c r="Q808" s="74">
        <f>VLOOKUP(B808,Readme!A$40:C$51,2,)*P808</f>
        <v>14682.597122302193</v>
      </c>
    </row>
    <row r="809" spans="1:17" ht="12" customHeight="1" x14ac:dyDescent="0.35">
      <c r="A809" s="75">
        <v>808</v>
      </c>
      <c r="B809" s="64">
        <v>2012</v>
      </c>
      <c r="C809" s="64">
        <v>10</v>
      </c>
      <c r="D809" s="80">
        <f t="shared" si="27"/>
        <v>2012</v>
      </c>
      <c r="E809" t="s">
        <v>38</v>
      </c>
      <c r="F809" t="s">
        <v>143</v>
      </c>
      <c r="G809" t="s">
        <v>10</v>
      </c>
      <c r="H809" s="72" t="s">
        <v>203</v>
      </c>
      <c r="I809" s="72" t="s">
        <v>45</v>
      </c>
      <c r="J809" t="str">
        <f t="shared" si="28"/>
        <v>Green - Duwamish River</v>
      </c>
      <c r="K809" t="str">
        <f>IFERROR(VLOOKUP(J809,LUTs!$A$1:$C$73,2,FALSE),"NA")</f>
        <v>King</v>
      </c>
      <c r="L809" t="str">
        <f>IFERROR(VLOOKUP(J809,LUTs!$A$1:$C$73,3,FALSE),"NA")</f>
        <v>3South Puget Sound</v>
      </c>
      <c r="M809" s="72" t="s">
        <v>26</v>
      </c>
      <c r="N809" t="str">
        <f>VLOOKUP(M809,LUTs!E$2:H$14,3,)</f>
        <v>20Other</v>
      </c>
      <c r="O809" t="str">
        <f>VLOOKUP(M809,LUTs!E$2:H$14,4,)</f>
        <v>07Non Puget Sound</v>
      </c>
      <c r="P809" s="73">
        <v>27.0503597122302</v>
      </c>
      <c r="Q809" s="74">
        <f>VLOOKUP(B809,Readme!A$40:C$51,2,)*P809</f>
        <v>233.98561151079124</v>
      </c>
    </row>
    <row r="810" spans="1:17" ht="12" customHeight="1" x14ac:dyDescent="0.35">
      <c r="A810" s="75">
        <v>809</v>
      </c>
      <c r="B810" s="64">
        <v>2012</v>
      </c>
      <c r="C810" s="64">
        <v>10</v>
      </c>
      <c r="D810" s="80">
        <f t="shared" si="27"/>
        <v>2012</v>
      </c>
      <c r="E810" t="s">
        <v>38</v>
      </c>
      <c r="F810" t="s">
        <v>143</v>
      </c>
      <c r="G810" t="s">
        <v>10</v>
      </c>
      <c r="H810" s="72" t="s">
        <v>203</v>
      </c>
      <c r="I810" s="72" t="s">
        <v>45</v>
      </c>
      <c r="J810" t="str">
        <f t="shared" si="28"/>
        <v>Green - Duwamish River</v>
      </c>
      <c r="K810" t="str">
        <f>IFERROR(VLOOKUP(J810,LUTs!$A$1:$C$73,2,FALSE),"NA")</f>
        <v>King</v>
      </c>
      <c r="L810" t="str">
        <f>IFERROR(VLOOKUP(J810,LUTs!$A$1:$C$73,3,FALSE),"NA")</f>
        <v>3South Puget Sound</v>
      </c>
      <c r="M810" s="72" t="s">
        <v>20</v>
      </c>
      <c r="N810" t="str">
        <f>VLOOKUP(M810,LUTs!E$2:H$14,3,)</f>
        <v>07Pierce</v>
      </c>
      <c r="O810" t="str">
        <f>VLOOKUP(M810,LUTs!E$2:H$14,4,)</f>
        <v>02South Puget Sound</v>
      </c>
      <c r="P810" s="73">
        <v>128.48920863309399</v>
      </c>
      <c r="Q810" s="74">
        <f>VLOOKUP(B810,Readme!A$40:C$51,2,)*P810</f>
        <v>1111.4316546762632</v>
      </c>
    </row>
    <row r="811" spans="1:17" ht="12" customHeight="1" x14ac:dyDescent="0.35">
      <c r="A811" s="75">
        <v>810</v>
      </c>
      <c r="B811" s="64">
        <v>2012</v>
      </c>
      <c r="C811" s="64">
        <v>10</v>
      </c>
      <c r="D811" s="80">
        <f t="shared" si="27"/>
        <v>2012</v>
      </c>
      <c r="E811" t="s">
        <v>38</v>
      </c>
      <c r="F811" t="s">
        <v>143</v>
      </c>
      <c r="G811" t="s">
        <v>10</v>
      </c>
      <c r="H811" s="72" t="s">
        <v>203</v>
      </c>
      <c r="I811" s="72" t="s">
        <v>45</v>
      </c>
      <c r="J811" t="str">
        <f t="shared" si="28"/>
        <v>Green - Duwamish River</v>
      </c>
      <c r="K811" t="str">
        <f>IFERROR(VLOOKUP(J811,LUTs!$A$1:$C$73,2,FALSE),"NA")</f>
        <v>King</v>
      </c>
      <c r="L811" t="str">
        <f>IFERROR(VLOOKUP(J811,LUTs!$A$1:$C$73,3,FALSE),"NA")</f>
        <v>3South Puget Sound</v>
      </c>
      <c r="M811" s="72" t="s">
        <v>16</v>
      </c>
      <c r="N811" t="str">
        <f>VLOOKUP(M811,LUTs!E$2:H$14,3,)</f>
        <v>03Snohomish</v>
      </c>
      <c r="O811" t="str">
        <f>VLOOKUP(M811,LUTs!E$2:H$14,4,)</f>
        <v>01North Puget Sound</v>
      </c>
      <c r="P811" s="73">
        <v>27.0503597122302</v>
      </c>
      <c r="Q811" s="74">
        <f>VLOOKUP(B811,Readme!A$40:C$51,2,)*P811</f>
        <v>233.98561151079124</v>
      </c>
    </row>
    <row r="812" spans="1:17" ht="12" customHeight="1" x14ac:dyDescent="0.35">
      <c r="A812" s="75">
        <v>811</v>
      </c>
      <c r="B812" s="64">
        <v>2012</v>
      </c>
      <c r="C812" s="64">
        <v>11</v>
      </c>
      <c r="D812" s="80">
        <f t="shared" si="27"/>
        <v>2012</v>
      </c>
      <c r="E812" t="s">
        <v>38</v>
      </c>
      <c r="F812" t="s">
        <v>143</v>
      </c>
      <c r="G812" t="s">
        <v>10</v>
      </c>
      <c r="H812" s="72" t="s">
        <v>203</v>
      </c>
      <c r="I812" s="72" t="s">
        <v>45</v>
      </c>
      <c r="J812" t="str">
        <f t="shared" si="28"/>
        <v>Green - Duwamish River</v>
      </c>
      <c r="K812" t="str">
        <f>IFERROR(VLOOKUP(J812,LUTs!$A$1:$C$73,2,FALSE),"NA")</f>
        <v>King</v>
      </c>
      <c r="L812" t="str">
        <f>IFERROR(VLOOKUP(J812,LUTs!$A$1:$C$73,3,FALSE),"NA")</f>
        <v>3South Puget Sound</v>
      </c>
      <c r="M812" s="72" t="s">
        <v>18</v>
      </c>
      <c r="N812" t="str">
        <f>VLOOKUP(M812,LUTs!E$2:H$14,3,)</f>
        <v>06King</v>
      </c>
      <c r="O812" t="str">
        <f>VLOOKUP(M812,LUTs!E$2:H$14,4,)</f>
        <v>02South Puget Sound</v>
      </c>
      <c r="P812" s="73">
        <v>743.44827586206895</v>
      </c>
      <c r="Q812" s="74">
        <f>VLOOKUP(B812,Readme!A$40:C$51,2,)*P812</f>
        <v>6430.8275862068967</v>
      </c>
    </row>
    <row r="813" spans="1:17" ht="12" customHeight="1" x14ac:dyDescent="0.35">
      <c r="A813" s="75">
        <v>812</v>
      </c>
      <c r="B813" s="64">
        <v>2012</v>
      </c>
      <c r="C813" s="64">
        <v>11</v>
      </c>
      <c r="D813" s="80">
        <f t="shared" si="27"/>
        <v>2012</v>
      </c>
      <c r="E813" t="s">
        <v>38</v>
      </c>
      <c r="F813" t="s">
        <v>143</v>
      </c>
      <c r="G813" t="s">
        <v>10</v>
      </c>
      <c r="H813" s="72" t="s">
        <v>203</v>
      </c>
      <c r="I813" s="72" t="s">
        <v>45</v>
      </c>
      <c r="J813" t="str">
        <f t="shared" si="28"/>
        <v>Green - Duwamish River</v>
      </c>
      <c r="K813" t="str">
        <f>IFERROR(VLOOKUP(J813,LUTs!$A$1:$C$73,2,FALSE),"NA")</f>
        <v>King</v>
      </c>
      <c r="L813" t="str">
        <f>IFERROR(VLOOKUP(J813,LUTs!$A$1:$C$73,3,FALSE),"NA")</f>
        <v>3South Puget Sound</v>
      </c>
      <c r="M813" s="72" t="s">
        <v>20</v>
      </c>
      <c r="N813" t="str">
        <f>VLOOKUP(M813,LUTs!E$2:H$14,3,)</f>
        <v>07Pierce</v>
      </c>
      <c r="O813" t="str">
        <f>VLOOKUP(M813,LUTs!E$2:H$14,4,)</f>
        <v>02South Puget Sound</v>
      </c>
      <c r="P813" s="73">
        <v>40.551724137930997</v>
      </c>
      <c r="Q813" s="74">
        <f>VLOOKUP(B813,Readme!A$40:C$51,2,)*P813</f>
        <v>350.77241379310311</v>
      </c>
    </row>
    <row r="814" spans="1:17" ht="12" customHeight="1" x14ac:dyDescent="0.35">
      <c r="A814" s="75">
        <v>813</v>
      </c>
      <c r="B814" s="64">
        <v>2012</v>
      </c>
      <c r="C814" s="64">
        <v>12</v>
      </c>
      <c r="D814" s="80">
        <f t="shared" si="27"/>
        <v>2012</v>
      </c>
      <c r="E814" t="s">
        <v>38</v>
      </c>
      <c r="F814" t="s">
        <v>143</v>
      </c>
      <c r="G814" t="s">
        <v>10</v>
      </c>
      <c r="H814" s="72" t="s">
        <v>203</v>
      </c>
      <c r="I814" s="72" t="s">
        <v>45</v>
      </c>
      <c r="J814" t="str">
        <f t="shared" si="28"/>
        <v>Green - Duwamish River</v>
      </c>
      <c r="K814" t="str">
        <f>IFERROR(VLOOKUP(J814,LUTs!$A$1:$C$73,2,FALSE),"NA")</f>
        <v>King</v>
      </c>
      <c r="L814" t="str">
        <f>IFERROR(VLOOKUP(J814,LUTs!$A$1:$C$73,3,FALSE),"NA")</f>
        <v>3South Puget Sound</v>
      </c>
      <c r="M814" s="72" t="s">
        <v>18</v>
      </c>
      <c r="N814" t="str">
        <f>VLOOKUP(M814,LUTs!E$2:H$14,3,)</f>
        <v>06King</v>
      </c>
      <c r="O814" t="str">
        <f>VLOOKUP(M814,LUTs!E$2:H$14,4,)</f>
        <v>02South Puget Sound</v>
      </c>
      <c r="P814" s="73">
        <v>28</v>
      </c>
      <c r="Q814" s="74">
        <f>VLOOKUP(B814,Readme!A$40:C$51,2,)*P814</f>
        <v>242.20000000000002</v>
      </c>
    </row>
    <row r="815" spans="1:17" ht="12" customHeight="1" x14ac:dyDescent="0.35">
      <c r="A815" s="75">
        <v>814</v>
      </c>
      <c r="B815" s="64">
        <v>2012</v>
      </c>
      <c r="C815" s="64">
        <v>10</v>
      </c>
      <c r="D815" s="80">
        <f t="shared" si="27"/>
        <v>2012</v>
      </c>
      <c r="E815" t="s">
        <v>38</v>
      </c>
      <c r="F815" t="s">
        <v>143</v>
      </c>
      <c r="G815" t="s">
        <v>10</v>
      </c>
      <c r="H815" s="72" t="s">
        <v>205</v>
      </c>
      <c r="I815" s="72" t="s">
        <v>47</v>
      </c>
      <c r="J815" t="str">
        <f t="shared" si="28"/>
        <v>Kennedy Creek</v>
      </c>
      <c r="K815" t="str">
        <f>IFERROR(VLOOKUP(J815,LUTs!$A$1:$C$73,2,FALSE),"NA")</f>
        <v>Mason/Thurston</v>
      </c>
      <c r="L815" t="str">
        <f>IFERROR(VLOOKUP(J815,LUTs!$A$1:$C$73,3,FALSE),"NA")</f>
        <v>3South Puget Sound</v>
      </c>
      <c r="M815" s="72" t="s">
        <v>18</v>
      </c>
      <c r="N815" t="str">
        <f>VLOOKUP(M815,LUTs!E$2:H$14,3,)</f>
        <v>06King</v>
      </c>
      <c r="O815" t="str">
        <f>VLOOKUP(M815,LUTs!E$2:H$14,4,)</f>
        <v>02South Puget Sound</v>
      </c>
      <c r="P815" s="73">
        <v>22.714285714285701</v>
      </c>
      <c r="Q815" s="74">
        <f>VLOOKUP(B815,Readme!A$40:C$51,2,)*P815</f>
        <v>196.47857142857131</v>
      </c>
    </row>
    <row r="816" spans="1:17" ht="12" customHeight="1" x14ac:dyDescent="0.35">
      <c r="A816" s="75">
        <v>815</v>
      </c>
      <c r="B816" s="64">
        <v>2012</v>
      </c>
      <c r="C816" s="64">
        <v>10</v>
      </c>
      <c r="D816" s="80">
        <f t="shared" si="27"/>
        <v>2012</v>
      </c>
      <c r="E816" t="s">
        <v>38</v>
      </c>
      <c r="F816" t="s">
        <v>143</v>
      </c>
      <c r="G816" t="s">
        <v>10</v>
      </c>
      <c r="H816" s="72" t="s">
        <v>205</v>
      </c>
      <c r="I816" s="72" t="s">
        <v>47</v>
      </c>
      <c r="J816" t="str">
        <f t="shared" si="28"/>
        <v>Kennedy Creek</v>
      </c>
      <c r="K816" t="str">
        <f>IFERROR(VLOOKUP(J816,LUTs!$A$1:$C$73,2,FALSE),"NA")</f>
        <v>Mason/Thurston</v>
      </c>
      <c r="L816" t="str">
        <f>IFERROR(VLOOKUP(J816,LUTs!$A$1:$C$73,3,FALSE),"NA")</f>
        <v>3South Puget Sound</v>
      </c>
      <c r="M816" s="72" t="s">
        <v>26</v>
      </c>
      <c r="N816" t="str">
        <f>VLOOKUP(M816,LUTs!E$2:H$14,3,)</f>
        <v>20Other</v>
      </c>
      <c r="O816" t="str">
        <f>VLOOKUP(M816,LUTs!E$2:H$14,4,)</f>
        <v>07Non Puget Sound</v>
      </c>
      <c r="P816" s="73">
        <v>30.285714285714299</v>
      </c>
      <c r="Q816" s="74">
        <f>VLOOKUP(B816,Readme!A$40:C$51,2,)*P816</f>
        <v>261.9714285714287</v>
      </c>
    </row>
    <row r="817" spans="1:17" ht="12" customHeight="1" x14ac:dyDescent="0.35">
      <c r="A817" s="75">
        <v>816</v>
      </c>
      <c r="B817" s="64">
        <v>2012</v>
      </c>
      <c r="C817" s="64">
        <v>10</v>
      </c>
      <c r="D817" s="80">
        <f t="shared" si="27"/>
        <v>2012</v>
      </c>
      <c r="E817" t="s">
        <v>38</v>
      </c>
      <c r="F817" t="s">
        <v>143</v>
      </c>
      <c r="G817" t="s">
        <v>10</v>
      </c>
      <c r="H817" s="72" t="s">
        <v>205</v>
      </c>
      <c r="I817" s="72" t="s">
        <v>47</v>
      </c>
      <c r="J817" t="str">
        <f t="shared" si="28"/>
        <v>Kennedy Creek</v>
      </c>
      <c r="K817" t="str">
        <f>IFERROR(VLOOKUP(J817,LUTs!$A$1:$C$73,2,FALSE),"NA")</f>
        <v>Mason/Thurston</v>
      </c>
      <c r="L817" t="str">
        <f>IFERROR(VLOOKUP(J817,LUTs!$A$1:$C$73,3,FALSE),"NA")</f>
        <v>3South Puget Sound</v>
      </c>
      <c r="M817" s="72" t="s">
        <v>20</v>
      </c>
      <c r="N817" t="str">
        <f>VLOOKUP(M817,LUTs!E$2:H$14,3,)</f>
        <v>07Pierce</v>
      </c>
      <c r="O817" t="str">
        <f>VLOOKUP(M817,LUTs!E$2:H$14,4,)</f>
        <v>02South Puget Sound</v>
      </c>
      <c r="P817" s="73">
        <v>83.285714285714306</v>
      </c>
      <c r="Q817" s="74">
        <f>VLOOKUP(B817,Readme!A$40:C$51,2,)*P817</f>
        <v>720.42142857142881</v>
      </c>
    </row>
    <row r="818" spans="1:17" ht="12" customHeight="1" x14ac:dyDescent="0.35">
      <c r="A818" s="75">
        <v>817</v>
      </c>
      <c r="B818" s="64">
        <v>2012</v>
      </c>
      <c r="C818" s="64">
        <v>10</v>
      </c>
      <c r="D818" s="80">
        <f t="shared" si="27"/>
        <v>2012</v>
      </c>
      <c r="E818" t="s">
        <v>38</v>
      </c>
      <c r="F818" t="s">
        <v>143</v>
      </c>
      <c r="G818" t="s">
        <v>10</v>
      </c>
      <c r="H818" s="72" t="s">
        <v>205</v>
      </c>
      <c r="I818" s="72" t="s">
        <v>47</v>
      </c>
      <c r="J818" t="str">
        <f t="shared" si="28"/>
        <v>Kennedy Creek</v>
      </c>
      <c r="K818" t="str">
        <f>IFERROR(VLOOKUP(J818,LUTs!$A$1:$C$73,2,FALSE),"NA")</f>
        <v>Mason/Thurston</v>
      </c>
      <c r="L818" t="str">
        <f>IFERROR(VLOOKUP(J818,LUTs!$A$1:$C$73,3,FALSE),"NA")</f>
        <v>3South Puget Sound</v>
      </c>
      <c r="M818" s="72" t="s">
        <v>21</v>
      </c>
      <c r="N818" t="str">
        <f>VLOOKUP(M818,LUTs!E$2:H$14,3,)</f>
        <v>08Thurston</v>
      </c>
      <c r="O818" t="str">
        <f>VLOOKUP(M818,LUTs!E$2:H$14,4,)</f>
        <v>02South Puget Sound</v>
      </c>
      <c r="P818" s="73">
        <v>22.714285714285701</v>
      </c>
      <c r="Q818" s="74">
        <f>VLOOKUP(B818,Readme!A$40:C$51,2,)*P818</f>
        <v>196.47857142857131</v>
      </c>
    </row>
    <row r="819" spans="1:17" ht="12" customHeight="1" x14ac:dyDescent="0.35">
      <c r="A819" s="75">
        <v>818</v>
      </c>
      <c r="B819" s="64">
        <v>2012</v>
      </c>
      <c r="C819" s="64">
        <v>11</v>
      </c>
      <c r="D819" s="80">
        <f t="shared" si="27"/>
        <v>2012</v>
      </c>
      <c r="E819" t="s">
        <v>38</v>
      </c>
      <c r="F819" t="s">
        <v>143</v>
      </c>
      <c r="G819" t="s">
        <v>10</v>
      </c>
      <c r="H819" s="72" t="s">
        <v>205</v>
      </c>
      <c r="I819" s="72" t="s">
        <v>47</v>
      </c>
      <c r="J819" t="str">
        <f t="shared" si="28"/>
        <v>Kennedy Creek</v>
      </c>
      <c r="K819" t="str">
        <f>IFERROR(VLOOKUP(J819,LUTs!$A$1:$C$73,2,FALSE),"NA")</f>
        <v>Mason/Thurston</v>
      </c>
      <c r="L819" t="str">
        <f>IFERROR(VLOOKUP(J819,LUTs!$A$1:$C$73,3,FALSE),"NA")</f>
        <v>3South Puget Sound</v>
      </c>
      <c r="M819" s="72" t="s">
        <v>18</v>
      </c>
      <c r="N819" t="str">
        <f>VLOOKUP(M819,LUTs!E$2:H$14,3,)</f>
        <v>06King</v>
      </c>
      <c r="O819" t="str">
        <f>VLOOKUP(M819,LUTs!E$2:H$14,4,)</f>
        <v>02South Puget Sound</v>
      </c>
      <c r="P819" s="73">
        <v>45.375</v>
      </c>
      <c r="Q819" s="74">
        <f>VLOOKUP(B819,Readme!A$40:C$51,2,)*P819</f>
        <v>392.49375000000003</v>
      </c>
    </row>
    <row r="820" spans="1:17" ht="12" customHeight="1" x14ac:dyDescent="0.35">
      <c r="A820" s="75">
        <v>819</v>
      </c>
      <c r="B820" s="64">
        <v>2012</v>
      </c>
      <c r="C820" s="64">
        <v>11</v>
      </c>
      <c r="D820" s="80">
        <f t="shared" si="27"/>
        <v>2012</v>
      </c>
      <c r="E820" t="s">
        <v>38</v>
      </c>
      <c r="F820" t="s">
        <v>143</v>
      </c>
      <c r="G820" t="s">
        <v>10</v>
      </c>
      <c r="H820" s="72" t="s">
        <v>205</v>
      </c>
      <c r="I820" s="72" t="s">
        <v>47</v>
      </c>
      <c r="J820" t="str">
        <f t="shared" si="28"/>
        <v>Kennedy Creek</v>
      </c>
      <c r="K820" t="str">
        <f>IFERROR(VLOOKUP(J820,LUTs!$A$1:$C$73,2,FALSE),"NA")</f>
        <v>Mason/Thurston</v>
      </c>
      <c r="L820" t="str">
        <f>IFERROR(VLOOKUP(J820,LUTs!$A$1:$C$73,3,FALSE),"NA")</f>
        <v>3South Puget Sound</v>
      </c>
      <c r="M820" s="72" t="s">
        <v>26</v>
      </c>
      <c r="N820" t="str">
        <f>VLOOKUP(M820,LUTs!E$2:H$14,3,)</f>
        <v>20Other</v>
      </c>
      <c r="O820" t="str">
        <f>VLOOKUP(M820,LUTs!E$2:H$14,4,)</f>
        <v>07Non Puget Sound</v>
      </c>
      <c r="P820" s="73">
        <v>7.5625</v>
      </c>
      <c r="Q820" s="74">
        <f>VLOOKUP(B820,Readme!A$40:C$51,2,)*P820</f>
        <v>65.415625000000006</v>
      </c>
    </row>
    <row r="821" spans="1:17" ht="12" customHeight="1" x14ac:dyDescent="0.35">
      <c r="A821" s="75">
        <v>820</v>
      </c>
      <c r="B821" s="64">
        <v>2012</v>
      </c>
      <c r="C821" s="64">
        <v>11</v>
      </c>
      <c r="D821" s="80">
        <f t="shared" si="27"/>
        <v>2012</v>
      </c>
      <c r="E821" t="s">
        <v>38</v>
      </c>
      <c r="F821" t="s">
        <v>143</v>
      </c>
      <c r="G821" t="s">
        <v>10</v>
      </c>
      <c r="H821" s="72" t="s">
        <v>205</v>
      </c>
      <c r="I821" s="72" t="s">
        <v>47</v>
      </c>
      <c r="J821" t="str">
        <f t="shared" si="28"/>
        <v>Kennedy Creek</v>
      </c>
      <c r="K821" t="str">
        <f>IFERROR(VLOOKUP(J821,LUTs!$A$1:$C$73,2,FALSE),"NA")</f>
        <v>Mason/Thurston</v>
      </c>
      <c r="L821" t="str">
        <f>IFERROR(VLOOKUP(J821,LUTs!$A$1:$C$73,3,FALSE),"NA")</f>
        <v>3South Puget Sound</v>
      </c>
      <c r="M821" s="72" t="s">
        <v>20</v>
      </c>
      <c r="N821" t="str">
        <f>VLOOKUP(M821,LUTs!E$2:H$14,3,)</f>
        <v>07Pierce</v>
      </c>
      <c r="O821" t="str">
        <f>VLOOKUP(M821,LUTs!E$2:H$14,4,)</f>
        <v>02South Puget Sound</v>
      </c>
      <c r="P821" s="73">
        <v>22.6875</v>
      </c>
      <c r="Q821" s="74">
        <f>VLOOKUP(B821,Readme!A$40:C$51,2,)*P821</f>
        <v>196.24687500000002</v>
      </c>
    </row>
    <row r="822" spans="1:17" ht="12" customHeight="1" x14ac:dyDescent="0.35">
      <c r="A822" s="75">
        <v>821</v>
      </c>
      <c r="B822" s="64">
        <v>2012</v>
      </c>
      <c r="C822" s="64">
        <v>11</v>
      </c>
      <c r="D822" s="80">
        <f t="shared" si="27"/>
        <v>2012</v>
      </c>
      <c r="E822" t="s">
        <v>38</v>
      </c>
      <c r="F822" t="s">
        <v>143</v>
      </c>
      <c r="G822" t="s">
        <v>10</v>
      </c>
      <c r="H822" s="72" t="s">
        <v>205</v>
      </c>
      <c r="I822" s="72" t="s">
        <v>47</v>
      </c>
      <c r="J822" t="str">
        <f t="shared" si="28"/>
        <v>Kennedy Creek</v>
      </c>
      <c r="K822" t="str">
        <f>IFERROR(VLOOKUP(J822,LUTs!$A$1:$C$73,2,FALSE),"NA")</f>
        <v>Mason/Thurston</v>
      </c>
      <c r="L822" t="str">
        <f>IFERROR(VLOOKUP(J822,LUTs!$A$1:$C$73,3,FALSE),"NA")</f>
        <v>3South Puget Sound</v>
      </c>
      <c r="M822" s="72" t="s">
        <v>21</v>
      </c>
      <c r="N822" t="str">
        <f>VLOOKUP(M822,LUTs!E$2:H$14,3,)</f>
        <v>08Thurston</v>
      </c>
      <c r="O822" t="str">
        <f>VLOOKUP(M822,LUTs!E$2:H$14,4,)</f>
        <v>02South Puget Sound</v>
      </c>
      <c r="P822" s="73">
        <v>45.375</v>
      </c>
      <c r="Q822" s="74">
        <f>VLOOKUP(B822,Readme!A$40:C$51,2,)*P822</f>
        <v>392.49375000000003</v>
      </c>
    </row>
    <row r="823" spans="1:17" ht="12" customHeight="1" x14ac:dyDescent="0.35">
      <c r="A823" s="75">
        <v>822</v>
      </c>
      <c r="B823" s="64">
        <v>2012</v>
      </c>
      <c r="C823" s="64">
        <v>9</v>
      </c>
      <c r="D823" s="80">
        <f t="shared" si="27"/>
        <v>2012</v>
      </c>
      <c r="E823" t="s">
        <v>38</v>
      </c>
      <c r="F823" t="s">
        <v>143</v>
      </c>
      <c r="G823" t="s">
        <v>10</v>
      </c>
      <c r="H823" s="72" t="s">
        <v>206</v>
      </c>
      <c r="I823" s="72" t="s">
        <v>48</v>
      </c>
      <c r="J823" t="str">
        <f t="shared" si="28"/>
        <v>Lake Washington</v>
      </c>
      <c r="K823" t="str">
        <f>IFERROR(VLOOKUP(J823,LUTs!$A$1:$C$73,2,FALSE),"NA")</f>
        <v>King</v>
      </c>
      <c r="L823" t="str">
        <f>IFERROR(VLOOKUP(J823,LUTs!$A$1:$C$73,3,FALSE),"NA")</f>
        <v>2Central Puget Sound</v>
      </c>
      <c r="M823" s="72" t="s">
        <v>18</v>
      </c>
      <c r="N823" t="str">
        <f>VLOOKUP(M823,LUTs!E$2:H$14,3,)</f>
        <v>06King</v>
      </c>
      <c r="O823" t="str">
        <f>VLOOKUP(M823,LUTs!E$2:H$14,4,)</f>
        <v>02South Puget Sound</v>
      </c>
      <c r="P823" s="73">
        <v>47.4</v>
      </c>
      <c r="Q823" s="74">
        <f>VLOOKUP(B823,Readme!A$40:C$51,2,)*P823</f>
        <v>410.01</v>
      </c>
    </row>
    <row r="824" spans="1:17" ht="12" customHeight="1" x14ac:dyDescent="0.35">
      <c r="A824" s="75">
        <v>823</v>
      </c>
      <c r="B824" s="64">
        <v>2012</v>
      </c>
      <c r="C824" s="64">
        <v>9</v>
      </c>
      <c r="D824" s="80">
        <f t="shared" si="27"/>
        <v>2012</v>
      </c>
      <c r="E824" t="s">
        <v>38</v>
      </c>
      <c r="F824" t="s">
        <v>143</v>
      </c>
      <c r="G824" t="s">
        <v>10</v>
      </c>
      <c r="H824" s="72" t="s">
        <v>206</v>
      </c>
      <c r="I824" s="72" t="s">
        <v>48</v>
      </c>
      <c r="J824" t="str">
        <f t="shared" si="28"/>
        <v>Lake Washington</v>
      </c>
      <c r="K824" t="str">
        <f>IFERROR(VLOOKUP(J824,LUTs!$A$1:$C$73,2,FALSE),"NA")</f>
        <v>King</v>
      </c>
      <c r="L824" t="str">
        <f>IFERROR(VLOOKUP(J824,LUTs!$A$1:$C$73,3,FALSE),"NA")</f>
        <v>2Central Puget Sound</v>
      </c>
      <c r="M824" s="72" t="s">
        <v>16</v>
      </c>
      <c r="N824" t="str">
        <f>VLOOKUP(M824,LUTs!E$2:H$14,3,)</f>
        <v>03Snohomish</v>
      </c>
      <c r="O824" t="str">
        <f>VLOOKUP(M824,LUTs!E$2:H$14,4,)</f>
        <v>01North Puget Sound</v>
      </c>
      <c r="P824" s="73">
        <v>31.6</v>
      </c>
      <c r="Q824" s="74">
        <f>VLOOKUP(B824,Readme!A$40:C$51,2,)*P824</f>
        <v>273.34000000000003</v>
      </c>
    </row>
    <row r="825" spans="1:17" ht="12" customHeight="1" x14ac:dyDescent="0.35">
      <c r="A825" s="75">
        <v>824</v>
      </c>
      <c r="B825" s="64">
        <v>2012</v>
      </c>
      <c r="C825" s="64">
        <v>10</v>
      </c>
      <c r="D825" s="80">
        <f t="shared" si="27"/>
        <v>2012</v>
      </c>
      <c r="E825" t="s">
        <v>38</v>
      </c>
      <c r="F825" t="s">
        <v>143</v>
      </c>
      <c r="G825" t="s">
        <v>10</v>
      </c>
      <c r="H825" s="72" t="s">
        <v>206</v>
      </c>
      <c r="I825" s="72" t="s">
        <v>48</v>
      </c>
      <c r="J825" t="str">
        <f t="shared" si="28"/>
        <v>Lake Washington</v>
      </c>
      <c r="K825" t="str">
        <f>IFERROR(VLOOKUP(J825,LUTs!$A$1:$C$73,2,FALSE),"NA")</f>
        <v>King</v>
      </c>
      <c r="L825" t="str">
        <f>IFERROR(VLOOKUP(J825,LUTs!$A$1:$C$73,3,FALSE),"NA")</f>
        <v>2Central Puget Sound</v>
      </c>
      <c r="M825" s="72" t="s">
        <v>18</v>
      </c>
      <c r="N825" t="str">
        <f>VLOOKUP(M825,LUTs!E$2:H$14,3,)</f>
        <v>06King</v>
      </c>
      <c r="O825" t="str">
        <f>VLOOKUP(M825,LUTs!E$2:H$14,4,)</f>
        <v>02South Puget Sound</v>
      </c>
      <c r="P825" s="73">
        <v>39.285714285714299</v>
      </c>
      <c r="Q825" s="74">
        <f>VLOOKUP(B825,Readme!A$40:C$51,2,)*P825</f>
        <v>339.82142857142873</v>
      </c>
    </row>
    <row r="826" spans="1:17" ht="12" customHeight="1" x14ac:dyDescent="0.35">
      <c r="A826" s="75">
        <v>825</v>
      </c>
      <c r="B826" s="64">
        <v>2012</v>
      </c>
      <c r="C826" s="64">
        <v>10</v>
      </c>
      <c r="D826" s="80">
        <f t="shared" si="27"/>
        <v>2012</v>
      </c>
      <c r="E826" t="s">
        <v>38</v>
      </c>
      <c r="F826" t="s">
        <v>143</v>
      </c>
      <c r="G826" t="s">
        <v>10</v>
      </c>
      <c r="H826" s="72" t="s">
        <v>206</v>
      </c>
      <c r="I826" s="72" t="s">
        <v>48</v>
      </c>
      <c r="J826" t="str">
        <f t="shared" si="28"/>
        <v>Lake Washington</v>
      </c>
      <c r="K826" t="str">
        <f>IFERROR(VLOOKUP(J826,LUTs!$A$1:$C$73,2,FALSE),"NA")</f>
        <v>King</v>
      </c>
      <c r="L826" t="str">
        <f>IFERROR(VLOOKUP(J826,LUTs!$A$1:$C$73,3,FALSE),"NA")</f>
        <v>2Central Puget Sound</v>
      </c>
      <c r="M826" s="72" t="s">
        <v>16</v>
      </c>
      <c r="N826" t="str">
        <f>VLOOKUP(M826,LUTs!E$2:H$14,3,)</f>
        <v>03Snohomish</v>
      </c>
      <c r="O826" t="str">
        <f>VLOOKUP(M826,LUTs!E$2:H$14,4,)</f>
        <v>01North Puget Sound</v>
      </c>
      <c r="P826" s="73">
        <v>15.714285714285699</v>
      </c>
      <c r="Q826" s="74">
        <f>VLOOKUP(B826,Readme!A$40:C$51,2,)*P826</f>
        <v>135.9285714285713</v>
      </c>
    </row>
    <row r="827" spans="1:17" ht="12" customHeight="1" x14ac:dyDescent="0.35">
      <c r="A827" s="75">
        <v>826</v>
      </c>
      <c r="B827" s="64">
        <v>2012</v>
      </c>
      <c r="C827" s="64">
        <v>8</v>
      </c>
      <c r="D827" s="80">
        <f t="shared" si="27"/>
        <v>2012</v>
      </c>
      <c r="E827" t="s">
        <v>38</v>
      </c>
      <c r="F827" t="s">
        <v>143</v>
      </c>
      <c r="G827" t="s">
        <v>10</v>
      </c>
      <c r="H827" s="72" t="s">
        <v>207</v>
      </c>
      <c r="I827" s="72" t="s">
        <v>49</v>
      </c>
      <c r="J827" t="str">
        <f t="shared" si="28"/>
        <v>Lake Sammamish</v>
      </c>
      <c r="K827" t="str">
        <f>IFERROR(VLOOKUP(J827,LUTs!$A$1:$C$73,2,FALSE),"NA")</f>
        <v>King</v>
      </c>
      <c r="L827" t="str">
        <f>IFERROR(VLOOKUP(J827,LUTs!$A$1:$C$73,3,FALSE),"NA")</f>
        <v>2Central Puget Sound</v>
      </c>
      <c r="M827" s="72" t="s">
        <v>18</v>
      </c>
      <c r="N827" t="str">
        <f>VLOOKUP(M827,LUTs!E$2:H$14,3,)</f>
        <v>06King</v>
      </c>
      <c r="O827" t="str">
        <f>VLOOKUP(M827,LUTs!E$2:H$14,4,)</f>
        <v>02South Puget Sound</v>
      </c>
      <c r="P827" s="73">
        <v>29</v>
      </c>
      <c r="Q827" s="74">
        <f>VLOOKUP(B827,Readme!A$40:C$51,2,)*P827</f>
        <v>250.85000000000002</v>
      </c>
    </row>
    <row r="828" spans="1:17" ht="12" customHeight="1" x14ac:dyDescent="0.35">
      <c r="A828" s="75">
        <v>827</v>
      </c>
      <c r="B828" s="64">
        <v>2012</v>
      </c>
      <c r="C828" s="64">
        <v>9</v>
      </c>
      <c r="D828" s="80">
        <f t="shared" si="27"/>
        <v>2012</v>
      </c>
      <c r="E828" t="s">
        <v>38</v>
      </c>
      <c r="F828" t="s">
        <v>143</v>
      </c>
      <c r="G828" t="s">
        <v>10</v>
      </c>
      <c r="H828" s="72" t="s">
        <v>207</v>
      </c>
      <c r="I828" s="72" t="s">
        <v>49</v>
      </c>
      <c r="J828" t="str">
        <f t="shared" si="28"/>
        <v>Lake Sammamish</v>
      </c>
      <c r="K828" t="str">
        <f>IFERROR(VLOOKUP(J828,LUTs!$A$1:$C$73,2,FALSE),"NA")</f>
        <v>King</v>
      </c>
      <c r="L828" t="str">
        <f>IFERROR(VLOOKUP(J828,LUTs!$A$1:$C$73,3,FALSE),"NA")</f>
        <v>2Central Puget Sound</v>
      </c>
      <c r="M828" s="72" t="s">
        <v>18</v>
      </c>
      <c r="N828" t="str">
        <f>VLOOKUP(M828,LUTs!E$2:H$14,3,)</f>
        <v>06King</v>
      </c>
      <c r="O828" t="str">
        <f>VLOOKUP(M828,LUTs!E$2:H$14,4,)</f>
        <v>02South Puget Sound</v>
      </c>
      <c r="P828" s="73">
        <v>140.6</v>
      </c>
      <c r="Q828" s="74">
        <f>VLOOKUP(B828,Readme!A$40:C$51,2,)*P828</f>
        <v>1216.19</v>
      </c>
    </row>
    <row r="829" spans="1:17" ht="12" customHeight="1" x14ac:dyDescent="0.35">
      <c r="A829" s="75">
        <v>828</v>
      </c>
      <c r="B829" s="64">
        <v>2012</v>
      </c>
      <c r="C829" s="64">
        <v>9</v>
      </c>
      <c r="D829" s="80">
        <f t="shared" si="27"/>
        <v>2012</v>
      </c>
      <c r="E829" t="s">
        <v>38</v>
      </c>
      <c r="F829" t="s">
        <v>143</v>
      </c>
      <c r="G829" t="s">
        <v>10</v>
      </c>
      <c r="H829" s="72" t="s">
        <v>207</v>
      </c>
      <c r="I829" s="72" t="s">
        <v>49</v>
      </c>
      <c r="J829" t="str">
        <f t="shared" si="28"/>
        <v>Lake Sammamish</v>
      </c>
      <c r="K829" t="str">
        <f>IFERROR(VLOOKUP(J829,LUTs!$A$1:$C$73,2,FALSE),"NA")</f>
        <v>King</v>
      </c>
      <c r="L829" t="str">
        <f>IFERROR(VLOOKUP(J829,LUTs!$A$1:$C$73,3,FALSE),"NA")</f>
        <v>2Central Puget Sound</v>
      </c>
      <c r="M829" s="72" t="s">
        <v>20</v>
      </c>
      <c r="N829" t="str">
        <f>VLOOKUP(M829,LUTs!E$2:H$14,3,)</f>
        <v>07Pierce</v>
      </c>
      <c r="O829" t="str">
        <f>VLOOKUP(M829,LUTs!E$2:H$14,4,)</f>
        <v>02South Puget Sound</v>
      </c>
      <c r="P829" s="73">
        <v>7.4</v>
      </c>
      <c r="Q829" s="74">
        <f>VLOOKUP(B829,Readme!A$40:C$51,2,)*P829</f>
        <v>64.010000000000005</v>
      </c>
    </row>
    <row r="830" spans="1:17" ht="12" customHeight="1" x14ac:dyDescent="0.35">
      <c r="A830" s="75">
        <v>829</v>
      </c>
      <c r="B830" s="64">
        <v>2012</v>
      </c>
      <c r="C830" s="64">
        <v>10</v>
      </c>
      <c r="D830" s="80">
        <f t="shared" si="27"/>
        <v>2012</v>
      </c>
      <c r="E830" t="s">
        <v>38</v>
      </c>
      <c r="F830" t="s">
        <v>143</v>
      </c>
      <c r="G830" t="s">
        <v>10</v>
      </c>
      <c r="H830" s="72" t="s">
        <v>207</v>
      </c>
      <c r="I830" s="72" t="s">
        <v>49</v>
      </c>
      <c r="J830" t="str">
        <f t="shared" si="28"/>
        <v>Lake Sammamish</v>
      </c>
      <c r="K830" t="str">
        <f>IFERROR(VLOOKUP(J830,LUTs!$A$1:$C$73,2,FALSE),"NA")</f>
        <v>King</v>
      </c>
      <c r="L830" t="str">
        <f>IFERROR(VLOOKUP(J830,LUTs!$A$1:$C$73,3,FALSE),"NA")</f>
        <v>2Central Puget Sound</v>
      </c>
      <c r="M830" s="72" t="s">
        <v>18</v>
      </c>
      <c r="N830" t="str">
        <f>VLOOKUP(M830,LUTs!E$2:H$14,3,)</f>
        <v>06King</v>
      </c>
      <c r="O830" t="str">
        <f>VLOOKUP(M830,LUTs!E$2:H$14,4,)</f>
        <v>02South Puget Sound</v>
      </c>
      <c r="P830" s="73">
        <v>51.625</v>
      </c>
      <c r="Q830" s="74">
        <f>VLOOKUP(B830,Readme!A$40:C$51,2,)*P830</f>
        <v>446.55625000000003</v>
      </c>
    </row>
    <row r="831" spans="1:17" ht="12" customHeight="1" x14ac:dyDescent="0.35">
      <c r="A831" s="75">
        <v>830</v>
      </c>
      <c r="B831" s="64">
        <v>2012</v>
      </c>
      <c r="C831" s="64">
        <v>10</v>
      </c>
      <c r="D831" s="80">
        <f t="shared" si="27"/>
        <v>2012</v>
      </c>
      <c r="E831" t="s">
        <v>38</v>
      </c>
      <c r="F831" t="s">
        <v>143</v>
      </c>
      <c r="G831" t="s">
        <v>10</v>
      </c>
      <c r="H831" s="72" t="s">
        <v>207</v>
      </c>
      <c r="I831" s="72" t="s">
        <v>49</v>
      </c>
      <c r="J831" t="str">
        <f t="shared" si="28"/>
        <v>Lake Sammamish</v>
      </c>
      <c r="K831" t="str">
        <f>IFERROR(VLOOKUP(J831,LUTs!$A$1:$C$73,2,FALSE),"NA")</f>
        <v>King</v>
      </c>
      <c r="L831" t="str">
        <f>IFERROR(VLOOKUP(J831,LUTs!$A$1:$C$73,3,FALSE),"NA")</f>
        <v>2Central Puget Sound</v>
      </c>
      <c r="M831" s="72" t="s">
        <v>16</v>
      </c>
      <c r="N831" t="str">
        <f>VLOOKUP(M831,LUTs!E$2:H$14,3,)</f>
        <v>03Snohomish</v>
      </c>
      <c r="O831" t="str">
        <f>VLOOKUP(M831,LUTs!E$2:H$14,4,)</f>
        <v>01North Puget Sound</v>
      </c>
      <c r="P831" s="73">
        <v>7.375</v>
      </c>
      <c r="Q831" s="74">
        <f>VLOOKUP(B831,Readme!A$40:C$51,2,)*P831</f>
        <v>63.793750000000003</v>
      </c>
    </row>
    <row r="832" spans="1:17" ht="12" customHeight="1" x14ac:dyDescent="0.35">
      <c r="A832" s="75">
        <v>831</v>
      </c>
      <c r="B832" s="64">
        <v>2012</v>
      </c>
      <c r="C832" s="64">
        <v>10</v>
      </c>
      <c r="D832" s="80">
        <f t="shared" si="27"/>
        <v>2012</v>
      </c>
      <c r="E832" t="s">
        <v>38</v>
      </c>
      <c r="F832" t="s">
        <v>143</v>
      </c>
      <c r="G832" t="s">
        <v>10</v>
      </c>
      <c r="H832" s="72" t="s">
        <v>208</v>
      </c>
      <c r="I832" s="72" t="s">
        <v>50</v>
      </c>
      <c r="J832" t="str">
        <f t="shared" si="28"/>
        <v>Minter Creek</v>
      </c>
      <c r="K832" t="str">
        <f>IFERROR(VLOOKUP(J832,LUTs!$A$1:$C$73,2,FALSE),"NA")</f>
        <v>Kitsap/Pierce</v>
      </c>
      <c r="L832" t="str">
        <f>IFERROR(VLOOKUP(J832,LUTs!$A$1:$C$73,3,FALSE),"NA")</f>
        <v>3South Puget Sound</v>
      </c>
      <c r="M832" s="72" t="s">
        <v>17</v>
      </c>
      <c r="N832" t="str">
        <f>VLOOKUP(M832,LUTs!E$2:H$14,3,)</f>
        <v>04Island</v>
      </c>
      <c r="O832" t="str">
        <f>VLOOKUP(M832,LUTs!E$2:H$14,4,)</f>
        <v>01North Puget Sound</v>
      </c>
      <c r="P832" s="73">
        <v>60.923076923076898</v>
      </c>
      <c r="Q832" s="74">
        <f>VLOOKUP(B832,Readme!A$40:C$51,2,)*P832</f>
        <v>526.98461538461515</v>
      </c>
    </row>
    <row r="833" spans="1:17" ht="12" customHeight="1" x14ac:dyDescent="0.35">
      <c r="A833" s="75">
        <v>832</v>
      </c>
      <c r="B833" s="64">
        <v>2012</v>
      </c>
      <c r="C833" s="64">
        <v>10</v>
      </c>
      <c r="D833" s="80">
        <f t="shared" si="27"/>
        <v>2012</v>
      </c>
      <c r="E833" t="s">
        <v>38</v>
      </c>
      <c r="F833" t="s">
        <v>143</v>
      </c>
      <c r="G833" t="s">
        <v>10</v>
      </c>
      <c r="H833" s="72" t="s">
        <v>208</v>
      </c>
      <c r="I833" s="72" t="s">
        <v>50</v>
      </c>
      <c r="J833" t="str">
        <f t="shared" si="28"/>
        <v>Minter Creek</v>
      </c>
      <c r="K833" t="str">
        <f>IFERROR(VLOOKUP(J833,LUTs!$A$1:$C$73,2,FALSE),"NA")</f>
        <v>Kitsap/Pierce</v>
      </c>
      <c r="L833" t="str">
        <f>IFERROR(VLOOKUP(J833,LUTs!$A$1:$C$73,3,FALSE),"NA")</f>
        <v>3South Puget Sound</v>
      </c>
      <c r="M833" s="72" t="s">
        <v>23</v>
      </c>
      <c r="N833" t="str">
        <f>VLOOKUP(M833,LUTs!E$2:H$14,3,)</f>
        <v>10Kitsap</v>
      </c>
      <c r="O833" t="str">
        <f>VLOOKUP(M833,LUTs!E$2:H$14,4,)</f>
        <v>02South Puget Sound</v>
      </c>
      <c r="P833" s="73">
        <v>38.076923076923102</v>
      </c>
      <c r="Q833" s="74">
        <f>VLOOKUP(B833,Readme!A$40:C$51,2,)*P833</f>
        <v>329.36538461538487</v>
      </c>
    </row>
    <row r="834" spans="1:17" ht="12" customHeight="1" x14ac:dyDescent="0.35">
      <c r="A834" s="75">
        <v>833</v>
      </c>
      <c r="B834" s="64">
        <v>2012</v>
      </c>
      <c r="C834" s="64">
        <v>11</v>
      </c>
      <c r="D834" s="80">
        <f t="shared" ref="D834:D897" si="29">IF(C834&gt;3,B834,B834-1)</f>
        <v>2012</v>
      </c>
      <c r="E834" t="s">
        <v>38</v>
      </c>
      <c r="F834" t="s">
        <v>143</v>
      </c>
      <c r="G834" t="s">
        <v>10</v>
      </c>
      <c r="H834" s="72" t="s">
        <v>208</v>
      </c>
      <c r="I834" s="72" t="s">
        <v>50</v>
      </c>
      <c r="J834" t="str">
        <f t="shared" si="28"/>
        <v>Minter Creek</v>
      </c>
      <c r="K834" t="str">
        <f>IFERROR(VLOOKUP(J834,LUTs!$A$1:$C$73,2,FALSE),"NA")</f>
        <v>Kitsap/Pierce</v>
      </c>
      <c r="L834" t="str">
        <f>IFERROR(VLOOKUP(J834,LUTs!$A$1:$C$73,3,FALSE),"NA")</f>
        <v>3South Puget Sound</v>
      </c>
      <c r="M834" s="72" t="s">
        <v>17</v>
      </c>
      <c r="N834" t="str">
        <f>VLOOKUP(M834,LUTs!E$2:H$14,3,)</f>
        <v>04Island</v>
      </c>
      <c r="O834" t="str">
        <f>VLOOKUP(M834,LUTs!E$2:H$14,4,)</f>
        <v>01North Puget Sound</v>
      </c>
      <c r="P834" s="73">
        <v>30.5945945945946</v>
      </c>
      <c r="Q834" s="74">
        <f>VLOOKUP(B834,Readme!A$40:C$51,2,)*P834</f>
        <v>264.64324324324332</v>
      </c>
    </row>
    <row r="835" spans="1:17" ht="12" customHeight="1" x14ac:dyDescent="0.35">
      <c r="A835" s="75">
        <v>834</v>
      </c>
      <c r="B835" s="64">
        <v>2012</v>
      </c>
      <c r="C835" s="64">
        <v>11</v>
      </c>
      <c r="D835" s="80">
        <f t="shared" si="29"/>
        <v>2012</v>
      </c>
      <c r="E835" t="s">
        <v>38</v>
      </c>
      <c r="F835" t="s">
        <v>143</v>
      </c>
      <c r="G835" t="s">
        <v>10</v>
      </c>
      <c r="H835" s="72" t="s">
        <v>208</v>
      </c>
      <c r="I835" s="72" t="s">
        <v>50</v>
      </c>
      <c r="J835" t="str">
        <f t="shared" ref="J835:J898" si="30">I835</f>
        <v>Minter Creek</v>
      </c>
      <c r="K835" t="str">
        <f>IFERROR(VLOOKUP(J835,LUTs!$A$1:$C$73,2,FALSE),"NA")</f>
        <v>Kitsap/Pierce</v>
      </c>
      <c r="L835" t="str">
        <f>IFERROR(VLOOKUP(J835,LUTs!$A$1:$C$73,3,FALSE),"NA")</f>
        <v>3South Puget Sound</v>
      </c>
      <c r="M835" s="72" t="s">
        <v>18</v>
      </c>
      <c r="N835" t="str">
        <f>VLOOKUP(M835,LUTs!E$2:H$14,3,)</f>
        <v>06King</v>
      </c>
      <c r="O835" t="str">
        <f>VLOOKUP(M835,LUTs!E$2:H$14,4,)</f>
        <v>02South Puget Sound</v>
      </c>
      <c r="P835" s="73">
        <v>1782.13513513514</v>
      </c>
      <c r="Q835" s="74">
        <f>VLOOKUP(B835,Readme!A$40:C$51,2,)*P835</f>
        <v>15415.468918918961</v>
      </c>
    </row>
    <row r="836" spans="1:17" ht="12" customHeight="1" x14ac:dyDescent="0.35">
      <c r="A836" s="75">
        <v>835</v>
      </c>
      <c r="B836" s="64">
        <v>2012</v>
      </c>
      <c r="C836" s="64">
        <v>11</v>
      </c>
      <c r="D836" s="80">
        <f t="shared" si="29"/>
        <v>2012</v>
      </c>
      <c r="E836" t="s">
        <v>38</v>
      </c>
      <c r="F836" t="s">
        <v>143</v>
      </c>
      <c r="G836" t="s">
        <v>10</v>
      </c>
      <c r="H836" s="72" t="s">
        <v>208</v>
      </c>
      <c r="I836" s="72" t="s">
        <v>50</v>
      </c>
      <c r="J836" t="str">
        <f t="shared" si="30"/>
        <v>Minter Creek</v>
      </c>
      <c r="K836" t="str">
        <f>IFERROR(VLOOKUP(J836,LUTs!$A$1:$C$73,2,FALSE),"NA")</f>
        <v>Kitsap/Pierce</v>
      </c>
      <c r="L836" t="str">
        <f>IFERROR(VLOOKUP(J836,LUTs!$A$1:$C$73,3,FALSE),"NA")</f>
        <v>3South Puget Sound</v>
      </c>
      <c r="M836" s="72" t="s">
        <v>23</v>
      </c>
      <c r="N836" t="str">
        <f>VLOOKUP(M836,LUTs!E$2:H$14,3,)</f>
        <v>10Kitsap</v>
      </c>
      <c r="O836" t="str">
        <f>VLOOKUP(M836,LUTs!E$2:H$14,4,)</f>
        <v>02South Puget Sound</v>
      </c>
      <c r="P836" s="73">
        <v>229.45945945945999</v>
      </c>
      <c r="Q836" s="74">
        <f>VLOOKUP(B836,Readme!A$40:C$51,2,)*P836</f>
        <v>1984.8243243243289</v>
      </c>
    </row>
    <row r="837" spans="1:17" ht="12" customHeight="1" x14ac:dyDescent="0.35">
      <c r="A837" s="75">
        <v>836</v>
      </c>
      <c r="B837" s="64">
        <v>2012</v>
      </c>
      <c r="C837" s="64">
        <v>11</v>
      </c>
      <c r="D837" s="80">
        <f t="shared" si="29"/>
        <v>2012</v>
      </c>
      <c r="E837" t="s">
        <v>38</v>
      </c>
      <c r="F837" t="s">
        <v>143</v>
      </c>
      <c r="G837" t="s">
        <v>10</v>
      </c>
      <c r="H837" s="72" t="s">
        <v>208</v>
      </c>
      <c r="I837" s="72" t="s">
        <v>50</v>
      </c>
      <c r="J837" t="str">
        <f t="shared" si="30"/>
        <v>Minter Creek</v>
      </c>
      <c r="K837" t="str">
        <f>IFERROR(VLOOKUP(J837,LUTs!$A$1:$C$73,2,FALSE),"NA")</f>
        <v>Kitsap/Pierce</v>
      </c>
      <c r="L837" t="str">
        <f>IFERROR(VLOOKUP(J837,LUTs!$A$1:$C$73,3,FALSE),"NA")</f>
        <v>3South Puget Sound</v>
      </c>
      <c r="M837" s="72" t="s">
        <v>22</v>
      </c>
      <c r="N837" t="str">
        <f>VLOOKUP(M837,LUTs!E$2:H$14,3,)</f>
        <v>09Mason</v>
      </c>
      <c r="O837" t="str">
        <f>VLOOKUP(M837,LUTs!E$2:H$14,4,)</f>
        <v>02South Puget Sound</v>
      </c>
      <c r="P837" s="73">
        <v>107.081081081081</v>
      </c>
      <c r="Q837" s="74">
        <f>VLOOKUP(B837,Readme!A$40:C$51,2,)*P837</f>
        <v>926.25135135135065</v>
      </c>
    </row>
    <row r="838" spans="1:17" ht="12" customHeight="1" x14ac:dyDescent="0.35">
      <c r="A838" s="75">
        <v>837</v>
      </c>
      <c r="B838" s="64">
        <v>2012</v>
      </c>
      <c r="C838" s="64">
        <v>11</v>
      </c>
      <c r="D838" s="80">
        <f t="shared" si="29"/>
        <v>2012</v>
      </c>
      <c r="E838" t="s">
        <v>38</v>
      </c>
      <c r="F838" t="s">
        <v>143</v>
      </c>
      <c r="G838" t="s">
        <v>10</v>
      </c>
      <c r="H838" s="72" t="s">
        <v>208</v>
      </c>
      <c r="I838" s="72" t="s">
        <v>50</v>
      </c>
      <c r="J838" t="str">
        <f t="shared" si="30"/>
        <v>Minter Creek</v>
      </c>
      <c r="K838" t="str">
        <f>IFERROR(VLOOKUP(J838,LUTs!$A$1:$C$73,2,FALSE),"NA")</f>
        <v>Kitsap/Pierce</v>
      </c>
      <c r="L838" t="str">
        <f>IFERROR(VLOOKUP(J838,LUTs!$A$1:$C$73,3,FALSE),"NA")</f>
        <v>3South Puget Sound</v>
      </c>
      <c r="M838" s="72" t="s">
        <v>26</v>
      </c>
      <c r="N838" t="str">
        <f>VLOOKUP(M838,LUTs!E$2:H$14,3,)</f>
        <v>20Other</v>
      </c>
      <c r="O838" t="str">
        <f>VLOOKUP(M838,LUTs!E$2:H$14,4,)</f>
        <v>07Non Puget Sound</v>
      </c>
      <c r="P838" s="73">
        <v>130.027027027027</v>
      </c>
      <c r="Q838" s="74">
        <f>VLOOKUP(B838,Readme!A$40:C$51,2,)*P838</f>
        <v>1124.7337837837836</v>
      </c>
    </row>
    <row r="839" spans="1:17" ht="12" customHeight="1" x14ac:dyDescent="0.35">
      <c r="A839" s="75">
        <v>838</v>
      </c>
      <c r="B839" s="64">
        <v>2012</v>
      </c>
      <c r="C839" s="64">
        <v>11</v>
      </c>
      <c r="D839" s="80">
        <f t="shared" si="29"/>
        <v>2012</v>
      </c>
      <c r="E839" t="s">
        <v>38</v>
      </c>
      <c r="F839" t="s">
        <v>143</v>
      </c>
      <c r="G839" t="s">
        <v>10</v>
      </c>
      <c r="H839" s="72" t="s">
        <v>208</v>
      </c>
      <c r="I839" s="72" t="s">
        <v>50</v>
      </c>
      <c r="J839" t="str">
        <f t="shared" si="30"/>
        <v>Minter Creek</v>
      </c>
      <c r="K839" t="str">
        <f>IFERROR(VLOOKUP(J839,LUTs!$A$1:$C$73,2,FALSE),"NA")</f>
        <v>Kitsap/Pierce</v>
      </c>
      <c r="L839" t="str">
        <f>IFERROR(VLOOKUP(J839,LUTs!$A$1:$C$73,3,FALSE),"NA")</f>
        <v>3South Puget Sound</v>
      </c>
      <c r="M839" s="72" t="s">
        <v>20</v>
      </c>
      <c r="N839" t="str">
        <f>VLOOKUP(M839,LUTs!E$2:H$14,3,)</f>
        <v>07Pierce</v>
      </c>
      <c r="O839" t="str">
        <f>VLOOKUP(M839,LUTs!E$2:H$14,4,)</f>
        <v>02South Puget Sound</v>
      </c>
      <c r="P839" s="73">
        <v>1965.7027027027</v>
      </c>
      <c r="Q839" s="74">
        <f>VLOOKUP(B839,Readme!A$40:C$51,2,)*P839</f>
        <v>17003.328378378355</v>
      </c>
    </row>
    <row r="840" spans="1:17" ht="12" customHeight="1" x14ac:dyDescent="0.35">
      <c r="A840" s="75">
        <v>839</v>
      </c>
      <c r="B840" s="64">
        <v>2012</v>
      </c>
      <c r="C840" s="64">
        <v>11</v>
      </c>
      <c r="D840" s="80">
        <f t="shared" si="29"/>
        <v>2012</v>
      </c>
      <c r="E840" t="s">
        <v>38</v>
      </c>
      <c r="F840" t="s">
        <v>143</v>
      </c>
      <c r="G840" t="s">
        <v>10</v>
      </c>
      <c r="H840" s="72" t="s">
        <v>208</v>
      </c>
      <c r="I840" s="72" t="s">
        <v>50</v>
      </c>
      <c r="J840" t="str">
        <f t="shared" si="30"/>
        <v>Minter Creek</v>
      </c>
      <c r="K840" t="str">
        <f>IFERROR(VLOOKUP(J840,LUTs!$A$1:$C$73,2,FALSE),"NA")</f>
        <v>Kitsap/Pierce</v>
      </c>
      <c r="L840" t="str">
        <f>IFERROR(VLOOKUP(J840,LUTs!$A$1:$C$73,3,FALSE),"NA")</f>
        <v>3South Puget Sound</v>
      </c>
      <c r="M840" s="72" t="s">
        <v>16</v>
      </c>
      <c r="N840" t="str">
        <f>VLOOKUP(M840,LUTs!E$2:H$14,3,)</f>
        <v>03Snohomish</v>
      </c>
      <c r="O840" t="str">
        <f>VLOOKUP(M840,LUTs!E$2:H$14,4,)</f>
        <v>01North Puget Sound</v>
      </c>
      <c r="P840" s="73">
        <v>168.27027027027</v>
      </c>
      <c r="Q840" s="74">
        <f>VLOOKUP(B840,Readme!A$40:C$51,2,)*P840</f>
        <v>1455.5378378378357</v>
      </c>
    </row>
    <row r="841" spans="1:17" ht="12" customHeight="1" x14ac:dyDescent="0.35">
      <c r="A841" s="75">
        <v>840</v>
      </c>
      <c r="B841" s="64">
        <v>2012</v>
      </c>
      <c r="C841" s="64">
        <v>11</v>
      </c>
      <c r="D841" s="80">
        <f t="shared" si="29"/>
        <v>2012</v>
      </c>
      <c r="E841" t="s">
        <v>38</v>
      </c>
      <c r="F841" t="s">
        <v>143</v>
      </c>
      <c r="G841" t="s">
        <v>10</v>
      </c>
      <c r="H841" s="72" t="s">
        <v>208</v>
      </c>
      <c r="I841" s="72" t="s">
        <v>50</v>
      </c>
      <c r="J841" t="str">
        <f t="shared" si="30"/>
        <v>Minter Creek</v>
      </c>
      <c r="K841" t="str">
        <f>IFERROR(VLOOKUP(J841,LUTs!$A$1:$C$73,2,FALSE),"NA")</f>
        <v>Kitsap/Pierce</v>
      </c>
      <c r="L841" t="str">
        <f>IFERROR(VLOOKUP(J841,LUTs!$A$1:$C$73,3,FALSE),"NA")</f>
        <v>3South Puget Sound</v>
      </c>
      <c r="M841" s="72" t="s">
        <v>21</v>
      </c>
      <c r="N841" t="str">
        <f>VLOOKUP(M841,LUTs!E$2:H$14,3,)</f>
        <v>08Thurston</v>
      </c>
      <c r="O841" t="str">
        <f>VLOOKUP(M841,LUTs!E$2:H$14,4,)</f>
        <v>02South Puget Sound</v>
      </c>
      <c r="P841" s="73">
        <v>114.72972972973</v>
      </c>
      <c r="Q841" s="74">
        <f>VLOOKUP(B841,Readme!A$40:C$51,2,)*P841</f>
        <v>992.41216216216446</v>
      </c>
    </row>
    <row r="842" spans="1:17" ht="12" customHeight="1" x14ac:dyDescent="0.35">
      <c r="A842" s="75">
        <v>841</v>
      </c>
      <c r="B842" s="64">
        <v>2012</v>
      </c>
      <c r="C842" s="64">
        <v>12</v>
      </c>
      <c r="D842" s="80">
        <f t="shared" si="29"/>
        <v>2012</v>
      </c>
      <c r="E842" t="s">
        <v>38</v>
      </c>
      <c r="F842" t="s">
        <v>143</v>
      </c>
      <c r="G842" t="s">
        <v>10</v>
      </c>
      <c r="H842" s="72" t="s">
        <v>208</v>
      </c>
      <c r="I842" s="72" t="s">
        <v>50</v>
      </c>
      <c r="J842" t="str">
        <f t="shared" si="30"/>
        <v>Minter Creek</v>
      </c>
      <c r="K842" t="str">
        <f>IFERROR(VLOOKUP(J842,LUTs!$A$1:$C$73,2,FALSE),"NA")</f>
        <v>Kitsap/Pierce</v>
      </c>
      <c r="L842" t="str">
        <f>IFERROR(VLOOKUP(J842,LUTs!$A$1:$C$73,3,FALSE),"NA")</f>
        <v>3South Puget Sound</v>
      </c>
      <c r="M842" s="72" t="s">
        <v>18</v>
      </c>
      <c r="N842" t="str">
        <f>VLOOKUP(M842,LUTs!E$2:H$14,3,)</f>
        <v>06King</v>
      </c>
      <c r="O842" t="str">
        <f>VLOOKUP(M842,LUTs!E$2:H$14,4,)</f>
        <v>02South Puget Sound</v>
      </c>
      <c r="P842" s="73">
        <v>520.02564102564099</v>
      </c>
      <c r="Q842" s="74">
        <f>VLOOKUP(B842,Readme!A$40:C$51,2,)*P842</f>
        <v>4498.2217948717944</v>
      </c>
    </row>
    <row r="843" spans="1:17" ht="12" customHeight="1" x14ac:dyDescent="0.35">
      <c r="A843" s="75">
        <v>842</v>
      </c>
      <c r="B843" s="64">
        <v>2012</v>
      </c>
      <c r="C843" s="64">
        <v>12</v>
      </c>
      <c r="D843" s="80">
        <f t="shared" si="29"/>
        <v>2012</v>
      </c>
      <c r="E843" t="s">
        <v>38</v>
      </c>
      <c r="F843" t="s">
        <v>143</v>
      </c>
      <c r="G843" t="s">
        <v>10</v>
      </c>
      <c r="H843" s="72" t="s">
        <v>208</v>
      </c>
      <c r="I843" s="72" t="s">
        <v>50</v>
      </c>
      <c r="J843" t="str">
        <f t="shared" si="30"/>
        <v>Minter Creek</v>
      </c>
      <c r="K843" t="str">
        <f>IFERROR(VLOOKUP(J843,LUTs!$A$1:$C$73,2,FALSE),"NA")</f>
        <v>Kitsap/Pierce</v>
      </c>
      <c r="L843" t="str">
        <f>IFERROR(VLOOKUP(J843,LUTs!$A$1:$C$73,3,FALSE),"NA")</f>
        <v>3South Puget Sound</v>
      </c>
      <c r="M843" s="72" t="s">
        <v>23</v>
      </c>
      <c r="N843" t="str">
        <f>VLOOKUP(M843,LUTs!E$2:H$14,3,)</f>
        <v>10Kitsap</v>
      </c>
      <c r="O843" t="str">
        <f>VLOOKUP(M843,LUTs!E$2:H$14,4,)</f>
        <v>02South Puget Sound</v>
      </c>
      <c r="P843" s="73">
        <v>45.884615384615401</v>
      </c>
      <c r="Q843" s="74">
        <f>VLOOKUP(B843,Readme!A$40:C$51,2,)*P843</f>
        <v>396.90192307692325</v>
      </c>
    </row>
    <row r="844" spans="1:17" ht="12" customHeight="1" x14ac:dyDescent="0.35">
      <c r="A844" s="75">
        <v>843</v>
      </c>
      <c r="B844" s="64">
        <v>2012</v>
      </c>
      <c r="C844" s="64">
        <v>12</v>
      </c>
      <c r="D844" s="80">
        <f t="shared" si="29"/>
        <v>2012</v>
      </c>
      <c r="E844" t="s">
        <v>38</v>
      </c>
      <c r="F844" t="s">
        <v>143</v>
      </c>
      <c r="G844" t="s">
        <v>10</v>
      </c>
      <c r="H844" s="72" t="s">
        <v>208</v>
      </c>
      <c r="I844" s="72" t="s">
        <v>50</v>
      </c>
      <c r="J844" t="str">
        <f t="shared" si="30"/>
        <v>Minter Creek</v>
      </c>
      <c r="K844" t="str">
        <f>IFERROR(VLOOKUP(J844,LUTs!$A$1:$C$73,2,FALSE),"NA")</f>
        <v>Kitsap/Pierce</v>
      </c>
      <c r="L844" t="str">
        <f>IFERROR(VLOOKUP(J844,LUTs!$A$1:$C$73,3,FALSE),"NA")</f>
        <v>3South Puget Sound</v>
      </c>
      <c r="M844" s="72" t="s">
        <v>22</v>
      </c>
      <c r="N844" t="str">
        <f>VLOOKUP(M844,LUTs!E$2:H$14,3,)</f>
        <v>09Mason</v>
      </c>
      <c r="O844" t="str">
        <f>VLOOKUP(M844,LUTs!E$2:H$14,4,)</f>
        <v>02South Puget Sound</v>
      </c>
      <c r="P844" s="73">
        <v>53.532051282051299</v>
      </c>
      <c r="Q844" s="74">
        <f>VLOOKUP(B844,Readme!A$40:C$51,2,)*P844</f>
        <v>463.05224358974374</v>
      </c>
    </row>
    <row r="845" spans="1:17" ht="12" customHeight="1" x14ac:dyDescent="0.35">
      <c r="A845" s="75">
        <v>844</v>
      </c>
      <c r="B845" s="64">
        <v>2012</v>
      </c>
      <c r="C845" s="64">
        <v>12</v>
      </c>
      <c r="D845" s="80">
        <f t="shared" si="29"/>
        <v>2012</v>
      </c>
      <c r="E845" t="s">
        <v>38</v>
      </c>
      <c r="F845" t="s">
        <v>143</v>
      </c>
      <c r="G845" t="s">
        <v>10</v>
      </c>
      <c r="H845" s="72" t="s">
        <v>208</v>
      </c>
      <c r="I845" s="72" t="s">
        <v>50</v>
      </c>
      <c r="J845" t="str">
        <f t="shared" si="30"/>
        <v>Minter Creek</v>
      </c>
      <c r="K845" t="str">
        <f>IFERROR(VLOOKUP(J845,LUTs!$A$1:$C$73,2,FALSE),"NA")</f>
        <v>Kitsap/Pierce</v>
      </c>
      <c r="L845" t="str">
        <f>IFERROR(VLOOKUP(J845,LUTs!$A$1:$C$73,3,FALSE),"NA")</f>
        <v>3South Puget Sound</v>
      </c>
      <c r="M845" s="72" t="s">
        <v>26</v>
      </c>
      <c r="N845" t="str">
        <f>VLOOKUP(M845,LUTs!E$2:H$14,3,)</f>
        <v>20Other</v>
      </c>
      <c r="O845" t="str">
        <f>VLOOKUP(M845,LUTs!E$2:H$14,4,)</f>
        <v>07Non Puget Sound</v>
      </c>
      <c r="P845" s="73">
        <v>137.65384615384599</v>
      </c>
      <c r="Q845" s="74">
        <f>VLOOKUP(B845,Readme!A$40:C$51,2,)*P845</f>
        <v>1190.7057692307678</v>
      </c>
    </row>
    <row r="846" spans="1:17" ht="12" customHeight="1" x14ac:dyDescent="0.35">
      <c r="A846" s="75">
        <v>845</v>
      </c>
      <c r="B846" s="64">
        <v>2012</v>
      </c>
      <c r="C846" s="64">
        <v>12</v>
      </c>
      <c r="D846" s="80">
        <f t="shared" si="29"/>
        <v>2012</v>
      </c>
      <c r="E846" t="s">
        <v>38</v>
      </c>
      <c r="F846" t="s">
        <v>143</v>
      </c>
      <c r="G846" t="s">
        <v>10</v>
      </c>
      <c r="H846" s="72" t="s">
        <v>208</v>
      </c>
      <c r="I846" s="72" t="s">
        <v>50</v>
      </c>
      <c r="J846" t="str">
        <f t="shared" si="30"/>
        <v>Minter Creek</v>
      </c>
      <c r="K846" t="str">
        <f>IFERROR(VLOOKUP(J846,LUTs!$A$1:$C$73,2,FALSE),"NA")</f>
        <v>Kitsap/Pierce</v>
      </c>
      <c r="L846" t="str">
        <f>IFERROR(VLOOKUP(J846,LUTs!$A$1:$C$73,3,FALSE),"NA")</f>
        <v>3South Puget Sound</v>
      </c>
      <c r="M846" s="72" t="s">
        <v>20</v>
      </c>
      <c r="N846" t="str">
        <f>VLOOKUP(M846,LUTs!E$2:H$14,3,)</f>
        <v>07Pierce</v>
      </c>
      <c r="O846" t="str">
        <f>VLOOKUP(M846,LUTs!E$2:H$14,4,)</f>
        <v>02South Puget Sound</v>
      </c>
      <c r="P846" s="73">
        <v>397.66666666666703</v>
      </c>
      <c r="Q846" s="74">
        <f>VLOOKUP(B846,Readme!A$40:C$51,2,)*P846</f>
        <v>3439.8166666666698</v>
      </c>
    </row>
    <row r="847" spans="1:17" ht="12" customHeight="1" x14ac:dyDescent="0.35">
      <c r="A847" s="75">
        <v>846</v>
      </c>
      <c r="B847" s="64">
        <v>2012</v>
      </c>
      <c r="C847" s="64">
        <v>12</v>
      </c>
      <c r="D847" s="80">
        <f t="shared" si="29"/>
        <v>2012</v>
      </c>
      <c r="E847" t="s">
        <v>38</v>
      </c>
      <c r="F847" t="s">
        <v>143</v>
      </c>
      <c r="G847" t="s">
        <v>10</v>
      </c>
      <c r="H847" s="72" t="s">
        <v>208</v>
      </c>
      <c r="I847" s="72" t="s">
        <v>50</v>
      </c>
      <c r="J847" t="str">
        <f t="shared" si="30"/>
        <v>Minter Creek</v>
      </c>
      <c r="K847" t="str">
        <f>IFERROR(VLOOKUP(J847,LUTs!$A$1:$C$73,2,FALSE),"NA")</f>
        <v>Kitsap/Pierce</v>
      </c>
      <c r="L847" t="str">
        <f>IFERROR(VLOOKUP(J847,LUTs!$A$1:$C$73,3,FALSE),"NA")</f>
        <v>3South Puget Sound</v>
      </c>
      <c r="M847" s="72" t="s">
        <v>21</v>
      </c>
      <c r="N847" t="str">
        <f>VLOOKUP(M847,LUTs!E$2:H$14,3,)</f>
        <v>08Thurston</v>
      </c>
      <c r="O847" t="str">
        <f>VLOOKUP(M847,LUTs!E$2:H$14,4,)</f>
        <v>02South Puget Sound</v>
      </c>
      <c r="P847" s="73">
        <v>38.237179487179503</v>
      </c>
      <c r="Q847" s="74">
        <f>VLOOKUP(B847,Readme!A$40:C$51,2,)*P847</f>
        <v>330.75160256410271</v>
      </c>
    </row>
    <row r="848" spans="1:17" ht="12" customHeight="1" x14ac:dyDescent="0.35">
      <c r="A848" s="75">
        <v>847</v>
      </c>
      <c r="B848" s="64">
        <v>2012</v>
      </c>
      <c r="C848" s="64">
        <v>7</v>
      </c>
      <c r="D848" s="80">
        <f t="shared" si="29"/>
        <v>2012</v>
      </c>
      <c r="E848" t="s">
        <v>38</v>
      </c>
      <c r="F848" t="s">
        <v>143</v>
      </c>
      <c r="G848" t="s">
        <v>10</v>
      </c>
      <c r="H848" s="72" t="s">
        <v>209</v>
      </c>
      <c r="I848" s="72" t="s">
        <v>51</v>
      </c>
      <c r="J848" t="str">
        <f t="shared" si="30"/>
        <v>Nisqually River</v>
      </c>
      <c r="K848" t="str">
        <f>IFERROR(VLOOKUP(J848,LUTs!$A$1:$C$73,2,FALSE),"NA")</f>
        <v>Thurston/Pierce</v>
      </c>
      <c r="L848" t="str">
        <f>IFERROR(VLOOKUP(J848,LUTs!$A$1:$C$73,3,FALSE),"NA")</f>
        <v>3South Puget Sound</v>
      </c>
      <c r="M848" s="72" t="s">
        <v>21</v>
      </c>
      <c r="N848" t="str">
        <f>VLOOKUP(M848,LUTs!E$2:H$14,3,)</f>
        <v>08Thurston</v>
      </c>
      <c r="O848" t="str">
        <f>VLOOKUP(M848,LUTs!E$2:H$14,4,)</f>
        <v>02South Puget Sound</v>
      </c>
      <c r="P848" s="73">
        <v>7</v>
      </c>
      <c r="Q848" s="74">
        <f>VLOOKUP(B848,Readme!A$40:C$51,2,)*P848</f>
        <v>60.550000000000004</v>
      </c>
    </row>
    <row r="849" spans="1:17" ht="12" customHeight="1" x14ac:dyDescent="0.35">
      <c r="A849" s="75">
        <v>848</v>
      </c>
      <c r="B849" s="64">
        <v>2012</v>
      </c>
      <c r="C849" s="64">
        <v>8</v>
      </c>
      <c r="D849" s="80">
        <f t="shared" si="29"/>
        <v>2012</v>
      </c>
      <c r="E849" t="s">
        <v>38</v>
      </c>
      <c r="F849" t="s">
        <v>143</v>
      </c>
      <c r="G849" t="s">
        <v>10</v>
      </c>
      <c r="H849" s="72" t="s">
        <v>209</v>
      </c>
      <c r="I849" s="72" t="s">
        <v>51</v>
      </c>
      <c r="J849" t="str">
        <f t="shared" si="30"/>
        <v>Nisqually River</v>
      </c>
      <c r="K849" t="str">
        <f>IFERROR(VLOOKUP(J849,LUTs!$A$1:$C$73,2,FALSE),"NA")</f>
        <v>Thurston/Pierce</v>
      </c>
      <c r="L849" t="str">
        <f>IFERROR(VLOOKUP(J849,LUTs!$A$1:$C$73,3,FALSE),"NA")</f>
        <v>3South Puget Sound</v>
      </c>
      <c r="M849" s="72" t="s">
        <v>18</v>
      </c>
      <c r="N849" t="str">
        <f>VLOOKUP(M849,LUTs!E$2:H$14,3,)</f>
        <v>06King</v>
      </c>
      <c r="O849" t="str">
        <f>VLOOKUP(M849,LUTs!E$2:H$14,4,)</f>
        <v>02South Puget Sound</v>
      </c>
      <c r="P849" s="73">
        <v>7.2987012987012996</v>
      </c>
      <c r="Q849" s="74">
        <f>VLOOKUP(B849,Readme!A$40:C$51,2,)*P849</f>
        <v>63.133766233766245</v>
      </c>
    </row>
    <row r="850" spans="1:17" ht="12" customHeight="1" x14ac:dyDescent="0.35">
      <c r="A850" s="75">
        <v>849</v>
      </c>
      <c r="B850" s="64">
        <v>2012</v>
      </c>
      <c r="C850" s="64">
        <v>8</v>
      </c>
      <c r="D850" s="80">
        <f t="shared" si="29"/>
        <v>2012</v>
      </c>
      <c r="E850" t="s">
        <v>38</v>
      </c>
      <c r="F850" t="s">
        <v>143</v>
      </c>
      <c r="G850" t="s">
        <v>10</v>
      </c>
      <c r="H850" s="72" t="s">
        <v>209</v>
      </c>
      <c r="I850" s="72" t="s">
        <v>51</v>
      </c>
      <c r="J850" t="str">
        <f t="shared" si="30"/>
        <v>Nisqually River</v>
      </c>
      <c r="K850" t="str">
        <f>IFERROR(VLOOKUP(J850,LUTs!$A$1:$C$73,2,FALSE),"NA")</f>
        <v>Thurston/Pierce</v>
      </c>
      <c r="L850" t="str">
        <f>IFERROR(VLOOKUP(J850,LUTs!$A$1:$C$73,3,FALSE),"NA")</f>
        <v>3South Puget Sound</v>
      </c>
      <c r="M850" s="72" t="s">
        <v>22</v>
      </c>
      <c r="N850" t="str">
        <f>VLOOKUP(M850,LUTs!E$2:H$14,3,)</f>
        <v>09Mason</v>
      </c>
      <c r="O850" t="str">
        <f>VLOOKUP(M850,LUTs!E$2:H$14,4,)</f>
        <v>02South Puget Sound</v>
      </c>
      <c r="P850" s="73">
        <v>21.896103896103899</v>
      </c>
      <c r="Q850" s="74">
        <f>VLOOKUP(B850,Readme!A$40:C$51,2,)*P850</f>
        <v>189.40129870129874</v>
      </c>
    </row>
    <row r="851" spans="1:17" ht="12" customHeight="1" x14ac:dyDescent="0.35">
      <c r="A851" s="75">
        <v>850</v>
      </c>
      <c r="B851" s="64">
        <v>2012</v>
      </c>
      <c r="C851" s="64">
        <v>8</v>
      </c>
      <c r="D851" s="80">
        <f t="shared" si="29"/>
        <v>2012</v>
      </c>
      <c r="E851" t="s">
        <v>38</v>
      </c>
      <c r="F851" t="s">
        <v>143</v>
      </c>
      <c r="G851" t="s">
        <v>10</v>
      </c>
      <c r="H851" s="72" t="s">
        <v>209</v>
      </c>
      <c r="I851" s="72" t="s">
        <v>51</v>
      </c>
      <c r="J851" t="str">
        <f t="shared" si="30"/>
        <v>Nisqually River</v>
      </c>
      <c r="K851" t="str">
        <f>IFERROR(VLOOKUP(J851,LUTs!$A$1:$C$73,2,FALSE),"NA")</f>
        <v>Thurston/Pierce</v>
      </c>
      <c r="L851" t="str">
        <f>IFERROR(VLOOKUP(J851,LUTs!$A$1:$C$73,3,FALSE),"NA")</f>
        <v>3South Puget Sound</v>
      </c>
      <c r="M851" s="72" t="s">
        <v>26</v>
      </c>
      <c r="N851" t="str">
        <f>VLOOKUP(M851,LUTs!E$2:H$14,3,)</f>
        <v>20Other</v>
      </c>
      <c r="O851" t="str">
        <f>VLOOKUP(M851,LUTs!E$2:H$14,4,)</f>
        <v>07Non Puget Sound</v>
      </c>
      <c r="P851" s="73">
        <v>51.090909090909101</v>
      </c>
      <c r="Q851" s="74">
        <f>VLOOKUP(B851,Readme!A$40:C$51,2,)*P851</f>
        <v>441.93636363636375</v>
      </c>
    </row>
    <row r="852" spans="1:17" ht="12" customHeight="1" x14ac:dyDescent="0.35">
      <c r="A852" s="75">
        <v>851</v>
      </c>
      <c r="B852" s="64">
        <v>2012</v>
      </c>
      <c r="C852" s="64">
        <v>8</v>
      </c>
      <c r="D852" s="80">
        <f t="shared" si="29"/>
        <v>2012</v>
      </c>
      <c r="E852" t="s">
        <v>38</v>
      </c>
      <c r="F852" t="s">
        <v>143</v>
      </c>
      <c r="G852" t="s">
        <v>10</v>
      </c>
      <c r="H852" s="72" t="s">
        <v>209</v>
      </c>
      <c r="I852" s="72" t="s">
        <v>51</v>
      </c>
      <c r="J852" t="str">
        <f t="shared" si="30"/>
        <v>Nisqually River</v>
      </c>
      <c r="K852" t="str">
        <f>IFERROR(VLOOKUP(J852,LUTs!$A$1:$C$73,2,FALSE),"NA")</f>
        <v>Thurston/Pierce</v>
      </c>
      <c r="L852" t="str">
        <f>IFERROR(VLOOKUP(J852,LUTs!$A$1:$C$73,3,FALSE),"NA")</f>
        <v>3South Puget Sound</v>
      </c>
      <c r="M852" s="72" t="s">
        <v>20</v>
      </c>
      <c r="N852" t="str">
        <f>VLOOKUP(M852,LUTs!E$2:H$14,3,)</f>
        <v>07Pierce</v>
      </c>
      <c r="O852" t="str">
        <f>VLOOKUP(M852,LUTs!E$2:H$14,4,)</f>
        <v>02South Puget Sound</v>
      </c>
      <c r="P852" s="73">
        <v>226.25974025974</v>
      </c>
      <c r="Q852" s="74">
        <f>VLOOKUP(B852,Readme!A$40:C$51,2,)*P852</f>
        <v>1957.1467532467511</v>
      </c>
    </row>
    <row r="853" spans="1:17" ht="12" customHeight="1" x14ac:dyDescent="0.35">
      <c r="A853" s="75">
        <v>852</v>
      </c>
      <c r="B853" s="64">
        <v>2012</v>
      </c>
      <c r="C853" s="64">
        <v>8</v>
      </c>
      <c r="D853" s="80">
        <f t="shared" si="29"/>
        <v>2012</v>
      </c>
      <c r="E853" t="s">
        <v>38</v>
      </c>
      <c r="F853" t="s">
        <v>143</v>
      </c>
      <c r="G853" t="s">
        <v>10</v>
      </c>
      <c r="H853" s="72" t="s">
        <v>209</v>
      </c>
      <c r="I853" s="72" t="s">
        <v>51</v>
      </c>
      <c r="J853" t="str">
        <f t="shared" si="30"/>
        <v>Nisqually River</v>
      </c>
      <c r="K853" t="str">
        <f>IFERROR(VLOOKUP(J853,LUTs!$A$1:$C$73,2,FALSE),"NA")</f>
        <v>Thurston/Pierce</v>
      </c>
      <c r="L853" t="str">
        <f>IFERROR(VLOOKUP(J853,LUTs!$A$1:$C$73,3,FALSE),"NA")</f>
        <v>3South Puget Sound</v>
      </c>
      <c r="M853" s="72" t="s">
        <v>16</v>
      </c>
      <c r="N853" t="str">
        <f>VLOOKUP(M853,LUTs!E$2:H$14,3,)</f>
        <v>03Snohomish</v>
      </c>
      <c r="O853" t="str">
        <f>VLOOKUP(M853,LUTs!E$2:H$14,4,)</f>
        <v>01North Puget Sound</v>
      </c>
      <c r="P853" s="73">
        <v>29.194805194805198</v>
      </c>
      <c r="Q853" s="74">
        <f>VLOOKUP(B853,Readme!A$40:C$51,2,)*P853</f>
        <v>252.53506493506498</v>
      </c>
    </row>
    <row r="854" spans="1:17" ht="12" customHeight="1" x14ac:dyDescent="0.35">
      <c r="A854" s="75">
        <v>853</v>
      </c>
      <c r="B854" s="64">
        <v>2012</v>
      </c>
      <c r="C854" s="64">
        <v>8</v>
      </c>
      <c r="D854" s="80">
        <f t="shared" si="29"/>
        <v>2012</v>
      </c>
      <c r="E854" t="s">
        <v>38</v>
      </c>
      <c r="F854" t="s">
        <v>143</v>
      </c>
      <c r="G854" t="s">
        <v>10</v>
      </c>
      <c r="H854" s="72" t="s">
        <v>209</v>
      </c>
      <c r="I854" s="72" t="s">
        <v>51</v>
      </c>
      <c r="J854" t="str">
        <f t="shared" si="30"/>
        <v>Nisqually River</v>
      </c>
      <c r="K854" t="str">
        <f>IFERROR(VLOOKUP(J854,LUTs!$A$1:$C$73,2,FALSE),"NA")</f>
        <v>Thurston/Pierce</v>
      </c>
      <c r="L854" t="str">
        <f>IFERROR(VLOOKUP(J854,LUTs!$A$1:$C$73,3,FALSE),"NA")</f>
        <v>3South Puget Sound</v>
      </c>
      <c r="M854" s="72" t="s">
        <v>21</v>
      </c>
      <c r="N854" t="str">
        <f>VLOOKUP(M854,LUTs!E$2:H$14,3,)</f>
        <v>08Thurston</v>
      </c>
      <c r="O854" t="str">
        <f>VLOOKUP(M854,LUTs!E$2:H$14,4,)</f>
        <v>02South Puget Sound</v>
      </c>
      <c r="P854" s="73">
        <v>226.25974025974</v>
      </c>
      <c r="Q854" s="74">
        <f>VLOOKUP(B854,Readme!A$40:C$51,2,)*P854</f>
        <v>1957.1467532467511</v>
      </c>
    </row>
    <row r="855" spans="1:17" ht="12" customHeight="1" x14ac:dyDescent="0.35">
      <c r="A855" s="75">
        <v>854</v>
      </c>
      <c r="B855" s="64">
        <v>2012</v>
      </c>
      <c r="C855" s="64">
        <v>9</v>
      </c>
      <c r="D855" s="80">
        <f t="shared" si="29"/>
        <v>2012</v>
      </c>
      <c r="E855" t="s">
        <v>38</v>
      </c>
      <c r="F855" t="s">
        <v>143</v>
      </c>
      <c r="G855" t="s">
        <v>10</v>
      </c>
      <c r="H855" s="72" t="s">
        <v>209</v>
      </c>
      <c r="I855" s="72" t="s">
        <v>51</v>
      </c>
      <c r="J855" t="str">
        <f t="shared" si="30"/>
        <v>Nisqually River</v>
      </c>
      <c r="K855" t="str">
        <f>IFERROR(VLOOKUP(J855,LUTs!$A$1:$C$73,2,FALSE),"NA")</f>
        <v>Thurston/Pierce</v>
      </c>
      <c r="L855" t="str">
        <f>IFERROR(VLOOKUP(J855,LUTs!$A$1:$C$73,3,FALSE),"NA")</f>
        <v>3South Puget Sound</v>
      </c>
      <c r="M855" s="72" t="s">
        <v>18</v>
      </c>
      <c r="N855" t="str">
        <f>VLOOKUP(M855,LUTs!E$2:H$14,3,)</f>
        <v>06King</v>
      </c>
      <c r="O855" t="str">
        <f>VLOOKUP(M855,LUTs!E$2:H$14,4,)</f>
        <v>02South Puget Sound</v>
      </c>
      <c r="P855" s="73">
        <v>583.01204819277098</v>
      </c>
      <c r="Q855" s="74">
        <f>VLOOKUP(B855,Readme!A$40:C$51,2,)*P855</f>
        <v>5043.0542168674692</v>
      </c>
    </row>
    <row r="856" spans="1:17" ht="12" customHeight="1" x14ac:dyDescent="0.35">
      <c r="A856" s="75">
        <v>855</v>
      </c>
      <c r="B856" s="64">
        <v>2012</v>
      </c>
      <c r="C856" s="64">
        <v>9</v>
      </c>
      <c r="D856" s="80">
        <f t="shared" si="29"/>
        <v>2012</v>
      </c>
      <c r="E856" t="s">
        <v>38</v>
      </c>
      <c r="F856" t="s">
        <v>143</v>
      </c>
      <c r="G856" t="s">
        <v>10</v>
      </c>
      <c r="H856" s="72" t="s">
        <v>209</v>
      </c>
      <c r="I856" s="72" t="s">
        <v>51</v>
      </c>
      <c r="J856" t="str">
        <f t="shared" si="30"/>
        <v>Nisqually River</v>
      </c>
      <c r="K856" t="str">
        <f>IFERROR(VLOOKUP(J856,LUTs!$A$1:$C$73,2,FALSE),"NA")</f>
        <v>Thurston/Pierce</v>
      </c>
      <c r="L856" t="str">
        <f>IFERROR(VLOOKUP(J856,LUTs!$A$1:$C$73,3,FALSE),"NA")</f>
        <v>3South Puget Sound</v>
      </c>
      <c r="M856" s="72" t="s">
        <v>23</v>
      </c>
      <c r="N856" t="str">
        <f>VLOOKUP(M856,LUTs!E$2:H$14,3,)</f>
        <v>10Kitsap</v>
      </c>
      <c r="O856" t="str">
        <f>VLOOKUP(M856,LUTs!E$2:H$14,4,)</f>
        <v>02South Puget Sound</v>
      </c>
      <c r="P856" s="73">
        <v>7.2876506024096397</v>
      </c>
      <c r="Q856" s="74">
        <f>VLOOKUP(B856,Readme!A$40:C$51,2,)*P856</f>
        <v>63.038177710843385</v>
      </c>
    </row>
    <row r="857" spans="1:17" ht="12" customHeight="1" x14ac:dyDescent="0.35">
      <c r="A857" s="75">
        <v>856</v>
      </c>
      <c r="B857" s="64">
        <v>2012</v>
      </c>
      <c r="C857" s="64">
        <v>9</v>
      </c>
      <c r="D857" s="80">
        <f t="shared" si="29"/>
        <v>2012</v>
      </c>
      <c r="E857" t="s">
        <v>38</v>
      </c>
      <c r="F857" t="s">
        <v>143</v>
      </c>
      <c r="G857" t="s">
        <v>10</v>
      </c>
      <c r="H857" s="72" t="s">
        <v>209</v>
      </c>
      <c r="I857" s="72" t="s">
        <v>51</v>
      </c>
      <c r="J857" t="str">
        <f t="shared" si="30"/>
        <v>Nisqually River</v>
      </c>
      <c r="K857" t="str">
        <f>IFERROR(VLOOKUP(J857,LUTs!$A$1:$C$73,2,FALSE),"NA")</f>
        <v>Thurston/Pierce</v>
      </c>
      <c r="L857" t="str">
        <f>IFERROR(VLOOKUP(J857,LUTs!$A$1:$C$73,3,FALSE),"NA")</f>
        <v>3South Puget Sound</v>
      </c>
      <c r="M857" s="72" t="s">
        <v>22</v>
      </c>
      <c r="N857" t="str">
        <f>VLOOKUP(M857,LUTs!E$2:H$14,3,)</f>
        <v>09Mason</v>
      </c>
      <c r="O857" t="str">
        <f>VLOOKUP(M857,LUTs!E$2:H$14,4,)</f>
        <v>02South Puget Sound</v>
      </c>
      <c r="P857" s="73">
        <v>80.164156626505999</v>
      </c>
      <c r="Q857" s="74">
        <f>VLOOKUP(B857,Readme!A$40:C$51,2,)*P857</f>
        <v>693.41995481927688</v>
      </c>
    </row>
    <row r="858" spans="1:17" ht="12" customHeight="1" x14ac:dyDescent="0.35">
      <c r="A858" s="75">
        <v>857</v>
      </c>
      <c r="B858" s="64">
        <v>2012</v>
      </c>
      <c r="C858" s="64">
        <v>9</v>
      </c>
      <c r="D858" s="80">
        <f t="shared" si="29"/>
        <v>2012</v>
      </c>
      <c r="E858" t="s">
        <v>38</v>
      </c>
      <c r="F858" t="s">
        <v>143</v>
      </c>
      <c r="G858" t="s">
        <v>10</v>
      </c>
      <c r="H858" s="72" t="s">
        <v>209</v>
      </c>
      <c r="I858" s="72" t="s">
        <v>51</v>
      </c>
      <c r="J858" t="str">
        <f t="shared" si="30"/>
        <v>Nisqually River</v>
      </c>
      <c r="K858" t="str">
        <f>IFERROR(VLOOKUP(J858,LUTs!$A$1:$C$73,2,FALSE),"NA")</f>
        <v>Thurston/Pierce</v>
      </c>
      <c r="L858" t="str">
        <f>IFERROR(VLOOKUP(J858,LUTs!$A$1:$C$73,3,FALSE),"NA")</f>
        <v>3South Puget Sound</v>
      </c>
      <c r="M858" s="72" t="s">
        <v>26</v>
      </c>
      <c r="N858" t="str">
        <f>VLOOKUP(M858,LUTs!E$2:H$14,3,)</f>
        <v>20Other</v>
      </c>
      <c r="O858" t="str">
        <f>VLOOKUP(M858,LUTs!E$2:H$14,4,)</f>
        <v>07Non Puget Sound</v>
      </c>
      <c r="P858" s="73">
        <v>218.62951807228899</v>
      </c>
      <c r="Q858" s="74">
        <f>VLOOKUP(B858,Readme!A$40:C$51,2,)*P858</f>
        <v>1891.1453313252998</v>
      </c>
    </row>
    <row r="859" spans="1:17" ht="12" customHeight="1" x14ac:dyDescent="0.35">
      <c r="A859" s="75">
        <v>858</v>
      </c>
      <c r="B859" s="64">
        <v>2012</v>
      </c>
      <c r="C859" s="64">
        <v>9</v>
      </c>
      <c r="D859" s="80">
        <f t="shared" si="29"/>
        <v>2012</v>
      </c>
      <c r="E859" t="s">
        <v>38</v>
      </c>
      <c r="F859" t="s">
        <v>143</v>
      </c>
      <c r="G859" t="s">
        <v>10</v>
      </c>
      <c r="H859" s="72" t="s">
        <v>209</v>
      </c>
      <c r="I859" s="72" t="s">
        <v>51</v>
      </c>
      <c r="J859" t="str">
        <f t="shared" si="30"/>
        <v>Nisqually River</v>
      </c>
      <c r="K859" t="str">
        <f>IFERROR(VLOOKUP(J859,LUTs!$A$1:$C$73,2,FALSE),"NA")</f>
        <v>Thurston/Pierce</v>
      </c>
      <c r="L859" t="str">
        <f>IFERROR(VLOOKUP(J859,LUTs!$A$1:$C$73,3,FALSE),"NA")</f>
        <v>3South Puget Sound</v>
      </c>
      <c r="M859" s="72" t="s">
        <v>20</v>
      </c>
      <c r="N859" t="str">
        <f>VLOOKUP(M859,LUTs!E$2:H$14,3,)</f>
        <v>07Pierce</v>
      </c>
      <c r="O859" t="str">
        <f>VLOOKUP(M859,LUTs!E$2:H$14,4,)</f>
        <v>02South Puget Sound</v>
      </c>
      <c r="P859" s="73">
        <v>2113.4186746987998</v>
      </c>
      <c r="Q859" s="74">
        <f>VLOOKUP(B859,Readme!A$40:C$51,2,)*P859</f>
        <v>18281.07153614462</v>
      </c>
    </row>
    <row r="860" spans="1:17" ht="12" customHeight="1" x14ac:dyDescent="0.35">
      <c r="A860" s="75">
        <v>859</v>
      </c>
      <c r="B860" s="64">
        <v>2012</v>
      </c>
      <c r="C860" s="64">
        <v>9</v>
      </c>
      <c r="D860" s="80">
        <f t="shared" si="29"/>
        <v>2012</v>
      </c>
      <c r="E860" t="s">
        <v>38</v>
      </c>
      <c r="F860" t="s">
        <v>143</v>
      </c>
      <c r="G860" t="s">
        <v>10</v>
      </c>
      <c r="H860" s="72" t="s">
        <v>209</v>
      </c>
      <c r="I860" s="72" t="s">
        <v>51</v>
      </c>
      <c r="J860" t="str">
        <f t="shared" si="30"/>
        <v>Nisqually River</v>
      </c>
      <c r="K860" t="str">
        <f>IFERROR(VLOOKUP(J860,LUTs!$A$1:$C$73,2,FALSE),"NA")</f>
        <v>Thurston/Pierce</v>
      </c>
      <c r="L860" t="str">
        <f>IFERROR(VLOOKUP(J860,LUTs!$A$1:$C$73,3,FALSE),"NA")</f>
        <v>3South Puget Sound</v>
      </c>
      <c r="M860" s="72" t="s">
        <v>16</v>
      </c>
      <c r="N860" t="str">
        <f>VLOOKUP(M860,LUTs!E$2:H$14,3,)</f>
        <v>03Snohomish</v>
      </c>
      <c r="O860" t="str">
        <f>VLOOKUP(M860,LUTs!E$2:H$14,4,)</f>
        <v>01North Puget Sound</v>
      </c>
      <c r="P860" s="73">
        <v>29.150602409638601</v>
      </c>
      <c r="Q860" s="74">
        <f>VLOOKUP(B860,Readme!A$40:C$51,2,)*P860</f>
        <v>252.15271084337391</v>
      </c>
    </row>
    <row r="861" spans="1:17" ht="12" customHeight="1" x14ac:dyDescent="0.35">
      <c r="A861" s="75">
        <v>860</v>
      </c>
      <c r="B861" s="64">
        <v>2012</v>
      </c>
      <c r="C861" s="64">
        <v>9</v>
      </c>
      <c r="D861" s="80">
        <f t="shared" si="29"/>
        <v>2012</v>
      </c>
      <c r="E861" t="s">
        <v>38</v>
      </c>
      <c r="F861" t="s">
        <v>143</v>
      </c>
      <c r="G861" t="s">
        <v>10</v>
      </c>
      <c r="H861" s="72" t="s">
        <v>209</v>
      </c>
      <c r="I861" s="72" t="s">
        <v>51</v>
      </c>
      <c r="J861" t="str">
        <f t="shared" si="30"/>
        <v>Nisqually River</v>
      </c>
      <c r="K861" t="str">
        <f>IFERROR(VLOOKUP(J861,LUTs!$A$1:$C$73,2,FALSE),"NA")</f>
        <v>Thurston/Pierce</v>
      </c>
      <c r="L861" t="str">
        <f>IFERROR(VLOOKUP(J861,LUTs!$A$1:$C$73,3,FALSE),"NA")</f>
        <v>3South Puget Sound</v>
      </c>
      <c r="M861" s="72" t="s">
        <v>21</v>
      </c>
      <c r="N861" t="str">
        <f>VLOOKUP(M861,LUTs!E$2:H$14,3,)</f>
        <v>08Thurston</v>
      </c>
      <c r="O861" t="str">
        <f>VLOOKUP(M861,LUTs!E$2:H$14,4,)</f>
        <v>02South Puget Sound</v>
      </c>
      <c r="P861" s="73">
        <v>1792.76204819277</v>
      </c>
      <c r="Q861" s="74">
        <f>VLOOKUP(B861,Readme!A$40:C$51,2,)*P861</f>
        <v>15507.391716867462</v>
      </c>
    </row>
    <row r="862" spans="1:17" ht="12" customHeight="1" x14ac:dyDescent="0.35">
      <c r="A862" s="75">
        <v>861</v>
      </c>
      <c r="B862" s="64">
        <v>2012</v>
      </c>
      <c r="C862" s="64">
        <v>9</v>
      </c>
      <c r="D862" s="80">
        <f t="shared" si="29"/>
        <v>2012</v>
      </c>
      <c r="E862" t="s">
        <v>38</v>
      </c>
      <c r="F862" t="s">
        <v>143</v>
      </c>
      <c r="G862" t="s">
        <v>10</v>
      </c>
      <c r="H862" s="72" t="s">
        <v>209</v>
      </c>
      <c r="I862" s="72" t="s">
        <v>51</v>
      </c>
      <c r="J862" t="str">
        <f t="shared" si="30"/>
        <v>Nisqually River</v>
      </c>
      <c r="K862" t="str">
        <f>IFERROR(VLOOKUP(J862,LUTs!$A$1:$C$73,2,FALSE),"NA")</f>
        <v>Thurston/Pierce</v>
      </c>
      <c r="L862" t="str">
        <f>IFERROR(VLOOKUP(J862,LUTs!$A$1:$C$73,3,FALSE),"NA")</f>
        <v>3South Puget Sound</v>
      </c>
      <c r="M862" s="72" t="s">
        <v>13</v>
      </c>
      <c r="N862" t="str">
        <f>VLOOKUP(M862,LUTs!E$2:H$14,3,)</f>
        <v>01Whatcom</v>
      </c>
      <c r="O862" t="str">
        <f>VLOOKUP(M862,LUTs!E$2:H$14,4,)</f>
        <v>01North Puget Sound</v>
      </c>
      <c r="P862" s="73">
        <v>14.575301204819301</v>
      </c>
      <c r="Q862" s="74">
        <f>VLOOKUP(B862,Readme!A$40:C$51,2,)*P862</f>
        <v>126.07635542168696</v>
      </c>
    </row>
    <row r="863" spans="1:17" ht="12" customHeight="1" x14ac:dyDescent="0.35">
      <c r="A863" s="75">
        <v>862</v>
      </c>
      <c r="B863" s="64">
        <v>2012</v>
      </c>
      <c r="C863" s="64">
        <v>10</v>
      </c>
      <c r="D863" s="80">
        <f t="shared" si="29"/>
        <v>2012</v>
      </c>
      <c r="E863" t="s">
        <v>38</v>
      </c>
      <c r="F863" t="s">
        <v>143</v>
      </c>
      <c r="G863" t="s">
        <v>10</v>
      </c>
      <c r="H863" s="72" t="s">
        <v>209</v>
      </c>
      <c r="I863" s="72" t="s">
        <v>51</v>
      </c>
      <c r="J863" t="str">
        <f t="shared" si="30"/>
        <v>Nisqually River</v>
      </c>
      <c r="K863" t="str">
        <f>IFERROR(VLOOKUP(J863,LUTs!$A$1:$C$73,2,FALSE),"NA")</f>
        <v>Thurston/Pierce</v>
      </c>
      <c r="L863" t="str">
        <f>IFERROR(VLOOKUP(J863,LUTs!$A$1:$C$73,3,FALSE),"NA")</f>
        <v>3South Puget Sound</v>
      </c>
      <c r="M863" s="72" t="s">
        <v>18</v>
      </c>
      <c r="N863" t="str">
        <f>VLOOKUP(M863,LUTs!E$2:H$14,3,)</f>
        <v>06King</v>
      </c>
      <c r="O863" t="str">
        <f>VLOOKUP(M863,LUTs!E$2:H$14,4,)</f>
        <v>02South Puget Sound</v>
      </c>
      <c r="P863" s="73">
        <v>393.042084168337</v>
      </c>
      <c r="Q863" s="74">
        <f>VLOOKUP(B863,Readme!A$40:C$51,2,)*P863</f>
        <v>3399.8140280561151</v>
      </c>
    </row>
    <row r="864" spans="1:17" ht="12" customHeight="1" x14ac:dyDescent="0.35">
      <c r="A864" s="75">
        <v>863</v>
      </c>
      <c r="B864" s="64">
        <v>2012</v>
      </c>
      <c r="C864" s="64">
        <v>10</v>
      </c>
      <c r="D864" s="80">
        <f t="shared" si="29"/>
        <v>2012</v>
      </c>
      <c r="E864" t="s">
        <v>38</v>
      </c>
      <c r="F864" t="s">
        <v>143</v>
      </c>
      <c r="G864" t="s">
        <v>10</v>
      </c>
      <c r="H864" s="72" t="s">
        <v>209</v>
      </c>
      <c r="I864" s="72" t="s">
        <v>51</v>
      </c>
      <c r="J864" t="str">
        <f t="shared" si="30"/>
        <v>Nisqually River</v>
      </c>
      <c r="K864" t="str">
        <f>IFERROR(VLOOKUP(J864,LUTs!$A$1:$C$73,2,FALSE),"NA")</f>
        <v>Thurston/Pierce</v>
      </c>
      <c r="L864" t="str">
        <f>IFERROR(VLOOKUP(J864,LUTs!$A$1:$C$73,3,FALSE),"NA")</f>
        <v>3South Puget Sound</v>
      </c>
      <c r="M864" s="72" t="s">
        <v>23</v>
      </c>
      <c r="N864" t="str">
        <f>VLOOKUP(M864,LUTs!E$2:H$14,3,)</f>
        <v>10Kitsap</v>
      </c>
      <c r="O864" t="str">
        <f>VLOOKUP(M864,LUTs!E$2:H$14,4,)</f>
        <v>02South Puget Sound</v>
      </c>
      <c r="P864" s="73">
        <v>43.671342685370703</v>
      </c>
      <c r="Q864" s="74">
        <f>VLOOKUP(B864,Readme!A$40:C$51,2,)*P864</f>
        <v>377.7571142284566</v>
      </c>
    </row>
    <row r="865" spans="1:17" ht="12" customHeight="1" x14ac:dyDescent="0.35">
      <c r="A865" s="75">
        <v>864</v>
      </c>
      <c r="B865" s="64">
        <v>2012</v>
      </c>
      <c r="C865" s="64">
        <v>10</v>
      </c>
      <c r="D865" s="80">
        <f t="shared" si="29"/>
        <v>2012</v>
      </c>
      <c r="E865" t="s">
        <v>38</v>
      </c>
      <c r="F865" t="s">
        <v>143</v>
      </c>
      <c r="G865" t="s">
        <v>10</v>
      </c>
      <c r="H865" s="72" t="s">
        <v>209</v>
      </c>
      <c r="I865" s="72" t="s">
        <v>51</v>
      </c>
      <c r="J865" t="str">
        <f t="shared" si="30"/>
        <v>Nisqually River</v>
      </c>
      <c r="K865" t="str">
        <f>IFERROR(VLOOKUP(J865,LUTs!$A$1:$C$73,2,FALSE),"NA")</f>
        <v>Thurston/Pierce</v>
      </c>
      <c r="L865" t="str">
        <f>IFERROR(VLOOKUP(J865,LUTs!$A$1:$C$73,3,FALSE),"NA")</f>
        <v>3South Puget Sound</v>
      </c>
      <c r="M865" s="72" t="s">
        <v>22</v>
      </c>
      <c r="N865" t="str">
        <f>VLOOKUP(M865,LUTs!E$2:H$14,3,)</f>
        <v>09Mason</v>
      </c>
      <c r="O865" t="str">
        <f>VLOOKUP(M865,LUTs!E$2:H$14,4,)</f>
        <v>02South Puget Sound</v>
      </c>
      <c r="P865" s="73">
        <v>7.2785571142284597</v>
      </c>
      <c r="Q865" s="74">
        <f>VLOOKUP(B865,Readme!A$40:C$51,2,)*P865</f>
        <v>62.959519038076181</v>
      </c>
    </row>
    <row r="866" spans="1:17" ht="12" customHeight="1" x14ac:dyDescent="0.35">
      <c r="A866" s="75">
        <v>865</v>
      </c>
      <c r="B866" s="64">
        <v>2012</v>
      </c>
      <c r="C866" s="64">
        <v>10</v>
      </c>
      <c r="D866" s="80">
        <f t="shared" si="29"/>
        <v>2012</v>
      </c>
      <c r="E866" t="s">
        <v>38</v>
      </c>
      <c r="F866" t="s">
        <v>143</v>
      </c>
      <c r="G866" t="s">
        <v>10</v>
      </c>
      <c r="H866" s="72" t="s">
        <v>209</v>
      </c>
      <c r="I866" s="72" t="s">
        <v>51</v>
      </c>
      <c r="J866" t="str">
        <f t="shared" si="30"/>
        <v>Nisqually River</v>
      </c>
      <c r="K866" t="str">
        <f>IFERROR(VLOOKUP(J866,LUTs!$A$1:$C$73,2,FALSE),"NA")</f>
        <v>Thurston/Pierce</v>
      </c>
      <c r="L866" t="str">
        <f>IFERROR(VLOOKUP(J866,LUTs!$A$1:$C$73,3,FALSE),"NA")</f>
        <v>3South Puget Sound</v>
      </c>
      <c r="M866" s="72" t="s">
        <v>26</v>
      </c>
      <c r="N866" t="str">
        <f>VLOOKUP(M866,LUTs!E$2:H$14,3,)</f>
        <v>20Other</v>
      </c>
      <c r="O866" t="str">
        <f>VLOOKUP(M866,LUTs!E$2:H$14,4,)</f>
        <v>07Non Puget Sound</v>
      </c>
      <c r="P866" s="73">
        <v>145.57114228456899</v>
      </c>
      <c r="Q866" s="74">
        <f>VLOOKUP(B866,Readme!A$40:C$51,2,)*P866</f>
        <v>1259.1903807615217</v>
      </c>
    </row>
    <row r="867" spans="1:17" ht="12" customHeight="1" x14ac:dyDescent="0.35">
      <c r="A867" s="75">
        <v>866</v>
      </c>
      <c r="B867" s="64">
        <v>2012</v>
      </c>
      <c r="C867" s="64">
        <v>10</v>
      </c>
      <c r="D867" s="80">
        <f t="shared" si="29"/>
        <v>2012</v>
      </c>
      <c r="E867" t="s">
        <v>38</v>
      </c>
      <c r="F867" t="s">
        <v>143</v>
      </c>
      <c r="G867" t="s">
        <v>10</v>
      </c>
      <c r="H867" s="72" t="s">
        <v>209</v>
      </c>
      <c r="I867" s="72" t="s">
        <v>51</v>
      </c>
      <c r="J867" t="str">
        <f t="shared" si="30"/>
        <v>Nisqually River</v>
      </c>
      <c r="K867" t="str">
        <f>IFERROR(VLOOKUP(J867,LUTs!$A$1:$C$73,2,FALSE),"NA")</f>
        <v>Thurston/Pierce</v>
      </c>
      <c r="L867" t="str">
        <f>IFERROR(VLOOKUP(J867,LUTs!$A$1:$C$73,3,FALSE),"NA")</f>
        <v>3South Puget Sound</v>
      </c>
      <c r="M867" s="72" t="s">
        <v>20</v>
      </c>
      <c r="N867" t="str">
        <f>VLOOKUP(M867,LUTs!E$2:H$14,3,)</f>
        <v>07Pierce</v>
      </c>
      <c r="O867" t="str">
        <f>VLOOKUP(M867,LUTs!E$2:H$14,4,)</f>
        <v>02South Puget Sound</v>
      </c>
      <c r="P867" s="73">
        <v>2103.5030060120198</v>
      </c>
      <c r="Q867" s="74">
        <f>VLOOKUP(B867,Readme!A$40:C$51,2,)*P867</f>
        <v>18195.301002003973</v>
      </c>
    </row>
    <row r="868" spans="1:17" ht="12" customHeight="1" x14ac:dyDescent="0.35">
      <c r="A868" s="75">
        <v>867</v>
      </c>
      <c r="B868" s="64">
        <v>2012</v>
      </c>
      <c r="C868" s="64">
        <v>10</v>
      </c>
      <c r="D868" s="80">
        <f t="shared" si="29"/>
        <v>2012</v>
      </c>
      <c r="E868" t="s">
        <v>38</v>
      </c>
      <c r="F868" t="s">
        <v>143</v>
      </c>
      <c r="G868" t="s">
        <v>10</v>
      </c>
      <c r="H868" s="72" t="s">
        <v>209</v>
      </c>
      <c r="I868" s="72" t="s">
        <v>51</v>
      </c>
      <c r="J868" t="str">
        <f t="shared" si="30"/>
        <v>Nisqually River</v>
      </c>
      <c r="K868" t="str">
        <f>IFERROR(VLOOKUP(J868,LUTs!$A$1:$C$73,2,FALSE),"NA")</f>
        <v>Thurston/Pierce</v>
      </c>
      <c r="L868" t="str">
        <f>IFERROR(VLOOKUP(J868,LUTs!$A$1:$C$73,3,FALSE),"NA")</f>
        <v>3South Puget Sound</v>
      </c>
      <c r="M868" s="72" t="s">
        <v>16</v>
      </c>
      <c r="N868" t="str">
        <f>VLOOKUP(M868,LUTs!E$2:H$14,3,)</f>
        <v>03Snohomish</v>
      </c>
      <c r="O868" t="str">
        <f>VLOOKUP(M868,LUTs!E$2:H$14,4,)</f>
        <v>01North Puget Sound</v>
      </c>
      <c r="P868" s="73">
        <v>7.2785571142284597</v>
      </c>
      <c r="Q868" s="74">
        <f>VLOOKUP(B868,Readme!A$40:C$51,2,)*P868</f>
        <v>62.959519038076181</v>
      </c>
    </row>
    <row r="869" spans="1:17" ht="12" customHeight="1" x14ac:dyDescent="0.35">
      <c r="A869" s="75">
        <v>868</v>
      </c>
      <c r="B869" s="64">
        <v>2012</v>
      </c>
      <c r="C869" s="64">
        <v>10</v>
      </c>
      <c r="D869" s="80">
        <f t="shared" si="29"/>
        <v>2012</v>
      </c>
      <c r="E869" t="s">
        <v>38</v>
      </c>
      <c r="F869" t="s">
        <v>143</v>
      </c>
      <c r="G869" t="s">
        <v>10</v>
      </c>
      <c r="H869" s="72" t="s">
        <v>209</v>
      </c>
      <c r="I869" s="72" t="s">
        <v>51</v>
      </c>
      <c r="J869" t="str">
        <f t="shared" si="30"/>
        <v>Nisqually River</v>
      </c>
      <c r="K869" t="str">
        <f>IFERROR(VLOOKUP(J869,LUTs!$A$1:$C$73,2,FALSE),"NA")</f>
        <v>Thurston/Pierce</v>
      </c>
      <c r="L869" t="str">
        <f>IFERROR(VLOOKUP(J869,LUTs!$A$1:$C$73,3,FALSE),"NA")</f>
        <v>3South Puget Sound</v>
      </c>
      <c r="M869" s="72" t="s">
        <v>21</v>
      </c>
      <c r="N869" t="str">
        <f>VLOOKUP(M869,LUTs!E$2:H$14,3,)</f>
        <v>08Thurston</v>
      </c>
      <c r="O869" t="str">
        <f>VLOOKUP(M869,LUTs!E$2:H$14,4,)</f>
        <v>02South Puget Sound</v>
      </c>
      <c r="P869" s="73">
        <v>931.65531062124296</v>
      </c>
      <c r="Q869" s="74">
        <f>VLOOKUP(B869,Readme!A$40:C$51,2,)*P869</f>
        <v>8058.818436873752</v>
      </c>
    </row>
    <row r="870" spans="1:17" ht="12" customHeight="1" x14ac:dyDescent="0.35">
      <c r="A870" s="75">
        <v>869</v>
      </c>
      <c r="B870" s="64">
        <v>2012</v>
      </c>
      <c r="C870" s="64">
        <v>11</v>
      </c>
      <c r="D870" s="80">
        <f t="shared" si="29"/>
        <v>2012</v>
      </c>
      <c r="E870" t="s">
        <v>38</v>
      </c>
      <c r="F870" t="s">
        <v>143</v>
      </c>
      <c r="G870" t="s">
        <v>10</v>
      </c>
      <c r="H870" s="72" t="s">
        <v>209</v>
      </c>
      <c r="I870" s="72" t="s">
        <v>51</v>
      </c>
      <c r="J870" t="str">
        <f t="shared" si="30"/>
        <v>Nisqually River</v>
      </c>
      <c r="K870" t="str">
        <f>IFERROR(VLOOKUP(J870,LUTs!$A$1:$C$73,2,FALSE),"NA")</f>
        <v>Thurston/Pierce</v>
      </c>
      <c r="L870" t="str">
        <f>IFERROR(VLOOKUP(J870,LUTs!$A$1:$C$73,3,FALSE),"NA")</f>
        <v>3South Puget Sound</v>
      </c>
      <c r="M870" s="72" t="s">
        <v>18</v>
      </c>
      <c r="N870" t="str">
        <f>VLOOKUP(M870,LUTs!E$2:H$14,3,)</f>
        <v>06King</v>
      </c>
      <c r="O870" t="str">
        <f>VLOOKUP(M870,LUTs!E$2:H$14,4,)</f>
        <v>02South Puget Sound</v>
      </c>
      <c r="P870" s="73">
        <v>29.1666666666667</v>
      </c>
      <c r="Q870" s="74">
        <f>VLOOKUP(B870,Readme!A$40:C$51,2,)*P870</f>
        <v>252.29166666666697</v>
      </c>
    </row>
    <row r="871" spans="1:17" ht="12" customHeight="1" x14ac:dyDescent="0.35">
      <c r="A871" s="75">
        <v>870</v>
      </c>
      <c r="B871" s="64">
        <v>2012</v>
      </c>
      <c r="C871" s="64">
        <v>11</v>
      </c>
      <c r="D871" s="80">
        <f t="shared" si="29"/>
        <v>2012</v>
      </c>
      <c r="E871" t="s">
        <v>38</v>
      </c>
      <c r="F871" t="s">
        <v>143</v>
      </c>
      <c r="G871" t="s">
        <v>10</v>
      </c>
      <c r="H871" s="72" t="s">
        <v>209</v>
      </c>
      <c r="I871" s="72" t="s">
        <v>51</v>
      </c>
      <c r="J871" t="str">
        <f t="shared" si="30"/>
        <v>Nisqually River</v>
      </c>
      <c r="K871" t="str">
        <f>IFERROR(VLOOKUP(J871,LUTs!$A$1:$C$73,2,FALSE),"NA")</f>
        <v>Thurston/Pierce</v>
      </c>
      <c r="L871" t="str">
        <f>IFERROR(VLOOKUP(J871,LUTs!$A$1:$C$73,3,FALSE),"NA")</f>
        <v>3South Puget Sound</v>
      </c>
      <c r="M871" s="72" t="s">
        <v>26</v>
      </c>
      <c r="N871" t="str">
        <f>VLOOKUP(M871,LUTs!E$2:H$14,3,)</f>
        <v>20Other</v>
      </c>
      <c r="O871" t="str">
        <f>VLOOKUP(M871,LUTs!E$2:H$14,4,)</f>
        <v>07Non Puget Sound</v>
      </c>
      <c r="P871" s="73">
        <v>14.5833333333333</v>
      </c>
      <c r="Q871" s="74">
        <f>VLOOKUP(B871,Readme!A$40:C$51,2,)*P871</f>
        <v>126.14583333333306</v>
      </c>
    </row>
    <row r="872" spans="1:17" ht="12" customHeight="1" x14ac:dyDescent="0.35">
      <c r="A872" s="75">
        <v>871</v>
      </c>
      <c r="B872" s="64">
        <v>2012</v>
      </c>
      <c r="C872" s="64">
        <v>11</v>
      </c>
      <c r="D872" s="80">
        <f t="shared" si="29"/>
        <v>2012</v>
      </c>
      <c r="E872" t="s">
        <v>38</v>
      </c>
      <c r="F872" t="s">
        <v>143</v>
      </c>
      <c r="G872" t="s">
        <v>10</v>
      </c>
      <c r="H872" s="72" t="s">
        <v>209</v>
      </c>
      <c r="I872" s="72" t="s">
        <v>51</v>
      </c>
      <c r="J872" t="str">
        <f t="shared" si="30"/>
        <v>Nisqually River</v>
      </c>
      <c r="K872" t="str">
        <f>IFERROR(VLOOKUP(J872,LUTs!$A$1:$C$73,2,FALSE),"NA")</f>
        <v>Thurston/Pierce</v>
      </c>
      <c r="L872" t="str">
        <f>IFERROR(VLOOKUP(J872,LUTs!$A$1:$C$73,3,FALSE),"NA")</f>
        <v>3South Puget Sound</v>
      </c>
      <c r="M872" s="72" t="s">
        <v>20</v>
      </c>
      <c r="N872" t="str">
        <f>VLOOKUP(M872,LUTs!E$2:H$14,3,)</f>
        <v>07Pierce</v>
      </c>
      <c r="O872" t="str">
        <f>VLOOKUP(M872,LUTs!E$2:H$14,4,)</f>
        <v>02South Puget Sound</v>
      </c>
      <c r="P872" s="73">
        <v>94.7916666666667</v>
      </c>
      <c r="Q872" s="74">
        <f>VLOOKUP(B872,Readme!A$40:C$51,2,)*P872</f>
        <v>819.94791666666697</v>
      </c>
    </row>
    <row r="873" spans="1:17" ht="12" customHeight="1" x14ac:dyDescent="0.35">
      <c r="A873" s="75">
        <v>872</v>
      </c>
      <c r="B873" s="64">
        <v>2012</v>
      </c>
      <c r="C873" s="64">
        <v>11</v>
      </c>
      <c r="D873" s="80">
        <f t="shared" si="29"/>
        <v>2012</v>
      </c>
      <c r="E873" t="s">
        <v>38</v>
      </c>
      <c r="F873" t="s">
        <v>143</v>
      </c>
      <c r="G873" t="s">
        <v>10</v>
      </c>
      <c r="H873" s="72" t="s">
        <v>209</v>
      </c>
      <c r="I873" s="72" t="s">
        <v>51</v>
      </c>
      <c r="J873" t="str">
        <f t="shared" si="30"/>
        <v>Nisqually River</v>
      </c>
      <c r="K873" t="str">
        <f>IFERROR(VLOOKUP(J873,LUTs!$A$1:$C$73,2,FALSE),"NA")</f>
        <v>Thurston/Pierce</v>
      </c>
      <c r="L873" t="str">
        <f>IFERROR(VLOOKUP(J873,LUTs!$A$1:$C$73,3,FALSE),"NA")</f>
        <v>3South Puget Sound</v>
      </c>
      <c r="M873" s="72" t="s">
        <v>21</v>
      </c>
      <c r="N873" t="str">
        <f>VLOOKUP(M873,LUTs!E$2:H$14,3,)</f>
        <v>08Thurston</v>
      </c>
      <c r="O873" t="str">
        <f>VLOOKUP(M873,LUTs!E$2:H$14,4,)</f>
        <v>02South Puget Sound</v>
      </c>
      <c r="P873" s="73">
        <v>36.4583333333333</v>
      </c>
      <c r="Q873" s="74">
        <f>VLOOKUP(B873,Readme!A$40:C$51,2,)*P873</f>
        <v>315.36458333333309</v>
      </c>
    </row>
    <row r="874" spans="1:17" ht="12" customHeight="1" x14ac:dyDescent="0.35">
      <c r="A874" s="75">
        <v>873</v>
      </c>
      <c r="B874" s="64">
        <v>2012</v>
      </c>
      <c r="C874" s="64">
        <v>12</v>
      </c>
      <c r="D874" s="80">
        <f t="shared" si="29"/>
        <v>2012</v>
      </c>
      <c r="E874" t="s">
        <v>38</v>
      </c>
      <c r="F874" t="s">
        <v>143</v>
      </c>
      <c r="G874" t="s">
        <v>10</v>
      </c>
      <c r="H874" s="72" t="s">
        <v>209</v>
      </c>
      <c r="I874" s="72" t="s">
        <v>51</v>
      </c>
      <c r="J874" t="str">
        <f t="shared" si="30"/>
        <v>Nisqually River</v>
      </c>
      <c r="K874" t="str">
        <f>IFERROR(VLOOKUP(J874,LUTs!$A$1:$C$73,2,FALSE),"NA")</f>
        <v>Thurston/Pierce</v>
      </c>
      <c r="L874" t="str">
        <f>IFERROR(VLOOKUP(J874,LUTs!$A$1:$C$73,3,FALSE),"NA")</f>
        <v>3South Puget Sound</v>
      </c>
      <c r="M874" s="72" t="s">
        <v>18</v>
      </c>
      <c r="N874" t="str">
        <f>VLOOKUP(M874,LUTs!E$2:H$14,3,)</f>
        <v>06King</v>
      </c>
      <c r="O874" t="str">
        <f>VLOOKUP(M874,LUTs!E$2:H$14,4,)</f>
        <v>02South Puget Sound</v>
      </c>
      <c r="P874" s="73">
        <v>14.643678160919499</v>
      </c>
      <c r="Q874" s="74">
        <f>VLOOKUP(B874,Readme!A$40:C$51,2,)*P874</f>
        <v>126.66781609195368</v>
      </c>
    </row>
    <row r="875" spans="1:17" ht="12" customHeight="1" x14ac:dyDescent="0.35">
      <c r="A875" s="75">
        <v>874</v>
      </c>
      <c r="B875" s="64">
        <v>2012</v>
      </c>
      <c r="C875" s="64">
        <v>12</v>
      </c>
      <c r="D875" s="80">
        <f t="shared" si="29"/>
        <v>2012</v>
      </c>
      <c r="E875" t="s">
        <v>38</v>
      </c>
      <c r="F875" t="s">
        <v>143</v>
      </c>
      <c r="G875" t="s">
        <v>10</v>
      </c>
      <c r="H875" s="72" t="s">
        <v>209</v>
      </c>
      <c r="I875" s="72" t="s">
        <v>51</v>
      </c>
      <c r="J875" t="str">
        <f t="shared" si="30"/>
        <v>Nisqually River</v>
      </c>
      <c r="K875" t="str">
        <f>IFERROR(VLOOKUP(J875,LUTs!$A$1:$C$73,2,FALSE),"NA")</f>
        <v>Thurston/Pierce</v>
      </c>
      <c r="L875" t="str">
        <f>IFERROR(VLOOKUP(J875,LUTs!$A$1:$C$73,3,FALSE),"NA")</f>
        <v>3South Puget Sound</v>
      </c>
      <c r="M875" s="72" t="s">
        <v>26</v>
      </c>
      <c r="N875" t="str">
        <f>VLOOKUP(M875,LUTs!E$2:H$14,3,)</f>
        <v>20Other</v>
      </c>
      <c r="O875" t="str">
        <f>VLOOKUP(M875,LUTs!E$2:H$14,4,)</f>
        <v>07Non Puget Sound</v>
      </c>
      <c r="P875" s="73">
        <v>7.3218390804597702</v>
      </c>
      <c r="Q875" s="74">
        <f>VLOOKUP(B875,Readme!A$40:C$51,2,)*P875</f>
        <v>63.333908045977012</v>
      </c>
    </row>
    <row r="876" spans="1:17" ht="12" customHeight="1" x14ac:dyDescent="0.35">
      <c r="A876" s="75">
        <v>875</v>
      </c>
      <c r="B876" s="64">
        <v>2012</v>
      </c>
      <c r="C876" s="64">
        <v>12</v>
      </c>
      <c r="D876" s="80">
        <f t="shared" si="29"/>
        <v>2012</v>
      </c>
      <c r="E876" t="s">
        <v>38</v>
      </c>
      <c r="F876" t="s">
        <v>143</v>
      </c>
      <c r="G876" t="s">
        <v>10</v>
      </c>
      <c r="H876" s="72" t="s">
        <v>209</v>
      </c>
      <c r="I876" s="72" t="s">
        <v>51</v>
      </c>
      <c r="J876" t="str">
        <f t="shared" si="30"/>
        <v>Nisqually River</v>
      </c>
      <c r="K876" t="str">
        <f>IFERROR(VLOOKUP(J876,LUTs!$A$1:$C$73,2,FALSE),"NA")</f>
        <v>Thurston/Pierce</v>
      </c>
      <c r="L876" t="str">
        <f>IFERROR(VLOOKUP(J876,LUTs!$A$1:$C$73,3,FALSE),"NA")</f>
        <v>3South Puget Sound</v>
      </c>
      <c r="M876" s="72" t="s">
        <v>20</v>
      </c>
      <c r="N876" t="str">
        <f>VLOOKUP(M876,LUTs!E$2:H$14,3,)</f>
        <v>07Pierce</v>
      </c>
      <c r="O876" t="str">
        <f>VLOOKUP(M876,LUTs!E$2:H$14,4,)</f>
        <v>02South Puget Sound</v>
      </c>
      <c r="P876" s="73">
        <v>431.98850574712702</v>
      </c>
      <c r="Q876" s="74">
        <f>VLOOKUP(B876,Readme!A$40:C$51,2,)*P876</f>
        <v>3736.7005747126491</v>
      </c>
    </row>
    <row r="877" spans="1:17" ht="12" customHeight="1" x14ac:dyDescent="0.35">
      <c r="A877" s="75">
        <v>876</v>
      </c>
      <c r="B877" s="64">
        <v>2012</v>
      </c>
      <c r="C877" s="64">
        <v>12</v>
      </c>
      <c r="D877" s="80">
        <f t="shared" si="29"/>
        <v>2012</v>
      </c>
      <c r="E877" t="s">
        <v>38</v>
      </c>
      <c r="F877" t="s">
        <v>143</v>
      </c>
      <c r="G877" t="s">
        <v>10</v>
      </c>
      <c r="H877" s="72" t="s">
        <v>209</v>
      </c>
      <c r="I877" s="72" t="s">
        <v>51</v>
      </c>
      <c r="J877" t="str">
        <f t="shared" si="30"/>
        <v>Nisqually River</v>
      </c>
      <c r="K877" t="str">
        <f>IFERROR(VLOOKUP(J877,LUTs!$A$1:$C$73,2,FALSE),"NA")</f>
        <v>Thurston/Pierce</v>
      </c>
      <c r="L877" t="str">
        <f>IFERROR(VLOOKUP(J877,LUTs!$A$1:$C$73,3,FALSE),"NA")</f>
        <v>3South Puget Sound</v>
      </c>
      <c r="M877" s="72" t="s">
        <v>21</v>
      </c>
      <c r="N877" t="str">
        <f>VLOOKUP(M877,LUTs!E$2:H$14,3,)</f>
        <v>08Thurston</v>
      </c>
      <c r="O877" t="str">
        <f>VLOOKUP(M877,LUTs!E$2:H$14,4,)</f>
        <v>02South Puget Sound</v>
      </c>
      <c r="P877" s="73">
        <v>183.04597701149399</v>
      </c>
      <c r="Q877" s="74">
        <f>VLOOKUP(B877,Readme!A$40:C$51,2,)*P877</f>
        <v>1583.3477011494231</v>
      </c>
    </row>
    <row r="878" spans="1:17" ht="12" customHeight="1" x14ac:dyDescent="0.35">
      <c r="A878" s="75">
        <v>877</v>
      </c>
      <c r="B878" s="64">
        <v>2013</v>
      </c>
      <c r="C878" s="64">
        <v>1</v>
      </c>
      <c r="D878" s="80">
        <f t="shared" si="29"/>
        <v>2012</v>
      </c>
      <c r="E878" t="s">
        <v>38</v>
      </c>
      <c r="F878" t="s">
        <v>143</v>
      </c>
      <c r="G878" t="s">
        <v>10</v>
      </c>
      <c r="H878" s="72" t="s">
        <v>209</v>
      </c>
      <c r="I878" s="72" t="s">
        <v>51</v>
      </c>
      <c r="J878" t="str">
        <f t="shared" si="30"/>
        <v>Nisqually River</v>
      </c>
      <c r="K878" t="str">
        <f>IFERROR(VLOOKUP(J878,LUTs!$A$1:$C$73,2,FALSE),"NA")</f>
        <v>Thurston/Pierce</v>
      </c>
      <c r="L878" t="str">
        <f>IFERROR(VLOOKUP(J878,LUTs!$A$1:$C$73,3,FALSE),"NA")</f>
        <v>3South Puget Sound</v>
      </c>
      <c r="M878" s="72" t="s">
        <v>20</v>
      </c>
      <c r="N878" t="str">
        <f>VLOOKUP(M878,LUTs!E$2:H$14,3,)</f>
        <v>07Pierce</v>
      </c>
      <c r="O878" t="str">
        <f>VLOOKUP(M878,LUTs!E$2:H$14,4,)</f>
        <v>02South Puget Sound</v>
      </c>
      <c r="P878" s="73">
        <v>7</v>
      </c>
      <c r="Q878" s="74">
        <f>VLOOKUP(B878,Readme!A$40:C$51,2,)*P878</f>
        <v>24.08</v>
      </c>
    </row>
    <row r="879" spans="1:17" ht="12" customHeight="1" x14ac:dyDescent="0.35">
      <c r="A879" s="75">
        <v>878</v>
      </c>
      <c r="B879" s="64">
        <v>2012</v>
      </c>
      <c r="C879" s="64">
        <v>9</v>
      </c>
      <c r="D879" s="80">
        <f t="shared" si="29"/>
        <v>2012</v>
      </c>
      <c r="E879" t="s">
        <v>38</v>
      </c>
      <c r="F879" t="s">
        <v>143</v>
      </c>
      <c r="G879" t="s">
        <v>10</v>
      </c>
      <c r="H879" s="72" t="s">
        <v>210</v>
      </c>
      <c r="I879" s="72" t="s">
        <v>52</v>
      </c>
      <c r="J879" t="str">
        <f t="shared" si="30"/>
        <v>Nooksack River</v>
      </c>
      <c r="K879" t="str">
        <f>IFERROR(VLOOKUP(J879,LUTs!$A$1:$C$73,2,FALSE),"NA")</f>
        <v>Whatcom</v>
      </c>
      <c r="L879" t="str">
        <f>IFERROR(VLOOKUP(J879,LUTs!$A$1:$C$73,3,FALSE),"NA")</f>
        <v>1North Puget Sound</v>
      </c>
      <c r="M879" s="72" t="s">
        <v>18</v>
      </c>
      <c r="N879" t="str">
        <f>VLOOKUP(M879,LUTs!E$2:H$14,3,)</f>
        <v>06King</v>
      </c>
      <c r="O879" t="str">
        <f>VLOOKUP(M879,LUTs!E$2:H$14,4,)</f>
        <v>02South Puget Sound</v>
      </c>
      <c r="P879" s="73">
        <v>6.9575757575757597</v>
      </c>
      <c r="Q879" s="74">
        <f>VLOOKUP(B879,Readme!A$40:C$51,2,)*P879</f>
        <v>60.183030303030321</v>
      </c>
    </row>
    <row r="880" spans="1:17" ht="12" customHeight="1" x14ac:dyDescent="0.35">
      <c r="A880" s="75">
        <v>879</v>
      </c>
      <c r="B880" s="64">
        <v>2012</v>
      </c>
      <c r="C880" s="64">
        <v>9</v>
      </c>
      <c r="D880" s="80">
        <f t="shared" si="29"/>
        <v>2012</v>
      </c>
      <c r="E880" t="s">
        <v>38</v>
      </c>
      <c r="F880" t="s">
        <v>143</v>
      </c>
      <c r="G880" t="s">
        <v>10</v>
      </c>
      <c r="H880" s="72" t="s">
        <v>210</v>
      </c>
      <c r="I880" s="72" t="s">
        <v>52</v>
      </c>
      <c r="J880" t="str">
        <f t="shared" si="30"/>
        <v>Nooksack River</v>
      </c>
      <c r="K880" t="str">
        <f>IFERROR(VLOOKUP(J880,LUTs!$A$1:$C$73,2,FALSE),"NA")</f>
        <v>Whatcom</v>
      </c>
      <c r="L880" t="str">
        <f>IFERROR(VLOOKUP(J880,LUTs!$A$1:$C$73,3,FALSE),"NA")</f>
        <v>1North Puget Sound</v>
      </c>
      <c r="M880" s="72" t="s">
        <v>15</v>
      </c>
      <c r="N880" t="str">
        <f>VLOOKUP(M880,LUTs!E$2:H$14,3,)</f>
        <v>02Skagit</v>
      </c>
      <c r="O880" t="str">
        <f>VLOOKUP(M880,LUTs!E$2:H$14,4,)</f>
        <v>01North Puget Sound</v>
      </c>
      <c r="P880" s="73">
        <v>6.9575757575757597</v>
      </c>
      <c r="Q880" s="74">
        <f>VLOOKUP(B880,Readme!A$40:C$51,2,)*P880</f>
        <v>60.183030303030321</v>
      </c>
    </row>
    <row r="881" spans="1:17" ht="12" customHeight="1" x14ac:dyDescent="0.35">
      <c r="A881" s="75">
        <v>880</v>
      </c>
      <c r="B881" s="64">
        <v>2012</v>
      </c>
      <c r="C881" s="64">
        <v>9</v>
      </c>
      <c r="D881" s="80">
        <f t="shared" si="29"/>
        <v>2012</v>
      </c>
      <c r="E881" t="s">
        <v>38</v>
      </c>
      <c r="F881" t="s">
        <v>143</v>
      </c>
      <c r="G881" t="s">
        <v>10</v>
      </c>
      <c r="H881" s="72" t="s">
        <v>210</v>
      </c>
      <c r="I881" s="72" t="s">
        <v>52</v>
      </c>
      <c r="J881" t="str">
        <f t="shared" si="30"/>
        <v>Nooksack River</v>
      </c>
      <c r="K881" t="str">
        <f>IFERROR(VLOOKUP(J881,LUTs!$A$1:$C$73,2,FALSE),"NA")</f>
        <v>Whatcom</v>
      </c>
      <c r="L881" t="str">
        <f>IFERROR(VLOOKUP(J881,LUTs!$A$1:$C$73,3,FALSE),"NA")</f>
        <v>1North Puget Sound</v>
      </c>
      <c r="M881" s="72" t="s">
        <v>16</v>
      </c>
      <c r="N881" t="str">
        <f>VLOOKUP(M881,LUTs!E$2:H$14,3,)</f>
        <v>03Snohomish</v>
      </c>
      <c r="O881" t="str">
        <f>VLOOKUP(M881,LUTs!E$2:H$14,4,)</f>
        <v>01North Puget Sound</v>
      </c>
      <c r="P881" s="73">
        <v>13.9151515151515</v>
      </c>
      <c r="Q881" s="74">
        <f>VLOOKUP(B881,Readme!A$40:C$51,2,)*P881</f>
        <v>120.36606060606049</v>
      </c>
    </row>
    <row r="882" spans="1:17" ht="12" customHeight="1" x14ac:dyDescent="0.35">
      <c r="A882" s="75">
        <v>881</v>
      </c>
      <c r="B882" s="64">
        <v>2012</v>
      </c>
      <c r="C882" s="64">
        <v>9</v>
      </c>
      <c r="D882" s="80">
        <f t="shared" si="29"/>
        <v>2012</v>
      </c>
      <c r="E882" t="s">
        <v>38</v>
      </c>
      <c r="F882" t="s">
        <v>143</v>
      </c>
      <c r="G882" t="s">
        <v>10</v>
      </c>
      <c r="H882" s="72" t="s">
        <v>210</v>
      </c>
      <c r="I882" s="72" t="s">
        <v>52</v>
      </c>
      <c r="J882" t="str">
        <f t="shared" si="30"/>
        <v>Nooksack River</v>
      </c>
      <c r="K882" t="str">
        <f>IFERROR(VLOOKUP(J882,LUTs!$A$1:$C$73,2,FALSE),"NA")</f>
        <v>Whatcom</v>
      </c>
      <c r="L882" t="str">
        <f>IFERROR(VLOOKUP(J882,LUTs!$A$1:$C$73,3,FALSE),"NA")</f>
        <v>1North Puget Sound</v>
      </c>
      <c r="M882" s="72" t="s">
        <v>13</v>
      </c>
      <c r="N882" t="str">
        <f>VLOOKUP(M882,LUTs!E$2:H$14,3,)</f>
        <v>01Whatcom</v>
      </c>
      <c r="O882" t="str">
        <f>VLOOKUP(M882,LUTs!E$2:H$14,4,)</f>
        <v>01North Puget Sound</v>
      </c>
      <c r="P882" s="73">
        <v>1120.1696969697</v>
      </c>
      <c r="Q882" s="74">
        <f>VLOOKUP(B882,Readme!A$40:C$51,2,)*P882</f>
        <v>9689.4678787879056</v>
      </c>
    </row>
    <row r="883" spans="1:17" ht="12" customHeight="1" x14ac:dyDescent="0.35">
      <c r="A883" s="75">
        <v>882</v>
      </c>
      <c r="B883" s="64">
        <v>2012</v>
      </c>
      <c r="C883" s="64">
        <v>10</v>
      </c>
      <c r="D883" s="80">
        <f t="shared" si="29"/>
        <v>2012</v>
      </c>
      <c r="E883" t="s">
        <v>38</v>
      </c>
      <c r="F883" t="s">
        <v>143</v>
      </c>
      <c r="G883" t="s">
        <v>10</v>
      </c>
      <c r="H883" s="72" t="s">
        <v>210</v>
      </c>
      <c r="I883" s="72" t="s">
        <v>52</v>
      </c>
      <c r="J883" t="str">
        <f t="shared" si="30"/>
        <v>Nooksack River</v>
      </c>
      <c r="K883" t="str">
        <f>IFERROR(VLOOKUP(J883,LUTs!$A$1:$C$73,2,FALSE),"NA")</f>
        <v>Whatcom</v>
      </c>
      <c r="L883" t="str">
        <f>IFERROR(VLOOKUP(J883,LUTs!$A$1:$C$73,3,FALSE),"NA")</f>
        <v>1North Puget Sound</v>
      </c>
      <c r="M883" s="72" t="s">
        <v>15</v>
      </c>
      <c r="N883" t="str">
        <f>VLOOKUP(M883,LUTs!E$2:H$14,3,)</f>
        <v>02Skagit</v>
      </c>
      <c r="O883" t="str">
        <f>VLOOKUP(M883,LUTs!E$2:H$14,4,)</f>
        <v>01North Puget Sound</v>
      </c>
      <c r="P883" s="73">
        <v>69.613526570048293</v>
      </c>
      <c r="Q883" s="74">
        <f>VLOOKUP(B883,Readme!A$40:C$51,2,)*P883</f>
        <v>602.1570048309178</v>
      </c>
    </row>
    <row r="884" spans="1:17" ht="12" customHeight="1" x14ac:dyDescent="0.35">
      <c r="A884" s="75">
        <v>883</v>
      </c>
      <c r="B884" s="64">
        <v>2012</v>
      </c>
      <c r="C884" s="64">
        <v>10</v>
      </c>
      <c r="D884" s="80">
        <f t="shared" si="29"/>
        <v>2012</v>
      </c>
      <c r="E884" t="s">
        <v>38</v>
      </c>
      <c r="F884" t="s">
        <v>143</v>
      </c>
      <c r="G884" t="s">
        <v>10</v>
      </c>
      <c r="H884" s="72" t="s">
        <v>210</v>
      </c>
      <c r="I884" s="72" t="s">
        <v>52</v>
      </c>
      <c r="J884" t="str">
        <f t="shared" si="30"/>
        <v>Nooksack River</v>
      </c>
      <c r="K884" t="str">
        <f>IFERROR(VLOOKUP(J884,LUTs!$A$1:$C$73,2,FALSE),"NA")</f>
        <v>Whatcom</v>
      </c>
      <c r="L884" t="str">
        <f>IFERROR(VLOOKUP(J884,LUTs!$A$1:$C$73,3,FALSE),"NA")</f>
        <v>1North Puget Sound</v>
      </c>
      <c r="M884" s="72" t="s">
        <v>13</v>
      </c>
      <c r="N884" t="str">
        <f>VLOOKUP(M884,LUTs!E$2:H$14,3,)</f>
        <v>01Whatcom</v>
      </c>
      <c r="O884" t="str">
        <f>VLOOKUP(M884,LUTs!E$2:H$14,4,)</f>
        <v>01North Puget Sound</v>
      </c>
      <c r="P884" s="73">
        <v>1371.38647342995</v>
      </c>
      <c r="Q884" s="74">
        <f>VLOOKUP(B884,Readme!A$40:C$51,2,)*P884</f>
        <v>11862.492995169068</v>
      </c>
    </row>
    <row r="885" spans="1:17" ht="12" customHeight="1" x14ac:dyDescent="0.35">
      <c r="A885" s="75">
        <v>884</v>
      </c>
      <c r="B885" s="64">
        <v>2012</v>
      </c>
      <c r="C885" s="64">
        <v>11</v>
      </c>
      <c r="D885" s="80">
        <f t="shared" si="29"/>
        <v>2012</v>
      </c>
      <c r="E885" t="s">
        <v>38</v>
      </c>
      <c r="F885" t="s">
        <v>143</v>
      </c>
      <c r="G885" t="s">
        <v>10</v>
      </c>
      <c r="H885" s="72" t="s">
        <v>210</v>
      </c>
      <c r="I885" s="72" t="s">
        <v>52</v>
      </c>
      <c r="J885" t="str">
        <f t="shared" si="30"/>
        <v>Nooksack River</v>
      </c>
      <c r="K885" t="str">
        <f>IFERROR(VLOOKUP(J885,LUTs!$A$1:$C$73,2,FALSE),"NA")</f>
        <v>Whatcom</v>
      </c>
      <c r="L885" t="str">
        <f>IFERROR(VLOOKUP(J885,LUTs!$A$1:$C$73,3,FALSE),"NA")</f>
        <v>1North Puget Sound</v>
      </c>
      <c r="M885" s="72" t="s">
        <v>17</v>
      </c>
      <c r="N885" t="str">
        <f>VLOOKUP(M885,LUTs!E$2:H$14,3,)</f>
        <v>04Island</v>
      </c>
      <c r="O885" t="str">
        <f>VLOOKUP(M885,LUTs!E$2:H$14,4,)</f>
        <v>01North Puget Sound</v>
      </c>
      <c r="P885" s="73">
        <v>13.8888888888889</v>
      </c>
      <c r="Q885" s="74">
        <f>VLOOKUP(B885,Readme!A$40:C$51,2,)*P885</f>
        <v>120.13888888888899</v>
      </c>
    </row>
    <row r="886" spans="1:17" ht="12" customHeight="1" x14ac:dyDescent="0.35">
      <c r="A886" s="75">
        <v>885</v>
      </c>
      <c r="B886" s="64">
        <v>2012</v>
      </c>
      <c r="C886" s="64">
        <v>11</v>
      </c>
      <c r="D886" s="80">
        <f t="shared" si="29"/>
        <v>2012</v>
      </c>
      <c r="E886" t="s">
        <v>38</v>
      </c>
      <c r="F886" t="s">
        <v>143</v>
      </c>
      <c r="G886" t="s">
        <v>10</v>
      </c>
      <c r="H886" s="72" t="s">
        <v>210</v>
      </c>
      <c r="I886" s="72" t="s">
        <v>52</v>
      </c>
      <c r="J886" t="str">
        <f t="shared" si="30"/>
        <v>Nooksack River</v>
      </c>
      <c r="K886" t="str">
        <f>IFERROR(VLOOKUP(J886,LUTs!$A$1:$C$73,2,FALSE),"NA")</f>
        <v>Whatcom</v>
      </c>
      <c r="L886" t="str">
        <f>IFERROR(VLOOKUP(J886,LUTs!$A$1:$C$73,3,FALSE),"NA")</f>
        <v>1North Puget Sound</v>
      </c>
      <c r="M886" s="72" t="s">
        <v>15</v>
      </c>
      <c r="N886" t="str">
        <f>VLOOKUP(M886,LUTs!E$2:H$14,3,)</f>
        <v>02Skagit</v>
      </c>
      <c r="O886" t="str">
        <f>VLOOKUP(M886,LUTs!E$2:H$14,4,)</f>
        <v>01North Puget Sound</v>
      </c>
      <c r="P886" s="73">
        <v>13.8888888888889</v>
      </c>
      <c r="Q886" s="74">
        <f>VLOOKUP(B886,Readme!A$40:C$51,2,)*P886</f>
        <v>120.13888888888899</v>
      </c>
    </row>
    <row r="887" spans="1:17" ht="12" customHeight="1" x14ac:dyDescent="0.35">
      <c r="A887" s="75">
        <v>886</v>
      </c>
      <c r="B887" s="64">
        <v>2012</v>
      </c>
      <c r="C887" s="64">
        <v>11</v>
      </c>
      <c r="D887" s="80">
        <f t="shared" si="29"/>
        <v>2012</v>
      </c>
      <c r="E887" t="s">
        <v>38</v>
      </c>
      <c r="F887" t="s">
        <v>143</v>
      </c>
      <c r="G887" t="s">
        <v>10</v>
      </c>
      <c r="H887" s="72" t="s">
        <v>210</v>
      </c>
      <c r="I887" s="72" t="s">
        <v>52</v>
      </c>
      <c r="J887" t="str">
        <f t="shared" si="30"/>
        <v>Nooksack River</v>
      </c>
      <c r="K887" t="str">
        <f>IFERROR(VLOOKUP(J887,LUTs!$A$1:$C$73,2,FALSE),"NA")</f>
        <v>Whatcom</v>
      </c>
      <c r="L887" t="str">
        <f>IFERROR(VLOOKUP(J887,LUTs!$A$1:$C$73,3,FALSE),"NA")</f>
        <v>1North Puget Sound</v>
      </c>
      <c r="M887" s="72" t="s">
        <v>16</v>
      </c>
      <c r="N887" t="str">
        <f>VLOOKUP(M887,LUTs!E$2:H$14,3,)</f>
        <v>03Snohomish</v>
      </c>
      <c r="O887" t="str">
        <f>VLOOKUP(M887,LUTs!E$2:H$14,4,)</f>
        <v>01North Puget Sound</v>
      </c>
      <c r="P887" s="73">
        <v>55.5555555555556</v>
      </c>
      <c r="Q887" s="74">
        <f>VLOOKUP(B887,Readme!A$40:C$51,2,)*P887</f>
        <v>480.55555555555594</v>
      </c>
    </row>
    <row r="888" spans="1:17" ht="12" customHeight="1" x14ac:dyDescent="0.35">
      <c r="A888" s="75">
        <v>887</v>
      </c>
      <c r="B888" s="64">
        <v>2012</v>
      </c>
      <c r="C888" s="64">
        <v>11</v>
      </c>
      <c r="D888" s="80">
        <f t="shared" si="29"/>
        <v>2012</v>
      </c>
      <c r="E888" t="s">
        <v>38</v>
      </c>
      <c r="F888" t="s">
        <v>143</v>
      </c>
      <c r="G888" t="s">
        <v>10</v>
      </c>
      <c r="H888" s="72" t="s">
        <v>210</v>
      </c>
      <c r="I888" s="72" t="s">
        <v>52</v>
      </c>
      <c r="J888" t="str">
        <f t="shared" si="30"/>
        <v>Nooksack River</v>
      </c>
      <c r="K888" t="str">
        <f>IFERROR(VLOOKUP(J888,LUTs!$A$1:$C$73,2,FALSE),"NA")</f>
        <v>Whatcom</v>
      </c>
      <c r="L888" t="str">
        <f>IFERROR(VLOOKUP(J888,LUTs!$A$1:$C$73,3,FALSE),"NA")</f>
        <v>1North Puget Sound</v>
      </c>
      <c r="M888" s="72" t="s">
        <v>13</v>
      </c>
      <c r="N888" t="str">
        <f>VLOOKUP(M888,LUTs!E$2:H$14,3,)</f>
        <v>01Whatcom</v>
      </c>
      <c r="O888" t="str">
        <f>VLOOKUP(M888,LUTs!E$2:H$14,4,)</f>
        <v>01North Puget Sound</v>
      </c>
      <c r="P888" s="73">
        <v>291.66666666666703</v>
      </c>
      <c r="Q888" s="74">
        <f>VLOOKUP(B888,Readme!A$40:C$51,2,)*P888</f>
        <v>2522.9166666666697</v>
      </c>
    </row>
    <row r="889" spans="1:17" ht="12" customHeight="1" x14ac:dyDescent="0.35">
      <c r="A889" s="75">
        <v>888</v>
      </c>
      <c r="B889" s="64">
        <v>2012</v>
      </c>
      <c r="C889" s="64">
        <v>12</v>
      </c>
      <c r="D889" s="80">
        <f t="shared" si="29"/>
        <v>2012</v>
      </c>
      <c r="E889" t="s">
        <v>38</v>
      </c>
      <c r="F889" t="s">
        <v>143</v>
      </c>
      <c r="G889" t="s">
        <v>10</v>
      </c>
      <c r="H889" s="72" t="s">
        <v>210</v>
      </c>
      <c r="I889" s="72" t="s">
        <v>52</v>
      </c>
      <c r="J889" t="str">
        <f t="shared" si="30"/>
        <v>Nooksack River</v>
      </c>
      <c r="K889" t="str">
        <f>IFERROR(VLOOKUP(J889,LUTs!$A$1:$C$73,2,FALSE),"NA")</f>
        <v>Whatcom</v>
      </c>
      <c r="L889" t="str">
        <f>IFERROR(VLOOKUP(J889,LUTs!$A$1:$C$73,3,FALSE),"NA")</f>
        <v>1North Puget Sound</v>
      </c>
      <c r="M889" s="72" t="s">
        <v>17</v>
      </c>
      <c r="N889" t="str">
        <f>VLOOKUP(M889,LUTs!E$2:H$14,3,)</f>
        <v>04Island</v>
      </c>
      <c r="O889" t="str">
        <f>VLOOKUP(M889,LUTs!E$2:H$14,4,)</f>
        <v>01North Puget Sound</v>
      </c>
      <c r="P889" s="73">
        <v>34.75</v>
      </c>
      <c r="Q889" s="74">
        <f>VLOOKUP(B889,Readme!A$40:C$51,2,)*P889</f>
        <v>300.58750000000003</v>
      </c>
    </row>
    <row r="890" spans="1:17" ht="12" customHeight="1" x14ac:dyDescent="0.35">
      <c r="A890" s="75">
        <v>889</v>
      </c>
      <c r="B890" s="64">
        <v>2012</v>
      </c>
      <c r="C890" s="64">
        <v>12</v>
      </c>
      <c r="D890" s="80">
        <f t="shared" si="29"/>
        <v>2012</v>
      </c>
      <c r="E890" t="s">
        <v>38</v>
      </c>
      <c r="F890" t="s">
        <v>143</v>
      </c>
      <c r="G890" t="s">
        <v>10</v>
      </c>
      <c r="H890" s="72" t="s">
        <v>210</v>
      </c>
      <c r="I890" s="72" t="s">
        <v>52</v>
      </c>
      <c r="J890" t="str">
        <f t="shared" si="30"/>
        <v>Nooksack River</v>
      </c>
      <c r="K890" t="str">
        <f>IFERROR(VLOOKUP(J890,LUTs!$A$1:$C$73,2,FALSE),"NA")</f>
        <v>Whatcom</v>
      </c>
      <c r="L890" t="str">
        <f>IFERROR(VLOOKUP(J890,LUTs!$A$1:$C$73,3,FALSE),"NA")</f>
        <v>1North Puget Sound</v>
      </c>
      <c r="M890" s="72" t="s">
        <v>16</v>
      </c>
      <c r="N890" t="str">
        <f>VLOOKUP(M890,LUTs!E$2:H$14,3,)</f>
        <v>03Snohomish</v>
      </c>
      <c r="O890" t="str">
        <f>VLOOKUP(M890,LUTs!E$2:H$14,4,)</f>
        <v>01North Puget Sound</v>
      </c>
      <c r="P890" s="73">
        <v>13.9</v>
      </c>
      <c r="Q890" s="74">
        <f>VLOOKUP(B890,Readme!A$40:C$51,2,)*P890</f>
        <v>120.23500000000001</v>
      </c>
    </row>
    <row r="891" spans="1:17" ht="12" customHeight="1" x14ac:dyDescent="0.35">
      <c r="A891" s="75">
        <v>890</v>
      </c>
      <c r="B891" s="64">
        <v>2012</v>
      </c>
      <c r="C891" s="64">
        <v>12</v>
      </c>
      <c r="D891" s="80">
        <f t="shared" si="29"/>
        <v>2012</v>
      </c>
      <c r="E891" t="s">
        <v>38</v>
      </c>
      <c r="F891" t="s">
        <v>143</v>
      </c>
      <c r="G891" t="s">
        <v>10</v>
      </c>
      <c r="H891" s="72" t="s">
        <v>210</v>
      </c>
      <c r="I891" s="72" t="s">
        <v>52</v>
      </c>
      <c r="J891" t="str">
        <f t="shared" si="30"/>
        <v>Nooksack River</v>
      </c>
      <c r="K891" t="str">
        <f>IFERROR(VLOOKUP(J891,LUTs!$A$1:$C$73,2,FALSE),"NA")</f>
        <v>Whatcom</v>
      </c>
      <c r="L891" t="str">
        <f>IFERROR(VLOOKUP(J891,LUTs!$A$1:$C$73,3,FALSE),"NA")</f>
        <v>1North Puget Sound</v>
      </c>
      <c r="M891" s="72" t="s">
        <v>13</v>
      </c>
      <c r="N891" t="str">
        <f>VLOOKUP(M891,LUTs!E$2:H$14,3,)</f>
        <v>01Whatcom</v>
      </c>
      <c r="O891" t="str">
        <f>VLOOKUP(M891,LUTs!E$2:H$14,4,)</f>
        <v>01North Puget Sound</v>
      </c>
      <c r="P891" s="73">
        <v>90.35</v>
      </c>
      <c r="Q891" s="74">
        <f>VLOOKUP(B891,Readme!A$40:C$51,2,)*P891</f>
        <v>781.52750000000003</v>
      </c>
    </row>
    <row r="892" spans="1:17" ht="12" customHeight="1" x14ac:dyDescent="0.35">
      <c r="A892" s="75">
        <v>891</v>
      </c>
      <c r="B892" s="64">
        <v>2013</v>
      </c>
      <c r="C892" s="64">
        <v>3</v>
      </c>
      <c r="D892" s="80">
        <f t="shared" si="29"/>
        <v>2012</v>
      </c>
      <c r="E892" t="s">
        <v>38</v>
      </c>
      <c r="F892" t="s">
        <v>143</v>
      </c>
      <c r="G892" t="s">
        <v>10</v>
      </c>
      <c r="H892" s="72" t="s">
        <v>231</v>
      </c>
      <c r="I892" s="72" t="s">
        <v>73</v>
      </c>
      <c r="J892" t="str">
        <f t="shared" si="30"/>
        <v>Unknown</v>
      </c>
      <c r="K892" t="str">
        <f>IFERROR(VLOOKUP(J892,LUTs!$A$1:$C$73,2,FALSE),"NA")</f>
        <v>NA</v>
      </c>
      <c r="L892" t="str">
        <f>IFERROR(VLOOKUP(J892,LUTs!$A$1:$C$73,3,FALSE),"NA")</f>
        <v>NA</v>
      </c>
      <c r="M892" s="72" t="s">
        <v>15</v>
      </c>
      <c r="N892" t="str">
        <f>VLOOKUP(M892,LUTs!E$2:H$14,3,)</f>
        <v>02Skagit</v>
      </c>
      <c r="O892" t="str">
        <f>VLOOKUP(M892,LUTs!E$2:H$14,4,)</f>
        <v>01North Puget Sound</v>
      </c>
      <c r="P892" s="73">
        <v>1</v>
      </c>
      <c r="Q892" s="74">
        <f>VLOOKUP(B892,Readme!A$40:C$51,2,)*P892</f>
        <v>3.44</v>
      </c>
    </row>
    <row r="893" spans="1:17" ht="12" customHeight="1" x14ac:dyDescent="0.35">
      <c r="A893" s="75">
        <v>892</v>
      </c>
      <c r="B893" s="64">
        <v>2012</v>
      </c>
      <c r="C893" s="64">
        <v>9</v>
      </c>
      <c r="D893" s="80">
        <f t="shared" si="29"/>
        <v>2012</v>
      </c>
      <c r="E893" t="s">
        <v>38</v>
      </c>
      <c r="F893" t="s">
        <v>143</v>
      </c>
      <c r="G893" t="s">
        <v>10</v>
      </c>
      <c r="H893" s="72" t="s">
        <v>211</v>
      </c>
      <c r="I893" s="72" t="s">
        <v>53</v>
      </c>
      <c r="J893" t="str">
        <f t="shared" si="30"/>
        <v>Carbon River</v>
      </c>
      <c r="K893" t="str">
        <f>IFERROR(VLOOKUP(J893,LUTs!$A$1:$C$73,2,FALSE),"NA")</f>
        <v>Pierce</v>
      </c>
      <c r="L893" t="str">
        <f>IFERROR(VLOOKUP(J893,LUTs!$A$1:$C$73,3,FALSE),"NA")</f>
        <v>3South Puget Sound</v>
      </c>
      <c r="M893" s="72" t="s">
        <v>18</v>
      </c>
      <c r="N893" t="str">
        <f>VLOOKUP(M893,LUTs!E$2:H$14,3,)</f>
        <v>06King</v>
      </c>
      <c r="O893" t="str">
        <f>VLOOKUP(M893,LUTs!E$2:H$14,4,)</f>
        <v>02South Puget Sound</v>
      </c>
      <c r="P893" s="73">
        <v>21.146341463414601</v>
      </c>
      <c r="Q893" s="74">
        <f>VLOOKUP(B893,Readme!A$40:C$51,2,)*P893</f>
        <v>182.91585365853629</v>
      </c>
    </row>
    <row r="894" spans="1:17" ht="12" customHeight="1" x14ac:dyDescent="0.35">
      <c r="A894" s="75">
        <v>893</v>
      </c>
      <c r="B894" s="64">
        <v>2012</v>
      </c>
      <c r="C894" s="64">
        <v>9</v>
      </c>
      <c r="D894" s="80">
        <f t="shared" si="29"/>
        <v>2012</v>
      </c>
      <c r="E894" t="s">
        <v>38</v>
      </c>
      <c r="F894" t="s">
        <v>143</v>
      </c>
      <c r="G894" t="s">
        <v>10</v>
      </c>
      <c r="H894" s="72" t="s">
        <v>211</v>
      </c>
      <c r="I894" s="72" t="s">
        <v>53</v>
      </c>
      <c r="J894" t="str">
        <f t="shared" si="30"/>
        <v>Carbon River</v>
      </c>
      <c r="K894" t="str">
        <f>IFERROR(VLOOKUP(J894,LUTs!$A$1:$C$73,2,FALSE),"NA")</f>
        <v>Pierce</v>
      </c>
      <c r="L894" t="str">
        <f>IFERROR(VLOOKUP(J894,LUTs!$A$1:$C$73,3,FALSE),"NA")</f>
        <v>3South Puget Sound</v>
      </c>
      <c r="M894" s="72" t="s">
        <v>26</v>
      </c>
      <c r="N894" t="str">
        <f>VLOOKUP(M894,LUTs!E$2:H$14,3,)</f>
        <v>20Other</v>
      </c>
      <c r="O894" t="str">
        <f>VLOOKUP(M894,LUTs!E$2:H$14,4,)</f>
        <v>07Non Puget Sound</v>
      </c>
      <c r="P894" s="73">
        <v>28.195121951219502</v>
      </c>
      <c r="Q894" s="74">
        <f>VLOOKUP(B894,Readme!A$40:C$51,2,)*P894</f>
        <v>243.88780487804871</v>
      </c>
    </row>
    <row r="895" spans="1:17" ht="12" customHeight="1" x14ac:dyDescent="0.35">
      <c r="A895" s="75">
        <v>894</v>
      </c>
      <c r="B895" s="64">
        <v>2012</v>
      </c>
      <c r="C895" s="64">
        <v>9</v>
      </c>
      <c r="D895" s="80">
        <f t="shared" si="29"/>
        <v>2012</v>
      </c>
      <c r="E895" t="s">
        <v>38</v>
      </c>
      <c r="F895" t="s">
        <v>143</v>
      </c>
      <c r="G895" t="s">
        <v>10</v>
      </c>
      <c r="H895" s="72" t="s">
        <v>211</v>
      </c>
      <c r="I895" s="72" t="s">
        <v>53</v>
      </c>
      <c r="J895" t="str">
        <f t="shared" si="30"/>
        <v>Carbon River</v>
      </c>
      <c r="K895" t="str">
        <f>IFERROR(VLOOKUP(J895,LUTs!$A$1:$C$73,2,FALSE),"NA")</f>
        <v>Pierce</v>
      </c>
      <c r="L895" t="str">
        <f>IFERROR(VLOOKUP(J895,LUTs!$A$1:$C$73,3,FALSE),"NA")</f>
        <v>3South Puget Sound</v>
      </c>
      <c r="M895" s="72" t="s">
        <v>20</v>
      </c>
      <c r="N895" t="str">
        <f>VLOOKUP(M895,LUTs!E$2:H$14,3,)</f>
        <v>07Pierce</v>
      </c>
      <c r="O895" t="str">
        <f>VLOOKUP(M895,LUTs!E$2:H$14,4,)</f>
        <v>02South Puget Sound</v>
      </c>
      <c r="P895" s="73">
        <v>239.65853658536599</v>
      </c>
      <c r="Q895" s="74">
        <f>VLOOKUP(B895,Readme!A$40:C$51,2,)*P895</f>
        <v>2073.046341463416</v>
      </c>
    </row>
    <row r="896" spans="1:17" ht="12" customHeight="1" x14ac:dyDescent="0.35">
      <c r="A896" s="75">
        <v>895</v>
      </c>
      <c r="B896" s="64">
        <v>2012</v>
      </c>
      <c r="C896" s="64">
        <v>10</v>
      </c>
      <c r="D896" s="80">
        <f t="shared" si="29"/>
        <v>2012</v>
      </c>
      <c r="E896" t="s">
        <v>38</v>
      </c>
      <c r="F896" t="s">
        <v>143</v>
      </c>
      <c r="G896" t="s">
        <v>10</v>
      </c>
      <c r="H896" s="72" t="s">
        <v>211</v>
      </c>
      <c r="I896" s="72" t="s">
        <v>53</v>
      </c>
      <c r="J896" t="str">
        <f t="shared" si="30"/>
        <v>Carbon River</v>
      </c>
      <c r="K896" t="str">
        <f>IFERROR(VLOOKUP(J896,LUTs!$A$1:$C$73,2,FALSE),"NA")</f>
        <v>Pierce</v>
      </c>
      <c r="L896" t="str">
        <f>IFERROR(VLOOKUP(J896,LUTs!$A$1:$C$73,3,FALSE),"NA")</f>
        <v>3South Puget Sound</v>
      </c>
      <c r="M896" s="72" t="s">
        <v>18</v>
      </c>
      <c r="N896" t="str">
        <f>VLOOKUP(M896,LUTs!E$2:H$14,3,)</f>
        <v>06King</v>
      </c>
      <c r="O896" t="str">
        <f>VLOOKUP(M896,LUTs!E$2:H$14,4,)</f>
        <v>02South Puget Sound</v>
      </c>
      <c r="P896" s="73">
        <v>28.235294117647101</v>
      </c>
      <c r="Q896" s="74">
        <f>VLOOKUP(B896,Readme!A$40:C$51,2,)*P896</f>
        <v>244.23529411764744</v>
      </c>
    </row>
    <row r="897" spans="1:17" ht="12" customHeight="1" x14ac:dyDescent="0.35">
      <c r="A897" s="75">
        <v>896</v>
      </c>
      <c r="B897" s="64">
        <v>2012</v>
      </c>
      <c r="C897" s="64">
        <v>10</v>
      </c>
      <c r="D897" s="80">
        <f t="shared" si="29"/>
        <v>2012</v>
      </c>
      <c r="E897" t="s">
        <v>38</v>
      </c>
      <c r="F897" t="s">
        <v>143</v>
      </c>
      <c r="G897" t="s">
        <v>10</v>
      </c>
      <c r="H897" s="72" t="s">
        <v>211</v>
      </c>
      <c r="I897" s="72" t="s">
        <v>53</v>
      </c>
      <c r="J897" t="str">
        <f t="shared" si="30"/>
        <v>Carbon River</v>
      </c>
      <c r="K897" t="str">
        <f>IFERROR(VLOOKUP(J897,LUTs!$A$1:$C$73,2,FALSE),"NA")</f>
        <v>Pierce</v>
      </c>
      <c r="L897" t="str">
        <f>IFERROR(VLOOKUP(J897,LUTs!$A$1:$C$73,3,FALSE),"NA")</f>
        <v>3South Puget Sound</v>
      </c>
      <c r="M897" s="72" t="s">
        <v>20</v>
      </c>
      <c r="N897" t="str">
        <f>VLOOKUP(M897,LUTs!E$2:H$14,3,)</f>
        <v>07Pierce</v>
      </c>
      <c r="O897" t="str">
        <f>VLOOKUP(M897,LUTs!E$2:H$14,4,)</f>
        <v>02South Puget Sound</v>
      </c>
      <c r="P897" s="73">
        <v>331.76470588235298</v>
      </c>
      <c r="Q897" s="74">
        <f>VLOOKUP(B897,Readme!A$40:C$51,2,)*P897</f>
        <v>2869.7647058823536</v>
      </c>
    </row>
    <row r="898" spans="1:17" ht="12" customHeight="1" x14ac:dyDescent="0.35">
      <c r="A898" s="75">
        <v>897</v>
      </c>
      <c r="B898" s="64">
        <v>2012</v>
      </c>
      <c r="C898" s="64">
        <v>11</v>
      </c>
      <c r="D898" s="80">
        <f t="shared" ref="D898:D961" si="31">IF(C898&gt;3,B898,B898-1)</f>
        <v>2012</v>
      </c>
      <c r="E898" t="s">
        <v>38</v>
      </c>
      <c r="F898" t="s">
        <v>143</v>
      </c>
      <c r="G898" t="s">
        <v>10</v>
      </c>
      <c r="H898" s="72" t="s">
        <v>211</v>
      </c>
      <c r="I898" s="72" t="s">
        <v>53</v>
      </c>
      <c r="J898" t="str">
        <f t="shared" si="30"/>
        <v>Carbon River</v>
      </c>
      <c r="K898" t="str">
        <f>IFERROR(VLOOKUP(J898,LUTs!$A$1:$C$73,2,FALSE),"NA")</f>
        <v>Pierce</v>
      </c>
      <c r="L898" t="str">
        <f>IFERROR(VLOOKUP(J898,LUTs!$A$1:$C$73,3,FALSE),"NA")</f>
        <v>3South Puget Sound</v>
      </c>
      <c r="M898" s="72" t="s">
        <v>18</v>
      </c>
      <c r="N898" t="str">
        <f>VLOOKUP(M898,LUTs!E$2:H$14,3,)</f>
        <v>06King</v>
      </c>
      <c r="O898" t="str">
        <f>VLOOKUP(M898,LUTs!E$2:H$14,4,)</f>
        <v>02South Puget Sound</v>
      </c>
      <c r="P898" s="73">
        <v>7</v>
      </c>
      <c r="Q898" s="74">
        <f>VLOOKUP(B898,Readme!A$40:C$51,2,)*P898</f>
        <v>60.550000000000004</v>
      </c>
    </row>
    <row r="899" spans="1:17" ht="12" customHeight="1" x14ac:dyDescent="0.35">
      <c r="A899" s="75">
        <v>898</v>
      </c>
      <c r="B899" s="64">
        <v>2012</v>
      </c>
      <c r="C899" s="64">
        <v>11</v>
      </c>
      <c r="D899" s="80">
        <f t="shared" si="31"/>
        <v>2012</v>
      </c>
      <c r="E899" t="s">
        <v>38</v>
      </c>
      <c r="F899" t="s">
        <v>143</v>
      </c>
      <c r="G899" t="s">
        <v>10</v>
      </c>
      <c r="H899" s="72" t="s">
        <v>211</v>
      </c>
      <c r="I899" s="72" t="s">
        <v>53</v>
      </c>
      <c r="J899" t="str">
        <f t="shared" ref="J899:J962" si="32">I899</f>
        <v>Carbon River</v>
      </c>
      <c r="K899" t="str">
        <f>IFERROR(VLOOKUP(J899,LUTs!$A$1:$C$73,2,FALSE),"NA")</f>
        <v>Pierce</v>
      </c>
      <c r="L899" t="str">
        <f>IFERROR(VLOOKUP(J899,LUTs!$A$1:$C$73,3,FALSE),"NA")</f>
        <v>3South Puget Sound</v>
      </c>
      <c r="M899" s="72" t="s">
        <v>20</v>
      </c>
      <c r="N899" t="str">
        <f>VLOOKUP(M899,LUTs!E$2:H$14,3,)</f>
        <v>07Pierce</v>
      </c>
      <c r="O899" t="str">
        <f>VLOOKUP(M899,LUTs!E$2:H$14,4,)</f>
        <v>02South Puget Sound</v>
      </c>
      <c r="P899" s="73">
        <v>7</v>
      </c>
      <c r="Q899" s="74">
        <f>VLOOKUP(B899,Readme!A$40:C$51,2,)*P899</f>
        <v>60.550000000000004</v>
      </c>
    </row>
    <row r="900" spans="1:17" ht="12" customHeight="1" x14ac:dyDescent="0.35">
      <c r="A900" s="75">
        <v>899</v>
      </c>
      <c r="B900" s="64">
        <v>2012</v>
      </c>
      <c r="C900" s="64">
        <v>8</v>
      </c>
      <c r="D900" s="80">
        <f t="shared" si="31"/>
        <v>2012</v>
      </c>
      <c r="E900" t="s">
        <v>38</v>
      </c>
      <c r="F900" t="s">
        <v>143</v>
      </c>
      <c r="G900" t="s">
        <v>10</v>
      </c>
      <c r="H900" s="72" t="s">
        <v>212</v>
      </c>
      <c r="I900" s="72" t="s">
        <v>54</v>
      </c>
      <c r="J900" t="str">
        <f t="shared" si="32"/>
        <v>Puyallup River</v>
      </c>
      <c r="K900" t="str">
        <f>IFERROR(VLOOKUP(J900,LUTs!$A$1:$C$73,2,FALSE),"NA")</f>
        <v>Pierce</v>
      </c>
      <c r="L900" t="str">
        <f>IFERROR(VLOOKUP(J900,LUTs!$A$1:$C$73,3,FALSE),"NA")</f>
        <v>3South Puget Sound</v>
      </c>
      <c r="M900" s="72" t="s">
        <v>18</v>
      </c>
      <c r="N900" t="str">
        <f>VLOOKUP(M900,LUTs!E$2:H$14,3,)</f>
        <v>06King</v>
      </c>
      <c r="O900" t="str">
        <f>VLOOKUP(M900,LUTs!E$2:H$14,4,)</f>
        <v>02South Puget Sound</v>
      </c>
      <c r="P900" s="73">
        <v>283.92</v>
      </c>
      <c r="Q900" s="74">
        <f>VLOOKUP(B900,Readme!A$40:C$51,2,)*P900</f>
        <v>2455.9080000000004</v>
      </c>
    </row>
    <row r="901" spans="1:17" ht="12" customHeight="1" x14ac:dyDescent="0.35">
      <c r="A901" s="75">
        <v>900</v>
      </c>
      <c r="B901" s="64">
        <v>2012</v>
      </c>
      <c r="C901" s="64">
        <v>8</v>
      </c>
      <c r="D901" s="80">
        <f t="shared" si="31"/>
        <v>2012</v>
      </c>
      <c r="E901" t="s">
        <v>38</v>
      </c>
      <c r="F901" t="s">
        <v>143</v>
      </c>
      <c r="G901" t="s">
        <v>10</v>
      </c>
      <c r="H901" s="72" t="s">
        <v>212</v>
      </c>
      <c r="I901" s="72" t="s">
        <v>54</v>
      </c>
      <c r="J901" t="str">
        <f t="shared" si="32"/>
        <v>Puyallup River</v>
      </c>
      <c r="K901" t="str">
        <f>IFERROR(VLOOKUP(J901,LUTs!$A$1:$C$73,2,FALSE),"NA")</f>
        <v>Pierce</v>
      </c>
      <c r="L901" t="str">
        <f>IFERROR(VLOOKUP(J901,LUTs!$A$1:$C$73,3,FALSE),"NA")</f>
        <v>3South Puget Sound</v>
      </c>
      <c r="M901" s="72" t="s">
        <v>20</v>
      </c>
      <c r="N901" t="str">
        <f>VLOOKUP(M901,LUTs!E$2:H$14,3,)</f>
        <v>07Pierce</v>
      </c>
      <c r="O901" t="str">
        <f>VLOOKUP(M901,LUTs!E$2:H$14,4,)</f>
        <v>02South Puget Sound</v>
      </c>
      <c r="P901" s="73">
        <v>436.8</v>
      </c>
      <c r="Q901" s="74">
        <f>VLOOKUP(B901,Readme!A$40:C$51,2,)*P901</f>
        <v>3778.32</v>
      </c>
    </row>
    <row r="902" spans="1:17" ht="12" customHeight="1" x14ac:dyDescent="0.35">
      <c r="A902" s="75">
        <v>901</v>
      </c>
      <c r="B902" s="64">
        <v>2012</v>
      </c>
      <c r="C902" s="64">
        <v>8</v>
      </c>
      <c r="D902" s="80">
        <f t="shared" si="31"/>
        <v>2012</v>
      </c>
      <c r="E902" t="s">
        <v>38</v>
      </c>
      <c r="F902" t="s">
        <v>143</v>
      </c>
      <c r="G902" t="s">
        <v>10</v>
      </c>
      <c r="H902" s="72" t="s">
        <v>212</v>
      </c>
      <c r="I902" s="72" t="s">
        <v>54</v>
      </c>
      <c r="J902" t="str">
        <f t="shared" si="32"/>
        <v>Puyallup River</v>
      </c>
      <c r="K902" t="str">
        <f>IFERROR(VLOOKUP(J902,LUTs!$A$1:$C$73,2,FALSE),"NA")</f>
        <v>Pierce</v>
      </c>
      <c r="L902" t="str">
        <f>IFERROR(VLOOKUP(J902,LUTs!$A$1:$C$73,3,FALSE),"NA")</f>
        <v>3South Puget Sound</v>
      </c>
      <c r="M902" s="72" t="s">
        <v>16</v>
      </c>
      <c r="N902" t="str">
        <f>VLOOKUP(M902,LUTs!E$2:H$14,3,)</f>
        <v>03Snohomish</v>
      </c>
      <c r="O902" t="str">
        <f>VLOOKUP(M902,LUTs!E$2:H$14,4,)</f>
        <v>01North Puget Sound</v>
      </c>
      <c r="P902" s="73">
        <v>7.28</v>
      </c>
      <c r="Q902" s="74">
        <f>VLOOKUP(B902,Readme!A$40:C$51,2,)*P902</f>
        <v>62.972000000000001</v>
      </c>
    </row>
    <row r="903" spans="1:17" ht="12" customHeight="1" x14ac:dyDescent="0.35">
      <c r="A903" s="75">
        <v>902</v>
      </c>
      <c r="B903" s="64">
        <v>2012</v>
      </c>
      <c r="C903" s="64">
        <v>9</v>
      </c>
      <c r="D903" s="80">
        <f t="shared" si="31"/>
        <v>2012</v>
      </c>
      <c r="E903" t="s">
        <v>38</v>
      </c>
      <c r="F903" t="s">
        <v>143</v>
      </c>
      <c r="G903" t="s">
        <v>10</v>
      </c>
      <c r="H903" s="72" t="s">
        <v>212</v>
      </c>
      <c r="I903" s="72" t="s">
        <v>54</v>
      </c>
      <c r="J903" t="str">
        <f t="shared" si="32"/>
        <v>Puyallup River</v>
      </c>
      <c r="K903" t="str">
        <f>IFERROR(VLOOKUP(J903,LUTs!$A$1:$C$73,2,FALSE),"NA")</f>
        <v>Pierce</v>
      </c>
      <c r="L903" t="str">
        <f>IFERROR(VLOOKUP(J903,LUTs!$A$1:$C$73,3,FALSE),"NA")</f>
        <v>3South Puget Sound</v>
      </c>
      <c r="M903" s="72" t="s">
        <v>18</v>
      </c>
      <c r="N903" t="str">
        <f>VLOOKUP(M903,LUTs!E$2:H$14,3,)</f>
        <v>06King</v>
      </c>
      <c r="O903" t="str">
        <f>VLOOKUP(M903,LUTs!E$2:H$14,4,)</f>
        <v>02South Puget Sound</v>
      </c>
      <c r="P903" s="73">
        <v>2518.57627118644</v>
      </c>
      <c r="Q903" s="74">
        <f>VLOOKUP(B903,Readme!A$40:C$51,2,)*P903</f>
        <v>21785.684745762708</v>
      </c>
    </row>
    <row r="904" spans="1:17" ht="12" customHeight="1" x14ac:dyDescent="0.35">
      <c r="A904" s="75">
        <v>903</v>
      </c>
      <c r="B904" s="64">
        <v>2012</v>
      </c>
      <c r="C904" s="64">
        <v>9</v>
      </c>
      <c r="D904" s="80">
        <f t="shared" si="31"/>
        <v>2012</v>
      </c>
      <c r="E904" t="s">
        <v>38</v>
      </c>
      <c r="F904" t="s">
        <v>143</v>
      </c>
      <c r="G904" t="s">
        <v>10</v>
      </c>
      <c r="H904" s="72" t="s">
        <v>212</v>
      </c>
      <c r="I904" s="72" t="s">
        <v>54</v>
      </c>
      <c r="J904" t="str">
        <f t="shared" si="32"/>
        <v>Puyallup River</v>
      </c>
      <c r="K904" t="str">
        <f>IFERROR(VLOOKUP(J904,LUTs!$A$1:$C$73,2,FALSE),"NA")</f>
        <v>Pierce</v>
      </c>
      <c r="L904" t="str">
        <f>IFERROR(VLOOKUP(J904,LUTs!$A$1:$C$73,3,FALSE),"NA")</f>
        <v>3South Puget Sound</v>
      </c>
      <c r="M904" s="72" t="s">
        <v>23</v>
      </c>
      <c r="N904" t="str">
        <f>VLOOKUP(M904,LUTs!E$2:H$14,3,)</f>
        <v>10Kitsap</v>
      </c>
      <c r="O904" t="str">
        <f>VLOOKUP(M904,LUTs!E$2:H$14,4,)</f>
        <v>02South Puget Sound</v>
      </c>
      <c r="P904" s="73">
        <v>144.74576271186399</v>
      </c>
      <c r="Q904" s="74">
        <f>VLOOKUP(B904,Readme!A$40:C$51,2,)*P904</f>
        <v>1252.0508474576236</v>
      </c>
    </row>
    <row r="905" spans="1:17" ht="12" customHeight="1" x14ac:dyDescent="0.35">
      <c r="A905" s="75">
        <v>904</v>
      </c>
      <c r="B905" s="64">
        <v>2012</v>
      </c>
      <c r="C905" s="64">
        <v>9</v>
      </c>
      <c r="D905" s="80">
        <f t="shared" si="31"/>
        <v>2012</v>
      </c>
      <c r="E905" t="s">
        <v>38</v>
      </c>
      <c r="F905" t="s">
        <v>143</v>
      </c>
      <c r="G905" t="s">
        <v>10</v>
      </c>
      <c r="H905" s="72" t="s">
        <v>212</v>
      </c>
      <c r="I905" s="72" t="s">
        <v>54</v>
      </c>
      <c r="J905" t="str">
        <f t="shared" si="32"/>
        <v>Puyallup River</v>
      </c>
      <c r="K905" t="str">
        <f>IFERROR(VLOOKUP(J905,LUTs!$A$1:$C$73,2,FALSE),"NA")</f>
        <v>Pierce</v>
      </c>
      <c r="L905" t="str">
        <f>IFERROR(VLOOKUP(J905,LUTs!$A$1:$C$73,3,FALSE),"NA")</f>
        <v>3South Puget Sound</v>
      </c>
      <c r="M905" s="72" t="s">
        <v>22</v>
      </c>
      <c r="N905" t="str">
        <f>VLOOKUP(M905,LUTs!E$2:H$14,3,)</f>
        <v>09Mason</v>
      </c>
      <c r="O905" t="str">
        <f>VLOOKUP(M905,LUTs!E$2:H$14,4,)</f>
        <v>02South Puget Sound</v>
      </c>
      <c r="P905" s="73">
        <v>14.4745762711864</v>
      </c>
      <c r="Q905" s="74">
        <f>VLOOKUP(B905,Readme!A$40:C$51,2,)*P905</f>
        <v>125.20508474576236</v>
      </c>
    </row>
    <row r="906" spans="1:17" ht="12" customHeight="1" x14ac:dyDescent="0.35">
      <c r="A906" s="75">
        <v>905</v>
      </c>
      <c r="B906" s="64">
        <v>2012</v>
      </c>
      <c r="C906" s="64">
        <v>9</v>
      </c>
      <c r="D906" s="80">
        <f t="shared" si="31"/>
        <v>2012</v>
      </c>
      <c r="E906" t="s">
        <v>38</v>
      </c>
      <c r="F906" t="s">
        <v>143</v>
      </c>
      <c r="G906" t="s">
        <v>10</v>
      </c>
      <c r="H906" s="72" t="s">
        <v>212</v>
      </c>
      <c r="I906" s="72" t="s">
        <v>54</v>
      </c>
      <c r="J906" t="str">
        <f t="shared" si="32"/>
        <v>Puyallup River</v>
      </c>
      <c r="K906" t="str">
        <f>IFERROR(VLOOKUP(J906,LUTs!$A$1:$C$73,2,FALSE),"NA")</f>
        <v>Pierce</v>
      </c>
      <c r="L906" t="str">
        <f>IFERROR(VLOOKUP(J906,LUTs!$A$1:$C$73,3,FALSE),"NA")</f>
        <v>3South Puget Sound</v>
      </c>
      <c r="M906" s="72" t="s">
        <v>26</v>
      </c>
      <c r="N906" t="str">
        <f>VLOOKUP(M906,LUTs!E$2:H$14,3,)</f>
        <v>20Other</v>
      </c>
      <c r="O906" t="str">
        <f>VLOOKUP(M906,LUTs!E$2:H$14,4,)</f>
        <v>07Non Puget Sound</v>
      </c>
      <c r="P906" s="73">
        <v>115.796610169492</v>
      </c>
      <c r="Q906" s="74">
        <f>VLOOKUP(B906,Readme!A$40:C$51,2,)*P906</f>
        <v>1001.6406779661058</v>
      </c>
    </row>
    <row r="907" spans="1:17" ht="12" customHeight="1" x14ac:dyDescent="0.35">
      <c r="A907" s="75">
        <v>906</v>
      </c>
      <c r="B907" s="64">
        <v>2012</v>
      </c>
      <c r="C907" s="64">
        <v>9</v>
      </c>
      <c r="D907" s="80">
        <f t="shared" si="31"/>
        <v>2012</v>
      </c>
      <c r="E907" t="s">
        <v>38</v>
      </c>
      <c r="F907" t="s">
        <v>143</v>
      </c>
      <c r="G907" t="s">
        <v>10</v>
      </c>
      <c r="H907" s="72" t="s">
        <v>212</v>
      </c>
      <c r="I907" s="72" t="s">
        <v>54</v>
      </c>
      <c r="J907" t="str">
        <f t="shared" si="32"/>
        <v>Puyallup River</v>
      </c>
      <c r="K907" t="str">
        <f>IFERROR(VLOOKUP(J907,LUTs!$A$1:$C$73,2,FALSE),"NA")</f>
        <v>Pierce</v>
      </c>
      <c r="L907" t="str">
        <f>IFERROR(VLOOKUP(J907,LUTs!$A$1:$C$73,3,FALSE),"NA")</f>
        <v>3South Puget Sound</v>
      </c>
      <c r="M907" s="72" t="s">
        <v>20</v>
      </c>
      <c r="N907" t="str">
        <f>VLOOKUP(M907,LUTs!E$2:H$14,3,)</f>
        <v>07Pierce</v>
      </c>
      <c r="O907" t="str">
        <f>VLOOKUP(M907,LUTs!E$2:H$14,4,)</f>
        <v>02South Puget Sound</v>
      </c>
      <c r="P907" s="73">
        <v>4270</v>
      </c>
      <c r="Q907" s="74">
        <f>VLOOKUP(B907,Readme!A$40:C$51,2,)*P907</f>
        <v>36935.5</v>
      </c>
    </row>
    <row r="908" spans="1:17" ht="12" customHeight="1" x14ac:dyDescent="0.35">
      <c r="A908" s="75">
        <v>907</v>
      </c>
      <c r="B908" s="64">
        <v>2012</v>
      </c>
      <c r="C908" s="64">
        <v>9</v>
      </c>
      <c r="D908" s="80">
        <f t="shared" si="31"/>
        <v>2012</v>
      </c>
      <c r="E908" t="s">
        <v>38</v>
      </c>
      <c r="F908" t="s">
        <v>143</v>
      </c>
      <c r="G908" t="s">
        <v>10</v>
      </c>
      <c r="H908" s="72" t="s">
        <v>212</v>
      </c>
      <c r="I908" s="72" t="s">
        <v>54</v>
      </c>
      <c r="J908" t="str">
        <f t="shared" si="32"/>
        <v>Puyallup River</v>
      </c>
      <c r="K908" t="str">
        <f>IFERROR(VLOOKUP(J908,LUTs!$A$1:$C$73,2,FALSE),"NA")</f>
        <v>Pierce</v>
      </c>
      <c r="L908" t="str">
        <f>IFERROR(VLOOKUP(J908,LUTs!$A$1:$C$73,3,FALSE),"NA")</f>
        <v>3South Puget Sound</v>
      </c>
      <c r="M908" s="72" t="s">
        <v>16</v>
      </c>
      <c r="N908" t="str">
        <f>VLOOKUP(M908,LUTs!E$2:H$14,3,)</f>
        <v>03Snohomish</v>
      </c>
      <c r="O908" t="str">
        <f>VLOOKUP(M908,LUTs!E$2:H$14,4,)</f>
        <v>01North Puget Sound</v>
      </c>
      <c r="P908" s="73">
        <v>28.9491525423729</v>
      </c>
      <c r="Q908" s="74">
        <f>VLOOKUP(B908,Readme!A$40:C$51,2,)*P908</f>
        <v>250.41016949152561</v>
      </c>
    </row>
    <row r="909" spans="1:17" ht="12" customHeight="1" x14ac:dyDescent="0.35">
      <c r="A909" s="75">
        <v>908</v>
      </c>
      <c r="B909" s="64">
        <v>2012</v>
      </c>
      <c r="C909" s="64">
        <v>9</v>
      </c>
      <c r="D909" s="80">
        <f t="shared" si="31"/>
        <v>2012</v>
      </c>
      <c r="E909" t="s">
        <v>38</v>
      </c>
      <c r="F909" t="s">
        <v>143</v>
      </c>
      <c r="G909" t="s">
        <v>10</v>
      </c>
      <c r="H909" s="72" t="s">
        <v>212</v>
      </c>
      <c r="I909" s="72" t="s">
        <v>54</v>
      </c>
      <c r="J909" t="str">
        <f t="shared" si="32"/>
        <v>Puyallup River</v>
      </c>
      <c r="K909" t="str">
        <f>IFERROR(VLOOKUP(J909,LUTs!$A$1:$C$73,2,FALSE),"NA")</f>
        <v>Pierce</v>
      </c>
      <c r="L909" t="str">
        <f>IFERROR(VLOOKUP(J909,LUTs!$A$1:$C$73,3,FALSE),"NA")</f>
        <v>3South Puget Sound</v>
      </c>
      <c r="M909" s="72" t="s">
        <v>21</v>
      </c>
      <c r="N909" t="str">
        <f>VLOOKUP(M909,LUTs!E$2:H$14,3,)</f>
        <v>08Thurston</v>
      </c>
      <c r="O909" t="str">
        <f>VLOOKUP(M909,LUTs!E$2:H$14,4,)</f>
        <v>02South Puget Sound</v>
      </c>
      <c r="P909" s="73">
        <v>166.45762711864401</v>
      </c>
      <c r="Q909" s="74">
        <f>VLOOKUP(B909,Readme!A$40:C$51,2,)*P909</f>
        <v>1439.8584745762707</v>
      </c>
    </row>
    <row r="910" spans="1:17" ht="12" customHeight="1" x14ac:dyDescent="0.35">
      <c r="A910" s="75">
        <v>909</v>
      </c>
      <c r="B910" s="64">
        <v>2012</v>
      </c>
      <c r="C910" s="64">
        <v>10</v>
      </c>
      <c r="D910" s="80">
        <f t="shared" si="31"/>
        <v>2012</v>
      </c>
      <c r="E910" t="s">
        <v>38</v>
      </c>
      <c r="F910" t="s">
        <v>143</v>
      </c>
      <c r="G910" t="s">
        <v>10</v>
      </c>
      <c r="H910" s="72" t="s">
        <v>212</v>
      </c>
      <c r="I910" s="72" t="s">
        <v>54</v>
      </c>
      <c r="J910" t="str">
        <f t="shared" si="32"/>
        <v>Puyallup River</v>
      </c>
      <c r="K910" t="str">
        <f>IFERROR(VLOOKUP(J910,LUTs!$A$1:$C$73,2,FALSE),"NA")</f>
        <v>Pierce</v>
      </c>
      <c r="L910" t="str">
        <f>IFERROR(VLOOKUP(J910,LUTs!$A$1:$C$73,3,FALSE),"NA")</f>
        <v>3South Puget Sound</v>
      </c>
      <c r="M910" s="72" t="s">
        <v>18</v>
      </c>
      <c r="N910" t="str">
        <f>VLOOKUP(M910,LUTs!E$2:H$14,3,)</f>
        <v>06King</v>
      </c>
      <c r="O910" t="str">
        <f>VLOOKUP(M910,LUTs!E$2:H$14,4,)</f>
        <v>02South Puget Sound</v>
      </c>
      <c r="P910" s="73">
        <v>93.948453608247405</v>
      </c>
      <c r="Q910" s="74">
        <f>VLOOKUP(B910,Readme!A$40:C$51,2,)*P910</f>
        <v>812.65412371134005</v>
      </c>
    </row>
    <row r="911" spans="1:17" ht="12" customHeight="1" x14ac:dyDescent="0.35">
      <c r="A911" s="75">
        <v>910</v>
      </c>
      <c r="B911" s="64">
        <v>2012</v>
      </c>
      <c r="C911" s="64">
        <v>10</v>
      </c>
      <c r="D911" s="80">
        <f t="shared" si="31"/>
        <v>2012</v>
      </c>
      <c r="E911" t="s">
        <v>38</v>
      </c>
      <c r="F911" t="s">
        <v>143</v>
      </c>
      <c r="G911" t="s">
        <v>10</v>
      </c>
      <c r="H911" s="72" t="s">
        <v>212</v>
      </c>
      <c r="I911" s="72" t="s">
        <v>54</v>
      </c>
      <c r="J911" t="str">
        <f t="shared" si="32"/>
        <v>Puyallup River</v>
      </c>
      <c r="K911" t="str">
        <f>IFERROR(VLOOKUP(J911,LUTs!$A$1:$C$73,2,FALSE),"NA")</f>
        <v>Pierce</v>
      </c>
      <c r="L911" t="str">
        <f>IFERROR(VLOOKUP(J911,LUTs!$A$1:$C$73,3,FALSE),"NA")</f>
        <v>3South Puget Sound</v>
      </c>
      <c r="M911" s="72" t="s">
        <v>20</v>
      </c>
      <c r="N911" t="str">
        <f>VLOOKUP(M911,LUTs!E$2:H$14,3,)</f>
        <v>07Pierce</v>
      </c>
      <c r="O911" t="str">
        <f>VLOOKUP(M911,LUTs!E$2:H$14,4,)</f>
        <v>02South Puget Sound</v>
      </c>
      <c r="P911" s="73">
        <v>599.82474226804095</v>
      </c>
      <c r="Q911" s="74">
        <f>VLOOKUP(B911,Readme!A$40:C$51,2,)*P911</f>
        <v>5188.4840206185545</v>
      </c>
    </row>
    <row r="912" spans="1:17" ht="12" customHeight="1" x14ac:dyDescent="0.35">
      <c r="A912" s="75">
        <v>911</v>
      </c>
      <c r="B912" s="64">
        <v>2012</v>
      </c>
      <c r="C912" s="64">
        <v>10</v>
      </c>
      <c r="D912" s="80">
        <f t="shared" si="31"/>
        <v>2012</v>
      </c>
      <c r="E912" t="s">
        <v>38</v>
      </c>
      <c r="F912" t="s">
        <v>143</v>
      </c>
      <c r="G912" t="s">
        <v>10</v>
      </c>
      <c r="H912" s="72" t="s">
        <v>212</v>
      </c>
      <c r="I912" s="72" t="s">
        <v>54</v>
      </c>
      <c r="J912" t="str">
        <f t="shared" si="32"/>
        <v>Puyallup River</v>
      </c>
      <c r="K912" t="str">
        <f>IFERROR(VLOOKUP(J912,LUTs!$A$1:$C$73,2,FALSE),"NA")</f>
        <v>Pierce</v>
      </c>
      <c r="L912" t="str">
        <f>IFERROR(VLOOKUP(J912,LUTs!$A$1:$C$73,3,FALSE),"NA")</f>
        <v>3South Puget Sound</v>
      </c>
      <c r="M912" s="72" t="s">
        <v>13</v>
      </c>
      <c r="N912" t="str">
        <f>VLOOKUP(M912,LUTs!E$2:H$14,3,)</f>
        <v>01Whatcom</v>
      </c>
      <c r="O912" t="str">
        <f>VLOOKUP(M912,LUTs!E$2:H$14,4,)</f>
        <v>01North Puget Sound</v>
      </c>
      <c r="P912" s="73">
        <v>7.2268041237113403</v>
      </c>
      <c r="Q912" s="74">
        <f>VLOOKUP(B912,Readme!A$40:C$51,2,)*P912</f>
        <v>62.511855670103095</v>
      </c>
    </row>
    <row r="913" spans="1:17" ht="12" customHeight="1" x14ac:dyDescent="0.35">
      <c r="A913" s="75">
        <v>912</v>
      </c>
      <c r="B913" s="64">
        <v>2012</v>
      </c>
      <c r="C913" s="64">
        <v>11</v>
      </c>
      <c r="D913" s="80">
        <f t="shared" si="31"/>
        <v>2012</v>
      </c>
      <c r="E913" t="s">
        <v>38</v>
      </c>
      <c r="F913" t="s">
        <v>143</v>
      </c>
      <c r="G913" t="s">
        <v>10</v>
      </c>
      <c r="H913" s="72" t="s">
        <v>212</v>
      </c>
      <c r="I913" s="72" t="s">
        <v>54</v>
      </c>
      <c r="J913" t="str">
        <f t="shared" si="32"/>
        <v>Puyallup River</v>
      </c>
      <c r="K913" t="str">
        <f>IFERROR(VLOOKUP(J913,LUTs!$A$1:$C$73,2,FALSE),"NA")</f>
        <v>Pierce</v>
      </c>
      <c r="L913" t="str">
        <f>IFERROR(VLOOKUP(J913,LUTs!$A$1:$C$73,3,FALSE),"NA")</f>
        <v>3South Puget Sound</v>
      </c>
      <c r="M913" s="72" t="s">
        <v>18</v>
      </c>
      <c r="N913" t="str">
        <f>VLOOKUP(M913,LUTs!E$2:H$14,3,)</f>
        <v>06King</v>
      </c>
      <c r="O913" t="str">
        <f>VLOOKUP(M913,LUTs!E$2:H$14,4,)</f>
        <v>02South Puget Sound</v>
      </c>
      <c r="P913" s="73">
        <v>7.0869565217391299</v>
      </c>
      <c r="Q913" s="74">
        <f>VLOOKUP(B913,Readme!A$40:C$51,2,)*P913</f>
        <v>61.302173913043475</v>
      </c>
    </row>
    <row r="914" spans="1:17" ht="12" customHeight="1" x14ac:dyDescent="0.35">
      <c r="A914" s="75">
        <v>913</v>
      </c>
      <c r="B914" s="64">
        <v>2012</v>
      </c>
      <c r="C914" s="64">
        <v>11</v>
      </c>
      <c r="D914" s="80">
        <f t="shared" si="31"/>
        <v>2012</v>
      </c>
      <c r="E914" t="s">
        <v>38</v>
      </c>
      <c r="F914" t="s">
        <v>143</v>
      </c>
      <c r="G914" t="s">
        <v>10</v>
      </c>
      <c r="H914" s="72" t="s">
        <v>212</v>
      </c>
      <c r="I914" s="72" t="s">
        <v>54</v>
      </c>
      <c r="J914" t="str">
        <f t="shared" si="32"/>
        <v>Puyallup River</v>
      </c>
      <c r="K914" t="str">
        <f>IFERROR(VLOOKUP(J914,LUTs!$A$1:$C$73,2,FALSE),"NA")</f>
        <v>Pierce</v>
      </c>
      <c r="L914" t="str">
        <f>IFERROR(VLOOKUP(J914,LUTs!$A$1:$C$73,3,FALSE),"NA")</f>
        <v>3South Puget Sound</v>
      </c>
      <c r="M914" s="72" t="s">
        <v>20</v>
      </c>
      <c r="N914" t="str">
        <f>VLOOKUP(M914,LUTs!E$2:H$14,3,)</f>
        <v>07Pierce</v>
      </c>
      <c r="O914" t="str">
        <f>VLOOKUP(M914,LUTs!E$2:H$14,4,)</f>
        <v>02South Puget Sound</v>
      </c>
      <c r="P914" s="73">
        <v>290.56521739130397</v>
      </c>
      <c r="Q914" s="74">
        <f>VLOOKUP(B914,Readme!A$40:C$51,2,)*P914</f>
        <v>2513.3891304347794</v>
      </c>
    </row>
    <row r="915" spans="1:17" ht="12" customHeight="1" x14ac:dyDescent="0.35">
      <c r="A915" s="75">
        <v>914</v>
      </c>
      <c r="B915" s="64">
        <v>2012</v>
      </c>
      <c r="C915" s="64">
        <v>11</v>
      </c>
      <c r="D915" s="80">
        <f t="shared" si="31"/>
        <v>2012</v>
      </c>
      <c r="E915" t="s">
        <v>38</v>
      </c>
      <c r="F915" t="s">
        <v>143</v>
      </c>
      <c r="G915" t="s">
        <v>10</v>
      </c>
      <c r="H915" s="72" t="s">
        <v>212</v>
      </c>
      <c r="I915" s="72" t="s">
        <v>54</v>
      </c>
      <c r="J915" t="str">
        <f t="shared" si="32"/>
        <v>Puyallup River</v>
      </c>
      <c r="K915" t="str">
        <f>IFERROR(VLOOKUP(J915,LUTs!$A$1:$C$73,2,FALSE),"NA")</f>
        <v>Pierce</v>
      </c>
      <c r="L915" t="str">
        <f>IFERROR(VLOOKUP(J915,LUTs!$A$1:$C$73,3,FALSE),"NA")</f>
        <v>3South Puget Sound</v>
      </c>
      <c r="M915" s="72" t="s">
        <v>21</v>
      </c>
      <c r="N915" t="str">
        <f>VLOOKUP(M915,LUTs!E$2:H$14,3,)</f>
        <v>08Thurston</v>
      </c>
      <c r="O915" t="str">
        <f>VLOOKUP(M915,LUTs!E$2:H$14,4,)</f>
        <v>02South Puget Sound</v>
      </c>
      <c r="P915" s="73">
        <v>7.0869565217391299</v>
      </c>
      <c r="Q915" s="74">
        <f>VLOOKUP(B915,Readme!A$40:C$51,2,)*P915</f>
        <v>61.302173913043475</v>
      </c>
    </row>
    <row r="916" spans="1:17" ht="12" customHeight="1" x14ac:dyDescent="0.35">
      <c r="A916" s="75">
        <v>915</v>
      </c>
      <c r="B916" s="64">
        <v>2012</v>
      </c>
      <c r="C916" s="64">
        <v>11</v>
      </c>
      <c r="D916" s="80">
        <f t="shared" si="31"/>
        <v>2012</v>
      </c>
      <c r="E916" t="s">
        <v>38</v>
      </c>
      <c r="F916" t="s">
        <v>143</v>
      </c>
      <c r="G916" t="s">
        <v>10</v>
      </c>
      <c r="H916" s="72" t="s">
        <v>212</v>
      </c>
      <c r="I916" s="72" t="s">
        <v>54</v>
      </c>
      <c r="J916" t="str">
        <f t="shared" si="32"/>
        <v>Puyallup River</v>
      </c>
      <c r="K916" t="str">
        <f>IFERROR(VLOOKUP(J916,LUTs!$A$1:$C$73,2,FALSE),"NA")</f>
        <v>Pierce</v>
      </c>
      <c r="L916" t="str">
        <f>IFERROR(VLOOKUP(J916,LUTs!$A$1:$C$73,3,FALSE),"NA")</f>
        <v>3South Puget Sound</v>
      </c>
      <c r="M916" s="72" t="s">
        <v>13</v>
      </c>
      <c r="N916" t="str">
        <f>VLOOKUP(M916,LUTs!E$2:H$14,3,)</f>
        <v>01Whatcom</v>
      </c>
      <c r="O916" t="str">
        <f>VLOOKUP(M916,LUTs!E$2:H$14,4,)</f>
        <v>01North Puget Sound</v>
      </c>
      <c r="P916" s="73">
        <v>21.260869565217401</v>
      </c>
      <c r="Q916" s="74">
        <f>VLOOKUP(B916,Readme!A$40:C$51,2,)*P916</f>
        <v>183.90652173913054</v>
      </c>
    </row>
    <row r="917" spans="1:17" ht="12" customHeight="1" x14ac:dyDescent="0.35">
      <c r="A917" s="75">
        <v>916</v>
      </c>
      <c r="B917" s="64">
        <v>2012</v>
      </c>
      <c r="C917" s="64">
        <v>12</v>
      </c>
      <c r="D917" s="80">
        <f t="shared" si="31"/>
        <v>2012</v>
      </c>
      <c r="E917" t="s">
        <v>38</v>
      </c>
      <c r="F917" t="s">
        <v>143</v>
      </c>
      <c r="G917" t="s">
        <v>10</v>
      </c>
      <c r="H917" s="72" t="s">
        <v>212</v>
      </c>
      <c r="I917" s="72" t="s">
        <v>54</v>
      </c>
      <c r="J917" t="str">
        <f t="shared" si="32"/>
        <v>Puyallup River</v>
      </c>
      <c r="K917" t="str">
        <f>IFERROR(VLOOKUP(J917,LUTs!$A$1:$C$73,2,FALSE),"NA")</f>
        <v>Pierce</v>
      </c>
      <c r="L917" t="str">
        <f>IFERROR(VLOOKUP(J917,LUTs!$A$1:$C$73,3,FALSE),"NA")</f>
        <v>3South Puget Sound</v>
      </c>
      <c r="M917" s="72" t="s">
        <v>20</v>
      </c>
      <c r="N917" t="str">
        <f>VLOOKUP(M917,LUTs!E$2:H$14,3,)</f>
        <v>07Pierce</v>
      </c>
      <c r="O917" t="str">
        <f>VLOOKUP(M917,LUTs!E$2:H$14,4,)</f>
        <v>02South Puget Sound</v>
      </c>
      <c r="P917" s="73">
        <v>119.944444444444</v>
      </c>
      <c r="Q917" s="74">
        <f>VLOOKUP(B917,Readme!A$40:C$51,2,)*P917</f>
        <v>1037.5194444444408</v>
      </c>
    </row>
    <row r="918" spans="1:17" ht="12" customHeight="1" x14ac:dyDescent="0.35">
      <c r="A918" s="75">
        <v>917</v>
      </c>
      <c r="B918" s="64">
        <v>2012</v>
      </c>
      <c r="C918" s="64">
        <v>12</v>
      </c>
      <c r="D918" s="80">
        <f t="shared" si="31"/>
        <v>2012</v>
      </c>
      <c r="E918" t="s">
        <v>38</v>
      </c>
      <c r="F918" t="s">
        <v>143</v>
      </c>
      <c r="G918" t="s">
        <v>10</v>
      </c>
      <c r="H918" s="72" t="s">
        <v>212</v>
      </c>
      <c r="I918" s="72" t="s">
        <v>54</v>
      </c>
      <c r="J918" t="str">
        <f t="shared" si="32"/>
        <v>Puyallup River</v>
      </c>
      <c r="K918" t="str">
        <f>IFERROR(VLOOKUP(J918,LUTs!$A$1:$C$73,2,FALSE),"NA")</f>
        <v>Pierce</v>
      </c>
      <c r="L918" t="str">
        <f>IFERROR(VLOOKUP(J918,LUTs!$A$1:$C$73,3,FALSE),"NA")</f>
        <v>3South Puget Sound</v>
      </c>
      <c r="M918" s="72" t="s">
        <v>13</v>
      </c>
      <c r="N918" t="str">
        <f>VLOOKUP(M918,LUTs!E$2:H$14,3,)</f>
        <v>01Whatcom</v>
      </c>
      <c r="O918" t="str">
        <f>VLOOKUP(M918,LUTs!E$2:H$14,4,)</f>
        <v>01North Puget Sound</v>
      </c>
      <c r="P918" s="73">
        <v>7.0555555555555598</v>
      </c>
      <c r="Q918" s="74">
        <f>VLOOKUP(B918,Readme!A$40:C$51,2,)*P918</f>
        <v>61.030555555555594</v>
      </c>
    </row>
    <row r="919" spans="1:17" ht="12" customHeight="1" x14ac:dyDescent="0.35">
      <c r="A919" s="75">
        <v>918</v>
      </c>
      <c r="B919" s="64">
        <v>2012</v>
      </c>
      <c r="C919" s="64">
        <v>8</v>
      </c>
      <c r="D919" s="80">
        <f t="shared" si="31"/>
        <v>2012</v>
      </c>
      <c r="E919" t="s">
        <v>38</v>
      </c>
      <c r="F919" t="s">
        <v>143</v>
      </c>
      <c r="G919" t="s">
        <v>10</v>
      </c>
      <c r="H919" s="72" t="s">
        <v>213</v>
      </c>
      <c r="I919" s="72" t="s">
        <v>55</v>
      </c>
      <c r="J919" t="str">
        <f t="shared" si="32"/>
        <v>Quilcene River</v>
      </c>
      <c r="K919" t="str">
        <f>IFERROR(VLOOKUP(J919,LUTs!$A$1:$C$73,2,FALSE),"NA")</f>
        <v>Jefferson</v>
      </c>
      <c r="L919" t="str">
        <f>IFERROR(VLOOKUP(J919,LUTs!$A$1:$C$73,3,FALSE),"NA")</f>
        <v>4 Hood Canal</v>
      </c>
      <c r="M919" s="72" t="s">
        <v>24</v>
      </c>
      <c r="N919" t="str">
        <f>VLOOKUP(M919,LUTs!E$2:H$14,3,)</f>
        <v>11Clallam</v>
      </c>
      <c r="O919" t="str">
        <f>VLOOKUP(M919,LUTs!E$2:H$14,4,)</f>
        <v>03Strait of Juan de Fuca</v>
      </c>
      <c r="P919" s="73">
        <v>14.9908256880734</v>
      </c>
      <c r="Q919" s="74">
        <f>VLOOKUP(B919,Readme!A$40:C$51,2,)*P919</f>
        <v>129.67064220183491</v>
      </c>
    </row>
    <row r="920" spans="1:17" ht="12" customHeight="1" x14ac:dyDescent="0.35">
      <c r="A920" s="75">
        <v>919</v>
      </c>
      <c r="B920" s="64">
        <v>2012</v>
      </c>
      <c r="C920" s="64">
        <v>8</v>
      </c>
      <c r="D920" s="80">
        <f t="shared" si="31"/>
        <v>2012</v>
      </c>
      <c r="E920" t="s">
        <v>38</v>
      </c>
      <c r="F920" t="s">
        <v>143</v>
      </c>
      <c r="G920" t="s">
        <v>10</v>
      </c>
      <c r="H920" s="72" t="s">
        <v>213</v>
      </c>
      <c r="I920" s="72" t="s">
        <v>55</v>
      </c>
      <c r="J920" t="str">
        <f t="shared" si="32"/>
        <v>Quilcene River</v>
      </c>
      <c r="K920" t="str">
        <f>IFERROR(VLOOKUP(J920,LUTs!$A$1:$C$73,2,FALSE),"NA")</f>
        <v>Jefferson</v>
      </c>
      <c r="L920" t="str">
        <f>IFERROR(VLOOKUP(J920,LUTs!$A$1:$C$73,3,FALSE),"NA")</f>
        <v>4 Hood Canal</v>
      </c>
      <c r="M920" s="72" t="s">
        <v>25</v>
      </c>
      <c r="N920" t="str">
        <f>VLOOKUP(M920,LUTs!E$2:H$14,3,)</f>
        <v>12Jefferson</v>
      </c>
      <c r="O920" t="str">
        <f>VLOOKUP(M920,LUTs!E$2:H$14,4,)</f>
        <v>03Strait of Juan de Fuca</v>
      </c>
      <c r="P920" s="73">
        <v>419.74311926605498</v>
      </c>
      <c r="Q920" s="74">
        <f>VLOOKUP(B920,Readme!A$40:C$51,2,)*P920</f>
        <v>3630.7779816513757</v>
      </c>
    </row>
    <row r="921" spans="1:17" ht="12" customHeight="1" x14ac:dyDescent="0.35">
      <c r="A921" s="75">
        <v>920</v>
      </c>
      <c r="B921" s="64">
        <v>2012</v>
      </c>
      <c r="C921" s="64">
        <v>8</v>
      </c>
      <c r="D921" s="80">
        <f t="shared" si="31"/>
        <v>2012</v>
      </c>
      <c r="E921" t="s">
        <v>38</v>
      </c>
      <c r="F921" t="s">
        <v>143</v>
      </c>
      <c r="G921" t="s">
        <v>10</v>
      </c>
      <c r="H921" s="72" t="s">
        <v>213</v>
      </c>
      <c r="I921" s="72" t="s">
        <v>55</v>
      </c>
      <c r="J921" t="str">
        <f t="shared" si="32"/>
        <v>Quilcene River</v>
      </c>
      <c r="K921" t="str">
        <f>IFERROR(VLOOKUP(J921,LUTs!$A$1:$C$73,2,FALSE),"NA")</f>
        <v>Jefferson</v>
      </c>
      <c r="L921" t="str">
        <f>IFERROR(VLOOKUP(J921,LUTs!$A$1:$C$73,3,FALSE),"NA")</f>
        <v>4 Hood Canal</v>
      </c>
      <c r="M921" s="72" t="s">
        <v>18</v>
      </c>
      <c r="N921" t="str">
        <f>VLOOKUP(M921,LUTs!E$2:H$14,3,)</f>
        <v>06King</v>
      </c>
      <c r="O921" t="str">
        <f>VLOOKUP(M921,LUTs!E$2:H$14,4,)</f>
        <v>02South Puget Sound</v>
      </c>
      <c r="P921" s="73">
        <v>44.9724770642202</v>
      </c>
      <c r="Q921" s="74">
        <f>VLOOKUP(B921,Readme!A$40:C$51,2,)*P921</f>
        <v>389.01192660550475</v>
      </c>
    </row>
    <row r="922" spans="1:17" ht="12" customHeight="1" x14ac:dyDescent="0.35">
      <c r="A922" s="75">
        <v>921</v>
      </c>
      <c r="B922" s="64">
        <v>2012</v>
      </c>
      <c r="C922" s="64">
        <v>8</v>
      </c>
      <c r="D922" s="80">
        <f t="shared" si="31"/>
        <v>2012</v>
      </c>
      <c r="E922" t="s">
        <v>38</v>
      </c>
      <c r="F922" t="s">
        <v>143</v>
      </c>
      <c r="G922" t="s">
        <v>10</v>
      </c>
      <c r="H922" s="72" t="s">
        <v>213</v>
      </c>
      <c r="I922" s="72" t="s">
        <v>55</v>
      </c>
      <c r="J922" t="str">
        <f t="shared" si="32"/>
        <v>Quilcene River</v>
      </c>
      <c r="K922" t="str">
        <f>IFERROR(VLOOKUP(J922,LUTs!$A$1:$C$73,2,FALSE),"NA")</f>
        <v>Jefferson</v>
      </c>
      <c r="L922" t="str">
        <f>IFERROR(VLOOKUP(J922,LUTs!$A$1:$C$73,3,FALSE),"NA")</f>
        <v>4 Hood Canal</v>
      </c>
      <c r="M922" s="72" t="s">
        <v>23</v>
      </c>
      <c r="N922" t="str">
        <f>VLOOKUP(M922,LUTs!E$2:H$14,3,)</f>
        <v>10Kitsap</v>
      </c>
      <c r="O922" t="str">
        <f>VLOOKUP(M922,LUTs!E$2:H$14,4,)</f>
        <v>02South Puget Sound</v>
      </c>
      <c r="P922" s="73">
        <v>112.43119266055</v>
      </c>
      <c r="Q922" s="74">
        <f>VLOOKUP(B922,Readme!A$40:C$51,2,)*P922</f>
        <v>972.52981651375751</v>
      </c>
    </row>
    <row r="923" spans="1:17" ht="12" customHeight="1" x14ac:dyDescent="0.35">
      <c r="A923" s="75">
        <v>922</v>
      </c>
      <c r="B923" s="64">
        <v>2012</v>
      </c>
      <c r="C923" s="64">
        <v>8</v>
      </c>
      <c r="D923" s="80">
        <f t="shared" si="31"/>
        <v>2012</v>
      </c>
      <c r="E923" t="s">
        <v>38</v>
      </c>
      <c r="F923" t="s">
        <v>143</v>
      </c>
      <c r="G923" t="s">
        <v>10</v>
      </c>
      <c r="H923" s="72" t="s">
        <v>213</v>
      </c>
      <c r="I923" s="72" t="s">
        <v>55</v>
      </c>
      <c r="J923" t="str">
        <f t="shared" si="32"/>
        <v>Quilcene River</v>
      </c>
      <c r="K923" t="str">
        <f>IFERROR(VLOOKUP(J923,LUTs!$A$1:$C$73,2,FALSE),"NA")</f>
        <v>Jefferson</v>
      </c>
      <c r="L923" t="str">
        <f>IFERROR(VLOOKUP(J923,LUTs!$A$1:$C$73,3,FALSE),"NA")</f>
        <v>4 Hood Canal</v>
      </c>
      <c r="M923" s="72" t="s">
        <v>26</v>
      </c>
      <c r="N923" t="str">
        <f>VLOOKUP(M923,LUTs!E$2:H$14,3,)</f>
        <v>20Other</v>
      </c>
      <c r="O923" t="str">
        <f>VLOOKUP(M923,LUTs!E$2:H$14,4,)</f>
        <v>07Non Puget Sound</v>
      </c>
      <c r="P923" s="73">
        <v>157.40366972477099</v>
      </c>
      <c r="Q923" s="74">
        <f>VLOOKUP(B923,Readme!A$40:C$51,2,)*P923</f>
        <v>1361.5417431192691</v>
      </c>
    </row>
    <row r="924" spans="1:17" ht="12" customHeight="1" x14ac:dyDescent="0.35">
      <c r="A924" s="75">
        <v>923</v>
      </c>
      <c r="B924" s="64">
        <v>2012</v>
      </c>
      <c r="C924" s="64">
        <v>8</v>
      </c>
      <c r="D924" s="80">
        <f t="shared" si="31"/>
        <v>2012</v>
      </c>
      <c r="E924" t="s">
        <v>38</v>
      </c>
      <c r="F924" t="s">
        <v>143</v>
      </c>
      <c r="G924" t="s">
        <v>10</v>
      </c>
      <c r="H924" s="72" t="s">
        <v>213</v>
      </c>
      <c r="I924" s="72" t="s">
        <v>55</v>
      </c>
      <c r="J924" t="str">
        <f t="shared" si="32"/>
        <v>Quilcene River</v>
      </c>
      <c r="K924" t="str">
        <f>IFERROR(VLOOKUP(J924,LUTs!$A$1:$C$73,2,FALSE),"NA")</f>
        <v>Jefferson</v>
      </c>
      <c r="L924" t="str">
        <f>IFERROR(VLOOKUP(J924,LUTs!$A$1:$C$73,3,FALSE),"NA")</f>
        <v>4 Hood Canal</v>
      </c>
      <c r="M924" s="72" t="s">
        <v>20</v>
      </c>
      <c r="N924" t="str">
        <f>VLOOKUP(M924,LUTs!E$2:H$14,3,)</f>
        <v>07Pierce</v>
      </c>
      <c r="O924" t="str">
        <f>VLOOKUP(M924,LUTs!E$2:H$14,4,)</f>
        <v>02South Puget Sound</v>
      </c>
      <c r="P924" s="73">
        <v>37.4770642201835</v>
      </c>
      <c r="Q924" s="74">
        <f>VLOOKUP(B924,Readme!A$40:C$51,2,)*P924</f>
        <v>324.17660550458731</v>
      </c>
    </row>
    <row r="925" spans="1:17" ht="12" customHeight="1" x14ac:dyDescent="0.35">
      <c r="A925" s="75">
        <v>924</v>
      </c>
      <c r="B925" s="64">
        <v>2012</v>
      </c>
      <c r="C925" s="64">
        <v>8</v>
      </c>
      <c r="D925" s="80">
        <f t="shared" si="31"/>
        <v>2012</v>
      </c>
      <c r="E925" t="s">
        <v>38</v>
      </c>
      <c r="F925" t="s">
        <v>143</v>
      </c>
      <c r="G925" t="s">
        <v>10</v>
      </c>
      <c r="H925" s="72" t="s">
        <v>213</v>
      </c>
      <c r="I925" s="72" t="s">
        <v>55</v>
      </c>
      <c r="J925" t="str">
        <f t="shared" si="32"/>
        <v>Quilcene River</v>
      </c>
      <c r="K925" t="str">
        <f>IFERROR(VLOOKUP(J925,LUTs!$A$1:$C$73,2,FALSE),"NA")</f>
        <v>Jefferson</v>
      </c>
      <c r="L925" t="str">
        <f>IFERROR(VLOOKUP(J925,LUTs!$A$1:$C$73,3,FALSE),"NA")</f>
        <v>4 Hood Canal</v>
      </c>
      <c r="M925" s="72" t="s">
        <v>16</v>
      </c>
      <c r="N925" t="str">
        <f>VLOOKUP(M925,LUTs!E$2:H$14,3,)</f>
        <v>03Snohomish</v>
      </c>
      <c r="O925" t="str">
        <f>VLOOKUP(M925,LUTs!E$2:H$14,4,)</f>
        <v>01North Puget Sound</v>
      </c>
      <c r="P925" s="73">
        <v>29.9816513761468</v>
      </c>
      <c r="Q925" s="74">
        <f>VLOOKUP(B925,Readme!A$40:C$51,2,)*P925</f>
        <v>259.34128440366982</v>
      </c>
    </row>
    <row r="926" spans="1:17" ht="12" customHeight="1" x14ac:dyDescent="0.35">
      <c r="A926" s="75">
        <v>925</v>
      </c>
      <c r="B926" s="64">
        <v>2012</v>
      </c>
      <c r="C926" s="64">
        <v>9</v>
      </c>
      <c r="D926" s="80">
        <f t="shared" si="31"/>
        <v>2012</v>
      </c>
      <c r="E926" t="s">
        <v>38</v>
      </c>
      <c r="F926" t="s">
        <v>143</v>
      </c>
      <c r="G926" t="s">
        <v>10</v>
      </c>
      <c r="H926" s="72" t="s">
        <v>213</v>
      </c>
      <c r="I926" s="72" t="s">
        <v>55</v>
      </c>
      <c r="J926" t="str">
        <f t="shared" si="32"/>
        <v>Quilcene River</v>
      </c>
      <c r="K926" t="str">
        <f>IFERROR(VLOOKUP(J926,LUTs!$A$1:$C$73,2,FALSE),"NA")</f>
        <v>Jefferson</v>
      </c>
      <c r="L926" t="str">
        <f>IFERROR(VLOOKUP(J926,LUTs!$A$1:$C$73,3,FALSE),"NA")</f>
        <v>4 Hood Canal</v>
      </c>
      <c r="M926" s="72" t="s">
        <v>24</v>
      </c>
      <c r="N926" t="str">
        <f>VLOOKUP(M926,LUTs!E$2:H$14,3,)</f>
        <v>11Clallam</v>
      </c>
      <c r="O926" t="str">
        <f>VLOOKUP(M926,LUTs!E$2:H$14,4,)</f>
        <v>03Strait of Juan de Fuca</v>
      </c>
      <c r="P926" s="73">
        <v>704.78923766816195</v>
      </c>
      <c r="Q926" s="74">
        <f>VLOOKUP(B926,Readme!A$40:C$51,2,)*P926</f>
        <v>6096.4269058296013</v>
      </c>
    </row>
    <row r="927" spans="1:17" ht="12" customHeight="1" x14ac:dyDescent="0.35">
      <c r="A927" s="75">
        <v>926</v>
      </c>
      <c r="B927" s="64">
        <v>2012</v>
      </c>
      <c r="C927" s="64">
        <v>9</v>
      </c>
      <c r="D927" s="80">
        <f t="shared" si="31"/>
        <v>2012</v>
      </c>
      <c r="E927" t="s">
        <v>38</v>
      </c>
      <c r="F927" t="s">
        <v>143</v>
      </c>
      <c r="G927" t="s">
        <v>10</v>
      </c>
      <c r="H927" s="72" t="s">
        <v>213</v>
      </c>
      <c r="I927" s="72" t="s">
        <v>55</v>
      </c>
      <c r="J927" t="str">
        <f t="shared" si="32"/>
        <v>Quilcene River</v>
      </c>
      <c r="K927" t="str">
        <f>IFERROR(VLOOKUP(J927,LUTs!$A$1:$C$73,2,FALSE),"NA")</f>
        <v>Jefferson</v>
      </c>
      <c r="L927" t="str">
        <f>IFERROR(VLOOKUP(J927,LUTs!$A$1:$C$73,3,FALSE),"NA")</f>
        <v>4 Hood Canal</v>
      </c>
      <c r="M927" s="72" t="s">
        <v>25</v>
      </c>
      <c r="N927" t="str">
        <f>VLOOKUP(M927,LUTs!E$2:H$14,3,)</f>
        <v>12Jefferson</v>
      </c>
      <c r="O927" t="str">
        <f>VLOOKUP(M927,LUTs!E$2:H$14,4,)</f>
        <v>03Strait of Juan de Fuca</v>
      </c>
      <c r="P927" s="73">
        <v>637.30941704035899</v>
      </c>
      <c r="Q927" s="74">
        <f>VLOOKUP(B927,Readme!A$40:C$51,2,)*P927</f>
        <v>5512.7264573991051</v>
      </c>
    </row>
    <row r="928" spans="1:17" ht="12" customHeight="1" x14ac:dyDescent="0.35">
      <c r="A928" s="75">
        <v>927</v>
      </c>
      <c r="B928" s="64">
        <v>2012</v>
      </c>
      <c r="C928" s="64">
        <v>9</v>
      </c>
      <c r="D928" s="80">
        <f t="shared" si="31"/>
        <v>2012</v>
      </c>
      <c r="E928" t="s">
        <v>38</v>
      </c>
      <c r="F928" t="s">
        <v>143</v>
      </c>
      <c r="G928" t="s">
        <v>10</v>
      </c>
      <c r="H928" s="72" t="s">
        <v>213</v>
      </c>
      <c r="I928" s="72" t="s">
        <v>55</v>
      </c>
      <c r="J928" t="str">
        <f t="shared" si="32"/>
        <v>Quilcene River</v>
      </c>
      <c r="K928" t="str">
        <f>IFERROR(VLOOKUP(J928,LUTs!$A$1:$C$73,2,FALSE),"NA")</f>
        <v>Jefferson</v>
      </c>
      <c r="L928" t="str">
        <f>IFERROR(VLOOKUP(J928,LUTs!$A$1:$C$73,3,FALSE),"NA")</f>
        <v>4 Hood Canal</v>
      </c>
      <c r="M928" s="72" t="s">
        <v>18</v>
      </c>
      <c r="N928" t="str">
        <f>VLOOKUP(M928,LUTs!E$2:H$14,3,)</f>
        <v>06King</v>
      </c>
      <c r="O928" t="str">
        <f>VLOOKUP(M928,LUTs!E$2:H$14,4,)</f>
        <v>02South Puget Sound</v>
      </c>
      <c r="P928" s="73">
        <v>704.78923766816195</v>
      </c>
      <c r="Q928" s="74">
        <f>VLOOKUP(B928,Readme!A$40:C$51,2,)*P928</f>
        <v>6096.4269058296013</v>
      </c>
    </row>
    <row r="929" spans="1:17" ht="12" customHeight="1" x14ac:dyDescent="0.35">
      <c r="A929" s="75">
        <v>928</v>
      </c>
      <c r="B929" s="64">
        <v>2012</v>
      </c>
      <c r="C929" s="64">
        <v>9</v>
      </c>
      <c r="D929" s="80">
        <f t="shared" si="31"/>
        <v>2012</v>
      </c>
      <c r="E929" t="s">
        <v>38</v>
      </c>
      <c r="F929" t="s">
        <v>143</v>
      </c>
      <c r="G929" t="s">
        <v>10</v>
      </c>
      <c r="H929" s="72" t="s">
        <v>213</v>
      </c>
      <c r="I929" s="72" t="s">
        <v>55</v>
      </c>
      <c r="J929" t="str">
        <f t="shared" si="32"/>
        <v>Quilcene River</v>
      </c>
      <c r="K929" t="str">
        <f>IFERROR(VLOOKUP(J929,LUTs!$A$1:$C$73,2,FALSE),"NA")</f>
        <v>Jefferson</v>
      </c>
      <c r="L929" t="str">
        <f>IFERROR(VLOOKUP(J929,LUTs!$A$1:$C$73,3,FALSE),"NA")</f>
        <v>4 Hood Canal</v>
      </c>
      <c r="M929" s="72" t="s">
        <v>23</v>
      </c>
      <c r="N929" t="str">
        <f>VLOOKUP(M929,LUTs!E$2:H$14,3,)</f>
        <v>10Kitsap</v>
      </c>
      <c r="O929" t="str">
        <f>VLOOKUP(M929,LUTs!E$2:H$14,4,)</f>
        <v>02South Puget Sound</v>
      </c>
      <c r="P929" s="73">
        <v>1042.1883408071801</v>
      </c>
      <c r="Q929" s="74">
        <f>VLOOKUP(B929,Readme!A$40:C$51,2,)*P929</f>
        <v>9014.9291479821077</v>
      </c>
    </row>
    <row r="930" spans="1:17" ht="12" customHeight="1" x14ac:dyDescent="0.35">
      <c r="A930" s="75">
        <v>929</v>
      </c>
      <c r="B930" s="64">
        <v>2012</v>
      </c>
      <c r="C930" s="64">
        <v>9</v>
      </c>
      <c r="D930" s="80">
        <f t="shared" si="31"/>
        <v>2012</v>
      </c>
      <c r="E930" t="s">
        <v>38</v>
      </c>
      <c r="F930" t="s">
        <v>143</v>
      </c>
      <c r="G930" t="s">
        <v>10</v>
      </c>
      <c r="H930" s="72" t="s">
        <v>213</v>
      </c>
      <c r="I930" s="72" t="s">
        <v>55</v>
      </c>
      <c r="J930" t="str">
        <f t="shared" si="32"/>
        <v>Quilcene River</v>
      </c>
      <c r="K930" t="str">
        <f>IFERROR(VLOOKUP(J930,LUTs!$A$1:$C$73,2,FALSE),"NA")</f>
        <v>Jefferson</v>
      </c>
      <c r="L930" t="str">
        <f>IFERROR(VLOOKUP(J930,LUTs!$A$1:$C$73,3,FALSE),"NA")</f>
        <v>4 Hood Canal</v>
      </c>
      <c r="M930" s="72" t="s">
        <v>22</v>
      </c>
      <c r="N930" t="str">
        <f>VLOOKUP(M930,LUTs!E$2:H$14,3,)</f>
        <v>09Mason</v>
      </c>
      <c r="O930" t="str">
        <f>VLOOKUP(M930,LUTs!E$2:H$14,4,)</f>
        <v>02South Puget Sound</v>
      </c>
      <c r="P930" s="73">
        <v>479.856502242153</v>
      </c>
      <c r="Q930" s="74">
        <f>VLOOKUP(B930,Readme!A$40:C$51,2,)*P930</f>
        <v>4150.758744394624</v>
      </c>
    </row>
    <row r="931" spans="1:17" ht="12" customHeight="1" x14ac:dyDescent="0.35">
      <c r="A931" s="75">
        <v>930</v>
      </c>
      <c r="B931" s="64">
        <v>2012</v>
      </c>
      <c r="C931" s="64">
        <v>9</v>
      </c>
      <c r="D931" s="80">
        <f t="shared" si="31"/>
        <v>2012</v>
      </c>
      <c r="E931" t="s">
        <v>38</v>
      </c>
      <c r="F931" t="s">
        <v>143</v>
      </c>
      <c r="G931" t="s">
        <v>10</v>
      </c>
      <c r="H931" s="72" t="s">
        <v>213</v>
      </c>
      <c r="I931" s="72" t="s">
        <v>55</v>
      </c>
      <c r="J931" t="str">
        <f t="shared" si="32"/>
        <v>Quilcene River</v>
      </c>
      <c r="K931" t="str">
        <f>IFERROR(VLOOKUP(J931,LUTs!$A$1:$C$73,2,FALSE),"NA")</f>
        <v>Jefferson</v>
      </c>
      <c r="L931" t="str">
        <f>IFERROR(VLOOKUP(J931,LUTs!$A$1:$C$73,3,FALSE),"NA")</f>
        <v>4 Hood Canal</v>
      </c>
      <c r="M931" s="72" t="s">
        <v>26</v>
      </c>
      <c r="N931" t="str">
        <f>VLOOKUP(M931,LUTs!E$2:H$14,3,)</f>
        <v>20Other</v>
      </c>
      <c r="O931" t="str">
        <f>VLOOKUP(M931,LUTs!E$2:H$14,4,)</f>
        <v>07Non Puget Sound</v>
      </c>
      <c r="P931" s="73">
        <v>382.385650224215</v>
      </c>
      <c r="Q931" s="74">
        <f>VLOOKUP(B931,Readme!A$40:C$51,2,)*P931</f>
        <v>3307.6358744394597</v>
      </c>
    </row>
    <row r="932" spans="1:17" ht="12" customHeight="1" x14ac:dyDescent="0.35">
      <c r="A932" s="75">
        <v>931</v>
      </c>
      <c r="B932" s="64">
        <v>2012</v>
      </c>
      <c r="C932" s="64">
        <v>9</v>
      </c>
      <c r="D932" s="80">
        <f t="shared" si="31"/>
        <v>2012</v>
      </c>
      <c r="E932" t="s">
        <v>38</v>
      </c>
      <c r="F932" t="s">
        <v>143</v>
      </c>
      <c r="G932" t="s">
        <v>10</v>
      </c>
      <c r="H932" s="72" t="s">
        <v>213</v>
      </c>
      <c r="I932" s="72" t="s">
        <v>55</v>
      </c>
      <c r="J932" t="str">
        <f t="shared" si="32"/>
        <v>Quilcene River</v>
      </c>
      <c r="K932" t="str">
        <f>IFERROR(VLOOKUP(J932,LUTs!$A$1:$C$73,2,FALSE),"NA")</f>
        <v>Jefferson</v>
      </c>
      <c r="L932" t="str">
        <f>IFERROR(VLOOKUP(J932,LUTs!$A$1:$C$73,3,FALSE),"NA")</f>
        <v>4 Hood Canal</v>
      </c>
      <c r="M932" s="72" t="s">
        <v>20</v>
      </c>
      <c r="N932" t="str">
        <f>VLOOKUP(M932,LUTs!E$2:H$14,3,)</f>
        <v>07Pierce</v>
      </c>
      <c r="O932" t="str">
        <f>VLOOKUP(M932,LUTs!E$2:H$14,4,)</f>
        <v>02South Puget Sound</v>
      </c>
      <c r="P932" s="73">
        <v>359.892376681614</v>
      </c>
      <c r="Q932" s="74">
        <f>VLOOKUP(B932,Readme!A$40:C$51,2,)*P932</f>
        <v>3113.069058295961</v>
      </c>
    </row>
    <row r="933" spans="1:17" ht="12" customHeight="1" x14ac:dyDescent="0.35">
      <c r="A933" s="75">
        <v>932</v>
      </c>
      <c r="B933" s="64">
        <v>2012</v>
      </c>
      <c r="C933" s="64">
        <v>9</v>
      </c>
      <c r="D933" s="80">
        <f t="shared" si="31"/>
        <v>2012</v>
      </c>
      <c r="E933" t="s">
        <v>38</v>
      </c>
      <c r="F933" t="s">
        <v>143</v>
      </c>
      <c r="G933" t="s">
        <v>10</v>
      </c>
      <c r="H933" s="72" t="s">
        <v>213</v>
      </c>
      <c r="I933" s="72" t="s">
        <v>55</v>
      </c>
      <c r="J933" t="str">
        <f t="shared" si="32"/>
        <v>Quilcene River</v>
      </c>
      <c r="K933" t="str">
        <f>IFERROR(VLOOKUP(J933,LUTs!$A$1:$C$73,2,FALSE),"NA")</f>
        <v>Jefferson</v>
      </c>
      <c r="L933" t="str">
        <f>IFERROR(VLOOKUP(J933,LUTs!$A$1:$C$73,3,FALSE),"NA")</f>
        <v>4 Hood Canal</v>
      </c>
      <c r="M933" s="72" t="s">
        <v>16</v>
      </c>
      <c r="N933" t="str">
        <f>VLOOKUP(M933,LUTs!E$2:H$14,3,)</f>
        <v>03Snohomish</v>
      </c>
      <c r="O933" t="str">
        <f>VLOOKUP(M933,LUTs!E$2:H$14,4,)</f>
        <v>01North Puget Sound</v>
      </c>
      <c r="P933" s="73">
        <v>419.87443946188398</v>
      </c>
      <c r="Q933" s="74">
        <f>VLOOKUP(B933,Readme!A$40:C$51,2,)*P933</f>
        <v>3631.9139013452964</v>
      </c>
    </row>
    <row r="934" spans="1:17" ht="12" customHeight="1" x14ac:dyDescent="0.35">
      <c r="A934" s="75">
        <v>933</v>
      </c>
      <c r="B934" s="64">
        <v>2012</v>
      </c>
      <c r="C934" s="64">
        <v>9</v>
      </c>
      <c r="D934" s="80">
        <f t="shared" si="31"/>
        <v>2012</v>
      </c>
      <c r="E934" t="s">
        <v>38</v>
      </c>
      <c r="F934" t="s">
        <v>143</v>
      </c>
      <c r="G934" t="s">
        <v>10</v>
      </c>
      <c r="H934" s="72" t="s">
        <v>213</v>
      </c>
      <c r="I934" s="72" t="s">
        <v>55</v>
      </c>
      <c r="J934" t="str">
        <f t="shared" si="32"/>
        <v>Quilcene River</v>
      </c>
      <c r="K934" t="str">
        <f>IFERROR(VLOOKUP(J934,LUTs!$A$1:$C$73,2,FALSE),"NA")</f>
        <v>Jefferson</v>
      </c>
      <c r="L934" t="str">
        <f>IFERROR(VLOOKUP(J934,LUTs!$A$1:$C$73,3,FALSE),"NA")</f>
        <v>4 Hood Canal</v>
      </c>
      <c r="M934" s="72" t="s">
        <v>21</v>
      </c>
      <c r="N934" t="str">
        <f>VLOOKUP(M934,LUTs!E$2:H$14,3,)</f>
        <v>08Thurston</v>
      </c>
      <c r="O934" t="str">
        <f>VLOOKUP(M934,LUTs!E$2:H$14,4,)</f>
        <v>02South Puget Sound</v>
      </c>
      <c r="P934" s="73">
        <v>284.91479820627802</v>
      </c>
      <c r="Q934" s="74">
        <f>VLOOKUP(B934,Readme!A$40:C$51,2,)*P934</f>
        <v>2464.5130044843049</v>
      </c>
    </row>
    <row r="935" spans="1:17" ht="12" customHeight="1" x14ac:dyDescent="0.35">
      <c r="A935" s="75">
        <v>934</v>
      </c>
      <c r="B935" s="64">
        <v>2012</v>
      </c>
      <c r="C935" s="64">
        <v>10</v>
      </c>
      <c r="D935" s="80">
        <f t="shared" si="31"/>
        <v>2012</v>
      </c>
      <c r="E935" t="s">
        <v>38</v>
      </c>
      <c r="F935" t="s">
        <v>143</v>
      </c>
      <c r="G935" t="s">
        <v>10</v>
      </c>
      <c r="H935" s="72" t="s">
        <v>213</v>
      </c>
      <c r="I935" s="72" t="s">
        <v>55</v>
      </c>
      <c r="J935" t="str">
        <f t="shared" si="32"/>
        <v>Quilcene River</v>
      </c>
      <c r="K935" t="str">
        <f>IFERROR(VLOOKUP(J935,LUTs!$A$1:$C$73,2,FALSE),"NA")</f>
        <v>Jefferson</v>
      </c>
      <c r="L935" t="str">
        <f>IFERROR(VLOOKUP(J935,LUTs!$A$1:$C$73,3,FALSE),"NA")</f>
        <v>4 Hood Canal</v>
      </c>
      <c r="M935" s="72" t="s">
        <v>25</v>
      </c>
      <c r="N935" t="str">
        <f>VLOOKUP(M935,LUTs!E$2:H$14,3,)</f>
        <v>12Jefferson</v>
      </c>
      <c r="O935" t="str">
        <f>VLOOKUP(M935,LUTs!E$2:H$14,4,)</f>
        <v>03Strait of Juan de Fuca</v>
      </c>
      <c r="P935" s="73">
        <v>82.5</v>
      </c>
      <c r="Q935" s="74">
        <f>VLOOKUP(B935,Readme!A$40:C$51,2,)*P935</f>
        <v>713.625</v>
      </c>
    </row>
    <row r="936" spans="1:17" ht="12" customHeight="1" x14ac:dyDescent="0.35">
      <c r="A936" s="75">
        <v>935</v>
      </c>
      <c r="B936" s="64">
        <v>2012</v>
      </c>
      <c r="C936" s="64">
        <v>10</v>
      </c>
      <c r="D936" s="80">
        <f t="shared" si="31"/>
        <v>2012</v>
      </c>
      <c r="E936" t="s">
        <v>38</v>
      </c>
      <c r="F936" t="s">
        <v>143</v>
      </c>
      <c r="G936" t="s">
        <v>10</v>
      </c>
      <c r="H936" s="72" t="s">
        <v>213</v>
      </c>
      <c r="I936" s="72" t="s">
        <v>55</v>
      </c>
      <c r="J936" t="str">
        <f t="shared" si="32"/>
        <v>Quilcene River</v>
      </c>
      <c r="K936" t="str">
        <f>IFERROR(VLOOKUP(J936,LUTs!$A$1:$C$73,2,FALSE),"NA")</f>
        <v>Jefferson</v>
      </c>
      <c r="L936" t="str">
        <f>IFERROR(VLOOKUP(J936,LUTs!$A$1:$C$73,3,FALSE),"NA")</f>
        <v>4 Hood Canal</v>
      </c>
      <c r="M936" s="72" t="s">
        <v>18</v>
      </c>
      <c r="N936" t="str">
        <f>VLOOKUP(M936,LUTs!E$2:H$14,3,)</f>
        <v>06King</v>
      </c>
      <c r="O936" t="str">
        <f>VLOOKUP(M936,LUTs!E$2:H$14,4,)</f>
        <v>02South Puget Sound</v>
      </c>
      <c r="P936" s="73">
        <v>30</v>
      </c>
      <c r="Q936" s="74">
        <f>VLOOKUP(B936,Readme!A$40:C$51,2,)*P936</f>
        <v>259.5</v>
      </c>
    </row>
    <row r="937" spans="1:17" ht="12" customHeight="1" x14ac:dyDescent="0.35">
      <c r="A937" s="75">
        <v>936</v>
      </c>
      <c r="B937" s="64">
        <v>2012</v>
      </c>
      <c r="C937" s="64">
        <v>10</v>
      </c>
      <c r="D937" s="80">
        <f t="shared" si="31"/>
        <v>2012</v>
      </c>
      <c r="E937" t="s">
        <v>38</v>
      </c>
      <c r="F937" t="s">
        <v>143</v>
      </c>
      <c r="G937" t="s">
        <v>10</v>
      </c>
      <c r="H937" s="72" t="s">
        <v>213</v>
      </c>
      <c r="I937" s="72" t="s">
        <v>55</v>
      </c>
      <c r="J937" t="str">
        <f t="shared" si="32"/>
        <v>Quilcene River</v>
      </c>
      <c r="K937" t="str">
        <f>IFERROR(VLOOKUP(J937,LUTs!$A$1:$C$73,2,FALSE),"NA")</f>
        <v>Jefferson</v>
      </c>
      <c r="L937" t="str">
        <f>IFERROR(VLOOKUP(J937,LUTs!$A$1:$C$73,3,FALSE),"NA")</f>
        <v>4 Hood Canal</v>
      </c>
      <c r="M937" s="72" t="s">
        <v>23</v>
      </c>
      <c r="N937" t="str">
        <f>VLOOKUP(M937,LUTs!E$2:H$14,3,)</f>
        <v>10Kitsap</v>
      </c>
      <c r="O937" t="str">
        <f>VLOOKUP(M937,LUTs!E$2:H$14,4,)</f>
        <v>02South Puget Sound</v>
      </c>
      <c r="P937" s="73">
        <v>15</v>
      </c>
      <c r="Q937" s="74">
        <f>VLOOKUP(B937,Readme!A$40:C$51,2,)*P937</f>
        <v>129.75</v>
      </c>
    </row>
    <row r="938" spans="1:17" ht="12" customHeight="1" x14ac:dyDescent="0.35">
      <c r="A938" s="75">
        <v>937</v>
      </c>
      <c r="B938" s="64">
        <v>2012</v>
      </c>
      <c r="C938" s="64">
        <v>10</v>
      </c>
      <c r="D938" s="80">
        <f t="shared" si="31"/>
        <v>2012</v>
      </c>
      <c r="E938" t="s">
        <v>38</v>
      </c>
      <c r="F938" t="s">
        <v>143</v>
      </c>
      <c r="G938" t="s">
        <v>10</v>
      </c>
      <c r="H938" s="72" t="s">
        <v>213</v>
      </c>
      <c r="I938" s="72" t="s">
        <v>55</v>
      </c>
      <c r="J938" t="str">
        <f t="shared" si="32"/>
        <v>Quilcene River</v>
      </c>
      <c r="K938" t="str">
        <f>IFERROR(VLOOKUP(J938,LUTs!$A$1:$C$73,2,FALSE),"NA")</f>
        <v>Jefferson</v>
      </c>
      <c r="L938" t="str">
        <f>IFERROR(VLOOKUP(J938,LUTs!$A$1:$C$73,3,FALSE),"NA")</f>
        <v>4 Hood Canal</v>
      </c>
      <c r="M938" s="72" t="s">
        <v>22</v>
      </c>
      <c r="N938" t="str">
        <f>VLOOKUP(M938,LUTs!E$2:H$14,3,)</f>
        <v>09Mason</v>
      </c>
      <c r="O938" t="str">
        <f>VLOOKUP(M938,LUTs!E$2:H$14,4,)</f>
        <v>02South Puget Sound</v>
      </c>
      <c r="P938" s="73">
        <v>15</v>
      </c>
      <c r="Q938" s="74">
        <f>VLOOKUP(B938,Readme!A$40:C$51,2,)*P938</f>
        <v>129.75</v>
      </c>
    </row>
    <row r="939" spans="1:17" ht="12" customHeight="1" x14ac:dyDescent="0.35">
      <c r="A939" s="75">
        <v>938</v>
      </c>
      <c r="B939" s="64">
        <v>2012</v>
      </c>
      <c r="C939" s="64">
        <v>10</v>
      </c>
      <c r="D939" s="80">
        <f t="shared" si="31"/>
        <v>2012</v>
      </c>
      <c r="E939" t="s">
        <v>38</v>
      </c>
      <c r="F939" t="s">
        <v>143</v>
      </c>
      <c r="G939" t="s">
        <v>10</v>
      </c>
      <c r="H939" s="72" t="s">
        <v>213</v>
      </c>
      <c r="I939" s="72" t="s">
        <v>55</v>
      </c>
      <c r="J939" t="str">
        <f t="shared" si="32"/>
        <v>Quilcene River</v>
      </c>
      <c r="K939" t="str">
        <f>IFERROR(VLOOKUP(J939,LUTs!$A$1:$C$73,2,FALSE),"NA")</f>
        <v>Jefferson</v>
      </c>
      <c r="L939" t="str">
        <f>IFERROR(VLOOKUP(J939,LUTs!$A$1:$C$73,3,FALSE),"NA")</f>
        <v>4 Hood Canal</v>
      </c>
      <c r="M939" s="72" t="s">
        <v>20</v>
      </c>
      <c r="N939" t="str">
        <f>VLOOKUP(M939,LUTs!E$2:H$14,3,)</f>
        <v>07Pierce</v>
      </c>
      <c r="O939" t="str">
        <f>VLOOKUP(M939,LUTs!E$2:H$14,4,)</f>
        <v>02South Puget Sound</v>
      </c>
      <c r="P939" s="73">
        <v>22.5</v>
      </c>
      <c r="Q939" s="74">
        <f>VLOOKUP(B939,Readme!A$40:C$51,2,)*P939</f>
        <v>194.625</v>
      </c>
    </row>
    <row r="940" spans="1:17" ht="12" customHeight="1" x14ac:dyDescent="0.35">
      <c r="A940" s="75">
        <v>939</v>
      </c>
      <c r="B940" s="64">
        <v>2012</v>
      </c>
      <c r="C940" s="64">
        <v>10</v>
      </c>
      <c r="D940" s="80">
        <f t="shared" si="31"/>
        <v>2012</v>
      </c>
      <c r="E940" t="s">
        <v>38</v>
      </c>
      <c r="F940" t="s">
        <v>143</v>
      </c>
      <c r="G940" t="s">
        <v>10</v>
      </c>
      <c r="H940" s="72" t="s">
        <v>213</v>
      </c>
      <c r="I940" s="72" t="s">
        <v>55</v>
      </c>
      <c r="J940" t="str">
        <f t="shared" si="32"/>
        <v>Quilcene River</v>
      </c>
      <c r="K940" t="str">
        <f>IFERROR(VLOOKUP(J940,LUTs!$A$1:$C$73,2,FALSE),"NA")</f>
        <v>Jefferson</v>
      </c>
      <c r="L940" t="str">
        <f>IFERROR(VLOOKUP(J940,LUTs!$A$1:$C$73,3,FALSE),"NA")</f>
        <v>4 Hood Canal</v>
      </c>
      <c r="M940" s="72" t="s">
        <v>15</v>
      </c>
      <c r="N940" t="str">
        <f>VLOOKUP(M940,LUTs!E$2:H$14,3,)</f>
        <v>02Skagit</v>
      </c>
      <c r="O940" t="str">
        <f>VLOOKUP(M940,LUTs!E$2:H$14,4,)</f>
        <v>01North Puget Sound</v>
      </c>
      <c r="P940" s="73">
        <v>7.5</v>
      </c>
      <c r="Q940" s="74">
        <f>VLOOKUP(B940,Readme!A$40:C$51,2,)*P940</f>
        <v>64.875</v>
      </c>
    </row>
    <row r="941" spans="1:17" ht="12" customHeight="1" x14ac:dyDescent="0.35">
      <c r="A941" s="75">
        <v>940</v>
      </c>
      <c r="B941" s="64">
        <v>2012</v>
      </c>
      <c r="C941" s="64">
        <v>10</v>
      </c>
      <c r="D941" s="80">
        <f t="shared" si="31"/>
        <v>2012</v>
      </c>
      <c r="E941" t="s">
        <v>38</v>
      </c>
      <c r="F941" t="s">
        <v>143</v>
      </c>
      <c r="G941" t="s">
        <v>10</v>
      </c>
      <c r="H941" s="72" t="s">
        <v>213</v>
      </c>
      <c r="I941" s="72" t="s">
        <v>55</v>
      </c>
      <c r="J941" t="str">
        <f t="shared" si="32"/>
        <v>Quilcene River</v>
      </c>
      <c r="K941" t="str">
        <f>IFERROR(VLOOKUP(J941,LUTs!$A$1:$C$73,2,FALSE),"NA")</f>
        <v>Jefferson</v>
      </c>
      <c r="L941" t="str">
        <f>IFERROR(VLOOKUP(J941,LUTs!$A$1:$C$73,3,FALSE),"NA")</f>
        <v>4 Hood Canal</v>
      </c>
      <c r="M941" s="72" t="s">
        <v>16</v>
      </c>
      <c r="N941" t="str">
        <f>VLOOKUP(M941,LUTs!E$2:H$14,3,)</f>
        <v>03Snohomish</v>
      </c>
      <c r="O941" t="str">
        <f>VLOOKUP(M941,LUTs!E$2:H$14,4,)</f>
        <v>01North Puget Sound</v>
      </c>
      <c r="P941" s="73">
        <v>15</v>
      </c>
      <c r="Q941" s="74">
        <f>VLOOKUP(B941,Readme!A$40:C$51,2,)*P941</f>
        <v>129.75</v>
      </c>
    </row>
    <row r="942" spans="1:17" ht="12" customHeight="1" x14ac:dyDescent="0.35">
      <c r="A942" s="75">
        <v>941</v>
      </c>
      <c r="B942" s="64">
        <v>2012</v>
      </c>
      <c r="C942" s="64">
        <v>10</v>
      </c>
      <c r="D942" s="80">
        <f t="shared" si="31"/>
        <v>2012</v>
      </c>
      <c r="E942" t="s">
        <v>38</v>
      </c>
      <c r="F942" t="s">
        <v>143</v>
      </c>
      <c r="G942" t="s">
        <v>10</v>
      </c>
      <c r="H942" s="72" t="s">
        <v>213</v>
      </c>
      <c r="I942" s="72" t="s">
        <v>55</v>
      </c>
      <c r="J942" t="str">
        <f t="shared" si="32"/>
        <v>Quilcene River</v>
      </c>
      <c r="K942" t="str">
        <f>IFERROR(VLOOKUP(J942,LUTs!$A$1:$C$73,2,FALSE),"NA")</f>
        <v>Jefferson</v>
      </c>
      <c r="L942" t="str">
        <f>IFERROR(VLOOKUP(J942,LUTs!$A$1:$C$73,3,FALSE),"NA")</f>
        <v>4 Hood Canal</v>
      </c>
      <c r="M942" s="72" t="s">
        <v>21</v>
      </c>
      <c r="N942" t="str">
        <f>VLOOKUP(M942,LUTs!E$2:H$14,3,)</f>
        <v>08Thurston</v>
      </c>
      <c r="O942" t="str">
        <f>VLOOKUP(M942,LUTs!E$2:H$14,4,)</f>
        <v>02South Puget Sound</v>
      </c>
      <c r="P942" s="73">
        <v>22.5</v>
      </c>
      <c r="Q942" s="74">
        <f>VLOOKUP(B942,Readme!A$40:C$51,2,)*P942</f>
        <v>194.625</v>
      </c>
    </row>
    <row r="943" spans="1:17" ht="12" customHeight="1" x14ac:dyDescent="0.35">
      <c r="A943" s="75">
        <v>942</v>
      </c>
      <c r="B943" s="64">
        <v>2012</v>
      </c>
      <c r="C943" s="64">
        <v>8</v>
      </c>
      <c r="D943" s="80">
        <f t="shared" si="31"/>
        <v>2012</v>
      </c>
      <c r="E943" t="s">
        <v>38</v>
      </c>
      <c r="F943" t="s">
        <v>143</v>
      </c>
      <c r="G943" t="s">
        <v>10</v>
      </c>
      <c r="H943" s="72" t="s">
        <v>214</v>
      </c>
      <c r="I943" s="72" t="s">
        <v>56</v>
      </c>
      <c r="J943" t="str">
        <f t="shared" si="32"/>
        <v>Samish River</v>
      </c>
      <c r="K943" t="str">
        <f>IFERROR(VLOOKUP(J943,LUTs!$A$1:$C$73,2,FALSE),"NA")</f>
        <v>Skagit</v>
      </c>
      <c r="L943" t="str">
        <f>IFERROR(VLOOKUP(J943,LUTs!$A$1:$C$73,3,FALSE),"NA")</f>
        <v>1North Puget Sound</v>
      </c>
      <c r="M943" s="72" t="s">
        <v>17</v>
      </c>
      <c r="N943" t="str">
        <f>VLOOKUP(M943,LUTs!E$2:H$14,3,)</f>
        <v>04Island</v>
      </c>
      <c r="O943" t="str">
        <f>VLOOKUP(M943,LUTs!E$2:H$14,4,)</f>
        <v>01North Puget Sound</v>
      </c>
      <c r="P943" s="73">
        <v>49.913043478260903</v>
      </c>
      <c r="Q943" s="74">
        <f>VLOOKUP(B943,Readme!A$40:C$51,2,)*P943</f>
        <v>431.74782608695682</v>
      </c>
    </row>
    <row r="944" spans="1:17" ht="12" customHeight="1" x14ac:dyDescent="0.35">
      <c r="A944" s="75">
        <v>943</v>
      </c>
      <c r="B944" s="64">
        <v>2012</v>
      </c>
      <c r="C944" s="64">
        <v>8</v>
      </c>
      <c r="D944" s="80">
        <f t="shared" si="31"/>
        <v>2012</v>
      </c>
      <c r="E944" t="s">
        <v>38</v>
      </c>
      <c r="F944" t="s">
        <v>143</v>
      </c>
      <c r="G944" t="s">
        <v>10</v>
      </c>
      <c r="H944" s="72" t="s">
        <v>214</v>
      </c>
      <c r="I944" s="72" t="s">
        <v>56</v>
      </c>
      <c r="J944" t="str">
        <f t="shared" si="32"/>
        <v>Samish River</v>
      </c>
      <c r="K944" t="str">
        <f>IFERROR(VLOOKUP(J944,LUTs!$A$1:$C$73,2,FALSE),"NA")</f>
        <v>Skagit</v>
      </c>
      <c r="L944" t="str">
        <f>IFERROR(VLOOKUP(J944,LUTs!$A$1:$C$73,3,FALSE),"NA")</f>
        <v>1North Puget Sound</v>
      </c>
      <c r="M944" s="72" t="s">
        <v>18</v>
      </c>
      <c r="N944" t="str">
        <f>VLOOKUP(M944,LUTs!E$2:H$14,3,)</f>
        <v>06King</v>
      </c>
      <c r="O944" t="str">
        <f>VLOOKUP(M944,LUTs!E$2:H$14,4,)</f>
        <v>02South Puget Sound</v>
      </c>
      <c r="P944" s="73">
        <v>49.913043478260903</v>
      </c>
      <c r="Q944" s="74">
        <f>VLOOKUP(B944,Readme!A$40:C$51,2,)*P944</f>
        <v>431.74782608695682</v>
      </c>
    </row>
    <row r="945" spans="1:17" ht="12" customHeight="1" x14ac:dyDescent="0.35">
      <c r="A945" s="75">
        <v>944</v>
      </c>
      <c r="B945" s="64">
        <v>2012</v>
      </c>
      <c r="C945" s="64">
        <v>8</v>
      </c>
      <c r="D945" s="80">
        <f t="shared" si="31"/>
        <v>2012</v>
      </c>
      <c r="E945" t="s">
        <v>38</v>
      </c>
      <c r="F945" t="s">
        <v>143</v>
      </c>
      <c r="G945" t="s">
        <v>10</v>
      </c>
      <c r="H945" s="72" t="s">
        <v>214</v>
      </c>
      <c r="I945" s="72" t="s">
        <v>56</v>
      </c>
      <c r="J945" t="str">
        <f t="shared" si="32"/>
        <v>Samish River</v>
      </c>
      <c r="K945" t="str">
        <f>IFERROR(VLOOKUP(J945,LUTs!$A$1:$C$73,2,FALSE),"NA")</f>
        <v>Skagit</v>
      </c>
      <c r="L945" t="str">
        <f>IFERROR(VLOOKUP(J945,LUTs!$A$1:$C$73,3,FALSE),"NA")</f>
        <v>1North Puget Sound</v>
      </c>
      <c r="M945" s="72" t="s">
        <v>26</v>
      </c>
      <c r="N945" t="str">
        <f>VLOOKUP(M945,LUTs!E$2:H$14,3,)</f>
        <v>20Other</v>
      </c>
      <c r="O945" t="str">
        <f>VLOOKUP(M945,LUTs!E$2:H$14,4,)</f>
        <v>07Non Puget Sound</v>
      </c>
      <c r="P945" s="73">
        <v>57.043478260869598</v>
      </c>
      <c r="Q945" s="74">
        <f>VLOOKUP(B945,Readme!A$40:C$51,2,)*P945</f>
        <v>493.42608695652206</v>
      </c>
    </row>
    <row r="946" spans="1:17" ht="12" customHeight="1" x14ac:dyDescent="0.35">
      <c r="A946" s="75">
        <v>945</v>
      </c>
      <c r="B946" s="64">
        <v>2012</v>
      </c>
      <c r="C946" s="64">
        <v>8</v>
      </c>
      <c r="D946" s="80">
        <f t="shared" si="31"/>
        <v>2012</v>
      </c>
      <c r="E946" t="s">
        <v>38</v>
      </c>
      <c r="F946" t="s">
        <v>143</v>
      </c>
      <c r="G946" t="s">
        <v>10</v>
      </c>
      <c r="H946" s="72" t="s">
        <v>214</v>
      </c>
      <c r="I946" s="72" t="s">
        <v>56</v>
      </c>
      <c r="J946" t="str">
        <f t="shared" si="32"/>
        <v>Samish River</v>
      </c>
      <c r="K946" t="str">
        <f>IFERROR(VLOOKUP(J946,LUTs!$A$1:$C$73,2,FALSE),"NA")</f>
        <v>Skagit</v>
      </c>
      <c r="L946" t="str">
        <f>IFERROR(VLOOKUP(J946,LUTs!$A$1:$C$73,3,FALSE),"NA")</f>
        <v>1North Puget Sound</v>
      </c>
      <c r="M946" s="72" t="s">
        <v>15</v>
      </c>
      <c r="N946" t="str">
        <f>VLOOKUP(M946,LUTs!E$2:H$14,3,)</f>
        <v>02Skagit</v>
      </c>
      <c r="O946" t="str">
        <f>VLOOKUP(M946,LUTs!E$2:H$14,4,)</f>
        <v>01North Puget Sound</v>
      </c>
      <c r="P946" s="73">
        <v>221.04347826086999</v>
      </c>
      <c r="Q946" s="74">
        <f>VLOOKUP(B946,Readme!A$40:C$51,2,)*P946</f>
        <v>1912.0260869565254</v>
      </c>
    </row>
    <row r="947" spans="1:17" ht="12" customHeight="1" x14ac:dyDescent="0.35">
      <c r="A947" s="75">
        <v>946</v>
      </c>
      <c r="B947" s="64">
        <v>2012</v>
      </c>
      <c r="C947" s="64">
        <v>8</v>
      </c>
      <c r="D947" s="80">
        <f t="shared" si="31"/>
        <v>2012</v>
      </c>
      <c r="E947" t="s">
        <v>38</v>
      </c>
      <c r="F947" t="s">
        <v>143</v>
      </c>
      <c r="G947" t="s">
        <v>10</v>
      </c>
      <c r="H947" s="72" t="s">
        <v>214</v>
      </c>
      <c r="I947" s="72" t="s">
        <v>56</v>
      </c>
      <c r="J947" t="str">
        <f t="shared" si="32"/>
        <v>Samish River</v>
      </c>
      <c r="K947" t="str">
        <f>IFERROR(VLOOKUP(J947,LUTs!$A$1:$C$73,2,FALSE),"NA")</f>
        <v>Skagit</v>
      </c>
      <c r="L947" t="str">
        <f>IFERROR(VLOOKUP(J947,LUTs!$A$1:$C$73,3,FALSE),"NA")</f>
        <v>1North Puget Sound</v>
      </c>
      <c r="M947" s="72" t="s">
        <v>16</v>
      </c>
      <c r="N947" t="str">
        <f>VLOOKUP(M947,LUTs!E$2:H$14,3,)</f>
        <v>03Snohomish</v>
      </c>
      <c r="O947" t="str">
        <f>VLOOKUP(M947,LUTs!E$2:H$14,4,)</f>
        <v>01North Puget Sound</v>
      </c>
      <c r="P947" s="73">
        <v>228.173913043478</v>
      </c>
      <c r="Q947" s="74">
        <f>VLOOKUP(B947,Readme!A$40:C$51,2,)*P947</f>
        <v>1973.7043478260848</v>
      </c>
    </row>
    <row r="948" spans="1:17" ht="12" customHeight="1" x14ac:dyDescent="0.35">
      <c r="A948" s="75">
        <v>947</v>
      </c>
      <c r="B948" s="64">
        <v>2012</v>
      </c>
      <c r="C948" s="64">
        <v>8</v>
      </c>
      <c r="D948" s="80">
        <f t="shared" si="31"/>
        <v>2012</v>
      </c>
      <c r="E948" t="s">
        <v>38</v>
      </c>
      <c r="F948" t="s">
        <v>143</v>
      </c>
      <c r="G948" t="s">
        <v>10</v>
      </c>
      <c r="H948" s="72" t="s">
        <v>214</v>
      </c>
      <c r="I948" s="72" t="s">
        <v>56</v>
      </c>
      <c r="J948" t="str">
        <f t="shared" si="32"/>
        <v>Samish River</v>
      </c>
      <c r="K948" t="str">
        <f>IFERROR(VLOOKUP(J948,LUTs!$A$1:$C$73,2,FALSE),"NA")</f>
        <v>Skagit</v>
      </c>
      <c r="L948" t="str">
        <f>IFERROR(VLOOKUP(J948,LUTs!$A$1:$C$73,3,FALSE),"NA")</f>
        <v>1North Puget Sound</v>
      </c>
      <c r="M948" s="72" t="s">
        <v>13</v>
      </c>
      <c r="N948" t="str">
        <f>VLOOKUP(M948,LUTs!E$2:H$14,3,)</f>
        <v>01Whatcom</v>
      </c>
      <c r="O948" t="str">
        <f>VLOOKUP(M948,LUTs!E$2:H$14,4,)</f>
        <v>01North Puget Sound</v>
      </c>
      <c r="P948" s="73">
        <v>49.913043478260903</v>
      </c>
      <c r="Q948" s="74">
        <f>VLOOKUP(B948,Readme!A$40:C$51,2,)*P948</f>
        <v>431.74782608695682</v>
      </c>
    </row>
    <row r="949" spans="1:17" ht="12" customHeight="1" x14ac:dyDescent="0.35">
      <c r="A949" s="75">
        <v>948</v>
      </c>
      <c r="B949" s="64">
        <v>2012</v>
      </c>
      <c r="C949" s="64">
        <v>9</v>
      </c>
      <c r="D949" s="80">
        <f t="shared" si="31"/>
        <v>2012</v>
      </c>
      <c r="E949" t="s">
        <v>38</v>
      </c>
      <c r="F949" t="s">
        <v>143</v>
      </c>
      <c r="G949" t="s">
        <v>10</v>
      </c>
      <c r="H949" s="72" t="s">
        <v>214</v>
      </c>
      <c r="I949" s="72" t="s">
        <v>56</v>
      </c>
      <c r="J949" t="str">
        <f t="shared" si="32"/>
        <v>Samish River</v>
      </c>
      <c r="K949" t="str">
        <f>IFERROR(VLOOKUP(J949,LUTs!$A$1:$C$73,2,FALSE),"NA")</f>
        <v>Skagit</v>
      </c>
      <c r="L949" t="str">
        <f>IFERROR(VLOOKUP(J949,LUTs!$A$1:$C$73,3,FALSE),"NA")</f>
        <v>1North Puget Sound</v>
      </c>
      <c r="M949" s="72" t="s">
        <v>17</v>
      </c>
      <c r="N949" t="str">
        <f>VLOOKUP(M949,LUTs!E$2:H$14,3,)</f>
        <v>04Island</v>
      </c>
      <c r="O949" t="str">
        <f>VLOOKUP(M949,LUTs!E$2:H$14,4,)</f>
        <v>01North Puget Sound</v>
      </c>
      <c r="P949" s="73">
        <v>235.353356890459</v>
      </c>
      <c r="Q949" s="74">
        <f>VLOOKUP(B949,Readme!A$40:C$51,2,)*P949</f>
        <v>2035.8065371024704</v>
      </c>
    </row>
    <row r="950" spans="1:17" ht="12" customHeight="1" x14ac:dyDescent="0.35">
      <c r="A950" s="75">
        <v>949</v>
      </c>
      <c r="B950" s="64">
        <v>2012</v>
      </c>
      <c r="C950" s="64">
        <v>9</v>
      </c>
      <c r="D950" s="80">
        <f t="shared" si="31"/>
        <v>2012</v>
      </c>
      <c r="E950" t="s">
        <v>38</v>
      </c>
      <c r="F950" t="s">
        <v>143</v>
      </c>
      <c r="G950" t="s">
        <v>10</v>
      </c>
      <c r="H950" s="72" t="s">
        <v>214</v>
      </c>
      <c r="I950" s="72" t="s">
        <v>56</v>
      </c>
      <c r="J950" t="str">
        <f t="shared" si="32"/>
        <v>Samish River</v>
      </c>
      <c r="K950" t="str">
        <f>IFERROR(VLOOKUP(J950,LUTs!$A$1:$C$73,2,FALSE),"NA")</f>
        <v>Skagit</v>
      </c>
      <c r="L950" t="str">
        <f>IFERROR(VLOOKUP(J950,LUTs!$A$1:$C$73,3,FALSE),"NA")</f>
        <v>1North Puget Sound</v>
      </c>
      <c r="M950" s="72" t="s">
        <v>18</v>
      </c>
      <c r="N950" t="str">
        <f>VLOOKUP(M950,LUTs!E$2:H$14,3,)</f>
        <v>06King</v>
      </c>
      <c r="O950" t="str">
        <f>VLOOKUP(M950,LUTs!E$2:H$14,4,)</f>
        <v>02South Puget Sound</v>
      </c>
      <c r="P950" s="73">
        <v>649.00471142520598</v>
      </c>
      <c r="Q950" s="74">
        <f>VLOOKUP(B950,Readme!A$40:C$51,2,)*P950</f>
        <v>5613.8907538280318</v>
      </c>
    </row>
    <row r="951" spans="1:17" ht="12" customHeight="1" x14ac:dyDescent="0.35">
      <c r="A951" s="75">
        <v>950</v>
      </c>
      <c r="B951" s="64">
        <v>2012</v>
      </c>
      <c r="C951" s="64">
        <v>9</v>
      </c>
      <c r="D951" s="80">
        <f t="shared" si="31"/>
        <v>2012</v>
      </c>
      <c r="E951" t="s">
        <v>38</v>
      </c>
      <c r="F951" t="s">
        <v>143</v>
      </c>
      <c r="G951" t="s">
        <v>10</v>
      </c>
      <c r="H951" s="72" t="s">
        <v>214</v>
      </c>
      <c r="I951" s="72" t="s">
        <v>56</v>
      </c>
      <c r="J951" t="str">
        <f t="shared" si="32"/>
        <v>Samish River</v>
      </c>
      <c r="K951" t="str">
        <f>IFERROR(VLOOKUP(J951,LUTs!$A$1:$C$73,2,FALSE),"NA")</f>
        <v>Skagit</v>
      </c>
      <c r="L951" t="str">
        <f>IFERROR(VLOOKUP(J951,LUTs!$A$1:$C$73,3,FALSE),"NA")</f>
        <v>1North Puget Sound</v>
      </c>
      <c r="M951" s="72" t="s">
        <v>23</v>
      </c>
      <c r="N951" t="str">
        <f>VLOOKUP(M951,LUTs!E$2:H$14,3,)</f>
        <v>10Kitsap</v>
      </c>
      <c r="O951" t="str">
        <f>VLOOKUP(M951,LUTs!E$2:H$14,4,)</f>
        <v>02South Puget Sound</v>
      </c>
      <c r="P951" s="73">
        <v>14.263839811543001</v>
      </c>
      <c r="Q951" s="74">
        <f>VLOOKUP(B951,Readme!A$40:C$51,2,)*P951</f>
        <v>123.38221436984696</v>
      </c>
    </row>
    <row r="952" spans="1:17" ht="12" customHeight="1" x14ac:dyDescent="0.35">
      <c r="A952" s="75">
        <v>951</v>
      </c>
      <c r="B952" s="64">
        <v>2012</v>
      </c>
      <c r="C952" s="64">
        <v>9</v>
      </c>
      <c r="D952" s="80">
        <f t="shared" si="31"/>
        <v>2012</v>
      </c>
      <c r="E952" t="s">
        <v>38</v>
      </c>
      <c r="F952" t="s">
        <v>143</v>
      </c>
      <c r="G952" t="s">
        <v>10</v>
      </c>
      <c r="H952" s="72" t="s">
        <v>214</v>
      </c>
      <c r="I952" s="72" t="s">
        <v>56</v>
      </c>
      <c r="J952" t="str">
        <f t="shared" si="32"/>
        <v>Samish River</v>
      </c>
      <c r="K952" t="str">
        <f>IFERROR(VLOOKUP(J952,LUTs!$A$1:$C$73,2,FALSE),"NA")</f>
        <v>Skagit</v>
      </c>
      <c r="L952" t="str">
        <f>IFERROR(VLOOKUP(J952,LUTs!$A$1:$C$73,3,FALSE),"NA")</f>
        <v>1North Puget Sound</v>
      </c>
      <c r="M952" s="72" t="s">
        <v>26</v>
      </c>
      <c r="N952" t="str">
        <f>VLOOKUP(M952,LUTs!E$2:H$14,3,)</f>
        <v>20Other</v>
      </c>
      <c r="O952" t="str">
        <f>VLOOKUP(M952,LUTs!E$2:H$14,4,)</f>
        <v>07Non Puget Sound</v>
      </c>
      <c r="P952" s="73">
        <v>356.59599528857501</v>
      </c>
      <c r="Q952" s="74">
        <f>VLOOKUP(B952,Readme!A$40:C$51,2,)*P952</f>
        <v>3084.5553592461738</v>
      </c>
    </row>
    <row r="953" spans="1:17" ht="12" customHeight="1" x14ac:dyDescent="0.35">
      <c r="A953" s="75">
        <v>952</v>
      </c>
      <c r="B953" s="64">
        <v>2012</v>
      </c>
      <c r="C953" s="64">
        <v>9</v>
      </c>
      <c r="D953" s="80">
        <f t="shared" si="31"/>
        <v>2012</v>
      </c>
      <c r="E953" t="s">
        <v>38</v>
      </c>
      <c r="F953" t="s">
        <v>143</v>
      </c>
      <c r="G953" t="s">
        <v>10</v>
      </c>
      <c r="H953" s="72" t="s">
        <v>214</v>
      </c>
      <c r="I953" s="72" t="s">
        <v>56</v>
      </c>
      <c r="J953" t="str">
        <f t="shared" si="32"/>
        <v>Samish River</v>
      </c>
      <c r="K953" t="str">
        <f>IFERROR(VLOOKUP(J953,LUTs!$A$1:$C$73,2,FALSE),"NA")</f>
        <v>Skagit</v>
      </c>
      <c r="L953" t="str">
        <f>IFERROR(VLOOKUP(J953,LUTs!$A$1:$C$73,3,FALSE),"NA")</f>
        <v>1North Puget Sound</v>
      </c>
      <c r="M953" s="72" t="s">
        <v>20</v>
      </c>
      <c r="N953" t="str">
        <f>VLOOKUP(M953,LUTs!E$2:H$14,3,)</f>
        <v>07Pierce</v>
      </c>
      <c r="O953" t="str">
        <f>VLOOKUP(M953,LUTs!E$2:H$14,4,)</f>
        <v>02South Puget Sound</v>
      </c>
      <c r="P953" s="73">
        <v>57.055359246172003</v>
      </c>
      <c r="Q953" s="74">
        <f>VLOOKUP(B953,Readme!A$40:C$51,2,)*P953</f>
        <v>493.52885747938785</v>
      </c>
    </row>
    <row r="954" spans="1:17" ht="12" customHeight="1" x14ac:dyDescent="0.35">
      <c r="A954" s="75">
        <v>953</v>
      </c>
      <c r="B954" s="64">
        <v>2012</v>
      </c>
      <c r="C954" s="64">
        <v>9</v>
      </c>
      <c r="D954" s="80">
        <f t="shared" si="31"/>
        <v>2012</v>
      </c>
      <c r="E954" t="s">
        <v>38</v>
      </c>
      <c r="F954" t="s">
        <v>143</v>
      </c>
      <c r="G954" t="s">
        <v>10</v>
      </c>
      <c r="H954" s="72" t="s">
        <v>214</v>
      </c>
      <c r="I954" s="72" t="s">
        <v>56</v>
      </c>
      <c r="J954" t="str">
        <f t="shared" si="32"/>
        <v>Samish River</v>
      </c>
      <c r="K954" t="str">
        <f>IFERROR(VLOOKUP(J954,LUTs!$A$1:$C$73,2,FALSE),"NA")</f>
        <v>Skagit</v>
      </c>
      <c r="L954" t="str">
        <f>IFERROR(VLOOKUP(J954,LUTs!$A$1:$C$73,3,FALSE),"NA")</f>
        <v>1North Puget Sound</v>
      </c>
      <c r="M954" s="72" t="s">
        <v>15</v>
      </c>
      <c r="N954" t="str">
        <f>VLOOKUP(M954,LUTs!E$2:H$14,3,)</f>
        <v>02Skagit</v>
      </c>
      <c r="O954" t="str">
        <f>VLOOKUP(M954,LUTs!E$2:H$14,4,)</f>
        <v>01North Puget Sound</v>
      </c>
      <c r="P954" s="73">
        <v>1704.5288574793899</v>
      </c>
      <c r="Q954" s="74">
        <f>VLOOKUP(B954,Readme!A$40:C$51,2,)*P954</f>
        <v>14744.174617196722</v>
      </c>
    </row>
    <row r="955" spans="1:17" ht="12" customHeight="1" x14ac:dyDescent="0.35">
      <c r="A955" s="75">
        <v>954</v>
      </c>
      <c r="B955" s="64">
        <v>2012</v>
      </c>
      <c r="C955" s="64">
        <v>9</v>
      </c>
      <c r="D955" s="80">
        <f t="shared" si="31"/>
        <v>2012</v>
      </c>
      <c r="E955" t="s">
        <v>38</v>
      </c>
      <c r="F955" t="s">
        <v>143</v>
      </c>
      <c r="G955" t="s">
        <v>10</v>
      </c>
      <c r="H955" s="72" t="s">
        <v>214</v>
      </c>
      <c r="I955" s="72" t="s">
        <v>56</v>
      </c>
      <c r="J955" t="str">
        <f t="shared" si="32"/>
        <v>Samish River</v>
      </c>
      <c r="K955" t="str">
        <f>IFERROR(VLOOKUP(J955,LUTs!$A$1:$C$73,2,FALSE),"NA")</f>
        <v>Skagit</v>
      </c>
      <c r="L955" t="str">
        <f>IFERROR(VLOOKUP(J955,LUTs!$A$1:$C$73,3,FALSE),"NA")</f>
        <v>1North Puget Sound</v>
      </c>
      <c r="M955" s="72" t="s">
        <v>16</v>
      </c>
      <c r="N955" t="str">
        <f>VLOOKUP(M955,LUTs!E$2:H$14,3,)</f>
        <v>03Snohomish</v>
      </c>
      <c r="O955" t="str">
        <f>VLOOKUP(M955,LUTs!E$2:H$14,4,)</f>
        <v>01North Puget Sound</v>
      </c>
      <c r="P955" s="73">
        <v>2396.3250883392202</v>
      </c>
      <c r="Q955" s="74">
        <f>VLOOKUP(B955,Readme!A$40:C$51,2,)*P955</f>
        <v>20728.212014134257</v>
      </c>
    </row>
    <row r="956" spans="1:17" ht="12" customHeight="1" x14ac:dyDescent="0.35">
      <c r="A956" s="75">
        <v>955</v>
      </c>
      <c r="B956" s="64">
        <v>2012</v>
      </c>
      <c r="C956" s="64">
        <v>9</v>
      </c>
      <c r="D956" s="80">
        <f t="shared" si="31"/>
        <v>2012</v>
      </c>
      <c r="E956" t="s">
        <v>38</v>
      </c>
      <c r="F956" t="s">
        <v>143</v>
      </c>
      <c r="G956" t="s">
        <v>10</v>
      </c>
      <c r="H956" s="72" t="s">
        <v>214</v>
      </c>
      <c r="I956" s="72" t="s">
        <v>56</v>
      </c>
      <c r="J956" t="str">
        <f t="shared" si="32"/>
        <v>Samish River</v>
      </c>
      <c r="K956" t="str">
        <f>IFERROR(VLOOKUP(J956,LUTs!$A$1:$C$73,2,FALSE),"NA")</f>
        <v>Skagit</v>
      </c>
      <c r="L956" t="str">
        <f>IFERROR(VLOOKUP(J956,LUTs!$A$1:$C$73,3,FALSE),"NA")</f>
        <v>1North Puget Sound</v>
      </c>
      <c r="M956" s="72" t="s">
        <v>13</v>
      </c>
      <c r="N956" t="str">
        <f>VLOOKUP(M956,LUTs!E$2:H$14,3,)</f>
        <v>01Whatcom</v>
      </c>
      <c r="O956" t="str">
        <f>VLOOKUP(M956,LUTs!E$2:H$14,4,)</f>
        <v>01North Puget Sound</v>
      </c>
      <c r="P956" s="73">
        <v>641.87279151943505</v>
      </c>
      <c r="Q956" s="74">
        <f>VLOOKUP(B956,Readme!A$40:C$51,2,)*P956</f>
        <v>5552.1996466431137</v>
      </c>
    </row>
    <row r="957" spans="1:17" ht="12" customHeight="1" x14ac:dyDescent="0.35">
      <c r="A957" s="75">
        <v>956</v>
      </c>
      <c r="B957" s="64">
        <v>2012</v>
      </c>
      <c r="C957" s="64">
        <v>10</v>
      </c>
      <c r="D957" s="80">
        <f t="shared" si="31"/>
        <v>2012</v>
      </c>
      <c r="E957" t="s">
        <v>38</v>
      </c>
      <c r="F957" t="s">
        <v>143</v>
      </c>
      <c r="G957" t="s">
        <v>10</v>
      </c>
      <c r="H957" s="72" t="s">
        <v>214</v>
      </c>
      <c r="I957" s="72" t="s">
        <v>56</v>
      </c>
      <c r="J957" t="str">
        <f t="shared" si="32"/>
        <v>Samish River</v>
      </c>
      <c r="K957" t="str">
        <f>IFERROR(VLOOKUP(J957,LUTs!$A$1:$C$73,2,FALSE),"NA")</f>
        <v>Skagit</v>
      </c>
      <c r="L957" t="str">
        <f>IFERROR(VLOOKUP(J957,LUTs!$A$1:$C$73,3,FALSE),"NA")</f>
        <v>1North Puget Sound</v>
      </c>
      <c r="M957" s="72" t="s">
        <v>24</v>
      </c>
      <c r="N957" t="str">
        <f>VLOOKUP(M957,LUTs!E$2:H$14,3,)</f>
        <v>11Clallam</v>
      </c>
      <c r="O957" t="str">
        <f>VLOOKUP(M957,LUTs!E$2:H$14,4,)</f>
        <v>03Strait of Juan de Fuca</v>
      </c>
      <c r="P957" s="73">
        <v>14.251063829787199</v>
      </c>
      <c r="Q957" s="74">
        <f>VLOOKUP(B957,Readme!A$40:C$51,2,)*P957</f>
        <v>123.27170212765928</v>
      </c>
    </row>
    <row r="958" spans="1:17" ht="12" customHeight="1" x14ac:dyDescent="0.35">
      <c r="A958" s="75">
        <v>957</v>
      </c>
      <c r="B958" s="64">
        <v>2012</v>
      </c>
      <c r="C958" s="64">
        <v>10</v>
      </c>
      <c r="D958" s="80">
        <f t="shared" si="31"/>
        <v>2012</v>
      </c>
      <c r="E958" t="s">
        <v>38</v>
      </c>
      <c r="F958" t="s">
        <v>143</v>
      </c>
      <c r="G958" t="s">
        <v>10</v>
      </c>
      <c r="H958" s="72" t="s">
        <v>214</v>
      </c>
      <c r="I958" s="72" t="s">
        <v>56</v>
      </c>
      <c r="J958" t="str">
        <f t="shared" si="32"/>
        <v>Samish River</v>
      </c>
      <c r="K958" t="str">
        <f>IFERROR(VLOOKUP(J958,LUTs!$A$1:$C$73,2,FALSE),"NA")</f>
        <v>Skagit</v>
      </c>
      <c r="L958" t="str">
        <f>IFERROR(VLOOKUP(J958,LUTs!$A$1:$C$73,3,FALSE),"NA")</f>
        <v>1North Puget Sound</v>
      </c>
      <c r="M958" s="72" t="s">
        <v>17</v>
      </c>
      <c r="N958" t="str">
        <f>VLOOKUP(M958,LUTs!E$2:H$14,3,)</f>
        <v>04Island</v>
      </c>
      <c r="O958" t="str">
        <f>VLOOKUP(M958,LUTs!E$2:H$14,4,)</f>
        <v>01North Puget Sound</v>
      </c>
      <c r="P958" s="73">
        <v>228.01702127659601</v>
      </c>
      <c r="Q958" s="74">
        <f>VLOOKUP(B958,Readme!A$40:C$51,2,)*P958</f>
        <v>1972.3472340425556</v>
      </c>
    </row>
    <row r="959" spans="1:17" ht="12" customHeight="1" x14ac:dyDescent="0.35">
      <c r="A959" s="75">
        <v>958</v>
      </c>
      <c r="B959" s="64">
        <v>2012</v>
      </c>
      <c r="C959" s="64">
        <v>10</v>
      </c>
      <c r="D959" s="80">
        <f t="shared" si="31"/>
        <v>2012</v>
      </c>
      <c r="E959" t="s">
        <v>38</v>
      </c>
      <c r="F959" t="s">
        <v>143</v>
      </c>
      <c r="G959" t="s">
        <v>10</v>
      </c>
      <c r="H959" s="72" t="s">
        <v>214</v>
      </c>
      <c r="I959" s="72" t="s">
        <v>56</v>
      </c>
      <c r="J959" t="str">
        <f t="shared" si="32"/>
        <v>Samish River</v>
      </c>
      <c r="K959" t="str">
        <f>IFERROR(VLOOKUP(J959,LUTs!$A$1:$C$73,2,FALSE),"NA")</f>
        <v>Skagit</v>
      </c>
      <c r="L959" t="str">
        <f>IFERROR(VLOOKUP(J959,LUTs!$A$1:$C$73,3,FALSE),"NA")</f>
        <v>1North Puget Sound</v>
      </c>
      <c r="M959" s="72" t="s">
        <v>18</v>
      </c>
      <c r="N959" t="str">
        <f>VLOOKUP(M959,LUTs!E$2:H$14,3,)</f>
        <v>06King</v>
      </c>
      <c r="O959" t="str">
        <f>VLOOKUP(M959,LUTs!E$2:H$14,4,)</f>
        <v>02South Puget Sound</v>
      </c>
      <c r="P959" s="73">
        <v>178.13829787233999</v>
      </c>
      <c r="Q959" s="74">
        <f>VLOOKUP(B959,Readme!A$40:C$51,2,)*P959</f>
        <v>1540.896276595741</v>
      </c>
    </row>
    <row r="960" spans="1:17" ht="12" customHeight="1" x14ac:dyDescent="0.35">
      <c r="A960" s="75">
        <v>959</v>
      </c>
      <c r="B960" s="64">
        <v>2012</v>
      </c>
      <c r="C960" s="64">
        <v>10</v>
      </c>
      <c r="D960" s="80">
        <f t="shared" si="31"/>
        <v>2012</v>
      </c>
      <c r="E960" t="s">
        <v>38</v>
      </c>
      <c r="F960" t="s">
        <v>143</v>
      </c>
      <c r="G960" t="s">
        <v>10</v>
      </c>
      <c r="H960" s="72" t="s">
        <v>214</v>
      </c>
      <c r="I960" s="72" t="s">
        <v>56</v>
      </c>
      <c r="J960" t="str">
        <f t="shared" si="32"/>
        <v>Samish River</v>
      </c>
      <c r="K960" t="str">
        <f>IFERROR(VLOOKUP(J960,LUTs!$A$1:$C$73,2,FALSE),"NA")</f>
        <v>Skagit</v>
      </c>
      <c r="L960" t="str">
        <f>IFERROR(VLOOKUP(J960,LUTs!$A$1:$C$73,3,FALSE),"NA")</f>
        <v>1North Puget Sound</v>
      </c>
      <c r="M960" s="72" t="s">
        <v>26</v>
      </c>
      <c r="N960" t="str">
        <f>VLOOKUP(M960,LUTs!E$2:H$14,3,)</f>
        <v>20Other</v>
      </c>
      <c r="O960" t="str">
        <f>VLOOKUP(M960,LUTs!E$2:H$14,4,)</f>
        <v>07Non Puget Sound</v>
      </c>
      <c r="P960" s="73">
        <v>35.627659574468098</v>
      </c>
      <c r="Q960" s="74">
        <f>VLOOKUP(B960,Readme!A$40:C$51,2,)*P960</f>
        <v>308.17925531914904</v>
      </c>
    </row>
    <row r="961" spans="1:17" ht="12" customHeight="1" x14ac:dyDescent="0.35">
      <c r="A961" s="75">
        <v>960</v>
      </c>
      <c r="B961" s="64">
        <v>2012</v>
      </c>
      <c r="C961" s="64">
        <v>10</v>
      </c>
      <c r="D961" s="80">
        <f t="shared" si="31"/>
        <v>2012</v>
      </c>
      <c r="E961" t="s">
        <v>38</v>
      </c>
      <c r="F961" t="s">
        <v>143</v>
      </c>
      <c r="G961" t="s">
        <v>10</v>
      </c>
      <c r="H961" s="72" t="s">
        <v>214</v>
      </c>
      <c r="I961" s="72" t="s">
        <v>56</v>
      </c>
      <c r="J961" t="str">
        <f t="shared" si="32"/>
        <v>Samish River</v>
      </c>
      <c r="K961" t="str">
        <f>IFERROR(VLOOKUP(J961,LUTs!$A$1:$C$73,2,FALSE),"NA")</f>
        <v>Skagit</v>
      </c>
      <c r="L961" t="str">
        <f>IFERROR(VLOOKUP(J961,LUTs!$A$1:$C$73,3,FALSE),"NA")</f>
        <v>1North Puget Sound</v>
      </c>
      <c r="M961" s="72" t="s">
        <v>20</v>
      </c>
      <c r="N961" t="str">
        <f>VLOOKUP(M961,LUTs!E$2:H$14,3,)</f>
        <v>07Pierce</v>
      </c>
      <c r="O961" t="str">
        <f>VLOOKUP(M961,LUTs!E$2:H$14,4,)</f>
        <v>02South Puget Sound</v>
      </c>
      <c r="P961" s="73">
        <v>14.251063829787199</v>
      </c>
      <c r="Q961" s="74">
        <f>VLOOKUP(B961,Readme!A$40:C$51,2,)*P961</f>
        <v>123.27170212765928</v>
      </c>
    </row>
    <row r="962" spans="1:17" ht="12" customHeight="1" x14ac:dyDescent="0.35">
      <c r="A962" s="75">
        <v>961</v>
      </c>
      <c r="B962" s="64">
        <v>2012</v>
      </c>
      <c r="C962" s="64">
        <v>10</v>
      </c>
      <c r="D962" s="80">
        <f t="shared" ref="D962:D1025" si="33">IF(C962&gt;3,B962,B962-1)</f>
        <v>2012</v>
      </c>
      <c r="E962" t="s">
        <v>38</v>
      </c>
      <c r="F962" t="s">
        <v>143</v>
      </c>
      <c r="G962" t="s">
        <v>10</v>
      </c>
      <c r="H962" s="72" t="s">
        <v>214</v>
      </c>
      <c r="I962" s="72" t="s">
        <v>56</v>
      </c>
      <c r="J962" t="str">
        <f t="shared" si="32"/>
        <v>Samish River</v>
      </c>
      <c r="K962" t="str">
        <f>IFERROR(VLOOKUP(J962,LUTs!$A$1:$C$73,2,FALSE),"NA")</f>
        <v>Skagit</v>
      </c>
      <c r="L962" t="str">
        <f>IFERROR(VLOOKUP(J962,LUTs!$A$1:$C$73,3,FALSE),"NA")</f>
        <v>1North Puget Sound</v>
      </c>
      <c r="M962" s="72" t="s">
        <v>15</v>
      </c>
      <c r="N962" t="str">
        <f>VLOOKUP(M962,LUTs!E$2:H$14,3,)</f>
        <v>02Skagit</v>
      </c>
      <c r="O962" t="str">
        <f>VLOOKUP(M962,LUTs!E$2:H$14,4,)</f>
        <v>01North Puget Sound</v>
      </c>
      <c r="P962" s="73">
        <v>1083.0808510638301</v>
      </c>
      <c r="Q962" s="74">
        <f>VLOOKUP(B962,Readme!A$40:C$51,2,)*P962</f>
        <v>9368.6493617021315</v>
      </c>
    </row>
    <row r="963" spans="1:17" ht="12" customHeight="1" x14ac:dyDescent="0.35">
      <c r="A963" s="75">
        <v>962</v>
      </c>
      <c r="B963" s="64">
        <v>2012</v>
      </c>
      <c r="C963" s="64">
        <v>10</v>
      </c>
      <c r="D963" s="80">
        <f t="shared" si="33"/>
        <v>2012</v>
      </c>
      <c r="E963" t="s">
        <v>38</v>
      </c>
      <c r="F963" t="s">
        <v>143</v>
      </c>
      <c r="G963" t="s">
        <v>10</v>
      </c>
      <c r="H963" s="72" t="s">
        <v>214</v>
      </c>
      <c r="I963" s="72" t="s">
        <v>56</v>
      </c>
      <c r="J963" t="str">
        <f t="shared" ref="J963:J1026" si="34">I963</f>
        <v>Samish River</v>
      </c>
      <c r="K963" t="str">
        <f>IFERROR(VLOOKUP(J963,LUTs!$A$1:$C$73,2,FALSE),"NA")</f>
        <v>Skagit</v>
      </c>
      <c r="L963" t="str">
        <f>IFERROR(VLOOKUP(J963,LUTs!$A$1:$C$73,3,FALSE),"NA")</f>
        <v>1North Puget Sound</v>
      </c>
      <c r="M963" s="72" t="s">
        <v>16</v>
      </c>
      <c r="N963" t="str">
        <f>VLOOKUP(M963,LUTs!E$2:H$14,3,)</f>
        <v>03Snohomish</v>
      </c>
      <c r="O963" t="str">
        <f>VLOOKUP(M963,LUTs!E$2:H$14,4,)</f>
        <v>01North Puget Sound</v>
      </c>
      <c r="P963" s="73">
        <v>1574.7425531914901</v>
      </c>
      <c r="Q963" s="74">
        <f>VLOOKUP(B963,Readme!A$40:C$51,2,)*P963</f>
        <v>13621.52308510639</v>
      </c>
    </row>
    <row r="964" spans="1:17" ht="12" customHeight="1" x14ac:dyDescent="0.35">
      <c r="A964" s="75">
        <v>963</v>
      </c>
      <c r="B964" s="64">
        <v>2012</v>
      </c>
      <c r="C964" s="64">
        <v>10</v>
      </c>
      <c r="D964" s="80">
        <f t="shared" si="33"/>
        <v>2012</v>
      </c>
      <c r="E964" t="s">
        <v>38</v>
      </c>
      <c r="F964" t="s">
        <v>143</v>
      </c>
      <c r="G964" t="s">
        <v>10</v>
      </c>
      <c r="H964" s="72" t="s">
        <v>214</v>
      </c>
      <c r="I964" s="72" t="s">
        <v>56</v>
      </c>
      <c r="J964" t="str">
        <f t="shared" si="34"/>
        <v>Samish River</v>
      </c>
      <c r="K964" t="str">
        <f>IFERROR(VLOOKUP(J964,LUTs!$A$1:$C$73,2,FALSE),"NA")</f>
        <v>Skagit</v>
      </c>
      <c r="L964" t="str">
        <f>IFERROR(VLOOKUP(J964,LUTs!$A$1:$C$73,3,FALSE),"NA")</f>
        <v>1North Puget Sound</v>
      </c>
      <c r="M964" s="72" t="s">
        <v>13</v>
      </c>
      <c r="N964" t="str">
        <f>VLOOKUP(M964,LUTs!E$2:H$14,3,)</f>
        <v>01Whatcom</v>
      </c>
      <c r="O964" t="str">
        <f>VLOOKUP(M964,LUTs!E$2:H$14,4,)</f>
        <v>01North Puget Sound</v>
      </c>
      <c r="P964" s="73">
        <v>220.89148936170201</v>
      </c>
      <c r="Q964" s="74">
        <f>VLOOKUP(B964,Readme!A$40:C$51,2,)*P964</f>
        <v>1910.7113829787224</v>
      </c>
    </row>
    <row r="965" spans="1:17" ht="12" customHeight="1" x14ac:dyDescent="0.35">
      <c r="A965" s="75">
        <v>964</v>
      </c>
      <c r="B965" s="64">
        <v>2012</v>
      </c>
      <c r="C965" s="64">
        <v>6</v>
      </c>
      <c r="D965" s="80">
        <f t="shared" si="33"/>
        <v>2012</v>
      </c>
      <c r="E965" t="s">
        <v>38</v>
      </c>
      <c r="F965" t="s">
        <v>143</v>
      </c>
      <c r="G965" t="s">
        <v>10</v>
      </c>
      <c r="H965" s="72" t="s">
        <v>216</v>
      </c>
      <c r="I965" s="72" t="s">
        <v>58</v>
      </c>
      <c r="J965" t="str">
        <f t="shared" si="34"/>
        <v>Baker Lake</v>
      </c>
      <c r="K965" t="str">
        <f>IFERROR(VLOOKUP(J965,LUTs!$A$1:$C$73,2,FALSE),"NA")</f>
        <v>Whatcom</v>
      </c>
      <c r="L965" t="str">
        <f>IFERROR(VLOOKUP(J965,LUTs!$A$1:$C$73,3,FALSE),"NA")</f>
        <v>1North Puget Sound</v>
      </c>
      <c r="M965" s="72" t="s">
        <v>26</v>
      </c>
      <c r="N965" t="str">
        <f>VLOOKUP(M965,LUTs!E$2:H$14,3,)</f>
        <v>20Other</v>
      </c>
      <c r="O965" t="str">
        <f>VLOOKUP(M965,LUTs!E$2:H$14,4,)</f>
        <v>07Non Puget Sound</v>
      </c>
      <c r="P965" s="73">
        <v>0</v>
      </c>
      <c r="Q965" s="74">
        <f>VLOOKUP(B965,Readme!A$40:C$51,2,)*P965</f>
        <v>0</v>
      </c>
    </row>
    <row r="966" spans="1:17" ht="12" customHeight="1" x14ac:dyDescent="0.35">
      <c r="A966" s="75">
        <v>965</v>
      </c>
      <c r="B966" s="64">
        <v>2012</v>
      </c>
      <c r="C966" s="64">
        <v>7</v>
      </c>
      <c r="D966" s="80">
        <f t="shared" si="33"/>
        <v>2012</v>
      </c>
      <c r="E966" t="s">
        <v>38</v>
      </c>
      <c r="F966" t="s">
        <v>143</v>
      </c>
      <c r="G966" t="s">
        <v>10</v>
      </c>
      <c r="H966" s="72" t="s">
        <v>216</v>
      </c>
      <c r="I966" s="72" t="s">
        <v>58</v>
      </c>
      <c r="J966" t="str">
        <f t="shared" si="34"/>
        <v>Baker Lake</v>
      </c>
      <c r="K966" t="str">
        <f>IFERROR(VLOOKUP(J966,LUTs!$A$1:$C$73,2,FALSE),"NA")</f>
        <v>Whatcom</v>
      </c>
      <c r="L966" t="str">
        <f>IFERROR(VLOOKUP(J966,LUTs!$A$1:$C$73,3,FALSE),"NA")</f>
        <v>1North Puget Sound</v>
      </c>
      <c r="M966" s="72" t="s">
        <v>24</v>
      </c>
      <c r="N966" t="str">
        <f>VLOOKUP(M966,LUTs!E$2:H$14,3,)</f>
        <v>11Clallam</v>
      </c>
      <c r="O966" t="str">
        <f>VLOOKUP(M966,LUTs!E$2:H$14,4,)</f>
        <v>03Strait of Juan de Fuca</v>
      </c>
      <c r="P966" s="73">
        <v>7.5696400625978102</v>
      </c>
      <c r="Q966" s="74">
        <f>VLOOKUP(B966,Readme!A$40:C$51,2,)*P966</f>
        <v>65.477386541471063</v>
      </c>
    </row>
    <row r="967" spans="1:17" ht="12" customHeight="1" x14ac:dyDescent="0.35">
      <c r="A967" s="75">
        <v>966</v>
      </c>
      <c r="B967" s="64">
        <v>2012</v>
      </c>
      <c r="C967" s="64">
        <v>7</v>
      </c>
      <c r="D967" s="80">
        <f t="shared" si="33"/>
        <v>2012</v>
      </c>
      <c r="E967" t="s">
        <v>38</v>
      </c>
      <c r="F967" t="s">
        <v>143</v>
      </c>
      <c r="G967" t="s">
        <v>10</v>
      </c>
      <c r="H967" s="72" t="s">
        <v>216</v>
      </c>
      <c r="I967" s="72" t="s">
        <v>58</v>
      </c>
      <c r="J967" t="str">
        <f t="shared" si="34"/>
        <v>Baker Lake</v>
      </c>
      <c r="K967" t="str">
        <f>IFERROR(VLOOKUP(J967,LUTs!$A$1:$C$73,2,FALSE),"NA")</f>
        <v>Whatcom</v>
      </c>
      <c r="L967" t="str">
        <f>IFERROR(VLOOKUP(J967,LUTs!$A$1:$C$73,3,FALSE),"NA")</f>
        <v>1North Puget Sound</v>
      </c>
      <c r="M967" s="72" t="s">
        <v>17</v>
      </c>
      <c r="N967" t="str">
        <f>VLOOKUP(M967,LUTs!E$2:H$14,3,)</f>
        <v>04Island</v>
      </c>
      <c r="O967" t="str">
        <f>VLOOKUP(M967,LUTs!E$2:H$14,4,)</f>
        <v>01North Puget Sound</v>
      </c>
      <c r="P967" s="73">
        <v>113.54460093896699</v>
      </c>
      <c r="Q967" s="74">
        <f>VLOOKUP(B967,Readme!A$40:C$51,2,)*P967</f>
        <v>982.16079812206453</v>
      </c>
    </row>
    <row r="968" spans="1:17" ht="12" customHeight="1" x14ac:dyDescent="0.35">
      <c r="A968" s="75">
        <v>967</v>
      </c>
      <c r="B968" s="64">
        <v>2012</v>
      </c>
      <c r="C968" s="64">
        <v>7</v>
      </c>
      <c r="D968" s="80">
        <f t="shared" si="33"/>
        <v>2012</v>
      </c>
      <c r="E968" t="s">
        <v>38</v>
      </c>
      <c r="F968" t="s">
        <v>143</v>
      </c>
      <c r="G968" t="s">
        <v>10</v>
      </c>
      <c r="H968" s="72" t="s">
        <v>216</v>
      </c>
      <c r="I968" s="72" t="s">
        <v>58</v>
      </c>
      <c r="J968" t="str">
        <f t="shared" si="34"/>
        <v>Baker Lake</v>
      </c>
      <c r="K968" t="str">
        <f>IFERROR(VLOOKUP(J968,LUTs!$A$1:$C$73,2,FALSE),"NA")</f>
        <v>Whatcom</v>
      </c>
      <c r="L968" t="str">
        <f>IFERROR(VLOOKUP(J968,LUTs!$A$1:$C$73,3,FALSE),"NA")</f>
        <v>1North Puget Sound</v>
      </c>
      <c r="M968" s="72" t="s">
        <v>18</v>
      </c>
      <c r="N968" t="str">
        <f>VLOOKUP(M968,LUTs!E$2:H$14,3,)</f>
        <v>06King</v>
      </c>
      <c r="O968" t="str">
        <f>VLOOKUP(M968,LUTs!E$2:H$14,4,)</f>
        <v>02South Puget Sound</v>
      </c>
      <c r="P968" s="73">
        <v>688.83724569640106</v>
      </c>
      <c r="Q968" s="74">
        <f>VLOOKUP(B968,Readme!A$40:C$51,2,)*P968</f>
        <v>5958.442175273869</v>
      </c>
    </row>
    <row r="969" spans="1:17" ht="12" customHeight="1" x14ac:dyDescent="0.35">
      <c r="A969" s="75">
        <v>968</v>
      </c>
      <c r="B969" s="64">
        <v>2012</v>
      </c>
      <c r="C969" s="64">
        <v>7</v>
      </c>
      <c r="D969" s="80">
        <f t="shared" si="33"/>
        <v>2012</v>
      </c>
      <c r="E969" t="s">
        <v>38</v>
      </c>
      <c r="F969" t="s">
        <v>143</v>
      </c>
      <c r="G969" t="s">
        <v>10</v>
      </c>
      <c r="H969" s="72" t="s">
        <v>216</v>
      </c>
      <c r="I969" s="72" t="s">
        <v>58</v>
      </c>
      <c r="J969" t="str">
        <f t="shared" si="34"/>
        <v>Baker Lake</v>
      </c>
      <c r="K969" t="str">
        <f>IFERROR(VLOOKUP(J969,LUTs!$A$1:$C$73,2,FALSE),"NA")</f>
        <v>Whatcom</v>
      </c>
      <c r="L969" t="str">
        <f>IFERROR(VLOOKUP(J969,LUTs!$A$1:$C$73,3,FALSE),"NA")</f>
        <v>1North Puget Sound</v>
      </c>
      <c r="M969" s="72" t="s">
        <v>26</v>
      </c>
      <c r="N969" t="str">
        <f>VLOOKUP(M969,LUTs!E$2:H$14,3,)</f>
        <v>20Other</v>
      </c>
      <c r="O969" t="str">
        <f>VLOOKUP(M969,LUTs!E$2:H$14,4,)</f>
        <v>07Non Puget Sound</v>
      </c>
      <c r="P969" s="73">
        <v>219.519561815337</v>
      </c>
      <c r="Q969" s="74">
        <f>VLOOKUP(B969,Readme!A$40:C$51,2,)*P969</f>
        <v>1898.844209702665</v>
      </c>
    </row>
    <row r="970" spans="1:17" ht="12" customHeight="1" x14ac:dyDescent="0.35">
      <c r="A970" s="75">
        <v>969</v>
      </c>
      <c r="B970" s="64">
        <v>2012</v>
      </c>
      <c r="C970" s="64">
        <v>7</v>
      </c>
      <c r="D970" s="80">
        <f t="shared" si="33"/>
        <v>2012</v>
      </c>
      <c r="E970" t="s">
        <v>38</v>
      </c>
      <c r="F970" t="s">
        <v>143</v>
      </c>
      <c r="G970" t="s">
        <v>10</v>
      </c>
      <c r="H970" s="72" t="s">
        <v>216</v>
      </c>
      <c r="I970" s="72" t="s">
        <v>58</v>
      </c>
      <c r="J970" t="str">
        <f t="shared" si="34"/>
        <v>Baker Lake</v>
      </c>
      <c r="K970" t="str">
        <f>IFERROR(VLOOKUP(J970,LUTs!$A$1:$C$73,2,FALSE),"NA")</f>
        <v>Whatcom</v>
      </c>
      <c r="L970" t="str">
        <f>IFERROR(VLOOKUP(J970,LUTs!$A$1:$C$73,3,FALSE),"NA")</f>
        <v>1North Puget Sound</v>
      </c>
      <c r="M970" s="72" t="s">
        <v>20</v>
      </c>
      <c r="N970" t="str">
        <f>VLOOKUP(M970,LUTs!E$2:H$14,3,)</f>
        <v>07Pierce</v>
      </c>
      <c r="O970" t="str">
        <f>VLOOKUP(M970,LUTs!E$2:H$14,4,)</f>
        <v>02South Puget Sound</v>
      </c>
      <c r="P970" s="73">
        <v>90.835680751173697</v>
      </c>
      <c r="Q970" s="74">
        <f>VLOOKUP(B970,Readme!A$40:C$51,2,)*P970</f>
        <v>785.72863849765247</v>
      </c>
    </row>
    <row r="971" spans="1:17" ht="12" customHeight="1" x14ac:dyDescent="0.35">
      <c r="A971" s="75">
        <v>970</v>
      </c>
      <c r="B971" s="64">
        <v>2012</v>
      </c>
      <c r="C971" s="64">
        <v>7</v>
      </c>
      <c r="D971" s="80">
        <f t="shared" si="33"/>
        <v>2012</v>
      </c>
      <c r="E971" t="s">
        <v>38</v>
      </c>
      <c r="F971" t="s">
        <v>143</v>
      </c>
      <c r="G971" t="s">
        <v>10</v>
      </c>
      <c r="H971" s="72" t="s">
        <v>216</v>
      </c>
      <c r="I971" s="72" t="s">
        <v>58</v>
      </c>
      <c r="J971" t="str">
        <f t="shared" si="34"/>
        <v>Baker Lake</v>
      </c>
      <c r="K971" t="str">
        <f>IFERROR(VLOOKUP(J971,LUTs!$A$1:$C$73,2,FALSE),"NA")</f>
        <v>Whatcom</v>
      </c>
      <c r="L971" t="str">
        <f>IFERROR(VLOOKUP(J971,LUTs!$A$1:$C$73,3,FALSE),"NA")</f>
        <v>1North Puget Sound</v>
      </c>
      <c r="M971" s="72" t="s">
        <v>30</v>
      </c>
      <c r="N971" t="str">
        <f>VLOOKUP(M971,LUTs!E$2:H$14,3,)</f>
        <v>05San Juan</v>
      </c>
      <c r="O971" t="str">
        <f>VLOOKUP(M971,LUTs!E$2:H$14,4,)</f>
        <v>01North Puget Sound</v>
      </c>
      <c r="P971" s="73">
        <v>15.139280125195601</v>
      </c>
      <c r="Q971" s="74">
        <f>VLOOKUP(B971,Readme!A$40:C$51,2,)*P971</f>
        <v>130.95477308294195</v>
      </c>
    </row>
    <row r="972" spans="1:17" ht="12" customHeight="1" x14ac:dyDescent="0.35">
      <c r="A972" s="75">
        <v>971</v>
      </c>
      <c r="B972" s="64">
        <v>2012</v>
      </c>
      <c r="C972" s="64">
        <v>7</v>
      </c>
      <c r="D972" s="80">
        <f t="shared" si="33"/>
        <v>2012</v>
      </c>
      <c r="E972" t="s">
        <v>38</v>
      </c>
      <c r="F972" t="s">
        <v>143</v>
      </c>
      <c r="G972" t="s">
        <v>10</v>
      </c>
      <c r="H972" s="72" t="s">
        <v>216</v>
      </c>
      <c r="I972" s="72" t="s">
        <v>58</v>
      </c>
      <c r="J972" t="str">
        <f t="shared" si="34"/>
        <v>Baker Lake</v>
      </c>
      <c r="K972" t="str">
        <f>IFERROR(VLOOKUP(J972,LUTs!$A$1:$C$73,2,FALSE),"NA")</f>
        <v>Whatcom</v>
      </c>
      <c r="L972" t="str">
        <f>IFERROR(VLOOKUP(J972,LUTs!$A$1:$C$73,3,FALSE),"NA")</f>
        <v>1North Puget Sound</v>
      </c>
      <c r="M972" s="72" t="s">
        <v>15</v>
      </c>
      <c r="N972" t="str">
        <f>VLOOKUP(M972,LUTs!E$2:H$14,3,)</f>
        <v>02Skagit</v>
      </c>
      <c r="O972" t="str">
        <f>VLOOKUP(M972,LUTs!E$2:H$14,4,)</f>
        <v>01North Puget Sound</v>
      </c>
      <c r="P972" s="73">
        <v>1460.9405320813801</v>
      </c>
      <c r="Q972" s="74">
        <f>VLOOKUP(B972,Readme!A$40:C$51,2,)*P972</f>
        <v>12637.135602503939</v>
      </c>
    </row>
    <row r="973" spans="1:17" ht="12" customHeight="1" x14ac:dyDescent="0.35">
      <c r="A973" s="75">
        <v>972</v>
      </c>
      <c r="B973" s="64">
        <v>2012</v>
      </c>
      <c r="C973" s="64">
        <v>7</v>
      </c>
      <c r="D973" s="80">
        <f t="shared" si="33"/>
        <v>2012</v>
      </c>
      <c r="E973" t="s">
        <v>38</v>
      </c>
      <c r="F973" t="s">
        <v>143</v>
      </c>
      <c r="G973" t="s">
        <v>10</v>
      </c>
      <c r="H973" s="72" t="s">
        <v>216</v>
      </c>
      <c r="I973" s="72" t="s">
        <v>58</v>
      </c>
      <c r="J973" t="str">
        <f t="shared" si="34"/>
        <v>Baker Lake</v>
      </c>
      <c r="K973" t="str">
        <f>IFERROR(VLOOKUP(J973,LUTs!$A$1:$C$73,2,FALSE),"NA")</f>
        <v>Whatcom</v>
      </c>
      <c r="L973" t="str">
        <f>IFERROR(VLOOKUP(J973,LUTs!$A$1:$C$73,3,FALSE),"NA")</f>
        <v>1North Puget Sound</v>
      </c>
      <c r="M973" s="72" t="s">
        <v>16</v>
      </c>
      <c r="N973" t="str">
        <f>VLOOKUP(M973,LUTs!E$2:H$14,3,)</f>
        <v>03Snohomish</v>
      </c>
      <c r="O973" t="str">
        <f>VLOOKUP(M973,LUTs!E$2:H$14,4,)</f>
        <v>01North Puget Sound</v>
      </c>
      <c r="P973" s="73">
        <v>1635.0422535211301</v>
      </c>
      <c r="Q973" s="74">
        <f>VLOOKUP(B973,Readme!A$40:C$51,2,)*P973</f>
        <v>14143.115492957775</v>
      </c>
    </row>
    <row r="974" spans="1:17" ht="12" customHeight="1" x14ac:dyDescent="0.35">
      <c r="A974" s="75">
        <v>973</v>
      </c>
      <c r="B974" s="64">
        <v>2012</v>
      </c>
      <c r="C974" s="64">
        <v>7</v>
      </c>
      <c r="D974" s="80">
        <f t="shared" si="33"/>
        <v>2012</v>
      </c>
      <c r="E974" t="s">
        <v>38</v>
      </c>
      <c r="F974" t="s">
        <v>143</v>
      </c>
      <c r="G974" t="s">
        <v>10</v>
      </c>
      <c r="H974" s="72" t="s">
        <v>216</v>
      </c>
      <c r="I974" s="72" t="s">
        <v>58</v>
      </c>
      <c r="J974" t="str">
        <f t="shared" si="34"/>
        <v>Baker Lake</v>
      </c>
      <c r="K974" t="str">
        <f>IFERROR(VLOOKUP(J974,LUTs!$A$1:$C$73,2,FALSE),"NA")</f>
        <v>Whatcom</v>
      </c>
      <c r="L974" t="str">
        <f>IFERROR(VLOOKUP(J974,LUTs!$A$1:$C$73,3,FALSE),"NA")</f>
        <v>1North Puget Sound</v>
      </c>
      <c r="M974" s="72" t="s">
        <v>21</v>
      </c>
      <c r="N974" t="str">
        <f>VLOOKUP(M974,LUTs!E$2:H$14,3,)</f>
        <v>08Thurston</v>
      </c>
      <c r="O974" t="str">
        <f>VLOOKUP(M974,LUTs!E$2:H$14,4,)</f>
        <v>02South Puget Sound</v>
      </c>
      <c r="P974" s="73">
        <v>45.417840375586898</v>
      </c>
      <c r="Q974" s="74">
        <f>VLOOKUP(B974,Readme!A$40:C$51,2,)*P974</f>
        <v>392.86431924882669</v>
      </c>
    </row>
    <row r="975" spans="1:17" ht="12" customHeight="1" x14ac:dyDescent="0.35">
      <c r="A975" s="75">
        <v>974</v>
      </c>
      <c r="B975" s="64">
        <v>2012</v>
      </c>
      <c r="C975" s="64">
        <v>7</v>
      </c>
      <c r="D975" s="80">
        <f t="shared" si="33"/>
        <v>2012</v>
      </c>
      <c r="E975" t="s">
        <v>38</v>
      </c>
      <c r="F975" t="s">
        <v>143</v>
      </c>
      <c r="G975" t="s">
        <v>10</v>
      </c>
      <c r="H975" s="72" t="s">
        <v>216</v>
      </c>
      <c r="I975" s="72" t="s">
        <v>58</v>
      </c>
      <c r="J975" t="str">
        <f t="shared" si="34"/>
        <v>Baker Lake</v>
      </c>
      <c r="K975" t="str">
        <f>IFERROR(VLOOKUP(J975,LUTs!$A$1:$C$73,2,FALSE),"NA")</f>
        <v>Whatcom</v>
      </c>
      <c r="L975" t="str">
        <f>IFERROR(VLOOKUP(J975,LUTs!$A$1:$C$73,3,FALSE),"NA")</f>
        <v>1North Puget Sound</v>
      </c>
      <c r="M975" s="72" t="s">
        <v>13</v>
      </c>
      <c r="N975" t="str">
        <f>VLOOKUP(M975,LUTs!E$2:H$14,3,)</f>
        <v>01Whatcom</v>
      </c>
      <c r="O975" t="str">
        <f>VLOOKUP(M975,LUTs!E$2:H$14,4,)</f>
        <v>01North Puget Sound</v>
      </c>
      <c r="P975" s="73">
        <v>560.15336463223798</v>
      </c>
      <c r="Q975" s="74">
        <f>VLOOKUP(B975,Readme!A$40:C$51,2,)*P975</f>
        <v>4845.3266040688586</v>
      </c>
    </row>
    <row r="976" spans="1:17" ht="12" customHeight="1" x14ac:dyDescent="0.35">
      <c r="A976" s="75">
        <v>975</v>
      </c>
      <c r="B976" s="64">
        <v>2012</v>
      </c>
      <c r="C976" s="64">
        <v>8</v>
      </c>
      <c r="D976" s="80">
        <f t="shared" si="33"/>
        <v>2012</v>
      </c>
      <c r="E976" t="s">
        <v>38</v>
      </c>
      <c r="F976" t="s">
        <v>143</v>
      </c>
      <c r="G976" t="s">
        <v>10</v>
      </c>
      <c r="H976" s="72" t="s">
        <v>216</v>
      </c>
      <c r="I976" s="72" t="s">
        <v>58</v>
      </c>
      <c r="J976" t="str">
        <f t="shared" si="34"/>
        <v>Baker Lake</v>
      </c>
      <c r="K976" t="str">
        <f>IFERROR(VLOOKUP(J976,LUTs!$A$1:$C$73,2,FALSE),"NA")</f>
        <v>Whatcom</v>
      </c>
      <c r="L976" t="str">
        <f>IFERROR(VLOOKUP(J976,LUTs!$A$1:$C$73,3,FALSE),"NA")</f>
        <v>1North Puget Sound</v>
      </c>
      <c r="M976" s="72" t="s">
        <v>24</v>
      </c>
      <c r="N976" t="str">
        <f>VLOOKUP(M976,LUTs!E$2:H$14,3,)</f>
        <v>11Clallam</v>
      </c>
      <c r="O976" t="str">
        <f>VLOOKUP(M976,LUTs!E$2:H$14,4,)</f>
        <v>03Strait of Juan de Fuca</v>
      </c>
      <c r="P976" s="73">
        <v>7.5454545454545503</v>
      </c>
      <c r="Q976" s="74">
        <f>VLOOKUP(B976,Readme!A$40:C$51,2,)*P976</f>
        <v>65.268181818181858</v>
      </c>
    </row>
    <row r="977" spans="1:17" ht="12" customHeight="1" x14ac:dyDescent="0.35">
      <c r="A977" s="75">
        <v>976</v>
      </c>
      <c r="B977" s="64">
        <v>2012</v>
      </c>
      <c r="C977" s="64">
        <v>8</v>
      </c>
      <c r="D977" s="80">
        <f t="shared" si="33"/>
        <v>2012</v>
      </c>
      <c r="E977" t="s">
        <v>38</v>
      </c>
      <c r="F977" t="s">
        <v>143</v>
      </c>
      <c r="G977" t="s">
        <v>10</v>
      </c>
      <c r="H977" s="72" t="s">
        <v>216</v>
      </c>
      <c r="I977" s="72" t="s">
        <v>58</v>
      </c>
      <c r="J977" t="str">
        <f t="shared" si="34"/>
        <v>Baker Lake</v>
      </c>
      <c r="K977" t="str">
        <f>IFERROR(VLOOKUP(J977,LUTs!$A$1:$C$73,2,FALSE),"NA")</f>
        <v>Whatcom</v>
      </c>
      <c r="L977" t="str">
        <f>IFERROR(VLOOKUP(J977,LUTs!$A$1:$C$73,3,FALSE),"NA")</f>
        <v>1North Puget Sound</v>
      </c>
      <c r="M977" s="72" t="s">
        <v>17</v>
      </c>
      <c r="N977" t="str">
        <f>VLOOKUP(M977,LUTs!E$2:H$14,3,)</f>
        <v>04Island</v>
      </c>
      <c r="O977" t="str">
        <f>VLOOKUP(M977,LUTs!E$2:H$14,4,)</f>
        <v>01North Puget Sound</v>
      </c>
      <c r="P977" s="73">
        <v>75.454545454545496</v>
      </c>
      <c r="Q977" s="74">
        <f>VLOOKUP(B977,Readme!A$40:C$51,2,)*P977</f>
        <v>652.68181818181858</v>
      </c>
    </row>
    <row r="978" spans="1:17" ht="12" customHeight="1" x14ac:dyDescent="0.35">
      <c r="A978" s="75">
        <v>977</v>
      </c>
      <c r="B978" s="64">
        <v>2012</v>
      </c>
      <c r="C978" s="64">
        <v>8</v>
      </c>
      <c r="D978" s="80">
        <f t="shared" si="33"/>
        <v>2012</v>
      </c>
      <c r="E978" t="s">
        <v>38</v>
      </c>
      <c r="F978" t="s">
        <v>143</v>
      </c>
      <c r="G978" t="s">
        <v>10</v>
      </c>
      <c r="H978" s="72" t="s">
        <v>216</v>
      </c>
      <c r="I978" s="72" t="s">
        <v>58</v>
      </c>
      <c r="J978" t="str">
        <f t="shared" si="34"/>
        <v>Baker Lake</v>
      </c>
      <c r="K978" t="str">
        <f>IFERROR(VLOOKUP(J978,LUTs!$A$1:$C$73,2,FALSE),"NA")</f>
        <v>Whatcom</v>
      </c>
      <c r="L978" t="str">
        <f>IFERROR(VLOOKUP(J978,LUTs!$A$1:$C$73,3,FALSE),"NA")</f>
        <v>1North Puget Sound</v>
      </c>
      <c r="M978" s="72" t="s">
        <v>18</v>
      </c>
      <c r="N978" t="str">
        <f>VLOOKUP(M978,LUTs!E$2:H$14,3,)</f>
        <v>06King</v>
      </c>
      <c r="O978" t="str">
        <f>VLOOKUP(M978,LUTs!E$2:H$14,4,)</f>
        <v>02South Puget Sound</v>
      </c>
      <c r="P978" s="73">
        <v>724.36363636363603</v>
      </c>
      <c r="Q978" s="74">
        <f>VLOOKUP(B978,Readme!A$40:C$51,2,)*P978</f>
        <v>6265.745454545452</v>
      </c>
    </row>
    <row r="979" spans="1:17" ht="12" customHeight="1" x14ac:dyDescent="0.35">
      <c r="A979" s="75">
        <v>978</v>
      </c>
      <c r="B979" s="64">
        <v>2012</v>
      </c>
      <c r="C979" s="64">
        <v>8</v>
      </c>
      <c r="D979" s="80">
        <f t="shared" si="33"/>
        <v>2012</v>
      </c>
      <c r="E979" t="s">
        <v>38</v>
      </c>
      <c r="F979" t="s">
        <v>143</v>
      </c>
      <c r="G979" t="s">
        <v>10</v>
      </c>
      <c r="H979" s="72" t="s">
        <v>216</v>
      </c>
      <c r="I979" s="72" t="s">
        <v>58</v>
      </c>
      <c r="J979" t="str">
        <f t="shared" si="34"/>
        <v>Baker Lake</v>
      </c>
      <c r="K979" t="str">
        <f>IFERROR(VLOOKUP(J979,LUTs!$A$1:$C$73,2,FALSE),"NA")</f>
        <v>Whatcom</v>
      </c>
      <c r="L979" t="str">
        <f>IFERROR(VLOOKUP(J979,LUTs!$A$1:$C$73,3,FALSE),"NA")</f>
        <v>1North Puget Sound</v>
      </c>
      <c r="M979" s="72" t="s">
        <v>26</v>
      </c>
      <c r="N979" t="str">
        <f>VLOOKUP(M979,LUTs!E$2:H$14,3,)</f>
        <v>20Other</v>
      </c>
      <c r="O979" t="str">
        <f>VLOOKUP(M979,LUTs!E$2:H$14,4,)</f>
        <v>07Non Puget Sound</v>
      </c>
      <c r="P979" s="73">
        <v>301.81818181818198</v>
      </c>
      <c r="Q979" s="74">
        <f>VLOOKUP(B979,Readme!A$40:C$51,2,)*P979</f>
        <v>2610.7272727272743</v>
      </c>
    </row>
    <row r="980" spans="1:17" ht="12" customHeight="1" x14ac:dyDescent="0.35">
      <c r="A980" s="75">
        <v>979</v>
      </c>
      <c r="B980" s="64">
        <v>2012</v>
      </c>
      <c r="C980" s="64">
        <v>8</v>
      </c>
      <c r="D980" s="80">
        <f t="shared" si="33"/>
        <v>2012</v>
      </c>
      <c r="E980" t="s">
        <v>38</v>
      </c>
      <c r="F980" t="s">
        <v>143</v>
      </c>
      <c r="G980" t="s">
        <v>10</v>
      </c>
      <c r="H980" s="72" t="s">
        <v>216</v>
      </c>
      <c r="I980" s="72" t="s">
        <v>58</v>
      </c>
      <c r="J980" t="str">
        <f t="shared" si="34"/>
        <v>Baker Lake</v>
      </c>
      <c r="K980" t="str">
        <f>IFERROR(VLOOKUP(J980,LUTs!$A$1:$C$73,2,FALSE),"NA")</f>
        <v>Whatcom</v>
      </c>
      <c r="L980" t="str">
        <f>IFERROR(VLOOKUP(J980,LUTs!$A$1:$C$73,3,FALSE),"NA")</f>
        <v>1North Puget Sound</v>
      </c>
      <c r="M980" s="72" t="s">
        <v>20</v>
      </c>
      <c r="N980" t="str">
        <f>VLOOKUP(M980,LUTs!E$2:H$14,3,)</f>
        <v>07Pierce</v>
      </c>
      <c r="O980" t="str">
        <f>VLOOKUP(M980,LUTs!E$2:H$14,4,)</f>
        <v>02South Puget Sound</v>
      </c>
      <c r="P980" s="73">
        <v>52.818181818181799</v>
      </c>
      <c r="Q980" s="74">
        <f>VLOOKUP(B980,Readme!A$40:C$51,2,)*P980</f>
        <v>456.87727272727255</v>
      </c>
    </row>
    <row r="981" spans="1:17" ht="12" customHeight="1" x14ac:dyDescent="0.35">
      <c r="A981" s="75">
        <v>980</v>
      </c>
      <c r="B981" s="64">
        <v>2012</v>
      </c>
      <c r="C981" s="64">
        <v>8</v>
      </c>
      <c r="D981" s="80">
        <f t="shared" si="33"/>
        <v>2012</v>
      </c>
      <c r="E981" t="s">
        <v>38</v>
      </c>
      <c r="F981" t="s">
        <v>143</v>
      </c>
      <c r="G981" t="s">
        <v>10</v>
      </c>
      <c r="H981" s="72" t="s">
        <v>216</v>
      </c>
      <c r="I981" s="72" t="s">
        <v>58</v>
      </c>
      <c r="J981" t="str">
        <f t="shared" si="34"/>
        <v>Baker Lake</v>
      </c>
      <c r="K981" t="str">
        <f>IFERROR(VLOOKUP(J981,LUTs!$A$1:$C$73,2,FALSE),"NA")</f>
        <v>Whatcom</v>
      </c>
      <c r="L981" t="str">
        <f>IFERROR(VLOOKUP(J981,LUTs!$A$1:$C$73,3,FALSE),"NA")</f>
        <v>1North Puget Sound</v>
      </c>
      <c r="M981" s="72" t="s">
        <v>15</v>
      </c>
      <c r="N981" t="str">
        <f>VLOOKUP(M981,LUTs!E$2:H$14,3,)</f>
        <v>02Skagit</v>
      </c>
      <c r="O981" t="str">
        <f>VLOOKUP(M981,LUTs!E$2:H$14,4,)</f>
        <v>01North Puget Sound</v>
      </c>
      <c r="P981" s="73">
        <v>1524.1818181818201</v>
      </c>
      <c r="Q981" s="74">
        <f>VLOOKUP(B981,Readme!A$40:C$51,2,)*P981</f>
        <v>13184.172727272744</v>
      </c>
    </row>
    <row r="982" spans="1:17" ht="12" customHeight="1" x14ac:dyDescent="0.35">
      <c r="A982" s="75">
        <v>981</v>
      </c>
      <c r="B982" s="64">
        <v>2012</v>
      </c>
      <c r="C982" s="64">
        <v>8</v>
      </c>
      <c r="D982" s="80">
        <f t="shared" si="33"/>
        <v>2012</v>
      </c>
      <c r="E982" t="s">
        <v>38</v>
      </c>
      <c r="F982" t="s">
        <v>143</v>
      </c>
      <c r="G982" t="s">
        <v>10</v>
      </c>
      <c r="H982" s="72" t="s">
        <v>216</v>
      </c>
      <c r="I982" s="72" t="s">
        <v>58</v>
      </c>
      <c r="J982" t="str">
        <f t="shared" si="34"/>
        <v>Baker Lake</v>
      </c>
      <c r="K982" t="str">
        <f>IFERROR(VLOOKUP(J982,LUTs!$A$1:$C$73,2,FALSE),"NA")</f>
        <v>Whatcom</v>
      </c>
      <c r="L982" t="str">
        <f>IFERROR(VLOOKUP(J982,LUTs!$A$1:$C$73,3,FALSE),"NA")</f>
        <v>1North Puget Sound</v>
      </c>
      <c r="M982" s="72" t="s">
        <v>16</v>
      </c>
      <c r="N982" t="str">
        <f>VLOOKUP(M982,LUTs!E$2:H$14,3,)</f>
        <v>03Snohomish</v>
      </c>
      <c r="O982" t="str">
        <f>VLOOKUP(M982,LUTs!E$2:H$14,4,)</f>
        <v>01North Puget Sound</v>
      </c>
      <c r="P982" s="73">
        <v>1214.8181818181799</v>
      </c>
      <c r="Q982" s="74">
        <f>VLOOKUP(B982,Readme!A$40:C$51,2,)*P982</f>
        <v>10508.177272727256</v>
      </c>
    </row>
    <row r="983" spans="1:17" ht="12" customHeight="1" x14ac:dyDescent="0.35">
      <c r="A983" s="75">
        <v>982</v>
      </c>
      <c r="B983" s="64">
        <v>2012</v>
      </c>
      <c r="C983" s="64">
        <v>8</v>
      </c>
      <c r="D983" s="80">
        <f t="shared" si="33"/>
        <v>2012</v>
      </c>
      <c r="E983" t="s">
        <v>38</v>
      </c>
      <c r="F983" t="s">
        <v>143</v>
      </c>
      <c r="G983" t="s">
        <v>10</v>
      </c>
      <c r="H983" s="72" t="s">
        <v>216</v>
      </c>
      <c r="I983" s="72" t="s">
        <v>58</v>
      </c>
      <c r="J983" t="str">
        <f t="shared" si="34"/>
        <v>Baker Lake</v>
      </c>
      <c r="K983" t="str">
        <f>IFERROR(VLOOKUP(J983,LUTs!$A$1:$C$73,2,FALSE),"NA")</f>
        <v>Whatcom</v>
      </c>
      <c r="L983" t="str">
        <f>IFERROR(VLOOKUP(J983,LUTs!$A$1:$C$73,3,FALSE),"NA")</f>
        <v>1North Puget Sound</v>
      </c>
      <c r="M983" s="72" t="s">
        <v>21</v>
      </c>
      <c r="N983" t="str">
        <f>VLOOKUP(M983,LUTs!E$2:H$14,3,)</f>
        <v>08Thurston</v>
      </c>
      <c r="O983" t="str">
        <f>VLOOKUP(M983,LUTs!E$2:H$14,4,)</f>
        <v>02South Puget Sound</v>
      </c>
      <c r="P983" s="73">
        <v>15.090909090909101</v>
      </c>
      <c r="Q983" s="74">
        <f>VLOOKUP(B983,Readme!A$40:C$51,2,)*P983</f>
        <v>130.53636363636372</v>
      </c>
    </row>
    <row r="984" spans="1:17" ht="12" customHeight="1" x14ac:dyDescent="0.35">
      <c r="A984" s="75">
        <v>983</v>
      </c>
      <c r="B984" s="64">
        <v>2012</v>
      </c>
      <c r="C984" s="64">
        <v>8</v>
      </c>
      <c r="D984" s="80">
        <f t="shared" si="33"/>
        <v>2012</v>
      </c>
      <c r="E984" t="s">
        <v>38</v>
      </c>
      <c r="F984" t="s">
        <v>143</v>
      </c>
      <c r="G984" t="s">
        <v>10</v>
      </c>
      <c r="H984" s="72" t="s">
        <v>216</v>
      </c>
      <c r="I984" s="72" t="s">
        <v>58</v>
      </c>
      <c r="J984" t="str">
        <f t="shared" si="34"/>
        <v>Baker Lake</v>
      </c>
      <c r="K984" t="str">
        <f>IFERROR(VLOOKUP(J984,LUTs!$A$1:$C$73,2,FALSE),"NA")</f>
        <v>Whatcom</v>
      </c>
      <c r="L984" t="str">
        <f>IFERROR(VLOOKUP(J984,LUTs!$A$1:$C$73,3,FALSE),"NA")</f>
        <v>1North Puget Sound</v>
      </c>
      <c r="M984" s="72" t="s">
        <v>13</v>
      </c>
      <c r="N984" t="str">
        <f>VLOOKUP(M984,LUTs!E$2:H$14,3,)</f>
        <v>01Whatcom</v>
      </c>
      <c r="O984" t="str">
        <f>VLOOKUP(M984,LUTs!E$2:H$14,4,)</f>
        <v>01North Puget Sound</v>
      </c>
      <c r="P984" s="73">
        <v>814.90909090909099</v>
      </c>
      <c r="Q984" s="74">
        <f>VLOOKUP(B984,Readme!A$40:C$51,2,)*P984</f>
        <v>7048.9636363636373</v>
      </c>
    </row>
    <row r="985" spans="1:17" ht="12" customHeight="1" x14ac:dyDescent="0.35">
      <c r="A985" s="75">
        <v>984</v>
      </c>
      <c r="B985" s="64">
        <v>2012</v>
      </c>
      <c r="C985" s="64">
        <v>9</v>
      </c>
      <c r="D985" s="80">
        <f t="shared" si="33"/>
        <v>2012</v>
      </c>
      <c r="E985" t="s">
        <v>38</v>
      </c>
      <c r="F985" t="s">
        <v>143</v>
      </c>
      <c r="G985" t="s">
        <v>10</v>
      </c>
      <c r="H985" s="72" t="s">
        <v>216</v>
      </c>
      <c r="I985" s="72" t="s">
        <v>58</v>
      </c>
      <c r="J985" t="str">
        <f t="shared" si="34"/>
        <v>Baker Lake</v>
      </c>
      <c r="K985" t="str">
        <f>IFERROR(VLOOKUP(J985,LUTs!$A$1:$C$73,2,FALSE),"NA")</f>
        <v>Whatcom</v>
      </c>
      <c r="L985" t="str">
        <f>IFERROR(VLOOKUP(J985,LUTs!$A$1:$C$73,3,FALSE),"NA")</f>
        <v>1North Puget Sound</v>
      </c>
      <c r="M985" s="72" t="s">
        <v>17</v>
      </c>
      <c r="N985" t="str">
        <f>VLOOKUP(M985,LUTs!E$2:H$14,3,)</f>
        <v>04Island</v>
      </c>
      <c r="O985" t="str">
        <f>VLOOKUP(M985,LUTs!E$2:H$14,4,)</f>
        <v>01North Puget Sound</v>
      </c>
      <c r="P985" s="73">
        <v>7.5526315789473699</v>
      </c>
      <c r="Q985" s="74">
        <f>VLOOKUP(B985,Readme!A$40:C$51,2,)*P985</f>
        <v>65.330263157894748</v>
      </c>
    </row>
    <row r="986" spans="1:17" ht="12" customHeight="1" x14ac:dyDescent="0.35">
      <c r="A986" s="75">
        <v>985</v>
      </c>
      <c r="B986" s="64">
        <v>2012</v>
      </c>
      <c r="C986" s="64">
        <v>9</v>
      </c>
      <c r="D986" s="80">
        <f t="shared" si="33"/>
        <v>2012</v>
      </c>
      <c r="E986" t="s">
        <v>38</v>
      </c>
      <c r="F986" t="s">
        <v>143</v>
      </c>
      <c r="G986" t="s">
        <v>10</v>
      </c>
      <c r="H986" s="72" t="s">
        <v>216</v>
      </c>
      <c r="I986" s="72" t="s">
        <v>58</v>
      </c>
      <c r="J986" t="str">
        <f t="shared" si="34"/>
        <v>Baker Lake</v>
      </c>
      <c r="K986" t="str">
        <f>IFERROR(VLOOKUP(J986,LUTs!$A$1:$C$73,2,FALSE),"NA")</f>
        <v>Whatcom</v>
      </c>
      <c r="L986" t="str">
        <f>IFERROR(VLOOKUP(J986,LUTs!$A$1:$C$73,3,FALSE),"NA")</f>
        <v>1North Puget Sound</v>
      </c>
      <c r="M986" s="72" t="s">
        <v>23</v>
      </c>
      <c r="N986" t="str">
        <f>VLOOKUP(M986,LUTs!E$2:H$14,3,)</f>
        <v>10Kitsap</v>
      </c>
      <c r="O986" t="str">
        <f>VLOOKUP(M986,LUTs!E$2:H$14,4,)</f>
        <v>02South Puget Sound</v>
      </c>
      <c r="P986" s="73">
        <v>7.5526315789473699</v>
      </c>
      <c r="Q986" s="74">
        <f>VLOOKUP(B986,Readme!A$40:C$51,2,)*P986</f>
        <v>65.330263157894748</v>
      </c>
    </row>
    <row r="987" spans="1:17" ht="12" customHeight="1" x14ac:dyDescent="0.35">
      <c r="A987" s="75">
        <v>986</v>
      </c>
      <c r="B987" s="64">
        <v>2012</v>
      </c>
      <c r="C987" s="64">
        <v>9</v>
      </c>
      <c r="D987" s="80">
        <f t="shared" si="33"/>
        <v>2012</v>
      </c>
      <c r="E987" t="s">
        <v>38</v>
      </c>
      <c r="F987" t="s">
        <v>143</v>
      </c>
      <c r="G987" t="s">
        <v>10</v>
      </c>
      <c r="H987" s="72" t="s">
        <v>216</v>
      </c>
      <c r="I987" s="72" t="s">
        <v>58</v>
      </c>
      <c r="J987" t="str">
        <f t="shared" si="34"/>
        <v>Baker Lake</v>
      </c>
      <c r="K987" t="str">
        <f>IFERROR(VLOOKUP(J987,LUTs!$A$1:$C$73,2,FALSE),"NA")</f>
        <v>Whatcom</v>
      </c>
      <c r="L987" t="str">
        <f>IFERROR(VLOOKUP(J987,LUTs!$A$1:$C$73,3,FALSE),"NA")</f>
        <v>1North Puget Sound</v>
      </c>
      <c r="M987" s="72" t="s">
        <v>26</v>
      </c>
      <c r="N987" t="str">
        <f>VLOOKUP(M987,LUTs!E$2:H$14,3,)</f>
        <v>20Other</v>
      </c>
      <c r="O987" t="str">
        <f>VLOOKUP(M987,LUTs!E$2:H$14,4,)</f>
        <v>07Non Puget Sound</v>
      </c>
      <c r="P987" s="73">
        <v>7.5526315789473699</v>
      </c>
      <c r="Q987" s="74">
        <f>VLOOKUP(B987,Readme!A$40:C$51,2,)*P987</f>
        <v>65.330263157894748</v>
      </c>
    </row>
    <row r="988" spans="1:17" ht="12" customHeight="1" x14ac:dyDescent="0.35">
      <c r="A988" s="75">
        <v>987</v>
      </c>
      <c r="B988" s="64">
        <v>2012</v>
      </c>
      <c r="C988" s="64">
        <v>9</v>
      </c>
      <c r="D988" s="80">
        <f t="shared" si="33"/>
        <v>2012</v>
      </c>
      <c r="E988" t="s">
        <v>38</v>
      </c>
      <c r="F988" t="s">
        <v>143</v>
      </c>
      <c r="G988" t="s">
        <v>10</v>
      </c>
      <c r="H988" s="72" t="s">
        <v>216</v>
      </c>
      <c r="I988" s="72" t="s">
        <v>58</v>
      </c>
      <c r="J988" t="str">
        <f t="shared" si="34"/>
        <v>Baker Lake</v>
      </c>
      <c r="K988" t="str">
        <f>IFERROR(VLOOKUP(J988,LUTs!$A$1:$C$73,2,FALSE),"NA")</f>
        <v>Whatcom</v>
      </c>
      <c r="L988" t="str">
        <f>IFERROR(VLOOKUP(J988,LUTs!$A$1:$C$73,3,FALSE),"NA")</f>
        <v>1North Puget Sound</v>
      </c>
      <c r="M988" s="72" t="s">
        <v>15</v>
      </c>
      <c r="N988" t="str">
        <f>VLOOKUP(M988,LUTs!E$2:H$14,3,)</f>
        <v>02Skagit</v>
      </c>
      <c r="O988" t="str">
        <f>VLOOKUP(M988,LUTs!E$2:H$14,4,)</f>
        <v>01North Puget Sound</v>
      </c>
      <c r="P988" s="73">
        <v>90.631578947368396</v>
      </c>
      <c r="Q988" s="74">
        <f>VLOOKUP(B988,Readme!A$40:C$51,2,)*P988</f>
        <v>783.9631578947367</v>
      </c>
    </row>
    <row r="989" spans="1:17" ht="12" customHeight="1" x14ac:dyDescent="0.35">
      <c r="A989" s="75">
        <v>988</v>
      </c>
      <c r="B989" s="64">
        <v>2012</v>
      </c>
      <c r="C989" s="64">
        <v>9</v>
      </c>
      <c r="D989" s="80">
        <f t="shared" si="33"/>
        <v>2012</v>
      </c>
      <c r="E989" t="s">
        <v>38</v>
      </c>
      <c r="F989" t="s">
        <v>143</v>
      </c>
      <c r="G989" t="s">
        <v>10</v>
      </c>
      <c r="H989" s="72" t="s">
        <v>216</v>
      </c>
      <c r="I989" s="72" t="s">
        <v>58</v>
      </c>
      <c r="J989" t="str">
        <f t="shared" si="34"/>
        <v>Baker Lake</v>
      </c>
      <c r="K989" t="str">
        <f>IFERROR(VLOOKUP(J989,LUTs!$A$1:$C$73,2,FALSE),"NA")</f>
        <v>Whatcom</v>
      </c>
      <c r="L989" t="str">
        <f>IFERROR(VLOOKUP(J989,LUTs!$A$1:$C$73,3,FALSE),"NA")</f>
        <v>1North Puget Sound</v>
      </c>
      <c r="M989" s="72" t="s">
        <v>16</v>
      </c>
      <c r="N989" t="str">
        <f>VLOOKUP(M989,LUTs!E$2:H$14,3,)</f>
        <v>03Snohomish</v>
      </c>
      <c r="O989" t="str">
        <f>VLOOKUP(M989,LUTs!E$2:H$14,4,)</f>
        <v>01North Puget Sound</v>
      </c>
      <c r="P989" s="73">
        <v>60.421052631579002</v>
      </c>
      <c r="Q989" s="74">
        <f>VLOOKUP(B989,Readme!A$40:C$51,2,)*P989</f>
        <v>522.64210526315844</v>
      </c>
    </row>
    <row r="990" spans="1:17" ht="12" customHeight="1" x14ac:dyDescent="0.35">
      <c r="A990" s="75">
        <v>989</v>
      </c>
      <c r="B990" s="64">
        <v>2012</v>
      </c>
      <c r="C990" s="64">
        <v>9</v>
      </c>
      <c r="D990" s="80">
        <f t="shared" si="33"/>
        <v>2012</v>
      </c>
      <c r="E990" t="s">
        <v>38</v>
      </c>
      <c r="F990" t="s">
        <v>143</v>
      </c>
      <c r="G990" t="s">
        <v>10</v>
      </c>
      <c r="H990" s="72" t="s">
        <v>216</v>
      </c>
      <c r="I990" s="72" t="s">
        <v>58</v>
      </c>
      <c r="J990" t="str">
        <f t="shared" si="34"/>
        <v>Baker Lake</v>
      </c>
      <c r="K990" t="str">
        <f>IFERROR(VLOOKUP(J990,LUTs!$A$1:$C$73,2,FALSE),"NA")</f>
        <v>Whatcom</v>
      </c>
      <c r="L990" t="str">
        <f>IFERROR(VLOOKUP(J990,LUTs!$A$1:$C$73,3,FALSE),"NA")</f>
        <v>1North Puget Sound</v>
      </c>
      <c r="M990" s="72" t="s">
        <v>13</v>
      </c>
      <c r="N990" t="str">
        <f>VLOOKUP(M990,LUTs!E$2:H$14,3,)</f>
        <v>01Whatcom</v>
      </c>
      <c r="O990" t="str">
        <f>VLOOKUP(M990,LUTs!E$2:H$14,4,)</f>
        <v>01North Puget Sound</v>
      </c>
      <c r="P990" s="73">
        <v>113.289473684211</v>
      </c>
      <c r="Q990" s="74">
        <f>VLOOKUP(B990,Readme!A$40:C$51,2,)*P990</f>
        <v>979.95394736842525</v>
      </c>
    </row>
    <row r="991" spans="1:17" ht="12" customHeight="1" x14ac:dyDescent="0.35">
      <c r="A991" s="75">
        <v>990</v>
      </c>
      <c r="B991" s="64">
        <v>2012</v>
      </c>
      <c r="C991" s="64">
        <v>6</v>
      </c>
      <c r="D991" s="80">
        <f t="shared" si="33"/>
        <v>2012</v>
      </c>
      <c r="E991" t="s">
        <v>38</v>
      </c>
      <c r="F991" t="s">
        <v>143</v>
      </c>
      <c r="G991" t="s">
        <v>10</v>
      </c>
      <c r="H991" s="72" t="s">
        <v>217</v>
      </c>
      <c r="I991" s="72" t="s">
        <v>59</v>
      </c>
      <c r="J991" t="str">
        <f t="shared" si="34"/>
        <v>Cascade River</v>
      </c>
      <c r="K991" t="str">
        <f>IFERROR(VLOOKUP(J991,LUTs!$A$1:$C$73,2,FALSE),"NA")</f>
        <v>Skagit</v>
      </c>
      <c r="L991" t="str">
        <f>IFERROR(VLOOKUP(J991,LUTs!$A$1:$C$73,3,FALSE),"NA")</f>
        <v>1North Puget Sound</v>
      </c>
      <c r="M991" s="72" t="s">
        <v>15</v>
      </c>
      <c r="N991" t="str">
        <f>VLOOKUP(M991,LUTs!E$2:H$14,3,)</f>
        <v>02Skagit</v>
      </c>
      <c r="O991" t="str">
        <f>VLOOKUP(M991,LUTs!E$2:H$14,4,)</f>
        <v>01North Puget Sound</v>
      </c>
      <c r="P991" s="73">
        <v>38.529411764705898</v>
      </c>
      <c r="Q991" s="74">
        <f>VLOOKUP(B991,Readme!A$40:C$51,2,)*P991</f>
        <v>333.27941176470603</v>
      </c>
    </row>
    <row r="992" spans="1:17" ht="12" customHeight="1" x14ac:dyDescent="0.35">
      <c r="A992" s="75">
        <v>991</v>
      </c>
      <c r="B992" s="64">
        <v>2012</v>
      </c>
      <c r="C992" s="64">
        <v>6</v>
      </c>
      <c r="D992" s="80">
        <f t="shared" si="33"/>
        <v>2012</v>
      </c>
      <c r="E992" t="s">
        <v>38</v>
      </c>
      <c r="F992" t="s">
        <v>143</v>
      </c>
      <c r="G992" t="s">
        <v>10</v>
      </c>
      <c r="H992" s="72" t="s">
        <v>217</v>
      </c>
      <c r="I992" s="72" t="s">
        <v>59</v>
      </c>
      <c r="J992" t="str">
        <f t="shared" si="34"/>
        <v>Cascade River</v>
      </c>
      <c r="K992" t="str">
        <f>IFERROR(VLOOKUP(J992,LUTs!$A$1:$C$73,2,FALSE),"NA")</f>
        <v>Skagit</v>
      </c>
      <c r="L992" t="str">
        <f>IFERROR(VLOOKUP(J992,LUTs!$A$1:$C$73,3,FALSE),"NA")</f>
        <v>1North Puget Sound</v>
      </c>
      <c r="M992" s="72" t="s">
        <v>16</v>
      </c>
      <c r="N992" t="str">
        <f>VLOOKUP(M992,LUTs!E$2:H$14,3,)</f>
        <v>03Snohomish</v>
      </c>
      <c r="O992" t="str">
        <f>VLOOKUP(M992,LUTs!E$2:H$14,4,)</f>
        <v>01North Puget Sound</v>
      </c>
      <c r="P992" s="73">
        <v>84.764705882352999</v>
      </c>
      <c r="Q992" s="74">
        <f>VLOOKUP(B992,Readme!A$40:C$51,2,)*P992</f>
        <v>733.21470588235343</v>
      </c>
    </row>
    <row r="993" spans="1:17" ht="12" customHeight="1" x14ac:dyDescent="0.35">
      <c r="A993" s="75">
        <v>992</v>
      </c>
      <c r="B993" s="64">
        <v>2012</v>
      </c>
      <c r="C993" s="64">
        <v>6</v>
      </c>
      <c r="D993" s="80">
        <f t="shared" si="33"/>
        <v>2012</v>
      </c>
      <c r="E993" t="s">
        <v>38</v>
      </c>
      <c r="F993" t="s">
        <v>143</v>
      </c>
      <c r="G993" t="s">
        <v>10</v>
      </c>
      <c r="H993" s="72" t="s">
        <v>217</v>
      </c>
      <c r="I993" s="72" t="s">
        <v>59</v>
      </c>
      <c r="J993" t="str">
        <f t="shared" si="34"/>
        <v>Cascade River</v>
      </c>
      <c r="K993" t="str">
        <f>IFERROR(VLOOKUP(J993,LUTs!$A$1:$C$73,2,FALSE),"NA")</f>
        <v>Skagit</v>
      </c>
      <c r="L993" t="str">
        <f>IFERROR(VLOOKUP(J993,LUTs!$A$1:$C$73,3,FALSE),"NA")</f>
        <v>1North Puget Sound</v>
      </c>
      <c r="M993" s="72" t="s">
        <v>13</v>
      </c>
      <c r="N993" t="str">
        <f>VLOOKUP(M993,LUTs!E$2:H$14,3,)</f>
        <v>01Whatcom</v>
      </c>
      <c r="O993" t="str">
        <f>VLOOKUP(M993,LUTs!E$2:H$14,4,)</f>
        <v>01North Puget Sound</v>
      </c>
      <c r="P993" s="73">
        <v>7.7058823529411802</v>
      </c>
      <c r="Q993" s="74">
        <f>VLOOKUP(B993,Readme!A$40:C$51,2,)*P993</f>
        <v>66.655882352941205</v>
      </c>
    </row>
    <row r="994" spans="1:17" ht="12" customHeight="1" x14ac:dyDescent="0.35">
      <c r="A994" s="75">
        <v>993</v>
      </c>
      <c r="B994" s="64">
        <v>2012</v>
      </c>
      <c r="C994" s="64">
        <v>7</v>
      </c>
      <c r="D994" s="80">
        <f t="shared" si="33"/>
        <v>2012</v>
      </c>
      <c r="E994" t="s">
        <v>38</v>
      </c>
      <c r="F994" t="s">
        <v>143</v>
      </c>
      <c r="G994" t="s">
        <v>10</v>
      </c>
      <c r="H994" s="72" t="s">
        <v>217</v>
      </c>
      <c r="I994" s="72" t="s">
        <v>59</v>
      </c>
      <c r="J994" t="str">
        <f t="shared" si="34"/>
        <v>Cascade River</v>
      </c>
      <c r="K994" t="str">
        <f>IFERROR(VLOOKUP(J994,LUTs!$A$1:$C$73,2,FALSE),"NA")</f>
        <v>Skagit</v>
      </c>
      <c r="L994" t="str">
        <f>IFERROR(VLOOKUP(J994,LUTs!$A$1:$C$73,3,FALSE),"NA")</f>
        <v>1North Puget Sound</v>
      </c>
      <c r="M994" s="72" t="s">
        <v>16</v>
      </c>
      <c r="N994" t="str">
        <f>VLOOKUP(M994,LUTs!E$2:H$14,3,)</f>
        <v>03Snohomish</v>
      </c>
      <c r="O994" t="str">
        <f>VLOOKUP(M994,LUTs!E$2:H$14,4,)</f>
        <v>01North Puget Sound</v>
      </c>
      <c r="P994" s="73">
        <v>44.25</v>
      </c>
      <c r="Q994" s="74">
        <f>VLOOKUP(B994,Readme!A$40:C$51,2,)*P994</f>
        <v>382.76249999999999</v>
      </c>
    </row>
    <row r="995" spans="1:17" ht="12" customHeight="1" x14ac:dyDescent="0.35">
      <c r="A995" s="75">
        <v>994</v>
      </c>
      <c r="B995" s="64">
        <v>2012</v>
      </c>
      <c r="C995" s="64">
        <v>7</v>
      </c>
      <c r="D995" s="80">
        <f t="shared" si="33"/>
        <v>2012</v>
      </c>
      <c r="E995" t="s">
        <v>38</v>
      </c>
      <c r="F995" t="s">
        <v>143</v>
      </c>
      <c r="G995" t="s">
        <v>10</v>
      </c>
      <c r="H995" s="72" t="s">
        <v>217</v>
      </c>
      <c r="I995" s="72" t="s">
        <v>59</v>
      </c>
      <c r="J995" t="str">
        <f t="shared" si="34"/>
        <v>Cascade River</v>
      </c>
      <c r="K995" t="str">
        <f>IFERROR(VLOOKUP(J995,LUTs!$A$1:$C$73,2,FALSE),"NA")</f>
        <v>Skagit</v>
      </c>
      <c r="L995" t="str">
        <f>IFERROR(VLOOKUP(J995,LUTs!$A$1:$C$73,3,FALSE),"NA")</f>
        <v>1North Puget Sound</v>
      </c>
      <c r="M995" s="72" t="s">
        <v>13</v>
      </c>
      <c r="N995" t="str">
        <f>VLOOKUP(M995,LUTs!E$2:H$14,3,)</f>
        <v>01Whatcom</v>
      </c>
      <c r="O995" t="str">
        <f>VLOOKUP(M995,LUTs!E$2:H$14,4,)</f>
        <v>01North Puget Sound</v>
      </c>
      <c r="P995" s="73">
        <v>14.75</v>
      </c>
      <c r="Q995" s="74">
        <f>VLOOKUP(B995,Readme!A$40:C$51,2,)*P995</f>
        <v>127.58750000000001</v>
      </c>
    </row>
    <row r="996" spans="1:17" ht="12" customHeight="1" x14ac:dyDescent="0.35">
      <c r="A996" s="75">
        <v>995</v>
      </c>
      <c r="B996" s="64">
        <v>2012</v>
      </c>
      <c r="C996" s="64">
        <v>9</v>
      </c>
      <c r="D996" s="80">
        <f t="shared" si="33"/>
        <v>2012</v>
      </c>
      <c r="E996" t="s">
        <v>38</v>
      </c>
      <c r="F996" t="s">
        <v>143</v>
      </c>
      <c r="G996" t="s">
        <v>10</v>
      </c>
      <c r="H996" s="72" t="s">
        <v>217</v>
      </c>
      <c r="I996" s="72" t="s">
        <v>59</v>
      </c>
      <c r="J996" t="str">
        <f t="shared" si="34"/>
        <v>Cascade River</v>
      </c>
      <c r="K996" t="str">
        <f>IFERROR(VLOOKUP(J996,LUTs!$A$1:$C$73,2,FALSE),"NA")</f>
        <v>Skagit</v>
      </c>
      <c r="L996" t="str">
        <f>IFERROR(VLOOKUP(J996,LUTs!$A$1:$C$73,3,FALSE),"NA")</f>
        <v>1North Puget Sound</v>
      </c>
      <c r="M996" s="72" t="s">
        <v>17</v>
      </c>
      <c r="N996" t="str">
        <f>VLOOKUP(M996,LUTs!E$2:H$14,3,)</f>
        <v>04Island</v>
      </c>
      <c r="O996" t="str">
        <f>VLOOKUP(M996,LUTs!E$2:H$14,4,)</f>
        <v>01North Puget Sound</v>
      </c>
      <c r="P996" s="73">
        <v>14.75</v>
      </c>
      <c r="Q996" s="74">
        <f>VLOOKUP(B996,Readme!A$40:C$51,2,)*P996</f>
        <v>127.58750000000001</v>
      </c>
    </row>
    <row r="997" spans="1:17" ht="12" customHeight="1" x14ac:dyDescent="0.35">
      <c r="A997" s="75">
        <v>996</v>
      </c>
      <c r="B997" s="64">
        <v>2012</v>
      </c>
      <c r="C997" s="64">
        <v>9</v>
      </c>
      <c r="D997" s="80">
        <f t="shared" si="33"/>
        <v>2012</v>
      </c>
      <c r="E997" t="s">
        <v>38</v>
      </c>
      <c r="F997" t="s">
        <v>143</v>
      </c>
      <c r="G997" t="s">
        <v>10</v>
      </c>
      <c r="H997" s="72" t="s">
        <v>217</v>
      </c>
      <c r="I997" s="72" t="s">
        <v>59</v>
      </c>
      <c r="J997" t="str">
        <f t="shared" si="34"/>
        <v>Cascade River</v>
      </c>
      <c r="K997" t="str">
        <f>IFERROR(VLOOKUP(J997,LUTs!$A$1:$C$73,2,FALSE),"NA")</f>
        <v>Skagit</v>
      </c>
      <c r="L997" t="str">
        <f>IFERROR(VLOOKUP(J997,LUTs!$A$1:$C$73,3,FALSE),"NA")</f>
        <v>1North Puget Sound</v>
      </c>
      <c r="M997" s="72" t="s">
        <v>18</v>
      </c>
      <c r="N997" t="str">
        <f>VLOOKUP(M997,LUTs!E$2:H$14,3,)</f>
        <v>06King</v>
      </c>
      <c r="O997" t="str">
        <f>VLOOKUP(M997,LUTs!E$2:H$14,4,)</f>
        <v>02South Puget Sound</v>
      </c>
      <c r="P997" s="73">
        <v>14.75</v>
      </c>
      <c r="Q997" s="74">
        <f>VLOOKUP(B997,Readme!A$40:C$51,2,)*P997</f>
        <v>127.58750000000001</v>
      </c>
    </row>
    <row r="998" spans="1:17" ht="12" customHeight="1" x14ac:dyDescent="0.35">
      <c r="A998" s="75">
        <v>997</v>
      </c>
      <c r="B998" s="64">
        <v>2012</v>
      </c>
      <c r="C998" s="64">
        <v>9</v>
      </c>
      <c r="D998" s="80">
        <f t="shared" si="33"/>
        <v>2012</v>
      </c>
      <c r="E998" t="s">
        <v>38</v>
      </c>
      <c r="F998" t="s">
        <v>143</v>
      </c>
      <c r="G998" t="s">
        <v>10</v>
      </c>
      <c r="H998" s="72" t="s">
        <v>217</v>
      </c>
      <c r="I998" s="72" t="s">
        <v>59</v>
      </c>
      <c r="J998" t="str">
        <f t="shared" si="34"/>
        <v>Cascade River</v>
      </c>
      <c r="K998" t="str">
        <f>IFERROR(VLOOKUP(J998,LUTs!$A$1:$C$73,2,FALSE),"NA")</f>
        <v>Skagit</v>
      </c>
      <c r="L998" t="str">
        <f>IFERROR(VLOOKUP(J998,LUTs!$A$1:$C$73,3,FALSE),"NA")</f>
        <v>1North Puget Sound</v>
      </c>
      <c r="M998" s="72" t="s">
        <v>15</v>
      </c>
      <c r="N998" t="str">
        <f>VLOOKUP(M998,LUTs!E$2:H$14,3,)</f>
        <v>02Skagit</v>
      </c>
      <c r="O998" t="str">
        <f>VLOOKUP(M998,LUTs!E$2:H$14,4,)</f>
        <v>01North Puget Sound</v>
      </c>
      <c r="P998" s="73">
        <v>22.125</v>
      </c>
      <c r="Q998" s="74">
        <f>VLOOKUP(B998,Readme!A$40:C$51,2,)*P998</f>
        <v>191.38124999999999</v>
      </c>
    </row>
    <row r="999" spans="1:17" ht="12" customHeight="1" x14ac:dyDescent="0.35">
      <c r="A999" s="75">
        <v>998</v>
      </c>
      <c r="B999" s="64">
        <v>2012</v>
      </c>
      <c r="C999" s="64">
        <v>9</v>
      </c>
      <c r="D999" s="80">
        <f t="shared" si="33"/>
        <v>2012</v>
      </c>
      <c r="E999" t="s">
        <v>38</v>
      </c>
      <c r="F999" t="s">
        <v>143</v>
      </c>
      <c r="G999" t="s">
        <v>10</v>
      </c>
      <c r="H999" s="72" t="s">
        <v>217</v>
      </c>
      <c r="I999" s="72" t="s">
        <v>59</v>
      </c>
      <c r="J999" t="str">
        <f t="shared" si="34"/>
        <v>Cascade River</v>
      </c>
      <c r="K999" t="str">
        <f>IFERROR(VLOOKUP(J999,LUTs!$A$1:$C$73,2,FALSE),"NA")</f>
        <v>Skagit</v>
      </c>
      <c r="L999" t="str">
        <f>IFERROR(VLOOKUP(J999,LUTs!$A$1:$C$73,3,FALSE),"NA")</f>
        <v>1North Puget Sound</v>
      </c>
      <c r="M999" s="72" t="s">
        <v>16</v>
      </c>
      <c r="N999" t="str">
        <f>VLOOKUP(M999,LUTs!E$2:H$14,3,)</f>
        <v>03Snohomish</v>
      </c>
      <c r="O999" t="str">
        <f>VLOOKUP(M999,LUTs!E$2:H$14,4,)</f>
        <v>01North Puget Sound</v>
      </c>
      <c r="P999" s="73">
        <v>29.5</v>
      </c>
      <c r="Q999" s="74">
        <f>VLOOKUP(B999,Readme!A$40:C$51,2,)*P999</f>
        <v>255.17500000000001</v>
      </c>
    </row>
    <row r="1000" spans="1:17" ht="12" customHeight="1" x14ac:dyDescent="0.35">
      <c r="A1000" s="75">
        <v>999</v>
      </c>
      <c r="B1000" s="64">
        <v>2012</v>
      </c>
      <c r="C1000" s="64">
        <v>9</v>
      </c>
      <c r="D1000" s="80">
        <f t="shared" si="33"/>
        <v>2012</v>
      </c>
      <c r="E1000" t="s">
        <v>38</v>
      </c>
      <c r="F1000" t="s">
        <v>143</v>
      </c>
      <c r="G1000" t="s">
        <v>10</v>
      </c>
      <c r="H1000" s="72" t="s">
        <v>217</v>
      </c>
      <c r="I1000" s="72" t="s">
        <v>59</v>
      </c>
      <c r="J1000" t="str">
        <f t="shared" si="34"/>
        <v>Cascade River</v>
      </c>
      <c r="K1000" t="str">
        <f>IFERROR(VLOOKUP(J1000,LUTs!$A$1:$C$73,2,FALSE),"NA")</f>
        <v>Skagit</v>
      </c>
      <c r="L1000" t="str">
        <f>IFERROR(VLOOKUP(J1000,LUTs!$A$1:$C$73,3,FALSE),"NA")</f>
        <v>1North Puget Sound</v>
      </c>
      <c r="M1000" s="72" t="s">
        <v>13</v>
      </c>
      <c r="N1000" t="str">
        <f>VLOOKUP(M1000,LUTs!E$2:H$14,3,)</f>
        <v>01Whatcom</v>
      </c>
      <c r="O1000" t="str">
        <f>VLOOKUP(M1000,LUTs!E$2:H$14,4,)</f>
        <v>01North Puget Sound</v>
      </c>
      <c r="P1000" s="73">
        <v>36.875</v>
      </c>
      <c r="Q1000" s="74">
        <f>VLOOKUP(B1000,Readme!A$40:C$51,2,)*P1000</f>
        <v>318.96875</v>
      </c>
    </row>
    <row r="1001" spans="1:17" ht="12" customHeight="1" x14ac:dyDescent="0.35">
      <c r="A1001" s="75">
        <v>1000</v>
      </c>
      <c r="B1001" s="64">
        <v>2012</v>
      </c>
      <c r="C1001" s="64">
        <v>10</v>
      </c>
      <c r="D1001" s="80">
        <f t="shared" si="33"/>
        <v>2012</v>
      </c>
      <c r="E1001" t="s">
        <v>38</v>
      </c>
      <c r="F1001" t="s">
        <v>143</v>
      </c>
      <c r="G1001" t="s">
        <v>10</v>
      </c>
      <c r="H1001" s="72" t="s">
        <v>217</v>
      </c>
      <c r="I1001" s="72" t="s">
        <v>59</v>
      </c>
      <c r="J1001" t="str">
        <f t="shared" si="34"/>
        <v>Cascade River</v>
      </c>
      <c r="K1001" t="str">
        <f>IFERROR(VLOOKUP(J1001,LUTs!$A$1:$C$73,2,FALSE),"NA")</f>
        <v>Skagit</v>
      </c>
      <c r="L1001" t="str">
        <f>IFERROR(VLOOKUP(J1001,LUTs!$A$1:$C$73,3,FALSE),"NA")</f>
        <v>1North Puget Sound</v>
      </c>
      <c r="M1001" s="72" t="s">
        <v>17</v>
      </c>
      <c r="N1001" t="str">
        <f>VLOOKUP(M1001,LUTs!E$2:H$14,3,)</f>
        <v>04Island</v>
      </c>
      <c r="O1001" t="str">
        <f>VLOOKUP(M1001,LUTs!E$2:H$14,4,)</f>
        <v>01North Puget Sound</v>
      </c>
      <c r="P1001" s="73">
        <v>88.647887323943706</v>
      </c>
      <c r="Q1001" s="74">
        <f>VLOOKUP(B1001,Readme!A$40:C$51,2,)*P1001</f>
        <v>766.80422535211312</v>
      </c>
    </row>
    <row r="1002" spans="1:17" ht="12" customHeight="1" x14ac:dyDescent="0.35">
      <c r="A1002" s="75">
        <v>1001</v>
      </c>
      <c r="B1002" s="64">
        <v>2012</v>
      </c>
      <c r="C1002" s="64">
        <v>10</v>
      </c>
      <c r="D1002" s="80">
        <f t="shared" si="33"/>
        <v>2012</v>
      </c>
      <c r="E1002" t="s">
        <v>38</v>
      </c>
      <c r="F1002" t="s">
        <v>143</v>
      </c>
      <c r="G1002" t="s">
        <v>10</v>
      </c>
      <c r="H1002" s="72" t="s">
        <v>217</v>
      </c>
      <c r="I1002" s="72" t="s">
        <v>59</v>
      </c>
      <c r="J1002" t="str">
        <f t="shared" si="34"/>
        <v>Cascade River</v>
      </c>
      <c r="K1002" t="str">
        <f>IFERROR(VLOOKUP(J1002,LUTs!$A$1:$C$73,2,FALSE),"NA")</f>
        <v>Skagit</v>
      </c>
      <c r="L1002" t="str">
        <f>IFERROR(VLOOKUP(J1002,LUTs!$A$1:$C$73,3,FALSE),"NA")</f>
        <v>1North Puget Sound</v>
      </c>
      <c r="M1002" s="72" t="s">
        <v>18</v>
      </c>
      <c r="N1002" t="str">
        <f>VLOOKUP(M1002,LUTs!E$2:H$14,3,)</f>
        <v>06King</v>
      </c>
      <c r="O1002" t="str">
        <f>VLOOKUP(M1002,LUTs!E$2:H$14,4,)</f>
        <v>02South Puget Sound</v>
      </c>
      <c r="P1002" s="73">
        <v>103.422535211268</v>
      </c>
      <c r="Q1002" s="74">
        <f>VLOOKUP(B1002,Readme!A$40:C$51,2,)*P1002</f>
        <v>894.60492957746817</v>
      </c>
    </row>
    <row r="1003" spans="1:17" ht="12" customHeight="1" x14ac:dyDescent="0.35">
      <c r="A1003" s="75">
        <v>1002</v>
      </c>
      <c r="B1003" s="64">
        <v>2012</v>
      </c>
      <c r="C1003" s="64">
        <v>10</v>
      </c>
      <c r="D1003" s="80">
        <f t="shared" si="33"/>
        <v>2012</v>
      </c>
      <c r="E1003" t="s">
        <v>38</v>
      </c>
      <c r="F1003" t="s">
        <v>143</v>
      </c>
      <c r="G1003" t="s">
        <v>10</v>
      </c>
      <c r="H1003" s="72" t="s">
        <v>217</v>
      </c>
      <c r="I1003" s="72" t="s">
        <v>59</v>
      </c>
      <c r="J1003" t="str">
        <f t="shared" si="34"/>
        <v>Cascade River</v>
      </c>
      <c r="K1003" t="str">
        <f>IFERROR(VLOOKUP(J1003,LUTs!$A$1:$C$73,2,FALSE),"NA")</f>
        <v>Skagit</v>
      </c>
      <c r="L1003" t="str">
        <f>IFERROR(VLOOKUP(J1003,LUTs!$A$1:$C$73,3,FALSE),"NA")</f>
        <v>1North Puget Sound</v>
      </c>
      <c r="M1003" s="72" t="s">
        <v>23</v>
      </c>
      <c r="N1003" t="str">
        <f>VLOOKUP(M1003,LUTs!E$2:H$14,3,)</f>
        <v>10Kitsap</v>
      </c>
      <c r="O1003" t="str">
        <f>VLOOKUP(M1003,LUTs!E$2:H$14,4,)</f>
        <v>02South Puget Sound</v>
      </c>
      <c r="P1003" s="73">
        <v>14.7746478873239</v>
      </c>
      <c r="Q1003" s="74">
        <f>VLOOKUP(B1003,Readme!A$40:C$51,2,)*P1003</f>
        <v>127.80070422535174</v>
      </c>
    </row>
    <row r="1004" spans="1:17" ht="12" customHeight="1" x14ac:dyDescent="0.35">
      <c r="A1004" s="75">
        <v>1003</v>
      </c>
      <c r="B1004" s="64">
        <v>2012</v>
      </c>
      <c r="C1004" s="64">
        <v>10</v>
      </c>
      <c r="D1004" s="80">
        <f t="shared" si="33"/>
        <v>2012</v>
      </c>
      <c r="E1004" t="s">
        <v>38</v>
      </c>
      <c r="F1004" t="s">
        <v>143</v>
      </c>
      <c r="G1004" t="s">
        <v>10</v>
      </c>
      <c r="H1004" s="72" t="s">
        <v>217</v>
      </c>
      <c r="I1004" s="72" t="s">
        <v>59</v>
      </c>
      <c r="J1004" t="str">
        <f t="shared" si="34"/>
        <v>Cascade River</v>
      </c>
      <c r="K1004" t="str">
        <f>IFERROR(VLOOKUP(J1004,LUTs!$A$1:$C$73,2,FALSE),"NA")</f>
        <v>Skagit</v>
      </c>
      <c r="L1004" t="str">
        <f>IFERROR(VLOOKUP(J1004,LUTs!$A$1:$C$73,3,FALSE),"NA")</f>
        <v>1North Puget Sound</v>
      </c>
      <c r="M1004" s="72" t="s">
        <v>20</v>
      </c>
      <c r="N1004" t="str">
        <f>VLOOKUP(M1004,LUTs!E$2:H$14,3,)</f>
        <v>07Pierce</v>
      </c>
      <c r="O1004" t="str">
        <f>VLOOKUP(M1004,LUTs!E$2:H$14,4,)</f>
        <v>02South Puget Sound</v>
      </c>
      <c r="P1004" s="73">
        <v>36.936619718309899</v>
      </c>
      <c r="Q1004" s="74">
        <f>VLOOKUP(B1004,Readme!A$40:C$51,2,)*P1004</f>
        <v>319.50176056338063</v>
      </c>
    </row>
    <row r="1005" spans="1:17" ht="12" customHeight="1" x14ac:dyDescent="0.35">
      <c r="A1005" s="75">
        <v>1004</v>
      </c>
      <c r="B1005" s="64">
        <v>2012</v>
      </c>
      <c r="C1005" s="64">
        <v>10</v>
      </c>
      <c r="D1005" s="80">
        <f t="shared" si="33"/>
        <v>2012</v>
      </c>
      <c r="E1005" t="s">
        <v>38</v>
      </c>
      <c r="F1005" t="s">
        <v>143</v>
      </c>
      <c r="G1005" t="s">
        <v>10</v>
      </c>
      <c r="H1005" s="72" t="s">
        <v>217</v>
      </c>
      <c r="I1005" s="72" t="s">
        <v>59</v>
      </c>
      <c r="J1005" t="str">
        <f t="shared" si="34"/>
        <v>Cascade River</v>
      </c>
      <c r="K1005" t="str">
        <f>IFERROR(VLOOKUP(J1005,LUTs!$A$1:$C$73,2,FALSE),"NA")</f>
        <v>Skagit</v>
      </c>
      <c r="L1005" t="str">
        <f>IFERROR(VLOOKUP(J1005,LUTs!$A$1:$C$73,3,FALSE),"NA")</f>
        <v>1North Puget Sound</v>
      </c>
      <c r="M1005" s="72" t="s">
        <v>15</v>
      </c>
      <c r="N1005" t="str">
        <f>VLOOKUP(M1005,LUTs!E$2:H$14,3,)</f>
        <v>02Skagit</v>
      </c>
      <c r="O1005" t="str">
        <f>VLOOKUP(M1005,LUTs!E$2:H$14,4,)</f>
        <v>01North Puget Sound</v>
      </c>
      <c r="P1005" s="73">
        <v>243.781690140845</v>
      </c>
      <c r="Q1005" s="74">
        <f>VLOOKUP(B1005,Readme!A$40:C$51,2,)*P1005</f>
        <v>2108.7116197183095</v>
      </c>
    </row>
    <row r="1006" spans="1:17" ht="12" customHeight="1" x14ac:dyDescent="0.35">
      <c r="A1006" s="75">
        <v>1005</v>
      </c>
      <c r="B1006" s="64">
        <v>2012</v>
      </c>
      <c r="C1006" s="64">
        <v>10</v>
      </c>
      <c r="D1006" s="80">
        <f t="shared" si="33"/>
        <v>2012</v>
      </c>
      <c r="E1006" t="s">
        <v>38</v>
      </c>
      <c r="F1006" t="s">
        <v>143</v>
      </c>
      <c r="G1006" t="s">
        <v>10</v>
      </c>
      <c r="H1006" s="72" t="s">
        <v>217</v>
      </c>
      <c r="I1006" s="72" t="s">
        <v>59</v>
      </c>
      <c r="J1006" t="str">
        <f t="shared" si="34"/>
        <v>Cascade River</v>
      </c>
      <c r="K1006" t="str">
        <f>IFERROR(VLOOKUP(J1006,LUTs!$A$1:$C$73,2,FALSE),"NA")</f>
        <v>Skagit</v>
      </c>
      <c r="L1006" t="str">
        <f>IFERROR(VLOOKUP(J1006,LUTs!$A$1:$C$73,3,FALSE),"NA")</f>
        <v>1North Puget Sound</v>
      </c>
      <c r="M1006" s="72" t="s">
        <v>16</v>
      </c>
      <c r="N1006" t="str">
        <f>VLOOKUP(M1006,LUTs!E$2:H$14,3,)</f>
        <v>03Snohomish</v>
      </c>
      <c r="O1006" t="str">
        <f>VLOOKUP(M1006,LUTs!E$2:H$14,4,)</f>
        <v>01North Puget Sound</v>
      </c>
      <c r="P1006" s="73">
        <v>347.20422535211299</v>
      </c>
      <c r="Q1006" s="74">
        <f>VLOOKUP(B1006,Readme!A$40:C$51,2,)*P1006</f>
        <v>3003.3165492957773</v>
      </c>
    </row>
    <row r="1007" spans="1:17" ht="12" customHeight="1" x14ac:dyDescent="0.35">
      <c r="A1007" s="75">
        <v>1006</v>
      </c>
      <c r="B1007" s="64">
        <v>2012</v>
      </c>
      <c r="C1007" s="64">
        <v>10</v>
      </c>
      <c r="D1007" s="80">
        <f t="shared" si="33"/>
        <v>2012</v>
      </c>
      <c r="E1007" t="s">
        <v>38</v>
      </c>
      <c r="F1007" t="s">
        <v>143</v>
      </c>
      <c r="G1007" t="s">
        <v>10</v>
      </c>
      <c r="H1007" s="72" t="s">
        <v>217</v>
      </c>
      <c r="I1007" s="72" t="s">
        <v>59</v>
      </c>
      <c r="J1007" t="str">
        <f t="shared" si="34"/>
        <v>Cascade River</v>
      </c>
      <c r="K1007" t="str">
        <f>IFERROR(VLOOKUP(J1007,LUTs!$A$1:$C$73,2,FALSE),"NA")</f>
        <v>Skagit</v>
      </c>
      <c r="L1007" t="str">
        <f>IFERROR(VLOOKUP(J1007,LUTs!$A$1:$C$73,3,FALSE),"NA")</f>
        <v>1North Puget Sound</v>
      </c>
      <c r="M1007" s="72" t="s">
        <v>13</v>
      </c>
      <c r="N1007" t="str">
        <f>VLOOKUP(M1007,LUTs!E$2:H$14,3,)</f>
        <v>01Whatcom</v>
      </c>
      <c r="O1007" t="str">
        <f>VLOOKUP(M1007,LUTs!E$2:H$14,4,)</f>
        <v>01North Puget Sound</v>
      </c>
      <c r="P1007" s="73">
        <v>214.23239436619701</v>
      </c>
      <c r="Q1007" s="74">
        <f>VLOOKUP(B1007,Readme!A$40:C$51,2,)*P1007</f>
        <v>1853.1102112676042</v>
      </c>
    </row>
    <row r="1008" spans="1:17" ht="12" customHeight="1" x14ac:dyDescent="0.35">
      <c r="A1008" s="75">
        <v>1007</v>
      </c>
      <c r="B1008" s="64">
        <v>2012</v>
      </c>
      <c r="C1008" s="64">
        <v>11</v>
      </c>
      <c r="D1008" s="80">
        <f t="shared" si="33"/>
        <v>2012</v>
      </c>
      <c r="E1008" t="s">
        <v>38</v>
      </c>
      <c r="F1008" t="s">
        <v>143</v>
      </c>
      <c r="G1008" t="s">
        <v>10</v>
      </c>
      <c r="H1008" s="72" t="s">
        <v>217</v>
      </c>
      <c r="I1008" s="72" t="s">
        <v>59</v>
      </c>
      <c r="J1008" t="str">
        <f t="shared" si="34"/>
        <v>Cascade River</v>
      </c>
      <c r="K1008" t="str">
        <f>IFERROR(VLOOKUP(J1008,LUTs!$A$1:$C$73,2,FALSE),"NA")</f>
        <v>Skagit</v>
      </c>
      <c r="L1008" t="str">
        <f>IFERROR(VLOOKUP(J1008,LUTs!$A$1:$C$73,3,FALSE),"NA")</f>
        <v>1North Puget Sound</v>
      </c>
      <c r="M1008" s="72" t="s">
        <v>24</v>
      </c>
      <c r="N1008" t="str">
        <f>VLOOKUP(M1008,LUTs!E$2:H$14,3,)</f>
        <v>11Clallam</v>
      </c>
      <c r="O1008" t="str">
        <f>VLOOKUP(M1008,LUTs!E$2:H$14,4,)</f>
        <v>03Strait of Juan de Fuca</v>
      </c>
      <c r="P1008" s="73">
        <v>7.3783783783783798</v>
      </c>
      <c r="Q1008" s="74">
        <f>VLOOKUP(B1008,Readme!A$40:C$51,2,)*P1008</f>
        <v>63.822972972972991</v>
      </c>
    </row>
    <row r="1009" spans="1:17" ht="12" customHeight="1" x14ac:dyDescent="0.35">
      <c r="A1009" s="75">
        <v>1008</v>
      </c>
      <c r="B1009" s="64">
        <v>2012</v>
      </c>
      <c r="C1009" s="64">
        <v>11</v>
      </c>
      <c r="D1009" s="80">
        <f t="shared" si="33"/>
        <v>2012</v>
      </c>
      <c r="E1009" t="s">
        <v>38</v>
      </c>
      <c r="F1009" t="s">
        <v>143</v>
      </c>
      <c r="G1009" t="s">
        <v>10</v>
      </c>
      <c r="H1009" s="72" t="s">
        <v>217</v>
      </c>
      <c r="I1009" s="72" t="s">
        <v>59</v>
      </c>
      <c r="J1009" t="str">
        <f t="shared" si="34"/>
        <v>Cascade River</v>
      </c>
      <c r="K1009" t="str">
        <f>IFERROR(VLOOKUP(J1009,LUTs!$A$1:$C$73,2,FALSE),"NA")</f>
        <v>Skagit</v>
      </c>
      <c r="L1009" t="str">
        <f>IFERROR(VLOOKUP(J1009,LUTs!$A$1:$C$73,3,FALSE),"NA")</f>
        <v>1North Puget Sound</v>
      </c>
      <c r="M1009" s="72" t="s">
        <v>17</v>
      </c>
      <c r="N1009" t="str">
        <f>VLOOKUP(M1009,LUTs!E$2:H$14,3,)</f>
        <v>04Island</v>
      </c>
      <c r="O1009" t="str">
        <f>VLOOKUP(M1009,LUTs!E$2:H$14,4,)</f>
        <v>01North Puget Sound</v>
      </c>
      <c r="P1009" s="73">
        <v>22.135135135135101</v>
      </c>
      <c r="Q1009" s="74">
        <f>VLOOKUP(B1009,Readme!A$40:C$51,2,)*P1009</f>
        <v>191.46891891891863</v>
      </c>
    </row>
    <row r="1010" spans="1:17" ht="12" customHeight="1" x14ac:dyDescent="0.35">
      <c r="A1010" s="75">
        <v>1009</v>
      </c>
      <c r="B1010" s="64">
        <v>2012</v>
      </c>
      <c r="C1010" s="64">
        <v>11</v>
      </c>
      <c r="D1010" s="80">
        <f t="shared" si="33"/>
        <v>2012</v>
      </c>
      <c r="E1010" t="s">
        <v>38</v>
      </c>
      <c r="F1010" t="s">
        <v>143</v>
      </c>
      <c r="G1010" t="s">
        <v>10</v>
      </c>
      <c r="H1010" s="72" t="s">
        <v>217</v>
      </c>
      <c r="I1010" s="72" t="s">
        <v>59</v>
      </c>
      <c r="J1010" t="str">
        <f t="shared" si="34"/>
        <v>Cascade River</v>
      </c>
      <c r="K1010" t="str">
        <f>IFERROR(VLOOKUP(J1010,LUTs!$A$1:$C$73,2,FALSE),"NA")</f>
        <v>Skagit</v>
      </c>
      <c r="L1010" t="str">
        <f>IFERROR(VLOOKUP(J1010,LUTs!$A$1:$C$73,3,FALSE),"NA")</f>
        <v>1North Puget Sound</v>
      </c>
      <c r="M1010" s="72" t="s">
        <v>26</v>
      </c>
      <c r="N1010" t="str">
        <f>VLOOKUP(M1010,LUTs!E$2:H$14,3,)</f>
        <v>20Other</v>
      </c>
      <c r="O1010" t="str">
        <f>VLOOKUP(M1010,LUTs!E$2:H$14,4,)</f>
        <v>07Non Puget Sound</v>
      </c>
      <c r="P1010" s="73">
        <v>66.405405405405403</v>
      </c>
      <c r="Q1010" s="74">
        <f>VLOOKUP(B1010,Readme!A$40:C$51,2,)*P1010</f>
        <v>574.40675675675675</v>
      </c>
    </row>
    <row r="1011" spans="1:17" ht="12" customHeight="1" x14ac:dyDescent="0.35">
      <c r="A1011" s="75">
        <v>1010</v>
      </c>
      <c r="B1011" s="64">
        <v>2012</v>
      </c>
      <c r="C1011" s="64">
        <v>11</v>
      </c>
      <c r="D1011" s="80">
        <f t="shared" si="33"/>
        <v>2012</v>
      </c>
      <c r="E1011" t="s">
        <v>38</v>
      </c>
      <c r="F1011" t="s">
        <v>143</v>
      </c>
      <c r="G1011" t="s">
        <v>10</v>
      </c>
      <c r="H1011" s="72" t="s">
        <v>217</v>
      </c>
      <c r="I1011" s="72" t="s">
        <v>59</v>
      </c>
      <c r="J1011" t="str">
        <f t="shared" si="34"/>
        <v>Cascade River</v>
      </c>
      <c r="K1011" t="str">
        <f>IFERROR(VLOOKUP(J1011,LUTs!$A$1:$C$73,2,FALSE),"NA")</f>
        <v>Skagit</v>
      </c>
      <c r="L1011" t="str">
        <f>IFERROR(VLOOKUP(J1011,LUTs!$A$1:$C$73,3,FALSE),"NA")</f>
        <v>1North Puget Sound</v>
      </c>
      <c r="M1011" s="72" t="s">
        <v>15</v>
      </c>
      <c r="N1011" t="str">
        <f>VLOOKUP(M1011,LUTs!E$2:H$14,3,)</f>
        <v>02Skagit</v>
      </c>
      <c r="O1011" t="str">
        <f>VLOOKUP(M1011,LUTs!E$2:H$14,4,)</f>
        <v>01North Puget Sound</v>
      </c>
      <c r="P1011" s="73">
        <v>73.783783783783804</v>
      </c>
      <c r="Q1011" s="74">
        <f>VLOOKUP(B1011,Readme!A$40:C$51,2,)*P1011</f>
        <v>638.22972972972991</v>
      </c>
    </row>
    <row r="1012" spans="1:17" ht="12" customHeight="1" x14ac:dyDescent="0.35">
      <c r="A1012" s="75">
        <v>1011</v>
      </c>
      <c r="B1012" s="64">
        <v>2012</v>
      </c>
      <c r="C1012" s="64">
        <v>11</v>
      </c>
      <c r="D1012" s="80">
        <f t="shared" si="33"/>
        <v>2012</v>
      </c>
      <c r="E1012" t="s">
        <v>38</v>
      </c>
      <c r="F1012" t="s">
        <v>143</v>
      </c>
      <c r="G1012" t="s">
        <v>10</v>
      </c>
      <c r="H1012" s="72" t="s">
        <v>217</v>
      </c>
      <c r="I1012" s="72" t="s">
        <v>59</v>
      </c>
      <c r="J1012" t="str">
        <f t="shared" si="34"/>
        <v>Cascade River</v>
      </c>
      <c r="K1012" t="str">
        <f>IFERROR(VLOOKUP(J1012,LUTs!$A$1:$C$73,2,FALSE),"NA")</f>
        <v>Skagit</v>
      </c>
      <c r="L1012" t="str">
        <f>IFERROR(VLOOKUP(J1012,LUTs!$A$1:$C$73,3,FALSE),"NA")</f>
        <v>1North Puget Sound</v>
      </c>
      <c r="M1012" s="72" t="s">
        <v>16</v>
      </c>
      <c r="N1012" t="str">
        <f>VLOOKUP(M1012,LUTs!E$2:H$14,3,)</f>
        <v>03Snohomish</v>
      </c>
      <c r="O1012" t="str">
        <f>VLOOKUP(M1012,LUTs!E$2:H$14,4,)</f>
        <v>01North Puget Sound</v>
      </c>
      <c r="P1012" s="73">
        <v>88.540540540540604</v>
      </c>
      <c r="Q1012" s="74">
        <f>VLOOKUP(B1012,Readme!A$40:C$51,2,)*P1012</f>
        <v>765.87567567567623</v>
      </c>
    </row>
    <row r="1013" spans="1:17" ht="12" customHeight="1" x14ac:dyDescent="0.35">
      <c r="A1013" s="75">
        <v>1012</v>
      </c>
      <c r="B1013" s="64">
        <v>2012</v>
      </c>
      <c r="C1013" s="64">
        <v>11</v>
      </c>
      <c r="D1013" s="80">
        <f t="shared" si="33"/>
        <v>2012</v>
      </c>
      <c r="E1013" t="s">
        <v>38</v>
      </c>
      <c r="F1013" t="s">
        <v>143</v>
      </c>
      <c r="G1013" t="s">
        <v>10</v>
      </c>
      <c r="H1013" s="72" t="s">
        <v>217</v>
      </c>
      <c r="I1013" s="72" t="s">
        <v>59</v>
      </c>
      <c r="J1013" t="str">
        <f t="shared" si="34"/>
        <v>Cascade River</v>
      </c>
      <c r="K1013" t="str">
        <f>IFERROR(VLOOKUP(J1013,LUTs!$A$1:$C$73,2,FALSE),"NA")</f>
        <v>Skagit</v>
      </c>
      <c r="L1013" t="str">
        <f>IFERROR(VLOOKUP(J1013,LUTs!$A$1:$C$73,3,FALSE),"NA")</f>
        <v>1North Puget Sound</v>
      </c>
      <c r="M1013" s="72" t="s">
        <v>13</v>
      </c>
      <c r="N1013" t="str">
        <f>VLOOKUP(M1013,LUTs!E$2:H$14,3,)</f>
        <v>01Whatcom</v>
      </c>
      <c r="O1013" t="str">
        <f>VLOOKUP(M1013,LUTs!E$2:H$14,4,)</f>
        <v>01North Puget Sound</v>
      </c>
      <c r="P1013" s="73">
        <v>14.756756756756801</v>
      </c>
      <c r="Q1013" s="74">
        <f>VLOOKUP(B1013,Readme!A$40:C$51,2,)*P1013</f>
        <v>127.64594594594632</v>
      </c>
    </row>
    <row r="1014" spans="1:17" ht="12" customHeight="1" x14ac:dyDescent="0.35">
      <c r="A1014" s="75">
        <v>1013</v>
      </c>
      <c r="B1014" s="64">
        <v>2012</v>
      </c>
      <c r="C1014" s="64">
        <v>6</v>
      </c>
      <c r="D1014" s="80">
        <f t="shared" si="33"/>
        <v>2012</v>
      </c>
      <c r="E1014" t="s">
        <v>38</v>
      </c>
      <c r="F1014" t="s">
        <v>143</v>
      </c>
      <c r="G1014" t="s">
        <v>10</v>
      </c>
      <c r="H1014" s="72" t="s">
        <v>218</v>
      </c>
      <c r="I1014" s="72" t="s">
        <v>60</v>
      </c>
      <c r="J1014" t="str">
        <f t="shared" si="34"/>
        <v>Skagit River</v>
      </c>
      <c r="K1014" t="str">
        <f>IFERROR(VLOOKUP(J1014,LUTs!$A$1:$C$73,2,FALSE),"NA")</f>
        <v>Skagit/Whatcom</v>
      </c>
      <c r="L1014" t="str">
        <f>IFERROR(VLOOKUP(J1014,LUTs!$A$1:$C$73,3,FALSE),"NA")</f>
        <v>2Central Puget Sound</v>
      </c>
      <c r="M1014" s="72" t="s">
        <v>18</v>
      </c>
      <c r="N1014" t="str">
        <f>VLOOKUP(M1014,LUTs!E$2:H$14,3,)</f>
        <v>06King</v>
      </c>
      <c r="O1014" t="str">
        <f>VLOOKUP(M1014,LUTs!E$2:H$14,4,)</f>
        <v>02South Puget Sound</v>
      </c>
      <c r="P1014" s="73">
        <v>52.137931034482797</v>
      </c>
      <c r="Q1014" s="74">
        <f>VLOOKUP(B1014,Readme!A$40:C$51,2,)*P1014</f>
        <v>450.9931034482762</v>
      </c>
    </row>
    <row r="1015" spans="1:17" ht="12" customHeight="1" x14ac:dyDescent="0.35">
      <c r="A1015" s="75">
        <v>1014</v>
      </c>
      <c r="B1015" s="64">
        <v>2012</v>
      </c>
      <c r="C1015" s="64">
        <v>6</v>
      </c>
      <c r="D1015" s="80">
        <f t="shared" si="33"/>
        <v>2012</v>
      </c>
      <c r="E1015" t="s">
        <v>38</v>
      </c>
      <c r="F1015" t="s">
        <v>143</v>
      </c>
      <c r="G1015" t="s">
        <v>10</v>
      </c>
      <c r="H1015" s="72" t="s">
        <v>218</v>
      </c>
      <c r="I1015" s="72" t="s">
        <v>60</v>
      </c>
      <c r="J1015" t="str">
        <f t="shared" si="34"/>
        <v>Skagit River</v>
      </c>
      <c r="K1015" t="str">
        <f>IFERROR(VLOOKUP(J1015,LUTs!$A$1:$C$73,2,FALSE),"NA")</f>
        <v>Skagit/Whatcom</v>
      </c>
      <c r="L1015" t="str">
        <f>IFERROR(VLOOKUP(J1015,LUTs!$A$1:$C$73,3,FALSE),"NA")</f>
        <v>2Central Puget Sound</v>
      </c>
      <c r="M1015" s="72" t="s">
        <v>26</v>
      </c>
      <c r="N1015" t="str">
        <f>VLOOKUP(M1015,LUTs!E$2:H$14,3,)</f>
        <v>20Other</v>
      </c>
      <c r="O1015" t="str">
        <f>VLOOKUP(M1015,LUTs!E$2:H$14,4,)</f>
        <v>07Non Puget Sound</v>
      </c>
      <c r="P1015" s="73">
        <v>14.8965517241379</v>
      </c>
      <c r="Q1015" s="74">
        <f>VLOOKUP(B1015,Readme!A$40:C$51,2,)*P1015</f>
        <v>128.85517241379284</v>
      </c>
    </row>
    <row r="1016" spans="1:17" ht="12" customHeight="1" x14ac:dyDescent="0.35">
      <c r="A1016" s="75">
        <v>1015</v>
      </c>
      <c r="B1016" s="64">
        <v>2012</v>
      </c>
      <c r="C1016" s="64">
        <v>6</v>
      </c>
      <c r="D1016" s="80">
        <f t="shared" si="33"/>
        <v>2012</v>
      </c>
      <c r="E1016" t="s">
        <v>38</v>
      </c>
      <c r="F1016" t="s">
        <v>143</v>
      </c>
      <c r="G1016" t="s">
        <v>10</v>
      </c>
      <c r="H1016" s="72" t="s">
        <v>218</v>
      </c>
      <c r="I1016" s="72" t="s">
        <v>60</v>
      </c>
      <c r="J1016" t="str">
        <f t="shared" si="34"/>
        <v>Skagit River</v>
      </c>
      <c r="K1016" t="str">
        <f>IFERROR(VLOOKUP(J1016,LUTs!$A$1:$C$73,2,FALSE),"NA")</f>
        <v>Skagit/Whatcom</v>
      </c>
      <c r="L1016" t="str">
        <f>IFERROR(VLOOKUP(J1016,LUTs!$A$1:$C$73,3,FALSE),"NA")</f>
        <v>2Central Puget Sound</v>
      </c>
      <c r="M1016" s="72" t="s">
        <v>15</v>
      </c>
      <c r="N1016" t="str">
        <f>VLOOKUP(M1016,LUTs!E$2:H$14,3,)</f>
        <v>02Skagit</v>
      </c>
      <c r="O1016" t="str">
        <f>VLOOKUP(M1016,LUTs!E$2:H$14,4,)</f>
        <v>01North Puget Sound</v>
      </c>
      <c r="P1016" s="73">
        <v>335.172413793104</v>
      </c>
      <c r="Q1016" s="74">
        <f>VLOOKUP(B1016,Readme!A$40:C$51,2,)*P1016</f>
        <v>2899.2413793103497</v>
      </c>
    </row>
    <row r="1017" spans="1:17" ht="12" customHeight="1" x14ac:dyDescent="0.35">
      <c r="A1017" s="75">
        <v>1016</v>
      </c>
      <c r="B1017" s="64">
        <v>2012</v>
      </c>
      <c r="C1017" s="64">
        <v>6</v>
      </c>
      <c r="D1017" s="80">
        <f t="shared" si="33"/>
        <v>2012</v>
      </c>
      <c r="E1017" t="s">
        <v>38</v>
      </c>
      <c r="F1017" t="s">
        <v>143</v>
      </c>
      <c r="G1017" t="s">
        <v>10</v>
      </c>
      <c r="H1017" s="72" t="s">
        <v>218</v>
      </c>
      <c r="I1017" s="72" t="s">
        <v>60</v>
      </c>
      <c r="J1017" t="str">
        <f t="shared" si="34"/>
        <v>Skagit River</v>
      </c>
      <c r="K1017" t="str">
        <f>IFERROR(VLOOKUP(J1017,LUTs!$A$1:$C$73,2,FALSE),"NA")</f>
        <v>Skagit/Whatcom</v>
      </c>
      <c r="L1017" t="str">
        <f>IFERROR(VLOOKUP(J1017,LUTs!$A$1:$C$73,3,FALSE),"NA")</f>
        <v>2Central Puget Sound</v>
      </c>
      <c r="M1017" s="72" t="s">
        <v>16</v>
      </c>
      <c r="N1017" t="str">
        <f>VLOOKUP(M1017,LUTs!E$2:H$14,3,)</f>
        <v>03Snohomish</v>
      </c>
      <c r="O1017" t="str">
        <f>VLOOKUP(M1017,LUTs!E$2:H$14,4,)</f>
        <v>01North Puget Sound</v>
      </c>
      <c r="P1017" s="73">
        <v>208.55172413793099</v>
      </c>
      <c r="Q1017" s="74">
        <f>VLOOKUP(B1017,Readme!A$40:C$51,2,)*P1017</f>
        <v>1803.9724137931032</v>
      </c>
    </row>
    <row r="1018" spans="1:17" ht="12" customHeight="1" x14ac:dyDescent="0.35">
      <c r="A1018" s="75">
        <v>1017</v>
      </c>
      <c r="B1018" s="64">
        <v>2012</v>
      </c>
      <c r="C1018" s="64">
        <v>6</v>
      </c>
      <c r="D1018" s="80">
        <f t="shared" si="33"/>
        <v>2012</v>
      </c>
      <c r="E1018" t="s">
        <v>38</v>
      </c>
      <c r="F1018" t="s">
        <v>143</v>
      </c>
      <c r="G1018" t="s">
        <v>10</v>
      </c>
      <c r="H1018" s="72" t="s">
        <v>218</v>
      </c>
      <c r="I1018" s="72" t="s">
        <v>60</v>
      </c>
      <c r="J1018" t="str">
        <f t="shared" si="34"/>
        <v>Skagit River</v>
      </c>
      <c r="K1018" t="str">
        <f>IFERROR(VLOOKUP(J1018,LUTs!$A$1:$C$73,2,FALSE),"NA")</f>
        <v>Skagit/Whatcom</v>
      </c>
      <c r="L1018" t="str">
        <f>IFERROR(VLOOKUP(J1018,LUTs!$A$1:$C$73,3,FALSE),"NA")</f>
        <v>2Central Puget Sound</v>
      </c>
      <c r="M1018" s="72" t="s">
        <v>13</v>
      </c>
      <c r="N1018" t="str">
        <f>VLOOKUP(M1018,LUTs!E$2:H$14,3,)</f>
        <v>01Whatcom</v>
      </c>
      <c r="O1018" t="str">
        <f>VLOOKUP(M1018,LUTs!E$2:H$14,4,)</f>
        <v>01North Puget Sound</v>
      </c>
      <c r="P1018" s="73">
        <v>37.241379310344797</v>
      </c>
      <c r="Q1018" s="74">
        <f>VLOOKUP(B1018,Readme!A$40:C$51,2,)*P1018</f>
        <v>322.13793103448251</v>
      </c>
    </row>
    <row r="1019" spans="1:17" ht="12" customHeight="1" x14ac:dyDescent="0.35">
      <c r="A1019" s="75">
        <v>1018</v>
      </c>
      <c r="B1019" s="64">
        <v>2012</v>
      </c>
      <c r="C1019" s="64">
        <v>7</v>
      </c>
      <c r="D1019" s="80">
        <f t="shared" si="33"/>
        <v>2012</v>
      </c>
      <c r="E1019" t="s">
        <v>38</v>
      </c>
      <c r="F1019" t="s">
        <v>143</v>
      </c>
      <c r="G1019" t="s">
        <v>10</v>
      </c>
      <c r="H1019" s="72" t="s">
        <v>218</v>
      </c>
      <c r="I1019" s="72" t="s">
        <v>60</v>
      </c>
      <c r="J1019" t="str">
        <f t="shared" si="34"/>
        <v>Skagit River</v>
      </c>
      <c r="K1019" t="str">
        <f>IFERROR(VLOOKUP(J1019,LUTs!$A$1:$C$73,2,FALSE),"NA")</f>
        <v>Skagit/Whatcom</v>
      </c>
      <c r="L1019" t="str">
        <f>IFERROR(VLOOKUP(J1019,LUTs!$A$1:$C$73,3,FALSE),"NA")</f>
        <v>2Central Puget Sound</v>
      </c>
      <c r="M1019" s="72" t="s">
        <v>17</v>
      </c>
      <c r="N1019" t="str">
        <f>VLOOKUP(M1019,LUTs!E$2:H$14,3,)</f>
        <v>04Island</v>
      </c>
      <c r="O1019" t="str">
        <f>VLOOKUP(M1019,LUTs!E$2:H$14,4,)</f>
        <v>01North Puget Sound</v>
      </c>
      <c r="P1019" s="73">
        <v>97.168168168168194</v>
      </c>
      <c r="Q1019" s="74">
        <f>VLOOKUP(B1019,Readme!A$40:C$51,2,)*P1019</f>
        <v>840.50465465465493</v>
      </c>
    </row>
    <row r="1020" spans="1:17" ht="12" customHeight="1" x14ac:dyDescent="0.35">
      <c r="A1020" s="75">
        <v>1019</v>
      </c>
      <c r="B1020" s="64">
        <v>2012</v>
      </c>
      <c r="C1020" s="64">
        <v>7</v>
      </c>
      <c r="D1020" s="80">
        <f t="shared" si="33"/>
        <v>2012</v>
      </c>
      <c r="E1020" t="s">
        <v>38</v>
      </c>
      <c r="F1020" t="s">
        <v>143</v>
      </c>
      <c r="G1020" t="s">
        <v>10</v>
      </c>
      <c r="H1020" s="72" t="s">
        <v>218</v>
      </c>
      <c r="I1020" s="72" t="s">
        <v>60</v>
      </c>
      <c r="J1020" t="str">
        <f t="shared" si="34"/>
        <v>Skagit River</v>
      </c>
      <c r="K1020" t="str">
        <f>IFERROR(VLOOKUP(J1020,LUTs!$A$1:$C$73,2,FALSE),"NA")</f>
        <v>Skagit/Whatcom</v>
      </c>
      <c r="L1020" t="str">
        <f>IFERROR(VLOOKUP(J1020,LUTs!$A$1:$C$73,3,FALSE),"NA")</f>
        <v>2Central Puget Sound</v>
      </c>
      <c r="M1020" s="72" t="s">
        <v>18</v>
      </c>
      <c r="N1020" t="str">
        <f>VLOOKUP(M1020,LUTs!E$2:H$14,3,)</f>
        <v>06King</v>
      </c>
      <c r="O1020" t="str">
        <f>VLOOKUP(M1020,LUTs!E$2:H$14,4,)</f>
        <v>02South Puget Sound</v>
      </c>
      <c r="P1020" s="73">
        <v>186.861861861862</v>
      </c>
      <c r="Q1020" s="74">
        <f>VLOOKUP(B1020,Readme!A$40:C$51,2,)*P1020</f>
        <v>1616.3551051051063</v>
      </c>
    </row>
    <row r="1021" spans="1:17" ht="12" customHeight="1" x14ac:dyDescent="0.35">
      <c r="A1021" s="75">
        <v>1020</v>
      </c>
      <c r="B1021" s="64">
        <v>2012</v>
      </c>
      <c r="C1021" s="64">
        <v>7</v>
      </c>
      <c r="D1021" s="80">
        <f t="shared" si="33"/>
        <v>2012</v>
      </c>
      <c r="E1021" t="s">
        <v>38</v>
      </c>
      <c r="F1021" t="s">
        <v>143</v>
      </c>
      <c r="G1021" t="s">
        <v>10</v>
      </c>
      <c r="H1021" s="72" t="s">
        <v>218</v>
      </c>
      <c r="I1021" s="72" t="s">
        <v>60</v>
      </c>
      <c r="J1021" t="str">
        <f t="shared" si="34"/>
        <v>Skagit River</v>
      </c>
      <c r="K1021" t="str">
        <f>IFERROR(VLOOKUP(J1021,LUTs!$A$1:$C$73,2,FALSE),"NA")</f>
        <v>Skagit/Whatcom</v>
      </c>
      <c r="L1021" t="str">
        <f>IFERROR(VLOOKUP(J1021,LUTs!$A$1:$C$73,3,FALSE),"NA")</f>
        <v>2Central Puget Sound</v>
      </c>
      <c r="M1021" s="72" t="s">
        <v>26</v>
      </c>
      <c r="N1021" t="str">
        <f>VLOOKUP(M1021,LUTs!E$2:H$14,3,)</f>
        <v>20Other</v>
      </c>
      <c r="O1021" t="str">
        <f>VLOOKUP(M1021,LUTs!E$2:H$14,4,)</f>
        <v>07Non Puget Sound</v>
      </c>
      <c r="P1021" s="73">
        <v>52.3213213213213</v>
      </c>
      <c r="Q1021" s="74">
        <f>VLOOKUP(B1021,Readme!A$40:C$51,2,)*P1021</f>
        <v>452.57942942942924</v>
      </c>
    </row>
    <row r="1022" spans="1:17" ht="12" customHeight="1" x14ac:dyDescent="0.35">
      <c r="A1022" s="75">
        <v>1021</v>
      </c>
      <c r="B1022" s="64">
        <v>2012</v>
      </c>
      <c r="C1022" s="64">
        <v>7</v>
      </c>
      <c r="D1022" s="80">
        <f t="shared" si="33"/>
        <v>2012</v>
      </c>
      <c r="E1022" t="s">
        <v>38</v>
      </c>
      <c r="F1022" t="s">
        <v>143</v>
      </c>
      <c r="G1022" t="s">
        <v>10</v>
      </c>
      <c r="H1022" s="72" t="s">
        <v>218</v>
      </c>
      <c r="I1022" s="72" t="s">
        <v>60</v>
      </c>
      <c r="J1022" t="str">
        <f t="shared" si="34"/>
        <v>Skagit River</v>
      </c>
      <c r="K1022" t="str">
        <f>IFERROR(VLOOKUP(J1022,LUTs!$A$1:$C$73,2,FALSE),"NA")</f>
        <v>Skagit/Whatcom</v>
      </c>
      <c r="L1022" t="str">
        <f>IFERROR(VLOOKUP(J1022,LUTs!$A$1:$C$73,3,FALSE),"NA")</f>
        <v>2Central Puget Sound</v>
      </c>
      <c r="M1022" s="72" t="s">
        <v>20</v>
      </c>
      <c r="N1022" t="str">
        <f>VLOOKUP(M1022,LUTs!E$2:H$14,3,)</f>
        <v>07Pierce</v>
      </c>
      <c r="O1022" t="str">
        <f>VLOOKUP(M1022,LUTs!E$2:H$14,4,)</f>
        <v>02South Puget Sound</v>
      </c>
      <c r="P1022" s="73">
        <v>44.846846846846901</v>
      </c>
      <c r="Q1022" s="74">
        <f>VLOOKUP(B1022,Readme!A$40:C$51,2,)*P1022</f>
        <v>387.92522522522569</v>
      </c>
    </row>
    <row r="1023" spans="1:17" ht="12" customHeight="1" x14ac:dyDescent="0.35">
      <c r="A1023" s="75">
        <v>1022</v>
      </c>
      <c r="B1023" s="64">
        <v>2012</v>
      </c>
      <c r="C1023" s="64">
        <v>7</v>
      </c>
      <c r="D1023" s="80">
        <f t="shared" si="33"/>
        <v>2012</v>
      </c>
      <c r="E1023" t="s">
        <v>38</v>
      </c>
      <c r="F1023" t="s">
        <v>143</v>
      </c>
      <c r="G1023" t="s">
        <v>10</v>
      </c>
      <c r="H1023" s="72" t="s">
        <v>218</v>
      </c>
      <c r="I1023" s="72" t="s">
        <v>60</v>
      </c>
      <c r="J1023" t="str">
        <f t="shared" si="34"/>
        <v>Skagit River</v>
      </c>
      <c r="K1023" t="str">
        <f>IFERROR(VLOOKUP(J1023,LUTs!$A$1:$C$73,2,FALSE),"NA")</f>
        <v>Skagit/Whatcom</v>
      </c>
      <c r="L1023" t="str">
        <f>IFERROR(VLOOKUP(J1023,LUTs!$A$1:$C$73,3,FALSE),"NA")</f>
        <v>2Central Puget Sound</v>
      </c>
      <c r="M1023" s="72" t="s">
        <v>15</v>
      </c>
      <c r="N1023" t="str">
        <f>VLOOKUP(M1023,LUTs!E$2:H$14,3,)</f>
        <v>02Skagit</v>
      </c>
      <c r="O1023" t="str">
        <f>VLOOKUP(M1023,LUTs!E$2:H$14,4,)</f>
        <v>01North Puget Sound</v>
      </c>
      <c r="P1023" s="73">
        <v>1696.70570570571</v>
      </c>
      <c r="Q1023" s="74">
        <f>VLOOKUP(B1023,Readme!A$40:C$51,2,)*P1023</f>
        <v>14676.504354354392</v>
      </c>
    </row>
    <row r="1024" spans="1:17" ht="12" customHeight="1" x14ac:dyDescent="0.35">
      <c r="A1024" s="75">
        <v>1023</v>
      </c>
      <c r="B1024" s="64">
        <v>2012</v>
      </c>
      <c r="C1024" s="64">
        <v>7</v>
      </c>
      <c r="D1024" s="80">
        <f t="shared" si="33"/>
        <v>2012</v>
      </c>
      <c r="E1024" t="s">
        <v>38</v>
      </c>
      <c r="F1024" t="s">
        <v>143</v>
      </c>
      <c r="G1024" t="s">
        <v>10</v>
      </c>
      <c r="H1024" s="72" t="s">
        <v>218</v>
      </c>
      <c r="I1024" s="72" t="s">
        <v>60</v>
      </c>
      <c r="J1024" t="str">
        <f t="shared" si="34"/>
        <v>Skagit River</v>
      </c>
      <c r="K1024" t="str">
        <f>IFERROR(VLOOKUP(J1024,LUTs!$A$1:$C$73,2,FALSE),"NA")</f>
        <v>Skagit/Whatcom</v>
      </c>
      <c r="L1024" t="str">
        <f>IFERROR(VLOOKUP(J1024,LUTs!$A$1:$C$73,3,FALSE),"NA")</f>
        <v>2Central Puget Sound</v>
      </c>
      <c r="M1024" s="72" t="s">
        <v>16</v>
      </c>
      <c r="N1024" t="str">
        <f>VLOOKUP(M1024,LUTs!E$2:H$14,3,)</f>
        <v>03Snohomish</v>
      </c>
      <c r="O1024" t="str">
        <f>VLOOKUP(M1024,LUTs!E$2:H$14,4,)</f>
        <v>01North Puget Sound</v>
      </c>
      <c r="P1024" s="73">
        <v>343.82582582582597</v>
      </c>
      <c r="Q1024" s="74">
        <f>VLOOKUP(B1024,Readme!A$40:C$51,2,)*P1024</f>
        <v>2974.0933933933948</v>
      </c>
    </row>
    <row r="1025" spans="1:17" ht="12" customHeight="1" x14ac:dyDescent="0.35">
      <c r="A1025" s="75">
        <v>1024</v>
      </c>
      <c r="B1025" s="64">
        <v>2012</v>
      </c>
      <c r="C1025" s="64">
        <v>7</v>
      </c>
      <c r="D1025" s="80">
        <f t="shared" si="33"/>
        <v>2012</v>
      </c>
      <c r="E1025" t="s">
        <v>38</v>
      </c>
      <c r="F1025" t="s">
        <v>143</v>
      </c>
      <c r="G1025" t="s">
        <v>10</v>
      </c>
      <c r="H1025" s="72" t="s">
        <v>218</v>
      </c>
      <c r="I1025" s="72" t="s">
        <v>60</v>
      </c>
      <c r="J1025" t="str">
        <f t="shared" si="34"/>
        <v>Skagit River</v>
      </c>
      <c r="K1025" t="str">
        <f>IFERROR(VLOOKUP(J1025,LUTs!$A$1:$C$73,2,FALSE),"NA")</f>
        <v>Skagit/Whatcom</v>
      </c>
      <c r="L1025" t="str">
        <f>IFERROR(VLOOKUP(J1025,LUTs!$A$1:$C$73,3,FALSE),"NA")</f>
        <v>2Central Puget Sound</v>
      </c>
      <c r="M1025" s="72" t="s">
        <v>13</v>
      </c>
      <c r="N1025" t="str">
        <f>VLOOKUP(M1025,LUTs!E$2:H$14,3,)</f>
        <v>01Whatcom</v>
      </c>
      <c r="O1025" t="str">
        <f>VLOOKUP(M1025,LUTs!E$2:H$14,4,)</f>
        <v>01North Puget Sound</v>
      </c>
      <c r="P1025" s="73">
        <v>67.270270270270302</v>
      </c>
      <c r="Q1025" s="74">
        <f>VLOOKUP(B1025,Readme!A$40:C$51,2,)*P1025</f>
        <v>581.88783783783811</v>
      </c>
    </row>
    <row r="1026" spans="1:17" ht="12" customHeight="1" x14ac:dyDescent="0.35">
      <c r="A1026" s="75">
        <v>1025</v>
      </c>
      <c r="B1026" s="64">
        <v>2012</v>
      </c>
      <c r="C1026" s="64">
        <v>9</v>
      </c>
      <c r="D1026" s="80">
        <f t="shared" ref="D1026:D1089" si="35">IF(C1026&gt;3,B1026,B1026-1)</f>
        <v>2012</v>
      </c>
      <c r="E1026" t="s">
        <v>38</v>
      </c>
      <c r="F1026" t="s">
        <v>143</v>
      </c>
      <c r="G1026" t="s">
        <v>10</v>
      </c>
      <c r="H1026" s="72" t="s">
        <v>218</v>
      </c>
      <c r="I1026" s="72" t="s">
        <v>60</v>
      </c>
      <c r="J1026" t="str">
        <f t="shared" si="34"/>
        <v>Skagit River</v>
      </c>
      <c r="K1026" t="str">
        <f>IFERROR(VLOOKUP(J1026,LUTs!$A$1:$C$73,2,FALSE),"NA")</f>
        <v>Skagit/Whatcom</v>
      </c>
      <c r="L1026" t="str">
        <f>IFERROR(VLOOKUP(J1026,LUTs!$A$1:$C$73,3,FALSE),"NA")</f>
        <v>2Central Puget Sound</v>
      </c>
      <c r="M1026" s="72" t="s">
        <v>18</v>
      </c>
      <c r="N1026" t="str">
        <f>VLOOKUP(M1026,LUTs!E$2:H$14,3,)</f>
        <v>06King</v>
      </c>
      <c r="O1026" t="str">
        <f>VLOOKUP(M1026,LUTs!E$2:H$14,4,)</f>
        <v>02South Puget Sound</v>
      </c>
      <c r="P1026" s="73">
        <v>36.625615763546797</v>
      </c>
      <c r="Q1026" s="74">
        <f>VLOOKUP(B1026,Readme!A$40:C$51,2,)*P1026</f>
        <v>316.8115763546798</v>
      </c>
    </row>
    <row r="1027" spans="1:17" ht="12" customHeight="1" x14ac:dyDescent="0.35">
      <c r="A1027" s="75">
        <v>1026</v>
      </c>
      <c r="B1027" s="64">
        <v>2012</v>
      </c>
      <c r="C1027" s="64">
        <v>9</v>
      </c>
      <c r="D1027" s="80">
        <f t="shared" si="35"/>
        <v>2012</v>
      </c>
      <c r="E1027" t="s">
        <v>38</v>
      </c>
      <c r="F1027" t="s">
        <v>143</v>
      </c>
      <c r="G1027" t="s">
        <v>10</v>
      </c>
      <c r="H1027" s="72" t="s">
        <v>218</v>
      </c>
      <c r="I1027" s="72" t="s">
        <v>60</v>
      </c>
      <c r="J1027" t="str">
        <f t="shared" ref="J1027:J1090" si="36">I1027</f>
        <v>Skagit River</v>
      </c>
      <c r="K1027" t="str">
        <f>IFERROR(VLOOKUP(J1027,LUTs!$A$1:$C$73,2,FALSE),"NA")</f>
        <v>Skagit/Whatcom</v>
      </c>
      <c r="L1027" t="str">
        <f>IFERROR(VLOOKUP(J1027,LUTs!$A$1:$C$73,3,FALSE),"NA")</f>
        <v>2Central Puget Sound</v>
      </c>
      <c r="M1027" s="72" t="s">
        <v>26</v>
      </c>
      <c r="N1027" t="str">
        <f>VLOOKUP(M1027,LUTs!E$2:H$14,3,)</f>
        <v>20Other</v>
      </c>
      <c r="O1027" t="str">
        <f>VLOOKUP(M1027,LUTs!E$2:H$14,4,)</f>
        <v>07Non Puget Sound</v>
      </c>
      <c r="P1027" s="73">
        <v>43.950738916256199</v>
      </c>
      <c r="Q1027" s="74">
        <f>VLOOKUP(B1027,Readme!A$40:C$51,2,)*P1027</f>
        <v>380.17389162561614</v>
      </c>
    </row>
    <row r="1028" spans="1:17" ht="12" customHeight="1" x14ac:dyDescent="0.35">
      <c r="A1028" s="75">
        <v>1027</v>
      </c>
      <c r="B1028" s="64">
        <v>2012</v>
      </c>
      <c r="C1028" s="64">
        <v>9</v>
      </c>
      <c r="D1028" s="80">
        <f t="shared" si="35"/>
        <v>2012</v>
      </c>
      <c r="E1028" t="s">
        <v>38</v>
      </c>
      <c r="F1028" t="s">
        <v>143</v>
      </c>
      <c r="G1028" t="s">
        <v>10</v>
      </c>
      <c r="H1028" s="72" t="s">
        <v>218</v>
      </c>
      <c r="I1028" s="72" t="s">
        <v>60</v>
      </c>
      <c r="J1028" t="str">
        <f t="shared" si="36"/>
        <v>Skagit River</v>
      </c>
      <c r="K1028" t="str">
        <f>IFERROR(VLOOKUP(J1028,LUTs!$A$1:$C$73,2,FALSE),"NA")</f>
        <v>Skagit/Whatcom</v>
      </c>
      <c r="L1028" t="str">
        <f>IFERROR(VLOOKUP(J1028,LUTs!$A$1:$C$73,3,FALSE),"NA")</f>
        <v>2Central Puget Sound</v>
      </c>
      <c r="M1028" s="72" t="s">
        <v>15</v>
      </c>
      <c r="N1028" t="str">
        <f>VLOOKUP(M1028,LUTs!E$2:H$14,3,)</f>
        <v>02Skagit</v>
      </c>
      <c r="O1028" t="str">
        <f>VLOOKUP(M1028,LUTs!E$2:H$14,4,)</f>
        <v>01North Puget Sound</v>
      </c>
      <c r="P1028" s="73">
        <v>1164.6945812807901</v>
      </c>
      <c r="Q1028" s="74">
        <f>VLOOKUP(B1028,Readme!A$40:C$51,2,)*P1028</f>
        <v>10074.608128078835</v>
      </c>
    </row>
    <row r="1029" spans="1:17" ht="12" customHeight="1" x14ac:dyDescent="0.35">
      <c r="A1029" s="75">
        <v>1028</v>
      </c>
      <c r="B1029" s="64">
        <v>2012</v>
      </c>
      <c r="C1029" s="64">
        <v>9</v>
      </c>
      <c r="D1029" s="80">
        <f t="shared" si="35"/>
        <v>2012</v>
      </c>
      <c r="E1029" t="s">
        <v>38</v>
      </c>
      <c r="F1029" t="s">
        <v>143</v>
      </c>
      <c r="G1029" t="s">
        <v>10</v>
      </c>
      <c r="H1029" s="72" t="s">
        <v>218</v>
      </c>
      <c r="I1029" s="72" t="s">
        <v>60</v>
      </c>
      <c r="J1029" t="str">
        <f t="shared" si="36"/>
        <v>Skagit River</v>
      </c>
      <c r="K1029" t="str">
        <f>IFERROR(VLOOKUP(J1029,LUTs!$A$1:$C$73,2,FALSE),"NA")</f>
        <v>Skagit/Whatcom</v>
      </c>
      <c r="L1029" t="str">
        <f>IFERROR(VLOOKUP(J1029,LUTs!$A$1:$C$73,3,FALSE),"NA")</f>
        <v>2Central Puget Sound</v>
      </c>
      <c r="M1029" s="72" t="s">
        <v>16</v>
      </c>
      <c r="N1029" t="str">
        <f>VLOOKUP(M1029,LUTs!E$2:H$14,3,)</f>
        <v>03Snohomish</v>
      </c>
      <c r="O1029" t="str">
        <f>VLOOKUP(M1029,LUTs!E$2:H$14,4,)</f>
        <v>01North Puget Sound</v>
      </c>
      <c r="P1029" s="73">
        <v>197.778325123153</v>
      </c>
      <c r="Q1029" s="74">
        <f>VLOOKUP(B1029,Readme!A$40:C$51,2,)*P1029</f>
        <v>1710.7825123152734</v>
      </c>
    </row>
    <row r="1030" spans="1:17" ht="12" customHeight="1" x14ac:dyDescent="0.35">
      <c r="A1030" s="75">
        <v>1029</v>
      </c>
      <c r="B1030" s="64">
        <v>2012</v>
      </c>
      <c r="C1030" s="64">
        <v>9</v>
      </c>
      <c r="D1030" s="80">
        <f t="shared" si="35"/>
        <v>2012</v>
      </c>
      <c r="E1030" t="s">
        <v>38</v>
      </c>
      <c r="F1030" t="s">
        <v>143</v>
      </c>
      <c r="G1030" t="s">
        <v>10</v>
      </c>
      <c r="H1030" s="72" t="s">
        <v>218</v>
      </c>
      <c r="I1030" s="72" t="s">
        <v>60</v>
      </c>
      <c r="J1030" t="str">
        <f t="shared" si="36"/>
        <v>Skagit River</v>
      </c>
      <c r="K1030" t="str">
        <f>IFERROR(VLOOKUP(J1030,LUTs!$A$1:$C$73,2,FALSE),"NA")</f>
        <v>Skagit/Whatcom</v>
      </c>
      <c r="L1030" t="str">
        <f>IFERROR(VLOOKUP(J1030,LUTs!$A$1:$C$73,3,FALSE),"NA")</f>
        <v>2Central Puget Sound</v>
      </c>
      <c r="M1030" s="72" t="s">
        <v>13</v>
      </c>
      <c r="N1030" t="str">
        <f>VLOOKUP(M1030,LUTs!E$2:H$14,3,)</f>
        <v>01Whatcom</v>
      </c>
      <c r="O1030" t="str">
        <f>VLOOKUP(M1030,LUTs!E$2:H$14,4,)</f>
        <v>01North Puget Sound</v>
      </c>
      <c r="P1030" s="73">
        <v>43.950738916256199</v>
      </c>
      <c r="Q1030" s="74">
        <f>VLOOKUP(B1030,Readme!A$40:C$51,2,)*P1030</f>
        <v>380.17389162561614</v>
      </c>
    </row>
    <row r="1031" spans="1:17" ht="12" customHeight="1" x14ac:dyDescent="0.35">
      <c r="A1031" s="75">
        <v>1030</v>
      </c>
      <c r="B1031" s="64">
        <v>2012</v>
      </c>
      <c r="C1031" s="64">
        <v>10</v>
      </c>
      <c r="D1031" s="80">
        <f t="shared" si="35"/>
        <v>2012</v>
      </c>
      <c r="E1031" t="s">
        <v>38</v>
      </c>
      <c r="F1031" t="s">
        <v>143</v>
      </c>
      <c r="G1031" t="s">
        <v>10</v>
      </c>
      <c r="H1031" s="72" t="s">
        <v>218</v>
      </c>
      <c r="I1031" s="72" t="s">
        <v>60</v>
      </c>
      <c r="J1031" t="str">
        <f t="shared" si="36"/>
        <v>Skagit River</v>
      </c>
      <c r="K1031" t="str">
        <f>IFERROR(VLOOKUP(J1031,LUTs!$A$1:$C$73,2,FALSE),"NA")</f>
        <v>Skagit/Whatcom</v>
      </c>
      <c r="L1031" t="str">
        <f>IFERROR(VLOOKUP(J1031,LUTs!$A$1:$C$73,3,FALSE),"NA")</f>
        <v>2Central Puget Sound</v>
      </c>
      <c r="M1031" s="72" t="s">
        <v>17</v>
      </c>
      <c r="N1031" t="str">
        <f>VLOOKUP(M1031,LUTs!E$2:H$14,3,)</f>
        <v>04Island</v>
      </c>
      <c r="O1031" t="str">
        <f>VLOOKUP(M1031,LUTs!E$2:H$14,4,)</f>
        <v>01North Puget Sound</v>
      </c>
      <c r="P1031" s="73">
        <v>29.2953367875648</v>
      </c>
      <c r="Q1031" s="74">
        <f>VLOOKUP(B1031,Readme!A$40:C$51,2,)*P1031</f>
        <v>253.40466321243554</v>
      </c>
    </row>
    <row r="1032" spans="1:17" ht="12" customHeight="1" x14ac:dyDescent="0.35">
      <c r="A1032" s="75">
        <v>1031</v>
      </c>
      <c r="B1032" s="64">
        <v>2012</v>
      </c>
      <c r="C1032" s="64">
        <v>10</v>
      </c>
      <c r="D1032" s="80">
        <f t="shared" si="35"/>
        <v>2012</v>
      </c>
      <c r="E1032" t="s">
        <v>38</v>
      </c>
      <c r="F1032" t="s">
        <v>143</v>
      </c>
      <c r="G1032" t="s">
        <v>10</v>
      </c>
      <c r="H1032" s="72" t="s">
        <v>218</v>
      </c>
      <c r="I1032" s="72" t="s">
        <v>60</v>
      </c>
      <c r="J1032" t="str">
        <f t="shared" si="36"/>
        <v>Skagit River</v>
      </c>
      <c r="K1032" t="str">
        <f>IFERROR(VLOOKUP(J1032,LUTs!$A$1:$C$73,2,FALSE),"NA")</f>
        <v>Skagit/Whatcom</v>
      </c>
      <c r="L1032" t="str">
        <f>IFERROR(VLOOKUP(J1032,LUTs!$A$1:$C$73,3,FALSE),"NA")</f>
        <v>2Central Puget Sound</v>
      </c>
      <c r="M1032" s="72" t="s">
        <v>18</v>
      </c>
      <c r="N1032" t="str">
        <f>VLOOKUP(M1032,LUTs!E$2:H$14,3,)</f>
        <v>06King</v>
      </c>
      <c r="O1032" t="str">
        <f>VLOOKUP(M1032,LUTs!E$2:H$14,4,)</f>
        <v>02South Puget Sound</v>
      </c>
      <c r="P1032" s="73">
        <v>65.914507772020698</v>
      </c>
      <c r="Q1032" s="74">
        <f>VLOOKUP(B1032,Readme!A$40:C$51,2,)*P1032</f>
        <v>570.16049222797903</v>
      </c>
    </row>
    <row r="1033" spans="1:17" ht="12" customHeight="1" x14ac:dyDescent="0.35">
      <c r="A1033" s="75">
        <v>1032</v>
      </c>
      <c r="B1033" s="64">
        <v>2012</v>
      </c>
      <c r="C1033" s="64">
        <v>10</v>
      </c>
      <c r="D1033" s="80">
        <f t="shared" si="35"/>
        <v>2012</v>
      </c>
      <c r="E1033" t="s">
        <v>38</v>
      </c>
      <c r="F1033" t="s">
        <v>143</v>
      </c>
      <c r="G1033" t="s">
        <v>10</v>
      </c>
      <c r="H1033" s="72" t="s">
        <v>218</v>
      </c>
      <c r="I1033" s="72" t="s">
        <v>60</v>
      </c>
      <c r="J1033" t="str">
        <f t="shared" si="36"/>
        <v>Skagit River</v>
      </c>
      <c r="K1033" t="str">
        <f>IFERROR(VLOOKUP(J1033,LUTs!$A$1:$C$73,2,FALSE),"NA")</f>
        <v>Skagit/Whatcom</v>
      </c>
      <c r="L1033" t="str">
        <f>IFERROR(VLOOKUP(J1033,LUTs!$A$1:$C$73,3,FALSE),"NA")</f>
        <v>2Central Puget Sound</v>
      </c>
      <c r="M1033" s="72" t="s">
        <v>23</v>
      </c>
      <c r="N1033" t="str">
        <f>VLOOKUP(M1033,LUTs!E$2:H$14,3,)</f>
        <v>10Kitsap</v>
      </c>
      <c r="O1033" t="str">
        <f>VLOOKUP(M1033,LUTs!E$2:H$14,4,)</f>
        <v>02South Puget Sound</v>
      </c>
      <c r="P1033" s="73">
        <v>58.5906735751295</v>
      </c>
      <c r="Q1033" s="74">
        <f>VLOOKUP(B1033,Readme!A$40:C$51,2,)*P1033</f>
        <v>506.80932642487022</v>
      </c>
    </row>
    <row r="1034" spans="1:17" ht="12" customHeight="1" x14ac:dyDescent="0.35">
      <c r="A1034" s="75">
        <v>1033</v>
      </c>
      <c r="B1034" s="64">
        <v>2012</v>
      </c>
      <c r="C1034" s="64">
        <v>10</v>
      </c>
      <c r="D1034" s="80">
        <f t="shared" si="35"/>
        <v>2012</v>
      </c>
      <c r="E1034" t="s">
        <v>38</v>
      </c>
      <c r="F1034" t="s">
        <v>143</v>
      </c>
      <c r="G1034" t="s">
        <v>10</v>
      </c>
      <c r="H1034" s="72" t="s">
        <v>218</v>
      </c>
      <c r="I1034" s="72" t="s">
        <v>60</v>
      </c>
      <c r="J1034" t="str">
        <f t="shared" si="36"/>
        <v>Skagit River</v>
      </c>
      <c r="K1034" t="str">
        <f>IFERROR(VLOOKUP(J1034,LUTs!$A$1:$C$73,2,FALSE),"NA")</f>
        <v>Skagit/Whatcom</v>
      </c>
      <c r="L1034" t="str">
        <f>IFERROR(VLOOKUP(J1034,LUTs!$A$1:$C$73,3,FALSE),"NA")</f>
        <v>2Central Puget Sound</v>
      </c>
      <c r="M1034" s="72" t="s">
        <v>26</v>
      </c>
      <c r="N1034" t="str">
        <f>VLOOKUP(M1034,LUTs!E$2:H$14,3,)</f>
        <v>20Other</v>
      </c>
      <c r="O1034" t="str">
        <f>VLOOKUP(M1034,LUTs!E$2:H$14,4,)</f>
        <v>07Non Puget Sound</v>
      </c>
      <c r="P1034" s="73">
        <v>124.50518134715</v>
      </c>
      <c r="Q1034" s="74">
        <f>VLOOKUP(B1034,Readme!A$40:C$51,2,)*P1034</f>
        <v>1076.9698186528476</v>
      </c>
    </row>
    <row r="1035" spans="1:17" ht="12" customHeight="1" x14ac:dyDescent="0.35">
      <c r="A1035" s="75">
        <v>1034</v>
      </c>
      <c r="B1035" s="64">
        <v>2012</v>
      </c>
      <c r="C1035" s="64">
        <v>10</v>
      </c>
      <c r="D1035" s="80">
        <f t="shared" si="35"/>
        <v>2012</v>
      </c>
      <c r="E1035" t="s">
        <v>38</v>
      </c>
      <c r="F1035" t="s">
        <v>143</v>
      </c>
      <c r="G1035" t="s">
        <v>10</v>
      </c>
      <c r="H1035" s="72" t="s">
        <v>218</v>
      </c>
      <c r="I1035" s="72" t="s">
        <v>60</v>
      </c>
      <c r="J1035" t="str">
        <f t="shared" si="36"/>
        <v>Skagit River</v>
      </c>
      <c r="K1035" t="str">
        <f>IFERROR(VLOOKUP(J1035,LUTs!$A$1:$C$73,2,FALSE),"NA")</f>
        <v>Skagit/Whatcom</v>
      </c>
      <c r="L1035" t="str">
        <f>IFERROR(VLOOKUP(J1035,LUTs!$A$1:$C$73,3,FALSE),"NA")</f>
        <v>2Central Puget Sound</v>
      </c>
      <c r="M1035" s="72" t="s">
        <v>20</v>
      </c>
      <c r="N1035" t="str">
        <f>VLOOKUP(M1035,LUTs!E$2:H$14,3,)</f>
        <v>07Pierce</v>
      </c>
      <c r="O1035" t="str">
        <f>VLOOKUP(M1035,LUTs!E$2:H$14,4,)</f>
        <v>02South Puget Sound</v>
      </c>
      <c r="P1035" s="73">
        <v>21.971502590673602</v>
      </c>
      <c r="Q1035" s="74">
        <f>VLOOKUP(B1035,Readme!A$40:C$51,2,)*P1035</f>
        <v>190.05349740932667</v>
      </c>
    </row>
    <row r="1036" spans="1:17" ht="12" customHeight="1" x14ac:dyDescent="0.35">
      <c r="A1036" s="75">
        <v>1035</v>
      </c>
      <c r="B1036" s="64">
        <v>2012</v>
      </c>
      <c r="C1036" s="64">
        <v>10</v>
      </c>
      <c r="D1036" s="80">
        <f t="shared" si="35"/>
        <v>2012</v>
      </c>
      <c r="E1036" t="s">
        <v>38</v>
      </c>
      <c r="F1036" t="s">
        <v>143</v>
      </c>
      <c r="G1036" t="s">
        <v>10</v>
      </c>
      <c r="H1036" s="72" t="s">
        <v>218</v>
      </c>
      <c r="I1036" s="72" t="s">
        <v>60</v>
      </c>
      <c r="J1036" t="str">
        <f t="shared" si="36"/>
        <v>Skagit River</v>
      </c>
      <c r="K1036" t="str">
        <f>IFERROR(VLOOKUP(J1036,LUTs!$A$1:$C$73,2,FALSE),"NA")</f>
        <v>Skagit/Whatcom</v>
      </c>
      <c r="L1036" t="str">
        <f>IFERROR(VLOOKUP(J1036,LUTs!$A$1:$C$73,3,FALSE),"NA")</f>
        <v>2Central Puget Sound</v>
      </c>
      <c r="M1036" s="72" t="s">
        <v>30</v>
      </c>
      <c r="N1036" t="str">
        <f>VLOOKUP(M1036,LUTs!E$2:H$14,3,)</f>
        <v>05San Juan</v>
      </c>
      <c r="O1036" t="str">
        <f>VLOOKUP(M1036,LUTs!E$2:H$14,4,)</f>
        <v>01North Puget Sound</v>
      </c>
      <c r="P1036" s="73">
        <v>14.6476683937824</v>
      </c>
      <c r="Q1036" s="74">
        <f>VLOOKUP(B1036,Readme!A$40:C$51,2,)*P1036</f>
        <v>126.70233160621777</v>
      </c>
    </row>
    <row r="1037" spans="1:17" ht="12" customHeight="1" x14ac:dyDescent="0.35">
      <c r="A1037" s="75">
        <v>1036</v>
      </c>
      <c r="B1037" s="64">
        <v>2012</v>
      </c>
      <c r="C1037" s="64">
        <v>10</v>
      </c>
      <c r="D1037" s="80">
        <f t="shared" si="35"/>
        <v>2012</v>
      </c>
      <c r="E1037" t="s">
        <v>38</v>
      </c>
      <c r="F1037" t="s">
        <v>143</v>
      </c>
      <c r="G1037" t="s">
        <v>10</v>
      </c>
      <c r="H1037" s="72" t="s">
        <v>218</v>
      </c>
      <c r="I1037" s="72" t="s">
        <v>60</v>
      </c>
      <c r="J1037" t="str">
        <f t="shared" si="36"/>
        <v>Skagit River</v>
      </c>
      <c r="K1037" t="str">
        <f>IFERROR(VLOOKUP(J1037,LUTs!$A$1:$C$73,2,FALSE),"NA")</f>
        <v>Skagit/Whatcom</v>
      </c>
      <c r="L1037" t="str">
        <f>IFERROR(VLOOKUP(J1037,LUTs!$A$1:$C$73,3,FALSE),"NA")</f>
        <v>2Central Puget Sound</v>
      </c>
      <c r="M1037" s="72" t="s">
        <v>15</v>
      </c>
      <c r="N1037" t="str">
        <f>VLOOKUP(M1037,LUTs!E$2:H$14,3,)</f>
        <v>02Skagit</v>
      </c>
      <c r="O1037" t="str">
        <f>VLOOKUP(M1037,LUTs!E$2:H$14,4,)</f>
        <v>01North Puget Sound</v>
      </c>
      <c r="P1037" s="73">
        <v>2101.9404145077701</v>
      </c>
      <c r="Q1037" s="74">
        <f>VLOOKUP(B1037,Readme!A$40:C$51,2,)*P1037</f>
        <v>18181.784585492212</v>
      </c>
    </row>
    <row r="1038" spans="1:17" ht="12" customHeight="1" x14ac:dyDescent="0.35">
      <c r="A1038" s="75">
        <v>1037</v>
      </c>
      <c r="B1038" s="64">
        <v>2012</v>
      </c>
      <c r="C1038" s="64">
        <v>10</v>
      </c>
      <c r="D1038" s="80">
        <f t="shared" si="35"/>
        <v>2012</v>
      </c>
      <c r="E1038" t="s">
        <v>38</v>
      </c>
      <c r="F1038" t="s">
        <v>143</v>
      </c>
      <c r="G1038" t="s">
        <v>10</v>
      </c>
      <c r="H1038" s="72" t="s">
        <v>218</v>
      </c>
      <c r="I1038" s="72" t="s">
        <v>60</v>
      </c>
      <c r="J1038" t="str">
        <f t="shared" si="36"/>
        <v>Skagit River</v>
      </c>
      <c r="K1038" t="str">
        <f>IFERROR(VLOOKUP(J1038,LUTs!$A$1:$C$73,2,FALSE),"NA")</f>
        <v>Skagit/Whatcom</v>
      </c>
      <c r="L1038" t="str">
        <f>IFERROR(VLOOKUP(J1038,LUTs!$A$1:$C$73,3,FALSE),"NA")</f>
        <v>2Central Puget Sound</v>
      </c>
      <c r="M1038" s="72" t="s">
        <v>16</v>
      </c>
      <c r="N1038" t="str">
        <f>VLOOKUP(M1038,LUTs!E$2:H$14,3,)</f>
        <v>03Snohomish</v>
      </c>
      <c r="O1038" t="str">
        <f>VLOOKUP(M1038,LUTs!E$2:H$14,4,)</f>
        <v>01North Puget Sound</v>
      </c>
      <c r="P1038" s="73">
        <v>219.715025906736</v>
      </c>
      <c r="Q1038" s="74">
        <f>VLOOKUP(B1038,Readme!A$40:C$51,2,)*P1038</f>
        <v>1900.5349740932666</v>
      </c>
    </row>
    <row r="1039" spans="1:17" ht="12" customHeight="1" x14ac:dyDescent="0.35">
      <c r="A1039" s="75">
        <v>1038</v>
      </c>
      <c r="B1039" s="64">
        <v>2012</v>
      </c>
      <c r="C1039" s="64">
        <v>10</v>
      </c>
      <c r="D1039" s="80">
        <f t="shared" si="35"/>
        <v>2012</v>
      </c>
      <c r="E1039" t="s">
        <v>38</v>
      </c>
      <c r="F1039" t="s">
        <v>143</v>
      </c>
      <c r="G1039" t="s">
        <v>10</v>
      </c>
      <c r="H1039" s="72" t="s">
        <v>218</v>
      </c>
      <c r="I1039" s="72" t="s">
        <v>60</v>
      </c>
      <c r="J1039" t="str">
        <f t="shared" si="36"/>
        <v>Skagit River</v>
      </c>
      <c r="K1039" t="str">
        <f>IFERROR(VLOOKUP(J1039,LUTs!$A$1:$C$73,2,FALSE),"NA")</f>
        <v>Skagit/Whatcom</v>
      </c>
      <c r="L1039" t="str">
        <f>IFERROR(VLOOKUP(J1039,LUTs!$A$1:$C$73,3,FALSE),"NA")</f>
        <v>2Central Puget Sound</v>
      </c>
      <c r="M1039" s="72" t="s">
        <v>13</v>
      </c>
      <c r="N1039" t="str">
        <f>VLOOKUP(M1039,LUTs!E$2:H$14,3,)</f>
        <v>01Whatcom</v>
      </c>
      <c r="O1039" t="str">
        <f>VLOOKUP(M1039,LUTs!E$2:H$14,4,)</f>
        <v>01North Puget Sound</v>
      </c>
      <c r="P1039" s="73">
        <v>190.41968911917101</v>
      </c>
      <c r="Q1039" s="74">
        <f>VLOOKUP(B1039,Readme!A$40:C$51,2,)*P1039</f>
        <v>1647.1303108808293</v>
      </c>
    </row>
    <row r="1040" spans="1:17" ht="12" customHeight="1" x14ac:dyDescent="0.35">
      <c r="A1040" s="75">
        <v>1039</v>
      </c>
      <c r="B1040" s="64">
        <v>2012</v>
      </c>
      <c r="C1040" s="64">
        <v>11</v>
      </c>
      <c r="D1040" s="80">
        <f t="shared" si="35"/>
        <v>2012</v>
      </c>
      <c r="E1040" t="s">
        <v>38</v>
      </c>
      <c r="F1040" t="s">
        <v>143</v>
      </c>
      <c r="G1040" t="s">
        <v>10</v>
      </c>
      <c r="H1040" s="72" t="s">
        <v>218</v>
      </c>
      <c r="I1040" s="72" t="s">
        <v>60</v>
      </c>
      <c r="J1040" t="str">
        <f t="shared" si="36"/>
        <v>Skagit River</v>
      </c>
      <c r="K1040" t="str">
        <f>IFERROR(VLOOKUP(J1040,LUTs!$A$1:$C$73,2,FALSE),"NA")</f>
        <v>Skagit/Whatcom</v>
      </c>
      <c r="L1040" t="str">
        <f>IFERROR(VLOOKUP(J1040,LUTs!$A$1:$C$73,3,FALSE),"NA")</f>
        <v>2Central Puget Sound</v>
      </c>
      <c r="M1040" s="72" t="s">
        <v>17</v>
      </c>
      <c r="N1040" t="str">
        <f>VLOOKUP(M1040,LUTs!E$2:H$14,3,)</f>
        <v>04Island</v>
      </c>
      <c r="O1040" t="str">
        <f>VLOOKUP(M1040,LUTs!E$2:H$14,4,)</f>
        <v>01North Puget Sound</v>
      </c>
      <c r="P1040" s="73">
        <v>7.3278688524590203</v>
      </c>
      <c r="Q1040" s="74">
        <f>VLOOKUP(B1040,Readme!A$40:C$51,2,)*P1040</f>
        <v>63.38606557377053</v>
      </c>
    </row>
    <row r="1041" spans="1:17" ht="12" customHeight="1" x14ac:dyDescent="0.35">
      <c r="A1041" s="75">
        <v>1040</v>
      </c>
      <c r="B1041" s="64">
        <v>2012</v>
      </c>
      <c r="C1041" s="64">
        <v>11</v>
      </c>
      <c r="D1041" s="80">
        <f t="shared" si="35"/>
        <v>2012</v>
      </c>
      <c r="E1041" t="s">
        <v>38</v>
      </c>
      <c r="F1041" t="s">
        <v>143</v>
      </c>
      <c r="G1041" t="s">
        <v>10</v>
      </c>
      <c r="H1041" s="72" t="s">
        <v>218</v>
      </c>
      <c r="I1041" s="72" t="s">
        <v>60</v>
      </c>
      <c r="J1041" t="str">
        <f t="shared" si="36"/>
        <v>Skagit River</v>
      </c>
      <c r="K1041" t="str">
        <f>IFERROR(VLOOKUP(J1041,LUTs!$A$1:$C$73,2,FALSE),"NA")</f>
        <v>Skagit/Whatcom</v>
      </c>
      <c r="L1041" t="str">
        <f>IFERROR(VLOOKUP(J1041,LUTs!$A$1:$C$73,3,FALSE),"NA")</f>
        <v>2Central Puget Sound</v>
      </c>
      <c r="M1041" s="72" t="s">
        <v>18</v>
      </c>
      <c r="N1041" t="str">
        <f>VLOOKUP(M1041,LUTs!E$2:H$14,3,)</f>
        <v>06King</v>
      </c>
      <c r="O1041" t="str">
        <f>VLOOKUP(M1041,LUTs!E$2:H$14,4,)</f>
        <v>02South Puget Sound</v>
      </c>
      <c r="P1041" s="73">
        <v>21.983606557377101</v>
      </c>
      <c r="Q1041" s="74">
        <f>VLOOKUP(B1041,Readme!A$40:C$51,2,)*P1041</f>
        <v>190.15819672131192</v>
      </c>
    </row>
    <row r="1042" spans="1:17" ht="12" customHeight="1" x14ac:dyDescent="0.35">
      <c r="A1042" s="75">
        <v>1041</v>
      </c>
      <c r="B1042" s="64">
        <v>2012</v>
      </c>
      <c r="C1042" s="64">
        <v>11</v>
      </c>
      <c r="D1042" s="80">
        <f t="shared" si="35"/>
        <v>2012</v>
      </c>
      <c r="E1042" t="s">
        <v>38</v>
      </c>
      <c r="F1042" t="s">
        <v>143</v>
      </c>
      <c r="G1042" t="s">
        <v>10</v>
      </c>
      <c r="H1042" s="72" t="s">
        <v>218</v>
      </c>
      <c r="I1042" s="72" t="s">
        <v>60</v>
      </c>
      <c r="J1042" t="str">
        <f t="shared" si="36"/>
        <v>Skagit River</v>
      </c>
      <c r="K1042" t="str">
        <f>IFERROR(VLOOKUP(J1042,LUTs!$A$1:$C$73,2,FALSE),"NA")</f>
        <v>Skagit/Whatcom</v>
      </c>
      <c r="L1042" t="str">
        <f>IFERROR(VLOOKUP(J1042,LUTs!$A$1:$C$73,3,FALSE),"NA")</f>
        <v>2Central Puget Sound</v>
      </c>
      <c r="M1042" s="72" t="s">
        <v>26</v>
      </c>
      <c r="N1042" t="str">
        <f>VLOOKUP(M1042,LUTs!E$2:H$14,3,)</f>
        <v>20Other</v>
      </c>
      <c r="O1042" t="str">
        <f>VLOOKUP(M1042,LUTs!E$2:H$14,4,)</f>
        <v>07Non Puget Sound</v>
      </c>
      <c r="P1042" s="73">
        <v>7.3278688524590203</v>
      </c>
      <c r="Q1042" s="74">
        <f>VLOOKUP(B1042,Readme!A$40:C$51,2,)*P1042</f>
        <v>63.38606557377053</v>
      </c>
    </row>
    <row r="1043" spans="1:17" ht="12" customHeight="1" x14ac:dyDescent="0.35">
      <c r="A1043" s="75">
        <v>1042</v>
      </c>
      <c r="B1043" s="64">
        <v>2012</v>
      </c>
      <c r="C1043" s="64">
        <v>11</v>
      </c>
      <c r="D1043" s="80">
        <f t="shared" si="35"/>
        <v>2012</v>
      </c>
      <c r="E1043" t="s">
        <v>38</v>
      </c>
      <c r="F1043" t="s">
        <v>143</v>
      </c>
      <c r="G1043" t="s">
        <v>10</v>
      </c>
      <c r="H1043" s="72" t="s">
        <v>218</v>
      </c>
      <c r="I1043" s="72" t="s">
        <v>60</v>
      </c>
      <c r="J1043" t="str">
        <f t="shared" si="36"/>
        <v>Skagit River</v>
      </c>
      <c r="K1043" t="str">
        <f>IFERROR(VLOOKUP(J1043,LUTs!$A$1:$C$73,2,FALSE),"NA")</f>
        <v>Skagit/Whatcom</v>
      </c>
      <c r="L1043" t="str">
        <f>IFERROR(VLOOKUP(J1043,LUTs!$A$1:$C$73,3,FALSE),"NA")</f>
        <v>2Central Puget Sound</v>
      </c>
      <c r="M1043" s="72" t="s">
        <v>15</v>
      </c>
      <c r="N1043" t="str">
        <f>VLOOKUP(M1043,LUTs!E$2:H$14,3,)</f>
        <v>02Skagit</v>
      </c>
      <c r="O1043" t="str">
        <f>VLOOKUP(M1043,LUTs!E$2:H$14,4,)</f>
        <v>01North Puget Sound</v>
      </c>
      <c r="P1043" s="73">
        <v>256.47540983606598</v>
      </c>
      <c r="Q1043" s="74">
        <f>VLOOKUP(B1043,Readme!A$40:C$51,2,)*P1043</f>
        <v>2218.5122950819709</v>
      </c>
    </row>
    <row r="1044" spans="1:17" ht="12" customHeight="1" x14ac:dyDescent="0.35">
      <c r="A1044" s="75">
        <v>1043</v>
      </c>
      <c r="B1044" s="64">
        <v>2012</v>
      </c>
      <c r="C1044" s="64">
        <v>11</v>
      </c>
      <c r="D1044" s="80">
        <f t="shared" si="35"/>
        <v>2012</v>
      </c>
      <c r="E1044" t="s">
        <v>38</v>
      </c>
      <c r="F1044" t="s">
        <v>143</v>
      </c>
      <c r="G1044" t="s">
        <v>10</v>
      </c>
      <c r="H1044" s="72" t="s">
        <v>218</v>
      </c>
      <c r="I1044" s="72" t="s">
        <v>60</v>
      </c>
      <c r="J1044" t="str">
        <f t="shared" si="36"/>
        <v>Skagit River</v>
      </c>
      <c r="K1044" t="str">
        <f>IFERROR(VLOOKUP(J1044,LUTs!$A$1:$C$73,2,FALSE),"NA")</f>
        <v>Skagit/Whatcom</v>
      </c>
      <c r="L1044" t="str">
        <f>IFERROR(VLOOKUP(J1044,LUTs!$A$1:$C$73,3,FALSE),"NA")</f>
        <v>2Central Puget Sound</v>
      </c>
      <c r="M1044" s="72" t="s">
        <v>16</v>
      </c>
      <c r="N1044" t="str">
        <f>VLOOKUP(M1044,LUTs!E$2:H$14,3,)</f>
        <v>03Snohomish</v>
      </c>
      <c r="O1044" t="str">
        <f>VLOOKUP(M1044,LUTs!E$2:H$14,4,)</f>
        <v>01North Puget Sound</v>
      </c>
      <c r="P1044" s="73">
        <v>43.967213114754102</v>
      </c>
      <c r="Q1044" s="74">
        <f>VLOOKUP(B1044,Readme!A$40:C$51,2,)*P1044</f>
        <v>380.316393442623</v>
      </c>
    </row>
    <row r="1045" spans="1:17" ht="12" customHeight="1" x14ac:dyDescent="0.35">
      <c r="A1045" s="75">
        <v>1044</v>
      </c>
      <c r="B1045" s="64">
        <v>2012</v>
      </c>
      <c r="C1045" s="64">
        <v>11</v>
      </c>
      <c r="D1045" s="80">
        <f t="shared" si="35"/>
        <v>2012</v>
      </c>
      <c r="E1045" t="s">
        <v>38</v>
      </c>
      <c r="F1045" t="s">
        <v>143</v>
      </c>
      <c r="G1045" t="s">
        <v>10</v>
      </c>
      <c r="H1045" s="72" t="s">
        <v>218</v>
      </c>
      <c r="I1045" s="72" t="s">
        <v>60</v>
      </c>
      <c r="J1045" t="str">
        <f t="shared" si="36"/>
        <v>Skagit River</v>
      </c>
      <c r="K1045" t="str">
        <f>IFERROR(VLOOKUP(J1045,LUTs!$A$1:$C$73,2,FALSE),"NA")</f>
        <v>Skagit/Whatcom</v>
      </c>
      <c r="L1045" t="str">
        <f>IFERROR(VLOOKUP(J1045,LUTs!$A$1:$C$73,3,FALSE),"NA")</f>
        <v>2Central Puget Sound</v>
      </c>
      <c r="M1045" s="72" t="s">
        <v>13</v>
      </c>
      <c r="N1045" t="str">
        <f>VLOOKUP(M1045,LUTs!E$2:H$14,3,)</f>
        <v>01Whatcom</v>
      </c>
      <c r="O1045" t="str">
        <f>VLOOKUP(M1045,LUTs!E$2:H$14,4,)</f>
        <v>01North Puget Sound</v>
      </c>
      <c r="P1045" s="73">
        <v>109.91803278688499</v>
      </c>
      <c r="Q1045" s="74">
        <f>VLOOKUP(B1045,Readme!A$40:C$51,2,)*P1045</f>
        <v>950.79098360655519</v>
      </c>
    </row>
    <row r="1046" spans="1:17" ht="12" customHeight="1" x14ac:dyDescent="0.35">
      <c r="A1046" s="75">
        <v>1045</v>
      </c>
      <c r="B1046" s="64">
        <v>2012</v>
      </c>
      <c r="C1046" s="64">
        <v>12</v>
      </c>
      <c r="D1046" s="80">
        <f t="shared" si="35"/>
        <v>2012</v>
      </c>
      <c r="E1046" t="s">
        <v>38</v>
      </c>
      <c r="F1046" t="s">
        <v>143</v>
      </c>
      <c r="G1046" t="s">
        <v>10</v>
      </c>
      <c r="H1046" s="72" t="s">
        <v>218</v>
      </c>
      <c r="I1046" s="72" t="s">
        <v>60</v>
      </c>
      <c r="J1046" t="str">
        <f t="shared" si="36"/>
        <v>Skagit River</v>
      </c>
      <c r="K1046" t="str">
        <f>IFERROR(VLOOKUP(J1046,LUTs!$A$1:$C$73,2,FALSE),"NA")</f>
        <v>Skagit/Whatcom</v>
      </c>
      <c r="L1046" t="str">
        <f>IFERROR(VLOOKUP(J1046,LUTs!$A$1:$C$73,3,FALSE),"NA")</f>
        <v>2Central Puget Sound</v>
      </c>
      <c r="M1046" s="72" t="s">
        <v>15</v>
      </c>
      <c r="N1046" t="str">
        <f>VLOOKUP(M1046,LUTs!E$2:H$14,3,)</f>
        <v>02Skagit</v>
      </c>
      <c r="O1046" t="str">
        <f>VLOOKUP(M1046,LUTs!E$2:H$14,4,)</f>
        <v>01North Puget Sound</v>
      </c>
      <c r="P1046" s="73">
        <v>36.6666666666667</v>
      </c>
      <c r="Q1046" s="74">
        <f>VLOOKUP(B1046,Readme!A$40:C$51,2,)*P1046</f>
        <v>317.16666666666697</v>
      </c>
    </row>
    <row r="1047" spans="1:17" ht="12" customHeight="1" x14ac:dyDescent="0.35">
      <c r="A1047" s="75">
        <v>1046</v>
      </c>
      <c r="B1047" s="64">
        <v>2012</v>
      </c>
      <c r="C1047" s="64">
        <v>12</v>
      </c>
      <c r="D1047" s="80">
        <f t="shared" si="35"/>
        <v>2012</v>
      </c>
      <c r="E1047" t="s">
        <v>38</v>
      </c>
      <c r="F1047" t="s">
        <v>143</v>
      </c>
      <c r="G1047" t="s">
        <v>10</v>
      </c>
      <c r="H1047" s="72" t="s">
        <v>218</v>
      </c>
      <c r="I1047" s="72" t="s">
        <v>60</v>
      </c>
      <c r="J1047" t="str">
        <f t="shared" si="36"/>
        <v>Skagit River</v>
      </c>
      <c r="K1047" t="str">
        <f>IFERROR(VLOOKUP(J1047,LUTs!$A$1:$C$73,2,FALSE),"NA")</f>
        <v>Skagit/Whatcom</v>
      </c>
      <c r="L1047" t="str">
        <f>IFERROR(VLOOKUP(J1047,LUTs!$A$1:$C$73,3,FALSE),"NA")</f>
        <v>2Central Puget Sound</v>
      </c>
      <c r="M1047" s="72" t="s">
        <v>16</v>
      </c>
      <c r="N1047" t="str">
        <f>VLOOKUP(M1047,LUTs!E$2:H$14,3,)</f>
        <v>03Snohomish</v>
      </c>
      <c r="O1047" t="str">
        <f>VLOOKUP(M1047,LUTs!E$2:H$14,4,)</f>
        <v>01North Puget Sound</v>
      </c>
      <c r="P1047" s="73">
        <v>7.3333333333333401</v>
      </c>
      <c r="Q1047" s="74">
        <f>VLOOKUP(B1047,Readme!A$40:C$51,2,)*P1047</f>
        <v>63.433333333333394</v>
      </c>
    </row>
    <row r="1048" spans="1:17" ht="12" customHeight="1" x14ac:dyDescent="0.35">
      <c r="A1048" s="75">
        <v>1047</v>
      </c>
      <c r="B1048" s="64">
        <v>2012</v>
      </c>
      <c r="C1048" s="64">
        <v>8</v>
      </c>
      <c r="D1048" s="80">
        <f t="shared" si="35"/>
        <v>2012</v>
      </c>
      <c r="E1048" t="s">
        <v>38</v>
      </c>
      <c r="F1048" t="s">
        <v>143</v>
      </c>
      <c r="G1048" t="s">
        <v>10</v>
      </c>
      <c r="H1048" s="72" t="s">
        <v>219</v>
      </c>
      <c r="I1048" s="72" t="s">
        <v>61</v>
      </c>
      <c r="J1048" t="str">
        <f t="shared" si="36"/>
        <v>Skokomish River</v>
      </c>
      <c r="K1048" t="str">
        <f>IFERROR(VLOOKUP(J1048,LUTs!$A$1:$C$73,2,FALSE),"NA")</f>
        <v>Mason</v>
      </c>
      <c r="L1048" t="str">
        <f>IFERROR(VLOOKUP(J1048,LUTs!$A$1:$C$73,3,FALSE),"NA")</f>
        <v>4 Hood Canal</v>
      </c>
      <c r="M1048" s="72" t="s">
        <v>17</v>
      </c>
      <c r="N1048" t="str">
        <f>VLOOKUP(M1048,LUTs!E$2:H$14,3,)</f>
        <v>04Island</v>
      </c>
      <c r="O1048" t="str">
        <f>VLOOKUP(M1048,LUTs!E$2:H$14,4,)</f>
        <v>01North Puget Sound</v>
      </c>
      <c r="P1048" s="73">
        <v>28.982097186700798</v>
      </c>
      <c r="Q1048" s="74">
        <f>VLOOKUP(B1048,Readme!A$40:C$51,2,)*P1048</f>
        <v>250.69514066496191</v>
      </c>
    </row>
    <row r="1049" spans="1:17" ht="12" customHeight="1" x14ac:dyDescent="0.35">
      <c r="A1049" s="75">
        <v>1048</v>
      </c>
      <c r="B1049" s="64">
        <v>2012</v>
      </c>
      <c r="C1049" s="64">
        <v>8</v>
      </c>
      <c r="D1049" s="80">
        <f t="shared" si="35"/>
        <v>2012</v>
      </c>
      <c r="E1049" t="s">
        <v>38</v>
      </c>
      <c r="F1049" t="s">
        <v>143</v>
      </c>
      <c r="G1049" t="s">
        <v>10</v>
      </c>
      <c r="H1049" s="72" t="s">
        <v>219</v>
      </c>
      <c r="I1049" s="72" t="s">
        <v>61</v>
      </c>
      <c r="J1049" t="str">
        <f t="shared" si="36"/>
        <v>Skokomish River</v>
      </c>
      <c r="K1049" t="str">
        <f>IFERROR(VLOOKUP(J1049,LUTs!$A$1:$C$73,2,FALSE),"NA")</f>
        <v>Mason</v>
      </c>
      <c r="L1049" t="str">
        <f>IFERROR(VLOOKUP(J1049,LUTs!$A$1:$C$73,3,FALSE),"NA")</f>
        <v>4 Hood Canal</v>
      </c>
      <c r="M1049" s="72" t="s">
        <v>25</v>
      </c>
      <c r="N1049" t="str">
        <f>VLOOKUP(M1049,LUTs!E$2:H$14,3,)</f>
        <v>12Jefferson</v>
      </c>
      <c r="O1049" t="str">
        <f>VLOOKUP(M1049,LUTs!E$2:H$14,4,)</f>
        <v>03Strait of Juan de Fuca</v>
      </c>
      <c r="P1049" s="73">
        <v>7.2455242966751898</v>
      </c>
      <c r="Q1049" s="74">
        <f>VLOOKUP(B1049,Readme!A$40:C$51,2,)*P1049</f>
        <v>62.673785166240393</v>
      </c>
    </row>
    <row r="1050" spans="1:17" ht="12" customHeight="1" x14ac:dyDescent="0.35">
      <c r="A1050" s="75">
        <v>1049</v>
      </c>
      <c r="B1050" s="64">
        <v>2012</v>
      </c>
      <c r="C1050" s="64">
        <v>8</v>
      </c>
      <c r="D1050" s="80">
        <f t="shared" si="35"/>
        <v>2012</v>
      </c>
      <c r="E1050" t="s">
        <v>38</v>
      </c>
      <c r="F1050" t="s">
        <v>143</v>
      </c>
      <c r="G1050" t="s">
        <v>10</v>
      </c>
      <c r="H1050" s="72" t="s">
        <v>219</v>
      </c>
      <c r="I1050" s="72" t="s">
        <v>61</v>
      </c>
      <c r="J1050" t="str">
        <f t="shared" si="36"/>
        <v>Skokomish River</v>
      </c>
      <c r="K1050" t="str">
        <f>IFERROR(VLOOKUP(J1050,LUTs!$A$1:$C$73,2,FALSE),"NA")</f>
        <v>Mason</v>
      </c>
      <c r="L1050" t="str">
        <f>IFERROR(VLOOKUP(J1050,LUTs!$A$1:$C$73,3,FALSE),"NA")</f>
        <v>4 Hood Canal</v>
      </c>
      <c r="M1050" s="72" t="s">
        <v>18</v>
      </c>
      <c r="N1050" t="str">
        <f>VLOOKUP(M1050,LUTs!E$2:H$14,3,)</f>
        <v>06King</v>
      </c>
      <c r="O1050" t="str">
        <f>VLOOKUP(M1050,LUTs!E$2:H$14,4,)</f>
        <v>02South Puget Sound</v>
      </c>
      <c r="P1050" s="73">
        <v>1282.45780051151</v>
      </c>
      <c r="Q1050" s="74">
        <f>VLOOKUP(B1050,Readme!A$40:C$51,2,)*P1050</f>
        <v>11093.259974424562</v>
      </c>
    </row>
    <row r="1051" spans="1:17" ht="12" customHeight="1" x14ac:dyDescent="0.35">
      <c r="A1051" s="75">
        <v>1050</v>
      </c>
      <c r="B1051" s="64">
        <v>2012</v>
      </c>
      <c r="C1051" s="64">
        <v>8</v>
      </c>
      <c r="D1051" s="80">
        <f t="shared" si="35"/>
        <v>2012</v>
      </c>
      <c r="E1051" t="s">
        <v>38</v>
      </c>
      <c r="F1051" t="s">
        <v>143</v>
      </c>
      <c r="G1051" t="s">
        <v>10</v>
      </c>
      <c r="H1051" s="72" t="s">
        <v>219</v>
      </c>
      <c r="I1051" s="72" t="s">
        <v>61</v>
      </c>
      <c r="J1051" t="str">
        <f t="shared" si="36"/>
        <v>Skokomish River</v>
      </c>
      <c r="K1051" t="str">
        <f>IFERROR(VLOOKUP(J1051,LUTs!$A$1:$C$73,2,FALSE),"NA")</f>
        <v>Mason</v>
      </c>
      <c r="L1051" t="str">
        <f>IFERROR(VLOOKUP(J1051,LUTs!$A$1:$C$73,3,FALSE),"NA")</f>
        <v>4 Hood Canal</v>
      </c>
      <c r="M1051" s="72" t="s">
        <v>23</v>
      </c>
      <c r="N1051" t="str">
        <f>VLOOKUP(M1051,LUTs!E$2:H$14,3,)</f>
        <v>10Kitsap</v>
      </c>
      <c r="O1051" t="str">
        <f>VLOOKUP(M1051,LUTs!E$2:H$14,4,)</f>
        <v>02South Puget Sound</v>
      </c>
      <c r="P1051" s="73">
        <v>427.48593350383601</v>
      </c>
      <c r="Q1051" s="74">
        <f>VLOOKUP(B1051,Readme!A$40:C$51,2,)*P1051</f>
        <v>3697.7533248081818</v>
      </c>
    </row>
    <row r="1052" spans="1:17" ht="12" customHeight="1" x14ac:dyDescent="0.35">
      <c r="A1052" s="75">
        <v>1051</v>
      </c>
      <c r="B1052" s="64">
        <v>2012</v>
      </c>
      <c r="C1052" s="64">
        <v>8</v>
      </c>
      <c r="D1052" s="80">
        <f t="shared" si="35"/>
        <v>2012</v>
      </c>
      <c r="E1052" t="s">
        <v>38</v>
      </c>
      <c r="F1052" t="s">
        <v>143</v>
      </c>
      <c r="G1052" t="s">
        <v>10</v>
      </c>
      <c r="H1052" s="72" t="s">
        <v>219</v>
      </c>
      <c r="I1052" s="72" t="s">
        <v>61</v>
      </c>
      <c r="J1052" t="str">
        <f t="shared" si="36"/>
        <v>Skokomish River</v>
      </c>
      <c r="K1052" t="str">
        <f>IFERROR(VLOOKUP(J1052,LUTs!$A$1:$C$73,2,FALSE),"NA")</f>
        <v>Mason</v>
      </c>
      <c r="L1052" t="str">
        <f>IFERROR(VLOOKUP(J1052,LUTs!$A$1:$C$73,3,FALSE),"NA")</f>
        <v>4 Hood Canal</v>
      </c>
      <c r="M1052" s="72" t="s">
        <v>22</v>
      </c>
      <c r="N1052" t="str">
        <f>VLOOKUP(M1052,LUTs!E$2:H$14,3,)</f>
        <v>09Mason</v>
      </c>
      <c r="O1052" t="str">
        <f>VLOOKUP(M1052,LUTs!E$2:H$14,4,)</f>
        <v>02South Puget Sound</v>
      </c>
      <c r="P1052" s="73">
        <v>630.36061381074205</v>
      </c>
      <c r="Q1052" s="74">
        <f>VLOOKUP(B1052,Readme!A$40:C$51,2,)*P1052</f>
        <v>5452.6193094629189</v>
      </c>
    </row>
    <row r="1053" spans="1:17" ht="12" customHeight="1" x14ac:dyDescent="0.35">
      <c r="A1053" s="75">
        <v>1052</v>
      </c>
      <c r="B1053" s="64">
        <v>2012</v>
      </c>
      <c r="C1053" s="64">
        <v>8</v>
      </c>
      <c r="D1053" s="80">
        <f t="shared" si="35"/>
        <v>2012</v>
      </c>
      <c r="E1053" t="s">
        <v>38</v>
      </c>
      <c r="F1053" t="s">
        <v>143</v>
      </c>
      <c r="G1053" t="s">
        <v>10</v>
      </c>
      <c r="H1053" s="72" t="s">
        <v>219</v>
      </c>
      <c r="I1053" s="72" t="s">
        <v>61</v>
      </c>
      <c r="J1053" t="str">
        <f t="shared" si="36"/>
        <v>Skokomish River</v>
      </c>
      <c r="K1053" t="str">
        <f>IFERROR(VLOOKUP(J1053,LUTs!$A$1:$C$73,2,FALSE),"NA")</f>
        <v>Mason</v>
      </c>
      <c r="L1053" t="str">
        <f>IFERROR(VLOOKUP(J1053,LUTs!$A$1:$C$73,3,FALSE),"NA")</f>
        <v>4 Hood Canal</v>
      </c>
      <c r="M1053" s="72" t="s">
        <v>26</v>
      </c>
      <c r="N1053" t="str">
        <f>VLOOKUP(M1053,LUTs!E$2:H$14,3,)</f>
        <v>20Other</v>
      </c>
      <c r="O1053" t="str">
        <f>VLOOKUP(M1053,LUTs!E$2:H$14,4,)</f>
        <v>07Non Puget Sound</v>
      </c>
      <c r="P1053" s="73">
        <v>586.88746803069102</v>
      </c>
      <c r="Q1053" s="74">
        <f>VLOOKUP(B1053,Readme!A$40:C$51,2,)*P1053</f>
        <v>5076.5765984654772</v>
      </c>
    </row>
    <row r="1054" spans="1:17" ht="12" customHeight="1" x14ac:dyDescent="0.35">
      <c r="A1054" s="75">
        <v>1053</v>
      </c>
      <c r="B1054" s="64">
        <v>2012</v>
      </c>
      <c r="C1054" s="64">
        <v>8</v>
      </c>
      <c r="D1054" s="80">
        <f t="shared" si="35"/>
        <v>2012</v>
      </c>
      <c r="E1054" t="s">
        <v>38</v>
      </c>
      <c r="F1054" t="s">
        <v>143</v>
      </c>
      <c r="G1054" t="s">
        <v>10</v>
      </c>
      <c r="H1054" s="72" t="s">
        <v>219</v>
      </c>
      <c r="I1054" s="72" t="s">
        <v>61</v>
      </c>
      <c r="J1054" t="str">
        <f t="shared" si="36"/>
        <v>Skokomish River</v>
      </c>
      <c r="K1054" t="str">
        <f>IFERROR(VLOOKUP(J1054,LUTs!$A$1:$C$73,2,FALSE),"NA")</f>
        <v>Mason</v>
      </c>
      <c r="L1054" t="str">
        <f>IFERROR(VLOOKUP(J1054,LUTs!$A$1:$C$73,3,FALSE),"NA")</f>
        <v>4 Hood Canal</v>
      </c>
      <c r="M1054" s="72" t="s">
        <v>20</v>
      </c>
      <c r="N1054" t="str">
        <f>VLOOKUP(M1054,LUTs!E$2:H$14,3,)</f>
        <v>07Pierce</v>
      </c>
      <c r="O1054" t="str">
        <f>VLOOKUP(M1054,LUTs!E$2:H$14,4,)</f>
        <v>02South Puget Sound</v>
      </c>
      <c r="P1054" s="73">
        <v>1717.18925831202</v>
      </c>
      <c r="Q1054" s="74">
        <f>VLOOKUP(B1054,Readme!A$40:C$51,2,)*P1054</f>
        <v>14853.687084398973</v>
      </c>
    </row>
    <row r="1055" spans="1:17" ht="12" customHeight="1" x14ac:dyDescent="0.35">
      <c r="A1055" s="75">
        <v>1054</v>
      </c>
      <c r="B1055" s="64">
        <v>2012</v>
      </c>
      <c r="C1055" s="64">
        <v>8</v>
      </c>
      <c r="D1055" s="80">
        <f t="shared" si="35"/>
        <v>2012</v>
      </c>
      <c r="E1055" t="s">
        <v>38</v>
      </c>
      <c r="F1055" t="s">
        <v>143</v>
      </c>
      <c r="G1055" t="s">
        <v>10</v>
      </c>
      <c r="H1055" s="72" t="s">
        <v>219</v>
      </c>
      <c r="I1055" s="72" t="s">
        <v>61</v>
      </c>
      <c r="J1055" t="str">
        <f t="shared" si="36"/>
        <v>Skokomish River</v>
      </c>
      <c r="K1055" t="str">
        <f>IFERROR(VLOOKUP(J1055,LUTs!$A$1:$C$73,2,FALSE),"NA")</f>
        <v>Mason</v>
      </c>
      <c r="L1055" t="str">
        <f>IFERROR(VLOOKUP(J1055,LUTs!$A$1:$C$73,3,FALSE),"NA")</f>
        <v>4 Hood Canal</v>
      </c>
      <c r="M1055" s="72" t="s">
        <v>16</v>
      </c>
      <c r="N1055" t="str">
        <f>VLOOKUP(M1055,LUTs!E$2:H$14,3,)</f>
        <v>03Snohomish</v>
      </c>
      <c r="O1055" t="str">
        <f>VLOOKUP(M1055,LUTs!E$2:H$14,4,)</f>
        <v>01North Puget Sound</v>
      </c>
      <c r="P1055" s="73">
        <v>195.62915601022999</v>
      </c>
      <c r="Q1055" s="74">
        <f>VLOOKUP(B1055,Readme!A$40:C$51,2,)*P1055</f>
        <v>1692.1921994884895</v>
      </c>
    </row>
    <row r="1056" spans="1:17" ht="12" customHeight="1" x14ac:dyDescent="0.35">
      <c r="A1056" s="75">
        <v>1055</v>
      </c>
      <c r="B1056" s="64">
        <v>2012</v>
      </c>
      <c r="C1056" s="64">
        <v>8</v>
      </c>
      <c r="D1056" s="80">
        <f t="shared" si="35"/>
        <v>2012</v>
      </c>
      <c r="E1056" t="s">
        <v>38</v>
      </c>
      <c r="F1056" t="s">
        <v>143</v>
      </c>
      <c r="G1056" t="s">
        <v>10</v>
      </c>
      <c r="H1056" s="72" t="s">
        <v>219</v>
      </c>
      <c r="I1056" s="72" t="s">
        <v>61</v>
      </c>
      <c r="J1056" t="str">
        <f t="shared" si="36"/>
        <v>Skokomish River</v>
      </c>
      <c r="K1056" t="str">
        <f>IFERROR(VLOOKUP(J1056,LUTs!$A$1:$C$73,2,FALSE),"NA")</f>
        <v>Mason</v>
      </c>
      <c r="L1056" t="str">
        <f>IFERROR(VLOOKUP(J1056,LUTs!$A$1:$C$73,3,FALSE),"NA")</f>
        <v>4 Hood Canal</v>
      </c>
      <c r="M1056" s="72" t="s">
        <v>21</v>
      </c>
      <c r="N1056" t="str">
        <f>VLOOKUP(M1056,LUTs!E$2:H$14,3,)</f>
        <v>08Thurston</v>
      </c>
      <c r="O1056" t="str">
        <f>VLOOKUP(M1056,LUTs!E$2:H$14,4,)</f>
        <v>02South Puget Sound</v>
      </c>
      <c r="P1056" s="73">
        <v>789.76214833759605</v>
      </c>
      <c r="Q1056" s="74">
        <f>VLOOKUP(B1056,Readme!A$40:C$51,2,)*P1056</f>
        <v>6831.4425831202061</v>
      </c>
    </row>
    <row r="1057" spans="1:17" ht="12" customHeight="1" x14ac:dyDescent="0.35">
      <c r="A1057" s="75">
        <v>1056</v>
      </c>
      <c r="B1057" s="64">
        <v>2012</v>
      </c>
      <c r="C1057" s="64">
        <v>9</v>
      </c>
      <c r="D1057" s="80">
        <f t="shared" si="35"/>
        <v>2012</v>
      </c>
      <c r="E1057" t="s">
        <v>38</v>
      </c>
      <c r="F1057" t="s">
        <v>143</v>
      </c>
      <c r="G1057" t="s">
        <v>10</v>
      </c>
      <c r="H1057" s="72" t="s">
        <v>219</v>
      </c>
      <c r="I1057" s="72" t="s">
        <v>61</v>
      </c>
      <c r="J1057" t="str">
        <f t="shared" si="36"/>
        <v>Skokomish River</v>
      </c>
      <c r="K1057" t="str">
        <f>IFERROR(VLOOKUP(J1057,LUTs!$A$1:$C$73,2,FALSE),"NA")</f>
        <v>Mason</v>
      </c>
      <c r="L1057" t="str">
        <f>IFERROR(VLOOKUP(J1057,LUTs!$A$1:$C$73,3,FALSE),"NA")</f>
        <v>4 Hood Canal</v>
      </c>
      <c r="M1057" s="72" t="s">
        <v>17</v>
      </c>
      <c r="N1057" t="str">
        <f>VLOOKUP(M1057,LUTs!E$2:H$14,3,)</f>
        <v>04Island</v>
      </c>
      <c r="O1057" t="str">
        <f>VLOOKUP(M1057,LUTs!E$2:H$14,4,)</f>
        <v>01North Puget Sound</v>
      </c>
      <c r="P1057" s="73">
        <v>36.203090507726301</v>
      </c>
      <c r="Q1057" s="74">
        <f>VLOOKUP(B1057,Readme!A$40:C$51,2,)*P1057</f>
        <v>313.15673289183252</v>
      </c>
    </row>
    <row r="1058" spans="1:17" ht="12" customHeight="1" x14ac:dyDescent="0.35">
      <c r="A1058" s="75">
        <v>1057</v>
      </c>
      <c r="B1058" s="64">
        <v>2012</v>
      </c>
      <c r="C1058" s="64">
        <v>9</v>
      </c>
      <c r="D1058" s="80">
        <f t="shared" si="35"/>
        <v>2012</v>
      </c>
      <c r="E1058" t="s">
        <v>38</v>
      </c>
      <c r="F1058" t="s">
        <v>143</v>
      </c>
      <c r="G1058" t="s">
        <v>10</v>
      </c>
      <c r="H1058" s="72" t="s">
        <v>219</v>
      </c>
      <c r="I1058" s="72" t="s">
        <v>61</v>
      </c>
      <c r="J1058" t="str">
        <f t="shared" si="36"/>
        <v>Skokomish River</v>
      </c>
      <c r="K1058" t="str">
        <f>IFERROR(VLOOKUP(J1058,LUTs!$A$1:$C$73,2,FALSE),"NA")</f>
        <v>Mason</v>
      </c>
      <c r="L1058" t="str">
        <f>IFERROR(VLOOKUP(J1058,LUTs!$A$1:$C$73,3,FALSE),"NA")</f>
        <v>4 Hood Canal</v>
      </c>
      <c r="M1058" s="72" t="s">
        <v>18</v>
      </c>
      <c r="N1058" t="str">
        <f>VLOOKUP(M1058,LUTs!E$2:H$14,3,)</f>
        <v>06King</v>
      </c>
      <c r="O1058" t="str">
        <f>VLOOKUP(M1058,LUTs!E$2:H$14,4,)</f>
        <v>02South Puget Sound</v>
      </c>
      <c r="P1058" s="73">
        <v>818.189845474614</v>
      </c>
      <c r="Q1058" s="74">
        <f>VLOOKUP(B1058,Readme!A$40:C$51,2,)*P1058</f>
        <v>7077.3421633554117</v>
      </c>
    </row>
    <row r="1059" spans="1:17" ht="12" customHeight="1" x14ac:dyDescent="0.35">
      <c r="A1059" s="75">
        <v>1058</v>
      </c>
      <c r="B1059" s="64">
        <v>2012</v>
      </c>
      <c r="C1059" s="64">
        <v>9</v>
      </c>
      <c r="D1059" s="80">
        <f t="shared" si="35"/>
        <v>2012</v>
      </c>
      <c r="E1059" t="s">
        <v>38</v>
      </c>
      <c r="F1059" t="s">
        <v>143</v>
      </c>
      <c r="G1059" t="s">
        <v>10</v>
      </c>
      <c r="H1059" s="72" t="s">
        <v>219</v>
      </c>
      <c r="I1059" s="72" t="s">
        <v>61</v>
      </c>
      <c r="J1059" t="str">
        <f t="shared" si="36"/>
        <v>Skokomish River</v>
      </c>
      <c r="K1059" t="str">
        <f>IFERROR(VLOOKUP(J1059,LUTs!$A$1:$C$73,2,FALSE),"NA")</f>
        <v>Mason</v>
      </c>
      <c r="L1059" t="str">
        <f>IFERROR(VLOOKUP(J1059,LUTs!$A$1:$C$73,3,FALSE),"NA")</f>
        <v>4 Hood Canal</v>
      </c>
      <c r="M1059" s="72" t="s">
        <v>23</v>
      </c>
      <c r="N1059" t="str">
        <f>VLOOKUP(M1059,LUTs!E$2:H$14,3,)</f>
        <v>10Kitsap</v>
      </c>
      <c r="O1059" t="str">
        <f>VLOOKUP(M1059,LUTs!E$2:H$14,4,)</f>
        <v>02South Puget Sound</v>
      </c>
      <c r="P1059" s="73">
        <v>246.18101545253899</v>
      </c>
      <c r="Q1059" s="74">
        <f>VLOOKUP(B1059,Readme!A$40:C$51,2,)*P1059</f>
        <v>2129.4657836644624</v>
      </c>
    </row>
    <row r="1060" spans="1:17" ht="12" customHeight="1" x14ac:dyDescent="0.35">
      <c r="A1060" s="75">
        <v>1059</v>
      </c>
      <c r="B1060" s="64">
        <v>2012</v>
      </c>
      <c r="C1060" s="64">
        <v>9</v>
      </c>
      <c r="D1060" s="80">
        <f t="shared" si="35"/>
        <v>2012</v>
      </c>
      <c r="E1060" t="s">
        <v>38</v>
      </c>
      <c r="F1060" t="s">
        <v>143</v>
      </c>
      <c r="G1060" t="s">
        <v>10</v>
      </c>
      <c r="H1060" s="72" t="s">
        <v>219</v>
      </c>
      <c r="I1060" s="72" t="s">
        <v>61</v>
      </c>
      <c r="J1060" t="str">
        <f t="shared" si="36"/>
        <v>Skokomish River</v>
      </c>
      <c r="K1060" t="str">
        <f>IFERROR(VLOOKUP(J1060,LUTs!$A$1:$C$73,2,FALSE),"NA")</f>
        <v>Mason</v>
      </c>
      <c r="L1060" t="str">
        <f>IFERROR(VLOOKUP(J1060,LUTs!$A$1:$C$73,3,FALSE),"NA")</f>
        <v>4 Hood Canal</v>
      </c>
      <c r="M1060" s="72" t="s">
        <v>22</v>
      </c>
      <c r="N1060" t="str">
        <f>VLOOKUP(M1060,LUTs!E$2:H$14,3,)</f>
        <v>09Mason</v>
      </c>
      <c r="O1060" t="str">
        <f>VLOOKUP(M1060,LUTs!E$2:H$14,4,)</f>
        <v>02South Puget Sound</v>
      </c>
      <c r="P1060" s="73">
        <v>412.71523178808002</v>
      </c>
      <c r="Q1060" s="74">
        <f>VLOOKUP(B1060,Readme!A$40:C$51,2,)*P1060</f>
        <v>3569.9867549668925</v>
      </c>
    </row>
    <row r="1061" spans="1:17" ht="12" customHeight="1" x14ac:dyDescent="0.35">
      <c r="A1061" s="75">
        <v>1060</v>
      </c>
      <c r="B1061" s="64">
        <v>2012</v>
      </c>
      <c r="C1061" s="64">
        <v>9</v>
      </c>
      <c r="D1061" s="80">
        <f t="shared" si="35"/>
        <v>2012</v>
      </c>
      <c r="E1061" t="s">
        <v>38</v>
      </c>
      <c r="F1061" t="s">
        <v>143</v>
      </c>
      <c r="G1061" t="s">
        <v>10</v>
      </c>
      <c r="H1061" s="72" t="s">
        <v>219</v>
      </c>
      <c r="I1061" s="72" t="s">
        <v>61</v>
      </c>
      <c r="J1061" t="str">
        <f t="shared" si="36"/>
        <v>Skokomish River</v>
      </c>
      <c r="K1061" t="str">
        <f>IFERROR(VLOOKUP(J1061,LUTs!$A$1:$C$73,2,FALSE),"NA")</f>
        <v>Mason</v>
      </c>
      <c r="L1061" t="str">
        <f>IFERROR(VLOOKUP(J1061,LUTs!$A$1:$C$73,3,FALSE),"NA")</f>
        <v>4 Hood Canal</v>
      </c>
      <c r="M1061" s="72" t="s">
        <v>26</v>
      </c>
      <c r="N1061" t="str">
        <f>VLOOKUP(M1061,LUTs!E$2:H$14,3,)</f>
        <v>20Other</v>
      </c>
      <c r="O1061" t="str">
        <f>VLOOKUP(M1061,LUTs!E$2:H$14,4,)</f>
        <v>07Non Puget Sound</v>
      </c>
      <c r="P1061" s="73">
        <v>340.30905077262702</v>
      </c>
      <c r="Q1061" s="74">
        <f>VLOOKUP(B1061,Readme!A$40:C$51,2,)*P1061</f>
        <v>2943.6732891832239</v>
      </c>
    </row>
    <row r="1062" spans="1:17" ht="12" customHeight="1" x14ac:dyDescent="0.35">
      <c r="A1062" s="75">
        <v>1061</v>
      </c>
      <c r="B1062" s="64">
        <v>2012</v>
      </c>
      <c r="C1062" s="64">
        <v>9</v>
      </c>
      <c r="D1062" s="80">
        <f t="shared" si="35"/>
        <v>2012</v>
      </c>
      <c r="E1062" t="s">
        <v>38</v>
      </c>
      <c r="F1062" t="s">
        <v>143</v>
      </c>
      <c r="G1062" t="s">
        <v>10</v>
      </c>
      <c r="H1062" s="72" t="s">
        <v>219</v>
      </c>
      <c r="I1062" s="72" t="s">
        <v>61</v>
      </c>
      <c r="J1062" t="str">
        <f t="shared" si="36"/>
        <v>Skokomish River</v>
      </c>
      <c r="K1062" t="str">
        <f>IFERROR(VLOOKUP(J1062,LUTs!$A$1:$C$73,2,FALSE),"NA")</f>
        <v>Mason</v>
      </c>
      <c r="L1062" t="str">
        <f>IFERROR(VLOOKUP(J1062,LUTs!$A$1:$C$73,3,FALSE),"NA")</f>
        <v>4 Hood Canal</v>
      </c>
      <c r="M1062" s="72" t="s">
        <v>20</v>
      </c>
      <c r="N1062" t="str">
        <f>VLOOKUP(M1062,LUTs!E$2:H$14,3,)</f>
        <v>07Pierce</v>
      </c>
      <c r="O1062" t="str">
        <f>VLOOKUP(M1062,LUTs!E$2:H$14,4,)</f>
        <v>02South Puget Sound</v>
      </c>
      <c r="P1062" s="73">
        <v>861.63355408388497</v>
      </c>
      <c r="Q1062" s="74">
        <f>VLOOKUP(B1062,Readme!A$40:C$51,2,)*P1062</f>
        <v>7453.1302428256049</v>
      </c>
    </row>
    <row r="1063" spans="1:17" ht="12" customHeight="1" x14ac:dyDescent="0.35">
      <c r="A1063" s="75">
        <v>1062</v>
      </c>
      <c r="B1063" s="64">
        <v>2012</v>
      </c>
      <c r="C1063" s="64">
        <v>9</v>
      </c>
      <c r="D1063" s="80">
        <f t="shared" si="35"/>
        <v>2012</v>
      </c>
      <c r="E1063" t="s">
        <v>38</v>
      </c>
      <c r="F1063" t="s">
        <v>143</v>
      </c>
      <c r="G1063" t="s">
        <v>10</v>
      </c>
      <c r="H1063" s="72" t="s">
        <v>219</v>
      </c>
      <c r="I1063" s="72" t="s">
        <v>61</v>
      </c>
      <c r="J1063" t="str">
        <f t="shared" si="36"/>
        <v>Skokomish River</v>
      </c>
      <c r="K1063" t="str">
        <f>IFERROR(VLOOKUP(J1063,LUTs!$A$1:$C$73,2,FALSE),"NA")</f>
        <v>Mason</v>
      </c>
      <c r="L1063" t="str">
        <f>IFERROR(VLOOKUP(J1063,LUTs!$A$1:$C$73,3,FALSE),"NA")</f>
        <v>4 Hood Canal</v>
      </c>
      <c r="M1063" s="72" t="s">
        <v>16</v>
      </c>
      <c r="N1063" t="str">
        <f>VLOOKUP(M1063,LUTs!E$2:H$14,3,)</f>
        <v>03Snohomish</v>
      </c>
      <c r="O1063" t="str">
        <f>VLOOKUP(M1063,LUTs!E$2:H$14,4,)</f>
        <v>01North Puget Sound</v>
      </c>
      <c r="P1063" s="73">
        <v>43.443708609271503</v>
      </c>
      <c r="Q1063" s="74">
        <f>VLOOKUP(B1063,Readme!A$40:C$51,2,)*P1063</f>
        <v>375.78807947019851</v>
      </c>
    </row>
    <row r="1064" spans="1:17" ht="12" customHeight="1" x14ac:dyDescent="0.35">
      <c r="A1064" s="75">
        <v>1063</v>
      </c>
      <c r="B1064" s="64">
        <v>2012</v>
      </c>
      <c r="C1064" s="64">
        <v>9</v>
      </c>
      <c r="D1064" s="80">
        <f t="shared" si="35"/>
        <v>2012</v>
      </c>
      <c r="E1064" t="s">
        <v>38</v>
      </c>
      <c r="F1064" t="s">
        <v>143</v>
      </c>
      <c r="G1064" t="s">
        <v>10</v>
      </c>
      <c r="H1064" s="72" t="s">
        <v>219</v>
      </c>
      <c r="I1064" s="72" t="s">
        <v>61</v>
      </c>
      <c r="J1064" t="str">
        <f t="shared" si="36"/>
        <v>Skokomish River</v>
      </c>
      <c r="K1064" t="str">
        <f>IFERROR(VLOOKUP(J1064,LUTs!$A$1:$C$73,2,FALSE),"NA")</f>
        <v>Mason</v>
      </c>
      <c r="L1064" t="str">
        <f>IFERROR(VLOOKUP(J1064,LUTs!$A$1:$C$73,3,FALSE),"NA")</f>
        <v>4 Hood Canal</v>
      </c>
      <c r="M1064" s="72" t="s">
        <v>21</v>
      </c>
      <c r="N1064" t="str">
        <f>VLOOKUP(M1064,LUTs!E$2:H$14,3,)</f>
        <v>08Thurston</v>
      </c>
      <c r="O1064" t="str">
        <f>VLOOKUP(M1064,LUTs!E$2:H$14,4,)</f>
        <v>02South Puget Sound</v>
      </c>
      <c r="P1064" s="73">
        <v>521.32450331125801</v>
      </c>
      <c r="Q1064" s="74">
        <f>VLOOKUP(B1064,Readme!A$40:C$51,2,)*P1064</f>
        <v>4509.4569536423824</v>
      </c>
    </row>
    <row r="1065" spans="1:17" ht="12" customHeight="1" x14ac:dyDescent="0.35">
      <c r="A1065" s="75">
        <v>1064</v>
      </c>
      <c r="B1065" s="64">
        <v>2012</v>
      </c>
      <c r="C1065" s="64">
        <v>10</v>
      </c>
      <c r="D1065" s="80">
        <f t="shared" si="35"/>
        <v>2012</v>
      </c>
      <c r="E1065" t="s">
        <v>38</v>
      </c>
      <c r="F1065" t="s">
        <v>143</v>
      </c>
      <c r="G1065" t="s">
        <v>10</v>
      </c>
      <c r="H1065" s="72" t="s">
        <v>219</v>
      </c>
      <c r="I1065" s="72" t="s">
        <v>61</v>
      </c>
      <c r="J1065" t="str">
        <f t="shared" si="36"/>
        <v>Skokomish River</v>
      </c>
      <c r="K1065" t="str">
        <f>IFERROR(VLOOKUP(J1065,LUTs!$A$1:$C$73,2,FALSE),"NA")</f>
        <v>Mason</v>
      </c>
      <c r="L1065" t="str">
        <f>IFERROR(VLOOKUP(J1065,LUTs!$A$1:$C$73,3,FALSE),"NA")</f>
        <v>4 Hood Canal</v>
      </c>
      <c r="M1065" s="72" t="s">
        <v>18</v>
      </c>
      <c r="N1065" t="str">
        <f>VLOOKUP(M1065,LUTs!E$2:H$14,3,)</f>
        <v>06King</v>
      </c>
      <c r="O1065" t="str">
        <f>VLOOKUP(M1065,LUTs!E$2:H$14,4,)</f>
        <v>02South Puget Sound</v>
      </c>
      <c r="P1065" s="73">
        <v>281.23602484472099</v>
      </c>
      <c r="Q1065" s="74">
        <f>VLOOKUP(B1065,Readme!A$40:C$51,2,)*P1065</f>
        <v>2432.6916149068365</v>
      </c>
    </row>
    <row r="1066" spans="1:17" ht="12" customHeight="1" x14ac:dyDescent="0.35">
      <c r="A1066" s="75">
        <v>1065</v>
      </c>
      <c r="B1066" s="64">
        <v>2012</v>
      </c>
      <c r="C1066" s="64">
        <v>10</v>
      </c>
      <c r="D1066" s="80">
        <f t="shared" si="35"/>
        <v>2012</v>
      </c>
      <c r="E1066" t="s">
        <v>38</v>
      </c>
      <c r="F1066" t="s">
        <v>143</v>
      </c>
      <c r="G1066" t="s">
        <v>10</v>
      </c>
      <c r="H1066" s="72" t="s">
        <v>219</v>
      </c>
      <c r="I1066" s="72" t="s">
        <v>61</v>
      </c>
      <c r="J1066" t="str">
        <f t="shared" si="36"/>
        <v>Skokomish River</v>
      </c>
      <c r="K1066" t="str">
        <f>IFERROR(VLOOKUP(J1066,LUTs!$A$1:$C$73,2,FALSE),"NA")</f>
        <v>Mason</v>
      </c>
      <c r="L1066" t="str">
        <f>IFERROR(VLOOKUP(J1066,LUTs!$A$1:$C$73,3,FALSE),"NA")</f>
        <v>4 Hood Canal</v>
      </c>
      <c r="M1066" s="72" t="s">
        <v>23</v>
      </c>
      <c r="N1066" t="str">
        <f>VLOOKUP(M1066,LUTs!E$2:H$14,3,)</f>
        <v>10Kitsap</v>
      </c>
      <c r="O1066" t="str">
        <f>VLOOKUP(M1066,LUTs!E$2:H$14,4,)</f>
        <v>02South Puget Sound</v>
      </c>
      <c r="P1066" s="73">
        <v>36.055900621117999</v>
      </c>
      <c r="Q1066" s="74">
        <f>VLOOKUP(B1066,Readme!A$40:C$51,2,)*P1066</f>
        <v>311.88354037267072</v>
      </c>
    </row>
    <row r="1067" spans="1:17" ht="12" customHeight="1" x14ac:dyDescent="0.35">
      <c r="A1067" s="75">
        <v>1066</v>
      </c>
      <c r="B1067" s="64">
        <v>2012</v>
      </c>
      <c r="C1067" s="64">
        <v>10</v>
      </c>
      <c r="D1067" s="80">
        <f t="shared" si="35"/>
        <v>2012</v>
      </c>
      <c r="E1067" t="s">
        <v>38</v>
      </c>
      <c r="F1067" t="s">
        <v>143</v>
      </c>
      <c r="G1067" t="s">
        <v>10</v>
      </c>
      <c r="H1067" s="72" t="s">
        <v>219</v>
      </c>
      <c r="I1067" s="72" t="s">
        <v>61</v>
      </c>
      <c r="J1067" t="str">
        <f t="shared" si="36"/>
        <v>Skokomish River</v>
      </c>
      <c r="K1067" t="str">
        <f>IFERROR(VLOOKUP(J1067,LUTs!$A$1:$C$73,2,FALSE),"NA")</f>
        <v>Mason</v>
      </c>
      <c r="L1067" t="str">
        <f>IFERROR(VLOOKUP(J1067,LUTs!$A$1:$C$73,3,FALSE),"NA")</f>
        <v>4 Hood Canal</v>
      </c>
      <c r="M1067" s="72" t="s">
        <v>22</v>
      </c>
      <c r="N1067" t="str">
        <f>VLOOKUP(M1067,LUTs!E$2:H$14,3,)</f>
        <v>09Mason</v>
      </c>
      <c r="O1067" t="str">
        <f>VLOOKUP(M1067,LUTs!E$2:H$14,4,)</f>
        <v>02South Puget Sound</v>
      </c>
      <c r="P1067" s="73">
        <v>396.614906832298</v>
      </c>
      <c r="Q1067" s="74">
        <f>VLOOKUP(B1067,Readme!A$40:C$51,2,)*P1067</f>
        <v>3430.7189440993779</v>
      </c>
    </row>
    <row r="1068" spans="1:17" ht="12" customHeight="1" x14ac:dyDescent="0.35">
      <c r="A1068" s="75">
        <v>1067</v>
      </c>
      <c r="B1068" s="64">
        <v>2012</v>
      </c>
      <c r="C1068" s="64">
        <v>10</v>
      </c>
      <c r="D1068" s="80">
        <f t="shared" si="35"/>
        <v>2012</v>
      </c>
      <c r="E1068" t="s">
        <v>38</v>
      </c>
      <c r="F1068" t="s">
        <v>143</v>
      </c>
      <c r="G1068" t="s">
        <v>10</v>
      </c>
      <c r="H1068" s="72" t="s">
        <v>219</v>
      </c>
      <c r="I1068" s="72" t="s">
        <v>61</v>
      </c>
      <c r="J1068" t="str">
        <f t="shared" si="36"/>
        <v>Skokomish River</v>
      </c>
      <c r="K1068" t="str">
        <f>IFERROR(VLOOKUP(J1068,LUTs!$A$1:$C$73,2,FALSE),"NA")</f>
        <v>Mason</v>
      </c>
      <c r="L1068" t="str">
        <f>IFERROR(VLOOKUP(J1068,LUTs!$A$1:$C$73,3,FALSE),"NA")</f>
        <v>4 Hood Canal</v>
      </c>
      <c r="M1068" s="72" t="s">
        <v>26</v>
      </c>
      <c r="N1068" t="str">
        <f>VLOOKUP(M1068,LUTs!E$2:H$14,3,)</f>
        <v>20Other</v>
      </c>
      <c r="O1068" t="str">
        <f>VLOOKUP(M1068,LUTs!E$2:H$14,4,)</f>
        <v>07Non Puget Sound</v>
      </c>
      <c r="P1068" s="73">
        <v>86.534161490683303</v>
      </c>
      <c r="Q1068" s="74">
        <f>VLOOKUP(B1068,Readme!A$40:C$51,2,)*P1068</f>
        <v>748.5204968944106</v>
      </c>
    </row>
    <row r="1069" spans="1:17" ht="12" customHeight="1" x14ac:dyDescent="0.35">
      <c r="A1069" s="75">
        <v>1068</v>
      </c>
      <c r="B1069" s="64">
        <v>2012</v>
      </c>
      <c r="C1069" s="64">
        <v>10</v>
      </c>
      <c r="D1069" s="80">
        <f t="shared" si="35"/>
        <v>2012</v>
      </c>
      <c r="E1069" t="s">
        <v>38</v>
      </c>
      <c r="F1069" t="s">
        <v>143</v>
      </c>
      <c r="G1069" t="s">
        <v>10</v>
      </c>
      <c r="H1069" s="72" t="s">
        <v>219</v>
      </c>
      <c r="I1069" s="72" t="s">
        <v>61</v>
      </c>
      <c r="J1069" t="str">
        <f t="shared" si="36"/>
        <v>Skokomish River</v>
      </c>
      <c r="K1069" t="str">
        <f>IFERROR(VLOOKUP(J1069,LUTs!$A$1:$C$73,2,FALSE),"NA")</f>
        <v>Mason</v>
      </c>
      <c r="L1069" t="str">
        <f>IFERROR(VLOOKUP(J1069,LUTs!$A$1:$C$73,3,FALSE),"NA")</f>
        <v>4 Hood Canal</v>
      </c>
      <c r="M1069" s="72" t="s">
        <v>20</v>
      </c>
      <c r="N1069" t="str">
        <f>VLOOKUP(M1069,LUTs!E$2:H$14,3,)</f>
        <v>07Pierce</v>
      </c>
      <c r="O1069" t="str">
        <f>VLOOKUP(M1069,LUTs!E$2:H$14,4,)</f>
        <v>02South Puget Sound</v>
      </c>
      <c r="P1069" s="73">
        <v>122.590062111801</v>
      </c>
      <c r="Q1069" s="74">
        <f>VLOOKUP(B1069,Readme!A$40:C$51,2,)*P1069</f>
        <v>1060.4040372670788</v>
      </c>
    </row>
    <row r="1070" spans="1:17" ht="12" customHeight="1" x14ac:dyDescent="0.35">
      <c r="A1070" s="75">
        <v>1069</v>
      </c>
      <c r="B1070" s="64">
        <v>2012</v>
      </c>
      <c r="C1070" s="64">
        <v>10</v>
      </c>
      <c r="D1070" s="80">
        <f t="shared" si="35"/>
        <v>2012</v>
      </c>
      <c r="E1070" t="s">
        <v>38</v>
      </c>
      <c r="F1070" t="s">
        <v>143</v>
      </c>
      <c r="G1070" t="s">
        <v>10</v>
      </c>
      <c r="H1070" s="72" t="s">
        <v>219</v>
      </c>
      <c r="I1070" s="72" t="s">
        <v>61</v>
      </c>
      <c r="J1070" t="str">
        <f t="shared" si="36"/>
        <v>Skokomish River</v>
      </c>
      <c r="K1070" t="str">
        <f>IFERROR(VLOOKUP(J1070,LUTs!$A$1:$C$73,2,FALSE),"NA")</f>
        <v>Mason</v>
      </c>
      <c r="L1070" t="str">
        <f>IFERROR(VLOOKUP(J1070,LUTs!$A$1:$C$73,3,FALSE),"NA")</f>
        <v>4 Hood Canal</v>
      </c>
      <c r="M1070" s="72" t="s">
        <v>21</v>
      </c>
      <c r="N1070" t="str">
        <f>VLOOKUP(M1070,LUTs!E$2:H$14,3,)</f>
        <v>08Thurston</v>
      </c>
      <c r="O1070" t="str">
        <f>VLOOKUP(M1070,LUTs!E$2:H$14,4,)</f>
        <v>02South Puget Sound</v>
      </c>
      <c r="P1070" s="73">
        <v>237.968944099379</v>
      </c>
      <c r="Q1070" s="74">
        <f>VLOOKUP(B1070,Readme!A$40:C$51,2,)*P1070</f>
        <v>2058.4313664596284</v>
      </c>
    </row>
    <row r="1071" spans="1:17" ht="12" customHeight="1" x14ac:dyDescent="0.35">
      <c r="A1071" s="75">
        <v>1070</v>
      </c>
      <c r="B1071" s="64">
        <v>2012</v>
      </c>
      <c r="C1071" s="64">
        <v>11</v>
      </c>
      <c r="D1071" s="80">
        <f t="shared" si="35"/>
        <v>2012</v>
      </c>
      <c r="E1071" t="s">
        <v>38</v>
      </c>
      <c r="F1071" t="s">
        <v>143</v>
      </c>
      <c r="G1071" t="s">
        <v>10</v>
      </c>
      <c r="H1071" s="72" t="s">
        <v>219</v>
      </c>
      <c r="I1071" s="72" t="s">
        <v>61</v>
      </c>
      <c r="J1071" t="str">
        <f t="shared" si="36"/>
        <v>Skokomish River</v>
      </c>
      <c r="K1071" t="str">
        <f>IFERROR(VLOOKUP(J1071,LUTs!$A$1:$C$73,2,FALSE),"NA")</f>
        <v>Mason</v>
      </c>
      <c r="L1071" t="str">
        <f>IFERROR(VLOOKUP(J1071,LUTs!$A$1:$C$73,3,FALSE),"NA")</f>
        <v>4 Hood Canal</v>
      </c>
      <c r="M1071" s="72" t="s">
        <v>18</v>
      </c>
      <c r="N1071" t="str">
        <f>VLOOKUP(M1071,LUTs!E$2:H$14,3,)</f>
        <v>06King</v>
      </c>
      <c r="O1071" t="str">
        <f>VLOOKUP(M1071,LUTs!E$2:H$14,4,)</f>
        <v>02South Puget Sound</v>
      </c>
      <c r="P1071" s="73">
        <v>131.04545454545499</v>
      </c>
      <c r="Q1071" s="74">
        <f>VLOOKUP(B1071,Readme!A$40:C$51,2,)*P1071</f>
        <v>1133.5431818181858</v>
      </c>
    </row>
    <row r="1072" spans="1:17" ht="12" customHeight="1" x14ac:dyDescent="0.35">
      <c r="A1072" s="75">
        <v>1071</v>
      </c>
      <c r="B1072" s="64">
        <v>2012</v>
      </c>
      <c r="C1072" s="64">
        <v>11</v>
      </c>
      <c r="D1072" s="80">
        <f t="shared" si="35"/>
        <v>2012</v>
      </c>
      <c r="E1072" t="s">
        <v>38</v>
      </c>
      <c r="F1072" t="s">
        <v>143</v>
      </c>
      <c r="G1072" t="s">
        <v>10</v>
      </c>
      <c r="H1072" s="72" t="s">
        <v>219</v>
      </c>
      <c r="I1072" s="72" t="s">
        <v>61</v>
      </c>
      <c r="J1072" t="str">
        <f t="shared" si="36"/>
        <v>Skokomish River</v>
      </c>
      <c r="K1072" t="str">
        <f>IFERROR(VLOOKUP(J1072,LUTs!$A$1:$C$73,2,FALSE),"NA")</f>
        <v>Mason</v>
      </c>
      <c r="L1072" t="str">
        <f>IFERROR(VLOOKUP(J1072,LUTs!$A$1:$C$73,3,FALSE),"NA")</f>
        <v>4 Hood Canal</v>
      </c>
      <c r="M1072" s="72" t="s">
        <v>23</v>
      </c>
      <c r="N1072" t="str">
        <f>VLOOKUP(M1072,LUTs!E$2:H$14,3,)</f>
        <v>10Kitsap</v>
      </c>
      <c r="O1072" t="str">
        <f>VLOOKUP(M1072,LUTs!E$2:H$14,4,)</f>
        <v>02South Puget Sound</v>
      </c>
      <c r="P1072" s="73">
        <v>14.5606060606061</v>
      </c>
      <c r="Q1072" s="74">
        <f>VLOOKUP(B1072,Readme!A$40:C$51,2,)*P1072</f>
        <v>125.94924242424277</v>
      </c>
    </row>
    <row r="1073" spans="1:17" ht="12" customHeight="1" x14ac:dyDescent="0.35">
      <c r="A1073" s="75">
        <v>1072</v>
      </c>
      <c r="B1073" s="64">
        <v>2012</v>
      </c>
      <c r="C1073" s="64">
        <v>11</v>
      </c>
      <c r="D1073" s="80">
        <f t="shared" si="35"/>
        <v>2012</v>
      </c>
      <c r="E1073" t="s">
        <v>38</v>
      </c>
      <c r="F1073" t="s">
        <v>143</v>
      </c>
      <c r="G1073" t="s">
        <v>10</v>
      </c>
      <c r="H1073" s="72" t="s">
        <v>219</v>
      </c>
      <c r="I1073" s="72" t="s">
        <v>61</v>
      </c>
      <c r="J1073" t="str">
        <f t="shared" si="36"/>
        <v>Skokomish River</v>
      </c>
      <c r="K1073" t="str">
        <f>IFERROR(VLOOKUP(J1073,LUTs!$A$1:$C$73,2,FALSE),"NA")</f>
        <v>Mason</v>
      </c>
      <c r="L1073" t="str">
        <f>IFERROR(VLOOKUP(J1073,LUTs!$A$1:$C$73,3,FALSE),"NA")</f>
        <v>4 Hood Canal</v>
      </c>
      <c r="M1073" s="72" t="s">
        <v>22</v>
      </c>
      <c r="N1073" t="str">
        <f>VLOOKUP(M1073,LUTs!E$2:H$14,3,)</f>
        <v>09Mason</v>
      </c>
      <c r="O1073" t="str">
        <f>VLOOKUP(M1073,LUTs!E$2:H$14,4,)</f>
        <v>02South Puget Sound</v>
      </c>
      <c r="P1073" s="73">
        <v>291.21212121212102</v>
      </c>
      <c r="Q1073" s="74">
        <f>VLOOKUP(B1073,Readme!A$40:C$51,2,)*P1073</f>
        <v>2518.9848484848471</v>
      </c>
    </row>
    <row r="1074" spans="1:17" ht="12" customHeight="1" x14ac:dyDescent="0.35">
      <c r="A1074" s="75">
        <v>1073</v>
      </c>
      <c r="B1074" s="64">
        <v>2012</v>
      </c>
      <c r="C1074" s="64">
        <v>11</v>
      </c>
      <c r="D1074" s="80">
        <f t="shared" si="35"/>
        <v>2012</v>
      </c>
      <c r="E1074" t="s">
        <v>38</v>
      </c>
      <c r="F1074" t="s">
        <v>143</v>
      </c>
      <c r="G1074" t="s">
        <v>10</v>
      </c>
      <c r="H1074" s="72" t="s">
        <v>219</v>
      </c>
      <c r="I1074" s="72" t="s">
        <v>61</v>
      </c>
      <c r="J1074" t="str">
        <f t="shared" si="36"/>
        <v>Skokomish River</v>
      </c>
      <c r="K1074" t="str">
        <f>IFERROR(VLOOKUP(J1074,LUTs!$A$1:$C$73,2,FALSE),"NA")</f>
        <v>Mason</v>
      </c>
      <c r="L1074" t="str">
        <f>IFERROR(VLOOKUP(J1074,LUTs!$A$1:$C$73,3,FALSE),"NA")</f>
        <v>4 Hood Canal</v>
      </c>
      <c r="M1074" s="72" t="s">
        <v>26</v>
      </c>
      <c r="N1074" t="str">
        <f>VLOOKUP(M1074,LUTs!E$2:H$14,3,)</f>
        <v>20Other</v>
      </c>
      <c r="O1074" t="str">
        <f>VLOOKUP(M1074,LUTs!E$2:H$14,4,)</f>
        <v>07Non Puget Sound</v>
      </c>
      <c r="P1074" s="73">
        <v>14.5606060606061</v>
      </c>
      <c r="Q1074" s="74">
        <f>VLOOKUP(B1074,Readme!A$40:C$51,2,)*P1074</f>
        <v>125.94924242424277</v>
      </c>
    </row>
    <row r="1075" spans="1:17" ht="12" customHeight="1" x14ac:dyDescent="0.35">
      <c r="A1075" s="75">
        <v>1074</v>
      </c>
      <c r="B1075" s="64">
        <v>2012</v>
      </c>
      <c r="C1075" s="64">
        <v>11</v>
      </c>
      <c r="D1075" s="80">
        <f t="shared" si="35"/>
        <v>2012</v>
      </c>
      <c r="E1075" t="s">
        <v>38</v>
      </c>
      <c r="F1075" t="s">
        <v>143</v>
      </c>
      <c r="G1075" t="s">
        <v>10</v>
      </c>
      <c r="H1075" s="72" t="s">
        <v>219</v>
      </c>
      <c r="I1075" s="72" t="s">
        <v>61</v>
      </c>
      <c r="J1075" t="str">
        <f t="shared" si="36"/>
        <v>Skokomish River</v>
      </c>
      <c r="K1075" t="str">
        <f>IFERROR(VLOOKUP(J1075,LUTs!$A$1:$C$73,2,FALSE),"NA")</f>
        <v>Mason</v>
      </c>
      <c r="L1075" t="str">
        <f>IFERROR(VLOOKUP(J1075,LUTs!$A$1:$C$73,3,FALSE),"NA")</f>
        <v>4 Hood Canal</v>
      </c>
      <c r="M1075" s="72" t="s">
        <v>20</v>
      </c>
      <c r="N1075" t="str">
        <f>VLOOKUP(M1075,LUTs!E$2:H$14,3,)</f>
        <v>07Pierce</v>
      </c>
      <c r="O1075" t="str">
        <f>VLOOKUP(M1075,LUTs!E$2:H$14,4,)</f>
        <v>02South Puget Sound</v>
      </c>
      <c r="P1075" s="73">
        <v>313.05303030303003</v>
      </c>
      <c r="Q1075" s="74">
        <f>VLOOKUP(B1075,Readme!A$40:C$51,2,)*P1075</f>
        <v>2707.9087121212096</v>
      </c>
    </row>
    <row r="1076" spans="1:17" ht="12" customHeight="1" x14ac:dyDescent="0.35">
      <c r="A1076" s="75">
        <v>1075</v>
      </c>
      <c r="B1076" s="64">
        <v>2012</v>
      </c>
      <c r="C1076" s="64">
        <v>11</v>
      </c>
      <c r="D1076" s="80">
        <f t="shared" si="35"/>
        <v>2012</v>
      </c>
      <c r="E1076" t="s">
        <v>38</v>
      </c>
      <c r="F1076" t="s">
        <v>143</v>
      </c>
      <c r="G1076" t="s">
        <v>10</v>
      </c>
      <c r="H1076" s="72" t="s">
        <v>219</v>
      </c>
      <c r="I1076" s="72" t="s">
        <v>61</v>
      </c>
      <c r="J1076" t="str">
        <f t="shared" si="36"/>
        <v>Skokomish River</v>
      </c>
      <c r="K1076" t="str">
        <f>IFERROR(VLOOKUP(J1076,LUTs!$A$1:$C$73,2,FALSE),"NA")</f>
        <v>Mason</v>
      </c>
      <c r="L1076" t="str">
        <f>IFERROR(VLOOKUP(J1076,LUTs!$A$1:$C$73,3,FALSE),"NA")</f>
        <v>4 Hood Canal</v>
      </c>
      <c r="M1076" s="72" t="s">
        <v>16</v>
      </c>
      <c r="N1076" t="str">
        <f>VLOOKUP(M1076,LUTs!E$2:H$14,3,)</f>
        <v>03Snohomish</v>
      </c>
      <c r="O1076" t="str">
        <f>VLOOKUP(M1076,LUTs!E$2:H$14,4,)</f>
        <v>01North Puget Sound</v>
      </c>
      <c r="P1076" s="73">
        <v>36.401515151515198</v>
      </c>
      <c r="Q1076" s="74">
        <f>VLOOKUP(B1076,Readme!A$40:C$51,2,)*P1076</f>
        <v>314.87310606060646</v>
      </c>
    </row>
    <row r="1077" spans="1:17" ht="12" customHeight="1" x14ac:dyDescent="0.35">
      <c r="A1077" s="75">
        <v>1076</v>
      </c>
      <c r="B1077" s="64">
        <v>2012</v>
      </c>
      <c r="C1077" s="64">
        <v>11</v>
      </c>
      <c r="D1077" s="80">
        <f t="shared" si="35"/>
        <v>2012</v>
      </c>
      <c r="E1077" t="s">
        <v>38</v>
      </c>
      <c r="F1077" t="s">
        <v>143</v>
      </c>
      <c r="G1077" t="s">
        <v>10</v>
      </c>
      <c r="H1077" s="72" t="s">
        <v>219</v>
      </c>
      <c r="I1077" s="72" t="s">
        <v>61</v>
      </c>
      <c r="J1077" t="str">
        <f t="shared" si="36"/>
        <v>Skokomish River</v>
      </c>
      <c r="K1077" t="str">
        <f>IFERROR(VLOOKUP(J1077,LUTs!$A$1:$C$73,2,FALSE),"NA")</f>
        <v>Mason</v>
      </c>
      <c r="L1077" t="str">
        <f>IFERROR(VLOOKUP(J1077,LUTs!$A$1:$C$73,3,FALSE),"NA")</f>
        <v>4 Hood Canal</v>
      </c>
      <c r="M1077" s="72" t="s">
        <v>21</v>
      </c>
      <c r="N1077" t="str">
        <f>VLOOKUP(M1077,LUTs!E$2:H$14,3,)</f>
        <v>08Thurston</v>
      </c>
      <c r="O1077" t="str">
        <f>VLOOKUP(M1077,LUTs!E$2:H$14,4,)</f>
        <v>02South Puget Sound</v>
      </c>
      <c r="P1077" s="73">
        <v>160.166666666667</v>
      </c>
      <c r="Q1077" s="74">
        <f>VLOOKUP(B1077,Readme!A$40:C$51,2,)*P1077</f>
        <v>1385.4416666666696</v>
      </c>
    </row>
    <row r="1078" spans="1:17" ht="12" customHeight="1" x14ac:dyDescent="0.35">
      <c r="A1078" s="75">
        <v>1077</v>
      </c>
      <c r="B1078" s="64">
        <v>2012</v>
      </c>
      <c r="C1078" s="64">
        <v>12</v>
      </c>
      <c r="D1078" s="80">
        <f t="shared" si="35"/>
        <v>2012</v>
      </c>
      <c r="E1078" t="s">
        <v>38</v>
      </c>
      <c r="F1078" t="s">
        <v>143</v>
      </c>
      <c r="G1078" t="s">
        <v>10</v>
      </c>
      <c r="H1078" s="72" t="s">
        <v>219</v>
      </c>
      <c r="I1078" s="72" t="s">
        <v>61</v>
      </c>
      <c r="J1078" t="str">
        <f t="shared" si="36"/>
        <v>Skokomish River</v>
      </c>
      <c r="K1078" t="str">
        <f>IFERROR(VLOOKUP(J1078,LUTs!$A$1:$C$73,2,FALSE),"NA")</f>
        <v>Mason</v>
      </c>
      <c r="L1078" t="str">
        <f>IFERROR(VLOOKUP(J1078,LUTs!$A$1:$C$73,3,FALSE),"NA")</f>
        <v>4 Hood Canal</v>
      </c>
      <c r="M1078" s="72" t="s">
        <v>26</v>
      </c>
      <c r="N1078" t="str">
        <f>VLOOKUP(M1078,LUTs!E$2:H$14,3,)</f>
        <v>20Other</v>
      </c>
      <c r="O1078" t="str">
        <f>VLOOKUP(M1078,LUTs!E$2:H$14,4,)</f>
        <v>07Non Puget Sound</v>
      </c>
      <c r="P1078" s="73">
        <v>7.3333333333333401</v>
      </c>
      <c r="Q1078" s="74">
        <f>VLOOKUP(B1078,Readme!A$40:C$51,2,)*P1078</f>
        <v>63.433333333333394</v>
      </c>
    </row>
    <row r="1079" spans="1:17" ht="12" customHeight="1" x14ac:dyDescent="0.35">
      <c r="A1079" s="75">
        <v>1078</v>
      </c>
      <c r="B1079" s="64">
        <v>2012</v>
      </c>
      <c r="C1079" s="64">
        <v>12</v>
      </c>
      <c r="D1079" s="80">
        <f t="shared" si="35"/>
        <v>2012</v>
      </c>
      <c r="E1079" t="s">
        <v>38</v>
      </c>
      <c r="F1079" t="s">
        <v>143</v>
      </c>
      <c r="G1079" t="s">
        <v>10</v>
      </c>
      <c r="H1079" s="72" t="s">
        <v>219</v>
      </c>
      <c r="I1079" s="72" t="s">
        <v>61</v>
      </c>
      <c r="J1079" t="str">
        <f t="shared" si="36"/>
        <v>Skokomish River</v>
      </c>
      <c r="K1079" t="str">
        <f>IFERROR(VLOOKUP(J1079,LUTs!$A$1:$C$73,2,FALSE),"NA")</f>
        <v>Mason</v>
      </c>
      <c r="L1079" t="str">
        <f>IFERROR(VLOOKUP(J1079,LUTs!$A$1:$C$73,3,FALSE),"NA")</f>
        <v>4 Hood Canal</v>
      </c>
      <c r="M1079" s="72" t="s">
        <v>21</v>
      </c>
      <c r="N1079" t="str">
        <f>VLOOKUP(M1079,LUTs!E$2:H$14,3,)</f>
        <v>08Thurston</v>
      </c>
      <c r="O1079" t="str">
        <f>VLOOKUP(M1079,LUTs!E$2:H$14,4,)</f>
        <v>02South Puget Sound</v>
      </c>
      <c r="P1079" s="73">
        <v>14.6666666666667</v>
      </c>
      <c r="Q1079" s="74">
        <f>VLOOKUP(B1079,Readme!A$40:C$51,2,)*P1079</f>
        <v>126.86666666666696</v>
      </c>
    </row>
    <row r="1080" spans="1:17" ht="12" customHeight="1" x14ac:dyDescent="0.35">
      <c r="A1080" s="75">
        <v>1079</v>
      </c>
      <c r="B1080" s="64">
        <v>2012</v>
      </c>
      <c r="C1080" s="64">
        <v>6</v>
      </c>
      <c r="D1080" s="80">
        <f t="shared" si="35"/>
        <v>2012</v>
      </c>
      <c r="E1080" t="s">
        <v>38</v>
      </c>
      <c r="F1080" t="s">
        <v>143</v>
      </c>
      <c r="G1080" t="s">
        <v>10</v>
      </c>
      <c r="H1080" s="72" t="s">
        <v>220</v>
      </c>
      <c r="I1080" s="72" t="s">
        <v>62</v>
      </c>
      <c r="J1080" t="str">
        <f t="shared" si="36"/>
        <v>Skykomish River</v>
      </c>
      <c r="K1080" t="str">
        <f>IFERROR(VLOOKUP(J1080,LUTs!$A$1:$C$73,2,FALSE),"NA")</f>
        <v>Snohomish</v>
      </c>
      <c r="L1080" t="str">
        <f>IFERROR(VLOOKUP(J1080,LUTs!$A$1:$C$73,3,FALSE),"NA")</f>
        <v>2Central Puget Sound</v>
      </c>
      <c r="M1080" s="72" t="s">
        <v>16</v>
      </c>
      <c r="N1080" t="str">
        <f>VLOOKUP(M1080,LUTs!E$2:H$14,3,)</f>
        <v>03Snohomish</v>
      </c>
      <c r="O1080" t="str">
        <f>VLOOKUP(M1080,LUTs!E$2:H$14,4,)</f>
        <v>01North Puget Sound</v>
      </c>
      <c r="P1080" s="73">
        <v>0</v>
      </c>
      <c r="Q1080" s="74">
        <f>VLOOKUP(B1080,Readme!A$40:C$51,2,)*P1080</f>
        <v>0</v>
      </c>
    </row>
    <row r="1081" spans="1:17" ht="12" customHeight="1" x14ac:dyDescent="0.35">
      <c r="A1081" s="75">
        <v>1080</v>
      </c>
      <c r="B1081" s="64">
        <v>2012</v>
      </c>
      <c r="C1081" s="64">
        <v>7</v>
      </c>
      <c r="D1081" s="80">
        <f t="shared" si="35"/>
        <v>2012</v>
      </c>
      <c r="E1081" t="s">
        <v>38</v>
      </c>
      <c r="F1081" t="s">
        <v>143</v>
      </c>
      <c r="G1081" t="s">
        <v>10</v>
      </c>
      <c r="H1081" s="72" t="s">
        <v>220</v>
      </c>
      <c r="I1081" s="72" t="s">
        <v>62</v>
      </c>
      <c r="J1081" t="str">
        <f t="shared" si="36"/>
        <v>Skykomish River</v>
      </c>
      <c r="K1081" t="str">
        <f>IFERROR(VLOOKUP(J1081,LUTs!$A$1:$C$73,2,FALSE),"NA")</f>
        <v>Snohomish</v>
      </c>
      <c r="L1081" t="str">
        <f>IFERROR(VLOOKUP(J1081,LUTs!$A$1:$C$73,3,FALSE),"NA")</f>
        <v>2Central Puget Sound</v>
      </c>
      <c r="M1081" s="72" t="s">
        <v>18</v>
      </c>
      <c r="N1081" t="str">
        <f>VLOOKUP(M1081,LUTs!E$2:H$14,3,)</f>
        <v>06King</v>
      </c>
      <c r="O1081" t="str">
        <f>VLOOKUP(M1081,LUTs!E$2:H$14,4,)</f>
        <v>02South Puget Sound</v>
      </c>
      <c r="P1081" s="73">
        <v>57.066666666666698</v>
      </c>
      <c r="Q1081" s="74">
        <f>VLOOKUP(B1081,Readme!A$40:C$51,2,)*P1081</f>
        <v>493.62666666666695</v>
      </c>
    </row>
    <row r="1082" spans="1:17" ht="12" customHeight="1" x14ac:dyDescent="0.35">
      <c r="A1082" s="75">
        <v>1081</v>
      </c>
      <c r="B1082" s="64">
        <v>2012</v>
      </c>
      <c r="C1082" s="64">
        <v>7</v>
      </c>
      <c r="D1082" s="80">
        <f t="shared" si="35"/>
        <v>2012</v>
      </c>
      <c r="E1082" t="s">
        <v>38</v>
      </c>
      <c r="F1082" t="s">
        <v>143</v>
      </c>
      <c r="G1082" t="s">
        <v>10</v>
      </c>
      <c r="H1082" s="72" t="s">
        <v>220</v>
      </c>
      <c r="I1082" s="72" t="s">
        <v>62</v>
      </c>
      <c r="J1082" t="str">
        <f t="shared" si="36"/>
        <v>Skykomish River</v>
      </c>
      <c r="K1082" t="str">
        <f>IFERROR(VLOOKUP(J1082,LUTs!$A$1:$C$73,2,FALSE),"NA")</f>
        <v>Snohomish</v>
      </c>
      <c r="L1082" t="str">
        <f>IFERROR(VLOOKUP(J1082,LUTs!$A$1:$C$73,3,FALSE),"NA")</f>
        <v>2Central Puget Sound</v>
      </c>
      <c r="M1082" s="72" t="s">
        <v>26</v>
      </c>
      <c r="N1082" t="str">
        <f>VLOOKUP(M1082,LUTs!E$2:H$14,3,)</f>
        <v>20Other</v>
      </c>
      <c r="O1082" t="str">
        <f>VLOOKUP(M1082,LUTs!E$2:H$14,4,)</f>
        <v>07Non Puget Sound</v>
      </c>
      <c r="P1082" s="73">
        <v>7.1333333333333302</v>
      </c>
      <c r="Q1082" s="74">
        <f>VLOOKUP(B1082,Readme!A$40:C$51,2,)*P1082</f>
        <v>61.703333333333312</v>
      </c>
    </row>
    <row r="1083" spans="1:17" ht="12" customHeight="1" x14ac:dyDescent="0.35">
      <c r="A1083" s="75">
        <v>1082</v>
      </c>
      <c r="B1083" s="64">
        <v>2012</v>
      </c>
      <c r="C1083" s="64">
        <v>7</v>
      </c>
      <c r="D1083" s="80">
        <f t="shared" si="35"/>
        <v>2012</v>
      </c>
      <c r="E1083" t="s">
        <v>38</v>
      </c>
      <c r="F1083" t="s">
        <v>143</v>
      </c>
      <c r="G1083" t="s">
        <v>10</v>
      </c>
      <c r="H1083" s="72" t="s">
        <v>220</v>
      </c>
      <c r="I1083" s="72" t="s">
        <v>62</v>
      </c>
      <c r="J1083" t="str">
        <f t="shared" si="36"/>
        <v>Skykomish River</v>
      </c>
      <c r="K1083" t="str">
        <f>IFERROR(VLOOKUP(J1083,LUTs!$A$1:$C$73,2,FALSE),"NA")</f>
        <v>Snohomish</v>
      </c>
      <c r="L1083" t="str">
        <f>IFERROR(VLOOKUP(J1083,LUTs!$A$1:$C$73,3,FALSE),"NA")</f>
        <v>2Central Puget Sound</v>
      </c>
      <c r="M1083" s="72" t="s">
        <v>20</v>
      </c>
      <c r="N1083" t="str">
        <f>VLOOKUP(M1083,LUTs!E$2:H$14,3,)</f>
        <v>07Pierce</v>
      </c>
      <c r="O1083" t="str">
        <f>VLOOKUP(M1083,LUTs!E$2:H$14,4,)</f>
        <v>02South Puget Sound</v>
      </c>
      <c r="P1083" s="73">
        <v>14.266666666666699</v>
      </c>
      <c r="Q1083" s="74">
        <f>VLOOKUP(B1083,Readme!A$40:C$51,2,)*P1083</f>
        <v>123.40666666666695</v>
      </c>
    </row>
    <row r="1084" spans="1:17" ht="12" customHeight="1" x14ac:dyDescent="0.35">
      <c r="A1084" s="75">
        <v>1083</v>
      </c>
      <c r="B1084" s="64">
        <v>2012</v>
      </c>
      <c r="C1084" s="64">
        <v>7</v>
      </c>
      <c r="D1084" s="80">
        <f t="shared" si="35"/>
        <v>2012</v>
      </c>
      <c r="E1084" t="s">
        <v>38</v>
      </c>
      <c r="F1084" t="s">
        <v>143</v>
      </c>
      <c r="G1084" t="s">
        <v>10</v>
      </c>
      <c r="H1084" s="72" t="s">
        <v>220</v>
      </c>
      <c r="I1084" s="72" t="s">
        <v>62</v>
      </c>
      <c r="J1084" t="str">
        <f t="shared" si="36"/>
        <v>Skykomish River</v>
      </c>
      <c r="K1084" t="str">
        <f>IFERROR(VLOOKUP(J1084,LUTs!$A$1:$C$73,2,FALSE),"NA")</f>
        <v>Snohomish</v>
      </c>
      <c r="L1084" t="str">
        <f>IFERROR(VLOOKUP(J1084,LUTs!$A$1:$C$73,3,FALSE),"NA")</f>
        <v>2Central Puget Sound</v>
      </c>
      <c r="M1084" s="72" t="s">
        <v>16</v>
      </c>
      <c r="N1084" t="str">
        <f>VLOOKUP(M1084,LUTs!E$2:H$14,3,)</f>
        <v>03Snohomish</v>
      </c>
      <c r="O1084" t="str">
        <f>VLOOKUP(M1084,LUTs!E$2:H$14,4,)</f>
        <v>01North Puget Sound</v>
      </c>
      <c r="P1084" s="73">
        <v>28.533333333333299</v>
      </c>
      <c r="Q1084" s="74">
        <f>VLOOKUP(B1084,Readme!A$40:C$51,2,)*P1084</f>
        <v>246.81333333333305</v>
      </c>
    </row>
    <row r="1085" spans="1:17" ht="12" customHeight="1" x14ac:dyDescent="0.35">
      <c r="A1085" s="75">
        <v>1084</v>
      </c>
      <c r="B1085" s="64">
        <v>2012</v>
      </c>
      <c r="C1085" s="64">
        <v>8</v>
      </c>
      <c r="D1085" s="80">
        <f t="shared" si="35"/>
        <v>2012</v>
      </c>
      <c r="E1085" t="s">
        <v>38</v>
      </c>
      <c r="F1085" t="s">
        <v>143</v>
      </c>
      <c r="G1085" t="s">
        <v>10</v>
      </c>
      <c r="H1085" s="72" t="s">
        <v>220</v>
      </c>
      <c r="I1085" s="72" t="s">
        <v>62</v>
      </c>
      <c r="J1085" t="str">
        <f t="shared" si="36"/>
        <v>Skykomish River</v>
      </c>
      <c r="K1085" t="str">
        <f>IFERROR(VLOOKUP(J1085,LUTs!$A$1:$C$73,2,FALSE),"NA")</f>
        <v>Snohomish</v>
      </c>
      <c r="L1085" t="str">
        <f>IFERROR(VLOOKUP(J1085,LUTs!$A$1:$C$73,3,FALSE),"NA")</f>
        <v>2Central Puget Sound</v>
      </c>
      <c r="M1085" s="72" t="s">
        <v>18</v>
      </c>
      <c r="N1085" t="str">
        <f>VLOOKUP(M1085,LUTs!E$2:H$14,3,)</f>
        <v>06King</v>
      </c>
      <c r="O1085" t="str">
        <f>VLOOKUP(M1085,LUTs!E$2:H$14,4,)</f>
        <v>02South Puget Sound</v>
      </c>
      <c r="P1085" s="73">
        <v>21.3333333333333</v>
      </c>
      <c r="Q1085" s="74">
        <f>VLOOKUP(B1085,Readme!A$40:C$51,2,)*P1085</f>
        <v>184.53333333333305</v>
      </c>
    </row>
    <row r="1086" spans="1:17" ht="12" customHeight="1" x14ac:dyDescent="0.35">
      <c r="A1086" s="75">
        <v>1085</v>
      </c>
      <c r="B1086" s="64">
        <v>2012</v>
      </c>
      <c r="C1086" s="64">
        <v>8</v>
      </c>
      <c r="D1086" s="80">
        <f t="shared" si="35"/>
        <v>2012</v>
      </c>
      <c r="E1086" t="s">
        <v>38</v>
      </c>
      <c r="F1086" t="s">
        <v>143</v>
      </c>
      <c r="G1086" t="s">
        <v>10</v>
      </c>
      <c r="H1086" s="72" t="s">
        <v>220</v>
      </c>
      <c r="I1086" s="72" t="s">
        <v>62</v>
      </c>
      <c r="J1086" t="str">
        <f t="shared" si="36"/>
        <v>Skykomish River</v>
      </c>
      <c r="K1086" t="str">
        <f>IFERROR(VLOOKUP(J1086,LUTs!$A$1:$C$73,2,FALSE),"NA")</f>
        <v>Snohomish</v>
      </c>
      <c r="L1086" t="str">
        <f>IFERROR(VLOOKUP(J1086,LUTs!$A$1:$C$73,3,FALSE),"NA")</f>
        <v>2Central Puget Sound</v>
      </c>
      <c r="M1086" s="72" t="s">
        <v>23</v>
      </c>
      <c r="N1086" t="str">
        <f>VLOOKUP(M1086,LUTs!E$2:H$14,3,)</f>
        <v>10Kitsap</v>
      </c>
      <c r="O1086" t="str">
        <f>VLOOKUP(M1086,LUTs!E$2:H$14,4,)</f>
        <v>02South Puget Sound</v>
      </c>
      <c r="P1086" s="73">
        <v>7.1111111111111098</v>
      </c>
      <c r="Q1086" s="74">
        <f>VLOOKUP(B1086,Readme!A$40:C$51,2,)*P1086</f>
        <v>61.511111111111106</v>
      </c>
    </row>
    <row r="1087" spans="1:17" ht="12" customHeight="1" x14ac:dyDescent="0.35">
      <c r="A1087" s="75">
        <v>1086</v>
      </c>
      <c r="B1087" s="64">
        <v>2012</v>
      </c>
      <c r="C1087" s="64">
        <v>8</v>
      </c>
      <c r="D1087" s="80">
        <f t="shared" si="35"/>
        <v>2012</v>
      </c>
      <c r="E1087" t="s">
        <v>38</v>
      </c>
      <c r="F1087" t="s">
        <v>143</v>
      </c>
      <c r="G1087" t="s">
        <v>10</v>
      </c>
      <c r="H1087" s="72" t="s">
        <v>220</v>
      </c>
      <c r="I1087" s="72" t="s">
        <v>62</v>
      </c>
      <c r="J1087" t="str">
        <f t="shared" si="36"/>
        <v>Skykomish River</v>
      </c>
      <c r="K1087" t="str">
        <f>IFERROR(VLOOKUP(J1087,LUTs!$A$1:$C$73,2,FALSE),"NA")</f>
        <v>Snohomish</v>
      </c>
      <c r="L1087" t="str">
        <f>IFERROR(VLOOKUP(J1087,LUTs!$A$1:$C$73,3,FALSE),"NA")</f>
        <v>2Central Puget Sound</v>
      </c>
      <c r="M1087" s="72" t="s">
        <v>16</v>
      </c>
      <c r="N1087" t="str">
        <f>VLOOKUP(M1087,LUTs!E$2:H$14,3,)</f>
        <v>03Snohomish</v>
      </c>
      <c r="O1087" t="str">
        <f>VLOOKUP(M1087,LUTs!E$2:H$14,4,)</f>
        <v>01North Puget Sound</v>
      </c>
      <c r="P1087" s="73">
        <v>35.5555555555556</v>
      </c>
      <c r="Q1087" s="74">
        <f>VLOOKUP(B1087,Readme!A$40:C$51,2,)*P1087</f>
        <v>307.55555555555594</v>
      </c>
    </row>
    <row r="1088" spans="1:17" ht="12" customHeight="1" x14ac:dyDescent="0.35">
      <c r="A1088" s="75">
        <v>1087</v>
      </c>
      <c r="B1088" s="64">
        <v>2012</v>
      </c>
      <c r="C1088" s="64">
        <v>9</v>
      </c>
      <c r="D1088" s="80">
        <f t="shared" si="35"/>
        <v>2012</v>
      </c>
      <c r="E1088" t="s">
        <v>38</v>
      </c>
      <c r="F1088" t="s">
        <v>143</v>
      </c>
      <c r="G1088" t="s">
        <v>10</v>
      </c>
      <c r="H1088" s="72" t="s">
        <v>220</v>
      </c>
      <c r="I1088" s="72" t="s">
        <v>62</v>
      </c>
      <c r="J1088" t="str">
        <f t="shared" si="36"/>
        <v>Skykomish River</v>
      </c>
      <c r="K1088" t="str">
        <f>IFERROR(VLOOKUP(J1088,LUTs!$A$1:$C$73,2,FALSE),"NA")</f>
        <v>Snohomish</v>
      </c>
      <c r="L1088" t="str">
        <f>IFERROR(VLOOKUP(J1088,LUTs!$A$1:$C$73,3,FALSE),"NA")</f>
        <v>2Central Puget Sound</v>
      </c>
      <c r="M1088" s="72" t="s">
        <v>18</v>
      </c>
      <c r="N1088" t="str">
        <f>VLOOKUP(M1088,LUTs!E$2:H$14,3,)</f>
        <v>06King</v>
      </c>
      <c r="O1088" t="str">
        <f>VLOOKUP(M1088,LUTs!E$2:H$14,4,)</f>
        <v>02South Puget Sound</v>
      </c>
      <c r="P1088" s="73">
        <v>119.70370370370399</v>
      </c>
      <c r="Q1088" s="74">
        <f>VLOOKUP(B1088,Readme!A$40:C$51,2,)*P1088</f>
        <v>1035.4370370370395</v>
      </c>
    </row>
    <row r="1089" spans="1:17" ht="12" customHeight="1" x14ac:dyDescent="0.35">
      <c r="A1089" s="75">
        <v>1088</v>
      </c>
      <c r="B1089" s="64">
        <v>2012</v>
      </c>
      <c r="C1089" s="64">
        <v>9</v>
      </c>
      <c r="D1089" s="80">
        <f t="shared" si="35"/>
        <v>2012</v>
      </c>
      <c r="E1089" t="s">
        <v>38</v>
      </c>
      <c r="F1089" t="s">
        <v>143</v>
      </c>
      <c r="G1089" t="s">
        <v>10</v>
      </c>
      <c r="H1089" s="72" t="s">
        <v>220</v>
      </c>
      <c r="I1089" s="72" t="s">
        <v>62</v>
      </c>
      <c r="J1089" t="str">
        <f t="shared" si="36"/>
        <v>Skykomish River</v>
      </c>
      <c r="K1089" t="str">
        <f>IFERROR(VLOOKUP(J1089,LUTs!$A$1:$C$73,2,FALSE),"NA")</f>
        <v>Snohomish</v>
      </c>
      <c r="L1089" t="str">
        <f>IFERROR(VLOOKUP(J1089,LUTs!$A$1:$C$73,3,FALSE),"NA")</f>
        <v>2Central Puget Sound</v>
      </c>
      <c r="M1089" s="72" t="s">
        <v>20</v>
      </c>
      <c r="N1089" t="str">
        <f>VLOOKUP(M1089,LUTs!E$2:H$14,3,)</f>
        <v>07Pierce</v>
      </c>
      <c r="O1089" t="str">
        <f>VLOOKUP(M1089,LUTs!E$2:H$14,4,)</f>
        <v>02South Puget Sound</v>
      </c>
      <c r="P1089" s="73">
        <v>7.4814814814814801</v>
      </c>
      <c r="Q1089" s="74">
        <f>VLOOKUP(B1089,Readme!A$40:C$51,2,)*P1089</f>
        <v>64.714814814814801</v>
      </c>
    </row>
    <row r="1090" spans="1:17" ht="12" customHeight="1" x14ac:dyDescent="0.35">
      <c r="A1090" s="75">
        <v>1089</v>
      </c>
      <c r="B1090" s="64">
        <v>2012</v>
      </c>
      <c r="C1090" s="64">
        <v>9</v>
      </c>
      <c r="D1090" s="80">
        <f t="shared" ref="D1090:D1153" si="37">IF(C1090&gt;3,B1090,B1090-1)</f>
        <v>2012</v>
      </c>
      <c r="E1090" t="s">
        <v>38</v>
      </c>
      <c r="F1090" t="s">
        <v>143</v>
      </c>
      <c r="G1090" t="s">
        <v>10</v>
      </c>
      <c r="H1090" s="72" t="s">
        <v>220</v>
      </c>
      <c r="I1090" s="72" t="s">
        <v>62</v>
      </c>
      <c r="J1090" t="str">
        <f t="shared" si="36"/>
        <v>Skykomish River</v>
      </c>
      <c r="K1090" t="str">
        <f>IFERROR(VLOOKUP(J1090,LUTs!$A$1:$C$73,2,FALSE),"NA")</f>
        <v>Snohomish</v>
      </c>
      <c r="L1090" t="str">
        <f>IFERROR(VLOOKUP(J1090,LUTs!$A$1:$C$73,3,FALSE),"NA")</f>
        <v>2Central Puget Sound</v>
      </c>
      <c r="M1090" s="72" t="s">
        <v>16</v>
      </c>
      <c r="N1090" t="str">
        <f>VLOOKUP(M1090,LUTs!E$2:H$14,3,)</f>
        <v>03Snohomish</v>
      </c>
      <c r="O1090" t="str">
        <f>VLOOKUP(M1090,LUTs!E$2:H$14,4,)</f>
        <v>01North Puget Sound</v>
      </c>
      <c r="P1090" s="73">
        <v>74.814814814814795</v>
      </c>
      <c r="Q1090" s="74">
        <f>VLOOKUP(B1090,Readme!A$40:C$51,2,)*P1090</f>
        <v>647.14814814814804</v>
      </c>
    </row>
    <row r="1091" spans="1:17" ht="12" customHeight="1" x14ac:dyDescent="0.35">
      <c r="A1091" s="75">
        <v>1090</v>
      </c>
      <c r="B1091" s="64">
        <v>2012</v>
      </c>
      <c r="C1091" s="64">
        <v>10</v>
      </c>
      <c r="D1091" s="80">
        <f t="shared" si="37"/>
        <v>2012</v>
      </c>
      <c r="E1091" t="s">
        <v>38</v>
      </c>
      <c r="F1091" t="s">
        <v>143</v>
      </c>
      <c r="G1091" t="s">
        <v>10</v>
      </c>
      <c r="H1091" s="72" t="s">
        <v>220</v>
      </c>
      <c r="I1091" s="72" t="s">
        <v>62</v>
      </c>
      <c r="J1091" t="str">
        <f t="shared" ref="J1091:J1154" si="38">I1091</f>
        <v>Skykomish River</v>
      </c>
      <c r="K1091" t="str">
        <f>IFERROR(VLOOKUP(J1091,LUTs!$A$1:$C$73,2,FALSE),"NA")</f>
        <v>Snohomish</v>
      </c>
      <c r="L1091" t="str">
        <f>IFERROR(VLOOKUP(J1091,LUTs!$A$1:$C$73,3,FALSE),"NA")</f>
        <v>2Central Puget Sound</v>
      </c>
      <c r="M1091" s="72" t="s">
        <v>18</v>
      </c>
      <c r="N1091" t="str">
        <f>VLOOKUP(M1091,LUTs!E$2:H$14,3,)</f>
        <v>06King</v>
      </c>
      <c r="O1091" t="str">
        <f>VLOOKUP(M1091,LUTs!E$2:H$14,4,)</f>
        <v>02South Puget Sound</v>
      </c>
      <c r="P1091" s="73">
        <v>299.59183673469403</v>
      </c>
      <c r="Q1091" s="74">
        <f>VLOOKUP(B1091,Readme!A$40:C$51,2,)*P1091</f>
        <v>2591.4693877551035</v>
      </c>
    </row>
    <row r="1092" spans="1:17" ht="12" customHeight="1" x14ac:dyDescent="0.35">
      <c r="A1092" s="75">
        <v>1091</v>
      </c>
      <c r="B1092" s="64">
        <v>2012</v>
      </c>
      <c r="C1092" s="64">
        <v>10</v>
      </c>
      <c r="D1092" s="80">
        <f t="shared" si="37"/>
        <v>2012</v>
      </c>
      <c r="E1092" t="s">
        <v>38</v>
      </c>
      <c r="F1092" t="s">
        <v>143</v>
      </c>
      <c r="G1092" t="s">
        <v>10</v>
      </c>
      <c r="H1092" s="72" t="s">
        <v>220</v>
      </c>
      <c r="I1092" s="72" t="s">
        <v>62</v>
      </c>
      <c r="J1092" t="str">
        <f t="shared" si="38"/>
        <v>Skykomish River</v>
      </c>
      <c r="K1092" t="str">
        <f>IFERROR(VLOOKUP(J1092,LUTs!$A$1:$C$73,2,FALSE),"NA")</f>
        <v>Snohomish</v>
      </c>
      <c r="L1092" t="str">
        <f>IFERROR(VLOOKUP(J1092,LUTs!$A$1:$C$73,3,FALSE),"NA")</f>
        <v>2Central Puget Sound</v>
      </c>
      <c r="M1092" s="72" t="s">
        <v>26</v>
      </c>
      <c r="N1092" t="str">
        <f>VLOOKUP(M1092,LUTs!E$2:H$14,3,)</f>
        <v>20Other</v>
      </c>
      <c r="O1092" t="str">
        <f>VLOOKUP(M1092,LUTs!E$2:H$14,4,)</f>
        <v>07Non Puget Sound</v>
      </c>
      <c r="P1092" s="73">
        <v>7.4897959183673501</v>
      </c>
      <c r="Q1092" s="74">
        <f>VLOOKUP(B1092,Readme!A$40:C$51,2,)*P1092</f>
        <v>64.786734693877577</v>
      </c>
    </row>
    <row r="1093" spans="1:17" ht="12" customHeight="1" x14ac:dyDescent="0.35">
      <c r="A1093" s="75">
        <v>1092</v>
      </c>
      <c r="B1093" s="64">
        <v>2012</v>
      </c>
      <c r="C1093" s="64">
        <v>10</v>
      </c>
      <c r="D1093" s="80">
        <f t="shared" si="37"/>
        <v>2012</v>
      </c>
      <c r="E1093" t="s">
        <v>38</v>
      </c>
      <c r="F1093" t="s">
        <v>143</v>
      </c>
      <c r="G1093" t="s">
        <v>10</v>
      </c>
      <c r="H1093" s="72" t="s">
        <v>220</v>
      </c>
      <c r="I1093" s="72" t="s">
        <v>62</v>
      </c>
      <c r="J1093" t="str">
        <f t="shared" si="38"/>
        <v>Skykomish River</v>
      </c>
      <c r="K1093" t="str">
        <f>IFERROR(VLOOKUP(J1093,LUTs!$A$1:$C$73,2,FALSE),"NA")</f>
        <v>Snohomish</v>
      </c>
      <c r="L1093" t="str">
        <f>IFERROR(VLOOKUP(J1093,LUTs!$A$1:$C$73,3,FALSE),"NA")</f>
        <v>2Central Puget Sound</v>
      </c>
      <c r="M1093" s="72" t="s">
        <v>16</v>
      </c>
      <c r="N1093" t="str">
        <f>VLOOKUP(M1093,LUTs!E$2:H$14,3,)</f>
        <v>03Snohomish</v>
      </c>
      <c r="O1093" t="str">
        <f>VLOOKUP(M1093,LUTs!E$2:H$14,4,)</f>
        <v>01North Puget Sound</v>
      </c>
      <c r="P1093" s="73">
        <v>793.91836734693902</v>
      </c>
      <c r="Q1093" s="74">
        <f>VLOOKUP(B1093,Readme!A$40:C$51,2,)*P1093</f>
        <v>6867.3938775510233</v>
      </c>
    </row>
    <row r="1094" spans="1:17" ht="12" customHeight="1" x14ac:dyDescent="0.35">
      <c r="A1094" s="75">
        <v>1093</v>
      </c>
      <c r="B1094" s="64">
        <v>2012</v>
      </c>
      <c r="C1094" s="64">
        <v>11</v>
      </c>
      <c r="D1094" s="80">
        <f t="shared" si="37"/>
        <v>2012</v>
      </c>
      <c r="E1094" t="s">
        <v>38</v>
      </c>
      <c r="F1094" t="s">
        <v>143</v>
      </c>
      <c r="G1094" t="s">
        <v>10</v>
      </c>
      <c r="H1094" s="72" t="s">
        <v>220</v>
      </c>
      <c r="I1094" s="72" t="s">
        <v>62</v>
      </c>
      <c r="J1094" t="str">
        <f t="shared" si="38"/>
        <v>Skykomish River</v>
      </c>
      <c r="K1094" t="str">
        <f>IFERROR(VLOOKUP(J1094,LUTs!$A$1:$C$73,2,FALSE),"NA")</f>
        <v>Snohomish</v>
      </c>
      <c r="L1094" t="str">
        <f>IFERROR(VLOOKUP(J1094,LUTs!$A$1:$C$73,3,FALSE),"NA")</f>
        <v>2Central Puget Sound</v>
      </c>
      <c r="M1094" s="72" t="s">
        <v>17</v>
      </c>
      <c r="N1094" t="str">
        <f>VLOOKUP(M1094,LUTs!E$2:H$14,3,)</f>
        <v>04Island</v>
      </c>
      <c r="O1094" t="str">
        <f>VLOOKUP(M1094,LUTs!E$2:H$14,4,)</f>
        <v>01North Puget Sound</v>
      </c>
      <c r="P1094" s="73">
        <v>22.051948051948099</v>
      </c>
      <c r="Q1094" s="74">
        <f>VLOOKUP(B1094,Readme!A$40:C$51,2,)*P1094</f>
        <v>190.74935064935107</v>
      </c>
    </row>
    <row r="1095" spans="1:17" ht="12" customHeight="1" x14ac:dyDescent="0.35">
      <c r="A1095" s="75">
        <v>1094</v>
      </c>
      <c r="B1095" s="64">
        <v>2012</v>
      </c>
      <c r="C1095" s="64">
        <v>11</v>
      </c>
      <c r="D1095" s="80">
        <f t="shared" si="37"/>
        <v>2012</v>
      </c>
      <c r="E1095" t="s">
        <v>38</v>
      </c>
      <c r="F1095" t="s">
        <v>143</v>
      </c>
      <c r="G1095" t="s">
        <v>10</v>
      </c>
      <c r="H1095" s="72" t="s">
        <v>220</v>
      </c>
      <c r="I1095" s="72" t="s">
        <v>62</v>
      </c>
      <c r="J1095" t="str">
        <f t="shared" si="38"/>
        <v>Skykomish River</v>
      </c>
      <c r="K1095" t="str">
        <f>IFERROR(VLOOKUP(J1095,LUTs!$A$1:$C$73,2,FALSE),"NA")</f>
        <v>Snohomish</v>
      </c>
      <c r="L1095" t="str">
        <f>IFERROR(VLOOKUP(J1095,LUTs!$A$1:$C$73,3,FALSE),"NA")</f>
        <v>2Central Puget Sound</v>
      </c>
      <c r="M1095" s="72" t="s">
        <v>18</v>
      </c>
      <c r="N1095" t="str">
        <f>VLOOKUP(M1095,LUTs!E$2:H$14,3,)</f>
        <v>06King</v>
      </c>
      <c r="O1095" t="str">
        <f>VLOOKUP(M1095,LUTs!E$2:H$14,4,)</f>
        <v>02South Puget Sound</v>
      </c>
      <c r="P1095" s="73">
        <v>88.207792207792195</v>
      </c>
      <c r="Q1095" s="74">
        <f>VLOOKUP(B1095,Readme!A$40:C$51,2,)*P1095</f>
        <v>762.99740259740247</v>
      </c>
    </row>
    <row r="1096" spans="1:17" ht="12" customHeight="1" x14ac:dyDescent="0.35">
      <c r="A1096" s="75">
        <v>1095</v>
      </c>
      <c r="B1096" s="64">
        <v>2012</v>
      </c>
      <c r="C1096" s="64">
        <v>11</v>
      </c>
      <c r="D1096" s="80">
        <f t="shared" si="37"/>
        <v>2012</v>
      </c>
      <c r="E1096" t="s">
        <v>38</v>
      </c>
      <c r="F1096" t="s">
        <v>143</v>
      </c>
      <c r="G1096" t="s">
        <v>10</v>
      </c>
      <c r="H1096" s="72" t="s">
        <v>220</v>
      </c>
      <c r="I1096" s="72" t="s">
        <v>62</v>
      </c>
      <c r="J1096" t="str">
        <f t="shared" si="38"/>
        <v>Skykomish River</v>
      </c>
      <c r="K1096" t="str">
        <f>IFERROR(VLOOKUP(J1096,LUTs!$A$1:$C$73,2,FALSE),"NA")</f>
        <v>Snohomish</v>
      </c>
      <c r="L1096" t="str">
        <f>IFERROR(VLOOKUP(J1096,LUTs!$A$1:$C$73,3,FALSE),"NA")</f>
        <v>2Central Puget Sound</v>
      </c>
      <c r="M1096" s="72" t="s">
        <v>26</v>
      </c>
      <c r="N1096" t="str">
        <f>VLOOKUP(M1096,LUTs!E$2:H$14,3,)</f>
        <v>20Other</v>
      </c>
      <c r="O1096" t="str">
        <f>VLOOKUP(M1096,LUTs!E$2:H$14,4,)</f>
        <v>07Non Puget Sound</v>
      </c>
      <c r="P1096" s="73">
        <v>36.753246753246799</v>
      </c>
      <c r="Q1096" s="74">
        <f>VLOOKUP(B1096,Readme!A$40:C$51,2,)*P1096</f>
        <v>317.91558441558482</v>
      </c>
    </row>
    <row r="1097" spans="1:17" ht="12" customHeight="1" x14ac:dyDescent="0.35">
      <c r="A1097" s="75">
        <v>1096</v>
      </c>
      <c r="B1097" s="64">
        <v>2012</v>
      </c>
      <c r="C1097" s="64">
        <v>11</v>
      </c>
      <c r="D1097" s="80">
        <f t="shared" si="37"/>
        <v>2012</v>
      </c>
      <c r="E1097" t="s">
        <v>38</v>
      </c>
      <c r="F1097" t="s">
        <v>143</v>
      </c>
      <c r="G1097" t="s">
        <v>10</v>
      </c>
      <c r="H1097" s="72" t="s">
        <v>220</v>
      </c>
      <c r="I1097" s="72" t="s">
        <v>62</v>
      </c>
      <c r="J1097" t="str">
        <f t="shared" si="38"/>
        <v>Skykomish River</v>
      </c>
      <c r="K1097" t="str">
        <f>IFERROR(VLOOKUP(J1097,LUTs!$A$1:$C$73,2,FALSE),"NA")</f>
        <v>Snohomish</v>
      </c>
      <c r="L1097" t="str">
        <f>IFERROR(VLOOKUP(J1097,LUTs!$A$1:$C$73,3,FALSE),"NA")</f>
        <v>2Central Puget Sound</v>
      </c>
      <c r="M1097" s="72" t="s">
        <v>16</v>
      </c>
      <c r="N1097" t="str">
        <f>VLOOKUP(M1097,LUTs!E$2:H$14,3,)</f>
        <v>03Snohomish</v>
      </c>
      <c r="O1097" t="str">
        <f>VLOOKUP(M1097,LUTs!E$2:H$14,4,)</f>
        <v>01North Puget Sound</v>
      </c>
      <c r="P1097" s="73">
        <v>404.28571428571399</v>
      </c>
      <c r="Q1097" s="74">
        <f>VLOOKUP(B1097,Readme!A$40:C$51,2,)*P1097</f>
        <v>3497.0714285714262</v>
      </c>
    </row>
    <row r="1098" spans="1:17" ht="12" customHeight="1" x14ac:dyDescent="0.35">
      <c r="A1098" s="75">
        <v>1097</v>
      </c>
      <c r="B1098" s="64">
        <v>2012</v>
      </c>
      <c r="C1098" s="64">
        <v>11</v>
      </c>
      <c r="D1098" s="80">
        <f t="shared" si="37"/>
        <v>2012</v>
      </c>
      <c r="E1098" t="s">
        <v>38</v>
      </c>
      <c r="F1098" t="s">
        <v>143</v>
      </c>
      <c r="G1098" t="s">
        <v>10</v>
      </c>
      <c r="H1098" s="72" t="s">
        <v>220</v>
      </c>
      <c r="I1098" s="72" t="s">
        <v>62</v>
      </c>
      <c r="J1098" t="str">
        <f t="shared" si="38"/>
        <v>Skykomish River</v>
      </c>
      <c r="K1098" t="str">
        <f>IFERROR(VLOOKUP(J1098,LUTs!$A$1:$C$73,2,FALSE),"NA")</f>
        <v>Snohomish</v>
      </c>
      <c r="L1098" t="str">
        <f>IFERROR(VLOOKUP(J1098,LUTs!$A$1:$C$73,3,FALSE),"NA")</f>
        <v>2Central Puget Sound</v>
      </c>
      <c r="M1098" s="72" t="s">
        <v>13</v>
      </c>
      <c r="N1098" t="str">
        <f>VLOOKUP(M1098,LUTs!E$2:H$14,3,)</f>
        <v>01Whatcom</v>
      </c>
      <c r="O1098" t="str">
        <f>VLOOKUP(M1098,LUTs!E$2:H$14,4,)</f>
        <v>01North Puget Sound</v>
      </c>
      <c r="P1098" s="73">
        <v>14.7012987012987</v>
      </c>
      <c r="Q1098" s="74">
        <f>VLOOKUP(B1098,Readme!A$40:C$51,2,)*P1098</f>
        <v>127.16623376623376</v>
      </c>
    </row>
    <row r="1099" spans="1:17" ht="12" customHeight="1" x14ac:dyDescent="0.35">
      <c r="A1099" s="75">
        <v>1098</v>
      </c>
      <c r="B1099" s="64">
        <v>2012</v>
      </c>
      <c r="C1099" s="64">
        <v>12</v>
      </c>
      <c r="D1099" s="80">
        <f t="shared" si="37"/>
        <v>2012</v>
      </c>
      <c r="E1099" t="s">
        <v>38</v>
      </c>
      <c r="F1099" t="s">
        <v>143</v>
      </c>
      <c r="G1099" t="s">
        <v>10</v>
      </c>
      <c r="H1099" s="72" t="s">
        <v>220</v>
      </c>
      <c r="I1099" s="72" t="s">
        <v>62</v>
      </c>
      <c r="J1099" t="str">
        <f t="shared" si="38"/>
        <v>Skykomish River</v>
      </c>
      <c r="K1099" t="str">
        <f>IFERROR(VLOOKUP(J1099,LUTs!$A$1:$C$73,2,FALSE),"NA")</f>
        <v>Snohomish</v>
      </c>
      <c r="L1099" t="str">
        <f>IFERROR(VLOOKUP(J1099,LUTs!$A$1:$C$73,3,FALSE),"NA")</f>
        <v>2Central Puget Sound</v>
      </c>
      <c r="M1099" s="72" t="s">
        <v>18</v>
      </c>
      <c r="N1099" t="str">
        <f>VLOOKUP(M1099,LUTs!E$2:H$14,3,)</f>
        <v>06King</v>
      </c>
      <c r="O1099" t="str">
        <f>VLOOKUP(M1099,LUTs!E$2:H$14,4,)</f>
        <v>02South Puget Sound</v>
      </c>
      <c r="P1099" s="73">
        <v>29.1428571428571</v>
      </c>
      <c r="Q1099" s="74">
        <f>VLOOKUP(B1099,Readme!A$40:C$51,2,)*P1099</f>
        <v>252.08571428571392</v>
      </c>
    </row>
    <row r="1100" spans="1:17" ht="12" customHeight="1" x14ac:dyDescent="0.35">
      <c r="A1100" s="75">
        <v>1099</v>
      </c>
      <c r="B1100" s="64">
        <v>2012</v>
      </c>
      <c r="C1100" s="64">
        <v>12</v>
      </c>
      <c r="D1100" s="80">
        <f t="shared" si="37"/>
        <v>2012</v>
      </c>
      <c r="E1100" t="s">
        <v>38</v>
      </c>
      <c r="F1100" t="s">
        <v>143</v>
      </c>
      <c r="G1100" t="s">
        <v>10</v>
      </c>
      <c r="H1100" s="72" t="s">
        <v>220</v>
      </c>
      <c r="I1100" s="72" t="s">
        <v>62</v>
      </c>
      <c r="J1100" t="str">
        <f t="shared" si="38"/>
        <v>Skykomish River</v>
      </c>
      <c r="K1100" t="str">
        <f>IFERROR(VLOOKUP(J1100,LUTs!$A$1:$C$73,2,FALSE),"NA")</f>
        <v>Snohomish</v>
      </c>
      <c r="L1100" t="str">
        <f>IFERROR(VLOOKUP(J1100,LUTs!$A$1:$C$73,3,FALSE),"NA")</f>
        <v>2Central Puget Sound</v>
      </c>
      <c r="M1100" s="72" t="s">
        <v>16</v>
      </c>
      <c r="N1100" t="str">
        <f>VLOOKUP(M1100,LUTs!E$2:H$14,3,)</f>
        <v>03Snohomish</v>
      </c>
      <c r="O1100" t="str">
        <f>VLOOKUP(M1100,LUTs!E$2:H$14,4,)</f>
        <v>01North Puget Sound</v>
      </c>
      <c r="P1100" s="73">
        <v>21.8571428571429</v>
      </c>
      <c r="Q1100" s="74">
        <f>VLOOKUP(B1100,Readme!A$40:C$51,2,)*P1100</f>
        <v>189.06428571428609</v>
      </c>
    </row>
    <row r="1101" spans="1:17" ht="12" customHeight="1" x14ac:dyDescent="0.35">
      <c r="A1101" s="75">
        <v>1100</v>
      </c>
      <c r="B1101" s="64">
        <v>2012</v>
      </c>
      <c r="C1101" s="64">
        <v>9</v>
      </c>
      <c r="D1101" s="80">
        <f t="shared" si="37"/>
        <v>2012</v>
      </c>
      <c r="E1101" t="s">
        <v>38</v>
      </c>
      <c r="F1101" t="s">
        <v>143</v>
      </c>
      <c r="G1101" t="s">
        <v>10</v>
      </c>
      <c r="H1101" s="72" t="s">
        <v>221</v>
      </c>
      <c r="I1101" s="72" t="s">
        <v>63</v>
      </c>
      <c r="J1101" t="str">
        <f t="shared" si="38"/>
        <v>Snohomish River</v>
      </c>
      <c r="K1101" t="str">
        <f>IFERROR(VLOOKUP(J1101,LUTs!$A$1:$C$73,2,FALSE),"NA")</f>
        <v>Snohomish</v>
      </c>
      <c r="L1101" t="str">
        <f>IFERROR(VLOOKUP(J1101,LUTs!$A$1:$C$73,3,FALSE),"NA")</f>
        <v>2Central Puget Sound</v>
      </c>
      <c r="M1101" s="72" t="s">
        <v>17</v>
      </c>
      <c r="N1101" t="str">
        <f>VLOOKUP(M1101,LUTs!E$2:H$14,3,)</f>
        <v>04Island</v>
      </c>
      <c r="O1101" t="str">
        <f>VLOOKUP(M1101,LUTs!E$2:H$14,4,)</f>
        <v>01North Puget Sound</v>
      </c>
      <c r="P1101" s="73">
        <v>14.544169611307399</v>
      </c>
      <c r="Q1101" s="74">
        <f>VLOOKUP(B1101,Readme!A$40:C$51,2,)*P1101</f>
        <v>125.80706713780901</v>
      </c>
    </row>
    <row r="1102" spans="1:17" ht="12" customHeight="1" x14ac:dyDescent="0.35">
      <c r="A1102" s="75">
        <v>1101</v>
      </c>
      <c r="B1102" s="64">
        <v>2012</v>
      </c>
      <c r="C1102" s="64">
        <v>9</v>
      </c>
      <c r="D1102" s="80">
        <f t="shared" si="37"/>
        <v>2012</v>
      </c>
      <c r="E1102" t="s">
        <v>38</v>
      </c>
      <c r="F1102" t="s">
        <v>143</v>
      </c>
      <c r="G1102" t="s">
        <v>10</v>
      </c>
      <c r="H1102" s="72" t="s">
        <v>221</v>
      </c>
      <c r="I1102" s="72" t="s">
        <v>63</v>
      </c>
      <c r="J1102" t="str">
        <f t="shared" si="38"/>
        <v>Snohomish River</v>
      </c>
      <c r="K1102" t="str">
        <f>IFERROR(VLOOKUP(J1102,LUTs!$A$1:$C$73,2,FALSE),"NA")</f>
        <v>Snohomish</v>
      </c>
      <c r="L1102" t="str">
        <f>IFERROR(VLOOKUP(J1102,LUTs!$A$1:$C$73,3,FALSE),"NA")</f>
        <v>2Central Puget Sound</v>
      </c>
      <c r="M1102" s="72" t="s">
        <v>18</v>
      </c>
      <c r="N1102" t="str">
        <f>VLOOKUP(M1102,LUTs!E$2:H$14,3,)</f>
        <v>06King</v>
      </c>
      <c r="O1102" t="str">
        <f>VLOOKUP(M1102,LUTs!E$2:H$14,4,)</f>
        <v>02South Puget Sound</v>
      </c>
      <c r="P1102" s="73">
        <v>312.69964664310999</v>
      </c>
      <c r="Q1102" s="74">
        <f>VLOOKUP(B1102,Readme!A$40:C$51,2,)*P1102</f>
        <v>2704.8519434629015</v>
      </c>
    </row>
    <row r="1103" spans="1:17" ht="12" customHeight="1" x14ac:dyDescent="0.35">
      <c r="A1103" s="75">
        <v>1102</v>
      </c>
      <c r="B1103" s="64">
        <v>2012</v>
      </c>
      <c r="C1103" s="64">
        <v>9</v>
      </c>
      <c r="D1103" s="80">
        <f t="shared" si="37"/>
        <v>2012</v>
      </c>
      <c r="E1103" t="s">
        <v>38</v>
      </c>
      <c r="F1103" t="s">
        <v>143</v>
      </c>
      <c r="G1103" t="s">
        <v>10</v>
      </c>
      <c r="H1103" s="72" t="s">
        <v>221</v>
      </c>
      <c r="I1103" s="72" t="s">
        <v>63</v>
      </c>
      <c r="J1103" t="str">
        <f t="shared" si="38"/>
        <v>Snohomish River</v>
      </c>
      <c r="K1103" t="str">
        <f>IFERROR(VLOOKUP(J1103,LUTs!$A$1:$C$73,2,FALSE),"NA")</f>
        <v>Snohomish</v>
      </c>
      <c r="L1103" t="str">
        <f>IFERROR(VLOOKUP(J1103,LUTs!$A$1:$C$73,3,FALSE),"NA")</f>
        <v>2Central Puget Sound</v>
      </c>
      <c r="M1103" s="72" t="s">
        <v>26</v>
      </c>
      <c r="N1103" t="str">
        <f>VLOOKUP(M1103,LUTs!E$2:H$14,3,)</f>
        <v>20Other</v>
      </c>
      <c r="O1103" t="str">
        <f>VLOOKUP(M1103,LUTs!E$2:H$14,4,)</f>
        <v>07Non Puget Sound</v>
      </c>
      <c r="P1103" s="73">
        <v>36.360424028268604</v>
      </c>
      <c r="Q1103" s="74">
        <f>VLOOKUP(B1103,Readme!A$40:C$51,2,)*P1103</f>
        <v>314.51766784452343</v>
      </c>
    </row>
    <row r="1104" spans="1:17" ht="12" customHeight="1" x14ac:dyDescent="0.35">
      <c r="A1104" s="75">
        <v>1103</v>
      </c>
      <c r="B1104" s="64">
        <v>2012</v>
      </c>
      <c r="C1104" s="64">
        <v>9</v>
      </c>
      <c r="D1104" s="80">
        <f t="shared" si="37"/>
        <v>2012</v>
      </c>
      <c r="E1104" t="s">
        <v>38</v>
      </c>
      <c r="F1104" t="s">
        <v>143</v>
      </c>
      <c r="G1104" t="s">
        <v>10</v>
      </c>
      <c r="H1104" s="72" t="s">
        <v>221</v>
      </c>
      <c r="I1104" s="72" t="s">
        <v>63</v>
      </c>
      <c r="J1104" t="str">
        <f t="shared" si="38"/>
        <v>Snohomish River</v>
      </c>
      <c r="K1104" t="str">
        <f>IFERROR(VLOOKUP(J1104,LUTs!$A$1:$C$73,2,FALSE),"NA")</f>
        <v>Snohomish</v>
      </c>
      <c r="L1104" t="str">
        <f>IFERROR(VLOOKUP(J1104,LUTs!$A$1:$C$73,3,FALSE),"NA")</f>
        <v>2Central Puget Sound</v>
      </c>
      <c r="M1104" s="72" t="s">
        <v>15</v>
      </c>
      <c r="N1104" t="str">
        <f>VLOOKUP(M1104,LUTs!E$2:H$14,3,)</f>
        <v>02Skagit</v>
      </c>
      <c r="O1104" t="str">
        <f>VLOOKUP(M1104,LUTs!E$2:H$14,4,)</f>
        <v>01North Puget Sound</v>
      </c>
      <c r="P1104" s="73">
        <v>14.544169611307399</v>
      </c>
      <c r="Q1104" s="74">
        <f>VLOOKUP(B1104,Readme!A$40:C$51,2,)*P1104</f>
        <v>125.80706713780901</v>
      </c>
    </row>
    <row r="1105" spans="1:17" ht="12" customHeight="1" x14ac:dyDescent="0.35">
      <c r="A1105" s="75">
        <v>1104</v>
      </c>
      <c r="B1105" s="64">
        <v>2012</v>
      </c>
      <c r="C1105" s="64">
        <v>9</v>
      </c>
      <c r="D1105" s="80">
        <f t="shared" si="37"/>
        <v>2012</v>
      </c>
      <c r="E1105" t="s">
        <v>38</v>
      </c>
      <c r="F1105" t="s">
        <v>143</v>
      </c>
      <c r="G1105" t="s">
        <v>10</v>
      </c>
      <c r="H1105" s="72" t="s">
        <v>221</v>
      </c>
      <c r="I1105" s="72" t="s">
        <v>63</v>
      </c>
      <c r="J1105" t="str">
        <f t="shared" si="38"/>
        <v>Snohomish River</v>
      </c>
      <c r="K1105" t="str">
        <f>IFERROR(VLOOKUP(J1105,LUTs!$A$1:$C$73,2,FALSE),"NA")</f>
        <v>Snohomish</v>
      </c>
      <c r="L1105" t="str">
        <f>IFERROR(VLOOKUP(J1105,LUTs!$A$1:$C$73,3,FALSE),"NA")</f>
        <v>2Central Puget Sound</v>
      </c>
      <c r="M1105" s="72" t="s">
        <v>16</v>
      </c>
      <c r="N1105" t="str">
        <f>VLOOKUP(M1105,LUTs!E$2:H$14,3,)</f>
        <v>03Snohomish</v>
      </c>
      <c r="O1105" t="str">
        <f>VLOOKUP(M1105,LUTs!E$2:H$14,4,)</f>
        <v>01North Puget Sound</v>
      </c>
      <c r="P1105" s="73">
        <v>1665.3074204947</v>
      </c>
      <c r="Q1105" s="74">
        <f>VLOOKUP(B1105,Readme!A$40:C$51,2,)*P1105</f>
        <v>14404.909187279156</v>
      </c>
    </row>
    <row r="1106" spans="1:17" ht="12" customHeight="1" x14ac:dyDescent="0.35">
      <c r="A1106" s="75">
        <v>1105</v>
      </c>
      <c r="B1106" s="64">
        <v>2012</v>
      </c>
      <c r="C1106" s="64">
        <v>9</v>
      </c>
      <c r="D1106" s="80">
        <f t="shared" si="37"/>
        <v>2012</v>
      </c>
      <c r="E1106" t="s">
        <v>38</v>
      </c>
      <c r="F1106" t="s">
        <v>143</v>
      </c>
      <c r="G1106" t="s">
        <v>10</v>
      </c>
      <c r="H1106" s="72" t="s">
        <v>221</v>
      </c>
      <c r="I1106" s="72" t="s">
        <v>63</v>
      </c>
      <c r="J1106" t="str">
        <f t="shared" si="38"/>
        <v>Snohomish River</v>
      </c>
      <c r="K1106" t="str">
        <f>IFERROR(VLOOKUP(J1106,LUTs!$A$1:$C$73,2,FALSE),"NA")</f>
        <v>Snohomish</v>
      </c>
      <c r="L1106" t="str">
        <f>IFERROR(VLOOKUP(J1106,LUTs!$A$1:$C$73,3,FALSE),"NA")</f>
        <v>2Central Puget Sound</v>
      </c>
      <c r="M1106" s="72" t="s">
        <v>21</v>
      </c>
      <c r="N1106" t="str">
        <f>VLOOKUP(M1106,LUTs!E$2:H$14,3,)</f>
        <v>08Thurston</v>
      </c>
      <c r="O1106" t="str">
        <f>VLOOKUP(M1106,LUTs!E$2:H$14,4,)</f>
        <v>02South Puget Sound</v>
      </c>
      <c r="P1106" s="73">
        <v>7.2720848056537104</v>
      </c>
      <c r="Q1106" s="74">
        <f>VLOOKUP(B1106,Readme!A$40:C$51,2,)*P1106</f>
        <v>62.903533568904599</v>
      </c>
    </row>
    <row r="1107" spans="1:17" ht="12" customHeight="1" x14ac:dyDescent="0.35">
      <c r="A1107" s="75">
        <v>1106</v>
      </c>
      <c r="B1107" s="64">
        <v>2012</v>
      </c>
      <c r="C1107" s="64">
        <v>9</v>
      </c>
      <c r="D1107" s="80">
        <f t="shared" si="37"/>
        <v>2012</v>
      </c>
      <c r="E1107" t="s">
        <v>38</v>
      </c>
      <c r="F1107" t="s">
        <v>143</v>
      </c>
      <c r="G1107" t="s">
        <v>10</v>
      </c>
      <c r="H1107" s="72" t="s">
        <v>221</v>
      </c>
      <c r="I1107" s="72" t="s">
        <v>63</v>
      </c>
      <c r="J1107" t="str">
        <f t="shared" si="38"/>
        <v>Snohomish River</v>
      </c>
      <c r="K1107" t="str">
        <f>IFERROR(VLOOKUP(J1107,LUTs!$A$1:$C$73,2,FALSE),"NA")</f>
        <v>Snohomish</v>
      </c>
      <c r="L1107" t="str">
        <f>IFERROR(VLOOKUP(J1107,LUTs!$A$1:$C$73,3,FALSE),"NA")</f>
        <v>2Central Puget Sound</v>
      </c>
      <c r="M1107" s="72" t="s">
        <v>13</v>
      </c>
      <c r="N1107" t="str">
        <f>VLOOKUP(M1107,LUTs!E$2:H$14,3,)</f>
        <v>01Whatcom</v>
      </c>
      <c r="O1107" t="str">
        <f>VLOOKUP(M1107,LUTs!E$2:H$14,4,)</f>
        <v>01North Puget Sound</v>
      </c>
      <c r="P1107" s="73">
        <v>7.2720848056537104</v>
      </c>
      <c r="Q1107" s="74">
        <f>VLOOKUP(B1107,Readme!A$40:C$51,2,)*P1107</f>
        <v>62.903533568904599</v>
      </c>
    </row>
    <row r="1108" spans="1:17" ht="12" customHeight="1" x14ac:dyDescent="0.35">
      <c r="A1108" s="75">
        <v>1107</v>
      </c>
      <c r="B1108" s="64">
        <v>2012</v>
      </c>
      <c r="C1108" s="64">
        <v>10</v>
      </c>
      <c r="D1108" s="80">
        <f t="shared" si="37"/>
        <v>2012</v>
      </c>
      <c r="E1108" t="s">
        <v>38</v>
      </c>
      <c r="F1108" t="s">
        <v>143</v>
      </c>
      <c r="G1108" t="s">
        <v>10</v>
      </c>
      <c r="H1108" s="72" t="s">
        <v>221</v>
      </c>
      <c r="I1108" s="72" t="s">
        <v>63</v>
      </c>
      <c r="J1108" t="str">
        <f t="shared" si="38"/>
        <v>Snohomish River</v>
      </c>
      <c r="K1108" t="str">
        <f>IFERROR(VLOOKUP(J1108,LUTs!$A$1:$C$73,2,FALSE),"NA")</f>
        <v>Snohomish</v>
      </c>
      <c r="L1108" t="str">
        <f>IFERROR(VLOOKUP(J1108,LUTs!$A$1:$C$73,3,FALSE),"NA")</f>
        <v>2Central Puget Sound</v>
      </c>
      <c r="M1108" s="72" t="s">
        <v>24</v>
      </c>
      <c r="N1108" t="str">
        <f>VLOOKUP(M1108,LUTs!E$2:H$14,3,)</f>
        <v>11Clallam</v>
      </c>
      <c r="O1108" t="str">
        <f>VLOOKUP(M1108,LUTs!E$2:H$14,4,)</f>
        <v>03Strait of Juan de Fuca</v>
      </c>
      <c r="P1108" s="73">
        <v>7.2708333333333401</v>
      </c>
      <c r="Q1108" s="74">
        <f>VLOOKUP(B1108,Readme!A$40:C$51,2,)*P1108</f>
        <v>62.892708333333395</v>
      </c>
    </row>
    <row r="1109" spans="1:17" ht="12" customHeight="1" x14ac:dyDescent="0.35">
      <c r="A1109" s="75">
        <v>1108</v>
      </c>
      <c r="B1109" s="64">
        <v>2012</v>
      </c>
      <c r="C1109" s="64">
        <v>10</v>
      </c>
      <c r="D1109" s="80">
        <f t="shared" si="37"/>
        <v>2012</v>
      </c>
      <c r="E1109" t="s">
        <v>38</v>
      </c>
      <c r="F1109" t="s">
        <v>143</v>
      </c>
      <c r="G1109" t="s">
        <v>10</v>
      </c>
      <c r="H1109" s="72" t="s">
        <v>221</v>
      </c>
      <c r="I1109" s="72" t="s">
        <v>63</v>
      </c>
      <c r="J1109" t="str">
        <f t="shared" si="38"/>
        <v>Snohomish River</v>
      </c>
      <c r="K1109" t="str">
        <f>IFERROR(VLOOKUP(J1109,LUTs!$A$1:$C$73,2,FALSE),"NA")</f>
        <v>Snohomish</v>
      </c>
      <c r="L1109" t="str">
        <f>IFERROR(VLOOKUP(J1109,LUTs!$A$1:$C$73,3,FALSE),"NA")</f>
        <v>2Central Puget Sound</v>
      </c>
      <c r="M1109" s="72" t="s">
        <v>17</v>
      </c>
      <c r="N1109" t="str">
        <f>VLOOKUP(M1109,LUTs!E$2:H$14,3,)</f>
        <v>04Island</v>
      </c>
      <c r="O1109" t="str">
        <f>VLOOKUP(M1109,LUTs!E$2:H$14,4,)</f>
        <v>01North Puget Sound</v>
      </c>
      <c r="P1109" s="73">
        <v>21.8125</v>
      </c>
      <c r="Q1109" s="74">
        <f>VLOOKUP(B1109,Readme!A$40:C$51,2,)*P1109</f>
        <v>188.67812499999999</v>
      </c>
    </row>
    <row r="1110" spans="1:17" ht="12" customHeight="1" x14ac:dyDescent="0.35">
      <c r="A1110" s="75">
        <v>1109</v>
      </c>
      <c r="B1110" s="64">
        <v>2012</v>
      </c>
      <c r="C1110" s="64">
        <v>10</v>
      </c>
      <c r="D1110" s="80">
        <f t="shared" si="37"/>
        <v>2012</v>
      </c>
      <c r="E1110" t="s">
        <v>38</v>
      </c>
      <c r="F1110" t="s">
        <v>143</v>
      </c>
      <c r="G1110" t="s">
        <v>10</v>
      </c>
      <c r="H1110" s="72" t="s">
        <v>221</v>
      </c>
      <c r="I1110" s="72" t="s">
        <v>63</v>
      </c>
      <c r="J1110" t="str">
        <f t="shared" si="38"/>
        <v>Snohomish River</v>
      </c>
      <c r="K1110" t="str">
        <f>IFERROR(VLOOKUP(J1110,LUTs!$A$1:$C$73,2,FALSE),"NA")</f>
        <v>Snohomish</v>
      </c>
      <c r="L1110" t="str">
        <f>IFERROR(VLOOKUP(J1110,LUTs!$A$1:$C$73,3,FALSE),"NA")</f>
        <v>2Central Puget Sound</v>
      </c>
      <c r="M1110" s="72" t="s">
        <v>18</v>
      </c>
      <c r="N1110" t="str">
        <f>VLOOKUP(M1110,LUTs!E$2:H$14,3,)</f>
        <v>06King</v>
      </c>
      <c r="O1110" t="str">
        <f>VLOOKUP(M1110,LUTs!E$2:H$14,4,)</f>
        <v>02South Puget Sound</v>
      </c>
      <c r="P1110" s="73">
        <v>857.95833333333405</v>
      </c>
      <c r="Q1110" s="74">
        <f>VLOOKUP(B1110,Readme!A$40:C$51,2,)*P1110</f>
        <v>7421.3395833333398</v>
      </c>
    </row>
    <row r="1111" spans="1:17" ht="12" customHeight="1" x14ac:dyDescent="0.35">
      <c r="A1111" s="75">
        <v>1110</v>
      </c>
      <c r="B1111" s="64">
        <v>2012</v>
      </c>
      <c r="C1111" s="64">
        <v>10</v>
      </c>
      <c r="D1111" s="80">
        <f t="shared" si="37"/>
        <v>2012</v>
      </c>
      <c r="E1111" t="s">
        <v>38</v>
      </c>
      <c r="F1111" t="s">
        <v>143</v>
      </c>
      <c r="G1111" t="s">
        <v>10</v>
      </c>
      <c r="H1111" s="72" t="s">
        <v>221</v>
      </c>
      <c r="I1111" s="72" t="s">
        <v>63</v>
      </c>
      <c r="J1111" t="str">
        <f t="shared" si="38"/>
        <v>Snohomish River</v>
      </c>
      <c r="K1111" t="str">
        <f>IFERROR(VLOOKUP(J1111,LUTs!$A$1:$C$73,2,FALSE),"NA")</f>
        <v>Snohomish</v>
      </c>
      <c r="L1111" t="str">
        <f>IFERROR(VLOOKUP(J1111,LUTs!$A$1:$C$73,3,FALSE),"NA")</f>
        <v>2Central Puget Sound</v>
      </c>
      <c r="M1111" s="72" t="s">
        <v>26</v>
      </c>
      <c r="N1111" t="str">
        <f>VLOOKUP(M1111,LUTs!E$2:H$14,3,)</f>
        <v>20Other</v>
      </c>
      <c r="O1111" t="str">
        <f>VLOOKUP(M1111,LUTs!E$2:H$14,4,)</f>
        <v>07Non Puget Sound</v>
      </c>
      <c r="P1111" s="73">
        <v>109.0625</v>
      </c>
      <c r="Q1111" s="74">
        <f>VLOOKUP(B1111,Readme!A$40:C$51,2,)*P1111</f>
        <v>943.390625</v>
      </c>
    </row>
    <row r="1112" spans="1:17" ht="12" customHeight="1" x14ac:dyDescent="0.35">
      <c r="A1112" s="75">
        <v>1111</v>
      </c>
      <c r="B1112" s="64">
        <v>2012</v>
      </c>
      <c r="C1112" s="64">
        <v>10</v>
      </c>
      <c r="D1112" s="80">
        <f t="shared" si="37"/>
        <v>2012</v>
      </c>
      <c r="E1112" t="s">
        <v>38</v>
      </c>
      <c r="F1112" t="s">
        <v>143</v>
      </c>
      <c r="G1112" t="s">
        <v>10</v>
      </c>
      <c r="H1112" s="72" t="s">
        <v>221</v>
      </c>
      <c r="I1112" s="72" t="s">
        <v>63</v>
      </c>
      <c r="J1112" t="str">
        <f t="shared" si="38"/>
        <v>Snohomish River</v>
      </c>
      <c r="K1112" t="str">
        <f>IFERROR(VLOOKUP(J1112,LUTs!$A$1:$C$73,2,FALSE),"NA")</f>
        <v>Snohomish</v>
      </c>
      <c r="L1112" t="str">
        <f>IFERROR(VLOOKUP(J1112,LUTs!$A$1:$C$73,3,FALSE),"NA")</f>
        <v>2Central Puget Sound</v>
      </c>
      <c r="M1112" s="72" t="s">
        <v>20</v>
      </c>
      <c r="N1112" t="str">
        <f>VLOOKUP(M1112,LUTs!E$2:H$14,3,)</f>
        <v>07Pierce</v>
      </c>
      <c r="O1112" t="str">
        <f>VLOOKUP(M1112,LUTs!E$2:H$14,4,)</f>
        <v>02South Puget Sound</v>
      </c>
      <c r="P1112" s="73">
        <v>50.8958333333333</v>
      </c>
      <c r="Q1112" s="74">
        <f>VLOOKUP(B1112,Readme!A$40:C$51,2,)*P1112</f>
        <v>440.24895833333306</v>
      </c>
    </row>
    <row r="1113" spans="1:17" ht="12" customHeight="1" x14ac:dyDescent="0.35">
      <c r="A1113" s="75">
        <v>1112</v>
      </c>
      <c r="B1113" s="64">
        <v>2012</v>
      </c>
      <c r="C1113" s="64">
        <v>10</v>
      </c>
      <c r="D1113" s="80">
        <f t="shared" si="37"/>
        <v>2012</v>
      </c>
      <c r="E1113" t="s">
        <v>38</v>
      </c>
      <c r="F1113" t="s">
        <v>143</v>
      </c>
      <c r="G1113" t="s">
        <v>10</v>
      </c>
      <c r="H1113" s="72" t="s">
        <v>221</v>
      </c>
      <c r="I1113" s="72" t="s">
        <v>63</v>
      </c>
      <c r="J1113" t="str">
        <f t="shared" si="38"/>
        <v>Snohomish River</v>
      </c>
      <c r="K1113" t="str">
        <f>IFERROR(VLOOKUP(J1113,LUTs!$A$1:$C$73,2,FALSE),"NA")</f>
        <v>Snohomish</v>
      </c>
      <c r="L1113" t="str">
        <f>IFERROR(VLOOKUP(J1113,LUTs!$A$1:$C$73,3,FALSE),"NA")</f>
        <v>2Central Puget Sound</v>
      </c>
      <c r="M1113" s="72" t="s">
        <v>15</v>
      </c>
      <c r="N1113" t="str">
        <f>VLOOKUP(M1113,LUTs!E$2:H$14,3,)</f>
        <v>02Skagit</v>
      </c>
      <c r="O1113" t="str">
        <f>VLOOKUP(M1113,LUTs!E$2:H$14,4,)</f>
        <v>01North Puget Sound</v>
      </c>
      <c r="P1113" s="73">
        <v>7.2708333333333401</v>
      </c>
      <c r="Q1113" s="74">
        <f>VLOOKUP(B1113,Readme!A$40:C$51,2,)*P1113</f>
        <v>62.892708333333395</v>
      </c>
    </row>
    <row r="1114" spans="1:17" ht="12" customHeight="1" x14ac:dyDescent="0.35">
      <c r="A1114" s="75">
        <v>1113</v>
      </c>
      <c r="B1114" s="64">
        <v>2012</v>
      </c>
      <c r="C1114" s="64">
        <v>10</v>
      </c>
      <c r="D1114" s="80">
        <f t="shared" si="37"/>
        <v>2012</v>
      </c>
      <c r="E1114" t="s">
        <v>38</v>
      </c>
      <c r="F1114" t="s">
        <v>143</v>
      </c>
      <c r="G1114" t="s">
        <v>10</v>
      </c>
      <c r="H1114" s="72" t="s">
        <v>221</v>
      </c>
      <c r="I1114" s="72" t="s">
        <v>63</v>
      </c>
      <c r="J1114" t="str">
        <f t="shared" si="38"/>
        <v>Snohomish River</v>
      </c>
      <c r="K1114" t="str">
        <f>IFERROR(VLOOKUP(J1114,LUTs!$A$1:$C$73,2,FALSE),"NA")</f>
        <v>Snohomish</v>
      </c>
      <c r="L1114" t="str">
        <f>IFERROR(VLOOKUP(J1114,LUTs!$A$1:$C$73,3,FALSE),"NA")</f>
        <v>2Central Puget Sound</v>
      </c>
      <c r="M1114" s="72" t="s">
        <v>16</v>
      </c>
      <c r="N1114" t="str">
        <f>VLOOKUP(M1114,LUTs!E$2:H$14,3,)</f>
        <v>03Snohomish</v>
      </c>
      <c r="O1114" t="str">
        <f>VLOOKUP(M1114,LUTs!E$2:H$14,4,)</f>
        <v>01North Puget Sound</v>
      </c>
      <c r="P1114" s="73">
        <v>1730.4583333333301</v>
      </c>
      <c r="Q1114" s="74">
        <f>VLOOKUP(B1114,Readme!A$40:C$51,2,)*P1114</f>
        <v>14968.464583333305</v>
      </c>
    </row>
    <row r="1115" spans="1:17" ht="12" customHeight="1" x14ac:dyDescent="0.35">
      <c r="A1115" s="75">
        <v>1114</v>
      </c>
      <c r="B1115" s="64">
        <v>2012</v>
      </c>
      <c r="C1115" s="64">
        <v>10</v>
      </c>
      <c r="D1115" s="80">
        <f t="shared" si="37"/>
        <v>2012</v>
      </c>
      <c r="E1115" t="s">
        <v>38</v>
      </c>
      <c r="F1115" t="s">
        <v>143</v>
      </c>
      <c r="G1115" t="s">
        <v>10</v>
      </c>
      <c r="H1115" s="72" t="s">
        <v>221</v>
      </c>
      <c r="I1115" s="72" t="s">
        <v>63</v>
      </c>
      <c r="J1115" t="str">
        <f t="shared" si="38"/>
        <v>Snohomish River</v>
      </c>
      <c r="K1115" t="str">
        <f>IFERROR(VLOOKUP(J1115,LUTs!$A$1:$C$73,2,FALSE),"NA")</f>
        <v>Snohomish</v>
      </c>
      <c r="L1115" t="str">
        <f>IFERROR(VLOOKUP(J1115,LUTs!$A$1:$C$73,3,FALSE),"NA")</f>
        <v>2Central Puget Sound</v>
      </c>
      <c r="M1115" s="72" t="s">
        <v>13</v>
      </c>
      <c r="N1115" t="str">
        <f>VLOOKUP(M1115,LUTs!E$2:H$14,3,)</f>
        <v>01Whatcom</v>
      </c>
      <c r="O1115" t="str">
        <f>VLOOKUP(M1115,LUTs!E$2:H$14,4,)</f>
        <v>01North Puget Sound</v>
      </c>
      <c r="P1115" s="73">
        <v>7.2708333333333401</v>
      </c>
      <c r="Q1115" s="74">
        <f>VLOOKUP(B1115,Readme!A$40:C$51,2,)*P1115</f>
        <v>62.892708333333395</v>
      </c>
    </row>
    <row r="1116" spans="1:17" ht="12" customHeight="1" x14ac:dyDescent="0.35">
      <c r="A1116" s="75">
        <v>1115</v>
      </c>
      <c r="B1116" s="64">
        <v>2012</v>
      </c>
      <c r="C1116" s="64">
        <v>11</v>
      </c>
      <c r="D1116" s="80">
        <f t="shared" si="37"/>
        <v>2012</v>
      </c>
      <c r="E1116" t="s">
        <v>38</v>
      </c>
      <c r="F1116" t="s">
        <v>143</v>
      </c>
      <c r="G1116" t="s">
        <v>10</v>
      </c>
      <c r="H1116" s="72" t="s">
        <v>221</v>
      </c>
      <c r="I1116" s="72" t="s">
        <v>63</v>
      </c>
      <c r="J1116" t="str">
        <f t="shared" si="38"/>
        <v>Snohomish River</v>
      </c>
      <c r="K1116" t="str">
        <f>IFERROR(VLOOKUP(J1116,LUTs!$A$1:$C$73,2,FALSE),"NA")</f>
        <v>Snohomish</v>
      </c>
      <c r="L1116" t="str">
        <f>IFERROR(VLOOKUP(J1116,LUTs!$A$1:$C$73,3,FALSE),"NA")</f>
        <v>2Central Puget Sound</v>
      </c>
      <c r="M1116" s="72" t="s">
        <v>16</v>
      </c>
      <c r="N1116" t="str">
        <f>VLOOKUP(M1116,LUTs!E$2:H$14,3,)</f>
        <v>03Snohomish</v>
      </c>
      <c r="O1116" t="str">
        <f>VLOOKUP(M1116,LUTs!E$2:H$14,4,)</f>
        <v>01North Puget Sound</v>
      </c>
      <c r="P1116" s="73">
        <v>29</v>
      </c>
      <c r="Q1116" s="74">
        <f>VLOOKUP(B1116,Readme!A$40:C$51,2,)*P1116</f>
        <v>250.85000000000002</v>
      </c>
    </row>
    <row r="1117" spans="1:17" ht="12" customHeight="1" x14ac:dyDescent="0.35">
      <c r="A1117" s="75">
        <v>1116</v>
      </c>
      <c r="B1117" s="64">
        <v>2012</v>
      </c>
      <c r="C1117" s="64">
        <v>9</v>
      </c>
      <c r="D1117" s="80">
        <f t="shared" si="37"/>
        <v>2012</v>
      </c>
      <c r="E1117" t="s">
        <v>38</v>
      </c>
      <c r="F1117" t="s">
        <v>143</v>
      </c>
      <c r="G1117" t="s">
        <v>10</v>
      </c>
      <c r="H1117" s="72" t="s">
        <v>222</v>
      </c>
      <c r="I1117" s="72" t="s">
        <v>64</v>
      </c>
      <c r="J1117" t="str">
        <f t="shared" si="38"/>
        <v>Snoqualmie River</v>
      </c>
      <c r="K1117" t="str">
        <f>IFERROR(VLOOKUP(J1117,LUTs!$A$1:$C$73,2,FALSE),"NA")</f>
        <v>Snohomish/King</v>
      </c>
      <c r="L1117" t="str">
        <f>IFERROR(VLOOKUP(J1117,LUTs!$A$1:$C$73,3,FALSE),"NA")</f>
        <v>2Central Puget Sound</v>
      </c>
      <c r="M1117" s="72" t="s">
        <v>26</v>
      </c>
      <c r="N1117" t="str">
        <f>VLOOKUP(M1117,LUTs!E$2:H$14,3,)</f>
        <v>20Other</v>
      </c>
      <c r="O1117" t="str">
        <f>VLOOKUP(M1117,LUTs!E$2:H$14,4,)</f>
        <v>07Non Puget Sound</v>
      </c>
      <c r="P1117" s="73">
        <v>14</v>
      </c>
      <c r="Q1117" s="74">
        <f>VLOOKUP(B1117,Readme!A$40:C$51,2,)*P1117</f>
        <v>121.10000000000001</v>
      </c>
    </row>
    <row r="1118" spans="1:17" ht="12" customHeight="1" x14ac:dyDescent="0.35">
      <c r="A1118" s="75">
        <v>1117</v>
      </c>
      <c r="B1118" s="64">
        <v>2012</v>
      </c>
      <c r="C1118" s="64">
        <v>10</v>
      </c>
      <c r="D1118" s="80">
        <f t="shared" si="37"/>
        <v>2012</v>
      </c>
      <c r="E1118" t="s">
        <v>38</v>
      </c>
      <c r="F1118" t="s">
        <v>143</v>
      </c>
      <c r="G1118" t="s">
        <v>10</v>
      </c>
      <c r="H1118" s="72" t="s">
        <v>222</v>
      </c>
      <c r="I1118" s="72" t="s">
        <v>64</v>
      </c>
      <c r="J1118" t="str">
        <f t="shared" si="38"/>
        <v>Snoqualmie River</v>
      </c>
      <c r="K1118" t="str">
        <f>IFERROR(VLOOKUP(J1118,LUTs!$A$1:$C$73,2,FALSE),"NA")</f>
        <v>Snohomish/King</v>
      </c>
      <c r="L1118" t="str">
        <f>IFERROR(VLOOKUP(J1118,LUTs!$A$1:$C$73,3,FALSE),"NA")</f>
        <v>2Central Puget Sound</v>
      </c>
      <c r="M1118" s="72" t="s">
        <v>18</v>
      </c>
      <c r="N1118" t="str">
        <f>VLOOKUP(M1118,LUTs!E$2:H$14,3,)</f>
        <v>06King</v>
      </c>
      <c r="O1118" t="str">
        <f>VLOOKUP(M1118,LUTs!E$2:H$14,4,)</f>
        <v>02South Puget Sound</v>
      </c>
      <c r="P1118" s="73">
        <v>263.82608695652198</v>
      </c>
      <c r="Q1118" s="74">
        <f>VLOOKUP(B1118,Readme!A$40:C$51,2,)*P1118</f>
        <v>2282.0956521739154</v>
      </c>
    </row>
    <row r="1119" spans="1:17" ht="12" customHeight="1" x14ac:dyDescent="0.35">
      <c r="A1119" s="75">
        <v>1118</v>
      </c>
      <c r="B1119" s="64">
        <v>2012</v>
      </c>
      <c r="C1119" s="64">
        <v>10</v>
      </c>
      <c r="D1119" s="80">
        <f t="shared" si="37"/>
        <v>2012</v>
      </c>
      <c r="E1119" t="s">
        <v>38</v>
      </c>
      <c r="F1119" t="s">
        <v>143</v>
      </c>
      <c r="G1119" t="s">
        <v>10</v>
      </c>
      <c r="H1119" s="72" t="s">
        <v>222</v>
      </c>
      <c r="I1119" s="72" t="s">
        <v>64</v>
      </c>
      <c r="J1119" t="str">
        <f t="shared" si="38"/>
        <v>Snoqualmie River</v>
      </c>
      <c r="K1119" t="str">
        <f>IFERROR(VLOOKUP(J1119,LUTs!$A$1:$C$73,2,FALSE),"NA")</f>
        <v>Snohomish/King</v>
      </c>
      <c r="L1119" t="str">
        <f>IFERROR(VLOOKUP(J1119,LUTs!$A$1:$C$73,3,FALSE),"NA")</f>
        <v>2Central Puget Sound</v>
      </c>
      <c r="M1119" s="72" t="s">
        <v>26</v>
      </c>
      <c r="N1119" t="str">
        <f>VLOOKUP(M1119,LUTs!E$2:H$14,3,)</f>
        <v>20Other</v>
      </c>
      <c r="O1119" t="str">
        <f>VLOOKUP(M1119,LUTs!E$2:H$14,4,)</f>
        <v>07Non Puget Sound</v>
      </c>
      <c r="P1119" s="73">
        <v>14.2608695652174</v>
      </c>
      <c r="Q1119" s="74">
        <f>VLOOKUP(B1119,Readme!A$40:C$51,2,)*P1119</f>
        <v>123.35652173913051</v>
      </c>
    </row>
    <row r="1120" spans="1:17" ht="12" customHeight="1" x14ac:dyDescent="0.35">
      <c r="A1120" s="75">
        <v>1119</v>
      </c>
      <c r="B1120" s="64">
        <v>2012</v>
      </c>
      <c r="C1120" s="64">
        <v>10</v>
      </c>
      <c r="D1120" s="80">
        <f t="shared" si="37"/>
        <v>2012</v>
      </c>
      <c r="E1120" t="s">
        <v>38</v>
      </c>
      <c r="F1120" t="s">
        <v>143</v>
      </c>
      <c r="G1120" t="s">
        <v>10</v>
      </c>
      <c r="H1120" s="72" t="s">
        <v>222</v>
      </c>
      <c r="I1120" s="72" t="s">
        <v>64</v>
      </c>
      <c r="J1120" t="str">
        <f t="shared" si="38"/>
        <v>Snoqualmie River</v>
      </c>
      <c r="K1120" t="str">
        <f>IFERROR(VLOOKUP(J1120,LUTs!$A$1:$C$73,2,FALSE),"NA")</f>
        <v>Snohomish/King</v>
      </c>
      <c r="L1120" t="str">
        <f>IFERROR(VLOOKUP(J1120,LUTs!$A$1:$C$73,3,FALSE),"NA")</f>
        <v>2Central Puget Sound</v>
      </c>
      <c r="M1120" s="72" t="s">
        <v>16</v>
      </c>
      <c r="N1120" t="str">
        <f>VLOOKUP(M1120,LUTs!E$2:H$14,3,)</f>
        <v>03Snohomish</v>
      </c>
      <c r="O1120" t="str">
        <f>VLOOKUP(M1120,LUTs!E$2:H$14,4,)</f>
        <v>01North Puget Sound</v>
      </c>
      <c r="P1120" s="73">
        <v>49.913043478260903</v>
      </c>
      <c r="Q1120" s="74">
        <f>VLOOKUP(B1120,Readme!A$40:C$51,2,)*P1120</f>
        <v>431.74782608695682</v>
      </c>
    </row>
    <row r="1121" spans="1:17" ht="12" customHeight="1" x14ac:dyDescent="0.35">
      <c r="A1121" s="75">
        <v>1120</v>
      </c>
      <c r="B1121" s="64">
        <v>2012</v>
      </c>
      <c r="C1121" s="64">
        <v>11</v>
      </c>
      <c r="D1121" s="80">
        <f t="shared" si="37"/>
        <v>2012</v>
      </c>
      <c r="E1121" t="s">
        <v>38</v>
      </c>
      <c r="F1121" t="s">
        <v>143</v>
      </c>
      <c r="G1121" t="s">
        <v>10</v>
      </c>
      <c r="H1121" s="72" t="s">
        <v>222</v>
      </c>
      <c r="I1121" s="72" t="s">
        <v>64</v>
      </c>
      <c r="J1121" t="str">
        <f t="shared" si="38"/>
        <v>Snoqualmie River</v>
      </c>
      <c r="K1121" t="str">
        <f>IFERROR(VLOOKUP(J1121,LUTs!$A$1:$C$73,2,FALSE),"NA")</f>
        <v>Snohomish/King</v>
      </c>
      <c r="L1121" t="str">
        <f>IFERROR(VLOOKUP(J1121,LUTs!$A$1:$C$73,3,FALSE),"NA")</f>
        <v>2Central Puget Sound</v>
      </c>
      <c r="M1121" s="72" t="s">
        <v>18</v>
      </c>
      <c r="N1121" t="str">
        <f>VLOOKUP(M1121,LUTs!E$2:H$14,3,)</f>
        <v>06King</v>
      </c>
      <c r="O1121" t="str">
        <f>VLOOKUP(M1121,LUTs!E$2:H$14,4,)</f>
        <v>02South Puget Sound</v>
      </c>
      <c r="P1121" s="73">
        <v>156.538461538462</v>
      </c>
      <c r="Q1121" s="74">
        <f>VLOOKUP(B1121,Readme!A$40:C$51,2,)*P1121</f>
        <v>1354.0576923076965</v>
      </c>
    </row>
    <row r="1122" spans="1:17" ht="12" customHeight="1" x14ac:dyDescent="0.35">
      <c r="A1122" s="75">
        <v>1121</v>
      </c>
      <c r="B1122" s="64">
        <v>2012</v>
      </c>
      <c r="C1122" s="64">
        <v>11</v>
      </c>
      <c r="D1122" s="80">
        <f t="shared" si="37"/>
        <v>2012</v>
      </c>
      <c r="E1122" t="s">
        <v>38</v>
      </c>
      <c r="F1122" t="s">
        <v>143</v>
      </c>
      <c r="G1122" t="s">
        <v>10</v>
      </c>
      <c r="H1122" s="72" t="s">
        <v>222</v>
      </c>
      <c r="I1122" s="72" t="s">
        <v>64</v>
      </c>
      <c r="J1122" t="str">
        <f t="shared" si="38"/>
        <v>Snoqualmie River</v>
      </c>
      <c r="K1122" t="str">
        <f>IFERROR(VLOOKUP(J1122,LUTs!$A$1:$C$73,2,FALSE),"NA")</f>
        <v>Snohomish/King</v>
      </c>
      <c r="L1122" t="str">
        <f>IFERROR(VLOOKUP(J1122,LUTs!$A$1:$C$73,3,FALSE),"NA")</f>
        <v>2Central Puget Sound</v>
      </c>
      <c r="M1122" s="72" t="s">
        <v>26</v>
      </c>
      <c r="N1122" t="str">
        <f>VLOOKUP(M1122,LUTs!E$2:H$14,3,)</f>
        <v>20Other</v>
      </c>
      <c r="O1122" t="str">
        <f>VLOOKUP(M1122,LUTs!E$2:H$14,4,)</f>
        <v>07Non Puget Sound</v>
      </c>
      <c r="P1122" s="73">
        <v>21.346153846153801</v>
      </c>
      <c r="Q1122" s="74">
        <f>VLOOKUP(B1122,Readme!A$40:C$51,2,)*P1122</f>
        <v>184.64423076923038</v>
      </c>
    </row>
    <row r="1123" spans="1:17" ht="12" customHeight="1" x14ac:dyDescent="0.35">
      <c r="A1123" s="75">
        <v>1122</v>
      </c>
      <c r="B1123" s="64">
        <v>2012</v>
      </c>
      <c r="C1123" s="64">
        <v>11</v>
      </c>
      <c r="D1123" s="80">
        <f t="shared" si="37"/>
        <v>2012</v>
      </c>
      <c r="E1123" t="s">
        <v>38</v>
      </c>
      <c r="F1123" t="s">
        <v>143</v>
      </c>
      <c r="G1123" t="s">
        <v>10</v>
      </c>
      <c r="H1123" s="72" t="s">
        <v>222</v>
      </c>
      <c r="I1123" s="72" t="s">
        <v>64</v>
      </c>
      <c r="J1123" t="str">
        <f t="shared" si="38"/>
        <v>Snoqualmie River</v>
      </c>
      <c r="K1123" t="str">
        <f>IFERROR(VLOOKUP(J1123,LUTs!$A$1:$C$73,2,FALSE),"NA")</f>
        <v>Snohomish/King</v>
      </c>
      <c r="L1123" t="str">
        <f>IFERROR(VLOOKUP(J1123,LUTs!$A$1:$C$73,3,FALSE),"NA")</f>
        <v>2Central Puget Sound</v>
      </c>
      <c r="M1123" s="72" t="s">
        <v>16</v>
      </c>
      <c r="N1123" t="str">
        <f>VLOOKUP(M1123,LUTs!E$2:H$14,3,)</f>
        <v>03Snohomish</v>
      </c>
      <c r="O1123" t="str">
        <f>VLOOKUP(M1123,LUTs!E$2:H$14,4,)</f>
        <v>01North Puget Sound</v>
      </c>
      <c r="P1123" s="73">
        <v>7.1153846153846203</v>
      </c>
      <c r="Q1123" s="74">
        <f>VLOOKUP(B1123,Readme!A$40:C$51,2,)*P1123</f>
        <v>61.54807692307697</v>
      </c>
    </row>
    <row r="1124" spans="1:17" ht="12" customHeight="1" x14ac:dyDescent="0.35">
      <c r="A1124" s="75">
        <v>1123</v>
      </c>
      <c r="B1124" s="64">
        <v>2012</v>
      </c>
      <c r="C1124" s="64">
        <v>12</v>
      </c>
      <c r="D1124" s="80">
        <f t="shared" si="37"/>
        <v>2012</v>
      </c>
      <c r="E1124" t="s">
        <v>38</v>
      </c>
      <c r="F1124" t="s">
        <v>143</v>
      </c>
      <c r="G1124" t="s">
        <v>10</v>
      </c>
      <c r="H1124" s="72" t="s">
        <v>222</v>
      </c>
      <c r="I1124" s="72" t="s">
        <v>64</v>
      </c>
      <c r="J1124" t="str">
        <f t="shared" si="38"/>
        <v>Snoqualmie River</v>
      </c>
      <c r="K1124" t="str">
        <f>IFERROR(VLOOKUP(J1124,LUTs!$A$1:$C$73,2,FALSE),"NA")</f>
        <v>Snohomish/King</v>
      </c>
      <c r="L1124" t="str">
        <f>IFERROR(VLOOKUP(J1124,LUTs!$A$1:$C$73,3,FALSE),"NA")</f>
        <v>2Central Puget Sound</v>
      </c>
      <c r="M1124" s="72" t="s">
        <v>18</v>
      </c>
      <c r="N1124" t="str">
        <f>VLOOKUP(M1124,LUTs!E$2:H$14,3,)</f>
        <v>06King</v>
      </c>
      <c r="O1124" t="str">
        <f>VLOOKUP(M1124,LUTs!E$2:H$14,4,)</f>
        <v>02South Puget Sound</v>
      </c>
      <c r="P1124" s="73">
        <v>93</v>
      </c>
      <c r="Q1124" s="74">
        <f>VLOOKUP(B1124,Readme!A$40:C$51,2,)*P1124</f>
        <v>804.45</v>
      </c>
    </row>
    <row r="1125" spans="1:17" ht="12" customHeight="1" x14ac:dyDescent="0.35">
      <c r="A1125" s="75">
        <v>1124</v>
      </c>
      <c r="B1125" s="64">
        <v>2012</v>
      </c>
      <c r="C1125" s="64">
        <v>9</v>
      </c>
      <c r="D1125" s="80">
        <f t="shared" si="37"/>
        <v>2012</v>
      </c>
      <c r="E1125" t="s">
        <v>38</v>
      </c>
      <c r="F1125" t="s">
        <v>143</v>
      </c>
      <c r="G1125" t="s">
        <v>10</v>
      </c>
      <c r="H1125" s="72" t="s">
        <v>223</v>
      </c>
      <c r="I1125" s="72" t="s">
        <v>65</v>
      </c>
      <c r="J1125" t="str">
        <f t="shared" si="38"/>
        <v>Stillaguamish River</v>
      </c>
      <c r="K1125" t="str">
        <f>IFERROR(VLOOKUP(J1125,LUTs!$A$1:$C$73,2,FALSE),"NA")</f>
        <v>Snohomish</v>
      </c>
      <c r="L1125" t="str">
        <f>IFERROR(VLOOKUP(J1125,LUTs!$A$1:$C$73,3,FALSE),"NA")</f>
        <v>2Central Puget Sound</v>
      </c>
      <c r="M1125" s="72" t="s">
        <v>17</v>
      </c>
      <c r="N1125" t="str">
        <f>VLOOKUP(M1125,LUTs!E$2:H$14,3,)</f>
        <v>04Island</v>
      </c>
      <c r="O1125" t="str">
        <f>VLOOKUP(M1125,LUTs!E$2:H$14,4,)</f>
        <v>01North Puget Sound</v>
      </c>
      <c r="P1125" s="73">
        <v>21.428571428571399</v>
      </c>
      <c r="Q1125" s="74">
        <f>VLOOKUP(B1125,Readme!A$40:C$51,2,)*P1125</f>
        <v>185.35714285714261</v>
      </c>
    </row>
    <row r="1126" spans="1:17" ht="12" customHeight="1" x14ac:dyDescent="0.35">
      <c r="A1126" s="75">
        <v>1125</v>
      </c>
      <c r="B1126" s="64">
        <v>2012</v>
      </c>
      <c r="C1126" s="64">
        <v>9</v>
      </c>
      <c r="D1126" s="80">
        <f t="shared" si="37"/>
        <v>2012</v>
      </c>
      <c r="E1126" t="s">
        <v>38</v>
      </c>
      <c r="F1126" t="s">
        <v>143</v>
      </c>
      <c r="G1126" t="s">
        <v>10</v>
      </c>
      <c r="H1126" s="72" t="s">
        <v>223</v>
      </c>
      <c r="I1126" s="72" t="s">
        <v>65</v>
      </c>
      <c r="J1126" t="str">
        <f t="shared" si="38"/>
        <v>Stillaguamish River</v>
      </c>
      <c r="K1126" t="str">
        <f>IFERROR(VLOOKUP(J1126,LUTs!$A$1:$C$73,2,FALSE),"NA")</f>
        <v>Snohomish</v>
      </c>
      <c r="L1126" t="str">
        <f>IFERROR(VLOOKUP(J1126,LUTs!$A$1:$C$73,3,FALSE),"NA")</f>
        <v>2Central Puget Sound</v>
      </c>
      <c r="M1126" s="72" t="s">
        <v>18</v>
      </c>
      <c r="N1126" t="str">
        <f>VLOOKUP(M1126,LUTs!E$2:H$14,3,)</f>
        <v>06King</v>
      </c>
      <c r="O1126" t="str">
        <f>VLOOKUP(M1126,LUTs!E$2:H$14,4,)</f>
        <v>02South Puget Sound</v>
      </c>
      <c r="P1126" s="73">
        <v>14.285714285714301</v>
      </c>
      <c r="Q1126" s="74">
        <f>VLOOKUP(B1126,Readme!A$40:C$51,2,)*P1126</f>
        <v>123.57142857142871</v>
      </c>
    </row>
    <row r="1127" spans="1:17" ht="12" customHeight="1" x14ac:dyDescent="0.35">
      <c r="A1127" s="75">
        <v>1126</v>
      </c>
      <c r="B1127" s="64">
        <v>2012</v>
      </c>
      <c r="C1127" s="64">
        <v>9</v>
      </c>
      <c r="D1127" s="80">
        <f t="shared" si="37"/>
        <v>2012</v>
      </c>
      <c r="E1127" t="s">
        <v>38</v>
      </c>
      <c r="F1127" t="s">
        <v>143</v>
      </c>
      <c r="G1127" t="s">
        <v>10</v>
      </c>
      <c r="H1127" s="72" t="s">
        <v>223</v>
      </c>
      <c r="I1127" s="72" t="s">
        <v>65</v>
      </c>
      <c r="J1127" t="str">
        <f t="shared" si="38"/>
        <v>Stillaguamish River</v>
      </c>
      <c r="K1127" t="str">
        <f>IFERROR(VLOOKUP(J1127,LUTs!$A$1:$C$73,2,FALSE),"NA")</f>
        <v>Snohomish</v>
      </c>
      <c r="L1127" t="str">
        <f>IFERROR(VLOOKUP(J1127,LUTs!$A$1:$C$73,3,FALSE),"NA")</f>
        <v>2Central Puget Sound</v>
      </c>
      <c r="M1127" s="72" t="s">
        <v>16</v>
      </c>
      <c r="N1127" t="str">
        <f>VLOOKUP(M1127,LUTs!E$2:H$14,3,)</f>
        <v>03Snohomish</v>
      </c>
      <c r="O1127" t="str">
        <f>VLOOKUP(M1127,LUTs!E$2:H$14,4,)</f>
        <v>01North Puget Sound</v>
      </c>
      <c r="P1127" s="73">
        <v>314.28571428571399</v>
      </c>
      <c r="Q1127" s="74">
        <f>VLOOKUP(B1127,Readme!A$40:C$51,2,)*P1127</f>
        <v>2718.5714285714262</v>
      </c>
    </row>
    <row r="1128" spans="1:17" ht="12" customHeight="1" x14ac:dyDescent="0.35">
      <c r="A1128" s="75">
        <v>1127</v>
      </c>
      <c r="B1128" s="64">
        <v>2012</v>
      </c>
      <c r="C1128" s="64">
        <v>10</v>
      </c>
      <c r="D1128" s="80">
        <f t="shared" si="37"/>
        <v>2012</v>
      </c>
      <c r="E1128" t="s">
        <v>38</v>
      </c>
      <c r="F1128" t="s">
        <v>143</v>
      </c>
      <c r="G1128" t="s">
        <v>10</v>
      </c>
      <c r="H1128" s="72" t="s">
        <v>223</v>
      </c>
      <c r="I1128" s="72" t="s">
        <v>65</v>
      </c>
      <c r="J1128" t="str">
        <f t="shared" si="38"/>
        <v>Stillaguamish River</v>
      </c>
      <c r="K1128" t="str">
        <f>IFERROR(VLOOKUP(J1128,LUTs!$A$1:$C$73,2,FALSE),"NA")</f>
        <v>Snohomish</v>
      </c>
      <c r="L1128" t="str">
        <f>IFERROR(VLOOKUP(J1128,LUTs!$A$1:$C$73,3,FALSE),"NA")</f>
        <v>2Central Puget Sound</v>
      </c>
      <c r="M1128" s="72" t="s">
        <v>17</v>
      </c>
      <c r="N1128" t="str">
        <f>VLOOKUP(M1128,LUTs!E$2:H$14,3,)</f>
        <v>04Island</v>
      </c>
      <c r="O1128" t="str">
        <f>VLOOKUP(M1128,LUTs!E$2:H$14,4,)</f>
        <v>01North Puget Sound</v>
      </c>
      <c r="P1128" s="73">
        <v>142.60162601626001</v>
      </c>
      <c r="Q1128" s="74">
        <f>VLOOKUP(B1128,Readme!A$40:C$51,2,)*P1128</f>
        <v>1233.5040650406493</v>
      </c>
    </row>
    <row r="1129" spans="1:17" ht="12" customHeight="1" x14ac:dyDescent="0.35">
      <c r="A1129" s="75">
        <v>1128</v>
      </c>
      <c r="B1129" s="64">
        <v>2012</v>
      </c>
      <c r="C1129" s="64">
        <v>10</v>
      </c>
      <c r="D1129" s="80">
        <f t="shared" si="37"/>
        <v>2012</v>
      </c>
      <c r="E1129" t="s">
        <v>38</v>
      </c>
      <c r="F1129" t="s">
        <v>143</v>
      </c>
      <c r="G1129" t="s">
        <v>10</v>
      </c>
      <c r="H1129" s="72" t="s">
        <v>223</v>
      </c>
      <c r="I1129" s="72" t="s">
        <v>65</v>
      </c>
      <c r="J1129" t="str">
        <f t="shared" si="38"/>
        <v>Stillaguamish River</v>
      </c>
      <c r="K1129" t="str">
        <f>IFERROR(VLOOKUP(J1129,LUTs!$A$1:$C$73,2,FALSE),"NA")</f>
        <v>Snohomish</v>
      </c>
      <c r="L1129" t="str">
        <f>IFERROR(VLOOKUP(J1129,LUTs!$A$1:$C$73,3,FALSE),"NA")</f>
        <v>2Central Puget Sound</v>
      </c>
      <c r="M1129" s="72" t="s">
        <v>18</v>
      </c>
      <c r="N1129" t="str">
        <f>VLOOKUP(M1129,LUTs!E$2:H$14,3,)</f>
        <v>06King</v>
      </c>
      <c r="O1129" t="str">
        <f>VLOOKUP(M1129,LUTs!E$2:H$14,4,)</f>
        <v>02South Puget Sound</v>
      </c>
      <c r="P1129" s="73">
        <v>64.170731707317103</v>
      </c>
      <c r="Q1129" s="74">
        <f>VLOOKUP(B1129,Readme!A$40:C$51,2,)*P1129</f>
        <v>555.07682926829295</v>
      </c>
    </row>
    <row r="1130" spans="1:17" ht="12" customHeight="1" x14ac:dyDescent="0.35">
      <c r="A1130" s="75">
        <v>1129</v>
      </c>
      <c r="B1130" s="64">
        <v>2012</v>
      </c>
      <c r="C1130" s="64">
        <v>10</v>
      </c>
      <c r="D1130" s="80">
        <f t="shared" si="37"/>
        <v>2012</v>
      </c>
      <c r="E1130" t="s">
        <v>38</v>
      </c>
      <c r="F1130" t="s">
        <v>143</v>
      </c>
      <c r="G1130" t="s">
        <v>10</v>
      </c>
      <c r="H1130" s="72" t="s">
        <v>223</v>
      </c>
      <c r="I1130" s="72" t="s">
        <v>65</v>
      </c>
      <c r="J1130" t="str">
        <f t="shared" si="38"/>
        <v>Stillaguamish River</v>
      </c>
      <c r="K1130" t="str">
        <f>IFERROR(VLOOKUP(J1130,LUTs!$A$1:$C$73,2,FALSE),"NA")</f>
        <v>Snohomish</v>
      </c>
      <c r="L1130" t="str">
        <f>IFERROR(VLOOKUP(J1130,LUTs!$A$1:$C$73,3,FALSE),"NA")</f>
        <v>2Central Puget Sound</v>
      </c>
      <c r="M1130" s="72" t="s">
        <v>26</v>
      </c>
      <c r="N1130" t="str">
        <f>VLOOKUP(M1130,LUTs!E$2:H$14,3,)</f>
        <v>20Other</v>
      </c>
      <c r="O1130" t="str">
        <f>VLOOKUP(M1130,LUTs!E$2:H$14,4,)</f>
        <v>07Non Puget Sound</v>
      </c>
      <c r="P1130" s="73">
        <v>35.650406504065003</v>
      </c>
      <c r="Q1130" s="74">
        <f>VLOOKUP(B1130,Readme!A$40:C$51,2,)*P1130</f>
        <v>308.37601626016232</v>
      </c>
    </row>
    <row r="1131" spans="1:17" ht="12" customHeight="1" x14ac:dyDescent="0.35">
      <c r="A1131" s="75">
        <v>1130</v>
      </c>
      <c r="B1131" s="64">
        <v>2012</v>
      </c>
      <c r="C1131" s="64">
        <v>10</v>
      </c>
      <c r="D1131" s="80">
        <f t="shared" si="37"/>
        <v>2012</v>
      </c>
      <c r="E1131" t="s">
        <v>38</v>
      </c>
      <c r="F1131" t="s">
        <v>143</v>
      </c>
      <c r="G1131" t="s">
        <v>10</v>
      </c>
      <c r="H1131" s="72" t="s">
        <v>223</v>
      </c>
      <c r="I1131" s="72" t="s">
        <v>65</v>
      </c>
      <c r="J1131" t="str">
        <f t="shared" si="38"/>
        <v>Stillaguamish River</v>
      </c>
      <c r="K1131" t="str">
        <f>IFERROR(VLOOKUP(J1131,LUTs!$A$1:$C$73,2,FALSE),"NA")</f>
        <v>Snohomish</v>
      </c>
      <c r="L1131" t="str">
        <f>IFERROR(VLOOKUP(J1131,LUTs!$A$1:$C$73,3,FALSE),"NA")</f>
        <v>2Central Puget Sound</v>
      </c>
      <c r="M1131" s="72" t="s">
        <v>15</v>
      </c>
      <c r="N1131" t="str">
        <f>VLOOKUP(M1131,LUTs!E$2:H$14,3,)</f>
        <v>02Skagit</v>
      </c>
      <c r="O1131" t="str">
        <f>VLOOKUP(M1131,LUTs!E$2:H$14,4,)</f>
        <v>01North Puget Sound</v>
      </c>
      <c r="P1131" s="73">
        <v>14.260162601626</v>
      </c>
      <c r="Q1131" s="74">
        <f>VLOOKUP(B1131,Readme!A$40:C$51,2,)*P1131</f>
        <v>123.35040650406491</v>
      </c>
    </row>
    <row r="1132" spans="1:17" ht="12" customHeight="1" x14ac:dyDescent="0.35">
      <c r="A1132" s="75">
        <v>1131</v>
      </c>
      <c r="B1132" s="64">
        <v>2012</v>
      </c>
      <c r="C1132" s="64">
        <v>10</v>
      </c>
      <c r="D1132" s="80">
        <f t="shared" si="37"/>
        <v>2012</v>
      </c>
      <c r="E1132" t="s">
        <v>38</v>
      </c>
      <c r="F1132" t="s">
        <v>143</v>
      </c>
      <c r="G1132" t="s">
        <v>10</v>
      </c>
      <c r="H1132" s="72" t="s">
        <v>223</v>
      </c>
      <c r="I1132" s="72" t="s">
        <v>65</v>
      </c>
      <c r="J1132" t="str">
        <f t="shared" si="38"/>
        <v>Stillaguamish River</v>
      </c>
      <c r="K1132" t="str">
        <f>IFERROR(VLOOKUP(J1132,LUTs!$A$1:$C$73,2,FALSE),"NA")</f>
        <v>Snohomish</v>
      </c>
      <c r="L1132" t="str">
        <f>IFERROR(VLOOKUP(J1132,LUTs!$A$1:$C$73,3,FALSE),"NA")</f>
        <v>2Central Puget Sound</v>
      </c>
      <c r="M1132" s="72" t="s">
        <v>16</v>
      </c>
      <c r="N1132" t="str">
        <f>VLOOKUP(M1132,LUTs!E$2:H$14,3,)</f>
        <v>03Snohomish</v>
      </c>
      <c r="O1132" t="str">
        <f>VLOOKUP(M1132,LUTs!E$2:H$14,4,)</f>
        <v>01North Puget Sound</v>
      </c>
      <c r="P1132" s="73">
        <v>591.79674796747997</v>
      </c>
      <c r="Q1132" s="74">
        <f>VLOOKUP(B1132,Readme!A$40:C$51,2,)*P1132</f>
        <v>5119.0418699187021</v>
      </c>
    </row>
    <row r="1133" spans="1:17" ht="12" customHeight="1" x14ac:dyDescent="0.35">
      <c r="A1133" s="75">
        <v>1132</v>
      </c>
      <c r="B1133" s="64">
        <v>2012</v>
      </c>
      <c r="C1133" s="64">
        <v>10</v>
      </c>
      <c r="D1133" s="80">
        <f t="shared" si="37"/>
        <v>2012</v>
      </c>
      <c r="E1133" t="s">
        <v>38</v>
      </c>
      <c r="F1133" t="s">
        <v>143</v>
      </c>
      <c r="G1133" t="s">
        <v>10</v>
      </c>
      <c r="H1133" s="72" t="s">
        <v>223</v>
      </c>
      <c r="I1133" s="72" t="s">
        <v>65</v>
      </c>
      <c r="J1133" t="str">
        <f t="shared" si="38"/>
        <v>Stillaguamish River</v>
      </c>
      <c r="K1133" t="str">
        <f>IFERROR(VLOOKUP(J1133,LUTs!$A$1:$C$73,2,FALSE),"NA")</f>
        <v>Snohomish</v>
      </c>
      <c r="L1133" t="str">
        <f>IFERROR(VLOOKUP(J1133,LUTs!$A$1:$C$73,3,FALSE),"NA")</f>
        <v>2Central Puget Sound</v>
      </c>
      <c r="M1133" s="72" t="s">
        <v>13</v>
      </c>
      <c r="N1133" t="str">
        <f>VLOOKUP(M1133,LUTs!E$2:H$14,3,)</f>
        <v>01Whatcom</v>
      </c>
      <c r="O1133" t="str">
        <f>VLOOKUP(M1133,LUTs!E$2:H$14,4,)</f>
        <v>01North Puget Sound</v>
      </c>
      <c r="P1133" s="73">
        <v>28.520325203252</v>
      </c>
      <c r="Q1133" s="74">
        <f>VLOOKUP(B1133,Readme!A$40:C$51,2,)*P1133</f>
        <v>246.70081300812981</v>
      </c>
    </row>
    <row r="1134" spans="1:17" ht="12" customHeight="1" x14ac:dyDescent="0.35">
      <c r="A1134" s="75">
        <v>1133</v>
      </c>
      <c r="B1134" s="64">
        <v>2012</v>
      </c>
      <c r="C1134" s="64">
        <v>11</v>
      </c>
      <c r="D1134" s="80">
        <f t="shared" si="37"/>
        <v>2012</v>
      </c>
      <c r="E1134" t="s">
        <v>38</v>
      </c>
      <c r="F1134" t="s">
        <v>143</v>
      </c>
      <c r="G1134" t="s">
        <v>10</v>
      </c>
      <c r="H1134" s="72" t="s">
        <v>223</v>
      </c>
      <c r="I1134" s="72" t="s">
        <v>65</v>
      </c>
      <c r="J1134" t="str">
        <f t="shared" si="38"/>
        <v>Stillaguamish River</v>
      </c>
      <c r="K1134" t="str">
        <f>IFERROR(VLOOKUP(J1134,LUTs!$A$1:$C$73,2,FALSE),"NA")</f>
        <v>Snohomish</v>
      </c>
      <c r="L1134" t="str">
        <f>IFERROR(VLOOKUP(J1134,LUTs!$A$1:$C$73,3,FALSE),"NA")</f>
        <v>2Central Puget Sound</v>
      </c>
      <c r="M1134" s="72" t="s">
        <v>16</v>
      </c>
      <c r="N1134" t="str">
        <f>VLOOKUP(M1134,LUTs!E$2:H$14,3,)</f>
        <v>03Snohomish</v>
      </c>
      <c r="O1134" t="str">
        <f>VLOOKUP(M1134,LUTs!E$2:H$14,4,)</f>
        <v>01North Puget Sound</v>
      </c>
      <c r="P1134" s="73">
        <v>7</v>
      </c>
      <c r="Q1134" s="74">
        <f>VLOOKUP(B1134,Readme!A$40:C$51,2,)*P1134</f>
        <v>60.550000000000004</v>
      </c>
    </row>
    <row r="1135" spans="1:17" ht="12" customHeight="1" x14ac:dyDescent="0.35">
      <c r="A1135" s="75">
        <v>1134</v>
      </c>
      <c r="B1135" s="64">
        <v>2012</v>
      </c>
      <c r="C1135" s="64">
        <v>10</v>
      </c>
      <c r="D1135" s="80">
        <f t="shared" si="37"/>
        <v>2012</v>
      </c>
      <c r="E1135" t="s">
        <v>38</v>
      </c>
      <c r="F1135" t="s">
        <v>143</v>
      </c>
      <c r="G1135" t="s">
        <v>10</v>
      </c>
      <c r="H1135" s="72" t="s">
        <v>230</v>
      </c>
      <c r="I1135" s="72" t="s">
        <v>72</v>
      </c>
      <c r="J1135" t="str">
        <f t="shared" si="38"/>
        <v>Tahuya River</v>
      </c>
      <c r="K1135" t="str">
        <f>IFERROR(VLOOKUP(J1135,LUTs!$A$1:$C$73,2,FALSE),"NA")</f>
        <v>Mason</v>
      </c>
      <c r="L1135" t="str">
        <f>IFERROR(VLOOKUP(J1135,LUTs!$A$1:$C$73,3,FALSE),"NA")</f>
        <v>4 Hood Canal</v>
      </c>
      <c r="M1135" s="72" t="s">
        <v>18</v>
      </c>
      <c r="N1135" t="str">
        <f>VLOOKUP(M1135,LUTs!E$2:H$14,3,)</f>
        <v>06King</v>
      </c>
      <c r="O1135" t="str">
        <f>VLOOKUP(M1135,LUTs!E$2:H$14,4,)</f>
        <v>02South Puget Sound</v>
      </c>
      <c r="P1135" s="73">
        <v>175.44642857142901</v>
      </c>
      <c r="Q1135" s="74">
        <f>VLOOKUP(B1135,Readme!A$40:C$51,2,)*P1135</f>
        <v>1517.611607142861</v>
      </c>
    </row>
    <row r="1136" spans="1:17" ht="12" customHeight="1" x14ac:dyDescent="0.35">
      <c r="A1136" s="75">
        <v>1135</v>
      </c>
      <c r="B1136" s="64">
        <v>2012</v>
      </c>
      <c r="C1136" s="64">
        <v>10</v>
      </c>
      <c r="D1136" s="80">
        <f t="shared" si="37"/>
        <v>2012</v>
      </c>
      <c r="E1136" t="s">
        <v>38</v>
      </c>
      <c r="F1136" t="s">
        <v>143</v>
      </c>
      <c r="G1136" t="s">
        <v>10</v>
      </c>
      <c r="H1136" s="72" t="s">
        <v>230</v>
      </c>
      <c r="I1136" s="72" t="s">
        <v>72</v>
      </c>
      <c r="J1136" t="str">
        <f t="shared" si="38"/>
        <v>Tahuya River</v>
      </c>
      <c r="K1136" t="str">
        <f>IFERROR(VLOOKUP(J1136,LUTs!$A$1:$C$73,2,FALSE),"NA")</f>
        <v>Mason</v>
      </c>
      <c r="L1136" t="str">
        <f>IFERROR(VLOOKUP(J1136,LUTs!$A$1:$C$73,3,FALSE),"NA")</f>
        <v>4 Hood Canal</v>
      </c>
      <c r="M1136" s="72" t="s">
        <v>23</v>
      </c>
      <c r="N1136" t="str">
        <f>VLOOKUP(M1136,LUTs!E$2:H$14,3,)</f>
        <v>10Kitsap</v>
      </c>
      <c r="O1136" t="str">
        <f>VLOOKUP(M1136,LUTs!E$2:H$14,4,)</f>
        <v>02South Puget Sound</v>
      </c>
      <c r="P1136" s="73">
        <v>428.08928571428601</v>
      </c>
      <c r="Q1136" s="74">
        <f>VLOOKUP(B1136,Readme!A$40:C$51,2,)*P1136</f>
        <v>3702.9723214285741</v>
      </c>
    </row>
    <row r="1137" spans="1:17" ht="12" customHeight="1" x14ac:dyDescent="0.35">
      <c r="A1137" s="75">
        <v>1136</v>
      </c>
      <c r="B1137" s="64">
        <v>2012</v>
      </c>
      <c r="C1137" s="64">
        <v>10</v>
      </c>
      <c r="D1137" s="80">
        <f t="shared" si="37"/>
        <v>2012</v>
      </c>
      <c r="E1137" t="s">
        <v>38</v>
      </c>
      <c r="F1137" t="s">
        <v>143</v>
      </c>
      <c r="G1137" t="s">
        <v>10</v>
      </c>
      <c r="H1137" s="72" t="s">
        <v>230</v>
      </c>
      <c r="I1137" s="72" t="s">
        <v>72</v>
      </c>
      <c r="J1137" t="str">
        <f t="shared" si="38"/>
        <v>Tahuya River</v>
      </c>
      <c r="K1137" t="str">
        <f>IFERROR(VLOOKUP(J1137,LUTs!$A$1:$C$73,2,FALSE),"NA")</f>
        <v>Mason</v>
      </c>
      <c r="L1137" t="str">
        <f>IFERROR(VLOOKUP(J1137,LUTs!$A$1:$C$73,3,FALSE),"NA")</f>
        <v>4 Hood Canal</v>
      </c>
      <c r="M1137" s="72" t="s">
        <v>22</v>
      </c>
      <c r="N1137" t="str">
        <f>VLOOKUP(M1137,LUTs!E$2:H$14,3,)</f>
        <v>09Mason</v>
      </c>
      <c r="O1137" t="str">
        <f>VLOOKUP(M1137,LUTs!E$2:H$14,4,)</f>
        <v>02South Puget Sound</v>
      </c>
      <c r="P1137" s="73">
        <v>400.017857142857</v>
      </c>
      <c r="Q1137" s="74">
        <f>VLOOKUP(B1137,Readme!A$40:C$51,2,)*P1137</f>
        <v>3460.1544642857129</v>
      </c>
    </row>
    <row r="1138" spans="1:17" ht="12" customHeight="1" x14ac:dyDescent="0.35">
      <c r="A1138" s="75">
        <v>1137</v>
      </c>
      <c r="B1138" s="64">
        <v>2012</v>
      </c>
      <c r="C1138" s="64">
        <v>10</v>
      </c>
      <c r="D1138" s="80">
        <f t="shared" si="37"/>
        <v>2012</v>
      </c>
      <c r="E1138" t="s">
        <v>38</v>
      </c>
      <c r="F1138" t="s">
        <v>143</v>
      </c>
      <c r="G1138" t="s">
        <v>10</v>
      </c>
      <c r="H1138" s="72" t="s">
        <v>230</v>
      </c>
      <c r="I1138" s="72" t="s">
        <v>72</v>
      </c>
      <c r="J1138" t="str">
        <f t="shared" si="38"/>
        <v>Tahuya River</v>
      </c>
      <c r="K1138" t="str">
        <f>IFERROR(VLOOKUP(J1138,LUTs!$A$1:$C$73,2,FALSE),"NA")</f>
        <v>Mason</v>
      </c>
      <c r="L1138" t="str">
        <f>IFERROR(VLOOKUP(J1138,LUTs!$A$1:$C$73,3,FALSE),"NA")</f>
        <v>4 Hood Canal</v>
      </c>
      <c r="M1138" s="72" t="s">
        <v>20</v>
      </c>
      <c r="N1138" t="str">
        <f>VLOOKUP(M1138,LUTs!E$2:H$14,3,)</f>
        <v>07Pierce</v>
      </c>
      <c r="O1138" t="str">
        <f>VLOOKUP(M1138,LUTs!E$2:H$14,4,)</f>
        <v>02South Puget Sound</v>
      </c>
      <c r="P1138" s="73">
        <v>112.28571428571399</v>
      </c>
      <c r="Q1138" s="74">
        <f>VLOOKUP(B1138,Readme!A$40:C$51,2,)*P1138</f>
        <v>971.2714285714261</v>
      </c>
    </row>
    <row r="1139" spans="1:17" ht="12" customHeight="1" x14ac:dyDescent="0.35">
      <c r="A1139" s="75">
        <v>1138</v>
      </c>
      <c r="B1139" s="64">
        <v>2012</v>
      </c>
      <c r="C1139" s="64">
        <v>10</v>
      </c>
      <c r="D1139" s="80">
        <f t="shared" si="37"/>
        <v>2012</v>
      </c>
      <c r="E1139" t="s">
        <v>38</v>
      </c>
      <c r="F1139" t="s">
        <v>143</v>
      </c>
      <c r="G1139" t="s">
        <v>10</v>
      </c>
      <c r="H1139" s="72" t="s">
        <v>230</v>
      </c>
      <c r="I1139" s="72" t="s">
        <v>72</v>
      </c>
      <c r="J1139" t="str">
        <f t="shared" si="38"/>
        <v>Tahuya River</v>
      </c>
      <c r="K1139" t="str">
        <f>IFERROR(VLOOKUP(J1139,LUTs!$A$1:$C$73,2,FALSE),"NA")</f>
        <v>Mason</v>
      </c>
      <c r="L1139" t="str">
        <f>IFERROR(VLOOKUP(J1139,LUTs!$A$1:$C$73,3,FALSE),"NA")</f>
        <v>4 Hood Canal</v>
      </c>
      <c r="M1139" s="72" t="s">
        <v>16</v>
      </c>
      <c r="N1139" t="str">
        <f>VLOOKUP(M1139,LUTs!E$2:H$14,3,)</f>
        <v>03Snohomish</v>
      </c>
      <c r="O1139" t="str">
        <f>VLOOKUP(M1139,LUTs!E$2:H$14,4,)</f>
        <v>01North Puget Sound</v>
      </c>
      <c r="P1139" s="73">
        <v>14.035714285714301</v>
      </c>
      <c r="Q1139" s="74">
        <f>VLOOKUP(B1139,Readme!A$40:C$51,2,)*P1139</f>
        <v>121.4089285714287</v>
      </c>
    </row>
    <row r="1140" spans="1:17" ht="12" customHeight="1" x14ac:dyDescent="0.35">
      <c r="A1140" s="75">
        <v>1139</v>
      </c>
      <c r="B1140" s="64">
        <v>2012</v>
      </c>
      <c r="C1140" s="64">
        <v>10</v>
      </c>
      <c r="D1140" s="80">
        <f t="shared" si="37"/>
        <v>2012</v>
      </c>
      <c r="E1140" t="s">
        <v>38</v>
      </c>
      <c r="F1140" t="s">
        <v>143</v>
      </c>
      <c r="G1140" t="s">
        <v>10</v>
      </c>
      <c r="H1140" s="72" t="s">
        <v>230</v>
      </c>
      <c r="I1140" s="72" t="s">
        <v>72</v>
      </c>
      <c r="J1140" t="str">
        <f t="shared" si="38"/>
        <v>Tahuya River</v>
      </c>
      <c r="K1140" t="str">
        <f>IFERROR(VLOOKUP(J1140,LUTs!$A$1:$C$73,2,FALSE),"NA")</f>
        <v>Mason</v>
      </c>
      <c r="L1140" t="str">
        <f>IFERROR(VLOOKUP(J1140,LUTs!$A$1:$C$73,3,FALSE),"NA")</f>
        <v>4 Hood Canal</v>
      </c>
      <c r="M1140" s="72" t="s">
        <v>21</v>
      </c>
      <c r="N1140" t="str">
        <f>VLOOKUP(M1140,LUTs!E$2:H$14,3,)</f>
        <v>08Thurston</v>
      </c>
      <c r="O1140" t="str">
        <f>VLOOKUP(M1140,LUTs!E$2:H$14,4,)</f>
        <v>02South Puget Sound</v>
      </c>
      <c r="P1140" s="73">
        <v>49.125</v>
      </c>
      <c r="Q1140" s="74">
        <f>VLOOKUP(B1140,Readme!A$40:C$51,2,)*P1140</f>
        <v>424.93125000000003</v>
      </c>
    </row>
    <row r="1141" spans="1:17" ht="12" customHeight="1" x14ac:dyDescent="0.35">
      <c r="A1141" s="75">
        <v>1140</v>
      </c>
      <c r="B1141" s="64">
        <v>2012</v>
      </c>
      <c r="C1141" s="64">
        <v>11</v>
      </c>
      <c r="D1141" s="80">
        <f t="shared" si="37"/>
        <v>2012</v>
      </c>
      <c r="E1141" t="s">
        <v>38</v>
      </c>
      <c r="F1141" t="s">
        <v>143</v>
      </c>
      <c r="G1141" t="s">
        <v>10</v>
      </c>
      <c r="H1141" s="72" t="s">
        <v>230</v>
      </c>
      <c r="I1141" s="72" t="s">
        <v>72</v>
      </c>
      <c r="J1141" t="str">
        <f t="shared" si="38"/>
        <v>Tahuya River</v>
      </c>
      <c r="K1141" t="str">
        <f>IFERROR(VLOOKUP(J1141,LUTs!$A$1:$C$73,2,FALSE),"NA")</f>
        <v>Mason</v>
      </c>
      <c r="L1141" t="str">
        <f>IFERROR(VLOOKUP(J1141,LUTs!$A$1:$C$73,3,FALSE),"NA")</f>
        <v>4 Hood Canal</v>
      </c>
      <c r="M1141" s="72" t="s">
        <v>22</v>
      </c>
      <c r="N1141" t="str">
        <f>VLOOKUP(M1141,LUTs!E$2:H$14,3,)</f>
        <v>09Mason</v>
      </c>
      <c r="O1141" t="str">
        <f>VLOOKUP(M1141,LUTs!E$2:H$14,4,)</f>
        <v>02South Puget Sound</v>
      </c>
      <c r="P1141" s="73">
        <v>14</v>
      </c>
      <c r="Q1141" s="74">
        <f>VLOOKUP(B1141,Readme!A$40:C$51,2,)*P1141</f>
        <v>121.10000000000001</v>
      </c>
    </row>
    <row r="1142" spans="1:17" ht="12" customHeight="1" x14ac:dyDescent="0.35">
      <c r="A1142" s="75">
        <v>1141</v>
      </c>
      <c r="B1142" s="64">
        <v>2012</v>
      </c>
      <c r="C1142" s="64">
        <v>11</v>
      </c>
      <c r="D1142" s="80">
        <f t="shared" si="37"/>
        <v>2012</v>
      </c>
      <c r="E1142" t="s">
        <v>38</v>
      </c>
      <c r="F1142" t="s">
        <v>143</v>
      </c>
      <c r="G1142" t="s">
        <v>10</v>
      </c>
      <c r="H1142" s="72" t="s">
        <v>230</v>
      </c>
      <c r="I1142" s="72" t="s">
        <v>72</v>
      </c>
      <c r="J1142" t="str">
        <f t="shared" si="38"/>
        <v>Tahuya River</v>
      </c>
      <c r="K1142" t="str">
        <f>IFERROR(VLOOKUP(J1142,LUTs!$A$1:$C$73,2,FALSE),"NA")</f>
        <v>Mason</v>
      </c>
      <c r="L1142" t="str">
        <f>IFERROR(VLOOKUP(J1142,LUTs!$A$1:$C$73,3,FALSE),"NA")</f>
        <v>4 Hood Canal</v>
      </c>
      <c r="M1142" s="72" t="s">
        <v>20</v>
      </c>
      <c r="N1142" t="str">
        <f>VLOOKUP(M1142,LUTs!E$2:H$14,3,)</f>
        <v>07Pierce</v>
      </c>
      <c r="O1142" t="str">
        <f>VLOOKUP(M1142,LUTs!E$2:H$14,4,)</f>
        <v>02South Puget Sound</v>
      </c>
      <c r="P1142" s="73">
        <v>7</v>
      </c>
      <c r="Q1142" s="74">
        <f>VLOOKUP(B1142,Readme!A$40:C$51,2,)*P1142</f>
        <v>60.550000000000004</v>
      </c>
    </row>
    <row r="1143" spans="1:17" ht="12" customHeight="1" x14ac:dyDescent="0.35">
      <c r="A1143" s="75">
        <v>1142</v>
      </c>
      <c r="B1143" s="64">
        <v>2012</v>
      </c>
      <c r="C1143" s="64">
        <v>9</v>
      </c>
      <c r="D1143" s="80">
        <f t="shared" si="37"/>
        <v>2012</v>
      </c>
      <c r="E1143" t="s">
        <v>38</v>
      </c>
      <c r="F1143" t="s">
        <v>143</v>
      </c>
      <c r="G1143" t="s">
        <v>10</v>
      </c>
      <c r="H1143" s="72" t="s">
        <v>224</v>
      </c>
      <c r="I1143" s="72" t="s">
        <v>66</v>
      </c>
      <c r="J1143" t="str">
        <f t="shared" si="38"/>
        <v>Whatcom Creek</v>
      </c>
      <c r="K1143" t="str">
        <f>IFERROR(VLOOKUP(J1143,LUTs!$A$1:$C$73,2,FALSE),"NA")</f>
        <v>Whatcom</v>
      </c>
      <c r="L1143" t="str">
        <f>IFERROR(VLOOKUP(J1143,LUTs!$A$1:$C$73,3,FALSE),"NA")</f>
        <v>1North Puget Sound</v>
      </c>
      <c r="M1143" s="72" t="s">
        <v>20</v>
      </c>
      <c r="N1143" t="str">
        <f>VLOOKUP(M1143,LUTs!E$2:H$14,3,)</f>
        <v>07Pierce</v>
      </c>
      <c r="O1143" t="str">
        <f>VLOOKUP(M1143,LUTs!E$2:H$14,4,)</f>
        <v>02South Puget Sound</v>
      </c>
      <c r="P1143" s="73">
        <v>8.6666666666666696</v>
      </c>
      <c r="Q1143" s="74">
        <f>VLOOKUP(B1143,Readme!A$40:C$51,2,)*P1143</f>
        <v>74.966666666666697</v>
      </c>
    </row>
    <row r="1144" spans="1:17" ht="12" customHeight="1" x14ac:dyDescent="0.35">
      <c r="A1144" s="75">
        <v>1143</v>
      </c>
      <c r="B1144" s="64">
        <v>2012</v>
      </c>
      <c r="C1144" s="64">
        <v>9</v>
      </c>
      <c r="D1144" s="80">
        <f t="shared" si="37"/>
        <v>2012</v>
      </c>
      <c r="E1144" t="s">
        <v>38</v>
      </c>
      <c r="F1144" t="s">
        <v>143</v>
      </c>
      <c r="G1144" t="s">
        <v>10</v>
      </c>
      <c r="H1144" s="72" t="s">
        <v>224</v>
      </c>
      <c r="I1144" s="72" t="s">
        <v>66</v>
      </c>
      <c r="J1144" t="str">
        <f t="shared" si="38"/>
        <v>Whatcom Creek</v>
      </c>
      <c r="K1144" t="str">
        <f>IFERROR(VLOOKUP(J1144,LUTs!$A$1:$C$73,2,FALSE),"NA")</f>
        <v>Whatcom</v>
      </c>
      <c r="L1144" t="str">
        <f>IFERROR(VLOOKUP(J1144,LUTs!$A$1:$C$73,3,FALSE),"NA")</f>
        <v>1North Puget Sound</v>
      </c>
      <c r="M1144" s="72" t="s">
        <v>13</v>
      </c>
      <c r="N1144" t="str">
        <f>VLOOKUP(M1144,LUTs!E$2:H$14,3,)</f>
        <v>01Whatcom</v>
      </c>
      <c r="O1144" t="str">
        <f>VLOOKUP(M1144,LUTs!E$2:H$14,4,)</f>
        <v>01North Puget Sound</v>
      </c>
      <c r="P1144" s="73">
        <v>17.3333333333333</v>
      </c>
      <c r="Q1144" s="74">
        <f>VLOOKUP(B1144,Readme!A$40:C$51,2,)*P1144</f>
        <v>149.93333333333305</v>
      </c>
    </row>
    <row r="1145" spans="1:17" ht="12" customHeight="1" x14ac:dyDescent="0.35">
      <c r="A1145" s="75">
        <v>1144</v>
      </c>
      <c r="B1145" s="64">
        <v>2012</v>
      </c>
      <c r="C1145" s="64">
        <v>10</v>
      </c>
      <c r="D1145" s="80">
        <f t="shared" si="37"/>
        <v>2012</v>
      </c>
      <c r="E1145" t="s">
        <v>38</v>
      </c>
      <c r="F1145" t="s">
        <v>143</v>
      </c>
      <c r="G1145" t="s">
        <v>10</v>
      </c>
      <c r="H1145" s="72" t="s">
        <v>224</v>
      </c>
      <c r="I1145" s="72" t="s">
        <v>66</v>
      </c>
      <c r="J1145" t="str">
        <f t="shared" si="38"/>
        <v>Whatcom Creek</v>
      </c>
      <c r="K1145" t="str">
        <f>IFERROR(VLOOKUP(J1145,LUTs!$A$1:$C$73,2,FALSE),"NA")</f>
        <v>Whatcom</v>
      </c>
      <c r="L1145" t="str">
        <f>IFERROR(VLOOKUP(J1145,LUTs!$A$1:$C$73,3,FALSE),"NA")</f>
        <v>1North Puget Sound</v>
      </c>
      <c r="M1145" s="72" t="s">
        <v>13</v>
      </c>
      <c r="N1145" t="str">
        <f>VLOOKUP(M1145,LUTs!E$2:H$14,3,)</f>
        <v>01Whatcom</v>
      </c>
      <c r="O1145" t="str">
        <f>VLOOKUP(M1145,LUTs!E$2:H$14,4,)</f>
        <v>01North Puget Sound</v>
      </c>
      <c r="P1145" s="73">
        <v>16</v>
      </c>
      <c r="Q1145" s="74">
        <f>VLOOKUP(B1145,Readme!A$40:C$51,2,)*P1145</f>
        <v>138.4</v>
      </c>
    </row>
    <row r="1146" spans="1:17" ht="12" customHeight="1" x14ac:dyDescent="0.35">
      <c r="A1146" s="75">
        <v>1145</v>
      </c>
      <c r="B1146" s="64">
        <v>2012</v>
      </c>
      <c r="C1146" s="64">
        <v>11</v>
      </c>
      <c r="D1146" s="80">
        <f t="shared" si="37"/>
        <v>2012</v>
      </c>
      <c r="E1146" t="s">
        <v>38</v>
      </c>
      <c r="F1146" t="s">
        <v>143</v>
      </c>
      <c r="G1146" t="s">
        <v>10</v>
      </c>
      <c r="H1146" s="72" t="s">
        <v>224</v>
      </c>
      <c r="I1146" s="72" t="s">
        <v>66</v>
      </c>
      <c r="J1146" t="str">
        <f t="shared" si="38"/>
        <v>Whatcom Creek</v>
      </c>
      <c r="K1146" t="str">
        <f>IFERROR(VLOOKUP(J1146,LUTs!$A$1:$C$73,2,FALSE),"NA")</f>
        <v>Whatcom</v>
      </c>
      <c r="L1146" t="str">
        <f>IFERROR(VLOOKUP(J1146,LUTs!$A$1:$C$73,3,FALSE),"NA")</f>
        <v>1North Puget Sound</v>
      </c>
      <c r="M1146" s="72" t="s">
        <v>18</v>
      </c>
      <c r="N1146" t="str">
        <f>VLOOKUP(M1146,LUTs!E$2:H$14,3,)</f>
        <v>06King</v>
      </c>
      <c r="O1146" t="str">
        <f>VLOOKUP(M1146,LUTs!E$2:H$14,4,)</f>
        <v>02South Puget Sound</v>
      </c>
      <c r="P1146" s="73">
        <v>15.2222222222222</v>
      </c>
      <c r="Q1146" s="74">
        <f>VLOOKUP(B1146,Readme!A$40:C$51,2,)*P1146</f>
        <v>131.67222222222205</v>
      </c>
    </row>
    <row r="1147" spans="1:17" ht="12" customHeight="1" x14ac:dyDescent="0.35">
      <c r="A1147" s="75">
        <v>1146</v>
      </c>
      <c r="B1147" s="64">
        <v>2012</v>
      </c>
      <c r="C1147" s="64">
        <v>11</v>
      </c>
      <c r="D1147" s="80">
        <f t="shared" si="37"/>
        <v>2012</v>
      </c>
      <c r="E1147" t="s">
        <v>38</v>
      </c>
      <c r="F1147" t="s">
        <v>143</v>
      </c>
      <c r="G1147" t="s">
        <v>10</v>
      </c>
      <c r="H1147" s="72" t="s">
        <v>224</v>
      </c>
      <c r="I1147" s="72" t="s">
        <v>66</v>
      </c>
      <c r="J1147" t="str">
        <f t="shared" si="38"/>
        <v>Whatcom Creek</v>
      </c>
      <c r="K1147" t="str">
        <f>IFERROR(VLOOKUP(J1147,LUTs!$A$1:$C$73,2,FALSE),"NA")</f>
        <v>Whatcom</v>
      </c>
      <c r="L1147" t="str">
        <f>IFERROR(VLOOKUP(J1147,LUTs!$A$1:$C$73,3,FALSE),"NA")</f>
        <v>1North Puget Sound</v>
      </c>
      <c r="M1147" s="72" t="s">
        <v>15</v>
      </c>
      <c r="N1147" t="str">
        <f>VLOOKUP(M1147,LUTs!E$2:H$14,3,)</f>
        <v>02Skagit</v>
      </c>
      <c r="O1147" t="str">
        <f>VLOOKUP(M1147,LUTs!E$2:H$14,4,)</f>
        <v>01North Puget Sound</v>
      </c>
      <c r="P1147" s="73">
        <v>60.8888888888889</v>
      </c>
      <c r="Q1147" s="74">
        <f>VLOOKUP(B1147,Readme!A$40:C$51,2,)*P1147</f>
        <v>526.68888888888898</v>
      </c>
    </row>
    <row r="1148" spans="1:17" ht="12" customHeight="1" x14ac:dyDescent="0.35">
      <c r="A1148" s="75">
        <v>1147</v>
      </c>
      <c r="B1148" s="64">
        <v>2012</v>
      </c>
      <c r="C1148" s="64">
        <v>11</v>
      </c>
      <c r="D1148" s="80">
        <f t="shared" si="37"/>
        <v>2012</v>
      </c>
      <c r="E1148" t="s">
        <v>38</v>
      </c>
      <c r="F1148" t="s">
        <v>143</v>
      </c>
      <c r="G1148" t="s">
        <v>10</v>
      </c>
      <c r="H1148" s="72" t="s">
        <v>224</v>
      </c>
      <c r="I1148" s="72" t="s">
        <v>66</v>
      </c>
      <c r="J1148" t="str">
        <f t="shared" si="38"/>
        <v>Whatcom Creek</v>
      </c>
      <c r="K1148" t="str">
        <f>IFERROR(VLOOKUP(J1148,LUTs!$A$1:$C$73,2,FALSE),"NA")</f>
        <v>Whatcom</v>
      </c>
      <c r="L1148" t="str">
        <f>IFERROR(VLOOKUP(J1148,LUTs!$A$1:$C$73,3,FALSE),"NA")</f>
        <v>1North Puget Sound</v>
      </c>
      <c r="M1148" s="72" t="s">
        <v>13</v>
      </c>
      <c r="N1148" t="str">
        <f>VLOOKUP(M1148,LUTs!E$2:H$14,3,)</f>
        <v>01Whatcom</v>
      </c>
      <c r="O1148" t="str">
        <f>VLOOKUP(M1148,LUTs!E$2:H$14,4,)</f>
        <v>01North Puget Sound</v>
      </c>
      <c r="P1148" s="73">
        <v>334.88888888888903</v>
      </c>
      <c r="Q1148" s="74">
        <f>VLOOKUP(B1148,Readme!A$40:C$51,2,)*P1148</f>
        <v>2896.7888888888901</v>
      </c>
    </row>
    <row r="1149" spans="1:17" ht="12" customHeight="1" x14ac:dyDescent="0.35">
      <c r="A1149" s="75">
        <v>1148</v>
      </c>
      <c r="B1149" s="64">
        <v>2013</v>
      </c>
      <c r="C1149" s="64">
        <v>10</v>
      </c>
      <c r="D1149" s="80">
        <f t="shared" si="37"/>
        <v>2013</v>
      </c>
      <c r="E1149" t="s">
        <v>38</v>
      </c>
      <c r="F1149" t="s">
        <v>143</v>
      </c>
      <c r="G1149" t="s">
        <v>10</v>
      </c>
      <c r="H1149" s="72" t="s">
        <v>232</v>
      </c>
      <c r="I1149" s="72" t="s">
        <v>75</v>
      </c>
      <c r="J1149" t="str">
        <f t="shared" si="38"/>
        <v>Black River (Thurston Co)</v>
      </c>
      <c r="K1149" t="str">
        <f>IFERROR(VLOOKUP(J1149,LUTs!$A$1:$C$73,2,FALSE),"NA")</f>
        <v>Thurston</v>
      </c>
      <c r="L1149" t="str">
        <f>IFERROR(VLOOKUP(J1149,LUTs!$A$1:$C$73,3,FALSE),"NA")</f>
        <v>3South Puget Sound</v>
      </c>
      <c r="M1149" s="72" t="s">
        <v>26</v>
      </c>
      <c r="N1149" t="str">
        <f>VLOOKUP(M1149,LUTs!E$2:H$14,3,)</f>
        <v>20Other</v>
      </c>
      <c r="O1149" t="str">
        <f>VLOOKUP(M1149,LUTs!E$2:H$14,4,)</f>
        <v>07Non Puget Sound</v>
      </c>
      <c r="P1149" s="73">
        <v>15</v>
      </c>
      <c r="Q1149" s="74">
        <f>VLOOKUP(B1149,Readme!A$40:C$51,2,)*P1149</f>
        <v>51.6</v>
      </c>
    </row>
    <row r="1150" spans="1:17" ht="12" customHeight="1" x14ac:dyDescent="0.35">
      <c r="A1150" s="75">
        <v>1149</v>
      </c>
      <c r="B1150" s="64">
        <v>2013</v>
      </c>
      <c r="C1150" s="64">
        <v>8</v>
      </c>
      <c r="D1150" s="80">
        <f t="shared" si="37"/>
        <v>2013</v>
      </c>
      <c r="E1150" t="s">
        <v>38</v>
      </c>
      <c r="F1150" t="s">
        <v>143</v>
      </c>
      <c r="G1150" t="s">
        <v>10</v>
      </c>
      <c r="H1150" s="72" t="s">
        <v>197</v>
      </c>
      <c r="I1150" s="72" t="s">
        <v>39</v>
      </c>
      <c r="J1150" t="str">
        <f t="shared" si="38"/>
        <v>Chambers Creek</v>
      </c>
      <c r="K1150" t="str">
        <f>IFERROR(VLOOKUP(J1150,LUTs!$A$1:$C$73,2,FALSE),"NA")</f>
        <v>Pierce</v>
      </c>
      <c r="L1150" t="str">
        <f>IFERROR(VLOOKUP(J1150,LUTs!$A$1:$C$73,3,FALSE),"NA")</f>
        <v>3South Puget Sound</v>
      </c>
      <c r="M1150" s="72" t="s">
        <v>20</v>
      </c>
      <c r="N1150" t="str">
        <f>VLOOKUP(M1150,LUTs!E$2:H$14,3,)</f>
        <v>07Pierce</v>
      </c>
      <c r="O1150" t="str">
        <f>VLOOKUP(M1150,LUTs!E$2:H$14,4,)</f>
        <v>02South Puget Sound</v>
      </c>
      <c r="P1150" s="73">
        <v>5</v>
      </c>
      <c r="Q1150" s="74">
        <f>VLOOKUP(B1150,Readme!A$40:C$51,2,)*P1150</f>
        <v>17.2</v>
      </c>
    </row>
    <row r="1151" spans="1:17" ht="12" customHeight="1" x14ac:dyDescent="0.35">
      <c r="A1151" s="75">
        <v>1150</v>
      </c>
      <c r="B1151" s="64">
        <v>2013</v>
      </c>
      <c r="C1151" s="64">
        <v>9</v>
      </c>
      <c r="D1151" s="80">
        <f t="shared" si="37"/>
        <v>2013</v>
      </c>
      <c r="E1151" t="s">
        <v>38</v>
      </c>
      <c r="F1151" t="s">
        <v>143</v>
      </c>
      <c r="G1151" t="s">
        <v>10</v>
      </c>
      <c r="H1151" s="72" t="s">
        <v>197</v>
      </c>
      <c r="I1151" s="72" t="s">
        <v>39</v>
      </c>
      <c r="J1151" t="str">
        <f t="shared" si="38"/>
        <v>Chambers Creek</v>
      </c>
      <c r="K1151" t="str">
        <f>IFERROR(VLOOKUP(J1151,LUTs!$A$1:$C$73,2,FALSE),"NA")</f>
        <v>Pierce</v>
      </c>
      <c r="L1151" t="str">
        <f>IFERROR(VLOOKUP(J1151,LUTs!$A$1:$C$73,3,FALSE),"NA")</f>
        <v>3South Puget Sound</v>
      </c>
      <c r="M1151" s="72" t="s">
        <v>21</v>
      </c>
      <c r="N1151" t="str">
        <f>VLOOKUP(M1151,LUTs!E$2:H$14,3,)</f>
        <v>08Thurston</v>
      </c>
      <c r="O1151" t="str">
        <f>VLOOKUP(M1151,LUTs!E$2:H$14,4,)</f>
        <v>02South Puget Sound</v>
      </c>
      <c r="P1151" s="73">
        <v>10</v>
      </c>
      <c r="Q1151" s="74">
        <f>VLOOKUP(B1151,Readme!A$40:C$51,2,)*P1151</f>
        <v>34.4</v>
      </c>
    </row>
    <row r="1152" spans="1:17" ht="12" customHeight="1" x14ac:dyDescent="0.35">
      <c r="A1152" s="75">
        <v>1151</v>
      </c>
      <c r="B1152" s="64">
        <v>2013</v>
      </c>
      <c r="C1152" s="64">
        <v>10</v>
      </c>
      <c r="D1152" s="80">
        <f t="shared" si="37"/>
        <v>2013</v>
      </c>
      <c r="E1152" t="s">
        <v>38</v>
      </c>
      <c r="F1152" t="s">
        <v>143</v>
      </c>
      <c r="G1152" t="s">
        <v>10</v>
      </c>
      <c r="H1152" s="72" t="s">
        <v>198</v>
      </c>
      <c r="I1152" s="72" t="s">
        <v>40</v>
      </c>
      <c r="J1152" t="str">
        <f t="shared" si="38"/>
        <v>Dakota Creek (Whatcom Co)</v>
      </c>
      <c r="K1152" t="str">
        <f>IFERROR(VLOOKUP(J1152,LUTs!$A$1:$C$73,2,FALSE),"NA")</f>
        <v>Whatcom</v>
      </c>
      <c r="L1152" t="str">
        <f>IFERROR(VLOOKUP(J1152,LUTs!$A$1:$C$73,3,FALSE),"NA")</f>
        <v>1North Puget Sound</v>
      </c>
      <c r="M1152" s="72" t="s">
        <v>26</v>
      </c>
      <c r="N1152" t="str">
        <f>VLOOKUP(M1152,LUTs!E$2:H$14,3,)</f>
        <v>20Other</v>
      </c>
      <c r="O1152" t="str">
        <f>VLOOKUP(M1152,LUTs!E$2:H$14,4,)</f>
        <v>07Non Puget Sound</v>
      </c>
      <c r="P1152" s="73">
        <v>54.101694915254299</v>
      </c>
      <c r="Q1152" s="74">
        <f>VLOOKUP(B1152,Readme!A$40:C$51,2,)*P1152</f>
        <v>186.10983050847477</v>
      </c>
    </row>
    <row r="1153" spans="1:17" ht="12" customHeight="1" x14ac:dyDescent="0.35">
      <c r="A1153" s="75">
        <v>1152</v>
      </c>
      <c r="B1153" s="64">
        <v>2013</v>
      </c>
      <c r="C1153" s="64">
        <v>10</v>
      </c>
      <c r="D1153" s="80">
        <f t="shared" si="37"/>
        <v>2013</v>
      </c>
      <c r="E1153" t="s">
        <v>38</v>
      </c>
      <c r="F1153" t="s">
        <v>143</v>
      </c>
      <c r="G1153" t="s">
        <v>10</v>
      </c>
      <c r="H1153" s="72" t="s">
        <v>198</v>
      </c>
      <c r="I1153" s="72" t="s">
        <v>40</v>
      </c>
      <c r="J1153" t="str">
        <f t="shared" si="38"/>
        <v>Dakota Creek (Whatcom Co)</v>
      </c>
      <c r="K1153" t="str">
        <f>IFERROR(VLOOKUP(J1153,LUTs!$A$1:$C$73,2,FALSE),"NA")</f>
        <v>Whatcom</v>
      </c>
      <c r="L1153" t="str">
        <f>IFERROR(VLOOKUP(J1153,LUTs!$A$1:$C$73,3,FALSE),"NA")</f>
        <v>1North Puget Sound</v>
      </c>
      <c r="M1153" s="72" t="s">
        <v>13</v>
      </c>
      <c r="N1153" t="str">
        <f>VLOOKUP(M1153,LUTs!E$2:H$14,3,)</f>
        <v>01Whatcom</v>
      </c>
      <c r="O1153" t="str">
        <f>VLOOKUP(M1153,LUTs!E$2:H$14,4,)</f>
        <v>01North Puget Sound</v>
      </c>
      <c r="P1153" s="73">
        <v>477.89830508474603</v>
      </c>
      <c r="Q1153" s="74">
        <f>VLOOKUP(B1153,Readme!A$40:C$51,2,)*P1153</f>
        <v>1643.9701694915263</v>
      </c>
    </row>
    <row r="1154" spans="1:17" ht="12" customHeight="1" x14ac:dyDescent="0.35">
      <c r="A1154" s="75">
        <v>1153</v>
      </c>
      <c r="B1154" s="64">
        <v>2013</v>
      </c>
      <c r="C1154" s="64">
        <v>11</v>
      </c>
      <c r="D1154" s="80">
        <f t="shared" ref="D1154:D1217" si="39">IF(C1154&gt;3,B1154,B1154-1)</f>
        <v>2013</v>
      </c>
      <c r="E1154" t="s">
        <v>38</v>
      </c>
      <c r="F1154" t="s">
        <v>143</v>
      </c>
      <c r="G1154" t="s">
        <v>10</v>
      </c>
      <c r="H1154" s="72" t="s">
        <v>198</v>
      </c>
      <c r="I1154" s="72" t="s">
        <v>40</v>
      </c>
      <c r="J1154" t="str">
        <f t="shared" si="38"/>
        <v>Dakota Creek (Whatcom Co)</v>
      </c>
      <c r="K1154" t="str">
        <f>IFERROR(VLOOKUP(J1154,LUTs!$A$1:$C$73,2,FALSE),"NA")</f>
        <v>Whatcom</v>
      </c>
      <c r="L1154" t="str">
        <f>IFERROR(VLOOKUP(J1154,LUTs!$A$1:$C$73,3,FALSE),"NA")</f>
        <v>1North Puget Sound</v>
      </c>
      <c r="M1154" s="72" t="s">
        <v>13</v>
      </c>
      <c r="N1154" t="str">
        <f>VLOOKUP(M1154,LUTs!E$2:H$14,3,)</f>
        <v>01Whatcom</v>
      </c>
      <c r="O1154" t="str">
        <f>VLOOKUP(M1154,LUTs!E$2:H$14,4,)</f>
        <v>01North Puget Sound</v>
      </c>
      <c r="P1154" s="73">
        <v>45</v>
      </c>
      <c r="Q1154" s="74">
        <f>VLOOKUP(B1154,Readme!A$40:C$51,2,)*P1154</f>
        <v>154.80000000000001</v>
      </c>
    </row>
    <row r="1155" spans="1:17" ht="12" customHeight="1" x14ac:dyDescent="0.35">
      <c r="A1155" s="75">
        <v>1154</v>
      </c>
      <c r="B1155" s="64">
        <v>2013</v>
      </c>
      <c r="C1155" s="64">
        <v>10</v>
      </c>
      <c r="D1155" s="80">
        <f t="shared" si="39"/>
        <v>2013</v>
      </c>
      <c r="E1155" t="s">
        <v>38</v>
      </c>
      <c r="F1155" t="s">
        <v>143</v>
      </c>
      <c r="G1155" t="s">
        <v>10</v>
      </c>
      <c r="H1155" s="72" t="s">
        <v>225</v>
      </c>
      <c r="I1155" s="72" t="s">
        <v>67</v>
      </c>
      <c r="J1155" t="str">
        <f t="shared" ref="J1155:J1218" si="40">I1155</f>
        <v>Dewatto River</v>
      </c>
      <c r="K1155" t="str">
        <f>IFERROR(VLOOKUP(J1155,LUTs!$A$1:$C$73,2,FALSE),"NA")</f>
        <v>Mason</v>
      </c>
      <c r="L1155" t="str">
        <f>IFERROR(VLOOKUP(J1155,LUTs!$A$1:$C$73,3,FALSE),"NA")</f>
        <v>4 Hood Canal</v>
      </c>
      <c r="M1155" s="72" t="s">
        <v>23</v>
      </c>
      <c r="N1155" t="str">
        <f>VLOOKUP(M1155,LUTs!E$2:H$14,3,)</f>
        <v>10Kitsap</v>
      </c>
      <c r="O1155" t="str">
        <f>VLOOKUP(M1155,LUTs!E$2:H$14,4,)</f>
        <v>02South Puget Sound</v>
      </c>
      <c r="P1155" s="73">
        <v>15.3333333333333</v>
      </c>
      <c r="Q1155" s="74">
        <f>VLOOKUP(B1155,Readme!A$40:C$51,2,)*P1155</f>
        <v>52.746666666666549</v>
      </c>
    </row>
    <row r="1156" spans="1:17" ht="12" customHeight="1" x14ac:dyDescent="0.35">
      <c r="A1156" s="75">
        <v>1155</v>
      </c>
      <c r="B1156" s="64">
        <v>2013</v>
      </c>
      <c r="C1156" s="64">
        <v>10</v>
      </c>
      <c r="D1156" s="80">
        <f t="shared" si="39"/>
        <v>2013</v>
      </c>
      <c r="E1156" t="s">
        <v>38</v>
      </c>
      <c r="F1156" t="s">
        <v>143</v>
      </c>
      <c r="G1156" t="s">
        <v>10</v>
      </c>
      <c r="H1156" s="72" t="s">
        <v>225</v>
      </c>
      <c r="I1156" s="72" t="s">
        <v>67</v>
      </c>
      <c r="J1156" t="str">
        <f t="shared" si="40"/>
        <v>Dewatto River</v>
      </c>
      <c r="K1156" t="str">
        <f>IFERROR(VLOOKUP(J1156,LUTs!$A$1:$C$73,2,FALSE),"NA")</f>
        <v>Mason</v>
      </c>
      <c r="L1156" t="str">
        <f>IFERROR(VLOOKUP(J1156,LUTs!$A$1:$C$73,3,FALSE),"NA")</f>
        <v>4 Hood Canal</v>
      </c>
      <c r="M1156" s="72" t="s">
        <v>22</v>
      </c>
      <c r="N1156" t="str">
        <f>VLOOKUP(M1156,LUTs!E$2:H$14,3,)</f>
        <v>09Mason</v>
      </c>
      <c r="O1156" t="str">
        <f>VLOOKUP(M1156,LUTs!E$2:H$14,4,)</f>
        <v>02South Puget Sound</v>
      </c>
      <c r="P1156" s="73">
        <v>30.6666666666667</v>
      </c>
      <c r="Q1156" s="74">
        <f>VLOOKUP(B1156,Readme!A$40:C$51,2,)*P1156</f>
        <v>105.49333333333344</v>
      </c>
    </row>
    <row r="1157" spans="1:17" ht="12" customHeight="1" x14ac:dyDescent="0.35">
      <c r="A1157" s="75">
        <v>1156</v>
      </c>
      <c r="B1157" s="64">
        <v>2013</v>
      </c>
      <c r="C1157" s="64">
        <v>11</v>
      </c>
      <c r="D1157" s="80">
        <f t="shared" si="39"/>
        <v>2013</v>
      </c>
      <c r="E1157" t="s">
        <v>38</v>
      </c>
      <c r="F1157" t="s">
        <v>143</v>
      </c>
      <c r="G1157" t="s">
        <v>10</v>
      </c>
      <c r="H1157" s="72" t="s">
        <v>200</v>
      </c>
      <c r="I1157" s="72" t="s">
        <v>42</v>
      </c>
      <c r="J1157" t="str">
        <f t="shared" si="40"/>
        <v>Duckabush River</v>
      </c>
      <c r="K1157" t="str">
        <f>IFERROR(VLOOKUP(J1157,LUTs!$A$1:$C$73,2,FALSE),"NA")</f>
        <v>Jefferson</v>
      </c>
      <c r="L1157" t="str">
        <f>IFERROR(VLOOKUP(J1157,LUTs!$A$1:$C$73,3,FALSE),"NA")</f>
        <v>4 Hood Canal</v>
      </c>
      <c r="M1157" s="72" t="s">
        <v>23</v>
      </c>
      <c r="N1157" t="str">
        <f>VLOOKUP(M1157,LUTs!E$2:H$14,3,)</f>
        <v>10Kitsap</v>
      </c>
      <c r="O1157" t="str">
        <f>VLOOKUP(M1157,LUTs!E$2:H$14,4,)</f>
        <v>02South Puget Sound</v>
      </c>
      <c r="P1157" s="73">
        <v>5</v>
      </c>
      <c r="Q1157" s="74">
        <f>VLOOKUP(B1157,Readme!A$40:C$51,2,)*P1157</f>
        <v>17.2</v>
      </c>
    </row>
    <row r="1158" spans="1:17" ht="12" customHeight="1" x14ac:dyDescent="0.35">
      <c r="A1158" s="75">
        <v>1157</v>
      </c>
      <c r="B1158" s="64">
        <v>2013</v>
      </c>
      <c r="C1158" s="64">
        <v>12</v>
      </c>
      <c r="D1158" s="80">
        <f t="shared" si="39"/>
        <v>2013</v>
      </c>
      <c r="E1158" t="s">
        <v>38</v>
      </c>
      <c r="F1158" t="s">
        <v>143</v>
      </c>
      <c r="G1158" t="s">
        <v>10</v>
      </c>
      <c r="H1158" s="72" t="s">
        <v>200</v>
      </c>
      <c r="I1158" s="72" t="s">
        <v>42</v>
      </c>
      <c r="J1158" t="str">
        <f t="shared" si="40"/>
        <v>Duckabush River</v>
      </c>
      <c r="K1158" t="str">
        <f>IFERROR(VLOOKUP(J1158,LUTs!$A$1:$C$73,2,FALSE),"NA")</f>
        <v>Jefferson</v>
      </c>
      <c r="L1158" t="str">
        <f>IFERROR(VLOOKUP(J1158,LUTs!$A$1:$C$73,3,FALSE),"NA")</f>
        <v>4 Hood Canal</v>
      </c>
      <c r="M1158" s="72" t="s">
        <v>23</v>
      </c>
      <c r="N1158" t="str">
        <f>VLOOKUP(M1158,LUTs!E$2:H$14,3,)</f>
        <v>10Kitsap</v>
      </c>
      <c r="O1158" t="str">
        <f>VLOOKUP(M1158,LUTs!E$2:H$14,4,)</f>
        <v>02South Puget Sound</v>
      </c>
      <c r="P1158" s="73">
        <v>5</v>
      </c>
      <c r="Q1158" s="74">
        <f>VLOOKUP(B1158,Readme!A$40:C$51,2,)*P1158</f>
        <v>17.2</v>
      </c>
    </row>
    <row r="1159" spans="1:17" ht="12" customHeight="1" x14ac:dyDescent="0.35">
      <c r="A1159" s="75">
        <v>1158</v>
      </c>
      <c r="B1159" s="64">
        <v>2013</v>
      </c>
      <c r="C1159" s="64">
        <v>10</v>
      </c>
      <c r="D1159" s="80">
        <f t="shared" si="39"/>
        <v>2013</v>
      </c>
      <c r="E1159" t="s">
        <v>38</v>
      </c>
      <c r="F1159" t="s">
        <v>143</v>
      </c>
      <c r="G1159" t="s">
        <v>10</v>
      </c>
      <c r="H1159" s="72" t="s">
        <v>201</v>
      </c>
      <c r="I1159" s="72" t="s">
        <v>43</v>
      </c>
      <c r="J1159" t="str">
        <f t="shared" si="40"/>
        <v>Dungeness River</v>
      </c>
      <c r="K1159" t="str">
        <f>IFERROR(VLOOKUP(J1159,LUTs!$A$1:$C$73,2,FALSE),"NA")</f>
        <v>Clallam</v>
      </c>
      <c r="L1159" t="str">
        <f>IFERROR(VLOOKUP(J1159,LUTs!$A$1:$C$73,3,FALSE),"NA")</f>
        <v>0Strait of Juan de Fuca</v>
      </c>
      <c r="M1159" s="72" t="s">
        <v>24</v>
      </c>
      <c r="N1159" t="str">
        <f>VLOOKUP(M1159,LUTs!E$2:H$14,3,)</f>
        <v>11Clallam</v>
      </c>
      <c r="O1159" t="str">
        <f>VLOOKUP(M1159,LUTs!E$2:H$14,4,)</f>
        <v>03Strait of Juan de Fuca</v>
      </c>
      <c r="P1159" s="73">
        <v>1029.27272727273</v>
      </c>
      <c r="Q1159" s="74">
        <f>VLOOKUP(B1159,Readme!A$40:C$51,2,)*P1159</f>
        <v>3540.6981818181912</v>
      </c>
    </row>
    <row r="1160" spans="1:17" ht="12" customHeight="1" x14ac:dyDescent="0.35">
      <c r="A1160" s="75">
        <v>1159</v>
      </c>
      <c r="B1160" s="64">
        <v>2013</v>
      </c>
      <c r="C1160" s="64">
        <v>10</v>
      </c>
      <c r="D1160" s="80">
        <f t="shared" si="39"/>
        <v>2013</v>
      </c>
      <c r="E1160" t="s">
        <v>38</v>
      </c>
      <c r="F1160" t="s">
        <v>143</v>
      </c>
      <c r="G1160" t="s">
        <v>10</v>
      </c>
      <c r="H1160" s="72" t="s">
        <v>201</v>
      </c>
      <c r="I1160" s="72" t="s">
        <v>43</v>
      </c>
      <c r="J1160" t="str">
        <f t="shared" si="40"/>
        <v>Dungeness River</v>
      </c>
      <c r="K1160" t="str">
        <f>IFERROR(VLOOKUP(J1160,LUTs!$A$1:$C$73,2,FALSE),"NA")</f>
        <v>Clallam</v>
      </c>
      <c r="L1160" t="str">
        <f>IFERROR(VLOOKUP(J1160,LUTs!$A$1:$C$73,3,FALSE),"NA")</f>
        <v>0Strait of Juan de Fuca</v>
      </c>
      <c r="M1160" s="72" t="s">
        <v>18</v>
      </c>
      <c r="N1160" t="str">
        <f>VLOOKUP(M1160,LUTs!E$2:H$14,3,)</f>
        <v>06King</v>
      </c>
      <c r="O1160" t="str">
        <f>VLOOKUP(M1160,LUTs!E$2:H$14,4,)</f>
        <v>02South Puget Sound</v>
      </c>
      <c r="P1160" s="73">
        <v>18.5454545454546</v>
      </c>
      <c r="Q1160" s="74">
        <f>VLOOKUP(B1160,Readme!A$40:C$51,2,)*P1160</f>
        <v>63.796363636363822</v>
      </c>
    </row>
    <row r="1161" spans="1:17" ht="12" customHeight="1" x14ac:dyDescent="0.35">
      <c r="A1161" s="75">
        <v>1160</v>
      </c>
      <c r="B1161" s="64">
        <v>2013</v>
      </c>
      <c r="C1161" s="64">
        <v>10</v>
      </c>
      <c r="D1161" s="80">
        <f t="shared" si="39"/>
        <v>2013</v>
      </c>
      <c r="E1161" t="s">
        <v>38</v>
      </c>
      <c r="F1161" t="s">
        <v>143</v>
      </c>
      <c r="G1161" t="s">
        <v>10</v>
      </c>
      <c r="H1161" s="72" t="s">
        <v>201</v>
      </c>
      <c r="I1161" s="72" t="s">
        <v>43</v>
      </c>
      <c r="J1161" t="str">
        <f t="shared" si="40"/>
        <v>Dungeness River</v>
      </c>
      <c r="K1161" t="str">
        <f>IFERROR(VLOOKUP(J1161,LUTs!$A$1:$C$73,2,FALSE),"NA")</f>
        <v>Clallam</v>
      </c>
      <c r="L1161" t="str">
        <f>IFERROR(VLOOKUP(J1161,LUTs!$A$1:$C$73,3,FALSE),"NA")</f>
        <v>0Strait of Juan de Fuca</v>
      </c>
      <c r="M1161" s="72" t="s">
        <v>23</v>
      </c>
      <c r="N1161" t="str">
        <f>VLOOKUP(M1161,LUTs!E$2:H$14,3,)</f>
        <v>10Kitsap</v>
      </c>
      <c r="O1161" t="str">
        <f>VLOOKUP(M1161,LUTs!E$2:H$14,4,)</f>
        <v>02South Puget Sound</v>
      </c>
      <c r="P1161" s="73">
        <v>120.545454545455</v>
      </c>
      <c r="Q1161" s="74">
        <f>VLOOKUP(B1161,Readme!A$40:C$51,2,)*P1161</f>
        <v>414.67636363636518</v>
      </c>
    </row>
    <row r="1162" spans="1:17" ht="12" customHeight="1" x14ac:dyDescent="0.35">
      <c r="A1162" s="75">
        <v>1161</v>
      </c>
      <c r="B1162" s="64">
        <v>2013</v>
      </c>
      <c r="C1162" s="64">
        <v>10</v>
      </c>
      <c r="D1162" s="80">
        <f t="shared" si="39"/>
        <v>2013</v>
      </c>
      <c r="E1162" t="s">
        <v>38</v>
      </c>
      <c r="F1162" t="s">
        <v>143</v>
      </c>
      <c r="G1162" t="s">
        <v>10</v>
      </c>
      <c r="H1162" s="72" t="s">
        <v>201</v>
      </c>
      <c r="I1162" s="72" t="s">
        <v>43</v>
      </c>
      <c r="J1162" t="str">
        <f t="shared" si="40"/>
        <v>Dungeness River</v>
      </c>
      <c r="K1162" t="str">
        <f>IFERROR(VLOOKUP(J1162,LUTs!$A$1:$C$73,2,FALSE),"NA")</f>
        <v>Clallam</v>
      </c>
      <c r="L1162" t="str">
        <f>IFERROR(VLOOKUP(J1162,LUTs!$A$1:$C$73,3,FALSE),"NA")</f>
        <v>0Strait of Juan de Fuca</v>
      </c>
      <c r="M1162" s="72" t="s">
        <v>26</v>
      </c>
      <c r="N1162" t="str">
        <f>VLOOKUP(M1162,LUTs!E$2:H$14,3,)</f>
        <v>20Other</v>
      </c>
      <c r="O1162" t="str">
        <f>VLOOKUP(M1162,LUTs!E$2:H$14,4,)</f>
        <v>07Non Puget Sound</v>
      </c>
      <c r="P1162" s="73">
        <v>83.454545454545496</v>
      </c>
      <c r="Q1162" s="74">
        <f>VLOOKUP(B1162,Readme!A$40:C$51,2,)*P1162</f>
        <v>287.08363636363651</v>
      </c>
    </row>
    <row r="1163" spans="1:17" ht="12" customHeight="1" x14ac:dyDescent="0.35">
      <c r="A1163" s="75">
        <v>1162</v>
      </c>
      <c r="B1163" s="64">
        <v>2013</v>
      </c>
      <c r="C1163" s="64">
        <v>10</v>
      </c>
      <c r="D1163" s="80">
        <f t="shared" si="39"/>
        <v>2013</v>
      </c>
      <c r="E1163" t="s">
        <v>38</v>
      </c>
      <c r="F1163" t="s">
        <v>143</v>
      </c>
      <c r="G1163" t="s">
        <v>10</v>
      </c>
      <c r="H1163" s="72" t="s">
        <v>201</v>
      </c>
      <c r="I1163" s="72" t="s">
        <v>43</v>
      </c>
      <c r="J1163" t="str">
        <f t="shared" si="40"/>
        <v>Dungeness River</v>
      </c>
      <c r="K1163" t="str">
        <f>IFERROR(VLOOKUP(J1163,LUTs!$A$1:$C$73,2,FALSE),"NA")</f>
        <v>Clallam</v>
      </c>
      <c r="L1163" t="str">
        <f>IFERROR(VLOOKUP(J1163,LUTs!$A$1:$C$73,3,FALSE),"NA")</f>
        <v>0Strait of Juan de Fuca</v>
      </c>
      <c r="M1163" s="72" t="s">
        <v>20</v>
      </c>
      <c r="N1163" t="str">
        <f>VLOOKUP(M1163,LUTs!E$2:H$14,3,)</f>
        <v>07Pierce</v>
      </c>
      <c r="O1163" t="str">
        <f>VLOOKUP(M1163,LUTs!E$2:H$14,4,)</f>
        <v>02South Puget Sound</v>
      </c>
      <c r="P1163" s="73">
        <v>74.181818181818201</v>
      </c>
      <c r="Q1163" s="74">
        <f>VLOOKUP(B1163,Readme!A$40:C$51,2,)*P1163</f>
        <v>255.1854545454546</v>
      </c>
    </row>
    <row r="1164" spans="1:17" ht="12" customHeight="1" x14ac:dyDescent="0.35">
      <c r="A1164" s="75">
        <v>1163</v>
      </c>
      <c r="B1164" s="64">
        <v>2013</v>
      </c>
      <c r="C1164" s="64">
        <v>11</v>
      </c>
      <c r="D1164" s="80">
        <f t="shared" si="39"/>
        <v>2013</v>
      </c>
      <c r="E1164" t="s">
        <v>38</v>
      </c>
      <c r="F1164" t="s">
        <v>143</v>
      </c>
      <c r="G1164" t="s">
        <v>10</v>
      </c>
      <c r="H1164" s="72" t="s">
        <v>201</v>
      </c>
      <c r="I1164" s="72" t="s">
        <v>43</v>
      </c>
      <c r="J1164" t="str">
        <f t="shared" si="40"/>
        <v>Dungeness River</v>
      </c>
      <c r="K1164" t="str">
        <f>IFERROR(VLOOKUP(J1164,LUTs!$A$1:$C$73,2,FALSE),"NA")</f>
        <v>Clallam</v>
      </c>
      <c r="L1164" t="str">
        <f>IFERROR(VLOOKUP(J1164,LUTs!$A$1:$C$73,3,FALSE),"NA")</f>
        <v>0Strait of Juan de Fuca</v>
      </c>
      <c r="M1164" s="72" t="s">
        <v>24</v>
      </c>
      <c r="N1164" t="str">
        <f>VLOOKUP(M1164,LUTs!E$2:H$14,3,)</f>
        <v>11Clallam</v>
      </c>
      <c r="O1164" t="str">
        <f>VLOOKUP(M1164,LUTs!E$2:H$14,4,)</f>
        <v>03Strait of Juan de Fuca</v>
      </c>
      <c r="P1164" s="73">
        <v>93.076923076923094</v>
      </c>
      <c r="Q1164" s="74">
        <f>VLOOKUP(B1164,Readme!A$40:C$51,2,)*P1164</f>
        <v>320.18461538461543</v>
      </c>
    </row>
    <row r="1165" spans="1:17" ht="12" customHeight="1" x14ac:dyDescent="0.35">
      <c r="A1165" s="75">
        <v>1164</v>
      </c>
      <c r="B1165" s="64">
        <v>2013</v>
      </c>
      <c r="C1165" s="64">
        <v>11</v>
      </c>
      <c r="D1165" s="80">
        <f t="shared" si="39"/>
        <v>2013</v>
      </c>
      <c r="E1165" t="s">
        <v>38</v>
      </c>
      <c r="F1165" t="s">
        <v>143</v>
      </c>
      <c r="G1165" t="s">
        <v>10</v>
      </c>
      <c r="H1165" s="72" t="s">
        <v>201</v>
      </c>
      <c r="I1165" s="72" t="s">
        <v>43</v>
      </c>
      <c r="J1165" t="str">
        <f t="shared" si="40"/>
        <v>Dungeness River</v>
      </c>
      <c r="K1165" t="str">
        <f>IFERROR(VLOOKUP(J1165,LUTs!$A$1:$C$73,2,FALSE),"NA")</f>
        <v>Clallam</v>
      </c>
      <c r="L1165" t="str">
        <f>IFERROR(VLOOKUP(J1165,LUTs!$A$1:$C$73,3,FALSE),"NA")</f>
        <v>0Strait of Juan de Fuca</v>
      </c>
      <c r="M1165" s="72" t="s">
        <v>16</v>
      </c>
      <c r="N1165" t="str">
        <f>VLOOKUP(M1165,LUTs!E$2:H$14,3,)</f>
        <v>03Snohomish</v>
      </c>
      <c r="O1165" t="str">
        <f>VLOOKUP(M1165,LUTs!E$2:H$14,4,)</f>
        <v>01North Puget Sound</v>
      </c>
      <c r="P1165" s="73">
        <v>27.923076923076898</v>
      </c>
      <c r="Q1165" s="74">
        <f>VLOOKUP(B1165,Readme!A$40:C$51,2,)*P1165</f>
        <v>96.055384615384526</v>
      </c>
    </row>
    <row r="1166" spans="1:17" ht="12" customHeight="1" x14ac:dyDescent="0.35">
      <c r="A1166" s="75">
        <v>1165</v>
      </c>
      <c r="B1166" s="64">
        <v>2013</v>
      </c>
      <c r="C1166" s="64">
        <v>8</v>
      </c>
      <c r="D1166" s="80">
        <f t="shared" si="39"/>
        <v>2013</v>
      </c>
      <c r="E1166" t="s">
        <v>38</v>
      </c>
      <c r="F1166" t="s">
        <v>143</v>
      </c>
      <c r="G1166" t="s">
        <v>10</v>
      </c>
      <c r="H1166" s="72" t="s">
        <v>203</v>
      </c>
      <c r="I1166" s="72" t="s">
        <v>45</v>
      </c>
      <c r="J1166" t="str">
        <f t="shared" si="40"/>
        <v>Green - Duwamish River</v>
      </c>
      <c r="K1166" t="str">
        <f>IFERROR(VLOOKUP(J1166,LUTs!$A$1:$C$73,2,FALSE),"NA")</f>
        <v>King</v>
      </c>
      <c r="L1166" t="str">
        <f>IFERROR(VLOOKUP(J1166,LUTs!$A$1:$C$73,3,FALSE),"NA")</f>
        <v>3South Puget Sound</v>
      </c>
      <c r="M1166" s="72" t="s">
        <v>17</v>
      </c>
      <c r="N1166" t="str">
        <f>VLOOKUP(M1166,LUTs!E$2:H$14,3,)</f>
        <v>04Island</v>
      </c>
      <c r="O1166" t="str">
        <f>VLOOKUP(M1166,LUTs!E$2:H$14,4,)</f>
        <v>01North Puget Sound</v>
      </c>
      <c r="P1166" s="73">
        <v>9.0423076923077002</v>
      </c>
      <c r="Q1166" s="74">
        <f>VLOOKUP(B1166,Readme!A$40:C$51,2,)*P1166</f>
        <v>31.105538461538487</v>
      </c>
    </row>
    <row r="1167" spans="1:17" ht="12" customHeight="1" x14ac:dyDescent="0.35">
      <c r="A1167" s="75">
        <v>1166</v>
      </c>
      <c r="B1167" s="64">
        <v>2013</v>
      </c>
      <c r="C1167" s="64">
        <v>8</v>
      </c>
      <c r="D1167" s="80">
        <f t="shared" si="39"/>
        <v>2013</v>
      </c>
      <c r="E1167" t="s">
        <v>38</v>
      </c>
      <c r="F1167" t="s">
        <v>143</v>
      </c>
      <c r="G1167" t="s">
        <v>10</v>
      </c>
      <c r="H1167" s="72" t="s">
        <v>203</v>
      </c>
      <c r="I1167" s="72" t="s">
        <v>45</v>
      </c>
      <c r="J1167" t="str">
        <f t="shared" si="40"/>
        <v>Green - Duwamish River</v>
      </c>
      <c r="K1167" t="str">
        <f>IFERROR(VLOOKUP(J1167,LUTs!$A$1:$C$73,2,FALSE),"NA")</f>
        <v>King</v>
      </c>
      <c r="L1167" t="str">
        <f>IFERROR(VLOOKUP(J1167,LUTs!$A$1:$C$73,3,FALSE),"NA")</f>
        <v>3South Puget Sound</v>
      </c>
      <c r="M1167" s="72" t="s">
        <v>18</v>
      </c>
      <c r="N1167" t="str">
        <f>VLOOKUP(M1167,LUTs!E$2:H$14,3,)</f>
        <v>06King</v>
      </c>
      <c r="O1167" t="str">
        <f>VLOOKUP(M1167,LUTs!E$2:H$14,4,)</f>
        <v>02South Puget Sound</v>
      </c>
      <c r="P1167" s="73">
        <v>3788.7269230769198</v>
      </c>
      <c r="Q1167" s="74">
        <f>VLOOKUP(B1167,Readme!A$40:C$51,2,)*P1167</f>
        <v>13033.220615384604</v>
      </c>
    </row>
    <row r="1168" spans="1:17" ht="12" customHeight="1" x14ac:dyDescent="0.35">
      <c r="A1168" s="75">
        <v>1167</v>
      </c>
      <c r="B1168" s="64">
        <v>2013</v>
      </c>
      <c r="C1168" s="64">
        <v>8</v>
      </c>
      <c r="D1168" s="80">
        <f t="shared" si="39"/>
        <v>2013</v>
      </c>
      <c r="E1168" t="s">
        <v>38</v>
      </c>
      <c r="F1168" t="s">
        <v>143</v>
      </c>
      <c r="G1168" t="s">
        <v>10</v>
      </c>
      <c r="H1168" s="72" t="s">
        <v>203</v>
      </c>
      <c r="I1168" s="72" t="s">
        <v>45</v>
      </c>
      <c r="J1168" t="str">
        <f t="shared" si="40"/>
        <v>Green - Duwamish River</v>
      </c>
      <c r="K1168" t="str">
        <f>IFERROR(VLOOKUP(J1168,LUTs!$A$1:$C$73,2,FALSE),"NA")</f>
        <v>King</v>
      </c>
      <c r="L1168" t="str">
        <f>IFERROR(VLOOKUP(J1168,LUTs!$A$1:$C$73,3,FALSE),"NA")</f>
        <v>3South Puget Sound</v>
      </c>
      <c r="M1168" s="72" t="s">
        <v>23</v>
      </c>
      <c r="N1168" t="str">
        <f>VLOOKUP(M1168,LUTs!E$2:H$14,3,)</f>
        <v>10Kitsap</v>
      </c>
      <c r="O1168" t="str">
        <f>VLOOKUP(M1168,LUTs!E$2:H$14,4,)</f>
        <v>02South Puget Sound</v>
      </c>
      <c r="P1168" s="73">
        <v>54.253846153846197</v>
      </c>
      <c r="Q1168" s="74">
        <f>VLOOKUP(B1168,Readme!A$40:C$51,2,)*P1168</f>
        <v>186.63323076923092</v>
      </c>
    </row>
    <row r="1169" spans="1:17" ht="12" customHeight="1" x14ac:dyDescent="0.35">
      <c r="A1169" s="75">
        <v>1168</v>
      </c>
      <c r="B1169" s="64">
        <v>2013</v>
      </c>
      <c r="C1169" s="64">
        <v>8</v>
      </c>
      <c r="D1169" s="80">
        <f t="shared" si="39"/>
        <v>2013</v>
      </c>
      <c r="E1169" t="s">
        <v>38</v>
      </c>
      <c r="F1169" t="s">
        <v>143</v>
      </c>
      <c r="G1169" t="s">
        <v>10</v>
      </c>
      <c r="H1169" s="72" t="s">
        <v>203</v>
      </c>
      <c r="I1169" s="72" t="s">
        <v>45</v>
      </c>
      <c r="J1169" t="str">
        <f t="shared" si="40"/>
        <v>Green - Duwamish River</v>
      </c>
      <c r="K1169" t="str">
        <f>IFERROR(VLOOKUP(J1169,LUTs!$A$1:$C$73,2,FALSE),"NA")</f>
        <v>King</v>
      </c>
      <c r="L1169" t="str">
        <f>IFERROR(VLOOKUP(J1169,LUTs!$A$1:$C$73,3,FALSE),"NA")</f>
        <v>3South Puget Sound</v>
      </c>
      <c r="M1169" s="72" t="s">
        <v>26</v>
      </c>
      <c r="N1169" t="str">
        <f>VLOOKUP(M1169,LUTs!E$2:H$14,3,)</f>
        <v>20Other</v>
      </c>
      <c r="O1169" t="str">
        <f>VLOOKUP(M1169,LUTs!E$2:H$14,4,)</f>
        <v>07Non Puget Sound</v>
      </c>
      <c r="P1169" s="73">
        <v>470.2</v>
      </c>
      <c r="Q1169" s="74">
        <f>VLOOKUP(B1169,Readme!A$40:C$51,2,)*P1169</f>
        <v>1617.4879999999998</v>
      </c>
    </row>
    <row r="1170" spans="1:17" ht="12" customHeight="1" x14ac:dyDescent="0.35">
      <c r="A1170" s="75">
        <v>1169</v>
      </c>
      <c r="B1170" s="64">
        <v>2013</v>
      </c>
      <c r="C1170" s="64">
        <v>8</v>
      </c>
      <c r="D1170" s="80">
        <f t="shared" si="39"/>
        <v>2013</v>
      </c>
      <c r="E1170" t="s">
        <v>38</v>
      </c>
      <c r="F1170" t="s">
        <v>143</v>
      </c>
      <c r="G1170" t="s">
        <v>10</v>
      </c>
      <c r="H1170" s="72" t="s">
        <v>203</v>
      </c>
      <c r="I1170" s="72" t="s">
        <v>45</v>
      </c>
      <c r="J1170" t="str">
        <f t="shared" si="40"/>
        <v>Green - Duwamish River</v>
      </c>
      <c r="K1170" t="str">
        <f>IFERROR(VLOOKUP(J1170,LUTs!$A$1:$C$73,2,FALSE),"NA")</f>
        <v>King</v>
      </c>
      <c r="L1170" t="str">
        <f>IFERROR(VLOOKUP(J1170,LUTs!$A$1:$C$73,3,FALSE),"NA")</f>
        <v>3South Puget Sound</v>
      </c>
      <c r="M1170" s="72" t="s">
        <v>20</v>
      </c>
      <c r="N1170" t="str">
        <f>VLOOKUP(M1170,LUTs!E$2:H$14,3,)</f>
        <v>07Pierce</v>
      </c>
      <c r="O1170" t="str">
        <f>VLOOKUP(M1170,LUTs!E$2:H$14,4,)</f>
        <v>02South Puget Sound</v>
      </c>
      <c r="P1170" s="73">
        <v>126.592307692308</v>
      </c>
      <c r="Q1170" s="74">
        <f>VLOOKUP(B1170,Readme!A$40:C$51,2,)*P1170</f>
        <v>435.4775384615395</v>
      </c>
    </row>
    <row r="1171" spans="1:17" ht="12" customHeight="1" x14ac:dyDescent="0.35">
      <c r="A1171" s="75">
        <v>1170</v>
      </c>
      <c r="B1171" s="64">
        <v>2013</v>
      </c>
      <c r="C1171" s="64">
        <v>8</v>
      </c>
      <c r="D1171" s="80">
        <f t="shared" si="39"/>
        <v>2013</v>
      </c>
      <c r="E1171" t="s">
        <v>38</v>
      </c>
      <c r="F1171" t="s">
        <v>143</v>
      </c>
      <c r="G1171" t="s">
        <v>10</v>
      </c>
      <c r="H1171" s="72" t="s">
        <v>203</v>
      </c>
      <c r="I1171" s="72" t="s">
        <v>45</v>
      </c>
      <c r="J1171" t="str">
        <f t="shared" si="40"/>
        <v>Green - Duwamish River</v>
      </c>
      <c r="K1171" t="str">
        <f>IFERROR(VLOOKUP(J1171,LUTs!$A$1:$C$73,2,FALSE),"NA")</f>
        <v>King</v>
      </c>
      <c r="L1171" t="str">
        <f>IFERROR(VLOOKUP(J1171,LUTs!$A$1:$C$73,3,FALSE),"NA")</f>
        <v>3South Puget Sound</v>
      </c>
      <c r="M1171" s="72" t="s">
        <v>15</v>
      </c>
      <c r="N1171" t="str">
        <f>VLOOKUP(M1171,LUTs!E$2:H$14,3,)</f>
        <v>02Skagit</v>
      </c>
      <c r="O1171" t="str">
        <f>VLOOKUP(M1171,LUTs!E$2:H$14,4,)</f>
        <v>01North Puget Sound</v>
      </c>
      <c r="P1171" s="73">
        <v>9.0423076923077002</v>
      </c>
      <c r="Q1171" s="74">
        <f>VLOOKUP(B1171,Readme!A$40:C$51,2,)*P1171</f>
        <v>31.105538461538487</v>
      </c>
    </row>
    <row r="1172" spans="1:17" ht="12" customHeight="1" x14ac:dyDescent="0.35">
      <c r="A1172" s="75">
        <v>1171</v>
      </c>
      <c r="B1172" s="64">
        <v>2013</v>
      </c>
      <c r="C1172" s="64">
        <v>8</v>
      </c>
      <c r="D1172" s="80">
        <f t="shared" si="39"/>
        <v>2013</v>
      </c>
      <c r="E1172" t="s">
        <v>38</v>
      </c>
      <c r="F1172" t="s">
        <v>143</v>
      </c>
      <c r="G1172" t="s">
        <v>10</v>
      </c>
      <c r="H1172" s="72" t="s">
        <v>203</v>
      </c>
      <c r="I1172" s="72" t="s">
        <v>45</v>
      </c>
      <c r="J1172" t="str">
        <f t="shared" si="40"/>
        <v>Green - Duwamish River</v>
      </c>
      <c r="K1172" t="str">
        <f>IFERROR(VLOOKUP(J1172,LUTs!$A$1:$C$73,2,FALSE),"NA")</f>
        <v>King</v>
      </c>
      <c r="L1172" t="str">
        <f>IFERROR(VLOOKUP(J1172,LUTs!$A$1:$C$73,3,FALSE),"NA")</f>
        <v>3South Puget Sound</v>
      </c>
      <c r="M1172" s="72" t="s">
        <v>16</v>
      </c>
      <c r="N1172" t="str">
        <f>VLOOKUP(M1172,LUTs!E$2:H$14,3,)</f>
        <v>03Snohomish</v>
      </c>
      <c r="O1172" t="str">
        <f>VLOOKUP(M1172,LUTs!E$2:H$14,4,)</f>
        <v>01North Puget Sound</v>
      </c>
      <c r="P1172" s="73">
        <v>180.84615384615401</v>
      </c>
      <c r="Q1172" s="74">
        <f>VLOOKUP(B1172,Readme!A$40:C$51,2,)*P1172</f>
        <v>622.11076923076973</v>
      </c>
    </row>
    <row r="1173" spans="1:17" ht="12" customHeight="1" x14ac:dyDescent="0.35">
      <c r="A1173" s="75">
        <v>1172</v>
      </c>
      <c r="B1173" s="64">
        <v>2013</v>
      </c>
      <c r="C1173" s="64">
        <v>8</v>
      </c>
      <c r="D1173" s="80">
        <f t="shared" si="39"/>
        <v>2013</v>
      </c>
      <c r="E1173" t="s">
        <v>38</v>
      </c>
      <c r="F1173" t="s">
        <v>143</v>
      </c>
      <c r="G1173" t="s">
        <v>10</v>
      </c>
      <c r="H1173" s="72" t="s">
        <v>203</v>
      </c>
      <c r="I1173" s="72" t="s">
        <v>45</v>
      </c>
      <c r="J1173" t="str">
        <f t="shared" si="40"/>
        <v>Green - Duwamish River</v>
      </c>
      <c r="K1173" t="str">
        <f>IFERROR(VLOOKUP(J1173,LUTs!$A$1:$C$73,2,FALSE),"NA")</f>
        <v>King</v>
      </c>
      <c r="L1173" t="str">
        <f>IFERROR(VLOOKUP(J1173,LUTs!$A$1:$C$73,3,FALSE),"NA")</f>
        <v>3South Puget Sound</v>
      </c>
      <c r="M1173" s="72" t="s">
        <v>21</v>
      </c>
      <c r="N1173" t="str">
        <f>VLOOKUP(M1173,LUTs!E$2:H$14,3,)</f>
        <v>08Thurston</v>
      </c>
      <c r="O1173" t="str">
        <f>VLOOKUP(M1173,LUTs!E$2:H$14,4,)</f>
        <v>02South Puget Sound</v>
      </c>
      <c r="P1173" s="73">
        <v>45.211538461538503</v>
      </c>
      <c r="Q1173" s="74">
        <f>VLOOKUP(B1173,Readme!A$40:C$51,2,)*P1173</f>
        <v>155.52769230769243</v>
      </c>
    </row>
    <row r="1174" spans="1:17" ht="12" customHeight="1" x14ac:dyDescent="0.35">
      <c r="A1174" s="75">
        <v>1173</v>
      </c>
      <c r="B1174" s="64">
        <v>2013</v>
      </c>
      <c r="C1174" s="64">
        <v>8</v>
      </c>
      <c r="D1174" s="80">
        <f t="shared" si="39"/>
        <v>2013</v>
      </c>
      <c r="E1174" t="s">
        <v>38</v>
      </c>
      <c r="F1174" t="s">
        <v>143</v>
      </c>
      <c r="G1174" t="s">
        <v>10</v>
      </c>
      <c r="H1174" s="72" t="s">
        <v>203</v>
      </c>
      <c r="I1174" s="72" t="s">
        <v>45</v>
      </c>
      <c r="J1174" t="str">
        <f t="shared" si="40"/>
        <v>Green - Duwamish River</v>
      </c>
      <c r="K1174" t="str">
        <f>IFERROR(VLOOKUP(J1174,LUTs!$A$1:$C$73,2,FALSE),"NA")</f>
        <v>King</v>
      </c>
      <c r="L1174" t="str">
        <f>IFERROR(VLOOKUP(J1174,LUTs!$A$1:$C$73,3,FALSE),"NA")</f>
        <v>3South Puget Sound</v>
      </c>
      <c r="M1174" s="72" t="s">
        <v>13</v>
      </c>
      <c r="N1174" t="str">
        <f>VLOOKUP(M1174,LUTs!E$2:H$14,3,)</f>
        <v>01Whatcom</v>
      </c>
      <c r="O1174" t="str">
        <f>VLOOKUP(M1174,LUTs!E$2:H$14,4,)</f>
        <v>01North Puget Sound</v>
      </c>
      <c r="P1174" s="73">
        <v>18.0846153846154</v>
      </c>
      <c r="Q1174" s="74">
        <f>VLOOKUP(B1174,Readme!A$40:C$51,2,)*P1174</f>
        <v>62.211076923076973</v>
      </c>
    </row>
    <row r="1175" spans="1:17" ht="12" customHeight="1" x14ac:dyDescent="0.35">
      <c r="A1175" s="75">
        <v>1174</v>
      </c>
      <c r="B1175" s="64">
        <v>2013</v>
      </c>
      <c r="C1175" s="64">
        <v>9</v>
      </c>
      <c r="D1175" s="80">
        <f t="shared" si="39"/>
        <v>2013</v>
      </c>
      <c r="E1175" t="s">
        <v>38</v>
      </c>
      <c r="F1175" t="s">
        <v>143</v>
      </c>
      <c r="G1175" t="s">
        <v>10</v>
      </c>
      <c r="H1175" s="72" t="s">
        <v>203</v>
      </c>
      <c r="I1175" s="72" t="s">
        <v>45</v>
      </c>
      <c r="J1175" t="str">
        <f t="shared" si="40"/>
        <v>Green - Duwamish River</v>
      </c>
      <c r="K1175" t="str">
        <f>IFERROR(VLOOKUP(J1175,LUTs!$A$1:$C$73,2,FALSE),"NA")</f>
        <v>King</v>
      </c>
      <c r="L1175" t="str">
        <f>IFERROR(VLOOKUP(J1175,LUTs!$A$1:$C$73,3,FALSE),"NA")</f>
        <v>3South Puget Sound</v>
      </c>
      <c r="M1175" s="72" t="s">
        <v>18</v>
      </c>
      <c r="N1175" t="str">
        <f>VLOOKUP(M1175,LUTs!E$2:H$14,3,)</f>
        <v>06King</v>
      </c>
      <c r="O1175" t="str">
        <f>VLOOKUP(M1175,LUTs!E$2:H$14,4,)</f>
        <v>02South Puget Sound</v>
      </c>
      <c r="P1175" s="73">
        <v>15659.0830830831</v>
      </c>
      <c r="Q1175" s="74">
        <f>VLOOKUP(B1175,Readme!A$40:C$51,2,)*P1175</f>
        <v>53867.245805805862</v>
      </c>
    </row>
    <row r="1176" spans="1:17" ht="12" customHeight="1" x14ac:dyDescent="0.35">
      <c r="A1176" s="75">
        <v>1175</v>
      </c>
      <c r="B1176" s="64">
        <v>2013</v>
      </c>
      <c r="C1176" s="64">
        <v>9</v>
      </c>
      <c r="D1176" s="80">
        <f t="shared" si="39"/>
        <v>2013</v>
      </c>
      <c r="E1176" t="s">
        <v>38</v>
      </c>
      <c r="F1176" t="s">
        <v>143</v>
      </c>
      <c r="G1176" t="s">
        <v>10</v>
      </c>
      <c r="H1176" s="72" t="s">
        <v>203</v>
      </c>
      <c r="I1176" s="72" t="s">
        <v>45</v>
      </c>
      <c r="J1176" t="str">
        <f t="shared" si="40"/>
        <v>Green - Duwamish River</v>
      </c>
      <c r="K1176" t="str">
        <f>IFERROR(VLOOKUP(J1176,LUTs!$A$1:$C$73,2,FALSE),"NA")</f>
        <v>King</v>
      </c>
      <c r="L1176" t="str">
        <f>IFERROR(VLOOKUP(J1176,LUTs!$A$1:$C$73,3,FALSE),"NA")</f>
        <v>3South Puget Sound</v>
      </c>
      <c r="M1176" s="72" t="s">
        <v>23</v>
      </c>
      <c r="N1176" t="str">
        <f>VLOOKUP(M1176,LUTs!E$2:H$14,3,)</f>
        <v>10Kitsap</v>
      </c>
      <c r="O1176" t="str">
        <f>VLOOKUP(M1176,LUTs!E$2:H$14,4,)</f>
        <v>02South Puget Sound</v>
      </c>
      <c r="P1176" s="73">
        <v>9.0410410410410407</v>
      </c>
      <c r="Q1176" s="74">
        <f>VLOOKUP(B1176,Readme!A$40:C$51,2,)*P1176</f>
        <v>31.101181181181179</v>
      </c>
    </row>
    <row r="1177" spans="1:17" ht="12" customHeight="1" x14ac:dyDescent="0.35">
      <c r="A1177" s="75">
        <v>1176</v>
      </c>
      <c r="B1177" s="64">
        <v>2013</v>
      </c>
      <c r="C1177" s="64">
        <v>9</v>
      </c>
      <c r="D1177" s="80">
        <f t="shared" si="39"/>
        <v>2013</v>
      </c>
      <c r="E1177" t="s">
        <v>38</v>
      </c>
      <c r="F1177" t="s">
        <v>143</v>
      </c>
      <c r="G1177" t="s">
        <v>10</v>
      </c>
      <c r="H1177" s="72" t="s">
        <v>203</v>
      </c>
      <c r="I1177" s="72" t="s">
        <v>45</v>
      </c>
      <c r="J1177" t="str">
        <f t="shared" si="40"/>
        <v>Green - Duwamish River</v>
      </c>
      <c r="K1177" t="str">
        <f>IFERROR(VLOOKUP(J1177,LUTs!$A$1:$C$73,2,FALSE),"NA")</f>
        <v>King</v>
      </c>
      <c r="L1177" t="str">
        <f>IFERROR(VLOOKUP(J1177,LUTs!$A$1:$C$73,3,FALSE),"NA")</f>
        <v>3South Puget Sound</v>
      </c>
      <c r="M1177" s="72" t="s">
        <v>26</v>
      </c>
      <c r="N1177" t="str">
        <f>VLOOKUP(M1177,LUTs!E$2:H$14,3,)</f>
        <v>20Other</v>
      </c>
      <c r="O1177" t="str">
        <f>VLOOKUP(M1177,LUTs!E$2:H$14,4,)</f>
        <v>07Non Puget Sound</v>
      </c>
      <c r="P1177" s="73">
        <v>876.98098098098103</v>
      </c>
      <c r="Q1177" s="74">
        <f>VLOOKUP(B1177,Readme!A$40:C$51,2,)*P1177</f>
        <v>3016.8145745745746</v>
      </c>
    </row>
    <row r="1178" spans="1:17" ht="12" customHeight="1" x14ac:dyDescent="0.35">
      <c r="A1178" s="75">
        <v>1177</v>
      </c>
      <c r="B1178" s="64">
        <v>2013</v>
      </c>
      <c r="C1178" s="64">
        <v>9</v>
      </c>
      <c r="D1178" s="80">
        <f t="shared" si="39"/>
        <v>2013</v>
      </c>
      <c r="E1178" t="s">
        <v>38</v>
      </c>
      <c r="F1178" t="s">
        <v>143</v>
      </c>
      <c r="G1178" t="s">
        <v>10</v>
      </c>
      <c r="H1178" s="72" t="s">
        <v>203</v>
      </c>
      <c r="I1178" s="72" t="s">
        <v>45</v>
      </c>
      <c r="J1178" t="str">
        <f t="shared" si="40"/>
        <v>Green - Duwamish River</v>
      </c>
      <c r="K1178" t="str">
        <f>IFERROR(VLOOKUP(J1178,LUTs!$A$1:$C$73,2,FALSE),"NA")</f>
        <v>King</v>
      </c>
      <c r="L1178" t="str">
        <f>IFERROR(VLOOKUP(J1178,LUTs!$A$1:$C$73,3,FALSE),"NA")</f>
        <v>3South Puget Sound</v>
      </c>
      <c r="M1178" s="72" t="s">
        <v>20</v>
      </c>
      <c r="N1178" t="str">
        <f>VLOOKUP(M1178,LUTs!E$2:H$14,3,)</f>
        <v>07Pierce</v>
      </c>
      <c r="O1178" t="str">
        <f>VLOOKUP(M1178,LUTs!E$2:H$14,4,)</f>
        <v>02South Puget Sound</v>
      </c>
      <c r="P1178" s="73">
        <v>1048.7607607607599</v>
      </c>
      <c r="Q1178" s="74">
        <f>VLOOKUP(B1178,Readme!A$40:C$51,2,)*P1178</f>
        <v>3607.7370170170143</v>
      </c>
    </row>
    <row r="1179" spans="1:17" ht="12" customHeight="1" x14ac:dyDescent="0.35">
      <c r="A1179" s="75">
        <v>1178</v>
      </c>
      <c r="B1179" s="64">
        <v>2013</v>
      </c>
      <c r="C1179" s="64">
        <v>9</v>
      </c>
      <c r="D1179" s="80">
        <f t="shared" si="39"/>
        <v>2013</v>
      </c>
      <c r="E1179" t="s">
        <v>38</v>
      </c>
      <c r="F1179" t="s">
        <v>143</v>
      </c>
      <c r="G1179" t="s">
        <v>10</v>
      </c>
      <c r="H1179" s="72" t="s">
        <v>203</v>
      </c>
      <c r="I1179" s="72" t="s">
        <v>45</v>
      </c>
      <c r="J1179" t="str">
        <f t="shared" si="40"/>
        <v>Green - Duwamish River</v>
      </c>
      <c r="K1179" t="str">
        <f>IFERROR(VLOOKUP(J1179,LUTs!$A$1:$C$73,2,FALSE),"NA")</f>
        <v>King</v>
      </c>
      <c r="L1179" t="str">
        <f>IFERROR(VLOOKUP(J1179,LUTs!$A$1:$C$73,3,FALSE),"NA")</f>
        <v>3South Puget Sound</v>
      </c>
      <c r="M1179" s="72" t="s">
        <v>15</v>
      </c>
      <c r="N1179" t="str">
        <f>VLOOKUP(M1179,LUTs!E$2:H$14,3,)</f>
        <v>02Skagit</v>
      </c>
      <c r="O1179" t="str">
        <f>VLOOKUP(M1179,LUTs!E$2:H$14,4,)</f>
        <v>01North Puget Sound</v>
      </c>
      <c r="P1179" s="73">
        <v>18.082082082082099</v>
      </c>
      <c r="Q1179" s="74">
        <f>VLOOKUP(B1179,Readme!A$40:C$51,2,)*P1179</f>
        <v>62.202362362362422</v>
      </c>
    </row>
    <row r="1180" spans="1:17" ht="12" customHeight="1" x14ac:dyDescent="0.35">
      <c r="A1180" s="75">
        <v>1179</v>
      </c>
      <c r="B1180" s="64">
        <v>2013</v>
      </c>
      <c r="C1180" s="64">
        <v>9</v>
      </c>
      <c r="D1180" s="80">
        <f t="shared" si="39"/>
        <v>2013</v>
      </c>
      <c r="E1180" t="s">
        <v>38</v>
      </c>
      <c r="F1180" t="s">
        <v>143</v>
      </c>
      <c r="G1180" t="s">
        <v>10</v>
      </c>
      <c r="H1180" s="72" t="s">
        <v>203</v>
      </c>
      <c r="I1180" s="72" t="s">
        <v>45</v>
      </c>
      <c r="J1180" t="str">
        <f t="shared" si="40"/>
        <v>Green - Duwamish River</v>
      </c>
      <c r="K1180" t="str">
        <f>IFERROR(VLOOKUP(J1180,LUTs!$A$1:$C$73,2,FALSE),"NA")</f>
        <v>King</v>
      </c>
      <c r="L1180" t="str">
        <f>IFERROR(VLOOKUP(J1180,LUTs!$A$1:$C$73,3,FALSE),"NA")</f>
        <v>3South Puget Sound</v>
      </c>
      <c r="M1180" s="72" t="s">
        <v>16</v>
      </c>
      <c r="N1180" t="str">
        <f>VLOOKUP(M1180,LUTs!E$2:H$14,3,)</f>
        <v>03Snohomish</v>
      </c>
      <c r="O1180" t="str">
        <f>VLOOKUP(M1180,LUTs!E$2:H$14,4,)</f>
        <v>01North Puget Sound</v>
      </c>
      <c r="P1180" s="73">
        <v>271.23123123123099</v>
      </c>
      <c r="Q1180" s="74">
        <f>VLOOKUP(B1180,Readme!A$40:C$51,2,)*P1180</f>
        <v>933.03543543543458</v>
      </c>
    </row>
    <row r="1181" spans="1:17" ht="12" customHeight="1" x14ac:dyDescent="0.35">
      <c r="A1181" s="75">
        <v>1180</v>
      </c>
      <c r="B1181" s="64">
        <v>2013</v>
      </c>
      <c r="C1181" s="64">
        <v>9</v>
      </c>
      <c r="D1181" s="80">
        <f t="shared" si="39"/>
        <v>2013</v>
      </c>
      <c r="E1181" t="s">
        <v>38</v>
      </c>
      <c r="F1181" t="s">
        <v>143</v>
      </c>
      <c r="G1181" t="s">
        <v>10</v>
      </c>
      <c r="H1181" s="72" t="s">
        <v>203</v>
      </c>
      <c r="I1181" s="72" t="s">
        <v>45</v>
      </c>
      <c r="J1181" t="str">
        <f t="shared" si="40"/>
        <v>Green - Duwamish River</v>
      </c>
      <c r="K1181" t="str">
        <f>IFERROR(VLOOKUP(J1181,LUTs!$A$1:$C$73,2,FALSE),"NA")</f>
        <v>King</v>
      </c>
      <c r="L1181" t="str">
        <f>IFERROR(VLOOKUP(J1181,LUTs!$A$1:$C$73,3,FALSE),"NA")</f>
        <v>3South Puget Sound</v>
      </c>
      <c r="M1181" s="72" t="s">
        <v>21</v>
      </c>
      <c r="N1181" t="str">
        <f>VLOOKUP(M1181,LUTs!E$2:H$14,3,)</f>
        <v>08Thurston</v>
      </c>
      <c r="O1181" t="str">
        <f>VLOOKUP(M1181,LUTs!E$2:H$14,4,)</f>
        <v>02South Puget Sound</v>
      </c>
      <c r="P1181" s="73">
        <v>99.451451451451504</v>
      </c>
      <c r="Q1181" s="74">
        <f>VLOOKUP(B1181,Readme!A$40:C$51,2,)*P1181</f>
        <v>342.11299299299316</v>
      </c>
    </row>
    <row r="1182" spans="1:17" ht="12" customHeight="1" x14ac:dyDescent="0.35">
      <c r="A1182" s="75">
        <v>1181</v>
      </c>
      <c r="B1182" s="64">
        <v>2013</v>
      </c>
      <c r="C1182" s="64">
        <v>9</v>
      </c>
      <c r="D1182" s="80">
        <f t="shared" si="39"/>
        <v>2013</v>
      </c>
      <c r="E1182" t="s">
        <v>38</v>
      </c>
      <c r="F1182" t="s">
        <v>143</v>
      </c>
      <c r="G1182" t="s">
        <v>10</v>
      </c>
      <c r="H1182" s="72" t="s">
        <v>203</v>
      </c>
      <c r="I1182" s="72" t="s">
        <v>45</v>
      </c>
      <c r="J1182" t="str">
        <f t="shared" si="40"/>
        <v>Green - Duwamish River</v>
      </c>
      <c r="K1182" t="str">
        <f>IFERROR(VLOOKUP(J1182,LUTs!$A$1:$C$73,2,FALSE),"NA")</f>
        <v>King</v>
      </c>
      <c r="L1182" t="str">
        <f>IFERROR(VLOOKUP(J1182,LUTs!$A$1:$C$73,3,FALSE),"NA")</f>
        <v>3South Puget Sound</v>
      </c>
      <c r="M1182" s="72" t="s">
        <v>13</v>
      </c>
      <c r="N1182" t="str">
        <f>VLOOKUP(M1182,LUTs!E$2:H$14,3,)</f>
        <v>01Whatcom</v>
      </c>
      <c r="O1182" t="str">
        <f>VLOOKUP(M1182,LUTs!E$2:H$14,4,)</f>
        <v>01North Puget Sound</v>
      </c>
      <c r="P1182" s="73">
        <v>81.369369369369394</v>
      </c>
      <c r="Q1182" s="74">
        <f>VLOOKUP(B1182,Readme!A$40:C$51,2,)*P1182</f>
        <v>279.91063063063069</v>
      </c>
    </row>
    <row r="1183" spans="1:17" ht="12" customHeight="1" x14ac:dyDescent="0.35">
      <c r="A1183" s="75">
        <v>1182</v>
      </c>
      <c r="B1183" s="64">
        <v>2013</v>
      </c>
      <c r="C1183" s="64">
        <v>10</v>
      </c>
      <c r="D1183" s="80">
        <f t="shared" si="39"/>
        <v>2013</v>
      </c>
      <c r="E1183" t="s">
        <v>38</v>
      </c>
      <c r="F1183" t="s">
        <v>143</v>
      </c>
      <c r="G1183" t="s">
        <v>10</v>
      </c>
      <c r="H1183" s="72" t="s">
        <v>203</v>
      </c>
      <c r="I1183" s="72" t="s">
        <v>45</v>
      </c>
      <c r="J1183" t="str">
        <f t="shared" si="40"/>
        <v>Green - Duwamish River</v>
      </c>
      <c r="K1183" t="str">
        <f>IFERROR(VLOOKUP(J1183,LUTs!$A$1:$C$73,2,FALSE),"NA")</f>
        <v>King</v>
      </c>
      <c r="L1183" t="str">
        <f>IFERROR(VLOOKUP(J1183,LUTs!$A$1:$C$73,3,FALSE),"NA")</f>
        <v>3South Puget Sound</v>
      </c>
      <c r="M1183" s="72" t="s">
        <v>18</v>
      </c>
      <c r="N1183" t="str">
        <f>VLOOKUP(M1183,LUTs!E$2:H$14,3,)</f>
        <v>06King</v>
      </c>
      <c r="O1183" t="str">
        <f>VLOOKUP(M1183,LUTs!E$2:H$14,4,)</f>
        <v>02South Puget Sound</v>
      </c>
      <c r="P1183" s="73">
        <v>5335.2732644017697</v>
      </c>
      <c r="Q1183" s="74">
        <f>VLOOKUP(B1183,Readme!A$40:C$51,2,)*P1183</f>
        <v>18353.340029542087</v>
      </c>
    </row>
    <row r="1184" spans="1:17" ht="12" customHeight="1" x14ac:dyDescent="0.35">
      <c r="A1184" s="75">
        <v>1183</v>
      </c>
      <c r="B1184" s="64">
        <v>2013</v>
      </c>
      <c r="C1184" s="64">
        <v>10</v>
      </c>
      <c r="D1184" s="80">
        <f t="shared" si="39"/>
        <v>2013</v>
      </c>
      <c r="E1184" t="s">
        <v>38</v>
      </c>
      <c r="F1184" t="s">
        <v>143</v>
      </c>
      <c r="G1184" t="s">
        <v>10</v>
      </c>
      <c r="H1184" s="72" t="s">
        <v>203</v>
      </c>
      <c r="I1184" s="72" t="s">
        <v>45</v>
      </c>
      <c r="J1184" t="str">
        <f t="shared" si="40"/>
        <v>Green - Duwamish River</v>
      </c>
      <c r="K1184" t="str">
        <f>IFERROR(VLOOKUP(J1184,LUTs!$A$1:$C$73,2,FALSE),"NA")</f>
        <v>King</v>
      </c>
      <c r="L1184" t="str">
        <f>IFERROR(VLOOKUP(J1184,LUTs!$A$1:$C$73,3,FALSE),"NA")</f>
        <v>3South Puget Sound</v>
      </c>
      <c r="M1184" s="72" t="s">
        <v>26</v>
      </c>
      <c r="N1184" t="str">
        <f>VLOOKUP(M1184,LUTs!E$2:H$14,3,)</f>
        <v>20Other</v>
      </c>
      <c r="O1184" t="str">
        <f>VLOOKUP(M1184,LUTs!E$2:H$14,4,)</f>
        <v>07Non Puget Sound</v>
      </c>
      <c r="P1184" s="73">
        <v>54.257016248153597</v>
      </c>
      <c r="Q1184" s="74">
        <f>VLOOKUP(B1184,Readme!A$40:C$51,2,)*P1184</f>
        <v>186.64413589364838</v>
      </c>
    </row>
    <row r="1185" spans="1:17" ht="12" customHeight="1" x14ac:dyDescent="0.35">
      <c r="A1185" s="75">
        <v>1184</v>
      </c>
      <c r="B1185" s="64">
        <v>2013</v>
      </c>
      <c r="C1185" s="64">
        <v>10</v>
      </c>
      <c r="D1185" s="80">
        <f t="shared" si="39"/>
        <v>2013</v>
      </c>
      <c r="E1185" t="s">
        <v>38</v>
      </c>
      <c r="F1185" t="s">
        <v>143</v>
      </c>
      <c r="G1185" t="s">
        <v>10</v>
      </c>
      <c r="H1185" s="72" t="s">
        <v>203</v>
      </c>
      <c r="I1185" s="72" t="s">
        <v>45</v>
      </c>
      <c r="J1185" t="str">
        <f t="shared" si="40"/>
        <v>Green - Duwamish River</v>
      </c>
      <c r="K1185" t="str">
        <f>IFERROR(VLOOKUP(J1185,LUTs!$A$1:$C$73,2,FALSE),"NA")</f>
        <v>King</v>
      </c>
      <c r="L1185" t="str">
        <f>IFERROR(VLOOKUP(J1185,LUTs!$A$1:$C$73,3,FALSE),"NA")</f>
        <v>3South Puget Sound</v>
      </c>
      <c r="M1185" s="72" t="s">
        <v>20</v>
      </c>
      <c r="N1185" t="str">
        <f>VLOOKUP(M1185,LUTs!E$2:H$14,3,)</f>
        <v>07Pierce</v>
      </c>
      <c r="O1185" t="str">
        <f>VLOOKUP(M1185,LUTs!E$2:H$14,4,)</f>
        <v>02South Puget Sound</v>
      </c>
      <c r="P1185" s="73">
        <v>596.82717872968999</v>
      </c>
      <c r="Q1185" s="74">
        <f>VLOOKUP(B1185,Readme!A$40:C$51,2,)*P1185</f>
        <v>2053.0854948301335</v>
      </c>
    </row>
    <row r="1186" spans="1:17" ht="12" customHeight="1" x14ac:dyDescent="0.35">
      <c r="A1186" s="75">
        <v>1185</v>
      </c>
      <c r="B1186" s="64">
        <v>2013</v>
      </c>
      <c r="C1186" s="64">
        <v>10</v>
      </c>
      <c r="D1186" s="80">
        <f t="shared" si="39"/>
        <v>2013</v>
      </c>
      <c r="E1186" t="s">
        <v>38</v>
      </c>
      <c r="F1186" t="s">
        <v>143</v>
      </c>
      <c r="G1186" t="s">
        <v>10</v>
      </c>
      <c r="H1186" s="72" t="s">
        <v>203</v>
      </c>
      <c r="I1186" s="72" t="s">
        <v>45</v>
      </c>
      <c r="J1186" t="str">
        <f t="shared" si="40"/>
        <v>Green - Duwamish River</v>
      </c>
      <c r="K1186" t="str">
        <f>IFERROR(VLOOKUP(J1186,LUTs!$A$1:$C$73,2,FALSE),"NA")</f>
        <v>King</v>
      </c>
      <c r="L1186" t="str">
        <f>IFERROR(VLOOKUP(J1186,LUTs!$A$1:$C$73,3,FALSE),"NA")</f>
        <v>3South Puget Sound</v>
      </c>
      <c r="M1186" s="72" t="s">
        <v>16</v>
      </c>
      <c r="N1186" t="str">
        <f>VLOOKUP(M1186,LUTs!E$2:H$14,3,)</f>
        <v>03Snohomish</v>
      </c>
      <c r="O1186" t="str">
        <f>VLOOKUP(M1186,LUTs!E$2:H$14,4,)</f>
        <v>01North Puget Sound</v>
      </c>
      <c r="P1186" s="73">
        <v>90.428360413589402</v>
      </c>
      <c r="Q1186" s="74">
        <f>VLOOKUP(B1186,Readme!A$40:C$51,2,)*P1186</f>
        <v>311.07355982274754</v>
      </c>
    </row>
    <row r="1187" spans="1:17" ht="12" customHeight="1" x14ac:dyDescent="0.35">
      <c r="A1187" s="75">
        <v>1186</v>
      </c>
      <c r="B1187" s="64">
        <v>2013</v>
      </c>
      <c r="C1187" s="64">
        <v>10</v>
      </c>
      <c r="D1187" s="80">
        <f t="shared" si="39"/>
        <v>2013</v>
      </c>
      <c r="E1187" t="s">
        <v>38</v>
      </c>
      <c r="F1187" t="s">
        <v>143</v>
      </c>
      <c r="G1187" t="s">
        <v>10</v>
      </c>
      <c r="H1187" s="72" t="s">
        <v>203</v>
      </c>
      <c r="I1187" s="72" t="s">
        <v>45</v>
      </c>
      <c r="J1187" t="str">
        <f t="shared" si="40"/>
        <v>Green - Duwamish River</v>
      </c>
      <c r="K1187" t="str">
        <f>IFERROR(VLOOKUP(J1187,LUTs!$A$1:$C$73,2,FALSE),"NA")</f>
        <v>King</v>
      </c>
      <c r="L1187" t="str">
        <f>IFERROR(VLOOKUP(J1187,LUTs!$A$1:$C$73,3,FALSE),"NA")</f>
        <v>3South Puget Sound</v>
      </c>
      <c r="M1187" s="72" t="s">
        <v>21</v>
      </c>
      <c r="N1187" t="str">
        <f>VLOOKUP(M1187,LUTs!E$2:H$14,3,)</f>
        <v>08Thurston</v>
      </c>
      <c r="O1187" t="str">
        <f>VLOOKUP(M1187,LUTs!E$2:H$14,4,)</f>
        <v>02South Puget Sound</v>
      </c>
      <c r="P1187" s="73">
        <v>36.171344165435798</v>
      </c>
      <c r="Q1187" s="74">
        <f>VLOOKUP(B1187,Readme!A$40:C$51,2,)*P1187</f>
        <v>124.42942392909914</v>
      </c>
    </row>
    <row r="1188" spans="1:17" ht="12" customHeight="1" x14ac:dyDescent="0.35">
      <c r="A1188" s="75">
        <v>1187</v>
      </c>
      <c r="B1188" s="64">
        <v>2013</v>
      </c>
      <c r="C1188" s="64">
        <v>10</v>
      </c>
      <c r="D1188" s="80">
        <f t="shared" si="39"/>
        <v>2013</v>
      </c>
      <c r="E1188" t="s">
        <v>38</v>
      </c>
      <c r="F1188" t="s">
        <v>143</v>
      </c>
      <c r="G1188" t="s">
        <v>10</v>
      </c>
      <c r="H1188" s="72" t="s">
        <v>203</v>
      </c>
      <c r="I1188" s="72" t="s">
        <v>45</v>
      </c>
      <c r="J1188" t="str">
        <f t="shared" si="40"/>
        <v>Green - Duwamish River</v>
      </c>
      <c r="K1188" t="str">
        <f>IFERROR(VLOOKUP(J1188,LUTs!$A$1:$C$73,2,FALSE),"NA")</f>
        <v>King</v>
      </c>
      <c r="L1188" t="str">
        <f>IFERROR(VLOOKUP(J1188,LUTs!$A$1:$C$73,3,FALSE),"NA")</f>
        <v>3South Puget Sound</v>
      </c>
      <c r="M1188" s="72" t="s">
        <v>13</v>
      </c>
      <c r="N1188" t="str">
        <f>VLOOKUP(M1188,LUTs!E$2:H$14,3,)</f>
        <v>01Whatcom</v>
      </c>
      <c r="O1188" t="str">
        <f>VLOOKUP(M1188,LUTs!E$2:H$14,4,)</f>
        <v>01North Puget Sound</v>
      </c>
      <c r="P1188" s="73">
        <v>9.0428360413589406</v>
      </c>
      <c r="Q1188" s="74">
        <f>VLOOKUP(B1188,Readme!A$40:C$51,2,)*P1188</f>
        <v>31.107355982274754</v>
      </c>
    </row>
    <row r="1189" spans="1:17" ht="12" customHeight="1" x14ac:dyDescent="0.35">
      <c r="A1189" s="75">
        <v>1188</v>
      </c>
      <c r="B1189" s="64">
        <v>2013</v>
      </c>
      <c r="C1189" s="64">
        <v>11</v>
      </c>
      <c r="D1189" s="80">
        <f t="shared" si="39"/>
        <v>2013</v>
      </c>
      <c r="E1189" t="s">
        <v>38</v>
      </c>
      <c r="F1189" t="s">
        <v>143</v>
      </c>
      <c r="G1189" t="s">
        <v>10</v>
      </c>
      <c r="H1189" s="72" t="s">
        <v>203</v>
      </c>
      <c r="I1189" s="72" t="s">
        <v>45</v>
      </c>
      <c r="J1189" t="str">
        <f t="shared" si="40"/>
        <v>Green - Duwamish River</v>
      </c>
      <c r="K1189" t="str">
        <f>IFERROR(VLOOKUP(J1189,LUTs!$A$1:$C$73,2,FALSE),"NA")</f>
        <v>King</v>
      </c>
      <c r="L1189" t="str">
        <f>IFERROR(VLOOKUP(J1189,LUTs!$A$1:$C$73,3,FALSE),"NA")</f>
        <v>3South Puget Sound</v>
      </c>
      <c r="M1189" s="72" t="s">
        <v>18</v>
      </c>
      <c r="N1189" t="str">
        <f>VLOOKUP(M1189,LUTs!E$2:H$14,3,)</f>
        <v>06King</v>
      </c>
      <c r="O1189" t="str">
        <f>VLOOKUP(M1189,LUTs!E$2:H$14,4,)</f>
        <v>02South Puget Sound</v>
      </c>
      <c r="P1189" s="73">
        <v>967.56799999999998</v>
      </c>
      <c r="Q1189" s="74">
        <f>VLOOKUP(B1189,Readme!A$40:C$51,2,)*P1189</f>
        <v>3328.4339199999999</v>
      </c>
    </row>
    <row r="1190" spans="1:17" ht="12" customHeight="1" x14ac:dyDescent="0.35">
      <c r="A1190" s="75">
        <v>1189</v>
      </c>
      <c r="B1190" s="64">
        <v>2013</v>
      </c>
      <c r="C1190" s="64">
        <v>11</v>
      </c>
      <c r="D1190" s="80">
        <f t="shared" si="39"/>
        <v>2013</v>
      </c>
      <c r="E1190" t="s">
        <v>38</v>
      </c>
      <c r="F1190" t="s">
        <v>143</v>
      </c>
      <c r="G1190" t="s">
        <v>10</v>
      </c>
      <c r="H1190" s="72" t="s">
        <v>203</v>
      </c>
      <c r="I1190" s="72" t="s">
        <v>45</v>
      </c>
      <c r="J1190" t="str">
        <f t="shared" si="40"/>
        <v>Green - Duwamish River</v>
      </c>
      <c r="K1190" t="str">
        <f>IFERROR(VLOOKUP(J1190,LUTs!$A$1:$C$73,2,FALSE),"NA")</f>
        <v>King</v>
      </c>
      <c r="L1190" t="str">
        <f>IFERROR(VLOOKUP(J1190,LUTs!$A$1:$C$73,3,FALSE),"NA")</f>
        <v>3South Puget Sound</v>
      </c>
      <c r="M1190" s="72" t="s">
        <v>26</v>
      </c>
      <c r="N1190" t="str">
        <f>VLOOKUP(M1190,LUTs!E$2:H$14,3,)</f>
        <v>20Other</v>
      </c>
      <c r="O1190" t="str">
        <f>VLOOKUP(M1190,LUTs!E$2:H$14,4,)</f>
        <v>07Non Puget Sound</v>
      </c>
      <c r="P1190" s="73">
        <v>54.768000000000001</v>
      </c>
      <c r="Q1190" s="74">
        <f>VLOOKUP(B1190,Readme!A$40:C$51,2,)*P1190</f>
        <v>188.40191999999999</v>
      </c>
    </row>
    <row r="1191" spans="1:17" ht="12" customHeight="1" x14ac:dyDescent="0.35">
      <c r="A1191" s="75">
        <v>1190</v>
      </c>
      <c r="B1191" s="64">
        <v>2013</v>
      </c>
      <c r="C1191" s="64">
        <v>11</v>
      </c>
      <c r="D1191" s="80">
        <f t="shared" si="39"/>
        <v>2013</v>
      </c>
      <c r="E1191" t="s">
        <v>38</v>
      </c>
      <c r="F1191" t="s">
        <v>143</v>
      </c>
      <c r="G1191" t="s">
        <v>10</v>
      </c>
      <c r="H1191" s="72" t="s">
        <v>203</v>
      </c>
      <c r="I1191" s="72" t="s">
        <v>45</v>
      </c>
      <c r="J1191" t="str">
        <f t="shared" si="40"/>
        <v>Green - Duwamish River</v>
      </c>
      <c r="K1191" t="str">
        <f>IFERROR(VLOOKUP(J1191,LUTs!$A$1:$C$73,2,FALSE),"NA")</f>
        <v>King</v>
      </c>
      <c r="L1191" t="str">
        <f>IFERROR(VLOOKUP(J1191,LUTs!$A$1:$C$73,3,FALSE),"NA")</f>
        <v>3South Puget Sound</v>
      </c>
      <c r="M1191" s="72" t="s">
        <v>20</v>
      </c>
      <c r="N1191" t="str">
        <f>VLOOKUP(M1191,LUTs!E$2:H$14,3,)</f>
        <v>07Pierce</v>
      </c>
      <c r="O1191" t="str">
        <f>VLOOKUP(M1191,LUTs!E$2:H$14,4,)</f>
        <v>02South Puget Sound</v>
      </c>
      <c r="P1191" s="73">
        <v>100.408</v>
      </c>
      <c r="Q1191" s="74">
        <f>VLOOKUP(B1191,Readme!A$40:C$51,2,)*P1191</f>
        <v>345.40352000000001</v>
      </c>
    </row>
    <row r="1192" spans="1:17" ht="12" customHeight="1" x14ac:dyDescent="0.35">
      <c r="A1192" s="75">
        <v>1191</v>
      </c>
      <c r="B1192" s="64">
        <v>2013</v>
      </c>
      <c r="C1192" s="64">
        <v>11</v>
      </c>
      <c r="D1192" s="80">
        <f t="shared" si="39"/>
        <v>2013</v>
      </c>
      <c r="E1192" t="s">
        <v>38</v>
      </c>
      <c r="F1192" t="s">
        <v>143</v>
      </c>
      <c r="G1192" t="s">
        <v>10</v>
      </c>
      <c r="H1192" s="72" t="s">
        <v>203</v>
      </c>
      <c r="I1192" s="72" t="s">
        <v>45</v>
      </c>
      <c r="J1192" t="str">
        <f t="shared" si="40"/>
        <v>Green - Duwamish River</v>
      </c>
      <c r="K1192" t="str">
        <f>IFERROR(VLOOKUP(J1192,LUTs!$A$1:$C$73,2,FALSE),"NA")</f>
        <v>King</v>
      </c>
      <c r="L1192" t="str">
        <f>IFERROR(VLOOKUP(J1192,LUTs!$A$1:$C$73,3,FALSE),"NA")</f>
        <v>3South Puget Sound</v>
      </c>
      <c r="M1192" s="72" t="s">
        <v>16</v>
      </c>
      <c r="N1192" t="str">
        <f>VLOOKUP(M1192,LUTs!E$2:H$14,3,)</f>
        <v>03Snohomish</v>
      </c>
      <c r="O1192" t="str">
        <f>VLOOKUP(M1192,LUTs!E$2:H$14,4,)</f>
        <v>01North Puget Sound</v>
      </c>
      <c r="P1192" s="73">
        <v>18.256</v>
      </c>
      <c r="Q1192" s="74">
        <f>VLOOKUP(B1192,Readme!A$40:C$51,2,)*P1192</f>
        <v>62.800640000000001</v>
      </c>
    </row>
    <row r="1193" spans="1:17" ht="12" customHeight="1" x14ac:dyDescent="0.35">
      <c r="A1193" s="75">
        <v>1192</v>
      </c>
      <c r="B1193" s="64">
        <v>2013</v>
      </c>
      <c r="C1193" s="64">
        <v>12</v>
      </c>
      <c r="D1193" s="80">
        <f t="shared" si="39"/>
        <v>2013</v>
      </c>
      <c r="E1193" t="s">
        <v>38</v>
      </c>
      <c r="F1193" t="s">
        <v>143</v>
      </c>
      <c r="G1193" t="s">
        <v>10</v>
      </c>
      <c r="H1193" s="72" t="s">
        <v>203</v>
      </c>
      <c r="I1193" s="72" t="s">
        <v>45</v>
      </c>
      <c r="J1193" t="str">
        <f t="shared" si="40"/>
        <v>Green - Duwamish River</v>
      </c>
      <c r="K1193" t="str">
        <f>IFERROR(VLOOKUP(J1193,LUTs!$A$1:$C$73,2,FALSE),"NA")</f>
        <v>King</v>
      </c>
      <c r="L1193" t="str">
        <f>IFERROR(VLOOKUP(J1193,LUTs!$A$1:$C$73,3,FALSE),"NA")</f>
        <v>3South Puget Sound</v>
      </c>
      <c r="M1193" s="72" t="s">
        <v>18</v>
      </c>
      <c r="N1193" t="str">
        <f>VLOOKUP(M1193,LUTs!E$2:H$14,3,)</f>
        <v>06King</v>
      </c>
      <c r="O1193" t="str">
        <f>VLOOKUP(M1193,LUTs!E$2:H$14,4,)</f>
        <v>02South Puget Sound</v>
      </c>
      <c r="P1193" s="73">
        <v>27</v>
      </c>
      <c r="Q1193" s="74">
        <f>VLOOKUP(B1193,Readme!A$40:C$51,2,)*P1193</f>
        <v>92.88</v>
      </c>
    </row>
    <row r="1194" spans="1:17" ht="12" customHeight="1" x14ac:dyDescent="0.35">
      <c r="A1194" s="75">
        <v>1193</v>
      </c>
      <c r="B1194" s="64">
        <v>2013</v>
      </c>
      <c r="C1194" s="64">
        <v>12</v>
      </c>
      <c r="D1194" s="80">
        <f t="shared" si="39"/>
        <v>2013</v>
      </c>
      <c r="E1194" t="s">
        <v>38</v>
      </c>
      <c r="F1194" t="s">
        <v>143</v>
      </c>
      <c r="G1194" t="s">
        <v>10</v>
      </c>
      <c r="H1194" s="72" t="s">
        <v>203</v>
      </c>
      <c r="I1194" s="72" t="s">
        <v>45</v>
      </c>
      <c r="J1194" t="str">
        <f t="shared" si="40"/>
        <v>Green - Duwamish River</v>
      </c>
      <c r="K1194" t="str">
        <f>IFERROR(VLOOKUP(J1194,LUTs!$A$1:$C$73,2,FALSE),"NA")</f>
        <v>King</v>
      </c>
      <c r="L1194" t="str">
        <f>IFERROR(VLOOKUP(J1194,LUTs!$A$1:$C$73,3,FALSE),"NA")</f>
        <v>3South Puget Sound</v>
      </c>
      <c r="M1194" s="72" t="s">
        <v>16</v>
      </c>
      <c r="N1194" t="str">
        <f>VLOOKUP(M1194,LUTs!E$2:H$14,3,)</f>
        <v>03Snohomish</v>
      </c>
      <c r="O1194" t="str">
        <f>VLOOKUP(M1194,LUTs!E$2:H$14,4,)</f>
        <v>01North Puget Sound</v>
      </c>
      <c r="P1194" s="73">
        <v>9</v>
      </c>
      <c r="Q1194" s="74">
        <f>VLOOKUP(B1194,Readme!A$40:C$51,2,)*P1194</f>
        <v>30.96</v>
      </c>
    </row>
    <row r="1195" spans="1:17" ht="12" customHeight="1" x14ac:dyDescent="0.35">
      <c r="A1195" s="75">
        <v>1194</v>
      </c>
      <c r="B1195" s="64">
        <v>2013</v>
      </c>
      <c r="C1195" s="64">
        <v>10</v>
      </c>
      <c r="D1195" s="80">
        <f t="shared" si="39"/>
        <v>2013</v>
      </c>
      <c r="E1195" t="s">
        <v>38</v>
      </c>
      <c r="F1195" t="s">
        <v>143</v>
      </c>
      <c r="G1195" t="s">
        <v>10</v>
      </c>
      <c r="H1195" s="72" t="s">
        <v>205</v>
      </c>
      <c r="I1195" s="72" t="s">
        <v>47</v>
      </c>
      <c r="J1195" t="str">
        <f t="shared" si="40"/>
        <v>Kennedy Creek</v>
      </c>
      <c r="K1195" t="str">
        <f>IFERROR(VLOOKUP(J1195,LUTs!$A$1:$C$73,2,FALSE),"NA")</f>
        <v>Mason/Thurston</v>
      </c>
      <c r="L1195" t="str">
        <f>IFERROR(VLOOKUP(J1195,LUTs!$A$1:$C$73,3,FALSE),"NA")</f>
        <v>3South Puget Sound</v>
      </c>
      <c r="M1195" s="72" t="s">
        <v>18</v>
      </c>
      <c r="N1195" t="str">
        <f>VLOOKUP(M1195,LUTs!E$2:H$14,3,)</f>
        <v>06King</v>
      </c>
      <c r="O1195" t="str">
        <f>VLOOKUP(M1195,LUTs!E$2:H$14,4,)</f>
        <v>02South Puget Sound</v>
      </c>
      <c r="P1195" s="73">
        <v>28.636363636363601</v>
      </c>
      <c r="Q1195" s="74">
        <f>VLOOKUP(B1195,Readme!A$40:C$51,2,)*P1195</f>
        <v>98.509090909090787</v>
      </c>
    </row>
    <row r="1196" spans="1:17" ht="12" customHeight="1" x14ac:dyDescent="0.35">
      <c r="A1196" s="75">
        <v>1195</v>
      </c>
      <c r="B1196" s="64">
        <v>2013</v>
      </c>
      <c r="C1196" s="64">
        <v>10</v>
      </c>
      <c r="D1196" s="80">
        <f t="shared" si="39"/>
        <v>2013</v>
      </c>
      <c r="E1196" t="s">
        <v>38</v>
      </c>
      <c r="F1196" t="s">
        <v>143</v>
      </c>
      <c r="G1196" t="s">
        <v>10</v>
      </c>
      <c r="H1196" s="72" t="s">
        <v>205</v>
      </c>
      <c r="I1196" s="72" t="s">
        <v>47</v>
      </c>
      <c r="J1196" t="str">
        <f t="shared" si="40"/>
        <v>Kennedy Creek</v>
      </c>
      <c r="K1196" t="str">
        <f>IFERROR(VLOOKUP(J1196,LUTs!$A$1:$C$73,2,FALSE),"NA")</f>
        <v>Mason/Thurston</v>
      </c>
      <c r="L1196" t="str">
        <f>IFERROR(VLOOKUP(J1196,LUTs!$A$1:$C$73,3,FALSE),"NA")</f>
        <v>3South Puget Sound</v>
      </c>
      <c r="M1196" s="72" t="s">
        <v>20</v>
      </c>
      <c r="N1196" t="str">
        <f>VLOOKUP(M1196,LUTs!E$2:H$14,3,)</f>
        <v>07Pierce</v>
      </c>
      <c r="O1196" t="str">
        <f>VLOOKUP(M1196,LUTs!E$2:H$14,4,)</f>
        <v>02South Puget Sound</v>
      </c>
      <c r="P1196" s="73">
        <v>9.5454545454545503</v>
      </c>
      <c r="Q1196" s="74">
        <f>VLOOKUP(B1196,Readme!A$40:C$51,2,)*P1196</f>
        <v>32.83636363636365</v>
      </c>
    </row>
    <row r="1197" spans="1:17" ht="12" customHeight="1" x14ac:dyDescent="0.35">
      <c r="A1197" s="75">
        <v>1196</v>
      </c>
      <c r="B1197" s="64">
        <v>2013</v>
      </c>
      <c r="C1197" s="64">
        <v>10</v>
      </c>
      <c r="D1197" s="80">
        <f t="shared" si="39"/>
        <v>2013</v>
      </c>
      <c r="E1197" t="s">
        <v>38</v>
      </c>
      <c r="F1197" t="s">
        <v>143</v>
      </c>
      <c r="G1197" t="s">
        <v>10</v>
      </c>
      <c r="H1197" s="72" t="s">
        <v>205</v>
      </c>
      <c r="I1197" s="72" t="s">
        <v>47</v>
      </c>
      <c r="J1197" t="str">
        <f t="shared" si="40"/>
        <v>Kennedy Creek</v>
      </c>
      <c r="K1197" t="str">
        <f>IFERROR(VLOOKUP(J1197,LUTs!$A$1:$C$73,2,FALSE),"NA")</f>
        <v>Mason/Thurston</v>
      </c>
      <c r="L1197" t="str">
        <f>IFERROR(VLOOKUP(J1197,LUTs!$A$1:$C$73,3,FALSE),"NA")</f>
        <v>3South Puget Sound</v>
      </c>
      <c r="M1197" s="72" t="s">
        <v>21</v>
      </c>
      <c r="N1197" t="str">
        <f>VLOOKUP(M1197,LUTs!E$2:H$14,3,)</f>
        <v>08Thurston</v>
      </c>
      <c r="O1197" t="str">
        <f>VLOOKUP(M1197,LUTs!E$2:H$14,4,)</f>
        <v>02South Puget Sound</v>
      </c>
      <c r="P1197" s="73">
        <v>66.818181818181799</v>
      </c>
      <c r="Q1197" s="74">
        <f>VLOOKUP(B1197,Readme!A$40:C$51,2,)*P1197</f>
        <v>229.85454545454539</v>
      </c>
    </row>
    <row r="1198" spans="1:17" ht="12" customHeight="1" x14ac:dyDescent="0.35">
      <c r="A1198" s="75">
        <v>1197</v>
      </c>
      <c r="B1198" s="64">
        <v>2013</v>
      </c>
      <c r="C1198" s="64">
        <v>11</v>
      </c>
      <c r="D1198" s="80">
        <f t="shared" si="39"/>
        <v>2013</v>
      </c>
      <c r="E1198" t="s">
        <v>38</v>
      </c>
      <c r="F1198" t="s">
        <v>143</v>
      </c>
      <c r="G1198" t="s">
        <v>10</v>
      </c>
      <c r="H1198" s="72" t="s">
        <v>205</v>
      </c>
      <c r="I1198" s="72" t="s">
        <v>47</v>
      </c>
      <c r="J1198" t="str">
        <f t="shared" si="40"/>
        <v>Kennedy Creek</v>
      </c>
      <c r="K1198" t="str">
        <f>IFERROR(VLOOKUP(J1198,LUTs!$A$1:$C$73,2,FALSE),"NA")</f>
        <v>Mason/Thurston</v>
      </c>
      <c r="L1198" t="str">
        <f>IFERROR(VLOOKUP(J1198,LUTs!$A$1:$C$73,3,FALSE),"NA")</f>
        <v>3South Puget Sound</v>
      </c>
      <c r="M1198" s="72" t="s">
        <v>18</v>
      </c>
      <c r="N1198" t="str">
        <f>VLOOKUP(M1198,LUTs!E$2:H$14,3,)</f>
        <v>06King</v>
      </c>
      <c r="O1198" t="str">
        <f>VLOOKUP(M1198,LUTs!E$2:H$14,4,)</f>
        <v>02South Puget Sound</v>
      </c>
      <c r="P1198" s="73">
        <v>19.181818181818201</v>
      </c>
      <c r="Q1198" s="74">
        <f>VLOOKUP(B1198,Readme!A$40:C$51,2,)*P1198</f>
        <v>65.985454545454616</v>
      </c>
    </row>
    <row r="1199" spans="1:17" ht="12" customHeight="1" x14ac:dyDescent="0.35">
      <c r="A1199" s="75">
        <v>1198</v>
      </c>
      <c r="B1199" s="64">
        <v>2013</v>
      </c>
      <c r="C1199" s="64">
        <v>11</v>
      </c>
      <c r="D1199" s="80">
        <f t="shared" si="39"/>
        <v>2013</v>
      </c>
      <c r="E1199" t="s">
        <v>38</v>
      </c>
      <c r="F1199" t="s">
        <v>143</v>
      </c>
      <c r="G1199" t="s">
        <v>10</v>
      </c>
      <c r="H1199" s="72" t="s">
        <v>205</v>
      </c>
      <c r="I1199" s="72" t="s">
        <v>47</v>
      </c>
      <c r="J1199" t="str">
        <f t="shared" si="40"/>
        <v>Kennedy Creek</v>
      </c>
      <c r="K1199" t="str">
        <f>IFERROR(VLOOKUP(J1199,LUTs!$A$1:$C$73,2,FALSE),"NA")</f>
        <v>Mason/Thurston</v>
      </c>
      <c r="L1199" t="str">
        <f>IFERROR(VLOOKUP(J1199,LUTs!$A$1:$C$73,3,FALSE),"NA")</f>
        <v>3South Puget Sound</v>
      </c>
      <c r="M1199" s="72" t="s">
        <v>22</v>
      </c>
      <c r="N1199" t="str">
        <f>VLOOKUP(M1199,LUTs!E$2:H$14,3,)</f>
        <v>09Mason</v>
      </c>
      <c r="O1199" t="str">
        <f>VLOOKUP(M1199,LUTs!E$2:H$14,4,)</f>
        <v>02South Puget Sound</v>
      </c>
      <c r="P1199" s="73">
        <v>19.181818181818201</v>
      </c>
      <c r="Q1199" s="74">
        <f>VLOOKUP(B1199,Readme!A$40:C$51,2,)*P1199</f>
        <v>65.985454545454616</v>
      </c>
    </row>
    <row r="1200" spans="1:17" ht="12" customHeight="1" x14ac:dyDescent="0.35">
      <c r="A1200" s="75">
        <v>1199</v>
      </c>
      <c r="B1200" s="64">
        <v>2013</v>
      </c>
      <c r="C1200" s="64">
        <v>11</v>
      </c>
      <c r="D1200" s="80">
        <f t="shared" si="39"/>
        <v>2013</v>
      </c>
      <c r="E1200" t="s">
        <v>38</v>
      </c>
      <c r="F1200" t="s">
        <v>143</v>
      </c>
      <c r="G1200" t="s">
        <v>10</v>
      </c>
      <c r="H1200" s="72" t="s">
        <v>205</v>
      </c>
      <c r="I1200" s="72" t="s">
        <v>47</v>
      </c>
      <c r="J1200" t="str">
        <f t="shared" si="40"/>
        <v>Kennedy Creek</v>
      </c>
      <c r="K1200" t="str">
        <f>IFERROR(VLOOKUP(J1200,LUTs!$A$1:$C$73,2,FALSE),"NA")</f>
        <v>Mason/Thurston</v>
      </c>
      <c r="L1200" t="str">
        <f>IFERROR(VLOOKUP(J1200,LUTs!$A$1:$C$73,3,FALSE),"NA")</f>
        <v>3South Puget Sound</v>
      </c>
      <c r="M1200" s="72" t="s">
        <v>21</v>
      </c>
      <c r="N1200" t="str">
        <f>VLOOKUP(M1200,LUTs!E$2:H$14,3,)</f>
        <v>08Thurston</v>
      </c>
      <c r="O1200" t="str">
        <f>VLOOKUP(M1200,LUTs!E$2:H$14,4,)</f>
        <v>02South Puget Sound</v>
      </c>
      <c r="P1200" s="73">
        <v>172.636363636364</v>
      </c>
      <c r="Q1200" s="74">
        <f>VLOOKUP(B1200,Readme!A$40:C$51,2,)*P1200</f>
        <v>593.86909090909217</v>
      </c>
    </row>
    <row r="1201" spans="1:17" ht="12" customHeight="1" x14ac:dyDescent="0.35">
      <c r="A1201" s="75">
        <v>1200</v>
      </c>
      <c r="B1201" s="64">
        <v>2013</v>
      </c>
      <c r="C1201" s="64">
        <v>9</v>
      </c>
      <c r="D1201" s="80">
        <f t="shared" si="39"/>
        <v>2013</v>
      </c>
      <c r="E1201" t="s">
        <v>38</v>
      </c>
      <c r="F1201" t="s">
        <v>143</v>
      </c>
      <c r="G1201" t="s">
        <v>10</v>
      </c>
      <c r="H1201" s="72" t="s">
        <v>206</v>
      </c>
      <c r="I1201" s="72" t="s">
        <v>48</v>
      </c>
      <c r="J1201" t="str">
        <f t="shared" si="40"/>
        <v>Lake Washington</v>
      </c>
      <c r="K1201" t="str">
        <f>IFERROR(VLOOKUP(J1201,LUTs!$A$1:$C$73,2,FALSE),"NA")</f>
        <v>King</v>
      </c>
      <c r="L1201" t="str">
        <f>IFERROR(VLOOKUP(J1201,LUTs!$A$1:$C$73,3,FALSE),"NA")</f>
        <v>2Central Puget Sound</v>
      </c>
      <c r="M1201" s="72" t="s">
        <v>18</v>
      </c>
      <c r="N1201" t="str">
        <f>VLOOKUP(M1201,LUTs!E$2:H$14,3,)</f>
        <v>06King</v>
      </c>
      <c r="O1201" t="str">
        <f>VLOOKUP(M1201,LUTs!E$2:H$14,4,)</f>
        <v>02South Puget Sound</v>
      </c>
      <c r="P1201" s="73">
        <v>56</v>
      </c>
      <c r="Q1201" s="74">
        <f>VLOOKUP(B1201,Readme!A$40:C$51,2,)*P1201</f>
        <v>192.64</v>
      </c>
    </row>
    <row r="1202" spans="1:17" ht="12" customHeight="1" x14ac:dyDescent="0.35">
      <c r="A1202" s="75">
        <v>1201</v>
      </c>
      <c r="B1202" s="64">
        <v>2013</v>
      </c>
      <c r="C1202" s="64">
        <v>10</v>
      </c>
      <c r="D1202" s="80">
        <f t="shared" si="39"/>
        <v>2013</v>
      </c>
      <c r="E1202" t="s">
        <v>38</v>
      </c>
      <c r="F1202" t="s">
        <v>143</v>
      </c>
      <c r="G1202" t="s">
        <v>10</v>
      </c>
      <c r="H1202" s="72" t="s">
        <v>206</v>
      </c>
      <c r="I1202" s="72" t="s">
        <v>48</v>
      </c>
      <c r="J1202" t="str">
        <f t="shared" si="40"/>
        <v>Lake Washington</v>
      </c>
      <c r="K1202" t="str">
        <f>IFERROR(VLOOKUP(J1202,LUTs!$A$1:$C$73,2,FALSE),"NA")</f>
        <v>King</v>
      </c>
      <c r="L1202" t="str">
        <f>IFERROR(VLOOKUP(J1202,LUTs!$A$1:$C$73,3,FALSE),"NA")</f>
        <v>2Central Puget Sound</v>
      </c>
      <c r="M1202" s="72" t="s">
        <v>18</v>
      </c>
      <c r="N1202" t="str">
        <f>VLOOKUP(M1202,LUTs!E$2:H$14,3,)</f>
        <v>06King</v>
      </c>
      <c r="O1202" t="str">
        <f>VLOOKUP(M1202,LUTs!E$2:H$14,4,)</f>
        <v>02South Puget Sound</v>
      </c>
      <c r="P1202" s="73">
        <v>74.400000000000006</v>
      </c>
      <c r="Q1202" s="74">
        <f>VLOOKUP(B1202,Readme!A$40:C$51,2,)*P1202</f>
        <v>255.93600000000001</v>
      </c>
    </row>
    <row r="1203" spans="1:17" ht="12" customHeight="1" x14ac:dyDescent="0.35">
      <c r="A1203" s="75">
        <v>1202</v>
      </c>
      <c r="B1203" s="64">
        <v>2013</v>
      </c>
      <c r="C1203" s="64">
        <v>10</v>
      </c>
      <c r="D1203" s="80">
        <f t="shared" si="39"/>
        <v>2013</v>
      </c>
      <c r="E1203" t="s">
        <v>38</v>
      </c>
      <c r="F1203" t="s">
        <v>143</v>
      </c>
      <c r="G1203" t="s">
        <v>10</v>
      </c>
      <c r="H1203" s="72" t="s">
        <v>206</v>
      </c>
      <c r="I1203" s="72" t="s">
        <v>48</v>
      </c>
      <c r="J1203" t="str">
        <f t="shared" si="40"/>
        <v>Lake Washington</v>
      </c>
      <c r="K1203" t="str">
        <f>IFERROR(VLOOKUP(J1203,LUTs!$A$1:$C$73,2,FALSE),"NA")</f>
        <v>King</v>
      </c>
      <c r="L1203" t="str">
        <f>IFERROR(VLOOKUP(J1203,LUTs!$A$1:$C$73,3,FALSE),"NA")</f>
        <v>2Central Puget Sound</v>
      </c>
      <c r="M1203" s="72" t="s">
        <v>26</v>
      </c>
      <c r="N1203" t="str">
        <f>VLOOKUP(M1203,LUTs!E$2:H$14,3,)</f>
        <v>20Other</v>
      </c>
      <c r="O1203" t="str">
        <f>VLOOKUP(M1203,LUTs!E$2:H$14,4,)</f>
        <v>07Non Puget Sound</v>
      </c>
      <c r="P1203" s="73">
        <v>9.3000000000000007</v>
      </c>
      <c r="Q1203" s="74">
        <f>VLOOKUP(B1203,Readme!A$40:C$51,2,)*P1203</f>
        <v>31.992000000000001</v>
      </c>
    </row>
    <row r="1204" spans="1:17" ht="12" customHeight="1" x14ac:dyDescent="0.35">
      <c r="A1204" s="75">
        <v>1203</v>
      </c>
      <c r="B1204" s="64">
        <v>2013</v>
      </c>
      <c r="C1204" s="64">
        <v>10</v>
      </c>
      <c r="D1204" s="80">
        <f t="shared" si="39"/>
        <v>2013</v>
      </c>
      <c r="E1204" t="s">
        <v>38</v>
      </c>
      <c r="F1204" t="s">
        <v>143</v>
      </c>
      <c r="G1204" t="s">
        <v>10</v>
      </c>
      <c r="H1204" s="72" t="s">
        <v>206</v>
      </c>
      <c r="I1204" s="72" t="s">
        <v>48</v>
      </c>
      <c r="J1204" t="str">
        <f t="shared" si="40"/>
        <v>Lake Washington</v>
      </c>
      <c r="K1204" t="str">
        <f>IFERROR(VLOOKUP(J1204,LUTs!$A$1:$C$73,2,FALSE),"NA")</f>
        <v>King</v>
      </c>
      <c r="L1204" t="str">
        <f>IFERROR(VLOOKUP(J1204,LUTs!$A$1:$C$73,3,FALSE),"NA")</f>
        <v>2Central Puget Sound</v>
      </c>
      <c r="M1204" s="72" t="s">
        <v>16</v>
      </c>
      <c r="N1204" t="str">
        <f>VLOOKUP(M1204,LUTs!E$2:H$14,3,)</f>
        <v>03Snohomish</v>
      </c>
      <c r="O1204" t="str">
        <f>VLOOKUP(M1204,LUTs!E$2:H$14,4,)</f>
        <v>01North Puget Sound</v>
      </c>
      <c r="P1204" s="73">
        <v>9.3000000000000007</v>
      </c>
      <c r="Q1204" s="74">
        <f>VLOOKUP(B1204,Readme!A$40:C$51,2,)*P1204</f>
        <v>31.992000000000001</v>
      </c>
    </row>
    <row r="1205" spans="1:17" ht="12" customHeight="1" x14ac:dyDescent="0.35">
      <c r="A1205" s="75">
        <v>1204</v>
      </c>
      <c r="B1205" s="64">
        <v>2013</v>
      </c>
      <c r="C1205" s="64">
        <v>8</v>
      </c>
      <c r="D1205" s="80">
        <f t="shared" si="39"/>
        <v>2013</v>
      </c>
      <c r="E1205" t="s">
        <v>38</v>
      </c>
      <c r="F1205" t="s">
        <v>143</v>
      </c>
      <c r="G1205" t="s">
        <v>10</v>
      </c>
      <c r="H1205" s="72" t="s">
        <v>207</v>
      </c>
      <c r="I1205" s="72" t="s">
        <v>49</v>
      </c>
      <c r="J1205" t="str">
        <f t="shared" si="40"/>
        <v>Lake Sammamish</v>
      </c>
      <c r="K1205" t="str">
        <f>IFERROR(VLOOKUP(J1205,LUTs!$A$1:$C$73,2,FALSE),"NA")</f>
        <v>King</v>
      </c>
      <c r="L1205" t="str">
        <f>IFERROR(VLOOKUP(J1205,LUTs!$A$1:$C$73,3,FALSE),"NA")</f>
        <v>2Central Puget Sound</v>
      </c>
      <c r="M1205" s="72" t="s">
        <v>26</v>
      </c>
      <c r="N1205" t="str">
        <f>VLOOKUP(M1205,LUTs!E$2:H$14,3,)</f>
        <v>20Other</v>
      </c>
      <c r="O1205" t="str">
        <f>VLOOKUP(M1205,LUTs!E$2:H$14,4,)</f>
        <v>07Non Puget Sound</v>
      </c>
      <c r="P1205" s="73">
        <v>18</v>
      </c>
      <c r="Q1205" s="74">
        <f>VLOOKUP(B1205,Readme!A$40:C$51,2,)*P1205</f>
        <v>61.92</v>
      </c>
    </row>
    <row r="1206" spans="1:17" ht="12" customHeight="1" x14ac:dyDescent="0.35">
      <c r="A1206" s="75">
        <v>1205</v>
      </c>
      <c r="B1206" s="64">
        <v>2013</v>
      </c>
      <c r="C1206" s="64">
        <v>9</v>
      </c>
      <c r="D1206" s="80">
        <f t="shared" si="39"/>
        <v>2013</v>
      </c>
      <c r="E1206" t="s">
        <v>38</v>
      </c>
      <c r="F1206" t="s">
        <v>143</v>
      </c>
      <c r="G1206" t="s">
        <v>10</v>
      </c>
      <c r="H1206" s="72" t="s">
        <v>207</v>
      </c>
      <c r="I1206" s="72" t="s">
        <v>49</v>
      </c>
      <c r="J1206" t="str">
        <f t="shared" si="40"/>
        <v>Lake Sammamish</v>
      </c>
      <c r="K1206" t="str">
        <f>IFERROR(VLOOKUP(J1206,LUTs!$A$1:$C$73,2,FALSE),"NA")</f>
        <v>King</v>
      </c>
      <c r="L1206" t="str">
        <f>IFERROR(VLOOKUP(J1206,LUTs!$A$1:$C$73,3,FALSE),"NA")</f>
        <v>2Central Puget Sound</v>
      </c>
      <c r="M1206" s="72" t="s">
        <v>18</v>
      </c>
      <c r="N1206" t="str">
        <f>VLOOKUP(M1206,LUTs!E$2:H$14,3,)</f>
        <v>06King</v>
      </c>
      <c r="O1206" t="str">
        <f>VLOOKUP(M1206,LUTs!E$2:H$14,4,)</f>
        <v>02South Puget Sound</v>
      </c>
      <c r="P1206" s="73">
        <v>268.90909090909099</v>
      </c>
      <c r="Q1206" s="74">
        <f>VLOOKUP(B1206,Readme!A$40:C$51,2,)*P1206</f>
        <v>925.04727272727303</v>
      </c>
    </row>
    <row r="1207" spans="1:17" ht="12" customHeight="1" x14ac:dyDescent="0.35">
      <c r="A1207" s="75">
        <v>1206</v>
      </c>
      <c r="B1207" s="64">
        <v>2013</v>
      </c>
      <c r="C1207" s="64">
        <v>9</v>
      </c>
      <c r="D1207" s="80">
        <f t="shared" si="39"/>
        <v>2013</v>
      </c>
      <c r="E1207" t="s">
        <v>38</v>
      </c>
      <c r="F1207" t="s">
        <v>143</v>
      </c>
      <c r="G1207" t="s">
        <v>10</v>
      </c>
      <c r="H1207" s="72" t="s">
        <v>207</v>
      </c>
      <c r="I1207" s="72" t="s">
        <v>49</v>
      </c>
      <c r="J1207" t="str">
        <f t="shared" si="40"/>
        <v>Lake Sammamish</v>
      </c>
      <c r="K1207" t="str">
        <f>IFERROR(VLOOKUP(J1207,LUTs!$A$1:$C$73,2,FALSE),"NA")</f>
        <v>King</v>
      </c>
      <c r="L1207" t="str">
        <f>IFERROR(VLOOKUP(J1207,LUTs!$A$1:$C$73,3,FALSE),"NA")</f>
        <v>2Central Puget Sound</v>
      </c>
      <c r="M1207" s="72" t="s">
        <v>26</v>
      </c>
      <c r="N1207" t="str">
        <f>VLOOKUP(M1207,LUTs!E$2:H$14,3,)</f>
        <v>20Other</v>
      </c>
      <c r="O1207" t="str">
        <f>VLOOKUP(M1207,LUTs!E$2:H$14,4,)</f>
        <v>07Non Puget Sound</v>
      </c>
      <c r="P1207" s="73">
        <v>9.2727272727272805</v>
      </c>
      <c r="Q1207" s="74">
        <f>VLOOKUP(B1207,Readme!A$40:C$51,2,)*P1207</f>
        <v>31.898181818181843</v>
      </c>
    </row>
    <row r="1208" spans="1:17" ht="12" customHeight="1" x14ac:dyDescent="0.35">
      <c r="A1208" s="75">
        <v>1207</v>
      </c>
      <c r="B1208" s="64">
        <v>2013</v>
      </c>
      <c r="C1208" s="64">
        <v>9</v>
      </c>
      <c r="D1208" s="80">
        <f t="shared" si="39"/>
        <v>2013</v>
      </c>
      <c r="E1208" t="s">
        <v>38</v>
      </c>
      <c r="F1208" t="s">
        <v>143</v>
      </c>
      <c r="G1208" t="s">
        <v>10</v>
      </c>
      <c r="H1208" s="72" t="s">
        <v>207</v>
      </c>
      <c r="I1208" s="72" t="s">
        <v>49</v>
      </c>
      <c r="J1208" t="str">
        <f t="shared" si="40"/>
        <v>Lake Sammamish</v>
      </c>
      <c r="K1208" t="str">
        <f>IFERROR(VLOOKUP(J1208,LUTs!$A$1:$C$73,2,FALSE),"NA")</f>
        <v>King</v>
      </c>
      <c r="L1208" t="str">
        <f>IFERROR(VLOOKUP(J1208,LUTs!$A$1:$C$73,3,FALSE),"NA")</f>
        <v>2Central Puget Sound</v>
      </c>
      <c r="M1208" s="72" t="s">
        <v>20</v>
      </c>
      <c r="N1208" t="str">
        <f>VLOOKUP(M1208,LUTs!E$2:H$14,3,)</f>
        <v>07Pierce</v>
      </c>
      <c r="O1208" t="str">
        <f>VLOOKUP(M1208,LUTs!E$2:H$14,4,)</f>
        <v>02South Puget Sound</v>
      </c>
      <c r="P1208" s="73">
        <v>18.5454545454546</v>
      </c>
      <c r="Q1208" s="74">
        <f>VLOOKUP(B1208,Readme!A$40:C$51,2,)*P1208</f>
        <v>63.796363636363822</v>
      </c>
    </row>
    <row r="1209" spans="1:17" ht="12" customHeight="1" x14ac:dyDescent="0.35">
      <c r="A1209" s="75">
        <v>1208</v>
      </c>
      <c r="B1209" s="64">
        <v>2013</v>
      </c>
      <c r="C1209" s="64">
        <v>9</v>
      </c>
      <c r="D1209" s="80">
        <f t="shared" si="39"/>
        <v>2013</v>
      </c>
      <c r="E1209" t="s">
        <v>38</v>
      </c>
      <c r="F1209" t="s">
        <v>143</v>
      </c>
      <c r="G1209" t="s">
        <v>10</v>
      </c>
      <c r="H1209" s="72" t="s">
        <v>207</v>
      </c>
      <c r="I1209" s="72" t="s">
        <v>49</v>
      </c>
      <c r="J1209" t="str">
        <f t="shared" si="40"/>
        <v>Lake Sammamish</v>
      </c>
      <c r="K1209" t="str">
        <f>IFERROR(VLOOKUP(J1209,LUTs!$A$1:$C$73,2,FALSE),"NA")</f>
        <v>King</v>
      </c>
      <c r="L1209" t="str">
        <f>IFERROR(VLOOKUP(J1209,LUTs!$A$1:$C$73,3,FALSE),"NA")</f>
        <v>2Central Puget Sound</v>
      </c>
      <c r="M1209" s="72" t="s">
        <v>16</v>
      </c>
      <c r="N1209" t="str">
        <f>VLOOKUP(M1209,LUTs!E$2:H$14,3,)</f>
        <v>03Snohomish</v>
      </c>
      <c r="O1209" t="str">
        <f>VLOOKUP(M1209,LUTs!E$2:H$14,4,)</f>
        <v>01North Puget Sound</v>
      </c>
      <c r="P1209" s="73">
        <v>9.2727272727272805</v>
      </c>
      <c r="Q1209" s="74">
        <f>VLOOKUP(B1209,Readme!A$40:C$51,2,)*P1209</f>
        <v>31.898181818181843</v>
      </c>
    </row>
    <row r="1210" spans="1:17" ht="12" customHeight="1" x14ac:dyDescent="0.35">
      <c r="A1210" s="75">
        <v>1209</v>
      </c>
      <c r="B1210" s="64">
        <v>2013</v>
      </c>
      <c r="C1210" s="64">
        <v>11</v>
      </c>
      <c r="D1210" s="80">
        <f t="shared" si="39"/>
        <v>2013</v>
      </c>
      <c r="E1210" t="s">
        <v>38</v>
      </c>
      <c r="F1210" t="s">
        <v>143</v>
      </c>
      <c r="G1210" t="s">
        <v>10</v>
      </c>
      <c r="H1210" s="72" t="s">
        <v>208</v>
      </c>
      <c r="I1210" s="72" t="s">
        <v>50</v>
      </c>
      <c r="J1210" t="str">
        <f t="shared" si="40"/>
        <v>Minter Creek</v>
      </c>
      <c r="K1210" t="str">
        <f>IFERROR(VLOOKUP(J1210,LUTs!$A$1:$C$73,2,FALSE),"NA")</f>
        <v>Kitsap/Pierce</v>
      </c>
      <c r="L1210" t="str">
        <f>IFERROR(VLOOKUP(J1210,LUTs!$A$1:$C$73,3,FALSE),"NA")</f>
        <v>3South Puget Sound</v>
      </c>
      <c r="M1210" s="72" t="s">
        <v>24</v>
      </c>
      <c r="N1210" t="str">
        <f>VLOOKUP(M1210,LUTs!E$2:H$14,3,)</f>
        <v>11Clallam</v>
      </c>
      <c r="O1210" t="str">
        <f>VLOOKUP(M1210,LUTs!E$2:H$14,4,)</f>
        <v>03Strait of Juan de Fuca</v>
      </c>
      <c r="P1210" s="73">
        <v>110.82593856655301</v>
      </c>
      <c r="Q1210" s="74">
        <f>VLOOKUP(B1210,Readme!A$40:C$51,2,)*P1210</f>
        <v>381.24122866894231</v>
      </c>
    </row>
    <row r="1211" spans="1:17" ht="12" customHeight="1" x14ac:dyDescent="0.35">
      <c r="A1211" s="75">
        <v>1210</v>
      </c>
      <c r="B1211" s="64">
        <v>2013</v>
      </c>
      <c r="C1211" s="64">
        <v>11</v>
      </c>
      <c r="D1211" s="80">
        <f t="shared" si="39"/>
        <v>2013</v>
      </c>
      <c r="E1211" t="s">
        <v>38</v>
      </c>
      <c r="F1211" t="s">
        <v>143</v>
      </c>
      <c r="G1211" t="s">
        <v>10</v>
      </c>
      <c r="H1211" s="72" t="s">
        <v>208</v>
      </c>
      <c r="I1211" s="72" t="s">
        <v>50</v>
      </c>
      <c r="J1211" t="str">
        <f t="shared" si="40"/>
        <v>Minter Creek</v>
      </c>
      <c r="K1211" t="str">
        <f>IFERROR(VLOOKUP(J1211,LUTs!$A$1:$C$73,2,FALSE),"NA")</f>
        <v>Kitsap/Pierce</v>
      </c>
      <c r="L1211" t="str">
        <f>IFERROR(VLOOKUP(J1211,LUTs!$A$1:$C$73,3,FALSE),"NA")</f>
        <v>3South Puget Sound</v>
      </c>
      <c r="M1211" s="72" t="s">
        <v>18</v>
      </c>
      <c r="N1211" t="str">
        <f>VLOOKUP(M1211,LUTs!E$2:H$14,3,)</f>
        <v>06King</v>
      </c>
      <c r="O1211" t="str">
        <f>VLOOKUP(M1211,LUTs!E$2:H$14,4,)</f>
        <v>02South Puget Sound</v>
      </c>
      <c r="P1211" s="73">
        <v>2281.1672354948801</v>
      </c>
      <c r="Q1211" s="74">
        <f>VLOOKUP(B1211,Readme!A$40:C$51,2,)*P1211</f>
        <v>7847.2152901023874</v>
      </c>
    </row>
    <row r="1212" spans="1:17" ht="12" customHeight="1" x14ac:dyDescent="0.35">
      <c r="A1212" s="75">
        <v>1211</v>
      </c>
      <c r="B1212" s="64">
        <v>2013</v>
      </c>
      <c r="C1212" s="64">
        <v>11</v>
      </c>
      <c r="D1212" s="80">
        <f t="shared" si="39"/>
        <v>2013</v>
      </c>
      <c r="E1212" t="s">
        <v>38</v>
      </c>
      <c r="F1212" t="s">
        <v>143</v>
      </c>
      <c r="G1212" t="s">
        <v>10</v>
      </c>
      <c r="H1212" s="72" t="s">
        <v>208</v>
      </c>
      <c r="I1212" s="72" t="s">
        <v>50</v>
      </c>
      <c r="J1212" t="str">
        <f t="shared" si="40"/>
        <v>Minter Creek</v>
      </c>
      <c r="K1212" t="str">
        <f>IFERROR(VLOOKUP(J1212,LUTs!$A$1:$C$73,2,FALSE),"NA")</f>
        <v>Kitsap/Pierce</v>
      </c>
      <c r="L1212" t="str">
        <f>IFERROR(VLOOKUP(J1212,LUTs!$A$1:$C$73,3,FALSE),"NA")</f>
        <v>3South Puget Sound</v>
      </c>
      <c r="M1212" s="72" t="s">
        <v>23</v>
      </c>
      <c r="N1212" t="str">
        <f>VLOOKUP(M1212,LUTs!E$2:H$14,3,)</f>
        <v>10Kitsap</v>
      </c>
      <c r="O1212" t="str">
        <f>VLOOKUP(M1212,LUTs!E$2:H$14,4,)</f>
        <v>02South Puget Sound</v>
      </c>
      <c r="P1212" s="73">
        <v>434.06825938566601</v>
      </c>
      <c r="Q1212" s="74">
        <f>VLOOKUP(B1212,Readme!A$40:C$51,2,)*P1212</f>
        <v>1493.1948122866911</v>
      </c>
    </row>
    <row r="1213" spans="1:17" ht="12" customHeight="1" x14ac:dyDescent="0.35">
      <c r="A1213" s="75">
        <v>1212</v>
      </c>
      <c r="B1213" s="64">
        <v>2013</v>
      </c>
      <c r="C1213" s="64">
        <v>11</v>
      </c>
      <c r="D1213" s="80">
        <f t="shared" si="39"/>
        <v>2013</v>
      </c>
      <c r="E1213" t="s">
        <v>38</v>
      </c>
      <c r="F1213" t="s">
        <v>143</v>
      </c>
      <c r="G1213" t="s">
        <v>10</v>
      </c>
      <c r="H1213" s="72" t="s">
        <v>208</v>
      </c>
      <c r="I1213" s="72" t="s">
        <v>50</v>
      </c>
      <c r="J1213" t="str">
        <f t="shared" si="40"/>
        <v>Minter Creek</v>
      </c>
      <c r="K1213" t="str">
        <f>IFERROR(VLOOKUP(J1213,LUTs!$A$1:$C$73,2,FALSE),"NA")</f>
        <v>Kitsap/Pierce</v>
      </c>
      <c r="L1213" t="str">
        <f>IFERROR(VLOOKUP(J1213,LUTs!$A$1:$C$73,3,FALSE),"NA")</f>
        <v>3South Puget Sound</v>
      </c>
      <c r="M1213" s="72" t="s">
        <v>22</v>
      </c>
      <c r="N1213" t="str">
        <f>VLOOKUP(M1213,LUTs!E$2:H$14,3,)</f>
        <v>09Mason</v>
      </c>
      <c r="O1213" t="str">
        <f>VLOOKUP(M1213,LUTs!E$2:H$14,4,)</f>
        <v>02South Puget Sound</v>
      </c>
      <c r="P1213" s="73">
        <v>55.412969283276503</v>
      </c>
      <c r="Q1213" s="74">
        <f>VLOOKUP(B1213,Readme!A$40:C$51,2,)*P1213</f>
        <v>190.62061433447116</v>
      </c>
    </row>
    <row r="1214" spans="1:17" ht="12" customHeight="1" x14ac:dyDescent="0.35">
      <c r="A1214" s="75">
        <v>1213</v>
      </c>
      <c r="B1214" s="64">
        <v>2013</v>
      </c>
      <c r="C1214" s="64">
        <v>11</v>
      </c>
      <c r="D1214" s="80">
        <f t="shared" si="39"/>
        <v>2013</v>
      </c>
      <c r="E1214" t="s">
        <v>38</v>
      </c>
      <c r="F1214" t="s">
        <v>143</v>
      </c>
      <c r="G1214" t="s">
        <v>10</v>
      </c>
      <c r="H1214" s="72" t="s">
        <v>208</v>
      </c>
      <c r="I1214" s="72" t="s">
        <v>50</v>
      </c>
      <c r="J1214" t="str">
        <f t="shared" si="40"/>
        <v>Minter Creek</v>
      </c>
      <c r="K1214" t="str">
        <f>IFERROR(VLOOKUP(J1214,LUTs!$A$1:$C$73,2,FALSE),"NA")</f>
        <v>Kitsap/Pierce</v>
      </c>
      <c r="L1214" t="str">
        <f>IFERROR(VLOOKUP(J1214,LUTs!$A$1:$C$73,3,FALSE),"NA")</f>
        <v>3South Puget Sound</v>
      </c>
      <c r="M1214" s="72" t="s">
        <v>26</v>
      </c>
      <c r="N1214" t="str">
        <f>VLOOKUP(M1214,LUTs!E$2:H$14,3,)</f>
        <v>20Other</v>
      </c>
      <c r="O1214" t="str">
        <f>VLOOKUP(M1214,LUTs!E$2:H$14,4,)</f>
        <v>07Non Puget Sound</v>
      </c>
      <c r="P1214" s="73">
        <v>249.358361774744</v>
      </c>
      <c r="Q1214" s="74">
        <f>VLOOKUP(B1214,Readme!A$40:C$51,2,)*P1214</f>
        <v>857.79276450511929</v>
      </c>
    </row>
    <row r="1215" spans="1:17" ht="12" customHeight="1" x14ac:dyDescent="0.35">
      <c r="A1215" s="75">
        <v>1214</v>
      </c>
      <c r="B1215" s="64">
        <v>2013</v>
      </c>
      <c r="C1215" s="64">
        <v>11</v>
      </c>
      <c r="D1215" s="80">
        <f t="shared" si="39"/>
        <v>2013</v>
      </c>
      <c r="E1215" t="s">
        <v>38</v>
      </c>
      <c r="F1215" t="s">
        <v>143</v>
      </c>
      <c r="G1215" t="s">
        <v>10</v>
      </c>
      <c r="H1215" s="72" t="s">
        <v>208</v>
      </c>
      <c r="I1215" s="72" t="s">
        <v>50</v>
      </c>
      <c r="J1215" t="str">
        <f t="shared" si="40"/>
        <v>Minter Creek</v>
      </c>
      <c r="K1215" t="str">
        <f>IFERROR(VLOOKUP(J1215,LUTs!$A$1:$C$73,2,FALSE),"NA")</f>
        <v>Kitsap/Pierce</v>
      </c>
      <c r="L1215" t="str">
        <f>IFERROR(VLOOKUP(J1215,LUTs!$A$1:$C$73,3,FALSE),"NA")</f>
        <v>3South Puget Sound</v>
      </c>
      <c r="M1215" s="72" t="s">
        <v>20</v>
      </c>
      <c r="N1215" t="str">
        <f>VLOOKUP(M1215,LUTs!E$2:H$14,3,)</f>
        <v>07Pierce</v>
      </c>
      <c r="O1215" t="str">
        <f>VLOOKUP(M1215,LUTs!E$2:H$14,4,)</f>
        <v>02South Puget Sound</v>
      </c>
      <c r="P1215" s="73">
        <v>1884.0409556314</v>
      </c>
      <c r="Q1215" s="74">
        <f>VLOOKUP(B1215,Readme!A$40:C$51,2,)*P1215</f>
        <v>6481.1008873720157</v>
      </c>
    </row>
    <row r="1216" spans="1:17" ht="12" customHeight="1" x14ac:dyDescent="0.35">
      <c r="A1216" s="75">
        <v>1215</v>
      </c>
      <c r="B1216" s="64">
        <v>2013</v>
      </c>
      <c r="C1216" s="64">
        <v>11</v>
      </c>
      <c r="D1216" s="80">
        <f t="shared" si="39"/>
        <v>2013</v>
      </c>
      <c r="E1216" t="s">
        <v>38</v>
      </c>
      <c r="F1216" t="s">
        <v>143</v>
      </c>
      <c r="G1216" t="s">
        <v>10</v>
      </c>
      <c r="H1216" s="72" t="s">
        <v>208</v>
      </c>
      <c r="I1216" s="72" t="s">
        <v>50</v>
      </c>
      <c r="J1216" t="str">
        <f t="shared" si="40"/>
        <v>Minter Creek</v>
      </c>
      <c r="K1216" t="str">
        <f>IFERROR(VLOOKUP(J1216,LUTs!$A$1:$C$73,2,FALSE),"NA")</f>
        <v>Kitsap/Pierce</v>
      </c>
      <c r="L1216" t="str">
        <f>IFERROR(VLOOKUP(J1216,LUTs!$A$1:$C$73,3,FALSE),"NA")</f>
        <v>3South Puget Sound</v>
      </c>
      <c r="M1216" s="72" t="s">
        <v>16</v>
      </c>
      <c r="N1216" t="str">
        <f>VLOOKUP(M1216,LUTs!E$2:H$14,3,)</f>
        <v>03Snohomish</v>
      </c>
      <c r="O1216" t="str">
        <f>VLOOKUP(M1216,LUTs!E$2:H$14,4,)</f>
        <v>01North Puget Sound</v>
      </c>
      <c r="P1216" s="73">
        <v>203.18088737201401</v>
      </c>
      <c r="Q1216" s="74">
        <f>VLOOKUP(B1216,Readme!A$40:C$51,2,)*P1216</f>
        <v>698.94225255972822</v>
      </c>
    </row>
    <row r="1217" spans="1:17" ht="12" customHeight="1" x14ac:dyDescent="0.35">
      <c r="A1217" s="75">
        <v>1216</v>
      </c>
      <c r="B1217" s="64">
        <v>2013</v>
      </c>
      <c r="C1217" s="64">
        <v>11</v>
      </c>
      <c r="D1217" s="80">
        <f t="shared" si="39"/>
        <v>2013</v>
      </c>
      <c r="E1217" t="s">
        <v>38</v>
      </c>
      <c r="F1217" t="s">
        <v>143</v>
      </c>
      <c r="G1217" t="s">
        <v>10</v>
      </c>
      <c r="H1217" s="72" t="s">
        <v>208</v>
      </c>
      <c r="I1217" s="72" t="s">
        <v>50</v>
      </c>
      <c r="J1217" t="str">
        <f t="shared" si="40"/>
        <v>Minter Creek</v>
      </c>
      <c r="K1217" t="str">
        <f>IFERROR(VLOOKUP(J1217,LUTs!$A$1:$C$73,2,FALSE),"NA")</f>
        <v>Kitsap/Pierce</v>
      </c>
      <c r="L1217" t="str">
        <f>IFERROR(VLOOKUP(J1217,LUTs!$A$1:$C$73,3,FALSE),"NA")</f>
        <v>3South Puget Sound</v>
      </c>
      <c r="M1217" s="72" t="s">
        <v>21</v>
      </c>
      <c r="N1217" t="str">
        <f>VLOOKUP(M1217,LUTs!E$2:H$14,3,)</f>
        <v>08Thurston</v>
      </c>
      <c r="O1217" t="str">
        <f>VLOOKUP(M1217,LUTs!E$2:H$14,4,)</f>
        <v>02South Puget Sound</v>
      </c>
      <c r="P1217" s="73">
        <v>193.945392491468</v>
      </c>
      <c r="Q1217" s="74">
        <f>VLOOKUP(B1217,Readme!A$40:C$51,2,)*P1217</f>
        <v>667.17215017064996</v>
      </c>
    </row>
    <row r="1218" spans="1:17" ht="12" customHeight="1" x14ac:dyDescent="0.35">
      <c r="A1218" s="75">
        <v>1217</v>
      </c>
      <c r="B1218" s="64">
        <v>2013</v>
      </c>
      <c r="C1218" s="64">
        <v>12</v>
      </c>
      <c r="D1218" s="80">
        <f t="shared" ref="D1218:D1281" si="41">IF(C1218&gt;3,B1218,B1218-1)</f>
        <v>2013</v>
      </c>
      <c r="E1218" t="s">
        <v>38</v>
      </c>
      <c r="F1218" t="s">
        <v>143</v>
      </c>
      <c r="G1218" t="s">
        <v>10</v>
      </c>
      <c r="H1218" s="72" t="s">
        <v>208</v>
      </c>
      <c r="I1218" s="72" t="s">
        <v>50</v>
      </c>
      <c r="J1218" t="str">
        <f t="shared" si="40"/>
        <v>Minter Creek</v>
      </c>
      <c r="K1218" t="str">
        <f>IFERROR(VLOOKUP(J1218,LUTs!$A$1:$C$73,2,FALSE),"NA")</f>
        <v>Kitsap/Pierce</v>
      </c>
      <c r="L1218" t="str">
        <f>IFERROR(VLOOKUP(J1218,LUTs!$A$1:$C$73,3,FALSE),"NA")</f>
        <v>3South Puget Sound</v>
      </c>
      <c r="M1218" s="72" t="s">
        <v>18</v>
      </c>
      <c r="N1218" t="str">
        <f>VLOOKUP(M1218,LUTs!E$2:H$14,3,)</f>
        <v>06King</v>
      </c>
      <c r="O1218" t="str">
        <f>VLOOKUP(M1218,LUTs!E$2:H$14,4,)</f>
        <v>02South Puget Sound</v>
      </c>
      <c r="P1218" s="73">
        <v>73.890909090909105</v>
      </c>
      <c r="Q1218" s="74">
        <f>VLOOKUP(B1218,Readme!A$40:C$51,2,)*P1218</f>
        <v>254.18472727272732</v>
      </c>
    </row>
    <row r="1219" spans="1:17" ht="12" customHeight="1" x14ac:dyDescent="0.35">
      <c r="A1219" s="75">
        <v>1218</v>
      </c>
      <c r="B1219" s="64">
        <v>2013</v>
      </c>
      <c r="C1219" s="64">
        <v>12</v>
      </c>
      <c r="D1219" s="80">
        <f t="shared" si="41"/>
        <v>2013</v>
      </c>
      <c r="E1219" t="s">
        <v>38</v>
      </c>
      <c r="F1219" t="s">
        <v>143</v>
      </c>
      <c r="G1219" t="s">
        <v>10</v>
      </c>
      <c r="H1219" s="72" t="s">
        <v>208</v>
      </c>
      <c r="I1219" s="72" t="s">
        <v>50</v>
      </c>
      <c r="J1219" t="str">
        <f t="shared" ref="J1219:J1282" si="42">I1219</f>
        <v>Minter Creek</v>
      </c>
      <c r="K1219" t="str">
        <f>IFERROR(VLOOKUP(J1219,LUTs!$A$1:$C$73,2,FALSE),"NA")</f>
        <v>Kitsap/Pierce</v>
      </c>
      <c r="L1219" t="str">
        <f>IFERROR(VLOOKUP(J1219,LUTs!$A$1:$C$73,3,FALSE),"NA")</f>
        <v>3South Puget Sound</v>
      </c>
      <c r="M1219" s="72" t="s">
        <v>23</v>
      </c>
      <c r="N1219" t="str">
        <f>VLOOKUP(M1219,LUTs!E$2:H$14,3,)</f>
        <v>10Kitsap</v>
      </c>
      <c r="O1219" t="str">
        <f>VLOOKUP(M1219,LUTs!E$2:H$14,4,)</f>
        <v>02South Puget Sound</v>
      </c>
      <c r="P1219" s="73">
        <v>55.4181818181818</v>
      </c>
      <c r="Q1219" s="74">
        <f>VLOOKUP(B1219,Readme!A$40:C$51,2,)*P1219</f>
        <v>190.63854545454538</v>
      </c>
    </row>
    <row r="1220" spans="1:17" ht="12" customHeight="1" x14ac:dyDescent="0.35">
      <c r="A1220" s="75">
        <v>1219</v>
      </c>
      <c r="B1220" s="64">
        <v>2013</v>
      </c>
      <c r="C1220" s="64">
        <v>12</v>
      </c>
      <c r="D1220" s="80">
        <f t="shared" si="41"/>
        <v>2013</v>
      </c>
      <c r="E1220" t="s">
        <v>38</v>
      </c>
      <c r="F1220" t="s">
        <v>143</v>
      </c>
      <c r="G1220" t="s">
        <v>10</v>
      </c>
      <c r="H1220" s="72" t="s">
        <v>208</v>
      </c>
      <c r="I1220" s="72" t="s">
        <v>50</v>
      </c>
      <c r="J1220" t="str">
        <f t="shared" si="42"/>
        <v>Minter Creek</v>
      </c>
      <c r="K1220" t="str">
        <f>IFERROR(VLOOKUP(J1220,LUTs!$A$1:$C$73,2,FALSE),"NA")</f>
        <v>Kitsap/Pierce</v>
      </c>
      <c r="L1220" t="str">
        <f>IFERROR(VLOOKUP(J1220,LUTs!$A$1:$C$73,3,FALSE),"NA")</f>
        <v>3South Puget Sound</v>
      </c>
      <c r="M1220" s="72" t="s">
        <v>26</v>
      </c>
      <c r="N1220" t="str">
        <f>VLOOKUP(M1220,LUTs!E$2:H$14,3,)</f>
        <v>20Other</v>
      </c>
      <c r="O1220" t="str">
        <f>VLOOKUP(M1220,LUTs!E$2:H$14,4,)</f>
        <v>07Non Puget Sound</v>
      </c>
      <c r="P1220" s="73">
        <v>83.127272727272697</v>
      </c>
      <c r="Q1220" s="74">
        <f>VLOOKUP(B1220,Readme!A$40:C$51,2,)*P1220</f>
        <v>285.95781818181808</v>
      </c>
    </row>
    <row r="1221" spans="1:17" ht="12" customHeight="1" x14ac:dyDescent="0.35">
      <c r="A1221" s="75">
        <v>1220</v>
      </c>
      <c r="B1221" s="64">
        <v>2013</v>
      </c>
      <c r="C1221" s="64">
        <v>12</v>
      </c>
      <c r="D1221" s="80">
        <f t="shared" si="41"/>
        <v>2013</v>
      </c>
      <c r="E1221" t="s">
        <v>38</v>
      </c>
      <c r="F1221" t="s">
        <v>143</v>
      </c>
      <c r="G1221" t="s">
        <v>10</v>
      </c>
      <c r="H1221" s="72" t="s">
        <v>208</v>
      </c>
      <c r="I1221" s="72" t="s">
        <v>50</v>
      </c>
      <c r="J1221" t="str">
        <f t="shared" si="42"/>
        <v>Minter Creek</v>
      </c>
      <c r="K1221" t="str">
        <f>IFERROR(VLOOKUP(J1221,LUTs!$A$1:$C$73,2,FALSE),"NA")</f>
        <v>Kitsap/Pierce</v>
      </c>
      <c r="L1221" t="str">
        <f>IFERROR(VLOOKUP(J1221,LUTs!$A$1:$C$73,3,FALSE),"NA")</f>
        <v>3South Puget Sound</v>
      </c>
      <c r="M1221" s="72" t="s">
        <v>20</v>
      </c>
      <c r="N1221" t="str">
        <f>VLOOKUP(M1221,LUTs!E$2:H$14,3,)</f>
        <v>07Pierce</v>
      </c>
      <c r="O1221" t="str">
        <f>VLOOKUP(M1221,LUTs!E$2:H$14,4,)</f>
        <v>02South Puget Sound</v>
      </c>
      <c r="P1221" s="73">
        <v>258.61818181818199</v>
      </c>
      <c r="Q1221" s="74">
        <f>VLOOKUP(B1221,Readme!A$40:C$51,2,)*P1221</f>
        <v>889.64654545454607</v>
      </c>
    </row>
    <row r="1222" spans="1:17" ht="12" customHeight="1" x14ac:dyDescent="0.35">
      <c r="A1222" s="75">
        <v>1221</v>
      </c>
      <c r="B1222" s="64">
        <v>2013</v>
      </c>
      <c r="C1222" s="64">
        <v>12</v>
      </c>
      <c r="D1222" s="80">
        <f t="shared" si="41"/>
        <v>2013</v>
      </c>
      <c r="E1222" t="s">
        <v>38</v>
      </c>
      <c r="F1222" t="s">
        <v>143</v>
      </c>
      <c r="G1222" t="s">
        <v>10</v>
      </c>
      <c r="H1222" s="72" t="s">
        <v>208</v>
      </c>
      <c r="I1222" s="72" t="s">
        <v>50</v>
      </c>
      <c r="J1222" t="str">
        <f t="shared" si="42"/>
        <v>Minter Creek</v>
      </c>
      <c r="K1222" t="str">
        <f>IFERROR(VLOOKUP(J1222,LUTs!$A$1:$C$73,2,FALSE),"NA")</f>
        <v>Kitsap/Pierce</v>
      </c>
      <c r="L1222" t="str">
        <f>IFERROR(VLOOKUP(J1222,LUTs!$A$1:$C$73,3,FALSE),"NA")</f>
        <v>3South Puget Sound</v>
      </c>
      <c r="M1222" s="72" t="s">
        <v>16</v>
      </c>
      <c r="N1222" t="str">
        <f>VLOOKUP(M1222,LUTs!E$2:H$14,3,)</f>
        <v>03Snohomish</v>
      </c>
      <c r="O1222" t="str">
        <f>VLOOKUP(M1222,LUTs!E$2:H$14,4,)</f>
        <v>01North Puget Sound</v>
      </c>
      <c r="P1222" s="73">
        <v>36.945454545454602</v>
      </c>
      <c r="Q1222" s="74">
        <f>VLOOKUP(B1222,Readme!A$40:C$51,2,)*P1222</f>
        <v>127.09236363636383</v>
      </c>
    </row>
    <row r="1223" spans="1:17" ht="12" customHeight="1" x14ac:dyDescent="0.35">
      <c r="A1223" s="75">
        <v>1222</v>
      </c>
      <c r="B1223" s="64">
        <v>2013</v>
      </c>
      <c r="C1223" s="64">
        <v>7</v>
      </c>
      <c r="D1223" s="80">
        <f t="shared" si="41"/>
        <v>2013</v>
      </c>
      <c r="E1223" t="s">
        <v>38</v>
      </c>
      <c r="F1223" t="s">
        <v>143</v>
      </c>
      <c r="G1223" t="s">
        <v>10</v>
      </c>
      <c r="H1223" s="72" t="s">
        <v>209</v>
      </c>
      <c r="I1223" s="72" t="s">
        <v>51</v>
      </c>
      <c r="J1223" t="str">
        <f t="shared" si="42"/>
        <v>Nisqually River</v>
      </c>
      <c r="K1223" t="str">
        <f>IFERROR(VLOOKUP(J1223,LUTs!$A$1:$C$73,2,FALSE),"NA")</f>
        <v>Thurston/Pierce</v>
      </c>
      <c r="L1223" t="str">
        <f>IFERROR(VLOOKUP(J1223,LUTs!$A$1:$C$73,3,FALSE),"NA")</f>
        <v>3South Puget Sound</v>
      </c>
      <c r="M1223" s="72" t="s">
        <v>20</v>
      </c>
      <c r="N1223" t="str">
        <f>VLOOKUP(M1223,LUTs!E$2:H$14,3,)</f>
        <v>07Pierce</v>
      </c>
      <c r="O1223" t="str">
        <f>VLOOKUP(M1223,LUTs!E$2:H$14,4,)</f>
        <v>02South Puget Sound</v>
      </c>
      <c r="P1223" s="73">
        <v>9.0625</v>
      </c>
      <c r="Q1223" s="74">
        <f>VLOOKUP(B1223,Readme!A$40:C$51,2,)*P1223</f>
        <v>31.175000000000001</v>
      </c>
    </row>
    <row r="1224" spans="1:17" ht="12" customHeight="1" x14ac:dyDescent="0.35">
      <c r="A1224" s="75">
        <v>1223</v>
      </c>
      <c r="B1224" s="64">
        <v>2013</v>
      </c>
      <c r="C1224" s="64">
        <v>7</v>
      </c>
      <c r="D1224" s="80">
        <f t="shared" si="41"/>
        <v>2013</v>
      </c>
      <c r="E1224" t="s">
        <v>38</v>
      </c>
      <c r="F1224" t="s">
        <v>143</v>
      </c>
      <c r="G1224" t="s">
        <v>10</v>
      </c>
      <c r="H1224" s="72" t="s">
        <v>209</v>
      </c>
      <c r="I1224" s="72" t="s">
        <v>51</v>
      </c>
      <c r="J1224" t="str">
        <f t="shared" si="42"/>
        <v>Nisqually River</v>
      </c>
      <c r="K1224" t="str">
        <f>IFERROR(VLOOKUP(J1224,LUTs!$A$1:$C$73,2,FALSE),"NA")</f>
        <v>Thurston/Pierce</v>
      </c>
      <c r="L1224" t="str">
        <f>IFERROR(VLOOKUP(J1224,LUTs!$A$1:$C$73,3,FALSE),"NA")</f>
        <v>3South Puget Sound</v>
      </c>
      <c r="M1224" s="72" t="s">
        <v>21</v>
      </c>
      <c r="N1224" t="str">
        <f>VLOOKUP(M1224,LUTs!E$2:H$14,3,)</f>
        <v>08Thurston</v>
      </c>
      <c r="O1224" t="str">
        <f>VLOOKUP(M1224,LUTs!E$2:H$14,4,)</f>
        <v>02South Puget Sound</v>
      </c>
      <c r="P1224" s="73">
        <v>135.9375</v>
      </c>
      <c r="Q1224" s="74">
        <f>VLOOKUP(B1224,Readme!A$40:C$51,2,)*P1224</f>
        <v>467.625</v>
      </c>
    </row>
    <row r="1225" spans="1:17" ht="12" customHeight="1" x14ac:dyDescent="0.35">
      <c r="A1225" s="75">
        <v>1224</v>
      </c>
      <c r="B1225" s="64">
        <v>2013</v>
      </c>
      <c r="C1225" s="64">
        <v>8</v>
      </c>
      <c r="D1225" s="80">
        <f t="shared" si="41"/>
        <v>2013</v>
      </c>
      <c r="E1225" t="s">
        <v>38</v>
      </c>
      <c r="F1225" t="s">
        <v>143</v>
      </c>
      <c r="G1225" t="s">
        <v>10</v>
      </c>
      <c r="H1225" s="72" t="s">
        <v>209</v>
      </c>
      <c r="I1225" s="72" t="s">
        <v>51</v>
      </c>
      <c r="J1225" t="str">
        <f t="shared" si="42"/>
        <v>Nisqually River</v>
      </c>
      <c r="K1225" t="str">
        <f>IFERROR(VLOOKUP(J1225,LUTs!$A$1:$C$73,2,FALSE),"NA")</f>
        <v>Thurston/Pierce</v>
      </c>
      <c r="L1225" t="str">
        <f>IFERROR(VLOOKUP(J1225,LUTs!$A$1:$C$73,3,FALSE),"NA")</f>
        <v>3South Puget Sound</v>
      </c>
      <c r="M1225" s="72" t="s">
        <v>18</v>
      </c>
      <c r="N1225" t="str">
        <f>VLOOKUP(M1225,LUTs!E$2:H$14,3,)</f>
        <v>06King</v>
      </c>
      <c r="O1225" t="str">
        <f>VLOOKUP(M1225,LUTs!E$2:H$14,4,)</f>
        <v>02South Puget Sound</v>
      </c>
      <c r="P1225" s="73">
        <v>136.51685393258401</v>
      </c>
      <c r="Q1225" s="74">
        <f>VLOOKUP(B1225,Readme!A$40:C$51,2,)*P1225</f>
        <v>469.617977528089</v>
      </c>
    </row>
    <row r="1226" spans="1:17" ht="12" customHeight="1" x14ac:dyDescent="0.35">
      <c r="A1226" s="75">
        <v>1225</v>
      </c>
      <c r="B1226" s="64">
        <v>2013</v>
      </c>
      <c r="C1226" s="64">
        <v>8</v>
      </c>
      <c r="D1226" s="80">
        <f t="shared" si="41"/>
        <v>2013</v>
      </c>
      <c r="E1226" t="s">
        <v>38</v>
      </c>
      <c r="F1226" t="s">
        <v>143</v>
      </c>
      <c r="G1226" t="s">
        <v>10</v>
      </c>
      <c r="H1226" s="72" t="s">
        <v>209</v>
      </c>
      <c r="I1226" s="72" t="s">
        <v>51</v>
      </c>
      <c r="J1226" t="str">
        <f t="shared" si="42"/>
        <v>Nisqually River</v>
      </c>
      <c r="K1226" t="str">
        <f>IFERROR(VLOOKUP(J1226,LUTs!$A$1:$C$73,2,FALSE),"NA")</f>
        <v>Thurston/Pierce</v>
      </c>
      <c r="L1226" t="str">
        <f>IFERROR(VLOOKUP(J1226,LUTs!$A$1:$C$73,3,FALSE),"NA")</f>
        <v>3South Puget Sound</v>
      </c>
      <c r="M1226" s="72" t="s">
        <v>23</v>
      </c>
      <c r="N1226" t="str">
        <f>VLOOKUP(M1226,LUTs!E$2:H$14,3,)</f>
        <v>10Kitsap</v>
      </c>
      <c r="O1226" t="str">
        <f>VLOOKUP(M1226,LUTs!E$2:H$14,4,)</f>
        <v>02South Puget Sound</v>
      </c>
      <c r="P1226" s="73">
        <v>63.7078651685393</v>
      </c>
      <c r="Q1226" s="74">
        <f>VLOOKUP(B1226,Readme!A$40:C$51,2,)*P1226</f>
        <v>219.15505617977519</v>
      </c>
    </row>
    <row r="1227" spans="1:17" ht="12" customHeight="1" x14ac:dyDescent="0.35">
      <c r="A1227" s="75">
        <v>1226</v>
      </c>
      <c r="B1227" s="64">
        <v>2013</v>
      </c>
      <c r="C1227" s="64">
        <v>8</v>
      </c>
      <c r="D1227" s="80">
        <f t="shared" si="41"/>
        <v>2013</v>
      </c>
      <c r="E1227" t="s">
        <v>38</v>
      </c>
      <c r="F1227" t="s">
        <v>143</v>
      </c>
      <c r="G1227" t="s">
        <v>10</v>
      </c>
      <c r="H1227" s="72" t="s">
        <v>209</v>
      </c>
      <c r="I1227" s="72" t="s">
        <v>51</v>
      </c>
      <c r="J1227" t="str">
        <f t="shared" si="42"/>
        <v>Nisqually River</v>
      </c>
      <c r="K1227" t="str">
        <f>IFERROR(VLOOKUP(J1227,LUTs!$A$1:$C$73,2,FALSE),"NA")</f>
        <v>Thurston/Pierce</v>
      </c>
      <c r="L1227" t="str">
        <f>IFERROR(VLOOKUP(J1227,LUTs!$A$1:$C$73,3,FALSE),"NA")</f>
        <v>3South Puget Sound</v>
      </c>
      <c r="M1227" s="72" t="s">
        <v>26</v>
      </c>
      <c r="N1227" t="str">
        <f>VLOOKUP(M1227,LUTs!E$2:H$14,3,)</f>
        <v>20Other</v>
      </c>
      <c r="O1227" t="str">
        <f>VLOOKUP(M1227,LUTs!E$2:H$14,4,)</f>
        <v>07Non Puget Sound</v>
      </c>
      <c r="P1227" s="73">
        <v>200.22471910112401</v>
      </c>
      <c r="Q1227" s="74">
        <f>VLOOKUP(B1227,Readme!A$40:C$51,2,)*P1227</f>
        <v>688.7730337078666</v>
      </c>
    </row>
    <row r="1228" spans="1:17" ht="12" customHeight="1" x14ac:dyDescent="0.35">
      <c r="A1228" s="75">
        <v>1227</v>
      </c>
      <c r="B1228" s="64">
        <v>2013</v>
      </c>
      <c r="C1228" s="64">
        <v>8</v>
      </c>
      <c r="D1228" s="80">
        <f t="shared" si="41"/>
        <v>2013</v>
      </c>
      <c r="E1228" t="s">
        <v>38</v>
      </c>
      <c r="F1228" t="s">
        <v>143</v>
      </c>
      <c r="G1228" t="s">
        <v>10</v>
      </c>
      <c r="H1228" s="72" t="s">
        <v>209</v>
      </c>
      <c r="I1228" s="72" t="s">
        <v>51</v>
      </c>
      <c r="J1228" t="str">
        <f t="shared" si="42"/>
        <v>Nisqually River</v>
      </c>
      <c r="K1228" t="str">
        <f>IFERROR(VLOOKUP(J1228,LUTs!$A$1:$C$73,2,FALSE),"NA")</f>
        <v>Thurston/Pierce</v>
      </c>
      <c r="L1228" t="str">
        <f>IFERROR(VLOOKUP(J1228,LUTs!$A$1:$C$73,3,FALSE),"NA")</f>
        <v>3South Puget Sound</v>
      </c>
      <c r="M1228" s="72" t="s">
        <v>20</v>
      </c>
      <c r="N1228" t="str">
        <f>VLOOKUP(M1228,LUTs!E$2:H$14,3,)</f>
        <v>07Pierce</v>
      </c>
      <c r="O1228" t="str">
        <f>VLOOKUP(M1228,LUTs!E$2:H$14,4,)</f>
        <v>02South Puget Sound</v>
      </c>
      <c r="P1228" s="73">
        <v>1328.76404494382</v>
      </c>
      <c r="Q1228" s="74">
        <f>VLOOKUP(B1228,Readme!A$40:C$51,2,)*P1228</f>
        <v>4570.9483146067405</v>
      </c>
    </row>
    <row r="1229" spans="1:17" ht="12" customHeight="1" x14ac:dyDescent="0.35">
      <c r="A1229" s="75">
        <v>1228</v>
      </c>
      <c r="B1229" s="64">
        <v>2013</v>
      </c>
      <c r="C1229" s="64">
        <v>8</v>
      </c>
      <c r="D1229" s="80">
        <f t="shared" si="41"/>
        <v>2013</v>
      </c>
      <c r="E1229" t="s">
        <v>38</v>
      </c>
      <c r="F1229" t="s">
        <v>143</v>
      </c>
      <c r="G1229" t="s">
        <v>10</v>
      </c>
      <c r="H1229" s="72" t="s">
        <v>209</v>
      </c>
      <c r="I1229" s="72" t="s">
        <v>51</v>
      </c>
      <c r="J1229" t="str">
        <f t="shared" si="42"/>
        <v>Nisqually River</v>
      </c>
      <c r="K1229" t="str">
        <f>IFERROR(VLOOKUP(J1229,LUTs!$A$1:$C$73,2,FALSE),"NA")</f>
        <v>Thurston/Pierce</v>
      </c>
      <c r="L1229" t="str">
        <f>IFERROR(VLOOKUP(J1229,LUTs!$A$1:$C$73,3,FALSE),"NA")</f>
        <v>3South Puget Sound</v>
      </c>
      <c r="M1229" s="72" t="s">
        <v>16</v>
      </c>
      <c r="N1229" t="str">
        <f>VLOOKUP(M1229,LUTs!E$2:H$14,3,)</f>
        <v>03Snohomish</v>
      </c>
      <c r="O1229" t="str">
        <f>VLOOKUP(M1229,LUTs!E$2:H$14,4,)</f>
        <v>01North Puget Sound</v>
      </c>
      <c r="P1229" s="73">
        <v>81.910112359550595</v>
      </c>
      <c r="Q1229" s="74">
        <f>VLOOKUP(B1229,Readme!A$40:C$51,2,)*P1229</f>
        <v>281.77078651685406</v>
      </c>
    </row>
    <row r="1230" spans="1:17" ht="12" customHeight="1" x14ac:dyDescent="0.35">
      <c r="A1230" s="75">
        <v>1229</v>
      </c>
      <c r="B1230" s="64">
        <v>2013</v>
      </c>
      <c r="C1230" s="64">
        <v>8</v>
      </c>
      <c r="D1230" s="80">
        <f t="shared" si="41"/>
        <v>2013</v>
      </c>
      <c r="E1230" t="s">
        <v>38</v>
      </c>
      <c r="F1230" t="s">
        <v>143</v>
      </c>
      <c r="G1230" t="s">
        <v>10</v>
      </c>
      <c r="H1230" s="72" t="s">
        <v>209</v>
      </c>
      <c r="I1230" s="72" t="s">
        <v>51</v>
      </c>
      <c r="J1230" t="str">
        <f t="shared" si="42"/>
        <v>Nisqually River</v>
      </c>
      <c r="K1230" t="str">
        <f>IFERROR(VLOOKUP(J1230,LUTs!$A$1:$C$73,2,FALSE),"NA")</f>
        <v>Thurston/Pierce</v>
      </c>
      <c r="L1230" t="str">
        <f>IFERROR(VLOOKUP(J1230,LUTs!$A$1:$C$73,3,FALSE),"NA")</f>
        <v>3South Puget Sound</v>
      </c>
      <c r="M1230" s="72" t="s">
        <v>21</v>
      </c>
      <c r="N1230" t="str">
        <f>VLOOKUP(M1230,LUTs!E$2:H$14,3,)</f>
        <v>08Thurston</v>
      </c>
      <c r="O1230" t="str">
        <f>VLOOKUP(M1230,LUTs!E$2:H$14,4,)</f>
        <v>02South Puget Sound</v>
      </c>
      <c r="P1230" s="73">
        <v>1428.87640449438</v>
      </c>
      <c r="Q1230" s="74">
        <f>VLOOKUP(B1230,Readme!A$40:C$51,2,)*P1230</f>
        <v>4915.3348314606674</v>
      </c>
    </row>
    <row r="1231" spans="1:17" ht="12" customHeight="1" x14ac:dyDescent="0.35">
      <c r="A1231" s="75">
        <v>1230</v>
      </c>
      <c r="B1231" s="64">
        <v>2013</v>
      </c>
      <c r="C1231" s="64">
        <v>9</v>
      </c>
      <c r="D1231" s="80">
        <f t="shared" si="41"/>
        <v>2013</v>
      </c>
      <c r="E1231" t="s">
        <v>38</v>
      </c>
      <c r="F1231" t="s">
        <v>143</v>
      </c>
      <c r="G1231" t="s">
        <v>10</v>
      </c>
      <c r="H1231" s="72" t="s">
        <v>209</v>
      </c>
      <c r="I1231" s="72" t="s">
        <v>51</v>
      </c>
      <c r="J1231" t="str">
        <f t="shared" si="42"/>
        <v>Nisqually River</v>
      </c>
      <c r="K1231" t="str">
        <f>IFERROR(VLOOKUP(J1231,LUTs!$A$1:$C$73,2,FALSE),"NA")</f>
        <v>Thurston/Pierce</v>
      </c>
      <c r="L1231" t="str">
        <f>IFERROR(VLOOKUP(J1231,LUTs!$A$1:$C$73,3,FALSE),"NA")</f>
        <v>3South Puget Sound</v>
      </c>
      <c r="M1231" s="72" t="s">
        <v>18</v>
      </c>
      <c r="N1231" t="str">
        <f>VLOOKUP(M1231,LUTs!E$2:H$14,3,)</f>
        <v>06King</v>
      </c>
      <c r="O1231" t="str">
        <f>VLOOKUP(M1231,LUTs!E$2:H$14,4,)</f>
        <v>02South Puget Sound</v>
      </c>
      <c r="P1231" s="73">
        <v>1022.56</v>
      </c>
      <c r="Q1231" s="74">
        <f>VLOOKUP(B1231,Readme!A$40:C$51,2,)*P1231</f>
        <v>3517.6063999999997</v>
      </c>
    </row>
    <row r="1232" spans="1:17" ht="12" customHeight="1" x14ac:dyDescent="0.35">
      <c r="A1232" s="75">
        <v>1231</v>
      </c>
      <c r="B1232" s="64">
        <v>2013</v>
      </c>
      <c r="C1232" s="64">
        <v>9</v>
      </c>
      <c r="D1232" s="80">
        <f t="shared" si="41"/>
        <v>2013</v>
      </c>
      <c r="E1232" t="s">
        <v>38</v>
      </c>
      <c r="F1232" t="s">
        <v>143</v>
      </c>
      <c r="G1232" t="s">
        <v>10</v>
      </c>
      <c r="H1232" s="72" t="s">
        <v>209</v>
      </c>
      <c r="I1232" s="72" t="s">
        <v>51</v>
      </c>
      <c r="J1232" t="str">
        <f t="shared" si="42"/>
        <v>Nisqually River</v>
      </c>
      <c r="K1232" t="str">
        <f>IFERROR(VLOOKUP(J1232,LUTs!$A$1:$C$73,2,FALSE),"NA")</f>
        <v>Thurston/Pierce</v>
      </c>
      <c r="L1232" t="str">
        <f>IFERROR(VLOOKUP(J1232,LUTs!$A$1:$C$73,3,FALSE),"NA")</f>
        <v>3South Puget Sound</v>
      </c>
      <c r="M1232" s="72" t="s">
        <v>23</v>
      </c>
      <c r="N1232" t="str">
        <f>VLOOKUP(M1232,LUTs!E$2:H$14,3,)</f>
        <v>10Kitsap</v>
      </c>
      <c r="O1232" t="str">
        <f>VLOOKUP(M1232,LUTs!E$2:H$14,4,)</f>
        <v>02South Puget Sound</v>
      </c>
      <c r="P1232" s="73">
        <v>283.02999999999997</v>
      </c>
      <c r="Q1232" s="74">
        <f>VLOOKUP(B1232,Readme!A$40:C$51,2,)*P1232</f>
        <v>973.62319999999988</v>
      </c>
    </row>
    <row r="1233" spans="1:17" ht="12" customHeight="1" x14ac:dyDescent="0.35">
      <c r="A1233" s="75">
        <v>1232</v>
      </c>
      <c r="B1233" s="64">
        <v>2013</v>
      </c>
      <c r="C1233" s="64">
        <v>9</v>
      </c>
      <c r="D1233" s="80">
        <f t="shared" si="41"/>
        <v>2013</v>
      </c>
      <c r="E1233" t="s">
        <v>38</v>
      </c>
      <c r="F1233" t="s">
        <v>143</v>
      </c>
      <c r="G1233" t="s">
        <v>10</v>
      </c>
      <c r="H1233" s="72" t="s">
        <v>209</v>
      </c>
      <c r="I1233" s="72" t="s">
        <v>51</v>
      </c>
      <c r="J1233" t="str">
        <f t="shared" si="42"/>
        <v>Nisqually River</v>
      </c>
      <c r="K1233" t="str">
        <f>IFERROR(VLOOKUP(J1233,LUTs!$A$1:$C$73,2,FALSE),"NA")</f>
        <v>Thurston/Pierce</v>
      </c>
      <c r="L1233" t="str">
        <f>IFERROR(VLOOKUP(J1233,LUTs!$A$1:$C$73,3,FALSE),"NA")</f>
        <v>3South Puget Sound</v>
      </c>
      <c r="M1233" s="72" t="s">
        <v>22</v>
      </c>
      <c r="N1233" t="str">
        <f>VLOOKUP(M1233,LUTs!E$2:H$14,3,)</f>
        <v>09Mason</v>
      </c>
      <c r="O1233" t="str">
        <f>VLOOKUP(M1233,LUTs!E$2:H$14,4,)</f>
        <v>02South Puget Sound</v>
      </c>
      <c r="P1233" s="73">
        <v>100.43</v>
      </c>
      <c r="Q1233" s="74">
        <f>VLOOKUP(B1233,Readme!A$40:C$51,2,)*P1233</f>
        <v>345.47919999999999</v>
      </c>
    </row>
    <row r="1234" spans="1:17" ht="12" customHeight="1" x14ac:dyDescent="0.35">
      <c r="A1234" s="75">
        <v>1233</v>
      </c>
      <c r="B1234" s="64">
        <v>2013</v>
      </c>
      <c r="C1234" s="64">
        <v>9</v>
      </c>
      <c r="D1234" s="80">
        <f t="shared" si="41"/>
        <v>2013</v>
      </c>
      <c r="E1234" t="s">
        <v>38</v>
      </c>
      <c r="F1234" t="s">
        <v>143</v>
      </c>
      <c r="G1234" t="s">
        <v>10</v>
      </c>
      <c r="H1234" s="72" t="s">
        <v>209</v>
      </c>
      <c r="I1234" s="72" t="s">
        <v>51</v>
      </c>
      <c r="J1234" t="str">
        <f t="shared" si="42"/>
        <v>Nisqually River</v>
      </c>
      <c r="K1234" t="str">
        <f>IFERROR(VLOOKUP(J1234,LUTs!$A$1:$C$73,2,FALSE),"NA")</f>
        <v>Thurston/Pierce</v>
      </c>
      <c r="L1234" t="str">
        <f>IFERROR(VLOOKUP(J1234,LUTs!$A$1:$C$73,3,FALSE),"NA")</f>
        <v>3South Puget Sound</v>
      </c>
      <c r="M1234" s="72" t="s">
        <v>26</v>
      </c>
      <c r="N1234" t="str">
        <f>VLOOKUP(M1234,LUTs!E$2:H$14,3,)</f>
        <v>20Other</v>
      </c>
      <c r="O1234" t="str">
        <f>VLOOKUP(M1234,LUTs!E$2:H$14,4,)</f>
        <v>07Non Puget Sound</v>
      </c>
      <c r="P1234" s="73">
        <v>812.57</v>
      </c>
      <c r="Q1234" s="74">
        <f>VLOOKUP(B1234,Readme!A$40:C$51,2,)*P1234</f>
        <v>2795.2408</v>
      </c>
    </row>
    <row r="1235" spans="1:17" ht="12" customHeight="1" x14ac:dyDescent="0.35">
      <c r="A1235" s="75">
        <v>1234</v>
      </c>
      <c r="B1235" s="64">
        <v>2013</v>
      </c>
      <c r="C1235" s="64">
        <v>9</v>
      </c>
      <c r="D1235" s="80">
        <f t="shared" si="41"/>
        <v>2013</v>
      </c>
      <c r="E1235" t="s">
        <v>38</v>
      </c>
      <c r="F1235" t="s">
        <v>143</v>
      </c>
      <c r="G1235" t="s">
        <v>10</v>
      </c>
      <c r="H1235" s="72" t="s">
        <v>209</v>
      </c>
      <c r="I1235" s="72" t="s">
        <v>51</v>
      </c>
      <c r="J1235" t="str">
        <f t="shared" si="42"/>
        <v>Nisqually River</v>
      </c>
      <c r="K1235" t="str">
        <f>IFERROR(VLOOKUP(J1235,LUTs!$A$1:$C$73,2,FALSE),"NA")</f>
        <v>Thurston/Pierce</v>
      </c>
      <c r="L1235" t="str">
        <f>IFERROR(VLOOKUP(J1235,LUTs!$A$1:$C$73,3,FALSE),"NA")</f>
        <v>3South Puget Sound</v>
      </c>
      <c r="M1235" s="72" t="s">
        <v>20</v>
      </c>
      <c r="N1235" t="str">
        <f>VLOOKUP(M1235,LUTs!E$2:H$14,3,)</f>
        <v>07Pierce</v>
      </c>
      <c r="O1235" t="str">
        <f>VLOOKUP(M1235,LUTs!E$2:H$14,4,)</f>
        <v>02South Puget Sound</v>
      </c>
      <c r="P1235" s="73">
        <v>5450.61</v>
      </c>
      <c r="Q1235" s="74">
        <f>VLOOKUP(B1235,Readme!A$40:C$51,2,)*P1235</f>
        <v>18750.098399999999</v>
      </c>
    </row>
    <row r="1236" spans="1:17" ht="12" customHeight="1" x14ac:dyDescent="0.35">
      <c r="A1236" s="75">
        <v>1235</v>
      </c>
      <c r="B1236" s="64">
        <v>2013</v>
      </c>
      <c r="C1236" s="64">
        <v>9</v>
      </c>
      <c r="D1236" s="80">
        <f t="shared" si="41"/>
        <v>2013</v>
      </c>
      <c r="E1236" t="s">
        <v>38</v>
      </c>
      <c r="F1236" t="s">
        <v>143</v>
      </c>
      <c r="G1236" t="s">
        <v>10</v>
      </c>
      <c r="H1236" s="72" t="s">
        <v>209</v>
      </c>
      <c r="I1236" s="72" t="s">
        <v>51</v>
      </c>
      <c r="J1236" t="str">
        <f t="shared" si="42"/>
        <v>Nisqually River</v>
      </c>
      <c r="K1236" t="str">
        <f>IFERROR(VLOOKUP(J1236,LUTs!$A$1:$C$73,2,FALSE),"NA")</f>
        <v>Thurston/Pierce</v>
      </c>
      <c r="L1236" t="str">
        <f>IFERROR(VLOOKUP(J1236,LUTs!$A$1:$C$73,3,FALSE),"NA")</f>
        <v>3South Puget Sound</v>
      </c>
      <c r="M1236" s="72" t="s">
        <v>16</v>
      </c>
      <c r="N1236" t="str">
        <f>VLOOKUP(M1236,LUTs!E$2:H$14,3,)</f>
        <v>03Snohomish</v>
      </c>
      <c r="O1236" t="str">
        <f>VLOOKUP(M1236,LUTs!E$2:H$14,4,)</f>
        <v>01North Puget Sound</v>
      </c>
      <c r="P1236" s="73">
        <v>63.91</v>
      </c>
      <c r="Q1236" s="74">
        <f>VLOOKUP(B1236,Readme!A$40:C$51,2,)*P1236</f>
        <v>219.85039999999998</v>
      </c>
    </row>
    <row r="1237" spans="1:17" ht="12" customHeight="1" x14ac:dyDescent="0.35">
      <c r="A1237" s="75">
        <v>1236</v>
      </c>
      <c r="B1237" s="64">
        <v>2013</v>
      </c>
      <c r="C1237" s="64">
        <v>9</v>
      </c>
      <c r="D1237" s="80">
        <f t="shared" si="41"/>
        <v>2013</v>
      </c>
      <c r="E1237" t="s">
        <v>38</v>
      </c>
      <c r="F1237" t="s">
        <v>143</v>
      </c>
      <c r="G1237" t="s">
        <v>10</v>
      </c>
      <c r="H1237" s="72" t="s">
        <v>209</v>
      </c>
      <c r="I1237" s="72" t="s">
        <v>51</v>
      </c>
      <c r="J1237" t="str">
        <f t="shared" si="42"/>
        <v>Nisqually River</v>
      </c>
      <c r="K1237" t="str">
        <f>IFERROR(VLOOKUP(J1237,LUTs!$A$1:$C$73,2,FALSE),"NA")</f>
        <v>Thurston/Pierce</v>
      </c>
      <c r="L1237" t="str">
        <f>IFERROR(VLOOKUP(J1237,LUTs!$A$1:$C$73,3,FALSE),"NA")</f>
        <v>3South Puget Sound</v>
      </c>
      <c r="M1237" s="72" t="s">
        <v>21</v>
      </c>
      <c r="N1237" t="str">
        <f>VLOOKUP(M1237,LUTs!E$2:H$14,3,)</f>
        <v>08Thurston</v>
      </c>
      <c r="O1237" t="str">
        <f>VLOOKUP(M1237,LUTs!E$2:H$14,4,)</f>
        <v>02South Puget Sound</v>
      </c>
      <c r="P1237" s="73">
        <v>5030.63</v>
      </c>
      <c r="Q1237" s="74">
        <f>VLOOKUP(B1237,Readme!A$40:C$51,2,)*P1237</f>
        <v>17305.367200000001</v>
      </c>
    </row>
    <row r="1238" spans="1:17" ht="12" customHeight="1" x14ac:dyDescent="0.35">
      <c r="A1238" s="75">
        <v>1237</v>
      </c>
      <c r="B1238" s="64">
        <v>2013</v>
      </c>
      <c r="C1238" s="64">
        <v>9</v>
      </c>
      <c r="D1238" s="80">
        <f t="shared" si="41"/>
        <v>2013</v>
      </c>
      <c r="E1238" t="s">
        <v>38</v>
      </c>
      <c r="F1238" t="s">
        <v>143</v>
      </c>
      <c r="G1238" t="s">
        <v>10</v>
      </c>
      <c r="H1238" s="72" t="s">
        <v>209</v>
      </c>
      <c r="I1238" s="72" t="s">
        <v>51</v>
      </c>
      <c r="J1238" t="str">
        <f t="shared" si="42"/>
        <v>Nisqually River</v>
      </c>
      <c r="K1238" t="str">
        <f>IFERROR(VLOOKUP(J1238,LUTs!$A$1:$C$73,2,FALSE),"NA")</f>
        <v>Thurston/Pierce</v>
      </c>
      <c r="L1238" t="str">
        <f>IFERROR(VLOOKUP(J1238,LUTs!$A$1:$C$73,3,FALSE),"NA")</f>
        <v>3South Puget Sound</v>
      </c>
      <c r="M1238" s="72" t="s">
        <v>13</v>
      </c>
      <c r="N1238" t="str">
        <f>VLOOKUP(M1238,LUTs!E$2:H$14,3,)</f>
        <v>01Whatcom</v>
      </c>
      <c r="O1238" t="str">
        <f>VLOOKUP(M1238,LUTs!E$2:H$14,4,)</f>
        <v>01North Puget Sound</v>
      </c>
      <c r="P1238" s="73">
        <v>18.260000000000002</v>
      </c>
      <c r="Q1238" s="74">
        <f>VLOOKUP(B1238,Readme!A$40:C$51,2,)*P1238</f>
        <v>62.814400000000006</v>
      </c>
    </row>
    <row r="1239" spans="1:17" ht="12" customHeight="1" x14ac:dyDescent="0.35">
      <c r="A1239" s="75">
        <v>1238</v>
      </c>
      <c r="B1239" s="64">
        <v>2013</v>
      </c>
      <c r="C1239" s="64">
        <v>10</v>
      </c>
      <c r="D1239" s="80">
        <f t="shared" si="41"/>
        <v>2013</v>
      </c>
      <c r="E1239" t="s">
        <v>38</v>
      </c>
      <c r="F1239" t="s">
        <v>143</v>
      </c>
      <c r="G1239" t="s">
        <v>10</v>
      </c>
      <c r="H1239" s="72" t="s">
        <v>209</v>
      </c>
      <c r="I1239" s="72" t="s">
        <v>51</v>
      </c>
      <c r="J1239" t="str">
        <f t="shared" si="42"/>
        <v>Nisqually River</v>
      </c>
      <c r="K1239" t="str">
        <f>IFERROR(VLOOKUP(J1239,LUTs!$A$1:$C$73,2,FALSE),"NA")</f>
        <v>Thurston/Pierce</v>
      </c>
      <c r="L1239" t="str">
        <f>IFERROR(VLOOKUP(J1239,LUTs!$A$1:$C$73,3,FALSE),"NA")</f>
        <v>3South Puget Sound</v>
      </c>
      <c r="M1239" s="72" t="s">
        <v>18</v>
      </c>
      <c r="N1239" t="str">
        <f>VLOOKUP(M1239,LUTs!E$2:H$14,3,)</f>
        <v>06King</v>
      </c>
      <c r="O1239" t="str">
        <f>VLOOKUP(M1239,LUTs!E$2:H$14,4,)</f>
        <v>02South Puget Sound</v>
      </c>
      <c r="P1239" s="73">
        <v>54.943396226415103</v>
      </c>
      <c r="Q1239" s="74">
        <f>VLOOKUP(B1239,Readme!A$40:C$51,2,)*P1239</f>
        <v>189.00528301886794</v>
      </c>
    </row>
    <row r="1240" spans="1:17" ht="12" customHeight="1" x14ac:dyDescent="0.35">
      <c r="A1240" s="75">
        <v>1239</v>
      </c>
      <c r="B1240" s="64">
        <v>2013</v>
      </c>
      <c r="C1240" s="64">
        <v>10</v>
      </c>
      <c r="D1240" s="80">
        <f t="shared" si="41"/>
        <v>2013</v>
      </c>
      <c r="E1240" t="s">
        <v>38</v>
      </c>
      <c r="F1240" t="s">
        <v>143</v>
      </c>
      <c r="G1240" t="s">
        <v>10</v>
      </c>
      <c r="H1240" s="72" t="s">
        <v>209</v>
      </c>
      <c r="I1240" s="72" t="s">
        <v>51</v>
      </c>
      <c r="J1240" t="str">
        <f t="shared" si="42"/>
        <v>Nisqually River</v>
      </c>
      <c r="K1240" t="str">
        <f>IFERROR(VLOOKUP(J1240,LUTs!$A$1:$C$73,2,FALSE),"NA")</f>
        <v>Thurston/Pierce</v>
      </c>
      <c r="L1240" t="str">
        <f>IFERROR(VLOOKUP(J1240,LUTs!$A$1:$C$73,3,FALSE),"NA")</f>
        <v>3South Puget Sound</v>
      </c>
      <c r="M1240" s="72" t="s">
        <v>26</v>
      </c>
      <c r="N1240" t="str">
        <f>VLOOKUP(M1240,LUTs!E$2:H$14,3,)</f>
        <v>20Other</v>
      </c>
      <c r="O1240" t="str">
        <f>VLOOKUP(M1240,LUTs!E$2:H$14,4,)</f>
        <v>07Non Puget Sound</v>
      </c>
      <c r="P1240" s="73">
        <v>100.729559748428</v>
      </c>
      <c r="Q1240" s="74">
        <f>VLOOKUP(B1240,Readme!A$40:C$51,2,)*P1240</f>
        <v>346.50968553459234</v>
      </c>
    </row>
    <row r="1241" spans="1:17" ht="12" customHeight="1" x14ac:dyDescent="0.35">
      <c r="A1241" s="75">
        <v>1240</v>
      </c>
      <c r="B1241" s="64">
        <v>2013</v>
      </c>
      <c r="C1241" s="64">
        <v>10</v>
      </c>
      <c r="D1241" s="80">
        <f t="shared" si="41"/>
        <v>2013</v>
      </c>
      <c r="E1241" t="s">
        <v>38</v>
      </c>
      <c r="F1241" t="s">
        <v>143</v>
      </c>
      <c r="G1241" t="s">
        <v>10</v>
      </c>
      <c r="H1241" s="72" t="s">
        <v>209</v>
      </c>
      <c r="I1241" s="72" t="s">
        <v>51</v>
      </c>
      <c r="J1241" t="str">
        <f t="shared" si="42"/>
        <v>Nisqually River</v>
      </c>
      <c r="K1241" t="str">
        <f>IFERROR(VLOOKUP(J1241,LUTs!$A$1:$C$73,2,FALSE),"NA")</f>
        <v>Thurston/Pierce</v>
      </c>
      <c r="L1241" t="str">
        <f>IFERROR(VLOOKUP(J1241,LUTs!$A$1:$C$73,3,FALSE),"NA")</f>
        <v>3South Puget Sound</v>
      </c>
      <c r="M1241" s="72" t="s">
        <v>20</v>
      </c>
      <c r="N1241" t="str">
        <f>VLOOKUP(M1241,LUTs!E$2:H$14,3,)</f>
        <v>07Pierce</v>
      </c>
      <c r="O1241" t="str">
        <f>VLOOKUP(M1241,LUTs!E$2:H$14,4,)</f>
        <v>02South Puget Sound</v>
      </c>
      <c r="P1241" s="73">
        <v>439.547169811321</v>
      </c>
      <c r="Q1241" s="74">
        <f>VLOOKUP(B1241,Readme!A$40:C$51,2,)*P1241</f>
        <v>1512.0422641509442</v>
      </c>
    </row>
    <row r="1242" spans="1:17" ht="12" customHeight="1" x14ac:dyDescent="0.35">
      <c r="A1242" s="75">
        <v>1241</v>
      </c>
      <c r="B1242" s="64">
        <v>2013</v>
      </c>
      <c r="C1242" s="64">
        <v>10</v>
      </c>
      <c r="D1242" s="80">
        <f t="shared" si="41"/>
        <v>2013</v>
      </c>
      <c r="E1242" t="s">
        <v>38</v>
      </c>
      <c r="F1242" t="s">
        <v>143</v>
      </c>
      <c r="G1242" t="s">
        <v>10</v>
      </c>
      <c r="H1242" s="72" t="s">
        <v>209</v>
      </c>
      <c r="I1242" s="72" t="s">
        <v>51</v>
      </c>
      <c r="J1242" t="str">
        <f t="shared" si="42"/>
        <v>Nisqually River</v>
      </c>
      <c r="K1242" t="str">
        <f>IFERROR(VLOOKUP(J1242,LUTs!$A$1:$C$73,2,FALSE),"NA")</f>
        <v>Thurston/Pierce</v>
      </c>
      <c r="L1242" t="str">
        <f>IFERROR(VLOOKUP(J1242,LUTs!$A$1:$C$73,3,FALSE),"NA")</f>
        <v>3South Puget Sound</v>
      </c>
      <c r="M1242" s="72" t="s">
        <v>16</v>
      </c>
      <c r="N1242" t="str">
        <f>VLOOKUP(M1242,LUTs!E$2:H$14,3,)</f>
        <v>03Snohomish</v>
      </c>
      <c r="O1242" t="str">
        <f>VLOOKUP(M1242,LUTs!E$2:H$14,4,)</f>
        <v>01North Puget Sound</v>
      </c>
      <c r="P1242" s="73">
        <v>18.314465408804999</v>
      </c>
      <c r="Q1242" s="74">
        <f>VLOOKUP(B1242,Readme!A$40:C$51,2,)*P1242</f>
        <v>63.001761006289193</v>
      </c>
    </row>
    <row r="1243" spans="1:17" ht="12" customHeight="1" x14ac:dyDescent="0.35">
      <c r="A1243" s="75">
        <v>1242</v>
      </c>
      <c r="B1243" s="64">
        <v>2013</v>
      </c>
      <c r="C1243" s="64">
        <v>10</v>
      </c>
      <c r="D1243" s="80">
        <f t="shared" si="41"/>
        <v>2013</v>
      </c>
      <c r="E1243" t="s">
        <v>38</v>
      </c>
      <c r="F1243" t="s">
        <v>143</v>
      </c>
      <c r="G1243" t="s">
        <v>10</v>
      </c>
      <c r="H1243" s="72" t="s">
        <v>209</v>
      </c>
      <c r="I1243" s="72" t="s">
        <v>51</v>
      </c>
      <c r="J1243" t="str">
        <f t="shared" si="42"/>
        <v>Nisqually River</v>
      </c>
      <c r="K1243" t="str">
        <f>IFERROR(VLOOKUP(J1243,LUTs!$A$1:$C$73,2,FALSE),"NA")</f>
        <v>Thurston/Pierce</v>
      </c>
      <c r="L1243" t="str">
        <f>IFERROR(VLOOKUP(J1243,LUTs!$A$1:$C$73,3,FALSE),"NA")</f>
        <v>3South Puget Sound</v>
      </c>
      <c r="M1243" s="72" t="s">
        <v>21</v>
      </c>
      <c r="N1243" t="str">
        <f>VLOOKUP(M1243,LUTs!E$2:H$14,3,)</f>
        <v>08Thurston</v>
      </c>
      <c r="O1243" t="str">
        <f>VLOOKUP(M1243,LUTs!E$2:H$14,4,)</f>
        <v>02South Puget Sound</v>
      </c>
      <c r="P1243" s="73">
        <v>842.46540880503198</v>
      </c>
      <c r="Q1243" s="74">
        <f>VLOOKUP(B1243,Readme!A$40:C$51,2,)*P1243</f>
        <v>2898.0810062893102</v>
      </c>
    </row>
    <row r="1244" spans="1:17" ht="12" customHeight="1" x14ac:dyDescent="0.35">
      <c r="A1244" s="75">
        <v>1243</v>
      </c>
      <c r="B1244" s="64">
        <v>2013</v>
      </c>
      <c r="C1244" s="64">
        <v>11</v>
      </c>
      <c r="D1244" s="80">
        <f t="shared" si="41"/>
        <v>2013</v>
      </c>
      <c r="E1244" t="s">
        <v>38</v>
      </c>
      <c r="F1244" t="s">
        <v>143</v>
      </c>
      <c r="G1244" t="s">
        <v>10</v>
      </c>
      <c r="H1244" s="72" t="s">
        <v>209</v>
      </c>
      <c r="I1244" s="72" t="s">
        <v>51</v>
      </c>
      <c r="J1244" t="str">
        <f t="shared" si="42"/>
        <v>Nisqually River</v>
      </c>
      <c r="K1244" t="str">
        <f>IFERROR(VLOOKUP(J1244,LUTs!$A$1:$C$73,2,FALSE),"NA")</f>
        <v>Thurston/Pierce</v>
      </c>
      <c r="L1244" t="str">
        <f>IFERROR(VLOOKUP(J1244,LUTs!$A$1:$C$73,3,FALSE),"NA")</f>
        <v>3South Puget Sound</v>
      </c>
      <c r="M1244" s="72" t="s">
        <v>18</v>
      </c>
      <c r="N1244" t="str">
        <f>VLOOKUP(M1244,LUTs!E$2:H$14,3,)</f>
        <v>06King</v>
      </c>
      <c r="O1244" t="str">
        <f>VLOOKUP(M1244,LUTs!E$2:H$14,4,)</f>
        <v>02South Puget Sound</v>
      </c>
      <c r="P1244" s="73">
        <v>9.3333333333333304</v>
      </c>
      <c r="Q1244" s="74">
        <f>VLOOKUP(B1244,Readme!A$40:C$51,2,)*P1244</f>
        <v>32.106666666666655</v>
      </c>
    </row>
    <row r="1245" spans="1:17" ht="12" customHeight="1" x14ac:dyDescent="0.35">
      <c r="A1245" s="75">
        <v>1244</v>
      </c>
      <c r="B1245" s="64">
        <v>2013</v>
      </c>
      <c r="C1245" s="64">
        <v>11</v>
      </c>
      <c r="D1245" s="80">
        <f t="shared" si="41"/>
        <v>2013</v>
      </c>
      <c r="E1245" t="s">
        <v>38</v>
      </c>
      <c r="F1245" t="s">
        <v>143</v>
      </c>
      <c r="G1245" t="s">
        <v>10</v>
      </c>
      <c r="H1245" s="72" t="s">
        <v>209</v>
      </c>
      <c r="I1245" s="72" t="s">
        <v>51</v>
      </c>
      <c r="J1245" t="str">
        <f t="shared" si="42"/>
        <v>Nisqually River</v>
      </c>
      <c r="K1245" t="str">
        <f>IFERROR(VLOOKUP(J1245,LUTs!$A$1:$C$73,2,FALSE),"NA")</f>
        <v>Thurston/Pierce</v>
      </c>
      <c r="L1245" t="str">
        <f>IFERROR(VLOOKUP(J1245,LUTs!$A$1:$C$73,3,FALSE),"NA")</f>
        <v>3South Puget Sound</v>
      </c>
      <c r="M1245" s="72" t="s">
        <v>26</v>
      </c>
      <c r="N1245" t="str">
        <f>VLOOKUP(M1245,LUTs!E$2:H$14,3,)</f>
        <v>20Other</v>
      </c>
      <c r="O1245" t="str">
        <f>VLOOKUP(M1245,LUTs!E$2:H$14,4,)</f>
        <v>07Non Puget Sound</v>
      </c>
      <c r="P1245" s="73">
        <v>28</v>
      </c>
      <c r="Q1245" s="74">
        <f>VLOOKUP(B1245,Readme!A$40:C$51,2,)*P1245</f>
        <v>96.32</v>
      </c>
    </row>
    <row r="1246" spans="1:17" ht="12" customHeight="1" x14ac:dyDescent="0.35">
      <c r="A1246" s="75">
        <v>1245</v>
      </c>
      <c r="B1246" s="64">
        <v>2013</v>
      </c>
      <c r="C1246" s="64">
        <v>11</v>
      </c>
      <c r="D1246" s="80">
        <f t="shared" si="41"/>
        <v>2013</v>
      </c>
      <c r="E1246" t="s">
        <v>38</v>
      </c>
      <c r="F1246" t="s">
        <v>143</v>
      </c>
      <c r="G1246" t="s">
        <v>10</v>
      </c>
      <c r="H1246" s="72" t="s">
        <v>209</v>
      </c>
      <c r="I1246" s="72" t="s">
        <v>51</v>
      </c>
      <c r="J1246" t="str">
        <f t="shared" si="42"/>
        <v>Nisqually River</v>
      </c>
      <c r="K1246" t="str">
        <f>IFERROR(VLOOKUP(J1246,LUTs!$A$1:$C$73,2,FALSE),"NA")</f>
        <v>Thurston/Pierce</v>
      </c>
      <c r="L1246" t="str">
        <f>IFERROR(VLOOKUP(J1246,LUTs!$A$1:$C$73,3,FALSE),"NA")</f>
        <v>3South Puget Sound</v>
      </c>
      <c r="M1246" s="72" t="s">
        <v>20</v>
      </c>
      <c r="N1246" t="str">
        <f>VLOOKUP(M1246,LUTs!E$2:H$14,3,)</f>
        <v>07Pierce</v>
      </c>
      <c r="O1246" t="str">
        <f>VLOOKUP(M1246,LUTs!E$2:H$14,4,)</f>
        <v>02South Puget Sound</v>
      </c>
      <c r="P1246" s="73">
        <v>46.6666666666667</v>
      </c>
      <c r="Q1246" s="74">
        <f>VLOOKUP(B1246,Readme!A$40:C$51,2,)*P1246</f>
        <v>160.53333333333345</v>
      </c>
    </row>
    <row r="1247" spans="1:17" ht="12" customHeight="1" x14ac:dyDescent="0.35">
      <c r="A1247" s="75">
        <v>1246</v>
      </c>
      <c r="B1247" s="64">
        <v>2013</v>
      </c>
      <c r="C1247" s="64">
        <v>11</v>
      </c>
      <c r="D1247" s="80">
        <f t="shared" si="41"/>
        <v>2013</v>
      </c>
      <c r="E1247" t="s">
        <v>38</v>
      </c>
      <c r="F1247" t="s">
        <v>143</v>
      </c>
      <c r="G1247" t="s">
        <v>10</v>
      </c>
      <c r="H1247" s="72" t="s">
        <v>209</v>
      </c>
      <c r="I1247" s="72" t="s">
        <v>51</v>
      </c>
      <c r="J1247" t="str">
        <f t="shared" si="42"/>
        <v>Nisqually River</v>
      </c>
      <c r="K1247" t="str">
        <f>IFERROR(VLOOKUP(J1247,LUTs!$A$1:$C$73,2,FALSE),"NA")</f>
        <v>Thurston/Pierce</v>
      </c>
      <c r="L1247" t="str">
        <f>IFERROR(VLOOKUP(J1247,LUTs!$A$1:$C$73,3,FALSE),"NA")</f>
        <v>3South Puget Sound</v>
      </c>
      <c r="M1247" s="72" t="s">
        <v>21</v>
      </c>
      <c r="N1247" t="str">
        <f>VLOOKUP(M1247,LUTs!E$2:H$14,3,)</f>
        <v>08Thurston</v>
      </c>
      <c r="O1247" t="str">
        <f>VLOOKUP(M1247,LUTs!E$2:H$14,4,)</f>
        <v>02South Puget Sound</v>
      </c>
      <c r="P1247" s="73">
        <v>112</v>
      </c>
      <c r="Q1247" s="74">
        <f>VLOOKUP(B1247,Readme!A$40:C$51,2,)*P1247</f>
        <v>385.28</v>
      </c>
    </row>
    <row r="1248" spans="1:17" ht="12" customHeight="1" x14ac:dyDescent="0.35">
      <c r="A1248" s="75">
        <v>1247</v>
      </c>
      <c r="B1248" s="64">
        <v>2013</v>
      </c>
      <c r="C1248" s="64">
        <v>12</v>
      </c>
      <c r="D1248" s="80">
        <f t="shared" si="41"/>
        <v>2013</v>
      </c>
      <c r="E1248" t="s">
        <v>38</v>
      </c>
      <c r="F1248" t="s">
        <v>143</v>
      </c>
      <c r="G1248" t="s">
        <v>10</v>
      </c>
      <c r="H1248" s="72" t="s">
        <v>209</v>
      </c>
      <c r="I1248" s="72" t="s">
        <v>51</v>
      </c>
      <c r="J1248" t="str">
        <f t="shared" si="42"/>
        <v>Nisqually River</v>
      </c>
      <c r="K1248" t="str">
        <f>IFERROR(VLOOKUP(J1248,LUTs!$A$1:$C$73,2,FALSE),"NA")</f>
        <v>Thurston/Pierce</v>
      </c>
      <c r="L1248" t="str">
        <f>IFERROR(VLOOKUP(J1248,LUTs!$A$1:$C$73,3,FALSE),"NA")</f>
        <v>3South Puget Sound</v>
      </c>
      <c r="M1248" s="72" t="s">
        <v>18</v>
      </c>
      <c r="N1248" t="str">
        <f>VLOOKUP(M1248,LUTs!E$2:H$14,3,)</f>
        <v>06King</v>
      </c>
      <c r="O1248" t="str">
        <f>VLOOKUP(M1248,LUTs!E$2:H$14,4,)</f>
        <v>02South Puget Sound</v>
      </c>
      <c r="P1248" s="73">
        <v>74.621848739495803</v>
      </c>
      <c r="Q1248" s="74">
        <f>VLOOKUP(B1248,Readme!A$40:C$51,2,)*P1248</f>
        <v>256.69915966386554</v>
      </c>
    </row>
    <row r="1249" spans="1:17" ht="12" customHeight="1" x14ac:dyDescent="0.35">
      <c r="A1249" s="75">
        <v>1248</v>
      </c>
      <c r="B1249" s="64">
        <v>2013</v>
      </c>
      <c r="C1249" s="64">
        <v>12</v>
      </c>
      <c r="D1249" s="80">
        <f t="shared" si="41"/>
        <v>2013</v>
      </c>
      <c r="E1249" t="s">
        <v>38</v>
      </c>
      <c r="F1249" t="s">
        <v>143</v>
      </c>
      <c r="G1249" t="s">
        <v>10</v>
      </c>
      <c r="H1249" s="72" t="s">
        <v>209</v>
      </c>
      <c r="I1249" s="72" t="s">
        <v>51</v>
      </c>
      <c r="J1249" t="str">
        <f t="shared" si="42"/>
        <v>Nisqually River</v>
      </c>
      <c r="K1249" t="str">
        <f>IFERROR(VLOOKUP(J1249,LUTs!$A$1:$C$73,2,FALSE),"NA")</f>
        <v>Thurston/Pierce</v>
      </c>
      <c r="L1249" t="str">
        <f>IFERROR(VLOOKUP(J1249,LUTs!$A$1:$C$73,3,FALSE),"NA")</f>
        <v>3South Puget Sound</v>
      </c>
      <c r="M1249" s="72" t="s">
        <v>26</v>
      </c>
      <c r="N1249" t="str">
        <f>VLOOKUP(M1249,LUTs!E$2:H$14,3,)</f>
        <v>20Other</v>
      </c>
      <c r="O1249" t="str">
        <f>VLOOKUP(M1249,LUTs!E$2:H$14,4,)</f>
        <v>07Non Puget Sound</v>
      </c>
      <c r="P1249" s="73">
        <v>130.58823529411799</v>
      </c>
      <c r="Q1249" s="74">
        <f>VLOOKUP(B1249,Readme!A$40:C$51,2,)*P1249</f>
        <v>449.22352941176587</v>
      </c>
    </row>
    <row r="1250" spans="1:17" ht="12" customHeight="1" x14ac:dyDescent="0.35">
      <c r="A1250" s="75">
        <v>1249</v>
      </c>
      <c r="B1250" s="64">
        <v>2013</v>
      </c>
      <c r="C1250" s="64">
        <v>12</v>
      </c>
      <c r="D1250" s="80">
        <f t="shared" si="41"/>
        <v>2013</v>
      </c>
      <c r="E1250" t="s">
        <v>38</v>
      </c>
      <c r="F1250" t="s">
        <v>143</v>
      </c>
      <c r="G1250" t="s">
        <v>10</v>
      </c>
      <c r="H1250" s="72" t="s">
        <v>209</v>
      </c>
      <c r="I1250" s="72" t="s">
        <v>51</v>
      </c>
      <c r="J1250" t="str">
        <f t="shared" si="42"/>
        <v>Nisqually River</v>
      </c>
      <c r="K1250" t="str">
        <f>IFERROR(VLOOKUP(J1250,LUTs!$A$1:$C$73,2,FALSE),"NA")</f>
        <v>Thurston/Pierce</v>
      </c>
      <c r="L1250" t="str">
        <f>IFERROR(VLOOKUP(J1250,LUTs!$A$1:$C$73,3,FALSE),"NA")</f>
        <v>3South Puget Sound</v>
      </c>
      <c r="M1250" s="72" t="s">
        <v>20</v>
      </c>
      <c r="N1250" t="str">
        <f>VLOOKUP(M1250,LUTs!E$2:H$14,3,)</f>
        <v>07Pierce</v>
      </c>
      <c r="O1250" t="str">
        <f>VLOOKUP(M1250,LUTs!E$2:H$14,4,)</f>
        <v>02South Puget Sound</v>
      </c>
      <c r="P1250" s="73">
        <v>195.882352941177</v>
      </c>
      <c r="Q1250" s="74">
        <f>VLOOKUP(B1250,Readme!A$40:C$51,2,)*P1250</f>
        <v>673.83529411764891</v>
      </c>
    </row>
    <row r="1251" spans="1:17" ht="12" customHeight="1" x14ac:dyDescent="0.35">
      <c r="A1251" s="75">
        <v>1250</v>
      </c>
      <c r="B1251" s="64">
        <v>2013</v>
      </c>
      <c r="C1251" s="64">
        <v>12</v>
      </c>
      <c r="D1251" s="80">
        <f t="shared" si="41"/>
        <v>2013</v>
      </c>
      <c r="E1251" t="s">
        <v>38</v>
      </c>
      <c r="F1251" t="s">
        <v>143</v>
      </c>
      <c r="G1251" t="s">
        <v>10</v>
      </c>
      <c r="H1251" s="72" t="s">
        <v>209</v>
      </c>
      <c r="I1251" s="72" t="s">
        <v>51</v>
      </c>
      <c r="J1251" t="str">
        <f t="shared" si="42"/>
        <v>Nisqually River</v>
      </c>
      <c r="K1251" t="str">
        <f>IFERROR(VLOOKUP(J1251,LUTs!$A$1:$C$73,2,FALSE),"NA")</f>
        <v>Thurston/Pierce</v>
      </c>
      <c r="L1251" t="str">
        <f>IFERROR(VLOOKUP(J1251,LUTs!$A$1:$C$73,3,FALSE),"NA")</f>
        <v>3South Puget Sound</v>
      </c>
      <c r="M1251" s="72" t="s">
        <v>15</v>
      </c>
      <c r="N1251" t="str">
        <f>VLOOKUP(M1251,LUTs!E$2:H$14,3,)</f>
        <v>02Skagit</v>
      </c>
      <c r="O1251" t="str">
        <f>VLOOKUP(M1251,LUTs!E$2:H$14,4,)</f>
        <v>01North Puget Sound</v>
      </c>
      <c r="P1251" s="73">
        <v>9.3277310924369807</v>
      </c>
      <c r="Q1251" s="74">
        <f>VLOOKUP(B1251,Readme!A$40:C$51,2,)*P1251</f>
        <v>32.087394957983214</v>
      </c>
    </row>
    <row r="1252" spans="1:17" ht="12" customHeight="1" x14ac:dyDescent="0.35">
      <c r="A1252" s="75">
        <v>1251</v>
      </c>
      <c r="B1252" s="64">
        <v>2013</v>
      </c>
      <c r="C1252" s="64">
        <v>12</v>
      </c>
      <c r="D1252" s="80">
        <f t="shared" si="41"/>
        <v>2013</v>
      </c>
      <c r="E1252" t="s">
        <v>38</v>
      </c>
      <c r="F1252" t="s">
        <v>143</v>
      </c>
      <c r="G1252" t="s">
        <v>10</v>
      </c>
      <c r="H1252" s="72" t="s">
        <v>209</v>
      </c>
      <c r="I1252" s="72" t="s">
        <v>51</v>
      </c>
      <c r="J1252" t="str">
        <f t="shared" si="42"/>
        <v>Nisqually River</v>
      </c>
      <c r="K1252" t="str">
        <f>IFERROR(VLOOKUP(J1252,LUTs!$A$1:$C$73,2,FALSE),"NA")</f>
        <v>Thurston/Pierce</v>
      </c>
      <c r="L1252" t="str">
        <f>IFERROR(VLOOKUP(J1252,LUTs!$A$1:$C$73,3,FALSE),"NA")</f>
        <v>3South Puget Sound</v>
      </c>
      <c r="M1252" s="72" t="s">
        <v>21</v>
      </c>
      <c r="N1252" t="str">
        <f>VLOOKUP(M1252,LUTs!E$2:H$14,3,)</f>
        <v>08Thurston</v>
      </c>
      <c r="O1252" t="str">
        <f>VLOOKUP(M1252,LUTs!E$2:H$14,4,)</f>
        <v>02South Puget Sound</v>
      </c>
      <c r="P1252" s="73">
        <v>699.579831932773</v>
      </c>
      <c r="Q1252" s="74">
        <f>VLOOKUP(B1252,Readme!A$40:C$51,2,)*P1252</f>
        <v>2406.5546218487393</v>
      </c>
    </row>
    <row r="1253" spans="1:17" ht="12" customHeight="1" x14ac:dyDescent="0.35">
      <c r="A1253" s="75">
        <v>1252</v>
      </c>
      <c r="B1253" s="64">
        <v>2014</v>
      </c>
      <c r="C1253" s="64">
        <v>1</v>
      </c>
      <c r="D1253" s="80">
        <f t="shared" si="41"/>
        <v>2013</v>
      </c>
      <c r="E1253" t="s">
        <v>38</v>
      </c>
      <c r="F1253" t="s">
        <v>143</v>
      </c>
      <c r="G1253" t="s">
        <v>10</v>
      </c>
      <c r="H1253" s="72" t="s">
        <v>209</v>
      </c>
      <c r="I1253" s="72" t="s">
        <v>51</v>
      </c>
      <c r="J1253" t="str">
        <f t="shared" si="42"/>
        <v>Nisqually River</v>
      </c>
      <c r="K1253" t="str">
        <f>IFERROR(VLOOKUP(J1253,LUTs!$A$1:$C$73,2,FALSE),"NA")</f>
        <v>Thurston/Pierce</v>
      </c>
      <c r="L1253" t="str">
        <f>IFERROR(VLOOKUP(J1253,LUTs!$A$1:$C$73,3,FALSE),"NA")</f>
        <v>3South Puget Sound</v>
      </c>
      <c r="M1253" s="72" t="s">
        <v>22</v>
      </c>
      <c r="N1253" t="str">
        <f>VLOOKUP(M1253,LUTs!E$2:H$14,3,)</f>
        <v>09Mason</v>
      </c>
      <c r="O1253" t="str">
        <f>VLOOKUP(M1253,LUTs!E$2:H$14,4,)</f>
        <v>02South Puget Sound</v>
      </c>
      <c r="P1253" s="73">
        <v>9.28571428571429</v>
      </c>
      <c r="Q1253" s="74">
        <f>VLOOKUP(B1253,Readme!A$40:C$51,2,)*P1253</f>
        <v>80.321428571428612</v>
      </c>
    </row>
    <row r="1254" spans="1:17" ht="12" customHeight="1" x14ac:dyDescent="0.35">
      <c r="A1254" s="75">
        <v>1253</v>
      </c>
      <c r="B1254" s="64">
        <v>2014</v>
      </c>
      <c r="C1254" s="64">
        <v>1</v>
      </c>
      <c r="D1254" s="80">
        <f t="shared" si="41"/>
        <v>2013</v>
      </c>
      <c r="E1254" t="s">
        <v>38</v>
      </c>
      <c r="F1254" t="s">
        <v>143</v>
      </c>
      <c r="G1254" t="s">
        <v>10</v>
      </c>
      <c r="H1254" s="72" t="s">
        <v>209</v>
      </c>
      <c r="I1254" s="72" t="s">
        <v>51</v>
      </c>
      <c r="J1254" t="str">
        <f t="shared" si="42"/>
        <v>Nisqually River</v>
      </c>
      <c r="K1254" t="str">
        <f>IFERROR(VLOOKUP(J1254,LUTs!$A$1:$C$73,2,FALSE),"NA")</f>
        <v>Thurston/Pierce</v>
      </c>
      <c r="L1254" t="str">
        <f>IFERROR(VLOOKUP(J1254,LUTs!$A$1:$C$73,3,FALSE),"NA")</f>
        <v>3South Puget Sound</v>
      </c>
      <c r="M1254" s="72" t="s">
        <v>20</v>
      </c>
      <c r="N1254" t="str">
        <f>VLOOKUP(M1254,LUTs!E$2:H$14,3,)</f>
        <v>07Pierce</v>
      </c>
      <c r="O1254" t="str">
        <f>VLOOKUP(M1254,LUTs!E$2:H$14,4,)</f>
        <v>02South Puget Sound</v>
      </c>
      <c r="P1254" s="73">
        <v>37.142857142857103</v>
      </c>
      <c r="Q1254" s="74">
        <f>VLOOKUP(B1254,Readme!A$40:C$51,2,)*P1254</f>
        <v>321.28571428571394</v>
      </c>
    </row>
    <row r="1255" spans="1:17" ht="12" customHeight="1" x14ac:dyDescent="0.35">
      <c r="A1255" s="75">
        <v>1254</v>
      </c>
      <c r="B1255" s="64">
        <v>2014</v>
      </c>
      <c r="C1255" s="64">
        <v>1</v>
      </c>
      <c r="D1255" s="80">
        <f t="shared" si="41"/>
        <v>2013</v>
      </c>
      <c r="E1255" t="s">
        <v>38</v>
      </c>
      <c r="F1255" t="s">
        <v>143</v>
      </c>
      <c r="G1255" t="s">
        <v>10</v>
      </c>
      <c r="H1255" s="72" t="s">
        <v>209</v>
      </c>
      <c r="I1255" s="72" t="s">
        <v>51</v>
      </c>
      <c r="J1255" t="str">
        <f t="shared" si="42"/>
        <v>Nisqually River</v>
      </c>
      <c r="K1255" t="str">
        <f>IFERROR(VLOOKUP(J1255,LUTs!$A$1:$C$73,2,FALSE),"NA")</f>
        <v>Thurston/Pierce</v>
      </c>
      <c r="L1255" t="str">
        <f>IFERROR(VLOOKUP(J1255,LUTs!$A$1:$C$73,3,FALSE),"NA")</f>
        <v>3South Puget Sound</v>
      </c>
      <c r="M1255" s="72" t="s">
        <v>21</v>
      </c>
      <c r="N1255" t="str">
        <f>VLOOKUP(M1255,LUTs!E$2:H$14,3,)</f>
        <v>08Thurston</v>
      </c>
      <c r="O1255" t="str">
        <f>VLOOKUP(M1255,LUTs!E$2:H$14,4,)</f>
        <v>02South Puget Sound</v>
      </c>
      <c r="P1255" s="73">
        <v>18.571428571428601</v>
      </c>
      <c r="Q1255" s="74">
        <f>VLOOKUP(B1255,Readme!A$40:C$51,2,)*P1255</f>
        <v>160.64285714285739</v>
      </c>
    </row>
    <row r="1256" spans="1:17" ht="12" customHeight="1" x14ac:dyDescent="0.35">
      <c r="A1256" s="75">
        <v>1255</v>
      </c>
      <c r="B1256" s="64">
        <v>2013</v>
      </c>
      <c r="C1256" s="64">
        <v>7</v>
      </c>
      <c r="D1256" s="80">
        <f t="shared" si="41"/>
        <v>2013</v>
      </c>
      <c r="E1256" t="s">
        <v>38</v>
      </c>
      <c r="F1256" t="s">
        <v>143</v>
      </c>
      <c r="G1256" t="s">
        <v>10</v>
      </c>
      <c r="H1256" s="72" t="s">
        <v>210</v>
      </c>
      <c r="I1256" s="72" t="s">
        <v>52</v>
      </c>
      <c r="J1256" t="str">
        <f t="shared" si="42"/>
        <v>Nooksack River</v>
      </c>
      <c r="K1256" t="str">
        <f>IFERROR(VLOOKUP(J1256,LUTs!$A$1:$C$73,2,FALSE),"NA")</f>
        <v>Whatcom</v>
      </c>
      <c r="L1256" t="str">
        <f>IFERROR(VLOOKUP(J1256,LUTs!$A$1:$C$73,3,FALSE),"NA")</f>
        <v>1North Puget Sound</v>
      </c>
      <c r="M1256" s="72" t="s">
        <v>13</v>
      </c>
      <c r="N1256" t="str">
        <f>VLOOKUP(M1256,LUTs!E$2:H$14,3,)</f>
        <v>01Whatcom</v>
      </c>
      <c r="O1256" t="str">
        <f>VLOOKUP(M1256,LUTs!E$2:H$14,4,)</f>
        <v>01North Puget Sound</v>
      </c>
      <c r="P1256" s="73">
        <v>370</v>
      </c>
      <c r="Q1256" s="74">
        <f>VLOOKUP(B1256,Readme!A$40:C$51,2,)*P1256</f>
        <v>1272.8</v>
      </c>
    </row>
    <row r="1257" spans="1:17" ht="12" customHeight="1" x14ac:dyDescent="0.35">
      <c r="A1257" s="75">
        <v>1256</v>
      </c>
      <c r="B1257" s="64">
        <v>2013</v>
      </c>
      <c r="C1257" s="64">
        <v>8</v>
      </c>
      <c r="D1257" s="80">
        <f t="shared" si="41"/>
        <v>2013</v>
      </c>
      <c r="E1257" t="s">
        <v>38</v>
      </c>
      <c r="F1257" t="s">
        <v>143</v>
      </c>
      <c r="G1257" t="s">
        <v>10</v>
      </c>
      <c r="H1257" s="72" t="s">
        <v>210</v>
      </c>
      <c r="I1257" s="72" t="s">
        <v>52</v>
      </c>
      <c r="J1257" t="str">
        <f t="shared" si="42"/>
        <v>Nooksack River</v>
      </c>
      <c r="K1257" t="str">
        <f>IFERROR(VLOOKUP(J1257,LUTs!$A$1:$C$73,2,FALSE),"NA")</f>
        <v>Whatcom</v>
      </c>
      <c r="L1257" t="str">
        <f>IFERROR(VLOOKUP(J1257,LUTs!$A$1:$C$73,3,FALSE),"NA")</f>
        <v>1North Puget Sound</v>
      </c>
      <c r="M1257" s="72" t="s">
        <v>26</v>
      </c>
      <c r="N1257" t="str">
        <f>VLOOKUP(M1257,LUTs!E$2:H$14,3,)</f>
        <v>20Other</v>
      </c>
      <c r="O1257" t="str">
        <f>VLOOKUP(M1257,LUTs!E$2:H$14,4,)</f>
        <v>07Non Puget Sound</v>
      </c>
      <c r="P1257" s="73">
        <v>27.155555555555601</v>
      </c>
      <c r="Q1257" s="74">
        <f>VLOOKUP(B1257,Readme!A$40:C$51,2,)*P1257</f>
        <v>93.415111111111273</v>
      </c>
    </row>
    <row r="1258" spans="1:17" ht="12" customHeight="1" x14ac:dyDescent="0.35">
      <c r="A1258" s="75">
        <v>1257</v>
      </c>
      <c r="B1258" s="64">
        <v>2013</v>
      </c>
      <c r="C1258" s="64">
        <v>8</v>
      </c>
      <c r="D1258" s="80">
        <f t="shared" si="41"/>
        <v>2013</v>
      </c>
      <c r="E1258" t="s">
        <v>38</v>
      </c>
      <c r="F1258" t="s">
        <v>143</v>
      </c>
      <c r="G1258" t="s">
        <v>10</v>
      </c>
      <c r="H1258" s="72" t="s">
        <v>210</v>
      </c>
      <c r="I1258" s="72" t="s">
        <v>52</v>
      </c>
      <c r="J1258" t="str">
        <f t="shared" si="42"/>
        <v>Nooksack River</v>
      </c>
      <c r="K1258" t="str">
        <f>IFERROR(VLOOKUP(J1258,LUTs!$A$1:$C$73,2,FALSE),"NA")</f>
        <v>Whatcom</v>
      </c>
      <c r="L1258" t="str">
        <f>IFERROR(VLOOKUP(J1258,LUTs!$A$1:$C$73,3,FALSE),"NA")</f>
        <v>1North Puget Sound</v>
      </c>
      <c r="M1258" s="72" t="s">
        <v>16</v>
      </c>
      <c r="N1258" t="str">
        <f>VLOOKUP(M1258,LUTs!E$2:H$14,3,)</f>
        <v>03Snohomish</v>
      </c>
      <c r="O1258" t="str">
        <f>VLOOKUP(M1258,LUTs!E$2:H$14,4,)</f>
        <v>01North Puget Sound</v>
      </c>
      <c r="P1258" s="73">
        <v>90.518518518518505</v>
      </c>
      <c r="Q1258" s="74">
        <f>VLOOKUP(B1258,Readme!A$40:C$51,2,)*P1258</f>
        <v>311.38370370370365</v>
      </c>
    </row>
    <row r="1259" spans="1:17" ht="12" customHeight="1" x14ac:dyDescent="0.35">
      <c r="A1259" s="75">
        <v>1258</v>
      </c>
      <c r="B1259" s="64">
        <v>2013</v>
      </c>
      <c r="C1259" s="64">
        <v>8</v>
      </c>
      <c r="D1259" s="80">
        <f t="shared" si="41"/>
        <v>2013</v>
      </c>
      <c r="E1259" t="s">
        <v>38</v>
      </c>
      <c r="F1259" t="s">
        <v>143</v>
      </c>
      <c r="G1259" t="s">
        <v>10</v>
      </c>
      <c r="H1259" s="72" t="s">
        <v>210</v>
      </c>
      <c r="I1259" s="72" t="s">
        <v>52</v>
      </c>
      <c r="J1259" t="str">
        <f t="shared" si="42"/>
        <v>Nooksack River</v>
      </c>
      <c r="K1259" t="str">
        <f>IFERROR(VLOOKUP(J1259,LUTs!$A$1:$C$73,2,FALSE),"NA")</f>
        <v>Whatcom</v>
      </c>
      <c r="L1259" t="str">
        <f>IFERROR(VLOOKUP(J1259,LUTs!$A$1:$C$73,3,FALSE),"NA")</f>
        <v>1North Puget Sound</v>
      </c>
      <c r="M1259" s="72" t="s">
        <v>21</v>
      </c>
      <c r="N1259" t="str">
        <f>VLOOKUP(M1259,LUTs!E$2:H$14,3,)</f>
        <v>08Thurston</v>
      </c>
      <c r="O1259" t="str">
        <f>VLOOKUP(M1259,LUTs!E$2:H$14,4,)</f>
        <v>02South Puget Sound</v>
      </c>
      <c r="P1259" s="73">
        <v>81.466666666666697</v>
      </c>
      <c r="Q1259" s="74">
        <f>VLOOKUP(B1259,Readme!A$40:C$51,2,)*P1259</f>
        <v>280.24533333333341</v>
      </c>
    </row>
    <row r="1260" spans="1:17" ht="12" customHeight="1" x14ac:dyDescent="0.35">
      <c r="A1260" s="75">
        <v>1259</v>
      </c>
      <c r="B1260" s="64">
        <v>2013</v>
      </c>
      <c r="C1260" s="64">
        <v>8</v>
      </c>
      <c r="D1260" s="80">
        <f t="shared" si="41"/>
        <v>2013</v>
      </c>
      <c r="E1260" t="s">
        <v>38</v>
      </c>
      <c r="F1260" t="s">
        <v>143</v>
      </c>
      <c r="G1260" t="s">
        <v>10</v>
      </c>
      <c r="H1260" s="72" t="s">
        <v>210</v>
      </c>
      <c r="I1260" s="72" t="s">
        <v>52</v>
      </c>
      <c r="J1260" t="str">
        <f t="shared" si="42"/>
        <v>Nooksack River</v>
      </c>
      <c r="K1260" t="str">
        <f>IFERROR(VLOOKUP(J1260,LUTs!$A$1:$C$73,2,FALSE),"NA")</f>
        <v>Whatcom</v>
      </c>
      <c r="L1260" t="str">
        <f>IFERROR(VLOOKUP(J1260,LUTs!$A$1:$C$73,3,FALSE),"NA")</f>
        <v>1North Puget Sound</v>
      </c>
      <c r="M1260" s="72" t="s">
        <v>13</v>
      </c>
      <c r="N1260" t="str">
        <f>VLOOKUP(M1260,LUTs!E$2:H$14,3,)</f>
        <v>01Whatcom</v>
      </c>
      <c r="O1260" t="str">
        <f>VLOOKUP(M1260,LUTs!E$2:H$14,4,)</f>
        <v>01North Puget Sound</v>
      </c>
      <c r="P1260" s="73">
        <v>2244.8592592592599</v>
      </c>
      <c r="Q1260" s="74">
        <f>VLOOKUP(B1260,Readme!A$40:C$51,2,)*P1260</f>
        <v>7722.3158518518539</v>
      </c>
    </row>
    <row r="1261" spans="1:17" ht="12" customHeight="1" x14ac:dyDescent="0.35">
      <c r="A1261" s="75">
        <v>1260</v>
      </c>
      <c r="B1261" s="64">
        <v>2013</v>
      </c>
      <c r="C1261" s="64">
        <v>9</v>
      </c>
      <c r="D1261" s="80">
        <f t="shared" si="41"/>
        <v>2013</v>
      </c>
      <c r="E1261" t="s">
        <v>38</v>
      </c>
      <c r="F1261" t="s">
        <v>143</v>
      </c>
      <c r="G1261" t="s">
        <v>10</v>
      </c>
      <c r="H1261" s="72" t="s">
        <v>210</v>
      </c>
      <c r="I1261" s="72" t="s">
        <v>52</v>
      </c>
      <c r="J1261" t="str">
        <f t="shared" si="42"/>
        <v>Nooksack River</v>
      </c>
      <c r="K1261" t="str">
        <f>IFERROR(VLOOKUP(J1261,LUTs!$A$1:$C$73,2,FALSE),"NA")</f>
        <v>Whatcom</v>
      </c>
      <c r="L1261" t="str">
        <f>IFERROR(VLOOKUP(J1261,LUTs!$A$1:$C$73,3,FALSE),"NA")</f>
        <v>1North Puget Sound</v>
      </c>
      <c r="M1261" s="72" t="s">
        <v>26</v>
      </c>
      <c r="N1261" t="str">
        <f>VLOOKUP(M1261,LUTs!E$2:H$14,3,)</f>
        <v>20Other</v>
      </c>
      <c r="O1261" t="str">
        <f>VLOOKUP(M1261,LUTs!E$2:H$14,4,)</f>
        <v>07Non Puget Sound</v>
      </c>
      <c r="P1261" s="73">
        <v>19.826086956521699</v>
      </c>
      <c r="Q1261" s="74">
        <f>VLOOKUP(B1261,Readme!A$40:C$51,2,)*P1261</f>
        <v>68.201739130434646</v>
      </c>
    </row>
    <row r="1262" spans="1:17" ht="12" customHeight="1" x14ac:dyDescent="0.35">
      <c r="A1262" s="75">
        <v>1261</v>
      </c>
      <c r="B1262" s="64">
        <v>2013</v>
      </c>
      <c r="C1262" s="64">
        <v>9</v>
      </c>
      <c r="D1262" s="80">
        <f t="shared" si="41"/>
        <v>2013</v>
      </c>
      <c r="E1262" t="s">
        <v>38</v>
      </c>
      <c r="F1262" t="s">
        <v>143</v>
      </c>
      <c r="G1262" t="s">
        <v>10</v>
      </c>
      <c r="H1262" s="72" t="s">
        <v>210</v>
      </c>
      <c r="I1262" s="72" t="s">
        <v>52</v>
      </c>
      <c r="J1262" t="str">
        <f t="shared" si="42"/>
        <v>Nooksack River</v>
      </c>
      <c r="K1262" t="str">
        <f>IFERROR(VLOOKUP(J1262,LUTs!$A$1:$C$73,2,FALSE),"NA")</f>
        <v>Whatcom</v>
      </c>
      <c r="L1262" t="str">
        <f>IFERROR(VLOOKUP(J1262,LUTs!$A$1:$C$73,3,FALSE),"NA")</f>
        <v>1North Puget Sound</v>
      </c>
      <c r="M1262" s="72" t="s">
        <v>13</v>
      </c>
      <c r="N1262" t="str">
        <f>VLOOKUP(M1262,LUTs!E$2:H$14,3,)</f>
        <v>01Whatcom</v>
      </c>
      <c r="O1262" t="str">
        <f>VLOOKUP(M1262,LUTs!E$2:H$14,4,)</f>
        <v>01North Puget Sound</v>
      </c>
      <c r="P1262" s="73">
        <v>892.17391304347802</v>
      </c>
      <c r="Q1262" s="74">
        <f>VLOOKUP(B1262,Readme!A$40:C$51,2,)*P1262</f>
        <v>3069.0782608695645</v>
      </c>
    </row>
    <row r="1263" spans="1:17" ht="12" customHeight="1" x14ac:dyDescent="0.35">
      <c r="A1263" s="75">
        <v>1262</v>
      </c>
      <c r="B1263" s="64">
        <v>2013</v>
      </c>
      <c r="C1263" s="64">
        <v>10</v>
      </c>
      <c r="D1263" s="80">
        <f t="shared" si="41"/>
        <v>2013</v>
      </c>
      <c r="E1263" t="s">
        <v>38</v>
      </c>
      <c r="F1263" t="s">
        <v>143</v>
      </c>
      <c r="G1263" t="s">
        <v>10</v>
      </c>
      <c r="H1263" s="72" t="s">
        <v>210</v>
      </c>
      <c r="I1263" s="72" t="s">
        <v>52</v>
      </c>
      <c r="J1263" t="str">
        <f t="shared" si="42"/>
        <v>Nooksack River</v>
      </c>
      <c r="K1263" t="str">
        <f>IFERROR(VLOOKUP(J1263,LUTs!$A$1:$C$73,2,FALSE),"NA")</f>
        <v>Whatcom</v>
      </c>
      <c r="L1263" t="str">
        <f>IFERROR(VLOOKUP(J1263,LUTs!$A$1:$C$73,3,FALSE),"NA")</f>
        <v>1North Puget Sound</v>
      </c>
      <c r="M1263" s="72" t="s">
        <v>23</v>
      </c>
      <c r="N1263" t="str">
        <f>VLOOKUP(M1263,LUTs!E$2:H$14,3,)</f>
        <v>10Kitsap</v>
      </c>
      <c r="O1263" t="str">
        <f>VLOOKUP(M1263,LUTs!E$2:H$14,4,)</f>
        <v>02South Puget Sound</v>
      </c>
      <c r="P1263" s="73">
        <v>9.1917098445595897</v>
      </c>
      <c r="Q1263" s="74">
        <f>VLOOKUP(B1263,Readme!A$40:C$51,2,)*P1263</f>
        <v>31.619481865284989</v>
      </c>
    </row>
    <row r="1264" spans="1:17" ht="12" customHeight="1" x14ac:dyDescent="0.35">
      <c r="A1264" s="75">
        <v>1263</v>
      </c>
      <c r="B1264" s="64">
        <v>2013</v>
      </c>
      <c r="C1264" s="64">
        <v>10</v>
      </c>
      <c r="D1264" s="80">
        <f t="shared" si="41"/>
        <v>2013</v>
      </c>
      <c r="E1264" t="s">
        <v>38</v>
      </c>
      <c r="F1264" t="s">
        <v>143</v>
      </c>
      <c r="G1264" t="s">
        <v>10</v>
      </c>
      <c r="H1264" s="72" t="s">
        <v>210</v>
      </c>
      <c r="I1264" s="72" t="s">
        <v>52</v>
      </c>
      <c r="J1264" t="str">
        <f t="shared" si="42"/>
        <v>Nooksack River</v>
      </c>
      <c r="K1264" t="str">
        <f>IFERROR(VLOOKUP(J1264,LUTs!$A$1:$C$73,2,FALSE),"NA")</f>
        <v>Whatcom</v>
      </c>
      <c r="L1264" t="str">
        <f>IFERROR(VLOOKUP(J1264,LUTs!$A$1:$C$73,3,FALSE),"NA")</f>
        <v>1North Puget Sound</v>
      </c>
      <c r="M1264" s="72" t="s">
        <v>26</v>
      </c>
      <c r="N1264" t="str">
        <f>VLOOKUP(M1264,LUTs!E$2:H$14,3,)</f>
        <v>20Other</v>
      </c>
      <c r="O1264" t="str">
        <f>VLOOKUP(M1264,LUTs!E$2:H$14,4,)</f>
        <v>07Non Puget Sound</v>
      </c>
      <c r="P1264" s="73">
        <v>27.575129533678801</v>
      </c>
      <c r="Q1264" s="74">
        <f>VLOOKUP(B1264,Readme!A$40:C$51,2,)*P1264</f>
        <v>94.858445595855073</v>
      </c>
    </row>
    <row r="1265" spans="1:17" ht="12" customHeight="1" x14ac:dyDescent="0.35">
      <c r="A1265" s="75">
        <v>1264</v>
      </c>
      <c r="B1265" s="64">
        <v>2013</v>
      </c>
      <c r="C1265" s="64">
        <v>10</v>
      </c>
      <c r="D1265" s="80">
        <f t="shared" si="41"/>
        <v>2013</v>
      </c>
      <c r="E1265" t="s">
        <v>38</v>
      </c>
      <c r="F1265" t="s">
        <v>143</v>
      </c>
      <c r="G1265" t="s">
        <v>10</v>
      </c>
      <c r="H1265" s="72" t="s">
        <v>210</v>
      </c>
      <c r="I1265" s="72" t="s">
        <v>52</v>
      </c>
      <c r="J1265" t="str">
        <f t="shared" si="42"/>
        <v>Nooksack River</v>
      </c>
      <c r="K1265" t="str">
        <f>IFERROR(VLOOKUP(J1265,LUTs!$A$1:$C$73,2,FALSE),"NA")</f>
        <v>Whatcom</v>
      </c>
      <c r="L1265" t="str">
        <f>IFERROR(VLOOKUP(J1265,LUTs!$A$1:$C$73,3,FALSE),"NA")</f>
        <v>1North Puget Sound</v>
      </c>
      <c r="M1265" s="72" t="s">
        <v>15</v>
      </c>
      <c r="N1265" t="str">
        <f>VLOOKUP(M1265,LUTs!E$2:H$14,3,)</f>
        <v>02Skagit</v>
      </c>
      <c r="O1265" t="str">
        <f>VLOOKUP(M1265,LUTs!E$2:H$14,4,)</f>
        <v>01North Puget Sound</v>
      </c>
      <c r="P1265" s="73">
        <v>18.383419689119201</v>
      </c>
      <c r="Q1265" s="74">
        <f>VLOOKUP(B1265,Readme!A$40:C$51,2,)*P1265</f>
        <v>63.238963730570049</v>
      </c>
    </row>
    <row r="1266" spans="1:17" ht="12" customHeight="1" x14ac:dyDescent="0.35">
      <c r="A1266" s="75">
        <v>1265</v>
      </c>
      <c r="B1266" s="64">
        <v>2013</v>
      </c>
      <c r="C1266" s="64">
        <v>10</v>
      </c>
      <c r="D1266" s="80">
        <f t="shared" si="41"/>
        <v>2013</v>
      </c>
      <c r="E1266" t="s">
        <v>38</v>
      </c>
      <c r="F1266" t="s">
        <v>143</v>
      </c>
      <c r="G1266" t="s">
        <v>10</v>
      </c>
      <c r="H1266" s="72" t="s">
        <v>210</v>
      </c>
      <c r="I1266" s="72" t="s">
        <v>52</v>
      </c>
      <c r="J1266" t="str">
        <f t="shared" si="42"/>
        <v>Nooksack River</v>
      </c>
      <c r="K1266" t="str">
        <f>IFERROR(VLOOKUP(J1266,LUTs!$A$1:$C$73,2,FALSE),"NA")</f>
        <v>Whatcom</v>
      </c>
      <c r="L1266" t="str">
        <f>IFERROR(VLOOKUP(J1266,LUTs!$A$1:$C$73,3,FALSE),"NA")</f>
        <v>1North Puget Sound</v>
      </c>
      <c r="M1266" s="72" t="s">
        <v>13</v>
      </c>
      <c r="N1266" t="str">
        <f>VLOOKUP(M1266,LUTs!E$2:H$14,3,)</f>
        <v>01Whatcom</v>
      </c>
      <c r="O1266" t="str">
        <f>VLOOKUP(M1266,LUTs!E$2:H$14,4,)</f>
        <v>01North Puget Sound</v>
      </c>
      <c r="P1266" s="73">
        <v>1718.8497409326401</v>
      </c>
      <c r="Q1266" s="74">
        <f>VLOOKUP(B1266,Readme!A$40:C$51,2,)*P1266</f>
        <v>5912.8431088082816</v>
      </c>
    </row>
    <row r="1267" spans="1:17" ht="12" customHeight="1" x14ac:dyDescent="0.35">
      <c r="A1267" s="75">
        <v>1266</v>
      </c>
      <c r="B1267" s="64">
        <v>2013</v>
      </c>
      <c r="C1267" s="64">
        <v>11</v>
      </c>
      <c r="D1267" s="80">
        <f t="shared" si="41"/>
        <v>2013</v>
      </c>
      <c r="E1267" t="s">
        <v>38</v>
      </c>
      <c r="F1267" t="s">
        <v>143</v>
      </c>
      <c r="G1267" t="s">
        <v>10</v>
      </c>
      <c r="H1267" s="72" t="s">
        <v>210</v>
      </c>
      <c r="I1267" s="72" t="s">
        <v>52</v>
      </c>
      <c r="J1267" t="str">
        <f t="shared" si="42"/>
        <v>Nooksack River</v>
      </c>
      <c r="K1267" t="str">
        <f>IFERROR(VLOOKUP(J1267,LUTs!$A$1:$C$73,2,FALSE),"NA")</f>
        <v>Whatcom</v>
      </c>
      <c r="L1267" t="str">
        <f>IFERROR(VLOOKUP(J1267,LUTs!$A$1:$C$73,3,FALSE),"NA")</f>
        <v>1North Puget Sound</v>
      </c>
      <c r="M1267" s="72" t="s">
        <v>17</v>
      </c>
      <c r="N1267" t="str">
        <f>VLOOKUP(M1267,LUTs!E$2:H$14,3,)</f>
        <v>04Island</v>
      </c>
      <c r="O1267" t="str">
        <f>VLOOKUP(M1267,LUTs!E$2:H$14,4,)</f>
        <v>01North Puget Sound</v>
      </c>
      <c r="P1267" s="73">
        <v>117.4</v>
      </c>
      <c r="Q1267" s="74">
        <f>VLOOKUP(B1267,Readme!A$40:C$51,2,)*P1267</f>
        <v>403.85599999999999</v>
      </c>
    </row>
    <row r="1268" spans="1:17" ht="12" customHeight="1" x14ac:dyDescent="0.35">
      <c r="A1268" s="75">
        <v>1267</v>
      </c>
      <c r="B1268" s="64">
        <v>2013</v>
      </c>
      <c r="C1268" s="64">
        <v>11</v>
      </c>
      <c r="D1268" s="80">
        <f t="shared" si="41"/>
        <v>2013</v>
      </c>
      <c r="E1268" t="s">
        <v>38</v>
      </c>
      <c r="F1268" t="s">
        <v>143</v>
      </c>
      <c r="G1268" t="s">
        <v>10</v>
      </c>
      <c r="H1268" s="72" t="s">
        <v>210</v>
      </c>
      <c r="I1268" s="72" t="s">
        <v>52</v>
      </c>
      <c r="J1268" t="str">
        <f t="shared" si="42"/>
        <v>Nooksack River</v>
      </c>
      <c r="K1268" t="str">
        <f>IFERROR(VLOOKUP(J1268,LUTs!$A$1:$C$73,2,FALSE),"NA")</f>
        <v>Whatcom</v>
      </c>
      <c r="L1268" t="str">
        <f>IFERROR(VLOOKUP(J1268,LUTs!$A$1:$C$73,3,FALSE),"NA")</f>
        <v>1North Puget Sound</v>
      </c>
      <c r="M1268" s="72" t="s">
        <v>26</v>
      </c>
      <c r="N1268" t="str">
        <f>VLOOKUP(M1268,LUTs!E$2:H$14,3,)</f>
        <v>20Other</v>
      </c>
      <c r="O1268" t="str">
        <f>VLOOKUP(M1268,LUTs!E$2:H$14,4,)</f>
        <v>07Non Puget Sound</v>
      </c>
      <c r="P1268" s="73">
        <v>27.092307692307699</v>
      </c>
      <c r="Q1268" s="74">
        <f>VLOOKUP(B1268,Readme!A$40:C$51,2,)*P1268</f>
        <v>93.197538461538485</v>
      </c>
    </row>
    <row r="1269" spans="1:17" ht="12" customHeight="1" x14ac:dyDescent="0.35">
      <c r="A1269" s="75">
        <v>1268</v>
      </c>
      <c r="B1269" s="64">
        <v>2013</v>
      </c>
      <c r="C1269" s="64">
        <v>11</v>
      </c>
      <c r="D1269" s="80">
        <f t="shared" si="41"/>
        <v>2013</v>
      </c>
      <c r="E1269" t="s">
        <v>38</v>
      </c>
      <c r="F1269" t="s">
        <v>143</v>
      </c>
      <c r="G1269" t="s">
        <v>10</v>
      </c>
      <c r="H1269" s="72" t="s">
        <v>210</v>
      </c>
      <c r="I1269" s="72" t="s">
        <v>52</v>
      </c>
      <c r="J1269" t="str">
        <f t="shared" si="42"/>
        <v>Nooksack River</v>
      </c>
      <c r="K1269" t="str">
        <f>IFERROR(VLOOKUP(J1269,LUTs!$A$1:$C$73,2,FALSE),"NA")</f>
        <v>Whatcom</v>
      </c>
      <c r="L1269" t="str">
        <f>IFERROR(VLOOKUP(J1269,LUTs!$A$1:$C$73,3,FALSE),"NA")</f>
        <v>1North Puget Sound</v>
      </c>
      <c r="M1269" s="72" t="s">
        <v>15</v>
      </c>
      <c r="N1269" t="str">
        <f>VLOOKUP(M1269,LUTs!E$2:H$14,3,)</f>
        <v>02Skagit</v>
      </c>
      <c r="O1269" t="str">
        <f>VLOOKUP(M1269,LUTs!E$2:H$14,4,)</f>
        <v>01North Puget Sound</v>
      </c>
      <c r="P1269" s="73">
        <v>9.0307692307692307</v>
      </c>
      <c r="Q1269" s="74">
        <f>VLOOKUP(B1269,Readme!A$40:C$51,2,)*P1269</f>
        <v>31.065846153846152</v>
      </c>
    </row>
    <row r="1270" spans="1:17" ht="12" customHeight="1" x14ac:dyDescent="0.35">
      <c r="A1270" s="75">
        <v>1269</v>
      </c>
      <c r="B1270" s="64">
        <v>2013</v>
      </c>
      <c r="C1270" s="64">
        <v>11</v>
      </c>
      <c r="D1270" s="80">
        <f t="shared" si="41"/>
        <v>2013</v>
      </c>
      <c r="E1270" t="s">
        <v>38</v>
      </c>
      <c r="F1270" t="s">
        <v>143</v>
      </c>
      <c r="G1270" t="s">
        <v>10</v>
      </c>
      <c r="H1270" s="72" t="s">
        <v>210</v>
      </c>
      <c r="I1270" s="72" t="s">
        <v>52</v>
      </c>
      <c r="J1270" t="str">
        <f t="shared" si="42"/>
        <v>Nooksack River</v>
      </c>
      <c r="K1270" t="str">
        <f>IFERROR(VLOOKUP(J1270,LUTs!$A$1:$C$73,2,FALSE),"NA")</f>
        <v>Whatcom</v>
      </c>
      <c r="L1270" t="str">
        <f>IFERROR(VLOOKUP(J1270,LUTs!$A$1:$C$73,3,FALSE),"NA")</f>
        <v>1North Puget Sound</v>
      </c>
      <c r="M1270" s="72" t="s">
        <v>21</v>
      </c>
      <c r="N1270" t="str">
        <f>VLOOKUP(M1270,LUTs!E$2:H$14,3,)</f>
        <v>08Thurston</v>
      </c>
      <c r="O1270" t="str">
        <f>VLOOKUP(M1270,LUTs!E$2:H$14,4,)</f>
        <v>02South Puget Sound</v>
      </c>
      <c r="P1270" s="73">
        <v>9.0307692307692307</v>
      </c>
      <c r="Q1270" s="74">
        <f>VLOOKUP(B1270,Readme!A$40:C$51,2,)*P1270</f>
        <v>31.065846153846152</v>
      </c>
    </row>
    <row r="1271" spans="1:17" ht="12" customHeight="1" x14ac:dyDescent="0.35">
      <c r="A1271" s="75">
        <v>1270</v>
      </c>
      <c r="B1271" s="64">
        <v>2013</v>
      </c>
      <c r="C1271" s="64">
        <v>11</v>
      </c>
      <c r="D1271" s="80">
        <f t="shared" si="41"/>
        <v>2013</v>
      </c>
      <c r="E1271" t="s">
        <v>38</v>
      </c>
      <c r="F1271" t="s">
        <v>143</v>
      </c>
      <c r="G1271" t="s">
        <v>10</v>
      </c>
      <c r="H1271" s="72" t="s">
        <v>210</v>
      </c>
      <c r="I1271" s="72" t="s">
        <v>52</v>
      </c>
      <c r="J1271" t="str">
        <f t="shared" si="42"/>
        <v>Nooksack River</v>
      </c>
      <c r="K1271" t="str">
        <f>IFERROR(VLOOKUP(J1271,LUTs!$A$1:$C$73,2,FALSE),"NA")</f>
        <v>Whatcom</v>
      </c>
      <c r="L1271" t="str">
        <f>IFERROR(VLOOKUP(J1271,LUTs!$A$1:$C$73,3,FALSE),"NA")</f>
        <v>1North Puget Sound</v>
      </c>
      <c r="M1271" s="72" t="s">
        <v>13</v>
      </c>
      <c r="N1271" t="str">
        <f>VLOOKUP(M1271,LUTs!E$2:H$14,3,)</f>
        <v>01Whatcom</v>
      </c>
      <c r="O1271" t="str">
        <f>VLOOKUP(M1271,LUTs!E$2:H$14,4,)</f>
        <v>01North Puget Sound</v>
      </c>
      <c r="P1271" s="73">
        <v>424.446153846154</v>
      </c>
      <c r="Q1271" s="74">
        <f>VLOOKUP(B1271,Readme!A$40:C$51,2,)*P1271</f>
        <v>1460.0947692307698</v>
      </c>
    </row>
    <row r="1272" spans="1:17" ht="12" customHeight="1" x14ac:dyDescent="0.35">
      <c r="A1272" s="75">
        <v>1271</v>
      </c>
      <c r="B1272" s="64">
        <v>2013</v>
      </c>
      <c r="C1272" s="64">
        <v>12</v>
      </c>
      <c r="D1272" s="80">
        <f t="shared" si="41"/>
        <v>2013</v>
      </c>
      <c r="E1272" t="s">
        <v>38</v>
      </c>
      <c r="F1272" t="s">
        <v>143</v>
      </c>
      <c r="G1272" t="s">
        <v>10</v>
      </c>
      <c r="H1272" s="72" t="s">
        <v>210</v>
      </c>
      <c r="I1272" s="72" t="s">
        <v>52</v>
      </c>
      <c r="J1272" t="str">
        <f t="shared" si="42"/>
        <v>Nooksack River</v>
      </c>
      <c r="K1272" t="str">
        <f>IFERROR(VLOOKUP(J1272,LUTs!$A$1:$C$73,2,FALSE),"NA")</f>
        <v>Whatcom</v>
      </c>
      <c r="L1272" t="str">
        <f>IFERROR(VLOOKUP(J1272,LUTs!$A$1:$C$73,3,FALSE),"NA")</f>
        <v>1North Puget Sound</v>
      </c>
      <c r="M1272" s="72" t="s">
        <v>13</v>
      </c>
      <c r="N1272" t="str">
        <f>VLOOKUP(M1272,LUTs!E$2:H$14,3,)</f>
        <v>01Whatcom</v>
      </c>
      <c r="O1272" t="str">
        <f>VLOOKUP(M1272,LUTs!E$2:H$14,4,)</f>
        <v>01North Puget Sound</v>
      </c>
      <c r="P1272" s="73">
        <v>27</v>
      </c>
      <c r="Q1272" s="74">
        <f>VLOOKUP(B1272,Readme!A$40:C$51,2,)*P1272</f>
        <v>92.88</v>
      </c>
    </row>
    <row r="1273" spans="1:17" ht="12" customHeight="1" x14ac:dyDescent="0.35">
      <c r="A1273" s="75">
        <v>1272</v>
      </c>
      <c r="B1273" s="64">
        <v>2013</v>
      </c>
      <c r="C1273" s="64">
        <v>8</v>
      </c>
      <c r="D1273" s="80">
        <f t="shared" si="41"/>
        <v>2013</v>
      </c>
      <c r="E1273" t="s">
        <v>38</v>
      </c>
      <c r="F1273" t="s">
        <v>143</v>
      </c>
      <c r="G1273" t="s">
        <v>10</v>
      </c>
      <c r="H1273" s="72" t="s">
        <v>231</v>
      </c>
      <c r="I1273" s="72" t="s">
        <v>73</v>
      </c>
      <c r="J1273" t="str">
        <f t="shared" si="42"/>
        <v>Unknown</v>
      </c>
      <c r="K1273" t="str">
        <f>IFERROR(VLOOKUP(J1273,LUTs!$A$1:$C$73,2,FALSE),"NA")</f>
        <v>NA</v>
      </c>
      <c r="L1273" t="str">
        <f>IFERROR(VLOOKUP(J1273,LUTs!$A$1:$C$73,3,FALSE),"NA")</f>
        <v>NA</v>
      </c>
      <c r="M1273" s="72" t="s">
        <v>26</v>
      </c>
      <c r="N1273" t="str">
        <f>VLOOKUP(M1273,LUTs!E$2:H$14,3,)</f>
        <v>20Other</v>
      </c>
      <c r="O1273" t="str">
        <f>VLOOKUP(M1273,LUTs!E$2:H$14,4,)</f>
        <v>07Non Puget Sound</v>
      </c>
      <c r="P1273" s="73">
        <v>0</v>
      </c>
      <c r="Q1273" s="74">
        <f>VLOOKUP(B1273,Readme!A$40:C$51,2,)*P1273</f>
        <v>0</v>
      </c>
    </row>
    <row r="1274" spans="1:17" ht="12" customHeight="1" x14ac:dyDescent="0.35">
      <c r="A1274" s="75">
        <v>1273</v>
      </c>
      <c r="B1274" s="64">
        <v>2013</v>
      </c>
      <c r="C1274" s="64">
        <v>9</v>
      </c>
      <c r="D1274" s="80">
        <f t="shared" si="41"/>
        <v>2013</v>
      </c>
      <c r="E1274" t="s">
        <v>38</v>
      </c>
      <c r="F1274" t="s">
        <v>143</v>
      </c>
      <c r="G1274" t="s">
        <v>10</v>
      </c>
      <c r="H1274" s="72" t="s">
        <v>231</v>
      </c>
      <c r="I1274" s="72" t="s">
        <v>73</v>
      </c>
      <c r="J1274" t="str">
        <f t="shared" si="42"/>
        <v>Unknown</v>
      </c>
      <c r="K1274" t="str">
        <f>IFERROR(VLOOKUP(J1274,LUTs!$A$1:$C$73,2,FALSE),"NA")</f>
        <v>NA</v>
      </c>
      <c r="L1274" t="str">
        <f>IFERROR(VLOOKUP(J1274,LUTs!$A$1:$C$73,3,FALSE),"NA")</f>
        <v>NA</v>
      </c>
      <c r="M1274" s="72" t="s">
        <v>26</v>
      </c>
      <c r="N1274" t="str">
        <f>VLOOKUP(M1274,LUTs!E$2:H$14,3,)</f>
        <v>20Other</v>
      </c>
      <c r="O1274" t="str">
        <f>VLOOKUP(M1274,LUTs!E$2:H$14,4,)</f>
        <v>07Non Puget Sound</v>
      </c>
      <c r="P1274" s="73">
        <v>0</v>
      </c>
      <c r="Q1274" s="74">
        <f>VLOOKUP(B1274,Readme!A$40:C$51,2,)*P1274</f>
        <v>0</v>
      </c>
    </row>
    <row r="1275" spans="1:17" ht="12" customHeight="1" x14ac:dyDescent="0.35">
      <c r="A1275" s="75">
        <v>1274</v>
      </c>
      <c r="B1275" s="64">
        <v>2013</v>
      </c>
      <c r="C1275" s="64">
        <v>8</v>
      </c>
      <c r="D1275" s="80">
        <f t="shared" si="41"/>
        <v>2013</v>
      </c>
      <c r="E1275" t="s">
        <v>38</v>
      </c>
      <c r="F1275" t="s">
        <v>143</v>
      </c>
      <c r="G1275" t="s">
        <v>10</v>
      </c>
      <c r="H1275" s="72" t="s">
        <v>211</v>
      </c>
      <c r="I1275" s="72" t="s">
        <v>53</v>
      </c>
      <c r="J1275" t="str">
        <f t="shared" si="42"/>
        <v>Carbon River</v>
      </c>
      <c r="K1275" t="str">
        <f>IFERROR(VLOOKUP(J1275,LUTs!$A$1:$C$73,2,FALSE),"NA")</f>
        <v>Pierce</v>
      </c>
      <c r="L1275" t="str">
        <f>IFERROR(VLOOKUP(J1275,LUTs!$A$1:$C$73,3,FALSE),"NA")</f>
        <v>3South Puget Sound</v>
      </c>
      <c r="M1275" s="72" t="s">
        <v>18</v>
      </c>
      <c r="N1275" t="str">
        <f>VLOOKUP(M1275,LUTs!E$2:H$14,3,)</f>
        <v>06King</v>
      </c>
      <c r="O1275" t="str">
        <f>VLOOKUP(M1275,LUTs!E$2:H$14,4,)</f>
        <v>02South Puget Sound</v>
      </c>
      <c r="P1275" s="73">
        <v>45.384615384615401</v>
      </c>
      <c r="Q1275" s="74">
        <f>VLOOKUP(B1275,Readme!A$40:C$51,2,)*P1275</f>
        <v>156.12307692307698</v>
      </c>
    </row>
    <row r="1276" spans="1:17" ht="12" customHeight="1" x14ac:dyDescent="0.35">
      <c r="A1276" s="75">
        <v>1275</v>
      </c>
      <c r="B1276" s="64">
        <v>2013</v>
      </c>
      <c r="C1276" s="64">
        <v>8</v>
      </c>
      <c r="D1276" s="80">
        <f t="shared" si="41"/>
        <v>2013</v>
      </c>
      <c r="E1276" t="s">
        <v>38</v>
      </c>
      <c r="F1276" t="s">
        <v>143</v>
      </c>
      <c r="G1276" t="s">
        <v>10</v>
      </c>
      <c r="H1276" s="72" t="s">
        <v>211</v>
      </c>
      <c r="I1276" s="72" t="s">
        <v>53</v>
      </c>
      <c r="J1276" t="str">
        <f t="shared" si="42"/>
        <v>Carbon River</v>
      </c>
      <c r="K1276" t="str">
        <f>IFERROR(VLOOKUP(J1276,LUTs!$A$1:$C$73,2,FALSE),"NA")</f>
        <v>Pierce</v>
      </c>
      <c r="L1276" t="str">
        <f>IFERROR(VLOOKUP(J1276,LUTs!$A$1:$C$73,3,FALSE),"NA")</f>
        <v>3South Puget Sound</v>
      </c>
      <c r="M1276" s="72" t="s">
        <v>23</v>
      </c>
      <c r="N1276" t="str">
        <f>VLOOKUP(M1276,LUTs!E$2:H$14,3,)</f>
        <v>10Kitsap</v>
      </c>
      <c r="O1276" t="str">
        <f>VLOOKUP(M1276,LUTs!E$2:H$14,4,)</f>
        <v>02South Puget Sound</v>
      </c>
      <c r="P1276" s="73">
        <v>36.307692307692299</v>
      </c>
      <c r="Q1276" s="74">
        <f>VLOOKUP(B1276,Readme!A$40:C$51,2,)*P1276</f>
        <v>124.8984615384615</v>
      </c>
    </row>
    <row r="1277" spans="1:17" ht="12" customHeight="1" x14ac:dyDescent="0.35">
      <c r="A1277" s="75">
        <v>1276</v>
      </c>
      <c r="B1277" s="64">
        <v>2013</v>
      </c>
      <c r="C1277" s="64">
        <v>8</v>
      </c>
      <c r="D1277" s="80">
        <f t="shared" si="41"/>
        <v>2013</v>
      </c>
      <c r="E1277" t="s">
        <v>38</v>
      </c>
      <c r="F1277" t="s">
        <v>143</v>
      </c>
      <c r="G1277" t="s">
        <v>10</v>
      </c>
      <c r="H1277" s="72" t="s">
        <v>211</v>
      </c>
      <c r="I1277" s="72" t="s">
        <v>53</v>
      </c>
      <c r="J1277" t="str">
        <f t="shared" si="42"/>
        <v>Carbon River</v>
      </c>
      <c r="K1277" t="str">
        <f>IFERROR(VLOOKUP(J1277,LUTs!$A$1:$C$73,2,FALSE),"NA")</f>
        <v>Pierce</v>
      </c>
      <c r="L1277" t="str">
        <f>IFERROR(VLOOKUP(J1277,LUTs!$A$1:$C$73,3,FALSE),"NA")</f>
        <v>3South Puget Sound</v>
      </c>
      <c r="M1277" s="72" t="s">
        <v>26</v>
      </c>
      <c r="N1277" t="str">
        <f>VLOOKUP(M1277,LUTs!E$2:H$14,3,)</f>
        <v>20Other</v>
      </c>
      <c r="O1277" t="str">
        <f>VLOOKUP(M1277,LUTs!E$2:H$14,4,)</f>
        <v>07Non Puget Sound</v>
      </c>
      <c r="P1277" s="73">
        <v>45.384615384615401</v>
      </c>
      <c r="Q1277" s="74">
        <f>VLOOKUP(B1277,Readme!A$40:C$51,2,)*P1277</f>
        <v>156.12307692307698</v>
      </c>
    </row>
    <row r="1278" spans="1:17" ht="12" customHeight="1" x14ac:dyDescent="0.35">
      <c r="A1278" s="75">
        <v>1277</v>
      </c>
      <c r="B1278" s="64">
        <v>2013</v>
      </c>
      <c r="C1278" s="64">
        <v>8</v>
      </c>
      <c r="D1278" s="80">
        <f t="shared" si="41"/>
        <v>2013</v>
      </c>
      <c r="E1278" t="s">
        <v>38</v>
      </c>
      <c r="F1278" t="s">
        <v>143</v>
      </c>
      <c r="G1278" t="s">
        <v>10</v>
      </c>
      <c r="H1278" s="72" t="s">
        <v>211</v>
      </c>
      <c r="I1278" s="72" t="s">
        <v>53</v>
      </c>
      <c r="J1278" t="str">
        <f t="shared" si="42"/>
        <v>Carbon River</v>
      </c>
      <c r="K1278" t="str">
        <f>IFERROR(VLOOKUP(J1278,LUTs!$A$1:$C$73,2,FALSE),"NA")</f>
        <v>Pierce</v>
      </c>
      <c r="L1278" t="str">
        <f>IFERROR(VLOOKUP(J1278,LUTs!$A$1:$C$73,3,FALSE),"NA")</f>
        <v>3South Puget Sound</v>
      </c>
      <c r="M1278" s="72" t="s">
        <v>20</v>
      </c>
      <c r="N1278" t="str">
        <f>VLOOKUP(M1278,LUTs!E$2:H$14,3,)</f>
        <v>07Pierce</v>
      </c>
      <c r="O1278" t="str">
        <f>VLOOKUP(M1278,LUTs!E$2:H$14,4,)</f>
        <v>02South Puget Sound</v>
      </c>
      <c r="P1278" s="73">
        <v>344.92307692307702</v>
      </c>
      <c r="Q1278" s="74">
        <f>VLOOKUP(B1278,Readme!A$40:C$51,2,)*P1278</f>
        <v>1186.5353846153848</v>
      </c>
    </row>
    <row r="1279" spans="1:17" ht="12" customHeight="1" x14ac:dyDescent="0.35">
      <c r="A1279" s="75">
        <v>1278</v>
      </c>
      <c r="B1279" s="64">
        <v>2013</v>
      </c>
      <c r="C1279" s="64">
        <v>9</v>
      </c>
      <c r="D1279" s="80">
        <f t="shared" si="41"/>
        <v>2013</v>
      </c>
      <c r="E1279" t="s">
        <v>38</v>
      </c>
      <c r="F1279" t="s">
        <v>143</v>
      </c>
      <c r="G1279" t="s">
        <v>10</v>
      </c>
      <c r="H1279" s="72" t="s">
        <v>211</v>
      </c>
      <c r="I1279" s="72" t="s">
        <v>53</v>
      </c>
      <c r="J1279" t="str">
        <f t="shared" si="42"/>
        <v>Carbon River</v>
      </c>
      <c r="K1279" t="str">
        <f>IFERROR(VLOOKUP(J1279,LUTs!$A$1:$C$73,2,FALSE),"NA")</f>
        <v>Pierce</v>
      </c>
      <c r="L1279" t="str">
        <f>IFERROR(VLOOKUP(J1279,LUTs!$A$1:$C$73,3,FALSE),"NA")</f>
        <v>3South Puget Sound</v>
      </c>
      <c r="M1279" s="72" t="s">
        <v>17</v>
      </c>
      <c r="N1279" t="str">
        <f>VLOOKUP(M1279,LUTs!E$2:H$14,3,)</f>
        <v>04Island</v>
      </c>
      <c r="O1279" t="str">
        <f>VLOOKUP(M1279,LUTs!E$2:H$14,4,)</f>
        <v>01North Puget Sound</v>
      </c>
      <c r="P1279" s="73">
        <v>18.283822138126801</v>
      </c>
      <c r="Q1279" s="74">
        <f>VLOOKUP(B1279,Readme!A$40:C$51,2,)*P1279</f>
        <v>62.896348155156197</v>
      </c>
    </row>
    <row r="1280" spans="1:17" ht="12" customHeight="1" x14ac:dyDescent="0.35">
      <c r="A1280" s="75">
        <v>1279</v>
      </c>
      <c r="B1280" s="64">
        <v>2013</v>
      </c>
      <c r="C1280" s="64">
        <v>9</v>
      </c>
      <c r="D1280" s="80">
        <f t="shared" si="41"/>
        <v>2013</v>
      </c>
      <c r="E1280" t="s">
        <v>38</v>
      </c>
      <c r="F1280" t="s">
        <v>143</v>
      </c>
      <c r="G1280" t="s">
        <v>10</v>
      </c>
      <c r="H1280" s="72" t="s">
        <v>211</v>
      </c>
      <c r="I1280" s="72" t="s">
        <v>53</v>
      </c>
      <c r="J1280" t="str">
        <f t="shared" si="42"/>
        <v>Carbon River</v>
      </c>
      <c r="K1280" t="str">
        <f>IFERROR(VLOOKUP(J1280,LUTs!$A$1:$C$73,2,FALSE),"NA")</f>
        <v>Pierce</v>
      </c>
      <c r="L1280" t="str">
        <f>IFERROR(VLOOKUP(J1280,LUTs!$A$1:$C$73,3,FALSE),"NA")</f>
        <v>3South Puget Sound</v>
      </c>
      <c r="M1280" s="72" t="s">
        <v>18</v>
      </c>
      <c r="N1280" t="str">
        <f>VLOOKUP(M1280,LUTs!E$2:H$14,3,)</f>
        <v>06King</v>
      </c>
      <c r="O1280" t="str">
        <f>VLOOKUP(M1280,LUTs!E$2:H$14,4,)</f>
        <v>02South Puget Sound</v>
      </c>
      <c r="P1280" s="73">
        <v>612.50804162724705</v>
      </c>
      <c r="Q1280" s="74">
        <f>VLOOKUP(B1280,Readme!A$40:C$51,2,)*P1280</f>
        <v>2107.0276631977299</v>
      </c>
    </row>
    <row r="1281" spans="1:17" ht="12" customHeight="1" x14ac:dyDescent="0.35">
      <c r="A1281" s="75">
        <v>1280</v>
      </c>
      <c r="B1281" s="64">
        <v>2013</v>
      </c>
      <c r="C1281" s="64">
        <v>9</v>
      </c>
      <c r="D1281" s="80">
        <f t="shared" si="41"/>
        <v>2013</v>
      </c>
      <c r="E1281" t="s">
        <v>38</v>
      </c>
      <c r="F1281" t="s">
        <v>143</v>
      </c>
      <c r="G1281" t="s">
        <v>10</v>
      </c>
      <c r="H1281" s="72" t="s">
        <v>211</v>
      </c>
      <c r="I1281" s="72" t="s">
        <v>53</v>
      </c>
      <c r="J1281" t="str">
        <f t="shared" si="42"/>
        <v>Carbon River</v>
      </c>
      <c r="K1281" t="str">
        <f>IFERROR(VLOOKUP(J1281,LUTs!$A$1:$C$73,2,FALSE),"NA")</f>
        <v>Pierce</v>
      </c>
      <c r="L1281" t="str">
        <f>IFERROR(VLOOKUP(J1281,LUTs!$A$1:$C$73,3,FALSE),"NA")</f>
        <v>3South Puget Sound</v>
      </c>
      <c r="M1281" s="72" t="s">
        <v>23</v>
      </c>
      <c r="N1281" t="str">
        <f>VLOOKUP(M1281,LUTs!E$2:H$14,3,)</f>
        <v>10Kitsap</v>
      </c>
      <c r="O1281" t="str">
        <f>VLOOKUP(M1281,LUTs!E$2:H$14,4,)</f>
        <v>02South Puget Sound</v>
      </c>
      <c r="P1281" s="73">
        <v>137.128666035951</v>
      </c>
      <c r="Q1281" s="74">
        <f>VLOOKUP(B1281,Readme!A$40:C$51,2,)*P1281</f>
        <v>471.72261116367144</v>
      </c>
    </row>
    <row r="1282" spans="1:17" ht="12" customHeight="1" x14ac:dyDescent="0.35">
      <c r="A1282" s="75">
        <v>1281</v>
      </c>
      <c r="B1282" s="64">
        <v>2013</v>
      </c>
      <c r="C1282" s="64">
        <v>9</v>
      </c>
      <c r="D1282" s="80">
        <f t="shared" ref="D1282:D1345" si="43">IF(C1282&gt;3,B1282,B1282-1)</f>
        <v>2013</v>
      </c>
      <c r="E1282" t="s">
        <v>38</v>
      </c>
      <c r="F1282" t="s">
        <v>143</v>
      </c>
      <c r="G1282" t="s">
        <v>10</v>
      </c>
      <c r="H1282" s="72" t="s">
        <v>211</v>
      </c>
      <c r="I1282" s="72" t="s">
        <v>53</v>
      </c>
      <c r="J1282" t="str">
        <f t="shared" si="42"/>
        <v>Carbon River</v>
      </c>
      <c r="K1282" t="str">
        <f>IFERROR(VLOOKUP(J1282,LUTs!$A$1:$C$73,2,FALSE),"NA")</f>
        <v>Pierce</v>
      </c>
      <c r="L1282" t="str">
        <f>IFERROR(VLOOKUP(J1282,LUTs!$A$1:$C$73,3,FALSE),"NA")</f>
        <v>3South Puget Sound</v>
      </c>
      <c r="M1282" s="72" t="s">
        <v>26</v>
      </c>
      <c r="N1282" t="str">
        <f>VLOOKUP(M1282,LUTs!E$2:H$14,3,)</f>
        <v>20Other</v>
      </c>
      <c r="O1282" t="str">
        <f>VLOOKUP(M1282,LUTs!E$2:H$14,4,)</f>
        <v>07Non Puget Sound</v>
      </c>
      <c r="P1282" s="73">
        <v>521.088930936613</v>
      </c>
      <c r="Q1282" s="74">
        <f>VLOOKUP(B1282,Readme!A$40:C$51,2,)*P1282</f>
        <v>1792.5459224219487</v>
      </c>
    </row>
    <row r="1283" spans="1:17" ht="12" customHeight="1" x14ac:dyDescent="0.35">
      <c r="A1283" s="75">
        <v>1282</v>
      </c>
      <c r="B1283" s="64">
        <v>2013</v>
      </c>
      <c r="C1283" s="64">
        <v>9</v>
      </c>
      <c r="D1283" s="80">
        <f t="shared" si="43"/>
        <v>2013</v>
      </c>
      <c r="E1283" t="s">
        <v>38</v>
      </c>
      <c r="F1283" t="s">
        <v>143</v>
      </c>
      <c r="G1283" t="s">
        <v>10</v>
      </c>
      <c r="H1283" s="72" t="s">
        <v>211</v>
      </c>
      <c r="I1283" s="72" t="s">
        <v>53</v>
      </c>
      <c r="J1283" t="str">
        <f t="shared" ref="J1283:J1346" si="44">I1283</f>
        <v>Carbon River</v>
      </c>
      <c r="K1283" t="str">
        <f>IFERROR(VLOOKUP(J1283,LUTs!$A$1:$C$73,2,FALSE),"NA")</f>
        <v>Pierce</v>
      </c>
      <c r="L1283" t="str">
        <f>IFERROR(VLOOKUP(J1283,LUTs!$A$1:$C$73,3,FALSE),"NA")</f>
        <v>3South Puget Sound</v>
      </c>
      <c r="M1283" s="72" t="s">
        <v>20</v>
      </c>
      <c r="N1283" t="str">
        <f>VLOOKUP(M1283,LUTs!E$2:H$14,3,)</f>
        <v>07Pierce</v>
      </c>
      <c r="O1283" t="str">
        <f>VLOOKUP(M1283,LUTs!E$2:H$14,4,)</f>
        <v>02South Puget Sound</v>
      </c>
      <c r="P1283" s="73">
        <v>7953.4626300851496</v>
      </c>
      <c r="Q1283" s="74">
        <f>VLOOKUP(B1283,Readme!A$40:C$51,2,)*P1283</f>
        <v>27359.911447492916</v>
      </c>
    </row>
    <row r="1284" spans="1:17" ht="12" customHeight="1" x14ac:dyDescent="0.35">
      <c r="A1284" s="75">
        <v>1283</v>
      </c>
      <c r="B1284" s="64">
        <v>2013</v>
      </c>
      <c r="C1284" s="64">
        <v>9</v>
      </c>
      <c r="D1284" s="80">
        <f t="shared" si="43"/>
        <v>2013</v>
      </c>
      <c r="E1284" t="s">
        <v>38</v>
      </c>
      <c r="F1284" t="s">
        <v>143</v>
      </c>
      <c r="G1284" t="s">
        <v>10</v>
      </c>
      <c r="H1284" s="72" t="s">
        <v>211</v>
      </c>
      <c r="I1284" s="72" t="s">
        <v>53</v>
      </c>
      <c r="J1284" t="str">
        <f t="shared" si="44"/>
        <v>Carbon River</v>
      </c>
      <c r="K1284" t="str">
        <f>IFERROR(VLOOKUP(J1284,LUTs!$A$1:$C$73,2,FALSE),"NA")</f>
        <v>Pierce</v>
      </c>
      <c r="L1284" t="str">
        <f>IFERROR(VLOOKUP(J1284,LUTs!$A$1:$C$73,3,FALSE),"NA")</f>
        <v>3South Puget Sound</v>
      </c>
      <c r="M1284" s="72" t="s">
        <v>16</v>
      </c>
      <c r="N1284" t="str">
        <f>VLOOKUP(M1284,LUTs!E$2:H$14,3,)</f>
        <v>03Snohomish</v>
      </c>
      <c r="O1284" t="str">
        <f>VLOOKUP(M1284,LUTs!E$2:H$14,4,)</f>
        <v>01North Puget Sound</v>
      </c>
      <c r="P1284" s="73">
        <v>210.26395458845801</v>
      </c>
      <c r="Q1284" s="74">
        <f>VLOOKUP(B1284,Readme!A$40:C$51,2,)*P1284</f>
        <v>723.30800378429558</v>
      </c>
    </row>
    <row r="1285" spans="1:17" ht="12" customHeight="1" x14ac:dyDescent="0.35">
      <c r="A1285" s="75">
        <v>1284</v>
      </c>
      <c r="B1285" s="64">
        <v>2013</v>
      </c>
      <c r="C1285" s="64">
        <v>9</v>
      </c>
      <c r="D1285" s="80">
        <f t="shared" si="43"/>
        <v>2013</v>
      </c>
      <c r="E1285" t="s">
        <v>38</v>
      </c>
      <c r="F1285" t="s">
        <v>143</v>
      </c>
      <c r="G1285" t="s">
        <v>10</v>
      </c>
      <c r="H1285" s="72" t="s">
        <v>211</v>
      </c>
      <c r="I1285" s="72" t="s">
        <v>53</v>
      </c>
      <c r="J1285" t="str">
        <f t="shared" si="44"/>
        <v>Carbon River</v>
      </c>
      <c r="K1285" t="str">
        <f>IFERROR(VLOOKUP(J1285,LUTs!$A$1:$C$73,2,FALSE),"NA")</f>
        <v>Pierce</v>
      </c>
      <c r="L1285" t="str">
        <f>IFERROR(VLOOKUP(J1285,LUTs!$A$1:$C$73,3,FALSE),"NA")</f>
        <v>3South Puget Sound</v>
      </c>
      <c r="M1285" s="72" t="s">
        <v>21</v>
      </c>
      <c r="N1285" t="str">
        <f>VLOOKUP(M1285,LUTs!E$2:H$14,3,)</f>
        <v>08Thurston</v>
      </c>
      <c r="O1285" t="str">
        <f>VLOOKUP(M1285,LUTs!E$2:H$14,4,)</f>
        <v>02South Puget Sound</v>
      </c>
      <c r="P1285" s="73">
        <v>164.55439924314101</v>
      </c>
      <c r="Q1285" s="74">
        <f>VLOOKUP(B1285,Readme!A$40:C$51,2,)*P1285</f>
        <v>566.0671333964051</v>
      </c>
    </row>
    <row r="1286" spans="1:17" ht="12" customHeight="1" x14ac:dyDescent="0.35">
      <c r="A1286" s="75">
        <v>1285</v>
      </c>
      <c r="B1286" s="64">
        <v>2013</v>
      </c>
      <c r="C1286" s="64">
        <v>9</v>
      </c>
      <c r="D1286" s="80">
        <f t="shared" si="43"/>
        <v>2013</v>
      </c>
      <c r="E1286" t="s">
        <v>38</v>
      </c>
      <c r="F1286" t="s">
        <v>143</v>
      </c>
      <c r="G1286" t="s">
        <v>10</v>
      </c>
      <c r="H1286" s="72" t="s">
        <v>211</v>
      </c>
      <c r="I1286" s="72" t="s">
        <v>53</v>
      </c>
      <c r="J1286" t="str">
        <f t="shared" si="44"/>
        <v>Carbon River</v>
      </c>
      <c r="K1286" t="str">
        <f>IFERROR(VLOOKUP(J1286,LUTs!$A$1:$C$73,2,FALSE),"NA")</f>
        <v>Pierce</v>
      </c>
      <c r="L1286" t="str">
        <f>IFERROR(VLOOKUP(J1286,LUTs!$A$1:$C$73,3,FALSE),"NA")</f>
        <v>3South Puget Sound</v>
      </c>
      <c r="M1286" s="72" t="s">
        <v>13</v>
      </c>
      <c r="N1286" t="str">
        <f>VLOOKUP(M1286,LUTs!E$2:H$14,3,)</f>
        <v>01Whatcom</v>
      </c>
      <c r="O1286" t="str">
        <f>VLOOKUP(M1286,LUTs!E$2:H$14,4,)</f>
        <v>01North Puget Sound</v>
      </c>
      <c r="P1286" s="73">
        <v>45.7095553453169</v>
      </c>
      <c r="Q1286" s="74">
        <f>VLOOKUP(B1286,Readme!A$40:C$51,2,)*P1286</f>
        <v>157.24087038789014</v>
      </c>
    </row>
    <row r="1287" spans="1:17" ht="12" customHeight="1" x14ac:dyDescent="0.35">
      <c r="A1287" s="75">
        <v>1286</v>
      </c>
      <c r="B1287" s="64">
        <v>2013</v>
      </c>
      <c r="C1287" s="64">
        <v>10</v>
      </c>
      <c r="D1287" s="80">
        <f t="shared" si="43"/>
        <v>2013</v>
      </c>
      <c r="E1287" t="s">
        <v>38</v>
      </c>
      <c r="F1287" t="s">
        <v>143</v>
      </c>
      <c r="G1287" t="s">
        <v>10</v>
      </c>
      <c r="H1287" s="72" t="s">
        <v>211</v>
      </c>
      <c r="I1287" s="72" t="s">
        <v>53</v>
      </c>
      <c r="J1287" t="str">
        <f t="shared" si="44"/>
        <v>Carbon River</v>
      </c>
      <c r="K1287" t="str">
        <f>IFERROR(VLOOKUP(J1287,LUTs!$A$1:$C$73,2,FALSE),"NA")</f>
        <v>Pierce</v>
      </c>
      <c r="L1287" t="str">
        <f>IFERROR(VLOOKUP(J1287,LUTs!$A$1:$C$73,3,FALSE),"NA")</f>
        <v>3South Puget Sound</v>
      </c>
      <c r="M1287" s="72" t="s">
        <v>18</v>
      </c>
      <c r="N1287" t="str">
        <f>VLOOKUP(M1287,LUTs!E$2:H$14,3,)</f>
        <v>06King</v>
      </c>
      <c r="O1287" t="str">
        <f>VLOOKUP(M1287,LUTs!E$2:H$14,4,)</f>
        <v>02South Puget Sound</v>
      </c>
      <c r="P1287" s="73">
        <v>164.142857142857</v>
      </c>
      <c r="Q1287" s="74">
        <f>VLOOKUP(B1287,Readme!A$40:C$51,2,)*P1287</f>
        <v>564.65142857142803</v>
      </c>
    </row>
    <row r="1288" spans="1:17" ht="12" customHeight="1" x14ac:dyDescent="0.35">
      <c r="A1288" s="75">
        <v>1287</v>
      </c>
      <c r="B1288" s="64">
        <v>2013</v>
      </c>
      <c r="C1288" s="64">
        <v>10</v>
      </c>
      <c r="D1288" s="80">
        <f t="shared" si="43"/>
        <v>2013</v>
      </c>
      <c r="E1288" t="s">
        <v>38</v>
      </c>
      <c r="F1288" t="s">
        <v>143</v>
      </c>
      <c r="G1288" t="s">
        <v>10</v>
      </c>
      <c r="H1288" s="72" t="s">
        <v>211</v>
      </c>
      <c r="I1288" s="72" t="s">
        <v>53</v>
      </c>
      <c r="J1288" t="str">
        <f t="shared" si="44"/>
        <v>Carbon River</v>
      </c>
      <c r="K1288" t="str">
        <f>IFERROR(VLOOKUP(J1288,LUTs!$A$1:$C$73,2,FALSE),"NA")</f>
        <v>Pierce</v>
      </c>
      <c r="L1288" t="str">
        <f>IFERROR(VLOOKUP(J1288,LUTs!$A$1:$C$73,3,FALSE),"NA")</f>
        <v>3South Puget Sound</v>
      </c>
      <c r="M1288" s="72" t="s">
        <v>26</v>
      </c>
      <c r="N1288" t="str">
        <f>VLOOKUP(M1288,LUTs!E$2:H$14,3,)</f>
        <v>20Other</v>
      </c>
      <c r="O1288" t="str">
        <f>VLOOKUP(M1288,LUTs!E$2:H$14,4,)</f>
        <v>07Non Puget Sound</v>
      </c>
      <c r="P1288" s="73">
        <v>18.238095238095202</v>
      </c>
      <c r="Q1288" s="74">
        <f>VLOOKUP(B1288,Readme!A$40:C$51,2,)*P1288</f>
        <v>62.73904761904749</v>
      </c>
    </row>
    <row r="1289" spans="1:17" ht="12" customHeight="1" x14ac:dyDescent="0.35">
      <c r="A1289" s="75">
        <v>1288</v>
      </c>
      <c r="B1289" s="64">
        <v>2013</v>
      </c>
      <c r="C1289" s="64">
        <v>10</v>
      </c>
      <c r="D1289" s="80">
        <f t="shared" si="43"/>
        <v>2013</v>
      </c>
      <c r="E1289" t="s">
        <v>38</v>
      </c>
      <c r="F1289" t="s">
        <v>143</v>
      </c>
      <c r="G1289" t="s">
        <v>10</v>
      </c>
      <c r="H1289" s="72" t="s">
        <v>211</v>
      </c>
      <c r="I1289" s="72" t="s">
        <v>53</v>
      </c>
      <c r="J1289" t="str">
        <f t="shared" si="44"/>
        <v>Carbon River</v>
      </c>
      <c r="K1289" t="str">
        <f>IFERROR(VLOOKUP(J1289,LUTs!$A$1:$C$73,2,FALSE),"NA")</f>
        <v>Pierce</v>
      </c>
      <c r="L1289" t="str">
        <f>IFERROR(VLOOKUP(J1289,LUTs!$A$1:$C$73,3,FALSE),"NA")</f>
        <v>3South Puget Sound</v>
      </c>
      <c r="M1289" s="72" t="s">
        <v>20</v>
      </c>
      <c r="N1289" t="str">
        <f>VLOOKUP(M1289,LUTs!E$2:H$14,3,)</f>
        <v>07Pierce</v>
      </c>
      <c r="O1289" t="str">
        <f>VLOOKUP(M1289,LUTs!E$2:H$14,4,)</f>
        <v>02South Puget Sound</v>
      </c>
      <c r="P1289" s="73">
        <v>939.26190476190504</v>
      </c>
      <c r="Q1289" s="74">
        <f>VLOOKUP(B1289,Readme!A$40:C$51,2,)*P1289</f>
        <v>3231.0609523809535</v>
      </c>
    </row>
    <row r="1290" spans="1:17" ht="12" customHeight="1" x14ac:dyDescent="0.35">
      <c r="A1290" s="75">
        <v>1289</v>
      </c>
      <c r="B1290" s="64">
        <v>2013</v>
      </c>
      <c r="C1290" s="64">
        <v>10</v>
      </c>
      <c r="D1290" s="80">
        <f t="shared" si="43"/>
        <v>2013</v>
      </c>
      <c r="E1290" t="s">
        <v>38</v>
      </c>
      <c r="F1290" t="s">
        <v>143</v>
      </c>
      <c r="G1290" t="s">
        <v>10</v>
      </c>
      <c r="H1290" s="72" t="s">
        <v>211</v>
      </c>
      <c r="I1290" s="72" t="s">
        <v>53</v>
      </c>
      <c r="J1290" t="str">
        <f t="shared" si="44"/>
        <v>Carbon River</v>
      </c>
      <c r="K1290" t="str">
        <f>IFERROR(VLOOKUP(J1290,LUTs!$A$1:$C$73,2,FALSE),"NA")</f>
        <v>Pierce</v>
      </c>
      <c r="L1290" t="str">
        <f>IFERROR(VLOOKUP(J1290,LUTs!$A$1:$C$73,3,FALSE),"NA")</f>
        <v>3South Puget Sound</v>
      </c>
      <c r="M1290" s="72" t="s">
        <v>16</v>
      </c>
      <c r="N1290" t="str">
        <f>VLOOKUP(M1290,LUTs!E$2:H$14,3,)</f>
        <v>03Snohomish</v>
      </c>
      <c r="O1290" t="str">
        <f>VLOOKUP(M1290,LUTs!E$2:H$14,4,)</f>
        <v>01North Puget Sound</v>
      </c>
      <c r="P1290" s="73">
        <v>27.3571428571429</v>
      </c>
      <c r="Q1290" s="74">
        <f>VLOOKUP(B1290,Readme!A$40:C$51,2,)*P1290</f>
        <v>94.10857142857158</v>
      </c>
    </row>
    <row r="1291" spans="1:17" ht="12" customHeight="1" x14ac:dyDescent="0.35">
      <c r="A1291" s="75">
        <v>1290</v>
      </c>
      <c r="B1291" s="64">
        <v>2013</v>
      </c>
      <c r="C1291" s="64">
        <v>11</v>
      </c>
      <c r="D1291" s="80">
        <f t="shared" si="43"/>
        <v>2013</v>
      </c>
      <c r="E1291" t="s">
        <v>38</v>
      </c>
      <c r="F1291" t="s">
        <v>143</v>
      </c>
      <c r="G1291" t="s">
        <v>10</v>
      </c>
      <c r="H1291" s="72" t="s">
        <v>211</v>
      </c>
      <c r="I1291" s="72" t="s">
        <v>53</v>
      </c>
      <c r="J1291" t="str">
        <f t="shared" si="44"/>
        <v>Carbon River</v>
      </c>
      <c r="K1291" t="str">
        <f>IFERROR(VLOOKUP(J1291,LUTs!$A$1:$C$73,2,FALSE),"NA")</f>
        <v>Pierce</v>
      </c>
      <c r="L1291" t="str">
        <f>IFERROR(VLOOKUP(J1291,LUTs!$A$1:$C$73,3,FALSE),"NA")</f>
        <v>3South Puget Sound</v>
      </c>
      <c r="M1291" s="72" t="s">
        <v>20</v>
      </c>
      <c r="N1291" t="str">
        <f>VLOOKUP(M1291,LUTs!E$2:H$14,3,)</f>
        <v>07Pierce</v>
      </c>
      <c r="O1291" t="str">
        <f>VLOOKUP(M1291,LUTs!E$2:H$14,4,)</f>
        <v>02South Puget Sound</v>
      </c>
      <c r="P1291" s="73">
        <v>83</v>
      </c>
      <c r="Q1291" s="74">
        <f>VLOOKUP(B1291,Readme!A$40:C$51,2,)*P1291</f>
        <v>285.52</v>
      </c>
    </row>
    <row r="1292" spans="1:17" ht="12" customHeight="1" x14ac:dyDescent="0.35">
      <c r="A1292" s="75">
        <v>1291</v>
      </c>
      <c r="B1292" s="64">
        <v>2013</v>
      </c>
      <c r="C1292" s="64">
        <v>7</v>
      </c>
      <c r="D1292" s="80">
        <f t="shared" si="43"/>
        <v>2013</v>
      </c>
      <c r="E1292" t="s">
        <v>38</v>
      </c>
      <c r="F1292" t="s">
        <v>143</v>
      </c>
      <c r="G1292" t="s">
        <v>10</v>
      </c>
      <c r="H1292" s="72" t="s">
        <v>212</v>
      </c>
      <c r="I1292" s="72" t="s">
        <v>54</v>
      </c>
      <c r="J1292" t="str">
        <f t="shared" si="44"/>
        <v>Puyallup River</v>
      </c>
      <c r="K1292" t="str">
        <f>IFERROR(VLOOKUP(J1292,LUTs!$A$1:$C$73,2,FALSE),"NA")</f>
        <v>Pierce</v>
      </c>
      <c r="L1292" t="str">
        <f>IFERROR(VLOOKUP(J1292,LUTs!$A$1:$C$73,3,FALSE),"NA")</f>
        <v>3South Puget Sound</v>
      </c>
      <c r="M1292" s="72" t="s">
        <v>18</v>
      </c>
      <c r="N1292" t="str">
        <f>VLOOKUP(M1292,LUTs!E$2:H$14,3,)</f>
        <v>06King</v>
      </c>
      <c r="O1292" t="str">
        <f>VLOOKUP(M1292,LUTs!E$2:H$14,4,)</f>
        <v>02South Puget Sound</v>
      </c>
      <c r="P1292" s="73">
        <v>163.88372093023301</v>
      </c>
      <c r="Q1292" s="74">
        <f>VLOOKUP(B1292,Readme!A$40:C$51,2,)*P1292</f>
        <v>563.76000000000158</v>
      </c>
    </row>
    <row r="1293" spans="1:17" ht="12" customHeight="1" x14ac:dyDescent="0.35">
      <c r="A1293" s="75">
        <v>1292</v>
      </c>
      <c r="B1293" s="64">
        <v>2013</v>
      </c>
      <c r="C1293" s="64">
        <v>7</v>
      </c>
      <c r="D1293" s="80">
        <f t="shared" si="43"/>
        <v>2013</v>
      </c>
      <c r="E1293" t="s">
        <v>38</v>
      </c>
      <c r="F1293" t="s">
        <v>143</v>
      </c>
      <c r="G1293" t="s">
        <v>10</v>
      </c>
      <c r="H1293" s="72" t="s">
        <v>212</v>
      </c>
      <c r="I1293" s="72" t="s">
        <v>54</v>
      </c>
      <c r="J1293" t="str">
        <f t="shared" si="44"/>
        <v>Puyallup River</v>
      </c>
      <c r="K1293" t="str">
        <f>IFERROR(VLOOKUP(J1293,LUTs!$A$1:$C$73,2,FALSE),"NA")</f>
        <v>Pierce</v>
      </c>
      <c r="L1293" t="str">
        <f>IFERROR(VLOOKUP(J1293,LUTs!$A$1:$C$73,3,FALSE),"NA")</f>
        <v>3South Puget Sound</v>
      </c>
      <c r="M1293" s="72" t="s">
        <v>20</v>
      </c>
      <c r="N1293" t="str">
        <f>VLOOKUP(M1293,LUTs!E$2:H$14,3,)</f>
        <v>07Pierce</v>
      </c>
      <c r="O1293" t="str">
        <f>VLOOKUP(M1293,LUTs!E$2:H$14,4,)</f>
        <v>02South Puget Sound</v>
      </c>
      <c r="P1293" s="73">
        <v>555.38372093023304</v>
      </c>
      <c r="Q1293" s="74">
        <f>VLOOKUP(B1293,Readme!A$40:C$51,2,)*P1293</f>
        <v>1910.5200000000016</v>
      </c>
    </row>
    <row r="1294" spans="1:17" ht="12" customHeight="1" x14ac:dyDescent="0.35">
      <c r="A1294" s="75">
        <v>1293</v>
      </c>
      <c r="B1294" s="64">
        <v>2013</v>
      </c>
      <c r="C1294" s="64">
        <v>7</v>
      </c>
      <c r="D1294" s="80">
        <f t="shared" si="43"/>
        <v>2013</v>
      </c>
      <c r="E1294" t="s">
        <v>38</v>
      </c>
      <c r="F1294" t="s">
        <v>143</v>
      </c>
      <c r="G1294" t="s">
        <v>10</v>
      </c>
      <c r="H1294" s="72" t="s">
        <v>212</v>
      </c>
      <c r="I1294" s="72" t="s">
        <v>54</v>
      </c>
      <c r="J1294" t="str">
        <f t="shared" si="44"/>
        <v>Puyallup River</v>
      </c>
      <c r="K1294" t="str">
        <f>IFERROR(VLOOKUP(J1294,LUTs!$A$1:$C$73,2,FALSE),"NA")</f>
        <v>Pierce</v>
      </c>
      <c r="L1294" t="str">
        <f>IFERROR(VLOOKUP(J1294,LUTs!$A$1:$C$73,3,FALSE),"NA")</f>
        <v>3South Puget Sound</v>
      </c>
      <c r="M1294" s="72" t="s">
        <v>21</v>
      </c>
      <c r="N1294" t="str">
        <f>VLOOKUP(M1294,LUTs!E$2:H$14,3,)</f>
        <v>08Thurston</v>
      </c>
      <c r="O1294" t="str">
        <f>VLOOKUP(M1294,LUTs!E$2:H$14,4,)</f>
        <v>02South Puget Sound</v>
      </c>
      <c r="P1294" s="73">
        <v>63.732558139534902</v>
      </c>
      <c r="Q1294" s="74">
        <f>VLOOKUP(B1294,Readme!A$40:C$51,2,)*P1294</f>
        <v>219.24000000000007</v>
      </c>
    </row>
    <row r="1295" spans="1:17" ht="12" customHeight="1" x14ac:dyDescent="0.35">
      <c r="A1295" s="75">
        <v>1294</v>
      </c>
      <c r="B1295" s="64">
        <v>2013</v>
      </c>
      <c r="C1295" s="64">
        <v>8</v>
      </c>
      <c r="D1295" s="80">
        <f t="shared" si="43"/>
        <v>2013</v>
      </c>
      <c r="E1295" t="s">
        <v>38</v>
      </c>
      <c r="F1295" t="s">
        <v>143</v>
      </c>
      <c r="G1295" t="s">
        <v>10</v>
      </c>
      <c r="H1295" s="72" t="s">
        <v>212</v>
      </c>
      <c r="I1295" s="72" t="s">
        <v>54</v>
      </c>
      <c r="J1295" t="str">
        <f t="shared" si="44"/>
        <v>Puyallup River</v>
      </c>
      <c r="K1295" t="str">
        <f>IFERROR(VLOOKUP(J1295,LUTs!$A$1:$C$73,2,FALSE),"NA")</f>
        <v>Pierce</v>
      </c>
      <c r="L1295" t="str">
        <f>IFERROR(VLOOKUP(J1295,LUTs!$A$1:$C$73,3,FALSE),"NA")</f>
        <v>3South Puget Sound</v>
      </c>
      <c r="M1295" s="72" t="s">
        <v>17</v>
      </c>
      <c r="N1295" t="str">
        <f>VLOOKUP(M1295,LUTs!E$2:H$14,3,)</f>
        <v>04Island</v>
      </c>
      <c r="O1295" t="str">
        <f>VLOOKUP(M1295,LUTs!E$2:H$14,4,)</f>
        <v>01North Puget Sound</v>
      </c>
      <c r="P1295" s="73">
        <v>91.168762174606002</v>
      </c>
      <c r="Q1295" s="74">
        <f>VLOOKUP(B1295,Readme!A$40:C$51,2,)*P1295</f>
        <v>313.62054188064462</v>
      </c>
    </row>
    <row r="1296" spans="1:17" ht="12" customHeight="1" x14ac:dyDescent="0.35">
      <c r="A1296" s="75">
        <v>1295</v>
      </c>
      <c r="B1296" s="64">
        <v>2013</v>
      </c>
      <c r="C1296" s="64">
        <v>8</v>
      </c>
      <c r="D1296" s="80">
        <f t="shared" si="43"/>
        <v>2013</v>
      </c>
      <c r="E1296" t="s">
        <v>38</v>
      </c>
      <c r="F1296" t="s">
        <v>143</v>
      </c>
      <c r="G1296" t="s">
        <v>10</v>
      </c>
      <c r="H1296" s="72" t="s">
        <v>212</v>
      </c>
      <c r="I1296" s="72" t="s">
        <v>54</v>
      </c>
      <c r="J1296" t="str">
        <f t="shared" si="44"/>
        <v>Puyallup River</v>
      </c>
      <c r="K1296" t="str">
        <f>IFERROR(VLOOKUP(J1296,LUTs!$A$1:$C$73,2,FALSE),"NA")</f>
        <v>Pierce</v>
      </c>
      <c r="L1296" t="str">
        <f>IFERROR(VLOOKUP(J1296,LUTs!$A$1:$C$73,3,FALSE),"NA")</f>
        <v>3South Puget Sound</v>
      </c>
      <c r="M1296" s="72" t="s">
        <v>25</v>
      </c>
      <c r="N1296" t="str">
        <f>VLOOKUP(M1296,LUTs!E$2:H$14,3,)</f>
        <v>12Jefferson</v>
      </c>
      <c r="O1296" t="str">
        <f>VLOOKUP(M1296,LUTs!E$2:H$14,4,)</f>
        <v>03Strait of Juan de Fuca</v>
      </c>
      <c r="P1296" s="73">
        <v>45.584381087303001</v>
      </c>
      <c r="Q1296" s="74">
        <f>VLOOKUP(B1296,Readme!A$40:C$51,2,)*P1296</f>
        <v>156.81027094032231</v>
      </c>
    </row>
    <row r="1297" spans="1:17" ht="12" customHeight="1" x14ac:dyDescent="0.35">
      <c r="A1297" s="75">
        <v>1296</v>
      </c>
      <c r="B1297" s="64">
        <v>2013</v>
      </c>
      <c r="C1297" s="64">
        <v>8</v>
      </c>
      <c r="D1297" s="80">
        <f t="shared" si="43"/>
        <v>2013</v>
      </c>
      <c r="E1297" t="s">
        <v>38</v>
      </c>
      <c r="F1297" t="s">
        <v>143</v>
      </c>
      <c r="G1297" t="s">
        <v>10</v>
      </c>
      <c r="H1297" s="72" t="s">
        <v>212</v>
      </c>
      <c r="I1297" s="72" t="s">
        <v>54</v>
      </c>
      <c r="J1297" t="str">
        <f t="shared" si="44"/>
        <v>Puyallup River</v>
      </c>
      <c r="K1297" t="str">
        <f>IFERROR(VLOOKUP(J1297,LUTs!$A$1:$C$73,2,FALSE),"NA")</f>
        <v>Pierce</v>
      </c>
      <c r="L1297" t="str">
        <f>IFERROR(VLOOKUP(J1297,LUTs!$A$1:$C$73,3,FALSE),"NA")</f>
        <v>3South Puget Sound</v>
      </c>
      <c r="M1297" s="72" t="s">
        <v>18</v>
      </c>
      <c r="N1297" t="str">
        <f>VLOOKUP(M1297,LUTs!E$2:H$14,3,)</f>
        <v>06King</v>
      </c>
      <c r="O1297" t="str">
        <f>VLOOKUP(M1297,LUTs!E$2:H$14,4,)</f>
        <v>02South Puget Sound</v>
      </c>
      <c r="P1297" s="73">
        <v>32000.235523286701</v>
      </c>
      <c r="Q1297" s="74">
        <f>VLOOKUP(B1297,Readme!A$40:C$51,2,)*P1297</f>
        <v>110080.81020010625</v>
      </c>
    </row>
    <row r="1298" spans="1:17" ht="12" customHeight="1" x14ac:dyDescent="0.35">
      <c r="A1298" s="75">
        <v>1297</v>
      </c>
      <c r="B1298" s="64">
        <v>2013</v>
      </c>
      <c r="C1298" s="64">
        <v>8</v>
      </c>
      <c r="D1298" s="80">
        <f t="shared" si="43"/>
        <v>2013</v>
      </c>
      <c r="E1298" t="s">
        <v>38</v>
      </c>
      <c r="F1298" t="s">
        <v>143</v>
      </c>
      <c r="G1298" t="s">
        <v>10</v>
      </c>
      <c r="H1298" s="72" t="s">
        <v>212</v>
      </c>
      <c r="I1298" s="72" t="s">
        <v>54</v>
      </c>
      <c r="J1298" t="str">
        <f t="shared" si="44"/>
        <v>Puyallup River</v>
      </c>
      <c r="K1298" t="str">
        <f>IFERROR(VLOOKUP(J1298,LUTs!$A$1:$C$73,2,FALSE),"NA")</f>
        <v>Pierce</v>
      </c>
      <c r="L1298" t="str">
        <f>IFERROR(VLOOKUP(J1298,LUTs!$A$1:$C$73,3,FALSE),"NA")</f>
        <v>3South Puget Sound</v>
      </c>
      <c r="M1298" s="72" t="s">
        <v>23</v>
      </c>
      <c r="N1298" t="str">
        <f>VLOOKUP(M1298,LUTs!E$2:H$14,3,)</f>
        <v>10Kitsap</v>
      </c>
      <c r="O1298" t="str">
        <f>VLOOKUP(M1298,LUTs!E$2:H$14,4,)</f>
        <v>02South Puget Sound</v>
      </c>
      <c r="P1298" s="73">
        <v>1057.55764122543</v>
      </c>
      <c r="Q1298" s="74">
        <f>VLOOKUP(B1298,Readme!A$40:C$51,2,)*P1298</f>
        <v>3637.998285815479</v>
      </c>
    </row>
    <row r="1299" spans="1:17" ht="12" customHeight="1" x14ac:dyDescent="0.35">
      <c r="A1299" s="75">
        <v>1298</v>
      </c>
      <c r="B1299" s="64">
        <v>2013</v>
      </c>
      <c r="C1299" s="64">
        <v>8</v>
      </c>
      <c r="D1299" s="80">
        <f t="shared" si="43"/>
        <v>2013</v>
      </c>
      <c r="E1299" t="s">
        <v>38</v>
      </c>
      <c r="F1299" t="s">
        <v>143</v>
      </c>
      <c r="G1299" t="s">
        <v>10</v>
      </c>
      <c r="H1299" s="72" t="s">
        <v>212</v>
      </c>
      <c r="I1299" s="72" t="s">
        <v>54</v>
      </c>
      <c r="J1299" t="str">
        <f t="shared" si="44"/>
        <v>Puyallup River</v>
      </c>
      <c r="K1299" t="str">
        <f>IFERROR(VLOOKUP(J1299,LUTs!$A$1:$C$73,2,FALSE),"NA")</f>
        <v>Pierce</v>
      </c>
      <c r="L1299" t="str">
        <f>IFERROR(VLOOKUP(J1299,LUTs!$A$1:$C$73,3,FALSE),"NA")</f>
        <v>3South Puget Sound</v>
      </c>
      <c r="M1299" s="72" t="s">
        <v>22</v>
      </c>
      <c r="N1299" t="str">
        <f>VLOOKUP(M1299,LUTs!E$2:H$14,3,)</f>
        <v>09Mason</v>
      </c>
      <c r="O1299" t="str">
        <f>VLOOKUP(M1299,LUTs!E$2:H$14,4,)</f>
        <v>02South Puget Sound</v>
      </c>
      <c r="P1299" s="73">
        <v>392.02567735080601</v>
      </c>
      <c r="Q1299" s="74">
        <f>VLOOKUP(B1299,Readme!A$40:C$51,2,)*P1299</f>
        <v>1348.5683300867727</v>
      </c>
    </row>
    <row r="1300" spans="1:17" ht="12" customHeight="1" x14ac:dyDescent="0.35">
      <c r="A1300" s="75">
        <v>1299</v>
      </c>
      <c r="B1300" s="64">
        <v>2013</v>
      </c>
      <c r="C1300" s="64">
        <v>8</v>
      </c>
      <c r="D1300" s="80">
        <f t="shared" si="43"/>
        <v>2013</v>
      </c>
      <c r="E1300" t="s">
        <v>38</v>
      </c>
      <c r="F1300" t="s">
        <v>143</v>
      </c>
      <c r="G1300" t="s">
        <v>10</v>
      </c>
      <c r="H1300" s="72" t="s">
        <v>212</v>
      </c>
      <c r="I1300" s="72" t="s">
        <v>54</v>
      </c>
      <c r="J1300" t="str">
        <f t="shared" si="44"/>
        <v>Puyallup River</v>
      </c>
      <c r="K1300" t="str">
        <f>IFERROR(VLOOKUP(J1300,LUTs!$A$1:$C$73,2,FALSE),"NA")</f>
        <v>Pierce</v>
      </c>
      <c r="L1300" t="str">
        <f>IFERROR(VLOOKUP(J1300,LUTs!$A$1:$C$73,3,FALSE),"NA")</f>
        <v>3South Puget Sound</v>
      </c>
      <c r="M1300" s="72" t="s">
        <v>26</v>
      </c>
      <c r="N1300" t="str">
        <f>VLOOKUP(M1300,LUTs!E$2:H$14,3,)</f>
        <v>20Other</v>
      </c>
      <c r="O1300" t="str">
        <f>VLOOKUP(M1300,LUTs!E$2:H$14,4,)</f>
        <v>07Non Puget Sound</v>
      </c>
      <c r="P1300" s="73">
        <v>5369.8400920842896</v>
      </c>
      <c r="Q1300" s="74">
        <f>VLOOKUP(B1300,Readme!A$40:C$51,2,)*P1300</f>
        <v>18472.249916769957</v>
      </c>
    </row>
    <row r="1301" spans="1:17" ht="12" customHeight="1" x14ac:dyDescent="0.35">
      <c r="A1301" s="75">
        <v>1300</v>
      </c>
      <c r="B1301" s="64">
        <v>2013</v>
      </c>
      <c r="C1301" s="64">
        <v>8</v>
      </c>
      <c r="D1301" s="80">
        <f t="shared" si="43"/>
        <v>2013</v>
      </c>
      <c r="E1301" t="s">
        <v>38</v>
      </c>
      <c r="F1301" t="s">
        <v>143</v>
      </c>
      <c r="G1301" t="s">
        <v>10</v>
      </c>
      <c r="H1301" s="72" t="s">
        <v>212</v>
      </c>
      <c r="I1301" s="72" t="s">
        <v>54</v>
      </c>
      <c r="J1301" t="str">
        <f t="shared" si="44"/>
        <v>Puyallup River</v>
      </c>
      <c r="K1301" t="str">
        <f>IFERROR(VLOOKUP(J1301,LUTs!$A$1:$C$73,2,FALSE),"NA")</f>
        <v>Pierce</v>
      </c>
      <c r="L1301" t="str">
        <f>IFERROR(VLOOKUP(J1301,LUTs!$A$1:$C$73,3,FALSE),"NA")</f>
        <v>3South Puget Sound</v>
      </c>
      <c r="M1301" s="72" t="s">
        <v>20</v>
      </c>
      <c r="N1301" t="str">
        <f>VLOOKUP(M1301,LUTs!E$2:H$14,3,)</f>
        <v>07Pierce</v>
      </c>
      <c r="O1301" t="str">
        <f>VLOOKUP(M1301,LUTs!E$2:H$14,4,)</f>
        <v>02South Puget Sound</v>
      </c>
      <c r="P1301" s="73">
        <v>56971.359482911299</v>
      </c>
      <c r="Q1301" s="74">
        <f>VLOOKUP(B1301,Readme!A$40:C$51,2,)*P1301</f>
        <v>195981.47662121485</v>
      </c>
    </row>
    <row r="1302" spans="1:17" ht="12" customHeight="1" x14ac:dyDescent="0.35">
      <c r="A1302" s="75">
        <v>1301</v>
      </c>
      <c r="B1302" s="64">
        <v>2013</v>
      </c>
      <c r="C1302" s="64">
        <v>8</v>
      </c>
      <c r="D1302" s="80">
        <f t="shared" si="43"/>
        <v>2013</v>
      </c>
      <c r="E1302" t="s">
        <v>38</v>
      </c>
      <c r="F1302" t="s">
        <v>143</v>
      </c>
      <c r="G1302" t="s">
        <v>10</v>
      </c>
      <c r="H1302" s="72" t="s">
        <v>212</v>
      </c>
      <c r="I1302" s="72" t="s">
        <v>54</v>
      </c>
      <c r="J1302" t="str">
        <f t="shared" si="44"/>
        <v>Puyallup River</v>
      </c>
      <c r="K1302" t="str">
        <f>IFERROR(VLOOKUP(J1302,LUTs!$A$1:$C$73,2,FALSE),"NA")</f>
        <v>Pierce</v>
      </c>
      <c r="L1302" t="str">
        <f>IFERROR(VLOOKUP(J1302,LUTs!$A$1:$C$73,3,FALSE),"NA")</f>
        <v>3South Puget Sound</v>
      </c>
      <c r="M1302" s="72" t="s">
        <v>16</v>
      </c>
      <c r="N1302" t="str">
        <f>VLOOKUP(M1302,LUTs!E$2:H$14,3,)</f>
        <v>03Snohomish</v>
      </c>
      <c r="O1302" t="str">
        <f>VLOOKUP(M1302,LUTs!E$2:H$14,4,)</f>
        <v>01North Puget Sound</v>
      </c>
      <c r="P1302" s="73">
        <v>1276.36267044448</v>
      </c>
      <c r="Q1302" s="74">
        <f>VLOOKUP(B1302,Readme!A$40:C$51,2,)*P1302</f>
        <v>4390.6875863290115</v>
      </c>
    </row>
    <row r="1303" spans="1:17" ht="12" customHeight="1" x14ac:dyDescent="0.35">
      <c r="A1303" s="75">
        <v>1302</v>
      </c>
      <c r="B1303" s="64">
        <v>2013</v>
      </c>
      <c r="C1303" s="64">
        <v>8</v>
      </c>
      <c r="D1303" s="80">
        <f t="shared" si="43"/>
        <v>2013</v>
      </c>
      <c r="E1303" t="s">
        <v>38</v>
      </c>
      <c r="F1303" t="s">
        <v>143</v>
      </c>
      <c r="G1303" t="s">
        <v>10</v>
      </c>
      <c r="H1303" s="72" t="s">
        <v>212</v>
      </c>
      <c r="I1303" s="72" t="s">
        <v>54</v>
      </c>
      <c r="J1303" t="str">
        <f t="shared" si="44"/>
        <v>Puyallup River</v>
      </c>
      <c r="K1303" t="str">
        <f>IFERROR(VLOOKUP(J1303,LUTs!$A$1:$C$73,2,FALSE),"NA")</f>
        <v>Pierce</v>
      </c>
      <c r="L1303" t="str">
        <f>IFERROR(VLOOKUP(J1303,LUTs!$A$1:$C$73,3,FALSE),"NA")</f>
        <v>3South Puget Sound</v>
      </c>
      <c r="M1303" s="72" t="s">
        <v>21</v>
      </c>
      <c r="N1303" t="str">
        <f>VLOOKUP(M1303,LUTs!E$2:H$14,3,)</f>
        <v>08Thurston</v>
      </c>
      <c r="O1303" t="str">
        <f>VLOOKUP(M1303,LUTs!E$2:H$14,4,)</f>
        <v>02South Puget Sound</v>
      </c>
      <c r="P1303" s="73">
        <v>5752.7488932176402</v>
      </c>
      <c r="Q1303" s="74">
        <f>VLOOKUP(B1303,Readme!A$40:C$51,2,)*P1303</f>
        <v>19789.456192668684</v>
      </c>
    </row>
    <row r="1304" spans="1:17" ht="12" customHeight="1" x14ac:dyDescent="0.35">
      <c r="A1304" s="75">
        <v>1303</v>
      </c>
      <c r="B1304" s="64">
        <v>2013</v>
      </c>
      <c r="C1304" s="64">
        <v>8</v>
      </c>
      <c r="D1304" s="80">
        <f t="shared" si="43"/>
        <v>2013</v>
      </c>
      <c r="E1304" t="s">
        <v>38</v>
      </c>
      <c r="F1304" t="s">
        <v>143</v>
      </c>
      <c r="G1304" t="s">
        <v>10</v>
      </c>
      <c r="H1304" s="72" t="s">
        <v>212</v>
      </c>
      <c r="I1304" s="72" t="s">
        <v>54</v>
      </c>
      <c r="J1304" t="str">
        <f t="shared" si="44"/>
        <v>Puyallup River</v>
      </c>
      <c r="K1304" t="str">
        <f>IFERROR(VLOOKUP(J1304,LUTs!$A$1:$C$73,2,FALSE),"NA")</f>
        <v>Pierce</v>
      </c>
      <c r="L1304" t="str">
        <f>IFERROR(VLOOKUP(J1304,LUTs!$A$1:$C$73,3,FALSE),"NA")</f>
        <v>3South Puget Sound</v>
      </c>
      <c r="M1304" s="72" t="s">
        <v>13</v>
      </c>
      <c r="N1304" t="str">
        <f>VLOOKUP(M1304,LUTs!E$2:H$14,3,)</f>
        <v>01Whatcom</v>
      </c>
      <c r="O1304" t="str">
        <f>VLOOKUP(M1304,LUTs!E$2:H$14,4,)</f>
        <v>01North Puget Sound</v>
      </c>
      <c r="P1304" s="73">
        <v>9.1168762174606002</v>
      </c>
      <c r="Q1304" s="74">
        <f>VLOOKUP(B1304,Readme!A$40:C$51,2,)*P1304</f>
        <v>31.362054188064466</v>
      </c>
    </row>
    <row r="1305" spans="1:17" ht="12" customHeight="1" x14ac:dyDescent="0.35">
      <c r="A1305" s="75">
        <v>1304</v>
      </c>
      <c r="B1305" s="64">
        <v>2013</v>
      </c>
      <c r="C1305" s="64">
        <v>9</v>
      </c>
      <c r="D1305" s="80">
        <f t="shared" si="43"/>
        <v>2013</v>
      </c>
      <c r="E1305" t="s">
        <v>38</v>
      </c>
      <c r="F1305" t="s">
        <v>143</v>
      </c>
      <c r="G1305" t="s">
        <v>10</v>
      </c>
      <c r="H1305" s="72" t="s">
        <v>212</v>
      </c>
      <c r="I1305" s="72" t="s">
        <v>54</v>
      </c>
      <c r="J1305" t="str">
        <f t="shared" si="44"/>
        <v>Puyallup River</v>
      </c>
      <c r="K1305" t="str">
        <f>IFERROR(VLOOKUP(J1305,LUTs!$A$1:$C$73,2,FALSE),"NA")</f>
        <v>Pierce</v>
      </c>
      <c r="L1305" t="str">
        <f>IFERROR(VLOOKUP(J1305,LUTs!$A$1:$C$73,3,FALSE),"NA")</f>
        <v>3South Puget Sound</v>
      </c>
      <c r="M1305" s="72" t="s">
        <v>17</v>
      </c>
      <c r="N1305" t="str">
        <f>VLOOKUP(M1305,LUTs!E$2:H$14,3,)</f>
        <v>04Island</v>
      </c>
      <c r="O1305" t="str">
        <f>VLOOKUP(M1305,LUTs!E$2:H$14,4,)</f>
        <v>01North Puget Sound</v>
      </c>
      <c r="P1305" s="73">
        <v>81.969323509711998</v>
      </c>
      <c r="Q1305" s="74">
        <f>VLOOKUP(B1305,Readme!A$40:C$51,2,)*P1305</f>
        <v>281.9744728734093</v>
      </c>
    </row>
    <row r="1306" spans="1:17" ht="12" customHeight="1" x14ac:dyDescent="0.35">
      <c r="A1306" s="75">
        <v>1305</v>
      </c>
      <c r="B1306" s="64">
        <v>2013</v>
      </c>
      <c r="C1306" s="64">
        <v>9</v>
      </c>
      <c r="D1306" s="80">
        <f t="shared" si="43"/>
        <v>2013</v>
      </c>
      <c r="E1306" t="s">
        <v>38</v>
      </c>
      <c r="F1306" t="s">
        <v>143</v>
      </c>
      <c r="G1306" t="s">
        <v>10</v>
      </c>
      <c r="H1306" s="72" t="s">
        <v>212</v>
      </c>
      <c r="I1306" s="72" t="s">
        <v>54</v>
      </c>
      <c r="J1306" t="str">
        <f t="shared" si="44"/>
        <v>Puyallup River</v>
      </c>
      <c r="K1306" t="str">
        <f>IFERROR(VLOOKUP(J1306,LUTs!$A$1:$C$73,2,FALSE),"NA")</f>
        <v>Pierce</v>
      </c>
      <c r="L1306" t="str">
        <f>IFERROR(VLOOKUP(J1306,LUTs!$A$1:$C$73,3,FALSE),"NA")</f>
        <v>3South Puget Sound</v>
      </c>
      <c r="M1306" s="72" t="s">
        <v>18</v>
      </c>
      <c r="N1306" t="str">
        <f>VLOOKUP(M1306,LUTs!E$2:H$14,3,)</f>
        <v>06King</v>
      </c>
      <c r="O1306" t="str">
        <f>VLOOKUP(M1306,LUTs!E$2:H$14,4,)</f>
        <v>02South Puget Sound</v>
      </c>
      <c r="P1306" s="73">
        <v>22313.871399865999</v>
      </c>
      <c r="Q1306" s="74">
        <f>VLOOKUP(B1306,Readme!A$40:C$51,2,)*P1306</f>
        <v>76759.717615539033</v>
      </c>
    </row>
    <row r="1307" spans="1:17" ht="12" customHeight="1" x14ac:dyDescent="0.35">
      <c r="A1307" s="75">
        <v>1306</v>
      </c>
      <c r="B1307" s="64">
        <v>2013</v>
      </c>
      <c r="C1307" s="64">
        <v>9</v>
      </c>
      <c r="D1307" s="80">
        <f t="shared" si="43"/>
        <v>2013</v>
      </c>
      <c r="E1307" t="s">
        <v>38</v>
      </c>
      <c r="F1307" t="s">
        <v>143</v>
      </c>
      <c r="G1307" t="s">
        <v>10</v>
      </c>
      <c r="H1307" s="72" t="s">
        <v>212</v>
      </c>
      <c r="I1307" s="72" t="s">
        <v>54</v>
      </c>
      <c r="J1307" t="str">
        <f t="shared" si="44"/>
        <v>Puyallup River</v>
      </c>
      <c r="K1307" t="str">
        <f>IFERROR(VLOOKUP(J1307,LUTs!$A$1:$C$73,2,FALSE),"NA")</f>
        <v>Pierce</v>
      </c>
      <c r="L1307" t="str">
        <f>IFERROR(VLOOKUP(J1307,LUTs!$A$1:$C$73,3,FALSE),"NA")</f>
        <v>3South Puget Sound</v>
      </c>
      <c r="M1307" s="72" t="s">
        <v>23</v>
      </c>
      <c r="N1307" t="str">
        <f>VLOOKUP(M1307,LUTs!E$2:H$14,3,)</f>
        <v>10Kitsap</v>
      </c>
      <c r="O1307" t="str">
        <f>VLOOKUP(M1307,LUTs!E$2:H$14,4,)</f>
        <v>02South Puget Sound</v>
      </c>
      <c r="P1307" s="73">
        <v>1475.4478231748201</v>
      </c>
      <c r="Q1307" s="74">
        <f>VLOOKUP(B1307,Readme!A$40:C$51,2,)*P1307</f>
        <v>5075.5405117213813</v>
      </c>
    </row>
    <row r="1308" spans="1:17" ht="12" customHeight="1" x14ac:dyDescent="0.35">
      <c r="A1308" s="75">
        <v>1307</v>
      </c>
      <c r="B1308" s="64">
        <v>2013</v>
      </c>
      <c r="C1308" s="64">
        <v>9</v>
      </c>
      <c r="D1308" s="80">
        <f t="shared" si="43"/>
        <v>2013</v>
      </c>
      <c r="E1308" t="s">
        <v>38</v>
      </c>
      <c r="F1308" t="s">
        <v>143</v>
      </c>
      <c r="G1308" t="s">
        <v>10</v>
      </c>
      <c r="H1308" s="72" t="s">
        <v>212</v>
      </c>
      <c r="I1308" s="72" t="s">
        <v>54</v>
      </c>
      <c r="J1308" t="str">
        <f t="shared" si="44"/>
        <v>Puyallup River</v>
      </c>
      <c r="K1308" t="str">
        <f>IFERROR(VLOOKUP(J1308,LUTs!$A$1:$C$73,2,FALSE),"NA")</f>
        <v>Pierce</v>
      </c>
      <c r="L1308" t="str">
        <f>IFERROR(VLOOKUP(J1308,LUTs!$A$1:$C$73,3,FALSE),"NA")</f>
        <v>3South Puget Sound</v>
      </c>
      <c r="M1308" s="72" t="s">
        <v>22</v>
      </c>
      <c r="N1308" t="str">
        <f>VLOOKUP(M1308,LUTs!E$2:H$14,3,)</f>
        <v>09Mason</v>
      </c>
      <c r="O1308" t="str">
        <f>VLOOKUP(M1308,LUTs!E$2:H$14,4,)</f>
        <v>02South Puget Sound</v>
      </c>
      <c r="P1308" s="73">
        <v>391.63121232418001</v>
      </c>
      <c r="Q1308" s="74">
        <f>VLOOKUP(B1308,Readme!A$40:C$51,2,)*P1308</f>
        <v>1347.2113703951793</v>
      </c>
    </row>
    <row r="1309" spans="1:17" ht="12" customHeight="1" x14ac:dyDescent="0.35">
      <c r="A1309" s="75">
        <v>1308</v>
      </c>
      <c r="B1309" s="64">
        <v>2013</v>
      </c>
      <c r="C1309" s="64">
        <v>9</v>
      </c>
      <c r="D1309" s="80">
        <f t="shared" si="43"/>
        <v>2013</v>
      </c>
      <c r="E1309" t="s">
        <v>38</v>
      </c>
      <c r="F1309" t="s">
        <v>143</v>
      </c>
      <c r="G1309" t="s">
        <v>10</v>
      </c>
      <c r="H1309" s="72" t="s">
        <v>212</v>
      </c>
      <c r="I1309" s="72" t="s">
        <v>54</v>
      </c>
      <c r="J1309" t="str">
        <f t="shared" si="44"/>
        <v>Puyallup River</v>
      </c>
      <c r="K1309" t="str">
        <f>IFERROR(VLOOKUP(J1309,LUTs!$A$1:$C$73,2,FALSE),"NA")</f>
        <v>Pierce</v>
      </c>
      <c r="L1309" t="str">
        <f>IFERROR(VLOOKUP(J1309,LUTs!$A$1:$C$73,3,FALSE),"NA")</f>
        <v>3South Puget Sound</v>
      </c>
      <c r="M1309" s="72" t="s">
        <v>26</v>
      </c>
      <c r="N1309" t="str">
        <f>VLOOKUP(M1309,LUTs!E$2:H$14,3,)</f>
        <v>20Other</v>
      </c>
      <c r="O1309" t="str">
        <f>VLOOKUP(M1309,LUTs!E$2:H$14,4,)</f>
        <v>07Non Puget Sound</v>
      </c>
      <c r="P1309" s="73">
        <v>3187.6959142665801</v>
      </c>
      <c r="Q1309" s="74">
        <f>VLOOKUP(B1309,Readme!A$40:C$51,2,)*P1309</f>
        <v>10965.673945077035</v>
      </c>
    </row>
    <row r="1310" spans="1:17" ht="12" customHeight="1" x14ac:dyDescent="0.35">
      <c r="A1310" s="75">
        <v>1309</v>
      </c>
      <c r="B1310" s="64">
        <v>2013</v>
      </c>
      <c r="C1310" s="64">
        <v>9</v>
      </c>
      <c r="D1310" s="80">
        <f t="shared" si="43"/>
        <v>2013</v>
      </c>
      <c r="E1310" t="s">
        <v>38</v>
      </c>
      <c r="F1310" t="s">
        <v>143</v>
      </c>
      <c r="G1310" t="s">
        <v>10</v>
      </c>
      <c r="H1310" s="72" t="s">
        <v>212</v>
      </c>
      <c r="I1310" s="72" t="s">
        <v>54</v>
      </c>
      <c r="J1310" t="str">
        <f t="shared" si="44"/>
        <v>Puyallup River</v>
      </c>
      <c r="K1310" t="str">
        <f>IFERROR(VLOOKUP(J1310,LUTs!$A$1:$C$73,2,FALSE),"NA")</f>
        <v>Pierce</v>
      </c>
      <c r="L1310" t="str">
        <f>IFERROR(VLOOKUP(J1310,LUTs!$A$1:$C$73,3,FALSE),"NA")</f>
        <v>3South Puget Sound</v>
      </c>
      <c r="M1310" s="72" t="s">
        <v>20</v>
      </c>
      <c r="N1310" t="str">
        <f>VLOOKUP(M1310,LUTs!E$2:H$14,3,)</f>
        <v>07Pierce</v>
      </c>
      <c r="O1310" t="str">
        <f>VLOOKUP(M1310,LUTs!E$2:H$14,4,)</f>
        <v>02South Puget Sound</v>
      </c>
      <c r="P1310" s="73">
        <v>37250.503683857998</v>
      </c>
      <c r="Q1310" s="74">
        <f>VLOOKUP(B1310,Readme!A$40:C$51,2,)*P1310</f>
        <v>128141.73267247151</v>
      </c>
    </row>
    <row r="1311" spans="1:17" ht="12" customHeight="1" x14ac:dyDescent="0.35">
      <c r="A1311" s="75">
        <v>1310</v>
      </c>
      <c r="B1311" s="64">
        <v>2013</v>
      </c>
      <c r="C1311" s="64">
        <v>9</v>
      </c>
      <c r="D1311" s="80">
        <f t="shared" si="43"/>
        <v>2013</v>
      </c>
      <c r="E1311" t="s">
        <v>38</v>
      </c>
      <c r="F1311" t="s">
        <v>143</v>
      </c>
      <c r="G1311" t="s">
        <v>10</v>
      </c>
      <c r="H1311" s="72" t="s">
        <v>212</v>
      </c>
      <c r="I1311" s="72" t="s">
        <v>54</v>
      </c>
      <c r="J1311" t="str">
        <f t="shared" si="44"/>
        <v>Puyallup River</v>
      </c>
      <c r="K1311" t="str">
        <f>IFERROR(VLOOKUP(J1311,LUTs!$A$1:$C$73,2,FALSE),"NA")</f>
        <v>Pierce</v>
      </c>
      <c r="L1311" t="str">
        <f>IFERROR(VLOOKUP(J1311,LUTs!$A$1:$C$73,3,FALSE),"NA")</f>
        <v>3South Puget Sound</v>
      </c>
      <c r="M1311" s="72" t="s">
        <v>16</v>
      </c>
      <c r="N1311" t="str">
        <f>VLOOKUP(M1311,LUTs!E$2:H$14,3,)</f>
        <v>03Snohomish</v>
      </c>
      <c r="O1311" t="str">
        <f>VLOOKUP(M1311,LUTs!E$2:H$14,4,)</f>
        <v>01North Puget Sound</v>
      </c>
      <c r="P1311" s="73">
        <v>810.58553248493001</v>
      </c>
      <c r="Q1311" s="74">
        <f>VLOOKUP(B1311,Readme!A$40:C$51,2,)*P1311</f>
        <v>2788.4142317481592</v>
      </c>
    </row>
    <row r="1312" spans="1:17" ht="12" customHeight="1" x14ac:dyDescent="0.35">
      <c r="A1312" s="75">
        <v>1311</v>
      </c>
      <c r="B1312" s="64">
        <v>2013</v>
      </c>
      <c r="C1312" s="64">
        <v>9</v>
      </c>
      <c r="D1312" s="80">
        <f t="shared" si="43"/>
        <v>2013</v>
      </c>
      <c r="E1312" t="s">
        <v>38</v>
      </c>
      <c r="F1312" t="s">
        <v>143</v>
      </c>
      <c r="G1312" t="s">
        <v>10</v>
      </c>
      <c r="H1312" s="72" t="s">
        <v>212</v>
      </c>
      <c r="I1312" s="72" t="s">
        <v>54</v>
      </c>
      <c r="J1312" t="str">
        <f t="shared" si="44"/>
        <v>Puyallup River</v>
      </c>
      <c r="K1312" t="str">
        <f>IFERROR(VLOOKUP(J1312,LUTs!$A$1:$C$73,2,FALSE),"NA")</f>
        <v>Pierce</v>
      </c>
      <c r="L1312" t="str">
        <f>IFERROR(VLOOKUP(J1312,LUTs!$A$1:$C$73,3,FALSE),"NA")</f>
        <v>3South Puget Sound</v>
      </c>
      <c r="M1312" s="72" t="s">
        <v>21</v>
      </c>
      <c r="N1312" t="str">
        <f>VLOOKUP(M1312,LUTs!E$2:H$14,3,)</f>
        <v>08Thurston</v>
      </c>
      <c r="O1312" t="str">
        <f>VLOOKUP(M1312,LUTs!E$2:H$14,4,)</f>
        <v>02South Puget Sound</v>
      </c>
      <c r="P1312" s="73">
        <v>2477.2951105157399</v>
      </c>
      <c r="Q1312" s="74">
        <f>VLOOKUP(B1312,Readme!A$40:C$51,2,)*P1312</f>
        <v>8521.8951801741459</v>
      </c>
    </row>
    <row r="1313" spans="1:17" ht="12" customHeight="1" x14ac:dyDescent="0.35">
      <c r="A1313" s="75">
        <v>1312</v>
      </c>
      <c r="B1313" s="64">
        <v>2013</v>
      </c>
      <c r="C1313" s="64">
        <v>10</v>
      </c>
      <c r="D1313" s="80">
        <f t="shared" si="43"/>
        <v>2013</v>
      </c>
      <c r="E1313" t="s">
        <v>38</v>
      </c>
      <c r="F1313" t="s">
        <v>143</v>
      </c>
      <c r="G1313" t="s">
        <v>10</v>
      </c>
      <c r="H1313" s="72" t="s">
        <v>212</v>
      </c>
      <c r="I1313" s="72" t="s">
        <v>54</v>
      </c>
      <c r="J1313" t="str">
        <f t="shared" si="44"/>
        <v>Puyallup River</v>
      </c>
      <c r="K1313" t="str">
        <f>IFERROR(VLOOKUP(J1313,LUTs!$A$1:$C$73,2,FALSE),"NA")</f>
        <v>Pierce</v>
      </c>
      <c r="L1313" t="str">
        <f>IFERROR(VLOOKUP(J1313,LUTs!$A$1:$C$73,3,FALSE),"NA")</f>
        <v>3South Puget Sound</v>
      </c>
      <c r="M1313" s="72" t="s">
        <v>17</v>
      </c>
      <c r="N1313" t="str">
        <f>VLOOKUP(M1313,LUTs!E$2:H$14,3,)</f>
        <v>04Island</v>
      </c>
      <c r="O1313" t="str">
        <f>VLOOKUP(M1313,LUTs!E$2:H$14,4,)</f>
        <v>01North Puget Sound</v>
      </c>
      <c r="P1313" s="73">
        <v>27.4</v>
      </c>
      <c r="Q1313" s="74">
        <f>VLOOKUP(B1313,Readme!A$40:C$51,2,)*P1313</f>
        <v>94.256</v>
      </c>
    </row>
    <row r="1314" spans="1:17" ht="12" customHeight="1" x14ac:dyDescent="0.35">
      <c r="A1314" s="75">
        <v>1313</v>
      </c>
      <c r="B1314" s="64">
        <v>2013</v>
      </c>
      <c r="C1314" s="64">
        <v>10</v>
      </c>
      <c r="D1314" s="80">
        <f t="shared" si="43"/>
        <v>2013</v>
      </c>
      <c r="E1314" t="s">
        <v>38</v>
      </c>
      <c r="F1314" t="s">
        <v>143</v>
      </c>
      <c r="G1314" t="s">
        <v>10</v>
      </c>
      <c r="H1314" s="72" t="s">
        <v>212</v>
      </c>
      <c r="I1314" s="72" t="s">
        <v>54</v>
      </c>
      <c r="J1314" t="str">
        <f t="shared" si="44"/>
        <v>Puyallup River</v>
      </c>
      <c r="K1314" t="str">
        <f>IFERROR(VLOOKUP(J1314,LUTs!$A$1:$C$73,2,FALSE),"NA")</f>
        <v>Pierce</v>
      </c>
      <c r="L1314" t="str">
        <f>IFERROR(VLOOKUP(J1314,LUTs!$A$1:$C$73,3,FALSE),"NA")</f>
        <v>3South Puget Sound</v>
      </c>
      <c r="M1314" s="72" t="s">
        <v>18</v>
      </c>
      <c r="N1314" t="str">
        <f>VLOOKUP(M1314,LUTs!E$2:H$14,3,)</f>
        <v>06King</v>
      </c>
      <c r="O1314" t="str">
        <f>VLOOKUP(M1314,LUTs!E$2:H$14,4,)</f>
        <v>02South Puget Sound</v>
      </c>
      <c r="P1314" s="73">
        <v>465.8</v>
      </c>
      <c r="Q1314" s="74">
        <f>VLOOKUP(B1314,Readme!A$40:C$51,2,)*P1314</f>
        <v>1602.3520000000001</v>
      </c>
    </row>
    <row r="1315" spans="1:17" ht="12" customHeight="1" x14ac:dyDescent="0.35">
      <c r="A1315" s="75">
        <v>1314</v>
      </c>
      <c r="B1315" s="64">
        <v>2013</v>
      </c>
      <c r="C1315" s="64">
        <v>10</v>
      </c>
      <c r="D1315" s="80">
        <f t="shared" si="43"/>
        <v>2013</v>
      </c>
      <c r="E1315" t="s">
        <v>38</v>
      </c>
      <c r="F1315" t="s">
        <v>143</v>
      </c>
      <c r="G1315" t="s">
        <v>10</v>
      </c>
      <c r="H1315" s="72" t="s">
        <v>212</v>
      </c>
      <c r="I1315" s="72" t="s">
        <v>54</v>
      </c>
      <c r="J1315" t="str">
        <f t="shared" si="44"/>
        <v>Puyallup River</v>
      </c>
      <c r="K1315" t="str">
        <f>IFERROR(VLOOKUP(J1315,LUTs!$A$1:$C$73,2,FALSE),"NA")</f>
        <v>Pierce</v>
      </c>
      <c r="L1315" t="str">
        <f>IFERROR(VLOOKUP(J1315,LUTs!$A$1:$C$73,3,FALSE),"NA")</f>
        <v>3South Puget Sound</v>
      </c>
      <c r="M1315" s="72" t="s">
        <v>22</v>
      </c>
      <c r="N1315" t="str">
        <f>VLOOKUP(M1315,LUTs!E$2:H$14,3,)</f>
        <v>09Mason</v>
      </c>
      <c r="O1315" t="str">
        <f>VLOOKUP(M1315,LUTs!E$2:H$14,4,)</f>
        <v>02South Puget Sound</v>
      </c>
      <c r="P1315" s="73">
        <v>18.266666666666701</v>
      </c>
      <c r="Q1315" s="74">
        <f>VLOOKUP(B1315,Readme!A$40:C$51,2,)*P1315</f>
        <v>62.837333333333454</v>
      </c>
    </row>
    <row r="1316" spans="1:17" ht="12" customHeight="1" x14ac:dyDescent="0.35">
      <c r="A1316" s="75">
        <v>1315</v>
      </c>
      <c r="B1316" s="64">
        <v>2013</v>
      </c>
      <c r="C1316" s="64">
        <v>10</v>
      </c>
      <c r="D1316" s="80">
        <f t="shared" si="43"/>
        <v>2013</v>
      </c>
      <c r="E1316" t="s">
        <v>38</v>
      </c>
      <c r="F1316" t="s">
        <v>143</v>
      </c>
      <c r="G1316" t="s">
        <v>10</v>
      </c>
      <c r="H1316" s="72" t="s">
        <v>212</v>
      </c>
      <c r="I1316" s="72" t="s">
        <v>54</v>
      </c>
      <c r="J1316" t="str">
        <f t="shared" si="44"/>
        <v>Puyallup River</v>
      </c>
      <c r="K1316" t="str">
        <f>IFERROR(VLOOKUP(J1316,LUTs!$A$1:$C$73,2,FALSE),"NA")</f>
        <v>Pierce</v>
      </c>
      <c r="L1316" t="str">
        <f>IFERROR(VLOOKUP(J1316,LUTs!$A$1:$C$73,3,FALSE),"NA")</f>
        <v>3South Puget Sound</v>
      </c>
      <c r="M1316" s="72" t="s">
        <v>26</v>
      </c>
      <c r="N1316" t="str">
        <f>VLOOKUP(M1316,LUTs!E$2:H$14,3,)</f>
        <v>20Other</v>
      </c>
      <c r="O1316" t="str">
        <f>VLOOKUP(M1316,LUTs!E$2:H$14,4,)</f>
        <v>07Non Puget Sound</v>
      </c>
      <c r="P1316" s="73">
        <v>82.2</v>
      </c>
      <c r="Q1316" s="74">
        <f>VLOOKUP(B1316,Readme!A$40:C$51,2,)*P1316</f>
        <v>282.76800000000003</v>
      </c>
    </row>
    <row r="1317" spans="1:17" ht="12" customHeight="1" x14ac:dyDescent="0.35">
      <c r="A1317" s="75">
        <v>1316</v>
      </c>
      <c r="B1317" s="64">
        <v>2013</v>
      </c>
      <c r="C1317" s="64">
        <v>10</v>
      </c>
      <c r="D1317" s="80">
        <f t="shared" si="43"/>
        <v>2013</v>
      </c>
      <c r="E1317" t="s">
        <v>38</v>
      </c>
      <c r="F1317" t="s">
        <v>143</v>
      </c>
      <c r="G1317" t="s">
        <v>10</v>
      </c>
      <c r="H1317" s="72" t="s">
        <v>212</v>
      </c>
      <c r="I1317" s="72" t="s">
        <v>54</v>
      </c>
      <c r="J1317" t="str">
        <f t="shared" si="44"/>
        <v>Puyallup River</v>
      </c>
      <c r="K1317" t="str">
        <f>IFERROR(VLOOKUP(J1317,LUTs!$A$1:$C$73,2,FALSE),"NA")</f>
        <v>Pierce</v>
      </c>
      <c r="L1317" t="str">
        <f>IFERROR(VLOOKUP(J1317,LUTs!$A$1:$C$73,3,FALSE),"NA")</f>
        <v>3South Puget Sound</v>
      </c>
      <c r="M1317" s="72" t="s">
        <v>20</v>
      </c>
      <c r="N1317" t="str">
        <f>VLOOKUP(M1317,LUTs!E$2:H$14,3,)</f>
        <v>07Pierce</v>
      </c>
      <c r="O1317" t="str">
        <f>VLOOKUP(M1317,LUTs!E$2:H$14,4,)</f>
        <v>02South Puget Sound</v>
      </c>
      <c r="P1317" s="73">
        <v>1269.5333333333299</v>
      </c>
      <c r="Q1317" s="74">
        <f>VLOOKUP(B1317,Readme!A$40:C$51,2,)*P1317</f>
        <v>4367.1946666666545</v>
      </c>
    </row>
    <row r="1318" spans="1:17" ht="12" customHeight="1" x14ac:dyDescent="0.35">
      <c r="A1318" s="75">
        <v>1317</v>
      </c>
      <c r="B1318" s="64">
        <v>2013</v>
      </c>
      <c r="C1318" s="64">
        <v>10</v>
      </c>
      <c r="D1318" s="80">
        <f t="shared" si="43"/>
        <v>2013</v>
      </c>
      <c r="E1318" t="s">
        <v>38</v>
      </c>
      <c r="F1318" t="s">
        <v>143</v>
      </c>
      <c r="G1318" t="s">
        <v>10</v>
      </c>
      <c r="H1318" s="72" t="s">
        <v>212</v>
      </c>
      <c r="I1318" s="72" t="s">
        <v>54</v>
      </c>
      <c r="J1318" t="str">
        <f t="shared" si="44"/>
        <v>Puyallup River</v>
      </c>
      <c r="K1318" t="str">
        <f>IFERROR(VLOOKUP(J1318,LUTs!$A$1:$C$73,2,FALSE),"NA")</f>
        <v>Pierce</v>
      </c>
      <c r="L1318" t="str">
        <f>IFERROR(VLOOKUP(J1318,LUTs!$A$1:$C$73,3,FALSE),"NA")</f>
        <v>3South Puget Sound</v>
      </c>
      <c r="M1318" s="72" t="s">
        <v>16</v>
      </c>
      <c r="N1318" t="str">
        <f>VLOOKUP(M1318,LUTs!E$2:H$14,3,)</f>
        <v>03Snohomish</v>
      </c>
      <c r="O1318" t="str">
        <f>VLOOKUP(M1318,LUTs!E$2:H$14,4,)</f>
        <v>01North Puget Sound</v>
      </c>
      <c r="P1318" s="73">
        <v>45.6666666666667</v>
      </c>
      <c r="Q1318" s="74">
        <f>VLOOKUP(B1318,Readme!A$40:C$51,2,)*P1318</f>
        <v>157.09333333333345</v>
      </c>
    </row>
    <row r="1319" spans="1:17" ht="12" customHeight="1" x14ac:dyDescent="0.35">
      <c r="A1319" s="75">
        <v>1318</v>
      </c>
      <c r="B1319" s="64">
        <v>2013</v>
      </c>
      <c r="C1319" s="64">
        <v>10</v>
      </c>
      <c r="D1319" s="80">
        <f t="shared" si="43"/>
        <v>2013</v>
      </c>
      <c r="E1319" t="s">
        <v>38</v>
      </c>
      <c r="F1319" t="s">
        <v>143</v>
      </c>
      <c r="G1319" t="s">
        <v>10</v>
      </c>
      <c r="H1319" s="72" t="s">
        <v>212</v>
      </c>
      <c r="I1319" s="72" t="s">
        <v>54</v>
      </c>
      <c r="J1319" t="str">
        <f t="shared" si="44"/>
        <v>Puyallup River</v>
      </c>
      <c r="K1319" t="str">
        <f>IFERROR(VLOOKUP(J1319,LUTs!$A$1:$C$73,2,FALSE),"NA")</f>
        <v>Pierce</v>
      </c>
      <c r="L1319" t="str">
        <f>IFERROR(VLOOKUP(J1319,LUTs!$A$1:$C$73,3,FALSE),"NA")</f>
        <v>3South Puget Sound</v>
      </c>
      <c r="M1319" s="72" t="s">
        <v>21</v>
      </c>
      <c r="N1319" t="str">
        <f>VLOOKUP(M1319,LUTs!E$2:H$14,3,)</f>
        <v>08Thurston</v>
      </c>
      <c r="O1319" t="str">
        <f>VLOOKUP(M1319,LUTs!E$2:H$14,4,)</f>
        <v>02South Puget Sound</v>
      </c>
      <c r="P1319" s="73">
        <v>9.13333333333334</v>
      </c>
      <c r="Q1319" s="74">
        <f>VLOOKUP(B1319,Readme!A$40:C$51,2,)*P1319</f>
        <v>31.418666666666688</v>
      </c>
    </row>
    <row r="1320" spans="1:17" ht="12" customHeight="1" x14ac:dyDescent="0.35">
      <c r="A1320" s="75">
        <v>1319</v>
      </c>
      <c r="B1320" s="64">
        <v>2013</v>
      </c>
      <c r="C1320" s="64">
        <v>11</v>
      </c>
      <c r="D1320" s="80">
        <f t="shared" si="43"/>
        <v>2013</v>
      </c>
      <c r="E1320" t="s">
        <v>38</v>
      </c>
      <c r="F1320" t="s">
        <v>143</v>
      </c>
      <c r="G1320" t="s">
        <v>10</v>
      </c>
      <c r="H1320" s="72" t="s">
        <v>212</v>
      </c>
      <c r="I1320" s="72" t="s">
        <v>54</v>
      </c>
      <c r="J1320" t="str">
        <f t="shared" si="44"/>
        <v>Puyallup River</v>
      </c>
      <c r="K1320" t="str">
        <f>IFERROR(VLOOKUP(J1320,LUTs!$A$1:$C$73,2,FALSE),"NA")</f>
        <v>Pierce</v>
      </c>
      <c r="L1320" t="str">
        <f>IFERROR(VLOOKUP(J1320,LUTs!$A$1:$C$73,3,FALSE),"NA")</f>
        <v>3South Puget Sound</v>
      </c>
      <c r="M1320" s="72" t="s">
        <v>18</v>
      </c>
      <c r="N1320" t="str">
        <f>VLOOKUP(M1320,LUTs!E$2:H$14,3,)</f>
        <v>06King</v>
      </c>
      <c r="O1320" t="str">
        <f>VLOOKUP(M1320,LUTs!E$2:H$14,4,)</f>
        <v>02South Puget Sound</v>
      </c>
      <c r="P1320" s="73">
        <v>63.098591549295797</v>
      </c>
      <c r="Q1320" s="74">
        <f>VLOOKUP(B1320,Readme!A$40:C$51,2,)*P1320</f>
        <v>217.05915492957755</v>
      </c>
    </row>
    <row r="1321" spans="1:17" ht="12" customHeight="1" x14ac:dyDescent="0.35">
      <c r="A1321" s="75">
        <v>1320</v>
      </c>
      <c r="B1321" s="64">
        <v>2013</v>
      </c>
      <c r="C1321" s="64">
        <v>11</v>
      </c>
      <c r="D1321" s="80">
        <f t="shared" si="43"/>
        <v>2013</v>
      </c>
      <c r="E1321" t="s">
        <v>38</v>
      </c>
      <c r="F1321" t="s">
        <v>143</v>
      </c>
      <c r="G1321" t="s">
        <v>10</v>
      </c>
      <c r="H1321" s="72" t="s">
        <v>212</v>
      </c>
      <c r="I1321" s="72" t="s">
        <v>54</v>
      </c>
      <c r="J1321" t="str">
        <f t="shared" si="44"/>
        <v>Puyallup River</v>
      </c>
      <c r="K1321" t="str">
        <f>IFERROR(VLOOKUP(J1321,LUTs!$A$1:$C$73,2,FALSE),"NA")</f>
        <v>Pierce</v>
      </c>
      <c r="L1321" t="str">
        <f>IFERROR(VLOOKUP(J1321,LUTs!$A$1:$C$73,3,FALSE),"NA")</f>
        <v>3South Puget Sound</v>
      </c>
      <c r="M1321" s="72" t="s">
        <v>26</v>
      </c>
      <c r="N1321" t="str">
        <f>VLOOKUP(M1321,LUTs!E$2:H$14,3,)</f>
        <v>20Other</v>
      </c>
      <c r="O1321" t="str">
        <f>VLOOKUP(M1321,LUTs!E$2:H$14,4,)</f>
        <v>07Non Puget Sound</v>
      </c>
      <c r="P1321" s="73">
        <v>9.0140845070422593</v>
      </c>
      <c r="Q1321" s="74">
        <f>VLOOKUP(B1321,Readme!A$40:C$51,2,)*P1321</f>
        <v>31.008450704225371</v>
      </c>
    </row>
    <row r="1322" spans="1:17" ht="12" customHeight="1" x14ac:dyDescent="0.35">
      <c r="A1322" s="75">
        <v>1321</v>
      </c>
      <c r="B1322" s="64">
        <v>2013</v>
      </c>
      <c r="C1322" s="64">
        <v>11</v>
      </c>
      <c r="D1322" s="80">
        <f t="shared" si="43"/>
        <v>2013</v>
      </c>
      <c r="E1322" t="s">
        <v>38</v>
      </c>
      <c r="F1322" t="s">
        <v>143</v>
      </c>
      <c r="G1322" t="s">
        <v>10</v>
      </c>
      <c r="H1322" s="72" t="s">
        <v>212</v>
      </c>
      <c r="I1322" s="72" t="s">
        <v>54</v>
      </c>
      <c r="J1322" t="str">
        <f t="shared" si="44"/>
        <v>Puyallup River</v>
      </c>
      <c r="K1322" t="str">
        <f>IFERROR(VLOOKUP(J1322,LUTs!$A$1:$C$73,2,FALSE),"NA")</f>
        <v>Pierce</v>
      </c>
      <c r="L1322" t="str">
        <f>IFERROR(VLOOKUP(J1322,LUTs!$A$1:$C$73,3,FALSE),"NA")</f>
        <v>3South Puget Sound</v>
      </c>
      <c r="M1322" s="72" t="s">
        <v>20</v>
      </c>
      <c r="N1322" t="str">
        <f>VLOOKUP(M1322,LUTs!E$2:H$14,3,)</f>
        <v>07Pierce</v>
      </c>
      <c r="O1322" t="str">
        <f>VLOOKUP(M1322,LUTs!E$2:H$14,4,)</f>
        <v>02South Puget Sound</v>
      </c>
      <c r="P1322" s="73">
        <v>495.77464788732402</v>
      </c>
      <c r="Q1322" s="74">
        <f>VLOOKUP(B1322,Readme!A$40:C$51,2,)*P1322</f>
        <v>1705.4647887323947</v>
      </c>
    </row>
    <row r="1323" spans="1:17" ht="12" customHeight="1" x14ac:dyDescent="0.35">
      <c r="A1323" s="75">
        <v>1322</v>
      </c>
      <c r="B1323" s="64">
        <v>2013</v>
      </c>
      <c r="C1323" s="64">
        <v>11</v>
      </c>
      <c r="D1323" s="80">
        <f t="shared" si="43"/>
        <v>2013</v>
      </c>
      <c r="E1323" t="s">
        <v>38</v>
      </c>
      <c r="F1323" t="s">
        <v>143</v>
      </c>
      <c r="G1323" t="s">
        <v>10</v>
      </c>
      <c r="H1323" s="72" t="s">
        <v>212</v>
      </c>
      <c r="I1323" s="72" t="s">
        <v>54</v>
      </c>
      <c r="J1323" t="str">
        <f t="shared" si="44"/>
        <v>Puyallup River</v>
      </c>
      <c r="K1323" t="str">
        <f>IFERROR(VLOOKUP(J1323,LUTs!$A$1:$C$73,2,FALSE),"NA")</f>
        <v>Pierce</v>
      </c>
      <c r="L1323" t="str">
        <f>IFERROR(VLOOKUP(J1323,LUTs!$A$1:$C$73,3,FALSE),"NA")</f>
        <v>3South Puget Sound</v>
      </c>
      <c r="M1323" s="72" t="s">
        <v>16</v>
      </c>
      <c r="N1323" t="str">
        <f>VLOOKUP(M1323,LUTs!E$2:H$14,3,)</f>
        <v>03Snohomish</v>
      </c>
      <c r="O1323" t="str">
        <f>VLOOKUP(M1323,LUTs!E$2:H$14,4,)</f>
        <v>01North Puget Sound</v>
      </c>
      <c r="P1323" s="73">
        <v>18.028169014084501</v>
      </c>
      <c r="Q1323" s="74">
        <f>VLOOKUP(B1323,Readme!A$40:C$51,2,)*P1323</f>
        <v>62.016901408450678</v>
      </c>
    </row>
    <row r="1324" spans="1:17" ht="12" customHeight="1" x14ac:dyDescent="0.35">
      <c r="A1324" s="75">
        <v>1323</v>
      </c>
      <c r="B1324" s="64">
        <v>2013</v>
      </c>
      <c r="C1324" s="64">
        <v>11</v>
      </c>
      <c r="D1324" s="80">
        <f t="shared" si="43"/>
        <v>2013</v>
      </c>
      <c r="E1324" t="s">
        <v>38</v>
      </c>
      <c r="F1324" t="s">
        <v>143</v>
      </c>
      <c r="G1324" t="s">
        <v>10</v>
      </c>
      <c r="H1324" s="72" t="s">
        <v>212</v>
      </c>
      <c r="I1324" s="72" t="s">
        <v>54</v>
      </c>
      <c r="J1324" t="str">
        <f t="shared" si="44"/>
        <v>Puyallup River</v>
      </c>
      <c r="K1324" t="str">
        <f>IFERROR(VLOOKUP(J1324,LUTs!$A$1:$C$73,2,FALSE),"NA")</f>
        <v>Pierce</v>
      </c>
      <c r="L1324" t="str">
        <f>IFERROR(VLOOKUP(J1324,LUTs!$A$1:$C$73,3,FALSE),"NA")</f>
        <v>3South Puget Sound</v>
      </c>
      <c r="M1324" s="72" t="s">
        <v>21</v>
      </c>
      <c r="N1324" t="str">
        <f>VLOOKUP(M1324,LUTs!E$2:H$14,3,)</f>
        <v>08Thurston</v>
      </c>
      <c r="O1324" t="str">
        <f>VLOOKUP(M1324,LUTs!E$2:H$14,4,)</f>
        <v>02South Puget Sound</v>
      </c>
      <c r="P1324" s="73">
        <v>54.084507042253499</v>
      </c>
      <c r="Q1324" s="74">
        <f>VLOOKUP(B1324,Readme!A$40:C$51,2,)*P1324</f>
        <v>186.05070422535204</v>
      </c>
    </row>
    <row r="1325" spans="1:17" ht="12" customHeight="1" x14ac:dyDescent="0.35">
      <c r="A1325" s="75">
        <v>1324</v>
      </c>
      <c r="B1325" s="64">
        <v>2013</v>
      </c>
      <c r="C1325" s="64">
        <v>12</v>
      </c>
      <c r="D1325" s="80">
        <f t="shared" si="43"/>
        <v>2013</v>
      </c>
      <c r="E1325" t="s">
        <v>38</v>
      </c>
      <c r="F1325" t="s">
        <v>143</v>
      </c>
      <c r="G1325" t="s">
        <v>10</v>
      </c>
      <c r="H1325" s="72" t="s">
        <v>212</v>
      </c>
      <c r="I1325" s="72" t="s">
        <v>54</v>
      </c>
      <c r="J1325" t="str">
        <f t="shared" si="44"/>
        <v>Puyallup River</v>
      </c>
      <c r="K1325" t="str">
        <f>IFERROR(VLOOKUP(J1325,LUTs!$A$1:$C$73,2,FALSE),"NA")</f>
        <v>Pierce</v>
      </c>
      <c r="L1325" t="str">
        <f>IFERROR(VLOOKUP(J1325,LUTs!$A$1:$C$73,3,FALSE),"NA")</f>
        <v>3South Puget Sound</v>
      </c>
      <c r="M1325" s="72" t="s">
        <v>18</v>
      </c>
      <c r="N1325" t="str">
        <f>VLOOKUP(M1325,LUTs!E$2:H$14,3,)</f>
        <v>06King</v>
      </c>
      <c r="O1325" t="str">
        <f>VLOOKUP(M1325,LUTs!E$2:H$14,4,)</f>
        <v>02South Puget Sound</v>
      </c>
      <c r="P1325" s="73">
        <v>27.214285714285701</v>
      </c>
      <c r="Q1325" s="74">
        <f>VLOOKUP(B1325,Readme!A$40:C$51,2,)*P1325</f>
        <v>93.617142857142809</v>
      </c>
    </row>
    <row r="1326" spans="1:17" ht="12" customHeight="1" x14ac:dyDescent="0.35">
      <c r="A1326" s="75">
        <v>1325</v>
      </c>
      <c r="B1326" s="64">
        <v>2013</v>
      </c>
      <c r="C1326" s="64">
        <v>12</v>
      </c>
      <c r="D1326" s="80">
        <f t="shared" si="43"/>
        <v>2013</v>
      </c>
      <c r="E1326" t="s">
        <v>38</v>
      </c>
      <c r="F1326" t="s">
        <v>143</v>
      </c>
      <c r="G1326" t="s">
        <v>10</v>
      </c>
      <c r="H1326" s="72" t="s">
        <v>212</v>
      </c>
      <c r="I1326" s="72" t="s">
        <v>54</v>
      </c>
      <c r="J1326" t="str">
        <f t="shared" si="44"/>
        <v>Puyallup River</v>
      </c>
      <c r="K1326" t="str">
        <f>IFERROR(VLOOKUP(J1326,LUTs!$A$1:$C$73,2,FALSE),"NA")</f>
        <v>Pierce</v>
      </c>
      <c r="L1326" t="str">
        <f>IFERROR(VLOOKUP(J1326,LUTs!$A$1:$C$73,3,FALSE),"NA")</f>
        <v>3South Puget Sound</v>
      </c>
      <c r="M1326" s="72" t="s">
        <v>20</v>
      </c>
      <c r="N1326" t="str">
        <f>VLOOKUP(M1326,LUTs!E$2:H$14,3,)</f>
        <v>07Pierce</v>
      </c>
      <c r="O1326" t="str">
        <f>VLOOKUP(M1326,LUTs!E$2:H$14,4,)</f>
        <v>02South Puget Sound</v>
      </c>
      <c r="P1326" s="73">
        <v>90.714285714285694</v>
      </c>
      <c r="Q1326" s="74">
        <f>VLOOKUP(B1326,Readme!A$40:C$51,2,)*P1326</f>
        <v>312.05714285714276</v>
      </c>
    </row>
    <row r="1327" spans="1:17" ht="12" customHeight="1" x14ac:dyDescent="0.35">
      <c r="A1327" s="75">
        <v>1326</v>
      </c>
      <c r="B1327" s="64">
        <v>2013</v>
      </c>
      <c r="C1327" s="64">
        <v>12</v>
      </c>
      <c r="D1327" s="80">
        <f t="shared" si="43"/>
        <v>2013</v>
      </c>
      <c r="E1327" t="s">
        <v>38</v>
      </c>
      <c r="F1327" t="s">
        <v>143</v>
      </c>
      <c r="G1327" t="s">
        <v>10</v>
      </c>
      <c r="H1327" s="72" t="s">
        <v>212</v>
      </c>
      <c r="I1327" s="72" t="s">
        <v>54</v>
      </c>
      <c r="J1327" t="str">
        <f t="shared" si="44"/>
        <v>Puyallup River</v>
      </c>
      <c r="K1327" t="str">
        <f>IFERROR(VLOOKUP(J1327,LUTs!$A$1:$C$73,2,FALSE),"NA")</f>
        <v>Pierce</v>
      </c>
      <c r="L1327" t="str">
        <f>IFERROR(VLOOKUP(J1327,LUTs!$A$1:$C$73,3,FALSE),"NA")</f>
        <v>3South Puget Sound</v>
      </c>
      <c r="M1327" s="72" t="s">
        <v>16</v>
      </c>
      <c r="N1327" t="str">
        <f>VLOOKUP(M1327,LUTs!E$2:H$14,3,)</f>
        <v>03Snohomish</v>
      </c>
      <c r="O1327" t="str">
        <f>VLOOKUP(M1327,LUTs!E$2:H$14,4,)</f>
        <v>01North Puget Sound</v>
      </c>
      <c r="P1327" s="73">
        <v>9.0714285714285694</v>
      </c>
      <c r="Q1327" s="74">
        <f>VLOOKUP(B1327,Readme!A$40:C$51,2,)*P1327</f>
        <v>31.205714285714279</v>
      </c>
    </row>
    <row r="1328" spans="1:17" ht="12" customHeight="1" x14ac:dyDescent="0.35">
      <c r="A1328" s="75">
        <v>1327</v>
      </c>
      <c r="B1328" s="64">
        <v>2013</v>
      </c>
      <c r="C1328" s="64">
        <v>8</v>
      </c>
      <c r="D1328" s="80">
        <f t="shared" si="43"/>
        <v>2013</v>
      </c>
      <c r="E1328" t="s">
        <v>38</v>
      </c>
      <c r="F1328" t="s">
        <v>143</v>
      </c>
      <c r="G1328" t="s">
        <v>10</v>
      </c>
      <c r="H1328" s="72" t="s">
        <v>213</v>
      </c>
      <c r="I1328" s="72" t="s">
        <v>55</v>
      </c>
      <c r="J1328" t="str">
        <f t="shared" si="44"/>
        <v>Quilcene River</v>
      </c>
      <c r="K1328" t="str">
        <f>IFERROR(VLOOKUP(J1328,LUTs!$A$1:$C$73,2,FALSE),"NA")</f>
        <v>Jefferson</v>
      </c>
      <c r="L1328" t="str">
        <f>IFERROR(VLOOKUP(J1328,LUTs!$A$1:$C$73,3,FALSE),"NA")</f>
        <v>4 Hood Canal</v>
      </c>
      <c r="M1328" s="72" t="s">
        <v>24</v>
      </c>
      <c r="N1328" t="str">
        <f>VLOOKUP(M1328,LUTs!E$2:H$14,3,)</f>
        <v>11Clallam</v>
      </c>
      <c r="O1328" t="str">
        <f>VLOOKUP(M1328,LUTs!E$2:H$14,4,)</f>
        <v>03Strait of Juan de Fuca</v>
      </c>
      <c r="P1328" s="73">
        <v>352.45643153526999</v>
      </c>
      <c r="Q1328" s="74">
        <f>VLOOKUP(B1328,Readme!A$40:C$51,2,)*P1328</f>
        <v>1212.4501244813287</v>
      </c>
    </row>
    <row r="1329" spans="1:17" ht="12" customHeight="1" x14ac:dyDescent="0.35">
      <c r="A1329" s="75">
        <v>1328</v>
      </c>
      <c r="B1329" s="64">
        <v>2013</v>
      </c>
      <c r="C1329" s="64">
        <v>8</v>
      </c>
      <c r="D1329" s="80">
        <f t="shared" si="43"/>
        <v>2013</v>
      </c>
      <c r="E1329" t="s">
        <v>38</v>
      </c>
      <c r="F1329" t="s">
        <v>143</v>
      </c>
      <c r="G1329" t="s">
        <v>10</v>
      </c>
      <c r="H1329" s="72" t="s">
        <v>213</v>
      </c>
      <c r="I1329" s="72" t="s">
        <v>55</v>
      </c>
      <c r="J1329" t="str">
        <f t="shared" si="44"/>
        <v>Quilcene River</v>
      </c>
      <c r="K1329" t="str">
        <f>IFERROR(VLOOKUP(J1329,LUTs!$A$1:$C$73,2,FALSE),"NA")</f>
        <v>Jefferson</v>
      </c>
      <c r="L1329" t="str">
        <f>IFERROR(VLOOKUP(J1329,LUTs!$A$1:$C$73,3,FALSE),"NA")</f>
        <v>4 Hood Canal</v>
      </c>
      <c r="M1329" s="72" t="s">
        <v>25</v>
      </c>
      <c r="N1329" t="str">
        <f>VLOOKUP(M1329,LUTs!E$2:H$14,3,)</f>
        <v>12Jefferson</v>
      </c>
      <c r="O1329" t="str">
        <f>VLOOKUP(M1329,LUTs!E$2:H$14,4,)</f>
        <v>03Strait of Juan de Fuca</v>
      </c>
      <c r="P1329" s="73">
        <v>515.12863070539402</v>
      </c>
      <c r="Q1329" s="74">
        <f>VLOOKUP(B1329,Readme!A$40:C$51,2,)*P1329</f>
        <v>1772.0424896265554</v>
      </c>
    </row>
    <row r="1330" spans="1:17" ht="12" customHeight="1" x14ac:dyDescent="0.35">
      <c r="A1330" s="75">
        <v>1329</v>
      </c>
      <c r="B1330" s="64">
        <v>2013</v>
      </c>
      <c r="C1330" s="64">
        <v>8</v>
      </c>
      <c r="D1330" s="80">
        <f t="shared" si="43"/>
        <v>2013</v>
      </c>
      <c r="E1330" t="s">
        <v>38</v>
      </c>
      <c r="F1330" t="s">
        <v>143</v>
      </c>
      <c r="G1330" t="s">
        <v>10</v>
      </c>
      <c r="H1330" s="72" t="s">
        <v>213</v>
      </c>
      <c r="I1330" s="72" t="s">
        <v>55</v>
      </c>
      <c r="J1330" t="str">
        <f t="shared" si="44"/>
        <v>Quilcene River</v>
      </c>
      <c r="K1330" t="str">
        <f>IFERROR(VLOOKUP(J1330,LUTs!$A$1:$C$73,2,FALSE),"NA")</f>
        <v>Jefferson</v>
      </c>
      <c r="L1330" t="str">
        <f>IFERROR(VLOOKUP(J1330,LUTs!$A$1:$C$73,3,FALSE),"NA")</f>
        <v>4 Hood Canal</v>
      </c>
      <c r="M1330" s="72" t="s">
        <v>18</v>
      </c>
      <c r="N1330" t="str">
        <f>VLOOKUP(M1330,LUTs!E$2:H$14,3,)</f>
        <v>06King</v>
      </c>
      <c r="O1330" t="str">
        <f>VLOOKUP(M1330,LUTs!E$2:H$14,4,)</f>
        <v>02South Puget Sound</v>
      </c>
      <c r="P1330" s="73">
        <v>144.59751037344401</v>
      </c>
      <c r="Q1330" s="74">
        <f>VLOOKUP(B1330,Readme!A$40:C$51,2,)*P1330</f>
        <v>497.41543568464738</v>
      </c>
    </row>
    <row r="1331" spans="1:17" ht="12" customHeight="1" x14ac:dyDescent="0.35">
      <c r="A1331" s="75">
        <v>1330</v>
      </c>
      <c r="B1331" s="64">
        <v>2013</v>
      </c>
      <c r="C1331" s="64">
        <v>8</v>
      </c>
      <c r="D1331" s="80">
        <f t="shared" si="43"/>
        <v>2013</v>
      </c>
      <c r="E1331" t="s">
        <v>38</v>
      </c>
      <c r="F1331" t="s">
        <v>143</v>
      </c>
      <c r="G1331" t="s">
        <v>10</v>
      </c>
      <c r="H1331" s="72" t="s">
        <v>213</v>
      </c>
      <c r="I1331" s="72" t="s">
        <v>55</v>
      </c>
      <c r="J1331" t="str">
        <f t="shared" si="44"/>
        <v>Quilcene River</v>
      </c>
      <c r="K1331" t="str">
        <f>IFERROR(VLOOKUP(J1331,LUTs!$A$1:$C$73,2,FALSE),"NA")</f>
        <v>Jefferson</v>
      </c>
      <c r="L1331" t="str">
        <f>IFERROR(VLOOKUP(J1331,LUTs!$A$1:$C$73,3,FALSE),"NA")</f>
        <v>4 Hood Canal</v>
      </c>
      <c r="M1331" s="72" t="s">
        <v>23</v>
      </c>
      <c r="N1331" t="str">
        <f>VLOOKUP(M1331,LUTs!E$2:H$14,3,)</f>
        <v>10Kitsap</v>
      </c>
      <c r="O1331" t="str">
        <f>VLOOKUP(M1331,LUTs!E$2:H$14,4,)</f>
        <v>02South Puget Sound</v>
      </c>
      <c r="P1331" s="73">
        <v>551.27800829875503</v>
      </c>
      <c r="Q1331" s="74">
        <f>VLOOKUP(B1331,Readme!A$40:C$51,2,)*P1331</f>
        <v>1896.3963485477173</v>
      </c>
    </row>
    <row r="1332" spans="1:17" ht="12" customHeight="1" x14ac:dyDescent="0.35">
      <c r="A1332" s="75">
        <v>1331</v>
      </c>
      <c r="B1332" s="64">
        <v>2013</v>
      </c>
      <c r="C1332" s="64">
        <v>8</v>
      </c>
      <c r="D1332" s="80">
        <f t="shared" si="43"/>
        <v>2013</v>
      </c>
      <c r="E1332" t="s">
        <v>38</v>
      </c>
      <c r="F1332" t="s">
        <v>143</v>
      </c>
      <c r="G1332" t="s">
        <v>10</v>
      </c>
      <c r="H1332" s="72" t="s">
        <v>213</v>
      </c>
      <c r="I1332" s="72" t="s">
        <v>55</v>
      </c>
      <c r="J1332" t="str">
        <f t="shared" si="44"/>
        <v>Quilcene River</v>
      </c>
      <c r="K1332" t="str">
        <f>IFERROR(VLOOKUP(J1332,LUTs!$A$1:$C$73,2,FALSE),"NA")</f>
        <v>Jefferson</v>
      </c>
      <c r="L1332" t="str">
        <f>IFERROR(VLOOKUP(J1332,LUTs!$A$1:$C$73,3,FALSE),"NA")</f>
        <v>4 Hood Canal</v>
      </c>
      <c r="M1332" s="72" t="s">
        <v>22</v>
      </c>
      <c r="N1332" t="str">
        <f>VLOOKUP(M1332,LUTs!E$2:H$14,3,)</f>
        <v>09Mason</v>
      </c>
      <c r="O1332" t="str">
        <f>VLOOKUP(M1332,LUTs!E$2:H$14,4,)</f>
        <v>02South Puget Sound</v>
      </c>
      <c r="P1332" s="73">
        <v>198.82157676348601</v>
      </c>
      <c r="Q1332" s="74">
        <f>VLOOKUP(B1332,Readme!A$40:C$51,2,)*P1332</f>
        <v>683.94622406639189</v>
      </c>
    </row>
    <row r="1333" spans="1:17" ht="12" customHeight="1" x14ac:dyDescent="0.35">
      <c r="A1333" s="75">
        <v>1332</v>
      </c>
      <c r="B1333" s="64">
        <v>2013</v>
      </c>
      <c r="C1333" s="64">
        <v>8</v>
      </c>
      <c r="D1333" s="80">
        <f t="shared" si="43"/>
        <v>2013</v>
      </c>
      <c r="E1333" t="s">
        <v>38</v>
      </c>
      <c r="F1333" t="s">
        <v>143</v>
      </c>
      <c r="G1333" t="s">
        <v>10</v>
      </c>
      <c r="H1333" s="72" t="s">
        <v>213</v>
      </c>
      <c r="I1333" s="72" t="s">
        <v>55</v>
      </c>
      <c r="J1333" t="str">
        <f t="shared" si="44"/>
        <v>Quilcene River</v>
      </c>
      <c r="K1333" t="str">
        <f>IFERROR(VLOOKUP(J1333,LUTs!$A$1:$C$73,2,FALSE),"NA")</f>
        <v>Jefferson</v>
      </c>
      <c r="L1333" t="str">
        <f>IFERROR(VLOOKUP(J1333,LUTs!$A$1:$C$73,3,FALSE),"NA")</f>
        <v>4 Hood Canal</v>
      </c>
      <c r="M1333" s="72" t="s">
        <v>26</v>
      </c>
      <c r="N1333" t="str">
        <f>VLOOKUP(M1333,LUTs!E$2:H$14,3,)</f>
        <v>20Other</v>
      </c>
      <c r="O1333" t="str">
        <f>VLOOKUP(M1333,LUTs!E$2:H$14,4,)</f>
        <v>07Non Puget Sound</v>
      </c>
      <c r="P1333" s="73">
        <v>99.410788381742805</v>
      </c>
      <c r="Q1333" s="74">
        <f>VLOOKUP(B1333,Readme!A$40:C$51,2,)*P1333</f>
        <v>341.97311203319526</v>
      </c>
    </row>
    <row r="1334" spans="1:17" ht="12" customHeight="1" x14ac:dyDescent="0.35">
      <c r="A1334" s="75">
        <v>1333</v>
      </c>
      <c r="B1334" s="64">
        <v>2013</v>
      </c>
      <c r="C1334" s="64">
        <v>8</v>
      </c>
      <c r="D1334" s="80">
        <f t="shared" si="43"/>
        <v>2013</v>
      </c>
      <c r="E1334" t="s">
        <v>38</v>
      </c>
      <c r="F1334" t="s">
        <v>143</v>
      </c>
      <c r="G1334" t="s">
        <v>10</v>
      </c>
      <c r="H1334" s="72" t="s">
        <v>213</v>
      </c>
      <c r="I1334" s="72" t="s">
        <v>55</v>
      </c>
      <c r="J1334" t="str">
        <f t="shared" si="44"/>
        <v>Quilcene River</v>
      </c>
      <c r="K1334" t="str">
        <f>IFERROR(VLOOKUP(J1334,LUTs!$A$1:$C$73,2,FALSE),"NA")</f>
        <v>Jefferson</v>
      </c>
      <c r="L1334" t="str">
        <f>IFERROR(VLOOKUP(J1334,LUTs!$A$1:$C$73,3,FALSE),"NA")</f>
        <v>4 Hood Canal</v>
      </c>
      <c r="M1334" s="72" t="s">
        <v>20</v>
      </c>
      <c r="N1334" t="str">
        <f>VLOOKUP(M1334,LUTs!E$2:H$14,3,)</f>
        <v>07Pierce</v>
      </c>
      <c r="O1334" t="str">
        <f>VLOOKUP(M1334,LUTs!E$2:H$14,4,)</f>
        <v>02South Puget Sound</v>
      </c>
      <c r="P1334" s="73">
        <v>216.896265560166</v>
      </c>
      <c r="Q1334" s="74">
        <f>VLOOKUP(B1334,Readme!A$40:C$51,2,)*P1334</f>
        <v>746.12315352697101</v>
      </c>
    </row>
    <row r="1335" spans="1:17" ht="12" customHeight="1" x14ac:dyDescent="0.35">
      <c r="A1335" s="75">
        <v>1334</v>
      </c>
      <c r="B1335" s="64">
        <v>2013</v>
      </c>
      <c r="C1335" s="64">
        <v>8</v>
      </c>
      <c r="D1335" s="80">
        <f t="shared" si="43"/>
        <v>2013</v>
      </c>
      <c r="E1335" t="s">
        <v>38</v>
      </c>
      <c r="F1335" t="s">
        <v>143</v>
      </c>
      <c r="G1335" t="s">
        <v>10</v>
      </c>
      <c r="H1335" s="72" t="s">
        <v>213</v>
      </c>
      <c r="I1335" s="72" t="s">
        <v>55</v>
      </c>
      <c r="J1335" t="str">
        <f t="shared" si="44"/>
        <v>Quilcene River</v>
      </c>
      <c r="K1335" t="str">
        <f>IFERROR(VLOOKUP(J1335,LUTs!$A$1:$C$73,2,FALSE),"NA")</f>
        <v>Jefferson</v>
      </c>
      <c r="L1335" t="str">
        <f>IFERROR(VLOOKUP(J1335,LUTs!$A$1:$C$73,3,FALSE),"NA")</f>
        <v>4 Hood Canal</v>
      </c>
      <c r="M1335" s="72" t="s">
        <v>21</v>
      </c>
      <c r="N1335" t="str">
        <f>VLOOKUP(M1335,LUTs!E$2:H$14,3,)</f>
        <v>08Thurston</v>
      </c>
      <c r="O1335" t="str">
        <f>VLOOKUP(M1335,LUTs!E$2:H$14,4,)</f>
        <v>02South Puget Sound</v>
      </c>
      <c r="P1335" s="73">
        <v>99.410788381742805</v>
      </c>
      <c r="Q1335" s="74">
        <f>VLOOKUP(B1335,Readme!A$40:C$51,2,)*P1335</f>
        <v>341.97311203319526</v>
      </c>
    </row>
    <row r="1336" spans="1:17" ht="12" customHeight="1" x14ac:dyDescent="0.35">
      <c r="A1336" s="75">
        <v>1335</v>
      </c>
      <c r="B1336" s="64">
        <v>2013</v>
      </c>
      <c r="C1336" s="64">
        <v>9</v>
      </c>
      <c r="D1336" s="80">
        <f t="shared" si="43"/>
        <v>2013</v>
      </c>
      <c r="E1336" t="s">
        <v>38</v>
      </c>
      <c r="F1336" t="s">
        <v>143</v>
      </c>
      <c r="G1336" t="s">
        <v>10</v>
      </c>
      <c r="H1336" s="72" t="s">
        <v>213</v>
      </c>
      <c r="I1336" s="72" t="s">
        <v>55</v>
      </c>
      <c r="J1336" t="str">
        <f t="shared" si="44"/>
        <v>Quilcene River</v>
      </c>
      <c r="K1336" t="str">
        <f>IFERROR(VLOOKUP(J1336,LUTs!$A$1:$C$73,2,FALSE),"NA")</f>
        <v>Jefferson</v>
      </c>
      <c r="L1336" t="str">
        <f>IFERROR(VLOOKUP(J1336,LUTs!$A$1:$C$73,3,FALSE),"NA")</f>
        <v>4 Hood Canal</v>
      </c>
      <c r="M1336" s="72" t="s">
        <v>24</v>
      </c>
      <c r="N1336" t="str">
        <f>VLOOKUP(M1336,LUTs!E$2:H$14,3,)</f>
        <v>11Clallam</v>
      </c>
      <c r="O1336" t="str">
        <f>VLOOKUP(M1336,LUTs!E$2:H$14,4,)</f>
        <v>03Strait of Juan de Fuca</v>
      </c>
      <c r="P1336" s="73">
        <v>72.246153846153902</v>
      </c>
      <c r="Q1336" s="74">
        <f>VLOOKUP(B1336,Readme!A$40:C$51,2,)*P1336</f>
        <v>248.52676923076942</v>
      </c>
    </row>
    <row r="1337" spans="1:17" ht="12" customHeight="1" x14ac:dyDescent="0.35">
      <c r="A1337" s="75">
        <v>1336</v>
      </c>
      <c r="B1337" s="64">
        <v>2013</v>
      </c>
      <c r="C1337" s="64">
        <v>9</v>
      </c>
      <c r="D1337" s="80">
        <f t="shared" si="43"/>
        <v>2013</v>
      </c>
      <c r="E1337" t="s">
        <v>38</v>
      </c>
      <c r="F1337" t="s">
        <v>143</v>
      </c>
      <c r="G1337" t="s">
        <v>10</v>
      </c>
      <c r="H1337" s="72" t="s">
        <v>213</v>
      </c>
      <c r="I1337" s="72" t="s">
        <v>55</v>
      </c>
      <c r="J1337" t="str">
        <f t="shared" si="44"/>
        <v>Quilcene River</v>
      </c>
      <c r="K1337" t="str">
        <f>IFERROR(VLOOKUP(J1337,LUTs!$A$1:$C$73,2,FALSE),"NA")</f>
        <v>Jefferson</v>
      </c>
      <c r="L1337" t="str">
        <f>IFERROR(VLOOKUP(J1337,LUTs!$A$1:$C$73,3,FALSE),"NA")</f>
        <v>4 Hood Canal</v>
      </c>
      <c r="M1337" s="72" t="s">
        <v>25</v>
      </c>
      <c r="N1337" t="str">
        <f>VLOOKUP(M1337,LUTs!E$2:H$14,3,)</f>
        <v>12Jefferson</v>
      </c>
      <c r="O1337" t="str">
        <f>VLOOKUP(M1337,LUTs!E$2:H$14,4,)</f>
        <v>03Strait of Juan de Fuca</v>
      </c>
      <c r="P1337" s="73">
        <v>45.153846153846203</v>
      </c>
      <c r="Q1337" s="74">
        <f>VLOOKUP(B1337,Readme!A$40:C$51,2,)*P1337</f>
        <v>155.32923076923095</v>
      </c>
    </row>
    <row r="1338" spans="1:17" ht="12" customHeight="1" x14ac:dyDescent="0.35">
      <c r="A1338" s="75">
        <v>1337</v>
      </c>
      <c r="B1338" s="64">
        <v>2013</v>
      </c>
      <c r="C1338" s="64">
        <v>9</v>
      </c>
      <c r="D1338" s="80">
        <f t="shared" si="43"/>
        <v>2013</v>
      </c>
      <c r="E1338" t="s">
        <v>38</v>
      </c>
      <c r="F1338" t="s">
        <v>143</v>
      </c>
      <c r="G1338" t="s">
        <v>10</v>
      </c>
      <c r="H1338" s="72" t="s">
        <v>213</v>
      </c>
      <c r="I1338" s="72" t="s">
        <v>55</v>
      </c>
      <c r="J1338" t="str">
        <f t="shared" si="44"/>
        <v>Quilcene River</v>
      </c>
      <c r="K1338" t="str">
        <f>IFERROR(VLOOKUP(J1338,LUTs!$A$1:$C$73,2,FALSE),"NA")</f>
        <v>Jefferson</v>
      </c>
      <c r="L1338" t="str">
        <f>IFERROR(VLOOKUP(J1338,LUTs!$A$1:$C$73,3,FALSE),"NA")</f>
        <v>4 Hood Canal</v>
      </c>
      <c r="M1338" s="72" t="s">
        <v>18</v>
      </c>
      <c r="N1338" t="str">
        <f>VLOOKUP(M1338,LUTs!E$2:H$14,3,)</f>
        <v>06King</v>
      </c>
      <c r="O1338" t="str">
        <f>VLOOKUP(M1338,LUTs!E$2:H$14,4,)</f>
        <v>02South Puget Sound</v>
      </c>
      <c r="P1338" s="73">
        <v>135.46153846153899</v>
      </c>
      <c r="Q1338" s="74">
        <f>VLOOKUP(B1338,Readme!A$40:C$51,2,)*P1338</f>
        <v>465.98769230769415</v>
      </c>
    </row>
    <row r="1339" spans="1:17" ht="12" customHeight="1" x14ac:dyDescent="0.35">
      <c r="A1339" s="75">
        <v>1338</v>
      </c>
      <c r="B1339" s="64">
        <v>2013</v>
      </c>
      <c r="C1339" s="64">
        <v>9</v>
      </c>
      <c r="D1339" s="80">
        <f t="shared" si="43"/>
        <v>2013</v>
      </c>
      <c r="E1339" t="s">
        <v>38</v>
      </c>
      <c r="F1339" t="s">
        <v>143</v>
      </c>
      <c r="G1339" t="s">
        <v>10</v>
      </c>
      <c r="H1339" s="72" t="s">
        <v>213</v>
      </c>
      <c r="I1339" s="72" t="s">
        <v>55</v>
      </c>
      <c r="J1339" t="str">
        <f t="shared" si="44"/>
        <v>Quilcene River</v>
      </c>
      <c r="K1339" t="str">
        <f>IFERROR(VLOOKUP(J1339,LUTs!$A$1:$C$73,2,FALSE),"NA")</f>
        <v>Jefferson</v>
      </c>
      <c r="L1339" t="str">
        <f>IFERROR(VLOOKUP(J1339,LUTs!$A$1:$C$73,3,FALSE),"NA")</f>
        <v>4 Hood Canal</v>
      </c>
      <c r="M1339" s="72" t="s">
        <v>23</v>
      </c>
      <c r="N1339" t="str">
        <f>VLOOKUP(M1339,LUTs!E$2:H$14,3,)</f>
        <v>10Kitsap</v>
      </c>
      <c r="O1339" t="str">
        <f>VLOOKUP(M1339,LUTs!E$2:H$14,4,)</f>
        <v>02South Puget Sound</v>
      </c>
      <c r="P1339" s="73">
        <v>135.46153846153899</v>
      </c>
      <c r="Q1339" s="74">
        <f>VLOOKUP(B1339,Readme!A$40:C$51,2,)*P1339</f>
        <v>465.98769230769415</v>
      </c>
    </row>
    <row r="1340" spans="1:17" ht="12" customHeight="1" x14ac:dyDescent="0.35">
      <c r="A1340" s="75">
        <v>1339</v>
      </c>
      <c r="B1340" s="64">
        <v>2013</v>
      </c>
      <c r="C1340" s="64">
        <v>9</v>
      </c>
      <c r="D1340" s="80">
        <f t="shared" si="43"/>
        <v>2013</v>
      </c>
      <c r="E1340" t="s">
        <v>38</v>
      </c>
      <c r="F1340" t="s">
        <v>143</v>
      </c>
      <c r="G1340" t="s">
        <v>10</v>
      </c>
      <c r="H1340" s="72" t="s">
        <v>213</v>
      </c>
      <c r="I1340" s="72" t="s">
        <v>55</v>
      </c>
      <c r="J1340" t="str">
        <f t="shared" si="44"/>
        <v>Quilcene River</v>
      </c>
      <c r="K1340" t="str">
        <f>IFERROR(VLOOKUP(J1340,LUTs!$A$1:$C$73,2,FALSE),"NA")</f>
        <v>Jefferson</v>
      </c>
      <c r="L1340" t="str">
        <f>IFERROR(VLOOKUP(J1340,LUTs!$A$1:$C$73,3,FALSE),"NA")</f>
        <v>4 Hood Canal</v>
      </c>
      <c r="M1340" s="72" t="s">
        <v>22</v>
      </c>
      <c r="N1340" t="str">
        <f>VLOOKUP(M1340,LUTs!E$2:H$14,3,)</f>
        <v>09Mason</v>
      </c>
      <c r="O1340" t="str">
        <f>VLOOKUP(M1340,LUTs!E$2:H$14,4,)</f>
        <v>02South Puget Sound</v>
      </c>
      <c r="P1340" s="73">
        <v>90.307692307692307</v>
      </c>
      <c r="Q1340" s="74">
        <f>VLOOKUP(B1340,Readme!A$40:C$51,2,)*P1340</f>
        <v>310.65846153846155</v>
      </c>
    </row>
    <row r="1341" spans="1:17" ht="12" customHeight="1" x14ac:dyDescent="0.35">
      <c r="A1341" s="75">
        <v>1340</v>
      </c>
      <c r="B1341" s="64">
        <v>2013</v>
      </c>
      <c r="C1341" s="64">
        <v>9</v>
      </c>
      <c r="D1341" s="80">
        <f t="shared" si="43"/>
        <v>2013</v>
      </c>
      <c r="E1341" t="s">
        <v>38</v>
      </c>
      <c r="F1341" t="s">
        <v>143</v>
      </c>
      <c r="G1341" t="s">
        <v>10</v>
      </c>
      <c r="H1341" s="72" t="s">
        <v>213</v>
      </c>
      <c r="I1341" s="72" t="s">
        <v>55</v>
      </c>
      <c r="J1341" t="str">
        <f t="shared" si="44"/>
        <v>Quilcene River</v>
      </c>
      <c r="K1341" t="str">
        <f>IFERROR(VLOOKUP(J1341,LUTs!$A$1:$C$73,2,FALSE),"NA")</f>
        <v>Jefferson</v>
      </c>
      <c r="L1341" t="str">
        <f>IFERROR(VLOOKUP(J1341,LUTs!$A$1:$C$73,3,FALSE),"NA")</f>
        <v>4 Hood Canal</v>
      </c>
      <c r="M1341" s="72" t="s">
        <v>26</v>
      </c>
      <c r="N1341" t="str">
        <f>VLOOKUP(M1341,LUTs!E$2:H$14,3,)</f>
        <v>20Other</v>
      </c>
      <c r="O1341" t="str">
        <f>VLOOKUP(M1341,LUTs!E$2:H$14,4,)</f>
        <v>07Non Puget Sound</v>
      </c>
      <c r="P1341" s="73">
        <v>63.2153846153846</v>
      </c>
      <c r="Q1341" s="74">
        <f>VLOOKUP(B1341,Readme!A$40:C$51,2,)*P1341</f>
        <v>217.46092307692302</v>
      </c>
    </row>
    <row r="1342" spans="1:17" ht="12" customHeight="1" x14ac:dyDescent="0.35">
      <c r="A1342" s="75">
        <v>1341</v>
      </c>
      <c r="B1342" s="64">
        <v>2013</v>
      </c>
      <c r="C1342" s="64">
        <v>9</v>
      </c>
      <c r="D1342" s="80">
        <f t="shared" si="43"/>
        <v>2013</v>
      </c>
      <c r="E1342" t="s">
        <v>38</v>
      </c>
      <c r="F1342" t="s">
        <v>143</v>
      </c>
      <c r="G1342" t="s">
        <v>10</v>
      </c>
      <c r="H1342" s="72" t="s">
        <v>213</v>
      </c>
      <c r="I1342" s="72" t="s">
        <v>55</v>
      </c>
      <c r="J1342" t="str">
        <f t="shared" si="44"/>
        <v>Quilcene River</v>
      </c>
      <c r="K1342" t="str">
        <f>IFERROR(VLOOKUP(J1342,LUTs!$A$1:$C$73,2,FALSE),"NA")</f>
        <v>Jefferson</v>
      </c>
      <c r="L1342" t="str">
        <f>IFERROR(VLOOKUP(J1342,LUTs!$A$1:$C$73,3,FALSE),"NA")</f>
        <v>4 Hood Canal</v>
      </c>
      <c r="M1342" s="72" t="s">
        <v>15</v>
      </c>
      <c r="N1342" t="str">
        <f>VLOOKUP(M1342,LUTs!E$2:H$14,3,)</f>
        <v>02Skagit</v>
      </c>
      <c r="O1342" t="str">
        <f>VLOOKUP(M1342,LUTs!E$2:H$14,4,)</f>
        <v>01North Puget Sound</v>
      </c>
      <c r="P1342" s="73">
        <v>27.092307692307699</v>
      </c>
      <c r="Q1342" s="74">
        <f>VLOOKUP(B1342,Readme!A$40:C$51,2,)*P1342</f>
        <v>93.197538461538485</v>
      </c>
    </row>
    <row r="1343" spans="1:17" ht="12" customHeight="1" x14ac:dyDescent="0.35">
      <c r="A1343" s="75">
        <v>1342</v>
      </c>
      <c r="B1343" s="64">
        <v>2013</v>
      </c>
      <c r="C1343" s="64">
        <v>9</v>
      </c>
      <c r="D1343" s="80">
        <f t="shared" si="43"/>
        <v>2013</v>
      </c>
      <c r="E1343" t="s">
        <v>38</v>
      </c>
      <c r="F1343" t="s">
        <v>143</v>
      </c>
      <c r="G1343" t="s">
        <v>10</v>
      </c>
      <c r="H1343" s="72" t="s">
        <v>213</v>
      </c>
      <c r="I1343" s="72" t="s">
        <v>55</v>
      </c>
      <c r="J1343" t="str">
        <f t="shared" si="44"/>
        <v>Quilcene River</v>
      </c>
      <c r="K1343" t="str">
        <f>IFERROR(VLOOKUP(J1343,LUTs!$A$1:$C$73,2,FALSE),"NA")</f>
        <v>Jefferson</v>
      </c>
      <c r="L1343" t="str">
        <f>IFERROR(VLOOKUP(J1343,LUTs!$A$1:$C$73,3,FALSE),"NA")</f>
        <v>4 Hood Canal</v>
      </c>
      <c r="M1343" s="72" t="s">
        <v>16</v>
      </c>
      <c r="N1343" t="str">
        <f>VLOOKUP(M1343,LUTs!E$2:H$14,3,)</f>
        <v>03Snohomish</v>
      </c>
      <c r="O1343" t="str">
        <f>VLOOKUP(M1343,LUTs!E$2:H$14,4,)</f>
        <v>01North Puget Sound</v>
      </c>
      <c r="P1343" s="73">
        <v>18.0615384615385</v>
      </c>
      <c r="Q1343" s="74">
        <f>VLOOKUP(B1343,Readme!A$40:C$51,2,)*P1343</f>
        <v>62.13169230769244</v>
      </c>
    </row>
    <row r="1344" spans="1:17" ht="12" customHeight="1" x14ac:dyDescent="0.35">
      <c r="A1344" s="75">
        <v>1343</v>
      </c>
      <c r="B1344" s="64">
        <v>2013</v>
      </c>
      <c r="C1344" s="64">
        <v>10</v>
      </c>
      <c r="D1344" s="80">
        <f t="shared" si="43"/>
        <v>2013</v>
      </c>
      <c r="E1344" t="s">
        <v>38</v>
      </c>
      <c r="F1344" t="s">
        <v>143</v>
      </c>
      <c r="G1344" t="s">
        <v>10</v>
      </c>
      <c r="H1344" s="72" t="s">
        <v>213</v>
      </c>
      <c r="I1344" s="72" t="s">
        <v>55</v>
      </c>
      <c r="J1344" t="str">
        <f t="shared" si="44"/>
        <v>Quilcene River</v>
      </c>
      <c r="K1344" t="str">
        <f>IFERROR(VLOOKUP(J1344,LUTs!$A$1:$C$73,2,FALSE),"NA")</f>
        <v>Jefferson</v>
      </c>
      <c r="L1344" t="str">
        <f>IFERROR(VLOOKUP(J1344,LUTs!$A$1:$C$73,3,FALSE),"NA")</f>
        <v>4 Hood Canal</v>
      </c>
      <c r="M1344" s="72" t="s">
        <v>24</v>
      </c>
      <c r="N1344" t="str">
        <f>VLOOKUP(M1344,LUTs!E$2:H$14,3,)</f>
        <v>11Clallam</v>
      </c>
      <c r="O1344" t="str">
        <f>VLOOKUP(M1344,LUTs!E$2:H$14,4,)</f>
        <v>03Strait of Juan de Fuca</v>
      </c>
      <c r="P1344" s="73">
        <v>9</v>
      </c>
      <c r="Q1344" s="74">
        <f>VLOOKUP(B1344,Readme!A$40:C$51,2,)*P1344</f>
        <v>30.96</v>
      </c>
    </row>
    <row r="1345" spans="1:17" ht="12" customHeight="1" x14ac:dyDescent="0.35">
      <c r="A1345" s="75">
        <v>1344</v>
      </c>
      <c r="B1345" s="64">
        <v>2013</v>
      </c>
      <c r="C1345" s="64">
        <v>10</v>
      </c>
      <c r="D1345" s="80">
        <f t="shared" si="43"/>
        <v>2013</v>
      </c>
      <c r="E1345" t="s">
        <v>38</v>
      </c>
      <c r="F1345" t="s">
        <v>143</v>
      </c>
      <c r="G1345" t="s">
        <v>10</v>
      </c>
      <c r="H1345" s="72" t="s">
        <v>213</v>
      </c>
      <c r="I1345" s="72" t="s">
        <v>55</v>
      </c>
      <c r="J1345" t="str">
        <f t="shared" si="44"/>
        <v>Quilcene River</v>
      </c>
      <c r="K1345" t="str">
        <f>IFERROR(VLOOKUP(J1345,LUTs!$A$1:$C$73,2,FALSE),"NA")</f>
        <v>Jefferson</v>
      </c>
      <c r="L1345" t="str">
        <f>IFERROR(VLOOKUP(J1345,LUTs!$A$1:$C$73,3,FALSE),"NA")</f>
        <v>4 Hood Canal</v>
      </c>
      <c r="M1345" s="72" t="s">
        <v>25</v>
      </c>
      <c r="N1345" t="str">
        <f>VLOOKUP(M1345,LUTs!E$2:H$14,3,)</f>
        <v>12Jefferson</v>
      </c>
      <c r="O1345" t="str">
        <f>VLOOKUP(M1345,LUTs!E$2:H$14,4,)</f>
        <v>03Strait of Juan de Fuca</v>
      </c>
      <c r="P1345" s="73">
        <v>9</v>
      </c>
      <c r="Q1345" s="74">
        <f>VLOOKUP(B1345,Readme!A$40:C$51,2,)*P1345</f>
        <v>30.96</v>
      </c>
    </row>
    <row r="1346" spans="1:17" ht="12" customHeight="1" x14ac:dyDescent="0.35">
      <c r="A1346" s="75">
        <v>1345</v>
      </c>
      <c r="B1346" s="64">
        <v>2013</v>
      </c>
      <c r="C1346" s="64">
        <v>10</v>
      </c>
      <c r="D1346" s="80">
        <f t="shared" ref="D1346:D1409" si="45">IF(C1346&gt;3,B1346,B1346-1)</f>
        <v>2013</v>
      </c>
      <c r="E1346" t="s">
        <v>38</v>
      </c>
      <c r="F1346" t="s">
        <v>143</v>
      </c>
      <c r="G1346" t="s">
        <v>10</v>
      </c>
      <c r="H1346" s="72" t="s">
        <v>213</v>
      </c>
      <c r="I1346" s="72" t="s">
        <v>55</v>
      </c>
      <c r="J1346" t="str">
        <f t="shared" si="44"/>
        <v>Quilcene River</v>
      </c>
      <c r="K1346" t="str">
        <f>IFERROR(VLOOKUP(J1346,LUTs!$A$1:$C$73,2,FALSE),"NA")</f>
        <v>Jefferson</v>
      </c>
      <c r="L1346" t="str">
        <f>IFERROR(VLOOKUP(J1346,LUTs!$A$1:$C$73,3,FALSE),"NA")</f>
        <v>4 Hood Canal</v>
      </c>
      <c r="M1346" s="72" t="s">
        <v>23</v>
      </c>
      <c r="N1346" t="str">
        <f>VLOOKUP(M1346,LUTs!E$2:H$14,3,)</f>
        <v>10Kitsap</v>
      </c>
      <c r="O1346" t="str">
        <f>VLOOKUP(M1346,LUTs!E$2:H$14,4,)</f>
        <v>02South Puget Sound</v>
      </c>
      <c r="P1346" s="73">
        <v>36</v>
      </c>
      <c r="Q1346" s="74">
        <f>VLOOKUP(B1346,Readme!A$40:C$51,2,)*P1346</f>
        <v>123.84</v>
      </c>
    </row>
    <row r="1347" spans="1:17" ht="12" customHeight="1" x14ac:dyDescent="0.35">
      <c r="A1347" s="75">
        <v>1346</v>
      </c>
      <c r="B1347" s="64">
        <v>2013</v>
      </c>
      <c r="C1347" s="64">
        <v>10</v>
      </c>
      <c r="D1347" s="80">
        <f t="shared" si="45"/>
        <v>2013</v>
      </c>
      <c r="E1347" t="s">
        <v>38</v>
      </c>
      <c r="F1347" t="s">
        <v>143</v>
      </c>
      <c r="G1347" t="s">
        <v>10</v>
      </c>
      <c r="H1347" s="72" t="s">
        <v>213</v>
      </c>
      <c r="I1347" s="72" t="s">
        <v>55</v>
      </c>
      <c r="J1347" t="str">
        <f t="shared" ref="J1347:J1410" si="46">I1347</f>
        <v>Quilcene River</v>
      </c>
      <c r="K1347" t="str">
        <f>IFERROR(VLOOKUP(J1347,LUTs!$A$1:$C$73,2,FALSE),"NA")</f>
        <v>Jefferson</v>
      </c>
      <c r="L1347" t="str">
        <f>IFERROR(VLOOKUP(J1347,LUTs!$A$1:$C$73,3,FALSE),"NA")</f>
        <v>4 Hood Canal</v>
      </c>
      <c r="M1347" s="72" t="s">
        <v>16</v>
      </c>
      <c r="N1347" t="str">
        <f>VLOOKUP(M1347,LUTs!E$2:H$14,3,)</f>
        <v>03Snohomish</v>
      </c>
      <c r="O1347" t="str">
        <f>VLOOKUP(M1347,LUTs!E$2:H$14,4,)</f>
        <v>01North Puget Sound</v>
      </c>
      <c r="P1347" s="73">
        <v>18</v>
      </c>
      <c r="Q1347" s="74">
        <f>VLOOKUP(B1347,Readme!A$40:C$51,2,)*P1347</f>
        <v>61.92</v>
      </c>
    </row>
    <row r="1348" spans="1:17" ht="12" customHeight="1" x14ac:dyDescent="0.35">
      <c r="A1348" s="75">
        <v>1347</v>
      </c>
      <c r="B1348" s="64">
        <v>2013</v>
      </c>
      <c r="C1348" s="64">
        <v>8</v>
      </c>
      <c r="D1348" s="80">
        <f t="shared" si="45"/>
        <v>2013</v>
      </c>
      <c r="E1348" t="s">
        <v>38</v>
      </c>
      <c r="F1348" t="s">
        <v>143</v>
      </c>
      <c r="G1348" t="s">
        <v>10</v>
      </c>
      <c r="H1348" s="72" t="s">
        <v>214</v>
      </c>
      <c r="I1348" s="72" t="s">
        <v>56</v>
      </c>
      <c r="J1348" t="str">
        <f t="shared" si="46"/>
        <v>Samish River</v>
      </c>
      <c r="K1348" t="str">
        <f>IFERROR(VLOOKUP(J1348,LUTs!$A$1:$C$73,2,FALSE),"NA")</f>
        <v>Skagit</v>
      </c>
      <c r="L1348" t="str">
        <f>IFERROR(VLOOKUP(J1348,LUTs!$A$1:$C$73,3,FALSE),"NA")</f>
        <v>1North Puget Sound</v>
      </c>
      <c r="M1348" s="72" t="s">
        <v>17</v>
      </c>
      <c r="N1348" t="str">
        <f>VLOOKUP(M1348,LUTs!E$2:H$14,3,)</f>
        <v>04Island</v>
      </c>
      <c r="O1348" t="str">
        <f>VLOOKUP(M1348,LUTs!E$2:H$14,4,)</f>
        <v>01North Puget Sound</v>
      </c>
      <c r="P1348" s="73">
        <v>127.587628865979</v>
      </c>
      <c r="Q1348" s="74">
        <f>VLOOKUP(B1348,Readme!A$40:C$51,2,)*P1348</f>
        <v>438.90144329896776</v>
      </c>
    </row>
    <row r="1349" spans="1:17" ht="12" customHeight="1" x14ac:dyDescent="0.35">
      <c r="A1349" s="75">
        <v>1348</v>
      </c>
      <c r="B1349" s="64">
        <v>2013</v>
      </c>
      <c r="C1349" s="64">
        <v>8</v>
      </c>
      <c r="D1349" s="80">
        <f t="shared" si="45"/>
        <v>2013</v>
      </c>
      <c r="E1349" t="s">
        <v>38</v>
      </c>
      <c r="F1349" t="s">
        <v>143</v>
      </c>
      <c r="G1349" t="s">
        <v>10</v>
      </c>
      <c r="H1349" s="72" t="s">
        <v>214</v>
      </c>
      <c r="I1349" s="72" t="s">
        <v>56</v>
      </c>
      <c r="J1349" t="str">
        <f t="shared" si="46"/>
        <v>Samish River</v>
      </c>
      <c r="K1349" t="str">
        <f>IFERROR(VLOOKUP(J1349,LUTs!$A$1:$C$73,2,FALSE),"NA")</f>
        <v>Skagit</v>
      </c>
      <c r="L1349" t="str">
        <f>IFERROR(VLOOKUP(J1349,LUTs!$A$1:$C$73,3,FALSE),"NA")</f>
        <v>1North Puget Sound</v>
      </c>
      <c r="M1349" s="72" t="s">
        <v>18</v>
      </c>
      <c r="N1349" t="str">
        <f>VLOOKUP(M1349,LUTs!E$2:H$14,3,)</f>
        <v>06King</v>
      </c>
      <c r="O1349" t="str">
        <f>VLOOKUP(M1349,LUTs!E$2:H$14,4,)</f>
        <v>02South Puget Sound</v>
      </c>
      <c r="P1349" s="73">
        <v>136.70103092783501</v>
      </c>
      <c r="Q1349" s="74">
        <f>VLOOKUP(B1349,Readme!A$40:C$51,2,)*P1349</f>
        <v>470.25154639175241</v>
      </c>
    </row>
    <row r="1350" spans="1:17" ht="12" customHeight="1" x14ac:dyDescent="0.35">
      <c r="A1350" s="75">
        <v>1349</v>
      </c>
      <c r="B1350" s="64">
        <v>2013</v>
      </c>
      <c r="C1350" s="64">
        <v>8</v>
      </c>
      <c r="D1350" s="80">
        <f t="shared" si="45"/>
        <v>2013</v>
      </c>
      <c r="E1350" t="s">
        <v>38</v>
      </c>
      <c r="F1350" t="s">
        <v>143</v>
      </c>
      <c r="G1350" t="s">
        <v>10</v>
      </c>
      <c r="H1350" s="72" t="s">
        <v>214</v>
      </c>
      <c r="I1350" s="72" t="s">
        <v>56</v>
      </c>
      <c r="J1350" t="str">
        <f t="shared" si="46"/>
        <v>Samish River</v>
      </c>
      <c r="K1350" t="str">
        <f>IFERROR(VLOOKUP(J1350,LUTs!$A$1:$C$73,2,FALSE),"NA")</f>
        <v>Skagit</v>
      </c>
      <c r="L1350" t="str">
        <f>IFERROR(VLOOKUP(J1350,LUTs!$A$1:$C$73,3,FALSE),"NA")</f>
        <v>1North Puget Sound</v>
      </c>
      <c r="M1350" s="72" t="s">
        <v>15</v>
      </c>
      <c r="N1350" t="str">
        <f>VLOOKUP(M1350,LUTs!E$2:H$14,3,)</f>
        <v>02Skagit</v>
      </c>
      <c r="O1350" t="str">
        <f>VLOOKUP(M1350,LUTs!E$2:H$14,4,)</f>
        <v>01North Puget Sound</v>
      </c>
      <c r="P1350" s="73">
        <v>446.55670103092802</v>
      </c>
      <c r="Q1350" s="74">
        <f>VLOOKUP(B1350,Readme!A$40:C$51,2,)*P1350</f>
        <v>1536.1550515463923</v>
      </c>
    </row>
    <row r="1351" spans="1:17" ht="12" customHeight="1" x14ac:dyDescent="0.35">
      <c r="A1351" s="75">
        <v>1350</v>
      </c>
      <c r="B1351" s="64">
        <v>2013</v>
      </c>
      <c r="C1351" s="64">
        <v>8</v>
      </c>
      <c r="D1351" s="80">
        <f t="shared" si="45"/>
        <v>2013</v>
      </c>
      <c r="E1351" t="s">
        <v>38</v>
      </c>
      <c r="F1351" t="s">
        <v>143</v>
      </c>
      <c r="G1351" t="s">
        <v>10</v>
      </c>
      <c r="H1351" s="72" t="s">
        <v>214</v>
      </c>
      <c r="I1351" s="72" t="s">
        <v>56</v>
      </c>
      <c r="J1351" t="str">
        <f t="shared" si="46"/>
        <v>Samish River</v>
      </c>
      <c r="K1351" t="str">
        <f>IFERROR(VLOOKUP(J1351,LUTs!$A$1:$C$73,2,FALSE),"NA")</f>
        <v>Skagit</v>
      </c>
      <c r="L1351" t="str">
        <f>IFERROR(VLOOKUP(J1351,LUTs!$A$1:$C$73,3,FALSE),"NA")</f>
        <v>1North Puget Sound</v>
      </c>
      <c r="M1351" s="72" t="s">
        <v>16</v>
      </c>
      <c r="N1351" t="str">
        <f>VLOOKUP(M1351,LUTs!E$2:H$14,3,)</f>
        <v>03Snohomish</v>
      </c>
      <c r="O1351" t="str">
        <f>VLOOKUP(M1351,LUTs!E$2:H$14,4,)</f>
        <v>01North Puget Sound</v>
      </c>
      <c r="P1351" s="73">
        <v>647.05154639175305</v>
      </c>
      <c r="Q1351" s="74">
        <f>VLOOKUP(B1351,Readme!A$40:C$51,2,)*P1351</f>
        <v>2225.8573195876306</v>
      </c>
    </row>
    <row r="1352" spans="1:17" ht="12" customHeight="1" x14ac:dyDescent="0.35">
      <c r="A1352" s="75">
        <v>1351</v>
      </c>
      <c r="B1352" s="64">
        <v>2013</v>
      </c>
      <c r="C1352" s="64">
        <v>8</v>
      </c>
      <c r="D1352" s="80">
        <f t="shared" si="45"/>
        <v>2013</v>
      </c>
      <c r="E1352" t="s">
        <v>38</v>
      </c>
      <c r="F1352" t="s">
        <v>143</v>
      </c>
      <c r="G1352" t="s">
        <v>10</v>
      </c>
      <c r="H1352" s="72" t="s">
        <v>214</v>
      </c>
      <c r="I1352" s="72" t="s">
        <v>56</v>
      </c>
      <c r="J1352" t="str">
        <f t="shared" si="46"/>
        <v>Samish River</v>
      </c>
      <c r="K1352" t="str">
        <f>IFERROR(VLOOKUP(J1352,LUTs!$A$1:$C$73,2,FALSE),"NA")</f>
        <v>Skagit</v>
      </c>
      <c r="L1352" t="str">
        <f>IFERROR(VLOOKUP(J1352,LUTs!$A$1:$C$73,3,FALSE),"NA")</f>
        <v>1North Puget Sound</v>
      </c>
      <c r="M1352" s="72" t="s">
        <v>13</v>
      </c>
      <c r="N1352" t="str">
        <f>VLOOKUP(M1352,LUTs!E$2:H$14,3,)</f>
        <v>01Whatcom</v>
      </c>
      <c r="O1352" t="str">
        <f>VLOOKUP(M1352,LUTs!E$2:H$14,4,)</f>
        <v>01North Puget Sound</v>
      </c>
      <c r="P1352" s="73">
        <v>410.10309278350502</v>
      </c>
      <c r="Q1352" s="74">
        <f>VLOOKUP(B1352,Readme!A$40:C$51,2,)*P1352</f>
        <v>1410.7546391752574</v>
      </c>
    </row>
    <row r="1353" spans="1:17" ht="12" customHeight="1" x14ac:dyDescent="0.35">
      <c r="A1353" s="75">
        <v>1352</v>
      </c>
      <c r="B1353" s="64">
        <v>2013</v>
      </c>
      <c r="C1353" s="64">
        <v>9</v>
      </c>
      <c r="D1353" s="80">
        <f t="shared" si="45"/>
        <v>2013</v>
      </c>
      <c r="E1353" t="s">
        <v>38</v>
      </c>
      <c r="F1353" t="s">
        <v>143</v>
      </c>
      <c r="G1353" t="s">
        <v>10</v>
      </c>
      <c r="H1353" s="72" t="s">
        <v>214</v>
      </c>
      <c r="I1353" s="72" t="s">
        <v>56</v>
      </c>
      <c r="J1353" t="str">
        <f t="shared" si="46"/>
        <v>Samish River</v>
      </c>
      <c r="K1353" t="str">
        <f>IFERROR(VLOOKUP(J1353,LUTs!$A$1:$C$73,2,FALSE),"NA")</f>
        <v>Skagit</v>
      </c>
      <c r="L1353" t="str">
        <f>IFERROR(VLOOKUP(J1353,LUTs!$A$1:$C$73,3,FALSE),"NA")</f>
        <v>1North Puget Sound</v>
      </c>
      <c r="M1353" s="72" t="s">
        <v>17</v>
      </c>
      <c r="N1353" t="str">
        <f>VLOOKUP(M1353,LUTs!E$2:H$14,3,)</f>
        <v>04Island</v>
      </c>
      <c r="O1353" t="str">
        <f>VLOOKUP(M1353,LUTs!E$2:H$14,4,)</f>
        <v>01North Puget Sound</v>
      </c>
      <c r="P1353" s="73">
        <v>392.90196078431399</v>
      </c>
      <c r="Q1353" s="74">
        <f>VLOOKUP(B1353,Readme!A$40:C$51,2,)*P1353</f>
        <v>1351.58274509804</v>
      </c>
    </row>
    <row r="1354" spans="1:17" ht="12" customHeight="1" x14ac:dyDescent="0.35">
      <c r="A1354" s="75">
        <v>1353</v>
      </c>
      <c r="B1354" s="64">
        <v>2013</v>
      </c>
      <c r="C1354" s="64">
        <v>9</v>
      </c>
      <c r="D1354" s="80">
        <f t="shared" si="45"/>
        <v>2013</v>
      </c>
      <c r="E1354" t="s">
        <v>38</v>
      </c>
      <c r="F1354" t="s">
        <v>143</v>
      </c>
      <c r="G1354" t="s">
        <v>10</v>
      </c>
      <c r="H1354" s="72" t="s">
        <v>214</v>
      </c>
      <c r="I1354" s="72" t="s">
        <v>56</v>
      </c>
      <c r="J1354" t="str">
        <f t="shared" si="46"/>
        <v>Samish River</v>
      </c>
      <c r="K1354" t="str">
        <f>IFERROR(VLOOKUP(J1354,LUTs!$A$1:$C$73,2,FALSE),"NA")</f>
        <v>Skagit</v>
      </c>
      <c r="L1354" t="str">
        <f>IFERROR(VLOOKUP(J1354,LUTs!$A$1:$C$73,3,FALSE),"NA")</f>
        <v>1North Puget Sound</v>
      </c>
      <c r="M1354" s="72" t="s">
        <v>18</v>
      </c>
      <c r="N1354" t="str">
        <f>VLOOKUP(M1354,LUTs!E$2:H$14,3,)</f>
        <v>06King</v>
      </c>
      <c r="O1354" t="str">
        <f>VLOOKUP(M1354,LUTs!E$2:H$14,4,)</f>
        <v>02South Puget Sound</v>
      </c>
      <c r="P1354" s="73">
        <v>685.29411764705901</v>
      </c>
      <c r="Q1354" s="74">
        <f>VLOOKUP(B1354,Readme!A$40:C$51,2,)*P1354</f>
        <v>2357.4117647058829</v>
      </c>
    </row>
    <row r="1355" spans="1:17" ht="12" customHeight="1" x14ac:dyDescent="0.35">
      <c r="A1355" s="75">
        <v>1354</v>
      </c>
      <c r="B1355" s="64">
        <v>2013</v>
      </c>
      <c r="C1355" s="64">
        <v>9</v>
      </c>
      <c r="D1355" s="80">
        <f t="shared" si="45"/>
        <v>2013</v>
      </c>
      <c r="E1355" t="s">
        <v>38</v>
      </c>
      <c r="F1355" t="s">
        <v>143</v>
      </c>
      <c r="G1355" t="s">
        <v>10</v>
      </c>
      <c r="H1355" s="72" t="s">
        <v>214</v>
      </c>
      <c r="I1355" s="72" t="s">
        <v>56</v>
      </c>
      <c r="J1355" t="str">
        <f t="shared" si="46"/>
        <v>Samish River</v>
      </c>
      <c r="K1355" t="str">
        <f>IFERROR(VLOOKUP(J1355,LUTs!$A$1:$C$73,2,FALSE),"NA")</f>
        <v>Skagit</v>
      </c>
      <c r="L1355" t="str">
        <f>IFERROR(VLOOKUP(J1355,LUTs!$A$1:$C$73,3,FALSE),"NA")</f>
        <v>1North Puget Sound</v>
      </c>
      <c r="M1355" s="72" t="s">
        <v>26</v>
      </c>
      <c r="N1355" t="str">
        <f>VLOOKUP(M1355,LUTs!E$2:H$14,3,)</f>
        <v>20Other</v>
      </c>
      <c r="O1355" t="str">
        <f>VLOOKUP(M1355,LUTs!E$2:H$14,4,)</f>
        <v>07Non Puget Sound</v>
      </c>
      <c r="P1355" s="73">
        <v>255.84313725490199</v>
      </c>
      <c r="Q1355" s="74">
        <f>VLOOKUP(B1355,Readme!A$40:C$51,2,)*P1355</f>
        <v>880.10039215686288</v>
      </c>
    </row>
    <row r="1356" spans="1:17" ht="12" customHeight="1" x14ac:dyDescent="0.35">
      <c r="A1356" s="75">
        <v>1355</v>
      </c>
      <c r="B1356" s="64">
        <v>2013</v>
      </c>
      <c r="C1356" s="64">
        <v>9</v>
      </c>
      <c r="D1356" s="80">
        <f t="shared" si="45"/>
        <v>2013</v>
      </c>
      <c r="E1356" t="s">
        <v>38</v>
      </c>
      <c r="F1356" t="s">
        <v>143</v>
      </c>
      <c r="G1356" t="s">
        <v>10</v>
      </c>
      <c r="H1356" s="72" t="s">
        <v>214</v>
      </c>
      <c r="I1356" s="72" t="s">
        <v>56</v>
      </c>
      <c r="J1356" t="str">
        <f t="shared" si="46"/>
        <v>Samish River</v>
      </c>
      <c r="K1356" t="str">
        <f>IFERROR(VLOOKUP(J1356,LUTs!$A$1:$C$73,2,FALSE),"NA")</f>
        <v>Skagit</v>
      </c>
      <c r="L1356" t="str">
        <f>IFERROR(VLOOKUP(J1356,LUTs!$A$1:$C$73,3,FALSE),"NA")</f>
        <v>1North Puget Sound</v>
      </c>
      <c r="M1356" s="72" t="s">
        <v>20</v>
      </c>
      <c r="N1356" t="str">
        <f>VLOOKUP(M1356,LUTs!E$2:H$14,3,)</f>
        <v>07Pierce</v>
      </c>
      <c r="O1356" t="str">
        <f>VLOOKUP(M1356,LUTs!E$2:H$14,4,)</f>
        <v>02South Puget Sound</v>
      </c>
      <c r="P1356" s="73">
        <v>45.686274509803901</v>
      </c>
      <c r="Q1356" s="74">
        <f>VLOOKUP(B1356,Readme!A$40:C$51,2,)*P1356</f>
        <v>157.16078431372543</v>
      </c>
    </row>
    <row r="1357" spans="1:17" ht="12" customHeight="1" x14ac:dyDescent="0.35">
      <c r="A1357" s="75">
        <v>1356</v>
      </c>
      <c r="B1357" s="64">
        <v>2013</v>
      </c>
      <c r="C1357" s="64">
        <v>9</v>
      </c>
      <c r="D1357" s="80">
        <f t="shared" si="45"/>
        <v>2013</v>
      </c>
      <c r="E1357" t="s">
        <v>38</v>
      </c>
      <c r="F1357" t="s">
        <v>143</v>
      </c>
      <c r="G1357" t="s">
        <v>10</v>
      </c>
      <c r="H1357" s="72" t="s">
        <v>214</v>
      </c>
      <c r="I1357" s="72" t="s">
        <v>56</v>
      </c>
      <c r="J1357" t="str">
        <f t="shared" si="46"/>
        <v>Samish River</v>
      </c>
      <c r="K1357" t="str">
        <f>IFERROR(VLOOKUP(J1357,LUTs!$A$1:$C$73,2,FALSE),"NA")</f>
        <v>Skagit</v>
      </c>
      <c r="L1357" t="str">
        <f>IFERROR(VLOOKUP(J1357,LUTs!$A$1:$C$73,3,FALSE),"NA")</f>
        <v>1North Puget Sound</v>
      </c>
      <c r="M1357" s="72" t="s">
        <v>15</v>
      </c>
      <c r="N1357" t="str">
        <f>VLOOKUP(M1357,LUTs!E$2:H$14,3,)</f>
        <v>02Skagit</v>
      </c>
      <c r="O1357" t="str">
        <f>VLOOKUP(M1357,LUTs!E$2:H$14,4,)</f>
        <v>01North Puget Sound</v>
      </c>
      <c r="P1357" s="73">
        <v>1361.4509803921601</v>
      </c>
      <c r="Q1357" s="74">
        <f>VLOOKUP(B1357,Readme!A$40:C$51,2,)*P1357</f>
        <v>4683.3913725490311</v>
      </c>
    </row>
    <row r="1358" spans="1:17" ht="12" customHeight="1" x14ac:dyDescent="0.35">
      <c r="A1358" s="75">
        <v>1357</v>
      </c>
      <c r="B1358" s="64">
        <v>2013</v>
      </c>
      <c r="C1358" s="64">
        <v>9</v>
      </c>
      <c r="D1358" s="80">
        <f t="shared" si="45"/>
        <v>2013</v>
      </c>
      <c r="E1358" t="s">
        <v>38</v>
      </c>
      <c r="F1358" t="s">
        <v>143</v>
      </c>
      <c r="G1358" t="s">
        <v>10</v>
      </c>
      <c r="H1358" s="72" t="s">
        <v>214</v>
      </c>
      <c r="I1358" s="72" t="s">
        <v>56</v>
      </c>
      <c r="J1358" t="str">
        <f t="shared" si="46"/>
        <v>Samish River</v>
      </c>
      <c r="K1358" t="str">
        <f>IFERROR(VLOOKUP(J1358,LUTs!$A$1:$C$73,2,FALSE),"NA")</f>
        <v>Skagit</v>
      </c>
      <c r="L1358" t="str">
        <f>IFERROR(VLOOKUP(J1358,LUTs!$A$1:$C$73,3,FALSE),"NA")</f>
        <v>1North Puget Sound</v>
      </c>
      <c r="M1358" s="72" t="s">
        <v>16</v>
      </c>
      <c r="N1358" t="str">
        <f>VLOOKUP(M1358,LUTs!E$2:H$14,3,)</f>
        <v>03Snohomish</v>
      </c>
      <c r="O1358" t="str">
        <f>VLOOKUP(M1358,LUTs!E$2:H$14,4,)</f>
        <v>01North Puget Sound</v>
      </c>
      <c r="P1358" s="73">
        <v>2028.4705882352901</v>
      </c>
      <c r="Q1358" s="74">
        <f>VLOOKUP(B1358,Readme!A$40:C$51,2,)*P1358</f>
        <v>6977.9388235293973</v>
      </c>
    </row>
    <row r="1359" spans="1:17" ht="12" customHeight="1" x14ac:dyDescent="0.35">
      <c r="A1359" s="75">
        <v>1358</v>
      </c>
      <c r="B1359" s="64">
        <v>2013</v>
      </c>
      <c r="C1359" s="64">
        <v>9</v>
      </c>
      <c r="D1359" s="80">
        <f t="shared" si="45"/>
        <v>2013</v>
      </c>
      <c r="E1359" t="s">
        <v>38</v>
      </c>
      <c r="F1359" t="s">
        <v>143</v>
      </c>
      <c r="G1359" t="s">
        <v>10</v>
      </c>
      <c r="H1359" s="72" t="s">
        <v>214</v>
      </c>
      <c r="I1359" s="72" t="s">
        <v>56</v>
      </c>
      <c r="J1359" t="str">
        <f t="shared" si="46"/>
        <v>Samish River</v>
      </c>
      <c r="K1359" t="str">
        <f>IFERROR(VLOOKUP(J1359,LUTs!$A$1:$C$73,2,FALSE),"NA")</f>
        <v>Skagit</v>
      </c>
      <c r="L1359" t="str">
        <f>IFERROR(VLOOKUP(J1359,LUTs!$A$1:$C$73,3,FALSE),"NA")</f>
        <v>1North Puget Sound</v>
      </c>
      <c r="M1359" s="72" t="s">
        <v>21</v>
      </c>
      <c r="N1359" t="str">
        <f>VLOOKUP(M1359,LUTs!E$2:H$14,3,)</f>
        <v>08Thurston</v>
      </c>
      <c r="O1359" t="str">
        <f>VLOOKUP(M1359,LUTs!E$2:H$14,4,)</f>
        <v>02South Puget Sound</v>
      </c>
      <c r="P1359" s="73">
        <v>18.2745098039216</v>
      </c>
      <c r="Q1359" s="74">
        <f>VLOOKUP(B1359,Readme!A$40:C$51,2,)*P1359</f>
        <v>62.864313725490305</v>
      </c>
    </row>
    <row r="1360" spans="1:17" ht="12" customHeight="1" x14ac:dyDescent="0.35">
      <c r="A1360" s="75">
        <v>1359</v>
      </c>
      <c r="B1360" s="64">
        <v>2013</v>
      </c>
      <c r="C1360" s="64">
        <v>9</v>
      </c>
      <c r="D1360" s="80">
        <f t="shared" si="45"/>
        <v>2013</v>
      </c>
      <c r="E1360" t="s">
        <v>38</v>
      </c>
      <c r="F1360" t="s">
        <v>143</v>
      </c>
      <c r="G1360" t="s">
        <v>10</v>
      </c>
      <c r="H1360" s="72" t="s">
        <v>214</v>
      </c>
      <c r="I1360" s="72" t="s">
        <v>56</v>
      </c>
      <c r="J1360" t="str">
        <f t="shared" si="46"/>
        <v>Samish River</v>
      </c>
      <c r="K1360" t="str">
        <f>IFERROR(VLOOKUP(J1360,LUTs!$A$1:$C$73,2,FALSE),"NA")</f>
        <v>Skagit</v>
      </c>
      <c r="L1360" t="str">
        <f>IFERROR(VLOOKUP(J1360,LUTs!$A$1:$C$73,3,FALSE),"NA")</f>
        <v>1North Puget Sound</v>
      </c>
      <c r="M1360" s="72" t="s">
        <v>13</v>
      </c>
      <c r="N1360" t="str">
        <f>VLOOKUP(M1360,LUTs!E$2:H$14,3,)</f>
        <v>01Whatcom</v>
      </c>
      <c r="O1360" t="str">
        <f>VLOOKUP(M1360,LUTs!E$2:H$14,4,)</f>
        <v>01North Puget Sound</v>
      </c>
      <c r="P1360" s="73">
        <v>804.07843137254895</v>
      </c>
      <c r="Q1360" s="74">
        <f>VLOOKUP(B1360,Readme!A$40:C$51,2,)*P1360</f>
        <v>2766.0298039215681</v>
      </c>
    </row>
    <row r="1361" spans="1:17" ht="12" customHeight="1" x14ac:dyDescent="0.35">
      <c r="A1361" s="75">
        <v>1360</v>
      </c>
      <c r="B1361" s="64">
        <v>2013</v>
      </c>
      <c r="C1361" s="64">
        <v>10</v>
      </c>
      <c r="D1361" s="80">
        <f t="shared" si="45"/>
        <v>2013</v>
      </c>
      <c r="E1361" t="s">
        <v>38</v>
      </c>
      <c r="F1361" t="s">
        <v>143</v>
      </c>
      <c r="G1361" t="s">
        <v>10</v>
      </c>
      <c r="H1361" s="72" t="s">
        <v>214</v>
      </c>
      <c r="I1361" s="72" t="s">
        <v>56</v>
      </c>
      <c r="J1361" t="str">
        <f t="shared" si="46"/>
        <v>Samish River</v>
      </c>
      <c r="K1361" t="str">
        <f>IFERROR(VLOOKUP(J1361,LUTs!$A$1:$C$73,2,FALSE),"NA")</f>
        <v>Skagit</v>
      </c>
      <c r="L1361" t="str">
        <f>IFERROR(VLOOKUP(J1361,LUTs!$A$1:$C$73,3,FALSE),"NA")</f>
        <v>1North Puget Sound</v>
      </c>
      <c r="M1361" s="72" t="s">
        <v>18</v>
      </c>
      <c r="N1361" t="str">
        <f>VLOOKUP(M1361,LUTs!E$2:H$14,3,)</f>
        <v>06King</v>
      </c>
      <c r="O1361" t="str">
        <f>VLOOKUP(M1361,LUTs!E$2:H$14,4,)</f>
        <v>02South Puget Sound</v>
      </c>
      <c r="P1361" s="73">
        <v>46.287878787878803</v>
      </c>
      <c r="Q1361" s="74">
        <f>VLOOKUP(B1361,Readme!A$40:C$51,2,)*P1361</f>
        <v>159.23030303030308</v>
      </c>
    </row>
    <row r="1362" spans="1:17" ht="12" customHeight="1" x14ac:dyDescent="0.35">
      <c r="A1362" s="75">
        <v>1361</v>
      </c>
      <c r="B1362" s="64">
        <v>2013</v>
      </c>
      <c r="C1362" s="64">
        <v>10</v>
      </c>
      <c r="D1362" s="80">
        <f t="shared" si="45"/>
        <v>2013</v>
      </c>
      <c r="E1362" t="s">
        <v>38</v>
      </c>
      <c r="F1362" t="s">
        <v>143</v>
      </c>
      <c r="G1362" t="s">
        <v>10</v>
      </c>
      <c r="H1362" s="72" t="s">
        <v>214</v>
      </c>
      <c r="I1362" s="72" t="s">
        <v>56</v>
      </c>
      <c r="J1362" t="str">
        <f t="shared" si="46"/>
        <v>Samish River</v>
      </c>
      <c r="K1362" t="str">
        <f>IFERROR(VLOOKUP(J1362,LUTs!$A$1:$C$73,2,FALSE),"NA")</f>
        <v>Skagit</v>
      </c>
      <c r="L1362" t="str">
        <f>IFERROR(VLOOKUP(J1362,LUTs!$A$1:$C$73,3,FALSE),"NA")</f>
        <v>1North Puget Sound</v>
      </c>
      <c r="M1362" s="72" t="s">
        <v>15</v>
      </c>
      <c r="N1362" t="str">
        <f>VLOOKUP(M1362,LUTs!E$2:H$14,3,)</f>
        <v>02Skagit</v>
      </c>
      <c r="O1362" t="str">
        <f>VLOOKUP(M1362,LUTs!E$2:H$14,4,)</f>
        <v>01North Puget Sound</v>
      </c>
      <c r="P1362" s="73">
        <v>342.530303030303</v>
      </c>
      <c r="Q1362" s="74">
        <f>VLOOKUP(B1362,Readme!A$40:C$51,2,)*P1362</f>
        <v>1178.3042424242424</v>
      </c>
    </row>
    <row r="1363" spans="1:17" ht="12" customHeight="1" x14ac:dyDescent="0.35">
      <c r="A1363" s="75">
        <v>1362</v>
      </c>
      <c r="B1363" s="64">
        <v>2013</v>
      </c>
      <c r="C1363" s="64">
        <v>10</v>
      </c>
      <c r="D1363" s="80">
        <f t="shared" si="45"/>
        <v>2013</v>
      </c>
      <c r="E1363" t="s">
        <v>38</v>
      </c>
      <c r="F1363" t="s">
        <v>143</v>
      </c>
      <c r="G1363" t="s">
        <v>10</v>
      </c>
      <c r="H1363" s="72" t="s">
        <v>214</v>
      </c>
      <c r="I1363" s="72" t="s">
        <v>56</v>
      </c>
      <c r="J1363" t="str">
        <f t="shared" si="46"/>
        <v>Samish River</v>
      </c>
      <c r="K1363" t="str">
        <f>IFERROR(VLOOKUP(J1363,LUTs!$A$1:$C$73,2,FALSE),"NA")</f>
        <v>Skagit</v>
      </c>
      <c r="L1363" t="str">
        <f>IFERROR(VLOOKUP(J1363,LUTs!$A$1:$C$73,3,FALSE),"NA")</f>
        <v>1North Puget Sound</v>
      </c>
      <c r="M1363" s="72" t="s">
        <v>16</v>
      </c>
      <c r="N1363" t="str">
        <f>VLOOKUP(M1363,LUTs!E$2:H$14,3,)</f>
        <v>03Snohomish</v>
      </c>
      <c r="O1363" t="str">
        <f>VLOOKUP(M1363,LUTs!E$2:H$14,4,)</f>
        <v>01North Puget Sound</v>
      </c>
      <c r="P1363" s="73">
        <v>185.15151515151501</v>
      </c>
      <c r="Q1363" s="74">
        <f>VLOOKUP(B1363,Readme!A$40:C$51,2,)*P1363</f>
        <v>636.92121212121162</v>
      </c>
    </row>
    <row r="1364" spans="1:17" ht="12" customHeight="1" x14ac:dyDescent="0.35">
      <c r="A1364" s="75">
        <v>1363</v>
      </c>
      <c r="B1364" s="64">
        <v>2013</v>
      </c>
      <c r="C1364" s="64">
        <v>10</v>
      </c>
      <c r="D1364" s="80">
        <f t="shared" si="45"/>
        <v>2013</v>
      </c>
      <c r="E1364" t="s">
        <v>38</v>
      </c>
      <c r="F1364" t="s">
        <v>143</v>
      </c>
      <c r="G1364" t="s">
        <v>10</v>
      </c>
      <c r="H1364" s="72" t="s">
        <v>214</v>
      </c>
      <c r="I1364" s="72" t="s">
        <v>56</v>
      </c>
      <c r="J1364" t="str">
        <f t="shared" si="46"/>
        <v>Samish River</v>
      </c>
      <c r="K1364" t="str">
        <f>IFERROR(VLOOKUP(J1364,LUTs!$A$1:$C$73,2,FALSE),"NA")</f>
        <v>Skagit</v>
      </c>
      <c r="L1364" t="str">
        <f>IFERROR(VLOOKUP(J1364,LUTs!$A$1:$C$73,3,FALSE),"NA")</f>
        <v>1North Puget Sound</v>
      </c>
      <c r="M1364" s="72" t="s">
        <v>13</v>
      </c>
      <c r="N1364" t="str">
        <f>VLOOKUP(M1364,LUTs!E$2:H$14,3,)</f>
        <v>01Whatcom</v>
      </c>
      <c r="O1364" t="str">
        <f>VLOOKUP(M1364,LUTs!E$2:H$14,4,)</f>
        <v>01North Puget Sound</v>
      </c>
      <c r="P1364" s="73">
        <v>37.030303030303003</v>
      </c>
      <c r="Q1364" s="74">
        <f>VLOOKUP(B1364,Readme!A$40:C$51,2,)*P1364</f>
        <v>127.38424242424233</v>
      </c>
    </row>
    <row r="1365" spans="1:17" ht="12" customHeight="1" x14ac:dyDescent="0.35">
      <c r="A1365" s="75">
        <v>1364</v>
      </c>
      <c r="B1365" s="64">
        <v>2013</v>
      </c>
      <c r="C1365" s="64">
        <v>11</v>
      </c>
      <c r="D1365" s="80">
        <f t="shared" si="45"/>
        <v>2013</v>
      </c>
      <c r="E1365" t="s">
        <v>38</v>
      </c>
      <c r="F1365" t="s">
        <v>143</v>
      </c>
      <c r="G1365" t="s">
        <v>10</v>
      </c>
      <c r="H1365" s="72" t="s">
        <v>214</v>
      </c>
      <c r="I1365" s="72" t="s">
        <v>56</v>
      </c>
      <c r="J1365" t="str">
        <f t="shared" si="46"/>
        <v>Samish River</v>
      </c>
      <c r="K1365" t="str">
        <f>IFERROR(VLOOKUP(J1365,LUTs!$A$1:$C$73,2,FALSE),"NA")</f>
        <v>Skagit</v>
      </c>
      <c r="L1365" t="str">
        <f>IFERROR(VLOOKUP(J1365,LUTs!$A$1:$C$73,3,FALSE),"NA")</f>
        <v>1North Puget Sound</v>
      </c>
      <c r="M1365" s="72" t="s">
        <v>16</v>
      </c>
      <c r="N1365" t="str">
        <f>VLOOKUP(M1365,LUTs!E$2:H$14,3,)</f>
        <v>03Snohomish</v>
      </c>
      <c r="O1365" t="str">
        <f>VLOOKUP(M1365,LUTs!E$2:H$14,4,)</f>
        <v>01North Puget Sound</v>
      </c>
      <c r="P1365" s="73">
        <v>27.75</v>
      </c>
      <c r="Q1365" s="74">
        <f>VLOOKUP(B1365,Readme!A$40:C$51,2,)*P1365</f>
        <v>95.46</v>
      </c>
    </row>
    <row r="1366" spans="1:17" ht="12" customHeight="1" x14ac:dyDescent="0.35">
      <c r="A1366" s="75">
        <v>1365</v>
      </c>
      <c r="B1366" s="64">
        <v>2013</v>
      </c>
      <c r="C1366" s="64">
        <v>11</v>
      </c>
      <c r="D1366" s="80">
        <f t="shared" si="45"/>
        <v>2013</v>
      </c>
      <c r="E1366" t="s">
        <v>38</v>
      </c>
      <c r="F1366" t="s">
        <v>143</v>
      </c>
      <c r="G1366" t="s">
        <v>10</v>
      </c>
      <c r="H1366" s="72" t="s">
        <v>214</v>
      </c>
      <c r="I1366" s="72" t="s">
        <v>56</v>
      </c>
      <c r="J1366" t="str">
        <f t="shared" si="46"/>
        <v>Samish River</v>
      </c>
      <c r="K1366" t="str">
        <f>IFERROR(VLOOKUP(J1366,LUTs!$A$1:$C$73,2,FALSE),"NA")</f>
        <v>Skagit</v>
      </c>
      <c r="L1366" t="str">
        <f>IFERROR(VLOOKUP(J1366,LUTs!$A$1:$C$73,3,FALSE),"NA")</f>
        <v>1North Puget Sound</v>
      </c>
      <c r="M1366" s="72" t="s">
        <v>13</v>
      </c>
      <c r="N1366" t="str">
        <f>VLOOKUP(M1366,LUTs!E$2:H$14,3,)</f>
        <v>01Whatcom</v>
      </c>
      <c r="O1366" t="str">
        <f>VLOOKUP(M1366,LUTs!E$2:H$14,4,)</f>
        <v>01North Puget Sound</v>
      </c>
      <c r="P1366" s="73">
        <v>9.25</v>
      </c>
      <c r="Q1366" s="74">
        <f>VLOOKUP(B1366,Readme!A$40:C$51,2,)*P1366</f>
        <v>31.82</v>
      </c>
    </row>
    <row r="1367" spans="1:17" ht="12" customHeight="1" x14ac:dyDescent="0.35">
      <c r="A1367" s="75">
        <v>1366</v>
      </c>
      <c r="B1367" s="64">
        <v>2013</v>
      </c>
      <c r="C1367" s="64">
        <v>7</v>
      </c>
      <c r="D1367" s="80">
        <f t="shared" si="45"/>
        <v>2013</v>
      </c>
      <c r="E1367" t="s">
        <v>38</v>
      </c>
      <c r="F1367" t="s">
        <v>143</v>
      </c>
      <c r="G1367" t="s">
        <v>10</v>
      </c>
      <c r="H1367" s="72" t="s">
        <v>216</v>
      </c>
      <c r="I1367" s="72" t="s">
        <v>58</v>
      </c>
      <c r="J1367" t="str">
        <f t="shared" si="46"/>
        <v>Baker Lake</v>
      </c>
      <c r="K1367" t="str">
        <f>IFERROR(VLOOKUP(J1367,LUTs!$A$1:$C$73,2,FALSE),"NA")</f>
        <v>Whatcom</v>
      </c>
      <c r="L1367" t="str">
        <f>IFERROR(VLOOKUP(J1367,LUTs!$A$1:$C$73,3,FALSE),"NA")</f>
        <v>1North Puget Sound</v>
      </c>
      <c r="M1367" s="72" t="s">
        <v>24</v>
      </c>
      <c r="N1367" t="str">
        <f>VLOOKUP(M1367,LUTs!E$2:H$14,3,)</f>
        <v>11Clallam</v>
      </c>
      <c r="O1367" t="str">
        <f>VLOOKUP(M1367,LUTs!E$2:H$14,4,)</f>
        <v>03Strait of Juan de Fuca</v>
      </c>
      <c r="P1367" s="73">
        <v>17.921375921375901</v>
      </c>
      <c r="Q1367" s="74">
        <f>VLOOKUP(B1367,Readme!A$40:C$51,2,)*P1367</f>
        <v>61.6495331695331</v>
      </c>
    </row>
    <row r="1368" spans="1:17" ht="12" customHeight="1" x14ac:dyDescent="0.35">
      <c r="A1368" s="75">
        <v>1367</v>
      </c>
      <c r="B1368" s="64">
        <v>2013</v>
      </c>
      <c r="C1368" s="64">
        <v>7</v>
      </c>
      <c r="D1368" s="80">
        <f t="shared" si="45"/>
        <v>2013</v>
      </c>
      <c r="E1368" t="s">
        <v>38</v>
      </c>
      <c r="F1368" t="s">
        <v>143</v>
      </c>
      <c r="G1368" t="s">
        <v>10</v>
      </c>
      <c r="H1368" s="72" t="s">
        <v>216</v>
      </c>
      <c r="I1368" s="72" t="s">
        <v>58</v>
      </c>
      <c r="J1368" t="str">
        <f t="shared" si="46"/>
        <v>Baker Lake</v>
      </c>
      <c r="K1368" t="str">
        <f>IFERROR(VLOOKUP(J1368,LUTs!$A$1:$C$73,2,FALSE),"NA")</f>
        <v>Whatcom</v>
      </c>
      <c r="L1368" t="str">
        <f>IFERROR(VLOOKUP(J1368,LUTs!$A$1:$C$73,3,FALSE),"NA")</f>
        <v>1North Puget Sound</v>
      </c>
      <c r="M1368" s="72" t="s">
        <v>17</v>
      </c>
      <c r="N1368" t="str">
        <f>VLOOKUP(M1368,LUTs!E$2:H$14,3,)</f>
        <v>04Island</v>
      </c>
      <c r="O1368" t="str">
        <f>VLOOKUP(M1368,LUTs!E$2:H$14,4,)</f>
        <v>01North Puget Sound</v>
      </c>
      <c r="P1368" s="73">
        <v>71.685503685503704</v>
      </c>
      <c r="Q1368" s="74">
        <f>VLOOKUP(B1368,Readme!A$40:C$51,2,)*P1368</f>
        <v>246.59813267813274</v>
      </c>
    </row>
    <row r="1369" spans="1:17" ht="12" customHeight="1" x14ac:dyDescent="0.35">
      <c r="A1369" s="75">
        <v>1368</v>
      </c>
      <c r="B1369" s="64">
        <v>2013</v>
      </c>
      <c r="C1369" s="64">
        <v>7</v>
      </c>
      <c r="D1369" s="80">
        <f t="shared" si="45"/>
        <v>2013</v>
      </c>
      <c r="E1369" t="s">
        <v>38</v>
      </c>
      <c r="F1369" t="s">
        <v>143</v>
      </c>
      <c r="G1369" t="s">
        <v>10</v>
      </c>
      <c r="H1369" s="72" t="s">
        <v>216</v>
      </c>
      <c r="I1369" s="72" t="s">
        <v>58</v>
      </c>
      <c r="J1369" t="str">
        <f t="shared" si="46"/>
        <v>Baker Lake</v>
      </c>
      <c r="K1369" t="str">
        <f>IFERROR(VLOOKUP(J1369,LUTs!$A$1:$C$73,2,FALSE),"NA")</f>
        <v>Whatcom</v>
      </c>
      <c r="L1369" t="str">
        <f>IFERROR(VLOOKUP(J1369,LUTs!$A$1:$C$73,3,FALSE),"NA")</f>
        <v>1North Puget Sound</v>
      </c>
      <c r="M1369" s="72" t="s">
        <v>18</v>
      </c>
      <c r="N1369" t="str">
        <f>VLOOKUP(M1369,LUTs!E$2:H$14,3,)</f>
        <v>06King</v>
      </c>
      <c r="O1369" t="str">
        <f>VLOOKUP(M1369,LUTs!E$2:H$14,4,)</f>
        <v>02South Puget Sound</v>
      </c>
      <c r="P1369" s="73">
        <v>439.07371007371</v>
      </c>
      <c r="Q1369" s="74">
        <f>VLOOKUP(B1369,Readme!A$40:C$51,2,)*P1369</f>
        <v>1510.4135626535624</v>
      </c>
    </row>
    <row r="1370" spans="1:17" ht="12" customHeight="1" x14ac:dyDescent="0.35">
      <c r="A1370" s="75">
        <v>1369</v>
      </c>
      <c r="B1370" s="64">
        <v>2013</v>
      </c>
      <c r="C1370" s="64">
        <v>7</v>
      </c>
      <c r="D1370" s="80">
        <f t="shared" si="45"/>
        <v>2013</v>
      </c>
      <c r="E1370" t="s">
        <v>38</v>
      </c>
      <c r="F1370" t="s">
        <v>143</v>
      </c>
      <c r="G1370" t="s">
        <v>10</v>
      </c>
      <c r="H1370" s="72" t="s">
        <v>216</v>
      </c>
      <c r="I1370" s="72" t="s">
        <v>58</v>
      </c>
      <c r="J1370" t="str">
        <f t="shared" si="46"/>
        <v>Baker Lake</v>
      </c>
      <c r="K1370" t="str">
        <f>IFERROR(VLOOKUP(J1370,LUTs!$A$1:$C$73,2,FALSE),"NA")</f>
        <v>Whatcom</v>
      </c>
      <c r="L1370" t="str">
        <f>IFERROR(VLOOKUP(J1370,LUTs!$A$1:$C$73,3,FALSE),"NA")</f>
        <v>1North Puget Sound</v>
      </c>
      <c r="M1370" s="72" t="s">
        <v>26</v>
      </c>
      <c r="N1370" t="str">
        <f>VLOOKUP(M1370,LUTs!E$2:H$14,3,)</f>
        <v>20Other</v>
      </c>
      <c r="O1370" t="str">
        <f>VLOOKUP(M1370,LUTs!E$2:H$14,4,)</f>
        <v>07Non Puget Sound</v>
      </c>
      <c r="P1370" s="73">
        <v>143.37100737100701</v>
      </c>
      <c r="Q1370" s="74">
        <f>VLOOKUP(B1370,Readme!A$40:C$51,2,)*P1370</f>
        <v>493.19626535626412</v>
      </c>
    </row>
    <row r="1371" spans="1:17" ht="12" customHeight="1" x14ac:dyDescent="0.35">
      <c r="A1371" s="75">
        <v>1370</v>
      </c>
      <c r="B1371" s="64">
        <v>2013</v>
      </c>
      <c r="C1371" s="64">
        <v>7</v>
      </c>
      <c r="D1371" s="80">
        <f t="shared" si="45"/>
        <v>2013</v>
      </c>
      <c r="E1371" t="s">
        <v>38</v>
      </c>
      <c r="F1371" t="s">
        <v>143</v>
      </c>
      <c r="G1371" t="s">
        <v>10</v>
      </c>
      <c r="H1371" s="72" t="s">
        <v>216</v>
      </c>
      <c r="I1371" s="72" t="s">
        <v>58</v>
      </c>
      <c r="J1371" t="str">
        <f t="shared" si="46"/>
        <v>Baker Lake</v>
      </c>
      <c r="K1371" t="str">
        <f>IFERROR(VLOOKUP(J1371,LUTs!$A$1:$C$73,2,FALSE),"NA")</f>
        <v>Whatcom</v>
      </c>
      <c r="L1371" t="str">
        <f>IFERROR(VLOOKUP(J1371,LUTs!$A$1:$C$73,3,FALSE),"NA")</f>
        <v>1North Puget Sound</v>
      </c>
      <c r="M1371" s="72" t="s">
        <v>20</v>
      </c>
      <c r="N1371" t="str">
        <f>VLOOKUP(M1371,LUTs!E$2:H$14,3,)</f>
        <v>07Pierce</v>
      </c>
      <c r="O1371" t="str">
        <f>VLOOKUP(M1371,LUTs!E$2:H$14,4,)</f>
        <v>02South Puget Sound</v>
      </c>
      <c r="P1371" s="73">
        <v>143.37100737100701</v>
      </c>
      <c r="Q1371" s="74">
        <f>VLOOKUP(B1371,Readme!A$40:C$51,2,)*P1371</f>
        <v>493.19626535626412</v>
      </c>
    </row>
    <row r="1372" spans="1:17" ht="12" customHeight="1" x14ac:dyDescent="0.35">
      <c r="A1372" s="75">
        <v>1371</v>
      </c>
      <c r="B1372" s="64">
        <v>2013</v>
      </c>
      <c r="C1372" s="64">
        <v>7</v>
      </c>
      <c r="D1372" s="80">
        <f t="shared" si="45"/>
        <v>2013</v>
      </c>
      <c r="E1372" t="s">
        <v>38</v>
      </c>
      <c r="F1372" t="s">
        <v>143</v>
      </c>
      <c r="G1372" t="s">
        <v>10</v>
      </c>
      <c r="H1372" s="72" t="s">
        <v>216</v>
      </c>
      <c r="I1372" s="72" t="s">
        <v>58</v>
      </c>
      <c r="J1372" t="str">
        <f t="shared" si="46"/>
        <v>Baker Lake</v>
      </c>
      <c r="K1372" t="str">
        <f>IFERROR(VLOOKUP(J1372,LUTs!$A$1:$C$73,2,FALSE),"NA")</f>
        <v>Whatcom</v>
      </c>
      <c r="L1372" t="str">
        <f>IFERROR(VLOOKUP(J1372,LUTs!$A$1:$C$73,3,FALSE),"NA")</f>
        <v>1North Puget Sound</v>
      </c>
      <c r="M1372" s="72" t="s">
        <v>15</v>
      </c>
      <c r="N1372" t="str">
        <f>VLOOKUP(M1372,LUTs!E$2:H$14,3,)</f>
        <v>02Skagit</v>
      </c>
      <c r="O1372" t="str">
        <f>VLOOKUP(M1372,LUTs!E$2:H$14,4,)</f>
        <v>01North Puget Sound</v>
      </c>
      <c r="P1372" s="73">
        <v>1290.3390663390701</v>
      </c>
      <c r="Q1372" s="74">
        <f>VLOOKUP(B1372,Readme!A$40:C$51,2,)*P1372</f>
        <v>4438.7663882064007</v>
      </c>
    </row>
    <row r="1373" spans="1:17" ht="12" customHeight="1" x14ac:dyDescent="0.35">
      <c r="A1373" s="75">
        <v>1372</v>
      </c>
      <c r="B1373" s="64">
        <v>2013</v>
      </c>
      <c r="C1373" s="64">
        <v>7</v>
      </c>
      <c r="D1373" s="80">
        <f t="shared" si="45"/>
        <v>2013</v>
      </c>
      <c r="E1373" t="s">
        <v>38</v>
      </c>
      <c r="F1373" t="s">
        <v>143</v>
      </c>
      <c r="G1373" t="s">
        <v>10</v>
      </c>
      <c r="H1373" s="72" t="s">
        <v>216</v>
      </c>
      <c r="I1373" s="72" t="s">
        <v>58</v>
      </c>
      <c r="J1373" t="str">
        <f t="shared" si="46"/>
        <v>Baker Lake</v>
      </c>
      <c r="K1373" t="str">
        <f>IFERROR(VLOOKUP(J1373,LUTs!$A$1:$C$73,2,FALSE),"NA")</f>
        <v>Whatcom</v>
      </c>
      <c r="L1373" t="str">
        <f>IFERROR(VLOOKUP(J1373,LUTs!$A$1:$C$73,3,FALSE),"NA")</f>
        <v>1North Puget Sound</v>
      </c>
      <c r="M1373" s="72" t="s">
        <v>16</v>
      </c>
      <c r="N1373" t="str">
        <f>VLOOKUP(M1373,LUTs!E$2:H$14,3,)</f>
        <v>03Snohomish</v>
      </c>
      <c r="O1373" t="str">
        <f>VLOOKUP(M1373,LUTs!E$2:H$14,4,)</f>
        <v>01North Puget Sound</v>
      </c>
      <c r="P1373" s="73">
        <v>976.71498771498796</v>
      </c>
      <c r="Q1373" s="74">
        <f>VLOOKUP(B1373,Readme!A$40:C$51,2,)*P1373</f>
        <v>3359.8995577395585</v>
      </c>
    </row>
    <row r="1374" spans="1:17" ht="12" customHeight="1" x14ac:dyDescent="0.35">
      <c r="A1374" s="75">
        <v>1373</v>
      </c>
      <c r="B1374" s="64">
        <v>2013</v>
      </c>
      <c r="C1374" s="64">
        <v>7</v>
      </c>
      <c r="D1374" s="80">
        <f t="shared" si="45"/>
        <v>2013</v>
      </c>
      <c r="E1374" t="s">
        <v>38</v>
      </c>
      <c r="F1374" t="s">
        <v>143</v>
      </c>
      <c r="G1374" t="s">
        <v>10</v>
      </c>
      <c r="H1374" s="72" t="s">
        <v>216</v>
      </c>
      <c r="I1374" s="72" t="s">
        <v>58</v>
      </c>
      <c r="J1374" t="str">
        <f t="shared" si="46"/>
        <v>Baker Lake</v>
      </c>
      <c r="K1374" t="str">
        <f>IFERROR(VLOOKUP(J1374,LUTs!$A$1:$C$73,2,FALSE),"NA")</f>
        <v>Whatcom</v>
      </c>
      <c r="L1374" t="str">
        <f>IFERROR(VLOOKUP(J1374,LUTs!$A$1:$C$73,3,FALSE),"NA")</f>
        <v>1North Puget Sound</v>
      </c>
      <c r="M1374" s="72" t="s">
        <v>21</v>
      </c>
      <c r="N1374" t="str">
        <f>VLOOKUP(M1374,LUTs!E$2:H$14,3,)</f>
        <v>08Thurston</v>
      </c>
      <c r="O1374" t="str">
        <f>VLOOKUP(M1374,LUTs!E$2:H$14,4,)</f>
        <v>02South Puget Sound</v>
      </c>
      <c r="P1374" s="73">
        <v>35.842751842751902</v>
      </c>
      <c r="Q1374" s="74">
        <f>VLOOKUP(B1374,Readme!A$40:C$51,2,)*P1374</f>
        <v>123.29906633906654</v>
      </c>
    </row>
    <row r="1375" spans="1:17" ht="12" customHeight="1" x14ac:dyDescent="0.35">
      <c r="A1375" s="75">
        <v>1374</v>
      </c>
      <c r="B1375" s="64">
        <v>2013</v>
      </c>
      <c r="C1375" s="64">
        <v>7</v>
      </c>
      <c r="D1375" s="80">
        <f t="shared" si="45"/>
        <v>2013</v>
      </c>
      <c r="E1375" t="s">
        <v>38</v>
      </c>
      <c r="F1375" t="s">
        <v>143</v>
      </c>
      <c r="G1375" t="s">
        <v>10</v>
      </c>
      <c r="H1375" s="72" t="s">
        <v>216</v>
      </c>
      <c r="I1375" s="72" t="s">
        <v>58</v>
      </c>
      <c r="J1375" t="str">
        <f t="shared" si="46"/>
        <v>Baker Lake</v>
      </c>
      <c r="K1375" t="str">
        <f>IFERROR(VLOOKUP(J1375,LUTs!$A$1:$C$73,2,FALSE),"NA")</f>
        <v>Whatcom</v>
      </c>
      <c r="L1375" t="str">
        <f>IFERROR(VLOOKUP(J1375,LUTs!$A$1:$C$73,3,FALSE),"NA")</f>
        <v>1North Puget Sound</v>
      </c>
      <c r="M1375" s="72" t="s">
        <v>13</v>
      </c>
      <c r="N1375" t="str">
        <f>VLOOKUP(M1375,LUTs!E$2:H$14,3,)</f>
        <v>01Whatcom</v>
      </c>
      <c r="O1375" t="str">
        <f>VLOOKUP(M1375,LUTs!E$2:H$14,4,)</f>
        <v>01North Puget Sound</v>
      </c>
      <c r="P1375" s="73">
        <v>528.68058968058995</v>
      </c>
      <c r="Q1375" s="74">
        <f>VLOOKUP(B1375,Readme!A$40:C$51,2,)*P1375</f>
        <v>1818.6612285012293</v>
      </c>
    </row>
    <row r="1376" spans="1:17" ht="12" customHeight="1" x14ac:dyDescent="0.35">
      <c r="A1376" s="75">
        <v>1375</v>
      </c>
      <c r="B1376" s="64">
        <v>2013</v>
      </c>
      <c r="C1376" s="64">
        <v>8</v>
      </c>
      <c r="D1376" s="80">
        <f t="shared" si="45"/>
        <v>2013</v>
      </c>
      <c r="E1376" t="s">
        <v>38</v>
      </c>
      <c r="F1376" t="s">
        <v>143</v>
      </c>
      <c r="G1376" t="s">
        <v>10</v>
      </c>
      <c r="H1376" s="72" t="s">
        <v>216</v>
      </c>
      <c r="I1376" s="72" t="s">
        <v>58</v>
      </c>
      <c r="J1376" t="str">
        <f t="shared" si="46"/>
        <v>Baker Lake</v>
      </c>
      <c r="K1376" t="str">
        <f>IFERROR(VLOOKUP(J1376,LUTs!$A$1:$C$73,2,FALSE),"NA")</f>
        <v>Whatcom</v>
      </c>
      <c r="L1376" t="str">
        <f>IFERROR(VLOOKUP(J1376,LUTs!$A$1:$C$73,3,FALSE),"NA")</f>
        <v>1North Puget Sound</v>
      </c>
      <c r="M1376" s="72" t="s">
        <v>18</v>
      </c>
      <c r="N1376" t="str">
        <f>VLOOKUP(M1376,LUTs!E$2:H$14,3,)</f>
        <v>06King</v>
      </c>
      <c r="O1376" t="str">
        <f>VLOOKUP(M1376,LUTs!E$2:H$14,4,)</f>
        <v>02South Puget Sound</v>
      </c>
      <c r="P1376" s="73">
        <v>107.53548387096799</v>
      </c>
      <c r="Q1376" s="74">
        <f>VLOOKUP(B1376,Readme!A$40:C$51,2,)*P1376</f>
        <v>369.92206451612986</v>
      </c>
    </row>
    <row r="1377" spans="1:17" ht="12" customHeight="1" x14ac:dyDescent="0.35">
      <c r="A1377" s="75">
        <v>1376</v>
      </c>
      <c r="B1377" s="64">
        <v>2013</v>
      </c>
      <c r="C1377" s="64">
        <v>8</v>
      </c>
      <c r="D1377" s="80">
        <f t="shared" si="45"/>
        <v>2013</v>
      </c>
      <c r="E1377" t="s">
        <v>38</v>
      </c>
      <c r="F1377" t="s">
        <v>143</v>
      </c>
      <c r="G1377" t="s">
        <v>10</v>
      </c>
      <c r="H1377" s="72" t="s">
        <v>216</v>
      </c>
      <c r="I1377" s="72" t="s">
        <v>58</v>
      </c>
      <c r="J1377" t="str">
        <f t="shared" si="46"/>
        <v>Baker Lake</v>
      </c>
      <c r="K1377" t="str">
        <f>IFERROR(VLOOKUP(J1377,LUTs!$A$1:$C$73,2,FALSE),"NA")</f>
        <v>Whatcom</v>
      </c>
      <c r="L1377" t="str">
        <f>IFERROR(VLOOKUP(J1377,LUTs!$A$1:$C$73,3,FALSE),"NA")</f>
        <v>1North Puget Sound</v>
      </c>
      <c r="M1377" s="72" t="s">
        <v>26</v>
      </c>
      <c r="N1377" t="str">
        <f>VLOOKUP(M1377,LUTs!E$2:H$14,3,)</f>
        <v>20Other</v>
      </c>
      <c r="O1377" t="str">
        <f>VLOOKUP(M1377,LUTs!E$2:H$14,4,)</f>
        <v>07Non Puget Sound</v>
      </c>
      <c r="P1377" s="73">
        <v>152.341935483871</v>
      </c>
      <c r="Q1377" s="74">
        <f>VLOOKUP(B1377,Readme!A$40:C$51,2,)*P1377</f>
        <v>524.05625806451621</v>
      </c>
    </row>
    <row r="1378" spans="1:17" ht="12" customHeight="1" x14ac:dyDescent="0.35">
      <c r="A1378" s="75">
        <v>1377</v>
      </c>
      <c r="B1378" s="64">
        <v>2013</v>
      </c>
      <c r="C1378" s="64">
        <v>8</v>
      </c>
      <c r="D1378" s="80">
        <f t="shared" si="45"/>
        <v>2013</v>
      </c>
      <c r="E1378" t="s">
        <v>38</v>
      </c>
      <c r="F1378" t="s">
        <v>143</v>
      </c>
      <c r="G1378" t="s">
        <v>10</v>
      </c>
      <c r="H1378" s="72" t="s">
        <v>216</v>
      </c>
      <c r="I1378" s="72" t="s">
        <v>58</v>
      </c>
      <c r="J1378" t="str">
        <f t="shared" si="46"/>
        <v>Baker Lake</v>
      </c>
      <c r="K1378" t="str">
        <f>IFERROR(VLOOKUP(J1378,LUTs!$A$1:$C$73,2,FALSE),"NA")</f>
        <v>Whatcom</v>
      </c>
      <c r="L1378" t="str">
        <f>IFERROR(VLOOKUP(J1378,LUTs!$A$1:$C$73,3,FALSE),"NA")</f>
        <v>1North Puget Sound</v>
      </c>
      <c r="M1378" s="72" t="s">
        <v>20</v>
      </c>
      <c r="N1378" t="str">
        <f>VLOOKUP(M1378,LUTs!E$2:H$14,3,)</f>
        <v>07Pierce</v>
      </c>
      <c r="O1378" t="str">
        <f>VLOOKUP(M1378,LUTs!E$2:H$14,4,)</f>
        <v>02South Puget Sound</v>
      </c>
      <c r="P1378" s="73">
        <v>17.9225806451613</v>
      </c>
      <c r="Q1378" s="74">
        <f>VLOOKUP(B1378,Readme!A$40:C$51,2,)*P1378</f>
        <v>61.653677419354871</v>
      </c>
    </row>
    <row r="1379" spans="1:17" ht="12" customHeight="1" x14ac:dyDescent="0.35">
      <c r="A1379" s="75">
        <v>1378</v>
      </c>
      <c r="B1379" s="64">
        <v>2013</v>
      </c>
      <c r="C1379" s="64">
        <v>8</v>
      </c>
      <c r="D1379" s="80">
        <f t="shared" si="45"/>
        <v>2013</v>
      </c>
      <c r="E1379" t="s">
        <v>38</v>
      </c>
      <c r="F1379" t="s">
        <v>143</v>
      </c>
      <c r="G1379" t="s">
        <v>10</v>
      </c>
      <c r="H1379" s="72" t="s">
        <v>216</v>
      </c>
      <c r="I1379" s="72" t="s">
        <v>58</v>
      </c>
      <c r="J1379" t="str">
        <f t="shared" si="46"/>
        <v>Baker Lake</v>
      </c>
      <c r="K1379" t="str">
        <f>IFERROR(VLOOKUP(J1379,LUTs!$A$1:$C$73,2,FALSE),"NA")</f>
        <v>Whatcom</v>
      </c>
      <c r="L1379" t="str">
        <f>IFERROR(VLOOKUP(J1379,LUTs!$A$1:$C$73,3,FALSE),"NA")</f>
        <v>1North Puget Sound</v>
      </c>
      <c r="M1379" s="72" t="s">
        <v>15</v>
      </c>
      <c r="N1379" t="str">
        <f>VLOOKUP(M1379,LUTs!E$2:H$14,3,)</f>
        <v>02Skagit</v>
      </c>
      <c r="O1379" t="str">
        <f>VLOOKUP(M1379,LUTs!E$2:H$14,4,)</f>
        <v>01North Puget Sound</v>
      </c>
      <c r="P1379" s="73">
        <v>492.870967741936</v>
      </c>
      <c r="Q1379" s="74">
        <f>VLOOKUP(B1379,Readme!A$40:C$51,2,)*P1379</f>
        <v>1695.4761290322599</v>
      </c>
    </row>
    <row r="1380" spans="1:17" ht="12" customHeight="1" x14ac:dyDescent="0.35">
      <c r="A1380" s="75">
        <v>1379</v>
      </c>
      <c r="B1380" s="64">
        <v>2013</v>
      </c>
      <c r="C1380" s="64">
        <v>8</v>
      </c>
      <c r="D1380" s="80">
        <f t="shared" si="45"/>
        <v>2013</v>
      </c>
      <c r="E1380" t="s">
        <v>38</v>
      </c>
      <c r="F1380" t="s">
        <v>143</v>
      </c>
      <c r="G1380" t="s">
        <v>10</v>
      </c>
      <c r="H1380" s="72" t="s">
        <v>216</v>
      </c>
      <c r="I1380" s="72" t="s">
        <v>58</v>
      </c>
      <c r="J1380" t="str">
        <f t="shared" si="46"/>
        <v>Baker Lake</v>
      </c>
      <c r="K1380" t="str">
        <f>IFERROR(VLOOKUP(J1380,LUTs!$A$1:$C$73,2,FALSE),"NA")</f>
        <v>Whatcom</v>
      </c>
      <c r="L1380" t="str">
        <f>IFERROR(VLOOKUP(J1380,LUTs!$A$1:$C$73,3,FALSE),"NA")</f>
        <v>1North Puget Sound</v>
      </c>
      <c r="M1380" s="72" t="s">
        <v>16</v>
      </c>
      <c r="N1380" t="str">
        <f>VLOOKUP(M1380,LUTs!E$2:H$14,3,)</f>
        <v>03Snohomish</v>
      </c>
      <c r="O1380" t="str">
        <f>VLOOKUP(M1380,LUTs!E$2:H$14,4,)</f>
        <v>01North Puget Sound</v>
      </c>
      <c r="P1380" s="73">
        <v>457.02580645161299</v>
      </c>
      <c r="Q1380" s="74">
        <f>VLOOKUP(B1380,Readme!A$40:C$51,2,)*P1380</f>
        <v>1572.1687741935486</v>
      </c>
    </row>
    <row r="1381" spans="1:17" ht="12" customHeight="1" x14ac:dyDescent="0.35">
      <c r="A1381" s="75">
        <v>1380</v>
      </c>
      <c r="B1381" s="64">
        <v>2013</v>
      </c>
      <c r="C1381" s="64">
        <v>8</v>
      </c>
      <c r="D1381" s="80">
        <f t="shared" si="45"/>
        <v>2013</v>
      </c>
      <c r="E1381" t="s">
        <v>38</v>
      </c>
      <c r="F1381" t="s">
        <v>143</v>
      </c>
      <c r="G1381" t="s">
        <v>10</v>
      </c>
      <c r="H1381" s="72" t="s">
        <v>216</v>
      </c>
      <c r="I1381" s="72" t="s">
        <v>58</v>
      </c>
      <c r="J1381" t="str">
        <f t="shared" si="46"/>
        <v>Baker Lake</v>
      </c>
      <c r="K1381" t="str">
        <f>IFERROR(VLOOKUP(J1381,LUTs!$A$1:$C$73,2,FALSE),"NA")</f>
        <v>Whatcom</v>
      </c>
      <c r="L1381" t="str">
        <f>IFERROR(VLOOKUP(J1381,LUTs!$A$1:$C$73,3,FALSE),"NA")</f>
        <v>1North Puget Sound</v>
      </c>
      <c r="M1381" s="72" t="s">
        <v>13</v>
      </c>
      <c r="N1381" t="str">
        <f>VLOOKUP(M1381,LUTs!E$2:H$14,3,)</f>
        <v>01Whatcom</v>
      </c>
      <c r="O1381" t="str">
        <f>VLOOKUP(M1381,LUTs!E$2:H$14,4,)</f>
        <v>01North Puget Sound</v>
      </c>
      <c r="P1381" s="73">
        <v>161.30322580645199</v>
      </c>
      <c r="Q1381" s="74">
        <f>VLOOKUP(B1381,Readme!A$40:C$51,2,)*P1381</f>
        <v>554.88309677419488</v>
      </c>
    </row>
    <row r="1382" spans="1:17" ht="12" customHeight="1" x14ac:dyDescent="0.35">
      <c r="A1382" s="75">
        <v>1381</v>
      </c>
      <c r="B1382" s="64">
        <v>2013</v>
      </c>
      <c r="C1382" s="64">
        <v>9</v>
      </c>
      <c r="D1382" s="80">
        <f t="shared" si="45"/>
        <v>2013</v>
      </c>
      <c r="E1382" t="s">
        <v>38</v>
      </c>
      <c r="F1382" t="s">
        <v>143</v>
      </c>
      <c r="G1382" t="s">
        <v>10</v>
      </c>
      <c r="H1382" s="72" t="s">
        <v>216</v>
      </c>
      <c r="I1382" s="72" t="s">
        <v>58</v>
      </c>
      <c r="J1382" t="str">
        <f t="shared" si="46"/>
        <v>Baker Lake</v>
      </c>
      <c r="K1382" t="str">
        <f>IFERROR(VLOOKUP(J1382,LUTs!$A$1:$C$73,2,FALSE),"NA")</f>
        <v>Whatcom</v>
      </c>
      <c r="L1382" t="str">
        <f>IFERROR(VLOOKUP(J1382,LUTs!$A$1:$C$73,3,FALSE),"NA")</f>
        <v>1North Puget Sound</v>
      </c>
      <c r="M1382" s="72" t="s">
        <v>18</v>
      </c>
      <c r="N1382" t="str">
        <f>VLOOKUP(M1382,LUTs!E$2:H$14,3,)</f>
        <v>06King</v>
      </c>
      <c r="O1382" t="str">
        <f>VLOOKUP(M1382,LUTs!E$2:H$14,4,)</f>
        <v>02South Puget Sound</v>
      </c>
      <c r="P1382" s="73">
        <v>27</v>
      </c>
      <c r="Q1382" s="74">
        <f>VLOOKUP(B1382,Readme!A$40:C$51,2,)*P1382</f>
        <v>92.88</v>
      </c>
    </row>
    <row r="1383" spans="1:17" ht="12" customHeight="1" x14ac:dyDescent="0.35">
      <c r="A1383" s="75">
        <v>1382</v>
      </c>
      <c r="B1383" s="64">
        <v>2013</v>
      </c>
      <c r="C1383" s="64">
        <v>5</v>
      </c>
      <c r="D1383" s="80">
        <f t="shared" si="45"/>
        <v>2013</v>
      </c>
      <c r="E1383" t="s">
        <v>38</v>
      </c>
      <c r="F1383" t="s">
        <v>143</v>
      </c>
      <c r="G1383" t="s">
        <v>10</v>
      </c>
      <c r="H1383" s="72" t="s">
        <v>217</v>
      </c>
      <c r="I1383" s="72" t="s">
        <v>59</v>
      </c>
      <c r="J1383" t="str">
        <f t="shared" si="46"/>
        <v>Cascade River</v>
      </c>
      <c r="K1383" t="str">
        <f>IFERROR(VLOOKUP(J1383,LUTs!$A$1:$C$73,2,FALSE),"NA")</f>
        <v>Skagit</v>
      </c>
      <c r="L1383" t="str">
        <f>IFERROR(VLOOKUP(J1383,LUTs!$A$1:$C$73,3,FALSE),"NA")</f>
        <v>1North Puget Sound</v>
      </c>
      <c r="M1383" s="72" t="s">
        <v>15</v>
      </c>
      <c r="N1383" t="str">
        <f>VLOOKUP(M1383,LUTs!E$2:H$14,3,)</f>
        <v>02Skagit</v>
      </c>
      <c r="O1383" t="str">
        <f>VLOOKUP(M1383,LUTs!E$2:H$14,4,)</f>
        <v>01North Puget Sound</v>
      </c>
      <c r="P1383" s="73">
        <v>18</v>
      </c>
      <c r="Q1383" s="74">
        <f>VLOOKUP(B1383,Readme!A$40:C$51,2,)*P1383</f>
        <v>61.92</v>
      </c>
    </row>
    <row r="1384" spans="1:17" ht="12" customHeight="1" x14ac:dyDescent="0.35">
      <c r="A1384" s="75">
        <v>1383</v>
      </c>
      <c r="B1384" s="64">
        <v>2013</v>
      </c>
      <c r="C1384" s="64">
        <v>5</v>
      </c>
      <c r="D1384" s="80">
        <f t="shared" si="45"/>
        <v>2013</v>
      </c>
      <c r="E1384" t="s">
        <v>38</v>
      </c>
      <c r="F1384" t="s">
        <v>143</v>
      </c>
      <c r="G1384" t="s">
        <v>10</v>
      </c>
      <c r="H1384" s="72" t="s">
        <v>217</v>
      </c>
      <c r="I1384" s="72" t="s">
        <v>59</v>
      </c>
      <c r="J1384" t="str">
        <f t="shared" si="46"/>
        <v>Cascade River</v>
      </c>
      <c r="K1384" t="str">
        <f>IFERROR(VLOOKUP(J1384,LUTs!$A$1:$C$73,2,FALSE),"NA")</f>
        <v>Skagit</v>
      </c>
      <c r="L1384" t="str">
        <f>IFERROR(VLOOKUP(J1384,LUTs!$A$1:$C$73,3,FALSE),"NA")</f>
        <v>1North Puget Sound</v>
      </c>
      <c r="M1384" s="72" t="s">
        <v>13</v>
      </c>
      <c r="N1384" t="str">
        <f>VLOOKUP(M1384,LUTs!E$2:H$14,3,)</f>
        <v>01Whatcom</v>
      </c>
      <c r="O1384" t="str">
        <f>VLOOKUP(M1384,LUTs!E$2:H$14,4,)</f>
        <v>01North Puget Sound</v>
      </c>
      <c r="P1384" s="73">
        <v>27</v>
      </c>
      <c r="Q1384" s="74">
        <f>VLOOKUP(B1384,Readme!A$40:C$51,2,)*P1384</f>
        <v>92.88</v>
      </c>
    </row>
    <row r="1385" spans="1:17" ht="12" customHeight="1" x14ac:dyDescent="0.35">
      <c r="A1385" s="75">
        <v>1384</v>
      </c>
      <c r="B1385" s="64">
        <v>2013</v>
      </c>
      <c r="C1385" s="64">
        <v>6</v>
      </c>
      <c r="D1385" s="80">
        <f t="shared" si="45"/>
        <v>2013</v>
      </c>
      <c r="E1385" t="s">
        <v>38</v>
      </c>
      <c r="F1385" t="s">
        <v>143</v>
      </c>
      <c r="G1385" t="s">
        <v>10</v>
      </c>
      <c r="H1385" s="72" t="s">
        <v>217</v>
      </c>
      <c r="I1385" s="72" t="s">
        <v>59</v>
      </c>
      <c r="J1385" t="str">
        <f t="shared" si="46"/>
        <v>Cascade River</v>
      </c>
      <c r="K1385" t="str">
        <f>IFERROR(VLOOKUP(J1385,LUTs!$A$1:$C$73,2,FALSE),"NA")</f>
        <v>Skagit</v>
      </c>
      <c r="L1385" t="str">
        <f>IFERROR(VLOOKUP(J1385,LUTs!$A$1:$C$73,3,FALSE),"NA")</f>
        <v>1North Puget Sound</v>
      </c>
      <c r="M1385" s="72" t="s">
        <v>15</v>
      </c>
      <c r="N1385" t="str">
        <f>VLOOKUP(M1385,LUTs!E$2:H$14,3,)</f>
        <v>02Skagit</v>
      </c>
      <c r="O1385" t="str">
        <f>VLOOKUP(M1385,LUTs!E$2:H$14,4,)</f>
        <v>01North Puget Sound</v>
      </c>
      <c r="P1385" s="73">
        <v>17.846153846153801</v>
      </c>
      <c r="Q1385" s="74">
        <f>VLOOKUP(B1385,Readme!A$40:C$51,2,)*P1385</f>
        <v>61.390769230769074</v>
      </c>
    </row>
    <row r="1386" spans="1:17" ht="12" customHeight="1" x14ac:dyDescent="0.35">
      <c r="A1386" s="75">
        <v>1385</v>
      </c>
      <c r="B1386" s="64">
        <v>2013</v>
      </c>
      <c r="C1386" s="64">
        <v>6</v>
      </c>
      <c r="D1386" s="80">
        <f t="shared" si="45"/>
        <v>2013</v>
      </c>
      <c r="E1386" t="s">
        <v>38</v>
      </c>
      <c r="F1386" t="s">
        <v>143</v>
      </c>
      <c r="G1386" t="s">
        <v>10</v>
      </c>
      <c r="H1386" s="72" t="s">
        <v>217</v>
      </c>
      <c r="I1386" s="72" t="s">
        <v>59</v>
      </c>
      <c r="J1386" t="str">
        <f t="shared" si="46"/>
        <v>Cascade River</v>
      </c>
      <c r="K1386" t="str">
        <f>IFERROR(VLOOKUP(J1386,LUTs!$A$1:$C$73,2,FALSE),"NA")</f>
        <v>Skagit</v>
      </c>
      <c r="L1386" t="str">
        <f>IFERROR(VLOOKUP(J1386,LUTs!$A$1:$C$73,3,FALSE),"NA")</f>
        <v>1North Puget Sound</v>
      </c>
      <c r="M1386" s="72" t="s">
        <v>16</v>
      </c>
      <c r="N1386" t="str">
        <f>VLOOKUP(M1386,LUTs!E$2:H$14,3,)</f>
        <v>03Snohomish</v>
      </c>
      <c r="O1386" t="str">
        <f>VLOOKUP(M1386,LUTs!E$2:H$14,4,)</f>
        <v>01North Puget Sound</v>
      </c>
      <c r="P1386" s="73">
        <v>44.615384615384599</v>
      </c>
      <c r="Q1386" s="74">
        <f>VLOOKUP(B1386,Readme!A$40:C$51,2,)*P1386</f>
        <v>153.47692307692301</v>
      </c>
    </row>
    <row r="1387" spans="1:17" ht="12" customHeight="1" x14ac:dyDescent="0.35">
      <c r="A1387" s="75">
        <v>1386</v>
      </c>
      <c r="B1387" s="64">
        <v>2013</v>
      </c>
      <c r="C1387" s="64">
        <v>6</v>
      </c>
      <c r="D1387" s="80">
        <f t="shared" si="45"/>
        <v>2013</v>
      </c>
      <c r="E1387" t="s">
        <v>38</v>
      </c>
      <c r="F1387" t="s">
        <v>143</v>
      </c>
      <c r="G1387" t="s">
        <v>10</v>
      </c>
      <c r="H1387" s="72" t="s">
        <v>217</v>
      </c>
      <c r="I1387" s="72" t="s">
        <v>59</v>
      </c>
      <c r="J1387" t="str">
        <f t="shared" si="46"/>
        <v>Cascade River</v>
      </c>
      <c r="K1387" t="str">
        <f>IFERROR(VLOOKUP(J1387,LUTs!$A$1:$C$73,2,FALSE),"NA")</f>
        <v>Skagit</v>
      </c>
      <c r="L1387" t="str">
        <f>IFERROR(VLOOKUP(J1387,LUTs!$A$1:$C$73,3,FALSE),"NA")</f>
        <v>1North Puget Sound</v>
      </c>
      <c r="M1387" s="72" t="s">
        <v>13</v>
      </c>
      <c r="N1387" t="str">
        <f>VLOOKUP(M1387,LUTs!E$2:H$14,3,)</f>
        <v>01Whatcom</v>
      </c>
      <c r="O1387" t="str">
        <f>VLOOKUP(M1387,LUTs!E$2:H$14,4,)</f>
        <v>01North Puget Sound</v>
      </c>
      <c r="P1387" s="73">
        <v>53.538461538461597</v>
      </c>
      <c r="Q1387" s="74">
        <f>VLOOKUP(B1387,Readme!A$40:C$51,2,)*P1387</f>
        <v>184.1723076923079</v>
      </c>
    </row>
    <row r="1388" spans="1:17" ht="12" customHeight="1" x14ac:dyDescent="0.35">
      <c r="A1388" s="75">
        <v>1387</v>
      </c>
      <c r="B1388" s="64">
        <v>2013</v>
      </c>
      <c r="C1388" s="64">
        <v>9</v>
      </c>
      <c r="D1388" s="80">
        <f t="shared" si="45"/>
        <v>2013</v>
      </c>
      <c r="E1388" t="s">
        <v>38</v>
      </c>
      <c r="F1388" t="s">
        <v>143</v>
      </c>
      <c r="G1388" t="s">
        <v>10</v>
      </c>
      <c r="H1388" s="72" t="s">
        <v>217</v>
      </c>
      <c r="I1388" s="72" t="s">
        <v>59</v>
      </c>
      <c r="J1388" t="str">
        <f t="shared" si="46"/>
        <v>Cascade River</v>
      </c>
      <c r="K1388" t="str">
        <f>IFERROR(VLOOKUP(J1388,LUTs!$A$1:$C$73,2,FALSE),"NA")</f>
        <v>Skagit</v>
      </c>
      <c r="L1388" t="str">
        <f>IFERROR(VLOOKUP(J1388,LUTs!$A$1:$C$73,3,FALSE),"NA")</f>
        <v>1North Puget Sound</v>
      </c>
      <c r="M1388" s="72" t="s">
        <v>18</v>
      </c>
      <c r="N1388" t="str">
        <f>VLOOKUP(M1388,LUTs!E$2:H$14,3,)</f>
        <v>06King</v>
      </c>
      <c r="O1388" t="str">
        <f>VLOOKUP(M1388,LUTs!E$2:H$14,4,)</f>
        <v>02South Puget Sound</v>
      </c>
      <c r="P1388" s="73">
        <v>54.1666666666667</v>
      </c>
      <c r="Q1388" s="74">
        <f>VLOOKUP(B1388,Readme!A$40:C$51,2,)*P1388</f>
        <v>186.33333333333346</v>
      </c>
    </row>
    <row r="1389" spans="1:17" ht="12" customHeight="1" x14ac:dyDescent="0.35">
      <c r="A1389" s="75">
        <v>1388</v>
      </c>
      <c r="B1389" s="64">
        <v>2013</v>
      </c>
      <c r="C1389" s="64">
        <v>9</v>
      </c>
      <c r="D1389" s="80">
        <f t="shared" si="45"/>
        <v>2013</v>
      </c>
      <c r="E1389" t="s">
        <v>38</v>
      </c>
      <c r="F1389" t="s">
        <v>143</v>
      </c>
      <c r="G1389" t="s">
        <v>10</v>
      </c>
      <c r="H1389" s="72" t="s">
        <v>217</v>
      </c>
      <c r="I1389" s="72" t="s">
        <v>59</v>
      </c>
      <c r="J1389" t="str">
        <f t="shared" si="46"/>
        <v>Cascade River</v>
      </c>
      <c r="K1389" t="str">
        <f>IFERROR(VLOOKUP(J1389,LUTs!$A$1:$C$73,2,FALSE),"NA")</f>
        <v>Skagit</v>
      </c>
      <c r="L1389" t="str">
        <f>IFERROR(VLOOKUP(J1389,LUTs!$A$1:$C$73,3,FALSE),"NA")</f>
        <v>1North Puget Sound</v>
      </c>
      <c r="M1389" s="72" t="s">
        <v>26</v>
      </c>
      <c r="N1389" t="str">
        <f>VLOOKUP(M1389,LUTs!E$2:H$14,3,)</f>
        <v>20Other</v>
      </c>
      <c r="O1389" t="str">
        <f>VLOOKUP(M1389,LUTs!E$2:H$14,4,)</f>
        <v>07Non Puget Sound</v>
      </c>
      <c r="P1389" s="73">
        <v>54.1666666666667</v>
      </c>
      <c r="Q1389" s="74">
        <f>VLOOKUP(B1389,Readme!A$40:C$51,2,)*P1389</f>
        <v>186.33333333333346</v>
      </c>
    </row>
    <row r="1390" spans="1:17" ht="12" customHeight="1" x14ac:dyDescent="0.35">
      <c r="A1390" s="75">
        <v>1389</v>
      </c>
      <c r="B1390" s="64">
        <v>2013</v>
      </c>
      <c r="C1390" s="64">
        <v>9</v>
      </c>
      <c r="D1390" s="80">
        <f t="shared" si="45"/>
        <v>2013</v>
      </c>
      <c r="E1390" t="s">
        <v>38</v>
      </c>
      <c r="F1390" t="s">
        <v>143</v>
      </c>
      <c r="G1390" t="s">
        <v>10</v>
      </c>
      <c r="H1390" s="72" t="s">
        <v>217</v>
      </c>
      <c r="I1390" s="72" t="s">
        <v>59</v>
      </c>
      <c r="J1390" t="str">
        <f t="shared" si="46"/>
        <v>Cascade River</v>
      </c>
      <c r="K1390" t="str">
        <f>IFERROR(VLOOKUP(J1390,LUTs!$A$1:$C$73,2,FALSE),"NA")</f>
        <v>Skagit</v>
      </c>
      <c r="L1390" t="str">
        <f>IFERROR(VLOOKUP(J1390,LUTs!$A$1:$C$73,3,FALSE),"NA")</f>
        <v>1North Puget Sound</v>
      </c>
      <c r="M1390" s="72" t="s">
        <v>15</v>
      </c>
      <c r="N1390" t="str">
        <f>VLOOKUP(M1390,LUTs!E$2:H$14,3,)</f>
        <v>02Skagit</v>
      </c>
      <c r="O1390" t="str">
        <f>VLOOKUP(M1390,LUTs!E$2:H$14,4,)</f>
        <v>01North Puget Sound</v>
      </c>
      <c r="P1390" s="73">
        <v>261.805555555556</v>
      </c>
      <c r="Q1390" s="74">
        <f>VLOOKUP(B1390,Readme!A$40:C$51,2,)*P1390</f>
        <v>900.61111111111256</v>
      </c>
    </row>
    <row r="1391" spans="1:17" ht="12" customHeight="1" x14ac:dyDescent="0.35">
      <c r="A1391" s="75">
        <v>1390</v>
      </c>
      <c r="B1391" s="64">
        <v>2013</v>
      </c>
      <c r="C1391" s="64">
        <v>9</v>
      </c>
      <c r="D1391" s="80">
        <f t="shared" si="45"/>
        <v>2013</v>
      </c>
      <c r="E1391" t="s">
        <v>38</v>
      </c>
      <c r="F1391" t="s">
        <v>143</v>
      </c>
      <c r="G1391" t="s">
        <v>10</v>
      </c>
      <c r="H1391" s="72" t="s">
        <v>217</v>
      </c>
      <c r="I1391" s="72" t="s">
        <v>59</v>
      </c>
      <c r="J1391" t="str">
        <f t="shared" si="46"/>
        <v>Cascade River</v>
      </c>
      <c r="K1391" t="str">
        <f>IFERROR(VLOOKUP(J1391,LUTs!$A$1:$C$73,2,FALSE),"NA")</f>
        <v>Skagit</v>
      </c>
      <c r="L1391" t="str">
        <f>IFERROR(VLOOKUP(J1391,LUTs!$A$1:$C$73,3,FALSE),"NA")</f>
        <v>1North Puget Sound</v>
      </c>
      <c r="M1391" s="72" t="s">
        <v>16</v>
      </c>
      <c r="N1391" t="str">
        <f>VLOOKUP(M1391,LUTs!E$2:H$14,3,)</f>
        <v>03Snohomish</v>
      </c>
      <c r="O1391" t="str">
        <f>VLOOKUP(M1391,LUTs!E$2:H$14,4,)</f>
        <v>01North Puget Sound</v>
      </c>
      <c r="P1391" s="73">
        <v>162.5</v>
      </c>
      <c r="Q1391" s="74">
        <f>VLOOKUP(B1391,Readme!A$40:C$51,2,)*P1391</f>
        <v>559</v>
      </c>
    </row>
    <row r="1392" spans="1:17" ht="12" customHeight="1" x14ac:dyDescent="0.35">
      <c r="A1392" s="75">
        <v>1391</v>
      </c>
      <c r="B1392" s="64">
        <v>2013</v>
      </c>
      <c r="C1392" s="64">
        <v>9</v>
      </c>
      <c r="D1392" s="80">
        <f t="shared" si="45"/>
        <v>2013</v>
      </c>
      <c r="E1392" t="s">
        <v>38</v>
      </c>
      <c r="F1392" t="s">
        <v>143</v>
      </c>
      <c r="G1392" t="s">
        <v>10</v>
      </c>
      <c r="H1392" s="72" t="s">
        <v>217</v>
      </c>
      <c r="I1392" s="72" t="s">
        <v>59</v>
      </c>
      <c r="J1392" t="str">
        <f t="shared" si="46"/>
        <v>Cascade River</v>
      </c>
      <c r="K1392" t="str">
        <f>IFERROR(VLOOKUP(J1392,LUTs!$A$1:$C$73,2,FALSE),"NA")</f>
        <v>Skagit</v>
      </c>
      <c r="L1392" t="str">
        <f>IFERROR(VLOOKUP(J1392,LUTs!$A$1:$C$73,3,FALSE),"NA")</f>
        <v>1North Puget Sound</v>
      </c>
      <c r="M1392" s="72" t="s">
        <v>13</v>
      </c>
      <c r="N1392" t="str">
        <f>VLOOKUP(M1392,LUTs!E$2:H$14,3,)</f>
        <v>01Whatcom</v>
      </c>
      <c r="O1392" t="str">
        <f>VLOOKUP(M1392,LUTs!E$2:H$14,4,)</f>
        <v>01North Puget Sound</v>
      </c>
      <c r="P1392" s="73">
        <v>117.361111111111</v>
      </c>
      <c r="Q1392" s="74">
        <f>VLOOKUP(B1392,Readme!A$40:C$51,2,)*P1392</f>
        <v>403.72222222222183</v>
      </c>
    </row>
    <row r="1393" spans="1:17" ht="12" customHeight="1" x14ac:dyDescent="0.35">
      <c r="A1393" s="75">
        <v>1392</v>
      </c>
      <c r="B1393" s="64">
        <v>2013</v>
      </c>
      <c r="C1393" s="64">
        <v>10</v>
      </c>
      <c r="D1393" s="80">
        <f t="shared" si="45"/>
        <v>2013</v>
      </c>
      <c r="E1393" t="s">
        <v>38</v>
      </c>
      <c r="F1393" t="s">
        <v>143</v>
      </c>
      <c r="G1393" t="s">
        <v>10</v>
      </c>
      <c r="H1393" s="72" t="s">
        <v>217</v>
      </c>
      <c r="I1393" s="72" t="s">
        <v>59</v>
      </c>
      <c r="J1393" t="str">
        <f t="shared" si="46"/>
        <v>Cascade River</v>
      </c>
      <c r="K1393" t="str">
        <f>IFERROR(VLOOKUP(J1393,LUTs!$A$1:$C$73,2,FALSE),"NA")</f>
        <v>Skagit</v>
      </c>
      <c r="L1393" t="str">
        <f>IFERROR(VLOOKUP(J1393,LUTs!$A$1:$C$73,3,FALSE),"NA")</f>
        <v>1North Puget Sound</v>
      </c>
      <c r="M1393" s="72" t="s">
        <v>17</v>
      </c>
      <c r="N1393" t="str">
        <f>VLOOKUP(M1393,LUTs!E$2:H$14,3,)</f>
        <v>04Island</v>
      </c>
      <c r="O1393" t="str">
        <f>VLOOKUP(M1393,LUTs!E$2:H$14,4,)</f>
        <v>01North Puget Sound</v>
      </c>
      <c r="P1393" s="73">
        <v>81.301435406698602</v>
      </c>
      <c r="Q1393" s="74">
        <f>VLOOKUP(B1393,Readme!A$40:C$51,2,)*P1393</f>
        <v>279.67693779904317</v>
      </c>
    </row>
    <row r="1394" spans="1:17" ht="12" customHeight="1" x14ac:dyDescent="0.35">
      <c r="A1394" s="75">
        <v>1393</v>
      </c>
      <c r="B1394" s="64">
        <v>2013</v>
      </c>
      <c r="C1394" s="64">
        <v>10</v>
      </c>
      <c r="D1394" s="80">
        <f t="shared" si="45"/>
        <v>2013</v>
      </c>
      <c r="E1394" t="s">
        <v>38</v>
      </c>
      <c r="F1394" t="s">
        <v>143</v>
      </c>
      <c r="G1394" t="s">
        <v>10</v>
      </c>
      <c r="H1394" s="72" t="s">
        <v>217</v>
      </c>
      <c r="I1394" s="72" t="s">
        <v>59</v>
      </c>
      <c r="J1394" t="str">
        <f t="shared" si="46"/>
        <v>Cascade River</v>
      </c>
      <c r="K1394" t="str">
        <f>IFERROR(VLOOKUP(J1394,LUTs!$A$1:$C$73,2,FALSE),"NA")</f>
        <v>Skagit</v>
      </c>
      <c r="L1394" t="str">
        <f>IFERROR(VLOOKUP(J1394,LUTs!$A$1:$C$73,3,FALSE),"NA")</f>
        <v>1North Puget Sound</v>
      </c>
      <c r="M1394" s="72" t="s">
        <v>18</v>
      </c>
      <c r="N1394" t="str">
        <f>VLOOKUP(M1394,LUTs!E$2:H$14,3,)</f>
        <v>06King</v>
      </c>
      <c r="O1394" t="str">
        <f>VLOOKUP(M1394,LUTs!E$2:H$14,4,)</f>
        <v>02South Puget Sound</v>
      </c>
      <c r="P1394" s="73">
        <v>144.53588516746399</v>
      </c>
      <c r="Q1394" s="74">
        <f>VLOOKUP(B1394,Readme!A$40:C$51,2,)*P1394</f>
        <v>497.20344497607613</v>
      </c>
    </row>
    <row r="1395" spans="1:17" ht="12" customHeight="1" x14ac:dyDescent="0.35">
      <c r="A1395" s="75">
        <v>1394</v>
      </c>
      <c r="B1395" s="64">
        <v>2013</v>
      </c>
      <c r="C1395" s="64">
        <v>10</v>
      </c>
      <c r="D1395" s="80">
        <f t="shared" si="45"/>
        <v>2013</v>
      </c>
      <c r="E1395" t="s">
        <v>38</v>
      </c>
      <c r="F1395" t="s">
        <v>143</v>
      </c>
      <c r="G1395" t="s">
        <v>10</v>
      </c>
      <c r="H1395" s="72" t="s">
        <v>217</v>
      </c>
      <c r="I1395" s="72" t="s">
        <v>59</v>
      </c>
      <c r="J1395" t="str">
        <f t="shared" si="46"/>
        <v>Cascade River</v>
      </c>
      <c r="K1395" t="str">
        <f>IFERROR(VLOOKUP(J1395,LUTs!$A$1:$C$73,2,FALSE),"NA")</f>
        <v>Skagit</v>
      </c>
      <c r="L1395" t="str">
        <f>IFERROR(VLOOKUP(J1395,LUTs!$A$1:$C$73,3,FALSE),"NA")</f>
        <v>1North Puget Sound</v>
      </c>
      <c r="M1395" s="72" t="s">
        <v>26</v>
      </c>
      <c r="N1395" t="str">
        <f>VLOOKUP(M1395,LUTs!E$2:H$14,3,)</f>
        <v>20Other</v>
      </c>
      <c r="O1395" t="str">
        <f>VLOOKUP(M1395,LUTs!E$2:H$14,4,)</f>
        <v>07Non Puget Sound</v>
      </c>
      <c r="P1395" s="73">
        <v>72.267942583732093</v>
      </c>
      <c r="Q1395" s="74">
        <f>VLOOKUP(B1395,Readme!A$40:C$51,2,)*P1395</f>
        <v>248.6017224880384</v>
      </c>
    </row>
    <row r="1396" spans="1:17" ht="12" customHeight="1" x14ac:dyDescent="0.35">
      <c r="A1396" s="75">
        <v>1395</v>
      </c>
      <c r="B1396" s="64">
        <v>2013</v>
      </c>
      <c r="C1396" s="64">
        <v>10</v>
      </c>
      <c r="D1396" s="80">
        <f t="shared" si="45"/>
        <v>2013</v>
      </c>
      <c r="E1396" t="s">
        <v>38</v>
      </c>
      <c r="F1396" t="s">
        <v>143</v>
      </c>
      <c r="G1396" t="s">
        <v>10</v>
      </c>
      <c r="H1396" s="72" t="s">
        <v>217</v>
      </c>
      <c r="I1396" s="72" t="s">
        <v>59</v>
      </c>
      <c r="J1396" t="str">
        <f t="shared" si="46"/>
        <v>Cascade River</v>
      </c>
      <c r="K1396" t="str">
        <f>IFERROR(VLOOKUP(J1396,LUTs!$A$1:$C$73,2,FALSE),"NA")</f>
        <v>Skagit</v>
      </c>
      <c r="L1396" t="str">
        <f>IFERROR(VLOOKUP(J1396,LUTs!$A$1:$C$73,3,FALSE),"NA")</f>
        <v>1North Puget Sound</v>
      </c>
      <c r="M1396" s="72" t="s">
        <v>30</v>
      </c>
      <c r="N1396" t="str">
        <f>VLOOKUP(M1396,LUTs!E$2:H$14,3,)</f>
        <v>05San Juan</v>
      </c>
      <c r="O1396" t="str">
        <f>VLOOKUP(M1396,LUTs!E$2:H$14,4,)</f>
        <v>01North Puget Sound</v>
      </c>
      <c r="P1396" s="73">
        <v>54.200956937799099</v>
      </c>
      <c r="Q1396" s="74">
        <f>VLOOKUP(B1396,Readme!A$40:C$51,2,)*P1396</f>
        <v>186.4512918660289</v>
      </c>
    </row>
    <row r="1397" spans="1:17" ht="12" customHeight="1" x14ac:dyDescent="0.35">
      <c r="A1397" s="75">
        <v>1396</v>
      </c>
      <c r="B1397" s="64">
        <v>2013</v>
      </c>
      <c r="C1397" s="64">
        <v>10</v>
      </c>
      <c r="D1397" s="80">
        <f t="shared" si="45"/>
        <v>2013</v>
      </c>
      <c r="E1397" t="s">
        <v>38</v>
      </c>
      <c r="F1397" t="s">
        <v>143</v>
      </c>
      <c r="G1397" t="s">
        <v>10</v>
      </c>
      <c r="H1397" s="72" t="s">
        <v>217</v>
      </c>
      <c r="I1397" s="72" t="s">
        <v>59</v>
      </c>
      <c r="J1397" t="str">
        <f t="shared" si="46"/>
        <v>Cascade River</v>
      </c>
      <c r="K1397" t="str">
        <f>IFERROR(VLOOKUP(J1397,LUTs!$A$1:$C$73,2,FALSE),"NA")</f>
        <v>Skagit</v>
      </c>
      <c r="L1397" t="str">
        <f>IFERROR(VLOOKUP(J1397,LUTs!$A$1:$C$73,3,FALSE),"NA")</f>
        <v>1North Puget Sound</v>
      </c>
      <c r="M1397" s="72" t="s">
        <v>15</v>
      </c>
      <c r="N1397" t="str">
        <f>VLOOKUP(M1397,LUTs!E$2:H$14,3,)</f>
        <v>02Skagit</v>
      </c>
      <c r="O1397" t="str">
        <f>VLOOKUP(M1397,LUTs!E$2:H$14,4,)</f>
        <v>01North Puget Sound</v>
      </c>
      <c r="P1397" s="73">
        <v>623.31100478468898</v>
      </c>
      <c r="Q1397" s="74">
        <f>VLOOKUP(B1397,Readme!A$40:C$51,2,)*P1397</f>
        <v>2144.1898564593303</v>
      </c>
    </row>
    <row r="1398" spans="1:17" ht="12" customHeight="1" x14ac:dyDescent="0.35">
      <c r="A1398" s="75">
        <v>1397</v>
      </c>
      <c r="B1398" s="64">
        <v>2013</v>
      </c>
      <c r="C1398" s="64">
        <v>10</v>
      </c>
      <c r="D1398" s="80">
        <f t="shared" si="45"/>
        <v>2013</v>
      </c>
      <c r="E1398" t="s">
        <v>38</v>
      </c>
      <c r="F1398" t="s">
        <v>143</v>
      </c>
      <c r="G1398" t="s">
        <v>10</v>
      </c>
      <c r="H1398" s="72" t="s">
        <v>217</v>
      </c>
      <c r="I1398" s="72" t="s">
        <v>59</v>
      </c>
      <c r="J1398" t="str">
        <f t="shared" si="46"/>
        <v>Cascade River</v>
      </c>
      <c r="K1398" t="str">
        <f>IFERROR(VLOOKUP(J1398,LUTs!$A$1:$C$73,2,FALSE),"NA")</f>
        <v>Skagit</v>
      </c>
      <c r="L1398" t="str">
        <f>IFERROR(VLOOKUP(J1398,LUTs!$A$1:$C$73,3,FALSE),"NA")</f>
        <v>1North Puget Sound</v>
      </c>
      <c r="M1398" s="72" t="s">
        <v>16</v>
      </c>
      <c r="N1398" t="str">
        <f>VLOOKUP(M1398,LUTs!E$2:H$14,3,)</f>
        <v>03Snohomish</v>
      </c>
      <c r="O1398" t="str">
        <f>VLOOKUP(M1398,LUTs!E$2:H$14,4,)</f>
        <v>01North Puget Sound</v>
      </c>
      <c r="P1398" s="73">
        <v>677.51196172248797</v>
      </c>
      <c r="Q1398" s="74">
        <f>VLOOKUP(B1398,Readme!A$40:C$51,2,)*P1398</f>
        <v>2330.6411483253587</v>
      </c>
    </row>
    <row r="1399" spans="1:17" ht="12" customHeight="1" x14ac:dyDescent="0.35">
      <c r="A1399" s="75">
        <v>1398</v>
      </c>
      <c r="B1399" s="64">
        <v>2013</v>
      </c>
      <c r="C1399" s="64">
        <v>10</v>
      </c>
      <c r="D1399" s="80">
        <f t="shared" si="45"/>
        <v>2013</v>
      </c>
      <c r="E1399" t="s">
        <v>38</v>
      </c>
      <c r="F1399" t="s">
        <v>143</v>
      </c>
      <c r="G1399" t="s">
        <v>10</v>
      </c>
      <c r="H1399" s="72" t="s">
        <v>217</v>
      </c>
      <c r="I1399" s="72" t="s">
        <v>59</v>
      </c>
      <c r="J1399" t="str">
        <f t="shared" si="46"/>
        <v>Cascade River</v>
      </c>
      <c r="K1399" t="str">
        <f>IFERROR(VLOOKUP(J1399,LUTs!$A$1:$C$73,2,FALSE),"NA")</f>
        <v>Skagit</v>
      </c>
      <c r="L1399" t="str">
        <f>IFERROR(VLOOKUP(J1399,LUTs!$A$1:$C$73,3,FALSE),"NA")</f>
        <v>1North Puget Sound</v>
      </c>
      <c r="M1399" s="72" t="s">
        <v>13</v>
      </c>
      <c r="N1399" t="str">
        <f>VLOOKUP(M1399,LUTs!E$2:H$14,3,)</f>
        <v>01Whatcom</v>
      </c>
      <c r="O1399" t="str">
        <f>VLOOKUP(M1399,LUTs!E$2:H$14,4,)</f>
        <v>01North Puget Sound</v>
      </c>
      <c r="P1399" s="73">
        <v>234.87081339712901</v>
      </c>
      <c r="Q1399" s="74">
        <f>VLOOKUP(B1399,Readme!A$40:C$51,2,)*P1399</f>
        <v>807.95559808612381</v>
      </c>
    </row>
    <row r="1400" spans="1:17" ht="12" customHeight="1" x14ac:dyDescent="0.35">
      <c r="A1400" s="75">
        <v>1399</v>
      </c>
      <c r="B1400" s="64">
        <v>2013</v>
      </c>
      <c r="C1400" s="64">
        <v>11</v>
      </c>
      <c r="D1400" s="80">
        <f t="shared" si="45"/>
        <v>2013</v>
      </c>
      <c r="E1400" t="s">
        <v>38</v>
      </c>
      <c r="F1400" t="s">
        <v>143</v>
      </c>
      <c r="G1400" t="s">
        <v>10</v>
      </c>
      <c r="H1400" s="72" t="s">
        <v>217</v>
      </c>
      <c r="I1400" s="72" t="s">
        <v>59</v>
      </c>
      <c r="J1400" t="str">
        <f t="shared" si="46"/>
        <v>Cascade River</v>
      </c>
      <c r="K1400" t="str">
        <f>IFERROR(VLOOKUP(J1400,LUTs!$A$1:$C$73,2,FALSE),"NA")</f>
        <v>Skagit</v>
      </c>
      <c r="L1400" t="str">
        <f>IFERROR(VLOOKUP(J1400,LUTs!$A$1:$C$73,3,FALSE),"NA")</f>
        <v>1North Puget Sound</v>
      </c>
      <c r="M1400" s="72" t="s">
        <v>17</v>
      </c>
      <c r="N1400" t="str">
        <f>VLOOKUP(M1400,LUTs!E$2:H$14,3,)</f>
        <v>04Island</v>
      </c>
      <c r="O1400" t="str">
        <f>VLOOKUP(M1400,LUTs!E$2:H$14,4,)</f>
        <v>01North Puget Sound</v>
      </c>
      <c r="P1400" s="73">
        <v>27.15</v>
      </c>
      <c r="Q1400" s="74">
        <f>VLOOKUP(B1400,Readme!A$40:C$51,2,)*P1400</f>
        <v>93.395999999999987</v>
      </c>
    </row>
    <row r="1401" spans="1:17" ht="12" customHeight="1" x14ac:dyDescent="0.35">
      <c r="A1401" s="75">
        <v>1400</v>
      </c>
      <c r="B1401" s="64">
        <v>2013</v>
      </c>
      <c r="C1401" s="64">
        <v>11</v>
      </c>
      <c r="D1401" s="80">
        <f t="shared" si="45"/>
        <v>2013</v>
      </c>
      <c r="E1401" t="s">
        <v>38</v>
      </c>
      <c r="F1401" t="s">
        <v>143</v>
      </c>
      <c r="G1401" t="s">
        <v>10</v>
      </c>
      <c r="H1401" s="72" t="s">
        <v>217</v>
      </c>
      <c r="I1401" s="72" t="s">
        <v>59</v>
      </c>
      <c r="J1401" t="str">
        <f t="shared" si="46"/>
        <v>Cascade River</v>
      </c>
      <c r="K1401" t="str">
        <f>IFERROR(VLOOKUP(J1401,LUTs!$A$1:$C$73,2,FALSE),"NA")</f>
        <v>Skagit</v>
      </c>
      <c r="L1401" t="str">
        <f>IFERROR(VLOOKUP(J1401,LUTs!$A$1:$C$73,3,FALSE),"NA")</f>
        <v>1North Puget Sound</v>
      </c>
      <c r="M1401" s="72" t="s">
        <v>15</v>
      </c>
      <c r="N1401" t="str">
        <f>VLOOKUP(M1401,LUTs!E$2:H$14,3,)</f>
        <v>02Skagit</v>
      </c>
      <c r="O1401" t="str">
        <f>VLOOKUP(M1401,LUTs!E$2:H$14,4,)</f>
        <v>01North Puget Sound</v>
      </c>
      <c r="P1401" s="73">
        <v>81.45</v>
      </c>
      <c r="Q1401" s="74">
        <f>VLOOKUP(B1401,Readme!A$40:C$51,2,)*P1401</f>
        <v>280.18799999999999</v>
      </c>
    </row>
    <row r="1402" spans="1:17" ht="12" customHeight="1" x14ac:dyDescent="0.35">
      <c r="A1402" s="75">
        <v>1401</v>
      </c>
      <c r="B1402" s="64">
        <v>2013</v>
      </c>
      <c r="C1402" s="64">
        <v>11</v>
      </c>
      <c r="D1402" s="80">
        <f t="shared" si="45"/>
        <v>2013</v>
      </c>
      <c r="E1402" t="s">
        <v>38</v>
      </c>
      <c r="F1402" t="s">
        <v>143</v>
      </c>
      <c r="G1402" t="s">
        <v>10</v>
      </c>
      <c r="H1402" s="72" t="s">
        <v>217</v>
      </c>
      <c r="I1402" s="72" t="s">
        <v>59</v>
      </c>
      <c r="J1402" t="str">
        <f t="shared" si="46"/>
        <v>Cascade River</v>
      </c>
      <c r="K1402" t="str">
        <f>IFERROR(VLOOKUP(J1402,LUTs!$A$1:$C$73,2,FALSE),"NA")</f>
        <v>Skagit</v>
      </c>
      <c r="L1402" t="str">
        <f>IFERROR(VLOOKUP(J1402,LUTs!$A$1:$C$73,3,FALSE),"NA")</f>
        <v>1North Puget Sound</v>
      </c>
      <c r="M1402" s="72" t="s">
        <v>16</v>
      </c>
      <c r="N1402" t="str">
        <f>VLOOKUP(M1402,LUTs!E$2:H$14,3,)</f>
        <v>03Snohomish</v>
      </c>
      <c r="O1402" t="str">
        <f>VLOOKUP(M1402,LUTs!E$2:H$14,4,)</f>
        <v>01North Puget Sound</v>
      </c>
      <c r="P1402" s="73">
        <v>27.15</v>
      </c>
      <c r="Q1402" s="74">
        <f>VLOOKUP(B1402,Readme!A$40:C$51,2,)*P1402</f>
        <v>93.395999999999987</v>
      </c>
    </row>
    <row r="1403" spans="1:17" ht="12" customHeight="1" x14ac:dyDescent="0.35">
      <c r="A1403" s="75">
        <v>1402</v>
      </c>
      <c r="B1403" s="64">
        <v>2013</v>
      </c>
      <c r="C1403" s="64">
        <v>11</v>
      </c>
      <c r="D1403" s="80">
        <f t="shared" si="45"/>
        <v>2013</v>
      </c>
      <c r="E1403" t="s">
        <v>38</v>
      </c>
      <c r="F1403" t="s">
        <v>143</v>
      </c>
      <c r="G1403" t="s">
        <v>10</v>
      </c>
      <c r="H1403" s="72" t="s">
        <v>217</v>
      </c>
      <c r="I1403" s="72" t="s">
        <v>59</v>
      </c>
      <c r="J1403" t="str">
        <f t="shared" si="46"/>
        <v>Cascade River</v>
      </c>
      <c r="K1403" t="str">
        <f>IFERROR(VLOOKUP(J1403,LUTs!$A$1:$C$73,2,FALSE),"NA")</f>
        <v>Skagit</v>
      </c>
      <c r="L1403" t="str">
        <f>IFERROR(VLOOKUP(J1403,LUTs!$A$1:$C$73,3,FALSE),"NA")</f>
        <v>1North Puget Sound</v>
      </c>
      <c r="M1403" s="72" t="s">
        <v>13</v>
      </c>
      <c r="N1403" t="str">
        <f>VLOOKUP(M1403,LUTs!E$2:H$14,3,)</f>
        <v>01Whatcom</v>
      </c>
      <c r="O1403" t="str">
        <f>VLOOKUP(M1403,LUTs!E$2:H$14,4,)</f>
        <v>01North Puget Sound</v>
      </c>
      <c r="P1403" s="73">
        <v>45.25</v>
      </c>
      <c r="Q1403" s="74">
        <f>VLOOKUP(B1403,Readme!A$40:C$51,2,)*P1403</f>
        <v>155.66</v>
      </c>
    </row>
    <row r="1404" spans="1:17" ht="12" customHeight="1" x14ac:dyDescent="0.35">
      <c r="A1404" s="75">
        <v>1403</v>
      </c>
      <c r="B1404" s="64">
        <v>2013</v>
      </c>
      <c r="C1404" s="64">
        <v>6</v>
      </c>
      <c r="D1404" s="80">
        <f t="shared" si="45"/>
        <v>2013</v>
      </c>
      <c r="E1404" t="s">
        <v>38</v>
      </c>
      <c r="F1404" t="s">
        <v>143</v>
      </c>
      <c r="G1404" t="s">
        <v>10</v>
      </c>
      <c r="H1404" s="72" t="s">
        <v>218</v>
      </c>
      <c r="I1404" s="72" t="s">
        <v>60</v>
      </c>
      <c r="J1404" t="str">
        <f t="shared" si="46"/>
        <v>Skagit River</v>
      </c>
      <c r="K1404" t="str">
        <f>IFERROR(VLOOKUP(J1404,LUTs!$A$1:$C$73,2,FALSE),"NA")</f>
        <v>Skagit/Whatcom</v>
      </c>
      <c r="L1404" t="str">
        <f>IFERROR(VLOOKUP(J1404,LUTs!$A$1:$C$73,3,FALSE),"NA")</f>
        <v>2Central Puget Sound</v>
      </c>
      <c r="M1404" s="72" t="s">
        <v>17</v>
      </c>
      <c r="N1404" t="str">
        <f>VLOOKUP(M1404,LUTs!E$2:H$14,3,)</f>
        <v>04Island</v>
      </c>
      <c r="O1404" t="str">
        <f>VLOOKUP(M1404,LUTs!E$2:H$14,4,)</f>
        <v>01North Puget Sound</v>
      </c>
      <c r="P1404" s="73">
        <v>8.9090909090909101</v>
      </c>
      <c r="Q1404" s="74">
        <f>VLOOKUP(B1404,Readme!A$40:C$51,2,)*P1404</f>
        <v>30.647272727272732</v>
      </c>
    </row>
    <row r="1405" spans="1:17" ht="12" customHeight="1" x14ac:dyDescent="0.35">
      <c r="A1405" s="75">
        <v>1404</v>
      </c>
      <c r="B1405" s="64">
        <v>2013</v>
      </c>
      <c r="C1405" s="64">
        <v>6</v>
      </c>
      <c r="D1405" s="80">
        <f t="shared" si="45"/>
        <v>2013</v>
      </c>
      <c r="E1405" t="s">
        <v>38</v>
      </c>
      <c r="F1405" t="s">
        <v>143</v>
      </c>
      <c r="G1405" t="s">
        <v>10</v>
      </c>
      <c r="H1405" s="72" t="s">
        <v>218</v>
      </c>
      <c r="I1405" s="72" t="s">
        <v>60</v>
      </c>
      <c r="J1405" t="str">
        <f t="shared" si="46"/>
        <v>Skagit River</v>
      </c>
      <c r="K1405" t="str">
        <f>IFERROR(VLOOKUP(J1405,LUTs!$A$1:$C$73,2,FALSE),"NA")</f>
        <v>Skagit/Whatcom</v>
      </c>
      <c r="L1405" t="str">
        <f>IFERROR(VLOOKUP(J1405,LUTs!$A$1:$C$73,3,FALSE),"NA")</f>
        <v>2Central Puget Sound</v>
      </c>
      <c r="M1405" s="72" t="s">
        <v>18</v>
      </c>
      <c r="N1405" t="str">
        <f>VLOOKUP(M1405,LUTs!E$2:H$14,3,)</f>
        <v>06King</v>
      </c>
      <c r="O1405" t="str">
        <f>VLOOKUP(M1405,LUTs!E$2:H$14,4,)</f>
        <v>02South Puget Sound</v>
      </c>
      <c r="P1405" s="73">
        <v>8.9090909090909101</v>
      </c>
      <c r="Q1405" s="74">
        <f>VLOOKUP(B1405,Readme!A$40:C$51,2,)*P1405</f>
        <v>30.647272727272732</v>
      </c>
    </row>
    <row r="1406" spans="1:17" ht="12" customHeight="1" x14ac:dyDescent="0.35">
      <c r="A1406" s="75">
        <v>1405</v>
      </c>
      <c r="B1406" s="64">
        <v>2013</v>
      </c>
      <c r="C1406" s="64">
        <v>6</v>
      </c>
      <c r="D1406" s="80">
        <f t="shared" si="45"/>
        <v>2013</v>
      </c>
      <c r="E1406" t="s">
        <v>38</v>
      </c>
      <c r="F1406" t="s">
        <v>143</v>
      </c>
      <c r="G1406" t="s">
        <v>10</v>
      </c>
      <c r="H1406" s="72" t="s">
        <v>218</v>
      </c>
      <c r="I1406" s="72" t="s">
        <v>60</v>
      </c>
      <c r="J1406" t="str">
        <f t="shared" si="46"/>
        <v>Skagit River</v>
      </c>
      <c r="K1406" t="str">
        <f>IFERROR(VLOOKUP(J1406,LUTs!$A$1:$C$73,2,FALSE),"NA")</f>
        <v>Skagit/Whatcom</v>
      </c>
      <c r="L1406" t="str">
        <f>IFERROR(VLOOKUP(J1406,LUTs!$A$1:$C$73,3,FALSE),"NA")</f>
        <v>2Central Puget Sound</v>
      </c>
      <c r="M1406" s="72" t="s">
        <v>26</v>
      </c>
      <c r="N1406" t="str">
        <f>VLOOKUP(M1406,LUTs!E$2:H$14,3,)</f>
        <v>20Other</v>
      </c>
      <c r="O1406" t="str">
        <f>VLOOKUP(M1406,LUTs!E$2:H$14,4,)</f>
        <v>07Non Puget Sound</v>
      </c>
      <c r="P1406" s="73">
        <v>17.818181818181799</v>
      </c>
      <c r="Q1406" s="74">
        <f>VLOOKUP(B1406,Readme!A$40:C$51,2,)*P1406</f>
        <v>61.294545454545386</v>
      </c>
    </row>
    <row r="1407" spans="1:17" ht="12" customHeight="1" x14ac:dyDescent="0.35">
      <c r="A1407" s="75">
        <v>1406</v>
      </c>
      <c r="B1407" s="64">
        <v>2013</v>
      </c>
      <c r="C1407" s="64">
        <v>6</v>
      </c>
      <c r="D1407" s="80">
        <f t="shared" si="45"/>
        <v>2013</v>
      </c>
      <c r="E1407" t="s">
        <v>38</v>
      </c>
      <c r="F1407" t="s">
        <v>143</v>
      </c>
      <c r="G1407" t="s">
        <v>10</v>
      </c>
      <c r="H1407" s="72" t="s">
        <v>218</v>
      </c>
      <c r="I1407" s="72" t="s">
        <v>60</v>
      </c>
      <c r="J1407" t="str">
        <f t="shared" si="46"/>
        <v>Skagit River</v>
      </c>
      <c r="K1407" t="str">
        <f>IFERROR(VLOOKUP(J1407,LUTs!$A$1:$C$73,2,FALSE),"NA")</f>
        <v>Skagit/Whatcom</v>
      </c>
      <c r="L1407" t="str">
        <f>IFERROR(VLOOKUP(J1407,LUTs!$A$1:$C$73,3,FALSE),"NA")</f>
        <v>2Central Puget Sound</v>
      </c>
      <c r="M1407" s="72" t="s">
        <v>15</v>
      </c>
      <c r="N1407" t="str">
        <f>VLOOKUP(M1407,LUTs!E$2:H$14,3,)</f>
        <v>02Skagit</v>
      </c>
      <c r="O1407" t="str">
        <f>VLOOKUP(M1407,LUTs!E$2:H$14,4,)</f>
        <v>01North Puget Sound</v>
      </c>
      <c r="P1407" s="73">
        <v>53.454545454545503</v>
      </c>
      <c r="Q1407" s="74">
        <f>VLOOKUP(B1407,Readme!A$40:C$51,2,)*P1407</f>
        <v>183.88363636363653</v>
      </c>
    </row>
    <row r="1408" spans="1:17" ht="12" customHeight="1" x14ac:dyDescent="0.35">
      <c r="A1408" s="75">
        <v>1407</v>
      </c>
      <c r="B1408" s="64">
        <v>2013</v>
      </c>
      <c r="C1408" s="64">
        <v>6</v>
      </c>
      <c r="D1408" s="80">
        <f t="shared" si="45"/>
        <v>2013</v>
      </c>
      <c r="E1408" t="s">
        <v>38</v>
      </c>
      <c r="F1408" t="s">
        <v>143</v>
      </c>
      <c r="G1408" t="s">
        <v>10</v>
      </c>
      <c r="H1408" s="72" t="s">
        <v>218</v>
      </c>
      <c r="I1408" s="72" t="s">
        <v>60</v>
      </c>
      <c r="J1408" t="str">
        <f t="shared" si="46"/>
        <v>Skagit River</v>
      </c>
      <c r="K1408" t="str">
        <f>IFERROR(VLOOKUP(J1408,LUTs!$A$1:$C$73,2,FALSE),"NA")</f>
        <v>Skagit/Whatcom</v>
      </c>
      <c r="L1408" t="str">
        <f>IFERROR(VLOOKUP(J1408,LUTs!$A$1:$C$73,3,FALSE),"NA")</f>
        <v>2Central Puget Sound</v>
      </c>
      <c r="M1408" s="72" t="s">
        <v>13</v>
      </c>
      <c r="N1408" t="str">
        <f>VLOOKUP(M1408,LUTs!E$2:H$14,3,)</f>
        <v>01Whatcom</v>
      </c>
      <c r="O1408" t="str">
        <f>VLOOKUP(M1408,LUTs!E$2:H$14,4,)</f>
        <v>01North Puget Sound</v>
      </c>
      <c r="P1408" s="73">
        <v>8.9090909090909101</v>
      </c>
      <c r="Q1408" s="74">
        <f>VLOOKUP(B1408,Readme!A$40:C$51,2,)*P1408</f>
        <v>30.647272727272732</v>
      </c>
    </row>
    <row r="1409" spans="1:17" ht="12" customHeight="1" x14ac:dyDescent="0.35">
      <c r="A1409" s="75">
        <v>1408</v>
      </c>
      <c r="B1409" s="64">
        <v>2013</v>
      </c>
      <c r="C1409" s="64">
        <v>7</v>
      </c>
      <c r="D1409" s="80">
        <f t="shared" si="45"/>
        <v>2013</v>
      </c>
      <c r="E1409" t="s">
        <v>38</v>
      </c>
      <c r="F1409" t="s">
        <v>143</v>
      </c>
      <c r="G1409" t="s">
        <v>10</v>
      </c>
      <c r="H1409" s="72" t="s">
        <v>218</v>
      </c>
      <c r="I1409" s="72" t="s">
        <v>60</v>
      </c>
      <c r="J1409" t="str">
        <f t="shared" si="46"/>
        <v>Skagit River</v>
      </c>
      <c r="K1409" t="str">
        <f>IFERROR(VLOOKUP(J1409,LUTs!$A$1:$C$73,2,FALSE),"NA")</f>
        <v>Skagit/Whatcom</v>
      </c>
      <c r="L1409" t="str">
        <f>IFERROR(VLOOKUP(J1409,LUTs!$A$1:$C$73,3,FALSE),"NA")</f>
        <v>2Central Puget Sound</v>
      </c>
      <c r="M1409" s="72" t="s">
        <v>17</v>
      </c>
      <c r="N1409" t="str">
        <f>VLOOKUP(M1409,LUTs!E$2:H$14,3,)</f>
        <v>04Island</v>
      </c>
      <c r="O1409" t="str">
        <f>VLOOKUP(M1409,LUTs!E$2:H$14,4,)</f>
        <v>01North Puget Sound</v>
      </c>
      <c r="P1409" s="73">
        <v>62.892307692307703</v>
      </c>
      <c r="Q1409" s="74">
        <f>VLOOKUP(B1409,Readme!A$40:C$51,2,)*P1409</f>
        <v>216.34953846153849</v>
      </c>
    </row>
    <row r="1410" spans="1:17" ht="12" customHeight="1" x14ac:dyDescent="0.35">
      <c r="A1410" s="75">
        <v>1409</v>
      </c>
      <c r="B1410" s="64">
        <v>2013</v>
      </c>
      <c r="C1410" s="64">
        <v>7</v>
      </c>
      <c r="D1410" s="80">
        <f t="shared" ref="D1410:D1473" si="47">IF(C1410&gt;3,B1410,B1410-1)</f>
        <v>2013</v>
      </c>
      <c r="E1410" t="s">
        <v>38</v>
      </c>
      <c r="F1410" t="s">
        <v>143</v>
      </c>
      <c r="G1410" t="s">
        <v>10</v>
      </c>
      <c r="H1410" s="72" t="s">
        <v>218</v>
      </c>
      <c r="I1410" s="72" t="s">
        <v>60</v>
      </c>
      <c r="J1410" t="str">
        <f t="shared" si="46"/>
        <v>Skagit River</v>
      </c>
      <c r="K1410" t="str">
        <f>IFERROR(VLOOKUP(J1410,LUTs!$A$1:$C$73,2,FALSE),"NA")</f>
        <v>Skagit/Whatcom</v>
      </c>
      <c r="L1410" t="str">
        <f>IFERROR(VLOOKUP(J1410,LUTs!$A$1:$C$73,3,FALSE),"NA")</f>
        <v>2Central Puget Sound</v>
      </c>
      <c r="M1410" s="72" t="s">
        <v>18</v>
      </c>
      <c r="N1410" t="str">
        <f>VLOOKUP(M1410,LUTs!E$2:H$14,3,)</f>
        <v>06King</v>
      </c>
      <c r="O1410" t="str">
        <f>VLOOKUP(M1410,LUTs!E$2:H$14,4,)</f>
        <v>02South Puget Sound</v>
      </c>
      <c r="P1410" s="73">
        <v>278.52307692307699</v>
      </c>
      <c r="Q1410" s="74">
        <f>VLOOKUP(B1410,Readme!A$40:C$51,2,)*P1410</f>
        <v>958.11938461538477</v>
      </c>
    </row>
    <row r="1411" spans="1:17" ht="12" customHeight="1" x14ac:dyDescent="0.35">
      <c r="A1411" s="75">
        <v>1410</v>
      </c>
      <c r="B1411" s="64">
        <v>2013</v>
      </c>
      <c r="C1411" s="64">
        <v>7</v>
      </c>
      <c r="D1411" s="80">
        <f t="shared" si="47"/>
        <v>2013</v>
      </c>
      <c r="E1411" t="s">
        <v>38</v>
      </c>
      <c r="F1411" t="s">
        <v>143</v>
      </c>
      <c r="G1411" t="s">
        <v>10</v>
      </c>
      <c r="H1411" s="72" t="s">
        <v>218</v>
      </c>
      <c r="I1411" s="72" t="s">
        <v>60</v>
      </c>
      <c r="J1411" t="str">
        <f t="shared" ref="J1411:J1474" si="48">I1411</f>
        <v>Skagit River</v>
      </c>
      <c r="K1411" t="str">
        <f>IFERROR(VLOOKUP(J1411,LUTs!$A$1:$C$73,2,FALSE),"NA")</f>
        <v>Skagit/Whatcom</v>
      </c>
      <c r="L1411" t="str">
        <f>IFERROR(VLOOKUP(J1411,LUTs!$A$1:$C$73,3,FALSE),"NA")</f>
        <v>2Central Puget Sound</v>
      </c>
      <c r="M1411" s="72" t="s">
        <v>22</v>
      </c>
      <c r="N1411" t="str">
        <f>VLOOKUP(M1411,LUTs!E$2:H$14,3,)</f>
        <v>09Mason</v>
      </c>
      <c r="O1411" t="str">
        <f>VLOOKUP(M1411,LUTs!E$2:H$14,4,)</f>
        <v>02South Puget Sound</v>
      </c>
      <c r="P1411" s="73">
        <v>44.923076923076898</v>
      </c>
      <c r="Q1411" s="74">
        <f>VLOOKUP(B1411,Readme!A$40:C$51,2,)*P1411</f>
        <v>154.53538461538452</v>
      </c>
    </row>
    <row r="1412" spans="1:17" ht="12" customHeight="1" x14ac:dyDescent="0.35">
      <c r="A1412" s="75">
        <v>1411</v>
      </c>
      <c r="B1412" s="64">
        <v>2013</v>
      </c>
      <c r="C1412" s="64">
        <v>7</v>
      </c>
      <c r="D1412" s="80">
        <f t="shared" si="47"/>
        <v>2013</v>
      </c>
      <c r="E1412" t="s">
        <v>38</v>
      </c>
      <c r="F1412" t="s">
        <v>143</v>
      </c>
      <c r="G1412" t="s">
        <v>10</v>
      </c>
      <c r="H1412" s="72" t="s">
        <v>218</v>
      </c>
      <c r="I1412" s="72" t="s">
        <v>60</v>
      </c>
      <c r="J1412" t="str">
        <f t="shared" si="48"/>
        <v>Skagit River</v>
      </c>
      <c r="K1412" t="str">
        <f>IFERROR(VLOOKUP(J1412,LUTs!$A$1:$C$73,2,FALSE),"NA")</f>
        <v>Skagit/Whatcom</v>
      </c>
      <c r="L1412" t="str">
        <f>IFERROR(VLOOKUP(J1412,LUTs!$A$1:$C$73,3,FALSE),"NA")</f>
        <v>2Central Puget Sound</v>
      </c>
      <c r="M1412" s="72" t="s">
        <v>26</v>
      </c>
      <c r="N1412" t="str">
        <f>VLOOKUP(M1412,LUTs!E$2:H$14,3,)</f>
        <v>20Other</v>
      </c>
      <c r="O1412" t="str">
        <f>VLOOKUP(M1412,LUTs!E$2:H$14,4,)</f>
        <v>07Non Puget Sound</v>
      </c>
      <c r="P1412" s="73">
        <v>125.78461538461499</v>
      </c>
      <c r="Q1412" s="74">
        <f>VLOOKUP(B1412,Readme!A$40:C$51,2,)*P1412</f>
        <v>432.69907692307555</v>
      </c>
    </row>
    <row r="1413" spans="1:17" ht="12" customHeight="1" x14ac:dyDescent="0.35">
      <c r="A1413" s="75">
        <v>1412</v>
      </c>
      <c r="B1413" s="64">
        <v>2013</v>
      </c>
      <c r="C1413" s="64">
        <v>7</v>
      </c>
      <c r="D1413" s="80">
        <f t="shared" si="47"/>
        <v>2013</v>
      </c>
      <c r="E1413" t="s">
        <v>38</v>
      </c>
      <c r="F1413" t="s">
        <v>143</v>
      </c>
      <c r="G1413" t="s">
        <v>10</v>
      </c>
      <c r="H1413" s="72" t="s">
        <v>218</v>
      </c>
      <c r="I1413" s="72" t="s">
        <v>60</v>
      </c>
      <c r="J1413" t="str">
        <f t="shared" si="48"/>
        <v>Skagit River</v>
      </c>
      <c r="K1413" t="str">
        <f>IFERROR(VLOOKUP(J1413,LUTs!$A$1:$C$73,2,FALSE),"NA")</f>
        <v>Skagit/Whatcom</v>
      </c>
      <c r="L1413" t="str">
        <f>IFERROR(VLOOKUP(J1413,LUTs!$A$1:$C$73,3,FALSE),"NA")</f>
        <v>2Central Puget Sound</v>
      </c>
      <c r="M1413" s="72" t="s">
        <v>15</v>
      </c>
      <c r="N1413" t="str">
        <f>VLOOKUP(M1413,LUTs!E$2:H$14,3,)</f>
        <v>02Skagit</v>
      </c>
      <c r="O1413" t="str">
        <f>VLOOKUP(M1413,LUTs!E$2:H$14,4,)</f>
        <v>01North Puget Sound</v>
      </c>
      <c r="P1413" s="73">
        <v>3171.5692307692302</v>
      </c>
      <c r="Q1413" s="74">
        <f>VLOOKUP(B1413,Readme!A$40:C$51,2,)*P1413</f>
        <v>10910.198153846151</v>
      </c>
    </row>
    <row r="1414" spans="1:17" ht="12" customHeight="1" x14ac:dyDescent="0.35">
      <c r="A1414" s="75">
        <v>1413</v>
      </c>
      <c r="B1414" s="64">
        <v>2013</v>
      </c>
      <c r="C1414" s="64">
        <v>7</v>
      </c>
      <c r="D1414" s="80">
        <f t="shared" si="47"/>
        <v>2013</v>
      </c>
      <c r="E1414" t="s">
        <v>38</v>
      </c>
      <c r="F1414" t="s">
        <v>143</v>
      </c>
      <c r="G1414" t="s">
        <v>10</v>
      </c>
      <c r="H1414" s="72" t="s">
        <v>218</v>
      </c>
      <c r="I1414" s="72" t="s">
        <v>60</v>
      </c>
      <c r="J1414" t="str">
        <f t="shared" si="48"/>
        <v>Skagit River</v>
      </c>
      <c r="K1414" t="str">
        <f>IFERROR(VLOOKUP(J1414,LUTs!$A$1:$C$73,2,FALSE),"NA")</f>
        <v>Skagit/Whatcom</v>
      </c>
      <c r="L1414" t="str">
        <f>IFERROR(VLOOKUP(J1414,LUTs!$A$1:$C$73,3,FALSE),"NA")</f>
        <v>2Central Puget Sound</v>
      </c>
      <c r="M1414" s="72" t="s">
        <v>16</v>
      </c>
      <c r="N1414" t="str">
        <f>VLOOKUP(M1414,LUTs!E$2:H$14,3,)</f>
        <v>03Snohomish</v>
      </c>
      <c r="O1414" t="str">
        <f>VLOOKUP(M1414,LUTs!E$2:H$14,4,)</f>
        <v>01North Puget Sound</v>
      </c>
      <c r="P1414" s="73">
        <v>781.66153846153895</v>
      </c>
      <c r="Q1414" s="74">
        <f>VLOOKUP(B1414,Readme!A$40:C$51,2,)*P1414</f>
        <v>2688.9156923076939</v>
      </c>
    </row>
    <row r="1415" spans="1:17" ht="12" customHeight="1" x14ac:dyDescent="0.35">
      <c r="A1415" s="75">
        <v>1414</v>
      </c>
      <c r="B1415" s="64">
        <v>2013</v>
      </c>
      <c r="C1415" s="64">
        <v>7</v>
      </c>
      <c r="D1415" s="80">
        <f t="shared" si="47"/>
        <v>2013</v>
      </c>
      <c r="E1415" t="s">
        <v>38</v>
      </c>
      <c r="F1415" t="s">
        <v>143</v>
      </c>
      <c r="G1415" t="s">
        <v>10</v>
      </c>
      <c r="H1415" s="72" t="s">
        <v>218</v>
      </c>
      <c r="I1415" s="72" t="s">
        <v>60</v>
      </c>
      <c r="J1415" t="str">
        <f t="shared" si="48"/>
        <v>Skagit River</v>
      </c>
      <c r="K1415" t="str">
        <f>IFERROR(VLOOKUP(J1415,LUTs!$A$1:$C$73,2,FALSE),"NA")</f>
        <v>Skagit/Whatcom</v>
      </c>
      <c r="L1415" t="str">
        <f>IFERROR(VLOOKUP(J1415,LUTs!$A$1:$C$73,3,FALSE),"NA")</f>
        <v>2Central Puget Sound</v>
      </c>
      <c r="M1415" s="72" t="s">
        <v>13</v>
      </c>
      <c r="N1415" t="str">
        <f>VLOOKUP(M1415,LUTs!E$2:H$14,3,)</f>
        <v>01Whatcom</v>
      </c>
      <c r="O1415" t="str">
        <f>VLOOKUP(M1415,LUTs!E$2:H$14,4,)</f>
        <v>01North Puget Sound</v>
      </c>
      <c r="P1415" s="73">
        <v>790.64615384615399</v>
      </c>
      <c r="Q1415" s="74">
        <f>VLOOKUP(B1415,Readme!A$40:C$51,2,)*P1415</f>
        <v>2719.8227692307696</v>
      </c>
    </row>
    <row r="1416" spans="1:17" ht="12" customHeight="1" x14ac:dyDescent="0.35">
      <c r="A1416" s="75">
        <v>1415</v>
      </c>
      <c r="B1416" s="64">
        <v>2013</v>
      </c>
      <c r="C1416" s="64">
        <v>8</v>
      </c>
      <c r="D1416" s="80">
        <f t="shared" si="47"/>
        <v>2013</v>
      </c>
      <c r="E1416" t="s">
        <v>38</v>
      </c>
      <c r="F1416" t="s">
        <v>143</v>
      </c>
      <c r="G1416" t="s">
        <v>10</v>
      </c>
      <c r="H1416" s="72" t="s">
        <v>218</v>
      </c>
      <c r="I1416" s="72" t="s">
        <v>60</v>
      </c>
      <c r="J1416" t="str">
        <f t="shared" si="48"/>
        <v>Skagit River</v>
      </c>
      <c r="K1416" t="str">
        <f>IFERROR(VLOOKUP(J1416,LUTs!$A$1:$C$73,2,FALSE),"NA")</f>
        <v>Skagit/Whatcom</v>
      </c>
      <c r="L1416" t="str">
        <f>IFERROR(VLOOKUP(J1416,LUTs!$A$1:$C$73,3,FALSE),"NA")</f>
        <v>2Central Puget Sound</v>
      </c>
      <c r="M1416" s="72" t="s">
        <v>24</v>
      </c>
      <c r="N1416" t="str">
        <f>VLOOKUP(M1416,LUTs!E$2:H$14,3,)</f>
        <v>11Clallam</v>
      </c>
      <c r="O1416" t="str">
        <f>VLOOKUP(M1416,LUTs!E$2:H$14,4,)</f>
        <v>03Strait of Juan de Fuca</v>
      </c>
      <c r="P1416" s="73">
        <v>89.849108367626897</v>
      </c>
      <c r="Q1416" s="74">
        <f>VLOOKUP(B1416,Readme!A$40:C$51,2,)*P1416</f>
        <v>309.0809327846365</v>
      </c>
    </row>
    <row r="1417" spans="1:17" ht="12" customHeight="1" x14ac:dyDescent="0.35">
      <c r="A1417" s="75">
        <v>1416</v>
      </c>
      <c r="B1417" s="64">
        <v>2013</v>
      </c>
      <c r="C1417" s="64">
        <v>8</v>
      </c>
      <c r="D1417" s="80">
        <f t="shared" si="47"/>
        <v>2013</v>
      </c>
      <c r="E1417" t="s">
        <v>38</v>
      </c>
      <c r="F1417" t="s">
        <v>143</v>
      </c>
      <c r="G1417" t="s">
        <v>10</v>
      </c>
      <c r="H1417" s="72" t="s">
        <v>218</v>
      </c>
      <c r="I1417" s="72" t="s">
        <v>60</v>
      </c>
      <c r="J1417" t="str">
        <f t="shared" si="48"/>
        <v>Skagit River</v>
      </c>
      <c r="K1417" t="str">
        <f>IFERROR(VLOOKUP(J1417,LUTs!$A$1:$C$73,2,FALSE),"NA")</f>
        <v>Skagit/Whatcom</v>
      </c>
      <c r="L1417" t="str">
        <f>IFERROR(VLOOKUP(J1417,LUTs!$A$1:$C$73,3,FALSE),"NA")</f>
        <v>2Central Puget Sound</v>
      </c>
      <c r="M1417" s="72" t="s">
        <v>17</v>
      </c>
      <c r="N1417" t="str">
        <f>VLOOKUP(M1417,LUTs!E$2:H$14,3,)</f>
        <v>04Island</v>
      </c>
      <c r="O1417" t="str">
        <f>VLOOKUP(M1417,LUTs!E$2:H$14,4,)</f>
        <v>01North Puget Sound</v>
      </c>
      <c r="P1417" s="73">
        <v>1473.52537722908</v>
      </c>
      <c r="Q1417" s="74">
        <f>VLOOKUP(B1417,Readme!A$40:C$51,2,)*P1417</f>
        <v>5068.927297668035</v>
      </c>
    </row>
    <row r="1418" spans="1:17" ht="12" customHeight="1" x14ac:dyDescent="0.35">
      <c r="A1418" s="75">
        <v>1417</v>
      </c>
      <c r="B1418" s="64">
        <v>2013</v>
      </c>
      <c r="C1418" s="64">
        <v>8</v>
      </c>
      <c r="D1418" s="80">
        <f t="shared" si="47"/>
        <v>2013</v>
      </c>
      <c r="E1418" t="s">
        <v>38</v>
      </c>
      <c r="F1418" t="s">
        <v>143</v>
      </c>
      <c r="G1418" t="s">
        <v>10</v>
      </c>
      <c r="H1418" s="72" t="s">
        <v>218</v>
      </c>
      <c r="I1418" s="72" t="s">
        <v>60</v>
      </c>
      <c r="J1418" t="str">
        <f t="shared" si="48"/>
        <v>Skagit River</v>
      </c>
      <c r="K1418" t="str">
        <f>IFERROR(VLOOKUP(J1418,LUTs!$A$1:$C$73,2,FALSE),"NA")</f>
        <v>Skagit/Whatcom</v>
      </c>
      <c r="L1418" t="str">
        <f>IFERROR(VLOOKUP(J1418,LUTs!$A$1:$C$73,3,FALSE),"NA")</f>
        <v>2Central Puget Sound</v>
      </c>
      <c r="M1418" s="72" t="s">
        <v>18</v>
      </c>
      <c r="N1418" t="str">
        <f>VLOOKUP(M1418,LUTs!E$2:H$14,3,)</f>
        <v>06King</v>
      </c>
      <c r="O1418" t="str">
        <f>VLOOKUP(M1418,LUTs!E$2:H$14,4,)</f>
        <v>02South Puget Sound</v>
      </c>
      <c r="P1418" s="73">
        <v>1500.4801097393699</v>
      </c>
      <c r="Q1418" s="74">
        <f>VLOOKUP(B1418,Readme!A$40:C$51,2,)*P1418</f>
        <v>5161.6515775034322</v>
      </c>
    </row>
    <row r="1419" spans="1:17" ht="12" customHeight="1" x14ac:dyDescent="0.35">
      <c r="A1419" s="75">
        <v>1418</v>
      </c>
      <c r="B1419" s="64">
        <v>2013</v>
      </c>
      <c r="C1419" s="64">
        <v>8</v>
      </c>
      <c r="D1419" s="80">
        <f t="shared" si="47"/>
        <v>2013</v>
      </c>
      <c r="E1419" t="s">
        <v>38</v>
      </c>
      <c r="F1419" t="s">
        <v>143</v>
      </c>
      <c r="G1419" t="s">
        <v>10</v>
      </c>
      <c r="H1419" s="72" t="s">
        <v>218</v>
      </c>
      <c r="I1419" s="72" t="s">
        <v>60</v>
      </c>
      <c r="J1419" t="str">
        <f t="shared" si="48"/>
        <v>Skagit River</v>
      </c>
      <c r="K1419" t="str">
        <f>IFERROR(VLOOKUP(J1419,LUTs!$A$1:$C$73,2,FALSE),"NA")</f>
        <v>Skagit/Whatcom</v>
      </c>
      <c r="L1419" t="str">
        <f>IFERROR(VLOOKUP(J1419,LUTs!$A$1:$C$73,3,FALSE),"NA")</f>
        <v>2Central Puget Sound</v>
      </c>
      <c r="M1419" s="72" t="s">
        <v>23</v>
      </c>
      <c r="N1419" t="str">
        <f>VLOOKUP(M1419,LUTs!E$2:H$14,3,)</f>
        <v>10Kitsap</v>
      </c>
      <c r="O1419" t="str">
        <f>VLOOKUP(M1419,LUTs!E$2:H$14,4,)</f>
        <v>02South Puget Sound</v>
      </c>
      <c r="P1419" s="73">
        <v>62.894375857338801</v>
      </c>
      <c r="Q1419" s="74">
        <f>VLOOKUP(B1419,Readme!A$40:C$51,2,)*P1419</f>
        <v>216.35665294924547</v>
      </c>
    </row>
    <row r="1420" spans="1:17" ht="12" customHeight="1" x14ac:dyDescent="0.35">
      <c r="A1420" s="75">
        <v>1419</v>
      </c>
      <c r="B1420" s="64">
        <v>2013</v>
      </c>
      <c r="C1420" s="64">
        <v>8</v>
      </c>
      <c r="D1420" s="80">
        <f t="shared" si="47"/>
        <v>2013</v>
      </c>
      <c r="E1420" t="s">
        <v>38</v>
      </c>
      <c r="F1420" t="s">
        <v>143</v>
      </c>
      <c r="G1420" t="s">
        <v>10</v>
      </c>
      <c r="H1420" s="72" t="s">
        <v>218</v>
      </c>
      <c r="I1420" s="72" t="s">
        <v>60</v>
      </c>
      <c r="J1420" t="str">
        <f t="shared" si="48"/>
        <v>Skagit River</v>
      </c>
      <c r="K1420" t="str">
        <f>IFERROR(VLOOKUP(J1420,LUTs!$A$1:$C$73,2,FALSE),"NA")</f>
        <v>Skagit/Whatcom</v>
      </c>
      <c r="L1420" t="str">
        <f>IFERROR(VLOOKUP(J1420,LUTs!$A$1:$C$73,3,FALSE),"NA")</f>
        <v>2Central Puget Sound</v>
      </c>
      <c r="M1420" s="72" t="s">
        <v>22</v>
      </c>
      <c r="N1420" t="str">
        <f>VLOOKUP(M1420,LUTs!E$2:H$14,3,)</f>
        <v>09Mason</v>
      </c>
      <c r="O1420" t="str">
        <f>VLOOKUP(M1420,LUTs!E$2:H$14,4,)</f>
        <v>02South Puget Sound</v>
      </c>
      <c r="P1420" s="73">
        <v>26.9547325102881</v>
      </c>
      <c r="Q1420" s="74">
        <f>VLOOKUP(B1420,Readme!A$40:C$51,2,)*P1420</f>
        <v>92.724279835391059</v>
      </c>
    </row>
    <row r="1421" spans="1:17" ht="12" customHeight="1" x14ac:dyDescent="0.35">
      <c r="A1421" s="75">
        <v>1420</v>
      </c>
      <c r="B1421" s="64">
        <v>2013</v>
      </c>
      <c r="C1421" s="64">
        <v>8</v>
      </c>
      <c r="D1421" s="80">
        <f t="shared" si="47"/>
        <v>2013</v>
      </c>
      <c r="E1421" t="s">
        <v>38</v>
      </c>
      <c r="F1421" t="s">
        <v>143</v>
      </c>
      <c r="G1421" t="s">
        <v>10</v>
      </c>
      <c r="H1421" s="72" t="s">
        <v>218</v>
      </c>
      <c r="I1421" s="72" t="s">
        <v>60</v>
      </c>
      <c r="J1421" t="str">
        <f t="shared" si="48"/>
        <v>Skagit River</v>
      </c>
      <c r="K1421" t="str">
        <f>IFERROR(VLOOKUP(J1421,LUTs!$A$1:$C$73,2,FALSE),"NA")</f>
        <v>Skagit/Whatcom</v>
      </c>
      <c r="L1421" t="str">
        <f>IFERROR(VLOOKUP(J1421,LUTs!$A$1:$C$73,3,FALSE),"NA")</f>
        <v>2Central Puget Sound</v>
      </c>
      <c r="M1421" s="72" t="s">
        <v>26</v>
      </c>
      <c r="N1421" t="str">
        <f>VLOOKUP(M1421,LUTs!E$2:H$14,3,)</f>
        <v>20Other</v>
      </c>
      <c r="O1421" t="str">
        <f>VLOOKUP(M1421,LUTs!E$2:H$14,4,)</f>
        <v>07Non Puget Sound</v>
      </c>
      <c r="P1421" s="73">
        <v>2668.5185185185201</v>
      </c>
      <c r="Q1421" s="74">
        <f>VLOOKUP(B1421,Readme!A$40:C$51,2,)*P1421</f>
        <v>9179.703703703708</v>
      </c>
    </row>
    <row r="1422" spans="1:17" ht="12" customHeight="1" x14ac:dyDescent="0.35">
      <c r="A1422" s="75">
        <v>1421</v>
      </c>
      <c r="B1422" s="64">
        <v>2013</v>
      </c>
      <c r="C1422" s="64">
        <v>8</v>
      </c>
      <c r="D1422" s="80">
        <f t="shared" si="47"/>
        <v>2013</v>
      </c>
      <c r="E1422" t="s">
        <v>38</v>
      </c>
      <c r="F1422" t="s">
        <v>143</v>
      </c>
      <c r="G1422" t="s">
        <v>10</v>
      </c>
      <c r="H1422" s="72" t="s">
        <v>218</v>
      </c>
      <c r="I1422" s="72" t="s">
        <v>60</v>
      </c>
      <c r="J1422" t="str">
        <f t="shared" si="48"/>
        <v>Skagit River</v>
      </c>
      <c r="K1422" t="str">
        <f>IFERROR(VLOOKUP(J1422,LUTs!$A$1:$C$73,2,FALSE),"NA")</f>
        <v>Skagit/Whatcom</v>
      </c>
      <c r="L1422" t="str">
        <f>IFERROR(VLOOKUP(J1422,LUTs!$A$1:$C$73,3,FALSE),"NA")</f>
        <v>2Central Puget Sound</v>
      </c>
      <c r="M1422" s="72" t="s">
        <v>20</v>
      </c>
      <c r="N1422" t="str">
        <f>VLOOKUP(M1422,LUTs!E$2:H$14,3,)</f>
        <v>07Pierce</v>
      </c>
      <c r="O1422" t="str">
        <f>VLOOKUP(M1422,LUTs!E$2:H$14,4,)</f>
        <v>02South Puget Sound</v>
      </c>
      <c r="P1422" s="73">
        <v>305.486968449931</v>
      </c>
      <c r="Q1422" s="74">
        <f>VLOOKUP(B1422,Readme!A$40:C$51,2,)*P1422</f>
        <v>1050.8751714677626</v>
      </c>
    </row>
    <row r="1423" spans="1:17" ht="12" customHeight="1" x14ac:dyDescent="0.35">
      <c r="A1423" s="75">
        <v>1422</v>
      </c>
      <c r="B1423" s="64">
        <v>2013</v>
      </c>
      <c r="C1423" s="64">
        <v>8</v>
      </c>
      <c r="D1423" s="80">
        <f t="shared" si="47"/>
        <v>2013</v>
      </c>
      <c r="E1423" t="s">
        <v>38</v>
      </c>
      <c r="F1423" t="s">
        <v>143</v>
      </c>
      <c r="G1423" t="s">
        <v>10</v>
      </c>
      <c r="H1423" s="72" t="s">
        <v>218</v>
      </c>
      <c r="I1423" s="72" t="s">
        <v>60</v>
      </c>
      <c r="J1423" t="str">
        <f t="shared" si="48"/>
        <v>Skagit River</v>
      </c>
      <c r="K1423" t="str">
        <f>IFERROR(VLOOKUP(J1423,LUTs!$A$1:$C$73,2,FALSE),"NA")</f>
        <v>Skagit/Whatcom</v>
      </c>
      <c r="L1423" t="str">
        <f>IFERROR(VLOOKUP(J1423,LUTs!$A$1:$C$73,3,FALSE),"NA")</f>
        <v>2Central Puget Sound</v>
      </c>
      <c r="M1423" s="72" t="s">
        <v>30</v>
      </c>
      <c r="N1423" t="str">
        <f>VLOOKUP(M1423,LUTs!E$2:H$14,3,)</f>
        <v>05San Juan</v>
      </c>
      <c r="O1423" t="str">
        <f>VLOOKUP(M1423,LUTs!E$2:H$14,4,)</f>
        <v>01North Puget Sound</v>
      </c>
      <c r="P1423" s="73">
        <v>8.9849108367626904</v>
      </c>
      <c r="Q1423" s="74">
        <f>VLOOKUP(B1423,Readme!A$40:C$51,2,)*P1423</f>
        <v>30.908093278463653</v>
      </c>
    </row>
    <row r="1424" spans="1:17" ht="12" customHeight="1" x14ac:dyDescent="0.35">
      <c r="A1424" s="75">
        <v>1423</v>
      </c>
      <c r="B1424" s="64">
        <v>2013</v>
      </c>
      <c r="C1424" s="64">
        <v>8</v>
      </c>
      <c r="D1424" s="80">
        <f t="shared" si="47"/>
        <v>2013</v>
      </c>
      <c r="E1424" t="s">
        <v>38</v>
      </c>
      <c r="F1424" t="s">
        <v>143</v>
      </c>
      <c r="G1424" t="s">
        <v>10</v>
      </c>
      <c r="H1424" s="72" t="s">
        <v>218</v>
      </c>
      <c r="I1424" s="72" t="s">
        <v>60</v>
      </c>
      <c r="J1424" t="str">
        <f t="shared" si="48"/>
        <v>Skagit River</v>
      </c>
      <c r="K1424" t="str">
        <f>IFERROR(VLOOKUP(J1424,LUTs!$A$1:$C$73,2,FALSE),"NA")</f>
        <v>Skagit/Whatcom</v>
      </c>
      <c r="L1424" t="str">
        <f>IFERROR(VLOOKUP(J1424,LUTs!$A$1:$C$73,3,FALSE),"NA")</f>
        <v>2Central Puget Sound</v>
      </c>
      <c r="M1424" s="72" t="s">
        <v>15</v>
      </c>
      <c r="N1424" t="str">
        <f>VLOOKUP(M1424,LUTs!E$2:H$14,3,)</f>
        <v>02Skagit</v>
      </c>
      <c r="O1424" t="str">
        <f>VLOOKUP(M1424,LUTs!E$2:H$14,4,)</f>
        <v>01North Puget Sound</v>
      </c>
      <c r="P1424" s="73">
        <v>19614.060356653001</v>
      </c>
      <c r="Q1424" s="74">
        <f>VLOOKUP(B1424,Readme!A$40:C$51,2,)*P1424</f>
        <v>67472.36762688632</v>
      </c>
    </row>
    <row r="1425" spans="1:17" ht="12" customHeight="1" x14ac:dyDescent="0.35">
      <c r="A1425" s="75">
        <v>1424</v>
      </c>
      <c r="B1425" s="64">
        <v>2013</v>
      </c>
      <c r="C1425" s="64">
        <v>8</v>
      </c>
      <c r="D1425" s="80">
        <f t="shared" si="47"/>
        <v>2013</v>
      </c>
      <c r="E1425" t="s">
        <v>38</v>
      </c>
      <c r="F1425" t="s">
        <v>143</v>
      </c>
      <c r="G1425" t="s">
        <v>10</v>
      </c>
      <c r="H1425" s="72" t="s">
        <v>218</v>
      </c>
      <c r="I1425" s="72" t="s">
        <v>60</v>
      </c>
      <c r="J1425" t="str">
        <f t="shared" si="48"/>
        <v>Skagit River</v>
      </c>
      <c r="K1425" t="str">
        <f>IFERROR(VLOOKUP(J1425,LUTs!$A$1:$C$73,2,FALSE),"NA")</f>
        <v>Skagit/Whatcom</v>
      </c>
      <c r="L1425" t="str">
        <f>IFERROR(VLOOKUP(J1425,LUTs!$A$1:$C$73,3,FALSE),"NA")</f>
        <v>2Central Puget Sound</v>
      </c>
      <c r="M1425" s="72" t="s">
        <v>16</v>
      </c>
      <c r="N1425" t="str">
        <f>VLOOKUP(M1425,LUTs!E$2:H$14,3,)</f>
        <v>03Snohomish</v>
      </c>
      <c r="O1425" t="str">
        <f>VLOOKUP(M1425,LUTs!E$2:H$14,4,)</f>
        <v>01North Puget Sound</v>
      </c>
      <c r="P1425" s="73">
        <v>7277.7777777777801</v>
      </c>
      <c r="Q1425" s="74">
        <f>VLOOKUP(B1425,Readme!A$40:C$51,2,)*P1425</f>
        <v>25035.555555555562</v>
      </c>
    </row>
    <row r="1426" spans="1:17" ht="12" customHeight="1" x14ac:dyDescent="0.35">
      <c r="A1426" s="75">
        <v>1425</v>
      </c>
      <c r="B1426" s="64">
        <v>2013</v>
      </c>
      <c r="C1426" s="64">
        <v>8</v>
      </c>
      <c r="D1426" s="80">
        <f t="shared" si="47"/>
        <v>2013</v>
      </c>
      <c r="E1426" t="s">
        <v>38</v>
      </c>
      <c r="F1426" t="s">
        <v>143</v>
      </c>
      <c r="G1426" t="s">
        <v>10</v>
      </c>
      <c r="H1426" s="72" t="s">
        <v>218</v>
      </c>
      <c r="I1426" s="72" t="s">
        <v>60</v>
      </c>
      <c r="J1426" t="str">
        <f t="shared" si="48"/>
        <v>Skagit River</v>
      </c>
      <c r="K1426" t="str">
        <f>IFERROR(VLOOKUP(J1426,LUTs!$A$1:$C$73,2,FALSE),"NA")</f>
        <v>Skagit/Whatcom</v>
      </c>
      <c r="L1426" t="str">
        <f>IFERROR(VLOOKUP(J1426,LUTs!$A$1:$C$73,3,FALSE),"NA")</f>
        <v>2Central Puget Sound</v>
      </c>
      <c r="M1426" s="72" t="s">
        <v>21</v>
      </c>
      <c r="N1426" t="str">
        <f>VLOOKUP(M1426,LUTs!E$2:H$14,3,)</f>
        <v>08Thurston</v>
      </c>
      <c r="O1426" t="str">
        <f>VLOOKUP(M1426,LUTs!E$2:H$14,4,)</f>
        <v>02South Puget Sound</v>
      </c>
      <c r="P1426" s="73">
        <v>62.894375857338801</v>
      </c>
      <c r="Q1426" s="74">
        <f>VLOOKUP(B1426,Readme!A$40:C$51,2,)*P1426</f>
        <v>216.35665294924547</v>
      </c>
    </row>
    <row r="1427" spans="1:17" ht="12" customHeight="1" x14ac:dyDescent="0.35">
      <c r="A1427" s="75">
        <v>1426</v>
      </c>
      <c r="B1427" s="64">
        <v>2013</v>
      </c>
      <c r="C1427" s="64">
        <v>8</v>
      </c>
      <c r="D1427" s="80">
        <f t="shared" si="47"/>
        <v>2013</v>
      </c>
      <c r="E1427" t="s">
        <v>38</v>
      </c>
      <c r="F1427" t="s">
        <v>143</v>
      </c>
      <c r="G1427" t="s">
        <v>10</v>
      </c>
      <c r="H1427" s="72" t="s">
        <v>218</v>
      </c>
      <c r="I1427" s="72" t="s">
        <v>60</v>
      </c>
      <c r="J1427" t="str">
        <f t="shared" si="48"/>
        <v>Skagit River</v>
      </c>
      <c r="K1427" t="str">
        <f>IFERROR(VLOOKUP(J1427,LUTs!$A$1:$C$73,2,FALSE),"NA")</f>
        <v>Skagit/Whatcom</v>
      </c>
      <c r="L1427" t="str">
        <f>IFERROR(VLOOKUP(J1427,LUTs!$A$1:$C$73,3,FALSE),"NA")</f>
        <v>2Central Puget Sound</v>
      </c>
      <c r="M1427" s="72" t="s">
        <v>13</v>
      </c>
      <c r="N1427" t="str">
        <f>VLOOKUP(M1427,LUTs!E$2:H$14,3,)</f>
        <v>01Whatcom</v>
      </c>
      <c r="O1427" t="str">
        <f>VLOOKUP(M1427,LUTs!E$2:H$14,4,)</f>
        <v>01North Puget Sound</v>
      </c>
      <c r="P1427" s="73">
        <v>6208.5733882030199</v>
      </c>
      <c r="Q1427" s="74">
        <f>VLOOKUP(B1427,Readme!A$40:C$51,2,)*P1427</f>
        <v>21357.492455418389</v>
      </c>
    </row>
    <row r="1428" spans="1:17" ht="12" customHeight="1" x14ac:dyDescent="0.35">
      <c r="A1428" s="75">
        <v>1427</v>
      </c>
      <c r="B1428" s="64">
        <v>2013</v>
      </c>
      <c r="C1428" s="64">
        <v>9</v>
      </c>
      <c r="D1428" s="80">
        <f t="shared" si="47"/>
        <v>2013</v>
      </c>
      <c r="E1428" t="s">
        <v>38</v>
      </c>
      <c r="F1428" t="s">
        <v>143</v>
      </c>
      <c r="G1428" t="s">
        <v>10</v>
      </c>
      <c r="H1428" s="72" t="s">
        <v>218</v>
      </c>
      <c r="I1428" s="72" t="s">
        <v>60</v>
      </c>
      <c r="J1428" t="str">
        <f t="shared" si="48"/>
        <v>Skagit River</v>
      </c>
      <c r="K1428" t="str">
        <f>IFERROR(VLOOKUP(J1428,LUTs!$A$1:$C$73,2,FALSE),"NA")</f>
        <v>Skagit/Whatcom</v>
      </c>
      <c r="L1428" t="str">
        <f>IFERROR(VLOOKUP(J1428,LUTs!$A$1:$C$73,3,FALSE),"NA")</f>
        <v>2Central Puget Sound</v>
      </c>
      <c r="M1428" s="72" t="s">
        <v>24</v>
      </c>
      <c r="N1428" t="str">
        <f>VLOOKUP(M1428,LUTs!E$2:H$14,3,)</f>
        <v>11Clallam</v>
      </c>
      <c r="O1428" t="str">
        <f>VLOOKUP(M1428,LUTs!E$2:H$14,4,)</f>
        <v>03Strait of Juan de Fuca</v>
      </c>
      <c r="P1428" s="73">
        <v>89.850526831658897</v>
      </c>
      <c r="Q1428" s="74">
        <f>VLOOKUP(B1428,Readme!A$40:C$51,2,)*P1428</f>
        <v>309.08581230090658</v>
      </c>
    </row>
    <row r="1429" spans="1:17" ht="12" customHeight="1" x14ac:dyDescent="0.35">
      <c r="A1429" s="75">
        <v>1428</v>
      </c>
      <c r="B1429" s="64">
        <v>2013</v>
      </c>
      <c r="C1429" s="64">
        <v>9</v>
      </c>
      <c r="D1429" s="80">
        <f t="shared" si="47"/>
        <v>2013</v>
      </c>
      <c r="E1429" t="s">
        <v>38</v>
      </c>
      <c r="F1429" t="s">
        <v>143</v>
      </c>
      <c r="G1429" t="s">
        <v>10</v>
      </c>
      <c r="H1429" s="72" t="s">
        <v>218</v>
      </c>
      <c r="I1429" s="72" t="s">
        <v>60</v>
      </c>
      <c r="J1429" t="str">
        <f t="shared" si="48"/>
        <v>Skagit River</v>
      </c>
      <c r="K1429" t="str">
        <f>IFERROR(VLOOKUP(J1429,LUTs!$A$1:$C$73,2,FALSE),"NA")</f>
        <v>Skagit/Whatcom</v>
      </c>
      <c r="L1429" t="str">
        <f>IFERROR(VLOOKUP(J1429,LUTs!$A$1:$C$73,3,FALSE),"NA")</f>
        <v>2Central Puget Sound</v>
      </c>
      <c r="M1429" s="72" t="s">
        <v>17</v>
      </c>
      <c r="N1429" t="str">
        <f>VLOOKUP(M1429,LUTs!E$2:H$14,3,)</f>
        <v>04Island</v>
      </c>
      <c r="O1429" t="str">
        <f>VLOOKUP(M1429,LUTs!E$2:H$14,4,)</f>
        <v>01North Puget Sound</v>
      </c>
      <c r="P1429" s="73">
        <v>2165.39769664298</v>
      </c>
      <c r="Q1429" s="74">
        <f>VLOOKUP(B1429,Readme!A$40:C$51,2,)*P1429</f>
        <v>7448.9680764518507</v>
      </c>
    </row>
    <row r="1430" spans="1:17" ht="12" customHeight="1" x14ac:dyDescent="0.35">
      <c r="A1430" s="75">
        <v>1429</v>
      </c>
      <c r="B1430" s="64">
        <v>2013</v>
      </c>
      <c r="C1430" s="64">
        <v>9</v>
      </c>
      <c r="D1430" s="80">
        <f t="shared" si="47"/>
        <v>2013</v>
      </c>
      <c r="E1430" t="s">
        <v>38</v>
      </c>
      <c r="F1430" t="s">
        <v>143</v>
      </c>
      <c r="G1430" t="s">
        <v>10</v>
      </c>
      <c r="H1430" s="72" t="s">
        <v>218</v>
      </c>
      <c r="I1430" s="72" t="s">
        <v>60</v>
      </c>
      <c r="J1430" t="str">
        <f t="shared" si="48"/>
        <v>Skagit River</v>
      </c>
      <c r="K1430" t="str">
        <f>IFERROR(VLOOKUP(J1430,LUTs!$A$1:$C$73,2,FALSE),"NA")</f>
        <v>Skagit/Whatcom</v>
      </c>
      <c r="L1430" t="str">
        <f>IFERROR(VLOOKUP(J1430,LUTs!$A$1:$C$73,3,FALSE),"NA")</f>
        <v>2Central Puget Sound</v>
      </c>
      <c r="M1430" s="72" t="s">
        <v>18</v>
      </c>
      <c r="N1430" t="str">
        <f>VLOOKUP(M1430,LUTs!E$2:H$14,3,)</f>
        <v>06King</v>
      </c>
      <c r="O1430" t="str">
        <f>VLOOKUP(M1430,LUTs!E$2:H$14,4,)</f>
        <v>02South Puget Sound</v>
      </c>
      <c r="P1430" s="73">
        <v>1428.62337662338</v>
      </c>
      <c r="Q1430" s="74">
        <f>VLOOKUP(B1430,Readme!A$40:C$51,2,)*P1430</f>
        <v>4914.4644155844271</v>
      </c>
    </row>
    <row r="1431" spans="1:17" ht="12" customHeight="1" x14ac:dyDescent="0.35">
      <c r="A1431" s="75">
        <v>1430</v>
      </c>
      <c r="B1431" s="64">
        <v>2013</v>
      </c>
      <c r="C1431" s="64">
        <v>9</v>
      </c>
      <c r="D1431" s="80">
        <f t="shared" si="47"/>
        <v>2013</v>
      </c>
      <c r="E1431" t="s">
        <v>38</v>
      </c>
      <c r="F1431" t="s">
        <v>143</v>
      </c>
      <c r="G1431" t="s">
        <v>10</v>
      </c>
      <c r="H1431" s="72" t="s">
        <v>218</v>
      </c>
      <c r="I1431" s="72" t="s">
        <v>60</v>
      </c>
      <c r="J1431" t="str">
        <f t="shared" si="48"/>
        <v>Skagit River</v>
      </c>
      <c r="K1431" t="str">
        <f>IFERROR(VLOOKUP(J1431,LUTs!$A$1:$C$73,2,FALSE),"NA")</f>
        <v>Skagit/Whatcom</v>
      </c>
      <c r="L1431" t="str">
        <f>IFERROR(VLOOKUP(J1431,LUTs!$A$1:$C$73,3,FALSE),"NA")</f>
        <v>2Central Puget Sound</v>
      </c>
      <c r="M1431" s="72" t="s">
        <v>23</v>
      </c>
      <c r="N1431" t="str">
        <f>VLOOKUP(M1431,LUTs!E$2:H$14,3,)</f>
        <v>10Kitsap</v>
      </c>
      <c r="O1431" t="str">
        <f>VLOOKUP(M1431,LUTs!E$2:H$14,4,)</f>
        <v>02South Puget Sound</v>
      </c>
      <c r="P1431" s="73">
        <v>8.9850526831658897</v>
      </c>
      <c r="Q1431" s="74">
        <f>VLOOKUP(B1431,Readme!A$40:C$51,2,)*P1431</f>
        <v>30.908581230090661</v>
      </c>
    </row>
    <row r="1432" spans="1:17" ht="12" customHeight="1" x14ac:dyDescent="0.35">
      <c r="A1432" s="75">
        <v>1431</v>
      </c>
      <c r="B1432" s="64">
        <v>2013</v>
      </c>
      <c r="C1432" s="64">
        <v>9</v>
      </c>
      <c r="D1432" s="80">
        <f t="shared" si="47"/>
        <v>2013</v>
      </c>
      <c r="E1432" t="s">
        <v>38</v>
      </c>
      <c r="F1432" t="s">
        <v>143</v>
      </c>
      <c r="G1432" t="s">
        <v>10</v>
      </c>
      <c r="H1432" s="72" t="s">
        <v>218</v>
      </c>
      <c r="I1432" s="72" t="s">
        <v>60</v>
      </c>
      <c r="J1432" t="str">
        <f t="shared" si="48"/>
        <v>Skagit River</v>
      </c>
      <c r="K1432" t="str">
        <f>IFERROR(VLOOKUP(J1432,LUTs!$A$1:$C$73,2,FALSE),"NA")</f>
        <v>Skagit/Whatcom</v>
      </c>
      <c r="L1432" t="str">
        <f>IFERROR(VLOOKUP(J1432,LUTs!$A$1:$C$73,3,FALSE),"NA")</f>
        <v>2Central Puget Sound</v>
      </c>
      <c r="M1432" s="72" t="s">
        <v>22</v>
      </c>
      <c r="N1432" t="str">
        <f>VLOOKUP(M1432,LUTs!E$2:H$14,3,)</f>
        <v>09Mason</v>
      </c>
      <c r="O1432" t="str">
        <f>VLOOKUP(M1432,LUTs!E$2:H$14,4,)</f>
        <v>02South Puget Sound</v>
      </c>
      <c r="P1432" s="73">
        <v>233.61136976231299</v>
      </c>
      <c r="Q1432" s="74">
        <f>VLOOKUP(B1432,Readme!A$40:C$51,2,)*P1432</f>
        <v>803.6231119823567</v>
      </c>
    </row>
    <row r="1433" spans="1:17" ht="12" customHeight="1" x14ac:dyDescent="0.35">
      <c r="A1433" s="75">
        <v>1432</v>
      </c>
      <c r="B1433" s="64">
        <v>2013</v>
      </c>
      <c r="C1433" s="64">
        <v>9</v>
      </c>
      <c r="D1433" s="80">
        <f t="shared" si="47"/>
        <v>2013</v>
      </c>
      <c r="E1433" t="s">
        <v>38</v>
      </c>
      <c r="F1433" t="s">
        <v>143</v>
      </c>
      <c r="G1433" t="s">
        <v>10</v>
      </c>
      <c r="H1433" s="72" t="s">
        <v>218</v>
      </c>
      <c r="I1433" s="72" t="s">
        <v>60</v>
      </c>
      <c r="J1433" t="str">
        <f t="shared" si="48"/>
        <v>Skagit River</v>
      </c>
      <c r="K1433" t="str">
        <f>IFERROR(VLOOKUP(J1433,LUTs!$A$1:$C$73,2,FALSE),"NA")</f>
        <v>Skagit/Whatcom</v>
      </c>
      <c r="L1433" t="str">
        <f>IFERROR(VLOOKUP(J1433,LUTs!$A$1:$C$73,3,FALSE),"NA")</f>
        <v>2Central Puget Sound</v>
      </c>
      <c r="M1433" s="72" t="s">
        <v>26</v>
      </c>
      <c r="N1433" t="str">
        <f>VLOOKUP(M1433,LUTs!E$2:H$14,3,)</f>
        <v>20Other</v>
      </c>
      <c r="O1433" t="str">
        <f>VLOOKUP(M1433,LUTs!E$2:H$14,4,)</f>
        <v>07Non Puget Sound</v>
      </c>
      <c r="P1433" s="73">
        <v>3495.18549375153</v>
      </c>
      <c r="Q1433" s="74">
        <f>VLOOKUP(B1433,Readme!A$40:C$51,2,)*P1433</f>
        <v>12023.438098505263</v>
      </c>
    </row>
    <row r="1434" spans="1:17" ht="12" customHeight="1" x14ac:dyDescent="0.35">
      <c r="A1434" s="75">
        <v>1433</v>
      </c>
      <c r="B1434" s="64">
        <v>2013</v>
      </c>
      <c r="C1434" s="64">
        <v>9</v>
      </c>
      <c r="D1434" s="80">
        <f t="shared" si="47"/>
        <v>2013</v>
      </c>
      <c r="E1434" t="s">
        <v>38</v>
      </c>
      <c r="F1434" t="s">
        <v>143</v>
      </c>
      <c r="G1434" t="s">
        <v>10</v>
      </c>
      <c r="H1434" s="72" t="s">
        <v>218</v>
      </c>
      <c r="I1434" s="72" t="s">
        <v>60</v>
      </c>
      <c r="J1434" t="str">
        <f t="shared" si="48"/>
        <v>Skagit River</v>
      </c>
      <c r="K1434" t="str">
        <f>IFERROR(VLOOKUP(J1434,LUTs!$A$1:$C$73,2,FALSE),"NA")</f>
        <v>Skagit/Whatcom</v>
      </c>
      <c r="L1434" t="str">
        <f>IFERROR(VLOOKUP(J1434,LUTs!$A$1:$C$73,3,FALSE),"NA")</f>
        <v>2Central Puget Sound</v>
      </c>
      <c r="M1434" s="72" t="s">
        <v>20</v>
      </c>
      <c r="N1434" t="str">
        <f>VLOOKUP(M1434,LUTs!E$2:H$14,3,)</f>
        <v>07Pierce</v>
      </c>
      <c r="O1434" t="str">
        <f>VLOOKUP(M1434,LUTs!E$2:H$14,4,)</f>
        <v>02South Puget Sound</v>
      </c>
      <c r="P1434" s="73">
        <v>278.53663317814301</v>
      </c>
      <c r="Q1434" s="74">
        <f>VLOOKUP(B1434,Readme!A$40:C$51,2,)*P1434</f>
        <v>958.16601813281193</v>
      </c>
    </row>
    <row r="1435" spans="1:17" ht="12" customHeight="1" x14ac:dyDescent="0.35">
      <c r="A1435" s="75">
        <v>1434</v>
      </c>
      <c r="B1435" s="64">
        <v>2013</v>
      </c>
      <c r="C1435" s="64">
        <v>9</v>
      </c>
      <c r="D1435" s="80">
        <f t="shared" si="47"/>
        <v>2013</v>
      </c>
      <c r="E1435" t="s">
        <v>38</v>
      </c>
      <c r="F1435" t="s">
        <v>143</v>
      </c>
      <c r="G1435" t="s">
        <v>10</v>
      </c>
      <c r="H1435" s="72" t="s">
        <v>218</v>
      </c>
      <c r="I1435" s="72" t="s">
        <v>60</v>
      </c>
      <c r="J1435" t="str">
        <f t="shared" si="48"/>
        <v>Skagit River</v>
      </c>
      <c r="K1435" t="str">
        <f>IFERROR(VLOOKUP(J1435,LUTs!$A$1:$C$73,2,FALSE),"NA")</f>
        <v>Skagit/Whatcom</v>
      </c>
      <c r="L1435" t="str">
        <f>IFERROR(VLOOKUP(J1435,LUTs!$A$1:$C$73,3,FALSE),"NA")</f>
        <v>2Central Puget Sound</v>
      </c>
      <c r="M1435" s="72" t="s">
        <v>15</v>
      </c>
      <c r="N1435" t="str">
        <f>VLOOKUP(M1435,LUTs!E$2:H$14,3,)</f>
        <v>02Skagit</v>
      </c>
      <c r="O1435" t="str">
        <f>VLOOKUP(M1435,LUTs!E$2:H$14,4,)</f>
        <v>01North Puget Sound</v>
      </c>
      <c r="P1435" s="73">
        <v>16990.734623866701</v>
      </c>
      <c r="Q1435" s="74">
        <f>VLOOKUP(B1435,Readme!A$40:C$51,2,)*P1435</f>
        <v>58448.127106101449</v>
      </c>
    </row>
    <row r="1436" spans="1:17" ht="12" customHeight="1" x14ac:dyDescent="0.35">
      <c r="A1436" s="75">
        <v>1435</v>
      </c>
      <c r="B1436" s="64">
        <v>2013</v>
      </c>
      <c r="C1436" s="64">
        <v>9</v>
      </c>
      <c r="D1436" s="80">
        <f t="shared" si="47"/>
        <v>2013</v>
      </c>
      <c r="E1436" t="s">
        <v>38</v>
      </c>
      <c r="F1436" t="s">
        <v>143</v>
      </c>
      <c r="G1436" t="s">
        <v>10</v>
      </c>
      <c r="H1436" s="72" t="s">
        <v>218</v>
      </c>
      <c r="I1436" s="72" t="s">
        <v>60</v>
      </c>
      <c r="J1436" t="str">
        <f t="shared" si="48"/>
        <v>Skagit River</v>
      </c>
      <c r="K1436" t="str">
        <f>IFERROR(VLOOKUP(J1436,LUTs!$A$1:$C$73,2,FALSE),"NA")</f>
        <v>Skagit/Whatcom</v>
      </c>
      <c r="L1436" t="str">
        <f>IFERROR(VLOOKUP(J1436,LUTs!$A$1:$C$73,3,FALSE),"NA")</f>
        <v>2Central Puget Sound</v>
      </c>
      <c r="M1436" s="72" t="s">
        <v>16</v>
      </c>
      <c r="N1436" t="str">
        <f>VLOOKUP(M1436,LUTs!E$2:H$14,3,)</f>
        <v>03Snohomish</v>
      </c>
      <c r="O1436" t="str">
        <f>VLOOKUP(M1436,LUTs!E$2:H$14,4,)</f>
        <v>01North Puget Sound</v>
      </c>
      <c r="P1436" s="73">
        <v>5337.1212938005401</v>
      </c>
      <c r="Q1436" s="74">
        <f>VLOOKUP(B1436,Readme!A$40:C$51,2,)*P1436</f>
        <v>18359.697250673857</v>
      </c>
    </row>
    <row r="1437" spans="1:17" ht="12" customHeight="1" x14ac:dyDescent="0.35">
      <c r="A1437" s="75">
        <v>1436</v>
      </c>
      <c r="B1437" s="64">
        <v>2013</v>
      </c>
      <c r="C1437" s="64">
        <v>9</v>
      </c>
      <c r="D1437" s="80">
        <f t="shared" si="47"/>
        <v>2013</v>
      </c>
      <c r="E1437" t="s">
        <v>38</v>
      </c>
      <c r="F1437" t="s">
        <v>143</v>
      </c>
      <c r="G1437" t="s">
        <v>10</v>
      </c>
      <c r="H1437" s="72" t="s">
        <v>218</v>
      </c>
      <c r="I1437" s="72" t="s">
        <v>60</v>
      </c>
      <c r="J1437" t="str">
        <f t="shared" si="48"/>
        <v>Skagit River</v>
      </c>
      <c r="K1437" t="str">
        <f>IFERROR(VLOOKUP(J1437,LUTs!$A$1:$C$73,2,FALSE),"NA")</f>
        <v>Skagit/Whatcom</v>
      </c>
      <c r="L1437" t="str">
        <f>IFERROR(VLOOKUP(J1437,LUTs!$A$1:$C$73,3,FALSE),"NA")</f>
        <v>2Central Puget Sound</v>
      </c>
      <c r="M1437" s="72" t="s">
        <v>21</v>
      </c>
      <c r="N1437" t="str">
        <f>VLOOKUP(M1437,LUTs!E$2:H$14,3,)</f>
        <v>08Thurston</v>
      </c>
      <c r="O1437" t="str">
        <f>VLOOKUP(M1437,LUTs!E$2:H$14,4,)</f>
        <v>02South Puget Sound</v>
      </c>
      <c r="P1437" s="73">
        <v>53.910316098995402</v>
      </c>
      <c r="Q1437" s="74">
        <f>VLOOKUP(B1437,Readme!A$40:C$51,2,)*P1437</f>
        <v>185.45148738054419</v>
      </c>
    </row>
    <row r="1438" spans="1:17" ht="12" customHeight="1" x14ac:dyDescent="0.35">
      <c r="A1438" s="75">
        <v>1437</v>
      </c>
      <c r="B1438" s="64">
        <v>2013</v>
      </c>
      <c r="C1438" s="64">
        <v>9</v>
      </c>
      <c r="D1438" s="80">
        <f t="shared" si="47"/>
        <v>2013</v>
      </c>
      <c r="E1438" t="s">
        <v>38</v>
      </c>
      <c r="F1438" t="s">
        <v>143</v>
      </c>
      <c r="G1438" t="s">
        <v>10</v>
      </c>
      <c r="H1438" s="72" t="s">
        <v>218</v>
      </c>
      <c r="I1438" s="72" t="s">
        <v>60</v>
      </c>
      <c r="J1438" t="str">
        <f t="shared" si="48"/>
        <v>Skagit River</v>
      </c>
      <c r="K1438" t="str">
        <f>IFERROR(VLOOKUP(J1438,LUTs!$A$1:$C$73,2,FALSE),"NA")</f>
        <v>Skagit/Whatcom</v>
      </c>
      <c r="L1438" t="str">
        <f>IFERROR(VLOOKUP(J1438,LUTs!$A$1:$C$73,3,FALSE),"NA")</f>
        <v>2Central Puget Sound</v>
      </c>
      <c r="M1438" s="72" t="s">
        <v>13</v>
      </c>
      <c r="N1438" t="str">
        <f>VLOOKUP(M1438,LUTs!E$2:H$14,3,)</f>
        <v>01Whatcom</v>
      </c>
      <c r="O1438" t="str">
        <f>VLOOKUP(M1438,LUTs!E$2:H$14,4,)</f>
        <v>01North Puget Sound</v>
      </c>
      <c r="P1438" s="73">
        <v>6586.0436167606003</v>
      </c>
      <c r="Q1438" s="74">
        <f>VLOOKUP(B1438,Readme!A$40:C$51,2,)*P1438</f>
        <v>22655.990041656463</v>
      </c>
    </row>
    <row r="1439" spans="1:17" ht="12" customHeight="1" x14ac:dyDescent="0.35">
      <c r="A1439" s="75">
        <v>1438</v>
      </c>
      <c r="B1439" s="64">
        <v>2013</v>
      </c>
      <c r="C1439" s="64">
        <v>10</v>
      </c>
      <c r="D1439" s="80">
        <f t="shared" si="47"/>
        <v>2013</v>
      </c>
      <c r="E1439" t="s">
        <v>38</v>
      </c>
      <c r="F1439" t="s">
        <v>143</v>
      </c>
      <c r="G1439" t="s">
        <v>10</v>
      </c>
      <c r="H1439" s="72" t="s">
        <v>218</v>
      </c>
      <c r="I1439" s="72" t="s">
        <v>60</v>
      </c>
      <c r="J1439" t="str">
        <f t="shared" si="48"/>
        <v>Skagit River</v>
      </c>
      <c r="K1439" t="str">
        <f>IFERROR(VLOOKUP(J1439,LUTs!$A$1:$C$73,2,FALSE),"NA")</f>
        <v>Skagit/Whatcom</v>
      </c>
      <c r="L1439" t="str">
        <f>IFERROR(VLOOKUP(J1439,LUTs!$A$1:$C$73,3,FALSE),"NA")</f>
        <v>2Central Puget Sound</v>
      </c>
      <c r="M1439" s="72" t="s">
        <v>17</v>
      </c>
      <c r="N1439" t="str">
        <f>VLOOKUP(M1439,LUTs!E$2:H$14,3,)</f>
        <v>04Island</v>
      </c>
      <c r="O1439" t="str">
        <f>VLOOKUP(M1439,LUTs!E$2:H$14,4,)</f>
        <v>01North Puget Sound</v>
      </c>
      <c r="P1439" s="73">
        <v>314.41796008869198</v>
      </c>
      <c r="Q1439" s="74">
        <f>VLOOKUP(B1439,Readme!A$40:C$51,2,)*P1439</f>
        <v>1081.5977827051004</v>
      </c>
    </row>
    <row r="1440" spans="1:17" ht="12" customHeight="1" x14ac:dyDescent="0.35">
      <c r="A1440" s="75">
        <v>1439</v>
      </c>
      <c r="B1440" s="64">
        <v>2013</v>
      </c>
      <c r="C1440" s="64">
        <v>10</v>
      </c>
      <c r="D1440" s="80">
        <f t="shared" si="47"/>
        <v>2013</v>
      </c>
      <c r="E1440" t="s">
        <v>38</v>
      </c>
      <c r="F1440" t="s">
        <v>143</v>
      </c>
      <c r="G1440" t="s">
        <v>10</v>
      </c>
      <c r="H1440" s="72" t="s">
        <v>218</v>
      </c>
      <c r="I1440" s="72" t="s">
        <v>60</v>
      </c>
      <c r="J1440" t="str">
        <f t="shared" si="48"/>
        <v>Skagit River</v>
      </c>
      <c r="K1440" t="str">
        <f>IFERROR(VLOOKUP(J1440,LUTs!$A$1:$C$73,2,FALSE),"NA")</f>
        <v>Skagit/Whatcom</v>
      </c>
      <c r="L1440" t="str">
        <f>IFERROR(VLOOKUP(J1440,LUTs!$A$1:$C$73,3,FALSE),"NA")</f>
        <v>2Central Puget Sound</v>
      </c>
      <c r="M1440" s="72" t="s">
        <v>18</v>
      </c>
      <c r="N1440" t="str">
        <f>VLOOKUP(M1440,LUTs!E$2:H$14,3,)</f>
        <v>06King</v>
      </c>
      <c r="O1440" t="str">
        <f>VLOOKUP(M1440,LUTs!E$2:H$14,4,)</f>
        <v>02South Puget Sound</v>
      </c>
      <c r="P1440" s="73">
        <v>296.451219512195</v>
      </c>
      <c r="Q1440" s="74">
        <f>VLOOKUP(B1440,Readme!A$40:C$51,2,)*P1440</f>
        <v>1019.7921951219507</v>
      </c>
    </row>
    <row r="1441" spans="1:17" ht="12" customHeight="1" x14ac:dyDescent="0.35">
      <c r="A1441" s="75">
        <v>1440</v>
      </c>
      <c r="B1441" s="64">
        <v>2013</v>
      </c>
      <c r="C1441" s="64">
        <v>10</v>
      </c>
      <c r="D1441" s="80">
        <f t="shared" si="47"/>
        <v>2013</v>
      </c>
      <c r="E1441" t="s">
        <v>38</v>
      </c>
      <c r="F1441" t="s">
        <v>143</v>
      </c>
      <c r="G1441" t="s">
        <v>10</v>
      </c>
      <c r="H1441" s="72" t="s">
        <v>218</v>
      </c>
      <c r="I1441" s="72" t="s">
        <v>60</v>
      </c>
      <c r="J1441" t="str">
        <f t="shared" si="48"/>
        <v>Skagit River</v>
      </c>
      <c r="K1441" t="str">
        <f>IFERROR(VLOOKUP(J1441,LUTs!$A$1:$C$73,2,FALSE),"NA")</f>
        <v>Skagit/Whatcom</v>
      </c>
      <c r="L1441" t="str">
        <f>IFERROR(VLOOKUP(J1441,LUTs!$A$1:$C$73,3,FALSE),"NA")</f>
        <v>2Central Puget Sound</v>
      </c>
      <c r="M1441" s="72" t="s">
        <v>22</v>
      </c>
      <c r="N1441" t="str">
        <f>VLOOKUP(M1441,LUTs!E$2:H$14,3,)</f>
        <v>09Mason</v>
      </c>
      <c r="O1441" t="str">
        <f>VLOOKUP(M1441,LUTs!E$2:H$14,4,)</f>
        <v>02South Puget Sound</v>
      </c>
      <c r="P1441" s="73">
        <v>53.900221729489999</v>
      </c>
      <c r="Q1441" s="74">
        <f>VLOOKUP(B1441,Readme!A$40:C$51,2,)*P1441</f>
        <v>185.41676274944558</v>
      </c>
    </row>
    <row r="1442" spans="1:17" ht="12" customHeight="1" x14ac:dyDescent="0.35">
      <c r="A1442" s="75">
        <v>1441</v>
      </c>
      <c r="B1442" s="64">
        <v>2013</v>
      </c>
      <c r="C1442" s="64">
        <v>10</v>
      </c>
      <c r="D1442" s="80">
        <f t="shared" si="47"/>
        <v>2013</v>
      </c>
      <c r="E1442" t="s">
        <v>38</v>
      </c>
      <c r="F1442" t="s">
        <v>143</v>
      </c>
      <c r="G1442" t="s">
        <v>10</v>
      </c>
      <c r="H1442" s="72" t="s">
        <v>218</v>
      </c>
      <c r="I1442" s="72" t="s">
        <v>60</v>
      </c>
      <c r="J1442" t="str">
        <f t="shared" si="48"/>
        <v>Skagit River</v>
      </c>
      <c r="K1442" t="str">
        <f>IFERROR(VLOOKUP(J1442,LUTs!$A$1:$C$73,2,FALSE),"NA")</f>
        <v>Skagit/Whatcom</v>
      </c>
      <c r="L1442" t="str">
        <f>IFERROR(VLOOKUP(J1442,LUTs!$A$1:$C$73,3,FALSE),"NA")</f>
        <v>2Central Puget Sound</v>
      </c>
      <c r="M1442" s="72" t="s">
        <v>26</v>
      </c>
      <c r="N1442" t="str">
        <f>VLOOKUP(M1442,LUTs!E$2:H$14,3,)</f>
        <v>20Other</v>
      </c>
      <c r="O1442" t="str">
        <f>VLOOKUP(M1442,LUTs!E$2:H$14,4,)</f>
        <v>07Non Puget Sound</v>
      </c>
      <c r="P1442" s="73">
        <v>260.51773835920199</v>
      </c>
      <c r="Q1442" s="74">
        <f>VLOOKUP(B1442,Readme!A$40:C$51,2,)*P1442</f>
        <v>896.18101995565485</v>
      </c>
    </row>
    <row r="1443" spans="1:17" ht="12" customHeight="1" x14ac:dyDescent="0.35">
      <c r="A1443" s="75">
        <v>1442</v>
      </c>
      <c r="B1443" s="64">
        <v>2013</v>
      </c>
      <c r="C1443" s="64">
        <v>10</v>
      </c>
      <c r="D1443" s="80">
        <f t="shared" si="47"/>
        <v>2013</v>
      </c>
      <c r="E1443" t="s">
        <v>38</v>
      </c>
      <c r="F1443" t="s">
        <v>143</v>
      </c>
      <c r="G1443" t="s">
        <v>10</v>
      </c>
      <c r="H1443" s="72" t="s">
        <v>218</v>
      </c>
      <c r="I1443" s="72" t="s">
        <v>60</v>
      </c>
      <c r="J1443" t="str">
        <f t="shared" si="48"/>
        <v>Skagit River</v>
      </c>
      <c r="K1443" t="str">
        <f>IFERROR(VLOOKUP(J1443,LUTs!$A$1:$C$73,2,FALSE),"NA")</f>
        <v>Skagit/Whatcom</v>
      </c>
      <c r="L1443" t="str">
        <f>IFERROR(VLOOKUP(J1443,LUTs!$A$1:$C$73,3,FALSE),"NA")</f>
        <v>2Central Puget Sound</v>
      </c>
      <c r="M1443" s="72" t="s">
        <v>20</v>
      </c>
      <c r="N1443" t="str">
        <f>VLOOKUP(M1443,LUTs!E$2:H$14,3,)</f>
        <v>07Pierce</v>
      </c>
      <c r="O1443" t="str">
        <f>VLOOKUP(M1443,LUTs!E$2:H$14,4,)</f>
        <v>02South Puget Sound</v>
      </c>
      <c r="P1443" s="73">
        <v>44.916851441241697</v>
      </c>
      <c r="Q1443" s="74">
        <f>VLOOKUP(B1443,Readme!A$40:C$51,2,)*P1443</f>
        <v>154.51396895787144</v>
      </c>
    </row>
    <row r="1444" spans="1:17" ht="12" customHeight="1" x14ac:dyDescent="0.35">
      <c r="A1444" s="75">
        <v>1443</v>
      </c>
      <c r="B1444" s="64">
        <v>2013</v>
      </c>
      <c r="C1444" s="64">
        <v>10</v>
      </c>
      <c r="D1444" s="80">
        <f t="shared" si="47"/>
        <v>2013</v>
      </c>
      <c r="E1444" t="s">
        <v>38</v>
      </c>
      <c r="F1444" t="s">
        <v>143</v>
      </c>
      <c r="G1444" t="s">
        <v>10</v>
      </c>
      <c r="H1444" s="72" t="s">
        <v>218</v>
      </c>
      <c r="I1444" s="72" t="s">
        <v>60</v>
      </c>
      <c r="J1444" t="str">
        <f t="shared" si="48"/>
        <v>Skagit River</v>
      </c>
      <c r="K1444" t="str">
        <f>IFERROR(VLOOKUP(J1444,LUTs!$A$1:$C$73,2,FALSE),"NA")</f>
        <v>Skagit/Whatcom</v>
      </c>
      <c r="L1444" t="str">
        <f>IFERROR(VLOOKUP(J1444,LUTs!$A$1:$C$73,3,FALSE),"NA")</f>
        <v>2Central Puget Sound</v>
      </c>
      <c r="M1444" s="72" t="s">
        <v>15</v>
      </c>
      <c r="N1444" t="str">
        <f>VLOOKUP(M1444,LUTs!E$2:H$14,3,)</f>
        <v>02Skagit</v>
      </c>
      <c r="O1444" t="str">
        <f>VLOOKUP(M1444,LUTs!E$2:H$14,4,)</f>
        <v>01North Puget Sound</v>
      </c>
      <c r="P1444" s="73">
        <v>5731.3902439024396</v>
      </c>
      <c r="Q1444" s="74">
        <f>VLOOKUP(B1444,Readme!A$40:C$51,2,)*P1444</f>
        <v>19715.982439024392</v>
      </c>
    </row>
    <row r="1445" spans="1:17" ht="12" customHeight="1" x14ac:dyDescent="0.35">
      <c r="A1445" s="75">
        <v>1444</v>
      </c>
      <c r="B1445" s="64">
        <v>2013</v>
      </c>
      <c r="C1445" s="64">
        <v>10</v>
      </c>
      <c r="D1445" s="80">
        <f t="shared" si="47"/>
        <v>2013</v>
      </c>
      <c r="E1445" t="s">
        <v>38</v>
      </c>
      <c r="F1445" t="s">
        <v>143</v>
      </c>
      <c r="G1445" t="s">
        <v>10</v>
      </c>
      <c r="H1445" s="72" t="s">
        <v>218</v>
      </c>
      <c r="I1445" s="72" t="s">
        <v>60</v>
      </c>
      <c r="J1445" t="str">
        <f t="shared" si="48"/>
        <v>Skagit River</v>
      </c>
      <c r="K1445" t="str">
        <f>IFERROR(VLOOKUP(J1445,LUTs!$A$1:$C$73,2,FALSE),"NA")</f>
        <v>Skagit/Whatcom</v>
      </c>
      <c r="L1445" t="str">
        <f>IFERROR(VLOOKUP(J1445,LUTs!$A$1:$C$73,3,FALSE),"NA")</f>
        <v>2Central Puget Sound</v>
      </c>
      <c r="M1445" s="72" t="s">
        <v>16</v>
      </c>
      <c r="N1445" t="str">
        <f>VLOOKUP(M1445,LUTs!E$2:H$14,3,)</f>
        <v>03Snohomish</v>
      </c>
      <c r="O1445" t="str">
        <f>VLOOKUP(M1445,LUTs!E$2:H$14,4,)</f>
        <v>01North Puget Sound</v>
      </c>
      <c r="P1445" s="73">
        <v>539.00221729489999</v>
      </c>
      <c r="Q1445" s="74">
        <f>VLOOKUP(B1445,Readme!A$40:C$51,2,)*P1445</f>
        <v>1854.1676274944559</v>
      </c>
    </row>
    <row r="1446" spans="1:17" ht="12" customHeight="1" x14ac:dyDescent="0.35">
      <c r="A1446" s="75">
        <v>1445</v>
      </c>
      <c r="B1446" s="64">
        <v>2013</v>
      </c>
      <c r="C1446" s="64">
        <v>10</v>
      </c>
      <c r="D1446" s="80">
        <f t="shared" si="47"/>
        <v>2013</v>
      </c>
      <c r="E1446" t="s">
        <v>38</v>
      </c>
      <c r="F1446" t="s">
        <v>143</v>
      </c>
      <c r="G1446" t="s">
        <v>10</v>
      </c>
      <c r="H1446" s="72" t="s">
        <v>218</v>
      </c>
      <c r="I1446" s="72" t="s">
        <v>60</v>
      </c>
      <c r="J1446" t="str">
        <f t="shared" si="48"/>
        <v>Skagit River</v>
      </c>
      <c r="K1446" t="str">
        <f>IFERROR(VLOOKUP(J1446,LUTs!$A$1:$C$73,2,FALSE),"NA")</f>
        <v>Skagit/Whatcom</v>
      </c>
      <c r="L1446" t="str">
        <f>IFERROR(VLOOKUP(J1446,LUTs!$A$1:$C$73,3,FALSE),"NA")</f>
        <v>2Central Puget Sound</v>
      </c>
      <c r="M1446" s="72" t="s">
        <v>13</v>
      </c>
      <c r="N1446" t="str">
        <f>VLOOKUP(M1446,LUTs!E$2:H$14,3,)</f>
        <v>01Whatcom</v>
      </c>
      <c r="O1446" t="str">
        <f>VLOOKUP(M1446,LUTs!E$2:H$14,4,)</f>
        <v>01North Puget Sound</v>
      </c>
      <c r="P1446" s="73">
        <v>862.40354767184101</v>
      </c>
      <c r="Q1446" s="74">
        <f>VLOOKUP(B1446,Readme!A$40:C$51,2,)*P1446</f>
        <v>2966.6682039911329</v>
      </c>
    </row>
    <row r="1447" spans="1:17" ht="12" customHeight="1" x14ac:dyDescent="0.35">
      <c r="A1447" s="75">
        <v>1446</v>
      </c>
      <c r="B1447" s="64">
        <v>2013</v>
      </c>
      <c r="C1447" s="64">
        <v>11</v>
      </c>
      <c r="D1447" s="80">
        <f t="shared" si="47"/>
        <v>2013</v>
      </c>
      <c r="E1447" t="s">
        <v>38</v>
      </c>
      <c r="F1447" t="s">
        <v>143</v>
      </c>
      <c r="G1447" t="s">
        <v>10</v>
      </c>
      <c r="H1447" s="72" t="s">
        <v>218</v>
      </c>
      <c r="I1447" s="72" t="s">
        <v>60</v>
      </c>
      <c r="J1447" t="str">
        <f t="shared" si="48"/>
        <v>Skagit River</v>
      </c>
      <c r="K1447" t="str">
        <f>IFERROR(VLOOKUP(J1447,LUTs!$A$1:$C$73,2,FALSE),"NA")</f>
        <v>Skagit/Whatcom</v>
      </c>
      <c r="L1447" t="str">
        <f>IFERROR(VLOOKUP(J1447,LUTs!$A$1:$C$73,3,FALSE),"NA")</f>
        <v>2Central Puget Sound</v>
      </c>
      <c r="M1447" s="72" t="s">
        <v>18</v>
      </c>
      <c r="N1447" t="str">
        <f>VLOOKUP(M1447,LUTs!E$2:H$14,3,)</f>
        <v>06King</v>
      </c>
      <c r="O1447" t="str">
        <f>VLOOKUP(M1447,LUTs!E$2:H$14,4,)</f>
        <v>02South Puget Sound</v>
      </c>
      <c r="P1447" s="73">
        <v>80.872340425531902</v>
      </c>
      <c r="Q1447" s="74">
        <f>VLOOKUP(B1447,Readme!A$40:C$51,2,)*P1447</f>
        <v>278.20085106382976</v>
      </c>
    </row>
    <row r="1448" spans="1:17" ht="12" customHeight="1" x14ac:dyDescent="0.35">
      <c r="A1448" s="75">
        <v>1447</v>
      </c>
      <c r="B1448" s="64">
        <v>2013</v>
      </c>
      <c r="C1448" s="64">
        <v>11</v>
      </c>
      <c r="D1448" s="80">
        <f t="shared" si="47"/>
        <v>2013</v>
      </c>
      <c r="E1448" t="s">
        <v>38</v>
      </c>
      <c r="F1448" t="s">
        <v>143</v>
      </c>
      <c r="G1448" t="s">
        <v>10</v>
      </c>
      <c r="H1448" s="72" t="s">
        <v>218</v>
      </c>
      <c r="I1448" s="72" t="s">
        <v>60</v>
      </c>
      <c r="J1448" t="str">
        <f t="shared" si="48"/>
        <v>Skagit River</v>
      </c>
      <c r="K1448" t="str">
        <f>IFERROR(VLOOKUP(J1448,LUTs!$A$1:$C$73,2,FALSE),"NA")</f>
        <v>Skagit/Whatcom</v>
      </c>
      <c r="L1448" t="str">
        <f>IFERROR(VLOOKUP(J1448,LUTs!$A$1:$C$73,3,FALSE),"NA")</f>
        <v>2Central Puget Sound</v>
      </c>
      <c r="M1448" s="72" t="s">
        <v>26</v>
      </c>
      <c r="N1448" t="str">
        <f>VLOOKUP(M1448,LUTs!E$2:H$14,3,)</f>
        <v>20Other</v>
      </c>
      <c r="O1448" t="str">
        <f>VLOOKUP(M1448,LUTs!E$2:H$14,4,)</f>
        <v>07Non Puget Sound</v>
      </c>
      <c r="P1448" s="73">
        <v>35.943262411347497</v>
      </c>
      <c r="Q1448" s="74">
        <f>VLOOKUP(B1448,Readme!A$40:C$51,2,)*P1448</f>
        <v>123.64482269503539</v>
      </c>
    </row>
    <row r="1449" spans="1:17" ht="12" customHeight="1" x14ac:dyDescent="0.35">
      <c r="A1449" s="75">
        <v>1448</v>
      </c>
      <c r="B1449" s="64">
        <v>2013</v>
      </c>
      <c r="C1449" s="64">
        <v>11</v>
      </c>
      <c r="D1449" s="80">
        <f t="shared" si="47"/>
        <v>2013</v>
      </c>
      <c r="E1449" t="s">
        <v>38</v>
      </c>
      <c r="F1449" t="s">
        <v>143</v>
      </c>
      <c r="G1449" t="s">
        <v>10</v>
      </c>
      <c r="H1449" s="72" t="s">
        <v>218</v>
      </c>
      <c r="I1449" s="72" t="s">
        <v>60</v>
      </c>
      <c r="J1449" t="str">
        <f t="shared" si="48"/>
        <v>Skagit River</v>
      </c>
      <c r="K1449" t="str">
        <f>IFERROR(VLOOKUP(J1449,LUTs!$A$1:$C$73,2,FALSE),"NA")</f>
        <v>Skagit/Whatcom</v>
      </c>
      <c r="L1449" t="str">
        <f>IFERROR(VLOOKUP(J1449,LUTs!$A$1:$C$73,3,FALSE),"NA")</f>
        <v>2Central Puget Sound</v>
      </c>
      <c r="M1449" s="72" t="s">
        <v>15</v>
      </c>
      <c r="N1449" t="str">
        <f>VLOOKUP(M1449,LUTs!E$2:H$14,3,)</f>
        <v>02Skagit</v>
      </c>
      <c r="O1449" t="str">
        <f>VLOOKUP(M1449,LUTs!E$2:H$14,4,)</f>
        <v>01North Puget Sound</v>
      </c>
      <c r="P1449" s="73">
        <v>889.595744680851</v>
      </c>
      <c r="Q1449" s="74">
        <f>VLOOKUP(B1449,Readme!A$40:C$51,2,)*P1449</f>
        <v>3060.2093617021274</v>
      </c>
    </row>
    <row r="1450" spans="1:17" ht="12" customHeight="1" x14ac:dyDescent="0.35">
      <c r="A1450" s="75">
        <v>1449</v>
      </c>
      <c r="B1450" s="64">
        <v>2013</v>
      </c>
      <c r="C1450" s="64">
        <v>11</v>
      </c>
      <c r="D1450" s="80">
        <f t="shared" si="47"/>
        <v>2013</v>
      </c>
      <c r="E1450" t="s">
        <v>38</v>
      </c>
      <c r="F1450" t="s">
        <v>143</v>
      </c>
      <c r="G1450" t="s">
        <v>10</v>
      </c>
      <c r="H1450" s="72" t="s">
        <v>218</v>
      </c>
      <c r="I1450" s="72" t="s">
        <v>60</v>
      </c>
      <c r="J1450" t="str">
        <f t="shared" si="48"/>
        <v>Skagit River</v>
      </c>
      <c r="K1450" t="str">
        <f>IFERROR(VLOOKUP(J1450,LUTs!$A$1:$C$73,2,FALSE),"NA")</f>
        <v>Skagit/Whatcom</v>
      </c>
      <c r="L1450" t="str">
        <f>IFERROR(VLOOKUP(J1450,LUTs!$A$1:$C$73,3,FALSE),"NA")</f>
        <v>2Central Puget Sound</v>
      </c>
      <c r="M1450" s="72" t="s">
        <v>16</v>
      </c>
      <c r="N1450" t="str">
        <f>VLOOKUP(M1450,LUTs!E$2:H$14,3,)</f>
        <v>03Snohomish</v>
      </c>
      <c r="O1450" t="str">
        <f>VLOOKUP(M1450,LUTs!E$2:H$14,4,)</f>
        <v>01North Puget Sound</v>
      </c>
      <c r="P1450" s="73">
        <v>53.914893617021299</v>
      </c>
      <c r="Q1450" s="74">
        <f>VLOOKUP(B1450,Readme!A$40:C$51,2,)*P1450</f>
        <v>185.46723404255326</v>
      </c>
    </row>
    <row r="1451" spans="1:17" ht="12" customHeight="1" x14ac:dyDescent="0.35">
      <c r="A1451" s="75">
        <v>1450</v>
      </c>
      <c r="B1451" s="64">
        <v>2013</v>
      </c>
      <c r="C1451" s="64">
        <v>11</v>
      </c>
      <c r="D1451" s="80">
        <f t="shared" si="47"/>
        <v>2013</v>
      </c>
      <c r="E1451" t="s">
        <v>38</v>
      </c>
      <c r="F1451" t="s">
        <v>143</v>
      </c>
      <c r="G1451" t="s">
        <v>10</v>
      </c>
      <c r="H1451" s="72" t="s">
        <v>218</v>
      </c>
      <c r="I1451" s="72" t="s">
        <v>60</v>
      </c>
      <c r="J1451" t="str">
        <f t="shared" si="48"/>
        <v>Skagit River</v>
      </c>
      <c r="K1451" t="str">
        <f>IFERROR(VLOOKUP(J1451,LUTs!$A$1:$C$73,2,FALSE),"NA")</f>
        <v>Skagit/Whatcom</v>
      </c>
      <c r="L1451" t="str">
        <f>IFERROR(VLOOKUP(J1451,LUTs!$A$1:$C$73,3,FALSE),"NA")</f>
        <v>2Central Puget Sound</v>
      </c>
      <c r="M1451" s="72" t="s">
        <v>13</v>
      </c>
      <c r="N1451" t="str">
        <f>VLOOKUP(M1451,LUTs!E$2:H$14,3,)</f>
        <v>01Whatcom</v>
      </c>
      <c r="O1451" t="str">
        <f>VLOOKUP(M1451,LUTs!E$2:H$14,4,)</f>
        <v>01North Puget Sound</v>
      </c>
      <c r="P1451" s="73">
        <v>206.673758865248</v>
      </c>
      <c r="Q1451" s="74">
        <f>VLOOKUP(B1451,Readme!A$40:C$51,2,)*P1451</f>
        <v>710.95773049645311</v>
      </c>
    </row>
    <row r="1452" spans="1:17" ht="12" customHeight="1" x14ac:dyDescent="0.35">
      <c r="A1452" s="75">
        <v>1451</v>
      </c>
      <c r="B1452" s="64">
        <v>2013</v>
      </c>
      <c r="C1452" s="64">
        <v>12</v>
      </c>
      <c r="D1452" s="80">
        <f t="shared" si="47"/>
        <v>2013</v>
      </c>
      <c r="E1452" t="s">
        <v>38</v>
      </c>
      <c r="F1452" t="s">
        <v>143</v>
      </c>
      <c r="G1452" t="s">
        <v>10</v>
      </c>
      <c r="H1452" s="72" t="s">
        <v>218</v>
      </c>
      <c r="I1452" s="72" t="s">
        <v>60</v>
      </c>
      <c r="J1452" t="str">
        <f t="shared" si="48"/>
        <v>Skagit River</v>
      </c>
      <c r="K1452" t="str">
        <f>IFERROR(VLOOKUP(J1452,LUTs!$A$1:$C$73,2,FALSE),"NA")</f>
        <v>Skagit/Whatcom</v>
      </c>
      <c r="L1452" t="str">
        <f>IFERROR(VLOOKUP(J1452,LUTs!$A$1:$C$73,3,FALSE),"NA")</f>
        <v>2Central Puget Sound</v>
      </c>
      <c r="M1452" s="72" t="s">
        <v>23</v>
      </c>
      <c r="N1452" t="str">
        <f>VLOOKUP(M1452,LUTs!E$2:H$14,3,)</f>
        <v>10Kitsap</v>
      </c>
      <c r="O1452" t="str">
        <f>VLOOKUP(M1452,LUTs!E$2:H$14,4,)</f>
        <v>02South Puget Sound</v>
      </c>
      <c r="P1452" s="73">
        <v>18</v>
      </c>
      <c r="Q1452" s="74">
        <f>VLOOKUP(B1452,Readme!A$40:C$51,2,)*P1452</f>
        <v>61.92</v>
      </c>
    </row>
    <row r="1453" spans="1:17" ht="12" customHeight="1" x14ac:dyDescent="0.35">
      <c r="A1453" s="75">
        <v>1452</v>
      </c>
      <c r="B1453" s="64">
        <v>2013</v>
      </c>
      <c r="C1453" s="64">
        <v>12</v>
      </c>
      <c r="D1453" s="80">
        <f t="shared" si="47"/>
        <v>2013</v>
      </c>
      <c r="E1453" t="s">
        <v>38</v>
      </c>
      <c r="F1453" t="s">
        <v>143</v>
      </c>
      <c r="G1453" t="s">
        <v>10</v>
      </c>
      <c r="H1453" s="72" t="s">
        <v>218</v>
      </c>
      <c r="I1453" s="72" t="s">
        <v>60</v>
      </c>
      <c r="J1453" t="str">
        <f t="shared" si="48"/>
        <v>Skagit River</v>
      </c>
      <c r="K1453" t="str">
        <f>IFERROR(VLOOKUP(J1453,LUTs!$A$1:$C$73,2,FALSE),"NA")</f>
        <v>Skagit/Whatcom</v>
      </c>
      <c r="L1453" t="str">
        <f>IFERROR(VLOOKUP(J1453,LUTs!$A$1:$C$73,3,FALSE),"NA")</f>
        <v>2Central Puget Sound</v>
      </c>
      <c r="M1453" s="72" t="s">
        <v>26</v>
      </c>
      <c r="N1453" t="str">
        <f>VLOOKUP(M1453,LUTs!E$2:H$14,3,)</f>
        <v>20Other</v>
      </c>
      <c r="O1453" t="str">
        <f>VLOOKUP(M1453,LUTs!E$2:H$14,4,)</f>
        <v>07Non Puget Sound</v>
      </c>
      <c r="P1453" s="73">
        <v>18</v>
      </c>
      <c r="Q1453" s="74">
        <f>VLOOKUP(B1453,Readme!A$40:C$51,2,)*P1453</f>
        <v>61.92</v>
      </c>
    </row>
    <row r="1454" spans="1:17" ht="12" customHeight="1" x14ac:dyDescent="0.35">
      <c r="A1454" s="75">
        <v>1453</v>
      </c>
      <c r="B1454" s="64">
        <v>2013</v>
      </c>
      <c r="C1454" s="64">
        <v>12</v>
      </c>
      <c r="D1454" s="80">
        <f t="shared" si="47"/>
        <v>2013</v>
      </c>
      <c r="E1454" t="s">
        <v>38</v>
      </c>
      <c r="F1454" t="s">
        <v>143</v>
      </c>
      <c r="G1454" t="s">
        <v>10</v>
      </c>
      <c r="H1454" s="72" t="s">
        <v>218</v>
      </c>
      <c r="I1454" s="72" t="s">
        <v>60</v>
      </c>
      <c r="J1454" t="str">
        <f t="shared" si="48"/>
        <v>Skagit River</v>
      </c>
      <c r="K1454" t="str">
        <f>IFERROR(VLOOKUP(J1454,LUTs!$A$1:$C$73,2,FALSE),"NA")</f>
        <v>Skagit/Whatcom</v>
      </c>
      <c r="L1454" t="str">
        <f>IFERROR(VLOOKUP(J1454,LUTs!$A$1:$C$73,3,FALSE),"NA")</f>
        <v>2Central Puget Sound</v>
      </c>
      <c r="M1454" s="72" t="s">
        <v>15</v>
      </c>
      <c r="N1454" t="str">
        <f>VLOOKUP(M1454,LUTs!E$2:H$14,3,)</f>
        <v>02Skagit</v>
      </c>
      <c r="O1454" t="str">
        <f>VLOOKUP(M1454,LUTs!E$2:H$14,4,)</f>
        <v>01North Puget Sound</v>
      </c>
      <c r="P1454" s="73">
        <v>54</v>
      </c>
      <c r="Q1454" s="74">
        <f>VLOOKUP(B1454,Readme!A$40:C$51,2,)*P1454</f>
        <v>185.76</v>
      </c>
    </row>
    <row r="1455" spans="1:17" ht="12" customHeight="1" x14ac:dyDescent="0.35">
      <c r="A1455" s="75">
        <v>1454</v>
      </c>
      <c r="B1455" s="64">
        <v>2013</v>
      </c>
      <c r="C1455" s="64">
        <v>7</v>
      </c>
      <c r="D1455" s="80">
        <f t="shared" si="47"/>
        <v>2013</v>
      </c>
      <c r="E1455" t="s">
        <v>38</v>
      </c>
      <c r="F1455" t="s">
        <v>143</v>
      </c>
      <c r="G1455" t="s">
        <v>10</v>
      </c>
      <c r="H1455" s="72" t="s">
        <v>219</v>
      </c>
      <c r="I1455" s="72" t="s">
        <v>61</v>
      </c>
      <c r="J1455" t="str">
        <f t="shared" si="48"/>
        <v>Skokomish River</v>
      </c>
      <c r="K1455" t="str">
        <f>IFERROR(VLOOKUP(J1455,LUTs!$A$1:$C$73,2,FALSE),"NA")</f>
        <v>Mason</v>
      </c>
      <c r="L1455" t="str">
        <f>IFERROR(VLOOKUP(J1455,LUTs!$A$1:$C$73,3,FALSE),"NA")</f>
        <v>4 Hood Canal</v>
      </c>
      <c r="M1455" s="72" t="s">
        <v>18</v>
      </c>
      <c r="N1455" t="str">
        <f>VLOOKUP(M1455,LUTs!E$2:H$14,3,)</f>
        <v>06King</v>
      </c>
      <c r="O1455" t="str">
        <f>VLOOKUP(M1455,LUTs!E$2:H$14,4,)</f>
        <v>02South Puget Sound</v>
      </c>
      <c r="P1455" s="73">
        <v>128.58695652173901</v>
      </c>
      <c r="Q1455" s="74">
        <f>VLOOKUP(B1455,Readme!A$40:C$51,2,)*P1455</f>
        <v>442.33913043478219</v>
      </c>
    </row>
    <row r="1456" spans="1:17" ht="12" customHeight="1" x14ac:dyDescent="0.35">
      <c r="A1456" s="75">
        <v>1455</v>
      </c>
      <c r="B1456" s="64">
        <v>2013</v>
      </c>
      <c r="C1456" s="64">
        <v>7</v>
      </c>
      <c r="D1456" s="80">
        <f t="shared" si="47"/>
        <v>2013</v>
      </c>
      <c r="E1456" t="s">
        <v>38</v>
      </c>
      <c r="F1456" t="s">
        <v>143</v>
      </c>
      <c r="G1456" t="s">
        <v>10</v>
      </c>
      <c r="H1456" s="72" t="s">
        <v>219</v>
      </c>
      <c r="I1456" s="72" t="s">
        <v>61</v>
      </c>
      <c r="J1456" t="str">
        <f t="shared" si="48"/>
        <v>Skokomish River</v>
      </c>
      <c r="K1456" t="str">
        <f>IFERROR(VLOOKUP(J1456,LUTs!$A$1:$C$73,2,FALSE),"NA")</f>
        <v>Mason</v>
      </c>
      <c r="L1456" t="str">
        <f>IFERROR(VLOOKUP(J1456,LUTs!$A$1:$C$73,3,FALSE),"NA")</f>
        <v>4 Hood Canal</v>
      </c>
      <c r="M1456" s="72" t="s">
        <v>23</v>
      </c>
      <c r="N1456" t="str">
        <f>VLOOKUP(M1456,LUTs!E$2:H$14,3,)</f>
        <v>10Kitsap</v>
      </c>
      <c r="O1456" t="str">
        <f>VLOOKUP(M1456,LUTs!E$2:H$14,4,)</f>
        <v>02South Puget Sound</v>
      </c>
      <c r="P1456" s="73">
        <v>55.1086956521739</v>
      </c>
      <c r="Q1456" s="74">
        <f>VLOOKUP(B1456,Readme!A$40:C$51,2,)*P1456</f>
        <v>189.5739130434782</v>
      </c>
    </row>
    <row r="1457" spans="1:17" ht="12" customHeight="1" x14ac:dyDescent="0.35">
      <c r="A1457" s="75">
        <v>1456</v>
      </c>
      <c r="B1457" s="64">
        <v>2013</v>
      </c>
      <c r="C1457" s="64">
        <v>7</v>
      </c>
      <c r="D1457" s="80">
        <f t="shared" si="47"/>
        <v>2013</v>
      </c>
      <c r="E1457" t="s">
        <v>38</v>
      </c>
      <c r="F1457" t="s">
        <v>143</v>
      </c>
      <c r="G1457" t="s">
        <v>10</v>
      </c>
      <c r="H1457" s="72" t="s">
        <v>219</v>
      </c>
      <c r="I1457" s="72" t="s">
        <v>61</v>
      </c>
      <c r="J1457" t="str">
        <f t="shared" si="48"/>
        <v>Skokomish River</v>
      </c>
      <c r="K1457" t="str">
        <f>IFERROR(VLOOKUP(J1457,LUTs!$A$1:$C$73,2,FALSE),"NA")</f>
        <v>Mason</v>
      </c>
      <c r="L1457" t="str">
        <f>IFERROR(VLOOKUP(J1457,LUTs!$A$1:$C$73,3,FALSE),"NA")</f>
        <v>4 Hood Canal</v>
      </c>
      <c r="M1457" s="72" t="s">
        <v>22</v>
      </c>
      <c r="N1457" t="str">
        <f>VLOOKUP(M1457,LUTs!E$2:H$14,3,)</f>
        <v>09Mason</v>
      </c>
      <c r="O1457" t="str">
        <f>VLOOKUP(M1457,LUTs!E$2:H$14,4,)</f>
        <v>02South Puget Sound</v>
      </c>
      <c r="P1457" s="73">
        <v>110.217391304348</v>
      </c>
      <c r="Q1457" s="74">
        <f>VLOOKUP(B1457,Readme!A$40:C$51,2,)*P1457</f>
        <v>379.14782608695708</v>
      </c>
    </row>
    <row r="1458" spans="1:17" ht="12" customHeight="1" x14ac:dyDescent="0.35">
      <c r="A1458" s="75">
        <v>1457</v>
      </c>
      <c r="B1458" s="64">
        <v>2013</v>
      </c>
      <c r="C1458" s="64">
        <v>7</v>
      </c>
      <c r="D1458" s="80">
        <f t="shared" si="47"/>
        <v>2013</v>
      </c>
      <c r="E1458" t="s">
        <v>38</v>
      </c>
      <c r="F1458" t="s">
        <v>143</v>
      </c>
      <c r="G1458" t="s">
        <v>10</v>
      </c>
      <c r="H1458" s="72" t="s">
        <v>219</v>
      </c>
      <c r="I1458" s="72" t="s">
        <v>61</v>
      </c>
      <c r="J1458" t="str">
        <f t="shared" si="48"/>
        <v>Skokomish River</v>
      </c>
      <c r="K1458" t="str">
        <f>IFERROR(VLOOKUP(J1458,LUTs!$A$1:$C$73,2,FALSE),"NA")</f>
        <v>Mason</v>
      </c>
      <c r="L1458" t="str">
        <f>IFERROR(VLOOKUP(J1458,LUTs!$A$1:$C$73,3,FALSE),"NA")</f>
        <v>4 Hood Canal</v>
      </c>
      <c r="M1458" s="72" t="s">
        <v>26</v>
      </c>
      <c r="N1458" t="str">
        <f>VLOOKUP(M1458,LUTs!E$2:H$14,3,)</f>
        <v>20Other</v>
      </c>
      <c r="O1458" t="str">
        <f>VLOOKUP(M1458,LUTs!E$2:H$14,4,)</f>
        <v>07Non Puget Sound</v>
      </c>
      <c r="P1458" s="73">
        <v>91.847826086956502</v>
      </c>
      <c r="Q1458" s="74">
        <f>VLOOKUP(B1458,Readme!A$40:C$51,2,)*P1458</f>
        <v>315.95652173913038</v>
      </c>
    </row>
    <row r="1459" spans="1:17" ht="12" customHeight="1" x14ac:dyDescent="0.35">
      <c r="A1459" s="75">
        <v>1458</v>
      </c>
      <c r="B1459" s="64">
        <v>2013</v>
      </c>
      <c r="C1459" s="64">
        <v>7</v>
      </c>
      <c r="D1459" s="80">
        <f t="shared" si="47"/>
        <v>2013</v>
      </c>
      <c r="E1459" t="s">
        <v>38</v>
      </c>
      <c r="F1459" t="s">
        <v>143</v>
      </c>
      <c r="G1459" t="s">
        <v>10</v>
      </c>
      <c r="H1459" s="72" t="s">
        <v>219</v>
      </c>
      <c r="I1459" s="72" t="s">
        <v>61</v>
      </c>
      <c r="J1459" t="str">
        <f t="shared" si="48"/>
        <v>Skokomish River</v>
      </c>
      <c r="K1459" t="str">
        <f>IFERROR(VLOOKUP(J1459,LUTs!$A$1:$C$73,2,FALSE),"NA")</f>
        <v>Mason</v>
      </c>
      <c r="L1459" t="str">
        <f>IFERROR(VLOOKUP(J1459,LUTs!$A$1:$C$73,3,FALSE),"NA")</f>
        <v>4 Hood Canal</v>
      </c>
      <c r="M1459" s="72" t="s">
        <v>20</v>
      </c>
      <c r="N1459" t="str">
        <f>VLOOKUP(M1459,LUTs!E$2:H$14,3,)</f>
        <v>07Pierce</v>
      </c>
      <c r="O1459" t="str">
        <f>VLOOKUP(M1459,LUTs!E$2:H$14,4,)</f>
        <v>02South Puget Sound</v>
      </c>
      <c r="P1459" s="73">
        <v>312.28260869565202</v>
      </c>
      <c r="Q1459" s="74">
        <f>VLOOKUP(B1459,Readme!A$40:C$51,2,)*P1459</f>
        <v>1074.252173913043</v>
      </c>
    </row>
    <row r="1460" spans="1:17" ht="12" customHeight="1" x14ac:dyDescent="0.35">
      <c r="A1460" s="75">
        <v>1459</v>
      </c>
      <c r="B1460" s="64">
        <v>2013</v>
      </c>
      <c r="C1460" s="64">
        <v>7</v>
      </c>
      <c r="D1460" s="80">
        <f t="shared" si="47"/>
        <v>2013</v>
      </c>
      <c r="E1460" t="s">
        <v>38</v>
      </c>
      <c r="F1460" t="s">
        <v>143</v>
      </c>
      <c r="G1460" t="s">
        <v>10</v>
      </c>
      <c r="H1460" s="72" t="s">
        <v>219</v>
      </c>
      <c r="I1460" s="72" t="s">
        <v>61</v>
      </c>
      <c r="J1460" t="str">
        <f t="shared" si="48"/>
        <v>Skokomish River</v>
      </c>
      <c r="K1460" t="str">
        <f>IFERROR(VLOOKUP(J1460,LUTs!$A$1:$C$73,2,FALSE),"NA")</f>
        <v>Mason</v>
      </c>
      <c r="L1460" t="str">
        <f>IFERROR(VLOOKUP(J1460,LUTs!$A$1:$C$73,3,FALSE),"NA")</f>
        <v>4 Hood Canal</v>
      </c>
      <c r="M1460" s="72" t="s">
        <v>16</v>
      </c>
      <c r="N1460" t="str">
        <f>VLOOKUP(M1460,LUTs!E$2:H$14,3,)</f>
        <v>03Snohomish</v>
      </c>
      <c r="O1460" t="str">
        <f>VLOOKUP(M1460,LUTs!E$2:H$14,4,)</f>
        <v>01North Puget Sound</v>
      </c>
      <c r="P1460" s="73">
        <v>55.1086956521739</v>
      </c>
      <c r="Q1460" s="74">
        <f>VLOOKUP(B1460,Readme!A$40:C$51,2,)*P1460</f>
        <v>189.5739130434782</v>
      </c>
    </row>
    <row r="1461" spans="1:17" ht="12" customHeight="1" x14ac:dyDescent="0.35">
      <c r="A1461" s="75">
        <v>1460</v>
      </c>
      <c r="B1461" s="64">
        <v>2013</v>
      </c>
      <c r="C1461" s="64">
        <v>7</v>
      </c>
      <c r="D1461" s="80">
        <f t="shared" si="47"/>
        <v>2013</v>
      </c>
      <c r="E1461" t="s">
        <v>38</v>
      </c>
      <c r="F1461" t="s">
        <v>143</v>
      </c>
      <c r="G1461" t="s">
        <v>10</v>
      </c>
      <c r="H1461" s="72" t="s">
        <v>219</v>
      </c>
      <c r="I1461" s="72" t="s">
        <v>61</v>
      </c>
      <c r="J1461" t="str">
        <f t="shared" si="48"/>
        <v>Skokomish River</v>
      </c>
      <c r="K1461" t="str">
        <f>IFERROR(VLOOKUP(J1461,LUTs!$A$1:$C$73,2,FALSE),"NA")</f>
        <v>Mason</v>
      </c>
      <c r="L1461" t="str">
        <f>IFERROR(VLOOKUP(J1461,LUTs!$A$1:$C$73,3,FALSE),"NA")</f>
        <v>4 Hood Canal</v>
      </c>
      <c r="M1461" s="72" t="s">
        <v>21</v>
      </c>
      <c r="N1461" t="str">
        <f>VLOOKUP(M1461,LUTs!E$2:H$14,3,)</f>
        <v>08Thurston</v>
      </c>
      <c r="O1461" t="str">
        <f>VLOOKUP(M1461,LUTs!E$2:H$14,4,)</f>
        <v>02South Puget Sound</v>
      </c>
      <c r="P1461" s="73">
        <v>91.847826086956502</v>
      </c>
      <c r="Q1461" s="74">
        <f>VLOOKUP(B1461,Readme!A$40:C$51,2,)*P1461</f>
        <v>315.95652173913038</v>
      </c>
    </row>
    <row r="1462" spans="1:17" ht="12" customHeight="1" x14ac:dyDescent="0.35">
      <c r="A1462" s="75">
        <v>1461</v>
      </c>
      <c r="B1462" s="64">
        <v>2013</v>
      </c>
      <c r="C1462" s="64">
        <v>8</v>
      </c>
      <c r="D1462" s="80">
        <f t="shared" si="47"/>
        <v>2013</v>
      </c>
      <c r="E1462" t="s">
        <v>38</v>
      </c>
      <c r="F1462" t="s">
        <v>143</v>
      </c>
      <c r="G1462" t="s">
        <v>10</v>
      </c>
      <c r="H1462" s="72" t="s">
        <v>219</v>
      </c>
      <c r="I1462" s="72" t="s">
        <v>61</v>
      </c>
      <c r="J1462" t="str">
        <f t="shared" si="48"/>
        <v>Skokomish River</v>
      </c>
      <c r="K1462" t="str">
        <f>IFERROR(VLOOKUP(J1462,LUTs!$A$1:$C$73,2,FALSE),"NA")</f>
        <v>Mason</v>
      </c>
      <c r="L1462" t="str">
        <f>IFERROR(VLOOKUP(J1462,LUTs!$A$1:$C$73,3,FALSE),"NA")</f>
        <v>4 Hood Canal</v>
      </c>
      <c r="M1462" s="72" t="s">
        <v>18</v>
      </c>
      <c r="N1462" t="str">
        <f>VLOOKUP(M1462,LUTs!E$2:H$14,3,)</f>
        <v>06King</v>
      </c>
      <c r="O1462" t="str">
        <f>VLOOKUP(M1462,LUTs!E$2:H$14,4,)</f>
        <v>02South Puget Sound</v>
      </c>
      <c r="P1462" s="73">
        <v>800.07984031936201</v>
      </c>
      <c r="Q1462" s="74">
        <f>VLOOKUP(B1462,Readme!A$40:C$51,2,)*P1462</f>
        <v>2752.2746506986055</v>
      </c>
    </row>
    <row r="1463" spans="1:17" ht="12" customHeight="1" x14ac:dyDescent="0.35">
      <c r="A1463" s="75">
        <v>1462</v>
      </c>
      <c r="B1463" s="64">
        <v>2013</v>
      </c>
      <c r="C1463" s="64">
        <v>8</v>
      </c>
      <c r="D1463" s="80">
        <f t="shared" si="47"/>
        <v>2013</v>
      </c>
      <c r="E1463" t="s">
        <v>38</v>
      </c>
      <c r="F1463" t="s">
        <v>143</v>
      </c>
      <c r="G1463" t="s">
        <v>10</v>
      </c>
      <c r="H1463" s="72" t="s">
        <v>219</v>
      </c>
      <c r="I1463" s="72" t="s">
        <v>61</v>
      </c>
      <c r="J1463" t="str">
        <f t="shared" si="48"/>
        <v>Skokomish River</v>
      </c>
      <c r="K1463" t="str">
        <f>IFERROR(VLOOKUP(J1463,LUTs!$A$1:$C$73,2,FALSE),"NA")</f>
        <v>Mason</v>
      </c>
      <c r="L1463" t="str">
        <f>IFERROR(VLOOKUP(J1463,LUTs!$A$1:$C$73,3,FALSE),"NA")</f>
        <v>4 Hood Canal</v>
      </c>
      <c r="M1463" s="72" t="s">
        <v>23</v>
      </c>
      <c r="N1463" t="str">
        <f>VLOOKUP(M1463,LUTs!E$2:H$14,3,)</f>
        <v>10Kitsap</v>
      </c>
      <c r="O1463" t="str">
        <f>VLOOKUP(M1463,LUTs!E$2:H$14,4,)</f>
        <v>02South Puget Sound</v>
      </c>
      <c r="P1463" s="73">
        <v>390.948103792415</v>
      </c>
      <c r="Q1463" s="74">
        <f>VLOOKUP(B1463,Readme!A$40:C$51,2,)*P1463</f>
        <v>1344.8614770459076</v>
      </c>
    </row>
    <row r="1464" spans="1:17" ht="12" customHeight="1" x14ac:dyDescent="0.35">
      <c r="A1464" s="75">
        <v>1463</v>
      </c>
      <c r="B1464" s="64">
        <v>2013</v>
      </c>
      <c r="C1464" s="64">
        <v>8</v>
      </c>
      <c r="D1464" s="80">
        <f t="shared" si="47"/>
        <v>2013</v>
      </c>
      <c r="E1464" t="s">
        <v>38</v>
      </c>
      <c r="F1464" t="s">
        <v>143</v>
      </c>
      <c r="G1464" t="s">
        <v>10</v>
      </c>
      <c r="H1464" s="72" t="s">
        <v>219</v>
      </c>
      <c r="I1464" s="72" t="s">
        <v>61</v>
      </c>
      <c r="J1464" t="str">
        <f t="shared" si="48"/>
        <v>Skokomish River</v>
      </c>
      <c r="K1464" t="str">
        <f>IFERROR(VLOOKUP(J1464,LUTs!$A$1:$C$73,2,FALSE),"NA")</f>
        <v>Mason</v>
      </c>
      <c r="L1464" t="str">
        <f>IFERROR(VLOOKUP(J1464,LUTs!$A$1:$C$73,3,FALSE),"NA")</f>
        <v>4 Hood Canal</v>
      </c>
      <c r="M1464" s="72" t="s">
        <v>22</v>
      </c>
      <c r="N1464" t="str">
        <f>VLOOKUP(M1464,LUTs!E$2:H$14,3,)</f>
        <v>09Mason</v>
      </c>
      <c r="O1464" t="str">
        <f>VLOOKUP(M1464,LUTs!E$2:H$14,4,)</f>
        <v>02South Puget Sound</v>
      </c>
      <c r="P1464" s="73">
        <v>600.05988023952102</v>
      </c>
      <c r="Q1464" s="74">
        <f>VLOOKUP(B1464,Readme!A$40:C$51,2,)*P1464</f>
        <v>2064.2059880239522</v>
      </c>
    </row>
    <row r="1465" spans="1:17" ht="12" customHeight="1" x14ac:dyDescent="0.35">
      <c r="A1465" s="75">
        <v>1464</v>
      </c>
      <c r="B1465" s="64">
        <v>2013</v>
      </c>
      <c r="C1465" s="64">
        <v>8</v>
      </c>
      <c r="D1465" s="80">
        <f t="shared" si="47"/>
        <v>2013</v>
      </c>
      <c r="E1465" t="s">
        <v>38</v>
      </c>
      <c r="F1465" t="s">
        <v>143</v>
      </c>
      <c r="G1465" t="s">
        <v>10</v>
      </c>
      <c r="H1465" s="72" t="s">
        <v>219</v>
      </c>
      <c r="I1465" s="72" t="s">
        <v>61</v>
      </c>
      <c r="J1465" t="str">
        <f t="shared" si="48"/>
        <v>Skokomish River</v>
      </c>
      <c r="K1465" t="str">
        <f>IFERROR(VLOOKUP(J1465,LUTs!$A$1:$C$73,2,FALSE),"NA")</f>
        <v>Mason</v>
      </c>
      <c r="L1465" t="str">
        <f>IFERROR(VLOOKUP(J1465,LUTs!$A$1:$C$73,3,FALSE),"NA")</f>
        <v>4 Hood Canal</v>
      </c>
      <c r="M1465" s="72" t="s">
        <v>26</v>
      </c>
      <c r="N1465" t="str">
        <f>VLOOKUP(M1465,LUTs!E$2:H$14,3,)</f>
        <v>20Other</v>
      </c>
      <c r="O1465" t="str">
        <f>VLOOKUP(M1465,LUTs!E$2:H$14,4,)</f>
        <v>07Non Puget Sound</v>
      </c>
      <c r="P1465" s="73">
        <v>418.22355289421199</v>
      </c>
      <c r="Q1465" s="74">
        <f>VLOOKUP(B1465,Readme!A$40:C$51,2,)*P1465</f>
        <v>1438.6890219560892</v>
      </c>
    </row>
    <row r="1466" spans="1:17" ht="12" customHeight="1" x14ac:dyDescent="0.35">
      <c r="A1466" s="75">
        <v>1465</v>
      </c>
      <c r="B1466" s="64">
        <v>2013</v>
      </c>
      <c r="C1466" s="64">
        <v>8</v>
      </c>
      <c r="D1466" s="80">
        <f t="shared" si="47"/>
        <v>2013</v>
      </c>
      <c r="E1466" t="s">
        <v>38</v>
      </c>
      <c r="F1466" t="s">
        <v>143</v>
      </c>
      <c r="G1466" t="s">
        <v>10</v>
      </c>
      <c r="H1466" s="72" t="s">
        <v>219</v>
      </c>
      <c r="I1466" s="72" t="s">
        <v>61</v>
      </c>
      <c r="J1466" t="str">
        <f t="shared" si="48"/>
        <v>Skokomish River</v>
      </c>
      <c r="K1466" t="str">
        <f>IFERROR(VLOOKUP(J1466,LUTs!$A$1:$C$73,2,FALSE),"NA")</f>
        <v>Mason</v>
      </c>
      <c r="L1466" t="str">
        <f>IFERROR(VLOOKUP(J1466,LUTs!$A$1:$C$73,3,FALSE),"NA")</f>
        <v>4 Hood Canal</v>
      </c>
      <c r="M1466" s="72" t="s">
        <v>20</v>
      </c>
      <c r="N1466" t="str">
        <f>VLOOKUP(M1466,LUTs!E$2:H$14,3,)</f>
        <v>07Pierce</v>
      </c>
      <c r="O1466" t="str">
        <f>VLOOKUP(M1466,LUTs!E$2:H$14,4,)</f>
        <v>02South Puget Sound</v>
      </c>
      <c r="P1466" s="73">
        <v>1200.11976047904</v>
      </c>
      <c r="Q1466" s="74">
        <f>VLOOKUP(B1466,Readme!A$40:C$51,2,)*P1466</f>
        <v>4128.411976047898</v>
      </c>
    </row>
    <row r="1467" spans="1:17" ht="12" customHeight="1" x14ac:dyDescent="0.35">
      <c r="A1467" s="75">
        <v>1466</v>
      </c>
      <c r="B1467" s="64">
        <v>2013</v>
      </c>
      <c r="C1467" s="64">
        <v>8</v>
      </c>
      <c r="D1467" s="80">
        <f t="shared" si="47"/>
        <v>2013</v>
      </c>
      <c r="E1467" t="s">
        <v>38</v>
      </c>
      <c r="F1467" t="s">
        <v>143</v>
      </c>
      <c r="G1467" t="s">
        <v>10</v>
      </c>
      <c r="H1467" s="72" t="s">
        <v>219</v>
      </c>
      <c r="I1467" s="72" t="s">
        <v>61</v>
      </c>
      <c r="J1467" t="str">
        <f t="shared" si="48"/>
        <v>Skokomish River</v>
      </c>
      <c r="K1467" t="str">
        <f>IFERROR(VLOOKUP(J1467,LUTs!$A$1:$C$73,2,FALSE),"NA")</f>
        <v>Mason</v>
      </c>
      <c r="L1467" t="str">
        <f>IFERROR(VLOOKUP(J1467,LUTs!$A$1:$C$73,3,FALSE),"NA")</f>
        <v>4 Hood Canal</v>
      </c>
      <c r="M1467" s="72" t="s">
        <v>16</v>
      </c>
      <c r="N1467" t="str">
        <f>VLOOKUP(M1467,LUTs!E$2:H$14,3,)</f>
        <v>03Snohomish</v>
      </c>
      <c r="O1467" t="str">
        <f>VLOOKUP(M1467,LUTs!E$2:H$14,4,)</f>
        <v>01North Puget Sound</v>
      </c>
      <c r="P1467" s="73">
        <v>145.46906187624799</v>
      </c>
      <c r="Q1467" s="74">
        <f>VLOOKUP(B1467,Readme!A$40:C$51,2,)*P1467</f>
        <v>500.41357285429308</v>
      </c>
    </row>
    <row r="1468" spans="1:17" ht="12" customHeight="1" x14ac:dyDescent="0.35">
      <c r="A1468" s="75">
        <v>1467</v>
      </c>
      <c r="B1468" s="64">
        <v>2013</v>
      </c>
      <c r="C1468" s="64">
        <v>8</v>
      </c>
      <c r="D1468" s="80">
        <f t="shared" si="47"/>
        <v>2013</v>
      </c>
      <c r="E1468" t="s">
        <v>38</v>
      </c>
      <c r="F1468" t="s">
        <v>143</v>
      </c>
      <c r="G1468" t="s">
        <v>10</v>
      </c>
      <c r="H1468" s="72" t="s">
        <v>219</v>
      </c>
      <c r="I1468" s="72" t="s">
        <v>61</v>
      </c>
      <c r="J1468" t="str">
        <f t="shared" si="48"/>
        <v>Skokomish River</v>
      </c>
      <c r="K1468" t="str">
        <f>IFERROR(VLOOKUP(J1468,LUTs!$A$1:$C$73,2,FALSE),"NA")</f>
        <v>Mason</v>
      </c>
      <c r="L1468" t="str">
        <f>IFERROR(VLOOKUP(J1468,LUTs!$A$1:$C$73,3,FALSE),"NA")</f>
        <v>4 Hood Canal</v>
      </c>
      <c r="M1468" s="72" t="s">
        <v>21</v>
      </c>
      <c r="N1468" t="str">
        <f>VLOOKUP(M1468,LUTs!E$2:H$14,3,)</f>
        <v>08Thurston</v>
      </c>
      <c r="O1468" t="str">
        <f>VLOOKUP(M1468,LUTs!E$2:H$14,4,)</f>
        <v>02South Puget Sound</v>
      </c>
      <c r="P1468" s="73">
        <v>1000.0998003992</v>
      </c>
      <c r="Q1468" s="74">
        <f>VLOOKUP(B1468,Readme!A$40:C$51,2,)*P1468</f>
        <v>3440.3433133732483</v>
      </c>
    </row>
    <row r="1469" spans="1:17" ht="12" customHeight="1" x14ac:dyDescent="0.35">
      <c r="A1469" s="75">
        <v>1468</v>
      </c>
      <c r="B1469" s="64">
        <v>2013</v>
      </c>
      <c r="C1469" s="64">
        <v>9</v>
      </c>
      <c r="D1469" s="80">
        <f t="shared" si="47"/>
        <v>2013</v>
      </c>
      <c r="E1469" t="s">
        <v>38</v>
      </c>
      <c r="F1469" t="s">
        <v>143</v>
      </c>
      <c r="G1469" t="s">
        <v>10</v>
      </c>
      <c r="H1469" s="72" t="s">
        <v>219</v>
      </c>
      <c r="I1469" s="72" t="s">
        <v>61</v>
      </c>
      <c r="J1469" t="str">
        <f t="shared" si="48"/>
        <v>Skokomish River</v>
      </c>
      <c r="K1469" t="str">
        <f>IFERROR(VLOOKUP(J1469,LUTs!$A$1:$C$73,2,FALSE),"NA")</f>
        <v>Mason</v>
      </c>
      <c r="L1469" t="str">
        <f>IFERROR(VLOOKUP(J1469,LUTs!$A$1:$C$73,3,FALSE),"NA")</f>
        <v>4 Hood Canal</v>
      </c>
      <c r="M1469" s="72" t="s">
        <v>18</v>
      </c>
      <c r="N1469" t="str">
        <f>VLOOKUP(M1469,LUTs!E$2:H$14,3,)</f>
        <v>06King</v>
      </c>
      <c r="O1469" t="str">
        <f>VLOOKUP(M1469,LUTs!E$2:H$14,4,)</f>
        <v>02South Puget Sound</v>
      </c>
      <c r="P1469" s="73">
        <v>64.414141414141397</v>
      </c>
      <c r="Q1469" s="74">
        <f>VLOOKUP(B1469,Readme!A$40:C$51,2,)*P1469</f>
        <v>221.5846464646464</v>
      </c>
    </row>
    <row r="1470" spans="1:17" ht="12" customHeight="1" x14ac:dyDescent="0.35">
      <c r="A1470" s="75">
        <v>1469</v>
      </c>
      <c r="B1470" s="64">
        <v>2013</v>
      </c>
      <c r="C1470" s="64">
        <v>9</v>
      </c>
      <c r="D1470" s="80">
        <f t="shared" si="47"/>
        <v>2013</v>
      </c>
      <c r="E1470" t="s">
        <v>38</v>
      </c>
      <c r="F1470" t="s">
        <v>143</v>
      </c>
      <c r="G1470" t="s">
        <v>10</v>
      </c>
      <c r="H1470" s="72" t="s">
        <v>219</v>
      </c>
      <c r="I1470" s="72" t="s">
        <v>61</v>
      </c>
      <c r="J1470" t="str">
        <f t="shared" si="48"/>
        <v>Skokomish River</v>
      </c>
      <c r="K1470" t="str">
        <f>IFERROR(VLOOKUP(J1470,LUTs!$A$1:$C$73,2,FALSE),"NA")</f>
        <v>Mason</v>
      </c>
      <c r="L1470" t="str">
        <f>IFERROR(VLOOKUP(J1470,LUTs!$A$1:$C$73,3,FALSE),"NA")</f>
        <v>4 Hood Canal</v>
      </c>
      <c r="M1470" s="72" t="s">
        <v>23</v>
      </c>
      <c r="N1470" t="str">
        <f>VLOOKUP(M1470,LUTs!E$2:H$14,3,)</f>
        <v>10Kitsap</v>
      </c>
      <c r="O1470" t="str">
        <f>VLOOKUP(M1470,LUTs!E$2:H$14,4,)</f>
        <v>02South Puget Sound</v>
      </c>
      <c r="P1470" s="73">
        <v>55.212121212121197</v>
      </c>
      <c r="Q1470" s="74">
        <f>VLOOKUP(B1470,Readme!A$40:C$51,2,)*P1470</f>
        <v>189.92969696969692</v>
      </c>
    </row>
    <row r="1471" spans="1:17" ht="12" customHeight="1" x14ac:dyDescent="0.35">
      <c r="A1471" s="75">
        <v>1470</v>
      </c>
      <c r="B1471" s="64">
        <v>2013</v>
      </c>
      <c r="C1471" s="64">
        <v>9</v>
      </c>
      <c r="D1471" s="80">
        <f t="shared" si="47"/>
        <v>2013</v>
      </c>
      <c r="E1471" t="s">
        <v>38</v>
      </c>
      <c r="F1471" t="s">
        <v>143</v>
      </c>
      <c r="G1471" t="s">
        <v>10</v>
      </c>
      <c r="H1471" s="72" t="s">
        <v>219</v>
      </c>
      <c r="I1471" s="72" t="s">
        <v>61</v>
      </c>
      <c r="J1471" t="str">
        <f t="shared" si="48"/>
        <v>Skokomish River</v>
      </c>
      <c r="K1471" t="str">
        <f>IFERROR(VLOOKUP(J1471,LUTs!$A$1:$C$73,2,FALSE),"NA")</f>
        <v>Mason</v>
      </c>
      <c r="L1471" t="str">
        <f>IFERROR(VLOOKUP(J1471,LUTs!$A$1:$C$73,3,FALSE),"NA")</f>
        <v>4 Hood Canal</v>
      </c>
      <c r="M1471" s="72" t="s">
        <v>22</v>
      </c>
      <c r="N1471" t="str">
        <f>VLOOKUP(M1471,LUTs!E$2:H$14,3,)</f>
        <v>09Mason</v>
      </c>
      <c r="O1471" t="str">
        <f>VLOOKUP(M1471,LUTs!E$2:H$14,4,)</f>
        <v>02South Puget Sound</v>
      </c>
      <c r="P1471" s="73">
        <v>294.46464646464699</v>
      </c>
      <c r="Q1471" s="74">
        <f>VLOOKUP(B1471,Readme!A$40:C$51,2,)*P1471</f>
        <v>1012.9583838383857</v>
      </c>
    </row>
    <row r="1472" spans="1:17" ht="12" customHeight="1" x14ac:dyDescent="0.35">
      <c r="A1472" s="75">
        <v>1471</v>
      </c>
      <c r="B1472" s="64">
        <v>2013</v>
      </c>
      <c r="C1472" s="64">
        <v>9</v>
      </c>
      <c r="D1472" s="80">
        <f t="shared" si="47"/>
        <v>2013</v>
      </c>
      <c r="E1472" t="s">
        <v>38</v>
      </c>
      <c r="F1472" t="s">
        <v>143</v>
      </c>
      <c r="G1472" t="s">
        <v>10</v>
      </c>
      <c r="H1472" s="72" t="s">
        <v>219</v>
      </c>
      <c r="I1472" s="72" t="s">
        <v>61</v>
      </c>
      <c r="J1472" t="str">
        <f t="shared" si="48"/>
        <v>Skokomish River</v>
      </c>
      <c r="K1472" t="str">
        <f>IFERROR(VLOOKUP(J1472,LUTs!$A$1:$C$73,2,FALSE),"NA")</f>
        <v>Mason</v>
      </c>
      <c r="L1472" t="str">
        <f>IFERROR(VLOOKUP(J1472,LUTs!$A$1:$C$73,3,FALSE),"NA")</f>
        <v>4 Hood Canal</v>
      </c>
      <c r="M1472" s="72" t="s">
        <v>26</v>
      </c>
      <c r="N1472" t="str">
        <f>VLOOKUP(M1472,LUTs!E$2:H$14,3,)</f>
        <v>20Other</v>
      </c>
      <c r="O1472" t="str">
        <f>VLOOKUP(M1472,LUTs!E$2:H$14,4,)</f>
        <v>07Non Puget Sound</v>
      </c>
      <c r="P1472" s="73">
        <v>119.626262626263</v>
      </c>
      <c r="Q1472" s="74">
        <f>VLOOKUP(B1472,Readme!A$40:C$51,2,)*P1472</f>
        <v>411.51434343434471</v>
      </c>
    </row>
    <row r="1473" spans="1:17" ht="12" customHeight="1" x14ac:dyDescent="0.35">
      <c r="A1473" s="75">
        <v>1472</v>
      </c>
      <c r="B1473" s="64">
        <v>2013</v>
      </c>
      <c r="C1473" s="64">
        <v>9</v>
      </c>
      <c r="D1473" s="80">
        <f t="shared" si="47"/>
        <v>2013</v>
      </c>
      <c r="E1473" t="s">
        <v>38</v>
      </c>
      <c r="F1473" t="s">
        <v>143</v>
      </c>
      <c r="G1473" t="s">
        <v>10</v>
      </c>
      <c r="H1473" s="72" t="s">
        <v>219</v>
      </c>
      <c r="I1473" s="72" t="s">
        <v>61</v>
      </c>
      <c r="J1473" t="str">
        <f t="shared" si="48"/>
        <v>Skokomish River</v>
      </c>
      <c r="K1473" t="str">
        <f>IFERROR(VLOOKUP(J1473,LUTs!$A$1:$C$73,2,FALSE),"NA")</f>
        <v>Mason</v>
      </c>
      <c r="L1473" t="str">
        <f>IFERROR(VLOOKUP(J1473,LUTs!$A$1:$C$73,3,FALSE),"NA")</f>
        <v>4 Hood Canal</v>
      </c>
      <c r="M1473" s="72" t="s">
        <v>20</v>
      </c>
      <c r="N1473" t="str">
        <f>VLOOKUP(M1473,LUTs!E$2:H$14,3,)</f>
        <v>07Pierce</v>
      </c>
      <c r="O1473" t="str">
        <f>VLOOKUP(M1473,LUTs!E$2:H$14,4,)</f>
        <v>02South Puget Sound</v>
      </c>
      <c r="P1473" s="73">
        <v>147.23232323232301</v>
      </c>
      <c r="Q1473" s="74">
        <f>VLOOKUP(B1473,Readme!A$40:C$51,2,)*P1473</f>
        <v>506.47919191919118</v>
      </c>
    </row>
    <row r="1474" spans="1:17" ht="12" customHeight="1" x14ac:dyDescent="0.35">
      <c r="A1474" s="75">
        <v>1473</v>
      </c>
      <c r="B1474" s="64">
        <v>2013</v>
      </c>
      <c r="C1474" s="64">
        <v>9</v>
      </c>
      <c r="D1474" s="80">
        <f t="shared" ref="D1474:D1537" si="49">IF(C1474&gt;3,B1474,B1474-1)</f>
        <v>2013</v>
      </c>
      <c r="E1474" t="s">
        <v>38</v>
      </c>
      <c r="F1474" t="s">
        <v>143</v>
      </c>
      <c r="G1474" t="s">
        <v>10</v>
      </c>
      <c r="H1474" s="72" t="s">
        <v>219</v>
      </c>
      <c r="I1474" s="72" t="s">
        <v>61</v>
      </c>
      <c r="J1474" t="str">
        <f t="shared" si="48"/>
        <v>Skokomish River</v>
      </c>
      <c r="K1474" t="str">
        <f>IFERROR(VLOOKUP(J1474,LUTs!$A$1:$C$73,2,FALSE),"NA")</f>
        <v>Mason</v>
      </c>
      <c r="L1474" t="str">
        <f>IFERROR(VLOOKUP(J1474,LUTs!$A$1:$C$73,3,FALSE),"NA")</f>
        <v>4 Hood Canal</v>
      </c>
      <c r="M1474" s="72" t="s">
        <v>21</v>
      </c>
      <c r="N1474" t="str">
        <f>VLOOKUP(M1474,LUTs!E$2:H$14,3,)</f>
        <v>08Thurston</v>
      </c>
      <c r="O1474" t="str">
        <f>VLOOKUP(M1474,LUTs!E$2:H$14,4,)</f>
        <v>02South Puget Sound</v>
      </c>
      <c r="P1474" s="73">
        <v>230.050505050505</v>
      </c>
      <c r="Q1474" s="74">
        <f>VLOOKUP(B1474,Readme!A$40:C$51,2,)*P1474</f>
        <v>791.37373737373719</v>
      </c>
    </row>
    <row r="1475" spans="1:17" ht="12" customHeight="1" x14ac:dyDescent="0.35">
      <c r="A1475" s="75">
        <v>1474</v>
      </c>
      <c r="B1475" s="64">
        <v>2013</v>
      </c>
      <c r="C1475" s="64">
        <v>10</v>
      </c>
      <c r="D1475" s="80">
        <f t="shared" si="49"/>
        <v>2013</v>
      </c>
      <c r="E1475" t="s">
        <v>38</v>
      </c>
      <c r="F1475" t="s">
        <v>143</v>
      </c>
      <c r="G1475" t="s">
        <v>10</v>
      </c>
      <c r="H1475" s="72" t="s">
        <v>219</v>
      </c>
      <c r="I1475" s="72" t="s">
        <v>61</v>
      </c>
      <c r="J1475" t="str">
        <f t="shared" ref="J1475:J1538" si="50">I1475</f>
        <v>Skokomish River</v>
      </c>
      <c r="K1475" t="str">
        <f>IFERROR(VLOOKUP(J1475,LUTs!$A$1:$C$73,2,FALSE),"NA")</f>
        <v>Mason</v>
      </c>
      <c r="L1475" t="str">
        <f>IFERROR(VLOOKUP(J1475,LUTs!$A$1:$C$73,3,FALSE),"NA")</f>
        <v>4 Hood Canal</v>
      </c>
      <c r="M1475" s="72" t="s">
        <v>25</v>
      </c>
      <c r="N1475" t="str">
        <f>VLOOKUP(M1475,LUTs!E$2:H$14,3,)</f>
        <v>12Jefferson</v>
      </c>
      <c r="O1475" t="str">
        <f>VLOOKUP(M1475,LUTs!E$2:H$14,4,)</f>
        <v>03Strait of Juan de Fuca</v>
      </c>
      <c r="P1475" s="73">
        <v>54.908011869436201</v>
      </c>
      <c r="Q1475" s="74">
        <f>VLOOKUP(B1475,Readme!A$40:C$51,2,)*P1475</f>
        <v>188.88356083086052</v>
      </c>
    </row>
    <row r="1476" spans="1:17" ht="12" customHeight="1" x14ac:dyDescent="0.35">
      <c r="A1476" s="75">
        <v>1475</v>
      </c>
      <c r="B1476" s="64">
        <v>2013</v>
      </c>
      <c r="C1476" s="64">
        <v>10</v>
      </c>
      <c r="D1476" s="80">
        <f t="shared" si="49"/>
        <v>2013</v>
      </c>
      <c r="E1476" t="s">
        <v>38</v>
      </c>
      <c r="F1476" t="s">
        <v>143</v>
      </c>
      <c r="G1476" t="s">
        <v>10</v>
      </c>
      <c r="H1476" s="72" t="s">
        <v>219</v>
      </c>
      <c r="I1476" s="72" t="s">
        <v>61</v>
      </c>
      <c r="J1476" t="str">
        <f t="shared" si="50"/>
        <v>Skokomish River</v>
      </c>
      <c r="K1476" t="str">
        <f>IFERROR(VLOOKUP(J1476,LUTs!$A$1:$C$73,2,FALSE),"NA")</f>
        <v>Mason</v>
      </c>
      <c r="L1476" t="str">
        <f>IFERROR(VLOOKUP(J1476,LUTs!$A$1:$C$73,3,FALSE),"NA")</f>
        <v>4 Hood Canal</v>
      </c>
      <c r="M1476" s="72" t="s">
        <v>18</v>
      </c>
      <c r="N1476" t="str">
        <f>VLOOKUP(M1476,LUTs!E$2:H$14,3,)</f>
        <v>06King</v>
      </c>
      <c r="O1476" t="str">
        <f>VLOOKUP(M1476,LUTs!E$2:H$14,4,)</f>
        <v>02South Puget Sound</v>
      </c>
      <c r="P1476" s="73">
        <v>841.92284866468901</v>
      </c>
      <c r="Q1476" s="74">
        <f>VLOOKUP(B1476,Readme!A$40:C$51,2,)*P1476</f>
        <v>2896.2145994065299</v>
      </c>
    </row>
    <row r="1477" spans="1:17" ht="12" customHeight="1" x14ac:dyDescent="0.35">
      <c r="A1477" s="75">
        <v>1476</v>
      </c>
      <c r="B1477" s="64">
        <v>2013</v>
      </c>
      <c r="C1477" s="64">
        <v>10</v>
      </c>
      <c r="D1477" s="80">
        <f t="shared" si="49"/>
        <v>2013</v>
      </c>
      <c r="E1477" t="s">
        <v>38</v>
      </c>
      <c r="F1477" t="s">
        <v>143</v>
      </c>
      <c r="G1477" t="s">
        <v>10</v>
      </c>
      <c r="H1477" s="72" t="s">
        <v>219</v>
      </c>
      <c r="I1477" s="72" t="s">
        <v>61</v>
      </c>
      <c r="J1477" t="str">
        <f t="shared" si="50"/>
        <v>Skokomish River</v>
      </c>
      <c r="K1477" t="str">
        <f>IFERROR(VLOOKUP(J1477,LUTs!$A$1:$C$73,2,FALSE),"NA")</f>
        <v>Mason</v>
      </c>
      <c r="L1477" t="str">
        <f>IFERROR(VLOOKUP(J1477,LUTs!$A$1:$C$73,3,FALSE),"NA")</f>
        <v>4 Hood Canal</v>
      </c>
      <c r="M1477" s="72" t="s">
        <v>23</v>
      </c>
      <c r="N1477" t="str">
        <f>VLOOKUP(M1477,LUTs!E$2:H$14,3,)</f>
        <v>10Kitsap</v>
      </c>
      <c r="O1477" t="str">
        <f>VLOOKUP(M1477,LUTs!E$2:H$14,4,)</f>
        <v>02South Puget Sound</v>
      </c>
      <c r="P1477" s="73">
        <v>18.302670623145399</v>
      </c>
      <c r="Q1477" s="74">
        <f>VLOOKUP(B1477,Readme!A$40:C$51,2,)*P1477</f>
        <v>62.96118694362017</v>
      </c>
    </row>
    <row r="1478" spans="1:17" ht="12" customHeight="1" x14ac:dyDescent="0.35">
      <c r="A1478" s="75">
        <v>1477</v>
      </c>
      <c r="B1478" s="64">
        <v>2013</v>
      </c>
      <c r="C1478" s="64">
        <v>10</v>
      </c>
      <c r="D1478" s="80">
        <f t="shared" si="49"/>
        <v>2013</v>
      </c>
      <c r="E1478" t="s">
        <v>38</v>
      </c>
      <c r="F1478" t="s">
        <v>143</v>
      </c>
      <c r="G1478" t="s">
        <v>10</v>
      </c>
      <c r="H1478" s="72" t="s">
        <v>219</v>
      </c>
      <c r="I1478" s="72" t="s">
        <v>61</v>
      </c>
      <c r="J1478" t="str">
        <f t="shared" si="50"/>
        <v>Skokomish River</v>
      </c>
      <c r="K1478" t="str">
        <f>IFERROR(VLOOKUP(J1478,LUTs!$A$1:$C$73,2,FALSE),"NA")</f>
        <v>Mason</v>
      </c>
      <c r="L1478" t="str">
        <f>IFERROR(VLOOKUP(J1478,LUTs!$A$1:$C$73,3,FALSE),"NA")</f>
        <v>4 Hood Canal</v>
      </c>
      <c r="M1478" s="72" t="s">
        <v>22</v>
      </c>
      <c r="N1478" t="str">
        <f>VLOOKUP(M1478,LUTs!E$2:H$14,3,)</f>
        <v>09Mason</v>
      </c>
      <c r="O1478" t="str">
        <f>VLOOKUP(M1478,LUTs!E$2:H$14,4,)</f>
        <v>02South Puget Sound</v>
      </c>
      <c r="P1478" s="73">
        <v>311.145400593472</v>
      </c>
      <c r="Q1478" s="74">
        <f>VLOOKUP(B1478,Readme!A$40:C$51,2,)*P1478</f>
        <v>1070.3401780415436</v>
      </c>
    </row>
    <row r="1479" spans="1:17" ht="12" customHeight="1" x14ac:dyDescent="0.35">
      <c r="A1479" s="75">
        <v>1478</v>
      </c>
      <c r="B1479" s="64">
        <v>2013</v>
      </c>
      <c r="C1479" s="64">
        <v>10</v>
      </c>
      <c r="D1479" s="80">
        <f t="shared" si="49"/>
        <v>2013</v>
      </c>
      <c r="E1479" t="s">
        <v>38</v>
      </c>
      <c r="F1479" t="s">
        <v>143</v>
      </c>
      <c r="G1479" t="s">
        <v>10</v>
      </c>
      <c r="H1479" s="72" t="s">
        <v>219</v>
      </c>
      <c r="I1479" s="72" t="s">
        <v>61</v>
      </c>
      <c r="J1479" t="str">
        <f t="shared" si="50"/>
        <v>Skokomish River</v>
      </c>
      <c r="K1479" t="str">
        <f>IFERROR(VLOOKUP(J1479,LUTs!$A$1:$C$73,2,FALSE),"NA")</f>
        <v>Mason</v>
      </c>
      <c r="L1479" t="str">
        <f>IFERROR(VLOOKUP(J1479,LUTs!$A$1:$C$73,3,FALSE),"NA")</f>
        <v>4 Hood Canal</v>
      </c>
      <c r="M1479" s="72" t="s">
        <v>26</v>
      </c>
      <c r="N1479" t="str">
        <f>VLOOKUP(M1479,LUTs!E$2:H$14,3,)</f>
        <v>20Other</v>
      </c>
      <c r="O1479" t="str">
        <f>VLOOKUP(M1479,LUTs!E$2:H$14,4,)</f>
        <v>07Non Puget Sound</v>
      </c>
      <c r="P1479" s="73">
        <v>649.74480712166201</v>
      </c>
      <c r="Q1479" s="74">
        <f>VLOOKUP(B1479,Readme!A$40:C$51,2,)*P1479</f>
        <v>2235.1221364985172</v>
      </c>
    </row>
    <row r="1480" spans="1:17" ht="12" customHeight="1" x14ac:dyDescent="0.35">
      <c r="A1480" s="75">
        <v>1479</v>
      </c>
      <c r="B1480" s="64">
        <v>2013</v>
      </c>
      <c r="C1480" s="64">
        <v>10</v>
      </c>
      <c r="D1480" s="80">
        <f t="shared" si="49"/>
        <v>2013</v>
      </c>
      <c r="E1480" t="s">
        <v>38</v>
      </c>
      <c r="F1480" t="s">
        <v>143</v>
      </c>
      <c r="G1480" t="s">
        <v>10</v>
      </c>
      <c r="H1480" s="72" t="s">
        <v>219</v>
      </c>
      <c r="I1480" s="72" t="s">
        <v>61</v>
      </c>
      <c r="J1480" t="str">
        <f t="shared" si="50"/>
        <v>Skokomish River</v>
      </c>
      <c r="K1480" t="str">
        <f>IFERROR(VLOOKUP(J1480,LUTs!$A$1:$C$73,2,FALSE),"NA")</f>
        <v>Mason</v>
      </c>
      <c r="L1480" t="str">
        <f>IFERROR(VLOOKUP(J1480,LUTs!$A$1:$C$73,3,FALSE),"NA")</f>
        <v>4 Hood Canal</v>
      </c>
      <c r="M1480" s="72" t="s">
        <v>20</v>
      </c>
      <c r="N1480" t="str">
        <f>VLOOKUP(M1480,LUTs!E$2:H$14,3,)</f>
        <v>07Pierce</v>
      </c>
      <c r="O1480" t="str">
        <f>VLOOKUP(M1480,LUTs!E$2:H$14,4,)</f>
        <v>02South Puget Sound</v>
      </c>
      <c r="P1480" s="73">
        <v>668.047477744807</v>
      </c>
      <c r="Q1480" s="74">
        <f>VLOOKUP(B1480,Readme!A$40:C$51,2,)*P1480</f>
        <v>2298.0833234421361</v>
      </c>
    </row>
    <row r="1481" spans="1:17" ht="12" customHeight="1" x14ac:dyDescent="0.35">
      <c r="A1481" s="75">
        <v>1480</v>
      </c>
      <c r="B1481" s="64">
        <v>2013</v>
      </c>
      <c r="C1481" s="64">
        <v>10</v>
      </c>
      <c r="D1481" s="80">
        <f t="shared" si="49"/>
        <v>2013</v>
      </c>
      <c r="E1481" t="s">
        <v>38</v>
      </c>
      <c r="F1481" t="s">
        <v>143</v>
      </c>
      <c r="G1481" t="s">
        <v>10</v>
      </c>
      <c r="H1481" s="72" t="s">
        <v>219</v>
      </c>
      <c r="I1481" s="72" t="s">
        <v>61</v>
      </c>
      <c r="J1481" t="str">
        <f t="shared" si="50"/>
        <v>Skokomish River</v>
      </c>
      <c r="K1481" t="str">
        <f>IFERROR(VLOOKUP(J1481,LUTs!$A$1:$C$73,2,FALSE),"NA")</f>
        <v>Mason</v>
      </c>
      <c r="L1481" t="str">
        <f>IFERROR(VLOOKUP(J1481,LUTs!$A$1:$C$73,3,FALSE),"NA")</f>
        <v>4 Hood Canal</v>
      </c>
      <c r="M1481" s="72" t="s">
        <v>16</v>
      </c>
      <c r="N1481" t="str">
        <f>VLOOKUP(M1481,LUTs!E$2:H$14,3,)</f>
        <v>03Snohomish</v>
      </c>
      <c r="O1481" t="str">
        <f>VLOOKUP(M1481,LUTs!E$2:H$14,4,)</f>
        <v>01North Puget Sound</v>
      </c>
      <c r="P1481" s="73">
        <v>64.059347181008903</v>
      </c>
      <c r="Q1481" s="74">
        <f>VLOOKUP(B1481,Readme!A$40:C$51,2,)*P1481</f>
        <v>220.36415430267061</v>
      </c>
    </row>
    <row r="1482" spans="1:17" ht="12" customHeight="1" x14ac:dyDescent="0.35">
      <c r="A1482" s="75">
        <v>1481</v>
      </c>
      <c r="B1482" s="64">
        <v>2013</v>
      </c>
      <c r="C1482" s="64">
        <v>10</v>
      </c>
      <c r="D1482" s="80">
        <f t="shared" si="49"/>
        <v>2013</v>
      </c>
      <c r="E1482" t="s">
        <v>38</v>
      </c>
      <c r="F1482" t="s">
        <v>143</v>
      </c>
      <c r="G1482" t="s">
        <v>10</v>
      </c>
      <c r="H1482" s="72" t="s">
        <v>219</v>
      </c>
      <c r="I1482" s="72" t="s">
        <v>61</v>
      </c>
      <c r="J1482" t="str">
        <f t="shared" si="50"/>
        <v>Skokomish River</v>
      </c>
      <c r="K1482" t="str">
        <f>IFERROR(VLOOKUP(J1482,LUTs!$A$1:$C$73,2,FALSE),"NA")</f>
        <v>Mason</v>
      </c>
      <c r="L1482" t="str">
        <f>IFERROR(VLOOKUP(J1482,LUTs!$A$1:$C$73,3,FALSE),"NA")</f>
        <v>4 Hood Canal</v>
      </c>
      <c r="M1482" s="72" t="s">
        <v>21</v>
      </c>
      <c r="N1482" t="str">
        <f>VLOOKUP(M1482,LUTs!E$2:H$14,3,)</f>
        <v>08Thurston</v>
      </c>
      <c r="O1482" t="str">
        <f>VLOOKUP(M1482,LUTs!E$2:H$14,4,)</f>
        <v>02South Puget Sound</v>
      </c>
      <c r="P1482" s="73">
        <v>475.86943620178101</v>
      </c>
      <c r="Q1482" s="74">
        <f>VLOOKUP(B1482,Readme!A$40:C$51,2,)*P1482</f>
        <v>1636.9908605341266</v>
      </c>
    </row>
    <row r="1483" spans="1:17" ht="12" customHeight="1" x14ac:dyDescent="0.35">
      <c r="A1483" s="75">
        <v>1482</v>
      </c>
      <c r="B1483" s="64">
        <v>2013</v>
      </c>
      <c r="C1483" s="64">
        <v>11</v>
      </c>
      <c r="D1483" s="80">
        <f t="shared" si="49"/>
        <v>2013</v>
      </c>
      <c r="E1483" t="s">
        <v>38</v>
      </c>
      <c r="F1483" t="s">
        <v>143</v>
      </c>
      <c r="G1483" t="s">
        <v>10</v>
      </c>
      <c r="H1483" s="72" t="s">
        <v>219</v>
      </c>
      <c r="I1483" s="72" t="s">
        <v>61</v>
      </c>
      <c r="J1483" t="str">
        <f t="shared" si="50"/>
        <v>Skokomish River</v>
      </c>
      <c r="K1483" t="str">
        <f>IFERROR(VLOOKUP(J1483,LUTs!$A$1:$C$73,2,FALSE),"NA")</f>
        <v>Mason</v>
      </c>
      <c r="L1483" t="str">
        <f>IFERROR(VLOOKUP(J1483,LUTs!$A$1:$C$73,3,FALSE),"NA")</f>
        <v>4 Hood Canal</v>
      </c>
      <c r="M1483" s="72" t="s">
        <v>18</v>
      </c>
      <c r="N1483" t="str">
        <f>VLOOKUP(M1483,LUTs!E$2:H$14,3,)</f>
        <v>06King</v>
      </c>
      <c r="O1483" t="str">
        <f>VLOOKUP(M1483,LUTs!E$2:H$14,4,)</f>
        <v>02South Puget Sound</v>
      </c>
      <c r="P1483" s="73">
        <v>1452.93103448276</v>
      </c>
      <c r="Q1483" s="74">
        <f>VLOOKUP(B1483,Readme!A$40:C$51,2,)*P1483</f>
        <v>4998.0827586206942</v>
      </c>
    </row>
    <row r="1484" spans="1:17" ht="12" customHeight="1" x14ac:dyDescent="0.35">
      <c r="A1484" s="75">
        <v>1483</v>
      </c>
      <c r="B1484" s="64">
        <v>2013</v>
      </c>
      <c r="C1484" s="64">
        <v>11</v>
      </c>
      <c r="D1484" s="80">
        <f t="shared" si="49"/>
        <v>2013</v>
      </c>
      <c r="E1484" t="s">
        <v>38</v>
      </c>
      <c r="F1484" t="s">
        <v>143</v>
      </c>
      <c r="G1484" t="s">
        <v>10</v>
      </c>
      <c r="H1484" s="72" t="s">
        <v>219</v>
      </c>
      <c r="I1484" s="72" t="s">
        <v>61</v>
      </c>
      <c r="J1484" t="str">
        <f t="shared" si="50"/>
        <v>Skokomish River</v>
      </c>
      <c r="K1484" t="str">
        <f>IFERROR(VLOOKUP(J1484,LUTs!$A$1:$C$73,2,FALSE),"NA")</f>
        <v>Mason</v>
      </c>
      <c r="L1484" t="str">
        <f>IFERROR(VLOOKUP(J1484,LUTs!$A$1:$C$73,3,FALSE),"NA")</f>
        <v>4 Hood Canal</v>
      </c>
      <c r="M1484" s="72" t="s">
        <v>23</v>
      </c>
      <c r="N1484" t="str">
        <f>VLOOKUP(M1484,LUTs!E$2:H$14,3,)</f>
        <v>10Kitsap</v>
      </c>
      <c r="O1484" t="str">
        <f>VLOOKUP(M1484,LUTs!E$2:H$14,4,)</f>
        <v>02South Puget Sound</v>
      </c>
      <c r="P1484" s="73">
        <v>155.344827586207</v>
      </c>
      <c r="Q1484" s="74">
        <f>VLOOKUP(B1484,Readme!A$40:C$51,2,)*P1484</f>
        <v>534.38620689655204</v>
      </c>
    </row>
    <row r="1485" spans="1:17" ht="12" customHeight="1" x14ac:dyDescent="0.35">
      <c r="A1485" s="75">
        <v>1484</v>
      </c>
      <c r="B1485" s="64">
        <v>2013</v>
      </c>
      <c r="C1485" s="64">
        <v>11</v>
      </c>
      <c r="D1485" s="80">
        <f t="shared" si="49"/>
        <v>2013</v>
      </c>
      <c r="E1485" t="s">
        <v>38</v>
      </c>
      <c r="F1485" t="s">
        <v>143</v>
      </c>
      <c r="G1485" t="s">
        <v>10</v>
      </c>
      <c r="H1485" s="72" t="s">
        <v>219</v>
      </c>
      <c r="I1485" s="72" t="s">
        <v>61</v>
      </c>
      <c r="J1485" t="str">
        <f t="shared" si="50"/>
        <v>Skokomish River</v>
      </c>
      <c r="K1485" t="str">
        <f>IFERROR(VLOOKUP(J1485,LUTs!$A$1:$C$73,2,FALSE),"NA")</f>
        <v>Mason</v>
      </c>
      <c r="L1485" t="str">
        <f>IFERROR(VLOOKUP(J1485,LUTs!$A$1:$C$73,3,FALSE),"NA")</f>
        <v>4 Hood Canal</v>
      </c>
      <c r="M1485" s="72" t="s">
        <v>22</v>
      </c>
      <c r="N1485" t="str">
        <f>VLOOKUP(M1485,LUTs!E$2:H$14,3,)</f>
        <v>09Mason</v>
      </c>
      <c r="O1485" t="str">
        <f>VLOOKUP(M1485,LUTs!E$2:H$14,4,)</f>
        <v>02South Puget Sound</v>
      </c>
      <c r="P1485" s="73">
        <v>137.068965517241</v>
      </c>
      <c r="Q1485" s="74">
        <f>VLOOKUP(B1485,Readme!A$40:C$51,2,)*P1485</f>
        <v>471.51724137930904</v>
      </c>
    </row>
    <row r="1486" spans="1:17" ht="12" customHeight="1" x14ac:dyDescent="0.35">
      <c r="A1486" s="75">
        <v>1485</v>
      </c>
      <c r="B1486" s="64">
        <v>2013</v>
      </c>
      <c r="C1486" s="64">
        <v>11</v>
      </c>
      <c r="D1486" s="80">
        <f t="shared" si="49"/>
        <v>2013</v>
      </c>
      <c r="E1486" t="s">
        <v>38</v>
      </c>
      <c r="F1486" t="s">
        <v>143</v>
      </c>
      <c r="G1486" t="s">
        <v>10</v>
      </c>
      <c r="H1486" s="72" t="s">
        <v>219</v>
      </c>
      <c r="I1486" s="72" t="s">
        <v>61</v>
      </c>
      <c r="J1486" t="str">
        <f t="shared" si="50"/>
        <v>Skokomish River</v>
      </c>
      <c r="K1486" t="str">
        <f>IFERROR(VLOOKUP(J1486,LUTs!$A$1:$C$73,2,FALSE),"NA")</f>
        <v>Mason</v>
      </c>
      <c r="L1486" t="str">
        <f>IFERROR(VLOOKUP(J1486,LUTs!$A$1:$C$73,3,FALSE),"NA")</f>
        <v>4 Hood Canal</v>
      </c>
      <c r="M1486" s="72" t="s">
        <v>26</v>
      </c>
      <c r="N1486" t="str">
        <f>VLOOKUP(M1486,LUTs!E$2:H$14,3,)</f>
        <v>20Other</v>
      </c>
      <c r="O1486" t="str">
        <f>VLOOKUP(M1486,LUTs!E$2:H$14,4,)</f>
        <v>07Non Puget Sound</v>
      </c>
      <c r="P1486" s="73">
        <v>246.72413793103499</v>
      </c>
      <c r="Q1486" s="74">
        <f>VLOOKUP(B1486,Readme!A$40:C$51,2,)*P1486</f>
        <v>848.73103448276038</v>
      </c>
    </row>
    <row r="1487" spans="1:17" ht="12" customHeight="1" x14ac:dyDescent="0.35">
      <c r="A1487" s="75">
        <v>1486</v>
      </c>
      <c r="B1487" s="64">
        <v>2013</v>
      </c>
      <c r="C1487" s="64">
        <v>11</v>
      </c>
      <c r="D1487" s="80">
        <f t="shared" si="49"/>
        <v>2013</v>
      </c>
      <c r="E1487" t="s">
        <v>38</v>
      </c>
      <c r="F1487" t="s">
        <v>143</v>
      </c>
      <c r="G1487" t="s">
        <v>10</v>
      </c>
      <c r="H1487" s="72" t="s">
        <v>219</v>
      </c>
      <c r="I1487" s="72" t="s">
        <v>61</v>
      </c>
      <c r="J1487" t="str">
        <f t="shared" si="50"/>
        <v>Skokomish River</v>
      </c>
      <c r="K1487" t="str">
        <f>IFERROR(VLOOKUP(J1487,LUTs!$A$1:$C$73,2,FALSE),"NA")</f>
        <v>Mason</v>
      </c>
      <c r="L1487" t="str">
        <f>IFERROR(VLOOKUP(J1487,LUTs!$A$1:$C$73,3,FALSE),"NA")</f>
        <v>4 Hood Canal</v>
      </c>
      <c r="M1487" s="72" t="s">
        <v>20</v>
      </c>
      <c r="N1487" t="str">
        <f>VLOOKUP(M1487,LUTs!E$2:H$14,3,)</f>
        <v>07Pierce</v>
      </c>
      <c r="O1487" t="str">
        <f>VLOOKUP(M1487,LUTs!E$2:H$14,4,)</f>
        <v>02South Puget Sound</v>
      </c>
      <c r="P1487" s="73">
        <v>795</v>
      </c>
      <c r="Q1487" s="74">
        <f>VLOOKUP(B1487,Readme!A$40:C$51,2,)*P1487</f>
        <v>2734.8</v>
      </c>
    </row>
    <row r="1488" spans="1:17" ht="12" customHeight="1" x14ac:dyDescent="0.35">
      <c r="A1488" s="75">
        <v>1487</v>
      </c>
      <c r="B1488" s="64">
        <v>2013</v>
      </c>
      <c r="C1488" s="64">
        <v>11</v>
      </c>
      <c r="D1488" s="80">
        <f t="shared" si="49"/>
        <v>2013</v>
      </c>
      <c r="E1488" t="s">
        <v>38</v>
      </c>
      <c r="F1488" t="s">
        <v>143</v>
      </c>
      <c r="G1488" t="s">
        <v>10</v>
      </c>
      <c r="H1488" s="72" t="s">
        <v>219</v>
      </c>
      <c r="I1488" s="72" t="s">
        <v>61</v>
      </c>
      <c r="J1488" t="str">
        <f t="shared" si="50"/>
        <v>Skokomish River</v>
      </c>
      <c r="K1488" t="str">
        <f>IFERROR(VLOOKUP(J1488,LUTs!$A$1:$C$73,2,FALSE),"NA")</f>
        <v>Mason</v>
      </c>
      <c r="L1488" t="str">
        <f>IFERROR(VLOOKUP(J1488,LUTs!$A$1:$C$73,3,FALSE),"NA")</f>
        <v>4 Hood Canal</v>
      </c>
      <c r="M1488" s="72" t="s">
        <v>16</v>
      </c>
      <c r="N1488" t="str">
        <f>VLOOKUP(M1488,LUTs!E$2:H$14,3,)</f>
        <v>03Snohomish</v>
      </c>
      <c r="O1488" t="str">
        <f>VLOOKUP(M1488,LUTs!E$2:H$14,4,)</f>
        <v>01North Puget Sound</v>
      </c>
      <c r="P1488" s="73">
        <v>338.10344827586198</v>
      </c>
      <c r="Q1488" s="74">
        <f>VLOOKUP(B1488,Readme!A$40:C$51,2,)*P1488</f>
        <v>1163.0758620689651</v>
      </c>
    </row>
    <row r="1489" spans="1:17" ht="12" customHeight="1" x14ac:dyDescent="0.35">
      <c r="A1489" s="75">
        <v>1488</v>
      </c>
      <c r="B1489" s="64">
        <v>2013</v>
      </c>
      <c r="C1489" s="64">
        <v>11</v>
      </c>
      <c r="D1489" s="80">
        <f t="shared" si="49"/>
        <v>2013</v>
      </c>
      <c r="E1489" t="s">
        <v>38</v>
      </c>
      <c r="F1489" t="s">
        <v>143</v>
      </c>
      <c r="G1489" t="s">
        <v>10</v>
      </c>
      <c r="H1489" s="72" t="s">
        <v>219</v>
      </c>
      <c r="I1489" s="72" t="s">
        <v>61</v>
      </c>
      <c r="J1489" t="str">
        <f t="shared" si="50"/>
        <v>Skokomish River</v>
      </c>
      <c r="K1489" t="str">
        <f>IFERROR(VLOOKUP(J1489,LUTs!$A$1:$C$73,2,FALSE),"NA")</f>
        <v>Mason</v>
      </c>
      <c r="L1489" t="str">
        <f>IFERROR(VLOOKUP(J1489,LUTs!$A$1:$C$73,3,FALSE),"NA")</f>
        <v>4 Hood Canal</v>
      </c>
      <c r="M1489" s="72" t="s">
        <v>21</v>
      </c>
      <c r="N1489" t="str">
        <f>VLOOKUP(M1489,LUTs!E$2:H$14,3,)</f>
        <v>08Thurston</v>
      </c>
      <c r="O1489" t="str">
        <f>VLOOKUP(M1489,LUTs!E$2:H$14,4,)</f>
        <v>02South Puget Sound</v>
      </c>
      <c r="P1489" s="73">
        <v>584.82758620689697</v>
      </c>
      <c r="Q1489" s="74">
        <f>VLOOKUP(B1489,Readme!A$40:C$51,2,)*P1489</f>
        <v>2011.8068965517255</v>
      </c>
    </row>
    <row r="1490" spans="1:17" ht="12" customHeight="1" x14ac:dyDescent="0.35">
      <c r="A1490" s="75">
        <v>1489</v>
      </c>
      <c r="B1490" s="64">
        <v>2013</v>
      </c>
      <c r="C1490" s="64">
        <v>12</v>
      </c>
      <c r="D1490" s="80">
        <f t="shared" si="49"/>
        <v>2013</v>
      </c>
      <c r="E1490" t="s">
        <v>38</v>
      </c>
      <c r="F1490" t="s">
        <v>143</v>
      </c>
      <c r="G1490" t="s">
        <v>10</v>
      </c>
      <c r="H1490" s="72" t="s">
        <v>219</v>
      </c>
      <c r="I1490" s="72" t="s">
        <v>61</v>
      </c>
      <c r="J1490" t="str">
        <f t="shared" si="50"/>
        <v>Skokomish River</v>
      </c>
      <c r="K1490" t="str">
        <f>IFERROR(VLOOKUP(J1490,LUTs!$A$1:$C$73,2,FALSE),"NA")</f>
        <v>Mason</v>
      </c>
      <c r="L1490" t="str">
        <f>IFERROR(VLOOKUP(J1490,LUTs!$A$1:$C$73,3,FALSE),"NA")</f>
        <v>4 Hood Canal</v>
      </c>
      <c r="M1490" s="72" t="s">
        <v>18</v>
      </c>
      <c r="N1490" t="str">
        <f>VLOOKUP(M1490,LUTs!E$2:H$14,3,)</f>
        <v>06King</v>
      </c>
      <c r="O1490" t="str">
        <f>VLOOKUP(M1490,LUTs!E$2:H$14,4,)</f>
        <v>02South Puget Sound</v>
      </c>
      <c r="P1490" s="73">
        <v>9.1111111111111107</v>
      </c>
      <c r="Q1490" s="74">
        <f>VLOOKUP(B1490,Readme!A$40:C$51,2,)*P1490</f>
        <v>31.342222222222219</v>
      </c>
    </row>
    <row r="1491" spans="1:17" ht="12" customHeight="1" x14ac:dyDescent="0.35">
      <c r="A1491" s="75">
        <v>1490</v>
      </c>
      <c r="B1491" s="64">
        <v>2013</v>
      </c>
      <c r="C1491" s="64">
        <v>12</v>
      </c>
      <c r="D1491" s="80">
        <f t="shared" si="49"/>
        <v>2013</v>
      </c>
      <c r="E1491" t="s">
        <v>38</v>
      </c>
      <c r="F1491" t="s">
        <v>143</v>
      </c>
      <c r="G1491" t="s">
        <v>10</v>
      </c>
      <c r="H1491" s="72" t="s">
        <v>219</v>
      </c>
      <c r="I1491" s="72" t="s">
        <v>61</v>
      </c>
      <c r="J1491" t="str">
        <f t="shared" si="50"/>
        <v>Skokomish River</v>
      </c>
      <c r="K1491" t="str">
        <f>IFERROR(VLOOKUP(J1491,LUTs!$A$1:$C$73,2,FALSE),"NA")</f>
        <v>Mason</v>
      </c>
      <c r="L1491" t="str">
        <f>IFERROR(VLOOKUP(J1491,LUTs!$A$1:$C$73,3,FALSE),"NA")</f>
        <v>4 Hood Canal</v>
      </c>
      <c r="M1491" s="72" t="s">
        <v>20</v>
      </c>
      <c r="N1491" t="str">
        <f>VLOOKUP(M1491,LUTs!E$2:H$14,3,)</f>
        <v>07Pierce</v>
      </c>
      <c r="O1491" t="str">
        <f>VLOOKUP(M1491,LUTs!E$2:H$14,4,)</f>
        <v>02South Puget Sound</v>
      </c>
      <c r="P1491" s="73">
        <v>18.2222222222222</v>
      </c>
      <c r="Q1491" s="74">
        <f>VLOOKUP(B1491,Readme!A$40:C$51,2,)*P1491</f>
        <v>62.684444444444367</v>
      </c>
    </row>
    <row r="1492" spans="1:17" ht="12" customHeight="1" x14ac:dyDescent="0.35">
      <c r="A1492" s="75">
        <v>1491</v>
      </c>
      <c r="B1492" s="64">
        <v>2013</v>
      </c>
      <c r="C1492" s="64">
        <v>12</v>
      </c>
      <c r="D1492" s="80">
        <f t="shared" si="49"/>
        <v>2013</v>
      </c>
      <c r="E1492" t="s">
        <v>38</v>
      </c>
      <c r="F1492" t="s">
        <v>143</v>
      </c>
      <c r="G1492" t="s">
        <v>10</v>
      </c>
      <c r="H1492" s="72" t="s">
        <v>219</v>
      </c>
      <c r="I1492" s="72" t="s">
        <v>61</v>
      </c>
      <c r="J1492" t="str">
        <f t="shared" si="50"/>
        <v>Skokomish River</v>
      </c>
      <c r="K1492" t="str">
        <f>IFERROR(VLOOKUP(J1492,LUTs!$A$1:$C$73,2,FALSE),"NA")</f>
        <v>Mason</v>
      </c>
      <c r="L1492" t="str">
        <f>IFERROR(VLOOKUP(J1492,LUTs!$A$1:$C$73,3,FALSE),"NA")</f>
        <v>4 Hood Canal</v>
      </c>
      <c r="M1492" s="72" t="s">
        <v>16</v>
      </c>
      <c r="N1492" t="str">
        <f>VLOOKUP(M1492,LUTs!E$2:H$14,3,)</f>
        <v>03Snohomish</v>
      </c>
      <c r="O1492" t="str">
        <f>VLOOKUP(M1492,LUTs!E$2:H$14,4,)</f>
        <v>01North Puget Sound</v>
      </c>
      <c r="P1492" s="73">
        <v>54.6666666666667</v>
      </c>
      <c r="Q1492" s="74">
        <f>VLOOKUP(B1492,Readme!A$40:C$51,2,)*P1492</f>
        <v>188.05333333333346</v>
      </c>
    </row>
    <row r="1493" spans="1:17" ht="12" customHeight="1" x14ac:dyDescent="0.35">
      <c r="A1493" s="75">
        <v>1492</v>
      </c>
      <c r="B1493" s="64">
        <v>2013</v>
      </c>
      <c r="C1493" s="64">
        <v>5</v>
      </c>
      <c r="D1493" s="80">
        <f t="shared" si="49"/>
        <v>2013</v>
      </c>
      <c r="E1493" t="s">
        <v>38</v>
      </c>
      <c r="F1493" t="s">
        <v>143</v>
      </c>
      <c r="G1493" t="s">
        <v>10</v>
      </c>
      <c r="H1493" s="72" t="s">
        <v>220</v>
      </c>
      <c r="I1493" s="72" t="s">
        <v>62</v>
      </c>
      <c r="J1493" t="str">
        <f t="shared" si="50"/>
        <v>Skykomish River</v>
      </c>
      <c r="K1493" t="str">
        <f>IFERROR(VLOOKUP(J1493,LUTs!$A$1:$C$73,2,FALSE),"NA")</f>
        <v>Snohomish</v>
      </c>
      <c r="L1493" t="str">
        <f>IFERROR(VLOOKUP(J1493,LUTs!$A$1:$C$73,3,FALSE),"NA")</f>
        <v>2Central Puget Sound</v>
      </c>
      <c r="M1493" s="72" t="s">
        <v>18</v>
      </c>
      <c r="N1493" t="str">
        <f>VLOOKUP(M1493,LUTs!E$2:H$14,3,)</f>
        <v>06King</v>
      </c>
      <c r="O1493" t="str">
        <f>VLOOKUP(M1493,LUTs!E$2:H$14,4,)</f>
        <v>02South Puget Sound</v>
      </c>
      <c r="P1493" s="73">
        <v>9</v>
      </c>
      <c r="Q1493" s="74">
        <f>VLOOKUP(B1493,Readme!A$40:C$51,2,)*P1493</f>
        <v>30.96</v>
      </c>
    </row>
    <row r="1494" spans="1:17" ht="12" customHeight="1" x14ac:dyDescent="0.35">
      <c r="A1494" s="75">
        <v>1493</v>
      </c>
      <c r="B1494" s="64">
        <v>2013</v>
      </c>
      <c r="C1494" s="64">
        <v>5</v>
      </c>
      <c r="D1494" s="80">
        <f t="shared" si="49"/>
        <v>2013</v>
      </c>
      <c r="E1494" t="s">
        <v>38</v>
      </c>
      <c r="F1494" t="s">
        <v>143</v>
      </c>
      <c r="G1494" t="s">
        <v>10</v>
      </c>
      <c r="H1494" s="72" t="s">
        <v>220</v>
      </c>
      <c r="I1494" s="72" t="s">
        <v>62</v>
      </c>
      <c r="J1494" t="str">
        <f t="shared" si="50"/>
        <v>Skykomish River</v>
      </c>
      <c r="K1494" t="str">
        <f>IFERROR(VLOOKUP(J1494,LUTs!$A$1:$C$73,2,FALSE),"NA")</f>
        <v>Snohomish</v>
      </c>
      <c r="L1494" t="str">
        <f>IFERROR(VLOOKUP(J1494,LUTs!$A$1:$C$73,3,FALSE),"NA")</f>
        <v>2Central Puget Sound</v>
      </c>
      <c r="M1494" s="72" t="s">
        <v>20</v>
      </c>
      <c r="N1494" t="str">
        <f>VLOOKUP(M1494,LUTs!E$2:H$14,3,)</f>
        <v>07Pierce</v>
      </c>
      <c r="O1494" t="str">
        <f>VLOOKUP(M1494,LUTs!E$2:H$14,4,)</f>
        <v>02South Puget Sound</v>
      </c>
      <c r="P1494" s="73">
        <v>9</v>
      </c>
      <c r="Q1494" s="74">
        <f>VLOOKUP(B1494,Readme!A$40:C$51,2,)*P1494</f>
        <v>30.96</v>
      </c>
    </row>
    <row r="1495" spans="1:17" ht="12" customHeight="1" x14ac:dyDescent="0.35">
      <c r="A1495" s="75">
        <v>1494</v>
      </c>
      <c r="B1495" s="64">
        <v>2013</v>
      </c>
      <c r="C1495" s="64">
        <v>6</v>
      </c>
      <c r="D1495" s="80">
        <f t="shared" si="49"/>
        <v>2013</v>
      </c>
      <c r="E1495" t="s">
        <v>38</v>
      </c>
      <c r="F1495" t="s">
        <v>143</v>
      </c>
      <c r="G1495" t="s">
        <v>10</v>
      </c>
      <c r="H1495" s="72" t="s">
        <v>220</v>
      </c>
      <c r="I1495" s="72" t="s">
        <v>62</v>
      </c>
      <c r="J1495" t="str">
        <f t="shared" si="50"/>
        <v>Skykomish River</v>
      </c>
      <c r="K1495" t="str">
        <f>IFERROR(VLOOKUP(J1495,LUTs!$A$1:$C$73,2,FALSE),"NA")</f>
        <v>Snohomish</v>
      </c>
      <c r="L1495" t="str">
        <f>IFERROR(VLOOKUP(J1495,LUTs!$A$1:$C$73,3,FALSE),"NA")</f>
        <v>2Central Puget Sound</v>
      </c>
      <c r="M1495" s="72" t="s">
        <v>17</v>
      </c>
      <c r="N1495" t="str">
        <f>VLOOKUP(M1495,LUTs!E$2:H$14,3,)</f>
        <v>04Island</v>
      </c>
      <c r="O1495" t="str">
        <f>VLOOKUP(M1495,LUTs!E$2:H$14,4,)</f>
        <v>01North Puget Sound</v>
      </c>
      <c r="P1495" s="73">
        <v>17.7222222222222</v>
      </c>
      <c r="Q1495" s="74">
        <f>VLOOKUP(B1495,Readme!A$40:C$51,2,)*P1495</f>
        <v>60.964444444444368</v>
      </c>
    </row>
    <row r="1496" spans="1:17" ht="12" customHeight="1" x14ac:dyDescent="0.35">
      <c r="A1496" s="75">
        <v>1495</v>
      </c>
      <c r="B1496" s="64">
        <v>2013</v>
      </c>
      <c r="C1496" s="64">
        <v>6</v>
      </c>
      <c r="D1496" s="80">
        <f t="shared" si="49"/>
        <v>2013</v>
      </c>
      <c r="E1496" t="s">
        <v>38</v>
      </c>
      <c r="F1496" t="s">
        <v>143</v>
      </c>
      <c r="G1496" t="s">
        <v>10</v>
      </c>
      <c r="H1496" s="72" t="s">
        <v>220</v>
      </c>
      <c r="I1496" s="72" t="s">
        <v>62</v>
      </c>
      <c r="J1496" t="str">
        <f t="shared" si="50"/>
        <v>Skykomish River</v>
      </c>
      <c r="K1496" t="str">
        <f>IFERROR(VLOOKUP(J1496,LUTs!$A$1:$C$73,2,FALSE),"NA")</f>
        <v>Snohomish</v>
      </c>
      <c r="L1496" t="str">
        <f>IFERROR(VLOOKUP(J1496,LUTs!$A$1:$C$73,3,FALSE),"NA")</f>
        <v>2Central Puget Sound</v>
      </c>
      <c r="M1496" s="72" t="s">
        <v>18</v>
      </c>
      <c r="N1496" t="str">
        <f>VLOOKUP(M1496,LUTs!E$2:H$14,3,)</f>
        <v>06King</v>
      </c>
      <c r="O1496" t="str">
        <f>VLOOKUP(M1496,LUTs!E$2:H$14,4,)</f>
        <v>02South Puget Sound</v>
      </c>
      <c r="P1496" s="73">
        <v>97.4722222222223</v>
      </c>
      <c r="Q1496" s="74">
        <f>VLOOKUP(B1496,Readme!A$40:C$51,2,)*P1496</f>
        <v>335.3044444444447</v>
      </c>
    </row>
    <row r="1497" spans="1:17" ht="12" customHeight="1" x14ac:dyDescent="0.35">
      <c r="A1497" s="75">
        <v>1496</v>
      </c>
      <c r="B1497" s="64">
        <v>2013</v>
      </c>
      <c r="C1497" s="64">
        <v>6</v>
      </c>
      <c r="D1497" s="80">
        <f t="shared" si="49"/>
        <v>2013</v>
      </c>
      <c r="E1497" t="s">
        <v>38</v>
      </c>
      <c r="F1497" t="s">
        <v>143</v>
      </c>
      <c r="G1497" t="s">
        <v>10</v>
      </c>
      <c r="H1497" s="72" t="s">
        <v>220</v>
      </c>
      <c r="I1497" s="72" t="s">
        <v>62</v>
      </c>
      <c r="J1497" t="str">
        <f t="shared" si="50"/>
        <v>Skykomish River</v>
      </c>
      <c r="K1497" t="str">
        <f>IFERROR(VLOOKUP(J1497,LUTs!$A$1:$C$73,2,FALSE),"NA")</f>
        <v>Snohomish</v>
      </c>
      <c r="L1497" t="str">
        <f>IFERROR(VLOOKUP(J1497,LUTs!$A$1:$C$73,3,FALSE),"NA")</f>
        <v>2Central Puget Sound</v>
      </c>
      <c r="M1497" s="72" t="s">
        <v>23</v>
      </c>
      <c r="N1497" t="str">
        <f>VLOOKUP(M1497,LUTs!E$2:H$14,3,)</f>
        <v>10Kitsap</v>
      </c>
      <c r="O1497" t="str">
        <f>VLOOKUP(M1497,LUTs!E$2:H$14,4,)</f>
        <v>02South Puget Sound</v>
      </c>
      <c r="P1497" s="73">
        <v>8.8611111111111107</v>
      </c>
      <c r="Q1497" s="74">
        <f>VLOOKUP(B1497,Readme!A$40:C$51,2,)*P1497</f>
        <v>30.482222222222219</v>
      </c>
    </row>
    <row r="1498" spans="1:17" ht="12" customHeight="1" x14ac:dyDescent="0.35">
      <c r="A1498" s="75">
        <v>1497</v>
      </c>
      <c r="B1498" s="64">
        <v>2013</v>
      </c>
      <c r="C1498" s="64">
        <v>6</v>
      </c>
      <c r="D1498" s="80">
        <f t="shared" si="49"/>
        <v>2013</v>
      </c>
      <c r="E1498" t="s">
        <v>38</v>
      </c>
      <c r="F1498" t="s">
        <v>143</v>
      </c>
      <c r="G1498" t="s">
        <v>10</v>
      </c>
      <c r="H1498" s="72" t="s">
        <v>220</v>
      </c>
      <c r="I1498" s="72" t="s">
        <v>62</v>
      </c>
      <c r="J1498" t="str">
        <f t="shared" si="50"/>
        <v>Skykomish River</v>
      </c>
      <c r="K1498" t="str">
        <f>IFERROR(VLOOKUP(J1498,LUTs!$A$1:$C$73,2,FALSE),"NA")</f>
        <v>Snohomish</v>
      </c>
      <c r="L1498" t="str">
        <f>IFERROR(VLOOKUP(J1498,LUTs!$A$1:$C$73,3,FALSE),"NA")</f>
        <v>2Central Puget Sound</v>
      </c>
      <c r="M1498" s="72" t="s">
        <v>26</v>
      </c>
      <c r="N1498" t="str">
        <f>VLOOKUP(M1498,LUTs!E$2:H$14,3,)</f>
        <v>20Other</v>
      </c>
      <c r="O1498" t="str">
        <f>VLOOKUP(M1498,LUTs!E$2:H$14,4,)</f>
        <v>07Non Puget Sound</v>
      </c>
      <c r="P1498" s="73">
        <v>35.4444444444444</v>
      </c>
      <c r="Q1498" s="74">
        <f>VLOOKUP(B1498,Readme!A$40:C$51,2,)*P1498</f>
        <v>121.92888888888874</v>
      </c>
    </row>
    <row r="1499" spans="1:17" ht="12" customHeight="1" x14ac:dyDescent="0.35">
      <c r="A1499" s="75">
        <v>1498</v>
      </c>
      <c r="B1499" s="64">
        <v>2013</v>
      </c>
      <c r="C1499" s="64">
        <v>6</v>
      </c>
      <c r="D1499" s="80">
        <f t="shared" si="49"/>
        <v>2013</v>
      </c>
      <c r="E1499" t="s">
        <v>38</v>
      </c>
      <c r="F1499" t="s">
        <v>143</v>
      </c>
      <c r="G1499" t="s">
        <v>10</v>
      </c>
      <c r="H1499" s="72" t="s">
        <v>220</v>
      </c>
      <c r="I1499" s="72" t="s">
        <v>62</v>
      </c>
      <c r="J1499" t="str">
        <f t="shared" si="50"/>
        <v>Skykomish River</v>
      </c>
      <c r="K1499" t="str">
        <f>IFERROR(VLOOKUP(J1499,LUTs!$A$1:$C$73,2,FALSE),"NA")</f>
        <v>Snohomish</v>
      </c>
      <c r="L1499" t="str">
        <f>IFERROR(VLOOKUP(J1499,LUTs!$A$1:$C$73,3,FALSE),"NA")</f>
        <v>2Central Puget Sound</v>
      </c>
      <c r="M1499" s="72" t="s">
        <v>16</v>
      </c>
      <c r="N1499" t="str">
        <f>VLOOKUP(M1499,LUTs!E$2:H$14,3,)</f>
        <v>03Snohomish</v>
      </c>
      <c r="O1499" t="str">
        <f>VLOOKUP(M1499,LUTs!E$2:H$14,4,)</f>
        <v>01North Puget Sound</v>
      </c>
      <c r="P1499" s="73">
        <v>150.638888888889</v>
      </c>
      <c r="Q1499" s="74">
        <f>VLOOKUP(B1499,Readme!A$40:C$51,2,)*P1499</f>
        <v>518.19777777777813</v>
      </c>
    </row>
    <row r="1500" spans="1:17" ht="12" customHeight="1" x14ac:dyDescent="0.35">
      <c r="A1500" s="75">
        <v>1499</v>
      </c>
      <c r="B1500" s="64">
        <v>2013</v>
      </c>
      <c r="C1500" s="64">
        <v>6</v>
      </c>
      <c r="D1500" s="80">
        <f t="shared" si="49"/>
        <v>2013</v>
      </c>
      <c r="E1500" t="s">
        <v>38</v>
      </c>
      <c r="F1500" t="s">
        <v>143</v>
      </c>
      <c r="G1500" t="s">
        <v>10</v>
      </c>
      <c r="H1500" s="72" t="s">
        <v>220</v>
      </c>
      <c r="I1500" s="72" t="s">
        <v>62</v>
      </c>
      <c r="J1500" t="str">
        <f t="shared" si="50"/>
        <v>Skykomish River</v>
      </c>
      <c r="K1500" t="str">
        <f>IFERROR(VLOOKUP(J1500,LUTs!$A$1:$C$73,2,FALSE),"NA")</f>
        <v>Snohomish</v>
      </c>
      <c r="L1500" t="str">
        <f>IFERROR(VLOOKUP(J1500,LUTs!$A$1:$C$73,3,FALSE),"NA")</f>
        <v>2Central Puget Sound</v>
      </c>
      <c r="M1500" s="72" t="s">
        <v>21</v>
      </c>
      <c r="N1500" t="str">
        <f>VLOOKUP(M1500,LUTs!E$2:H$14,3,)</f>
        <v>08Thurston</v>
      </c>
      <c r="O1500" t="str">
        <f>VLOOKUP(M1500,LUTs!E$2:H$14,4,)</f>
        <v>02South Puget Sound</v>
      </c>
      <c r="P1500" s="73">
        <v>8.8611111111111107</v>
      </c>
      <c r="Q1500" s="74">
        <f>VLOOKUP(B1500,Readme!A$40:C$51,2,)*P1500</f>
        <v>30.482222222222219</v>
      </c>
    </row>
    <row r="1501" spans="1:17" ht="12" customHeight="1" x14ac:dyDescent="0.35">
      <c r="A1501" s="75">
        <v>1500</v>
      </c>
      <c r="B1501" s="64">
        <v>2013</v>
      </c>
      <c r="C1501" s="64">
        <v>7</v>
      </c>
      <c r="D1501" s="80">
        <f t="shared" si="49"/>
        <v>2013</v>
      </c>
      <c r="E1501" t="s">
        <v>38</v>
      </c>
      <c r="F1501" t="s">
        <v>143</v>
      </c>
      <c r="G1501" t="s">
        <v>10</v>
      </c>
      <c r="H1501" s="72" t="s">
        <v>220</v>
      </c>
      <c r="I1501" s="72" t="s">
        <v>62</v>
      </c>
      <c r="J1501" t="str">
        <f t="shared" si="50"/>
        <v>Skykomish River</v>
      </c>
      <c r="K1501" t="str">
        <f>IFERROR(VLOOKUP(J1501,LUTs!$A$1:$C$73,2,FALSE),"NA")</f>
        <v>Snohomish</v>
      </c>
      <c r="L1501" t="str">
        <f>IFERROR(VLOOKUP(J1501,LUTs!$A$1:$C$73,3,FALSE),"NA")</f>
        <v>2Central Puget Sound</v>
      </c>
      <c r="M1501" s="72" t="s">
        <v>18</v>
      </c>
      <c r="N1501" t="str">
        <f>VLOOKUP(M1501,LUTs!E$2:H$14,3,)</f>
        <v>06King</v>
      </c>
      <c r="O1501" t="str">
        <f>VLOOKUP(M1501,LUTs!E$2:H$14,4,)</f>
        <v>02South Puget Sound</v>
      </c>
      <c r="P1501" s="73">
        <v>106.666666666667</v>
      </c>
      <c r="Q1501" s="74">
        <f>VLOOKUP(B1501,Readme!A$40:C$51,2,)*P1501</f>
        <v>366.93333333333447</v>
      </c>
    </row>
    <row r="1502" spans="1:17" ht="12" customHeight="1" x14ac:dyDescent="0.35">
      <c r="A1502" s="75">
        <v>1501</v>
      </c>
      <c r="B1502" s="64">
        <v>2013</v>
      </c>
      <c r="C1502" s="64">
        <v>7</v>
      </c>
      <c r="D1502" s="80">
        <f t="shared" si="49"/>
        <v>2013</v>
      </c>
      <c r="E1502" t="s">
        <v>38</v>
      </c>
      <c r="F1502" t="s">
        <v>143</v>
      </c>
      <c r="G1502" t="s">
        <v>10</v>
      </c>
      <c r="H1502" s="72" t="s">
        <v>220</v>
      </c>
      <c r="I1502" s="72" t="s">
        <v>62</v>
      </c>
      <c r="J1502" t="str">
        <f t="shared" si="50"/>
        <v>Skykomish River</v>
      </c>
      <c r="K1502" t="str">
        <f>IFERROR(VLOOKUP(J1502,LUTs!$A$1:$C$73,2,FALSE),"NA")</f>
        <v>Snohomish</v>
      </c>
      <c r="L1502" t="str">
        <f>IFERROR(VLOOKUP(J1502,LUTs!$A$1:$C$73,3,FALSE),"NA")</f>
        <v>2Central Puget Sound</v>
      </c>
      <c r="M1502" s="72" t="s">
        <v>23</v>
      </c>
      <c r="N1502" t="str">
        <f>VLOOKUP(M1502,LUTs!E$2:H$14,3,)</f>
        <v>10Kitsap</v>
      </c>
      <c r="O1502" t="str">
        <f>VLOOKUP(M1502,LUTs!E$2:H$14,4,)</f>
        <v>02South Puget Sound</v>
      </c>
      <c r="P1502" s="73">
        <v>8.8888888888888893</v>
      </c>
      <c r="Q1502" s="74">
        <f>VLOOKUP(B1502,Readme!A$40:C$51,2,)*P1502</f>
        <v>30.577777777777779</v>
      </c>
    </row>
    <row r="1503" spans="1:17" ht="12" customHeight="1" x14ac:dyDescent="0.35">
      <c r="A1503" s="75">
        <v>1502</v>
      </c>
      <c r="B1503" s="64">
        <v>2013</v>
      </c>
      <c r="C1503" s="64">
        <v>7</v>
      </c>
      <c r="D1503" s="80">
        <f t="shared" si="49"/>
        <v>2013</v>
      </c>
      <c r="E1503" t="s">
        <v>38</v>
      </c>
      <c r="F1503" t="s">
        <v>143</v>
      </c>
      <c r="G1503" t="s">
        <v>10</v>
      </c>
      <c r="H1503" s="72" t="s">
        <v>220</v>
      </c>
      <c r="I1503" s="72" t="s">
        <v>62</v>
      </c>
      <c r="J1503" t="str">
        <f t="shared" si="50"/>
        <v>Skykomish River</v>
      </c>
      <c r="K1503" t="str">
        <f>IFERROR(VLOOKUP(J1503,LUTs!$A$1:$C$73,2,FALSE),"NA")</f>
        <v>Snohomish</v>
      </c>
      <c r="L1503" t="str">
        <f>IFERROR(VLOOKUP(J1503,LUTs!$A$1:$C$73,3,FALSE),"NA")</f>
        <v>2Central Puget Sound</v>
      </c>
      <c r="M1503" s="72" t="s">
        <v>26</v>
      </c>
      <c r="N1503" t="str">
        <f>VLOOKUP(M1503,LUTs!E$2:H$14,3,)</f>
        <v>20Other</v>
      </c>
      <c r="O1503" t="str">
        <f>VLOOKUP(M1503,LUTs!E$2:H$14,4,)</f>
        <v>07Non Puget Sound</v>
      </c>
      <c r="P1503" s="73">
        <v>71.1111111111111</v>
      </c>
      <c r="Q1503" s="74">
        <f>VLOOKUP(B1503,Readme!A$40:C$51,2,)*P1503</f>
        <v>244.62222222222218</v>
      </c>
    </row>
    <row r="1504" spans="1:17" ht="12" customHeight="1" x14ac:dyDescent="0.35">
      <c r="A1504" s="75">
        <v>1503</v>
      </c>
      <c r="B1504" s="64">
        <v>2013</v>
      </c>
      <c r="C1504" s="64">
        <v>7</v>
      </c>
      <c r="D1504" s="80">
        <f t="shared" si="49"/>
        <v>2013</v>
      </c>
      <c r="E1504" t="s">
        <v>38</v>
      </c>
      <c r="F1504" t="s">
        <v>143</v>
      </c>
      <c r="G1504" t="s">
        <v>10</v>
      </c>
      <c r="H1504" s="72" t="s">
        <v>220</v>
      </c>
      <c r="I1504" s="72" t="s">
        <v>62</v>
      </c>
      <c r="J1504" t="str">
        <f t="shared" si="50"/>
        <v>Skykomish River</v>
      </c>
      <c r="K1504" t="str">
        <f>IFERROR(VLOOKUP(J1504,LUTs!$A$1:$C$73,2,FALSE),"NA")</f>
        <v>Snohomish</v>
      </c>
      <c r="L1504" t="str">
        <f>IFERROR(VLOOKUP(J1504,LUTs!$A$1:$C$73,3,FALSE),"NA")</f>
        <v>2Central Puget Sound</v>
      </c>
      <c r="M1504" s="72" t="s">
        <v>20</v>
      </c>
      <c r="N1504" t="str">
        <f>VLOOKUP(M1504,LUTs!E$2:H$14,3,)</f>
        <v>07Pierce</v>
      </c>
      <c r="O1504" t="str">
        <f>VLOOKUP(M1504,LUTs!E$2:H$14,4,)</f>
        <v>02South Puget Sound</v>
      </c>
      <c r="P1504" s="73">
        <v>8.8888888888888893</v>
      </c>
      <c r="Q1504" s="74">
        <f>VLOOKUP(B1504,Readme!A$40:C$51,2,)*P1504</f>
        <v>30.577777777777779</v>
      </c>
    </row>
    <row r="1505" spans="1:17" ht="12" customHeight="1" x14ac:dyDescent="0.35">
      <c r="A1505" s="75">
        <v>1504</v>
      </c>
      <c r="B1505" s="64">
        <v>2013</v>
      </c>
      <c r="C1505" s="64">
        <v>7</v>
      </c>
      <c r="D1505" s="80">
        <f t="shared" si="49"/>
        <v>2013</v>
      </c>
      <c r="E1505" t="s">
        <v>38</v>
      </c>
      <c r="F1505" t="s">
        <v>143</v>
      </c>
      <c r="G1505" t="s">
        <v>10</v>
      </c>
      <c r="H1505" s="72" t="s">
        <v>220</v>
      </c>
      <c r="I1505" s="72" t="s">
        <v>62</v>
      </c>
      <c r="J1505" t="str">
        <f t="shared" si="50"/>
        <v>Skykomish River</v>
      </c>
      <c r="K1505" t="str">
        <f>IFERROR(VLOOKUP(J1505,LUTs!$A$1:$C$73,2,FALSE),"NA")</f>
        <v>Snohomish</v>
      </c>
      <c r="L1505" t="str">
        <f>IFERROR(VLOOKUP(J1505,LUTs!$A$1:$C$73,3,FALSE),"NA")</f>
        <v>2Central Puget Sound</v>
      </c>
      <c r="M1505" s="72" t="s">
        <v>16</v>
      </c>
      <c r="N1505" t="str">
        <f>VLOOKUP(M1505,LUTs!E$2:H$14,3,)</f>
        <v>03Snohomish</v>
      </c>
      <c r="O1505" t="str">
        <f>VLOOKUP(M1505,LUTs!E$2:H$14,4,)</f>
        <v>01North Puget Sound</v>
      </c>
      <c r="P1505" s="73">
        <v>364.44444444444503</v>
      </c>
      <c r="Q1505" s="74">
        <f>VLOOKUP(B1505,Readme!A$40:C$51,2,)*P1505</f>
        <v>1253.6888888888909</v>
      </c>
    </row>
    <row r="1506" spans="1:17" ht="12" customHeight="1" x14ac:dyDescent="0.35">
      <c r="A1506" s="75">
        <v>1505</v>
      </c>
      <c r="B1506" s="64">
        <v>2013</v>
      </c>
      <c r="C1506" s="64">
        <v>8</v>
      </c>
      <c r="D1506" s="80">
        <f t="shared" si="49"/>
        <v>2013</v>
      </c>
      <c r="E1506" t="s">
        <v>38</v>
      </c>
      <c r="F1506" t="s">
        <v>143</v>
      </c>
      <c r="G1506" t="s">
        <v>10</v>
      </c>
      <c r="H1506" s="72" t="s">
        <v>220</v>
      </c>
      <c r="I1506" s="72" t="s">
        <v>62</v>
      </c>
      <c r="J1506" t="str">
        <f t="shared" si="50"/>
        <v>Skykomish River</v>
      </c>
      <c r="K1506" t="str">
        <f>IFERROR(VLOOKUP(J1506,LUTs!$A$1:$C$73,2,FALSE),"NA")</f>
        <v>Snohomish</v>
      </c>
      <c r="L1506" t="str">
        <f>IFERROR(VLOOKUP(J1506,LUTs!$A$1:$C$73,3,FALSE),"NA")</f>
        <v>2Central Puget Sound</v>
      </c>
      <c r="M1506" s="72" t="s">
        <v>18</v>
      </c>
      <c r="N1506" t="str">
        <f>VLOOKUP(M1506,LUTs!E$2:H$14,3,)</f>
        <v>06King</v>
      </c>
      <c r="O1506" t="str">
        <f>VLOOKUP(M1506,LUTs!E$2:H$14,4,)</f>
        <v>02South Puget Sound</v>
      </c>
      <c r="P1506" s="73">
        <v>1458.6878980891699</v>
      </c>
      <c r="Q1506" s="74">
        <f>VLOOKUP(B1506,Readme!A$40:C$51,2,)*P1506</f>
        <v>5017.8863694267447</v>
      </c>
    </row>
    <row r="1507" spans="1:17" ht="12" customHeight="1" x14ac:dyDescent="0.35">
      <c r="A1507" s="75">
        <v>1506</v>
      </c>
      <c r="B1507" s="64">
        <v>2013</v>
      </c>
      <c r="C1507" s="64">
        <v>8</v>
      </c>
      <c r="D1507" s="80">
        <f t="shared" si="49"/>
        <v>2013</v>
      </c>
      <c r="E1507" t="s">
        <v>38</v>
      </c>
      <c r="F1507" t="s">
        <v>143</v>
      </c>
      <c r="G1507" t="s">
        <v>10</v>
      </c>
      <c r="H1507" s="72" t="s">
        <v>220</v>
      </c>
      <c r="I1507" s="72" t="s">
        <v>62</v>
      </c>
      <c r="J1507" t="str">
        <f t="shared" si="50"/>
        <v>Skykomish River</v>
      </c>
      <c r="K1507" t="str">
        <f>IFERROR(VLOOKUP(J1507,LUTs!$A$1:$C$73,2,FALSE),"NA")</f>
        <v>Snohomish</v>
      </c>
      <c r="L1507" t="str">
        <f>IFERROR(VLOOKUP(J1507,LUTs!$A$1:$C$73,3,FALSE),"NA")</f>
        <v>2Central Puget Sound</v>
      </c>
      <c r="M1507" s="72" t="s">
        <v>23</v>
      </c>
      <c r="N1507" t="str">
        <f>VLOOKUP(M1507,LUTs!E$2:H$14,3,)</f>
        <v>10Kitsap</v>
      </c>
      <c r="O1507" t="str">
        <f>VLOOKUP(M1507,LUTs!E$2:H$14,4,)</f>
        <v>02South Puget Sound</v>
      </c>
      <c r="P1507" s="73">
        <v>36.016985138004301</v>
      </c>
      <c r="Q1507" s="74">
        <f>VLOOKUP(B1507,Readme!A$40:C$51,2,)*P1507</f>
        <v>123.89842887473479</v>
      </c>
    </row>
    <row r="1508" spans="1:17" ht="12" customHeight="1" x14ac:dyDescent="0.35">
      <c r="A1508" s="75">
        <v>1507</v>
      </c>
      <c r="B1508" s="64">
        <v>2013</v>
      </c>
      <c r="C1508" s="64">
        <v>8</v>
      </c>
      <c r="D1508" s="80">
        <f t="shared" si="49"/>
        <v>2013</v>
      </c>
      <c r="E1508" t="s">
        <v>38</v>
      </c>
      <c r="F1508" t="s">
        <v>143</v>
      </c>
      <c r="G1508" t="s">
        <v>10</v>
      </c>
      <c r="H1508" s="72" t="s">
        <v>220</v>
      </c>
      <c r="I1508" s="72" t="s">
        <v>62</v>
      </c>
      <c r="J1508" t="str">
        <f t="shared" si="50"/>
        <v>Skykomish River</v>
      </c>
      <c r="K1508" t="str">
        <f>IFERROR(VLOOKUP(J1508,LUTs!$A$1:$C$73,2,FALSE),"NA")</f>
        <v>Snohomish</v>
      </c>
      <c r="L1508" t="str">
        <f>IFERROR(VLOOKUP(J1508,LUTs!$A$1:$C$73,3,FALSE),"NA")</f>
        <v>2Central Puget Sound</v>
      </c>
      <c r="M1508" s="72" t="s">
        <v>26</v>
      </c>
      <c r="N1508" t="str">
        <f>VLOOKUP(M1508,LUTs!E$2:H$14,3,)</f>
        <v>20Other</v>
      </c>
      <c r="O1508" t="str">
        <f>VLOOKUP(M1508,LUTs!E$2:H$14,4,)</f>
        <v>07Non Puget Sound</v>
      </c>
      <c r="P1508" s="73">
        <v>216.10191082802601</v>
      </c>
      <c r="Q1508" s="74">
        <f>VLOOKUP(B1508,Readme!A$40:C$51,2,)*P1508</f>
        <v>743.3905732484094</v>
      </c>
    </row>
    <row r="1509" spans="1:17" ht="12" customHeight="1" x14ac:dyDescent="0.35">
      <c r="A1509" s="75">
        <v>1508</v>
      </c>
      <c r="B1509" s="64">
        <v>2013</v>
      </c>
      <c r="C1509" s="64">
        <v>8</v>
      </c>
      <c r="D1509" s="80">
        <f t="shared" si="49"/>
        <v>2013</v>
      </c>
      <c r="E1509" t="s">
        <v>38</v>
      </c>
      <c r="F1509" t="s">
        <v>143</v>
      </c>
      <c r="G1509" t="s">
        <v>10</v>
      </c>
      <c r="H1509" s="72" t="s">
        <v>220</v>
      </c>
      <c r="I1509" s="72" t="s">
        <v>62</v>
      </c>
      <c r="J1509" t="str">
        <f t="shared" si="50"/>
        <v>Skykomish River</v>
      </c>
      <c r="K1509" t="str">
        <f>IFERROR(VLOOKUP(J1509,LUTs!$A$1:$C$73,2,FALSE),"NA")</f>
        <v>Snohomish</v>
      </c>
      <c r="L1509" t="str">
        <f>IFERROR(VLOOKUP(J1509,LUTs!$A$1:$C$73,3,FALSE),"NA")</f>
        <v>2Central Puget Sound</v>
      </c>
      <c r="M1509" s="72" t="s">
        <v>20</v>
      </c>
      <c r="N1509" t="str">
        <f>VLOOKUP(M1509,LUTs!E$2:H$14,3,)</f>
        <v>07Pierce</v>
      </c>
      <c r="O1509" t="str">
        <f>VLOOKUP(M1509,LUTs!E$2:H$14,4,)</f>
        <v>02South Puget Sound</v>
      </c>
      <c r="P1509" s="73">
        <v>198.093418259023</v>
      </c>
      <c r="Q1509" s="74">
        <f>VLOOKUP(B1509,Readme!A$40:C$51,2,)*P1509</f>
        <v>681.44135881103909</v>
      </c>
    </row>
    <row r="1510" spans="1:17" ht="12" customHeight="1" x14ac:dyDescent="0.35">
      <c r="A1510" s="75">
        <v>1509</v>
      </c>
      <c r="B1510" s="64">
        <v>2013</v>
      </c>
      <c r="C1510" s="64">
        <v>8</v>
      </c>
      <c r="D1510" s="80">
        <f t="shared" si="49"/>
        <v>2013</v>
      </c>
      <c r="E1510" t="s">
        <v>38</v>
      </c>
      <c r="F1510" t="s">
        <v>143</v>
      </c>
      <c r="G1510" t="s">
        <v>10</v>
      </c>
      <c r="H1510" s="72" t="s">
        <v>220</v>
      </c>
      <c r="I1510" s="72" t="s">
        <v>62</v>
      </c>
      <c r="J1510" t="str">
        <f t="shared" si="50"/>
        <v>Skykomish River</v>
      </c>
      <c r="K1510" t="str">
        <f>IFERROR(VLOOKUP(J1510,LUTs!$A$1:$C$73,2,FALSE),"NA")</f>
        <v>Snohomish</v>
      </c>
      <c r="L1510" t="str">
        <f>IFERROR(VLOOKUP(J1510,LUTs!$A$1:$C$73,3,FALSE),"NA")</f>
        <v>2Central Puget Sound</v>
      </c>
      <c r="M1510" s="72" t="s">
        <v>15</v>
      </c>
      <c r="N1510" t="str">
        <f>VLOOKUP(M1510,LUTs!E$2:H$14,3,)</f>
        <v>02Skagit</v>
      </c>
      <c r="O1510" t="str">
        <f>VLOOKUP(M1510,LUTs!E$2:H$14,4,)</f>
        <v>01North Puget Sound</v>
      </c>
      <c r="P1510" s="73">
        <v>135.06369426751601</v>
      </c>
      <c r="Q1510" s="74">
        <f>VLOOKUP(B1510,Readme!A$40:C$51,2,)*P1510</f>
        <v>464.61910828025509</v>
      </c>
    </row>
    <row r="1511" spans="1:17" ht="12" customHeight="1" x14ac:dyDescent="0.35">
      <c r="A1511" s="75">
        <v>1510</v>
      </c>
      <c r="B1511" s="64">
        <v>2013</v>
      </c>
      <c r="C1511" s="64">
        <v>8</v>
      </c>
      <c r="D1511" s="80">
        <f t="shared" si="49"/>
        <v>2013</v>
      </c>
      <c r="E1511" t="s">
        <v>38</v>
      </c>
      <c r="F1511" t="s">
        <v>143</v>
      </c>
      <c r="G1511" t="s">
        <v>10</v>
      </c>
      <c r="H1511" s="72" t="s">
        <v>220</v>
      </c>
      <c r="I1511" s="72" t="s">
        <v>62</v>
      </c>
      <c r="J1511" t="str">
        <f t="shared" si="50"/>
        <v>Skykomish River</v>
      </c>
      <c r="K1511" t="str">
        <f>IFERROR(VLOOKUP(J1511,LUTs!$A$1:$C$73,2,FALSE),"NA")</f>
        <v>Snohomish</v>
      </c>
      <c r="L1511" t="str">
        <f>IFERROR(VLOOKUP(J1511,LUTs!$A$1:$C$73,3,FALSE),"NA")</f>
        <v>2Central Puget Sound</v>
      </c>
      <c r="M1511" s="72" t="s">
        <v>16</v>
      </c>
      <c r="N1511" t="str">
        <f>VLOOKUP(M1511,LUTs!E$2:H$14,3,)</f>
        <v>03Snohomish</v>
      </c>
      <c r="O1511" t="str">
        <f>VLOOKUP(M1511,LUTs!E$2:H$14,4,)</f>
        <v>01North Puget Sound</v>
      </c>
      <c r="P1511" s="73">
        <v>2088.9851380042501</v>
      </c>
      <c r="Q1511" s="74">
        <f>VLOOKUP(B1511,Readme!A$40:C$51,2,)*P1511</f>
        <v>7186.1088747346203</v>
      </c>
    </row>
    <row r="1512" spans="1:17" ht="12" customHeight="1" x14ac:dyDescent="0.35">
      <c r="A1512" s="75">
        <v>1511</v>
      </c>
      <c r="B1512" s="64">
        <v>2013</v>
      </c>
      <c r="C1512" s="64">
        <v>8</v>
      </c>
      <c r="D1512" s="80">
        <f t="shared" si="49"/>
        <v>2013</v>
      </c>
      <c r="E1512" t="s">
        <v>38</v>
      </c>
      <c r="F1512" t="s">
        <v>143</v>
      </c>
      <c r="G1512" t="s">
        <v>10</v>
      </c>
      <c r="H1512" s="72" t="s">
        <v>220</v>
      </c>
      <c r="I1512" s="72" t="s">
        <v>62</v>
      </c>
      <c r="J1512" t="str">
        <f t="shared" si="50"/>
        <v>Skykomish River</v>
      </c>
      <c r="K1512" t="str">
        <f>IFERROR(VLOOKUP(J1512,LUTs!$A$1:$C$73,2,FALSE),"NA")</f>
        <v>Snohomish</v>
      </c>
      <c r="L1512" t="str">
        <f>IFERROR(VLOOKUP(J1512,LUTs!$A$1:$C$73,3,FALSE),"NA")</f>
        <v>2Central Puget Sound</v>
      </c>
      <c r="M1512" s="72" t="s">
        <v>21</v>
      </c>
      <c r="N1512" t="str">
        <f>VLOOKUP(M1512,LUTs!E$2:H$14,3,)</f>
        <v>08Thurston</v>
      </c>
      <c r="O1512" t="str">
        <f>VLOOKUP(M1512,LUTs!E$2:H$14,4,)</f>
        <v>02South Puget Sound</v>
      </c>
      <c r="P1512" s="73">
        <v>36.016985138004301</v>
      </c>
      <c r="Q1512" s="74">
        <f>VLOOKUP(B1512,Readme!A$40:C$51,2,)*P1512</f>
        <v>123.89842887473479</v>
      </c>
    </row>
    <row r="1513" spans="1:17" ht="12" customHeight="1" x14ac:dyDescent="0.35">
      <c r="A1513" s="75">
        <v>1512</v>
      </c>
      <c r="B1513" s="64">
        <v>2013</v>
      </c>
      <c r="C1513" s="64">
        <v>8</v>
      </c>
      <c r="D1513" s="80">
        <f t="shared" si="49"/>
        <v>2013</v>
      </c>
      <c r="E1513" t="s">
        <v>38</v>
      </c>
      <c r="F1513" t="s">
        <v>143</v>
      </c>
      <c r="G1513" t="s">
        <v>10</v>
      </c>
      <c r="H1513" s="72" t="s">
        <v>220</v>
      </c>
      <c r="I1513" s="72" t="s">
        <v>62</v>
      </c>
      <c r="J1513" t="str">
        <f t="shared" si="50"/>
        <v>Skykomish River</v>
      </c>
      <c r="K1513" t="str">
        <f>IFERROR(VLOOKUP(J1513,LUTs!$A$1:$C$73,2,FALSE),"NA")</f>
        <v>Snohomish</v>
      </c>
      <c r="L1513" t="str">
        <f>IFERROR(VLOOKUP(J1513,LUTs!$A$1:$C$73,3,FALSE),"NA")</f>
        <v>2Central Puget Sound</v>
      </c>
      <c r="M1513" s="72" t="s">
        <v>13</v>
      </c>
      <c r="N1513" t="str">
        <f>VLOOKUP(M1513,LUTs!E$2:H$14,3,)</f>
        <v>01Whatcom</v>
      </c>
      <c r="O1513" t="str">
        <f>VLOOKUP(M1513,LUTs!E$2:H$14,4,)</f>
        <v>01North Puget Sound</v>
      </c>
      <c r="P1513" s="73">
        <v>72.033970276008503</v>
      </c>
      <c r="Q1513" s="74">
        <f>VLOOKUP(B1513,Readme!A$40:C$51,2,)*P1513</f>
        <v>247.79685774946924</v>
      </c>
    </row>
    <row r="1514" spans="1:17" ht="12" customHeight="1" x14ac:dyDescent="0.35">
      <c r="A1514" s="75">
        <v>1513</v>
      </c>
      <c r="B1514" s="64">
        <v>2013</v>
      </c>
      <c r="C1514" s="64">
        <v>9</v>
      </c>
      <c r="D1514" s="80">
        <f t="shared" si="49"/>
        <v>2013</v>
      </c>
      <c r="E1514" t="s">
        <v>38</v>
      </c>
      <c r="F1514" t="s">
        <v>143</v>
      </c>
      <c r="G1514" t="s">
        <v>10</v>
      </c>
      <c r="H1514" s="72" t="s">
        <v>220</v>
      </c>
      <c r="I1514" s="72" t="s">
        <v>62</v>
      </c>
      <c r="J1514" t="str">
        <f t="shared" si="50"/>
        <v>Skykomish River</v>
      </c>
      <c r="K1514" t="str">
        <f>IFERROR(VLOOKUP(J1514,LUTs!$A$1:$C$73,2,FALSE),"NA")</f>
        <v>Snohomish</v>
      </c>
      <c r="L1514" t="str">
        <f>IFERROR(VLOOKUP(J1514,LUTs!$A$1:$C$73,3,FALSE),"NA")</f>
        <v>2Central Puget Sound</v>
      </c>
      <c r="M1514" s="72" t="s">
        <v>17</v>
      </c>
      <c r="N1514" t="str">
        <f>VLOOKUP(M1514,LUTs!E$2:H$14,3,)</f>
        <v>04Island</v>
      </c>
      <c r="O1514" t="str">
        <f>VLOOKUP(M1514,LUTs!E$2:H$14,4,)</f>
        <v>01North Puget Sound</v>
      </c>
      <c r="P1514" s="73">
        <v>9.0109976433621402</v>
      </c>
      <c r="Q1514" s="74">
        <f>VLOOKUP(B1514,Readme!A$40:C$51,2,)*P1514</f>
        <v>30.997831893165763</v>
      </c>
    </row>
    <row r="1515" spans="1:17" ht="12" customHeight="1" x14ac:dyDescent="0.35">
      <c r="A1515" s="75">
        <v>1514</v>
      </c>
      <c r="B1515" s="64">
        <v>2013</v>
      </c>
      <c r="C1515" s="64">
        <v>9</v>
      </c>
      <c r="D1515" s="80">
        <f t="shared" si="49"/>
        <v>2013</v>
      </c>
      <c r="E1515" t="s">
        <v>38</v>
      </c>
      <c r="F1515" t="s">
        <v>143</v>
      </c>
      <c r="G1515" t="s">
        <v>10</v>
      </c>
      <c r="H1515" s="72" t="s">
        <v>220</v>
      </c>
      <c r="I1515" s="72" t="s">
        <v>62</v>
      </c>
      <c r="J1515" t="str">
        <f t="shared" si="50"/>
        <v>Skykomish River</v>
      </c>
      <c r="K1515" t="str">
        <f>IFERROR(VLOOKUP(J1515,LUTs!$A$1:$C$73,2,FALSE),"NA")</f>
        <v>Snohomish</v>
      </c>
      <c r="L1515" t="str">
        <f>IFERROR(VLOOKUP(J1515,LUTs!$A$1:$C$73,3,FALSE),"NA")</f>
        <v>2Central Puget Sound</v>
      </c>
      <c r="M1515" s="72" t="s">
        <v>18</v>
      </c>
      <c r="N1515" t="str">
        <f>VLOOKUP(M1515,LUTs!E$2:H$14,3,)</f>
        <v>06King</v>
      </c>
      <c r="O1515" t="str">
        <f>VLOOKUP(M1515,LUTs!E$2:H$14,4,)</f>
        <v>02South Puget Sound</v>
      </c>
      <c r="P1515" s="73">
        <v>3685.4980361351099</v>
      </c>
      <c r="Q1515" s="74">
        <f>VLOOKUP(B1515,Readme!A$40:C$51,2,)*P1515</f>
        <v>12678.113244304777</v>
      </c>
    </row>
    <row r="1516" spans="1:17" ht="12" customHeight="1" x14ac:dyDescent="0.35">
      <c r="A1516" s="75">
        <v>1515</v>
      </c>
      <c r="B1516" s="64">
        <v>2013</v>
      </c>
      <c r="C1516" s="64">
        <v>9</v>
      </c>
      <c r="D1516" s="80">
        <f t="shared" si="49"/>
        <v>2013</v>
      </c>
      <c r="E1516" t="s">
        <v>38</v>
      </c>
      <c r="F1516" t="s">
        <v>143</v>
      </c>
      <c r="G1516" t="s">
        <v>10</v>
      </c>
      <c r="H1516" s="72" t="s">
        <v>220</v>
      </c>
      <c r="I1516" s="72" t="s">
        <v>62</v>
      </c>
      <c r="J1516" t="str">
        <f t="shared" si="50"/>
        <v>Skykomish River</v>
      </c>
      <c r="K1516" t="str">
        <f>IFERROR(VLOOKUP(J1516,LUTs!$A$1:$C$73,2,FALSE),"NA")</f>
        <v>Snohomish</v>
      </c>
      <c r="L1516" t="str">
        <f>IFERROR(VLOOKUP(J1516,LUTs!$A$1:$C$73,3,FALSE),"NA")</f>
        <v>2Central Puget Sound</v>
      </c>
      <c r="M1516" s="72" t="s">
        <v>23</v>
      </c>
      <c r="N1516" t="str">
        <f>VLOOKUP(M1516,LUTs!E$2:H$14,3,)</f>
        <v>10Kitsap</v>
      </c>
      <c r="O1516" t="str">
        <f>VLOOKUP(M1516,LUTs!E$2:H$14,4,)</f>
        <v>02South Puget Sound</v>
      </c>
      <c r="P1516" s="73">
        <v>36.043990573448603</v>
      </c>
      <c r="Q1516" s="74">
        <f>VLOOKUP(B1516,Readme!A$40:C$51,2,)*P1516</f>
        <v>123.9913275726632</v>
      </c>
    </row>
    <row r="1517" spans="1:17" ht="12" customHeight="1" x14ac:dyDescent="0.35">
      <c r="A1517" s="75">
        <v>1516</v>
      </c>
      <c r="B1517" s="64">
        <v>2013</v>
      </c>
      <c r="C1517" s="64">
        <v>9</v>
      </c>
      <c r="D1517" s="80">
        <f t="shared" si="49"/>
        <v>2013</v>
      </c>
      <c r="E1517" t="s">
        <v>38</v>
      </c>
      <c r="F1517" t="s">
        <v>143</v>
      </c>
      <c r="G1517" t="s">
        <v>10</v>
      </c>
      <c r="H1517" s="72" t="s">
        <v>220</v>
      </c>
      <c r="I1517" s="72" t="s">
        <v>62</v>
      </c>
      <c r="J1517" t="str">
        <f t="shared" si="50"/>
        <v>Skykomish River</v>
      </c>
      <c r="K1517" t="str">
        <f>IFERROR(VLOOKUP(J1517,LUTs!$A$1:$C$73,2,FALSE),"NA")</f>
        <v>Snohomish</v>
      </c>
      <c r="L1517" t="str">
        <f>IFERROR(VLOOKUP(J1517,LUTs!$A$1:$C$73,3,FALSE),"NA")</f>
        <v>2Central Puget Sound</v>
      </c>
      <c r="M1517" s="72" t="s">
        <v>26</v>
      </c>
      <c r="N1517" t="str">
        <f>VLOOKUP(M1517,LUTs!E$2:H$14,3,)</f>
        <v>20Other</v>
      </c>
      <c r="O1517" t="str">
        <f>VLOOKUP(M1517,LUTs!E$2:H$14,4,)</f>
        <v>07Non Puget Sound</v>
      </c>
      <c r="P1517" s="73">
        <v>1315.6056559308699</v>
      </c>
      <c r="Q1517" s="74">
        <f>VLOOKUP(B1517,Readme!A$40:C$51,2,)*P1517</f>
        <v>4525.6834564021929</v>
      </c>
    </row>
    <row r="1518" spans="1:17" ht="12" customHeight="1" x14ac:dyDescent="0.35">
      <c r="A1518" s="75">
        <v>1517</v>
      </c>
      <c r="B1518" s="64">
        <v>2013</v>
      </c>
      <c r="C1518" s="64">
        <v>9</v>
      </c>
      <c r="D1518" s="80">
        <f t="shared" si="49"/>
        <v>2013</v>
      </c>
      <c r="E1518" t="s">
        <v>38</v>
      </c>
      <c r="F1518" t="s">
        <v>143</v>
      </c>
      <c r="G1518" t="s">
        <v>10</v>
      </c>
      <c r="H1518" s="72" t="s">
        <v>220</v>
      </c>
      <c r="I1518" s="72" t="s">
        <v>62</v>
      </c>
      <c r="J1518" t="str">
        <f t="shared" si="50"/>
        <v>Skykomish River</v>
      </c>
      <c r="K1518" t="str">
        <f>IFERROR(VLOOKUP(J1518,LUTs!$A$1:$C$73,2,FALSE),"NA")</f>
        <v>Snohomish</v>
      </c>
      <c r="L1518" t="str">
        <f>IFERROR(VLOOKUP(J1518,LUTs!$A$1:$C$73,3,FALSE),"NA")</f>
        <v>2Central Puget Sound</v>
      </c>
      <c r="M1518" s="72" t="s">
        <v>20</v>
      </c>
      <c r="N1518" t="str">
        <f>VLOOKUP(M1518,LUTs!E$2:H$14,3,)</f>
        <v>07Pierce</v>
      </c>
      <c r="O1518" t="str">
        <f>VLOOKUP(M1518,LUTs!E$2:H$14,4,)</f>
        <v>02South Puget Sound</v>
      </c>
      <c r="P1518" s="73">
        <v>252.30793401413999</v>
      </c>
      <c r="Q1518" s="74">
        <f>VLOOKUP(B1518,Readme!A$40:C$51,2,)*P1518</f>
        <v>867.93929300864158</v>
      </c>
    </row>
    <row r="1519" spans="1:17" ht="12" customHeight="1" x14ac:dyDescent="0.35">
      <c r="A1519" s="75">
        <v>1518</v>
      </c>
      <c r="B1519" s="64">
        <v>2013</v>
      </c>
      <c r="C1519" s="64">
        <v>9</v>
      </c>
      <c r="D1519" s="80">
        <f t="shared" si="49"/>
        <v>2013</v>
      </c>
      <c r="E1519" t="s">
        <v>38</v>
      </c>
      <c r="F1519" t="s">
        <v>143</v>
      </c>
      <c r="G1519" t="s">
        <v>10</v>
      </c>
      <c r="H1519" s="72" t="s">
        <v>220</v>
      </c>
      <c r="I1519" s="72" t="s">
        <v>62</v>
      </c>
      <c r="J1519" t="str">
        <f t="shared" si="50"/>
        <v>Skykomish River</v>
      </c>
      <c r="K1519" t="str">
        <f>IFERROR(VLOOKUP(J1519,LUTs!$A$1:$C$73,2,FALSE),"NA")</f>
        <v>Snohomish</v>
      </c>
      <c r="L1519" t="str">
        <f>IFERROR(VLOOKUP(J1519,LUTs!$A$1:$C$73,3,FALSE),"NA")</f>
        <v>2Central Puget Sound</v>
      </c>
      <c r="M1519" s="72" t="s">
        <v>15</v>
      </c>
      <c r="N1519" t="str">
        <f>VLOOKUP(M1519,LUTs!E$2:H$14,3,)</f>
        <v>02Skagit</v>
      </c>
      <c r="O1519" t="str">
        <f>VLOOKUP(M1519,LUTs!E$2:H$14,4,)</f>
        <v>01North Puget Sound</v>
      </c>
      <c r="P1519" s="73">
        <v>36.043990573448603</v>
      </c>
      <c r="Q1519" s="74">
        <f>VLOOKUP(B1519,Readme!A$40:C$51,2,)*P1519</f>
        <v>123.9913275726632</v>
      </c>
    </row>
    <row r="1520" spans="1:17" ht="12" customHeight="1" x14ac:dyDescent="0.35">
      <c r="A1520" s="75">
        <v>1519</v>
      </c>
      <c r="B1520" s="64">
        <v>2013</v>
      </c>
      <c r="C1520" s="64">
        <v>9</v>
      </c>
      <c r="D1520" s="80">
        <f t="shared" si="49"/>
        <v>2013</v>
      </c>
      <c r="E1520" t="s">
        <v>38</v>
      </c>
      <c r="F1520" t="s">
        <v>143</v>
      </c>
      <c r="G1520" t="s">
        <v>10</v>
      </c>
      <c r="H1520" s="72" t="s">
        <v>220</v>
      </c>
      <c r="I1520" s="72" t="s">
        <v>62</v>
      </c>
      <c r="J1520" t="str">
        <f t="shared" si="50"/>
        <v>Skykomish River</v>
      </c>
      <c r="K1520" t="str">
        <f>IFERROR(VLOOKUP(J1520,LUTs!$A$1:$C$73,2,FALSE),"NA")</f>
        <v>Snohomish</v>
      </c>
      <c r="L1520" t="str">
        <f>IFERROR(VLOOKUP(J1520,LUTs!$A$1:$C$73,3,FALSE),"NA")</f>
        <v>2Central Puget Sound</v>
      </c>
      <c r="M1520" s="72" t="s">
        <v>16</v>
      </c>
      <c r="N1520" t="str">
        <f>VLOOKUP(M1520,LUTs!E$2:H$14,3,)</f>
        <v>03Snohomish</v>
      </c>
      <c r="O1520" t="str">
        <f>VLOOKUP(M1520,LUTs!E$2:H$14,4,)</f>
        <v>01North Puget Sound</v>
      </c>
      <c r="P1520" s="73">
        <v>6073.41241162608</v>
      </c>
      <c r="Q1520" s="74">
        <f>VLOOKUP(B1520,Readme!A$40:C$51,2,)*P1520</f>
        <v>20892.538695993713</v>
      </c>
    </row>
    <row r="1521" spans="1:17" ht="12" customHeight="1" x14ac:dyDescent="0.35">
      <c r="A1521" s="75">
        <v>1520</v>
      </c>
      <c r="B1521" s="64">
        <v>2013</v>
      </c>
      <c r="C1521" s="64">
        <v>9</v>
      </c>
      <c r="D1521" s="80">
        <f t="shared" si="49"/>
        <v>2013</v>
      </c>
      <c r="E1521" t="s">
        <v>38</v>
      </c>
      <c r="F1521" t="s">
        <v>143</v>
      </c>
      <c r="G1521" t="s">
        <v>10</v>
      </c>
      <c r="H1521" s="72" t="s">
        <v>220</v>
      </c>
      <c r="I1521" s="72" t="s">
        <v>62</v>
      </c>
      <c r="J1521" t="str">
        <f t="shared" si="50"/>
        <v>Skykomish River</v>
      </c>
      <c r="K1521" t="str">
        <f>IFERROR(VLOOKUP(J1521,LUTs!$A$1:$C$73,2,FALSE),"NA")</f>
        <v>Snohomish</v>
      </c>
      <c r="L1521" t="str">
        <f>IFERROR(VLOOKUP(J1521,LUTs!$A$1:$C$73,3,FALSE),"NA")</f>
        <v>2Central Puget Sound</v>
      </c>
      <c r="M1521" s="72" t="s">
        <v>13</v>
      </c>
      <c r="N1521" t="str">
        <f>VLOOKUP(M1521,LUTs!E$2:H$14,3,)</f>
        <v>01Whatcom</v>
      </c>
      <c r="O1521" t="str">
        <f>VLOOKUP(M1521,LUTs!E$2:H$14,4,)</f>
        <v>01North Puget Sound</v>
      </c>
      <c r="P1521" s="73">
        <v>63.076983503534997</v>
      </c>
      <c r="Q1521" s="74">
        <f>VLOOKUP(B1521,Readme!A$40:C$51,2,)*P1521</f>
        <v>216.9848232521604</v>
      </c>
    </row>
    <row r="1522" spans="1:17" ht="12" customHeight="1" x14ac:dyDescent="0.35">
      <c r="A1522" s="75">
        <v>1521</v>
      </c>
      <c r="B1522" s="64">
        <v>2013</v>
      </c>
      <c r="C1522" s="64">
        <v>10</v>
      </c>
      <c r="D1522" s="80">
        <f t="shared" si="49"/>
        <v>2013</v>
      </c>
      <c r="E1522" t="s">
        <v>38</v>
      </c>
      <c r="F1522" t="s">
        <v>143</v>
      </c>
      <c r="G1522" t="s">
        <v>10</v>
      </c>
      <c r="H1522" s="72" t="s">
        <v>220</v>
      </c>
      <c r="I1522" s="72" t="s">
        <v>62</v>
      </c>
      <c r="J1522" t="str">
        <f t="shared" si="50"/>
        <v>Skykomish River</v>
      </c>
      <c r="K1522" t="str">
        <f>IFERROR(VLOOKUP(J1522,LUTs!$A$1:$C$73,2,FALSE),"NA")</f>
        <v>Snohomish</v>
      </c>
      <c r="L1522" t="str">
        <f>IFERROR(VLOOKUP(J1522,LUTs!$A$1:$C$73,3,FALSE),"NA")</f>
        <v>2Central Puget Sound</v>
      </c>
      <c r="M1522" s="72" t="s">
        <v>18</v>
      </c>
      <c r="N1522" t="str">
        <f>VLOOKUP(M1522,LUTs!E$2:H$14,3,)</f>
        <v>06King</v>
      </c>
      <c r="O1522" t="str">
        <f>VLOOKUP(M1522,LUTs!E$2:H$14,4,)</f>
        <v>02South Puget Sound</v>
      </c>
      <c r="P1522" s="73">
        <v>1234.08157894737</v>
      </c>
      <c r="Q1522" s="74">
        <f>VLOOKUP(B1522,Readme!A$40:C$51,2,)*P1522</f>
        <v>4245.2406315789522</v>
      </c>
    </row>
    <row r="1523" spans="1:17" ht="12" customHeight="1" x14ac:dyDescent="0.35">
      <c r="A1523" s="75">
        <v>1522</v>
      </c>
      <c r="B1523" s="64">
        <v>2013</v>
      </c>
      <c r="C1523" s="64">
        <v>10</v>
      </c>
      <c r="D1523" s="80">
        <f t="shared" si="49"/>
        <v>2013</v>
      </c>
      <c r="E1523" t="s">
        <v>38</v>
      </c>
      <c r="F1523" t="s">
        <v>143</v>
      </c>
      <c r="G1523" t="s">
        <v>10</v>
      </c>
      <c r="H1523" s="72" t="s">
        <v>220</v>
      </c>
      <c r="I1523" s="72" t="s">
        <v>62</v>
      </c>
      <c r="J1523" t="str">
        <f t="shared" si="50"/>
        <v>Skykomish River</v>
      </c>
      <c r="K1523" t="str">
        <f>IFERROR(VLOOKUP(J1523,LUTs!$A$1:$C$73,2,FALSE),"NA")</f>
        <v>Snohomish</v>
      </c>
      <c r="L1523" t="str">
        <f>IFERROR(VLOOKUP(J1523,LUTs!$A$1:$C$73,3,FALSE),"NA")</f>
        <v>2Central Puget Sound</v>
      </c>
      <c r="M1523" s="72" t="s">
        <v>23</v>
      </c>
      <c r="N1523" t="str">
        <f>VLOOKUP(M1523,LUTs!E$2:H$14,3,)</f>
        <v>10Kitsap</v>
      </c>
      <c r="O1523" t="str">
        <f>VLOOKUP(M1523,LUTs!E$2:H$14,4,)</f>
        <v>02South Puget Sound</v>
      </c>
      <c r="P1523" s="73">
        <v>27.023684210526302</v>
      </c>
      <c r="Q1523" s="74">
        <f>VLOOKUP(B1523,Readme!A$40:C$51,2,)*P1523</f>
        <v>92.961473684210475</v>
      </c>
    </row>
    <row r="1524" spans="1:17" ht="12" customHeight="1" x14ac:dyDescent="0.35">
      <c r="A1524" s="75">
        <v>1523</v>
      </c>
      <c r="B1524" s="64">
        <v>2013</v>
      </c>
      <c r="C1524" s="64">
        <v>10</v>
      </c>
      <c r="D1524" s="80">
        <f t="shared" si="49"/>
        <v>2013</v>
      </c>
      <c r="E1524" t="s">
        <v>38</v>
      </c>
      <c r="F1524" t="s">
        <v>143</v>
      </c>
      <c r="G1524" t="s">
        <v>10</v>
      </c>
      <c r="H1524" s="72" t="s">
        <v>220</v>
      </c>
      <c r="I1524" s="72" t="s">
        <v>62</v>
      </c>
      <c r="J1524" t="str">
        <f t="shared" si="50"/>
        <v>Skykomish River</v>
      </c>
      <c r="K1524" t="str">
        <f>IFERROR(VLOOKUP(J1524,LUTs!$A$1:$C$73,2,FALSE),"NA")</f>
        <v>Snohomish</v>
      </c>
      <c r="L1524" t="str">
        <f>IFERROR(VLOOKUP(J1524,LUTs!$A$1:$C$73,3,FALSE),"NA")</f>
        <v>2Central Puget Sound</v>
      </c>
      <c r="M1524" s="72" t="s">
        <v>22</v>
      </c>
      <c r="N1524" t="str">
        <f>VLOOKUP(M1524,LUTs!E$2:H$14,3,)</f>
        <v>09Mason</v>
      </c>
      <c r="O1524" t="str">
        <f>VLOOKUP(M1524,LUTs!E$2:H$14,4,)</f>
        <v>02South Puget Sound</v>
      </c>
      <c r="P1524" s="73">
        <v>18.015789473684201</v>
      </c>
      <c r="Q1524" s="74">
        <f>VLOOKUP(B1524,Readme!A$40:C$51,2,)*P1524</f>
        <v>61.97431578947365</v>
      </c>
    </row>
    <row r="1525" spans="1:17" ht="12" customHeight="1" x14ac:dyDescent="0.35">
      <c r="A1525" s="75">
        <v>1524</v>
      </c>
      <c r="B1525" s="64">
        <v>2013</v>
      </c>
      <c r="C1525" s="64">
        <v>10</v>
      </c>
      <c r="D1525" s="80">
        <f t="shared" si="49"/>
        <v>2013</v>
      </c>
      <c r="E1525" t="s">
        <v>38</v>
      </c>
      <c r="F1525" t="s">
        <v>143</v>
      </c>
      <c r="G1525" t="s">
        <v>10</v>
      </c>
      <c r="H1525" s="72" t="s">
        <v>220</v>
      </c>
      <c r="I1525" s="72" t="s">
        <v>62</v>
      </c>
      <c r="J1525" t="str">
        <f t="shared" si="50"/>
        <v>Skykomish River</v>
      </c>
      <c r="K1525" t="str">
        <f>IFERROR(VLOOKUP(J1525,LUTs!$A$1:$C$73,2,FALSE),"NA")</f>
        <v>Snohomish</v>
      </c>
      <c r="L1525" t="str">
        <f>IFERROR(VLOOKUP(J1525,LUTs!$A$1:$C$73,3,FALSE),"NA")</f>
        <v>2Central Puget Sound</v>
      </c>
      <c r="M1525" s="72" t="s">
        <v>26</v>
      </c>
      <c r="N1525" t="str">
        <f>VLOOKUP(M1525,LUTs!E$2:H$14,3,)</f>
        <v>20Other</v>
      </c>
      <c r="O1525" t="str">
        <f>VLOOKUP(M1525,LUTs!E$2:H$14,4,)</f>
        <v>07Non Puget Sound</v>
      </c>
      <c r="P1525" s="73">
        <v>144.12631578947401</v>
      </c>
      <c r="Q1525" s="74">
        <f>VLOOKUP(B1525,Readme!A$40:C$51,2,)*P1525</f>
        <v>495.79452631579056</v>
      </c>
    </row>
    <row r="1526" spans="1:17" ht="12" customHeight="1" x14ac:dyDescent="0.35">
      <c r="A1526" s="75">
        <v>1525</v>
      </c>
      <c r="B1526" s="64">
        <v>2013</v>
      </c>
      <c r="C1526" s="64">
        <v>10</v>
      </c>
      <c r="D1526" s="80">
        <f t="shared" si="49"/>
        <v>2013</v>
      </c>
      <c r="E1526" t="s">
        <v>38</v>
      </c>
      <c r="F1526" t="s">
        <v>143</v>
      </c>
      <c r="G1526" t="s">
        <v>10</v>
      </c>
      <c r="H1526" s="72" t="s">
        <v>220</v>
      </c>
      <c r="I1526" s="72" t="s">
        <v>62</v>
      </c>
      <c r="J1526" t="str">
        <f t="shared" si="50"/>
        <v>Skykomish River</v>
      </c>
      <c r="K1526" t="str">
        <f>IFERROR(VLOOKUP(J1526,LUTs!$A$1:$C$73,2,FALSE),"NA")</f>
        <v>Snohomish</v>
      </c>
      <c r="L1526" t="str">
        <f>IFERROR(VLOOKUP(J1526,LUTs!$A$1:$C$73,3,FALSE),"NA")</f>
        <v>2Central Puget Sound</v>
      </c>
      <c r="M1526" s="72" t="s">
        <v>20</v>
      </c>
      <c r="N1526" t="str">
        <f>VLOOKUP(M1526,LUTs!E$2:H$14,3,)</f>
        <v>07Pierce</v>
      </c>
      <c r="O1526" t="str">
        <f>VLOOKUP(M1526,LUTs!E$2:H$14,4,)</f>
        <v>02South Puget Sound</v>
      </c>
      <c r="P1526" s="73">
        <v>18.015789473684201</v>
      </c>
      <c r="Q1526" s="74">
        <f>VLOOKUP(B1526,Readme!A$40:C$51,2,)*P1526</f>
        <v>61.97431578947365</v>
      </c>
    </row>
    <row r="1527" spans="1:17" ht="12" customHeight="1" x14ac:dyDescent="0.35">
      <c r="A1527" s="75">
        <v>1526</v>
      </c>
      <c r="B1527" s="64">
        <v>2013</v>
      </c>
      <c r="C1527" s="64">
        <v>10</v>
      </c>
      <c r="D1527" s="80">
        <f t="shared" si="49"/>
        <v>2013</v>
      </c>
      <c r="E1527" t="s">
        <v>38</v>
      </c>
      <c r="F1527" t="s">
        <v>143</v>
      </c>
      <c r="G1527" t="s">
        <v>10</v>
      </c>
      <c r="H1527" s="72" t="s">
        <v>220</v>
      </c>
      <c r="I1527" s="72" t="s">
        <v>62</v>
      </c>
      <c r="J1527" t="str">
        <f t="shared" si="50"/>
        <v>Skykomish River</v>
      </c>
      <c r="K1527" t="str">
        <f>IFERROR(VLOOKUP(J1527,LUTs!$A$1:$C$73,2,FALSE),"NA")</f>
        <v>Snohomish</v>
      </c>
      <c r="L1527" t="str">
        <f>IFERROR(VLOOKUP(J1527,LUTs!$A$1:$C$73,3,FALSE),"NA")</f>
        <v>2Central Puget Sound</v>
      </c>
      <c r="M1527" s="72" t="s">
        <v>16</v>
      </c>
      <c r="N1527" t="str">
        <f>VLOOKUP(M1527,LUTs!E$2:H$14,3,)</f>
        <v>03Snohomish</v>
      </c>
      <c r="O1527" t="str">
        <f>VLOOKUP(M1527,LUTs!E$2:H$14,4,)</f>
        <v>01North Puget Sound</v>
      </c>
      <c r="P1527" s="73">
        <v>1963.7210526315801</v>
      </c>
      <c r="Q1527" s="74">
        <f>VLOOKUP(B1527,Readme!A$40:C$51,2,)*P1527</f>
        <v>6755.2004210526356</v>
      </c>
    </row>
    <row r="1528" spans="1:17" ht="12" customHeight="1" x14ac:dyDescent="0.35">
      <c r="A1528" s="75">
        <v>1527</v>
      </c>
      <c r="B1528" s="64">
        <v>2013</v>
      </c>
      <c r="C1528" s="64">
        <v>10</v>
      </c>
      <c r="D1528" s="80">
        <f t="shared" si="49"/>
        <v>2013</v>
      </c>
      <c r="E1528" t="s">
        <v>38</v>
      </c>
      <c r="F1528" t="s">
        <v>143</v>
      </c>
      <c r="G1528" t="s">
        <v>10</v>
      </c>
      <c r="H1528" s="72" t="s">
        <v>220</v>
      </c>
      <c r="I1528" s="72" t="s">
        <v>62</v>
      </c>
      <c r="J1528" t="str">
        <f t="shared" si="50"/>
        <v>Skykomish River</v>
      </c>
      <c r="K1528" t="str">
        <f>IFERROR(VLOOKUP(J1528,LUTs!$A$1:$C$73,2,FALSE),"NA")</f>
        <v>Snohomish</v>
      </c>
      <c r="L1528" t="str">
        <f>IFERROR(VLOOKUP(J1528,LUTs!$A$1:$C$73,3,FALSE),"NA")</f>
        <v>2Central Puget Sound</v>
      </c>
      <c r="M1528" s="72" t="s">
        <v>21</v>
      </c>
      <c r="N1528" t="str">
        <f>VLOOKUP(M1528,LUTs!E$2:H$14,3,)</f>
        <v>08Thurston</v>
      </c>
      <c r="O1528" t="str">
        <f>VLOOKUP(M1528,LUTs!E$2:H$14,4,)</f>
        <v>02South Puget Sound</v>
      </c>
      <c r="P1528" s="73">
        <v>18.015789473684201</v>
      </c>
      <c r="Q1528" s="74">
        <f>VLOOKUP(B1528,Readme!A$40:C$51,2,)*P1528</f>
        <v>61.97431578947365</v>
      </c>
    </row>
    <row r="1529" spans="1:17" ht="12" customHeight="1" x14ac:dyDescent="0.35">
      <c r="A1529" s="75">
        <v>1528</v>
      </c>
      <c r="B1529" s="64">
        <v>2013</v>
      </c>
      <c r="C1529" s="64">
        <v>11</v>
      </c>
      <c r="D1529" s="80">
        <f t="shared" si="49"/>
        <v>2013</v>
      </c>
      <c r="E1529" t="s">
        <v>38</v>
      </c>
      <c r="F1529" t="s">
        <v>143</v>
      </c>
      <c r="G1529" t="s">
        <v>10</v>
      </c>
      <c r="H1529" s="72" t="s">
        <v>220</v>
      </c>
      <c r="I1529" s="72" t="s">
        <v>62</v>
      </c>
      <c r="J1529" t="str">
        <f t="shared" si="50"/>
        <v>Skykomish River</v>
      </c>
      <c r="K1529" t="str">
        <f>IFERROR(VLOOKUP(J1529,LUTs!$A$1:$C$73,2,FALSE),"NA")</f>
        <v>Snohomish</v>
      </c>
      <c r="L1529" t="str">
        <f>IFERROR(VLOOKUP(J1529,LUTs!$A$1:$C$73,3,FALSE),"NA")</f>
        <v>2Central Puget Sound</v>
      </c>
      <c r="M1529" s="72" t="s">
        <v>18</v>
      </c>
      <c r="N1529" t="str">
        <f>VLOOKUP(M1529,LUTs!E$2:H$14,3,)</f>
        <v>06King</v>
      </c>
      <c r="O1529" t="str">
        <f>VLOOKUP(M1529,LUTs!E$2:H$14,4,)</f>
        <v>02South Puget Sound</v>
      </c>
      <c r="P1529" s="73">
        <v>117</v>
      </c>
      <c r="Q1529" s="74">
        <f>VLOOKUP(B1529,Readme!A$40:C$51,2,)*P1529</f>
        <v>402.48</v>
      </c>
    </row>
    <row r="1530" spans="1:17" ht="12" customHeight="1" x14ac:dyDescent="0.35">
      <c r="A1530" s="75">
        <v>1529</v>
      </c>
      <c r="B1530" s="64">
        <v>2013</v>
      </c>
      <c r="C1530" s="64">
        <v>11</v>
      </c>
      <c r="D1530" s="80">
        <f t="shared" si="49"/>
        <v>2013</v>
      </c>
      <c r="E1530" t="s">
        <v>38</v>
      </c>
      <c r="F1530" t="s">
        <v>143</v>
      </c>
      <c r="G1530" t="s">
        <v>10</v>
      </c>
      <c r="H1530" s="72" t="s">
        <v>220</v>
      </c>
      <c r="I1530" s="72" t="s">
        <v>62</v>
      </c>
      <c r="J1530" t="str">
        <f t="shared" si="50"/>
        <v>Skykomish River</v>
      </c>
      <c r="K1530" t="str">
        <f>IFERROR(VLOOKUP(J1530,LUTs!$A$1:$C$73,2,FALSE),"NA")</f>
        <v>Snohomish</v>
      </c>
      <c r="L1530" t="str">
        <f>IFERROR(VLOOKUP(J1530,LUTs!$A$1:$C$73,3,FALSE),"NA")</f>
        <v>2Central Puget Sound</v>
      </c>
      <c r="M1530" s="72" t="s">
        <v>23</v>
      </c>
      <c r="N1530" t="str">
        <f>VLOOKUP(M1530,LUTs!E$2:H$14,3,)</f>
        <v>10Kitsap</v>
      </c>
      <c r="O1530" t="str">
        <f>VLOOKUP(M1530,LUTs!E$2:H$14,4,)</f>
        <v>02South Puget Sound</v>
      </c>
      <c r="P1530" s="73">
        <v>9</v>
      </c>
      <c r="Q1530" s="74">
        <f>VLOOKUP(B1530,Readme!A$40:C$51,2,)*P1530</f>
        <v>30.96</v>
      </c>
    </row>
    <row r="1531" spans="1:17" ht="12" customHeight="1" x14ac:dyDescent="0.35">
      <c r="A1531" s="75">
        <v>1530</v>
      </c>
      <c r="B1531" s="64">
        <v>2013</v>
      </c>
      <c r="C1531" s="64">
        <v>11</v>
      </c>
      <c r="D1531" s="80">
        <f t="shared" si="49"/>
        <v>2013</v>
      </c>
      <c r="E1531" t="s">
        <v>38</v>
      </c>
      <c r="F1531" t="s">
        <v>143</v>
      </c>
      <c r="G1531" t="s">
        <v>10</v>
      </c>
      <c r="H1531" s="72" t="s">
        <v>220</v>
      </c>
      <c r="I1531" s="72" t="s">
        <v>62</v>
      </c>
      <c r="J1531" t="str">
        <f t="shared" si="50"/>
        <v>Skykomish River</v>
      </c>
      <c r="K1531" t="str">
        <f>IFERROR(VLOOKUP(J1531,LUTs!$A$1:$C$73,2,FALSE),"NA")</f>
        <v>Snohomish</v>
      </c>
      <c r="L1531" t="str">
        <f>IFERROR(VLOOKUP(J1531,LUTs!$A$1:$C$73,3,FALSE),"NA")</f>
        <v>2Central Puget Sound</v>
      </c>
      <c r="M1531" s="72" t="s">
        <v>26</v>
      </c>
      <c r="N1531" t="str">
        <f>VLOOKUP(M1531,LUTs!E$2:H$14,3,)</f>
        <v>20Other</v>
      </c>
      <c r="O1531" t="str">
        <f>VLOOKUP(M1531,LUTs!E$2:H$14,4,)</f>
        <v>07Non Puget Sound</v>
      </c>
      <c r="P1531" s="73">
        <v>9</v>
      </c>
      <c r="Q1531" s="74">
        <f>VLOOKUP(B1531,Readme!A$40:C$51,2,)*P1531</f>
        <v>30.96</v>
      </c>
    </row>
    <row r="1532" spans="1:17" ht="12" customHeight="1" x14ac:dyDescent="0.35">
      <c r="A1532" s="75">
        <v>1531</v>
      </c>
      <c r="B1532" s="64">
        <v>2013</v>
      </c>
      <c r="C1532" s="64">
        <v>11</v>
      </c>
      <c r="D1532" s="80">
        <f t="shared" si="49"/>
        <v>2013</v>
      </c>
      <c r="E1532" t="s">
        <v>38</v>
      </c>
      <c r="F1532" t="s">
        <v>143</v>
      </c>
      <c r="G1532" t="s">
        <v>10</v>
      </c>
      <c r="H1532" s="72" t="s">
        <v>220</v>
      </c>
      <c r="I1532" s="72" t="s">
        <v>62</v>
      </c>
      <c r="J1532" t="str">
        <f t="shared" si="50"/>
        <v>Skykomish River</v>
      </c>
      <c r="K1532" t="str">
        <f>IFERROR(VLOOKUP(J1532,LUTs!$A$1:$C$73,2,FALSE),"NA")</f>
        <v>Snohomish</v>
      </c>
      <c r="L1532" t="str">
        <f>IFERROR(VLOOKUP(J1532,LUTs!$A$1:$C$73,3,FALSE),"NA")</f>
        <v>2Central Puget Sound</v>
      </c>
      <c r="M1532" s="72" t="s">
        <v>16</v>
      </c>
      <c r="N1532" t="str">
        <f>VLOOKUP(M1532,LUTs!E$2:H$14,3,)</f>
        <v>03Snohomish</v>
      </c>
      <c r="O1532" t="str">
        <f>VLOOKUP(M1532,LUTs!E$2:H$14,4,)</f>
        <v>01North Puget Sound</v>
      </c>
      <c r="P1532" s="73">
        <v>333</v>
      </c>
      <c r="Q1532" s="74">
        <f>VLOOKUP(B1532,Readme!A$40:C$51,2,)*P1532</f>
        <v>1145.52</v>
      </c>
    </row>
    <row r="1533" spans="1:17" ht="12" customHeight="1" x14ac:dyDescent="0.35">
      <c r="A1533" s="75">
        <v>1532</v>
      </c>
      <c r="B1533" s="64">
        <v>2013</v>
      </c>
      <c r="C1533" s="64">
        <v>12</v>
      </c>
      <c r="D1533" s="80">
        <f t="shared" si="49"/>
        <v>2013</v>
      </c>
      <c r="E1533" t="s">
        <v>38</v>
      </c>
      <c r="F1533" t="s">
        <v>143</v>
      </c>
      <c r="G1533" t="s">
        <v>10</v>
      </c>
      <c r="H1533" s="72" t="s">
        <v>220</v>
      </c>
      <c r="I1533" s="72" t="s">
        <v>62</v>
      </c>
      <c r="J1533" t="str">
        <f t="shared" si="50"/>
        <v>Skykomish River</v>
      </c>
      <c r="K1533" t="str">
        <f>IFERROR(VLOOKUP(J1533,LUTs!$A$1:$C$73,2,FALSE),"NA")</f>
        <v>Snohomish</v>
      </c>
      <c r="L1533" t="str">
        <f>IFERROR(VLOOKUP(J1533,LUTs!$A$1:$C$73,3,FALSE),"NA")</f>
        <v>2Central Puget Sound</v>
      </c>
      <c r="M1533" s="72" t="s">
        <v>18</v>
      </c>
      <c r="N1533" t="str">
        <f>VLOOKUP(M1533,LUTs!E$2:H$14,3,)</f>
        <v>06King</v>
      </c>
      <c r="O1533" t="str">
        <f>VLOOKUP(M1533,LUTs!E$2:H$14,4,)</f>
        <v>02South Puget Sound</v>
      </c>
      <c r="P1533" s="73">
        <v>9</v>
      </c>
      <c r="Q1533" s="74">
        <f>VLOOKUP(B1533,Readme!A$40:C$51,2,)*P1533</f>
        <v>30.96</v>
      </c>
    </row>
    <row r="1534" spans="1:17" ht="12" customHeight="1" x14ac:dyDescent="0.35">
      <c r="A1534" s="75">
        <v>1533</v>
      </c>
      <c r="B1534" s="64">
        <v>2013</v>
      </c>
      <c r="C1534" s="64">
        <v>12</v>
      </c>
      <c r="D1534" s="80">
        <f t="shared" si="49"/>
        <v>2013</v>
      </c>
      <c r="E1534" t="s">
        <v>38</v>
      </c>
      <c r="F1534" t="s">
        <v>143</v>
      </c>
      <c r="G1534" t="s">
        <v>10</v>
      </c>
      <c r="H1534" s="72" t="s">
        <v>220</v>
      </c>
      <c r="I1534" s="72" t="s">
        <v>62</v>
      </c>
      <c r="J1534" t="str">
        <f t="shared" si="50"/>
        <v>Skykomish River</v>
      </c>
      <c r="K1534" t="str">
        <f>IFERROR(VLOOKUP(J1534,LUTs!$A$1:$C$73,2,FALSE),"NA")</f>
        <v>Snohomish</v>
      </c>
      <c r="L1534" t="str">
        <f>IFERROR(VLOOKUP(J1534,LUTs!$A$1:$C$73,3,FALSE),"NA")</f>
        <v>2Central Puget Sound</v>
      </c>
      <c r="M1534" s="72" t="s">
        <v>16</v>
      </c>
      <c r="N1534" t="str">
        <f>VLOOKUP(M1534,LUTs!E$2:H$14,3,)</f>
        <v>03Snohomish</v>
      </c>
      <c r="O1534" t="str">
        <f>VLOOKUP(M1534,LUTs!E$2:H$14,4,)</f>
        <v>01North Puget Sound</v>
      </c>
      <c r="P1534" s="73">
        <v>36</v>
      </c>
      <c r="Q1534" s="74">
        <f>VLOOKUP(B1534,Readme!A$40:C$51,2,)*P1534</f>
        <v>123.84</v>
      </c>
    </row>
    <row r="1535" spans="1:17" ht="12" customHeight="1" x14ac:dyDescent="0.35">
      <c r="A1535" s="75">
        <v>1534</v>
      </c>
      <c r="B1535" s="64">
        <v>2013</v>
      </c>
      <c r="C1535" s="64">
        <v>7</v>
      </c>
      <c r="D1535" s="80">
        <f t="shared" si="49"/>
        <v>2013</v>
      </c>
      <c r="E1535" t="s">
        <v>38</v>
      </c>
      <c r="F1535" t="s">
        <v>143</v>
      </c>
      <c r="G1535" t="s">
        <v>10</v>
      </c>
      <c r="H1535" s="72" t="s">
        <v>221</v>
      </c>
      <c r="I1535" s="72" t="s">
        <v>63</v>
      </c>
      <c r="J1535" t="str">
        <f t="shared" si="50"/>
        <v>Snohomish River</v>
      </c>
      <c r="K1535" t="str">
        <f>IFERROR(VLOOKUP(J1535,LUTs!$A$1:$C$73,2,FALSE),"NA")</f>
        <v>Snohomish</v>
      </c>
      <c r="L1535" t="str">
        <f>IFERROR(VLOOKUP(J1535,LUTs!$A$1:$C$73,3,FALSE),"NA")</f>
        <v>2Central Puget Sound</v>
      </c>
      <c r="M1535" s="72" t="s">
        <v>17</v>
      </c>
      <c r="N1535" t="str">
        <f>VLOOKUP(M1535,LUTs!E$2:H$14,3,)</f>
        <v>04Island</v>
      </c>
      <c r="O1535" t="str">
        <f>VLOOKUP(M1535,LUTs!E$2:H$14,4,)</f>
        <v>01North Puget Sound</v>
      </c>
      <c r="P1535" s="73">
        <v>30.8965517241379</v>
      </c>
      <c r="Q1535" s="74">
        <f>VLOOKUP(B1535,Readme!A$40:C$51,2,)*P1535</f>
        <v>106.28413793103438</v>
      </c>
    </row>
    <row r="1536" spans="1:17" ht="12" customHeight="1" x14ac:dyDescent="0.35">
      <c r="A1536" s="75">
        <v>1535</v>
      </c>
      <c r="B1536" s="64">
        <v>2013</v>
      </c>
      <c r="C1536" s="64">
        <v>7</v>
      </c>
      <c r="D1536" s="80">
        <f t="shared" si="49"/>
        <v>2013</v>
      </c>
      <c r="E1536" t="s">
        <v>38</v>
      </c>
      <c r="F1536" t="s">
        <v>143</v>
      </c>
      <c r="G1536" t="s">
        <v>10</v>
      </c>
      <c r="H1536" s="72" t="s">
        <v>221</v>
      </c>
      <c r="I1536" s="72" t="s">
        <v>63</v>
      </c>
      <c r="J1536" t="str">
        <f t="shared" si="50"/>
        <v>Snohomish River</v>
      </c>
      <c r="K1536" t="str">
        <f>IFERROR(VLOOKUP(J1536,LUTs!$A$1:$C$73,2,FALSE),"NA")</f>
        <v>Snohomish</v>
      </c>
      <c r="L1536" t="str">
        <f>IFERROR(VLOOKUP(J1536,LUTs!$A$1:$C$73,3,FALSE),"NA")</f>
        <v>2Central Puget Sound</v>
      </c>
      <c r="M1536" s="72" t="s">
        <v>18</v>
      </c>
      <c r="N1536" t="str">
        <f>VLOOKUP(M1536,LUTs!E$2:H$14,3,)</f>
        <v>06King</v>
      </c>
      <c r="O1536" t="str">
        <f>VLOOKUP(M1536,LUTs!E$2:H$14,4,)</f>
        <v>02South Puget Sound</v>
      </c>
      <c r="P1536" s="73">
        <v>69.517241379310406</v>
      </c>
      <c r="Q1536" s="74">
        <f>VLOOKUP(B1536,Readme!A$40:C$51,2,)*P1536</f>
        <v>239.13931034482781</v>
      </c>
    </row>
    <row r="1537" spans="1:17" ht="12" customHeight="1" x14ac:dyDescent="0.35">
      <c r="A1537" s="75">
        <v>1536</v>
      </c>
      <c r="B1537" s="64">
        <v>2013</v>
      </c>
      <c r="C1537" s="64">
        <v>7</v>
      </c>
      <c r="D1537" s="80">
        <f t="shared" si="49"/>
        <v>2013</v>
      </c>
      <c r="E1537" t="s">
        <v>38</v>
      </c>
      <c r="F1537" t="s">
        <v>143</v>
      </c>
      <c r="G1537" t="s">
        <v>10</v>
      </c>
      <c r="H1537" s="72" t="s">
        <v>221</v>
      </c>
      <c r="I1537" s="72" t="s">
        <v>63</v>
      </c>
      <c r="J1537" t="str">
        <f t="shared" si="50"/>
        <v>Snohomish River</v>
      </c>
      <c r="K1537" t="str">
        <f>IFERROR(VLOOKUP(J1537,LUTs!$A$1:$C$73,2,FALSE),"NA")</f>
        <v>Snohomish</v>
      </c>
      <c r="L1537" t="str">
        <f>IFERROR(VLOOKUP(J1537,LUTs!$A$1:$C$73,3,FALSE),"NA")</f>
        <v>2Central Puget Sound</v>
      </c>
      <c r="M1537" s="72" t="s">
        <v>15</v>
      </c>
      <c r="N1537" t="str">
        <f>VLOOKUP(M1537,LUTs!E$2:H$14,3,)</f>
        <v>02Skagit</v>
      </c>
      <c r="O1537" t="str">
        <f>VLOOKUP(M1537,LUTs!E$2:H$14,4,)</f>
        <v>01North Puget Sound</v>
      </c>
      <c r="P1537" s="73">
        <v>30.8965517241379</v>
      </c>
      <c r="Q1537" s="74">
        <f>VLOOKUP(B1537,Readme!A$40:C$51,2,)*P1537</f>
        <v>106.28413793103438</v>
      </c>
    </row>
    <row r="1538" spans="1:17" ht="12" customHeight="1" x14ac:dyDescent="0.35">
      <c r="A1538" s="75">
        <v>1537</v>
      </c>
      <c r="B1538" s="64">
        <v>2013</v>
      </c>
      <c r="C1538" s="64">
        <v>7</v>
      </c>
      <c r="D1538" s="80">
        <f t="shared" ref="D1538:D1601" si="51">IF(C1538&gt;3,B1538,B1538-1)</f>
        <v>2013</v>
      </c>
      <c r="E1538" t="s">
        <v>38</v>
      </c>
      <c r="F1538" t="s">
        <v>143</v>
      </c>
      <c r="G1538" t="s">
        <v>10</v>
      </c>
      <c r="H1538" s="72" t="s">
        <v>221</v>
      </c>
      <c r="I1538" s="72" t="s">
        <v>63</v>
      </c>
      <c r="J1538" t="str">
        <f t="shared" si="50"/>
        <v>Snohomish River</v>
      </c>
      <c r="K1538" t="str">
        <f>IFERROR(VLOOKUP(J1538,LUTs!$A$1:$C$73,2,FALSE),"NA")</f>
        <v>Snohomish</v>
      </c>
      <c r="L1538" t="str">
        <f>IFERROR(VLOOKUP(J1538,LUTs!$A$1:$C$73,3,FALSE),"NA")</f>
        <v>2Central Puget Sound</v>
      </c>
      <c r="M1538" s="72" t="s">
        <v>16</v>
      </c>
      <c r="N1538" t="str">
        <f>VLOOKUP(M1538,LUTs!E$2:H$14,3,)</f>
        <v>03Snohomish</v>
      </c>
      <c r="O1538" t="str">
        <f>VLOOKUP(M1538,LUTs!E$2:H$14,4,)</f>
        <v>01North Puget Sound</v>
      </c>
      <c r="P1538" s="73">
        <v>92.689655172413794</v>
      </c>
      <c r="Q1538" s="74">
        <f>VLOOKUP(B1538,Readme!A$40:C$51,2,)*P1538</f>
        <v>318.85241379310344</v>
      </c>
    </row>
    <row r="1539" spans="1:17" ht="12" customHeight="1" x14ac:dyDescent="0.35">
      <c r="A1539" s="75">
        <v>1538</v>
      </c>
      <c r="B1539" s="64">
        <v>2013</v>
      </c>
      <c r="C1539" s="64">
        <v>8</v>
      </c>
      <c r="D1539" s="80">
        <f t="shared" si="51"/>
        <v>2013</v>
      </c>
      <c r="E1539" t="s">
        <v>38</v>
      </c>
      <c r="F1539" t="s">
        <v>143</v>
      </c>
      <c r="G1539" t="s">
        <v>10</v>
      </c>
      <c r="H1539" s="72" t="s">
        <v>221</v>
      </c>
      <c r="I1539" s="72" t="s">
        <v>63</v>
      </c>
      <c r="J1539" t="str">
        <f t="shared" ref="J1539:J1602" si="52">I1539</f>
        <v>Snohomish River</v>
      </c>
      <c r="K1539" t="str">
        <f>IFERROR(VLOOKUP(J1539,LUTs!$A$1:$C$73,2,FALSE),"NA")</f>
        <v>Snohomish</v>
      </c>
      <c r="L1539" t="str">
        <f>IFERROR(VLOOKUP(J1539,LUTs!$A$1:$C$73,3,FALSE),"NA")</f>
        <v>2Central Puget Sound</v>
      </c>
      <c r="M1539" s="72" t="s">
        <v>17</v>
      </c>
      <c r="N1539" t="str">
        <f>VLOOKUP(M1539,LUTs!E$2:H$14,3,)</f>
        <v>04Island</v>
      </c>
      <c r="O1539" t="str">
        <f>VLOOKUP(M1539,LUTs!E$2:H$14,4,)</f>
        <v>01North Puget Sound</v>
      </c>
      <c r="P1539" s="73">
        <v>235.29442795911601</v>
      </c>
      <c r="Q1539" s="74">
        <f>VLOOKUP(B1539,Readme!A$40:C$51,2,)*P1539</f>
        <v>809.41283217935904</v>
      </c>
    </row>
    <row r="1540" spans="1:17" ht="12" customHeight="1" x14ac:dyDescent="0.35">
      <c r="A1540" s="75">
        <v>1539</v>
      </c>
      <c r="B1540" s="64">
        <v>2013</v>
      </c>
      <c r="C1540" s="64">
        <v>8</v>
      </c>
      <c r="D1540" s="80">
        <f t="shared" si="51"/>
        <v>2013</v>
      </c>
      <c r="E1540" t="s">
        <v>38</v>
      </c>
      <c r="F1540" t="s">
        <v>143</v>
      </c>
      <c r="G1540" t="s">
        <v>10</v>
      </c>
      <c r="H1540" s="72" t="s">
        <v>221</v>
      </c>
      <c r="I1540" s="72" t="s">
        <v>63</v>
      </c>
      <c r="J1540" t="str">
        <f t="shared" si="52"/>
        <v>Snohomish River</v>
      </c>
      <c r="K1540" t="str">
        <f>IFERROR(VLOOKUP(J1540,LUTs!$A$1:$C$73,2,FALSE),"NA")</f>
        <v>Snohomish</v>
      </c>
      <c r="L1540" t="str">
        <f>IFERROR(VLOOKUP(J1540,LUTs!$A$1:$C$73,3,FALSE),"NA")</f>
        <v>2Central Puget Sound</v>
      </c>
      <c r="M1540" s="72" t="s">
        <v>25</v>
      </c>
      <c r="N1540" t="str">
        <f>VLOOKUP(M1540,LUTs!E$2:H$14,3,)</f>
        <v>12Jefferson</v>
      </c>
      <c r="O1540" t="str">
        <f>VLOOKUP(M1540,LUTs!E$2:H$14,4,)</f>
        <v>03Strait of Juan de Fuca</v>
      </c>
      <c r="P1540" s="73">
        <v>72.398285525882002</v>
      </c>
      <c r="Q1540" s="74">
        <f>VLOOKUP(B1540,Readme!A$40:C$51,2,)*P1540</f>
        <v>249.05010220903409</v>
      </c>
    </row>
    <row r="1541" spans="1:17" ht="12" customHeight="1" x14ac:dyDescent="0.35">
      <c r="A1541" s="75">
        <v>1540</v>
      </c>
      <c r="B1541" s="64">
        <v>2013</v>
      </c>
      <c r="C1541" s="64">
        <v>8</v>
      </c>
      <c r="D1541" s="80">
        <f t="shared" si="51"/>
        <v>2013</v>
      </c>
      <c r="E1541" t="s">
        <v>38</v>
      </c>
      <c r="F1541" t="s">
        <v>143</v>
      </c>
      <c r="G1541" t="s">
        <v>10</v>
      </c>
      <c r="H1541" s="72" t="s">
        <v>221</v>
      </c>
      <c r="I1541" s="72" t="s">
        <v>63</v>
      </c>
      <c r="J1541" t="str">
        <f t="shared" si="52"/>
        <v>Snohomish River</v>
      </c>
      <c r="K1541" t="str">
        <f>IFERROR(VLOOKUP(J1541,LUTs!$A$1:$C$73,2,FALSE),"NA")</f>
        <v>Snohomish</v>
      </c>
      <c r="L1541" t="str">
        <f>IFERROR(VLOOKUP(J1541,LUTs!$A$1:$C$73,3,FALSE),"NA")</f>
        <v>2Central Puget Sound</v>
      </c>
      <c r="M1541" s="72" t="s">
        <v>18</v>
      </c>
      <c r="N1541" t="str">
        <f>VLOOKUP(M1541,LUTs!E$2:H$14,3,)</f>
        <v>06King</v>
      </c>
      <c r="O1541" t="str">
        <f>VLOOKUP(M1541,LUTs!E$2:H$14,4,)</f>
        <v>02South Puget Sound</v>
      </c>
      <c r="P1541" s="73">
        <v>4642.5400593471804</v>
      </c>
      <c r="Q1541" s="74">
        <f>VLOOKUP(B1541,Readme!A$40:C$51,2,)*P1541</f>
        <v>15970.3378041543</v>
      </c>
    </row>
    <row r="1542" spans="1:17" ht="12" customHeight="1" x14ac:dyDescent="0.35">
      <c r="A1542" s="75">
        <v>1541</v>
      </c>
      <c r="B1542" s="64">
        <v>2013</v>
      </c>
      <c r="C1542" s="64">
        <v>8</v>
      </c>
      <c r="D1542" s="80">
        <f t="shared" si="51"/>
        <v>2013</v>
      </c>
      <c r="E1542" t="s">
        <v>38</v>
      </c>
      <c r="F1542" t="s">
        <v>143</v>
      </c>
      <c r="G1542" t="s">
        <v>10</v>
      </c>
      <c r="H1542" s="72" t="s">
        <v>221</v>
      </c>
      <c r="I1542" s="72" t="s">
        <v>63</v>
      </c>
      <c r="J1542" t="str">
        <f t="shared" si="52"/>
        <v>Snohomish River</v>
      </c>
      <c r="K1542" t="str">
        <f>IFERROR(VLOOKUP(J1542,LUTs!$A$1:$C$73,2,FALSE),"NA")</f>
        <v>Snohomish</v>
      </c>
      <c r="L1542" t="str">
        <f>IFERROR(VLOOKUP(J1542,LUTs!$A$1:$C$73,3,FALSE),"NA")</f>
        <v>2Central Puget Sound</v>
      </c>
      <c r="M1542" s="72" t="s">
        <v>23</v>
      </c>
      <c r="N1542" t="str">
        <f>VLOOKUP(M1542,LUTs!E$2:H$14,3,)</f>
        <v>10Kitsap</v>
      </c>
      <c r="O1542" t="str">
        <f>VLOOKUP(M1542,LUTs!E$2:H$14,4,)</f>
        <v>02South Puget Sound</v>
      </c>
      <c r="P1542" s="73">
        <v>135.746785361029</v>
      </c>
      <c r="Q1542" s="74">
        <f>VLOOKUP(B1542,Readme!A$40:C$51,2,)*P1542</f>
        <v>466.96894164193975</v>
      </c>
    </row>
    <row r="1543" spans="1:17" ht="12" customHeight="1" x14ac:dyDescent="0.35">
      <c r="A1543" s="75">
        <v>1542</v>
      </c>
      <c r="B1543" s="64">
        <v>2013</v>
      </c>
      <c r="C1543" s="64">
        <v>8</v>
      </c>
      <c r="D1543" s="80">
        <f t="shared" si="51"/>
        <v>2013</v>
      </c>
      <c r="E1543" t="s">
        <v>38</v>
      </c>
      <c r="F1543" t="s">
        <v>143</v>
      </c>
      <c r="G1543" t="s">
        <v>10</v>
      </c>
      <c r="H1543" s="72" t="s">
        <v>221</v>
      </c>
      <c r="I1543" s="72" t="s">
        <v>63</v>
      </c>
      <c r="J1543" t="str">
        <f t="shared" si="52"/>
        <v>Snohomish River</v>
      </c>
      <c r="K1543" t="str">
        <f>IFERROR(VLOOKUP(J1543,LUTs!$A$1:$C$73,2,FALSE),"NA")</f>
        <v>Snohomish</v>
      </c>
      <c r="L1543" t="str">
        <f>IFERROR(VLOOKUP(J1543,LUTs!$A$1:$C$73,3,FALSE),"NA")</f>
        <v>2Central Puget Sound</v>
      </c>
      <c r="M1543" s="72" t="s">
        <v>26</v>
      </c>
      <c r="N1543" t="str">
        <f>VLOOKUP(M1543,LUTs!E$2:H$14,3,)</f>
        <v>20Other</v>
      </c>
      <c r="O1543" t="str">
        <f>VLOOKUP(M1543,LUTs!E$2:H$14,4,)</f>
        <v>07Non Puget Sound</v>
      </c>
      <c r="P1543" s="73">
        <v>1782.80778107484</v>
      </c>
      <c r="Q1543" s="74">
        <f>VLOOKUP(B1543,Readme!A$40:C$51,2,)*P1543</f>
        <v>6132.8587668974496</v>
      </c>
    </row>
    <row r="1544" spans="1:17" ht="12" customHeight="1" x14ac:dyDescent="0.35">
      <c r="A1544" s="75">
        <v>1543</v>
      </c>
      <c r="B1544" s="64">
        <v>2013</v>
      </c>
      <c r="C1544" s="64">
        <v>8</v>
      </c>
      <c r="D1544" s="80">
        <f t="shared" si="51"/>
        <v>2013</v>
      </c>
      <c r="E1544" t="s">
        <v>38</v>
      </c>
      <c r="F1544" t="s">
        <v>143</v>
      </c>
      <c r="G1544" t="s">
        <v>10</v>
      </c>
      <c r="H1544" s="72" t="s">
        <v>221</v>
      </c>
      <c r="I1544" s="72" t="s">
        <v>63</v>
      </c>
      <c r="J1544" t="str">
        <f t="shared" si="52"/>
        <v>Snohomish River</v>
      </c>
      <c r="K1544" t="str">
        <f>IFERROR(VLOOKUP(J1544,LUTs!$A$1:$C$73,2,FALSE),"NA")</f>
        <v>Snohomish</v>
      </c>
      <c r="L1544" t="str">
        <f>IFERROR(VLOOKUP(J1544,LUTs!$A$1:$C$73,3,FALSE),"NA")</f>
        <v>2Central Puget Sound</v>
      </c>
      <c r="M1544" s="72" t="s">
        <v>20</v>
      </c>
      <c r="N1544" t="str">
        <f>VLOOKUP(M1544,LUTs!E$2:H$14,3,)</f>
        <v>07Pierce</v>
      </c>
      <c r="O1544" t="str">
        <f>VLOOKUP(M1544,LUTs!E$2:H$14,4,)</f>
        <v>02South Puget Sound</v>
      </c>
      <c r="P1544" s="73">
        <v>63.348499835146697</v>
      </c>
      <c r="Q1544" s="74">
        <f>VLOOKUP(B1544,Readme!A$40:C$51,2,)*P1544</f>
        <v>217.91883943290463</v>
      </c>
    </row>
    <row r="1545" spans="1:17" ht="12" customHeight="1" x14ac:dyDescent="0.35">
      <c r="A1545" s="75">
        <v>1544</v>
      </c>
      <c r="B1545" s="64">
        <v>2013</v>
      </c>
      <c r="C1545" s="64">
        <v>8</v>
      </c>
      <c r="D1545" s="80">
        <f t="shared" si="51"/>
        <v>2013</v>
      </c>
      <c r="E1545" t="s">
        <v>38</v>
      </c>
      <c r="F1545" t="s">
        <v>143</v>
      </c>
      <c r="G1545" t="s">
        <v>10</v>
      </c>
      <c r="H1545" s="72" t="s">
        <v>221</v>
      </c>
      <c r="I1545" s="72" t="s">
        <v>63</v>
      </c>
      <c r="J1545" t="str">
        <f t="shared" si="52"/>
        <v>Snohomish River</v>
      </c>
      <c r="K1545" t="str">
        <f>IFERROR(VLOOKUP(J1545,LUTs!$A$1:$C$73,2,FALSE),"NA")</f>
        <v>Snohomish</v>
      </c>
      <c r="L1545" t="str">
        <f>IFERROR(VLOOKUP(J1545,LUTs!$A$1:$C$73,3,FALSE),"NA")</f>
        <v>2Central Puget Sound</v>
      </c>
      <c r="M1545" s="72" t="s">
        <v>15</v>
      </c>
      <c r="N1545" t="str">
        <f>VLOOKUP(M1545,LUTs!E$2:H$14,3,)</f>
        <v>02Skagit</v>
      </c>
      <c r="O1545" t="str">
        <f>VLOOKUP(M1545,LUTs!E$2:H$14,4,)</f>
        <v>01North Puget Sound</v>
      </c>
      <c r="P1545" s="73">
        <v>117.647213979558</v>
      </c>
      <c r="Q1545" s="74">
        <f>VLOOKUP(B1545,Readme!A$40:C$51,2,)*P1545</f>
        <v>404.70641608967952</v>
      </c>
    </row>
    <row r="1546" spans="1:17" ht="12" customHeight="1" x14ac:dyDescent="0.35">
      <c r="A1546" s="75">
        <v>1545</v>
      </c>
      <c r="B1546" s="64">
        <v>2013</v>
      </c>
      <c r="C1546" s="64">
        <v>8</v>
      </c>
      <c r="D1546" s="80">
        <f t="shared" si="51"/>
        <v>2013</v>
      </c>
      <c r="E1546" t="s">
        <v>38</v>
      </c>
      <c r="F1546" t="s">
        <v>143</v>
      </c>
      <c r="G1546" t="s">
        <v>10</v>
      </c>
      <c r="H1546" s="72" t="s">
        <v>221</v>
      </c>
      <c r="I1546" s="72" t="s">
        <v>63</v>
      </c>
      <c r="J1546" t="str">
        <f t="shared" si="52"/>
        <v>Snohomish River</v>
      </c>
      <c r="K1546" t="str">
        <f>IFERROR(VLOOKUP(J1546,LUTs!$A$1:$C$73,2,FALSE),"NA")</f>
        <v>Snohomish</v>
      </c>
      <c r="L1546" t="str">
        <f>IFERROR(VLOOKUP(J1546,LUTs!$A$1:$C$73,3,FALSE),"NA")</f>
        <v>2Central Puget Sound</v>
      </c>
      <c r="M1546" s="72" t="s">
        <v>16</v>
      </c>
      <c r="N1546" t="str">
        <f>VLOOKUP(M1546,LUTs!E$2:H$14,3,)</f>
        <v>03Snohomish</v>
      </c>
      <c r="O1546" t="str">
        <f>VLOOKUP(M1546,LUTs!E$2:H$14,4,)</f>
        <v>01North Puget Sound</v>
      </c>
      <c r="P1546" s="73">
        <v>20090.524233432301</v>
      </c>
      <c r="Q1546" s="74">
        <f>VLOOKUP(B1546,Readme!A$40:C$51,2,)*P1546</f>
        <v>69111.403363007121</v>
      </c>
    </row>
    <row r="1547" spans="1:17" ht="12" customHeight="1" x14ac:dyDescent="0.35">
      <c r="A1547" s="75">
        <v>1546</v>
      </c>
      <c r="B1547" s="64">
        <v>2013</v>
      </c>
      <c r="C1547" s="64">
        <v>8</v>
      </c>
      <c r="D1547" s="80">
        <f t="shared" si="51"/>
        <v>2013</v>
      </c>
      <c r="E1547" t="s">
        <v>38</v>
      </c>
      <c r="F1547" t="s">
        <v>143</v>
      </c>
      <c r="G1547" t="s">
        <v>10</v>
      </c>
      <c r="H1547" s="72" t="s">
        <v>221</v>
      </c>
      <c r="I1547" s="72" t="s">
        <v>63</v>
      </c>
      <c r="J1547" t="str">
        <f t="shared" si="52"/>
        <v>Snohomish River</v>
      </c>
      <c r="K1547" t="str">
        <f>IFERROR(VLOOKUP(J1547,LUTs!$A$1:$C$73,2,FALSE),"NA")</f>
        <v>Snohomish</v>
      </c>
      <c r="L1547" t="str">
        <f>IFERROR(VLOOKUP(J1547,LUTs!$A$1:$C$73,3,FALSE),"NA")</f>
        <v>2Central Puget Sound</v>
      </c>
      <c r="M1547" s="72" t="s">
        <v>21</v>
      </c>
      <c r="N1547" t="str">
        <f>VLOOKUP(M1547,LUTs!E$2:H$14,3,)</f>
        <v>08Thurston</v>
      </c>
      <c r="O1547" t="str">
        <f>VLOOKUP(M1547,LUTs!E$2:H$14,4,)</f>
        <v>02South Puget Sound</v>
      </c>
      <c r="P1547" s="73">
        <v>135.746785361029</v>
      </c>
      <c r="Q1547" s="74">
        <f>VLOOKUP(B1547,Readme!A$40:C$51,2,)*P1547</f>
        <v>466.96894164193975</v>
      </c>
    </row>
    <row r="1548" spans="1:17" ht="12" customHeight="1" x14ac:dyDescent="0.35">
      <c r="A1548" s="75">
        <v>1547</v>
      </c>
      <c r="B1548" s="64">
        <v>2013</v>
      </c>
      <c r="C1548" s="64">
        <v>8</v>
      </c>
      <c r="D1548" s="80">
        <f t="shared" si="51"/>
        <v>2013</v>
      </c>
      <c r="E1548" t="s">
        <v>38</v>
      </c>
      <c r="F1548" t="s">
        <v>143</v>
      </c>
      <c r="G1548" t="s">
        <v>10</v>
      </c>
      <c r="H1548" s="72" t="s">
        <v>221</v>
      </c>
      <c r="I1548" s="72" t="s">
        <v>63</v>
      </c>
      <c r="J1548" t="str">
        <f t="shared" si="52"/>
        <v>Snohomish River</v>
      </c>
      <c r="K1548" t="str">
        <f>IFERROR(VLOOKUP(J1548,LUTs!$A$1:$C$73,2,FALSE),"NA")</f>
        <v>Snohomish</v>
      </c>
      <c r="L1548" t="str">
        <f>IFERROR(VLOOKUP(J1548,LUTs!$A$1:$C$73,3,FALSE),"NA")</f>
        <v>2Central Puget Sound</v>
      </c>
      <c r="M1548" s="72" t="s">
        <v>13</v>
      </c>
      <c r="N1548" t="str">
        <f>VLOOKUP(M1548,LUTs!E$2:H$14,3,)</f>
        <v>01Whatcom</v>
      </c>
      <c r="O1548" t="str">
        <f>VLOOKUP(M1548,LUTs!E$2:H$14,4,)</f>
        <v>01North Puget Sound</v>
      </c>
      <c r="P1548" s="73">
        <v>171.94592812396999</v>
      </c>
      <c r="Q1548" s="74">
        <f>VLOOKUP(B1548,Readme!A$40:C$51,2,)*P1548</f>
        <v>591.4939927464568</v>
      </c>
    </row>
    <row r="1549" spans="1:17" ht="12" customHeight="1" x14ac:dyDescent="0.35">
      <c r="A1549" s="75">
        <v>1548</v>
      </c>
      <c r="B1549" s="64">
        <v>2013</v>
      </c>
      <c r="C1549" s="64">
        <v>9</v>
      </c>
      <c r="D1549" s="80">
        <f t="shared" si="51"/>
        <v>2013</v>
      </c>
      <c r="E1549" t="s">
        <v>38</v>
      </c>
      <c r="F1549" t="s">
        <v>143</v>
      </c>
      <c r="G1549" t="s">
        <v>10</v>
      </c>
      <c r="H1549" s="72" t="s">
        <v>221</v>
      </c>
      <c r="I1549" s="72" t="s">
        <v>63</v>
      </c>
      <c r="J1549" t="str">
        <f t="shared" si="52"/>
        <v>Snohomish River</v>
      </c>
      <c r="K1549" t="str">
        <f>IFERROR(VLOOKUP(J1549,LUTs!$A$1:$C$73,2,FALSE),"NA")</f>
        <v>Snohomish</v>
      </c>
      <c r="L1549" t="str">
        <f>IFERROR(VLOOKUP(J1549,LUTs!$A$1:$C$73,3,FALSE),"NA")</f>
        <v>2Central Puget Sound</v>
      </c>
      <c r="M1549" s="72" t="s">
        <v>17</v>
      </c>
      <c r="N1549" t="str">
        <f>VLOOKUP(M1549,LUTs!E$2:H$14,3,)</f>
        <v>04Island</v>
      </c>
      <c r="O1549" t="str">
        <f>VLOOKUP(M1549,LUTs!E$2:H$14,4,)</f>
        <v>01North Puget Sound</v>
      </c>
      <c r="P1549" s="73">
        <v>188.679238167075</v>
      </c>
      <c r="Q1549" s="74">
        <f>VLOOKUP(B1549,Readme!A$40:C$51,2,)*P1549</f>
        <v>649.05657929473796</v>
      </c>
    </row>
    <row r="1550" spans="1:17" ht="12" customHeight="1" x14ac:dyDescent="0.35">
      <c r="A1550" s="75">
        <v>1549</v>
      </c>
      <c r="B1550" s="64">
        <v>2013</v>
      </c>
      <c r="C1550" s="64">
        <v>9</v>
      </c>
      <c r="D1550" s="80">
        <f t="shared" si="51"/>
        <v>2013</v>
      </c>
      <c r="E1550" t="s">
        <v>38</v>
      </c>
      <c r="F1550" t="s">
        <v>143</v>
      </c>
      <c r="G1550" t="s">
        <v>10</v>
      </c>
      <c r="H1550" s="72" t="s">
        <v>221</v>
      </c>
      <c r="I1550" s="72" t="s">
        <v>63</v>
      </c>
      <c r="J1550" t="str">
        <f t="shared" si="52"/>
        <v>Snohomish River</v>
      </c>
      <c r="K1550" t="str">
        <f>IFERROR(VLOOKUP(J1550,LUTs!$A$1:$C$73,2,FALSE),"NA")</f>
        <v>Snohomish</v>
      </c>
      <c r="L1550" t="str">
        <f>IFERROR(VLOOKUP(J1550,LUTs!$A$1:$C$73,3,FALSE),"NA")</f>
        <v>2Central Puget Sound</v>
      </c>
      <c r="M1550" s="72" t="s">
        <v>18</v>
      </c>
      <c r="N1550" t="str">
        <f>VLOOKUP(M1550,LUTs!E$2:H$14,3,)</f>
        <v>06King</v>
      </c>
      <c r="O1550" t="str">
        <f>VLOOKUP(M1550,LUTs!E$2:H$14,4,)</f>
        <v>02South Puget Sound</v>
      </c>
      <c r="P1550" s="73">
        <v>8301.8864793513094</v>
      </c>
      <c r="Q1550" s="74">
        <f>VLOOKUP(B1550,Readme!A$40:C$51,2,)*P1550</f>
        <v>28558.489488968506</v>
      </c>
    </row>
    <row r="1551" spans="1:17" ht="12" customHeight="1" x14ac:dyDescent="0.35">
      <c r="A1551" s="75">
        <v>1550</v>
      </c>
      <c r="B1551" s="64">
        <v>2013</v>
      </c>
      <c r="C1551" s="64">
        <v>9</v>
      </c>
      <c r="D1551" s="80">
        <f t="shared" si="51"/>
        <v>2013</v>
      </c>
      <c r="E1551" t="s">
        <v>38</v>
      </c>
      <c r="F1551" t="s">
        <v>143</v>
      </c>
      <c r="G1551" t="s">
        <v>10</v>
      </c>
      <c r="H1551" s="72" t="s">
        <v>221</v>
      </c>
      <c r="I1551" s="72" t="s">
        <v>63</v>
      </c>
      <c r="J1551" t="str">
        <f t="shared" si="52"/>
        <v>Snohomish River</v>
      </c>
      <c r="K1551" t="str">
        <f>IFERROR(VLOOKUP(J1551,LUTs!$A$1:$C$73,2,FALSE),"NA")</f>
        <v>Snohomish</v>
      </c>
      <c r="L1551" t="str">
        <f>IFERROR(VLOOKUP(J1551,LUTs!$A$1:$C$73,3,FALSE),"NA")</f>
        <v>2Central Puget Sound</v>
      </c>
      <c r="M1551" s="72" t="s">
        <v>23</v>
      </c>
      <c r="N1551" t="str">
        <f>VLOOKUP(M1551,LUTs!E$2:H$14,3,)</f>
        <v>10Kitsap</v>
      </c>
      <c r="O1551" t="str">
        <f>VLOOKUP(M1551,LUTs!E$2:H$14,4,)</f>
        <v>02South Puget Sound</v>
      </c>
      <c r="P1551" s="73">
        <v>53.908353762021498</v>
      </c>
      <c r="Q1551" s="74">
        <f>VLOOKUP(B1551,Readme!A$40:C$51,2,)*P1551</f>
        <v>185.44473694135394</v>
      </c>
    </row>
    <row r="1552" spans="1:17" ht="12" customHeight="1" x14ac:dyDescent="0.35">
      <c r="A1552" s="75">
        <v>1551</v>
      </c>
      <c r="B1552" s="64">
        <v>2013</v>
      </c>
      <c r="C1552" s="64">
        <v>9</v>
      </c>
      <c r="D1552" s="80">
        <f t="shared" si="51"/>
        <v>2013</v>
      </c>
      <c r="E1552" t="s">
        <v>38</v>
      </c>
      <c r="F1552" t="s">
        <v>143</v>
      </c>
      <c r="G1552" t="s">
        <v>10</v>
      </c>
      <c r="H1552" s="72" t="s">
        <v>221</v>
      </c>
      <c r="I1552" s="72" t="s">
        <v>63</v>
      </c>
      <c r="J1552" t="str">
        <f t="shared" si="52"/>
        <v>Snohomish River</v>
      </c>
      <c r="K1552" t="str">
        <f>IFERROR(VLOOKUP(J1552,LUTs!$A$1:$C$73,2,FALSE),"NA")</f>
        <v>Snohomish</v>
      </c>
      <c r="L1552" t="str">
        <f>IFERROR(VLOOKUP(J1552,LUTs!$A$1:$C$73,3,FALSE),"NA")</f>
        <v>2Central Puget Sound</v>
      </c>
      <c r="M1552" s="72" t="s">
        <v>22</v>
      </c>
      <c r="N1552" t="str">
        <f>VLOOKUP(M1552,LUTs!E$2:H$14,3,)</f>
        <v>09Mason</v>
      </c>
      <c r="O1552" t="str">
        <f>VLOOKUP(M1552,LUTs!E$2:H$14,4,)</f>
        <v>02South Puget Sound</v>
      </c>
      <c r="P1552" s="73">
        <v>26.954176881010799</v>
      </c>
      <c r="Q1552" s="74">
        <f>VLOOKUP(B1552,Readme!A$40:C$51,2,)*P1552</f>
        <v>92.722368470677154</v>
      </c>
    </row>
    <row r="1553" spans="1:17" ht="12" customHeight="1" x14ac:dyDescent="0.35">
      <c r="A1553" s="75">
        <v>1552</v>
      </c>
      <c r="B1553" s="64">
        <v>2013</v>
      </c>
      <c r="C1553" s="64">
        <v>9</v>
      </c>
      <c r="D1553" s="80">
        <f t="shared" si="51"/>
        <v>2013</v>
      </c>
      <c r="E1553" t="s">
        <v>38</v>
      </c>
      <c r="F1553" t="s">
        <v>143</v>
      </c>
      <c r="G1553" t="s">
        <v>10</v>
      </c>
      <c r="H1553" s="72" t="s">
        <v>221</v>
      </c>
      <c r="I1553" s="72" t="s">
        <v>63</v>
      </c>
      <c r="J1553" t="str">
        <f t="shared" si="52"/>
        <v>Snohomish River</v>
      </c>
      <c r="K1553" t="str">
        <f>IFERROR(VLOOKUP(J1553,LUTs!$A$1:$C$73,2,FALSE),"NA")</f>
        <v>Snohomish</v>
      </c>
      <c r="L1553" t="str">
        <f>IFERROR(VLOOKUP(J1553,LUTs!$A$1:$C$73,3,FALSE),"NA")</f>
        <v>2Central Puget Sound</v>
      </c>
      <c r="M1553" s="72" t="s">
        <v>26</v>
      </c>
      <c r="N1553" t="str">
        <f>VLOOKUP(M1553,LUTs!E$2:H$14,3,)</f>
        <v>20Other</v>
      </c>
      <c r="O1553" t="str">
        <f>VLOOKUP(M1553,LUTs!E$2:H$14,4,)</f>
        <v>07Non Puget Sound</v>
      </c>
      <c r="P1553" s="73">
        <v>3611.8597020554398</v>
      </c>
      <c r="Q1553" s="74">
        <f>VLOOKUP(B1553,Readme!A$40:C$51,2,)*P1553</f>
        <v>12424.797375070713</v>
      </c>
    </row>
    <row r="1554" spans="1:17" ht="12" customHeight="1" x14ac:dyDescent="0.35">
      <c r="A1554" s="75">
        <v>1553</v>
      </c>
      <c r="B1554" s="64">
        <v>2013</v>
      </c>
      <c r="C1554" s="64">
        <v>9</v>
      </c>
      <c r="D1554" s="80">
        <f t="shared" si="51"/>
        <v>2013</v>
      </c>
      <c r="E1554" t="s">
        <v>38</v>
      </c>
      <c r="F1554" t="s">
        <v>143</v>
      </c>
      <c r="G1554" t="s">
        <v>10</v>
      </c>
      <c r="H1554" s="72" t="s">
        <v>221</v>
      </c>
      <c r="I1554" s="72" t="s">
        <v>63</v>
      </c>
      <c r="J1554" t="str">
        <f t="shared" si="52"/>
        <v>Snohomish River</v>
      </c>
      <c r="K1554" t="str">
        <f>IFERROR(VLOOKUP(J1554,LUTs!$A$1:$C$73,2,FALSE),"NA")</f>
        <v>Snohomish</v>
      </c>
      <c r="L1554" t="str">
        <f>IFERROR(VLOOKUP(J1554,LUTs!$A$1:$C$73,3,FALSE),"NA")</f>
        <v>2Central Puget Sound</v>
      </c>
      <c r="M1554" s="72" t="s">
        <v>20</v>
      </c>
      <c r="N1554" t="str">
        <f>VLOOKUP(M1554,LUTs!E$2:H$14,3,)</f>
        <v>07Pierce</v>
      </c>
      <c r="O1554" t="str">
        <f>VLOOKUP(M1554,LUTs!E$2:H$14,4,)</f>
        <v>02South Puget Sound</v>
      </c>
      <c r="P1554" s="73">
        <v>179.694512540072</v>
      </c>
      <c r="Q1554" s="74">
        <f>VLOOKUP(B1554,Readme!A$40:C$51,2,)*P1554</f>
        <v>618.14912313784771</v>
      </c>
    </row>
    <row r="1555" spans="1:17" ht="12" customHeight="1" x14ac:dyDescent="0.35">
      <c r="A1555" s="75">
        <v>1554</v>
      </c>
      <c r="B1555" s="64">
        <v>2013</v>
      </c>
      <c r="C1555" s="64">
        <v>9</v>
      </c>
      <c r="D1555" s="80">
        <f t="shared" si="51"/>
        <v>2013</v>
      </c>
      <c r="E1555" t="s">
        <v>38</v>
      </c>
      <c r="F1555" t="s">
        <v>143</v>
      </c>
      <c r="G1555" t="s">
        <v>10</v>
      </c>
      <c r="H1555" s="72" t="s">
        <v>221</v>
      </c>
      <c r="I1555" s="72" t="s">
        <v>63</v>
      </c>
      <c r="J1555" t="str">
        <f t="shared" si="52"/>
        <v>Snohomish River</v>
      </c>
      <c r="K1555" t="str">
        <f>IFERROR(VLOOKUP(J1555,LUTs!$A$1:$C$73,2,FALSE),"NA")</f>
        <v>Snohomish</v>
      </c>
      <c r="L1555" t="str">
        <f>IFERROR(VLOOKUP(J1555,LUTs!$A$1:$C$73,3,FALSE),"NA")</f>
        <v>2Central Puget Sound</v>
      </c>
      <c r="M1555" s="72" t="s">
        <v>15</v>
      </c>
      <c r="N1555" t="str">
        <f>VLOOKUP(M1555,LUTs!E$2:H$14,3,)</f>
        <v>02Skagit</v>
      </c>
      <c r="O1555" t="str">
        <f>VLOOKUP(M1555,LUTs!E$2:H$14,4,)</f>
        <v>01North Puget Sound</v>
      </c>
      <c r="P1555" s="73">
        <v>305.48067131812201</v>
      </c>
      <c r="Q1555" s="74">
        <f>VLOOKUP(B1555,Readme!A$40:C$51,2,)*P1555</f>
        <v>1050.8535093343396</v>
      </c>
    </row>
    <row r="1556" spans="1:17" ht="12" customHeight="1" x14ac:dyDescent="0.35">
      <c r="A1556" s="75">
        <v>1555</v>
      </c>
      <c r="B1556" s="64">
        <v>2013</v>
      </c>
      <c r="C1556" s="64">
        <v>9</v>
      </c>
      <c r="D1556" s="80">
        <f t="shared" si="51"/>
        <v>2013</v>
      </c>
      <c r="E1556" t="s">
        <v>38</v>
      </c>
      <c r="F1556" t="s">
        <v>143</v>
      </c>
      <c r="G1556" t="s">
        <v>10</v>
      </c>
      <c r="H1556" s="72" t="s">
        <v>221</v>
      </c>
      <c r="I1556" s="72" t="s">
        <v>63</v>
      </c>
      <c r="J1556" t="str">
        <f t="shared" si="52"/>
        <v>Snohomish River</v>
      </c>
      <c r="K1556" t="str">
        <f>IFERROR(VLOOKUP(J1556,LUTs!$A$1:$C$73,2,FALSE),"NA")</f>
        <v>Snohomish</v>
      </c>
      <c r="L1556" t="str">
        <f>IFERROR(VLOOKUP(J1556,LUTs!$A$1:$C$73,3,FALSE),"NA")</f>
        <v>2Central Puget Sound</v>
      </c>
      <c r="M1556" s="72" t="s">
        <v>16</v>
      </c>
      <c r="N1556" t="str">
        <f>VLOOKUP(M1556,LUTs!E$2:H$14,3,)</f>
        <v>03Snohomish</v>
      </c>
      <c r="O1556" t="str">
        <f>VLOOKUP(M1556,LUTs!E$2:H$14,4,)</f>
        <v>01North Puget Sound</v>
      </c>
      <c r="P1556" s="73">
        <v>34752.918725249903</v>
      </c>
      <c r="Q1556" s="74">
        <f>VLOOKUP(B1556,Readme!A$40:C$51,2,)*P1556</f>
        <v>119550.04041485967</v>
      </c>
    </row>
    <row r="1557" spans="1:17" ht="12" customHeight="1" x14ac:dyDescent="0.35">
      <c r="A1557" s="75">
        <v>1556</v>
      </c>
      <c r="B1557" s="64">
        <v>2013</v>
      </c>
      <c r="C1557" s="64">
        <v>9</v>
      </c>
      <c r="D1557" s="80">
        <f t="shared" si="51"/>
        <v>2013</v>
      </c>
      <c r="E1557" t="s">
        <v>38</v>
      </c>
      <c r="F1557" t="s">
        <v>143</v>
      </c>
      <c r="G1557" t="s">
        <v>10</v>
      </c>
      <c r="H1557" s="72" t="s">
        <v>221</v>
      </c>
      <c r="I1557" s="72" t="s">
        <v>63</v>
      </c>
      <c r="J1557" t="str">
        <f t="shared" si="52"/>
        <v>Snohomish River</v>
      </c>
      <c r="K1557" t="str">
        <f>IFERROR(VLOOKUP(J1557,LUTs!$A$1:$C$73,2,FALSE),"NA")</f>
        <v>Snohomish</v>
      </c>
      <c r="L1557" t="str">
        <f>IFERROR(VLOOKUP(J1557,LUTs!$A$1:$C$73,3,FALSE),"NA")</f>
        <v>2Central Puget Sound</v>
      </c>
      <c r="M1557" s="72" t="s">
        <v>21</v>
      </c>
      <c r="N1557" t="str">
        <f>VLOOKUP(M1557,LUTs!E$2:H$14,3,)</f>
        <v>08Thurston</v>
      </c>
      <c r="O1557" t="str">
        <f>VLOOKUP(M1557,LUTs!E$2:H$14,4,)</f>
        <v>02South Puget Sound</v>
      </c>
      <c r="P1557" s="73">
        <v>143.75561003205701</v>
      </c>
      <c r="Q1557" s="74">
        <f>VLOOKUP(B1557,Readme!A$40:C$51,2,)*P1557</f>
        <v>494.51929851027609</v>
      </c>
    </row>
    <row r="1558" spans="1:17" ht="12" customHeight="1" x14ac:dyDescent="0.35">
      <c r="A1558" s="75">
        <v>1557</v>
      </c>
      <c r="B1558" s="64">
        <v>2013</v>
      </c>
      <c r="C1558" s="64">
        <v>9</v>
      </c>
      <c r="D1558" s="80">
        <f t="shared" si="51"/>
        <v>2013</v>
      </c>
      <c r="E1558" t="s">
        <v>38</v>
      </c>
      <c r="F1558" t="s">
        <v>143</v>
      </c>
      <c r="G1558" t="s">
        <v>10</v>
      </c>
      <c r="H1558" s="72" t="s">
        <v>221</v>
      </c>
      <c r="I1558" s="72" t="s">
        <v>63</v>
      </c>
      <c r="J1558" t="str">
        <f t="shared" si="52"/>
        <v>Snohomish River</v>
      </c>
      <c r="K1558" t="str">
        <f>IFERROR(VLOOKUP(J1558,LUTs!$A$1:$C$73,2,FALSE),"NA")</f>
        <v>Snohomish</v>
      </c>
      <c r="L1558" t="str">
        <f>IFERROR(VLOOKUP(J1558,LUTs!$A$1:$C$73,3,FALSE),"NA")</f>
        <v>2Central Puget Sound</v>
      </c>
      <c r="M1558" s="72" t="s">
        <v>13</v>
      </c>
      <c r="N1558" t="str">
        <f>VLOOKUP(M1558,LUTs!E$2:H$14,3,)</f>
        <v>01Whatcom</v>
      </c>
      <c r="O1558" t="str">
        <f>VLOOKUP(M1558,LUTs!E$2:H$14,4,)</f>
        <v>01North Puget Sound</v>
      </c>
      <c r="P1558" s="73">
        <v>80.862530643032301</v>
      </c>
      <c r="Q1558" s="74">
        <f>VLOOKUP(B1558,Readme!A$40:C$51,2,)*P1558</f>
        <v>278.16710541203111</v>
      </c>
    </row>
    <row r="1559" spans="1:17" ht="12" customHeight="1" x14ac:dyDescent="0.35">
      <c r="A1559" s="75">
        <v>1558</v>
      </c>
      <c r="B1559" s="64">
        <v>2013</v>
      </c>
      <c r="C1559" s="64">
        <v>10</v>
      </c>
      <c r="D1559" s="80">
        <f t="shared" si="51"/>
        <v>2013</v>
      </c>
      <c r="E1559" t="s">
        <v>38</v>
      </c>
      <c r="F1559" t="s">
        <v>143</v>
      </c>
      <c r="G1559" t="s">
        <v>10</v>
      </c>
      <c r="H1559" s="72" t="s">
        <v>221</v>
      </c>
      <c r="I1559" s="72" t="s">
        <v>63</v>
      </c>
      <c r="J1559" t="str">
        <f t="shared" si="52"/>
        <v>Snohomish River</v>
      </c>
      <c r="K1559" t="str">
        <f>IFERROR(VLOOKUP(J1559,LUTs!$A$1:$C$73,2,FALSE),"NA")</f>
        <v>Snohomish</v>
      </c>
      <c r="L1559" t="str">
        <f>IFERROR(VLOOKUP(J1559,LUTs!$A$1:$C$73,3,FALSE),"NA")</f>
        <v>2Central Puget Sound</v>
      </c>
      <c r="M1559" s="72" t="s">
        <v>17</v>
      </c>
      <c r="N1559" t="str">
        <f>VLOOKUP(M1559,LUTs!E$2:H$14,3,)</f>
        <v>04Island</v>
      </c>
      <c r="O1559" t="str">
        <f>VLOOKUP(M1559,LUTs!E$2:H$14,4,)</f>
        <v>01North Puget Sound</v>
      </c>
      <c r="P1559" s="73">
        <v>26.918138041733599</v>
      </c>
      <c r="Q1559" s="74">
        <f>VLOOKUP(B1559,Readme!A$40:C$51,2,)*P1559</f>
        <v>92.598394863563584</v>
      </c>
    </row>
    <row r="1560" spans="1:17" ht="12" customHeight="1" x14ac:dyDescent="0.35">
      <c r="A1560" s="75">
        <v>1559</v>
      </c>
      <c r="B1560" s="64">
        <v>2013</v>
      </c>
      <c r="C1560" s="64">
        <v>10</v>
      </c>
      <c r="D1560" s="80">
        <f t="shared" si="51"/>
        <v>2013</v>
      </c>
      <c r="E1560" t="s">
        <v>38</v>
      </c>
      <c r="F1560" t="s">
        <v>143</v>
      </c>
      <c r="G1560" t="s">
        <v>10</v>
      </c>
      <c r="H1560" s="72" t="s">
        <v>221</v>
      </c>
      <c r="I1560" s="72" t="s">
        <v>63</v>
      </c>
      <c r="J1560" t="str">
        <f t="shared" si="52"/>
        <v>Snohomish River</v>
      </c>
      <c r="K1560" t="str">
        <f>IFERROR(VLOOKUP(J1560,LUTs!$A$1:$C$73,2,FALSE),"NA")</f>
        <v>Snohomish</v>
      </c>
      <c r="L1560" t="str">
        <f>IFERROR(VLOOKUP(J1560,LUTs!$A$1:$C$73,3,FALSE),"NA")</f>
        <v>2Central Puget Sound</v>
      </c>
      <c r="M1560" s="72" t="s">
        <v>18</v>
      </c>
      <c r="N1560" t="str">
        <f>VLOOKUP(M1560,LUTs!E$2:H$14,3,)</f>
        <v>06King</v>
      </c>
      <c r="O1560" t="str">
        <f>VLOOKUP(M1560,LUTs!E$2:H$14,4,)</f>
        <v>02South Puget Sound</v>
      </c>
      <c r="P1560" s="73">
        <v>2952.0224719101102</v>
      </c>
      <c r="Q1560" s="74">
        <f>VLOOKUP(B1560,Readme!A$40:C$51,2,)*P1560</f>
        <v>10154.957303370778</v>
      </c>
    </row>
    <row r="1561" spans="1:17" ht="12" customHeight="1" x14ac:dyDescent="0.35">
      <c r="A1561" s="75">
        <v>1560</v>
      </c>
      <c r="B1561" s="64">
        <v>2013</v>
      </c>
      <c r="C1561" s="64">
        <v>10</v>
      </c>
      <c r="D1561" s="80">
        <f t="shared" si="51"/>
        <v>2013</v>
      </c>
      <c r="E1561" t="s">
        <v>38</v>
      </c>
      <c r="F1561" t="s">
        <v>143</v>
      </c>
      <c r="G1561" t="s">
        <v>10</v>
      </c>
      <c r="H1561" s="72" t="s">
        <v>221</v>
      </c>
      <c r="I1561" s="72" t="s">
        <v>63</v>
      </c>
      <c r="J1561" t="str">
        <f t="shared" si="52"/>
        <v>Snohomish River</v>
      </c>
      <c r="K1561" t="str">
        <f>IFERROR(VLOOKUP(J1561,LUTs!$A$1:$C$73,2,FALSE),"NA")</f>
        <v>Snohomish</v>
      </c>
      <c r="L1561" t="str">
        <f>IFERROR(VLOOKUP(J1561,LUTs!$A$1:$C$73,3,FALSE),"NA")</f>
        <v>2Central Puget Sound</v>
      </c>
      <c r="M1561" s="72" t="s">
        <v>23</v>
      </c>
      <c r="N1561" t="str">
        <f>VLOOKUP(M1561,LUTs!E$2:H$14,3,)</f>
        <v>10Kitsap</v>
      </c>
      <c r="O1561" t="str">
        <f>VLOOKUP(M1561,LUTs!E$2:H$14,4,)</f>
        <v>02South Puget Sound</v>
      </c>
      <c r="P1561" s="73">
        <v>44.863563402889199</v>
      </c>
      <c r="Q1561" s="74">
        <f>VLOOKUP(B1561,Readme!A$40:C$51,2,)*P1561</f>
        <v>154.33065810593885</v>
      </c>
    </row>
    <row r="1562" spans="1:17" ht="12" customHeight="1" x14ac:dyDescent="0.35">
      <c r="A1562" s="75">
        <v>1561</v>
      </c>
      <c r="B1562" s="64">
        <v>2013</v>
      </c>
      <c r="C1562" s="64">
        <v>10</v>
      </c>
      <c r="D1562" s="80">
        <f t="shared" si="51"/>
        <v>2013</v>
      </c>
      <c r="E1562" t="s">
        <v>38</v>
      </c>
      <c r="F1562" t="s">
        <v>143</v>
      </c>
      <c r="G1562" t="s">
        <v>10</v>
      </c>
      <c r="H1562" s="72" t="s">
        <v>221</v>
      </c>
      <c r="I1562" s="72" t="s">
        <v>63</v>
      </c>
      <c r="J1562" t="str">
        <f t="shared" si="52"/>
        <v>Snohomish River</v>
      </c>
      <c r="K1562" t="str">
        <f>IFERROR(VLOOKUP(J1562,LUTs!$A$1:$C$73,2,FALSE),"NA")</f>
        <v>Snohomish</v>
      </c>
      <c r="L1562" t="str">
        <f>IFERROR(VLOOKUP(J1562,LUTs!$A$1:$C$73,3,FALSE),"NA")</f>
        <v>2Central Puget Sound</v>
      </c>
      <c r="M1562" s="72" t="s">
        <v>26</v>
      </c>
      <c r="N1562" t="str">
        <f>VLOOKUP(M1562,LUTs!E$2:H$14,3,)</f>
        <v>20Other</v>
      </c>
      <c r="O1562" t="str">
        <f>VLOOKUP(M1562,LUTs!E$2:H$14,4,)</f>
        <v>07Non Puget Sound</v>
      </c>
      <c r="P1562" s="73">
        <v>367.881219903692</v>
      </c>
      <c r="Q1562" s="74">
        <f>VLOOKUP(B1562,Readme!A$40:C$51,2,)*P1562</f>
        <v>1265.5113964687005</v>
      </c>
    </row>
    <row r="1563" spans="1:17" ht="12" customHeight="1" x14ac:dyDescent="0.35">
      <c r="A1563" s="75">
        <v>1562</v>
      </c>
      <c r="B1563" s="64">
        <v>2013</v>
      </c>
      <c r="C1563" s="64">
        <v>10</v>
      </c>
      <c r="D1563" s="80">
        <f t="shared" si="51"/>
        <v>2013</v>
      </c>
      <c r="E1563" t="s">
        <v>38</v>
      </c>
      <c r="F1563" t="s">
        <v>143</v>
      </c>
      <c r="G1563" t="s">
        <v>10</v>
      </c>
      <c r="H1563" s="72" t="s">
        <v>221</v>
      </c>
      <c r="I1563" s="72" t="s">
        <v>63</v>
      </c>
      <c r="J1563" t="str">
        <f t="shared" si="52"/>
        <v>Snohomish River</v>
      </c>
      <c r="K1563" t="str">
        <f>IFERROR(VLOOKUP(J1563,LUTs!$A$1:$C$73,2,FALSE),"NA")</f>
        <v>Snohomish</v>
      </c>
      <c r="L1563" t="str">
        <f>IFERROR(VLOOKUP(J1563,LUTs!$A$1:$C$73,3,FALSE),"NA")</f>
        <v>2Central Puget Sound</v>
      </c>
      <c r="M1563" s="72" t="s">
        <v>20</v>
      </c>
      <c r="N1563" t="str">
        <f>VLOOKUP(M1563,LUTs!E$2:H$14,3,)</f>
        <v>07Pierce</v>
      </c>
      <c r="O1563" t="str">
        <f>VLOOKUP(M1563,LUTs!E$2:H$14,4,)</f>
        <v>02South Puget Sound</v>
      </c>
      <c r="P1563" s="73">
        <v>233.29052969502399</v>
      </c>
      <c r="Q1563" s="74">
        <f>VLOOKUP(B1563,Readme!A$40:C$51,2,)*P1563</f>
        <v>802.51942215088252</v>
      </c>
    </row>
    <row r="1564" spans="1:17" ht="12" customHeight="1" x14ac:dyDescent="0.35">
      <c r="A1564" s="75">
        <v>1563</v>
      </c>
      <c r="B1564" s="64">
        <v>2013</v>
      </c>
      <c r="C1564" s="64">
        <v>10</v>
      </c>
      <c r="D1564" s="80">
        <f t="shared" si="51"/>
        <v>2013</v>
      </c>
      <c r="E1564" t="s">
        <v>38</v>
      </c>
      <c r="F1564" t="s">
        <v>143</v>
      </c>
      <c r="G1564" t="s">
        <v>10</v>
      </c>
      <c r="H1564" s="72" t="s">
        <v>221</v>
      </c>
      <c r="I1564" s="72" t="s">
        <v>63</v>
      </c>
      <c r="J1564" t="str">
        <f t="shared" si="52"/>
        <v>Snohomish River</v>
      </c>
      <c r="K1564" t="str">
        <f>IFERROR(VLOOKUP(J1564,LUTs!$A$1:$C$73,2,FALSE),"NA")</f>
        <v>Snohomish</v>
      </c>
      <c r="L1564" t="str">
        <f>IFERROR(VLOOKUP(J1564,LUTs!$A$1:$C$73,3,FALSE),"NA")</f>
        <v>2Central Puget Sound</v>
      </c>
      <c r="M1564" s="72" t="s">
        <v>15</v>
      </c>
      <c r="N1564" t="str">
        <f>VLOOKUP(M1564,LUTs!E$2:H$14,3,)</f>
        <v>02Skagit</v>
      </c>
      <c r="O1564" t="str">
        <f>VLOOKUP(M1564,LUTs!E$2:H$14,4,)</f>
        <v>01North Puget Sound</v>
      </c>
      <c r="P1564" s="73">
        <v>17.945425361155699</v>
      </c>
      <c r="Q1564" s="74">
        <f>VLOOKUP(B1564,Readme!A$40:C$51,2,)*P1564</f>
        <v>61.732263242375602</v>
      </c>
    </row>
    <row r="1565" spans="1:17" ht="12" customHeight="1" x14ac:dyDescent="0.35">
      <c r="A1565" s="75">
        <v>1564</v>
      </c>
      <c r="B1565" s="64">
        <v>2013</v>
      </c>
      <c r="C1565" s="64">
        <v>10</v>
      </c>
      <c r="D1565" s="80">
        <f t="shared" si="51"/>
        <v>2013</v>
      </c>
      <c r="E1565" t="s">
        <v>38</v>
      </c>
      <c r="F1565" t="s">
        <v>143</v>
      </c>
      <c r="G1565" t="s">
        <v>10</v>
      </c>
      <c r="H1565" s="72" t="s">
        <v>221</v>
      </c>
      <c r="I1565" s="72" t="s">
        <v>63</v>
      </c>
      <c r="J1565" t="str">
        <f t="shared" si="52"/>
        <v>Snohomish River</v>
      </c>
      <c r="K1565" t="str">
        <f>IFERROR(VLOOKUP(J1565,LUTs!$A$1:$C$73,2,FALSE),"NA")</f>
        <v>Snohomish</v>
      </c>
      <c r="L1565" t="str">
        <f>IFERROR(VLOOKUP(J1565,LUTs!$A$1:$C$73,3,FALSE),"NA")</f>
        <v>2Central Puget Sound</v>
      </c>
      <c r="M1565" s="72" t="s">
        <v>16</v>
      </c>
      <c r="N1565" t="str">
        <f>VLOOKUP(M1565,LUTs!E$2:H$14,3,)</f>
        <v>03Snohomish</v>
      </c>
      <c r="O1565" t="str">
        <f>VLOOKUP(M1565,LUTs!E$2:H$14,4,)</f>
        <v>01North Puget Sound</v>
      </c>
      <c r="P1565" s="73">
        <v>7411.4606741572998</v>
      </c>
      <c r="Q1565" s="74">
        <f>VLOOKUP(B1565,Readme!A$40:C$51,2,)*P1565</f>
        <v>25495.424719101109</v>
      </c>
    </row>
    <row r="1566" spans="1:17" ht="12" customHeight="1" x14ac:dyDescent="0.35">
      <c r="A1566" s="75">
        <v>1565</v>
      </c>
      <c r="B1566" s="64">
        <v>2013</v>
      </c>
      <c r="C1566" s="64">
        <v>10</v>
      </c>
      <c r="D1566" s="80">
        <f t="shared" si="51"/>
        <v>2013</v>
      </c>
      <c r="E1566" t="s">
        <v>38</v>
      </c>
      <c r="F1566" t="s">
        <v>143</v>
      </c>
      <c r="G1566" t="s">
        <v>10</v>
      </c>
      <c r="H1566" s="72" t="s">
        <v>221</v>
      </c>
      <c r="I1566" s="72" t="s">
        <v>63</v>
      </c>
      <c r="J1566" t="str">
        <f t="shared" si="52"/>
        <v>Snohomish River</v>
      </c>
      <c r="K1566" t="str">
        <f>IFERROR(VLOOKUP(J1566,LUTs!$A$1:$C$73,2,FALSE),"NA")</f>
        <v>Snohomish</v>
      </c>
      <c r="L1566" t="str">
        <f>IFERROR(VLOOKUP(J1566,LUTs!$A$1:$C$73,3,FALSE),"NA")</f>
        <v>2Central Puget Sound</v>
      </c>
      <c r="M1566" s="72" t="s">
        <v>21</v>
      </c>
      <c r="N1566" t="str">
        <f>VLOOKUP(M1566,LUTs!E$2:H$14,3,)</f>
        <v>08Thurston</v>
      </c>
      <c r="O1566" t="str">
        <f>VLOOKUP(M1566,LUTs!E$2:H$14,4,)</f>
        <v>02South Puget Sound</v>
      </c>
      <c r="P1566" s="73">
        <v>80.754414125200697</v>
      </c>
      <c r="Q1566" s="74">
        <f>VLOOKUP(B1566,Readme!A$40:C$51,2,)*P1566</f>
        <v>277.79518459069038</v>
      </c>
    </row>
    <row r="1567" spans="1:17" ht="12" customHeight="1" x14ac:dyDescent="0.35">
      <c r="A1567" s="75">
        <v>1566</v>
      </c>
      <c r="B1567" s="64">
        <v>2013</v>
      </c>
      <c r="C1567" s="64">
        <v>10</v>
      </c>
      <c r="D1567" s="80">
        <f t="shared" si="51"/>
        <v>2013</v>
      </c>
      <c r="E1567" t="s">
        <v>38</v>
      </c>
      <c r="F1567" t="s">
        <v>143</v>
      </c>
      <c r="G1567" t="s">
        <v>10</v>
      </c>
      <c r="H1567" s="72" t="s">
        <v>221</v>
      </c>
      <c r="I1567" s="72" t="s">
        <v>63</v>
      </c>
      <c r="J1567" t="str">
        <f t="shared" si="52"/>
        <v>Snohomish River</v>
      </c>
      <c r="K1567" t="str">
        <f>IFERROR(VLOOKUP(J1567,LUTs!$A$1:$C$73,2,FALSE),"NA")</f>
        <v>Snohomish</v>
      </c>
      <c r="L1567" t="str">
        <f>IFERROR(VLOOKUP(J1567,LUTs!$A$1:$C$73,3,FALSE),"NA")</f>
        <v>2Central Puget Sound</v>
      </c>
      <c r="M1567" s="72" t="s">
        <v>13</v>
      </c>
      <c r="N1567" t="str">
        <f>VLOOKUP(M1567,LUTs!E$2:H$14,3,)</f>
        <v>01Whatcom</v>
      </c>
      <c r="O1567" t="str">
        <f>VLOOKUP(M1567,LUTs!E$2:H$14,4,)</f>
        <v>01North Puget Sound</v>
      </c>
      <c r="P1567" s="73">
        <v>44.863563402889199</v>
      </c>
      <c r="Q1567" s="74">
        <f>VLOOKUP(B1567,Readme!A$40:C$51,2,)*P1567</f>
        <v>154.33065810593885</v>
      </c>
    </row>
    <row r="1568" spans="1:17" ht="12" customHeight="1" x14ac:dyDescent="0.35">
      <c r="A1568" s="75">
        <v>1567</v>
      </c>
      <c r="B1568" s="64">
        <v>2013</v>
      </c>
      <c r="C1568" s="64">
        <v>11</v>
      </c>
      <c r="D1568" s="80">
        <f t="shared" si="51"/>
        <v>2013</v>
      </c>
      <c r="E1568" t="s">
        <v>38</v>
      </c>
      <c r="F1568" t="s">
        <v>143</v>
      </c>
      <c r="G1568" t="s">
        <v>10</v>
      </c>
      <c r="H1568" s="72" t="s">
        <v>221</v>
      </c>
      <c r="I1568" s="72" t="s">
        <v>63</v>
      </c>
      <c r="J1568" t="str">
        <f t="shared" si="52"/>
        <v>Snohomish River</v>
      </c>
      <c r="K1568" t="str">
        <f>IFERROR(VLOOKUP(J1568,LUTs!$A$1:$C$73,2,FALSE),"NA")</f>
        <v>Snohomish</v>
      </c>
      <c r="L1568" t="str">
        <f>IFERROR(VLOOKUP(J1568,LUTs!$A$1:$C$73,3,FALSE),"NA")</f>
        <v>2Central Puget Sound</v>
      </c>
      <c r="M1568" s="72" t="s">
        <v>18</v>
      </c>
      <c r="N1568" t="str">
        <f>VLOOKUP(M1568,LUTs!E$2:H$14,3,)</f>
        <v>06King</v>
      </c>
      <c r="O1568" t="str">
        <f>VLOOKUP(M1568,LUTs!E$2:H$14,4,)</f>
        <v>02South Puget Sound</v>
      </c>
      <c r="P1568" s="73">
        <v>8.9473684210526301</v>
      </c>
      <c r="Q1568" s="74">
        <f>VLOOKUP(B1568,Readme!A$40:C$51,2,)*P1568</f>
        <v>30.778947368421047</v>
      </c>
    </row>
    <row r="1569" spans="1:17" ht="12" customHeight="1" x14ac:dyDescent="0.35">
      <c r="A1569" s="75">
        <v>1568</v>
      </c>
      <c r="B1569" s="64">
        <v>2013</v>
      </c>
      <c r="C1569" s="64">
        <v>11</v>
      </c>
      <c r="D1569" s="80">
        <f t="shared" si="51"/>
        <v>2013</v>
      </c>
      <c r="E1569" t="s">
        <v>38</v>
      </c>
      <c r="F1569" t="s">
        <v>143</v>
      </c>
      <c r="G1569" t="s">
        <v>10</v>
      </c>
      <c r="H1569" s="72" t="s">
        <v>221</v>
      </c>
      <c r="I1569" s="72" t="s">
        <v>63</v>
      </c>
      <c r="J1569" t="str">
        <f t="shared" si="52"/>
        <v>Snohomish River</v>
      </c>
      <c r="K1569" t="str">
        <f>IFERROR(VLOOKUP(J1569,LUTs!$A$1:$C$73,2,FALSE),"NA")</f>
        <v>Snohomish</v>
      </c>
      <c r="L1569" t="str">
        <f>IFERROR(VLOOKUP(J1569,LUTs!$A$1:$C$73,3,FALSE),"NA")</f>
        <v>2Central Puget Sound</v>
      </c>
      <c r="M1569" s="72" t="s">
        <v>23</v>
      </c>
      <c r="N1569" t="str">
        <f>VLOOKUP(M1569,LUTs!E$2:H$14,3,)</f>
        <v>10Kitsap</v>
      </c>
      <c r="O1569" t="str">
        <f>VLOOKUP(M1569,LUTs!E$2:H$14,4,)</f>
        <v>02South Puget Sound</v>
      </c>
      <c r="P1569" s="73">
        <v>8.9473684210526301</v>
      </c>
      <c r="Q1569" s="74">
        <f>VLOOKUP(B1569,Readme!A$40:C$51,2,)*P1569</f>
        <v>30.778947368421047</v>
      </c>
    </row>
    <row r="1570" spans="1:17" ht="12" customHeight="1" x14ac:dyDescent="0.35">
      <c r="A1570" s="75">
        <v>1569</v>
      </c>
      <c r="B1570" s="64">
        <v>2013</v>
      </c>
      <c r="C1570" s="64">
        <v>11</v>
      </c>
      <c r="D1570" s="80">
        <f t="shared" si="51"/>
        <v>2013</v>
      </c>
      <c r="E1570" t="s">
        <v>38</v>
      </c>
      <c r="F1570" t="s">
        <v>143</v>
      </c>
      <c r="G1570" t="s">
        <v>10</v>
      </c>
      <c r="H1570" s="72" t="s">
        <v>221</v>
      </c>
      <c r="I1570" s="72" t="s">
        <v>63</v>
      </c>
      <c r="J1570" t="str">
        <f t="shared" si="52"/>
        <v>Snohomish River</v>
      </c>
      <c r="K1570" t="str">
        <f>IFERROR(VLOOKUP(J1570,LUTs!$A$1:$C$73,2,FALSE),"NA")</f>
        <v>Snohomish</v>
      </c>
      <c r="L1570" t="str">
        <f>IFERROR(VLOOKUP(J1570,LUTs!$A$1:$C$73,3,FALSE),"NA")</f>
        <v>2Central Puget Sound</v>
      </c>
      <c r="M1570" s="72" t="s">
        <v>26</v>
      </c>
      <c r="N1570" t="str">
        <f>VLOOKUP(M1570,LUTs!E$2:H$14,3,)</f>
        <v>20Other</v>
      </c>
      <c r="O1570" t="str">
        <f>VLOOKUP(M1570,LUTs!E$2:H$14,4,)</f>
        <v>07Non Puget Sound</v>
      </c>
      <c r="P1570" s="73">
        <v>17.894736842105299</v>
      </c>
      <c r="Q1570" s="74">
        <f>VLOOKUP(B1570,Readme!A$40:C$51,2,)*P1570</f>
        <v>61.557894736842229</v>
      </c>
    </row>
    <row r="1571" spans="1:17" ht="12" customHeight="1" x14ac:dyDescent="0.35">
      <c r="A1571" s="75">
        <v>1570</v>
      </c>
      <c r="B1571" s="64">
        <v>2013</v>
      </c>
      <c r="C1571" s="64">
        <v>11</v>
      </c>
      <c r="D1571" s="80">
        <f t="shared" si="51"/>
        <v>2013</v>
      </c>
      <c r="E1571" t="s">
        <v>38</v>
      </c>
      <c r="F1571" t="s">
        <v>143</v>
      </c>
      <c r="G1571" t="s">
        <v>10</v>
      </c>
      <c r="H1571" s="72" t="s">
        <v>221</v>
      </c>
      <c r="I1571" s="72" t="s">
        <v>63</v>
      </c>
      <c r="J1571" t="str">
        <f t="shared" si="52"/>
        <v>Snohomish River</v>
      </c>
      <c r="K1571" t="str">
        <f>IFERROR(VLOOKUP(J1571,LUTs!$A$1:$C$73,2,FALSE),"NA")</f>
        <v>Snohomish</v>
      </c>
      <c r="L1571" t="str">
        <f>IFERROR(VLOOKUP(J1571,LUTs!$A$1:$C$73,3,FALSE),"NA")</f>
        <v>2Central Puget Sound</v>
      </c>
      <c r="M1571" s="72" t="s">
        <v>16</v>
      </c>
      <c r="N1571" t="str">
        <f>VLOOKUP(M1571,LUTs!E$2:H$14,3,)</f>
        <v>03Snohomish</v>
      </c>
      <c r="O1571" t="str">
        <f>VLOOKUP(M1571,LUTs!E$2:H$14,4,)</f>
        <v>01North Puget Sound</v>
      </c>
      <c r="P1571" s="73">
        <v>134.21052631578999</v>
      </c>
      <c r="Q1571" s="74">
        <f>VLOOKUP(B1571,Readme!A$40:C$51,2,)*P1571</f>
        <v>461.68421052631754</v>
      </c>
    </row>
    <row r="1572" spans="1:17" ht="12" customHeight="1" x14ac:dyDescent="0.35">
      <c r="A1572" s="75">
        <v>1571</v>
      </c>
      <c r="B1572" s="64">
        <v>2014</v>
      </c>
      <c r="C1572" s="64">
        <v>1</v>
      </c>
      <c r="D1572" s="80">
        <f t="shared" si="51"/>
        <v>2013</v>
      </c>
      <c r="E1572" t="s">
        <v>38</v>
      </c>
      <c r="F1572" t="s">
        <v>143</v>
      </c>
      <c r="G1572" t="s">
        <v>10</v>
      </c>
      <c r="H1572" s="72" t="s">
        <v>221</v>
      </c>
      <c r="I1572" s="72" t="s">
        <v>63</v>
      </c>
      <c r="J1572" t="str">
        <f t="shared" si="52"/>
        <v>Snohomish River</v>
      </c>
      <c r="K1572" t="str">
        <f>IFERROR(VLOOKUP(J1572,LUTs!$A$1:$C$73,2,FALSE),"NA")</f>
        <v>Snohomish</v>
      </c>
      <c r="L1572" t="str">
        <f>IFERROR(VLOOKUP(J1572,LUTs!$A$1:$C$73,3,FALSE),"NA")</f>
        <v>2Central Puget Sound</v>
      </c>
      <c r="M1572" s="72" t="s">
        <v>16</v>
      </c>
      <c r="N1572" t="str">
        <f>VLOOKUP(M1572,LUTs!E$2:H$14,3,)</f>
        <v>03Snohomish</v>
      </c>
      <c r="O1572" t="str">
        <f>VLOOKUP(M1572,LUTs!E$2:H$14,4,)</f>
        <v>01North Puget Sound</v>
      </c>
      <c r="P1572" s="73">
        <v>0</v>
      </c>
      <c r="Q1572" s="74">
        <f>VLOOKUP(B1572,Readme!A$40:C$51,2,)*P1572</f>
        <v>0</v>
      </c>
    </row>
    <row r="1573" spans="1:17" ht="12" customHeight="1" x14ac:dyDescent="0.35">
      <c r="A1573" s="75">
        <v>1572</v>
      </c>
      <c r="B1573" s="64">
        <v>2013</v>
      </c>
      <c r="C1573" s="64">
        <v>8</v>
      </c>
      <c r="D1573" s="80">
        <f t="shared" si="51"/>
        <v>2013</v>
      </c>
      <c r="E1573" t="s">
        <v>38</v>
      </c>
      <c r="F1573" t="s">
        <v>143</v>
      </c>
      <c r="G1573" t="s">
        <v>10</v>
      </c>
      <c r="H1573" s="72" t="s">
        <v>222</v>
      </c>
      <c r="I1573" s="72" t="s">
        <v>64</v>
      </c>
      <c r="J1573" t="str">
        <f t="shared" si="52"/>
        <v>Snoqualmie River</v>
      </c>
      <c r="K1573" t="str">
        <f>IFERROR(VLOOKUP(J1573,LUTs!$A$1:$C$73,2,FALSE),"NA")</f>
        <v>Snohomish/King</v>
      </c>
      <c r="L1573" t="str">
        <f>IFERROR(VLOOKUP(J1573,LUTs!$A$1:$C$73,3,FALSE),"NA")</f>
        <v>2Central Puget Sound</v>
      </c>
      <c r="M1573" s="72" t="s">
        <v>18</v>
      </c>
      <c r="N1573" t="str">
        <f>VLOOKUP(M1573,LUTs!E$2:H$14,3,)</f>
        <v>06King</v>
      </c>
      <c r="O1573" t="str">
        <f>VLOOKUP(M1573,LUTs!E$2:H$14,4,)</f>
        <v>02South Puget Sound</v>
      </c>
      <c r="P1573" s="73">
        <v>12.413793103448301</v>
      </c>
      <c r="Q1573" s="74">
        <f>VLOOKUP(B1573,Readme!A$40:C$51,2,)*P1573</f>
        <v>42.703448275862151</v>
      </c>
    </row>
    <row r="1574" spans="1:17" ht="12" customHeight="1" x14ac:dyDescent="0.35">
      <c r="A1574" s="75">
        <v>1573</v>
      </c>
      <c r="B1574" s="64">
        <v>2013</v>
      </c>
      <c r="C1574" s="64">
        <v>8</v>
      </c>
      <c r="D1574" s="80">
        <f t="shared" si="51"/>
        <v>2013</v>
      </c>
      <c r="E1574" t="s">
        <v>38</v>
      </c>
      <c r="F1574" t="s">
        <v>143</v>
      </c>
      <c r="G1574" t="s">
        <v>10</v>
      </c>
      <c r="H1574" s="72" t="s">
        <v>222</v>
      </c>
      <c r="I1574" s="72" t="s">
        <v>64</v>
      </c>
      <c r="J1574" t="str">
        <f t="shared" si="52"/>
        <v>Snoqualmie River</v>
      </c>
      <c r="K1574" t="str">
        <f>IFERROR(VLOOKUP(J1574,LUTs!$A$1:$C$73,2,FALSE),"NA")</f>
        <v>Snohomish/King</v>
      </c>
      <c r="L1574" t="str">
        <f>IFERROR(VLOOKUP(J1574,LUTs!$A$1:$C$73,3,FALSE),"NA")</f>
        <v>2Central Puget Sound</v>
      </c>
      <c r="M1574" s="72" t="s">
        <v>20</v>
      </c>
      <c r="N1574" t="str">
        <f>VLOOKUP(M1574,LUTs!E$2:H$14,3,)</f>
        <v>07Pierce</v>
      </c>
      <c r="O1574" t="str">
        <f>VLOOKUP(M1574,LUTs!E$2:H$14,4,)</f>
        <v>02South Puget Sound</v>
      </c>
      <c r="P1574" s="73">
        <v>7.4482758620689697</v>
      </c>
      <c r="Q1574" s="74">
        <f>VLOOKUP(B1574,Readme!A$40:C$51,2,)*P1574</f>
        <v>25.622068965517254</v>
      </c>
    </row>
    <row r="1575" spans="1:17" ht="12" customHeight="1" x14ac:dyDescent="0.35">
      <c r="A1575" s="75">
        <v>1574</v>
      </c>
      <c r="B1575" s="64">
        <v>2013</v>
      </c>
      <c r="C1575" s="64">
        <v>8</v>
      </c>
      <c r="D1575" s="80">
        <f t="shared" si="51"/>
        <v>2013</v>
      </c>
      <c r="E1575" t="s">
        <v>38</v>
      </c>
      <c r="F1575" t="s">
        <v>143</v>
      </c>
      <c r="G1575" t="s">
        <v>10</v>
      </c>
      <c r="H1575" s="72" t="s">
        <v>222</v>
      </c>
      <c r="I1575" s="72" t="s">
        <v>64</v>
      </c>
      <c r="J1575" t="str">
        <f t="shared" si="52"/>
        <v>Snoqualmie River</v>
      </c>
      <c r="K1575" t="str">
        <f>IFERROR(VLOOKUP(J1575,LUTs!$A$1:$C$73,2,FALSE),"NA")</f>
        <v>Snohomish/King</v>
      </c>
      <c r="L1575" t="str">
        <f>IFERROR(VLOOKUP(J1575,LUTs!$A$1:$C$73,3,FALSE),"NA")</f>
        <v>2Central Puget Sound</v>
      </c>
      <c r="M1575" s="72" t="s">
        <v>16</v>
      </c>
      <c r="N1575" t="str">
        <f>VLOOKUP(M1575,LUTs!E$2:H$14,3,)</f>
        <v>03Snohomish</v>
      </c>
      <c r="O1575" t="str">
        <f>VLOOKUP(M1575,LUTs!E$2:H$14,4,)</f>
        <v>01North Puget Sound</v>
      </c>
      <c r="P1575" s="73">
        <v>16.137931034482801</v>
      </c>
      <c r="Q1575" s="74">
        <f>VLOOKUP(B1575,Readme!A$40:C$51,2,)*P1575</f>
        <v>55.514482758620836</v>
      </c>
    </row>
    <row r="1576" spans="1:17" ht="12" customHeight="1" x14ac:dyDescent="0.35">
      <c r="A1576" s="75">
        <v>1575</v>
      </c>
      <c r="B1576" s="64">
        <v>2013</v>
      </c>
      <c r="C1576" s="64">
        <v>9</v>
      </c>
      <c r="D1576" s="80">
        <f t="shared" si="51"/>
        <v>2013</v>
      </c>
      <c r="E1576" t="s">
        <v>38</v>
      </c>
      <c r="F1576" t="s">
        <v>143</v>
      </c>
      <c r="G1576" t="s">
        <v>10</v>
      </c>
      <c r="H1576" s="72" t="s">
        <v>222</v>
      </c>
      <c r="I1576" s="72" t="s">
        <v>64</v>
      </c>
      <c r="J1576" t="str">
        <f t="shared" si="52"/>
        <v>Snoqualmie River</v>
      </c>
      <c r="K1576" t="str">
        <f>IFERROR(VLOOKUP(J1576,LUTs!$A$1:$C$73,2,FALSE),"NA")</f>
        <v>Snohomish/King</v>
      </c>
      <c r="L1576" t="str">
        <f>IFERROR(VLOOKUP(J1576,LUTs!$A$1:$C$73,3,FALSE),"NA")</f>
        <v>2Central Puget Sound</v>
      </c>
      <c r="M1576" s="72" t="s">
        <v>17</v>
      </c>
      <c r="N1576" t="str">
        <f>VLOOKUP(M1576,LUTs!E$2:H$14,3,)</f>
        <v>04Island</v>
      </c>
      <c r="O1576" t="str">
        <f>VLOOKUP(M1576,LUTs!E$2:H$14,4,)</f>
        <v>01North Puget Sound</v>
      </c>
      <c r="P1576" s="73">
        <v>62.153846153846203</v>
      </c>
      <c r="Q1576" s="74">
        <f>VLOOKUP(B1576,Readme!A$40:C$51,2,)*P1576</f>
        <v>213.80923076923094</v>
      </c>
    </row>
    <row r="1577" spans="1:17" ht="12" customHeight="1" x14ac:dyDescent="0.35">
      <c r="A1577" s="75">
        <v>1576</v>
      </c>
      <c r="B1577" s="64">
        <v>2013</v>
      </c>
      <c r="C1577" s="64">
        <v>9</v>
      </c>
      <c r="D1577" s="80">
        <f t="shared" si="51"/>
        <v>2013</v>
      </c>
      <c r="E1577" t="s">
        <v>38</v>
      </c>
      <c r="F1577" t="s">
        <v>143</v>
      </c>
      <c r="G1577" t="s">
        <v>10</v>
      </c>
      <c r="H1577" s="72" t="s">
        <v>222</v>
      </c>
      <c r="I1577" s="72" t="s">
        <v>64</v>
      </c>
      <c r="J1577" t="str">
        <f t="shared" si="52"/>
        <v>Snoqualmie River</v>
      </c>
      <c r="K1577" t="str">
        <f>IFERROR(VLOOKUP(J1577,LUTs!$A$1:$C$73,2,FALSE),"NA")</f>
        <v>Snohomish/King</v>
      </c>
      <c r="L1577" t="str">
        <f>IFERROR(VLOOKUP(J1577,LUTs!$A$1:$C$73,3,FALSE),"NA")</f>
        <v>2Central Puget Sound</v>
      </c>
      <c r="M1577" s="72" t="s">
        <v>18</v>
      </c>
      <c r="N1577" t="str">
        <f>VLOOKUP(M1577,LUTs!E$2:H$14,3,)</f>
        <v>06King</v>
      </c>
      <c r="O1577" t="str">
        <f>VLOOKUP(M1577,LUTs!E$2:H$14,4,)</f>
        <v>02South Puget Sound</v>
      </c>
      <c r="P1577" s="73">
        <v>399.56043956043999</v>
      </c>
      <c r="Q1577" s="74">
        <f>VLOOKUP(B1577,Readme!A$40:C$51,2,)*P1577</f>
        <v>1374.4879120879136</v>
      </c>
    </row>
    <row r="1578" spans="1:17" ht="12" customHeight="1" x14ac:dyDescent="0.35">
      <c r="A1578" s="75">
        <v>1577</v>
      </c>
      <c r="B1578" s="64">
        <v>2013</v>
      </c>
      <c r="C1578" s="64">
        <v>9</v>
      </c>
      <c r="D1578" s="80">
        <f t="shared" si="51"/>
        <v>2013</v>
      </c>
      <c r="E1578" t="s">
        <v>38</v>
      </c>
      <c r="F1578" t="s">
        <v>143</v>
      </c>
      <c r="G1578" t="s">
        <v>10</v>
      </c>
      <c r="H1578" s="72" t="s">
        <v>222</v>
      </c>
      <c r="I1578" s="72" t="s">
        <v>64</v>
      </c>
      <c r="J1578" t="str">
        <f t="shared" si="52"/>
        <v>Snoqualmie River</v>
      </c>
      <c r="K1578" t="str">
        <f>IFERROR(VLOOKUP(J1578,LUTs!$A$1:$C$73,2,FALSE),"NA")</f>
        <v>Snohomish/King</v>
      </c>
      <c r="L1578" t="str">
        <f>IFERROR(VLOOKUP(J1578,LUTs!$A$1:$C$73,3,FALSE),"NA")</f>
        <v>2Central Puget Sound</v>
      </c>
      <c r="M1578" s="72" t="s">
        <v>26</v>
      </c>
      <c r="N1578" t="str">
        <f>VLOOKUP(M1578,LUTs!E$2:H$14,3,)</f>
        <v>20Other</v>
      </c>
      <c r="O1578" t="str">
        <f>VLOOKUP(M1578,LUTs!E$2:H$14,4,)</f>
        <v>07Non Puget Sound</v>
      </c>
      <c r="P1578" s="73">
        <v>230.857142857143</v>
      </c>
      <c r="Q1578" s="74">
        <f>VLOOKUP(B1578,Readme!A$40:C$51,2,)*P1578</f>
        <v>794.14857142857193</v>
      </c>
    </row>
    <row r="1579" spans="1:17" ht="12" customHeight="1" x14ac:dyDescent="0.35">
      <c r="A1579" s="75">
        <v>1578</v>
      </c>
      <c r="B1579" s="64">
        <v>2013</v>
      </c>
      <c r="C1579" s="64">
        <v>9</v>
      </c>
      <c r="D1579" s="80">
        <f t="shared" si="51"/>
        <v>2013</v>
      </c>
      <c r="E1579" t="s">
        <v>38</v>
      </c>
      <c r="F1579" t="s">
        <v>143</v>
      </c>
      <c r="G1579" t="s">
        <v>10</v>
      </c>
      <c r="H1579" s="72" t="s">
        <v>222</v>
      </c>
      <c r="I1579" s="72" t="s">
        <v>64</v>
      </c>
      <c r="J1579" t="str">
        <f t="shared" si="52"/>
        <v>Snoqualmie River</v>
      </c>
      <c r="K1579" t="str">
        <f>IFERROR(VLOOKUP(J1579,LUTs!$A$1:$C$73,2,FALSE),"NA")</f>
        <v>Snohomish/King</v>
      </c>
      <c r="L1579" t="str">
        <f>IFERROR(VLOOKUP(J1579,LUTs!$A$1:$C$73,3,FALSE),"NA")</f>
        <v>2Central Puget Sound</v>
      </c>
      <c r="M1579" s="72" t="s">
        <v>16</v>
      </c>
      <c r="N1579" t="str">
        <f>VLOOKUP(M1579,LUTs!E$2:H$14,3,)</f>
        <v>03Snohomish</v>
      </c>
      <c r="O1579" t="str">
        <f>VLOOKUP(M1579,LUTs!E$2:H$14,4,)</f>
        <v>01North Puget Sound</v>
      </c>
      <c r="P1579" s="73">
        <v>115.428571428571</v>
      </c>
      <c r="Q1579" s="74">
        <f>VLOOKUP(B1579,Readme!A$40:C$51,2,)*P1579</f>
        <v>397.07428571428426</v>
      </c>
    </row>
    <row r="1580" spans="1:17" ht="12" customHeight="1" x14ac:dyDescent="0.35">
      <c r="A1580" s="75">
        <v>1579</v>
      </c>
      <c r="B1580" s="64">
        <v>2013</v>
      </c>
      <c r="C1580" s="64">
        <v>10</v>
      </c>
      <c r="D1580" s="80">
        <f t="shared" si="51"/>
        <v>2013</v>
      </c>
      <c r="E1580" t="s">
        <v>38</v>
      </c>
      <c r="F1580" t="s">
        <v>143</v>
      </c>
      <c r="G1580" t="s">
        <v>10</v>
      </c>
      <c r="H1580" s="72" t="s">
        <v>222</v>
      </c>
      <c r="I1580" s="72" t="s">
        <v>64</v>
      </c>
      <c r="J1580" t="str">
        <f t="shared" si="52"/>
        <v>Snoqualmie River</v>
      </c>
      <c r="K1580" t="str">
        <f>IFERROR(VLOOKUP(J1580,LUTs!$A$1:$C$73,2,FALSE),"NA")</f>
        <v>Snohomish/King</v>
      </c>
      <c r="L1580" t="str">
        <f>IFERROR(VLOOKUP(J1580,LUTs!$A$1:$C$73,3,FALSE),"NA")</f>
        <v>2Central Puget Sound</v>
      </c>
      <c r="M1580" s="72" t="s">
        <v>18</v>
      </c>
      <c r="N1580" t="str">
        <f>VLOOKUP(M1580,LUTs!E$2:H$14,3,)</f>
        <v>06King</v>
      </c>
      <c r="O1580" t="str">
        <f>VLOOKUP(M1580,LUTs!E$2:H$14,4,)</f>
        <v>02South Puget Sound</v>
      </c>
      <c r="P1580" s="73">
        <v>382.13207547169799</v>
      </c>
      <c r="Q1580" s="74">
        <f>VLOOKUP(B1580,Readme!A$40:C$51,2,)*P1580</f>
        <v>1314.534339622641</v>
      </c>
    </row>
    <row r="1581" spans="1:17" ht="12" customHeight="1" x14ac:dyDescent="0.35">
      <c r="A1581" s="75">
        <v>1580</v>
      </c>
      <c r="B1581" s="64">
        <v>2013</v>
      </c>
      <c r="C1581" s="64">
        <v>10</v>
      </c>
      <c r="D1581" s="80">
        <f t="shared" si="51"/>
        <v>2013</v>
      </c>
      <c r="E1581" t="s">
        <v>38</v>
      </c>
      <c r="F1581" t="s">
        <v>143</v>
      </c>
      <c r="G1581" t="s">
        <v>10</v>
      </c>
      <c r="H1581" s="72" t="s">
        <v>222</v>
      </c>
      <c r="I1581" s="72" t="s">
        <v>64</v>
      </c>
      <c r="J1581" t="str">
        <f t="shared" si="52"/>
        <v>Snoqualmie River</v>
      </c>
      <c r="K1581" t="str">
        <f>IFERROR(VLOOKUP(J1581,LUTs!$A$1:$C$73,2,FALSE),"NA")</f>
        <v>Snohomish/King</v>
      </c>
      <c r="L1581" t="str">
        <f>IFERROR(VLOOKUP(J1581,LUTs!$A$1:$C$73,3,FALSE),"NA")</f>
        <v>2Central Puget Sound</v>
      </c>
      <c r="M1581" s="72" t="s">
        <v>26</v>
      </c>
      <c r="N1581" t="str">
        <f>VLOOKUP(M1581,LUTs!E$2:H$14,3,)</f>
        <v>20Other</v>
      </c>
      <c r="O1581" t="str">
        <f>VLOOKUP(M1581,LUTs!E$2:H$14,4,)</f>
        <v>07Non Puget Sound</v>
      </c>
      <c r="P1581" s="73">
        <v>62.207547169811299</v>
      </c>
      <c r="Q1581" s="74">
        <f>VLOOKUP(B1581,Readme!A$40:C$51,2,)*P1581</f>
        <v>213.99396226415087</v>
      </c>
    </row>
    <row r="1582" spans="1:17" ht="12" customHeight="1" x14ac:dyDescent="0.35">
      <c r="A1582" s="75">
        <v>1581</v>
      </c>
      <c r="B1582" s="64">
        <v>2013</v>
      </c>
      <c r="C1582" s="64">
        <v>10</v>
      </c>
      <c r="D1582" s="80">
        <f t="shared" si="51"/>
        <v>2013</v>
      </c>
      <c r="E1582" t="s">
        <v>38</v>
      </c>
      <c r="F1582" t="s">
        <v>143</v>
      </c>
      <c r="G1582" t="s">
        <v>10</v>
      </c>
      <c r="H1582" s="72" t="s">
        <v>222</v>
      </c>
      <c r="I1582" s="72" t="s">
        <v>64</v>
      </c>
      <c r="J1582" t="str">
        <f t="shared" si="52"/>
        <v>Snoqualmie River</v>
      </c>
      <c r="K1582" t="str">
        <f>IFERROR(VLOOKUP(J1582,LUTs!$A$1:$C$73,2,FALSE),"NA")</f>
        <v>Snohomish/King</v>
      </c>
      <c r="L1582" t="str">
        <f>IFERROR(VLOOKUP(J1582,LUTs!$A$1:$C$73,3,FALSE),"NA")</f>
        <v>2Central Puget Sound</v>
      </c>
      <c r="M1582" s="72" t="s">
        <v>16</v>
      </c>
      <c r="N1582" t="str">
        <f>VLOOKUP(M1582,LUTs!E$2:H$14,3,)</f>
        <v>03Snohomish</v>
      </c>
      <c r="O1582" t="str">
        <f>VLOOKUP(M1582,LUTs!E$2:H$14,4,)</f>
        <v>01North Puget Sound</v>
      </c>
      <c r="P1582" s="73">
        <v>26.660377358490599</v>
      </c>
      <c r="Q1582" s="74">
        <f>VLOOKUP(B1582,Readme!A$40:C$51,2,)*P1582</f>
        <v>91.71169811320766</v>
      </c>
    </row>
    <row r="1583" spans="1:17" ht="12" customHeight="1" x14ac:dyDescent="0.35">
      <c r="A1583" s="75">
        <v>1582</v>
      </c>
      <c r="B1583" s="64">
        <v>2013</v>
      </c>
      <c r="C1583" s="64">
        <v>11</v>
      </c>
      <c r="D1583" s="80">
        <f t="shared" si="51"/>
        <v>2013</v>
      </c>
      <c r="E1583" t="s">
        <v>38</v>
      </c>
      <c r="F1583" t="s">
        <v>143</v>
      </c>
      <c r="G1583" t="s">
        <v>10</v>
      </c>
      <c r="H1583" s="72" t="s">
        <v>222</v>
      </c>
      <c r="I1583" s="72" t="s">
        <v>64</v>
      </c>
      <c r="J1583" t="str">
        <f t="shared" si="52"/>
        <v>Snoqualmie River</v>
      </c>
      <c r="K1583" t="str">
        <f>IFERROR(VLOOKUP(J1583,LUTs!$A$1:$C$73,2,FALSE),"NA")</f>
        <v>Snohomish/King</v>
      </c>
      <c r="L1583" t="str">
        <f>IFERROR(VLOOKUP(J1583,LUTs!$A$1:$C$73,3,FALSE),"NA")</f>
        <v>2Central Puget Sound</v>
      </c>
      <c r="M1583" s="72" t="s">
        <v>18</v>
      </c>
      <c r="N1583" t="str">
        <f>VLOOKUP(M1583,LUTs!E$2:H$14,3,)</f>
        <v>06King</v>
      </c>
      <c r="O1583" t="str">
        <f>VLOOKUP(M1583,LUTs!E$2:H$14,4,)</f>
        <v>02South Puget Sound</v>
      </c>
      <c r="P1583" s="73">
        <v>177.5</v>
      </c>
      <c r="Q1583" s="74">
        <f>VLOOKUP(B1583,Readme!A$40:C$51,2,)*P1583</f>
        <v>610.6</v>
      </c>
    </row>
    <row r="1584" spans="1:17" ht="12" customHeight="1" x14ac:dyDescent="0.35">
      <c r="A1584" s="75">
        <v>1583</v>
      </c>
      <c r="B1584" s="64">
        <v>2013</v>
      </c>
      <c r="C1584" s="64">
        <v>11</v>
      </c>
      <c r="D1584" s="80">
        <f t="shared" si="51"/>
        <v>2013</v>
      </c>
      <c r="E1584" t="s">
        <v>38</v>
      </c>
      <c r="F1584" t="s">
        <v>143</v>
      </c>
      <c r="G1584" t="s">
        <v>10</v>
      </c>
      <c r="H1584" s="72" t="s">
        <v>222</v>
      </c>
      <c r="I1584" s="72" t="s">
        <v>64</v>
      </c>
      <c r="J1584" t="str">
        <f t="shared" si="52"/>
        <v>Snoqualmie River</v>
      </c>
      <c r="K1584" t="str">
        <f>IFERROR(VLOOKUP(J1584,LUTs!$A$1:$C$73,2,FALSE),"NA")</f>
        <v>Snohomish/King</v>
      </c>
      <c r="L1584" t="str">
        <f>IFERROR(VLOOKUP(J1584,LUTs!$A$1:$C$73,3,FALSE),"NA")</f>
        <v>2Central Puget Sound</v>
      </c>
      <c r="M1584" s="72" t="s">
        <v>26</v>
      </c>
      <c r="N1584" t="str">
        <f>VLOOKUP(M1584,LUTs!E$2:H$14,3,)</f>
        <v>20Other</v>
      </c>
      <c r="O1584" t="str">
        <f>VLOOKUP(M1584,LUTs!E$2:H$14,4,)</f>
        <v>07Non Puget Sound</v>
      </c>
      <c r="P1584" s="73">
        <v>35.5</v>
      </c>
      <c r="Q1584" s="74">
        <f>VLOOKUP(B1584,Readme!A$40:C$51,2,)*P1584</f>
        <v>122.12</v>
      </c>
    </row>
    <row r="1585" spans="1:17" ht="12" customHeight="1" x14ac:dyDescent="0.35">
      <c r="A1585" s="75">
        <v>1584</v>
      </c>
      <c r="B1585" s="64">
        <v>2013</v>
      </c>
      <c r="C1585" s="64">
        <v>12</v>
      </c>
      <c r="D1585" s="80">
        <f t="shared" si="51"/>
        <v>2013</v>
      </c>
      <c r="E1585" t="s">
        <v>38</v>
      </c>
      <c r="F1585" t="s">
        <v>143</v>
      </c>
      <c r="G1585" t="s">
        <v>10</v>
      </c>
      <c r="H1585" s="72" t="s">
        <v>222</v>
      </c>
      <c r="I1585" s="72" t="s">
        <v>64</v>
      </c>
      <c r="J1585" t="str">
        <f t="shared" si="52"/>
        <v>Snoqualmie River</v>
      </c>
      <c r="K1585" t="str">
        <f>IFERROR(VLOOKUP(J1585,LUTs!$A$1:$C$73,2,FALSE),"NA")</f>
        <v>Snohomish/King</v>
      </c>
      <c r="L1585" t="str">
        <f>IFERROR(VLOOKUP(J1585,LUTs!$A$1:$C$73,3,FALSE),"NA")</f>
        <v>2Central Puget Sound</v>
      </c>
      <c r="M1585" s="72" t="s">
        <v>18</v>
      </c>
      <c r="N1585" t="str">
        <f>VLOOKUP(M1585,LUTs!E$2:H$14,3,)</f>
        <v>06King</v>
      </c>
      <c r="O1585" t="str">
        <f>VLOOKUP(M1585,LUTs!E$2:H$14,4,)</f>
        <v>02South Puget Sound</v>
      </c>
      <c r="P1585" s="73">
        <v>36</v>
      </c>
      <c r="Q1585" s="74">
        <f>VLOOKUP(B1585,Readme!A$40:C$51,2,)*P1585</f>
        <v>123.84</v>
      </c>
    </row>
    <row r="1586" spans="1:17" ht="12" customHeight="1" x14ac:dyDescent="0.35">
      <c r="A1586" s="75">
        <v>1585</v>
      </c>
      <c r="B1586" s="64">
        <v>2013</v>
      </c>
      <c r="C1586" s="64">
        <v>7</v>
      </c>
      <c r="D1586" s="80">
        <f t="shared" si="51"/>
        <v>2013</v>
      </c>
      <c r="E1586" t="s">
        <v>38</v>
      </c>
      <c r="F1586" t="s">
        <v>143</v>
      </c>
      <c r="G1586" t="s">
        <v>10</v>
      </c>
      <c r="H1586" s="72" t="s">
        <v>223</v>
      </c>
      <c r="I1586" s="72" t="s">
        <v>65</v>
      </c>
      <c r="J1586" t="str">
        <f t="shared" si="52"/>
        <v>Stillaguamish River</v>
      </c>
      <c r="K1586" t="str">
        <f>IFERROR(VLOOKUP(J1586,LUTs!$A$1:$C$73,2,FALSE),"NA")</f>
        <v>Snohomish</v>
      </c>
      <c r="L1586" t="str">
        <f>IFERROR(VLOOKUP(J1586,LUTs!$A$1:$C$73,3,FALSE),"NA")</f>
        <v>2Central Puget Sound</v>
      </c>
      <c r="M1586" s="72" t="s">
        <v>16</v>
      </c>
      <c r="N1586" t="str">
        <f>VLOOKUP(M1586,LUTs!E$2:H$14,3,)</f>
        <v>03Snohomish</v>
      </c>
      <c r="O1586" t="str">
        <f>VLOOKUP(M1586,LUTs!E$2:H$14,4,)</f>
        <v>01North Puget Sound</v>
      </c>
      <c r="P1586" s="73">
        <v>0</v>
      </c>
      <c r="Q1586" s="74">
        <f>VLOOKUP(B1586,Readme!A$40:C$51,2,)*P1586</f>
        <v>0</v>
      </c>
    </row>
    <row r="1587" spans="1:17" ht="12" customHeight="1" x14ac:dyDescent="0.35">
      <c r="A1587" s="75">
        <v>1586</v>
      </c>
      <c r="B1587" s="64">
        <v>2013</v>
      </c>
      <c r="C1587" s="64">
        <v>8</v>
      </c>
      <c r="D1587" s="80">
        <f t="shared" si="51"/>
        <v>2013</v>
      </c>
      <c r="E1587" t="s">
        <v>38</v>
      </c>
      <c r="F1587" t="s">
        <v>143</v>
      </c>
      <c r="G1587" t="s">
        <v>10</v>
      </c>
      <c r="H1587" s="72" t="s">
        <v>223</v>
      </c>
      <c r="I1587" s="72" t="s">
        <v>65</v>
      </c>
      <c r="J1587" t="str">
        <f t="shared" si="52"/>
        <v>Stillaguamish River</v>
      </c>
      <c r="K1587" t="str">
        <f>IFERROR(VLOOKUP(J1587,LUTs!$A$1:$C$73,2,FALSE),"NA")</f>
        <v>Snohomish</v>
      </c>
      <c r="L1587" t="str">
        <f>IFERROR(VLOOKUP(J1587,LUTs!$A$1:$C$73,3,FALSE),"NA")</f>
        <v>2Central Puget Sound</v>
      </c>
      <c r="M1587" s="72" t="s">
        <v>15</v>
      </c>
      <c r="N1587" t="str">
        <f>VLOOKUP(M1587,LUTs!E$2:H$14,3,)</f>
        <v>02Skagit</v>
      </c>
      <c r="O1587" t="str">
        <f>VLOOKUP(M1587,LUTs!E$2:H$14,4,)</f>
        <v>01North Puget Sound</v>
      </c>
      <c r="P1587" s="73">
        <v>27.3</v>
      </c>
      <c r="Q1587" s="74">
        <f>VLOOKUP(B1587,Readme!A$40:C$51,2,)*P1587</f>
        <v>93.912000000000006</v>
      </c>
    </row>
    <row r="1588" spans="1:17" ht="12" customHeight="1" x14ac:dyDescent="0.35">
      <c r="A1588" s="75">
        <v>1587</v>
      </c>
      <c r="B1588" s="64">
        <v>2013</v>
      </c>
      <c r="C1588" s="64">
        <v>8</v>
      </c>
      <c r="D1588" s="80">
        <f t="shared" si="51"/>
        <v>2013</v>
      </c>
      <c r="E1588" t="s">
        <v>38</v>
      </c>
      <c r="F1588" t="s">
        <v>143</v>
      </c>
      <c r="G1588" t="s">
        <v>10</v>
      </c>
      <c r="H1588" s="72" t="s">
        <v>223</v>
      </c>
      <c r="I1588" s="72" t="s">
        <v>65</v>
      </c>
      <c r="J1588" t="str">
        <f t="shared" si="52"/>
        <v>Stillaguamish River</v>
      </c>
      <c r="K1588" t="str">
        <f>IFERROR(VLOOKUP(J1588,LUTs!$A$1:$C$73,2,FALSE),"NA")</f>
        <v>Snohomish</v>
      </c>
      <c r="L1588" t="str">
        <f>IFERROR(VLOOKUP(J1588,LUTs!$A$1:$C$73,3,FALSE),"NA")</f>
        <v>2Central Puget Sound</v>
      </c>
      <c r="M1588" s="72" t="s">
        <v>16</v>
      </c>
      <c r="N1588" t="str">
        <f>VLOOKUP(M1588,LUTs!E$2:H$14,3,)</f>
        <v>03Snohomish</v>
      </c>
      <c r="O1588" t="str">
        <f>VLOOKUP(M1588,LUTs!E$2:H$14,4,)</f>
        <v>01North Puget Sound</v>
      </c>
      <c r="P1588" s="73">
        <v>154.69999999999999</v>
      </c>
      <c r="Q1588" s="74">
        <f>VLOOKUP(B1588,Readme!A$40:C$51,2,)*P1588</f>
        <v>532.16800000000001</v>
      </c>
    </row>
    <row r="1589" spans="1:17" ht="12" customHeight="1" x14ac:dyDescent="0.35">
      <c r="A1589" s="75">
        <v>1588</v>
      </c>
      <c r="B1589" s="64">
        <v>2013</v>
      </c>
      <c r="C1589" s="64">
        <v>9</v>
      </c>
      <c r="D1589" s="80">
        <f t="shared" si="51"/>
        <v>2013</v>
      </c>
      <c r="E1589" t="s">
        <v>38</v>
      </c>
      <c r="F1589" t="s">
        <v>143</v>
      </c>
      <c r="G1589" t="s">
        <v>10</v>
      </c>
      <c r="H1589" s="72" t="s">
        <v>223</v>
      </c>
      <c r="I1589" s="72" t="s">
        <v>65</v>
      </c>
      <c r="J1589" t="str">
        <f t="shared" si="52"/>
        <v>Stillaguamish River</v>
      </c>
      <c r="K1589" t="str">
        <f>IFERROR(VLOOKUP(J1589,LUTs!$A$1:$C$73,2,FALSE),"NA")</f>
        <v>Snohomish</v>
      </c>
      <c r="L1589" t="str">
        <f>IFERROR(VLOOKUP(J1589,LUTs!$A$1:$C$73,3,FALSE),"NA")</f>
        <v>2Central Puget Sound</v>
      </c>
      <c r="M1589" s="72" t="s">
        <v>17</v>
      </c>
      <c r="N1589" t="str">
        <f>VLOOKUP(M1589,LUTs!E$2:H$14,3,)</f>
        <v>04Island</v>
      </c>
      <c r="O1589" t="str">
        <f>VLOOKUP(M1589,LUTs!E$2:H$14,4,)</f>
        <v>01North Puget Sound</v>
      </c>
      <c r="P1589" s="73">
        <v>473.79472140762499</v>
      </c>
      <c r="Q1589" s="74">
        <f>VLOOKUP(B1589,Readme!A$40:C$51,2,)*P1589</f>
        <v>1629.85384164223</v>
      </c>
    </row>
    <row r="1590" spans="1:17" ht="12" customHeight="1" x14ac:dyDescent="0.35">
      <c r="A1590" s="75">
        <v>1589</v>
      </c>
      <c r="B1590" s="64">
        <v>2013</v>
      </c>
      <c r="C1590" s="64">
        <v>9</v>
      </c>
      <c r="D1590" s="80">
        <f t="shared" si="51"/>
        <v>2013</v>
      </c>
      <c r="E1590" t="s">
        <v>38</v>
      </c>
      <c r="F1590" t="s">
        <v>143</v>
      </c>
      <c r="G1590" t="s">
        <v>10</v>
      </c>
      <c r="H1590" s="72" t="s">
        <v>223</v>
      </c>
      <c r="I1590" s="72" t="s">
        <v>65</v>
      </c>
      <c r="J1590" t="str">
        <f t="shared" si="52"/>
        <v>Stillaguamish River</v>
      </c>
      <c r="K1590" t="str">
        <f>IFERROR(VLOOKUP(J1590,LUTs!$A$1:$C$73,2,FALSE),"NA")</f>
        <v>Snohomish</v>
      </c>
      <c r="L1590" t="str">
        <f>IFERROR(VLOOKUP(J1590,LUTs!$A$1:$C$73,3,FALSE),"NA")</f>
        <v>2Central Puget Sound</v>
      </c>
      <c r="M1590" s="72" t="s">
        <v>18</v>
      </c>
      <c r="N1590" t="str">
        <f>VLOOKUP(M1590,LUTs!E$2:H$14,3,)</f>
        <v>06King</v>
      </c>
      <c r="O1590" t="str">
        <f>VLOOKUP(M1590,LUTs!E$2:H$14,4,)</f>
        <v>02South Puget Sound</v>
      </c>
      <c r="P1590" s="73">
        <v>164.00586510263901</v>
      </c>
      <c r="Q1590" s="74">
        <f>VLOOKUP(B1590,Readme!A$40:C$51,2,)*P1590</f>
        <v>564.18017595307822</v>
      </c>
    </row>
    <row r="1591" spans="1:17" ht="12" customHeight="1" x14ac:dyDescent="0.35">
      <c r="A1591" s="75">
        <v>1590</v>
      </c>
      <c r="B1591" s="64">
        <v>2013</v>
      </c>
      <c r="C1591" s="64">
        <v>9</v>
      </c>
      <c r="D1591" s="80">
        <f t="shared" si="51"/>
        <v>2013</v>
      </c>
      <c r="E1591" t="s">
        <v>38</v>
      </c>
      <c r="F1591" t="s">
        <v>143</v>
      </c>
      <c r="G1591" t="s">
        <v>10</v>
      </c>
      <c r="H1591" s="72" t="s">
        <v>223</v>
      </c>
      <c r="I1591" s="72" t="s">
        <v>65</v>
      </c>
      <c r="J1591" t="str">
        <f t="shared" si="52"/>
        <v>Stillaguamish River</v>
      </c>
      <c r="K1591" t="str">
        <f>IFERROR(VLOOKUP(J1591,LUTs!$A$1:$C$73,2,FALSE),"NA")</f>
        <v>Snohomish</v>
      </c>
      <c r="L1591" t="str">
        <f>IFERROR(VLOOKUP(J1591,LUTs!$A$1:$C$73,3,FALSE),"NA")</f>
        <v>2Central Puget Sound</v>
      </c>
      <c r="M1591" s="72" t="s">
        <v>26</v>
      </c>
      <c r="N1591" t="str">
        <f>VLOOKUP(M1591,LUTs!E$2:H$14,3,)</f>
        <v>20Other</v>
      </c>
      <c r="O1591" t="str">
        <f>VLOOKUP(M1591,LUTs!E$2:H$14,4,)</f>
        <v>07Non Puget Sound</v>
      </c>
      <c r="P1591" s="73">
        <v>419.12609970674498</v>
      </c>
      <c r="Q1591" s="74">
        <f>VLOOKUP(B1591,Readme!A$40:C$51,2,)*P1591</f>
        <v>1441.7937829912028</v>
      </c>
    </row>
    <row r="1592" spans="1:17" ht="12" customHeight="1" x14ac:dyDescent="0.35">
      <c r="A1592" s="75">
        <v>1591</v>
      </c>
      <c r="B1592" s="64">
        <v>2013</v>
      </c>
      <c r="C1592" s="64">
        <v>9</v>
      </c>
      <c r="D1592" s="80">
        <f t="shared" si="51"/>
        <v>2013</v>
      </c>
      <c r="E1592" t="s">
        <v>38</v>
      </c>
      <c r="F1592" t="s">
        <v>143</v>
      </c>
      <c r="G1592" t="s">
        <v>10</v>
      </c>
      <c r="H1592" s="72" t="s">
        <v>223</v>
      </c>
      <c r="I1592" s="72" t="s">
        <v>65</v>
      </c>
      <c r="J1592" t="str">
        <f t="shared" si="52"/>
        <v>Stillaguamish River</v>
      </c>
      <c r="K1592" t="str">
        <f>IFERROR(VLOOKUP(J1592,LUTs!$A$1:$C$73,2,FALSE),"NA")</f>
        <v>Snohomish</v>
      </c>
      <c r="L1592" t="str">
        <f>IFERROR(VLOOKUP(J1592,LUTs!$A$1:$C$73,3,FALSE),"NA")</f>
        <v>2Central Puget Sound</v>
      </c>
      <c r="M1592" s="72" t="s">
        <v>20</v>
      </c>
      <c r="N1592" t="str">
        <f>VLOOKUP(M1592,LUTs!E$2:H$14,3,)</f>
        <v>07Pierce</v>
      </c>
      <c r="O1592" t="str">
        <f>VLOOKUP(M1592,LUTs!E$2:H$14,4,)</f>
        <v>02South Puget Sound</v>
      </c>
      <c r="P1592" s="73">
        <v>9.1114369501466292</v>
      </c>
      <c r="Q1592" s="74">
        <f>VLOOKUP(B1592,Readme!A$40:C$51,2,)*P1592</f>
        <v>31.343343108504403</v>
      </c>
    </row>
    <row r="1593" spans="1:17" ht="12" customHeight="1" x14ac:dyDescent="0.35">
      <c r="A1593" s="75">
        <v>1592</v>
      </c>
      <c r="B1593" s="64">
        <v>2013</v>
      </c>
      <c r="C1593" s="64">
        <v>9</v>
      </c>
      <c r="D1593" s="80">
        <f t="shared" si="51"/>
        <v>2013</v>
      </c>
      <c r="E1593" t="s">
        <v>38</v>
      </c>
      <c r="F1593" t="s">
        <v>143</v>
      </c>
      <c r="G1593" t="s">
        <v>10</v>
      </c>
      <c r="H1593" s="72" t="s">
        <v>223</v>
      </c>
      <c r="I1593" s="72" t="s">
        <v>65</v>
      </c>
      <c r="J1593" t="str">
        <f t="shared" si="52"/>
        <v>Stillaguamish River</v>
      </c>
      <c r="K1593" t="str">
        <f>IFERROR(VLOOKUP(J1593,LUTs!$A$1:$C$73,2,FALSE),"NA")</f>
        <v>Snohomish</v>
      </c>
      <c r="L1593" t="str">
        <f>IFERROR(VLOOKUP(J1593,LUTs!$A$1:$C$73,3,FALSE),"NA")</f>
        <v>2Central Puget Sound</v>
      </c>
      <c r="M1593" s="72" t="s">
        <v>15</v>
      </c>
      <c r="N1593" t="str">
        <f>VLOOKUP(M1593,LUTs!E$2:H$14,3,)</f>
        <v>02Skagit</v>
      </c>
      <c r="O1593" t="str">
        <f>VLOOKUP(M1593,LUTs!E$2:H$14,4,)</f>
        <v>01North Puget Sound</v>
      </c>
      <c r="P1593" s="73">
        <v>82.002932551319702</v>
      </c>
      <c r="Q1593" s="74">
        <f>VLOOKUP(B1593,Readme!A$40:C$51,2,)*P1593</f>
        <v>282.09008797653979</v>
      </c>
    </row>
    <row r="1594" spans="1:17" ht="12" customHeight="1" x14ac:dyDescent="0.35">
      <c r="A1594" s="75">
        <v>1593</v>
      </c>
      <c r="B1594" s="64">
        <v>2013</v>
      </c>
      <c r="C1594" s="64">
        <v>9</v>
      </c>
      <c r="D1594" s="80">
        <f t="shared" si="51"/>
        <v>2013</v>
      </c>
      <c r="E1594" t="s">
        <v>38</v>
      </c>
      <c r="F1594" t="s">
        <v>143</v>
      </c>
      <c r="G1594" t="s">
        <v>10</v>
      </c>
      <c r="H1594" s="72" t="s">
        <v>223</v>
      </c>
      <c r="I1594" s="72" t="s">
        <v>65</v>
      </c>
      <c r="J1594" t="str">
        <f t="shared" si="52"/>
        <v>Stillaguamish River</v>
      </c>
      <c r="K1594" t="str">
        <f>IFERROR(VLOOKUP(J1594,LUTs!$A$1:$C$73,2,FALSE),"NA")</f>
        <v>Snohomish</v>
      </c>
      <c r="L1594" t="str">
        <f>IFERROR(VLOOKUP(J1594,LUTs!$A$1:$C$73,3,FALSE),"NA")</f>
        <v>2Central Puget Sound</v>
      </c>
      <c r="M1594" s="72" t="s">
        <v>16</v>
      </c>
      <c r="N1594" t="str">
        <f>VLOOKUP(M1594,LUTs!E$2:H$14,3,)</f>
        <v>03Snohomish</v>
      </c>
      <c r="O1594" t="str">
        <f>VLOOKUP(M1594,LUTs!E$2:H$14,4,)</f>
        <v>01North Puget Sound</v>
      </c>
      <c r="P1594" s="73">
        <v>5065.9589442815304</v>
      </c>
      <c r="Q1594" s="74">
        <f>VLOOKUP(B1594,Readme!A$40:C$51,2,)*P1594</f>
        <v>17426.898768328465</v>
      </c>
    </row>
    <row r="1595" spans="1:17" ht="12" customHeight="1" x14ac:dyDescent="0.35">
      <c r="A1595" s="75">
        <v>1594</v>
      </c>
      <c r="B1595" s="64">
        <v>2013</v>
      </c>
      <c r="C1595" s="64">
        <v>10</v>
      </c>
      <c r="D1595" s="80">
        <f t="shared" si="51"/>
        <v>2013</v>
      </c>
      <c r="E1595" t="s">
        <v>38</v>
      </c>
      <c r="F1595" t="s">
        <v>143</v>
      </c>
      <c r="G1595" t="s">
        <v>10</v>
      </c>
      <c r="H1595" s="72" t="s">
        <v>223</v>
      </c>
      <c r="I1595" s="72" t="s">
        <v>65</v>
      </c>
      <c r="J1595" t="str">
        <f t="shared" si="52"/>
        <v>Stillaguamish River</v>
      </c>
      <c r="K1595" t="str">
        <f>IFERROR(VLOOKUP(J1595,LUTs!$A$1:$C$73,2,FALSE),"NA")</f>
        <v>Snohomish</v>
      </c>
      <c r="L1595" t="str">
        <f>IFERROR(VLOOKUP(J1595,LUTs!$A$1:$C$73,3,FALSE),"NA")</f>
        <v>2Central Puget Sound</v>
      </c>
      <c r="M1595" s="72" t="s">
        <v>17</v>
      </c>
      <c r="N1595" t="str">
        <f>VLOOKUP(M1595,LUTs!E$2:H$14,3,)</f>
        <v>04Island</v>
      </c>
      <c r="O1595" t="str">
        <f>VLOOKUP(M1595,LUTs!E$2:H$14,4,)</f>
        <v>01North Puget Sound</v>
      </c>
      <c r="P1595" s="73">
        <v>133.48249027237401</v>
      </c>
      <c r="Q1595" s="74">
        <f>VLOOKUP(B1595,Readme!A$40:C$51,2,)*P1595</f>
        <v>459.17976653696655</v>
      </c>
    </row>
    <row r="1596" spans="1:17" ht="12" customHeight="1" x14ac:dyDescent="0.35">
      <c r="A1596" s="75">
        <v>1595</v>
      </c>
      <c r="B1596" s="64">
        <v>2013</v>
      </c>
      <c r="C1596" s="64">
        <v>10</v>
      </c>
      <c r="D1596" s="80">
        <f t="shared" si="51"/>
        <v>2013</v>
      </c>
      <c r="E1596" t="s">
        <v>38</v>
      </c>
      <c r="F1596" t="s">
        <v>143</v>
      </c>
      <c r="G1596" t="s">
        <v>10</v>
      </c>
      <c r="H1596" s="72" t="s">
        <v>223</v>
      </c>
      <c r="I1596" s="72" t="s">
        <v>65</v>
      </c>
      <c r="J1596" t="str">
        <f t="shared" si="52"/>
        <v>Stillaguamish River</v>
      </c>
      <c r="K1596" t="str">
        <f>IFERROR(VLOOKUP(J1596,LUTs!$A$1:$C$73,2,FALSE),"NA")</f>
        <v>Snohomish</v>
      </c>
      <c r="L1596" t="str">
        <f>IFERROR(VLOOKUP(J1596,LUTs!$A$1:$C$73,3,FALSE),"NA")</f>
        <v>2Central Puget Sound</v>
      </c>
      <c r="M1596" s="72" t="s">
        <v>18</v>
      </c>
      <c r="N1596" t="str">
        <f>VLOOKUP(M1596,LUTs!E$2:H$14,3,)</f>
        <v>06King</v>
      </c>
      <c r="O1596" t="str">
        <f>VLOOKUP(M1596,LUTs!E$2:H$14,4,)</f>
        <v>02South Puget Sound</v>
      </c>
      <c r="P1596" s="73">
        <v>213.57198443579799</v>
      </c>
      <c r="Q1596" s="74">
        <f>VLOOKUP(B1596,Readme!A$40:C$51,2,)*P1596</f>
        <v>734.68762645914501</v>
      </c>
    </row>
    <row r="1597" spans="1:17" ht="12" customHeight="1" x14ac:dyDescent="0.35">
      <c r="A1597" s="75">
        <v>1596</v>
      </c>
      <c r="B1597" s="64">
        <v>2013</v>
      </c>
      <c r="C1597" s="64">
        <v>10</v>
      </c>
      <c r="D1597" s="80">
        <f t="shared" si="51"/>
        <v>2013</v>
      </c>
      <c r="E1597" t="s">
        <v>38</v>
      </c>
      <c r="F1597" t="s">
        <v>143</v>
      </c>
      <c r="G1597" t="s">
        <v>10</v>
      </c>
      <c r="H1597" s="72" t="s">
        <v>223</v>
      </c>
      <c r="I1597" s="72" t="s">
        <v>65</v>
      </c>
      <c r="J1597" t="str">
        <f t="shared" si="52"/>
        <v>Stillaguamish River</v>
      </c>
      <c r="K1597" t="str">
        <f>IFERROR(VLOOKUP(J1597,LUTs!$A$1:$C$73,2,FALSE),"NA")</f>
        <v>Snohomish</v>
      </c>
      <c r="L1597" t="str">
        <f>IFERROR(VLOOKUP(J1597,LUTs!$A$1:$C$73,3,FALSE),"NA")</f>
        <v>2Central Puget Sound</v>
      </c>
      <c r="M1597" s="72" t="s">
        <v>23</v>
      </c>
      <c r="N1597" t="str">
        <f>VLOOKUP(M1597,LUTs!E$2:H$14,3,)</f>
        <v>10Kitsap</v>
      </c>
      <c r="O1597" t="str">
        <f>VLOOKUP(M1597,LUTs!E$2:H$14,4,)</f>
        <v>02South Puget Sound</v>
      </c>
      <c r="P1597" s="73">
        <v>17.797665369649799</v>
      </c>
      <c r="Q1597" s="74">
        <f>VLOOKUP(B1597,Readme!A$40:C$51,2,)*P1597</f>
        <v>61.223968871595311</v>
      </c>
    </row>
    <row r="1598" spans="1:17" ht="12" customHeight="1" x14ac:dyDescent="0.35">
      <c r="A1598" s="75">
        <v>1597</v>
      </c>
      <c r="B1598" s="64">
        <v>2013</v>
      </c>
      <c r="C1598" s="64">
        <v>10</v>
      </c>
      <c r="D1598" s="80">
        <f t="shared" si="51"/>
        <v>2013</v>
      </c>
      <c r="E1598" t="s">
        <v>38</v>
      </c>
      <c r="F1598" t="s">
        <v>143</v>
      </c>
      <c r="G1598" t="s">
        <v>10</v>
      </c>
      <c r="H1598" s="72" t="s">
        <v>223</v>
      </c>
      <c r="I1598" s="72" t="s">
        <v>65</v>
      </c>
      <c r="J1598" t="str">
        <f t="shared" si="52"/>
        <v>Stillaguamish River</v>
      </c>
      <c r="K1598" t="str">
        <f>IFERROR(VLOOKUP(J1598,LUTs!$A$1:$C$73,2,FALSE),"NA")</f>
        <v>Snohomish</v>
      </c>
      <c r="L1598" t="str">
        <f>IFERROR(VLOOKUP(J1598,LUTs!$A$1:$C$73,3,FALSE),"NA")</f>
        <v>2Central Puget Sound</v>
      </c>
      <c r="M1598" s="72" t="s">
        <v>22</v>
      </c>
      <c r="N1598" t="str">
        <f>VLOOKUP(M1598,LUTs!E$2:H$14,3,)</f>
        <v>09Mason</v>
      </c>
      <c r="O1598" t="str">
        <f>VLOOKUP(M1598,LUTs!E$2:H$14,4,)</f>
        <v>02South Puget Sound</v>
      </c>
      <c r="P1598" s="73">
        <v>35.595330739299598</v>
      </c>
      <c r="Q1598" s="74">
        <f>VLOOKUP(B1598,Readme!A$40:C$51,2,)*P1598</f>
        <v>122.44793774319062</v>
      </c>
    </row>
    <row r="1599" spans="1:17" ht="12" customHeight="1" x14ac:dyDescent="0.35">
      <c r="A1599" s="75">
        <v>1598</v>
      </c>
      <c r="B1599" s="64">
        <v>2013</v>
      </c>
      <c r="C1599" s="64">
        <v>10</v>
      </c>
      <c r="D1599" s="80">
        <f t="shared" si="51"/>
        <v>2013</v>
      </c>
      <c r="E1599" t="s">
        <v>38</v>
      </c>
      <c r="F1599" t="s">
        <v>143</v>
      </c>
      <c r="G1599" t="s">
        <v>10</v>
      </c>
      <c r="H1599" s="72" t="s">
        <v>223</v>
      </c>
      <c r="I1599" s="72" t="s">
        <v>65</v>
      </c>
      <c r="J1599" t="str">
        <f t="shared" si="52"/>
        <v>Stillaguamish River</v>
      </c>
      <c r="K1599" t="str">
        <f>IFERROR(VLOOKUP(J1599,LUTs!$A$1:$C$73,2,FALSE),"NA")</f>
        <v>Snohomish</v>
      </c>
      <c r="L1599" t="str">
        <f>IFERROR(VLOOKUP(J1599,LUTs!$A$1:$C$73,3,FALSE),"NA")</f>
        <v>2Central Puget Sound</v>
      </c>
      <c r="M1599" s="72" t="s">
        <v>26</v>
      </c>
      <c r="N1599" t="str">
        <f>VLOOKUP(M1599,LUTs!E$2:H$14,3,)</f>
        <v>20Other</v>
      </c>
      <c r="O1599" t="str">
        <f>VLOOKUP(M1599,LUTs!E$2:H$14,4,)</f>
        <v>07Non Puget Sound</v>
      </c>
      <c r="P1599" s="73">
        <v>8.8988326848249102</v>
      </c>
      <c r="Q1599" s="74">
        <f>VLOOKUP(B1599,Readme!A$40:C$51,2,)*P1599</f>
        <v>30.611984435797691</v>
      </c>
    </row>
    <row r="1600" spans="1:17" ht="12" customHeight="1" x14ac:dyDescent="0.35">
      <c r="A1600" s="75">
        <v>1599</v>
      </c>
      <c r="B1600" s="64">
        <v>2013</v>
      </c>
      <c r="C1600" s="64">
        <v>10</v>
      </c>
      <c r="D1600" s="80">
        <f t="shared" si="51"/>
        <v>2013</v>
      </c>
      <c r="E1600" t="s">
        <v>38</v>
      </c>
      <c r="F1600" t="s">
        <v>143</v>
      </c>
      <c r="G1600" t="s">
        <v>10</v>
      </c>
      <c r="H1600" s="72" t="s">
        <v>223</v>
      </c>
      <c r="I1600" s="72" t="s">
        <v>65</v>
      </c>
      <c r="J1600" t="str">
        <f t="shared" si="52"/>
        <v>Stillaguamish River</v>
      </c>
      <c r="K1600" t="str">
        <f>IFERROR(VLOOKUP(J1600,LUTs!$A$1:$C$73,2,FALSE),"NA")</f>
        <v>Snohomish</v>
      </c>
      <c r="L1600" t="str">
        <f>IFERROR(VLOOKUP(J1600,LUTs!$A$1:$C$73,3,FALSE),"NA")</f>
        <v>2Central Puget Sound</v>
      </c>
      <c r="M1600" s="72" t="s">
        <v>20</v>
      </c>
      <c r="N1600" t="str">
        <f>VLOOKUP(M1600,LUTs!E$2:H$14,3,)</f>
        <v>07Pierce</v>
      </c>
      <c r="O1600" t="str">
        <f>VLOOKUP(M1600,LUTs!E$2:H$14,4,)</f>
        <v>02South Puget Sound</v>
      </c>
      <c r="P1600" s="73">
        <v>17.797665369649799</v>
      </c>
      <c r="Q1600" s="74">
        <f>VLOOKUP(B1600,Readme!A$40:C$51,2,)*P1600</f>
        <v>61.223968871595311</v>
      </c>
    </row>
    <row r="1601" spans="1:17" ht="12" customHeight="1" x14ac:dyDescent="0.35">
      <c r="A1601" s="75">
        <v>1600</v>
      </c>
      <c r="B1601" s="64">
        <v>2013</v>
      </c>
      <c r="C1601" s="64">
        <v>10</v>
      </c>
      <c r="D1601" s="80">
        <f t="shared" si="51"/>
        <v>2013</v>
      </c>
      <c r="E1601" t="s">
        <v>38</v>
      </c>
      <c r="F1601" t="s">
        <v>143</v>
      </c>
      <c r="G1601" t="s">
        <v>10</v>
      </c>
      <c r="H1601" s="72" t="s">
        <v>223</v>
      </c>
      <c r="I1601" s="72" t="s">
        <v>65</v>
      </c>
      <c r="J1601" t="str">
        <f t="shared" si="52"/>
        <v>Stillaguamish River</v>
      </c>
      <c r="K1601" t="str">
        <f>IFERROR(VLOOKUP(J1601,LUTs!$A$1:$C$73,2,FALSE),"NA")</f>
        <v>Snohomish</v>
      </c>
      <c r="L1601" t="str">
        <f>IFERROR(VLOOKUP(J1601,LUTs!$A$1:$C$73,3,FALSE),"NA")</f>
        <v>2Central Puget Sound</v>
      </c>
      <c r="M1601" s="72" t="s">
        <v>15</v>
      </c>
      <c r="N1601" t="str">
        <f>VLOOKUP(M1601,LUTs!E$2:H$14,3,)</f>
        <v>02Skagit</v>
      </c>
      <c r="O1601" t="str">
        <f>VLOOKUP(M1601,LUTs!E$2:H$14,4,)</f>
        <v>01North Puget Sound</v>
      </c>
      <c r="P1601" s="73">
        <v>8.8988326848249102</v>
      </c>
      <c r="Q1601" s="74">
        <f>VLOOKUP(B1601,Readme!A$40:C$51,2,)*P1601</f>
        <v>30.611984435797691</v>
      </c>
    </row>
    <row r="1602" spans="1:17" ht="12" customHeight="1" x14ac:dyDescent="0.35">
      <c r="A1602" s="75">
        <v>1601</v>
      </c>
      <c r="B1602" s="64">
        <v>2013</v>
      </c>
      <c r="C1602" s="64">
        <v>10</v>
      </c>
      <c r="D1602" s="80">
        <f t="shared" ref="D1602:D1665" si="53">IF(C1602&gt;3,B1602,B1602-1)</f>
        <v>2013</v>
      </c>
      <c r="E1602" t="s">
        <v>38</v>
      </c>
      <c r="F1602" t="s">
        <v>143</v>
      </c>
      <c r="G1602" t="s">
        <v>10</v>
      </c>
      <c r="H1602" s="72" t="s">
        <v>223</v>
      </c>
      <c r="I1602" s="72" t="s">
        <v>65</v>
      </c>
      <c r="J1602" t="str">
        <f t="shared" si="52"/>
        <v>Stillaguamish River</v>
      </c>
      <c r="K1602" t="str">
        <f>IFERROR(VLOOKUP(J1602,LUTs!$A$1:$C$73,2,FALSE),"NA")</f>
        <v>Snohomish</v>
      </c>
      <c r="L1602" t="str">
        <f>IFERROR(VLOOKUP(J1602,LUTs!$A$1:$C$73,3,FALSE),"NA")</f>
        <v>2Central Puget Sound</v>
      </c>
      <c r="M1602" s="72" t="s">
        <v>16</v>
      </c>
      <c r="N1602" t="str">
        <f>VLOOKUP(M1602,LUTs!E$2:H$14,3,)</f>
        <v>03Snohomish</v>
      </c>
      <c r="O1602" t="str">
        <f>VLOOKUP(M1602,LUTs!E$2:H$14,4,)</f>
        <v>01North Puget Sound</v>
      </c>
      <c r="P1602" s="73">
        <v>1770.8677042801601</v>
      </c>
      <c r="Q1602" s="74">
        <f>VLOOKUP(B1602,Readme!A$40:C$51,2,)*P1602</f>
        <v>6091.7849027237507</v>
      </c>
    </row>
    <row r="1603" spans="1:17" ht="12" customHeight="1" x14ac:dyDescent="0.35">
      <c r="A1603" s="75">
        <v>1602</v>
      </c>
      <c r="B1603" s="64">
        <v>2013</v>
      </c>
      <c r="C1603" s="64">
        <v>10</v>
      </c>
      <c r="D1603" s="80">
        <f t="shared" si="53"/>
        <v>2013</v>
      </c>
      <c r="E1603" t="s">
        <v>38</v>
      </c>
      <c r="F1603" t="s">
        <v>143</v>
      </c>
      <c r="G1603" t="s">
        <v>10</v>
      </c>
      <c r="H1603" s="72" t="s">
        <v>223</v>
      </c>
      <c r="I1603" s="72" t="s">
        <v>65</v>
      </c>
      <c r="J1603" t="str">
        <f t="shared" ref="J1603:J1666" si="54">I1603</f>
        <v>Stillaguamish River</v>
      </c>
      <c r="K1603" t="str">
        <f>IFERROR(VLOOKUP(J1603,LUTs!$A$1:$C$73,2,FALSE),"NA")</f>
        <v>Snohomish</v>
      </c>
      <c r="L1603" t="str">
        <f>IFERROR(VLOOKUP(J1603,LUTs!$A$1:$C$73,3,FALSE),"NA")</f>
        <v>2Central Puget Sound</v>
      </c>
      <c r="M1603" s="72" t="s">
        <v>13</v>
      </c>
      <c r="N1603" t="str">
        <f>VLOOKUP(M1603,LUTs!E$2:H$14,3,)</f>
        <v>01Whatcom</v>
      </c>
      <c r="O1603" t="str">
        <f>VLOOKUP(M1603,LUTs!E$2:H$14,4,)</f>
        <v>01North Puget Sound</v>
      </c>
      <c r="P1603" s="73">
        <v>80.089494163424106</v>
      </c>
      <c r="Q1603" s="74">
        <f>VLOOKUP(B1603,Readme!A$40:C$51,2,)*P1603</f>
        <v>275.50785992217891</v>
      </c>
    </row>
    <row r="1604" spans="1:17" ht="12" customHeight="1" x14ac:dyDescent="0.35">
      <c r="A1604" s="75">
        <v>1603</v>
      </c>
      <c r="B1604" s="64">
        <v>2013</v>
      </c>
      <c r="C1604" s="64">
        <v>11</v>
      </c>
      <c r="D1604" s="80">
        <f t="shared" si="53"/>
        <v>2013</v>
      </c>
      <c r="E1604" t="s">
        <v>38</v>
      </c>
      <c r="F1604" t="s">
        <v>143</v>
      </c>
      <c r="G1604" t="s">
        <v>10</v>
      </c>
      <c r="H1604" s="72" t="s">
        <v>223</v>
      </c>
      <c r="I1604" s="72" t="s">
        <v>65</v>
      </c>
      <c r="J1604" t="str">
        <f t="shared" si="54"/>
        <v>Stillaguamish River</v>
      </c>
      <c r="K1604" t="str">
        <f>IFERROR(VLOOKUP(J1604,LUTs!$A$1:$C$73,2,FALSE),"NA")</f>
        <v>Snohomish</v>
      </c>
      <c r="L1604" t="str">
        <f>IFERROR(VLOOKUP(J1604,LUTs!$A$1:$C$73,3,FALSE),"NA")</f>
        <v>2Central Puget Sound</v>
      </c>
      <c r="M1604" s="72" t="s">
        <v>17</v>
      </c>
      <c r="N1604" t="str">
        <f>VLOOKUP(M1604,LUTs!E$2:H$14,3,)</f>
        <v>04Island</v>
      </c>
      <c r="O1604" t="str">
        <f>VLOOKUP(M1604,LUTs!E$2:H$14,4,)</f>
        <v>01North Puget Sound</v>
      </c>
      <c r="P1604" s="73">
        <v>9</v>
      </c>
      <c r="Q1604" s="74">
        <f>VLOOKUP(B1604,Readme!A$40:C$51,2,)*P1604</f>
        <v>30.96</v>
      </c>
    </row>
    <row r="1605" spans="1:17" ht="12" customHeight="1" x14ac:dyDescent="0.35">
      <c r="A1605" s="75">
        <v>1604</v>
      </c>
      <c r="B1605" s="64">
        <v>2013</v>
      </c>
      <c r="C1605" s="64">
        <v>11</v>
      </c>
      <c r="D1605" s="80">
        <f t="shared" si="53"/>
        <v>2013</v>
      </c>
      <c r="E1605" t="s">
        <v>38</v>
      </c>
      <c r="F1605" t="s">
        <v>143</v>
      </c>
      <c r="G1605" t="s">
        <v>10</v>
      </c>
      <c r="H1605" s="72" t="s">
        <v>223</v>
      </c>
      <c r="I1605" s="72" t="s">
        <v>65</v>
      </c>
      <c r="J1605" t="str">
        <f t="shared" si="54"/>
        <v>Stillaguamish River</v>
      </c>
      <c r="K1605" t="str">
        <f>IFERROR(VLOOKUP(J1605,LUTs!$A$1:$C$73,2,FALSE),"NA")</f>
        <v>Snohomish</v>
      </c>
      <c r="L1605" t="str">
        <f>IFERROR(VLOOKUP(J1605,LUTs!$A$1:$C$73,3,FALSE),"NA")</f>
        <v>2Central Puget Sound</v>
      </c>
      <c r="M1605" s="72" t="s">
        <v>18</v>
      </c>
      <c r="N1605" t="str">
        <f>VLOOKUP(M1605,LUTs!E$2:H$14,3,)</f>
        <v>06King</v>
      </c>
      <c r="O1605" t="str">
        <f>VLOOKUP(M1605,LUTs!E$2:H$14,4,)</f>
        <v>02South Puget Sound</v>
      </c>
      <c r="P1605" s="73">
        <v>9</v>
      </c>
      <c r="Q1605" s="74">
        <f>VLOOKUP(B1605,Readme!A$40:C$51,2,)*P1605</f>
        <v>30.96</v>
      </c>
    </row>
    <row r="1606" spans="1:17" ht="12" customHeight="1" x14ac:dyDescent="0.35">
      <c r="A1606" s="75">
        <v>1605</v>
      </c>
      <c r="B1606" s="64">
        <v>2013</v>
      </c>
      <c r="C1606" s="64">
        <v>11</v>
      </c>
      <c r="D1606" s="80">
        <f t="shared" si="53"/>
        <v>2013</v>
      </c>
      <c r="E1606" t="s">
        <v>38</v>
      </c>
      <c r="F1606" t="s">
        <v>143</v>
      </c>
      <c r="G1606" t="s">
        <v>10</v>
      </c>
      <c r="H1606" s="72" t="s">
        <v>223</v>
      </c>
      <c r="I1606" s="72" t="s">
        <v>65</v>
      </c>
      <c r="J1606" t="str">
        <f t="shared" si="54"/>
        <v>Stillaguamish River</v>
      </c>
      <c r="K1606" t="str">
        <f>IFERROR(VLOOKUP(J1606,LUTs!$A$1:$C$73,2,FALSE),"NA")</f>
        <v>Snohomish</v>
      </c>
      <c r="L1606" t="str">
        <f>IFERROR(VLOOKUP(J1606,LUTs!$A$1:$C$73,3,FALSE),"NA")</f>
        <v>2Central Puget Sound</v>
      </c>
      <c r="M1606" s="72" t="s">
        <v>16</v>
      </c>
      <c r="N1606" t="str">
        <f>VLOOKUP(M1606,LUTs!E$2:H$14,3,)</f>
        <v>03Snohomish</v>
      </c>
      <c r="O1606" t="str">
        <f>VLOOKUP(M1606,LUTs!E$2:H$14,4,)</f>
        <v>01North Puget Sound</v>
      </c>
      <c r="P1606" s="73">
        <v>27</v>
      </c>
      <c r="Q1606" s="74">
        <f>VLOOKUP(B1606,Readme!A$40:C$51,2,)*P1606</f>
        <v>92.88</v>
      </c>
    </row>
    <row r="1607" spans="1:17" ht="12" customHeight="1" x14ac:dyDescent="0.35">
      <c r="A1607" s="75">
        <v>1606</v>
      </c>
      <c r="B1607" s="64">
        <v>2013</v>
      </c>
      <c r="C1607" s="64">
        <v>12</v>
      </c>
      <c r="D1607" s="80">
        <f t="shared" si="53"/>
        <v>2013</v>
      </c>
      <c r="E1607" t="s">
        <v>38</v>
      </c>
      <c r="F1607" t="s">
        <v>143</v>
      </c>
      <c r="G1607" t="s">
        <v>10</v>
      </c>
      <c r="H1607" s="72" t="s">
        <v>223</v>
      </c>
      <c r="I1607" s="72" t="s">
        <v>65</v>
      </c>
      <c r="J1607" t="str">
        <f t="shared" si="54"/>
        <v>Stillaguamish River</v>
      </c>
      <c r="K1607" t="str">
        <f>IFERROR(VLOOKUP(J1607,LUTs!$A$1:$C$73,2,FALSE),"NA")</f>
        <v>Snohomish</v>
      </c>
      <c r="L1607" t="str">
        <f>IFERROR(VLOOKUP(J1607,LUTs!$A$1:$C$73,3,FALSE),"NA")</f>
        <v>2Central Puget Sound</v>
      </c>
      <c r="M1607" s="72" t="s">
        <v>16</v>
      </c>
      <c r="N1607" t="str">
        <f>VLOOKUP(M1607,LUTs!E$2:H$14,3,)</f>
        <v>03Snohomish</v>
      </c>
      <c r="O1607" t="str">
        <f>VLOOKUP(M1607,LUTs!E$2:H$14,4,)</f>
        <v>01North Puget Sound</v>
      </c>
      <c r="P1607" s="73">
        <v>9</v>
      </c>
      <c r="Q1607" s="74">
        <f>VLOOKUP(B1607,Readme!A$40:C$51,2,)*P1607</f>
        <v>30.96</v>
      </c>
    </row>
    <row r="1608" spans="1:17" ht="12" customHeight="1" x14ac:dyDescent="0.35">
      <c r="A1608" s="75">
        <v>1607</v>
      </c>
      <c r="B1608" s="64">
        <v>2013</v>
      </c>
      <c r="C1608" s="64">
        <v>10</v>
      </c>
      <c r="D1608" s="80">
        <f t="shared" si="53"/>
        <v>2013</v>
      </c>
      <c r="E1608" t="s">
        <v>38</v>
      </c>
      <c r="F1608" t="s">
        <v>143</v>
      </c>
      <c r="G1608" t="s">
        <v>10</v>
      </c>
      <c r="H1608" s="72" t="s">
        <v>230</v>
      </c>
      <c r="I1608" s="72" t="s">
        <v>72</v>
      </c>
      <c r="J1608" t="str">
        <f t="shared" si="54"/>
        <v>Tahuya River</v>
      </c>
      <c r="K1608" t="str">
        <f>IFERROR(VLOOKUP(J1608,LUTs!$A$1:$C$73,2,FALSE),"NA")</f>
        <v>Mason</v>
      </c>
      <c r="L1608" t="str">
        <f>IFERROR(VLOOKUP(J1608,LUTs!$A$1:$C$73,3,FALSE),"NA")</f>
        <v>4 Hood Canal</v>
      </c>
      <c r="M1608" s="72" t="s">
        <v>18</v>
      </c>
      <c r="N1608" t="str">
        <f>VLOOKUP(M1608,LUTs!E$2:H$14,3,)</f>
        <v>06King</v>
      </c>
      <c r="O1608" t="str">
        <f>VLOOKUP(M1608,LUTs!E$2:H$14,4,)</f>
        <v>02South Puget Sound</v>
      </c>
      <c r="P1608" s="73">
        <v>78.157894736842096</v>
      </c>
      <c r="Q1608" s="74">
        <f>VLOOKUP(B1608,Readme!A$40:C$51,2,)*P1608</f>
        <v>268.86315789473679</v>
      </c>
    </row>
    <row r="1609" spans="1:17" ht="12" customHeight="1" x14ac:dyDescent="0.35">
      <c r="A1609" s="75">
        <v>1608</v>
      </c>
      <c r="B1609" s="64">
        <v>2013</v>
      </c>
      <c r="C1609" s="64">
        <v>10</v>
      </c>
      <c r="D1609" s="80">
        <f t="shared" si="53"/>
        <v>2013</v>
      </c>
      <c r="E1609" t="s">
        <v>38</v>
      </c>
      <c r="F1609" t="s">
        <v>143</v>
      </c>
      <c r="G1609" t="s">
        <v>10</v>
      </c>
      <c r="H1609" s="72" t="s">
        <v>230</v>
      </c>
      <c r="I1609" s="72" t="s">
        <v>72</v>
      </c>
      <c r="J1609" t="str">
        <f t="shared" si="54"/>
        <v>Tahuya River</v>
      </c>
      <c r="K1609" t="str">
        <f>IFERROR(VLOOKUP(J1609,LUTs!$A$1:$C$73,2,FALSE),"NA")</f>
        <v>Mason</v>
      </c>
      <c r="L1609" t="str">
        <f>IFERROR(VLOOKUP(J1609,LUTs!$A$1:$C$73,3,FALSE),"NA")</f>
        <v>4 Hood Canal</v>
      </c>
      <c r="M1609" s="72" t="s">
        <v>23</v>
      </c>
      <c r="N1609" t="str">
        <f>VLOOKUP(M1609,LUTs!E$2:H$14,3,)</f>
        <v>10Kitsap</v>
      </c>
      <c r="O1609" t="str">
        <f>VLOOKUP(M1609,LUTs!E$2:H$14,4,)</f>
        <v>02South Puget Sound</v>
      </c>
      <c r="P1609" s="73">
        <v>156.31578947368399</v>
      </c>
      <c r="Q1609" s="74">
        <f>VLOOKUP(B1609,Readme!A$40:C$51,2,)*P1609</f>
        <v>537.72631578947289</v>
      </c>
    </row>
    <row r="1610" spans="1:17" ht="12" customHeight="1" x14ac:dyDescent="0.35">
      <c r="A1610" s="75">
        <v>1609</v>
      </c>
      <c r="B1610" s="64">
        <v>2013</v>
      </c>
      <c r="C1610" s="64">
        <v>10</v>
      </c>
      <c r="D1610" s="80">
        <f t="shared" si="53"/>
        <v>2013</v>
      </c>
      <c r="E1610" t="s">
        <v>38</v>
      </c>
      <c r="F1610" t="s">
        <v>143</v>
      </c>
      <c r="G1610" t="s">
        <v>10</v>
      </c>
      <c r="H1610" s="72" t="s">
        <v>230</v>
      </c>
      <c r="I1610" s="72" t="s">
        <v>72</v>
      </c>
      <c r="J1610" t="str">
        <f t="shared" si="54"/>
        <v>Tahuya River</v>
      </c>
      <c r="K1610" t="str">
        <f>IFERROR(VLOOKUP(J1610,LUTs!$A$1:$C$73,2,FALSE),"NA")</f>
        <v>Mason</v>
      </c>
      <c r="L1610" t="str">
        <f>IFERROR(VLOOKUP(J1610,LUTs!$A$1:$C$73,3,FALSE),"NA")</f>
        <v>4 Hood Canal</v>
      </c>
      <c r="M1610" s="72" t="s">
        <v>22</v>
      </c>
      <c r="N1610" t="str">
        <f>VLOOKUP(M1610,LUTs!E$2:H$14,3,)</f>
        <v>09Mason</v>
      </c>
      <c r="O1610" t="str">
        <f>VLOOKUP(M1610,LUTs!E$2:H$14,4,)</f>
        <v>02South Puget Sound</v>
      </c>
      <c r="P1610" s="73">
        <v>23.447368421052602</v>
      </c>
      <c r="Q1610" s="74">
        <f>VLOOKUP(B1610,Readme!A$40:C$51,2,)*P1610</f>
        <v>80.658947368420954</v>
      </c>
    </row>
    <row r="1611" spans="1:17" ht="12" customHeight="1" x14ac:dyDescent="0.35">
      <c r="A1611" s="75">
        <v>1610</v>
      </c>
      <c r="B1611" s="64">
        <v>2013</v>
      </c>
      <c r="C1611" s="64">
        <v>10</v>
      </c>
      <c r="D1611" s="80">
        <f t="shared" si="53"/>
        <v>2013</v>
      </c>
      <c r="E1611" t="s">
        <v>38</v>
      </c>
      <c r="F1611" t="s">
        <v>143</v>
      </c>
      <c r="G1611" t="s">
        <v>10</v>
      </c>
      <c r="H1611" s="72" t="s">
        <v>230</v>
      </c>
      <c r="I1611" s="72" t="s">
        <v>72</v>
      </c>
      <c r="J1611" t="str">
        <f t="shared" si="54"/>
        <v>Tahuya River</v>
      </c>
      <c r="K1611" t="str">
        <f>IFERROR(VLOOKUP(J1611,LUTs!$A$1:$C$73,2,FALSE),"NA")</f>
        <v>Mason</v>
      </c>
      <c r="L1611" t="str">
        <f>IFERROR(VLOOKUP(J1611,LUTs!$A$1:$C$73,3,FALSE),"NA")</f>
        <v>4 Hood Canal</v>
      </c>
      <c r="M1611" s="72" t="s">
        <v>20</v>
      </c>
      <c r="N1611" t="str">
        <f>VLOOKUP(M1611,LUTs!E$2:H$14,3,)</f>
        <v>07Pierce</v>
      </c>
      <c r="O1611" t="str">
        <f>VLOOKUP(M1611,LUTs!E$2:H$14,4,)</f>
        <v>02South Puget Sound</v>
      </c>
      <c r="P1611" s="73">
        <v>39.078947368421098</v>
      </c>
      <c r="Q1611" s="74">
        <f>VLOOKUP(B1611,Readme!A$40:C$51,2,)*P1611</f>
        <v>134.43157894736856</v>
      </c>
    </row>
    <row r="1612" spans="1:17" ht="12" customHeight="1" x14ac:dyDescent="0.35">
      <c r="A1612" s="75">
        <v>1611</v>
      </c>
      <c r="B1612" s="64">
        <v>2013</v>
      </c>
      <c r="C1612" s="64">
        <v>7</v>
      </c>
      <c r="D1612" s="80">
        <f t="shared" si="53"/>
        <v>2013</v>
      </c>
      <c r="E1612" t="s">
        <v>38</v>
      </c>
      <c r="F1612" t="s">
        <v>143</v>
      </c>
      <c r="G1612" t="s">
        <v>10</v>
      </c>
      <c r="H1612" s="72" t="s">
        <v>224</v>
      </c>
      <c r="I1612" s="72" t="s">
        <v>66</v>
      </c>
      <c r="J1612" t="str">
        <f t="shared" si="54"/>
        <v>Whatcom Creek</v>
      </c>
      <c r="K1612" t="str">
        <f>IFERROR(VLOOKUP(J1612,LUTs!$A$1:$C$73,2,FALSE),"NA")</f>
        <v>Whatcom</v>
      </c>
      <c r="L1612" t="str">
        <f>IFERROR(VLOOKUP(J1612,LUTs!$A$1:$C$73,3,FALSE),"NA")</f>
        <v>1North Puget Sound</v>
      </c>
      <c r="M1612" s="72" t="s">
        <v>21</v>
      </c>
      <c r="N1612" t="str">
        <f>VLOOKUP(M1612,LUTs!E$2:H$14,3,)</f>
        <v>08Thurston</v>
      </c>
      <c r="O1612" t="str">
        <f>VLOOKUP(M1612,LUTs!E$2:H$14,4,)</f>
        <v>02South Puget Sound</v>
      </c>
      <c r="P1612" s="73">
        <v>0</v>
      </c>
      <c r="Q1612" s="74">
        <f>VLOOKUP(B1612,Readme!A$40:C$51,2,)*P1612</f>
        <v>0</v>
      </c>
    </row>
    <row r="1613" spans="1:17" ht="12" customHeight="1" x14ac:dyDescent="0.35">
      <c r="A1613" s="75">
        <v>1612</v>
      </c>
      <c r="B1613" s="64">
        <v>2013</v>
      </c>
      <c r="C1613" s="64">
        <v>8</v>
      </c>
      <c r="D1613" s="80">
        <f t="shared" si="53"/>
        <v>2013</v>
      </c>
      <c r="E1613" t="s">
        <v>38</v>
      </c>
      <c r="F1613" t="s">
        <v>143</v>
      </c>
      <c r="G1613" t="s">
        <v>10</v>
      </c>
      <c r="H1613" s="72" t="s">
        <v>224</v>
      </c>
      <c r="I1613" s="72" t="s">
        <v>66</v>
      </c>
      <c r="J1613" t="str">
        <f t="shared" si="54"/>
        <v>Whatcom Creek</v>
      </c>
      <c r="K1613" t="str">
        <f>IFERROR(VLOOKUP(J1613,LUTs!$A$1:$C$73,2,FALSE),"NA")</f>
        <v>Whatcom</v>
      </c>
      <c r="L1613" t="str">
        <f>IFERROR(VLOOKUP(J1613,LUTs!$A$1:$C$73,3,FALSE),"NA")</f>
        <v>1North Puget Sound</v>
      </c>
      <c r="M1613" s="72" t="s">
        <v>13</v>
      </c>
      <c r="N1613" t="str">
        <f>VLOOKUP(M1613,LUTs!E$2:H$14,3,)</f>
        <v>01Whatcom</v>
      </c>
      <c r="O1613" t="str">
        <f>VLOOKUP(M1613,LUTs!E$2:H$14,4,)</f>
        <v>01North Puget Sound</v>
      </c>
      <c r="P1613" s="73">
        <v>0</v>
      </c>
      <c r="Q1613" s="74">
        <f>VLOOKUP(B1613,Readme!A$40:C$51,2,)*P1613</f>
        <v>0</v>
      </c>
    </row>
    <row r="1614" spans="1:17" ht="12" customHeight="1" x14ac:dyDescent="0.35">
      <c r="A1614" s="75">
        <v>1613</v>
      </c>
      <c r="B1614" s="64">
        <v>2013</v>
      </c>
      <c r="C1614" s="64">
        <v>9</v>
      </c>
      <c r="D1614" s="80">
        <f t="shared" si="53"/>
        <v>2013</v>
      </c>
      <c r="E1614" t="s">
        <v>38</v>
      </c>
      <c r="F1614" t="s">
        <v>143</v>
      </c>
      <c r="G1614" t="s">
        <v>10</v>
      </c>
      <c r="H1614" s="72" t="s">
        <v>224</v>
      </c>
      <c r="I1614" s="72" t="s">
        <v>66</v>
      </c>
      <c r="J1614" t="str">
        <f t="shared" si="54"/>
        <v>Whatcom Creek</v>
      </c>
      <c r="K1614" t="str">
        <f>IFERROR(VLOOKUP(J1614,LUTs!$A$1:$C$73,2,FALSE),"NA")</f>
        <v>Whatcom</v>
      </c>
      <c r="L1614" t="str">
        <f>IFERROR(VLOOKUP(J1614,LUTs!$A$1:$C$73,3,FALSE),"NA")</f>
        <v>1North Puget Sound</v>
      </c>
      <c r="M1614" s="72" t="s">
        <v>18</v>
      </c>
      <c r="N1614" t="str">
        <f>VLOOKUP(M1614,LUTs!E$2:H$14,3,)</f>
        <v>06King</v>
      </c>
      <c r="O1614" t="str">
        <f>VLOOKUP(M1614,LUTs!E$2:H$14,4,)</f>
        <v>02South Puget Sound</v>
      </c>
      <c r="P1614" s="73">
        <v>1.9285714285714299</v>
      </c>
      <c r="Q1614" s="74">
        <f>VLOOKUP(B1614,Readme!A$40:C$51,2,)*P1614</f>
        <v>6.6342857142857188</v>
      </c>
    </row>
    <row r="1615" spans="1:17" ht="12" customHeight="1" x14ac:dyDescent="0.35">
      <c r="A1615" s="75">
        <v>1614</v>
      </c>
      <c r="B1615" s="64">
        <v>2013</v>
      </c>
      <c r="C1615" s="64">
        <v>9</v>
      </c>
      <c r="D1615" s="80">
        <f t="shared" si="53"/>
        <v>2013</v>
      </c>
      <c r="E1615" t="s">
        <v>38</v>
      </c>
      <c r="F1615" t="s">
        <v>143</v>
      </c>
      <c r="G1615" t="s">
        <v>10</v>
      </c>
      <c r="H1615" s="72" t="s">
        <v>224</v>
      </c>
      <c r="I1615" s="72" t="s">
        <v>66</v>
      </c>
      <c r="J1615" t="str">
        <f t="shared" si="54"/>
        <v>Whatcom Creek</v>
      </c>
      <c r="K1615" t="str">
        <f>IFERROR(VLOOKUP(J1615,LUTs!$A$1:$C$73,2,FALSE),"NA")</f>
        <v>Whatcom</v>
      </c>
      <c r="L1615" t="str">
        <f>IFERROR(VLOOKUP(J1615,LUTs!$A$1:$C$73,3,FALSE),"NA")</f>
        <v>1North Puget Sound</v>
      </c>
      <c r="M1615" s="72" t="s">
        <v>20</v>
      </c>
      <c r="N1615" t="str">
        <f>VLOOKUP(M1615,LUTs!E$2:H$14,3,)</f>
        <v>07Pierce</v>
      </c>
      <c r="O1615" t="str">
        <f>VLOOKUP(M1615,LUTs!E$2:H$14,4,)</f>
        <v>02South Puget Sound</v>
      </c>
      <c r="P1615" s="73">
        <v>0.64285714285714002</v>
      </c>
      <c r="Q1615" s="74">
        <f>VLOOKUP(B1615,Readme!A$40:C$51,2,)*P1615</f>
        <v>2.2114285714285615</v>
      </c>
    </row>
    <row r="1616" spans="1:17" ht="12" customHeight="1" x14ac:dyDescent="0.35">
      <c r="A1616" s="75">
        <v>1615</v>
      </c>
      <c r="B1616" s="64">
        <v>2013</v>
      </c>
      <c r="C1616" s="64">
        <v>9</v>
      </c>
      <c r="D1616" s="80">
        <f t="shared" si="53"/>
        <v>2013</v>
      </c>
      <c r="E1616" t="s">
        <v>38</v>
      </c>
      <c r="F1616" t="s">
        <v>143</v>
      </c>
      <c r="G1616" t="s">
        <v>10</v>
      </c>
      <c r="H1616" s="72" t="s">
        <v>224</v>
      </c>
      <c r="I1616" s="72" t="s">
        <v>66</v>
      </c>
      <c r="J1616" t="str">
        <f t="shared" si="54"/>
        <v>Whatcom Creek</v>
      </c>
      <c r="K1616" t="str">
        <f>IFERROR(VLOOKUP(J1616,LUTs!$A$1:$C$73,2,FALSE),"NA")</f>
        <v>Whatcom</v>
      </c>
      <c r="L1616" t="str">
        <f>IFERROR(VLOOKUP(J1616,LUTs!$A$1:$C$73,3,FALSE),"NA")</f>
        <v>1North Puget Sound</v>
      </c>
      <c r="M1616" s="72" t="s">
        <v>16</v>
      </c>
      <c r="N1616" t="str">
        <f>VLOOKUP(M1616,LUTs!E$2:H$14,3,)</f>
        <v>03Snohomish</v>
      </c>
      <c r="O1616" t="str">
        <f>VLOOKUP(M1616,LUTs!E$2:H$14,4,)</f>
        <v>01North Puget Sound</v>
      </c>
      <c r="P1616" s="73">
        <v>0.64285714285714002</v>
      </c>
      <c r="Q1616" s="74">
        <f>VLOOKUP(B1616,Readme!A$40:C$51,2,)*P1616</f>
        <v>2.2114285714285615</v>
      </c>
    </row>
    <row r="1617" spans="1:17" ht="12" customHeight="1" x14ac:dyDescent="0.35">
      <c r="A1617" s="75">
        <v>1616</v>
      </c>
      <c r="B1617" s="64">
        <v>2013</v>
      </c>
      <c r="C1617" s="64">
        <v>9</v>
      </c>
      <c r="D1617" s="80">
        <f t="shared" si="53"/>
        <v>2013</v>
      </c>
      <c r="E1617" t="s">
        <v>38</v>
      </c>
      <c r="F1617" t="s">
        <v>143</v>
      </c>
      <c r="G1617" t="s">
        <v>10</v>
      </c>
      <c r="H1617" s="72" t="s">
        <v>224</v>
      </c>
      <c r="I1617" s="72" t="s">
        <v>66</v>
      </c>
      <c r="J1617" t="str">
        <f t="shared" si="54"/>
        <v>Whatcom Creek</v>
      </c>
      <c r="K1617" t="str">
        <f>IFERROR(VLOOKUP(J1617,LUTs!$A$1:$C$73,2,FALSE),"NA")</f>
        <v>Whatcom</v>
      </c>
      <c r="L1617" t="str">
        <f>IFERROR(VLOOKUP(J1617,LUTs!$A$1:$C$73,3,FALSE),"NA")</f>
        <v>1North Puget Sound</v>
      </c>
      <c r="M1617" s="72" t="s">
        <v>13</v>
      </c>
      <c r="N1617" t="str">
        <f>VLOOKUP(M1617,LUTs!E$2:H$14,3,)</f>
        <v>01Whatcom</v>
      </c>
      <c r="O1617" t="str">
        <f>VLOOKUP(M1617,LUTs!E$2:H$14,4,)</f>
        <v>01North Puget Sound</v>
      </c>
      <c r="P1617" s="73">
        <v>5.78571428571429</v>
      </c>
      <c r="Q1617" s="74">
        <f>VLOOKUP(B1617,Readme!A$40:C$51,2,)*P1617</f>
        <v>19.902857142857158</v>
      </c>
    </row>
    <row r="1618" spans="1:17" ht="12" customHeight="1" x14ac:dyDescent="0.35">
      <c r="A1618" s="75">
        <v>1617</v>
      </c>
      <c r="B1618" s="64">
        <v>2013</v>
      </c>
      <c r="C1618" s="64">
        <v>10</v>
      </c>
      <c r="D1618" s="80">
        <f t="shared" si="53"/>
        <v>2013</v>
      </c>
      <c r="E1618" t="s">
        <v>38</v>
      </c>
      <c r="F1618" t="s">
        <v>143</v>
      </c>
      <c r="G1618" t="s">
        <v>10</v>
      </c>
      <c r="H1618" s="72" t="s">
        <v>224</v>
      </c>
      <c r="I1618" s="72" t="s">
        <v>66</v>
      </c>
      <c r="J1618" t="str">
        <f t="shared" si="54"/>
        <v>Whatcom Creek</v>
      </c>
      <c r="K1618" t="str">
        <f>IFERROR(VLOOKUP(J1618,LUTs!$A$1:$C$73,2,FALSE),"NA")</f>
        <v>Whatcom</v>
      </c>
      <c r="L1618" t="str">
        <f>IFERROR(VLOOKUP(J1618,LUTs!$A$1:$C$73,3,FALSE),"NA")</f>
        <v>1North Puget Sound</v>
      </c>
      <c r="M1618" s="72" t="s">
        <v>16</v>
      </c>
      <c r="N1618" t="str">
        <f>VLOOKUP(M1618,LUTs!E$2:H$14,3,)</f>
        <v>03Snohomish</v>
      </c>
      <c r="O1618" t="str">
        <f>VLOOKUP(M1618,LUTs!E$2:H$14,4,)</f>
        <v>01North Puget Sound</v>
      </c>
      <c r="P1618" s="73">
        <v>21</v>
      </c>
      <c r="Q1618" s="74">
        <f>VLOOKUP(B1618,Readme!A$40:C$51,2,)*P1618</f>
        <v>72.239999999999995</v>
      </c>
    </row>
    <row r="1619" spans="1:17" ht="12" customHeight="1" x14ac:dyDescent="0.35">
      <c r="A1619" s="75">
        <v>1618</v>
      </c>
      <c r="B1619" s="64">
        <v>2013</v>
      </c>
      <c r="C1619" s="64">
        <v>10</v>
      </c>
      <c r="D1619" s="80">
        <f t="shared" si="53"/>
        <v>2013</v>
      </c>
      <c r="E1619" t="s">
        <v>38</v>
      </c>
      <c r="F1619" t="s">
        <v>143</v>
      </c>
      <c r="G1619" t="s">
        <v>10</v>
      </c>
      <c r="H1619" s="72" t="s">
        <v>224</v>
      </c>
      <c r="I1619" s="72" t="s">
        <v>66</v>
      </c>
      <c r="J1619" t="str">
        <f t="shared" si="54"/>
        <v>Whatcom Creek</v>
      </c>
      <c r="K1619" t="str">
        <f>IFERROR(VLOOKUP(J1619,LUTs!$A$1:$C$73,2,FALSE),"NA")</f>
        <v>Whatcom</v>
      </c>
      <c r="L1619" t="str">
        <f>IFERROR(VLOOKUP(J1619,LUTs!$A$1:$C$73,3,FALSE),"NA")</f>
        <v>1North Puget Sound</v>
      </c>
      <c r="M1619" s="72" t="s">
        <v>13</v>
      </c>
      <c r="N1619" t="str">
        <f>VLOOKUP(M1619,LUTs!E$2:H$14,3,)</f>
        <v>01Whatcom</v>
      </c>
      <c r="O1619" t="str">
        <f>VLOOKUP(M1619,LUTs!E$2:H$14,4,)</f>
        <v>01North Puget Sound</v>
      </c>
      <c r="P1619" s="73">
        <v>70</v>
      </c>
      <c r="Q1619" s="74">
        <f>VLOOKUP(B1619,Readme!A$40:C$51,2,)*P1619</f>
        <v>240.79999999999998</v>
      </c>
    </row>
    <row r="1620" spans="1:17" ht="12" customHeight="1" x14ac:dyDescent="0.35">
      <c r="A1620" s="75">
        <v>1619</v>
      </c>
      <c r="B1620" s="64">
        <v>2013</v>
      </c>
      <c r="C1620" s="64">
        <v>11</v>
      </c>
      <c r="D1620" s="80">
        <f t="shared" si="53"/>
        <v>2013</v>
      </c>
      <c r="E1620" t="s">
        <v>38</v>
      </c>
      <c r="F1620" t="s">
        <v>143</v>
      </c>
      <c r="G1620" t="s">
        <v>10</v>
      </c>
      <c r="H1620" s="72" t="s">
        <v>224</v>
      </c>
      <c r="I1620" s="72" t="s">
        <v>66</v>
      </c>
      <c r="J1620" t="str">
        <f t="shared" si="54"/>
        <v>Whatcom Creek</v>
      </c>
      <c r="K1620" t="str">
        <f>IFERROR(VLOOKUP(J1620,LUTs!$A$1:$C$73,2,FALSE),"NA")</f>
        <v>Whatcom</v>
      </c>
      <c r="L1620" t="str">
        <f>IFERROR(VLOOKUP(J1620,LUTs!$A$1:$C$73,3,FALSE),"NA")</f>
        <v>1North Puget Sound</v>
      </c>
      <c r="M1620" s="72" t="s">
        <v>17</v>
      </c>
      <c r="N1620" t="str">
        <f>VLOOKUP(M1620,LUTs!E$2:H$14,3,)</f>
        <v>04Island</v>
      </c>
      <c r="O1620" t="str">
        <f>VLOOKUP(M1620,LUTs!E$2:H$14,4,)</f>
        <v>01North Puget Sound</v>
      </c>
      <c r="P1620" s="73">
        <v>64.071428571428598</v>
      </c>
      <c r="Q1620" s="74">
        <f>VLOOKUP(B1620,Readme!A$40:C$51,2,)*P1620</f>
        <v>220.40571428571437</v>
      </c>
    </row>
    <row r="1621" spans="1:17" ht="12" customHeight="1" x14ac:dyDescent="0.35">
      <c r="A1621" s="75">
        <v>1620</v>
      </c>
      <c r="B1621" s="64">
        <v>2013</v>
      </c>
      <c r="C1621" s="64">
        <v>11</v>
      </c>
      <c r="D1621" s="80">
        <f t="shared" si="53"/>
        <v>2013</v>
      </c>
      <c r="E1621" t="s">
        <v>38</v>
      </c>
      <c r="F1621" t="s">
        <v>143</v>
      </c>
      <c r="G1621" t="s">
        <v>10</v>
      </c>
      <c r="H1621" s="72" t="s">
        <v>224</v>
      </c>
      <c r="I1621" s="72" t="s">
        <v>66</v>
      </c>
      <c r="J1621" t="str">
        <f t="shared" si="54"/>
        <v>Whatcom Creek</v>
      </c>
      <c r="K1621" t="str">
        <f>IFERROR(VLOOKUP(J1621,LUTs!$A$1:$C$73,2,FALSE),"NA")</f>
        <v>Whatcom</v>
      </c>
      <c r="L1621" t="str">
        <f>IFERROR(VLOOKUP(J1621,LUTs!$A$1:$C$73,3,FALSE),"NA")</f>
        <v>1North Puget Sound</v>
      </c>
      <c r="M1621" s="72" t="s">
        <v>18</v>
      </c>
      <c r="N1621" t="str">
        <f>VLOOKUP(M1621,LUTs!E$2:H$14,3,)</f>
        <v>06King</v>
      </c>
      <c r="O1621" t="str">
        <f>VLOOKUP(M1621,LUTs!E$2:H$14,4,)</f>
        <v>02South Puget Sound</v>
      </c>
      <c r="P1621" s="73">
        <v>18.3061224489796</v>
      </c>
      <c r="Q1621" s="74">
        <f>VLOOKUP(B1621,Readme!A$40:C$51,2,)*P1621</f>
        <v>62.973061224489825</v>
      </c>
    </row>
    <row r="1622" spans="1:17" ht="12" customHeight="1" x14ac:dyDescent="0.35">
      <c r="A1622" s="75">
        <v>1621</v>
      </c>
      <c r="B1622" s="64">
        <v>2013</v>
      </c>
      <c r="C1622" s="64">
        <v>11</v>
      </c>
      <c r="D1622" s="80">
        <f t="shared" si="53"/>
        <v>2013</v>
      </c>
      <c r="E1622" t="s">
        <v>38</v>
      </c>
      <c r="F1622" t="s">
        <v>143</v>
      </c>
      <c r="G1622" t="s">
        <v>10</v>
      </c>
      <c r="H1622" s="72" t="s">
        <v>224</v>
      </c>
      <c r="I1622" s="72" t="s">
        <v>66</v>
      </c>
      <c r="J1622" t="str">
        <f t="shared" si="54"/>
        <v>Whatcom Creek</v>
      </c>
      <c r="K1622" t="str">
        <f>IFERROR(VLOOKUP(J1622,LUTs!$A$1:$C$73,2,FALSE),"NA")</f>
        <v>Whatcom</v>
      </c>
      <c r="L1622" t="str">
        <f>IFERROR(VLOOKUP(J1622,LUTs!$A$1:$C$73,3,FALSE),"NA")</f>
        <v>1North Puget Sound</v>
      </c>
      <c r="M1622" s="72" t="s">
        <v>22</v>
      </c>
      <c r="N1622" t="str">
        <f>VLOOKUP(M1622,LUTs!E$2:H$14,3,)</f>
        <v>09Mason</v>
      </c>
      <c r="O1622" t="str">
        <f>VLOOKUP(M1622,LUTs!E$2:H$14,4,)</f>
        <v>02South Puget Sound</v>
      </c>
      <c r="P1622" s="73">
        <v>9.1530612244898002</v>
      </c>
      <c r="Q1622" s="74">
        <f>VLOOKUP(B1622,Readme!A$40:C$51,2,)*P1622</f>
        <v>31.486530612244913</v>
      </c>
    </row>
    <row r="1623" spans="1:17" ht="12" customHeight="1" x14ac:dyDescent="0.35">
      <c r="A1623" s="75">
        <v>1622</v>
      </c>
      <c r="B1623" s="64">
        <v>2013</v>
      </c>
      <c r="C1623" s="64">
        <v>11</v>
      </c>
      <c r="D1623" s="80">
        <f t="shared" si="53"/>
        <v>2013</v>
      </c>
      <c r="E1623" t="s">
        <v>38</v>
      </c>
      <c r="F1623" t="s">
        <v>143</v>
      </c>
      <c r="G1623" t="s">
        <v>10</v>
      </c>
      <c r="H1623" s="72" t="s">
        <v>224</v>
      </c>
      <c r="I1623" s="72" t="s">
        <v>66</v>
      </c>
      <c r="J1623" t="str">
        <f t="shared" si="54"/>
        <v>Whatcom Creek</v>
      </c>
      <c r="K1623" t="str">
        <f>IFERROR(VLOOKUP(J1623,LUTs!$A$1:$C$73,2,FALSE),"NA")</f>
        <v>Whatcom</v>
      </c>
      <c r="L1623" t="str">
        <f>IFERROR(VLOOKUP(J1623,LUTs!$A$1:$C$73,3,FALSE),"NA")</f>
        <v>1North Puget Sound</v>
      </c>
      <c r="M1623" s="72" t="s">
        <v>26</v>
      </c>
      <c r="N1623" t="str">
        <f>VLOOKUP(M1623,LUTs!E$2:H$14,3,)</f>
        <v>20Other</v>
      </c>
      <c r="O1623" t="str">
        <f>VLOOKUP(M1623,LUTs!E$2:H$14,4,)</f>
        <v>07Non Puget Sound</v>
      </c>
      <c r="P1623" s="73">
        <v>64.071428571428598</v>
      </c>
      <c r="Q1623" s="74">
        <f>VLOOKUP(B1623,Readme!A$40:C$51,2,)*P1623</f>
        <v>220.40571428571437</v>
      </c>
    </row>
    <row r="1624" spans="1:17" ht="12" customHeight="1" x14ac:dyDescent="0.35">
      <c r="A1624" s="75">
        <v>1623</v>
      </c>
      <c r="B1624" s="64">
        <v>2013</v>
      </c>
      <c r="C1624" s="64">
        <v>11</v>
      </c>
      <c r="D1624" s="80">
        <f t="shared" si="53"/>
        <v>2013</v>
      </c>
      <c r="E1624" t="s">
        <v>38</v>
      </c>
      <c r="F1624" t="s">
        <v>143</v>
      </c>
      <c r="G1624" t="s">
        <v>10</v>
      </c>
      <c r="H1624" s="72" t="s">
        <v>224</v>
      </c>
      <c r="I1624" s="72" t="s">
        <v>66</v>
      </c>
      <c r="J1624" t="str">
        <f t="shared" si="54"/>
        <v>Whatcom Creek</v>
      </c>
      <c r="K1624" t="str">
        <f>IFERROR(VLOOKUP(J1624,LUTs!$A$1:$C$73,2,FALSE),"NA")</f>
        <v>Whatcom</v>
      </c>
      <c r="L1624" t="str">
        <f>IFERROR(VLOOKUP(J1624,LUTs!$A$1:$C$73,3,FALSE),"NA")</f>
        <v>1North Puget Sound</v>
      </c>
      <c r="M1624" s="72" t="s">
        <v>15</v>
      </c>
      <c r="N1624" t="str">
        <f>VLOOKUP(M1624,LUTs!E$2:H$14,3,)</f>
        <v>02Skagit</v>
      </c>
      <c r="O1624" t="str">
        <f>VLOOKUP(M1624,LUTs!E$2:H$14,4,)</f>
        <v>01North Puget Sound</v>
      </c>
      <c r="P1624" s="73">
        <v>27.459183673469401</v>
      </c>
      <c r="Q1624" s="74">
        <f>VLOOKUP(B1624,Readme!A$40:C$51,2,)*P1624</f>
        <v>94.459591836734731</v>
      </c>
    </row>
    <row r="1625" spans="1:17" ht="12" customHeight="1" x14ac:dyDescent="0.35">
      <c r="A1625" s="75">
        <v>1624</v>
      </c>
      <c r="B1625" s="64">
        <v>2013</v>
      </c>
      <c r="C1625" s="64">
        <v>11</v>
      </c>
      <c r="D1625" s="80">
        <f t="shared" si="53"/>
        <v>2013</v>
      </c>
      <c r="E1625" t="s">
        <v>38</v>
      </c>
      <c r="F1625" t="s">
        <v>143</v>
      </c>
      <c r="G1625" t="s">
        <v>10</v>
      </c>
      <c r="H1625" s="72" t="s">
        <v>224</v>
      </c>
      <c r="I1625" s="72" t="s">
        <v>66</v>
      </c>
      <c r="J1625" t="str">
        <f t="shared" si="54"/>
        <v>Whatcom Creek</v>
      </c>
      <c r="K1625" t="str">
        <f>IFERROR(VLOOKUP(J1625,LUTs!$A$1:$C$73,2,FALSE),"NA")</f>
        <v>Whatcom</v>
      </c>
      <c r="L1625" t="str">
        <f>IFERROR(VLOOKUP(J1625,LUTs!$A$1:$C$73,3,FALSE),"NA")</f>
        <v>1North Puget Sound</v>
      </c>
      <c r="M1625" s="72" t="s">
        <v>16</v>
      </c>
      <c r="N1625" t="str">
        <f>VLOOKUP(M1625,LUTs!E$2:H$14,3,)</f>
        <v>03Snohomish</v>
      </c>
      <c r="O1625" t="str">
        <f>VLOOKUP(M1625,LUTs!E$2:H$14,4,)</f>
        <v>01North Puget Sound</v>
      </c>
      <c r="P1625" s="73">
        <v>146.448979591837</v>
      </c>
      <c r="Q1625" s="74">
        <f>VLOOKUP(B1625,Readme!A$40:C$51,2,)*P1625</f>
        <v>503.78448979591928</v>
      </c>
    </row>
    <row r="1626" spans="1:17" ht="12" customHeight="1" x14ac:dyDescent="0.35">
      <c r="A1626" s="75">
        <v>1625</v>
      </c>
      <c r="B1626" s="64">
        <v>2013</v>
      </c>
      <c r="C1626" s="64">
        <v>11</v>
      </c>
      <c r="D1626" s="80">
        <f t="shared" si="53"/>
        <v>2013</v>
      </c>
      <c r="E1626" t="s">
        <v>38</v>
      </c>
      <c r="F1626" t="s">
        <v>143</v>
      </c>
      <c r="G1626" t="s">
        <v>10</v>
      </c>
      <c r="H1626" s="72" t="s">
        <v>224</v>
      </c>
      <c r="I1626" s="72" t="s">
        <v>66</v>
      </c>
      <c r="J1626" t="str">
        <f t="shared" si="54"/>
        <v>Whatcom Creek</v>
      </c>
      <c r="K1626" t="str">
        <f>IFERROR(VLOOKUP(J1626,LUTs!$A$1:$C$73,2,FALSE),"NA")</f>
        <v>Whatcom</v>
      </c>
      <c r="L1626" t="str">
        <f>IFERROR(VLOOKUP(J1626,LUTs!$A$1:$C$73,3,FALSE),"NA")</f>
        <v>1North Puget Sound</v>
      </c>
      <c r="M1626" s="72" t="s">
        <v>21</v>
      </c>
      <c r="N1626" t="str">
        <f>VLOOKUP(M1626,LUTs!E$2:H$14,3,)</f>
        <v>08Thurston</v>
      </c>
      <c r="O1626" t="str">
        <f>VLOOKUP(M1626,LUTs!E$2:H$14,4,)</f>
        <v>02South Puget Sound</v>
      </c>
      <c r="P1626" s="73">
        <v>9.1530612244898002</v>
      </c>
      <c r="Q1626" s="74">
        <f>VLOOKUP(B1626,Readme!A$40:C$51,2,)*P1626</f>
        <v>31.486530612244913</v>
      </c>
    </row>
    <row r="1627" spans="1:17" ht="12" customHeight="1" x14ac:dyDescent="0.35">
      <c r="A1627" s="75">
        <v>1626</v>
      </c>
      <c r="B1627" s="64">
        <v>2013</v>
      </c>
      <c r="C1627" s="64">
        <v>11</v>
      </c>
      <c r="D1627" s="80">
        <f t="shared" si="53"/>
        <v>2013</v>
      </c>
      <c r="E1627" t="s">
        <v>38</v>
      </c>
      <c r="F1627" t="s">
        <v>143</v>
      </c>
      <c r="G1627" t="s">
        <v>10</v>
      </c>
      <c r="H1627" s="72" t="s">
        <v>224</v>
      </c>
      <c r="I1627" s="72" t="s">
        <v>66</v>
      </c>
      <c r="J1627" t="str">
        <f t="shared" si="54"/>
        <v>Whatcom Creek</v>
      </c>
      <c r="K1627" t="str">
        <f>IFERROR(VLOOKUP(J1627,LUTs!$A$1:$C$73,2,FALSE),"NA")</f>
        <v>Whatcom</v>
      </c>
      <c r="L1627" t="str">
        <f>IFERROR(VLOOKUP(J1627,LUTs!$A$1:$C$73,3,FALSE),"NA")</f>
        <v>1North Puget Sound</v>
      </c>
      <c r="M1627" s="72" t="s">
        <v>13</v>
      </c>
      <c r="N1627" t="str">
        <f>VLOOKUP(M1627,LUTs!E$2:H$14,3,)</f>
        <v>01Whatcom</v>
      </c>
      <c r="O1627" t="str">
        <f>VLOOKUP(M1627,LUTs!E$2:H$14,4,)</f>
        <v>01North Puget Sound</v>
      </c>
      <c r="P1627" s="73">
        <v>1455.3367346938801</v>
      </c>
      <c r="Q1627" s="74">
        <f>VLOOKUP(B1627,Readme!A$40:C$51,2,)*P1627</f>
        <v>5006.3583673469475</v>
      </c>
    </row>
    <row r="1628" spans="1:17" ht="12" customHeight="1" x14ac:dyDescent="0.35">
      <c r="A1628" s="75">
        <v>1627</v>
      </c>
      <c r="B1628" s="64">
        <v>2013</v>
      </c>
      <c r="C1628" s="64">
        <v>12</v>
      </c>
      <c r="D1628" s="80">
        <f t="shared" si="53"/>
        <v>2013</v>
      </c>
      <c r="E1628" t="s">
        <v>38</v>
      </c>
      <c r="F1628" t="s">
        <v>143</v>
      </c>
      <c r="G1628" t="s">
        <v>10</v>
      </c>
      <c r="H1628" s="72" t="s">
        <v>224</v>
      </c>
      <c r="I1628" s="72" t="s">
        <v>66</v>
      </c>
      <c r="J1628" t="str">
        <f t="shared" si="54"/>
        <v>Whatcom Creek</v>
      </c>
      <c r="K1628" t="str">
        <f>IFERROR(VLOOKUP(J1628,LUTs!$A$1:$C$73,2,FALSE),"NA")</f>
        <v>Whatcom</v>
      </c>
      <c r="L1628" t="str">
        <f>IFERROR(VLOOKUP(J1628,LUTs!$A$1:$C$73,3,FALSE),"NA")</f>
        <v>1North Puget Sound</v>
      </c>
      <c r="M1628" s="72" t="s">
        <v>21</v>
      </c>
      <c r="N1628" t="str">
        <f>VLOOKUP(M1628,LUTs!E$2:H$14,3,)</f>
        <v>08Thurston</v>
      </c>
      <c r="O1628" t="str">
        <f>VLOOKUP(M1628,LUTs!E$2:H$14,4,)</f>
        <v>02South Puget Sound</v>
      </c>
      <c r="P1628" s="73">
        <v>9</v>
      </c>
      <c r="Q1628" s="74">
        <f>VLOOKUP(B1628,Readme!A$40:C$51,2,)*P1628</f>
        <v>30.96</v>
      </c>
    </row>
    <row r="1629" spans="1:17" ht="12" customHeight="1" x14ac:dyDescent="0.35">
      <c r="A1629" s="75">
        <v>1628</v>
      </c>
      <c r="B1629" s="64">
        <v>2014</v>
      </c>
      <c r="C1629" s="64">
        <v>8</v>
      </c>
      <c r="D1629" s="80">
        <f t="shared" si="53"/>
        <v>2014</v>
      </c>
      <c r="E1629" t="s">
        <v>38</v>
      </c>
      <c r="F1629" t="s">
        <v>143</v>
      </c>
      <c r="G1629" t="s">
        <v>10</v>
      </c>
      <c r="H1629" s="72" t="s">
        <v>197</v>
      </c>
      <c r="I1629" s="72" t="s">
        <v>39</v>
      </c>
      <c r="J1629" t="str">
        <f t="shared" si="54"/>
        <v>Chambers Creek</v>
      </c>
      <c r="K1629" t="str">
        <f>IFERROR(VLOOKUP(J1629,LUTs!$A$1:$C$73,2,FALSE),"NA")</f>
        <v>Pierce</v>
      </c>
      <c r="L1629" t="str">
        <f>IFERROR(VLOOKUP(J1629,LUTs!$A$1:$C$73,3,FALSE),"NA")</f>
        <v>3South Puget Sound</v>
      </c>
      <c r="M1629" s="72" t="s">
        <v>18</v>
      </c>
      <c r="N1629" t="str">
        <f>VLOOKUP(M1629,LUTs!E$2:H$14,3,)</f>
        <v>06King</v>
      </c>
      <c r="O1629" t="str">
        <f>VLOOKUP(M1629,LUTs!E$2:H$14,4,)</f>
        <v>02South Puget Sound</v>
      </c>
      <c r="P1629" s="73">
        <v>9</v>
      </c>
      <c r="Q1629" s="74">
        <f>VLOOKUP(B1629,Readme!A$40:C$51,2,)*P1629</f>
        <v>77.850000000000009</v>
      </c>
    </row>
    <row r="1630" spans="1:17" ht="12" customHeight="1" x14ac:dyDescent="0.35">
      <c r="A1630" s="75">
        <v>1629</v>
      </c>
      <c r="B1630" s="64">
        <v>2014</v>
      </c>
      <c r="C1630" s="64">
        <v>8</v>
      </c>
      <c r="D1630" s="80">
        <f t="shared" si="53"/>
        <v>2014</v>
      </c>
      <c r="E1630" t="s">
        <v>38</v>
      </c>
      <c r="F1630" t="s">
        <v>143</v>
      </c>
      <c r="G1630" t="s">
        <v>10</v>
      </c>
      <c r="H1630" s="72" t="s">
        <v>197</v>
      </c>
      <c r="I1630" s="72" t="s">
        <v>39</v>
      </c>
      <c r="J1630" t="str">
        <f t="shared" si="54"/>
        <v>Chambers Creek</v>
      </c>
      <c r="K1630" t="str">
        <f>IFERROR(VLOOKUP(J1630,LUTs!$A$1:$C$73,2,FALSE),"NA")</f>
        <v>Pierce</v>
      </c>
      <c r="L1630" t="str">
        <f>IFERROR(VLOOKUP(J1630,LUTs!$A$1:$C$73,3,FALSE),"NA")</f>
        <v>3South Puget Sound</v>
      </c>
      <c r="M1630" s="72" t="s">
        <v>20</v>
      </c>
      <c r="N1630" t="str">
        <f>VLOOKUP(M1630,LUTs!E$2:H$14,3,)</f>
        <v>07Pierce</v>
      </c>
      <c r="O1630" t="str">
        <f>VLOOKUP(M1630,LUTs!E$2:H$14,4,)</f>
        <v>02South Puget Sound</v>
      </c>
      <c r="P1630" s="73">
        <v>9</v>
      </c>
      <c r="Q1630" s="74">
        <f>VLOOKUP(B1630,Readme!A$40:C$51,2,)*P1630</f>
        <v>77.850000000000009</v>
      </c>
    </row>
    <row r="1631" spans="1:17" ht="12" customHeight="1" x14ac:dyDescent="0.35">
      <c r="A1631" s="75">
        <v>1630</v>
      </c>
      <c r="B1631" s="64">
        <v>2014</v>
      </c>
      <c r="C1631" s="64">
        <v>10</v>
      </c>
      <c r="D1631" s="80">
        <f t="shared" si="53"/>
        <v>2014</v>
      </c>
      <c r="E1631" t="s">
        <v>38</v>
      </c>
      <c r="F1631" t="s">
        <v>143</v>
      </c>
      <c r="G1631" t="s">
        <v>10</v>
      </c>
      <c r="H1631" s="72" t="s">
        <v>198</v>
      </c>
      <c r="I1631" s="72" t="s">
        <v>40</v>
      </c>
      <c r="J1631" t="str">
        <f t="shared" si="54"/>
        <v>Dakota Creek (Whatcom Co)</v>
      </c>
      <c r="K1631" t="str">
        <f>IFERROR(VLOOKUP(J1631,LUTs!$A$1:$C$73,2,FALSE),"NA")</f>
        <v>Whatcom</v>
      </c>
      <c r="L1631" t="str">
        <f>IFERROR(VLOOKUP(J1631,LUTs!$A$1:$C$73,3,FALSE),"NA")</f>
        <v>1North Puget Sound</v>
      </c>
      <c r="M1631" s="72" t="s">
        <v>26</v>
      </c>
      <c r="N1631" t="str">
        <f>VLOOKUP(M1631,LUTs!E$2:H$14,3,)</f>
        <v>20Other</v>
      </c>
      <c r="O1631" t="str">
        <f>VLOOKUP(M1631,LUTs!E$2:H$14,4,)</f>
        <v>07Non Puget Sound</v>
      </c>
      <c r="P1631" s="73">
        <v>7.1578947368421098</v>
      </c>
      <c r="Q1631" s="74">
        <f>VLOOKUP(B1631,Readme!A$40:C$51,2,)*P1631</f>
        <v>61.915789473684249</v>
      </c>
    </row>
    <row r="1632" spans="1:17" ht="12" customHeight="1" x14ac:dyDescent="0.35">
      <c r="A1632" s="75">
        <v>1631</v>
      </c>
      <c r="B1632" s="64">
        <v>2014</v>
      </c>
      <c r="C1632" s="64">
        <v>10</v>
      </c>
      <c r="D1632" s="80">
        <f t="shared" si="53"/>
        <v>2014</v>
      </c>
      <c r="E1632" t="s">
        <v>38</v>
      </c>
      <c r="F1632" t="s">
        <v>143</v>
      </c>
      <c r="G1632" t="s">
        <v>10</v>
      </c>
      <c r="H1632" s="72" t="s">
        <v>198</v>
      </c>
      <c r="I1632" s="72" t="s">
        <v>40</v>
      </c>
      <c r="J1632" t="str">
        <f t="shared" si="54"/>
        <v>Dakota Creek (Whatcom Co)</v>
      </c>
      <c r="K1632" t="str">
        <f>IFERROR(VLOOKUP(J1632,LUTs!$A$1:$C$73,2,FALSE),"NA")</f>
        <v>Whatcom</v>
      </c>
      <c r="L1632" t="str">
        <f>IFERROR(VLOOKUP(J1632,LUTs!$A$1:$C$73,3,FALSE),"NA")</f>
        <v>1North Puget Sound</v>
      </c>
      <c r="M1632" s="72" t="s">
        <v>16</v>
      </c>
      <c r="N1632" t="str">
        <f>VLOOKUP(M1632,LUTs!E$2:H$14,3,)</f>
        <v>03Snohomish</v>
      </c>
      <c r="O1632" t="str">
        <f>VLOOKUP(M1632,LUTs!E$2:H$14,4,)</f>
        <v>01North Puget Sound</v>
      </c>
      <c r="P1632" s="73">
        <v>42.947368421052602</v>
      </c>
      <c r="Q1632" s="74">
        <f>VLOOKUP(B1632,Readme!A$40:C$51,2,)*P1632</f>
        <v>371.494736842105</v>
      </c>
    </row>
    <row r="1633" spans="1:17" ht="12" customHeight="1" x14ac:dyDescent="0.35">
      <c r="A1633" s="75">
        <v>1632</v>
      </c>
      <c r="B1633" s="64">
        <v>2014</v>
      </c>
      <c r="C1633" s="64">
        <v>10</v>
      </c>
      <c r="D1633" s="80">
        <f t="shared" si="53"/>
        <v>2014</v>
      </c>
      <c r="E1633" t="s">
        <v>38</v>
      </c>
      <c r="F1633" t="s">
        <v>143</v>
      </c>
      <c r="G1633" t="s">
        <v>10</v>
      </c>
      <c r="H1633" s="72" t="s">
        <v>198</v>
      </c>
      <c r="I1633" s="72" t="s">
        <v>40</v>
      </c>
      <c r="J1633" t="str">
        <f t="shared" si="54"/>
        <v>Dakota Creek (Whatcom Co)</v>
      </c>
      <c r="K1633" t="str">
        <f>IFERROR(VLOOKUP(J1633,LUTs!$A$1:$C$73,2,FALSE),"NA")</f>
        <v>Whatcom</v>
      </c>
      <c r="L1633" t="str">
        <f>IFERROR(VLOOKUP(J1633,LUTs!$A$1:$C$73,3,FALSE),"NA")</f>
        <v>1North Puget Sound</v>
      </c>
      <c r="M1633" s="72" t="s">
        <v>13</v>
      </c>
      <c r="N1633" t="str">
        <f>VLOOKUP(M1633,LUTs!E$2:H$14,3,)</f>
        <v>01Whatcom</v>
      </c>
      <c r="O1633" t="str">
        <f>VLOOKUP(M1633,LUTs!E$2:H$14,4,)</f>
        <v>01North Puget Sound</v>
      </c>
      <c r="P1633" s="73">
        <v>85.894736842105303</v>
      </c>
      <c r="Q1633" s="74">
        <f>VLOOKUP(B1633,Readme!A$40:C$51,2,)*P1633</f>
        <v>742.98947368421091</v>
      </c>
    </row>
    <row r="1634" spans="1:17" ht="12" customHeight="1" x14ac:dyDescent="0.35">
      <c r="A1634" s="75">
        <v>1633</v>
      </c>
      <c r="B1634" s="64">
        <v>2014</v>
      </c>
      <c r="C1634" s="64">
        <v>10</v>
      </c>
      <c r="D1634" s="80">
        <f t="shared" si="53"/>
        <v>2014</v>
      </c>
      <c r="E1634" t="s">
        <v>38</v>
      </c>
      <c r="F1634" t="s">
        <v>143</v>
      </c>
      <c r="G1634" t="s">
        <v>10</v>
      </c>
      <c r="H1634" s="72" t="s">
        <v>225</v>
      </c>
      <c r="I1634" s="72" t="s">
        <v>67</v>
      </c>
      <c r="J1634" t="str">
        <f t="shared" si="54"/>
        <v>Dewatto River</v>
      </c>
      <c r="K1634" t="str">
        <f>IFERROR(VLOOKUP(J1634,LUTs!$A$1:$C$73,2,FALSE),"NA")</f>
        <v>Mason</v>
      </c>
      <c r="L1634" t="str">
        <f>IFERROR(VLOOKUP(J1634,LUTs!$A$1:$C$73,3,FALSE),"NA")</f>
        <v>4 Hood Canal</v>
      </c>
      <c r="M1634" s="72" t="s">
        <v>23</v>
      </c>
      <c r="N1634" t="str">
        <f>VLOOKUP(M1634,LUTs!E$2:H$14,3,)</f>
        <v>10Kitsap</v>
      </c>
      <c r="O1634" t="str">
        <f>VLOOKUP(M1634,LUTs!E$2:H$14,4,)</f>
        <v>02South Puget Sound</v>
      </c>
      <c r="P1634" s="73">
        <v>136.875</v>
      </c>
      <c r="Q1634" s="74">
        <f>VLOOKUP(B1634,Readme!A$40:C$51,2,)*P1634</f>
        <v>1183.96875</v>
      </c>
    </row>
    <row r="1635" spans="1:17" ht="12" customHeight="1" x14ac:dyDescent="0.35">
      <c r="A1635" s="75">
        <v>1634</v>
      </c>
      <c r="B1635" s="64">
        <v>2014</v>
      </c>
      <c r="C1635" s="64">
        <v>10</v>
      </c>
      <c r="D1635" s="80">
        <f t="shared" si="53"/>
        <v>2014</v>
      </c>
      <c r="E1635" t="s">
        <v>38</v>
      </c>
      <c r="F1635" t="s">
        <v>143</v>
      </c>
      <c r="G1635" t="s">
        <v>10</v>
      </c>
      <c r="H1635" s="72" t="s">
        <v>225</v>
      </c>
      <c r="I1635" s="72" t="s">
        <v>67</v>
      </c>
      <c r="J1635" t="str">
        <f t="shared" si="54"/>
        <v>Dewatto River</v>
      </c>
      <c r="K1635" t="str">
        <f>IFERROR(VLOOKUP(J1635,LUTs!$A$1:$C$73,2,FALSE),"NA")</f>
        <v>Mason</v>
      </c>
      <c r="L1635" t="str">
        <f>IFERROR(VLOOKUP(J1635,LUTs!$A$1:$C$73,3,FALSE),"NA")</f>
        <v>4 Hood Canal</v>
      </c>
      <c r="M1635" s="72" t="s">
        <v>22</v>
      </c>
      <c r="N1635" t="str">
        <f>VLOOKUP(M1635,LUTs!E$2:H$14,3,)</f>
        <v>09Mason</v>
      </c>
      <c r="O1635" t="str">
        <f>VLOOKUP(M1635,LUTs!E$2:H$14,4,)</f>
        <v>02South Puget Sound</v>
      </c>
      <c r="P1635" s="73">
        <v>9.125</v>
      </c>
      <c r="Q1635" s="74">
        <f>VLOOKUP(B1635,Readme!A$40:C$51,2,)*P1635</f>
        <v>78.931250000000006</v>
      </c>
    </row>
    <row r="1636" spans="1:17" ht="12" customHeight="1" x14ac:dyDescent="0.35">
      <c r="A1636" s="75">
        <v>1635</v>
      </c>
      <c r="B1636" s="64">
        <v>2014</v>
      </c>
      <c r="C1636" s="64">
        <v>11</v>
      </c>
      <c r="D1636" s="80">
        <f t="shared" si="53"/>
        <v>2014</v>
      </c>
      <c r="E1636" t="s">
        <v>38</v>
      </c>
      <c r="F1636" t="s">
        <v>143</v>
      </c>
      <c r="G1636" t="s">
        <v>10</v>
      </c>
      <c r="H1636" s="72" t="s">
        <v>200</v>
      </c>
      <c r="I1636" s="72" t="s">
        <v>42</v>
      </c>
      <c r="J1636" t="str">
        <f t="shared" si="54"/>
        <v>Duckabush River</v>
      </c>
      <c r="K1636" t="str">
        <f>IFERROR(VLOOKUP(J1636,LUTs!$A$1:$C$73,2,FALSE),"NA")</f>
        <v>Jefferson</v>
      </c>
      <c r="L1636" t="str">
        <f>IFERROR(VLOOKUP(J1636,LUTs!$A$1:$C$73,3,FALSE),"NA")</f>
        <v>4 Hood Canal</v>
      </c>
      <c r="M1636" s="72" t="s">
        <v>23</v>
      </c>
      <c r="N1636" t="str">
        <f>VLOOKUP(M1636,LUTs!E$2:H$14,3,)</f>
        <v>10Kitsap</v>
      </c>
      <c r="O1636" t="str">
        <f>VLOOKUP(M1636,LUTs!E$2:H$14,4,)</f>
        <v>02South Puget Sound</v>
      </c>
      <c r="P1636" s="73">
        <v>9</v>
      </c>
      <c r="Q1636" s="74">
        <f>VLOOKUP(B1636,Readme!A$40:C$51,2,)*P1636</f>
        <v>77.850000000000009</v>
      </c>
    </row>
    <row r="1637" spans="1:17" ht="12" customHeight="1" x14ac:dyDescent="0.35">
      <c r="A1637" s="75">
        <v>1636</v>
      </c>
      <c r="B1637" s="64">
        <v>2014</v>
      </c>
      <c r="C1637" s="64">
        <v>11</v>
      </c>
      <c r="D1637" s="80">
        <f t="shared" si="53"/>
        <v>2014</v>
      </c>
      <c r="E1637" t="s">
        <v>38</v>
      </c>
      <c r="F1637" t="s">
        <v>143</v>
      </c>
      <c r="G1637" t="s">
        <v>10</v>
      </c>
      <c r="H1637" s="72" t="s">
        <v>200</v>
      </c>
      <c r="I1637" s="72" t="s">
        <v>42</v>
      </c>
      <c r="J1637" t="str">
        <f t="shared" si="54"/>
        <v>Duckabush River</v>
      </c>
      <c r="K1637" t="str">
        <f>IFERROR(VLOOKUP(J1637,LUTs!$A$1:$C$73,2,FALSE),"NA")</f>
        <v>Jefferson</v>
      </c>
      <c r="L1637" t="str">
        <f>IFERROR(VLOOKUP(J1637,LUTs!$A$1:$C$73,3,FALSE),"NA")</f>
        <v>4 Hood Canal</v>
      </c>
      <c r="M1637" s="72" t="s">
        <v>26</v>
      </c>
      <c r="N1637" t="str">
        <f>VLOOKUP(M1637,LUTs!E$2:H$14,3,)</f>
        <v>20Other</v>
      </c>
      <c r="O1637" t="str">
        <f>VLOOKUP(M1637,LUTs!E$2:H$14,4,)</f>
        <v>07Non Puget Sound</v>
      </c>
      <c r="P1637" s="73">
        <v>9</v>
      </c>
      <c r="Q1637" s="74">
        <f>VLOOKUP(B1637,Readme!A$40:C$51,2,)*P1637</f>
        <v>77.850000000000009</v>
      </c>
    </row>
    <row r="1638" spans="1:17" ht="12" customHeight="1" x14ac:dyDescent="0.35">
      <c r="A1638" s="75">
        <v>1637</v>
      </c>
      <c r="B1638" s="64">
        <v>2014</v>
      </c>
      <c r="C1638" s="64">
        <v>10</v>
      </c>
      <c r="D1638" s="80">
        <f t="shared" si="53"/>
        <v>2014</v>
      </c>
      <c r="E1638" t="s">
        <v>38</v>
      </c>
      <c r="F1638" t="s">
        <v>143</v>
      </c>
      <c r="G1638" t="s">
        <v>10</v>
      </c>
      <c r="H1638" s="72" t="s">
        <v>201</v>
      </c>
      <c r="I1638" s="72" t="s">
        <v>43</v>
      </c>
      <c r="J1638" t="str">
        <f t="shared" si="54"/>
        <v>Dungeness River</v>
      </c>
      <c r="K1638" t="str">
        <f>IFERROR(VLOOKUP(J1638,LUTs!$A$1:$C$73,2,FALSE),"NA")</f>
        <v>Clallam</v>
      </c>
      <c r="L1638" t="str">
        <f>IFERROR(VLOOKUP(J1638,LUTs!$A$1:$C$73,3,FALSE),"NA")</f>
        <v>0Strait of Juan de Fuca</v>
      </c>
      <c r="M1638" s="72" t="s">
        <v>24</v>
      </c>
      <c r="N1638" t="str">
        <f>VLOOKUP(M1638,LUTs!E$2:H$14,3,)</f>
        <v>11Clallam</v>
      </c>
      <c r="O1638" t="str">
        <f>VLOOKUP(M1638,LUTs!E$2:H$14,4,)</f>
        <v>03Strait of Juan de Fuca</v>
      </c>
      <c r="P1638" s="73">
        <v>290</v>
      </c>
      <c r="Q1638" s="74">
        <f>VLOOKUP(B1638,Readme!A$40:C$51,2,)*P1638</f>
        <v>2508.5</v>
      </c>
    </row>
    <row r="1639" spans="1:17" ht="12" customHeight="1" x14ac:dyDescent="0.35">
      <c r="A1639" s="75">
        <v>1638</v>
      </c>
      <c r="B1639" s="64">
        <v>2014</v>
      </c>
      <c r="C1639" s="64">
        <v>10</v>
      </c>
      <c r="D1639" s="80">
        <f t="shared" si="53"/>
        <v>2014</v>
      </c>
      <c r="E1639" t="s">
        <v>38</v>
      </c>
      <c r="F1639" t="s">
        <v>143</v>
      </c>
      <c r="G1639" t="s">
        <v>10</v>
      </c>
      <c r="H1639" s="72" t="s">
        <v>201</v>
      </c>
      <c r="I1639" s="72" t="s">
        <v>43</v>
      </c>
      <c r="J1639" t="str">
        <f t="shared" si="54"/>
        <v>Dungeness River</v>
      </c>
      <c r="K1639" t="str">
        <f>IFERROR(VLOOKUP(J1639,LUTs!$A$1:$C$73,2,FALSE),"NA")</f>
        <v>Clallam</v>
      </c>
      <c r="L1639" t="str">
        <f>IFERROR(VLOOKUP(J1639,LUTs!$A$1:$C$73,3,FALSE),"NA")</f>
        <v>0Strait of Juan de Fuca</v>
      </c>
      <c r="M1639" s="72" t="s">
        <v>23</v>
      </c>
      <c r="N1639" t="str">
        <f>VLOOKUP(M1639,LUTs!E$2:H$14,3,)</f>
        <v>10Kitsap</v>
      </c>
      <c r="O1639" t="str">
        <f>VLOOKUP(M1639,LUTs!E$2:H$14,4,)</f>
        <v>02South Puget Sound</v>
      </c>
      <c r="P1639" s="73">
        <v>43.5</v>
      </c>
      <c r="Q1639" s="74">
        <f>VLOOKUP(B1639,Readme!A$40:C$51,2,)*P1639</f>
        <v>376.27500000000003</v>
      </c>
    </row>
    <row r="1640" spans="1:17" ht="12" customHeight="1" x14ac:dyDescent="0.35">
      <c r="A1640" s="75">
        <v>1639</v>
      </c>
      <c r="B1640" s="64">
        <v>2014</v>
      </c>
      <c r="C1640" s="64">
        <v>10</v>
      </c>
      <c r="D1640" s="80">
        <f t="shared" si="53"/>
        <v>2014</v>
      </c>
      <c r="E1640" t="s">
        <v>38</v>
      </c>
      <c r="F1640" t="s">
        <v>143</v>
      </c>
      <c r="G1640" t="s">
        <v>10</v>
      </c>
      <c r="H1640" s="72" t="s">
        <v>201</v>
      </c>
      <c r="I1640" s="72" t="s">
        <v>43</v>
      </c>
      <c r="J1640" t="str">
        <f t="shared" si="54"/>
        <v>Dungeness River</v>
      </c>
      <c r="K1640" t="str">
        <f>IFERROR(VLOOKUP(J1640,LUTs!$A$1:$C$73,2,FALSE),"NA")</f>
        <v>Clallam</v>
      </c>
      <c r="L1640" t="str">
        <f>IFERROR(VLOOKUP(J1640,LUTs!$A$1:$C$73,3,FALSE),"NA")</f>
        <v>0Strait of Juan de Fuca</v>
      </c>
      <c r="M1640" s="72" t="s">
        <v>26</v>
      </c>
      <c r="N1640" t="str">
        <f>VLOOKUP(M1640,LUTs!E$2:H$14,3,)</f>
        <v>20Other</v>
      </c>
      <c r="O1640" t="str">
        <f>VLOOKUP(M1640,LUTs!E$2:H$14,4,)</f>
        <v>07Non Puget Sound</v>
      </c>
      <c r="P1640" s="73">
        <v>14.5</v>
      </c>
      <c r="Q1640" s="74">
        <f>VLOOKUP(B1640,Readme!A$40:C$51,2,)*P1640</f>
        <v>125.42500000000001</v>
      </c>
    </row>
    <row r="1641" spans="1:17" ht="12" customHeight="1" x14ac:dyDescent="0.35">
      <c r="A1641" s="75">
        <v>1640</v>
      </c>
      <c r="B1641" s="64">
        <v>2014</v>
      </c>
      <c r="C1641" s="64">
        <v>11</v>
      </c>
      <c r="D1641" s="80">
        <f t="shared" si="53"/>
        <v>2014</v>
      </c>
      <c r="E1641" t="s">
        <v>38</v>
      </c>
      <c r="F1641" t="s">
        <v>143</v>
      </c>
      <c r="G1641" t="s">
        <v>10</v>
      </c>
      <c r="H1641" s="72" t="s">
        <v>201</v>
      </c>
      <c r="I1641" s="72" t="s">
        <v>43</v>
      </c>
      <c r="J1641" t="str">
        <f t="shared" si="54"/>
        <v>Dungeness River</v>
      </c>
      <c r="K1641" t="str">
        <f>IFERROR(VLOOKUP(J1641,LUTs!$A$1:$C$73,2,FALSE),"NA")</f>
        <v>Clallam</v>
      </c>
      <c r="L1641" t="str">
        <f>IFERROR(VLOOKUP(J1641,LUTs!$A$1:$C$73,3,FALSE),"NA")</f>
        <v>0Strait of Juan de Fuca</v>
      </c>
      <c r="M1641" s="72" t="s">
        <v>24</v>
      </c>
      <c r="N1641" t="str">
        <f>VLOOKUP(M1641,LUTs!E$2:H$14,3,)</f>
        <v>11Clallam</v>
      </c>
      <c r="O1641" t="str">
        <f>VLOOKUP(M1641,LUTs!E$2:H$14,4,)</f>
        <v>03Strait of Juan de Fuca</v>
      </c>
      <c r="P1641" s="73">
        <v>101.5</v>
      </c>
      <c r="Q1641" s="74">
        <f>VLOOKUP(B1641,Readme!A$40:C$51,2,)*P1641</f>
        <v>877.97500000000002</v>
      </c>
    </row>
    <row r="1642" spans="1:17" ht="12" customHeight="1" x14ac:dyDescent="0.35">
      <c r="A1642" s="75">
        <v>1641</v>
      </c>
      <c r="B1642" s="64">
        <v>2014</v>
      </c>
      <c r="C1642" s="64">
        <v>11</v>
      </c>
      <c r="D1642" s="80">
        <f t="shared" si="53"/>
        <v>2014</v>
      </c>
      <c r="E1642" t="s">
        <v>38</v>
      </c>
      <c r="F1642" t="s">
        <v>143</v>
      </c>
      <c r="G1642" t="s">
        <v>10</v>
      </c>
      <c r="H1642" s="72" t="s">
        <v>201</v>
      </c>
      <c r="I1642" s="72" t="s">
        <v>43</v>
      </c>
      <c r="J1642" t="str">
        <f t="shared" si="54"/>
        <v>Dungeness River</v>
      </c>
      <c r="K1642" t="str">
        <f>IFERROR(VLOOKUP(J1642,LUTs!$A$1:$C$73,2,FALSE),"NA")</f>
        <v>Clallam</v>
      </c>
      <c r="L1642" t="str">
        <f>IFERROR(VLOOKUP(J1642,LUTs!$A$1:$C$73,3,FALSE),"NA")</f>
        <v>0Strait of Juan de Fuca</v>
      </c>
      <c r="M1642" s="72" t="s">
        <v>23</v>
      </c>
      <c r="N1642" t="str">
        <f>VLOOKUP(M1642,LUTs!E$2:H$14,3,)</f>
        <v>10Kitsap</v>
      </c>
      <c r="O1642" t="str">
        <f>VLOOKUP(M1642,LUTs!E$2:H$14,4,)</f>
        <v>02South Puget Sound</v>
      </c>
      <c r="P1642" s="73">
        <v>14.5</v>
      </c>
      <c r="Q1642" s="74">
        <f>VLOOKUP(B1642,Readme!A$40:C$51,2,)*P1642</f>
        <v>125.42500000000001</v>
      </c>
    </row>
    <row r="1643" spans="1:17" ht="12" customHeight="1" x14ac:dyDescent="0.35">
      <c r="A1643" s="75">
        <v>1642</v>
      </c>
      <c r="B1643" s="64">
        <v>2014</v>
      </c>
      <c r="C1643" s="64">
        <v>8</v>
      </c>
      <c r="D1643" s="80">
        <f t="shared" si="53"/>
        <v>2014</v>
      </c>
      <c r="E1643" t="s">
        <v>38</v>
      </c>
      <c r="F1643" t="s">
        <v>143</v>
      </c>
      <c r="G1643" t="s">
        <v>10</v>
      </c>
      <c r="H1643" s="72" t="s">
        <v>203</v>
      </c>
      <c r="I1643" s="72" t="s">
        <v>45</v>
      </c>
      <c r="J1643" t="str">
        <f t="shared" si="54"/>
        <v>Green - Duwamish River</v>
      </c>
      <c r="K1643" t="str">
        <f>IFERROR(VLOOKUP(J1643,LUTs!$A$1:$C$73,2,FALSE),"NA")</f>
        <v>King</v>
      </c>
      <c r="L1643" t="str">
        <f>IFERROR(VLOOKUP(J1643,LUTs!$A$1:$C$73,3,FALSE),"NA")</f>
        <v>3South Puget Sound</v>
      </c>
      <c r="M1643" s="72" t="s">
        <v>26</v>
      </c>
      <c r="N1643" t="str">
        <f>VLOOKUP(M1643,LUTs!E$2:H$14,3,)</f>
        <v>20Other</v>
      </c>
      <c r="O1643" t="str">
        <f>VLOOKUP(M1643,LUTs!E$2:H$14,4,)</f>
        <v>07Non Puget Sound</v>
      </c>
      <c r="P1643" s="73">
        <v>7</v>
      </c>
      <c r="Q1643" s="74">
        <f>VLOOKUP(B1643,Readme!A$40:C$51,2,)*P1643</f>
        <v>60.550000000000004</v>
      </c>
    </row>
    <row r="1644" spans="1:17" ht="12" customHeight="1" x14ac:dyDescent="0.35">
      <c r="A1644" s="75">
        <v>1643</v>
      </c>
      <c r="B1644" s="64">
        <v>2014</v>
      </c>
      <c r="C1644" s="64">
        <v>9</v>
      </c>
      <c r="D1644" s="80">
        <f t="shared" si="53"/>
        <v>2014</v>
      </c>
      <c r="E1644" t="s">
        <v>38</v>
      </c>
      <c r="F1644" t="s">
        <v>143</v>
      </c>
      <c r="G1644" t="s">
        <v>10</v>
      </c>
      <c r="H1644" s="72" t="s">
        <v>203</v>
      </c>
      <c r="I1644" s="72" t="s">
        <v>45</v>
      </c>
      <c r="J1644" t="str">
        <f t="shared" si="54"/>
        <v>Green - Duwamish River</v>
      </c>
      <c r="K1644" t="str">
        <f>IFERROR(VLOOKUP(J1644,LUTs!$A$1:$C$73,2,FALSE),"NA")</f>
        <v>King</v>
      </c>
      <c r="L1644" t="str">
        <f>IFERROR(VLOOKUP(J1644,LUTs!$A$1:$C$73,3,FALSE),"NA")</f>
        <v>3South Puget Sound</v>
      </c>
      <c r="M1644" s="72" t="s">
        <v>24</v>
      </c>
      <c r="N1644" t="str">
        <f>VLOOKUP(M1644,LUTs!E$2:H$14,3,)</f>
        <v>11Clallam</v>
      </c>
      <c r="O1644" t="str">
        <f>VLOOKUP(M1644,LUTs!E$2:H$14,4,)</f>
        <v>03Strait of Juan de Fuca</v>
      </c>
      <c r="P1644" s="73">
        <v>7.1229508196721296</v>
      </c>
      <c r="Q1644" s="74">
        <f>VLOOKUP(B1644,Readme!A$40:C$51,2,)*P1644</f>
        <v>61.613524590163927</v>
      </c>
    </row>
    <row r="1645" spans="1:17" ht="12" customHeight="1" x14ac:dyDescent="0.35">
      <c r="A1645" s="75">
        <v>1644</v>
      </c>
      <c r="B1645" s="64">
        <v>2014</v>
      </c>
      <c r="C1645" s="64">
        <v>9</v>
      </c>
      <c r="D1645" s="80">
        <f t="shared" si="53"/>
        <v>2014</v>
      </c>
      <c r="E1645" t="s">
        <v>38</v>
      </c>
      <c r="F1645" t="s">
        <v>143</v>
      </c>
      <c r="G1645" t="s">
        <v>10</v>
      </c>
      <c r="H1645" s="72" t="s">
        <v>203</v>
      </c>
      <c r="I1645" s="72" t="s">
        <v>45</v>
      </c>
      <c r="J1645" t="str">
        <f t="shared" si="54"/>
        <v>Green - Duwamish River</v>
      </c>
      <c r="K1645" t="str">
        <f>IFERROR(VLOOKUP(J1645,LUTs!$A$1:$C$73,2,FALSE),"NA")</f>
        <v>King</v>
      </c>
      <c r="L1645" t="str">
        <f>IFERROR(VLOOKUP(J1645,LUTs!$A$1:$C$73,3,FALSE),"NA")</f>
        <v>3South Puget Sound</v>
      </c>
      <c r="M1645" s="72" t="s">
        <v>18</v>
      </c>
      <c r="N1645" t="str">
        <f>VLOOKUP(M1645,LUTs!E$2:H$14,3,)</f>
        <v>06King</v>
      </c>
      <c r="O1645" t="str">
        <f>VLOOKUP(M1645,LUTs!E$2:H$14,4,)</f>
        <v>02South Puget Sound</v>
      </c>
      <c r="P1645" s="73">
        <v>1481.5737704917999</v>
      </c>
      <c r="Q1645" s="74">
        <f>VLOOKUP(B1645,Readme!A$40:C$51,2,)*P1645</f>
        <v>12815.613114754069</v>
      </c>
    </row>
    <row r="1646" spans="1:17" ht="12" customHeight="1" x14ac:dyDescent="0.35">
      <c r="A1646" s="75">
        <v>1645</v>
      </c>
      <c r="B1646" s="64">
        <v>2014</v>
      </c>
      <c r="C1646" s="64">
        <v>9</v>
      </c>
      <c r="D1646" s="80">
        <f t="shared" si="53"/>
        <v>2014</v>
      </c>
      <c r="E1646" t="s">
        <v>38</v>
      </c>
      <c r="F1646" t="s">
        <v>143</v>
      </c>
      <c r="G1646" t="s">
        <v>10</v>
      </c>
      <c r="H1646" s="72" t="s">
        <v>203</v>
      </c>
      <c r="I1646" s="72" t="s">
        <v>45</v>
      </c>
      <c r="J1646" t="str">
        <f t="shared" si="54"/>
        <v>Green - Duwamish River</v>
      </c>
      <c r="K1646" t="str">
        <f>IFERROR(VLOOKUP(J1646,LUTs!$A$1:$C$73,2,FALSE),"NA")</f>
        <v>King</v>
      </c>
      <c r="L1646" t="str">
        <f>IFERROR(VLOOKUP(J1646,LUTs!$A$1:$C$73,3,FALSE),"NA")</f>
        <v>3South Puget Sound</v>
      </c>
      <c r="M1646" s="72" t="s">
        <v>26</v>
      </c>
      <c r="N1646" t="str">
        <f>VLOOKUP(M1646,LUTs!E$2:H$14,3,)</f>
        <v>20Other</v>
      </c>
      <c r="O1646" t="str">
        <f>VLOOKUP(M1646,LUTs!E$2:H$14,4,)</f>
        <v>07Non Puget Sound</v>
      </c>
      <c r="P1646" s="73">
        <v>14.2459016393443</v>
      </c>
      <c r="Q1646" s="74">
        <f>VLOOKUP(B1646,Readme!A$40:C$51,2,)*P1646</f>
        <v>123.22704918032819</v>
      </c>
    </row>
    <row r="1647" spans="1:17" ht="12" customHeight="1" x14ac:dyDescent="0.35">
      <c r="A1647" s="75">
        <v>1646</v>
      </c>
      <c r="B1647" s="64">
        <v>2014</v>
      </c>
      <c r="C1647" s="64">
        <v>9</v>
      </c>
      <c r="D1647" s="80">
        <f t="shared" si="53"/>
        <v>2014</v>
      </c>
      <c r="E1647" t="s">
        <v>38</v>
      </c>
      <c r="F1647" t="s">
        <v>143</v>
      </c>
      <c r="G1647" t="s">
        <v>10</v>
      </c>
      <c r="H1647" s="72" t="s">
        <v>203</v>
      </c>
      <c r="I1647" s="72" t="s">
        <v>45</v>
      </c>
      <c r="J1647" t="str">
        <f t="shared" si="54"/>
        <v>Green - Duwamish River</v>
      </c>
      <c r="K1647" t="str">
        <f>IFERROR(VLOOKUP(J1647,LUTs!$A$1:$C$73,2,FALSE),"NA")</f>
        <v>King</v>
      </c>
      <c r="L1647" t="str">
        <f>IFERROR(VLOOKUP(J1647,LUTs!$A$1:$C$73,3,FALSE),"NA")</f>
        <v>3South Puget Sound</v>
      </c>
      <c r="M1647" s="72" t="s">
        <v>20</v>
      </c>
      <c r="N1647" t="str">
        <f>VLOOKUP(M1647,LUTs!E$2:H$14,3,)</f>
        <v>07Pierce</v>
      </c>
      <c r="O1647" t="str">
        <f>VLOOKUP(M1647,LUTs!E$2:H$14,4,)</f>
        <v>02South Puget Sound</v>
      </c>
      <c r="P1647" s="73">
        <v>149.58196721311501</v>
      </c>
      <c r="Q1647" s="74">
        <f>VLOOKUP(B1647,Readme!A$40:C$51,2,)*P1647</f>
        <v>1293.8840163934449</v>
      </c>
    </row>
    <row r="1648" spans="1:17" ht="12" customHeight="1" x14ac:dyDescent="0.35">
      <c r="A1648" s="75">
        <v>1647</v>
      </c>
      <c r="B1648" s="64">
        <v>2014</v>
      </c>
      <c r="C1648" s="64">
        <v>9</v>
      </c>
      <c r="D1648" s="80">
        <f t="shared" si="53"/>
        <v>2014</v>
      </c>
      <c r="E1648" t="s">
        <v>38</v>
      </c>
      <c r="F1648" t="s">
        <v>143</v>
      </c>
      <c r="G1648" t="s">
        <v>10</v>
      </c>
      <c r="H1648" s="72" t="s">
        <v>203</v>
      </c>
      <c r="I1648" s="72" t="s">
        <v>45</v>
      </c>
      <c r="J1648" t="str">
        <f t="shared" si="54"/>
        <v>Green - Duwamish River</v>
      </c>
      <c r="K1648" t="str">
        <f>IFERROR(VLOOKUP(J1648,LUTs!$A$1:$C$73,2,FALSE),"NA")</f>
        <v>King</v>
      </c>
      <c r="L1648" t="str">
        <f>IFERROR(VLOOKUP(J1648,LUTs!$A$1:$C$73,3,FALSE),"NA")</f>
        <v>3South Puget Sound</v>
      </c>
      <c r="M1648" s="72" t="s">
        <v>15</v>
      </c>
      <c r="N1648" t="str">
        <f>VLOOKUP(M1648,LUTs!E$2:H$14,3,)</f>
        <v>02Skagit</v>
      </c>
      <c r="O1648" t="str">
        <f>VLOOKUP(M1648,LUTs!E$2:H$14,4,)</f>
        <v>01North Puget Sound</v>
      </c>
      <c r="P1648" s="73">
        <v>21.368852459016399</v>
      </c>
      <c r="Q1648" s="74">
        <f>VLOOKUP(B1648,Readme!A$40:C$51,2,)*P1648</f>
        <v>184.84057377049186</v>
      </c>
    </row>
    <row r="1649" spans="1:17" ht="12" customHeight="1" x14ac:dyDescent="0.35">
      <c r="A1649" s="75">
        <v>1648</v>
      </c>
      <c r="B1649" s="64">
        <v>2014</v>
      </c>
      <c r="C1649" s="64">
        <v>9</v>
      </c>
      <c r="D1649" s="80">
        <f t="shared" si="53"/>
        <v>2014</v>
      </c>
      <c r="E1649" t="s">
        <v>38</v>
      </c>
      <c r="F1649" t="s">
        <v>143</v>
      </c>
      <c r="G1649" t="s">
        <v>10</v>
      </c>
      <c r="H1649" s="72" t="s">
        <v>203</v>
      </c>
      <c r="I1649" s="72" t="s">
        <v>45</v>
      </c>
      <c r="J1649" t="str">
        <f t="shared" si="54"/>
        <v>Green - Duwamish River</v>
      </c>
      <c r="K1649" t="str">
        <f>IFERROR(VLOOKUP(J1649,LUTs!$A$1:$C$73,2,FALSE),"NA")</f>
        <v>King</v>
      </c>
      <c r="L1649" t="str">
        <f>IFERROR(VLOOKUP(J1649,LUTs!$A$1:$C$73,3,FALSE),"NA")</f>
        <v>3South Puget Sound</v>
      </c>
      <c r="M1649" s="72" t="s">
        <v>16</v>
      </c>
      <c r="N1649" t="str">
        <f>VLOOKUP(M1649,LUTs!E$2:H$14,3,)</f>
        <v>03Snohomish</v>
      </c>
      <c r="O1649" t="str">
        <f>VLOOKUP(M1649,LUTs!E$2:H$14,4,)</f>
        <v>01North Puget Sound</v>
      </c>
      <c r="P1649" s="73">
        <v>56.983606557377101</v>
      </c>
      <c r="Q1649" s="74">
        <f>VLOOKUP(B1649,Readme!A$40:C$51,2,)*P1649</f>
        <v>492.90819672131192</v>
      </c>
    </row>
    <row r="1650" spans="1:17" ht="12" customHeight="1" x14ac:dyDescent="0.35">
      <c r="A1650" s="75">
        <v>1649</v>
      </c>
      <c r="B1650" s="64">
        <v>2014</v>
      </c>
      <c r="C1650" s="64">
        <v>9</v>
      </c>
      <c r="D1650" s="80">
        <f t="shared" si="53"/>
        <v>2014</v>
      </c>
      <c r="E1650" t="s">
        <v>38</v>
      </c>
      <c r="F1650" t="s">
        <v>143</v>
      </c>
      <c r="G1650" t="s">
        <v>10</v>
      </c>
      <c r="H1650" s="72" t="s">
        <v>203</v>
      </c>
      <c r="I1650" s="72" t="s">
        <v>45</v>
      </c>
      <c r="J1650" t="str">
        <f t="shared" si="54"/>
        <v>Green - Duwamish River</v>
      </c>
      <c r="K1650" t="str">
        <f>IFERROR(VLOOKUP(J1650,LUTs!$A$1:$C$73,2,FALSE),"NA")</f>
        <v>King</v>
      </c>
      <c r="L1650" t="str">
        <f>IFERROR(VLOOKUP(J1650,LUTs!$A$1:$C$73,3,FALSE),"NA")</f>
        <v>3South Puget Sound</v>
      </c>
      <c r="M1650" s="72" t="s">
        <v>21</v>
      </c>
      <c r="N1650" t="str">
        <f>VLOOKUP(M1650,LUTs!E$2:H$14,3,)</f>
        <v>08Thurston</v>
      </c>
      <c r="O1650" t="str">
        <f>VLOOKUP(M1650,LUTs!E$2:H$14,4,)</f>
        <v>02South Puget Sound</v>
      </c>
      <c r="P1650" s="73">
        <v>7.1229508196721296</v>
      </c>
      <c r="Q1650" s="74">
        <f>VLOOKUP(B1650,Readme!A$40:C$51,2,)*P1650</f>
        <v>61.613524590163927</v>
      </c>
    </row>
    <row r="1651" spans="1:17" ht="12" customHeight="1" x14ac:dyDescent="0.35">
      <c r="A1651" s="75">
        <v>1650</v>
      </c>
      <c r="B1651" s="64">
        <v>2014</v>
      </c>
      <c r="C1651" s="64">
        <v>10</v>
      </c>
      <c r="D1651" s="80">
        <f t="shared" si="53"/>
        <v>2014</v>
      </c>
      <c r="E1651" t="s">
        <v>38</v>
      </c>
      <c r="F1651" t="s">
        <v>143</v>
      </c>
      <c r="G1651" t="s">
        <v>10</v>
      </c>
      <c r="H1651" s="72" t="s">
        <v>203</v>
      </c>
      <c r="I1651" s="72" t="s">
        <v>45</v>
      </c>
      <c r="J1651" t="str">
        <f t="shared" si="54"/>
        <v>Green - Duwamish River</v>
      </c>
      <c r="K1651" t="str">
        <f>IFERROR(VLOOKUP(J1651,LUTs!$A$1:$C$73,2,FALSE),"NA")</f>
        <v>King</v>
      </c>
      <c r="L1651" t="str">
        <f>IFERROR(VLOOKUP(J1651,LUTs!$A$1:$C$73,3,FALSE),"NA")</f>
        <v>3South Puget Sound</v>
      </c>
      <c r="M1651" s="72" t="s">
        <v>18</v>
      </c>
      <c r="N1651" t="str">
        <f>VLOOKUP(M1651,LUTs!E$2:H$14,3,)</f>
        <v>06King</v>
      </c>
      <c r="O1651" t="str">
        <f>VLOOKUP(M1651,LUTs!E$2:H$14,4,)</f>
        <v>02South Puget Sound</v>
      </c>
      <c r="P1651" s="73">
        <v>653.73076923076906</v>
      </c>
      <c r="Q1651" s="74">
        <f>VLOOKUP(B1651,Readme!A$40:C$51,2,)*P1651</f>
        <v>5654.7711538461526</v>
      </c>
    </row>
    <row r="1652" spans="1:17" ht="12" customHeight="1" x14ac:dyDescent="0.35">
      <c r="A1652" s="75">
        <v>1651</v>
      </c>
      <c r="B1652" s="64">
        <v>2014</v>
      </c>
      <c r="C1652" s="64">
        <v>10</v>
      </c>
      <c r="D1652" s="80">
        <f t="shared" si="53"/>
        <v>2014</v>
      </c>
      <c r="E1652" t="s">
        <v>38</v>
      </c>
      <c r="F1652" t="s">
        <v>143</v>
      </c>
      <c r="G1652" t="s">
        <v>10</v>
      </c>
      <c r="H1652" s="72" t="s">
        <v>203</v>
      </c>
      <c r="I1652" s="72" t="s">
        <v>45</v>
      </c>
      <c r="J1652" t="str">
        <f t="shared" si="54"/>
        <v>Green - Duwamish River</v>
      </c>
      <c r="K1652" t="str">
        <f>IFERROR(VLOOKUP(J1652,LUTs!$A$1:$C$73,2,FALSE),"NA")</f>
        <v>King</v>
      </c>
      <c r="L1652" t="str">
        <f>IFERROR(VLOOKUP(J1652,LUTs!$A$1:$C$73,3,FALSE),"NA")</f>
        <v>3South Puget Sound</v>
      </c>
      <c r="M1652" s="72" t="s">
        <v>20</v>
      </c>
      <c r="N1652" t="str">
        <f>VLOOKUP(M1652,LUTs!E$2:H$14,3,)</f>
        <v>07Pierce</v>
      </c>
      <c r="O1652" t="str">
        <f>VLOOKUP(M1652,LUTs!E$2:H$14,4,)</f>
        <v>02South Puget Sound</v>
      </c>
      <c r="P1652" s="73">
        <v>42.634615384615401</v>
      </c>
      <c r="Q1652" s="74">
        <f>VLOOKUP(B1652,Readme!A$40:C$51,2,)*P1652</f>
        <v>368.78942307692324</v>
      </c>
    </row>
    <row r="1653" spans="1:17" ht="12" customHeight="1" x14ac:dyDescent="0.35">
      <c r="A1653" s="75">
        <v>1652</v>
      </c>
      <c r="B1653" s="64">
        <v>2014</v>
      </c>
      <c r="C1653" s="64">
        <v>10</v>
      </c>
      <c r="D1653" s="80">
        <f t="shared" si="53"/>
        <v>2014</v>
      </c>
      <c r="E1653" t="s">
        <v>38</v>
      </c>
      <c r="F1653" t="s">
        <v>143</v>
      </c>
      <c r="G1653" t="s">
        <v>10</v>
      </c>
      <c r="H1653" s="72" t="s">
        <v>203</v>
      </c>
      <c r="I1653" s="72" t="s">
        <v>45</v>
      </c>
      <c r="J1653" t="str">
        <f t="shared" si="54"/>
        <v>Green - Duwamish River</v>
      </c>
      <c r="K1653" t="str">
        <f>IFERROR(VLOOKUP(J1653,LUTs!$A$1:$C$73,2,FALSE),"NA")</f>
        <v>King</v>
      </c>
      <c r="L1653" t="str">
        <f>IFERROR(VLOOKUP(J1653,LUTs!$A$1:$C$73,3,FALSE),"NA")</f>
        <v>3South Puget Sound</v>
      </c>
      <c r="M1653" s="72" t="s">
        <v>16</v>
      </c>
      <c r="N1653" t="str">
        <f>VLOOKUP(M1653,LUTs!E$2:H$14,3,)</f>
        <v>03Snohomish</v>
      </c>
      <c r="O1653" t="str">
        <f>VLOOKUP(M1653,LUTs!E$2:H$14,4,)</f>
        <v>01North Puget Sound</v>
      </c>
      <c r="P1653" s="73">
        <v>42.634615384615401</v>
      </c>
      <c r="Q1653" s="74">
        <f>VLOOKUP(B1653,Readme!A$40:C$51,2,)*P1653</f>
        <v>368.78942307692324</v>
      </c>
    </row>
    <row r="1654" spans="1:17" ht="12" customHeight="1" x14ac:dyDescent="0.35">
      <c r="A1654" s="75">
        <v>1653</v>
      </c>
      <c r="B1654" s="64">
        <v>2014</v>
      </c>
      <c r="C1654" s="64">
        <v>11</v>
      </c>
      <c r="D1654" s="80">
        <f t="shared" si="53"/>
        <v>2014</v>
      </c>
      <c r="E1654" t="s">
        <v>38</v>
      </c>
      <c r="F1654" t="s">
        <v>143</v>
      </c>
      <c r="G1654" t="s">
        <v>10</v>
      </c>
      <c r="H1654" s="72" t="s">
        <v>203</v>
      </c>
      <c r="I1654" s="72" t="s">
        <v>45</v>
      </c>
      <c r="J1654" t="str">
        <f t="shared" si="54"/>
        <v>Green - Duwamish River</v>
      </c>
      <c r="K1654" t="str">
        <f>IFERROR(VLOOKUP(J1654,LUTs!$A$1:$C$73,2,FALSE),"NA")</f>
        <v>King</v>
      </c>
      <c r="L1654" t="str">
        <f>IFERROR(VLOOKUP(J1654,LUTs!$A$1:$C$73,3,FALSE),"NA")</f>
        <v>3South Puget Sound</v>
      </c>
      <c r="M1654" s="72" t="s">
        <v>18</v>
      </c>
      <c r="N1654" t="str">
        <f>VLOOKUP(M1654,LUTs!E$2:H$14,3,)</f>
        <v>06King</v>
      </c>
      <c r="O1654" t="str">
        <f>VLOOKUP(M1654,LUTs!E$2:H$14,4,)</f>
        <v>02South Puget Sound</v>
      </c>
      <c r="P1654" s="73">
        <v>542.10483870967801</v>
      </c>
      <c r="Q1654" s="74">
        <f>VLOOKUP(B1654,Readme!A$40:C$51,2,)*P1654</f>
        <v>4689.2068548387151</v>
      </c>
    </row>
    <row r="1655" spans="1:17" ht="12" customHeight="1" x14ac:dyDescent="0.35">
      <c r="A1655" s="75">
        <v>1654</v>
      </c>
      <c r="B1655" s="64">
        <v>2014</v>
      </c>
      <c r="C1655" s="64">
        <v>11</v>
      </c>
      <c r="D1655" s="80">
        <f t="shared" si="53"/>
        <v>2014</v>
      </c>
      <c r="E1655" t="s">
        <v>38</v>
      </c>
      <c r="F1655" t="s">
        <v>143</v>
      </c>
      <c r="G1655" t="s">
        <v>10</v>
      </c>
      <c r="H1655" s="72" t="s">
        <v>203</v>
      </c>
      <c r="I1655" s="72" t="s">
        <v>45</v>
      </c>
      <c r="J1655" t="str">
        <f t="shared" si="54"/>
        <v>Green - Duwamish River</v>
      </c>
      <c r="K1655" t="str">
        <f>IFERROR(VLOOKUP(J1655,LUTs!$A$1:$C$73,2,FALSE),"NA")</f>
        <v>King</v>
      </c>
      <c r="L1655" t="str">
        <f>IFERROR(VLOOKUP(J1655,LUTs!$A$1:$C$73,3,FALSE),"NA")</f>
        <v>3South Puget Sound</v>
      </c>
      <c r="M1655" s="72" t="s">
        <v>26</v>
      </c>
      <c r="N1655" t="str">
        <f>VLOOKUP(M1655,LUTs!E$2:H$14,3,)</f>
        <v>20Other</v>
      </c>
      <c r="O1655" t="str">
        <f>VLOOKUP(M1655,LUTs!E$2:H$14,4,)</f>
        <v>07Non Puget Sound</v>
      </c>
      <c r="P1655" s="73">
        <v>77.443548387096797</v>
      </c>
      <c r="Q1655" s="74">
        <f>VLOOKUP(B1655,Readme!A$40:C$51,2,)*P1655</f>
        <v>669.88669354838737</v>
      </c>
    </row>
    <row r="1656" spans="1:17" ht="12" customHeight="1" x14ac:dyDescent="0.35">
      <c r="A1656" s="75">
        <v>1655</v>
      </c>
      <c r="B1656" s="64">
        <v>2014</v>
      </c>
      <c r="C1656" s="64">
        <v>11</v>
      </c>
      <c r="D1656" s="80">
        <f t="shared" si="53"/>
        <v>2014</v>
      </c>
      <c r="E1656" t="s">
        <v>38</v>
      </c>
      <c r="F1656" t="s">
        <v>143</v>
      </c>
      <c r="G1656" t="s">
        <v>10</v>
      </c>
      <c r="H1656" s="72" t="s">
        <v>203</v>
      </c>
      <c r="I1656" s="72" t="s">
        <v>45</v>
      </c>
      <c r="J1656" t="str">
        <f t="shared" si="54"/>
        <v>Green - Duwamish River</v>
      </c>
      <c r="K1656" t="str">
        <f>IFERROR(VLOOKUP(J1656,LUTs!$A$1:$C$73,2,FALSE),"NA")</f>
        <v>King</v>
      </c>
      <c r="L1656" t="str">
        <f>IFERROR(VLOOKUP(J1656,LUTs!$A$1:$C$73,3,FALSE),"NA")</f>
        <v>3South Puget Sound</v>
      </c>
      <c r="M1656" s="72" t="s">
        <v>20</v>
      </c>
      <c r="N1656" t="str">
        <f>VLOOKUP(M1656,LUTs!E$2:H$14,3,)</f>
        <v>07Pierce</v>
      </c>
      <c r="O1656" t="str">
        <f>VLOOKUP(M1656,LUTs!E$2:H$14,4,)</f>
        <v>02South Puget Sound</v>
      </c>
      <c r="P1656" s="73">
        <v>126.725806451613</v>
      </c>
      <c r="Q1656" s="74">
        <f>VLOOKUP(B1656,Readme!A$40:C$51,2,)*P1656</f>
        <v>1096.1782258064525</v>
      </c>
    </row>
    <row r="1657" spans="1:17" ht="12" customHeight="1" x14ac:dyDescent="0.35">
      <c r="A1657" s="75">
        <v>1656</v>
      </c>
      <c r="B1657" s="64">
        <v>2014</v>
      </c>
      <c r="C1657" s="64">
        <v>11</v>
      </c>
      <c r="D1657" s="80">
        <f t="shared" si="53"/>
        <v>2014</v>
      </c>
      <c r="E1657" t="s">
        <v>38</v>
      </c>
      <c r="F1657" t="s">
        <v>143</v>
      </c>
      <c r="G1657" t="s">
        <v>10</v>
      </c>
      <c r="H1657" s="72" t="s">
        <v>203</v>
      </c>
      <c r="I1657" s="72" t="s">
        <v>45</v>
      </c>
      <c r="J1657" t="str">
        <f t="shared" si="54"/>
        <v>Green - Duwamish River</v>
      </c>
      <c r="K1657" t="str">
        <f>IFERROR(VLOOKUP(J1657,LUTs!$A$1:$C$73,2,FALSE),"NA")</f>
        <v>King</v>
      </c>
      <c r="L1657" t="str">
        <f>IFERROR(VLOOKUP(J1657,LUTs!$A$1:$C$73,3,FALSE),"NA")</f>
        <v>3South Puget Sound</v>
      </c>
      <c r="M1657" s="72" t="s">
        <v>16</v>
      </c>
      <c r="N1657" t="str">
        <f>VLOOKUP(M1657,LUTs!E$2:H$14,3,)</f>
        <v>03Snohomish</v>
      </c>
      <c r="O1657" t="str">
        <f>VLOOKUP(M1657,LUTs!E$2:H$14,4,)</f>
        <v>01North Puget Sound</v>
      </c>
      <c r="P1657" s="73">
        <v>126.725806451613</v>
      </c>
      <c r="Q1657" s="74">
        <f>VLOOKUP(B1657,Readme!A$40:C$51,2,)*P1657</f>
        <v>1096.1782258064525</v>
      </c>
    </row>
    <row r="1658" spans="1:17" ht="12" customHeight="1" x14ac:dyDescent="0.35">
      <c r="A1658" s="75">
        <v>1657</v>
      </c>
      <c r="B1658" s="64">
        <v>2014</v>
      </c>
      <c r="C1658" s="64">
        <v>12</v>
      </c>
      <c r="D1658" s="80">
        <f t="shared" si="53"/>
        <v>2014</v>
      </c>
      <c r="E1658" t="s">
        <v>38</v>
      </c>
      <c r="F1658" t="s">
        <v>143</v>
      </c>
      <c r="G1658" t="s">
        <v>10</v>
      </c>
      <c r="H1658" s="72" t="s">
        <v>203</v>
      </c>
      <c r="I1658" s="72" t="s">
        <v>45</v>
      </c>
      <c r="J1658" t="str">
        <f t="shared" si="54"/>
        <v>Green - Duwamish River</v>
      </c>
      <c r="K1658" t="str">
        <f>IFERROR(VLOOKUP(J1658,LUTs!$A$1:$C$73,2,FALSE),"NA")</f>
        <v>King</v>
      </c>
      <c r="L1658" t="str">
        <f>IFERROR(VLOOKUP(J1658,LUTs!$A$1:$C$73,3,FALSE),"NA")</f>
        <v>3South Puget Sound</v>
      </c>
      <c r="M1658" s="72" t="s">
        <v>18</v>
      </c>
      <c r="N1658" t="str">
        <f>VLOOKUP(M1658,LUTs!E$2:H$14,3,)</f>
        <v>06King</v>
      </c>
      <c r="O1658" t="str">
        <f>VLOOKUP(M1658,LUTs!E$2:H$14,4,)</f>
        <v>02South Puget Sound</v>
      </c>
      <c r="P1658" s="73">
        <v>14</v>
      </c>
      <c r="Q1658" s="74">
        <f>VLOOKUP(B1658,Readme!A$40:C$51,2,)*P1658</f>
        <v>121.10000000000001</v>
      </c>
    </row>
    <row r="1659" spans="1:17" ht="12" customHeight="1" x14ac:dyDescent="0.35">
      <c r="A1659" s="75">
        <v>1658</v>
      </c>
      <c r="B1659" s="64">
        <v>2014</v>
      </c>
      <c r="C1659" s="64">
        <v>12</v>
      </c>
      <c r="D1659" s="80">
        <f t="shared" si="53"/>
        <v>2014</v>
      </c>
      <c r="E1659" t="s">
        <v>38</v>
      </c>
      <c r="F1659" t="s">
        <v>143</v>
      </c>
      <c r="G1659" t="s">
        <v>10</v>
      </c>
      <c r="H1659" s="72" t="s">
        <v>203</v>
      </c>
      <c r="I1659" s="72" t="s">
        <v>45</v>
      </c>
      <c r="J1659" t="str">
        <f t="shared" si="54"/>
        <v>Green - Duwamish River</v>
      </c>
      <c r="K1659" t="str">
        <f>IFERROR(VLOOKUP(J1659,LUTs!$A$1:$C$73,2,FALSE),"NA")</f>
        <v>King</v>
      </c>
      <c r="L1659" t="str">
        <f>IFERROR(VLOOKUP(J1659,LUTs!$A$1:$C$73,3,FALSE),"NA")</f>
        <v>3South Puget Sound</v>
      </c>
      <c r="M1659" s="72" t="s">
        <v>20</v>
      </c>
      <c r="N1659" t="str">
        <f>VLOOKUP(M1659,LUTs!E$2:H$14,3,)</f>
        <v>07Pierce</v>
      </c>
      <c r="O1659" t="str">
        <f>VLOOKUP(M1659,LUTs!E$2:H$14,4,)</f>
        <v>02South Puget Sound</v>
      </c>
      <c r="P1659" s="73">
        <v>63</v>
      </c>
      <c r="Q1659" s="74">
        <f>VLOOKUP(B1659,Readme!A$40:C$51,2,)*P1659</f>
        <v>544.95000000000005</v>
      </c>
    </row>
    <row r="1660" spans="1:17" ht="12" customHeight="1" x14ac:dyDescent="0.35">
      <c r="A1660" s="75">
        <v>1659</v>
      </c>
      <c r="B1660" s="64">
        <v>2014</v>
      </c>
      <c r="C1660" s="64">
        <v>12</v>
      </c>
      <c r="D1660" s="80">
        <f t="shared" si="53"/>
        <v>2014</v>
      </c>
      <c r="E1660" t="s">
        <v>38</v>
      </c>
      <c r="F1660" t="s">
        <v>143</v>
      </c>
      <c r="G1660" t="s">
        <v>10</v>
      </c>
      <c r="H1660" s="72" t="s">
        <v>203</v>
      </c>
      <c r="I1660" s="72" t="s">
        <v>45</v>
      </c>
      <c r="J1660" t="str">
        <f t="shared" si="54"/>
        <v>Green - Duwamish River</v>
      </c>
      <c r="K1660" t="str">
        <f>IFERROR(VLOOKUP(J1660,LUTs!$A$1:$C$73,2,FALSE),"NA")</f>
        <v>King</v>
      </c>
      <c r="L1660" t="str">
        <f>IFERROR(VLOOKUP(J1660,LUTs!$A$1:$C$73,3,FALSE),"NA")</f>
        <v>3South Puget Sound</v>
      </c>
      <c r="M1660" s="72" t="s">
        <v>16</v>
      </c>
      <c r="N1660" t="str">
        <f>VLOOKUP(M1660,LUTs!E$2:H$14,3,)</f>
        <v>03Snohomish</v>
      </c>
      <c r="O1660" t="str">
        <f>VLOOKUP(M1660,LUTs!E$2:H$14,4,)</f>
        <v>01North Puget Sound</v>
      </c>
      <c r="P1660" s="73">
        <v>140</v>
      </c>
      <c r="Q1660" s="74">
        <f>VLOOKUP(B1660,Readme!A$40:C$51,2,)*P1660</f>
        <v>1211</v>
      </c>
    </row>
    <row r="1661" spans="1:17" ht="12" customHeight="1" x14ac:dyDescent="0.35">
      <c r="A1661" s="75">
        <v>1660</v>
      </c>
      <c r="B1661" s="64">
        <v>2014</v>
      </c>
      <c r="C1661" s="64">
        <v>9</v>
      </c>
      <c r="D1661" s="80">
        <f t="shared" si="53"/>
        <v>2014</v>
      </c>
      <c r="E1661" t="s">
        <v>38</v>
      </c>
      <c r="F1661" t="s">
        <v>143</v>
      </c>
      <c r="G1661" t="s">
        <v>10</v>
      </c>
      <c r="H1661" s="72" t="s">
        <v>205</v>
      </c>
      <c r="I1661" s="72" t="s">
        <v>47</v>
      </c>
      <c r="J1661" t="str">
        <f t="shared" si="54"/>
        <v>Kennedy Creek</v>
      </c>
      <c r="K1661" t="str">
        <f>IFERROR(VLOOKUP(J1661,LUTs!$A$1:$C$73,2,FALSE),"NA")</f>
        <v>Mason/Thurston</v>
      </c>
      <c r="L1661" t="str">
        <f>IFERROR(VLOOKUP(J1661,LUTs!$A$1:$C$73,3,FALSE),"NA")</f>
        <v>3South Puget Sound</v>
      </c>
      <c r="M1661" s="72" t="s">
        <v>21</v>
      </c>
      <c r="N1661" t="str">
        <f>VLOOKUP(M1661,LUTs!E$2:H$14,3,)</f>
        <v>08Thurston</v>
      </c>
      <c r="O1661" t="str">
        <f>VLOOKUP(M1661,LUTs!E$2:H$14,4,)</f>
        <v>02South Puget Sound</v>
      </c>
      <c r="P1661" s="73">
        <v>7</v>
      </c>
      <c r="Q1661" s="74">
        <f>VLOOKUP(B1661,Readme!A$40:C$51,2,)*P1661</f>
        <v>60.550000000000004</v>
      </c>
    </row>
    <row r="1662" spans="1:17" ht="12" customHeight="1" x14ac:dyDescent="0.35">
      <c r="A1662" s="75">
        <v>1661</v>
      </c>
      <c r="B1662" s="64">
        <v>2014</v>
      </c>
      <c r="C1662" s="64">
        <v>10</v>
      </c>
      <c r="D1662" s="80">
        <f t="shared" si="53"/>
        <v>2014</v>
      </c>
      <c r="E1662" t="s">
        <v>38</v>
      </c>
      <c r="F1662" t="s">
        <v>143</v>
      </c>
      <c r="G1662" t="s">
        <v>10</v>
      </c>
      <c r="H1662" s="72" t="s">
        <v>205</v>
      </c>
      <c r="I1662" s="72" t="s">
        <v>47</v>
      </c>
      <c r="J1662" t="str">
        <f t="shared" si="54"/>
        <v>Kennedy Creek</v>
      </c>
      <c r="K1662" t="str">
        <f>IFERROR(VLOOKUP(J1662,LUTs!$A$1:$C$73,2,FALSE),"NA")</f>
        <v>Mason/Thurston</v>
      </c>
      <c r="L1662" t="str">
        <f>IFERROR(VLOOKUP(J1662,LUTs!$A$1:$C$73,3,FALSE),"NA")</f>
        <v>3South Puget Sound</v>
      </c>
      <c r="M1662" s="72" t="s">
        <v>18</v>
      </c>
      <c r="N1662" t="str">
        <f>VLOOKUP(M1662,LUTs!E$2:H$14,3,)</f>
        <v>06King</v>
      </c>
      <c r="O1662" t="str">
        <f>VLOOKUP(M1662,LUTs!E$2:H$14,4,)</f>
        <v>02South Puget Sound</v>
      </c>
      <c r="P1662" s="73">
        <v>44.2222222222222</v>
      </c>
      <c r="Q1662" s="74">
        <f>VLOOKUP(B1662,Readme!A$40:C$51,2,)*P1662</f>
        <v>382.52222222222207</v>
      </c>
    </row>
    <row r="1663" spans="1:17" ht="12" customHeight="1" x14ac:dyDescent="0.35">
      <c r="A1663" s="75">
        <v>1662</v>
      </c>
      <c r="B1663" s="64">
        <v>2014</v>
      </c>
      <c r="C1663" s="64">
        <v>10</v>
      </c>
      <c r="D1663" s="80">
        <f t="shared" si="53"/>
        <v>2014</v>
      </c>
      <c r="E1663" t="s">
        <v>38</v>
      </c>
      <c r="F1663" t="s">
        <v>143</v>
      </c>
      <c r="G1663" t="s">
        <v>10</v>
      </c>
      <c r="H1663" s="72" t="s">
        <v>205</v>
      </c>
      <c r="I1663" s="72" t="s">
        <v>47</v>
      </c>
      <c r="J1663" t="str">
        <f t="shared" si="54"/>
        <v>Kennedy Creek</v>
      </c>
      <c r="K1663" t="str">
        <f>IFERROR(VLOOKUP(J1663,LUTs!$A$1:$C$73,2,FALSE),"NA")</f>
        <v>Mason/Thurston</v>
      </c>
      <c r="L1663" t="str">
        <f>IFERROR(VLOOKUP(J1663,LUTs!$A$1:$C$73,3,FALSE),"NA")</f>
        <v>3South Puget Sound</v>
      </c>
      <c r="M1663" s="72" t="s">
        <v>22</v>
      </c>
      <c r="N1663" t="str">
        <f>VLOOKUP(M1663,LUTs!E$2:H$14,3,)</f>
        <v>09Mason</v>
      </c>
      <c r="O1663" t="str">
        <f>VLOOKUP(M1663,LUTs!E$2:H$14,4,)</f>
        <v>02South Puget Sound</v>
      </c>
      <c r="P1663" s="73">
        <v>7.3703703703703702</v>
      </c>
      <c r="Q1663" s="74">
        <f>VLOOKUP(B1663,Readme!A$40:C$51,2,)*P1663</f>
        <v>63.753703703703707</v>
      </c>
    </row>
    <row r="1664" spans="1:17" ht="12" customHeight="1" x14ac:dyDescent="0.35">
      <c r="A1664" s="75">
        <v>1663</v>
      </c>
      <c r="B1664" s="64">
        <v>2014</v>
      </c>
      <c r="C1664" s="64">
        <v>10</v>
      </c>
      <c r="D1664" s="80">
        <f t="shared" si="53"/>
        <v>2014</v>
      </c>
      <c r="E1664" t="s">
        <v>38</v>
      </c>
      <c r="F1664" t="s">
        <v>143</v>
      </c>
      <c r="G1664" t="s">
        <v>10</v>
      </c>
      <c r="H1664" s="72" t="s">
        <v>205</v>
      </c>
      <c r="I1664" s="72" t="s">
        <v>47</v>
      </c>
      <c r="J1664" t="str">
        <f t="shared" si="54"/>
        <v>Kennedy Creek</v>
      </c>
      <c r="K1664" t="str">
        <f>IFERROR(VLOOKUP(J1664,LUTs!$A$1:$C$73,2,FALSE),"NA")</f>
        <v>Mason/Thurston</v>
      </c>
      <c r="L1664" t="str">
        <f>IFERROR(VLOOKUP(J1664,LUTs!$A$1:$C$73,3,FALSE),"NA")</f>
        <v>3South Puget Sound</v>
      </c>
      <c r="M1664" s="72" t="s">
        <v>20</v>
      </c>
      <c r="N1664" t="str">
        <f>VLOOKUP(M1664,LUTs!E$2:H$14,3,)</f>
        <v>07Pierce</v>
      </c>
      <c r="O1664" t="str">
        <f>VLOOKUP(M1664,LUTs!E$2:H$14,4,)</f>
        <v>02South Puget Sound</v>
      </c>
      <c r="P1664" s="73">
        <v>29.481481481481499</v>
      </c>
      <c r="Q1664" s="74">
        <f>VLOOKUP(B1664,Readme!A$40:C$51,2,)*P1664</f>
        <v>255.01481481481497</v>
      </c>
    </row>
    <row r="1665" spans="1:17" ht="12" customHeight="1" x14ac:dyDescent="0.35">
      <c r="A1665" s="75">
        <v>1664</v>
      </c>
      <c r="B1665" s="64">
        <v>2014</v>
      </c>
      <c r="C1665" s="64">
        <v>10</v>
      </c>
      <c r="D1665" s="80">
        <f t="shared" si="53"/>
        <v>2014</v>
      </c>
      <c r="E1665" t="s">
        <v>38</v>
      </c>
      <c r="F1665" t="s">
        <v>143</v>
      </c>
      <c r="G1665" t="s">
        <v>10</v>
      </c>
      <c r="H1665" s="72" t="s">
        <v>205</v>
      </c>
      <c r="I1665" s="72" t="s">
        <v>47</v>
      </c>
      <c r="J1665" t="str">
        <f t="shared" si="54"/>
        <v>Kennedy Creek</v>
      </c>
      <c r="K1665" t="str">
        <f>IFERROR(VLOOKUP(J1665,LUTs!$A$1:$C$73,2,FALSE),"NA")</f>
        <v>Mason/Thurston</v>
      </c>
      <c r="L1665" t="str">
        <f>IFERROR(VLOOKUP(J1665,LUTs!$A$1:$C$73,3,FALSE),"NA")</f>
        <v>3South Puget Sound</v>
      </c>
      <c r="M1665" s="72" t="s">
        <v>21</v>
      </c>
      <c r="N1665" t="str">
        <f>VLOOKUP(M1665,LUTs!E$2:H$14,3,)</f>
        <v>08Thurston</v>
      </c>
      <c r="O1665" t="str">
        <f>VLOOKUP(M1665,LUTs!E$2:H$14,4,)</f>
        <v>02South Puget Sound</v>
      </c>
      <c r="P1665" s="73">
        <v>117.92592592592599</v>
      </c>
      <c r="Q1665" s="74">
        <f>VLOOKUP(B1665,Readme!A$40:C$51,2,)*P1665</f>
        <v>1020.0592592592599</v>
      </c>
    </row>
    <row r="1666" spans="1:17" ht="12" customHeight="1" x14ac:dyDescent="0.35">
      <c r="A1666" s="75">
        <v>1665</v>
      </c>
      <c r="B1666" s="64">
        <v>2014</v>
      </c>
      <c r="C1666" s="64">
        <v>11</v>
      </c>
      <c r="D1666" s="80">
        <f t="shared" ref="D1666:D1729" si="55">IF(C1666&gt;3,B1666,B1666-1)</f>
        <v>2014</v>
      </c>
      <c r="E1666" t="s">
        <v>38</v>
      </c>
      <c r="F1666" t="s">
        <v>143</v>
      </c>
      <c r="G1666" t="s">
        <v>10</v>
      </c>
      <c r="H1666" s="72" t="s">
        <v>205</v>
      </c>
      <c r="I1666" s="72" t="s">
        <v>47</v>
      </c>
      <c r="J1666" t="str">
        <f t="shared" si="54"/>
        <v>Kennedy Creek</v>
      </c>
      <c r="K1666" t="str">
        <f>IFERROR(VLOOKUP(J1666,LUTs!$A$1:$C$73,2,FALSE),"NA")</f>
        <v>Mason/Thurston</v>
      </c>
      <c r="L1666" t="str">
        <f>IFERROR(VLOOKUP(J1666,LUTs!$A$1:$C$73,3,FALSE),"NA")</f>
        <v>3South Puget Sound</v>
      </c>
      <c r="M1666" s="72" t="s">
        <v>18</v>
      </c>
      <c r="N1666" t="str">
        <f>VLOOKUP(M1666,LUTs!E$2:H$14,3,)</f>
        <v>06King</v>
      </c>
      <c r="O1666" t="str">
        <f>VLOOKUP(M1666,LUTs!E$2:H$14,4,)</f>
        <v>02South Puget Sound</v>
      </c>
      <c r="P1666" s="73">
        <v>95.875</v>
      </c>
      <c r="Q1666" s="74">
        <f>VLOOKUP(B1666,Readme!A$40:C$51,2,)*P1666</f>
        <v>829.31875000000002</v>
      </c>
    </row>
    <row r="1667" spans="1:17" ht="12" customHeight="1" x14ac:dyDescent="0.35">
      <c r="A1667" s="75">
        <v>1666</v>
      </c>
      <c r="B1667" s="64">
        <v>2014</v>
      </c>
      <c r="C1667" s="64">
        <v>11</v>
      </c>
      <c r="D1667" s="80">
        <f t="shared" si="55"/>
        <v>2014</v>
      </c>
      <c r="E1667" t="s">
        <v>38</v>
      </c>
      <c r="F1667" t="s">
        <v>143</v>
      </c>
      <c r="G1667" t="s">
        <v>10</v>
      </c>
      <c r="H1667" s="72" t="s">
        <v>205</v>
      </c>
      <c r="I1667" s="72" t="s">
        <v>47</v>
      </c>
      <c r="J1667" t="str">
        <f t="shared" ref="J1667:J1730" si="56">I1667</f>
        <v>Kennedy Creek</v>
      </c>
      <c r="K1667" t="str">
        <f>IFERROR(VLOOKUP(J1667,LUTs!$A$1:$C$73,2,FALSE),"NA")</f>
        <v>Mason/Thurston</v>
      </c>
      <c r="L1667" t="str">
        <f>IFERROR(VLOOKUP(J1667,LUTs!$A$1:$C$73,3,FALSE),"NA")</f>
        <v>3South Puget Sound</v>
      </c>
      <c r="M1667" s="72" t="s">
        <v>22</v>
      </c>
      <c r="N1667" t="str">
        <f>VLOOKUP(M1667,LUTs!E$2:H$14,3,)</f>
        <v>09Mason</v>
      </c>
      <c r="O1667" t="str">
        <f>VLOOKUP(M1667,LUTs!E$2:H$14,4,)</f>
        <v>02South Puget Sound</v>
      </c>
      <c r="P1667" s="73">
        <v>36.875</v>
      </c>
      <c r="Q1667" s="74">
        <f>VLOOKUP(B1667,Readme!A$40:C$51,2,)*P1667</f>
        <v>318.96875</v>
      </c>
    </row>
    <row r="1668" spans="1:17" ht="12" customHeight="1" x14ac:dyDescent="0.35">
      <c r="A1668" s="75">
        <v>1667</v>
      </c>
      <c r="B1668" s="64">
        <v>2014</v>
      </c>
      <c r="C1668" s="64">
        <v>11</v>
      </c>
      <c r="D1668" s="80">
        <f t="shared" si="55"/>
        <v>2014</v>
      </c>
      <c r="E1668" t="s">
        <v>38</v>
      </c>
      <c r="F1668" t="s">
        <v>143</v>
      </c>
      <c r="G1668" t="s">
        <v>10</v>
      </c>
      <c r="H1668" s="72" t="s">
        <v>205</v>
      </c>
      <c r="I1668" s="72" t="s">
        <v>47</v>
      </c>
      <c r="J1668" t="str">
        <f t="shared" si="56"/>
        <v>Kennedy Creek</v>
      </c>
      <c r="K1668" t="str">
        <f>IFERROR(VLOOKUP(J1668,LUTs!$A$1:$C$73,2,FALSE),"NA")</f>
        <v>Mason/Thurston</v>
      </c>
      <c r="L1668" t="str">
        <f>IFERROR(VLOOKUP(J1668,LUTs!$A$1:$C$73,3,FALSE),"NA")</f>
        <v>3South Puget Sound</v>
      </c>
      <c r="M1668" s="72" t="s">
        <v>20</v>
      </c>
      <c r="N1668" t="str">
        <f>VLOOKUP(M1668,LUTs!E$2:H$14,3,)</f>
        <v>07Pierce</v>
      </c>
      <c r="O1668" t="str">
        <f>VLOOKUP(M1668,LUTs!E$2:H$14,4,)</f>
        <v>02South Puget Sound</v>
      </c>
      <c r="P1668" s="73">
        <v>36.875</v>
      </c>
      <c r="Q1668" s="74">
        <f>VLOOKUP(B1668,Readme!A$40:C$51,2,)*P1668</f>
        <v>318.96875</v>
      </c>
    </row>
    <row r="1669" spans="1:17" ht="12" customHeight="1" x14ac:dyDescent="0.35">
      <c r="A1669" s="75">
        <v>1668</v>
      </c>
      <c r="B1669" s="64">
        <v>2014</v>
      </c>
      <c r="C1669" s="64">
        <v>11</v>
      </c>
      <c r="D1669" s="80">
        <f t="shared" si="55"/>
        <v>2014</v>
      </c>
      <c r="E1669" t="s">
        <v>38</v>
      </c>
      <c r="F1669" t="s">
        <v>143</v>
      </c>
      <c r="G1669" t="s">
        <v>10</v>
      </c>
      <c r="H1669" s="72" t="s">
        <v>205</v>
      </c>
      <c r="I1669" s="72" t="s">
        <v>47</v>
      </c>
      <c r="J1669" t="str">
        <f t="shared" si="56"/>
        <v>Kennedy Creek</v>
      </c>
      <c r="K1669" t="str">
        <f>IFERROR(VLOOKUP(J1669,LUTs!$A$1:$C$73,2,FALSE),"NA")</f>
        <v>Mason/Thurston</v>
      </c>
      <c r="L1669" t="str">
        <f>IFERROR(VLOOKUP(J1669,LUTs!$A$1:$C$73,3,FALSE),"NA")</f>
        <v>3South Puget Sound</v>
      </c>
      <c r="M1669" s="72" t="s">
        <v>21</v>
      </c>
      <c r="N1669" t="str">
        <f>VLOOKUP(M1669,LUTs!E$2:H$14,3,)</f>
        <v>08Thurston</v>
      </c>
      <c r="O1669" t="str">
        <f>VLOOKUP(M1669,LUTs!E$2:H$14,4,)</f>
        <v>02South Puget Sound</v>
      </c>
      <c r="P1669" s="73">
        <v>7.375</v>
      </c>
      <c r="Q1669" s="74">
        <f>VLOOKUP(B1669,Readme!A$40:C$51,2,)*P1669</f>
        <v>63.793750000000003</v>
      </c>
    </row>
    <row r="1670" spans="1:17" ht="12" customHeight="1" x14ac:dyDescent="0.35">
      <c r="A1670" s="75">
        <v>1669</v>
      </c>
      <c r="B1670" s="64">
        <v>2014</v>
      </c>
      <c r="C1670" s="64">
        <v>9</v>
      </c>
      <c r="D1670" s="80">
        <f t="shared" si="55"/>
        <v>2014</v>
      </c>
      <c r="E1670" t="s">
        <v>38</v>
      </c>
      <c r="F1670" t="s">
        <v>143</v>
      </c>
      <c r="G1670" t="s">
        <v>10</v>
      </c>
      <c r="H1670" s="72" t="s">
        <v>206</v>
      </c>
      <c r="I1670" s="72" t="s">
        <v>48</v>
      </c>
      <c r="J1670" t="str">
        <f t="shared" si="56"/>
        <v>Lake Washington</v>
      </c>
      <c r="K1670" t="str">
        <f>IFERROR(VLOOKUP(J1670,LUTs!$A$1:$C$73,2,FALSE),"NA")</f>
        <v>King</v>
      </c>
      <c r="L1670" t="str">
        <f>IFERROR(VLOOKUP(J1670,LUTs!$A$1:$C$73,3,FALSE),"NA")</f>
        <v>2Central Puget Sound</v>
      </c>
      <c r="M1670" s="72" t="s">
        <v>18</v>
      </c>
      <c r="N1670" t="str">
        <f>VLOOKUP(M1670,LUTs!E$2:H$14,3,)</f>
        <v>06King</v>
      </c>
      <c r="O1670" t="str">
        <f>VLOOKUP(M1670,LUTs!E$2:H$14,4,)</f>
        <v>02South Puget Sound</v>
      </c>
      <c r="P1670" s="73">
        <v>157.52000000000001</v>
      </c>
      <c r="Q1670" s="74">
        <f>VLOOKUP(B1670,Readme!A$40:C$51,2,)*P1670</f>
        <v>1362.5480000000002</v>
      </c>
    </row>
    <row r="1671" spans="1:17" ht="12" customHeight="1" x14ac:dyDescent="0.35">
      <c r="A1671" s="75">
        <v>1670</v>
      </c>
      <c r="B1671" s="64">
        <v>2014</v>
      </c>
      <c r="C1671" s="64">
        <v>9</v>
      </c>
      <c r="D1671" s="80">
        <f t="shared" si="55"/>
        <v>2014</v>
      </c>
      <c r="E1671" t="s">
        <v>38</v>
      </c>
      <c r="F1671" t="s">
        <v>143</v>
      </c>
      <c r="G1671" t="s">
        <v>10</v>
      </c>
      <c r="H1671" s="72" t="s">
        <v>206</v>
      </c>
      <c r="I1671" s="72" t="s">
        <v>48</v>
      </c>
      <c r="J1671" t="str">
        <f t="shared" si="56"/>
        <v>Lake Washington</v>
      </c>
      <c r="K1671" t="str">
        <f>IFERROR(VLOOKUP(J1671,LUTs!$A$1:$C$73,2,FALSE),"NA")</f>
        <v>King</v>
      </c>
      <c r="L1671" t="str">
        <f>IFERROR(VLOOKUP(J1671,LUTs!$A$1:$C$73,3,FALSE),"NA")</f>
        <v>2Central Puget Sound</v>
      </c>
      <c r="M1671" s="72" t="s">
        <v>16</v>
      </c>
      <c r="N1671" t="str">
        <f>VLOOKUP(M1671,LUTs!E$2:H$14,3,)</f>
        <v>03Snohomish</v>
      </c>
      <c r="O1671" t="str">
        <f>VLOOKUP(M1671,LUTs!E$2:H$14,4,)</f>
        <v>01North Puget Sound</v>
      </c>
      <c r="P1671" s="73">
        <v>21.48</v>
      </c>
      <c r="Q1671" s="74">
        <f>VLOOKUP(B1671,Readme!A$40:C$51,2,)*P1671</f>
        <v>185.80200000000002</v>
      </c>
    </row>
    <row r="1672" spans="1:17" ht="12" customHeight="1" x14ac:dyDescent="0.35">
      <c r="A1672" s="75">
        <v>1671</v>
      </c>
      <c r="B1672" s="64">
        <v>2014</v>
      </c>
      <c r="C1672" s="64">
        <v>10</v>
      </c>
      <c r="D1672" s="80">
        <f t="shared" si="55"/>
        <v>2014</v>
      </c>
      <c r="E1672" t="s">
        <v>38</v>
      </c>
      <c r="F1672" t="s">
        <v>143</v>
      </c>
      <c r="G1672" t="s">
        <v>10</v>
      </c>
      <c r="H1672" s="72" t="s">
        <v>206</v>
      </c>
      <c r="I1672" s="72" t="s">
        <v>48</v>
      </c>
      <c r="J1672" t="str">
        <f t="shared" si="56"/>
        <v>Lake Washington</v>
      </c>
      <c r="K1672" t="str">
        <f>IFERROR(VLOOKUP(J1672,LUTs!$A$1:$C$73,2,FALSE),"NA")</f>
        <v>King</v>
      </c>
      <c r="L1672" t="str">
        <f>IFERROR(VLOOKUP(J1672,LUTs!$A$1:$C$73,3,FALSE),"NA")</f>
        <v>2Central Puget Sound</v>
      </c>
      <c r="M1672" s="72" t="s">
        <v>18</v>
      </c>
      <c r="N1672" t="str">
        <f>VLOOKUP(M1672,LUTs!E$2:H$14,3,)</f>
        <v>06King</v>
      </c>
      <c r="O1672" t="str">
        <f>VLOOKUP(M1672,LUTs!E$2:H$14,4,)</f>
        <v>02South Puget Sound</v>
      </c>
      <c r="P1672" s="73">
        <v>393.35443037974699</v>
      </c>
      <c r="Q1672" s="74">
        <f>VLOOKUP(B1672,Readme!A$40:C$51,2,)*P1672</f>
        <v>3402.5158227848115</v>
      </c>
    </row>
    <row r="1673" spans="1:17" ht="12" customHeight="1" x14ac:dyDescent="0.35">
      <c r="A1673" s="75">
        <v>1672</v>
      </c>
      <c r="B1673" s="64">
        <v>2014</v>
      </c>
      <c r="C1673" s="64">
        <v>10</v>
      </c>
      <c r="D1673" s="80">
        <f t="shared" si="55"/>
        <v>2014</v>
      </c>
      <c r="E1673" t="s">
        <v>38</v>
      </c>
      <c r="F1673" t="s">
        <v>143</v>
      </c>
      <c r="G1673" t="s">
        <v>10</v>
      </c>
      <c r="H1673" s="72" t="s">
        <v>206</v>
      </c>
      <c r="I1673" s="72" t="s">
        <v>48</v>
      </c>
      <c r="J1673" t="str">
        <f t="shared" si="56"/>
        <v>Lake Washington</v>
      </c>
      <c r="K1673" t="str">
        <f>IFERROR(VLOOKUP(J1673,LUTs!$A$1:$C$73,2,FALSE),"NA")</f>
        <v>King</v>
      </c>
      <c r="L1673" t="str">
        <f>IFERROR(VLOOKUP(J1673,LUTs!$A$1:$C$73,3,FALSE),"NA")</f>
        <v>2Central Puget Sound</v>
      </c>
      <c r="M1673" s="72" t="s">
        <v>26</v>
      </c>
      <c r="N1673" t="str">
        <f>VLOOKUP(M1673,LUTs!E$2:H$14,3,)</f>
        <v>20Other</v>
      </c>
      <c r="O1673" t="str">
        <f>VLOOKUP(M1673,LUTs!E$2:H$14,4,)</f>
        <v>07Non Puget Sound</v>
      </c>
      <c r="P1673" s="73">
        <v>7.1518987341772204</v>
      </c>
      <c r="Q1673" s="74">
        <f>VLOOKUP(B1673,Readme!A$40:C$51,2,)*P1673</f>
        <v>61.86392405063296</v>
      </c>
    </row>
    <row r="1674" spans="1:17" ht="12" customHeight="1" x14ac:dyDescent="0.35">
      <c r="A1674" s="75">
        <v>1673</v>
      </c>
      <c r="B1674" s="64">
        <v>2014</v>
      </c>
      <c r="C1674" s="64">
        <v>10</v>
      </c>
      <c r="D1674" s="80">
        <f t="shared" si="55"/>
        <v>2014</v>
      </c>
      <c r="E1674" t="s">
        <v>38</v>
      </c>
      <c r="F1674" t="s">
        <v>143</v>
      </c>
      <c r="G1674" t="s">
        <v>10</v>
      </c>
      <c r="H1674" s="72" t="s">
        <v>206</v>
      </c>
      <c r="I1674" s="72" t="s">
        <v>48</v>
      </c>
      <c r="J1674" t="str">
        <f t="shared" si="56"/>
        <v>Lake Washington</v>
      </c>
      <c r="K1674" t="str">
        <f>IFERROR(VLOOKUP(J1674,LUTs!$A$1:$C$73,2,FALSE),"NA")</f>
        <v>King</v>
      </c>
      <c r="L1674" t="str">
        <f>IFERROR(VLOOKUP(J1674,LUTs!$A$1:$C$73,3,FALSE),"NA")</f>
        <v>2Central Puget Sound</v>
      </c>
      <c r="M1674" s="72" t="s">
        <v>16</v>
      </c>
      <c r="N1674" t="str">
        <f>VLOOKUP(M1674,LUTs!E$2:H$14,3,)</f>
        <v>03Snohomish</v>
      </c>
      <c r="O1674" t="str">
        <f>VLOOKUP(M1674,LUTs!E$2:H$14,4,)</f>
        <v>01North Puget Sound</v>
      </c>
      <c r="P1674" s="73">
        <v>164.49367088607599</v>
      </c>
      <c r="Q1674" s="74">
        <f>VLOOKUP(B1674,Readme!A$40:C$51,2,)*P1674</f>
        <v>1422.8702531645574</v>
      </c>
    </row>
    <row r="1675" spans="1:17" ht="12" customHeight="1" x14ac:dyDescent="0.35">
      <c r="A1675" s="75">
        <v>1674</v>
      </c>
      <c r="B1675" s="64">
        <v>2014</v>
      </c>
      <c r="C1675" s="64">
        <v>8</v>
      </c>
      <c r="D1675" s="80">
        <f t="shared" si="55"/>
        <v>2014</v>
      </c>
      <c r="E1675" t="s">
        <v>38</v>
      </c>
      <c r="F1675" t="s">
        <v>143</v>
      </c>
      <c r="G1675" t="s">
        <v>10</v>
      </c>
      <c r="H1675" s="72" t="s">
        <v>207</v>
      </c>
      <c r="I1675" s="72" t="s">
        <v>49</v>
      </c>
      <c r="J1675" t="str">
        <f t="shared" si="56"/>
        <v>Lake Sammamish</v>
      </c>
      <c r="K1675" t="str">
        <f>IFERROR(VLOOKUP(J1675,LUTs!$A$1:$C$73,2,FALSE),"NA")</f>
        <v>King</v>
      </c>
      <c r="L1675" t="str">
        <f>IFERROR(VLOOKUP(J1675,LUTs!$A$1:$C$73,3,FALSE),"NA")</f>
        <v>2Central Puget Sound</v>
      </c>
      <c r="M1675" s="72" t="s">
        <v>18</v>
      </c>
      <c r="N1675" t="str">
        <f>VLOOKUP(M1675,LUTs!E$2:H$14,3,)</f>
        <v>06King</v>
      </c>
      <c r="O1675" t="str">
        <f>VLOOKUP(M1675,LUTs!E$2:H$14,4,)</f>
        <v>02South Puget Sound</v>
      </c>
      <c r="P1675" s="73">
        <v>7</v>
      </c>
      <c r="Q1675" s="74">
        <f>VLOOKUP(B1675,Readme!A$40:C$51,2,)*P1675</f>
        <v>60.550000000000004</v>
      </c>
    </row>
    <row r="1676" spans="1:17" ht="12" customHeight="1" x14ac:dyDescent="0.35">
      <c r="A1676" s="75">
        <v>1675</v>
      </c>
      <c r="B1676" s="64">
        <v>2014</v>
      </c>
      <c r="C1676" s="64">
        <v>9</v>
      </c>
      <c r="D1676" s="80">
        <f t="shared" si="55"/>
        <v>2014</v>
      </c>
      <c r="E1676" t="s">
        <v>38</v>
      </c>
      <c r="F1676" t="s">
        <v>143</v>
      </c>
      <c r="G1676" t="s">
        <v>10</v>
      </c>
      <c r="H1676" s="72" t="s">
        <v>207</v>
      </c>
      <c r="I1676" s="72" t="s">
        <v>49</v>
      </c>
      <c r="J1676" t="str">
        <f t="shared" si="56"/>
        <v>Lake Sammamish</v>
      </c>
      <c r="K1676" t="str">
        <f>IFERROR(VLOOKUP(J1676,LUTs!$A$1:$C$73,2,FALSE),"NA")</f>
        <v>King</v>
      </c>
      <c r="L1676" t="str">
        <f>IFERROR(VLOOKUP(J1676,LUTs!$A$1:$C$73,3,FALSE),"NA")</f>
        <v>2Central Puget Sound</v>
      </c>
      <c r="M1676" s="72" t="s">
        <v>18</v>
      </c>
      <c r="N1676" t="str">
        <f>VLOOKUP(M1676,LUTs!E$2:H$14,3,)</f>
        <v>06King</v>
      </c>
      <c r="O1676" t="str">
        <f>VLOOKUP(M1676,LUTs!E$2:H$14,4,)</f>
        <v>02South Puget Sound</v>
      </c>
      <c r="P1676" s="73">
        <v>14.5</v>
      </c>
      <c r="Q1676" s="74">
        <f>VLOOKUP(B1676,Readme!A$40:C$51,2,)*P1676</f>
        <v>125.42500000000001</v>
      </c>
    </row>
    <row r="1677" spans="1:17" ht="12" customHeight="1" x14ac:dyDescent="0.35">
      <c r="A1677" s="75">
        <v>1676</v>
      </c>
      <c r="B1677" s="64">
        <v>2014</v>
      </c>
      <c r="C1677" s="64">
        <v>9</v>
      </c>
      <c r="D1677" s="80">
        <f t="shared" si="55"/>
        <v>2014</v>
      </c>
      <c r="E1677" t="s">
        <v>38</v>
      </c>
      <c r="F1677" t="s">
        <v>143</v>
      </c>
      <c r="G1677" t="s">
        <v>10</v>
      </c>
      <c r="H1677" s="72" t="s">
        <v>207</v>
      </c>
      <c r="I1677" s="72" t="s">
        <v>49</v>
      </c>
      <c r="J1677" t="str">
        <f t="shared" si="56"/>
        <v>Lake Sammamish</v>
      </c>
      <c r="K1677" t="str">
        <f>IFERROR(VLOOKUP(J1677,LUTs!$A$1:$C$73,2,FALSE),"NA")</f>
        <v>King</v>
      </c>
      <c r="L1677" t="str">
        <f>IFERROR(VLOOKUP(J1677,LUTs!$A$1:$C$73,3,FALSE),"NA")</f>
        <v>2Central Puget Sound</v>
      </c>
      <c r="M1677" s="72" t="s">
        <v>16</v>
      </c>
      <c r="N1677" t="str">
        <f>VLOOKUP(M1677,LUTs!E$2:H$14,3,)</f>
        <v>03Snohomish</v>
      </c>
      <c r="O1677" t="str">
        <f>VLOOKUP(M1677,LUTs!E$2:H$14,4,)</f>
        <v>01North Puget Sound</v>
      </c>
      <c r="P1677" s="73">
        <v>14.5</v>
      </c>
      <c r="Q1677" s="74">
        <f>VLOOKUP(B1677,Readme!A$40:C$51,2,)*P1677</f>
        <v>125.42500000000001</v>
      </c>
    </row>
    <row r="1678" spans="1:17" ht="12" customHeight="1" x14ac:dyDescent="0.35">
      <c r="A1678" s="75">
        <v>1677</v>
      </c>
      <c r="B1678" s="64">
        <v>2014</v>
      </c>
      <c r="C1678" s="64">
        <v>10</v>
      </c>
      <c r="D1678" s="80">
        <f t="shared" si="55"/>
        <v>2014</v>
      </c>
      <c r="E1678" t="s">
        <v>38</v>
      </c>
      <c r="F1678" t="s">
        <v>143</v>
      </c>
      <c r="G1678" t="s">
        <v>10</v>
      </c>
      <c r="H1678" s="72" t="s">
        <v>207</v>
      </c>
      <c r="I1678" s="72" t="s">
        <v>49</v>
      </c>
      <c r="J1678" t="str">
        <f t="shared" si="56"/>
        <v>Lake Sammamish</v>
      </c>
      <c r="K1678" t="str">
        <f>IFERROR(VLOOKUP(J1678,LUTs!$A$1:$C$73,2,FALSE),"NA")</f>
        <v>King</v>
      </c>
      <c r="L1678" t="str">
        <f>IFERROR(VLOOKUP(J1678,LUTs!$A$1:$C$73,3,FALSE),"NA")</f>
        <v>2Central Puget Sound</v>
      </c>
      <c r="M1678" s="72" t="s">
        <v>26</v>
      </c>
      <c r="N1678" t="str">
        <f>VLOOKUP(M1678,LUTs!E$2:H$14,3,)</f>
        <v>20Other</v>
      </c>
      <c r="O1678" t="str">
        <f>VLOOKUP(M1678,LUTs!E$2:H$14,4,)</f>
        <v>07Non Puget Sound</v>
      </c>
      <c r="P1678" s="73">
        <v>7</v>
      </c>
      <c r="Q1678" s="74">
        <f>VLOOKUP(B1678,Readme!A$40:C$51,2,)*P1678</f>
        <v>60.550000000000004</v>
      </c>
    </row>
    <row r="1679" spans="1:17" ht="12" customHeight="1" x14ac:dyDescent="0.35">
      <c r="A1679" s="75">
        <v>1678</v>
      </c>
      <c r="B1679" s="64">
        <v>2014</v>
      </c>
      <c r="C1679" s="64">
        <v>10</v>
      </c>
      <c r="D1679" s="80">
        <f t="shared" si="55"/>
        <v>2014</v>
      </c>
      <c r="E1679" t="s">
        <v>38</v>
      </c>
      <c r="F1679" t="s">
        <v>143</v>
      </c>
      <c r="G1679" t="s">
        <v>10</v>
      </c>
      <c r="H1679" s="72" t="s">
        <v>207</v>
      </c>
      <c r="I1679" s="72" t="s">
        <v>49</v>
      </c>
      <c r="J1679" t="str">
        <f t="shared" si="56"/>
        <v>Lake Sammamish</v>
      </c>
      <c r="K1679" t="str">
        <f>IFERROR(VLOOKUP(J1679,LUTs!$A$1:$C$73,2,FALSE),"NA")</f>
        <v>King</v>
      </c>
      <c r="L1679" t="str">
        <f>IFERROR(VLOOKUP(J1679,LUTs!$A$1:$C$73,3,FALSE),"NA")</f>
        <v>2Central Puget Sound</v>
      </c>
      <c r="M1679" s="72" t="s">
        <v>16</v>
      </c>
      <c r="N1679" t="str">
        <f>VLOOKUP(M1679,LUTs!E$2:H$14,3,)</f>
        <v>03Snohomish</v>
      </c>
      <c r="O1679" t="str">
        <f>VLOOKUP(M1679,LUTs!E$2:H$14,4,)</f>
        <v>01North Puget Sound</v>
      </c>
      <c r="P1679" s="73">
        <v>7</v>
      </c>
      <c r="Q1679" s="74">
        <f>VLOOKUP(B1679,Readme!A$40:C$51,2,)*P1679</f>
        <v>60.550000000000004</v>
      </c>
    </row>
    <row r="1680" spans="1:17" ht="12" customHeight="1" x14ac:dyDescent="0.35">
      <c r="A1680" s="75">
        <v>1679</v>
      </c>
      <c r="B1680" s="64">
        <v>2014</v>
      </c>
      <c r="C1680" s="64">
        <v>10</v>
      </c>
      <c r="D1680" s="80">
        <f t="shared" si="55"/>
        <v>2014</v>
      </c>
      <c r="E1680" t="s">
        <v>38</v>
      </c>
      <c r="F1680" t="s">
        <v>143</v>
      </c>
      <c r="G1680" t="s">
        <v>10</v>
      </c>
      <c r="H1680" s="72" t="s">
        <v>208</v>
      </c>
      <c r="I1680" s="72" t="s">
        <v>50</v>
      </c>
      <c r="J1680" t="str">
        <f t="shared" si="56"/>
        <v>Minter Creek</v>
      </c>
      <c r="K1680" t="str">
        <f>IFERROR(VLOOKUP(J1680,LUTs!$A$1:$C$73,2,FALSE),"NA")</f>
        <v>Kitsap/Pierce</v>
      </c>
      <c r="L1680" t="str">
        <f>IFERROR(VLOOKUP(J1680,LUTs!$A$1:$C$73,3,FALSE),"NA")</f>
        <v>3South Puget Sound</v>
      </c>
      <c r="M1680" s="72" t="s">
        <v>18</v>
      </c>
      <c r="N1680" t="str">
        <f>VLOOKUP(M1680,LUTs!E$2:H$14,3,)</f>
        <v>06King</v>
      </c>
      <c r="O1680" t="str">
        <f>VLOOKUP(M1680,LUTs!E$2:H$14,4,)</f>
        <v>02South Puget Sound</v>
      </c>
      <c r="P1680" s="73">
        <v>7</v>
      </c>
      <c r="Q1680" s="74">
        <f>VLOOKUP(B1680,Readme!A$40:C$51,2,)*P1680</f>
        <v>60.550000000000004</v>
      </c>
    </row>
    <row r="1681" spans="1:17" ht="12" customHeight="1" x14ac:dyDescent="0.35">
      <c r="A1681" s="75">
        <v>1680</v>
      </c>
      <c r="B1681" s="64">
        <v>2014</v>
      </c>
      <c r="C1681" s="64">
        <v>10</v>
      </c>
      <c r="D1681" s="80">
        <f t="shared" si="55"/>
        <v>2014</v>
      </c>
      <c r="E1681" t="s">
        <v>38</v>
      </c>
      <c r="F1681" t="s">
        <v>143</v>
      </c>
      <c r="G1681" t="s">
        <v>10</v>
      </c>
      <c r="H1681" s="72" t="s">
        <v>208</v>
      </c>
      <c r="I1681" s="72" t="s">
        <v>50</v>
      </c>
      <c r="J1681" t="str">
        <f t="shared" si="56"/>
        <v>Minter Creek</v>
      </c>
      <c r="K1681" t="str">
        <f>IFERROR(VLOOKUP(J1681,LUTs!$A$1:$C$73,2,FALSE),"NA")</f>
        <v>Kitsap/Pierce</v>
      </c>
      <c r="L1681" t="str">
        <f>IFERROR(VLOOKUP(J1681,LUTs!$A$1:$C$73,3,FALSE),"NA")</f>
        <v>3South Puget Sound</v>
      </c>
      <c r="M1681" s="72" t="s">
        <v>20</v>
      </c>
      <c r="N1681" t="str">
        <f>VLOOKUP(M1681,LUTs!E$2:H$14,3,)</f>
        <v>07Pierce</v>
      </c>
      <c r="O1681" t="str">
        <f>VLOOKUP(M1681,LUTs!E$2:H$14,4,)</f>
        <v>02South Puget Sound</v>
      </c>
      <c r="P1681" s="73">
        <v>7</v>
      </c>
      <c r="Q1681" s="74">
        <f>VLOOKUP(B1681,Readme!A$40:C$51,2,)*P1681</f>
        <v>60.550000000000004</v>
      </c>
    </row>
    <row r="1682" spans="1:17" ht="12" customHeight="1" x14ac:dyDescent="0.35">
      <c r="A1682" s="75">
        <v>1681</v>
      </c>
      <c r="B1682" s="64">
        <v>2014</v>
      </c>
      <c r="C1682" s="64">
        <v>11</v>
      </c>
      <c r="D1682" s="80">
        <f t="shared" si="55"/>
        <v>2014</v>
      </c>
      <c r="E1682" t="s">
        <v>38</v>
      </c>
      <c r="F1682" t="s">
        <v>143</v>
      </c>
      <c r="G1682" t="s">
        <v>10</v>
      </c>
      <c r="H1682" s="72" t="s">
        <v>208</v>
      </c>
      <c r="I1682" s="72" t="s">
        <v>50</v>
      </c>
      <c r="J1682" t="str">
        <f t="shared" si="56"/>
        <v>Minter Creek</v>
      </c>
      <c r="K1682" t="str">
        <f>IFERROR(VLOOKUP(J1682,LUTs!$A$1:$C$73,2,FALSE),"NA")</f>
        <v>Kitsap/Pierce</v>
      </c>
      <c r="L1682" t="str">
        <f>IFERROR(VLOOKUP(J1682,LUTs!$A$1:$C$73,3,FALSE),"NA")</f>
        <v>3South Puget Sound</v>
      </c>
      <c r="M1682" s="72" t="s">
        <v>17</v>
      </c>
      <c r="N1682" t="str">
        <f>VLOOKUP(M1682,LUTs!E$2:H$14,3,)</f>
        <v>04Island</v>
      </c>
      <c r="O1682" t="str">
        <f>VLOOKUP(M1682,LUTs!E$2:H$14,4,)</f>
        <v>01North Puget Sound</v>
      </c>
      <c r="P1682" s="73">
        <v>27.5454545454546</v>
      </c>
      <c r="Q1682" s="74">
        <f>VLOOKUP(B1682,Readme!A$40:C$51,2,)*P1682</f>
        <v>238.26818181818231</v>
      </c>
    </row>
    <row r="1683" spans="1:17" ht="12" customHeight="1" x14ac:dyDescent="0.35">
      <c r="A1683" s="75">
        <v>1682</v>
      </c>
      <c r="B1683" s="64">
        <v>2014</v>
      </c>
      <c r="C1683" s="64">
        <v>11</v>
      </c>
      <c r="D1683" s="80">
        <f t="shared" si="55"/>
        <v>2014</v>
      </c>
      <c r="E1683" t="s">
        <v>38</v>
      </c>
      <c r="F1683" t="s">
        <v>143</v>
      </c>
      <c r="G1683" t="s">
        <v>10</v>
      </c>
      <c r="H1683" s="72" t="s">
        <v>208</v>
      </c>
      <c r="I1683" s="72" t="s">
        <v>50</v>
      </c>
      <c r="J1683" t="str">
        <f t="shared" si="56"/>
        <v>Minter Creek</v>
      </c>
      <c r="K1683" t="str">
        <f>IFERROR(VLOOKUP(J1683,LUTs!$A$1:$C$73,2,FALSE),"NA")</f>
        <v>Kitsap/Pierce</v>
      </c>
      <c r="L1683" t="str">
        <f>IFERROR(VLOOKUP(J1683,LUTs!$A$1:$C$73,3,FALSE),"NA")</f>
        <v>3South Puget Sound</v>
      </c>
      <c r="M1683" s="72" t="s">
        <v>18</v>
      </c>
      <c r="N1683" t="str">
        <f>VLOOKUP(M1683,LUTs!E$2:H$14,3,)</f>
        <v>06King</v>
      </c>
      <c r="O1683" t="str">
        <f>VLOOKUP(M1683,LUTs!E$2:H$14,4,)</f>
        <v>02South Puget Sound</v>
      </c>
      <c r="P1683" s="73">
        <v>860.79545454545496</v>
      </c>
      <c r="Q1683" s="74">
        <f>VLOOKUP(B1683,Readme!A$40:C$51,2,)*P1683</f>
        <v>7445.8806818181856</v>
      </c>
    </row>
    <row r="1684" spans="1:17" ht="12" customHeight="1" x14ac:dyDescent="0.35">
      <c r="A1684" s="75">
        <v>1683</v>
      </c>
      <c r="B1684" s="64">
        <v>2014</v>
      </c>
      <c r="C1684" s="64">
        <v>11</v>
      </c>
      <c r="D1684" s="80">
        <f t="shared" si="55"/>
        <v>2014</v>
      </c>
      <c r="E1684" t="s">
        <v>38</v>
      </c>
      <c r="F1684" t="s">
        <v>143</v>
      </c>
      <c r="G1684" t="s">
        <v>10</v>
      </c>
      <c r="H1684" s="72" t="s">
        <v>208</v>
      </c>
      <c r="I1684" s="72" t="s">
        <v>50</v>
      </c>
      <c r="J1684" t="str">
        <f t="shared" si="56"/>
        <v>Minter Creek</v>
      </c>
      <c r="K1684" t="str">
        <f>IFERROR(VLOOKUP(J1684,LUTs!$A$1:$C$73,2,FALSE),"NA")</f>
        <v>Kitsap/Pierce</v>
      </c>
      <c r="L1684" t="str">
        <f>IFERROR(VLOOKUP(J1684,LUTs!$A$1:$C$73,3,FALSE),"NA")</f>
        <v>3South Puget Sound</v>
      </c>
      <c r="M1684" s="72" t="s">
        <v>23</v>
      </c>
      <c r="N1684" t="str">
        <f>VLOOKUP(M1684,LUTs!E$2:H$14,3,)</f>
        <v>10Kitsap</v>
      </c>
      <c r="O1684" t="str">
        <f>VLOOKUP(M1684,LUTs!E$2:H$14,4,)</f>
        <v>02South Puget Sound</v>
      </c>
      <c r="P1684" s="73">
        <v>309.88636363636402</v>
      </c>
      <c r="Q1684" s="74">
        <f>VLOOKUP(B1684,Readme!A$40:C$51,2,)*P1684</f>
        <v>2680.5170454545491</v>
      </c>
    </row>
    <row r="1685" spans="1:17" ht="12" customHeight="1" x14ac:dyDescent="0.35">
      <c r="A1685" s="75">
        <v>1684</v>
      </c>
      <c r="B1685" s="64">
        <v>2014</v>
      </c>
      <c r="C1685" s="64">
        <v>11</v>
      </c>
      <c r="D1685" s="80">
        <f t="shared" si="55"/>
        <v>2014</v>
      </c>
      <c r="E1685" t="s">
        <v>38</v>
      </c>
      <c r="F1685" t="s">
        <v>143</v>
      </c>
      <c r="G1685" t="s">
        <v>10</v>
      </c>
      <c r="H1685" s="72" t="s">
        <v>208</v>
      </c>
      <c r="I1685" s="72" t="s">
        <v>50</v>
      </c>
      <c r="J1685" t="str">
        <f t="shared" si="56"/>
        <v>Minter Creek</v>
      </c>
      <c r="K1685" t="str">
        <f>IFERROR(VLOOKUP(J1685,LUTs!$A$1:$C$73,2,FALSE),"NA")</f>
        <v>Kitsap/Pierce</v>
      </c>
      <c r="L1685" t="str">
        <f>IFERROR(VLOOKUP(J1685,LUTs!$A$1:$C$73,3,FALSE),"NA")</f>
        <v>3South Puget Sound</v>
      </c>
      <c r="M1685" s="72" t="s">
        <v>22</v>
      </c>
      <c r="N1685" t="str">
        <f>VLOOKUP(M1685,LUTs!E$2:H$14,3,)</f>
        <v>09Mason</v>
      </c>
      <c r="O1685" t="str">
        <f>VLOOKUP(M1685,LUTs!E$2:H$14,4,)</f>
        <v>02South Puget Sound</v>
      </c>
      <c r="P1685" s="73">
        <v>13.7727272727273</v>
      </c>
      <c r="Q1685" s="74">
        <f>VLOOKUP(B1685,Readme!A$40:C$51,2,)*P1685</f>
        <v>119.13409090909116</v>
      </c>
    </row>
    <row r="1686" spans="1:17" ht="12" customHeight="1" x14ac:dyDescent="0.35">
      <c r="A1686" s="75">
        <v>1685</v>
      </c>
      <c r="B1686" s="64">
        <v>2014</v>
      </c>
      <c r="C1686" s="64">
        <v>11</v>
      </c>
      <c r="D1686" s="80">
        <f t="shared" si="55"/>
        <v>2014</v>
      </c>
      <c r="E1686" t="s">
        <v>38</v>
      </c>
      <c r="F1686" t="s">
        <v>143</v>
      </c>
      <c r="G1686" t="s">
        <v>10</v>
      </c>
      <c r="H1686" s="72" t="s">
        <v>208</v>
      </c>
      <c r="I1686" s="72" t="s">
        <v>50</v>
      </c>
      <c r="J1686" t="str">
        <f t="shared" si="56"/>
        <v>Minter Creek</v>
      </c>
      <c r="K1686" t="str">
        <f>IFERROR(VLOOKUP(J1686,LUTs!$A$1:$C$73,2,FALSE),"NA")</f>
        <v>Kitsap/Pierce</v>
      </c>
      <c r="L1686" t="str">
        <f>IFERROR(VLOOKUP(J1686,LUTs!$A$1:$C$73,3,FALSE),"NA")</f>
        <v>3South Puget Sound</v>
      </c>
      <c r="M1686" s="72" t="s">
        <v>26</v>
      </c>
      <c r="N1686" t="str">
        <f>VLOOKUP(M1686,LUTs!E$2:H$14,3,)</f>
        <v>20Other</v>
      </c>
      <c r="O1686" t="str">
        <f>VLOOKUP(M1686,LUTs!E$2:H$14,4,)</f>
        <v>07Non Puget Sound</v>
      </c>
      <c r="P1686" s="73">
        <v>55.090909090909101</v>
      </c>
      <c r="Q1686" s="74">
        <f>VLOOKUP(B1686,Readme!A$40:C$51,2,)*P1686</f>
        <v>476.53636363636372</v>
      </c>
    </row>
    <row r="1687" spans="1:17" ht="12" customHeight="1" x14ac:dyDescent="0.35">
      <c r="A1687" s="75">
        <v>1686</v>
      </c>
      <c r="B1687" s="64">
        <v>2014</v>
      </c>
      <c r="C1687" s="64">
        <v>11</v>
      </c>
      <c r="D1687" s="80">
        <f t="shared" si="55"/>
        <v>2014</v>
      </c>
      <c r="E1687" t="s">
        <v>38</v>
      </c>
      <c r="F1687" t="s">
        <v>143</v>
      </c>
      <c r="G1687" t="s">
        <v>10</v>
      </c>
      <c r="H1687" s="72" t="s">
        <v>208</v>
      </c>
      <c r="I1687" s="72" t="s">
        <v>50</v>
      </c>
      <c r="J1687" t="str">
        <f t="shared" si="56"/>
        <v>Minter Creek</v>
      </c>
      <c r="K1687" t="str">
        <f>IFERROR(VLOOKUP(J1687,LUTs!$A$1:$C$73,2,FALSE),"NA")</f>
        <v>Kitsap/Pierce</v>
      </c>
      <c r="L1687" t="str">
        <f>IFERROR(VLOOKUP(J1687,LUTs!$A$1:$C$73,3,FALSE),"NA")</f>
        <v>3South Puget Sound</v>
      </c>
      <c r="M1687" s="72" t="s">
        <v>20</v>
      </c>
      <c r="N1687" t="str">
        <f>VLOOKUP(M1687,LUTs!E$2:H$14,3,)</f>
        <v>07Pierce</v>
      </c>
      <c r="O1687" t="str">
        <f>VLOOKUP(M1687,LUTs!E$2:H$14,4,)</f>
        <v>02South Puget Sound</v>
      </c>
      <c r="P1687" s="73">
        <v>771.27272727272702</v>
      </c>
      <c r="Q1687" s="74">
        <f>VLOOKUP(B1687,Readme!A$40:C$51,2,)*P1687</f>
        <v>6671.5090909090886</v>
      </c>
    </row>
    <row r="1688" spans="1:17" ht="12" customHeight="1" x14ac:dyDescent="0.35">
      <c r="A1688" s="75">
        <v>1687</v>
      </c>
      <c r="B1688" s="64">
        <v>2014</v>
      </c>
      <c r="C1688" s="64">
        <v>11</v>
      </c>
      <c r="D1688" s="80">
        <f t="shared" si="55"/>
        <v>2014</v>
      </c>
      <c r="E1688" t="s">
        <v>38</v>
      </c>
      <c r="F1688" t="s">
        <v>143</v>
      </c>
      <c r="G1688" t="s">
        <v>10</v>
      </c>
      <c r="H1688" s="72" t="s">
        <v>208</v>
      </c>
      <c r="I1688" s="72" t="s">
        <v>50</v>
      </c>
      <c r="J1688" t="str">
        <f t="shared" si="56"/>
        <v>Minter Creek</v>
      </c>
      <c r="K1688" t="str">
        <f>IFERROR(VLOOKUP(J1688,LUTs!$A$1:$C$73,2,FALSE),"NA")</f>
        <v>Kitsap/Pierce</v>
      </c>
      <c r="L1688" t="str">
        <f>IFERROR(VLOOKUP(J1688,LUTs!$A$1:$C$73,3,FALSE),"NA")</f>
        <v>3South Puget Sound</v>
      </c>
      <c r="M1688" s="72" t="s">
        <v>16</v>
      </c>
      <c r="N1688" t="str">
        <f>VLOOKUP(M1688,LUTs!E$2:H$14,3,)</f>
        <v>03Snohomish</v>
      </c>
      <c r="O1688" t="str">
        <f>VLOOKUP(M1688,LUTs!E$2:H$14,4,)</f>
        <v>01North Puget Sound</v>
      </c>
      <c r="P1688" s="73">
        <v>34.431818181818201</v>
      </c>
      <c r="Q1688" s="74">
        <f>VLOOKUP(B1688,Readme!A$40:C$51,2,)*P1688</f>
        <v>297.83522727272748</v>
      </c>
    </row>
    <row r="1689" spans="1:17" ht="12" customHeight="1" x14ac:dyDescent="0.35">
      <c r="A1689" s="75">
        <v>1688</v>
      </c>
      <c r="B1689" s="64">
        <v>2014</v>
      </c>
      <c r="C1689" s="64">
        <v>11</v>
      </c>
      <c r="D1689" s="80">
        <f t="shared" si="55"/>
        <v>2014</v>
      </c>
      <c r="E1689" t="s">
        <v>38</v>
      </c>
      <c r="F1689" t="s">
        <v>143</v>
      </c>
      <c r="G1689" t="s">
        <v>10</v>
      </c>
      <c r="H1689" s="72" t="s">
        <v>208</v>
      </c>
      <c r="I1689" s="72" t="s">
        <v>50</v>
      </c>
      <c r="J1689" t="str">
        <f t="shared" si="56"/>
        <v>Minter Creek</v>
      </c>
      <c r="K1689" t="str">
        <f>IFERROR(VLOOKUP(J1689,LUTs!$A$1:$C$73,2,FALSE),"NA")</f>
        <v>Kitsap/Pierce</v>
      </c>
      <c r="L1689" t="str">
        <f>IFERROR(VLOOKUP(J1689,LUTs!$A$1:$C$73,3,FALSE),"NA")</f>
        <v>3South Puget Sound</v>
      </c>
      <c r="M1689" s="72" t="s">
        <v>21</v>
      </c>
      <c r="N1689" t="str">
        <f>VLOOKUP(M1689,LUTs!E$2:H$14,3,)</f>
        <v>08Thurston</v>
      </c>
      <c r="O1689" t="str">
        <f>VLOOKUP(M1689,LUTs!E$2:H$14,4,)</f>
        <v>02South Puget Sound</v>
      </c>
      <c r="P1689" s="73">
        <v>48.204545454545503</v>
      </c>
      <c r="Q1689" s="74">
        <f>VLOOKUP(B1689,Readme!A$40:C$51,2,)*P1689</f>
        <v>416.96931818181861</v>
      </c>
    </row>
    <row r="1690" spans="1:17" ht="12" customHeight="1" x14ac:dyDescent="0.35">
      <c r="A1690" s="75">
        <v>1689</v>
      </c>
      <c r="B1690" s="64">
        <v>2014</v>
      </c>
      <c r="C1690" s="64">
        <v>12</v>
      </c>
      <c r="D1690" s="80">
        <f t="shared" si="55"/>
        <v>2014</v>
      </c>
      <c r="E1690" t="s">
        <v>38</v>
      </c>
      <c r="F1690" t="s">
        <v>143</v>
      </c>
      <c r="G1690" t="s">
        <v>10</v>
      </c>
      <c r="H1690" s="72" t="s">
        <v>208</v>
      </c>
      <c r="I1690" s="72" t="s">
        <v>50</v>
      </c>
      <c r="J1690" t="str">
        <f t="shared" si="56"/>
        <v>Minter Creek</v>
      </c>
      <c r="K1690" t="str">
        <f>IFERROR(VLOOKUP(J1690,LUTs!$A$1:$C$73,2,FALSE),"NA")</f>
        <v>Kitsap/Pierce</v>
      </c>
      <c r="L1690" t="str">
        <f>IFERROR(VLOOKUP(J1690,LUTs!$A$1:$C$73,3,FALSE),"NA")</f>
        <v>3South Puget Sound</v>
      </c>
      <c r="M1690" s="72" t="s">
        <v>17</v>
      </c>
      <c r="N1690" t="str">
        <f>VLOOKUP(M1690,LUTs!E$2:H$14,3,)</f>
        <v>04Island</v>
      </c>
      <c r="O1690" t="str">
        <f>VLOOKUP(M1690,LUTs!E$2:H$14,4,)</f>
        <v>01North Puget Sound</v>
      </c>
      <c r="P1690" s="73">
        <v>20.644067796610202</v>
      </c>
      <c r="Q1690" s="74">
        <f>VLOOKUP(B1690,Readme!A$40:C$51,2,)*P1690</f>
        <v>178.57118644067825</v>
      </c>
    </row>
    <row r="1691" spans="1:17" ht="12" customHeight="1" x14ac:dyDescent="0.35">
      <c r="A1691" s="75">
        <v>1690</v>
      </c>
      <c r="B1691" s="64">
        <v>2014</v>
      </c>
      <c r="C1691" s="64">
        <v>12</v>
      </c>
      <c r="D1691" s="80">
        <f t="shared" si="55"/>
        <v>2014</v>
      </c>
      <c r="E1691" t="s">
        <v>38</v>
      </c>
      <c r="F1691" t="s">
        <v>143</v>
      </c>
      <c r="G1691" t="s">
        <v>10</v>
      </c>
      <c r="H1691" s="72" t="s">
        <v>208</v>
      </c>
      <c r="I1691" s="72" t="s">
        <v>50</v>
      </c>
      <c r="J1691" t="str">
        <f t="shared" si="56"/>
        <v>Minter Creek</v>
      </c>
      <c r="K1691" t="str">
        <f>IFERROR(VLOOKUP(J1691,LUTs!$A$1:$C$73,2,FALSE),"NA")</f>
        <v>Kitsap/Pierce</v>
      </c>
      <c r="L1691" t="str">
        <f>IFERROR(VLOOKUP(J1691,LUTs!$A$1:$C$73,3,FALSE),"NA")</f>
        <v>3South Puget Sound</v>
      </c>
      <c r="M1691" s="72" t="s">
        <v>18</v>
      </c>
      <c r="N1691" t="str">
        <f>VLOOKUP(M1691,LUTs!E$2:H$14,3,)</f>
        <v>06King</v>
      </c>
      <c r="O1691" t="str">
        <f>VLOOKUP(M1691,LUTs!E$2:H$14,4,)</f>
        <v>02South Puget Sound</v>
      </c>
      <c r="P1691" s="73">
        <v>123.864406779661</v>
      </c>
      <c r="Q1691" s="74">
        <f>VLOOKUP(B1691,Readme!A$40:C$51,2,)*P1691</f>
        <v>1071.4271186440676</v>
      </c>
    </row>
    <row r="1692" spans="1:17" ht="12" customHeight="1" x14ac:dyDescent="0.35">
      <c r="A1692" s="75">
        <v>1691</v>
      </c>
      <c r="B1692" s="64">
        <v>2014</v>
      </c>
      <c r="C1692" s="64">
        <v>12</v>
      </c>
      <c r="D1692" s="80">
        <f t="shared" si="55"/>
        <v>2014</v>
      </c>
      <c r="E1692" t="s">
        <v>38</v>
      </c>
      <c r="F1692" t="s">
        <v>143</v>
      </c>
      <c r="G1692" t="s">
        <v>10</v>
      </c>
      <c r="H1692" s="72" t="s">
        <v>208</v>
      </c>
      <c r="I1692" s="72" t="s">
        <v>50</v>
      </c>
      <c r="J1692" t="str">
        <f t="shared" si="56"/>
        <v>Minter Creek</v>
      </c>
      <c r="K1692" t="str">
        <f>IFERROR(VLOOKUP(J1692,LUTs!$A$1:$C$73,2,FALSE),"NA")</f>
        <v>Kitsap/Pierce</v>
      </c>
      <c r="L1692" t="str">
        <f>IFERROR(VLOOKUP(J1692,LUTs!$A$1:$C$73,3,FALSE),"NA")</f>
        <v>3South Puget Sound</v>
      </c>
      <c r="M1692" s="72" t="s">
        <v>20</v>
      </c>
      <c r="N1692" t="str">
        <f>VLOOKUP(M1692,LUTs!E$2:H$14,3,)</f>
        <v>07Pierce</v>
      </c>
      <c r="O1692" t="str">
        <f>VLOOKUP(M1692,LUTs!E$2:H$14,4,)</f>
        <v>02South Puget Sound</v>
      </c>
      <c r="P1692" s="73">
        <v>165.15254237288099</v>
      </c>
      <c r="Q1692" s="74">
        <f>VLOOKUP(B1692,Readme!A$40:C$51,2,)*P1692</f>
        <v>1428.5694915254205</v>
      </c>
    </row>
    <row r="1693" spans="1:17" ht="12" customHeight="1" x14ac:dyDescent="0.35">
      <c r="A1693" s="75">
        <v>1692</v>
      </c>
      <c r="B1693" s="64">
        <v>2014</v>
      </c>
      <c r="C1693" s="64">
        <v>12</v>
      </c>
      <c r="D1693" s="80">
        <f t="shared" si="55"/>
        <v>2014</v>
      </c>
      <c r="E1693" t="s">
        <v>38</v>
      </c>
      <c r="F1693" t="s">
        <v>143</v>
      </c>
      <c r="G1693" t="s">
        <v>10</v>
      </c>
      <c r="H1693" s="72" t="s">
        <v>208</v>
      </c>
      <c r="I1693" s="72" t="s">
        <v>50</v>
      </c>
      <c r="J1693" t="str">
        <f t="shared" si="56"/>
        <v>Minter Creek</v>
      </c>
      <c r="K1693" t="str">
        <f>IFERROR(VLOOKUP(J1693,LUTs!$A$1:$C$73,2,FALSE),"NA")</f>
        <v>Kitsap/Pierce</v>
      </c>
      <c r="L1693" t="str">
        <f>IFERROR(VLOOKUP(J1693,LUTs!$A$1:$C$73,3,FALSE),"NA")</f>
        <v>3South Puget Sound</v>
      </c>
      <c r="M1693" s="72" t="s">
        <v>16</v>
      </c>
      <c r="N1693" t="str">
        <f>VLOOKUP(M1693,LUTs!E$2:H$14,3,)</f>
        <v>03Snohomish</v>
      </c>
      <c r="O1693" t="str">
        <f>VLOOKUP(M1693,LUTs!E$2:H$14,4,)</f>
        <v>01North Puget Sound</v>
      </c>
      <c r="P1693" s="73">
        <v>96.338983050847503</v>
      </c>
      <c r="Q1693" s="74">
        <f>VLOOKUP(B1693,Readme!A$40:C$51,2,)*P1693</f>
        <v>833.33220338983097</v>
      </c>
    </row>
    <row r="1694" spans="1:17" ht="12" customHeight="1" x14ac:dyDescent="0.35">
      <c r="A1694" s="75">
        <v>1693</v>
      </c>
      <c r="B1694" s="64">
        <v>2014</v>
      </c>
      <c r="C1694" s="64">
        <v>7</v>
      </c>
      <c r="D1694" s="80">
        <f t="shared" si="55"/>
        <v>2014</v>
      </c>
      <c r="E1694" t="s">
        <v>38</v>
      </c>
      <c r="F1694" t="s">
        <v>143</v>
      </c>
      <c r="G1694" t="s">
        <v>10</v>
      </c>
      <c r="H1694" s="72" t="s">
        <v>209</v>
      </c>
      <c r="I1694" s="72" t="s">
        <v>51</v>
      </c>
      <c r="J1694" t="str">
        <f t="shared" si="56"/>
        <v>Nisqually River</v>
      </c>
      <c r="K1694" t="str">
        <f>IFERROR(VLOOKUP(J1694,LUTs!$A$1:$C$73,2,FALSE),"NA")</f>
        <v>Thurston/Pierce</v>
      </c>
      <c r="L1694" t="str">
        <f>IFERROR(VLOOKUP(J1694,LUTs!$A$1:$C$73,3,FALSE),"NA")</f>
        <v>3South Puget Sound</v>
      </c>
      <c r="M1694" s="72" t="s">
        <v>26</v>
      </c>
      <c r="N1694" t="str">
        <f>VLOOKUP(M1694,LUTs!E$2:H$14,3,)</f>
        <v>20Other</v>
      </c>
      <c r="O1694" t="str">
        <f>VLOOKUP(M1694,LUTs!E$2:H$14,4,)</f>
        <v>07Non Puget Sound</v>
      </c>
      <c r="P1694" s="73">
        <v>35.8333333333333</v>
      </c>
      <c r="Q1694" s="74">
        <f>VLOOKUP(B1694,Readme!A$40:C$51,2,)*P1694</f>
        <v>309.95833333333309</v>
      </c>
    </row>
    <row r="1695" spans="1:17" ht="12" customHeight="1" x14ac:dyDescent="0.35">
      <c r="A1695" s="75">
        <v>1694</v>
      </c>
      <c r="B1695" s="64">
        <v>2014</v>
      </c>
      <c r="C1695" s="64">
        <v>7</v>
      </c>
      <c r="D1695" s="80">
        <f t="shared" si="55"/>
        <v>2014</v>
      </c>
      <c r="E1695" t="s">
        <v>38</v>
      </c>
      <c r="F1695" t="s">
        <v>143</v>
      </c>
      <c r="G1695" t="s">
        <v>10</v>
      </c>
      <c r="H1695" s="72" t="s">
        <v>209</v>
      </c>
      <c r="I1695" s="72" t="s">
        <v>51</v>
      </c>
      <c r="J1695" t="str">
        <f t="shared" si="56"/>
        <v>Nisqually River</v>
      </c>
      <c r="K1695" t="str">
        <f>IFERROR(VLOOKUP(J1695,LUTs!$A$1:$C$73,2,FALSE),"NA")</f>
        <v>Thurston/Pierce</v>
      </c>
      <c r="L1695" t="str">
        <f>IFERROR(VLOOKUP(J1695,LUTs!$A$1:$C$73,3,FALSE),"NA")</f>
        <v>3South Puget Sound</v>
      </c>
      <c r="M1695" s="72" t="s">
        <v>21</v>
      </c>
      <c r="N1695" t="str">
        <f>VLOOKUP(M1695,LUTs!E$2:H$14,3,)</f>
        <v>08Thurston</v>
      </c>
      <c r="O1695" t="str">
        <f>VLOOKUP(M1695,LUTs!E$2:H$14,4,)</f>
        <v>02South Puget Sound</v>
      </c>
      <c r="P1695" s="73">
        <v>7.1666666666666696</v>
      </c>
      <c r="Q1695" s="74">
        <f>VLOOKUP(B1695,Readme!A$40:C$51,2,)*P1695</f>
        <v>61.991666666666696</v>
      </c>
    </row>
    <row r="1696" spans="1:17" ht="12" customHeight="1" x14ac:dyDescent="0.35">
      <c r="A1696" s="75">
        <v>1695</v>
      </c>
      <c r="B1696" s="64">
        <v>2014</v>
      </c>
      <c r="C1696" s="64">
        <v>8</v>
      </c>
      <c r="D1696" s="80">
        <f t="shared" si="55"/>
        <v>2014</v>
      </c>
      <c r="E1696" t="s">
        <v>38</v>
      </c>
      <c r="F1696" t="s">
        <v>143</v>
      </c>
      <c r="G1696" t="s">
        <v>10</v>
      </c>
      <c r="H1696" s="72" t="s">
        <v>209</v>
      </c>
      <c r="I1696" s="72" t="s">
        <v>51</v>
      </c>
      <c r="J1696" t="str">
        <f t="shared" si="56"/>
        <v>Nisqually River</v>
      </c>
      <c r="K1696" t="str">
        <f>IFERROR(VLOOKUP(J1696,LUTs!$A$1:$C$73,2,FALSE),"NA")</f>
        <v>Thurston/Pierce</v>
      </c>
      <c r="L1696" t="str">
        <f>IFERROR(VLOOKUP(J1696,LUTs!$A$1:$C$73,3,FALSE),"NA")</f>
        <v>3South Puget Sound</v>
      </c>
      <c r="M1696" s="72" t="s">
        <v>18</v>
      </c>
      <c r="N1696" t="str">
        <f>VLOOKUP(M1696,LUTs!E$2:H$14,3,)</f>
        <v>06King</v>
      </c>
      <c r="O1696" t="str">
        <f>VLOOKUP(M1696,LUTs!E$2:H$14,4,)</f>
        <v>02South Puget Sound</v>
      </c>
      <c r="P1696" s="73">
        <v>14.25</v>
      </c>
      <c r="Q1696" s="74">
        <f>VLOOKUP(B1696,Readme!A$40:C$51,2,)*P1696</f>
        <v>123.2625</v>
      </c>
    </row>
    <row r="1697" spans="1:17" ht="12" customHeight="1" x14ac:dyDescent="0.35">
      <c r="A1697" s="75">
        <v>1696</v>
      </c>
      <c r="B1697" s="64">
        <v>2014</v>
      </c>
      <c r="C1697" s="64">
        <v>8</v>
      </c>
      <c r="D1697" s="80">
        <f t="shared" si="55"/>
        <v>2014</v>
      </c>
      <c r="E1697" t="s">
        <v>38</v>
      </c>
      <c r="F1697" t="s">
        <v>143</v>
      </c>
      <c r="G1697" t="s">
        <v>10</v>
      </c>
      <c r="H1697" s="72" t="s">
        <v>209</v>
      </c>
      <c r="I1697" s="72" t="s">
        <v>51</v>
      </c>
      <c r="J1697" t="str">
        <f t="shared" si="56"/>
        <v>Nisqually River</v>
      </c>
      <c r="K1697" t="str">
        <f>IFERROR(VLOOKUP(J1697,LUTs!$A$1:$C$73,2,FALSE),"NA")</f>
        <v>Thurston/Pierce</v>
      </c>
      <c r="L1697" t="str">
        <f>IFERROR(VLOOKUP(J1697,LUTs!$A$1:$C$73,3,FALSE),"NA")</f>
        <v>3South Puget Sound</v>
      </c>
      <c r="M1697" s="72" t="s">
        <v>22</v>
      </c>
      <c r="N1697" t="str">
        <f>VLOOKUP(M1697,LUTs!E$2:H$14,3,)</f>
        <v>09Mason</v>
      </c>
      <c r="O1697" t="str">
        <f>VLOOKUP(M1697,LUTs!E$2:H$14,4,)</f>
        <v>02South Puget Sound</v>
      </c>
      <c r="P1697" s="73">
        <v>21.375</v>
      </c>
      <c r="Q1697" s="74">
        <f>VLOOKUP(B1697,Readme!A$40:C$51,2,)*P1697</f>
        <v>184.89375000000001</v>
      </c>
    </row>
    <row r="1698" spans="1:17" ht="12" customHeight="1" x14ac:dyDescent="0.35">
      <c r="A1698" s="75">
        <v>1697</v>
      </c>
      <c r="B1698" s="64">
        <v>2014</v>
      </c>
      <c r="C1698" s="64">
        <v>8</v>
      </c>
      <c r="D1698" s="80">
        <f t="shared" si="55"/>
        <v>2014</v>
      </c>
      <c r="E1698" t="s">
        <v>38</v>
      </c>
      <c r="F1698" t="s">
        <v>143</v>
      </c>
      <c r="G1698" t="s">
        <v>10</v>
      </c>
      <c r="H1698" s="72" t="s">
        <v>209</v>
      </c>
      <c r="I1698" s="72" t="s">
        <v>51</v>
      </c>
      <c r="J1698" t="str">
        <f t="shared" si="56"/>
        <v>Nisqually River</v>
      </c>
      <c r="K1698" t="str">
        <f>IFERROR(VLOOKUP(J1698,LUTs!$A$1:$C$73,2,FALSE),"NA")</f>
        <v>Thurston/Pierce</v>
      </c>
      <c r="L1698" t="str">
        <f>IFERROR(VLOOKUP(J1698,LUTs!$A$1:$C$73,3,FALSE),"NA")</f>
        <v>3South Puget Sound</v>
      </c>
      <c r="M1698" s="72" t="s">
        <v>26</v>
      </c>
      <c r="N1698" t="str">
        <f>VLOOKUP(M1698,LUTs!E$2:H$14,3,)</f>
        <v>20Other</v>
      </c>
      <c r="O1698" t="str">
        <f>VLOOKUP(M1698,LUTs!E$2:H$14,4,)</f>
        <v>07Non Puget Sound</v>
      </c>
      <c r="P1698" s="73">
        <v>21.375</v>
      </c>
      <c r="Q1698" s="74">
        <f>VLOOKUP(B1698,Readme!A$40:C$51,2,)*P1698</f>
        <v>184.89375000000001</v>
      </c>
    </row>
    <row r="1699" spans="1:17" ht="12" customHeight="1" x14ac:dyDescent="0.35">
      <c r="A1699" s="75">
        <v>1698</v>
      </c>
      <c r="B1699" s="64">
        <v>2014</v>
      </c>
      <c r="C1699" s="64">
        <v>8</v>
      </c>
      <c r="D1699" s="80">
        <f t="shared" si="55"/>
        <v>2014</v>
      </c>
      <c r="E1699" t="s">
        <v>38</v>
      </c>
      <c r="F1699" t="s">
        <v>143</v>
      </c>
      <c r="G1699" t="s">
        <v>10</v>
      </c>
      <c r="H1699" s="72" t="s">
        <v>209</v>
      </c>
      <c r="I1699" s="72" t="s">
        <v>51</v>
      </c>
      <c r="J1699" t="str">
        <f t="shared" si="56"/>
        <v>Nisqually River</v>
      </c>
      <c r="K1699" t="str">
        <f>IFERROR(VLOOKUP(J1699,LUTs!$A$1:$C$73,2,FALSE),"NA")</f>
        <v>Thurston/Pierce</v>
      </c>
      <c r="L1699" t="str">
        <f>IFERROR(VLOOKUP(J1699,LUTs!$A$1:$C$73,3,FALSE),"NA")</f>
        <v>3South Puget Sound</v>
      </c>
      <c r="M1699" s="72" t="s">
        <v>20</v>
      </c>
      <c r="N1699" t="str">
        <f>VLOOKUP(M1699,LUTs!E$2:H$14,3,)</f>
        <v>07Pierce</v>
      </c>
      <c r="O1699" t="str">
        <f>VLOOKUP(M1699,LUTs!E$2:H$14,4,)</f>
        <v>02South Puget Sound</v>
      </c>
      <c r="P1699" s="73">
        <v>249.375</v>
      </c>
      <c r="Q1699" s="74">
        <f>VLOOKUP(B1699,Readme!A$40:C$51,2,)*P1699</f>
        <v>2157.09375</v>
      </c>
    </row>
    <row r="1700" spans="1:17" ht="12" customHeight="1" x14ac:dyDescent="0.35">
      <c r="A1700" s="75">
        <v>1699</v>
      </c>
      <c r="B1700" s="64">
        <v>2014</v>
      </c>
      <c r="C1700" s="64">
        <v>8</v>
      </c>
      <c r="D1700" s="80">
        <f t="shared" si="55"/>
        <v>2014</v>
      </c>
      <c r="E1700" t="s">
        <v>38</v>
      </c>
      <c r="F1700" t="s">
        <v>143</v>
      </c>
      <c r="G1700" t="s">
        <v>10</v>
      </c>
      <c r="H1700" s="72" t="s">
        <v>209</v>
      </c>
      <c r="I1700" s="72" t="s">
        <v>51</v>
      </c>
      <c r="J1700" t="str">
        <f t="shared" si="56"/>
        <v>Nisqually River</v>
      </c>
      <c r="K1700" t="str">
        <f>IFERROR(VLOOKUP(J1700,LUTs!$A$1:$C$73,2,FALSE),"NA")</f>
        <v>Thurston/Pierce</v>
      </c>
      <c r="L1700" t="str">
        <f>IFERROR(VLOOKUP(J1700,LUTs!$A$1:$C$73,3,FALSE),"NA")</f>
        <v>3South Puget Sound</v>
      </c>
      <c r="M1700" s="72" t="s">
        <v>21</v>
      </c>
      <c r="N1700" t="str">
        <f>VLOOKUP(M1700,LUTs!E$2:H$14,3,)</f>
        <v>08Thurston</v>
      </c>
      <c r="O1700" t="str">
        <f>VLOOKUP(M1700,LUTs!E$2:H$14,4,)</f>
        <v>02South Puget Sound</v>
      </c>
      <c r="P1700" s="73">
        <v>263.625</v>
      </c>
      <c r="Q1700" s="74">
        <f>VLOOKUP(B1700,Readme!A$40:C$51,2,)*P1700</f>
        <v>2280.3562500000003</v>
      </c>
    </row>
    <row r="1701" spans="1:17" ht="12" customHeight="1" x14ac:dyDescent="0.35">
      <c r="A1701" s="75">
        <v>1700</v>
      </c>
      <c r="B1701" s="64">
        <v>2014</v>
      </c>
      <c r="C1701" s="64">
        <v>9</v>
      </c>
      <c r="D1701" s="80">
        <f t="shared" si="55"/>
        <v>2014</v>
      </c>
      <c r="E1701" t="s">
        <v>38</v>
      </c>
      <c r="F1701" t="s">
        <v>143</v>
      </c>
      <c r="G1701" t="s">
        <v>10</v>
      </c>
      <c r="H1701" s="72" t="s">
        <v>209</v>
      </c>
      <c r="I1701" s="72" t="s">
        <v>51</v>
      </c>
      <c r="J1701" t="str">
        <f t="shared" si="56"/>
        <v>Nisqually River</v>
      </c>
      <c r="K1701" t="str">
        <f>IFERROR(VLOOKUP(J1701,LUTs!$A$1:$C$73,2,FALSE),"NA")</f>
        <v>Thurston/Pierce</v>
      </c>
      <c r="L1701" t="str">
        <f>IFERROR(VLOOKUP(J1701,LUTs!$A$1:$C$73,3,FALSE),"NA")</f>
        <v>3South Puget Sound</v>
      </c>
      <c r="M1701" s="72" t="s">
        <v>18</v>
      </c>
      <c r="N1701" t="str">
        <f>VLOOKUP(M1701,LUTs!E$2:H$14,3,)</f>
        <v>06King</v>
      </c>
      <c r="O1701" t="str">
        <f>VLOOKUP(M1701,LUTs!E$2:H$14,4,)</f>
        <v>02South Puget Sound</v>
      </c>
      <c r="P1701" s="73">
        <v>50.046728971962601</v>
      </c>
      <c r="Q1701" s="74">
        <f>VLOOKUP(B1701,Readme!A$40:C$51,2,)*P1701</f>
        <v>432.90420560747651</v>
      </c>
    </row>
    <row r="1702" spans="1:17" ht="12" customHeight="1" x14ac:dyDescent="0.35">
      <c r="A1702" s="75">
        <v>1701</v>
      </c>
      <c r="B1702" s="64">
        <v>2014</v>
      </c>
      <c r="C1702" s="64">
        <v>9</v>
      </c>
      <c r="D1702" s="80">
        <f t="shared" si="55"/>
        <v>2014</v>
      </c>
      <c r="E1702" t="s">
        <v>38</v>
      </c>
      <c r="F1702" t="s">
        <v>143</v>
      </c>
      <c r="G1702" t="s">
        <v>10</v>
      </c>
      <c r="H1702" s="72" t="s">
        <v>209</v>
      </c>
      <c r="I1702" s="72" t="s">
        <v>51</v>
      </c>
      <c r="J1702" t="str">
        <f t="shared" si="56"/>
        <v>Nisqually River</v>
      </c>
      <c r="K1702" t="str">
        <f>IFERROR(VLOOKUP(J1702,LUTs!$A$1:$C$73,2,FALSE),"NA")</f>
        <v>Thurston/Pierce</v>
      </c>
      <c r="L1702" t="str">
        <f>IFERROR(VLOOKUP(J1702,LUTs!$A$1:$C$73,3,FALSE),"NA")</f>
        <v>3South Puget Sound</v>
      </c>
      <c r="M1702" s="72" t="s">
        <v>23</v>
      </c>
      <c r="N1702" t="str">
        <f>VLOOKUP(M1702,LUTs!E$2:H$14,3,)</f>
        <v>10Kitsap</v>
      </c>
      <c r="O1702" t="str">
        <f>VLOOKUP(M1702,LUTs!E$2:H$14,4,)</f>
        <v>02South Puget Sound</v>
      </c>
      <c r="P1702" s="73">
        <v>14.2990654205607</v>
      </c>
      <c r="Q1702" s="74">
        <f>VLOOKUP(B1702,Readme!A$40:C$51,2,)*P1702</f>
        <v>123.68691588785006</v>
      </c>
    </row>
    <row r="1703" spans="1:17" ht="12" customHeight="1" x14ac:dyDescent="0.35">
      <c r="A1703" s="75">
        <v>1702</v>
      </c>
      <c r="B1703" s="64">
        <v>2014</v>
      </c>
      <c r="C1703" s="64">
        <v>9</v>
      </c>
      <c r="D1703" s="80">
        <f t="shared" si="55"/>
        <v>2014</v>
      </c>
      <c r="E1703" t="s">
        <v>38</v>
      </c>
      <c r="F1703" t="s">
        <v>143</v>
      </c>
      <c r="G1703" t="s">
        <v>10</v>
      </c>
      <c r="H1703" s="72" t="s">
        <v>209</v>
      </c>
      <c r="I1703" s="72" t="s">
        <v>51</v>
      </c>
      <c r="J1703" t="str">
        <f t="shared" si="56"/>
        <v>Nisqually River</v>
      </c>
      <c r="K1703" t="str">
        <f>IFERROR(VLOOKUP(J1703,LUTs!$A$1:$C$73,2,FALSE),"NA")</f>
        <v>Thurston/Pierce</v>
      </c>
      <c r="L1703" t="str">
        <f>IFERROR(VLOOKUP(J1703,LUTs!$A$1:$C$73,3,FALSE),"NA")</f>
        <v>3South Puget Sound</v>
      </c>
      <c r="M1703" s="72" t="s">
        <v>26</v>
      </c>
      <c r="N1703" t="str">
        <f>VLOOKUP(M1703,LUTs!E$2:H$14,3,)</f>
        <v>20Other</v>
      </c>
      <c r="O1703" t="str">
        <f>VLOOKUP(M1703,LUTs!E$2:H$14,4,)</f>
        <v>07Non Puget Sound</v>
      </c>
      <c r="P1703" s="73">
        <v>35.747663551401899</v>
      </c>
      <c r="Q1703" s="74">
        <f>VLOOKUP(B1703,Readme!A$40:C$51,2,)*P1703</f>
        <v>309.21728971962642</v>
      </c>
    </row>
    <row r="1704" spans="1:17" ht="12" customHeight="1" x14ac:dyDescent="0.35">
      <c r="A1704" s="75">
        <v>1703</v>
      </c>
      <c r="B1704" s="64">
        <v>2014</v>
      </c>
      <c r="C1704" s="64">
        <v>9</v>
      </c>
      <c r="D1704" s="80">
        <f t="shared" si="55"/>
        <v>2014</v>
      </c>
      <c r="E1704" t="s">
        <v>38</v>
      </c>
      <c r="F1704" t="s">
        <v>143</v>
      </c>
      <c r="G1704" t="s">
        <v>10</v>
      </c>
      <c r="H1704" s="72" t="s">
        <v>209</v>
      </c>
      <c r="I1704" s="72" t="s">
        <v>51</v>
      </c>
      <c r="J1704" t="str">
        <f t="shared" si="56"/>
        <v>Nisqually River</v>
      </c>
      <c r="K1704" t="str">
        <f>IFERROR(VLOOKUP(J1704,LUTs!$A$1:$C$73,2,FALSE),"NA")</f>
        <v>Thurston/Pierce</v>
      </c>
      <c r="L1704" t="str">
        <f>IFERROR(VLOOKUP(J1704,LUTs!$A$1:$C$73,3,FALSE),"NA")</f>
        <v>3South Puget Sound</v>
      </c>
      <c r="M1704" s="72" t="s">
        <v>20</v>
      </c>
      <c r="N1704" t="str">
        <f>VLOOKUP(M1704,LUTs!E$2:H$14,3,)</f>
        <v>07Pierce</v>
      </c>
      <c r="O1704" t="str">
        <f>VLOOKUP(M1704,LUTs!E$2:H$14,4,)</f>
        <v>02South Puget Sound</v>
      </c>
      <c r="P1704" s="73">
        <v>650.60747663551399</v>
      </c>
      <c r="Q1704" s="74">
        <f>VLOOKUP(B1704,Readme!A$40:C$51,2,)*P1704</f>
        <v>5627.7546728971965</v>
      </c>
    </row>
    <row r="1705" spans="1:17" ht="12" customHeight="1" x14ac:dyDescent="0.35">
      <c r="A1705" s="75">
        <v>1704</v>
      </c>
      <c r="B1705" s="64">
        <v>2014</v>
      </c>
      <c r="C1705" s="64">
        <v>9</v>
      </c>
      <c r="D1705" s="80">
        <f t="shared" si="55"/>
        <v>2014</v>
      </c>
      <c r="E1705" t="s">
        <v>38</v>
      </c>
      <c r="F1705" t="s">
        <v>143</v>
      </c>
      <c r="G1705" t="s">
        <v>10</v>
      </c>
      <c r="H1705" s="72" t="s">
        <v>209</v>
      </c>
      <c r="I1705" s="72" t="s">
        <v>51</v>
      </c>
      <c r="J1705" t="str">
        <f t="shared" si="56"/>
        <v>Nisqually River</v>
      </c>
      <c r="K1705" t="str">
        <f>IFERROR(VLOOKUP(J1705,LUTs!$A$1:$C$73,2,FALSE),"NA")</f>
        <v>Thurston/Pierce</v>
      </c>
      <c r="L1705" t="str">
        <f>IFERROR(VLOOKUP(J1705,LUTs!$A$1:$C$73,3,FALSE),"NA")</f>
        <v>3South Puget Sound</v>
      </c>
      <c r="M1705" s="72" t="s">
        <v>21</v>
      </c>
      <c r="N1705" t="str">
        <f>VLOOKUP(M1705,LUTs!E$2:H$14,3,)</f>
        <v>08Thurston</v>
      </c>
      <c r="O1705" t="str">
        <f>VLOOKUP(M1705,LUTs!E$2:H$14,4,)</f>
        <v>02South Puget Sound</v>
      </c>
      <c r="P1705" s="73">
        <v>779.29906542056096</v>
      </c>
      <c r="Q1705" s="74">
        <f>VLOOKUP(B1705,Readme!A$40:C$51,2,)*P1705</f>
        <v>6740.9369158878526</v>
      </c>
    </row>
    <row r="1706" spans="1:17" ht="12" customHeight="1" x14ac:dyDescent="0.35">
      <c r="A1706" s="75">
        <v>1705</v>
      </c>
      <c r="B1706" s="64">
        <v>2014</v>
      </c>
      <c r="C1706" s="64">
        <v>10</v>
      </c>
      <c r="D1706" s="80">
        <f t="shared" si="55"/>
        <v>2014</v>
      </c>
      <c r="E1706" t="s">
        <v>38</v>
      </c>
      <c r="F1706" t="s">
        <v>143</v>
      </c>
      <c r="G1706" t="s">
        <v>10</v>
      </c>
      <c r="H1706" s="72" t="s">
        <v>209</v>
      </c>
      <c r="I1706" s="72" t="s">
        <v>51</v>
      </c>
      <c r="J1706" t="str">
        <f t="shared" si="56"/>
        <v>Nisqually River</v>
      </c>
      <c r="K1706" t="str">
        <f>IFERROR(VLOOKUP(J1706,LUTs!$A$1:$C$73,2,FALSE),"NA")</f>
        <v>Thurston/Pierce</v>
      </c>
      <c r="L1706" t="str">
        <f>IFERROR(VLOOKUP(J1706,LUTs!$A$1:$C$73,3,FALSE),"NA")</f>
        <v>3South Puget Sound</v>
      </c>
      <c r="M1706" s="72" t="s">
        <v>20</v>
      </c>
      <c r="N1706" t="str">
        <f>VLOOKUP(M1706,LUTs!E$2:H$14,3,)</f>
        <v>07Pierce</v>
      </c>
      <c r="O1706" t="str">
        <f>VLOOKUP(M1706,LUTs!E$2:H$14,4,)</f>
        <v>02South Puget Sound</v>
      </c>
      <c r="P1706" s="73">
        <v>72.040816326530603</v>
      </c>
      <c r="Q1706" s="74">
        <f>VLOOKUP(B1706,Readme!A$40:C$51,2,)*P1706</f>
        <v>623.15306122448976</v>
      </c>
    </row>
    <row r="1707" spans="1:17" ht="12" customHeight="1" x14ac:dyDescent="0.35">
      <c r="A1707" s="75">
        <v>1706</v>
      </c>
      <c r="B1707" s="64">
        <v>2014</v>
      </c>
      <c r="C1707" s="64">
        <v>10</v>
      </c>
      <c r="D1707" s="80">
        <f t="shared" si="55"/>
        <v>2014</v>
      </c>
      <c r="E1707" t="s">
        <v>38</v>
      </c>
      <c r="F1707" t="s">
        <v>143</v>
      </c>
      <c r="G1707" t="s">
        <v>10</v>
      </c>
      <c r="H1707" s="72" t="s">
        <v>209</v>
      </c>
      <c r="I1707" s="72" t="s">
        <v>51</v>
      </c>
      <c r="J1707" t="str">
        <f t="shared" si="56"/>
        <v>Nisqually River</v>
      </c>
      <c r="K1707" t="str">
        <f>IFERROR(VLOOKUP(J1707,LUTs!$A$1:$C$73,2,FALSE),"NA")</f>
        <v>Thurston/Pierce</v>
      </c>
      <c r="L1707" t="str">
        <f>IFERROR(VLOOKUP(J1707,LUTs!$A$1:$C$73,3,FALSE),"NA")</f>
        <v>3South Puget Sound</v>
      </c>
      <c r="M1707" s="72" t="s">
        <v>16</v>
      </c>
      <c r="N1707" t="str">
        <f>VLOOKUP(M1707,LUTs!E$2:H$14,3,)</f>
        <v>03Snohomish</v>
      </c>
      <c r="O1707" t="str">
        <f>VLOOKUP(M1707,LUTs!E$2:H$14,4,)</f>
        <v>01North Puget Sound</v>
      </c>
      <c r="P1707" s="73">
        <v>7.2040816326530601</v>
      </c>
      <c r="Q1707" s="74">
        <f>VLOOKUP(B1707,Readme!A$40:C$51,2,)*P1707</f>
        <v>62.315306122448973</v>
      </c>
    </row>
    <row r="1708" spans="1:17" ht="12" customHeight="1" x14ac:dyDescent="0.35">
      <c r="A1708" s="75">
        <v>1707</v>
      </c>
      <c r="B1708" s="64">
        <v>2014</v>
      </c>
      <c r="C1708" s="64">
        <v>10</v>
      </c>
      <c r="D1708" s="80">
        <f t="shared" si="55"/>
        <v>2014</v>
      </c>
      <c r="E1708" t="s">
        <v>38</v>
      </c>
      <c r="F1708" t="s">
        <v>143</v>
      </c>
      <c r="G1708" t="s">
        <v>10</v>
      </c>
      <c r="H1708" s="72" t="s">
        <v>209</v>
      </c>
      <c r="I1708" s="72" t="s">
        <v>51</v>
      </c>
      <c r="J1708" t="str">
        <f t="shared" si="56"/>
        <v>Nisqually River</v>
      </c>
      <c r="K1708" t="str">
        <f>IFERROR(VLOOKUP(J1708,LUTs!$A$1:$C$73,2,FALSE),"NA")</f>
        <v>Thurston/Pierce</v>
      </c>
      <c r="L1708" t="str">
        <f>IFERROR(VLOOKUP(J1708,LUTs!$A$1:$C$73,3,FALSE),"NA")</f>
        <v>3South Puget Sound</v>
      </c>
      <c r="M1708" s="72" t="s">
        <v>21</v>
      </c>
      <c r="N1708" t="str">
        <f>VLOOKUP(M1708,LUTs!E$2:H$14,3,)</f>
        <v>08Thurston</v>
      </c>
      <c r="O1708" t="str">
        <f>VLOOKUP(M1708,LUTs!E$2:H$14,4,)</f>
        <v>02South Puget Sound</v>
      </c>
      <c r="P1708" s="73">
        <v>259.34693877551001</v>
      </c>
      <c r="Q1708" s="74">
        <f>VLOOKUP(B1708,Readme!A$40:C$51,2,)*P1708</f>
        <v>2243.3510204081617</v>
      </c>
    </row>
    <row r="1709" spans="1:17" ht="12" customHeight="1" x14ac:dyDescent="0.35">
      <c r="A1709" s="75">
        <v>1708</v>
      </c>
      <c r="B1709" s="64">
        <v>2014</v>
      </c>
      <c r="C1709" s="64">
        <v>10</v>
      </c>
      <c r="D1709" s="80">
        <f t="shared" si="55"/>
        <v>2014</v>
      </c>
      <c r="E1709" t="s">
        <v>38</v>
      </c>
      <c r="F1709" t="s">
        <v>143</v>
      </c>
      <c r="G1709" t="s">
        <v>10</v>
      </c>
      <c r="H1709" s="72" t="s">
        <v>209</v>
      </c>
      <c r="I1709" s="72" t="s">
        <v>51</v>
      </c>
      <c r="J1709" t="str">
        <f t="shared" si="56"/>
        <v>Nisqually River</v>
      </c>
      <c r="K1709" t="str">
        <f>IFERROR(VLOOKUP(J1709,LUTs!$A$1:$C$73,2,FALSE),"NA")</f>
        <v>Thurston/Pierce</v>
      </c>
      <c r="L1709" t="str">
        <f>IFERROR(VLOOKUP(J1709,LUTs!$A$1:$C$73,3,FALSE),"NA")</f>
        <v>3South Puget Sound</v>
      </c>
      <c r="M1709" s="72" t="s">
        <v>13</v>
      </c>
      <c r="N1709" t="str">
        <f>VLOOKUP(M1709,LUTs!E$2:H$14,3,)</f>
        <v>01Whatcom</v>
      </c>
      <c r="O1709" t="str">
        <f>VLOOKUP(M1709,LUTs!E$2:H$14,4,)</f>
        <v>01North Puget Sound</v>
      </c>
      <c r="P1709" s="73">
        <v>14.408163265306101</v>
      </c>
      <c r="Q1709" s="74">
        <f>VLOOKUP(B1709,Readme!A$40:C$51,2,)*P1709</f>
        <v>124.63061224489778</v>
      </c>
    </row>
    <row r="1710" spans="1:17" ht="12" customHeight="1" x14ac:dyDescent="0.35">
      <c r="A1710" s="75">
        <v>1709</v>
      </c>
      <c r="B1710" s="64">
        <v>2014</v>
      </c>
      <c r="C1710" s="64">
        <v>11</v>
      </c>
      <c r="D1710" s="80">
        <f t="shared" si="55"/>
        <v>2014</v>
      </c>
      <c r="E1710" t="s">
        <v>38</v>
      </c>
      <c r="F1710" t="s">
        <v>143</v>
      </c>
      <c r="G1710" t="s">
        <v>10</v>
      </c>
      <c r="H1710" s="72" t="s">
        <v>209</v>
      </c>
      <c r="I1710" s="72" t="s">
        <v>51</v>
      </c>
      <c r="J1710" t="str">
        <f t="shared" si="56"/>
        <v>Nisqually River</v>
      </c>
      <c r="K1710" t="str">
        <f>IFERROR(VLOOKUP(J1710,LUTs!$A$1:$C$73,2,FALSE),"NA")</f>
        <v>Thurston/Pierce</v>
      </c>
      <c r="L1710" t="str">
        <f>IFERROR(VLOOKUP(J1710,LUTs!$A$1:$C$73,3,FALSE),"NA")</f>
        <v>3South Puget Sound</v>
      </c>
      <c r="M1710" s="72" t="s">
        <v>21</v>
      </c>
      <c r="N1710" t="str">
        <f>VLOOKUP(M1710,LUTs!E$2:H$14,3,)</f>
        <v>08Thurston</v>
      </c>
      <c r="O1710" t="str">
        <f>VLOOKUP(M1710,LUTs!E$2:H$14,4,)</f>
        <v>02South Puget Sound</v>
      </c>
      <c r="P1710" s="73">
        <v>28</v>
      </c>
      <c r="Q1710" s="74">
        <f>VLOOKUP(B1710,Readme!A$40:C$51,2,)*P1710</f>
        <v>242.20000000000002</v>
      </c>
    </row>
    <row r="1711" spans="1:17" ht="12" customHeight="1" x14ac:dyDescent="0.35">
      <c r="A1711" s="75">
        <v>1710</v>
      </c>
      <c r="B1711" s="64">
        <v>2014</v>
      </c>
      <c r="C1711" s="64">
        <v>12</v>
      </c>
      <c r="D1711" s="80">
        <f t="shared" si="55"/>
        <v>2014</v>
      </c>
      <c r="E1711" t="s">
        <v>38</v>
      </c>
      <c r="F1711" t="s">
        <v>143</v>
      </c>
      <c r="G1711" t="s">
        <v>10</v>
      </c>
      <c r="H1711" s="72" t="s">
        <v>209</v>
      </c>
      <c r="I1711" s="72" t="s">
        <v>51</v>
      </c>
      <c r="J1711" t="str">
        <f t="shared" si="56"/>
        <v>Nisqually River</v>
      </c>
      <c r="K1711" t="str">
        <f>IFERROR(VLOOKUP(J1711,LUTs!$A$1:$C$73,2,FALSE),"NA")</f>
        <v>Thurston/Pierce</v>
      </c>
      <c r="L1711" t="str">
        <f>IFERROR(VLOOKUP(J1711,LUTs!$A$1:$C$73,3,FALSE),"NA")</f>
        <v>3South Puget Sound</v>
      </c>
      <c r="M1711" s="72" t="s">
        <v>18</v>
      </c>
      <c r="N1711" t="str">
        <f>VLOOKUP(M1711,LUTs!E$2:H$14,3,)</f>
        <v>06King</v>
      </c>
      <c r="O1711" t="str">
        <f>VLOOKUP(M1711,LUTs!E$2:H$14,4,)</f>
        <v>02South Puget Sound</v>
      </c>
      <c r="P1711" s="73">
        <v>7.0789473684210504</v>
      </c>
      <c r="Q1711" s="74">
        <f>VLOOKUP(B1711,Readme!A$40:C$51,2,)*P1711</f>
        <v>61.232894736842091</v>
      </c>
    </row>
    <row r="1712" spans="1:17" ht="12" customHeight="1" x14ac:dyDescent="0.35">
      <c r="A1712" s="75">
        <v>1711</v>
      </c>
      <c r="B1712" s="64">
        <v>2014</v>
      </c>
      <c r="C1712" s="64">
        <v>12</v>
      </c>
      <c r="D1712" s="80">
        <f t="shared" si="55"/>
        <v>2014</v>
      </c>
      <c r="E1712" t="s">
        <v>38</v>
      </c>
      <c r="F1712" t="s">
        <v>143</v>
      </c>
      <c r="G1712" t="s">
        <v>10</v>
      </c>
      <c r="H1712" s="72" t="s">
        <v>209</v>
      </c>
      <c r="I1712" s="72" t="s">
        <v>51</v>
      </c>
      <c r="J1712" t="str">
        <f t="shared" si="56"/>
        <v>Nisqually River</v>
      </c>
      <c r="K1712" t="str">
        <f>IFERROR(VLOOKUP(J1712,LUTs!$A$1:$C$73,2,FALSE),"NA")</f>
        <v>Thurston/Pierce</v>
      </c>
      <c r="L1712" t="str">
        <f>IFERROR(VLOOKUP(J1712,LUTs!$A$1:$C$73,3,FALSE),"NA")</f>
        <v>3South Puget Sound</v>
      </c>
      <c r="M1712" s="72" t="s">
        <v>26</v>
      </c>
      <c r="N1712" t="str">
        <f>VLOOKUP(M1712,LUTs!E$2:H$14,3,)</f>
        <v>20Other</v>
      </c>
      <c r="O1712" t="str">
        <f>VLOOKUP(M1712,LUTs!E$2:H$14,4,)</f>
        <v>07Non Puget Sound</v>
      </c>
      <c r="P1712" s="73">
        <v>21.2368421052632</v>
      </c>
      <c r="Q1712" s="74">
        <f>VLOOKUP(B1712,Readme!A$40:C$51,2,)*P1712</f>
        <v>183.69868421052669</v>
      </c>
    </row>
    <row r="1713" spans="1:17" ht="12" customHeight="1" x14ac:dyDescent="0.35">
      <c r="A1713" s="75">
        <v>1712</v>
      </c>
      <c r="B1713" s="64">
        <v>2014</v>
      </c>
      <c r="C1713" s="64">
        <v>12</v>
      </c>
      <c r="D1713" s="80">
        <f t="shared" si="55"/>
        <v>2014</v>
      </c>
      <c r="E1713" t="s">
        <v>38</v>
      </c>
      <c r="F1713" t="s">
        <v>143</v>
      </c>
      <c r="G1713" t="s">
        <v>10</v>
      </c>
      <c r="H1713" s="72" t="s">
        <v>209</v>
      </c>
      <c r="I1713" s="72" t="s">
        <v>51</v>
      </c>
      <c r="J1713" t="str">
        <f t="shared" si="56"/>
        <v>Nisqually River</v>
      </c>
      <c r="K1713" t="str">
        <f>IFERROR(VLOOKUP(J1713,LUTs!$A$1:$C$73,2,FALSE),"NA")</f>
        <v>Thurston/Pierce</v>
      </c>
      <c r="L1713" t="str">
        <f>IFERROR(VLOOKUP(J1713,LUTs!$A$1:$C$73,3,FALSE),"NA")</f>
        <v>3South Puget Sound</v>
      </c>
      <c r="M1713" s="72" t="s">
        <v>20</v>
      </c>
      <c r="N1713" t="str">
        <f>VLOOKUP(M1713,LUTs!E$2:H$14,3,)</f>
        <v>07Pierce</v>
      </c>
      <c r="O1713" t="str">
        <f>VLOOKUP(M1713,LUTs!E$2:H$14,4,)</f>
        <v>02South Puget Sound</v>
      </c>
      <c r="P1713" s="73">
        <v>92.026315789473699</v>
      </c>
      <c r="Q1713" s="74">
        <f>VLOOKUP(B1713,Readme!A$40:C$51,2,)*P1713</f>
        <v>796.02763157894753</v>
      </c>
    </row>
    <row r="1714" spans="1:17" ht="12" customHeight="1" x14ac:dyDescent="0.35">
      <c r="A1714" s="75">
        <v>1713</v>
      </c>
      <c r="B1714" s="64">
        <v>2014</v>
      </c>
      <c r="C1714" s="64">
        <v>12</v>
      </c>
      <c r="D1714" s="80">
        <f t="shared" si="55"/>
        <v>2014</v>
      </c>
      <c r="E1714" t="s">
        <v>38</v>
      </c>
      <c r="F1714" t="s">
        <v>143</v>
      </c>
      <c r="G1714" t="s">
        <v>10</v>
      </c>
      <c r="H1714" s="72" t="s">
        <v>209</v>
      </c>
      <c r="I1714" s="72" t="s">
        <v>51</v>
      </c>
      <c r="J1714" t="str">
        <f t="shared" si="56"/>
        <v>Nisqually River</v>
      </c>
      <c r="K1714" t="str">
        <f>IFERROR(VLOOKUP(J1714,LUTs!$A$1:$C$73,2,FALSE),"NA")</f>
        <v>Thurston/Pierce</v>
      </c>
      <c r="L1714" t="str">
        <f>IFERROR(VLOOKUP(J1714,LUTs!$A$1:$C$73,3,FALSE),"NA")</f>
        <v>3South Puget Sound</v>
      </c>
      <c r="M1714" s="72" t="s">
        <v>21</v>
      </c>
      <c r="N1714" t="str">
        <f>VLOOKUP(M1714,LUTs!E$2:H$14,3,)</f>
        <v>08Thurston</v>
      </c>
      <c r="O1714" t="str">
        <f>VLOOKUP(M1714,LUTs!E$2:H$14,4,)</f>
        <v>02South Puget Sound</v>
      </c>
      <c r="P1714" s="73">
        <v>148.657894736842</v>
      </c>
      <c r="Q1714" s="74">
        <f>VLOOKUP(B1714,Readme!A$40:C$51,2,)*P1714</f>
        <v>1285.8907894736833</v>
      </c>
    </row>
    <row r="1715" spans="1:17" ht="12" customHeight="1" x14ac:dyDescent="0.35">
      <c r="A1715" s="75">
        <v>1714</v>
      </c>
      <c r="B1715" s="64">
        <v>2015</v>
      </c>
      <c r="C1715" s="64">
        <v>1</v>
      </c>
      <c r="D1715" s="80">
        <f t="shared" si="55"/>
        <v>2014</v>
      </c>
      <c r="E1715" t="s">
        <v>38</v>
      </c>
      <c r="F1715" t="s">
        <v>143</v>
      </c>
      <c r="G1715" t="s">
        <v>10</v>
      </c>
      <c r="H1715" s="72" t="s">
        <v>209</v>
      </c>
      <c r="I1715" s="72" t="s">
        <v>51</v>
      </c>
      <c r="J1715" t="str">
        <f t="shared" si="56"/>
        <v>Nisqually River</v>
      </c>
      <c r="K1715" t="str">
        <f>IFERROR(VLOOKUP(J1715,LUTs!$A$1:$C$73,2,FALSE),"NA")</f>
        <v>Thurston/Pierce</v>
      </c>
      <c r="L1715" t="str">
        <f>IFERROR(VLOOKUP(J1715,LUTs!$A$1:$C$73,3,FALSE),"NA")</f>
        <v>3South Puget Sound</v>
      </c>
      <c r="M1715" s="72" t="s">
        <v>20</v>
      </c>
      <c r="N1715" t="str">
        <f>VLOOKUP(M1715,LUTs!E$2:H$14,3,)</f>
        <v>07Pierce</v>
      </c>
      <c r="O1715" t="str">
        <f>VLOOKUP(M1715,LUTs!E$2:H$14,4,)</f>
        <v>02South Puget Sound</v>
      </c>
      <c r="P1715" s="73">
        <v>35.454545454545503</v>
      </c>
      <c r="Q1715" s="74">
        <f>VLOOKUP(B1715,Readme!A$40:C$51,2,)*P1715</f>
        <v>121.96363636363652</v>
      </c>
    </row>
    <row r="1716" spans="1:17" ht="12" customHeight="1" x14ac:dyDescent="0.35">
      <c r="A1716" s="75">
        <v>1715</v>
      </c>
      <c r="B1716" s="64">
        <v>2015</v>
      </c>
      <c r="C1716" s="64">
        <v>1</v>
      </c>
      <c r="D1716" s="80">
        <f t="shared" si="55"/>
        <v>2014</v>
      </c>
      <c r="E1716" t="s">
        <v>38</v>
      </c>
      <c r="F1716" t="s">
        <v>143</v>
      </c>
      <c r="G1716" t="s">
        <v>10</v>
      </c>
      <c r="H1716" s="72" t="s">
        <v>209</v>
      </c>
      <c r="I1716" s="72" t="s">
        <v>51</v>
      </c>
      <c r="J1716" t="str">
        <f t="shared" si="56"/>
        <v>Nisqually River</v>
      </c>
      <c r="K1716" t="str">
        <f>IFERROR(VLOOKUP(J1716,LUTs!$A$1:$C$73,2,FALSE),"NA")</f>
        <v>Thurston/Pierce</v>
      </c>
      <c r="L1716" t="str">
        <f>IFERROR(VLOOKUP(J1716,LUTs!$A$1:$C$73,3,FALSE),"NA")</f>
        <v>3South Puget Sound</v>
      </c>
      <c r="M1716" s="72" t="s">
        <v>21</v>
      </c>
      <c r="N1716" t="str">
        <f>VLOOKUP(M1716,LUTs!E$2:H$14,3,)</f>
        <v>08Thurston</v>
      </c>
      <c r="O1716" t="str">
        <f>VLOOKUP(M1716,LUTs!E$2:H$14,4,)</f>
        <v>02South Puget Sound</v>
      </c>
      <c r="P1716" s="73">
        <v>42.545454545454497</v>
      </c>
      <c r="Q1716" s="74">
        <f>VLOOKUP(B1716,Readme!A$40:C$51,2,)*P1716</f>
        <v>146.35636363636345</v>
      </c>
    </row>
    <row r="1717" spans="1:17" ht="12" customHeight="1" x14ac:dyDescent="0.35">
      <c r="A1717" s="75">
        <v>1716</v>
      </c>
      <c r="B1717" s="64">
        <v>2014</v>
      </c>
      <c r="C1717" s="64">
        <v>9</v>
      </c>
      <c r="D1717" s="80">
        <f t="shared" si="55"/>
        <v>2014</v>
      </c>
      <c r="E1717" t="s">
        <v>38</v>
      </c>
      <c r="F1717" t="s">
        <v>143</v>
      </c>
      <c r="G1717" t="s">
        <v>10</v>
      </c>
      <c r="H1717" s="72" t="s">
        <v>210</v>
      </c>
      <c r="I1717" s="72" t="s">
        <v>52</v>
      </c>
      <c r="J1717" t="str">
        <f t="shared" si="56"/>
        <v>Nooksack River</v>
      </c>
      <c r="K1717" t="str">
        <f>IFERROR(VLOOKUP(J1717,LUTs!$A$1:$C$73,2,FALSE),"NA")</f>
        <v>Whatcom</v>
      </c>
      <c r="L1717" t="str">
        <f>IFERROR(VLOOKUP(J1717,LUTs!$A$1:$C$73,3,FALSE),"NA")</f>
        <v>1North Puget Sound</v>
      </c>
      <c r="M1717" s="72" t="s">
        <v>13</v>
      </c>
      <c r="N1717" t="str">
        <f>VLOOKUP(M1717,LUTs!E$2:H$14,3,)</f>
        <v>01Whatcom</v>
      </c>
      <c r="O1717" t="str">
        <f>VLOOKUP(M1717,LUTs!E$2:H$14,4,)</f>
        <v>01North Puget Sound</v>
      </c>
      <c r="P1717" s="73">
        <v>544</v>
      </c>
      <c r="Q1717" s="74">
        <f>VLOOKUP(B1717,Readme!A$40:C$51,2,)*P1717</f>
        <v>4705.6000000000004</v>
      </c>
    </row>
    <row r="1718" spans="1:17" ht="12" customHeight="1" x14ac:dyDescent="0.35">
      <c r="A1718" s="75">
        <v>1717</v>
      </c>
      <c r="B1718" s="64">
        <v>2014</v>
      </c>
      <c r="C1718" s="64">
        <v>10</v>
      </c>
      <c r="D1718" s="80">
        <f t="shared" si="55"/>
        <v>2014</v>
      </c>
      <c r="E1718" t="s">
        <v>38</v>
      </c>
      <c r="F1718" t="s">
        <v>143</v>
      </c>
      <c r="G1718" t="s">
        <v>10</v>
      </c>
      <c r="H1718" s="72" t="s">
        <v>210</v>
      </c>
      <c r="I1718" s="72" t="s">
        <v>52</v>
      </c>
      <c r="J1718" t="str">
        <f t="shared" si="56"/>
        <v>Nooksack River</v>
      </c>
      <c r="K1718" t="str">
        <f>IFERROR(VLOOKUP(J1718,LUTs!$A$1:$C$73,2,FALSE),"NA")</f>
        <v>Whatcom</v>
      </c>
      <c r="L1718" t="str">
        <f>IFERROR(VLOOKUP(J1718,LUTs!$A$1:$C$73,3,FALSE),"NA")</f>
        <v>1North Puget Sound</v>
      </c>
      <c r="M1718" s="72" t="s">
        <v>26</v>
      </c>
      <c r="N1718" t="str">
        <f>VLOOKUP(M1718,LUTs!E$2:H$14,3,)</f>
        <v>20Other</v>
      </c>
      <c r="O1718" t="str">
        <f>VLOOKUP(M1718,LUTs!E$2:H$14,4,)</f>
        <v>07Non Puget Sound</v>
      </c>
      <c r="P1718" s="73">
        <v>71.509433962264197</v>
      </c>
      <c r="Q1718" s="74">
        <f>VLOOKUP(B1718,Readme!A$40:C$51,2,)*P1718</f>
        <v>618.55660377358538</v>
      </c>
    </row>
    <row r="1719" spans="1:17" ht="12" customHeight="1" x14ac:dyDescent="0.35">
      <c r="A1719" s="75">
        <v>1718</v>
      </c>
      <c r="B1719" s="64">
        <v>2014</v>
      </c>
      <c r="C1719" s="64">
        <v>10</v>
      </c>
      <c r="D1719" s="80">
        <f t="shared" si="55"/>
        <v>2014</v>
      </c>
      <c r="E1719" t="s">
        <v>38</v>
      </c>
      <c r="F1719" t="s">
        <v>143</v>
      </c>
      <c r="G1719" t="s">
        <v>10</v>
      </c>
      <c r="H1719" s="72" t="s">
        <v>210</v>
      </c>
      <c r="I1719" s="72" t="s">
        <v>52</v>
      </c>
      <c r="J1719" t="str">
        <f t="shared" si="56"/>
        <v>Nooksack River</v>
      </c>
      <c r="K1719" t="str">
        <f>IFERROR(VLOOKUP(J1719,LUTs!$A$1:$C$73,2,FALSE),"NA")</f>
        <v>Whatcom</v>
      </c>
      <c r="L1719" t="str">
        <f>IFERROR(VLOOKUP(J1719,LUTs!$A$1:$C$73,3,FALSE),"NA")</f>
        <v>1North Puget Sound</v>
      </c>
      <c r="M1719" s="72" t="s">
        <v>15</v>
      </c>
      <c r="N1719" t="str">
        <f>VLOOKUP(M1719,LUTs!E$2:H$14,3,)</f>
        <v>02Skagit</v>
      </c>
      <c r="O1719" t="str">
        <f>VLOOKUP(M1719,LUTs!E$2:H$14,4,)</f>
        <v>01North Puget Sound</v>
      </c>
      <c r="P1719" s="73">
        <v>21.4528301886793</v>
      </c>
      <c r="Q1719" s="74">
        <f>VLOOKUP(B1719,Readme!A$40:C$51,2,)*P1719</f>
        <v>185.56698113207597</v>
      </c>
    </row>
    <row r="1720" spans="1:17" ht="12" customHeight="1" x14ac:dyDescent="0.35">
      <c r="A1720" s="75">
        <v>1719</v>
      </c>
      <c r="B1720" s="64">
        <v>2014</v>
      </c>
      <c r="C1720" s="64">
        <v>10</v>
      </c>
      <c r="D1720" s="80">
        <f t="shared" si="55"/>
        <v>2014</v>
      </c>
      <c r="E1720" t="s">
        <v>38</v>
      </c>
      <c r="F1720" t="s">
        <v>143</v>
      </c>
      <c r="G1720" t="s">
        <v>10</v>
      </c>
      <c r="H1720" s="72" t="s">
        <v>210</v>
      </c>
      <c r="I1720" s="72" t="s">
        <v>52</v>
      </c>
      <c r="J1720" t="str">
        <f t="shared" si="56"/>
        <v>Nooksack River</v>
      </c>
      <c r="K1720" t="str">
        <f>IFERROR(VLOOKUP(J1720,LUTs!$A$1:$C$73,2,FALSE),"NA")</f>
        <v>Whatcom</v>
      </c>
      <c r="L1720" t="str">
        <f>IFERROR(VLOOKUP(J1720,LUTs!$A$1:$C$73,3,FALSE),"NA")</f>
        <v>1North Puget Sound</v>
      </c>
      <c r="M1720" s="72" t="s">
        <v>13</v>
      </c>
      <c r="N1720" t="str">
        <f>VLOOKUP(M1720,LUTs!E$2:H$14,3,)</f>
        <v>01Whatcom</v>
      </c>
      <c r="O1720" t="str">
        <f>VLOOKUP(M1720,LUTs!E$2:H$14,4,)</f>
        <v>01North Puget Sound</v>
      </c>
      <c r="P1720" s="73">
        <v>286.03773584905701</v>
      </c>
      <c r="Q1720" s="74">
        <f>VLOOKUP(B1720,Readme!A$40:C$51,2,)*P1720</f>
        <v>2474.2264150943433</v>
      </c>
    </row>
    <row r="1721" spans="1:17" ht="12" customHeight="1" x14ac:dyDescent="0.35">
      <c r="A1721" s="75">
        <v>1720</v>
      </c>
      <c r="B1721" s="64">
        <v>2014</v>
      </c>
      <c r="C1721" s="64">
        <v>11</v>
      </c>
      <c r="D1721" s="80">
        <f t="shared" si="55"/>
        <v>2014</v>
      </c>
      <c r="E1721" t="s">
        <v>38</v>
      </c>
      <c r="F1721" t="s">
        <v>143</v>
      </c>
      <c r="G1721" t="s">
        <v>10</v>
      </c>
      <c r="H1721" s="72" t="s">
        <v>210</v>
      </c>
      <c r="I1721" s="72" t="s">
        <v>52</v>
      </c>
      <c r="J1721" t="str">
        <f t="shared" si="56"/>
        <v>Nooksack River</v>
      </c>
      <c r="K1721" t="str">
        <f>IFERROR(VLOOKUP(J1721,LUTs!$A$1:$C$73,2,FALSE),"NA")</f>
        <v>Whatcom</v>
      </c>
      <c r="L1721" t="str">
        <f>IFERROR(VLOOKUP(J1721,LUTs!$A$1:$C$73,3,FALSE),"NA")</f>
        <v>1North Puget Sound</v>
      </c>
      <c r="M1721" s="72" t="s">
        <v>17</v>
      </c>
      <c r="N1721" t="str">
        <f>VLOOKUP(M1721,LUTs!E$2:H$14,3,)</f>
        <v>04Island</v>
      </c>
      <c r="O1721" t="str">
        <f>VLOOKUP(M1721,LUTs!E$2:H$14,4,)</f>
        <v>01North Puget Sound</v>
      </c>
      <c r="P1721" s="73">
        <v>14.303030303030299</v>
      </c>
      <c r="Q1721" s="74">
        <f>VLOOKUP(B1721,Readme!A$40:C$51,2,)*P1721</f>
        <v>123.72121212121209</v>
      </c>
    </row>
    <row r="1722" spans="1:17" ht="12" customHeight="1" x14ac:dyDescent="0.35">
      <c r="A1722" s="75">
        <v>1721</v>
      </c>
      <c r="B1722" s="64">
        <v>2014</v>
      </c>
      <c r="C1722" s="64">
        <v>11</v>
      </c>
      <c r="D1722" s="80">
        <f t="shared" si="55"/>
        <v>2014</v>
      </c>
      <c r="E1722" t="s">
        <v>38</v>
      </c>
      <c r="F1722" t="s">
        <v>143</v>
      </c>
      <c r="G1722" t="s">
        <v>10</v>
      </c>
      <c r="H1722" s="72" t="s">
        <v>210</v>
      </c>
      <c r="I1722" s="72" t="s">
        <v>52</v>
      </c>
      <c r="J1722" t="str">
        <f t="shared" si="56"/>
        <v>Nooksack River</v>
      </c>
      <c r="K1722" t="str">
        <f>IFERROR(VLOOKUP(J1722,LUTs!$A$1:$C$73,2,FALSE),"NA")</f>
        <v>Whatcom</v>
      </c>
      <c r="L1722" t="str">
        <f>IFERROR(VLOOKUP(J1722,LUTs!$A$1:$C$73,3,FALSE),"NA")</f>
        <v>1North Puget Sound</v>
      </c>
      <c r="M1722" s="72" t="s">
        <v>18</v>
      </c>
      <c r="N1722" t="str">
        <f>VLOOKUP(M1722,LUTs!E$2:H$14,3,)</f>
        <v>06King</v>
      </c>
      <c r="O1722" t="str">
        <f>VLOOKUP(M1722,LUTs!E$2:H$14,4,)</f>
        <v>02South Puget Sound</v>
      </c>
      <c r="P1722" s="73">
        <v>28.606060606060598</v>
      </c>
      <c r="Q1722" s="74">
        <f>VLOOKUP(B1722,Readme!A$40:C$51,2,)*P1722</f>
        <v>247.44242424242418</v>
      </c>
    </row>
    <row r="1723" spans="1:17" ht="12" customHeight="1" x14ac:dyDescent="0.35">
      <c r="A1723" s="75">
        <v>1722</v>
      </c>
      <c r="B1723" s="64">
        <v>2014</v>
      </c>
      <c r="C1723" s="64">
        <v>11</v>
      </c>
      <c r="D1723" s="80">
        <f t="shared" si="55"/>
        <v>2014</v>
      </c>
      <c r="E1723" t="s">
        <v>38</v>
      </c>
      <c r="F1723" t="s">
        <v>143</v>
      </c>
      <c r="G1723" t="s">
        <v>10</v>
      </c>
      <c r="H1723" s="72" t="s">
        <v>210</v>
      </c>
      <c r="I1723" s="72" t="s">
        <v>52</v>
      </c>
      <c r="J1723" t="str">
        <f t="shared" si="56"/>
        <v>Nooksack River</v>
      </c>
      <c r="K1723" t="str">
        <f>IFERROR(VLOOKUP(J1723,LUTs!$A$1:$C$73,2,FALSE),"NA")</f>
        <v>Whatcom</v>
      </c>
      <c r="L1723" t="str">
        <f>IFERROR(VLOOKUP(J1723,LUTs!$A$1:$C$73,3,FALSE),"NA")</f>
        <v>1North Puget Sound</v>
      </c>
      <c r="M1723" s="72" t="s">
        <v>20</v>
      </c>
      <c r="N1723" t="str">
        <f>VLOOKUP(M1723,LUTs!E$2:H$14,3,)</f>
        <v>07Pierce</v>
      </c>
      <c r="O1723" t="str">
        <f>VLOOKUP(M1723,LUTs!E$2:H$14,4,)</f>
        <v>02South Puget Sound</v>
      </c>
      <c r="P1723" s="73">
        <v>7.1515151515151496</v>
      </c>
      <c r="Q1723" s="74">
        <f>VLOOKUP(B1723,Readme!A$40:C$51,2,)*P1723</f>
        <v>61.860606060606045</v>
      </c>
    </row>
    <row r="1724" spans="1:17" ht="12" customHeight="1" x14ac:dyDescent="0.35">
      <c r="A1724" s="75">
        <v>1723</v>
      </c>
      <c r="B1724" s="64">
        <v>2014</v>
      </c>
      <c r="C1724" s="64">
        <v>11</v>
      </c>
      <c r="D1724" s="80">
        <f t="shared" si="55"/>
        <v>2014</v>
      </c>
      <c r="E1724" t="s">
        <v>38</v>
      </c>
      <c r="F1724" t="s">
        <v>143</v>
      </c>
      <c r="G1724" t="s">
        <v>10</v>
      </c>
      <c r="H1724" s="72" t="s">
        <v>210</v>
      </c>
      <c r="I1724" s="72" t="s">
        <v>52</v>
      </c>
      <c r="J1724" t="str">
        <f t="shared" si="56"/>
        <v>Nooksack River</v>
      </c>
      <c r="K1724" t="str">
        <f>IFERROR(VLOOKUP(J1724,LUTs!$A$1:$C$73,2,FALSE),"NA")</f>
        <v>Whatcom</v>
      </c>
      <c r="L1724" t="str">
        <f>IFERROR(VLOOKUP(J1724,LUTs!$A$1:$C$73,3,FALSE),"NA")</f>
        <v>1North Puget Sound</v>
      </c>
      <c r="M1724" s="72" t="s">
        <v>13</v>
      </c>
      <c r="N1724" t="str">
        <f>VLOOKUP(M1724,LUTs!E$2:H$14,3,)</f>
        <v>01Whatcom</v>
      </c>
      <c r="O1724" t="str">
        <f>VLOOKUP(M1724,LUTs!E$2:H$14,4,)</f>
        <v>01North Puget Sound</v>
      </c>
      <c r="P1724" s="73">
        <v>185.93939393939399</v>
      </c>
      <c r="Q1724" s="74">
        <f>VLOOKUP(B1724,Readme!A$40:C$51,2,)*P1724</f>
        <v>1608.3757575757581</v>
      </c>
    </row>
    <row r="1725" spans="1:17" ht="12" customHeight="1" x14ac:dyDescent="0.35">
      <c r="A1725" s="75">
        <v>1724</v>
      </c>
      <c r="B1725" s="64">
        <v>2014</v>
      </c>
      <c r="C1725" s="64">
        <v>12</v>
      </c>
      <c r="D1725" s="80">
        <f t="shared" si="55"/>
        <v>2014</v>
      </c>
      <c r="E1725" t="s">
        <v>38</v>
      </c>
      <c r="F1725" t="s">
        <v>143</v>
      </c>
      <c r="G1725" t="s">
        <v>10</v>
      </c>
      <c r="H1725" s="72" t="s">
        <v>210</v>
      </c>
      <c r="I1725" s="72" t="s">
        <v>52</v>
      </c>
      <c r="J1725" t="str">
        <f t="shared" si="56"/>
        <v>Nooksack River</v>
      </c>
      <c r="K1725" t="str">
        <f>IFERROR(VLOOKUP(J1725,LUTs!$A$1:$C$73,2,FALSE),"NA")</f>
        <v>Whatcom</v>
      </c>
      <c r="L1725" t="str">
        <f>IFERROR(VLOOKUP(J1725,LUTs!$A$1:$C$73,3,FALSE),"NA")</f>
        <v>1North Puget Sound</v>
      </c>
      <c r="M1725" s="72" t="s">
        <v>13</v>
      </c>
      <c r="N1725" t="str">
        <f>VLOOKUP(M1725,LUTs!E$2:H$14,3,)</f>
        <v>01Whatcom</v>
      </c>
      <c r="O1725" t="str">
        <f>VLOOKUP(M1725,LUTs!E$2:H$14,4,)</f>
        <v>01North Puget Sound</v>
      </c>
      <c r="P1725" s="73">
        <v>35</v>
      </c>
      <c r="Q1725" s="74">
        <f>VLOOKUP(B1725,Readme!A$40:C$51,2,)*P1725</f>
        <v>302.75</v>
      </c>
    </row>
    <row r="1726" spans="1:17" ht="12" customHeight="1" x14ac:dyDescent="0.35">
      <c r="A1726" s="75">
        <v>1725</v>
      </c>
      <c r="B1726" s="64">
        <v>2014</v>
      </c>
      <c r="C1726" s="64">
        <v>9</v>
      </c>
      <c r="D1726" s="80">
        <f t="shared" si="55"/>
        <v>2014</v>
      </c>
      <c r="E1726" t="s">
        <v>38</v>
      </c>
      <c r="F1726" t="s">
        <v>143</v>
      </c>
      <c r="G1726" t="s">
        <v>10</v>
      </c>
      <c r="H1726" s="72" t="s">
        <v>211</v>
      </c>
      <c r="I1726" s="72" t="s">
        <v>53</v>
      </c>
      <c r="J1726" t="str">
        <f t="shared" si="56"/>
        <v>Carbon River</v>
      </c>
      <c r="K1726" t="str">
        <f>IFERROR(VLOOKUP(J1726,LUTs!$A$1:$C$73,2,FALSE),"NA")</f>
        <v>Pierce</v>
      </c>
      <c r="L1726" t="str">
        <f>IFERROR(VLOOKUP(J1726,LUTs!$A$1:$C$73,3,FALSE),"NA")</f>
        <v>3South Puget Sound</v>
      </c>
      <c r="M1726" s="72" t="s">
        <v>18</v>
      </c>
      <c r="N1726" t="str">
        <f>VLOOKUP(M1726,LUTs!E$2:H$14,3,)</f>
        <v>06King</v>
      </c>
      <c r="O1726" t="str">
        <f>VLOOKUP(M1726,LUTs!E$2:H$14,4,)</f>
        <v>02South Puget Sound</v>
      </c>
      <c r="P1726" s="73">
        <v>215.506024096386</v>
      </c>
      <c r="Q1726" s="74">
        <f>VLOOKUP(B1726,Readme!A$40:C$51,2,)*P1726</f>
        <v>1864.1271084337391</v>
      </c>
    </row>
    <row r="1727" spans="1:17" ht="12" customHeight="1" x14ac:dyDescent="0.35">
      <c r="A1727" s="75">
        <v>1726</v>
      </c>
      <c r="B1727" s="64">
        <v>2014</v>
      </c>
      <c r="C1727" s="64">
        <v>9</v>
      </c>
      <c r="D1727" s="80">
        <f t="shared" si="55"/>
        <v>2014</v>
      </c>
      <c r="E1727" t="s">
        <v>38</v>
      </c>
      <c r="F1727" t="s">
        <v>143</v>
      </c>
      <c r="G1727" t="s">
        <v>10</v>
      </c>
      <c r="H1727" s="72" t="s">
        <v>211</v>
      </c>
      <c r="I1727" s="72" t="s">
        <v>53</v>
      </c>
      <c r="J1727" t="str">
        <f t="shared" si="56"/>
        <v>Carbon River</v>
      </c>
      <c r="K1727" t="str">
        <f>IFERROR(VLOOKUP(J1727,LUTs!$A$1:$C$73,2,FALSE),"NA")</f>
        <v>Pierce</v>
      </c>
      <c r="L1727" t="str">
        <f>IFERROR(VLOOKUP(J1727,LUTs!$A$1:$C$73,3,FALSE),"NA")</f>
        <v>3South Puget Sound</v>
      </c>
      <c r="M1727" s="72" t="s">
        <v>23</v>
      </c>
      <c r="N1727" t="str">
        <f>VLOOKUP(M1727,LUTs!E$2:H$14,3,)</f>
        <v>10Kitsap</v>
      </c>
      <c r="O1727" t="str">
        <f>VLOOKUP(M1727,LUTs!E$2:H$14,4,)</f>
        <v>02South Puget Sound</v>
      </c>
      <c r="P1727" s="73">
        <v>13.903614457831299</v>
      </c>
      <c r="Q1727" s="74">
        <f>VLOOKUP(B1727,Readme!A$40:C$51,2,)*P1727</f>
        <v>120.26626506024074</v>
      </c>
    </row>
    <row r="1728" spans="1:17" ht="12" customHeight="1" x14ac:dyDescent="0.35">
      <c r="A1728" s="75">
        <v>1727</v>
      </c>
      <c r="B1728" s="64">
        <v>2014</v>
      </c>
      <c r="C1728" s="64">
        <v>9</v>
      </c>
      <c r="D1728" s="80">
        <f t="shared" si="55"/>
        <v>2014</v>
      </c>
      <c r="E1728" t="s">
        <v>38</v>
      </c>
      <c r="F1728" t="s">
        <v>143</v>
      </c>
      <c r="G1728" t="s">
        <v>10</v>
      </c>
      <c r="H1728" s="72" t="s">
        <v>211</v>
      </c>
      <c r="I1728" s="72" t="s">
        <v>53</v>
      </c>
      <c r="J1728" t="str">
        <f t="shared" si="56"/>
        <v>Carbon River</v>
      </c>
      <c r="K1728" t="str">
        <f>IFERROR(VLOOKUP(J1728,LUTs!$A$1:$C$73,2,FALSE),"NA")</f>
        <v>Pierce</v>
      </c>
      <c r="L1728" t="str">
        <f>IFERROR(VLOOKUP(J1728,LUTs!$A$1:$C$73,3,FALSE),"NA")</f>
        <v>3South Puget Sound</v>
      </c>
      <c r="M1728" s="72" t="s">
        <v>26</v>
      </c>
      <c r="N1728" t="str">
        <f>VLOOKUP(M1728,LUTs!E$2:H$14,3,)</f>
        <v>20Other</v>
      </c>
      <c r="O1728" t="str">
        <f>VLOOKUP(M1728,LUTs!E$2:H$14,4,)</f>
        <v>07Non Puget Sound</v>
      </c>
      <c r="P1728" s="73">
        <v>13.903614457831299</v>
      </c>
      <c r="Q1728" s="74">
        <f>VLOOKUP(B1728,Readme!A$40:C$51,2,)*P1728</f>
        <v>120.26626506024074</v>
      </c>
    </row>
    <row r="1729" spans="1:17" ht="12" customHeight="1" x14ac:dyDescent="0.35">
      <c r="A1729" s="75">
        <v>1728</v>
      </c>
      <c r="B1729" s="64">
        <v>2014</v>
      </c>
      <c r="C1729" s="64">
        <v>9</v>
      </c>
      <c r="D1729" s="80">
        <f t="shared" si="55"/>
        <v>2014</v>
      </c>
      <c r="E1729" t="s">
        <v>38</v>
      </c>
      <c r="F1729" t="s">
        <v>143</v>
      </c>
      <c r="G1729" t="s">
        <v>10</v>
      </c>
      <c r="H1729" s="72" t="s">
        <v>211</v>
      </c>
      <c r="I1729" s="72" t="s">
        <v>53</v>
      </c>
      <c r="J1729" t="str">
        <f t="shared" si="56"/>
        <v>Carbon River</v>
      </c>
      <c r="K1729" t="str">
        <f>IFERROR(VLOOKUP(J1729,LUTs!$A$1:$C$73,2,FALSE),"NA")</f>
        <v>Pierce</v>
      </c>
      <c r="L1729" t="str">
        <f>IFERROR(VLOOKUP(J1729,LUTs!$A$1:$C$73,3,FALSE),"NA")</f>
        <v>3South Puget Sound</v>
      </c>
      <c r="M1729" s="72" t="s">
        <v>20</v>
      </c>
      <c r="N1729" t="str">
        <f>VLOOKUP(M1729,LUTs!E$2:H$14,3,)</f>
        <v>07Pierce</v>
      </c>
      <c r="O1729" t="str">
        <f>VLOOKUP(M1729,LUTs!E$2:H$14,4,)</f>
        <v>02South Puget Sound</v>
      </c>
      <c r="P1729" s="73">
        <v>312.83132530120503</v>
      </c>
      <c r="Q1729" s="74">
        <f>VLOOKUP(B1729,Readme!A$40:C$51,2,)*P1729</f>
        <v>2705.9909638554236</v>
      </c>
    </row>
    <row r="1730" spans="1:17" ht="12" customHeight="1" x14ac:dyDescent="0.35">
      <c r="A1730" s="75">
        <v>1729</v>
      </c>
      <c r="B1730" s="64">
        <v>2014</v>
      </c>
      <c r="C1730" s="64">
        <v>9</v>
      </c>
      <c r="D1730" s="80">
        <f t="shared" ref="D1730:D1793" si="57">IF(C1730&gt;3,B1730,B1730-1)</f>
        <v>2014</v>
      </c>
      <c r="E1730" t="s">
        <v>38</v>
      </c>
      <c r="F1730" t="s">
        <v>143</v>
      </c>
      <c r="G1730" t="s">
        <v>10</v>
      </c>
      <c r="H1730" s="72" t="s">
        <v>211</v>
      </c>
      <c r="I1730" s="72" t="s">
        <v>53</v>
      </c>
      <c r="J1730" t="str">
        <f t="shared" si="56"/>
        <v>Carbon River</v>
      </c>
      <c r="K1730" t="str">
        <f>IFERROR(VLOOKUP(J1730,LUTs!$A$1:$C$73,2,FALSE),"NA")</f>
        <v>Pierce</v>
      </c>
      <c r="L1730" t="str">
        <f>IFERROR(VLOOKUP(J1730,LUTs!$A$1:$C$73,3,FALSE),"NA")</f>
        <v>3South Puget Sound</v>
      </c>
      <c r="M1730" s="72" t="s">
        <v>16</v>
      </c>
      <c r="N1730" t="str">
        <f>VLOOKUP(M1730,LUTs!E$2:H$14,3,)</f>
        <v>03Snohomish</v>
      </c>
      <c r="O1730" t="str">
        <f>VLOOKUP(M1730,LUTs!E$2:H$14,4,)</f>
        <v>01North Puget Sound</v>
      </c>
      <c r="P1730" s="73">
        <v>20.855421686747</v>
      </c>
      <c r="Q1730" s="74">
        <f>VLOOKUP(B1730,Readme!A$40:C$51,2,)*P1730</f>
        <v>180.39939759036156</v>
      </c>
    </row>
    <row r="1731" spans="1:17" ht="12" customHeight="1" x14ac:dyDescent="0.35">
      <c r="A1731" s="75">
        <v>1730</v>
      </c>
      <c r="B1731" s="64">
        <v>2014</v>
      </c>
      <c r="C1731" s="64">
        <v>10</v>
      </c>
      <c r="D1731" s="80">
        <f t="shared" si="57"/>
        <v>2014</v>
      </c>
      <c r="E1731" t="s">
        <v>38</v>
      </c>
      <c r="F1731" t="s">
        <v>143</v>
      </c>
      <c r="G1731" t="s">
        <v>10</v>
      </c>
      <c r="H1731" s="72" t="s">
        <v>211</v>
      </c>
      <c r="I1731" s="72" t="s">
        <v>53</v>
      </c>
      <c r="J1731" t="str">
        <f t="shared" ref="J1731:J1794" si="58">I1731</f>
        <v>Carbon River</v>
      </c>
      <c r="K1731" t="str">
        <f>IFERROR(VLOOKUP(J1731,LUTs!$A$1:$C$73,2,FALSE),"NA")</f>
        <v>Pierce</v>
      </c>
      <c r="L1731" t="str">
        <f>IFERROR(VLOOKUP(J1731,LUTs!$A$1:$C$73,3,FALSE),"NA")</f>
        <v>3South Puget Sound</v>
      </c>
      <c r="M1731" s="72" t="s">
        <v>18</v>
      </c>
      <c r="N1731" t="str">
        <f>VLOOKUP(M1731,LUTs!E$2:H$14,3,)</f>
        <v>06King</v>
      </c>
      <c r="O1731" t="str">
        <f>VLOOKUP(M1731,LUTs!E$2:H$14,4,)</f>
        <v>02South Puget Sound</v>
      </c>
      <c r="P1731" s="73">
        <v>63</v>
      </c>
      <c r="Q1731" s="74">
        <f>VLOOKUP(B1731,Readme!A$40:C$51,2,)*P1731</f>
        <v>544.95000000000005</v>
      </c>
    </row>
    <row r="1732" spans="1:17" ht="12" customHeight="1" x14ac:dyDescent="0.35">
      <c r="A1732" s="75">
        <v>1731</v>
      </c>
      <c r="B1732" s="64">
        <v>2014</v>
      </c>
      <c r="C1732" s="64">
        <v>10</v>
      </c>
      <c r="D1732" s="80">
        <f t="shared" si="57"/>
        <v>2014</v>
      </c>
      <c r="E1732" t="s">
        <v>38</v>
      </c>
      <c r="F1732" t="s">
        <v>143</v>
      </c>
      <c r="G1732" t="s">
        <v>10</v>
      </c>
      <c r="H1732" s="72" t="s">
        <v>211</v>
      </c>
      <c r="I1732" s="72" t="s">
        <v>53</v>
      </c>
      <c r="J1732" t="str">
        <f t="shared" si="58"/>
        <v>Carbon River</v>
      </c>
      <c r="K1732" t="str">
        <f>IFERROR(VLOOKUP(J1732,LUTs!$A$1:$C$73,2,FALSE),"NA")</f>
        <v>Pierce</v>
      </c>
      <c r="L1732" t="str">
        <f>IFERROR(VLOOKUP(J1732,LUTs!$A$1:$C$73,3,FALSE),"NA")</f>
        <v>3South Puget Sound</v>
      </c>
      <c r="M1732" s="72" t="s">
        <v>20</v>
      </c>
      <c r="N1732" t="str">
        <f>VLOOKUP(M1732,LUTs!E$2:H$14,3,)</f>
        <v>07Pierce</v>
      </c>
      <c r="O1732" t="str">
        <f>VLOOKUP(M1732,LUTs!E$2:H$14,4,)</f>
        <v>02South Puget Sound</v>
      </c>
      <c r="P1732" s="73">
        <v>168</v>
      </c>
      <c r="Q1732" s="74">
        <f>VLOOKUP(B1732,Readme!A$40:C$51,2,)*P1732</f>
        <v>1453.2</v>
      </c>
    </row>
    <row r="1733" spans="1:17" ht="12" customHeight="1" x14ac:dyDescent="0.35">
      <c r="A1733" s="75">
        <v>1732</v>
      </c>
      <c r="B1733" s="64">
        <v>2014</v>
      </c>
      <c r="C1733" s="64">
        <v>10</v>
      </c>
      <c r="D1733" s="80">
        <f t="shared" si="57"/>
        <v>2014</v>
      </c>
      <c r="E1733" t="s">
        <v>38</v>
      </c>
      <c r="F1733" t="s">
        <v>143</v>
      </c>
      <c r="G1733" t="s">
        <v>10</v>
      </c>
      <c r="H1733" s="72" t="s">
        <v>211</v>
      </c>
      <c r="I1733" s="72" t="s">
        <v>53</v>
      </c>
      <c r="J1733" t="str">
        <f t="shared" si="58"/>
        <v>Carbon River</v>
      </c>
      <c r="K1733" t="str">
        <f>IFERROR(VLOOKUP(J1733,LUTs!$A$1:$C$73,2,FALSE),"NA")</f>
        <v>Pierce</v>
      </c>
      <c r="L1733" t="str">
        <f>IFERROR(VLOOKUP(J1733,LUTs!$A$1:$C$73,3,FALSE),"NA")</f>
        <v>3South Puget Sound</v>
      </c>
      <c r="M1733" s="72" t="s">
        <v>16</v>
      </c>
      <c r="N1733" t="str">
        <f>VLOOKUP(M1733,LUTs!E$2:H$14,3,)</f>
        <v>03Snohomish</v>
      </c>
      <c r="O1733" t="str">
        <f>VLOOKUP(M1733,LUTs!E$2:H$14,4,)</f>
        <v>01North Puget Sound</v>
      </c>
      <c r="P1733" s="73">
        <v>28</v>
      </c>
      <c r="Q1733" s="74">
        <f>VLOOKUP(B1733,Readme!A$40:C$51,2,)*P1733</f>
        <v>242.20000000000002</v>
      </c>
    </row>
    <row r="1734" spans="1:17" ht="12" customHeight="1" x14ac:dyDescent="0.35">
      <c r="A1734" s="75">
        <v>1733</v>
      </c>
      <c r="B1734" s="64">
        <v>2014</v>
      </c>
      <c r="C1734" s="64">
        <v>10</v>
      </c>
      <c r="D1734" s="80">
        <f t="shared" si="57"/>
        <v>2014</v>
      </c>
      <c r="E1734" t="s">
        <v>38</v>
      </c>
      <c r="F1734" t="s">
        <v>143</v>
      </c>
      <c r="G1734" t="s">
        <v>10</v>
      </c>
      <c r="H1734" s="72" t="s">
        <v>211</v>
      </c>
      <c r="I1734" s="72" t="s">
        <v>53</v>
      </c>
      <c r="J1734" t="str">
        <f t="shared" si="58"/>
        <v>Carbon River</v>
      </c>
      <c r="K1734" t="str">
        <f>IFERROR(VLOOKUP(J1734,LUTs!$A$1:$C$73,2,FALSE),"NA")</f>
        <v>Pierce</v>
      </c>
      <c r="L1734" t="str">
        <f>IFERROR(VLOOKUP(J1734,LUTs!$A$1:$C$73,3,FALSE),"NA")</f>
        <v>3South Puget Sound</v>
      </c>
      <c r="M1734" s="72" t="s">
        <v>21</v>
      </c>
      <c r="N1734" t="str">
        <f>VLOOKUP(M1734,LUTs!E$2:H$14,3,)</f>
        <v>08Thurston</v>
      </c>
      <c r="O1734" t="str">
        <f>VLOOKUP(M1734,LUTs!E$2:H$14,4,)</f>
        <v>02South Puget Sound</v>
      </c>
      <c r="P1734" s="73">
        <v>7</v>
      </c>
      <c r="Q1734" s="74">
        <f>VLOOKUP(B1734,Readme!A$40:C$51,2,)*P1734</f>
        <v>60.550000000000004</v>
      </c>
    </row>
    <row r="1735" spans="1:17" ht="12" customHeight="1" x14ac:dyDescent="0.35">
      <c r="A1735" s="75">
        <v>1734</v>
      </c>
      <c r="B1735" s="64">
        <v>2014</v>
      </c>
      <c r="C1735" s="64">
        <v>11</v>
      </c>
      <c r="D1735" s="80">
        <f t="shared" si="57"/>
        <v>2014</v>
      </c>
      <c r="E1735" t="s">
        <v>38</v>
      </c>
      <c r="F1735" t="s">
        <v>143</v>
      </c>
      <c r="G1735" t="s">
        <v>10</v>
      </c>
      <c r="H1735" s="72" t="s">
        <v>211</v>
      </c>
      <c r="I1735" s="72" t="s">
        <v>53</v>
      </c>
      <c r="J1735" t="str">
        <f t="shared" si="58"/>
        <v>Carbon River</v>
      </c>
      <c r="K1735" t="str">
        <f>IFERROR(VLOOKUP(J1735,LUTs!$A$1:$C$73,2,FALSE),"NA")</f>
        <v>Pierce</v>
      </c>
      <c r="L1735" t="str">
        <f>IFERROR(VLOOKUP(J1735,LUTs!$A$1:$C$73,3,FALSE),"NA")</f>
        <v>3South Puget Sound</v>
      </c>
      <c r="M1735" s="72" t="s">
        <v>20</v>
      </c>
      <c r="N1735" t="str">
        <f>VLOOKUP(M1735,LUTs!E$2:H$14,3,)</f>
        <v>07Pierce</v>
      </c>
      <c r="O1735" t="str">
        <f>VLOOKUP(M1735,LUTs!E$2:H$14,4,)</f>
        <v>02South Puget Sound</v>
      </c>
      <c r="P1735" s="73">
        <v>49</v>
      </c>
      <c r="Q1735" s="74">
        <f>VLOOKUP(B1735,Readme!A$40:C$51,2,)*P1735</f>
        <v>423.85</v>
      </c>
    </row>
    <row r="1736" spans="1:17" ht="12" customHeight="1" x14ac:dyDescent="0.35">
      <c r="A1736" s="75">
        <v>1735</v>
      </c>
      <c r="B1736" s="64">
        <v>2014</v>
      </c>
      <c r="C1736" s="64">
        <v>7</v>
      </c>
      <c r="D1736" s="80">
        <f t="shared" si="57"/>
        <v>2014</v>
      </c>
      <c r="E1736" t="s">
        <v>38</v>
      </c>
      <c r="F1736" t="s">
        <v>143</v>
      </c>
      <c r="G1736" t="s">
        <v>10</v>
      </c>
      <c r="H1736" s="72" t="s">
        <v>212</v>
      </c>
      <c r="I1736" s="72" t="s">
        <v>54</v>
      </c>
      <c r="J1736" t="str">
        <f t="shared" si="58"/>
        <v>Puyallup River</v>
      </c>
      <c r="K1736" t="str">
        <f>IFERROR(VLOOKUP(J1736,LUTs!$A$1:$C$73,2,FALSE),"NA")</f>
        <v>Pierce</v>
      </c>
      <c r="L1736" t="str">
        <f>IFERROR(VLOOKUP(J1736,LUTs!$A$1:$C$73,3,FALSE),"NA")</f>
        <v>3South Puget Sound</v>
      </c>
      <c r="M1736" s="72" t="s">
        <v>18</v>
      </c>
      <c r="N1736" t="str">
        <f>VLOOKUP(M1736,LUTs!E$2:H$14,3,)</f>
        <v>06King</v>
      </c>
      <c r="O1736" t="str">
        <f>VLOOKUP(M1736,LUTs!E$2:H$14,4,)</f>
        <v>02South Puget Sound</v>
      </c>
      <c r="P1736" s="73">
        <v>0</v>
      </c>
      <c r="Q1736" s="74">
        <f>VLOOKUP(B1736,Readme!A$40:C$51,2,)*P1736</f>
        <v>0</v>
      </c>
    </row>
    <row r="1737" spans="1:17" ht="12" customHeight="1" x14ac:dyDescent="0.35">
      <c r="A1737" s="75">
        <v>1736</v>
      </c>
      <c r="B1737" s="64">
        <v>2014</v>
      </c>
      <c r="C1737" s="64">
        <v>7</v>
      </c>
      <c r="D1737" s="80">
        <f t="shared" si="57"/>
        <v>2014</v>
      </c>
      <c r="E1737" t="s">
        <v>38</v>
      </c>
      <c r="F1737" t="s">
        <v>143</v>
      </c>
      <c r="G1737" t="s">
        <v>10</v>
      </c>
      <c r="H1737" s="72" t="s">
        <v>212</v>
      </c>
      <c r="I1737" s="72" t="s">
        <v>54</v>
      </c>
      <c r="J1737" t="str">
        <f t="shared" si="58"/>
        <v>Puyallup River</v>
      </c>
      <c r="K1737" t="str">
        <f>IFERROR(VLOOKUP(J1737,LUTs!$A$1:$C$73,2,FALSE),"NA")</f>
        <v>Pierce</v>
      </c>
      <c r="L1737" t="str">
        <f>IFERROR(VLOOKUP(J1737,LUTs!$A$1:$C$73,3,FALSE),"NA")</f>
        <v>3South Puget Sound</v>
      </c>
      <c r="M1737" s="72" t="s">
        <v>20</v>
      </c>
      <c r="N1737" t="str">
        <f>VLOOKUP(M1737,LUTs!E$2:H$14,3,)</f>
        <v>07Pierce</v>
      </c>
      <c r="O1737" t="str">
        <f>VLOOKUP(M1737,LUTs!E$2:H$14,4,)</f>
        <v>02South Puget Sound</v>
      </c>
      <c r="P1737" s="73">
        <v>0</v>
      </c>
      <c r="Q1737" s="74">
        <f>VLOOKUP(B1737,Readme!A$40:C$51,2,)*P1737</f>
        <v>0</v>
      </c>
    </row>
    <row r="1738" spans="1:17" ht="12" customHeight="1" x14ac:dyDescent="0.35">
      <c r="A1738" s="75">
        <v>1737</v>
      </c>
      <c r="B1738" s="64">
        <v>2014</v>
      </c>
      <c r="C1738" s="64">
        <v>8</v>
      </c>
      <c r="D1738" s="80">
        <f t="shared" si="57"/>
        <v>2014</v>
      </c>
      <c r="E1738" t="s">
        <v>38</v>
      </c>
      <c r="F1738" t="s">
        <v>143</v>
      </c>
      <c r="G1738" t="s">
        <v>10</v>
      </c>
      <c r="H1738" s="72" t="s">
        <v>212</v>
      </c>
      <c r="I1738" s="72" t="s">
        <v>54</v>
      </c>
      <c r="J1738" t="str">
        <f t="shared" si="58"/>
        <v>Puyallup River</v>
      </c>
      <c r="K1738" t="str">
        <f>IFERROR(VLOOKUP(J1738,LUTs!$A$1:$C$73,2,FALSE),"NA")</f>
        <v>Pierce</v>
      </c>
      <c r="L1738" t="str">
        <f>IFERROR(VLOOKUP(J1738,LUTs!$A$1:$C$73,3,FALSE),"NA")</f>
        <v>3South Puget Sound</v>
      </c>
      <c r="M1738" s="72" t="s">
        <v>18</v>
      </c>
      <c r="N1738" t="str">
        <f>VLOOKUP(M1738,LUTs!E$2:H$14,3,)</f>
        <v>06King</v>
      </c>
      <c r="O1738" t="str">
        <f>VLOOKUP(M1738,LUTs!E$2:H$14,4,)</f>
        <v>02South Puget Sound</v>
      </c>
      <c r="P1738" s="73">
        <v>374.93564356435701</v>
      </c>
      <c r="Q1738" s="74">
        <f>VLOOKUP(B1738,Readme!A$40:C$51,2,)*P1738</f>
        <v>3243.1933168316882</v>
      </c>
    </row>
    <row r="1739" spans="1:17" ht="12" customHeight="1" x14ac:dyDescent="0.35">
      <c r="A1739" s="75">
        <v>1738</v>
      </c>
      <c r="B1739" s="64">
        <v>2014</v>
      </c>
      <c r="C1739" s="64">
        <v>8</v>
      </c>
      <c r="D1739" s="80">
        <f t="shared" si="57"/>
        <v>2014</v>
      </c>
      <c r="E1739" t="s">
        <v>38</v>
      </c>
      <c r="F1739" t="s">
        <v>143</v>
      </c>
      <c r="G1739" t="s">
        <v>10</v>
      </c>
      <c r="H1739" s="72" t="s">
        <v>212</v>
      </c>
      <c r="I1739" s="72" t="s">
        <v>54</v>
      </c>
      <c r="J1739" t="str">
        <f t="shared" si="58"/>
        <v>Puyallup River</v>
      </c>
      <c r="K1739" t="str">
        <f>IFERROR(VLOOKUP(J1739,LUTs!$A$1:$C$73,2,FALSE),"NA")</f>
        <v>Pierce</v>
      </c>
      <c r="L1739" t="str">
        <f>IFERROR(VLOOKUP(J1739,LUTs!$A$1:$C$73,3,FALSE),"NA")</f>
        <v>3South Puget Sound</v>
      </c>
      <c r="M1739" s="72" t="s">
        <v>23</v>
      </c>
      <c r="N1739" t="str">
        <f>VLOOKUP(M1739,LUTs!E$2:H$14,3,)</f>
        <v>10Kitsap</v>
      </c>
      <c r="O1739" t="str">
        <f>VLOOKUP(M1739,LUTs!E$2:H$14,4,)</f>
        <v>02South Puget Sound</v>
      </c>
      <c r="P1739" s="73">
        <v>42.445544554455502</v>
      </c>
      <c r="Q1739" s="74">
        <f>VLOOKUP(B1739,Readme!A$40:C$51,2,)*P1739</f>
        <v>367.15396039604013</v>
      </c>
    </row>
    <row r="1740" spans="1:17" ht="12" customHeight="1" x14ac:dyDescent="0.35">
      <c r="A1740" s="75">
        <v>1739</v>
      </c>
      <c r="B1740" s="64">
        <v>2014</v>
      </c>
      <c r="C1740" s="64">
        <v>8</v>
      </c>
      <c r="D1740" s="80">
        <f t="shared" si="57"/>
        <v>2014</v>
      </c>
      <c r="E1740" t="s">
        <v>38</v>
      </c>
      <c r="F1740" t="s">
        <v>143</v>
      </c>
      <c r="G1740" t="s">
        <v>10</v>
      </c>
      <c r="H1740" s="72" t="s">
        <v>212</v>
      </c>
      <c r="I1740" s="72" t="s">
        <v>54</v>
      </c>
      <c r="J1740" t="str">
        <f t="shared" si="58"/>
        <v>Puyallup River</v>
      </c>
      <c r="K1740" t="str">
        <f>IFERROR(VLOOKUP(J1740,LUTs!$A$1:$C$73,2,FALSE),"NA")</f>
        <v>Pierce</v>
      </c>
      <c r="L1740" t="str">
        <f>IFERROR(VLOOKUP(J1740,LUTs!$A$1:$C$73,3,FALSE),"NA")</f>
        <v>3South Puget Sound</v>
      </c>
      <c r="M1740" s="72" t="s">
        <v>26</v>
      </c>
      <c r="N1740" t="str">
        <f>VLOOKUP(M1740,LUTs!E$2:H$14,3,)</f>
        <v>20Other</v>
      </c>
      <c r="O1740" t="str">
        <f>VLOOKUP(M1740,LUTs!E$2:H$14,4,)</f>
        <v>07Non Puget Sound</v>
      </c>
      <c r="P1740" s="73">
        <v>70.742574257425801</v>
      </c>
      <c r="Q1740" s="74">
        <f>VLOOKUP(B1740,Readme!A$40:C$51,2,)*P1740</f>
        <v>611.92326732673325</v>
      </c>
    </row>
    <row r="1741" spans="1:17" ht="12" customHeight="1" x14ac:dyDescent="0.35">
      <c r="A1741" s="75">
        <v>1740</v>
      </c>
      <c r="B1741" s="64">
        <v>2014</v>
      </c>
      <c r="C1741" s="64">
        <v>8</v>
      </c>
      <c r="D1741" s="80">
        <f t="shared" si="57"/>
        <v>2014</v>
      </c>
      <c r="E1741" t="s">
        <v>38</v>
      </c>
      <c r="F1741" t="s">
        <v>143</v>
      </c>
      <c r="G1741" t="s">
        <v>10</v>
      </c>
      <c r="H1741" s="72" t="s">
        <v>212</v>
      </c>
      <c r="I1741" s="72" t="s">
        <v>54</v>
      </c>
      <c r="J1741" t="str">
        <f t="shared" si="58"/>
        <v>Puyallup River</v>
      </c>
      <c r="K1741" t="str">
        <f>IFERROR(VLOOKUP(J1741,LUTs!$A$1:$C$73,2,FALSE),"NA")</f>
        <v>Pierce</v>
      </c>
      <c r="L1741" t="str">
        <f>IFERROR(VLOOKUP(J1741,LUTs!$A$1:$C$73,3,FALSE),"NA")</f>
        <v>3South Puget Sound</v>
      </c>
      <c r="M1741" s="72" t="s">
        <v>20</v>
      </c>
      <c r="N1741" t="str">
        <f>VLOOKUP(M1741,LUTs!E$2:H$14,3,)</f>
        <v>07Pierce</v>
      </c>
      <c r="O1741" t="str">
        <f>VLOOKUP(M1741,LUTs!E$2:H$14,4,)</f>
        <v>02South Puget Sound</v>
      </c>
      <c r="P1741" s="73">
        <v>891.35643564356496</v>
      </c>
      <c r="Q1741" s="74">
        <f>VLOOKUP(B1741,Readme!A$40:C$51,2,)*P1741</f>
        <v>7710.2331683168377</v>
      </c>
    </row>
    <row r="1742" spans="1:17" ht="12" customHeight="1" x14ac:dyDescent="0.35">
      <c r="A1742" s="75">
        <v>1741</v>
      </c>
      <c r="B1742" s="64">
        <v>2014</v>
      </c>
      <c r="C1742" s="64">
        <v>8</v>
      </c>
      <c r="D1742" s="80">
        <f t="shared" si="57"/>
        <v>2014</v>
      </c>
      <c r="E1742" t="s">
        <v>38</v>
      </c>
      <c r="F1742" t="s">
        <v>143</v>
      </c>
      <c r="G1742" t="s">
        <v>10</v>
      </c>
      <c r="H1742" s="72" t="s">
        <v>212</v>
      </c>
      <c r="I1742" s="72" t="s">
        <v>54</v>
      </c>
      <c r="J1742" t="str">
        <f t="shared" si="58"/>
        <v>Puyallup River</v>
      </c>
      <c r="K1742" t="str">
        <f>IFERROR(VLOOKUP(J1742,LUTs!$A$1:$C$73,2,FALSE),"NA")</f>
        <v>Pierce</v>
      </c>
      <c r="L1742" t="str">
        <f>IFERROR(VLOOKUP(J1742,LUTs!$A$1:$C$73,3,FALSE),"NA")</f>
        <v>3South Puget Sound</v>
      </c>
      <c r="M1742" s="72" t="s">
        <v>21</v>
      </c>
      <c r="N1742" t="str">
        <f>VLOOKUP(M1742,LUTs!E$2:H$14,3,)</f>
        <v>08Thurston</v>
      </c>
      <c r="O1742" t="str">
        <f>VLOOKUP(M1742,LUTs!E$2:H$14,4,)</f>
        <v>02South Puget Sound</v>
      </c>
      <c r="P1742" s="73">
        <v>49.519801980197997</v>
      </c>
      <c r="Q1742" s="74">
        <f>VLOOKUP(B1742,Readme!A$40:C$51,2,)*P1742</f>
        <v>428.34628712871267</v>
      </c>
    </row>
    <row r="1743" spans="1:17" ht="12" customHeight="1" x14ac:dyDescent="0.35">
      <c r="A1743" s="75">
        <v>1742</v>
      </c>
      <c r="B1743" s="64">
        <v>2014</v>
      </c>
      <c r="C1743" s="64">
        <v>9</v>
      </c>
      <c r="D1743" s="80">
        <f t="shared" si="57"/>
        <v>2014</v>
      </c>
      <c r="E1743" t="s">
        <v>38</v>
      </c>
      <c r="F1743" t="s">
        <v>143</v>
      </c>
      <c r="G1743" t="s">
        <v>10</v>
      </c>
      <c r="H1743" s="72" t="s">
        <v>212</v>
      </c>
      <c r="I1743" s="72" t="s">
        <v>54</v>
      </c>
      <c r="J1743" t="str">
        <f t="shared" si="58"/>
        <v>Puyallup River</v>
      </c>
      <c r="K1743" t="str">
        <f>IFERROR(VLOOKUP(J1743,LUTs!$A$1:$C$73,2,FALSE),"NA")</f>
        <v>Pierce</v>
      </c>
      <c r="L1743" t="str">
        <f>IFERROR(VLOOKUP(J1743,LUTs!$A$1:$C$73,3,FALSE),"NA")</f>
        <v>3South Puget Sound</v>
      </c>
      <c r="M1743" s="72" t="s">
        <v>18</v>
      </c>
      <c r="N1743" t="str">
        <f>VLOOKUP(M1743,LUTs!E$2:H$14,3,)</f>
        <v>06King</v>
      </c>
      <c r="O1743" t="str">
        <f>VLOOKUP(M1743,LUTs!E$2:H$14,4,)</f>
        <v>02South Puget Sound</v>
      </c>
      <c r="P1743" s="73">
        <v>1110.9090909090901</v>
      </c>
      <c r="Q1743" s="74">
        <f>VLOOKUP(B1743,Readme!A$40:C$51,2,)*P1743</f>
        <v>9609.3636363636288</v>
      </c>
    </row>
    <row r="1744" spans="1:17" ht="12" customHeight="1" x14ac:dyDescent="0.35">
      <c r="A1744" s="75">
        <v>1743</v>
      </c>
      <c r="B1744" s="64">
        <v>2014</v>
      </c>
      <c r="C1744" s="64">
        <v>9</v>
      </c>
      <c r="D1744" s="80">
        <f t="shared" si="57"/>
        <v>2014</v>
      </c>
      <c r="E1744" t="s">
        <v>38</v>
      </c>
      <c r="F1744" t="s">
        <v>143</v>
      </c>
      <c r="G1744" t="s">
        <v>10</v>
      </c>
      <c r="H1744" s="72" t="s">
        <v>212</v>
      </c>
      <c r="I1744" s="72" t="s">
        <v>54</v>
      </c>
      <c r="J1744" t="str">
        <f t="shared" si="58"/>
        <v>Puyallup River</v>
      </c>
      <c r="K1744" t="str">
        <f>IFERROR(VLOOKUP(J1744,LUTs!$A$1:$C$73,2,FALSE),"NA")</f>
        <v>Pierce</v>
      </c>
      <c r="L1744" t="str">
        <f>IFERROR(VLOOKUP(J1744,LUTs!$A$1:$C$73,3,FALSE),"NA")</f>
        <v>3South Puget Sound</v>
      </c>
      <c r="M1744" s="72" t="s">
        <v>23</v>
      </c>
      <c r="N1744" t="str">
        <f>VLOOKUP(M1744,LUTs!E$2:H$14,3,)</f>
        <v>10Kitsap</v>
      </c>
      <c r="O1744" t="str">
        <f>VLOOKUP(M1744,LUTs!E$2:H$14,4,)</f>
        <v>02South Puget Sound</v>
      </c>
      <c r="P1744" s="73">
        <v>83.318181818181799</v>
      </c>
      <c r="Q1744" s="74">
        <f>VLOOKUP(B1744,Readme!A$40:C$51,2,)*P1744</f>
        <v>720.70227272727254</v>
      </c>
    </row>
    <row r="1745" spans="1:17" ht="12" customHeight="1" x14ac:dyDescent="0.35">
      <c r="A1745" s="75">
        <v>1744</v>
      </c>
      <c r="B1745" s="64">
        <v>2014</v>
      </c>
      <c r="C1745" s="64">
        <v>9</v>
      </c>
      <c r="D1745" s="80">
        <f t="shared" si="57"/>
        <v>2014</v>
      </c>
      <c r="E1745" t="s">
        <v>38</v>
      </c>
      <c r="F1745" t="s">
        <v>143</v>
      </c>
      <c r="G1745" t="s">
        <v>10</v>
      </c>
      <c r="H1745" s="72" t="s">
        <v>212</v>
      </c>
      <c r="I1745" s="72" t="s">
        <v>54</v>
      </c>
      <c r="J1745" t="str">
        <f t="shared" si="58"/>
        <v>Puyallup River</v>
      </c>
      <c r="K1745" t="str">
        <f>IFERROR(VLOOKUP(J1745,LUTs!$A$1:$C$73,2,FALSE),"NA")</f>
        <v>Pierce</v>
      </c>
      <c r="L1745" t="str">
        <f>IFERROR(VLOOKUP(J1745,LUTs!$A$1:$C$73,3,FALSE),"NA")</f>
        <v>3South Puget Sound</v>
      </c>
      <c r="M1745" s="72" t="s">
        <v>26</v>
      </c>
      <c r="N1745" t="str">
        <f>VLOOKUP(M1745,LUTs!E$2:H$14,3,)</f>
        <v>20Other</v>
      </c>
      <c r="O1745" t="str">
        <f>VLOOKUP(M1745,LUTs!E$2:H$14,4,)</f>
        <v>07Non Puget Sound</v>
      </c>
      <c r="P1745" s="73">
        <v>34.715909090909101</v>
      </c>
      <c r="Q1745" s="74">
        <f>VLOOKUP(B1745,Readme!A$40:C$51,2,)*P1745</f>
        <v>300.29261363636374</v>
      </c>
    </row>
    <row r="1746" spans="1:17" ht="12" customHeight="1" x14ac:dyDescent="0.35">
      <c r="A1746" s="75">
        <v>1745</v>
      </c>
      <c r="B1746" s="64">
        <v>2014</v>
      </c>
      <c r="C1746" s="64">
        <v>9</v>
      </c>
      <c r="D1746" s="80">
        <f t="shared" si="57"/>
        <v>2014</v>
      </c>
      <c r="E1746" t="s">
        <v>38</v>
      </c>
      <c r="F1746" t="s">
        <v>143</v>
      </c>
      <c r="G1746" t="s">
        <v>10</v>
      </c>
      <c r="H1746" s="72" t="s">
        <v>212</v>
      </c>
      <c r="I1746" s="72" t="s">
        <v>54</v>
      </c>
      <c r="J1746" t="str">
        <f t="shared" si="58"/>
        <v>Puyallup River</v>
      </c>
      <c r="K1746" t="str">
        <f>IFERROR(VLOOKUP(J1746,LUTs!$A$1:$C$73,2,FALSE),"NA")</f>
        <v>Pierce</v>
      </c>
      <c r="L1746" t="str">
        <f>IFERROR(VLOOKUP(J1746,LUTs!$A$1:$C$73,3,FALSE),"NA")</f>
        <v>3South Puget Sound</v>
      </c>
      <c r="M1746" s="72" t="s">
        <v>20</v>
      </c>
      <c r="N1746" t="str">
        <f>VLOOKUP(M1746,LUTs!E$2:H$14,3,)</f>
        <v>07Pierce</v>
      </c>
      <c r="O1746" t="str">
        <f>VLOOKUP(M1746,LUTs!E$2:H$14,4,)</f>
        <v>02South Puget Sound</v>
      </c>
      <c r="P1746" s="73">
        <v>1673.3068181818201</v>
      </c>
      <c r="Q1746" s="74">
        <f>VLOOKUP(B1746,Readme!A$40:C$51,2,)*P1746</f>
        <v>14474.103977272744</v>
      </c>
    </row>
    <row r="1747" spans="1:17" ht="12" customHeight="1" x14ac:dyDescent="0.35">
      <c r="A1747" s="75">
        <v>1746</v>
      </c>
      <c r="B1747" s="64">
        <v>2014</v>
      </c>
      <c r="C1747" s="64">
        <v>9</v>
      </c>
      <c r="D1747" s="80">
        <f t="shared" si="57"/>
        <v>2014</v>
      </c>
      <c r="E1747" t="s">
        <v>38</v>
      </c>
      <c r="F1747" t="s">
        <v>143</v>
      </c>
      <c r="G1747" t="s">
        <v>10</v>
      </c>
      <c r="H1747" s="72" t="s">
        <v>212</v>
      </c>
      <c r="I1747" s="72" t="s">
        <v>54</v>
      </c>
      <c r="J1747" t="str">
        <f t="shared" si="58"/>
        <v>Puyallup River</v>
      </c>
      <c r="K1747" t="str">
        <f>IFERROR(VLOOKUP(J1747,LUTs!$A$1:$C$73,2,FALSE),"NA")</f>
        <v>Pierce</v>
      </c>
      <c r="L1747" t="str">
        <f>IFERROR(VLOOKUP(J1747,LUTs!$A$1:$C$73,3,FALSE),"NA")</f>
        <v>3South Puget Sound</v>
      </c>
      <c r="M1747" s="72" t="s">
        <v>16</v>
      </c>
      <c r="N1747" t="str">
        <f>VLOOKUP(M1747,LUTs!E$2:H$14,3,)</f>
        <v>03Snohomish</v>
      </c>
      <c r="O1747" t="str">
        <f>VLOOKUP(M1747,LUTs!E$2:H$14,4,)</f>
        <v>01North Puget Sound</v>
      </c>
      <c r="P1747" s="73">
        <v>34.715909090909101</v>
      </c>
      <c r="Q1747" s="74">
        <f>VLOOKUP(B1747,Readme!A$40:C$51,2,)*P1747</f>
        <v>300.29261363636374</v>
      </c>
    </row>
    <row r="1748" spans="1:17" ht="12" customHeight="1" x14ac:dyDescent="0.35">
      <c r="A1748" s="75">
        <v>1747</v>
      </c>
      <c r="B1748" s="64">
        <v>2014</v>
      </c>
      <c r="C1748" s="64">
        <v>9</v>
      </c>
      <c r="D1748" s="80">
        <f t="shared" si="57"/>
        <v>2014</v>
      </c>
      <c r="E1748" t="s">
        <v>38</v>
      </c>
      <c r="F1748" t="s">
        <v>143</v>
      </c>
      <c r="G1748" t="s">
        <v>10</v>
      </c>
      <c r="H1748" s="72" t="s">
        <v>212</v>
      </c>
      <c r="I1748" s="72" t="s">
        <v>54</v>
      </c>
      <c r="J1748" t="str">
        <f t="shared" si="58"/>
        <v>Puyallup River</v>
      </c>
      <c r="K1748" t="str">
        <f>IFERROR(VLOOKUP(J1748,LUTs!$A$1:$C$73,2,FALSE),"NA")</f>
        <v>Pierce</v>
      </c>
      <c r="L1748" t="str">
        <f>IFERROR(VLOOKUP(J1748,LUTs!$A$1:$C$73,3,FALSE),"NA")</f>
        <v>3South Puget Sound</v>
      </c>
      <c r="M1748" s="72" t="s">
        <v>21</v>
      </c>
      <c r="N1748" t="str">
        <f>VLOOKUP(M1748,LUTs!E$2:H$14,3,)</f>
        <v>08Thurston</v>
      </c>
      <c r="O1748" t="str">
        <f>VLOOKUP(M1748,LUTs!E$2:H$14,4,)</f>
        <v>02South Puget Sound</v>
      </c>
      <c r="P1748" s="73">
        <v>90.261363636363697</v>
      </c>
      <c r="Q1748" s="74">
        <f>VLOOKUP(B1748,Readme!A$40:C$51,2,)*P1748</f>
        <v>780.76079545454604</v>
      </c>
    </row>
    <row r="1749" spans="1:17" ht="12" customHeight="1" x14ac:dyDescent="0.35">
      <c r="A1749" s="75">
        <v>1748</v>
      </c>
      <c r="B1749" s="64">
        <v>2014</v>
      </c>
      <c r="C1749" s="64">
        <v>9</v>
      </c>
      <c r="D1749" s="80">
        <f t="shared" si="57"/>
        <v>2014</v>
      </c>
      <c r="E1749" t="s">
        <v>38</v>
      </c>
      <c r="F1749" t="s">
        <v>143</v>
      </c>
      <c r="G1749" t="s">
        <v>10</v>
      </c>
      <c r="H1749" s="72" t="s">
        <v>212</v>
      </c>
      <c r="I1749" s="72" t="s">
        <v>54</v>
      </c>
      <c r="J1749" t="str">
        <f t="shared" si="58"/>
        <v>Puyallup River</v>
      </c>
      <c r="K1749" t="str">
        <f>IFERROR(VLOOKUP(J1749,LUTs!$A$1:$C$73,2,FALSE),"NA")</f>
        <v>Pierce</v>
      </c>
      <c r="L1749" t="str">
        <f>IFERROR(VLOOKUP(J1749,LUTs!$A$1:$C$73,3,FALSE),"NA")</f>
        <v>3South Puget Sound</v>
      </c>
      <c r="M1749" s="72" t="s">
        <v>13</v>
      </c>
      <c r="N1749" t="str">
        <f>VLOOKUP(M1749,LUTs!E$2:H$14,3,)</f>
        <v>01Whatcom</v>
      </c>
      <c r="O1749" t="str">
        <f>VLOOKUP(M1749,LUTs!E$2:H$14,4,)</f>
        <v>01North Puget Sound</v>
      </c>
      <c r="P1749" s="73">
        <v>27.772727272727298</v>
      </c>
      <c r="Q1749" s="74">
        <f>VLOOKUP(B1749,Readme!A$40:C$51,2,)*P1749</f>
        <v>240.23409090909115</v>
      </c>
    </row>
    <row r="1750" spans="1:17" ht="12" customHeight="1" x14ac:dyDescent="0.35">
      <c r="A1750" s="75">
        <v>1749</v>
      </c>
      <c r="B1750" s="64">
        <v>2014</v>
      </c>
      <c r="C1750" s="64">
        <v>10</v>
      </c>
      <c r="D1750" s="80">
        <f t="shared" si="57"/>
        <v>2014</v>
      </c>
      <c r="E1750" t="s">
        <v>38</v>
      </c>
      <c r="F1750" t="s">
        <v>143</v>
      </c>
      <c r="G1750" t="s">
        <v>10</v>
      </c>
      <c r="H1750" s="72" t="s">
        <v>212</v>
      </c>
      <c r="I1750" s="72" t="s">
        <v>54</v>
      </c>
      <c r="J1750" t="str">
        <f t="shared" si="58"/>
        <v>Puyallup River</v>
      </c>
      <c r="K1750" t="str">
        <f>IFERROR(VLOOKUP(J1750,LUTs!$A$1:$C$73,2,FALSE),"NA")</f>
        <v>Pierce</v>
      </c>
      <c r="L1750" t="str">
        <f>IFERROR(VLOOKUP(J1750,LUTs!$A$1:$C$73,3,FALSE),"NA")</f>
        <v>3South Puget Sound</v>
      </c>
      <c r="M1750" s="72" t="s">
        <v>18</v>
      </c>
      <c r="N1750" t="str">
        <f>VLOOKUP(M1750,LUTs!E$2:H$14,3,)</f>
        <v>06King</v>
      </c>
      <c r="O1750" t="str">
        <f>VLOOKUP(M1750,LUTs!E$2:H$14,4,)</f>
        <v>02South Puget Sound</v>
      </c>
      <c r="P1750" s="73">
        <v>20.7931034482759</v>
      </c>
      <c r="Q1750" s="74">
        <f>VLOOKUP(B1750,Readme!A$40:C$51,2,)*P1750</f>
        <v>179.86034482758654</v>
      </c>
    </row>
    <row r="1751" spans="1:17" ht="12" customHeight="1" x14ac:dyDescent="0.35">
      <c r="A1751" s="75">
        <v>1750</v>
      </c>
      <c r="B1751" s="64">
        <v>2014</v>
      </c>
      <c r="C1751" s="64">
        <v>10</v>
      </c>
      <c r="D1751" s="80">
        <f t="shared" si="57"/>
        <v>2014</v>
      </c>
      <c r="E1751" t="s">
        <v>38</v>
      </c>
      <c r="F1751" t="s">
        <v>143</v>
      </c>
      <c r="G1751" t="s">
        <v>10</v>
      </c>
      <c r="H1751" s="72" t="s">
        <v>212</v>
      </c>
      <c r="I1751" s="72" t="s">
        <v>54</v>
      </c>
      <c r="J1751" t="str">
        <f t="shared" si="58"/>
        <v>Puyallup River</v>
      </c>
      <c r="K1751" t="str">
        <f>IFERROR(VLOOKUP(J1751,LUTs!$A$1:$C$73,2,FALSE),"NA")</f>
        <v>Pierce</v>
      </c>
      <c r="L1751" t="str">
        <f>IFERROR(VLOOKUP(J1751,LUTs!$A$1:$C$73,3,FALSE),"NA")</f>
        <v>3South Puget Sound</v>
      </c>
      <c r="M1751" s="72" t="s">
        <v>20</v>
      </c>
      <c r="N1751" t="str">
        <f>VLOOKUP(M1751,LUTs!E$2:H$14,3,)</f>
        <v>07Pierce</v>
      </c>
      <c r="O1751" t="str">
        <f>VLOOKUP(M1751,LUTs!E$2:H$14,4,)</f>
        <v>02South Puget Sound</v>
      </c>
      <c r="P1751" s="73">
        <v>180.20689655172399</v>
      </c>
      <c r="Q1751" s="74">
        <f>VLOOKUP(B1751,Readme!A$40:C$51,2,)*P1751</f>
        <v>1558.7896551724125</v>
      </c>
    </row>
    <row r="1752" spans="1:17" ht="12" customHeight="1" x14ac:dyDescent="0.35">
      <c r="A1752" s="75">
        <v>1751</v>
      </c>
      <c r="B1752" s="64">
        <v>2014</v>
      </c>
      <c r="C1752" s="64">
        <v>11</v>
      </c>
      <c r="D1752" s="80">
        <f t="shared" si="57"/>
        <v>2014</v>
      </c>
      <c r="E1752" t="s">
        <v>38</v>
      </c>
      <c r="F1752" t="s">
        <v>143</v>
      </c>
      <c r="G1752" t="s">
        <v>10</v>
      </c>
      <c r="H1752" s="72" t="s">
        <v>212</v>
      </c>
      <c r="I1752" s="72" t="s">
        <v>54</v>
      </c>
      <c r="J1752" t="str">
        <f t="shared" si="58"/>
        <v>Puyallup River</v>
      </c>
      <c r="K1752" t="str">
        <f>IFERROR(VLOOKUP(J1752,LUTs!$A$1:$C$73,2,FALSE),"NA")</f>
        <v>Pierce</v>
      </c>
      <c r="L1752" t="str">
        <f>IFERROR(VLOOKUP(J1752,LUTs!$A$1:$C$73,3,FALSE),"NA")</f>
        <v>3South Puget Sound</v>
      </c>
      <c r="M1752" s="72" t="s">
        <v>18</v>
      </c>
      <c r="N1752" t="str">
        <f>VLOOKUP(M1752,LUTs!E$2:H$14,3,)</f>
        <v>06King</v>
      </c>
      <c r="O1752" t="str">
        <f>VLOOKUP(M1752,LUTs!E$2:H$14,4,)</f>
        <v>02South Puget Sound</v>
      </c>
      <c r="P1752" s="73">
        <v>48.404255319148902</v>
      </c>
      <c r="Q1752" s="74">
        <f>VLOOKUP(B1752,Readme!A$40:C$51,2,)*P1752</f>
        <v>418.69680851063799</v>
      </c>
    </row>
    <row r="1753" spans="1:17" ht="12" customHeight="1" x14ac:dyDescent="0.35">
      <c r="A1753" s="75">
        <v>1752</v>
      </c>
      <c r="B1753" s="64">
        <v>2014</v>
      </c>
      <c r="C1753" s="64">
        <v>11</v>
      </c>
      <c r="D1753" s="80">
        <f t="shared" si="57"/>
        <v>2014</v>
      </c>
      <c r="E1753" t="s">
        <v>38</v>
      </c>
      <c r="F1753" t="s">
        <v>143</v>
      </c>
      <c r="G1753" t="s">
        <v>10</v>
      </c>
      <c r="H1753" s="72" t="s">
        <v>212</v>
      </c>
      <c r="I1753" s="72" t="s">
        <v>54</v>
      </c>
      <c r="J1753" t="str">
        <f t="shared" si="58"/>
        <v>Puyallup River</v>
      </c>
      <c r="K1753" t="str">
        <f>IFERROR(VLOOKUP(J1753,LUTs!$A$1:$C$73,2,FALSE),"NA")</f>
        <v>Pierce</v>
      </c>
      <c r="L1753" t="str">
        <f>IFERROR(VLOOKUP(J1753,LUTs!$A$1:$C$73,3,FALSE),"NA")</f>
        <v>3South Puget Sound</v>
      </c>
      <c r="M1753" s="72" t="s">
        <v>26</v>
      </c>
      <c r="N1753" t="str">
        <f>VLOOKUP(M1753,LUTs!E$2:H$14,3,)</f>
        <v>20Other</v>
      </c>
      <c r="O1753" t="str">
        <f>VLOOKUP(M1753,LUTs!E$2:H$14,4,)</f>
        <v>07Non Puget Sound</v>
      </c>
      <c r="P1753" s="73">
        <v>34.574468085106403</v>
      </c>
      <c r="Q1753" s="74">
        <f>VLOOKUP(B1753,Readme!A$40:C$51,2,)*P1753</f>
        <v>299.06914893617039</v>
      </c>
    </row>
    <row r="1754" spans="1:17" ht="12" customHeight="1" x14ac:dyDescent="0.35">
      <c r="A1754" s="75">
        <v>1753</v>
      </c>
      <c r="B1754" s="64">
        <v>2014</v>
      </c>
      <c r="C1754" s="64">
        <v>11</v>
      </c>
      <c r="D1754" s="80">
        <f t="shared" si="57"/>
        <v>2014</v>
      </c>
      <c r="E1754" t="s">
        <v>38</v>
      </c>
      <c r="F1754" t="s">
        <v>143</v>
      </c>
      <c r="G1754" t="s">
        <v>10</v>
      </c>
      <c r="H1754" s="72" t="s">
        <v>212</v>
      </c>
      <c r="I1754" s="72" t="s">
        <v>54</v>
      </c>
      <c r="J1754" t="str">
        <f t="shared" si="58"/>
        <v>Puyallup River</v>
      </c>
      <c r="K1754" t="str">
        <f>IFERROR(VLOOKUP(J1754,LUTs!$A$1:$C$73,2,FALSE),"NA")</f>
        <v>Pierce</v>
      </c>
      <c r="L1754" t="str">
        <f>IFERROR(VLOOKUP(J1754,LUTs!$A$1:$C$73,3,FALSE),"NA")</f>
        <v>3South Puget Sound</v>
      </c>
      <c r="M1754" s="72" t="s">
        <v>20</v>
      </c>
      <c r="N1754" t="str">
        <f>VLOOKUP(M1754,LUTs!E$2:H$14,3,)</f>
        <v>07Pierce</v>
      </c>
      <c r="O1754" t="str">
        <f>VLOOKUP(M1754,LUTs!E$2:H$14,4,)</f>
        <v>02South Puget Sound</v>
      </c>
      <c r="P1754" s="73">
        <v>200.531914893617</v>
      </c>
      <c r="Q1754" s="74">
        <f>VLOOKUP(B1754,Readme!A$40:C$51,2,)*P1754</f>
        <v>1734.6010638297871</v>
      </c>
    </row>
    <row r="1755" spans="1:17" ht="12" customHeight="1" x14ac:dyDescent="0.35">
      <c r="A1755" s="75">
        <v>1754</v>
      </c>
      <c r="B1755" s="64">
        <v>2014</v>
      </c>
      <c r="C1755" s="64">
        <v>11</v>
      </c>
      <c r="D1755" s="80">
        <f t="shared" si="57"/>
        <v>2014</v>
      </c>
      <c r="E1755" t="s">
        <v>38</v>
      </c>
      <c r="F1755" t="s">
        <v>143</v>
      </c>
      <c r="G1755" t="s">
        <v>10</v>
      </c>
      <c r="H1755" s="72" t="s">
        <v>212</v>
      </c>
      <c r="I1755" s="72" t="s">
        <v>54</v>
      </c>
      <c r="J1755" t="str">
        <f t="shared" si="58"/>
        <v>Puyallup River</v>
      </c>
      <c r="K1755" t="str">
        <f>IFERROR(VLOOKUP(J1755,LUTs!$A$1:$C$73,2,FALSE),"NA")</f>
        <v>Pierce</v>
      </c>
      <c r="L1755" t="str">
        <f>IFERROR(VLOOKUP(J1755,LUTs!$A$1:$C$73,3,FALSE),"NA")</f>
        <v>3South Puget Sound</v>
      </c>
      <c r="M1755" s="72" t="s">
        <v>21</v>
      </c>
      <c r="N1755" t="str">
        <f>VLOOKUP(M1755,LUTs!E$2:H$14,3,)</f>
        <v>08Thurston</v>
      </c>
      <c r="O1755" t="str">
        <f>VLOOKUP(M1755,LUTs!E$2:H$14,4,)</f>
        <v>02South Puget Sound</v>
      </c>
      <c r="P1755" s="73">
        <v>41.489361702127702</v>
      </c>
      <c r="Q1755" s="74">
        <f>VLOOKUP(B1755,Readme!A$40:C$51,2,)*P1755</f>
        <v>358.88297872340462</v>
      </c>
    </row>
    <row r="1756" spans="1:17" ht="12" customHeight="1" x14ac:dyDescent="0.35">
      <c r="A1756" s="75">
        <v>1755</v>
      </c>
      <c r="B1756" s="64">
        <v>2014</v>
      </c>
      <c r="C1756" s="64">
        <v>12</v>
      </c>
      <c r="D1756" s="80">
        <f t="shared" si="57"/>
        <v>2014</v>
      </c>
      <c r="E1756" t="s">
        <v>38</v>
      </c>
      <c r="F1756" t="s">
        <v>143</v>
      </c>
      <c r="G1756" t="s">
        <v>10</v>
      </c>
      <c r="H1756" s="72" t="s">
        <v>212</v>
      </c>
      <c r="I1756" s="72" t="s">
        <v>54</v>
      </c>
      <c r="J1756" t="str">
        <f t="shared" si="58"/>
        <v>Puyallup River</v>
      </c>
      <c r="K1756" t="str">
        <f>IFERROR(VLOOKUP(J1756,LUTs!$A$1:$C$73,2,FALSE),"NA")</f>
        <v>Pierce</v>
      </c>
      <c r="L1756" t="str">
        <f>IFERROR(VLOOKUP(J1756,LUTs!$A$1:$C$73,3,FALSE),"NA")</f>
        <v>3South Puget Sound</v>
      </c>
      <c r="M1756" s="72" t="s">
        <v>18</v>
      </c>
      <c r="N1756" t="str">
        <f>VLOOKUP(M1756,LUTs!E$2:H$14,3,)</f>
        <v>06King</v>
      </c>
      <c r="O1756" t="str">
        <f>VLOOKUP(M1756,LUTs!E$2:H$14,4,)</f>
        <v>02South Puget Sound</v>
      </c>
      <c r="P1756" s="73">
        <v>13.789473684210501</v>
      </c>
      <c r="Q1756" s="74">
        <f>VLOOKUP(B1756,Readme!A$40:C$51,2,)*P1756</f>
        <v>119.27894736842083</v>
      </c>
    </row>
    <row r="1757" spans="1:17" ht="12" customHeight="1" x14ac:dyDescent="0.35">
      <c r="A1757" s="75">
        <v>1756</v>
      </c>
      <c r="B1757" s="64">
        <v>2014</v>
      </c>
      <c r="C1757" s="64">
        <v>12</v>
      </c>
      <c r="D1757" s="80">
        <f t="shared" si="57"/>
        <v>2014</v>
      </c>
      <c r="E1757" t="s">
        <v>38</v>
      </c>
      <c r="F1757" t="s">
        <v>143</v>
      </c>
      <c r="G1757" t="s">
        <v>10</v>
      </c>
      <c r="H1757" s="72" t="s">
        <v>212</v>
      </c>
      <c r="I1757" s="72" t="s">
        <v>54</v>
      </c>
      <c r="J1757" t="str">
        <f t="shared" si="58"/>
        <v>Puyallup River</v>
      </c>
      <c r="K1757" t="str">
        <f>IFERROR(VLOOKUP(J1757,LUTs!$A$1:$C$73,2,FALSE),"NA")</f>
        <v>Pierce</v>
      </c>
      <c r="L1757" t="str">
        <f>IFERROR(VLOOKUP(J1757,LUTs!$A$1:$C$73,3,FALSE),"NA")</f>
        <v>3South Puget Sound</v>
      </c>
      <c r="M1757" s="72" t="s">
        <v>20</v>
      </c>
      <c r="N1757" t="str">
        <f>VLOOKUP(M1757,LUTs!E$2:H$14,3,)</f>
        <v>07Pierce</v>
      </c>
      <c r="O1757" t="str">
        <f>VLOOKUP(M1757,LUTs!E$2:H$14,4,)</f>
        <v>02South Puget Sound</v>
      </c>
      <c r="P1757" s="73">
        <v>82.736842105263193</v>
      </c>
      <c r="Q1757" s="74">
        <f>VLOOKUP(B1757,Readme!A$40:C$51,2,)*P1757</f>
        <v>715.67368421052663</v>
      </c>
    </row>
    <row r="1758" spans="1:17" ht="12" customHeight="1" x14ac:dyDescent="0.35">
      <c r="A1758" s="75">
        <v>1757</v>
      </c>
      <c r="B1758" s="64">
        <v>2014</v>
      </c>
      <c r="C1758" s="64">
        <v>12</v>
      </c>
      <c r="D1758" s="80">
        <f t="shared" si="57"/>
        <v>2014</v>
      </c>
      <c r="E1758" t="s">
        <v>38</v>
      </c>
      <c r="F1758" t="s">
        <v>143</v>
      </c>
      <c r="G1758" t="s">
        <v>10</v>
      </c>
      <c r="H1758" s="72" t="s">
        <v>212</v>
      </c>
      <c r="I1758" s="72" t="s">
        <v>54</v>
      </c>
      <c r="J1758" t="str">
        <f t="shared" si="58"/>
        <v>Puyallup River</v>
      </c>
      <c r="K1758" t="str">
        <f>IFERROR(VLOOKUP(J1758,LUTs!$A$1:$C$73,2,FALSE),"NA")</f>
        <v>Pierce</v>
      </c>
      <c r="L1758" t="str">
        <f>IFERROR(VLOOKUP(J1758,LUTs!$A$1:$C$73,3,FALSE),"NA")</f>
        <v>3South Puget Sound</v>
      </c>
      <c r="M1758" s="72" t="s">
        <v>21</v>
      </c>
      <c r="N1758" t="str">
        <f>VLOOKUP(M1758,LUTs!E$2:H$14,3,)</f>
        <v>08Thurston</v>
      </c>
      <c r="O1758" t="str">
        <f>VLOOKUP(M1758,LUTs!E$2:H$14,4,)</f>
        <v>02South Puget Sound</v>
      </c>
      <c r="P1758" s="73">
        <v>34.473684210526301</v>
      </c>
      <c r="Q1758" s="74">
        <f>VLOOKUP(B1758,Readme!A$40:C$51,2,)*P1758</f>
        <v>298.19736842105249</v>
      </c>
    </row>
    <row r="1759" spans="1:17" ht="12" customHeight="1" x14ac:dyDescent="0.35">
      <c r="A1759" s="75">
        <v>1758</v>
      </c>
      <c r="B1759" s="64">
        <v>2014</v>
      </c>
      <c r="C1759" s="64">
        <v>8</v>
      </c>
      <c r="D1759" s="80">
        <f t="shared" si="57"/>
        <v>2014</v>
      </c>
      <c r="E1759" t="s">
        <v>38</v>
      </c>
      <c r="F1759" t="s">
        <v>143</v>
      </c>
      <c r="G1759" t="s">
        <v>10</v>
      </c>
      <c r="H1759" s="72" t="s">
        <v>213</v>
      </c>
      <c r="I1759" s="72" t="s">
        <v>55</v>
      </c>
      <c r="J1759" t="str">
        <f t="shared" si="58"/>
        <v>Quilcene River</v>
      </c>
      <c r="K1759" t="str">
        <f>IFERROR(VLOOKUP(J1759,LUTs!$A$1:$C$73,2,FALSE),"NA")</f>
        <v>Jefferson</v>
      </c>
      <c r="L1759" t="str">
        <f>IFERROR(VLOOKUP(J1759,LUTs!$A$1:$C$73,3,FALSE),"NA")</f>
        <v>4 Hood Canal</v>
      </c>
      <c r="M1759" s="72" t="s">
        <v>24</v>
      </c>
      <c r="N1759" t="str">
        <f>VLOOKUP(M1759,LUTs!E$2:H$14,3,)</f>
        <v>11Clallam</v>
      </c>
      <c r="O1759" t="str">
        <f>VLOOKUP(M1759,LUTs!E$2:H$14,4,)</f>
        <v>03Strait of Juan de Fuca</v>
      </c>
      <c r="P1759" s="73">
        <v>14.375</v>
      </c>
      <c r="Q1759" s="74">
        <f>VLOOKUP(B1759,Readme!A$40:C$51,2,)*P1759</f>
        <v>124.34375</v>
      </c>
    </row>
    <row r="1760" spans="1:17" ht="12" customHeight="1" x14ac:dyDescent="0.35">
      <c r="A1760" s="75">
        <v>1759</v>
      </c>
      <c r="B1760" s="64">
        <v>2014</v>
      </c>
      <c r="C1760" s="64">
        <v>8</v>
      </c>
      <c r="D1760" s="80">
        <f t="shared" si="57"/>
        <v>2014</v>
      </c>
      <c r="E1760" t="s">
        <v>38</v>
      </c>
      <c r="F1760" t="s">
        <v>143</v>
      </c>
      <c r="G1760" t="s">
        <v>10</v>
      </c>
      <c r="H1760" s="72" t="s">
        <v>213</v>
      </c>
      <c r="I1760" s="72" t="s">
        <v>55</v>
      </c>
      <c r="J1760" t="str">
        <f t="shared" si="58"/>
        <v>Quilcene River</v>
      </c>
      <c r="K1760" t="str">
        <f>IFERROR(VLOOKUP(J1760,LUTs!$A$1:$C$73,2,FALSE),"NA")</f>
        <v>Jefferson</v>
      </c>
      <c r="L1760" t="str">
        <f>IFERROR(VLOOKUP(J1760,LUTs!$A$1:$C$73,3,FALSE),"NA")</f>
        <v>4 Hood Canal</v>
      </c>
      <c r="M1760" s="72" t="s">
        <v>18</v>
      </c>
      <c r="N1760" t="str">
        <f>VLOOKUP(M1760,LUTs!E$2:H$14,3,)</f>
        <v>06King</v>
      </c>
      <c r="O1760" t="str">
        <f>VLOOKUP(M1760,LUTs!E$2:H$14,4,)</f>
        <v>02South Puget Sound</v>
      </c>
      <c r="P1760" s="73">
        <v>7.1875</v>
      </c>
      <c r="Q1760" s="74">
        <f>VLOOKUP(B1760,Readme!A$40:C$51,2,)*P1760</f>
        <v>62.171875</v>
      </c>
    </row>
    <row r="1761" spans="1:17" ht="12" customHeight="1" x14ac:dyDescent="0.35">
      <c r="A1761" s="75">
        <v>1760</v>
      </c>
      <c r="B1761" s="64">
        <v>2014</v>
      </c>
      <c r="C1761" s="64">
        <v>8</v>
      </c>
      <c r="D1761" s="80">
        <f t="shared" si="57"/>
        <v>2014</v>
      </c>
      <c r="E1761" t="s">
        <v>38</v>
      </c>
      <c r="F1761" t="s">
        <v>143</v>
      </c>
      <c r="G1761" t="s">
        <v>10</v>
      </c>
      <c r="H1761" s="72" t="s">
        <v>213</v>
      </c>
      <c r="I1761" s="72" t="s">
        <v>55</v>
      </c>
      <c r="J1761" t="str">
        <f t="shared" si="58"/>
        <v>Quilcene River</v>
      </c>
      <c r="K1761" t="str">
        <f>IFERROR(VLOOKUP(J1761,LUTs!$A$1:$C$73,2,FALSE),"NA")</f>
        <v>Jefferson</v>
      </c>
      <c r="L1761" t="str">
        <f>IFERROR(VLOOKUP(J1761,LUTs!$A$1:$C$73,3,FALSE),"NA")</f>
        <v>4 Hood Canal</v>
      </c>
      <c r="M1761" s="72" t="s">
        <v>23</v>
      </c>
      <c r="N1761" t="str">
        <f>VLOOKUP(M1761,LUTs!E$2:H$14,3,)</f>
        <v>10Kitsap</v>
      </c>
      <c r="O1761" t="str">
        <f>VLOOKUP(M1761,LUTs!E$2:H$14,4,)</f>
        <v>02South Puget Sound</v>
      </c>
      <c r="P1761" s="73">
        <v>86.25</v>
      </c>
      <c r="Q1761" s="74">
        <f>VLOOKUP(B1761,Readme!A$40:C$51,2,)*P1761</f>
        <v>746.0625</v>
      </c>
    </row>
    <row r="1762" spans="1:17" ht="12" customHeight="1" x14ac:dyDescent="0.35">
      <c r="A1762" s="75">
        <v>1761</v>
      </c>
      <c r="B1762" s="64">
        <v>2014</v>
      </c>
      <c r="C1762" s="64">
        <v>8</v>
      </c>
      <c r="D1762" s="80">
        <f t="shared" si="57"/>
        <v>2014</v>
      </c>
      <c r="E1762" t="s">
        <v>38</v>
      </c>
      <c r="F1762" t="s">
        <v>143</v>
      </c>
      <c r="G1762" t="s">
        <v>10</v>
      </c>
      <c r="H1762" s="72" t="s">
        <v>213</v>
      </c>
      <c r="I1762" s="72" t="s">
        <v>55</v>
      </c>
      <c r="J1762" t="str">
        <f t="shared" si="58"/>
        <v>Quilcene River</v>
      </c>
      <c r="K1762" t="str">
        <f>IFERROR(VLOOKUP(J1762,LUTs!$A$1:$C$73,2,FALSE),"NA")</f>
        <v>Jefferson</v>
      </c>
      <c r="L1762" t="str">
        <f>IFERROR(VLOOKUP(J1762,LUTs!$A$1:$C$73,3,FALSE),"NA")</f>
        <v>4 Hood Canal</v>
      </c>
      <c r="M1762" s="72" t="s">
        <v>20</v>
      </c>
      <c r="N1762" t="str">
        <f>VLOOKUP(M1762,LUTs!E$2:H$14,3,)</f>
        <v>07Pierce</v>
      </c>
      <c r="O1762" t="str">
        <f>VLOOKUP(M1762,LUTs!E$2:H$14,4,)</f>
        <v>02South Puget Sound</v>
      </c>
      <c r="P1762" s="73">
        <v>7.1875</v>
      </c>
      <c r="Q1762" s="74">
        <f>VLOOKUP(B1762,Readme!A$40:C$51,2,)*P1762</f>
        <v>62.171875</v>
      </c>
    </row>
    <row r="1763" spans="1:17" ht="12" customHeight="1" x14ac:dyDescent="0.35">
      <c r="A1763" s="75">
        <v>1762</v>
      </c>
      <c r="B1763" s="64">
        <v>2014</v>
      </c>
      <c r="C1763" s="64">
        <v>9</v>
      </c>
      <c r="D1763" s="80">
        <f t="shared" si="57"/>
        <v>2014</v>
      </c>
      <c r="E1763" t="s">
        <v>38</v>
      </c>
      <c r="F1763" t="s">
        <v>143</v>
      </c>
      <c r="G1763" t="s">
        <v>10</v>
      </c>
      <c r="H1763" s="72" t="s">
        <v>213</v>
      </c>
      <c r="I1763" s="72" t="s">
        <v>55</v>
      </c>
      <c r="J1763" t="str">
        <f t="shared" si="58"/>
        <v>Quilcene River</v>
      </c>
      <c r="K1763" t="str">
        <f>IFERROR(VLOOKUP(J1763,LUTs!$A$1:$C$73,2,FALSE),"NA")</f>
        <v>Jefferson</v>
      </c>
      <c r="L1763" t="str">
        <f>IFERROR(VLOOKUP(J1763,LUTs!$A$1:$C$73,3,FALSE),"NA")</f>
        <v>4 Hood Canal</v>
      </c>
      <c r="M1763" s="72" t="s">
        <v>24</v>
      </c>
      <c r="N1763" t="str">
        <f>VLOOKUP(M1763,LUTs!E$2:H$14,3,)</f>
        <v>11Clallam</v>
      </c>
      <c r="O1763" t="str">
        <f>VLOOKUP(M1763,LUTs!E$2:H$14,4,)</f>
        <v>03Strait of Juan de Fuca</v>
      </c>
      <c r="P1763" s="73">
        <v>316.8</v>
      </c>
      <c r="Q1763" s="74">
        <f>VLOOKUP(B1763,Readme!A$40:C$51,2,)*P1763</f>
        <v>2740.32</v>
      </c>
    </row>
    <row r="1764" spans="1:17" ht="12" customHeight="1" x14ac:dyDescent="0.35">
      <c r="A1764" s="75">
        <v>1763</v>
      </c>
      <c r="B1764" s="64">
        <v>2014</v>
      </c>
      <c r="C1764" s="64">
        <v>9</v>
      </c>
      <c r="D1764" s="80">
        <f t="shared" si="57"/>
        <v>2014</v>
      </c>
      <c r="E1764" t="s">
        <v>38</v>
      </c>
      <c r="F1764" t="s">
        <v>143</v>
      </c>
      <c r="G1764" t="s">
        <v>10</v>
      </c>
      <c r="H1764" s="72" t="s">
        <v>213</v>
      </c>
      <c r="I1764" s="72" t="s">
        <v>55</v>
      </c>
      <c r="J1764" t="str">
        <f t="shared" si="58"/>
        <v>Quilcene River</v>
      </c>
      <c r="K1764" t="str">
        <f>IFERROR(VLOOKUP(J1764,LUTs!$A$1:$C$73,2,FALSE),"NA")</f>
        <v>Jefferson</v>
      </c>
      <c r="L1764" t="str">
        <f>IFERROR(VLOOKUP(J1764,LUTs!$A$1:$C$73,3,FALSE),"NA")</f>
        <v>4 Hood Canal</v>
      </c>
      <c r="M1764" s="72" t="s">
        <v>25</v>
      </c>
      <c r="N1764" t="str">
        <f>VLOOKUP(M1764,LUTs!E$2:H$14,3,)</f>
        <v>12Jefferson</v>
      </c>
      <c r="O1764" t="str">
        <f>VLOOKUP(M1764,LUTs!E$2:H$14,4,)</f>
        <v>03Strait of Juan de Fuca</v>
      </c>
      <c r="P1764" s="73">
        <v>79.2</v>
      </c>
      <c r="Q1764" s="74">
        <f>VLOOKUP(B1764,Readme!A$40:C$51,2,)*P1764</f>
        <v>685.08</v>
      </c>
    </row>
    <row r="1765" spans="1:17" ht="12" customHeight="1" x14ac:dyDescent="0.35">
      <c r="A1765" s="75">
        <v>1764</v>
      </c>
      <c r="B1765" s="64">
        <v>2014</v>
      </c>
      <c r="C1765" s="64">
        <v>9</v>
      </c>
      <c r="D1765" s="80">
        <f t="shared" si="57"/>
        <v>2014</v>
      </c>
      <c r="E1765" t="s">
        <v>38</v>
      </c>
      <c r="F1765" t="s">
        <v>143</v>
      </c>
      <c r="G1765" t="s">
        <v>10</v>
      </c>
      <c r="H1765" s="72" t="s">
        <v>213</v>
      </c>
      <c r="I1765" s="72" t="s">
        <v>55</v>
      </c>
      <c r="J1765" t="str">
        <f t="shared" si="58"/>
        <v>Quilcene River</v>
      </c>
      <c r="K1765" t="str">
        <f>IFERROR(VLOOKUP(J1765,LUTs!$A$1:$C$73,2,FALSE),"NA")</f>
        <v>Jefferson</v>
      </c>
      <c r="L1765" t="str">
        <f>IFERROR(VLOOKUP(J1765,LUTs!$A$1:$C$73,3,FALSE),"NA")</f>
        <v>4 Hood Canal</v>
      </c>
      <c r="M1765" s="72" t="s">
        <v>18</v>
      </c>
      <c r="N1765" t="str">
        <f>VLOOKUP(M1765,LUTs!E$2:H$14,3,)</f>
        <v>06King</v>
      </c>
      <c r="O1765" t="str">
        <f>VLOOKUP(M1765,LUTs!E$2:H$14,4,)</f>
        <v>02South Puget Sound</v>
      </c>
      <c r="P1765" s="73">
        <v>72</v>
      </c>
      <c r="Q1765" s="74">
        <f>VLOOKUP(B1765,Readme!A$40:C$51,2,)*P1765</f>
        <v>622.80000000000007</v>
      </c>
    </row>
    <row r="1766" spans="1:17" ht="12" customHeight="1" x14ac:dyDescent="0.35">
      <c r="A1766" s="75">
        <v>1765</v>
      </c>
      <c r="B1766" s="64">
        <v>2014</v>
      </c>
      <c r="C1766" s="64">
        <v>9</v>
      </c>
      <c r="D1766" s="80">
        <f t="shared" si="57"/>
        <v>2014</v>
      </c>
      <c r="E1766" t="s">
        <v>38</v>
      </c>
      <c r="F1766" t="s">
        <v>143</v>
      </c>
      <c r="G1766" t="s">
        <v>10</v>
      </c>
      <c r="H1766" s="72" t="s">
        <v>213</v>
      </c>
      <c r="I1766" s="72" t="s">
        <v>55</v>
      </c>
      <c r="J1766" t="str">
        <f t="shared" si="58"/>
        <v>Quilcene River</v>
      </c>
      <c r="K1766" t="str">
        <f>IFERROR(VLOOKUP(J1766,LUTs!$A$1:$C$73,2,FALSE),"NA")</f>
        <v>Jefferson</v>
      </c>
      <c r="L1766" t="str">
        <f>IFERROR(VLOOKUP(J1766,LUTs!$A$1:$C$73,3,FALSE),"NA")</f>
        <v>4 Hood Canal</v>
      </c>
      <c r="M1766" s="72" t="s">
        <v>23</v>
      </c>
      <c r="N1766" t="str">
        <f>VLOOKUP(M1766,LUTs!E$2:H$14,3,)</f>
        <v>10Kitsap</v>
      </c>
      <c r="O1766" t="str">
        <f>VLOOKUP(M1766,LUTs!E$2:H$14,4,)</f>
        <v>02South Puget Sound</v>
      </c>
      <c r="P1766" s="73">
        <v>331.2</v>
      </c>
      <c r="Q1766" s="74">
        <f>VLOOKUP(B1766,Readme!A$40:C$51,2,)*P1766</f>
        <v>2864.88</v>
      </c>
    </row>
    <row r="1767" spans="1:17" ht="12" customHeight="1" x14ac:dyDescent="0.35">
      <c r="A1767" s="75">
        <v>1766</v>
      </c>
      <c r="B1767" s="64">
        <v>2014</v>
      </c>
      <c r="C1767" s="64">
        <v>9</v>
      </c>
      <c r="D1767" s="80">
        <f t="shared" si="57"/>
        <v>2014</v>
      </c>
      <c r="E1767" t="s">
        <v>38</v>
      </c>
      <c r="F1767" t="s">
        <v>143</v>
      </c>
      <c r="G1767" t="s">
        <v>10</v>
      </c>
      <c r="H1767" s="72" t="s">
        <v>213</v>
      </c>
      <c r="I1767" s="72" t="s">
        <v>55</v>
      </c>
      <c r="J1767" t="str">
        <f t="shared" si="58"/>
        <v>Quilcene River</v>
      </c>
      <c r="K1767" t="str">
        <f>IFERROR(VLOOKUP(J1767,LUTs!$A$1:$C$73,2,FALSE),"NA")</f>
        <v>Jefferson</v>
      </c>
      <c r="L1767" t="str">
        <f>IFERROR(VLOOKUP(J1767,LUTs!$A$1:$C$73,3,FALSE),"NA")</f>
        <v>4 Hood Canal</v>
      </c>
      <c r="M1767" s="72" t="s">
        <v>26</v>
      </c>
      <c r="N1767" t="str">
        <f>VLOOKUP(M1767,LUTs!E$2:H$14,3,)</f>
        <v>20Other</v>
      </c>
      <c r="O1767" t="str">
        <f>VLOOKUP(M1767,LUTs!E$2:H$14,4,)</f>
        <v>07Non Puget Sound</v>
      </c>
      <c r="P1767" s="73">
        <v>79.2</v>
      </c>
      <c r="Q1767" s="74">
        <f>VLOOKUP(B1767,Readme!A$40:C$51,2,)*P1767</f>
        <v>685.08</v>
      </c>
    </row>
    <row r="1768" spans="1:17" ht="12" customHeight="1" x14ac:dyDescent="0.35">
      <c r="A1768" s="75">
        <v>1767</v>
      </c>
      <c r="B1768" s="64">
        <v>2014</v>
      </c>
      <c r="C1768" s="64">
        <v>9</v>
      </c>
      <c r="D1768" s="80">
        <f t="shared" si="57"/>
        <v>2014</v>
      </c>
      <c r="E1768" t="s">
        <v>38</v>
      </c>
      <c r="F1768" t="s">
        <v>143</v>
      </c>
      <c r="G1768" t="s">
        <v>10</v>
      </c>
      <c r="H1768" s="72" t="s">
        <v>213</v>
      </c>
      <c r="I1768" s="72" t="s">
        <v>55</v>
      </c>
      <c r="J1768" t="str">
        <f t="shared" si="58"/>
        <v>Quilcene River</v>
      </c>
      <c r="K1768" t="str">
        <f>IFERROR(VLOOKUP(J1768,LUTs!$A$1:$C$73,2,FALSE),"NA")</f>
        <v>Jefferson</v>
      </c>
      <c r="L1768" t="str">
        <f>IFERROR(VLOOKUP(J1768,LUTs!$A$1:$C$73,3,FALSE),"NA")</f>
        <v>4 Hood Canal</v>
      </c>
      <c r="M1768" s="72" t="s">
        <v>20</v>
      </c>
      <c r="N1768" t="str">
        <f>VLOOKUP(M1768,LUTs!E$2:H$14,3,)</f>
        <v>07Pierce</v>
      </c>
      <c r="O1768" t="str">
        <f>VLOOKUP(M1768,LUTs!E$2:H$14,4,)</f>
        <v>02South Puget Sound</v>
      </c>
      <c r="P1768" s="73">
        <v>100.8</v>
      </c>
      <c r="Q1768" s="74">
        <f>VLOOKUP(B1768,Readme!A$40:C$51,2,)*P1768</f>
        <v>871.92</v>
      </c>
    </row>
    <row r="1769" spans="1:17" ht="12" customHeight="1" x14ac:dyDescent="0.35">
      <c r="A1769" s="75">
        <v>1768</v>
      </c>
      <c r="B1769" s="64">
        <v>2014</v>
      </c>
      <c r="C1769" s="64">
        <v>9</v>
      </c>
      <c r="D1769" s="80">
        <f t="shared" si="57"/>
        <v>2014</v>
      </c>
      <c r="E1769" t="s">
        <v>38</v>
      </c>
      <c r="F1769" t="s">
        <v>143</v>
      </c>
      <c r="G1769" t="s">
        <v>10</v>
      </c>
      <c r="H1769" s="72" t="s">
        <v>213</v>
      </c>
      <c r="I1769" s="72" t="s">
        <v>55</v>
      </c>
      <c r="J1769" t="str">
        <f t="shared" si="58"/>
        <v>Quilcene River</v>
      </c>
      <c r="K1769" t="str">
        <f>IFERROR(VLOOKUP(J1769,LUTs!$A$1:$C$73,2,FALSE),"NA")</f>
        <v>Jefferson</v>
      </c>
      <c r="L1769" t="str">
        <f>IFERROR(VLOOKUP(J1769,LUTs!$A$1:$C$73,3,FALSE),"NA")</f>
        <v>4 Hood Canal</v>
      </c>
      <c r="M1769" s="72" t="s">
        <v>15</v>
      </c>
      <c r="N1769" t="str">
        <f>VLOOKUP(M1769,LUTs!E$2:H$14,3,)</f>
        <v>02Skagit</v>
      </c>
      <c r="O1769" t="str">
        <f>VLOOKUP(M1769,LUTs!E$2:H$14,4,)</f>
        <v>01North Puget Sound</v>
      </c>
      <c r="P1769" s="73">
        <v>14.4</v>
      </c>
      <c r="Q1769" s="74">
        <f>VLOOKUP(B1769,Readme!A$40:C$51,2,)*P1769</f>
        <v>124.56</v>
      </c>
    </row>
    <row r="1770" spans="1:17" ht="12" customHeight="1" x14ac:dyDescent="0.35">
      <c r="A1770" s="75">
        <v>1769</v>
      </c>
      <c r="B1770" s="64">
        <v>2014</v>
      </c>
      <c r="C1770" s="64">
        <v>9</v>
      </c>
      <c r="D1770" s="80">
        <f t="shared" si="57"/>
        <v>2014</v>
      </c>
      <c r="E1770" t="s">
        <v>38</v>
      </c>
      <c r="F1770" t="s">
        <v>143</v>
      </c>
      <c r="G1770" t="s">
        <v>10</v>
      </c>
      <c r="H1770" s="72" t="s">
        <v>213</v>
      </c>
      <c r="I1770" s="72" t="s">
        <v>55</v>
      </c>
      <c r="J1770" t="str">
        <f t="shared" si="58"/>
        <v>Quilcene River</v>
      </c>
      <c r="K1770" t="str">
        <f>IFERROR(VLOOKUP(J1770,LUTs!$A$1:$C$73,2,FALSE),"NA")</f>
        <v>Jefferson</v>
      </c>
      <c r="L1770" t="str">
        <f>IFERROR(VLOOKUP(J1770,LUTs!$A$1:$C$73,3,FALSE),"NA")</f>
        <v>4 Hood Canal</v>
      </c>
      <c r="M1770" s="72" t="s">
        <v>16</v>
      </c>
      <c r="N1770" t="str">
        <f>VLOOKUP(M1770,LUTs!E$2:H$14,3,)</f>
        <v>03Snohomish</v>
      </c>
      <c r="O1770" t="str">
        <f>VLOOKUP(M1770,LUTs!E$2:H$14,4,)</f>
        <v>01North Puget Sound</v>
      </c>
      <c r="P1770" s="73">
        <v>57.6</v>
      </c>
      <c r="Q1770" s="74">
        <f>VLOOKUP(B1770,Readme!A$40:C$51,2,)*P1770</f>
        <v>498.24</v>
      </c>
    </row>
    <row r="1771" spans="1:17" ht="12" customHeight="1" x14ac:dyDescent="0.35">
      <c r="A1771" s="75">
        <v>1770</v>
      </c>
      <c r="B1771" s="64">
        <v>2014</v>
      </c>
      <c r="C1771" s="64">
        <v>9</v>
      </c>
      <c r="D1771" s="80">
        <f t="shared" si="57"/>
        <v>2014</v>
      </c>
      <c r="E1771" t="s">
        <v>38</v>
      </c>
      <c r="F1771" t="s">
        <v>143</v>
      </c>
      <c r="G1771" t="s">
        <v>10</v>
      </c>
      <c r="H1771" s="72" t="s">
        <v>213</v>
      </c>
      <c r="I1771" s="72" t="s">
        <v>55</v>
      </c>
      <c r="J1771" t="str">
        <f t="shared" si="58"/>
        <v>Quilcene River</v>
      </c>
      <c r="K1771" t="str">
        <f>IFERROR(VLOOKUP(J1771,LUTs!$A$1:$C$73,2,FALSE),"NA")</f>
        <v>Jefferson</v>
      </c>
      <c r="L1771" t="str">
        <f>IFERROR(VLOOKUP(J1771,LUTs!$A$1:$C$73,3,FALSE),"NA")</f>
        <v>4 Hood Canal</v>
      </c>
      <c r="M1771" s="72" t="s">
        <v>21</v>
      </c>
      <c r="N1771" t="str">
        <f>VLOOKUP(M1771,LUTs!E$2:H$14,3,)</f>
        <v>08Thurston</v>
      </c>
      <c r="O1771" t="str">
        <f>VLOOKUP(M1771,LUTs!E$2:H$14,4,)</f>
        <v>02South Puget Sound</v>
      </c>
      <c r="P1771" s="73">
        <v>28.8</v>
      </c>
      <c r="Q1771" s="74">
        <f>VLOOKUP(B1771,Readme!A$40:C$51,2,)*P1771</f>
        <v>249.12</v>
      </c>
    </row>
    <row r="1772" spans="1:17" ht="12" customHeight="1" x14ac:dyDescent="0.35">
      <c r="A1772" s="75">
        <v>1771</v>
      </c>
      <c r="B1772" s="64">
        <v>2014</v>
      </c>
      <c r="C1772" s="64">
        <v>10</v>
      </c>
      <c r="D1772" s="80">
        <f t="shared" si="57"/>
        <v>2014</v>
      </c>
      <c r="E1772" t="s">
        <v>38</v>
      </c>
      <c r="F1772" t="s">
        <v>143</v>
      </c>
      <c r="G1772" t="s">
        <v>10</v>
      </c>
      <c r="H1772" s="72" t="s">
        <v>213</v>
      </c>
      <c r="I1772" s="72" t="s">
        <v>55</v>
      </c>
      <c r="J1772" t="str">
        <f t="shared" si="58"/>
        <v>Quilcene River</v>
      </c>
      <c r="K1772" t="str">
        <f>IFERROR(VLOOKUP(J1772,LUTs!$A$1:$C$73,2,FALSE),"NA")</f>
        <v>Jefferson</v>
      </c>
      <c r="L1772" t="str">
        <f>IFERROR(VLOOKUP(J1772,LUTs!$A$1:$C$73,3,FALSE),"NA")</f>
        <v>4 Hood Canal</v>
      </c>
      <c r="M1772" s="72" t="s">
        <v>18</v>
      </c>
      <c r="N1772" t="str">
        <f>VLOOKUP(M1772,LUTs!E$2:H$14,3,)</f>
        <v>06King</v>
      </c>
      <c r="O1772" t="str">
        <f>VLOOKUP(M1772,LUTs!E$2:H$14,4,)</f>
        <v>02South Puget Sound</v>
      </c>
      <c r="P1772" s="73">
        <v>7.2</v>
      </c>
      <c r="Q1772" s="74">
        <f>VLOOKUP(B1772,Readme!A$40:C$51,2,)*P1772</f>
        <v>62.28</v>
      </c>
    </row>
    <row r="1773" spans="1:17" ht="12" customHeight="1" x14ac:dyDescent="0.35">
      <c r="A1773" s="75">
        <v>1772</v>
      </c>
      <c r="B1773" s="64">
        <v>2014</v>
      </c>
      <c r="C1773" s="64">
        <v>10</v>
      </c>
      <c r="D1773" s="80">
        <f t="shared" si="57"/>
        <v>2014</v>
      </c>
      <c r="E1773" t="s">
        <v>38</v>
      </c>
      <c r="F1773" t="s">
        <v>143</v>
      </c>
      <c r="G1773" t="s">
        <v>10</v>
      </c>
      <c r="H1773" s="72" t="s">
        <v>213</v>
      </c>
      <c r="I1773" s="72" t="s">
        <v>55</v>
      </c>
      <c r="J1773" t="str">
        <f t="shared" si="58"/>
        <v>Quilcene River</v>
      </c>
      <c r="K1773" t="str">
        <f>IFERROR(VLOOKUP(J1773,LUTs!$A$1:$C$73,2,FALSE),"NA")</f>
        <v>Jefferson</v>
      </c>
      <c r="L1773" t="str">
        <f>IFERROR(VLOOKUP(J1773,LUTs!$A$1:$C$73,3,FALSE),"NA")</f>
        <v>4 Hood Canal</v>
      </c>
      <c r="M1773" s="72" t="s">
        <v>23</v>
      </c>
      <c r="N1773" t="str">
        <f>VLOOKUP(M1773,LUTs!E$2:H$14,3,)</f>
        <v>10Kitsap</v>
      </c>
      <c r="O1773" t="str">
        <f>VLOOKUP(M1773,LUTs!E$2:H$14,4,)</f>
        <v>02South Puget Sound</v>
      </c>
      <c r="P1773" s="73">
        <v>7.2</v>
      </c>
      <c r="Q1773" s="74">
        <f>VLOOKUP(B1773,Readme!A$40:C$51,2,)*P1773</f>
        <v>62.28</v>
      </c>
    </row>
    <row r="1774" spans="1:17" ht="12" customHeight="1" x14ac:dyDescent="0.35">
      <c r="A1774" s="75">
        <v>1773</v>
      </c>
      <c r="B1774" s="64">
        <v>2014</v>
      </c>
      <c r="C1774" s="64">
        <v>10</v>
      </c>
      <c r="D1774" s="80">
        <f t="shared" si="57"/>
        <v>2014</v>
      </c>
      <c r="E1774" t="s">
        <v>38</v>
      </c>
      <c r="F1774" t="s">
        <v>143</v>
      </c>
      <c r="G1774" t="s">
        <v>10</v>
      </c>
      <c r="H1774" s="72" t="s">
        <v>213</v>
      </c>
      <c r="I1774" s="72" t="s">
        <v>55</v>
      </c>
      <c r="J1774" t="str">
        <f t="shared" si="58"/>
        <v>Quilcene River</v>
      </c>
      <c r="K1774" t="str">
        <f>IFERROR(VLOOKUP(J1774,LUTs!$A$1:$C$73,2,FALSE),"NA")</f>
        <v>Jefferson</v>
      </c>
      <c r="L1774" t="str">
        <f>IFERROR(VLOOKUP(J1774,LUTs!$A$1:$C$73,3,FALSE),"NA")</f>
        <v>4 Hood Canal</v>
      </c>
      <c r="M1774" s="72" t="s">
        <v>26</v>
      </c>
      <c r="N1774" t="str">
        <f>VLOOKUP(M1774,LUTs!E$2:H$14,3,)</f>
        <v>20Other</v>
      </c>
      <c r="O1774" t="str">
        <f>VLOOKUP(M1774,LUTs!E$2:H$14,4,)</f>
        <v>07Non Puget Sound</v>
      </c>
      <c r="P1774" s="73">
        <v>21.6</v>
      </c>
      <c r="Q1774" s="74">
        <f>VLOOKUP(B1774,Readme!A$40:C$51,2,)*P1774</f>
        <v>186.84000000000003</v>
      </c>
    </row>
    <row r="1775" spans="1:17" ht="12" customHeight="1" x14ac:dyDescent="0.35">
      <c r="A1775" s="75">
        <v>1774</v>
      </c>
      <c r="B1775" s="64">
        <v>2014</v>
      </c>
      <c r="C1775" s="64">
        <v>7</v>
      </c>
      <c r="D1775" s="80">
        <f t="shared" si="57"/>
        <v>2014</v>
      </c>
      <c r="E1775" t="s">
        <v>38</v>
      </c>
      <c r="F1775" t="s">
        <v>143</v>
      </c>
      <c r="G1775" t="s">
        <v>10</v>
      </c>
      <c r="H1775" s="72" t="s">
        <v>214</v>
      </c>
      <c r="I1775" s="72" t="s">
        <v>56</v>
      </c>
      <c r="J1775" t="str">
        <f t="shared" si="58"/>
        <v>Samish River</v>
      </c>
      <c r="K1775" t="str">
        <f>IFERROR(VLOOKUP(J1775,LUTs!$A$1:$C$73,2,FALSE),"NA")</f>
        <v>Skagit</v>
      </c>
      <c r="L1775" t="str">
        <f>IFERROR(VLOOKUP(J1775,LUTs!$A$1:$C$73,3,FALSE),"NA")</f>
        <v>1North Puget Sound</v>
      </c>
      <c r="M1775" s="72" t="s">
        <v>15</v>
      </c>
      <c r="N1775" t="str">
        <f>VLOOKUP(M1775,LUTs!E$2:H$14,3,)</f>
        <v>02Skagit</v>
      </c>
      <c r="O1775" t="str">
        <f>VLOOKUP(M1775,LUTs!E$2:H$14,4,)</f>
        <v>01North Puget Sound</v>
      </c>
      <c r="P1775" s="73">
        <v>0</v>
      </c>
      <c r="Q1775" s="74">
        <f>VLOOKUP(B1775,Readme!A$40:C$51,2,)*P1775</f>
        <v>0</v>
      </c>
    </row>
    <row r="1776" spans="1:17" ht="12" customHeight="1" x14ac:dyDescent="0.35">
      <c r="A1776" s="75">
        <v>1775</v>
      </c>
      <c r="B1776" s="64">
        <v>2014</v>
      </c>
      <c r="C1776" s="64">
        <v>8</v>
      </c>
      <c r="D1776" s="80">
        <f t="shared" si="57"/>
        <v>2014</v>
      </c>
      <c r="E1776" t="s">
        <v>38</v>
      </c>
      <c r="F1776" t="s">
        <v>143</v>
      </c>
      <c r="G1776" t="s">
        <v>10</v>
      </c>
      <c r="H1776" s="72" t="s">
        <v>214</v>
      </c>
      <c r="I1776" s="72" t="s">
        <v>56</v>
      </c>
      <c r="J1776" t="str">
        <f t="shared" si="58"/>
        <v>Samish River</v>
      </c>
      <c r="K1776" t="str">
        <f>IFERROR(VLOOKUP(J1776,LUTs!$A$1:$C$73,2,FALSE),"NA")</f>
        <v>Skagit</v>
      </c>
      <c r="L1776" t="str">
        <f>IFERROR(VLOOKUP(J1776,LUTs!$A$1:$C$73,3,FALSE),"NA")</f>
        <v>1North Puget Sound</v>
      </c>
      <c r="M1776" s="72" t="s">
        <v>17</v>
      </c>
      <c r="N1776" t="str">
        <f>VLOOKUP(M1776,LUTs!E$2:H$14,3,)</f>
        <v>04Island</v>
      </c>
      <c r="O1776" t="str">
        <f>VLOOKUP(M1776,LUTs!E$2:H$14,4,)</f>
        <v>01North Puget Sound</v>
      </c>
      <c r="P1776" s="73">
        <v>22.636363636363601</v>
      </c>
      <c r="Q1776" s="74">
        <f>VLOOKUP(B1776,Readme!A$40:C$51,2,)*P1776</f>
        <v>195.80454545454515</v>
      </c>
    </row>
    <row r="1777" spans="1:17" ht="12" customHeight="1" x14ac:dyDescent="0.35">
      <c r="A1777" s="75">
        <v>1776</v>
      </c>
      <c r="B1777" s="64">
        <v>2014</v>
      </c>
      <c r="C1777" s="64">
        <v>8</v>
      </c>
      <c r="D1777" s="80">
        <f t="shared" si="57"/>
        <v>2014</v>
      </c>
      <c r="E1777" t="s">
        <v>38</v>
      </c>
      <c r="F1777" t="s">
        <v>143</v>
      </c>
      <c r="G1777" t="s">
        <v>10</v>
      </c>
      <c r="H1777" s="72" t="s">
        <v>214</v>
      </c>
      <c r="I1777" s="72" t="s">
        <v>56</v>
      </c>
      <c r="J1777" t="str">
        <f t="shared" si="58"/>
        <v>Samish River</v>
      </c>
      <c r="K1777" t="str">
        <f>IFERROR(VLOOKUP(J1777,LUTs!$A$1:$C$73,2,FALSE),"NA")</f>
        <v>Skagit</v>
      </c>
      <c r="L1777" t="str">
        <f>IFERROR(VLOOKUP(J1777,LUTs!$A$1:$C$73,3,FALSE),"NA")</f>
        <v>1North Puget Sound</v>
      </c>
      <c r="M1777" s="72" t="s">
        <v>18</v>
      </c>
      <c r="N1777" t="str">
        <f>VLOOKUP(M1777,LUTs!E$2:H$14,3,)</f>
        <v>06King</v>
      </c>
      <c r="O1777" t="str">
        <f>VLOOKUP(M1777,LUTs!E$2:H$14,4,)</f>
        <v>02South Puget Sound</v>
      </c>
      <c r="P1777" s="73">
        <v>37.727272727272698</v>
      </c>
      <c r="Q1777" s="74">
        <f>VLOOKUP(B1777,Readme!A$40:C$51,2,)*P1777</f>
        <v>326.34090909090884</v>
      </c>
    </row>
    <row r="1778" spans="1:17" ht="12" customHeight="1" x14ac:dyDescent="0.35">
      <c r="A1778" s="75">
        <v>1777</v>
      </c>
      <c r="B1778" s="64">
        <v>2014</v>
      </c>
      <c r="C1778" s="64">
        <v>8</v>
      </c>
      <c r="D1778" s="80">
        <f t="shared" si="57"/>
        <v>2014</v>
      </c>
      <c r="E1778" t="s">
        <v>38</v>
      </c>
      <c r="F1778" t="s">
        <v>143</v>
      </c>
      <c r="G1778" t="s">
        <v>10</v>
      </c>
      <c r="H1778" s="72" t="s">
        <v>214</v>
      </c>
      <c r="I1778" s="72" t="s">
        <v>56</v>
      </c>
      <c r="J1778" t="str">
        <f t="shared" si="58"/>
        <v>Samish River</v>
      </c>
      <c r="K1778" t="str">
        <f>IFERROR(VLOOKUP(J1778,LUTs!$A$1:$C$73,2,FALSE),"NA")</f>
        <v>Skagit</v>
      </c>
      <c r="L1778" t="str">
        <f>IFERROR(VLOOKUP(J1778,LUTs!$A$1:$C$73,3,FALSE),"NA")</f>
        <v>1North Puget Sound</v>
      </c>
      <c r="M1778" s="72" t="s">
        <v>15</v>
      </c>
      <c r="N1778" t="str">
        <f>VLOOKUP(M1778,LUTs!E$2:H$14,3,)</f>
        <v>02Skagit</v>
      </c>
      <c r="O1778" t="str">
        <f>VLOOKUP(M1778,LUTs!E$2:H$14,4,)</f>
        <v>01North Puget Sound</v>
      </c>
      <c r="P1778" s="73">
        <v>113.181818181818</v>
      </c>
      <c r="Q1778" s="74">
        <f>VLOOKUP(B1778,Readme!A$40:C$51,2,)*P1778</f>
        <v>979.02272727272577</v>
      </c>
    </row>
    <row r="1779" spans="1:17" ht="12" customHeight="1" x14ac:dyDescent="0.35">
      <c r="A1779" s="75">
        <v>1778</v>
      </c>
      <c r="B1779" s="64">
        <v>2014</v>
      </c>
      <c r="C1779" s="64">
        <v>8</v>
      </c>
      <c r="D1779" s="80">
        <f t="shared" si="57"/>
        <v>2014</v>
      </c>
      <c r="E1779" t="s">
        <v>38</v>
      </c>
      <c r="F1779" t="s">
        <v>143</v>
      </c>
      <c r="G1779" t="s">
        <v>10</v>
      </c>
      <c r="H1779" s="72" t="s">
        <v>214</v>
      </c>
      <c r="I1779" s="72" t="s">
        <v>56</v>
      </c>
      <c r="J1779" t="str">
        <f t="shared" si="58"/>
        <v>Samish River</v>
      </c>
      <c r="K1779" t="str">
        <f>IFERROR(VLOOKUP(J1779,LUTs!$A$1:$C$73,2,FALSE),"NA")</f>
        <v>Skagit</v>
      </c>
      <c r="L1779" t="str">
        <f>IFERROR(VLOOKUP(J1779,LUTs!$A$1:$C$73,3,FALSE),"NA")</f>
        <v>1North Puget Sound</v>
      </c>
      <c r="M1779" s="72" t="s">
        <v>16</v>
      </c>
      <c r="N1779" t="str">
        <f>VLOOKUP(M1779,LUTs!E$2:H$14,3,)</f>
        <v>03Snohomish</v>
      </c>
      <c r="O1779" t="str">
        <f>VLOOKUP(M1779,LUTs!E$2:H$14,4,)</f>
        <v>01North Puget Sound</v>
      </c>
      <c r="P1779" s="73">
        <v>128.272727272727</v>
      </c>
      <c r="Q1779" s="74">
        <f>VLOOKUP(B1779,Readme!A$40:C$51,2,)*P1779</f>
        <v>1109.5590909090886</v>
      </c>
    </row>
    <row r="1780" spans="1:17" ht="12" customHeight="1" x14ac:dyDescent="0.35">
      <c r="A1780" s="75">
        <v>1779</v>
      </c>
      <c r="B1780" s="64">
        <v>2014</v>
      </c>
      <c r="C1780" s="64">
        <v>8</v>
      </c>
      <c r="D1780" s="80">
        <f t="shared" si="57"/>
        <v>2014</v>
      </c>
      <c r="E1780" t="s">
        <v>38</v>
      </c>
      <c r="F1780" t="s">
        <v>143</v>
      </c>
      <c r="G1780" t="s">
        <v>10</v>
      </c>
      <c r="H1780" s="72" t="s">
        <v>214</v>
      </c>
      <c r="I1780" s="72" t="s">
        <v>56</v>
      </c>
      <c r="J1780" t="str">
        <f t="shared" si="58"/>
        <v>Samish River</v>
      </c>
      <c r="K1780" t="str">
        <f>IFERROR(VLOOKUP(J1780,LUTs!$A$1:$C$73,2,FALSE),"NA")</f>
        <v>Skagit</v>
      </c>
      <c r="L1780" t="str">
        <f>IFERROR(VLOOKUP(J1780,LUTs!$A$1:$C$73,3,FALSE),"NA")</f>
        <v>1North Puget Sound</v>
      </c>
      <c r="M1780" s="72" t="s">
        <v>13</v>
      </c>
      <c r="N1780" t="str">
        <f>VLOOKUP(M1780,LUTs!E$2:H$14,3,)</f>
        <v>01Whatcom</v>
      </c>
      <c r="O1780" t="str">
        <f>VLOOKUP(M1780,LUTs!E$2:H$14,4,)</f>
        <v>01North Puget Sound</v>
      </c>
      <c r="P1780" s="73">
        <v>30.181818181818201</v>
      </c>
      <c r="Q1780" s="74">
        <f>VLOOKUP(B1780,Readme!A$40:C$51,2,)*P1780</f>
        <v>261.07272727272743</v>
      </c>
    </row>
    <row r="1781" spans="1:17" ht="12" customHeight="1" x14ac:dyDescent="0.35">
      <c r="A1781" s="75">
        <v>1780</v>
      </c>
      <c r="B1781" s="64">
        <v>2014</v>
      </c>
      <c r="C1781" s="64">
        <v>9</v>
      </c>
      <c r="D1781" s="80">
        <f t="shared" si="57"/>
        <v>2014</v>
      </c>
      <c r="E1781" t="s">
        <v>38</v>
      </c>
      <c r="F1781" t="s">
        <v>143</v>
      </c>
      <c r="G1781" t="s">
        <v>10</v>
      </c>
      <c r="H1781" s="72" t="s">
        <v>214</v>
      </c>
      <c r="I1781" s="72" t="s">
        <v>56</v>
      </c>
      <c r="J1781" t="str">
        <f t="shared" si="58"/>
        <v>Samish River</v>
      </c>
      <c r="K1781" t="str">
        <f>IFERROR(VLOOKUP(J1781,LUTs!$A$1:$C$73,2,FALSE),"NA")</f>
        <v>Skagit</v>
      </c>
      <c r="L1781" t="str">
        <f>IFERROR(VLOOKUP(J1781,LUTs!$A$1:$C$73,3,FALSE),"NA")</f>
        <v>1North Puget Sound</v>
      </c>
      <c r="M1781" s="72" t="s">
        <v>17</v>
      </c>
      <c r="N1781" t="str">
        <f>VLOOKUP(M1781,LUTs!E$2:H$14,3,)</f>
        <v>04Island</v>
      </c>
      <c r="O1781" t="str">
        <f>VLOOKUP(M1781,LUTs!E$2:H$14,4,)</f>
        <v>01North Puget Sound</v>
      </c>
      <c r="P1781" s="73">
        <v>389.58217270195001</v>
      </c>
      <c r="Q1781" s="74">
        <f>VLOOKUP(B1781,Readme!A$40:C$51,2,)*P1781</f>
        <v>3369.8857938718679</v>
      </c>
    </row>
    <row r="1782" spans="1:17" ht="12" customHeight="1" x14ac:dyDescent="0.35">
      <c r="A1782" s="75">
        <v>1781</v>
      </c>
      <c r="B1782" s="64">
        <v>2014</v>
      </c>
      <c r="C1782" s="64">
        <v>9</v>
      </c>
      <c r="D1782" s="80">
        <f t="shared" si="57"/>
        <v>2014</v>
      </c>
      <c r="E1782" t="s">
        <v>38</v>
      </c>
      <c r="F1782" t="s">
        <v>143</v>
      </c>
      <c r="G1782" t="s">
        <v>10</v>
      </c>
      <c r="H1782" s="72" t="s">
        <v>214</v>
      </c>
      <c r="I1782" s="72" t="s">
        <v>56</v>
      </c>
      <c r="J1782" t="str">
        <f t="shared" si="58"/>
        <v>Samish River</v>
      </c>
      <c r="K1782" t="str">
        <f>IFERROR(VLOOKUP(J1782,LUTs!$A$1:$C$73,2,FALSE),"NA")</f>
        <v>Skagit</v>
      </c>
      <c r="L1782" t="str">
        <f>IFERROR(VLOOKUP(J1782,LUTs!$A$1:$C$73,3,FALSE),"NA")</f>
        <v>1North Puget Sound</v>
      </c>
      <c r="M1782" s="72" t="s">
        <v>18</v>
      </c>
      <c r="N1782" t="str">
        <f>VLOOKUP(M1782,LUTs!E$2:H$14,3,)</f>
        <v>06King</v>
      </c>
      <c r="O1782" t="str">
        <f>VLOOKUP(M1782,LUTs!E$2:H$14,4,)</f>
        <v>02South Puget Sound</v>
      </c>
      <c r="P1782" s="73">
        <v>317.43732590529299</v>
      </c>
      <c r="Q1782" s="74">
        <f>VLOOKUP(B1782,Readme!A$40:C$51,2,)*P1782</f>
        <v>2745.8328690807843</v>
      </c>
    </row>
    <row r="1783" spans="1:17" ht="12" customHeight="1" x14ac:dyDescent="0.35">
      <c r="A1783" s="75">
        <v>1782</v>
      </c>
      <c r="B1783" s="64">
        <v>2014</v>
      </c>
      <c r="C1783" s="64">
        <v>9</v>
      </c>
      <c r="D1783" s="80">
        <f t="shared" si="57"/>
        <v>2014</v>
      </c>
      <c r="E1783" t="s">
        <v>38</v>
      </c>
      <c r="F1783" t="s">
        <v>143</v>
      </c>
      <c r="G1783" t="s">
        <v>10</v>
      </c>
      <c r="H1783" s="72" t="s">
        <v>214</v>
      </c>
      <c r="I1783" s="72" t="s">
        <v>56</v>
      </c>
      <c r="J1783" t="str">
        <f t="shared" si="58"/>
        <v>Samish River</v>
      </c>
      <c r="K1783" t="str">
        <f>IFERROR(VLOOKUP(J1783,LUTs!$A$1:$C$73,2,FALSE),"NA")</f>
        <v>Skagit</v>
      </c>
      <c r="L1783" t="str">
        <f>IFERROR(VLOOKUP(J1783,LUTs!$A$1:$C$73,3,FALSE),"NA")</f>
        <v>1North Puget Sound</v>
      </c>
      <c r="M1783" s="72" t="s">
        <v>26</v>
      </c>
      <c r="N1783" t="str">
        <f>VLOOKUP(M1783,LUTs!E$2:H$14,3,)</f>
        <v>20Other</v>
      </c>
      <c r="O1783" t="str">
        <f>VLOOKUP(M1783,LUTs!E$2:H$14,4,)</f>
        <v>07Non Puget Sound</v>
      </c>
      <c r="P1783" s="73">
        <v>324.65181058495801</v>
      </c>
      <c r="Q1783" s="74">
        <f>VLOOKUP(B1783,Readme!A$40:C$51,2,)*P1783</f>
        <v>2808.238161559887</v>
      </c>
    </row>
    <row r="1784" spans="1:17" ht="12" customHeight="1" x14ac:dyDescent="0.35">
      <c r="A1784" s="75">
        <v>1783</v>
      </c>
      <c r="B1784" s="64">
        <v>2014</v>
      </c>
      <c r="C1784" s="64">
        <v>9</v>
      </c>
      <c r="D1784" s="80">
        <f t="shared" si="57"/>
        <v>2014</v>
      </c>
      <c r="E1784" t="s">
        <v>38</v>
      </c>
      <c r="F1784" t="s">
        <v>143</v>
      </c>
      <c r="G1784" t="s">
        <v>10</v>
      </c>
      <c r="H1784" s="72" t="s">
        <v>214</v>
      </c>
      <c r="I1784" s="72" t="s">
        <v>56</v>
      </c>
      <c r="J1784" t="str">
        <f t="shared" si="58"/>
        <v>Samish River</v>
      </c>
      <c r="K1784" t="str">
        <f>IFERROR(VLOOKUP(J1784,LUTs!$A$1:$C$73,2,FALSE),"NA")</f>
        <v>Skagit</v>
      </c>
      <c r="L1784" t="str">
        <f>IFERROR(VLOOKUP(J1784,LUTs!$A$1:$C$73,3,FALSE),"NA")</f>
        <v>1North Puget Sound</v>
      </c>
      <c r="M1784" s="72" t="s">
        <v>15</v>
      </c>
      <c r="N1784" t="str">
        <f>VLOOKUP(M1784,LUTs!E$2:H$14,3,)</f>
        <v>02Skagit</v>
      </c>
      <c r="O1784" t="str">
        <f>VLOOKUP(M1784,LUTs!E$2:H$14,4,)</f>
        <v>01North Puget Sound</v>
      </c>
      <c r="P1784" s="73">
        <v>1276.96378830084</v>
      </c>
      <c r="Q1784" s="74">
        <f>VLOOKUP(B1784,Readme!A$40:C$51,2,)*P1784</f>
        <v>11045.736768802266</v>
      </c>
    </row>
    <row r="1785" spans="1:17" ht="12" customHeight="1" x14ac:dyDescent="0.35">
      <c r="A1785" s="75">
        <v>1784</v>
      </c>
      <c r="B1785" s="64">
        <v>2014</v>
      </c>
      <c r="C1785" s="64">
        <v>9</v>
      </c>
      <c r="D1785" s="80">
        <f t="shared" si="57"/>
        <v>2014</v>
      </c>
      <c r="E1785" t="s">
        <v>38</v>
      </c>
      <c r="F1785" t="s">
        <v>143</v>
      </c>
      <c r="G1785" t="s">
        <v>10</v>
      </c>
      <c r="H1785" s="72" t="s">
        <v>214</v>
      </c>
      <c r="I1785" s="72" t="s">
        <v>56</v>
      </c>
      <c r="J1785" t="str">
        <f t="shared" si="58"/>
        <v>Samish River</v>
      </c>
      <c r="K1785" t="str">
        <f>IFERROR(VLOOKUP(J1785,LUTs!$A$1:$C$73,2,FALSE),"NA")</f>
        <v>Skagit</v>
      </c>
      <c r="L1785" t="str">
        <f>IFERROR(VLOOKUP(J1785,LUTs!$A$1:$C$73,3,FALSE),"NA")</f>
        <v>1North Puget Sound</v>
      </c>
      <c r="M1785" s="72" t="s">
        <v>16</v>
      </c>
      <c r="N1785" t="str">
        <f>VLOOKUP(M1785,LUTs!E$2:H$14,3,)</f>
        <v>03Snohomish</v>
      </c>
      <c r="O1785" t="str">
        <f>VLOOKUP(M1785,LUTs!E$2:H$14,4,)</f>
        <v>01North Puget Sound</v>
      </c>
      <c r="P1785" s="73">
        <v>2286.9916434540401</v>
      </c>
      <c r="Q1785" s="74">
        <f>VLOOKUP(B1785,Readme!A$40:C$51,2,)*P1785</f>
        <v>19782.477715877449</v>
      </c>
    </row>
    <row r="1786" spans="1:17" ht="12" customHeight="1" x14ac:dyDescent="0.35">
      <c r="A1786" s="75">
        <v>1785</v>
      </c>
      <c r="B1786" s="64">
        <v>2014</v>
      </c>
      <c r="C1786" s="64">
        <v>9</v>
      </c>
      <c r="D1786" s="80">
        <f t="shared" si="57"/>
        <v>2014</v>
      </c>
      <c r="E1786" t="s">
        <v>38</v>
      </c>
      <c r="F1786" t="s">
        <v>143</v>
      </c>
      <c r="G1786" t="s">
        <v>10</v>
      </c>
      <c r="H1786" s="72" t="s">
        <v>214</v>
      </c>
      <c r="I1786" s="72" t="s">
        <v>56</v>
      </c>
      <c r="J1786" t="str">
        <f t="shared" si="58"/>
        <v>Samish River</v>
      </c>
      <c r="K1786" t="str">
        <f>IFERROR(VLOOKUP(J1786,LUTs!$A$1:$C$73,2,FALSE),"NA")</f>
        <v>Skagit</v>
      </c>
      <c r="L1786" t="str">
        <f>IFERROR(VLOOKUP(J1786,LUTs!$A$1:$C$73,3,FALSE),"NA")</f>
        <v>1North Puget Sound</v>
      </c>
      <c r="M1786" s="72" t="s">
        <v>13</v>
      </c>
      <c r="N1786" t="str">
        <f>VLOOKUP(M1786,LUTs!E$2:H$14,3,)</f>
        <v>01Whatcom</v>
      </c>
      <c r="O1786" t="str">
        <f>VLOOKUP(M1786,LUTs!E$2:H$14,4,)</f>
        <v>01North Puget Sound</v>
      </c>
      <c r="P1786" s="73">
        <v>584.37325905292505</v>
      </c>
      <c r="Q1786" s="74">
        <f>VLOOKUP(B1786,Readme!A$40:C$51,2,)*P1786</f>
        <v>5054.8286908078016</v>
      </c>
    </row>
    <row r="1787" spans="1:17" ht="12" customHeight="1" x14ac:dyDescent="0.35">
      <c r="A1787" s="75">
        <v>1786</v>
      </c>
      <c r="B1787" s="64">
        <v>2014</v>
      </c>
      <c r="C1787" s="64">
        <v>10</v>
      </c>
      <c r="D1787" s="80">
        <f t="shared" si="57"/>
        <v>2014</v>
      </c>
      <c r="E1787" t="s">
        <v>38</v>
      </c>
      <c r="F1787" t="s">
        <v>143</v>
      </c>
      <c r="G1787" t="s">
        <v>10</v>
      </c>
      <c r="H1787" s="72" t="s">
        <v>214</v>
      </c>
      <c r="I1787" s="72" t="s">
        <v>56</v>
      </c>
      <c r="J1787" t="str">
        <f t="shared" si="58"/>
        <v>Samish River</v>
      </c>
      <c r="K1787" t="str">
        <f>IFERROR(VLOOKUP(J1787,LUTs!$A$1:$C$73,2,FALSE),"NA")</f>
        <v>Skagit</v>
      </c>
      <c r="L1787" t="str">
        <f>IFERROR(VLOOKUP(J1787,LUTs!$A$1:$C$73,3,FALSE),"NA")</f>
        <v>1North Puget Sound</v>
      </c>
      <c r="M1787" s="72" t="s">
        <v>17</v>
      </c>
      <c r="N1787" t="str">
        <f>VLOOKUP(M1787,LUTs!E$2:H$14,3,)</f>
        <v>04Island</v>
      </c>
      <c r="O1787" t="str">
        <f>VLOOKUP(M1787,LUTs!E$2:H$14,4,)</f>
        <v>01North Puget Sound</v>
      </c>
      <c r="P1787" s="73">
        <v>64.928571428571502</v>
      </c>
      <c r="Q1787" s="74">
        <f>VLOOKUP(B1787,Readme!A$40:C$51,2,)*P1787</f>
        <v>561.63214285714355</v>
      </c>
    </row>
    <row r="1788" spans="1:17" ht="12" customHeight="1" x14ac:dyDescent="0.35">
      <c r="A1788" s="75">
        <v>1787</v>
      </c>
      <c r="B1788" s="64">
        <v>2014</v>
      </c>
      <c r="C1788" s="64">
        <v>10</v>
      </c>
      <c r="D1788" s="80">
        <f t="shared" si="57"/>
        <v>2014</v>
      </c>
      <c r="E1788" t="s">
        <v>38</v>
      </c>
      <c r="F1788" t="s">
        <v>143</v>
      </c>
      <c r="G1788" t="s">
        <v>10</v>
      </c>
      <c r="H1788" s="72" t="s">
        <v>214</v>
      </c>
      <c r="I1788" s="72" t="s">
        <v>56</v>
      </c>
      <c r="J1788" t="str">
        <f t="shared" si="58"/>
        <v>Samish River</v>
      </c>
      <c r="K1788" t="str">
        <f>IFERROR(VLOOKUP(J1788,LUTs!$A$1:$C$73,2,FALSE),"NA")</f>
        <v>Skagit</v>
      </c>
      <c r="L1788" t="str">
        <f>IFERROR(VLOOKUP(J1788,LUTs!$A$1:$C$73,3,FALSE),"NA")</f>
        <v>1North Puget Sound</v>
      </c>
      <c r="M1788" s="72" t="s">
        <v>18</v>
      </c>
      <c r="N1788" t="str">
        <f>VLOOKUP(M1788,LUTs!E$2:H$14,3,)</f>
        <v>06King</v>
      </c>
      <c r="O1788" t="str">
        <f>VLOOKUP(M1788,LUTs!E$2:H$14,4,)</f>
        <v>02South Puget Sound</v>
      </c>
      <c r="P1788" s="73">
        <v>151.5</v>
      </c>
      <c r="Q1788" s="74">
        <f>VLOOKUP(B1788,Readme!A$40:C$51,2,)*P1788</f>
        <v>1310.4750000000001</v>
      </c>
    </row>
    <row r="1789" spans="1:17" ht="12" customHeight="1" x14ac:dyDescent="0.35">
      <c r="A1789" s="75">
        <v>1788</v>
      </c>
      <c r="B1789" s="64">
        <v>2014</v>
      </c>
      <c r="C1789" s="64">
        <v>10</v>
      </c>
      <c r="D1789" s="80">
        <f t="shared" si="57"/>
        <v>2014</v>
      </c>
      <c r="E1789" t="s">
        <v>38</v>
      </c>
      <c r="F1789" t="s">
        <v>143</v>
      </c>
      <c r="G1789" t="s">
        <v>10</v>
      </c>
      <c r="H1789" s="72" t="s">
        <v>214</v>
      </c>
      <c r="I1789" s="72" t="s">
        <v>56</v>
      </c>
      <c r="J1789" t="str">
        <f t="shared" si="58"/>
        <v>Samish River</v>
      </c>
      <c r="K1789" t="str">
        <f>IFERROR(VLOOKUP(J1789,LUTs!$A$1:$C$73,2,FALSE),"NA")</f>
        <v>Skagit</v>
      </c>
      <c r="L1789" t="str">
        <f>IFERROR(VLOOKUP(J1789,LUTs!$A$1:$C$73,3,FALSE),"NA")</f>
        <v>1North Puget Sound</v>
      </c>
      <c r="M1789" s="72" t="s">
        <v>26</v>
      </c>
      <c r="N1789" t="str">
        <f>VLOOKUP(M1789,LUTs!E$2:H$14,3,)</f>
        <v>20Other</v>
      </c>
      <c r="O1789" t="str">
        <f>VLOOKUP(M1789,LUTs!E$2:H$14,4,)</f>
        <v>07Non Puget Sound</v>
      </c>
      <c r="P1789" s="73">
        <v>21.6428571428571</v>
      </c>
      <c r="Q1789" s="74">
        <f>VLOOKUP(B1789,Readme!A$40:C$51,2,)*P1789</f>
        <v>187.21071428571392</v>
      </c>
    </row>
    <row r="1790" spans="1:17" ht="12" customHeight="1" x14ac:dyDescent="0.35">
      <c r="A1790" s="75">
        <v>1789</v>
      </c>
      <c r="B1790" s="64">
        <v>2014</v>
      </c>
      <c r="C1790" s="64">
        <v>10</v>
      </c>
      <c r="D1790" s="80">
        <f t="shared" si="57"/>
        <v>2014</v>
      </c>
      <c r="E1790" t="s">
        <v>38</v>
      </c>
      <c r="F1790" t="s">
        <v>143</v>
      </c>
      <c r="G1790" t="s">
        <v>10</v>
      </c>
      <c r="H1790" s="72" t="s">
        <v>214</v>
      </c>
      <c r="I1790" s="72" t="s">
        <v>56</v>
      </c>
      <c r="J1790" t="str">
        <f t="shared" si="58"/>
        <v>Samish River</v>
      </c>
      <c r="K1790" t="str">
        <f>IFERROR(VLOOKUP(J1790,LUTs!$A$1:$C$73,2,FALSE),"NA")</f>
        <v>Skagit</v>
      </c>
      <c r="L1790" t="str">
        <f>IFERROR(VLOOKUP(J1790,LUTs!$A$1:$C$73,3,FALSE),"NA")</f>
        <v>1North Puget Sound</v>
      </c>
      <c r="M1790" s="72" t="s">
        <v>15</v>
      </c>
      <c r="N1790" t="str">
        <f>VLOOKUP(M1790,LUTs!E$2:H$14,3,)</f>
        <v>02Skagit</v>
      </c>
      <c r="O1790" t="str">
        <f>VLOOKUP(M1790,LUTs!E$2:H$14,4,)</f>
        <v>01North Puget Sound</v>
      </c>
      <c r="P1790" s="73">
        <v>331.857142857143</v>
      </c>
      <c r="Q1790" s="74">
        <f>VLOOKUP(B1790,Readme!A$40:C$51,2,)*P1790</f>
        <v>2870.5642857142871</v>
      </c>
    </row>
    <row r="1791" spans="1:17" ht="12" customHeight="1" x14ac:dyDescent="0.35">
      <c r="A1791" s="75">
        <v>1790</v>
      </c>
      <c r="B1791" s="64">
        <v>2014</v>
      </c>
      <c r="C1791" s="64">
        <v>10</v>
      </c>
      <c r="D1791" s="80">
        <f t="shared" si="57"/>
        <v>2014</v>
      </c>
      <c r="E1791" t="s">
        <v>38</v>
      </c>
      <c r="F1791" t="s">
        <v>143</v>
      </c>
      <c r="G1791" t="s">
        <v>10</v>
      </c>
      <c r="H1791" s="72" t="s">
        <v>214</v>
      </c>
      <c r="I1791" s="72" t="s">
        <v>56</v>
      </c>
      <c r="J1791" t="str">
        <f t="shared" si="58"/>
        <v>Samish River</v>
      </c>
      <c r="K1791" t="str">
        <f>IFERROR(VLOOKUP(J1791,LUTs!$A$1:$C$73,2,FALSE),"NA")</f>
        <v>Skagit</v>
      </c>
      <c r="L1791" t="str">
        <f>IFERROR(VLOOKUP(J1791,LUTs!$A$1:$C$73,3,FALSE),"NA")</f>
        <v>1North Puget Sound</v>
      </c>
      <c r="M1791" s="72" t="s">
        <v>16</v>
      </c>
      <c r="N1791" t="str">
        <f>VLOOKUP(M1791,LUTs!E$2:H$14,3,)</f>
        <v>03Snohomish</v>
      </c>
      <c r="O1791" t="str">
        <f>VLOOKUP(M1791,LUTs!E$2:H$14,4,)</f>
        <v>01North Puget Sound</v>
      </c>
      <c r="P1791" s="73">
        <v>786.357142857143</v>
      </c>
      <c r="Q1791" s="74">
        <f>VLOOKUP(B1791,Readme!A$40:C$51,2,)*P1791</f>
        <v>6801.9892857142877</v>
      </c>
    </row>
    <row r="1792" spans="1:17" ht="12" customHeight="1" x14ac:dyDescent="0.35">
      <c r="A1792" s="75">
        <v>1791</v>
      </c>
      <c r="B1792" s="64">
        <v>2014</v>
      </c>
      <c r="C1792" s="64">
        <v>10</v>
      </c>
      <c r="D1792" s="80">
        <f t="shared" si="57"/>
        <v>2014</v>
      </c>
      <c r="E1792" t="s">
        <v>38</v>
      </c>
      <c r="F1792" t="s">
        <v>143</v>
      </c>
      <c r="G1792" t="s">
        <v>10</v>
      </c>
      <c r="H1792" s="72" t="s">
        <v>214</v>
      </c>
      <c r="I1792" s="72" t="s">
        <v>56</v>
      </c>
      <c r="J1792" t="str">
        <f t="shared" si="58"/>
        <v>Samish River</v>
      </c>
      <c r="K1792" t="str">
        <f>IFERROR(VLOOKUP(J1792,LUTs!$A$1:$C$73,2,FALSE),"NA")</f>
        <v>Skagit</v>
      </c>
      <c r="L1792" t="str">
        <f>IFERROR(VLOOKUP(J1792,LUTs!$A$1:$C$73,3,FALSE),"NA")</f>
        <v>1North Puget Sound</v>
      </c>
      <c r="M1792" s="72" t="s">
        <v>13</v>
      </c>
      <c r="N1792" t="str">
        <f>VLOOKUP(M1792,LUTs!E$2:H$14,3,)</f>
        <v>01Whatcom</v>
      </c>
      <c r="O1792" t="str">
        <f>VLOOKUP(M1792,LUTs!E$2:H$14,4,)</f>
        <v>01North Puget Sound</v>
      </c>
      <c r="P1792" s="73">
        <v>259.71428571428601</v>
      </c>
      <c r="Q1792" s="74">
        <f>VLOOKUP(B1792,Readme!A$40:C$51,2,)*P1792</f>
        <v>2246.5285714285742</v>
      </c>
    </row>
    <row r="1793" spans="1:17" ht="12" customHeight="1" x14ac:dyDescent="0.35">
      <c r="A1793" s="75">
        <v>1792</v>
      </c>
      <c r="B1793" s="64">
        <v>2014</v>
      </c>
      <c r="C1793" s="64">
        <v>11</v>
      </c>
      <c r="D1793" s="80">
        <f t="shared" si="57"/>
        <v>2014</v>
      </c>
      <c r="E1793" t="s">
        <v>38</v>
      </c>
      <c r="F1793" t="s">
        <v>143</v>
      </c>
      <c r="G1793" t="s">
        <v>10</v>
      </c>
      <c r="H1793" s="72" t="s">
        <v>214</v>
      </c>
      <c r="I1793" s="72" t="s">
        <v>56</v>
      </c>
      <c r="J1793" t="str">
        <f t="shared" si="58"/>
        <v>Samish River</v>
      </c>
      <c r="K1793" t="str">
        <f>IFERROR(VLOOKUP(J1793,LUTs!$A$1:$C$73,2,FALSE),"NA")</f>
        <v>Skagit</v>
      </c>
      <c r="L1793" t="str">
        <f>IFERROR(VLOOKUP(J1793,LUTs!$A$1:$C$73,3,FALSE),"NA")</f>
        <v>1North Puget Sound</v>
      </c>
      <c r="M1793" s="72" t="s">
        <v>13</v>
      </c>
      <c r="N1793" t="str">
        <f>VLOOKUP(M1793,LUTs!E$2:H$14,3,)</f>
        <v>01Whatcom</v>
      </c>
      <c r="O1793" t="str">
        <f>VLOOKUP(M1793,LUTs!E$2:H$14,4,)</f>
        <v>01North Puget Sound</v>
      </c>
      <c r="P1793" s="73">
        <v>29</v>
      </c>
      <c r="Q1793" s="74">
        <f>VLOOKUP(B1793,Readme!A$40:C$51,2,)*P1793</f>
        <v>250.85000000000002</v>
      </c>
    </row>
    <row r="1794" spans="1:17" ht="12" customHeight="1" x14ac:dyDescent="0.35">
      <c r="A1794" s="75">
        <v>1793</v>
      </c>
      <c r="B1794" s="64">
        <v>2014</v>
      </c>
      <c r="C1794" s="64">
        <v>7</v>
      </c>
      <c r="D1794" s="80">
        <f t="shared" ref="D1794:D1857" si="59">IF(C1794&gt;3,B1794,B1794-1)</f>
        <v>2014</v>
      </c>
      <c r="E1794" t="s">
        <v>38</v>
      </c>
      <c r="F1794" t="s">
        <v>143</v>
      </c>
      <c r="G1794" t="s">
        <v>10</v>
      </c>
      <c r="H1794" s="72" t="s">
        <v>216</v>
      </c>
      <c r="I1794" s="72" t="s">
        <v>58</v>
      </c>
      <c r="J1794" t="str">
        <f t="shared" si="58"/>
        <v>Baker Lake</v>
      </c>
      <c r="K1794" t="str">
        <f>IFERROR(VLOOKUP(J1794,LUTs!$A$1:$C$73,2,FALSE),"NA")</f>
        <v>Whatcom</v>
      </c>
      <c r="L1794" t="str">
        <f>IFERROR(VLOOKUP(J1794,LUTs!$A$1:$C$73,3,FALSE),"NA")</f>
        <v>1North Puget Sound</v>
      </c>
      <c r="M1794" s="72" t="s">
        <v>17</v>
      </c>
      <c r="N1794" t="str">
        <f>VLOOKUP(M1794,LUTs!E$2:H$14,3,)</f>
        <v>04Island</v>
      </c>
      <c r="O1794" t="str">
        <f>VLOOKUP(M1794,LUTs!E$2:H$14,4,)</f>
        <v>01North Puget Sound</v>
      </c>
      <c r="P1794" s="73">
        <v>72.5165562913907</v>
      </c>
      <c r="Q1794" s="74">
        <f>VLOOKUP(B1794,Readme!A$40:C$51,2,)*P1794</f>
        <v>627.26821192052955</v>
      </c>
    </row>
    <row r="1795" spans="1:17" ht="12" customHeight="1" x14ac:dyDescent="0.35">
      <c r="A1795" s="75">
        <v>1794</v>
      </c>
      <c r="B1795" s="64">
        <v>2014</v>
      </c>
      <c r="C1795" s="64">
        <v>7</v>
      </c>
      <c r="D1795" s="80">
        <f t="shared" si="59"/>
        <v>2014</v>
      </c>
      <c r="E1795" t="s">
        <v>38</v>
      </c>
      <c r="F1795" t="s">
        <v>143</v>
      </c>
      <c r="G1795" t="s">
        <v>10</v>
      </c>
      <c r="H1795" s="72" t="s">
        <v>216</v>
      </c>
      <c r="I1795" s="72" t="s">
        <v>58</v>
      </c>
      <c r="J1795" t="str">
        <f t="shared" ref="J1795:J1858" si="60">I1795</f>
        <v>Baker Lake</v>
      </c>
      <c r="K1795" t="str">
        <f>IFERROR(VLOOKUP(J1795,LUTs!$A$1:$C$73,2,FALSE),"NA")</f>
        <v>Whatcom</v>
      </c>
      <c r="L1795" t="str">
        <f>IFERROR(VLOOKUP(J1795,LUTs!$A$1:$C$73,3,FALSE),"NA")</f>
        <v>1North Puget Sound</v>
      </c>
      <c r="M1795" s="72" t="s">
        <v>18</v>
      </c>
      <c r="N1795" t="str">
        <f>VLOOKUP(M1795,LUTs!E$2:H$14,3,)</f>
        <v>06King</v>
      </c>
      <c r="O1795" t="str">
        <f>VLOOKUP(M1795,LUTs!E$2:H$14,4,)</f>
        <v>02South Puget Sound</v>
      </c>
      <c r="P1795" s="73">
        <v>282.81456953642402</v>
      </c>
      <c r="Q1795" s="74">
        <f>VLOOKUP(B1795,Readme!A$40:C$51,2,)*P1795</f>
        <v>2446.3460264900677</v>
      </c>
    </row>
    <row r="1796" spans="1:17" ht="12" customHeight="1" x14ac:dyDescent="0.35">
      <c r="A1796" s="75">
        <v>1795</v>
      </c>
      <c r="B1796" s="64">
        <v>2014</v>
      </c>
      <c r="C1796" s="64">
        <v>7</v>
      </c>
      <c r="D1796" s="80">
        <f t="shared" si="59"/>
        <v>2014</v>
      </c>
      <c r="E1796" t="s">
        <v>38</v>
      </c>
      <c r="F1796" t="s">
        <v>143</v>
      </c>
      <c r="G1796" t="s">
        <v>10</v>
      </c>
      <c r="H1796" s="72" t="s">
        <v>216</v>
      </c>
      <c r="I1796" s="72" t="s">
        <v>58</v>
      </c>
      <c r="J1796" t="str">
        <f t="shared" si="60"/>
        <v>Baker Lake</v>
      </c>
      <c r="K1796" t="str">
        <f>IFERROR(VLOOKUP(J1796,LUTs!$A$1:$C$73,2,FALSE),"NA")</f>
        <v>Whatcom</v>
      </c>
      <c r="L1796" t="str">
        <f>IFERROR(VLOOKUP(J1796,LUTs!$A$1:$C$73,3,FALSE),"NA")</f>
        <v>1North Puget Sound</v>
      </c>
      <c r="M1796" s="72" t="s">
        <v>26</v>
      </c>
      <c r="N1796" t="str">
        <f>VLOOKUP(M1796,LUTs!E$2:H$14,3,)</f>
        <v>20Other</v>
      </c>
      <c r="O1796" t="str">
        <f>VLOOKUP(M1796,LUTs!E$2:H$14,4,)</f>
        <v>07Non Puget Sound</v>
      </c>
      <c r="P1796" s="73">
        <v>116.02649006622499</v>
      </c>
      <c r="Q1796" s="74">
        <f>VLOOKUP(B1796,Readme!A$40:C$51,2,)*P1796</f>
        <v>1003.6291390728462</v>
      </c>
    </row>
    <row r="1797" spans="1:17" ht="12" customHeight="1" x14ac:dyDescent="0.35">
      <c r="A1797" s="75">
        <v>1796</v>
      </c>
      <c r="B1797" s="64">
        <v>2014</v>
      </c>
      <c r="C1797" s="64">
        <v>7</v>
      </c>
      <c r="D1797" s="80">
        <f t="shared" si="59"/>
        <v>2014</v>
      </c>
      <c r="E1797" t="s">
        <v>38</v>
      </c>
      <c r="F1797" t="s">
        <v>143</v>
      </c>
      <c r="G1797" t="s">
        <v>10</v>
      </c>
      <c r="H1797" s="72" t="s">
        <v>216</v>
      </c>
      <c r="I1797" s="72" t="s">
        <v>58</v>
      </c>
      <c r="J1797" t="str">
        <f t="shared" si="60"/>
        <v>Baker Lake</v>
      </c>
      <c r="K1797" t="str">
        <f>IFERROR(VLOOKUP(J1797,LUTs!$A$1:$C$73,2,FALSE),"NA")</f>
        <v>Whatcom</v>
      </c>
      <c r="L1797" t="str">
        <f>IFERROR(VLOOKUP(J1797,LUTs!$A$1:$C$73,3,FALSE),"NA")</f>
        <v>1North Puget Sound</v>
      </c>
      <c r="M1797" s="72" t="s">
        <v>20</v>
      </c>
      <c r="N1797" t="str">
        <f>VLOOKUP(M1797,LUTs!E$2:H$14,3,)</f>
        <v>07Pierce</v>
      </c>
      <c r="O1797" t="str">
        <f>VLOOKUP(M1797,LUTs!E$2:H$14,4,)</f>
        <v>02South Puget Sound</v>
      </c>
      <c r="P1797" s="73">
        <v>29.006622516556298</v>
      </c>
      <c r="Q1797" s="74">
        <f>VLOOKUP(B1797,Readme!A$40:C$51,2,)*P1797</f>
        <v>250.90728476821198</v>
      </c>
    </row>
    <row r="1798" spans="1:17" ht="12" customHeight="1" x14ac:dyDescent="0.35">
      <c r="A1798" s="75">
        <v>1797</v>
      </c>
      <c r="B1798" s="64">
        <v>2014</v>
      </c>
      <c r="C1798" s="64">
        <v>7</v>
      </c>
      <c r="D1798" s="80">
        <f t="shared" si="59"/>
        <v>2014</v>
      </c>
      <c r="E1798" t="s">
        <v>38</v>
      </c>
      <c r="F1798" t="s">
        <v>143</v>
      </c>
      <c r="G1798" t="s">
        <v>10</v>
      </c>
      <c r="H1798" s="72" t="s">
        <v>216</v>
      </c>
      <c r="I1798" s="72" t="s">
        <v>58</v>
      </c>
      <c r="J1798" t="str">
        <f t="shared" si="60"/>
        <v>Baker Lake</v>
      </c>
      <c r="K1798" t="str">
        <f>IFERROR(VLOOKUP(J1798,LUTs!$A$1:$C$73,2,FALSE),"NA")</f>
        <v>Whatcom</v>
      </c>
      <c r="L1798" t="str">
        <f>IFERROR(VLOOKUP(J1798,LUTs!$A$1:$C$73,3,FALSE),"NA")</f>
        <v>1North Puget Sound</v>
      </c>
      <c r="M1798" s="72" t="s">
        <v>15</v>
      </c>
      <c r="N1798" t="str">
        <f>VLOOKUP(M1798,LUTs!E$2:H$14,3,)</f>
        <v>02Skagit</v>
      </c>
      <c r="O1798" t="str">
        <f>VLOOKUP(M1798,LUTs!E$2:H$14,4,)</f>
        <v>01North Puget Sound</v>
      </c>
      <c r="P1798" s="73">
        <v>754.17218543046397</v>
      </c>
      <c r="Q1798" s="74">
        <f>VLOOKUP(B1798,Readme!A$40:C$51,2,)*P1798</f>
        <v>6523.589403973514</v>
      </c>
    </row>
    <row r="1799" spans="1:17" ht="12" customHeight="1" x14ac:dyDescent="0.35">
      <c r="A1799" s="75">
        <v>1798</v>
      </c>
      <c r="B1799" s="64">
        <v>2014</v>
      </c>
      <c r="C1799" s="64">
        <v>7</v>
      </c>
      <c r="D1799" s="80">
        <f t="shared" si="59"/>
        <v>2014</v>
      </c>
      <c r="E1799" t="s">
        <v>38</v>
      </c>
      <c r="F1799" t="s">
        <v>143</v>
      </c>
      <c r="G1799" t="s">
        <v>10</v>
      </c>
      <c r="H1799" s="72" t="s">
        <v>216</v>
      </c>
      <c r="I1799" s="72" t="s">
        <v>58</v>
      </c>
      <c r="J1799" t="str">
        <f t="shared" si="60"/>
        <v>Baker Lake</v>
      </c>
      <c r="K1799" t="str">
        <f>IFERROR(VLOOKUP(J1799,LUTs!$A$1:$C$73,2,FALSE),"NA")</f>
        <v>Whatcom</v>
      </c>
      <c r="L1799" t="str">
        <f>IFERROR(VLOOKUP(J1799,LUTs!$A$1:$C$73,3,FALSE),"NA")</f>
        <v>1North Puget Sound</v>
      </c>
      <c r="M1799" s="72" t="s">
        <v>16</v>
      </c>
      <c r="N1799" t="str">
        <f>VLOOKUP(M1799,LUTs!E$2:H$14,3,)</f>
        <v>03Snohomish</v>
      </c>
      <c r="O1799" t="str">
        <f>VLOOKUP(M1799,LUTs!E$2:H$14,4,)</f>
        <v>01North Puget Sound</v>
      </c>
      <c r="P1799" s="73">
        <v>667.15231788079495</v>
      </c>
      <c r="Q1799" s="74">
        <f>VLOOKUP(B1799,Readme!A$40:C$51,2,)*P1799</f>
        <v>5770.8675496688766</v>
      </c>
    </row>
    <row r="1800" spans="1:17" ht="12" customHeight="1" x14ac:dyDescent="0.35">
      <c r="A1800" s="75">
        <v>1799</v>
      </c>
      <c r="B1800" s="64">
        <v>2014</v>
      </c>
      <c r="C1800" s="64">
        <v>7</v>
      </c>
      <c r="D1800" s="80">
        <f t="shared" si="59"/>
        <v>2014</v>
      </c>
      <c r="E1800" t="s">
        <v>38</v>
      </c>
      <c r="F1800" t="s">
        <v>143</v>
      </c>
      <c r="G1800" t="s">
        <v>10</v>
      </c>
      <c r="H1800" s="72" t="s">
        <v>216</v>
      </c>
      <c r="I1800" s="72" t="s">
        <v>58</v>
      </c>
      <c r="J1800" t="str">
        <f t="shared" si="60"/>
        <v>Baker Lake</v>
      </c>
      <c r="K1800" t="str">
        <f>IFERROR(VLOOKUP(J1800,LUTs!$A$1:$C$73,2,FALSE),"NA")</f>
        <v>Whatcom</v>
      </c>
      <c r="L1800" t="str">
        <f>IFERROR(VLOOKUP(J1800,LUTs!$A$1:$C$73,3,FALSE),"NA")</f>
        <v>1North Puget Sound</v>
      </c>
      <c r="M1800" s="72" t="s">
        <v>13</v>
      </c>
      <c r="N1800" t="str">
        <f>VLOOKUP(M1800,LUTs!E$2:H$14,3,)</f>
        <v>01Whatcom</v>
      </c>
      <c r="O1800" t="str">
        <f>VLOOKUP(M1800,LUTs!E$2:H$14,4,)</f>
        <v>01North Puget Sound</v>
      </c>
      <c r="P1800" s="73">
        <v>268.311258278146</v>
      </c>
      <c r="Q1800" s="74">
        <f>VLOOKUP(B1800,Readme!A$40:C$51,2,)*P1800</f>
        <v>2320.8923841059632</v>
      </c>
    </row>
    <row r="1801" spans="1:17" ht="12" customHeight="1" x14ac:dyDescent="0.35">
      <c r="A1801" s="75">
        <v>1800</v>
      </c>
      <c r="B1801" s="64">
        <v>2014</v>
      </c>
      <c r="C1801" s="64">
        <v>8</v>
      </c>
      <c r="D1801" s="80">
        <f t="shared" si="59"/>
        <v>2014</v>
      </c>
      <c r="E1801" t="s">
        <v>38</v>
      </c>
      <c r="F1801" t="s">
        <v>143</v>
      </c>
      <c r="G1801" t="s">
        <v>10</v>
      </c>
      <c r="H1801" s="72" t="s">
        <v>216</v>
      </c>
      <c r="I1801" s="72" t="s">
        <v>58</v>
      </c>
      <c r="J1801" t="str">
        <f t="shared" si="60"/>
        <v>Baker Lake</v>
      </c>
      <c r="K1801" t="str">
        <f>IFERROR(VLOOKUP(J1801,LUTs!$A$1:$C$73,2,FALSE),"NA")</f>
        <v>Whatcom</v>
      </c>
      <c r="L1801" t="str">
        <f>IFERROR(VLOOKUP(J1801,LUTs!$A$1:$C$73,3,FALSE),"NA")</f>
        <v>1North Puget Sound</v>
      </c>
      <c r="M1801" s="72" t="s">
        <v>17</v>
      </c>
      <c r="N1801" t="str">
        <f>VLOOKUP(M1801,LUTs!E$2:H$14,3,)</f>
        <v>04Island</v>
      </c>
      <c r="O1801" t="str">
        <f>VLOOKUP(M1801,LUTs!E$2:H$14,4,)</f>
        <v>01North Puget Sound</v>
      </c>
      <c r="P1801" s="73">
        <v>43.521739130434803</v>
      </c>
      <c r="Q1801" s="74">
        <f>VLOOKUP(B1801,Readme!A$40:C$51,2,)*P1801</f>
        <v>376.46304347826106</v>
      </c>
    </row>
    <row r="1802" spans="1:17" ht="12" customHeight="1" x14ac:dyDescent="0.35">
      <c r="A1802" s="75">
        <v>1801</v>
      </c>
      <c r="B1802" s="64">
        <v>2014</v>
      </c>
      <c r="C1802" s="64">
        <v>8</v>
      </c>
      <c r="D1802" s="80">
        <f t="shared" si="59"/>
        <v>2014</v>
      </c>
      <c r="E1802" t="s">
        <v>38</v>
      </c>
      <c r="F1802" t="s">
        <v>143</v>
      </c>
      <c r="G1802" t="s">
        <v>10</v>
      </c>
      <c r="H1802" s="72" t="s">
        <v>216</v>
      </c>
      <c r="I1802" s="72" t="s">
        <v>58</v>
      </c>
      <c r="J1802" t="str">
        <f t="shared" si="60"/>
        <v>Baker Lake</v>
      </c>
      <c r="K1802" t="str">
        <f>IFERROR(VLOOKUP(J1802,LUTs!$A$1:$C$73,2,FALSE),"NA")</f>
        <v>Whatcom</v>
      </c>
      <c r="L1802" t="str">
        <f>IFERROR(VLOOKUP(J1802,LUTs!$A$1:$C$73,3,FALSE),"NA")</f>
        <v>1North Puget Sound</v>
      </c>
      <c r="M1802" s="72" t="s">
        <v>18</v>
      </c>
      <c r="N1802" t="str">
        <f>VLOOKUP(M1802,LUTs!E$2:H$14,3,)</f>
        <v>06King</v>
      </c>
      <c r="O1802" t="str">
        <f>VLOOKUP(M1802,LUTs!E$2:H$14,4,)</f>
        <v>02South Puget Sound</v>
      </c>
      <c r="P1802" s="73">
        <v>50.7753623188406</v>
      </c>
      <c r="Q1802" s="74">
        <f>VLOOKUP(B1802,Readme!A$40:C$51,2,)*P1802</f>
        <v>439.20688405797119</v>
      </c>
    </row>
    <row r="1803" spans="1:17" ht="12" customHeight="1" x14ac:dyDescent="0.35">
      <c r="A1803" s="75">
        <v>1802</v>
      </c>
      <c r="B1803" s="64">
        <v>2014</v>
      </c>
      <c r="C1803" s="64">
        <v>8</v>
      </c>
      <c r="D1803" s="80">
        <f t="shared" si="59"/>
        <v>2014</v>
      </c>
      <c r="E1803" t="s">
        <v>38</v>
      </c>
      <c r="F1803" t="s">
        <v>143</v>
      </c>
      <c r="G1803" t="s">
        <v>10</v>
      </c>
      <c r="H1803" s="72" t="s">
        <v>216</v>
      </c>
      <c r="I1803" s="72" t="s">
        <v>58</v>
      </c>
      <c r="J1803" t="str">
        <f t="shared" si="60"/>
        <v>Baker Lake</v>
      </c>
      <c r="K1803" t="str">
        <f>IFERROR(VLOOKUP(J1803,LUTs!$A$1:$C$73,2,FALSE),"NA")</f>
        <v>Whatcom</v>
      </c>
      <c r="L1803" t="str">
        <f>IFERROR(VLOOKUP(J1803,LUTs!$A$1:$C$73,3,FALSE),"NA")</f>
        <v>1North Puget Sound</v>
      </c>
      <c r="M1803" s="72" t="s">
        <v>26</v>
      </c>
      <c r="N1803" t="str">
        <f>VLOOKUP(M1803,LUTs!E$2:H$14,3,)</f>
        <v>20Other</v>
      </c>
      <c r="O1803" t="str">
        <f>VLOOKUP(M1803,LUTs!E$2:H$14,4,)</f>
        <v>07Non Puget Sound</v>
      </c>
      <c r="P1803" s="73">
        <v>14.507246376811599</v>
      </c>
      <c r="Q1803" s="74">
        <f>VLOOKUP(B1803,Readme!A$40:C$51,2,)*P1803</f>
        <v>125.48768115942033</v>
      </c>
    </row>
    <row r="1804" spans="1:17" ht="12" customHeight="1" x14ac:dyDescent="0.35">
      <c r="A1804" s="75">
        <v>1803</v>
      </c>
      <c r="B1804" s="64">
        <v>2014</v>
      </c>
      <c r="C1804" s="64">
        <v>8</v>
      </c>
      <c r="D1804" s="80">
        <f t="shared" si="59"/>
        <v>2014</v>
      </c>
      <c r="E1804" t="s">
        <v>38</v>
      </c>
      <c r="F1804" t="s">
        <v>143</v>
      </c>
      <c r="G1804" t="s">
        <v>10</v>
      </c>
      <c r="H1804" s="72" t="s">
        <v>216</v>
      </c>
      <c r="I1804" s="72" t="s">
        <v>58</v>
      </c>
      <c r="J1804" t="str">
        <f t="shared" si="60"/>
        <v>Baker Lake</v>
      </c>
      <c r="K1804" t="str">
        <f>IFERROR(VLOOKUP(J1804,LUTs!$A$1:$C$73,2,FALSE),"NA")</f>
        <v>Whatcom</v>
      </c>
      <c r="L1804" t="str">
        <f>IFERROR(VLOOKUP(J1804,LUTs!$A$1:$C$73,3,FALSE),"NA")</f>
        <v>1North Puget Sound</v>
      </c>
      <c r="M1804" s="72" t="s">
        <v>20</v>
      </c>
      <c r="N1804" t="str">
        <f>VLOOKUP(M1804,LUTs!E$2:H$14,3,)</f>
        <v>07Pierce</v>
      </c>
      <c r="O1804" t="str">
        <f>VLOOKUP(M1804,LUTs!E$2:H$14,4,)</f>
        <v>02South Puget Sound</v>
      </c>
      <c r="P1804" s="73">
        <v>7.2536231884057996</v>
      </c>
      <c r="Q1804" s="74">
        <f>VLOOKUP(B1804,Readme!A$40:C$51,2,)*P1804</f>
        <v>62.743840579710167</v>
      </c>
    </row>
    <row r="1805" spans="1:17" ht="12" customHeight="1" x14ac:dyDescent="0.35">
      <c r="A1805" s="75">
        <v>1804</v>
      </c>
      <c r="B1805" s="64">
        <v>2014</v>
      </c>
      <c r="C1805" s="64">
        <v>8</v>
      </c>
      <c r="D1805" s="80">
        <f t="shared" si="59"/>
        <v>2014</v>
      </c>
      <c r="E1805" t="s">
        <v>38</v>
      </c>
      <c r="F1805" t="s">
        <v>143</v>
      </c>
      <c r="G1805" t="s">
        <v>10</v>
      </c>
      <c r="H1805" s="72" t="s">
        <v>216</v>
      </c>
      <c r="I1805" s="72" t="s">
        <v>58</v>
      </c>
      <c r="J1805" t="str">
        <f t="shared" si="60"/>
        <v>Baker Lake</v>
      </c>
      <c r="K1805" t="str">
        <f>IFERROR(VLOOKUP(J1805,LUTs!$A$1:$C$73,2,FALSE),"NA")</f>
        <v>Whatcom</v>
      </c>
      <c r="L1805" t="str">
        <f>IFERROR(VLOOKUP(J1805,LUTs!$A$1:$C$73,3,FALSE),"NA")</f>
        <v>1North Puget Sound</v>
      </c>
      <c r="M1805" s="72" t="s">
        <v>15</v>
      </c>
      <c r="N1805" t="str">
        <f>VLOOKUP(M1805,LUTs!E$2:H$14,3,)</f>
        <v>02Skagit</v>
      </c>
      <c r="O1805" t="str">
        <f>VLOOKUP(M1805,LUTs!E$2:H$14,4,)</f>
        <v>01North Puget Sound</v>
      </c>
      <c r="P1805" s="73">
        <v>384.44202898550702</v>
      </c>
      <c r="Q1805" s="74">
        <f>VLOOKUP(B1805,Readme!A$40:C$51,2,)*P1805</f>
        <v>3325.4235507246358</v>
      </c>
    </row>
    <row r="1806" spans="1:17" ht="12" customHeight="1" x14ac:dyDescent="0.35">
      <c r="A1806" s="75">
        <v>1805</v>
      </c>
      <c r="B1806" s="64">
        <v>2014</v>
      </c>
      <c r="C1806" s="64">
        <v>8</v>
      </c>
      <c r="D1806" s="80">
        <f t="shared" si="59"/>
        <v>2014</v>
      </c>
      <c r="E1806" t="s">
        <v>38</v>
      </c>
      <c r="F1806" t="s">
        <v>143</v>
      </c>
      <c r="G1806" t="s">
        <v>10</v>
      </c>
      <c r="H1806" s="72" t="s">
        <v>216</v>
      </c>
      <c r="I1806" s="72" t="s">
        <v>58</v>
      </c>
      <c r="J1806" t="str">
        <f t="shared" si="60"/>
        <v>Baker Lake</v>
      </c>
      <c r="K1806" t="str">
        <f>IFERROR(VLOOKUP(J1806,LUTs!$A$1:$C$73,2,FALSE),"NA")</f>
        <v>Whatcom</v>
      </c>
      <c r="L1806" t="str">
        <f>IFERROR(VLOOKUP(J1806,LUTs!$A$1:$C$73,3,FALSE),"NA")</f>
        <v>1North Puget Sound</v>
      </c>
      <c r="M1806" s="72" t="s">
        <v>16</v>
      </c>
      <c r="N1806" t="str">
        <f>VLOOKUP(M1806,LUTs!E$2:H$14,3,)</f>
        <v>03Snohomish</v>
      </c>
      <c r="O1806" t="str">
        <f>VLOOKUP(M1806,LUTs!E$2:H$14,4,)</f>
        <v>01North Puget Sound</v>
      </c>
      <c r="P1806" s="73">
        <v>398.94927536231899</v>
      </c>
      <c r="Q1806" s="74">
        <f>VLOOKUP(B1806,Readme!A$40:C$51,2,)*P1806</f>
        <v>3450.9112318840594</v>
      </c>
    </row>
    <row r="1807" spans="1:17" ht="12" customHeight="1" x14ac:dyDescent="0.35">
      <c r="A1807" s="75">
        <v>1806</v>
      </c>
      <c r="B1807" s="64">
        <v>2014</v>
      </c>
      <c r="C1807" s="64">
        <v>8</v>
      </c>
      <c r="D1807" s="80">
        <f t="shared" si="59"/>
        <v>2014</v>
      </c>
      <c r="E1807" t="s">
        <v>38</v>
      </c>
      <c r="F1807" t="s">
        <v>143</v>
      </c>
      <c r="G1807" t="s">
        <v>10</v>
      </c>
      <c r="H1807" s="72" t="s">
        <v>216</v>
      </c>
      <c r="I1807" s="72" t="s">
        <v>58</v>
      </c>
      <c r="J1807" t="str">
        <f t="shared" si="60"/>
        <v>Baker Lake</v>
      </c>
      <c r="K1807" t="str">
        <f>IFERROR(VLOOKUP(J1807,LUTs!$A$1:$C$73,2,FALSE),"NA")</f>
        <v>Whatcom</v>
      </c>
      <c r="L1807" t="str">
        <f>IFERROR(VLOOKUP(J1807,LUTs!$A$1:$C$73,3,FALSE),"NA")</f>
        <v>1North Puget Sound</v>
      </c>
      <c r="M1807" s="72" t="s">
        <v>13</v>
      </c>
      <c r="N1807" t="str">
        <f>VLOOKUP(M1807,LUTs!E$2:H$14,3,)</f>
        <v>01Whatcom</v>
      </c>
      <c r="O1807" t="str">
        <f>VLOOKUP(M1807,LUTs!E$2:H$14,4,)</f>
        <v>01North Puget Sound</v>
      </c>
      <c r="P1807" s="73">
        <v>101.550724637681</v>
      </c>
      <c r="Q1807" s="74">
        <f>VLOOKUP(B1807,Readme!A$40:C$51,2,)*P1807</f>
        <v>878.41376811594068</v>
      </c>
    </row>
    <row r="1808" spans="1:17" ht="12" customHeight="1" x14ac:dyDescent="0.35">
      <c r="A1808" s="75">
        <v>1807</v>
      </c>
      <c r="B1808" s="64">
        <v>2014</v>
      </c>
      <c r="C1808" s="64">
        <v>9</v>
      </c>
      <c r="D1808" s="80">
        <f t="shared" si="59"/>
        <v>2014</v>
      </c>
      <c r="E1808" t="s">
        <v>38</v>
      </c>
      <c r="F1808" t="s">
        <v>143</v>
      </c>
      <c r="G1808" t="s">
        <v>10</v>
      </c>
      <c r="H1808" s="72" t="s">
        <v>216</v>
      </c>
      <c r="I1808" s="72" t="s">
        <v>58</v>
      </c>
      <c r="J1808" t="str">
        <f t="shared" si="60"/>
        <v>Baker Lake</v>
      </c>
      <c r="K1808" t="str">
        <f>IFERROR(VLOOKUP(J1808,LUTs!$A$1:$C$73,2,FALSE),"NA")</f>
        <v>Whatcom</v>
      </c>
      <c r="L1808" t="str">
        <f>IFERROR(VLOOKUP(J1808,LUTs!$A$1:$C$73,3,FALSE),"NA")</f>
        <v>1North Puget Sound</v>
      </c>
      <c r="M1808" s="72" t="s">
        <v>15</v>
      </c>
      <c r="N1808" t="str">
        <f>VLOOKUP(M1808,LUTs!E$2:H$14,3,)</f>
        <v>02Skagit</v>
      </c>
      <c r="O1808" t="str">
        <f>VLOOKUP(M1808,LUTs!E$2:H$14,4,)</f>
        <v>01North Puget Sound</v>
      </c>
      <c r="P1808" s="73">
        <v>22</v>
      </c>
      <c r="Q1808" s="74">
        <f>VLOOKUP(B1808,Readme!A$40:C$51,2,)*P1808</f>
        <v>190.3</v>
      </c>
    </row>
    <row r="1809" spans="1:17" ht="12" customHeight="1" x14ac:dyDescent="0.35">
      <c r="A1809" s="75">
        <v>1808</v>
      </c>
      <c r="B1809" s="64">
        <v>2014</v>
      </c>
      <c r="C1809" s="64">
        <v>9</v>
      </c>
      <c r="D1809" s="80">
        <f t="shared" si="59"/>
        <v>2014</v>
      </c>
      <c r="E1809" t="s">
        <v>38</v>
      </c>
      <c r="F1809" t="s">
        <v>143</v>
      </c>
      <c r="G1809" t="s">
        <v>10</v>
      </c>
      <c r="H1809" s="72" t="s">
        <v>216</v>
      </c>
      <c r="I1809" s="72" t="s">
        <v>58</v>
      </c>
      <c r="J1809" t="str">
        <f t="shared" si="60"/>
        <v>Baker Lake</v>
      </c>
      <c r="K1809" t="str">
        <f>IFERROR(VLOOKUP(J1809,LUTs!$A$1:$C$73,2,FALSE),"NA")</f>
        <v>Whatcom</v>
      </c>
      <c r="L1809" t="str">
        <f>IFERROR(VLOOKUP(J1809,LUTs!$A$1:$C$73,3,FALSE),"NA")</f>
        <v>1North Puget Sound</v>
      </c>
      <c r="M1809" s="72" t="s">
        <v>13</v>
      </c>
      <c r="N1809" t="str">
        <f>VLOOKUP(M1809,LUTs!E$2:H$14,3,)</f>
        <v>01Whatcom</v>
      </c>
      <c r="O1809" t="str">
        <f>VLOOKUP(M1809,LUTs!E$2:H$14,4,)</f>
        <v>01North Puget Sound</v>
      </c>
      <c r="P1809" s="73">
        <v>22</v>
      </c>
      <c r="Q1809" s="74">
        <f>VLOOKUP(B1809,Readme!A$40:C$51,2,)*P1809</f>
        <v>190.3</v>
      </c>
    </row>
    <row r="1810" spans="1:17" ht="12" customHeight="1" x14ac:dyDescent="0.35">
      <c r="A1810" s="75">
        <v>1809</v>
      </c>
      <c r="B1810" s="64">
        <v>2014</v>
      </c>
      <c r="C1810" s="64">
        <v>5</v>
      </c>
      <c r="D1810" s="80">
        <f t="shared" si="59"/>
        <v>2014</v>
      </c>
      <c r="E1810" t="s">
        <v>38</v>
      </c>
      <c r="F1810" t="s">
        <v>143</v>
      </c>
      <c r="G1810" t="s">
        <v>10</v>
      </c>
      <c r="H1810" s="72" t="s">
        <v>217</v>
      </c>
      <c r="I1810" s="72" t="s">
        <v>59</v>
      </c>
      <c r="J1810" t="str">
        <f t="shared" si="60"/>
        <v>Cascade River</v>
      </c>
      <c r="K1810" t="str">
        <f>IFERROR(VLOOKUP(J1810,LUTs!$A$1:$C$73,2,FALSE),"NA")</f>
        <v>Skagit</v>
      </c>
      <c r="L1810" t="str">
        <f>IFERROR(VLOOKUP(J1810,LUTs!$A$1:$C$73,3,FALSE),"NA")</f>
        <v>1North Puget Sound</v>
      </c>
      <c r="M1810" s="72" t="s">
        <v>16</v>
      </c>
      <c r="N1810" t="str">
        <f>VLOOKUP(M1810,LUTs!E$2:H$14,3,)</f>
        <v>03Snohomish</v>
      </c>
      <c r="O1810" t="str">
        <f>VLOOKUP(M1810,LUTs!E$2:H$14,4,)</f>
        <v>01North Puget Sound</v>
      </c>
      <c r="P1810" s="73">
        <v>7</v>
      </c>
      <c r="Q1810" s="74">
        <f>VLOOKUP(B1810,Readme!A$40:C$51,2,)*P1810</f>
        <v>60.550000000000004</v>
      </c>
    </row>
    <row r="1811" spans="1:17" ht="12" customHeight="1" x14ac:dyDescent="0.35">
      <c r="A1811" s="75">
        <v>1810</v>
      </c>
      <c r="B1811" s="64">
        <v>2014</v>
      </c>
      <c r="C1811" s="64">
        <v>6</v>
      </c>
      <c r="D1811" s="80">
        <f t="shared" si="59"/>
        <v>2014</v>
      </c>
      <c r="E1811" t="s">
        <v>38</v>
      </c>
      <c r="F1811" t="s">
        <v>143</v>
      </c>
      <c r="G1811" t="s">
        <v>10</v>
      </c>
      <c r="H1811" s="72" t="s">
        <v>217</v>
      </c>
      <c r="I1811" s="72" t="s">
        <v>59</v>
      </c>
      <c r="J1811" t="str">
        <f t="shared" si="60"/>
        <v>Cascade River</v>
      </c>
      <c r="K1811" t="str">
        <f>IFERROR(VLOOKUP(J1811,LUTs!$A$1:$C$73,2,FALSE),"NA")</f>
        <v>Skagit</v>
      </c>
      <c r="L1811" t="str">
        <f>IFERROR(VLOOKUP(J1811,LUTs!$A$1:$C$73,3,FALSE),"NA")</f>
        <v>1North Puget Sound</v>
      </c>
      <c r="M1811" s="72" t="s">
        <v>15</v>
      </c>
      <c r="N1811" t="str">
        <f>VLOOKUP(M1811,LUTs!E$2:H$14,3,)</f>
        <v>02Skagit</v>
      </c>
      <c r="O1811" t="str">
        <f>VLOOKUP(M1811,LUTs!E$2:H$14,4,)</f>
        <v>01North Puget Sound</v>
      </c>
      <c r="P1811" s="73">
        <v>7.125</v>
      </c>
      <c r="Q1811" s="74">
        <f>VLOOKUP(B1811,Readme!A$40:C$51,2,)*P1811</f>
        <v>61.631250000000001</v>
      </c>
    </row>
    <row r="1812" spans="1:17" ht="12" customHeight="1" x14ac:dyDescent="0.35">
      <c r="A1812" s="75">
        <v>1811</v>
      </c>
      <c r="B1812" s="64">
        <v>2014</v>
      </c>
      <c r="C1812" s="64">
        <v>6</v>
      </c>
      <c r="D1812" s="80">
        <f t="shared" si="59"/>
        <v>2014</v>
      </c>
      <c r="E1812" t="s">
        <v>38</v>
      </c>
      <c r="F1812" t="s">
        <v>143</v>
      </c>
      <c r="G1812" t="s">
        <v>10</v>
      </c>
      <c r="H1812" s="72" t="s">
        <v>217</v>
      </c>
      <c r="I1812" s="72" t="s">
        <v>59</v>
      </c>
      <c r="J1812" t="str">
        <f t="shared" si="60"/>
        <v>Cascade River</v>
      </c>
      <c r="K1812" t="str">
        <f>IFERROR(VLOOKUP(J1812,LUTs!$A$1:$C$73,2,FALSE),"NA")</f>
        <v>Skagit</v>
      </c>
      <c r="L1812" t="str">
        <f>IFERROR(VLOOKUP(J1812,LUTs!$A$1:$C$73,3,FALSE),"NA")</f>
        <v>1North Puget Sound</v>
      </c>
      <c r="M1812" s="72" t="s">
        <v>16</v>
      </c>
      <c r="N1812" t="str">
        <f>VLOOKUP(M1812,LUTs!E$2:H$14,3,)</f>
        <v>03Snohomish</v>
      </c>
      <c r="O1812" t="str">
        <f>VLOOKUP(M1812,LUTs!E$2:H$14,4,)</f>
        <v>01North Puget Sound</v>
      </c>
      <c r="P1812" s="73">
        <v>49.875</v>
      </c>
      <c r="Q1812" s="74">
        <f>VLOOKUP(B1812,Readme!A$40:C$51,2,)*P1812</f>
        <v>431.41875000000005</v>
      </c>
    </row>
    <row r="1813" spans="1:17" ht="12" customHeight="1" x14ac:dyDescent="0.35">
      <c r="A1813" s="75">
        <v>1812</v>
      </c>
      <c r="B1813" s="64">
        <v>2014</v>
      </c>
      <c r="C1813" s="64">
        <v>7</v>
      </c>
      <c r="D1813" s="80">
        <f t="shared" si="59"/>
        <v>2014</v>
      </c>
      <c r="E1813" t="s">
        <v>38</v>
      </c>
      <c r="F1813" t="s">
        <v>143</v>
      </c>
      <c r="G1813" t="s">
        <v>10</v>
      </c>
      <c r="H1813" s="72" t="s">
        <v>217</v>
      </c>
      <c r="I1813" s="72" t="s">
        <v>59</v>
      </c>
      <c r="J1813" t="str">
        <f t="shared" si="60"/>
        <v>Cascade River</v>
      </c>
      <c r="K1813" t="str">
        <f>IFERROR(VLOOKUP(J1813,LUTs!$A$1:$C$73,2,FALSE),"NA")</f>
        <v>Skagit</v>
      </c>
      <c r="L1813" t="str">
        <f>IFERROR(VLOOKUP(J1813,LUTs!$A$1:$C$73,3,FALSE),"NA")</f>
        <v>1North Puget Sound</v>
      </c>
      <c r="M1813" s="72" t="s">
        <v>15</v>
      </c>
      <c r="N1813" t="str">
        <f>VLOOKUP(M1813,LUTs!E$2:H$14,3,)</f>
        <v>02Skagit</v>
      </c>
      <c r="O1813" t="str">
        <f>VLOOKUP(M1813,LUTs!E$2:H$14,4,)</f>
        <v>01North Puget Sound</v>
      </c>
      <c r="P1813" s="73">
        <v>7</v>
      </c>
      <c r="Q1813" s="74">
        <f>VLOOKUP(B1813,Readme!A$40:C$51,2,)*P1813</f>
        <v>60.550000000000004</v>
      </c>
    </row>
    <row r="1814" spans="1:17" ht="12" customHeight="1" x14ac:dyDescent="0.35">
      <c r="A1814" s="75">
        <v>1813</v>
      </c>
      <c r="B1814" s="64">
        <v>2014</v>
      </c>
      <c r="C1814" s="64">
        <v>9</v>
      </c>
      <c r="D1814" s="80">
        <f t="shared" si="59"/>
        <v>2014</v>
      </c>
      <c r="E1814" t="s">
        <v>38</v>
      </c>
      <c r="F1814" t="s">
        <v>143</v>
      </c>
      <c r="G1814" t="s">
        <v>10</v>
      </c>
      <c r="H1814" s="72" t="s">
        <v>217</v>
      </c>
      <c r="I1814" s="72" t="s">
        <v>59</v>
      </c>
      <c r="J1814" t="str">
        <f t="shared" si="60"/>
        <v>Cascade River</v>
      </c>
      <c r="K1814" t="str">
        <f>IFERROR(VLOOKUP(J1814,LUTs!$A$1:$C$73,2,FALSE),"NA")</f>
        <v>Skagit</v>
      </c>
      <c r="L1814" t="str">
        <f>IFERROR(VLOOKUP(J1814,LUTs!$A$1:$C$73,3,FALSE),"NA")</f>
        <v>1North Puget Sound</v>
      </c>
      <c r="M1814" s="72" t="s">
        <v>26</v>
      </c>
      <c r="N1814" t="str">
        <f>VLOOKUP(M1814,LUTs!E$2:H$14,3,)</f>
        <v>20Other</v>
      </c>
      <c r="O1814" t="str">
        <f>VLOOKUP(M1814,LUTs!E$2:H$14,4,)</f>
        <v>07Non Puget Sound</v>
      </c>
      <c r="P1814" s="73">
        <v>7.1875</v>
      </c>
      <c r="Q1814" s="74">
        <f>VLOOKUP(B1814,Readme!A$40:C$51,2,)*P1814</f>
        <v>62.171875</v>
      </c>
    </row>
    <row r="1815" spans="1:17" ht="12" customHeight="1" x14ac:dyDescent="0.35">
      <c r="A1815" s="75">
        <v>1814</v>
      </c>
      <c r="B1815" s="64">
        <v>2014</v>
      </c>
      <c r="C1815" s="64">
        <v>9</v>
      </c>
      <c r="D1815" s="80">
        <f t="shared" si="59"/>
        <v>2014</v>
      </c>
      <c r="E1815" t="s">
        <v>38</v>
      </c>
      <c r="F1815" t="s">
        <v>143</v>
      </c>
      <c r="G1815" t="s">
        <v>10</v>
      </c>
      <c r="H1815" s="72" t="s">
        <v>217</v>
      </c>
      <c r="I1815" s="72" t="s">
        <v>59</v>
      </c>
      <c r="J1815" t="str">
        <f t="shared" si="60"/>
        <v>Cascade River</v>
      </c>
      <c r="K1815" t="str">
        <f>IFERROR(VLOOKUP(J1815,LUTs!$A$1:$C$73,2,FALSE),"NA")</f>
        <v>Skagit</v>
      </c>
      <c r="L1815" t="str">
        <f>IFERROR(VLOOKUP(J1815,LUTs!$A$1:$C$73,3,FALSE),"NA")</f>
        <v>1North Puget Sound</v>
      </c>
      <c r="M1815" s="72" t="s">
        <v>15</v>
      </c>
      <c r="N1815" t="str">
        <f>VLOOKUP(M1815,LUTs!E$2:H$14,3,)</f>
        <v>02Skagit</v>
      </c>
      <c r="O1815" t="str">
        <f>VLOOKUP(M1815,LUTs!E$2:H$14,4,)</f>
        <v>01North Puget Sound</v>
      </c>
      <c r="P1815" s="73">
        <v>57.5</v>
      </c>
      <c r="Q1815" s="74">
        <f>VLOOKUP(B1815,Readme!A$40:C$51,2,)*P1815</f>
        <v>497.375</v>
      </c>
    </row>
    <row r="1816" spans="1:17" ht="12" customHeight="1" x14ac:dyDescent="0.35">
      <c r="A1816" s="75">
        <v>1815</v>
      </c>
      <c r="B1816" s="64">
        <v>2014</v>
      </c>
      <c r="C1816" s="64">
        <v>9</v>
      </c>
      <c r="D1816" s="80">
        <f t="shared" si="59"/>
        <v>2014</v>
      </c>
      <c r="E1816" t="s">
        <v>38</v>
      </c>
      <c r="F1816" t="s">
        <v>143</v>
      </c>
      <c r="G1816" t="s">
        <v>10</v>
      </c>
      <c r="H1816" s="72" t="s">
        <v>217</v>
      </c>
      <c r="I1816" s="72" t="s">
        <v>59</v>
      </c>
      <c r="J1816" t="str">
        <f t="shared" si="60"/>
        <v>Cascade River</v>
      </c>
      <c r="K1816" t="str">
        <f>IFERROR(VLOOKUP(J1816,LUTs!$A$1:$C$73,2,FALSE),"NA")</f>
        <v>Skagit</v>
      </c>
      <c r="L1816" t="str">
        <f>IFERROR(VLOOKUP(J1816,LUTs!$A$1:$C$73,3,FALSE),"NA")</f>
        <v>1North Puget Sound</v>
      </c>
      <c r="M1816" s="72" t="s">
        <v>16</v>
      </c>
      <c r="N1816" t="str">
        <f>VLOOKUP(M1816,LUTs!E$2:H$14,3,)</f>
        <v>03Snohomish</v>
      </c>
      <c r="O1816" t="str">
        <f>VLOOKUP(M1816,LUTs!E$2:H$14,4,)</f>
        <v>01North Puget Sound</v>
      </c>
      <c r="P1816" s="73">
        <v>50.3125</v>
      </c>
      <c r="Q1816" s="74">
        <f>VLOOKUP(B1816,Readme!A$40:C$51,2,)*P1816</f>
        <v>435.203125</v>
      </c>
    </row>
    <row r="1817" spans="1:17" ht="12" customHeight="1" x14ac:dyDescent="0.35">
      <c r="A1817" s="75">
        <v>1816</v>
      </c>
      <c r="B1817" s="64">
        <v>2014</v>
      </c>
      <c r="C1817" s="64">
        <v>10</v>
      </c>
      <c r="D1817" s="80">
        <f t="shared" si="59"/>
        <v>2014</v>
      </c>
      <c r="E1817" t="s">
        <v>38</v>
      </c>
      <c r="F1817" t="s">
        <v>143</v>
      </c>
      <c r="G1817" t="s">
        <v>10</v>
      </c>
      <c r="H1817" s="72" t="s">
        <v>217</v>
      </c>
      <c r="I1817" s="72" t="s">
        <v>59</v>
      </c>
      <c r="J1817" t="str">
        <f t="shared" si="60"/>
        <v>Cascade River</v>
      </c>
      <c r="K1817" t="str">
        <f>IFERROR(VLOOKUP(J1817,LUTs!$A$1:$C$73,2,FALSE),"NA")</f>
        <v>Skagit</v>
      </c>
      <c r="L1817" t="str">
        <f>IFERROR(VLOOKUP(J1817,LUTs!$A$1:$C$73,3,FALSE),"NA")</f>
        <v>1North Puget Sound</v>
      </c>
      <c r="M1817" s="72" t="s">
        <v>17</v>
      </c>
      <c r="N1817" t="str">
        <f>VLOOKUP(M1817,LUTs!E$2:H$14,3,)</f>
        <v>04Island</v>
      </c>
      <c r="O1817" t="str">
        <f>VLOOKUP(M1817,LUTs!E$2:H$14,4,)</f>
        <v>01North Puget Sound</v>
      </c>
      <c r="P1817" s="73">
        <v>35.9027777777778</v>
      </c>
      <c r="Q1817" s="74">
        <f>VLOOKUP(B1817,Readme!A$40:C$51,2,)*P1817</f>
        <v>310.559027777778</v>
      </c>
    </row>
    <row r="1818" spans="1:17" ht="12" customHeight="1" x14ac:dyDescent="0.35">
      <c r="A1818" s="75">
        <v>1817</v>
      </c>
      <c r="B1818" s="64">
        <v>2014</v>
      </c>
      <c r="C1818" s="64">
        <v>10</v>
      </c>
      <c r="D1818" s="80">
        <f t="shared" si="59"/>
        <v>2014</v>
      </c>
      <c r="E1818" t="s">
        <v>38</v>
      </c>
      <c r="F1818" t="s">
        <v>143</v>
      </c>
      <c r="G1818" t="s">
        <v>10</v>
      </c>
      <c r="H1818" s="72" t="s">
        <v>217</v>
      </c>
      <c r="I1818" s="72" t="s">
        <v>59</v>
      </c>
      <c r="J1818" t="str">
        <f t="shared" si="60"/>
        <v>Cascade River</v>
      </c>
      <c r="K1818" t="str">
        <f>IFERROR(VLOOKUP(J1818,LUTs!$A$1:$C$73,2,FALSE),"NA")</f>
        <v>Skagit</v>
      </c>
      <c r="L1818" t="str">
        <f>IFERROR(VLOOKUP(J1818,LUTs!$A$1:$C$73,3,FALSE),"NA")</f>
        <v>1North Puget Sound</v>
      </c>
      <c r="M1818" s="72" t="s">
        <v>18</v>
      </c>
      <c r="N1818" t="str">
        <f>VLOOKUP(M1818,LUTs!E$2:H$14,3,)</f>
        <v>06King</v>
      </c>
      <c r="O1818" t="str">
        <f>VLOOKUP(M1818,LUTs!E$2:H$14,4,)</f>
        <v>02South Puget Sound</v>
      </c>
      <c r="P1818" s="73">
        <v>57.4444444444445</v>
      </c>
      <c r="Q1818" s="74">
        <f>VLOOKUP(B1818,Readme!A$40:C$51,2,)*P1818</f>
        <v>496.89444444444496</v>
      </c>
    </row>
    <row r="1819" spans="1:17" ht="12" customHeight="1" x14ac:dyDescent="0.35">
      <c r="A1819" s="75">
        <v>1818</v>
      </c>
      <c r="B1819" s="64">
        <v>2014</v>
      </c>
      <c r="C1819" s="64">
        <v>10</v>
      </c>
      <c r="D1819" s="80">
        <f t="shared" si="59"/>
        <v>2014</v>
      </c>
      <c r="E1819" t="s">
        <v>38</v>
      </c>
      <c r="F1819" t="s">
        <v>143</v>
      </c>
      <c r="G1819" t="s">
        <v>10</v>
      </c>
      <c r="H1819" s="72" t="s">
        <v>217</v>
      </c>
      <c r="I1819" s="72" t="s">
        <v>59</v>
      </c>
      <c r="J1819" t="str">
        <f t="shared" si="60"/>
        <v>Cascade River</v>
      </c>
      <c r="K1819" t="str">
        <f>IFERROR(VLOOKUP(J1819,LUTs!$A$1:$C$73,2,FALSE),"NA")</f>
        <v>Skagit</v>
      </c>
      <c r="L1819" t="str">
        <f>IFERROR(VLOOKUP(J1819,LUTs!$A$1:$C$73,3,FALSE),"NA")</f>
        <v>1North Puget Sound</v>
      </c>
      <c r="M1819" s="72" t="s">
        <v>26</v>
      </c>
      <c r="N1819" t="str">
        <f>VLOOKUP(M1819,LUTs!E$2:H$14,3,)</f>
        <v>20Other</v>
      </c>
      <c r="O1819" t="str">
        <f>VLOOKUP(M1819,LUTs!E$2:H$14,4,)</f>
        <v>07Non Puget Sound</v>
      </c>
      <c r="P1819" s="73">
        <v>43.0833333333333</v>
      </c>
      <c r="Q1819" s="74">
        <f>VLOOKUP(B1819,Readme!A$40:C$51,2,)*P1819</f>
        <v>372.67083333333306</v>
      </c>
    </row>
    <row r="1820" spans="1:17" ht="12" customHeight="1" x14ac:dyDescent="0.35">
      <c r="A1820" s="75">
        <v>1819</v>
      </c>
      <c r="B1820" s="64">
        <v>2014</v>
      </c>
      <c r="C1820" s="64">
        <v>10</v>
      </c>
      <c r="D1820" s="80">
        <f t="shared" si="59"/>
        <v>2014</v>
      </c>
      <c r="E1820" t="s">
        <v>38</v>
      </c>
      <c r="F1820" t="s">
        <v>143</v>
      </c>
      <c r="G1820" t="s">
        <v>10</v>
      </c>
      <c r="H1820" s="72" t="s">
        <v>217</v>
      </c>
      <c r="I1820" s="72" t="s">
        <v>59</v>
      </c>
      <c r="J1820" t="str">
        <f t="shared" si="60"/>
        <v>Cascade River</v>
      </c>
      <c r="K1820" t="str">
        <f>IFERROR(VLOOKUP(J1820,LUTs!$A$1:$C$73,2,FALSE),"NA")</f>
        <v>Skagit</v>
      </c>
      <c r="L1820" t="str">
        <f>IFERROR(VLOOKUP(J1820,LUTs!$A$1:$C$73,3,FALSE),"NA")</f>
        <v>1North Puget Sound</v>
      </c>
      <c r="M1820" s="72" t="s">
        <v>15</v>
      </c>
      <c r="N1820" t="str">
        <f>VLOOKUP(M1820,LUTs!E$2:H$14,3,)</f>
        <v>02Skagit</v>
      </c>
      <c r="O1820" t="str">
        <f>VLOOKUP(M1820,LUTs!E$2:H$14,4,)</f>
        <v>01North Puget Sound</v>
      </c>
      <c r="P1820" s="73">
        <v>143.611111111111</v>
      </c>
      <c r="Q1820" s="74">
        <f>VLOOKUP(B1820,Readme!A$40:C$51,2,)*P1820</f>
        <v>1242.2361111111102</v>
      </c>
    </row>
    <row r="1821" spans="1:17" ht="12" customHeight="1" x14ac:dyDescent="0.35">
      <c r="A1821" s="75">
        <v>1820</v>
      </c>
      <c r="B1821" s="64">
        <v>2014</v>
      </c>
      <c r="C1821" s="64">
        <v>10</v>
      </c>
      <c r="D1821" s="80">
        <f t="shared" si="59"/>
        <v>2014</v>
      </c>
      <c r="E1821" t="s">
        <v>38</v>
      </c>
      <c r="F1821" t="s">
        <v>143</v>
      </c>
      <c r="G1821" t="s">
        <v>10</v>
      </c>
      <c r="H1821" s="72" t="s">
        <v>217</v>
      </c>
      <c r="I1821" s="72" t="s">
        <v>59</v>
      </c>
      <c r="J1821" t="str">
        <f t="shared" si="60"/>
        <v>Cascade River</v>
      </c>
      <c r="K1821" t="str">
        <f>IFERROR(VLOOKUP(J1821,LUTs!$A$1:$C$73,2,FALSE),"NA")</f>
        <v>Skagit</v>
      </c>
      <c r="L1821" t="str">
        <f>IFERROR(VLOOKUP(J1821,LUTs!$A$1:$C$73,3,FALSE),"NA")</f>
        <v>1North Puget Sound</v>
      </c>
      <c r="M1821" s="72" t="s">
        <v>16</v>
      </c>
      <c r="N1821" t="str">
        <f>VLOOKUP(M1821,LUTs!E$2:H$14,3,)</f>
        <v>03Snohomish</v>
      </c>
      <c r="O1821" t="str">
        <f>VLOOKUP(M1821,LUTs!E$2:H$14,4,)</f>
        <v>01North Puget Sound</v>
      </c>
      <c r="P1821" s="73">
        <v>236.958333333333</v>
      </c>
      <c r="Q1821" s="74">
        <f>VLOOKUP(B1821,Readme!A$40:C$51,2,)*P1821</f>
        <v>2049.6895833333306</v>
      </c>
    </row>
    <row r="1822" spans="1:17" ht="12" customHeight="1" x14ac:dyDescent="0.35">
      <c r="A1822" s="75">
        <v>1821</v>
      </c>
      <c r="B1822" s="64">
        <v>2014</v>
      </c>
      <c r="C1822" s="64">
        <v>11</v>
      </c>
      <c r="D1822" s="80">
        <f t="shared" si="59"/>
        <v>2014</v>
      </c>
      <c r="E1822" t="s">
        <v>38</v>
      </c>
      <c r="F1822" t="s">
        <v>143</v>
      </c>
      <c r="G1822" t="s">
        <v>10</v>
      </c>
      <c r="H1822" s="72" t="s">
        <v>217</v>
      </c>
      <c r="I1822" s="72" t="s">
        <v>59</v>
      </c>
      <c r="J1822" t="str">
        <f t="shared" si="60"/>
        <v>Cascade River</v>
      </c>
      <c r="K1822" t="str">
        <f>IFERROR(VLOOKUP(J1822,LUTs!$A$1:$C$73,2,FALSE),"NA")</f>
        <v>Skagit</v>
      </c>
      <c r="L1822" t="str">
        <f>IFERROR(VLOOKUP(J1822,LUTs!$A$1:$C$73,3,FALSE),"NA")</f>
        <v>1North Puget Sound</v>
      </c>
      <c r="M1822" s="72" t="s">
        <v>15</v>
      </c>
      <c r="N1822" t="str">
        <f>VLOOKUP(M1822,LUTs!E$2:H$14,3,)</f>
        <v>02Skagit</v>
      </c>
      <c r="O1822" t="str">
        <f>VLOOKUP(M1822,LUTs!E$2:H$14,4,)</f>
        <v>01North Puget Sound</v>
      </c>
      <c r="P1822" s="73">
        <v>7.1666666666666696</v>
      </c>
      <c r="Q1822" s="74">
        <f>VLOOKUP(B1822,Readme!A$40:C$51,2,)*P1822</f>
        <v>61.991666666666696</v>
      </c>
    </row>
    <row r="1823" spans="1:17" ht="12" customHeight="1" x14ac:dyDescent="0.35">
      <c r="A1823" s="75">
        <v>1822</v>
      </c>
      <c r="B1823" s="64">
        <v>2014</v>
      </c>
      <c r="C1823" s="64">
        <v>11</v>
      </c>
      <c r="D1823" s="80">
        <f t="shared" si="59"/>
        <v>2014</v>
      </c>
      <c r="E1823" t="s">
        <v>38</v>
      </c>
      <c r="F1823" t="s">
        <v>143</v>
      </c>
      <c r="G1823" t="s">
        <v>10</v>
      </c>
      <c r="H1823" s="72" t="s">
        <v>217</v>
      </c>
      <c r="I1823" s="72" t="s">
        <v>59</v>
      </c>
      <c r="J1823" t="str">
        <f t="shared" si="60"/>
        <v>Cascade River</v>
      </c>
      <c r="K1823" t="str">
        <f>IFERROR(VLOOKUP(J1823,LUTs!$A$1:$C$73,2,FALSE),"NA")</f>
        <v>Skagit</v>
      </c>
      <c r="L1823" t="str">
        <f>IFERROR(VLOOKUP(J1823,LUTs!$A$1:$C$73,3,FALSE),"NA")</f>
        <v>1North Puget Sound</v>
      </c>
      <c r="M1823" s="72" t="s">
        <v>16</v>
      </c>
      <c r="N1823" t="str">
        <f>VLOOKUP(M1823,LUTs!E$2:H$14,3,)</f>
        <v>03Snohomish</v>
      </c>
      <c r="O1823" t="str">
        <f>VLOOKUP(M1823,LUTs!E$2:H$14,4,)</f>
        <v>01North Puget Sound</v>
      </c>
      <c r="P1823" s="73">
        <v>28.6666666666667</v>
      </c>
      <c r="Q1823" s="74">
        <f>VLOOKUP(B1823,Readme!A$40:C$51,2,)*P1823</f>
        <v>247.96666666666695</v>
      </c>
    </row>
    <row r="1824" spans="1:17" ht="12" customHeight="1" x14ac:dyDescent="0.35">
      <c r="A1824" s="75">
        <v>1823</v>
      </c>
      <c r="B1824" s="64">
        <v>2014</v>
      </c>
      <c r="C1824" s="64">
        <v>11</v>
      </c>
      <c r="D1824" s="80">
        <f t="shared" si="59"/>
        <v>2014</v>
      </c>
      <c r="E1824" t="s">
        <v>38</v>
      </c>
      <c r="F1824" t="s">
        <v>143</v>
      </c>
      <c r="G1824" t="s">
        <v>10</v>
      </c>
      <c r="H1824" s="72" t="s">
        <v>217</v>
      </c>
      <c r="I1824" s="72" t="s">
        <v>59</v>
      </c>
      <c r="J1824" t="str">
        <f t="shared" si="60"/>
        <v>Cascade River</v>
      </c>
      <c r="K1824" t="str">
        <f>IFERROR(VLOOKUP(J1824,LUTs!$A$1:$C$73,2,FALSE),"NA")</f>
        <v>Skagit</v>
      </c>
      <c r="L1824" t="str">
        <f>IFERROR(VLOOKUP(J1824,LUTs!$A$1:$C$73,3,FALSE),"NA")</f>
        <v>1North Puget Sound</v>
      </c>
      <c r="M1824" s="72" t="s">
        <v>13</v>
      </c>
      <c r="N1824" t="str">
        <f>VLOOKUP(M1824,LUTs!E$2:H$14,3,)</f>
        <v>01Whatcom</v>
      </c>
      <c r="O1824" t="str">
        <f>VLOOKUP(M1824,LUTs!E$2:H$14,4,)</f>
        <v>01North Puget Sound</v>
      </c>
      <c r="P1824" s="73">
        <v>7.1666666666666696</v>
      </c>
      <c r="Q1824" s="74">
        <f>VLOOKUP(B1824,Readme!A$40:C$51,2,)*P1824</f>
        <v>61.991666666666696</v>
      </c>
    </row>
    <row r="1825" spans="1:17" ht="12" customHeight="1" x14ac:dyDescent="0.35">
      <c r="A1825" s="75">
        <v>1824</v>
      </c>
      <c r="B1825" s="64">
        <v>2014</v>
      </c>
      <c r="C1825" s="64">
        <v>6</v>
      </c>
      <c r="D1825" s="80">
        <f t="shared" si="59"/>
        <v>2014</v>
      </c>
      <c r="E1825" t="s">
        <v>38</v>
      </c>
      <c r="F1825" t="s">
        <v>143</v>
      </c>
      <c r="G1825" t="s">
        <v>10</v>
      </c>
      <c r="H1825" s="72" t="s">
        <v>218</v>
      </c>
      <c r="I1825" s="72" t="s">
        <v>60</v>
      </c>
      <c r="J1825" t="str">
        <f t="shared" si="60"/>
        <v>Skagit River</v>
      </c>
      <c r="K1825" t="str">
        <f>IFERROR(VLOOKUP(J1825,LUTs!$A$1:$C$73,2,FALSE),"NA")</f>
        <v>Skagit/Whatcom</v>
      </c>
      <c r="L1825" t="str">
        <f>IFERROR(VLOOKUP(J1825,LUTs!$A$1:$C$73,3,FALSE),"NA")</f>
        <v>2Central Puget Sound</v>
      </c>
      <c r="M1825" s="72" t="s">
        <v>26</v>
      </c>
      <c r="N1825" t="str">
        <f>VLOOKUP(M1825,LUTs!E$2:H$14,3,)</f>
        <v>20Other</v>
      </c>
      <c r="O1825" t="str">
        <f>VLOOKUP(M1825,LUTs!E$2:H$14,4,)</f>
        <v>07Non Puget Sound</v>
      </c>
      <c r="P1825" s="73">
        <v>7.69444444444445</v>
      </c>
      <c r="Q1825" s="74">
        <f>VLOOKUP(B1825,Readme!A$40:C$51,2,)*P1825</f>
        <v>66.556944444444497</v>
      </c>
    </row>
    <row r="1826" spans="1:17" ht="12" customHeight="1" x14ac:dyDescent="0.35">
      <c r="A1826" s="75">
        <v>1825</v>
      </c>
      <c r="B1826" s="64">
        <v>2014</v>
      </c>
      <c r="C1826" s="64">
        <v>6</v>
      </c>
      <c r="D1826" s="80">
        <f t="shared" si="59"/>
        <v>2014</v>
      </c>
      <c r="E1826" t="s">
        <v>38</v>
      </c>
      <c r="F1826" t="s">
        <v>143</v>
      </c>
      <c r="G1826" t="s">
        <v>10</v>
      </c>
      <c r="H1826" s="72" t="s">
        <v>218</v>
      </c>
      <c r="I1826" s="72" t="s">
        <v>60</v>
      </c>
      <c r="J1826" t="str">
        <f t="shared" si="60"/>
        <v>Skagit River</v>
      </c>
      <c r="K1826" t="str">
        <f>IFERROR(VLOOKUP(J1826,LUTs!$A$1:$C$73,2,FALSE),"NA")</f>
        <v>Skagit/Whatcom</v>
      </c>
      <c r="L1826" t="str">
        <f>IFERROR(VLOOKUP(J1826,LUTs!$A$1:$C$73,3,FALSE),"NA")</f>
        <v>2Central Puget Sound</v>
      </c>
      <c r="M1826" s="72" t="s">
        <v>15</v>
      </c>
      <c r="N1826" t="str">
        <f>VLOOKUP(M1826,LUTs!E$2:H$14,3,)</f>
        <v>02Skagit</v>
      </c>
      <c r="O1826" t="str">
        <f>VLOOKUP(M1826,LUTs!E$2:H$14,4,)</f>
        <v>01North Puget Sound</v>
      </c>
      <c r="P1826" s="73">
        <v>161.583333333333</v>
      </c>
      <c r="Q1826" s="74">
        <f>VLOOKUP(B1826,Readme!A$40:C$51,2,)*P1826</f>
        <v>1397.6958333333305</v>
      </c>
    </row>
    <row r="1827" spans="1:17" ht="12" customHeight="1" x14ac:dyDescent="0.35">
      <c r="A1827" s="75">
        <v>1826</v>
      </c>
      <c r="B1827" s="64">
        <v>2014</v>
      </c>
      <c r="C1827" s="64">
        <v>6</v>
      </c>
      <c r="D1827" s="80">
        <f t="shared" si="59"/>
        <v>2014</v>
      </c>
      <c r="E1827" t="s">
        <v>38</v>
      </c>
      <c r="F1827" t="s">
        <v>143</v>
      </c>
      <c r="G1827" t="s">
        <v>10</v>
      </c>
      <c r="H1827" s="72" t="s">
        <v>218</v>
      </c>
      <c r="I1827" s="72" t="s">
        <v>60</v>
      </c>
      <c r="J1827" t="str">
        <f t="shared" si="60"/>
        <v>Skagit River</v>
      </c>
      <c r="K1827" t="str">
        <f>IFERROR(VLOOKUP(J1827,LUTs!$A$1:$C$73,2,FALSE),"NA")</f>
        <v>Skagit/Whatcom</v>
      </c>
      <c r="L1827" t="str">
        <f>IFERROR(VLOOKUP(J1827,LUTs!$A$1:$C$73,3,FALSE),"NA")</f>
        <v>2Central Puget Sound</v>
      </c>
      <c r="M1827" s="72" t="s">
        <v>16</v>
      </c>
      <c r="N1827" t="str">
        <f>VLOOKUP(M1827,LUTs!E$2:H$14,3,)</f>
        <v>03Snohomish</v>
      </c>
      <c r="O1827" t="str">
        <f>VLOOKUP(M1827,LUTs!E$2:H$14,4,)</f>
        <v>01North Puget Sound</v>
      </c>
      <c r="P1827" s="73">
        <v>92.3333333333333</v>
      </c>
      <c r="Q1827" s="74">
        <f>VLOOKUP(B1827,Readme!A$40:C$51,2,)*P1827</f>
        <v>798.68333333333305</v>
      </c>
    </row>
    <row r="1828" spans="1:17" ht="12" customHeight="1" x14ac:dyDescent="0.35">
      <c r="A1828" s="75">
        <v>1827</v>
      </c>
      <c r="B1828" s="64">
        <v>2014</v>
      </c>
      <c r="C1828" s="64">
        <v>6</v>
      </c>
      <c r="D1828" s="80">
        <f t="shared" si="59"/>
        <v>2014</v>
      </c>
      <c r="E1828" t="s">
        <v>38</v>
      </c>
      <c r="F1828" t="s">
        <v>143</v>
      </c>
      <c r="G1828" t="s">
        <v>10</v>
      </c>
      <c r="H1828" s="72" t="s">
        <v>218</v>
      </c>
      <c r="I1828" s="72" t="s">
        <v>60</v>
      </c>
      <c r="J1828" t="str">
        <f t="shared" si="60"/>
        <v>Skagit River</v>
      </c>
      <c r="K1828" t="str">
        <f>IFERROR(VLOOKUP(J1828,LUTs!$A$1:$C$73,2,FALSE),"NA")</f>
        <v>Skagit/Whatcom</v>
      </c>
      <c r="L1828" t="str">
        <f>IFERROR(VLOOKUP(J1828,LUTs!$A$1:$C$73,3,FALSE),"NA")</f>
        <v>2Central Puget Sound</v>
      </c>
      <c r="M1828" s="72" t="s">
        <v>13</v>
      </c>
      <c r="N1828" t="str">
        <f>VLOOKUP(M1828,LUTs!E$2:H$14,3,)</f>
        <v>01Whatcom</v>
      </c>
      <c r="O1828" t="str">
        <f>VLOOKUP(M1828,LUTs!E$2:H$14,4,)</f>
        <v>01North Puget Sound</v>
      </c>
      <c r="P1828" s="73">
        <v>15.3888888888889</v>
      </c>
      <c r="Q1828" s="74">
        <f>VLOOKUP(B1828,Readme!A$40:C$51,2,)*P1828</f>
        <v>133.11388888888899</v>
      </c>
    </row>
    <row r="1829" spans="1:17" ht="12" customHeight="1" x14ac:dyDescent="0.35">
      <c r="A1829" s="75">
        <v>1828</v>
      </c>
      <c r="B1829" s="64">
        <v>2014</v>
      </c>
      <c r="C1829" s="64">
        <v>7</v>
      </c>
      <c r="D1829" s="80">
        <f t="shared" si="59"/>
        <v>2014</v>
      </c>
      <c r="E1829" t="s">
        <v>38</v>
      </c>
      <c r="F1829" t="s">
        <v>143</v>
      </c>
      <c r="G1829" t="s">
        <v>10</v>
      </c>
      <c r="H1829" s="72" t="s">
        <v>218</v>
      </c>
      <c r="I1829" s="72" t="s">
        <v>60</v>
      </c>
      <c r="J1829" t="str">
        <f t="shared" si="60"/>
        <v>Skagit River</v>
      </c>
      <c r="K1829" t="str">
        <f>IFERROR(VLOOKUP(J1829,LUTs!$A$1:$C$73,2,FALSE),"NA")</f>
        <v>Skagit/Whatcom</v>
      </c>
      <c r="L1829" t="str">
        <f>IFERROR(VLOOKUP(J1829,LUTs!$A$1:$C$73,3,FALSE),"NA")</f>
        <v>2Central Puget Sound</v>
      </c>
      <c r="M1829" s="72" t="s">
        <v>16</v>
      </c>
      <c r="N1829" t="str">
        <f>VLOOKUP(M1829,LUTs!E$2:H$14,3,)</f>
        <v>03Snohomish</v>
      </c>
      <c r="O1829" t="str">
        <f>VLOOKUP(M1829,LUTs!E$2:H$14,4,)</f>
        <v>01North Puget Sound</v>
      </c>
      <c r="P1829" s="73">
        <v>8</v>
      </c>
      <c r="Q1829" s="74">
        <f>VLOOKUP(B1829,Readme!A$40:C$51,2,)*P1829</f>
        <v>69.2</v>
      </c>
    </row>
    <row r="1830" spans="1:17" ht="12" customHeight="1" x14ac:dyDescent="0.35">
      <c r="A1830" s="75">
        <v>1829</v>
      </c>
      <c r="B1830" s="64">
        <v>2014</v>
      </c>
      <c r="C1830" s="64">
        <v>8</v>
      </c>
      <c r="D1830" s="80">
        <f t="shared" si="59"/>
        <v>2014</v>
      </c>
      <c r="E1830" t="s">
        <v>38</v>
      </c>
      <c r="F1830" t="s">
        <v>143</v>
      </c>
      <c r="G1830" t="s">
        <v>10</v>
      </c>
      <c r="H1830" s="72" t="s">
        <v>218</v>
      </c>
      <c r="I1830" s="72" t="s">
        <v>60</v>
      </c>
      <c r="J1830" t="str">
        <f t="shared" si="60"/>
        <v>Skagit River</v>
      </c>
      <c r="K1830" t="str">
        <f>IFERROR(VLOOKUP(J1830,LUTs!$A$1:$C$73,2,FALSE),"NA")</f>
        <v>Skagit/Whatcom</v>
      </c>
      <c r="L1830" t="str">
        <f>IFERROR(VLOOKUP(J1830,LUTs!$A$1:$C$73,3,FALSE),"NA")</f>
        <v>2Central Puget Sound</v>
      </c>
      <c r="M1830" s="72" t="s">
        <v>16</v>
      </c>
      <c r="N1830" t="str">
        <f>VLOOKUP(M1830,LUTs!E$2:H$14,3,)</f>
        <v>03Snohomish</v>
      </c>
      <c r="O1830" t="str">
        <f>VLOOKUP(M1830,LUTs!E$2:H$14,4,)</f>
        <v>01North Puget Sound</v>
      </c>
      <c r="P1830" s="73">
        <v>0</v>
      </c>
      <c r="Q1830" s="74">
        <f>VLOOKUP(B1830,Readme!A$40:C$51,2,)*P1830</f>
        <v>0</v>
      </c>
    </row>
    <row r="1831" spans="1:17" ht="12" customHeight="1" x14ac:dyDescent="0.35">
      <c r="A1831" s="75">
        <v>1830</v>
      </c>
      <c r="B1831" s="64">
        <v>2014</v>
      </c>
      <c r="C1831" s="64">
        <v>9</v>
      </c>
      <c r="D1831" s="80">
        <f t="shared" si="59"/>
        <v>2014</v>
      </c>
      <c r="E1831" t="s">
        <v>38</v>
      </c>
      <c r="F1831" t="s">
        <v>143</v>
      </c>
      <c r="G1831" t="s">
        <v>10</v>
      </c>
      <c r="H1831" s="72" t="s">
        <v>218</v>
      </c>
      <c r="I1831" s="72" t="s">
        <v>60</v>
      </c>
      <c r="J1831" t="str">
        <f t="shared" si="60"/>
        <v>Skagit River</v>
      </c>
      <c r="K1831" t="str">
        <f>IFERROR(VLOOKUP(J1831,LUTs!$A$1:$C$73,2,FALSE),"NA")</f>
        <v>Skagit/Whatcom</v>
      </c>
      <c r="L1831" t="str">
        <f>IFERROR(VLOOKUP(J1831,LUTs!$A$1:$C$73,3,FALSE),"NA")</f>
        <v>2Central Puget Sound</v>
      </c>
      <c r="M1831" s="72" t="s">
        <v>18</v>
      </c>
      <c r="N1831" t="str">
        <f>VLOOKUP(M1831,LUTs!E$2:H$14,3,)</f>
        <v>06King</v>
      </c>
      <c r="O1831" t="str">
        <f>VLOOKUP(M1831,LUTs!E$2:H$14,4,)</f>
        <v>02South Puget Sound</v>
      </c>
      <c r="P1831" s="73">
        <v>7.2207792207792201</v>
      </c>
      <c r="Q1831" s="74">
        <f>VLOOKUP(B1831,Readme!A$40:C$51,2,)*P1831</f>
        <v>62.459740259740258</v>
      </c>
    </row>
    <row r="1832" spans="1:17" ht="12" customHeight="1" x14ac:dyDescent="0.35">
      <c r="A1832" s="75">
        <v>1831</v>
      </c>
      <c r="B1832" s="64">
        <v>2014</v>
      </c>
      <c r="C1832" s="64">
        <v>9</v>
      </c>
      <c r="D1832" s="80">
        <f t="shared" si="59"/>
        <v>2014</v>
      </c>
      <c r="E1832" t="s">
        <v>38</v>
      </c>
      <c r="F1832" t="s">
        <v>143</v>
      </c>
      <c r="G1832" t="s">
        <v>10</v>
      </c>
      <c r="H1832" s="72" t="s">
        <v>218</v>
      </c>
      <c r="I1832" s="72" t="s">
        <v>60</v>
      </c>
      <c r="J1832" t="str">
        <f t="shared" si="60"/>
        <v>Skagit River</v>
      </c>
      <c r="K1832" t="str">
        <f>IFERROR(VLOOKUP(J1832,LUTs!$A$1:$C$73,2,FALSE),"NA")</f>
        <v>Skagit/Whatcom</v>
      </c>
      <c r="L1832" t="str">
        <f>IFERROR(VLOOKUP(J1832,LUTs!$A$1:$C$73,3,FALSE),"NA")</f>
        <v>2Central Puget Sound</v>
      </c>
      <c r="M1832" s="72" t="s">
        <v>15</v>
      </c>
      <c r="N1832" t="str">
        <f>VLOOKUP(M1832,LUTs!E$2:H$14,3,)</f>
        <v>02Skagit</v>
      </c>
      <c r="O1832" t="str">
        <f>VLOOKUP(M1832,LUTs!E$2:H$14,4,)</f>
        <v>01North Puget Sound</v>
      </c>
      <c r="P1832" s="73">
        <v>873.71428571428601</v>
      </c>
      <c r="Q1832" s="74">
        <f>VLOOKUP(B1832,Readme!A$40:C$51,2,)*P1832</f>
        <v>7557.6285714285741</v>
      </c>
    </row>
    <row r="1833" spans="1:17" ht="12" customHeight="1" x14ac:dyDescent="0.35">
      <c r="A1833" s="75">
        <v>1832</v>
      </c>
      <c r="B1833" s="64">
        <v>2014</v>
      </c>
      <c r="C1833" s="64">
        <v>9</v>
      </c>
      <c r="D1833" s="80">
        <f t="shared" si="59"/>
        <v>2014</v>
      </c>
      <c r="E1833" t="s">
        <v>38</v>
      </c>
      <c r="F1833" t="s">
        <v>143</v>
      </c>
      <c r="G1833" t="s">
        <v>10</v>
      </c>
      <c r="H1833" s="72" t="s">
        <v>218</v>
      </c>
      <c r="I1833" s="72" t="s">
        <v>60</v>
      </c>
      <c r="J1833" t="str">
        <f t="shared" si="60"/>
        <v>Skagit River</v>
      </c>
      <c r="K1833" t="str">
        <f>IFERROR(VLOOKUP(J1833,LUTs!$A$1:$C$73,2,FALSE),"NA")</f>
        <v>Skagit/Whatcom</v>
      </c>
      <c r="L1833" t="str">
        <f>IFERROR(VLOOKUP(J1833,LUTs!$A$1:$C$73,3,FALSE),"NA")</f>
        <v>2Central Puget Sound</v>
      </c>
      <c r="M1833" s="72" t="s">
        <v>16</v>
      </c>
      <c r="N1833" t="str">
        <f>VLOOKUP(M1833,LUTs!E$2:H$14,3,)</f>
        <v>03Snohomish</v>
      </c>
      <c r="O1833" t="str">
        <f>VLOOKUP(M1833,LUTs!E$2:H$14,4,)</f>
        <v>01North Puget Sound</v>
      </c>
      <c r="P1833" s="73">
        <v>158.857142857143</v>
      </c>
      <c r="Q1833" s="74">
        <f>VLOOKUP(B1833,Readme!A$40:C$51,2,)*P1833</f>
        <v>1374.114285714287</v>
      </c>
    </row>
    <row r="1834" spans="1:17" ht="12" customHeight="1" x14ac:dyDescent="0.35">
      <c r="A1834" s="75">
        <v>1833</v>
      </c>
      <c r="B1834" s="64">
        <v>2014</v>
      </c>
      <c r="C1834" s="64">
        <v>9</v>
      </c>
      <c r="D1834" s="80">
        <f t="shared" si="59"/>
        <v>2014</v>
      </c>
      <c r="E1834" t="s">
        <v>38</v>
      </c>
      <c r="F1834" t="s">
        <v>143</v>
      </c>
      <c r="G1834" t="s">
        <v>10</v>
      </c>
      <c r="H1834" s="72" t="s">
        <v>218</v>
      </c>
      <c r="I1834" s="72" t="s">
        <v>60</v>
      </c>
      <c r="J1834" t="str">
        <f t="shared" si="60"/>
        <v>Skagit River</v>
      </c>
      <c r="K1834" t="str">
        <f>IFERROR(VLOOKUP(J1834,LUTs!$A$1:$C$73,2,FALSE),"NA")</f>
        <v>Skagit/Whatcom</v>
      </c>
      <c r="L1834" t="str">
        <f>IFERROR(VLOOKUP(J1834,LUTs!$A$1:$C$73,3,FALSE),"NA")</f>
        <v>2Central Puget Sound</v>
      </c>
      <c r="M1834" s="72" t="s">
        <v>13</v>
      </c>
      <c r="N1834" t="str">
        <f>VLOOKUP(M1834,LUTs!E$2:H$14,3,)</f>
        <v>01Whatcom</v>
      </c>
      <c r="O1834" t="str">
        <f>VLOOKUP(M1834,LUTs!E$2:H$14,4,)</f>
        <v>01North Puget Sound</v>
      </c>
      <c r="P1834" s="73">
        <v>72.207792207792195</v>
      </c>
      <c r="Q1834" s="74">
        <f>VLOOKUP(B1834,Readme!A$40:C$51,2,)*P1834</f>
        <v>624.59740259740249</v>
      </c>
    </row>
    <row r="1835" spans="1:17" ht="12" customHeight="1" x14ac:dyDescent="0.35">
      <c r="A1835" s="75">
        <v>1834</v>
      </c>
      <c r="B1835" s="64">
        <v>2014</v>
      </c>
      <c r="C1835" s="64">
        <v>10</v>
      </c>
      <c r="D1835" s="80">
        <f t="shared" si="59"/>
        <v>2014</v>
      </c>
      <c r="E1835" t="s">
        <v>38</v>
      </c>
      <c r="F1835" t="s">
        <v>143</v>
      </c>
      <c r="G1835" t="s">
        <v>10</v>
      </c>
      <c r="H1835" s="72" t="s">
        <v>218</v>
      </c>
      <c r="I1835" s="72" t="s">
        <v>60</v>
      </c>
      <c r="J1835" t="str">
        <f t="shared" si="60"/>
        <v>Skagit River</v>
      </c>
      <c r="K1835" t="str">
        <f>IFERROR(VLOOKUP(J1835,LUTs!$A$1:$C$73,2,FALSE),"NA")</f>
        <v>Skagit/Whatcom</v>
      </c>
      <c r="L1835" t="str">
        <f>IFERROR(VLOOKUP(J1835,LUTs!$A$1:$C$73,3,FALSE),"NA")</f>
        <v>2Central Puget Sound</v>
      </c>
      <c r="M1835" s="72" t="s">
        <v>24</v>
      </c>
      <c r="N1835" t="str">
        <f>VLOOKUP(M1835,LUTs!E$2:H$14,3,)</f>
        <v>11Clallam</v>
      </c>
      <c r="O1835" t="str">
        <f>VLOOKUP(M1835,LUTs!E$2:H$14,4,)</f>
        <v>03Strait of Juan de Fuca</v>
      </c>
      <c r="P1835" s="73">
        <v>14.4505494505495</v>
      </c>
      <c r="Q1835" s="74">
        <f>VLOOKUP(B1835,Readme!A$40:C$51,2,)*P1835</f>
        <v>124.99725274725319</v>
      </c>
    </row>
    <row r="1836" spans="1:17" ht="12" customHeight="1" x14ac:dyDescent="0.35">
      <c r="A1836" s="75">
        <v>1835</v>
      </c>
      <c r="B1836" s="64">
        <v>2014</v>
      </c>
      <c r="C1836" s="64">
        <v>10</v>
      </c>
      <c r="D1836" s="80">
        <f t="shared" si="59"/>
        <v>2014</v>
      </c>
      <c r="E1836" t="s">
        <v>38</v>
      </c>
      <c r="F1836" t="s">
        <v>143</v>
      </c>
      <c r="G1836" t="s">
        <v>10</v>
      </c>
      <c r="H1836" s="72" t="s">
        <v>218</v>
      </c>
      <c r="I1836" s="72" t="s">
        <v>60</v>
      </c>
      <c r="J1836" t="str">
        <f t="shared" si="60"/>
        <v>Skagit River</v>
      </c>
      <c r="K1836" t="str">
        <f>IFERROR(VLOOKUP(J1836,LUTs!$A$1:$C$73,2,FALSE),"NA")</f>
        <v>Skagit/Whatcom</v>
      </c>
      <c r="L1836" t="str">
        <f>IFERROR(VLOOKUP(J1836,LUTs!$A$1:$C$73,3,FALSE),"NA")</f>
        <v>2Central Puget Sound</v>
      </c>
      <c r="M1836" s="72" t="s">
        <v>17</v>
      </c>
      <c r="N1836" t="str">
        <f>VLOOKUP(M1836,LUTs!E$2:H$14,3,)</f>
        <v>04Island</v>
      </c>
      <c r="O1836" t="str">
        <f>VLOOKUP(M1836,LUTs!E$2:H$14,4,)</f>
        <v>01North Puget Sound</v>
      </c>
      <c r="P1836" s="73">
        <v>14.4505494505495</v>
      </c>
      <c r="Q1836" s="74">
        <f>VLOOKUP(B1836,Readme!A$40:C$51,2,)*P1836</f>
        <v>124.99725274725319</v>
      </c>
    </row>
    <row r="1837" spans="1:17" ht="12" customHeight="1" x14ac:dyDescent="0.35">
      <c r="A1837" s="75">
        <v>1836</v>
      </c>
      <c r="B1837" s="64">
        <v>2014</v>
      </c>
      <c r="C1837" s="64">
        <v>10</v>
      </c>
      <c r="D1837" s="80">
        <f t="shared" si="59"/>
        <v>2014</v>
      </c>
      <c r="E1837" t="s">
        <v>38</v>
      </c>
      <c r="F1837" t="s">
        <v>143</v>
      </c>
      <c r="G1837" t="s">
        <v>10</v>
      </c>
      <c r="H1837" s="72" t="s">
        <v>218</v>
      </c>
      <c r="I1837" s="72" t="s">
        <v>60</v>
      </c>
      <c r="J1837" t="str">
        <f t="shared" si="60"/>
        <v>Skagit River</v>
      </c>
      <c r="K1837" t="str">
        <f>IFERROR(VLOOKUP(J1837,LUTs!$A$1:$C$73,2,FALSE),"NA")</f>
        <v>Skagit/Whatcom</v>
      </c>
      <c r="L1837" t="str">
        <f>IFERROR(VLOOKUP(J1837,LUTs!$A$1:$C$73,3,FALSE),"NA")</f>
        <v>2Central Puget Sound</v>
      </c>
      <c r="M1837" s="72" t="s">
        <v>18</v>
      </c>
      <c r="N1837" t="str">
        <f>VLOOKUP(M1837,LUTs!E$2:H$14,3,)</f>
        <v>06King</v>
      </c>
      <c r="O1837" t="str">
        <f>VLOOKUP(M1837,LUTs!E$2:H$14,4,)</f>
        <v>02South Puget Sound</v>
      </c>
      <c r="P1837" s="73">
        <v>28.901098901098901</v>
      </c>
      <c r="Q1837" s="74">
        <f>VLOOKUP(B1837,Readme!A$40:C$51,2,)*P1837</f>
        <v>249.99450549450552</v>
      </c>
    </row>
    <row r="1838" spans="1:17" ht="12" customHeight="1" x14ac:dyDescent="0.35">
      <c r="A1838" s="75">
        <v>1837</v>
      </c>
      <c r="B1838" s="64">
        <v>2014</v>
      </c>
      <c r="C1838" s="64">
        <v>10</v>
      </c>
      <c r="D1838" s="80">
        <f t="shared" si="59"/>
        <v>2014</v>
      </c>
      <c r="E1838" t="s">
        <v>38</v>
      </c>
      <c r="F1838" t="s">
        <v>143</v>
      </c>
      <c r="G1838" t="s">
        <v>10</v>
      </c>
      <c r="H1838" s="72" t="s">
        <v>218</v>
      </c>
      <c r="I1838" s="72" t="s">
        <v>60</v>
      </c>
      <c r="J1838" t="str">
        <f t="shared" si="60"/>
        <v>Skagit River</v>
      </c>
      <c r="K1838" t="str">
        <f>IFERROR(VLOOKUP(J1838,LUTs!$A$1:$C$73,2,FALSE),"NA")</f>
        <v>Skagit/Whatcom</v>
      </c>
      <c r="L1838" t="str">
        <f>IFERROR(VLOOKUP(J1838,LUTs!$A$1:$C$73,3,FALSE),"NA")</f>
        <v>2Central Puget Sound</v>
      </c>
      <c r="M1838" s="72" t="s">
        <v>26</v>
      </c>
      <c r="N1838" t="str">
        <f>VLOOKUP(M1838,LUTs!E$2:H$14,3,)</f>
        <v>20Other</v>
      </c>
      <c r="O1838" t="str">
        <f>VLOOKUP(M1838,LUTs!E$2:H$14,4,)</f>
        <v>07Non Puget Sound</v>
      </c>
      <c r="P1838" s="73">
        <v>50.576923076923102</v>
      </c>
      <c r="Q1838" s="74">
        <f>VLOOKUP(B1838,Readme!A$40:C$51,2,)*P1838</f>
        <v>437.49038461538487</v>
      </c>
    </row>
    <row r="1839" spans="1:17" ht="12" customHeight="1" x14ac:dyDescent="0.35">
      <c r="A1839" s="75">
        <v>1838</v>
      </c>
      <c r="B1839" s="64">
        <v>2014</v>
      </c>
      <c r="C1839" s="64">
        <v>10</v>
      </c>
      <c r="D1839" s="80">
        <f t="shared" si="59"/>
        <v>2014</v>
      </c>
      <c r="E1839" t="s">
        <v>38</v>
      </c>
      <c r="F1839" t="s">
        <v>143</v>
      </c>
      <c r="G1839" t="s">
        <v>10</v>
      </c>
      <c r="H1839" s="72" t="s">
        <v>218</v>
      </c>
      <c r="I1839" s="72" t="s">
        <v>60</v>
      </c>
      <c r="J1839" t="str">
        <f t="shared" si="60"/>
        <v>Skagit River</v>
      </c>
      <c r="K1839" t="str">
        <f>IFERROR(VLOOKUP(J1839,LUTs!$A$1:$C$73,2,FALSE),"NA")</f>
        <v>Skagit/Whatcom</v>
      </c>
      <c r="L1839" t="str">
        <f>IFERROR(VLOOKUP(J1839,LUTs!$A$1:$C$73,3,FALSE),"NA")</f>
        <v>2Central Puget Sound</v>
      </c>
      <c r="M1839" s="72" t="s">
        <v>15</v>
      </c>
      <c r="N1839" t="str">
        <f>VLOOKUP(M1839,LUTs!E$2:H$14,3,)</f>
        <v>02Skagit</v>
      </c>
      <c r="O1839" t="str">
        <f>VLOOKUP(M1839,LUTs!E$2:H$14,4,)</f>
        <v>01North Puget Sound</v>
      </c>
      <c r="P1839" s="73">
        <v>758.65384615384596</v>
      </c>
      <c r="Q1839" s="74">
        <f>VLOOKUP(B1839,Readme!A$40:C$51,2,)*P1839</f>
        <v>6562.3557692307677</v>
      </c>
    </row>
    <row r="1840" spans="1:17" ht="12" customHeight="1" x14ac:dyDescent="0.35">
      <c r="A1840" s="75">
        <v>1839</v>
      </c>
      <c r="B1840" s="64">
        <v>2014</v>
      </c>
      <c r="C1840" s="64">
        <v>10</v>
      </c>
      <c r="D1840" s="80">
        <f t="shared" si="59"/>
        <v>2014</v>
      </c>
      <c r="E1840" t="s">
        <v>38</v>
      </c>
      <c r="F1840" t="s">
        <v>143</v>
      </c>
      <c r="G1840" t="s">
        <v>10</v>
      </c>
      <c r="H1840" s="72" t="s">
        <v>218</v>
      </c>
      <c r="I1840" s="72" t="s">
        <v>60</v>
      </c>
      <c r="J1840" t="str">
        <f t="shared" si="60"/>
        <v>Skagit River</v>
      </c>
      <c r="K1840" t="str">
        <f>IFERROR(VLOOKUP(J1840,LUTs!$A$1:$C$73,2,FALSE),"NA")</f>
        <v>Skagit/Whatcom</v>
      </c>
      <c r="L1840" t="str">
        <f>IFERROR(VLOOKUP(J1840,LUTs!$A$1:$C$73,3,FALSE),"NA")</f>
        <v>2Central Puget Sound</v>
      </c>
      <c r="M1840" s="72" t="s">
        <v>16</v>
      </c>
      <c r="N1840" t="str">
        <f>VLOOKUP(M1840,LUTs!E$2:H$14,3,)</f>
        <v>03Snohomish</v>
      </c>
      <c r="O1840" t="str">
        <f>VLOOKUP(M1840,LUTs!E$2:H$14,4,)</f>
        <v>01North Puget Sound</v>
      </c>
      <c r="P1840" s="73">
        <v>144.50549450549499</v>
      </c>
      <c r="Q1840" s="74">
        <f>VLOOKUP(B1840,Readme!A$40:C$51,2,)*P1840</f>
        <v>1249.9725274725317</v>
      </c>
    </row>
    <row r="1841" spans="1:17" ht="12" customHeight="1" x14ac:dyDescent="0.35">
      <c r="A1841" s="75">
        <v>1840</v>
      </c>
      <c r="B1841" s="64">
        <v>2014</v>
      </c>
      <c r="C1841" s="64">
        <v>10</v>
      </c>
      <c r="D1841" s="80">
        <f t="shared" si="59"/>
        <v>2014</v>
      </c>
      <c r="E1841" t="s">
        <v>38</v>
      </c>
      <c r="F1841" t="s">
        <v>143</v>
      </c>
      <c r="G1841" t="s">
        <v>10</v>
      </c>
      <c r="H1841" s="72" t="s">
        <v>218</v>
      </c>
      <c r="I1841" s="72" t="s">
        <v>60</v>
      </c>
      <c r="J1841" t="str">
        <f t="shared" si="60"/>
        <v>Skagit River</v>
      </c>
      <c r="K1841" t="str">
        <f>IFERROR(VLOOKUP(J1841,LUTs!$A$1:$C$73,2,FALSE),"NA")</f>
        <v>Skagit/Whatcom</v>
      </c>
      <c r="L1841" t="str">
        <f>IFERROR(VLOOKUP(J1841,LUTs!$A$1:$C$73,3,FALSE),"NA")</f>
        <v>2Central Puget Sound</v>
      </c>
      <c r="M1841" s="72" t="s">
        <v>13</v>
      </c>
      <c r="N1841" t="str">
        <f>VLOOKUP(M1841,LUTs!E$2:H$14,3,)</f>
        <v>01Whatcom</v>
      </c>
      <c r="O1841" t="str">
        <f>VLOOKUP(M1841,LUTs!E$2:H$14,4,)</f>
        <v>01North Puget Sound</v>
      </c>
      <c r="P1841" s="73">
        <v>303.46153846153902</v>
      </c>
      <c r="Q1841" s="74">
        <f>VLOOKUP(B1841,Readme!A$40:C$51,2,)*P1841</f>
        <v>2624.9423076923126</v>
      </c>
    </row>
    <row r="1842" spans="1:17" ht="12" customHeight="1" x14ac:dyDescent="0.35">
      <c r="A1842" s="75">
        <v>1841</v>
      </c>
      <c r="B1842" s="64">
        <v>2014</v>
      </c>
      <c r="C1842" s="64">
        <v>11</v>
      </c>
      <c r="D1842" s="80">
        <f t="shared" si="59"/>
        <v>2014</v>
      </c>
      <c r="E1842" t="s">
        <v>38</v>
      </c>
      <c r="F1842" t="s">
        <v>143</v>
      </c>
      <c r="G1842" t="s">
        <v>10</v>
      </c>
      <c r="H1842" s="72" t="s">
        <v>218</v>
      </c>
      <c r="I1842" s="72" t="s">
        <v>60</v>
      </c>
      <c r="J1842" t="str">
        <f t="shared" si="60"/>
        <v>Skagit River</v>
      </c>
      <c r="K1842" t="str">
        <f>IFERROR(VLOOKUP(J1842,LUTs!$A$1:$C$73,2,FALSE),"NA")</f>
        <v>Skagit/Whatcom</v>
      </c>
      <c r="L1842" t="str">
        <f>IFERROR(VLOOKUP(J1842,LUTs!$A$1:$C$73,3,FALSE),"NA")</f>
        <v>2Central Puget Sound</v>
      </c>
      <c r="M1842" s="72" t="s">
        <v>17</v>
      </c>
      <c r="N1842" t="str">
        <f>VLOOKUP(M1842,LUTs!E$2:H$14,3,)</f>
        <v>04Island</v>
      </c>
      <c r="O1842" t="str">
        <f>VLOOKUP(M1842,LUTs!E$2:H$14,4,)</f>
        <v>01North Puget Sound</v>
      </c>
      <c r="P1842" s="73">
        <v>7.21518987341772</v>
      </c>
      <c r="Q1842" s="74">
        <f>VLOOKUP(B1842,Readme!A$40:C$51,2,)*P1842</f>
        <v>62.411392405063282</v>
      </c>
    </row>
    <row r="1843" spans="1:17" ht="12" customHeight="1" x14ac:dyDescent="0.35">
      <c r="A1843" s="75">
        <v>1842</v>
      </c>
      <c r="B1843" s="64">
        <v>2014</v>
      </c>
      <c r="C1843" s="64">
        <v>11</v>
      </c>
      <c r="D1843" s="80">
        <f t="shared" si="59"/>
        <v>2014</v>
      </c>
      <c r="E1843" t="s">
        <v>38</v>
      </c>
      <c r="F1843" t="s">
        <v>143</v>
      </c>
      <c r="G1843" t="s">
        <v>10</v>
      </c>
      <c r="H1843" s="72" t="s">
        <v>218</v>
      </c>
      <c r="I1843" s="72" t="s">
        <v>60</v>
      </c>
      <c r="J1843" t="str">
        <f t="shared" si="60"/>
        <v>Skagit River</v>
      </c>
      <c r="K1843" t="str">
        <f>IFERROR(VLOOKUP(J1843,LUTs!$A$1:$C$73,2,FALSE),"NA")</f>
        <v>Skagit/Whatcom</v>
      </c>
      <c r="L1843" t="str">
        <f>IFERROR(VLOOKUP(J1843,LUTs!$A$1:$C$73,3,FALSE),"NA")</f>
        <v>2Central Puget Sound</v>
      </c>
      <c r="M1843" s="72" t="s">
        <v>18</v>
      </c>
      <c r="N1843" t="str">
        <f>VLOOKUP(M1843,LUTs!E$2:H$14,3,)</f>
        <v>06King</v>
      </c>
      <c r="O1843" t="str">
        <f>VLOOKUP(M1843,LUTs!E$2:H$14,4,)</f>
        <v>02South Puget Sound</v>
      </c>
      <c r="P1843" s="73">
        <v>36.075949367088597</v>
      </c>
      <c r="Q1843" s="74">
        <f>VLOOKUP(B1843,Readme!A$40:C$51,2,)*P1843</f>
        <v>312.05696202531635</v>
      </c>
    </row>
    <row r="1844" spans="1:17" ht="12" customHeight="1" x14ac:dyDescent="0.35">
      <c r="A1844" s="75">
        <v>1843</v>
      </c>
      <c r="B1844" s="64">
        <v>2014</v>
      </c>
      <c r="C1844" s="64">
        <v>11</v>
      </c>
      <c r="D1844" s="80">
        <f t="shared" si="59"/>
        <v>2014</v>
      </c>
      <c r="E1844" t="s">
        <v>38</v>
      </c>
      <c r="F1844" t="s">
        <v>143</v>
      </c>
      <c r="G1844" t="s">
        <v>10</v>
      </c>
      <c r="H1844" s="72" t="s">
        <v>218</v>
      </c>
      <c r="I1844" s="72" t="s">
        <v>60</v>
      </c>
      <c r="J1844" t="str">
        <f t="shared" si="60"/>
        <v>Skagit River</v>
      </c>
      <c r="K1844" t="str">
        <f>IFERROR(VLOOKUP(J1844,LUTs!$A$1:$C$73,2,FALSE),"NA")</f>
        <v>Skagit/Whatcom</v>
      </c>
      <c r="L1844" t="str">
        <f>IFERROR(VLOOKUP(J1844,LUTs!$A$1:$C$73,3,FALSE),"NA")</f>
        <v>2Central Puget Sound</v>
      </c>
      <c r="M1844" s="72" t="s">
        <v>23</v>
      </c>
      <c r="N1844" t="str">
        <f>VLOOKUP(M1844,LUTs!E$2:H$14,3,)</f>
        <v>10Kitsap</v>
      </c>
      <c r="O1844" t="str">
        <f>VLOOKUP(M1844,LUTs!E$2:H$14,4,)</f>
        <v>02South Puget Sound</v>
      </c>
      <c r="P1844" s="73">
        <v>14.430379746835399</v>
      </c>
      <c r="Q1844" s="74">
        <f>VLOOKUP(B1844,Readme!A$40:C$51,2,)*P1844</f>
        <v>124.82278481012621</v>
      </c>
    </row>
    <row r="1845" spans="1:17" ht="12" customHeight="1" x14ac:dyDescent="0.35">
      <c r="A1845" s="75">
        <v>1844</v>
      </c>
      <c r="B1845" s="64">
        <v>2014</v>
      </c>
      <c r="C1845" s="64">
        <v>11</v>
      </c>
      <c r="D1845" s="80">
        <f t="shared" si="59"/>
        <v>2014</v>
      </c>
      <c r="E1845" t="s">
        <v>38</v>
      </c>
      <c r="F1845" t="s">
        <v>143</v>
      </c>
      <c r="G1845" t="s">
        <v>10</v>
      </c>
      <c r="H1845" s="72" t="s">
        <v>218</v>
      </c>
      <c r="I1845" s="72" t="s">
        <v>60</v>
      </c>
      <c r="J1845" t="str">
        <f t="shared" si="60"/>
        <v>Skagit River</v>
      </c>
      <c r="K1845" t="str">
        <f>IFERROR(VLOOKUP(J1845,LUTs!$A$1:$C$73,2,FALSE),"NA")</f>
        <v>Skagit/Whatcom</v>
      </c>
      <c r="L1845" t="str">
        <f>IFERROR(VLOOKUP(J1845,LUTs!$A$1:$C$73,3,FALSE),"NA")</f>
        <v>2Central Puget Sound</v>
      </c>
      <c r="M1845" s="72" t="s">
        <v>15</v>
      </c>
      <c r="N1845" t="str">
        <f>VLOOKUP(M1845,LUTs!E$2:H$14,3,)</f>
        <v>02Skagit</v>
      </c>
      <c r="O1845" t="str">
        <f>VLOOKUP(M1845,LUTs!E$2:H$14,4,)</f>
        <v>01North Puget Sound</v>
      </c>
      <c r="P1845" s="73">
        <v>274.177215189874</v>
      </c>
      <c r="Q1845" s="74">
        <f>VLOOKUP(B1845,Readme!A$40:C$51,2,)*P1845</f>
        <v>2371.6329113924103</v>
      </c>
    </row>
    <row r="1846" spans="1:17" ht="12" customHeight="1" x14ac:dyDescent="0.35">
      <c r="A1846" s="75">
        <v>1845</v>
      </c>
      <c r="B1846" s="64">
        <v>2014</v>
      </c>
      <c r="C1846" s="64">
        <v>11</v>
      </c>
      <c r="D1846" s="80">
        <f t="shared" si="59"/>
        <v>2014</v>
      </c>
      <c r="E1846" t="s">
        <v>38</v>
      </c>
      <c r="F1846" t="s">
        <v>143</v>
      </c>
      <c r="G1846" t="s">
        <v>10</v>
      </c>
      <c r="H1846" s="72" t="s">
        <v>218</v>
      </c>
      <c r="I1846" s="72" t="s">
        <v>60</v>
      </c>
      <c r="J1846" t="str">
        <f t="shared" si="60"/>
        <v>Skagit River</v>
      </c>
      <c r="K1846" t="str">
        <f>IFERROR(VLOOKUP(J1846,LUTs!$A$1:$C$73,2,FALSE),"NA")</f>
        <v>Skagit/Whatcom</v>
      </c>
      <c r="L1846" t="str">
        <f>IFERROR(VLOOKUP(J1846,LUTs!$A$1:$C$73,3,FALSE),"NA")</f>
        <v>2Central Puget Sound</v>
      </c>
      <c r="M1846" s="72" t="s">
        <v>16</v>
      </c>
      <c r="N1846" t="str">
        <f>VLOOKUP(M1846,LUTs!E$2:H$14,3,)</f>
        <v>03Snohomish</v>
      </c>
      <c r="O1846" t="str">
        <f>VLOOKUP(M1846,LUTs!E$2:H$14,4,)</f>
        <v>01North Puget Sound</v>
      </c>
      <c r="P1846" s="73">
        <v>43.291139240506297</v>
      </c>
      <c r="Q1846" s="74">
        <f>VLOOKUP(B1846,Readme!A$40:C$51,2,)*P1846</f>
        <v>374.46835443037946</v>
      </c>
    </row>
    <row r="1847" spans="1:17" ht="12" customHeight="1" x14ac:dyDescent="0.35">
      <c r="A1847" s="75">
        <v>1846</v>
      </c>
      <c r="B1847" s="64">
        <v>2014</v>
      </c>
      <c r="C1847" s="64">
        <v>11</v>
      </c>
      <c r="D1847" s="80">
        <f t="shared" si="59"/>
        <v>2014</v>
      </c>
      <c r="E1847" t="s">
        <v>38</v>
      </c>
      <c r="F1847" t="s">
        <v>143</v>
      </c>
      <c r="G1847" t="s">
        <v>10</v>
      </c>
      <c r="H1847" s="72" t="s">
        <v>218</v>
      </c>
      <c r="I1847" s="72" t="s">
        <v>60</v>
      </c>
      <c r="J1847" t="str">
        <f t="shared" si="60"/>
        <v>Skagit River</v>
      </c>
      <c r="K1847" t="str">
        <f>IFERROR(VLOOKUP(J1847,LUTs!$A$1:$C$73,2,FALSE),"NA")</f>
        <v>Skagit/Whatcom</v>
      </c>
      <c r="L1847" t="str">
        <f>IFERROR(VLOOKUP(J1847,LUTs!$A$1:$C$73,3,FALSE),"NA")</f>
        <v>2Central Puget Sound</v>
      </c>
      <c r="M1847" s="72" t="s">
        <v>13</v>
      </c>
      <c r="N1847" t="str">
        <f>VLOOKUP(M1847,LUTs!E$2:H$14,3,)</f>
        <v>01Whatcom</v>
      </c>
      <c r="O1847" t="str">
        <f>VLOOKUP(M1847,LUTs!E$2:H$14,4,)</f>
        <v>01North Puget Sound</v>
      </c>
      <c r="P1847" s="73">
        <v>194.810126582279</v>
      </c>
      <c r="Q1847" s="74">
        <f>VLOOKUP(B1847,Readme!A$40:C$51,2,)*P1847</f>
        <v>1685.1075949367134</v>
      </c>
    </row>
    <row r="1848" spans="1:17" ht="12" customHeight="1" x14ac:dyDescent="0.35">
      <c r="A1848" s="75">
        <v>1847</v>
      </c>
      <c r="B1848" s="64">
        <v>2014</v>
      </c>
      <c r="C1848" s="64">
        <v>12</v>
      </c>
      <c r="D1848" s="80">
        <f t="shared" si="59"/>
        <v>2014</v>
      </c>
      <c r="E1848" t="s">
        <v>38</v>
      </c>
      <c r="F1848" t="s">
        <v>143</v>
      </c>
      <c r="G1848" t="s">
        <v>10</v>
      </c>
      <c r="H1848" s="72" t="s">
        <v>218</v>
      </c>
      <c r="I1848" s="72" t="s">
        <v>60</v>
      </c>
      <c r="J1848" t="str">
        <f t="shared" si="60"/>
        <v>Skagit River</v>
      </c>
      <c r="K1848" t="str">
        <f>IFERROR(VLOOKUP(J1848,LUTs!$A$1:$C$73,2,FALSE),"NA")</f>
        <v>Skagit/Whatcom</v>
      </c>
      <c r="L1848" t="str">
        <f>IFERROR(VLOOKUP(J1848,LUTs!$A$1:$C$73,3,FALSE),"NA")</f>
        <v>2Central Puget Sound</v>
      </c>
      <c r="M1848" s="72" t="s">
        <v>26</v>
      </c>
      <c r="N1848" t="str">
        <f>VLOOKUP(M1848,LUTs!E$2:H$14,3,)</f>
        <v>20Other</v>
      </c>
      <c r="O1848" t="str">
        <f>VLOOKUP(M1848,LUTs!E$2:H$14,4,)</f>
        <v>07Non Puget Sound</v>
      </c>
      <c r="P1848" s="73">
        <v>36.1111111111111</v>
      </c>
      <c r="Q1848" s="74">
        <f>VLOOKUP(B1848,Readme!A$40:C$51,2,)*P1848</f>
        <v>312.36111111111103</v>
      </c>
    </row>
    <row r="1849" spans="1:17" ht="12" customHeight="1" x14ac:dyDescent="0.35">
      <c r="A1849" s="75">
        <v>1848</v>
      </c>
      <c r="B1849" s="64">
        <v>2014</v>
      </c>
      <c r="C1849" s="64">
        <v>12</v>
      </c>
      <c r="D1849" s="80">
        <f t="shared" si="59"/>
        <v>2014</v>
      </c>
      <c r="E1849" t="s">
        <v>38</v>
      </c>
      <c r="F1849" t="s">
        <v>143</v>
      </c>
      <c r="G1849" t="s">
        <v>10</v>
      </c>
      <c r="H1849" s="72" t="s">
        <v>218</v>
      </c>
      <c r="I1849" s="72" t="s">
        <v>60</v>
      </c>
      <c r="J1849" t="str">
        <f t="shared" si="60"/>
        <v>Skagit River</v>
      </c>
      <c r="K1849" t="str">
        <f>IFERROR(VLOOKUP(J1849,LUTs!$A$1:$C$73,2,FALSE),"NA")</f>
        <v>Skagit/Whatcom</v>
      </c>
      <c r="L1849" t="str">
        <f>IFERROR(VLOOKUP(J1849,LUTs!$A$1:$C$73,3,FALSE),"NA")</f>
        <v>2Central Puget Sound</v>
      </c>
      <c r="M1849" s="72" t="s">
        <v>15</v>
      </c>
      <c r="N1849" t="str">
        <f>VLOOKUP(M1849,LUTs!E$2:H$14,3,)</f>
        <v>02Skagit</v>
      </c>
      <c r="O1849" t="str">
        <f>VLOOKUP(M1849,LUTs!E$2:H$14,4,)</f>
        <v>01North Puget Sound</v>
      </c>
      <c r="P1849" s="73">
        <v>28.8888888888889</v>
      </c>
      <c r="Q1849" s="74">
        <f>VLOOKUP(B1849,Readme!A$40:C$51,2,)*P1849</f>
        <v>249.888888888889</v>
      </c>
    </row>
    <row r="1850" spans="1:17" ht="12" customHeight="1" x14ac:dyDescent="0.35">
      <c r="A1850" s="75">
        <v>1849</v>
      </c>
      <c r="B1850" s="64">
        <v>2014</v>
      </c>
      <c r="C1850" s="64">
        <v>7</v>
      </c>
      <c r="D1850" s="80">
        <f t="shared" si="59"/>
        <v>2014</v>
      </c>
      <c r="E1850" t="s">
        <v>38</v>
      </c>
      <c r="F1850" t="s">
        <v>143</v>
      </c>
      <c r="G1850" t="s">
        <v>10</v>
      </c>
      <c r="H1850" s="72" t="s">
        <v>219</v>
      </c>
      <c r="I1850" s="72" t="s">
        <v>61</v>
      </c>
      <c r="J1850" t="str">
        <f t="shared" si="60"/>
        <v>Skokomish River</v>
      </c>
      <c r="K1850" t="str">
        <f>IFERROR(VLOOKUP(J1850,LUTs!$A$1:$C$73,2,FALSE),"NA")</f>
        <v>Mason</v>
      </c>
      <c r="L1850" t="str">
        <f>IFERROR(VLOOKUP(J1850,LUTs!$A$1:$C$73,3,FALSE),"NA")</f>
        <v>4 Hood Canal</v>
      </c>
      <c r="M1850" s="72" t="s">
        <v>18</v>
      </c>
      <c r="N1850" t="str">
        <f>VLOOKUP(M1850,LUTs!E$2:H$14,3,)</f>
        <v>06King</v>
      </c>
      <c r="O1850" t="str">
        <f>VLOOKUP(M1850,LUTs!E$2:H$14,4,)</f>
        <v>02South Puget Sound</v>
      </c>
      <c r="P1850" s="73">
        <v>0</v>
      </c>
      <c r="Q1850" s="74">
        <f>VLOOKUP(B1850,Readme!A$40:C$51,2,)*P1850</f>
        <v>0</v>
      </c>
    </row>
    <row r="1851" spans="1:17" ht="12" customHeight="1" x14ac:dyDescent="0.35">
      <c r="A1851" s="75">
        <v>1850</v>
      </c>
      <c r="B1851" s="64">
        <v>2014</v>
      </c>
      <c r="C1851" s="64">
        <v>7</v>
      </c>
      <c r="D1851" s="80">
        <f t="shared" si="59"/>
        <v>2014</v>
      </c>
      <c r="E1851" t="s">
        <v>38</v>
      </c>
      <c r="F1851" t="s">
        <v>143</v>
      </c>
      <c r="G1851" t="s">
        <v>10</v>
      </c>
      <c r="H1851" s="72" t="s">
        <v>219</v>
      </c>
      <c r="I1851" s="72" t="s">
        <v>61</v>
      </c>
      <c r="J1851" t="str">
        <f t="shared" si="60"/>
        <v>Skokomish River</v>
      </c>
      <c r="K1851" t="str">
        <f>IFERROR(VLOOKUP(J1851,LUTs!$A$1:$C$73,2,FALSE),"NA")</f>
        <v>Mason</v>
      </c>
      <c r="L1851" t="str">
        <f>IFERROR(VLOOKUP(J1851,LUTs!$A$1:$C$73,3,FALSE),"NA")</f>
        <v>4 Hood Canal</v>
      </c>
      <c r="M1851" s="72" t="s">
        <v>23</v>
      </c>
      <c r="N1851" t="str">
        <f>VLOOKUP(M1851,LUTs!E$2:H$14,3,)</f>
        <v>10Kitsap</v>
      </c>
      <c r="O1851" t="str">
        <f>VLOOKUP(M1851,LUTs!E$2:H$14,4,)</f>
        <v>02South Puget Sound</v>
      </c>
      <c r="P1851" s="73">
        <v>0</v>
      </c>
      <c r="Q1851" s="74">
        <f>VLOOKUP(B1851,Readme!A$40:C$51,2,)*P1851</f>
        <v>0</v>
      </c>
    </row>
    <row r="1852" spans="1:17" ht="12" customHeight="1" x14ac:dyDescent="0.35">
      <c r="A1852" s="75">
        <v>1851</v>
      </c>
      <c r="B1852" s="64">
        <v>2014</v>
      </c>
      <c r="C1852" s="64">
        <v>7</v>
      </c>
      <c r="D1852" s="80">
        <f t="shared" si="59"/>
        <v>2014</v>
      </c>
      <c r="E1852" t="s">
        <v>38</v>
      </c>
      <c r="F1852" t="s">
        <v>143</v>
      </c>
      <c r="G1852" t="s">
        <v>10</v>
      </c>
      <c r="H1852" s="72" t="s">
        <v>219</v>
      </c>
      <c r="I1852" s="72" t="s">
        <v>61</v>
      </c>
      <c r="J1852" t="str">
        <f t="shared" si="60"/>
        <v>Skokomish River</v>
      </c>
      <c r="K1852" t="str">
        <f>IFERROR(VLOOKUP(J1852,LUTs!$A$1:$C$73,2,FALSE),"NA")</f>
        <v>Mason</v>
      </c>
      <c r="L1852" t="str">
        <f>IFERROR(VLOOKUP(J1852,LUTs!$A$1:$C$73,3,FALSE),"NA")</f>
        <v>4 Hood Canal</v>
      </c>
      <c r="M1852" s="72" t="s">
        <v>26</v>
      </c>
      <c r="N1852" t="str">
        <f>VLOOKUP(M1852,LUTs!E$2:H$14,3,)</f>
        <v>20Other</v>
      </c>
      <c r="O1852" t="str">
        <f>VLOOKUP(M1852,LUTs!E$2:H$14,4,)</f>
        <v>07Non Puget Sound</v>
      </c>
      <c r="P1852" s="73">
        <v>0</v>
      </c>
      <c r="Q1852" s="74">
        <f>VLOOKUP(B1852,Readme!A$40:C$51,2,)*P1852</f>
        <v>0</v>
      </c>
    </row>
    <row r="1853" spans="1:17" ht="12" customHeight="1" x14ac:dyDescent="0.35">
      <c r="A1853" s="75">
        <v>1852</v>
      </c>
      <c r="B1853" s="64">
        <v>2014</v>
      </c>
      <c r="C1853" s="64">
        <v>7</v>
      </c>
      <c r="D1853" s="80">
        <f t="shared" si="59"/>
        <v>2014</v>
      </c>
      <c r="E1853" t="s">
        <v>38</v>
      </c>
      <c r="F1853" t="s">
        <v>143</v>
      </c>
      <c r="G1853" t="s">
        <v>10</v>
      </c>
      <c r="H1853" s="72" t="s">
        <v>219</v>
      </c>
      <c r="I1853" s="72" t="s">
        <v>61</v>
      </c>
      <c r="J1853" t="str">
        <f t="shared" si="60"/>
        <v>Skokomish River</v>
      </c>
      <c r="K1853" t="str">
        <f>IFERROR(VLOOKUP(J1853,LUTs!$A$1:$C$73,2,FALSE),"NA")</f>
        <v>Mason</v>
      </c>
      <c r="L1853" t="str">
        <f>IFERROR(VLOOKUP(J1853,LUTs!$A$1:$C$73,3,FALSE),"NA")</f>
        <v>4 Hood Canal</v>
      </c>
      <c r="M1853" s="72" t="s">
        <v>20</v>
      </c>
      <c r="N1853" t="str">
        <f>VLOOKUP(M1853,LUTs!E$2:H$14,3,)</f>
        <v>07Pierce</v>
      </c>
      <c r="O1853" t="str">
        <f>VLOOKUP(M1853,LUTs!E$2:H$14,4,)</f>
        <v>02South Puget Sound</v>
      </c>
      <c r="P1853" s="73">
        <v>0</v>
      </c>
      <c r="Q1853" s="74">
        <f>VLOOKUP(B1853,Readme!A$40:C$51,2,)*P1853</f>
        <v>0</v>
      </c>
    </row>
    <row r="1854" spans="1:17" ht="12" customHeight="1" x14ac:dyDescent="0.35">
      <c r="A1854" s="75">
        <v>1853</v>
      </c>
      <c r="B1854" s="64">
        <v>2014</v>
      </c>
      <c r="C1854" s="64">
        <v>7</v>
      </c>
      <c r="D1854" s="80">
        <f t="shared" si="59"/>
        <v>2014</v>
      </c>
      <c r="E1854" t="s">
        <v>38</v>
      </c>
      <c r="F1854" t="s">
        <v>143</v>
      </c>
      <c r="G1854" t="s">
        <v>10</v>
      </c>
      <c r="H1854" s="72" t="s">
        <v>219</v>
      </c>
      <c r="I1854" s="72" t="s">
        <v>61</v>
      </c>
      <c r="J1854" t="str">
        <f t="shared" si="60"/>
        <v>Skokomish River</v>
      </c>
      <c r="K1854" t="str">
        <f>IFERROR(VLOOKUP(J1854,LUTs!$A$1:$C$73,2,FALSE),"NA")</f>
        <v>Mason</v>
      </c>
      <c r="L1854" t="str">
        <f>IFERROR(VLOOKUP(J1854,LUTs!$A$1:$C$73,3,FALSE),"NA")</f>
        <v>4 Hood Canal</v>
      </c>
      <c r="M1854" s="72" t="s">
        <v>21</v>
      </c>
      <c r="N1854" t="str">
        <f>VLOOKUP(M1854,LUTs!E$2:H$14,3,)</f>
        <v>08Thurston</v>
      </c>
      <c r="O1854" t="str">
        <f>VLOOKUP(M1854,LUTs!E$2:H$14,4,)</f>
        <v>02South Puget Sound</v>
      </c>
      <c r="P1854" s="73">
        <v>0</v>
      </c>
      <c r="Q1854" s="74">
        <f>VLOOKUP(B1854,Readme!A$40:C$51,2,)*P1854</f>
        <v>0</v>
      </c>
    </row>
    <row r="1855" spans="1:17" ht="12" customHeight="1" x14ac:dyDescent="0.35">
      <c r="A1855" s="75">
        <v>1854</v>
      </c>
      <c r="B1855" s="64">
        <v>2014</v>
      </c>
      <c r="C1855" s="64">
        <v>8</v>
      </c>
      <c r="D1855" s="80">
        <f t="shared" si="59"/>
        <v>2014</v>
      </c>
      <c r="E1855" t="s">
        <v>38</v>
      </c>
      <c r="F1855" t="s">
        <v>143</v>
      </c>
      <c r="G1855" t="s">
        <v>10</v>
      </c>
      <c r="H1855" s="72" t="s">
        <v>219</v>
      </c>
      <c r="I1855" s="72" t="s">
        <v>61</v>
      </c>
      <c r="J1855" t="str">
        <f t="shared" si="60"/>
        <v>Skokomish River</v>
      </c>
      <c r="K1855" t="str">
        <f>IFERROR(VLOOKUP(J1855,LUTs!$A$1:$C$73,2,FALSE),"NA")</f>
        <v>Mason</v>
      </c>
      <c r="L1855" t="str">
        <f>IFERROR(VLOOKUP(J1855,LUTs!$A$1:$C$73,3,FALSE),"NA")</f>
        <v>4 Hood Canal</v>
      </c>
      <c r="M1855" s="72" t="s">
        <v>18</v>
      </c>
      <c r="N1855" t="str">
        <f>VLOOKUP(M1855,LUTs!E$2:H$14,3,)</f>
        <v>06King</v>
      </c>
      <c r="O1855" t="str">
        <f>VLOOKUP(M1855,LUTs!E$2:H$14,4,)</f>
        <v>02South Puget Sound</v>
      </c>
      <c r="P1855" s="73">
        <v>409.63732394366201</v>
      </c>
      <c r="Q1855" s="74">
        <f>VLOOKUP(B1855,Readme!A$40:C$51,2,)*P1855</f>
        <v>3543.3628521126766</v>
      </c>
    </row>
    <row r="1856" spans="1:17" ht="12" customHeight="1" x14ac:dyDescent="0.35">
      <c r="A1856" s="75">
        <v>1855</v>
      </c>
      <c r="B1856" s="64">
        <v>2014</v>
      </c>
      <c r="C1856" s="64">
        <v>8</v>
      </c>
      <c r="D1856" s="80">
        <f t="shared" si="59"/>
        <v>2014</v>
      </c>
      <c r="E1856" t="s">
        <v>38</v>
      </c>
      <c r="F1856" t="s">
        <v>143</v>
      </c>
      <c r="G1856" t="s">
        <v>10</v>
      </c>
      <c r="H1856" s="72" t="s">
        <v>219</v>
      </c>
      <c r="I1856" s="72" t="s">
        <v>61</v>
      </c>
      <c r="J1856" t="str">
        <f t="shared" si="60"/>
        <v>Skokomish River</v>
      </c>
      <c r="K1856" t="str">
        <f>IFERROR(VLOOKUP(J1856,LUTs!$A$1:$C$73,2,FALSE),"NA")</f>
        <v>Mason</v>
      </c>
      <c r="L1856" t="str">
        <f>IFERROR(VLOOKUP(J1856,LUTs!$A$1:$C$73,3,FALSE),"NA")</f>
        <v>4 Hood Canal</v>
      </c>
      <c r="M1856" s="72" t="s">
        <v>23</v>
      </c>
      <c r="N1856" t="str">
        <f>VLOOKUP(M1856,LUTs!E$2:H$14,3,)</f>
        <v>10Kitsap</v>
      </c>
      <c r="O1856" t="str">
        <f>VLOOKUP(M1856,LUTs!E$2:H$14,4,)</f>
        <v>02South Puget Sound</v>
      </c>
      <c r="P1856" s="73">
        <v>237.158450704225</v>
      </c>
      <c r="Q1856" s="74">
        <f>VLOOKUP(B1856,Readme!A$40:C$51,2,)*P1856</f>
        <v>2051.4205985915464</v>
      </c>
    </row>
    <row r="1857" spans="1:17" ht="12" customHeight="1" x14ac:dyDescent="0.35">
      <c r="A1857" s="75">
        <v>1856</v>
      </c>
      <c r="B1857" s="64">
        <v>2014</v>
      </c>
      <c r="C1857" s="64">
        <v>8</v>
      </c>
      <c r="D1857" s="80">
        <f t="shared" si="59"/>
        <v>2014</v>
      </c>
      <c r="E1857" t="s">
        <v>38</v>
      </c>
      <c r="F1857" t="s">
        <v>143</v>
      </c>
      <c r="G1857" t="s">
        <v>10</v>
      </c>
      <c r="H1857" s="72" t="s">
        <v>219</v>
      </c>
      <c r="I1857" s="72" t="s">
        <v>61</v>
      </c>
      <c r="J1857" t="str">
        <f t="shared" si="60"/>
        <v>Skokomish River</v>
      </c>
      <c r="K1857" t="str">
        <f>IFERROR(VLOOKUP(J1857,LUTs!$A$1:$C$73,2,FALSE),"NA")</f>
        <v>Mason</v>
      </c>
      <c r="L1857" t="str">
        <f>IFERROR(VLOOKUP(J1857,LUTs!$A$1:$C$73,3,FALSE),"NA")</f>
        <v>4 Hood Canal</v>
      </c>
      <c r="M1857" s="72" t="s">
        <v>22</v>
      </c>
      <c r="N1857" t="str">
        <f>VLOOKUP(M1857,LUTs!E$2:H$14,3,)</f>
        <v>09Mason</v>
      </c>
      <c r="O1857" t="str">
        <f>VLOOKUP(M1857,LUTs!E$2:H$14,4,)</f>
        <v>02South Puget Sound</v>
      </c>
      <c r="P1857" s="73">
        <v>150.91901408450701</v>
      </c>
      <c r="Q1857" s="74">
        <f>VLOOKUP(B1857,Readme!A$40:C$51,2,)*P1857</f>
        <v>1305.4494718309857</v>
      </c>
    </row>
    <row r="1858" spans="1:17" ht="12" customHeight="1" x14ac:dyDescent="0.35">
      <c r="A1858" s="75">
        <v>1857</v>
      </c>
      <c r="B1858" s="64">
        <v>2014</v>
      </c>
      <c r="C1858" s="64">
        <v>8</v>
      </c>
      <c r="D1858" s="80">
        <f t="shared" ref="D1858:D1921" si="61">IF(C1858&gt;3,B1858,B1858-1)</f>
        <v>2014</v>
      </c>
      <c r="E1858" t="s">
        <v>38</v>
      </c>
      <c r="F1858" t="s">
        <v>143</v>
      </c>
      <c r="G1858" t="s">
        <v>10</v>
      </c>
      <c r="H1858" s="72" t="s">
        <v>219</v>
      </c>
      <c r="I1858" s="72" t="s">
        <v>61</v>
      </c>
      <c r="J1858" t="str">
        <f t="shared" si="60"/>
        <v>Skokomish River</v>
      </c>
      <c r="K1858" t="str">
        <f>IFERROR(VLOOKUP(J1858,LUTs!$A$1:$C$73,2,FALSE),"NA")</f>
        <v>Mason</v>
      </c>
      <c r="L1858" t="str">
        <f>IFERROR(VLOOKUP(J1858,LUTs!$A$1:$C$73,3,FALSE),"NA")</f>
        <v>4 Hood Canal</v>
      </c>
      <c r="M1858" s="72" t="s">
        <v>26</v>
      </c>
      <c r="N1858" t="str">
        <f>VLOOKUP(M1858,LUTs!E$2:H$14,3,)</f>
        <v>20Other</v>
      </c>
      <c r="O1858" t="str">
        <f>VLOOKUP(M1858,LUTs!E$2:H$14,4,)</f>
        <v>07Non Puget Sound</v>
      </c>
      <c r="P1858" s="73">
        <v>143.73239436619701</v>
      </c>
      <c r="Q1858" s="74">
        <f>VLOOKUP(B1858,Readme!A$40:C$51,2,)*P1858</f>
        <v>1243.2852112676042</v>
      </c>
    </row>
    <row r="1859" spans="1:17" ht="12" customHeight="1" x14ac:dyDescent="0.35">
      <c r="A1859" s="75">
        <v>1858</v>
      </c>
      <c r="B1859" s="64">
        <v>2014</v>
      </c>
      <c r="C1859" s="64">
        <v>8</v>
      </c>
      <c r="D1859" s="80">
        <f t="shared" si="61"/>
        <v>2014</v>
      </c>
      <c r="E1859" t="s">
        <v>38</v>
      </c>
      <c r="F1859" t="s">
        <v>143</v>
      </c>
      <c r="G1859" t="s">
        <v>10</v>
      </c>
      <c r="H1859" s="72" t="s">
        <v>219</v>
      </c>
      <c r="I1859" s="72" t="s">
        <v>61</v>
      </c>
      <c r="J1859" t="str">
        <f t="shared" ref="J1859:J1922" si="62">I1859</f>
        <v>Skokomish River</v>
      </c>
      <c r="K1859" t="str">
        <f>IFERROR(VLOOKUP(J1859,LUTs!$A$1:$C$73,2,FALSE),"NA")</f>
        <v>Mason</v>
      </c>
      <c r="L1859" t="str">
        <f>IFERROR(VLOOKUP(J1859,LUTs!$A$1:$C$73,3,FALSE),"NA")</f>
        <v>4 Hood Canal</v>
      </c>
      <c r="M1859" s="72" t="s">
        <v>20</v>
      </c>
      <c r="N1859" t="str">
        <f>VLOOKUP(M1859,LUTs!E$2:H$14,3,)</f>
        <v>07Pierce</v>
      </c>
      <c r="O1859" t="str">
        <f>VLOOKUP(M1859,LUTs!E$2:H$14,4,)</f>
        <v>02South Puget Sound</v>
      </c>
      <c r="P1859" s="73">
        <v>819.27464788732402</v>
      </c>
      <c r="Q1859" s="74">
        <f>VLOOKUP(B1859,Readme!A$40:C$51,2,)*P1859</f>
        <v>7086.7257042253532</v>
      </c>
    </row>
    <row r="1860" spans="1:17" ht="12" customHeight="1" x14ac:dyDescent="0.35">
      <c r="A1860" s="75">
        <v>1859</v>
      </c>
      <c r="B1860" s="64">
        <v>2014</v>
      </c>
      <c r="C1860" s="64">
        <v>8</v>
      </c>
      <c r="D1860" s="80">
        <f t="shared" si="61"/>
        <v>2014</v>
      </c>
      <c r="E1860" t="s">
        <v>38</v>
      </c>
      <c r="F1860" t="s">
        <v>143</v>
      </c>
      <c r="G1860" t="s">
        <v>10</v>
      </c>
      <c r="H1860" s="72" t="s">
        <v>219</v>
      </c>
      <c r="I1860" s="72" t="s">
        <v>61</v>
      </c>
      <c r="J1860" t="str">
        <f t="shared" si="62"/>
        <v>Skokomish River</v>
      </c>
      <c r="K1860" t="str">
        <f>IFERROR(VLOOKUP(J1860,LUTs!$A$1:$C$73,2,FALSE),"NA")</f>
        <v>Mason</v>
      </c>
      <c r="L1860" t="str">
        <f>IFERROR(VLOOKUP(J1860,LUTs!$A$1:$C$73,3,FALSE),"NA")</f>
        <v>4 Hood Canal</v>
      </c>
      <c r="M1860" s="72" t="s">
        <v>16</v>
      </c>
      <c r="N1860" t="str">
        <f>VLOOKUP(M1860,LUTs!E$2:H$14,3,)</f>
        <v>03Snohomish</v>
      </c>
      <c r="O1860" t="str">
        <f>VLOOKUP(M1860,LUTs!E$2:H$14,4,)</f>
        <v>01North Puget Sound</v>
      </c>
      <c r="P1860" s="73">
        <v>28.746478873239401</v>
      </c>
      <c r="Q1860" s="74">
        <f>VLOOKUP(B1860,Readme!A$40:C$51,2,)*P1860</f>
        <v>248.65704225352081</v>
      </c>
    </row>
    <row r="1861" spans="1:17" ht="12" customHeight="1" x14ac:dyDescent="0.35">
      <c r="A1861" s="75">
        <v>1860</v>
      </c>
      <c r="B1861" s="64">
        <v>2014</v>
      </c>
      <c r="C1861" s="64">
        <v>8</v>
      </c>
      <c r="D1861" s="80">
        <f t="shared" si="61"/>
        <v>2014</v>
      </c>
      <c r="E1861" t="s">
        <v>38</v>
      </c>
      <c r="F1861" t="s">
        <v>143</v>
      </c>
      <c r="G1861" t="s">
        <v>10</v>
      </c>
      <c r="H1861" s="72" t="s">
        <v>219</v>
      </c>
      <c r="I1861" s="72" t="s">
        <v>61</v>
      </c>
      <c r="J1861" t="str">
        <f t="shared" si="62"/>
        <v>Skokomish River</v>
      </c>
      <c r="K1861" t="str">
        <f>IFERROR(VLOOKUP(J1861,LUTs!$A$1:$C$73,2,FALSE),"NA")</f>
        <v>Mason</v>
      </c>
      <c r="L1861" t="str">
        <f>IFERROR(VLOOKUP(J1861,LUTs!$A$1:$C$73,3,FALSE),"NA")</f>
        <v>4 Hood Canal</v>
      </c>
      <c r="M1861" s="72" t="s">
        <v>21</v>
      </c>
      <c r="N1861" t="str">
        <f>VLOOKUP(M1861,LUTs!E$2:H$14,3,)</f>
        <v>08Thurston</v>
      </c>
      <c r="O1861" t="str">
        <f>VLOOKUP(M1861,LUTs!E$2:H$14,4,)</f>
        <v>02South Puget Sound</v>
      </c>
      <c r="P1861" s="73">
        <v>251.531690140845</v>
      </c>
      <c r="Q1861" s="74">
        <f>VLOOKUP(B1861,Readme!A$40:C$51,2,)*P1861</f>
        <v>2175.7491197183094</v>
      </c>
    </row>
    <row r="1862" spans="1:17" ht="12" customHeight="1" x14ac:dyDescent="0.35">
      <c r="A1862" s="75">
        <v>1861</v>
      </c>
      <c r="B1862" s="64">
        <v>2014</v>
      </c>
      <c r="C1862" s="64">
        <v>9</v>
      </c>
      <c r="D1862" s="80">
        <f t="shared" si="61"/>
        <v>2014</v>
      </c>
      <c r="E1862" t="s">
        <v>38</v>
      </c>
      <c r="F1862" t="s">
        <v>143</v>
      </c>
      <c r="G1862" t="s">
        <v>10</v>
      </c>
      <c r="H1862" s="72" t="s">
        <v>219</v>
      </c>
      <c r="I1862" s="72" t="s">
        <v>61</v>
      </c>
      <c r="J1862" t="str">
        <f t="shared" si="62"/>
        <v>Skokomish River</v>
      </c>
      <c r="K1862" t="str">
        <f>IFERROR(VLOOKUP(J1862,LUTs!$A$1:$C$73,2,FALSE),"NA")</f>
        <v>Mason</v>
      </c>
      <c r="L1862" t="str">
        <f>IFERROR(VLOOKUP(J1862,LUTs!$A$1:$C$73,3,FALSE),"NA")</f>
        <v>4 Hood Canal</v>
      </c>
      <c r="M1862" s="72" t="s">
        <v>25</v>
      </c>
      <c r="N1862" t="str">
        <f>VLOOKUP(M1862,LUTs!E$2:H$14,3,)</f>
        <v>12Jefferson</v>
      </c>
      <c r="O1862" t="str">
        <f>VLOOKUP(M1862,LUTs!E$2:H$14,4,)</f>
        <v>03Strait of Juan de Fuca</v>
      </c>
      <c r="P1862" s="73">
        <v>6.8275862068965498</v>
      </c>
      <c r="Q1862" s="74">
        <f>VLOOKUP(B1862,Readme!A$40:C$51,2,)*P1862</f>
        <v>59.058620689655157</v>
      </c>
    </row>
    <row r="1863" spans="1:17" ht="12" customHeight="1" x14ac:dyDescent="0.35">
      <c r="A1863" s="75">
        <v>1862</v>
      </c>
      <c r="B1863" s="64">
        <v>2014</v>
      </c>
      <c r="C1863" s="64">
        <v>9</v>
      </c>
      <c r="D1863" s="80">
        <f t="shared" si="61"/>
        <v>2014</v>
      </c>
      <c r="E1863" t="s">
        <v>38</v>
      </c>
      <c r="F1863" t="s">
        <v>143</v>
      </c>
      <c r="G1863" t="s">
        <v>10</v>
      </c>
      <c r="H1863" s="72" t="s">
        <v>219</v>
      </c>
      <c r="I1863" s="72" t="s">
        <v>61</v>
      </c>
      <c r="J1863" t="str">
        <f t="shared" si="62"/>
        <v>Skokomish River</v>
      </c>
      <c r="K1863" t="str">
        <f>IFERROR(VLOOKUP(J1863,LUTs!$A$1:$C$73,2,FALSE),"NA")</f>
        <v>Mason</v>
      </c>
      <c r="L1863" t="str">
        <f>IFERROR(VLOOKUP(J1863,LUTs!$A$1:$C$73,3,FALSE),"NA")</f>
        <v>4 Hood Canal</v>
      </c>
      <c r="M1863" s="72" t="s">
        <v>18</v>
      </c>
      <c r="N1863" t="str">
        <f>VLOOKUP(M1863,LUTs!E$2:H$14,3,)</f>
        <v>06King</v>
      </c>
      <c r="O1863" t="str">
        <f>VLOOKUP(M1863,LUTs!E$2:H$14,4,)</f>
        <v>02South Puget Sound</v>
      </c>
      <c r="P1863" s="73">
        <v>40.965517241379303</v>
      </c>
      <c r="Q1863" s="74">
        <f>VLOOKUP(B1863,Readme!A$40:C$51,2,)*P1863</f>
        <v>354.351724137931</v>
      </c>
    </row>
    <row r="1864" spans="1:17" ht="12" customHeight="1" x14ac:dyDescent="0.35">
      <c r="A1864" s="75">
        <v>1863</v>
      </c>
      <c r="B1864" s="64">
        <v>2014</v>
      </c>
      <c r="C1864" s="64">
        <v>9</v>
      </c>
      <c r="D1864" s="80">
        <f t="shared" si="61"/>
        <v>2014</v>
      </c>
      <c r="E1864" t="s">
        <v>38</v>
      </c>
      <c r="F1864" t="s">
        <v>143</v>
      </c>
      <c r="G1864" t="s">
        <v>10</v>
      </c>
      <c r="H1864" s="72" t="s">
        <v>219</v>
      </c>
      <c r="I1864" s="72" t="s">
        <v>61</v>
      </c>
      <c r="J1864" t="str">
        <f t="shared" si="62"/>
        <v>Skokomish River</v>
      </c>
      <c r="K1864" t="str">
        <f>IFERROR(VLOOKUP(J1864,LUTs!$A$1:$C$73,2,FALSE),"NA")</f>
        <v>Mason</v>
      </c>
      <c r="L1864" t="str">
        <f>IFERROR(VLOOKUP(J1864,LUTs!$A$1:$C$73,3,FALSE),"NA")</f>
        <v>4 Hood Canal</v>
      </c>
      <c r="M1864" s="72" t="s">
        <v>23</v>
      </c>
      <c r="N1864" t="str">
        <f>VLOOKUP(M1864,LUTs!E$2:H$14,3,)</f>
        <v>10Kitsap</v>
      </c>
      <c r="O1864" t="str">
        <f>VLOOKUP(M1864,LUTs!E$2:H$14,4,)</f>
        <v>02South Puget Sound</v>
      </c>
      <c r="P1864" s="73">
        <v>20.482758620689701</v>
      </c>
      <c r="Q1864" s="74">
        <f>VLOOKUP(B1864,Readme!A$40:C$51,2,)*P1864</f>
        <v>177.17586206896593</v>
      </c>
    </row>
    <row r="1865" spans="1:17" ht="12" customHeight="1" x14ac:dyDescent="0.35">
      <c r="A1865" s="75">
        <v>1864</v>
      </c>
      <c r="B1865" s="64">
        <v>2014</v>
      </c>
      <c r="C1865" s="64">
        <v>9</v>
      </c>
      <c r="D1865" s="80">
        <f t="shared" si="61"/>
        <v>2014</v>
      </c>
      <c r="E1865" t="s">
        <v>38</v>
      </c>
      <c r="F1865" t="s">
        <v>143</v>
      </c>
      <c r="G1865" t="s">
        <v>10</v>
      </c>
      <c r="H1865" s="72" t="s">
        <v>219</v>
      </c>
      <c r="I1865" s="72" t="s">
        <v>61</v>
      </c>
      <c r="J1865" t="str">
        <f t="shared" si="62"/>
        <v>Skokomish River</v>
      </c>
      <c r="K1865" t="str">
        <f>IFERROR(VLOOKUP(J1865,LUTs!$A$1:$C$73,2,FALSE),"NA")</f>
        <v>Mason</v>
      </c>
      <c r="L1865" t="str">
        <f>IFERROR(VLOOKUP(J1865,LUTs!$A$1:$C$73,3,FALSE),"NA")</f>
        <v>4 Hood Canal</v>
      </c>
      <c r="M1865" s="72" t="s">
        <v>22</v>
      </c>
      <c r="N1865" t="str">
        <f>VLOOKUP(M1865,LUTs!E$2:H$14,3,)</f>
        <v>09Mason</v>
      </c>
      <c r="O1865" t="str">
        <f>VLOOKUP(M1865,LUTs!E$2:H$14,4,)</f>
        <v>02South Puget Sound</v>
      </c>
      <c r="P1865" s="73">
        <v>40.965517241379303</v>
      </c>
      <c r="Q1865" s="74">
        <f>VLOOKUP(B1865,Readme!A$40:C$51,2,)*P1865</f>
        <v>354.351724137931</v>
      </c>
    </row>
    <row r="1866" spans="1:17" ht="12" customHeight="1" x14ac:dyDescent="0.35">
      <c r="A1866" s="75">
        <v>1865</v>
      </c>
      <c r="B1866" s="64">
        <v>2014</v>
      </c>
      <c r="C1866" s="64">
        <v>9</v>
      </c>
      <c r="D1866" s="80">
        <f t="shared" si="61"/>
        <v>2014</v>
      </c>
      <c r="E1866" t="s">
        <v>38</v>
      </c>
      <c r="F1866" t="s">
        <v>143</v>
      </c>
      <c r="G1866" t="s">
        <v>10</v>
      </c>
      <c r="H1866" s="72" t="s">
        <v>219</v>
      </c>
      <c r="I1866" s="72" t="s">
        <v>61</v>
      </c>
      <c r="J1866" t="str">
        <f t="shared" si="62"/>
        <v>Skokomish River</v>
      </c>
      <c r="K1866" t="str">
        <f>IFERROR(VLOOKUP(J1866,LUTs!$A$1:$C$73,2,FALSE),"NA")</f>
        <v>Mason</v>
      </c>
      <c r="L1866" t="str">
        <f>IFERROR(VLOOKUP(J1866,LUTs!$A$1:$C$73,3,FALSE),"NA")</f>
        <v>4 Hood Canal</v>
      </c>
      <c r="M1866" s="72" t="s">
        <v>26</v>
      </c>
      <c r="N1866" t="str">
        <f>VLOOKUP(M1866,LUTs!E$2:H$14,3,)</f>
        <v>20Other</v>
      </c>
      <c r="O1866" t="str">
        <f>VLOOKUP(M1866,LUTs!E$2:H$14,4,)</f>
        <v>07Non Puget Sound</v>
      </c>
      <c r="P1866" s="73">
        <v>6.8275862068965498</v>
      </c>
      <c r="Q1866" s="74">
        <f>VLOOKUP(B1866,Readme!A$40:C$51,2,)*P1866</f>
        <v>59.058620689655157</v>
      </c>
    </row>
    <row r="1867" spans="1:17" ht="12" customHeight="1" x14ac:dyDescent="0.35">
      <c r="A1867" s="75">
        <v>1866</v>
      </c>
      <c r="B1867" s="64">
        <v>2014</v>
      </c>
      <c r="C1867" s="64">
        <v>9</v>
      </c>
      <c r="D1867" s="80">
        <f t="shared" si="61"/>
        <v>2014</v>
      </c>
      <c r="E1867" t="s">
        <v>38</v>
      </c>
      <c r="F1867" t="s">
        <v>143</v>
      </c>
      <c r="G1867" t="s">
        <v>10</v>
      </c>
      <c r="H1867" s="72" t="s">
        <v>219</v>
      </c>
      <c r="I1867" s="72" t="s">
        <v>61</v>
      </c>
      <c r="J1867" t="str">
        <f t="shared" si="62"/>
        <v>Skokomish River</v>
      </c>
      <c r="K1867" t="str">
        <f>IFERROR(VLOOKUP(J1867,LUTs!$A$1:$C$73,2,FALSE),"NA")</f>
        <v>Mason</v>
      </c>
      <c r="L1867" t="str">
        <f>IFERROR(VLOOKUP(J1867,LUTs!$A$1:$C$73,3,FALSE),"NA")</f>
        <v>4 Hood Canal</v>
      </c>
      <c r="M1867" s="72" t="s">
        <v>20</v>
      </c>
      <c r="N1867" t="str">
        <f>VLOOKUP(M1867,LUTs!E$2:H$14,3,)</f>
        <v>07Pierce</v>
      </c>
      <c r="O1867" t="str">
        <f>VLOOKUP(M1867,LUTs!E$2:H$14,4,)</f>
        <v>02South Puget Sound</v>
      </c>
      <c r="P1867" s="73">
        <v>34.137931034482797</v>
      </c>
      <c r="Q1867" s="74">
        <f>VLOOKUP(B1867,Readme!A$40:C$51,2,)*P1867</f>
        <v>295.29310344827621</v>
      </c>
    </row>
    <row r="1868" spans="1:17" ht="12" customHeight="1" x14ac:dyDescent="0.35">
      <c r="A1868" s="75">
        <v>1867</v>
      </c>
      <c r="B1868" s="64">
        <v>2014</v>
      </c>
      <c r="C1868" s="64">
        <v>9</v>
      </c>
      <c r="D1868" s="80">
        <f t="shared" si="61"/>
        <v>2014</v>
      </c>
      <c r="E1868" t="s">
        <v>38</v>
      </c>
      <c r="F1868" t="s">
        <v>143</v>
      </c>
      <c r="G1868" t="s">
        <v>10</v>
      </c>
      <c r="H1868" s="72" t="s">
        <v>219</v>
      </c>
      <c r="I1868" s="72" t="s">
        <v>61</v>
      </c>
      <c r="J1868" t="str">
        <f t="shared" si="62"/>
        <v>Skokomish River</v>
      </c>
      <c r="K1868" t="str">
        <f>IFERROR(VLOOKUP(J1868,LUTs!$A$1:$C$73,2,FALSE),"NA")</f>
        <v>Mason</v>
      </c>
      <c r="L1868" t="str">
        <f>IFERROR(VLOOKUP(J1868,LUTs!$A$1:$C$73,3,FALSE),"NA")</f>
        <v>4 Hood Canal</v>
      </c>
      <c r="M1868" s="72" t="s">
        <v>21</v>
      </c>
      <c r="N1868" t="str">
        <f>VLOOKUP(M1868,LUTs!E$2:H$14,3,)</f>
        <v>08Thurston</v>
      </c>
      <c r="O1868" t="str">
        <f>VLOOKUP(M1868,LUTs!E$2:H$14,4,)</f>
        <v>02South Puget Sound</v>
      </c>
      <c r="P1868" s="73">
        <v>47.7931034482759</v>
      </c>
      <c r="Q1868" s="74">
        <f>VLOOKUP(B1868,Readme!A$40:C$51,2,)*P1868</f>
        <v>413.41034482758653</v>
      </c>
    </row>
    <row r="1869" spans="1:17" ht="12" customHeight="1" x14ac:dyDescent="0.35">
      <c r="A1869" s="75">
        <v>1868</v>
      </c>
      <c r="B1869" s="64">
        <v>2014</v>
      </c>
      <c r="C1869" s="64">
        <v>10</v>
      </c>
      <c r="D1869" s="80">
        <f t="shared" si="61"/>
        <v>2014</v>
      </c>
      <c r="E1869" t="s">
        <v>38</v>
      </c>
      <c r="F1869" t="s">
        <v>143</v>
      </c>
      <c r="G1869" t="s">
        <v>10</v>
      </c>
      <c r="H1869" s="72" t="s">
        <v>219</v>
      </c>
      <c r="I1869" s="72" t="s">
        <v>61</v>
      </c>
      <c r="J1869" t="str">
        <f t="shared" si="62"/>
        <v>Skokomish River</v>
      </c>
      <c r="K1869" t="str">
        <f>IFERROR(VLOOKUP(J1869,LUTs!$A$1:$C$73,2,FALSE),"NA")</f>
        <v>Mason</v>
      </c>
      <c r="L1869" t="str">
        <f>IFERROR(VLOOKUP(J1869,LUTs!$A$1:$C$73,3,FALSE),"NA")</f>
        <v>4 Hood Canal</v>
      </c>
      <c r="M1869" s="72" t="s">
        <v>18</v>
      </c>
      <c r="N1869" t="str">
        <f>VLOOKUP(M1869,LUTs!E$2:H$14,3,)</f>
        <v>06King</v>
      </c>
      <c r="O1869" t="str">
        <f>VLOOKUP(M1869,LUTs!E$2:H$14,4,)</f>
        <v>02South Puget Sound</v>
      </c>
      <c r="P1869" s="73">
        <v>294.81699346405202</v>
      </c>
      <c r="Q1869" s="74">
        <f>VLOOKUP(B1869,Readme!A$40:C$51,2,)*P1869</f>
        <v>2550.1669934640499</v>
      </c>
    </row>
    <row r="1870" spans="1:17" ht="12" customHeight="1" x14ac:dyDescent="0.35">
      <c r="A1870" s="75">
        <v>1869</v>
      </c>
      <c r="B1870" s="64">
        <v>2014</v>
      </c>
      <c r="C1870" s="64">
        <v>10</v>
      </c>
      <c r="D1870" s="80">
        <f t="shared" si="61"/>
        <v>2014</v>
      </c>
      <c r="E1870" t="s">
        <v>38</v>
      </c>
      <c r="F1870" t="s">
        <v>143</v>
      </c>
      <c r="G1870" t="s">
        <v>10</v>
      </c>
      <c r="H1870" s="72" t="s">
        <v>219</v>
      </c>
      <c r="I1870" s="72" t="s">
        <v>61</v>
      </c>
      <c r="J1870" t="str">
        <f t="shared" si="62"/>
        <v>Skokomish River</v>
      </c>
      <c r="K1870" t="str">
        <f>IFERROR(VLOOKUP(J1870,LUTs!$A$1:$C$73,2,FALSE),"NA")</f>
        <v>Mason</v>
      </c>
      <c r="L1870" t="str">
        <f>IFERROR(VLOOKUP(J1870,LUTs!$A$1:$C$73,3,FALSE),"NA")</f>
        <v>4 Hood Canal</v>
      </c>
      <c r="M1870" s="72" t="s">
        <v>23</v>
      </c>
      <c r="N1870" t="str">
        <f>VLOOKUP(M1870,LUTs!E$2:H$14,3,)</f>
        <v>10Kitsap</v>
      </c>
      <c r="O1870" t="str">
        <f>VLOOKUP(M1870,LUTs!E$2:H$14,4,)</f>
        <v>02South Puget Sound</v>
      </c>
      <c r="P1870" s="73">
        <v>27.424836601307199</v>
      </c>
      <c r="Q1870" s="74">
        <f>VLOOKUP(B1870,Readme!A$40:C$51,2,)*P1870</f>
        <v>237.22483660130729</v>
      </c>
    </row>
    <row r="1871" spans="1:17" ht="12" customHeight="1" x14ac:dyDescent="0.35">
      <c r="A1871" s="75">
        <v>1870</v>
      </c>
      <c r="B1871" s="64">
        <v>2014</v>
      </c>
      <c r="C1871" s="64">
        <v>10</v>
      </c>
      <c r="D1871" s="80">
        <f t="shared" si="61"/>
        <v>2014</v>
      </c>
      <c r="E1871" t="s">
        <v>38</v>
      </c>
      <c r="F1871" t="s">
        <v>143</v>
      </c>
      <c r="G1871" t="s">
        <v>10</v>
      </c>
      <c r="H1871" s="72" t="s">
        <v>219</v>
      </c>
      <c r="I1871" s="72" t="s">
        <v>61</v>
      </c>
      <c r="J1871" t="str">
        <f t="shared" si="62"/>
        <v>Skokomish River</v>
      </c>
      <c r="K1871" t="str">
        <f>IFERROR(VLOOKUP(J1871,LUTs!$A$1:$C$73,2,FALSE),"NA")</f>
        <v>Mason</v>
      </c>
      <c r="L1871" t="str">
        <f>IFERROR(VLOOKUP(J1871,LUTs!$A$1:$C$73,3,FALSE),"NA")</f>
        <v>4 Hood Canal</v>
      </c>
      <c r="M1871" s="72" t="s">
        <v>22</v>
      </c>
      <c r="N1871" t="str">
        <f>VLOOKUP(M1871,LUTs!E$2:H$14,3,)</f>
        <v>09Mason</v>
      </c>
      <c r="O1871" t="str">
        <f>VLOOKUP(M1871,LUTs!E$2:H$14,4,)</f>
        <v>02South Puget Sound</v>
      </c>
      <c r="P1871" s="73">
        <v>109.69934640522899</v>
      </c>
      <c r="Q1871" s="74">
        <f>VLOOKUP(B1871,Readme!A$40:C$51,2,)*P1871</f>
        <v>948.89934640523086</v>
      </c>
    </row>
    <row r="1872" spans="1:17" ht="12" customHeight="1" x14ac:dyDescent="0.35">
      <c r="A1872" s="75">
        <v>1871</v>
      </c>
      <c r="B1872" s="64">
        <v>2014</v>
      </c>
      <c r="C1872" s="64">
        <v>10</v>
      </c>
      <c r="D1872" s="80">
        <f t="shared" si="61"/>
        <v>2014</v>
      </c>
      <c r="E1872" t="s">
        <v>38</v>
      </c>
      <c r="F1872" t="s">
        <v>143</v>
      </c>
      <c r="G1872" t="s">
        <v>10</v>
      </c>
      <c r="H1872" s="72" t="s">
        <v>219</v>
      </c>
      <c r="I1872" s="72" t="s">
        <v>61</v>
      </c>
      <c r="J1872" t="str">
        <f t="shared" si="62"/>
        <v>Skokomish River</v>
      </c>
      <c r="K1872" t="str">
        <f>IFERROR(VLOOKUP(J1872,LUTs!$A$1:$C$73,2,FALSE),"NA")</f>
        <v>Mason</v>
      </c>
      <c r="L1872" t="str">
        <f>IFERROR(VLOOKUP(J1872,LUTs!$A$1:$C$73,3,FALSE),"NA")</f>
        <v>4 Hood Canal</v>
      </c>
      <c r="M1872" s="72" t="s">
        <v>26</v>
      </c>
      <c r="N1872" t="str">
        <f>VLOOKUP(M1872,LUTs!E$2:H$14,3,)</f>
        <v>20Other</v>
      </c>
      <c r="O1872" t="str">
        <f>VLOOKUP(M1872,LUTs!E$2:H$14,4,)</f>
        <v>07Non Puget Sound</v>
      </c>
      <c r="P1872" s="73">
        <v>13.712418300653599</v>
      </c>
      <c r="Q1872" s="74">
        <f>VLOOKUP(B1872,Readme!A$40:C$51,2,)*P1872</f>
        <v>118.61241830065364</v>
      </c>
    </row>
    <row r="1873" spans="1:17" ht="12" customHeight="1" x14ac:dyDescent="0.35">
      <c r="A1873" s="75">
        <v>1872</v>
      </c>
      <c r="B1873" s="64">
        <v>2014</v>
      </c>
      <c r="C1873" s="64">
        <v>10</v>
      </c>
      <c r="D1873" s="80">
        <f t="shared" si="61"/>
        <v>2014</v>
      </c>
      <c r="E1873" t="s">
        <v>38</v>
      </c>
      <c r="F1873" t="s">
        <v>143</v>
      </c>
      <c r="G1873" t="s">
        <v>10</v>
      </c>
      <c r="H1873" s="72" t="s">
        <v>219</v>
      </c>
      <c r="I1873" s="72" t="s">
        <v>61</v>
      </c>
      <c r="J1873" t="str">
        <f t="shared" si="62"/>
        <v>Skokomish River</v>
      </c>
      <c r="K1873" t="str">
        <f>IFERROR(VLOOKUP(J1873,LUTs!$A$1:$C$73,2,FALSE),"NA")</f>
        <v>Mason</v>
      </c>
      <c r="L1873" t="str">
        <f>IFERROR(VLOOKUP(J1873,LUTs!$A$1:$C$73,3,FALSE),"NA")</f>
        <v>4 Hood Canal</v>
      </c>
      <c r="M1873" s="72" t="s">
        <v>20</v>
      </c>
      <c r="N1873" t="str">
        <f>VLOOKUP(M1873,LUTs!E$2:H$14,3,)</f>
        <v>07Pierce</v>
      </c>
      <c r="O1873" t="str">
        <f>VLOOKUP(M1873,LUTs!E$2:H$14,4,)</f>
        <v>02South Puget Sound</v>
      </c>
      <c r="P1873" s="73">
        <v>356.52287581699397</v>
      </c>
      <c r="Q1873" s="74">
        <f>VLOOKUP(B1873,Readme!A$40:C$51,2,)*P1873</f>
        <v>3083.9228758169979</v>
      </c>
    </row>
    <row r="1874" spans="1:17" ht="12" customHeight="1" x14ac:dyDescent="0.35">
      <c r="A1874" s="75">
        <v>1873</v>
      </c>
      <c r="B1874" s="64">
        <v>2014</v>
      </c>
      <c r="C1874" s="64">
        <v>10</v>
      </c>
      <c r="D1874" s="80">
        <f t="shared" si="61"/>
        <v>2014</v>
      </c>
      <c r="E1874" t="s">
        <v>38</v>
      </c>
      <c r="F1874" t="s">
        <v>143</v>
      </c>
      <c r="G1874" t="s">
        <v>10</v>
      </c>
      <c r="H1874" s="72" t="s">
        <v>219</v>
      </c>
      <c r="I1874" s="72" t="s">
        <v>61</v>
      </c>
      <c r="J1874" t="str">
        <f t="shared" si="62"/>
        <v>Skokomish River</v>
      </c>
      <c r="K1874" t="str">
        <f>IFERROR(VLOOKUP(J1874,LUTs!$A$1:$C$73,2,FALSE),"NA")</f>
        <v>Mason</v>
      </c>
      <c r="L1874" t="str">
        <f>IFERROR(VLOOKUP(J1874,LUTs!$A$1:$C$73,3,FALSE),"NA")</f>
        <v>4 Hood Canal</v>
      </c>
      <c r="M1874" s="72" t="s">
        <v>16</v>
      </c>
      <c r="N1874" t="str">
        <f>VLOOKUP(M1874,LUTs!E$2:H$14,3,)</f>
        <v>03Snohomish</v>
      </c>
      <c r="O1874" t="str">
        <f>VLOOKUP(M1874,LUTs!E$2:H$14,4,)</f>
        <v>01North Puget Sound</v>
      </c>
      <c r="P1874" s="73">
        <v>34.281045751633997</v>
      </c>
      <c r="Q1874" s="74">
        <f>VLOOKUP(B1874,Readme!A$40:C$51,2,)*P1874</f>
        <v>296.53104575163411</v>
      </c>
    </row>
    <row r="1875" spans="1:17" ht="12" customHeight="1" x14ac:dyDescent="0.35">
      <c r="A1875" s="75">
        <v>1874</v>
      </c>
      <c r="B1875" s="64">
        <v>2014</v>
      </c>
      <c r="C1875" s="64">
        <v>10</v>
      </c>
      <c r="D1875" s="80">
        <f t="shared" si="61"/>
        <v>2014</v>
      </c>
      <c r="E1875" t="s">
        <v>38</v>
      </c>
      <c r="F1875" t="s">
        <v>143</v>
      </c>
      <c r="G1875" t="s">
        <v>10</v>
      </c>
      <c r="H1875" s="72" t="s">
        <v>219</v>
      </c>
      <c r="I1875" s="72" t="s">
        <v>61</v>
      </c>
      <c r="J1875" t="str">
        <f t="shared" si="62"/>
        <v>Skokomish River</v>
      </c>
      <c r="K1875" t="str">
        <f>IFERROR(VLOOKUP(J1875,LUTs!$A$1:$C$73,2,FALSE),"NA")</f>
        <v>Mason</v>
      </c>
      <c r="L1875" t="str">
        <f>IFERROR(VLOOKUP(J1875,LUTs!$A$1:$C$73,3,FALSE),"NA")</f>
        <v>4 Hood Canal</v>
      </c>
      <c r="M1875" s="72" t="s">
        <v>21</v>
      </c>
      <c r="N1875" t="str">
        <f>VLOOKUP(M1875,LUTs!E$2:H$14,3,)</f>
        <v>08Thurston</v>
      </c>
      <c r="O1875" t="str">
        <f>VLOOKUP(M1875,LUTs!E$2:H$14,4,)</f>
        <v>02South Puget Sound</v>
      </c>
      <c r="P1875" s="73">
        <v>212.54248366013101</v>
      </c>
      <c r="Q1875" s="74">
        <f>VLOOKUP(B1875,Readme!A$40:C$51,2,)*P1875</f>
        <v>1838.4924836601333</v>
      </c>
    </row>
    <row r="1876" spans="1:17" ht="12" customHeight="1" x14ac:dyDescent="0.35">
      <c r="A1876" s="75">
        <v>1875</v>
      </c>
      <c r="B1876" s="64">
        <v>2014</v>
      </c>
      <c r="C1876" s="64">
        <v>11</v>
      </c>
      <c r="D1876" s="80">
        <f t="shared" si="61"/>
        <v>2014</v>
      </c>
      <c r="E1876" t="s">
        <v>38</v>
      </c>
      <c r="F1876" t="s">
        <v>143</v>
      </c>
      <c r="G1876" t="s">
        <v>10</v>
      </c>
      <c r="H1876" s="72" t="s">
        <v>219</v>
      </c>
      <c r="I1876" s="72" t="s">
        <v>61</v>
      </c>
      <c r="J1876" t="str">
        <f t="shared" si="62"/>
        <v>Skokomish River</v>
      </c>
      <c r="K1876" t="str">
        <f>IFERROR(VLOOKUP(J1876,LUTs!$A$1:$C$73,2,FALSE),"NA")</f>
        <v>Mason</v>
      </c>
      <c r="L1876" t="str">
        <f>IFERROR(VLOOKUP(J1876,LUTs!$A$1:$C$73,3,FALSE),"NA")</f>
        <v>4 Hood Canal</v>
      </c>
      <c r="M1876" s="72" t="s">
        <v>18</v>
      </c>
      <c r="N1876" t="str">
        <f>VLOOKUP(M1876,LUTs!E$2:H$14,3,)</f>
        <v>06King</v>
      </c>
      <c r="O1876" t="str">
        <f>VLOOKUP(M1876,LUTs!E$2:H$14,4,)</f>
        <v>02South Puget Sound</v>
      </c>
      <c r="P1876" s="73">
        <v>205.76470588235301</v>
      </c>
      <c r="Q1876" s="74">
        <f>VLOOKUP(B1876,Readme!A$40:C$51,2,)*P1876</f>
        <v>1779.8647058823537</v>
      </c>
    </row>
    <row r="1877" spans="1:17" ht="12" customHeight="1" x14ac:dyDescent="0.35">
      <c r="A1877" s="75">
        <v>1876</v>
      </c>
      <c r="B1877" s="64">
        <v>2014</v>
      </c>
      <c r="C1877" s="64">
        <v>11</v>
      </c>
      <c r="D1877" s="80">
        <f t="shared" si="61"/>
        <v>2014</v>
      </c>
      <c r="E1877" t="s">
        <v>38</v>
      </c>
      <c r="F1877" t="s">
        <v>143</v>
      </c>
      <c r="G1877" t="s">
        <v>10</v>
      </c>
      <c r="H1877" s="72" t="s">
        <v>219</v>
      </c>
      <c r="I1877" s="72" t="s">
        <v>61</v>
      </c>
      <c r="J1877" t="str">
        <f t="shared" si="62"/>
        <v>Skokomish River</v>
      </c>
      <c r="K1877" t="str">
        <f>IFERROR(VLOOKUP(J1877,LUTs!$A$1:$C$73,2,FALSE),"NA")</f>
        <v>Mason</v>
      </c>
      <c r="L1877" t="str">
        <f>IFERROR(VLOOKUP(J1877,LUTs!$A$1:$C$73,3,FALSE),"NA")</f>
        <v>4 Hood Canal</v>
      </c>
      <c r="M1877" s="72" t="s">
        <v>22</v>
      </c>
      <c r="N1877" t="str">
        <f>VLOOKUP(M1877,LUTs!E$2:H$14,3,)</f>
        <v>09Mason</v>
      </c>
      <c r="O1877" t="str">
        <f>VLOOKUP(M1877,LUTs!E$2:H$14,4,)</f>
        <v>02South Puget Sound</v>
      </c>
      <c r="P1877" s="73">
        <v>89.164705882353005</v>
      </c>
      <c r="Q1877" s="74">
        <f>VLOOKUP(B1877,Readme!A$40:C$51,2,)*P1877</f>
        <v>771.27470588235349</v>
      </c>
    </row>
    <row r="1878" spans="1:17" ht="12" customHeight="1" x14ac:dyDescent="0.35">
      <c r="A1878" s="75">
        <v>1877</v>
      </c>
      <c r="B1878" s="64">
        <v>2014</v>
      </c>
      <c r="C1878" s="64">
        <v>11</v>
      </c>
      <c r="D1878" s="80">
        <f t="shared" si="61"/>
        <v>2014</v>
      </c>
      <c r="E1878" t="s">
        <v>38</v>
      </c>
      <c r="F1878" t="s">
        <v>143</v>
      </c>
      <c r="G1878" t="s">
        <v>10</v>
      </c>
      <c r="H1878" s="72" t="s">
        <v>219</v>
      </c>
      <c r="I1878" s="72" t="s">
        <v>61</v>
      </c>
      <c r="J1878" t="str">
        <f t="shared" si="62"/>
        <v>Skokomish River</v>
      </c>
      <c r="K1878" t="str">
        <f>IFERROR(VLOOKUP(J1878,LUTs!$A$1:$C$73,2,FALSE),"NA")</f>
        <v>Mason</v>
      </c>
      <c r="L1878" t="str">
        <f>IFERROR(VLOOKUP(J1878,LUTs!$A$1:$C$73,3,FALSE),"NA")</f>
        <v>4 Hood Canal</v>
      </c>
      <c r="M1878" s="72" t="s">
        <v>26</v>
      </c>
      <c r="N1878" t="str">
        <f>VLOOKUP(M1878,LUTs!E$2:H$14,3,)</f>
        <v>20Other</v>
      </c>
      <c r="O1878" t="str">
        <f>VLOOKUP(M1878,LUTs!E$2:H$14,4,)</f>
        <v>07Non Puget Sound</v>
      </c>
      <c r="P1878" s="73">
        <v>89.164705882353005</v>
      </c>
      <c r="Q1878" s="74">
        <f>VLOOKUP(B1878,Readme!A$40:C$51,2,)*P1878</f>
        <v>771.27470588235349</v>
      </c>
    </row>
    <row r="1879" spans="1:17" ht="12" customHeight="1" x14ac:dyDescent="0.35">
      <c r="A1879" s="75">
        <v>1878</v>
      </c>
      <c r="B1879" s="64">
        <v>2014</v>
      </c>
      <c r="C1879" s="64">
        <v>11</v>
      </c>
      <c r="D1879" s="80">
        <f t="shared" si="61"/>
        <v>2014</v>
      </c>
      <c r="E1879" t="s">
        <v>38</v>
      </c>
      <c r="F1879" t="s">
        <v>143</v>
      </c>
      <c r="G1879" t="s">
        <v>10</v>
      </c>
      <c r="H1879" s="72" t="s">
        <v>219</v>
      </c>
      <c r="I1879" s="72" t="s">
        <v>61</v>
      </c>
      <c r="J1879" t="str">
        <f t="shared" si="62"/>
        <v>Skokomish River</v>
      </c>
      <c r="K1879" t="str">
        <f>IFERROR(VLOOKUP(J1879,LUTs!$A$1:$C$73,2,FALSE),"NA")</f>
        <v>Mason</v>
      </c>
      <c r="L1879" t="str">
        <f>IFERROR(VLOOKUP(J1879,LUTs!$A$1:$C$73,3,FALSE),"NA")</f>
        <v>4 Hood Canal</v>
      </c>
      <c r="M1879" s="72" t="s">
        <v>20</v>
      </c>
      <c r="N1879" t="str">
        <f>VLOOKUP(M1879,LUTs!E$2:H$14,3,)</f>
        <v>07Pierce</v>
      </c>
      <c r="O1879" t="str">
        <f>VLOOKUP(M1879,LUTs!E$2:H$14,4,)</f>
        <v>02South Puget Sound</v>
      </c>
      <c r="P1879" s="73">
        <v>96.023529411764699</v>
      </c>
      <c r="Q1879" s="74">
        <f>VLOOKUP(B1879,Readme!A$40:C$51,2,)*P1879</f>
        <v>830.60352941176473</v>
      </c>
    </row>
    <row r="1880" spans="1:17" ht="12" customHeight="1" x14ac:dyDescent="0.35">
      <c r="A1880" s="75">
        <v>1879</v>
      </c>
      <c r="B1880" s="64">
        <v>2014</v>
      </c>
      <c r="C1880" s="64">
        <v>11</v>
      </c>
      <c r="D1880" s="80">
        <f t="shared" si="61"/>
        <v>2014</v>
      </c>
      <c r="E1880" t="s">
        <v>38</v>
      </c>
      <c r="F1880" t="s">
        <v>143</v>
      </c>
      <c r="G1880" t="s">
        <v>10</v>
      </c>
      <c r="H1880" s="72" t="s">
        <v>219</v>
      </c>
      <c r="I1880" s="72" t="s">
        <v>61</v>
      </c>
      <c r="J1880" t="str">
        <f t="shared" si="62"/>
        <v>Skokomish River</v>
      </c>
      <c r="K1880" t="str">
        <f>IFERROR(VLOOKUP(J1880,LUTs!$A$1:$C$73,2,FALSE),"NA")</f>
        <v>Mason</v>
      </c>
      <c r="L1880" t="str">
        <f>IFERROR(VLOOKUP(J1880,LUTs!$A$1:$C$73,3,FALSE),"NA")</f>
        <v>4 Hood Canal</v>
      </c>
      <c r="M1880" s="72" t="s">
        <v>16</v>
      </c>
      <c r="N1880" t="str">
        <f>VLOOKUP(M1880,LUTs!E$2:H$14,3,)</f>
        <v>03Snohomish</v>
      </c>
      <c r="O1880" t="str">
        <f>VLOOKUP(M1880,LUTs!E$2:H$14,4,)</f>
        <v>01North Puget Sound</v>
      </c>
      <c r="P1880" s="73">
        <v>6.8588235294117696</v>
      </c>
      <c r="Q1880" s="74">
        <f>VLOOKUP(B1880,Readme!A$40:C$51,2,)*P1880</f>
        <v>59.328823529411807</v>
      </c>
    </row>
    <row r="1881" spans="1:17" ht="12" customHeight="1" x14ac:dyDescent="0.35">
      <c r="A1881" s="75">
        <v>1880</v>
      </c>
      <c r="B1881" s="64">
        <v>2014</v>
      </c>
      <c r="C1881" s="64">
        <v>11</v>
      </c>
      <c r="D1881" s="80">
        <f t="shared" si="61"/>
        <v>2014</v>
      </c>
      <c r="E1881" t="s">
        <v>38</v>
      </c>
      <c r="F1881" t="s">
        <v>143</v>
      </c>
      <c r="G1881" t="s">
        <v>10</v>
      </c>
      <c r="H1881" s="72" t="s">
        <v>219</v>
      </c>
      <c r="I1881" s="72" t="s">
        <v>61</v>
      </c>
      <c r="J1881" t="str">
        <f t="shared" si="62"/>
        <v>Skokomish River</v>
      </c>
      <c r="K1881" t="str">
        <f>IFERROR(VLOOKUP(J1881,LUTs!$A$1:$C$73,2,FALSE),"NA")</f>
        <v>Mason</v>
      </c>
      <c r="L1881" t="str">
        <f>IFERROR(VLOOKUP(J1881,LUTs!$A$1:$C$73,3,FALSE),"NA")</f>
        <v>4 Hood Canal</v>
      </c>
      <c r="M1881" s="72" t="s">
        <v>21</v>
      </c>
      <c r="N1881" t="str">
        <f>VLOOKUP(M1881,LUTs!E$2:H$14,3,)</f>
        <v>08Thurston</v>
      </c>
      <c r="O1881" t="str">
        <f>VLOOKUP(M1881,LUTs!E$2:H$14,4,)</f>
        <v>02South Puget Sound</v>
      </c>
      <c r="P1881" s="73">
        <v>68.588235294117695</v>
      </c>
      <c r="Q1881" s="74">
        <f>VLOOKUP(B1881,Readme!A$40:C$51,2,)*P1881</f>
        <v>593.28823529411807</v>
      </c>
    </row>
    <row r="1882" spans="1:17" ht="12" customHeight="1" x14ac:dyDescent="0.35">
      <c r="A1882" s="75">
        <v>1881</v>
      </c>
      <c r="B1882" s="64">
        <v>2014</v>
      </c>
      <c r="C1882" s="64">
        <v>11</v>
      </c>
      <c r="D1882" s="80">
        <f t="shared" si="61"/>
        <v>2014</v>
      </c>
      <c r="E1882" t="s">
        <v>38</v>
      </c>
      <c r="F1882" t="s">
        <v>143</v>
      </c>
      <c r="G1882" t="s">
        <v>10</v>
      </c>
      <c r="H1882" s="72" t="s">
        <v>219</v>
      </c>
      <c r="I1882" s="72" t="s">
        <v>61</v>
      </c>
      <c r="J1882" t="str">
        <f t="shared" si="62"/>
        <v>Skokomish River</v>
      </c>
      <c r="K1882" t="str">
        <f>IFERROR(VLOOKUP(J1882,LUTs!$A$1:$C$73,2,FALSE),"NA")</f>
        <v>Mason</v>
      </c>
      <c r="L1882" t="str">
        <f>IFERROR(VLOOKUP(J1882,LUTs!$A$1:$C$73,3,FALSE),"NA")</f>
        <v>4 Hood Canal</v>
      </c>
      <c r="M1882" s="72" t="s">
        <v>13</v>
      </c>
      <c r="N1882" t="str">
        <f>VLOOKUP(M1882,LUTs!E$2:H$14,3,)</f>
        <v>01Whatcom</v>
      </c>
      <c r="O1882" t="str">
        <f>VLOOKUP(M1882,LUTs!E$2:H$14,4,)</f>
        <v>01North Puget Sound</v>
      </c>
      <c r="P1882" s="73">
        <v>27.4352941176471</v>
      </c>
      <c r="Q1882" s="74">
        <f>VLOOKUP(B1882,Readme!A$40:C$51,2,)*P1882</f>
        <v>237.31529411764743</v>
      </c>
    </row>
    <row r="1883" spans="1:17" ht="12" customHeight="1" x14ac:dyDescent="0.35">
      <c r="A1883" s="75">
        <v>1882</v>
      </c>
      <c r="B1883" s="64">
        <v>2014</v>
      </c>
      <c r="C1883" s="64">
        <v>5</v>
      </c>
      <c r="D1883" s="80">
        <f t="shared" si="61"/>
        <v>2014</v>
      </c>
      <c r="E1883" t="s">
        <v>38</v>
      </c>
      <c r="F1883" t="s">
        <v>143</v>
      </c>
      <c r="G1883" t="s">
        <v>10</v>
      </c>
      <c r="H1883" s="72" t="s">
        <v>220</v>
      </c>
      <c r="I1883" s="72" t="s">
        <v>62</v>
      </c>
      <c r="J1883" t="str">
        <f t="shared" si="62"/>
        <v>Skykomish River</v>
      </c>
      <c r="K1883" t="str">
        <f>IFERROR(VLOOKUP(J1883,LUTs!$A$1:$C$73,2,FALSE),"NA")</f>
        <v>Snohomish</v>
      </c>
      <c r="L1883" t="str">
        <f>IFERROR(VLOOKUP(J1883,LUTs!$A$1:$C$73,3,FALSE),"NA")</f>
        <v>2Central Puget Sound</v>
      </c>
      <c r="M1883" s="72" t="s">
        <v>18</v>
      </c>
      <c r="N1883" t="str">
        <f>VLOOKUP(M1883,LUTs!E$2:H$14,3,)</f>
        <v>06King</v>
      </c>
      <c r="O1883" t="str">
        <f>VLOOKUP(M1883,LUTs!E$2:H$14,4,)</f>
        <v>02South Puget Sound</v>
      </c>
      <c r="P1883" s="73">
        <v>0</v>
      </c>
      <c r="Q1883" s="74">
        <f>VLOOKUP(B1883,Readme!A$40:C$51,2,)*P1883</f>
        <v>0</v>
      </c>
    </row>
    <row r="1884" spans="1:17" ht="12" customHeight="1" x14ac:dyDescent="0.35">
      <c r="A1884" s="75">
        <v>1883</v>
      </c>
      <c r="B1884" s="64">
        <v>2014</v>
      </c>
      <c r="C1884" s="64">
        <v>5</v>
      </c>
      <c r="D1884" s="80">
        <f t="shared" si="61"/>
        <v>2014</v>
      </c>
      <c r="E1884" t="s">
        <v>38</v>
      </c>
      <c r="F1884" t="s">
        <v>143</v>
      </c>
      <c r="G1884" t="s">
        <v>10</v>
      </c>
      <c r="H1884" s="72" t="s">
        <v>220</v>
      </c>
      <c r="I1884" s="72" t="s">
        <v>62</v>
      </c>
      <c r="J1884" t="str">
        <f t="shared" si="62"/>
        <v>Skykomish River</v>
      </c>
      <c r="K1884" t="str">
        <f>IFERROR(VLOOKUP(J1884,LUTs!$A$1:$C$73,2,FALSE),"NA")</f>
        <v>Snohomish</v>
      </c>
      <c r="L1884" t="str">
        <f>IFERROR(VLOOKUP(J1884,LUTs!$A$1:$C$73,3,FALSE),"NA")</f>
        <v>2Central Puget Sound</v>
      </c>
      <c r="M1884" s="72" t="s">
        <v>16</v>
      </c>
      <c r="N1884" t="str">
        <f>VLOOKUP(M1884,LUTs!E$2:H$14,3,)</f>
        <v>03Snohomish</v>
      </c>
      <c r="O1884" t="str">
        <f>VLOOKUP(M1884,LUTs!E$2:H$14,4,)</f>
        <v>01North Puget Sound</v>
      </c>
      <c r="P1884" s="73">
        <v>0</v>
      </c>
      <c r="Q1884" s="74">
        <f>VLOOKUP(B1884,Readme!A$40:C$51,2,)*P1884</f>
        <v>0</v>
      </c>
    </row>
    <row r="1885" spans="1:17" ht="12" customHeight="1" x14ac:dyDescent="0.35">
      <c r="A1885" s="75">
        <v>1884</v>
      </c>
      <c r="B1885" s="64">
        <v>2014</v>
      </c>
      <c r="C1885" s="64">
        <v>6</v>
      </c>
      <c r="D1885" s="80">
        <f t="shared" si="61"/>
        <v>2014</v>
      </c>
      <c r="E1885" t="s">
        <v>38</v>
      </c>
      <c r="F1885" t="s">
        <v>143</v>
      </c>
      <c r="G1885" t="s">
        <v>10</v>
      </c>
      <c r="H1885" s="72" t="s">
        <v>220</v>
      </c>
      <c r="I1885" s="72" t="s">
        <v>62</v>
      </c>
      <c r="J1885" t="str">
        <f t="shared" si="62"/>
        <v>Skykomish River</v>
      </c>
      <c r="K1885" t="str">
        <f>IFERROR(VLOOKUP(J1885,LUTs!$A$1:$C$73,2,FALSE),"NA")</f>
        <v>Snohomish</v>
      </c>
      <c r="L1885" t="str">
        <f>IFERROR(VLOOKUP(J1885,LUTs!$A$1:$C$73,3,FALSE),"NA")</f>
        <v>2Central Puget Sound</v>
      </c>
      <c r="M1885" s="72" t="s">
        <v>17</v>
      </c>
      <c r="N1885" t="str">
        <f>VLOOKUP(M1885,LUTs!E$2:H$14,3,)</f>
        <v>04Island</v>
      </c>
      <c r="O1885" t="str">
        <f>VLOOKUP(M1885,LUTs!E$2:H$14,4,)</f>
        <v>01North Puget Sound</v>
      </c>
      <c r="P1885" s="73">
        <v>7.7368421052631602</v>
      </c>
      <c r="Q1885" s="74">
        <f>VLOOKUP(B1885,Readme!A$40:C$51,2,)*P1885</f>
        <v>66.923684210526332</v>
      </c>
    </row>
    <row r="1886" spans="1:17" ht="12" customHeight="1" x14ac:dyDescent="0.35">
      <c r="A1886" s="75">
        <v>1885</v>
      </c>
      <c r="B1886" s="64">
        <v>2014</v>
      </c>
      <c r="C1886" s="64">
        <v>6</v>
      </c>
      <c r="D1886" s="80">
        <f t="shared" si="61"/>
        <v>2014</v>
      </c>
      <c r="E1886" t="s">
        <v>38</v>
      </c>
      <c r="F1886" t="s">
        <v>143</v>
      </c>
      <c r="G1886" t="s">
        <v>10</v>
      </c>
      <c r="H1886" s="72" t="s">
        <v>220</v>
      </c>
      <c r="I1886" s="72" t="s">
        <v>62</v>
      </c>
      <c r="J1886" t="str">
        <f t="shared" si="62"/>
        <v>Skykomish River</v>
      </c>
      <c r="K1886" t="str">
        <f>IFERROR(VLOOKUP(J1886,LUTs!$A$1:$C$73,2,FALSE),"NA")</f>
        <v>Snohomish</v>
      </c>
      <c r="L1886" t="str">
        <f>IFERROR(VLOOKUP(J1886,LUTs!$A$1:$C$73,3,FALSE),"NA")</f>
        <v>2Central Puget Sound</v>
      </c>
      <c r="M1886" s="72" t="s">
        <v>18</v>
      </c>
      <c r="N1886" t="str">
        <f>VLOOKUP(M1886,LUTs!E$2:H$14,3,)</f>
        <v>06King</v>
      </c>
      <c r="O1886" t="str">
        <f>VLOOKUP(M1886,LUTs!E$2:H$14,4,)</f>
        <v>02South Puget Sound</v>
      </c>
      <c r="P1886" s="73">
        <v>30.947368421052602</v>
      </c>
      <c r="Q1886" s="74">
        <f>VLOOKUP(B1886,Readme!A$40:C$51,2,)*P1886</f>
        <v>267.69473684210499</v>
      </c>
    </row>
    <row r="1887" spans="1:17" ht="12" customHeight="1" x14ac:dyDescent="0.35">
      <c r="A1887" s="75">
        <v>1886</v>
      </c>
      <c r="B1887" s="64">
        <v>2014</v>
      </c>
      <c r="C1887" s="64">
        <v>6</v>
      </c>
      <c r="D1887" s="80">
        <f t="shared" si="61"/>
        <v>2014</v>
      </c>
      <c r="E1887" t="s">
        <v>38</v>
      </c>
      <c r="F1887" t="s">
        <v>143</v>
      </c>
      <c r="G1887" t="s">
        <v>10</v>
      </c>
      <c r="H1887" s="72" t="s">
        <v>220</v>
      </c>
      <c r="I1887" s="72" t="s">
        <v>62</v>
      </c>
      <c r="J1887" t="str">
        <f t="shared" si="62"/>
        <v>Skykomish River</v>
      </c>
      <c r="K1887" t="str">
        <f>IFERROR(VLOOKUP(J1887,LUTs!$A$1:$C$73,2,FALSE),"NA")</f>
        <v>Snohomish</v>
      </c>
      <c r="L1887" t="str">
        <f>IFERROR(VLOOKUP(J1887,LUTs!$A$1:$C$73,3,FALSE),"NA")</f>
        <v>2Central Puget Sound</v>
      </c>
      <c r="M1887" s="72" t="s">
        <v>26</v>
      </c>
      <c r="N1887" t="str">
        <f>VLOOKUP(M1887,LUTs!E$2:H$14,3,)</f>
        <v>20Other</v>
      </c>
      <c r="O1887" t="str">
        <f>VLOOKUP(M1887,LUTs!E$2:H$14,4,)</f>
        <v>07Non Puget Sound</v>
      </c>
      <c r="P1887" s="73">
        <v>30.947368421052602</v>
      </c>
      <c r="Q1887" s="74">
        <f>VLOOKUP(B1887,Readme!A$40:C$51,2,)*P1887</f>
        <v>267.69473684210499</v>
      </c>
    </row>
    <row r="1888" spans="1:17" ht="12" customHeight="1" x14ac:dyDescent="0.35">
      <c r="A1888" s="75">
        <v>1887</v>
      </c>
      <c r="B1888" s="64">
        <v>2014</v>
      </c>
      <c r="C1888" s="64">
        <v>6</v>
      </c>
      <c r="D1888" s="80">
        <f t="shared" si="61"/>
        <v>2014</v>
      </c>
      <c r="E1888" t="s">
        <v>38</v>
      </c>
      <c r="F1888" t="s">
        <v>143</v>
      </c>
      <c r="G1888" t="s">
        <v>10</v>
      </c>
      <c r="H1888" s="72" t="s">
        <v>220</v>
      </c>
      <c r="I1888" s="72" t="s">
        <v>62</v>
      </c>
      <c r="J1888" t="str">
        <f t="shared" si="62"/>
        <v>Skykomish River</v>
      </c>
      <c r="K1888" t="str">
        <f>IFERROR(VLOOKUP(J1888,LUTs!$A$1:$C$73,2,FALSE),"NA")</f>
        <v>Snohomish</v>
      </c>
      <c r="L1888" t="str">
        <f>IFERROR(VLOOKUP(J1888,LUTs!$A$1:$C$73,3,FALSE),"NA")</f>
        <v>2Central Puget Sound</v>
      </c>
      <c r="M1888" s="72" t="s">
        <v>20</v>
      </c>
      <c r="N1888" t="str">
        <f>VLOOKUP(M1888,LUTs!E$2:H$14,3,)</f>
        <v>07Pierce</v>
      </c>
      <c r="O1888" t="str">
        <f>VLOOKUP(M1888,LUTs!E$2:H$14,4,)</f>
        <v>02South Puget Sound</v>
      </c>
      <c r="P1888" s="73">
        <v>7.7368421052631602</v>
      </c>
      <c r="Q1888" s="74">
        <f>VLOOKUP(B1888,Readme!A$40:C$51,2,)*P1888</f>
        <v>66.923684210526332</v>
      </c>
    </row>
    <row r="1889" spans="1:17" ht="12" customHeight="1" x14ac:dyDescent="0.35">
      <c r="A1889" s="75">
        <v>1888</v>
      </c>
      <c r="B1889" s="64">
        <v>2014</v>
      </c>
      <c r="C1889" s="64">
        <v>6</v>
      </c>
      <c r="D1889" s="80">
        <f t="shared" si="61"/>
        <v>2014</v>
      </c>
      <c r="E1889" t="s">
        <v>38</v>
      </c>
      <c r="F1889" t="s">
        <v>143</v>
      </c>
      <c r="G1889" t="s">
        <v>10</v>
      </c>
      <c r="H1889" s="72" t="s">
        <v>220</v>
      </c>
      <c r="I1889" s="72" t="s">
        <v>62</v>
      </c>
      <c r="J1889" t="str">
        <f t="shared" si="62"/>
        <v>Skykomish River</v>
      </c>
      <c r="K1889" t="str">
        <f>IFERROR(VLOOKUP(J1889,LUTs!$A$1:$C$73,2,FALSE),"NA")</f>
        <v>Snohomish</v>
      </c>
      <c r="L1889" t="str">
        <f>IFERROR(VLOOKUP(J1889,LUTs!$A$1:$C$73,3,FALSE),"NA")</f>
        <v>2Central Puget Sound</v>
      </c>
      <c r="M1889" s="72" t="s">
        <v>15</v>
      </c>
      <c r="N1889" t="str">
        <f>VLOOKUP(M1889,LUTs!E$2:H$14,3,)</f>
        <v>02Skagit</v>
      </c>
      <c r="O1889" t="str">
        <f>VLOOKUP(M1889,LUTs!E$2:H$14,4,)</f>
        <v>01North Puget Sound</v>
      </c>
      <c r="P1889" s="73">
        <v>7.7368421052631602</v>
      </c>
      <c r="Q1889" s="74">
        <f>VLOOKUP(B1889,Readme!A$40:C$51,2,)*P1889</f>
        <v>66.923684210526332</v>
      </c>
    </row>
    <row r="1890" spans="1:17" ht="12" customHeight="1" x14ac:dyDescent="0.35">
      <c r="A1890" s="75">
        <v>1889</v>
      </c>
      <c r="B1890" s="64">
        <v>2014</v>
      </c>
      <c r="C1890" s="64">
        <v>6</v>
      </c>
      <c r="D1890" s="80">
        <f t="shared" si="61"/>
        <v>2014</v>
      </c>
      <c r="E1890" t="s">
        <v>38</v>
      </c>
      <c r="F1890" t="s">
        <v>143</v>
      </c>
      <c r="G1890" t="s">
        <v>10</v>
      </c>
      <c r="H1890" s="72" t="s">
        <v>220</v>
      </c>
      <c r="I1890" s="72" t="s">
        <v>62</v>
      </c>
      <c r="J1890" t="str">
        <f t="shared" si="62"/>
        <v>Skykomish River</v>
      </c>
      <c r="K1890" t="str">
        <f>IFERROR(VLOOKUP(J1890,LUTs!$A$1:$C$73,2,FALSE),"NA")</f>
        <v>Snohomish</v>
      </c>
      <c r="L1890" t="str">
        <f>IFERROR(VLOOKUP(J1890,LUTs!$A$1:$C$73,3,FALSE),"NA")</f>
        <v>2Central Puget Sound</v>
      </c>
      <c r="M1890" s="72" t="s">
        <v>16</v>
      </c>
      <c r="N1890" t="str">
        <f>VLOOKUP(M1890,LUTs!E$2:H$14,3,)</f>
        <v>03Snohomish</v>
      </c>
      <c r="O1890" t="str">
        <f>VLOOKUP(M1890,LUTs!E$2:H$14,4,)</f>
        <v>01North Puget Sound</v>
      </c>
      <c r="P1890" s="73">
        <v>54.157894736842103</v>
      </c>
      <c r="Q1890" s="74">
        <f>VLOOKUP(B1890,Readme!A$40:C$51,2,)*P1890</f>
        <v>468.4657894736842</v>
      </c>
    </row>
    <row r="1891" spans="1:17" ht="12" customHeight="1" x14ac:dyDescent="0.35">
      <c r="A1891" s="75">
        <v>1890</v>
      </c>
      <c r="B1891" s="64">
        <v>2014</v>
      </c>
      <c r="C1891" s="64">
        <v>6</v>
      </c>
      <c r="D1891" s="80">
        <f t="shared" si="61"/>
        <v>2014</v>
      </c>
      <c r="E1891" t="s">
        <v>38</v>
      </c>
      <c r="F1891" t="s">
        <v>143</v>
      </c>
      <c r="G1891" t="s">
        <v>10</v>
      </c>
      <c r="H1891" s="72" t="s">
        <v>220</v>
      </c>
      <c r="I1891" s="72" t="s">
        <v>62</v>
      </c>
      <c r="J1891" t="str">
        <f t="shared" si="62"/>
        <v>Skykomish River</v>
      </c>
      <c r="K1891" t="str">
        <f>IFERROR(VLOOKUP(J1891,LUTs!$A$1:$C$73,2,FALSE),"NA")</f>
        <v>Snohomish</v>
      </c>
      <c r="L1891" t="str">
        <f>IFERROR(VLOOKUP(J1891,LUTs!$A$1:$C$73,3,FALSE),"NA")</f>
        <v>2Central Puget Sound</v>
      </c>
      <c r="M1891" s="72" t="s">
        <v>21</v>
      </c>
      <c r="N1891" t="str">
        <f>VLOOKUP(M1891,LUTs!E$2:H$14,3,)</f>
        <v>08Thurston</v>
      </c>
      <c r="O1891" t="str">
        <f>VLOOKUP(M1891,LUTs!E$2:H$14,4,)</f>
        <v>02South Puget Sound</v>
      </c>
      <c r="P1891" s="73">
        <v>7.7368421052631602</v>
      </c>
      <c r="Q1891" s="74">
        <f>VLOOKUP(B1891,Readme!A$40:C$51,2,)*P1891</f>
        <v>66.923684210526332</v>
      </c>
    </row>
    <row r="1892" spans="1:17" ht="12" customHeight="1" x14ac:dyDescent="0.35">
      <c r="A1892" s="75">
        <v>1891</v>
      </c>
      <c r="B1892" s="64">
        <v>2014</v>
      </c>
      <c r="C1892" s="64">
        <v>7</v>
      </c>
      <c r="D1892" s="80">
        <f t="shared" si="61"/>
        <v>2014</v>
      </c>
      <c r="E1892" t="s">
        <v>38</v>
      </c>
      <c r="F1892" t="s">
        <v>143</v>
      </c>
      <c r="G1892" t="s">
        <v>10</v>
      </c>
      <c r="H1892" s="72" t="s">
        <v>220</v>
      </c>
      <c r="I1892" s="72" t="s">
        <v>62</v>
      </c>
      <c r="J1892" t="str">
        <f t="shared" si="62"/>
        <v>Skykomish River</v>
      </c>
      <c r="K1892" t="str">
        <f>IFERROR(VLOOKUP(J1892,LUTs!$A$1:$C$73,2,FALSE),"NA")</f>
        <v>Snohomish</v>
      </c>
      <c r="L1892" t="str">
        <f>IFERROR(VLOOKUP(J1892,LUTs!$A$1:$C$73,3,FALSE),"NA")</f>
        <v>2Central Puget Sound</v>
      </c>
      <c r="M1892" s="72" t="s">
        <v>18</v>
      </c>
      <c r="N1892" t="str">
        <f>VLOOKUP(M1892,LUTs!E$2:H$14,3,)</f>
        <v>06King</v>
      </c>
      <c r="O1892" t="str">
        <f>VLOOKUP(M1892,LUTs!E$2:H$14,4,)</f>
        <v>02South Puget Sound</v>
      </c>
      <c r="P1892" s="73">
        <v>22.0588235294118</v>
      </c>
      <c r="Q1892" s="74">
        <f>VLOOKUP(B1892,Readme!A$40:C$51,2,)*P1892</f>
        <v>190.80882352941208</v>
      </c>
    </row>
    <row r="1893" spans="1:17" ht="12" customHeight="1" x14ac:dyDescent="0.35">
      <c r="A1893" s="75">
        <v>1892</v>
      </c>
      <c r="B1893" s="64">
        <v>2014</v>
      </c>
      <c r="C1893" s="64">
        <v>7</v>
      </c>
      <c r="D1893" s="80">
        <f t="shared" si="61"/>
        <v>2014</v>
      </c>
      <c r="E1893" t="s">
        <v>38</v>
      </c>
      <c r="F1893" t="s">
        <v>143</v>
      </c>
      <c r="G1893" t="s">
        <v>10</v>
      </c>
      <c r="H1893" s="72" t="s">
        <v>220</v>
      </c>
      <c r="I1893" s="72" t="s">
        <v>62</v>
      </c>
      <c r="J1893" t="str">
        <f t="shared" si="62"/>
        <v>Skykomish River</v>
      </c>
      <c r="K1893" t="str">
        <f>IFERROR(VLOOKUP(J1893,LUTs!$A$1:$C$73,2,FALSE),"NA")</f>
        <v>Snohomish</v>
      </c>
      <c r="L1893" t="str">
        <f>IFERROR(VLOOKUP(J1893,LUTs!$A$1:$C$73,3,FALSE),"NA")</f>
        <v>2Central Puget Sound</v>
      </c>
      <c r="M1893" s="72" t="s">
        <v>26</v>
      </c>
      <c r="N1893" t="str">
        <f>VLOOKUP(M1893,LUTs!E$2:H$14,3,)</f>
        <v>20Other</v>
      </c>
      <c r="O1893" t="str">
        <f>VLOOKUP(M1893,LUTs!E$2:H$14,4,)</f>
        <v>07Non Puget Sound</v>
      </c>
      <c r="P1893" s="73">
        <v>7.3529411764705896</v>
      </c>
      <c r="Q1893" s="74">
        <f>VLOOKUP(B1893,Readme!A$40:C$51,2,)*P1893</f>
        <v>63.602941176470601</v>
      </c>
    </row>
    <row r="1894" spans="1:17" ht="12" customHeight="1" x14ac:dyDescent="0.35">
      <c r="A1894" s="75">
        <v>1893</v>
      </c>
      <c r="B1894" s="64">
        <v>2014</v>
      </c>
      <c r="C1894" s="64">
        <v>7</v>
      </c>
      <c r="D1894" s="80">
        <f t="shared" si="61"/>
        <v>2014</v>
      </c>
      <c r="E1894" t="s">
        <v>38</v>
      </c>
      <c r="F1894" t="s">
        <v>143</v>
      </c>
      <c r="G1894" t="s">
        <v>10</v>
      </c>
      <c r="H1894" s="72" t="s">
        <v>220</v>
      </c>
      <c r="I1894" s="72" t="s">
        <v>62</v>
      </c>
      <c r="J1894" t="str">
        <f t="shared" si="62"/>
        <v>Skykomish River</v>
      </c>
      <c r="K1894" t="str">
        <f>IFERROR(VLOOKUP(J1894,LUTs!$A$1:$C$73,2,FALSE),"NA")</f>
        <v>Snohomish</v>
      </c>
      <c r="L1894" t="str">
        <f>IFERROR(VLOOKUP(J1894,LUTs!$A$1:$C$73,3,FALSE),"NA")</f>
        <v>2Central Puget Sound</v>
      </c>
      <c r="M1894" s="72" t="s">
        <v>20</v>
      </c>
      <c r="N1894" t="str">
        <f>VLOOKUP(M1894,LUTs!E$2:H$14,3,)</f>
        <v>07Pierce</v>
      </c>
      <c r="O1894" t="str">
        <f>VLOOKUP(M1894,LUTs!E$2:H$14,4,)</f>
        <v>02South Puget Sound</v>
      </c>
      <c r="P1894" s="73">
        <v>7.3529411764705896</v>
      </c>
      <c r="Q1894" s="74">
        <f>VLOOKUP(B1894,Readme!A$40:C$51,2,)*P1894</f>
        <v>63.602941176470601</v>
      </c>
    </row>
    <row r="1895" spans="1:17" ht="12" customHeight="1" x14ac:dyDescent="0.35">
      <c r="A1895" s="75">
        <v>1894</v>
      </c>
      <c r="B1895" s="64">
        <v>2014</v>
      </c>
      <c r="C1895" s="64">
        <v>7</v>
      </c>
      <c r="D1895" s="80">
        <f t="shared" si="61"/>
        <v>2014</v>
      </c>
      <c r="E1895" t="s">
        <v>38</v>
      </c>
      <c r="F1895" t="s">
        <v>143</v>
      </c>
      <c r="G1895" t="s">
        <v>10</v>
      </c>
      <c r="H1895" s="72" t="s">
        <v>220</v>
      </c>
      <c r="I1895" s="72" t="s">
        <v>62</v>
      </c>
      <c r="J1895" t="str">
        <f t="shared" si="62"/>
        <v>Skykomish River</v>
      </c>
      <c r="K1895" t="str">
        <f>IFERROR(VLOOKUP(J1895,LUTs!$A$1:$C$73,2,FALSE),"NA")</f>
        <v>Snohomish</v>
      </c>
      <c r="L1895" t="str">
        <f>IFERROR(VLOOKUP(J1895,LUTs!$A$1:$C$73,3,FALSE),"NA")</f>
        <v>2Central Puget Sound</v>
      </c>
      <c r="M1895" s="72" t="s">
        <v>16</v>
      </c>
      <c r="N1895" t="str">
        <f>VLOOKUP(M1895,LUTs!E$2:H$14,3,)</f>
        <v>03Snohomish</v>
      </c>
      <c r="O1895" t="str">
        <f>VLOOKUP(M1895,LUTs!E$2:H$14,4,)</f>
        <v>01North Puget Sound</v>
      </c>
      <c r="P1895" s="73">
        <v>51.470588235294102</v>
      </c>
      <c r="Q1895" s="74">
        <f>VLOOKUP(B1895,Readme!A$40:C$51,2,)*P1895</f>
        <v>445.22058823529397</v>
      </c>
    </row>
    <row r="1896" spans="1:17" ht="12" customHeight="1" x14ac:dyDescent="0.35">
      <c r="A1896" s="75">
        <v>1895</v>
      </c>
      <c r="B1896" s="64">
        <v>2014</v>
      </c>
      <c r="C1896" s="64">
        <v>7</v>
      </c>
      <c r="D1896" s="80">
        <f t="shared" si="61"/>
        <v>2014</v>
      </c>
      <c r="E1896" t="s">
        <v>38</v>
      </c>
      <c r="F1896" t="s">
        <v>143</v>
      </c>
      <c r="G1896" t="s">
        <v>10</v>
      </c>
      <c r="H1896" s="72" t="s">
        <v>220</v>
      </c>
      <c r="I1896" s="72" t="s">
        <v>62</v>
      </c>
      <c r="J1896" t="str">
        <f t="shared" si="62"/>
        <v>Skykomish River</v>
      </c>
      <c r="K1896" t="str">
        <f>IFERROR(VLOOKUP(J1896,LUTs!$A$1:$C$73,2,FALSE),"NA")</f>
        <v>Snohomish</v>
      </c>
      <c r="L1896" t="str">
        <f>IFERROR(VLOOKUP(J1896,LUTs!$A$1:$C$73,3,FALSE),"NA")</f>
        <v>2Central Puget Sound</v>
      </c>
      <c r="M1896" s="72" t="s">
        <v>21</v>
      </c>
      <c r="N1896" t="str">
        <f>VLOOKUP(M1896,LUTs!E$2:H$14,3,)</f>
        <v>08Thurston</v>
      </c>
      <c r="O1896" t="str">
        <f>VLOOKUP(M1896,LUTs!E$2:H$14,4,)</f>
        <v>02South Puget Sound</v>
      </c>
      <c r="P1896" s="73">
        <v>36.764705882352899</v>
      </c>
      <c r="Q1896" s="74">
        <f>VLOOKUP(B1896,Readme!A$40:C$51,2,)*P1896</f>
        <v>318.01470588235259</v>
      </c>
    </row>
    <row r="1897" spans="1:17" ht="12" customHeight="1" x14ac:dyDescent="0.35">
      <c r="A1897" s="75">
        <v>1896</v>
      </c>
      <c r="B1897" s="64">
        <v>2014</v>
      </c>
      <c r="C1897" s="64">
        <v>9</v>
      </c>
      <c r="D1897" s="80">
        <f t="shared" si="61"/>
        <v>2014</v>
      </c>
      <c r="E1897" t="s">
        <v>38</v>
      </c>
      <c r="F1897" t="s">
        <v>143</v>
      </c>
      <c r="G1897" t="s">
        <v>10</v>
      </c>
      <c r="H1897" s="72" t="s">
        <v>220</v>
      </c>
      <c r="I1897" s="72" t="s">
        <v>62</v>
      </c>
      <c r="J1897" t="str">
        <f t="shared" si="62"/>
        <v>Skykomish River</v>
      </c>
      <c r="K1897" t="str">
        <f>IFERROR(VLOOKUP(J1897,LUTs!$A$1:$C$73,2,FALSE),"NA")</f>
        <v>Snohomish</v>
      </c>
      <c r="L1897" t="str">
        <f>IFERROR(VLOOKUP(J1897,LUTs!$A$1:$C$73,3,FALSE),"NA")</f>
        <v>2Central Puget Sound</v>
      </c>
      <c r="M1897" s="72" t="s">
        <v>18</v>
      </c>
      <c r="N1897" t="str">
        <f>VLOOKUP(M1897,LUTs!E$2:H$14,3,)</f>
        <v>06King</v>
      </c>
      <c r="O1897" t="str">
        <f>VLOOKUP(M1897,LUTs!E$2:H$14,4,)</f>
        <v>02South Puget Sound</v>
      </c>
      <c r="P1897" s="73">
        <v>28.685714285714301</v>
      </c>
      <c r="Q1897" s="74">
        <f>VLOOKUP(B1897,Readme!A$40:C$51,2,)*P1897</f>
        <v>248.13142857142873</v>
      </c>
    </row>
    <row r="1898" spans="1:17" ht="12" customHeight="1" x14ac:dyDescent="0.35">
      <c r="A1898" s="75">
        <v>1897</v>
      </c>
      <c r="B1898" s="64">
        <v>2014</v>
      </c>
      <c r="C1898" s="64">
        <v>9</v>
      </c>
      <c r="D1898" s="80">
        <f t="shared" si="61"/>
        <v>2014</v>
      </c>
      <c r="E1898" t="s">
        <v>38</v>
      </c>
      <c r="F1898" t="s">
        <v>143</v>
      </c>
      <c r="G1898" t="s">
        <v>10</v>
      </c>
      <c r="H1898" s="72" t="s">
        <v>220</v>
      </c>
      <c r="I1898" s="72" t="s">
        <v>62</v>
      </c>
      <c r="J1898" t="str">
        <f t="shared" si="62"/>
        <v>Skykomish River</v>
      </c>
      <c r="K1898" t="str">
        <f>IFERROR(VLOOKUP(J1898,LUTs!$A$1:$C$73,2,FALSE),"NA")</f>
        <v>Snohomish</v>
      </c>
      <c r="L1898" t="str">
        <f>IFERROR(VLOOKUP(J1898,LUTs!$A$1:$C$73,3,FALSE),"NA")</f>
        <v>2Central Puget Sound</v>
      </c>
      <c r="M1898" s="72" t="s">
        <v>26</v>
      </c>
      <c r="N1898" t="str">
        <f>VLOOKUP(M1898,LUTs!E$2:H$14,3,)</f>
        <v>20Other</v>
      </c>
      <c r="O1898" t="str">
        <f>VLOOKUP(M1898,LUTs!E$2:H$14,4,)</f>
        <v>07Non Puget Sound</v>
      </c>
      <c r="P1898" s="73">
        <v>43.028571428571396</v>
      </c>
      <c r="Q1898" s="74">
        <f>VLOOKUP(B1898,Readme!A$40:C$51,2,)*P1898</f>
        <v>372.19714285714258</v>
      </c>
    </row>
    <row r="1899" spans="1:17" ht="12" customHeight="1" x14ac:dyDescent="0.35">
      <c r="A1899" s="75">
        <v>1898</v>
      </c>
      <c r="B1899" s="64">
        <v>2014</v>
      </c>
      <c r="C1899" s="64">
        <v>9</v>
      </c>
      <c r="D1899" s="80">
        <f t="shared" si="61"/>
        <v>2014</v>
      </c>
      <c r="E1899" t="s">
        <v>38</v>
      </c>
      <c r="F1899" t="s">
        <v>143</v>
      </c>
      <c r="G1899" t="s">
        <v>10</v>
      </c>
      <c r="H1899" s="72" t="s">
        <v>220</v>
      </c>
      <c r="I1899" s="72" t="s">
        <v>62</v>
      </c>
      <c r="J1899" t="str">
        <f t="shared" si="62"/>
        <v>Skykomish River</v>
      </c>
      <c r="K1899" t="str">
        <f>IFERROR(VLOOKUP(J1899,LUTs!$A$1:$C$73,2,FALSE),"NA")</f>
        <v>Snohomish</v>
      </c>
      <c r="L1899" t="str">
        <f>IFERROR(VLOOKUP(J1899,LUTs!$A$1:$C$73,3,FALSE),"NA")</f>
        <v>2Central Puget Sound</v>
      </c>
      <c r="M1899" s="72" t="s">
        <v>16</v>
      </c>
      <c r="N1899" t="str">
        <f>VLOOKUP(M1899,LUTs!E$2:H$14,3,)</f>
        <v>03Snohomish</v>
      </c>
      <c r="O1899" t="str">
        <f>VLOOKUP(M1899,LUTs!E$2:H$14,4,)</f>
        <v>01North Puget Sound</v>
      </c>
      <c r="P1899" s="73">
        <v>172.11428571428601</v>
      </c>
      <c r="Q1899" s="74">
        <f>VLOOKUP(B1899,Readme!A$40:C$51,2,)*P1899</f>
        <v>1488.788571428574</v>
      </c>
    </row>
    <row r="1900" spans="1:17" ht="12" customHeight="1" x14ac:dyDescent="0.35">
      <c r="A1900" s="75">
        <v>1899</v>
      </c>
      <c r="B1900" s="64">
        <v>2014</v>
      </c>
      <c r="C1900" s="64">
        <v>9</v>
      </c>
      <c r="D1900" s="80">
        <f t="shared" si="61"/>
        <v>2014</v>
      </c>
      <c r="E1900" t="s">
        <v>38</v>
      </c>
      <c r="F1900" t="s">
        <v>143</v>
      </c>
      <c r="G1900" t="s">
        <v>10</v>
      </c>
      <c r="H1900" s="72" t="s">
        <v>220</v>
      </c>
      <c r="I1900" s="72" t="s">
        <v>62</v>
      </c>
      <c r="J1900" t="str">
        <f t="shared" si="62"/>
        <v>Skykomish River</v>
      </c>
      <c r="K1900" t="str">
        <f>IFERROR(VLOOKUP(J1900,LUTs!$A$1:$C$73,2,FALSE),"NA")</f>
        <v>Snohomish</v>
      </c>
      <c r="L1900" t="str">
        <f>IFERROR(VLOOKUP(J1900,LUTs!$A$1:$C$73,3,FALSE),"NA")</f>
        <v>2Central Puget Sound</v>
      </c>
      <c r="M1900" s="72" t="s">
        <v>13</v>
      </c>
      <c r="N1900" t="str">
        <f>VLOOKUP(M1900,LUTs!E$2:H$14,3,)</f>
        <v>01Whatcom</v>
      </c>
      <c r="O1900" t="str">
        <f>VLOOKUP(M1900,LUTs!E$2:H$14,4,)</f>
        <v>01North Puget Sound</v>
      </c>
      <c r="P1900" s="73">
        <v>7.1714285714285699</v>
      </c>
      <c r="Q1900" s="74">
        <f>VLOOKUP(B1900,Readme!A$40:C$51,2,)*P1900</f>
        <v>62.032857142857132</v>
      </c>
    </row>
    <row r="1901" spans="1:17" ht="12" customHeight="1" x14ac:dyDescent="0.35">
      <c r="A1901" s="75">
        <v>1900</v>
      </c>
      <c r="B1901" s="64">
        <v>2014</v>
      </c>
      <c r="C1901" s="64">
        <v>10</v>
      </c>
      <c r="D1901" s="80">
        <f t="shared" si="61"/>
        <v>2014</v>
      </c>
      <c r="E1901" t="s">
        <v>38</v>
      </c>
      <c r="F1901" t="s">
        <v>143</v>
      </c>
      <c r="G1901" t="s">
        <v>10</v>
      </c>
      <c r="H1901" s="72" t="s">
        <v>220</v>
      </c>
      <c r="I1901" s="72" t="s">
        <v>62</v>
      </c>
      <c r="J1901" t="str">
        <f t="shared" si="62"/>
        <v>Skykomish River</v>
      </c>
      <c r="K1901" t="str">
        <f>IFERROR(VLOOKUP(J1901,LUTs!$A$1:$C$73,2,FALSE),"NA")</f>
        <v>Snohomish</v>
      </c>
      <c r="L1901" t="str">
        <f>IFERROR(VLOOKUP(J1901,LUTs!$A$1:$C$73,3,FALSE),"NA")</f>
        <v>2Central Puget Sound</v>
      </c>
      <c r="M1901" s="72" t="s">
        <v>24</v>
      </c>
      <c r="N1901" t="str">
        <f>VLOOKUP(M1901,LUTs!E$2:H$14,3,)</f>
        <v>11Clallam</v>
      </c>
      <c r="O1901" t="str">
        <f>VLOOKUP(M1901,LUTs!E$2:H$14,4,)</f>
        <v>03Strait of Juan de Fuca</v>
      </c>
      <c r="P1901" s="73">
        <v>14.35</v>
      </c>
      <c r="Q1901" s="74">
        <f>VLOOKUP(B1901,Readme!A$40:C$51,2,)*P1901</f>
        <v>124.1275</v>
      </c>
    </row>
    <row r="1902" spans="1:17" ht="12" customHeight="1" x14ac:dyDescent="0.35">
      <c r="A1902" s="75">
        <v>1901</v>
      </c>
      <c r="B1902" s="64">
        <v>2014</v>
      </c>
      <c r="C1902" s="64">
        <v>10</v>
      </c>
      <c r="D1902" s="80">
        <f t="shared" si="61"/>
        <v>2014</v>
      </c>
      <c r="E1902" t="s">
        <v>38</v>
      </c>
      <c r="F1902" t="s">
        <v>143</v>
      </c>
      <c r="G1902" t="s">
        <v>10</v>
      </c>
      <c r="H1902" s="72" t="s">
        <v>220</v>
      </c>
      <c r="I1902" s="72" t="s">
        <v>62</v>
      </c>
      <c r="J1902" t="str">
        <f t="shared" si="62"/>
        <v>Skykomish River</v>
      </c>
      <c r="K1902" t="str">
        <f>IFERROR(VLOOKUP(J1902,LUTs!$A$1:$C$73,2,FALSE),"NA")</f>
        <v>Snohomish</v>
      </c>
      <c r="L1902" t="str">
        <f>IFERROR(VLOOKUP(J1902,LUTs!$A$1:$C$73,3,FALSE),"NA")</f>
        <v>2Central Puget Sound</v>
      </c>
      <c r="M1902" s="72" t="s">
        <v>18</v>
      </c>
      <c r="N1902" t="str">
        <f>VLOOKUP(M1902,LUTs!E$2:H$14,3,)</f>
        <v>06King</v>
      </c>
      <c r="O1902" t="str">
        <f>VLOOKUP(M1902,LUTs!E$2:H$14,4,)</f>
        <v>02South Puget Sound</v>
      </c>
      <c r="P1902" s="73">
        <v>351.57499999999999</v>
      </c>
      <c r="Q1902" s="74">
        <f>VLOOKUP(B1902,Readme!A$40:C$51,2,)*P1902</f>
        <v>3041.1237500000002</v>
      </c>
    </row>
    <row r="1903" spans="1:17" ht="12" customHeight="1" x14ac:dyDescent="0.35">
      <c r="A1903" s="75">
        <v>1902</v>
      </c>
      <c r="B1903" s="64">
        <v>2014</v>
      </c>
      <c r="C1903" s="64">
        <v>10</v>
      </c>
      <c r="D1903" s="80">
        <f t="shared" si="61"/>
        <v>2014</v>
      </c>
      <c r="E1903" t="s">
        <v>38</v>
      </c>
      <c r="F1903" t="s">
        <v>143</v>
      </c>
      <c r="G1903" t="s">
        <v>10</v>
      </c>
      <c r="H1903" s="72" t="s">
        <v>220</v>
      </c>
      <c r="I1903" s="72" t="s">
        <v>62</v>
      </c>
      <c r="J1903" t="str">
        <f t="shared" si="62"/>
        <v>Skykomish River</v>
      </c>
      <c r="K1903" t="str">
        <f>IFERROR(VLOOKUP(J1903,LUTs!$A$1:$C$73,2,FALSE),"NA")</f>
        <v>Snohomish</v>
      </c>
      <c r="L1903" t="str">
        <f>IFERROR(VLOOKUP(J1903,LUTs!$A$1:$C$73,3,FALSE),"NA")</f>
        <v>2Central Puget Sound</v>
      </c>
      <c r="M1903" s="72" t="s">
        <v>15</v>
      </c>
      <c r="N1903" t="str">
        <f>VLOOKUP(M1903,LUTs!E$2:H$14,3,)</f>
        <v>02Skagit</v>
      </c>
      <c r="O1903" t="str">
        <f>VLOOKUP(M1903,LUTs!E$2:H$14,4,)</f>
        <v>01North Puget Sound</v>
      </c>
      <c r="P1903" s="73">
        <v>14.35</v>
      </c>
      <c r="Q1903" s="74">
        <f>VLOOKUP(B1903,Readme!A$40:C$51,2,)*P1903</f>
        <v>124.1275</v>
      </c>
    </row>
    <row r="1904" spans="1:17" ht="12" customHeight="1" x14ac:dyDescent="0.35">
      <c r="A1904" s="75">
        <v>1903</v>
      </c>
      <c r="B1904" s="64">
        <v>2014</v>
      </c>
      <c r="C1904" s="64">
        <v>10</v>
      </c>
      <c r="D1904" s="80">
        <f t="shared" si="61"/>
        <v>2014</v>
      </c>
      <c r="E1904" t="s">
        <v>38</v>
      </c>
      <c r="F1904" t="s">
        <v>143</v>
      </c>
      <c r="G1904" t="s">
        <v>10</v>
      </c>
      <c r="H1904" s="72" t="s">
        <v>220</v>
      </c>
      <c r="I1904" s="72" t="s">
        <v>62</v>
      </c>
      <c r="J1904" t="str">
        <f t="shared" si="62"/>
        <v>Skykomish River</v>
      </c>
      <c r="K1904" t="str">
        <f>IFERROR(VLOOKUP(J1904,LUTs!$A$1:$C$73,2,FALSE),"NA")</f>
        <v>Snohomish</v>
      </c>
      <c r="L1904" t="str">
        <f>IFERROR(VLOOKUP(J1904,LUTs!$A$1:$C$73,3,FALSE),"NA")</f>
        <v>2Central Puget Sound</v>
      </c>
      <c r="M1904" s="72" t="s">
        <v>16</v>
      </c>
      <c r="N1904" t="str">
        <f>VLOOKUP(M1904,LUTs!E$2:H$14,3,)</f>
        <v>03Snohomish</v>
      </c>
      <c r="O1904" t="str">
        <f>VLOOKUP(M1904,LUTs!E$2:H$14,4,)</f>
        <v>01North Puget Sound</v>
      </c>
      <c r="P1904" s="73">
        <v>473.55</v>
      </c>
      <c r="Q1904" s="74">
        <f>VLOOKUP(B1904,Readme!A$40:C$51,2,)*P1904</f>
        <v>4096.2075000000004</v>
      </c>
    </row>
    <row r="1905" spans="1:17" ht="12" customHeight="1" x14ac:dyDescent="0.35">
      <c r="A1905" s="75">
        <v>1904</v>
      </c>
      <c r="B1905" s="64">
        <v>2014</v>
      </c>
      <c r="C1905" s="64">
        <v>10</v>
      </c>
      <c r="D1905" s="80">
        <f t="shared" si="61"/>
        <v>2014</v>
      </c>
      <c r="E1905" t="s">
        <v>38</v>
      </c>
      <c r="F1905" t="s">
        <v>143</v>
      </c>
      <c r="G1905" t="s">
        <v>10</v>
      </c>
      <c r="H1905" s="72" t="s">
        <v>220</v>
      </c>
      <c r="I1905" s="72" t="s">
        <v>62</v>
      </c>
      <c r="J1905" t="str">
        <f t="shared" si="62"/>
        <v>Skykomish River</v>
      </c>
      <c r="K1905" t="str">
        <f>IFERROR(VLOOKUP(J1905,LUTs!$A$1:$C$73,2,FALSE),"NA")</f>
        <v>Snohomish</v>
      </c>
      <c r="L1905" t="str">
        <f>IFERROR(VLOOKUP(J1905,LUTs!$A$1:$C$73,3,FALSE),"NA")</f>
        <v>2Central Puget Sound</v>
      </c>
      <c r="M1905" s="72" t="s">
        <v>21</v>
      </c>
      <c r="N1905" t="str">
        <f>VLOOKUP(M1905,LUTs!E$2:H$14,3,)</f>
        <v>08Thurston</v>
      </c>
      <c r="O1905" t="str">
        <f>VLOOKUP(M1905,LUTs!E$2:H$14,4,)</f>
        <v>02South Puget Sound</v>
      </c>
      <c r="P1905" s="73">
        <v>7.1749999999999998</v>
      </c>
      <c r="Q1905" s="74">
        <f>VLOOKUP(B1905,Readme!A$40:C$51,2,)*P1905</f>
        <v>62.063749999999999</v>
      </c>
    </row>
    <row r="1906" spans="1:17" ht="12" customHeight="1" x14ac:dyDescent="0.35">
      <c r="A1906" s="75">
        <v>1905</v>
      </c>
      <c r="B1906" s="64">
        <v>2014</v>
      </c>
      <c r="C1906" s="64">
        <v>11</v>
      </c>
      <c r="D1906" s="80">
        <f t="shared" si="61"/>
        <v>2014</v>
      </c>
      <c r="E1906" t="s">
        <v>38</v>
      </c>
      <c r="F1906" t="s">
        <v>143</v>
      </c>
      <c r="G1906" t="s">
        <v>10</v>
      </c>
      <c r="H1906" s="72" t="s">
        <v>220</v>
      </c>
      <c r="I1906" s="72" t="s">
        <v>62</v>
      </c>
      <c r="J1906" t="str">
        <f t="shared" si="62"/>
        <v>Skykomish River</v>
      </c>
      <c r="K1906" t="str">
        <f>IFERROR(VLOOKUP(J1906,LUTs!$A$1:$C$73,2,FALSE),"NA")</f>
        <v>Snohomish</v>
      </c>
      <c r="L1906" t="str">
        <f>IFERROR(VLOOKUP(J1906,LUTs!$A$1:$C$73,3,FALSE),"NA")</f>
        <v>2Central Puget Sound</v>
      </c>
      <c r="M1906" s="72" t="s">
        <v>18</v>
      </c>
      <c r="N1906" t="str">
        <f>VLOOKUP(M1906,LUTs!E$2:H$14,3,)</f>
        <v>06King</v>
      </c>
      <c r="O1906" t="str">
        <f>VLOOKUP(M1906,LUTs!E$2:H$14,4,)</f>
        <v>02South Puget Sound</v>
      </c>
      <c r="P1906" s="73">
        <v>28.615384615384599</v>
      </c>
      <c r="Q1906" s="74">
        <f>VLOOKUP(B1906,Readme!A$40:C$51,2,)*P1906</f>
        <v>247.52307692307679</v>
      </c>
    </row>
    <row r="1907" spans="1:17" ht="12" customHeight="1" x14ac:dyDescent="0.35">
      <c r="A1907" s="75">
        <v>1906</v>
      </c>
      <c r="B1907" s="64">
        <v>2014</v>
      </c>
      <c r="C1907" s="64">
        <v>11</v>
      </c>
      <c r="D1907" s="80">
        <f t="shared" si="61"/>
        <v>2014</v>
      </c>
      <c r="E1907" t="s">
        <v>38</v>
      </c>
      <c r="F1907" t="s">
        <v>143</v>
      </c>
      <c r="G1907" t="s">
        <v>10</v>
      </c>
      <c r="H1907" s="72" t="s">
        <v>220</v>
      </c>
      <c r="I1907" s="72" t="s">
        <v>62</v>
      </c>
      <c r="J1907" t="str">
        <f t="shared" si="62"/>
        <v>Skykomish River</v>
      </c>
      <c r="K1907" t="str">
        <f>IFERROR(VLOOKUP(J1907,LUTs!$A$1:$C$73,2,FALSE),"NA")</f>
        <v>Snohomish</v>
      </c>
      <c r="L1907" t="str">
        <f>IFERROR(VLOOKUP(J1907,LUTs!$A$1:$C$73,3,FALSE),"NA")</f>
        <v>2Central Puget Sound</v>
      </c>
      <c r="M1907" s="72" t="s">
        <v>15</v>
      </c>
      <c r="N1907" t="str">
        <f>VLOOKUP(M1907,LUTs!E$2:H$14,3,)</f>
        <v>02Skagit</v>
      </c>
      <c r="O1907" t="str">
        <f>VLOOKUP(M1907,LUTs!E$2:H$14,4,)</f>
        <v>01North Puget Sound</v>
      </c>
      <c r="P1907" s="73">
        <v>14.307692307692299</v>
      </c>
      <c r="Q1907" s="74">
        <f>VLOOKUP(B1907,Readme!A$40:C$51,2,)*P1907</f>
        <v>123.76153846153839</v>
      </c>
    </row>
    <row r="1908" spans="1:17" ht="12" customHeight="1" x14ac:dyDescent="0.35">
      <c r="A1908" s="75">
        <v>1907</v>
      </c>
      <c r="B1908" s="64">
        <v>2014</v>
      </c>
      <c r="C1908" s="64">
        <v>11</v>
      </c>
      <c r="D1908" s="80">
        <f t="shared" si="61"/>
        <v>2014</v>
      </c>
      <c r="E1908" t="s">
        <v>38</v>
      </c>
      <c r="F1908" t="s">
        <v>143</v>
      </c>
      <c r="G1908" t="s">
        <v>10</v>
      </c>
      <c r="H1908" s="72" t="s">
        <v>220</v>
      </c>
      <c r="I1908" s="72" t="s">
        <v>62</v>
      </c>
      <c r="J1908" t="str">
        <f t="shared" si="62"/>
        <v>Skykomish River</v>
      </c>
      <c r="K1908" t="str">
        <f>IFERROR(VLOOKUP(J1908,LUTs!$A$1:$C$73,2,FALSE),"NA")</f>
        <v>Snohomish</v>
      </c>
      <c r="L1908" t="str">
        <f>IFERROR(VLOOKUP(J1908,LUTs!$A$1:$C$73,3,FALSE),"NA")</f>
        <v>2Central Puget Sound</v>
      </c>
      <c r="M1908" s="72" t="s">
        <v>16</v>
      </c>
      <c r="N1908" t="str">
        <f>VLOOKUP(M1908,LUTs!E$2:H$14,3,)</f>
        <v>03Snohomish</v>
      </c>
      <c r="O1908" t="str">
        <f>VLOOKUP(M1908,LUTs!E$2:H$14,4,)</f>
        <v>01North Puget Sound</v>
      </c>
      <c r="P1908" s="73">
        <v>50.076923076923102</v>
      </c>
      <c r="Q1908" s="74">
        <f>VLOOKUP(B1908,Readme!A$40:C$51,2,)*P1908</f>
        <v>433.16538461538482</v>
      </c>
    </row>
    <row r="1909" spans="1:17" ht="12" customHeight="1" x14ac:dyDescent="0.35">
      <c r="A1909" s="75">
        <v>1908</v>
      </c>
      <c r="B1909" s="64">
        <v>2014</v>
      </c>
      <c r="C1909" s="64">
        <v>12</v>
      </c>
      <c r="D1909" s="80">
        <f t="shared" si="61"/>
        <v>2014</v>
      </c>
      <c r="E1909" t="s">
        <v>38</v>
      </c>
      <c r="F1909" t="s">
        <v>143</v>
      </c>
      <c r="G1909" t="s">
        <v>10</v>
      </c>
      <c r="H1909" s="72" t="s">
        <v>220</v>
      </c>
      <c r="I1909" s="72" t="s">
        <v>62</v>
      </c>
      <c r="J1909" t="str">
        <f t="shared" si="62"/>
        <v>Skykomish River</v>
      </c>
      <c r="K1909" t="str">
        <f>IFERROR(VLOOKUP(J1909,LUTs!$A$1:$C$73,2,FALSE),"NA")</f>
        <v>Snohomish</v>
      </c>
      <c r="L1909" t="str">
        <f>IFERROR(VLOOKUP(J1909,LUTs!$A$1:$C$73,3,FALSE),"NA")</f>
        <v>2Central Puget Sound</v>
      </c>
      <c r="M1909" s="72" t="s">
        <v>18</v>
      </c>
      <c r="N1909" t="str">
        <f>VLOOKUP(M1909,LUTs!E$2:H$14,3,)</f>
        <v>06King</v>
      </c>
      <c r="O1909" t="str">
        <f>VLOOKUP(M1909,LUTs!E$2:H$14,4,)</f>
        <v>02South Puget Sound</v>
      </c>
      <c r="P1909" s="73">
        <v>7.3333333333333401</v>
      </c>
      <c r="Q1909" s="74">
        <f>VLOOKUP(B1909,Readme!A$40:C$51,2,)*P1909</f>
        <v>63.433333333333394</v>
      </c>
    </row>
    <row r="1910" spans="1:17" ht="12" customHeight="1" x14ac:dyDescent="0.35">
      <c r="A1910" s="75">
        <v>1909</v>
      </c>
      <c r="B1910" s="64">
        <v>2014</v>
      </c>
      <c r="C1910" s="64">
        <v>12</v>
      </c>
      <c r="D1910" s="80">
        <f t="shared" si="61"/>
        <v>2014</v>
      </c>
      <c r="E1910" t="s">
        <v>38</v>
      </c>
      <c r="F1910" t="s">
        <v>143</v>
      </c>
      <c r="G1910" t="s">
        <v>10</v>
      </c>
      <c r="H1910" s="72" t="s">
        <v>220</v>
      </c>
      <c r="I1910" s="72" t="s">
        <v>62</v>
      </c>
      <c r="J1910" t="str">
        <f t="shared" si="62"/>
        <v>Skykomish River</v>
      </c>
      <c r="K1910" t="str">
        <f>IFERROR(VLOOKUP(J1910,LUTs!$A$1:$C$73,2,FALSE),"NA")</f>
        <v>Snohomish</v>
      </c>
      <c r="L1910" t="str">
        <f>IFERROR(VLOOKUP(J1910,LUTs!$A$1:$C$73,3,FALSE),"NA")</f>
        <v>2Central Puget Sound</v>
      </c>
      <c r="M1910" s="72" t="s">
        <v>16</v>
      </c>
      <c r="N1910" t="str">
        <f>VLOOKUP(M1910,LUTs!E$2:H$14,3,)</f>
        <v>03Snohomish</v>
      </c>
      <c r="O1910" t="str">
        <f>VLOOKUP(M1910,LUTs!E$2:H$14,4,)</f>
        <v>01North Puget Sound</v>
      </c>
      <c r="P1910" s="73">
        <v>14.6666666666667</v>
      </c>
      <c r="Q1910" s="74">
        <f>VLOOKUP(B1910,Readme!A$40:C$51,2,)*P1910</f>
        <v>126.86666666666696</v>
      </c>
    </row>
    <row r="1911" spans="1:17" ht="12" customHeight="1" x14ac:dyDescent="0.35">
      <c r="A1911" s="75">
        <v>1910</v>
      </c>
      <c r="B1911" s="64">
        <v>2014</v>
      </c>
      <c r="C1911" s="64">
        <v>9</v>
      </c>
      <c r="D1911" s="80">
        <f t="shared" si="61"/>
        <v>2014</v>
      </c>
      <c r="E1911" t="s">
        <v>38</v>
      </c>
      <c r="F1911" t="s">
        <v>143</v>
      </c>
      <c r="G1911" t="s">
        <v>10</v>
      </c>
      <c r="H1911" s="72" t="s">
        <v>221</v>
      </c>
      <c r="I1911" s="72" t="s">
        <v>63</v>
      </c>
      <c r="J1911" t="str">
        <f t="shared" si="62"/>
        <v>Snohomish River</v>
      </c>
      <c r="K1911" t="str">
        <f>IFERROR(VLOOKUP(J1911,LUTs!$A$1:$C$73,2,FALSE),"NA")</f>
        <v>Snohomish</v>
      </c>
      <c r="L1911" t="str">
        <f>IFERROR(VLOOKUP(J1911,LUTs!$A$1:$C$73,3,FALSE),"NA")</f>
        <v>2Central Puget Sound</v>
      </c>
      <c r="M1911" s="72" t="s">
        <v>17</v>
      </c>
      <c r="N1911" t="str">
        <f>VLOOKUP(M1911,LUTs!E$2:H$14,3,)</f>
        <v>04Island</v>
      </c>
      <c r="O1911" t="str">
        <f>VLOOKUP(M1911,LUTs!E$2:H$14,4,)</f>
        <v>01North Puget Sound</v>
      </c>
      <c r="P1911" s="73">
        <v>7.1780821917808204</v>
      </c>
      <c r="Q1911" s="74">
        <f>VLOOKUP(B1911,Readme!A$40:C$51,2,)*P1911</f>
        <v>62.090410958904101</v>
      </c>
    </row>
    <row r="1912" spans="1:17" ht="12" customHeight="1" x14ac:dyDescent="0.35">
      <c r="A1912" s="75">
        <v>1911</v>
      </c>
      <c r="B1912" s="64">
        <v>2014</v>
      </c>
      <c r="C1912" s="64">
        <v>9</v>
      </c>
      <c r="D1912" s="80">
        <f t="shared" si="61"/>
        <v>2014</v>
      </c>
      <c r="E1912" t="s">
        <v>38</v>
      </c>
      <c r="F1912" t="s">
        <v>143</v>
      </c>
      <c r="G1912" t="s">
        <v>10</v>
      </c>
      <c r="H1912" s="72" t="s">
        <v>221</v>
      </c>
      <c r="I1912" s="72" t="s">
        <v>63</v>
      </c>
      <c r="J1912" t="str">
        <f t="shared" si="62"/>
        <v>Snohomish River</v>
      </c>
      <c r="K1912" t="str">
        <f>IFERROR(VLOOKUP(J1912,LUTs!$A$1:$C$73,2,FALSE),"NA")</f>
        <v>Snohomish</v>
      </c>
      <c r="L1912" t="str">
        <f>IFERROR(VLOOKUP(J1912,LUTs!$A$1:$C$73,3,FALSE),"NA")</f>
        <v>2Central Puget Sound</v>
      </c>
      <c r="M1912" s="72" t="s">
        <v>18</v>
      </c>
      <c r="N1912" t="str">
        <f>VLOOKUP(M1912,LUTs!E$2:H$14,3,)</f>
        <v>06King</v>
      </c>
      <c r="O1912" t="str">
        <f>VLOOKUP(M1912,LUTs!E$2:H$14,4,)</f>
        <v>02South Puget Sound</v>
      </c>
      <c r="P1912" s="73">
        <v>179.45205479452099</v>
      </c>
      <c r="Q1912" s="74">
        <f>VLOOKUP(B1912,Readme!A$40:C$51,2,)*P1912</f>
        <v>1552.2602739726067</v>
      </c>
    </row>
    <row r="1913" spans="1:17" ht="12" customHeight="1" x14ac:dyDescent="0.35">
      <c r="A1913" s="75">
        <v>1912</v>
      </c>
      <c r="B1913" s="64">
        <v>2014</v>
      </c>
      <c r="C1913" s="64">
        <v>9</v>
      </c>
      <c r="D1913" s="80">
        <f t="shared" si="61"/>
        <v>2014</v>
      </c>
      <c r="E1913" t="s">
        <v>38</v>
      </c>
      <c r="F1913" t="s">
        <v>143</v>
      </c>
      <c r="G1913" t="s">
        <v>10</v>
      </c>
      <c r="H1913" s="72" t="s">
        <v>221</v>
      </c>
      <c r="I1913" s="72" t="s">
        <v>63</v>
      </c>
      <c r="J1913" t="str">
        <f t="shared" si="62"/>
        <v>Snohomish River</v>
      </c>
      <c r="K1913" t="str">
        <f>IFERROR(VLOOKUP(J1913,LUTs!$A$1:$C$73,2,FALSE),"NA")</f>
        <v>Snohomish</v>
      </c>
      <c r="L1913" t="str">
        <f>IFERROR(VLOOKUP(J1913,LUTs!$A$1:$C$73,3,FALSE),"NA")</f>
        <v>2Central Puget Sound</v>
      </c>
      <c r="M1913" s="72" t="s">
        <v>26</v>
      </c>
      <c r="N1913" t="str">
        <f>VLOOKUP(M1913,LUTs!E$2:H$14,3,)</f>
        <v>20Other</v>
      </c>
      <c r="O1913" t="str">
        <f>VLOOKUP(M1913,LUTs!E$2:H$14,4,)</f>
        <v>07Non Puget Sound</v>
      </c>
      <c r="P1913" s="73">
        <v>21.5342465753425</v>
      </c>
      <c r="Q1913" s="74">
        <f>VLOOKUP(B1913,Readme!A$40:C$51,2,)*P1913</f>
        <v>186.27123287671265</v>
      </c>
    </row>
    <row r="1914" spans="1:17" ht="12" customHeight="1" x14ac:dyDescent="0.35">
      <c r="A1914" s="75">
        <v>1913</v>
      </c>
      <c r="B1914" s="64">
        <v>2014</v>
      </c>
      <c r="C1914" s="64">
        <v>9</v>
      </c>
      <c r="D1914" s="80">
        <f t="shared" si="61"/>
        <v>2014</v>
      </c>
      <c r="E1914" t="s">
        <v>38</v>
      </c>
      <c r="F1914" t="s">
        <v>143</v>
      </c>
      <c r="G1914" t="s">
        <v>10</v>
      </c>
      <c r="H1914" s="72" t="s">
        <v>221</v>
      </c>
      <c r="I1914" s="72" t="s">
        <v>63</v>
      </c>
      <c r="J1914" t="str">
        <f t="shared" si="62"/>
        <v>Snohomish River</v>
      </c>
      <c r="K1914" t="str">
        <f>IFERROR(VLOOKUP(J1914,LUTs!$A$1:$C$73,2,FALSE),"NA")</f>
        <v>Snohomish</v>
      </c>
      <c r="L1914" t="str">
        <f>IFERROR(VLOOKUP(J1914,LUTs!$A$1:$C$73,3,FALSE),"NA")</f>
        <v>2Central Puget Sound</v>
      </c>
      <c r="M1914" s="72" t="s">
        <v>16</v>
      </c>
      <c r="N1914" t="str">
        <f>VLOOKUP(M1914,LUTs!E$2:H$14,3,)</f>
        <v>03Snohomish</v>
      </c>
      <c r="O1914" t="str">
        <f>VLOOKUP(M1914,LUTs!E$2:H$14,4,)</f>
        <v>01North Puget Sound</v>
      </c>
      <c r="P1914" s="73">
        <v>315.835616438356</v>
      </c>
      <c r="Q1914" s="74">
        <f>VLOOKUP(B1914,Readme!A$40:C$51,2,)*P1914</f>
        <v>2731.9780821917793</v>
      </c>
    </row>
    <row r="1915" spans="1:17" ht="12" customHeight="1" x14ac:dyDescent="0.35">
      <c r="A1915" s="75">
        <v>1914</v>
      </c>
      <c r="B1915" s="64">
        <v>2014</v>
      </c>
      <c r="C1915" s="64">
        <v>10</v>
      </c>
      <c r="D1915" s="80">
        <f t="shared" si="61"/>
        <v>2014</v>
      </c>
      <c r="E1915" t="s">
        <v>38</v>
      </c>
      <c r="F1915" t="s">
        <v>143</v>
      </c>
      <c r="G1915" t="s">
        <v>10</v>
      </c>
      <c r="H1915" s="72" t="s">
        <v>221</v>
      </c>
      <c r="I1915" s="72" t="s">
        <v>63</v>
      </c>
      <c r="J1915" t="str">
        <f t="shared" si="62"/>
        <v>Snohomish River</v>
      </c>
      <c r="K1915" t="str">
        <f>IFERROR(VLOOKUP(J1915,LUTs!$A$1:$C$73,2,FALSE),"NA")</f>
        <v>Snohomish</v>
      </c>
      <c r="L1915" t="str">
        <f>IFERROR(VLOOKUP(J1915,LUTs!$A$1:$C$73,3,FALSE),"NA")</f>
        <v>2Central Puget Sound</v>
      </c>
      <c r="M1915" s="72" t="s">
        <v>18</v>
      </c>
      <c r="N1915" t="str">
        <f>VLOOKUP(M1915,LUTs!E$2:H$14,3,)</f>
        <v>06King</v>
      </c>
      <c r="O1915" t="str">
        <f>VLOOKUP(M1915,LUTs!E$2:H$14,4,)</f>
        <v>02South Puget Sound</v>
      </c>
      <c r="P1915" s="73">
        <v>164.980769230769</v>
      </c>
      <c r="Q1915" s="74">
        <f>VLOOKUP(B1915,Readme!A$40:C$51,2,)*P1915</f>
        <v>1427.0836538461519</v>
      </c>
    </row>
    <row r="1916" spans="1:17" ht="12" customHeight="1" x14ac:dyDescent="0.35">
      <c r="A1916" s="75">
        <v>1915</v>
      </c>
      <c r="B1916" s="64">
        <v>2014</v>
      </c>
      <c r="C1916" s="64">
        <v>10</v>
      </c>
      <c r="D1916" s="80">
        <f t="shared" si="61"/>
        <v>2014</v>
      </c>
      <c r="E1916" t="s">
        <v>38</v>
      </c>
      <c r="F1916" t="s">
        <v>143</v>
      </c>
      <c r="G1916" t="s">
        <v>10</v>
      </c>
      <c r="H1916" s="72" t="s">
        <v>221</v>
      </c>
      <c r="I1916" s="72" t="s">
        <v>63</v>
      </c>
      <c r="J1916" t="str">
        <f t="shared" si="62"/>
        <v>Snohomish River</v>
      </c>
      <c r="K1916" t="str">
        <f>IFERROR(VLOOKUP(J1916,LUTs!$A$1:$C$73,2,FALSE),"NA")</f>
        <v>Snohomish</v>
      </c>
      <c r="L1916" t="str">
        <f>IFERROR(VLOOKUP(J1916,LUTs!$A$1:$C$73,3,FALSE),"NA")</f>
        <v>2Central Puget Sound</v>
      </c>
      <c r="M1916" s="72" t="s">
        <v>23</v>
      </c>
      <c r="N1916" t="str">
        <f>VLOOKUP(M1916,LUTs!E$2:H$14,3,)</f>
        <v>10Kitsap</v>
      </c>
      <c r="O1916" t="str">
        <f>VLOOKUP(M1916,LUTs!E$2:H$14,4,)</f>
        <v>02South Puget Sound</v>
      </c>
      <c r="P1916" s="73">
        <v>7.1730769230769296</v>
      </c>
      <c r="Q1916" s="74">
        <f>VLOOKUP(B1916,Readme!A$40:C$51,2,)*P1916</f>
        <v>62.047115384615445</v>
      </c>
    </row>
    <row r="1917" spans="1:17" ht="12" customHeight="1" x14ac:dyDescent="0.35">
      <c r="A1917" s="75">
        <v>1916</v>
      </c>
      <c r="B1917" s="64">
        <v>2014</v>
      </c>
      <c r="C1917" s="64">
        <v>10</v>
      </c>
      <c r="D1917" s="80">
        <f t="shared" si="61"/>
        <v>2014</v>
      </c>
      <c r="E1917" t="s">
        <v>38</v>
      </c>
      <c r="F1917" t="s">
        <v>143</v>
      </c>
      <c r="G1917" t="s">
        <v>10</v>
      </c>
      <c r="H1917" s="72" t="s">
        <v>221</v>
      </c>
      <c r="I1917" s="72" t="s">
        <v>63</v>
      </c>
      <c r="J1917" t="str">
        <f t="shared" si="62"/>
        <v>Snohomish River</v>
      </c>
      <c r="K1917" t="str">
        <f>IFERROR(VLOOKUP(J1917,LUTs!$A$1:$C$73,2,FALSE),"NA")</f>
        <v>Snohomish</v>
      </c>
      <c r="L1917" t="str">
        <f>IFERROR(VLOOKUP(J1917,LUTs!$A$1:$C$73,3,FALSE),"NA")</f>
        <v>2Central Puget Sound</v>
      </c>
      <c r="M1917" s="72" t="s">
        <v>26</v>
      </c>
      <c r="N1917" t="str">
        <f>VLOOKUP(M1917,LUTs!E$2:H$14,3,)</f>
        <v>20Other</v>
      </c>
      <c r="O1917" t="str">
        <f>VLOOKUP(M1917,LUTs!E$2:H$14,4,)</f>
        <v>07Non Puget Sound</v>
      </c>
      <c r="P1917" s="73">
        <v>43.038461538461497</v>
      </c>
      <c r="Q1917" s="74">
        <f>VLOOKUP(B1917,Readme!A$40:C$51,2,)*P1917</f>
        <v>372.28269230769195</v>
      </c>
    </row>
    <row r="1918" spans="1:17" ht="12" customHeight="1" x14ac:dyDescent="0.35">
      <c r="A1918" s="75">
        <v>1917</v>
      </c>
      <c r="B1918" s="64">
        <v>2014</v>
      </c>
      <c r="C1918" s="64">
        <v>10</v>
      </c>
      <c r="D1918" s="80">
        <f t="shared" si="61"/>
        <v>2014</v>
      </c>
      <c r="E1918" t="s">
        <v>38</v>
      </c>
      <c r="F1918" t="s">
        <v>143</v>
      </c>
      <c r="G1918" t="s">
        <v>10</v>
      </c>
      <c r="H1918" s="72" t="s">
        <v>221</v>
      </c>
      <c r="I1918" s="72" t="s">
        <v>63</v>
      </c>
      <c r="J1918" t="str">
        <f t="shared" si="62"/>
        <v>Snohomish River</v>
      </c>
      <c r="K1918" t="str">
        <f>IFERROR(VLOOKUP(J1918,LUTs!$A$1:$C$73,2,FALSE),"NA")</f>
        <v>Snohomish</v>
      </c>
      <c r="L1918" t="str">
        <f>IFERROR(VLOOKUP(J1918,LUTs!$A$1:$C$73,3,FALSE),"NA")</f>
        <v>2Central Puget Sound</v>
      </c>
      <c r="M1918" s="72" t="s">
        <v>20</v>
      </c>
      <c r="N1918" t="str">
        <f>VLOOKUP(M1918,LUTs!E$2:H$14,3,)</f>
        <v>07Pierce</v>
      </c>
      <c r="O1918" t="str">
        <f>VLOOKUP(M1918,LUTs!E$2:H$14,4,)</f>
        <v>02South Puget Sound</v>
      </c>
      <c r="P1918" s="73">
        <v>7.1730769230769296</v>
      </c>
      <c r="Q1918" s="74">
        <f>VLOOKUP(B1918,Readme!A$40:C$51,2,)*P1918</f>
        <v>62.047115384615445</v>
      </c>
    </row>
    <row r="1919" spans="1:17" ht="12" customHeight="1" x14ac:dyDescent="0.35">
      <c r="A1919" s="75">
        <v>1918</v>
      </c>
      <c r="B1919" s="64">
        <v>2014</v>
      </c>
      <c r="C1919" s="64">
        <v>10</v>
      </c>
      <c r="D1919" s="80">
        <f t="shared" si="61"/>
        <v>2014</v>
      </c>
      <c r="E1919" t="s">
        <v>38</v>
      </c>
      <c r="F1919" t="s">
        <v>143</v>
      </c>
      <c r="G1919" t="s">
        <v>10</v>
      </c>
      <c r="H1919" s="72" t="s">
        <v>221</v>
      </c>
      <c r="I1919" s="72" t="s">
        <v>63</v>
      </c>
      <c r="J1919" t="str">
        <f t="shared" si="62"/>
        <v>Snohomish River</v>
      </c>
      <c r="K1919" t="str">
        <f>IFERROR(VLOOKUP(J1919,LUTs!$A$1:$C$73,2,FALSE),"NA")</f>
        <v>Snohomish</v>
      </c>
      <c r="L1919" t="str">
        <f>IFERROR(VLOOKUP(J1919,LUTs!$A$1:$C$73,3,FALSE),"NA")</f>
        <v>2Central Puget Sound</v>
      </c>
      <c r="M1919" s="72" t="s">
        <v>15</v>
      </c>
      <c r="N1919" t="str">
        <f>VLOOKUP(M1919,LUTs!E$2:H$14,3,)</f>
        <v>02Skagit</v>
      </c>
      <c r="O1919" t="str">
        <f>VLOOKUP(M1919,LUTs!E$2:H$14,4,)</f>
        <v>01North Puget Sound</v>
      </c>
      <c r="P1919" s="73">
        <v>21.519230769230798</v>
      </c>
      <c r="Q1919" s="74">
        <f>VLOOKUP(B1919,Readme!A$40:C$51,2,)*P1919</f>
        <v>186.14134615384643</v>
      </c>
    </row>
    <row r="1920" spans="1:17" ht="12" customHeight="1" x14ac:dyDescent="0.35">
      <c r="A1920" s="75">
        <v>1919</v>
      </c>
      <c r="B1920" s="64">
        <v>2014</v>
      </c>
      <c r="C1920" s="64">
        <v>10</v>
      </c>
      <c r="D1920" s="80">
        <f t="shared" si="61"/>
        <v>2014</v>
      </c>
      <c r="E1920" t="s">
        <v>38</v>
      </c>
      <c r="F1920" t="s">
        <v>143</v>
      </c>
      <c r="G1920" t="s">
        <v>10</v>
      </c>
      <c r="H1920" s="72" t="s">
        <v>221</v>
      </c>
      <c r="I1920" s="72" t="s">
        <v>63</v>
      </c>
      <c r="J1920" t="str">
        <f t="shared" si="62"/>
        <v>Snohomish River</v>
      </c>
      <c r="K1920" t="str">
        <f>IFERROR(VLOOKUP(J1920,LUTs!$A$1:$C$73,2,FALSE),"NA")</f>
        <v>Snohomish</v>
      </c>
      <c r="L1920" t="str">
        <f>IFERROR(VLOOKUP(J1920,LUTs!$A$1:$C$73,3,FALSE),"NA")</f>
        <v>2Central Puget Sound</v>
      </c>
      <c r="M1920" s="72" t="s">
        <v>16</v>
      </c>
      <c r="N1920" t="str">
        <f>VLOOKUP(M1920,LUTs!E$2:H$14,3,)</f>
        <v>03Snohomish</v>
      </c>
      <c r="O1920" t="str">
        <f>VLOOKUP(M1920,LUTs!E$2:H$14,4,)</f>
        <v>01North Puget Sound</v>
      </c>
      <c r="P1920" s="73">
        <v>494.94230769230802</v>
      </c>
      <c r="Q1920" s="74">
        <f>VLOOKUP(B1920,Readme!A$40:C$51,2,)*P1920</f>
        <v>4281.2509615384643</v>
      </c>
    </row>
    <row r="1921" spans="1:17" ht="12" customHeight="1" x14ac:dyDescent="0.35">
      <c r="A1921" s="75">
        <v>1920</v>
      </c>
      <c r="B1921" s="64">
        <v>2014</v>
      </c>
      <c r="C1921" s="64">
        <v>10</v>
      </c>
      <c r="D1921" s="80">
        <f t="shared" si="61"/>
        <v>2014</v>
      </c>
      <c r="E1921" t="s">
        <v>38</v>
      </c>
      <c r="F1921" t="s">
        <v>143</v>
      </c>
      <c r="G1921" t="s">
        <v>10</v>
      </c>
      <c r="H1921" s="72" t="s">
        <v>221</v>
      </c>
      <c r="I1921" s="72" t="s">
        <v>63</v>
      </c>
      <c r="J1921" t="str">
        <f t="shared" si="62"/>
        <v>Snohomish River</v>
      </c>
      <c r="K1921" t="str">
        <f>IFERROR(VLOOKUP(J1921,LUTs!$A$1:$C$73,2,FALSE),"NA")</f>
        <v>Snohomish</v>
      </c>
      <c r="L1921" t="str">
        <f>IFERROR(VLOOKUP(J1921,LUTs!$A$1:$C$73,3,FALSE),"NA")</f>
        <v>2Central Puget Sound</v>
      </c>
      <c r="M1921" s="72" t="s">
        <v>21</v>
      </c>
      <c r="N1921" t="str">
        <f>VLOOKUP(M1921,LUTs!E$2:H$14,3,)</f>
        <v>08Thurston</v>
      </c>
      <c r="O1921" t="str">
        <f>VLOOKUP(M1921,LUTs!E$2:H$14,4,)</f>
        <v>02South Puget Sound</v>
      </c>
      <c r="P1921" s="73">
        <v>7.1730769230769296</v>
      </c>
      <c r="Q1921" s="74">
        <f>VLOOKUP(B1921,Readme!A$40:C$51,2,)*P1921</f>
        <v>62.047115384615445</v>
      </c>
    </row>
    <row r="1922" spans="1:17" ht="12" customHeight="1" x14ac:dyDescent="0.35">
      <c r="A1922" s="75">
        <v>1921</v>
      </c>
      <c r="B1922" s="64">
        <v>2014</v>
      </c>
      <c r="C1922" s="64">
        <v>11</v>
      </c>
      <c r="D1922" s="80">
        <f t="shared" ref="D1922:D1985" si="63">IF(C1922&gt;3,B1922,B1922-1)</f>
        <v>2014</v>
      </c>
      <c r="E1922" t="s">
        <v>38</v>
      </c>
      <c r="F1922" t="s">
        <v>143</v>
      </c>
      <c r="G1922" t="s">
        <v>10</v>
      </c>
      <c r="H1922" s="72" t="s">
        <v>221</v>
      </c>
      <c r="I1922" s="72" t="s">
        <v>63</v>
      </c>
      <c r="J1922" t="str">
        <f t="shared" si="62"/>
        <v>Snohomish River</v>
      </c>
      <c r="K1922" t="str">
        <f>IFERROR(VLOOKUP(J1922,LUTs!$A$1:$C$73,2,FALSE),"NA")</f>
        <v>Snohomish</v>
      </c>
      <c r="L1922" t="str">
        <f>IFERROR(VLOOKUP(J1922,LUTs!$A$1:$C$73,3,FALSE),"NA")</f>
        <v>2Central Puget Sound</v>
      </c>
      <c r="M1922" s="72" t="s">
        <v>18</v>
      </c>
      <c r="N1922" t="str">
        <f>VLOOKUP(M1922,LUTs!E$2:H$14,3,)</f>
        <v>06King</v>
      </c>
      <c r="O1922" t="str">
        <f>VLOOKUP(M1922,LUTs!E$2:H$14,4,)</f>
        <v>02South Puget Sound</v>
      </c>
      <c r="P1922" s="73">
        <v>7</v>
      </c>
      <c r="Q1922" s="74">
        <f>VLOOKUP(B1922,Readme!A$40:C$51,2,)*P1922</f>
        <v>60.550000000000004</v>
      </c>
    </row>
    <row r="1923" spans="1:17" ht="12" customHeight="1" x14ac:dyDescent="0.35">
      <c r="A1923" s="75">
        <v>1922</v>
      </c>
      <c r="B1923" s="64">
        <v>2014</v>
      </c>
      <c r="C1923" s="64">
        <v>11</v>
      </c>
      <c r="D1923" s="80">
        <f t="shared" si="63"/>
        <v>2014</v>
      </c>
      <c r="E1923" t="s">
        <v>38</v>
      </c>
      <c r="F1923" t="s">
        <v>143</v>
      </c>
      <c r="G1923" t="s">
        <v>10</v>
      </c>
      <c r="H1923" s="72" t="s">
        <v>221</v>
      </c>
      <c r="I1923" s="72" t="s">
        <v>63</v>
      </c>
      <c r="J1923" t="str">
        <f t="shared" ref="J1923:J1986" si="64">I1923</f>
        <v>Snohomish River</v>
      </c>
      <c r="K1923" t="str">
        <f>IFERROR(VLOOKUP(J1923,LUTs!$A$1:$C$73,2,FALSE),"NA")</f>
        <v>Snohomish</v>
      </c>
      <c r="L1923" t="str">
        <f>IFERROR(VLOOKUP(J1923,LUTs!$A$1:$C$73,3,FALSE),"NA")</f>
        <v>2Central Puget Sound</v>
      </c>
      <c r="M1923" s="72" t="s">
        <v>16</v>
      </c>
      <c r="N1923" t="str">
        <f>VLOOKUP(M1923,LUTs!E$2:H$14,3,)</f>
        <v>03Snohomish</v>
      </c>
      <c r="O1923" t="str">
        <f>VLOOKUP(M1923,LUTs!E$2:H$14,4,)</f>
        <v>01North Puget Sound</v>
      </c>
      <c r="P1923" s="73">
        <v>7</v>
      </c>
      <c r="Q1923" s="74">
        <f>VLOOKUP(B1923,Readme!A$40:C$51,2,)*P1923</f>
        <v>60.550000000000004</v>
      </c>
    </row>
    <row r="1924" spans="1:17" ht="12" customHeight="1" x14ac:dyDescent="0.35">
      <c r="A1924" s="75">
        <v>1923</v>
      </c>
      <c r="B1924" s="64">
        <v>2014</v>
      </c>
      <c r="C1924" s="64">
        <v>10</v>
      </c>
      <c r="D1924" s="80">
        <f t="shared" si="63"/>
        <v>2014</v>
      </c>
      <c r="E1924" t="s">
        <v>38</v>
      </c>
      <c r="F1924" t="s">
        <v>143</v>
      </c>
      <c r="G1924" t="s">
        <v>10</v>
      </c>
      <c r="H1924" s="72" t="s">
        <v>222</v>
      </c>
      <c r="I1924" s="72" t="s">
        <v>64</v>
      </c>
      <c r="J1924" t="str">
        <f t="shared" si="64"/>
        <v>Snoqualmie River</v>
      </c>
      <c r="K1924" t="str">
        <f>IFERROR(VLOOKUP(J1924,LUTs!$A$1:$C$73,2,FALSE),"NA")</f>
        <v>Snohomish/King</v>
      </c>
      <c r="L1924" t="str">
        <f>IFERROR(VLOOKUP(J1924,LUTs!$A$1:$C$73,3,FALSE),"NA")</f>
        <v>2Central Puget Sound</v>
      </c>
      <c r="M1924" s="72" t="s">
        <v>18</v>
      </c>
      <c r="N1924" t="str">
        <f>VLOOKUP(M1924,LUTs!E$2:H$14,3,)</f>
        <v>06King</v>
      </c>
      <c r="O1924" t="str">
        <f>VLOOKUP(M1924,LUTs!E$2:H$14,4,)</f>
        <v>02South Puget Sound</v>
      </c>
      <c r="P1924" s="73">
        <v>42.6666666666667</v>
      </c>
      <c r="Q1924" s="74">
        <f>VLOOKUP(B1924,Readme!A$40:C$51,2,)*P1924</f>
        <v>369.06666666666695</v>
      </c>
    </row>
    <row r="1925" spans="1:17" ht="12" customHeight="1" x14ac:dyDescent="0.35">
      <c r="A1925" s="75">
        <v>1924</v>
      </c>
      <c r="B1925" s="64">
        <v>2014</v>
      </c>
      <c r="C1925" s="64">
        <v>10</v>
      </c>
      <c r="D1925" s="80">
        <f t="shared" si="63"/>
        <v>2014</v>
      </c>
      <c r="E1925" t="s">
        <v>38</v>
      </c>
      <c r="F1925" t="s">
        <v>143</v>
      </c>
      <c r="G1925" t="s">
        <v>10</v>
      </c>
      <c r="H1925" s="72" t="s">
        <v>222</v>
      </c>
      <c r="I1925" s="72" t="s">
        <v>64</v>
      </c>
      <c r="J1925" t="str">
        <f t="shared" si="64"/>
        <v>Snoqualmie River</v>
      </c>
      <c r="K1925" t="str">
        <f>IFERROR(VLOOKUP(J1925,LUTs!$A$1:$C$73,2,FALSE),"NA")</f>
        <v>Snohomish/King</v>
      </c>
      <c r="L1925" t="str">
        <f>IFERROR(VLOOKUP(J1925,LUTs!$A$1:$C$73,3,FALSE),"NA")</f>
        <v>2Central Puget Sound</v>
      </c>
      <c r="M1925" s="72" t="s">
        <v>26</v>
      </c>
      <c r="N1925" t="str">
        <f>VLOOKUP(M1925,LUTs!E$2:H$14,3,)</f>
        <v>20Other</v>
      </c>
      <c r="O1925" t="str">
        <f>VLOOKUP(M1925,LUTs!E$2:H$14,4,)</f>
        <v>07Non Puget Sound</v>
      </c>
      <c r="P1925" s="73">
        <v>7.1111111111111098</v>
      </c>
      <c r="Q1925" s="74">
        <f>VLOOKUP(B1925,Readme!A$40:C$51,2,)*P1925</f>
        <v>61.511111111111106</v>
      </c>
    </row>
    <row r="1926" spans="1:17" ht="12" customHeight="1" x14ac:dyDescent="0.35">
      <c r="A1926" s="75">
        <v>1925</v>
      </c>
      <c r="B1926" s="64">
        <v>2014</v>
      </c>
      <c r="C1926" s="64">
        <v>10</v>
      </c>
      <c r="D1926" s="80">
        <f t="shared" si="63"/>
        <v>2014</v>
      </c>
      <c r="E1926" t="s">
        <v>38</v>
      </c>
      <c r="F1926" t="s">
        <v>143</v>
      </c>
      <c r="G1926" t="s">
        <v>10</v>
      </c>
      <c r="H1926" s="72" t="s">
        <v>222</v>
      </c>
      <c r="I1926" s="72" t="s">
        <v>64</v>
      </c>
      <c r="J1926" t="str">
        <f t="shared" si="64"/>
        <v>Snoqualmie River</v>
      </c>
      <c r="K1926" t="str">
        <f>IFERROR(VLOOKUP(J1926,LUTs!$A$1:$C$73,2,FALSE),"NA")</f>
        <v>Snohomish/King</v>
      </c>
      <c r="L1926" t="str">
        <f>IFERROR(VLOOKUP(J1926,LUTs!$A$1:$C$73,3,FALSE),"NA")</f>
        <v>2Central Puget Sound</v>
      </c>
      <c r="M1926" s="72" t="s">
        <v>16</v>
      </c>
      <c r="N1926" t="str">
        <f>VLOOKUP(M1926,LUTs!E$2:H$14,3,)</f>
        <v>03Snohomish</v>
      </c>
      <c r="O1926" t="str">
        <f>VLOOKUP(M1926,LUTs!E$2:H$14,4,)</f>
        <v>01North Puget Sound</v>
      </c>
      <c r="P1926" s="73">
        <v>14.2222222222222</v>
      </c>
      <c r="Q1926" s="74">
        <f>VLOOKUP(B1926,Readme!A$40:C$51,2,)*P1926</f>
        <v>123.02222222222204</v>
      </c>
    </row>
    <row r="1927" spans="1:17" ht="12" customHeight="1" x14ac:dyDescent="0.35">
      <c r="A1927" s="75">
        <v>1926</v>
      </c>
      <c r="B1927" s="64">
        <v>2014</v>
      </c>
      <c r="C1927" s="64">
        <v>11</v>
      </c>
      <c r="D1927" s="80">
        <f t="shared" si="63"/>
        <v>2014</v>
      </c>
      <c r="E1927" t="s">
        <v>38</v>
      </c>
      <c r="F1927" t="s">
        <v>143</v>
      </c>
      <c r="G1927" t="s">
        <v>10</v>
      </c>
      <c r="H1927" s="72" t="s">
        <v>222</v>
      </c>
      <c r="I1927" s="72" t="s">
        <v>64</v>
      </c>
      <c r="J1927" t="str">
        <f t="shared" si="64"/>
        <v>Snoqualmie River</v>
      </c>
      <c r="K1927" t="str">
        <f>IFERROR(VLOOKUP(J1927,LUTs!$A$1:$C$73,2,FALSE),"NA")</f>
        <v>Snohomish/King</v>
      </c>
      <c r="L1927" t="str">
        <f>IFERROR(VLOOKUP(J1927,LUTs!$A$1:$C$73,3,FALSE),"NA")</f>
        <v>2Central Puget Sound</v>
      </c>
      <c r="M1927" s="72" t="s">
        <v>18</v>
      </c>
      <c r="N1927" t="str">
        <f>VLOOKUP(M1927,LUTs!E$2:H$14,3,)</f>
        <v>06King</v>
      </c>
      <c r="O1927" t="str">
        <f>VLOOKUP(M1927,LUTs!E$2:H$14,4,)</f>
        <v>02South Puget Sound</v>
      </c>
      <c r="P1927" s="73">
        <v>7</v>
      </c>
      <c r="Q1927" s="74">
        <f>VLOOKUP(B1927,Readme!A$40:C$51,2,)*P1927</f>
        <v>60.550000000000004</v>
      </c>
    </row>
    <row r="1928" spans="1:17" ht="12" customHeight="1" x14ac:dyDescent="0.35">
      <c r="A1928" s="75">
        <v>1927</v>
      </c>
      <c r="B1928" s="64">
        <v>2014</v>
      </c>
      <c r="C1928" s="64">
        <v>12</v>
      </c>
      <c r="D1928" s="80">
        <f t="shared" si="63"/>
        <v>2014</v>
      </c>
      <c r="E1928" t="s">
        <v>38</v>
      </c>
      <c r="F1928" t="s">
        <v>143</v>
      </c>
      <c r="G1928" t="s">
        <v>10</v>
      </c>
      <c r="H1928" s="72" t="s">
        <v>222</v>
      </c>
      <c r="I1928" s="72" t="s">
        <v>64</v>
      </c>
      <c r="J1928" t="str">
        <f t="shared" si="64"/>
        <v>Snoqualmie River</v>
      </c>
      <c r="K1928" t="str">
        <f>IFERROR(VLOOKUP(J1928,LUTs!$A$1:$C$73,2,FALSE),"NA")</f>
        <v>Snohomish/King</v>
      </c>
      <c r="L1928" t="str">
        <f>IFERROR(VLOOKUP(J1928,LUTs!$A$1:$C$73,3,FALSE),"NA")</f>
        <v>2Central Puget Sound</v>
      </c>
      <c r="M1928" s="72" t="s">
        <v>18</v>
      </c>
      <c r="N1928" t="str">
        <f>VLOOKUP(M1928,LUTs!E$2:H$14,3,)</f>
        <v>06King</v>
      </c>
      <c r="O1928" t="str">
        <f>VLOOKUP(M1928,LUTs!E$2:H$14,4,)</f>
        <v>02South Puget Sound</v>
      </c>
      <c r="P1928" s="73">
        <v>14</v>
      </c>
      <c r="Q1928" s="74">
        <f>VLOOKUP(B1928,Readme!A$40:C$51,2,)*P1928</f>
        <v>121.10000000000001</v>
      </c>
    </row>
    <row r="1929" spans="1:17" ht="12" customHeight="1" x14ac:dyDescent="0.35">
      <c r="A1929" s="75">
        <v>1928</v>
      </c>
      <c r="B1929" s="64">
        <v>2014</v>
      </c>
      <c r="C1929" s="64">
        <v>9</v>
      </c>
      <c r="D1929" s="80">
        <f t="shared" si="63"/>
        <v>2014</v>
      </c>
      <c r="E1929" t="s">
        <v>38</v>
      </c>
      <c r="F1929" t="s">
        <v>143</v>
      </c>
      <c r="G1929" t="s">
        <v>10</v>
      </c>
      <c r="H1929" s="72" t="s">
        <v>223</v>
      </c>
      <c r="I1929" s="72" t="s">
        <v>65</v>
      </c>
      <c r="J1929" t="str">
        <f t="shared" si="64"/>
        <v>Stillaguamish River</v>
      </c>
      <c r="K1929" t="str">
        <f>IFERROR(VLOOKUP(J1929,LUTs!$A$1:$C$73,2,FALSE),"NA")</f>
        <v>Snohomish</v>
      </c>
      <c r="L1929" t="str">
        <f>IFERROR(VLOOKUP(J1929,LUTs!$A$1:$C$73,3,FALSE),"NA")</f>
        <v>2Central Puget Sound</v>
      </c>
      <c r="M1929" s="72" t="s">
        <v>16</v>
      </c>
      <c r="N1929" t="str">
        <f>VLOOKUP(M1929,LUTs!E$2:H$14,3,)</f>
        <v>03Snohomish</v>
      </c>
      <c r="O1929" t="str">
        <f>VLOOKUP(M1929,LUTs!E$2:H$14,4,)</f>
        <v>01North Puget Sound</v>
      </c>
      <c r="P1929" s="73">
        <v>28.8</v>
      </c>
      <c r="Q1929" s="74">
        <f>VLOOKUP(B1929,Readme!A$40:C$51,2,)*P1929</f>
        <v>249.12</v>
      </c>
    </row>
    <row r="1930" spans="1:17" ht="12" customHeight="1" x14ac:dyDescent="0.35">
      <c r="A1930" s="75">
        <v>1929</v>
      </c>
      <c r="B1930" s="64">
        <v>2014</v>
      </c>
      <c r="C1930" s="64">
        <v>9</v>
      </c>
      <c r="D1930" s="80">
        <f t="shared" si="63"/>
        <v>2014</v>
      </c>
      <c r="E1930" t="s">
        <v>38</v>
      </c>
      <c r="F1930" t="s">
        <v>143</v>
      </c>
      <c r="G1930" t="s">
        <v>10</v>
      </c>
      <c r="H1930" s="72" t="s">
        <v>223</v>
      </c>
      <c r="I1930" s="72" t="s">
        <v>65</v>
      </c>
      <c r="J1930" t="str">
        <f t="shared" si="64"/>
        <v>Stillaguamish River</v>
      </c>
      <c r="K1930" t="str">
        <f>IFERROR(VLOOKUP(J1930,LUTs!$A$1:$C$73,2,FALSE),"NA")</f>
        <v>Snohomish</v>
      </c>
      <c r="L1930" t="str">
        <f>IFERROR(VLOOKUP(J1930,LUTs!$A$1:$C$73,3,FALSE),"NA")</f>
        <v>2Central Puget Sound</v>
      </c>
      <c r="M1930" s="72" t="s">
        <v>21</v>
      </c>
      <c r="N1930" t="str">
        <f>VLOOKUP(M1930,LUTs!E$2:H$14,3,)</f>
        <v>08Thurston</v>
      </c>
      <c r="O1930" t="str">
        <f>VLOOKUP(M1930,LUTs!E$2:H$14,4,)</f>
        <v>02South Puget Sound</v>
      </c>
      <c r="P1930" s="73">
        <v>7.2</v>
      </c>
      <c r="Q1930" s="74">
        <f>VLOOKUP(B1930,Readme!A$40:C$51,2,)*P1930</f>
        <v>62.28</v>
      </c>
    </row>
    <row r="1931" spans="1:17" ht="12" customHeight="1" x14ac:dyDescent="0.35">
      <c r="A1931" s="75">
        <v>1930</v>
      </c>
      <c r="B1931" s="64">
        <v>2014</v>
      </c>
      <c r="C1931" s="64">
        <v>10</v>
      </c>
      <c r="D1931" s="80">
        <f t="shared" si="63"/>
        <v>2014</v>
      </c>
      <c r="E1931" t="s">
        <v>38</v>
      </c>
      <c r="F1931" t="s">
        <v>143</v>
      </c>
      <c r="G1931" t="s">
        <v>10</v>
      </c>
      <c r="H1931" s="72" t="s">
        <v>223</v>
      </c>
      <c r="I1931" s="72" t="s">
        <v>65</v>
      </c>
      <c r="J1931" t="str">
        <f t="shared" si="64"/>
        <v>Stillaguamish River</v>
      </c>
      <c r="K1931" t="str">
        <f>IFERROR(VLOOKUP(J1931,LUTs!$A$1:$C$73,2,FALSE),"NA")</f>
        <v>Snohomish</v>
      </c>
      <c r="L1931" t="str">
        <f>IFERROR(VLOOKUP(J1931,LUTs!$A$1:$C$73,3,FALSE),"NA")</f>
        <v>2Central Puget Sound</v>
      </c>
      <c r="M1931" s="72" t="s">
        <v>17</v>
      </c>
      <c r="N1931" t="str">
        <f>VLOOKUP(M1931,LUTs!E$2:H$14,3,)</f>
        <v>04Island</v>
      </c>
      <c r="O1931" t="str">
        <f>VLOOKUP(M1931,LUTs!E$2:H$14,4,)</f>
        <v>01North Puget Sound</v>
      </c>
      <c r="P1931" s="73">
        <v>7.1304347826086998</v>
      </c>
      <c r="Q1931" s="74">
        <f>VLOOKUP(B1931,Readme!A$40:C$51,2,)*P1931</f>
        <v>61.678260869565257</v>
      </c>
    </row>
    <row r="1932" spans="1:17" ht="12" customHeight="1" x14ac:dyDescent="0.35">
      <c r="A1932" s="75">
        <v>1931</v>
      </c>
      <c r="B1932" s="64">
        <v>2014</v>
      </c>
      <c r="C1932" s="64">
        <v>10</v>
      </c>
      <c r="D1932" s="80">
        <f t="shared" si="63"/>
        <v>2014</v>
      </c>
      <c r="E1932" t="s">
        <v>38</v>
      </c>
      <c r="F1932" t="s">
        <v>143</v>
      </c>
      <c r="G1932" t="s">
        <v>10</v>
      </c>
      <c r="H1932" s="72" t="s">
        <v>223</v>
      </c>
      <c r="I1932" s="72" t="s">
        <v>65</v>
      </c>
      <c r="J1932" t="str">
        <f t="shared" si="64"/>
        <v>Stillaguamish River</v>
      </c>
      <c r="K1932" t="str">
        <f>IFERROR(VLOOKUP(J1932,LUTs!$A$1:$C$73,2,FALSE),"NA")</f>
        <v>Snohomish</v>
      </c>
      <c r="L1932" t="str">
        <f>IFERROR(VLOOKUP(J1932,LUTs!$A$1:$C$73,3,FALSE),"NA")</f>
        <v>2Central Puget Sound</v>
      </c>
      <c r="M1932" s="72" t="s">
        <v>18</v>
      </c>
      <c r="N1932" t="str">
        <f>VLOOKUP(M1932,LUTs!E$2:H$14,3,)</f>
        <v>06King</v>
      </c>
      <c r="O1932" t="str">
        <f>VLOOKUP(M1932,LUTs!E$2:H$14,4,)</f>
        <v>02South Puget Sound</v>
      </c>
      <c r="P1932" s="73">
        <v>14.2608695652174</v>
      </c>
      <c r="Q1932" s="74">
        <f>VLOOKUP(B1932,Readme!A$40:C$51,2,)*P1932</f>
        <v>123.35652173913051</v>
      </c>
    </row>
    <row r="1933" spans="1:17" ht="12" customHeight="1" x14ac:dyDescent="0.35">
      <c r="A1933" s="75">
        <v>1932</v>
      </c>
      <c r="B1933" s="64">
        <v>2014</v>
      </c>
      <c r="C1933" s="64">
        <v>10</v>
      </c>
      <c r="D1933" s="80">
        <f t="shared" si="63"/>
        <v>2014</v>
      </c>
      <c r="E1933" t="s">
        <v>38</v>
      </c>
      <c r="F1933" t="s">
        <v>143</v>
      </c>
      <c r="G1933" t="s">
        <v>10</v>
      </c>
      <c r="H1933" s="72" t="s">
        <v>223</v>
      </c>
      <c r="I1933" s="72" t="s">
        <v>65</v>
      </c>
      <c r="J1933" t="str">
        <f t="shared" si="64"/>
        <v>Stillaguamish River</v>
      </c>
      <c r="K1933" t="str">
        <f>IFERROR(VLOOKUP(J1933,LUTs!$A$1:$C$73,2,FALSE),"NA")</f>
        <v>Snohomish</v>
      </c>
      <c r="L1933" t="str">
        <f>IFERROR(VLOOKUP(J1933,LUTs!$A$1:$C$73,3,FALSE),"NA")</f>
        <v>2Central Puget Sound</v>
      </c>
      <c r="M1933" s="72" t="s">
        <v>15</v>
      </c>
      <c r="N1933" t="str">
        <f>VLOOKUP(M1933,LUTs!E$2:H$14,3,)</f>
        <v>02Skagit</v>
      </c>
      <c r="O1933" t="str">
        <f>VLOOKUP(M1933,LUTs!E$2:H$14,4,)</f>
        <v>01North Puget Sound</v>
      </c>
      <c r="P1933" s="73">
        <v>21.3913043478261</v>
      </c>
      <c r="Q1933" s="74">
        <f>VLOOKUP(B1933,Readme!A$40:C$51,2,)*P1933</f>
        <v>185.03478260869576</v>
      </c>
    </row>
    <row r="1934" spans="1:17" ht="12" customHeight="1" x14ac:dyDescent="0.35">
      <c r="A1934" s="75">
        <v>1933</v>
      </c>
      <c r="B1934" s="64">
        <v>2014</v>
      </c>
      <c r="C1934" s="64">
        <v>10</v>
      </c>
      <c r="D1934" s="80">
        <f t="shared" si="63"/>
        <v>2014</v>
      </c>
      <c r="E1934" t="s">
        <v>38</v>
      </c>
      <c r="F1934" t="s">
        <v>143</v>
      </c>
      <c r="G1934" t="s">
        <v>10</v>
      </c>
      <c r="H1934" s="72" t="s">
        <v>223</v>
      </c>
      <c r="I1934" s="72" t="s">
        <v>65</v>
      </c>
      <c r="J1934" t="str">
        <f t="shared" si="64"/>
        <v>Stillaguamish River</v>
      </c>
      <c r="K1934" t="str">
        <f>IFERROR(VLOOKUP(J1934,LUTs!$A$1:$C$73,2,FALSE),"NA")</f>
        <v>Snohomish</v>
      </c>
      <c r="L1934" t="str">
        <f>IFERROR(VLOOKUP(J1934,LUTs!$A$1:$C$73,3,FALSE),"NA")</f>
        <v>2Central Puget Sound</v>
      </c>
      <c r="M1934" s="72" t="s">
        <v>16</v>
      </c>
      <c r="N1934" t="str">
        <f>VLOOKUP(M1934,LUTs!E$2:H$14,3,)</f>
        <v>03Snohomish</v>
      </c>
      <c r="O1934" t="str">
        <f>VLOOKUP(M1934,LUTs!E$2:H$14,4,)</f>
        <v>01North Puget Sound</v>
      </c>
      <c r="P1934" s="73">
        <v>121.217391304348</v>
      </c>
      <c r="Q1934" s="74">
        <f>VLOOKUP(B1934,Readme!A$40:C$51,2,)*P1934</f>
        <v>1048.5304347826102</v>
      </c>
    </row>
    <row r="1935" spans="1:17" ht="12" customHeight="1" x14ac:dyDescent="0.35">
      <c r="A1935" s="75">
        <v>1934</v>
      </c>
      <c r="B1935" s="64">
        <v>2014</v>
      </c>
      <c r="C1935" s="64">
        <v>11</v>
      </c>
      <c r="D1935" s="80">
        <f t="shared" si="63"/>
        <v>2014</v>
      </c>
      <c r="E1935" t="s">
        <v>38</v>
      </c>
      <c r="F1935" t="s">
        <v>143</v>
      </c>
      <c r="G1935" t="s">
        <v>10</v>
      </c>
      <c r="H1935" s="72" t="s">
        <v>223</v>
      </c>
      <c r="I1935" s="72" t="s">
        <v>65</v>
      </c>
      <c r="J1935" t="str">
        <f t="shared" si="64"/>
        <v>Stillaguamish River</v>
      </c>
      <c r="K1935" t="str">
        <f>IFERROR(VLOOKUP(J1935,LUTs!$A$1:$C$73,2,FALSE),"NA")</f>
        <v>Snohomish</v>
      </c>
      <c r="L1935" t="str">
        <f>IFERROR(VLOOKUP(J1935,LUTs!$A$1:$C$73,3,FALSE),"NA")</f>
        <v>2Central Puget Sound</v>
      </c>
      <c r="M1935" s="72" t="s">
        <v>16</v>
      </c>
      <c r="N1935" t="str">
        <f>VLOOKUP(M1935,LUTs!E$2:H$14,3,)</f>
        <v>03Snohomish</v>
      </c>
      <c r="O1935" t="str">
        <f>VLOOKUP(M1935,LUTs!E$2:H$14,4,)</f>
        <v>01North Puget Sound</v>
      </c>
      <c r="P1935" s="73">
        <v>21</v>
      </c>
      <c r="Q1935" s="74">
        <f>VLOOKUP(B1935,Readme!A$40:C$51,2,)*P1935</f>
        <v>181.65</v>
      </c>
    </row>
    <row r="1936" spans="1:17" ht="12" customHeight="1" x14ac:dyDescent="0.35">
      <c r="A1936" s="75">
        <v>1935</v>
      </c>
      <c r="B1936" s="64">
        <v>2014</v>
      </c>
      <c r="C1936" s="64">
        <v>10</v>
      </c>
      <c r="D1936" s="80">
        <f t="shared" si="63"/>
        <v>2014</v>
      </c>
      <c r="E1936" t="s">
        <v>38</v>
      </c>
      <c r="F1936" t="s">
        <v>143</v>
      </c>
      <c r="G1936" t="s">
        <v>10</v>
      </c>
      <c r="H1936" s="72" t="s">
        <v>230</v>
      </c>
      <c r="I1936" s="72" t="s">
        <v>72</v>
      </c>
      <c r="J1936" t="str">
        <f t="shared" si="64"/>
        <v>Tahuya River</v>
      </c>
      <c r="K1936" t="str">
        <f>IFERROR(VLOOKUP(J1936,LUTs!$A$1:$C$73,2,FALSE),"NA")</f>
        <v>Mason</v>
      </c>
      <c r="L1936" t="str">
        <f>IFERROR(VLOOKUP(J1936,LUTs!$A$1:$C$73,3,FALSE),"NA")</f>
        <v>4 Hood Canal</v>
      </c>
      <c r="M1936" s="72" t="s">
        <v>18</v>
      </c>
      <c r="N1936" t="str">
        <f>VLOOKUP(M1936,LUTs!E$2:H$14,3,)</f>
        <v>06King</v>
      </c>
      <c r="O1936" t="str">
        <f>VLOOKUP(M1936,LUTs!E$2:H$14,4,)</f>
        <v>02South Puget Sound</v>
      </c>
      <c r="P1936" s="73">
        <v>9.1333333333333293</v>
      </c>
      <c r="Q1936" s="74">
        <f>VLOOKUP(B1936,Readme!A$40:C$51,2,)*P1936</f>
        <v>79.003333333333302</v>
      </c>
    </row>
    <row r="1937" spans="1:17" ht="12" customHeight="1" x14ac:dyDescent="0.35">
      <c r="A1937" s="75">
        <v>1936</v>
      </c>
      <c r="B1937" s="64">
        <v>2014</v>
      </c>
      <c r="C1937" s="64">
        <v>10</v>
      </c>
      <c r="D1937" s="80">
        <f t="shared" si="63"/>
        <v>2014</v>
      </c>
      <c r="E1937" t="s">
        <v>38</v>
      </c>
      <c r="F1937" t="s">
        <v>143</v>
      </c>
      <c r="G1937" t="s">
        <v>10</v>
      </c>
      <c r="H1937" s="72" t="s">
        <v>230</v>
      </c>
      <c r="I1937" s="72" t="s">
        <v>72</v>
      </c>
      <c r="J1937" t="str">
        <f t="shared" si="64"/>
        <v>Tahuya River</v>
      </c>
      <c r="K1937" t="str">
        <f>IFERROR(VLOOKUP(J1937,LUTs!$A$1:$C$73,2,FALSE),"NA")</f>
        <v>Mason</v>
      </c>
      <c r="L1937" t="str">
        <f>IFERROR(VLOOKUP(J1937,LUTs!$A$1:$C$73,3,FALSE),"NA")</f>
        <v>4 Hood Canal</v>
      </c>
      <c r="M1937" s="72" t="s">
        <v>23</v>
      </c>
      <c r="N1937" t="str">
        <f>VLOOKUP(M1937,LUTs!E$2:H$14,3,)</f>
        <v>10Kitsap</v>
      </c>
      <c r="O1937" t="str">
        <f>VLOOKUP(M1937,LUTs!E$2:H$14,4,)</f>
        <v>02South Puget Sound</v>
      </c>
      <c r="P1937" s="73">
        <v>100.466666666667</v>
      </c>
      <c r="Q1937" s="74">
        <f>VLOOKUP(B1937,Readme!A$40:C$51,2,)*P1937</f>
        <v>869.03666666666959</v>
      </c>
    </row>
    <row r="1938" spans="1:17" ht="12" customHeight="1" x14ac:dyDescent="0.35">
      <c r="A1938" s="75">
        <v>1937</v>
      </c>
      <c r="B1938" s="64">
        <v>2014</v>
      </c>
      <c r="C1938" s="64">
        <v>10</v>
      </c>
      <c r="D1938" s="80">
        <f t="shared" si="63"/>
        <v>2014</v>
      </c>
      <c r="E1938" t="s">
        <v>38</v>
      </c>
      <c r="F1938" t="s">
        <v>143</v>
      </c>
      <c r="G1938" t="s">
        <v>10</v>
      </c>
      <c r="H1938" s="72" t="s">
        <v>230</v>
      </c>
      <c r="I1938" s="72" t="s">
        <v>72</v>
      </c>
      <c r="J1938" t="str">
        <f t="shared" si="64"/>
        <v>Tahuya River</v>
      </c>
      <c r="K1938" t="str">
        <f>IFERROR(VLOOKUP(J1938,LUTs!$A$1:$C$73,2,FALSE),"NA")</f>
        <v>Mason</v>
      </c>
      <c r="L1938" t="str">
        <f>IFERROR(VLOOKUP(J1938,LUTs!$A$1:$C$73,3,FALSE),"NA")</f>
        <v>4 Hood Canal</v>
      </c>
      <c r="M1938" s="72" t="s">
        <v>22</v>
      </c>
      <c r="N1938" t="str">
        <f>VLOOKUP(M1938,LUTs!E$2:H$14,3,)</f>
        <v>09Mason</v>
      </c>
      <c r="O1938" t="str">
        <f>VLOOKUP(M1938,LUTs!E$2:H$14,4,)</f>
        <v>02South Puget Sound</v>
      </c>
      <c r="P1938" s="73">
        <v>18.266666666666701</v>
      </c>
      <c r="Q1938" s="74">
        <f>VLOOKUP(B1938,Readme!A$40:C$51,2,)*P1938</f>
        <v>158.00666666666697</v>
      </c>
    </row>
    <row r="1939" spans="1:17" ht="12" customHeight="1" x14ac:dyDescent="0.35">
      <c r="A1939" s="75">
        <v>1938</v>
      </c>
      <c r="B1939" s="64">
        <v>2014</v>
      </c>
      <c r="C1939" s="64">
        <v>10</v>
      </c>
      <c r="D1939" s="80">
        <f t="shared" si="63"/>
        <v>2014</v>
      </c>
      <c r="E1939" t="s">
        <v>38</v>
      </c>
      <c r="F1939" t="s">
        <v>143</v>
      </c>
      <c r="G1939" t="s">
        <v>10</v>
      </c>
      <c r="H1939" s="72" t="s">
        <v>230</v>
      </c>
      <c r="I1939" s="72" t="s">
        <v>72</v>
      </c>
      <c r="J1939" t="str">
        <f t="shared" si="64"/>
        <v>Tahuya River</v>
      </c>
      <c r="K1939" t="str">
        <f>IFERROR(VLOOKUP(J1939,LUTs!$A$1:$C$73,2,FALSE),"NA")</f>
        <v>Mason</v>
      </c>
      <c r="L1939" t="str">
        <f>IFERROR(VLOOKUP(J1939,LUTs!$A$1:$C$73,3,FALSE),"NA")</f>
        <v>4 Hood Canal</v>
      </c>
      <c r="M1939" s="72" t="s">
        <v>21</v>
      </c>
      <c r="N1939" t="str">
        <f>VLOOKUP(M1939,LUTs!E$2:H$14,3,)</f>
        <v>08Thurston</v>
      </c>
      <c r="O1939" t="str">
        <f>VLOOKUP(M1939,LUTs!E$2:H$14,4,)</f>
        <v>02South Puget Sound</v>
      </c>
      <c r="P1939" s="73">
        <v>9.1333333333333293</v>
      </c>
      <c r="Q1939" s="74">
        <f>VLOOKUP(B1939,Readme!A$40:C$51,2,)*P1939</f>
        <v>79.003333333333302</v>
      </c>
    </row>
    <row r="1940" spans="1:17" ht="12" customHeight="1" x14ac:dyDescent="0.35">
      <c r="A1940" s="75">
        <v>1939</v>
      </c>
      <c r="B1940" s="64">
        <v>2014</v>
      </c>
      <c r="C1940" s="64">
        <v>10</v>
      </c>
      <c r="D1940" s="80">
        <f t="shared" si="63"/>
        <v>2014</v>
      </c>
      <c r="E1940" t="s">
        <v>38</v>
      </c>
      <c r="F1940" t="s">
        <v>143</v>
      </c>
      <c r="G1940" t="s">
        <v>10</v>
      </c>
      <c r="H1940" s="72" t="s">
        <v>224</v>
      </c>
      <c r="I1940" s="72" t="s">
        <v>66</v>
      </c>
      <c r="J1940" t="str">
        <f t="shared" si="64"/>
        <v>Whatcom Creek</v>
      </c>
      <c r="K1940" t="str">
        <f>IFERROR(VLOOKUP(J1940,LUTs!$A$1:$C$73,2,FALSE),"NA")</f>
        <v>Whatcom</v>
      </c>
      <c r="L1940" t="str">
        <f>IFERROR(VLOOKUP(J1940,LUTs!$A$1:$C$73,3,FALSE),"NA")</f>
        <v>1North Puget Sound</v>
      </c>
      <c r="M1940" s="72" t="s">
        <v>26</v>
      </c>
      <c r="N1940" t="str">
        <f>VLOOKUP(M1940,LUTs!E$2:H$14,3,)</f>
        <v>20Other</v>
      </c>
      <c r="O1940" t="str">
        <f>VLOOKUP(M1940,LUTs!E$2:H$14,4,)</f>
        <v>07Non Puget Sound</v>
      </c>
      <c r="P1940" s="73">
        <v>7.1290322580645196</v>
      </c>
      <c r="Q1940" s="74">
        <f>VLOOKUP(B1940,Readme!A$40:C$51,2,)*P1940</f>
        <v>61.666129032258098</v>
      </c>
    </row>
    <row r="1941" spans="1:17" ht="12" customHeight="1" x14ac:dyDescent="0.35">
      <c r="A1941" s="75">
        <v>1940</v>
      </c>
      <c r="B1941" s="64">
        <v>2014</v>
      </c>
      <c r="C1941" s="64">
        <v>10</v>
      </c>
      <c r="D1941" s="80">
        <f t="shared" si="63"/>
        <v>2014</v>
      </c>
      <c r="E1941" t="s">
        <v>38</v>
      </c>
      <c r="F1941" t="s">
        <v>143</v>
      </c>
      <c r="G1941" t="s">
        <v>10</v>
      </c>
      <c r="H1941" s="72" t="s">
        <v>224</v>
      </c>
      <c r="I1941" s="72" t="s">
        <v>66</v>
      </c>
      <c r="J1941" t="str">
        <f t="shared" si="64"/>
        <v>Whatcom Creek</v>
      </c>
      <c r="K1941" t="str">
        <f>IFERROR(VLOOKUP(J1941,LUTs!$A$1:$C$73,2,FALSE),"NA")</f>
        <v>Whatcom</v>
      </c>
      <c r="L1941" t="str">
        <f>IFERROR(VLOOKUP(J1941,LUTs!$A$1:$C$73,3,FALSE),"NA")</f>
        <v>1North Puget Sound</v>
      </c>
      <c r="M1941" s="72" t="s">
        <v>16</v>
      </c>
      <c r="N1941" t="str">
        <f>VLOOKUP(M1941,LUTs!E$2:H$14,3,)</f>
        <v>03Snohomish</v>
      </c>
      <c r="O1941" t="str">
        <f>VLOOKUP(M1941,LUTs!E$2:H$14,4,)</f>
        <v>01North Puget Sound</v>
      </c>
      <c r="P1941" s="73">
        <v>21.387096774193601</v>
      </c>
      <c r="Q1941" s="74">
        <f>VLOOKUP(B1941,Readme!A$40:C$51,2,)*P1941</f>
        <v>184.99838709677465</v>
      </c>
    </row>
    <row r="1942" spans="1:17" ht="12" customHeight="1" x14ac:dyDescent="0.35">
      <c r="A1942" s="75">
        <v>1941</v>
      </c>
      <c r="B1942" s="64">
        <v>2014</v>
      </c>
      <c r="C1942" s="64">
        <v>10</v>
      </c>
      <c r="D1942" s="80">
        <f t="shared" si="63"/>
        <v>2014</v>
      </c>
      <c r="E1942" t="s">
        <v>38</v>
      </c>
      <c r="F1942" t="s">
        <v>143</v>
      </c>
      <c r="G1942" t="s">
        <v>10</v>
      </c>
      <c r="H1942" s="72" t="s">
        <v>224</v>
      </c>
      <c r="I1942" s="72" t="s">
        <v>66</v>
      </c>
      <c r="J1942" t="str">
        <f t="shared" si="64"/>
        <v>Whatcom Creek</v>
      </c>
      <c r="K1942" t="str">
        <f>IFERROR(VLOOKUP(J1942,LUTs!$A$1:$C$73,2,FALSE),"NA")</f>
        <v>Whatcom</v>
      </c>
      <c r="L1942" t="str">
        <f>IFERROR(VLOOKUP(J1942,LUTs!$A$1:$C$73,3,FALSE),"NA")</f>
        <v>1North Puget Sound</v>
      </c>
      <c r="M1942" s="72" t="s">
        <v>13</v>
      </c>
      <c r="N1942" t="str">
        <f>VLOOKUP(M1942,LUTs!E$2:H$14,3,)</f>
        <v>01Whatcom</v>
      </c>
      <c r="O1942" t="str">
        <f>VLOOKUP(M1942,LUTs!E$2:H$14,4,)</f>
        <v>01North Puget Sound</v>
      </c>
      <c r="P1942" s="73">
        <v>192.48387096774201</v>
      </c>
      <c r="Q1942" s="74">
        <f>VLOOKUP(B1942,Readme!A$40:C$51,2,)*P1942</f>
        <v>1664.9854838709684</v>
      </c>
    </row>
    <row r="1943" spans="1:17" ht="12" customHeight="1" x14ac:dyDescent="0.35">
      <c r="A1943" s="75">
        <v>1942</v>
      </c>
      <c r="B1943" s="64">
        <v>2014</v>
      </c>
      <c r="C1943" s="64">
        <v>11</v>
      </c>
      <c r="D1943" s="80">
        <f t="shared" si="63"/>
        <v>2014</v>
      </c>
      <c r="E1943" t="s">
        <v>38</v>
      </c>
      <c r="F1943" t="s">
        <v>143</v>
      </c>
      <c r="G1943" t="s">
        <v>10</v>
      </c>
      <c r="H1943" s="72" t="s">
        <v>224</v>
      </c>
      <c r="I1943" s="72" t="s">
        <v>66</v>
      </c>
      <c r="J1943" t="str">
        <f t="shared" si="64"/>
        <v>Whatcom Creek</v>
      </c>
      <c r="K1943" t="str">
        <f>IFERROR(VLOOKUP(J1943,LUTs!$A$1:$C$73,2,FALSE),"NA")</f>
        <v>Whatcom</v>
      </c>
      <c r="L1943" t="str">
        <f>IFERROR(VLOOKUP(J1943,LUTs!$A$1:$C$73,3,FALSE),"NA")</f>
        <v>1North Puget Sound</v>
      </c>
      <c r="M1943" s="72" t="s">
        <v>18</v>
      </c>
      <c r="N1943" t="str">
        <f>VLOOKUP(M1943,LUTs!E$2:H$14,3,)</f>
        <v>06King</v>
      </c>
      <c r="O1943" t="str">
        <f>VLOOKUP(M1943,LUTs!E$2:H$14,4,)</f>
        <v>02South Puget Sound</v>
      </c>
      <c r="P1943" s="73">
        <v>43.100917431192698</v>
      </c>
      <c r="Q1943" s="74">
        <f>VLOOKUP(B1943,Readme!A$40:C$51,2,)*P1943</f>
        <v>372.82293577981687</v>
      </c>
    </row>
    <row r="1944" spans="1:17" ht="12" customHeight="1" x14ac:dyDescent="0.35">
      <c r="A1944" s="75">
        <v>1943</v>
      </c>
      <c r="B1944" s="64">
        <v>2014</v>
      </c>
      <c r="C1944" s="64">
        <v>11</v>
      </c>
      <c r="D1944" s="80">
        <f t="shared" si="63"/>
        <v>2014</v>
      </c>
      <c r="E1944" t="s">
        <v>38</v>
      </c>
      <c r="F1944" t="s">
        <v>143</v>
      </c>
      <c r="G1944" t="s">
        <v>10</v>
      </c>
      <c r="H1944" s="72" t="s">
        <v>224</v>
      </c>
      <c r="I1944" s="72" t="s">
        <v>66</v>
      </c>
      <c r="J1944" t="str">
        <f t="shared" si="64"/>
        <v>Whatcom Creek</v>
      </c>
      <c r="K1944" t="str">
        <f>IFERROR(VLOOKUP(J1944,LUTs!$A$1:$C$73,2,FALSE),"NA")</f>
        <v>Whatcom</v>
      </c>
      <c r="L1944" t="str">
        <f>IFERROR(VLOOKUP(J1944,LUTs!$A$1:$C$73,3,FALSE),"NA")</f>
        <v>1North Puget Sound</v>
      </c>
      <c r="M1944" s="72" t="s">
        <v>26</v>
      </c>
      <c r="N1944" t="str">
        <f>VLOOKUP(M1944,LUTs!E$2:H$14,3,)</f>
        <v>20Other</v>
      </c>
      <c r="O1944" t="str">
        <f>VLOOKUP(M1944,LUTs!E$2:H$14,4,)</f>
        <v>07Non Puget Sound</v>
      </c>
      <c r="P1944" s="73">
        <v>100.56880733945</v>
      </c>
      <c r="Q1944" s="74">
        <f>VLOOKUP(B1944,Readme!A$40:C$51,2,)*P1944</f>
        <v>869.92018348624254</v>
      </c>
    </row>
    <row r="1945" spans="1:17" ht="12" customHeight="1" x14ac:dyDescent="0.35">
      <c r="A1945" s="75">
        <v>1944</v>
      </c>
      <c r="B1945" s="64">
        <v>2014</v>
      </c>
      <c r="C1945" s="64">
        <v>11</v>
      </c>
      <c r="D1945" s="80">
        <f t="shared" si="63"/>
        <v>2014</v>
      </c>
      <c r="E1945" t="s">
        <v>38</v>
      </c>
      <c r="F1945" t="s">
        <v>143</v>
      </c>
      <c r="G1945" t="s">
        <v>10</v>
      </c>
      <c r="H1945" s="72" t="s">
        <v>224</v>
      </c>
      <c r="I1945" s="72" t="s">
        <v>66</v>
      </c>
      <c r="J1945" t="str">
        <f t="shared" si="64"/>
        <v>Whatcom Creek</v>
      </c>
      <c r="K1945" t="str">
        <f>IFERROR(VLOOKUP(J1945,LUTs!$A$1:$C$73,2,FALSE),"NA")</f>
        <v>Whatcom</v>
      </c>
      <c r="L1945" t="str">
        <f>IFERROR(VLOOKUP(J1945,LUTs!$A$1:$C$73,3,FALSE),"NA")</f>
        <v>1North Puget Sound</v>
      </c>
      <c r="M1945" s="72" t="s">
        <v>15</v>
      </c>
      <c r="N1945" t="str">
        <f>VLOOKUP(M1945,LUTs!E$2:H$14,3,)</f>
        <v>02Skagit</v>
      </c>
      <c r="O1945" t="str">
        <f>VLOOKUP(M1945,LUTs!E$2:H$14,4,)</f>
        <v>01North Puget Sound</v>
      </c>
      <c r="P1945" s="73">
        <v>43.100917431192698</v>
      </c>
      <c r="Q1945" s="74">
        <f>VLOOKUP(B1945,Readme!A$40:C$51,2,)*P1945</f>
        <v>372.82293577981687</v>
      </c>
    </row>
    <row r="1946" spans="1:17" ht="12" customHeight="1" x14ac:dyDescent="0.35">
      <c r="A1946" s="75">
        <v>1945</v>
      </c>
      <c r="B1946" s="64">
        <v>2014</v>
      </c>
      <c r="C1946" s="64">
        <v>11</v>
      </c>
      <c r="D1946" s="80">
        <f t="shared" si="63"/>
        <v>2014</v>
      </c>
      <c r="E1946" t="s">
        <v>38</v>
      </c>
      <c r="F1946" t="s">
        <v>143</v>
      </c>
      <c r="G1946" t="s">
        <v>10</v>
      </c>
      <c r="H1946" s="72" t="s">
        <v>224</v>
      </c>
      <c r="I1946" s="72" t="s">
        <v>66</v>
      </c>
      <c r="J1946" t="str">
        <f t="shared" si="64"/>
        <v>Whatcom Creek</v>
      </c>
      <c r="K1946" t="str">
        <f>IFERROR(VLOOKUP(J1946,LUTs!$A$1:$C$73,2,FALSE),"NA")</f>
        <v>Whatcom</v>
      </c>
      <c r="L1946" t="str">
        <f>IFERROR(VLOOKUP(J1946,LUTs!$A$1:$C$73,3,FALSE),"NA")</f>
        <v>1North Puget Sound</v>
      </c>
      <c r="M1946" s="72" t="s">
        <v>16</v>
      </c>
      <c r="N1946" t="str">
        <f>VLOOKUP(M1946,LUTs!E$2:H$14,3,)</f>
        <v>03Snohomish</v>
      </c>
      <c r="O1946" t="str">
        <f>VLOOKUP(M1946,LUTs!E$2:H$14,4,)</f>
        <v>01North Puget Sound</v>
      </c>
      <c r="P1946" s="73">
        <v>158.036697247706</v>
      </c>
      <c r="Q1946" s="74">
        <f>VLOOKUP(B1946,Readme!A$40:C$51,2,)*P1946</f>
        <v>1367.0174311926569</v>
      </c>
    </row>
    <row r="1947" spans="1:17" ht="12" customHeight="1" x14ac:dyDescent="0.35">
      <c r="A1947" s="75">
        <v>1946</v>
      </c>
      <c r="B1947" s="64">
        <v>2014</v>
      </c>
      <c r="C1947" s="64">
        <v>11</v>
      </c>
      <c r="D1947" s="80">
        <f t="shared" si="63"/>
        <v>2014</v>
      </c>
      <c r="E1947" t="s">
        <v>38</v>
      </c>
      <c r="F1947" t="s">
        <v>143</v>
      </c>
      <c r="G1947" t="s">
        <v>10</v>
      </c>
      <c r="H1947" s="72" t="s">
        <v>224</v>
      </c>
      <c r="I1947" s="72" t="s">
        <v>66</v>
      </c>
      <c r="J1947" t="str">
        <f t="shared" si="64"/>
        <v>Whatcom Creek</v>
      </c>
      <c r="K1947" t="str">
        <f>IFERROR(VLOOKUP(J1947,LUTs!$A$1:$C$73,2,FALSE),"NA")</f>
        <v>Whatcom</v>
      </c>
      <c r="L1947" t="str">
        <f>IFERROR(VLOOKUP(J1947,LUTs!$A$1:$C$73,3,FALSE),"NA")</f>
        <v>1North Puget Sound</v>
      </c>
      <c r="M1947" s="72" t="s">
        <v>13</v>
      </c>
      <c r="N1947" t="str">
        <f>VLOOKUP(M1947,LUTs!E$2:H$14,3,)</f>
        <v>01Whatcom</v>
      </c>
      <c r="O1947" t="str">
        <f>VLOOKUP(M1947,LUTs!E$2:H$14,4,)</f>
        <v>01North Puget Sound</v>
      </c>
      <c r="P1947" s="73">
        <v>1221.19266055046</v>
      </c>
      <c r="Q1947" s="74">
        <f>VLOOKUP(B1947,Readme!A$40:C$51,2,)*P1947</f>
        <v>10563.31651376148</v>
      </c>
    </row>
    <row r="1948" spans="1:17" ht="12" customHeight="1" x14ac:dyDescent="0.35">
      <c r="A1948" s="75">
        <v>1947</v>
      </c>
      <c r="B1948" s="64">
        <v>2014</v>
      </c>
      <c r="C1948" s="64">
        <v>12</v>
      </c>
      <c r="D1948" s="80">
        <f t="shared" si="63"/>
        <v>2014</v>
      </c>
      <c r="E1948" t="s">
        <v>38</v>
      </c>
      <c r="F1948" t="s">
        <v>143</v>
      </c>
      <c r="G1948" t="s">
        <v>10</v>
      </c>
      <c r="H1948" s="72" t="s">
        <v>224</v>
      </c>
      <c r="I1948" s="72" t="s">
        <v>66</v>
      </c>
      <c r="J1948" t="str">
        <f t="shared" si="64"/>
        <v>Whatcom Creek</v>
      </c>
      <c r="K1948" t="str">
        <f>IFERROR(VLOOKUP(J1948,LUTs!$A$1:$C$73,2,FALSE),"NA")</f>
        <v>Whatcom</v>
      </c>
      <c r="L1948" t="str">
        <f>IFERROR(VLOOKUP(J1948,LUTs!$A$1:$C$73,3,FALSE),"NA")</f>
        <v>1North Puget Sound</v>
      </c>
      <c r="M1948" s="72" t="s">
        <v>15</v>
      </c>
      <c r="N1948" t="str">
        <f>VLOOKUP(M1948,LUTs!E$2:H$14,3,)</f>
        <v>02Skagit</v>
      </c>
      <c r="O1948" t="str">
        <f>VLOOKUP(M1948,LUTs!E$2:H$14,4,)</f>
        <v>01North Puget Sound</v>
      </c>
      <c r="P1948" s="73">
        <v>14.3333333333333</v>
      </c>
      <c r="Q1948" s="74">
        <f>VLOOKUP(B1948,Readme!A$40:C$51,2,)*P1948</f>
        <v>123.98333333333305</v>
      </c>
    </row>
    <row r="1949" spans="1:17" ht="12" customHeight="1" x14ac:dyDescent="0.35">
      <c r="A1949" s="75">
        <v>1948</v>
      </c>
      <c r="B1949" s="64">
        <v>2014</v>
      </c>
      <c r="C1949" s="64">
        <v>12</v>
      </c>
      <c r="D1949" s="80">
        <f t="shared" si="63"/>
        <v>2014</v>
      </c>
      <c r="E1949" t="s">
        <v>38</v>
      </c>
      <c r="F1949" t="s">
        <v>143</v>
      </c>
      <c r="G1949" t="s">
        <v>10</v>
      </c>
      <c r="H1949" s="72" t="s">
        <v>224</v>
      </c>
      <c r="I1949" s="72" t="s">
        <v>66</v>
      </c>
      <c r="J1949" t="str">
        <f t="shared" si="64"/>
        <v>Whatcom Creek</v>
      </c>
      <c r="K1949" t="str">
        <f>IFERROR(VLOOKUP(J1949,LUTs!$A$1:$C$73,2,FALSE),"NA")</f>
        <v>Whatcom</v>
      </c>
      <c r="L1949" t="str">
        <f>IFERROR(VLOOKUP(J1949,LUTs!$A$1:$C$73,3,FALSE),"NA")</f>
        <v>1North Puget Sound</v>
      </c>
      <c r="M1949" s="72" t="s">
        <v>16</v>
      </c>
      <c r="N1949" t="str">
        <f>VLOOKUP(M1949,LUTs!E$2:H$14,3,)</f>
        <v>03Snohomish</v>
      </c>
      <c r="O1949" t="str">
        <f>VLOOKUP(M1949,LUTs!E$2:H$14,4,)</f>
        <v>01North Puget Sound</v>
      </c>
      <c r="P1949" s="73">
        <v>14.3333333333333</v>
      </c>
      <c r="Q1949" s="74">
        <f>VLOOKUP(B1949,Readme!A$40:C$51,2,)*P1949</f>
        <v>123.98333333333305</v>
      </c>
    </row>
    <row r="1950" spans="1:17" ht="12" customHeight="1" x14ac:dyDescent="0.35">
      <c r="A1950" s="75">
        <v>1949</v>
      </c>
      <c r="B1950" s="64">
        <v>2014</v>
      </c>
      <c r="C1950" s="64">
        <v>12</v>
      </c>
      <c r="D1950" s="80">
        <f t="shared" si="63"/>
        <v>2014</v>
      </c>
      <c r="E1950" t="s">
        <v>38</v>
      </c>
      <c r="F1950" t="s">
        <v>143</v>
      </c>
      <c r="G1950" t="s">
        <v>10</v>
      </c>
      <c r="H1950" s="72" t="s">
        <v>224</v>
      </c>
      <c r="I1950" s="72" t="s">
        <v>66</v>
      </c>
      <c r="J1950" t="str">
        <f t="shared" si="64"/>
        <v>Whatcom Creek</v>
      </c>
      <c r="K1950" t="str">
        <f>IFERROR(VLOOKUP(J1950,LUTs!$A$1:$C$73,2,FALSE),"NA")</f>
        <v>Whatcom</v>
      </c>
      <c r="L1950" t="str">
        <f>IFERROR(VLOOKUP(J1950,LUTs!$A$1:$C$73,3,FALSE),"NA")</f>
        <v>1North Puget Sound</v>
      </c>
      <c r="M1950" s="72" t="s">
        <v>13</v>
      </c>
      <c r="N1950" t="str">
        <f>VLOOKUP(M1950,LUTs!E$2:H$14,3,)</f>
        <v>01Whatcom</v>
      </c>
      <c r="O1950" t="str">
        <f>VLOOKUP(M1950,LUTs!E$2:H$14,4,)</f>
        <v>01North Puget Sound</v>
      </c>
      <c r="P1950" s="73">
        <v>57.3333333333333</v>
      </c>
      <c r="Q1950" s="74">
        <f>VLOOKUP(B1950,Readme!A$40:C$51,2,)*P1950</f>
        <v>495.93333333333305</v>
      </c>
    </row>
    <row r="1951" spans="1:17" ht="12" customHeight="1" x14ac:dyDescent="0.35">
      <c r="A1951" s="75">
        <v>1950</v>
      </c>
      <c r="B1951" s="64">
        <v>2015</v>
      </c>
      <c r="C1951" s="64">
        <v>10</v>
      </c>
      <c r="D1951" s="80">
        <f t="shared" si="63"/>
        <v>2015</v>
      </c>
      <c r="E1951" t="s">
        <v>38</v>
      </c>
      <c r="F1951" t="s">
        <v>143</v>
      </c>
      <c r="G1951" t="s">
        <v>10</v>
      </c>
      <c r="H1951" s="72" t="s">
        <v>232</v>
      </c>
      <c r="I1951" s="72" t="s">
        <v>75</v>
      </c>
      <c r="J1951" t="str">
        <f t="shared" si="64"/>
        <v>Black River (Thurston Co)</v>
      </c>
      <c r="K1951" t="str">
        <f>IFERROR(VLOOKUP(J1951,LUTs!$A$1:$C$73,2,FALSE),"NA")</f>
        <v>Thurston</v>
      </c>
      <c r="L1951" t="str">
        <f>IFERROR(VLOOKUP(J1951,LUTs!$A$1:$C$73,3,FALSE),"NA")</f>
        <v>3South Puget Sound</v>
      </c>
      <c r="M1951" s="72" t="s">
        <v>26</v>
      </c>
      <c r="N1951" t="str">
        <f>VLOOKUP(M1951,LUTs!E$2:H$14,3,)</f>
        <v>20Other</v>
      </c>
      <c r="O1951" t="str">
        <f>VLOOKUP(M1951,LUTs!E$2:H$14,4,)</f>
        <v>07Non Puget Sound</v>
      </c>
      <c r="P1951" s="73">
        <v>9</v>
      </c>
      <c r="Q1951" s="74">
        <f>VLOOKUP(B1951,Readme!A$40:C$51,2,)*P1951</f>
        <v>30.96</v>
      </c>
    </row>
    <row r="1952" spans="1:17" ht="12" customHeight="1" x14ac:dyDescent="0.35">
      <c r="A1952" s="75">
        <v>1951</v>
      </c>
      <c r="B1952" s="64">
        <v>2015</v>
      </c>
      <c r="C1952" s="64">
        <v>10</v>
      </c>
      <c r="D1952" s="80">
        <f t="shared" si="63"/>
        <v>2015</v>
      </c>
      <c r="E1952" t="s">
        <v>38</v>
      </c>
      <c r="F1952" t="s">
        <v>143</v>
      </c>
      <c r="G1952" t="s">
        <v>10</v>
      </c>
      <c r="H1952" s="72" t="s">
        <v>198</v>
      </c>
      <c r="I1952" s="72" t="s">
        <v>40</v>
      </c>
      <c r="J1952" t="str">
        <f t="shared" si="64"/>
        <v>Dakota Creek (Whatcom Co)</v>
      </c>
      <c r="K1952" t="str">
        <f>IFERROR(VLOOKUP(J1952,LUTs!$A$1:$C$73,2,FALSE),"NA")</f>
        <v>Whatcom</v>
      </c>
      <c r="L1952" t="str">
        <f>IFERROR(VLOOKUP(J1952,LUTs!$A$1:$C$73,3,FALSE),"NA")</f>
        <v>1North Puget Sound</v>
      </c>
      <c r="M1952" s="72" t="s">
        <v>13</v>
      </c>
      <c r="N1952" t="str">
        <f>VLOOKUP(M1952,LUTs!E$2:H$14,3,)</f>
        <v>01Whatcom</v>
      </c>
      <c r="O1952" t="str">
        <f>VLOOKUP(M1952,LUTs!E$2:H$14,4,)</f>
        <v>01North Puget Sound</v>
      </c>
      <c r="P1952" s="73">
        <v>70</v>
      </c>
      <c r="Q1952" s="74">
        <f>VLOOKUP(B1952,Readme!A$40:C$51,2,)*P1952</f>
        <v>240.79999999999998</v>
      </c>
    </row>
    <row r="1953" spans="1:17" ht="12" customHeight="1" x14ac:dyDescent="0.35">
      <c r="A1953" s="75">
        <v>1952</v>
      </c>
      <c r="B1953" s="64">
        <v>2015</v>
      </c>
      <c r="C1953" s="64">
        <v>10</v>
      </c>
      <c r="D1953" s="80">
        <f t="shared" si="63"/>
        <v>2015</v>
      </c>
      <c r="E1953" t="s">
        <v>38</v>
      </c>
      <c r="F1953" t="s">
        <v>143</v>
      </c>
      <c r="G1953" t="s">
        <v>10</v>
      </c>
      <c r="H1953" s="72" t="s">
        <v>225</v>
      </c>
      <c r="I1953" s="72" t="s">
        <v>67</v>
      </c>
      <c r="J1953" t="str">
        <f t="shared" si="64"/>
        <v>Dewatto River</v>
      </c>
      <c r="K1953" t="str">
        <f>IFERROR(VLOOKUP(J1953,LUTs!$A$1:$C$73,2,FALSE),"NA")</f>
        <v>Mason</v>
      </c>
      <c r="L1953" t="str">
        <f>IFERROR(VLOOKUP(J1953,LUTs!$A$1:$C$73,3,FALSE),"NA")</f>
        <v>4 Hood Canal</v>
      </c>
      <c r="M1953" s="72" t="s">
        <v>23</v>
      </c>
      <c r="N1953" t="str">
        <f>VLOOKUP(M1953,LUTs!E$2:H$14,3,)</f>
        <v>10Kitsap</v>
      </c>
      <c r="O1953" t="str">
        <f>VLOOKUP(M1953,LUTs!E$2:H$14,4,)</f>
        <v>02South Puget Sound</v>
      </c>
      <c r="P1953" s="73">
        <v>150.166666666667</v>
      </c>
      <c r="Q1953" s="74">
        <f>VLOOKUP(B1953,Readme!A$40:C$51,2,)*P1953</f>
        <v>516.57333333333452</v>
      </c>
    </row>
    <row r="1954" spans="1:17" ht="12" customHeight="1" x14ac:dyDescent="0.35">
      <c r="A1954" s="75">
        <v>1953</v>
      </c>
      <c r="B1954" s="64">
        <v>2015</v>
      </c>
      <c r="C1954" s="64">
        <v>10</v>
      </c>
      <c r="D1954" s="80">
        <f t="shared" si="63"/>
        <v>2015</v>
      </c>
      <c r="E1954" t="s">
        <v>38</v>
      </c>
      <c r="F1954" t="s">
        <v>143</v>
      </c>
      <c r="G1954" t="s">
        <v>10</v>
      </c>
      <c r="H1954" s="72" t="s">
        <v>225</v>
      </c>
      <c r="I1954" s="72" t="s">
        <v>67</v>
      </c>
      <c r="J1954" t="str">
        <f t="shared" si="64"/>
        <v>Dewatto River</v>
      </c>
      <c r="K1954" t="str">
        <f>IFERROR(VLOOKUP(J1954,LUTs!$A$1:$C$73,2,FALSE),"NA")</f>
        <v>Mason</v>
      </c>
      <c r="L1954" t="str">
        <f>IFERROR(VLOOKUP(J1954,LUTs!$A$1:$C$73,3,FALSE),"NA")</f>
        <v>4 Hood Canal</v>
      </c>
      <c r="M1954" s="72" t="s">
        <v>21</v>
      </c>
      <c r="N1954" t="str">
        <f>VLOOKUP(M1954,LUTs!E$2:H$14,3,)</f>
        <v>08Thurston</v>
      </c>
      <c r="O1954" t="str">
        <f>VLOOKUP(M1954,LUTs!E$2:H$14,4,)</f>
        <v>02South Puget Sound</v>
      </c>
      <c r="P1954" s="73">
        <v>8.8333333333333304</v>
      </c>
      <c r="Q1954" s="74">
        <f>VLOOKUP(B1954,Readme!A$40:C$51,2,)*P1954</f>
        <v>30.386666666666656</v>
      </c>
    </row>
    <row r="1955" spans="1:17" ht="12" customHeight="1" x14ac:dyDescent="0.35">
      <c r="A1955" s="75">
        <v>1954</v>
      </c>
      <c r="B1955" s="64">
        <v>2015</v>
      </c>
      <c r="C1955" s="64">
        <v>11</v>
      </c>
      <c r="D1955" s="80">
        <f t="shared" si="63"/>
        <v>2015</v>
      </c>
      <c r="E1955" t="s">
        <v>38</v>
      </c>
      <c r="F1955" t="s">
        <v>143</v>
      </c>
      <c r="G1955" t="s">
        <v>10</v>
      </c>
      <c r="H1955" s="72" t="s">
        <v>226</v>
      </c>
      <c r="I1955" s="72" t="s">
        <v>68</v>
      </c>
      <c r="J1955" t="str">
        <f t="shared" si="64"/>
        <v>Dosewallips River</v>
      </c>
      <c r="K1955" t="str">
        <f>IFERROR(VLOOKUP(J1955,LUTs!$A$1:$C$73,2,FALSE),"NA")</f>
        <v>Jefferson</v>
      </c>
      <c r="L1955" t="str">
        <f>IFERROR(VLOOKUP(J1955,LUTs!$A$1:$C$73,3,FALSE),"NA")</f>
        <v>4 Hood Canal</v>
      </c>
      <c r="M1955" s="72" t="s">
        <v>21</v>
      </c>
      <c r="N1955" t="str">
        <f>VLOOKUP(M1955,LUTs!E$2:H$14,3,)</f>
        <v>08Thurston</v>
      </c>
      <c r="O1955" t="str">
        <f>VLOOKUP(M1955,LUTs!E$2:H$14,4,)</f>
        <v>02South Puget Sound</v>
      </c>
      <c r="P1955" s="73">
        <v>18</v>
      </c>
      <c r="Q1955" s="74">
        <f>VLOOKUP(B1955,Readme!A$40:C$51,2,)*P1955</f>
        <v>61.92</v>
      </c>
    </row>
    <row r="1956" spans="1:17" ht="12" customHeight="1" x14ac:dyDescent="0.35">
      <c r="A1956" s="75">
        <v>1955</v>
      </c>
      <c r="B1956" s="64">
        <v>2015</v>
      </c>
      <c r="C1956" s="64">
        <v>9</v>
      </c>
      <c r="D1956" s="80">
        <f t="shared" si="63"/>
        <v>2015</v>
      </c>
      <c r="E1956" t="s">
        <v>38</v>
      </c>
      <c r="F1956" t="s">
        <v>143</v>
      </c>
      <c r="G1956" t="s">
        <v>10</v>
      </c>
      <c r="H1956" s="72" t="s">
        <v>201</v>
      </c>
      <c r="I1956" s="72" t="s">
        <v>43</v>
      </c>
      <c r="J1956" t="str">
        <f t="shared" si="64"/>
        <v>Dungeness River</v>
      </c>
      <c r="K1956" t="str">
        <f>IFERROR(VLOOKUP(J1956,LUTs!$A$1:$C$73,2,FALSE),"NA")</f>
        <v>Clallam</v>
      </c>
      <c r="L1956" t="str">
        <f>IFERROR(VLOOKUP(J1956,LUTs!$A$1:$C$73,3,FALSE),"NA")</f>
        <v>0Strait of Juan de Fuca</v>
      </c>
      <c r="M1956" s="72" t="s">
        <v>24</v>
      </c>
      <c r="N1956" t="str">
        <f>VLOOKUP(M1956,LUTs!E$2:H$14,3,)</f>
        <v>11Clallam</v>
      </c>
      <c r="O1956" t="str">
        <f>VLOOKUP(M1956,LUTs!E$2:H$14,4,)</f>
        <v>03Strait of Juan de Fuca</v>
      </c>
      <c r="P1956" s="73">
        <v>18</v>
      </c>
      <c r="Q1956" s="74">
        <f>VLOOKUP(B1956,Readme!A$40:C$51,2,)*P1956</f>
        <v>61.92</v>
      </c>
    </row>
    <row r="1957" spans="1:17" ht="12" customHeight="1" x14ac:dyDescent="0.35">
      <c r="A1957" s="75">
        <v>1956</v>
      </c>
      <c r="B1957" s="64">
        <v>2015</v>
      </c>
      <c r="C1957" s="64">
        <v>10</v>
      </c>
      <c r="D1957" s="80">
        <f t="shared" si="63"/>
        <v>2015</v>
      </c>
      <c r="E1957" t="s">
        <v>38</v>
      </c>
      <c r="F1957" t="s">
        <v>143</v>
      </c>
      <c r="G1957" t="s">
        <v>10</v>
      </c>
      <c r="H1957" s="72" t="s">
        <v>201</v>
      </c>
      <c r="I1957" s="72" t="s">
        <v>43</v>
      </c>
      <c r="J1957" t="str">
        <f t="shared" si="64"/>
        <v>Dungeness River</v>
      </c>
      <c r="K1957" t="str">
        <f>IFERROR(VLOOKUP(J1957,LUTs!$A$1:$C$73,2,FALSE),"NA")</f>
        <v>Clallam</v>
      </c>
      <c r="L1957" t="str">
        <f>IFERROR(VLOOKUP(J1957,LUTs!$A$1:$C$73,3,FALSE),"NA")</f>
        <v>0Strait of Juan de Fuca</v>
      </c>
      <c r="M1957" s="72" t="s">
        <v>24</v>
      </c>
      <c r="N1957" t="str">
        <f>VLOOKUP(M1957,LUTs!E$2:H$14,3,)</f>
        <v>11Clallam</v>
      </c>
      <c r="O1957" t="str">
        <f>VLOOKUP(M1957,LUTs!E$2:H$14,4,)</f>
        <v>03Strait of Juan de Fuca</v>
      </c>
      <c r="P1957" s="73">
        <v>166</v>
      </c>
      <c r="Q1957" s="74">
        <f>VLOOKUP(B1957,Readme!A$40:C$51,2,)*P1957</f>
        <v>571.04</v>
      </c>
    </row>
    <row r="1958" spans="1:17" ht="12" customHeight="1" x14ac:dyDescent="0.35">
      <c r="A1958" s="75">
        <v>1957</v>
      </c>
      <c r="B1958" s="64">
        <v>2015</v>
      </c>
      <c r="C1958" s="64">
        <v>11</v>
      </c>
      <c r="D1958" s="80">
        <f t="shared" si="63"/>
        <v>2015</v>
      </c>
      <c r="E1958" t="s">
        <v>38</v>
      </c>
      <c r="F1958" t="s">
        <v>143</v>
      </c>
      <c r="G1958" t="s">
        <v>10</v>
      </c>
      <c r="H1958" s="72" t="s">
        <v>201</v>
      </c>
      <c r="I1958" s="72" t="s">
        <v>43</v>
      </c>
      <c r="J1958" t="str">
        <f t="shared" si="64"/>
        <v>Dungeness River</v>
      </c>
      <c r="K1958" t="str">
        <f>IFERROR(VLOOKUP(J1958,LUTs!$A$1:$C$73,2,FALSE),"NA")</f>
        <v>Clallam</v>
      </c>
      <c r="L1958" t="str">
        <f>IFERROR(VLOOKUP(J1958,LUTs!$A$1:$C$73,3,FALSE),"NA")</f>
        <v>0Strait of Juan de Fuca</v>
      </c>
      <c r="M1958" s="72" t="s">
        <v>24</v>
      </c>
      <c r="N1958" t="str">
        <f>VLOOKUP(M1958,LUTs!E$2:H$14,3,)</f>
        <v>11Clallam</v>
      </c>
      <c r="O1958" t="str">
        <f>VLOOKUP(M1958,LUTs!E$2:H$14,4,)</f>
        <v>03Strait of Juan de Fuca</v>
      </c>
      <c r="P1958" s="73">
        <v>137.36842105263199</v>
      </c>
      <c r="Q1958" s="74">
        <f>VLOOKUP(B1958,Readme!A$40:C$51,2,)*P1958</f>
        <v>472.54736842105405</v>
      </c>
    </row>
    <row r="1959" spans="1:17" ht="12" customHeight="1" x14ac:dyDescent="0.35">
      <c r="A1959" s="75">
        <v>1958</v>
      </c>
      <c r="B1959" s="64">
        <v>2015</v>
      </c>
      <c r="C1959" s="64">
        <v>11</v>
      </c>
      <c r="D1959" s="80">
        <f t="shared" si="63"/>
        <v>2015</v>
      </c>
      <c r="E1959" t="s">
        <v>38</v>
      </c>
      <c r="F1959" t="s">
        <v>143</v>
      </c>
      <c r="G1959" t="s">
        <v>10</v>
      </c>
      <c r="H1959" s="72" t="s">
        <v>201</v>
      </c>
      <c r="I1959" s="72" t="s">
        <v>43</v>
      </c>
      <c r="J1959" t="str">
        <f t="shared" si="64"/>
        <v>Dungeness River</v>
      </c>
      <c r="K1959" t="str">
        <f>IFERROR(VLOOKUP(J1959,LUTs!$A$1:$C$73,2,FALSE),"NA")</f>
        <v>Clallam</v>
      </c>
      <c r="L1959" t="str">
        <f>IFERROR(VLOOKUP(J1959,LUTs!$A$1:$C$73,3,FALSE),"NA")</f>
        <v>0Strait of Juan de Fuca</v>
      </c>
      <c r="M1959" s="72" t="s">
        <v>23</v>
      </c>
      <c r="N1959" t="str">
        <f>VLOOKUP(M1959,LUTs!E$2:H$14,3,)</f>
        <v>10Kitsap</v>
      </c>
      <c r="O1959" t="str">
        <f>VLOOKUP(M1959,LUTs!E$2:H$14,4,)</f>
        <v>02South Puget Sound</v>
      </c>
      <c r="P1959" s="73">
        <v>27.473684210526301</v>
      </c>
      <c r="Q1959" s="74">
        <f>VLOOKUP(B1959,Readme!A$40:C$51,2,)*P1959</f>
        <v>94.509473684210477</v>
      </c>
    </row>
    <row r="1960" spans="1:17" ht="12" customHeight="1" x14ac:dyDescent="0.35">
      <c r="A1960" s="75">
        <v>1959</v>
      </c>
      <c r="B1960" s="64">
        <v>2015</v>
      </c>
      <c r="C1960" s="64">
        <v>11</v>
      </c>
      <c r="D1960" s="80">
        <f t="shared" si="63"/>
        <v>2015</v>
      </c>
      <c r="E1960" t="s">
        <v>38</v>
      </c>
      <c r="F1960" t="s">
        <v>143</v>
      </c>
      <c r="G1960" t="s">
        <v>10</v>
      </c>
      <c r="H1960" s="72" t="s">
        <v>201</v>
      </c>
      <c r="I1960" s="72" t="s">
        <v>43</v>
      </c>
      <c r="J1960" t="str">
        <f t="shared" si="64"/>
        <v>Dungeness River</v>
      </c>
      <c r="K1960" t="str">
        <f>IFERROR(VLOOKUP(J1960,LUTs!$A$1:$C$73,2,FALSE),"NA")</f>
        <v>Clallam</v>
      </c>
      <c r="L1960" t="str">
        <f>IFERROR(VLOOKUP(J1960,LUTs!$A$1:$C$73,3,FALSE),"NA")</f>
        <v>0Strait of Juan de Fuca</v>
      </c>
      <c r="M1960" s="72" t="s">
        <v>20</v>
      </c>
      <c r="N1960" t="str">
        <f>VLOOKUP(M1960,LUTs!E$2:H$14,3,)</f>
        <v>07Pierce</v>
      </c>
      <c r="O1960" t="str">
        <f>VLOOKUP(M1960,LUTs!E$2:H$14,4,)</f>
        <v>02South Puget Sound</v>
      </c>
      <c r="P1960" s="73">
        <v>9.1578947368421098</v>
      </c>
      <c r="Q1960" s="74">
        <f>VLOOKUP(B1960,Readme!A$40:C$51,2,)*P1960</f>
        <v>31.503157894736859</v>
      </c>
    </row>
    <row r="1961" spans="1:17" ht="12" customHeight="1" x14ac:dyDescent="0.35">
      <c r="A1961" s="75">
        <v>1960</v>
      </c>
      <c r="B1961" s="64">
        <v>2015</v>
      </c>
      <c r="C1961" s="64">
        <v>8</v>
      </c>
      <c r="D1961" s="80">
        <f t="shared" si="63"/>
        <v>2015</v>
      </c>
      <c r="E1961" t="s">
        <v>38</v>
      </c>
      <c r="F1961" t="s">
        <v>143</v>
      </c>
      <c r="G1961" t="s">
        <v>10</v>
      </c>
      <c r="H1961" s="72" t="s">
        <v>203</v>
      </c>
      <c r="I1961" s="72" t="s">
        <v>45</v>
      </c>
      <c r="J1961" t="str">
        <f t="shared" si="64"/>
        <v>Green - Duwamish River</v>
      </c>
      <c r="K1961" t="str">
        <f>IFERROR(VLOOKUP(J1961,LUTs!$A$1:$C$73,2,FALSE),"NA")</f>
        <v>King</v>
      </c>
      <c r="L1961" t="str">
        <f>IFERROR(VLOOKUP(J1961,LUTs!$A$1:$C$73,3,FALSE),"NA")</f>
        <v>3South Puget Sound</v>
      </c>
      <c r="M1961" s="72" t="s">
        <v>18</v>
      </c>
      <c r="N1961" t="str">
        <f>VLOOKUP(M1961,LUTs!E$2:H$14,3,)</f>
        <v>06King</v>
      </c>
      <c r="O1961" t="str">
        <f>VLOOKUP(M1961,LUTs!E$2:H$14,4,)</f>
        <v>02South Puget Sound</v>
      </c>
      <c r="P1961" s="73">
        <v>2907.4285714285702</v>
      </c>
      <c r="Q1961" s="74">
        <f>VLOOKUP(B1961,Readme!A$40:C$51,2,)*P1961</f>
        <v>10001.554285714281</v>
      </c>
    </row>
    <row r="1962" spans="1:17" ht="12" customHeight="1" x14ac:dyDescent="0.35">
      <c r="A1962" s="75">
        <v>1961</v>
      </c>
      <c r="B1962" s="64">
        <v>2015</v>
      </c>
      <c r="C1962" s="64">
        <v>8</v>
      </c>
      <c r="D1962" s="80">
        <f t="shared" si="63"/>
        <v>2015</v>
      </c>
      <c r="E1962" t="s">
        <v>38</v>
      </c>
      <c r="F1962" t="s">
        <v>143</v>
      </c>
      <c r="G1962" t="s">
        <v>10</v>
      </c>
      <c r="H1962" s="72" t="s">
        <v>203</v>
      </c>
      <c r="I1962" s="72" t="s">
        <v>45</v>
      </c>
      <c r="J1962" t="str">
        <f t="shared" si="64"/>
        <v>Green - Duwamish River</v>
      </c>
      <c r="K1962" t="str">
        <f>IFERROR(VLOOKUP(J1962,LUTs!$A$1:$C$73,2,FALSE),"NA")</f>
        <v>King</v>
      </c>
      <c r="L1962" t="str">
        <f>IFERROR(VLOOKUP(J1962,LUTs!$A$1:$C$73,3,FALSE),"NA")</f>
        <v>3South Puget Sound</v>
      </c>
      <c r="M1962" s="72" t="s">
        <v>23</v>
      </c>
      <c r="N1962" t="str">
        <f>VLOOKUP(M1962,LUTs!E$2:H$14,3,)</f>
        <v>10Kitsap</v>
      </c>
      <c r="O1962" t="str">
        <f>VLOOKUP(M1962,LUTs!E$2:H$14,4,)</f>
        <v>02South Puget Sound</v>
      </c>
      <c r="P1962" s="73">
        <v>44.867724867724903</v>
      </c>
      <c r="Q1962" s="74">
        <f>VLOOKUP(B1962,Readme!A$40:C$51,2,)*P1962</f>
        <v>154.34497354497367</v>
      </c>
    </row>
    <row r="1963" spans="1:17" ht="12" customHeight="1" x14ac:dyDescent="0.35">
      <c r="A1963" s="75">
        <v>1962</v>
      </c>
      <c r="B1963" s="64">
        <v>2015</v>
      </c>
      <c r="C1963" s="64">
        <v>8</v>
      </c>
      <c r="D1963" s="80">
        <f t="shared" si="63"/>
        <v>2015</v>
      </c>
      <c r="E1963" t="s">
        <v>38</v>
      </c>
      <c r="F1963" t="s">
        <v>143</v>
      </c>
      <c r="G1963" t="s">
        <v>10</v>
      </c>
      <c r="H1963" s="72" t="s">
        <v>203</v>
      </c>
      <c r="I1963" s="72" t="s">
        <v>45</v>
      </c>
      <c r="J1963" t="str">
        <f t="shared" si="64"/>
        <v>Green - Duwamish River</v>
      </c>
      <c r="K1963" t="str">
        <f>IFERROR(VLOOKUP(J1963,LUTs!$A$1:$C$73,2,FALSE),"NA")</f>
        <v>King</v>
      </c>
      <c r="L1963" t="str">
        <f>IFERROR(VLOOKUP(J1963,LUTs!$A$1:$C$73,3,FALSE),"NA")</f>
        <v>3South Puget Sound</v>
      </c>
      <c r="M1963" s="72" t="s">
        <v>26</v>
      </c>
      <c r="N1963" t="str">
        <f>VLOOKUP(M1963,LUTs!E$2:H$14,3,)</f>
        <v>20Other</v>
      </c>
      <c r="O1963" t="str">
        <f>VLOOKUP(M1963,LUTs!E$2:H$14,4,)</f>
        <v>07Non Puget Sound</v>
      </c>
      <c r="P1963" s="73">
        <v>242.28571428571399</v>
      </c>
      <c r="Q1963" s="74">
        <f>VLOOKUP(B1963,Readme!A$40:C$51,2,)*P1963</f>
        <v>833.46285714285614</v>
      </c>
    </row>
    <row r="1964" spans="1:17" ht="12" customHeight="1" x14ac:dyDescent="0.35">
      <c r="A1964" s="75">
        <v>1963</v>
      </c>
      <c r="B1964" s="64">
        <v>2015</v>
      </c>
      <c r="C1964" s="64">
        <v>8</v>
      </c>
      <c r="D1964" s="80">
        <f t="shared" si="63"/>
        <v>2015</v>
      </c>
      <c r="E1964" t="s">
        <v>38</v>
      </c>
      <c r="F1964" t="s">
        <v>143</v>
      </c>
      <c r="G1964" t="s">
        <v>10</v>
      </c>
      <c r="H1964" s="72" t="s">
        <v>203</v>
      </c>
      <c r="I1964" s="72" t="s">
        <v>45</v>
      </c>
      <c r="J1964" t="str">
        <f t="shared" si="64"/>
        <v>Green - Duwamish River</v>
      </c>
      <c r="K1964" t="str">
        <f>IFERROR(VLOOKUP(J1964,LUTs!$A$1:$C$73,2,FALSE),"NA")</f>
        <v>King</v>
      </c>
      <c r="L1964" t="str">
        <f>IFERROR(VLOOKUP(J1964,LUTs!$A$1:$C$73,3,FALSE),"NA")</f>
        <v>3South Puget Sound</v>
      </c>
      <c r="M1964" s="72" t="s">
        <v>20</v>
      </c>
      <c r="N1964" t="str">
        <f>VLOOKUP(M1964,LUTs!E$2:H$14,3,)</f>
        <v>07Pierce</v>
      </c>
      <c r="O1964" t="str">
        <f>VLOOKUP(M1964,LUTs!E$2:H$14,4,)</f>
        <v>02South Puget Sound</v>
      </c>
      <c r="P1964" s="73">
        <v>134.60317460317501</v>
      </c>
      <c r="Q1964" s="74">
        <f>VLOOKUP(B1964,Readme!A$40:C$51,2,)*P1964</f>
        <v>463.034920634922</v>
      </c>
    </row>
    <row r="1965" spans="1:17" ht="12" customHeight="1" x14ac:dyDescent="0.35">
      <c r="A1965" s="75">
        <v>1964</v>
      </c>
      <c r="B1965" s="64">
        <v>2015</v>
      </c>
      <c r="C1965" s="64">
        <v>8</v>
      </c>
      <c r="D1965" s="80">
        <f t="shared" si="63"/>
        <v>2015</v>
      </c>
      <c r="E1965" t="s">
        <v>38</v>
      </c>
      <c r="F1965" t="s">
        <v>143</v>
      </c>
      <c r="G1965" t="s">
        <v>10</v>
      </c>
      <c r="H1965" s="72" t="s">
        <v>203</v>
      </c>
      <c r="I1965" s="72" t="s">
        <v>45</v>
      </c>
      <c r="J1965" t="str">
        <f t="shared" si="64"/>
        <v>Green - Duwamish River</v>
      </c>
      <c r="K1965" t="str">
        <f>IFERROR(VLOOKUP(J1965,LUTs!$A$1:$C$73,2,FALSE),"NA")</f>
        <v>King</v>
      </c>
      <c r="L1965" t="str">
        <f>IFERROR(VLOOKUP(J1965,LUTs!$A$1:$C$73,3,FALSE),"NA")</f>
        <v>3South Puget Sound</v>
      </c>
      <c r="M1965" s="72" t="s">
        <v>16</v>
      </c>
      <c r="N1965" t="str">
        <f>VLOOKUP(M1965,LUTs!E$2:H$14,3,)</f>
        <v>03Snohomish</v>
      </c>
      <c r="O1965" t="str">
        <f>VLOOKUP(M1965,LUTs!E$2:H$14,4,)</f>
        <v>01North Puget Sound</v>
      </c>
      <c r="P1965" s="73">
        <v>62.814814814814802</v>
      </c>
      <c r="Q1965" s="74">
        <f>VLOOKUP(B1965,Readme!A$40:C$51,2,)*P1965</f>
        <v>216.08296296296291</v>
      </c>
    </row>
    <row r="1966" spans="1:17" ht="12" customHeight="1" x14ac:dyDescent="0.35">
      <c r="A1966" s="75">
        <v>1965</v>
      </c>
      <c r="B1966" s="64">
        <v>2015</v>
      </c>
      <c r="C1966" s="64">
        <v>9</v>
      </c>
      <c r="D1966" s="80">
        <f t="shared" si="63"/>
        <v>2015</v>
      </c>
      <c r="E1966" t="s">
        <v>38</v>
      </c>
      <c r="F1966" t="s">
        <v>143</v>
      </c>
      <c r="G1966" t="s">
        <v>10</v>
      </c>
      <c r="H1966" s="72" t="s">
        <v>203</v>
      </c>
      <c r="I1966" s="72" t="s">
        <v>45</v>
      </c>
      <c r="J1966" t="str">
        <f t="shared" si="64"/>
        <v>Green - Duwamish River</v>
      </c>
      <c r="K1966" t="str">
        <f>IFERROR(VLOOKUP(J1966,LUTs!$A$1:$C$73,2,FALSE),"NA")</f>
        <v>King</v>
      </c>
      <c r="L1966" t="str">
        <f>IFERROR(VLOOKUP(J1966,LUTs!$A$1:$C$73,3,FALSE),"NA")</f>
        <v>3South Puget Sound</v>
      </c>
      <c r="M1966" s="72" t="s">
        <v>18</v>
      </c>
      <c r="N1966" t="str">
        <f>VLOOKUP(M1966,LUTs!E$2:H$14,3,)</f>
        <v>06King</v>
      </c>
      <c r="O1966" t="str">
        <f>VLOOKUP(M1966,LUTs!E$2:H$14,4,)</f>
        <v>02South Puget Sound</v>
      </c>
      <c r="P1966" s="73">
        <v>12163.2047089601</v>
      </c>
      <c r="Q1966" s="74">
        <f>VLOOKUP(B1966,Readme!A$40:C$51,2,)*P1966</f>
        <v>41841.424198822744</v>
      </c>
    </row>
    <row r="1967" spans="1:17" ht="12" customHeight="1" x14ac:dyDescent="0.35">
      <c r="A1967" s="75">
        <v>1966</v>
      </c>
      <c r="B1967" s="64">
        <v>2015</v>
      </c>
      <c r="C1967" s="64">
        <v>9</v>
      </c>
      <c r="D1967" s="80">
        <f t="shared" si="63"/>
        <v>2015</v>
      </c>
      <c r="E1967" t="s">
        <v>38</v>
      </c>
      <c r="F1967" t="s">
        <v>143</v>
      </c>
      <c r="G1967" t="s">
        <v>10</v>
      </c>
      <c r="H1967" s="72" t="s">
        <v>203</v>
      </c>
      <c r="I1967" s="72" t="s">
        <v>45</v>
      </c>
      <c r="J1967" t="str">
        <f t="shared" si="64"/>
        <v>Green - Duwamish River</v>
      </c>
      <c r="K1967" t="str">
        <f>IFERROR(VLOOKUP(J1967,LUTs!$A$1:$C$73,2,FALSE),"NA")</f>
        <v>King</v>
      </c>
      <c r="L1967" t="str">
        <f>IFERROR(VLOOKUP(J1967,LUTs!$A$1:$C$73,3,FALSE),"NA")</f>
        <v>3South Puget Sound</v>
      </c>
      <c r="M1967" s="72" t="s">
        <v>23</v>
      </c>
      <c r="N1967" t="str">
        <f>VLOOKUP(M1967,LUTs!E$2:H$14,3,)</f>
        <v>10Kitsap</v>
      </c>
      <c r="O1967" t="str">
        <f>VLOOKUP(M1967,LUTs!E$2:H$14,4,)</f>
        <v>02South Puget Sound</v>
      </c>
      <c r="P1967" s="73">
        <v>53.819489862655303</v>
      </c>
      <c r="Q1967" s="74">
        <f>VLOOKUP(B1967,Readme!A$40:C$51,2,)*P1967</f>
        <v>185.13904512753425</v>
      </c>
    </row>
    <row r="1968" spans="1:17" ht="12" customHeight="1" x14ac:dyDescent="0.35">
      <c r="A1968" s="75">
        <v>1967</v>
      </c>
      <c r="B1968" s="64">
        <v>2015</v>
      </c>
      <c r="C1968" s="64">
        <v>9</v>
      </c>
      <c r="D1968" s="80">
        <f t="shared" si="63"/>
        <v>2015</v>
      </c>
      <c r="E1968" t="s">
        <v>38</v>
      </c>
      <c r="F1968" t="s">
        <v>143</v>
      </c>
      <c r="G1968" t="s">
        <v>10</v>
      </c>
      <c r="H1968" s="72" t="s">
        <v>203</v>
      </c>
      <c r="I1968" s="72" t="s">
        <v>45</v>
      </c>
      <c r="J1968" t="str">
        <f t="shared" si="64"/>
        <v>Green - Duwamish River</v>
      </c>
      <c r="K1968" t="str">
        <f>IFERROR(VLOOKUP(J1968,LUTs!$A$1:$C$73,2,FALSE),"NA")</f>
        <v>King</v>
      </c>
      <c r="L1968" t="str">
        <f>IFERROR(VLOOKUP(J1968,LUTs!$A$1:$C$73,3,FALSE),"NA")</f>
        <v>3South Puget Sound</v>
      </c>
      <c r="M1968" s="72" t="s">
        <v>26</v>
      </c>
      <c r="N1968" t="str">
        <f>VLOOKUP(M1968,LUTs!E$2:H$14,3,)</f>
        <v>20Other</v>
      </c>
      <c r="O1968" t="str">
        <f>VLOOKUP(M1968,LUTs!E$2:H$14,4,)</f>
        <v>07Non Puget Sound</v>
      </c>
      <c r="P1968" s="73">
        <v>556.13472858077205</v>
      </c>
      <c r="Q1968" s="74">
        <f>VLOOKUP(B1968,Readme!A$40:C$51,2,)*P1968</f>
        <v>1913.1034663178559</v>
      </c>
    </row>
    <row r="1969" spans="1:17" ht="12" customHeight="1" x14ac:dyDescent="0.35">
      <c r="A1969" s="75">
        <v>1968</v>
      </c>
      <c r="B1969" s="64">
        <v>2015</v>
      </c>
      <c r="C1969" s="64">
        <v>9</v>
      </c>
      <c r="D1969" s="80">
        <f t="shared" si="63"/>
        <v>2015</v>
      </c>
      <c r="E1969" t="s">
        <v>38</v>
      </c>
      <c r="F1969" t="s">
        <v>143</v>
      </c>
      <c r="G1969" t="s">
        <v>10</v>
      </c>
      <c r="H1969" s="72" t="s">
        <v>203</v>
      </c>
      <c r="I1969" s="72" t="s">
        <v>45</v>
      </c>
      <c r="J1969" t="str">
        <f t="shared" si="64"/>
        <v>Green - Duwamish River</v>
      </c>
      <c r="K1969" t="str">
        <f>IFERROR(VLOOKUP(J1969,LUTs!$A$1:$C$73,2,FALSE),"NA")</f>
        <v>King</v>
      </c>
      <c r="L1969" t="str">
        <f>IFERROR(VLOOKUP(J1969,LUTs!$A$1:$C$73,3,FALSE),"NA")</f>
        <v>3South Puget Sound</v>
      </c>
      <c r="M1969" s="72" t="s">
        <v>20</v>
      </c>
      <c r="N1969" t="str">
        <f>VLOOKUP(M1969,LUTs!E$2:H$14,3,)</f>
        <v>07Pierce</v>
      </c>
      <c r="O1969" t="str">
        <f>VLOOKUP(M1969,LUTs!E$2:H$14,4,)</f>
        <v>02South Puget Sound</v>
      </c>
      <c r="P1969" s="73">
        <v>861.11183780248496</v>
      </c>
      <c r="Q1969" s="74">
        <f>VLOOKUP(B1969,Readme!A$40:C$51,2,)*P1969</f>
        <v>2962.2247220405484</v>
      </c>
    </row>
    <row r="1970" spans="1:17" ht="12" customHeight="1" x14ac:dyDescent="0.35">
      <c r="A1970" s="75">
        <v>1969</v>
      </c>
      <c r="B1970" s="64">
        <v>2015</v>
      </c>
      <c r="C1970" s="64">
        <v>9</v>
      </c>
      <c r="D1970" s="80">
        <f t="shared" si="63"/>
        <v>2015</v>
      </c>
      <c r="E1970" t="s">
        <v>38</v>
      </c>
      <c r="F1970" t="s">
        <v>143</v>
      </c>
      <c r="G1970" t="s">
        <v>10</v>
      </c>
      <c r="H1970" s="72" t="s">
        <v>203</v>
      </c>
      <c r="I1970" s="72" t="s">
        <v>45</v>
      </c>
      <c r="J1970" t="str">
        <f t="shared" si="64"/>
        <v>Green - Duwamish River</v>
      </c>
      <c r="K1970" t="str">
        <f>IFERROR(VLOOKUP(J1970,LUTs!$A$1:$C$73,2,FALSE),"NA")</f>
        <v>King</v>
      </c>
      <c r="L1970" t="str">
        <f>IFERROR(VLOOKUP(J1970,LUTs!$A$1:$C$73,3,FALSE),"NA")</f>
        <v>3South Puget Sound</v>
      </c>
      <c r="M1970" s="72" t="s">
        <v>16</v>
      </c>
      <c r="N1970" t="str">
        <f>VLOOKUP(M1970,LUTs!E$2:H$14,3,)</f>
        <v>03Snohomish</v>
      </c>
      <c r="O1970" t="str">
        <f>VLOOKUP(M1970,LUTs!E$2:H$14,4,)</f>
        <v>01North Puget Sound</v>
      </c>
      <c r="P1970" s="73">
        <v>71.759319816873798</v>
      </c>
      <c r="Q1970" s="74">
        <f>VLOOKUP(B1970,Readme!A$40:C$51,2,)*P1970</f>
        <v>246.85206017004586</v>
      </c>
    </row>
    <row r="1971" spans="1:17" ht="12" customHeight="1" x14ac:dyDescent="0.35">
      <c r="A1971" s="75">
        <v>1970</v>
      </c>
      <c r="B1971" s="64">
        <v>2015</v>
      </c>
      <c r="C1971" s="64">
        <v>9</v>
      </c>
      <c r="D1971" s="80">
        <f t="shared" si="63"/>
        <v>2015</v>
      </c>
      <c r="E1971" t="s">
        <v>38</v>
      </c>
      <c r="F1971" t="s">
        <v>143</v>
      </c>
      <c r="G1971" t="s">
        <v>10</v>
      </c>
      <c r="H1971" s="72" t="s">
        <v>203</v>
      </c>
      <c r="I1971" s="72" t="s">
        <v>45</v>
      </c>
      <c r="J1971" t="str">
        <f t="shared" si="64"/>
        <v>Green - Duwamish River</v>
      </c>
      <c r="K1971" t="str">
        <f>IFERROR(VLOOKUP(J1971,LUTs!$A$1:$C$73,2,FALSE),"NA")</f>
        <v>King</v>
      </c>
      <c r="L1971" t="str">
        <f>IFERROR(VLOOKUP(J1971,LUTs!$A$1:$C$73,3,FALSE),"NA")</f>
        <v>3South Puget Sound</v>
      </c>
      <c r="M1971" s="72" t="s">
        <v>21</v>
      </c>
      <c r="N1971" t="str">
        <f>VLOOKUP(M1971,LUTs!E$2:H$14,3,)</f>
        <v>08Thurston</v>
      </c>
      <c r="O1971" t="str">
        <f>VLOOKUP(M1971,LUTs!E$2:H$14,4,)</f>
        <v>02South Puget Sound</v>
      </c>
      <c r="P1971" s="73">
        <v>8.9699149771092301</v>
      </c>
      <c r="Q1971" s="74">
        <f>VLOOKUP(B1971,Readme!A$40:C$51,2,)*P1971</f>
        <v>30.85650752125575</v>
      </c>
    </row>
    <row r="1972" spans="1:17" ht="12" customHeight="1" x14ac:dyDescent="0.35">
      <c r="A1972" s="75">
        <v>1971</v>
      </c>
      <c r="B1972" s="64">
        <v>2015</v>
      </c>
      <c r="C1972" s="64">
        <v>10</v>
      </c>
      <c r="D1972" s="80">
        <f t="shared" si="63"/>
        <v>2015</v>
      </c>
      <c r="E1972" t="s">
        <v>38</v>
      </c>
      <c r="F1972" t="s">
        <v>143</v>
      </c>
      <c r="G1972" t="s">
        <v>10</v>
      </c>
      <c r="H1972" s="72" t="s">
        <v>203</v>
      </c>
      <c r="I1972" s="72" t="s">
        <v>45</v>
      </c>
      <c r="J1972" t="str">
        <f t="shared" si="64"/>
        <v>Green - Duwamish River</v>
      </c>
      <c r="K1972" t="str">
        <f>IFERROR(VLOOKUP(J1972,LUTs!$A$1:$C$73,2,FALSE),"NA")</f>
        <v>King</v>
      </c>
      <c r="L1972" t="str">
        <f>IFERROR(VLOOKUP(J1972,LUTs!$A$1:$C$73,3,FALSE),"NA")</f>
        <v>3South Puget Sound</v>
      </c>
      <c r="M1972" s="72" t="s">
        <v>18</v>
      </c>
      <c r="N1972" t="str">
        <f>VLOOKUP(M1972,LUTs!E$2:H$14,3,)</f>
        <v>06King</v>
      </c>
      <c r="O1972" t="str">
        <f>VLOOKUP(M1972,LUTs!E$2:H$14,4,)</f>
        <v>02South Puget Sound</v>
      </c>
      <c r="P1972" s="73">
        <v>3947.5939849624101</v>
      </c>
      <c r="Q1972" s="74">
        <f>VLOOKUP(B1972,Readme!A$40:C$51,2,)*P1972</f>
        <v>13579.72330827069</v>
      </c>
    </row>
    <row r="1973" spans="1:17" ht="12" customHeight="1" x14ac:dyDescent="0.35">
      <c r="A1973" s="75">
        <v>1972</v>
      </c>
      <c r="B1973" s="64">
        <v>2015</v>
      </c>
      <c r="C1973" s="64">
        <v>10</v>
      </c>
      <c r="D1973" s="80">
        <f t="shared" si="63"/>
        <v>2015</v>
      </c>
      <c r="E1973" t="s">
        <v>38</v>
      </c>
      <c r="F1973" t="s">
        <v>143</v>
      </c>
      <c r="G1973" t="s">
        <v>10</v>
      </c>
      <c r="H1973" s="72" t="s">
        <v>203</v>
      </c>
      <c r="I1973" s="72" t="s">
        <v>45</v>
      </c>
      <c r="J1973" t="str">
        <f t="shared" si="64"/>
        <v>Green - Duwamish River</v>
      </c>
      <c r="K1973" t="str">
        <f>IFERROR(VLOOKUP(J1973,LUTs!$A$1:$C$73,2,FALSE),"NA")</f>
        <v>King</v>
      </c>
      <c r="L1973" t="str">
        <f>IFERROR(VLOOKUP(J1973,LUTs!$A$1:$C$73,3,FALSE),"NA")</f>
        <v>3South Puget Sound</v>
      </c>
      <c r="M1973" s="72" t="s">
        <v>23</v>
      </c>
      <c r="N1973" t="str">
        <f>VLOOKUP(M1973,LUTs!E$2:H$14,3,)</f>
        <v>10Kitsap</v>
      </c>
      <c r="O1973" t="str">
        <f>VLOOKUP(M1973,LUTs!E$2:H$14,4,)</f>
        <v>02South Puget Sound</v>
      </c>
      <c r="P1973" s="73">
        <v>53.830827067669198</v>
      </c>
      <c r="Q1973" s="74">
        <f>VLOOKUP(B1973,Readme!A$40:C$51,2,)*P1973</f>
        <v>185.17804511278203</v>
      </c>
    </row>
    <row r="1974" spans="1:17" ht="12" customHeight="1" x14ac:dyDescent="0.35">
      <c r="A1974" s="75">
        <v>1973</v>
      </c>
      <c r="B1974" s="64">
        <v>2015</v>
      </c>
      <c r="C1974" s="64">
        <v>10</v>
      </c>
      <c r="D1974" s="80">
        <f t="shared" si="63"/>
        <v>2015</v>
      </c>
      <c r="E1974" t="s">
        <v>38</v>
      </c>
      <c r="F1974" t="s">
        <v>143</v>
      </c>
      <c r="G1974" t="s">
        <v>10</v>
      </c>
      <c r="H1974" s="72" t="s">
        <v>203</v>
      </c>
      <c r="I1974" s="72" t="s">
        <v>45</v>
      </c>
      <c r="J1974" t="str">
        <f t="shared" si="64"/>
        <v>Green - Duwamish River</v>
      </c>
      <c r="K1974" t="str">
        <f>IFERROR(VLOOKUP(J1974,LUTs!$A$1:$C$73,2,FALSE),"NA")</f>
        <v>King</v>
      </c>
      <c r="L1974" t="str">
        <f>IFERROR(VLOOKUP(J1974,LUTs!$A$1:$C$73,3,FALSE),"NA")</f>
        <v>3South Puget Sound</v>
      </c>
      <c r="M1974" s="72" t="s">
        <v>26</v>
      </c>
      <c r="N1974" t="str">
        <f>VLOOKUP(M1974,LUTs!E$2:H$14,3,)</f>
        <v>20Other</v>
      </c>
      <c r="O1974" t="str">
        <f>VLOOKUP(M1974,LUTs!E$2:H$14,4,)</f>
        <v>07Non Puget Sound</v>
      </c>
      <c r="P1974" s="73">
        <v>62.802631578947398</v>
      </c>
      <c r="Q1974" s="74">
        <f>VLOOKUP(B1974,Readme!A$40:C$51,2,)*P1974</f>
        <v>216.04105263157905</v>
      </c>
    </row>
    <row r="1975" spans="1:17" ht="12" customHeight="1" x14ac:dyDescent="0.35">
      <c r="A1975" s="75">
        <v>1974</v>
      </c>
      <c r="B1975" s="64">
        <v>2015</v>
      </c>
      <c r="C1975" s="64">
        <v>10</v>
      </c>
      <c r="D1975" s="80">
        <f t="shared" si="63"/>
        <v>2015</v>
      </c>
      <c r="E1975" t="s">
        <v>38</v>
      </c>
      <c r="F1975" t="s">
        <v>143</v>
      </c>
      <c r="G1975" t="s">
        <v>10</v>
      </c>
      <c r="H1975" s="72" t="s">
        <v>203</v>
      </c>
      <c r="I1975" s="72" t="s">
        <v>45</v>
      </c>
      <c r="J1975" t="str">
        <f t="shared" si="64"/>
        <v>Green - Duwamish River</v>
      </c>
      <c r="K1975" t="str">
        <f>IFERROR(VLOOKUP(J1975,LUTs!$A$1:$C$73,2,FALSE),"NA")</f>
        <v>King</v>
      </c>
      <c r="L1975" t="str">
        <f>IFERROR(VLOOKUP(J1975,LUTs!$A$1:$C$73,3,FALSE),"NA")</f>
        <v>3South Puget Sound</v>
      </c>
      <c r="M1975" s="72" t="s">
        <v>20</v>
      </c>
      <c r="N1975" t="str">
        <f>VLOOKUP(M1975,LUTs!E$2:H$14,3,)</f>
        <v>07Pierce</v>
      </c>
      <c r="O1975" t="str">
        <f>VLOOKUP(M1975,LUTs!E$2:H$14,4,)</f>
        <v>02South Puget Sound</v>
      </c>
      <c r="P1975" s="73">
        <v>475.50563909774399</v>
      </c>
      <c r="Q1975" s="74">
        <f>VLOOKUP(B1975,Readme!A$40:C$51,2,)*P1975</f>
        <v>1635.7393984962393</v>
      </c>
    </row>
    <row r="1976" spans="1:17" ht="12" customHeight="1" x14ac:dyDescent="0.35">
      <c r="A1976" s="75">
        <v>1975</v>
      </c>
      <c r="B1976" s="64">
        <v>2015</v>
      </c>
      <c r="C1976" s="64">
        <v>10</v>
      </c>
      <c r="D1976" s="80">
        <f t="shared" si="63"/>
        <v>2015</v>
      </c>
      <c r="E1976" t="s">
        <v>38</v>
      </c>
      <c r="F1976" t="s">
        <v>143</v>
      </c>
      <c r="G1976" t="s">
        <v>10</v>
      </c>
      <c r="H1976" s="72" t="s">
        <v>203</v>
      </c>
      <c r="I1976" s="72" t="s">
        <v>45</v>
      </c>
      <c r="J1976" t="str">
        <f t="shared" si="64"/>
        <v>Green - Duwamish River</v>
      </c>
      <c r="K1976" t="str">
        <f>IFERROR(VLOOKUP(J1976,LUTs!$A$1:$C$73,2,FALSE),"NA")</f>
        <v>King</v>
      </c>
      <c r="L1976" t="str">
        <f>IFERROR(VLOOKUP(J1976,LUTs!$A$1:$C$73,3,FALSE),"NA")</f>
        <v>3South Puget Sound</v>
      </c>
      <c r="M1976" s="72" t="s">
        <v>15</v>
      </c>
      <c r="N1976" t="str">
        <f>VLOOKUP(M1976,LUTs!E$2:H$14,3,)</f>
        <v>02Skagit</v>
      </c>
      <c r="O1976" t="str">
        <f>VLOOKUP(M1976,LUTs!E$2:H$14,4,)</f>
        <v>01North Puget Sound</v>
      </c>
      <c r="P1976" s="73">
        <v>8.9718045112782008</v>
      </c>
      <c r="Q1976" s="74">
        <f>VLOOKUP(B1976,Readme!A$40:C$51,2,)*P1976</f>
        <v>30.863007518797009</v>
      </c>
    </row>
    <row r="1977" spans="1:17" ht="12" customHeight="1" x14ac:dyDescent="0.35">
      <c r="A1977" s="75">
        <v>1976</v>
      </c>
      <c r="B1977" s="64">
        <v>2015</v>
      </c>
      <c r="C1977" s="64">
        <v>10</v>
      </c>
      <c r="D1977" s="80">
        <f t="shared" si="63"/>
        <v>2015</v>
      </c>
      <c r="E1977" t="s">
        <v>38</v>
      </c>
      <c r="F1977" t="s">
        <v>143</v>
      </c>
      <c r="G1977" t="s">
        <v>10</v>
      </c>
      <c r="H1977" s="72" t="s">
        <v>203</v>
      </c>
      <c r="I1977" s="72" t="s">
        <v>45</v>
      </c>
      <c r="J1977" t="str">
        <f t="shared" si="64"/>
        <v>Green - Duwamish River</v>
      </c>
      <c r="K1977" t="str">
        <f>IFERROR(VLOOKUP(J1977,LUTs!$A$1:$C$73,2,FALSE),"NA")</f>
        <v>King</v>
      </c>
      <c r="L1977" t="str">
        <f>IFERROR(VLOOKUP(J1977,LUTs!$A$1:$C$73,3,FALSE),"NA")</f>
        <v>3South Puget Sound</v>
      </c>
      <c r="M1977" s="72" t="s">
        <v>16</v>
      </c>
      <c r="N1977" t="str">
        <f>VLOOKUP(M1977,LUTs!E$2:H$14,3,)</f>
        <v>03Snohomish</v>
      </c>
      <c r="O1977" t="str">
        <f>VLOOKUP(M1977,LUTs!E$2:H$14,4,)</f>
        <v>01North Puget Sound</v>
      </c>
      <c r="P1977" s="73">
        <v>62.802631578947398</v>
      </c>
      <c r="Q1977" s="74">
        <f>VLOOKUP(B1977,Readme!A$40:C$51,2,)*P1977</f>
        <v>216.04105263157905</v>
      </c>
    </row>
    <row r="1978" spans="1:17" ht="12" customHeight="1" x14ac:dyDescent="0.35">
      <c r="A1978" s="75">
        <v>1977</v>
      </c>
      <c r="B1978" s="64">
        <v>2015</v>
      </c>
      <c r="C1978" s="64">
        <v>10</v>
      </c>
      <c r="D1978" s="80">
        <f t="shared" si="63"/>
        <v>2015</v>
      </c>
      <c r="E1978" t="s">
        <v>38</v>
      </c>
      <c r="F1978" t="s">
        <v>143</v>
      </c>
      <c r="G1978" t="s">
        <v>10</v>
      </c>
      <c r="H1978" s="72" t="s">
        <v>203</v>
      </c>
      <c r="I1978" s="72" t="s">
        <v>45</v>
      </c>
      <c r="J1978" t="str">
        <f t="shared" si="64"/>
        <v>Green - Duwamish River</v>
      </c>
      <c r="K1978" t="str">
        <f>IFERROR(VLOOKUP(J1978,LUTs!$A$1:$C$73,2,FALSE),"NA")</f>
        <v>King</v>
      </c>
      <c r="L1978" t="str">
        <f>IFERROR(VLOOKUP(J1978,LUTs!$A$1:$C$73,3,FALSE),"NA")</f>
        <v>3South Puget Sound</v>
      </c>
      <c r="M1978" s="72" t="s">
        <v>21</v>
      </c>
      <c r="N1978" t="str">
        <f>VLOOKUP(M1978,LUTs!E$2:H$14,3,)</f>
        <v>08Thurston</v>
      </c>
      <c r="O1978" t="str">
        <f>VLOOKUP(M1978,LUTs!E$2:H$14,4,)</f>
        <v>02South Puget Sound</v>
      </c>
      <c r="P1978" s="73">
        <v>161.492481203008</v>
      </c>
      <c r="Q1978" s="74">
        <f>VLOOKUP(B1978,Readme!A$40:C$51,2,)*P1978</f>
        <v>555.53413533834748</v>
      </c>
    </row>
    <row r="1979" spans="1:17" ht="12" customHeight="1" x14ac:dyDescent="0.35">
      <c r="A1979" s="75">
        <v>1978</v>
      </c>
      <c r="B1979" s="64">
        <v>2015</v>
      </c>
      <c r="C1979" s="64">
        <v>11</v>
      </c>
      <c r="D1979" s="80">
        <f t="shared" si="63"/>
        <v>2015</v>
      </c>
      <c r="E1979" t="s">
        <v>38</v>
      </c>
      <c r="F1979" t="s">
        <v>143</v>
      </c>
      <c r="G1979" t="s">
        <v>10</v>
      </c>
      <c r="H1979" s="72" t="s">
        <v>203</v>
      </c>
      <c r="I1979" s="72" t="s">
        <v>45</v>
      </c>
      <c r="J1979" t="str">
        <f t="shared" si="64"/>
        <v>Green - Duwamish River</v>
      </c>
      <c r="K1979" t="str">
        <f>IFERROR(VLOOKUP(J1979,LUTs!$A$1:$C$73,2,FALSE),"NA")</f>
        <v>King</v>
      </c>
      <c r="L1979" t="str">
        <f>IFERROR(VLOOKUP(J1979,LUTs!$A$1:$C$73,3,FALSE),"NA")</f>
        <v>3South Puget Sound</v>
      </c>
      <c r="M1979" s="72" t="s">
        <v>18</v>
      </c>
      <c r="N1979" t="str">
        <f>VLOOKUP(M1979,LUTs!E$2:H$14,3,)</f>
        <v>06King</v>
      </c>
      <c r="O1979" t="str">
        <f>VLOOKUP(M1979,LUTs!E$2:H$14,4,)</f>
        <v>02South Puget Sound</v>
      </c>
      <c r="P1979" s="73">
        <v>402.857142857143</v>
      </c>
      <c r="Q1979" s="74">
        <f>VLOOKUP(B1979,Readme!A$40:C$51,2,)*P1979</f>
        <v>1385.8285714285719</v>
      </c>
    </row>
    <row r="1980" spans="1:17" ht="12" customHeight="1" x14ac:dyDescent="0.35">
      <c r="A1980" s="75">
        <v>1979</v>
      </c>
      <c r="B1980" s="64">
        <v>2015</v>
      </c>
      <c r="C1980" s="64">
        <v>11</v>
      </c>
      <c r="D1980" s="80">
        <f t="shared" si="63"/>
        <v>2015</v>
      </c>
      <c r="E1980" t="s">
        <v>38</v>
      </c>
      <c r="F1980" t="s">
        <v>143</v>
      </c>
      <c r="G1980" t="s">
        <v>10</v>
      </c>
      <c r="H1980" s="72" t="s">
        <v>203</v>
      </c>
      <c r="I1980" s="72" t="s">
        <v>45</v>
      </c>
      <c r="J1980" t="str">
        <f t="shared" si="64"/>
        <v>Green - Duwamish River</v>
      </c>
      <c r="K1980" t="str">
        <f>IFERROR(VLOOKUP(J1980,LUTs!$A$1:$C$73,2,FALSE),"NA")</f>
        <v>King</v>
      </c>
      <c r="L1980" t="str">
        <f>IFERROR(VLOOKUP(J1980,LUTs!$A$1:$C$73,3,FALSE),"NA")</f>
        <v>3South Puget Sound</v>
      </c>
      <c r="M1980" s="72" t="s">
        <v>26</v>
      </c>
      <c r="N1980" t="str">
        <f>VLOOKUP(M1980,LUTs!E$2:H$14,3,)</f>
        <v>20Other</v>
      </c>
      <c r="O1980" t="str">
        <f>VLOOKUP(M1980,LUTs!E$2:H$14,4,)</f>
        <v>07Non Puget Sound</v>
      </c>
      <c r="P1980" s="73">
        <v>28.775510204081598</v>
      </c>
      <c r="Q1980" s="74">
        <f>VLOOKUP(B1980,Readme!A$40:C$51,2,)*P1980</f>
        <v>98.987755102040694</v>
      </c>
    </row>
    <row r="1981" spans="1:17" ht="12" customHeight="1" x14ac:dyDescent="0.35">
      <c r="A1981" s="75">
        <v>1980</v>
      </c>
      <c r="B1981" s="64">
        <v>2015</v>
      </c>
      <c r="C1981" s="64">
        <v>11</v>
      </c>
      <c r="D1981" s="80">
        <f t="shared" si="63"/>
        <v>2015</v>
      </c>
      <c r="E1981" t="s">
        <v>38</v>
      </c>
      <c r="F1981" t="s">
        <v>143</v>
      </c>
      <c r="G1981" t="s">
        <v>10</v>
      </c>
      <c r="H1981" s="72" t="s">
        <v>203</v>
      </c>
      <c r="I1981" s="72" t="s">
        <v>45</v>
      </c>
      <c r="J1981" t="str">
        <f t="shared" si="64"/>
        <v>Green - Duwamish River</v>
      </c>
      <c r="K1981" t="str">
        <f>IFERROR(VLOOKUP(J1981,LUTs!$A$1:$C$73,2,FALSE),"NA")</f>
        <v>King</v>
      </c>
      <c r="L1981" t="str">
        <f>IFERROR(VLOOKUP(J1981,LUTs!$A$1:$C$73,3,FALSE),"NA")</f>
        <v>3South Puget Sound</v>
      </c>
      <c r="M1981" s="72" t="s">
        <v>20</v>
      </c>
      <c r="N1981" t="str">
        <f>VLOOKUP(M1981,LUTs!E$2:H$14,3,)</f>
        <v>07Pierce</v>
      </c>
      <c r="O1981" t="str">
        <f>VLOOKUP(M1981,LUTs!E$2:H$14,4,)</f>
        <v>02South Puget Sound</v>
      </c>
      <c r="P1981" s="73">
        <v>38.367346938775498</v>
      </c>
      <c r="Q1981" s="74">
        <f>VLOOKUP(B1981,Readme!A$40:C$51,2,)*P1981</f>
        <v>131.9836734693877</v>
      </c>
    </row>
    <row r="1982" spans="1:17" ht="12" customHeight="1" x14ac:dyDescent="0.35">
      <c r="A1982" s="75">
        <v>1981</v>
      </c>
      <c r="B1982" s="64">
        <v>2015</v>
      </c>
      <c r="C1982" s="64">
        <v>12</v>
      </c>
      <c r="D1982" s="80">
        <f t="shared" si="63"/>
        <v>2015</v>
      </c>
      <c r="E1982" t="s">
        <v>38</v>
      </c>
      <c r="F1982" t="s">
        <v>143</v>
      </c>
      <c r="G1982" t="s">
        <v>10</v>
      </c>
      <c r="H1982" s="72" t="s">
        <v>203</v>
      </c>
      <c r="I1982" s="72" t="s">
        <v>45</v>
      </c>
      <c r="J1982" t="str">
        <f t="shared" si="64"/>
        <v>Green - Duwamish River</v>
      </c>
      <c r="K1982" t="str">
        <f>IFERROR(VLOOKUP(J1982,LUTs!$A$1:$C$73,2,FALSE),"NA")</f>
        <v>King</v>
      </c>
      <c r="L1982" t="str">
        <f>IFERROR(VLOOKUP(J1982,LUTs!$A$1:$C$73,3,FALSE),"NA")</f>
        <v>3South Puget Sound</v>
      </c>
      <c r="M1982" s="72" t="s">
        <v>18</v>
      </c>
      <c r="N1982" t="str">
        <f>VLOOKUP(M1982,LUTs!E$2:H$14,3,)</f>
        <v>06King</v>
      </c>
      <c r="O1982" t="str">
        <f>VLOOKUP(M1982,LUTs!E$2:H$14,4,)</f>
        <v>02South Puget Sound</v>
      </c>
      <c r="P1982" s="73">
        <v>10</v>
      </c>
      <c r="Q1982" s="74">
        <f>VLOOKUP(B1982,Readme!A$40:C$51,2,)*P1982</f>
        <v>34.4</v>
      </c>
    </row>
    <row r="1983" spans="1:17" ht="12" customHeight="1" x14ac:dyDescent="0.35">
      <c r="A1983" s="75">
        <v>1982</v>
      </c>
      <c r="B1983" s="64">
        <v>2015</v>
      </c>
      <c r="C1983" s="64">
        <v>9</v>
      </c>
      <c r="D1983" s="80">
        <f t="shared" si="63"/>
        <v>2015</v>
      </c>
      <c r="E1983" t="s">
        <v>38</v>
      </c>
      <c r="F1983" t="s">
        <v>143</v>
      </c>
      <c r="G1983" t="s">
        <v>10</v>
      </c>
      <c r="H1983" s="72" t="s">
        <v>205</v>
      </c>
      <c r="I1983" s="72" t="s">
        <v>47</v>
      </c>
      <c r="J1983" t="str">
        <f t="shared" si="64"/>
        <v>Kennedy Creek</v>
      </c>
      <c r="K1983" t="str">
        <f>IFERROR(VLOOKUP(J1983,LUTs!$A$1:$C$73,2,FALSE),"NA")</f>
        <v>Mason/Thurston</v>
      </c>
      <c r="L1983" t="str">
        <f>IFERROR(VLOOKUP(J1983,LUTs!$A$1:$C$73,3,FALSE),"NA")</f>
        <v>3South Puget Sound</v>
      </c>
      <c r="M1983" s="72" t="s">
        <v>20</v>
      </c>
      <c r="N1983" t="str">
        <f>VLOOKUP(M1983,LUTs!E$2:H$14,3,)</f>
        <v>07Pierce</v>
      </c>
      <c r="O1983" t="str">
        <f>VLOOKUP(M1983,LUTs!E$2:H$14,4,)</f>
        <v>02South Puget Sound</v>
      </c>
      <c r="P1983" s="73">
        <v>9</v>
      </c>
      <c r="Q1983" s="74">
        <f>VLOOKUP(B1983,Readme!A$40:C$51,2,)*P1983</f>
        <v>30.96</v>
      </c>
    </row>
    <row r="1984" spans="1:17" ht="12" customHeight="1" x14ac:dyDescent="0.35">
      <c r="A1984" s="75">
        <v>1983</v>
      </c>
      <c r="B1984" s="64">
        <v>2015</v>
      </c>
      <c r="C1984" s="64">
        <v>10</v>
      </c>
      <c r="D1984" s="80">
        <f t="shared" si="63"/>
        <v>2015</v>
      </c>
      <c r="E1984" t="s">
        <v>38</v>
      </c>
      <c r="F1984" t="s">
        <v>143</v>
      </c>
      <c r="G1984" t="s">
        <v>10</v>
      </c>
      <c r="H1984" s="72" t="s">
        <v>205</v>
      </c>
      <c r="I1984" s="72" t="s">
        <v>47</v>
      </c>
      <c r="J1984" t="str">
        <f t="shared" si="64"/>
        <v>Kennedy Creek</v>
      </c>
      <c r="K1984" t="str">
        <f>IFERROR(VLOOKUP(J1984,LUTs!$A$1:$C$73,2,FALSE),"NA")</f>
        <v>Mason/Thurston</v>
      </c>
      <c r="L1984" t="str">
        <f>IFERROR(VLOOKUP(J1984,LUTs!$A$1:$C$73,3,FALSE),"NA")</f>
        <v>3South Puget Sound</v>
      </c>
      <c r="M1984" s="72" t="s">
        <v>26</v>
      </c>
      <c r="N1984" t="str">
        <f>VLOOKUP(M1984,LUTs!E$2:H$14,3,)</f>
        <v>20Other</v>
      </c>
      <c r="O1984" t="str">
        <f>VLOOKUP(M1984,LUTs!E$2:H$14,4,)</f>
        <v>07Non Puget Sound</v>
      </c>
      <c r="P1984" s="73">
        <v>27.6</v>
      </c>
      <c r="Q1984" s="74">
        <f>VLOOKUP(B1984,Readme!A$40:C$51,2,)*P1984</f>
        <v>94.944000000000003</v>
      </c>
    </row>
    <row r="1985" spans="1:17" ht="12" customHeight="1" x14ac:dyDescent="0.35">
      <c r="A1985" s="75">
        <v>1984</v>
      </c>
      <c r="B1985" s="64">
        <v>2015</v>
      </c>
      <c r="C1985" s="64">
        <v>10</v>
      </c>
      <c r="D1985" s="80">
        <f t="shared" si="63"/>
        <v>2015</v>
      </c>
      <c r="E1985" t="s">
        <v>38</v>
      </c>
      <c r="F1985" t="s">
        <v>143</v>
      </c>
      <c r="G1985" t="s">
        <v>10</v>
      </c>
      <c r="H1985" s="72" t="s">
        <v>205</v>
      </c>
      <c r="I1985" s="72" t="s">
        <v>47</v>
      </c>
      <c r="J1985" t="str">
        <f t="shared" si="64"/>
        <v>Kennedy Creek</v>
      </c>
      <c r="K1985" t="str">
        <f>IFERROR(VLOOKUP(J1985,LUTs!$A$1:$C$73,2,FALSE),"NA")</f>
        <v>Mason/Thurston</v>
      </c>
      <c r="L1985" t="str">
        <f>IFERROR(VLOOKUP(J1985,LUTs!$A$1:$C$73,3,FALSE),"NA")</f>
        <v>3South Puget Sound</v>
      </c>
      <c r="M1985" s="72" t="s">
        <v>20</v>
      </c>
      <c r="N1985" t="str">
        <f>VLOOKUP(M1985,LUTs!E$2:H$14,3,)</f>
        <v>07Pierce</v>
      </c>
      <c r="O1985" t="str">
        <f>VLOOKUP(M1985,LUTs!E$2:H$14,4,)</f>
        <v>02South Puget Sound</v>
      </c>
      <c r="P1985" s="73">
        <v>55.2</v>
      </c>
      <c r="Q1985" s="74">
        <f>VLOOKUP(B1985,Readme!A$40:C$51,2,)*P1985</f>
        <v>189.88800000000001</v>
      </c>
    </row>
    <row r="1986" spans="1:17" ht="12" customHeight="1" x14ac:dyDescent="0.35">
      <c r="A1986" s="75">
        <v>1985</v>
      </c>
      <c r="B1986" s="64">
        <v>2015</v>
      </c>
      <c r="C1986" s="64">
        <v>10</v>
      </c>
      <c r="D1986" s="80">
        <f t="shared" ref="D1986:D2049" si="65">IF(C1986&gt;3,B1986,B1986-1)</f>
        <v>2015</v>
      </c>
      <c r="E1986" t="s">
        <v>38</v>
      </c>
      <c r="F1986" t="s">
        <v>143</v>
      </c>
      <c r="G1986" t="s">
        <v>10</v>
      </c>
      <c r="H1986" s="72" t="s">
        <v>205</v>
      </c>
      <c r="I1986" s="72" t="s">
        <v>47</v>
      </c>
      <c r="J1986" t="str">
        <f t="shared" si="64"/>
        <v>Kennedy Creek</v>
      </c>
      <c r="K1986" t="str">
        <f>IFERROR(VLOOKUP(J1986,LUTs!$A$1:$C$73,2,FALSE),"NA")</f>
        <v>Mason/Thurston</v>
      </c>
      <c r="L1986" t="str">
        <f>IFERROR(VLOOKUP(J1986,LUTs!$A$1:$C$73,3,FALSE),"NA")</f>
        <v>3South Puget Sound</v>
      </c>
      <c r="M1986" s="72" t="s">
        <v>21</v>
      </c>
      <c r="N1986" t="str">
        <f>VLOOKUP(M1986,LUTs!E$2:H$14,3,)</f>
        <v>08Thurston</v>
      </c>
      <c r="O1986" t="str">
        <f>VLOOKUP(M1986,LUTs!E$2:H$14,4,)</f>
        <v>02South Puget Sound</v>
      </c>
      <c r="P1986" s="73">
        <v>9.1999999999999993</v>
      </c>
      <c r="Q1986" s="74">
        <f>VLOOKUP(B1986,Readme!A$40:C$51,2,)*P1986</f>
        <v>31.647999999999996</v>
      </c>
    </row>
    <row r="1987" spans="1:17" ht="12" customHeight="1" x14ac:dyDescent="0.35">
      <c r="A1987" s="75">
        <v>1986</v>
      </c>
      <c r="B1987" s="64">
        <v>2015</v>
      </c>
      <c r="C1987" s="64">
        <v>11</v>
      </c>
      <c r="D1987" s="80">
        <f t="shared" si="65"/>
        <v>2015</v>
      </c>
      <c r="E1987" t="s">
        <v>38</v>
      </c>
      <c r="F1987" t="s">
        <v>143</v>
      </c>
      <c r="G1987" t="s">
        <v>10</v>
      </c>
      <c r="H1987" s="72" t="s">
        <v>205</v>
      </c>
      <c r="I1987" s="72" t="s">
        <v>47</v>
      </c>
      <c r="J1987" t="str">
        <f t="shared" ref="J1987:J2050" si="66">I1987</f>
        <v>Kennedy Creek</v>
      </c>
      <c r="K1987" t="str">
        <f>IFERROR(VLOOKUP(J1987,LUTs!$A$1:$C$73,2,FALSE),"NA")</f>
        <v>Mason/Thurston</v>
      </c>
      <c r="L1987" t="str">
        <f>IFERROR(VLOOKUP(J1987,LUTs!$A$1:$C$73,3,FALSE),"NA")</f>
        <v>3South Puget Sound</v>
      </c>
      <c r="M1987" s="72" t="s">
        <v>26</v>
      </c>
      <c r="N1987" t="str">
        <f>VLOOKUP(M1987,LUTs!E$2:H$14,3,)</f>
        <v>20Other</v>
      </c>
      <c r="O1987" t="str">
        <f>VLOOKUP(M1987,LUTs!E$2:H$14,4,)</f>
        <v>07Non Puget Sound</v>
      </c>
      <c r="P1987" s="73">
        <v>18.363636363636399</v>
      </c>
      <c r="Q1987" s="74">
        <f>VLOOKUP(B1987,Readme!A$40:C$51,2,)*P1987</f>
        <v>63.170909090909213</v>
      </c>
    </row>
    <row r="1988" spans="1:17" ht="12" customHeight="1" x14ac:dyDescent="0.35">
      <c r="A1988" s="75">
        <v>1987</v>
      </c>
      <c r="B1988" s="64">
        <v>2015</v>
      </c>
      <c r="C1988" s="64">
        <v>11</v>
      </c>
      <c r="D1988" s="80">
        <f t="shared" si="65"/>
        <v>2015</v>
      </c>
      <c r="E1988" t="s">
        <v>38</v>
      </c>
      <c r="F1988" t="s">
        <v>143</v>
      </c>
      <c r="G1988" t="s">
        <v>10</v>
      </c>
      <c r="H1988" s="72" t="s">
        <v>205</v>
      </c>
      <c r="I1988" s="72" t="s">
        <v>47</v>
      </c>
      <c r="J1988" t="str">
        <f t="shared" si="66"/>
        <v>Kennedy Creek</v>
      </c>
      <c r="K1988" t="str">
        <f>IFERROR(VLOOKUP(J1988,LUTs!$A$1:$C$73,2,FALSE),"NA")</f>
        <v>Mason/Thurston</v>
      </c>
      <c r="L1988" t="str">
        <f>IFERROR(VLOOKUP(J1988,LUTs!$A$1:$C$73,3,FALSE),"NA")</f>
        <v>3South Puget Sound</v>
      </c>
      <c r="M1988" s="72" t="s">
        <v>20</v>
      </c>
      <c r="N1988" t="str">
        <f>VLOOKUP(M1988,LUTs!E$2:H$14,3,)</f>
        <v>07Pierce</v>
      </c>
      <c r="O1988" t="str">
        <f>VLOOKUP(M1988,LUTs!E$2:H$14,4,)</f>
        <v>02South Puget Sound</v>
      </c>
      <c r="P1988" s="73">
        <v>27.5454545454546</v>
      </c>
      <c r="Q1988" s="74">
        <f>VLOOKUP(B1988,Readme!A$40:C$51,2,)*P1988</f>
        <v>94.75636363636383</v>
      </c>
    </row>
    <row r="1989" spans="1:17" ht="12" customHeight="1" x14ac:dyDescent="0.35">
      <c r="A1989" s="75">
        <v>1988</v>
      </c>
      <c r="B1989" s="64">
        <v>2015</v>
      </c>
      <c r="C1989" s="64">
        <v>11</v>
      </c>
      <c r="D1989" s="80">
        <f t="shared" si="65"/>
        <v>2015</v>
      </c>
      <c r="E1989" t="s">
        <v>38</v>
      </c>
      <c r="F1989" t="s">
        <v>143</v>
      </c>
      <c r="G1989" t="s">
        <v>10</v>
      </c>
      <c r="H1989" s="72" t="s">
        <v>205</v>
      </c>
      <c r="I1989" s="72" t="s">
        <v>47</v>
      </c>
      <c r="J1989" t="str">
        <f t="shared" si="66"/>
        <v>Kennedy Creek</v>
      </c>
      <c r="K1989" t="str">
        <f>IFERROR(VLOOKUP(J1989,LUTs!$A$1:$C$73,2,FALSE),"NA")</f>
        <v>Mason/Thurston</v>
      </c>
      <c r="L1989" t="str">
        <f>IFERROR(VLOOKUP(J1989,LUTs!$A$1:$C$73,3,FALSE),"NA")</f>
        <v>3South Puget Sound</v>
      </c>
      <c r="M1989" s="72" t="s">
        <v>21</v>
      </c>
      <c r="N1989" t="str">
        <f>VLOOKUP(M1989,LUTs!E$2:H$14,3,)</f>
        <v>08Thurston</v>
      </c>
      <c r="O1989" t="str">
        <f>VLOOKUP(M1989,LUTs!E$2:H$14,4,)</f>
        <v>02South Puget Sound</v>
      </c>
      <c r="P1989" s="73">
        <v>55.090909090909101</v>
      </c>
      <c r="Q1989" s="74">
        <f>VLOOKUP(B1989,Readme!A$40:C$51,2,)*P1989</f>
        <v>189.51272727272729</v>
      </c>
    </row>
    <row r="1990" spans="1:17" ht="12" customHeight="1" x14ac:dyDescent="0.35">
      <c r="A1990" s="75">
        <v>1989</v>
      </c>
      <c r="B1990" s="64">
        <v>2015</v>
      </c>
      <c r="C1990" s="64">
        <v>9</v>
      </c>
      <c r="D1990" s="80">
        <f t="shared" si="65"/>
        <v>2015</v>
      </c>
      <c r="E1990" t="s">
        <v>38</v>
      </c>
      <c r="F1990" t="s">
        <v>143</v>
      </c>
      <c r="G1990" t="s">
        <v>10</v>
      </c>
      <c r="H1990" s="72" t="s">
        <v>206</v>
      </c>
      <c r="I1990" s="72" t="s">
        <v>48</v>
      </c>
      <c r="J1990" t="str">
        <f t="shared" si="66"/>
        <v>Lake Washington</v>
      </c>
      <c r="K1990" t="str">
        <f>IFERROR(VLOOKUP(J1990,LUTs!$A$1:$C$73,2,FALSE),"NA")</f>
        <v>King</v>
      </c>
      <c r="L1990" t="str">
        <f>IFERROR(VLOOKUP(J1990,LUTs!$A$1:$C$73,3,FALSE),"NA")</f>
        <v>2Central Puget Sound</v>
      </c>
      <c r="M1990" s="72" t="s">
        <v>18</v>
      </c>
      <c r="N1990" t="str">
        <f>VLOOKUP(M1990,LUTs!E$2:H$14,3,)</f>
        <v>06King</v>
      </c>
      <c r="O1990" t="str">
        <f>VLOOKUP(M1990,LUTs!E$2:H$14,4,)</f>
        <v>02South Puget Sound</v>
      </c>
      <c r="P1990" s="73">
        <v>97</v>
      </c>
      <c r="Q1990" s="74">
        <f>VLOOKUP(B1990,Readme!A$40:C$51,2,)*P1990</f>
        <v>333.68</v>
      </c>
    </row>
    <row r="1991" spans="1:17" ht="12" customHeight="1" x14ac:dyDescent="0.35">
      <c r="A1991" s="75">
        <v>1990</v>
      </c>
      <c r="B1991" s="64">
        <v>2015</v>
      </c>
      <c r="C1991" s="64">
        <v>10</v>
      </c>
      <c r="D1991" s="80">
        <f t="shared" si="65"/>
        <v>2015</v>
      </c>
      <c r="E1991" t="s">
        <v>38</v>
      </c>
      <c r="F1991" t="s">
        <v>143</v>
      </c>
      <c r="G1991" t="s">
        <v>10</v>
      </c>
      <c r="H1991" s="72" t="s">
        <v>206</v>
      </c>
      <c r="I1991" s="72" t="s">
        <v>48</v>
      </c>
      <c r="J1991" t="str">
        <f t="shared" si="66"/>
        <v>Lake Washington</v>
      </c>
      <c r="K1991" t="str">
        <f>IFERROR(VLOOKUP(J1991,LUTs!$A$1:$C$73,2,FALSE),"NA")</f>
        <v>King</v>
      </c>
      <c r="L1991" t="str">
        <f>IFERROR(VLOOKUP(J1991,LUTs!$A$1:$C$73,3,FALSE),"NA")</f>
        <v>2Central Puget Sound</v>
      </c>
      <c r="M1991" s="72" t="s">
        <v>18</v>
      </c>
      <c r="N1991" t="str">
        <f>VLOOKUP(M1991,LUTs!E$2:H$14,3,)</f>
        <v>06King</v>
      </c>
      <c r="O1991" t="str">
        <f>VLOOKUP(M1991,LUTs!E$2:H$14,4,)</f>
        <v>02South Puget Sound</v>
      </c>
      <c r="P1991" s="73">
        <v>26.25</v>
      </c>
      <c r="Q1991" s="74">
        <f>VLOOKUP(B1991,Readme!A$40:C$51,2,)*P1991</f>
        <v>90.3</v>
      </c>
    </row>
    <row r="1992" spans="1:17" ht="12" customHeight="1" x14ac:dyDescent="0.35">
      <c r="A1992" s="75">
        <v>1991</v>
      </c>
      <c r="B1992" s="64">
        <v>2015</v>
      </c>
      <c r="C1992" s="64">
        <v>10</v>
      </c>
      <c r="D1992" s="80">
        <f t="shared" si="65"/>
        <v>2015</v>
      </c>
      <c r="E1992" t="s">
        <v>38</v>
      </c>
      <c r="F1992" t="s">
        <v>143</v>
      </c>
      <c r="G1992" t="s">
        <v>10</v>
      </c>
      <c r="H1992" s="72" t="s">
        <v>206</v>
      </c>
      <c r="I1992" s="72" t="s">
        <v>48</v>
      </c>
      <c r="J1992" t="str">
        <f t="shared" si="66"/>
        <v>Lake Washington</v>
      </c>
      <c r="K1992" t="str">
        <f>IFERROR(VLOOKUP(J1992,LUTs!$A$1:$C$73,2,FALSE),"NA")</f>
        <v>King</v>
      </c>
      <c r="L1992" t="str">
        <f>IFERROR(VLOOKUP(J1992,LUTs!$A$1:$C$73,3,FALSE),"NA")</f>
        <v>2Central Puget Sound</v>
      </c>
      <c r="M1992" s="72" t="s">
        <v>26</v>
      </c>
      <c r="N1992" t="str">
        <f>VLOOKUP(M1992,LUTs!E$2:H$14,3,)</f>
        <v>20Other</v>
      </c>
      <c r="O1992" t="str">
        <f>VLOOKUP(M1992,LUTs!E$2:H$14,4,)</f>
        <v>07Non Puget Sound</v>
      </c>
      <c r="P1992" s="73">
        <v>8.75</v>
      </c>
      <c r="Q1992" s="74">
        <f>VLOOKUP(B1992,Readme!A$40:C$51,2,)*P1992</f>
        <v>30.099999999999998</v>
      </c>
    </row>
    <row r="1993" spans="1:17" ht="12" customHeight="1" x14ac:dyDescent="0.35">
      <c r="A1993" s="75">
        <v>1992</v>
      </c>
      <c r="B1993" s="64">
        <v>2015</v>
      </c>
      <c r="C1993" s="64">
        <v>10</v>
      </c>
      <c r="D1993" s="80">
        <f t="shared" si="65"/>
        <v>2015</v>
      </c>
      <c r="E1993" t="s">
        <v>38</v>
      </c>
      <c r="F1993" t="s">
        <v>143</v>
      </c>
      <c r="G1993" t="s">
        <v>10</v>
      </c>
      <c r="H1993" s="72" t="s">
        <v>208</v>
      </c>
      <c r="I1993" s="72" t="s">
        <v>50</v>
      </c>
      <c r="J1993" t="str">
        <f t="shared" si="66"/>
        <v>Minter Creek</v>
      </c>
      <c r="K1993" t="str">
        <f>IFERROR(VLOOKUP(J1993,LUTs!$A$1:$C$73,2,FALSE),"NA")</f>
        <v>Kitsap/Pierce</v>
      </c>
      <c r="L1993" t="str">
        <f>IFERROR(VLOOKUP(J1993,LUTs!$A$1:$C$73,3,FALSE),"NA")</f>
        <v>3South Puget Sound</v>
      </c>
      <c r="M1993" s="72" t="s">
        <v>18</v>
      </c>
      <c r="N1993" t="str">
        <f>VLOOKUP(M1993,LUTs!E$2:H$14,3,)</f>
        <v>06King</v>
      </c>
      <c r="O1993" t="str">
        <f>VLOOKUP(M1993,LUTs!E$2:H$14,4,)</f>
        <v>02South Puget Sound</v>
      </c>
      <c r="P1993" s="73">
        <v>9</v>
      </c>
      <c r="Q1993" s="74">
        <f>VLOOKUP(B1993,Readme!A$40:C$51,2,)*P1993</f>
        <v>30.96</v>
      </c>
    </row>
    <row r="1994" spans="1:17" ht="12" customHeight="1" x14ac:dyDescent="0.35">
      <c r="A1994" s="75">
        <v>1993</v>
      </c>
      <c r="B1994" s="64">
        <v>2015</v>
      </c>
      <c r="C1994" s="64">
        <v>11</v>
      </c>
      <c r="D1994" s="80">
        <f t="shared" si="65"/>
        <v>2015</v>
      </c>
      <c r="E1994" t="s">
        <v>38</v>
      </c>
      <c r="F1994" t="s">
        <v>143</v>
      </c>
      <c r="G1994" t="s">
        <v>10</v>
      </c>
      <c r="H1994" s="72" t="s">
        <v>208</v>
      </c>
      <c r="I1994" s="72" t="s">
        <v>50</v>
      </c>
      <c r="J1994" t="str">
        <f t="shared" si="66"/>
        <v>Minter Creek</v>
      </c>
      <c r="K1994" t="str">
        <f>IFERROR(VLOOKUP(J1994,LUTs!$A$1:$C$73,2,FALSE),"NA")</f>
        <v>Kitsap/Pierce</v>
      </c>
      <c r="L1994" t="str">
        <f>IFERROR(VLOOKUP(J1994,LUTs!$A$1:$C$73,3,FALSE),"NA")</f>
        <v>3South Puget Sound</v>
      </c>
      <c r="M1994" s="72" t="s">
        <v>18</v>
      </c>
      <c r="N1994" t="str">
        <f>VLOOKUP(M1994,LUTs!E$2:H$14,3,)</f>
        <v>06King</v>
      </c>
      <c r="O1994" t="str">
        <f>VLOOKUP(M1994,LUTs!E$2:H$14,4,)</f>
        <v>02South Puget Sound</v>
      </c>
      <c r="P1994" s="73">
        <v>2136.8925619834699</v>
      </c>
      <c r="Q1994" s="74">
        <f>VLOOKUP(B1994,Readme!A$40:C$51,2,)*P1994</f>
        <v>7350.9104132231369</v>
      </c>
    </row>
    <row r="1995" spans="1:17" ht="12" customHeight="1" x14ac:dyDescent="0.35">
      <c r="A1995" s="75">
        <v>1994</v>
      </c>
      <c r="B1995" s="64">
        <v>2015</v>
      </c>
      <c r="C1995" s="64">
        <v>11</v>
      </c>
      <c r="D1995" s="80">
        <f t="shared" si="65"/>
        <v>2015</v>
      </c>
      <c r="E1995" t="s">
        <v>38</v>
      </c>
      <c r="F1995" t="s">
        <v>143</v>
      </c>
      <c r="G1995" t="s">
        <v>10</v>
      </c>
      <c r="H1995" s="72" t="s">
        <v>208</v>
      </c>
      <c r="I1995" s="72" t="s">
        <v>50</v>
      </c>
      <c r="J1995" t="str">
        <f t="shared" si="66"/>
        <v>Minter Creek</v>
      </c>
      <c r="K1995" t="str">
        <f>IFERROR(VLOOKUP(J1995,LUTs!$A$1:$C$73,2,FALSE),"NA")</f>
        <v>Kitsap/Pierce</v>
      </c>
      <c r="L1995" t="str">
        <f>IFERROR(VLOOKUP(J1995,LUTs!$A$1:$C$73,3,FALSE),"NA")</f>
        <v>3South Puget Sound</v>
      </c>
      <c r="M1995" s="72" t="s">
        <v>23</v>
      </c>
      <c r="N1995" t="str">
        <f>VLOOKUP(M1995,LUTs!E$2:H$14,3,)</f>
        <v>10Kitsap</v>
      </c>
      <c r="O1995" t="str">
        <f>VLOOKUP(M1995,LUTs!E$2:H$14,4,)</f>
        <v>02South Puget Sound</v>
      </c>
      <c r="P1995" s="73">
        <v>147.37190082644599</v>
      </c>
      <c r="Q1995" s="74">
        <f>VLOOKUP(B1995,Readme!A$40:C$51,2,)*P1995</f>
        <v>506.9593388429742</v>
      </c>
    </row>
    <row r="1996" spans="1:17" ht="12" customHeight="1" x14ac:dyDescent="0.35">
      <c r="A1996" s="75">
        <v>1995</v>
      </c>
      <c r="B1996" s="64">
        <v>2015</v>
      </c>
      <c r="C1996" s="64">
        <v>11</v>
      </c>
      <c r="D1996" s="80">
        <f t="shared" si="65"/>
        <v>2015</v>
      </c>
      <c r="E1996" t="s">
        <v>38</v>
      </c>
      <c r="F1996" t="s">
        <v>143</v>
      </c>
      <c r="G1996" t="s">
        <v>10</v>
      </c>
      <c r="H1996" s="72" t="s">
        <v>208</v>
      </c>
      <c r="I1996" s="72" t="s">
        <v>50</v>
      </c>
      <c r="J1996" t="str">
        <f t="shared" si="66"/>
        <v>Minter Creek</v>
      </c>
      <c r="K1996" t="str">
        <f>IFERROR(VLOOKUP(J1996,LUTs!$A$1:$C$73,2,FALSE),"NA")</f>
        <v>Kitsap/Pierce</v>
      </c>
      <c r="L1996" t="str">
        <f>IFERROR(VLOOKUP(J1996,LUTs!$A$1:$C$73,3,FALSE),"NA")</f>
        <v>3South Puget Sound</v>
      </c>
      <c r="M1996" s="72" t="s">
        <v>22</v>
      </c>
      <c r="N1996" t="str">
        <f>VLOOKUP(M1996,LUTs!E$2:H$14,3,)</f>
        <v>09Mason</v>
      </c>
      <c r="O1996" t="str">
        <f>VLOOKUP(M1996,LUTs!E$2:H$14,4,)</f>
        <v>02South Puget Sound</v>
      </c>
      <c r="P1996" s="73">
        <v>36.842975206611598</v>
      </c>
      <c r="Q1996" s="74">
        <f>VLOOKUP(B1996,Readme!A$40:C$51,2,)*P1996</f>
        <v>126.73983471074389</v>
      </c>
    </row>
    <row r="1997" spans="1:17" ht="12" customHeight="1" x14ac:dyDescent="0.35">
      <c r="A1997" s="75">
        <v>1996</v>
      </c>
      <c r="B1997" s="64">
        <v>2015</v>
      </c>
      <c r="C1997" s="64">
        <v>11</v>
      </c>
      <c r="D1997" s="80">
        <f t="shared" si="65"/>
        <v>2015</v>
      </c>
      <c r="E1997" t="s">
        <v>38</v>
      </c>
      <c r="F1997" t="s">
        <v>143</v>
      </c>
      <c r="G1997" t="s">
        <v>10</v>
      </c>
      <c r="H1997" s="72" t="s">
        <v>208</v>
      </c>
      <c r="I1997" s="72" t="s">
        <v>50</v>
      </c>
      <c r="J1997" t="str">
        <f t="shared" si="66"/>
        <v>Minter Creek</v>
      </c>
      <c r="K1997" t="str">
        <f>IFERROR(VLOOKUP(J1997,LUTs!$A$1:$C$73,2,FALSE),"NA")</f>
        <v>Kitsap/Pierce</v>
      </c>
      <c r="L1997" t="str">
        <f>IFERROR(VLOOKUP(J1997,LUTs!$A$1:$C$73,3,FALSE),"NA")</f>
        <v>3South Puget Sound</v>
      </c>
      <c r="M1997" s="72" t="s">
        <v>26</v>
      </c>
      <c r="N1997" t="str">
        <f>VLOOKUP(M1997,LUTs!E$2:H$14,3,)</f>
        <v>20Other</v>
      </c>
      <c r="O1997" t="str">
        <f>VLOOKUP(M1997,LUTs!E$2:H$14,4,)</f>
        <v>07Non Puget Sound</v>
      </c>
      <c r="P1997" s="73">
        <v>119.739669421488</v>
      </c>
      <c r="Q1997" s="74">
        <f>VLOOKUP(B1997,Readme!A$40:C$51,2,)*P1997</f>
        <v>411.9044628099187</v>
      </c>
    </row>
    <row r="1998" spans="1:17" ht="12" customHeight="1" x14ac:dyDescent="0.35">
      <c r="A1998" s="75">
        <v>1997</v>
      </c>
      <c r="B1998" s="64">
        <v>2015</v>
      </c>
      <c r="C1998" s="64">
        <v>11</v>
      </c>
      <c r="D1998" s="80">
        <f t="shared" si="65"/>
        <v>2015</v>
      </c>
      <c r="E1998" t="s">
        <v>38</v>
      </c>
      <c r="F1998" t="s">
        <v>143</v>
      </c>
      <c r="G1998" t="s">
        <v>10</v>
      </c>
      <c r="H1998" s="72" t="s">
        <v>208</v>
      </c>
      <c r="I1998" s="72" t="s">
        <v>50</v>
      </c>
      <c r="J1998" t="str">
        <f t="shared" si="66"/>
        <v>Minter Creek</v>
      </c>
      <c r="K1998" t="str">
        <f>IFERROR(VLOOKUP(J1998,LUTs!$A$1:$C$73,2,FALSE),"NA")</f>
        <v>Kitsap/Pierce</v>
      </c>
      <c r="L1998" t="str">
        <f>IFERROR(VLOOKUP(J1998,LUTs!$A$1:$C$73,3,FALSE),"NA")</f>
        <v>3South Puget Sound</v>
      </c>
      <c r="M1998" s="72" t="s">
        <v>20</v>
      </c>
      <c r="N1998" t="str">
        <f>VLOOKUP(M1998,LUTs!E$2:H$14,3,)</f>
        <v>07Pierce</v>
      </c>
      <c r="O1998" t="str">
        <f>VLOOKUP(M1998,LUTs!E$2:H$14,4,)</f>
        <v>02South Puget Sound</v>
      </c>
      <c r="P1998" s="73">
        <v>1878.9917355371899</v>
      </c>
      <c r="Q1998" s="74">
        <f>VLOOKUP(B1998,Readme!A$40:C$51,2,)*P1998</f>
        <v>6463.7315702479336</v>
      </c>
    </row>
    <row r="1999" spans="1:17" ht="12" customHeight="1" x14ac:dyDescent="0.35">
      <c r="A1999" s="75">
        <v>1998</v>
      </c>
      <c r="B1999" s="64">
        <v>2015</v>
      </c>
      <c r="C1999" s="64">
        <v>11</v>
      </c>
      <c r="D1999" s="80">
        <f t="shared" si="65"/>
        <v>2015</v>
      </c>
      <c r="E1999" t="s">
        <v>38</v>
      </c>
      <c r="F1999" t="s">
        <v>143</v>
      </c>
      <c r="G1999" t="s">
        <v>10</v>
      </c>
      <c r="H1999" s="72" t="s">
        <v>208</v>
      </c>
      <c r="I1999" s="72" t="s">
        <v>50</v>
      </c>
      <c r="J1999" t="str">
        <f t="shared" si="66"/>
        <v>Minter Creek</v>
      </c>
      <c r="K1999" t="str">
        <f>IFERROR(VLOOKUP(J1999,LUTs!$A$1:$C$73,2,FALSE),"NA")</f>
        <v>Kitsap/Pierce</v>
      </c>
      <c r="L1999" t="str">
        <f>IFERROR(VLOOKUP(J1999,LUTs!$A$1:$C$73,3,FALSE),"NA")</f>
        <v>3South Puget Sound</v>
      </c>
      <c r="M1999" s="72" t="s">
        <v>16</v>
      </c>
      <c r="N1999" t="str">
        <f>VLOOKUP(M1999,LUTs!E$2:H$14,3,)</f>
        <v>03Snohomish</v>
      </c>
      <c r="O1999" t="str">
        <f>VLOOKUP(M1999,LUTs!E$2:H$14,4,)</f>
        <v>01North Puget Sound</v>
      </c>
      <c r="P1999" s="73">
        <v>110.52892561983499</v>
      </c>
      <c r="Q1999" s="74">
        <f>VLOOKUP(B1999,Readme!A$40:C$51,2,)*P1999</f>
        <v>380.21950413223237</v>
      </c>
    </row>
    <row r="2000" spans="1:17" ht="12" customHeight="1" x14ac:dyDescent="0.35">
      <c r="A2000" s="75">
        <v>1999</v>
      </c>
      <c r="B2000" s="64">
        <v>2015</v>
      </c>
      <c r="C2000" s="64">
        <v>11</v>
      </c>
      <c r="D2000" s="80">
        <f t="shared" si="65"/>
        <v>2015</v>
      </c>
      <c r="E2000" t="s">
        <v>38</v>
      </c>
      <c r="F2000" t="s">
        <v>143</v>
      </c>
      <c r="G2000" t="s">
        <v>10</v>
      </c>
      <c r="H2000" s="72" t="s">
        <v>208</v>
      </c>
      <c r="I2000" s="72" t="s">
        <v>50</v>
      </c>
      <c r="J2000" t="str">
        <f t="shared" si="66"/>
        <v>Minter Creek</v>
      </c>
      <c r="K2000" t="str">
        <f>IFERROR(VLOOKUP(J2000,LUTs!$A$1:$C$73,2,FALSE),"NA")</f>
        <v>Kitsap/Pierce</v>
      </c>
      <c r="L2000" t="str">
        <f>IFERROR(VLOOKUP(J2000,LUTs!$A$1:$C$73,3,FALSE),"NA")</f>
        <v>3South Puget Sound</v>
      </c>
      <c r="M2000" s="72" t="s">
        <v>21</v>
      </c>
      <c r="N2000" t="str">
        <f>VLOOKUP(M2000,LUTs!E$2:H$14,3,)</f>
        <v>08Thurston</v>
      </c>
      <c r="O2000" t="str">
        <f>VLOOKUP(M2000,LUTs!E$2:H$14,4,)</f>
        <v>02South Puget Sound</v>
      </c>
      <c r="P2000" s="73">
        <v>27.632231404958699</v>
      </c>
      <c r="Q2000" s="74">
        <f>VLOOKUP(B2000,Readme!A$40:C$51,2,)*P2000</f>
        <v>95.054876033057923</v>
      </c>
    </row>
    <row r="2001" spans="1:17" ht="12" customHeight="1" x14ac:dyDescent="0.35">
      <c r="A2001" s="75">
        <v>2000</v>
      </c>
      <c r="B2001" s="64">
        <v>2015</v>
      </c>
      <c r="C2001" s="64">
        <v>12</v>
      </c>
      <c r="D2001" s="80">
        <f t="shared" si="65"/>
        <v>2015</v>
      </c>
      <c r="E2001" t="s">
        <v>38</v>
      </c>
      <c r="F2001" t="s">
        <v>143</v>
      </c>
      <c r="G2001" t="s">
        <v>10</v>
      </c>
      <c r="H2001" s="72" t="s">
        <v>208</v>
      </c>
      <c r="I2001" s="72" t="s">
        <v>50</v>
      </c>
      <c r="J2001" t="str">
        <f t="shared" si="66"/>
        <v>Minter Creek</v>
      </c>
      <c r="K2001" t="str">
        <f>IFERROR(VLOOKUP(J2001,LUTs!$A$1:$C$73,2,FALSE),"NA")</f>
        <v>Kitsap/Pierce</v>
      </c>
      <c r="L2001" t="str">
        <f>IFERROR(VLOOKUP(J2001,LUTs!$A$1:$C$73,3,FALSE),"NA")</f>
        <v>3South Puget Sound</v>
      </c>
      <c r="M2001" s="72" t="s">
        <v>18</v>
      </c>
      <c r="N2001" t="str">
        <f>VLOOKUP(M2001,LUTs!E$2:H$14,3,)</f>
        <v>06King</v>
      </c>
      <c r="O2001" t="str">
        <f>VLOOKUP(M2001,LUTs!E$2:H$14,4,)</f>
        <v>02South Puget Sound</v>
      </c>
      <c r="P2001" s="73">
        <v>147.51219512195101</v>
      </c>
      <c r="Q2001" s="74">
        <f>VLOOKUP(B2001,Readme!A$40:C$51,2,)*P2001</f>
        <v>507.44195121951145</v>
      </c>
    </row>
    <row r="2002" spans="1:17" ht="12" customHeight="1" x14ac:dyDescent="0.35">
      <c r="A2002" s="75">
        <v>2001</v>
      </c>
      <c r="B2002" s="64">
        <v>2015</v>
      </c>
      <c r="C2002" s="64">
        <v>12</v>
      </c>
      <c r="D2002" s="80">
        <f t="shared" si="65"/>
        <v>2015</v>
      </c>
      <c r="E2002" t="s">
        <v>38</v>
      </c>
      <c r="F2002" t="s">
        <v>143</v>
      </c>
      <c r="G2002" t="s">
        <v>10</v>
      </c>
      <c r="H2002" s="72" t="s">
        <v>208</v>
      </c>
      <c r="I2002" s="72" t="s">
        <v>50</v>
      </c>
      <c r="J2002" t="str">
        <f t="shared" si="66"/>
        <v>Minter Creek</v>
      </c>
      <c r="K2002" t="str">
        <f>IFERROR(VLOOKUP(J2002,LUTs!$A$1:$C$73,2,FALSE),"NA")</f>
        <v>Kitsap/Pierce</v>
      </c>
      <c r="L2002" t="str">
        <f>IFERROR(VLOOKUP(J2002,LUTs!$A$1:$C$73,3,FALSE),"NA")</f>
        <v>3South Puget Sound</v>
      </c>
      <c r="M2002" s="72" t="s">
        <v>26</v>
      </c>
      <c r="N2002" t="str">
        <f>VLOOKUP(M2002,LUTs!E$2:H$14,3,)</f>
        <v>20Other</v>
      </c>
      <c r="O2002" t="str">
        <f>VLOOKUP(M2002,LUTs!E$2:H$14,4,)</f>
        <v>07Non Puget Sound</v>
      </c>
      <c r="P2002" s="73">
        <v>110.63414634146299</v>
      </c>
      <c r="Q2002" s="74">
        <f>VLOOKUP(B2002,Readme!A$40:C$51,2,)*P2002</f>
        <v>380.58146341463271</v>
      </c>
    </row>
    <row r="2003" spans="1:17" ht="12" customHeight="1" x14ac:dyDescent="0.35">
      <c r="A2003" s="75">
        <v>2002</v>
      </c>
      <c r="B2003" s="64">
        <v>2015</v>
      </c>
      <c r="C2003" s="64">
        <v>12</v>
      </c>
      <c r="D2003" s="80">
        <f t="shared" si="65"/>
        <v>2015</v>
      </c>
      <c r="E2003" t="s">
        <v>38</v>
      </c>
      <c r="F2003" t="s">
        <v>143</v>
      </c>
      <c r="G2003" t="s">
        <v>10</v>
      </c>
      <c r="H2003" s="72" t="s">
        <v>208</v>
      </c>
      <c r="I2003" s="72" t="s">
        <v>50</v>
      </c>
      <c r="J2003" t="str">
        <f t="shared" si="66"/>
        <v>Minter Creek</v>
      </c>
      <c r="K2003" t="str">
        <f>IFERROR(VLOOKUP(J2003,LUTs!$A$1:$C$73,2,FALSE),"NA")</f>
        <v>Kitsap/Pierce</v>
      </c>
      <c r="L2003" t="str">
        <f>IFERROR(VLOOKUP(J2003,LUTs!$A$1:$C$73,3,FALSE),"NA")</f>
        <v>3South Puget Sound</v>
      </c>
      <c r="M2003" s="72" t="s">
        <v>20</v>
      </c>
      <c r="N2003" t="str">
        <f>VLOOKUP(M2003,LUTs!E$2:H$14,3,)</f>
        <v>07Pierce</v>
      </c>
      <c r="O2003" t="str">
        <f>VLOOKUP(M2003,LUTs!E$2:H$14,4,)</f>
        <v>02South Puget Sound</v>
      </c>
      <c r="P2003" s="73">
        <v>110.63414634146299</v>
      </c>
      <c r="Q2003" s="74">
        <f>VLOOKUP(B2003,Readme!A$40:C$51,2,)*P2003</f>
        <v>380.58146341463271</v>
      </c>
    </row>
    <row r="2004" spans="1:17" ht="12" customHeight="1" x14ac:dyDescent="0.35">
      <c r="A2004" s="75">
        <v>2003</v>
      </c>
      <c r="B2004" s="64">
        <v>2015</v>
      </c>
      <c r="C2004" s="64">
        <v>12</v>
      </c>
      <c r="D2004" s="80">
        <f t="shared" si="65"/>
        <v>2015</v>
      </c>
      <c r="E2004" t="s">
        <v>38</v>
      </c>
      <c r="F2004" t="s">
        <v>143</v>
      </c>
      <c r="G2004" t="s">
        <v>10</v>
      </c>
      <c r="H2004" s="72" t="s">
        <v>208</v>
      </c>
      <c r="I2004" s="72" t="s">
        <v>50</v>
      </c>
      <c r="J2004" t="str">
        <f t="shared" si="66"/>
        <v>Minter Creek</v>
      </c>
      <c r="K2004" t="str">
        <f>IFERROR(VLOOKUP(J2004,LUTs!$A$1:$C$73,2,FALSE),"NA")</f>
        <v>Kitsap/Pierce</v>
      </c>
      <c r="L2004" t="str">
        <f>IFERROR(VLOOKUP(J2004,LUTs!$A$1:$C$73,3,FALSE),"NA")</f>
        <v>3South Puget Sound</v>
      </c>
      <c r="M2004" s="72" t="s">
        <v>16</v>
      </c>
      <c r="N2004" t="str">
        <f>VLOOKUP(M2004,LUTs!E$2:H$14,3,)</f>
        <v>03Snohomish</v>
      </c>
      <c r="O2004" t="str">
        <f>VLOOKUP(M2004,LUTs!E$2:H$14,4,)</f>
        <v>01North Puget Sound</v>
      </c>
      <c r="P2004" s="73">
        <v>9.2195121951219505</v>
      </c>
      <c r="Q2004" s="74">
        <f>VLOOKUP(B2004,Readme!A$40:C$51,2,)*P2004</f>
        <v>31.715121951219508</v>
      </c>
    </row>
    <row r="2005" spans="1:17" ht="12" customHeight="1" x14ac:dyDescent="0.35">
      <c r="A2005" s="75">
        <v>2004</v>
      </c>
      <c r="B2005" s="64">
        <v>2015</v>
      </c>
      <c r="C2005" s="64">
        <v>8</v>
      </c>
      <c r="D2005" s="80">
        <f t="shared" si="65"/>
        <v>2015</v>
      </c>
      <c r="E2005" t="s">
        <v>38</v>
      </c>
      <c r="F2005" t="s">
        <v>143</v>
      </c>
      <c r="G2005" t="s">
        <v>10</v>
      </c>
      <c r="H2005" s="72" t="s">
        <v>209</v>
      </c>
      <c r="I2005" s="72" t="s">
        <v>51</v>
      </c>
      <c r="J2005" t="str">
        <f t="shared" si="66"/>
        <v>Nisqually River</v>
      </c>
      <c r="K2005" t="str">
        <f>IFERROR(VLOOKUP(J2005,LUTs!$A$1:$C$73,2,FALSE),"NA")</f>
        <v>Thurston/Pierce</v>
      </c>
      <c r="L2005" t="str">
        <f>IFERROR(VLOOKUP(J2005,LUTs!$A$1:$C$73,3,FALSE),"NA")</f>
        <v>3South Puget Sound</v>
      </c>
      <c r="M2005" s="72" t="s">
        <v>18</v>
      </c>
      <c r="N2005" t="str">
        <f>VLOOKUP(M2005,LUTs!E$2:H$14,3,)</f>
        <v>06King</v>
      </c>
      <c r="O2005" t="str">
        <f>VLOOKUP(M2005,LUTs!E$2:H$14,4,)</f>
        <v>02South Puget Sound</v>
      </c>
      <c r="P2005" s="73">
        <v>72.2302158273381</v>
      </c>
      <c r="Q2005" s="74">
        <f>VLOOKUP(B2005,Readme!A$40:C$51,2,)*P2005</f>
        <v>248.47194244604307</v>
      </c>
    </row>
    <row r="2006" spans="1:17" ht="12" customHeight="1" x14ac:dyDescent="0.35">
      <c r="A2006" s="75">
        <v>2005</v>
      </c>
      <c r="B2006" s="64">
        <v>2015</v>
      </c>
      <c r="C2006" s="64">
        <v>8</v>
      </c>
      <c r="D2006" s="80">
        <f t="shared" si="65"/>
        <v>2015</v>
      </c>
      <c r="E2006" t="s">
        <v>38</v>
      </c>
      <c r="F2006" t="s">
        <v>143</v>
      </c>
      <c r="G2006" t="s">
        <v>10</v>
      </c>
      <c r="H2006" s="72" t="s">
        <v>209</v>
      </c>
      <c r="I2006" s="72" t="s">
        <v>51</v>
      </c>
      <c r="J2006" t="str">
        <f t="shared" si="66"/>
        <v>Nisqually River</v>
      </c>
      <c r="K2006" t="str">
        <f>IFERROR(VLOOKUP(J2006,LUTs!$A$1:$C$73,2,FALSE),"NA")</f>
        <v>Thurston/Pierce</v>
      </c>
      <c r="L2006" t="str">
        <f>IFERROR(VLOOKUP(J2006,LUTs!$A$1:$C$73,3,FALSE),"NA")</f>
        <v>3South Puget Sound</v>
      </c>
      <c r="M2006" s="72" t="s">
        <v>23</v>
      </c>
      <c r="N2006" t="str">
        <f>VLOOKUP(M2006,LUTs!E$2:H$14,3,)</f>
        <v>10Kitsap</v>
      </c>
      <c r="O2006" t="str">
        <f>VLOOKUP(M2006,LUTs!E$2:H$14,4,)</f>
        <v>02South Puget Sound</v>
      </c>
      <c r="P2006" s="73">
        <v>9.0287769784172696</v>
      </c>
      <c r="Q2006" s="74">
        <f>VLOOKUP(B2006,Readme!A$40:C$51,2,)*P2006</f>
        <v>31.058992805755405</v>
      </c>
    </row>
    <row r="2007" spans="1:17" ht="12" customHeight="1" x14ac:dyDescent="0.35">
      <c r="A2007" s="75">
        <v>2006</v>
      </c>
      <c r="B2007" s="64">
        <v>2015</v>
      </c>
      <c r="C2007" s="64">
        <v>8</v>
      </c>
      <c r="D2007" s="80">
        <f t="shared" si="65"/>
        <v>2015</v>
      </c>
      <c r="E2007" t="s">
        <v>38</v>
      </c>
      <c r="F2007" t="s">
        <v>143</v>
      </c>
      <c r="G2007" t="s">
        <v>10</v>
      </c>
      <c r="H2007" s="72" t="s">
        <v>209</v>
      </c>
      <c r="I2007" s="72" t="s">
        <v>51</v>
      </c>
      <c r="J2007" t="str">
        <f t="shared" si="66"/>
        <v>Nisqually River</v>
      </c>
      <c r="K2007" t="str">
        <f>IFERROR(VLOOKUP(J2007,LUTs!$A$1:$C$73,2,FALSE),"NA")</f>
        <v>Thurston/Pierce</v>
      </c>
      <c r="L2007" t="str">
        <f>IFERROR(VLOOKUP(J2007,LUTs!$A$1:$C$73,3,FALSE),"NA")</f>
        <v>3South Puget Sound</v>
      </c>
      <c r="M2007" s="72" t="s">
        <v>22</v>
      </c>
      <c r="N2007" t="str">
        <f>VLOOKUP(M2007,LUTs!E$2:H$14,3,)</f>
        <v>09Mason</v>
      </c>
      <c r="O2007" t="str">
        <f>VLOOKUP(M2007,LUTs!E$2:H$14,4,)</f>
        <v>02South Puget Sound</v>
      </c>
      <c r="P2007" s="73">
        <v>27.086330935251802</v>
      </c>
      <c r="Q2007" s="74">
        <f>VLOOKUP(B2007,Readme!A$40:C$51,2,)*P2007</f>
        <v>93.176978417266199</v>
      </c>
    </row>
    <row r="2008" spans="1:17" ht="12" customHeight="1" x14ac:dyDescent="0.35">
      <c r="A2008" s="75">
        <v>2007</v>
      </c>
      <c r="B2008" s="64">
        <v>2015</v>
      </c>
      <c r="C2008" s="64">
        <v>8</v>
      </c>
      <c r="D2008" s="80">
        <f t="shared" si="65"/>
        <v>2015</v>
      </c>
      <c r="E2008" t="s">
        <v>38</v>
      </c>
      <c r="F2008" t="s">
        <v>143</v>
      </c>
      <c r="G2008" t="s">
        <v>10</v>
      </c>
      <c r="H2008" s="72" t="s">
        <v>209</v>
      </c>
      <c r="I2008" s="72" t="s">
        <v>51</v>
      </c>
      <c r="J2008" t="str">
        <f t="shared" si="66"/>
        <v>Nisqually River</v>
      </c>
      <c r="K2008" t="str">
        <f>IFERROR(VLOOKUP(J2008,LUTs!$A$1:$C$73,2,FALSE),"NA")</f>
        <v>Thurston/Pierce</v>
      </c>
      <c r="L2008" t="str">
        <f>IFERROR(VLOOKUP(J2008,LUTs!$A$1:$C$73,3,FALSE),"NA")</f>
        <v>3South Puget Sound</v>
      </c>
      <c r="M2008" s="72" t="s">
        <v>26</v>
      </c>
      <c r="N2008" t="str">
        <f>VLOOKUP(M2008,LUTs!E$2:H$14,3,)</f>
        <v>20Other</v>
      </c>
      <c r="O2008" t="str">
        <f>VLOOKUP(M2008,LUTs!E$2:H$14,4,)</f>
        <v>07Non Puget Sound</v>
      </c>
      <c r="P2008" s="73">
        <v>9.0287769784172696</v>
      </c>
      <c r="Q2008" s="74">
        <f>VLOOKUP(B2008,Readme!A$40:C$51,2,)*P2008</f>
        <v>31.058992805755405</v>
      </c>
    </row>
    <row r="2009" spans="1:17" ht="12" customHeight="1" x14ac:dyDescent="0.35">
      <c r="A2009" s="75">
        <v>2008</v>
      </c>
      <c r="B2009" s="64">
        <v>2015</v>
      </c>
      <c r="C2009" s="64">
        <v>8</v>
      </c>
      <c r="D2009" s="80">
        <f t="shared" si="65"/>
        <v>2015</v>
      </c>
      <c r="E2009" t="s">
        <v>38</v>
      </c>
      <c r="F2009" t="s">
        <v>143</v>
      </c>
      <c r="G2009" t="s">
        <v>10</v>
      </c>
      <c r="H2009" s="72" t="s">
        <v>209</v>
      </c>
      <c r="I2009" s="72" t="s">
        <v>51</v>
      </c>
      <c r="J2009" t="str">
        <f t="shared" si="66"/>
        <v>Nisqually River</v>
      </c>
      <c r="K2009" t="str">
        <f>IFERROR(VLOOKUP(J2009,LUTs!$A$1:$C$73,2,FALSE),"NA")</f>
        <v>Thurston/Pierce</v>
      </c>
      <c r="L2009" t="str">
        <f>IFERROR(VLOOKUP(J2009,LUTs!$A$1:$C$73,3,FALSE),"NA")</f>
        <v>3South Puget Sound</v>
      </c>
      <c r="M2009" s="72" t="s">
        <v>20</v>
      </c>
      <c r="N2009" t="str">
        <f>VLOOKUP(M2009,LUTs!E$2:H$14,3,)</f>
        <v>07Pierce</v>
      </c>
      <c r="O2009" t="str">
        <f>VLOOKUP(M2009,LUTs!E$2:H$14,4,)</f>
        <v>02South Puget Sound</v>
      </c>
      <c r="P2009" s="73">
        <v>288.92086330935302</v>
      </c>
      <c r="Q2009" s="74">
        <f>VLOOKUP(B2009,Readme!A$40:C$51,2,)*P2009</f>
        <v>993.88776978417434</v>
      </c>
    </row>
    <row r="2010" spans="1:17" ht="12" customHeight="1" x14ac:dyDescent="0.35">
      <c r="A2010" s="75">
        <v>2009</v>
      </c>
      <c r="B2010" s="64">
        <v>2015</v>
      </c>
      <c r="C2010" s="64">
        <v>8</v>
      </c>
      <c r="D2010" s="80">
        <f t="shared" si="65"/>
        <v>2015</v>
      </c>
      <c r="E2010" t="s">
        <v>38</v>
      </c>
      <c r="F2010" t="s">
        <v>143</v>
      </c>
      <c r="G2010" t="s">
        <v>10</v>
      </c>
      <c r="H2010" s="72" t="s">
        <v>209</v>
      </c>
      <c r="I2010" s="72" t="s">
        <v>51</v>
      </c>
      <c r="J2010" t="str">
        <f t="shared" si="66"/>
        <v>Nisqually River</v>
      </c>
      <c r="K2010" t="str">
        <f>IFERROR(VLOOKUP(J2010,LUTs!$A$1:$C$73,2,FALSE),"NA")</f>
        <v>Thurston/Pierce</v>
      </c>
      <c r="L2010" t="str">
        <f>IFERROR(VLOOKUP(J2010,LUTs!$A$1:$C$73,3,FALSE),"NA")</f>
        <v>3South Puget Sound</v>
      </c>
      <c r="M2010" s="72" t="s">
        <v>21</v>
      </c>
      <c r="N2010" t="str">
        <f>VLOOKUP(M2010,LUTs!E$2:H$14,3,)</f>
        <v>08Thurston</v>
      </c>
      <c r="O2010" t="str">
        <f>VLOOKUP(M2010,LUTs!E$2:H$14,4,)</f>
        <v>02South Puget Sound</v>
      </c>
      <c r="P2010" s="73">
        <v>839.67625899280597</v>
      </c>
      <c r="Q2010" s="74">
        <f>VLOOKUP(B2010,Readme!A$40:C$51,2,)*P2010</f>
        <v>2888.4863309352527</v>
      </c>
    </row>
    <row r="2011" spans="1:17" ht="12" customHeight="1" x14ac:dyDescent="0.35">
      <c r="A2011" s="75">
        <v>2010</v>
      </c>
      <c r="B2011" s="64">
        <v>2015</v>
      </c>
      <c r="C2011" s="64">
        <v>8</v>
      </c>
      <c r="D2011" s="80">
        <f t="shared" si="65"/>
        <v>2015</v>
      </c>
      <c r="E2011" t="s">
        <v>38</v>
      </c>
      <c r="F2011" t="s">
        <v>143</v>
      </c>
      <c r="G2011" t="s">
        <v>10</v>
      </c>
      <c r="H2011" s="72" t="s">
        <v>209</v>
      </c>
      <c r="I2011" s="72" t="s">
        <v>51</v>
      </c>
      <c r="J2011" t="str">
        <f t="shared" si="66"/>
        <v>Nisqually River</v>
      </c>
      <c r="K2011" t="str">
        <f>IFERROR(VLOOKUP(J2011,LUTs!$A$1:$C$73,2,FALSE),"NA")</f>
        <v>Thurston/Pierce</v>
      </c>
      <c r="L2011" t="str">
        <f>IFERROR(VLOOKUP(J2011,LUTs!$A$1:$C$73,3,FALSE),"NA")</f>
        <v>3South Puget Sound</v>
      </c>
      <c r="M2011" s="72" t="s">
        <v>13</v>
      </c>
      <c r="N2011" t="str">
        <f>VLOOKUP(M2011,LUTs!E$2:H$14,3,)</f>
        <v>01Whatcom</v>
      </c>
      <c r="O2011" t="str">
        <f>VLOOKUP(M2011,LUTs!E$2:H$14,4,)</f>
        <v>01North Puget Sound</v>
      </c>
      <c r="P2011" s="73">
        <v>9.0287769784172696</v>
      </c>
      <c r="Q2011" s="74">
        <f>VLOOKUP(B2011,Readme!A$40:C$51,2,)*P2011</f>
        <v>31.058992805755405</v>
      </c>
    </row>
    <row r="2012" spans="1:17" ht="12" customHeight="1" x14ac:dyDescent="0.35">
      <c r="A2012" s="75">
        <v>2011</v>
      </c>
      <c r="B2012" s="64">
        <v>2015</v>
      </c>
      <c r="C2012" s="64">
        <v>9</v>
      </c>
      <c r="D2012" s="80">
        <f t="shared" si="65"/>
        <v>2015</v>
      </c>
      <c r="E2012" t="s">
        <v>38</v>
      </c>
      <c r="F2012" t="s">
        <v>143</v>
      </c>
      <c r="G2012" t="s">
        <v>10</v>
      </c>
      <c r="H2012" s="72" t="s">
        <v>209</v>
      </c>
      <c r="I2012" s="72" t="s">
        <v>51</v>
      </c>
      <c r="J2012" t="str">
        <f t="shared" si="66"/>
        <v>Nisqually River</v>
      </c>
      <c r="K2012" t="str">
        <f>IFERROR(VLOOKUP(J2012,LUTs!$A$1:$C$73,2,FALSE),"NA")</f>
        <v>Thurston/Pierce</v>
      </c>
      <c r="L2012" t="str">
        <f>IFERROR(VLOOKUP(J2012,LUTs!$A$1:$C$73,3,FALSE),"NA")</f>
        <v>3South Puget Sound</v>
      </c>
      <c r="M2012" s="72" t="s">
        <v>18</v>
      </c>
      <c r="N2012" t="str">
        <f>VLOOKUP(M2012,LUTs!E$2:H$14,3,)</f>
        <v>06King</v>
      </c>
      <c r="O2012" t="str">
        <f>VLOOKUP(M2012,LUTs!E$2:H$14,4,)</f>
        <v>02South Puget Sound</v>
      </c>
      <c r="P2012" s="73">
        <v>722.27368421052597</v>
      </c>
      <c r="Q2012" s="74">
        <f>VLOOKUP(B2012,Readme!A$40:C$51,2,)*P2012</f>
        <v>2484.6214736842094</v>
      </c>
    </row>
    <row r="2013" spans="1:17" ht="12" customHeight="1" x14ac:dyDescent="0.35">
      <c r="A2013" s="75">
        <v>2012</v>
      </c>
      <c r="B2013" s="64">
        <v>2015</v>
      </c>
      <c r="C2013" s="64">
        <v>9</v>
      </c>
      <c r="D2013" s="80">
        <f t="shared" si="65"/>
        <v>2015</v>
      </c>
      <c r="E2013" t="s">
        <v>38</v>
      </c>
      <c r="F2013" t="s">
        <v>143</v>
      </c>
      <c r="G2013" t="s">
        <v>10</v>
      </c>
      <c r="H2013" s="72" t="s">
        <v>209</v>
      </c>
      <c r="I2013" s="72" t="s">
        <v>51</v>
      </c>
      <c r="J2013" t="str">
        <f t="shared" si="66"/>
        <v>Nisqually River</v>
      </c>
      <c r="K2013" t="str">
        <f>IFERROR(VLOOKUP(J2013,LUTs!$A$1:$C$73,2,FALSE),"NA")</f>
        <v>Thurston/Pierce</v>
      </c>
      <c r="L2013" t="str">
        <f>IFERROR(VLOOKUP(J2013,LUTs!$A$1:$C$73,3,FALSE),"NA")</f>
        <v>3South Puget Sound</v>
      </c>
      <c r="M2013" s="72" t="s">
        <v>23</v>
      </c>
      <c r="N2013" t="str">
        <f>VLOOKUP(M2013,LUTs!E$2:H$14,3,)</f>
        <v>10Kitsap</v>
      </c>
      <c r="O2013" t="str">
        <f>VLOOKUP(M2013,LUTs!E$2:H$14,4,)</f>
        <v>02South Puget Sound</v>
      </c>
      <c r="P2013" s="73">
        <v>207.653684210526</v>
      </c>
      <c r="Q2013" s="74">
        <f>VLOOKUP(B2013,Readme!A$40:C$51,2,)*P2013</f>
        <v>714.32867368420943</v>
      </c>
    </row>
    <row r="2014" spans="1:17" ht="12" customHeight="1" x14ac:dyDescent="0.35">
      <c r="A2014" s="75">
        <v>2013</v>
      </c>
      <c r="B2014" s="64">
        <v>2015</v>
      </c>
      <c r="C2014" s="64">
        <v>9</v>
      </c>
      <c r="D2014" s="80">
        <f t="shared" si="65"/>
        <v>2015</v>
      </c>
      <c r="E2014" t="s">
        <v>38</v>
      </c>
      <c r="F2014" t="s">
        <v>143</v>
      </c>
      <c r="G2014" t="s">
        <v>10</v>
      </c>
      <c r="H2014" s="72" t="s">
        <v>209</v>
      </c>
      <c r="I2014" s="72" t="s">
        <v>51</v>
      </c>
      <c r="J2014" t="str">
        <f t="shared" si="66"/>
        <v>Nisqually River</v>
      </c>
      <c r="K2014" t="str">
        <f>IFERROR(VLOOKUP(J2014,LUTs!$A$1:$C$73,2,FALSE),"NA")</f>
        <v>Thurston/Pierce</v>
      </c>
      <c r="L2014" t="str">
        <f>IFERROR(VLOOKUP(J2014,LUTs!$A$1:$C$73,3,FALSE),"NA")</f>
        <v>3South Puget Sound</v>
      </c>
      <c r="M2014" s="72" t="s">
        <v>22</v>
      </c>
      <c r="N2014" t="str">
        <f>VLOOKUP(M2014,LUTs!E$2:H$14,3,)</f>
        <v>09Mason</v>
      </c>
      <c r="O2014" t="str">
        <f>VLOOKUP(M2014,LUTs!E$2:H$14,4,)</f>
        <v>02South Puget Sound</v>
      </c>
      <c r="P2014" s="73">
        <v>144.45473684210501</v>
      </c>
      <c r="Q2014" s="74">
        <f>VLOOKUP(B2014,Readme!A$40:C$51,2,)*P2014</f>
        <v>496.9242947368412</v>
      </c>
    </row>
    <row r="2015" spans="1:17" ht="12" customHeight="1" x14ac:dyDescent="0.35">
      <c r="A2015" s="75">
        <v>2014</v>
      </c>
      <c r="B2015" s="64">
        <v>2015</v>
      </c>
      <c r="C2015" s="64">
        <v>9</v>
      </c>
      <c r="D2015" s="80">
        <f t="shared" si="65"/>
        <v>2015</v>
      </c>
      <c r="E2015" t="s">
        <v>38</v>
      </c>
      <c r="F2015" t="s">
        <v>143</v>
      </c>
      <c r="G2015" t="s">
        <v>10</v>
      </c>
      <c r="H2015" s="72" t="s">
        <v>209</v>
      </c>
      <c r="I2015" s="72" t="s">
        <v>51</v>
      </c>
      <c r="J2015" t="str">
        <f t="shared" si="66"/>
        <v>Nisqually River</v>
      </c>
      <c r="K2015" t="str">
        <f>IFERROR(VLOOKUP(J2015,LUTs!$A$1:$C$73,2,FALSE),"NA")</f>
        <v>Thurston/Pierce</v>
      </c>
      <c r="L2015" t="str">
        <f>IFERROR(VLOOKUP(J2015,LUTs!$A$1:$C$73,3,FALSE),"NA")</f>
        <v>3South Puget Sound</v>
      </c>
      <c r="M2015" s="72" t="s">
        <v>26</v>
      </c>
      <c r="N2015" t="str">
        <f>VLOOKUP(M2015,LUTs!E$2:H$14,3,)</f>
        <v>20Other</v>
      </c>
      <c r="O2015" t="str">
        <f>VLOOKUP(M2015,LUTs!E$2:H$14,4,)</f>
        <v>07Non Puget Sound</v>
      </c>
      <c r="P2015" s="73">
        <v>568.79052631578998</v>
      </c>
      <c r="Q2015" s="74">
        <f>VLOOKUP(B2015,Readme!A$40:C$51,2,)*P2015</f>
        <v>1956.6394105263175</v>
      </c>
    </row>
    <row r="2016" spans="1:17" ht="12" customHeight="1" x14ac:dyDescent="0.35">
      <c r="A2016" s="75">
        <v>2015</v>
      </c>
      <c r="B2016" s="64">
        <v>2015</v>
      </c>
      <c r="C2016" s="64">
        <v>9</v>
      </c>
      <c r="D2016" s="80">
        <f t="shared" si="65"/>
        <v>2015</v>
      </c>
      <c r="E2016" t="s">
        <v>38</v>
      </c>
      <c r="F2016" t="s">
        <v>143</v>
      </c>
      <c r="G2016" t="s">
        <v>10</v>
      </c>
      <c r="H2016" s="72" t="s">
        <v>209</v>
      </c>
      <c r="I2016" s="72" t="s">
        <v>51</v>
      </c>
      <c r="J2016" t="str">
        <f t="shared" si="66"/>
        <v>Nisqually River</v>
      </c>
      <c r="K2016" t="str">
        <f>IFERROR(VLOOKUP(J2016,LUTs!$A$1:$C$73,2,FALSE),"NA")</f>
        <v>Thurston/Pierce</v>
      </c>
      <c r="L2016" t="str">
        <f>IFERROR(VLOOKUP(J2016,LUTs!$A$1:$C$73,3,FALSE),"NA")</f>
        <v>3South Puget Sound</v>
      </c>
      <c r="M2016" s="72" t="s">
        <v>20</v>
      </c>
      <c r="N2016" t="str">
        <f>VLOOKUP(M2016,LUTs!E$2:H$14,3,)</f>
        <v>07Pierce</v>
      </c>
      <c r="O2016" t="str">
        <f>VLOOKUP(M2016,LUTs!E$2:H$14,4,)</f>
        <v>02South Puget Sound</v>
      </c>
      <c r="P2016" s="73">
        <v>3593.31157894737</v>
      </c>
      <c r="Q2016" s="74">
        <f>VLOOKUP(B2016,Readme!A$40:C$51,2,)*P2016</f>
        <v>12360.991831578953</v>
      </c>
    </row>
    <row r="2017" spans="1:17" ht="12" customHeight="1" x14ac:dyDescent="0.35">
      <c r="A2017" s="75">
        <v>2016</v>
      </c>
      <c r="B2017" s="64">
        <v>2015</v>
      </c>
      <c r="C2017" s="64">
        <v>9</v>
      </c>
      <c r="D2017" s="80">
        <f t="shared" si="65"/>
        <v>2015</v>
      </c>
      <c r="E2017" t="s">
        <v>38</v>
      </c>
      <c r="F2017" t="s">
        <v>143</v>
      </c>
      <c r="G2017" t="s">
        <v>10</v>
      </c>
      <c r="H2017" s="72" t="s">
        <v>209</v>
      </c>
      <c r="I2017" s="72" t="s">
        <v>51</v>
      </c>
      <c r="J2017" t="str">
        <f t="shared" si="66"/>
        <v>Nisqually River</v>
      </c>
      <c r="K2017" t="str">
        <f>IFERROR(VLOOKUP(J2017,LUTs!$A$1:$C$73,2,FALSE),"NA")</f>
        <v>Thurston/Pierce</v>
      </c>
      <c r="L2017" t="str">
        <f>IFERROR(VLOOKUP(J2017,LUTs!$A$1:$C$73,3,FALSE),"NA")</f>
        <v>3South Puget Sound</v>
      </c>
      <c r="M2017" s="72" t="s">
        <v>16</v>
      </c>
      <c r="N2017" t="str">
        <f>VLOOKUP(M2017,LUTs!E$2:H$14,3,)</f>
        <v>03Snohomish</v>
      </c>
      <c r="O2017" t="str">
        <f>VLOOKUP(M2017,LUTs!E$2:H$14,4,)</f>
        <v>01North Puget Sound</v>
      </c>
      <c r="P2017" s="73">
        <v>90.284210526315803</v>
      </c>
      <c r="Q2017" s="74">
        <f>VLOOKUP(B2017,Readme!A$40:C$51,2,)*P2017</f>
        <v>310.57768421052634</v>
      </c>
    </row>
    <row r="2018" spans="1:17" ht="12" customHeight="1" x14ac:dyDescent="0.35">
      <c r="A2018" s="75">
        <v>2017</v>
      </c>
      <c r="B2018" s="64">
        <v>2015</v>
      </c>
      <c r="C2018" s="64">
        <v>9</v>
      </c>
      <c r="D2018" s="80">
        <f t="shared" si="65"/>
        <v>2015</v>
      </c>
      <c r="E2018" t="s">
        <v>38</v>
      </c>
      <c r="F2018" t="s">
        <v>143</v>
      </c>
      <c r="G2018" t="s">
        <v>10</v>
      </c>
      <c r="H2018" s="72" t="s">
        <v>209</v>
      </c>
      <c r="I2018" s="72" t="s">
        <v>51</v>
      </c>
      <c r="J2018" t="str">
        <f t="shared" si="66"/>
        <v>Nisqually River</v>
      </c>
      <c r="K2018" t="str">
        <f>IFERROR(VLOOKUP(J2018,LUTs!$A$1:$C$73,2,FALSE),"NA")</f>
        <v>Thurston/Pierce</v>
      </c>
      <c r="L2018" t="str">
        <f>IFERROR(VLOOKUP(J2018,LUTs!$A$1:$C$73,3,FALSE),"NA")</f>
        <v>3South Puget Sound</v>
      </c>
      <c r="M2018" s="72" t="s">
        <v>21</v>
      </c>
      <c r="N2018" t="str">
        <f>VLOOKUP(M2018,LUTs!E$2:H$14,3,)</f>
        <v>08Thurston</v>
      </c>
      <c r="O2018" t="str">
        <f>VLOOKUP(M2018,LUTs!E$2:H$14,4,)</f>
        <v>02South Puget Sound</v>
      </c>
      <c r="P2018" s="73">
        <v>3250.2315789473701</v>
      </c>
      <c r="Q2018" s="74">
        <f>VLOOKUP(B2018,Readme!A$40:C$51,2,)*P2018</f>
        <v>11180.796631578953</v>
      </c>
    </row>
    <row r="2019" spans="1:17" ht="12" customHeight="1" x14ac:dyDescent="0.35">
      <c r="A2019" s="75">
        <v>2018</v>
      </c>
      <c r="B2019" s="64">
        <v>2015</v>
      </c>
      <c r="C2019" s="64">
        <v>10</v>
      </c>
      <c r="D2019" s="80">
        <f t="shared" si="65"/>
        <v>2015</v>
      </c>
      <c r="E2019" t="s">
        <v>38</v>
      </c>
      <c r="F2019" t="s">
        <v>143</v>
      </c>
      <c r="G2019" t="s">
        <v>10</v>
      </c>
      <c r="H2019" s="72" t="s">
        <v>209</v>
      </c>
      <c r="I2019" s="72" t="s">
        <v>51</v>
      </c>
      <c r="J2019" t="str">
        <f t="shared" si="66"/>
        <v>Nisqually River</v>
      </c>
      <c r="K2019" t="str">
        <f>IFERROR(VLOOKUP(J2019,LUTs!$A$1:$C$73,2,FALSE),"NA")</f>
        <v>Thurston/Pierce</v>
      </c>
      <c r="L2019" t="str">
        <f>IFERROR(VLOOKUP(J2019,LUTs!$A$1:$C$73,3,FALSE),"NA")</f>
        <v>3South Puget Sound</v>
      </c>
      <c r="M2019" s="72" t="s">
        <v>18</v>
      </c>
      <c r="N2019" t="str">
        <f>VLOOKUP(M2019,LUTs!E$2:H$14,3,)</f>
        <v>06King</v>
      </c>
      <c r="O2019" t="str">
        <f>VLOOKUP(M2019,LUTs!E$2:H$14,4,)</f>
        <v>02South Puget Sound</v>
      </c>
      <c r="P2019" s="73">
        <v>27.081081081081098</v>
      </c>
      <c r="Q2019" s="74">
        <f>VLOOKUP(B2019,Readme!A$40:C$51,2,)*P2019</f>
        <v>93.158918918918971</v>
      </c>
    </row>
    <row r="2020" spans="1:17" ht="12" customHeight="1" x14ac:dyDescent="0.35">
      <c r="A2020" s="75">
        <v>2019</v>
      </c>
      <c r="B2020" s="64">
        <v>2015</v>
      </c>
      <c r="C2020" s="64">
        <v>10</v>
      </c>
      <c r="D2020" s="80">
        <f t="shared" si="65"/>
        <v>2015</v>
      </c>
      <c r="E2020" t="s">
        <v>38</v>
      </c>
      <c r="F2020" t="s">
        <v>143</v>
      </c>
      <c r="G2020" t="s">
        <v>10</v>
      </c>
      <c r="H2020" s="72" t="s">
        <v>209</v>
      </c>
      <c r="I2020" s="72" t="s">
        <v>51</v>
      </c>
      <c r="J2020" t="str">
        <f t="shared" si="66"/>
        <v>Nisqually River</v>
      </c>
      <c r="K2020" t="str">
        <f>IFERROR(VLOOKUP(J2020,LUTs!$A$1:$C$73,2,FALSE),"NA")</f>
        <v>Thurston/Pierce</v>
      </c>
      <c r="L2020" t="str">
        <f>IFERROR(VLOOKUP(J2020,LUTs!$A$1:$C$73,3,FALSE),"NA")</f>
        <v>3South Puget Sound</v>
      </c>
      <c r="M2020" s="72" t="s">
        <v>23</v>
      </c>
      <c r="N2020" t="str">
        <f>VLOOKUP(M2020,LUTs!E$2:H$14,3,)</f>
        <v>10Kitsap</v>
      </c>
      <c r="O2020" t="str">
        <f>VLOOKUP(M2020,LUTs!E$2:H$14,4,)</f>
        <v>02South Puget Sound</v>
      </c>
      <c r="P2020" s="73">
        <v>54.162162162162197</v>
      </c>
      <c r="Q2020" s="74">
        <f>VLOOKUP(B2020,Readme!A$40:C$51,2,)*P2020</f>
        <v>186.31783783783794</v>
      </c>
    </row>
    <row r="2021" spans="1:17" ht="12" customHeight="1" x14ac:dyDescent="0.35">
      <c r="A2021" s="75">
        <v>2020</v>
      </c>
      <c r="B2021" s="64">
        <v>2015</v>
      </c>
      <c r="C2021" s="64">
        <v>10</v>
      </c>
      <c r="D2021" s="80">
        <f t="shared" si="65"/>
        <v>2015</v>
      </c>
      <c r="E2021" t="s">
        <v>38</v>
      </c>
      <c r="F2021" t="s">
        <v>143</v>
      </c>
      <c r="G2021" t="s">
        <v>10</v>
      </c>
      <c r="H2021" s="72" t="s">
        <v>209</v>
      </c>
      <c r="I2021" s="72" t="s">
        <v>51</v>
      </c>
      <c r="J2021" t="str">
        <f t="shared" si="66"/>
        <v>Nisqually River</v>
      </c>
      <c r="K2021" t="str">
        <f>IFERROR(VLOOKUP(J2021,LUTs!$A$1:$C$73,2,FALSE),"NA")</f>
        <v>Thurston/Pierce</v>
      </c>
      <c r="L2021" t="str">
        <f>IFERROR(VLOOKUP(J2021,LUTs!$A$1:$C$73,3,FALSE),"NA")</f>
        <v>3South Puget Sound</v>
      </c>
      <c r="M2021" s="72" t="s">
        <v>26</v>
      </c>
      <c r="N2021" t="str">
        <f>VLOOKUP(M2021,LUTs!E$2:H$14,3,)</f>
        <v>20Other</v>
      </c>
      <c r="O2021" t="str">
        <f>VLOOKUP(M2021,LUTs!E$2:H$14,4,)</f>
        <v>07Non Puget Sound</v>
      </c>
      <c r="P2021" s="73">
        <v>72.216216216216196</v>
      </c>
      <c r="Q2021" s="74">
        <f>VLOOKUP(B2021,Readme!A$40:C$51,2,)*P2021</f>
        <v>248.4237837837837</v>
      </c>
    </row>
    <row r="2022" spans="1:17" ht="12" customHeight="1" x14ac:dyDescent="0.35">
      <c r="A2022" s="75">
        <v>2021</v>
      </c>
      <c r="B2022" s="64">
        <v>2015</v>
      </c>
      <c r="C2022" s="64">
        <v>10</v>
      </c>
      <c r="D2022" s="80">
        <f t="shared" si="65"/>
        <v>2015</v>
      </c>
      <c r="E2022" t="s">
        <v>38</v>
      </c>
      <c r="F2022" t="s">
        <v>143</v>
      </c>
      <c r="G2022" t="s">
        <v>10</v>
      </c>
      <c r="H2022" s="72" t="s">
        <v>209</v>
      </c>
      <c r="I2022" s="72" t="s">
        <v>51</v>
      </c>
      <c r="J2022" t="str">
        <f t="shared" si="66"/>
        <v>Nisqually River</v>
      </c>
      <c r="K2022" t="str">
        <f>IFERROR(VLOOKUP(J2022,LUTs!$A$1:$C$73,2,FALSE),"NA")</f>
        <v>Thurston/Pierce</v>
      </c>
      <c r="L2022" t="str">
        <f>IFERROR(VLOOKUP(J2022,LUTs!$A$1:$C$73,3,FALSE),"NA")</f>
        <v>3South Puget Sound</v>
      </c>
      <c r="M2022" s="72" t="s">
        <v>20</v>
      </c>
      <c r="N2022" t="str">
        <f>VLOOKUP(M2022,LUTs!E$2:H$14,3,)</f>
        <v>07Pierce</v>
      </c>
      <c r="O2022" t="str">
        <f>VLOOKUP(M2022,LUTs!E$2:H$14,4,)</f>
        <v>02South Puget Sound</v>
      </c>
      <c r="P2022" s="73">
        <v>406.21621621621603</v>
      </c>
      <c r="Q2022" s="74">
        <f>VLOOKUP(B2022,Readme!A$40:C$51,2,)*P2022</f>
        <v>1397.3837837837832</v>
      </c>
    </row>
    <row r="2023" spans="1:17" ht="12" customHeight="1" x14ac:dyDescent="0.35">
      <c r="A2023" s="75">
        <v>2022</v>
      </c>
      <c r="B2023" s="64">
        <v>2015</v>
      </c>
      <c r="C2023" s="64">
        <v>10</v>
      </c>
      <c r="D2023" s="80">
        <f t="shared" si="65"/>
        <v>2015</v>
      </c>
      <c r="E2023" t="s">
        <v>38</v>
      </c>
      <c r="F2023" t="s">
        <v>143</v>
      </c>
      <c r="G2023" t="s">
        <v>10</v>
      </c>
      <c r="H2023" s="72" t="s">
        <v>209</v>
      </c>
      <c r="I2023" s="72" t="s">
        <v>51</v>
      </c>
      <c r="J2023" t="str">
        <f t="shared" si="66"/>
        <v>Nisqually River</v>
      </c>
      <c r="K2023" t="str">
        <f>IFERROR(VLOOKUP(J2023,LUTs!$A$1:$C$73,2,FALSE),"NA")</f>
        <v>Thurston/Pierce</v>
      </c>
      <c r="L2023" t="str">
        <f>IFERROR(VLOOKUP(J2023,LUTs!$A$1:$C$73,3,FALSE),"NA")</f>
        <v>3South Puget Sound</v>
      </c>
      <c r="M2023" s="72" t="s">
        <v>21</v>
      </c>
      <c r="N2023" t="str">
        <f>VLOOKUP(M2023,LUTs!E$2:H$14,3,)</f>
        <v>08Thurston</v>
      </c>
      <c r="O2023" t="str">
        <f>VLOOKUP(M2023,LUTs!E$2:H$14,4,)</f>
        <v>02South Puget Sound</v>
      </c>
      <c r="P2023" s="73">
        <v>442.32432432432398</v>
      </c>
      <c r="Q2023" s="74">
        <f>VLOOKUP(B2023,Readme!A$40:C$51,2,)*P2023</f>
        <v>1521.5956756756746</v>
      </c>
    </row>
    <row r="2024" spans="1:17" ht="12" customHeight="1" x14ac:dyDescent="0.35">
      <c r="A2024" s="75">
        <v>2023</v>
      </c>
      <c r="B2024" s="64">
        <v>2015</v>
      </c>
      <c r="C2024" s="64">
        <v>11</v>
      </c>
      <c r="D2024" s="80">
        <f t="shared" si="65"/>
        <v>2015</v>
      </c>
      <c r="E2024" t="s">
        <v>38</v>
      </c>
      <c r="F2024" t="s">
        <v>143</v>
      </c>
      <c r="G2024" t="s">
        <v>10</v>
      </c>
      <c r="H2024" s="72" t="s">
        <v>209</v>
      </c>
      <c r="I2024" s="72" t="s">
        <v>51</v>
      </c>
      <c r="J2024" t="str">
        <f t="shared" si="66"/>
        <v>Nisqually River</v>
      </c>
      <c r="K2024" t="str">
        <f>IFERROR(VLOOKUP(J2024,LUTs!$A$1:$C$73,2,FALSE),"NA")</f>
        <v>Thurston/Pierce</v>
      </c>
      <c r="L2024" t="str">
        <f>IFERROR(VLOOKUP(J2024,LUTs!$A$1:$C$73,3,FALSE),"NA")</f>
        <v>3South Puget Sound</v>
      </c>
      <c r="M2024" s="72" t="s">
        <v>20</v>
      </c>
      <c r="N2024" t="str">
        <f>VLOOKUP(M2024,LUTs!E$2:H$14,3,)</f>
        <v>07Pierce</v>
      </c>
      <c r="O2024" t="str">
        <f>VLOOKUP(M2024,LUTs!E$2:H$14,4,)</f>
        <v>02South Puget Sound</v>
      </c>
      <c r="P2024" s="73">
        <v>63</v>
      </c>
      <c r="Q2024" s="74">
        <f>VLOOKUP(B2024,Readme!A$40:C$51,2,)*P2024</f>
        <v>216.72</v>
      </c>
    </row>
    <row r="2025" spans="1:17" ht="12" customHeight="1" x14ac:dyDescent="0.35">
      <c r="A2025" s="75">
        <v>2024</v>
      </c>
      <c r="B2025" s="64">
        <v>2015</v>
      </c>
      <c r="C2025" s="64">
        <v>12</v>
      </c>
      <c r="D2025" s="80">
        <f t="shared" si="65"/>
        <v>2015</v>
      </c>
      <c r="E2025" t="s">
        <v>38</v>
      </c>
      <c r="F2025" t="s">
        <v>143</v>
      </c>
      <c r="G2025" t="s">
        <v>10</v>
      </c>
      <c r="H2025" s="72" t="s">
        <v>209</v>
      </c>
      <c r="I2025" s="72" t="s">
        <v>51</v>
      </c>
      <c r="J2025" t="str">
        <f t="shared" si="66"/>
        <v>Nisqually River</v>
      </c>
      <c r="K2025" t="str">
        <f>IFERROR(VLOOKUP(J2025,LUTs!$A$1:$C$73,2,FALSE),"NA")</f>
        <v>Thurston/Pierce</v>
      </c>
      <c r="L2025" t="str">
        <f>IFERROR(VLOOKUP(J2025,LUTs!$A$1:$C$73,3,FALSE),"NA")</f>
        <v>3South Puget Sound</v>
      </c>
      <c r="M2025" s="72" t="s">
        <v>20</v>
      </c>
      <c r="N2025" t="str">
        <f>VLOOKUP(M2025,LUTs!E$2:H$14,3,)</f>
        <v>07Pierce</v>
      </c>
      <c r="O2025" t="str">
        <f>VLOOKUP(M2025,LUTs!E$2:H$14,4,)</f>
        <v>02South Puget Sound</v>
      </c>
      <c r="P2025" s="73">
        <v>54</v>
      </c>
      <c r="Q2025" s="74">
        <f>VLOOKUP(B2025,Readme!A$40:C$51,2,)*P2025</f>
        <v>185.76</v>
      </c>
    </row>
    <row r="2026" spans="1:17" ht="12" customHeight="1" x14ac:dyDescent="0.35">
      <c r="A2026" s="75">
        <v>2025</v>
      </c>
      <c r="B2026" s="64">
        <v>2015</v>
      </c>
      <c r="C2026" s="64">
        <v>12</v>
      </c>
      <c r="D2026" s="80">
        <f t="shared" si="65"/>
        <v>2015</v>
      </c>
      <c r="E2026" t="s">
        <v>38</v>
      </c>
      <c r="F2026" t="s">
        <v>143</v>
      </c>
      <c r="G2026" t="s">
        <v>10</v>
      </c>
      <c r="H2026" s="72" t="s">
        <v>209</v>
      </c>
      <c r="I2026" s="72" t="s">
        <v>51</v>
      </c>
      <c r="J2026" t="str">
        <f t="shared" si="66"/>
        <v>Nisqually River</v>
      </c>
      <c r="K2026" t="str">
        <f>IFERROR(VLOOKUP(J2026,LUTs!$A$1:$C$73,2,FALSE),"NA")</f>
        <v>Thurston/Pierce</v>
      </c>
      <c r="L2026" t="str">
        <f>IFERROR(VLOOKUP(J2026,LUTs!$A$1:$C$73,3,FALSE),"NA")</f>
        <v>3South Puget Sound</v>
      </c>
      <c r="M2026" s="72" t="s">
        <v>21</v>
      </c>
      <c r="N2026" t="str">
        <f>VLOOKUP(M2026,LUTs!E$2:H$14,3,)</f>
        <v>08Thurston</v>
      </c>
      <c r="O2026" t="str">
        <f>VLOOKUP(M2026,LUTs!E$2:H$14,4,)</f>
        <v>02South Puget Sound</v>
      </c>
      <c r="P2026" s="73">
        <v>81</v>
      </c>
      <c r="Q2026" s="74">
        <f>VLOOKUP(B2026,Readme!A$40:C$51,2,)*P2026</f>
        <v>278.64</v>
      </c>
    </row>
    <row r="2027" spans="1:17" ht="12" customHeight="1" x14ac:dyDescent="0.35">
      <c r="A2027" s="75">
        <v>2026</v>
      </c>
      <c r="B2027" s="64">
        <v>2016</v>
      </c>
      <c r="C2027" s="64">
        <v>1</v>
      </c>
      <c r="D2027" s="80">
        <f t="shared" si="65"/>
        <v>2015</v>
      </c>
      <c r="E2027" t="s">
        <v>38</v>
      </c>
      <c r="F2027" t="s">
        <v>143</v>
      </c>
      <c r="G2027" t="s">
        <v>10</v>
      </c>
      <c r="H2027" s="72" t="s">
        <v>209</v>
      </c>
      <c r="I2027" s="72" t="s">
        <v>51</v>
      </c>
      <c r="J2027" t="str">
        <f t="shared" si="66"/>
        <v>Nisqually River</v>
      </c>
      <c r="K2027" t="str">
        <f>IFERROR(VLOOKUP(J2027,LUTs!$A$1:$C$73,2,FALSE),"NA")</f>
        <v>Thurston/Pierce</v>
      </c>
      <c r="L2027" t="str">
        <f>IFERROR(VLOOKUP(J2027,LUTs!$A$1:$C$73,3,FALSE),"NA")</f>
        <v>3South Puget Sound</v>
      </c>
      <c r="M2027" s="72" t="s">
        <v>21</v>
      </c>
      <c r="N2027" t="str">
        <f>VLOOKUP(M2027,LUTs!E$2:H$14,3,)</f>
        <v>08Thurston</v>
      </c>
      <c r="O2027" t="str">
        <f>VLOOKUP(M2027,LUTs!E$2:H$14,4,)</f>
        <v>02South Puget Sound</v>
      </c>
      <c r="P2027" s="73">
        <v>9</v>
      </c>
      <c r="Q2027" s="74">
        <f>VLOOKUP(B2027,Readme!A$40:C$51,2,)*P2027</f>
        <v>77.850000000000009</v>
      </c>
    </row>
    <row r="2028" spans="1:17" ht="12" customHeight="1" x14ac:dyDescent="0.35">
      <c r="A2028" s="75">
        <v>2027</v>
      </c>
      <c r="B2028" s="64">
        <v>2015</v>
      </c>
      <c r="C2028" s="64">
        <v>7</v>
      </c>
      <c r="D2028" s="80">
        <f t="shared" si="65"/>
        <v>2015</v>
      </c>
      <c r="E2028" t="s">
        <v>38</v>
      </c>
      <c r="F2028" t="s">
        <v>143</v>
      </c>
      <c r="G2028" t="s">
        <v>10</v>
      </c>
      <c r="H2028" s="72" t="s">
        <v>210</v>
      </c>
      <c r="I2028" s="72" t="s">
        <v>52</v>
      </c>
      <c r="J2028" t="str">
        <f t="shared" si="66"/>
        <v>Nooksack River</v>
      </c>
      <c r="K2028" t="str">
        <f>IFERROR(VLOOKUP(J2028,LUTs!$A$1:$C$73,2,FALSE),"NA")</f>
        <v>Whatcom</v>
      </c>
      <c r="L2028" t="str">
        <f>IFERROR(VLOOKUP(J2028,LUTs!$A$1:$C$73,3,FALSE),"NA")</f>
        <v>1North Puget Sound</v>
      </c>
      <c r="M2028" s="72" t="s">
        <v>13</v>
      </c>
      <c r="N2028" t="str">
        <f>VLOOKUP(M2028,LUTs!E$2:H$14,3,)</f>
        <v>01Whatcom</v>
      </c>
      <c r="O2028" t="str">
        <f>VLOOKUP(M2028,LUTs!E$2:H$14,4,)</f>
        <v>01North Puget Sound</v>
      </c>
      <c r="P2028" s="73">
        <v>810</v>
      </c>
      <c r="Q2028" s="74">
        <f>VLOOKUP(B2028,Readme!A$40:C$51,2,)*P2028</f>
        <v>2786.4</v>
      </c>
    </row>
    <row r="2029" spans="1:17" ht="12" customHeight="1" x14ac:dyDescent="0.35">
      <c r="A2029" s="75">
        <v>2028</v>
      </c>
      <c r="B2029" s="64">
        <v>2015</v>
      </c>
      <c r="C2029" s="64">
        <v>8</v>
      </c>
      <c r="D2029" s="80">
        <f t="shared" si="65"/>
        <v>2015</v>
      </c>
      <c r="E2029" t="s">
        <v>38</v>
      </c>
      <c r="F2029" t="s">
        <v>143</v>
      </c>
      <c r="G2029" t="s">
        <v>10</v>
      </c>
      <c r="H2029" s="72" t="s">
        <v>210</v>
      </c>
      <c r="I2029" s="72" t="s">
        <v>52</v>
      </c>
      <c r="J2029" t="str">
        <f t="shared" si="66"/>
        <v>Nooksack River</v>
      </c>
      <c r="K2029" t="str">
        <f>IFERROR(VLOOKUP(J2029,LUTs!$A$1:$C$73,2,FALSE),"NA")</f>
        <v>Whatcom</v>
      </c>
      <c r="L2029" t="str">
        <f>IFERROR(VLOOKUP(J2029,LUTs!$A$1:$C$73,3,FALSE),"NA")</f>
        <v>1North Puget Sound</v>
      </c>
      <c r="M2029" s="72" t="s">
        <v>18</v>
      </c>
      <c r="N2029" t="str">
        <f>VLOOKUP(M2029,LUTs!E$2:H$14,3,)</f>
        <v>06King</v>
      </c>
      <c r="O2029" t="str">
        <f>VLOOKUP(M2029,LUTs!E$2:H$14,4,)</f>
        <v>02South Puget Sound</v>
      </c>
      <c r="P2029" s="73">
        <v>17.616666666666699</v>
      </c>
      <c r="Q2029" s="74">
        <f>VLOOKUP(B2029,Readme!A$40:C$51,2,)*P2029</f>
        <v>60.601333333333443</v>
      </c>
    </row>
    <row r="2030" spans="1:17" ht="12" customHeight="1" x14ac:dyDescent="0.35">
      <c r="A2030" s="75">
        <v>2029</v>
      </c>
      <c r="B2030" s="64">
        <v>2015</v>
      </c>
      <c r="C2030" s="64">
        <v>8</v>
      </c>
      <c r="D2030" s="80">
        <f t="shared" si="65"/>
        <v>2015</v>
      </c>
      <c r="E2030" t="s">
        <v>38</v>
      </c>
      <c r="F2030" t="s">
        <v>143</v>
      </c>
      <c r="G2030" t="s">
        <v>10</v>
      </c>
      <c r="H2030" s="72" t="s">
        <v>210</v>
      </c>
      <c r="I2030" s="72" t="s">
        <v>52</v>
      </c>
      <c r="J2030" t="str">
        <f t="shared" si="66"/>
        <v>Nooksack River</v>
      </c>
      <c r="K2030" t="str">
        <f>IFERROR(VLOOKUP(J2030,LUTs!$A$1:$C$73,2,FALSE),"NA")</f>
        <v>Whatcom</v>
      </c>
      <c r="L2030" t="str">
        <f>IFERROR(VLOOKUP(J2030,LUTs!$A$1:$C$73,3,FALSE),"NA")</f>
        <v>1North Puget Sound</v>
      </c>
      <c r="M2030" s="72" t="s">
        <v>26</v>
      </c>
      <c r="N2030" t="str">
        <f>VLOOKUP(M2030,LUTs!E$2:H$14,3,)</f>
        <v>20Other</v>
      </c>
      <c r="O2030" t="str">
        <f>VLOOKUP(M2030,LUTs!E$2:H$14,4,)</f>
        <v>07Non Puget Sound</v>
      </c>
      <c r="P2030" s="73">
        <v>211.4</v>
      </c>
      <c r="Q2030" s="74">
        <f>VLOOKUP(B2030,Readme!A$40:C$51,2,)*P2030</f>
        <v>727.21600000000001</v>
      </c>
    </row>
    <row r="2031" spans="1:17" ht="12" customHeight="1" x14ac:dyDescent="0.35">
      <c r="A2031" s="75">
        <v>2030</v>
      </c>
      <c r="B2031" s="64">
        <v>2015</v>
      </c>
      <c r="C2031" s="64">
        <v>8</v>
      </c>
      <c r="D2031" s="80">
        <f t="shared" si="65"/>
        <v>2015</v>
      </c>
      <c r="E2031" t="s">
        <v>38</v>
      </c>
      <c r="F2031" t="s">
        <v>143</v>
      </c>
      <c r="G2031" t="s">
        <v>10</v>
      </c>
      <c r="H2031" s="72" t="s">
        <v>210</v>
      </c>
      <c r="I2031" s="72" t="s">
        <v>52</v>
      </c>
      <c r="J2031" t="str">
        <f t="shared" si="66"/>
        <v>Nooksack River</v>
      </c>
      <c r="K2031" t="str">
        <f>IFERROR(VLOOKUP(J2031,LUTs!$A$1:$C$73,2,FALSE),"NA")</f>
        <v>Whatcom</v>
      </c>
      <c r="L2031" t="str">
        <f>IFERROR(VLOOKUP(J2031,LUTs!$A$1:$C$73,3,FALSE),"NA")</f>
        <v>1North Puget Sound</v>
      </c>
      <c r="M2031" s="72" t="s">
        <v>20</v>
      </c>
      <c r="N2031" t="str">
        <f>VLOOKUP(M2031,LUTs!E$2:H$14,3,)</f>
        <v>07Pierce</v>
      </c>
      <c r="O2031" t="str">
        <f>VLOOKUP(M2031,LUTs!E$2:H$14,4,)</f>
        <v>02South Puget Sound</v>
      </c>
      <c r="P2031" s="73">
        <v>26.425000000000001</v>
      </c>
      <c r="Q2031" s="74">
        <f>VLOOKUP(B2031,Readme!A$40:C$51,2,)*P2031</f>
        <v>90.902000000000001</v>
      </c>
    </row>
    <row r="2032" spans="1:17" ht="12" customHeight="1" x14ac:dyDescent="0.35">
      <c r="A2032" s="75">
        <v>2031</v>
      </c>
      <c r="B2032" s="64">
        <v>2015</v>
      </c>
      <c r="C2032" s="64">
        <v>8</v>
      </c>
      <c r="D2032" s="80">
        <f t="shared" si="65"/>
        <v>2015</v>
      </c>
      <c r="E2032" t="s">
        <v>38</v>
      </c>
      <c r="F2032" t="s">
        <v>143</v>
      </c>
      <c r="G2032" t="s">
        <v>10</v>
      </c>
      <c r="H2032" s="72" t="s">
        <v>210</v>
      </c>
      <c r="I2032" s="72" t="s">
        <v>52</v>
      </c>
      <c r="J2032" t="str">
        <f t="shared" si="66"/>
        <v>Nooksack River</v>
      </c>
      <c r="K2032" t="str">
        <f>IFERROR(VLOOKUP(J2032,LUTs!$A$1:$C$73,2,FALSE),"NA")</f>
        <v>Whatcom</v>
      </c>
      <c r="L2032" t="str">
        <f>IFERROR(VLOOKUP(J2032,LUTs!$A$1:$C$73,3,FALSE),"NA")</f>
        <v>1North Puget Sound</v>
      </c>
      <c r="M2032" s="72" t="s">
        <v>15</v>
      </c>
      <c r="N2032" t="str">
        <f>VLOOKUP(M2032,LUTs!E$2:H$14,3,)</f>
        <v>02Skagit</v>
      </c>
      <c r="O2032" t="str">
        <f>VLOOKUP(M2032,LUTs!E$2:H$14,4,)</f>
        <v>01North Puget Sound</v>
      </c>
      <c r="P2032" s="73">
        <v>26.425000000000001</v>
      </c>
      <c r="Q2032" s="74">
        <f>VLOOKUP(B2032,Readme!A$40:C$51,2,)*P2032</f>
        <v>90.902000000000001</v>
      </c>
    </row>
    <row r="2033" spans="1:17" ht="12" customHeight="1" x14ac:dyDescent="0.35">
      <c r="A2033" s="75">
        <v>2032</v>
      </c>
      <c r="B2033" s="64">
        <v>2015</v>
      </c>
      <c r="C2033" s="64">
        <v>8</v>
      </c>
      <c r="D2033" s="80">
        <f t="shared" si="65"/>
        <v>2015</v>
      </c>
      <c r="E2033" t="s">
        <v>38</v>
      </c>
      <c r="F2033" t="s">
        <v>143</v>
      </c>
      <c r="G2033" t="s">
        <v>10</v>
      </c>
      <c r="H2033" s="72" t="s">
        <v>210</v>
      </c>
      <c r="I2033" s="72" t="s">
        <v>52</v>
      </c>
      <c r="J2033" t="str">
        <f t="shared" si="66"/>
        <v>Nooksack River</v>
      </c>
      <c r="K2033" t="str">
        <f>IFERROR(VLOOKUP(J2033,LUTs!$A$1:$C$73,2,FALSE),"NA")</f>
        <v>Whatcom</v>
      </c>
      <c r="L2033" t="str">
        <f>IFERROR(VLOOKUP(J2033,LUTs!$A$1:$C$73,3,FALSE),"NA")</f>
        <v>1North Puget Sound</v>
      </c>
      <c r="M2033" s="72" t="s">
        <v>13</v>
      </c>
      <c r="N2033" t="str">
        <f>VLOOKUP(M2033,LUTs!E$2:H$14,3,)</f>
        <v>01Whatcom</v>
      </c>
      <c r="O2033" t="str">
        <f>VLOOKUP(M2033,LUTs!E$2:H$14,4,)</f>
        <v>01North Puget Sound</v>
      </c>
      <c r="P2033" s="73">
        <v>3946.13333333333</v>
      </c>
      <c r="Q2033" s="74">
        <f>VLOOKUP(B2033,Readme!A$40:C$51,2,)*P2033</f>
        <v>13574.698666666654</v>
      </c>
    </row>
    <row r="2034" spans="1:17" ht="12" customHeight="1" x14ac:dyDescent="0.35">
      <c r="A2034" s="75">
        <v>2033</v>
      </c>
      <c r="B2034" s="64">
        <v>2015</v>
      </c>
      <c r="C2034" s="64">
        <v>9</v>
      </c>
      <c r="D2034" s="80">
        <f t="shared" si="65"/>
        <v>2015</v>
      </c>
      <c r="E2034" t="s">
        <v>38</v>
      </c>
      <c r="F2034" t="s">
        <v>143</v>
      </c>
      <c r="G2034" t="s">
        <v>10</v>
      </c>
      <c r="H2034" s="72" t="s">
        <v>210</v>
      </c>
      <c r="I2034" s="72" t="s">
        <v>52</v>
      </c>
      <c r="J2034" t="str">
        <f t="shared" si="66"/>
        <v>Nooksack River</v>
      </c>
      <c r="K2034" t="str">
        <f>IFERROR(VLOOKUP(J2034,LUTs!$A$1:$C$73,2,FALSE),"NA")</f>
        <v>Whatcom</v>
      </c>
      <c r="L2034" t="str">
        <f>IFERROR(VLOOKUP(J2034,LUTs!$A$1:$C$73,3,FALSE),"NA")</f>
        <v>1North Puget Sound</v>
      </c>
      <c r="M2034" s="72" t="s">
        <v>26</v>
      </c>
      <c r="N2034" t="str">
        <f>VLOOKUP(M2034,LUTs!E$2:H$14,3,)</f>
        <v>20Other</v>
      </c>
      <c r="O2034" t="str">
        <f>VLOOKUP(M2034,LUTs!E$2:H$14,4,)</f>
        <v>07Non Puget Sound</v>
      </c>
      <c r="P2034" s="73">
        <v>8.9827586206896601</v>
      </c>
      <c r="Q2034" s="74">
        <f>VLOOKUP(B2034,Readme!A$40:C$51,2,)*P2034</f>
        <v>30.900689655172432</v>
      </c>
    </row>
    <row r="2035" spans="1:17" ht="12" customHeight="1" x14ac:dyDescent="0.35">
      <c r="A2035" s="75">
        <v>2034</v>
      </c>
      <c r="B2035" s="64">
        <v>2015</v>
      </c>
      <c r="C2035" s="64">
        <v>9</v>
      </c>
      <c r="D2035" s="80">
        <f t="shared" si="65"/>
        <v>2015</v>
      </c>
      <c r="E2035" t="s">
        <v>38</v>
      </c>
      <c r="F2035" t="s">
        <v>143</v>
      </c>
      <c r="G2035" t="s">
        <v>10</v>
      </c>
      <c r="H2035" s="72" t="s">
        <v>210</v>
      </c>
      <c r="I2035" s="72" t="s">
        <v>52</v>
      </c>
      <c r="J2035" t="str">
        <f t="shared" si="66"/>
        <v>Nooksack River</v>
      </c>
      <c r="K2035" t="str">
        <f>IFERROR(VLOOKUP(J2035,LUTs!$A$1:$C$73,2,FALSE),"NA")</f>
        <v>Whatcom</v>
      </c>
      <c r="L2035" t="str">
        <f>IFERROR(VLOOKUP(J2035,LUTs!$A$1:$C$73,3,FALSE),"NA")</f>
        <v>1North Puget Sound</v>
      </c>
      <c r="M2035" s="72" t="s">
        <v>20</v>
      </c>
      <c r="N2035" t="str">
        <f>VLOOKUP(M2035,LUTs!E$2:H$14,3,)</f>
        <v>07Pierce</v>
      </c>
      <c r="O2035" t="str">
        <f>VLOOKUP(M2035,LUTs!E$2:H$14,4,)</f>
        <v>02South Puget Sound</v>
      </c>
      <c r="P2035" s="73">
        <v>8.9827586206896601</v>
      </c>
      <c r="Q2035" s="74">
        <f>VLOOKUP(B2035,Readme!A$40:C$51,2,)*P2035</f>
        <v>30.900689655172432</v>
      </c>
    </row>
    <row r="2036" spans="1:17" ht="12" customHeight="1" x14ac:dyDescent="0.35">
      <c r="A2036" s="75">
        <v>2035</v>
      </c>
      <c r="B2036" s="64">
        <v>2015</v>
      </c>
      <c r="C2036" s="64">
        <v>9</v>
      </c>
      <c r="D2036" s="80">
        <f t="shared" si="65"/>
        <v>2015</v>
      </c>
      <c r="E2036" t="s">
        <v>38</v>
      </c>
      <c r="F2036" t="s">
        <v>143</v>
      </c>
      <c r="G2036" t="s">
        <v>10</v>
      </c>
      <c r="H2036" s="72" t="s">
        <v>210</v>
      </c>
      <c r="I2036" s="72" t="s">
        <v>52</v>
      </c>
      <c r="J2036" t="str">
        <f t="shared" si="66"/>
        <v>Nooksack River</v>
      </c>
      <c r="K2036" t="str">
        <f>IFERROR(VLOOKUP(J2036,LUTs!$A$1:$C$73,2,FALSE),"NA")</f>
        <v>Whatcom</v>
      </c>
      <c r="L2036" t="str">
        <f>IFERROR(VLOOKUP(J2036,LUTs!$A$1:$C$73,3,FALSE),"NA")</f>
        <v>1North Puget Sound</v>
      </c>
      <c r="M2036" s="72" t="s">
        <v>16</v>
      </c>
      <c r="N2036" t="str">
        <f>VLOOKUP(M2036,LUTs!E$2:H$14,3,)</f>
        <v>03Snohomish</v>
      </c>
      <c r="O2036" t="str">
        <f>VLOOKUP(M2036,LUTs!E$2:H$14,4,)</f>
        <v>01North Puget Sound</v>
      </c>
      <c r="P2036" s="73">
        <v>8.9827586206896601</v>
      </c>
      <c r="Q2036" s="74">
        <f>VLOOKUP(B2036,Readme!A$40:C$51,2,)*P2036</f>
        <v>30.900689655172432</v>
      </c>
    </row>
    <row r="2037" spans="1:17" ht="12" customHeight="1" x14ac:dyDescent="0.35">
      <c r="A2037" s="75">
        <v>2036</v>
      </c>
      <c r="B2037" s="64">
        <v>2015</v>
      </c>
      <c r="C2037" s="64">
        <v>9</v>
      </c>
      <c r="D2037" s="80">
        <f t="shared" si="65"/>
        <v>2015</v>
      </c>
      <c r="E2037" t="s">
        <v>38</v>
      </c>
      <c r="F2037" t="s">
        <v>143</v>
      </c>
      <c r="G2037" t="s">
        <v>10</v>
      </c>
      <c r="H2037" s="72" t="s">
        <v>210</v>
      </c>
      <c r="I2037" s="72" t="s">
        <v>52</v>
      </c>
      <c r="J2037" t="str">
        <f t="shared" si="66"/>
        <v>Nooksack River</v>
      </c>
      <c r="K2037" t="str">
        <f>IFERROR(VLOOKUP(J2037,LUTs!$A$1:$C$73,2,FALSE),"NA")</f>
        <v>Whatcom</v>
      </c>
      <c r="L2037" t="str">
        <f>IFERROR(VLOOKUP(J2037,LUTs!$A$1:$C$73,3,FALSE),"NA")</f>
        <v>1North Puget Sound</v>
      </c>
      <c r="M2037" s="72" t="s">
        <v>13</v>
      </c>
      <c r="N2037" t="str">
        <f>VLOOKUP(M2037,LUTs!E$2:H$14,3,)</f>
        <v>01Whatcom</v>
      </c>
      <c r="O2037" t="str">
        <f>VLOOKUP(M2037,LUTs!E$2:H$14,4,)</f>
        <v>01North Puget Sound</v>
      </c>
      <c r="P2037" s="73">
        <v>2578.0517241379298</v>
      </c>
      <c r="Q2037" s="74">
        <f>VLOOKUP(B2037,Readme!A$40:C$51,2,)*P2037</f>
        <v>8868.4979310344788</v>
      </c>
    </row>
    <row r="2038" spans="1:17" ht="12" customHeight="1" x14ac:dyDescent="0.35">
      <c r="A2038" s="75">
        <v>2037</v>
      </c>
      <c r="B2038" s="64">
        <v>2015</v>
      </c>
      <c r="C2038" s="64">
        <v>10</v>
      </c>
      <c r="D2038" s="80">
        <f t="shared" si="65"/>
        <v>2015</v>
      </c>
      <c r="E2038" t="s">
        <v>38</v>
      </c>
      <c r="F2038" t="s">
        <v>143</v>
      </c>
      <c r="G2038" t="s">
        <v>10</v>
      </c>
      <c r="H2038" s="72" t="s">
        <v>210</v>
      </c>
      <c r="I2038" s="72" t="s">
        <v>52</v>
      </c>
      <c r="J2038" t="str">
        <f t="shared" si="66"/>
        <v>Nooksack River</v>
      </c>
      <c r="K2038" t="str">
        <f>IFERROR(VLOOKUP(J2038,LUTs!$A$1:$C$73,2,FALSE),"NA")</f>
        <v>Whatcom</v>
      </c>
      <c r="L2038" t="str">
        <f>IFERROR(VLOOKUP(J2038,LUTs!$A$1:$C$73,3,FALSE),"NA")</f>
        <v>1North Puget Sound</v>
      </c>
      <c r="M2038" s="72" t="s">
        <v>26</v>
      </c>
      <c r="N2038" t="str">
        <f>VLOOKUP(M2038,LUTs!E$2:H$14,3,)</f>
        <v>20Other</v>
      </c>
      <c r="O2038" t="str">
        <f>VLOOKUP(M2038,LUTs!E$2:H$14,4,)</f>
        <v>07Non Puget Sound</v>
      </c>
      <c r="P2038" s="73">
        <v>27.2918918918919</v>
      </c>
      <c r="Q2038" s="74">
        <f>VLOOKUP(B2038,Readme!A$40:C$51,2,)*P2038</f>
        <v>93.884108108108137</v>
      </c>
    </row>
    <row r="2039" spans="1:17" ht="12" customHeight="1" x14ac:dyDescent="0.35">
      <c r="A2039" s="75">
        <v>2038</v>
      </c>
      <c r="B2039" s="64">
        <v>2015</v>
      </c>
      <c r="C2039" s="64">
        <v>10</v>
      </c>
      <c r="D2039" s="80">
        <f t="shared" si="65"/>
        <v>2015</v>
      </c>
      <c r="E2039" t="s">
        <v>38</v>
      </c>
      <c r="F2039" t="s">
        <v>143</v>
      </c>
      <c r="G2039" t="s">
        <v>10</v>
      </c>
      <c r="H2039" s="72" t="s">
        <v>210</v>
      </c>
      <c r="I2039" s="72" t="s">
        <v>52</v>
      </c>
      <c r="J2039" t="str">
        <f t="shared" si="66"/>
        <v>Nooksack River</v>
      </c>
      <c r="K2039" t="str">
        <f>IFERROR(VLOOKUP(J2039,LUTs!$A$1:$C$73,2,FALSE),"NA")</f>
        <v>Whatcom</v>
      </c>
      <c r="L2039" t="str">
        <f>IFERROR(VLOOKUP(J2039,LUTs!$A$1:$C$73,3,FALSE),"NA")</f>
        <v>1North Puget Sound</v>
      </c>
      <c r="M2039" s="72" t="s">
        <v>15</v>
      </c>
      <c r="N2039" t="str">
        <f>VLOOKUP(M2039,LUTs!E$2:H$14,3,)</f>
        <v>02Skagit</v>
      </c>
      <c r="O2039" t="str">
        <f>VLOOKUP(M2039,LUTs!E$2:H$14,4,)</f>
        <v>01North Puget Sound</v>
      </c>
      <c r="P2039" s="73">
        <v>100.07027027027</v>
      </c>
      <c r="Q2039" s="74">
        <f>VLOOKUP(B2039,Readme!A$40:C$51,2,)*P2039</f>
        <v>344.24172972972877</v>
      </c>
    </row>
    <row r="2040" spans="1:17" ht="12" customHeight="1" x14ac:dyDescent="0.35">
      <c r="A2040" s="75">
        <v>2039</v>
      </c>
      <c r="B2040" s="64">
        <v>2015</v>
      </c>
      <c r="C2040" s="64">
        <v>10</v>
      </c>
      <c r="D2040" s="80">
        <f t="shared" si="65"/>
        <v>2015</v>
      </c>
      <c r="E2040" t="s">
        <v>38</v>
      </c>
      <c r="F2040" t="s">
        <v>143</v>
      </c>
      <c r="G2040" t="s">
        <v>10</v>
      </c>
      <c r="H2040" s="72" t="s">
        <v>210</v>
      </c>
      <c r="I2040" s="72" t="s">
        <v>52</v>
      </c>
      <c r="J2040" t="str">
        <f t="shared" si="66"/>
        <v>Nooksack River</v>
      </c>
      <c r="K2040" t="str">
        <f>IFERROR(VLOOKUP(J2040,LUTs!$A$1:$C$73,2,FALSE),"NA")</f>
        <v>Whatcom</v>
      </c>
      <c r="L2040" t="str">
        <f>IFERROR(VLOOKUP(J2040,LUTs!$A$1:$C$73,3,FALSE),"NA")</f>
        <v>1North Puget Sound</v>
      </c>
      <c r="M2040" s="72" t="s">
        <v>16</v>
      </c>
      <c r="N2040" t="str">
        <f>VLOOKUP(M2040,LUTs!E$2:H$14,3,)</f>
        <v>03Snohomish</v>
      </c>
      <c r="O2040" t="str">
        <f>VLOOKUP(M2040,LUTs!E$2:H$14,4,)</f>
        <v>01North Puget Sound</v>
      </c>
      <c r="P2040" s="73">
        <v>9.0972972972973007</v>
      </c>
      <c r="Q2040" s="74">
        <f>VLOOKUP(B2040,Readme!A$40:C$51,2,)*P2040</f>
        <v>31.294702702702715</v>
      </c>
    </row>
    <row r="2041" spans="1:17" ht="12" customHeight="1" x14ac:dyDescent="0.35">
      <c r="A2041" s="75">
        <v>2040</v>
      </c>
      <c r="B2041" s="64">
        <v>2015</v>
      </c>
      <c r="C2041" s="64">
        <v>10</v>
      </c>
      <c r="D2041" s="80">
        <f t="shared" si="65"/>
        <v>2015</v>
      </c>
      <c r="E2041" t="s">
        <v>38</v>
      </c>
      <c r="F2041" t="s">
        <v>143</v>
      </c>
      <c r="G2041" t="s">
        <v>10</v>
      </c>
      <c r="H2041" s="72" t="s">
        <v>210</v>
      </c>
      <c r="I2041" s="72" t="s">
        <v>52</v>
      </c>
      <c r="J2041" t="str">
        <f t="shared" si="66"/>
        <v>Nooksack River</v>
      </c>
      <c r="K2041" t="str">
        <f>IFERROR(VLOOKUP(J2041,LUTs!$A$1:$C$73,2,FALSE),"NA")</f>
        <v>Whatcom</v>
      </c>
      <c r="L2041" t="str">
        <f>IFERROR(VLOOKUP(J2041,LUTs!$A$1:$C$73,3,FALSE),"NA")</f>
        <v>1North Puget Sound</v>
      </c>
      <c r="M2041" s="72" t="s">
        <v>21</v>
      </c>
      <c r="N2041" t="str">
        <f>VLOOKUP(M2041,LUTs!E$2:H$14,3,)</f>
        <v>08Thurston</v>
      </c>
      <c r="O2041" t="str">
        <f>VLOOKUP(M2041,LUTs!E$2:H$14,4,)</f>
        <v>02South Puget Sound</v>
      </c>
      <c r="P2041" s="73">
        <v>9.0972972972973007</v>
      </c>
      <c r="Q2041" s="74">
        <f>VLOOKUP(B2041,Readme!A$40:C$51,2,)*P2041</f>
        <v>31.294702702702715</v>
      </c>
    </row>
    <row r="2042" spans="1:17" ht="12" customHeight="1" x14ac:dyDescent="0.35">
      <c r="A2042" s="75">
        <v>2041</v>
      </c>
      <c r="B2042" s="64">
        <v>2015</v>
      </c>
      <c r="C2042" s="64">
        <v>10</v>
      </c>
      <c r="D2042" s="80">
        <f t="shared" si="65"/>
        <v>2015</v>
      </c>
      <c r="E2042" t="s">
        <v>38</v>
      </c>
      <c r="F2042" t="s">
        <v>143</v>
      </c>
      <c r="G2042" t="s">
        <v>10</v>
      </c>
      <c r="H2042" s="72" t="s">
        <v>210</v>
      </c>
      <c r="I2042" s="72" t="s">
        <v>52</v>
      </c>
      <c r="J2042" t="str">
        <f t="shared" si="66"/>
        <v>Nooksack River</v>
      </c>
      <c r="K2042" t="str">
        <f>IFERROR(VLOOKUP(J2042,LUTs!$A$1:$C$73,2,FALSE),"NA")</f>
        <v>Whatcom</v>
      </c>
      <c r="L2042" t="str">
        <f>IFERROR(VLOOKUP(J2042,LUTs!$A$1:$C$73,3,FALSE),"NA")</f>
        <v>1North Puget Sound</v>
      </c>
      <c r="M2042" s="72" t="s">
        <v>13</v>
      </c>
      <c r="N2042" t="str">
        <f>VLOOKUP(M2042,LUTs!E$2:H$14,3,)</f>
        <v>01Whatcom</v>
      </c>
      <c r="O2042" t="str">
        <f>VLOOKUP(M2042,LUTs!E$2:H$14,4,)</f>
        <v>01North Puget Sound</v>
      </c>
      <c r="P2042" s="73">
        <v>1537.44324324324</v>
      </c>
      <c r="Q2042" s="74">
        <f>VLOOKUP(B2042,Readme!A$40:C$51,2,)*P2042</f>
        <v>5288.8047567567455</v>
      </c>
    </row>
    <row r="2043" spans="1:17" ht="12" customHeight="1" x14ac:dyDescent="0.35">
      <c r="A2043" s="75">
        <v>2042</v>
      </c>
      <c r="B2043" s="64">
        <v>2015</v>
      </c>
      <c r="C2043" s="64">
        <v>11</v>
      </c>
      <c r="D2043" s="80">
        <f t="shared" si="65"/>
        <v>2015</v>
      </c>
      <c r="E2043" t="s">
        <v>38</v>
      </c>
      <c r="F2043" t="s">
        <v>143</v>
      </c>
      <c r="G2043" t="s">
        <v>10</v>
      </c>
      <c r="H2043" s="72" t="s">
        <v>210</v>
      </c>
      <c r="I2043" s="72" t="s">
        <v>52</v>
      </c>
      <c r="J2043" t="str">
        <f t="shared" si="66"/>
        <v>Nooksack River</v>
      </c>
      <c r="K2043" t="str">
        <f>IFERROR(VLOOKUP(J2043,LUTs!$A$1:$C$73,2,FALSE),"NA")</f>
        <v>Whatcom</v>
      </c>
      <c r="L2043" t="str">
        <f>IFERROR(VLOOKUP(J2043,LUTs!$A$1:$C$73,3,FALSE),"NA")</f>
        <v>1North Puget Sound</v>
      </c>
      <c r="M2043" s="72" t="s">
        <v>17</v>
      </c>
      <c r="N2043" t="str">
        <f>VLOOKUP(M2043,LUTs!E$2:H$14,3,)</f>
        <v>04Island</v>
      </c>
      <c r="O2043" t="str">
        <f>VLOOKUP(M2043,LUTs!E$2:H$14,4,)</f>
        <v>01North Puget Sound</v>
      </c>
      <c r="P2043" s="73">
        <v>78.75</v>
      </c>
      <c r="Q2043" s="74">
        <f>VLOOKUP(B2043,Readme!A$40:C$51,2,)*P2043</f>
        <v>270.89999999999998</v>
      </c>
    </row>
    <row r="2044" spans="1:17" ht="12" customHeight="1" x14ac:dyDescent="0.35">
      <c r="A2044" s="75">
        <v>2043</v>
      </c>
      <c r="B2044" s="64">
        <v>2015</v>
      </c>
      <c r="C2044" s="64">
        <v>11</v>
      </c>
      <c r="D2044" s="80">
        <f t="shared" si="65"/>
        <v>2015</v>
      </c>
      <c r="E2044" t="s">
        <v>38</v>
      </c>
      <c r="F2044" t="s">
        <v>143</v>
      </c>
      <c r="G2044" t="s">
        <v>10</v>
      </c>
      <c r="H2044" s="72" t="s">
        <v>210</v>
      </c>
      <c r="I2044" s="72" t="s">
        <v>52</v>
      </c>
      <c r="J2044" t="str">
        <f t="shared" si="66"/>
        <v>Nooksack River</v>
      </c>
      <c r="K2044" t="str">
        <f>IFERROR(VLOOKUP(J2044,LUTs!$A$1:$C$73,2,FALSE),"NA")</f>
        <v>Whatcom</v>
      </c>
      <c r="L2044" t="str">
        <f>IFERROR(VLOOKUP(J2044,LUTs!$A$1:$C$73,3,FALSE),"NA")</f>
        <v>1North Puget Sound</v>
      </c>
      <c r="M2044" s="72" t="s">
        <v>15</v>
      </c>
      <c r="N2044" t="str">
        <f>VLOOKUP(M2044,LUTs!E$2:H$14,3,)</f>
        <v>02Skagit</v>
      </c>
      <c r="O2044" t="str">
        <f>VLOOKUP(M2044,LUTs!E$2:H$14,4,)</f>
        <v>01North Puget Sound</v>
      </c>
      <c r="P2044" s="73">
        <v>8.75</v>
      </c>
      <c r="Q2044" s="74">
        <f>VLOOKUP(B2044,Readme!A$40:C$51,2,)*P2044</f>
        <v>30.099999999999998</v>
      </c>
    </row>
    <row r="2045" spans="1:17" ht="12" customHeight="1" x14ac:dyDescent="0.35">
      <c r="A2045" s="75">
        <v>2044</v>
      </c>
      <c r="B2045" s="64">
        <v>2015</v>
      </c>
      <c r="C2045" s="64">
        <v>11</v>
      </c>
      <c r="D2045" s="80">
        <f t="shared" si="65"/>
        <v>2015</v>
      </c>
      <c r="E2045" t="s">
        <v>38</v>
      </c>
      <c r="F2045" t="s">
        <v>143</v>
      </c>
      <c r="G2045" t="s">
        <v>10</v>
      </c>
      <c r="H2045" s="72" t="s">
        <v>210</v>
      </c>
      <c r="I2045" s="72" t="s">
        <v>52</v>
      </c>
      <c r="J2045" t="str">
        <f t="shared" si="66"/>
        <v>Nooksack River</v>
      </c>
      <c r="K2045" t="str">
        <f>IFERROR(VLOOKUP(J2045,LUTs!$A$1:$C$73,2,FALSE),"NA")</f>
        <v>Whatcom</v>
      </c>
      <c r="L2045" t="str">
        <f>IFERROR(VLOOKUP(J2045,LUTs!$A$1:$C$73,3,FALSE),"NA")</f>
        <v>1North Puget Sound</v>
      </c>
      <c r="M2045" s="72" t="s">
        <v>13</v>
      </c>
      <c r="N2045" t="str">
        <f>VLOOKUP(M2045,LUTs!E$2:H$14,3,)</f>
        <v>01Whatcom</v>
      </c>
      <c r="O2045" t="str">
        <f>VLOOKUP(M2045,LUTs!E$2:H$14,4,)</f>
        <v>01North Puget Sound</v>
      </c>
      <c r="P2045" s="73">
        <v>122.5</v>
      </c>
      <c r="Q2045" s="74">
        <f>VLOOKUP(B2045,Readme!A$40:C$51,2,)*P2045</f>
        <v>421.4</v>
      </c>
    </row>
    <row r="2046" spans="1:17" ht="12" customHeight="1" x14ac:dyDescent="0.35">
      <c r="A2046" s="75">
        <v>2045</v>
      </c>
      <c r="B2046" s="64">
        <v>2015</v>
      </c>
      <c r="C2046" s="64">
        <v>12</v>
      </c>
      <c r="D2046" s="80">
        <f t="shared" si="65"/>
        <v>2015</v>
      </c>
      <c r="E2046" t="s">
        <v>38</v>
      </c>
      <c r="F2046" t="s">
        <v>143</v>
      </c>
      <c r="G2046" t="s">
        <v>10</v>
      </c>
      <c r="H2046" s="72" t="s">
        <v>210</v>
      </c>
      <c r="I2046" s="72" t="s">
        <v>52</v>
      </c>
      <c r="J2046" t="str">
        <f t="shared" si="66"/>
        <v>Nooksack River</v>
      </c>
      <c r="K2046" t="str">
        <f>IFERROR(VLOOKUP(J2046,LUTs!$A$1:$C$73,2,FALSE),"NA")</f>
        <v>Whatcom</v>
      </c>
      <c r="L2046" t="str">
        <f>IFERROR(VLOOKUP(J2046,LUTs!$A$1:$C$73,3,FALSE),"NA")</f>
        <v>1North Puget Sound</v>
      </c>
      <c r="M2046" s="72" t="s">
        <v>17</v>
      </c>
      <c r="N2046" t="str">
        <f>VLOOKUP(M2046,LUTs!E$2:H$14,3,)</f>
        <v>04Island</v>
      </c>
      <c r="O2046" t="str">
        <f>VLOOKUP(M2046,LUTs!E$2:H$14,4,)</f>
        <v>01North Puget Sound</v>
      </c>
      <c r="P2046" s="73">
        <v>9</v>
      </c>
      <c r="Q2046" s="74">
        <f>VLOOKUP(B2046,Readme!A$40:C$51,2,)*P2046</f>
        <v>30.96</v>
      </c>
    </row>
    <row r="2047" spans="1:17" ht="12" customHeight="1" x14ac:dyDescent="0.35">
      <c r="A2047" s="75">
        <v>2046</v>
      </c>
      <c r="B2047" s="64">
        <v>2015</v>
      </c>
      <c r="C2047" s="64">
        <v>12</v>
      </c>
      <c r="D2047" s="80">
        <f t="shared" si="65"/>
        <v>2015</v>
      </c>
      <c r="E2047" t="s">
        <v>38</v>
      </c>
      <c r="F2047" t="s">
        <v>143</v>
      </c>
      <c r="G2047" t="s">
        <v>10</v>
      </c>
      <c r="H2047" s="72" t="s">
        <v>210</v>
      </c>
      <c r="I2047" s="72" t="s">
        <v>52</v>
      </c>
      <c r="J2047" t="str">
        <f t="shared" si="66"/>
        <v>Nooksack River</v>
      </c>
      <c r="K2047" t="str">
        <f>IFERROR(VLOOKUP(J2047,LUTs!$A$1:$C$73,2,FALSE),"NA")</f>
        <v>Whatcom</v>
      </c>
      <c r="L2047" t="str">
        <f>IFERROR(VLOOKUP(J2047,LUTs!$A$1:$C$73,3,FALSE),"NA")</f>
        <v>1North Puget Sound</v>
      </c>
      <c r="M2047" s="72" t="s">
        <v>15</v>
      </c>
      <c r="N2047" t="str">
        <f>VLOOKUP(M2047,LUTs!E$2:H$14,3,)</f>
        <v>02Skagit</v>
      </c>
      <c r="O2047" t="str">
        <f>VLOOKUP(M2047,LUTs!E$2:H$14,4,)</f>
        <v>01North Puget Sound</v>
      </c>
      <c r="P2047" s="73">
        <v>18</v>
      </c>
      <c r="Q2047" s="74">
        <f>VLOOKUP(B2047,Readme!A$40:C$51,2,)*P2047</f>
        <v>61.92</v>
      </c>
    </row>
    <row r="2048" spans="1:17" ht="12" customHeight="1" x14ac:dyDescent="0.35">
      <c r="A2048" s="75">
        <v>2047</v>
      </c>
      <c r="B2048" s="64">
        <v>2015</v>
      </c>
      <c r="C2048" s="64">
        <v>12</v>
      </c>
      <c r="D2048" s="80">
        <f t="shared" si="65"/>
        <v>2015</v>
      </c>
      <c r="E2048" t="s">
        <v>38</v>
      </c>
      <c r="F2048" t="s">
        <v>143</v>
      </c>
      <c r="G2048" t="s">
        <v>10</v>
      </c>
      <c r="H2048" s="72" t="s">
        <v>210</v>
      </c>
      <c r="I2048" s="72" t="s">
        <v>52</v>
      </c>
      <c r="J2048" t="str">
        <f t="shared" si="66"/>
        <v>Nooksack River</v>
      </c>
      <c r="K2048" t="str">
        <f>IFERROR(VLOOKUP(J2048,LUTs!$A$1:$C$73,2,FALSE),"NA")</f>
        <v>Whatcom</v>
      </c>
      <c r="L2048" t="str">
        <f>IFERROR(VLOOKUP(J2048,LUTs!$A$1:$C$73,3,FALSE),"NA")</f>
        <v>1North Puget Sound</v>
      </c>
      <c r="M2048" s="72" t="s">
        <v>13</v>
      </c>
      <c r="N2048" t="str">
        <f>VLOOKUP(M2048,LUTs!E$2:H$14,3,)</f>
        <v>01Whatcom</v>
      </c>
      <c r="O2048" t="str">
        <f>VLOOKUP(M2048,LUTs!E$2:H$14,4,)</f>
        <v>01North Puget Sound</v>
      </c>
      <c r="P2048" s="73">
        <v>18</v>
      </c>
      <c r="Q2048" s="74">
        <f>VLOOKUP(B2048,Readme!A$40:C$51,2,)*P2048</f>
        <v>61.92</v>
      </c>
    </row>
    <row r="2049" spans="1:17" ht="12" customHeight="1" x14ac:dyDescent="0.35">
      <c r="A2049" s="75">
        <v>2048</v>
      </c>
      <c r="B2049" s="64">
        <v>2015</v>
      </c>
      <c r="C2049" s="64">
        <v>8</v>
      </c>
      <c r="D2049" s="80">
        <f t="shared" si="65"/>
        <v>2015</v>
      </c>
      <c r="E2049" t="s">
        <v>38</v>
      </c>
      <c r="F2049" t="s">
        <v>143</v>
      </c>
      <c r="G2049" t="s">
        <v>10</v>
      </c>
      <c r="H2049" s="72" t="s">
        <v>211</v>
      </c>
      <c r="I2049" s="72" t="s">
        <v>53</v>
      </c>
      <c r="J2049" t="str">
        <f t="shared" si="66"/>
        <v>Carbon River</v>
      </c>
      <c r="K2049" t="str">
        <f>IFERROR(VLOOKUP(J2049,LUTs!$A$1:$C$73,2,FALSE),"NA")</f>
        <v>Pierce</v>
      </c>
      <c r="L2049" t="str">
        <f>IFERROR(VLOOKUP(J2049,LUTs!$A$1:$C$73,3,FALSE),"NA")</f>
        <v>3South Puget Sound</v>
      </c>
      <c r="M2049" s="72" t="s">
        <v>20</v>
      </c>
      <c r="N2049" t="str">
        <f>VLOOKUP(M2049,LUTs!E$2:H$14,3,)</f>
        <v>07Pierce</v>
      </c>
      <c r="O2049" t="str">
        <f>VLOOKUP(M2049,LUTs!E$2:H$14,4,)</f>
        <v>02South Puget Sound</v>
      </c>
      <c r="P2049" s="73">
        <v>27</v>
      </c>
      <c r="Q2049" s="74">
        <f>VLOOKUP(B2049,Readme!A$40:C$51,2,)*P2049</f>
        <v>92.88</v>
      </c>
    </row>
    <row r="2050" spans="1:17" ht="12" customHeight="1" x14ac:dyDescent="0.35">
      <c r="A2050" s="75">
        <v>2049</v>
      </c>
      <c r="B2050" s="64">
        <v>2015</v>
      </c>
      <c r="C2050" s="64">
        <v>9</v>
      </c>
      <c r="D2050" s="80">
        <f t="shared" ref="D2050:D2113" si="67">IF(C2050&gt;3,B2050,B2050-1)</f>
        <v>2015</v>
      </c>
      <c r="E2050" t="s">
        <v>38</v>
      </c>
      <c r="F2050" t="s">
        <v>143</v>
      </c>
      <c r="G2050" t="s">
        <v>10</v>
      </c>
      <c r="H2050" s="72" t="s">
        <v>211</v>
      </c>
      <c r="I2050" s="72" t="s">
        <v>53</v>
      </c>
      <c r="J2050" t="str">
        <f t="shared" si="66"/>
        <v>Carbon River</v>
      </c>
      <c r="K2050" t="str">
        <f>IFERROR(VLOOKUP(J2050,LUTs!$A$1:$C$73,2,FALSE),"NA")</f>
        <v>Pierce</v>
      </c>
      <c r="L2050" t="str">
        <f>IFERROR(VLOOKUP(J2050,LUTs!$A$1:$C$73,3,FALSE),"NA")</f>
        <v>3South Puget Sound</v>
      </c>
      <c r="M2050" s="72" t="s">
        <v>18</v>
      </c>
      <c r="N2050" t="str">
        <f>VLOOKUP(M2050,LUTs!E$2:H$14,3,)</f>
        <v>06King</v>
      </c>
      <c r="O2050" t="str">
        <f>VLOOKUP(M2050,LUTs!E$2:H$14,4,)</f>
        <v>02South Puget Sound</v>
      </c>
      <c r="P2050" s="73">
        <v>1513.9243498818</v>
      </c>
      <c r="Q2050" s="74">
        <f>VLOOKUP(B2050,Readme!A$40:C$51,2,)*P2050</f>
        <v>5207.899763593392</v>
      </c>
    </row>
    <row r="2051" spans="1:17" ht="12" customHeight="1" x14ac:dyDescent="0.35">
      <c r="A2051" s="75">
        <v>2050</v>
      </c>
      <c r="B2051" s="64">
        <v>2015</v>
      </c>
      <c r="C2051" s="64">
        <v>9</v>
      </c>
      <c r="D2051" s="80">
        <f t="shared" si="67"/>
        <v>2015</v>
      </c>
      <c r="E2051" t="s">
        <v>38</v>
      </c>
      <c r="F2051" t="s">
        <v>143</v>
      </c>
      <c r="G2051" t="s">
        <v>10</v>
      </c>
      <c r="H2051" s="72" t="s">
        <v>211</v>
      </c>
      <c r="I2051" s="72" t="s">
        <v>53</v>
      </c>
      <c r="J2051" t="str">
        <f t="shared" ref="J2051:J2114" si="68">I2051</f>
        <v>Carbon River</v>
      </c>
      <c r="K2051" t="str">
        <f>IFERROR(VLOOKUP(J2051,LUTs!$A$1:$C$73,2,FALSE),"NA")</f>
        <v>Pierce</v>
      </c>
      <c r="L2051" t="str">
        <f>IFERROR(VLOOKUP(J2051,LUTs!$A$1:$C$73,3,FALSE),"NA")</f>
        <v>3South Puget Sound</v>
      </c>
      <c r="M2051" s="72" t="s">
        <v>23</v>
      </c>
      <c r="N2051" t="str">
        <f>VLOOKUP(M2051,LUTs!E$2:H$14,3,)</f>
        <v>10Kitsap</v>
      </c>
      <c r="O2051" t="str">
        <f>VLOOKUP(M2051,LUTs!E$2:H$14,4,)</f>
        <v>02South Puget Sound</v>
      </c>
      <c r="P2051" s="73">
        <v>53.4326241134752</v>
      </c>
      <c r="Q2051" s="74">
        <f>VLOOKUP(B2051,Readme!A$40:C$51,2,)*P2051</f>
        <v>183.80822695035468</v>
      </c>
    </row>
    <row r="2052" spans="1:17" ht="12" customHeight="1" x14ac:dyDescent="0.35">
      <c r="A2052" s="75">
        <v>2051</v>
      </c>
      <c r="B2052" s="64">
        <v>2015</v>
      </c>
      <c r="C2052" s="64">
        <v>9</v>
      </c>
      <c r="D2052" s="80">
        <f t="shared" si="67"/>
        <v>2015</v>
      </c>
      <c r="E2052" t="s">
        <v>38</v>
      </c>
      <c r="F2052" t="s">
        <v>143</v>
      </c>
      <c r="G2052" t="s">
        <v>10</v>
      </c>
      <c r="H2052" s="72" t="s">
        <v>211</v>
      </c>
      <c r="I2052" s="72" t="s">
        <v>53</v>
      </c>
      <c r="J2052" t="str">
        <f t="shared" si="68"/>
        <v>Carbon River</v>
      </c>
      <c r="K2052" t="str">
        <f>IFERROR(VLOOKUP(J2052,LUTs!$A$1:$C$73,2,FALSE),"NA")</f>
        <v>Pierce</v>
      </c>
      <c r="L2052" t="str">
        <f>IFERROR(VLOOKUP(J2052,LUTs!$A$1:$C$73,3,FALSE),"NA")</f>
        <v>3South Puget Sound</v>
      </c>
      <c r="M2052" s="72" t="s">
        <v>22</v>
      </c>
      <c r="N2052" t="str">
        <f>VLOOKUP(M2052,LUTs!E$2:H$14,3,)</f>
        <v>09Mason</v>
      </c>
      <c r="O2052" t="str">
        <f>VLOOKUP(M2052,LUTs!E$2:H$14,4,)</f>
        <v>02South Puget Sound</v>
      </c>
      <c r="P2052" s="73">
        <v>89.054373522458704</v>
      </c>
      <c r="Q2052" s="74">
        <f>VLOOKUP(B2052,Readme!A$40:C$51,2,)*P2052</f>
        <v>306.34704491725796</v>
      </c>
    </row>
    <row r="2053" spans="1:17" ht="12" customHeight="1" x14ac:dyDescent="0.35">
      <c r="A2053" s="75">
        <v>2052</v>
      </c>
      <c r="B2053" s="64">
        <v>2015</v>
      </c>
      <c r="C2053" s="64">
        <v>9</v>
      </c>
      <c r="D2053" s="80">
        <f t="shared" si="67"/>
        <v>2015</v>
      </c>
      <c r="E2053" t="s">
        <v>38</v>
      </c>
      <c r="F2053" t="s">
        <v>143</v>
      </c>
      <c r="G2053" t="s">
        <v>10</v>
      </c>
      <c r="H2053" s="72" t="s">
        <v>211</v>
      </c>
      <c r="I2053" s="72" t="s">
        <v>53</v>
      </c>
      <c r="J2053" t="str">
        <f t="shared" si="68"/>
        <v>Carbon River</v>
      </c>
      <c r="K2053" t="str">
        <f>IFERROR(VLOOKUP(J2053,LUTs!$A$1:$C$73,2,FALSE),"NA")</f>
        <v>Pierce</v>
      </c>
      <c r="L2053" t="str">
        <f>IFERROR(VLOOKUP(J2053,LUTs!$A$1:$C$73,3,FALSE),"NA")</f>
        <v>3South Puget Sound</v>
      </c>
      <c r="M2053" s="72" t="s">
        <v>26</v>
      </c>
      <c r="N2053" t="str">
        <f>VLOOKUP(M2053,LUTs!E$2:H$14,3,)</f>
        <v>20Other</v>
      </c>
      <c r="O2053" t="str">
        <f>VLOOKUP(M2053,LUTs!E$2:H$14,4,)</f>
        <v>07Non Puget Sound</v>
      </c>
      <c r="P2053" s="73">
        <v>391.83924349881801</v>
      </c>
      <c r="Q2053" s="74">
        <f>VLOOKUP(B2053,Readme!A$40:C$51,2,)*P2053</f>
        <v>1347.926997635934</v>
      </c>
    </row>
    <row r="2054" spans="1:17" ht="12" customHeight="1" x14ac:dyDescent="0.35">
      <c r="A2054" s="75">
        <v>2053</v>
      </c>
      <c r="B2054" s="64">
        <v>2015</v>
      </c>
      <c r="C2054" s="64">
        <v>9</v>
      </c>
      <c r="D2054" s="80">
        <f t="shared" si="67"/>
        <v>2015</v>
      </c>
      <c r="E2054" t="s">
        <v>38</v>
      </c>
      <c r="F2054" t="s">
        <v>143</v>
      </c>
      <c r="G2054" t="s">
        <v>10</v>
      </c>
      <c r="H2054" s="72" t="s">
        <v>211</v>
      </c>
      <c r="I2054" s="72" t="s">
        <v>53</v>
      </c>
      <c r="J2054" t="str">
        <f t="shared" si="68"/>
        <v>Carbon River</v>
      </c>
      <c r="K2054" t="str">
        <f>IFERROR(VLOOKUP(J2054,LUTs!$A$1:$C$73,2,FALSE),"NA")</f>
        <v>Pierce</v>
      </c>
      <c r="L2054" t="str">
        <f>IFERROR(VLOOKUP(J2054,LUTs!$A$1:$C$73,3,FALSE),"NA")</f>
        <v>3South Puget Sound</v>
      </c>
      <c r="M2054" s="72" t="s">
        <v>20</v>
      </c>
      <c r="N2054" t="str">
        <f>VLOOKUP(M2054,LUTs!E$2:H$14,3,)</f>
        <v>07Pierce</v>
      </c>
      <c r="O2054" t="str">
        <f>VLOOKUP(M2054,LUTs!E$2:H$14,4,)</f>
        <v>02South Puget Sound</v>
      </c>
      <c r="P2054" s="73">
        <v>5369.9787234042597</v>
      </c>
      <c r="Q2054" s="74">
        <f>VLOOKUP(B2054,Readme!A$40:C$51,2,)*P2054</f>
        <v>18472.726808510652</v>
      </c>
    </row>
    <row r="2055" spans="1:17" ht="12" customHeight="1" x14ac:dyDescent="0.35">
      <c r="A2055" s="75">
        <v>2054</v>
      </c>
      <c r="B2055" s="64">
        <v>2015</v>
      </c>
      <c r="C2055" s="64">
        <v>9</v>
      </c>
      <c r="D2055" s="80">
        <f t="shared" si="67"/>
        <v>2015</v>
      </c>
      <c r="E2055" t="s">
        <v>38</v>
      </c>
      <c r="F2055" t="s">
        <v>143</v>
      </c>
      <c r="G2055" t="s">
        <v>10</v>
      </c>
      <c r="H2055" s="72" t="s">
        <v>211</v>
      </c>
      <c r="I2055" s="72" t="s">
        <v>53</v>
      </c>
      <c r="J2055" t="str">
        <f t="shared" si="68"/>
        <v>Carbon River</v>
      </c>
      <c r="K2055" t="str">
        <f>IFERROR(VLOOKUP(J2055,LUTs!$A$1:$C$73,2,FALSE),"NA")</f>
        <v>Pierce</v>
      </c>
      <c r="L2055" t="str">
        <f>IFERROR(VLOOKUP(J2055,LUTs!$A$1:$C$73,3,FALSE),"NA")</f>
        <v>3South Puget Sound</v>
      </c>
      <c r="M2055" s="72" t="s">
        <v>15</v>
      </c>
      <c r="N2055" t="str">
        <f>VLOOKUP(M2055,LUTs!E$2:H$14,3,)</f>
        <v>02Skagit</v>
      </c>
      <c r="O2055" t="str">
        <f>VLOOKUP(M2055,LUTs!E$2:H$14,4,)</f>
        <v>01North Puget Sound</v>
      </c>
      <c r="P2055" s="73">
        <v>8.9054373522458601</v>
      </c>
      <c r="Q2055" s="74">
        <f>VLOOKUP(B2055,Readme!A$40:C$51,2,)*P2055</f>
        <v>30.63470449172576</v>
      </c>
    </row>
    <row r="2056" spans="1:17" ht="12" customHeight="1" x14ac:dyDescent="0.35">
      <c r="A2056" s="75">
        <v>2055</v>
      </c>
      <c r="B2056" s="64">
        <v>2015</v>
      </c>
      <c r="C2056" s="64">
        <v>9</v>
      </c>
      <c r="D2056" s="80">
        <f t="shared" si="67"/>
        <v>2015</v>
      </c>
      <c r="E2056" t="s">
        <v>38</v>
      </c>
      <c r="F2056" t="s">
        <v>143</v>
      </c>
      <c r="G2056" t="s">
        <v>10</v>
      </c>
      <c r="H2056" s="72" t="s">
        <v>211</v>
      </c>
      <c r="I2056" s="72" t="s">
        <v>53</v>
      </c>
      <c r="J2056" t="str">
        <f t="shared" si="68"/>
        <v>Carbon River</v>
      </c>
      <c r="K2056" t="str">
        <f>IFERROR(VLOOKUP(J2056,LUTs!$A$1:$C$73,2,FALSE),"NA")</f>
        <v>Pierce</v>
      </c>
      <c r="L2056" t="str">
        <f>IFERROR(VLOOKUP(J2056,LUTs!$A$1:$C$73,3,FALSE),"NA")</f>
        <v>3South Puget Sound</v>
      </c>
      <c r="M2056" s="72" t="s">
        <v>16</v>
      </c>
      <c r="N2056" t="str">
        <f>VLOOKUP(M2056,LUTs!E$2:H$14,3,)</f>
        <v>03Snohomish</v>
      </c>
      <c r="O2056" t="str">
        <f>VLOOKUP(M2056,LUTs!E$2:H$14,4,)</f>
        <v>01North Puget Sound</v>
      </c>
      <c r="P2056" s="73">
        <v>71.243498817966895</v>
      </c>
      <c r="Q2056" s="74">
        <f>VLOOKUP(B2056,Readme!A$40:C$51,2,)*P2056</f>
        <v>245.07763593380611</v>
      </c>
    </row>
    <row r="2057" spans="1:17" ht="12" customHeight="1" x14ac:dyDescent="0.35">
      <c r="A2057" s="75">
        <v>2056</v>
      </c>
      <c r="B2057" s="64">
        <v>2015</v>
      </c>
      <c r="C2057" s="64">
        <v>9</v>
      </c>
      <c r="D2057" s="80">
        <f t="shared" si="67"/>
        <v>2015</v>
      </c>
      <c r="E2057" t="s">
        <v>38</v>
      </c>
      <c r="F2057" t="s">
        <v>143</v>
      </c>
      <c r="G2057" t="s">
        <v>10</v>
      </c>
      <c r="H2057" s="72" t="s">
        <v>211</v>
      </c>
      <c r="I2057" s="72" t="s">
        <v>53</v>
      </c>
      <c r="J2057" t="str">
        <f t="shared" si="68"/>
        <v>Carbon River</v>
      </c>
      <c r="K2057" t="str">
        <f>IFERROR(VLOOKUP(J2057,LUTs!$A$1:$C$73,2,FALSE),"NA")</f>
        <v>Pierce</v>
      </c>
      <c r="L2057" t="str">
        <f>IFERROR(VLOOKUP(J2057,LUTs!$A$1:$C$73,3,FALSE),"NA")</f>
        <v>3South Puget Sound</v>
      </c>
      <c r="M2057" s="72" t="s">
        <v>21</v>
      </c>
      <c r="N2057" t="str">
        <f>VLOOKUP(M2057,LUTs!E$2:H$14,3,)</f>
        <v>08Thurston</v>
      </c>
      <c r="O2057" t="str">
        <f>VLOOKUP(M2057,LUTs!E$2:H$14,4,)</f>
        <v>02South Puget Sound</v>
      </c>
      <c r="P2057" s="73">
        <v>35.621749408983497</v>
      </c>
      <c r="Q2057" s="74">
        <f>VLOOKUP(B2057,Readme!A$40:C$51,2,)*P2057</f>
        <v>122.53881796690322</v>
      </c>
    </row>
    <row r="2058" spans="1:17" ht="12" customHeight="1" x14ac:dyDescent="0.35">
      <c r="A2058" s="75">
        <v>2057</v>
      </c>
      <c r="B2058" s="64">
        <v>2015</v>
      </c>
      <c r="C2058" s="64">
        <v>10</v>
      </c>
      <c r="D2058" s="80">
        <f t="shared" si="67"/>
        <v>2015</v>
      </c>
      <c r="E2058" t="s">
        <v>38</v>
      </c>
      <c r="F2058" t="s">
        <v>143</v>
      </c>
      <c r="G2058" t="s">
        <v>10</v>
      </c>
      <c r="H2058" s="72" t="s">
        <v>211</v>
      </c>
      <c r="I2058" s="72" t="s">
        <v>53</v>
      </c>
      <c r="J2058" t="str">
        <f t="shared" si="68"/>
        <v>Carbon River</v>
      </c>
      <c r="K2058" t="str">
        <f>IFERROR(VLOOKUP(J2058,LUTs!$A$1:$C$73,2,FALSE),"NA")</f>
        <v>Pierce</v>
      </c>
      <c r="L2058" t="str">
        <f>IFERROR(VLOOKUP(J2058,LUTs!$A$1:$C$73,3,FALSE),"NA")</f>
        <v>3South Puget Sound</v>
      </c>
      <c r="M2058" s="72" t="s">
        <v>18</v>
      </c>
      <c r="N2058" t="str">
        <f>VLOOKUP(M2058,LUTs!E$2:H$14,3,)</f>
        <v>06King</v>
      </c>
      <c r="O2058" t="str">
        <f>VLOOKUP(M2058,LUTs!E$2:H$14,4,)</f>
        <v>02South Puget Sound</v>
      </c>
      <c r="P2058" s="73">
        <v>195.94505494505501</v>
      </c>
      <c r="Q2058" s="74">
        <f>VLOOKUP(B2058,Readme!A$40:C$51,2,)*P2058</f>
        <v>674.05098901098916</v>
      </c>
    </row>
    <row r="2059" spans="1:17" ht="12" customHeight="1" x14ac:dyDescent="0.35">
      <c r="A2059" s="75">
        <v>2058</v>
      </c>
      <c r="B2059" s="64">
        <v>2015</v>
      </c>
      <c r="C2059" s="64">
        <v>10</v>
      </c>
      <c r="D2059" s="80">
        <f t="shared" si="67"/>
        <v>2015</v>
      </c>
      <c r="E2059" t="s">
        <v>38</v>
      </c>
      <c r="F2059" t="s">
        <v>143</v>
      </c>
      <c r="G2059" t="s">
        <v>10</v>
      </c>
      <c r="H2059" s="72" t="s">
        <v>211</v>
      </c>
      <c r="I2059" s="72" t="s">
        <v>53</v>
      </c>
      <c r="J2059" t="str">
        <f t="shared" si="68"/>
        <v>Carbon River</v>
      </c>
      <c r="K2059" t="str">
        <f>IFERROR(VLOOKUP(J2059,LUTs!$A$1:$C$73,2,FALSE),"NA")</f>
        <v>Pierce</v>
      </c>
      <c r="L2059" t="str">
        <f>IFERROR(VLOOKUP(J2059,LUTs!$A$1:$C$73,3,FALSE),"NA")</f>
        <v>3South Puget Sound</v>
      </c>
      <c r="M2059" s="72" t="s">
        <v>23</v>
      </c>
      <c r="N2059" t="str">
        <f>VLOOKUP(M2059,LUTs!E$2:H$14,3,)</f>
        <v>10Kitsap</v>
      </c>
      <c r="O2059" t="str">
        <f>VLOOKUP(M2059,LUTs!E$2:H$14,4,)</f>
        <v>02South Puget Sound</v>
      </c>
      <c r="P2059" s="73">
        <v>8.9065934065934105</v>
      </c>
      <c r="Q2059" s="74">
        <f>VLOOKUP(B2059,Readme!A$40:C$51,2,)*P2059</f>
        <v>30.638681318681332</v>
      </c>
    </row>
    <row r="2060" spans="1:17" ht="12" customHeight="1" x14ac:dyDescent="0.35">
      <c r="A2060" s="75">
        <v>2059</v>
      </c>
      <c r="B2060" s="64">
        <v>2015</v>
      </c>
      <c r="C2060" s="64">
        <v>10</v>
      </c>
      <c r="D2060" s="80">
        <f t="shared" si="67"/>
        <v>2015</v>
      </c>
      <c r="E2060" t="s">
        <v>38</v>
      </c>
      <c r="F2060" t="s">
        <v>143</v>
      </c>
      <c r="G2060" t="s">
        <v>10</v>
      </c>
      <c r="H2060" s="72" t="s">
        <v>211</v>
      </c>
      <c r="I2060" s="72" t="s">
        <v>53</v>
      </c>
      <c r="J2060" t="str">
        <f t="shared" si="68"/>
        <v>Carbon River</v>
      </c>
      <c r="K2060" t="str">
        <f>IFERROR(VLOOKUP(J2060,LUTs!$A$1:$C$73,2,FALSE),"NA")</f>
        <v>Pierce</v>
      </c>
      <c r="L2060" t="str">
        <f>IFERROR(VLOOKUP(J2060,LUTs!$A$1:$C$73,3,FALSE),"NA")</f>
        <v>3South Puget Sound</v>
      </c>
      <c r="M2060" s="72" t="s">
        <v>22</v>
      </c>
      <c r="N2060" t="str">
        <f>VLOOKUP(M2060,LUTs!E$2:H$14,3,)</f>
        <v>09Mason</v>
      </c>
      <c r="O2060" t="str">
        <f>VLOOKUP(M2060,LUTs!E$2:H$14,4,)</f>
        <v>02South Puget Sound</v>
      </c>
      <c r="P2060" s="73">
        <v>44.532967032967001</v>
      </c>
      <c r="Q2060" s="74">
        <f>VLOOKUP(B2060,Readme!A$40:C$51,2,)*P2060</f>
        <v>153.19340659340648</v>
      </c>
    </row>
    <row r="2061" spans="1:17" ht="12" customHeight="1" x14ac:dyDescent="0.35">
      <c r="A2061" s="75">
        <v>2060</v>
      </c>
      <c r="B2061" s="64">
        <v>2015</v>
      </c>
      <c r="C2061" s="64">
        <v>10</v>
      </c>
      <c r="D2061" s="80">
        <f t="shared" si="67"/>
        <v>2015</v>
      </c>
      <c r="E2061" t="s">
        <v>38</v>
      </c>
      <c r="F2061" t="s">
        <v>143</v>
      </c>
      <c r="G2061" t="s">
        <v>10</v>
      </c>
      <c r="H2061" s="72" t="s">
        <v>211</v>
      </c>
      <c r="I2061" s="72" t="s">
        <v>53</v>
      </c>
      <c r="J2061" t="str">
        <f t="shared" si="68"/>
        <v>Carbon River</v>
      </c>
      <c r="K2061" t="str">
        <f>IFERROR(VLOOKUP(J2061,LUTs!$A$1:$C$73,2,FALSE),"NA")</f>
        <v>Pierce</v>
      </c>
      <c r="L2061" t="str">
        <f>IFERROR(VLOOKUP(J2061,LUTs!$A$1:$C$73,3,FALSE),"NA")</f>
        <v>3South Puget Sound</v>
      </c>
      <c r="M2061" s="72" t="s">
        <v>26</v>
      </c>
      <c r="N2061" t="str">
        <f>VLOOKUP(M2061,LUTs!E$2:H$14,3,)</f>
        <v>20Other</v>
      </c>
      <c r="O2061" t="str">
        <f>VLOOKUP(M2061,LUTs!E$2:H$14,4,)</f>
        <v>07Non Puget Sound</v>
      </c>
      <c r="P2061" s="73">
        <v>26.719780219780201</v>
      </c>
      <c r="Q2061" s="74">
        <f>VLOOKUP(B2061,Readme!A$40:C$51,2,)*P2061</f>
        <v>91.916043956043893</v>
      </c>
    </row>
    <row r="2062" spans="1:17" ht="12" customHeight="1" x14ac:dyDescent="0.35">
      <c r="A2062" s="75">
        <v>2061</v>
      </c>
      <c r="B2062" s="64">
        <v>2015</v>
      </c>
      <c r="C2062" s="64">
        <v>10</v>
      </c>
      <c r="D2062" s="80">
        <f t="shared" si="67"/>
        <v>2015</v>
      </c>
      <c r="E2062" t="s">
        <v>38</v>
      </c>
      <c r="F2062" t="s">
        <v>143</v>
      </c>
      <c r="G2062" t="s">
        <v>10</v>
      </c>
      <c r="H2062" s="72" t="s">
        <v>211</v>
      </c>
      <c r="I2062" s="72" t="s">
        <v>53</v>
      </c>
      <c r="J2062" t="str">
        <f t="shared" si="68"/>
        <v>Carbon River</v>
      </c>
      <c r="K2062" t="str">
        <f>IFERROR(VLOOKUP(J2062,LUTs!$A$1:$C$73,2,FALSE),"NA")</f>
        <v>Pierce</v>
      </c>
      <c r="L2062" t="str">
        <f>IFERROR(VLOOKUP(J2062,LUTs!$A$1:$C$73,3,FALSE),"NA")</f>
        <v>3South Puget Sound</v>
      </c>
      <c r="M2062" s="72" t="s">
        <v>20</v>
      </c>
      <c r="N2062" t="str">
        <f>VLOOKUP(M2062,LUTs!E$2:H$14,3,)</f>
        <v>07Pierce</v>
      </c>
      <c r="O2062" t="str">
        <f>VLOOKUP(M2062,LUTs!E$2:H$14,4,)</f>
        <v>02South Puget Sound</v>
      </c>
      <c r="P2062" s="73">
        <v>1344.8956043956</v>
      </c>
      <c r="Q2062" s="74">
        <f>VLOOKUP(B2062,Readme!A$40:C$51,2,)*P2062</f>
        <v>4626.4408791208643</v>
      </c>
    </row>
    <row r="2063" spans="1:17" ht="12" customHeight="1" x14ac:dyDescent="0.35">
      <c r="A2063" s="75">
        <v>2062</v>
      </c>
      <c r="B2063" s="64">
        <v>2015</v>
      </c>
      <c r="C2063" s="64">
        <v>11</v>
      </c>
      <c r="D2063" s="80">
        <f t="shared" si="67"/>
        <v>2015</v>
      </c>
      <c r="E2063" t="s">
        <v>38</v>
      </c>
      <c r="F2063" t="s">
        <v>143</v>
      </c>
      <c r="G2063" t="s">
        <v>10</v>
      </c>
      <c r="H2063" s="72" t="s">
        <v>211</v>
      </c>
      <c r="I2063" s="72" t="s">
        <v>53</v>
      </c>
      <c r="J2063" t="str">
        <f t="shared" si="68"/>
        <v>Carbon River</v>
      </c>
      <c r="K2063" t="str">
        <f>IFERROR(VLOOKUP(J2063,LUTs!$A$1:$C$73,2,FALSE),"NA")</f>
        <v>Pierce</v>
      </c>
      <c r="L2063" t="str">
        <f>IFERROR(VLOOKUP(J2063,LUTs!$A$1:$C$73,3,FALSE),"NA")</f>
        <v>3South Puget Sound</v>
      </c>
      <c r="M2063" s="72" t="s">
        <v>20</v>
      </c>
      <c r="N2063" t="str">
        <f>VLOOKUP(M2063,LUTs!E$2:H$14,3,)</f>
        <v>07Pierce</v>
      </c>
      <c r="O2063" t="str">
        <f>VLOOKUP(M2063,LUTs!E$2:H$14,4,)</f>
        <v>02South Puget Sound</v>
      </c>
      <c r="P2063" s="73">
        <v>9</v>
      </c>
      <c r="Q2063" s="74">
        <f>VLOOKUP(B2063,Readme!A$40:C$51,2,)*P2063</f>
        <v>30.96</v>
      </c>
    </row>
    <row r="2064" spans="1:17" ht="12" customHeight="1" x14ac:dyDescent="0.35">
      <c r="A2064" s="75">
        <v>2063</v>
      </c>
      <c r="B2064" s="64">
        <v>2015</v>
      </c>
      <c r="C2064" s="64">
        <v>7</v>
      </c>
      <c r="D2064" s="80">
        <f t="shared" si="67"/>
        <v>2015</v>
      </c>
      <c r="E2064" t="s">
        <v>38</v>
      </c>
      <c r="F2064" t="s">
        <v>143</v>
      </c>
      <c r="G2064" t="s">
        <v>10</v>
      </c>
      <c r="H2064" s="72" t="s">
        <v>212</v>
      </c>
      <c r="I2064" s="72" t="s">
        <v>54</v>
      </c>
      <c r="J2064" t="str">
        <f t="shared" si="68"/>
        <v>Puyallup River</v>
      </c>
      <c r="K2064" t="str">
        <f>IFERROR(VLOOKUP(J2064,LUTs!$A$1:$C$73,2,FALSE),"NA")</f>
        <v>Pierce</v>
      </c>
      <c r="L2064" t="str">
        <f>IFERROR(VLOOKUP(J2064,LUTs!$A$1:$C$73,3,FALSE),"NA")</f>
        <v>3South Puget Sound</v>
      </c>
      <c r="M2064" s="72" t="s">
        <v>18</v>
      </c>
      <c r="N2064" t="str">
        <f>VLOOKUP(M2064,LUTs!E$2:H$14,3,)</f>
        <v>06King</v>
      </c>
      <c r="O2064" t="str">
        <f>VLOOKUP(M2064,LUTs!E$2:H$14,4,)</f>
        <v>02South Puget Sound</v>
      </c>
      <c r="P2064" s="73">
        <v>54</v>
      </c>
      <c r="Q2064" s="74">
        <f>VLOOKUP(B2064,Readme!A$40:C$51,2,)*P2064</f>
        <v>185.76</v>
      </c>
    </row>
    <row r="2065" spans="1:17" ht="12" customHeight="1" x14ac:dyDescent="0.35">
      <c r="A2065" s="75">
        <v>2064</v>
      </c>
      <c r="B2065" s="64">
        <v>2015</v>
      </c>
      <c r="C2065" s="64">
        <v>7</v>
      </c>
      <c r="D2065" s="80">
        <f t="shared" si="67"/>
        <v>2015</v>
      </c>
      <c r="E2065" t="s">
        <v>38</v>
      </c>
      <c r="F2065" t="s">
        <v>143</v>
      </c>
      <c r="G2065" t="s">
        <v>10</v>
      </c>
      <c r="H2065" s="72" t="s">
        <v>212</v>
      </c>
      <c r="I2065" s="72" t="s">
        <v>54</v>
      </c>
      <c r="J2065" t="str">
        <f t="shared" si="68"/>
        <v>Puyallup River</v>
      </c>
      <c r="K2065" t="str">
        <f>IFERROR(VLOOKUP(J2065,LUTs!$A$1:$C$73,2,FALSE),"NA")</f>
        <v>Pierce</v>
      </c>
      <c r="L2065" t="str">
        <f>IFERROR(VLOOKUP(J2065,LUTs!$A$1:$C$73,3,FALSE),"NA")</f>
        <v>3South Puget Sound</v>
      </c>
      <c r="M2065" s="72" t="s">
        <v>23</v>
      </c>
      <c r="N2065" t="str">
        <f>VLOOKUP(M2065,LUTs!E$2:H$14,3,)</f>
        <v>10Kitsap</v>
      </c>
      <c r="O2065" t="str">
        <f>VLOOKUP(M2065,LUTs!E$2:H$14,4,)</f>
        <v>02South Puget Sound</v>
      </c>
      <c r="P2065" s="73">
        <v>18</v>
      </c>
      <c r="Q2065" s="74">
        <f>VLOOKUP(B2065,Readme!A$40:C$51,2,)*P2065</f>
        <v>61.92</v>
      </c>
    </row>
    <row r="2066" spans="1:17" ht="12" customHeight="1" x14ac:dyDescent="0.35">
      <c r="A2066" s="75">
        <v>2065</v>
      </c>
      <c r="B2066" s="64">
        <v>2015</v>
      </c>
      <c r="C2066" s="64">
        <v>7</v>
      </c>
      <c r="D2066" s="80">
        <f t="shared" si="67"/>
        <v>2015</v>
      </c>
      <c r="E2066" t="s">
        <v>38</v>
      </c>
      <c r="F2066" t="s">
        <v>143</v>
      </c>
      <c r="G2066" t="s">
        <v>10</v>
      </c>
      <c r="H2066" s="72" t="s">
        <v>212</v>
      </c>
      <c r="I2066" s="72" t="s">
        <v>54</v>
      </c>
      <c r="J2066" t="str">
        <f t="shared" si="68"/>
        <v>Puyallup River</v>
      </c>
      <c r="K2066" t="str">
        <f>IFERROR(VLOOKUP(J2066,LUTs!$A$1:$C$73,2,FALSE),"NA")</f>
        <v>Pierce</v>
      </c>
      <c r="L2066" t="str">
        <f>IFERROR(VLOOKUP(J2066,LUTs!$A$1:$C$73,3,FALSE),"NA")</f>
        <v>3South Puget Sound</v>
      </c>
      <c r="M2066" s="72" t="s">
        <v>20</v>
      </c>
      <c r="N2066" t="str">
        <f>VLOOKUP(M2066,LUTs!E$2:H$14,3,)</f>
        <v>07Pierce</v>
      </c>
      <c r="O2066" t="str">
        <f>VLOOKUP(M2066,LUTs!E$2:H$14,4,)</f>
        <v>02South Puget Sound</v>
      </c>
      <c r="P2066" s="73">
        <v>144</v>
      </c>
      <c r="Q2066" s="74">
        <f>VLOOKUP(B2066,Readme!A$40:C$51,2,)*P2066</f>
        <v>495.36</v>
      </c>
    </row>
    <row r="2067" spans="1:17" ht="12" customHeight="1" x14ac:dyDescent="0.35">
      <c r="A2067" s="75">
        <v>2066</v>
      </c>
      <c r="B2067" s="64">
        <v>2015</v>
      </c>
      <c r="C2067" s="64">
        <v>8</v>
      </c>
      <c r="D2067" s="80">
        <f t="shared" si="67"/>
        <v>2015</v>
      </c>
      <c r="E2067" t="s">
        <v>38</v>
      </c>
      <c r="F2067" t="s">
        <v>143</v>
      </c>
      <c r="G2067" t="s">
        <v>10</v>
      </c>
      <c r="H2067" s="72" t="s">
        <v>212</v>
      </c>
      <c r="I2067" s="72" t="s">
        <v>54</v>
      </c>
      <c r="J2067" t="str">
        <f t="shared" si="68"/>
        <v>Puyallup River</v>
      </c>
      <c r="K2067" t="str">
        <f>IFERROR(VLOOKUP(J2067,LUTs!$A$1:$C$73,2,FALSE),"NA")</f>
        <v>Pierce</v>
      </c>
      <c r="L2067" t="str">
        <f>IFERROR(VLOOKUP(J2067,LUTs!$A$1:$C$73,3,FALSE),"NA")</f>
        <v>3South Puget Sound</v>
      </c>
      <c r="M2067" s="72" t="s">
        <v>18</v>
      </c>
      <c r="N2067" t="str">
        <f>VLOOKUP(M2067,LUTs!E$2:H$14,3,)</f>
        <v>06King</v>
      </c>
      <c r="O2067" t="str">
        <f>VLOOKUP(M2067,LUTs!E$2:H$14,4,)</f>
        <v>02South Puget Sound</v>
      </c>
      <c r="P2067" s="73">
        <v>20995.555044111999</v>
      </c>
      <c r="Q2067" s="74">
        <f>VLOOKUP(B2067,Readme!A$40:C$51,2,)*P2067</f>
        <v>72224.709351745274</v>
      </c>
    </row>
    <row r="2068" spans="1:17" ht="12" customHeight="1" x14ac:dyDescent="0.35">
      <c r="A2068" s="75">
        <v>2067</v>
      </c>
      <c r="B2068" s="64">
        <v>2015</v>
      </c>
      <c r="C2068" s="64">
        <v>8</v>
      </c>
      <c r="D2068" s="80">
        <f t="shared" si="67"/>
        <v>2015</v>
      </c>
      <c r="E2068" t="s">
        <v>38</v>
      </c>
      <c r="F2068" t="s">
        <v>143</v>
      </c>
      <c r="G2068" t="s">
        <v>10</v>
      </c>
      <c r="H2068" s="72" t="s">
        <v>212</v>
      </c>
      <c r="I2068" s="72" t="s">
        <v>54</v>
      </c>
      <c r="J2068" t="str">
        <f t="shared" si="68"/>
        <v>Puyallup River</v>
      </c>
      <c r="K2068" t="str">
        <f>IFERROR(VLOOKUP(J2068,LUTs!$A$1:$C$73,2,FALSE),"NA")</f>
        <v>Pierce</v>
      </c>
      <c r="L2068" t="str">
        <f>IFERROR(VLOOKUP(J2068,LUTs!$A$1:$C$73,3,FALSE),"NA")</f>
        <v>3South Puget Sound</v>
      </c>
      <c r="M2068" s="72" t="s">
        <v>23</v>
      </c>
      <c r="N2068" t="str">
        <f>VLOOKUP(M2068,LUTs!E$2:H$14,3,)</f>
        <v>10Kitsap</v>
      </c>
      <c r="O2068" t="str">
        <f>VLOOKUP(M2068,LUTs!E$2:H$14,4,)</f>
        <v>02South Puget Sound</v>
      </c>
      <c r="P2068" s="73">
        <v>1718.1452499680399</v>
      </c>
      <c r="Q2068" s="74">
        <f>VLOOKUP(B2068,Readme!A$40:C$51,2,)*P2068</f>
        <v>5910.4196598900571</v>
      </c>
    </row>
    <row r="2069" spans="1:17" ht="12" customHeight="1" x14ac:dyDescent="0.35">
      <c r="A2069" s="75">
        <v>2068</v>
      </c>
      <c r="B2069" s="64">
        <v>2015</v>
      </c>
      <c r="C2069" s="64">
        <v>8</v>
      </c>
      <c r="D2069" s="80">
        <f t="shared" si="67"/>
        <v>2015</v>
      </c>
      <c r="E2069" t="s">
        <v>38</v>
      </c>
      <c r="F2069" t="s">
        <v>143</v>
      </c>
      <c r="G2069" t="s">
        <v>10</v>
      </c>
      <c r="H2069" s="72" t="s">
        <v>212</v>
      </c>
      <c r="I2069" s="72" t="s">
        <v>54</v>
      </c>
      <c r="J2069" t="str">
        <f t="shared" si="68"/>
        <v>Puyallup River</v>
      </c>
      <c r="K2069" t="str">
        <f>IFERROR(VLOOKUP(J2069,LUTs!$A$1:$C$73,2,FALSE),"NA")</f>
        <v>Pierce</v>
      </c>
      <c r="L2069" t="str">
        <f>IFERROR(VLOOKUP(J2069,LUTs!$A$1:$C$73,3,FALSE),"NA")</f>
        <v>3South Puget Sound</v>
      </c>
      <c r="M2069" s="72" t="s">
        <v>22</v>
      </c>
      <c r="N2069" t="str">
        <f>VLOOKUP(M2069,LUTs!E$2:H$14,3,)</f>
        <v>09Mason</v>
      </c>
      <c r="O2069" t="str">
        <f>VLOOKUP(M2069,LUTs!E$2:H$14,4,)</f>
        <v>02South Puget Sound</v>
      </c>
      <c r="P2069" s="73">
        <v>404.79861910241698</v>
      </c>
      <c r="Q2069" s="74">
        <f>VLOOKUP(B2069,Readme!A$40:C$51,2,)*P2069</f>
        <v>1392.5072497123144</v>
      </c>
    </row>
    <row r="2070" spans="1:17" ht="12" customHeight="1" x14ac:dyDescent="0.35">
      <c r="A2070" s="75">
        <v>2069</v>
      </c>
      <c r="B2070" s="64">
        <v>2015</v>
      </c>
      <c r="C2070" s="64">
        <v>8</v>
      </c>
      <c r="D2070" s="80">
        <f t="shared" si="67"/>
        <v>2015</v>
      </c>
      <c r="E2070" t="s">
        <v>38</v>
      </c>
      <c r="F2070" t="s">
        <v>143</v>
      </c>
      <c r="G2070" t="s">
        <v>10</v>
      </c>
      <c r="H2070" s="72" t="s">
        <v>212</v>
      </c>
      <c r="I2070" s="72" t="s">
        <v>54</v>
      </c>
      <c r="J2070" t="str">
        <f t="shared" si="68"/>
        <v>Puyallup River</v>
      </c>
      <c r="K2070" t="str">
        <f>IFERROR(VLOOKUP(J2070,LUTs!$A$1:$C$73,2,FALSE),"NA")</f>
        <v>Pierce</v>
      </c>
      <c r="L2070" t="str">
        <f>IFERROR(VLOOKUP(J2070,LUTs!$A$1:$C$73,3,FALSE),"NA")</f>
        <v>3South Puget Sound</v>
      </c>
      <c r="M2070" s="72" t="s">
        <v>26</v>
      </c>
      <c r="N2070" t="str">
        <f>VLOOKUP(M2070,LUTs!E$2:H$14,3,)</f>
        <v>20Other</v>
      </c>
      <c r="O2070" t="str">
        <f>VLOOKUP(M2070,LUTs!E$2:H$14,4,)</f>
        <v>07Non Puget Sound</v>
      </c>
      <c r="P2070" s="73">
        <v>3751.1338703490601</v>
      </c>
      <c r="Q2070" s="74">
        <f>VLOOKUP(B2070,Readme!A$40:C$51,2,)*P2070</f>
        <v>12903.900514000767</v>
      </c>
    </row>
    <row r="2071" spans="1:17" ht="12" customHeight="1" x14ac:dyDescent="0.35">
      <c r="A2071" s="75">
        <v>2070</v>
      </c>
      <c r="B2071" s="64">
        <v>2015</v>
      </c>
      <c r="C2071" s="64">
        <v>8</v>
      </c>
      <c r="D2071" s="80">
        <f t="shared" si="67"/>
        <v>2015</v>
      </c>
      <c r="E2071" t="s">
        <v>38</v>
      </c>
      <c r="F2071" t="s">
        <v>143</v>
      </c>
      <c r="G2071" t="s">
        <v>10</v>
      </c>
      <c r="H2071" s="72" t="s">
        <v>212</v>
      </c>
      <c r="I2071" s="72" t="s">
        <v>54</v>
      </c>
      <c r="J2071" t="str">
        <f t="shared" si="68"/>
        <v>Puyallup River</v>
      </c>
      <c r="K2071" t="str">
        <f>IFERROR(VLOOKUP(J2071,LUTs!$A$1:$C$73,2,FALSE),"NA")</f>
        <v>Pierce</v>
      </c>
      <c r="L2071" t="str">
        <f>IFERROR(VLOOKUP(J2071,LUTs!$A$1:$C$73,3,FALSE),"NA")</f>
        <v>3South Puget Sound</v>
      </c>
      <c r="M2071" s="72" t="s">
        <v>20</v>
      </c>
      <c r="N2071" t="str">
        <f>VLOOKUP(M2071,LUTs!E$2:H$14,3,)</f>
        <v>07Pierce</v>
      </c>
      <c r="O2071" t="str">
        <f>VLOOKUP(M2071,LUTs!E$2:H$14,4,)</f>
        <v>02South Puget Sound</v>
      </c>
      <c r="P2071" s="73">
        <v>39103.546605293501</v>
      </c>
      <c r="Q2071" s="74">
        <f>VLOOKUP(B2071,Readme!A$40:C$51,2,)*P2071</f>
        <v>134516.20032220965</v>
      </c>
    </row>
    <row r="2072" spans="1:17" ht="12" customHeight="1" x14ac:dyDescent="0.35">
      <c r="A2072" s="75">
        <v>2071</v>
      </c>
      <c r="B2072" s="64">
        <v>2015</v>
      </c>
      <c r="C2072" s="64">
        <v>8</v>
      </c>
      <c r="D2072" s="80">
        <f t="shared" si="67"/>
        <v>2015</v>
      </c>
      <c r="E2072" t="s">
        <v>38</v>
      </c>
      <c r="F2072" t="s">
        <v>143</v>
      </c>
      <c r="G2072" t="s">
        <v>10</v>
      </c>
      <c r="H2072" s="72" t="s">
        <v>212</v>
      </c>
      <c r="I2072" s="72" t="s">
        <v>54</v>
      </c>
      <c r="J2072" t="str">
        <f t="shared" si="68"/>
        <v>Puyallup River</v>
      </c>
      <c r="K2072" t="str">
        <f>IFERROR(VLOOKUP(J2072,LUTs!$A$1:$C$73,2,FALSE),"NA")</f>
        <v>Pierce</v>
      </c>
      <c r="L2072" t="str">
        <f>IFERROR(VLOOKUP(J2072,LUTs!$A$1:$C$73,3,FALSE),"NA")</f>
        <v>3South Puget Sound</v>
      </c>
      <c r="M2072" s="72" t="s">
        <v>15</v>
      </c>
      <c r="N2072" t="str">
        <f>VLOOKUP(M2072,LUTs!E$2:H$14,3,)</f>
        <v>02Skagit</v>
      </c>
      <c r="O2072" t="str">
        <f>VLOOKUP(M2072,LUTs!E$2:H$14,4,)</f>
        <v>01North Puget Sound</v>
      </c>
      <c r="P2072" s="73">
        <v>242.87917146145</v>
      </c>
      <c r="Q2072" s="74">
        <f>VLOOKUP(B2072,Readme!A$40:C$51,2,)*P2072</f>
        <v>835.50434982738795</v>
      </c>
    </row>
    <row r="2073" spans="1:17" ht="12" customHeight="1" x14ac:dyDescent="0.35">
      <c r="A2073" s="75">
        <v>2072</v>
      </c>
      <c r="B2073" s="64">
        <v>2015</v>
      </c>
      <c r="C2073" s="64">
        <v>8</v>
      </c>
      <c r="D2073" s="80">
        <f t="shared" si="67"/>
        <v>2015</v>
      </c>
      <c r="E2073" t="s">
        <v>38</v>
      </c>
      <c r="F2073" t="s">
        <v>143</v>
      </c>
      <c r="G2073" t="s">
        <v>10</v>
      </c>
      <c r="H2073" s="72" t="s">
        <v>212</v>
      </c>
      <c r="I2073" s="72" t="s">
        <v>54</v>
      </c>
      <c r="J2073" t="str">
        <f t="shared" si="68"/>
        <v>Puyallup River</v>
      </c>
      <c r="K2073" t="str">
        <f>IFERROR(VLOOKUP(J2073,LUTs!$A$1:$C$73,2,FALSE),"NA")</f>
        <v>Pierce</v>
      </c>
      <c r="L2073" t="str">
        <f>IFERROR(VLOOKUP(J2073,LUTs!$A$1:$C$73,3,FALSE),"NA")</f>
        <v>3South Puget Sound</v>
      </c>
      <c r="M2073" s="72" t="s">
        <v>16</v>
      </c>
      <c r="N2073" t="str">
        <f>VLOOKUP(M2073,LUTs!E$2:H$14,3,)</f>
        <v>03Snohomish</v>
      </c>
      <c r="O2073" t="str">
        <f>VLOOKUP(M2073,LUTs!E$2:H$14,4,)</f>
        <v>01North Puget Sound</v>
      </c>
      <c r="P2073" s="73">
        <v>422.789668840302</v>
      </c>
      <c r="Q2073" s="74">
        <f>VLOOKUP(B2073,Readme!A$40:C$51,2,)*P2073</f>
        <v>1454.3964608106389</v>
      </c>
    </row>
    <row r="2074" spans="1:17" ht="12" customHeight="1" x14ac:dyDescent="0.35">
      <c r="A2074" s="75">
        <v>2073</v>
      </c>
      <c r="B2074" s="64">
        <v>2015</v>
      </c>
      <c r="C2074" s="64">
        <v>8</v>
      </c>
      <c r="D2074" s="80">
        <f t="shared" si="67"/>
        <v>2015</v>
      </c>
      <c r="E2074" t="s">
        <v>38</v>
      </c>
      <c r="F2074" t="s">
        <v>143</v>
      </c>
      <c r="G2074" t="s">
        <v>10</v>
      </c>
      <c r="H2074" s="72" t="s">
        <v>212</v>
      </c>
      <c r="I2074" s="72" t="s">
        <v>54</v>
      </c>
      <c r="J2074" t="str">
        <f t="shared" si="68"/>
        <v>Puyallup River</v>
      </c>
      <c r="K2074" t="str">
        <f>IFERROR(VLOOKUP(J2074,LUTs!$A$1:$C$73,2,FALSE),"NA")</f>
        <v>Pierce</v>
      </c>
      <c r="L2074" t="str">
        <f>IFERROR(VLOOKUP(J2074,LUTs!$A$1:$C$73,3,FALSE),"NA")</f>
        <v>3South Puget Sound</v>
      </c>
      <c r="M2074" s="72" t="s">
        <v>21</v>
      </c>
      <c r="N2074" t="str">
        <f>VLOOKUP(M2074,LUTs!E$2:H$14,3,)</f>
        <v>08Thurston</v>
      </c>
      <c r="O2074" t="str">
        <f>VLOOKUP(M2074,LUTs!E$2:H$14,4,)</f>
        <v>02South Puget Sound</v>
      </c>
      <c r="P2074" s="73">
        <v>3715.1517708732899</v>
      </c>
      <c r="Q2074" s="74">
        <f>VLOOKUP(B2074,Readme!A$40:C$51,2,)*P2074</f>
        <v>12780.122091804116</v>
      </c>
    </row>
    <row r="2075" spans="1:17" ht="12" customHeight="1" x14ac:dyDescent="0.35">
      <c r="A2075" s="75">
        <v>2074</v>
      </c>
      <c r="B2075" s="64">
        <v>2015</v>
      </c>
      <c r="C2075" s="64">
        <v>9</v>
      </c>
      <c r="D2075" s="80">
        <f t="shared" si="67"/>
        <v>2015</v>
      </c>
      <c r="E2075" t="s">
        <v>38</v>
      </c>
      <c r="F2075" t="s">
        <v>143</v>
      </c>
      <c r="G2075" t="s">
        <v>10</v>
      </c>
      <c r="H2075" s="72" t="s">
        <v>212</v>
      </c>
      <c r="I2075" s="72" t="s">
        <v>54</v>
      </c>
      <c r="J2075" t="str">
        <f t="shared" si="68"/>
        <v>Puyallup River</v>
      </c>
      <c r="K2075" t="str">
        <f>IFERROR(VLOOKUP(J2075,LUTs!$A$1:$C$73,2,FALSE),"NA")</f>
        <v>Pierce</v>
      </c>
      <c r="L2075" t="str">
        <f>IFERROR(VLOOKUP(J2075,LUTs!$A$1:$C$73,3,FALSE),"NA")</f>
        <v>3South Puget Sound</v>
      </c>
      <c r="M2075" s="72" t="s">
        <v>18</v>
      </c>
      <c r="N2075" t="str">
        <f>VLOOKUP(M2075,LUTs!E$2:H$14,3,)</f>
        <v>06King</v>
      </c>
      <c r="O2075" t="str">
        <f>VLOOKUP(M2075,LUTs!E$2:H$14,4,)</f>
        <v>02South Puget Sound</v>
      </c>
      <c r="P2075" s="73">
        <v>8374.4202389318398</v>
      </c>
      <c r="Q2075" s="74">
        <f>VLOOKUP(B2075,Readme!A$40:C$51,2,)*P2075</f>
        <v>28808.005621925528</v>
      </c>
    </row>
    <row r="2076" spans="1:17" ht="12" customHeight="1" x14ac:dyDescent="0.35">
      <c r="A2076" s="75">
        <v>2075</v>
      </c>
      <c r="B2076" s="64">
        <v>2015</v>
      </c>
      <c r="C2076" s="64">
        <v>9</v>
      </c>
      <c r="D2076" s="80">
        <f t="shared" si="67"/>
        <v>2015</v>
      </c>
      <c r="E2076" t="s">
        <v>38</v>
      </c>
      <c r="F2076" t="s">
        <v>143</v>
      </c>
      <c r="G2076" t="s">
        <v>10</v>
      </c>
      <c r="H2076" s="72" t="s">
        <v>212</v>
      </c>
      <c r="I2076" s="72" t="s">
        <v>54</v>
      </c>
      <c r="J2076" t="str">
        <f t="shared" si="68"/>
        <v>Puyallup River</v>
      </c>
      <c r="K2076" t="str">
        <f>IFERROR(VLOOKUP(J2076,LUTs!$A$1:$C$73,2,FALSE),"NA")</f>
        <v>Pierce</v>
      </c>
      <c r="L2076" t="str">
        <f>IFERROR(VLOOKUP(J2076,LUTs!$A$1:$C$73,3,FALSE),"NA")</f>
        <v>3South Puget Sound</v>
      </c>
      <c r="M2076" s="72" t="s">
        <v>23</v>
      </c>
      <c r="N2076" t="str">
        <f>VLOOKUP(M2076,LUTs!E$2:H$14,3,)</f>
        <v>10Kitsap</v>
      </c>
      <c r="O2076" t="str">
        <f>VLOOKUP(M2076,LUTs!E$2:H$14,4,)</f>
        <v>02South Puget Sound</v>
      </c>
      <c r="P2076" s="73">
        <v>440.75895994378101</v>
      </c>
      <c r="Q2076" s="74">
        <f>VLOOKUP(B2076,Readme!A$40:C$51,2,)*P2076</f>
        <v>1516.2108222066067</v>
      </c>
    </row>
    <row r="2077" spans="1:17" ht="12" customHeight="1" x14ac:dyDescent="0.35">
      <c r="A2077" s="75">
        <v>2076</v>
      </c>
      <c r="B2077" s="64">
        <v>2015</v>
      </c>
      <c r="C2077" s="64">
        <v>9</v>
      </c>
      <c r="D2077" s="80">
        <f t="shared" si="67"/>
        <v>2015</v>
      </c>
      <c r="E2077" t="s">
        <v>38</v>
      </c>
      <c r="F2077" t="s">
        <v>143</v>
      </c>
      <c r="G2077" t="s">
        <v>10</v>
      </c>
      <c r="H2077" s="72" t="s">
        <v>212</v>
      </c>
      <c r="I2077" s="72" t="s">
        <v>54</v>
      </c>
      <c r="J2077" t="str">
        <f t="shared" si="68"/>
        <v>Puyallup River</v>
      </c>
      <c r="K2077" t="str">
        <f>IFERROR(VLOOKUP(J2077,LUTs!$A$1:$C$73,2,FALSE),"NA")</f>
        <v>Pierce</v>
      </c>
      <c r="L2077" t="str">
        <f>IFERROR(VLOOKUP(J2077,LUTs!$A$1:$C$73,3,FALSE),"NA")</f>
        <v>3South Puget Sound</v>
      </c>
      <c r="M2077" s="72" t="s">
        <v>22</v>
      </c>
      <c r="N2077" t="str">
        <f>VLOOKUP(M2077,LUTs!E$2:H$14,3,)</f>
        <v>09Mason</v>
      </c>
      <c r="O2077" t="str">
        <f>VLOOKUP(M2077,LUTs!E$2:H$14,4,)</f>
        <v>02South Puget Sound</v>
      </c>
      <c r="P2077" s="73">
        <v>170.90653548840501</v>
      </c>
      <c r="Q2077" s="74">
        <f>VLOOKUP(B2077,Readme!A$40:C$51,2,)*P2077</f>
        <v>587.91848208011322</v>
      </c>
    </row>
    <row r="2078" spans="1:17" ht="12" customHeight="1" x14ac:dyDescent="0.35">
      <c r="A2078" s="75">
        <v>2077</v>
      </c>
      <c r="B2078" s="64">
        <v>2015</v>
      </c>
      <c r="C2078" s="64">
        <v>9</v>
      </c>
      <c r="D2078" s="80">
        <f t="shared" si="67"/>
        <v>2015</v>
      </c>
      <c r="E2078" t="s">
        <v>38</v>
      </c>
      <c r="F2078" t="s">
        <v>143</v>
      </c>
      <c r="G2078" t="s">
        <v>10</v>
      </c>
      <c r="H2078" s="72" t="s">
        <v>212</v>
      </c>
      <c r="I2078" s="72" t="s">
        <v>54</v>
      </c>
      <c r="J2078" t="str">
        <f t="shared" si="68"/>
        <v>Puyallup River</v>
      </c>
      <c r="K2078" t="str">
        <f>IFERROR(VLOOKUP(J2078,LUTs!$A$1:$C$73,2,FALSE),"NA")</f>
        <v>Pierce</v>
      </c>
      <c r="L2078" t="str">
        <f>IFERROR(VLOOKUP(J2078,LUTs!$A$1:$C$73,3,FALSE),"NA")</f>
        <v>3South Puget Sound</v>
      </c>
      <c r="M2078" s="72" t="s">
        <v>26</v>
      </c>
      <c r="N2078" t="str">
        <f>VLOOKUP(M2078,LUTs!E$2:H$14,3,)</f>
        <v>20Other</v>
      </c>
      <c r="O2078" t="str">
        <f>VLOOKUP(M2078,LUTs!E$2:H$14,4,)</f>
        <v>07Non Puget Sound</v>
      </c>
      <c r="P2078" s="73">
        <v>1628.1096275474399</v>
      </c>
      <c r="Q2078" s="74">
        <f>VLOOKUP(B2078,Readme!A$40:C$51,2,)*P2078</f>
        <v>5600.6971187631934</v>
      </c>
    </row>
    <row r="2079" spans="1:17" ht="12" customHeight="1" x14ac:dyDescent="0.35">
      <c r="A2079" s="75">
        <v>2078</v>
      </c>
      <c r="B2079" s="64">
        <v>2015</v>
      </c>
      <c r="C2079" s="64">
        <v>9</v>
      </c>
      <c r="D2079" s="80">
        <f t="shared" si="67"/>
        <v>2015</v>
      </c>
      <c r="E2079" t="s">
        <v>38</v>
      </c>
      <c r="F2079" t="s">
        <v>143</v>
      </c>
      <c r="G2079" t="s">
        <v>10</v>
      </c>
      <c r="H2079" s="72" t="s">
        <v>212</v>
      </c>
      <c r="I2079" s="72" t="s">
        <v>54</v>
      </c>
      <c r="J2079" t="str">
        <f t="shared" si="68"/>
        <v>Puyallup River</v>
      </c>
      <c r="K2079" t="str">
        <f>IFERROR(VLOOKUP(J2079,LUTs!$A$1:$C$73,2,FALSE),"NA")</f>
        <v>Pierce</v>
      </c>
      <c r="L2079" t="str">
        <f>IFERROR(VLOOKUP(J2079,LUTs!$A$1:$C$73,3,FALSE),"NA")</f>
        <v>3South Puget Sound</v>
      </c>
      <c r="M2079" s="72" t="s">
        <v>20</v>
      </c>
      <c r="N2079" t="str">
        <f>VLOOKUP(M2079,LUTs!E$2:H$14,3,)</f>
        <v>07Pierce</v>
      </c>
      <c r="O2079" t="str">
        <f>VLOOKUP(M2079,LUTs!E$2:H$14,4,)</f>
        <v>02South Puget Sound</v>
      </c>
      <c r="P2079" s="73">
        <v>13654.532677441999</v>
      </c>
      <c r="Q2079" s="74">
        <f>VLOOKUP(B2079,Readme!A$40:C$51,2,)*P2079</f>
        <v>46971.592410400473</v>
      </c>
    </row>
    <row r="2080" spans="1:17" ht="12" customHeight="1" x14ac:dyDescent="0.35">
      <c r="A2080" s="75">
        <v>2079</v>
      </c>
      <c r="B2080" s="64">
        <v>2015</v>
      </c>
      <c r="C2080" s="64">
        <v>9</v>
      </c>
      <c r="D2080" s="80">
        <f t="shared" si="67"/>
        <v>2015</v>
      </c>
      <c r="E2080" t="s">
        <v>38</v>
      </c>
      <c r="F2080" t="s">
        <v>143</v>
      </c>
      <c r="G2080" t="s">
        <v>10</v>
      </c>
      <c r="H2080" s="72" t="s">
        <v>212</v>
      </c>
      <c r="I2080" s="72" t="s">
        <v>54</v>
      </c>
      <c r="J2080" t="str">
        <f t="shared" si="68"/>
        <v>Puyallup River</v>
      </c>
      <c r="K2080" t="str">
        <f>IFERROR(VLOOKUP(J2080,LUTs!$A$1:$C$73,2,FALSE),"NA")</f>
        <v>Pierce</v>
      </c>
      <c r="L2080" t="str">
        <f>IFERROR(VLOOKUP(J2080,LUTs!$A$1:$C$73,3,FALSE),"NA")</f>
        <v>3South Puget Sound</v>
      </c>
      <c r="M2080" s="72" t="s">
        <v>16</v>
      </c>
      <c r="N2080" t="str">
        <f>VLOOKUP(M2080,LUTs!E$2:H$14,3,)</f>
        <v>03Snohomish</v>
      </c>
      <c r="O2080" t="str">
        <f>VLOOKUP(M2080,LUTs!E$2:H$14,4,)</f>
        <v>01North Puget Sound</v>
      </c>
      <c r="P2080" s="73">
        <v>242.86718200983799</v>
      </c>
      <c r="Q2080" s="74">
        <f>VLOOKUP(B2080,Readme!A$40:C$51,2,)*P2080</f>
        <v>835.46310611384263</v>
      </c>
    </row>
    <row r="2081" spans="1:17" ht="12" customHeight="1" x14ac:dyDescent="0.35">
      <c r="A2081" s="75">
        <v>2080</v>
      </c>
      <c r="B2081" s="64">
        <v>2015</v>
      </c>
      <c r="C2081" s="64">
        <v>9</v>
      </c>
      <c r="D2081" s="80">
        <f t="shared" si="67"/>
        <v>2015</v>
      </c>
      <c r="E2081" t="s">
        <v>38</v>
      </c>
      <c r="F2081" t="s">
        <v>143</v>
      </c>
      <c r="G2081" t="s">
        <v>10</v>
      </c>
      <c r="H2081" s="72" t="s">
        <v>212</v>
      </c>
      <c r="I2081" s="72" t="s">
        <v>54</v>
      </c>
      <c r="J2081" t="str">
        <f t="shared" si="68"/>
        <v>Puyallup River</v>
      </c>
      <c r="K2081" t="str">
        <f>IFERROR(VLOOKUP(J2081,LUTs!$A$1:$C$73,2,FALSE),"NA")</f>
        <v>Pierce</v>
      </c>
      <c r="L2081" t="str">
        <f>IFERROR(VLOOKUP(J2081,LUTs!$A$1:$C$73,3,FALSE),"NA")</f>
        <v>3South Puget Sound</v>
      </c>
      <c r="M2081" s="72" t="s">
        <v>21</v>
      </c>
      <c r="N2081" t="str">
        <f>VLOOKUP(M2081,LUTs!E$2:H$14,3,)</f>
        <v>08Thurston</v>
      </c>
      <c r="O2081" t="str">
        <f>VLOOKUP(M2081,LUTs!E$2:H$14,4,)</f>
        <v>02South Puget Sound</v>
      </c>
      <c r="P2081" s="73">
        <v>1088.40477863668</v>
      </c>
      <c r="Q2081" s="74">
        <f>VLOOKUP(B2081,Readme!A$40:C$51,2,)*P2081</f>
        <v>3744.1124385101793</v>
      </c>
    </row>
    <row r="2082" spans="1:17" ht="12" customHeight="1" x14ac:dyDescent="0.35">
      <c r="A2082" s="75">
        <v>2081</v>
      </c>
      <c r="B2082" s="64">
        <v>2015</v>
      </c>
      <c r="C2082" s="64">
        <v>10</v>
      </c>
      <c r="D2082" s="80">
        <f t="shared" si="67"/>
        <v>2015</v>
      </c>
      <c r="E2082" t="s">
        <v>38</v>
      </c>
      <c r="F2082" t="s">
        <v>143</v>
      </c>
      <c r="G2082" t="s">
        <v>10</v>
      </c>
      <c r="H2082" s="72" t="s">
        <v>212</v>
      </c>
      <c r="I2082" s="72" t="s">
        <v>54</v>
      </c>
      <c r="J2082" t="str">
        <f t="shared" si="68"/>
        <v>Puyallup River</v>
      </c>
      <c r="K2082" t="str">
        <f>IFERROR(VLOOKUP(J2082,LUTs!$A$1:$C$73,2,FALSE),"NA")</f>
        <v>Pierce</v>
      </c>
      <c r="L2082" t="str">
        <f>IFERROR(VLOOKUP(J2082,LUTs!$A$1:$C$73,3,FALSE),"NA")</f>
        <v>3South Puget Sound</v>
      </c>
      <c r="M2082" s="72" t="s">
        <v>18</v>
      </c>
      <c r="N2082" t="str">
        <f>VLOOKUP(M2082,LUTs!E$2:H$14,3,)</f>
        <v>06King</v>
      </c>
      <c r="O2082" t="str">
        <f>VLOOKUP(M2082,LUTs!E$2:H$14,4,)</f>
        <v>02South Puget Sound</v>
      </c>
      <c r="P2082" s="73">
        <v>153.54255319148899</v>
      </c>
      <c r="Q2082" s="74">
        <f>VLOOKUP(B2082,Readme!A$40:C$51,2,)*P2082</f>
        <v>528.18638297872212</v>
      </c>
    </row>
    <row r="2083" spans="1:17" ht="12" customHeight="1" x14ac:dyDescent="0.35">
      <c r="A2083" s="75">
        <v>2082</v>
      </c>
      <c r="B2083" s="64">
        <v>2015</v>
      </c>
      <c r="C2083" s="64">
        <v>10</v>
      </c>
      <c r="D2083" s="80">
        <f t="shared" si="67"/>
        <v>2015</v>
      </c>
      <c r="E2083" t="s">
        <v>38</v>
      </c>
      <c r="F2083" t="s">
        <v>143</v>
      </c>
      <c r="G2083" t="s">
        <v>10</v>
      </c>
      <c r="H2083" s="72" t="s">
        <v>212</v>
      </c>
      <c r="I2083" s="72" t="s">
        <v>54</v>
      </c>
      <c r="J2083" t="str">
        <f t="shared" si="68"/>
        <v>Puyallup River</v>
      </c>
      <c r="K2083" t="str">
        <f>IFERROR(VLOOKUP(J2083,LUTs!$A$1:$C$73,2,FALSE),"NA")</f>
        <v>Pierce</v>
      </c>
      <c r="L2083" t="str">
        <f>IFERROR(VLOOKUP(J2083,LUTs!$A$1:$C$73,3,FALSE),"NA")</f>
        <v>3South Puget Sound</v>
      </c>
      <c r="M2083" s="72" t="s">
        <v>20</v>
      </c>
      <c r="N2083" t="str">
        <f>VLOOKUP(M2083,LUTs!E$2:H$14,3,)</f>
        <v>07Pierce</v>
      </c>
      <c r="O2083" t="str">
        <f>VLOOKUP(M2083,LUTs!E$2:H$14,4,)</f>
        <v>02South Puget Sound</v>
      </c>
      <c r="P2083" s="73">
        <v>695.45744680851101</v>
      </c>
      <c r="Q2083" s="74">
        <f>VLOOKUP(B2083,Readme!A$40:C$51,2,)*P2083</f>
        <v>2392.3736170212778</v>
      </c>
    </row>
    <row r="2084" spans="1:17" ht="12" customHeight="1" x14ac:dyDescent="0.35">
      <c r="A2084" s="75">
        <v>2083</v>
      </c>
      <c r="B2084" s="64">
        <v>2015</v>
      </c>
      <c r="C2084" s="64">
        <v>11</v>
      </c>
      <c r="D2084" s="80">
        <f t="shared" si="67"/>
        <v>2015</v>
      </c>
      <c r="E2084" t="s">
        <v>38</v>
      </c>
      <c r="F2084" t="s">
        <v>143</v>
      </c>
      <c r="G2084" t="s">
        <v>10</v>
      </c>
      <c r="H2084" s="72" t="s">
        <v>212</v>
      </c>
      <c r="I2084" s="72" t="s">
        <v>54</v>
      </c>
      <c r="J2084" t="str">
        <f t="shared" si="68"/>
        <v>Puyallup River</v>
      </c>
      <c r="K2084" t="str">
        <f>IFERROR(VLOOKUP(J2084,LUTs!$A$1:$C$73,2,FALSE),"NA")</f>
        <v>Pierce</v>
      </c>
      <c r="L2084" t="str">
        <f>IFERROR(VLOOKUP(J2084,LUTs!$A$1:$C$73,3,FALSE),"NA")</f>
        <v>3South Puget Sound</v>
      </c>
      <c r="M2084" s="72" t="s">
        <v>20</v>
      </c>
      <c r="N2084" t="str">
        <f>VLOOKUP(M2084,LUTs!E$2:H$14,3,)</f>
        <v>07Pierce</v>
      </c>
      <c r="O2084" t="str">
        <f>VLOOKUP(M2084,LUTs!E$2:H$14,4,)</f>
        <v>02South Puget Sound</v>
      </c>
      <c r="P2084" s="73">
        <v>19.1666666666667</v>
      </c>
      <c r="Q2084" s="74">
        <f>VLOOKUP(B2084,Readme!A$40:C$51,2,)*P2084</f>
        <v>65.933333333333451</v>
      </c>
    </row>
    <row r="2085" spans="1:17" ht="12" customHeight="1" x14ac:dyDescent="0.35">
      <c r="A2085" s="75">
        <v>2084</v>
      </c>
      <c r="B2085" s="64">
        <v>2015</v>
      </c>
      <c r="C2085" s="64">
        <v>11</v>
      </c>
      <c r="D2085" s="80">
        <f t="shared" si="67"/>
        <v>2015</v>
      </c>
      <c r="E2085" t="s">
        <v>38</v>
      </c>
      <c r="F2085" t="s">
        <v>143</v>
      </c>
      <c r="G2085" t="s">
        <v>10</v>
      </c>
      <c r="H2085" s="72" t="s">
        <v>212</v>
      </c>
      <c r="I2085" s="72" t="s">
        <v>54</v>
      </c>
      <c r="J2085" t="str">
        <f t="shared" si="68"/>
        <v>Puyallup River</v>
      </c>
      <c r="K2085" t="str">
        <f>IFERROR(VLOOKUP(J2085,LUTs!$A$1:$C$73,2,FALSE),"NA")</f>
        <v>Pierce</v>
      </c>
      <c r="L2085" t="str">
        <f>IFERROR(VLOOKUP(J2085,LUTs!$A$1:$C$73,3,FALSE),"NA")</f>
        <v>3South Puget Sound</v>
      </c>
      <c r="M2085" s="72" t="s">
        <v>15</v>
      </c>
      <c r="N2085" t="str">
        <f>VLOOKUP(M2085,LUTs!E$2:H$14,3,)</f>
        <v>02Skagit</v>
      </c>
      <c r="O2085" t="str">
        <f>VLOOKUP(M2085,LUTs!E$2:H$14,4,)</f>
        <v>01North Puget Sound</v>
      </c>
      <c r="P2085" s="73">
        <v>19.1666666666667</v>
      </c>
      <c r="Q2085" s="74">
        <f>VLOOKUP(B2085,Readme!A$40:C$51,2,)*P2085</f>
        <v>65.933333333333451</v>
      </c>
    </row>
    <row r="2086" spans="1:17" ht="12" customHeight="1" x14ac:dyDescent="0.35">
      <c r="A2086" s="75">
        <v>2085</v>
      </c>
      <c r="B2086" s="64">
        <v>2015</v>
      </c>
      <c r="C2086" s="64">
        <v>11</v>
      </c>
      <c r="D2086" s="80">
        <f t="shared" si="67"/>
        <v>2015</v>
      </c>
      <c r="E2086" t="s">
        <v>38</v>
      </c>
      <c r="F2086" t="s">
        <v>143</v>
      </c>
      <c r="G2086" t="s">
        <v>10</v>
      </c>
      <c r="H2086" s="72" t="s">
        <v>212</v>
      </c>
      <c r="I2086" s="72" t="s">
        <v>54</v>
      </c>
      <c r="J2086" t="str">
        <f t="shared" si="68"/>
        <v>Puyallup River</v>
      </c>
      <c r="K2086" t="str">
        <f>IFERROR(VLOOKUP(J2086,LUTs!$A$1:$C$73,2,FALSE),"NA")</f>
        <v>Pierce</v>
      </c>
      <c r="L2086" t="str">
        <f>IFERROR(VLOOKUP(J2086,LUTs!$A$1:$C$73,3,FALSE),"NA")</f>
        <v>3South Puget Sound</v>
      </c>
      <c r="M2086" s="72" t="s">
        <v>16</v>
      </c>
      <c r="N2086" t="str">
        <f>VLOOKUP(M2086,LUTs!E$2:H$14,3,)</f>
        <v>03Snohomish</v>
      </c>
      <c r="O2086" t="str">
        <f>VLOOKUP(M2086,LUTs!E$2:H$14,4,)</f>
        <v>01North Puget Sound</v>
      </c>
      <c r="P2086" s="73">
        <v>76.6666666666667</v>
      </c>
      <c r="Q2086" s="74">
        <f>VLOOKUP(B2086,Readme!A$40:C$51,2,)*P2086</f>
        <v>263.73333333333346</v>
      </c>
    </row>
    <row r="2087" spans="1:17" ht="12" customHeight="1" x14ac:dyDescent="0.35">
      <c r="A2087" s="75">
        <v>2086</v>
      </c>
      <c r="B2087" s="64">
        <v>2015</v>
      </c>
      <c r="C2087" s="64">
        <v>12</v>
      </c>
      <c r="D2087" s="80">
        <f t="shared" si="67"/>
        <v>2015</v>
      </c>
      <c r="E2087" t="s">
        <v>38</v>
      </c>
      <c r="F2087" t="s">
        <v>143</v>
      </c>
      <c r="G2087" t="s">
        <v>10</v>
      </c>
      <c r="H2087" s="72" t="s">
        <v>212</v>
      </c>
      <c r="I2087" s="72" t="s">
        <v>54</v>
      </c>
      <c r="J2087" t="str">
        <f t="shared" si="68"/>
        <v>Puyallup River</v>
      </c>
      <c r="K2087" t="str">
        <f>IFERROR(VLOOKUP(J2087,LUTs!$A$1:$C$73,2,FALSE),"NA")</f>
        <v>Pierce</v>
      </c>
      <c r="L2087" t="str">
        <f>IFERROR(VLOOKUP(J2087,LUTs!$A$1:$C$73,3,FALSE),"NA")</f>
        <v>3South Puget Sound</v>
      </c>
      <c r="M2087" s="72" t="s">
        <v>20</v>
      </c>
      <c r="N2087" t="str">
        <f>VLOOKUP(M2087,LUTs!E$2:H$14,3,)</f>
        <v>07Pierce</v>
      </c>
      <c r="O2087" t="str">
        <f>VLOOKUP(M2087,LUTs!E$2:H$14,4,)</f>
        <v>02South Puget Sound</v>
      </c>
      <c r="P2087" s="73">
        <v>19</v>
      </c>
      <c r="Q2087" s="74">
        <f>VLOOKUP(B2087,Readme!A$40:C$51,2,)*P2087</f>
        <v>65.36</v>
      </c>
    </row>
    <row r="2088" spans="1:17" ht="12" customHeight="1" x14ac:dyDescent="0.35">
      <c r="A2088" s="75">
        <v>2087</v>
      </c>
      <c r="B2088" s="64">
        <v>2015</v>
      </c>
      <c r="C2088" s="64">
        <v>8</v>
      </c>
      <c r="D2088" s="80">
        <f t="shared" si="67"/>
        <v>2015</v>
      </c>
      <c r="E2088" t="s">
        <v>38</v>
      </c>
      <c r="F2088" t="s">
        <v>143</v>
      </c>
      <c r="G2088" t="s">
        <v>10</v>
      </c>
      <c r="H2088" s="72" t="s">
        <v>213</v>
      </c>
      <c r="I2088" s="72" t="s">
        <v>55</v>
      </c>
      <c r="J2088" t="str">
        <f t="shared" si="68"/>
        <v>Quilcene River</v>
      </c>
      <c r="K2088" t="str">
        <f>IFERROR(VLOOKUP(J2088,LUTs!$A$1:$C$73,2,FALSE),"NA")</f>
        <v>Jefferson</v>
      </c>
      <c r="L2088" t="str">
        <f>IFERROR(VLOOKUP(J2088,LUTs!$A$1:$C$73,3,FALSE),"NA")</f>
        <v>4 Hood Canal</v>
      </c>
      <c r="M2088" s="72" t="s">
        <v>20</v>
      </c>
      <c r="N2088" t="str">
        <f>VLOOKUP(M2088,LUTs!E$2:H$14,3,)</f>
        <v>07Pierce</v>
      </c>
      <c r="O2088" t="str">
        <f>VLOOKUP(M2088,LUTs!E$2:H$14,4,)</f>
        <v>02South Puget Sound</v>
      </c>
      <c r="P2088" s="73">
        <v>9</v>
      </c>
      <c r="Q2088" s="74">
        <f>VLOOKUP(B2088,Readme!A$40:C$51,2,)*P2088</f>
        <v>30.96</v>
      </c>
    </row>
    <row r="2089" spans="1:17" ht="12" customHeight="1" x14ac:dyDescent="0.35">
      <c r="A2089" s="75">
        <v>2088</v>
      </c>
      <c r="B2089" s="64">
        <v>2015</v>
      </c>
      <c r="C2089" s="64">
        <v>9</v>
      </c>
      <c r="D2089" s="80">
        <f t="shared" si="67"/>
        <v>2015</v>
      </c>
      <c r="E2089" t="s">
        <v>38</v>
      </c>
      <c r="F2089" t="s">
        <v>143</v>
      </c>
      <c r="G2089" t="s">
        <v>10</v>
      </c>
      <c r="H2089" s="72" t="s">
        <v>213</v>
      </c>
      <c r="I2089" s="72" t="s">
        <v>55</v>
      </c>
      <c r="J2089" t="str">
        <f t="shared" si="68"/>
        <v>Quilcene River</v>
      </c>
      <c r="K2089" t="str">
        <f>IFERROR(VLOOKUP(J2089,LUTs!$A$1:$C$73,2,FALSE),"NA")</f>
        <v>Jefferson</v>
      </c>
      <c r="L2089" t="str">
        <f>IFERROR(VLOOKUP(J2089,LUTs!$A$1:$C$73,3,FALSE),"NA")</f>
        <v>4 Hood Canal</v>
      </c>
      <c r="M2089" s="72" t="s">
        <v>25</v>
      </c>
      <c r="N2089" t="str">
        <f>VLOOKUP(M2089,LUTs!E$2:H$14,3,)</f>
        <v>12Jefferson</v>
      </c>
      <c r="O2089" t="str">
        <f>VLOOKUP(M2089,LUTs!E$2:H$14,4,)</f>
        <v>03Strait of Juan de Fuca</v>
      </c>
      <c r="P2089" s="73">
        <v>82.875</v>
      </c>
      <c r="Q2089" s="74">
        <f>VLOOKUP(B2089,Readme!A$40:C$51,2,)*P2089</f>
        <v>285.08999999999997</v>
      </c>
    </row>
    <row r="2090" spans="1:17" ht="12" customHeight="1" x14ac:dyDescent="0.35">
      <c r="A2090" s="75">
        <v>2089</v>
      </c>
      <c r="B2090" s="64">
        <v>2015</v>
      </c>
      <c r="C2090" s="64">
        <v>9</v>
      </c>
      <c r="D2090" s="80">
        <f t="shared" si="67"/>
        <v>2015</v>
      </c>
      <c r="E2090" t="s">
        <v>38</v>
      </c>
      <c r="F2090" t="s">
        <v>143</v>
      </c>
      <c r="G2090" t="s">
        <v>10</v>
      </c>
      <c r="H2090" s="72" t="s">
        <v>213</v>
      </c>
      <c r="I2090" s="72" t="s">
        <v>55</v>
      </c>
      <c r="J2090" t="str">
        <f t="shared" si="68"/>
        <v>Quilcene River</v>
      </c>
      <c r="K2090" t="str">
        <f>IFERROR(VLOOKUP(J2090,LUTs!$A$1:$C$73,2,FALSE),"NA")</f>
        <v>Jefferson</v>
      </c>
      <c r="L2090" t="str">
        <f>IFERROR(VLOOKUP(J2090,LUTs!$A$1:$C$73,3,FALSE),"NA")</f>
        <v>4 Hood Canal</v>
      </c>
      <c r="M2090" s="72" t="s">
        <v>18</v>
      </c>
      <c r="N2090" t="str">
        <f>VLOOKUP(M2090,LUTs!E$2:H$14,3,)</f>
        <v>06King</v>
      </c>
      <c r="O2090" t="str">
        <f>VLOOKUP(M2090,LUTs!E$2:H$14,4,)</f>
        <v>02South Puget Sound</v>
      </c>
      <c r="P2090" s="73">
        <v>73.6666666666667</v>
      </c>
      <c r="Q2090" s="74">
        <f>VLOOKUP(B2090,Readme!A$40:C$51,2,)*P2090</f>
        <v>253.41333333333344</v>
      </c>
    </row>
    <row r="2091" spans="1:17" ht="12" customHeight="1" x14ac:dyDescent="0.35">
      <c r="A2091" s="75">
        <v>2090</v>
      </c>
      <c r="B2091" s="64">
        <v>2015</v>
      </c>
      <c r="C2091" s="64">
        <v>9</v>
      </c>
      <c r="D2091" s="80">
        <f t="shared" si="67"/>
        <v>2015</v>
      </c>
      <c r="E2091" t="s">
        <v>38</v>
      </c>
      <c r="F2091" t="s">
        <v>143</v>
      </c>
      <c r="G2091" t="s">
        <v>10</v>
      </c>
      <c r="H2091" s="72" t="s">
        <v>213</v>
      </c>
      <c r="I2091" s="72" t="s">
        <v>55</v>
      </c>
      <c r="J2091" t="str">
        <f t="shared" si="68"/>
        <v>Quilcene River</v>
      </c>
      <c r="K2091" t="str">
        <f>IFERROR(VLOOKUP(J2091,LUTs!$A$1:$C$73,2,FALSE),"NA")</f>
        <v>Jefferson</v>
      </c>
      <c r="L2091" t="str">
        <f>IFERROR(VLOOKUP(J2091,LUTs!$A$1:$C$73,3,FALSE),"NA")</f>
        <v>4 Hood Canal</v>
      </c>
      <c r="M2091" s="72" t="s">
        <v>23</v>
      </c>
      <c r="N2091" t="str">
        <f>VLOOKUP(M2091,LUTs!E$2:H$14,3,)</f>
        <v>10Kitsap</v>
      </c>
      <c r="O2091" t="str">
        <f>VLOOKUP(M2091,LUTs!E$2:H$14,4,)</f>
        <v>02South Puget Sound</v>
      </c>
      <c r="P2091" s="73">
        <v>359.125</v>
      </c>
      <c r="Q2091" s="74">
        <f>VLOOKUP(B2091,Readme!A$40:C$51,2,)*P2091</f>
        <v>1235.3899999999999</v>
      </c>
    </row>
    <row r="2092" spans="1:17" ht="12" customHeight="1" x14ac:dyDescent="0.35">
      <c r="A2092" s="75">
        <v>2091</v>
      </c>
      <c r="B2092" s="64">
        <v>2015</v>
      </c>
      <c r="C2092" s="64">
        <v>9</v>
      </c>
      <c r="D2092" s="80">
        <f t="shared" si="67"/>
        <v>2015</v>
      </c>
      <c r="E2092" t="s">
        <v>38</v>
      </c>
      <c r="F2092" t="s">
        <v>143</v>
      </c>
      <c r="G2092" t="s">
        <v>10</v>
      </c>
      <c r="H2092" s="72" t="s">
        <v>213</v>
      </c>
      <c r="I2092" s="72" t="s">
        <v>55</v>
      </c>
      <c r="J2092" t="str">
        <f t="shared" si="68"/>
        <v>Quilcene River</v>
      </c>
      <c r="K2092" t="str">
        <f>IFERROR(VLOOKUP(J2092,LUTs!$A$1:$C$73,2,FALSE),"NA")</f>
        <v>Jefferson</v>
      </c>
      <c r="L2092" t="str">
        <f>IFERROR(VLOOKUP(J2092,LUTs!$A$1:$C$73,3,FALSE),"NA")</f>
        <v>4 Hood Canal</v>
      </c>
      <c r="M2092" s="72" t="s">
        <v>26</v>
      </c>
      <c r="N2092" t="str">
        <f>VLOOKUP(M2092,LUTs!E$2:H$14,3,)</f>
        <v>20Other</v>
      </c>
      <c r="O2092" t="str">
        <f>VLOOKUP(M2092,LUTs!E$2:H$14,4,)</f>
        <v>07Non Puget Sound</v>
      </c>
      <c r="P2092" s="73">
        <v>110.5</v>
      </c>
      <c r="Q2092" s="74">
        <f>VLOOKUP(B2092,Readme!A$40:C$51,2,)*P2092</f>
        <v>380.12</v>
      </c>
    </row>
    <row r="2093" spans="1:17" ht="12" customHeight="1" x14ac:dyDescent="0.35">
      <c r="A2093" s="75">
        <v>2092</v>
      </c>
      <c r="B2093" s="64">
        <v>2015</v>
      </c>
      <c r="C2093" s="64">
        <v>9</v>
      </c>
      <c r="D2093" s="80">
        <f t="shared" si="67"/>
        <v>2015</v>
      </c>
      <c r="E2093" t="s">
        <v>38</v>
      </c>
      <c r="F2093" t="s">
        <v>143</v>
      </c>
      <c r="G2093" t="s">
        <v>10</v>
      </c>
      <c r="H2093" s="72" t="s">
        <v>213</v>
      </c>
      <c r="I2093" s="72" t="s">
        <v>55</v>
      </c>
      <c r="J2093" t="str">
        <f t="shared" si="68"/>
        <v>Quilcene River</v>
      </c>
      <c r="K2093" t="str">
        <f>IFERROR(VLOOKUP(J2093,LUTs!$A$1:$C$73,2,FALSE),"NA")</f>
        <v>Jefferson</v>
      </c>
      <c r="L2093" t="str">
        <f>IFERROR(VLOOKUP(J2093,LUTs!$A$1:$C$73,3,FALSE),"NA")</f>
        <v>4 Hood Canal</v>
      </c>
      <c r="M2093" s="72" t="s">
        <v>20</v>
      </c>
      <c r="N2093" t="str">
        <f>VLOOKUP(M2093,LUTs!E$2:H$14,3,)</f>
        <v>07Pierce</v>
      </c>
      <c r="O2093" t="str">
        <f>VLOOKUP(M2093,LUTs!E$2:H$14,4,)</f>
        <v>02South Puget Sound</v>
      </c>
      <c r="P2093" s="73">
        <v>27.625</v>
      </c>
      <c r="Q2093" s="74">
        <f>VLOOKUP(B2093,Readme!A$40:C$51,2,)*P2093</f>
        <v>95.03</v>
      </c>
    </row>
    <row r="2094" spans="1:17" ht="12" customHeight="1" x14ac:dyDescent="0.35">
      <c r="A2094" s="75">
        <v>2093</v>
      </c>
      <c r="B2094" s="64">
        <v>2015</v>
      </c>
      <c r="C2094" s="64">
        <v>9</v>
      </c>
      <c r="D2094" s="80">
        <f t="shared" si="67"/>
        <v>2015</v>
      </c>
      <c r="E2094" t="s">
        <v>38</v>
      </c>
      <c r="F2094" t="s">
        <v>143</v>
      </c>
      <c r="G2094" t="s">
        <v>10</v>
      </c>
      <c r="H2094" s="72" t="s">
        <v>213</v>
      </c>
      <c r="I2094" s="72" t="s">
        <v>55</v>
      </c>
      <c r="J2094" t="str">
        <f t="shared" si="68"/>
        <v>Quilcene River</v>
      </c>
      <c r="K2094" t="str">
        <f>IFERROR(VLOOKUP(J2094,LUTs!$A$1:$C$73,2,FALSE),"NA")</f>
        <v>Jefferson</v>
      </c>
      <c r="L2094" t="str">
        <f>IFERROR(VLOOKUP(J2094,LUTs!$A$1:$C$73,3,FALSE),"NA")</f>
        <v>4 Hood Canal</v>
      </c>
      <c r="M2094" s="72" t="s">
        <v>15</v>
      </c>
      <c r="N2094" t="str">
        <f>VLOOKUP(M2094,LUTs!E$2:H$14,3,)</f>
        <v>02Skagit</v>
      </c>
      <c r="O2094" t="str">
        <f>VLOOKUP(M2094,LUTs!E$2:H$14,4,)</f>
        <v>01North Puget Sound</v>
      </c>
      <c r="P2094" s="73">
        <v>9.2083333333333304</v>
      </c>
      <c r="Q2094" s="74">
        <f>VLOOKUP(B2094,Readme!A$40:C$51,2,)*P2094</f>
        <v>31.676666666666655</v>
      </c>
    </row>
    <row r="2095" spans="1:17" ht="12" customHeight="1" x14ac:dyDescent="0.35">
      <c r="A2095" s="75">
        <v>2094</v>
      </c>
      <c r="B2095" s="64">
        <v>2015</v>
      </c>
      <c r="C2095" s="64">
        <v>10</v>
      </c>
      <c r="D2095" s="80">
        <f t="shared" si="67"/>
        <v>2015</v>
      </c>
      <c r="E2095" t="s">
        <v>38</v>
      </c>
      <c r="F2095" t="s">
        <v>143</v>
      </c>
      <c r="G2095" t="s">
        <v>10</v>
      </c>
      <c r="H2095" s="72" t="s">
        <v>213</v>
      </c>
      <c r="I2095" s="72" t="s">
        <v>55</v>
      </c>
      <c r="J2095" t="str">
        <f t="shared" si="68"/>
        <v>Quilcene River</v>
      </c>
      <c r="K2095" t="str">
        <f>IFERROR(VLOOKUP(J2095,LUTs!$A$1:$C$73,2,FALSE),"NA")</f>
        <v>Jefferson</v>
      </c>
      <c r="L2095" t="str">
        <f>IFERROR(VLOOKUP(J2095,LUTs!$A$1:$C$73,3,FALSE),"NA")</f>
        <v>4 Hood Canal</v>
      </c>
      <c r="M2095" s="72" t="s">
        <v>17</v>
      </c>
      <c r="N2095" t="str">
        <f>VLOOKUP(M2095,LUTs!E$2:H$14,3,)</f>
        <v>04Island</v>
      </c>
      <c r="O2095" t="str">
        <f>VLOOKUP(M2095,LUTs!E$2:H$14,4,)</f>
        <v>01North Puget Sound</v>
      </c>
      <c r="P2095" s="73">
        <v>9.25</v>
      </c>
      <c r="Q2095" s="74">
        <f>VLOOKUP(B2095,Readme!A$40:C$51,2,)*P2095</f>
        <v>31.82</v>
      </c>
    </row>
    <row r="2096" spans="1:17" ht="12" customHeight="1" x14ac:dyDescent="0.35">
      <c r="A2096" s="75">
        <v>2095</v>
      </c>
      <c r="B2096" s="64">
        <v>2015</v>
      </c>
      <c r="C2096" s="64">
        <v>10</v>
      </c>
      <c r="D2096" s="80">
        <f t="shared" si="67"/>
        <v>2015</v>
      </c>
      <c r="E2096" t="s">
        <v>38</v>
      </c>
      <c r="F2096" t="s">
        <v>143</v>
      </c>
      <c r="G2096" t="s">
        <v>10</v>
      </c>
      <c r="H2096" s="72" t="s">
        <v>213</v>
      </c>
      <c r="I2096" s="72" t="s">
        <v>55</v>
      </c>
      <c r="J2096" t="str">
        <f t="shared" si="68"/>
        <v>Quilcene River</v>
      </c>
      <c r="K2096" t="str">
        <f>IFERROR(VLOOKUP(J2096,LUTs!$A$1:$C$73,2,FALSE),"NA")</f>
        <v>Jefferson</v>
      </c>
      <c r="L2096" t="str">
        <f>IFERROR(VLOOKUP(J2096,LUTs!$A$1:$C$73,3,FALSE),"NA")</f>
        <v>4 Hood Canal</v>
      </c>
      <c r="M2096" s="72" t="s">
        <v>25</v>
      </c>
      <c r="N2096" t="str">
        <f>VLOOKUP(M2096,LUTs!E$2:H$14,3,)</f>
        <v>12Jefferson</v>
      </c>
      <c r="O2096" t="str">
        <f>VLOOKUP(M2096,LUTs!E$2:H$14,4,)</f>
        <v>03Strait of Juan de Fuca</v>
      </c>
      <c r="P2096" s="73">
        <v>37</v>
      </c>
      <c r="Q2096" s="74">
        <f>VLOOKUP(B2096,Readme!A$40:C$51,2,)*P2096</f>
        <v>127.28</v>
      </c>
    </row>
    <row r="2097" spans="1:17" ht="12" customHeight="1" x14ac:dyDescent="0.35">
      <c r="A2097" s="75">
        <v>2096</v>
      </c>
      <c r="B2097" s="64">
        <v>2015</v>
      </c>
      <c r="C2097" s="64">
        <v>10</v>
      </c>
      <c r="D2097" s="80">
        <f t="shared" si="67"/>
        <v>2015</v>
      </c>
      <c r="E2097" t="s">
        <v>38</v>
      </c>
      <c r="F2097" t="s">
        <v>143</v>
      </c>
      <c r="G2097" t="s">
        <v>10</v>
      </c>
      <c r="H2097" s="72" t="s">
        <v>213</v>
      </c>
      <c r="I2097" s="72" t="s">
        <v>55</v>
      </c>
      <c r="J2097" t="str">
        <f t="shared" si="68"/>
        <v>Quilcene River</v>
      </c>
      <c r="K2097" t="str">
        <f>IFERROR(VLOOKUP(J2097,LUTs!$A$1:$C$73,2,FALSE),"NA")</f>
        <v>Jefferson</v>
      </c>
      <c r="L2097" t="str">
        <f>IFERROR(VLOOKUP(J2097,LUTs!$A$1:$C$73,3,FALSE),"NA")</f>
        <v>4 Hood Canal</v>
      </c>
      <c r="M2097" s="72" t="s">
        <v>23</v>
      </c>
      <c r="N2097" t="str">
        <f>VLOOKUP(M2097,LUTs!E$2:H$14,3,)</f>
        <v>10Kitsap</v>
      </c>
      <c r="O2097" t="str">
        <f>VLOOKUP(M2097,LUTs!E$2:H$14,4,)</f>
        <v>02South Puget Sound</v>
      </c>
      <c r="P2097" s="73">
        <v>9.25</v>
      </c>
      <c r="Q2097" s="74">
        <f>VLOOKUP(B2097,Readme!A$40:C$51,2,)*P2097</f>
        <v>31.82</v>
      </c>
    </row>
    <row r="2098" spans="1:17" ht="12" customHeight="1" x14ac:dyDescent="0.35">
      <c r="A2098" s="75">
        <v>2097</v>
      </c>
      <c r="B2098" s="64">
        <v>2015</v>
      </c>
      <c r="C2098" s="64">
        <v>10</v>
      </c>
      <c r="D2098" s="80">
        <f t="shared" si="67"/>
        <v>2015</v>
      </c>
      <c r="E2098" t="s">
        <v>38</v>
      </c>
      <c r="F2098" t="s">
        <v>143</v>
      </c>
      <c r="G2098" t="s">
        <v>10</v>
      </c>
      <c r="H2098" s="72" t="s">
        <v>213</v>
      </c>
      <c r="I2098" s="72" t="s">
        <v>55</v>
      </c>
      <c r="J2098" t="str">
        <f t="shared" si="68"/>
        <v>Quilcene River</v>
      </c>
      <c r="K2098" t="str">
        <f>IFERROR(VLOOKUP(J2098,LUTs!$A$1:$C$73,2,FALSE),"NA")</f>
        <v>Jefferson</v>
      </c>
      <c r="L2098" t="str">
        <f>IFERROR(VLOOKUP(J2098,LUTs!$A$1:$C$73,3,FALSE),"NA")</f>
        <v>4 Hood Canal</v>
      </c>
      <c r="M2098" s="72" t="s">
        <v>26</v>
      </c>
      <c r="N2098" t="str">
        <f>VLOOKUP(M2098,LUTs!E$2:H$14,3,)</f>
        <v>20Other</v>
      </c>
      <c r="O2098" t="str">
        <f>VLOOKUP(M2098,LUTs!E$2:H$14,4,)</f>
        <v>07Non Puget Sound</v>
      </c>
      <c r="P2098" s="73">
        <v>18.5</v>
      </c>
      <c r="Q2098" s="74">
        <f>VLOOKUP(B2098,Readme!A$40:C$51,2,)*P2098</f>
        <v>63.64</v>
      </c>
    </row>
    <row r="2099" spans="1:17" ht="12" customHeight="1" x14ac:dyDescent="0.35">
      <c r="A2099" s="75">
        <v>2098</v>
      </c>
      <c r="B2099" s="64">
        <v>2015</v>
      </c>
      <c r="C2099" s="64">
        <v>8</v>
      </c>
      <c r="D2099" s="80">
        <f t="shared" si="67"/>
        <v>2015</v>
      </c>
      <c r="E2099" t="s">
        <v>38</v>
      </c>
      <c r="F2099" t="s">
        <v>143</v>
      </c>
      <c r="G2099" t="s">
        <v>10</v>
      </c>
      <c r="H2099" s="72" t="s">
        <v>214</v>
      </c>
      <c r="I2099" s="72" t="s">
        <v>56</v>
      </c>
      <c r="J2099" t="str">
        <f t="shared" si="68"/>
        <v>Samish River</v>
      </c>
      <c r="K2099" t="str">
        <f>IFERROR(VLOOKUP(J2099,LUTs!$A$1:$C$73,2,FALSE),"NA")</f>
        <v>Skagit</v>
      </c>
      <c r="L2099" t="str">
        <f>IFERROR(VLOOKUP(J2099,LUTs!$A$1:$C$73,3,FALSE),"NA")</f>
        <v>1North Puget Sound</v>
      </c>
      <c r="M2099" s="72" t="s">
        <v>18</v>
      </c>
      <c r="N2099" t="str">
        <f>VLOOKUP(M2099,LUTs!E$2:H$14,3,)</f>
        <v>06King</v>
      </c>
      <c r="O2099" t="str">
        <f>VLOOKUP(M2099,LUTs!E$2:H$14,4,)</f>
        <v>02South Puget Sound</v>
      </c>
      <c r="P2099" s="73">
        <v>114.078651685393</v>
      </c>
      <c r="Q2099" s="74">
        <f>VLOOKUP(B2099,Readme!A$40:C$51,2,)*P2099</f>
        <v>392.43056179775192</v>
      </c>
    </row>
    <row r="2100" spans="1:17" ht="12" customHeight="1" x14ac:dyDescent="0.35">
      <c r="A2100" s="75">
        <v>2099</v>
      </c>
      <c r="B2100" s="64">
        <v>2015</v>
      </c>
      <c r="C2100" s="64">
        <v>8</v>
      </c>
      <c r="D2100" s="80">
        <f t="shared" si="67"/>
        <v>2015</v>
      </c>
      <c r="E2100" t="s">
        <v>38</v>
      </c>
      <c r="F2100" t="s">
        <v>143</v>
      </c>
      <c r="G2100" t="s">
        <v>10</v>
      </c>
      <c r="H2100" s="72" t="s">
        <v>214</v>
      </c>
      <c r="I2100" s="72" t="s">
        <v>56</v>
      </c>
      <c r="J2100" t="str">
        <f t="shared" si="68"/>
        <v>Samish River</v>
      </c>
      <c r="K2100" t="str">
        <f>IFERROR(VLOOKUP(J2100,LUTs!$A$1:$C$73,2,FALSE),"NA")</f>
        <v>Skagit</v>
      </c>
      <c r="L2100" t="str">
        <f>IFERROR(VLOOKUP(J2100,LUTs!$A$1:$C$73,3,FALSE),"NA")</f>
        <v>1North Puget Sound</v>
      </c>
      <c r="M2100" s="72" t="s">
        <v>26</v>
      </c>
      <c r="N2100" t="str">
        <f>VLOOKUP(M2100,LUTs!E$2:H$14,3,)</f>
        <v>20Other</v>
      </c>
      <c r="O2100" t="str">
        <f>VLOOKUP(M2100,LUTs!E$2:H$14,4,)</f>
        <v>07Non Puget Sound</v>
      </c>
      <c r="P2100" s="73">
        <v>96.528089887640505</v>
      </c>
      <c r="Q2100" s="74">
        <f>VLOOKUP(B2100,Readme!A$40:C$51,2,)*P2100</f>
        <v>332.05662921348335</v>
      </c>
    </row>
    <row r="2101" spans="1:17" ht="12" customHeight="1" x14ac:dyDescent="0.35">
      <c r="A2101" s="75">
        <v>2100</v>
      </c>
      <c r="B2101" s="64">
        <v>2015</v>
      </c>
      <c r="C2101" s="64">
        <v>8</v>
      </c>
      <c r="D2101" s="80">
        <f t="shared" si="67"/>
        <v>2015</v>
      </c>
      <c r="E2101" t="s">
        <v>38</v>
      </c>
      <c r="F2101" t="s">
        <v>143</v>
      </c>
      <c r="G2101" t="s">
        <v>10</v>
      </c>
      <c r="H2101" s="72" t="s">
        <v>214</v>
      </c>
      <c r="I2101" s="72" t="s">
        <v>56</v>
      </c>
      <c r="J2101" t="str">
        <f t="shared" si="68"/>
        <v>Samish River</v>
      </c>
      <c r="K2101" t="str">
        <f>IFERROR(VLOOKUP(J2101,LUTs!$A$1:$C$73,2,FALSE),"NA")</f>
        <v>Skagit</v>
      </c>
      <c r="L2101" t="str">
        <f>IFERROR(VLOOKUP(J2101,LUTs!$A$1:$C$73,3,FALSE),"NA")</f>
        <v>1North Puget Sound</v>
      </c>
      <c r="M2101" s="72" t="s">
        <v>15</v>
      </c>
      <c r="N2101" t="str">
        <f>VLOOKUP(M2101,LUTs!E$2:H$14,3,)</f>
        <v>02Skagit</v>
      </c>
      <c r="O2101" t="str">
        <f>VLOOKUP(M2101,LUTs!E$2:H$14,4,)</f>
        <v>01North Puget Sound</v>
      </c>
      <c r="P2101" s="73">
        <v>201.831460674157</v>
      </c>
      <c r="Q2101" s="74">
        <f>VLOOKUP(B2101,Readme!A$40:C$51,2,)*P2101</f>
        <v>694.30022471910002</v>
      </c>
    </row>
    <row r="2102" spans="1:17" ht="12" customHeight="1" x14ac:dyDescent="0.35">
      <c r="A2102" s="75">
        <v>2101</v>
      </c>
      <c r="B2102" s="64">
        <v>2015</v>
      </c>
      <c r="C2102" s="64">
        <v>8</v>
      </c>
      <c r="D2102" s="80">
        <f t="shared" si="67"/>
        <v>2015</v>
      </c>
      <c r="E2102" t="s">
        <v>38</v>
      </c>
      <c r="F2102" t="s">
        <v>143</v>
      </c>
      <c r="G2102" t="s">
        <v>10</v>
      </c>
      <c r="H2102" s="72" t="s">
        <v>214</v>
      </c>
      <c r="I2102" s="72" t="s">
        <v>56</v>
      </c>
      <c r="J2102" t="str">
        <f t="shared" si="68"/>
        <v>Samish River</v>
      </c>
      <c r="K2102" t="str">
        <f>IFERROR(VLOOKUP(J2102,LUTs!$A$1:$C$73,2,FALSE),"NA")</f>
        <v>Skagit</v>
      </c>
      <c r="L2102" t="str">
        <f>IFERROR(VLOOKUP(J2102,LUTs!$A$1:$C$73,3,FALSE),"NA")</f>
        <v>1North Puget Sound</v>
      </c>
      <c r="M2102" s="72" t="s">
        <v>16</v>
      </c>
      <c r="N2102" t="str">
        <f>VLOOKUP(M2102,LUTs!E$2:H$14,3,)</f>
        <v>03Snohomish</v>
      </c>
      <c r="O2102" t="str">
        <f>VLOOKUP(M2102,LUTs!E$2:H$14,4,)</f>
        <v>01North Puget Sound</v>
      </c>
      <c r="P2102" s="73">
        <v>219.38202247191001</v>
      </c>
      <c r="Q2102" s="74">
        <f>VLOOKUP(B2102,Readme!A$40:C$51,2,)*P2102</f>
        <v>754.67415730337041</v>
      </c>
    </row>
    <row r="2103" spans="1:17" ht="12" customHeight="1" x14ac:dyDescent="0.35">
      <c r="A2103" s="75">
        <v>2102</v>
      </c>
      <c r="B2103" s="64">
        <v>2015</v>
      </c>
      <c r="C2103" s="64">
        <v>8</v>
      </c>
      <c r="D2103" s="80">
        <f t="shared" si="67"/>
        <v>2015</v>
      </c>
      <c r="E2103" t="s">
        <v>38</v>
      </c>
      <c r="F2103" t="s">
        <v>143</v>
      </c>
      <c r="G2103" t="s">
        <v>10</v>
      </c>
      <c r="H2103" s="72" t="s">
        <v>214</v>
      </c>
      <c r="I2103" s="72" t="s">
        <v>56</v>
      </c>
      <c r="J2103" t="str">
        <f t="shared" si="68"/>
        <v>Samish River</v>
      </c>
      <c r="K2103" t="str">
        <f>IFERROR(VLOOKUP(J2103,LUTs!$A$1:$C$73,2,FALSE),"NA")</f>
        <v>Skagit</v>
      </c>
      <c r="L2103" t="str">
        <f>IFERROR(VLOOKUP(J2103,LUTs!$A$1:$C$73,3,FALSE),"NA")</f>
        <v>1North Puget Sound</v>
      </c>
      <c r="M2103" s="72" t="s">
        <v>13</v>
      </c>
      <c r="N2103" t="str">
        <f>VLOOKUP(M2103,LUTs!E$2:H$14,3,)</f>
        <v>01Whatcom</v>
      </c>
      <c r="O2103" t="str">
        <f>VLOOKUP(M2103,LUTs!E$2:H$14,4,)</f>
        <v>01North Puget Sound</v>
      </c>
      <c r="P2103" s="73">
        <v>149.17977528089901</v>
      </c>
      <c r="Q2103" s="74">
        <f>VLOOKUP(B2103,Readme!A$40:C$51,2,)*P2103</f>
        <v>513.17842696629259</v>
      </c>
    </row>
    <row r="2104" spans="1:17" ht="12" customHeight="1" x14ac:dyDescent="0.35">
      <c r="A2104" s="75">
        <v>2103</v>
      </c>
      <c r="B2104" s="64">
        <v>2015</v>
      </c>
      <c r="C2104" s="64">
        <v>9</v>
      </c>
      <c r="D2104" s="80">
        <f t="shared" si="67"/>
        <v>2015</v>
      </c>
      <c r="E2104" t="s">
        <v>38</v>
      </c>
      <c r="F2104" t="s">
        <v>143</v>
      </c>
      <c r="G2104" t="s">
        <v>10</v>
      </c>
      <c r="H2104" s="72" t="s">
        <v>214</v>
      </c>
      <c r="I2104" s="72" t="s">
        <v>56</v>
      </c>
      <c r="J2104" t="str">
        <f t="shared" si="68"/>
        <v>Samish River</v>
      </c>
      <c r="K2104" t="str">
        <f>IFERROR(VLOOKUP(J2104,LUTs!$A$1:$C$73,2,FALSE),"NA")</f>
        <v>Skagit</v>
      </c>
      <c r="L2104" t="str">
        <f>IFERROR(VLOOKUP(J2104,LUTs!$A$1:$C$73,3,FALSE),"NA")</f>
        <v>1North Puget Sound</v>
      </c>
      <c r="M2104" s="72" t="s">
        <v>17</v>
      </c>
      <c r="N2104" t="str">
        <f>VLOOKUP(M2104,LUTs!E$2:H$14,3,)</f>
        <v>04Island</v>
      </c>
      <c r="O2104" t="str">
        <f>VLOOKUP(M2104,LUTs!E$2:H$14,4,)</f>
        <v>01North Puget Sound</v>
      </c>
      <c r="P2104" s="73">
        <v>131.59863945578201</v>
      </c>
      <c r="Q2104" s="74">
        <f>VLOOKUP(B2104,Readme!A$40:C$51,2,)*P2104</f>
        <v>452.6993197278901</v>
      </c>
    </row>
    <row r="2105" spans="1:17" ht="12" customHeight="1" x14ac:dyDescent="0.35">
      <c r="A2105" s="75">
        <v>2104</v>
      </c>
      <c r="B2105" s="64">
        <v>2015</v>
      </c>
      <c r="C2105" s="64">
        <v>9</v>
      </c>
      <c r="D2105" s="80">
        <f t="shared" si="67"/>
        <v>2015</v>
      </c>
      <c r="E2105" t="s">
        <v>38</v>
      </c>
      <c r="F2105" t="s">
        <v>143</v>
      </c>
      <c r="G2105" t="s">
        <v>10</v>
      </c>
      <c r="H2105" s="72" t="s">
        <v>214</v>
      </c>
      <c r="I2105" s="72" t="s">
        <v>56</v>
      </c>
      <c r="J2105" t="str">
        <f t="shared" si="68"/>
        <v>Samish River</v>
      </c>
      <c r="K2105" t="str">
        <f>IFERROR(VLOOKUP(J2105,LUTs!$A$1:$C$73,2,FALSE),"NA")</f>
        <v>Skagit</v>
      </c>
      <c r="L2105" t="str">
        <f>IFERROR(VLOOKUP(J2105,LUTs!$A$1:$C$73,3,FALSE),"NA")</f>
        <v>1North Puget Sound</v>
      </c>
      <c r="M2105" s="72" t="s">
        <v>18</v>
      </c>
      <c r="N2105" t="str">
        <f>VLOOKUP(M2105,LUTs!E$2:H$14,3,)</f>
        <v>06King</v>
      </c>
      <c r="O2105" t="str">
        <f>VLOOKUP(M2105,LUTs!E$2:H$14,4,)</f>
        <v>02South Puget Sound</v>
      </c>
      <c r="P2105" s="73">
        <v>456.20861678004502</v>
      </c>
      <c r="Q2105" s="74">
        <f>VLOOKUP(B2105,Readme!A$40:C$51,2,)*P2105</f>
        <v>1569.3576417233548</v>
      </c>
    </row>
    <row r="2106" spans="1:17" ht="12" customHeight="1" x14ac:dyDescent="0.35">
      <c r="A2106" s="75">
        <v>2105</v>
      </c>
      <c r="B2106" s="64">
        <v>2015</v>
      </c>
      <c r="C2106" s="64">
        <v>9</v>
      </c>
      <c r="D2106" s="80">
        <f t="shared" si="67"/>
        <v>2015</v>
      </c>
      <c r="E2106" t="s">
        <v>38</v>
      </c>
      <c r="F2106" t="s">
        <v>143</v>
      </c>
      <c r="G2106" t="s">
        <v>10</v>
      </c>
      <c r="H2106" s="72" t="s">
        <v>214</v>
      </c>
      <c r="I2106" s="72" t="s">
        <v>56</v>
      </c>
      <c r="J2106" t="str">
        <f t="shared" si="68"/>
        <v>Samish River</v>
      </c>
      <c r="K2106" t="str">
        <f>IFERROR(VLOOKUP(J2106,LUTs!$A$1:$C$73,2,FALSE),"NA")</f>
        <v>Skagit</v>
      </c>
      <c r="L2106" t="str">
        <f>IFERROR(VLOOKUP(J2106,LUTs!$A$1:$C$73,3,FALSE),"NA")</f>
        <v>1North Puget Sound</v>
      </c>
      <c r="M2106" s="72" t="s">
        <v>26</v>
      </c>
      <c r="N2106" t="str">
        <f>VLOOKUP(M2106,LUTs!E$2:H$14,3,)</f>
        <v>20Other</v>
      </c>
      <c r="O2106" t="str">
        <f>VLOOKUP(M2106,LUTs!E$2:H$14,4,)</f>
        <v>07Non Puget Sound</v>
      </c>
      <c r="P2106" s="73">
        <v>228.10430839002299</v>
      </c>
      <c r="Q2106" s="74">
        <f>VLOOKUP(B2106,Readme!A$40:C$51,2,)*P2106</f>
        <v>784.67882086167913</v>
      </c>
    </row>
    <row r="2107" spans="1:17" ht="12" customHeight="1" x14ac:dyDescent="0.35">
      <c r="A2107" s="75">
        <v>2106</v>
      </c>
      <c r="B2107" s="64">
        <v>2015</v>
      </c>
      <c r="C2107" s="64">
        <v>9</v>
      </c>
      <c r="D2107" s="80">
        <f t="shared" si="67"/>
        <v>2015</v>
      </c>
      <c r="E2107" t="s">
        <v>38</v>
      </c>
      <c r="F2107" t="s">
        <v>143</v>
      </c>
      <c r="G2107" t="s">
        <v>10</v>
      </c>
      <c r="H2107" s="72" t="s">
        <v>214</v>
      </c>
      <c r="I2107" s="72" t="s">
        <v>56</v>
      </c>
      <c r="J2107" t="str">
        <f t="shared" si="68"/>
        <v>Samish River</v>
      </c>
      <c r="K2107" t="str">
        <f>IFERROR(VLOOKUP(J2107,LUTs!$A$1:$C$73,2,FALSE),"NA")</f>
        <v>Skagit</v>
      </c>
      <c r="L2107" t="str">
        <f>IFERROR(VLOOKUP(J2107,LUTs!$A$1:$C$73,3,FALSE),"NA")</f>
        <v>1North Puget Sound</v>
      </c>
      <c r="M2107" s="72" t="s">
        <v>15</v>
      </c>
      <c r="N2107" t="str">
        <f>VLOOKUP(M2107,LUTs!E$2:H$14,3,)</f>
        <v>02Skagit</v>
      </c>
      <c r="O2107" t="str">
        <f>VLOOKUP(M2107,LUTs!E$2:H$14,4,)</f>
        <v>01North Puget Sound</v>
      </c>
      <c r="P2107" s="73">
        <v>991.37641723356001</v>
      </c>
      <c r="Q2107" s="74">
        <f>VLOOKUP(B2107,Readme!A$40:C$51,2,)*P2107</f>
        <v>3410.3348752834463</v>
      </c>
    </row>
    <row r="2108" spans="1:17" ht="12" customHeight="1" x14ac:dyDescent="0.35">
      <c r="A2108" s="75">
        <v>2107</v>
      </c>
      <c r="B2108" s="64">
        <v>2015</v>
      </c>
      <c r="C2108" s="64">
        <v>9</v>
      </c>
      <c r="D2108" s="80">
        <f t="shared" si="67"/>
        <v>2015</v>
      </c>
      <c r="E2108" t="s">
        <v>38</v>
      </c>
      <c r="F2108" t="s">
        <v>143</v>
      </c>
      <c r="G2108" t="s">
        <v>10</v>
      </c>
      <c r="H2108" s="72" t="s">
        <v>214</v>
      </c>
      <c r="I2108" s="72" t="s">
        <v>56</v>
      </c>
      <c r="J2108" t="str">
        <f t="shared" si="68"/>
        <v>Samish River</v>
      </c>
      <c r="K2108" t="str">
        <f>IFERROR(VLOOKUP(J2108,LUTs!$A$1:$C$73,2,FALSE),"NA")</f>
        <v>Skagit</v>
      </c>
      <c r="L2108" t="str">
        <f>IFERROR(VLOOKUP(J2108,LUTs!$A$1:$C$73,3,FALSE),"NA")</f>
        <v>1North Puget Sound</v>
      </c>
      <c r="M2108" s="72" t="s">
        <v>16</v>
      </c>
      <c r="N2108" t="str">
        <f>VLOOKUP(M2108,LUTs!E$2:H$14,3,)</f>
        <v>03Snohomish</v>
      </c>
      <c r="O2108" t="str">
        <f>VLOOKUP(M2108,LUTs!E$2:H$14,4,)</f>
        <v>01North Puget Sound</v>
      </c>
      <c r="P2108" s="73">
        <v>1430.0385487528299</v>
      </c>
      <c r="Q2108" s="74">
        <f>VLOOKUP(B2108,Readme!A$40:C$51,2,)*P2108</f>
        <v>4919.3326077097345</v>
      </c>
    </row>
    <row r="2109" spans="1:17" ht="12" customHeight="1" x14ac:dyDescent="0.35">
      <c r="A2109" s="75">
        <v>2108</v>
      </c>
      <c r="B2109" s="64">
        <v>2015</v>
      </c>
      <c r="C2109" s="64">
        <v>9</v>
      </c>
      <c r="D2109" s="80">
        <f t="shared" si="67"/>
        <v>2015</v>
      </c>
      <c r="E2109" t="s">
        <v>38</v>
      </c>
      <c r="F2109" t="s">
        <v>143</v>
      </c>
      <c r="G2109" t="s">
        <v>10</v>
      </c>
      <c r="H2109" s="72" t="s">
        <v>214</v>
      </c>
      <c r="I2109" s="72" t="s">
        <v>56</v>
      </c>
      <c r="J2109" t="str">
        <f t="shared" si="68"/>
        <v>Samish River</v>
      </c>
      <c r="K2109" t="str">
        <f>IFERROR(VLOOKUP(J2109,LUTs!$A$1:$C$73,2,FALSE),"NA")</f>
        <v>Skagit</v>
      </c>
      <c r="L2109" t="str">
        <f>IFERROR(VLOOKUP(J2109,LUTs!$A$1:$C$73,3,FALSE),"NA")</f>
        <v>1North Puget Sound</v>
      </c>
      <c r="M2109" s="72" t="s">
        <v>13</v>
      </c>
      <c r="N2109" t="str">
        <f>VLOOKUP(M2109,LUTs!E$2:H$14,3,)</f>
        <v>01Whatcom</v>
      </c>
      <c r="O2109" t="str">
        <f>VLOOKUP(M2109,LUTs!E$2:H$14,4,)</f>
        <v>01North Puget Sound</v>
      </c>
      <c r="P2109" s="73">
        <v>631.67346938775495</v>
      </c>
      <c r="Q2109" s="74">
        <f>VLOOKUP(B2109,Readme!A$40:C$51,2,)*P2109</f>
        <v>2172.956734693877</v>
      </c>
    </row>
    <row r="2110" spans="1:17" ht="12" customHeight="1" x14ac:dyDescent="0.35">
      <c r="A2110" s="75">
        <v>2109</v>
      </c>
      <c r="B2110" s="64">
        <v>2015</v>
      </c>
      <c r="C2110" s="64">
        <v>10</v>
      </c>
      <c r="D2110" s="80">
        <f t="shared" si="67"/>
        <v>2015</v>
      </c>
      <c r="E2110" t="s">
        <v>38</v>
      </c>
      <c r="F2110" t="s">
        <v>143</v>
      </c>
      <c r="G2110" t="s">
        <v>10</v>
      </c>
      <c r="H2110" s="72" t="s">
        <v>214</v>
      </c>
      <c r="I2110" s="72" t="s">
        <v>56</v>
      </c>
      <c r="J2110" t="str">
        <f t="shared" si="68"/>
        <v>Samish River</v>
      </c>
      <c r="K2110" t="str">
        <f>IFERROR(VLOOKUP(J2110,LUTs!$A$1:$C$73,2,FALSE),"NA")</f>
        <v>Skagit</v>
      </c>
      <c r="L2110" t="str">
        <f>IFERROR(VLOOKUP(J2110,LUTs!$A$1:$C$73,3,FALSE),"NA")</f>
        <v>1North Puget Sound</v>
      </c>
      <c r="M2110" s="72" t="s">
        <v>17</v>
      </c>
      <c r="N2110" t="str">
        <f>VLOOKUP(M2110,LUTs!E$2:H$14,3,)</f>
        <v>04Island</v>
      </c>
      <c r="O2110" t="str">
        <f>VLOOKUP(M2110,LUTs!E$2:H$14,4,)</f>
        <v>01North Puget Sound</v>
      </c>
      <c r="P2110" s="73">
        <v>26.3239436619718</v>
      </c>
      <c r="Q2110" s="74">
        <f>VLOOKUP(B2110,Readme!A$40:C$51,2,)*P2110</f>
        <v>90.554366197182986</v>
      </c>
    </row>
    <row r="2111" spans="1:17" ht="12" customHeight="1" x14ac:dyDescent="0.35">
      <c r="A2111" s="75">
        <v>2110</v>
      </c>
      <c r="B2111" s="64">
        <v>2015</v>
      </c>
      <c r="C2111" s="64">
        <v>10</v>
      </c>
      <c r="D2111" s="80">
        <f t="shared" si="67"/>
        <v>2015</v>
      </c>
      <c r="E2111" t="s">
        <v>38</v>
      </c>
      <c r="F2111" t="s">
        <v>143</v>
      </c>
      <c r="G2111" t="s">
        <v>10</v>
      </c>
      <c r="H2111" s="72" t="s">
        <v>214</v>
      </c>
      <c r="I2111" s="72" t="s">
        <v>56</v>
      </c>
      <c r="J2111" t="str">
        <f t="shared" si="68"/>
        <v>Samish River</v>
      </c>
      <c r="K2111" t="str">
        <f>IFERROR(VLOOKUP(J2111,LUTs!$A$1:$C$73,2,FALSE),"NA")</f>
        <v>Skagit</v>
      </c>
      <c r="L2111" t="str">
        <f>IFERROR(VLOOKUP(J2111,LUTs!$A$1:$C$73,3,FALSE),"NA")</f>
        <v>1North Puget Sound</v>
      </c>
      <c r="M2111" s="72" t="s">
        <v>25</v>
      </c>
      <c r="N2111" t="str">
        <f>VLOOKUP(M2111,LUTs!E$2:H$14,3,)</f>
        <v>12Jefferson</v>
      </c>
      <c r="O2111" t="str">
        <f>VLOOKUP(M2111,LUTs!E$2:H$14,4,)</f>
        <v>03Strait of Juan de Fuca</v>
      </c>
      <c r="P2111" s="73">
        <v>17.549295774647899</v>
      </c>
      <c r="Q2111" s="74">
        <f>VLOOKUP(B2111,Readme!A$40:C$51,2,)*P2111</f>
        <v>60.369577464788769</v>
      </c>
    </row>
    <row r="2112" spans="1:17" ht="12" customHeight="1" x14ac:dyDescent="0.35">
      <c r="A2112" s="75">
        <v>2111</v>
      </c>
      <c r="B2112" s="64">
        <v>2015</v>
      </c>
      <c r="C2112" s="64">
        <v>10</v>
      </c>
      <c r="D2112" s="80">
        <f t="shared" si="67"/>
        <v>2015</v>
      </c>
      <c r="E2112" t="s">
        <v>38</v>
      </c>
      <c r="F2112" t="s">
        <v>143</v>
      </c>
      <c r="G2112" t="s">
        <v>10</v>
      </c>
      <c r="H2112" s="72" t="s">
        <v>214</v>
      </c>
      <c r="I2112" s="72" t="s">
        <v>56</v>
      </c>
      <c r="J2112" t="str">
        <f t="shared" si="68"/>
        <v>Samish River</v>
      </c>
      <c r="K2112" t="str">
        <f>IFERROR(VLOOKUP(J2112,LUTs!$A$1:$C$73,2,FALSE),"NA")</f>
        <v>Skagit</v>
      </c>
      <c r="L2112" t="str">
        <f>IFERROR(VLOOKUP(J2112,LUTs!$A$1:$C$73,3,FALSE),"NA")</f>
        <v>1North Puget Sound</v>
      </c>
      <c r="M2112" s="72" t="s">
        <v>18</v>
      </c>
      <c r="N2112" t="str">
        <f>VLOOKUP(M2112,LUTs!E$2:H$14,3,)</f>
        <v>06King</v>
      </c>
      <c r="O2112" t="str">
        <f>VLOOKUP(M2112,LUTs!E$2:H$14,4,)</f>
        <v>02South Puget Sound</v>
      </c>
      <c r="P2112" s="73">
        <v>96.521126760563405</v>
      </c>
      <c r="Q2112" s="74">
        <f>VLOOKUP(B2112,Readme!A$40:C$51,2,)*P2112</f>
        <v>332.03267605633812</v>
      </c>
    </row>
    <row r="2113" spans="1:17" ht="12" customHeight="1" x14ac:dyDescent="0.35">
      <c r="A2113" s="75">
        <v>2112</v>
      </c>
      <c r="B2113" s="64">
        <v>2015</v>
      </c>
      <c r="C2113" s="64">
        <v>10</v>
      </c>
      <c r="D2113" s="80">
        <f t="shared" si="67"/>
        <v>2015</v>
      </c>
      <c r="E2113" t="s">
        <v>38</v>
      </c>
      <c r="F2113" t="s">
        <v>143</v>
      </c>
      <c r="G2113" t="s">
        <v>10</v>
      </c>
      <c r="H2113" s="72" t="s">
        <v>214</v>
      </c>
      <c r="I2113" s="72" t="s">
        <v>56</v>
      </c>
      <c r="J2113" t="str">
        <f t="shared" si="68"/>
        <v>Samish River</v>
      </c>
      <c r="K2113" t="str">
        <f>IFERROR(VLOOKUP(J2113,LUTs!$A$1:$C$73,2,FALSE),"NA")</f>
        <v>Skagit</v>
      </c>
      <c r="L2113" t="str">
        <f>IFERROR(VLOOKUP(J2113,LUTs!$A$1:$C$73,3,FALSE),"NA")</f>
        <v>1North Puget Sound</v>
      </c>
      <c r="M2113" s="72" t="s">
        <v>15</v>
      </c>
      <c r="N2113" t="str">
        <f>VLOOKUP(M2113,LUTs!E$2:H$14,3,)</f>
        <v>02Skagit</v>
      </c>
      <c r="O2113" t="str">
        <f>VLOOKUP(M2113,LUTs!E$2:H$14,4,)</f>
        <v>01North Puget Sound</v>
      </c>
      <c r="P2113" s="73">
        <v>307.11267605633799</v>
      </c>
      <c r="Q2113" s="74">
        <f>VLOOKUP(B2113,Readme!A$40:C$51,2,)*P2113</f>
        <v>1056.4676056338026</v>
      </c>
    </row>
    <row r="2114" spans="1:17" ht="12" customHeight="1" x14ac:dyDescent="0.35">
      <c r="A2114" s="75">
        <v>2113</v>
      </c>
      <c r="B2114" s="64">
        <v>2015</v>
      </c>
      <c r="C2114" s="64">
        <v>10</v>
      </c>
      <c r="D2114" s="80">
        <f t="shared" ref="D2114:D2177" si="69">IF(C2114&gt;3,B2114,B2114-1)</f>
        <v>2015</v>
      </c>
      <c r="E2114" t="s">
        <v>38</v>
      </c>
      <c r="F2114" t="s">
        <v>143</v>
      </c>
      <c r="G2114" t="s">
        <v>10</v>
      </c>
      <c r="H2114" s="72" t="s">
        <v>214</v>
      </c>
      <c r="I2114" s="72" t="s">
        <v>56</v>
      </c>
      <c r="J2114" t="str">
        <f t="shared" si="68"/>
        <v>Samish River</v>
      </c>
      <c r="K2114" t="str">
        <f>IFERROR(VLOOKUP(J2114,LUTs!$A$1:$C$73,2,FALSE),"NA")</f>
        <v>Skagit</v>
      </c>
      <c r="L2114" t="str">
        <f>IFERROR(VLOOKUP(J2114,LUTs!$A$1:$C$73,3,FALSE),"NA")</f>
        <v>1North Puget Sound</v>
      </c>
      <c r="M2114" s="72" t="s">
        <v>16</v>
      </c>
      <c r="N2114" t="str">
        <f>VLOOKUP(M2114,LUTs!E$2:H$14,3,)</f>
        <v>03Snohomish</v>
      </c>
      <c r="O2114" t="str">
        <f>VLOOKUP(M2114,LUTs!E$2:H$14,4,)</f>
        <v>01North Puget Sound</v>
      </c>
      <c r="P2114" s="73">
        <v>666.87323943662</v>
      </c>
      <c r="Q2114" s="74">
        <f>VLOOKUP(B2114,Readme!A$40:C$51,2,)*P2114</f>
        <v>2294.0439436619727</v>
      </c>
    </row>
    <row r="2115" spans="1:17" ht="12" customHeight="1" x14ac:dyDescent="0.35">
      <c r="A2115" s="75">
        <v>2114</v>
      </c>
      <c r="B2115" s="64">
        <v>2015</v>
      </c>
      <c r="C2115" s="64">
        <v>10</v>
      </c>
      <c r="D2115" s="80">
        <f t="shared" si="69"/>
        <v>2015</v>
      </c>
      <c r="E2115" t="s">
        <v>38</v>
      </c>
      <c r="F2115" t="s">
        <v>143</v>
      </c>
      <c r="G2115" t="s">
        <v>10</v>
      </c>
      <c r="H2115" s="72" t="s">
        <v>214</v>
      </c>
      <c r="I2115" s="72" t="s">
        <v>56</v>
      </c>
      <c r="J2115" t="str">
        <f t="shared" ref="J2115:J2178" si="70">I2115</f>
        <v>Samish River</v>
      </c>
      <c r="K2115" t="str">
        <f>IFERROR(VLOOKUP(J2115,LUTs!$A$1:$C$73,2,FALSE),"NA")</f>
        <v>Skagit</v>
      </c>
      <c r="L2115" t="str">
        <f>IFERROR(VLOOKUP(J2115,LUTs!$A$1:$C$73,3,FALSE),"NA")</f>
        <v>1North Puget Sound</v>
      </c>
      <c r="M2115" s="72" t="s">
        <v>13</v>
      </c>
      <c r="N2115" t="str">
        <f>VLOOKUP(M2115,LUTs!E$2:H$14,3,)</f>
        <v>01Whatcom</v>
      </c>
      <c r="O2115" t="str">
        <f>VLOOKUP(M2115,LUTs!E$2:H$14,4,)</f>
        <v>01North Puget Sound</v>
      </c>
      <c r="P2115" s="73">
        <v>131.619718309859</v>
      </c>
      <c r="Q2115" s="74">
        <f>VLOOKUP(B2115,Readme!A$40:C$51,2,)*P2115</f>
        <v>452.77183098591496</v>
      </c>
    </row>
    <row r="2116" spans="1:17" ht="12" customHeight="1" x14ac:dyDescent="0.35">
      <c r="A2116" s="75">
        <v>2115</v>
      </c>
      <c r="B2116" s="64">
        <v>2015</v>
      </c>
      <c r="C2116" s="64">
        <v>7</v>
      </c>
      <c r="D2116" s="80">
        <f t="shared" si="69"/>
        <v>2015</v>
      </c>
      <c r="E2116" t="s">
        <v>38</v>
      </c>
      <c r="F2116" t="s">
        <v>143</v>
      </c>
      <c r="G2116" t="s">
        <v>10</v>
      </c>
      <c r="H2116" s="72" t="s">
        <v>216</v>
      </c>
      <c r="I2116" s="72" t="s">
        <v>58</v>
      </c>
      <c r="J2116" t="str">
        <f t="shared" si="70"/>
        <v>Baker Lake</v>
      </c>
      <c r="K2116" t="str">
        <f>IFERROR(VLOOKUP(J2116,LUTs!$A$1:$C$73,2,FALSE),"NA")</f>
        <v>Whatcom</v>
      </c>
      <c r="L2116" t="str">
        <f>IFERROR(VLOOKUP(J2116,LUTs!$A$1:$C$73,3,FALSE),"NA")</f>
        <v>1North Puget Sound</v>
      </c>
      <c r="M2116" s="72" t="s">
        <v>24</v>
      </c>
      <c r="N2116" t="str">
        <f>VLOOKUP(M2116,LUTs!E$2:H$14,3,)</f>
        <v>11Clallam</v>
      </c>
      <c r="O2116" t="str">
        <f>VLOOKUP(M2116,LUTs!E$2:H$14,4,)</f>
        <v>03Strait of Juan de Fuca</v>
      </c>
      <c r="P2116" s="73">
        <v>35.369127516778498</v>
      </c>
      <c r="Q2116" s="74">
        <f>VLOOKUP(B2116,Readme!A$40:C$51,2,)*P2116</f>
        <v>121.66979865771803</v>
      </c>
    </row>
    <row r="2117" spans="1:17" ht="12" customHeight="1" x14ac:dyDescent="0.35">
      <c r="A2117" s="75">
        <v>2116</v>
      </c>
      <c r="B2117" s="64">
        <v>2015</v>
      </c>
      <c r="C2117" s="64">
        <v>7</v>
      </c>
      <c r="D2117" s="80">
        <f t="shared" si="69"/>
        <v>2015</v>
      </c>
      <c r="E2117" t="s">
        <v>38</v>
      </c>
      <c r="F2117" t="s">
        <v>143</v>
      </c>
      <c r="G2117" t="s">
        <v>10</v>
      </c>
      <c r="H2117" s="72" t="s">
        <v>216</v>
      </c>
      <c r="I2117" s="72" t="s">
        <v>58</v>
      </c>
      <c r="J2117" t="str">
        <f t="shared" si="70"/>
        <v>Baker Lake</v>
      </c>
      <c r="K2117" t="str">
        <f>IFERROR(VLOOKUP(J2117,LUTs!$A$1:$C$73,2,FALSE),"NA")</f>
        <v>Whatcom</v>
      </c>
      <c r="L2117" t="str">
        <f>IFERROR(VLOOKUP(J2117,LUTs!$A$1:$C$73,3,FALSE),"NA")</f>
        <v>1North Puget Sound</v>
      </c>
      <c r="M2117" s="72" t="s">
        <v>17</v>
      </c>
      <c r="N2117" t="str">
        <f>VLOOKUP(M2117,LUTs!E$2:H$14,3,)</f>
        <v>04Island</v>
      </c>
      <c r="O2117" t="str">
        <f>VLOOKUP(M2117,LUTs!E$2:H$14,4,)</f>
        <v>01North Puget Sound</v>
      </c>
      <c r="P2117" s="73">
        <v>291.795302013423</v>
      </c>
      <c r="Q2117" s="74">
        <f>VLOOKUP(B2117,Readme!A$40:C$51,2,)*P2117</f>
        <v>1003.7758389261751</v>
      </c>
    </row>
    <row r="2118" spans="1:17" ht="12" customHeight="1" x14ac:dyDescent="0.35">
      <c r="A2118" s="75">
        <v>2117</v>
      </c>
      <c r="B2118" s="64">
        <v>2015</v>
      </c>
      <c r="C2118" s="64">
        <v>7</v>
      </c>
      <c r="D2118" s="80">
        <f t="shared" si="69"/>
        <v>2015</v>
      </c>
      <c r="E2118" t="s">
        <v>38</v>
      </c>
      <c r="F2118" t="s">
        <v>143</v>
      </c>
      <c r="G2118" t="s">
        <v>10</v>
      </c>
      <c r="H2118" s="72" t="s">
        <v>216</v>
      </c>
      <c r="I2118" s="72" t="s">
        <v>58</v>
      </c>
      <c r="J2118" t="str">
        <f t="shared" si="70"/>
        <v>Baker Lake</v>
      </c>
      <c r="K2118" t="str">
        <f>IFERROR(VLOOKUP(J2118,LUTs!$A$1:$C$73,2,FALSE),"NA")</f>
        <v>Whatcom</v>
      </c>
      <c r="L2118" t="str">
        <f>IFERROR(VLOOKUP(J2118,LUTs!$A$1:$C$73,3,FALSE),"NA")</f>
        <v>1North Puget Sound</v>
      </c>
      <c r="M2118" s="72" t="s">
        <v>18</v>
      </c>
      <c r="N2118" t="str">
        <f>VLOOKUP(M2118,LUTs!E$2:H$14,3,)</f>
        <v>06King</v>
      </c>
      <c r="O2118" t="str">
        <f>VLOOKUP(M2118,LUTs!E$2:H$14,4,)</f>
        <v>02South Puget Sound</v>
      </c>
      <c r="P2118" s="73">
        <v>645.48657718120796</v>
      </c>
      <c r="Q2118" s="74">
        <f>VLOOKUP(B2118,Readme!A$40:C$51,2,)*P2118</f>
        <v>2220.4738255033553</v>
      </c>
    </row>
    <row r="2119" spans="1:17" ht="12" customHeight="1" x14ac:dyDescent="0.35">
      <c r="A2119" s="75">
        <v>2118</v>
      </c>
      <c r="B2119" s="64">
        <v>2015</v>
      </c>
      <c r="C2119" s="64">
        <v>7</v>
      </c>
      <c r="D2119" s="80">
        <f t="shared" si="69"/>
        <v>2015</v>
      </c>
      <c r="E2119" t="s">
        <v>38</v>
      </c>
      <c r="F2119" t="s">
        <v>143</v>
      </c>
      <c r="G2119" t="s">
        <v>10</v>
      </c>
      <c r="H2119" s="72" t="s">
        <v>216</v>
      </c>
      <c r="I2119" s="72" t="s">
        <v>58</v>
      </c>
      <c r="J2119" t="str">
        <f t="shared" si="70"/>
        <v>Baker Lake</v>
      </c>
      <c r="K2119" t="str">
        <f>IFERROR(VLOOKUP(J2119,LUTs!$A$1:$C$73,2,FALSE),"NA")</f>
        <v>Whatcom</v>
      </c>
      <c r="L2119" t="str">
        <f>IFERROR(VLOOKUP(J2119,LUTs!$A$1:$C$73,3,FALSE),"NA")</f>
        <v>1North Puget Sound</v>
      </c>
      <c r="M2119" s="72" t="s">
        <v>22</v>
      </c>
      <c r="N2119" t="str">
        <f>VLOOKUP(M2119,LUTs!E$2:H$14,3,)</f>
        <v>09Mason</v>
      </c>
      <c r="O2119" t="str">
        <f>VLOOKUP(M2119,LUTs!E$2:H$14,4,)</f>
        <v>02South Puget Sound</v>
      </c>
      <c r="P2119" s="73">
        <v>8.8422818791946298</v>
      </c>
      <c r="Q2119" s="74">
        <f>VLOOKUP(B2119,Readme!A$40:C$51,2,)*P2119</f>
        <v>30.417449664429526</v>
      </c>
    </row>
    <row r="2120" spans="1:17" ht="12" customHeight="1" x14ac:dyDescent="0.35">
      <c r="A2120" s="75">
        <v>2119</v>
      </c>
      <c r="B2120" s="64">
        <v>2015</v>
      </c>
      <c r="C2120" s="64">
        <v>7</v>
      </c>
      <c r="D2120" s="80">
        <f t="shared" si="69"/>
        <v>2015</v>
      </c>
      <c r="E2120" t="s">
        <v>38</v>
      </c>
      <c r="F2120" t="s">
        <v>143</v>
      </c>
      <c r="G2120" t="s">
        <v>10</v>
      </c>
      <c r="H2120" s="72" t="s">
        <v>216</v>
      </c>
      <c r="I2120" s="72" t="s">
        <v>58</v>
      </c>
      <c r="J2120" t="str">
        <f t="shared" si="70"/>
        <v>Baker Lake</v>
      </c>
      <c r="K2120" t="str">
        <f>IFERROR(VLOOKUP(J2120,LUTs!$A$1:$C$73,2,FALSE),"NA")</f>
        <v>Whatcom</v>
      </c>
      <c r="L2120" t="str">
        <f>IFERROR(VLOOKUP(J2120,LUTs!$A$1:$C$73,3,FALSE),"NA")</f>
        <v>1North Puget Sound</v>
      </c>
      <c r="M2120" s="72" t="s">
        <v>26</v>
      </c>
      <c r="N2120" t="str">
        <f>VLOOKUP(M2120,LUTs!E$2:H$14,3,)</f>
        <v>20Other</v>
      </c>
      <c r="O2120" t="str">
        <f>VLOOKUP(M2120,LUTs!E$2:H$14,4,)</f>
        <v>07Non Puget Sound</v>
      </c>
      <c r="P2120" s="73">
        <v>663.17114093959697</v>
      </c>
      <c r="Q2120" s="74">
        <f>VLOOKUP(B2120,Readme!A$40:C$51,2,)*P2120</f>
        <v>2281.3087248322136</v>
      </c>
    </row>
    <row r="2121" spans="1:17" ht="12" customHeight="1" x14ac:dyDescent="0.35">
      <c r="A2121" s="75">
        <v>2120</v>
      </c>
      <c r="B2121" s="64">
        <v>2015</v>
      </c>
      <c r="C2121" s="64">
        <v>7</v>
      </c>
      <c r="D2121" s="80">
        <f t="shared" si="69"/>
        <v>2015</v>
      </c>
      <c r="E2121" t="s">
        <v>38</v>
      </c>
      <c r="F2121" t="s">
        <v>143</v>
      </c>
      <c r="G2121" t="s">
        <v>10</v>
      </c>
      <c r="H2121" s="72" t="s">
        <v>216</v>
      </c>
      <c r="I2121" s="72" t="s">
        <v>58</v>
      </c>
      <c r="J2121" t="str">
        <f t="shared" si="70"/>
        <v>Baker Lake</v>
      </c>
      <c r="K2121" t="str">
        <f>IFERROR(VLOOKUP(J2121,LUTs!$A$1:$C$73,2,FALSE),"NA")</f>
        <v>Whatcom</v>
      </c>
      <c r="L2121" t="str">
        <f>IFERROR(VLOOKUP(J2121,LUTs!$A$1:$C$73,3,FALSE),"NA")</f>
        <v>1North Puget Sound</v>
      </c>
      <c r="M2121" s="72" t="s">
        <v>20</v>
      </c>
      <c r="N2121" t="str">
        <f>VLOOKUP(M2121,LUTs!E$2:H$14,3,)</f>
        <v>07Pierce</v>
      </c>
      <c r="O2121" t="str">
        <f>VLOOKUP(M2121,LUTs!E$2:H$14,4,)</f>
        <v>02South Puget Sound</v>
      </c>
      <c r="P2121" s="73">
        <v>318.32214765100701</v>
      </c>
      <c r="Q2121" s="74">
        <f>VLOOKUP(B2121,Readme!A$40:C$51,2,)*P2121</f>
        <v>1095.028187919464</v>
      </c>
    </row>
    <row r="2122" spans="1:17" ht="12" customHeight="1" x14ac:dyDescent="0.35">
      <c r="A2122" s="75">
        <v>2121</v>
      </c>
      <c r="B2122" s="64">
        <v>2015</v>
      </c>
      <c r="C2122" s="64">
        <v>7</v>
      </c>
      <c r="D2122" s="80">
        <f t="shared" si="69"/>
        <v>2015</v>
      </c>
      <c r="E2122" t="s">
        <v>38</v>
      </c>
      <c r="F2122" t="s">
        <v>143</v>
      </c>
      <c r="G2122" t="s">
        <v>10</v>
      </c>
      <c r="H2122" s="72" t="s">
        <v>216</v>
      </c>
      <c r="I2122" s="72" t="s">
        <v>58</v>
      </c>
      <c r="J2122" t="str">
        <f t="shared" si="70"/>
        <v>Baker Lake</v>
      </c>
      <c r="K2122" t="str">
        <f>IFERROR(VLOOKUP(J2122,LUTs!$A$1:$C$73,2,FALSE),"NA")</f>
        <v>Whatcom</v>
      </c>
      <c r="L2122" t="str">
        <f>IFERROR(VLOOKUP(J2122,LUTs!$A$1:$C$73,3,FALSE),"NA")</f>
        <v>1North Puget Sound</v>
      </c>
      <c r="M2122" s="72" t="s">
        <v>15</v>
      </c>
      <c r="N2122" t="str">
        <f>VLOOKUP(M2122,LUTs!E$2:H$14,3,)</f>
        <v>02Skagit</v>
      </c>
      <c r="O2122" t="str">
        <f>VLOOKUP(M2122,LUTs!E$2:H$14,4,)</f>
        <v>01North Puget Sound</v>
      </c>
      <c r="P2122" s="73">
        <v>1954.1442953020101</v>
      </c>
      <c r="Q2122" s="74">
        <f>VLOOKUP(B2122,Readme!A$40:C$51,2,)*P2122</f>
        <v>6722.2563758389142</v>
      </c>
    </row>
    <row r="2123" spans="1:17" ht="12" customHeight="1" x14ac:dyDescent="0.35">
      <c r="A2123" s="75">
        <v>2122</v>
      </c>
      <c r="B2123" s="64">
        <v>2015</v>
      </c>
      <c r="C2123" s="64">
        <v>7</v>
      </c>
      <c r="D2123" s="80">
        <f t="shared" si="69"/>
        <v>2015</v>
      </c>
      <c r="E2123" t="s">
        <v>38</v>
      </c>
      <c r="F2123" t="s">
        <v>143</v>
      </c>
      <c r="G2123" t="s">
        <v>10</v>
      </c>
      <c r="H2123" s="72" t="s">
        <v>216</v>
      </c>
      <c r="I2123" s="72" t="s">
        <v>58</v>
      </c>
      <c r="J2123" t="str">
        <f t="shared" si="70"/>
        <v>Baker Lake</v>
      </c>
      <c r="K2123" t="str">
        <f>IFERROR(VLOOKUP(J2123,LUTs!$A$1:$C$73,2,FALSE),"NA")</f>
        <v>Whatcom</v>
      </c>
      <c r="L2123" t="str">
        <f>IFERROR(VLOOKUP(J2123,LUTs!$A$1:$C$73,3,FALSE),"NA")</f>
        <v>1North Puget Sound</v>
      </c>
      <c r="M2123" s="72" t="s">
        <v>16</v>
      </c>
      <c r="N2123" t="str">
        <f>VLOOKUP(M2123,LUTs!E$2:H$14,3,)</f>
        <v>03Snohomish</v>
      </c>
      <c r="O2123" t="str">
        <f>VLOOKUP(M2123,LUTs!E$2:H$14,4,)</f>
        <v>01North Puget Sound</v>
      </c>
      <c r="P2123" s="73">
        <v>2564.2617449664399</v>
      </c>
      <c r="Q2123" s="74">
        <f>VLOOKUP(B2123,Readme!A$40:C$51,2,)*P2123</f>
        <v>8821.060402684554</v>
      </c>
    </row>
    <row r="2124" spans="1:17" ht="12" customHeight="1" x14ac:dyDescent="0.35">
      <c r="A2124" s="75">
        <v>2123</v>
      </c>
      <c r="B2124" s="64">
        <v>2015</v>
      </c>
      <c r="C2124" s="64">
        <v>7</v>
      </c>
      <c r="D2124" s="80">
        <f t="shared" si="69"/>
        <v>2015</v>
      </c>
      <c r="E2124" t="s">
        <v>38</v>
      </c>
      <c r="F2124" t="s">
        <v>143</v>
      </c>
      <c r="G2124" t="s">
        <v>10</v>
      </c>
      <c r="H2124" s="72" t="s">
        <v>216</v>
      </c>
      <c r="I2124" s="72" t="s">
        <v>58</v>
      </c>
      <c r="J2124" t="str">
        <f t="shared" si="70"/>
        <v>Baker Lake</v>
      </c>
      <c r="K2124" t="str">
        <f>IFERROR(VLOOKUP(J2124,LUTs!$A$1:$C$73,2,FALSE),"NA")</f>
        <v>Whatcom</v>
      </c>
      <c r="L2124" t="str">
        <f>IFERROR(VLOOKUP(J2124,LUTs!$A$1:$C$73,3,FALSE),"NA")</f>
        <v>1North Puget Sound</v>
      </c>
      <c r="M2124" s="72" t="s">
        <v>21</v>
      </c>
      <c r="N2124" t="str">
        <f>VLOOKUP(M2124,LUTs!E$2:H$14,3,)</f>
        <v>08Thurston</v>
      </c>
      <c r="O2124" t="str">
        <f>VLOOKUP(M2124,LUTs!E$2:H$14,4,)</f>
        <v>02South Puget Sound</v>
      </c>
      <c r="P2124" s="73">
        <v>8.8422818791946298</v>
      </c>
      <c r="Q2124" s="74">
        <f>VLOOKUP(B2124,Readme!A$40:C$51,2,)*P2124</f>
        <v>30.417449664429526</v>
      </c>
    </row>
    <row r="2125" spans="1:17" ht="12" customHeight="1" x14ac:dyDescent="0.35">
      <c r="A2125" s="75">
        <v>2124</v>
      </c>
      <c r="B2125" s="64">
        <v>2015</v>
      </c>
      <c r="C2125" s="64">
        <v>7</v>
      </c>
      <c r="D2125" s="80">
        <f t="shared" si="69"/>
        <v>2015</v>
      </c>
      <c r="E2125" t="s">
        <v>38</v>
      </c>
      <c r="F2125" t="s">
        <v>143</v>
      </c>
      <c r="G2125" t="s">
        <v>10</v>
      </c>
      <c r="H2125" s="72" t="s">
        <v>216</v>
      </c>
      <c r="I2125" s="72" t="s">
        <v>58</v>
      </c>
      <c r="J2125" t="str">
        <f t="shared" si="70"/>
        <v>Baker Lake</v>
      </c>
      <c r="K2125" t="str">
        <f>IFERROR(VLOOKUP(J2125,LUTs!$A$1:$C$73,2,FALSE),"NA")</f>
        <v>Whatcom</v>
      </c>
      <c r="L2125" t="str">
        <f>IFERROR(VLOOKUP(J2125,LUTs!$A$1:$C$73,3,FALSE),"NA")</f>
        <v>1North Puget Sound</v>
      </c>
      <c r="M2125" s="72" t="s">
        <v>13</v>
      </c>
      <c r="N2125" t="str">
        <f>VLOOKUP(M2125,LUTs!E$2:H$14,3,)</f>
        <v>01Whatcom</v>
      </c>
      <c r="O2125" t="str">
        <f>VLOOKUP(M2125,LUTs!E$2:H$14,4,)</f>
        <v>01North Puget Sound</v>
      </c>
      <c r="P2125" s="73">
        <v>1414.7651006711401</v>
      </c>
      <c r="Q2125" s="74">
        <f>VLOOKUP(B2125,Readme!A$40:C$51,2,)*P2125</f>
        <v>4866.7919463087219</v>
      </c>
    </row>
    <row r="2126" spans="1:17" ht="12" customHeight="1" x14ac:dyDescent="0.35">
      <c r="A2126" s="75">
        <v>2125</v>
      </c>
      <c r="B2126" s="64">
        <v>2015</v>
      </c>
      <c r="C2126" s="64">
        <v>8</v>
      </c>
      <c r="D2126" s="80">
        <f t="shared" si="69"/>
        <v>2015</v>
      </c>
      <c r="E2126" t="s">
        <v>38</v>
      </c>
      <c r="F2126" t="s">
        <v>143</v>
      </c>
      <c r="G2126" t="s">
        <v>10</v>
      </c>
      <c r="H2126" s="72" t="s">
        <v>216</v>
      </c>
      <c r="I2126" s="72" t="s">
        <v>58</v>
      </c>
      <c r="J2126" t="str">
        <f t="shared" si="70"/>
        <v>Baker Lake</v>
      </c>
      <c r="K2126" t="str">
        <f>IFERROR(VLOOKUP(J2126,LUTs!$A$1:$C$73,2,FALSE),"NA")</f>
        <v>Whatcom</v>
      </c>
      <c r="L2126" t="str">
        <f>IFERROR(VLOOKUP(J2126,LUTs!$A$1:$C$73,3,FALSE),"NA")</f>
        <v>1North Puget Sound</v>
      </c>
      <c r="M2126" s="72" t="s">
        <v>17</v>
      </c>
      <c r="N2126" t="str">
        <f>VLOOKUP(M2126,LUTs!E$2:H$14,3,)</f>
        <v>04Island</v>
      </c>
      <c r="O2126" t="str">
        <f>VLOOKUP(M2126,LUTs!E$2:H$14,4,)</f>
        <v>01North Puget Sound</v>
      </c>
      <c r="P2126" s="73">
        <v>97.2510460251046</v>
      </c>
      <c r="Q2126" s="74">
        <f>VLOOKUP(B2126,Readme!A$40:C$51,2,)*P2126</f>
        <v>334.54359832635981</v>
      </c>
    </row>
    <row r="2127" spans="1:17" ht="12" customHeight="1" x14ac:dyDescent="0.35">
      <c r="A2127" s="75">
        <v>2126</v>
      </c>
      <c r="B2127" s="64">
        <v>2015</v>
      </c>
      <c r="C2127" s="64">
        <v>8</v>
      </c>
      <c r="D2127" s="80">
        <f t="shared" si="69"/>
        <v>2015</v>
      </c>
      <c r="E2127" t="s">
        <v>38</v>
      </c>
      <c r="F2127" t="s">
        <v>143</v>
      </c>
      <c r="G2127" t="s">
        <v>10</v>
      </c>
      <c r="H2127" s="72" t="s">
        <v>216</v>
      </c>
      <c r="I2127" s="72" t="s">
        <v>58</v>
      </c>
      <c r="J2127" t="str">
        <f t="shared" si="70"/>
        <v>Baker Lake</v>
      </c>
      <c r="K2127" t="str">
        <f>IFERROR(VLOOKUP(J2127,LUTs!$A$1:$C$73,2,FALSE),"NA")</f>
        <v>Whatcom</v>
      </c>
      <c r="L2127" t="str">
        <f>IFERROR(VLOOKUP(J2127,LUTs!$A$1:$C$73,3,FALSE),"NA")</f>
        <v>1North Puget Sound</v>
      </c>
      <c r="M2127" s="72" t="s">
        <v>18</v>
      </c>
      <c r="N2127" t="str">
        <f>VLOOKUP(M2127,LUTs!E$2:H$14,3,)</f>
        <v>06King</v>
      </c>
      <c r="O2127" t="str">
        <f>VLOOKUP(M2127,LUTs!E$2:H$14,4,)</f>
        <v>02South Puget Sound</v>
      </c>
      <c r="P2127" s="73">
        <v>88.410041841004201</v>
      </c>
      <c r="Q2127" s="74">
        <f>VLOOKUP(B2127,Readme!A$40:C$51,2,)*P2127</f>
        <v>304.13054393305447</v>
      </c>
    </row>
    <row r="2128" spans="1:17" ht="12" customHeight="1" x14ac:dyDescent="0.35">
      <c r="A2128" s="75">
        <v>2127</v>
      </c>
      <c r="B2128" s="64">
        <v>2015</v>
      </c>
      <c r="C2128" s="64">
        <v>8</v>
      </c>
      <c r="D2128" s="80">
        <f t="shared" si="69"/>
        <v>2015</v>
      </c>
      <c r="E2128" t="s">
        <v>38</v>
      </c>
      <c r="F2128" t="s">
        <v>143</v>
      </c>
      <c r="G2128" t="s">
        <v>10</v>
      </c>
      <c r="H2128" s="72" t="s">
        <v>216</v>
      </c>
      <c r="I2128" s="72" t="s">
        <v>58</v>
      </c>
      <c r="J2128" t="str">
        <f t="shared" si="70"/>
        <v>Baker Lake</v>
      </c>
      <c r="K2128" t="str">
        <f>IFERROR(VLOOKUP(J2128,LUTs!$A$1:$C$73,2,FALSE),"NA")</f>
        <v>Whatcom</v>
      </c>
      <c r="L2128" t="str">
        <f>IFERROR(VLOOKUP(J2128,LUTs!$A$1:$C$73,3,FALSE),"NA")</f>
        <v>1North Puget Sound</v>
      </c>
      <c r="M2128" s="72" t="s">
        <v>26</v>
      </c>
      <c r="N2128" t="str">
        <f>VLOOKUP(M2128,LUTs!E$2:H$14,3,)</f>
        <v>20Other</v>
      </c>
      <c r="O2128" t="str">
        <f>VLOOKUP(M2128,LUTs!E$2:H$14,4,)</f>
        <v>07Non Puget Sound</v>
      </c>
      <c r="P2128" s="73">
        <v>150.29707112970701</v>
      </c>
      <c r="Q2128" s="74">
        <f>VLOOKUP(B2128,Readme!A$40:C$51,2,)*P2128</f>
        <v>517.02192468619205</v>
      </c>
    </row>
    <row r="2129" spans="1:17" ht="12" customHeight="1" x14ac:dyDescent="0.35">
      <c r="A2129" s="75">
        <v>2128</v>
      </c>
      <c r="B2129" s="64">
        <v>2015</v>
      </c>
      <c r="C2129" s="64">
        <v>8</v>
      </c>
      <c r="D2129" s="80">
        <f t="shared" si="69"/>
        <v>2015</v>
      </c>
      <c r="E2129" t="s">
        <v>38</v>
      </c>
      <c r="F2129" t="s">
        <v>143</v>
      </c>
      <c r="G2129" t="s">
        <v>10</v>
      </c>
      <c r="H2129" s="72" t="s">
        <v>216</v>
      </c>
      <c r="I2129" s="72" t="s">
        <v>58</v>
      </c>
      <c r="J2129" t="str">
        <f t="shared" si="70"/>
        <v>Baker Lake</v>
      </c>
      <c r="K2129" t="str">
        <f>IFERROR(VLOOKUP(J2129,LUTs!$A$1:$C$73,2,FALSE),"NA")</f>
        <v>Whatcom</v>
      </c>
      <c r="L2129" t="str">
        <f>IFERROR(VLOOKUP(J2129,LUTs!$A$1:$C$73,3,FALSE),"NA")</f>
        <v>1North Puget Sound</v>
      </c>
      <c r="M2129" s="72" t="s">
        <v>15</v>
      </c>
      <c r="N2129" t="str">
        <f>VLOOKUP(M2129,LUTs!E$2:H$14,3,)</f>
        <v>02Skagit</v>
      </c>
      <c r="O2129" t="str">
        <f>VLOOKUP(M2129,LUTs!E$2:H$14,4,)</f>
        <v>01North Puget Sound</v>
      </c>
      <c r="P2129" s="73">
        <v>618.870292887029</v>
      </c>
      <c r="Q2129" s="74">
        <f>VLOOKUP(B2129,Readme!A$40:C$51,2,)*P2129</f>
        <v>2128.9138075313799</v>
      </c>
    </row>
    <row r="2130" spans="1:17" ht="12" customHeight="1" x14ac:dyDescent="0.35">
      <c r="A2130" s="75">
        <v>2129</v>
      </c>
      <c r="B2130" s="64">
        <v>2015</v>
      </c>
      <c r="C2130" s="64">
        <v>8</v>
      </c>
      <c r="D2130" s="80">
        <f t="shared" si="69"/>
        <v>2015</v>
      </c>
      <c r="E2130" t="s">
        <v>38</v>
      </c>
      <c r="F2130" t="s">
        <v>143</v>
      </c>
      <c r="G2130" t="s">
        <v>10</v>
      </c>
      <c r="H2130" s="72" t="s">
        <v>216</v>
      </c>
      <c r="I2130" s="72" t="s">
        <v>58</v>
      </c>
      <c r="J2130" t="str">
        <f t="shared" si="70"/>
        <v>Baker Lake</v>
      </c>
      <c r="K2130" t="str">
        <f>IFERROR(VLOOKUP(J2130,LUTs!$A$1:$C$73,2,FALSE),"NA")</f>
        <v>Whatcom</v>
      </c>
      <c r="L2130" t="str">
        <f>IFERROR(VLOOKUP(J2130,LUTs!$A$1:$C$73,3,FALSE),"NA")</f>
        <v>1North Puget Sound</v>
      </c>
      <c r="M2130" s="72" t="s">
        <v>16</v>
      </c>
      <c r="N2130" t="str">
        <f>VLOOKUP(M2130,LUTs!E$2:H$14,3,)</f>
        <v>03Snohomish</v>
      </c>
      <c r="O2130" t="str">
        <f>VLOOKUP(M2130,LUTs!E$2:H$14,4,)</f>
        <v>01North Puget Sound</v>
      </c>
      <c r="P2130" s="73">
        <v>875.25941422594201</v>
      </c>
      <c r="Q2130" s="74">
        <f>VLOOKUP(B2130,Readme!A$40:C$51,2,)*P2130</f>
        <v>3010.8923849372404</v>
      </c>
    </row>
    <row r="2131" spans="1:17" ht="12" customHeight="1" x14ac:dyDescent="0.35">
      <c r="A2131" s="75">
        <v>2130</v>
      </c>
      <c r="B2131" s="64">
        <v>2015</v>
      </c>
      <c r="C2131" s="64">
        <v>8</v>
      </c>
      <c r="D2131" s="80">
        <f t="shared" si="69"/>
        <v>2015</v>
      </c>
      <c r="E2131" t="s">
        <v>38</v>
      </c>
      <c r="F2131" t="s">
        <v>143</v>
      </c>
      <c r="G2131" t="s">
        <v>10</v>
      </c>
      <c r="H2131" s="72" t="s">
        <v>216</v>
      </c>
      <c r="I2131" s="72" t="s">
        <v>58</v>
      </c>
      <c r="J2131" t="str">
        <f t="shared" si="70"/>
        <v>Baker Lake</v>
      </c>
      <c r="K2131" t="str">
        <f>IFERROR(VLOOKUP(J2131,LUTs!$A$1:$C$73,2,FALSE),"NA")</f>
        <v>Whatcom</v>
      </c>
      <c r="L2131" t="str">
        <f>IFERROR(VLOOKUP(J2131,LUTs!$A$1:$C$73,3,FALSE),"NA")</f>
        <v>1North Puget Sound</v>
      </c>
      <c r="M2131" s="72" t="s">
        <v>13</v>
      </c>
      <c r="N2131" t="str">
        <f>VLOOKUP(M2131,LUTs!E$2:H$14,3,)</f>
        <v>01Whatcom</v>
      </c>
      <c r="O2131" t="str">
        <f>VLOOKUP(M2131,LUTs!E$2:H$14,4,)</f>
        <v>01North Puget Sound</v>
      </c>
      <c r="P2131" s="73">
        <v>282.91213389121299</v>
      </c>
      <c r="Q2131" s="74">
        <f>VLOOKUP(B2131,Readme!A$40:C$51,2,)*P2131</f>
        <v>973.21774058577262</v>
      </c>
    </row>
    <row r="2132" spans="1:17" ht="12" customHeight="1" x14ac:dyDescent="0.35">
      <c r="A2132" s="75">
        <v>2131</v>
      </c>
      <c r="B2132" s="64">
        <v>2015</v>
      </c>
      <c r="C2132" s="64">
        <v>9</v>
      </c>
      <c r="D2132" s="80">
        <f t="shared" si="69"/>
        <v>2015</v>
      </c>
      <c r="E2132" t="s">
        <v>38</v>
      </c>
      <c r="F2132" t="s">
        <v>143</v>
      </c>
      <c r="G2132" t="s">
        <v>10</v>
      </c>
      <c r="H2132" s="72" t="s">
        <v>216</v>
      </c>
      <c r="I2132" s="72" t="s">
        <v>58</v>
      </c>
      <c r="J2132" t="str">
        <f t="shared" si="70"/>
        <v>Baker Lake</v>
      </c>
      <c r="K2132" t="str">
        <f>IFERROR(VLOOKUP(J2132,LUTs!$A$1:$C$73,2,FALSE),"NA")</f>
        <v>Whatcom</v>
      </c>
      <c r="L2132" t="str">
        <f>IFERROR(VLOOKUP(J2132,LUTs!$A$1:$C$73,3,FALSE),"NA")</f>
        <v>1North Puget Sound</v>
      </c>
      <c r="M2132" s="72" t="s">
        <v>15</v>
      </c>
      <c r="N2132" t="str">
        <f>VLOOKUP(M2132,LUTs!E$2:H$14,3,)</f>
        <v>02Skagit</v>
      </c>
      <c r="O2132" t="str">
        <f>VLOOKUP(M2132,LUTs!E$2:H$14,4,)</f>
        <v>01North Puget Sound</v>
      </c>
      <c r="P2132" s="73">
        <v>62</v>
      </c>
      <c r="Q2132" s="74">
        <f>VLOOKUP(B2132,Readme!A$40:C$51,2,)*P2132</f>
        <v>213.28</v>
      </c>
    </row>
    <row r="2133" spans="1:17" ht="12" customHeight="1" x14ac:dyDescent="0.35">
      <c r="A2133" s="75">
        <v>2132</v>
      </c>
      <c r="B2133" s="64">
        <v>2015</v>
      </c>
      <c r="C2133" s="64">
        <v>6</v>
      </c>
      <c r="D2133" s="80">
        <f t="shared" si="69"/>
        <v>2015</v>
      </c>
      <c r="E2133" t="s">
        <v>38</v>
      </c>
      <c r="F2133" t="s">
        <v>143</v>
      </c>
      <c r="G2133" t="s">
        <v>10</v>
      </c>
      <c r="H2133" s="72" t="s">
        <v>217</v>
      </c>
      <c r="I2133" s="72" t="s">
        <v>59</v>
      </c>
      <c r="J2133" t="str">
        <f t="shared" si="70"/>
        <v>Cascade River</v>
      </c>
      <c r="K2133" t="str">
        <f>IFERROR(VLOOKUP(J2133,LUTs!$A$1:$C$73,2,FALSE),"NA")</f>
        <v>Skagit</v>
      </c>
      <c r="L2133" t="str">
        <f>IFERROR(VLOOKUP(J2133,LUTs!$A$1:$C$73,3,FALSE),"NA")</f>
        <v>1North Puget Sound</v>
      </c>
      <c r="M2133" s="72" t="s">
        <v>15</v>
      </c>
      <c r="N2133" t="str">
        <f>VLOOKUP(M2133,LUTs!E$2:H$14,3,)</f>
        <v>02Skagit</v>
      </c>
      <c r="O2133" t="str">
        <f>VLOOKUP(M2133,LUTs!E$2:H$14,4,)</f>
        <v>01North Puget Sound</v>
      </c>
      <c r="P2133" s="73">
        <v>9</v>
      </c>
      <c r="Q2133" s="74">
        <f>VLOOKUP(B2133,Readme!A$40:C$51,2,)*P2133</f>
        <v>30.96</v>
      </c>
    </row>
    <row r="2134" spans="1:17" ht="12" customHeight="1" x14ac:dyDescent="0.35">
      <c r="A2134" s="75">
        <v>2133</v>
      </c>
      <c r="B2134" s="64">
        <v>2015</v>
      </c>
      <c r="C2134" s="64">
        <v>9</v>
      </c>
      <c r="D2134" s="80">
        <f t="shared" si="69"/>
        <v>2015</v>
      </c>
      <c r="E2134" t="s">
        <v>38</v>
      </c>
      <c r="F2134" t="s">
        <v>143</v>
      </c>
      <c r="G2134" t="s">
        <v>10</v>
      </c>
      <c r="H2134" s="72" t="s">
        <v>217</v>
      </c>
      <c r="I2134" s="72" t="s">
        <v>59</v>
      </c>
      <c r="J2134" t="str">
        <f t="shared" si="70"/>
        <v>Cascade River</v>
      </c>
      <c r="K2134" t="str">
        <f>IFERROR(VLOOKUP(J2134,LUTs!$A$1:$C$73,2,FALSE),"NA")</f>
        <v>Skagit</v>
      </c>
      <c r="L2134" t="str">
        <f>IFERROR(VLOOKUP(J2134,LUTs!$A$1:$C$73,3,FALSE),"NA")</f>
        <v>1North Puget Sound</v>
      </c>
      <c r="M2134" s="72" t="s">
        <v>15</v>
      </c>
      <c r="N2134" t="str">
        <f>VLOOKUP(M2134,LUTs!E$2:H$14,3,)</f>
        <v>02Skagit</v>
      </c>
      <c r="O2134" t="str">
        <f>VLOOKUP(M2134,LUTs!E$2:H$14,4,)</f>
        <v>01North Puget Sound</v>
      </c>
      <c r="P2134" s="73">
        <v>8.8000000000000007</v>
      </c>
      <c r="Q2134" s="74">
        <f>VLOOKUP(B2134,Readme!A$40:C$51,2,)*P2134</f>
        <v>30.272000000000002</v>
      </c>
    </row>
    <row r="2135" spans="1:17" ht="12" customHeight="1" x14ac:dyDescent="0.35">
      <c r="A2135" s="75">
        <v>2134</v>
      </c>
      <c r="B2135" s="64">
        <v>2015</v>
      </c>
      <c r="C2135" s="64">
        <v>9</v>
      </c>
      <c r="D2135" s="80">
        <f t="shared" si="69"/>
        <v>2015</v>
      </c>
      <c r="E2135" t="s">
        <v>38</v>
      </c>
      <c r="F2135" t="s">
        <v>143</v>
      </c>
      <c r="G2135" t="s">
        <v>10</v>
      </c>
      <c r="H2135" s="72" t="s">
        <v>217</v>
      </c>
      <c r="I2135" s="72" t="s">
        <v>59</v>
      </c>
      <c r="J2135" t="str">
        <f t="shared" si="70"/>
        <v>Cascade River</v>
      </c>
      <c r="K2135" t="str">
        <f>IFERROR(VLOOKUP(J2135,LUTs!$A$1:$C$73,2,FALSE),"NA")</f>
        <v>Skagit</v>
      </c>
      <c r="L2135" t="str">
        <f>IFERROR(VLOOKUP(J2135,LUTs!$A$1:$C$73,3,FALSE),"NA")</f>
        <v>1North Puget Sound</v>
      </c>
      <c r="M2135" s="72" t="s">
        <v>16</v>
      </c>
      <c r="N2135" t="str">
        <f>VLOOKUP(M2135,LUTs!E$2:H$14,3,)</f>
        <v>03Snohomish</v>
      </c>
      <c r="O2135" t="str">
        <f>VLOOKUP(M2135,LUTs!E$2:H$14,4,)</f>
        <v>01North Puget Sound</v>
      </c>
      <c r="P2135" s="73">
        <v>35.200000000000003</v>
      </c>
      <c r="Q2135" s="74">
        <f>VLOOKUP(B2135,Readme!A$40:C$51,2,)*P2135</f>
        <v>121.08800000000001</v>
      </c>
    </row>
    <row r="2136" spans="1:17" ht="12" customHeight="1" x14ac:dyDescent="0.35">
      <c r="A2136" s="75">
        <v>2135</v>
      </c>
      <c r="B2136" s="64">
        <v>2015</v>
      </c>
      <c r="C2136" s="64">
        <v>10</v>
      </c>
      <c r="D2136" s="80">
        <f t="shared" si="69"/>
        <v>2015</v>
      </c>
      <c r="E2136" t="s">
        <v>38</v>
      </c>
      <c r="F2136" t="s">
        <v>143</v>
      </c>
      <c r="G2136" t="s">
        <v>10</v>
      </c>
      <c r="H2136" s="72" t="s">
        <v>217</v>
      </c>
      <c r="I2136" s="72" t="s">
        <v>59</v>
      </c>
      <c r="J2136" t="str">
        <f t="shared" si="70"/>
        <v>Cascade River</v>
      </c>
      <c r="K2136" t="str">
        <f>IFERROR(VLOOKUP(J2136,LUTs!$A$1:$C$73,2,FALSE),"NA")</f>
        <v>Skagit</v>
      </c>
      <c r="L2136" t="str">
        <f>IFERROR(VLOOKUP(J2136,LUTs!$A$1:$C$73,3,FALSE),"NA")</f>
        <v>1North Puget Sound</v>
      </c>
      <c r="M2136" s="72" t="s">
        <v>17</v>
      </c>
      <c r="N2136" t="str">
        <f>VLOOKUP(M2136,LUTs!E$2:H$14,3,)</f>
        <v>04Island</v>
      </c>
      <c r="O2136" t="str">
        <f>VLOOKUP(M2136,LUTs!E$2:H$14,4,)</f>
        <v>01North Puget Sound</v>
      </c>
      <c r="P2136" s="73">
        <v>96.684210526315795</v>
      </c>
      <c r="Q2136" s="74">
        <f>VLOOKUP(B2136,Readme!A$40:C$51,2,)*P2136</f>
        <v>332.59368421052631</v>
      </c>
    </row>
    <row r="2137" spans="1:17" ht="12" customHeight="1" x14ac:dyDescent="0.35">
      <c r="A2137" s="75">
        <v>2136</v>
      </c>
      <c r="B2137" s="64">
        <v>2015</v>
      </c>
      <c r="C2137" s="64">
        <v>10</v>
      </c>
      <c r="D2137" s="80">
        <f t="shared" si="69"/>
        <v>2015</v>
      </c>
      <c r="E2137" t="s">
        <v>38</v>
      </c>
      <c r="F2137" t="s">
        <v>143</v>
      </c>
      <c r="G2137" t="s">
        <v>10</v>
      </c>
      <c r="H2137" s="72" t="s">
        <v>217</v>
      </c>
      <c r="I2137" s="72" t="s">
        <v>59</v>
      </c>
      <c r="J2137" t="str">
        <f t="shared" si="70"/>
        <v>Cascade River</v>
      </c>
      <c r="K2137" t="str">
        <f>IFERROR(VLOOKUP(J2137,LUTs!$A$1:$C$73,2,FALSE),"NA")</f>
        <v>Skagit</v>
      </c>
      <c r="L2137" t="str">
        <f>IFERROR(VLOOKUP(J2137,LUTs!$A$1:$C$73,3,FALSE),"NA")</f>
        <v>1North Puget Sound</v>
      </c>
      <c r="M2137" s="72" t="s">
        <v>18</v>
      </c>
      <c r="N2137" t="str">
        <f>VLOOKUP(M2137,LUTs!E$2:H$14,3,)</f>
        <v>06King</v>
      </c>
      <c r="O2137" t="str">
        <f>VLOOKUP(M2137,LUTs!E$2:H$14,4,)</f>
        <v>02South Puget Sound</v>
      </c>
      <c r="P2137" s="73">
        <v>26.3684210526316</v>
      </c>
      <c r="Q2137" s="74">
        <f>VLOOKUP(B2137,Readme!A$40:C$51,2,)*P2137</f>
        <v>90.707368421052706</v>
      </c>
    </row>
    <row r="2138" spans="1:17" ht="12" customHeight="1" x14ac:dyDescent="0.35">
      <c r="A2138" s="75">
        <v>2137</v>
      </c>
      <c r="B2138" s="64">
        <v>2015</v>
      </c>
      <c r="C2138" s="64">
        <v>10</v>
      </c>
      <c r="D2138" s="80">
        <f t="shared" si="69"/>
        <v>2015</v>
      </c>
      <c r="E2138" t="s">
        <v>38</v>
      </c>
      <c r="F2138" t="s">
        <v>143</v>
      </c>
      <c r="G2138" t="s">
        <v>10</v>
      </c>
      <c r="H2138" s="72" t="s">
        <v>217</v>
      </c>
      <c r="I2138" s="72" t="s">
        <v>59</v>
      </c>
      <c r="J2138" t="str">
        <f t="shared" si="70"/>
        <v>Cascade River</v>
      </c>
      <c r="K2138" t="str">
        <f>IFERROR(VLOOKUP(J2138,LUTs!$A$1:$C$73,2,FALSE),"NA")</f>
        <v>Skagit</v>
      </c>
      <c r="L2138" t="str">
        <f>IFERROR(VLOOKUP(J2138,LUTs!$A$1:$C$73,3,FALSE),"NA")</f>
        <v>1North Puget Sound</v>
      </c>
      <c r="M2138" s="72" t="s">
        <v>15</v>
      </c>
      <c r="N2138" t="str">
        <f>VLOOKUP(M2138,LUTs!E$2:H$14,3,)</f>
        <v>02Skagit</v>
      </c>
      <c r="O2138" t="str">
        <f>VLOOKUP(M2138,LUTs!E$2:H$14,4,)</f>
        <v>01North Puget Sound</v>
      </c>
      <c r="P2138" s="73">
        <v>96.684210526315795</v>
      </c>
      <c r="Q2138" s="74">
        <f>VLOOKUP(B2138,Readme!A$40:C$51,2,)*P2138</f>
        <v>332.59368421052631</v>
      </c>
    </row>
    <row r="2139" spans="1:17" ht="12" customHeight="1" x14ac:dyDescent="0.35">
      <c r="A2139" s="75">
        <v>2138</v>
      </c>
      <c r="B2139" s="64">
        <v>2015</v>
      </c>
      <c r="C2139" s="64">
        <v>10</v>
      </c>
      <c r="D2139" s="80">
        <f t="shared" si="69"/>
        <v>2015</v>
      </c>
      <c r="E2139" t="s">
        <v>38</v>
      </c>
      <c r="F2139" t="s">
        <v>143</v>
      </c>
      <c r="G2139" t="s">
        <v>10</v>
      </c>
      <c r="H2139" s="72" t="s">
        <v>217</v>
      </c>
      <c r="I2139" s="72" t="s">
        <v>59</v>
      </c>
      <c r="J2139" t="str">
        <f t="shared" si="70"/>
        <v>Cascade River</v>
      </c>
      <c r="K2139" t="str">
        <f>IFERROR(VLOOKUP(J2139,LUTs!$A$1:$C$73,2,FALSE),"NA")</f>
        <v>Skagit</v>
      </c>
      <c r="L2139" t="str">
        <f>IFERROR(VLOOKUP(J2139,LUTs!$A$1:$C$73,3,FALSE),"NA")</f>
        <v>1North Puget Sound</v>
      </c>
      <c r="M2139" s="72" t="s">
        <v>16</v>
      </c>
      <c r="N2139" t="str">
        <f>VLOOKUP(M2139,LUTs!E$2:H$14,3,)</f>
        <v>03Snohomish</v>
      </c>
      <c r="O2139" t="str">
        <f>VLOOKUP(M2139,LUTs!E$2:H$14,4,)</f>
        <v>01North Puget Sound</v>
      </c>
      <c r="P2139" s="73">
        <v>114.26315789473701</v>
      </c>
      <c r="Q2139" s="74">
        <f>VLOOKUP(B2139,Readme!A$40:C$51,2,)*P2139</f>
        <v>393.06526315789529</v>
      </c>
    </row>
    <row r="2140" spans="1:17" ht="12" customHeight="1" x14ac:dyDescent="0.35">
      <c r="A2140" s="75">
        <v>2139</v>
      </c>
      <c r="B2140" s="64">
        <v>2015</v>
      </c>
      <c r="C2140" s="64">
        <v>11</v>
      </c>
      <c r="D2140" s="80">
        <f t="shared" si="69"/>
        <v>2015</v>
      </c>
      <c r="E2140" t="s">
        <v>38</v>
      </c>
      <c r="F2140" t="s">
        <v>143</v>
      </c>
      <c r="G2140" t="s">
        <v>10</v>
      </c>
      <c r="H2140" s="72" t="s">
        <v>217</v>
      </c>
      <c r="I2140" s="72" t="s">
        <v>59</v>
      </c>
      <c r="J2140" t="str">
        <f t="shared" si="70"/>
        <v>Cascade River</v>
      </c>
      <c r="K2140" t="str">
        <f>IFERROR(VLOOKUP(J2140,LUTs!$A$1:$C$73,2,FALSE),"NA")</f>
        <v>Skagit</v>
      </c>
      <c r="L2140" t="str">
        <f>IFERROR(VLOOKUP(J2140,LUTs!$A$1:$C$73,3,FALSE),"NA")</f>
        <v>1North Puget Sound</v>
      </c>
      <c r="M2140" s="72" t="s">
        <v>15</v>
      </c>
      <c r="N2140" t="str">
        <f>VLOOKUP(M2140,LUTs!E$2:H$14,3,)</f>
        <v>02Skagit</v>
      </c>
      <c r="O2140" t="str">
        <f>VLOOKUP(M2140,LUTs!E$2:H$14,4,)</f>
        <v>01North Puget Sound</v>
      </c>
      <c r="P2140" s="73">
        <v>9</v>
      </c>
      <c r="Q2140" s="74">
        <f>VLOOKUP(B2140,Readme!A$40:C$51,2,)*P2140</f>
        <v>30.96</v>
      </c>
    </row>
    <row r="2141" spans="1:17" ht="12" customHeight="1" x14ac:dyDescent="0.35">
      <c r="A2141" s="75">
        <v>2140</v>
      </c>
      <c r="B2141" s="64">
        <v>2015</v>
      </c>
      <c r="C2141" s="64">
        <v>11</v>
      </c>
      <c r="D2141" s="80">
        <f t="shared" si="69"/>
        <v>2015</v>
      </c>
      <c r="E2141" t="s">
        <v>38</v>
      </c>
      <c r="F2141" t="s">
        <v>143</v>
      </c>
      <c r="G2141" t="s">
        <v>10</v>
      </c>
      <c r="H2141" s="72" t="s">
        <v>217</v>
      </c>
      <c r="I2141" s="72" t="s">
        <v>59</v>
      </c>
      <c r="J2141" t="str">
        <f t="shared" si="70"/>
        <v>Cascade River</v>
      </c>
      <c r="K2141" t="str">
        <f>IFERROR(VLOOKUP(J2141,LUTs!$A$1:$C$73,2,FALSE),"NA")</f>
        <v>Skagit</v>
      </c>
      <c r="L2141" t="str">
        <f>IFERROR(VLOOKUP(J2141,LUTs!$A$1:$C$73,3,FALSE),"NA")</f>
        <v>1North Puget Sound</v>
      </c>
      <c r="M2141" s="72" t="s">
        <v>16</v>
      </c>
      <c r="N2141" t="str">
        <f>VLOOKUP(M2141,LUTs!E$2:H$14,3,)</f>
        <v>03Snohomish</v>
      </c>
      <c r="O2141" t="str">
        <f>VLOOKUP(M2141,LUTs!E$2:H$14,4,)</f>
        <v>01North Puget Sound</v>
      </c>
      <c r="P2141" s="73">
        <v>9</v>
      </c>
      <c r="Q2141" s="74">
        <f>VLOOKUP(B2141,Readme!A$40:C$51,2,)*P2141</f>
        <v>30.96</v>
      </c>
    </row>
    <row r="2142" spans="1:17" ht="12" customHeight="1" x14ac:dyDescent="0.35">
      <c r="A2142" s="75">
        <v>2141</v>
      </c>
      <c r="B2142" s="64">
        <v>2015</v>
      </c>
      <c r="C2142" s="64">
        <v>6</v>
      </c>
      <c r="D2142" s="80">
        <f t="shared" si="69"/>
        <v>2015</v>
      </c>
      <c r="E2142" t="s">
        <v>38</v>
      </c>
      <c r="F2142" t="s">
        <v>143</v>
      </c>
      <c r="G2142" t="s">
        <v>10</v>
      </c>
      <c r="H2142" s="72" t="s">
        <v>218</v>
      </c>
      <c r="I2142" s="72" t="s">
        <v>60</v>
      </c>
      <c r="J2142" t="str">
        <f t="shared" si="70"/>
        <v>Skagit River</v>
      </c>
      <c r="K2142" t="str">
        <f>IFERROR(VLOOKUP(J2142,LUTs!$A$1:$C$73,2,FALSE),"NA")</f>
        <v>Skagit/Whatcom</v>
      </c>
      <c r="L2142" t="str">
        <f>IFERROR(VLOOKUP(J2142,LUTs!$A$1:$C$73,3,FALSE),"NA")</f>
        <v>2Central Puget Sound</v>
      </c>
      <c r="M2142" s="72" t="s">
        <v>17</v>
      </c>
      <c r="N2142" t="str">
        <f>VLOOKUP(M2142,LUTs!E$2:H$14,3,)</f>
        <v>04Island</v>
      </c>
      <c r="O2142" t="str">
        <f>VLOOKUP(M2142,LUTs!E$2:H$14,4,)</f>
        <v>01North Puget Sound</v>
      </c>
      <c r="P2142" s="73">
        <v>8.7931034482758594</v>
      </c>
      <c r="Q2142" s="74">
        <f>VLOOKUP(B2142,Readme!A$40:C$51,2,)*P2142</f>
        <v>30.248275862068954</v>
      </c>
    </row>
    <row r="2143" spans="1:17" ht="12" customHeight="1" x14ac:dyDescent="0.35">
      <c r="A2143" s="75">
        <v>2142</v>
      </c>
      <c r="B2143" s="64">
        <v>2015</v>
      </c>
      <c r="C2143" s="64">
        <v>6</v>
      </c>
      <c r="D2143" s="80">
        <f t="shared" si="69"/>
        <v>2015</v>
      </c>
      <c r="E2143" t="s">
        <v>38</v>
      </c>
      <c r="F2143" t="s">
        <v>143</v>
      </c>
      <c r="G2143" t="s">
        <v>10</v>
      </c>
      <c r="H2143" s="72" t="s">
        <v>218</v>
      </c>
      <c r="I2143" s="72" t="s">
        <v>60</v>
      </c>
      <c r="J2143" t="str">
        <f t="shared" si="70"/>
        <v>Skagit River</v>
      </c>
      <c r="K2143" t="str">
        <f>IFERROR(VLOOKUP(J2143,LUTs!$A$1:$C$73,2,FALSE),"NA")</f>
        <v>Skagit/Whatcom</v>
      </c>
      <c r="L2143" t="str">
        <f>IFERROR(VLOOKUP(J2143,LUTs!$A$1:$C$73,3,FALSE),"NA")</f>
        <v>2Central Puget Sound</v>
      </c>
      <c r="M2143" s="72" t="s">
        <v>18</v>
      </c>
      <c r="N2143" t="str">
        <f>VLOOKUP(M2143,LUTs!E$2:H$14,3,)</f>
        <v>06King</v>
      </c>
      <c r="O2143" t="str">
        <f>VLOOKUP(M2143,LUTs!E$2:H$14,4,)</f>
        <v>02South Puget Sound</v>
      </c>
      <c r="P2143" s="73">
        <v>8.7931034482758594</v>
      </c>
      <c r="Q2143" s="74">
        <f>VLOOKUP(B2143,Readme!A$40:C$51,2,)*P2143</f>
        <v>30.248275862068954</v>
      </c>
    </row>
    <row r="2144" spans="1:17" ht="12" customHeight="1" x14ac:dyDescent="0.35">
      <c r="A2144" s="75">
        <v>2143</v>
      </c>
      <c r="B2144" s="64">
        <v>2015</v>
      </c>
      <c r="C2144" s="64">
        <v>6</v>
      </c>
      <c r="D2144" s="80">
        <f t="shared" si="69"/>
        <v>2015</v>
      </c>
      <c r="E2144" t="s">
        <v>38</v>
      </c>
      <c r="F2144" t="s">
        <v>143</v>
      </c>
      <c r="G2144" t="s">
        <v>10</v>
      </c>
      <c r="H2144" s="72" t="s">
        <v>218</v>
      </c>
      <c r="I2144" s="72" t="s">
        <v>60</v>
      </c>
      <c r="J2144" t="str">
        <f t="shared" si="70"/>
        <v>Skagit River</v>
      </c>
      <c r="K2144" t="str">
        <f>IFERROR(VLOOKUP(J2144,LUTs!$A$1:$C$73,2,FALSE),"NA")</f>
        <v>Skagit/Whatcom</v>
      </c>
      <c r="L2144" t="str">
        <f>IFERROR(VLOOKUP(J2144,LUTs!$A$1:$C$73,3,FALSE),"NA")</f>
        <v>2Central Puget Sound</v>
      </c>
      <c r="M2144" s="72" t="s">
        <v>26</v>
      </c>
      <c r="N2144" t="str">
        <f>VLOOKUP(M2144,LUTs!E$2:H$14,3,)</f>
        <v>20Other</v>
      </c>
      <c r="O2144" t="str">
        <f>VLOOKUP(M2144,LUTs!E$2:H$14,4,)</f>
        <v>07Non Puget Sound</v>
      </c>
      <c r="P2144" s="73">
        <v>35.172413793103502</v>
      </c>
      <c r="Q2144" s="74">
        <f>VLOOKUP(B2144,Readme!A$40:C$51,2,)*P2144</f>
        <v>120.99310344827605</v>
      </c>
    </row>
    <row r="2145" spans="1:17" ht="12" customHeight="1" x14ac:dyDescent="0.35">
      <c r="A2145" s="75">
        <v>2144</v>
      </c>
      <c r="B2145" s="64">
        <v>2015</v>
      </c>
      <c r="C2145" s="64">
        <v>6</v>
      </c>
      <c r="D2145" s="80">
        <f t="shared" si="69"/>
        <v>2015</v>
      </c>
      <c r="E2145" t="s">
        <v>38</v>
      </c>
      <c r="F2145" t="s">
        <v>143</v>
      </c>
      <c r="G2145" t="s">
        <v>10</v>
      </c>
      <c r="H2145" s="72" t="s">
        <v>218</v>
      </c>
      <c r="I2145" s="72" t="s">
        <v>60</v>
      </c>
      <c r="J2145" t="str">
        <f t="shared" si="70"/>
        <v>Skagit River</v>
      </c>
      <c r="K2145" t="str">
        <f>IFERROR(VLOOKUP(J2145,LUTs!$A$1:$C$73,2,FALSE),"NA")</f>
        <v>Skagit/Whatcom</v>
      </c>
      <c r="L2145" t="str">
        <f>IFERROR(VLOOKUP(J2145,LUTs!$A$1:$C$73,3,FALSE),"NA")</f>
        <v>2Central Puget Sound</v>
      </c>
      <c r="M2145" s="72" t="s">
        <v>15</v>
      </c>
      <c r="N2145" t="str">
        <f>VLOOKUP(M2145,LUTs!E$2:H$14,3,)</f>
        <v>02Skagit</v>
      </c>
      <c r="O2145" t="str">
        <f>VLOOKUP(M2145,LUTs!E$2:H$14,4,)</f>
        <v>01North Puget Sound</v>
      </c>
      <c r="P2145" s="73">
        <v>307.758620689655</v>
      </c>
      <c r="Q2145" s="74">
        <f>VLOOKUP(B2145,Readme!A$40:C$51,2,)*P2145</f>
        <v>1058.6896551724133</v>
      </c>
    </row>
    <row r="2146" spans="1:17" ht="12" customHeight="1" x14ac:dyDescent="0.35">
      <c r="A2146" s="75">
        <v>2145</v>
      </c>
      <c r="B2146" s="64">
        <v>2015</v>
      </c>
      <c r="C2146" s="64">
        <v>6</v>
      </c>
      <c r="D2146" s="80">
        <f t="shared" si="69"/>
        <v>2015</v>
      </c>
      <c r="E2146" t="s">
        <v>38</v>
      </c>
      <c r="F2146" t="s">
        <v>143</v>
      </c>
      <c r="G2146" t="s">
        <v>10</v>
      </c>
      <c r="H2146" s="72" t="s">
        <v>218</v>
      </c>
      <c r="I2146" s="72" t="s">
        <v>60</v>
      </c>
      <c r="J2146" t="str">
        <f t="shared" si="70"/>
        <v>Skagit River</v>
      </c>
      <c r="K2146" t="str">
        <f>IFERROR(VLOOKUP(J2146,LUTs!$A$1:$C$73,2,FALSE),"NA")</f>
        <v>Skagit/Whatcom</v>
      </c>
      <c r="L2146" t="str">
        <f>IFERROR(VLOOKUP(J2146,LUTs!$A$1:$C$73,3,FALSE),"NA")</f>
        <v>2Central Puget Sound</v>
      </c>
      <c r="M2146" s="72" t="s">
        <v>16</v>
      </c>
      <c r="N2146" t="str">
        <f>VLOOKUP(M2146,LUTs!E$2:H$14,3,)</f>
        <v>03Snohomish</v>
      </c>
      <c r="O2146" t="str">
        <f>VLOOKUP(M2146,LUTs!E$2:H$14,4,)</f>
        <v>01North Puget Sound</v>
      </c>
      <c r="P2146" s="73">
        <v>140.68965517241401</v>
      </c>
      <c r="Q2146" s="74">
        <f>VLOOKUP(B2146,Readme!A$40:C$51,2,)*P2146</f>
        <v>483.97241379310418</v>
      </c>
    </row>
    <row r="2147" spans="1:17" ht="12" customHeight="1" x14ac:dyDescent="0.35">
      <c r="A2147" s="75">
        <v>2146</v>
      </c>
      <c r="B2147" s="64">
        <v>2015</v>
      </c>
      <c r="C2147" s="64">
        <v>6</v>
      </c>
      <c r="D2147" s="80">
        <f t="shared" si="69"/>
        <v>2015</v>
      </c>
      <c r="E2147" t="s">
        <v>38</v>
      </c>
      <c r="F2147" t="s">
        <v>143</v>
      </c>
      <c r="G2147" t="s">
        <v>10</v>
      </c>
      <c r="H2147" s="72" t="s">
        <v>218</v>
      </c>
      <c r="I2147" s="72" t="s">
        <v>60</v>
      </c>
      <c r="J2147" t="str">
        <f t="shared" si="70"/>
        <v>Skagit River</v>
      </c>
      <c r="K2147" t="str">
        <f>IFERROR(VLOOKUP(J2147,LUTs!$A$1:$C$73,2,FALSE),"NA")</f>
        <v>Skagit/Whatcom</v>
      </c>
      <c r="L2147" t="str">
        <f>IFERROR(VLOOKUP(J2147,LUTs!$A$1:$C$73,3,FALSE),"NA")</f>
        <v>2Central Puget Sound</v>
      </c>
      <c r="M2147" s="72" t="s">
        <v>13</v>
      </c>
      <c r="N2147" t="str">
        <f>VLOOKUP(M2147,LUTs!E$2:H$14,3,)</f>
        <v>01Whatcom</v>
      </c>
      <c r="O2147" t="str">
        <f>VLOOKUP(M2147,LUTs!E$2:H$14,4,)</f>
        <v>01North Puget Sound</v>
      </c>
      <c r="P2147" s="73">
        <v>8.7931034482758594</v>
      </c>
      <c r="Q2147" s="74">
        <f>VLOOKUP(B2147,Readme!A$40:C$51,2,)*P2147</f>
        <v>30.248275862068954</v>
      </c>
    </row>
    <row r="2148" spans="1:17" ht="12" customHeight="1" x14ac:dyDescent="0.35">
      <c r="A2148" s="75">
        <v>2147</v>
      </c>
      <c r="B2148" s="64">
        <v>2015</v>
      </c>
      <c r="C2148" s="64">
        <v>7</v>
      </c>
      <c r="D2148" s="80">
        <f t="shared" si="69"/>
        <v>2015</v>
      </c>
      <c r="E2148" t="s">
        <v>38</v>
      </c>
      <c r="F2148" t="s">
        <v>143</v>
      </c>
      <c r="G2148" t="s">
        <v>10</v>
      </c>
      <c r="H2148" s="72" t="s">
        <v>218</v>
      </c>
      <c r="I2148" s="72" t="s">
        <v>60</v>
      </c>
      <c r="J2148" t="str">
        <f t="shared" si="70"/>
        <v>Skagit River</v>
      </c>
      <c r="K2148" t="str">
        <f>IFERROR(VLOOKUP(J2148,LUTs!$A$1:$C$73,2,FALSE),"NA")</f>
        <v>Skagit/Whatcom</v>
      </c>
      <c r="L2148" t="str">
        <f>IFERROR(VLOOKUP(J2148,LUTs!$A$1:$C$73,3,FALSE),"NA")</f>
        <v>2Central Puget Sound</v>
      </c>
      <c r="M2148" s="72" t="s">
        <v>17</v>
      </c>
      <c r="N2148" t="str">
        <f>VLOOKUP(M2148,LUTs!E$2:H$14,3,)</f>
        <v>04Island</v>
      </c>
      <c r="O2148" t="str">
        <f>VLOOKUP(M2148,LUTs!E$2:H$14,4,)</f>
        <v>01North Puget Sound</v>
      </c>
      <c r="P2148" s="73">
        <v>17.629629629629601</v>
      </c>
      <c r="Q2148" s="74">
        <f>VLOOKUP(B2148,Readme!A$40:C$51,2,)*P2148</f>
        <v>60.64592592592583</v>
      </c>
    </row>
    <row r="2149" spans="1:17" ht="12" customHeight="1" x14ac:dyDescent="0.35">
      <c r="A2149" s="75">
        <v>2148</v>
      </c>
      <c r="B2149" s="64">
        <v>2015</v>
      </c>
      <c r="C2149" s="64">
        <v>7</v>
      </c>
      <c r="D2149" s="80">
        <f t="shared" si="69"/>
        <v>2015</v>
      </c>
      <c r="E2149" t="s">
        <v>38</v>
      </c>
      <c r="F2149" t="s">
        <v>143</v>
      </c>
      <c r="G2149" t="s">
        <v>10</v>
      </c>
      <c r="H2149" s="72" t="s">
        <v>218</v>
      </c>
      <c r="I2149" s="72" t="s">
        <v>60</v>
      </c>
      <c r="J2149" t="str">
        <f t="shared" si="70"/>
        <v>Skagit River</v>
      </c>
      <c r="K2149" t="str">
        <f>IFERROR(VLOOKUP(J2149,LUTs!$A$1:$C$73,2,FALSE),"NA")</f>
        <v>Skagit/Whatcom</v>
      </c>
      <c r="L2149" t="str">
        <f>IFERROR(VLOOKUP(J2149,LUTs!$A$1:$C$73,3,FALSE),"NA")</f>
        <v>2Central Puget Sound</v>
      </c>
      <c r="M2149" s="72" t="s">
        <v>18</v>
      </c>
      <c r="N2149" t="str">
        <f>VLOOKUP(M2149,LUTs!E$2:H$14,3,)</f>
        <v>06King</v>
      </c>
      <c r="O2149" t="str">
        <f>VLOOKUP(M2149,LUTs!E$2:H$14,4,)</f>
        <v>02South Puget Sound</v>
      </c>
      <c r="P2149" s="73">
        <v>17.629629629629601</v>
      </c>
      <c r="Q2149" s="74">
        <f>VLOOKUP(B2149,Readme!A$40:C$51,2,)*P2149</f>
        <v>60.64592592592583</v>
      </c>
    </row>
    <row r="2150" spans="1:17" ht="12" customHeight="1" x14ac:dyDescent="0.35">
      <c r="A2150" s="75">
        <v>2149</v>
      </c>
      <c r="B2150" s="64">
        <v>2015</v>
      </c>
      <c r="C2150" s="64">
        <v>7</v>
      </c>
      <c r="D2150" s="80">
        <f t="shared" si="69"/>
        <v>2015</v>
      </c>
      <c r="E2150" t="s">
        <v>38</v>
      </c>
      <c r="F2150" t="s">
        <v>143</v>
      </c>
      <c r="G2150" t="s">
        <v>10</v>
      </c>
      <c r="H2150" s="72" t="s">
        <v>218</v>
      </c>
      <c r="I2150" s="72" t="s">
        <v>60</v>
      </c>
      <c r="J2150" t="str">
        <f t="shared" si="70"/>
        <v>Skagit River</v>
      </c>
      <c r="K2150" t="str">
        <f>IFERROR(VLOOKUP(J2150,LUTs!$A$1:$C$73,2,FALSE),"NA")</f>
        <v>Skagit/Whatcom</v>
      </c>
      <c r="L2150" t="str">
        <f>IFERROR(VLOOKUP(J2150,LUTs!$A$1:$C$73,3,FALSE),"NA")</f>
        <v>2Central Puget Sound</v>
      </c>
      <c r="M2150" s="72" t="s">
        <v>23</v>
      </c>
      <c r="N2150" t="str">
        <f>VLOOKUP(M2150,LUTs!E$2:H$14,3,)</f>
        <v>10Kitsap</v>
      </c>
      <c r="O2150" t="str">
        <f>VLOOKUP(M2150,LUTs!E$2:H$14,4,)</f>
        <v>02South Puget Sound</v>
      </c>
      <c r="P2150" s="73">
        <v>8.8148148148148202</v>
      </c>
      <c r="Q2150" s="74">
        <f>VLOOKUP(B2150,Readme!A$40:C$51,2,)*P2150</f>
        <v>30.322962962962983</v>
      </c>
    </row>
    <row r="2151" spans="1:17" ht="12" customHeight="1" x14ac:dyDescent="0.35">
      <c r="A2151" s="75">
        <v>2150</v>
      </c>
      <c r="B2151" s="64">
        <v>2015</v>
      </c>
      <c r="C2151" s="64">
        <v>7</v>
      </c>
      <c r="D2151" s="80">
        <f t="shared" si="69"/>
        <v>2015</v>
      </c>
      <c r="E2151" t="s">
        <v>38</v>
      </c>
      <c r="F2151" t="s">
        <v>143</v>
      </c>
      <c r="G2151" t="s">
        <v>10</v>
      </c>
      <c r="H2151" s="72" t="s">
        <v>218</v>
      </c>
      <c r="I2151" s="72" t="s">
        <v>60</v>
      </c>
      <c r="J2151" t="str">
        <f t="shared" si="70"/>
        <v>Skagit River</v>
      </c>
      <c r="K2151" t="str">
        <f>IFERROR(VLOOKUP(J2151,LUTs!$A$1:$C$73,2,FALSE),"NA")</f>
        <v>Skagit/Whatcom</v>
      </c>
      <c r="L2151" t="str">
        <f>IFERROR(VLOOKUP(J2151,LUTs!$A$1:$C$73,3,FALSE),"NA")</f>
        <v>2Central Puget Sound</v>
      </c>
      <c r="M2151" s="72" t="s">
        <v>26</v>
      </c>
      <c r="N2151" t="str">
        <f>VLOOKUP(M2151,LUTs!E$2:H$14,3,)</f>
        <v>20Other</v>
      </c>
      <c r="O2151" t="str">
        <f>VLOOKUP(M2151,LUTs!E$2:H$14,4,)</f>
        <v>07Non Puget Sound</v>
      </c>
      <c r="P2151" s="73">
        <v>26.4444444444444</v>
      </c>
      <c r="Q2151" s="74">
        <f>VLOOKUP(B2151,Readme!A$40:C$51,2,)*P2151</f>
        <v>90.968888888888742</v>
      </c>
    </row>
    <row r="2152" spans="1:17" ht="12" customHeight="1" x14ac:dyDescent="0.35">
      <c r="A2152" s="75">
        <v>2151</v>
      </c>
      <c r="B2152" s="64">
        <v>2015</v>
      </c>
      <c r="C2152" s="64">
        <v>7</v>
      </c>
      <c r="D2152" s="80">
        <f t="shared" si="69"/>
        <v>2015</v>
      </c>
      <c r="E2152" t="s">
        <v>38</v>
      </c>
      <c r="F2152" t="s">
        <v>143</v>
      </c>
      <c r="G2152" t="s">
        <v>10</v>
      </c>
      <c r="H2152" s="72" t="s">
        <v>218</v>
      </c>
      <c r="I2152" s="72" t="s">
        <v>60</v>
      </c>
      <c r="J2152" t="str">
        <f t="shared" si="70"/>
        <v>Skagit River</v>
      </c>
      <c r="K2152" t="str">
        <f>IFERROR(VLOOKUP(J2152,LUTs!$A$1:$C$73,2,FALSE),"NA")</f>
        <v>Skagit/Whatcom</v>
      </c>
      <c r="L2152" t="str">
        <f>IFERROR(VLOOKUP(J2152,LUTs!$A$1:$C$73,3,FALSE),"NA")</f>
        <v>2Central Puget Sound</v>
      </c>
      <c r="M2152" s="72" t="s">
        <v>15</v>
      </c>
      <c r="N2152" t="str">
        <f>VLOOKUP(M2152,LUTs!E$2:H$14,3,)</f>
        <v>02Skagit</v>
      </c>
      <c r="O2152" t="str">
        <f>VLOOKUP(M2152,LUTs!E$2:H$14,4,)</f>
        <v>01North Puget Sound</v>
      </c>
      <c r="P2152" s="73">
        <v>502.44444444444503</v>
      </c>
      <c r="Q2152" s="74">
        <f>VLOOKUP(B2152,Readme!A$40:C$51,2,)*P2152</f>
        <v>1728.4088888888909</v>
      </c>
    </row>
    <row r="2153" spans="1:17" ht="12" customHeight="1" x14ac:dyDescent="0.35">
      <c r="A2153" s="75">
        <v>2152</v>
      </c>
      <c r="B2153" s="64">
        <v>2015</v>
      </c>
      <c r="C2153" s="64">
        <v>7</v>
      </c>
      <c r="D2153" s="80">
        <f t="shared" si="69"/>
        <v>2015</v>
      </c>
      <c r="E2153" t="s">
        <v>38</v>
      </c>
      <c r="F2153" t="s">
        <v>143</v>
      </c>
      <c r="G2153" t="s">
        <v>10</v>
      </c>
      <c r="H2153" s="72" t="s">
        <v>218</v>
      </c>
      <c r="I2153" s="72" t="s">
        <v>60</v>
      </c>
      <c r="J2153" t="str">
        <f t="shared" si="70"/>
        <v>Skagit River</v>
      </c>
      <c r="K2153" t="str">
        <f>IFERROR(VLOOKUP(J2153,LUTs!$A$1:$C$73,2,FALSE),"NA")</f>
        <v>Skagit/Whatcom</v>
      </c>
      <c r="L2153" t="str">
        <f>IFERROR(VLOOKUP(J2153,LUTs!$A$1:$C$73,3,FALSE),"NA")</f>
        <v>2Central Puget Sound</v>
      </c>
      <c r="M2153" s="72" t="s">
        <v>16</v>
      </c>
      <c r="N2153" t="str">
        <f>VLOOKUP(M2153,LUTs!E$2:H$14,3,)</f>
        <v>03Snohomish</v>
      </c>
      <c r="O2153" t="str">
        <f>VLOOKUP(M2153,LUTs!E$2:H$14,4,)</f>
        <v>01North Puget Sound</v>
      </c>
      <c r="P2153" s="73">
        <v>88.148148148148195</v>
      </c>
      <c r="Q2153" s="74">
        <f>VLOOKUP(B2153,Readme!A$40:C$51,2,)*P2153</f>
        <v>303.22962962962981</v>
      </c>
    </row>
    <row r="2154" spans="1:17" ht="12" customHeight="1" x14ac:dyDescent="0.35">
      <c r="A2154" s="75">
        <v>2153</v>
      </c>
      <c r="B2154" s="64">
        <v>2015</v>
      </c>
      <c r="C2154" s="64">
        <v>7</v>
      </c>
      <c r="D2154" s="80">
        <f t="shared" si="69"/>
        <v>2015</v>
      </c>
      <c r="E2154" t="s">
        <v>38</v>
      </c>
      <c r="F2154" t="s">
        <v>143</v>
      </c>
      <c r="G2154" t="s">
        <v>10</v>
      </c>
      <c r="H2154" s="72" t="s">
        <v>218</v>
      </c>
      <c r="I2154" s="72" t="s">
        <v>60</v>
      </c>
      <c r="J2154" t="str">
        <f t="shared" si="70"/>
        <v>Skagit River</v>
      </c>
      <c r="K2154" t="str">
        <f>IFERROR(VLOOKUP(J2154,LUTs!$A$1:$C$73,2,FALSE),"NA")</f>
        <v>Skagit/Whatcom</v>
      </c>
      <c r="L2154" t="str">
        <f>IFERROR(VLOOKUP(J2154,LUTs!$A$1:$C$73,3,FALSE),"NA")</f>
        <v>2Central Puget Sound</v>
      </c>
      <c r="M2154" s="72" t="s">
        <v>21</v>
      </c>
      <c r="N2154" t="str">
        <f>VLOOKUP(M2154,LUTs!E$2:H$14,3,)</f>
        <v>08Thurston</v>
      </c>
      <c r="O2154" t="str">
        <f>VLOOKUP(M2154,LUTs!E$2:H$14,4,)</f>
        <v>02South Puget Sound</v>
      </c>
      <c r="P2154" s="73">
        <v>17.629629629629601</v>
      </c>
      <c r="Q2154" s="74">
        <f>VLOOKUP(B2154,Readme!A$40:C$51,2,)*P2154</f>
        <v>60.64592592592583</v>
      </c>
    </row>
    <row r="2155" spans="1:17" ht="12" customHeight="1" x14ac:dyDescent="0.35">
      <c r="A2155" s="75">
        <v>2154</v>
      </c>
      <c r="B2155" s="64">
        <v>2015</v>
      </c>
      <c r="C2155" s="64">
        <v>7</v>
      </c>
      <c r="D2155" s="80">
        <f t="shared" si="69"/>
        <v>2015</v>
      </c>
      <c r="E2155" t="s">
        <v>38</v>
      </c>
      <c r="F2155" t="s">
        <v>143</v>
      </c>
      <c r="G2155" t="s">
        <v>10</v>
      </c>
      <c r="H2155" s="72" t="s">
        <v>218</v>
      </c>
      <c r="I2155" s="72" t="s">
        <v>60</v>
      </c>
      <c r="J2155" t="str">
        <f t="shared" si="70"/>
        <v>Skagit River</v>
      </c>
      <c r="K2155" t="str">
        <f>IFERROR(VLOOKUP(J2155,LUTs!$A$1:$C$73,2,FALSE),"NA")</f>
        <v>Skagit/Whatcom</v>
      </c>
      <c r="L2155" t="str">
        <f>IFERROR(VLOOKUP(J2155,LUTs!$A$1:$C$73,3,FALSE),"NA")</f>
        <v>2Central Puget Sound</v>
      </c>
      <c r="M2155" s="72" t="s">
        <v>13</v>
      </c>
      <c r="N2155" t="str">
        <f>VLOOKUP(M2155,LUTs!E$2:H$14,3,)</f>
        <v>01Whatcom</v>
      </c>
      <c r="O2155" t="str">
        <f>VLOOKUP(M2155,LUTs!E$2:H$14,4,)</f>
        <v>01North Puget Sound</v>
      </c>
      <c r="P2155" s="73">
        <v>35.259259259259302</v>
      </c>
      <c r="Q2155" s="74">
        <f>VLOOKUP(B2155,Readme!A$40:C$51,2,)*P2155</f>
        <v>121.291851851852</v>
      </c>
    </row>
    <row r="2156" spans="1:17" ht="12" customHeight="1" x14ac:dyDescent="0.35">
      <c r="A2156" s="75">
        <v>2155</v>
      </c>
      <c r="B2156" s="64">
        <v>2015</v>
      </c>
      <c r="C2156" s="64">
        <v>8</v>
      </c>
      <c r="D2156" s="80">
        <f t="shared" si="69"/>
        <v>2015</v>
      </c>
      <c r="E2156" t="s">
        <v>38</v>
      </c>
      <c r="F2156" t="s">
        <v>143</v>
      </c>
      <c r="G2156" t="s">
        <v>10</v>
      </c>
      <c r="H2156" s="72" t="s">
        <v>218</v>
      </c>
      <c r="I2156" s="72" t="s">
        <v>60</v>
      </c>
      <c r="J2156" t="str">
        <f t="shared" si="70"/>
        <v>Skagit River</v>
      </c>
      <c r="K2156" t="str">
        <f>IFERROR(VLOOKUP(J2156,LUTs!$A$1:$C$73,2,FALSE),"NA")</f>
        <v>Skagit/Whatcom</v>
      </c>
      <c r="L2156" t="str">
        <f>IFERROR(VLOOKUP(J2156,LUTs!$A$1:$C$73,3,FALSE),"NA")</f>
        <v>2Central Puget Sound</v>
      </c>
      <c r="M2156" s="72" t="s">
        <v>17</v>
      </c>
      <c r="N2156" t="str">
        <f>VLOOKUP(M2156,LUTs!E$2:H$14,3,)</f>
        <v>04Island</v>
      </c>
      <c r="O2156" t="str">
        <f>VLOOKUP(M2156,LUTs!E$2:H$14,4,)</f>
        <v>01North Puget Sound</v>
      </c>
      <c r="P2156" s="73">
        <v>79.586034912718205</v>
      </c>
      <c r="Q2156" s="74">
        <f>VLOOKUP(B2156,Readme!A$40:C$51,2,)*P2156</f>
        <v>273.77596009975065</v>
      </c>
    </row>
    <row r="2157" spans="1:17" ht="12" customHeight="1" x14ac:dyDescent="0.35">
      <c r="A2157" s="75">
        <v>2156</v>
      </c>
      <c r="B2157" s="64">
        <v>2015</v>
      </c>
      <c r="C2157" s="64">
        <v>8</v>
      </c>
      <c r="D2157" s="80">
        <f t="shared" si="69"/>
        <v>2015</v>
      </c>
      <c r="E2157" t="s">
        <v>38</v>
      </c>
      <c r="F2157" t="s">
        <v>143</v>
      </c>
      <c r="G2157" t="s">
        <v>10</v>
      </c>
      <c r="H2157" s="72" t="s">
        <v>218</v>
      </c>
      <c r="I2157" s="72" t="s">
        <v>60</v>
      </c>
      <c r="J2157" t="str">
        <f t="shared" si="70"/>
        <v>Skagit River</v>
      </c>
      <c r="K2157" t="str">
        <f>IFERROR(VLOOKUP(J2157,LUTs!$A$1:$C$73,2,FALSE),"NA")</f>
        <v>Skagit/Whatcom</v>
      </c>
      <c r="L2157" t="str">
        <f>IFERROR(VLOOKUP(J2157,LUTs!$A$1:$C$73,3,FALSE),"NA")</f>
        <v>2Central Puget Sound</v>
      </c>
      <c r="M2157" s="72" t="s">
        <v>18</v>
      </c>
      <c r="N2157" t="str">
        <f>VLOOKUP(M2157,LUTs!E$2:H$14,3,)</f>
        <v>06King</v>
      </c>
      <c r="O2157" t="str">
        <f>VLOOKUP(M2157,LUTs!E$2:H$14,4,)</f>
        <v>02South Puget Sound</v>
      </c>
      <c r="P2157" s="73">
        <v>247.60099750623399</v>
      </c>
      <c r="Q2157" s="74">
        <f>VLOOKUP(B2157,Readme!A$40:C$51,2,)*P2157</f>
        <v>851.74743142144496</v>
      </c>
    </row>
    <row r="2158" spans="1:17" ht="12" customHeight="1" x14ac:dyDescent="0.35">
      <c r="A2158" s="75">
        <v>2157</v>
      </c>
      <c r="B2158" s="64">
        <v>2015</v>
      </c>
      <c r="C2158" s="64">
        <v>8</v>
      </c>
      <c r="D2158" s="80">
        <f t="shared" si="69"/>
        <v>2015</v>
      </c>
      <c r="E2158" t="s">
        <v>38</v>
      </c>
      <c r="F2158" t="s">
        <v>143</v>
      </c>
      <c r="G2158" t="s">
        <v>10</v>
      </c>
      <c r="H2158" s="72" t="s">
        <v>218</v>
      </c>
      <c r="I2158" s="72" t="s">
        <v>60</v>
      </c>
      <c r="J2158" t="str">
        <f t="shared" si="70"/>
        <v>Skagit River</v>
      </c>
      <c r="K2158" t="str">
        <f>IFERROR(VLOOKUP(J2158,LUTs!$A$1:$C$73,2,FALSE),"NA")</f>
        <v>Skagit/Whatcom</v>
      </c>
      <c r="L2158" t="str">
        <f>IFERROR(VLOOKUP(J2158,LUTs!$A$1:$C$73,3,FALSE),"NA")</f>
        <v>2Central Puget Sound</v>
      </c>
      <c r="M2158" s="72" t="s">
        <v>26</v>
      </c>
      <c r="N2158" t="str">
        <f>VLOOKUP(M2158,LUTs!E$2:H$14,3,)</f>
        <v>20Other</v>
      </c>
      <c r="O2158" t="str">
        <f>VLOOKUP(M2158,LUTs!E$2:H$14,4,)</f>
        <v>07Non Puget Sound</v>
      </c>
      <c r="P2158" s="73">
        <v>813.54613466334195</v>
      </c>
      <c r="Q2158" s="74">
        <f>VLOOKUP(B2158,Readme!A$40:C$51,2,)*P2158</f>
        <v>2798.5987032418961</v>
      </c>
    </row>
    <row r="2159" spans="1:17" ht="12" customHeight="1" x14ac:dyDescent="0.35">
      <c r="A2159" s="75">
        <v>2158</v>
      </c>
      <c r="B2159" s="64">
        <v>2015</v>
      </c>
      <c r="C2159" s="64">
        <v>8</v>
      </c>
      <c r="D2159" s="80">
        <f t="shared" si="69"/>
        <v>2015</v>
      </c>
      <c r="E2159" t="s">
        <v>38</v>
      </c>
      <c r="F2159" t="s">
        <v>143</v>
      </c>
      <c r="G2159" t="s">
        <v>10</v>
      </c>
      <c r="H2159" s="72" t="s">
        <v>218</v>
      </c>
      <c r="I2159" s="72" t="s">
        <v>60</v>
      </c>
      <c r="J2159" t="str">
        <f t="shared" si="70"/>
        <v>Skagit River</v>
      </c>
      <c r="K2159" t="str">
        <f>IFERROR(VLOOKUP(J2159,LUTs!$A$1:$C$73,2,FALSE),"NA")</f>
        <v>Skagit/Whatcom</v>
      </c>
      <c r="L2159" t="str">
        <f>IFERROR(VLOOKUP(J2159,LUTs!$A$1:$C$73,3,FALSE),"NA")</f>
        <v>2Central Puget Sound</v>
      </c>
      <c r="M2159" s="72" t="s">
        <v>15</v>
      </c>
      <c r="N2159" t="str">
        <f>VLOOKUP(M2159,LUTs!E$2:H$14,3,)</f>
        <v>02Skagit</v>
      </c>
      <c r="O2159" t="str">
        <f>VLOOKUP(M2159,LUTs!E$2:H$14,4,)</f>
        <v>01North Puget Sound</v>
      </c>
      <c r="P2159" s="73">
        <v>3961.6159600997498</v>
      </c>
      <c r="Q2159" s="74">
        <f>VLOOKUP(B2159,Readme!A$40:C$51,2,)*P2159</f>
        <v>13627.958902743139</v>
      </c>
    </row>
    <row r="2160" spans="1:17" ht="12" customHeight="1" x14ac:dyDescent="0.35">
      <c r="A2160" s="75">
        <v>2159</v>
      </c>
      <c r="B2160" s="64">
        <v>2015</v>
      </c>
      <c r="C2160" s="64">
        <v>8</v>
      </c>
      <c r="D2160" s="80">
        <f t="shared" si="69"/>
        <v>2015</v>
      </c>
      <c r="E2160" t="s">
        <v>38</v>
      </c>
      <c r="F2160" t="s">
        <v>143</v>
      </c>
      <c r="G2160" t="s">
        <v>10</v>
      </c>
      <c r="H2160" s="72" t="s">
        <v>218</v>
      </c>
      <c r="I2160" s="72" t="s">
        <v>60</v>
      </c>
      <c r="J2160" t="str">
        <f t="shared" si="70"/>
        <v>Skagit River</v>
      </c>
      <c r="K2160" t="str">
        <f>IFERROR(VLOOKUP(J2160,LUTs!$A$1:$C$73,2,FALSE),"NA")</f>
        <v>Skagit/Whatcom</v>
      </c>
      <c r="L2160" t="str">
        <f>IFERROR(VLOOKUP(J2160,LUTs!$A$1:$C$73,3,FALSE),"NA")</f>
        <v>2Central Puget Sound</v>
      </c>
      <c r="M2160" s="72" t="s">
        <v>16</v>
      </c>
      <c r="N2160" t="str">
        <f>VLOOKUP(M2160,LUTs!E$2:H$14,3,)</f>
        <v>03Snohomish</v>
      </c>
      <c r="O2160" t="str">
        <f>VLOOKUP(M2160,LUTs!E$2:H$14,4,)</f>
        <v>01North Puget Sound</v>
      </c>
      <c r="P2160" s="73">
        <v>1069.9900249376601</v>
      </c>
      <c r="Q2160" s="74">
        <f>VLOOKUP(B2160,Readme!A$40:C$51,2,)*P2160</f>
        <v>3680.7656857855509</v>
      </c>
    </row>
    <row r="2161" spans="1:17" ht="12" customHeight="1" x14ac:dyDescent="0.35">
      <c r="A2161" s="75">
        <v>2160</v>
      </c>
      <c r="B2161" s="64">
        <v>2015</v>
      </c>
      <c r="C2161" s="64">
        <v>8</v>
      </c>
      <c r="D2161" s="80">
        <f t="shared" si="69"/>
        <v>2015</v>
      </c>
      <c r="E2161" t="s">
        <v>38</v>
      </c>
      <c r="F2161" t="s">
        <v>143</v>
      </c>
      <c r="G2161" t="s">
        <v>10</v>
      </c>
      <c r="H2161" s="72" t="s">
        <v>218</v>
      </c>
      <c r="I2161" s="72" t="s">
        <v>60</v>
      </c>
      <c r="J2161" t="str">
        <f t="shared" si="70"/>
        <v>Skagit River</v>
      </c>
      <c r="K2161" t="str">
        <f>IFERROR(VLOOKUP(J2161,LUTs!$A$1:$C$73,2,FALSE),"NA")</f>
        <v>Skagit/Whatcom</v>
      </c>
      <c r="L2161" t="str">
        <f>IFERROR(VLOOKUP(J2161,LUTs!$A$1:$C$73,3,FALSE),"NA")</f>
        <v>2Central Puget Sound</v>
      </c>
      <c r="M2161" s="72" t="s">
        <v>13</v>
      </c>
      <c r="N2161" t="str">
        <f>VLOOKUP(M2161,LUTs!E$2:H$14,3,)</f>
        <v>01Whatcom</v>
      </c>
      <c r="O2161" t="str">
        <f>VLOOKUP(M2161,LUTs!E$2:H$14,4,)</f>
        <v>01North Puget Sound</v>
      </c>
      <c r="P2161" s="73">
        <v>919.660847880299</v>
      </c>
      <c r="Q2161" s="74">
        <f>VLOOKUP(B2161,Readme!A$40:C$51,2,)*P2161</f>
        <v>3163.6333167082284</v>
      </c>
    </row>
    <row r="2162" spans="1:17" ht="12" customHeight="1" x14ac:dyDescent="0.35">
      <c r="A2162" s="75">
        <v>2161</v>
      </c>
      <c r="B2162" s="64">
        <v>2015</v>
      </c>
      <c r="C2162" s="64">
        <v>9</v>
      </c>
      <c r="D2162" s="80">
        <f t="shared" si="69"/>
        <v>2015</v>
      </c>
      <c r="E2162" t="s">
        <v>38</v>
      </c>
      <c r="F2162" t="s">
        <v>143</v>
      </c>
      <c r="G2162" t="s">
        <v>10</v>
      </c>
      <c r="H2162" s="72" t="s">
        <v>218</v>
      </c>
      <c r="I2162" s="72" t="s">
        <v>60</v>
      </c>
      <c r="J2162" t="str">
        <f t="shared" si="70"/>
        <v>Skagit River</v>
      </c>
      <c r="K2162" t="str">
        <f>IFERROR(VLOOKUP(J2162,LUTs!$A$1:$C$73,2,FALSE),"NA")</f>
        <v>Skagit/Whatcom</v>
      </c>
      <c r="L2162" t="str">
        <f>IFERROR(VLOOKUP(J2162,LUTs!$A$1:$C$73,3,FALSE),"NA")</f>
        <v>2Central Puget Sound</v>
      </c>
      <c r="M2162" s="72" t="s">
        <v>24</v>
      </c>
      <c r="N2162" t="str">
        <f>VLOOKUP(M2162,LUTs!E$2:H$14,3,)</f>
        <v>11Clallam</v>
      </c>
      <c r="O2162" t="str">
        <f>VLOOKUP(M2162,LUTs!E$2:H$14,4,)</f>
        <v>03Strait of Juan de Fuca</v>
      </c>
      <c r="P2162" s="73">
        <v>44.206088029617398</v>
      </c>
      <c r="Q2162" s="74">
        <f>VLOOKUP(B2162,Readme!A$40:C$51,2,)*P2162</f>
        <v>152.06894282188384</v>
      </c>
    </row>
    <row r="2163" spans="1:17" ht="12" customHeight="1" x14ac:dyDescent="0.35">
      <c r="A2163" s="75">
        <v>2162</v>
      </c>
      <c r="B2163" s="64">
        <v>2015</v>
      </c>
      <c r="C2163" s="64">
        <v>9</v>
      </c>
      <c r="D2163" s="80">
        <f t="shared" si="69"/>
        <v>2015</v>
      </c>
      <c r="E2163" t="s">
        <v>38</v>
      </c>
      <c r="F2163" t="s">
        <v>143</v>
      </c>
      <c r="G2163" t="s">
        <v>10</v>
      </c>
      <c r="H2163" s="72" t="s">
        <v>218</v>
      </c>
      <c r="I2163" s="72" t="s">
        <v>60</v>
      </c>
      <c r="J2163" t="str">
        <f t="shared" si="70"/>
        <v>Skagit River</v>
      </c>
      <c r="K2163" t="str">
        <f>IFERROR(VLOOKUP(J2163,LUTs!$A$1:$C$73,2,FALSE),"NA")</f>
        <v>Skagit/Whatcom</v>
      </c>
      <c r="L2163" t="str">
        <f>IFERROR(VLOOKUP(J2163,LUTs!$A$1:$C$73,3,FALSE),"NA")</f>
        <v>2Central Puget Sound</v>
      </c>
      <c r="M2163" s="72" t="s">
        <v>17</v>
      </c>
      <c r="N2163" t="str">
        <f>VLOOKUP(M2163,LUTs!E$2:H$14,3,)</f>
        <v>04Island</v>
      </c>
      <c r="O2163" t="str">
        <f>VLOOKUP(M2163,LUTs!E$2:H$14,4,)</f>
        <v>01North Puget Sound</v>
      </c>
      <c r="P2163" s="73">
        <v>353.64870423693998</v>
      </c>
      <c r="Q2163" s="74">
        <f>VLOOKUP(B2163,Readme!A$40:C$51,2,)*P2163</f>
        <v>1216.5515425750734</v>
      </c>
    </row>
    <row r="2164" spans="1:17" ht="12" customHeight="1" x14ac:dyDescent="0.35">
      <c r="A2164" s="75">
        <v>2163</v>
      </c>
      <c r="B2164" s="64">
        <v>2015</v>
      </c>
      <c r="C2164" s="64">
        <v>9</v>
      </c>
      <c r="D2164" s="80">
        <f t="shared" si="69"/>
        <v>2015</v>
      </c>
      <c r="E2164" t="s">
        <v>38</v>
      </c>
      <c r="F2164" t="s">
        <v>143</v>
      </c>
      <c r="G2164" t="s">
        <v>10</v>
      </c>
      <c r="H2164" s="72" t="s">
        <v>218</v>
      </c>
      <c r="I2164" s="72" t="s">
        <v>60</v>
      </c>
      <c r="J2164" t="str">
        <f t="shared" si="70"/>
        <v>Skagit River</v>
      </c>
      <c r="K2164" t="str">
        <f>IFERROR(VLOOKUP(J2164,LUTs!$A$1:$C$73,2,FALSE),"NA")</f>
        <v>Skagit/Whatcom</v>
      </c>
      <c r="L2164" t="str">
        <f>IFERROR(VLOOKUP(J2164,LUTs!$A$1:$C$73,3,FALSE),"NA")</f>
        <v>2Central Puget Sound</v>
      </c>
      <c r="M2164" s="72" t="s">
        <v>18</v>
      </c>
      <c r="N2164" t="str">
        <f>VLOOKUP(M2164,LUTs!E$2:H$14,3,)</f>
        <v>06King</v>
      </c>
      <c r="O2164" t="str">
        <f>VLOOKUP(M2164,LUTs!E$2:H$14,4,)</f>
        <v>02South Puget Sound</v>
      </c>
      <c r="P2164" s="73">
        <v>371.33113944878698</v>
      </c>
      <c r="Q2164" s="74">
        <f>VLOOKUP(B2164,Readme!A$40:C$51,2,)*P2164</f>
        <v>1277.3791197038272</v>
      </c>
    </row>
    <row r="2165" spans="1:17" ht="12" customHeight="1" x14ac:dyDescent="0.35">
      <c r="A2165" s="75">
        <v>2164</v>
      </c>
      <c r="B2165" s="64">
        <v>2015</v>
      </c>
      <c r="C2165" s="64">
        <v>9</v>
      </c>
      <c r="D2165" s="80">
        <f t="shared" si="69"/>
        <v>2015</v>
      </c>
      <c r="E2165" t="s">
        <v>38</v>
      </c>
      <c r="F2165" t="s">
        <v>143</v>
      </c>
      <c r="G2165" t="s">
        <v>10</v>
      </c>
      <c r="H2165" s="72" t="s">
        <v>218</v>
      </c>
      <c r="I2165" s="72" t="s">
        <v>60</v>
      </c>
      <c r="J2165" t="str">
        <f t="shared" si="70"/>
        <v>Skagit River</v>
      </c>
      <c r="K2165" t="str">
        <f>IFERROR(VLOOKUP(J2165,LUTs!$A$1:$C$73,2,FALSE),"NA")</f>
        <v>Skagit/Whatcom</v>
      </c>
      <c r="L2165" t="str">
        <f>IFERROR(VLOOKUP(J2165,LUTs!$A$1:$C$73,3,FALSE),"NA")</f>
        <v>2Central Puget Sound</v>
      </c>
      <c r="M2165" s="72" t="s">
        <v>23</v>
      </c>
      <c r="N2165" t="str">
        <f>VLOOKUP(M2165,LUTs!E$2:H$14,3,)</f>
        <v>10Kitsap</v>
      </c>
      <c r="O2165" t="str">
        <f>VLOOKUP(M2165,LUTs!E$2:H$14,4,)</f>
        <v>02South Puget Sound</v>
      </c>
      <c r="P2165" s="73">
        <v>79.570958453311405</v>
      </c>
      <c r="Q2165" s="74">
        <f>VLOOKUP(B2165,Readme!A$40:C$51,2,)*P2165</f>
        <v>273.72409707939124</v>
      </c>
    </row>
    <row r="2166" spans="1:17" ht="12" customHeight="1" x14ac:dyDescent="0.35">
      <c r="A2166" s="75">
        <v>2165</v>
      </c>
      <c r="B2166" s="64">
        <v>2015</v>
      </c>
      <c r="C2166" s="64">
        <v>9</v>
      </c>
      <c r="D2166" s="80">
        <f t="shared" si="69"/>
        <v>2015</v>
      </c>
      <c r="E2166" t="s">
        <v>38</v>
      </c>
      <c r="F2166" t="s">
        <v>143</v>
      </c>
      <c r="G2166" t="s">
        <v>10</v>
      </c>
      <c r="H2166" s="72" t="s">
        <v>218</v>
      </c>
      <c r="I2166" s="72" t="s">
        <v>60</v>
      </c>
      <c r="J2166" t="str">
        <f t="shared" si="70"/>
        <v>Skagit River</v>
      </c>
      <c r="K2166" t="str">
        <f>IFERROR(VLOOKUP(J2166,LUTs!$A$1:$C$73,2,FALSE),"NA")</f>
        <v>Skagit/Whatcom</v>
      </c>
      <c r="L2166" t="str">
        <f>IFERROR(VLOOKUP(J2166,LUTs!$A$1:$C$73,3,FALSE),"NA")</f>
        <v>2Central Puget Sound</v>
      </c>
      <c r="M2166" s="72" t="s">
        <v>22</v>
      </c>
      <c r="N2166" t="str">
        <f>VLOOKUP(M2166,LUTs!E$2:H$14,3,)</f>
        <v>09Mason</v>
      </c>
      <c r="O2166" t="str">
        <f>VLOOKUP(M2166,LUTs!E$2:H$14,4,)</f>
        <v>02South Puget Sound</v>
      </c>
      <c r="P2166" s="73">
        <v>114.93582887700499</v>
      </c>
      <c r="Q2166" s="74">
        <f>VLOOKUP(B2166,Readme!A$40:C$51,2,)*P2166</f>
        <v>395.3792513368972</v>
      </c>
    </row>
    <row r="2167" spans="1:17" ht="12" customHeight="1" x14ac:dyDescent="0.35">
      <c r="A2167" s="75">
        <v>2166</v>
      </c>
      <c r="B2167" s="64">
        <v>2015</v>
      </c>
      <c r="C2167" s="64">
        <v>9</v>
      </c>
      <c r="D2167" s="80">
        <f t="shared" si="69"/>
        <v>2015</v>
      </c>
      <c r="E2167" t="s">
        <v>38</v>
      </c>
      <c r="F2167" t="s">
        <v>143</v>
      </c>
      <c r="G2167" t="s">
        <v>10</v>
      </c>
      <c r="H2167" s="72" t="s">
        <v>218</v>
      </c>
      <c r="I2167" s="72" t="s">
        <v>60</v>
      </c>
      <c r="J2167" t="str">
        <f t="shared" si="70"/>
        <v>Skagit River</v>
      </c>
      <c r="K2167" t="str">
        <f>IFERROR(VLOOKUP(J2167,LUTs!$A$1:$C$73,2,FALSE),"NA")</f>
        <v>Skagit/Whatcom</v>
      </c>
      <c r="L2167" t="str">
        <f>IFERROR(VLOOKUP(J2167,LUTs!$A$1:$C$73,3,FALSE),"NA")</f>
        <v>2Central Puget Sound</v>
      </c>
      <c r="M2167" s="72" t="s">
        <v>26</v>
      </c>
      <c r="N2167" t="str">
        <f>VLOOKUP(M2167,LUTs!E$2:H$14,3,)</f>
        <v>20Other</v>
      </c>
      <c r="O2167" t="str">
        <f>VLOOKUP(M2167,LUTs!E$2:H$14,4,)</f>
        <v>07Non Puget Sound</v>
      </c>
      <c r="P2167" s="73">
        <v>1936.2266556972399</v>
      </c>
      <c r="Q2167" s="74">
        <f>VLOOKUP(B2167,Readme!A$40:C$51,2,)*P2167</f>
        <v>6660.6196955985051</v>
      </c>
    </row>
    <row r="2168" spans="1:17" ht="12" customHeight="1" x14ac:dyDescent="0.35">
      <c r="A2168" s="75">
        <v>2167</v>
      </c>
      <c r="B2168" s="64">
        <v>2015</v>
      </c>
      <c r="C2168" s="64">
        <v>9</v>
      </c>
      <c r="D2168" s="80">
        <f t="shared" si="69"/>
        <v>2015</v>
      </c>
      <c r="E2168" t="s">
        <v>38</v>
      </c>
      <c r="F2168" t="s">
        <v>143</v>
      </c>
      <c r="G2168" t="s">
        <v>10</v>
      </c>
      <c r="H2168" s="72" t="s">
        <v>218</v>
      </c>
      <c r="I2168" s="72" t="s">
        <v>60</v>
      </c>
      <c r="J2168" t="str">
        <f t="shared" si="70"/>
        <v>Skagit River</v>
      </c>
      <c r="K2168" t="str">
        <f>IFERROR(VLOOKUP(J2168,LUTs!$A$1:$C$73,2,FALSE),"NA")</f>
        <v>Skagit/Whatcom</v>
      </c>
      <c r="L2168" t="str">
        <f>IFERROR(VLOOKUP(J2168,LUTs!$A$1:$C$73,3,FALSE),"NA")</f>
        <v>2Central Puget Sound</v>
      </c>
      <c r="M2168" s="72" t="s">
        <v>20</v>
      </c>
      <c r="N2168" t="str">
        <f>VLOOKUP(M2168,LUTs!E$2:H$14,3,)</f>
        <v>07Pierce</v>
      </c>
      <c r="O2168" t="str">
        <f>VLOOKUP(M2168,LUTs!E$2:H$14,4,)</f>
        <v>02South Puget Sound</v>
      </c>
      <c r="P2168" s="73">
        <v>141.459481694776</v>
      </c>
      <c r="Q2168" s="74">
        <f>VLOOKUP(B2168,Readme!A$40:C$51,2,)*P2168</f>
        <v>486.62061703002945</v>
      </c>
    </row>
    <row r="2169" spans="1:17" ht="12" customHeight="1" x14ac:dyDescent="0.35">
      <c r="A2169" s="75">
        <v>2168</v>
      </c>
      <c r="B2169" s="64">
        <v>2015</v>
      </c>
      <c r="C2169" s="64">
        <v>9</v>
      </c>
      <c r="D2169" s="80">
        <f t="shared" si="69"/>
        <v>2015</v>
      </c>
      <c r="E2169" t="s">
        <v>38</v>
      </c>
      <c r="F2169" t="s">
        <v>143</v>
      </c>
      <c r="G2169" t="s">
        <v>10</v>
      </c>
      <c r="H2169" s="72" t="s">
        <v>218</v>
      </c>
      <c r="I2169" s="72" t="s">
        <v>60</v>
      </c>
      <c r="J2169" t="str">
        <f t="shared" si="70"/>
        <v>Skagit River</v>
      </c>
      <c r="K2169" t="str">
        <f>IFERROR(VLOOKUP(J2169,LUTs!$A$1:$C$73,2,FALSE),"NA")</f>
        <v>Skagit/Whatcom</v>
      </c>
      <c r="L2169" t="str">
        <f>IFERROR(VLOOKUP(J2169,LUTs!$A$1:$C$73,3,FALSE),"NA")</f>
        <v>2Central Puget Sound</v>
      </c>
      <c r="M2169" s="72" t="s">
        <v>15</v>
      </c>
      <c r="N2169" t="str">
        <f>VLOOKUP(M2169,LUTs!E$2:H$14,3,)</f>
        <v>02Skagit</v>
      </c>
      <c r="O2169" t="str">
        <f>VLOOKUP(M2169,LUTs!E$2:H$14,4,)</f>
        <v>01North Puget Sound</v>
      </c>
      <c r="P2169" s="73">
        <v>12448.4343891403</v>
      </c>
      <c r="Q2169" s="74">
        <f>VLOOKUP(B2169,Readme!A$40:C$51,2,)*P2169</f>
        <v>42822.614298642635</v>
      </c>
    </row>
    <row r="2170" spans="1:17" ht="12" customHeight="1" x14ac:dyDescent="0.35">
      <c r="A2170" s="75">
        <v>2169</v>
      </c>
      <c r="B2170" s="64">
        <v>2015</v>
      </c>
      <c r="C2170" s="64">
        <v>9</v>
      </c>
      <c r="D2170" s="80">
        <f t="shared" si="69"/>
        <v>2015</v>
      </c>
      <c r="E2170" t="s">
        <v>38</v>
      </c>
      <c r="F2170" t="s">
        <v>143</v>
      </c>
      <c r="G2170" t="s">
        <v>10</v>
      </c>
      <c r="H2170" s="72" t="s">
        <v>218</v>
      </c>
      <c r="I2170" s="72" t="s">
        <v>60</v>
      </c>
      <c r="J2170" t="str">
        <f t="shared" si="70"/>
        <v>Skagit River</v>
      </c>
      <c r="K2170" t="str">
        <f>IFERROR(VLOOKUP(J2170,LUTs!$A$1:$C$73,2,FALSE),"NA")</f>
        <v>Skagit/Whatcom</v>
      </c>
      <c r="L2170" t="str">
        <f>IFERROR(VLOOKUP(J2170,LUTs!$A$1:$C$73,3,FALSE),"NA")</f>
        <v>2Central Puget Sound</v>
      </c>
      <c r="M2170" s="72" t="s">
        <v>16</v>
      </c>
      <c r="N2170" t="str">
        <f>VLOOKUP(M2170,LUTs!E$2:H$14,3,)</f>
        <v>03Snohomish</v>
      </c>
      <c r="O2170" t="str">
        <f>VLOOKUP(M2170,LUTs!E$2:H$14,4,)</f>
        <v>01North Puget Sound</v>
      </c>
      <c r="P2170" s="73">
        <v>2449.0172768408102</v>
      </c>
      <c r="Q2170" s="74">
        <f>VLOOKUP(B2170,Readme!A$40:C$51,2,)*P2170</f>
        <v>8424.6194323323871</v>
      </c>
    </row>
    <row r="2171" spans="1:17" ht="12" customHeight="1" x14ac:dyDescent="0.35">
      <c r="A2171" s="75">
        <v>2170</v>
      </c>
      <c r="B2171" s="64">
        <v>2015</v>
      </c>
      <c r="C2171" s="64">
        <v>9</v>
      </c>
      <c r="D2171" s="80">
        <f t="shared" si="69"/>
        <v>2015</v>
      </c>
      <c r="E2171" t="s">
        <v>38</v>
      </c>
      <c r="F2171" t="s">
        <v>143</v>
      </c>
      <c r="G2171" t="s">
        <v>10</v>
      </c>
      <c r="H2171" s="72" t="s">
        <v>218</v>
      </c>
      <c r="I2171" s="72" t="s">
        <v>60</v>
      </c>
      <c r="J2171" t="str">
        <f t="shared" si="70"/>
        <v>Skagit River</v>
      </c>
      <c r="K2171" t="str">
        <f>IFERROR(VLOOKUP(J2171,LUTs!$A$1:$C$73,2,FALSE),"NA")</f>
        <v>Skagit/Whatcom</v>
      </c>
      <c r="L2171" t="str">
        <f>IFERROR(VLOOKUP(J2171,LUTs!$A$1:$C$73,3,FALSE),"NA")</f>
        <v>2Central Puget Sound</v>
      </c>
      <c r="M2171" s="72" t="s">
        <v>21</v>
      </c>
      <c r="N2171" t="str">
        <f>VLOOKUP(M2171,LUTs!E$2:H$14,3,)</f>
        <v>08Thurston</v>
      </c>
      <c r="O2171" t="str">
        <f>VLOOKUP(M2171,LUTs!E$2:H$14,4,)</f>
        <v>02South Puget Sound</v>
      </c>
      <c r="P2171" s="73">
        <v>265.236528177705</v>
      </c>
      <c r="Q2171" s="74">
        <f>VLOOKUP(B2171,Readme!A$40:C$51,2,)*P2171</f>
        <v>912.41365693130513</v>
      </c>
    </row>
    <row r="2172" spans="1:17" ht="12" customHeight="1" x14ac:dyDescent="0.35">
      <c r="A2172" s="75">
        <v>2171</v>
      </c>
      <c r="B2172" s="64">
        <v>2015</v>
      </c>
      <c r="C2172" s="64">
        <v>9</v>
      </c>
      <c r="D2172" s="80">
        <f t="shared" si="69"/>
        <v>2015</v>
      </c>
      <c r="E2172" t="s">
        <v>38</v>
      </c>
      <c r="F2172" t="s">
        <v>143</v>
      </c>
      <c r="G2172" t="s">
        <v>10</v>
      </c>
      <c r="H2172" s="72" t="s">
        <v>218</v>
      </c>
      <c r="I2172" s="72" t="s">
        <v>60</v>
      </c>
      <c r="J2172" t="str">
        <f t="shared" si="70"/>
        <v>Skagit River</v>
      </c>
      <c r="K2172" t="str">
        <f>IFERROR(VLOOKUP(J2172,LUTs!$A$1:$C$73,2,FALSE),"NA")</f>
        <v>Skagit/Whatcom</v>
      </c>
      <c r="L2172" t="str">
        <f>IFERROR(VLOOKUP(J2172,LUTs!$A$1:$C$73,3,FALSE),"NA")</f>
        <v>2Central Puget Sound</v>
      </c>
      <c r="M2172" s="72" t="s">
        <v>13</v>
      </c>
      <c r="N2172" t="str">
        <f>VLOOKUP(M2172,LUTs!E$2:H$14,3,)</f>
        <v>01Whatcom</v>
      </c>
      <c r="O2172" t="str">
        <f>VLOOKUP(M2172,LUTs!E$2:H$14,4,)</f>
        <v>01North Puget Sound</v>
      </c>
      <c r="P2172" s="73">
        <v>3288.9329494035401</v>
      </c>
      <c r="Q2172" s="74">
        <f>VLOOKUP(B2172,Readme!A$40:C$51,2,)*P2172</f>
        <v>11313.929345948178</v>
      </c>
    </row>
    <row r="2173" spans="1:17" ht="12" customHeight="1" x14ac:dyDescent="0.35">
      <c r="A2173" s="75">
        <v>2172</v>
      </c>
      <c r="B2173" s="64">
        <v>2015</v>
      </c>
      <c r="C2173" s="64">
        <v>10</v>
      </c>
      <c r="D2173" s="80">
        <f t="shared" si="69"/>
        <v>2015</v>
      </c>
      <c r="E2173" t="s">
        <v>38</v>
      </c>
      <c r="F2173" t="s">
        <v>143</v>
      </c>
      <c r="G2173" t="s">
        <v>10</v>
      </c>
      <c r="H2173" s="72" t="s">
        <v>218</v>
      </c>
      <c r="I2173" s="72" t="s">
        <v>60</v>
      </c>
      <c r="J2173" t="str">
        <f t="shared" si="70"/>
        <v>Skagit River</v>
      </c>
      <c r="K2173" t="str">
        <f>IFERROR(VLOOKUP(J2173,LUTs!$A$1:$C$73,2,FALSE),"NA")</f>
        <v>Skagit/Whatcom</v>
      </c>
      <c r="L2173" t="str">
        <f>IFERROR(VLOOKUP(J2173,LUTs!$A$1:$C$73,3,FALSE),"NA")</f>
        <v>2Central Puget Sound</v>
      </c>
      <c r="M2173" s="72" t="s">
        <v>17</v>
      </c>
      <c r="N2173" t="str">
        <f>VLOOKUP(M2173,LUTs!E$2:H$14,3,)</f>
        <v>04Island</v>
      </c>
      <c r="O2173" t="str">
        <f>VLOOKUP(M2173,LUTs!E$2:H$14,4,)</f>
        <v>01North Puget Sound</v>
      </c>
      <c r="P2173" s="73">
        <v>79.336956521739097</v>
      </c>
      <c r="Q2173" s="74">
        <f>VLOOKUP(B2173,Readme!A$40:C$51,2,)*P2173</f>
        <v>272.91913043478252</v>
      </c>
    </row>
    <row r="2174" spans="1:17" ht="12" customHeight="1" x14ac:dyDescent="0.35">
      <c r="A2174" s="75">
        <v>2173</v>
      </c>
      <c r="B2174" s="64">
        <v>2015</v>
      </c>
      <c r="C2174" s="64">
        <v>10</v>
      </c>
      <c r="D2174" s="80">
        <f t="shared" si="69"/>
        <v>2015</v>
      </c>
      <c r="E2174" t="s">
        <v>38</v>
      </c>
      <c r="F2174" t="s">
        <v>143</v>
      </c>
      <c r="G2174" t="s">
        <v>10</v>
      </c>
      <c r="H2174" s="72" t="s">
        <v>218</v>
      </c>
      <c r="I2174" s="72" t="s">
        <v>60</v>
      </c>
      <c r="J2174" t="str">
        <f t="shared" si="70"/>
        <v>Skagit River</v>
      </c>
      <c r="K2174" t="str">
        <f>IFERROR(VLOOKUP(J2174,LUTs!$A$1:$C$73,2,FALSE),"NA")</f>
        <v>Skagit/Whatcom</v>
      </c>
      <c r="L2174" t="str">
        <f>IFERROR(VLOOKUP(J2174,LUTs!$A$1:$C$73,3,FALSE),"NA")</f>
        <v>2Central Puget Sound</v>
      </c>
      <c r="M2174" s="72" t="s">
        <v>18</v>
      </c>
      <c r="N2174" t="str">
        <f>VLOOKUP(M2174,LUTs!E$2:H$14,3,)</f>
        <v>06King</v>
      </c>
      <c r="O2174" t="str">
        <f>VLOOKUP(M2174,LUTs!E$2:H$14,4,)</f>
        <v>02South Puget Sound</v>
      </c>
      <c r="P2174" s="73">
        <v>61.706521739130501</v>
      </c>
      <c r="Q2174" s="74">
        <f>VLOOKUP(B2174,Readme!A$40:C$51,2,)*P2174</f>
        <v>212.27043478260893</v>
      </c>
    </row>
    <row r="2175" spans="1:17" ht="12" customHeight="1" x14ac:dyDescent="0.35">
      <c r="A2175" s="75">
        <v>2174</v>
      </c>
      <c r="B2175" s="64">
        <v>2015</v>
      </c>
      <c r="C2175" s="64">
        <v>10</v>
      </c>
      <c r="D2175" s="80">
        <f t="shared" si="69"/>
        <v>2015</v>
      </c>
      <c r="E2175" t="s">
        <v>38</v>
      </c>
      <c r="F2175" t="s">
        <v>143</v>
      </c>
      <c r="G2175" t="s">
        <v>10</v>
      </c>
      <c r="H2175" s="72" t="s">
        <v>218</v>
      </c>
      <c r="I2175" s="72" t="s">
        <v>60</v>
      </c>
      <c r="J2175" t="str">
        <f t="shared" si="70"/>
        <v>Skagit River</v>
      </c>
      <c r="K2175" t="str">
        <f>IFERROR(VLOOKUP(J2175,LUTs!$A$1:$C$73,2,FALSE),"NA")</f>
        <v>Skagit/Whatcom</v>
      </c>
      <c r="L2175" t="str">
        <f>IFERROR(VLOOKUP(J2175,LUTs!$A$1:$C$73,3,FALSE),"NA")</f>
        <v>2Central Puget Sound</v>
      </c>
      <c r="M2175" s="72" t="s">
        <v>26</v>
      </c>
      <c r="N2175" t="str">
        <f>VLOOKUP(M2175,LUTs!E$2:H$14,3,)</f>
        <v>20Other</v>
      </c>
      <c r="O2175" t="str">
        <f>VLOOKUP(M2175,LUTs!E$2:H$14,4,)</f>
        <v>07Non Puget Sound</v>
      </c>
      <c r="P2175" s="73">
        <v>282.08695652173901</v>
      </c>
      <c r="Q2175" s="74">
        <f>VLOOKUP(B2175,Readme!A$40:C$51,2,)*P2175</f>
        <v>970.37913043478216</v>
      </c>
    </row>
    <row r="2176" spans="1:17" ht="12" customHeight="1" x14ac:dyDescent="0.35">
      <c r="A2176" s="75">
        <v>2175</v>
      </c>
      <c r="B2176" s="64">
        <v>2015</v>
      </c>
      <c r="C2176" s="64">
        <v>10</v>
      </c>
      <c r="D2176" s="80">
        <f t="shared" si="69"/>
        <v>2015</v>
      </c>
      <c r="E2176" t="s">
        <v>38</v>
      </c>
      <c r="F2176" t="s">
        <v>143</v>
      </c>
      <c r="G2176" t="s">
        <v>10</v>
      </c>
      <c r="H2176" s="72" t="s">
        <v>218</v>
      </c>
      <c r="I2176" s="72" t="s">
        <v>60</v>
      </c>
      <c r="J2176" t="str">
        <f t="shared" si="70"/>
        <v>Skagit River</v>
      </c>
      <c r="K2176" t="str">
        <f>IFERROR(VLOOKUP(J2176,LUTs!$A$1:$C$73,2,FALSE),"NA")</f>
        <v>Skagit/Whatcom</v>
      </c>
      <c r="L2176" t="str">
        <f>IFERROR(VLOOKUP(J2176,LUTs!$A$1:$C$73,3,FALSE),"NA")</f>
        <v>2Central Puget Sound</v>
      </c>
      <c r="M2176" s="72" t="s">
        <v>30</v>
      </c>
      <c r="N2176" t="str">
        <f>VLOOKUP(M2176,LUTs!E$2:H$14,3,)</f>
        <v>05San Juan</v>
      </c>
      <c r="O2176" t="str">
        <f>VLOOKUP(M2176,LUTs!E$2:H$14,4,)</f>
        <v>01North Puget Sound</v>
      </c>
      <c r="P2176" s="73">
        <v>35.260869565217398</v>
      </c>
      <c r="Q2176" s="74">
        <f>VLOOKUP(B2176,Readme!A$40:C$51,2,)*P2176</f>
        <v>121.29739130434784</v>
      </c>
    </row>
    <row r="2177" spans="1:17" ht="12" customHeight="1" x14ac:dyDescent="0.35">
      <c r="A2177" s="75">
        <v>2176</v>
      </c>
      <c r="B2177" s="64">
        <v>2015</v>
      </c>
      <c r="C2177" s="64">
        <v>10</v>
      </c>
      <c r="D2177" s="80">
        <f t="shared" si="69"/>
        <v>2015</v>
      </c>
      <c r="E2177" t="s">
        <v>38</v>
      </c>
      <c r="F2177" t="s">
        <v>143</v>
      </c>
      <c r="G2177" t="s">
        <v>10</v>
      </c>
      <c r="H2177" s="72" t="s">
        <v>218</v>
      </c>
      <c r="I2177" s="72" t="s">
        <v>60</v>
      </c>
      <c r="J2177" t="str">
        <f t="shared" si="70"/>
        <v>Skagit River</v>
      </c>
      <c r="K2177" t="str">
        <f>IFERROR(VLOOKUP(J2177,LUTs!$A$1:$C$73,2,FALSE),"NA")</f>
        <v>Skagit/Whatcom</v>
      </c>
      <c r="L2177" t="str">
        <f>IFERROR(VLOOKUP(J2177,LUTs!$A$1:$C$73,3,FALSE),"NA")</f>
        <v>2Central Puget Sound</v>
      </c>
      <c r="M2177" s="72" t="s">
        <v>15</v>
      </c>
      <c r="N2177" t="str">
        <f>VLOOKUP(M2177,LUTs!E$2:H$14,3,)</f>
        <v>02Skagit</v>
      </c>
      <c r="O2177" t="str">
        <f>VLOOKUP(M2177,LUTs!E$2:H$14,4,)</f>
        <v>01North Puget Sound</v>
      </c>
      <c r="P2177" s="73">
        <v>1533.8478260869599</v>
      </c>
      <c r="Q2177" s="74">
        <f>VLOOKUP(B2177,Readme!A$40:C$51,2,)*P2177</f>
        <v>5276.4365217391423</v>
      </c>
    </row>
    <row r="2178" spans="1:17" ht="12" customHeight="1" x14ac:dyDescent="0.35">
      <c r="A2178" s="75">
        <v>2177</v>
      </c>
      <c r="B2178" s="64">
        <v>2015</v>
      </c>
      <c r="C2178" s="64">
        <v>10</v>
      </c>
      <c r="D2178" s="80">
        <f t="shared" ref="D2178:D2233" si="71">IF(C2178&gt;3,B2178,B2178-1)</f>
        <v>2015</v>
      </c>
      <c r="E2178" t="s">
        <v>38</v>
      </c>
      <c r="F2178" t="s">
        <v>143</v>
      </c>
      <c r="G2178" t="s">
        <v>10</v>
      </c>
      <c r="H2178" s="72" t="s">
        <v>218</v>
      </c>
      <c r="I2178" s="72" t="s">
        <v>60</v>
      </c>
      <c r="J2178" t="str">
        <f t="shared" si="70"/>
        <v>Skagit River</v>
      </c>
      <c r="K2178" t="str">
        <f>IFERROR(VLOOKUP(J2178,LUTs!$A$1:$C$73,2,FALSE),"NA")</f>
        <v>Skagit/Whatcom</v>
      </c>
      <c r="L2178" t="str">
        <f>IFERROR(VLOOKUP(J2178,LUTs!$A$1:$C$73,3,FALSE),"NA")</f>
        <v>2Central Puget Sound</v>
      </c>
      <c r="M2178" s="72" t="s">
        <v>16</v>
      </c>
      <c r="N2178" t="str">
        <f>VLOOKUP(M2178,LUTs!E$2:H$14,3,)</f>
        <v>03Snohomish</v>
      </c>
      <c r="O2178" t="str">
        <f>VLOOKUP(M2178,LUTs!E$2:H$14,4,)</f>
        <v>01North Puget Sound</v>
      </c>
      <c r="P2178" s="73">
        <v>264.45652173913101</v>
      </c>
      <c r="Q2178" s="74">
        <f>VLOOKUP(B2178,Readme!A$40:C$51,2,)*P2178</f>
        <v>909.7304347826107</v>
      </c>
    </row>
    <row r="2179" spans="1:17" ht="12" customHeight="1" x14ac:dyDescent="0.35">
      <c r="A2179" s="75">
        <v>2178</v>
      </c>
      <c r="B2179" s="64">
        <v>2015</v>
      </c>
      <c r="C2179" s="64">
        <v>10</v>
      </c>
      <c r="D2179" s="80">
        <f t="shared" si="71"/>
        <v>2015</v>
      </c>
      <c r="E2179" t="s">
        <v>38</v>
      </c>
      <c r="F2179" t="s">
        <v>143</v>
      </c>
      <c r="G2179" t="s">
        <v>10</v>
      </c>
      <c r="H2179" s="72" t="s">
        <v>218</v>
      </c>
      <c r="I2179" s="72" t="s">
        <v>60</v>
      </c>
      <c r="J2179" t="str">
        <f t="shared" ref="J2179:J2242" si="72">I2179</f>
        <v>Skagit River</v>
      </c>
      <c r="K2179" t="str">
        <f>IFERROR(VLOOKUP(J2179,LUTs!$A$1:$C$73,2,FALSE),"NA")</f>
        <v>Skagit/Whatcom</v>
      </c>
      <c r="L2179" t="str">
        <f>IFERROR(VLOOKUP(J2179,LUTs!$A$1:$C$73,3,FALSE),"NA")</f>
        <v>2Central Puget Sound</v>
      </c>
      <c r="M2179" s="72" t="s">
        <v>13</v>
      </c>
      <c r="N2179" t="str">
        <f>VLOOKUP(M2179,LUTs!E$2:H$14,3,)</f>
        <v>01Whatcom</v>
      </c>
      <c r="O2179" t="str">
        <f>VLOOKUP(M2179,LUTs!E$2:H$14,4,)</f>
        <v>01North Puget Sound</v>
      </c>
      <c r="P2179" s="73">
        <v>176.304347826087</v>
      </c>
      <c r="Q2179" s="74">
        <f>VLOOKUP(B2179,Readme!A$40:C$51,2,)*P2179</f>
        <v>606.48695652173922</v>
      </c>
    </row>
    <row r="2180" spans="1:17" ht="12" customHeight="1" x14ac:dyDescent="0.35">
      <c r="A2180" s="75">
        <v>2179</v>
      </c>
      <c r="B2180" s="64">
        <v>2015</v>
      </c>
      <c r="C2180" s="64">
        <v>7</v>
      </c>
      <c r="D2180" s="80">
        <f t="shared" si="71"/>
        <v>2015</v>
      </c>
      <c r="E2180" t="s">
        <v>38</v>
      </c>
      <c r="F2180" t="s">
        <v>143</v>
      </c>
      <c r="G2180" t="s">
        <v>10</v>
      </c>
      <c r="H2180" s="72" t="s">
        <v>219</v>
      </c>
      <c r="I2180" s="72" t="s">
        <v>61</v>
      </c>
      <c r="J2180" t="str">
        <f t="shared" si="72"/>
        <v>Skokomish River</v>
      </c>
      <c r="K2180" t="str">
        <f>IFERROR(VLOOKUP(J2180,LUTs!$A$1:$C$73,2,FALSE),"NA")</f>
        <v>Mason</v>
      </c>
      <c r="L2180" t="str">
        <f>IFERROR(VLOOKUP(J2180,LUTs!$A$1:$C$73,3,FALSE),"NA")</f>
        <v>4 Hood Canal</v>
      </c>
      <c r="M2180" s="72" t="s">
        <v>23</v>
      </c>
      <c r="N2180" t="str">
        <f>VLOOKUP(M2180,LUTs!E$2:H$14,3,)</f>
        <v>10Kitsap</v>
      </c>
      <c r="O2180" t="str">
        <f>VLOOKUP(M2180,LUTs!E$2:H$14,4,)</f>
        <v>02South Puget Sound</v>
      </c>
      <c r="P2180" s="73">
        <v>10.4285714285714</v>
      </c>
      <c r="Q2180" s="74">
        <f>VLOOKUP(B2180,Readme!A$40:C$51,2,)*P2180</f>
        <v>35.87428571428562</v>
      </c>
    </row>
    <row r="2181" spans="1:17" ht="12" customHeight="1" x14ac:dyDescent="0.35">
      <c r="A2181" s="75">
        <v>2180</v>
      </c>
      <c r="B2181" s="64">
        <v>2015</v>
      </c>
      <c r="C2181" s="64">
        <v>7</v>
      </c>
      <c r="D2181" s="80">
        <f t="shared" si="71"/>
        <v>2015</v>
      </c>
      <c r="E2181" t="s">
        <v>38</v>
      </c>
      <c r="F2181" t="s">
        <v>143</v>
      </c>
      <c r="G2181" t="s">
        <v>10</v>
      </c>
      <c r="H2181" s="72" t="s">
        <v>219</v>
      </c>
      <c r="I2181" s="72" t="s">
        <v>61</v>
      </c>
      <c r="J2181" t="str">
        <f t="shared" si="72"/>
        <v>Skokomish River</v>
      </c>
      <c r="K2181" t="str">
        <f>IFERROR(VLOOKUP(J2181,LUTs!$A$1:$C$73,2,FALSE),"NA")</f>
        <v>Mason</v>
      </c>
      <c r="L2181" t="str">
        <f>IFERROR(VLOOKUP(J2181,LUTs!$A$1:$C$73,3,FALSE),"NA")</f>
        <v>4 Hood Canal</v>
      </c>
      <c r="M2181" s="72" t="s">
        <v>22</v>
      </c>
      <c r="N2181" t="str">
        <f>VLOOKUP(M2181,LUTs!E$2:H$14,3,)</f>
        <v>09Mason</v>
      </c>
      <c r="O2181" t="str">
        <f>VLOOKUP(M2181,LUTs!E$2:H$14,4,)</f>
        <v>02South Puget Sound</v>
      </c>
      <c r="P2181" s="73">
        <v>41.714285714285701</v>
      </c>
      <c r="Q2181" s="74">
        <f>VLOOKUP(B2181,Readme!A$40:C$51,2,)*P2181</f>
        <v>143.49714285714282</v>
      </c>
    </row>
    <row r="2182" spans="1:17" ht="12" customHeight="1" x14ac:dyDescent="0.35">
      <c r="A2182" s="75">
        <v>2181</v>
      </c>
      <c r="B2182" s="64">
        <v>2015</v>
      </c>
      <c r="C2182" s="64">
        <v>7</v>
      </c>
      <c r="D2182" s="80">
        <f t="shared" si="71"/>
        <v>2015</v>
      </c>
      <c r="E2182" t="s">
        <v>38</v>
      </c>
      <c r="F2182" t="s">
        <v>143</v>
      </c>
      <c r="G2182" t="s">
        <v>10</v>
      </c>
      <c r="H2182" s="72" t="s">
        <v>219</v>
      </c>
      <c r="I2182" s="72" t="s">
        <v>61</v>
      </c>
      <c r="J2182" t="str">
        <f t="shared" si="72"/>
        <v>Skokomish River</v>
      </c>
      <c r="K2182" t="str">
        <f>IFERROR(VLOOKUP(J2182,LUTs!$A$1:$C$73,2,FALSE),"NA")</f>
        <v>Mason</v>
      </c>
      <c r="L2182" t="str">
        <f>IFERROR(VLOOKUP(J2182,LUTs!$A$1:$C$73,3,FALSE),"NA")</f>
        <v>4 Hood Canal</v>
      </c>
      <c r="M2182" s="72" t="s">
        <v>26</v>
      </c>
      <c r="N2182" t="str">
        <f>VLOOKUP(M2182,LUTs!E$2:H$14,3,)</f>
        <v>20Other</v>
      </c>
      <c r="O2182" t="str">
        <f>VLOOKUP(M2182,LUTs!E$2:H$14,4,)</f>
        <v>07Non Puget Sound</v>
      </c>
      <c r="P2182" s="73">
        <v>20.8571428571429</v>
      </c>
      <c r="Q2182" s="74">
        <f>VLOOKUP(B2182,Readme!A$40:C$51,2,)*P2182</f>
        <v>71.74857142857158</v>
      </c>
    </row>
    <row r="2183" spans="1:17" ht="12" customHeight="1" x14ac:dyDescent="0.35">
      <c r="A2183" s="75">
        <v>2182</v>
      </c>
      <c r="B2183" s="64">
        <v>2015</v>
      </c>
      <c r="C2183" s="64">
        <v>7</v>
      </c>
      <c r="D2183" s="80">
        <f t="shared" si="71"/>
        <v>2015</v>
      </c>
      <c r="E2183" t="s">
        <v>38</v>
      </c>
      <c r="F2183" t="s">
        <v>143</v>
      </c>
      <c r="G2183" t="s">
        <v>10</v>
      </c>
      <c r="H2183" s="72" t="s">
        <v>219</v>
      </c>
      <c r="I2183" s="72" t="s">
        <v>61</v>
      </c>
      <c r="J2183" t="str">
        <f t="shared" si="72"/>
        <v>Skokomish River</v>
      </c>
      <c r="K2183" t="str">
        <f>IFERROR(VLOOKUP(J2183,LUTs!$A$1:$C$73,2,FALSE),"NA")</f>
        <v>Mason</v>
      </c>
      <c r="L2183" t="str">
        <f>IFERROR(VLOOKUP(J2183,LUTs!$A$1:$C$73,3,FALSE),"NA")</f>
        <v>4 Hood Canal</v>
      </c>
      <c r="M2183" s="72" t="s">
        <v>20</v>
      </c>
      <c r="N2183" t="str">
        <f>VLOOKUP(M2183,LUTs!E$2:H$14,3,)</f>
        <v>07Pierce</v>
      </c>
      <c r="O2183" t="str">
        <f>VLOOKUP(M2183,LUTs!E$2:H$14,4,)</f>
        <v>02South Puget Sound</v>
      </c>
      <c r="P2183" s="73">
        <v>41.714285714285701</v>
      </c>
      <c r="Q2183" s="74">
        <f>VLOOKUP(B2183,Readme!A$40:C$51,2,)*P2183</f>
        <v>143.49714285714282</v>
      </c>
    </row>
    <row r="2184" spans="1:17" ht="12" customHeight="1" x14ac:dyDescent="0.35">
      <c r="A2184" s="75">
        <v>2183</v>
      </c>
      <c r="B2184" s="64">
        <v>2015</v>
      </c>
      <c r="C2184" s="64">
        <v>7</v>
      </c>
      <c r="D2184" s="80">
        <f t="shared" si="71"/>
        <v>2015</v>
      </c>
      <c r="E2184" t="s">
        <v>38</v>
      </c>
      <c r="F2184" t="s">
        <v>143</v>
      </c>
      <c r="G2184" t="s">
        <v>10</v>
      </c>
      <c r="H2184" s="72" t="s">
        <v>219</v>
      </c>
      <c r="I2184" s="72" t="s">
        <v>61</v>
      </c>
      <c r="J2184" t="str">
        <f t="shared" si="72"/>
        <v>Skokomish River</v>
      </c>
      <c r="K2184" t="str">
        <f>IFERROR(VLOOKUP(J2184,LUTs!$A$1:$C$73,2,FALSE),"NA")</f>
        <v>Mason</v>
      </c>
      <c r="L2184" t="str">
        <f>IFERROR(VLOOKUP(J2184,LUTs!$A$1:$C$73,3,FALSE),"NA")</f>
        <v>4 Hood Canal</v>
      </c>
      <c r="M2184" s="72" t="s">
        <v>21</v>
      </c>
      <c r="N2184" t="str">
        <f>VLOOKUP(M2184,LUTs!E$2:H$14,3,)</f>
        <v>08Thurston</v>
      </c>
      <c r="O2184" t="str">
        <f>VLOOKUP(M2184,LUTs!E$2:H$14,4,)</f>
        <v>02South Puget Sound</v>
      </c>
      <c r="P2184" s="73">
        <v>31.285714285714299</v>
      </c>
      <c r="Q2184" s="74">
        <f>VLOOKUP(B2184,Readme!A$40:C$51,2,)*P2184</f>
        <v>107.62285714285719</v>
      </c>
    </row>
    <row r="2185" spans="1:17" ht="12" customHeight="1" x14ac:dyDescent="0.35">
      <c r="A2185" s="75">
        <v>2184</v>
      </c>
      <c r="B2185" s="64">
        <v>2015</v>
      </c>
      <c r="C2185" s="64">
        <v>8</v>
      </c>
      <c r="D2185" s="80">
        <f t="shared" si="71"/>
        <v>2015</v>
      </c>
      <c r="E2185" t="s">
        <v>38</v>
      </c>
      <c r="F2185" t="s">
        <v>143</v>
      </c>
      <c r="G2185" t="s">
        <v>10</v>
      </c>
      <c r="H2185" s="72" t="s">
        <v>219</v>
      </c>
      <c r="I2185" s="72" t="s">
        <v>61</v>
      </c>
      <c r="J2185" t="str">
        <f t="shared" si="72"/>
        <v>Skokomish River</v>
      </c>
      <c r="K2185" t="str">
        <f>IFERROR(VLOOKUP(J2185,LUTs!$A$1:$C$73,2,FALSE),"NA")</f>
        <v>Mason</v>
      </c>
      <c r="L2185" t="str">
        <f>IFERROR(VLOOKUP(J2185,LUTs!$A$1:$C$73,3,FALSE),"NA")</f>
        <v>4 Hood Canal</v>
      </c>
      <c r="M2185" s="72" t="s">
        <v>25</v>
      </c>
      <c r="N2185" t="str">
        <f>VLOOKUP(M2185,LUTs!E$2:H$14,3,)</f>
        <v>12Jefferson</v>
      </c>
      <c r="O2185" t="str">
        <f>VLOOKUP(M2185,LUTs!E$2:H$14,4,)</f>
        <v>03Strait of Juan de Fuca</v>
      </c>
      <c r="P2185" s="73">
        <v>9.1645962732919308</v>
      </c>
      <c r="Q2185" s="74">
        <f>VLOOKUP(B2185,Readme!A$40:C$51,2,)*P2185</f>
        <v>31.526211180124243</v>
      </c>
    </row>
    <row r="2186" spans="1:17" ht="12" customHeight="1" x14ac:dyDescent="0.35">
      <c r="A2186" s="75">
        <v>2185</v>
      </c>
      <c r="B2186" s="64">
        <v>2015</v>
      </c>
      <c r="C2186" s="64">
        <v>8</v>
      </c>
      <c r="D2186" s="80">
        <f t="shared" si="71"/>
        <v>2015</v>
      </c>
      <c r="E2186" t="s">
        <v>38</v>
      </c>
      <c r="F2186" t="s">
        <v>143</v>
      </c>
      <c r="G2186" t="s">
        <v>10</v>
      </c>
      <c r="H2186" s="72" t="s">
        <v>219</v>
      </c>
      <c r="I2186" s="72" t="s">
        <v>61</v>
      </c>
      <c r="J2186" t="str">
        <f t="shared" si="72"/>
        <v>Skokomish River</v>
      </c>
      <c r="K2186" t="str">
        <f>IFERROR(VLOOKUP(J2186,LUTs!$A$1:$C$73,2,FALSE),"NA")</f>
        <v>Mason</v>
      </c>
      <c r="L2186" t="str">
        <f>IFERROR(VLOOKUP(J2186,LUTs!$A$1:$C$73,3,FALSE),"NA")</f>
        <v>4 Hood Canal</v>
      </c>
      <c r="M2186" s="72" t="s">
        <v>18</v>
      </c>
      <c r="N2186" t="str">
        <f>VLOOKUP(M2186,LUTs!E$2:H$14,3,)</f>
        <v>06King</v>
      </c>
      <c r="O2186" t="str">
        <f>VLOOKUP(M2186,LUTs!E$2:H$14,4,)</f>
        <v>02South Puget Sound</v>
      </c>
      <c r="P2186" s="73">
        <v>513.21739130434798</v>
      </c>
      <c r="Q2186" s="74">
        <f>VLOOKUP(B2186,Readme!A$40:C$51,2,)*P2186</f>
        <v>1765.4678260869571</v>
      </c>
    </row>
    <row r="2187" spans="1:17" ht="12" customHeight="1" x14ac:dyDescent="0.35">
      <c r="A2187" s="75">
        <v>2186</v>
      </c>
      <c r="B2187" s="64">
        <v>2015</v>
      </c>
      <c r="C2187" s="64">
        <v>8</v>
      </c>
      <c r="D2187" s="80">
        <f t="shared" si="71"/>
        <v>2015</v>
      </c>
      <c r="E2187" t="s">
        <v>38</v>
      </c>
      <c r="F2187" t="s">
        <v>143</v>
      </c>
      <c r="G2187" t="s">
        <v>10</v>
      </c>
      <c r="H2187" s="72" t="s">
        <v>219</v>
      </c>
      <c r="I2187" s="72" t="s">
        <v>61</v>
      </c>
      <c r="J2187" t="str">
        <f t="shared" si="72"/>
        <v>Skokomish River</v>
      </c>
      <c r="K2187" t="str">
        <f>IFERROR(VLOOKUP(J2187,LUTs!$A$1:$C$73,2,FALSE),"NA")</f>
        <v>Mason</v>
      </c>
      <c r="L2187" t="str">
        <f>IFERROR(VLOOKUP(J2187,LUTs!$A$1:$C$73,3,FALSE),"NA")</f>
        <v>4 Hood Canal</v>
      </c>
      <c r="M2187" s="72" t="s">
        <v>23</v>
      </c>
      <c r="N2187" t="str">
        <f>VLOOKUP(M2187,LUTs!E$2:H$14,3,)</f>
        <v>10Kitsap</v>
      </c>
      <c r="O2187" t="str">
        <f>VLOOKUP(M2187,LUTs!E$2:H$14,4,)</f>
        <v>02South Puget Sound</v>
      </c>
      <c r="P2187" s="73">
        <v>476.55900621118002</v>
      </c>
      <c r="Q2187" s="74">
        <f>VLOOKUP(B2187,Readme!A$40:C$51,2,)*P2187</f>
        <v>1639.3629813664593</v>
      </c>
    </row>
    <row r="2188" spans="1:17" ht="12" customHeight="1" x14ac:dyDescent="0.35">
      <c r="A2188" s="75">
        <v>2187</v>
      </c>
      <c r="B2188" s="64">
        <v>2015</v>
      </c>
      <c r="C2188" s="64">
        <v>8</v>
      </c>
      <c r="D2188" s="80">
        <f t="shared" si="71"/>
        <v>2015</v>
      </c>
      <c r="E2188" t="s">
        <v>38</v>
      </c>
      <c r="F2188" t="s">
        <v>143</v>
      </c>
      <c r="G2188" t="s">
        <v>10</v>
      </c>
      <c r="H2188" s="72" t="s">
        <v>219</v>
      </c>
      <c r="I2188" s="72" t="s">
        <v>61</v>
      </c>
      <c r="J2188" t="str">
        <f t="shared" si="72"/>
        <v>Skokomish River</v>
      </c>
      <c r="K2188" t="str">
        <f>IFERROR(VLOOKUP(J2188,LUTs!$A$1:$C$73,2,FALSE),"NA")</f>
        <v>Mason</v>
      </c>
      <c r="L2188" t="str">
        <f>IFERROR(VLOOKUP(J2188,LUTs!$A$1:$C$73,3,FALSE),"NA")</f>
        <v>4 Hood Canal</v>
      </c>
      <c r="M2188" s="72" t="s">
        <v>22</v>
      </c>
      <c r="N2188" t="str">
        <f>VLOOKUP(M2188,LUTs!E$2:H$14,3,)</f>
        <v>09Mason</v>
      </c>
      <c r="O2188" t="str">
        <f>VLOOKUP(M2188,LUTs!E$2:H$14,4,)</f>
        <v>02South Puget Sound</v>
      </c>
      <c r="P2188" s="73">
        <v>229.114906832298</v>
      </c>
      <c r="Q2188" s="74">
        <f>VLOOKUP(B2188,Readme!A$40:C$51,2,)*P2188</f>
        <v>788.15527950310513</v>
      </c>
    </row>
    <row r="2189" spans="1:17" ht="12" customHeight="1" x14ac:dyDescent="0.35">
      <c r="A2189" s="75">
        <v>2188</v>
      </c>
      <c r="B2189" s="64">
        <v>2015</v>
      </c>
      <c r="C2189" s="64">
        <v>8</v>
      </c>
      <c r="D2189" s="80">
        <f t="shared" si="71"/>
        <v>2015</v>
      </c>
      <c r="E2189" t="s">
        <v>38</v>
      </c>
      <c r="F2189" t="s">
        <v>143</v>
      </c>
      <c r="G2189" t="s">
        <v>10</v>
      </c>
      <c r="H2189" s="72" t="s">
        <v>219</v>
      </c>
      <c r="I2189" s="72" t="s">
        <v>61</v>
      </c>
      <c r="J2189" t="str">
        <f t="shared" si="72"/>
        <v>Skokomish River</v>
      </c>
      <c r="K2189" t="str">
        <f>IFERROR(VLOOKUP(J2189,LUTs!$A$1:$C$73,2,FALSE),"NA")</f>
        <v>Mason</v>
      </c>
      <c r="L2189" t="str">
        <f>IFERROR(VLOOKUP(J2189,LUTs!$A$1:$C$73,3,FALSE),"NA")</f>
        <v>4 Hood Canal</v>
      </c>
      <c r="M2189" s="72" t="s">
        <v>26</v>
      </c>
      <c r="N2189" t="str">
        <f>VLOOKUP(M2189,LUTs!E$2:H$14,3,)</f>
        <v>20Other</v>
      </c>
      <c r="O2189" t="str">
        <f>VLOOKUP(M2189,LUTs!E$2:H$14,4,)</f>
        <v>07Non Puget Sound</v>
      </c>
      <c r="P2189" s="73">
        <v>247.44409937888199</v>
      </c>
      <c r="Q2189" s="74">
        <f>VLOOKUP(B2189,Readme!A$40:C$51,2,)*P2189</f>
        <v>851.20770186335403</v>
      </c>
    </row>
    <row r="2190" spans="1:17" ht="12" customHeight="1" x14ac:dyDescent="0.35">
      <c r="A2190" s="75">
        <v>2189</v>
      </c>
      <c r="B2190" s="64">
        <v>2015</v>
      </c>
      <c r="C2190" s="64">
        <v>8</v>
      </c>
      <c r="D2190" s="80">
        <f t="shared" si="71"/>
        <v>2015</v>
      </c>
      <c r="E2190" t="s">
        <v>38</v>
      </c>
      <c r="F2190" t="s">
        <v>143</v>
      </c>
      <c r="G2190" t="s">
        <v>10</v>
      </c>
      <c r="H2190" s="72" t="s">
        <v>219</v>
      </c>
      <c r="I2190" s="72" t="s">
        <v>61</v>
      </c>
      <c r="J2190" t="str">
        <f t="shared" si="72"/>
        <v>Skokomish River</v>
      </c>
      <c r="K2190" t="str">
        <f>IFERROR(VLOOKUP(J2190,LUTs!$A$1:$C$73,2,FALSE),"NA")</f>
        <v>Mason</v>
      </c>
      <c r="L2190" t="str">
        <f>IFERROR(VLOOKUP(J2190,LUTs!$A$1:$C$73,3,FALSE),"NA")</f>
        <v>4 Hood Canal</v>
      </c>
      <c r="M2190" s="72" t="s">
        <v>20</v>
      </c>
      <c r="N2190" t="str">
        <f>VLOOKUP(M2190,LUTs!E$2:H$14,3,)</f>
        <v>07Pierce</v>
      </c>
      <c r="O2190" t="str">
        <f>VLOOKUP(M2190,LUTs!E$2:H$14,4,)</f>
        <v>02South Puget Sound</v>
      </c>
      <c r="P2190" s="73">
        <v>943.95341614906795</v>
      </c>
      <c r="Q2190" s="74">
        <f>VLOOKUP(B2190,Readme!A$40:C$51,2,)*P2190</f>
        <v>3247.1997515527937</v>
      </c>
    </row>
    <row r="2191" spans="1:17" ht="12" customHeight="1" x14ac:dyDescent="0.35">
      <c r="A2191" s="75">
        <v>2190</v>
      </c>
      <c r="B2191" s="64">
        <v>2015</v>
      </c>
      <c r="C2191" s="64">
        <v>8</v>
      </c>
      <c r="D2191" s="80">
        <f t="shared" si="71"/>
        <v>2015</v>
      </c>
      <c r="E2191" t="s">
        <v>38</v>
      </c>
      <c r="F2191" t="s">
        <v>143</v>
      </c>
      <c r="G2191" t="s">
        <v>10</v>
      </c>
      <c r="H2191" s="72" t="s">
        <v>219</v>
      </c>
      <c r="I2191" s="72" t="s">
        <v>61</v>
      </c>
      <c r="J2191" t="str">
        <f t="shared" si="72"/>
        <v>Skokomish River</v>
      </c>
      <c r="K2191" t="str">
        <f>IFERROR(VLOOKUP(J2191,LUTs!$A$1:$C$73,2,FALSE),"NA")</f>
        <v>Mason</v>
      </c>
      <c r="L2191" t="str">
        <f>IFERROR(VLOOKUP(J2191,LUTs!$A$1:$C$73,3,FALSE),"NA")</f>
        <v>4 Hood Canal</v>
      </c>
      <c r="M2191" s="72" t="s">
        <v>16</v>
      </c>
      <c r="N2191" t="str">
        <f>VLOOKUP(M2191,LUTs!E$2:H$14,3,)</f>
        <v>03Snohomish</v>
      </c>
      <c r="O2191" t="str">
        <f>VLOOKUP(M2191,LUTs!E$2:H$14,4,)</f>
        <v>01North Puget Sound</v>
      </c>
      <c r="P2191" s="73">
        <v>27.4937888198758</v>
      </c>
      <c r="Q2191" s="74">
        <f>VLOOKUP(B2191,Readme!A$40:C$51,2,)*P2191</f>
        <v>94.578633540372749</v>
      </c>
    </row>
    <row r="2192" spans="1:17" ht="12" customHeight="1" x14ac:dyDescent="0.35">
      <c r="A2192" s="75">
        <v>2191</v>
      </c>
      <c r="B2192" s="64">
        <v>2015</v>
      </c>
      <c r="C2192" s="64">
        <v>8</v>
      </c>
      <c r="D2192" s="80">
        <f t="shared" si="71"/>
        <v>2015</v>
      </c>
      <c r="E2192" t="s">
        <v>38</v>
      </c>
      <c r="F2192" t="s">
        <v>143</v>
      </c>
      <c r="G2192" t="s">
        <v>10</v>
      </c>
      <c r="H2192" s="72" t="s">
        <v>219</v>
      </c>
      <c r="I2192" s="72" t="s">
        <v>61</v>
      </c>
      <c r="J2192" t="str">
        <f t="shared" si="72"/>
        <v>Skokomish River</v>
      </c>
      <c r="K2192" t="str">
        <f>IFERROR(VLOOKUP(J2192,LUTs!$A$1:$C$73,2,FALSE),"NA")</f>
        <v>Mason</v>
      </c>
      <c r="L2192" t="str">
        <f>IFERROR(VLOOKUP(J2192,LUTs!$A$1:$C$73,3,FALSE),"NA")</f>
        <v>4 Hood Canal</v>
      </c>
      <c r="M2192" s="72" t="s">
        <v>21</v>
      </c>
      <c r="N2192" t="str">
        <f>VLOOKUP(M2192,LUTs!E$2:H$14,3,)</f>
        <v>08Thurston</v>
      </c>
      <c r="O2192" t="str">
        <f>VLOOKUP(M2192,LUTs!E$2:H$14,4,)</f>
        <v>02South Puget Sound</v>
      </c>
      <c r="P2192" s="73">
        <v>504.05279503105601</v>
      </c>
      <c r="Q2192" s="74">
        <f>VLOOKUP(B2192,Readme!A$40:C$51,2,)*P2192</f>
        <v>1733.9416149068327</v>
      </c>
    </row>
    <row r="2193" spans="1:17" ht="12" customHeight="1" x14ac:dyDescent="0.35">
      <c r="A2193" s="75">
        <v>2192</v>
      </c>
      <c r="B2193" s="64">
        <v>2015</v>
      </c>
      <c r="C2193" s="64">
        <v>9</v>
      </c>
      <c r="D2193" s="80">
        <f t="shared" si="71"/>
        <v>2015</v>
      </c>
      <c r="E2193" t="s">
        <v>38</v>
      </c>
      <c r="F2193" t="s">
        <v>143</v>
      </c>
      <c r="G2193" t="s">
        <v>10</v>
      </c>
      <c r="H2193" s="72" t="s">
        <v>219</v>
      </c>
      <c r="I2193" s="72" t="s">
        <v>61</v>
      </c>
      <c r="J2193" t="str">
        <f t="shared" si="72"/>
        <v>Skokomish River</v>
      </c>
      <c r="K2193" t="str">
        <f>IFERROR(VLOOKUP(J2193,LUTs!$A$1:$C$73,2,FALSE),"NA")</f>
        <v>Mason</v>
      </c>
      <c r="L2193" t="str">
        <f>IFERROR(VLOOKUP(J2193,LUTs!$A$1:$C$73,3,FALSE),"NA")</f>
        <v>4 Hood Canal</v>
      </c>
      <c r="M2193" s="72" t="s">
        <v>23</v>
      </c>
      <c r="N2193" t="str">
        <f>VLOOKUP(M2193,LUTs!E$2:H$14,3,)</f>
        <v>10Kitsap</v>
      </c>
      <c r="O2193" t="str">
        <f>VLOOKUP(M2193,LUTs!E$2:H$14,4,)</f>
        <v>02South Puget Sound</v>
      </c>
      <c r="P2193" s="73">
        <v>81.5625</v>
      </c>
      <c r="Q2193" s="74">
        <f>VLOOKUP(B2193,Readme!A$40:C$51,2,)*P2193</f>
        <v>280.57499999999999</v>
      </c>
    </row>
    <row r="2194" spans="1:17" ht="12" customHeight="1" x14ac:dyDescent="0.35">
      <c r="A2194" s="75">
        <v>2193</v>
      </c>
      <c r="B2194" s="64">
        <v>2015</v>
      </c>
      <c r="C2194" s="64">
        <v>9</v>
      </c>
      <c r="D2194" s="80">
        <f t="shared" si="71"/>
        <v>2015</v>
      </c>
      <c r="E2194" t="s">
        <v>38</v>
      </c>
      <c r="F2194" t="s">
        <v>143</v>
      </c>
      <c r="G2194" t="s">
        <v>10</v>
      </c>
      <c r="H2194" s="72" t="s">
        <v>219</v>
      </c>
      <c r="I2194" s="72" t="s">
        <v>61</v>
      </c>
      <c r="J2194" t="str">
        <f t="shared" si="72"/>
        <v>Skokomish River</v>
      </c>
      <c r="K2194" t="str">
        <f>IFERROR(VLOOKUP(J2194,LUTs!$A$1:$C$73,2,FALSE),"NA")</f>
        <v>Mason</v>
      </c>
      <c r="L2194" t="str">
        <f>IFERROR(VLOOKUP(J2194,LUTs!$A$1:$C$73,3,FALSE),"NA")</f>
        <v>4 Hood Canal</v>
      </c>
      <c r="M2194" s="72" t="s">
        <v>22</v>
      </c>
      <c r="N2194" t="str">
        <f>VLOOKUP(M2194,LUTs!E$2:H$14,3,)</f>
        <v>09Mason</v>
      </c>
      <c r="O2194" t="str">
        <f>VLOOKUP(M2194,LUTs!E$2:H$14,4,)</f>
        <v>02South Puget Sound</v>
      </c>
      <c r="P2194" s="73">
        <v>163.125</v>
      </c>
      <c r="Q2194" s="74">
        <f>VLOOKUP(B2194,Readme!A$40:C$51,2,)*P2194</f>
        <v>561.15</v>
      </c>
    </row>
    <row r="2195" spans="1:17" ht="12" customHeight="1" x14ac:dyDescent="0.35">
      <c r="A2195" s="75">
        <v>2194</v>
      </c>
      <c r="B2195" s="64">
        <v>2015</v>
      </c>
      <c r="C2195" s="64">
        <v>9</v>
      </c>
      <c r="D2195" s="80">
        <f t="shared" si="71"/>
        <v>2015</v>
      </c>
      <c r="E2195" t="s">
        <v>38</v>
      </c>
      <c r="F2195" t="s">
        <v>143</v>
      </c>
      <c r="G2195" t="s">
        <v>10</v>
      </c>
      <c r="H2195" s="72" t="s">
        <v>219</v>
      </c>
      <c r="I2195" s="72" t="s">
        <v>61</v>
      </c>
      <c r="J2195" t="str">
        <f t="shared" si="72"/>
        <v>Skokomish River</v>
      </c>
      <c r="K2195" t="str">
        <f>IFERROR(VLOOKUP(J2195,LUTs!$A$1:$C$73,2,FALSE),"NA")</f>
        <v>Mason</v>
      </c>
      <c r="L2195" t="str">
        <f>IFERROR(VLOOKUP(J2195,LUTs!$A$1:$C$73,3,FALSE),"NA")</f>
        <v>4 Hood Canal</v>
      </c>
      <c r="M2195" s="72" t="s">
        <v>26</v>
      </c>
      <c r="N2195" t="str">
        <f>VLOOKUP(M2195,LUTs!E$2:H$14,3,)</f>
        <v>20Other</v>
      </c>
      <c r="O2195" t="str">
        <f>VLOOKUP(M2195,LUTs!E$2:H$14,4,)</f>
        <v>07Non Puget Sound</v>
      </c>
      <c r="P2195" s="73">
        <v>117.8125</v>
      </c>
      <c r="Q2195" s="74">
        <f>VLOOKUP(B2195,Readme!A$40:C$51,2,)*P2195</f>
        <v>405.27499999999998</v>
      </c>
    </row>
    <row r="2196" spans="1:17" ht="12" customHeight="1" x14ac:dyDescent="0.35">
      <c r="A2196" s="75">
        <v>2195</v>
      </c>
      <c r="B2196" s="64">
        <v>2015</v>
      </c>
      <c r="C2196" s="64">
        <v>9</v>
      </c>
      <c r="D2196" s="80">
        <f t="shared" si="71"/>
        <v>2015</v>
      </c>
      <c r="E2196" t="s">
        <v>38</v>
      </c>
      <c r="F2196" t="s">
        <v>143</v>
      </c>
      <c r="G2196" t="s">
        <v>10</v>
      </c>
      <c r="H2196" s="72" t="s">
        <v>219</v>
      </c>
      <c r="I2196" s="72" t="s">
        <v>61</v>
      </c>
      <c r="J2196" t="str">
        <f t="shared" si="72"/>
        <v>Skokomish River</v>
      </c>
      <c r="K2196" t="str">
        <f>IFERROR(VLOOKUP(J2196,LUTs!$A$1:$C$73,2,FALSE),"NA")</f>
        <v>Mason</v>
      </c>
      <c r="L2196" t="str">
        <f>IFERROR(VLOOKUP(J2196,LUTs!$A$1:$C$73,3,FALSE),"NA")</f>
        <v>4 Hood Canal</v>
      </c>
      <c r="M2196" s="72" t="s">
        <v>20</v>
      </c>
      <c r="N2196" t="str">
        <f>VLOOKUP(M2196,LUTs!E$2:H$14,3,)</f>
        <v>07Pierce</v>
      </c>
      <c r="O2196" t="str">
        <f>VLOOKUP(M2196,LUTs!E$2:H$14,4,)</f>
        <v>02South Puget Sound</v>
      </c>
      <c r="P2196" s="73">
        <v>54.375</v>
      </c>
      <c r="Q2196" s="74">
        <f>VLOOKUP(B2196,Readme!A$40:C$51,2,)*P2196</f>
        <v>187.04999999999998</v>
      </c>
    </row>
    <row r="2197" spans="1:17" ht="12" customHeight="1" x14ac:dyDescent="0.35">
      <c r="A2197" s="75">
        <v>2196</v>
      </c>
      <c r="B2197" s="64">
        <v>2015</v>
      </c>
      <c r="C2197" s="64">
        <v>9</v>
      </c>
      <c r="D2197" s="80">
        <f t="shared" si="71"/>
        <v>2015</v>
      </c>
      <c r="E2197" t="s">
        <v>38</v>
      </c>
      <c r="F2197" t="s">
        <v>143</v>
      </c>
      <c r="G2197" t="s">
        <v>10</v>
      </c>
      <c r="H2197" s="72" t="s">
        <v>219</v>
      </c>
      <c r="I2197" s="72" t="s">
        <v>61</v>
      </c>
      <c r="J2197" t="str">
        <f t="shared" si="72"/>
        <v>Skokomish River</v>
      </c>
      <c r="K2197" t="str">
        <f>IFERROR(VLOOKUP(J2197,LUTs!$A$1:$C$73,2,FALSE),"NA")</f>
        <v>Mason</v>
      </c>
      <c r="L2197" t="str">
        <f>IFERROR(VLOOKUP(J2197,LUTs!$A$1:$C$73,3,FALSE),"NA")</f>
        <v>4 Hood Canal</v>
      </c>
      <c r="M2197" s="72" t="s">
        <v>21</v>
      </c>
      <c r="N2197" t="str">
        <f>VLOOKUP(M2197,LUTs!E$2:H$14,3,)</f>
        <v>08Thurston</v>
      </c>
      <c r="O2197" t="str">
        <f>VLOOKUP(M2197,LUTs!E$2:H$14,4,)</f>
        <v>02South Puget Sound</v>
      </c>
      <c r="P2197" s="73">
        <v>18.125</v>
      </c>
      <c r="Q2197" s="74">
        <f>VLOOKUP(B2197,Readme!A$40:C$51,2,)*P2197</f>
        <v>62.35</v>
      </c>
    </row>
    <row r="2198" spans="1:17" ht="12" customHeight="1" x14ac:dyDescent="0.35">
      <c r="A2198" s="75">
        <v>2197</v>
      </c>
      <c r="B2198" s="64">
        <v>2015</v>
      </c>
      <c r="C2198" s="64">
        <v>10</v>
      </c>
      <c r="D2198" s="80">
        <f t="shared" si="71"/>
        <v>2015</v>
      </c>
      <c r="E2198" t="s">
        <v>38</v>
      </c>
      <c r="F2198" t="s">
        <v>143</v>
      </c>
      <c r="G2198" t="s">
        <v>10</v>
      </c>
      <c r="H2198" s="72" t="s">
        <v>219</v>
      </c>
      <c r="I2198" s="72" t="s">
        <v>61</v>
      </c>
      <c r="J2198" t="str">
        <f t="shared" si="72"/>
        <v>Skokomish River</v>
      </c>
      <c r="K2198" t="str">
        <f>IFERROR(VLOOKUP(J2198,LUTs!$A$1:$C$73,2,FALSE),"NA")</f>
        <v>Mason</v>
      </c>
      <c r="L2198" t="str">
        <f>IFERROR(VLOOKUP(J2198,LUTs!$A$1:$C$73,3,FALSE),"NA")</f>
        <v>4 Hood Canal</v>
      </c>
      <c r="M2198" s="72" t="s">
        <v>18</v>
      </c>
      <c r="N2198" t="str">
        <f>VLOOKUP(M2198,LUTs!E$2:H$14,3,)</f>
        <v>06King</v>
      </c>
      <c r="O2198" t="str">
        <f>VLOOKUP(M2198,LUTs!E$2:H$14,4,)</f>
        <v>02South Puget Sound</v>
      </c>
      <c r="P2198" s="73">
        <v>207.77966101694901</v>
      </c>
      <c r="Q2198" s="74">
        <f>VLOOKUP(B2198,Readme!A$40:C$51,2,)*P2198</f>
        <v>714.76203389830459</v>
      </c>
    </row>
    <row r="2199" spans="1:17" ht="12" customHeight="1" x14ac:dyDescent="0.35">
      <c r="A2199" s="75">
        <v>2198</v>
      </c>
      <c r="B2199" s="64">
        <v>2015</v>
      </c>
      <c r="C2199" s="64">
        <v>10</v>
      </c>
      <c r="D2199" s="80">
        <f t="shared" si="71"/>
        <v>2015</v>
      </c>
      <c r="E2199" t="s">
        <v>38</v>
      </c>
      <c r="F2199" t="s">
        <v>143</v>
      </c>
      <c r="G2199" t="s">
        <v>10</v>
      </c>
      <c r="H2199" s="72" t="s">
        <v>219</v>
      </c>
      <c r="I2199" s="72" t="s">
        <v>61</v>
      </c>
      <c r="J2199" t="str">
        <f t="shared" si="72"/>
        <v>Skokomish River</v>
      </c>
      <c r="K2199" t="str">
        <f>IFERROR(VLOOKUP(J2199,LUTs!$A$1:$C$73,2,FALSE),"NA")</f>
        <v>Mason</v>
      </c>
      <c r="L2199" t="str">
        <f>IFERROR(VLOOKUP(J2199,LUTs!$A$1:$C$73,3,FALSE),"NA")</f>
        <v>4 Hood Canal</v>
      </c>
      <c r="M2199" s="72" t="s">
        <v>23</v>
      </c>
      <c r="N2199" t="str">
        <f>VLOOKUP(M2199,LUTs!E$2:H$14,3,)</f>
        <v>10Kitsap</v>
      </c>
      <c r="O2199" t="str">
        <f>VLOOKUP(M2199,LUTs!E$2:H$14,4,)</f>
        <v>02South Puget Sound</v>
      </c>
      <c r="P2199" s="73">
        <v>90.338983050847503</v>
      </c>
      <c r="Q2199" s="74">
        <f>VLOOKUP(B2199,Readme!A$40:C$51,2,)*P2199</f>
        <v>310.76610169491539</v>
      </c>
    </row>
    <row r="2200" spans="1:17" ht="12" customHeight="1" x14ac:dyDescent="0.35">
      <c r="A2200" s="75">
        <v>2199</v>
      </c>
      <c r="B2200" s="64">
        <v>2015</v>
      </c>
      <c r="C2200" s="64">
        <v>10</v>
      </c>
      <c r="D2200" s="80">
        <f t="shared" si="71"/>
        <v>2015</v>
      </c>
      <c r="E2200" t="s">
        <v>38</v>
      </c>
      <c r="F2200" t="s">
        <v>143</v>
      </c>
      <c r="G2200" t="s">
        <v>10</v>
      </c>
      <c r="H2200" s="72" t="s">
        <v>219</v>
      </c>
      <c r="I2200" s="72" t="s">
        <v>61</v>
      </c>
      <c r="J2200" t="str">
        <f t="shared" si="72"/>
        <v>Skokomish River</v>
      </c>
      <c r="K2200" t="str">
        <f>IFERROR(VLOOKUP(J2200,LUTs!$A$1:$C$73,2,FALSE),"NA")</f>
        <v>Mason</v>
      </c>
      <c r="L2200" t="str">
        <f>IFERROR(VLOOKUP(J2200,LUTs!$A$1:$C$73,3,FALSE),"NA")</f>
        <v>4 Hood Canal</v>
      </c>
      <c r="M2200" s="72" t="s">
        <v>22</v>
      </c>
      <c r="N2200" t="str">
        <f>VLOOKUP(M2200,LUTs!E$2:H$14,3,)</f>
        <v>09Mason</v>
      </c>
      <c r="O2200" t="str">
        <f>VLOOKUP(M2200,LUTs!E$2:H$14,4,)</f>
        <v>02South Puget Sound</v>
      </c>
      <c r="P2200" s="73">
        <v>271.016949152542</v>
      </c>
      <c r="Q2200" s="74">
        <f>VLOOKUP(B2200,Readme!A$40:C$51,2,)*P2200</f>
        <v>932.29830508474447</v>
      </c>
    </row>
    <row r="2201" spans="1:17" ht="12" customHeight="1" x14ac:dyDescent="0.35">
      <c r="A2201" s="75">
        <v>2200</v>
      </c>
      <c r="B2201" s="64">
        <v>2015</v>
      </c>
      <c r="C2201" s="64">
        <v>10</v>
      </c>
      <c r="D2201" s="80">
        <f t="shared" si="71"/>
        <v>2015</v>
      </c>
      <c r="E2201" t="s">
        <v>38</v>
      </c>
      <c r="F2201" t="s">
        <v>143</v>
      </c>
      <c r="G2201" t="s">
        <v>10</v>
      </c>
      <c r="H2201" s="72" t="s">
        <v>219</v>
      </c>
      <c r="I2201" s="72" t="s">
        <v>61</v>
      </c>
      <c r="J2201" t="str">
        <f t="shared" si="72"/>
        <v>Skokomish River</v>
      </c>
      <c r="K2201" t="str">
        <f>IFERROR(VLOOKUP(J2201,LUTs!$A$1:$C$73,2,FALSE),"NA")</f>
        <v>Mason</v>
      </c>
      <c r="L2201" t="str">
        <f>IFERROR(VLOOKUP(J2201,LUTs!$A$1:$C$73,3,FALSE),"NA")</f>
        <v>4 Hood Canal</v>
      </c>
      <c r="M2201" s="72" t="s">
        <v>26</v>
      </c>
      <c r="N2201" t="str">
        <f>VLOOKUP(M2201,LUTs!E$2:H$14,3,)</f>
        <v>20Other</v>
      </c>
      <c r="O2201" t="str">
        <f>VLOOKUP(M2201,LUTs!E$2:H$14,4,)</f>
        <v>07Non Puget Sound</v>
      </c>
      <c r="P2201" s="73">
        <v>54.203389830508499</v>
      </c>
      <c r="Q2201" s="74">
        <f>VLOOKUP(B2201,Readme!A$40:C$51,2,)*P2201</f>
        <v>186.45966101694924</v>
      </c>
    </row>
    <row r="2202" spans="1:17" ht="12" customHeight="1" x14ac:dyDescent="0.35">
      <c r="A2202" s="75">
        <v>2201</v>
      </c>
      <c r="B2202" s="64">
        <v>2015</v>
      </c>
      <c r="C2202" s="64">
        <v>10</v>
      </c>
      <c r="D2202" s="80">
        <f t="shared" si="71"/>
        <v>2015</v>
      </c>
      <c r="E2202" t="s">
        <v>38</v>
      </c>
      <c r="F2202" t="s">
        <v>143</v>
      </c>
      <c r="G2202" t="s">
        <v>10</v>
      </c>
      <c r="H2202" s="72" t="s">
        <v>219</v>
      </c>
      <c r="I2202" s="72" t="s">
        <v>61</v>
      </c>
      <c r="J2202" t="str">
        <f t="shared" si="72"/>
        <v>Skokomish River</v>
      </c>
      <c r="K2202" t="str">
        <f>IFERROR(VLOOKUP(J2202,LUTs!$A$1:$C$73,2,FALSE),"NA")</f>
        <v>Mason</v>
      </c>
      <c r="L2202" t="str">
        <f>IFERROR(VLOOKUP(J2202,LUTs!$A$1:$C$73,3,FALSE),"NA")</f>
        <v>4 Hood Canal</v>
      </c>
      <c r="M2202" s="72" t="s">
        <v>20</v>
      </c>
      <c r="N2202" t="str">
        <f>VLOOKUP(M2202,LUTs!E$2:H$14,3,)</f>
        <v>07Pierce</v>
      </c>
      <c r="O2202" t="str">
        <f>VLOOKUP(M2202,LUTs!E$2:H$14,4,)</f>
        <v>02South Puget Sound</v>
      </c>
      <c r="P2202" s="73">
        <v>659.47457627118604</v>
      </c>
      <c r="Q2202" s="74">
        <f>VLOOKUP(B2202,Readme!A$40:C$51,2,)*P2202</f>
        <v>2268.59254237288</v>
      </c>
    </row>
    <row r="2203" spans="1:17" ht="12" customHeight="1" x14ac:dyDescent="0.35">
      <c r="A2203" s="75">
        <v>2202</v>
      </c>
      <c r="B2203" s="64">
        <v>2015</v>
      </c>
      <c r="C2203" s="64">
        <v>10</v>
      </c>
      <c r="D2203" s="80">
        <f t="shared" si="71"/>
        <v>2015</v>
      </c>
      <c r="E2203" t="s">
        <v>38</v>
      </c>
      <c r="F2203" t="s">
        <v>143</v>
      </c>
      <c r="G2203" t="s">
        <v>10</v>
      </c>
      <c r="H2203" s="72" t="s">
        <v>219</v>
      </c>
      <c r="I2203" s="72" t="s">
        <v>61</v>
      </c>
      <c r="J2203" t="str">
        <f t="shared" si="72"/>
        <v>Skokomish River</v>
      </c>
      <c r="K2203" t="str">
        <f>IFERROR(VLOOKUP(J2203,LUTs!$A$1:$C$73,2,FALSE),"NA")</f>
        <v>Mason</v>
      </c>
      <c r="L2203" t="str">
        <f>IFERROR(VLOOKUP(J2203,LUTs!$A$1:$C$73,3,FALSE),"NA")</f>
        <v>4 Hood Canal</v>
      </c>
      <c r="M2203" s="72" t="s">
        <v>16</v>
      </c>
      <c r="N2203" t="str">
        <f>VLOOKUP(M2203,LUTs!E$2:H$14,3,)</f>
        <v>03Snohomish</v>
      </c>
      <c r="O2203" t="str">
        <f>VLOOKUP(M2203,LUTs!E$2:H$14,4,)</f>
        <v>01North Puget Sound</v>
      </c>
      <c r="P2203" s="73">
        <v>18.067796610169498</v>
      </c>
      <c r="Q2203" s="74">
        <f>VLOOKUP(B2203,Readme!A$40:C$51,2,)*P2203</f>
        <v>62.153220338983076</v>
      </c>
    </row>
    <row r="2204" spans="1:17" ht="12" customHeight="1" x14ac:dyDescent="0.35">
      <c r="A2204" s="75">
        <v>2203</v>
      </c>
      <c r="B2204" s="64">
        <v>2015</v>
      </c>
      <c r="C2204" s="64">
        <v>10</v>
      </c>
      <c r="D2204" s="80">
        <f t="shared" si="71"/>
        <v>2015</v>
      </c>
      <c r="E2204" t="s">
        <v>38</v>
      </c>
      <c r="F2204" t="s">
        <v>143</v>
      </c>
      <c r="G2204" t="s">
        <v>10</v>
      </c>
      <c r="H2204" s="72" t="s">
        <v>219</v>
      </c>
      <c r="I2204" s="72" t="s">
        <v>61</v>
      </c>
      <c r="J2204" t="str">
        <f t="shared" si="72"/>
        <v>Skokomish River</v>
      </c>
      <c r="K2204" t="str">
        <f>IFERROR(VLOOKUP(J2204,LUTs!$A$1:$C$73,2,FALSE),"NA")</f>
        <v>Mason</v>
      </c>
      <c r="L2204" t="str">
        <f>IFERROR(VLOOKUP(J2204,LUTs!$A$1:$C$73,3,FALSE),"NA")</f>
        <v>4 Hood Canal</v>
      </c>
      <c r="M2204" s="72" t="s">
        <v>21</v>
      </c>
      <c r="N2204" t="str">
        <f>VLOOKUP(M2204,LUTs!E$2:H$14,3,)</f>
        <v>08Thurston</v>
      </c>
      <c r="O2204" t="str">
        <f>VLOOKUP(M2204,LUTs!E$2:H$14,4,)</f>
        <v>02South Puget Sound</v>
      </c>
      <c r="P2204" s="73">
        <v>298.11864406779699</v>
      </c>
      <c r="Q2204" s="74">
        <f>VLOOKUP(B2204,Readme!A$40:C$51,2,)*P2204</f>
        <v>1025.5281355932216</v>
      </c>
    </row>
    <row r="2205" spans="1:17" ht="12" customHeight="1" x14ac:dyDescent="0.35">
      <c r="A2205" s="75">
        <v>2204</v>
      </c>
      <c r="B2205" s="64">
        <v>2015</v>
      </c>
      <c r="C2205" s="64">
        <v>11</v>
      </c>
      <c r="D2205" s="80">
        <f t="shared" si="71"/>
        <v>2015</v>
      </c>
      <c r="E2205" t="s">
        <v>38</v>
      </c>
      <c r="F2205" t="s">
        <v>143</v>
      </c>
      <c r="G2205" t="s">
        <v>10</v>
      </c>
      <c r="H2205" s="72" t="s">
        <v>219</v>
      </c>
      <c r="I2205" s="72" t="s">
        <v>61</v>
      </c>
      <c r="J2205" t="str">
        <f t="shared" si="72"/>
        <v>Skokomish River</v>
      </c>
      <c r="K2205" t="str">
        <f>IFERROR(VLOOKUP(J2205,LUTs!$A$1:$C$73,2,FALSE),"NA")</f>
        <v>Mason</v>
      </c>
      <c r="L2205" t="str">
        <f>IFERROR(VLOOKUP(J2205,LUTs!$A$1:$C$73,3,FALSE),"NA")</f>
        <v>4 Hood Canal</v>
      </c>
      <c r="M2205" s="72" t="s">
        <v>18</v>
      </c>
      <c r="N2205" t="str">
        <f>VLOOKUP(M2205,LUTs!E$2:H$14,3,)</f>
        <v>06King</v>
      </c>
      <c r="O2205" t="str">
        <f>VLOOKUP(M2205,LUTs!E$2:H$14,4,)</f>
        <v>02South Puget Sound</v>
      </c>
      <c r="P2205" s="73">
        <v>234.71232876712301</v>
      </c>
      <c r="Q2205" s="74">
        <f>VLOOKUP(B2205,Readme!A$40:C$51,2,)*P2205</f>
        <v>807.41041095890319</v>
      </c>
    </row>
    <row r="2206" spans="1:17" ht="12" customHeight="1" x14ac:dyDescent="0.35">
      <c r="A2206" s="75">
        <v>2205</v>
      </c>
      <c r="B2206" s="64">
        <v>2015</v>
      </c>
      <c r="C2206" s="64">
        <v>11</v>
      </c>
      <c r="D2206" s="80">
        <f t="shared" si="71"/>
        <v>2015</v>
      </c>
      <c r="E2206" t="s">
        <v>38</v>
      </c>
      <c r="F2206" t="s">
        <v>143</v>
      </c>
      <c r="G2206" t="s">
        <v>10</v>
      </c>
      <c r="H2206" s="72" t="s">
        <v>219</v>
      </c>
      <c r="I2206" s="72" t="s">
        <v>61</v>
      </c>
      <c r="J2206" t="str">
        <f t="shared" si="72"/>
        <v>Skokomish River</v>
      </c>
      <c r="K2206" t="str">
        <f>IFERROR(VLOOKUP(J2206,LUTs!$A$1:$C$73,2,FALSE),"NA")</f>
        <v>Mason</v>
      </c>
      <c r="L2206" t="str">
        <f>IFERROR(VLOOKUP(J2206,LUTs!$A$1:$C$73,3,FALSE),"NA")</f>
        <v>4 Hood Canal</v>
      </c>
      <c r="M2206" s="72" t="s">
        <v>22</v>
      </c>
      <c r="N2206" t="str">
        <f>VLOOKUP(M2206,LUTs!E$2:H$14,3,)</f>
        <v>09Mason</v>
      </c>
      <c r="O2206" t="str">
        <f>VLOOKUP(M2206,LUTs!E$2:H$14,4,)</f>
        <v>02South Puget Sound</v>
      </c>
      <c r="P2206" s="73">
        <v>153.465753424658</v>
      </c>
      <c r="Q2206" s="74">
        <f>VLOOKUP(B2206,Readme!A$40:C$51,2,)*P2206</f>
        <v>527.92219178082348</v>
      </c>
    </row>
    <row r="2207" spans="1:17" ht="12" customHeight="1" x14ac:dyDescent="0.35">
      <c r="A2207" s="75">
        <v>2206</v>
      </c>
      <c r="B2207" s="64">
        <v>2015</v>
      </c>
      <c r="C2207" s="64">
        <v>11</v>
      </c>
      <c r="D2207" s="80">
        <f t="shared" si="71"/>
        <v>2015</v>
      </c>
      <c r="E2207" t="s">
        <v>38</v>
      </c>
      <c r="F2207" t="s">
        <v>143</v>
      </c>
      <c r="G2207" t="s">
        <v>10</v>
      </c>
      <c r="H2207" s="72" t="s">
        <v>219</v>
      </c>
      <c r="I2207" s="72" t="s">
        <v>61</v>
      </c>
      <c r="J2207" t="str">
        <f t="shared" si="72"/>
        <v>Skokomish River</v>
      </c>
      <c r="K2207" t="str">
        <f>IFERROR(VLOOKUP(J2207,LUTs!$A$1:$C$73,2,FALSE),"NA")</f>
        <v>Mason</v>
      </c>
      <c r="L2207" t="str">
        <f>IFERROR(VLOOKUP(J2207,LUTs!$A$1:$C$73,3,FALSE),"NA")</f>
        <v>4 Hood Canal</v>
      </c>
      <c r="M2207" s="72" t="s">
        <v>26</v>
      </c>
      <c r="N2207" t="str">
        <f>VLOOKUP(M2207,LUTs!E$2:H$14,3,)</f>
        <v>20Other</v>
      </c>
      <c r="O2207" t="str">
        <f>VLOOKUP(M2207,LUTs!E$2:H$14,4,)</f>
        <v>07Non Puget Sound</v>
      </c>
      <c r="P2207" s="73">
        <v>324.98630136986299</v>
      </c>
      <c r="Q2207" s="74">
        <f>VLOOKUP(B2207,Readme!A$40:C$51,2,)*P2207</f>
        <v>1117.9528767123286</v>
      </c>
    </row>
    <row r="2208" spans="1:17" ht="12" customHeight="1" x14ac:dyDescent="0.35">
      <c r="A2208" s="75">
        <v>2207</v>
      </c>
      <c r="B2208" s="64">
        <v>2015</v>
      </c>
      <c r="C2208" s="64">
        <v>11</v>
      </c>
      <c r="D2208" s="80">
        <f t="shared" si="71"/>
        <v>2015</v>
      </c>
      <c r="E2208" t="s">
        <v>38</v>
      </c>
      <c r="F2208" t="s">
        <v>143</v>
      </c>
      <c r="G2208" t="s">
        <v>10</v>
      </c>
      <c r="H2208" s="72" t="s">
        <v>219</v>
      </c>
      <c r="I2208" s="72" t="s">
        <v>61</v>
      </c>
      <c r="J2208" t="str">
        <f t="shared" si="72"/>
        <v>Skokomish River</v>
      </c>
      <c r="K2208" t="str">
        <f>IFERROR(VLOOKUP(J2208,LUTs!$A$1:$C$73,2,FALSE),"NA")</f>
        <v>Mason</v>
      </c>
      <c r="L2208" t="str">
        <f>IFERROR(VLOOKUP(J2208,LUTs!$A$1:$C$73,3,FALSE),"NA")</f>
        <v>4 Hood Canal</v>
      </c>
      <c r="M2208" s="72" t="s">
        <v>20</v>
      </c>
      <c r="N2208" t="str">
        <f>VLOOKUP(M2208,LUTs!E$2:H$14,3,)</f>
        <v>07Pierce</v>
      </c>
      <c r="O2208" t="str">
        <f>VLOOKUP(M2208,LUTs!E$2:H$14,4,)</f>
        <v>02South Puget Sound</v>
      </c>
      <c r="P2208" s="73">
        <v>370.12328767123302</v>
      </c>
      <c r="Q2208" s="74">
        <f>VLOOKUP(B2208,Readme!A$40:C$51,2,)*P2208</f>
        <v>1273.2241095890415</v>
      </c>
    </row>
    <row r="2209" spans="1:17" ht="12" customHeight="1" x14ac:dyDescent="0.35">
      <c r="A2209" s="75">
        <v>2208</v>
      </c>
      <c r="B2209" s="64">
        <v>2015</v>
      </c>
      <c r="C2209" s="64">
        <v>11</v>
      </c>
      <c r="D2209" s="80">
        <f t="shared" si="71"/>
        <v>2015</v>
      </c>
      <c r="E2209" t="s">
        <v>38</v>
      </c>
      <c r="F2209" t="s">
        <v>143</v>
      </c>
      <c r="G2209" t="s">
        <v>10</v>
      </c>
      <c r="H2209" s="72" t="s">
        <v>219</v>
      </c>
      <c r="I2209" s="72" t="s">
        <v>61</v>
      </c>
      <c r="J2209" t="str">
        <f t="shared" si="72"/>
        <v>Skokomish River</v>
      </c>
      <c r="K2209" t="str">
        <f>IFERROR(VLOOKUP(J2209,LUTs!$A$1:$C$73,2,FALSE),"NA")</f>
        <v>Mason</v>
      </c>
      <c r="L2209" t="str">
        <f>IFERROR(VLOOKUP(J2209,LUTs!$A$1:$C$73,3,FALSE),"NA")</f>
        <v>4 Hood Canal</v>
      </c>
      <c r="M2209" s="72" t="s">
        <v>21</v>
      </c>
      <c r="N2209" t="str">
        <f>VLOOKUP(M2209,LUTs!E$2:H$14,3,)</f>
        <v>08Thurston</v>
      </c>
      <c r="O2209" t="str">
        <f>VLOOKUP(M2209,LUTs!E$2:H$14,4,)</f>
        <v>02South Puget Sound</v>
      </c>
      <c r="P2209" s="73">
        <v>234.71232876712301</v>
      </c>
      <c r="Q2209" s="74">
        <f>VLOOKUP(B2209,Readme!A$40:C$51,2,)*P2209</f>
        <v>807.41041095890319</v>
      </c>
    </row>
    <row r="2210" spans="1:17" ht="12" customHeight="1" x14ac:dyDescent="0.35">
      <c r="A2210" s="75">
        <v>2209</v>
      </c>
      <c r="B2210" s="64">
        <v>2015</v>
      </c>
      <c r="C2210" s="64">
        <v>12</v>
      </c>
      <c r="D2210" s="80">
        <f t="shared" si="71"/>
        <v>2015</v>
      </c>
      <c r="E2210" t="s">
        <v>38</v>
      </c>
      <c r="F2210" t="s">
        <v>143</v>
      </c>
      <c r="G2210" t="s">
        <v>10</v>
      </c>
      <c r="H2210" s="72" t="s">
        <v>219</v>
      </c>
      <c r="I2210" s="72" t="s">
        <v>61</v>
      </c>
      <c r="J2210" t="str">
        <f t="shared" si="72"/>
        <v>Skokomish River</v>
      </c>
      <c r="K2210" t="str">
        <f>IFERROR(VLOOKUP(J2210,LUTs!$A$1:$C$73,2,FALSE),"NA")</f>
        <v>Mason</v>
      </c>
      <c r="L2210" t="str">
        <f>IFERROR(VLOOKUP(J2210,LUTs!$A$1:$C$73,3,FALSE),"NA")</f>
        <v>4 Hood Canal</v>
      </c>
      <c r="M2210" s="72" t="s">
        <v>22</v>
      </c>
      <c r="N2210" t="str">
        <f>VLOOKUP(M2210,LUTs!E$2:H$14,3,)</f>
        <v>09Mason</v>
      </c>
      <c r="O2210" t="str">
        <f>VLOOKUP(M2210,LUTs!E$2:H$14,4,)</f>
        <v>02South Puget Sound</v>
      </c>
      <c r="P2210" s="73">
        <v>45</v>
      </c>
      <c r="Q2210" s="74">
        <f>VLOOKUP(B2210,Readme!A$40:C$51,2,)*P2210</f>
        <v>154.80000000000001</v>
      </c>
    </row>
    <row r="2211" spans="1:17" ht="12" customHeight="1" x14ac:dyDescent="0.35">
      <c r="A2211" s="75">
        <v>2210</v>
      </c>
      <c r="B2211" s="64">
        <v>2015</v>
      </c>
      <c r="C2211" s="64">
        <v>12</v>
      </c>
      <c r="D2211" s="80">
        <f t="shared" si="71"/>
        <v>2015</v>
      </c>
      <c r="E2211" t="s">
        <v>38</v>
      </c>
      <c r="F2211" t="s">
        <v>143</v>
      </c>
      <c r="G2211" t="s">
        <v>10</v>
      </c>
      <c r="H2211" s="72" t="s">
        <v>219</v>
      </c>
      <c r="I2211" s="72" t="s">
        <v>61</v>
      </c>
      <c r="J2211" t="str">
        <f t="shared" si="72"/>
        <v>Skokomish River</v>
      </c>
      <c r="K2211" t="str">
        <f>IFERROR(VLOOKUP(J2211,LUTs!$A$1:$C$73,2,FALSE),"NA")</f>
        <v>Mason</v>
      </c>
      <c r="L2211" t="str">
        <f>IFERROR(VLOOKUP(J2211,LUTs!$A$1:$C$73,3,FALSE),"NA")</f>
        <v>4 Hood Canal</v>
      </c>
      <c r="M2211" s="72" t="s">
        <v>26</v>
      </c>
      <c r="N2211" t="str">
        <f>VLOOKUP(M2211,LUTs!E$2:H$14,3,)</f>
        <v>20Other</v>
      </c>
      <c r="O2211" t="str">
        <f>VLOOKUP(M2211,LUTs!E$2:H$14,4,)</f>
        <v>07Non Puget Sound</v>
      </c>
      <c r="P2211" s="73">
        <v>45</v>
      </c>
      <c r="Q2211" s="74">
        <f>VLOOKUP(B2211,Readme!A$40:C$51,2,)*P2211</f>
        <v>154.80000000000001</v>
      </c>
    </row>
    <row r="2212" spans="1:17" ht="12" customHeight="1" x14ac:dyDescent="0.35">
      <c r="A2212" s="75">
        <v>2211</v>
      </c>
      <c r="B2212" s="64">
        <v>2015</v>
      </c>
      <c r="C2212" s="64">
        <v>8</v>
      </c>
      <c r="D2212" s="80">
        <f t="shared" si="71"/>
        <v>2015</v>
      </c>
      <c r="E2212" t="s">
        <v>38</v>
      </c>
      <c r="F2212" t="s">
        <v>143</v>
      </c>
      <c r="G2212" t="s">
        <v>10</v>
      </c>
      <c r="H2212" s="72" t="s">
        <v>220</v>
      </c>
      <c r="I2212" s="72" t="s">
        <v>62</v>
      </c>
      <c r="J2212" t="str">
        <f t="shared" si="72"/>
        <v>Skykomish River</v>
      </c>
      <c r="K2212" t="str">
        <f>IFERROR(VLOOKUP(J2212,LUTs!$A$1:$C$73,2,FALSE),"NA")</f>
        <v>Snohomish</v>
      </c>
      <c r="L2212" t="str">
        <f>IFERROR(VLOOKUP(J2212,LUTs!$A$1:$C$73,3,FALSE),"NA")</f>
        <v>2Central Puget Sound</v>
      </c>
      <c r="M2212" s="72" t="s">
        <v>18</v>
      </c>
      <c r="N2212" t="str">
        <f>VLOOKUP(M2212,LUTs!E$2:H$14,3,)</f>
        <v>06King</v>
      </c>
      <c r="O2212" t="str">
        <f>VLOOKUP(M2212,LUTs!E$2:H$14,4,)</f>
        <v>02South Puget Sound</v>
      </c>
      <c r="P2212" s="73">
        <v>35.733333333333299</v>
      </c>
      <c r="Q2212" s="74">
        <f>VLOOKUP(B2212,Readme!A$40:C$51,2,)*P2212</f>
        <v>122.92266666666654</v>
      </c>
    </row>
    <row r="2213" spans="1:17" ht="12" customHeight="1" x14ac:dyDescent="0.35">
      <c r="A2213" s="75">
        <v>2212</v>
      </c>
      <c r="B2213" s="64">
        <v>2015</v>
      </c>
      <c r="C2213" s="64">
        <v>8</v>
      </c>
      <c r="D2213" s="80">
        <f t="shared" si="71"/>
        <v>2015</v>
      </c>
      <c r="E2213" t="s">
        <v>38</v>
      </c>
      <c r="F2213" t="s">
        <v>143</v>
      </c>
      <c r="G2213" t="s">
        <v>10</v>
      </c>
      <c r="H2213" s="72" t="s">
        <v>220</v>
      </c>
      <c r="I2213" s="72" t="s">
        <v>62</v>
      </c>
      <c r="J2213" t="str">
        <f t="shared" si="72"/>
        <v>Skykomish River</v>
      </c>
      <c r="K2213" t="str">
        <f>IFERROR(VLOOKUP(J2213,LUTs!$A$1:$C$73,2,FALSE),"NA")</f>
        <v>Snohomish</v>
      </c>
      <c r="L2213" t="str">
        <f>IFERROR(VLOOKUP(J2213,LUTs!$A$1:$C$73,3,FALSE),"NA")</f>
        <v>2Central Puget Sound</v>
      </c>
      <c r="M2213" s="72" t="s">
        <v>23</v>
      </c>
      <c r="N2213" t="str">
        <f>VLOOKUP(M2213,LUTs!E$2:H$14,3,)</f>
        <v>10Kitsap</v>
      </c>
      <c r="O2213" t="str">
        <f>VLOOKUP(M2213,LUTs!E$2:H$14,4,)</f>
        <v>02South Puget Sound</v>
      </c>
      <c r="P2213" s="73">
        <v>8.9333333333333407</v>
      </c>
      <c r="Q2213" s="74">
        <f>VLOOKUP(B2213,Readme!A$40:C$51,2,)*P2213</f>
        <v>30.730666666666693</v>
      </c>
    </row>
    <row r="2214" spans="1:17" ht="12" customHeight="1" x14ac:dyDescent="0.35">
      <c r="A2214" s="75">
        <v>2213</v>
      </c>
      <c r="B2214" s="64">
        <v>2015</v>
      </c>
      <c r="C2214" s="64">
        <v>8</v>
      </c>
      <c r="D2214" s="80">
        <f t="shared" si="71"/>
        <v>2015</v>
      </c>
      <c r="E2214" t="s">
        <v>38</v>
      </c>
      <c r="F2214" t="s">
        <v>143</v>
      </c>
      <c r="G2214" t="s">
        <v>10</v>
      </c>
      <c r="H2214" s="72" t="s">
        <v>220</v>
      </c>
      <c r="I2214" s="72" t="s">
        <v>62</v>
      </c>
      <c r="J2214" t="str">
        <f t="shared" si="72"/>
        <v>Skykomish River</v>
      </c>
      <c r="K2214" t="str">
        <f>IFERROR(VLOOKUP(J2214,LUTs!$A$1:$C$73,2,FALSE),"NA")</f>
        <v>Snohomish</v>
      </c>
      <c r="L2214" t="str">
        <f>IFERROR(VLOOKUP(J2214,LUTs!$A$1:$C$73,3,FALSE),"NA")</f>
        <v>2Central Puget Sound</v>
      </c>
      <c r="M2214" s="72" t="s">
        <v>16</v>
      </c>
      <c r="N2214" t="str">
        <f>VLOOKUP(M2214,LUTs!E$2:H$14,3,)</f>
        <v>03Snohomish</v>
      </c>
      <c r="O2214" t="str">
        <f>VLOOKUP(M2214,LUTs!E$2:H$14,4,)</f>
        <v>01North Puget Sound</v>
      </c>
      <c r="P2214" s="73">
        <v>53.6</v>
      </c>
      <c r="Q2214" s="74">
        <f>VLOOKUP(B2214,Readme!A$40:C$51,2,)*P2214</f>
        <v>184.38400000000001</v>
      </c>
    </row>
    <row r="2215" spans="1:17" ht="12" customHeight="1" x14ac:dyDescent="0.35">
      <c r="A2215" s="75">
        <v>2214</v>
      </c>
      <c r="B2215" s="64">
        <v>2015</v>
      </c>
      <c r="C2215" s="64">
        <v>8</v>
      </c>
      <c r="D2215" s="80">
        <f t="shared" si="71"/>
        <v>2015</v>
      </c>
      <c r="E2215" t="s">
        <v>38</v>
      </c>
      <c r="F2215" t="s">
        <v>143</v>
      </c>
      <c r="G2215" t="s">
        <v>10</v>
      </c>
      <c r="H2215" s="72" t="s">
        <v>220</v>
      </c>
      <c r="I2215" s="72" t="s">
        <v>62</v>
      </c>
      <c r="J2215" t="str">
        <f t="shared" si="72"/>
        <v>Skykomish River</v>
      </c>
      <c r="K2215" t="str">
        <f>IFERROR(VLOOKUP(J2215,LUTs!$A$1:$C$73,2,FALSE),"NA")</f>
        <v>Snohomish</v>
      </c>
      <c r="L2215" t="str">
        <f>IFERROR(VLOOKUP(J2215,LUTs!$A$1:$C$73,3,FALSE),"NA")</f>
        <v>2Central Puget Sound</v>
      </c>
      <c r="M2215" s="72" t="s">
        <v>21</v>
      </c>
      <c r="N2215" t="str">
        <f>VLOOKUP(M2215,LUTs!E$2:H$14,3,)</f>
        <v>08Thurston</v>
      </c>
      <c r="O2215" t="str">
        <f>VLOOKUP(M2215,LUTs!E$2:H$14,4,)</f>
        <v>02South Puget Sound</v>
      </c>
      <c r="P2215" s="73">
        <v>35.733333333333299</v>
      </c>
      <c r="Q2215" s="74">
        <f>VLOOKUP(B2215,Readme!A$40:C$51,2,)*P2215</f>
        <v>122.92266666666654</v>
      </c>
    </row>
    <row r="2216" spans="1:17" ht="12" customHeight="1" x14ac:dyDescent="0.35">
      <c r="A2216" s="75">
        <v>2215</v>
      </c>
      <c r="B2216" s="64">
        <v>2015</v>
      </c>
      <c r="C2216" s="64">
        <v>9</v>
      </c>
      <c r="D2216" s="80">
        <f t="shared" si="71"/>
        <v>2015</v>
      </c>
      <c r="E2216" t="s">
        <v>38</v>
      </c>
      <c r="F2216" t="s">
        <v>143</v>
      </c>
      <c r="G2216" t="s">
        <v>10</v>
      </c>
      <c r="H2216" s="72" t="s">
        <v>220</v>
      </c>
      <c r="I2216" s="72" t="s">
        <v>62</v>
      </c>
      <c r="J2216" t="str">
        <f t="shared" si="72"/>
        <v>Skykomish River</v>
      </c>
      <c r="K2216" t="str">
        <f>IFERROR(VLOOKUP(J2216,LUTs!$A$1:$C$73,2,FALSE),"NA")</f>
        <v>Snohomish</v>
      </c>
      <c r="L2216" t="str">
        <f>IFERROR(VLOOKUP(J2216,LUTs!$A$1:$C$73,3,FALSE),"NA")</f>
        <v>2Central Puget Sound</v>
      </c>
      <c r="M2216" s="72" t="s">
        <v>18</v>
      </c>
      <c r="N2216" t="str">
        <f>VLOOKUP(M2216,LUTs!E$2:H$14,3,)</f>
        <v>06King</v>
      </c>
      <c r="O2216" t="str">
        <f>VLOOKUP(M2216,LUTs!E$2:H$14,4,)</f>
        <v>02South Puget Sound</v>
      </c>
      <c r="P2216" s="73">
        <v>1437.5597920277301</v>
      </c>
      <c r="Q2216" s="74">
        <f>VLOOKUP(B2216,Readme!A$40:C$51,2,)*P2216</f>
        <v>4945.2056845753914</v>
      </c>
    </row>
    <row r="2217" spans="1:17" ht="12" customHeight="1" x14ac:dyDescent="0.35">
      <c r="A2217" s="75">
        <v>2216</v>
      </c>
      <c r="B2217" s="64">
        <v>2015</v>
      </c>
      <c r="C2217" s="64">
        <v>9</v>
      </c>
      <c r="D2217" s="80">
        <f t="shared" si="71"/>
        <v>2015</v>
      </c>
      <c r="E2217" t="s">
        <v>38</v>
      </c>
      <c r="F2217" t="s">
        <v>143</v>
      </c>
      <c r="G2217" t="s">
        <v>10</v>
      </c>
      <c r="H2217" s="72" t="s">
        <v>220</v>
      </c>
      <c r="I2217" s="72" t="s">
        <v>62</v>
      </c>
      <c r="J2217" t="str">
        <f t="shared" si="72"/>
        <v>Skykomish River</v>
      </c>
      <c r="K2217" t="str">
        <f>IFERROR(VLOOKUP(J2217,LUTs!$A$1:$C$73,2,FALSE),"NA")</f>
        <v>Snohomish</v>
      </c>
      <c r="L2217" t="str">
        <f>IFERROR(VLOOKUP(J2217,LUTs!$A$1:$C$73,3,FALSE),"NA")</f>
        <v>2Central Puget Sound</v>
      </c>
      <c r="M2217" s="72" t="s">
        <v>23</v>
      </c>
      <c r="N2217" t="str">
        <f>VLOOKUP(M2217,LUTs!E$2:H$14,3,)</f>
        <v>10Kitsap</v>
      </c>
      <c r="O2217" t="str">
        <f>VLOOKUP(M2217,LUTs!E$2:H$14,4,)</f>
        <v>02South Puget Sound</v>
      </c>
      <c r="P2217" s="73">
        <v>17.857885615251298</v>
      </c>
      <c r="Q2217" s="74">
        <f>VLOOKUP(B2217,Readme!A$40:C$51,2,)*P2217</f>
        <v>61.431126516464467</v>
      </c>
    </row>
    <row r="2218" spans="1:17" ht="12" customHeight="1" x14ac:dyDescent="0.35">
      <c r="A2218" s="75">
        <v>2217</v>
      </c>
      <c r="B2218" s="64">
        <v>2015</v>
      </c>
      <c r="C2218" s="64">
        <v>9</v>
      </c>
      <c r="D2218" s="80">
        <f t="shared" si="71"/>
        <v>2015</v>
      </c>
      <c r="E2218" t="s">
        <v>38</v>
      </c>
      <c r="F2218" t="s">
        <v>143</v>
      </c>
      <c r="G2218" t="s">
        <v>10</v>
      </c>
      <c r="H2218" s="72" t="s">
        <v>220</v>
      </c>
      <c r="I2218" s="72" t="s">
        <v>62</v>
      </c>
      <c r="J2218" t="str">
        <f t="shared" si="72"/>
        <v>Skykomish River</v>
      </c>
      <c r="K2218" t="str">
        <f>IFERROR(VLOOKUP(J2218,LUTs!$A$1:$C$73,2,FALSE),"NA")</f>
        <v>Snohomish</v>
      </c>
      <c r="L2218" t="str">
        <f>IFERROR(VLOOKUP(J2218,LUTs!$A$1:$C$73,3,FALSE),"NA")</f>
        <v>2Central Puget Sound</v>
      </c>
      <c r="M2218" s="72" t="s">
        <v>26</v>
      </c>
      <c r="N2218" t="str">
        <f>VLOOKUP(M2218,LUTs!E$2:H$14,3,)</f>
        <v>20Other</v>
      </c>
      <c r="O2218" t="str">
        <f>VLOOKUP(M2218,LUTs!E$2:H$14,4,)</f>
        <v>07Non Puget Sound</v>
      </c>
      <c r="P2218" s="73">
        <v>392.87348353552898</v>
      </c>
      <c r="Q2218" s="74">
        <f>VLOOKUP(B2218,Readme!A$40:C$51,2,)*P2218</f>
        <v>1351.4847833622196</v>
      </c>
    </row>
    <row r="2219" spans="1:17" ht="12" customHeight="1" x14ac:dyDescent="0.35">
      <c r="A2219" s="75">
        <v>2218</v>
      </c>
      <c r="B2219" s="64">
        <v>2015</v>
      </c>
      <c r="C2219" s="64">
        <v>9</v>
      </c>
      <c r="D2219" s="80">
        <f t="shared" si="71"/>
        <v>2015</v>
      </c>
      <c r="E2219" t="s">
        <v>38</v>
      </c>
      <c r="F2219" t="s">
        <v>143</v>
      </c>
      <c r="G2219" t="s">
        <v>10</v>
      </c>
      <c r="H2219" s="72" t="s">
        <v>220</v>
      </c>
      <c r="I2219" s="72" t="s">
        <v>62</v>
      </c>
      <c r="J2219" t="str">
        <f t="shared" si="72"/>
        <v>Skykomish River</v>
      </c>
      <c r="K2219" t="str">
        <f>IFERROR(VLOOKUP(J2219,LUTs!$A$1:$C$73,2,FALSE),"NA")</f>
        <v>Snohomish</v>
      </c>
      <c r="L2219" t="str">
        <f>IFERROR(VLOOKUP(J2219,LUTs!$A$1:$C$73,3,FALSE),"NA")</f>
        <v>2Central Puget Sound</v>
      </c>
      <c r="M2219" s="72" t="s">
        <v>20</v>
      </c>
      <c r="N2219" t="str">
        <f>VLOOKUP(M2219,LUTs!E$2:H$14,3,)</f>
        <v>07Pierce</v>
      </c>
      <c r="O2219" t="str">
        <f>VLOOKUP(M2219,LUTs!E$2:H$14,4,)</f>
        <v>02South Puget Sound</v>
      </c>
      <c r="P2219" s="73">
        <v>125.005199306759</v>
      </c>
      <c r="Q2219" s="74">
        <f>VLOOKUP(B2219,Readme!A$40:C$51,2,)*P2219</f>
        <v>430.01788561525092</v>
      </c>
    </row>
    <row r="2220" spans="1:17" ht="12" customHeight="1" x14ac:dyDescent="0.35">
      <c r="A2220" s="75">
        <v>2219</v>
      </c>
      <c r="B2220" s="64">
        <v>2015</v>
      </c>
      <c r="C2220" s="64">
        <v>9</v>
      </c>
      <c r="D2220" s="80">
        <f t="shared" si="71"/>
        <v>2015</v>
      </c>
      <c r="E2220" t="s">
        <v>38</v>
      </c>
      <c r="F2220" t="s">
        <v>143</v>
      </c>
      <c r="G2220" t="s">
        <v>10</v>
      </c>
      <c r="H2220" s="72" t="s">
        <v>220</v>
      </c>
      <c r="I2220" s="72" t="s">
        <v>62</v>
      </c>
      <c r="J2220" t="str">
        <f t="shared" si="72"/>
        <v>Skykomish River</v>
      </c>
      <c r="K2220" t="str">
        <f>IFERROR(VLOOKUP(J2220,LUTs!$A$1:$C$73,2,FALSE),"NA")</f>
        <v>Snohomish</v>
      </c>
      <c r="L2220" t="str">
        <f>IFERROR(VLOOKUP(J2220,LUTs!$A$1:$C$73,3,FALSE),"NA")</f>
        <v>2Central Puget Sound</v>
      </c>
      <c r="M2220" s="72" t="s">
        <v>15</v>
      </c>
      <c r="N2220" t="str">
        <f>VLOOKUP(M2220,LUTs!E$2:H$14,3,)</f>
        <v>02Skagit</v>
      </c>
      <c r="O2220" t="str">
        <f>VLOOKUP(M2220,LUTs!E$2:H$14,4,)</f>
        <v>01North Puget Sound</v>
      </c>
      <c r="P2220" s="73">
        <v>8.9289428076256492</v>
      </c>
      <c r="Q2220" s="74">
        <f>VLOOKUP(B2220,Readme!A$40:C$51,2,)*P2220</f>
        <v>30.715563258232233</v>
      </c>
    </row>
    <row r="2221" spans="1:17" ht="12" customHeight="1" x14ac:dyDescent="0.35">
      <c r="A2221" s="75">
        <v>2220</v>
      </c>
      <c r="B2221" s="64">
        <v>2015</v>
      </c>
      <c r="C2221" s="64">
        <v>9</v>
      </c>
      <c r="D2221" s="80">
        <f t="shared" si="71"/>
        <v>2015</v>
      </c>
      <c r="E2221" t="s">
        <v>38</v>
      </c>
      <c r="F2221" t="s">
        <v>143</v>
      </c>
      <c r="G2221" t="s">
        <v>10</v>
      </c>
      <c r="H2221" s="72" t="s">
        <v>220</v>
      </c>
      <c r="I2221" s="72" t="s">
        <v>62</v>
      </c>
      <c r="J2221" t="str">
        <f t="shared" si="72"/>
        <v>Skykomish River</v>
      </c>
      <c r="K2221" t="str">
        <f>IFERROR(VLOOKUP(J2221,LUTs!$A$1:$C$73,2,FALSE),"NA")</f>
        <v>Snohomish</v>
      </c>
      <c r="L2221" t="str">
        <f>IFERROR(VLOOKUP(J2221,LUTs!$A$1:$C$73,3,FALSE),"NA")</f>
        <v>2Central Puget Sound</v>
      </c>
      <c r="M2221" s="72" t="s">
        <v>16</v>
      </c>
      <c r="N2221" t="str">
        <f>VLOOKUP(M2221,LUTs!E$2:H$14,3,)</f>
        <v>03Snohomish</v>
      </c>
      <c r="O2221" t="str">
        <f>VLOOKUP(M2221,LUTs!E$2:H$14,4,)</f>
        <v>01North Puget Sound</v>
      </c>
      <c r="P2221" s="73">
        <v>3151.9168110918499</v>
      </c>
      <c r="Q2221" s="74">
        <f>VLOOKUP(B2221,Readme!A$40:C$51,2,)*P2221</f>
        <v>10842.593830155964</v>
      </c>
    </row>
    <row r="2222" spans="1:17" ht="12" customHeight="1" x14ac:dyDescent="0.35">
      <c r="A2222" s="75">
        <v>2221</v>
      </c>
      <c r="B2222" s="64">
        <v>2015</v>
      </c>
      <c r="C2222" s="64">
        <v>9</v>
      </c>
      <c r="D2222" s="80">
        <f t="shared" si="71"/>
        <v>2015</v>
      </c>
      <c r="E2222" t="s">
        <v>38</v>
      </c>
      <c r="F2222" t="s">
        <v>143</v>
      </c>
      <c r="G2222" t="s">
        <v>10</v>
      </c>
      <c r="H2222" s="72" t="s">
        <v>220</v>
      </c>
      <c r="I2222" s="72" t="s">
        <v>62</v>
      </c>
      <c r="J2222" t="str">
        <f t="shared" si="72"/>
        <v>Skykomish River</v>
      </c>
      <c r="K2222" t="str">
        <f>IFERROR(VLOOKUP(J2222,LUTs!$A$1:$C$73,2,FALSE),"NA")</f>
        <v>Snohomish</v>
      </c>
      <c r="L2222" t="str">
        <f>IFERROR(VLOOKUP(J2222,LUTs!$A$1:$C$73,3,FALSE),"NA")</f>
        <v>2Central Puget Sound</v>
      </c>
      <c r="M2222" s="72" t="s">
        <v>13</v>
      </c>
      <c r="N2222" t="str">
        <f>VLOOKUP(M2222,LUTs!E$2:H$14,3,)</f>
        <v>01Whatcom</v>
      </c>
      <c r="O2222" t="str">
        <f>VLOOKUP(M2222,LUTs!E$2:H$14,4,)</f>
        <v>01North Puget Sound</v>
      </c>
      <c r="P2222" s="73">
        <v>17.857885615251298</v>
      </c>
      <c r="Q2222" s="74">
        <f>VLOOKUP(B2222,Readme!A$40:C$51,2,)*P2222</f>
        <v>61.431126516464467</v>
      </c>
    </row>
    <row r="2223" spans="1:17" ht="12" customHeight="1" x14ac:dyDescent="0.35">
      <c r="A2223" s="75">
        <v>2222</v>
      </c>
      <c r="B2223" s="64">
        <v>2015</v>
      </c>
      <c r="C2223" s="64">
        <v>10</v>
      </c>
      <c r="D2223" s="80">
        <f t="shared" si="71"/>
        <v>2015</v>
      </c>
      <c r="E2223" t="s">
        <v>38</v>
      </c>
      <c r="F2223" t="s">
        <v>143</v>
      </c>
      <c r="G2223" t="s">
        <v>10</v>
      </c>
      <c r="H2223" s="72" t="s">
        <v>220</v>
      </c>
      <c r="I2223" s="72" t="s">
        <v>62</v>
      </c>
      <c r="J2223" t="str">
        <f t="shared" si="72"/>
        <v>Skykomish River</v>
      </c>
      <c r="K2223" t="str">
        <f>IFERROR(VLOOKUP(J2223,LUTs!$A$1:$C$73,2,FALSE),"NA")</f>
        <v>Snohomish</v>
      </c>
      <c r="L2223" t="str">
        <f>IFERROR(VLOOKUP(J2223,LUTs!$A$1:$C$73,3,FALSE),"NA")</f>
        <v>2Central Puget Sound</v>
      </c>
      <c r="M2223" s="72" t="s">
        <v>18</v>
      </c>
      <c r="N2223" t="str">
        <f>VLOOKUP(M2223,LUTs!E$2:H$14,3,)</f>
        <v>06King</v>
      </c>
      <c r="O2223" t="str">
        <f>VLOOKUP(M2223,LUTs!E$2:H$14,4,)</f>
        <v>02South Puget Sound</v>
      </c>
      <c r="P2223" s="73">
        <v>429.857142857143</v>
      </c>
      <c r="Q2223" s="74">
        <f>VLOOKUP(B2223,Readme!A$40:C$51,2,)*P2223</f>
        <v>1478.708571428572</v>
      </c>
    </row>
    <row r="2224" spans="1:17" ht="12" customHeight="1" x14ac:dyDescent="0.35">
      <c r="A2224" s="75">
        <v>2223</v>
      </c>
      <c r="B2224" s="64">
        <v>2015</v>
      </c>
      <c r="C2224" s="64">
        <v>10</v>
      </c>
      <c r="D2224" s="80">
        <f t="shared" si="71"/>
        <v>2015</v>
      </c>
      <c r="E2224" t="s">
        <v>38</v>
      </c>
      <c r="F2224" t="s">
        <v>143</v>
      </c>
      <c r="G2224" t="s">
        <v>10</v>
      </c>
      <c r="H2224" s="72" t="s">
        <v>220</v>
      </c>
      <c r="I2224" s="72" t="s">
        <v>62</v>
      </c>
      <c r="J2224" t="str">
        <f t="shared" si="72"/>
        <v>Skykomish River</v>
      </c>
      <c r="K2224" t="str">
        <f>IFERROR(VLOOKUP(J2224,LUTs!$A$1:$C$73,2,FALSE),"NA")</f>
        <v>Snohomish</v>
      </c>
      <c r="L2224" t="str">
        <f>IFERROR(VLOOKUP(J2224,LUTs!$A$1:$C$73,3,FALSE),"NA")</f>
        <v>2Central Puget Sound</v>
      </c>
      <c r="M2224" s="72" t="s">
        <v>26</v>
      </c>
      <c r="N2224" t="str">
        <f>VLOOKUP(M2224,LUTs!E$2:H$14,3,)</f>
        <v>20Other</v>
      </c>
      <c r="O2224" t="str">
        <f>VLOOKUP(M2224,LUTs!E$2:H$14,4,)</f>
        <v>07Non Puget Sound</v>
      </c>
      <c r="P2224" s="73">
        <v>35.821428571428598</v>
      </c>
      <c r="Q2224" s="74">
        <f>VLOOKUP(B2224,Readme!A$40:C$51,2,)*P2224</f>
        <v>123.22571428571437</v>
      </c>
    </row>
    <row r="2225" spans="1:17" ht="12" customHeight="1" x14ac:dyDescent="0.35">
      <c r="A2225" s="75">
        <v>2224</v>
      </c>
      <c r="B2225" s="64">
        <v>2015</v>
      </c>
      <c r="C2225" s="64">
        <v>10</v>
      </c>
      <c r="D2225" s="80">
        <f t="shared" si="71"/>
        <v>2015</v>
      </c>
      <c r="E2225" t="s">
        <v>38</v>
      </c>
      <c r="F2225" t="s">
        <v>143</v>
      </c>
      <c r="G2225" t="s">
        <v>10</v>
      </c>
      <c r="H2225" s="72" t="s">
        <v>220</v>
      </c>
      <c r="I2225" s="72" t="s">
        <v>62</v>
      </c>
      <c r="J2225" t="str">
        <f t="shared" si="72"/>
        <v>Skykomish River</v>
      </c>
      <c r="K2225" t="str">
        <f>IFERROR(VLOOKUP(J2225,LUTs!$A$1:$C$73,2,FALSE),"NA")</f>
        <v>Snohomish</v>
      </c>
      <c r="L2225" t="str">
        <f>IFERROR(VLOOKUP(J2225,LUTs!$A$1:$C$73,3,FALSE),"NA")</f>
        <v>2Central Puget Sound</v>
      </c>
      <c r="M2225" s="72" t="s">
        <v>16</v>
      </c>
      <c r="N2225" t="str">
        <f>VLOOKUP(M2225,LUTs!E$2:H$14,3,)</f>
        <v>03Snohomish</v>
      </c>
      <c r="O2225" t="str">
        <f>VLOOKUP(M2225,LUTs!E$2:H$14,4,)</f>
        <v>01North Puget Sound</v>
      </c>
      <c r="P2225" s="73">
        <v>537.32142857142901</v>
      </c>
      <c r="Q2225" s="74">
        <f>VLOOKUP(B2225,Readme!A$40:C$51,2,)*P2225</f>
        <v>1848.3857142857157</v>
      </c>
    </row>
    <row r="2226" spans="1:17" ht="12" customHeight="1" x14ac:dyDescent="0.35">
      <c r="A2226" s="75">
        <v>2225</v>
      </c>
      <c r="B2226" s="64">
        <v>2015</v>
      </c>
      <c r="C2226" s="64">
        <v>11</v>
      </c>
      <c r="D2226" s="80">
        <f t="shared" si="71"/>
        <v>2015</v>
      </c>
      <c r="E2226" t="s">
        <v>38</v>
      </c>
      <c r="F2226" t="s">
        <v>143</v>
      </c>
      <c r="G2226" t="s">
        <v>10</v>
      </c>
      <c r="H2226" s="72" t="s">
        <v>220</v>
      </c>
      <c r="I2226" s="72" t="s">
        <v>62</v>
      </c>
      <c r="J2226" t="str">
        <f t="shared" si="72"/>
        <v>Skykomish River</v>
      </c>
      <c r="K2226" t="str">
        <f>IFERROR(VLOOKUP(J2226,LUTs!$A$1:$C$73,2,FALSE),"NA")</f>
        <v>Snohomish</v>
      </c>
      <c r="L2226" t="str">
        <f>IFERROR(VLOOKUP(J2226,LUTs!$A$1:$C$73,3,FALSE),"NA")</f>
        <v>2Central Puget Sound</v>
      </c>
      <c r="M2226" s="72" t="s">
        <v>16</v>
      </c>
      <c r="N2226" t="str">
        <f>VLOOKUP(M2226,LUTs!E$2:H$14,3,)</f>
        <v>03Snohomish</v>
      </c>
      <c r="O2226" t="str">
        <f>VLOOKUP(M2226,LUTs!E$2:H$14,4,)</f>
        <v>01North Puget Sound</v>
      </c>
      <c r="P2226" s="73">
        <v>36</v>
      </c>
      <c r="Q2226" s="74">
        <f>VLOOKUP(B2226,Readme!A$40:C$51,2,)*P2226</f>
        <v>123.84</v>
      </c>
    </row>
    <row r="2227" spans="1:17" ht="12" customHeight="1" x14ac:dyDescent="0.35">
      <c r="A2227" s="75">
        <v>2226</v>
      </c>
      <c r="B2227" s="64">
        <v>2015</v>
      </c>
      <c r="C2227" s="64">
        <v>7</v>
      </c>
      <c r="D2227" s="80">
        <f t="shared" si="71"/>
        <v>2015</v>
      </c>
      <c r="E2227" t="s">
        <v>38</v>
      </c>
      <c r="F2227" t="s">
        <v>143</v>
      </c>
      <c r="G2227" t="s">
        <v>10</v>
      </c>
      <c r="H2227" s="72" t="s">
        <v>221</v>
      </c>
      <c r="I2227" s="72" t="s">
        <v>63</v>
      </c>
      <c r="J2227" t="str">
        <f t="shared" si="72"/>
        <v>Snohomish River</v>
      </c>
      <c r="K2227" t="str">
        <f>IFERROR(VLOOKUP(J2227,LUTs!$A$1:$C$73,2,FALSE),"NA")</f>
        <v>Snohomish</v>
      </c>
      <c r="L2227" t="str">
        <f>IFERROR(VLOOKUP(J2227,LUTs!$A$1:$C$73,3,FALSE),"NA")</f>
        <v>2Central Puget Sound</v>
      </c>
      <c r="M2227" s="72" t="s">
        <v>16</v>
      </c>
      <c r="N2227" t="str">
        <f>VLOOKUP(M2227,LUTs!E$2:H$14,3,)</f>
        <v>03Snohomish</v>
      </c>
      <c r="O2227" t="str">
        <f>VLOOKUP(M2227,LUTs!E$2:H$14,4,)</f>
        <v>01North Puget Sound</v>
      </c>
      <c r="P2227" s="73">
        <v>63</v>
      </c>
      <c r="Q2227" s="74">
        <f>VLOOKUP(B2227,Readme!A$40:C$51,2,)*P2227</f>
        <v>216.72</v>
      </c>
    </row>
    <row r="2228" spans="1:17" ht="12" customHeight="1" x14ac:dyDescent="0.35">
      <c r="A2228" s="75">
        <v>2227</v>
      </c>
      <c r="B2228" s="64">
        <v>2015</v>
      </c>
      <c r="C2228" s="64">
        <v>8</v>
      </c>
      <c r="D2228" s="80">
        <f t="shared" si="71"/>
        <v>2015</v>
      </c>
      <c r="E2228" t="s">
        <v>38</v>
      </c>
      <c r="F2228" t="s">
        <v>143</v>
      </c>
      <c r="G2228" t="s">
        <v>10</v>
      </c>
      <c r="H2228" s="72" t="s">
        <v>221</v>
      </c>
      <c r="I2228" s="72" t="s">
        <v>63</v>
      </c>
      <c r="J2228" t="str">
        <f t="shared" si="72"/>
        <v>Snohomish River</v>
      </c>
      <c r="K2228" t="str">
        <f>IFERROR(VLOOKUP(J2228,LUTs!$A$1:$C$73,2,FALSE),"NA")</f>
        <v>Snohomish</v>
      </c>
      <c r="L2228" t="str">
        <f>IFERROR(VLOOKUP(J2228,LUTs!$A$1:$C$73,3,FALSE),"NA")</f>
        <v>2Central Puget Sound</v>
      </c>
      <c r="M2228" s="72" t="s">
        <v>17</v>
      </c>
      <c r="N2228" t="str">
        <f>VLOOKUP(M2228,LUTs!E$2:H$14,3,)</f>
        <v>04Island</v>
      </c>
      <c r="O2228" t="str">
        <f>VLOOKUP(M2228,LUTs!E$2:H$14,4,)</f>
        <v>01North Puget Sound</v>
      </c>
      <c r="P2228" s="73">
        <v>53.64</v>
      </c>
      <c r="Q2228" s="74">
        <f>VLOOKUP(B2228,Readme!A$40:C$51,2,)*P2228</f>
        <v>184.52160000000001</v>
      </c>
    </row>
    <row r="2229" spans="1:17" ht="12" customHeight="1" x14ac:dyDescent="0.35">
      <c r="A2229" s="75">
        <v>2228</v>
      </c>
      <c r="B2229" s="64">
        <v>2015</v>
      </c>
      <c r="C2229" s="64">
        <v>8</v>
      </c>
      <c r="D2229" s="80">
        <f t="shared" si="71"/>
        <v>2015</v>
      </c>
      <c r="E2229" t="s">
        <v>38</v>
      </c>
      <c r="F2229" t="s">
        <v>143</v>
      </c>
      <c r="G2229" t="s">
        <v>10</v>
      </c>
      <c r="H2229" s="72" t="s">
        <v>221</v>
      </c>
      <c r="I2229" s="72" t="s">
        <v>63</v>
      </c>
      <c r="J2229" t="str">
        <f t="shared" si="72"/>
        <v>Snohomish River</v>
      </c>
      <c r="K2229" t="str">
        <f>IFERROR(VLOOKUP(J2229,LUTs!$A$1:$C$73,2,FALSE),"NA")</f>
        <v>Snohomish</v>
      </c>
      <c r="L2229" t="str">
        <f>IFERROR(VLOOKUP(J2229,LUTs!$A$1:$C$73,3,FALSE),"NA")</f>
        <v>2Central Puget Sound</v>
      </c>
      <c r="M2229" s="72" t="s">
        <v>18</v>
      </c>
      <c r="N2229" t="str">
        <f>VLOOKUP(M2229,LUTs!E$2:H$14,3,)</f>
        <v>06King</v>
      </c>
      <c r="O2229" t="str">
        <f>VLOOKUP(M2229,LUTs!E$2:H$14,4,)</f>
        <v>02South Puget Sound</v>
      </c>
      <c r="P2229" s="73">
        <v>2172.42</v>
      </c>
      <c r="Q2229" s="74">
        <f>VLOOKUP(B2229,Readme!A$40:C$51,2,)*P2229</f>
        <v>7473.1248000000005</v>
      </c>
    </row>
    <row r="2230" spans="1:17" ht="12" customHeight="1" x14ac:dyDescent="0.35">
      <c r="A2230" s="75">
        <v>2229</v>
      </c>
      <c r="B2230" s="64">
        <v>2015</v>
      </c>
      <c r="C2230" s="64">
        <v>8</v>
      </c>
      <c r="D2230" s="80">
        <f t="shared" si="71"/>
        <v>2015</v>
      </c>
      <c r="E2230" t="s">
        <v>38</v>
      </c>
      <c r="F2230" t="s">
        <v>143</v>
      </c>
      <c r="G2230" t="s">
        <v>10</v>
      </c>
      <c r="H2230" s="72" t="s">
        <v>221</v>
      </c>
      <c r="I2230" s="72" t="s">
        <v>63</v>
      </c>
      <c r="J2230" t="str">
        <f t="shared" si="72"/>
        <v>Snohomish River</v>
      </c>
      <c r="K2230" t="str">
        <f>IFERROR(VLOOKUP(J2230,LUTs!$A$1:$C$73,2,FALSE),"NA")</f>
        <v>Snohomish</v>
      </c>
      <c r="L2230" t="str">
        <f>IFERROR(VLOOKUP(J2230,LUTs!$A$1:$C$73,3,FALSE),"NA")</f>
        <v>2Central Puget Sound</v>
      </c>
      <c r="M2230" s="72" t="s">
        <v>26</v>
      </c>
      <c r="N2230" t="str">
        <f>VLOOKUP(M2230,LUTs!E$2:H$14,3,)</f>
        <v>20Other</v>
      </c>
      <c r="O2230" t="str">
        <f>VLOOKUP(M2230,LUTs!E$2:H$14,4,)</f>
        <v>07Non Puget Sound</v>
      </c>
      <c r="P2230" s="73">
        <v>742.02</v>
      </c>
      <c r="Q2230" s="74">
        <f>VLOOKUP(B2230,Readme!A$40:C$51,2,)*P2230</f>
        <v>2552.5488</v>
      </c>
    </row>
    <row r="2231" spans="1:17" ht="12" customHeight="1" x14ac:dyDescent="0.35">
      <c r="A2231" s="75">
        <v>2230</v>
      </c>
      <c r="B2231" s="64">
        <v>2015</v>
      </c>
      <c r="C2231" s="64">
        <v>8</v>
      </c>
      <c r="D2231" s="80">
        <f t="shared" si="71"/>
        <v>2015</v>
      </c>
      <c r="E2231" t="s">
        <v>38</v>
      </c>
      <c r="F2231" t="s">
        <v>143</v>
      </c>
      <c r="G2231" t="s">
        <v>10</v>
      </c>
      <c r="H2231" s="72" t="s">
        <v>221</v>
      </c>
      <c r="I2231" s="72" t="s">
        <v>63</v>
      </c>
      <c r="J2231" t="str">
        <f t="shared" si="72"/>
        <v>Snohomish River</v>
      </c>
      <c r="K2231" t="str">
        <f>IFERROR(VLOOKUP(J2231,LUTs!$A$1:$C$73,2,FALSE),"NA")</f>
        <v>Snohomish</v>
      </c>
      <c r="L2231" t="str">
        <f>IFERROR(VLOOKUP(J2231,LUTs!$A$1:$C$73,3,FALSE),"NA")</f>
        <v>2Central Puget Sound</v>
      </c>
      <c r="M2231" s="72" t="s">
        <v>20</v>
      </c>
      <c r="N2231" t="str">
        <f>VLOOKUP(M2231,LUTs!E$2:H$14,3,)</f>
        <v>07Pierce</v>
      </c>
      <c r="O2231" t="str">
        <f>VLOOKUP(M2231,LUTs!E$2:H$14,4,)</f>
        <v>02South Puget Sound</v>
      </c>
      <c r="P2231" s="73">
        <v>116.22</v>
      </c>
      <c r="Q2231" s="74">
        <f>VLOOKUP(B2231,Readme!A$40:C$51,2,)*P2231</f>
        <v>399.79679999999996</v>
      </c>
    </row>
    <row r="2232" spans="1:17" ht="12" customHeight="1" x14ac:dyDescent="0.35">
      <c r="A2232" s="75">
        <v>2231</v>
      </c>
      <c r="B2232" s="64">
        <v>2015</v>
      </c>
      <c r="C2232" s="64">
        <v>8</v>
      </c>
      <c r="D2232" s="80">
        <f t="shared" si="71"/>
        <v>2015</v>
      </c>
      <c r="E2232" t="s">
        <v>38</v>
      </c>
      <c r="F2232" t="s">
        <v>143</v>
      </c>
      <c r="G2232" t="s">
        <v>10</v>
      </c>
      <c r="H2232" s="72" t="s">
        <v>221</v>
      </c>
      <c r="I2232" s="72" t="s">
        <v>63</v>
      </c>
      <c r="J2232" t="str">
        <f t="shared" si="72"/>
        <v>Snohomish River</v>
      </c>
      <c r="K2232" t="str">
        <f>IFERROR(VLOOKUP(J2232,LUTs!$A$1:$C$73,2,FALSE),"NA")</f>
        <v>Snohomish</v>
      </c>
      <c r="L2232" t="str">
        <f>IFERROR(VLOOKUP(J2232,LUTs!$A$1:$C$73,3,FALSE),"NA")</f>
        <v>2Central Puget Sound</v>
      </c>
      <c r="M2232" s="72" t="s">
        <v>15</v>
      </c>
      <c r="N2232" t="str">
        <f>VLOOKUP(M2232,LUTs!E$2:H$14,3,)</f>
        <v>02Skagit</v>
      </c>
      <c r="O2232" t="str">
        <f>VLOOKUP(M2232,LUTs!E$2:H$14,4,)</f>
        <v>01North Puget Sound</v>
      </c>
      <c r="P2232" s="73">
        <v>35.76</v>
      </c>
      <c r="Q2232" s="74">
        <f>VLOOKUP(B2232,Readme!A$40:C$51,2,)*P2232</f>
        <v>123.01439999999999</v>
      </c>
    </row>
    <row r="2233" spans="1:17" ht="12" customHeight="1" x14ac:dyDescent="0.35">
      <c r="A2233" s="75">
        <v>2232</v>
      </c>
      <c r="B2233" s="64">
        <v>2015</v>
      </c>
      <c r="C2233" s="64">
        <v>8</v>
      </c>
      <c r="D2233" s="80">
        <f t="shared" si="71"/>
        <v>2015</v>
      </c>
      <c r="E2233" t="s">
        <v>38</v>
      </c>
      <c r="F2233" t="s">
        <v>143</v>
      </c>
      <c r="G2233" t="s">
        <v>10</v>
      </c>
      <c r="H2233" s="72" t="s">
        <v>221</v>
      </c>
      <c r="I2233" s="72" t="s">
        <v>63</v>
      </c>
      <c r="J2233" t="str">
        <f t="shared" si="72"/>
        <v>Snohomish River</v>
      </c>
      <c r="K2233" t="str">
        <f>IFERROR(VLOOKUP(J2233,LUTs!$A$1:$C$73,2,FALSE),"NA")</f>
        <v>Snohomish</v>
      </c>
      <c r="L2233" t="str">
        <f>IFERROR(VLOOKUP(J2233,LUTs!$A$1:$C$73,3,FALSE),"NA")</f>
        <v>2Central Puget Sound</v>
      </c>
      <c r="M2233" s="72" t="s">
        <v>16</v>
      </c>
      <c r="N2233" t="str">
        <f>VLOOKUP(M2233,LUTs!E$2:H$14,3,)</f>
        <v>03Snohomish</v>
      </c>
      <c r="O2233" t="str">
        <f>VLOOKUP(M2233,LUTs!E$2:H$14,4,)</f>
        <v>01North Puget Sound</v>
      </c>
      <c r="P2233" s="73">
        <v>5748.42</v>
      </c>
      <c r="Q2233" s="74">
        <f>VLOOKUP(B2233,Readme!A$40:C$51,2,)*P2233</f>
        <v>19774.5648</v>
      </c>
    </row>
    <row r="2234" spans="1:17" ht="12" customHeight="1" x14ac:dyDescent="0.35">
      <c r="A2234" s="75">
        <v>2233</v>
      </c>
      <c r="B2234" s="64">
        <v>2015</v>
      </c>
      <c r="C2234" s="64">
        <v>8</v>
      </c>
      <c r="D2234" s="80">
        <f t="shared" ref="D2234:D2297" si="73">IF(C2234&gt;3,B2234,B2234-1)</f>
        <v>2015</v>
      </c>
      <c r="E2234" t="s">
        <v>38</v>
      </c>
      <c r="F2234" t="s">
        <v>143</v>
      </c>
      <c r="G2234" t="s">
        <v>10</v>
      </c>
      <c r="H2234" s="72" t="s">
        <v>221</v>
      </c>
      <c r="I2234" s="72" t="s">
        <v>63</v>
      </c>
      <c r="J2234" t="str">
        <f t="shared" si="72"/>
        <v>Snohomish River</v>
      </c>
      <c r="K2234" t="str">
        <f>IFERROR(VLOOKUP(J2234,LUTs!$A$1:$C$73,2,FALSE),"NA")</f>
        <v>Snohomish</v>
      </c>
      <c r="L2234" t="str">
        <f>IFERROR(VLOOKUP(J2234,LUTs!$A$1:$C$73,3,FALSE),"NA")</f>
        <v>2Central Puget Sound</v>
      </c>
      <c r="M2234" s="72" t="s">
        <v>21</v>
      </c>
      <c r="N2234" t="str">
        <f>VLOOKUP(M2234,LUTs!E$2:H$14,3,)</f>
        <v>08Thurston</v>
      </c>
      <c r="O2234" t="str">
        <f>VLOOKUP(M2234,LUTs!E$2:H$14,4,)</f>
        <v>02South Puget Sound</v>
      </c>
      <c r="P2234" s="73">
        <v>35.76</v>
      </c>
      <c r="Q2234" s="74">
        <f>VLOOKUP(B2234,Readme!A$40:C$51,2,)*P2234</f>
        <v>123.01439999999999</v>
      </c>
    </row>
    <row r="2235" spans="1:17" ht="12" customHeight="1" x14ac:dyDescent="0.35">
      <c r="A2235" s="75">
        <v>2234</v>
      </c>
      <c r="B2235" s="64">
        <v>2015</v>
      </c>
      <c r="C2235" s="64">
        <v>8</v>
      </c>
      <c r="D2235" s="80">
        <f t="shared" si="73"/>
        <v>2015</v>
      </c>
      <c r="E2235" t="s">
        <v>38</v>
      </c>
      <c r="F2235" t="s">
        <v>143</v>
      </c>
      <c r="G2235" t="s">
        <v>10</v>
      </c>
      <c r="H2235" s="72" t="s">
        <v>221</v>
      </c>
      <c r="I2235" s="72" t="s">
        <v>63</v>
      </c>
      <c r="J2235" t="str">
        <f t="shared" si="72"/>
        <v>Snohomish River</v>
      </c>
      <c r="K2235" t="str">
        <f>IFERROR(VLOOKUP(J2235,LUTs!$A$1:$C$73,2,FALSE),"NA")</f>
        <v>Snohomish</v>
      </c>
      <c r="L2235" t="str">
        <f>IFERROR(VLOOKUP(J2235,LUTs!$A$1:$C$73,3,FALSE),"NA")</f>
        <v>2Central Puget Sound</v>
      </c>
      <c r="M2235" s="72" t="s">
        <v>13</v>
      </c>
      <c r="N2235" t="str">
        <f>VLOOKUP(M2235,LUTs!E$2:H$14,3,)</f>
        <v>01Whatcom</v>
      </c>
      <c r="O2235" t="str">
        <f>VLOOKUP(M2235,LUTs!E$2:H$14,4,)</f>
        <v>01North Puget Sound</v>
      </c>
      <c r="P2235" s="73">
        <v>35.76</v>
      </c>
      <c r="Q2235" s="74">
        <f>VLOOKUP(B2235,Readme!A$40:C$51,2,)*P2235</f>
        <v>123.01439999999999</v>
      </c>
    </row>
    <row r="2236" spans="1:17" ht="12" customHeight="1" x14ac:dyDescent="0.35">
      <c r="A2236" s="75">
        <v>2235</v>
      </c>
      <c r="B2236" s="64">
        <v>2015</v>
      </c>
      <c r="C2236" s="64">
        <v>9</v>
      </c>
      <c r="D2236" s="80">
        <f t="shared" si="73"/>
        <v>2015</v>
      </c>
      <c r="E2236" t="s">
        <v>38</v>
      </c>
      <c r="F2236" t="s">
        <v>143</v>
      </c>
      <c r="G2236" t="s">
        <v>10</v>
      </c>
      <c r="H2236" s="72" t="s">
        <v>221</v>
      </c>
      <c r="I2236" s="72" t="s">
        <v>63</v>
      </c>
      <c r="J2236" t="str">
        <f t="shared" si="72"/>
        <v>Snohomish River</v>
      </c>
      <c r="K2236" t="str">
        <f>IFERROR(VLOOKUP(J2236,LUTs!$A$1:$C$73,2,FALSE),"NA")</f>
        <v>Snohomish</v>
      </c>
      <c r="L2236" t="str">
        <f>IFERROR(VLOOKUP(J2236,LUTs!$A$1:$C$73,3,FALSE),"NA")</f>
        <v>2Central Puget Sound</v>
      </c>
      <c r="M2236" s="72" t="s">
        <v>17</v>
      </c>
      <c r="N2236" t="str">
        <f>VLOOKUP(M2236,LUTs!E$2:H$14,3,)</f>
        <v>04Island</v>
      </c>
      <c r="O2236" t="str">
        <f>VLOOKUP(M2236,LUTs!E$2:H$14,4,)</f>
        <v>01North Puget Sound</v>
      </c>
      <c r="P2236" s="73">
        <v>160.90623742454699</v>
      </c>
      <c r="Q2236" s="74">
        <f>VLOOKUP(B2236,Readme!A$40:C$51,2,)*P2236</f>
        <v>553.51745674044162</v>
      </c>
    </row>
    <row r="2237" spans="1:17" ht="12" customHeight="1" x14ac:dyDescent="0.35">
      <c r="A2237" s="75">
        <v>2236</v>
      </c>
      <c r="B2237" s="64">
        <v>2015</v>
      </c>
      <c r="C2237" s="64">
        <v>9</v>
      </c>
      <c r="D2237" s="80">
        <f t="shared" si="73"/>
        <v>2015</v>
      </c>
      <c r="E2237" t="s">
        <v>38</v>
      </c>
      <c r="F2237" t="s">
        <v>143</v>
      </c>
      <c r="G2237" t="s">
        <v>10</v>
      </c>
      <c r="H2237" s="72" t="s">
        <v>221</v>
      </c>
      <c r="I2237" s="72" t="s">
        <v>63</v>
      </c>
      <c r="J2237" t="str">
        <f t="shared" si="72"/>
        <v>Snohomish River</v>
      </c>
      <c r="K2237" t="str">
        <f>IFERROR(VLOOKUP(J2237,LUTs!$A$1:$C$73,2,FALSE),"NA")</f>
        <v>Snohomish</v>
      </c>
      <c r="L2237" t="str">
        <f>IFERROR(VLOOKUP(J2237,LUTs!$A$1:$C$73,3,FALSE),"NA")</f>
        <v>2Central Puget Sound</v>
      </c>
      <c r="M2237" s="72" t="s">
        <v>18</v>
      </c>
      <c r="N2237" t="str">
        <f>VLOOKUP(M2237,LUTs!E$2:H$14,3,)</f>
        <v>06King</v>
      </c>
      <c r="O2237" t="str">
        <f>VLOOKUP(M2237,LUTs!E$2:H$14,4,)</f>
        <v>02South Puget Sound</v>
      </c>
      <c r="P2237" s="73">
        <v>4710.9770623742497</v>
      </c>
      <c r="Q2237" s="74">
        <f>VLOOKUP(B2237,Readme!A$40:C$51,2,)*P2237</f>
        <v>16205.761094567419</v>
      </c>
    </row>
    <row r="2238" spans="1:17" ht="12" customHeight="1" x14ac:dyDescent="0.35">
      <c r="A2238" s="75">
        <v>2237</v>
      </c>
      <c r="B2238" s="64">
        <v>2015</v>
      </c>
      <c r="C2238" s="64">
        <v>9</v>
      </c>
      <c r="D2238" s="80">
        <f t="shared" si="73"/>
        <v>2015</v>
      </c>
      <c r="E2238" t="s">
        <v>38</v>
      </c>
      <c r="F2238" t="s">
        <v>143</v>
      </c>
      <c r="G2238" t="s">
        <v>10</v>
      </c>
      <c r="H2238" s="72" t="s">
        <v>221</v>
      </c>
      <c r="I2238" s="72" t="s">
        <v>63</v>
      </c>
      <c r="J2238" t="str">
        <f t="shared" si="72"/>
        <v>Snohomish River</v>
      </c>
      <c r="K2238" t="str">
        <f>IFERROR(VLOOKUP(J2238,LUTs!$A$1:$C$73,2,FALSE),"NA")</f>
        <v>Snohomish</v>
      </c>
      <c r="L2238" t="str">
        <f>IFERROR(VLOOKUP(J2238,LUTs!$A$1:$C$73,3,FALSE),"NA")</f>
        <v>2Central Puget Sound</v>
      </c>
      <c r="M2238" s="72" t="s">
        <v>23</v>
      </c>
      <c r="N2238" t="str">
        <f>VLOOKUP(M2238,LUTs!E$2:H$14,3,)</f>
        <v>10Kitsap</v>
      </c>
      <c r="O2238" t="str">
        <f>VLOOKUP(M2238,LUTs!E$2:H$14,4,)</f>
        <v>02South Puget Sound</v>
      </c>
      <c r="P2238" s="73">
        <v>26.817706237424598</v>
      </c>
      <c r="Q2238" s="74">
        <f>VLOOKUP(B2238,Readme!A$40:C$51,2,)*P2238</f>
        <v>92.25290945674061</v>
      </c>
    </row>
    <row r="2239" spans="1:17" ht="12" customHeight="1" x14ac:dyDescent="0.35">
      <c r="A2239" s="75">
        <v>2238</v>
      </c>
      <c r="B2239" s="64">
        <v>2015</v>
      </c>
      <c r="C2239" s="64">
        <v>9</v>
      </c>
      <c r="D2239" s="80">
        <f t="shared" si="73"/>
        <v>2015</v>
      </c>
      <c r="E2239" t="s">
        <v>38</v>
      </c>
      <c r="F2239" t="s">
        <v>143</v>
      </c>
      <c r="G2239" t="s">
        <v>10</v>
      </c>
      <c r="H2239" s="72" t="s">
        <v>221</v>
      </c>
      <c r="I2239" s="72" t="s">
        <v>63</v>
      </c>
      <c r="J2239" t="str">
        <f t="shared" si="72"/>
        <v>Snohomish River</v>
      </c>
      <c r="K2239" t="str">
        <f>IFERROR(VLOOKUP(J2239,LUTs!$A$1:$C$73,2,FALSE),"NA")</f>
        <v>Snohomish</v>
      </c>
      <c r="L2239" t="str">
        <f>IFERROR(VLOOKUP(J2239,LUTs!$A$1:$C$73,3,FALSE),"NA")</f>
        <v>2Central Puget Sound</v>
      </c>
      <c r="M2239" s="72" t="s">
        <v>26</v>
      </c>
      <c r="N2239" t="str">
        <f>VLOOKUP(M2239,LUTs!E$2:H$14,3,)</f>
        <v>20Other</v>
      </c>
      <c r="O2239" t="str">
        <f>VLOOKUP(M2239,LUTs!E$2:H$14,4,)</f>
        <v>07Non Puget Sound</v>
      </c>
      <c r="P2239" s="73">
        <v>2279.5050301810902</v>
      </c>
      <c r="Q2239" s="74">
        <f>VLOOKUP(B2239,Readme!A$40:C$51,2,)*P2239</f>
        <v>7841.49730382295</v>
      </c>
    </row>
    <row r="2240" spans="1:17" ht="12" customHeight="1" x14ac:dyDescent="0.35">
      <c r="A2240" s="75">
        <v>2239</v>
      </c>
      <c r="B2240" s="64">
        <v>2015</v>
      </c>
      <c r="C2240" s="64">
        <v>9</v>
      </c>
      <c r="D2240" s="80">
        <f t="shared" si="73"/>
        <v>2015</v>
      </c>
      <c r="E2240" t="s">
        <v>38</v>
      </c>
      <c r="F2240" t="s">
        <v>143</v>
      </c>
      <c r="G2240" t="s">
        <v>10</v>
      </c>
      <c r="H2240" s="72" t="s">
        <v>221</v>
      </c>
      <c r="I2240" s="72" t="s">
        <v>63</v>
      </c>
      <c r="J2240" t="str">
        <f t="shared" si="72"/>
        <v>Snohomish River</v>
      </c>
      <c r="K2240" t="str">
        <f>IFERROR(VLOOKUP(J2240,LUTs!$A$1:$C$73,2,FALSE),"NA")</f>
        <v>Snohomish</v>
      </c>
      <c r="L2240" t="str">
        <f>IFERROR(VLOOKUP(J2240,LUTs!$A$1:$C$73,3,FALSE),"NA")</f>
        <v>2Central Puget Sound</v>
      </c>
      <c r="M2240" s="72" t="s">
        <v>20</v>
      </c>
      <c r="N2240" t="str">
        <f>VLOOKUP(M2240,LUTs!E$2:H$14,3,)</f>
        <v>07Pierce</v>
      </c>
      <c r="O2240" t="str">
        <f>VLOOKUP(M2240,LUTs!E$2:H$14,4,)</f>
        <v>02South Puget Sound</v>
      </c>
      <c r="P2240" s="73">
        <v>35.756941649899403</v>
      </c>
      <c r="Q2240" s="74">
        <f>VLOOKUP(B2240,Readme!A$40:C$51,2,)*P2240</f>
        <v>123.00387927565394</v>
      </c>
    </row>
    <row r="2241" spans="1:17" ht="12" customHeight="1" x14ac:dyDescent="0.35">
      <c r="A2241" s="75">
        <v>2240</v>
      </c>
      <c r="B2241" s="64">
        <v>2015</v>
      </c>
      <c r="C2241" s="64">
        <v>9</v>
      </c>
      <c r="D2241" s="80">
        <f t="shared" si="73"/>
        <v>2015</v>
      </c>
      <c r="E2241" t="s">
        <v>38</v>
      </c>
      <c r="F2241" t="s">
        <v>143</v>
      </c>
      <c r="G2241" t="s">
        <v>10</v>
      </c>
      <c r="H2241" s="72" t="s">
        <v>221</v>
      </c>
      <c r="I2241" s="72" t="s">
        <v>63</v>
      </c>
      <c r="J2241" t="str">
        <f t="shared" si="72"/>
        <v>Snohomish River</v>
      </c>
      <c r="K2241" t="str">
        <f>IFERROR(VLOOKUP(J2241,LUTs!$A$1:$C$73,2,FALSE),"NA")</f>
        <v>Snohomish</v>
      </c>
      <c r="L2241" t="str">
        <f>IFERROR(VLOOKUP(J2241,LUTs!$A$1:$C$73,3,FALSE),"NA")</f>
        <v>2Central Puget Sound</v>
      </c>
      <c r="M2241" s="72" t="s">
        <v>30</v>
      </c>
      <c r="N2241" t="str">
        <f>VLOOKUP(M2241,LUTs!E$2:H$14,3,)</f>
        <v>05San Juan</v>
      </c>
      <c r="O2241" t="str">
        <f>VLOOKUP(M2241,LUTs!E$2:H$14,4,)</f>
        <v>01North Puget Sound</v>
      </c>
      <c r="P2241" s="73">
        <v>35.756941649899403</v>
      </c>
      <c r="Q2241" s="74">
        <f>VLOOKUP(B2241,Readme!A$40:C$51,2,)*P2241</f>
        <v>123.00387927565394</v>
      </c>
    </row>
    <row r="2242" spans="1:17" ht="12" customHeight="1" x14ac:dyDescent="0.35">
      <c r="A2242" s="75">
        <v>2241</v>
      </c>
      <c r="B2242" s="64">
        <v>2015</v>
      </c>
      <c r="C2242" s="64">
        <v>9</v>
      </c>
      <c r="D2242" s="80">
        <f t="shared" si="73"/>
        <v>2015</v>
      </c>
      <c r="E2242" t="s">
        <v>38</v>
      </c>
      <c r="F2242" t="s">
        <v>143</v>
      </c>
      <c r="G2242" t="s">
        <v>10</v>
      </c>
      <c r="H2242" s="72" t="s">
        <v>221</v>
      </c>
      <c r="I2242" s="72" t="s">
        <v>63</v>
      </c>
      <c r="J2242" t="str">
        <f t="shared" si="72"/>
        <v>Snohomish River</v>
      </c>
      <c r="K2242" t="str">
        <f>IFERROR(VLOOKUP(J2242,LUTs!$A$1:$C$73,2,FALSE),"NA")</f>
        <v>Snohomish</v>
      </c>
      <c r="L2242" t="str">
        <f>IFERROR(VLOOKUP(J2242,LUTs!$A$1:$C$73,3,FALSE),"NA")</f>
        <v>2Central Puget Sound</v>
      </c>
      <c r="M2242" s="72" t="s">
        <v>15</v>
      </c>
      <c r="N2242" t="str">
        <f>VLOOKUP(M2242,LUTs!E$2:H$14,3,)</f>
        <v>02Skagit</v>
      </c>
      <c r="O2242" t="str">
        <f>VLOOKUP(M2242,LUTs!E$2:H$14,4,)</f>
        <v>01North Puget Sound</v>
      </c>
      <c r="P2242" s="73">
        <v>98.331589537223394</v>
      </c>
      <c r="Q2242" s="74">
        <f>VLOOKUP(B2242,Readme!A$40:C$51,2,)*P2242</f>
        <v>338.26066800804847</v>
      </c>
    </row>
    <row r="2243" spans="1:17" ht="12" customHeight="1" x14ac:dyDescent="0.35">
      <c r="A2243" s="75">
        <v>2242</v>
      </c>
      <c r="B2243" s="64">
        <v>2015</v>
      </c>
      <c r="C2243" s="64">
        <v>9</v>
      </c>
      <c r="D2243" s="80">
        <f t="shared" si="73"/>
        <v>2015</v>
      </c>
      <c r="E2243" t="s">
        <v>38</v>
      </c>
      <c r="F2243" t="s">
        <v>143</v>
      </c>
      <c r="G2243" t="s">
        <v>10</v>
      </c>
      <c r="H2243" s="72" t="s">
        <v>221</v>
      </c>
      <c r="I2243" s="72" t="s">
        <v>63</v>
      </c>
      <c r="J2243" t="str">
        <f t="shared" ref="J2243:J2306" si="74">I2243</f>
        <v>Snohomish River</v>
      </c>
      <c r="K2243" t="str">
        <f>IFERROR(VLOOKUP(J2243,LUTs!$A$1:$C$73,2,FALSE),"NA")</f>
        <v>Snohomish</v>
      </c>
      <c r="L2243" t="str">
        <f>IFERROR(VLOOKUP(J2243,LUTs!$A$1:$C$73,3,FALSE),"NA")</f>
        <v>2Central Puget Sound</v>
      </c>
      <c r="M2243" s="72" t="s">
        <v>16</v>
      </c>
      <c r="N2243" t="str">
        <f>VLOOKUP(M2243,LUTs!E$2:H$14,3,)</f>
        <v>03Snohomish</v>
      </c>
      <c r="O2243" t="str">
        <f>VLOOKUP(M2243,LUTs!E$2:H$14,4,)</f>
        <v>01North Puget Sound</v>
      </c>
      <c r="P2243" s="73">
        <v>14669.285311871199</v>
      </c>
      <c r="Q2243" s="74">
        <f>VLOOKUP(B2243,Readme!A$40:C$51,2,)*P2243</f>
        <v>50462.341472836924</v>
      </c>
    </row>
    <row r="2244" spans="1:17" ht="12" customHeight="1" x14ac:dyDescent="0.35">
      <c r="A2244" s="75">
        <v>2243</v>
      </c>
      <c r="B2244" s="64">
        <v>2015</v>
      </c>
      <c r="C2244" s="64">
        <v>9</v>
      </c>
      <c r="D2244" s="80">
        <f t="shared" si="73"/>
        <v>2015</v>
      </c>
      <c r="E2244" t="s">
        <v>38</v>
      </c>
      <c r="F2244" t="s">
        <v>143</v>
      </c>
      <c r="G2244" t="s">
        <v>10</v>
      </c>
      <c r="H2244" s="72" t="s">
        <v>221</v>
      </c>
      <c r="I2244" s="72" t="s">
        <v>63</v>
      </c>
      <c r="J2244" t="str">
        <f t="shared" si="74"/>
        <v>Snohomish River</v>
      </c>
      <c r="K2244" t="str">
        <f>IFERROR(VLOOKUP(J2244,LUTs!$A$1:$C$73,2,FALSE),"NA")</f>
        <v>Snohomish</v>
      </c>
      <c r="L2244" t="str">
        <f>IFERROR(VLOOKUP(J2244,LUTs!$A$1:$C$73,3,FALSE),"NA")</f>
        <v>2Central Puget Sound</v>
      </c>
      <c r="M2244" s="72" t="s">
        <v>21</v>
      </c>
      <c r="N2244" t="str">
        <f>VLOOKUP(M2244,LUTs!E$2:H$14,3,)</f>
        <v>08Thurston</v>
      </c>
      <c r="O2244" t="str">
        <f>VLOOKUP(M2244,LUTs!E$2:H$14,4,)</f>
        <v>02South Puget Sound</v>
      </c>
      <c r="P2244" s="73">
        <v>169.84547283702199</v>
      </c>
      <c r="Q2244" s="74">
        <f>VLOOKUP(B2244,Readme!A$40:C$51,2,)*P2244</f>
        <v>584.26842655935559</v>
      </c>
    </row>
    <row r="2245" spans="1:17" ht="12" customHeight="1" x14ac:dyDescent="0.35">
      <c r="A2245" s="75">
        <v>2244</v>
      </c>
      <c r="B2245" s="64">
        <v>2015</v>
      </c>
      <c r="C2245" s="64">
        <v>9</v>
      </c>
      <c r="D2245" s="80">
        <f t="shared" si="73"/>
        <v>2015</v>
      </c>
      <c r="E2245" t="s">
        <v>38</v>
      </c>
      <c r="F2245" t="s">
        <v>143</v>
      </c>
      <c r="G2245" t="s">
        <v>10</v>
      </c>
      <c r="H2245" s="72" t="s">
        <v>221</v>
      </c>
      <c r="I2245" s="72" t="s">
        <v>63</v>
      </c>
      <c r="J2245" t="str">
        <f t="shared" si="74"/>
        <v>Snohomish River</v>
      </c>
      <c r="K2245" t="str">
        <f>IFERROR(VLOOKUP(J2245,LUTs!$A$1:$C$73,2,FALSE),"NA")</f>
        <v>Snohomish</v>
      </c>
      <c r="L2245" t="str">
        <f>IFERROR(VLOOKUP(J2245,LUTs!$A$1:$C$73,3,FALSE),"NA")</f>
        <v>2Central Puget Sound</v>
      </c>
      <c r="M2245" s="72" t="s">
        <v>13</v>
      </c>
      <c r="N2245" t="str">
        <f>VLOOKUP(M2245,LUTs!E$2:H$14,3,)</f>
        <v>01Whatcom</v>
      </c>
      <c r="O2245" t="str">
        <f>VLOOKUP(M2245,LUTs!E$2:H$14,4,)</f>
        <v>01North Puget Sound</v>
      </c>
      <c r="P2245" s="73">
        <v>26.817706237424598</v>
      </c>
      <c r="Q2245" s="74">
        <f>VLOOKUP(B2245,Readme!A$40:C$51,2,)*P2245</f>
        <v>92.25290945674061</v>
      </c>
    </row>
    <row r="2246" spans="1:17" ht="12" customHeight="1" x14ac:dyDescent="0.35">
      <c r="A2246" s="75">
        <v>2245</v>
      </c>
      <c r="B2246" s="64">
        <v>2015</v>
      </c>
      <c r="C2246" s="64">
        <v>10</v>
      </c>
      <c r="D2246" s="80">
        <f t="shared" si="73"/>
        <v>2015</v>
      </c>
      <c r="E2246" t="s">
        <v>38</v>
      </c>
      <c r="F2246" t="s">
        <v>143</v>
      </c>
      <c r="G2246" t="s">
        <v>10</v>
      </c>
      <c r="H2246" s="72" t="s">
        <v>221</v>
      </c>
      <c r="I2246" s="72" t="s">
        <v>63</v>
      </c>
      <c r="J2246" t="str">
        <f t="shared" si="74"/>
        <v>Snohomish River</v>
      </c>
      <c r="K2246" t="str">
        <f>IFERROR(VLOOKUP(J2246,LUTs!$A$1:$C$73,2,FALSE),"NA")</f>
        <v>Snohomish</v>
      </c>
      <c r="L2246" t="str">
        <f>IFERROR(VLOOKUP(J2246,LUTs!$A$1:$C$73,3,FALSE),"NA")</f>
        <v>2Central Puget Sound</v>
      </c>
      <c r="M2246" s="72" t="s">
        <v>17</v>
      </c>
      <c r="N2246" t="str">
        <f>VLOOKUP(M2246,LUTs!E$2:H$14,3,)</f>
        <v>04Island</v>
      </c>
      <c r="O2246" t="str">
        <f>VLOOKUP(M2246,LUTs!E$2:H$14,4,)</f>
        <v>01North Puget Sound</v>
      </c>
      <c r="P2246" s="73">
        <v>17.886639676113401</v>
      </c>
      <c r="Q2246" s="74">
        <f>VLOOKUP(B2246,Readme!A$40:C$51,2,)*P2246</f>
        <v>61.530040485830099</v>
      </c>
    </row>
    <row r="2247" spans="1:17" ht="12" customHeight="1" x14ac:dyDescent="0.35">
      <c r="A2247" s="75">
        <v>2246</v>
      </c>
      <c r="B2247" s="64">
        <v>2015</v>
      </c>
      <c r="C2247" s="64">
        <v>10</v>
      </c>
      <c r="D2247" s="80">
        <f t="shared" si="73"/>
        <v>2015</v>
      </c>
      <c r="E2247" t="s">
        <v>38</v>
      </c>
      <c r="F2247" t="s">
        <v>143</v>
      </c>
      <c r="G2247" t="s">
        <v>10</v>
      </c>
      <c r="H2247" s="72" t="s">
        <v>221</v>
      </c>
      <c r="I2247" s="72" t="s">
        <v>63</v>
      </c>
      <c r="J2247" t="str">
        <f t="shared" si="74"/>
        <v>Snohomish River</v>
      </c>
      <c r="K2247" t="str">
        <f>IFERROR(VLOOKUP(J2247,LUTs!$A$1:$C$73,2,FALSE),"NA")</f>
        <v>Snohomish</v>
      </c>
      <c r="L2247" t="str">
        <f>IFERROR(VLOOKUP(J2247,LUTs!$A$1:$C$73,3,FALSE),"NA")</f>
        <v>2Central Puget Sound</v>
      </c>
      <c r="M2247" s="72" t="s">
        <v>18</v>
      </c>
      <c r="N2247" t="str">
        <f>VLOOKUP(M2247,LUTs!E$2:H$14,3,)</f>
        <v>06King</v>
      </c>
      <c r="O2247" t="str">
        <f>VLOOKUP(M2247,LUTs!E$2:H$14,4,)</f>
        <v>02South Puget Sound</v>
      </c>
      <c r="P2247" s="73">
        <v>813.84210526315803</v>
      </c>
      <c r="Q2247" s="74">
        <f>VLOOKUP(B2247,Readme!A$40:C$51,2,)*P2247</f>
        <v>2799.6168421052635</v>
      </c>
    </row>
    <row r="2248" spans="1:17" ht="12" customHeight="1" x14ac:dyDescent="0.35">
      <c r="A2248" s="75">
        <v>2247</v>
      </c>
      <c r="B2248" s="64">
        <v>2015</v>
      </c>
      <c r="C2248" s="64">
        <v>10</v>
      </c>
      <c r="D2248" s="80">
        <f t="shared" si="73"/>
        <v>2015</v>
      </c>
      <c r="E2248" t="s">
        <v>38</v>
      </c>
      <c r="F2248" t="s">
        <v>143</v>
      </c>
      <c r="G2248" t="s">
        <v>10</v>
      </c>
      <c r="H2248" s="72" t="s">
        <v>221</v>
      </c>
      <c r="I2248" s="72" t="s">
        <v>63</v>
      </c>
      <c r="J2248" t="str">
        <f t="shared" si="74"/>
        <v>Snohomish River</v>
      </c>
      <c r="K2248" t="str">
        <f>IFERROR(VLOOKUP(J2248,LUTs!$A$1:$C$73,2,FALSE),"NA")</f>
        <v>Snohomish</v>
      </c>
      <c r="L2248" t="str">
        <f>IFERROR(VLOOKUP(J2248,LUTs!$A$1:$C$73,3,FALSE),"NA")</f>
        <v>2Central Puget Sound</v>
      </c>
      <c r="M2248" s="72" t="s">
        <v>23</v>
      </c>
      <c r="N2248" t="str">
        <f>VLOOKUP(M2248,LUTs!E$2:H$14,3,)</f>
        <v>10Kitsap</v>
      </c>
      <c r="O2248" t="str">
        <f>VLOOKUP(M2248,LUTs!E$2:H$14,4,)</f>
        <v>02South Puget Sound</v>
      </c>
      <c r="P2248" s="73">
        <v>26.82995951417</v>
      </c>
      <c r="Q2248" s="74">
        <f>VLOOKUP(B2248,Readme!A$40:C$51,2,)*P2248</f>
        <v>92.295060728744801</v>
      </c>
    </row>
    <row r="2249" spans="1:17" ht="12" customHeight="1" x14ac:dyDescent="0.35">
      <c r="A2249" s="75">
        <v>2248</v>
      </c>
      <c r="B2249" s="64">
        <v>2015</v>
      </c>
      <c r="C2249" s="64">
        <v>10</v>
      </c>
      <c r="D2249" s="80">
        <f t="shared" si="73"/>
        <v>2015</v>
      </c>
      <c r="E2249" t="s">
        <v>38</v>
      </c>
      <c r="F2249" t="s">
        <v>143</v>
      </c>
      <c r="G2249" t="s">
        <v>10</v>
      </c>
      <c r="H2249" s="72" t="s">
        <v>221</v>
      </c>
      <c r="I2249" s="72" t="s">
        <v>63</v>
      </c>
      <c r="J2249" t="str">
        <f t="shared" si="74"/>
        <v>Snohomish River</v>
      </c>
      <c r="K2249" t="str">
        <f>IFERROR(VLOOKUP(J2249,LUTs!$A$1:$C$73,2,FALSE),"NA")</f>
        <v>Snohomish</v>
      </c>
      <c r="L2249" t="str">
        <f>IFERROR(VLOOKUP(J2249,LUTs!$A$1:$C$73,3,FALSE),"NA")</f>
        <v>2Central Puget Sound</v>
      </c>
      <c r="M2249" s="72" t="s">
        <v>26</v>
      </c>
      <c r="N2249" t="str">
        <f>VLOOKUP(M2249,LUTs!E$2:H$14,3,)</f>
        <v>20Other</v>
      </c>
      <c r="O2249" t="str">
        <f>VLOOKUP(M2249,LUTs!E$2:H$14,4,)</f>
        <v>07Non Puget Sound</v>
      </c>
      <c r="P2249" s="73">
        <v>232.52631578947401</v>
      </c>
      <c r="Q2249" s="74">
        <f>VLOOKUP(B2249,Readme!A$40:C$51,2,)*P2249</f>
        <v>799.89052631579057</v>
      </c>
    </row>
    <row r="2250" spans="1:17" ht="12" customHeight="1" x14ac:dyDescent="0.35">
      <c r="A2250" s="75">
        <v>2249</v>
      </c>
      <c r="B2250" s="64">
        <v>2015</v>
      </c>
      <c r="C2250" s="64">
        <v>10</v>
      </c>
      <c r="D2250" s="80">
        <f t="shared" si="73"/>
        <v>2015</v>
      </c>
      <c r="E2250" t="s">
        <v>38</v>
      </c>
      <c r="F2250" t="s">
        <v>143</v>
      </c>
      <c r="G2250" t="s">
        <v>10</v>
      </c>
      <c r="H2250" s="72" t="s">
        <v>221</v>
      </c>
      <c r="I2250" s="72" t="s">
        <v>63</v>
      </c>
      <c r="J2250" t="str">
        <f t="shared" si="74"/>
        <v>Snohomish River</v>
      </c>
      <c r="K2250" t="str">
        <f>IFERROR(VLOOKUP(J2250,LUTs!$A$1:$C$73,2,FALSE),"NA")</f>
        <v>Snohomish</v>
      </c>
      <c r="L2250" t="str">
        <f>IFERROR(VLOOKUP(J2250,LUTs!$A$1:$C$73,3,FALSE),"NA")</f>
        <v>2Central Puget Sound</v>
      </c>
      <c r="M2250" s="72" t="s">
        <v>20</v>
      </c>
      <c r="N2250" t="str">
        <f>VLOOKUP(M2250,LUTs!E$2:H$14,3,)</f>
        <v>07Pierce</v>
      </c>
      <c r="O2250" t="str">
        <f>VLOOKUP(M2250,LUTs!E$2:H$14,4,)</f>
        <v>02South Puget Sound</v>
      </c>
      <c r="P2250" s="73">
        <v>26.82995951417</v>
      </c>
      <c r="Q2250" s="74">
        <f>VLOOKUP(B2250,Readme!A$40:C$51,2,)*P2250</f>
        <v>92.295060728744801</v>
      </c>
    </row>
    <row r="2251" spans="1:17" ht="12" customHeight="1" x14ac:dyDescent="0.35">
      <c r="A2251" s="75">
        <v>2250</v>
      </c>
      <c r="B2251" s="64">
        <v>2015</v>
      </c>
      <c r="C2251" s="64">
        <v>10</v>
      </c>
      <c r="D2251" s="80">
        <f t="shared" si="73"/>
        <v>2015</v>
      </c>
      <c r="E2251" t="s">
        <v>38</v>
      </c>
      <c r="F2251" t="s">
        <v>143</v>
      </c>
      <c r="G2251" t="s">
        <v>10</v>
      </c>
      <c r="H2251" s="72" t="s">
        <v>221</v>
      </c>
      <c r="I2251" s="72" t="s">
        <v>63</v>
      </c>
      <c r="J2251" t="str">
        <f t="shared" si="74"/>
        <v>Snohomish River</v>
      </c>
      <c r="K2251" t="str">
        <f>IFERROR(VLOOKUP(J2251,LUTs!$A$1:$C$73,2,FALSE),"NA")</f>
        <v>Snohomish</v>
      </c>
      <c r="L2251" t="str">
        <f>IFERROR(VLOOKUP(J2251,LUTs!$A$1:$C$73,3,FALSE),"NA")</f>
        <v>2Central Puget Sound</v>
      </c>
      <c r="M2251" s="72" t="s">
        <v>16</v>
      </c>
      <c r="N2251" t="str">
        <f>VLOOKUP(M2251,LUTs!E$2:H$14,3,)</f>
        <v>03Snohomish</v>
      </c>
      <c r="O2251" t="str">
        <f>VLOOKUP(M2251,LUTs!E$2:H$14,4,)</f>
        <v>01North Puget Sound</v>
      </c>
      <c r="P2251" s="73">
        <v>1064.2550607287501</v>
      </c>
      <c r="Q2251" s="74">
        <f>VLOOKUP(B2251,Readme!A$40:C$51,2,)*P2251</f>
        <v>3661.0374089069001</v>
      </c>
    </row>
    <row r="2252" spans="1:17" ht="12" customHeight="1" x14ac:dyDescent="0.35">
      <c r="A2252" s="75">
        <v>2251</v>
      </c>
      <c r="B2252" s="64">
        <v>2015</v>
      </c>
      <c r="C2252" s="64">
        <v>10</v>
      </c>
      <c r="D2252" s="80">
        <f t="shared" si="73"/>
        <v>2015</v>
      </c>
      <c r="E2252" t="s">
        <v>38</v>
      </c>
      <c r="F2252" t="s">
        <v>143</v>
      </c>
      <c r="G2252" t="s">
        <v>10</v>
      </c>
      <c r="H2252" s="72" t="s">
        <v>221</v>
      </c>
      <c r="I2252" s="72" t="s">
        <v>63</v>
      </c>
      <c r="J2252" t="str">
        <f t="shared" si="74"/>
        <v>Snohomish River</v>
      </c>
      <c r="K2252" t="str">
        <f>IFERROR(VLOOKUP(J2252,LUTs!$A$1:$C$73,2,FALSE),"NA")</f>
        <v>Snohomish</v>
      </c>
      <c r="L2252" t="str">
        <f>IFERROR(VLOOKUP(J2252,LUTs!$A$1:$C$73,3,FALSE),"NA")</f>
        <v>2Central Puget Sound</v>
      </c>
      <c r="M2252" s="72" t="s">
        <v>21</v>
      </c>
      <c r="N2252" t="str">
        <f>VLOOKUP(M2252,LUTs!E$2:H$14,3,)</f>
        <v>08Thurston</v>
      </c>
      <c r="O2252" t="str">
        <f>VLOOKUP(M2252,LUTs!E$2:H$14,4,)</f>
        <v>02South Puget Sound</v>
      </c>
      <c r="P2252" s="73">
        <v>8.9433198380566807</v>
      </c>
      <c r="Q2252" s="74">
        <f>VLOOKUP(B2252,Readme!A$40:C$51,2,)*P2252</f>
        <v>30.765020242914982</v>
      </c>
    </row>
    <row r="2253" spans="1:17" ht="12" customHeight="1" x14ac:dyDescent="0.35">
      <c r="A2253" s="75">
        <v>2252</v>
      </c>
      <c r="B2253" s="64">
        <v>2015</v>
      </c>
      <c r="C2253" s="64">
        <v>10</v>
      </c>
      <c r="D2253" s="80">
        <f t="shared" si="73"/>
        <v>2015</v>
      </c>
      <c r="E2253" t="s">
        <v>38</v>
      </c>
      <c r="F2253" t="s">
        <v>143</v>
      </c>
      <c r="G2253" t="s">
        <v>10</v>
      </c>
      <c r="H2253" s="72" t="s">
        <v>221</v>
      </c>
      <c r="I2253" s="72" t="s">
        <v>63</v>
      </c>
      <c r="J2253" t="str">
        <f t="shared" si="74"/>
        <v>Snohomish River</v>
      </c>
      <c r="K2253" t="str">
        <f>IFERROR(VLOOKUP(J2253,LUTs!$A$1:$C$73,2,FALSE),"NA")</f>
        <v>Snohomish</v>
      </c>
      <c r="L2253" t="str">
        <f>IFERROR(VLOOKUP(J2253,LUTs!$A$1:$C$73,3,FALSE),"NA")</f>
        <v>2Central Puget Sound</v>
      </c>
      <c r="M2253" s="72" t="s">
        <v>13</v>
      </c>
      <c r="N2253" t="str">
        <f>VLOOKUP(M2253,LUTs!E$2:H$14,3,)</f>
        <v>01Whatcom</v>
      </c>
      <c r="O2253" t="str">
        <f>VLOOKUP(M2253,LUTs!E$2:H$14,4,)</f>
        <v>01North Puget Sound</v>
      </c>
      <c r="P2253" s="73">
        <v>17.886639676113401</v>
      </c>
      <c r="Q2253" s="74">
        <f>VLOOKUP(B2253,Readme!A$40:C$51,2,)*P2253</f>
        <v>61.530040485830099</v>
      </c>
    </row>
    <row r="2254" spans="1:17" ht="12" customHeight="1" x14ac:dyDescent="0.35">
      <c r="A2254" s="75">
        <v>2253</v>
      </c>
      <c r="B2254" s="64">
        <v>2015</v>
      </c>
      <c r="C2254" s="64">
        <v>9</v>
      </c>
      <c r="D2254" s="80">
        <f t="shared" si="73"/>
        <v>2015</v>
      </c>
      <c r="E2254" t="s">
        <v>38</v>
      </c>
      <c r="F2254" t="s">
        <v>143</v>
      </c>
      <c r="G2254" t="s">
        <v>10</v>
      </c>
      <c r="H2254" s="72" t="s">
        <v>222</v>
      </c>
      <c r="I2254" s="72" t="s">
        <v>64</v>
      </c>
      <c r="J2254" t="str">
        <f t="shared" si="74"/>
        <v>Snoqualmie River</v>
      </c>
      <c r="K2254" t="str">
        <f>IFERROR(VLOOKUP(J2254,LUTs!$A$1:$C$73,2,FALSE),"NA")</f>
        <v>Snohomish/King</v>
      </c>
      <c r="L2254" t="str">
        <f>IFERROR(VLOOKUP(J2254,LUTs!$A$1:$C$73,3,FALSE),"NA")</f>
        <v>2Central Puget Sound</v>
      </c>
      <c r="M2254" s="72" t="s">
        <v>18</v>
      </c>
      <c r="N2254" t="str">
        <f>VLOOKUP(M2254,LUTs!E$2:H$14,3,)</f>
        <v>06King</v>
      </c>
      <c r="O2254" t="str">
        <f>VLOOKUP(M2254,LUTs!E$2:H$14,4,)</f>
        <v>02South Puget Sound</v>
      </c>
      <c r="P2254" s="73">
        <v>104</v>
      </c>
      <c r="Q2254" s="74">
        <f>VLOOKUP(B2254,Readme!A$40:C$51,2,)*P2254</f>
        <v>357.76</v>
      </c>
    </row>
    <row r="2255" spans="1:17" ht="12" customHeight="1" x14ac:dyDescent="0.35">
      <c r="A2255" s="75">
        <v>2254</v>
      </c>
      <c r="B2255" s="64">
        <v>2015</v>
      </c>
      <c r="C2255" s="64">
        <v>9</v>
      </c>
      <c r="D2255" s="80">
        <f t="shared" si="73"/>
        <v>2015</v>
      </c>
      <c r="E2255" t="s">
        <v>38</v>
      </c>
      <c r="F2255" t="s">
        <v>143</v>
      </c>
      <c r="G2255" t="s">
        <v>10</v>
      </c>
      <c r="H2255" s="72" t="s">
        <v>222</v>
      </c>
      <c r="I2255" s="72" t="s">
        <v>64</v>
      </c>
      <c r="J2255" t="str">
        <f t="shared" si="74"/>
        <v>Snoqualmie River</v>
      </c>
      <c r="K2255" t="str">
        <f>IFERROR(VLOOKUP(J2255,LUTs!$A$1:$C$73,2,FALSE),"NA")</f>
        <v>Snohomish/King</v>
      </c>
      <c r="L2255" t="str">
        <f>IFERROR(VLOOKUP(J2255,LUTs!$A$1:$C$73,3,FALSE),"NA")</f>
        <v>2Central Puget Sound</v>
      </c>
      <c r="M2255" s="72" t="s">
        <v>16</v>
      </c>
      <c r="N2255" t="str">
        <f>VLOOKUP(M2255,LUTs!E$2:H$14,3,)</f>
        <v>03Snohomish</v>
      </c>
      <c r="O2255" t="str">
        <f>VLOOKUP(M2255,LUTs!E$2:H$14,4,)</f>
        <v>01North Puget Sound</v>
      </c>
      <c r="P2255" s="73">
        <v>208</v>
      </c>
      <c r="Q2255" s="74">
        <f>VLOOKUP(B2255,Readme!A$40:C$51,2,)*P2255</f>
        <v>715.52</v>
      </c>
    </row>
    <row r="2256" spans="1:17" ht="12" customHeight="1" x14ac:dyDescent="0.35">
      <c r="A2256" s="75">
        <v>2255</v>
      </c>
      <c r="B2256" s="64">
        <v>2015</v>
      </c>
      <c r="C2256" s="64">
        <v>10</v>
      </c>
      <c r="D2256" s="80">
        <f t="shared" si="73"/>
        <v>2015</v>
      </c>
      <c r="E2256" t="s">
        <v>38</v>
      </c>
      <c r="F2256" t="s">
        <v>143</v>
      </c>
      <c r="G2256" t="s">
        <v>10</v>
      </c>
      <c r="H2256" s="72" t="s">
        <v>222</v>
      </c>
      <c r="I2256" s="72" t="s">
        <v>64</v>
      </c>
      <c r="J2256" t="str">
        <f t="shared" si="74"/>
        <v>Snoqualmie River</v>
      </c>
      <c r="K2256" t="str">
        <f>IFERROR(VLOOKUP(J2256,LUTs!$A$1:$C$73,2,FALSE),"NA")</f>
        <v>Snohomish/King</v>
      </c>
      <c r="L2256" t="str">
        <f>IFERROR(VLOOKUP(J2256,LUTs!$A$1:$C$73,3,FALSE),"NA")</f>
        <v>2Central Puget Sound</v>
      </c>
      <c r="M2256" s="72" t="s">
        <v>18</v>
      </c>
      <c r="N2256" t="str">
        <f>VLOOKUP(M2256,LUTs!E$2:H$14,3,)</f>
        <v>06King</v>
      </c>
      <c r="O2256" t="str">
        <f>VLOOKUP(M2256,LUTs!E$2:H$14,4,)</f>
        <v>02South Puget Sound</v>
      </c>
      <c r="P2256" s="73">
        <v>46.818181818181799</v>
      </c>
      <c r="Q2256" s="74">
        <f>VLOOKUP(B2256,Readme!A$40:C$51,2,)*P2256</f>
        <v>161.05454545454538</v>
      </c>
    </row>
    <row r="2257" spans="1:17" ht="12" customHeight="1" x14ac:dyDescent="0.35">
      <c r="A2257" s="75">
        <v>2256</v>
      </c>
      <c r="B2257" s="64">
        <v>2015</v>
      </c>
      <c r="C2257" s="64">
        <v>10</v>
      </c>
      <c r="D2257" s="80">
        <f t="shared" si="73"/>
        <v>2015</v>
      </c>
      <c r="E2257" t="s">
        <v>38</v>
      </c>
      <c r="F2257" t="s">
        <v>143</v>
      </c>
      <c r="G2257" t="s">
        <v>10</v>
      </c>
      <c r="H2257" s="72" t="s">
        <v>222</v>
      </c>
      <c r="I2257" s="72" t="s">
        <v>64</v>
      </c>
      <c r="J2257" t="str">
        <f t="shared" si="74"/>
        <v>Snoqualmie River</v>
      </c>
      <c r="K2257" t="str">
        <f>IFERROR(VLOOKUP(J2257,LUTs!$A$1:$C$73,2,FALSE),"NA")</f>
        <v>Snohomish/King</v>
      </c>
      <c r="L2257" t="str">
        <f>IFERROR(VLOOKUP(J2257,LUTs!$A$1:$C$73,3,FALSE),"NA")</f>
        <v>2Central Puget Sound</v>
      </c>
      <c r="M2257" s="72" t="s">
        <v>16</v>
      </c>
      <c r="N2257" t="str">
        <f>VLOOKUP(M2257,LUTs!E$2:H$14,3,)</f>
        <v>03Snohomish</v>
      </c>
      <c r="O2257" t="str">
        <f>VLOOKUP(M2257,LUTs!E$2:H$14,4,)</f>
        <v>01North Puget Sound</v>
      </c>
      <c r="P2257" s="73">
        <v>56.181818181818201</v>
      </c>
      <c r="Q2257" s="74">
        <f>VLOOKUP(B2257,Readme!A$40:C$51,2,)*P2257</f>
        <v>193.26545454545462</v>
      </c>
    </row>
    <row r="2258" spans="1:17" ht="12" customHeight="1" x14ac:dyDescent="0.35">
      <c r="A2258" s="75">
        <v>2257</v>
      </c>
      <c r="B2258" s="64">
        <v>2015</v>
      </c>
      <c r="C2258" s="64">
        <v>11</v>
      </c>
      <c r="D2258" s="80">
        <f t="shared" si="73"/>
        <v>2015</v>
      </c>
      <c r="E2258" t="s">
        <v>38</v>
      </c>
      <c r="F2258" t="s">
        <v>143</v>
      </c>
      <c r="G2258" t="s">
        <v>10</v>
      </c>
      <c r="H2258" s="72" t="s">
        <v>222</v>
      </c>
      <c r="I2258" s="72" t="s">
        <v>64</v>
      </c>
      <c r="J2258" t="str">
        <f t="shared" si="74"/>
        <v>Snoqualmie River</v>
      </c>
      <c r="K2258" t="str">
        <f>IFERROR(VLOOKUP(J2258,LUTs!$A$1:$C$73,2,FALSE),"NA")</f>
        <v>Snohomish/King</v>
      </c>
      <c r="L2258" t="str">
        <f>IFERROR(VLOOKUP(J2258,LUTs!$A$1:$C$73,3,FALSE),"NA")</f>
        <v>2Central Puget Sound</v>
      </c>
      <c r="M2258" s="72" t="s">
        <v>18</v>
      </c>
      <c r="N2258" t="str">
        <f>VLOOKUP(M2258,LUTs!E$2:H$14,3,)</f>
        <v>06King</v>
      </c>
      <c r="O2258" t="str">
        <f>VLOOKUP(M2258,LUTs!E$2:H$14,4,)</f>
        <v>02South Puget Sound</v>
      </c>
      <c r="P2258" s="73">
        <v>11</v>
      </c>
      <c r="Q2258" s="74">
        <f>VLOOKUP(B2258,Readme!A$40:C$51,2,)*P2258</f>
        <v>37.839999999999996</v>
      </c>
    </row>
    <row r="2259" spans="1:17" ht="12" customHeight="1" x14ac:dyDescent="0.35">
      <c r="A2259" s="75">
        <v>2258</v>
      </c>
      <c r="B2259" s="64">
        <v>2015</v>
      </c>
      <c r="C2259" s="64">
        <v>9</v>
      </c>
      <c r="D2259" s="80">
        <f t="shared" si="73"/>
        <v>2015</v>
      </c>
      <c r="E2259" t="s">
        <v>38</v>
      </c>
      <c r="F2259" t="s">
        <v>143</v>
      </c>
      <c r="G2259" t="s">
        <v>10</v>
      </c>
      <c r="H2259" s="72" t="s">
        <v>233</v>
      </c>
      <c r="I2259" s="72" t="s">
        <v>76</v>
      </c>
      <c r="J2259" t="str">
        <f t="shared" si="74"/>
        <v>Wallace River</v>
      </c>
      <c r="K2259" t="str">
        <f>IFERROR(VLOOKUP(J2259,LUTs!$A$1:$C$73,2,FALSE),"NA")</f>
        <v>Snohomish</v>
      </c>
      <c r="L2259" t="str">
        <f>IFERROR(VLOOKUP(J2259,LUTs!$A$1:$C$73,3,FALSE),"NA")</f>
        <v>2Central Puget Sound</v>
      </c>
      <c r="M2259" s="72" t="s">
        <v>18</v>
      </c>
      <c r="N2259" t="str">
        <f>VLOOKUP(M2259,LUTs!E$2:H$14,3,)</f>
        <v>06King</v>
      </c>
      <c r="O2259" t="str">
        <f>VLOOKUP(M2259,LUTs!E$2:H$14,4,)</f>
        <v>02South Puget Sound</v>
      </c>
      <c r="P2259" s="73">
        <v>27</v>
      </c>
      <c r="Q2259" s="74">
        <f>VLOOKUP(B2259,Readme!A$40:C$51,2,)*P2259</f>
        <v>92.88</v>
      </c>
    </row>
    <row r="2260" spans="1:17" ht="12" customHeight="1" x14ac:dyDescent="0.35">
      <c r="A2260" s="75">
        <v>2259</v>
      </c>
      <c r="B2260" s="64">
        <v>2015</v>
      </c>
      <c r="C2260" s="64">
        <v>9</v>
      </c>
      <c r="D2260" s="80">
        <f t="shared" si="73"/>
        <v>2015</v>
      </c>
      <c r="E2260" t="s">
        <v>38</v>
      </c>
      <c r="F2260" t="s">
        <v>143</v>
      </c>
      <c r="G2260" t="s">
        <v>10</v>
      </c>
      <c r="H2260" s="72" t="s">
        <v>233</v>
      </c>
      <c r="I2260" s="72" t="s">
        <v>76</v>
      </c>
      <c r="J2260" t="str">
        <f t="shared" si="74"/>
        <v>Wallace River</v>
      </c>
      <c r="K2260" t="str">
        <f>IFERROR(VLOOKUP(J2260,LUTs!$A$1:$C$73,2,FALSE),"NA")</f>
        <v>Snohomish</v>
      </c>
      <c r="L2260" t="str">
        <f>IFERROR(VLOOKUP(J2260,LUTs!$A$1:$C$73,3,FALSE),"NA")</f>
        <v>2Central Puget Sound</v>
      </c>
      <c r="M2260" s="72" t="s">
        <v>26</v>
      </c>
      <c r="N2260" t="str">
        <f>VLOOKUP(M2260,LUTs!E$2:H$14,3,)</f>
        <v>20Other</v>
      </c>
      <c r="O2260" t="str">
        <f>VLOOKUP(M2260,LUTs!E$2:H$14,4,)</f>
        <v>07Non Puget Sound</v>
      </c>
      <c r="P2260" s="73">
        <v>36</v>
      </c>
      <c r="Q2260" s="74">
        <f>VLOOKUP(B2260,Readme!A$40:C$51,2,)*P2260</f>
        <v>123.84</v>
      </c>
    </row>
    <row r="2261" spans="1:17" ht="12" customHeight="1" x14ac:dyDescent="0.35">
      <c r="A2261" s="75">
        <v>2260</v>
      </c>
      <c r="B2261" s="64">
        <v>2015</v>
      </c>
      <c r="C2261" s="64">
        <v>10</v>
      </c>
      <c r="D2261" s="80">
        <f t="shared" si="73"/>
        <v>2015</v>
      </c>
      <c r="E2261" t="s">
        <v>38</v>
      </c>
      <c r="F2261" t="s">
        <v>143</v>
      </c>
      <c r="G2261" t="s">
        <v>10</v>
      </c>
      <c r="H2261" s="72" t="s">
        <v>233</v>
      </c>
      <c r="I2261" s="72" t="s">
        <v>76</v>
      </c>
      <c r="J2261" t="str">
        <f t="shared" si="74"/>
        <v>Wallace River</v>
      </c>
      <c r="K2261" t="str">
        <f>IFERROR(VLOOKUP(J2261,LUTs!$A$1:$C$73,2,FALSE),"NA")</f>
        <v>Snohomish</v>
      </c>
      <c r="L2261" t="str">
        <f>IFERROR(VLOOKUP(J2261,LUTs!$A$1:$C$73,3,FALSE),"NA")</f>
        <v>2Central Puget Sound</v>
      </c>
      <c r="M2261" s="72" t="s">
        <v>18</v>
      </c>
      <c r="N2261" t="str">
        <f>VLOOKUP(M2261,LUTs!E$2:H$14,3,)</f>
        <v>06King</v>
      </c>
      <c r="O2261" t="str">
        <f>VLOOKUP(M2261,LUTs!E$2:H$14,4,)</f>
        <v>02South Puget Sound</v>
      </c>
      <c r="P2261" s="73">
        <v>62.4166666666667</v>
      </c>
      <c r="Q2261" s="74">
        <f>VLOOKUP(B2261,Readme!A$40:C$51,2,)*P2261</f>
        <v>214.71333333333345</v>
      </c>
    </row>
    <row r="2262" spans="1:17" ht="12" customHeight="1" x14ac:dyDescent="0.35">
      <c r="A2262" s="75">
        <v>2261</v>
      </c>
      <c r="B2262" s="64">
        <v>2015</v>
      </c>
      <c r="C2262" s="64">
        <v>10</v>
      </c>
      <c r="D2262" s="80">
        <f t="shared" si="73"/>
        <v>2015</v>
      </c>
      <c r="E2262" t="s">
        <v>38</v>
      </c>
      <c r="F2262" t="s">
        <v>143</v>
      </c>
      <c r="G2262" t="s">
        <v>10</v>
      </c>
      <c r="H2262" s="72" t="s">
        <v>233</v>
      </c>
      <c r="I2262" s="72" t="s">
        <v>76</v>
      </c>
      <c r="J2262" t="str">
        <f t="shared" si="74"/>
        <v>Wallace River</v>
      </c>
      <c r="K2262" t="str">
        <f>IFERROR(VLOOKUP(J2262,LUTs!$A$1:$C$73,2,FALSE),"NA")</f>
        <v>Snohomish</v>
      </c>
      <c r="L2262" t="str">
        <f>IFERROR(VLOOKUP(J2262,LUTs!$A$1:$C$73,3,FALSE),"NA")</f>
        <v>2Central Puget Sound</v>
      </c>
      <c r="M2262" s="72" t="s">
        <v>26</v>
      </c>
      <c r="N2262" t="str">
        <f>VLOOKUP(M2262,LUTs!E$2:H$14,3,)</f>
        <v>20Other</v>
      </c>
      <c r="O2262" t="str">
        <f>VLOOKUP(M2262,LUTs!E$2:H$14,4,)</f>
        <v>07Non Puget Sound</v>
      </c>
      <c r="P2262" s="73">
        <v>8.9166666666666696</v>
      </c>
      <c r="Q2262" s="74">
        <f>VLOOKUP(B2262,Readme!A$40:C$51,2,)*P2262</f>
        <v>30.673333333333343</v>
      </c>
    </row>
    <row r="2263" spans="1:17" ht="12" customHeight="1" x14ac:dyDescent="0.35">
      <c r="A2263" s="75">
        <v>2262</v>
      </c>
      <c r="B2263" s="64">
        <v>2015</v>
      </c>
      <c r="C2263" s="64">
        <v>10</v>
      </c>
      <c r="D2263" s="80">
        <f t="shared" si="73"/>
        <v>2015</v>
      </c>
      <c r="E2263" t="s">
        <v>38</v>
      </c>
      <c r="F2263" t="s">
        <v>143</v>
      </c>
      <c r="G2263" t="s">
        <v>10</v>
      </c>
      <c r="H2263" s="72" t="s">
        <v>233</v>
      </c>
      <c r="I2263" s="72" t="s">
        <v>76</v>
      </c>
      <c r="J2263" t="str">
        <f t="shared" si="74"/>
        <v>Wallace River</v>
      </c>
      <c r="K2263" t="str">
        <f>IFERROR(VLOOKUP(J2263,LUTs!$A$1:$C$73,2,FALSE),"NA")</f>
        <v>Snohomish</v>
      </c>
      <c r="L2263" t="str">
        <f>IFERROR(VLOOKUP(J2263,LUTs!$A$1:$C$73,3,FALSE),"NA")</f>
        <v>2Central Puget Sound</v>
      </c>
      <c r="M2263" s="72" t="s">
        <v>16</v>
      </c>
      <c r="N2263" t="str">
        <f>VLOOKUP(M2263,LUTs!E$2:H$14,3,)</f>
        <v>03Snohomish</v>
      </c>
      <c r="O2263" t="str">
        <f>VLOOKUP(M2263,LUTs!E$2:H$14,4,)</f>
        <v>01North Puget Sound</v>
      </c>
      <c r="P2263" s="73">
        <v>26.75</v>
      </c>
      <c r="Q2263" s="74">
        <f>VLOOKUP(B2263,Readme!A$40:C$51,2,)*P2263</f>
        <v>92.02</v>
      </c>
    </row>
    <row r="2264" spans="1:17" ht="12" customHeight="1" x14ac:dyDescent="0.35">
      <c r="A2264" s="75">
        <v>2263</v>
      </c>
      <c r="B2264" s="64">
        <v>2015</v>
      </c>
      <c r="C2264" s="64">
        <v>10</v>
      </c>
      <c r="D2264" s="80">
        <f t="shared" si="73"/>
        <v>2015</v>
      </c>
      <c r="E2264" t="s">
        <v>38</v>
      </c>
      <c r="F2264" t="s">
        <v>143</v>
      </c>
      <c r="G2264" t="s">
        <v>10</v>
      </c>
      <c r="H2264" s="72" t="s">
        <v>233</v>
      </c>
      <c r="I2264" s="72" t="s">
        <v>76</v>
      </c>
      <c r="J2264" t="str">
        <f t="shared" si="74"/>
        <v>Wallace River</v>
      </c>
      <c r="K2264" t="str">
        <f>IFERROR(VLOOKUP(J2264,LUTs!$A$1:$C$73,2,FALSE),"NA")</f>
        <v>Snohomish</v>
      </c>
      <c r="L2264" t="str">
        <f>IFERROR(VLOOKUP(J2264,LUTs!$A$1:$C$73,3,FALSE),"NA")</f>
        <v>2Central Puget Sound</v>
      </c>
      <c r="M2264" s="72" t="s">
        <v>13</v>
      </c>
      <c r="N2264" t="str">
        <f>VLOOKUP(M2264,LUTs!E$2:H$14,3,)</f>
        <v>01Whatcom</v>
      </c>
      <c r="O2264" t="str">
        <f>VLOOKUP(M2264,LUTs!E$2:H$14,4,)</f>
        <v>01North Puget Sound</v>
      </c>
      <c r="P2264" s="73">
        <v>8.9166666666666696</v>
      </c>
      <c r="Q2264" s="74">
        <f>VLOOKUP(B2264,Readme!A$40:C$51,2,)*P2264</f>
        <v>30.673333333333343</v>
      </c>
    </row>
    <row r="2265" spans="1:17" ht="12" customHeight="1" x14ac:dyDescent="0.35">
      <c r="A2265" s="75">
        <v>2264</v>
      </c>
      <c r="B2265" s="64">
        <v>2015</v>
      </c>
      <c r="C2265" s="64">
        <v>9</v>
      </c>
      <c r="D2265" s="80">
        <f t="shared" si="73"/>
        <v>2015</v>
      </c>
      <c r="E2265" t="s">
        <v>38</v>
      </c>
      <c r="F2265" t="s">
        <v>143</v>
      </c>
      <c r="G2265" t="s">
        <v>10</v>
      </c>
      <c r="H2265" s="72" t="s">
        <v>223</v>
      </c>
      <c r="I2265" s="72" t="s">
        <v>65</v>
      </c>
      <c r="J2265" t="str">
        <f t="shared" si="74"/>
        <v>Stillaguamish River</v>
      </c>
      <c r="K2265" t="str">
        <f>IFERROR(VLOOKUP(J2265,LUTs!$A$1:$C$73,2,FALSE),"NA")</f>
        <v>Snohomish</v>
      </c>
      <c r="L2265" t="str">
        <f>IFERROR(VLOOKUP(J2265,LUTs!$A$1:$C$73,3,FALSE),"NA")</f>
        <v>2Central Puget Sound</v>
      </c>
      <c r="M2265" s="72" t="s">
        <v>17</v>
      </c>
      <c r="N2265" t="str">
        <f>VLOOKUP(M2265,LUTs!E$2:H$14,3,)</f>
        <v>04Island</v>
      </c>
      <c r="O2265" t="str">
        <f>VLOOKUP(M2265,LUTs!E$2:H$14,4,)</f>
        <v>01North Puget Sound</v>
      </c>
      <c r="P2265" s="73">
        <v>89.4326241134752</v>
      </c>
      <c r="Q2265" s="74">
        <f>VLOOKUP(B2265,Readme!A$40:C$51,2,)*P2265</f>
        <v>307.64822695035468</v>
      </c>
    </row>
    <row r="2266" spans="1:17" ht="12" customHeight="1" x14ac:dyDescent="0.35">
      <c r="A2266" s="75">
        <v>2265</v>
      </c>
      <c r="B2266" s="64">
        <v>2015</v>
      </c>
      <c r="C2266" s="64">
        <v>9</v>
      </c>
      <c r="D2266" s="80">
        <f t="shared" si="73"/>
        <v>2015</v>
      </c>
      <c r="E2266" t="s">
        <v>38</v>
      </c>
      <c r="F2266" t="s">
        <v>143</v>
      </c>
      <c r="G2266" t="s">
        <v>10</v>
      </c>
      <c r="H2266" s="72" t="s">
        <v>223</v>
      </c>
      <c r="I2266" s="72" t="s">
        <v>65</v>
      </c>
      <c r="J2266" t="str">
        <f t="shared" si="74"/>
        <v>Stillaguamish River</v>
      </c>
      <c r="K2266" t="str">
        <f>IFERROR(VLOOKUP(J2266,LUTs!$A$1:$C$73,2,FALSE),"NA")</f>
        <v>Snohomish</v>
      </c>
      <c r="L2266" t="str">
        <f>IFERROR(VLOOKUP(J2266,LUTs!$A$1:$C$73,3,FALSE),"NA")</f>
        <v>2Central Puget Sound</v>
      </c>
      <c r="M2266" s="72" t="s">
        <v>18</v>
      </c>
      <c r="N2266" t="str">
        <f>VLOOKUP(M2266,LUTs!E$2:H$14,3,)</f>
        <v>06King</v>
      </c>
      <c r="O2266" t="str">
        <f>VLOOKUP(M2266,LUTs!E$2:H$14,4,)</f>
        <v>02South Puget Sound</v>
      </c>
      <c r="P2266" s="73">
        <v>35.773049645390103</v>
      </c>
      <c r="Q2266" s="74">
        <f>VLOOKUP(B2266,Readme!A$40:C$51,2,)*P2266</f>
        <v>123.05929078014195</v>
      </c>
    </row>
    <row r="2267" spans="1:17" ht="12" customHeight="1" x14ac:dyDescent="0.35">
      <c r="A2267" s="75">
        <v>2266</v>
      </c>
      <c r="B2267" s="64">
        <v>2015</v>
      </c>
      <c r="C2267" s="64">
        <v>9</v>
      </c>
      <c r="D2267" s="80">
        <f t="shared" si="73"/>
        <v>2015</v>
      </c>
      <c r="E2267" t="s">
        <v>38</v>
      </c>
      <c r="F2267" t="s">
        <v>143</v>
      </c>
      <c r="G2267" t="s">
        <v>10</v>
      </c>
      <c r="H2267" s="72" t="s">
        <v>223</v>
      </c>
      <c r="I2267" s="72" t="s">
        <v>65</v>
      </c>
      <c r="J2267" t="str">
        <f t="shared" si="74"/>
        <v>Stillaguamish River</v>
      </c>
      <c r="K2267" t="str">
        <f>IFERROR(VLOOKUP(J2267,LUTs!$A$1:$C$73,2,FALSE),"NA")</f>
        <v>Snohomish</v>
      </c>
      <c r="L2267" t="str">
        <f>IFERROR(VLOOKUP(J2267,LUTs!$A$1:$C$73,3,FALSE),"NA")</f>
        <v>2Central Puget Sound</v>
      </c>
      <c r="M2267" s="72" t="s">
        <v>26</v>
      </c>
      <c r="N2267" t="str">
        <f>VLOOKUP(M2267,LUTs!E$2:H$14,3,)</f>
        <v>20Other</v>
      </c>
      <c r="O2267" t="str">
        <f>VLOOKUP(M2267,LUTs!E$2:H$14,4,)</f>
        <v>07Non Puget Sound</v>
      </c>
      <c r="P2267" s="73">
        <v>160.97872340425499</v>
      </c>
      <c r="Q2267" s="74">
        <f>VLOOKUP(B2267,Readme!A$40:C$51,2,)*P2267</f>
        <v>553.76680851063713</v>
      </c>
    </row>
    <row r="2268" spans="1:17" ht="12" customHeight="1" x14ac:dyDescent="0.35">
      <c r="A2268" s="75">
        <v>2267</v>
      </c>
      <c r="B2268" s="64">
        <v>2015</v>
      </c>
      <c r="C2268" s="64">
        <v>9</v>
      </c>
      <c r="D2268" s="80">
        <f t="shared" si="73"/>
        <v>2015</v>
      </c>
      <c r="E2268" t="s">
        <v>38</v>
      </c>
      <c r="F2268" t="s">
        <v>143</v>
      </c>
      <c r="G2268" t="s">
        <v>10</v>
      </c>
      <c r="H2268" s="72" t="s">
        <v>223</v>
      </c>
      <c r="I2268" s="72" t="s">
        <v>65</v>
      </c>
      <c r="J2268" t="str">
        <f t="shared" si="74"/>
        <v>Stillaguamish River</v>
      </c>
      <c r="K2268" t="str">
        <f>IFERROR(VLOOKUP(J2268,LUTs!$A$1:$C$73,2,FALSE),"NA")</f>
        <v>Snohomish</v>
      </c>
      <c r="L2268" t="str">
        <f>IFERROR(VLOOKUP(J2268,LUTs!$A$1:$C$73,3,FALSE),"NA")</f>
        <v>2Central Puget Sound</v>
      </c>
      <c r="M2268" s="72" t="s">
        <v>15</v>
      </c>
      <c r="N2268" t="str">
        <f>VLOOKUP(M2268,LUTs!E$2:H$14,3,)</f>
        <v>02Skagit</v>
      </c>
      <c r="O2268" t="str">
        <f>VLOOKUP(M2268,LUTs!E$2:H$14,4,)</f>
        <v>01North Puget Sound</v>
      </c>
      <c r="P2268" s="73">
        <v>35.773049645390103</v>
      </c>
      <c r="Q2268" s="74">
        <f>VLOOKUP(B2268,Readme!A$40:C$51,2,)*P2268</f>
        <v>123.05929078014195</v>
      </c>
    </row>
    <row r="2269" spans="1:17" ht="12" customHeight="1" x14ac:dyDescent="0.35">
      <c r="A2269" s="75">
        <v>2268</v>
      </c>
      <c r="B2269" s="64">
        <v>2015</v>
      </c>
      <c r="C2269" s="64">
        <v>9</v>
      </c>
      <c r="D2269" s="80">
        <f t="shared" si="73"/>
        <v>2015</v>
      </c>
      <c r="E2269" t="s">
        <v>38</v>
      </c>
      <c r="F2269" t="s">
        <v>143</v>
      </c>
      <c r="G2269" t="s">
        <v>10</v>
      </c>
      <c r="H2269" s="72" t="s">
        <v>223</v>
      </c>
      <c r="I2269" s="72" t="s">
        <v>65</v>
      </c>
      <c r="J2269" t="str">
        <f t="shared" si="74"/>
        <v>Stillaguamish River</v>
      </c>
      <c r="K2269" t="str">
        <f>IFERROR(VLOOKUP(J2269,LUTs!$A$1:$C$73,2,FALSE),"NA")</f>
        <v>Snohomish</v>
      </c>
      <c r="L2269" t="str">
        <f>IFERROR(VLOOKUP(J2269,LUTs!$A$1:$C$73,3,FALSE),"NA")</f>
        <v>2Central Puget Sound</v>
      </c>
      <c r="M2269" s="72" t="s">
        <v>16</v>
      </c>
      <c r="N2269" t="str">
        <f>VLOOKUP(M2269,LUTs!E$2:H$14,3,)</f>
        <v>03Snohomish</v>
      </c>
      <c r="O2269" t="str">
        <f>VLOOKUP(M2269,LUTs!E$2:H$14,4,)</f>
        <v>01North Puget Sound</v>
      </c>
      <c r="P2269" s="73">
        <v>2200.0425531914898</v>
      </c>
      <c r="Q2269" s="74">
        <f>VLOOKUP(B2269,Readme!A$40:C$51,2,)*P2269</f>
        <v>7568.1463829787244</v>
      </c>
    </row>
    <row r="2270" spans="1:17" ht="12" customHeight="1" x14ac:dyDescent="0.35">
      <c r="A2270" s="75">
        <v>2269</v>
      </c>
      <c r="B2270" s="64">
        <v>2015</v>
      </c>
      <c r="C2270" s="64">
        <v>10</v>
      </c>
      <c r="D2270" s="80">
        <f t="shared" si="73"/>
        <v>2015</v>
      </c>
      <c r="E2270" t="s">
        <v>38</v>
      </c>
      <c r="F2270" t="s">
        <v>143</v>
      </c>
      <c r="G2270" t="s">
        <v>10</v>
      </c>
      <c r="H2270" s="72" t="s">
        <v>223</v>
      </c>
      <c r="I2270" s="72" t="s">
        <v>65</v>
      </c>
      <c r="J2270" t="str">
        <f t="shared" si="74"/>
        <v>Stillaguamish River</v>
      </c>
      <c r="K2270" t="str">
        <f>IFERROR(VLOOKUP(J2270,LUTs!$A$1:$C$73,2,FALSE),"NA")</f>
        <v>Snohomish</v>
      </c>
      <c r="L2270" t="str">
        <f>IFERROR(VLOOKUP(J2270,LUTs!$A$1:$C$73,3,FALSE),"NA")</f>
        <v>2Central Puget Sound</v>
      </c>
      <c r="M2270" s="72" t="s">
        <v>17</v>
      </c>
      <c r="N2270" t="str">
        <f>VLOOKUP(M2270,LUTs!E$2:H$14,3,)</f>
        <v>04Island</v>
      </c>
      <c r="O2270" t="str">
        <f>VLOOKUP(M2270,LUTs!E$2:H$14,4,)</f>
        <v>01North Puget Sound</v>
      </c>
      <c r="P2270" s="73">
        <v>35.5555555555556</v>
      </c>
      <c r="Q2270" s="74">
        <f>VLOOKUP(B2270,Readme!A$40:C$51,2,)*P2270</f>
        <v>122.31111111111126</v>
      </c>
    </row>
    <row r="2271" spans="1:17" ht="12" customHeight="1" x14ac:dyDescent="0.35">
      <c r="A2271" s="75">
        <v>2270</v>
      </c>
      <c r="B2271" s="64">
        <v>2015</v>
      </c>
      <c r="C2271" s="64">
        <v>10</v>
      </c>
      <c r="D2271" s="80">
        <f t="shared" si="73"/>
        <v>2015</v>
      </c>
      <c r="E2271" t="s">
        <v>38</v>
      </c>
      <c r="F2271" t="s">
        <v>143</v>
      </c>
      <c r="G2271" t="s">
        <v>10</v>
      </c>
      <c r="H2271" s="72" t="s">
        <v>223</v>
      </c>
      <c r="I2271" s="72" t="s">
        <v>65</v>
      </c>
      <c r="J2271" t="str">
        <f t="shared" si="74"/>
        <v>Stillaguamish River</v>
      </c>
      <c r="K2271" t="str">
        <f>IFERROR(VLOOKUP(J2271,LUTs!$A$1:$C$73,2,FALSE),"NA")</f>
        <v>Snohomish</v>
      </c>
      <c r="L2271" t="str">
        <f>IFERROR(VLOOKUP(J2271,LUTs!$A$1:$C$73,3,FALSE),"NA")</f>
        <v>2Central Puget Sound</v>
      </c>
      <c r="M2271" s="72" t="s">
        <v>18</v>
      </c>
      <c r="N2271" t="str">
        <f>VLOOKUP(M2271,LUTs!E$2:H$14,3,)</f>
        <v>06King</v>
      </c>
      <c r="O2271" t="str">
        <f>VLOOKUP(M2271,LUTs!E$2:H$14,4,)</f>
        <v>02South Puget Sound</v>
      </c>
      <c r="P2271" s="73">
        <v>53.3333333333333</v>
      </c>
      <c r="Q2271" s="74">
        <f>VLOOKUP(B2271,Readme!A$40:C$51,2,)*P2271</f>
        <v>183.46666666666655</v>
      </c>
    </row>
    <row r="2272" spans="1:17" ht="12" customHeight="1" x14ac:dyDescent="0.35">
      <c r="A2272" s="75">
        <v>2271</v>
      </c>
      <c r="B2272" s="64">
        <v>2015</v>
      </c>
      <c r="C2272" s="64">
        <v>10</v>
      </c>
      <c r="D2272" s="80">
        <f t="shared" si="73"/>
        <v>2015</v>
      </c>
      <c r="E2272" t="s">
        <v>38</v>
      </c>
      <c r="F2272" t="s">
        <v>143</v>
      </c>
      <c r="G2272" t="s">
        <v>10</v>
      </c>
      <c r="H2272" s="72" t="s">
        <v>223</v>
      </c>
      <c r="I2272" s="72" t="s">
        <v>65</v>
      </c>
      <c r="J2272" t="str">
        <f t="shared" si="74"/>
        <v>Stillaguamish River</v>
      </c>
      <c r="K2272" t="str">
        <f>IFERROR(VLOOKUP(J2272,LUTs!$A$1:$C$73,2,FALSE),"NA")</f>
        <v>Snohomish</v>
      </c>
      <c r="L2272" t="str">
        <f>IFERROR(VLOOKUP(J2272,LUTs!$A$1:$C$73,3,FALSE),"NA")</f>
        <v>2Central Puget Sound</v>
      </c>
      <c r="M2272" s="72" t="s">
        <v>26</v>
      </c>
      <c r="N2272" t="str">
        <f>VLOOKUP(M2272,LUTs!E$2:H$14,3,)</f>
        <v>20Other</v>
      </c>
      <c r="O2272" t="str">
        <f>VLOOKUP(M2272,LUTs!E$2:H$14,4,)</f>
        <v>07Non Puget Sound</v>
      </c>
      <c r="P2272" s="73">
        <v>8.8888888888888893</v>
      </c>
      <c r="Q2272" s="74">
        <f>VLOOKUP(B2272,Readme!A$40:C$51,2,)*P2272</f>
        <v>30.577777777777779</v>
      </c>
    </row>
    <row r="2273" spans="1:17" ht="12" customHeight="1" x14ac:dyDescent="0.35">
      <c r="A2273" s="75">
        <v>2272</v>
      </c>
      <c r="B2273" s="64">
        <v>2015</v>
      </c>
      <c r="C2273" s="64">
        <v>10</v>
      </c>
      <c r="D2273" s="80">
        <f t="shared" si="73"/>
        <v>2015</v>
      </c>
      <c r="E2273" t="s">
        <v>38</v>
      </c>
      <c r="F2273" t="s">
        <v>143</v>
      </c>
      <c r="G2273" t="s">
        <v>10</v>
      </c>
      <c r="H2273" s="72" t="s">
        <v>223</v>
      </c>
      <c r="I2273" s="72" t="s">
        <v>65</v>
      </c>
      <c r="J2273" t="str">
        <f t="shared" si="74"/>
        <v>Stillaguamish River</v>
      </c>
      <c r="K2273" t="str">
        <f>IFERROR(VLOOKUP(J2273,LUTs!$A$1:$C$73,2,FALSE),"NA")</f>
        <v>Snohomish</v>
      </c>
      <c r="L2273" t="str">
        <f>IFERROR(VLOOKUP(J2273,LUTs!$A$1:$C$73,3,FALSE),"NA")</f>
        <v>2Central Puget Sound</v>
      </c>
      <c r="M2273" s="72" t="s">
        <v>16</v>
      </c>
      <c r="N2273" t="str">
        <f>VLOOKUP(M2273,LUTs!E$2:H$14,3,)</f>
        <v>03Snohomish</v>
      </c>
      <c r="O2273" t="str">
        <f>VLOOKUP(M2273,LUTs!E$2:H$14,4,)</f>
        <v>01North Puget Sound</v>
      </c>
      <c r="P2273" s="73">
        <v>222.222222222222</v>
      </c>
      <c r="Q2273" s="74">
        <f>VLOOKUP(B2273,Readme!A$40:C$51,2,)*P2273</f>
        <v>764.44444444444366</v>
      </c>
    </row>
    <row r="2274" spans="1:17" ht="12" customHeight="1" x14ac:dyDescent="0.35">
      <c r="A2274" s="75">
        <v>2273</v>
      </c>
      <c r="B2274" s="64">
        <v>2015</v>
      </c>
      <c r="C2274" s="64">
        <v>8</v>
      </c>
      <c r="D2274" s="80">
        <f t="shared" si="73"/>
        <v>2015</v>
      </c>
      <c r="E2274" t="s">
        <v>38</v>
      </c>
      <c r="F2274" t="s">
        <v>143</v>
      </c>
      <c r="G2274" t="s">
        <v>10</v>
      </c>
      <c r="H2274" s="72" t="s">
        <v>224</v>
      </c>
      <c r="I2274" s="72" t="s">
        <v>66</v>
      </c>
      <c r="J2274" t="str">
        <f t="shared" si="74"/>
        <v>Whatcom Creek</v>
      </c>
      <c r="K2274" t="str">
        <f>IFERROR(VLOOKUP(J2274,LUTs!$A$1:$C$73,2,FALSE),"NA")</f>
        <v>Whatcom</v>
      </c>
      <c r="L2274" t="str">
        <f>IFERROR(VLOOKUP(J2274,LUTs!$A$1:$C$73,3,FALSE),"NA")</f>
        <v>1North Puget Sound</v>
      </c>
      <c r="M2274" s="72" t="s">
        <v>26</v>
      </c>
      <c r="N2274" t="str">
        <f>VLOOKUP(M2274,LUTs!E$2:H$14,3,)</f>
        <v>20Other</v>
      </c>
      <c r="O2274" t="str">
        <f>VLOOKUP(M2274,LUTs!E$2:H$14,4,)</f>
        <v>07Non Puget Sound</v>
      </c>
      <c r="P2274" s="73">
        <v>8.6666666666666696</v>
      </c>
      <c r="Q2274" s="74">
        <f>VLOOKUP(B2274,Readme!A$40:C$51,2,)*P2274</f>
        <v>29.813333333333343</v>
      </c>
    </row>
    <row r="2275" spans="1:17" ht="12" customHeight="1" x14ac:dyDescent="0.35">
      <c r="A2275" s="75">
        <v>2274</v>
      </c>
      <c r="B2275" s="64">
        <v>2015</v>
      </c>
      <c r="C2275" s="64">
        <v>8</v>
      </c>
      <c r="D2275" s="80">
        <f t="shared" si="73"/>
        <v>2015</v>
      </c>
      <c r="E2275" t="s">
        <v>38</v>
      </c>
      <c r="F2275" t="s">
        <v>143</v>
      </c>
      <c r="G2275" t="s">
        <v>10</v>
      </c>
      <c r="H2275" s="72" t="s">
        <v>224</v>
      </c>
      <c r="I2275" s="72" t="s">
        <v>66</v>
      </c>
      <c r="J2275" t="str">
        <f t="shared" si="74"/>
        <v>Whatcom Creek</v>
      </c>
      <c r="K2275" t="str">
        <f>IFERROR(VLOOKUP(J2275,LUTs!$A$1:$C$73,2,FALSE),"NA")</f>
        <v>Whatcom</v>
      </c>
      <c r="L2275" t="str">
        <f>IFERROR(VLOOKUP(J2275,LUTs!$A$1:$C$73,3,FALSE),"NA")</f>
        <v>1North Puget Sound</v>
      </c>
      <c r="M2275" s="72" t="s">
        <v>20</v>
      </c>
      <c r="N2275" t="str">
        <f>VLOOKUP(M2275,LUTs!E$2:H$14,3,)</f>
        <v>07Pierce</v>
      </c>
      <c r="O2275" t="str">
        <f>VLOOKUP(M2275,LUTs!E$2:H$14,4,)</f>
        <v>02South Puget Sound</v>
      </c>
      <c r="P2275" s="73">
        <v>26</v>
      </c>
      <c r="Q2275" s="74">
        <f>VLOOKUP(B2275,Readme!A$40:C$51,2,)*P2275</f>
        <v>89.44</v>
      </c>
    </row>
    <row r="2276" spans="1:17" ht="12" customHeight="1" x14ac:dyDescent="0.35">
      <c r="A2276" s="75">
        <v>2275</v>
      </c>
      <c r="B2276" s="64">
        <v>2015</v>
      </c>
      <c r="C2276" s="64">
        <v>8</v>
      </c>
      <c r="D2276" s="80">
        <f t="shared" si="73"/>
        <v>2015</v>
      </c>
      <c r="E2276" t="s">
        <v>38</v>
      </c>
      <c r="F2276" t="s">
        <v>143</v>
      </c>
      <c r="G2276" t="s">
        <v>10</v>
      </c>
      <c r="H2276" s="72" t="s">
        <v>224</v>
      </c>
      <c r="I2276" s="72" t="s">
        <v>66</v>
      </c>
      <c r="J2276" t="str">
        <f t="shared" si="74"/>
        <v>Whatcom Creek</v>
      </c>
      <c r="K2276" t="str">
        <f>IFERROR(VLOOKUP(J2276,LUTs!$A$1:$C$73,2,FALSE),"NA")</f>
        <v>Whatcom</v>
      </c>
      <c r="L2276" t="str">
        <f>IFERROR(VLOOKUP(J2276,LUTs!$A$1:$C$73,3,FALSE),"NA")</f>
        <v>1North Puget Sound</v>
      </c>
      <c r="M2276" s="72" t="s">
        <v>13</v>
      </c>
      <c r="N2276" t="str">
        <f>VLOOKUP(M2276,LUTs!E$2:H$14,3,)</f>
        <v>01Whatcom</v>
      </c>
      <c r="O2276" t="str">
        <f>VLOOKUP(M2276,LUTs!E$2:H$14,4,)</f>
        <v>01North Puget Sound</v>
      </c>
      <c r="P2276" s="73">
        <v>17.3333333333333</v>
      </c>
      <c r="Q2276" s="74">
        <f>VLOOKUP(B2276,Readme!A$40:C$51,2,)*P2276</f>
        <v>59.626666666666551</v>
      </c>
    </row>
    <row r="2277" spans="1:17" ht="12" customHeight="1" x14ac:dyDescent="0.35">
      <c r="A2277" s="75">
        <v>2276</v>
      </c>
      <c r="B2277" s="64">
        <v>2015</v>
      </c>
      <c r="C2277" s="64">
        <v>9</v>
      </c>
      <c r="D2277" s="80">
        <f t="shared" si="73"/>
        <v>2015</v>
      </c>
      <c r="E2277" t="s">
        <v>38</v>
      </c>
      <c r="F2277" t="s">
        <v>143</v>
      </c>
      <c r="G2277" t="s">
        <v>10</v>
      </c>
      <c r="H2277" s="72" t="s">
        <v>224</v>
      </c>
      <c r="I2277" s="72" t="s">
        <v>66</v>
      </c>
      <c r="J2277" t="str">
        <f t="shared" si="74"/>
        <v>Whatcom Creek</v>
      </c>
      <c r="K2277" t="str">
        <f>IFERROR(VLOOKUP(J2277,LUTs!$A$1:$C$73,2,FALSE),"NA")</f>
        <v>Whatcom</v>
      </c>
      <c r="L2277" t="str">
        <f>IFERROR(VLOOKUP(J2277,LUTs!$A$1:$C$73,3,FALSE),"NA")</f>
        <v>1North Puget Sound</v>
      </c>
      <c r="M2277" s="72" t="s">
        <v>13</v>
      </c>
      <c r="N2277" t="str">
        <f>VLOOKUP(M2277,LUTs!E$2:H$14,3,)</f>
        <v>01Whatcom</v>
      </c>
      <c r="O2277" t="str">
        <f>VLOOKUP(M2277,LUTs!E$2:H$14,4,)</f>
        <v>01North Puget Sound</v>
      </c>
      <c r="P2277" s="73">
        <v>17</v>
      </c>
      <c r="Q2277" s="74">
        <f>VLOOKUP(B2277,Readme!A$40:C$51,2,)*P2277</f>
        <v>58.48</v>
      </c>
    </row>
    <row r="2278" spans="1:17" ht="12" customHeight="1" x14ac:dyDescent="0.35">
      <c r="A2278" s="75">
        <v>2277</v>
      </c>
      <c r="B2278" s="64">
        <v>2015</v>
      </c>
      <c r="C2278" s="64">
        <v>10</v>
      </c>
      <c r="D2278" s="80">
        <f t="shared" si="73"/>
        <v>2015</v>
      </c>
      <c r="E2278" t="s">
        <v>38</v>
      </c>
      <c r="F2278" t="s">
        <v>143</v>
      </c>
      <c r="G2278" t="s">
        <v>10</v>
      </c>
      <c r="H2278" s="72" t="s">
        <v>224</v>
      </c>
      <c r="I2278" s="72" t="s">
        <v>66</v>
      </c>
      <c r="J2278" t="str">
        <f t="shared" si="74"/>
        <v>Whatcom Creek</v>
      </c>
      <c r="K2278" t="str">
        <f>IFERROR(VLOOKUP(J2278,LUTs!$A$1:$C$73,2,FALSE),"NA")</f>
        <v>Whatcom</v>
      </c>
      <c r="L2278" t="str">
        <f>IFERROR(VLOOKUP(J2278,LUTs!$A$1:$C$73,3,FALSE),"NA")</f>
        <v>1North Puget Sound</v>
      </c>
      <c r="M2278" s="72" t="s">
        <v>17</v>
      </c>
      <c r="N2278" t="str">
        <f>VLOOKUP(M2278,LUTs!E$2:H$14,3,)</f>
        <v>04Island</v>
      </c>
      <c r="O2278" t="str">
        <f>VLOOKUP(M2278,LUTs!E$2:H$14,4,)</f>
        <v>01North Puget Sound</v>
      </c>
      <c r="P2278" s="73">
        <v>17.6666666666667</v>
      </c>
      <c r="Q2278" s="74">
        <f>VLOOKUP(B2278,Readme!A$40:C$51,2,)*P2278</f>
        <v>60.773333333333447</v>
      </c>
    </row>
    <row r="2279" spans="1:17" ht="12" customHeight="1" x14ac:dyDescent="0.35">
      <c r="A2279" s="75">
        <v>2278</v>
      </c>
      <c r="B2279" s="64">
        <v>2015</v>
      </c>
      <c r="C2279" s="64">
        <v>10</v>
      </c>
      <c r="D2279" s="80">
        <f t="shared" si="73"/>
        <v>2015</v>
      </c>
      <c r="E2279" t="s">
        <v>38</v>
      </c>
      <c r="F2279" t="s">
        <v>143</v>
      </c>
      <c r="G2279" t="s">
        <v>10</v>
      </c>
      <c r="H2279" s="72" t="s">
        <v>224</v>
      </c>
      <c r="I2279" s="72" t="s">
        <v>66</v>
      </c>
      <c r="J2279" t="str">
        <f t="shared" si="74"/>
        <v>Whatcom Creek</v>
      </c>
      <c r="K2279" t="str">
        <f>IFERROR(VLOOKUP(J2279,LUTs!$A$1:$C$73,2,FALSE),"NA")</f>
        <v>Whatcom</v>
      </c>
      <c r="L2279" t="str">
        <f>IFERROR(VLOOKUP(J2279,LUTs!$A$1:$C$73,3,FALSE),"NA")</f>
        <v>1North Puget Sound</v>
      </c>
      <c r="M2279" s="72" t="s">
        <v>13</v>
      </c>
      <c r="N2279" t="str">
        <f>VLOOKUP(M2279,LUTs!E$2:H$14,3,)</f>
        <v>01Whatcom</v>
      </c>
      <c r="O2279" t="str">
        <f>VLOOKUP(M2279,LUTs!E$2:H$14,4,)</f>
        <v>01North Puget Sound</v>
      </c>
      <c r="P2279" s="73">
        <v>141.333333333333</v>
      </c>
      <c r="Q2279" s="74">
        <f>VLOOKUP(B2279,Readme!A$40:C$51,2,)*P2279</f>
        <v>486.18666666666553</v>
      </c>
    </row>
    <row r="2280" spans="1:17" ht="12" customHeight="1" x14ac:dyDescent="0.35">
      <c r="A2280" s="75">
        <v>2279</v>
      </c>
      <c r="B2280" s="64">
        <v>2015</v>
      </c>
      <c r="C2280" s="64">
        <v>11</v>
      </c>
      <c r="D2280" s="80">
        <f t="shared" si="73"/>
        <v>2015</v>
      </c>
      <c r="E2280" t="s">
        <v>38</v>
      </c>
      <c r="F2280" t="s">
        <v>143</v>
      </c>
      <c r="G2280" t="s">
        <v>10</v>
      </c>
      <c r="H2280" s="72" t="s">
        <v>224</v>
      </c>
      <c r="I2280" s="72" t="s">
        <v>66</v>
      </c>
      <c r="J2280" t="str">
        <f t="shared" si="74"/>
        <v>Whatcom Creek</v>
      </c>
      <c r="K2280" t="str">
        <f>IFERROR(VLOOKUP(J2280,LUTs!$A$1:$C$73,2,FALSE),"NA")</f>
        <v>Whatcom</v>
      </c>
      <c r="L2280" t="str">
        <f>IFERROR(VLOOKUP(J2280,LUTs!$A$1:$C$73,3,FALSE),"NA")</f>
        <v>1North Puget Sound</v>
      </c>
      <c r="M2280" s="72" t="s">
        <v>17</v>
      </c>
      <c r="N2280" t="str">
        <f>VLOOKUP(M2280,LUTs!E$2:H$14,3,)</f>
        <v>04Island</v>
      </c>
      <c r="O2280" t="str">
        <f>VLOOKUP(M2280,LUTs!E$2:H$14,4,)</f>
        <v>01North Puget Sound</v>
      </c>
      <c r="P2280" s="73">
        <v>178.70445344129601</v>
      </c>
      <c r="Q2280" s="74">
        <f>VLOOKUP(B2280,Readme!A$40:C$51,2,)*P2280</f>
        <v>614.74331983805826</v>
      </c>
    </row>
    <row r="2281" spans="1:17" ht="12" customHeight="1" x14ac:dyDescent="0.35">
      <c r="A2281" s="75">
        <v>2280</v>
      </c>
      <c r="B2281" s="64">
        <v>2015</v>
      </c>
      <c r="C2281" s="64">
        <v>11</v>
      </c>
      <c r="D2281" s="80">
        <f t="shared" si="73"/>
        <v>2015</v>
      </c>
      <c r="E2281" t="s">
        <v>38</v>
      </c>
      <c r="F2281" t="s">
        <v>143</v>
      </c>
      <c r="G2281" t="s">
        <v>10</v>
      </c>
      <c r="H2281" s="72" t="s">
        <v>224</v>
      </c>
      <c r="I2281" s="72" t="s">
        <v>66</v>
      </c>
      <c r="J2281" t="str">
        <f t="shared" si="74"/>
        <v>Whatcom Creek</v>
      </c>
      <c r="K2281" t="str">
        <f>IFERROR(VLOOKUP(J2281,LUTs!$A$1:$C$73,2,FALSE),"NA")</f>
        <v>Whatcom</v>
      </c>
      <c r="L2281" t="str">
        <f>IFERROR(VLOOKUP(J2281,LUTs!$A$1:$C$73,3,FALSE),"NA")</f>
        <v>1North Puget Sound</v>
      </c>
      <c r="M2281" s="72" t="s">
        <v>25</v>
      </c>
      <c r="N2281" t="str">
        <f>VLOOKUP(M2281,LUTs!E$2:H$14,3,)</f>
        <v>12Jefferson</v>
      </c>
      <c r="O2281" t="str">
        <f>VLOOKUP(M2281,LUTs!E$2:H$14,4,)</f>
        <v>03Strait of Juan de Fuca</v>
      </c>
      <c r="P2281" s="73">
        <v>17.8704453441296</v>
      </c>
      <c r="Q2281" s="74">
        <f>VLOOKUP(B2281,Readme!A$40:C$51,2,)*P2281</f>
        <v>61.474331983805818</v>
      </c>
    </row>
    <row r="2282" spans="1:17" ht="12" customHeight="1" x14ac:dyDescent="0.35">
      <c r="A2282" s="75">
        <v>2281</v>
      </c>
      <c r="B2282" s="64">
        <v>2015</v>
      </c>
      <c r="C2282" s="64">
        <v>11</v>
      </c>
      <c r="D2282" s="80">
        <f t="shared" si="73"/>
        <v>2015</v>
      </c>
      <c r="E2282" t="s">
        <v>38</v>
      </c>
      <c r="F2282" t="s">
        <v>143</v>
      </c>
      <c r="G2282" t="s">
        <v>10</v>
      </c>
      <c r="H2282" s="72" t="s">
        <v>224</v>
      </c>
      <c r="I2282" s="72" t="s">
        <v>66</v>
      </c>
      <c r="J2282" t="str">
        <f t="shared" si="74"/>
        <v>Whatcom Creek</v>
      </c>
      <c r="K2282" t="str">
        <f>IFERROR(VLOOKUP(J2282,LUTs!$A$1:$C$73,2,FALSE),"NA")</f>
        <v>Whatcom</v>
      </c>
      <c r="L2282" t="str">
        <f>IFERROR(VLOOKUP(J2282,LUTs!$A$1:$C$73,3,FALSE),"NA")</f>
        <v>1North Puget Sound</v>
      </c>
      <c r="M2282" s="72" t="s">
        <v>26</v>
      </c>
      <c r="N2282" t="str">
        <f>VLOOKUP(M2282,LUTs!E$2:H$14,3,)</f>
        <v>20Other</v>
      </c>
      <c r="O2282" t="str">
        <f>VLOOKUP(M2282,LUTs!E$2:H$14,4,)</f>
        <v>07Non Puget Sound</v>
      </c>
      <c r="P2282" s="73">
        <v>107.222672064777</v>
      </c>
      <c r="Q2282" s="74">
        <f>VLOOKUP(B2282,Readme!A$40:C$51,2,)*P2282</f>
        <v>368.84599190283285</v>
      </c>
    </row>
    <row r="2283" spans="1:17" ht="12" customHeight="1" x14ac:dyDescent="0.35">
      <c r="A2283" s="75">
        <v>2282</v>
      </c>
      <c r="B2283" s="64">
        <v>2015</v>
      </c>
      <c r="C2283" s="64">
        <v>11</v>
      </c>
      <c r="D2283" s="80">
        <f t="shared" si="73"/>
        <v>2015</v>
      </c>
      <c r="E2283" t="s">
        <v>38</v>
      </c>
      <c r="F2283" t="s">
        <v>143</v>
      </c>
      <c r="G2283" t="s">
        <v>10</v>
      </c>
      <c r="H2283" s="72" t="s">
        <v>224</v>
      </c>
      <c r="I2283" s="72" t="s">
        <v>66</v>
      </c>
      <c r="J2283" t="str">
        <f t="shared" si="74"/>
        <v>Whatcom Creek</v>
      </c>
      <c r="K2283" t="str">
        <f>IFERROR(VLOOKUP(J2283,LUTs!$A$1:$C$73,2,FALSE),"NA")</f>
        <v>Whatcom</v>
      </c>
      <c r="L2283" t="str">
        <f>IFERROR(VLOOKUP(J2283,LUTs!$A$1:$C$73,3,FALSE),"NA")</f>
        <v>1North Puget Sound</v>
      </c>
      <c r="M2283" s="72" t="s">
        <v>20</v>
      </c>
      <c r="N2283" t="str">
        <f>VLOOKUP(M2283,LUTs!E$2:H$14,3,)</f>
        <v>07Pierce</v>
      </c>
      <c r="O2283" t="str">
        <f>VLOOKUP(M2283,LUTs!E$2:H$14,4,)</f>
        <v>02South Puget Sound</v>
      </c>
      <c r="P2283" s="73">
        <v>44.676113360323903</v>
      </c>
      <c r="Q2283" s="74">
        <f>VLOOKUP(B2283,Readme!A$40:C$51,2,)*P2283</f>
        <v>153.68582995951422</v>
      </c>
    </row>
    <row r="2284" spans="1:17" ht="12" customHeight="1" x14ac:dyDescent="0.35">
      <c r="A2284" s="75">
        <v>2283</v>
      </c>
      <c r="B2284" s="64">
        <v>2015</v>
      </c>
      <c r="C2284" s="64">
        <v>11</v>
      </c>
      <c r="D2284" s="80">
        <f t="shared" si="73"/>
        <v>2015</v>
      </c>
      <c r="E2284" t="s">
        <v>38</v>
      </c>
      <c r="F2284" t="s">
        <v>143</v>
      </c>
      <c r="G2284" t="s">
        <v>10</v>
      </c>
      <c r="H2284" s="72" t="s">
        <v>224</v>
      </c>
      <c r="I2284" s="72" t="s">
        <v>66</v>
      </c>
      <c r="J2284" t="str">
        <f t="shared" si="74"/>
        <v>Whatcom Creek</v>
      </c>
      <c r="K2284" t="str">
        <f>IFERROR(VLOOKUP(J2284,LUTs!$A$1:$C$73,2,FALSE),"NA")</f>
        <v>Whatcom</v>
      </c>
      <c r="L2284" t="str">
        <f>IFERROR(VLOOKUP(J2284,LUTs!$A$1:$C$73,3,FALSE),"NA")</f>
        <v>1North Puget Sound</v>
      </c>
      <c r="M2284" s="72" t="s">
        <v>15</v>
      </c>
      <c r="N2284" t="str">
        <f>VLOOKUP(M2284,LUTs!E$2:H$14,3,)</f>
        <v>02Skagit</v>
      </c>
      <c r="O2284" t="str">
        <f>VLOOKUP(M2284,LUTs!E$2:H$14,4,)</f>
        <v>01North Puget Sound</v>
      </c>
      <c r="P2284" s="73">
        <v>294.86234817813801</v>
      </c>
      <c r="Q2284" s="74">
        <f>VLOOKUP(B2284,Readme!A$40:C$51,2,)*P2284</f>
        <v>1014.3264777327947</v>
      </c>
    </row>
    <row r="2285" spans="1:17" ht="12" customHeight="1" x14ac:dyDescent="0.35">
      <c r="A2285" s="75">
        <v>2284</v>
      </c>
      <c r="B2285" s="64">
        <v>2015</v>
      </c>
      <c r="C2285" s="64">
        <v>11</v>
      </c>
      <c r="D2285" s="80">
        <f t="shared" si="73"/>
        <v>2015</v>
      </c>
      <c r="E2285" t="s">
        <v>38</v>
      </c>
      <c r="F2285" t="s">
        <v>143</v>
      </c>
      <c r="G2285" t="s">
        <v>10</v>
      </c>
      <c r="H2285" s="72" t="s">
        <v>224</v>
      </c>
      <c r="I2285" s="72" t="s">
        <v>66</v>
      </c>
      <c r="J2285" t="str">
        <f t="shared" si="74"/>
        <v>Whatcom Creek</v>
      </c>
      <c r="K2285" t="str">
        <f>IFERROR(VLOOKUP(J2285,LUTs!$A$1:$C$73,2,FALSE),"NA")</f>
        <v>Whatcom</v>
      </c>
      <c r="L2285" t="str">
        <f>IFERROR(VLOOKUP(J2285,LUTs!$A$1:$C$73,3,FALSE),"NA")</f>
        <v>1North Puget Sound</v>
      </c>
      <c r="M2285" s="72" t="s">
        <v>16</v>
      </c>
      <c r="N2285" t="str">
        <f>VLOOKUP(M2285,LUTs!E$2:H$14,3,)</f>
        <v>03Snohomish</v>
      </c>
      <c r="O2285" t="str">
        <f>VLOOKUP(M2285,LUTs!E$2:H$14,4,)</f>
        <v>01North Puget Sound</v>
      </c>
      <c r="P2285" s="73">
        <v>142.963562753036</v>
      </c>
      <c r="Q2285" s="74">
        <f>VLOOKUP(B2285,Readme!A$40:C$51,2,)*P2285</f>
        <v>491.79465587044382</v>
      </c>
    </row>
    <row r="2286" spans="1:17" ht="12" customHeight="1" x14ac:dyDescent="0.35">
      <c r="A2286" s="75">
        <v>2285</v>
      </c>
      <c r="B2286" s="64">
        <v>2015</v>
      </c>
      <c r="C2286" s="64">
        <v>11</v>
      </c>
      <c r="D2286" s="80">
        <f t="shared" si="73"/>
        <v>2015</v>
      </c>
      <c r="E2286" t="s">
        <v>38</v>
      </c>
      <c r="F2286" t="s">
        <v>143</v>
      </c>
      <c r="G2286" t="s">
        <v>10</v>
      </c>
      <c r="H2286" s="72" t="s">
        <v>224</v>
      </c>
      <c r="I2286" s="72" t="s">
        <v>66</v>
      </c>
      <c r="J2286" t="str">
        <f t="shared" si="74"/>
        <v>Whatcom Creek</v>
      </c>
      <c r="K2286" t="str">
        <f>IFERROR(VLOOKUP(J2286,LUTs!$A$1:$C$73,2,FALSE),"NA")</f>
        <v>Whatcom</v>
      </c>
      <c r="L2286" t="str">
        <f>IFERROR(VLOOKUP(J2286,LUTs!$A$1:$C$73,3,FALSE),"NA")</f>
        <v>1North Puget Sound</v>
      </c>
      <c r="M2286" s="72" t="s">
        <v>21</v>
      </c>
      <c r="N2286" t="str">
        <f>VLOOKUP(M2286,LUTs!E$2:H$14,3,)</f>
        <v>08Thurston</v>
      </c>
      <c r="O2286" t="str">
        <f>VLOOKUP(M2286,LUTs!E$2:H$14,4,)</f>
        <v>02South Puget Sound</v>
      </c>
      <c r="P2286" s="73">
        <v>98.287449392712603</v>
      </c>
      <c r="Q2286" s="74">
        <f>VLOOKUP(B2286,Readme!A$40:C$51,2,)*P2286</f>
        <v>338.10882591093133</v>
      </c>
    </row>
    <row r="2287" spans="1:17" ht="12" customHeight="1" x14ac:dyDescent="0.35">
      <c r="A2287" s="75">
        <v>2286</v>
      </c>
      <c r="B2287" s="64">
        <v>2015</v>
      </c>
      <c r="C2287" s="64">
        <v>11</v>
      </c>
      <c r="D2287" s="80">
        <f t="shared" si="73"/>
        <v>2015</v>
      </c>
      <c r="E2287" t="s">
        <v>38</v>
      </c>
      <c r="F2287" t="s">
        <v>143</v>
      </c>
      <c r="G2287" t="s">
        <v>10</v>
      </c>
      <c r="H2287" s="72" t="s">
        <v>224</v>
      </c>
      <c r="I2287" s="72" t="s">
        <v>66</v>
      </c>
      <c r="J2287" t="str">
        <f t="shared" si="74"/>
        <v>Whatcom Creek</v>
      </c>
      <c r="K2287" t="str">
        <f>IFERROR(VLOOKUP(J2287,LUTs!$A$1:$C$73,2,FALSE),"NA")</f>
        <v>Whatcom</v>
      </c>
      <c r="L2287" t="str">
        <f>IFERROR(VLOOKUP(J2287,LUTs!$A$1:$C$73,3,FALSE),"NA")</f>
        <v>1North Puget Sound</v>
      </c>
      <c r="M2287" s="72" t="s">
        <v>13</v>
      </c>
      <c r="N2287" t="str">
        <f>VLOOKUP(M2287,LUTs!E$2:H$14,3,)</f>
        <v>01Whatcom</v>
      </c>
      <c r="O2287" t="str">
        <f>VLOOKUP(M2287,LUTs!E$2:H$14,4,)</f>
        <v>01North Puget Sound</v>
      </c>
      <c r="P2287" s="73">
        <v>1322.4129554655899</v>
      </c>
      <c r="Q2287" s="74">
        <f>VLOOKUP(B2287,Readme!A$40:C$51,2,)*P2287</f>
        <v>4549.1005668016296</v>
      </c>
    </row>
    <row r="2288" spans="1:17" ht="12" customHeight="1" x14ac:dyDescent="0.35">
      <c r="A2288" s="75">
        <v>2287</v>
      </c>
      <c r="B2288" s="64">
        <v>2015</v>
      </c>
      <c r="C2288" s="64">
        <v>12</v>
      </c>
      <c r="D2288" s="80">
        <f t="shared" si="73"/>
        <v>2015</v>
      </c>
      <c r="E2288" t="s">
        <v>38</v>
      </c>
      <c r="F2288" t="s">
        <v>143</v>
      </c>
      <c r="G2288" t="s">
        <v>10</v>
      </c>
      <c r="H2288" s="72" t="s">
        <v>224</v>
      </c>
      <c r="I2288" s="72" t="s">
        <v>66</v>
      </c>
      <c r="J2288" t="str">
        <f t="shared" si="74"/>
        <v>Whatcom Creek</v>
      </c>
      <c r="K2288" t="str">
        <f>IFERROR(VLOOKUP(J2288,LUTs!$A$1:$C$73,2,FALSE),"NA")</f>
        <v>Whatcom</v>
      </c>
      <c r="L2288" t="str">
        <f>IFERROR(VLOOKUP(J2288,LUTs!$A$1:$C$73,3,FALSE),"NA")</f>
        <v>1North Puget Sound</v>
      </c>
      <c r="M2288" s="72" t="s">
        <v>21</v>
      </c>
      <c r="N2288" t="str">
        <f>VLOOKUP(M2288,LUTs!E$2:H$14,3,)</f>
        <v>08Thurston</v>
      </c>
      <c r="O2288" t="str">
        <f>VLOOKUP(M2288,LUTs!E$2:H$14,4,)</f>
        <v>02South Puget Sound</v>
      </c>
      <c r="P2288" s="73">
        <v>27</v>
      </c>
      <c r="Q2288" s="74">
        <f>VLOOKUP(B2288,Readme!A$40:C$51,2,)*P2288</f>
        <v>92.88</v>
      </c>
    </row>
    <row r="2289" spans="1:17" ht="12" customHeight="1" x14ac:dyDescent="0.35">
      <c r="A2289" s="75">
        <v>2288</v>
      </c>
      <c r="B2289" s="64">
        <v>2015</v>
      </c>
      <c r="C2289" s="64">
        <v>12</v>
      </c>
      <c r="D2289" s="80">
        <f t="shared" si="73"/>
        <v>2015</v>
      </c>
      <c r="E2289" t="s">
        <v>38</v>
      </c>
      <c r="F2289" t="s">
        <v>143</v>
      </c>
      <c r="G2289" t="s">
        <v>10</v>
      </c>
      <c r="H2289" s="72" t="s">
        <v>224</v>
      </c>
      <c r="I2289" s="72" t="s">
        <v>66</v>
      </c>
      <c r="J2289" t="str">
        <f t="shared" si="74"/>
        <v>Whatcom Creek</v>
      </c>
      <c r="K2289" t="str">
        <f>IFERROR(VLOOKUP(J2289,LUTs!$A$1:$C$73,2,FALSE),"NA")</f>
        <v>Whatcom</v>
      </c>
      <c r="L2289" t="str">
        <f>IFERROR(VLOOKUP(J2289,LUTs!$A$1:$C$73,3,FALSE),"NA")</f>
        <v>1North Puget Sound</v>
      </c>
      <c r="M2289" s="72" t="s">
        <v>13</v>
      </c>
      <c r="N2289" t="str">
        <f>VLOOKUP(M2289,LUTs!E$2:H$14,3,)</f>
        <v>01Whatcom</v>
      </c>
      <c r="O2289" t="str">
        <f>VLOOKUP(M2289,LUTs!E$2:H$14,4,)</f>
        <v>01North Puget Sound</v>
      </c>
      <c r="P2289" s="73">
        <v>18</v>
      </c>
      <c r="Q2289" s="74">
        <f>VLOOKUP(B2289,Readme!A$40:C$51,2,)*P2289</f>
        <v>61.92</v>
      </c>
    </row>
    <row r="2290" spans="1:17" ht="12" customHeight="1" x14ac:dyDescent="0.35">
      <c r="A2290" s="75">
        <v>2289</v>
      </c>
      <c r="B2290" s="64">
        <v>2016</v>
      </c>
      <c r="C2290" s="64">
        <v>10</v>
      </c>
      <c r="D2290" s="80">
        <f t="shared" si="73"/>
        <v>2016</v>
      </c>
      <c r="E2290" t="s">
        <v>38</v>
      </c>
      <c r="F2290" t="s">
        <v>143</v>
      </c>
      <c r="G2290" t="s">
        <v>10</v>
      </c>
      <c r="H2290" s="72" t="s">
        <v>198</v>
      </c>
      <c r="I2290" s="72" t="s">
        <v>40</v>
      </c>
      <c r="J2290" t="str">
        <f t="shared" si="74"/>
        <v>Dakota Creek (Whatcom Co)</v>
      </c>
      <c r="K2290" t="str">
        <f>IFERROR(VLOOKUP(J2290,LUTs!$A$1:$C$73,2,FALSE),"NA")</f>
        <v>Whatcom</v>
      </c>
      <c r="L2290" t="str">
        <f>IFERROR(VLOOKUP(J2290,LUTs!$A$1:$C$73,3,FALSE),"NA")</f>
        <v>1North Puget Sound</v>
      </c>
      <c r="M2290" s="72" t="s">
        <v>13</v>
      </c>
      <c r="N2290" t="str">
        <f>VLOOKUP(M2290,LUTs!E$2:H$14,3,)</f>
        <v>01Whatcom</v>
      </c>
      <c r="O2290" t="str">
        <f>VLOOKUP(M2290,LUTs!E$2:H$14,4,)</f>
        <v>01North Puget Sound</v>
      </c>
      <c r="P2290" s="73">
        <v>10</v>
      </c>
      <c r="Q2290" s="74">
        <f>VLOOKUP(B2290,Readme!A$40:C$51,2,)*P2290</f>
        <v>86.5</v>
      </c>
    </row>
    <row r="2291" spans="1:17" ht="12" customHeight="1" x14ac:dyDescent="0.35">
      <c r="A2291" s="75">
        <v>2290</v>
      </c>
      <c r="B2291" s="64">
        <v>2016</v>
      </c>
      <c r="C2291" s="64">
        <v>9</v>
      </c>
      <c r="D2291" s="80">
        <f t="shared" si="73"/>
        <v>2016</v>
      </c>
      <c r="E2291" t="s">
        <v>38</v>
      </c>
      <c r="F2291" t="s">
        <v>143</v>
      </c>
      <c r="G2291" t="s">
        <v>10</v>
      </c>
      <c r="H2291" s="72" t="s">
        <v>199</v>
      </c>
      <c r="I2291" s="72" t="s">
        <v>41</v>
      </c>
      <c r="J2291" t="str">
        <f t="shared" si="74"/>
        <v>Deschutes River</v>
      </c>
      <c r="K2291" t="str">
        <f>IFERROR(VLOOKUP(J2291,LUTs!$A$1:$C$73,2,FALSE),"NA")</f>
        <v>Thurston</v>
      </c>
      <c r="L2291" t="str">
        <f>IFERROR(VLOOKUP(J2291,LUTs!$A$1:$C$73,3,FALSE),"NA")</f>
        <v>3South Puget Sound</v>
      </c>
      <c r="M2291" s="72" t="s">
        <v>26</v>
      </c>
      <c r="N2291" t="str">
        <f>VLOOKUP(M2291,LUTs!E$2:H$14,3,)</f>
        <v>20Other</v>
      </c>
      <c r="O2291" t="str">
        <f>VLOOKUP(M2291,LUTs!E$2:H$14,4,)</f>
        <v>07Non Puget Sound</v>
      </c>
      <c r="P2291" s="73">
        <v>24</v>
      </c>
      <c r="Q2291" s="74">
        <f>VLOOKUP(B2291,Readme!A$40:C$51,2,)*P2291</f>
        <v>207.60000000000002</v>
      </c>
    </row>
    <row r="2292" spans="1:17" ht="12" customHeight="1" x14ac:dyDescent="0.35">
      <c r="A2292" s="75">
        <v>2291</v>
      </c>
      <c r="B2292" s="64">
        <v>2016</v>
      </c>
      <c r="C2292" s="64">
        <v>10</v>
      </c>
      <c r="D2292" s="80">
        <f t="shared" si="73"/>
        <v>2016</v>
      </c>
      <c r="E2292" t="s">
        <v>38</v>
      </c>
      <c r="F2292" t="s">
        <v>143</v>
      </c>
      <c r="G2292" t="s">
        <v>10</v>
      </c>
      <c r="H2292" s="72" t="s">
        <v>225</v>
      </c>
      <c r="I2292" s="72" t="s">
        <v>67</v>
      </c>
      <c r="J2292" t="str">
        <f t="shared" si="74"/>
        <v>Dewatto River</v>
      </c>
      <c r="K2292" t="str">
        <f>IFERROR(VLOOKUP(J2292,LUTs!$A$1:$C$73,2,FALSE),"NA")</f>
        <v>Mason</v>
      </c>
      <c r="L2292" t="str">
        <f>IFERROR(VLOOKUP(J2292,LUTs!$A$1:$C$73,3,FALSE),"NA")</f>
        <v>4 Hood Canal</v>
      </c>
      <c r="M2292" s="72" t="s">
        <v>23</v>
      </c>
      <c r="N2292" t="str">
        <f>VLOOKUP(M2292,LUTs!E$2:H$14,3,)</f>
        <v>10Kitsap</v>
      </c>
      <c r="O2292" t="str">
        <f>VLOOKUP(M2292,LUTs!E$2:H$14,4,)</f>
        <v>02South Puget Sound</v>
      </c>
      <c r="P2292" s="73">
        <v>63</v>
      </c>
      <c r="Q2292" s="74">
        <f>VLOOKUP(B2292,Readme!A$40:C$51,2,)*P2292</f>
        <v>544.95000000000005</v>
      </c>
    </row>
    <row r="2293" spans="1:17" ht="12" customHeight="1" x14ac:dyDescent="0.35">
      <c r="A2293" s="75">
        <v>2292</v>
      </c>
      <c r="B2293" s="64">
        <v>2016</v>
      </c>
      <c r="C2293" s="64">
        <v>10</v>
      </c>
      <c r="D2293" s="80">
        <f t="shared" si="73"/>
        <v>2016</v>
      </c>
      <c r="E2293" t="s">
        <v>38</v>
      </c>
      <c r="F2293" t="s">
        <v>143</v>
      </c>
      <c r="G2293" t="s">
        <v>10</v>
      </c>
      <c r="H2293" s="72" t="s">
        <v>201</v>
      </c>
      <c r="I2293" s="72" t="s">
        <v>43</v>
      </c>
      <c r="J2293" t="str">
        <f t="shared" si="74"/>
        <v>Dungeness River</v>
      </c>
      <c r="K2293" t="str">
        <f>IFERROR(VLOOKUP(J2293,LUTs!$A$1:$C$73,2,FALSE),"NA")</f>
        <v>Clallam</v>
      </c>
      <c r="L2293" t="str">
        <f>IFERROR(VLOOKUP(J2293,LUTs!$A$1:$C$73,3,FALSE),"NA")</f>
        <v>0Strait of Juan de Fuca</v>
      </c>
      <c r="M2293" s="72" t="s">
        <v>24</v>
      </c>
      <c r="N2293" t="str">
        <f>VLOOKUP(M2293,LUTs!E$2:H$14,3,)</f>
        <v>11Clallam</v>
      </c>
      <c r="O2293" t="str">
        <f>VLOOKUP(M2293,LUTs!E$2:H$14,4,)</f>
        <v>03Strait of Juan de Fuca</v>
      </c>
      <c r="P2293" s="73">
        <v>416.42857142857201</v>
      </c>
      <c r="Q2293" s="74">
        <f>VLOOKUP(B2293,Readme!A$40:C$51,2,)*P2293</f>
        <v>3602.1071428571481</v>
      </c>
    </row>
    <row r="2294" spans="1:17" ht="12" customHeight="1" x14ac:dyDescent="0.35">
      <c r="A2294" s="75">
        <v>2293</v>
      </c>
      <c r="B2294" s="64">
        <v>2016</v>
      </c>
      <c r="C2294" s="64">
        <v>10</v>
      </c>
      <c r="D2294" s="80">
        <f t="shared" si="73"/>
        <v>2016</v>
      </c>
      <c r="E2294" t="s">
        <v>38</v>
      </c>
      <c r="F2294" t="s">
        <v>143</v>
      </c>
      <c r="G2294" t="s">
        <v>10</v>
      </c>
      <c r="H2294" s="72" t="s">
        <v>201</v>
      </c>
      <c r="I2294" s="72" t="s">
        <v>43</v>
      </c>
      <c r="J2294" t="str">
        <f t="shared" si="74"/>
        <v>Dungeness River</v>
      </c>
      <c r="K2294" t="str">
        <f>IFERROR(VLOOKUP(J2294,LUTs!$A$1:$C$73,2,FALSE),"NA")</f>
        <v>Clallam</v>
      </c>
      <c r="L2294" t="str">
        <f>IFERROR(VLOOKUP(J2294,LUTs!$A$1:$C$73,3,FALSE),"NA")</f>
        <v>0Strait of Juan de Fuca</v>
      </c>
      <c r="M2294" s="72" t="s">
        <v>25</v>
      </c>
      <c r="N2294" t="str">
        <f>VLOOKUP(M2294,LUTs!E$2:H$14,3,)</f>
        <v>12Jefferson</v>
      </c>
      <c r="O2294" t="str">
        <f>VLOOKUP(M2294,LUTs!E$2:H$14,4,)</f>
        <v>03Strait of Juan de Fuca</v>
      </c>
      <c r="P2294" s="73">
        <v>37.015873015872998</v>
      </c>
      <c r="Q2294" s="74">
        <f>VLOOKUP(B2294,Readme!A$40:C$51,2,)*P2294</f>
        <v>320.18730158730142</v>
      </c>
    </row>
    <row r="2295" spans="1:17" ht="12" customHeight="1" x14ac:dyDescent="0.35">
      <c r="A2295" s="75">
        <v>2294</v>
      </c>
      <c r="B2295" s="64">
        <v>2016</v>
      </c>
      <c r="C2295" s="64">
        <v>10</v>
      </c>
      <c r="D2295" s="80">
        <f t="shared" si="73"/>
        <v>2016</v>
      </c>
      <c r="E2295" t="s">
        <v>38</v>
      </c>
      <c r="F2295" t="s">
        <v>143</v>
      </c>
      <c r="G2295" t="s">
        <v>10</v>
      </c>
      <c r="H2295" s="72" t="s">
        <v>201</v>
      </c>
      <c r="I2295" s="72" t="s">
        <v>43</v>
      </c>
      <c r="J2295" t="str">
        <f t="shared" si="74"/>
        <v>Dungeness River</v>
      </c>
      <c r="K2295" t="str">
        <f>IFERROR(VLOOKUP(J2295,LUTs!$A$1:$C$73,2,FALSE),"NA")</f>
        <v>Clallam</v>
      </c>
      <c r="L2295" t="str">
        <f>IFERROR(VLOOKUP(J2295,LUTs!$A$1:$C$73,3,FALSE),"NA")</f>
        <v>0Strait of Juan de Fuca</v>
      </c>
      <c r="M2295" s="72" t="s">
        <v>18</v>
      </c>
      <c r="N2295" t="str">
        <f>VLOOKUP(M2295,LUTs!E$2:H$14,3,)</f>
        <v>06King</v>
      </c>
      <c r="O2295" t="str">
        <f>VLOOKUP(M2295,LUTs!E$2:H$14,4,)</f>
        <v>02South Puget Sound</v>
      </c>
      <c r="P2295" s="73">
        <v>9.2539682539682602</v>
      </c>
      <c r="Q2295" s="74">
        <f>VLOOKUP(B2295,Readme!A$40:C$51,2,)*P2295</f>
        <v>80.046825396825454</v>
      </c>
    </row>
    <row r="2296" spans="1:17" ht="12" customHeight="1" x14ac:dyDescent="0.35">
      <c r="A2296" s="75">
        <v>2295</v>
      </c>
      <c r="B2296" s="64">
        <v>2016</v>
      </c>
      <c r="C2296" s="64">
        <v>10</v>
      </c>
      <c r="D2296" s="80">
        <f t="shared" si="73"/>
        <v>2016</v>
      </c>
      <c r="E2296" t="s">
        <v>38</v>
      </c>
      <c r="F2296" t="s">
        <v>143</v>
      </c>
      <c r="G2296" t="s">
        <v>10</v>
      </c>
      <c r="H2296" s="72" t="s">
        <v>201</v>
      </c>
      <c r="I2296" s="72" t="s">
        <v>43</v>
      </c>
      <c r="J2296" t="str">
        <f t="shared" si="74"/>
        <v>Dungeness River</v>
      </c>
      <c r="K2296" t="str">
        <f>IFERROR(VLOOKUP(J2296,LUTs!$A$1:$C$73,2,FALSE),"NA")</f>
        <v>Clallam</v>
      </c>
      <c r="L2296" t="str">
        <f>IFERROR(VLOOKUP(J2296,LUTs!$A$1:$C$73,3,FALSE),"NA")</f>
        <v>0Strait of Juan de Fuca</v>
      </c>
      <c r="M2296" s="72" t="s">
        <v>23</v>
      </c>
      <c r="N2296" t="str">
        <f>VLOOKUP(M2296,LUTs!E$2:H$14,3,)</f>
        <v>10Kitsap</v>
      </c>
      <c r="O2296" t="str">
        <f>VLOOKUP(M2296,LUTs!E$2:H$14,4,)</f>
        <v>02South Puget Sound</v>
      </c>
      <c r="P2296" s="73">
        <v>37.015873015872998</v>
      </c>
      <c r="Q2296" s="74">
        <f>VLOOKUP(B2296,Readme!A$40:C$51,2,)*P2296</f>
        <v>320.18730158730142</v>
      </c>
    </row>
    <row r="2297" spans="1:17" ht="12" customHeight="1" x14ac:dyDescent="0.35">
      <c r="A2297" s="75">
        <v>2296</v>
      </c>
      <c r="B2297" s="64">
        <v>2016</v>
      </c>
      <c r="C2297" s="64">
        <v>10</v>
      </c>
      <c r="D2297" s="80">
        <f t="shared" si="73"/>
        <v>2016</v>
      </c>
      <c r="E2297" t="s">
        <v>38</v>
      </c>
      <c r="F2297" t="s">
        <v>143</v>
      </c>
      <c r="G2297" t="s">
        <v>10</v>
      </c>
      <c r="H2297" s="72" t="s">
        <v>201</v>
      </c>
      <c r="I2297" s="72" t="s">
        <v>43</v>
      </c>
      <c r="J2297" t="str">
        <f t="shared" si="74"/>
        <v>Dungeness River</v>
      </c>
      <c r="K2297" t="str">
        <f>IFERROR(VLOOKUP(J2297,LUTs!$A$1:$C$73,2,FALSE),"NA")</f>
        <v>Clallam</v>
      </c>
      <c r="L2297" t="str">
        <f>IFERROR(VLOOKUP(J2297,LUTs!$A$1:$C$73,3,FALSE),"NA")</f>
        <v>0Strait of Juan de Fuca</v>
      </c>
      <c r="M2297" s="72" t="s">
        <v>22</v>
      </c>
      <c r="N2297" t="str">
        <f>VLOOKUP(M2297,LUTs!E$2:H$14,3,)</f>
        <v>09Mason</v>
      </c>
      <c r="O2297" t="str">
        <f>VLOOKUP(M2297,LUTs!E$2:H$14,4,)</f>
        <v>02South Puget Sound</v>
      </c>
      <c r="P2297" s="73">
        <v>9.2539682539682602</v>
      </c>
      <c r="Q2297" s="74">
        <f>VLOOKUP(B2297,Readme!A$40:C$51,2,)*P2297</f>
        <v>80.046825396825454</v>
      </c>
    </row>
    <row r="2298" spans="1:17" ht="12" customHeight="1" x14ac:dyDescent="0.35">
      <c r="A2298" s="75">
        <v>2297</v>
      </c>
      <c r="B2298" s="64">
        <v>2016</v>
      </c>
      <c r="C2298" s="64">
        <v>10</v>
      </c>
      <c r="D2298" s="80">
        <f t="shared" ref="D2298:D2361" si="75">IF(C2298&gt;3,B2298,B2298-1)</f>
        <v>2016</v>
      </c>
      <c r="E2298" t="s">
        <v>38</v>
      </c>
      <c r="F2298" t="s">
        <v>143</v>
      </c>
      <c r="G2298" t="s">
        <v>10</v>
      </c>
      <c r="H2298" s="72" t="s">
        <v>201</v>
      </c>
      <c r="I2298" s="72" t="s">
        <v>43</v>
      </c>
      <c r="J2298" t="str">
        <f t="shared" si="74"/>
        <v>Dungeness River</v>
      </c>
      <c r="K2298" t="str">
        <f>IFERROR(VLOOKUP(J2298,LUTs!$A$1:$C$73,2,FALSE),"NA")</f>
        <v>Clallam</v>
      </c>
      <c r="L2298" t="str">
        <f>IFERROR(VLOOKUP(J2298,LUTs!$A$1:$C$73,3,FALSE),"NA")</f>
        <v>0Strait of Juan de Fuca</v>
      </c>
      <c r="M2298" s="72" t="s">
        <v>26</v>
      </c>
      <c r="N2298" t="str">
        <f>VLOOKUP(M2298,LUTs!E$2:H$14,3,)</f>
        <v>20Other</v>
      </c>
      <c r="O2298" t="str">
        <f>VLOOKUP(M2298,LUTs!E$2:H$14,4,)</f>
        <v>07Non Puget Sound</v>
      </c>
      <c r="P2298" s="73">
        <v>37.015873015872998</v>
      </c>
      <c r="Q2298" s="74">
        <f>VLOOKUP(B2298,Readme!A$40:C$51,2,)*P2298</f>
        <v>320.18730158730142</v>
      </c>
    </row>
    <row r="2299" spans="1:17" ht="12" customHeight="1" x14ac:dyDescent="0.35">
      <c r="A2299" s="75">
        <v>2298</v>
      </c>
      <c r="B2299" s="64">
        <v>2016</v>
      </c>
      <c r="C2299" s="64">
        <v>10</v>
      </c>
      <c r="D2299" s="80">
        <f t="shared" si="75"/>
        <v>2016</v>
      </c>
      <c r="E2299" t="s">
        <v>38</v>
      </c>
      <c r="F2299" t="s">
        <v>143</v>
      </c>
      <c r="G2299" t="s">
        <v>10</v>
      </c>
      <c r="H2299" s="72" t="s">
        <v>201</v>
      </c>
      <c r="I2299" s="72" t="s">
        <v>43</v>
      </c>
      <c r="J2299" t="str">
        <f t="shared" si="74"/>
        <v>Dungeness River</v>
      </c>
      <c r="K2299" t="str">
        <f>IFERROR(VLOOKUP(J2299,LUTs!$A$1:$C$73,2,FALSE),"NA")</f>
        <v>Clallam</v>
      </c>
      <c r="L2299" t="str">
        <f>IFERROR(VLOOKUP(J2299,LUTs!$A$1:$C$73,3,FALSE),"NA")</f>
        <v>0Strait of Juan de Fuca</v>
      </c>
      <c r="M2299" s="72" t="s">
        <v>20</v>
      </c>
      <c r="N2299" t="str">
        <f>VLOOKUP(M2299,LUTs!E$2:H$14,3,)</f>
        <v>07Pierce</v>
      </c>
      <c r="O2299" t="str">
        <f>VLOOKUP(M2299,LUTs!E$2:H$14,4,)</f>
        <v>02South Puget Sound</v>
      </c>
      <c r="P2299" s="73">
        <v>18.507936507936499</v>
      </c>
      <c r="Q2299" s="74">
        <f>VLOOKUP(B2299,Readme!A$40:C$51,2,)*P2299</f>
        <v>160.09365079365071</v>
      </c>
    </row>
    <row r="2300" spans="1:17" ht="12" customHeight="1" x14ac:dyDescent="0.35">
      <c r="A2300" s="75">
        <v>2299</v>
      </c>
      <c r="B2300" s="64">
        <v>2016</v>
      </c>
      <c r="C2300" s="64">
        <v>10</v>
      </c>
      <c r="D2300" s="80">
        <f t="shared" si="75"/>
        <v>2016</v>
      </c>
      <c r="E2300" t="s">
        <v>38</v>
      </c>
      <c r="F2300" t="s">
        <v>143</v>
      </c>
      <c r="G2300" t="s">
        <v>10</v>
      </c>
      <c r="H2300" s="72" t="s">
        <v>201</v>
      </c>
      <c r="I2300" s="72" t="s">
        <v>43</v>
      </c>
      <c r="J2300" t="str">
        <f t="shared" si="74"/>
        <v>Dungeness River</v>
      </c>
      <c r="K2300" t="str">
        <f>IFERROR(VLOOKUP(J2300,LUTs!$A$1:$C$73,2,FALSE),"NA")</f>
        <v>Clallam</v>
      </c>
      <c r="L2300" t="str">
        <f>IFERROR(VLOOKUP(J2300,LUTs!$A$1:$C$73,3,FALSE),"NA")</f>
        <v>0Strait of Juan de Fuca</v>
      </c>
      <c r="M2300" s="72" t="s">
        <v>21</v>
      </c>
      <c r="N2300" t="str">
        <f>VLOOKUP(M2300,LUTs!E$2:H$14,3,)</f>
        <v>08Thurston</v>
      </c>
      <c r="O2300" t="str">
        <f>VLOOKUP(M2300,LUTs!E$2:H$14,4,)</f>
        <v>02South Puget Sound</v>
      </c>
      <c r="P2300" s="73">
        <v>18.507936507936499</v>
      </c>
      <c r="Q2300" s="74">
        <f>VLOOKUP(B2300,Readme!A$40:C$51,2,)*P2300</f>
        <v>160.09365079365071</v>
      </c>
    </row>
    <row r="2301" spans="1:17" ht="12" customHeight="1" x14ac:dyDescent="0.35">
      <c r="A2301" s="75">
        <v>2300</v>
      </c>
      <c r="B2301" s="64">
        <v>2016</v>
      </c>
      <c r="C2301" s="64">
        <v>11</v>
      </c>
      <c r="D2301" s="80">
        <f t="shared" si="75"/>
        <v>2016</v>
      </c>
      <c r="E2301" t="s">
        <v>38</v>
      </c>
      <c r="F2301" t="s">
        <v>143</v>
      </c>
      <c r="G2301" t="s">
        <v>10</v>
      </c>
      <c r="H2301" s="72" t="s">
        <v>201</v>
      </c>
      <c r="I2301" s="72" t="s">
        <v>43</v>
      </c>
      <c r="J2301" t="str">
        <f t="shared" si="74"/>
        <v>Dungeness River</v>
      </c>
      <c r="K2301" t="str">
        <f>IFERROR(VLOOKUP(J2301,LUTs!$A$1:$C$73,2,FALSE),"NA")</f>
        <v>Clallam</v>
      </c>
      <c r="L2301" t="str">
        <f>IFERROR(VLOOKUP(J2301,LUTs!$A$1:$C$73,3,FALSE),"NA")</f>
        <v>0Strait of Juan de Fuca</v>
      </c>
      <c r="M2301" s="72" t="s">
        <v>24</v>
      </c>
      <c r="N2301" t="str">
        <f>VLOOKUP(M2301,LUTs!E$2:H$14,3,)</f>
        <v>11Clallam</v>
      </c>
      <c r="O2301" t="str">
        <f>VLOOKUP(M2301,LUTs!E$2:H$14,4,)</f>
        <v>03Strait of Juan de Fuca</v>
      </c>
      <c r="P2301" s="73">
        <v>175</v>
      </c>
      <c r="Q2301" s="74">
        <f>VLOOKUP(B2301,Readme!A$40:C$51,2,)*P2301</f>
        <v>1513.75</v>
      </c>
    </row>
    <row r="2302" spans="1:17" ht="12" customHeight="1" x14ac:dyDescent="0.35">
      <c r="A2302" s="75">
        <v>2301</v>
      </c>
      <c r="B2302" s="64">
        <v>2016</v>
      </c>
      <c r="C2302" s="64">
        <v>11</v>
      </c>
      <c r="D2302" s="80">
        <f t="shared" si="75"/>
        <v>2016</v>
      </c>
      <c r="E2302" t="s">
        <v>38</v>
      </c>
      <c r="F2302" t="s">
        <v>143</v>
      </c>
      <c r="G2302" t="s">
        <v>10</v>
      </c>
      <c r="H2302" s="72" t="s">
        <v>201</v>
      </c>
      <c r="I2302" s="72" t="s">
        <v>43</v>
      </c>
      <c r="J2302" t="str">
        <f t="shared" si="74"/>
        <v>Dungeness River</v>
      </c>
      <c r="K2302" t="str">
        <f>IFERROR(VLOOKUP(J2302,LUTs!$A$1:$C$73,2,FALSE),"NA")</f>
        <v>Clallam</v>
      </c>
      <c r="L2302" t="str">
        <f>IFERROR(VLOOKUP(J2302,LUTs!$A$1:$C$73,3,FALSE),"NA")</f>
        <v>0Strait of Juan de Fuca</v>
      </c>
      <c r="M2302" s="72" t="s">
        <v>23</v>
      </c>
      <c r="N2302" t="str">
        <f>VLOOKUP(M2302,LUTs!E$2:H$14,3,)</f>
        <v>10Kitsap</v>
      </c>
      <c r="O2302" t="str">
        <f>VLOOKUP(M2302,LUTs!E$2:H$14,4,)</f>
        <v>02South Puget Sound</v>
      </c>
      <c r="P2302" s="73">
        <v>35</v>
      </c>
      <c r="Q2302" s="74">
        <f>VLOOKUP(B2302,Readme!A$40:C$51,2,)*P2302</f>
        <v>302.75</v>
      </c>
    </row>
    <row r="2303" spans="1:17" ht="12" customHeight="1" x14ac:dyDescent="0.35">
      <c r="A2303" s="75">
        <v>2302</v>
      </c>
      <c r="B2303" s="64">
        <v>2016</v>
      </c>
      <c r="C2303" s="64">
        <v>9</v>
      </c>
      <c r="D2303" s="80">
        <f t="shared" si="75"/>
        <v>2016</v>
      </c>
      <c r="E2303" t="s">
        <v>38</v>
      </c>
      <c r="F2303" t="s">
        <v>143</v>
      </c>
      <c r="G2303" t="s">
        <v>10</v>
      </c>
      <c r="H2303" s="72" t="s">
        <v>203</v>
      </c>
      <c r="I2303" s="72" t="s">
        <v>45</v>
      </c>
      <c r="J2303" t="str">
        <f t="shared" si="74"/>
        <v>Green - Duwamish River</v>
      </c>
      <c r="K2303" t="str">
        <f>IFERROR(VLOOKUP(J2303,LUTs!$A$1:$C$73,2,FALSE),"NA")</f>
        <v>King</v>
      </c>
      <c r="L2303" t="str">
        <f>IFERROR(VLOOKUP(J2303,LUTs!$A$1:$C$73,3,FALSE),"NA")</f>
        <v>3South Puget Sound</v>
      </c>
      <c r="M2303" s="72" t="s">
        <v>18</v>
      </c>
      <c r="N2303" t="str">
        <f>VLOOKUP(M2303,LUTs!E$2:H$14,3,)</f>
        <v>06King</v>
      </c>
      <c r="O2303" t="str">
        <f>VLOOKUP(M2303,LUTs!E$2:H$14,4,)</f>
        <v>02South Puget Sound</v>
      </c>
      <c r="P2303" s="73">
        <v>556.35211267605598</v>
      </c>
      <c r="Q2303" s="74">
        <f>VLOOKUP(B2303,Readme!A$40:C$51,2,)*P2303</f>
        <v>4812.4457746478847</v>
      </c>
    </row>
    <row r="2304" spans="1:17" ht="12" customHeight="1" x14ac:dyDescent="0.35">
      <c r="A2304" s="75">
        <v>2303</v>
      </c>
      <c r="B2304" s="64">
        <v>2016</v>
      </c>
      <c r="C2304" s="64">
        <v>9</v>
      </c>
      <c r="D2304" s="80">
        <f t="shared" si="75"/>
        <v>2016</v>
      </c>
      <c r="E2304" t="s">
        <v>38</v>
      </c>
      <c r="F2304" t="s">
        <v>143</v>
      </c>
      <c r="G2304" t="s">
        <v>10</v>
      </c>
      <c r="H2304" s="72" t="s">
        <v>203</v>
      </c>
      <c r="I2304" s="72" t="s">
        <v>45</v>
      </c>
      <c r="J2304" t="str">
        <f t="shared" si="74"/>
        <v>Green - Duwamish River</v>
      </c>
      <c r="K2304" t="str">
        <f>IFERROR(VLOOKUP(J2304,LUTs!$A$1:$C$73,2,FALSE),"NA")</f>
        <v>King</v>
      </c>
      <c r="L2304" t="str">
        <f>IFERROR(VLOOKUP(J2304,LUTs!$A$1:$C$73,3,FALSE),"NA")</f>
        <v>3South Puget Sound</v>
      </c>
      <c r="M2304" s="72" t="s">
        <v>26</v>
      </c>
      <c r="N2304" t="str">
        <f>VLOOKUP(M2304,LUTs!E$2:H$14,3,)</f>
        <v>20Other</v>
      </c>
      <c r="O2304" t="str">
        <f>VLOOKUP(M2304,LUTs!E$2:H$14,4,)</f>
        <v>07Non Puget Sound</v>
      </c>
      <c r="P2304" s="73">
        <v>52.985915492957801</v>
      </c>
      <c r="Q2304" s="74">
        <f>VLOOKUP(B2304,Readme!A$40:C$51,2,)*P2304</f>
        <v>458.32816901408501</v>
      </c>
    </row>
    <row r="2305" spans="1:17" ht="12" customHeight="1" x14ac:dyDescent="0.35">
      <c r="A2305" s="75">
        <v>2304</v>
      </c>
      <c r="B2305" s="64">
        <v>2016</v>
      </c>
      <c r="C2305" s="64">
        <v>9</v>
      </c>
      <c r="D2305" s="80">
        <f t="shared" si="75"/>
        <v>2016</v>
      </c>
      <c r="E2305" t="s">
        <v>38</v>
      </c>
      <c r="F2305" t="s">
        <v>143</v>
      </c>
      <c r="G2305" t="s">
        <v>10</v>
      </c>
      <c r="H2305" s="72" t="s">
        <v>203</v>
      </c>
      <c r="I2305" s="72" t="s">
        <v>45</v>
      </c>
      <c r="J2305" t="str">
        <f t="shared" si="74"/>
        <v>Green - Duwamish River</v>
      </c>
      <c r="K2305" t="str">
        <f>IFERROR(VLOOKUP(J2305,LUTs!$A$1:$C$73,2,FALSE),"NA")</f>
        <v>King</v>
      </c>
      <c r="L2305" t="str">
        <f>IFERROR(VLOOKUP(J2305,LUTs!$A$1:$C$73,3,FALSE),"NA")</f>
        <v>3South Puget Sound</v>
      </c>
      <c r="M2305" s="72" t="s">
        <v>20</v>
      </c>
      <c r="N2305" t="str">
        <f>VLOOKUP(M2305,LUTs!E$2:H$14,3,)</f>
        <v>07Pierce</v>
      </c>
      <c r="O2305" t="str">
        <f>VLOOKUP(M2305,LUTs!E$2:H$14,4,)</f>
        <v>02South Puget Sound</v>
      </c>
      <c r="P2305" s="73">
        <v>8.8309859154929597</v>
      </c>
      <c r="Q2305" s="74">
        <f>VLOOKUP(B2305,Readme!A$40:C$51,2,)*P2305</f>
        <v>76.388028169014106</v>
      </c>
    </row>
    <row r="2306" spans="1:17" ht="12" customHeight="1" x14ac:dyDescent="0.35">
      <c r="A2306" s="75">
        <v>2305</v>
      </c>
      <c r="B2306" s="64">
        <v>2016</v>
      </c>
      <c r="C2306" s="64">
        <v>9</v>
      </c>
      <c r="D2306" s="80">
        <f t="shared" si="75"/>
        <v>2016</v>
      </c>
      <c r="E2306" t="s">
        <v>38</v>
      </c>
      <c r="F2306" t="s">
        <v>143</v>
      </c>
      <c r="G2306" t="s">
        <v>10</v>
      </c>
      <c r="H2306" s="72" t="s">
        <v>203</v>
      </c>
      <c r="I2306" s="72" t="s">
        <v>45</v>
      </c>
      <c r="J2306" t="str">
        <f t="shared" si="74"/>
        <v>Green - Duwamish River</v>
      </c>
      <c r="K2306" t="str">
        <f>IFERROR(VLOOKUP(J2306,LUTs!$A$1:$C$73,2,FALSE),"NA")</f>
        <v>King</v>
      </c>
      <c r="L2306" t="str">
        <f>IFERROR(VLOOKUP(J2306,LUTs!$A$1:$C$73,3,FALSE),"NA")</f>
        <v>3South Puget Sound</v>
      </c>
      <c r="M2306" s="72" t="s">
        <v>13</v>
      </c>
      <c r="N2306" t="str">
        <f>VLOOKUP(M2306,LUTs!E$2:H$14,3,)</f>
        <v>01Whatcom</v>
      </c>
      <c r="O2306" t="str">
        <f>VLOOKUP(M2306,LUTs!E$2:H$14,4,)</f>
        <v>01North Puget Sound</v>
      </c>
      <c r="P2306" s="73">
        <v>8.8309859154929597</v>
      </c>
      <c r="Q2306" s="74">
        <f>VLOOKUP(B2306,Readme!A$40:C$51,2,)*P2306</f>
        <v>76.388028169014106</v>
      </c>
    </row>
    <row r="2307" spans="1:17" ht="12" customHeight="1" x14ac:dyDescent="0.35">
      <c r="A2307" s="75">
        <v>2306</v>
      </c>
      <c r="B2307" s="64">
        <v>2016</v>
      </c>
      <c r="C2307" s="64">
        <v>10</v>
      </c>
      <c r="D2307" s="80">
        <f t="shared" si="75"/>
        <v>2016</v>
      </c>
      <c r="E2307" t="s">
        <v>38</v>
      </c>
      <c r="F2307" t="s">
        <v>143</v>
      </c>
      <c r="G2307" t="s">
        <v>10</v>
      </c>
      <c r="H2307" s="72" t="s">
        <v>203</v>
      </c>
      <c r="I2307" s="72" t="s">
        <v>45</v>
      </c>
      <c r="J2307" t="str">
        <f t="shared" ref="J2307:J2370" si="76">I2307</f>
        <v>Green - Duwamish River</v>
      </c>
      <c r="K2307" t="str">
        <f>IFERROR(VLOOKUP(J2307,LUTs!$A$1:$C$73,2,FALSE),"NA")</f>
        <v>King</v>
      </c>
      <c r="L2307" t="str">
        <f>IFERROR(VLOOKUP(J2307,LUTs!$A$1:$C$73,3,FALSE),"NA")</f>
        <v>3South Puget Sound</v>
      </c>
      <c r="M2307" s="72" t="s">
        <v>24</v>
      </c>
      <c r="N2307" t="str">
        <f>VLOOKUP(M2307,LUTs!E$2:H$14,3,)</f>
        <v>11Clallam</v>
      </c>
      <c r="O2307" t="str">
        <f>VLOOKUP(M2307,LUTs!E$2:H$14,4,)</f>
        <v>03Strait of Juan de Fuca</v>
      </c>
      <c r="P2307" s="73">
        <v>9.0136986301369895</v>
      </c>
      <c r="Q2307" s="74">
        <f>VLOOKUP(B2307,Readme!A$40:C$51,2,)*P2307</f>
        <v>77.968493150684964</v>
      </c>
    </row>
    <row r="2308" spans="1:17" ht="12" customHeight="1" x14ac:dyDescent="0.35">
      <c r="A2308" s="75">
        <v>2307</v>
      </c>
      <c r="B2308" s="64">
        <v>2016</v>
      </c>
      <c r="C2308" s="64">
        <v>10</v>
      </c>
      <c r="D2308" s="80">
        <f t="shared" si="75"/>
        <v>2016</v>
      </c>
      <c r="E2308" t="s">
        <v>38</v>
      </c>
      <c r="F2308" t="s">
        <v>143</v>
      </c>
      <c r="G2308" t="s">
        <v>10</v>
      </c>
      <c r="H2308" s="72" t="s">
        <v>203</v>
      </c>
      <c r="I2308" s="72" t="s">
        <v>45</v>
      </c>
      <c r="J2308" t="str">
        <f t="shared" si="76"/>
        <v>Green - Duwamish River</v>
      </c>
      <c r="K2308" t="str">
        <f>IFERROR(VLOOKUP(J2308,LUTs!$A$1:$C$73,2,FALSE),"NA")</f>
        <v>King</v>
      </c>
      <c r="L2308" t="str">
        <f>IFERROR(VLOOKUP(J2308,LUTs!$A$1:$C$73,3,FALSE),"NA")</f>
        <v>3South Puget Sound</v>
      </c>
      <c r="M2308" s="72" t="s">
        <v>18</v>
      </c>
      <c r="N2308" t="str">
        <f>VLOOKUP(M2308,LUTs!E$2:H$14,3,)</f>
        <v>06King</v>
      </c>
      <c r="O2308" t="str">
        <f>VLOOKUP(M2308,LUTs!E$2:H$14,4,)</f>
        <v>02South Puget Sound</v>
      </c>
      <c r="P2308" s="73">
        <v>1144.7397260273999</v>
      </c>
      <c r="Q2308" s="74">
        <f>VLOOKUP(B2308,Readme!A$40:C$51,2,)*P2308</f>
        <v>9901.99863013701</v>
      </c>
    </row>
    <row r="2309" spans="1:17" ht="12" customHeight="1" x14ac:dyDescent="0.35">
      <c r="A2309" s="75">
        <v>2308</v>
      </c>
      <c r="B2309" s="64">
        <v>2016</v>
      </c>
      <c r="C2309" s="64">
        <v>10</v>
      </c>
      <c r="D2309" s="80">
        <f t="shared" si="75"/>
        <v>2016</v>
      </c>
      <c r="E2309" t="s">
        <v>38</v>
      </c>
      <c r="F2309" t="s">
        <v>143</v>
      </c>
      <c r="G2309" t="s">
        <v>10</v>
      </c>
      <c r="H2309" s="72" t="s">
        <v>203</v>
      </c>
      <c r="I2309" s="72" t="s">
        <v>45</v>
      </c>
      <c r="J2309" t="str">
        <f t="shared" si="76"/>
        <v>Green - Duwamish River</v>
      </c>
      <c r="K2309" t="str">
        <f>IFERROR(VLOOKUP(J2309,LUTs!$A$1:$C$73,2,FALSE),"NA")</f>
        <v>King</v>
      </c>
      <c r="L2309" t="str">
        <f>IFERROR(VLOOKUP(J2309,LUTs!$A$1:$C$73,3,FALSE),"NA")</f>
        <v>3South Puget Sound</v>
      </c>
      <c r="M2309" s="72" t="s">
        <v>23</v>
      </c>
      <c r="N2309" t="str">
        <f>VLOOKUP(M2309,LUTs!E$2:H$14,3,)</f>
        <v>10Kitsap</v>
      </c>
      <c r="O2309" t="str">
        <f>VLOOKUP(M2309,LUTs!E$2:H$14,4,)</f>
        <v>02South Puget Sound</v>
      </c>
      <c r="P2309" s="73">
        <v>36.054794520548</v>
      </c>
      <c r="Q2309" s="74">
        <f>VLOOKUP(B2309,Readme!A$40:C$51,2,)*P2309</f>
        <v>311.8739726027402</v>
      </c>
    </row>
    <row r="2310" spans="1:17" ht="12" customHeight="1" x14ac:dyDescent="0.35">
      <c r="A2310" s="75">
        <v>2309</v>
      </c>
      <c r="B2310" s="64">
        <v>2016</v>
      </c>
      <c r="C2310" s="64">
        <v>10</v>
      </c>
      <c r="D2310" s="80">
        <f t="shared" si="75"/>
        <v>2016</v>
      </c>
      <c r="E2310" t="s">
        <v>38</v>
      </c>
      <c r="F2310" t="s">
        <v>143</v>
      </c>
      <c r="G2310" t="s">
        <v>10</v>
      </c>
      <c r="H2310" s="72" t="s">
        <v>203</v>
      </c>
      <c r="I2310" s="72" t="s">
        <v>45</v>
      </c>
      <c r="J2310" t="str">
        <f t="shared" si="76"/>
        <v>Green - Duwamish River</v>
      </c>
      <c r="K2310" t="str">
        <f>IFERROR(VLOOKUP(J2310,LUTs!$A$1:$C$73,2,FALSE),"NA")</f>
        <v>King</v>
      </c>
      <c r="L2310" t="str">
        <f>IFERROR(VLOOKUP(J2310,LUTs!$A$1:$C$73,3,FALSE),"NA")</f>
        <v>3South Puget Sound</v>
      </c>
      <c r="M2310" s="72" t="s">
        <v>20</v>
      </c>
      <c r="N2310" t="str">
        <f>VLOOKUP(M2310,LUTs!E$2:H$14,3,)</f>
        <v>07Pierce</v>
      </c>
      <c r="O2310" t="str">
        <f>VLOOKUP(M2310,LUTs!E$2:H$14,4,)</f>
        <v>02South Puget Sound</v>
      </c>
      <c r="P2310" s="73">
        <v>72.109589041095902</v>
      </c>
      <c r="Q2310" s="74">
        <f>VLOOKUP(B2310,Readme!A$40:C$51,2,)*P2310</f>
        <v>623.7479452054796</v>
      </c>
    </row>
    <row r="2311" spans="1:17" ht="12" customHeight="1" x14ac:dyDescent="0.35">
      <c r="A2311" s="75">
        <v>2310</v>
      </c>
      <c r="B2311" s="64">
        <v>2016</v>
      </c>
      <c r="C2311" s="64">
        <v>10</v>
      </c>
      <c r="D2311" s="80">
        <f t="shared" si="75"/>
        <v>2016</v>
      </c>
      <c r="E2311" t="s">
        <v>38</v>
      </c>
      <c r="F2311" t="s">
        <v>143</v>
      </c>
      <c r="G2311" t="s">
        <v>10</v>
      </c>
      <c r="H2311" s="72" t="s">
        <v>203</v>
      </c>
      <c r="I2311" s="72" t="s">
        <v>45</v>
      </c>
      <c r="J2311" t="str">
        <f t="shared" si="76"/>
        <v>Green - Duwamish River</v>
      </c>
      <c r="K2311" t="str">
        <f>IFERROR(VLOOKUP(J2311,LUTs!$A$1:$C$73,2,FALSE),"NA")</f>
        <v>King</v>
      </c>
      <c r="L2311" t="str">
        <f>IFERROR(VLOOKUP(J2311,LUTs!$A$1:$C$73,3,FALSE),"NA")</f>
        <v>3South Puget Sound</v>
      </c>
      <c r="M2311" s="72" t="s">
        <v>16</v>
      </c>
      <c r="N2311" t="str">
        <f>VLOOKUP(M2311,LUTs!E$2:H$14,3,)</f>
        <v>03Snohomish</v>
      </c>
      <c r="O2311" t="str">
        <f>VLOOKUP(M2311,LUTs!E$2:H$14,4,)</f>
        <v>01North Puget Sound</v>
      </c>
      <c r="P2311" s="73">
        <v>27.041095890411</v>
      </c>
      <c r="Q2311" s="74">
        <f>VLOOKUP(B2311,Readme!A$40:C$51,2,)*P2311</f>
        <v>233.90547945205518</v>
      </c>
    </row>
    <row r="2312" spans="1:17" ht="12" customHeight="1" x14ac:dyDescent="0.35">
      <c r="A2312" s="75">
        <v>2311</v>
      </c>
      <c r="B2312" s="64">
        <v>2016</v>
      </c>
      <c r="C2312" s="64">
        <v>10</v>
      </c>
      <c r="D2312" s="80">
        <f t="shared" si="75"/>
        <v>2016</v>
      </c>
      <c r="E2312" t="s">
        <v>38</v>
      </c>
      <c r="F2312" t="s">
        <v>143</v>
      </c>
      <c r="G2312" t="s">
        <v>10</v>
      </c>
      <c r="H2312" s="72" t="s">
        <v>203</v>
      </c>
      <c r="I2312" s="72" t="s">
        <v>45</v>
      </c>
      <c r="J2312" t="str">
        <f t="shared" si="76"/>
        <v>Green - Duwamish River</v>
      </c>
      <c r="K2312" t="str">
        <f>IFERROR(VLOOKUP(J2312,LUTs!$A$1:$C$73,2,FALSE),"NA")</f>
        <v>King</v>
      </c>
      <c r="L2312" t="str">
        <f>IFERROR(VLOOKUP(J2312,LUTs!$A$1:$C$73,3,FALSE),"NA")</f>
        <v>3South Puget Sound</v>
      </c>
      <c r="M2312" s="72" t="s">
        <v>21</v>
      </c>
      <c r="N2312" t="str">
        <f>VLOOKUP(M2312,LUTs!E$2:H$14,3,)</f>
        <v>08Thurston</v>
      </c>
      <c r="O2312" t="str">
        <f>VLOOKUP(M2312,LUTs!E$2:H$14,4,)</f>
        <v>02South Puget Sound</v>
      </c>
      <c r="P2312" s="73">
        <v>27.041095890411</v>
      </c>
      <c r="Q2312" s="74">
        <f>VLOOKUP(B2312,Readme!A$40:C$51,2,)*P2312</f>
        <v>233.90547945205518</v>
      </c>
    </row>
    <row r="2313" spans="1:17" ht="12" customHeight="1" x14ac:dyDescent="0.35">
      <c r="A2313" s="75">
        <v>2312</v>
      </c>
      <c r="B2313" s="64">
        <v>2016</v>
      </c>
      <c r="C2313" s="64">
        <v>11</v>
      </c>
      <c r="D2313" s="80">
        <f t="shared" si="75"/>
        <v>2016</v>
      </c>
      <c r="E2313" t="s">
        <v>38</v>
      </c>
      <c r="F2313" t="s">
        <v>143</v>
      </c>
      <c r="G2313" t="s">
        <v>10</v>
      </c>
      <c r="H2313" s="72" t="s">
        <v>203</v>
      </c>
      <c r="I2313" s="72" t="s">
        <v>45</v>
      </c>
      <c r="J2313" t="str">
        <f t="shared" si="76"/>
        <v>Green - Duwamish River</v>
      </c>
      <c r="K2313" t="str">
        <f>IFERROR(VLOOKUP(J2313,LUTs!$A$1:$C$73,2,FALSE),"NA")</f>
        <v>King</v>
      </c>
      <c r="L2313" t="str">
        <f>IFERROR(VLOOKUP(J2313,LUTs!$A$1:$C$73,3,FALSE),"NA")</f>
        <v>3South Puget Sound</v>
      </c>
      <c r="M2313" s="72" t="s">
        <v>18</v>
      </c>
      <c r="N2313" t="str">
        <f>VLOOKUP(M2313,LUTs!E$2:H$14,3,)</f>
        <v>06King</v>
      </c>
      <c r="O2313" t="str">
        <f>VLOOKUP(M2313,LUTs!E$2:H$14,4,)</f>
        <v>02South Puget Sound</v>
      </c>
      <c r="P2313" s="73">
        <v>796.28225806451599</v>
      </c>
      <c r="Q2313" s="74">
        <f>VLOOKUP(B2313,Readme!A$40:C$51,2,)*P2313</f>
        <v>6887.8415322580631</v>
      </c>
    </row>
    <row r="2314" spans="1:17" ht="12" customHeight="1" x14ac:dyDescent="0.35">
      <c r="A2314" s="75">
        <v>2313</v>
      </c>
      <c r="B2314" s="64">
        <v>2016</v>
      </c>
      <c r="C2314" s="64">
        <v>11</v>
      </c>
      <c r="D2314" s="80">
        <f t="shared" si="75"/>
        <v>2016</v>
      </c>
      <c r="E2314" t="s">
        <v>38</v>
      </c>
      <c r="F2314" t="s">
        <v>143</v>
      </c>
      <c r="G2314" t="s">
        <v>10</v>
      </c>
      <c r="H2314" s="72" t="s">
        <v>203</v>
      </c>
      <c r="I2314" s="72" t="s">
        <v>45</v>
      </c>
      <c r="J2314" t="str">
        <f t="shared" si="76"/>
        <v>Green - Duwamish River</v>
      </c>
      <c r="K2314" t="str">
        <f>IFERROR(VLOOKUP(J2314,LUTs!$A$1:$C$73,2,FALSE),"NA")</f>
        <v>King</v>
      </c>
      <c r="L2314" t="str">
        <f>IFERROR(VLOOKUP(J2314,LUTs!$A$1:$C$73,3,FALSE),"NA")</f>
        <v>3South Puget Sound</v>
      </c>
      <c r="M2314" s="72" t="s">
        <v>26</v>
      </c>
      <c r="N2314" t="str">
        <f>VLOOKUP(M2314,LUTs!E$2:H$14,3,)</f>
        <v>20Other</v>
      </c>
      <c r="O2314" t="str">
        <f>VLOOKUP(M2314,LUTs!E$2:H$14,4,)</f>
        <v>07Non Puget Sound</v>
      </c>
      <c r="P2314" s="73">
        <v>9.8306451612903203</v>
      </c>
      <c r="Q2314" s="74">
        <f>VLOOKUP(B2314,Readme!A$40:C$51,2,)*P2314</f>
        <v>85.035080645161273</v>
      </c>
    </row>
    <row r="2315" spans="1:17" ht="12" customHeight="1" x14ac:dyDescent="0.35">
      <c r="A2315" s="75">
        <v>2314</v>
      </c>
      <c r="B2315" s="64">
        <v>2016</v>
      </c>
      <c r="C2315" s="64">
        <v>11</v>
      </c>
      <c r="D2315" s="80">
        <f t="shared" si="75"/>
        <v>2016</v>
      </c>
      <c r="E2315" t="s">
        <v>38</v>
      </c>
      <c r="F2315" t="s">
        <v>143</v>
      </c>
      <c r="G2315" t="s">
        <v>10</v>
      </c>
      <c r="H2315" s="72" t="s">
        <v>203</v>
      </c>
      <c r="I2315" s="72" t="s">
        <v>45</v>
      </c>
      <c r="J2315" t="str">
        <f t="shared" si="76"/>
        <v>Green - Duwamish River</v>
      </c>
      <c r="K2315" t="str">
        <f>IFERROR(VLOOKUP(J2315,LUTs!$A$1:$C$73,2,FALSE),"NA")</f>
        <v>King</v>
      </c>
      <c r="L2315" t="str">
        <f>IFERROR(VLOOKUP(J2315,LUTs!$A$1:$C$73,3,FALSE),"NA")</f>
        <v>3South Puget Sound</v>
      </c>
      <c r="M2315" s="72" t="s">
        <v>20</v>
      </c>
      <c r="N2315" t="str">
        <f>VLOOKUP(M2315,LUTs!E$2:H$14,3,)</f>
        <v>07Pierce</v>
      </c>
      <c r="O2315" t="str">
        <f>VLOOKUP(M2315,LUTs!E$2:H$14,4,)</f>
        <v>02South Puget Sound</v>
      </c>
      <c r="P2315" s="73">
        <v>265.427419354839</v>
      </c>
      <c r="Q2315" s="74">
        <f>VLOOKUP(B2315,Readme!A$40:C$51,2,)*P2315</f>
        <v>2295.9471774193576</v>
      </c>
    </row>
    <row r="2316" spans="1:17" ht="12" customHeight="1" x14ac:dyDescent="0.35">
      <c r="A2316" s="75">
        <v>2315</v>
      </c>
      <c r="B2316" s="64">
        <v>2016</v>
      </c>
      <c r="C2316" s="64">
        <v>11</v>
      </c>
      <c r="D2316" s="80">
        <f t="shared" si="75"/>
        <v>2016</v>
      </c>
      <c r="E2316" t="s">
        <v>38</v>
      </c>
      <c r="F2316" t="s">
        <v>143</v>
      </c>
      <c r="G2316" t="s">
        <v>10</v>
      </c>
      <c r="H2316" s="72" t="s">
        <v>203</v>
      </c>
      <c r="I2316" s="72" t="s">
        <v>45</v>
      </c>
      <c r="J2316" t="str">
        <f t="shared" si="76"/>
        <v>Green - Duwamish River</v>
      </c>
      <c r="K2316" t="str">
        <f>IFERROR(VLOOKUP(J2316,LUTs!$A$1:$C$73,2,FALSE),"NA")</f>
        <v>King</v>
      </c>
      <c r="L2316" t="str">
        <f>IFERROR(VLOOKUP(J2316,LUTs!$A$1:$C$73,3,FALSE),"NA")</f>
        <v>3South Puget Sound</v>
      </c>
      <c r="M2316" s="72" t="s">
        <v>16</v>
      </c>
      <c r="N2316" t="str">
        <f>VLOOKUP(M2316,LUTs!E$2:H$14,3,)</f>
        <v>03Snohomish</v>
      </c>
      <c r="O2316" t="str">
        <f>VLOOKUP(M2316,LUTs!E$2:H$14,4,)</f>
        <v>01North Puget Sound</v>
      </c>
      <c r="P2316" s="73">
        <v>137.629032258065</v>
      </c>
      <c r="Q2316" s="74">
        <f>VLOOKUP(B2316,Readme!A$40:C$51,2,)*P2316</f>
        <v>1190.4911290322623</v>
      </c>
    </row>
    <row r="2317" spans="1:17" ht="12" customHeight="1" x14ac:dyDescent="0.35">
      <c r="A2317" s="75">
        <v>2316</v>
      </c>
      <c r="B2317" s="64">
        <v>2016</v>
      </c>
      <c r="C2317" s="64">
        <v>11</v>
      </c>
      <c r="D2317" s="80">
        <f t="shared" si="75"/>
        <v>2016</v>
      </c>
      <c r="E2317" t="s">
        <v>38</v>
      </c>
      <c r="F2317" t="s">
        <v>143</v>
      </c>
      <c r="G2317" t="s">
        <v>10</v>
      </c>
      <c r="H2317" s="72" t="s">
        <v>203</v>
      </c>
      <c r="I2317" s="72" t="s">
        <v>45</v>
      </c>
      <c r="J2317" t="str">
        <f t="shared" si="76"/>
        <v>Green - Duwamish River</v>
      </c>
      <c r="K2317" t="str">
        <f>IFERROR(VLOOKUP(J2317,LUTs!$A$1:$C$73,2,FALSE),"NA")</f>
        <v>King</v>
      </c>
      <c r="L2317" t="str">
        <f>IFERROR(VLOOKUP(J2317,LUTs!$A$1:$C$73,3,FALSE),"NA")</f>
        <v>3South Puget Sound</v>
      </c>
      <c r="M2317" s="72" t="s">
        <v>13</v>
      </c>
      <c r="N2317" t="str">
        <f>VLOOKUP(M2317,LUTs!E$2:H$14,3,)</f>
        <v>01Whatcom</v>
      </c>
      <c r="O2317" t="str">
        <f>VLOOKUP(M2317,LUTs!E$2:H$14,4,)</f>
        <v>01North Puget Sound</v>
      </c>
      <c r="P2317" s="73">
        <v>9.8306451612903203</v>
      </c>
      <c r="Q2317" s="74">
        <f>VLOOKUP(B2317,Readme!A$40:C$51,2,)*P2317</f>
        <v>85.035080645161273</v>
      </c>
    </row>
    <row r="2318" spans="1:17" ht="12" customHeight="1" x14ac:dyDescent="0.35">
      <c r="A2318" s="75">
        <v>2317</v>
      </c>
      <c r="B2318" s="64">
        <v>2016</v>
      </c>
      <c r="C2318" s="64">
        <v>12</v>
      </c>
      <c r="D2318" s="80">
        <f t="shared" si="75"/>
        <v>2016</v>
      </c>
      <c r="E2318" t="s">
        <v>38</v>
      </c>
      <c r="F2318" t="s">
        <v>143</v>
      </c>
      <c r="G2318" t="s">
        <v>10</v>
      </c>
      <c r="H2318" s="72" t="s">
        <v>203</v>
      </c>
      <c r="I2318" s="72" t="s">
        <v>45</v>
      </c>
      <c r="J2318" t="str">
        <f t="shared" si="76"/>
        <v>Green - Duwamish River</v>
      </c>
      <c r="K2318" t="str">
        <f>IFERROR(VLOOKUP(J2318,LUTs!$A$1:$C$73,2,FALSE),"NA")</f>
        <v>King</v>
      </c>
      <c r="L2318" t="str">
        <f>IFERROR(VLOOKUP(J2318,LUTs!$A$1:$C$73,3,FALSE),"NA")</f>
        <v>3South Puget Sound</v>
      </c>
      <c r="M2318" s="72" t="s">
        <v>18</v>
      </c>
      <c r="N2318" t="str">
        <f>VLOOKUP(M2318,LUTs!E$2:H$14,3,)</f>
        <v>06King</v>
      </c>
      <c r="O2318" t="str">
        <f>VLOOKUP(M2318,LUTs!E$2:H$14,4,)</f>
        <v>02South Puget Sound</v>
      </c>
      <c r="P2318" s="73">
        <v>17.3333333333333</v>
      </c>
      <c r="Q2318" s="74">
        <f>VLOOKUP(B2318,Readme!A$40:C$51,2,)*P2318</f>
        <v>149.93333333333305</v>
      </c>
    </row>
    <row r="2319" spans="1:17" ht="12" customHeight="1" x14ac:dyDescent="0.35">
      <c r="A2319" s="75">
        <v>2318</v>
      </c>
      <c r="B2319" s="64">
        <v>2016</v>
      </c>
      <c r="C2319" s="64">
        <v>12</v>
      </c>
      <c r="D2319" s="80">
        <f t="shared" si="75"/>
        <v>2016</v>
      </c>
      <c r="E2319" t="s">
        <v>38</v>
      </c>
      <c r="F2319" t="s">
        <v>143</v>
      </c>
      <c r="G2319" t="s">
        <v>10</v>
      </c>
      <c r="H2319" s="72" t="s">
        <v>203</v>
      </c>
      <c r="I2319" s="72" t="s">
        <v>45</v>
      </c>
      <c r="J2319" t="str">
        <f t="shared" si="76"/>
        <v>Green - Duwamish River</v>
      </c>
      <c r="K2319" t="str">
        <f>IFERROR(VLOOKUP(J2319,LUTs!$A$1:$C$73,2,FALSE),"NA")</f>
        <v>King</v>
      </c>
      <c r="L2319" t="str">
        <f>IFERROR(VLOOKUP(J2319,LUTs!$A$1:$C$73,3,FALSE),"NA")</f>
        <v>3South Puget Sound</v>
      </c>
      <c r="M2319" s="72" t="s">
        <v>20</v>
      </c>
      <c r="N2319" t="str">
        <f>VLOOKUP(M2319,LUTs!E$2:H$14,3,)</f>
        <v>07Pierce</v>
      </c>
      <c r="O2319" t="str">
        <f>VLOOKUP(M2319,LUTs!E$2:H$14,4,)</f>
        <v>02South Puget Sound</v>
      </c>
      <c r="P2319" s="73">
        <v>8.6666666666666696</v>
      </c>
      <c r="Q2319" s="74">
        <f>VLOOKUP(B2319,Readme!A$40:C$51,2,)*P2319</f>
        <v>74.966666666666697</v>
      </c>
    </row>
    <row r="2320" spans="1:17" ht="12" customHeight="1" x14ac:dyDescent="0.35">
      <c r="A2320" s="75">
        <v>2319</v>
      </c>
      <c r="B2320" s="64">
        <v>2016</v>
      </c>
      <c r="C2320" s="64">
        <v>10</v>
      </c>
      <c r="D2320" s="80">
        <f t="shared" si="75"/>
        <v>2016</v>
      </c>
      <c r="E2320" t="s">
        <v>38</v>
      </c>
      <c r="F2320" t="s">
        <v>143</v>
      </c>
      <c r="G2320" t="s">
        <v>10</v>
      </c>
      <c r="H2320" s="72" t="s">
        <v>205</v>
      </c>
      <c r="I2320" s="72" t="s">
        <v>47</v>
      </c>
      <c r="J2320" t="str">
        <f t="shared" si="76"/>
        <v>Kennedy Creek</v>
      </c>
      <c r="K2320" t="str">
        <f>IFERROR(VLOOKUP(J2320,LUTs!$A$1:$C$73,2,FALSE),"NA")</f>
        <v>Mason/Thurston</v>
      </c>
      <c r="L2320" t="str">
        <f>IFERROR(VLOOKUP(J2320,LUTs!$A$1:$C$73,3,FALSE),"NA")</f>
        <v>3South Puget Sound</v>
      </c>
      <c r="M2320" s="72" t="s">
        <v>26</v>
      </c>
      <c r="N2320" t="str">
        <f>VLOOKUP(M2320,LUTs!E$2:H$14,3,)</f>
        <v>20Other</v>
      </c>
      <c r="O2320" t="str">
        <f>VLOOKUP(M2320,LUTs!E$2:H$14,4,)</f>
        <v>07Non Puget Sound</v>
      </c>
      <c r="P2320" s="73">
        <v>10.199999999999999</v>
      </c>
      <c r="Q2320" s="74">
        <f>VLOOKUP(B2320,Readme!A$40:C$51,2,)*P2320</f>
        <v>88.23</v>
      </c>
    </row>
    <row r="2321" spans="1:17" ht="12" customHeight="1" x14ac:dyDescent="0.35">
      <c r="A2321" s="75">
        <v>2320</v>
      </c>
      <c r="B2321" s="64">
        <v>2016</v>
      </c>
      <c r="C2321" s="64">
        <v>10</v>
      </c>
      <c r="D2321" s="80">
        <f t="shared" si="75"/>
        <v>2016</v>
      </c>
      <c r="E2321" t="s">
        <v>38</v>
      </c>
      <c r="F2321" t="s">
        <v>143</v>
      </c>
      <c r="G2321" t="s">
        <v>10</v>
      </c>
      <c r="H2321" s="72" t="s">
        <v>205</v>
      </c>
      <c r="I2321" s="72" t="s">
        <v>47</v>
      </c>
      <c r="J2321" t="str">
        <f t="shared" si="76"/>
        <v>Kennedy Creek</v>
      </c>
      <c r="K2321" t="str">
        <f>IFERROR(VLOOKUP(J2321,LUTs!$A$1:$C$73,2,FALSE),"NA")</f>
        <v>Mason/Thurston</v>
      </c>
      <c r="L2321" t="str">
        <f>IFERROR(VLOOKUP(J2321,LUTs!$A$1:$C$73,3,FALSE),"NA")</f>
        <v>3South Puget Sound</v>
      </c>
      <c r="M2321" s="72" t="s">
        <v>21</v>
      </c>
      <c r="N2321" t="str">
        <f>VLOOKUP(M2321,LUTs!E$2:H$14,3,)</f>
        <v>08Thurston</v>
      </c>
      <c r="O2321" t="str">
        <f>VLOOKUP(M2321,LUTs!E$2:H$14,4,)</f>
        <v>02South Puget Sound</v>
      </c>
      <c r="P2321" s="73">
        <v>40.799999999999997</v>
      </c>
      <c r="Q2321" s="74">
        <f>VLOOKUP(B2321,Readme!A$40:C$51,2,)*P2321</f>
        <v>352.92</v>
      </c>
    </row>
    <row r="2322" spans="1:17" ht="12" customHeight="1" x14ac:dyDescent="0.35">
      <c r="A2322" s="75">
        <v>2321</v>
      </c>
      <c r="B2322" s="64">
        <v>2016</v>
      </c>
      <c r="C2322" s="64">
        <v>11</v>
      </c>
      <c r="D2322" s="80">
        <f t="shared" si="75"/>
        <v>2016</v>
      </c>
      <c r="E2322" t="s">
        <v>38</v>
      </c>
      <c r="F2322" t="s">
        <v>143</v>
      </c>
      <c r="G2322" t="s">
        <v>10</v>
      </c>
      <c r="H2322" s="72" t="s">
        <v>205</v>
      </c>
      <c r="I2322" s="72" t="s">
        <v>47</v>
      </c>
      <c r="J2322" t="str">
        <f t="shared" si="76"/>
        <v>Kennedy Creek</v>
      </c>
      <c r="K2322" t="str">
        <f>IFERROR(VLOOKUP(J2322,LUTs!$A$1:$C$73,2,FALSE),"NA")</f>
        <v>Mason/Thurston</v>
      </c>
      <c r="L2322" t="str">
        <f>IFERROR(VLOOKUP(J2322,LUTs!$A$1:$C$73,3,FALSE),"NA")</f>
        <v>3South Puget Sound</v>
      </c>
      <c r="M2322" s="72" t="s">
        <v>18</v>
      </c>
      <c r="N2322" t="str">
        <f>VLOOKUP(M2322,LUTs!E$2:H$14,3,)</f>
        <v>06King</v>
      </c>
      <c r="O2322" t="str">
        <f>VLOOKUP(M2322,LUTs!E$2:H$14,4,)</f>
        <v>02South Puget Sound</v>
      </c>
      <c r="P2322" s="73">
        <v>40.827586206896598</v>
      </c>
      <c r="Q2322" s="74">
        <f>VLOOKUP(B2322,Readme!A$40:C$51,2,)*P2322</f>
        <v>353.15862068965561</v>
      </c>
    </row>
    <row r="2323" spans="1:17" ht="12" customHeight="1" x14ac:dyDescent="0.35">
      <c r="A2323" s="75">
        <v>2322</v>
      </c>
      <c r="B2323" s="64">
        <v>2016</v>
      </c>
      <c r="C2323" s="64">
        <v>11</v>
      </c>
      <c r="D2323" s="80">
        <f t="shared" si="75"/>
        <v>2016</v>
      </c>
      <c r="E2323" t="s">
        <v>38</v>
      </c>
      <c r="F2323" t="s">
        <v>143</v>
      </c>
      <c r="G2323" t="s">
        <v>10</v>
      </c>
      <c r="H2323" s="72" t="s">
        <v>205</v>
      </c>
      <c r="I2323" s="72" t="s">
        <v>47</v>
      </c>
      <c r="J2323" t="str">
        <f t="shared" si="76"/>
        <v>Kennedy Creek</v>
      </c>
      <c r="K2323" t="str">
        <f>IFERROR(VLOOKUP(J2323,LUTs!$A$1:$C$73,2,FALSE),"NA")</f>
        <v>Mason/Thurston</v>
      </c>
      <c r="L2323" t="str">
        <f>IFERROR(VLOOKUP(J2323,LUTs!$A$1:$C$73,3,FALSE),"NA")</f>
        <v>3South Puget Sound</v>
      </c>
      <c r="M2323" s="72" t="s">
        <v>22</v>
      </c>
      <c r="N2323" t="str">
        <f>VLOOKUP(M2323,LUTs!E$2:H$14,3,)</f>
        <v>09Mason</v>
      </c>
      <c r="O2323" t="str">
        <f>VLOOKUP(M2323,LUTs!E$2:H$14,4,)</f>
        <v>02South Puget Sound</v>
      </c>
      <c r="P2323" s="73">
        <v>10.2068965517241</v>
      </c>
      <c r="Q2323" s="74">
        <f>VLOOKUP(B2323,Readme!A$40:C$51,2,)*P2323</f>
        <v>88.289655172413461</v>
      </c>
    </row>
    <row r="2324" spans="1:17" ht="12" customHeight="1" x14ac:dyDescent="0.35">
      <c r="A2324" s="75">
        <v>2323</v>
      </c>
      <c r="B2324" s="64">
        <v>2016</v>
      </c>
      <c r="C2324" s="64">
        <v>11</v>
      </c>
      <c r="D2324" s="80">
        <f t="shared" si="75"/>
        <v>2016</v>
      </c>
      <c r="E2324" t="s">
        <v>38</v>
      </c>
      <c r="F2324" t="s">
        <v>143</v>
      </c>
      <c r="G2324" t="s">
        <v>10</v>
      </c>
      <c r="H2324" s="72" t="s">
        <v>205</v>
      </c>
      <c r="I2324" s="72" t="s">
        <v>47</v>
      </c>
      <c r="J2324" t="str">
        <f t="shared" si="76"/>
        <v>Kennedy Creek</v>
      </c>
      <c r="K2324" t="str">
        <f>IFERROR(VLOOKUP(J2324,LUTs!$A$1:$C$73,2,FALSE),"NA")</f>
        <v>Mason/Thurston</v>
      </c>
      <c r="L2324" t="str">
        <f>IFERROR(VLOOKUP(J2324,LUTs!$A$1:$C$73,3,FALSE),"NA")</f>
        <v>3South Puget Sound</v>
      </c>
      <c r="M2324" s="72" t="s">
        <v>26</v>
      </c>
      <c r="N2324" t="str">
        <f>VLOOKUP(M2324,LUTs!E$2:H$14,3,)</f>
        <v>20Other</v>
      </c>
      <c r="O2324" t="str">
        <f>VLOOKUP(M2324,LUTs!E$2:H$14,4,)</f>
        <v>07Non Puget Sound</v>
      </c>
      <c r="P2324" s="73">
        <v>10.2068965517241</v>
      </c>
      <c r="Q2324" s="74">
        <f>VLOOKUP(B2324,Readme!A$40:C$51,2,)*P2324</f>
        <v>88.289655172413461</v>
      </c>
    </row>
    <row r="2325" spans="1:17" ht="12" customHeight="1" x14ac:dyDescent="0.35">
      <c r="A2325" s="75">
        <v>2324</v>
      </c>
      <c r="B2325" s="64">
        <v>2016</v>
      </c>
      <c r="C2325" s="64">
        <v>11</v>
      </c>
      <c r="D2325" s="80">
        <f t="shared" si="75"/>
        <v>2016</v>
      </c>
      <c r="E2325" t="s">
        <v>38</v>
      </c>
      <c r="F2325" t="s">
        <v>143</v>
      </c>
      <c r="G2325" t="s">
        <v>10</v>
      </c>
      <c r="H2325" s="72" t="s">
        <v>205</v>
      </c>
      <c r="I2325" s="72" t="s">
        <v>47</v>
      </c>
      <c r="J2325" t="str">
        <f t="shared" si="76"/>
        <v>Kennedy Creek</v>
      </c>
      <c r="K2325" t="str">
        <f>IFERROR(VLOOKUP(J2325,LUTs!$A$1:$C$73,2,FALSE),"NA")</f>
        <v>Mason/Thurston</v>
      </c>
      <c r="L2325" t="str">
        <f>IFERROR(VLOOKUP(J2325,LUTs!$A$1:$C$73,3,FALSE),"NA")</f>
        <v>3South Puget Sound</v>
      </c>
      <c r="M2325" s="72" t="s">
        <v>20</v>
      </c>
      <c r="N2325" t="str">
        <f>VLOOKUP(M2325,LUTs!E$2:H$14,3,)</f>
        <v>07Pierce</v>
      </c>
      <c r="O2325" t="str">
        <f>VLOOKUP(M2325,LUTs!E$2:H$14,4,)</f>
        <v>02South Puget Sound</v>
      </c>
      <c r="P2325" s="73">
        <v>30.620689655172399</v>
      </c>
      <c r="Q2325" s="74">
        <f>VLOOKUP(B2325,Readme!A$40:C$51,2,)*P2325</f>
        <v>264.86896551724124</v>
      </c>
    </row>
    <row r="2326" spans="1:17" ht="12" customHeight="1" x14ac:dyDescent="0.35">
      <c r="A2326" s="75">
        <v>2325</v>
      </c>
      <c r="B2326" s="64">
        <v>2016</v>
      </c>
      <c r="C2326" s="64">
        <v>11</v>
      </c>
      <c r="D2326" s="80">
        <f t="shared" si="75"/>
        <v>2016</v>
      </c>
      <c r="E2326" t="s">
        <v>38</v>
      </c>
      <c r="F2326" t="s">
        <v>143</v>
      </c>
      <c r="G2326" t="s">
        <v>10</v>
      </c>
      <c r="H2326" s="72" t="s">
        <v>205</v>
      </c>
      <c r="I2326" s="72" t="s">
        <v>47</v>
      </c>
      <c r="J2326" t="str">
        <f t="shared" si="76"/>
        <v>Kennedy Creek</v>
      </c>
      <c r="K2326" t="str">
        <f>IFERROR(VLOOKUP(J2326,LUTs!$A$1:$C$73,2,FALSE),"NA")</f>
        <v>Mason/Thurston</v>
      </c>
      <c r="L2326" t="str">
        <f>IFERROR(VLOOKUP(J2326,LUTs!$A$1:$C$73,3,FALSE),"NA")</f>
        <v>3South Puget Sound</v>
      </c>
      <c r="M2326" s="72" t="s">
        <v>21</v>
      </c>
      <c r="N2326" t="str">
        <f>VLOOKUP(M2326,LUTs!E$2:H$14,3,)</f>
        <v>08Thurston</v>
      </c>
      <c r="O2326" t="str">
        <f>VLOOKUP(M2326,LUTs!E$2:H$14,4,)</f>
        <v>02South Puget Sound</v>
      </c>
      <c r="P2326" s="73">
        <v>204.13793103448299</v>
      </c>
      <c r="Q2326" s="74">
        <f>VLOOKUP(B2326,Readme!A$40:C$51,2,)*P2326</f>
        <v>1765.7931034482779</v>
      </c>
    </row>
    <row r="2327" spans="1:17" ht="12" customHeight="1" x14ac:dyDescent="0.35">
      <c r="A2327" s="75">
        <v>2326</v>
      </c>
      <c r="B2327" s="64">
        <v>2016</v>
      </c>
      <c r="C2327" s="64">
        <v>9</v>
      </c>
      <c r="D2327" s="80">
        <f t="shared" si="75"/>
        <v>2016</v>
      </c>
      <c r="E2327" t="s">
        <v>38</v>
      </c>
      <c r="F2327" t="s">
        <v>143</v>
      </c>
      <c r="G2327" t="s">
        <v>10</v>
      </c>
      <c r="H2327" s="72" t="s">
        <v>206</v>
      </c>
      <c r="I2327" s="72" t="s">
        <v>48</v>
      </c>
      <c r="J2327" t="str">
        <f t="shared" si="76"/>
        <v>Lake Washington</v>
      </c>
      <c r="K2327" t="str">
        <f>IFERROR(VLOOKUP(J2327,LUTs!$A$1:$C$73,2,FALSE),"NA")</f>
        <v>King</v>
      </c>
      <c r="L2327" t="str">
        <f>IFERROR(VLOOKUP(J2327,LUTs!$A$1:$C$73,3,FALSE),"NA")</f>
        <v>2Central Puget Sound</v>
      </c>
      <c r="M2327" s="72" t="s">
        <v>18</v>
      </c>
      <c r="N2327" t="str">
        <f>VLOOKUP(M2327,LUTs!E$2:H$14,3,)</f>
        <v>06King</v>
      </c>
      <c r="O2327" t="str">
        <f>VLOOKUP(M2327,LUTs!E$2:H$14,4,)</f>
        <v>02South Puget Sound</v>
      </c>
      <c r="P2327" s="73">
        <v>282</v>
      </c>
      <c r="Q2327" s="74">
        <f>VLOOKUP(B2327,Readme!A$40:C$51,2,)*P2327</f>
        <v>2439.3000000000002</v>
      </c>
    </row>
    <row r="2328" spans="1:17" ht="12" customHeight="1" x14ac:dyDescent="0.35">
      <c r="A2328" s="75">
        <v>2327</v>
      </c>
      <c r="B2328" s="64">
        <v>2016</v>
      </c>
      <c r="C2328" s="64">
        <v>9</v>
      </c>
      <c r="D2328" s="80">
        <f t="shared" si="75"/>
        <v>2016</v>
      </c>
      <c r="E2328" t="s">
        <v>38</v>
      </c>
      <c r="F2328" t="s">
        <v>143</v>
      </c>
      <c r="G2328" t="s">
        <v>10</v>
      </c>
      <c r="H2328" s="72" t="s">
        <v>206</v>
      </c>
      <c r="I2328" s="72" t="s">
        <v>48</v>
      </c>
      <c r="J2328" t="str">
        <f t="shared" si="76"/>
        <v>Lake Washington</v>
      </c>
      <c r="K2328" t="str">
        <f>IFERROR(VLOOKUP(J2328,LUTs!$A$1:$C$73,2,FALSE),"NA")</f>
        <v>King</v>
      </c>
      <c r="L2328" t="str">
        <f>IFERROR(VLOOKUP(J2328,LUTs!$A$1:$C$73,3,FALSE),"NA")</f>
        <v>2Central Puget Sound</v>
      </c>
      <c r="M2328" s="72" t="s">
        <v>16</v>
      </c>
      <c r="N2328" t="str">
        <f>VLOOKUP(M2328,LUTs!E$2:H$14,3,)</f>
        <v>03Snohomish</v>
      </c>
      <c r="O2328" t="str">
        <f>VLOOKUP(M2328,LUTs!E$2:H$14,4,)</f>
        <v>01North Puget Sound</v>
      </c>
      <c r="P2328" s="73">
        <v>94</v>
      </c>
      <c r="Q2328" s="74">
        <f>VLOOKUP(B2328,Readme!A$40:C$51,2,)*P2328</f>
        <v>813.1</v>
      </c>
    </row>
    <row r="2329" spans="1:17" ht="12" customHeight="1" x14ac:dyDescent="0.35">
      <c r="A2329" s="75">
        <v>2328</v>
      </c>
      <c r="B2329" s="64">
        <v>2016</v>
      </c>
      <c r="C2329" s="64">
        <v>10</v>
      </c>
      <c r="D2329" s="80">
        <f t="shared" si="75"/>
        <v>2016</v>
      </c>
      <c r="E2329" t="s">
        <v>38</v>
      </c>
      <c r="F2329" t="s">
        <v>143</v>
      </c>
      <c r="G2329" t="s">
        <v>10</v>
      </c>
      <c r="H2329" s="72" t="s">
        <v>206</v>
      </c>
      <c r="I2329" s="72" t="s">
        <v>48</v>
      </c>
      <c r="J2329" t="str">
        <f t="shared" si="76"/>
        <v>Lake Washington</v>
      </c>
      <c r="K2329" t="str">
        <f>IFERROR(VLOOKUP(J2329,LUTs!$A$1:$C$73,2,FALSE),"NA")</f>
        <v>King</v>
      </c>
      <c r="L2329" t="str">
        <f>IFERROR(VLOOKUP(J2329,LUTs!$A$1:$C$73,3,FALSE),"NA")</f>
        <v>2Central Puget Sound</v>
      </c>
      <c r="M2329" s="72" t="s">
        <v>18</v>
      </c>
      <c r="N2329" t="str">
        <f>VLOOKUP(M2329,LUTs!E$2:H$14,3,)</f>
        <v>06King</v>
      </c>
      <c r="O2329" t="str">
        <f>VLOOKUP(M2329,LUTs!E$2:H$14,4,)</f>
        <v>02South Puget Sound</v>
      </c>
      <c r="P2329" s="73">
        <v>355.5</v>
      </c>
      <c r="Q2329" s="74">
        <f>VLOOKUP(B2329,Readme!A$40:C$51,2,)*P2329</f>
        <v>3075.0750000000003</v>
      </c>
    </row>
    <row r="2330" spans="1:17" ht="12" customHeight="1" x14ac:dyDescent="0.35">
      <c r="A2330" s="75">
        <v>2329</v>
      </c>
      <c r="B2330" s="64">
        <v>2016</v>
      </c>
      <c r="C2330" s="64">
        <v>10</v>
      </c>
      <c r="D2330" s="80">
        <f t="shared" si="75"/>
        <v>2016</v>
      </c>
      <c r="E2330" t="s">
        <v>38</v>
      </c>
      <c r="F2330" t="s">
        <v>143</v>
      </c>
      <c r="G2330" t="s">
        <v>10</v>
      </c>
      <c r="H2330" s="72" t="s">
        <v>206</v>
      </c>
      <c r="I2330" s="72" t="s">
        <v>48</v>
      </c>
      <c r="J2330" t="str">
        <f t="shared" si="76"/>
        <v>Lake Washington</v>
      </c>
      <c r="K2330" t="str">
        <f>IFERROR(VLOOKUP(J2330,LUTs!$A$1:$C$73,2,FALSE),"NA")</f>
        <v>King</v>
      </c>
      <c r="L2330" t="str">
        <f>IFERROR(VLOOKUP(J2330,LUTs!$A$1:$C$73,3,FALSE),"NA")</f>
        <v>2Central Puget Sound</v>
      </c>
      <c r="M2330" s="72" t="s">
        <v>16</v>
      </c>
      <c r="N2330" t="str">
        <f>VLOOKUP(M2330,LUTs!E$2:H$14,3,)</f>
        <v>03Snohomish</v>
      </c>
      <c r="O2330" t="str">
        <f>VLOOKUP(M2330,LUTs!E$2:H$14,4,)</f>
        <v>01North Puget Sound</v>
      </c>
      <c r="P2330" s="73">
        <v>39.5</v>
      </c>
      <c r="Q2330" s="74">
        <f>VLOOKUP(B2330,Readme!A$40:C$51,2,)*P2330</f>
        <v>341.67500000000001</v>
      </c>
    </row>
    <row r="2331" spans="1:17" ht="12" customHeight="1" x14ac:dyDescent="0.35">
      <c r="A2331" s="75">
        <v>2330</v>
      </c>
      <c r="B2331" s="64">
        <v>2016</v>
      </c>
      <c r="C2331" s="64">
        <v>11</v>
      </c>
      <c r="D2331" s="80">
        <f t="shared" si="75"/>
        <v>2016</v>
      </c>
      <c r="E2331" t="s">
        <v>38</v>
      </c>
      <c r="F2331" t="s">
        <v>143</v>
      </c>
      <c r="G2331" t="s">
        <v>10</v>
      </c>
      <c r="H2331" s="72" t="s">
        <v>208</v>
      </c>
      <c r="I2331" s="72" t="s">
        <v>50</v>
      </c>
      <c r="J2331" t="str">
        <f t="shared" si="76"/>
        <v>Minter Creek</v>
      </c>
      <c r="K2331" t="str">
        <f>IFERROR(VLOOKUP(J2331,LUTs!$A$1:$C$73,2,FALSE),"NA")</f>
        <v>Kitsap/Pierce</v>
      </c>
      <c r="L2331" t="str">
        <f>IFERROR(VLOOKUP(J2331,LUTs!$A$1:$C$73,3,FALSE),"NA")</f>
        <v>3South Puget Sound</v>
      </c>
      <c r="M2331" s="72" t="s">
        <v>18</v>
      </c>
      <c r="N2331" t="str">
        <f>VLOOKUP(M2331,LUTs!E$2:H$14,3,)</f>
        <v>06King</v>
      </c>
      <c r="O2331" t="str">
        <f>VLOOKUP(M2331,LUTs!E$2:H$14,4,)</f>
        <v>02South Puget Sound</v>
      </c>
      <c r="P2331" s="73">
        <v>1754.9639889196701</v>
      </c>
      <c r="Q2331" s="74">
        <f>VLOOKUP(B2331,Readme!A$40:C$51,2,)*P2331</f>
        <v>15180.438504155147</v>
      </c>
    </row>
    <row r="2332" spans="1:17" ht="12" customHeight="1" x14ac:dyDescent="0.35">
      <c r="A2332" s="75">
        <v>2331</v>
      </c>
      <c r="B2332" s="64">
        <v>2016</v>
      </c>
      <c r="C2332" s="64">
        <v>11</v>
      </c>
      <c r="D2332" s="80">
        <f t="shared" si="75"/>
        <v>2016</v>
      </c>
      <c r="E2332" t="s">
        <v>38</v>
      </c>
      <c r="F2332" t="s">
        <v>143</v>
      </c>
      <c r="G2332" t="s">
        <v>10</v>
      </c>
      <c r="H2332" s="72" t="s">
        <v>208</v>
      </c>
      <c r="I2332" s="72" t="s">
        <v>50</v>
      </c>
      <c r="J2332" t="str">
        <f t="shared" si="76"/>
        <v>Minter Creek</v>
      </c>
      <c r="K2332" t="str">
        <f>IFERROR(VLOOKUP(J2332,LUTs!$A$1:$C$73,2,FALSE),"NA")</f>
        <v>Kitsap/Pierce</v>
      </c>
      <c r="L2332" t="str">
        <f>IFERROR(VLOOKUP(J2332,LUTs!$A$1:$C$73,3,FALSE),"NA")</f>
        <v>3South Puget Sound</v>
      </c>
      <c r="M2332" s="72" t="s">
        <v>23</v>
      </c>
      <c r="N2332" t="str">
        <f>VLOOKUP(M2332,LUTs!E$2:H$14,3,)</f>
        <v>10Kitsap</v>
      </c>
      <c r="O2332" t="str">
        <f>VLOOKUP(M2332,LUTs!E$2:H$14,4,)</f>
        <v>02South Puget Sound</v>
      </c>
      <c r="P2332" s="73">
        <v>77.141274238227197</v>
      </c>
      <c r="Q2332" s="74">
        <f>VLOOKUP(B2332,Readme!A$40:C$51,2,)*P2332</f>
        <v>667.2720221606653</v>
      </c>
    </row>
    <row r="2333" spans="1:17" ht="12" customHeight="1" x14ac:dyDescent="0.35">
      <c r="A2333" s="75">
        <v>2332</v>
      </c>
      <c r="B2333" s="64">
        <v>2016</v>
      </c>
      <c r="C2333" s="64">
        <v>11</v>
      </c>
      <c r="D2333" s="80">
        <f t="shared" si="75"/>
        <v>2016</v>
      </c>
      <c r="E2333" t="s">
        <v>38</v>
      </c>
      <c r="F2333" t="s">
        <v>143</v>
      </c>
      <c r="G2333" t="s">
        <v>10</v>
      </c>
      <c r="H2333" s="72" t="s">
        <v>208</v>
      </c>
      <c r="I2333" s="72" t="s">
        <v>50</v>
      </c>
      <c r="J2333" t="str">
        <f t="shared" si="76"/>
        <v>Minter Creek</v>
      </c>
      <c r="K2333" t="str">
        <f>IFERROR(VLOOKUP(J2333,LUTs!$A$1:$C$73,2,FALSE),"NA")</f>
        <v>Kitsap/Pierce</v>
      </c>
      <c r="L2333" t="str">
        <f>IFERROR(VLOOKUP(J2333,LUTs!$A$1:$C$73,3,FALSE),"NA")</f>
        <v>3South Puget Sound</v>
      </c>
      <c r="M2333" s="72" t="s">
        <v>26</v>
      </c>
      <c r="N2333" t="str">
        <f>VLOOKUP(M2333,LUTs!E$2:H$14,3,)</f>
        <v>20Other</v>
      </c>
      <c r="O2333" t="str">
        <f>VLOOKUP(M2333,LUTs!E$2:H$14,4,)</f>
        <v>07Non Puget Sound</v>
      </c>
      <c r="P2333" s="73">
        <v>443.56232686980599</v>
      </c>
      <c r="Q2333" s="74">
        <f>VLOOKUP(B2333,Readme!A$40:C$51,2,)*P2333</f>
        <v>3836.8141274238219</v>
      </c>
    </row>
    <row r="2334" spans="1:17" ht="12" customHeight="1" x14ac:dyDescent="0.35">
      <c r="A2334" s="75">
        <v>2333</v>
      </c>
      <c r="B2334" s="64">
        <v>2016</v>
      </c>
      <c r="C2334" s="64">
        <v>11</v>
      </c>
      <c r="D2334" s="80">
        <f t="shared" si="75"/>
        <v>2016</v>
      </c>
      <c r="E2334" t="s">
        <v>38</v>
      </c>
      <c r="F2334" t="s">
        <v>143</v>
      </c>
      <c r="G2334" t="s">
        <v>10</v>
      </c>
      <c r="H2334" s="72" t="s">
        <v>208</v>
      </c>
      <c r="I2334" s="72" t="s">
        <v>50</v>
      </c>
      <c r="J2334" t="str">
        <f t="shared" si="76"/>
        <v>Minter Creek</v>
      </c>
      <c r="K2334" t="str">
        <f>IFERROR(VLOOKUP(J2334,LUTs!$A$1:$C$73,2,FALSE),"NA")</f>
        <v>Kitsap/Pierce</v>
      </c>
      <c r="L2334" t="str">
        <f>IFERROR(VLOOKUP(J2334,LUTs!$A$1:$C$73,3,FALSE),"NA")</f>
        <v>3South Puget Sound</v>
      </c>
      <c r="M2334" s="72" t="s">
        <v>20</v>
      </c>
      <c r="N2334" t="str">
        <f>VLOOKUP(M2334,LUTs!E$2:H$14,3,)</f>
        <v>07Pierce</v>
      </c>
      <c r="O2334" t="str">
        <f>VLOOKUP(M2334,LUTs!E$2:H$14,4,)</f>
        <v>02South Puget Sound</v>
      </c>
      <c r="P2334" s="73">
        <v>1108.9058171745201</v>
      </c>
      <c r="Q2334" s="74">
        <f>VLOOKUP(B2334,Readme!A$40:C$51,2,)*P2334</f>
        <v>9592.0353185595995</v>
      </c>
    </row>
    <row r="2335" spans="1:17" ht="12" customHeight="1" x14ac:dyDescent="0.35">
      <c r="A2335" s="75">
        <v>2334</v>
      </c>
      <c r="B2335" s="64">
        <v>2016</v>
      </c>
      <c r="C2335" s="64">
        <v>11</v>
      </c>
      <c r="D2335" s="80">
        <f t="shared" si="75"/>
        <v>2016</v>
      </c>
      <c r="E2335" t="s">
        <v>38</v>
      </c>
      <c r="F2335" t="s">
        <v>143</v>
      </c>
      <c r="G2335" t="s">
        <v>10</v>
      </c>
      <c r="H2335" s="72" t="s">
        <v>208</v>
      </c>
      <c r="I2335" s="72" t="s">
        <v>50</v>
      </c>
      <c r="J2335" t="str">
        <f t="shared" si="76"/>
        <v>Minter Creek</v>
      </c>
      <c r="K2335" t="str">
        <f>IFERROR(VLOOKUP(J2335,LUTs!$A$1:$C$73,2,FALSE),"NA")</f>
        <v>Kitsap/Pierce</v>
      </c>
      <c r="L2335" t="str">
        <f>IFERROR(VLOOKUP(J2335,LUTs!$A$1:$C$73,3,FALSE),"NA")</f>
        <v>3South Puget Sound</v>
      </c>
      <c r="M2335" s="72" t="s">
        <v>16</v>
      </c>
      <c r="N2335" t="str">
        <f>VLOOKUP(M2335,LUTs!E$2:H$14,3,)</f>
        <v>03Snohomish</v>
      </c>
      <c r="O2335" t="str">
        <f>VLOOKUP(M2335,LUTs!E$2:H$14,4,)</f>
        <v>01North Puget Sound</v>
      </c>
      <c r="P2335" s="73">
        <v>38.570637119113599</v>
      </c>
      <c r="Q2335" s="74">
        <f>VLOOKUP(B2335,Readme!A$40:C$51,2,)*P2335</f>
        <v>333.63601108033265</v>
      </c>
    </row>
    <row r="2336" spans="1:17" ht="12" customHeight="1" x14ac:dyDescent="0.35">
      <c r="A2336" s="75">
        <v>2335</v>
      </c>
      <c r="B2336" s="64">
        <v>2016</v>
      </c>
      <c r="C2336" s="64">
        <v>11</v>
      </c>
      <c r="D2336" s="80">
        <f t="shared" si="75"/>
        <v>2016</v>
      </c>
      <c r="E2336" t="s">
        <v>38</v>
      </c>
      <c r="F2336" t="s">
        <v>143</v>
      </c>
      <c r="G2336" t="s">
        <v>10</v>
      </c>
      <c r="H2336" s="72" t="s">
        <v>208</v>
      </c>
      <c r="I2336" s="72" t="s">
        <v>50</v>
      </c>
      <c r="J2336" t="str">
        <f t="shared" si="76"/>
        <v>Minter Creek</v>
      </c>
      <c r="K2336" t="str">
        <f>IFERROR(VLOOKUP(J2336,LUTs!$A$1:$C$73,2,FALSE),"NA")</f>
        <v>Kitsap/Pierce</v>
      </c>
      <c r="L2336" t="str">
        <f>IFERROR(VLOOKUP(J2336,LUTs!$A$1:$C$73,3,FALSE),"NA")</f>
        <v>3South Puget Sound</v>
      </c>
      <c r="M2336" s="72" t="s">
        <v>21</v>
      </c>
      <c r="N2336" t="str">
        <f>VLOOKUP(M2336,LUTs!E$2:H$14,3,)</f>
        <v>08Thurston</v>
      </c>
      <c r="O2336" t="str">
        <f>VLOOKUP(M2336,LUTs!E$2:H$14,4,)</f>
        <v>02South Puget Sound</v>
      </c>
      <c r="P2336" s="73">
        <v>38.570637119113599</v>
      </c>
      <c r="Q2336" s="74">
        <f>VLOOKUP(B2336,Readme!A$40:C$51,2,)*P2336</f>
        <v>333.63601108033265</v>
      </c>
    </row>
    <row r="2337" spans="1:17" ht="12" customHeight="1" x14ac:dyDescent="0.35">
      <c r="A2337" s="75">
        <v>2336</v>
      </c>
      <c r="B2337" s="64">
        <v>2016</v>
      </c>
      <c r="C2337" s="64">
        <v>11</v>
      </c>
      <c r="D2337" s="80">
        <f t="shared" si="75"/>
        <v>2016</v>
      </c>
      <c r="E2337" t="s">
        <v>38</v>
      </c>
      <c r="F2337" t="s">
        <v>143</v>
      </c>
      <c r="G2337" t="s">
        <v>10</v>
      </c>
      <c r="H2337" s="72" t="s">
        <v>208</v>
      </c>
      <c r="I2337" s="72" t="s">
        <v>50</v>
      </c>
      <c r="J2337" t="str">
        <f t="shared" si="76"/>
        <v>Minter Creek</v>
      </c>
      <c r="K2337" t="str">
        <f>IFERROR(VLOOKUP(J2337,LUTs!$A$1:$C$73,2,FALSE),"NA")</f>
        <v>Kitsap/Pierce</v>
      </c>
      <c r="L2337" t="str">
        <f>IFERROR(VLOOKUP(J2337,LUTs!$A$1:$C$73,3,FALSE),"NA")</f>
        <v>3South Puget Sound</v>
      </c>
      <c r="M2337" s="72" t="s">
        <v>13</v>
      </c>
      <c r="N2337" t="str">
        <f>VLOOKUP(M2337,LUTs!E$2:H$14,3,)</f>
        <v>01Whatcom</v>
      </c>
      <c r="O2337" t="str">
        <f>VLOOKUP(M2337,LUTs!E$2:H$14,4,)</f>
        <v>01North Puget Sound</v>
      </c>
      <c r="P2337" s="73">
        <v>19.285318559556799</v>
      </c>
      <c r="Q2337" s="74">
        <f>VLOOKUP(B2337,Readme!A$40:C$51,2,)*P2337</f>
        <v>166.81800554016633</v>
      </c>
    </row>
    <row r="2338" spans="1:17" ht="12" customHeight="1" x14ac:dyDescent="0.35">
      <c r="A2338" s="75">
        <v>2337</v>
      </c>
      <c r="B2338" s="64">
        <v>2016</v>
      </c>
      <c r="C2338" s="64">
        <v>12</v>
      </c>
      <c r="D2338" s="80">
        <f t="shared" si="75"/>
        <v>2016</v>
      </c>
      <c r="E2338" t="s">
        <v>38</v>
      </c>
      <c r="F2338" t="s">
        <v>143</v>
      </c>
      <c r="G2338" t="s">
        <v>10</v>
      </c>
      <c r="H2338" s="72" t="s">
        <v>208</v>
      </c>
      <c r="I2338" s="72" t="s">
        <v>50</v>
      </c>
      <c r="J2338" t="str">
        <f t="shared" si="76"/>
        <v>Minter Creek</v>
      </c>
      <c r="K2338" t="str">
        <f>IFERROR(VLOOKUP(J2338,LUTs!$A$1:$C$73,2,FALSE),"NA")</f>
        <v>Kitsap/Pierce</v>
      </c>
      <c r="L2338" t="str">
        <f>IFERROR(VLOOKUP(J2338,LUTs!$A$1:$C$73,3,FALSE),"NA")</f>
        <v>3South Puget Sound</v>
      </c>
      <c r="M2338" s="72" t="s">
        <v>18</v>
      </c>
      <c r="N2338" t="str">
        <f>VLOOKUP(M2338,LUTs!E$2:H$14,3,)</f>
        <v>06King</v>
      </c>
      <c r="O2338" t="str">
        <f>VLOOKUP(M2338,LUTs!E$2:H$14,4,)</f>
        <v>02South Puget Sound</v>
      </c>
      <c r="P2338" s="73">
        <v>475.41951219512202</v>
      </c>
      <c r="Q2338" s="74">
        <f>VLOOKUP(B2338,Readme!A$40:C$51,2,)*P2338</f>
        <v>4112.3787804878057</v>
      </c>
    </row>
    <row r="2339" spans="1:17" ht="12" customHeight="1" x14ac:dyDescent="0.35">
      <c r="A2339" s="75">
        <v>2338</v>
      </c>
      <c r="B2339" s="64">
        <v>2016</v>
      </c>
      <c r="C2339" s="64">
        <v>12</v>
      </c>
      <c r="D2339" s="80">
        <f t="shared" si="75"/>
        <v>2016</v>
      </c>
      <c r="E2339" t="s">
        <v>38</v>
      </c>
      <c r="F2339" t="s">
        <v>143</v>
      </c>
      <c r="G2339" t="s">
        <v>10</v>
      </c>
      <c r="H2339" s="72" t="s">
        <v>208</v>
      </c>
      <c r="I2339" s="72" t="s">
        <v>50</v>
      </c>
      <c r="J2339" t="str">
        <f t="shared" si="76"/>
        <v>Minter Creek</v>
      </c>
      <c r="K2339" t="str">
        <f>IFERROR(VLOOKUP(J2339,LUTs!$A$1:$C$73,2,FALSE),"NA")</f>
        <v>Kitsap/Pierce</v>
      </c>
      <c r="L2339" t="str">
        <f>IFERROR(VLOOKUP(J2339,LUTs!$A$1:$C$73,3,FALSE),"NA")</f>
        <v>3South Puget Sound</v>
      </c>
      <c r="M2339" s="72" t="s">
        <v>23</v>
      </c>
      <c r="N2339" t="str">
        <f>VLOOKUP(M2339,LUTs!E$2:H$14,3,)</f>
        <v>10Kitsap</v>
      </c>
      <c r="O2339" t="str">
        <f>VLOOKUP(M2339,LUTs!E$2:H$14,4,)</f>
        <v>02South Puget Sound</v>
      </c>
      <c r="P2339" s="73">
        <v>93.219512195121993</v>
      </c>
      <c r="Q2339" s="74">
        <f>VLOOKUP(B2339,Readme!A$40:C$51,2,)*P2339</f>
        <v>806.34878048780524</v>
      </c>
    </row>
    <row r="2340" spans="1:17" ht="12" customHeight="1" x14ac:dyDescent="0.35">
      <c r="A2340" s="75">
        <v>2339</v>
      </c>
      <c r="B2340" s="64">
        <v>2016</v>
      </c>
      <c r="C2340" s="64">
        <v>12</v>
      </c>
      <c r="D2340" s="80">
        <f t="shared" si="75"/>
        <v>2016</v>
      </c>
      <c r="E2340" t="s">
        <v>38</v>
      </c>
      <c r="F2340" t="s">
        <v>143</v>
      </c>
      <c r="G2340" t="s">
        <v>10</v>
      </c>
      <c r="H2340" s="72" t="s">
        <v>208</v>
      </c>
      <c r="I2340" s="72" t="s">
        <v>50</v>
      </c>
      <c r="J2340" t="str">
        <f t="shared" si="76"/>
        <v>Minter Creek</v>
      </c>
      <c r="K2340" t="str">
        <f>IFERROR(VLOOKUP(J2340,LUTs!$A$1:$C$73,2,FALSE),"NA")</f>
        <v>Kitsap/Pierce</v>
      </c>
      <c r="L2340" t="str">
        <f>IFERROR(VLOOKUP(J2340,LUTs!$A$1:$C$73,3,FALSE),"NA")</f>
        <v>3South Puget Sound</v>
      </c>
      <c r="M2340" s="72" t="s">
        <v>26</v>
      </c>
      <c r="N2340" t="str">
        <f>VLOOKUP(M2340,LUTs!E$2:H$14,3,)</f>
        <v>20Other</v>
      </c>
      <c r="O2340" t="str">
        <f>VLOOKUP(M2340,LUTs!E$2:H$14,4,)</f>
        <v>07Non Puget Sound</v>
      </c>
      <c r="P2340" s="73">
        <v>102.54146341463399</v>
      </c>
      <c r="Q2340" s="74">
        <f>VLOOKUP(B2340,Readme!A$40:C$51,2,)*P2340</f>
        <v>886.98365853658413</v>
      </c>
    </row>
    <row r="2341" spans="1:17" ht="12" customHeight="1" x14ac:dyDescent="0.35">
      <c r="A2341" s="75">
        <v>2340</v>
      </c>
      <c r="B2341" s="64">
        <v>2016</v>
      </c>
      <c r="C2341" s="64">
        <v>12</v>
      </c>
      <c r="D2341" s="80">
        <f t="shared" si="75"/>
        <v>2016</v>
      </c>
      <c r="E2341" t="s">
        <v>38</v>
      </c>
      <c r="F2341" t="s">
        <v>143</v>
      </c>
      <c r="G2341" t="s">
        <v>10</v>
      </c>
      <c r="H2341" s="72" t="s">
        <v>208</v>
      </c>
      <c r="I2341" s="72" t="s">
        <v>50</v>
      </c>
      <c r="J2341" t="str">
        <f t="shared" si="76"/>
        <v>Minter Creek</v>
      </c>
      <c r="K2341" t="str">
        <f>IFERROR(VLOOKUP(J2341,LUTs!$A$1:$C$73,2,FALSE),"NA")</f>
        <v>Kitsap/Pierce</v>
      </c>
      <c r="L2341" t="str">
        <f>IFERROR(VLOOKUP(J2341,LUTs!$A$1:$C$73,3,FALSE),"NA")</f>
        <v>3South Puget Sound</v>
      </c>
      <c r="M2341" s="72" t="s">
        <v>20</v>
      </c>
      <c r="N2341" t="str">
        <f>VLOOKUP(M2341,LUTs!E$2:H$14,3,)</f>
        <v>07Pierce</v>
      </c>
      <c r="O2341" t="str">
        <f>VLOOKUP(M2341,LUTs!E$2:H$14,4,)</f>
        <v>02South Puget Sound</v>
      </c>
      <c r="P2341" s="73">
        <v>1174.5658536585399</v>
      </c>
      <c r="Q2341" s="74">
        <f>VLOOKUP(B2341,Readme!A$40:C$51,2,)*P2341</f>
        <v>10159.994634146371</v>
      </c>
    </row>
    <row r="2342" spans="1:17" ht="12" customHeight="1" x14ac:dyDescent="0.35">
      <c r="A2342" s="75">
        <v>2341</v>
      </c>
      <c r="B2342" s="64">
        <v>2016</v>
      </c>
      <c r="C2342" s="64">
        <v>12</v>
      </c>
      <c r="D2342" s="80">
        <f t="shared" si="75"/>
        <v>2016</v>
      </c>
      <c r="E2342" t="s">
        <v>38</v>
      </c>
      <c r="F2342" t="s">
        <v>143</v>
      </c>
      <c r="G2342" t="s">
        <v>10</v>
      </c>
      <c r="H2342" s="72" t="s">
        <v>208</v>
      </c>
      <c r="I2342" s="72" t="s">
        <v>50</v>
      </c>
      <c r="J2342" t="str">
        <f t="shared" si="76"/>
        <v>Minter Creek</v>
      </c>
      <c r="K2342" t="str">
        <f>IFERROR(VLOOKUP(J2342,LUTs!$A$1:$C$73,2,FALSE),"NA")</f>
        <v>Kitsap/Pierce</v>
      </c>
      <c r="L2342" t="str">
        <f>IFERROR(VLOOKUP(J2342,LUTs!$A$1:$C$73,3,FALSE),"NA")</f>
        <v>3South Puget Sound</v>
      </c>
      <c r="M2342" s="72" t="s">
        <v>16</v>
      </c>
      <c r="N2342" t="str">
        <f>VLOOKUP(M2342,LUTs!E$2:H$14,3,)</f>
        <v>03Snohomish</v>
      </c>
      <c r="O2342" t="str">
        <f>VLOOKUP(M2342,LUTs!E$2:H$14,4,)</f>
        <v>01North Puget Sound</v>
      </c>
      <c r="P2342" s="73">
        <v>65.253658536585405</v>
      </c>
      <c r="Q2342" s="74">
        <f>VLOOKUP(B2342,Readme!A$40:C$51,2,)*P2342</f>
        <v>564.44414634146381</v>
      </c>
    </row>
    <row r="2343" spans="1:17" ht="12" customHeight="1" x14ac:dyDescent="0.35">
      <c r="A2343" s="75">
        <v>2342</v>
      </c>
      <c r="B2343" s="64">
        <v>2016</v>
      </c>
      <c r="C2343" s="64">
        <v>7</v>
      </c>
      <c r="D2343" s="80">
        <f t="shared" si="75"/>
        <v>2016</v>
      </c>
      <c r="E2343" t="s">
        <v>38</v>
      </c>
      <c r="F2343" t="s">
        <v>143</v>
      </c>
      <c r="G2343" t="s">
        <v>10</v>
      </c>
      <c r="H2343" s="72" t="s">
        <v>209</v>
      </c>
      <c r="I2343" s="72" t="s">
        <v>51</v>
      </c>
      <c r="J2343" t="str">
        <f t="shared" si="76"/>
        <v>Nisqually River</v>
      </c>
      <c r="K2343" t="str">
        <f>IFERROR(VLOOKUP(J2343,LUTs!$A$1:$C$73,2,FALSE),"NA")</f>
        <v>Thurston/Pierce</v>
      </c>
      <c r="L2343" t="str">
        <f>IFERROR(VLOOKUP(J2343,LUTs!$A$1:$C$73,3,FALSE),"NA")</f>
        <v>3South Puget Sound</v>
      </c>
      <c r="M2343" s="72" t="s">
        <v>21</v>
      </c>
      <c r="N2343" t="str">
        <f>VLOOKUP(M2343,LUTs!E$2:H$14,3,)</f>
        <v>08Thurston</v>
      </c>
      <c r="O2343" t="str">
        <f>VLOOKUP(M2343,LUTs!E$2:H$14,4,)</f>
        <v>02South Puget Sound</v>
      </c>
      <c r="P2343" s="73">
        <v>10</v>
      </c>
      <c r="Q2343" s="74">
        <f>VLOOKUP(B2343,Readme!A$40:C$51,2,)*P2343</f>
        <v>86.5</v>
      </c>
    </row>
    <row r="2344" spans="1:17" ht="12" customHeight="1" x14ac:dyDescent="0.35">
      <c r="A2344" s="75">
        <v>2343</v>
      </c>
      <c r="B2344" s="64">
        <v>2016</v>
      </c>
      <c r="C2344" s="64">
        <v>8</v>
      </c>
      <c r="D2344" s="80">
        <f t="shared" si="75"/>
        <v>2016</v>
      </c>
      <c r="E2344" t="s">
        <v>38</v>
      </c>
      <c r="F2344" t="s">
        <v>143</v>
      </c>
      <c r="G2344" t="s">
        <v>10</v>
      </c>
      <c r="H2344" s="72" t="s">
        <v>209</v>
      </c>
      <c r="I2344" s="72" t="s">
        <v>51</v>
      </c>
      <c r="J2344" t="str">
        <f t="shared" si="76"/>
        <v>Nisqually River</v>
      </c>
      <c r="K2344" t="str">
        <f>IFERROR(VLOOKUP(J2344,LUTs!$A$1:$C$73,2,FALSE),"NA")</f>
        <v>Thurston/Pierce</v>
      </c>
      <c r="L2344" t="str">
        <f>IFERROR(VLOOKUP(J2344,LUTs!$A$1:$C$73,3,FALSE),"NA")</f>
        <v>3South Puget Sound</v>
      </c>
      <c r="M2344" s="72" t="s">
        <v>18</v>
      </c>
      <c r="N2344" t="str">
        <f>VLOOKUP(M2344,LUTs!E$2:H$14,3,)</f>
        <v>06King</v>
      </c>
      <c r="O2344" t="str">
        <f>VLOOKUP(M2344,LUTs!E$2:H$14,4,)</f>
        <v>02South Puget Sound</v>
      </c>
      <c r="P2344" s="73">
        <v>209.04564315352701</v>
      </c>
      <c r="Q2344" s="74">
        <f>VLOOKUP(B2344,Readme!A$40:C$51,2,)*P2344</f>
        <v>1808.2448132780087</v>
      </c>
    </row>
    <row r="2345" spans="1:17" ht="12" customHeight="1" x14ac:dyDescent="0.35">
      <c r="A2345" s="75">
        <v>2344</v>
      </c>
      <c r="B2345" s="64">
        <v>2016</v>
      </c>
      <c r="C2345" s="64">
        <v>8</v>
      </c>
      <c r="D2345" s="80">
        <f t="shared" si="75"/>
        <v>2016</v>
      </c>
      <c r="E2345" t="s">
        <v>38</v>
      </c>
      <c r="F2345" t="s">
        <v>143</v>
      </c>
      <c r="G2345" t="s">
        <v>10</v>
      </c>
      <c r="H2345" s="72" t="s">
        <v>209</v>
      </c>
      <c r="I2345" s="72" t="s">
        <v>51</v>
      </c>
      <c r="J2345" t="str">
        <f t="shared" si="76"/>
        <v>Nisqually River</v>
      </c>
      <c r="K2345" t="str">
        <f>IFERROR(VLOOKUP(J2345,LUTs!$A$1:$C$73,2,FALSE),"NA")</f>
        <v>Thurston/Pierce</v>
      </c>
      <c r="L2345" t="str">
        <f>IFERROR(VLOOKUP(J2345,LUTs!$A$1:$C$73,3,FALSE),"NA")</f>
        <v>3South Puget Sound</v>
      </c>
      <c r="M2345" s="72" t="s">
        <v>23</v>
      </c>
      <c r="N2345" t="str">
        <f>VLOOKUP(M2345,LUTs!E$2:H$14,3,)</f>
        <v>10Kitsap</v>
      </c>
      <c r="O2345" t="str">
        <f>VLOOKUP(M2345,LUTs!E$2:H$14,4,)</f>
        <v>02South Puget Sound</v>
      </c>
      <c r="P2345" s="73">
        <v>83.618257261410804</v>
      </c>
      <c r="Q2345" s="74">
        <f>VLOOKUP(B2345,Readme!A$40:C$51,2,)*P2345</f>
        <v>723.29792531120347</v>
      </c>
    </row>
    <row r="2346" spans="1:17" ht="12" customHeight="1" x14ac:dyDescent="0.35">
      <c r="A2346" s="75">
        <v>2345</v>
      </c>
      <c r="B2346" s="64">
        <v>2016</v>
      </c>
      <c r="C2346" s="64">
        <v>8</v>
      </c>
      <c r="D2346" s="80">
        <f t="shared" si="75"/>
        <v>2016</v>
      </c>
      <c r="E2346" t="s">
        <v>38</v>
      </c>
      <c r="F2346" t="s">
        <v>143</v>
      </c>
      <c r="G2346" t="s">
        <v>10</v>
      </c>
      <c r="H2346" s="72" t="s">
        <v>209</v>
      </c>
      <c r="I2346" s="72" t="s">
        <v>51</v>
      </c>
      <c r="J2346" t="str">
        <f t="shared" si="76"/>
        <v>Nisqually River</v>
      </c>
      <c r="K2346" t="str">
        <f>IFERROR(VLOOKUP(J2346,LUTs!$A$1:$C$73,2,FALSE),"NA")</f>
        <v>Thurston/Pierce</v>
      </c>
      <c r="L2346" t="str">
        <f>IFERROR(VLOOKUP(J2346,LUTs!$A$1:$C$73,3,FALSE),"NA")</f>
        <v>3South Puget Sound</v>
      </c>
      <c r="M2346" s="72" t="s">
        <v>22</v>
      </c>
      <c r="N2346" t="str">
        <f>VLOOKUP(M2346,LUTs!E$2:H$14,3,)</f>
        <v>09Mason</v>
      </c>
      <c r="O2346" t="str">
        <f>VLOOKUP(M2346,LUTs!E$2:H$14,4,)</f>
        <v>02South Puget Sound</v>
      </c>
      <c r="P2346" s="73">
        <v>62.713692946058103</v>
      </c>
      <c r="Q2346" s="74">
        <f>VLOOKUP(B2346,Readme!A$40:C$51,2,)*P2346</f>
        <v>542.4734439834026</v>
      </c>
    </row>
    <row r="2347" spans="1:17" ht="12" customHeight="1" x14ac:dyDescent="0.35">
      <c r="A2347" s="75">
        <v>2346</v>
      </c>
      <c r="B2347" s="64">
        <v>2016</v>
      </c>
      <c r="C2347" s="64">
        <v>8</v>
      </c>
      <c r="D2347" s="80">
        <f t="shared" si="75"/>
        <v>2016</v>
      </c>
      <c r="E2347" t="s">
        <v>38</v>
      </c>
      <c r="F2347" t="s">
        <v>143</v>
      </c>
      <c r="G2347" t="s">
        <v>10</v>
      </c>
      <c r="H2347" s="72" t="s">
        <v>209</v>
      </c>
      <c r="I2347" s="72" t="s">
        <v>51</v>
      </c>
      <c r="J2347" t="str">
        <f t="shared" si="76"/>
        <v>Nisqually River</v>
      </c>
      <c r="K2347" t="str">
        <f>IFERROR(VLOOKUP(J2347,LUTs!$A$1:$C$73,2,FALSE),"NA")</f>
        <v>Thurston/Pierce</v>
      </c>
      <c r="L2347" t="str">
        <f>IFERROR(VLOOKUP(J2347,LUTs!$A$1:$C$73,3,FALSE),"NA")</f>
        <v>3South Puget Sound</v>
      </c>
      <c r="M2347" s="72" t="s">
        <v>26</v>
      </c>
      <c r="N2347" t="str">
        <f>VLOOKUP(M2347,LUTs!E$2:H$14,3,)</f>
        <v>20Other</v>
      </c>
      <c r="O2347" t="str">
        <f>VLOOKUP(M2347,LUTs!E$2:H$14,4,)</f>
        <v>07Non Puget Sound</v>
      </c>
      <c r="P2347" s="73">
        <v>156.78423236514499</v>
      </c>
      <c r="Q2347" s="74">
        <f>VLOOKUP(B2347,Readme!A$40:C$51,2,)*P2347</f>
        <v>1356.1836099585041</v>
      </c>
    </row>
    <row r="2348" spans="1:17" ht="12" customHeight="1" x14ac:dyDescent="0.35">
      <c r="A2348" s="75">
        <v>2347</v>
      </c>
      <c r="B2348" s="64">
        <v>2016</v>
      </c>
      <c r="C2348" s="64">
        <v>8</v>
      </c>
      <c r="D2348" s="80">
        <f t="shared" si="75"/>
        <v>2016</v>
      </c>
      <c r="E2348" t="s">
        <v>38</v>
      </c>
      <c r="F2348" t="s">
        <v>143</v>
      </c>
      <c r="G2348" t="s">
        <v>10</v>
      </c>
      <c r="H2348" s="72" t="s">
        <v>209</v>
      </c>
      <c r="I2348" s="72" t="s">
        <v>51</v>
      </c>
      <c r="J2348" t="str">
        <f t="shared" si="76"/>
        <v>Nisqually River</v>
      </c>
      <c r="K2348" t="str">
        <f>IFERROR(VLOOKUP(J2348,LUTs!$A$1:$C$73,2,FALSE),"NA")</f>
        <v>Thurston/Pierce</v>
      </c>
      <c r="L2348" t="str">
        <f>IFERROR(VLOOKUP(J2348,LUTs!$A$1:$C$73,3,FALSE),"NA")</f>
        <v>3South Puget Sound</v>
      </c>
      <c r="M2348" s="72" t="s">
        <v>20</v>
      </c>
      <c r="N2348" t="str">
        <f>VLOOKUP(M2348,LUTs!E$2:H$14,3,)</f>
        <v>07Pierce</v>
      </c>
      <c r="O2348" t="str">
        <f>VLOOKUP(M2348,LUTs!E$2:H$14,4,)</f>
        <v>02South Puget Sound</v>
      </c>
      <c r="P2348" s="73">
        <v>1076.5850622406599</v>
      </c>
      <c r="Q2348" s="74">
        <f>VLOOKUP(B2348,Readme!A$40:C$51,2,)*P2348</f>
        <v>9312.460788381708</v>
      </c>
    </row>
    <row r="2349" spans="1:17" ht="12" customHeight="1" x14ac:dyDescent="0.35">
      <c r="A2349" s="75">
        <v>2348</v>
      </c>
      <c r="B2349" s="64">
        <v>2016</v>
      </c>
      <c r="C2349" s="64">
        <v>8</v>
      </c>
      <c r="D2349" s="80">
        <f t="shared" si="75"/>
        <v>2016</v>
      </c>
      <c r="E2349" t="s">
        <v>38</v>
      </c>
      <c r="F2349" t="s">
        <v>143</v>
      </c>
      <c r="G2349" t="s">
        <v>10</v>
      </c>
      <c r="H2349" s="72" t="s">
        <v>209</v>
      </c>
      <c r="I2349" s="72" t="s">
        <v>51</v>
      </c>
      <c r="J2349" t="str">
        <f t="shared" si="76"/>
        <v>Nisqually River</v>
      </c>
      <c r="K2349" t="str">
        <f>IFERROR(VLOOKUP(J2349,LUTs!$A$1:$C$73,2,FALSE),"NA")</f>
        <v>Thurston/Pierce</v>
      </c>
      <c r="L2349" t="str">
        <f>IFERROR(VLOOKUP(J2349,LUTs!$A$1:$C$73,3,FALSE),"NA")</f>
        <v>3South Puget Sound</v>
      </c>
      <c r="M2349" s="72" t="s">
        <v>21</v>
      </c>
      <c r="N2349" t="str">
        <f>VLOOKUP(M2349,LUTs!E$2:H$14,3,)</f>
        <v>08Thurston</v>
      </c>
      <c r="O2349" t="str">
        <f>VLOOKUP(M2349,LUTs!E$2:H$14,4,)</f>
        <v>02South Puget Sound</v>
      </c>
      <c r="P2349" s="73">
        <v>930.25311203319495</v>
      </c>
      <c r="Q2349" s="74">
        <f>VLOOKUP(B2349,Readme!A$40:C$51,2,)*P2349</f>
        <v>8046.6894190871362</v>
      </c>
    </row>
    <row r="2350" spans="1:17" ht="12" customHeight="1" x14ac:dyDescent="0.35">
      <c r="A2350" s="75">
        <v>2349</v>
      </c>
      <c r="B2350" s="64">
        <v>2016</v>
      </c>
      <c r="C2350" s="64">
        <v>9</v>
      </c>
      <c r="D2350" s="80">
        <f t="shared" si="75"/>
        <v>2016</v>
      </c>
      <c r="E2350" t="s">
        <v>38</v>
      </c>
      <c r="F2350" t="s">
        <v>143</v>
      </c>
      <c r="G2350" t="s">
        <v>10</v>
      </c>
      <c r="H2350" s="72" t="s">
        <v>209</v>
      </c>
      <c r="I2350" s="72" t="s">
        <v>51</v>
      </c>
      <c r="J2350" t="str">
        <f t="shared" si="76"/>
        <v>Nisqually River</v>
      </c>
      <c r="K2350" t="str">
        <f>IFERROR(VLOOKUP(J2350,LUTs!$A$1:$C$73,2,FALSE),"NA")</f>
        <v>Thurston/Pierce</v>
      </c>
      <c r="L2350" t="str">
        <f>IFERROR(VLOOKUP(J2350,LUTs!$A$1:$C$73,3,FALSE),"NA")</f>
        <v>3South Puget Sound</v>
      </c>
      <c r="M2350" s="72" t="s">
        <v>18</v>
      </c>
      <c r="N2350" t="str">
        <f>VLOOKUP(M2350,LUTs!E$2:H$14,3,)</f>
        <v>06King</v>
      </c>
      <c r="O2350" t="str">
        <f>VLOOKUP(M2350,LUTs!E$2:H$14,4,)</f>
        <v>02South Puget Sound</v>
      </c>
      <c r="P2350" s="73">
        <v>216.57777777777801</v>
      </c>
      <c r="Q2350" s="74">
        <f>VLOOKUP(B2350,Readme!A$40:C$51,2,)*P2350</f>
        <v>1873.3977777777798</v>
      </c>
    </row>
    <row r="2351" spans="1:17" ht="12" customHeight="1" x14ac:dyDescent="0.35">
      <c r="A2351" s="75">
        <v>2350</v>
      </c>
      <c r="B2351" s="64">
        <v>2016</v>
      </c>
      <c r="C2351" s="64">
        <v>9</v>
      </c>
      <c r="D2351" s="80">
        <f t="shared" si="75"/>
        <v>2016</v>
      </c>
      <c r="E2351" t="s">
        <v>38</v>
      </c>
      <c r="F2351" t="s">
        <v>143</v>
      </c>
      <c r="G2351" t="s">
        <v>10</v>
      </c>
      <c r="H2351" s="72" t="s">
        <v>209</v>
      </c>
      <c r="I2351" s="72" t="s">
        <v>51</v>
      </c>
      <c r="J2351" t="str">
        <f t="shared" si="76"/>
        <v>Nisqually River</v>
      </c>
      <c r="K2351" t="str">
        <f>IFERROR(VLOOKUP(J2351,LUTs!$A$1:$C$73,2,FALSE),"NA")</f>
        <v>Thurston/Pierce</v>
      </c>
      <c r="L2351" t="str">
        <f>IFERROR(VLOOKUP(J2351,LUTs!$A$1:$C$73,3,FALSE),"NA")</f>
        <v>3South Puget Sound</v>
      </c>
      <c r="M2351" s="72" t="s">
        <v>23</v>
      </c>
      <c r="N2351" t="str">
        <f>VLOOKUP(M2351,LUTs!E$2:H$14,3,)</f>
        <v>10Kitsap</v>
      </c>
      <c r="O2351" t="str">
        <f>VLOOKUP(M2351,LUTs!E$2:H$14,4,)</f>
        <v>02South Puget Sound</v>
      </c>
      <c r="P2351" s="73">
        <v>68.911111111111097</v>
      </c>
      <c r="Q2351" s="74">
        <f>VLOOKUP(B2351,Readme!A$40:C$51,2,)*P2351</f>
        <v>596.081111111111</v>
      </c>
    </row>
    <row r="2352" spans="1:17" ht="12" customHeight="1" x14ac:dyDescent="0.35">
      <c r="A2352" s="75">
        <v>2351</v>
      </c>
      <c r="B2352" s="64">
        <v>2016</v>
      </c>
      <c r="C2352" s="64">
        <v>9</v>
      </c>
      <c r="D2352" s="80">
        <f t="shared" si="75"/>
        <v>2016</v>
      </c>
      <c r="E2352" t="s">
        <v>38</v>
      </c>
      <c r="F2352" t="s">
        <v>143</v>
      </c>
      <c r="G2352" t="s">
        <v>10</v>
      </c>
      <c r="H2352" s="72" t="s">
        <v>209</v>
      </c>
      <c r="I2352" s="72" t="s">
        <v>51</v>
      </c>
      <c r="J2352" t="str">
        <f t="shared" si="76"/>
        <v>Nisqually River</v>
      </c>
      <c r="K2352" t="str">
        <f>IFERROR(VLOOKUP(J2352,LUTs!$A$1:$C$73,2,FALSE),"NA")</f>
        <v>Thurston/Pierce</v>
      </c>
      <c r="L2352" t="str">
        <f>IFERROR(VLOOKUP(J2352,LUTs!$A$1:$C$73,3,FALSE),"NA")</f>
        <v>3South Puget Sound</v>
      </c>
      <c r="M2352" s="72" t="s">
        <v>26</v>
      </c>
      <c r="N2352" t="str">
        <f>VLOOKUP(M2352,LUTs!E$2:H$14,3,)</f>
        <v>20Other</v>
      </c>
      <c r="O2352" t="str">
        <f>VLOOKUP(M2352,LUTs!E$2:H$14,4,)</f>
        <v>07Non Puget Sound</v>
      </c>
      <c r="P2352" s="73">
        <v>19.688888888888901</v>
      </c>
      <c r="Q2352" s="74">
        <f>VLOOKUP(B2352,Readme!A$40:C$51,2,)*P2352</f>
        <v>170.30888888888899</v>
      </c>
    </row>
    <row r="2353" spans="1:17" ht="12" customHeight="1" x14ac:dyDescent="0.35">
      <c r="A2353" s="75">
        <v>2352</v>
      </c>
      <c r="B2353" s="64">
        <v>2016</v>
      </c>
      <c r="C2353" s="64">
        <v>9</v>
      </c>
      <c r="D2353" s="80">
        <f t="shared" si="75"/>
        <v>2016</v>
      </c>
      <c r="E2353" t="s">
        <v>38</v>
      </c>
      <c r="F2353" t="s">
        <v>143</v>
      </c>
      <c r="G2353" t="s">
        <v>10</v>
      </c>
      <c r="H2353" s="72" t="s">
        <v>209</v>
      </c>
      <c r="I2353" s="72" t="s">
        <v>51</v>
      </c>
      <c r="J2353" t="str">
        <f t="shared" si="76"/>
        <v>Nisqually River</v>
      </c>
      <c r="K2353" t="str">
        <f>IFERROR(VLOOKUP(J2353,LUTs!$A$1:$C$73,2,FALSE),"NA")</f>
        <v>Thurston/Pierce</v>
      </c>
      <c r="L2353" t="str">
        <f>IFERROR(VLOOKUP(J2353,LUTs!$A$1:$C$73,3,FALSE),"NA")</f>
        <v>3South Puget Sound</v>
      </c>
      <c r="M2353" s="72" t="s">
        <v>20</v>
      </c>
      <c r="N2353" t="str">
        <f>VLOOKUP(M2353,LUTs!E$2:H$14,3,)</f>
        <v>07Pierce</v>
      </c>
      <c r="O2353" t="str">
        <f>VLOOKUP(M2353,LUTs!E$2:H$14,4,)</f>
        <v>02South Puget Sound</v>
      </c>
      <c r="P2353" s="73">
        <v>502.066666666667</v>
      </c>
      <c r="Q2353" s="74">
        <f>VLOOKUP(B2353,Readme!A$40:C$51,2,)*P2353</f>
        <v>4342.8766666666697</v>
      </c>
    </row>
    <row r="2354" spans="1:17" ht="12" customHeight="1" x14ac:dyDescent="0.35">
      <c r="A2354" s="75">
        <v>2353</v>
      </c>
      <c r="B2354" s="64">
        <v>2016</v>
      </c>
      <c r="C2354" s="64">
        <v>9</v>
      </c>
      <c r="D2354" s="80">
        <f t="shared" si="75"/>
        <v>2016</v>
      </c>
      <c r="E2354" t="s">
        <v>38</v>
      </c>
      <c r="F2354" t="s">
        <v>143</v>
      </c>
      <c r="G2354" t="s">
        <v>10</v>
      </c>
      <c r="H2354" s="72" t="s">
        <v>209</v>
      </c>
      <c r="I2354" s="72" t="s">
        <v>51</v>
      </c>
      <c r="J2354" t="str">
        <f t="shared" si="76"/>
        <v>Nisqually River</v>
      </c>
      <c r="K2354" t="str">
        <f>IFERROR(VLOOKUP(J2354,LUTs!$A$1:$C$73,2,FALSE),"NA")</f>
        <v>Thurston/Pierce</v>
      </c>
      <c r="L2354" t="str">
        <f>IFERROR(VLOOKUP(J2354,LUTs!$A$1:$C$73,3,FALSE),"NA")</f>
        <v>3South Puget Sound</v>
      </c>
      <c r="M2354" s="72" t="s">
        <v>21</v>
      </c>
      <c r="N2354" t="str">
        <f>VLOOKUP(M2354,LUTs!E$2:H$14,3,)</f>
        <v>08Thurston</v>
      </c>
      <c r="O2354" t="str">
        <f>VLOOKUP(M2354,LUTs!E$2:H$14,4,)</f>
        <v>02South Puget Sound</v>
      </c>
      <c r="P2354" s="73">
        <v>521.75555555555604</v>
      </c>
      <c r="Q2354" s="74">
        <f>VLOOKUP(B2354,Readme!A$40:C$51,2,)*P2354</f>
        <v>4513.1855555555603</v>
      </c>
    </row>
    <row r="2355" spans="1:17" ht="12" customHeight="1" x14ac:dyDescent="0.35">
      <c r="A2355" s="75">
        <v>2354</v>
      </c>
      <c r="B2355" s="64">
        <v>2016</v>
      </c>
      <c r="C2355" s="64">
        <v>10</v>
      </c>
      <c r="D2355" s="80">
        <f t="shared" si="75"/>
        <v>2016</v>
      </c>
      <c r="E2355" t="s">
        <v>38</v>
      </c>
      <c r="F2355" t="s">
        <v>143</v>
      </c>
      <c r="G2355" t="s">
        <v>10</v>
      </c>
      <c r="H2355" s="72" t="s">
        <v>209</v>
      </c>
      <c r="I2355" s="72" t="s">
        <v>51</v>
      </c>
      <c r="J2355" t="str">
        <f t="shared" si="76"/>
        <v>Nisqually River</v>
      </c>
      <c r="K2355" t="str">
        <f>IFERROR(VLOOKUP(J2355,LUTs!$A$1:$C$73,2,FALSE),"NA")</f>
        <v>Thurston/Pierce</v>
      </c>
      <c r="L2355" t="str">
        <f>IFERROR(VLOOKUP(J2355,LUTs!$A$1:$C$73,3,FALSE),"NA")</f>
        <v>3South Puget Sound</v>
      </c>
      <c r="M2355" s="72" t="s">
        <v>20</v>
      </c>
      <c r="N2355" t="str">
        <f>VLOOKUP(M2355,LUTs!E$2:H$14,3,)</f>
        <v>07Pierce</v>
      </c>
      <c r="O2355" t="str">
        <f>VLOOKUP(M2355,LUTs!E$2:H$14,4,)</f>
        <v>02South Puget Sound</v>
      </c>
      <c r="P2355" s="73">
        <v>30</v>
      </c>
      <c r="Q2355" s="74">
        <f>VLOOKUP(B2355,Readme!A$40:C$51,2,)*P2355</f>
        <v>259.5</v>
      </c>
    </row>
    <row r="2356" spans="1:17" ht="12" customHeight="1" x14ac:dyDescent="0.35">
      <c r="A2356" s="75">
        <v>2355</v>
      </c>
      <c r="B2356" s="64">
        <v>2016</v>
      </c>
      <c r="C2356" s="64">
        <v>10</v>
      </c>
      <c r="D2356" s="80">
        <f t="shared" si="75"/>
        <v>2016</v>
      </c>
      <c r="E2356" t="s">
        <v>38</v>
      </c>
      <c r="F2356" t="s">
        <v>143</v>
      </c>
      <c r="G2356" t="s">
        <v>10</v>
      </c>
      <c r="H2356" s="72" t="s">
        <v>209</v>
      </c>
      <c r="I2356" s="72" t="s">
        <v>51</v>
      </c>
      <c r="J2356" t="str">
        <f t="shared" si="76"/>
        <v>Nisqually River</v>
      </c>
      <c r="K2356" t="str">
        <f>IFERROR(VLOOKUP(J2356,LUTs!$A$1:$C$73,2,FALSE),"NA")</f>
        <v>Thurston/Pierce</v>
      </c>
      <c r="L2356" t="str">
        <f>IFERROR(VLOOKUP(J2356,LUTs!$A$1:$C$73,3,FALSE),"NA")</f>
        <v>3South Puget Sound</v>
      </c>
      <c r="M2356" s="72" t="s">
        <v>21</v>
      </c>
      <c r="N2356" t="str">
        <f>VLOOKUP(M2356,LUTs!E$2:H$14,3,)</f>
        <v>08Thurston</v>
      </c>
      <c r="O2356" t="str">
        <f>VLOOKUP(M2356,LUTs!E$2:H$14,4,)</f>
        <v>02South Puget Sound</v>
      </c>
      <c r="P2356" s="73">
        <v>10</v>
      </c>
      <c r="Q2356" s="74">
        <f>VLOOKUP(B2356,Readme!A$40:C$51,2,)*P2356</f>
        <v>86.5</v>
      </c>
    </row>
    <row r="2357" spans="1:17" ht="12" customHeight="1" x14ac:dyDescent="0.35">
      <c r="A2357" s="75">
        <v>2356</v>
      </c>
      <c r="B2357" s="64">
        <v>2016</v>
      </c>
      <c r="C2357" s="64">
        <v>9</v>
      </c>
      <c r="D2357" s="80">
        <f t="shared" si="75"/>
        <v>2016</v>
      </c>
      <c r="E2357" t="s">
        <v>38</v>
      </c>
      <c r="F2357" t="s">
        <v>143</v>
      </c>
      <c r="G2357" t="s">
        <v>10</v>
      </c>
      <c r="H2357" s="72" t="s">
        <v>210</v>
      </c>
      <c r="I2357" s="72" t="s">
        <v>52</v>
      </c>
      <c r="J2357" t="str">
        <f t="shared" si="76"/>
        <v>Nooksack River</v>
      </c>
      <c r="K2357" t="str">
        <f>IFERROR(VLOOKUP(J2357,LUTs!$A$1:$C$73,2,FALSE),"NA")</f>
        <v>Whatcom</v>
      </c>
      <c r="L2357" t="str">
        <f>IFERROR(VLOOKUP(J2357,LUTs!$A$1:$C$73,3,FALSE),"NA")</f>
        <v>1North Puget Sound</v>
      </c>
      <c r="M2357" s="72" t="s">
        <v>18</v>
      </c>
      <c r="N2357" t="str">
        <f>VLOOKUP(M2357,LUTs!E$2:H$14,3,)</f>
        <v>06King</v>
      </c>
      <c r="O2357" t="str">
        <f>VLOOKUP(M2357,LUTs!E$2:H$14,4,)</f>
        <v>02South Puget Sound</v>
      </c>
      <c r="P2357" s="73">
        <v>11.1212121212121</v>
      </c>
      <c r="Q2357" s="74">
        <f>VLOOKUP(B2357,Readme!A$40:C$51,2,)*P2357</f>
        <v>96.198484848484668</v>
      </c>
    </row>
    <row r="2358" spans="1:17" ht="12" customHeight="1" x14ac:dyDescent="0.35">
      <c r="A2358" s="75">
        <v>2357</v>
      </c>
      <c r="B2358" s="64">
        <v>2016</v>
      </c>
      <c r="C2358" s="64">
        <v>9</v>
      </c>
      <c r="D2358" s="80">
        <f t="shared" si="75"/>
        <v>2016</v>
      </c>
      <c r="E2358" t="s">
        <v>38</v>
      </c>
      <c r="F2358" t="s">
        <v>143</v>
      </c>
      <c r="G2358" t="s">
        <v>10</v>
      </c>
      <c r="H2358" s="72" t="s">
        <v>210</v>
      </c>
      <c r="I2358" s="72" t="s">
        <v>52</v>
      </c>
      <c r="J2358" t="str">
        <f t="shared" si="76"/>
        <v>Nooksack River</v>
      </c>
      <c r="K2358" t="str">
        <f>IFERROR(VLOOKUP(J2358,LUTs!$A$1:$C$73,2,FALSE),"NA")</f>
        <v>Whatcom</v>
      </c>
      <c r="L2358" t="str">
        <f>IFERROR(VLOOKUP(J2358,LUTs!$A$1:$C$73,3,FALSE),"NA")</f>
        <v>1North Puget Sound</v>
      </c>
      <c r="M2358" s="72" t="s">
        <v>15</v>
      </c>
      <c r="N2358" t="str">
        <f>VLOOKUP(M2358,LUTs!E$2:H$14,3,)</f>
        <v>02Skagit</v>
      </c>
      <c r="O2358" t="str">
        <f>VLOOKUP(M2358,LUTs!E$2:H$14,4,)</f>
        <v>01North Puget Sound</v>
      </c>
      <c r="P2358" s="73">
        <v>22.2424242424242</v>
      </c>
      <c r="Q2358" s="74">
        <f>VLOOKUP(B2358,Readme!A$40:C$51,2,)*P2358</f>
        <v>192.39696969696934</v>
      </c>
    </row>
    <row r="2359" spans="1:17" ht="12" customHeight="1" x14ac:dyDescent="0.35">
      <c r="A2359" s="75">
        <v>2358</v>
      </c>
      <c r="B2359" s="64">
        <v>2016</v>
      </c>
      <c r="C2359" s="64">
        <v>9</v>
      </c>
      <c r="D2359" s="80">
        <f t="shared" si="75"/>
        <v>2016</v>
      </c>
      <c r="E2359" t="s">
        <v>38</v>
      </c>
      <c r="F2359" t="s">
        <v>143</v>
      </c>
      <c r="G2359" t="s">
        <v>10</v>
      </c>
      <c r="H2359" s="72" t="s">
        <v>210</v>
      </c>
      <c r="I2359" s="72" t="s">
        <v>52</v>
      </c>
      <c r="J2359" t="str">
        <f t="shared" si="76"/>
        <v>Nooksack River</v>
      </c>
      <c r="K2359" t="str">
        <f>IFERROR(VLOOKUP(J2359,LUTs!$A$1:$C$73,2,FALSE),"NA")</f>
        <v>Whatcom</v>
      </c>
      <c r="L2359" t="str">
        <f>IFERROR(VLOOKUP(J2359,LUTs!$A$1:$C$73,3,FALSE),"NA")</f>
        <v>1North Puget Sound</v>
      </c>
      <c r="M2359" s="72" t="s">
        <v>13</v>
      </c>
      <c r="N2359" t="str">
        <f>VLOOKUP(M2359,LUTs!E$2:H$14,3,)</f>
        <v>01Whatcom</v>
      </c>
      <c r="O2359" t="str">
        <f>VLOOKUP(M2359,LUTs!E$2:H$14,4,)</f>
        <v>01North Puget Sound</v>
      </c>
      <c r="P2359" s="73">
        <v>333.63636363636402</v>
      </c>
      <c r="Q2359" s="74">
        <f>VLOOKUP(B2359,Readme!A$40:C$51,2,)*P2359</f>
        <v>2885.9545454545491</v>
      </c>
    </row>
    <row r="2360" spans="1:17" ht="12" customHeight="1" x14ac:dyDescent="0.35">
      <c r="A2360" s="75">
        <v>2359</v>
      </c>
      <c r="B2360" s="64">
        <v>2016</v>
      </c>
      <c r="C2360" s="64">
        <v>10</v>
      </c>
      <c r="D2360" s="80">
        <f t="shared" si="75"/>
        <v>2016</v>
      </c>
      <c r="E2360" t="s">
        <v>38</v>
      </c>
      <c r="F2360" t="s">
        <v>143</v>
      </c>
      <c r="G2360" t="s">
        <v>10</v>
      </c>
      <c r="H2360" s="72" t="s">
        <v>210</v>
      </c>
      <c r="I2360" s="72" t="s">
        <v>52</v>
      </c>
      <c r="J2360" t="str">
        <f t="shared" si="76"/>
        <v>Nooksack River</v>
      </c>
      <c r="K2360" t="str">
        <f>IFERROR(VLOOKUP(J2360,LUTs!$A$1:$C$73,2,FALSE),"NA")</f>
        <v>Whatcom</v>
      </c>
      <c r="L2360" t="str">
        <f>IFERROR(VLOOKUP(J2360,LUTs!$A$1:$C$73,3,FALSE),"NA")</f>
        <v>1North Puget Sound</v>
      </c>
      <c r="M2360" s="72" t="s">
        <v>17</v>
      </c>
      <c r="N2360" t="str">
        <f>VLOOKUP(M2360,LUTs!E$2:H$14,3,)</f>
        <v>04Island</v>
      </c>
      <c r="O2360" t="str">
        <f>VLOOKUP(M2360,LUTs!E$2:H$14,4,)</f>
        <v>01North Puget Sound</v>
      </c>
      <c r="P2360" s="73">
        <v>38.580645161290299</v>
      </c>
      <c r="Q2360" s="74">
        <f>VLOOKUP(B2360,Readme!A$40:C$51,2,)*P2360</f>
        <v>333.72258064516109</v>
      </c>
    </row>
    <row r="2361" spans="1:17" ht="12" customHeight="1" x14ac:dyDescent="0.35">
      <c r="A2361" s="75">
        <v>2360</v>
      </c>
      <c r="B2361" s="64">
        <v>2016</v>
      </c>
      <c r="C2361" s="64">
        <v>10</v>
      </c>
      <c r="D2361" s="80">
        <f t="shared" si="75"/>
        <v>2016</v>
      </c>
      <c r="E2361" t="s">
        <v>38</v>
      </c>
      <c r="F2361" t="s">
        <v>143</v>
      </c>
      <c r="G2361" t="s">
        <v>10</v>
      </c>
      <c r="H2361" s="72" t="s">
        <v>210</v>
      </c>
      <c r="I2361" s="72" t="s">
        <v>52</v>
      </c>
      <c r="J2361" t="str">
        <f t="shared" si="76"/>
        <v>Nooksack River</v>
      </c>
      <c r="K2361" t="str">
        <f>IFERROR(VLOOKUP(J2361,LUTs!$A$1:$C$73,2,FALSE),"NA")</f>
        <v>Whatcom</v>
      </c>
      <c r="L2361" t="str">
        <f>IFERROR(VLOOKUP(J2361,LUTs!$A$1:$C$73,3,FALSE),"NA")</f>
        <v>1North Puget Sound</v>
      </c>
      <c r="M2361" s="72" t="s">
        <v>18</v>
      </c>
      <c r="N2361" t="str">
        <f>VLOOKUP(M2361,LUTs!E$2:H$14,3,)</f>
        <v>06King</v>
      </c>
      <c r="O2361" t="str">
        <f>VLOOKUP(M2361,LUTs!E$2:H$14,4,)</f>
        <v>02South Puget Sound</v>
      </c>
      <c r="P2361" s="73">
        <v>19.290322580645199</v>
      </c>
      <c r="Q2361" s="74">
        <f>VLOOKUP(B2361,Readme!A$40:C$51,2,)*P2361</f>
        <v>166.86129032258097</v>
      </c>
    </row>
    <row r="2362" spans="1:17" ht="12" customHeight="1" x14ac:dyDescent="0.35">
      <c r="A2362" s="75">
        <v>2361</v>
      </c>
      <c r="B2362" s="64">
        <v>2016</v>
      </c>
      <c r="C2362" s="64">
        <v>10</v>
      </c>
      <c r="D2362" s="80">
        <f t="shared" ref="D2362:D2425" si="77">IF(C2362&gt;3,B2362,B2362-1)</f>
        <v>2016</v>
      </c>
      <c r="E2362" t="s">
        <v>38</v>
      </c>
      <c r="F2362" t="s">
        <v>143</v>
      </c>
      <c r="G2362" t="s">
        <v>10</v>
      </c>
      <c r="H2362" s="72" t="s">
        <v>210</v>
      </c>
      <c r="I2362" s="72" t="s">
        <v>52</v>
      </c>
      <c r="J2362" t="str">
        <f t="shared" si="76"/>
        <v>Nooksack River</v>
      </c>
      <c r="K2362" t="str">
        <f>IFERROR(VLOOKUP(J2362,LUTs!$A$1:$C$73,2,FALSE),"NA")</f>
        <v>Whatcom</v>
      </c>
      <c r="L2362" t="str">
        <f>IFERROR(VLOOKUP(J2362,LUTs!$A$1:$C$73,3,FALSE),"NA")</f>
        <v>1North Puget Sound</v>
      </c>
      <c r="M2362" s="72" t="s">
        <v>15</v>
      </c>
      <c r="N2362" t="str">
        <f>VLOOKUP(M2362,LUTs!E$2:H$14,3,)</f>
        <v>02Skagit</v>
      </c>
      <c r="O2362" t="str">
        <f>VLOOKUP(M2362,LUTs!E$2:H$14,4,)</f>
        <v>01North Puget Sound</v>
      </c>
      <c r="P2362" s="73">
        <v>19.290322580645199</v>
      </c>
      <c r="Q2362" s="74">
        <f>VLOOKUP(B2362,Readme!A$40:C$51,2,)*P2362</f>
        <v>166.86129032258097</v>
      </c>
    </row>
    <row r="2363" spans="1:17" ht="12" customHeight="1" x14ac:dyDescent="0.35">
      <c r="A2363" s="75">
        <v>2362</v>
      </c>
      <c r="B2363" s="64">
        <v>2016</v>
      </c>
      <c r="C2363" s="64">
        <v>10</v>
      </c>
      <c r="D2363" s="80">
        <f t="shared" si="77"/>
        <v>2016</v>
      </c>
      <c r="E2363" t="s">
        <v>38</v>
      </c>
      <c r="F2363" t="s">
        <v>143</v>
      </c>
      <c r="G2363" t="s">
        <v>10</v>
      </c>
      <c r="H2363" s="72" t="s">
        <v>210</v>
      </c>
      <c r="I2363" s="72" t="s">
        <v>52</v>
      </c>
      <c r="J2363" t="str">
        <f t="shared" si="76"/>
        <v>Nooksack River</v>
      </c>
      <c r="K2363" t="str">
        <f>IFERROR(VLOOKUP(J2363,LUTs!$A$1:$C$73,2,FALSE),"NA")</f>
        <v>Whatcom</v>
      </c>
      <c r="L2363" t="str">
        <f>IFERROR(VLOOKUP(J2363,LUTs!$A$1:$C$73,3,FALSE),"NA")</f>
        <v>1North Puget Sound</v>
      </c>
      <c r="M2363" s="72" t="s">
        <v>13</v>
      </c>
      <c r="N2363" t="str">
        <f>VLOOKUP(M2363,LUTs!E$2:H$14,3,)</f>
        <v>01Whatcom</v>
      </c>
      <c r="O2363" t="str">
        <f>VLOOKUP(M2363,LUTs!E$2:H$14,4,)</f>
        <v>01North Puget Sound</v>
      </c>
      <c r="P2363" s="73">
        <v>221.83870967741899</v>
      </c>
      <c r="Q2363" s="74">
        <f>VLOOKUP(B2363,Readme!A$40:C$51,2,)*P2363</f>
        <v>1918.9048387096743</v>
      </c>
    </row>
    <row r="2364" spans="1:17" ht="12" customHeight="1" x14ac:dyDescent="0.35">
      <c r="A2364" s="75">
        <v>2363</v>
      </c>
      <c r="B2364" s="64">
        <v>2016</v>
      </c>
      <c r="C2364" s="64">
        <v>11</v>
      </c>
      <c r="D2364" s="80">
        <f t="shared" si="77"/>
        <v>2016</v>
      </c>
      <c r="E2364" t="s">
        <v>38</v>
      </c>
      <c r="F2364" t="s">
        <v>143</v>
      </c>
      <c r="G2364" t="s">
        <v>10</v>
      </c>
      <c r="H2364" s="72" t="s">
        <v>210</v>
      </c>
      <c r="I2364" s="72" t="s">
        <v>52</v>
      </c>
      <c r="J2364" t="str">
        <f t="shared" si="76"/>
        <v>Nooksack River</v>
      </c>
      <c r="K2364" t="str">
        <f>IFERROR(VLOOKUP(J2364,LUTs!$A$1:$C$73,2,FALSE),"NA")</f>
        <v>Whatcom</v>
      </c>
      <c r="L2364" t="str">
        <f>IFERROR(VLOOKUP(J2364,LUTs!$A$1:$C$73,3,FALSE),"NA")</f>
        <v>1North Puget Sound</v>
      </c>
      <c r="M2364" s="72" t="s">
        <v>20</v>
      </c>
      <c r="N2364" t="str">
        <f>VLOOKUP(M2364,LUTs!E$2:H$14,3,)</f>
        <v>07Pierce</v>
      </c>
      <c r="O2364" t="str">
        <f>VLOOKUP(M2364,LUTs!E$2:H$14,4,)</f>
        <v>02South Puget Sound</v>
      </c>
      <c r="P2364" s="73">
        <v>19.2</v>
      </c>
      <c r="Q2364" s="74">
        <f>VLOOKUP(B2364,Readme!A$40:C$51,2,)*P2364</f>
        <v>166.08</v>
      </c>
    </row>
    <row r="2365" spans="1:17" ht="12" customHeight="1" x14ac:dyDescent="0.35">
      <c r="A2365" s="75">
        <v>2364</v>
      </c>
      <c r="B2365" s="64">
        <v>2016</v>
      </c>
      <c r="C2365" s="64">
        <v>11</v>
      </c>
      <c r="D2365" s="80">
        <f t="shared" si="77"/>
        <v>2016</v>
      </c>
      <c r="E2365" t="s">
        <v>38</v>
      </c>
      <c r="F2365" t="s">
        <v>143</v>
      </c>
      <c r="G2365" t="s">
        <v>10</v>
      </c>
      <c r="H2365" s="72" t="s">
        <v>210</v>
      </c>
      <c r="I2365" s="72" t="s">
        <v>52</v>
      </c>
      <c r="J2365" t="str">
        <f t="shared" si="76"/>
        <v>Nooksack River</v>
      </c>
      <c r="K2365" t="str">
        <f>IFERROR(VLOOKUP(J2365,LUTs!$A$1:$C$73,2,FALSE),"NA")</f>
        <v>Whatcom</v>
      </c>
      <c r="L2365" t="str">
        <f>IFERROR(VLOOKUP(J2365,LUTs!$A$1:$C$73,3,FALSE),"NA")</f>
        <v>1North Puget Sound</v>
      </c>
      <c r="M2365" s="72" t="s">
        <v>13</v>
      </c>
      <c r="N2365" t="str">
        <f>VLOOKUP(M2365,LUTs!E$2:H$14,3,)</f>
        <v>01Whatcom</v>
      </c>
      <c r="O2365" t="str">
        <f>VLOOKUP(M2365,LUTs!E$2:H$14,4,)</f>
        <v>01North Puget Sound</v>
      </c>
      <c r="P2365" s="73">
        <v>124.8</v>
      </c>
      <c r="Q2365" s="74">
        <f>VLOOKUP(B2365,Readme!A$40:C$51,2,)*P2365</f>
        <v>1079.52</v>
      </c>
    </row>
    <row r="2366" spans="1:17" ht="12" customHeight="1" x14ac:dyDescent="0.35">
      <c r="A2366" s="75">
        <v>2365</v>
      </c>
      <c r="B2366" s="64">
        <v>2016</v>
      </c>
      <c r="C2366" s="64">
        <v>12</v>
      </c>
      <c r="D2366" s="80">
        <f t="shared" si="77"/>
        <v>2016</v>
      </c>
      <c r="E2366" t="s">
        <v>38</v>
      </c>
      <c r="F2366" t="s">
        <v>143</v>
      </c>
      <c r="G2366" t="s">
        <v>10</v>
      </c>
      <c r="H2366" s="72" t="s">
        <v>210</v>
      </c>
      <c r="I2366" s="72" t="s">
        <v>52</v>
      </c>
      <c r="J2366" t="str">
        <f t="shared" si="76"/>
        <v>Nooksack River</v>
      </c>
      <c r="K2366" t="str">
        <f>IFERROR(VLOOKUP(J2366,LUTs!$A$1:$C$73,2,FALSE),"NA")</f>
        <v>Whatcom</v>
      </c>
      <c r="L2366" t="str">
        <f>IFERROR(VLOOKUP(J2366,LUTs!$A$1:$C$73,3,FALSE),"NA")</f>
        <v>1North Puget Sound</v>
      </c>
      <c r="M2366" s="72" t="s">
        <v>20</v>
      </c>
      <c r="N2366" t="str">
        <f>VLOOKUP(M2366,LUTs!E$2:H$14,3,)</f>
        <v>07Pierce</v>
      </c>
      <c r="O2366" t="str">
        <f>VLOOKUP(M2366,LUTs!E$2:H$14,4,)</f>
        <v>02South Puget Sound</v>
      </c>
      <c r="P2366" s="73">
        <v>19</v>
      </c>
      <c r="Q2366" s="74">
        <f>VLOOKUP(B2366,Readme!A$40:C$51,2,)*P2366</f>
        <v>164.35</v>
      </c>
    </row>
    <row r="2367" spans="1:17" ht="12" customHeight="1" x14ac:dyDescent="0.35">
      <c r="A2367" s="75">
        <v>2366</v>
      </c>
      <c r="B2367" s="64">
        <v>2016</v>
      </c>
      <c r="C2367" s="64">
        <v>9</v>
      </c>
      <c r="D2367" s="80">
        <f t="shared" si="77"/>
        <v>2016</v>
      </c>
      <c r="E2367" t="s">
        <v>38</v>
      </c>
      <c r="F2367" t="s">
        <v>143</v>
      </c>
      <c r="G2367" t="s">
        <v>10</v>
      </c>
      <c r="H2367" s="72" t="s">
        <v>211</v>
      </c>
      <c r="I2367" s="72" t="s">
        <v>53</v>
      </c>
      <c r="J2367" t="str">
        <f t="shared" si="76"/>
        <v>Carbon River</v>
      </c>
      <c r="K2367" t="str">
        <f>IFERROR(VLOOKUP(J2367,LUTs!$A$1:$C$73,2,FALSE),"NA")</f>
        <v>Pierce</v>
      </c>
      <c r="L2367" t="str">
        <f>IFERROR(VLOOKUP(J2367,LUTs!$A$1:$C$73,3,FALSE),"NA")</f>
        <v>3South Puget Sound</v>
      </c>
      <c r="M2367" s="72" t="s">
        <v>18</v>
      </c>
      <c r="N2367" t="str">
        <f>VLOOKUP(M2367,LUTs!E$2:H$14,3,)</f>
        <v>06King</v>
      </c>
      <c r="O2367" t="str">
        <f>VLOOKUP(M2367,LUTs!E$2:H$14,4,)</f>
        <v>02South Puget Sound</v>
      </c>
      <c r="P2367" s="73">
        <v>161.79545454545499</v>
      </c>
      <c r="Q2367" s="74">
        <f>VLOOKUP(B2367,Readme!A$40:C$51,2,)*P2367</f>
        <v>1399.5306818181857</v>
      </c>
    </row>
    <row r="2368" spans="1:17" ht="12" customHeight="1" x14ac:dyDescent="0.35">
      <c r="A2368" s="75">
        <v>2367</v>
      </c>
      <c r="B2368" s="64">
        <v>2016</v>
      </c>
      <c r="C2368" s="64">
        <v>9</v>
      </c>
      <c r="D2368" s="80">
        <f t="shared" si="77"/>
        <v>2016</v>
      </c>
      <c r="E2368" t="s">
        <v>38</v>
      </c>
      <c r="F2368" t="s">
        <v>143</v>
      </c>
      <c r="G2368" t="s">
        <v>10</v>
      </c>
      <c r="H2368" s="72" t="s">
        <v>211</v>
      </c>
      <c r="I2368" s="72" t="s">
        <v>53</v>
      </c>
      <c r="J2368" t="str">
        <f t="shared" si="76"/>
        <v>Carbon River</v>
      </c>
      <c r="K2368" t="str">
        <f>IFERROR(VLOOKUP(J2368,LUTs!$A$1:$C$73,2,FALSE),"NA")</f>
        <v>Pierce</v>
      </c>
      <c r="L2368" t="str">
        <f>IFERROR(VLOOKUP(J2368,LUTs!$A$1:$C$73,3,FALSE),"NA")</f>
        <v>3South Puget Sound</v>
      </c>
      <c r="M2368" s="72" t="s">
        <v>20</v>
      </c>
      <c r="N2368" t="str">
        <f>VLOOKUP(M2368,LUTs!E$2:H$14,3,)</f>
        <v>07Pierce</v>
      </c>
      <c r="O2368" t="str">
        <f>VLOOKUP(M2368,LUTs!E$2:H$14,4,)</f>
        <v>02South Puget Sound</v>
      </c>
      <c r="P2368" s="73">
        <v>566.28409090909099</v>
      </c>
      <c r="Q2368" s="74">
        <f>VLOOKUP(B2368,Readme!A$40:C$51,2,)*P2368</f>
        <v>4898.3573863636375</v>
      </c>
    </row>
    <row r="2369" spans="1:17" ht="12" customHeight="1" x14ac:dyDescent="0.35">
      <c r="A2369" s="75">
        <v>2368</v>
      </c>
      <c r="B2369" s="64">
        <v>2016</v>
      </c>
      <c r="C2369" s="64">
        <v>9</v>
      </c>
      <c r="D2369" s="80">
        <f t="shared" si="77"/>
        <v>2016</v>
      </c>
      <c r="E2369" t="s">
        <v>38</v>
      </c>
      <c r="F2369" t="s">
        <v>143</v>
      </c>
      <c r="G2369" t="s">
        <v>10</v>
      </c>
      <c r="H2369" s="72" t="s">
        <v>211</v>
      </c>
      <c r="I2369" s="72" t="s">
        <v>53</v>
      </c>
      <c r="J2369" t="str">
        <f t="shared" si="76"/>
        <v>Carbon River</v>
      </c>
      <c r="K2369" t="str">
        <f>IFERROR(VLOOKUP(J2369,LUTs!$A$1:$C$73,2,FALSE),"NA")</f>
        <v>Pierce</v>
      </c>
      <c r="L2369" t="str">
        <f>IFERROR(VLOOKUP(J2369,LUTs!$A$1:$C$73,3,FALSE),"NA")</f>
        <v>3South Puget Sound</v>
      </c>
      <c r="M2369" s="72" t="s">
        <v>21</v>
      </c>
      <c r="N2369" t="str">
        <f>VLOOKUP(M2369,LUTs!E$2:H$14,3,)</f>
        <v>08Thurston</v>
      </c>
      <c r="O2369" t="str">
        <f>VLOOKUP(M2369,LUTs!E$2:H$14,4,)</f>
        <v>02South Puget Sound</v>
      </c>
      <c r="P2369" s="73">
        <v>62.920454545454596</v>
      </c>
      <c r="Q2369" s="74">
        <f>VLOOKUP(B2369,Readme!A$40:C$51,2,)*P2369</f>
        <v>544.26193181818223</v>
      </c>
    </row>
    <row r="2370" spans="1:17" ht="12" customHeight="1" x14ac:dyDescent="0.35">
      <c r="A2370" s="75">
        <v>2369</v>
      </c>
      <c r="B2370" s="64">
        <v>2016</v>
      </c>
      <c r="C2370" s="64">
        <v>11</v>
      </c>
      <c r="D2370" s="80">
        <f t="shared" si="77"/>
        <v>2016</v>
      </c>
      <c r="E2370" t="s">
        <v>38</v>
      </c>
      <c r="F2370" t="s">
        <v>143</v>
      </c>
      <c r="G2370" t="s">
        <v>10</v>
      </c>
      <c r="H2370" s="72" t="s">
        <v>212</v>
      </c>
      <c r="I2370" s="72" t="s">
        <v>54</v>
      </c>
      <c r="J2370" t="str">
        <f t="shared" si="76"/>
        <v>Puyallup River</v>
      </c>
      <c r="K2370" t="str">
        <f>IFERROR(VLOOKUP(J2370,LUTs!$A$1:$C$73,2,FALSE),"NA")</f>
        <v>Pierce</v>
      </c>
      <c r="L2370" t="str">
        <f>IFERROR(VLOOKUP(J2370,LUTs!$A$1:$C$73,3,FALSE),"NA")</f>
        <v>3South Puget Sound</v>
      </c>
      <c r="M2370" s="72" t="s">
        <v>26</v>
      </c>
      <c r="N2370" t="str">
        <f>VLOOKUP(M2370,LUTs!E$2:H$14,3,)</f>
        <v>20Other</v>
      </c>
      <c r="O2370" t="str">
        <f>VLOOKUP(M2370,LUTs!E$2:H$14,4,)</f>
        <v>07Non Puget Sound</v>
      </c>
      <c r="P2370" s="73">
        <v>35</v>
      </c>
      <c r="Q2370" s="74">
        <f>VLOOKUP(B2370,Readme!A$40:C$51,2,)*P2370</f>
        <v>302.75</v>
      </c>
    </row>
    <row r="2371" spans="1:17" ht="12" customHeight="1" x14ac:dyDescent="0.35">
      <c r="A2371" s="75">
        <v>2370</v>
      </c>
      <c r="B2371" s="64">
        <v>2016</v>
      </c>
      <c r="C2371" s="64">
        <v>11</v>
      </c>
      <c r="D2371" s="80">
        <f t="shared" si="77"/>
        <v>2016</v>
      </c>
      <c r="E2371" t="s">
        <v>38</v>
      </c>
      <c r="F2371" t="s">
        <v>143</v>
      </c>
      <c r="G2371" t="s">
        <v>10</v>
      </c>
      <c r="H2371" s="72" t="s">
        <v>212</v>
      </c>
      <c r="I2371" s="72" t="s">
        <v>54</v>
      </c>
      <c r="J2371" t="str">
        <f t="shared" ref="J2371:J2434" si="78">I2371</f>
        <v>Puyallup River</v>
      </c>
      <c r="K2371" t="str">
        <f>IFERROR(VLOOKUP(J2371,LUTs!$A$1:$C$73,2,FALSE),"NA")</f>
        <v>Pierce</v>
      </c>
      <c r="L2371" t="str">
        <f>IFERROR(VLOOKUP(J2371,LUTs!$A$1:$C$73,3,FALSE),"NA")</f>
        <v>3South Puget Sound</v>
      </c>
      <c r="M2371" s="72" t="s">
        <v>20</v>
      </c>
      <c r="N2371" t="str">
        <f>VLOOKUP(M2371,LUTs!E$2:H$14,3,)</f>
        <v>07Pierce</v>
      </c>
      <c r="O2371" t="str">
        <f>VLOOKUP(M2371,LUTs!E$2:H$14,4,)</f>
        <v>02South Puget Sound</v>
      </c>
      <c r="P2371" s="73">
        <v>35</v>
      </c>
      <c r="Q2371" s="74">
        <f>VLOOKUP(B2371,Readme!A$40:C$51,2,)*P2371</f>
        <v>302.75</v>
      </c>
    </row>
    <row r="2372" spans="1:17" ht="12" customHeight="1" x14ac:dyDescent="0.35">
      <c r="A2372" s="75">
        <v>2371</v>
      </c>
      <c r="B2372" s="64">
        <v>2016</v>
      </c>
      <c r="C2372" s="64">
        <v>8</v>
      </c>
      <c r="D2372" s="80">
        <f t="shared" si="77"/>
        <v>2016</v>
      </c>
      <c r="E2372" t="s">
        <v>38</v>
      </c>
      <c r="F2372" t="s">
        <v>143</v>
      </c>
      <c r="G2372" t="s">
        <v>10</v>
      </c>
      <c r="H2372" s="72" t="s">
        <v>213</v>
      </c>
      <c r="I2372" s="72" t="s">
        <v>55</v>
      </c>
      <c r="J2372" t="str">
        <f t="shared" si="78"/>
        <v>Quilcene River</v>
      </c>
      <c r="K2372" t="str">
        <f>IFERROR(VLOOKUP(J2372,LUTs!$A$1:$C$73,2,FALSE),"NA")</f>
        <v>Jefferson</v>
      </c>
      <c r="L2372" t="str">
        <f>IFERROR(VLOOKUP(J2372,LUTs!$A$1:$C$73,3,FALSE),"NA")</f>
        <v>4 Hood Canal</v>
      </c>
      <c r="M2372" s="72" t="s">
        <v>24</v>
      </c>
      <c r="N2372" t="str">
        <f>VLOOKUP(M2372,LUTs!E$2:H$14,3,)</f>
        <v>11Clallam</v>
      </c>
      <c r="O2372" t="str">
        <f>VLOOKUP(M2372,LUTs!E$2:H$14,4,)</f>
        <v>03Strait of Juan de Fuca</v>
      </c>
      <c r="P2372" s="73">
        <v>436.857142857143</v>
      </c>
      <c r="Q2372" s="74">
        <f>VLOOKUP(B2372,Readme!A$40:C$51,2,)*P2372</f>
        <v>3778.8142857142871</v>
      </c>
    </row>
    <row r="2373" spans="1:17" ht="12" customHeight="1" x14ac:dyDescent="0.35">
      <c r="A2373" s="75">
        <v>2372</v>
      </c>
      <c r="B2373" s="64">
        <v>2016</v>
      </c>
      <c r="C2373" s="64">
        <v>8</v>
      </c>
      <c r="D2373" s="80">
        <f t="shared" si="77"/>
        <v>2016</v>
      </c>
      <c r="E2373" t="s">
        <v>38</v>
      </c>
      <c r="F2373" t="s">
        <v>143</v>
      </c>
      <c r="G2373" t="s">
        <v>10</v>
      </c>
      <c r="H2373" s="72" t="s">
        <v>213</v>
      </c>
      <c r="I2373" s="72" t="s">
        <v>55</v>
      </c>
      <c r="J2373" t="str">
        <f t="shared" si="78"/>
        <v>Quilcene River</v>
      </c>
      <c r="K2373" t="str">
        <f>IFERROR(VLOOKUP(J2373,LUTs!$A$1:$C$73,2,FALSE),"NA")</f>
        <v>Jefferson</v>
      </c>
      <c r="L2373" t="str">
        <f>IFERROR(VLOOKUP(J2373,LUTs!$A$1:$C$73,3,FALSE),"NA")</f>
        <v>4 Hood Canal</v>
      </c>
      <c r="M2373" s="72" t="s">
        <v>25</v>
      </c>
      <c r="N2373" t="str">
        <f>VLOOKUP(M2373,LUTs!E$2:H$14,3,)</f>
        <v>12Jefferson</v>
      </c>
      <c r="O2373" t="str">
        <f>VLOOKUP(M2373,LUTs!E$2:H$14,4,)</f>
        <v>03Strait of Juan de Fuca</v>
      </c>
      <c r="P2373" s="73">
        <v>69.5</v>
      </c>
      <c r="Q2373" s="74">
        <f>VLOOKUP(B2373,Readme!A$40:C$51,2,)*P2373</f>
        <v>601.17500000000007</v>
      </c>
    </row>
    <row r="2374" spans="1:17" ht="12" customHeight="1" x14ac:dyDescent="0.35">
      <c r="A2374" s="75">
        <v>2373</v>
      </c>
      <c r="B2374" s="64">
        <v>2016</v>
      </c>
      <c r="C2374" s="64">
        <v>8</v>
      </c>
      <c r="D2374" s="80">
        <f t="shared" si="77"/>
        <v>2016</v>
      </c>
      <c r="E2374" t="s">
        <v>38</v>
      </c>
      <c r="F2374" t="s">
        <v>143</v>
      </c>
      <c r="G2374" t="s">
        <v>10</v>
      </c>
      <c r="H2374" s="72" t="s">
        <v>213</v>
      </c>
      <c r="I2374" s="72" t="s">
        <v>55</v>
      </c>
      <c r="J2374" t="str">
        <f t="shared" si="78"/>
        <v>Quilcene River</v>
      </c>
      <c r="K2374" t="str">
        <f>IFERROR(VLOOKUP(J2374,LUTs!$A$1:$C$73,2,FALSE),"NA")</f>
        <v>Jefferson</v>
      </c>
      <c r="L2374" t="str">
        <f>IFERROR(VLOOKUP(J2374,LUTs!$A$1:$C$73,3,FALSE),"NA")</f>
        <v>4 Hood Canal</v>
      </c>
      <c r="M2374" s="72" t="s">
        <v>23</v>
      </c>
      <c r="N2374" t="str">
        <f>VLOOKUP(M2374,LUTs!E$2:H$14,3,)</f>
        <v>10Kitsap</v>
      </c>
      <c r="O2374" t="str">
        <f>VLOOKUP(M2374,LUTs!E$2:H$14,4,)</f>
        <v>02South Puget Sound</v>
      </c>
      <c r="P2374" s="73">
        <v>208.5</v>
      </c>
      <c r="Q2374" s="74">
        <f>VLOOKUP(B2374,Readme!A$40:C$51,2,)*P2374</f>
        <v>1803.5250000000001</v>
      </c>
    </row>
    <row r="2375" spans="1:17" ht="12" customHeight="1" x14ac:dyDescent="0.35">
      <c r="A2375" s="75">
        <v>2374</v>
      </c>
      <c r="B2375" s="64">
        <v>2016</v>
      </c>
      <c r="C2375" s="64">
        <v>8</v>
      </c>
      <c r="D2375" s="80">
        <f t="shared" si="77"/>
        <v>2016</v>
      </c>
      <c r="E2375" t="s">
        <v>38</v>
      </c>
      <c r="F2375" t="s">
        <v>143</v>
      </c>
      <c r="G2375" t="s">
        <v>10</v>
      </c>
      <c r="H2375" s="72" t="s">
        <v>213</v>
      </c>
      <c r="I2375" s="72" t="s">
        <v>55</v>
      </c>
      <c r="J2375" t="str">
        <f t="shared" si="78"/>
        <v>Quilcene River</v>
      </c>
      <c r="K2375" t="str">
        <f>IFERROR(VLOOKUP(J2375,LUTs!$A$1:$C$73,2,FALSE),"NA")</f>
        <v>Jefferson</v>
      </c>
      <c r="L2375" t="str">
        <f>IFERROR(VLOOKUP(J2375,LUTs!$A$1:$C$73,3,FALSE),"NA")</f>
        <v>4 Hood Canal</v>
      </c>
      <c r="M2375" s="72" t="s">
        <v>22</v>
      </c>
      <c r="N2375" t="str">
        <f>VLOOKUP(M2375,LUTs!E$2:H$14,3,)</f>
        <v>09Mason</v>
      </c>
      <c r="O2375" t="str">
        <f>VLOOKUP(M2375,LUTs!E$2:H$14,4,)</f>
        <v>02South Puget Sound</v>
      </c>
      <c r="P2375" s="73">
        <v>79.428571428571402</v>
      </c>
      <c r="Q2375" s="74">
        <f>VLOOKUP(B2375,Readme!A$40:C$51,2,)*P2375</f>
        <v>687.05714285714271</v>
      </c>
    </row>
    <row r="2376" spans="1:17" ht="12" customHeight="1" x14ac:dyDescent="0.35">
      <c r="A2376" s="75">
        <v>2375</v>
      </c>
      <c r="B2376" s="64">
        <v>2016</v>
      </c>
      <c r="C2376" s="64">
        <v>8</v>
      </c>
      <c r="D2376" s="80">
        <f t="shared" si="77"/>
        <v>2016</v>
      </c>
      <c r="E2376" t="s">
        <v>38</v>
      </c>
      <c r="F2376" t="s">
        <v>143</v>
      </c>
      <c r="G2376" t="s">
        <v>10</v>
      </c>
      <c r="H2376" s="72" t="s">
        <v>213</v>
      </c>
      <c r="I2376" s="72" t="s">
        <v>55</v>
      </c>
      <c r="J2376" t="str">
        <f t="shared" si="78"/>
        <v>Quilcene River</v>
      </c>
      <c r="K2376" t="str">
        <f>IFERROR(VLOOKUP(J2376,LUTs!$A$1:$C$73,2,FALSE),"NA")</f>
        <v>Jefferson</v>
      </c>
      <c r="L2376" t="str">
        <f>IFERROR(VLOOKUP(J2376,LUTs!$A$1:$C$73,3,FALSE),"NA")</f>
        <v>4 Hood Canal</v>
      </c>
      <c r="M2376" s="72" t="s">
        <v>20</v>
      </c>
      <c r="N2376" t="str">
        <f>VLOOKUP(M2376,LUTs!E$2:H$14,3,)</f>
        <v>07Pierce</v>
      </c>
      <c r="O2376" t="str">
        <f>VLOOKUP(M2376,LUTs!E$2:H$14,4,)</f>
        <v>02South Puget Sound</v>
      </c>
      <c r="P2376" s="73">
        <v>129.07142857142901</v>
      </c>
      <c r="Q2376" s="74">
        <f>VLOOKUP(B2376,Readme!A$40:C$51,2,)*P2376</f>
        <v>1116.467857142861</v>
      </c>
    </row>
    <row r="2377" spans="1:17" ht="12" customHeight="1" x14ac:dyDescent="0.35">
      <c r="A2377" s="75">
        <v>2376</v>
      </c>
      <c r="B2377" s="64">
        <v>2016</v>
      </c>
      <c r="C2377" s="64">
        <v>8</v>
      </c>
      <c r="D2377" s="80">
        <f t="shared" si="77"/>
        <v>2016</v>
      </c>
      <c r="E2377" t="s">
        <v>38</v>
      </c>
      <c r="F2377" t="s">
        <v>143</v>
      </c>
      <c r="G2377" t="s">
        <v>10</v>
      </c>
      <c r="H2377" s="72" t="s">
        <v>213</v>
      </c>
      <c r="I2377" s="72" t="s">
        <v>55</v>
      </c>
      <c r="J2377" t="str">
        <f t="shared" si="78"/>
        <v>Quilcene River</v>
      </c>
      <c r="K2377" t="str">
        <f>IFERROR(VLOOKUP(J2377,LUTs!$A$1:$C$73,2,FALSE),"NA")</f>
        <v>Jefferson</v>
      </c>
      <c r="L2377" t="str">
        <f>IFERROR(VLOOKUP(J2377,LUTs!$A$1:$C$73,3,FALSE),"NA")</f>
        <v>4 Hood Canal</v>
      </c>
      <c r="M2377" s="72" t="s">
        <v>16</v>
      </c>
      <c r="N2377" t="str">
        <f>VLOOKUP(M2377,LUTs!E$2:H$14,3,)</f>
        <v>03Snohomish</v>
      </c>
      <c r="O2377" t="str">
        <f>VLOOKUP(M2377,LUTs!E$2:H$14,4,)</f>
        <v>01North Puget Sound</v>
      </c>
      <c r="P2377" s="73">
        <v>39.714285714285701</v>
      </c>
      <c r="Q2377" s="74">
        <f>VLOOKUP(B2377,Readme!A$40:C$51,2,)*P2377</f>
        <v>343.52857142857135</v>
      </c>
    </row>
    <row r="2378" spans="1:17" ht="12" customHeight="1" x14ac:dyDescent="0.35">
      <c r="A2378" s="75">
        <v>2377</v>
      </c>
      <c r="B2378" s="64">
        <v>2016</v>
      </c>
      <c r="C2378" s="64">
        <v>8</v>
      </c>
      <c r="D2378" s="80">
        <f t="shared" si="77"/>
        <v>2016</v>
      </c>
      <c r="E2378" t="s">
        <v>38</v>
      </c>
      <c r="F2378" t="s">
        <v>143</v>
      </c>
      <c r="G2378" t="s">
        <v>10</v>
      </c>
      <c r="H2378" s="72" t="s">
        <v>213</v>
      </c>
      <c r="I2378" s="72" t="s">
        <v>55</v>
      </c>
      <c r="J2378" t="str">
        <f t="shared" si="78"/>
        <v>Quilcene River</v>
      </c>
      <c r="K2378" t="str">
        <f>IFERROR(VLOOKUP(J2378,LUTs!$A$1:$C$73,2,FALSE),"NA")</f>
        <v>Jefferson</v>
      </c>
      <c r="L2378" t="str">
        <f>IFERROR(VLOOKUP(J2378,LUTs!$A$1:$C$73,3,FALSE),"NA")</f>
        <v>4 Hood Canal</v>
      </c>
      <c r="M2378" s="72" t="s">
        <v>21</v>
      </c>
      <c r="N2378" t="str">
        <f>VLOOKUP(M2378,LUTs!E$2:H$14,3,)</f>
        <v>08Thurston</v>
      </c>
      <c r="O2378" t="str">
        <f>VLOOKUP(M2378,LUTs!E$2:H$14,4,)</f>
        <v>02South Puget Sound</v>
      </c>
      <c r="P2378" s="73">
        <v>9.9285714285714306</v>
      </c>
      <c r="Q2378" s="74">
        <f>VLOOKUP(B2378,Readme!A$40:C$51,2,)*P2378</f>
        <v>85.882142857142881</v>
      </c>
    </row>
    <row r="2379" spans="1:17" ht="12" customHeight="1" x14ac:dyDescent="0.35">
      <c r="A2379" s="75">
        <v>2378</v>
      </c>
      <c r="B2379" s="64">
        <v>2016</v>
      </c>
      <c r="C2379" s="64">
        <v>9</v>
      </c>
      <c r="D2379" s="80">
        <f t="shared" si="77"/>
        <v>2016</v>
      </c>
      <c r="E2379" t="s">
        <v>38</v>
      </c>
      <c r="F2379" t="s">
        <v>143</v>
      </c>
      <c r="G2379" t="s">
        <v>10</v>
      </c>
      <c r="H2379" s="72" t="s">
        <v>213</v>
      </c>
      <c r="I2379" s="72" t="s">
        <v>55</v>
      </c>
      <c r="J2379" t="str">
        <f t="shared" si="78"/>
        <v>Quilcene River</v>
      </c>
      <c r="K2379" t="str">
        <f>IFERROR(VLOOKUP(J2379,LUTs!$A$1:$C$73,2,FALSE),"NA")</f>
        <v>Jefferson</v>
      </c>
      <c r="L2379" t="str">
        <f>IFERROR(VLOOKUP(J2379,LUTs!$A$1:$C$73,3,FALSE),"NA")</f>
        <v>4 Hood Canal</v>
      </c>
      <c r="M2379" s="72" t="s">
        <v>24</v>
      </c>
      <c r="N2379" t="str">
        <f>VLOOKUP(M2379,LUTs!E$2:H$14,3,)</f>
        <v>11Clallam</v>
      </c>
      <c r="O2379" t="str">
        <f>VLOOKUP(M2379,LUTs!E$2:H$14,4,)</f>
        <v>03Strait of Juan de Fuca</v>
      </c>
      <c r="P2379" s="73">
        <v>324.59668508287302</v>
      </c>
      <c r="Q2379" s="74">
        <f>VLOOKUP(B2379,Readme!A$40:C$51,2,)*P2379</f>
        <v>2807.7613259668519</v>
      </c>
    </row>
    <row r="2380" spans="1:17" ht="12" customHeight="1" x14ac:dyDescent="0.35">
      <c r="A2380" s="75">
        <v>2379</v>
      </c>
      <c r="B2380" s="64">
        <v>2016</v>
      </c>
      <c r="C2380" s="64">
        <v>9</v>
      </c>
      <c r="D2380" s="80">
        <f t="shared" si="77"/>
        <v>2016</v>
      </c>
      <c r="E2380" t="s">
        <v>38</v>
      </c>
      <c r="F2380" t="s">
        <v>143</v>
      </c>
      <c r="G2380" t="s">
        <v>10</v>
      </c>
      <c r="H2380" s="72" t="s">
        <v>213</v>
      </c>
      <c r="I2380" s="72" t="s">
        <v>55</v>
      </c>
      <c r="J2380" t="str">
        <f t="shared" si="78"/>
        <v>Quilcene River</v>
      </c>
      <c r="K2380" t="str">
        <f>IFERROR(VLOOKUP(J2380,LUTs!$A$1:$C$73,2,FALSE),"NA")</f>
        <v>Jefferson</v>
      </c>
      <c r="L2380" t="str">
        <f>IFERROR(VLOOKUP(J2380,LUTs!$A$1:$C$73,3,FALSE),"NA")</f>
        <v>4 Hood Canal</v>
      </c>
      <c r="M2380" s="72" t="s">
        <v>17</v>
      </c>
      <c r="N2380" t="str">
        <f>VLOOKUP(M2380,LUTs!E$2:H$14,3,)</f>
        <v>04Island</v>
      </c>
      <c r="O2380" t="str">
        <f>VLOOKUP(M2380,LUTs!E$2:H$14,4,)</f>
        <v>01North Puget Sound</v>
      </c>
      <c r="P2380" s="73">
        <v>10.1436464088398</v>
      </c>
      <c r="Q2380" s="74">
        <f>VLOOKUP(B2380,Readme!A$40:C$51,2,)*P2380</f>
        <v>87.742541436464265</v>
      </c>
    </row>
    <row r="2381" spans="1:17" ht="12" customHeight="1" x14ac:dyDescent="0.35">
      <c r="A2381" s="75">
        <v>2380</v>
      </c>
      <c r="B2381" s="64">
        <v>2016</v>
      </c>
      <c r="C2381" s="64">
        <v>9</v>
      </c>
      <c r="D2381" s="80">
        <f t="shared" si="77"/>
        <v>2016</v>
      </c>
      <c r="E2381" t="s">
        <v>38</v>
      </c>
      <c r="F2381" t="s">
        <v>143</v>
      </c>
      <c r="G2381" t="s">
        <v>10</v>
      </c>
      <c r="H2381" s="72" t="s">
        <v>213</v>
      </c>
      <c r="I2381" s="72" t="s">
        <v>55</v>
      </c>
      <c r="J2381" t="str">
        <f t="shared" si="78"/>
        <v>Quilcene River</v>
      </c>
      <c r="K2381" t="str">
        <f>IFERROR(VLOOKUP(J2381,LUTs!$A$1:$C$73,2,FALSE),"NA")</f>
        <v>Jefferson</v>
      </c>
      <c r="L2381" t="str">
        <f>IFERROR(VLOOKUP(J2381,LUTs!$A$1:$C$73,3,FALSE),"NA")</f>
        <v>4 Hood Canal</v>
      </c>
      <c r="M2381" s="72" t="s">
        <v>25</v>
      </c>
      <c r="N2381" t="str">
        <f>VLOOKUP(M2381,LUTs!E$2:H$14,3,)</f>
        <v>12Jefferson</v>
      </c>
      <c r="O2381" t="str">
        <f>VLOOKUP(M2381,LUTs!E$2:H$14,4,)</f>
        <v>03Strait of Juan de Fuca</v>
      </c>
      <c r="P2381" s="73">
        <v>182.585635359116</v>
      </c>
      <c r="Q2381" s="74">
        <f>VLOOKUP(B2381,Readme!A$40:C$51,2,)*P2381</f>
        <v>1579.3657458563534</v>
      </c>
    </row>
    <row r="2382" spans="1:17" ht="12" customHeight="1" x14ac:dyDescent="0.35">
      <c r="A2382" s="75">
        <v>2381</v>
      </c>
      <c r="B2382" s="64">
        <v>2016</v>
      </c>
      <c r="C2382" s="64">
        <v>9</v>
      </c>
      <c r="D2382" s="80">
        <f t="shared" si="77"/>
        <v>2016</v>
      </c>
      <c r="E2382" t="s">
        <v>38</v>
      </c>
      <c r="F2382" t="s">
        <v>143</v>
      </c>
      <c r="G2382" t="s">
        <v>10</v>
      </c>
      <c r="H2382" s="72" t="s">
        <v>213</v>
      </c>
      <c r="I2382" s="72" t="s">
        <v>55</v>
      </c>
      <c r="J2382" t="str">
        <f t="shared" si="78"/>
        <v>Quilcene River</v>
      </c>
      <c r="K2382" t="str">
        <f>IFERROR(VLOOKUP(J2382,LUTs!$A$1:$C$73,2,FALSE),"NA")</f>
        <v>Jefferson</v>
      </c>
      <c r="L2382" t="str">
        <f>IFERROR(VLOOKUP(J2382,LUTs!$A$1:$C$73,3,FALSE),"NA")</f>
        <v>4 Hood Canal</v>
      </c>
      <c r="M2382" s="72" t="s">
        <v>18</v>
      </c>
      <c r="N2382" t="str">
        <f>VLOOKUP(M2382,LUTs!E$2:H$14,3,)</f>
        <v>06King</v>
      </c>
      <c r="O2382" t="str">
        <f>VLOOKUP(M2382,LUTs!E$2:H$14,4,)</f>
        <v>02South Puget Sound</v>
      </c>
      <c r="P2382" s="73">
        <v>50.718232044198899</v>
      </c>
      <c r="Q2382" s="74">
        <f>VLOOKUP(B2382,Readme!A$40:C$51,2,)*P2382</f>
        <v>438.71270718232051</v>
      </c>
    </row>
    <row r="2383" spans="1:17" ht="12" customHeight="1" x14ac:dyDescent="0.35">
      <c r="A2383" s="75">
        <v>2382</v>
      </c>
      <c r="B2383" s="64">
        <v>2016</v>
      </c>
      <c r="C2383" s="64">
        <v>9</v>
      </c>
      <c r="D2383" s="80">
        <f t="shared" si="77"/>
        <v>2016</v>
      </c>
      <c r="E2383" t="s">
        <v>38</v>
      </c>
      <c r="F2383" t="s">
        <v>143</v>
      </c>
      <c r="G2383" t="s">
        <v>10</v>
      </c>
      <c r="H2383" s="72" t="s">
        <v>213</v>
      </c>
      <c r="I2383" s="72" t="s">
        <v>55</v>
      </c>
      <c r="J2383" t="str">
        <f t="shared" si="78"/>
        <v>Quilcene River</v>
      </c>
      <c r="K2383" t="str">
        <f>IFERROR(VLOOKUP(J2383,LUTs!$A$1:$C$73,2,FALSE),"NA")</f>
        <v>Jefferson</v>
      </c>
      <c r="L2383" t="str">
        <f>IFERROR(VLOOKUP(J2383,LUTs!$A$1:$C$73,3,FALSE),"NA")</f>
        <v>4 Hood Canal</v>
      </c>
      <c r="M2383" s="72" t="s">
        <v>23</v>
      </c>
      <c r="N2383" t="str">
        <f>VLOOKUP(M2383,LUTs!E$2:H$14,3,)</f>
        <v>10Kitsap</v>
      </c>
      <c r="O2383" t="str">
        <f>VLOOKUP(M2383,LUTs!E$2:H$14,4,)</f>
        <v>02South Puget Sound</v>
      </c>
      <c r="P2383" s="73">
        <v>547.75690607734805</v>
      </c>
      <c r="Q2383" s="74">
        <f>VLOOKUP(B2383,Readme!A$40:C$51,2,)*P2383</f>
        <v>4738.0972375690608</v>
      </c>
    </row>
    <row r="2384" spans="1:17" ht="12" customHeight="1" x14ac:dyDescent="0.35">
      <c r="A2384" s="75">
        <v>2383</v>
      </c>
      <c r="B2384" s="64">
        <v>2016</v>
      </c>
      <c r="C2384" s="64">
        <v>9</v>
      </c>
      <c r="D2384" s="80">
        <f t="shared" si="77"/>
        <v>2016</v>
      </c>
      <c r="E2384" t="s">
        <v>38</v>
      </c>
      <c r="F2384" t="s">
        <v>143</v>
      </c>
      <c r="G2384" t="s">
        <v>10</v>
      </c>
      <c r="H2384" s="72" t="s">
        <v>213</v>
      </c>
      <c r="I2384" s="72" t="s">
        <v>55</v>
      </c>
      <c r="J2384" t="str">
        <f t="shared" si="78"/>
        <v>Quilcene River</v>
      </c>
      <c r="K2384" t="str">
        <f>IFERROR(VLOOKUP(J2384,LUTs!$A$1:$C$73,2,FALSE),"NA")</f>
        <v>Jefferson</v>
      </c>
      <c r="L2384" t="str">
        <f>IFERROR(VLOOKUP(J2384,LUTs!$A$1:$C$73,3,FALSE),"NA")</f>
        <v>4 Hood Canal</v>
      </c>
      <c r="M2384" s="72" t="s">
        <v>22</v>
      </c>
      <c r="N2384" t="str">
        <f>VLOOKUP(M2384,LUTs!E$2:H$14,3,)</f>
        <v>09Mason</v>
      </c>
      <c r="O2384" t="str">
        <f>VLOOKUP(M2384,LUTs!E$2:H$14,4,)</f>
        <v>02South Puget Sound</v>
      </c>
      <c r="P2384" s="73">
        <v>111.580110497238</v>
      </c>
      <c r="Q2384" s="74">
        <f>VLOOKUP(B2384,Readme!A$40:C$51,2,)*P2384</f>
        <v>965.16795580110875</v>
      </c>
    </row>
    <row r="2385" spans="1:17" ht="12" customHeight="1" x14ac:dyDescent="0.35">
      <c r="A2385" s="75">
        <v>2384</v>
      </c>
      <c r="B2385" s="64">
        <v>2016</v>
      </c>
      <c r="C2385" s="64">
        <v>9</v>
      </c>
      <c r="D2385" s="80">
        <f t="shared" si="77"/>
        <v>2016</v>
      </c>
      <c r="E2385" t="s">
        <v>38</v>
      </c>
      <c r="F2385" t="s">
        <v>143</v>
      </c>
      <c r="G2385" t="s">
        <v>10</v>
      </c>
      <c r="H2385" s="72" t="s">
        <v>213</v>
      </c>
      <c r="I2385" s="72" t="s">
        <v>55</v>
      </c>
      <c r="J2385" t="str">
        <f t="shared" si="78"/>
        <v>Quilcene River</v>
      </c>
      <c r="K2385" t="str">
        <f>IFERROR(VLOOKUP(J2385,LUTs!$A$1:$C$73,2,FALSE),"NA")</f>
        <v>Jefferson</v>
      </c>
      <c r="L2385" t="str">
        <f>IFERROR(VLOOKUP(J2385,LUTs!$A$1:$C$73,3,FALSE),"NA")</f>
        <v>4 Hood Canal</v>
      </c>
      <c r="M2385" s="72" t="s">
        <v>26</v>
      </c>
      <c r="N2385" t="str">
        <f>VLOOKUP(M2385,LUTs!E$2:H$14,3,)</f>
        <v>20Other</v>
      </c>
      <c r="O2385" t="str">
        <f>VLOOKUP(M2385,LUTs!E$2:H$14,4,)</f>
        <v>07Non Puget Sound</v>
      </c>
      <c r="P2385" s="73">
        <v>172.441988950276</v>
      </c>
      <c r="Q2385" s="74">
        <f>VLOOKUP(B2385,Readme!A$40:C$51,2,)*P2385</f>
        <v>1491.6232044198875</v>
      </c>
    </row>
    <row r="2386" spans="1:17" ht="12" customHeight="1" x14ac:dyDescent="0.35">
      <c r="A2386" s="75">
        <v>2385</v>
      </c>
      <c r="B2386" s="64">
        <v>2016</v>
      </c>
      <c r="C2386" s="64">
        <v>9</v>
      </c>
      <c r="D2386" s="80">
        <f t="shared" si="77"/>
        <v>2016</v>
      </c>
      <c r="E2386" t="s">
        <v>38</v>
      </c>
      <c r="F2386" t="s">
        <v>143</v>
      </c>
      <c r="G2386" t="s">
        <v>10</v>
      </c>
      <c r="H2386" s="72" t="s">
        <v>213</v>
      </c>
      <c r="I2386" s="72" t="s">
        <v>55</v>
      </c>
      <c r="J2386" t="str">
        <f t="shared" si="78"/>
        <v>Quilcene River</v>
      </c>
      <c r="K2386" t="str">
        <f>IFERROR(VLOOKUP(J2386,LUTs!$A$1:$C$73,2,FALSE),"NA")</f>
        <v>Jefferson</v>
      </c>
      <c r="L2386" t="str">
        <f>IFERROR(VLOOKUP(J2386,LUTs!$A$1:$C$73,3,FALSE),"NA")</f>
        <v>4 Hood Canal</v>
      </c>
      <c r="M2386" s="72" t="s">
        <v>20</v>
      </c>
      <c r="N2386" t="str">
        <f>VLOOKUP(M2386,LUTs!E$2:H$14,3,)</f>
        <v>07Pierce</v>
      </c>
      <c r="O2386" t="str">
        <f>VLOOKUP(M2386,LUTs!E$2:H$14,4,)</f>
        <v>02South Puget Sound</v>
      </c>
      <c r="P2386" s="73">
        <v>273.87845303867402</v>
      </c>
      <c r="Q2386" s="74">
        <f>VLOOKUP(B2386,Readme!A$40:C$51,2,)*P2386</f>
        <v>2369.0486187845304</v>
      </c>
    </row>
    <row r="2387" spans="1:17" ht="12" customHeight="1" x14ac:dyDescent="0.35">
      <c r="A2387" s="75">
        <v>2386</v>
      </c>
      <c r="B2387" s="64">
        <v>2016</v>
      </c>
      <c r="C2387" s="64">
        <v>9</v>
      </c>
      <c r="D2387" s="80">
        <f t="shared" si="77"/>
        <v>2016</v>
      </c>
      <c r="E2387" t="s">
        <v>38</v>
      </c>
      <c r="F2387" t="s">
        <v>143</v>
      </c>
      <c r="G2387" t="s">
        <v>10</v>
      </c>
      <c r="H2387" s="72" t="s">
        <v>213</v>
      </c>
      <c r="I2387" s="72" t="s">
        <v>55</v>
      </c>
      <c r="J2387" t="str">
        <f t="shared" si="78"/>
        <v>Quilcene River</v>
      </c>
      <c r="K2387" t="str">
        <f>IFERROR(VLOOKUP(J2387,LUTs!$A$1:$C$73,2,FALSE),"NA")</f>
        <v>Jefferson</v>
      </c>
      <c r="L2387" t="str">
        <f>IFERROR(VLOOKUP(J2387,LUTs!$A$1:$C$73,3,FALSE),"NA")</f>
        <v>4 Hood Canal</v>
      </c>
      <c r="M2387" s="72" t="s">
        <v>21</v>
      </c>
      <c r="N2387" t="str">
        <f>VLOOKUP(M2387,LUTs!E$2:H$14,3,)</f>
        <v>08Thurston</v>
      </c>
      <c r="O2387" t="str">
        <f>VLOOKUP(M2387,LUTs!E$2:H$14,4,)</f>
        <v>02South Puget Sound</v>
      </c>
      <c r="P2387" s="73">
        <v>162.298342541436</v>
      </c>
      <c r="Q2387" s="74">
        <f>VLOOKUP(B2387,Readme!A$40:C$51,2,)*P2387</f>
        <v>1403.8806629834214</v>
      </c>
    </row>
    <row r="2388" spans="1:17" ht="12" customHeight="1" x14ac:dyDescent="0.35">
      <c r="A2388" s="75">
        <v>2387</v>
      </c>
      <c r="B2388" s="64">
        <v>2016</v>
      </c>
      <c r="C2388" s="64">
        <v>10</v>
      </c>
      <c r="D2388" s="80">
        <f t="shared" si="77"/>
        <v>2016</v>
      </c>
      <c r="E2388" t="s">
        <v>38</v>
      </c>
      <c r="F2388" t="s">
        <v>143</v>
      </c>
      <c r="G2388" t="s">
        <v>10</v>
      </c>
      <c r="H2388" s="72" t="s">
        <v>213</v>
      </c>
      <c r="I2388" s="72" t="s">
        <v>55</v>
      </c>
      <c r="J2388" t="str">
        <f t="shared" si="78"/>
        <v>Quilcene River</v>
      </c>
      <c r="K2388" t="str">
        <f>IFERROR(VLOOKUP(J2388,LUTs!$A$1:$C$73,2,FALSE),"NA")</f>
        <v>Jefferson</v>
      </c>
      <c r="L2388" t="str">
        <f>IFERROR(VLOOKUP(J2388,LUTs!$A$1:$C$73,3,FALSE),"NA")</f>
        <v>4 Hood Canal</v>
      </c>
      <c r="M2388" s="72" t="s">
        <v>24</v>
      </c>
      <c r="N2388" t="str">
        <f>VLOOKUP(M2388,LUTs!E$2:H$14,3,)</f>
        <v>11Clallam</v>
      </c>
      <c r="O2388" t="str">
        <f>VLOOKUP(M2388,LUTs!E$2:H$14,4,)</f>
        <v>03Strait of Juan de Fuca</v>
      </c>
      <c r="P2388" s="73">
        <v>188.70454545454601</v>
      </c>
      <c r="Q2388" s="74">
        <f>VLOOKUP(B2388,Readme!A$40:C$51,2,)*P2388</f>
        <v>1632.294318181823</v>
      </c>
    </row>
    <row r="2389" spans="1:17" ht="12" customHeight="1" x14ac:dyDescent="0.35">
      <c r="A2389" s="75">
        <v>2388</v>
      </c>
      <c r="B2389" s="64">
        <v>2016</v>
      </c>
      <c r="C2389" s="64">
        <v>10</v>
      </c>
      <c r="D2389" s="80">
        <f t="shared" si="77"/>
        <v>2016</v>
      </c>
      <c r="E2389" t="s">
        <v>38</v>
      </c>
      <c r="F2389" t="s">
        <v>143</v>
      </c>
      <c r="G2389" t="s">
        <v>10</v>
      </c>
      <c r="H2389" s="72" t="s">
        <v>213</v>
      </c>
      <c r="I2389" s="72" t="s">
        <v>55</v>
      </c>
      <c r="J2389" t="str">
        <f t="shared" si="78"/>
        <v>Quilcene River</v>
      </c>
      <c r="K2389" t="str">
        <f>IFERROR(VLOOKUP(J2389,LUTs!$A$1:$C$73,2,FALSE),"NA")</f>
        <v>Jefferson</v>
      </c>
      <c r="L2389" t="str">
        <f>IFERROR(VLOOKUP(J2389,LUTs!$A$1:$C$73,3,FALSE),"NA")</f>
        <v>4 Hood Canal</v>
      </c>
      <c r="M2389" s="72" t="s">
        <v>25</v>
      </c>
      <c r="N2389" t="str">
        <f>VLOOKUP(M2389,LUTs!E$2:H$14,3,)</f>
        <v>12Jefferson</v>
      </c>
      <c r="O2389" t="str">
        <f>VLOOKUP(M2389,LUTs!E$2:H$14,4,)</f>
        <v>03Strait of Juan de Fuca</v>
      </c>
      <c r="P2389" s="73">
        <v>9.9318181818181799</v>
      </c>
      <c r="Q2389" s="74">
        <f>VLOOKUP(B2389,Readme!A$40:C$51,2,)*P2389</f>
        <v>85.910227272727255</v>
      </c>
    </row>
    <row r="2390" spans="1:17" ht="12" customHeight="1" x14ac:dyDescent="0.35">
      <c r="A2390" s="75">
        <v>2389</v>
      </c>
      <c r="B2390" s="64">
        <v>2016</v>
      </c>
      <c r="C2390" s="64">
        <v>10</v>
      </c>
      <c r="D2390" s="80">
        <f t="shared" si="77"/>
        <v>2016</v>
      </c>
      <c r="E2390" t="s">
        <v>38</v>
      </c>
      <c r="F2390" t="s">
        <v>143</v>
      </c>
      <c r="G2390" t="s">
        <v>10</v>
      </c>
      <c r="H2390" s="72" t="s">
        <v>213</v>
      </c>
      <c r="I2390" s="72" t="s">
        <v>55</v>
      </c>
      <c r="J2390" t="str">
        <f t="shared" si="78"/>
        <v>Quilcene River</v>
      </c>
      <c r="K2390" t="str">
        <f>IFERROR(VLOOKUP(J2390,LUTs!$A$1:$C$73,2,FALSE),"NA")</f>
        <v>Jefferson</v>
      </c>
      <c r="L2390" t="str">
        <f>IFERROR(VLOOKUP(J2390,LUTs!$A$1:$C$73,3,FALSE),"NA")</f>
        <v>4 Hood Canal</v>
      </c>
      <c r="M2390" s="72" t="s">
        <v>23</v>
      </c>
      <c r="N2390" t="str">
        <f>VLOOKUP(M2390,LUTs!E$2:H$14,3,)</f>
        <v>10Kitsap</v>
      </c>
      <c r="O2390" t="str">
        <f>VLOOKUP(M2390,LUTs!E$2:H$14,4,)</f>
        <v>02South Puget Sound</v>
      </c>
      <c r="P2390" s="73">
        <v>178.772727272727</v>
      </c>
      <c r="Q2390" s="74">
        <f>VLOOKUP(B2390,Readme!A$40:C$51,2,)*P2390</f>
        <v>1546.3840909090886</v>
      </c>
    </row>
    <row r="2391" spans="1:17" ht="12" customHeight="1" x14ac:dyDescent="0.35">
      <c r="A2391" s="75">
        <v>2390</v>
      </c>
      <c r="B2391" s="64">
        <v>2016</v>
      </c>
      <c r="C2391" s="64">
        <v>10</v>
      </c>
      <c r="D2391" s="80">
        <f t="shared" si="77"/>
        <v>2016</v>
      </c>
      <c r="E2391" t="s">
        <v>38</v>
      </c>
      <c r="F2391" t="s">
        <v>143</v>
      </c>
      <c r="G2391" t="s">
        <v>10</v>
      </c>
      <c r="H2391" s="72" t="s">
        <v>213</v>
      </c>
      <c r="I2391" s="72" t="s">
        <v>55</v>
      </c>
      <c r="J2391" t="str">
        <f t="shared" si="78"/>
        <v>Quilcene River</v>
      </c>
      <c r="K2391" t="str">
        <f>IFERROR(VLOOKUP(J2391,LUTs!$A$1:$C$73,2,FALSE),"NA")</f>
        <v>Jefferson</v>
      </c>
      <c r="L2391" t="str">
        <f>IFERROR(VLOOKUP(J2391,LUTs!$A$1:$C$73,3,FALSE),"NA")</f>
        <v>4 Hood Canal</v>
      </c>
      <c r="M2391" s="72" t="s">
        <v>26</v>
      </c>
      <c r="N2391" t="str">
        <f>VLOOKUP(M2391,LUTs!E$2:H$14,3,)</f>
        <v>20Other</v>
      </c>
      <c r="O2391" t="str">
        <f>VLOOKUP(M2391,LUTs!E$2:H$14,4,)</f>
        <v>07Non Puget Sound</v>
      </c>
      <c r="P2391" s="73">
        <v>49.659090909090899</v>
      </c>
      <c r="Q2391" s="74">
        <f>VLOOKUP(B2391,Readme!A$40:C$51,2,)*P2391</f>
        <v>429.55113636363632</v>
      </c>
    </row>
    <row r="2392" spans="1:17" ht="12" customHeight="1" x14ac:dyDescent="0.35">
      <c r="A2392" s="75">
        <v>2391</v>
      </c>
      <c r="B2392" s="64">
        <v>2016</v>
      </c>
      <c r="C2392" s="64">
        <v>10</v>
      </c>
      <c r="D2392" s="80">
        <f t="shared" si="77"/>
        <v>2016</v>
      </c>
      <c r="E2392" t="s">
        <v>38</v>
      </c>
      <c r="F2392" t="s">
        <v>143</v>
      </c>
      <c r="G2392" t="s">
        <v>10</v>
      </c>
      <c r="H2392" s="72" t="s">
        <v>213</v>
      </c>
      <c r="I2392" s="72" t="s">
        <v>55</v>
      </c>
      <c r="J2392" t="str">
        <f t="shared" si="78"/>
        <v>Quilcene River</v>
      </c>
      <c r="K2392" t="str">
        <f>IFERROR(VLOOKUP(J2392,LUTs!$A$1:$C$73,2,FALSE),"NA")</f>
        <v>Jefferson</v>
      </c>
      <c r="L2392" t="str">
        <f>IFERROR(VLOOKUP(J2392,LUTs!$A$1:$C$73,3,FALSE),"NA")</f>
        <v>4 Hood Canal</v>
      </c>
      <c r="M2392" s="72" t="s">
        <v>21</v>
      </c>
      <c r="N2392" t="str">
        <f>VLOOKUP(M2392,LUTs!E$2:H$14,3,)</f>
        <v>08Thurston</v>
      </c>
      <c r="O2392" t="str">
        <f>VLOOKUP(M2392,LUTs!E$2:H$14,4,)</f>
        <v>02South Puget Sound</v>
      </c>
      <c r="P2392" s="73">
        <v>9.9318181818181799</v>
      </c>
      <c r="Q2392" s="74">
        <f>VLOOKUP(B2392,Readme!A$40:C$51,2,)*P2392</f>
        <v>85.910227272727255</v>
      </c>
    </row>
    <row r="2393" spans="1:17" ht="12" customHeight="1" x14ac:dyDescent="0.35">
      <c r="A2393" s="75">
        <v>2392</v>
      </c>
      <c r="B2393" s="64">
        <v>2016</v>
      </c>
      <c r="C2393" s="64">
        <v>8</v>
      </c>
      <c r="D2393" s="80">
        <f t="shared" si="77"/>
        <v>2016</v>
      </c>
      <c r="E2393" t="s">
        <v>38</v>
      </c>
      <c r="F2393" t="s">
        <v>143</v>
      </c>
      <c r="G2393" t="s">
        <v>10</v>
      </c>
      <c r="H2393" s="72" t="s">
        <v>214</v>
      </c>
      <c r="I2393" s="72" t="s">
        <v>56</v>
      </c>
      <c r="J2393" t="str">
        <f t="shared" si="78"/>
        <v>Samish River</v>
      </c>
      <c r="K2393" t="str">
        <f>IFERROR(VLOOKUP(J2393,LUTs!$A$1:$C$73,2,FALSE),"NA")</f>
        <v>Skagit</v>
      </c>
      <c r="L2393" t="str">
        <f>IFERROR(VLOOKUP(J2393,LUTs!$A$1:$C$73,3,FALSE),"NA")</f>
        <v>1North Puget Sound</v>
      </c>
      <c r="M2393" s="72" t="s">
        <v>17</v>
      </c>
      <c r="N2393" t="str">
        <f>VLOOKUP(M2393,LUTs!E$2:H$14,3,)</f>
        <v>04Island</v>
      </c>
      <c r="O2393" t="str">
        <f>VLOOKUP(M2393,LUTs!E$2:H$14,4,)</f>
        <v>01North Puget Sound</v>
      </c>
      <c r="P2393" s="73">
        <v>30.12</v>
      </c>
      <c r="Q2393" s="74">
        <f>VLOOKUP(B2393,Readme!A$40:C$51,2,)*P2393</f>
        <v>260.53800000000001</v>
      </c>
    </row>
    <row r="2394" spans="1:17" ht="12" customHeight="1" x14ac:dyDescent="0.35">
      <c r="A2394" s="75">
        <v>2393</v>
      </c>
      <c r="B2394" s="64">
        <v>2016</v>
      </c>
      <c r="C2394" s="64">
        <v>8</v>
      </c>
      <c r="D2394" s="80">
        <f t="shared" si="77"/>
        <v>2016</v>
      </c>
      <c r="E2394" t="s">
        <v>38</v>
      </c>
      <c r="F2394" t="s">
        <v>143</v>
      </c>
      <c r="G2394" t="s">
        <v>10</v>
      </c>
      <c r="H2394" s="72" t="s">
        <v>214</v>
      </c>
      <c r="I2394" s="72" t="s">
        <v>56</v>
      </c>
      <c r="J2394" t="str">
        <f t="shared" si="78"/>
        <v>Samish River</v>
      </c>
      <c r="K2394" t="str">
        <f>IFERROR(VLOOKUP(J2394,LUTs!$A$1:$C$73,2,FALSE),"NA")</f>
        <v>Skagit</v>
      </c>
      <c r="L2394" t="str">
        <f>IFERROR(VLOOKUP(J2394,LUTs!$A$1:$C$73,3,FALSE),"NA")</f>
        <v>1North Puget Sound</v>
      </c>
      <c r="M2394" s="72" t="s">
        <v>18</v>
      </c>
      <c r="N2394" t="str">
        <f>VLOOKUP(M2394,LUTs!E$2:H$14,3,)</f>
        <v>06King</v>
      </c>
      <c r="O2394" t="str">
        <f>VLOOKUP(M2394,LUTs!E$2:H$14,4,)</f>
        <v>02South Puget Sound</v>
      </c>
      <c r="P2394" s="73">
        <v>50.2</v>
      </c>
      <c r="Q2394" s="74">
        <f>VLOOKUP(B2394,Readme!A$40:C$51,2,)*P2394</f>
        <v>434.23</v>
      </c>
    </row>
    <row r="2395" spans="1:17" ht="12" customHeight="1" x14ac:dyDescent="0.35">
      <c r="A2395" s="75">
        <v>2394</v>
      </c>
      <c r="B2395" s="64">
        <v>2016</v>
      </c>
      <c r="C2395" s="64">
        <v>8</v>
      </c>
      <c r="D2395" s="80">
        <f t="shared" si="77"/>
        <v>2016</v>
      </c>
      <c r="E2395" t="s">
        <v>38</v>
      </c>
      <c r="F2395" t="s">
        <v>143</v>
      </c>
      <c r="G2395" t="s">
        <v>10</v>
      </c>
      <c r="H2395" s="72" t="s">
        <v>214</v>
      </c>
      <c r="I2395" s="72" t="s">
        <v>56</v>
      </c>
      <c r="J2395" t="str">
        <f t="shared" si="78"/>
        <v>Samish River</v>
      </c>
      <c r="K2395" t="str">
        <f>IFERROR(VLOOKUP(J2395,LUTs!$A$1:$C$73,2,FALSE),"NA")</f>
        <v>Skagit</v>
      </c>
      <c r="L2395" t="str">
        <f>IFERROR(VLOOKUP(J2395,LUTs!$A$1:$C$73,3,FALSE),"NA")</f>
        <v>1North Puget Sound</v>
      </c>
      <c r="M2395" s="72" t="s">
        <v>20</v>
      </c>
      <c r="N2395" t="str">
        <f>VLOOKUP(M2395,LUTs!E$2:H$14,3,)</f>
        <v>07Pierce</v>
      </c>
      <c r="O2395" t="str">
        <f>VLOOKUP(M2395,LUTs!E$2:H$14,4,)</f>
        <v>02South Puget Sound</v>
      </c>
      <c r="P2395" s="73">
        <v>10.039999999999999</v>
      </c>
      <c r="Q2395" s="74">
        <f>VLOOKUP(B2395,Readme!A$40:C$51,2,)*P2395</f>
        <v>86.845999999999989</v>
      </c>
    </row>
    <row r="2396" spans="1:17" ht="12" customHeight="1" x14ac:dyDescent="0.35">
      <c r="A2396" s="75">
        <v>2395</v>
      </c>
      <c r="B2396" s="64">
        <v>2016</v>
      </c>
      <c r="C2396" s="64">
        <v>8</v>
      </c>
      <c r="D2396" s="80">
        <f t="shared" si="77"/>
        <v>2016</v>
      </c>
      <c r="E2396" t="s">
        <v>38</v>
      </c>
      <c r="F2396" t="s">
        <v>143</v>
      </c>
      <c r="G2396" t="s">
        <v>10</v>
      </c>
      <c r="H2396" s="72" t="s">
        <v>214</v>
      </c>
      <c r="I2396" s="72" t="s">
        <v>56</v>
      </c>
      <c r="J2396" t="str">
        <f t="shared" si="78"/>
        <v>Samish River</v>
      </c>
      <c r="K2396" t="str">
        <f>IFERROR(VLOOKUP(J2396,LUTs!$A$1:$C$73,2,FALSE),"NA")</f>
        <v>Skagit</v>
      </c>
      <c r="L2396" t="str">
        <f>IFERROR(VLOOKUP(J2396,LUTs!$A$1:$C$73,3,FALSE),"NA")</f>
        <v>1North Puget Sound</v>
      </c>
      <c r="M2396" s="72" t="s">
        <v>15</v>
      </c>
      <c r="N2396" t="str">
        <f>VLOOKUP(M2396,LUTs!E$2:H$14,3,)</f>
        <v>02Skagit</v>
      </c>
      <c r="O2396" t="str">
        <f>VLOOKUP(M2396,LUTs!E$2:H$14,4,)</f>
        <v>01North Puget Sound</v>
      </c>
      <c r="P2396" s="73">
        <v>60.24</v>
      </c>
      <c r="Q2396" s="74">
        <f>VLOOKUP(B2396,Readme!A$40:C$51,2,)*P2396</f>
        <v>521.07600000000002</v>
      </c>
    </row>
    <row r="2397" spans="1:17" ht="12" customHeight="1" x14ac:dyDescent="0.35">
      <c r="A2397" s="75">
        <v>2396</v>
      </c>
      <c r="B2397" s="64">
        <v>2016</v>
      </c>
      <c r="C2397" s="64">
        <v>8</v>
      </c>
      <c r="D2397" s="80">
        <f t="shared" si="77"/>
        <v>2016</v>
      </c>
      <c r="E2397" t="s">
        <v>38</v>
      </c>
      <c r="F2397" t="s">
        <v>143</v>
      </c>
      <c r="G2397" t="s">
        <v>10</v>
      </c>
      <c r="H2397" s="72" t="s">
        <v>214</v>
      </c>
      <c r="I2397" s="72" t="s">
        <v>56</v>
      </c>
      <c r="J2397" t="str">
        <f t="shared" si="78"/>
        <v>Samish River</v>
      </c>
      <c r="K2397" t="str">
        <f>IFERROR(VLOOKUP(J2397,LUTs!$A$1:$C$73,2,FALSE),"NA")</f>
        <v>Skagit</v>
      </c>
      <c r="L2397" t="str">
        <f>IFERROR(VLOOKUP(J2397,LUTs!$A$1:$C$73,3,FALSE),"NA")</f>
        <v>1North Puget Sound</v>
      </c>
      <c r="M2397" s="72" t="s">
        <v>16</v>
      </c>
      <c r="N2397" t="str">
        <f>VLOOKUP(M2397,LUTs!E$2:H$14,3,)</f>
        <v>03Snohomish</v>
      </c>
      <c r="O2397" t="str">
        <f>VLOOKUP(M2397,LUTs!E$2:H$14,4,)</f>
        <v>01North Puget Sound</v>
      </c>
      <c r="P2397" s="73">
        <v>240.96</v>
      </c>
      <c r="Q2397" s="74">
        <f>VLOOKUP(B2397,Readme!A$40:C$51,2,)*P2397</f>
        <v>2084.3040000000001</v>
      </c>
    </row>
    <row r="2398" spans="1:17" ht="12" customHeight="1" x14ac:dyDescent="0.35">
      <c r="A2398" s="75">
        <v>2397</v>
      </c>
      <c r="B2398" s="64">
        <v>2016</v>
      </c>
      <c r="C2398" s="64">
        <v>8</v>
      </c>
      <c r="D2398" s="80">
        <f t="shared" si="77"/>
        <v>2016</v>
      </c>
      <c r="E2398" t="s">
        <v>38</v>
      </c>
      <c r="F2398" t="s">
        <v>143</v>
      </c>
      <c r="G2398" t="s">
        <v>10</v>
      </c>
      <c r="H2398" s="72" t="s">
        <v>214</v>
      </c>
      <c r="I2398" s="72" t="s">
        <v>56</v>
      </c>
      <c r="J2398" t="str">
        <f t="shared" si="78"/>
        <v>Samish River</v>
      </c>
      <c r="K2398" t="str">
        <f>IFERROR(VLOOKUP(J2398,LUTs!$A$1:$C$73,2,FALSE),"NA")</f>
        <v>Skagit</v>
      </c>
      <c r="L2398" t="str">
        <f>IFERROR(VLOOKUP(J2398,LUTs!$A$1:$C$73,3,FALSE),"NA")</f>
        <v>1North Puget Sound</v>
      </c>
      <c r="M2398" s="72" t="s">
        <v>13</v>
      </c>
      <c r="N2398" t="str">
        <f>VLOOKUP(M2398,LUTs!E$2:H$14,3,)</f>
        <v>01Whatcom</v>
      </c>
      <c r="O2398" t="str">
        <f>VLOOKUP(M2398,LUTs!E$2:H$14,4,)</f>
        <v>01North Puget Sound</v>
      </c>
      <c r="P2398" s="73">
        <v>110.44</v>
      </c>
      <c r="Q2398" s="74">
        <f>VLOOKUP(B2398,Readme!A$40:C$51,2,)*P2398</f>
        <v>955.30600000000004</v>
      </c>
    </row>
    <row r="2399" spans="1:17" ht="12" customHeight="1" x14ac:dyDescent="0.35">
      <c r="A2399" s="75">
        <v>2398</v>
      </c>
      <c r="B2399" s="64">
        <v>2016</v>
      </c>
      <c r="C2399" s="64">
        <v>9</v>
      </c>
      <c r="D2399" s="80">
        <f t="shared" si="77"/>
        <v>2016</v>
      </c>
      <c r="E2399" t="s">
        <v>38</v>
      </c>
      <c r="F2399" t="s">
        <v>143</v>
      </c>
      <c r="G2399" t="s">
        <v>10</v>
      </c>
      <c r="H2399" s="72" t="s">
        <v>214</v>
      </c>
      <c r="I2399" s="72" t="s">
        <v>56</v>
      </c>
      <c r="J2399" t="str">
        <f t="shared" si="78"/>
        <v>Samish River</v>
      </c>
      <c r="K2399" t="str">
        <f>IFERROR(VLOOKUP(J2399,LUTs!$A$1:$C$73,2,FALSE),"NA")</f>
        <v>Skagit</v>
      </c>
      <c r="L2399" t="str">
        <f>IFERROR(VLOOKUP(J2399,LUTs!$A$1:$C$73,3,FALSE),"NA")</f>
        <v>1North Puget Sound</v>
      </c>
      <c r="M2399" s="72" t="s">
        <v>17</v>
      </c>
      <c r="N2399" t="str">
        <f>VLOOKUP(M2399,LUTs!E$2:H$14,3,)</f>
        <v>04Island</v>
      </c>
      <c r="O2399" t="str">
        <f>VLOOKUP(M2399,LUTs!E$2:H$14,4,)</f>
        <v>01North Puget Sound</v>
      </c>
      <c r="P2399" s="73">
        <v>503.893805309735</v>
      </c>
      <c r="Q2399" s="74">
        <f>VLOOKUP(B2399,Readme!A$40:C$51,2,)*P2399</f>
        <v>4358.681415929208</v>
      </c>
    </row>
    <row r="2400" spans="1:17" ht="12" customHeight="1" x14ac:dyDescent="0.35">
      <c r="A2400" s="75">
        <v>2399</v>
      </c>
      <c r="B2400" s="64">
        <v>2016</v>
      </c>
      <c r="C2400" s="64">
        <v>9</v>
      </c>
      <c r="D2400" s="80">
        <f t="shared" si="77"/>
        <v>2016</v>
      </c>
      <c r="E2400" t="s">
        <v>38</v>
      </c>
      <c r="F2400" t="s">
        <v>143</v>
      </c>
      <c r="G2400" t="s">
        <v>10</v>
      </c>
      <c r="H2400" s="72" t="s">
        <v>214</v>
      </c>
      <c r="I2400" s="72" t="s">
        <v>56</v>
      </c>
      <c r="J2400" t="str">
        <f t="shared" si="78"/>
        <v>Samish River</v>
      </c>
      <c r="K2400" t="str">
        <f>IFERROR(VLOOKUP(J2400,LUTs!$A$1:$C$73,2,FALSE),"NA")</f>
        <v>Skagit</v>
      </c>
      <c r="L2400" t="str">
        <f>IFERROR(VLOOKUP(J2400,LUTs!$A$1:$C$73,3,FALSE),"NA")</f>
        <v>1North Puget Sound</v>
      </c>
      <c r="M2400" s="72" t="s">
        <v>18</v>
      </c>
      <c r="N2400" t="str">
        <f>VLOOKUP(M2400,LUTs!E$2:H$14,3,)</f>
        <v>06King</v>
      </c>
      <c r="O2400" t="str">
        <f>VLOOKUP(M2400,LUTs!E$2:H$14,4,)</f>
        <v>02South Puget Sound</v>
      </c>
      <c r="P2400" s="73">
        <v>348.84955752212397</v>
      </c>
      <c r="Q2400" s="74">
        <f>VLOOKUP(B2400,Readme!A$40:C$51,2,)*P2400</f>
        <v>3017.5486725663727</v>
      </c>
    </row>
    <row r="2401" spans="1:17" ht="12" customHeight="1" x14ac:dyDescent="0.35">
      <c r="A2401" s="75">
        <v>2400</v>
      </c>
      <c r="B2401" s="64">
        <v>2016</v>
      </c>
      <c r="C2401" s="64">
        <v>9</v>
      </c>
      <c r="D2401" s="80">
        <f t="shared" si="77"/>
        <v>2016</v>
      </c>
      <c r="E2401" t="s">
        <v>38</v>
      </c>
      <c r="F2401" t="s">
        <v>143</v>
      </c>
      <c r="G2401" t="s">
        <v>10</v>
      </c>
      <c r="H2401" s="72" t="s">
        <v>214</v>
      </c>
      <c r="I2401" s="72" t="s">
        <v>56</v>
      </c>
      <c r="J2401" t="str">
        <f t="shared" si="78"/>
        <v>Samish River</v>
      </c>
      <c r="K2401" t="str">
        <f>IFERROR(VLOOKUP(J2401,LUTs!$A$1:$C$73,2,FALSE),"NA")</f>
        <v>Skagit</v>
      </c>
      <c r="L2401" t="str">
        <f>IFERROR(VLOOKUP(J2401,LUTs!$A$1:$C$73,3,FALSE),"NA")</f>
        <v>1North Puget Sound</v>
      </c>
      <c r="M2401" s="72" t="s">
        <v>26</v>
      </c>
      <c r="N2401" t="str">
        <f>VLOOKUP(M2401,LUTs!E$2:H$14,3,)</f>
        <v>20Other</v>
      </c>
      <c r="O2401" t="str">
        <f>VLOOKUP(M2401,LUTs!E$2:H$14,4,)</f>
        <v>07Non Puget Sound</v>
      </c>
      <c r="P2401" s="73">
        <v>377.92035398230098</v>
      </c>
      <c r="Q2401" s="74">
        <f>VLOOKUP(B2401,Readme!A$40:C$51,2,)*P2401</f>
        <v>3269.0110619469037</v>
      </c>
    </row>
    <row r="2402" spans="1:17" ht="12" customHeight="1" x14ac:dyDescent="0.35">
      <c r="A2402" s="75">
        <v>2401</v>
      </c>
      <c r="B2402" s="64">
        <v>2016</v>
      </c>
      <c r="C2402" s="64">
        <v>9</v>
      </c>
      <c r="D2402" s="80">
        <f t="shared" si="77"/>
        <v>2016</v>
      </c>
      <c r="E2402" t="s">
        <v>38</v>
      </c>
      <c r="F2402" t="s">
        <v>143</v>
      </c>
      <c r="G2402" t="s">
        <v>10</v>
      </c>
      <c r="H2402" s="72" t="s">
        <v>214</v>
      </c>
      <c r="I2402" s="72" t="s">
        <v>56</v>
      </c>
      <c r="J2402" t="str">
        <f t="shared" si="78"/>
        <v>Samish River</v>
      </c>
      <c r="K2402" t="str">
        <f>IFERROR(VLOOKUP(J2402,LUTs!$A$1:$C$73,2,FALSE),"NA")</f>
        <v>Skagit</v>
      </c>
      <c r="L2402" t="str">
        <f>IFERROR(VLOOKUP(J2402,LUTs!$A$1:$C$73,3,FALSE),"NA")</f>
        <v>1North Puget Sound</v>
      </c>
      <c r="M2402" s="72" t="s">
        <v>20</v>
      </c>
      <c r="N2402" t="str">
        <f>VLOOKUP(M2402,LUTs!E$2:H$14,3,)</f>
        <v>07Pierce</v>
      </c>
      <c r="O2402" t="str">
        <f>VLOOKUP(M2402,LUTs!E$2:H$14,4,)</f>
        <v>02South Puget Sound</v>
      </c>
      <c r="P2402" s="73">
        <v>125.97345132743401</v>
      </c>
      <c r="Q2402" s="74">
        <f>VLOOKUP(B2402,Readme!A$40:C$51,2,)*P2402</f>
        <v>1089.6703539823043</v>
      </c>
    </row>
    <row r="2403" spans="1:17" ht="12" customHeight="1" x14ac:dyDescent="0.35">
      <c r="A2403" s="75">
        <v>2402</v>
      </c>
      <c r="B2403" s="64">
        <v>2016</v>
      </c>
      <c r="C2403" s="64">
        <v>9</v>
      </c>
      <c r="D2403" s="80">
        <f t="shared" si="77"/>
        <v>2016</v>
      </c>
      <c r="E2403" t="s">
        <v>38</v>
      </c>
      <c r="F2403" t="s">
        <v>143</v>
      </c>
      <c r="G2403" t="s">
        <v>10</v>
      </c>
      <c r="H2403" s="72" t="s">
        <v>214</v>
      </c>
      <c r="I2403" s="72" t="s">
        <v>56</v>
      </c>
      <c r="J2403" t="str">
        <f t="shared" si="78"/>
        <v>Samish River</v>
      </c>
      <c r="K2403" t="str">
        <f>IFERROR(VLOOKUP(J2403,LUTs!$A$1:$C$73,2,FALSE),"NA")</f>
        <v>Skagit</v>
      </c>
      <c r="L2403" t="str">
        <f>IFERROR(VLOOKUP(J2403,LUTs!$A$1:$C$73,3,FALSE),"NA")</f>
        <v>1North Puget Sound</v>
      </c>
      <c r="M2403" s="72" t="s">
        <v>15</v>
      </c>
      <c r="N2403" t="str">
        <f>VLOOKUP(M2403,LUTs!E$2:H$14,3,)</f>
        <v>02Skagit</v>
      </c>
      <c r="O2403" t="str">
        <f>VLOOKUP(M2403,LUTs!E$2:H$14,4,)</f>
        <v>01North Puget Sound</v>
      </c>
      <c r="P2403" s="73">
        <v>532.96460176991195</v>
      </c>
      <c r="Q2403" s="74">
        <f>VLOOKUP(B2403,Readme!A$40:C$51,2,)*P2403</f>
        <v>4610.1438053097381</v>
      </c>
    </row>
    <row r="2404" spans="1:17" ht="12" customHeight="1" x14ac:dyDescent="0.35">
      <c r="A2404" s="75">
        <v>2403</v>
      </c>
      <c r="B2404" s="64">
        <v>2016</v>
      </c>
      <c r="C2404" s="64">
        <v>9</v>
      </c>
      <c r="D2404" s="80">
        <f t="shared" si="77"/>
        <v>2016</v>
      </c>
      <c r="E2404" t="s">
        <v>38</v>
      </c>
      <c r="F2404" t="s">
        <v>143</v>
      </c>
      <c r="G2404" t="s">
        <v>10</v>
      </c>
      <c r="H2404" s="72" t="s">
        <v>214</v>
      </c>
      <c r="I2404" s="72" t="s">
        <v>56</v>
      </c>
      <c r="J2404" t="str">
        <f t="shared" si="78"/>
        <v>Samish River</v>
      </c>
      <c r="K2404" t="str">
        <f>IFERROR(VLOOKUP(J2404,LUTs!$A$1:$C$73,2,FALSE),"NA")</f>
        <v>Skagit</v>
      </c>
      <c r="L2404" t="str">
        <f>IFERROR(VLOOKUP(J2404,LUTs!$A$1:$C$73,3,FALSE),"NA")</f>
        <v>1North Puget Sound</v>
      </c>
      <c r="M2404" s="72" t="s">
        <v>16</v>
      </c>
      <c r="N2404" t="str">
        <f>VLOOKUP(M2404,LUTs!E$2:H$14,3,)</f>
        <v>03Snohomish</v>
      </c>
      <c r="O2404" t="str">
        <f>VLOOKUP(M2404,LUTs!E$2:H$14,4,)</f>
        <v>01North Puget Sound</v>
      </c>
      <c r="P2404" s="73">
        <v>1783.0088495575201</v>
      </c>
      <c r="Q2404" s="74">
        <f>VLOOKUP(B2404,Readme!A$40:C$51,2,)*P2404</f>
        <v>15423.026548672549</v>
      </c>
    </row>
    <row r="2405" spans="1:17" ht="12" customHeight="1" x14ac:dyDescent="0.35">
      <c r="A2405" s="75">
        <v>2404</v>
      </c>
      <c r="B2405" s="64">
        <v>2016</v>
      </c>
      <c r="C2405" s="64">
        <v>9</v>
      </c>
      <c r="D2405" s="80">
        <f t="shared" si="77"/>
        <v>2016</v>
      </c>
      <c r="E2405" t="s">
        <v>38</v>
      </c>
      <c r="F2405" t="s">
        <v>143</v>
      </c>
      <c r="G2405" t="s">
        <v>10</v>
      </c>
      <c r="H2405" s="72" t="s">
        <v>214</v>
      </c>
      <c r="I2405" s="72" t="s">
        <v>56</v>
      </c>
      <c r="J2405" t="str">
        <f t="shared" si="78"/>
        <v>Samish River</v>
      </c>
      <c r="K2405" t="str">
        <f>IFERROR(VLOOKUP(J2405,LUTs!$A$1:$C$73,2,FALSE),"NA")</f>
        <v>Skagit</v>
      </c>
      <c r="L2405" t="str">
        <f>IFERROR(VLOOKUP(J2405,LUTs!$A$1:$C$73,3,FALSE),"NA")</f>
        <v>1North Puget Sound</v>
      </c>
      <c r="M2405" s="72" t="s">
        <v>13</v>
      </c>
      <c r="N2405" t="str">
        <f>VLOOKUP(M2405,LUTs!E$2:H$14,3,)</f>
        <v>01Whatcom</v>
      </c>
      <c r="O2405" t="str">
        <f>VLOOKUP(M2405,LUTs!E$2:H$14,4,)</f>
        <v>01North Puget Sound</v>
      </c>
      <c r="P2405" s="73">
        <v>707.38938053097297</v>
      </c>
      <c r="Q2405" s="74">
        <f>VLOOKUP(B2405,Readme!A$40:C$51,2,)*P2405</f>
        <v>6118.9181415929161</v>
      </c>
    </row>
    <row r="2406" spans="1:17" ht="12" customHeight="1" x14ac:dyDescent="0.35">
      <c r="A2406" s="75">
        <v>2405</v>
      </c>
      <c r="B2406" s="64">
        <v>2016</v>
      </c>
      <c r="C2406" s="64">
        <v>10</v>
      </c>
      <c r="D2406" s="80">
        <f t="shared" si="77"/>
        <v>2016</v>
      </c>
      <c r="E2406" t="s">
        <v>38</v>
      </c>
      <c r="F2406" t="s">
        <v>143</v>
      </c>
      <c r="G2406" t="s">
        <v>10</v>
      </c>
      <c r="H2406" s="72" t="s">
        <v>214</v>
      </c>
      <c r="I2406" s="72" t="s">
        <v>56</v>
      </c>
      <c r="J2406" t="str">
        <f t="shared" si="78"/>
        <v>Samish River</v>
      </c>
      <c r="K2406" t="str">
        <f>IFERROR(VLOOKUP(J2406,LUTs!$A$1:$C$73,2,FALSE),"NA")</f>
        <v>Skagit</v>
      </c>
      <c r="L2406" t="str">
        <f>IFERROR(VLOOKUP(J2406,LUTs!$A$1:$C$73,3,FALSE),"NA")</f>
        <v>1North Puget Sound</v>
      </c>
      <c r="M2406" s="72" t="s">
        <v>17</v>
      </c>
      <c r="N2406" t="str">
        <f>VLOOKUP(M2406,LUTs!E$2:H$14,3,)</f>
        <v>04Island</v>
      </c>
      <c r="O2406" t="str">
        <f>VLOOKUP(M2406,LUTs!E$2:H$14,4,)</f>
        <v>01North Puget Sound</v>
      </c>
      <c r="P2406" s="73">
        <v>98.809523809523796</v>
      </c>
      <c r="Q2406" s="74">
        <f>VLOOKUP(B2406,Readme!A$40:C$51,2,)*P2406</f>
        <v>854.70238095238085</v>
      </c>
    </row>
    <row r="2407" spans="1:17" ht="12" customHeight="1" x14ac:dyDescent="0.35">
      <c r="A2407" s="75">
        <v>2406</v>
      </c>
      <c r="B2407" s="64">
        <v>2016</v>
      </c>
      <c r="C2407" s="64">
        <v>10</v>
      </c>
      <c r="D2407" s="80">
        <f t="shared" si="77"/>
        <v>2016</v>
      </c>
      <c r="E2407" t="s">
        <v>38</v>
      </c>
      <c r="F2407" t="s">
        <v>143</v>
      </c>
      <c r="G2407" t="s">
        <v>10</v>
      </c>
      <c r="H2407" s="72" t="s">
        <v>214</v>
      </c>
      <c r="I2407" s="72" t="s">
        <v>56</v>
      </c>
      <c r="J2407" t="str">
        <f t="shared" si="78"/>
        <v>Samish River</v>
      </c>
      <c r="K2407" t="str">
        <f>IFERROR(VLOOKUP(J2407,LUTs!$A$1:$C$73,2,FALSE),"NA")</f>
        <v>Skagit</v>
      </c>
      <c r="L2407" t="str">
        <f>IFERROR(VLOOKUP(J2407,LUTs!$A$1:$C$73,3,FALSE),"NA")</f>
        <v>1North Puget Sound</v>
      </c>
      <c r="M2407" s="72" t="s">
        <v>18</v>
      </c>
      <c r="N2407" t="str">
        <f>VLOOKUP(M2407,LUTs!E$2:H$14,3,)</f>
        <v>06King</v>
      </c>
      <c r="O2407" t="str">
        <f>VLOOKUP(M2407,LUTs!E$2:H$14,4,)</f>
        <v>02South Puget Sound</v>
      </c>
      <c r="P2407" s="73">
        <v>49.404761904761898</v>
      </c>
      <c r="Q2407" s="74">
        <f>VLOOKUP(B2407,Readme!A$40:C$51,2,)*P2407</f>
        <v>427.35119047619042</v>
      </c>
    </row>
    <row r="2408" spans="1:17" ht="12" customHeight="1" x14ac:dyDescent="0.35">
      <c r="A2408" s="75">
        <v>2407</v>
      </c>
      <c r="B2408" s="64">
        <v>2016</v>
      </c>
      <c r="C2408" s="64">
        <v>10</v>
      </c>
      <c r="D2408" s="80">
        <f t="shared" si="77"/>
        <v>2016</v>
      </c>
      <c r="E2408" t="s">
        <v>38</v>
      </c>
      <c r="F2408" t="s">
        <v>143</v>
      </c>
      <c r="G2408" t="s">
        <v>10</v>
      </c>
      <c r="H2408" s="72" t="s">
        <v>214</v>
      </c>
      <c r="I2408" s="72" t="s">
        <v>56</v>
      </c>
      <c r="J2408" t="str">
        <f t="shared" si="78"/>
        <v>Samish River</v>
      </c>
      <c r="K2408" t="str">
        <f>IFERROR(VLOOKUP(J2408,LUTs!$A$1:$C$73,2,FALSE),"NA")</f>
        <v>Skagit</v>
      </c>
      <c r="L2408" t="str">
        <f>IFERROR(VLOOKUP(J2408,LUTs!$A$1:$C$73,3,FALSE),"NA")</f>
        <v>1North Puget Sound</v>
      </c>
      <c r="M2408" s="72" t="s">
        <v>26</v>
      </c>
      <c r="N2408" t="str">
        <f>VLOOKUP(M2408,LUTs!E$2:H$14,3,)</f>
        <v>20Other</v>
      </c>
      <c r="O2408" t="str">
        <f>VLOOKUP(M2408,LUTs!E$2:H$14,4,)</f>
        <v>07Non Puget Sound</v>
      </c>
      <c r="P2408" s="73">
        <v>138.333333333333</v>
      </c>
      <c r="Q2408" s="74">
        <f>VLOOKUP(B2408,Readme!A$40:C$51,2,)*P2408</f>
        <v>1196.5833333333305</v>
      </c>
    </row>
    <row r="2409" spans="1:17" ht="12" customHeight="1" x14ac:dyDescent="0.35">
      <c r="A2409" s="75">
        <v>2408</v>
      </c>
      <c r="B2409" s="64">
        <v>2016</v>
      </c>
      <c r="C2409" s="64">
        <v>10</v>
      </c>
      <c r="D2409" s="80">
        <f t="shared" si="77"/>
        <v>2016</v>
      </c>
      <c r="E2409" t="s">
        <v>38</v>
      </c>
      <c r="F2409" t="s">
        <v>143</v>
      </c>
      <c r="G2409" t="s">
        <v>10</v>
      </c>
      <c r="H2409" s="72" t="s">
        <v>214</v>
      </c>
      <c r="I2409" s="72" t="s">
        <v>56</v>
      </c>
      <c r="J2409" t="str">
        <f t="shared" si="78"/>
        <v>Samish River</v>
      </c>
      <c r="K2409" t="str">
        <f>IFERROR(VLOOKUP(J2409,LUTs!$A$1:$C$73,2,FALSE),"NA")</f>
        <v>Skagit</v>
      </c>
      <c r="L2409" t="str">
        <f>IFERROR(VLOOKUP(J2409,LUTs!$A$1:$C$73,3,FALSE),"NA")</f>
        <v>1North Puget Sound</v>
      </c>
      <c r="M2409" s="72" t="s">
        <v>20</v>
      </c>
      <c r="N2409" t="str">
        <f>VLOOKUP(M2409,LUTs!E$2:H$14,3,)</f>
        <v>07Pierce</v>
      </c>
      <c r="O2409" t="str">
        <f>VLOOKUP(M2409,LUTs!E$2:H$14,4,)</f>
        <v>02South Puget Sound</v>
      </c>
      <c r="P2409" s="73">
        <v>39.523809523809497</v>
      </c>
      <c r="Q2409" s="74">
        <f>VLOOKUP(B2409,Readme!A$40:C$51,2,)*P2409</f>
        <v>341.88095238095218</v>
      </c>
    </row>
    <row r="2410" spans="1:17" ht="12" customHeight="1" x14ac:dyDescent="0.35">
      <c r="A2410" s="75">
        <v>2409</v>
      </c>
      <c r="B2410" s="64">
        <v>2016</v>
      </c>
      <c r="C2410" s="64">
        <v>10</v>
      </c>
      <c r="D2410" s="80">
        <f t="shared" si="77"/>
        <v>2016</v>
      </c>
      <c r="E2410" t="s">
        <v>38</v>
      </c>
      <c r="F2410" t="s">
        <v>143</v>
      </c>
      <c r="G2410" t="s">
        <v>10</v>
      </c>
      <c r="H2410" s="72" t="s">
        <v>214</v>
      </c>
      <c r="I2410" s="72" t="s">
        <v>56</v>
      </c>
      <c r="J2410" t="str">
        <f t="shared" si="78"/>
        <v>Samish River</v>
      </c>
      <c r="K2410" t="str">
        <f>IFERROR(VLOOKUP(J2410,LUTs!$A$1:$C$73,2,FALSE),"NA")</f>
        <v>Skagit</v>
      </c>
      <c r="L2410" t="str">
        <f>IFERROR(VLOOKUP(J2410,LUTs!$A$1:$C$73,3,FALSE),"NA")</f>
        <v>1North Puget Sound</v>
      </c>
      <c r="M2410" s="72" t="s">
        <v>15</v>
      </c>
      <c r="N2410" t="str">
        <f>VLOOKUP(M2410,LUTs!E$2:H$14,3,)</f>
        <v>02Skagit</v>
      </c>
      <c r="O2410" t="str">
        <f>VLOOKUP(M2410,LUTs!E$2:H$14,4,)</f>
        <v>01North Puget Sound</v>
      </c>
      <c r="P2410" s="73">
        <v>276.66666666666703</v>
      </c>
      <c r="Q2410" s="74">
        <f>VLOOKUP(B2410,Readme!A$40:C$51,2,)*P2410</f>
        <v>2393.1666666666697</v>
      </c>
    </row>
    <row r="2411" spans="1:17" ht="12" customHeight="1" x14ac:dyDescent="0.35">
      <c r="A2411" s="75">
        <v>2410</v>
      </c>
      <c r="B2411" s="64">
        <v>2016</v>
      </c>
      <c r="C2411" s="64">
        <v>10</v>
      </c>
      <c r="D2411" s="80">
        <f t="shared" si="77"/>
        <v>2016</v>
      </c>
      <c r="E2411" t="s">
        <v>38</v>
      </c>
      <c r="F2411" t="s">
        <v>143</v>
      </c>
      <c r="G2411" t="s">
        <v>10</v>
      </c>
      <c r="H2411" s="72" t="s">
        <v>214</v>
      </c>
      <c r="I2411" s="72" t="s">
        <v>56</v>
      </c>
      <c r="J2411" t="str">
        <f t="shared" si="78"/>
        <v>Samish River</v>
      </c>
      <c r="K2411" t="str">
        <f>IFERROR(VLOOKUP(J2411,LUTs!$A$1:$C$73,2,FALSE),"NA")</f>
        <v>Skagit</v>
      </c>
      <c r="L2411" t="str">
        <f>IFERROR(VLOOKUP(J2411,LUTs!$A$1:$C$73,3,FALSE),"NA")</f>
        <v>1North Puget Sound</v>
      </c>
      <c r="M2411" s="72" t="s">
        <v>16</v>
      </c>
      <c r="N2411" t="str">
        <f>VLOOKUP(M2411,LUTs!E$2:H$14,3,)</f>
        <v>03Snohomish</v>
      </c>
      <c r="O2411" t="str">
        <f>VLOOKUP(M2411,LUTs!E$2:H$14,4,)</f>
        <v>01North Puget Sound</v>
      </c>
      <c r="P2411" s="73">
        <v>563.21428571428601</v>
      </c>
      <c r="Q2411" s="74">
        <f>VLOOKUP(B2411,Readme!A$40:C$51,2,)*P2411</f>
        <v>4871.8035714285743</v>
      </c>
    </row>
    <row r="2412" spans="1:17" ht="12" customHeight="1" x14ac:dyDescent="0.35">
      <c r="A2412" s="75">
        <v>2411</v>
      </c>
      <c r="B2412" s="64">
        <v>2016</v>
      </c>
      <c r="C2412" s="64">
        <v>10</v>
      </c>
      <c r="D2412" s="80">
        <f t="shared" si="77"/>
        <v>2016</v>
      </c>
      <c r="E2412" t="s">
        <v>38</v>
      </c>
      <c r="F2412" t="s">
        <v>143</v>
      </c>
      <c r="G2412" t="s">
        <v>10</v>
      </c>
      <c r="H2412" s="72" t="s">
        <v>214</v>
      </c>
      <c r="I2412" s="72" t="s">
        <v>56</v>
      </c>
      <c r="J2412" t="str">
        <f t="shared" si="78"/>
        <v>Samish River</v>
      </c>
      <c r="K2412" t="str">
        <f>IFERROR(VLOOKUP(J2412,LUTs!$A$1:$C$73,2,FALSE),"NA")</f>
        <v>Skagit</v>
      </c>
      <c r="L2412" t="str">
        <f>IFERROR(VLOOKUP(J2412,LUTs!$A$1:$C$73,3,FALSE),"NA")</f>
        <v>1North Puget Sound</v>
      </c>
      <c r="M2412" s="72" t="s">
        <v>13</v>
      </c>
      <c r="N2412" t="str">
        <f>VLOOKUP(M2412,LUTs!E$2:H$14,3,)</f>
        <v>01Whatcom</v>
      </c>
      <c r="O2412" t="str">
        <f>VLOOKUP(M2412,LUTs!E$2:H$14,4,)</f>
        <v>01North Puget Sound</v>
      </c>
      <c r="P2412" s="73">
        <v>79.047619047619094</v>
      </c>
      <c r="Q2412" s="74">
        <f>VLOOKUP(B2412,Readme!A$40:C$51,2,)*P2412</f>
        <v>683.76190476190516</v>
      </c>
    </row>
    <row r="2413" spans="1:17" ht="12" customHeight="1" x14ac:dyDescent="0.35">
      <c r="A2413" s="75">
        <v>2412</v>
      </c>
      <c r="B2413" s="64">
        <v>2016</v>
      </c>
      <c r="C2413" s="64">
        <v>11</v>
      </c>
      <c r="D2413" s="80">
        <f t="shared" si="77"/>
        <v>2016</v>
      </c>
      <c r="E2413" t="s">
        <v>38</v>
      </c>
      <c r="F2413" t="s">
        <v>143</v>
      </c>
      <c r="G2413" t="s">
        <v>10</v>
      </c>
      <c r="H2413" s="72" t="s">
        <v>214</v>
      </c>
      <c r="I2413" s="72" t="s">
        <v>56</v>
      </c>
      <c r="J2413" t="str">
        <f t="shared" si="78"/>
        <v>Samish River</v>
      </c>
      <c r="K2413" t="str">
        <f>IFERROR(VLOOKUP(J2413,LUTs!$A$1:$C$73,2,FALSE),"NA")</f>
        <v>Skagit</v>
      </c>
      <c r="L2413" t="str">
        <f>IFERROR(VLOOKUP(J2413,LUTs!$A$1:$C$73,3,FALSE),"NA")</f>
        <v>1North Puget Sound</v>
      </c>
      <c r="M2413" s="72" t="s">
        <v>16</v>
      </c>
      <c r="N2413" t="str">
        <f>VLOOKUP(M2413,LUTs!E$2:H$14,3,)</f>
        <v>03Snohomish</v>
      </c>
      <c r="O2413" t="str">
        <f>VLOOKUP(M2413,LUTs!E$2:H$14,4,)</f>
        <v>01North Puget Sound</v>
      </c>
      <c r="P2413" s="73">
        <v>10</v>
      </c>
      <c r="Q2413" s="74">
        <f>VLOOKUP(B2413,Readme!A$40:C$51,2,)*P2413</f>
        <v>86.5</v>
      </c>
    </row>
    <row r="2414" spans="1:17" ht="12" customHeight="1" x14ac:dyDescent="0.35">
      <c r="A2414" s="75">
        <v>2413</v>
      </c>
      <c r="B2414" s="64">
        <v>2016</v>
      </c>
      <c r="C2414" s="64">
        <v>7</v>
      </c>
      <c r="D2414" s="80">
        <f t="shared" si="77"/>
        <v>2016</v>
      </c>
      <c r="E2414" t="s">
        <v>38</v>
      </c>
      <c r="F2414" t="s">
        <v>143</v>
      </c>
      <c r="G2414" t="s">
        <v>10</v>
      </c>
      <c r="H2414" s="72" t="s">
        <v>216</v>
      </c>
      <c r="I2414" s="72" t="s">
        <v>58</v>
      </c>
      <c r="J2414" t="str">
        <f t="shared" si="78"/>
        <v>Baker Lake</v>
      </c>
      <c r="K2414" t="str">
        <f>IFERROR(VLOOKUP(J2414,LUTs!$A$1:$C$73,2,FALSE),"NA")</f>
        <v>Whatcom</v>
      </c>
      <c r="L2414" t="str">
        <f>IFERROR(VLOOKUP(J2414,LUTs!$A$1:$C$73,3,FALSE),"NA")</f>
        <v>1North Puget Sound</v>
      </c>
      <c r="M2414" s="72" t="s">
        <v>17</v>
      </c>
      <c r="N2414" t="str">
        <f>VLOOKUP(M2414,LUTs!E$2:H$14,3,)</f>
        <v>04Island</v>
      </c>
      <c r="O2414" t="str">
        <f>VLOOKUP(M2414,LUTs!E$2:H$14,4,)</f>
        <v>01North Puget Sound</v>
      </c>
      <c r="P2414" s="73">
        <v>135.267882187938</v>
      </c>
      <c r="Q2414" s="74">
        <f>VLOOKUP(B2414,Readme!A$40:C$51,2,)*P2414</f>
        <v>1170.0671809256637</v>
      </c>
    </row>
    <row r="2415" spans="1:17" ht="12" customHeight="1" x14ac:dyDescent="0.35">
      <c r="A2415" s="75">
        <v>2414</v>
      </c>
      <c r="B2415" s="64">
        <v>2016</v>
      </c>
      <c r="C2415" s="64">
        <v>7</v>
      </c>
      <c r="D2415" s="80">
        <f t="shared" si="77"/>
        <v>2016</v>
      </c>
      <c r="E2415" t="s">
        <v>38</v>
      </c>
      <c r="F2415" t="s">
        <v>143</v>
      </c>
      <c r="G2415" t="s">
        <v>10</v>
      </c>
      <c r="H2415" s="72" t="s">
        <v>216</v>
      </c>
      <c r="I2415" s="72" t="s">
        <v>58</v>
      </c>
      <c r="J2415" t="str">
        <f t="shared" si="78"/>
        <v>Baker Lake</v>
      </c>
      <c r="K2415" t="str">
        <f>IFERROR(VLOOKUP(J2415,LUTs!$A$1:$C$73,2,FALSE),"NA")</f>
        <v>Whatcom</v>
      </c>
      <c r="L2415" t="str">
        <f>IFERROR(VLOOKUP(J2415,LUTs!$A$1:$C$73,3,FALSE),"NA")</f>
        <v>1North Puget Sound</v>
      </c>
      <c r="M2415" s="72" t="s">
        <v>18</v>
      </c>
      <c r="N2415" t="str">
        <f>VLOOKUP(M2415,LUTs!E$2:H$14,3,)</f>
        <v>06King</v>
      </c>
      <c r="O2415" t="str">
        <f>VLOOKUP(M2415,LUTs!E$2:H$14,4,)</f>
        <v>02South Puget Sound</v>
      </c>
      <c r="P2415" s="73">
        <v>1236.7349228611499</v>
      </c>
      <c r="Q2415" s="74">
        <f>VLOOKUP(B2415,Readme!A$40:C$51,2,)*P2415</f>
        <v>10697.757082748947</v>
      </c>
    </row>
    <row r="2416" spans="1:17" ht="12" customHeight="1" x14ac:dyDescent="0.35">
      <c r="A2416" s="75">
        <v>2415</v>
      </c>
      <c r="B2416" s="64">
        <v>2016</v>
      </c>
      <c r="C2416" s="64">
        <v>7</v>
      </c>
      <c r="D2416" s="80">
        <f t="shared" si="77"/>
        <v>2016</v>
      </c>
      <c r="E2416" t="s">
        <v>38</v>
      </c>
      <c r="F2416" t="s">
        <v>143</v>
      </c>
      <c r="G2416" t="s">
        <v>10</v>
      </c>
      <c r="H2416" s="72" t="s">
        <v>216</v>
      </c>
      <c r="I2416" s="72" t="s">
        <v>58</v>
      </c>
      <c r="J2416" t="str">
        <f t="shared" si="78"/>
        <v>Baker Lake</v>
      </c>
      <c r="K2416" t="str">
        <f>IFERROR(VLOOKUP(J2416,LUTs!$A$1:$C$73,2,FALSE),"NA")</f>
        <v>Whatcom</v>
      </c>
      <c r="L2416" t="str">
        <f>IFERROR(VLOOKUP(J2416,LUTs!$A$1:$C$73,3,FALSE),"NA")</f>
        <v>1North Puget Sound</v>
      </c>
      <c r="M2416" s="72" t="s">
        <v>26</v>
      </c>
      <c r="N2416" t="str">
        <f>VLOOKUP(M2416,LUTs!E$2:H$14,3,)</f>
        <v>20Other</v>
      </c>
      <c r="O2416" t="str">
        <f>VLOOKUP(M2416,LUTs!E$2:H$14,4,)</f>
        <v>07Non Puget Sound</v>
      </c>
      <c r="P2416" s="73">
        <v>299.52173913043498</v>
      </c>
      <c r="Q2416" s="74">
        <f>VLOOKUP(B2416,Readme!A$40:C$51,2,)*P2416</f>
        <v>2590.8630434782626</v>
      </c>
    </row>
    <row r="2417" spans="1:17" ht="12" customHeight="1" x14ac:dyDescent="0.35">
      <c r="A2417" s="75">
        <v>2416</v>
      </c>
      <c r="B2417" s="64">
        <v>2016</v>
      </c>
      <c r="C2417" s="64">
        <v>7</v>
      </c>
      <c r="D2417" s="80">
        <f t="shared" si="77"/>
        <v>2016</v>
      </c>
      <c r="E2417" t="s">
        <v>38</v>
      </c>
      <c r="F2417" t="s">
        <v>143</v>
      </c>
      <c r="G2417" t="s">
        <v>10</v>
      </c>
      <c r="H2417" s="72" t="s">
        <v>216</v>
      </c>
      <c r="I2417" s="72" t="s">
        <v>58</v>
      </c>
      <c r="J2417" t="str">
        <f t="shared" si="78"/>
        <v>Baker Lake</v>
      </c>
      <c r="K2417" t="str">
        <f>IFERROR(VLOOKUP(J2417,LUTs!$A$1:$C$73,2,FALSE),"NA")</f>
        <v>Whatcom</v>
      </c>
      <c r="L2417" t="str">
        <f>IFERROR(VLOOKUP(J2417,LUTs!$A$1:$C$73,3,FALSE),"NA")</f>
        <v>1North Puget Sound</v>
      </c>
      <c r="M2417" s="72" t="s">
        <v>20</v>
      </c>
      <c r="N2417" t="str">
        <f>VLOOKUP(M2417,LUTs!E$2:H$14,3,)</f>
        <v>07Pierce</v>
      </c>
      <c r="O2417" t="str">
        <f>VLOOKUP(M2417,LUTs!E$2:H$14,4,)</f>
        <v>02South Puget Sound</v>
      </c>
      <c r="P2417" s="73">
        <v>289.85974754558202</v>
      </c>
      <c r="Q2417" s="74">
        <f>VLOOKUP(B2417,Readme!A$40:C$51,2,)*P2417</f>
        <v>2507.2868162692848</v>
      </c>
    </row>
    <row r="2418" spans="1:17" ht="12" customHeight="1" x14ac:dyDescent="0.35">
      <c r="A2418" s="75">
        <v>2417</v>
      </c>
      <c r="B2418" s="64">
        <v>2016</v>
      </c>
      <c r="C2418" s="64">
        <v>7</v>
      </c>
      <c r="D2418" s="80">
        <f t="shared" si="77"/>
        <v>2016</v>
      </c>
      <c r="E2418" t="s">
        <v>38</v>
      </c>
      <c r="F2418" t="s">
        <v>143</v>
      </c>
      <c r="G2418" t="s">
        <v>10</v>
      </c>
      <c r="H2418" s="72" t="s">
        <v>216</v>
      </c>
      <c r="I2418" s="72" t="s">
        <v>58</v>
      </c>
      <c r="J2418" t="str">
        <f t="shared" si="78"/>
        <v>Baker Lake</v>
      </c>
      <c r="K2418" t="str">
        <f>IFERROR(VLOOKUP(J2418,LUTs!$A$1:$C$73,2,FALSE),"NA")</f>
        <v>Whatcom</v>
      </c>
      <c r="L2418" t="str">
        <f>IFERROR(VLOOKUP(J2418,LUTs!$A$1:$C$73,3,FALSE),"NA")</f>
        <v>1North Puget Sound</v>
      </c>
      <c r="M2418" s="72" t="s">
        <v>15</v>
      </c>
      <c r="N2418" t="str">
        <f>VLOOKUP(M2418,LUTs!E$2:H$14,3,)</f>
        <v>02Skagit</v>
      </c>
      <c r="O2418" t="str">
        <f>VLOOKUP(M2418,LUTs!E$2:H$14,4,)</f>
        <v>01North Puget Sound</v>
      </c>
      <c r="P2418" s="73">
        <v>1990.3702664796599</v>
      </c>
      <c r="Q2418" s="74">
        <f>VLOOKUP(B2418,Readme!A$40:C$51,2,)*P2418</f>
        <v>17216.702805049059</v>
      </c>
    </row>
    <row r="2419" spans="1:17" ht="12" customHeight="1" x14ac:dyDescent="0.35">
      <c r="A2419" s="75">
        <v>2418</v>
      </c>
      <c r="B2419" s="64">
        <v>2016</v>
      </c>
      <c r="C2419" s="64">
        <v>7</v>
      </c>
      <c r="D2419" s="80">
        <f t="shared" si="77"/>
        <v>2016</v>
      </c>
      <c r="E2419" t="s">
        <v>38</v>
      </c>
      <c r="F2419" t="s">
        <v>143</v>
      </c>
      <c r="G2419" t="s">
        <v>10</v>
      </c>
      <c r="H2419" s="72" t="s">
        <v>216</v>
      </c>
      <c r="I2419" s="72" t="s">
        <v>58</v>
      </c>
      <c r="J2419" t="str">
        <f t="shared" si="78"/>
        <v>Baker Lake</v>
      </c>
      <c r="K2419" t="str">
        <f>IFERROR(VLOOKUP(J2419,LUTs!$A$1:$C$73,2,FALSE),"NA")</f>
        <v>Whatcom</v>
      </c>
      <c r="L2419" t="str">
        <f>IFERROR(VLOOKUP(J2419,LUTs!$A$1:$C$73,3,FALSE),"NA")</f>
        <v>1North Puget Sound</v>
      </c>
      <c r="M2419" s="72" t="s">
        <v>16</v>
      </c>
      <c r="N2419" t="str">
        <f>VLOOKUP(M2419,LUTs!E$2:H$14,3,)</f>
        <v>03Snohomish</v>
      </c>
      <c r="O2419" t="str">
        <f>VLOOKUP(M2419,LUTs!E$2:H$14,4,)</f>
        <v>01North Puget Sound</v>
      </c>
      <c r="P2419" s="73">
        <v>2193.27208976157</v>
      </c>
      <c r="Q2419" s="74">
        <f>VLOOKUP(B2419,Readme!A$40:C$51,2,)*P2419</f>
        <v>18971.803576437582</v>
      </c>
    </row>
    <row r="2420" spans="1:17" ht="12" customHeight="1" x14ac:dyDescent="0.35">
      <c r="A2420" s="75">
        <v>2419</v>
      </c>
      <c r="B2420" s="64">
        <v>2016</v>
      </c>
      <c r="C2420" s="64">
        <v>7</v>
      </c>
      <c r="D2420" s="80">
        <f t="shared" si="77"/>
        <v>2016</v>
      </c>
      <c r="E2420" t="s">
        <v>38</v>
      </c>
      <c r="F2420" t="s">
        <v>143</v>
      </c>
      <c r="G2420" t="s">
        <v>10</v>
      </c>
      <c r="H2420" s="72" t="s">
        <v>216</v>
      </c>
      <c r="I2420" s="72" t="s">
        <v>58</v>
      </c>
      <c r="J2420" t="str">
        <f t="shared" si="78"/>
        <v>Baker Lake</v>
      </c>
      <c r="K2420" t="str">
        <f>IFERROR(VLOOKUP(J2420,LUTs!$A$1:$C$73,2,FALSE),"NA")</f>
        <v>Whatcom</v>
      </c>
      <c r="L2420" t="str">
        <f>IFERROR(VLOOKUP(J2420,LUTs!$A$1:$C$73,3,FALSE),"NA")</f>
        <v>1North Puget Sound</v>
      </c>
      <c r="M2420" s="72" t="s">
        <v>21</v>
      </c>
      <c r="N2420" t="str">
        <f>VLOOKUP(M2420,LUTs!E$2:H$14,3,)</f>
        <v>08Thurston</v>
      </c>
      <c r="O2420" t="str">
        <f>VLOOKUP(M2420,LUTs!E$2:H$14,4,)</f>
        <v>02South Puget Sound</v>
      </c>
      <c r="P2420" s="73">
        <v>48.309957924263699</v>
      </c>
      <c r="Q2420" s="74">
        <f>VLOOKUP(B2420,Readme!A$40:C$51,2,)*P2420</f>
        <v>417.88113604488103</v>
      </c>
    </row>
    <row r="2421" spans="1:17" ht="12" customHeight="1" x14ac:dyDescent="0.35">
      <c r="A2421" s="75">
        <v>2420</v>
      </c>
      <c r="B2421" s="64">
        <v>2016</v>
      </c>
      <c r="C2421" s="64">
        <v>7</v>
      </c>
      <c r="D2421" s="80">
        <f t="shared" si="77"/>
        <v>2016</v>
      </c>
      <c r="E2421" t="s">
        <v>38</v>
      </c>
      <c r="F2421" t="s">
        <v>143</v>
      </c>
      <c r="G2421" t="s">
        <v>10</v>
      </c>
      <c r="H2421" s="72" t="s">
        <v>216</v>
      </c>
      <c r="I2421" s="72" t="s">
        <v>58</v>
      </c>
      <c r="J2421" t="str">
        <f t="shared" si="78"/>
        <v>Baker Lake</v>
      </c>
      <c r="K2421" t="str">
        <f>IFERROR(VLOOKUP(J2421,LUTs!$A$1:$C$73,2,FALSE),"NA")</f>
        <v>Whatcom</v>
      </c>
      <c r="L2421" t="str">
        <f>IFERROR(VLOOKUP(J2421,LUTs!$A$1:$C$73,3,FALSE),"NA")</f>
        <v>1North Puget Sound</v>
      </c>
      <c r="M2421" s="72" t="s">
        <v>13</v>
      </c>
      <c r="N2421" t="str">
        <f>VLOOKUP(M2421,LUTs!E$2:H$14,3,)</f>
        <v>01Whatcom</v>
      </c>
      <c r="O2421" t="str">
        <f>VLOOKUP(M2421,LUTs!E$2:H$14,4,)</f>
        <v>01North Puget Sound</v>
      </c>
      <c r="P2421" s="73">
        <v>695.66339410939702</v>
      </c>
      <c r="Q2421" s="74">
        <f>VLOOKUP(B2421,Readme!A$40:C$51,2,)*P2421</f>
        <v>6017.4883590462841</v>
      </c>
    </row>
    <row r="2422" spans="1:17" ht="12" customHeight="1" x14ac:dyDescent="0.35">
      <c r="A2422" s="75">
        <v>2421</v>
      </c>
      <c r="B2422" s="64">
        <v>2016</v>
      </c>
      <c r="C2422" s="64">
        <v>8</v>
      </c>
      <c r="D2422" s="80">
        <f t="shared" si="77"/>
        <v>2016</v>
      </c>
      <c r="E2422" t="s">
        <v>38</v>
      </c>
      <c r="F2422" t="s">
        <v>143</v>
      </c>
      <c r="G2422" t="s">
        <v>10</v>
      </c>
      <c r="H2422" s="72" t="s">
        <v>216</v>
      </c>
      <c r="I2422" s="72" t="s">
        <v>58</v>
      </c>
      <c r="J2422" t="str">
        <f t="shared" si="78"/>
        <v>Baker Lake</v>
      </c>
      <c r="K2422" t="str">
        <f>IFERROR(VLOOKUP(J2422,LUTs!$A$1:$C$73,2,FALSE),"NA")</f>
        <v>Whatcom</v>
      </c>
      <c r="L2422" t="str">
        <f>IFERROR(VLOOKUP(J2422,LUTs!$A$1:$C$73,3,FALSE),"NA")</f>
        <v>1North Puget Sound</v>
      </c>
      <c r="M2422" s="72" t="s">
        <v>24</v>
      </c>
      <c r="N2422" t="str">
        <f>VLOOKUP(M2422,LUTs!E$2:H$14,3,)</f>
        <v>11Clallam</v>
      </c>
      <c r="O2422" t="str">
        <f>VLOOKUP(M2422,LUTs!E$2:H$14,4,)</f>
        <v>03Strait of Juan de Fuca</v>
      </c>
      <c r="P2422" s="73">
        <v>10.227544910179599</v>
      </c>
      <c r="Q2422" s="74">
        <f>VLOOKUP(B2422,Readme!A$40:C$51,2,)*P2422</f>
        <v>88.46826347305354</v>
      </c>
    </row>
    <row r="2423" spans="1:17" ht="12" customHeight="1" x14ac:dyDescent="0.35">
      <c r="A2423" s="75">
        <v>2422</v>
      </c>
      <c r="B2423" s="64">
        <v>2016</v>
      </c>
      <c r="C2423" s="64">
        <v>8</v>
      </c>
      <c r="D2423" s="80">
        <f t="shared" si="77"/>
        <v>2016</v>
      </c>
      <c r="E2423" t="s">
        <v>38</v>
      </c>
      <c r="F2423" t="s">
        <v>143</v>
      </c>
      <c r="G2423" t="s">
        <v>10</v>
      </c>
      <c r="H2423" s="72" t="s">
        <v>216</v>
      </c>
      <c r="I2423" s="72" t="s">
        <v>58</v>
      </c>
      <c r="J2423" t="str">
        <f t="shared" si="78"/>
        <v>Baker Lake</v>
      </c>
      <c r="K2423" t="str">
        <f>IFERROR(VLOOKUP(J2423,LUTs!$A$1:$C$73,2,FALSE),"NA")</f>
        <v>Whatcom</v>
      </c>
      <c r="L2423" t="str">
        <f>IFERROR(VLOOKUP(J2423,LUTs!$A$1:$C$73,3,FALSE),"NA")</f>
        <v>1North Puget Sound</v>
      </c>
      <c r="M2423" s="72" t="s">
        <v>17</v>
      </c>
      <c r="N2423" t="str">
        <f>VLOOKUP(M2423,LUTs!E$2:H$14,3,)</f>
        <v>04Island</v>
      </c>
      <c r="O2423" t="str">
        <f>VLOOKUP(M2423,LUTs!E$2:H$14,4,)</f>
        <v>01North Puget Sound</v>
      </c>
      <c r="P2423" s="73">
        <v>204.55089820359299</v>
      </c>
      <c r="Q2423" s="74">
        <f>VLOOKUP(B2423,Readme!A$40:C$51,2,)*P2423</f>
        <v>1769.3652694610794</v>
      </c>
    </row>
    <row r="2424" spans="1:17" ht="12" customHeight="1" x14ac:dyDescent="0.35">
      <c r="A2424" s="75">
        <v>2423</v>
      </c>
      <c r="B2424" s="64">
        <v>2016</v>
      </c>
      <c r="C2424" s="64">
        <v>8</v>
      </c>
      <c r="D2424" s="80">
        <f t="shared" si="77"/>
        <v>2016</v>
      </c>
      <c r="E2424" t="s">
        <v>38</v>
      </c>
      <c r="F2424" t="s">
        <v>143</v>
      </c>
      <c r="G2424" t="s">
        <v>10</v>
      </c>
      <c r="H2424" s="72" t="s">
        <v>216</v>
      </c>
      <c r="I2424" s="72" t="s">
        <v>58</v>
      </c>
      <c r="J2424" t="str">
        <f t="shared" si="78"/>
        <v>Baker Lake</v>
      </c>
      <c r="K2424" t="str">
        <f>IFERROR(VLOOKUP(J2424,LUTs!$A$1:$C$73,2,FALSE),"NA")</f>
        <v>Whatcom</v>
      </c>
      <c r="L2424" t="str">
        <f>IFERROR(VLOOKUP(J2424,LUTs!$A$1:$C$73,3,FALSE),"NA")</f>
        <v>1North Puget Sound</v>
      </c>
      <c r="M2424" s="72" t="s">
        <v>18</v>
      </c>
      <c r="N2424" t="str">
        <f>VLOOKUP(M2424,LUTs!E$2:H$14,3,)</f>
        <v>06King</v>
      </c>
      <c r="O2424" t="str">
        <f>VLOOKUP(M2424,LUTs!E$2:H$14,4,)</f>
        <v>02South Puget Sound</v>
      </c>
      <c r="P2424" s="73">
        <v>132.95808383233501</v>
      </c>
      <c r="Q2424" s="74">
        <f>VLOOKUP(B2424,Readme!A$40:C$51,2,)*P2424</f>
        <v>1150.0874251496978</v>
      </c>
    </row>
    <row r="2425" spans="1:17" ht="12" customHeight="1" x14ac:dyDescent="0.35">
      <c r="A2425" s="75">
        <v>2424</v>
      </c>
      <c r="B2425" s="64">
        <v>2016</v>
      </c>
      <c r="C2425" s="64">
        <v>8</v>
      </c>
      <c r="D2425" s="80">
        <f t="shared" si="77"/>
        <v>2016</v>
      </c>
      <c r="E2425" t="s">
        <v>38</v>
      </c>
      <c r="F2425" t="s">
        <v>143</v>
      </c>
      <c r="G2425" t="s">
        <v>10</v>
      </c>
      <c r="H2425" s="72" t="s">
        <v>216</v>
      </c>
      <c r="I2425" s="72" t="s">
        <v>58</v>
      </c>
      <c r="J2425" t="str">
        <f t="shared" si="78"/>
        <v>Baker Lake</v>
      </c>
      <c r="K2425" t="str">
        <f>IFERROR(VLOOKUP(J2425,LUTs!$A$1:$C$73,2,FALSE),"NA")</f>
        <v>Whatcom</v>
      </c>
      <c r="L2425" t="str">
        <f>IFERROR(VLOOKUP(J2425,LUTs!$A$1:$C$73,3,FALSE),"NA")</f>
        <v>1North Puget Sound</v>
      </c>
      <c r="M2425" s="72" t="s">
        <v>26</v>
      </c>
      <c r="N2425" t="str">
        <f>VLOOKUP(M2425,LUTs!E$2:H$14,3,)</f>
        <v>20Other</v>
      </c>
      <c r="O2425" t="str">
        <f>VLOOKUP(M2425,LUTs!E$2:H$14,4,)</f>
        <v>07Non Puget Sound</v>
      </c>
      <c r="P2425" s="73">
        <v>132.95808383233501</v>
      </c>
      <c r="Q2425" s="74">
        <f>VLOOKUP(B2425,Readme!A$40:C$51,2,)*P2425</f>
        <v>1150.0874251496978</v>
      </c>
    </row>
    <row r="2426" spans="1:17" ht="12" customHeight="1" x14ac:dyDescent="0.35">
      <c r="A2426" s="75">
        <v>2425</v>
      </c>
      <c r="B2426" s="64">
        <v>2016</v>
      </c>
      <c r="C2426" s="64">
        <v>8</v>
      </c>
      <c r="D2426" s="80">
        <f t="shared" ref="D2426:D2489" si="79">IF(C2426&gt;3,B2426,B2426-1)</f>
        <v>2016</v>
      </c>
      <c r="E2426" t="s">
        <v>38</v>
      </c>
      <c r="F2426" t="s">
        <v>143</v>
      </c>
      <c r="G2426" t="s">
        <v>10</v>
      </c>
      <c r="H2426" s="72" t="s">
        <v>216</v>
      </c>
      <c r="I2426" s="72" t="s">
        <v>58</v>
      </c>
      <c r="J2426" t="str">
        <f t="shared" si="78"/>
        <v>Baker Lake</v>
      </c>
      <c r="K2426" t="str">
        <f>IFERROR(VLOOKUP(J2426,LUTs!$A$1:$C$73,2,FALSE),"NA")</f>
        <v>Whatcom</v>
      </c>
      <c r="L2426" t="str">
        <f>IFERROR(VLOOKUP(J2426,LUTs!$A$1:$C$73,3,FALSE),"NA")</f>
        <v>1North Puget Sound</v>
      </c>
      <c r="M2426" s="72" t="s">
        <v>20</v>
      </c>
      <c r="N2426" t="str">
        <f>VLOOKUP(M2426,LUTs!E$2:H$14,3,)</f>
        <v>07Pierce</v>
      </c>
      <c r="O2426" t="str">
        <f>VLOOKUP(M2426,LUTs!E$2:H$14,4,)</f>
        <v>02South Puget Sound</v>
      </c>
      <c r="P2426" s="73">
        <v>71.592814371257504</v>
      </c>
      <c r="Q2426" s="74">
        <f>VLOOKUP(B2426,Readme!A$40:C$51,2,)*P2426</f>
        <v>619.27784431137741</v>
      </c>
    </row>
    <row r="2427" spans="1:17" ht="12" customHeight="1" x14ac:dyDescent="0.35">
      <c r="A2427" s="75">
        <v>2426</v>
      </c>
      <c r="B2427" s="64">
        <v>2016</v>
      </c>
      <c r="C2427" s="64">
        <v>8</v>
      </c>
      <c r="D2427" s="80">
        <f t="shared" si="79"/>
        <v>2016</v>
      </c>
      <c r="E2427" t="s">
        <v>38</v>
      </c>
      <c r="F2427" t="s">
        <v>143</v>
      </c>
      <c r="G2427" t="s">
        <v>10</v>
      </c>
      <c r="H2427" s="72" t="s">
        <v>216</v>
      </c>
      <c r="I2427" s="72" t="s">
        <v>58</v>
      </c>
      <c r="J2427" t="str">
        <f t="shared" si="78"/>
        <v>Baker Lake</v>
      </c>
      <c r="K2427" t="str">
        <f>IFERROR(VLOOKUP(J2427,LUTs!$A$1:$C$73,2,FALSE),"NA")</f>
        <v>Whatcom</v>
      </c>
      <c r="L2427" t="str">
        <f>IFERROR(VLOOKUP(J2427,LUTs!$A$1:$C$73,3,FALSE),"NA")</f>
        <v>1North Puget Sound</v>
      </c>
      <c r="M2427" s="72" t="s">
        <v>15</v>
      </c>
      <c r="N2427" t="str">
        <f>VLOOKUP(M2427,LUTs!E$2:H$14,3,)</f>
        <v>02Skagit</v>
      </c>
      <c r="O2427" t="str">
        <f>VLOOKUP(M2427,LUTs!E$2:H$14,4,)</f>
        <v>01North Puget Sound</v>
      </c>
      <c r="P2427" s="73">
        <v>460.23952095808397</v>
      </c>
      <c r="Q2427" s="74">
        <f>VLOOKUP(B2427,Readme!A$40:C$51,2,)*P2427</f>
        <v>3981.0718562874267</v>
      </c>
    </row>
    <row r="2428" spans="1:17" ht="12" customHeight="1" x14ac:dyDescent="0.35">
      <c r="A2428" s="75">
        <v>2427</v>
      </c>
      <c r="B2428" s="64">
        <v>2016</v>
      </c>
      <c r="C2428" s="64">
        <v>8</v>
      </c>
      <c r="D2428" s="80">
        <f t="shared" si="79"/>
        <v>2016</v>
      </c>
      <c r="E2428" t="s">
        <v>38</v>
      </c>
      <c r="F2428" t="s">
        <v>143</v>
      </c>
      <c r="G2428" t="s">
        <v>10</v>
      </c>
      <c r="H2428" s="72" t="s">
        <v>216</v>
      </c>
      <c r="I2428" s="72" t="s">
        <v>58</v>
      </c>
      <c r="J2428" t="str">
        <f t="shared" si="78"/>
        <v>Baker Lake</v>
      </c>
      <c r="K2428" t="str">
        <f>IFERROR(VLOOKUP(J2428,LUTs!$A$1:$C$73,2,FALSE),"NA")</f>
        <v>Whatcom</v>
      </c>
      <c r="L2428" t="str">
        <f>IFERROR(VLOOKUP(J2428,LUTs!$A$1:$C$73,3,FALSE),"NA")</f>
        <v>1North Puget Sound</v>
      </c>
      <c r="M2428" s="72" t="s">
        <v>16</v>
      </c>
      <c r="N2428" t="str">
        <f>VLOOKUP(M2428,LUTs!E$2:H$14,3,)</f>
        <v>03Snohomish</v>
      </c>
      <c r="O2428" t="str">
        <f>VLOOKUP(M2428,LUTs!E$2:H$14,4,)</f>
        <v>01North Puget Sound</v>
      </c>
      <c r="P2428" s="73">
        <v>490.92215568862298</v>
      </c>
      <c r="Q2428" s="74">
        <f>VLOOKUP(B2428,Readme!A$40:C$51,2,)*P2428</f>
        <v>4246.4766467065892</v>
      </c>
    </row>
    <row r="2429" spans="1:17" ht="12" customHeight="1" x14ac:dyDescent="0.35">
      <c r="A2429" s="75">
        <v>2428</v>
      </c>
      <c r="B2429" s="64">
        <v>2016</v>
      </c>
      <c r="C2429" s="64">
        <v>8</v>
      </c>
      <c r="D2429" s="80">
        <f t="shared" si="79"/>
        <v>2016</v>
      </c>
      <c r="E2429" t="s">
        <v>38</v>
      </c>
      <c r="F2429" t="s">
        <v>143</v>
      </c>
      <c r="G2429" t="s">
        <v>10</v>
      </c>
      <c r="H2429" s="72" t="s">
        <v>216</v>
      </c>
      <c r="I2429" s="72" t="s">
        <v>58</v>
      </c>
      <c r="J2429" t="str">
        <f t="shared" si="78"/>
        <v>Baker Lake</v>
      </c>
      <c r="K2429" t="str">
        <f>IFERROR(VLOOKUP(J2429,LUTs!$A$1:$C$73,2,FALSE),"NA")</f>
        <v>Whatcom</v>
      </c>
      <c r="L2429" t="str">
        <f>IFERROR(VLOOKUP(J2429,LUTs!$A$1:$C$73,3,FALSE),"NA")</f>
        <v>1North Puget Sound</v>
      </c>
      <c r="M2429" s="72" t="s">
        <v>21</v>
      </c>
      <c r="N2429" t="str">
        <f>VLOOKUP(M2429,LUTs!E$2:H$14,3,)</f>
        <v>08Thurston</v>
      </c>
      <c r="O2429" t="str">
        <f>VLOOKUP(M2429,LUTs!E$2:H$14,4,)</f>
        <v>02South Puget Sound</v>
      </c>
      <c r="P2429" s="73">
        <v>10.227544910179599</v>
      </c>
      <c r="Q2429" s="74">
        <f>VLOOKUP(B2429,Readme!A$40:C$51,2,)*P2429</f>
        <v>88.46826347305354</v>
      </c>
    </row>
    <row r="2430" spans="1:17" ht="12" customHeight="1" x14ac:dyDescent="0.35">
      <c r="A2430" s="75">
        <v>2429</v>
      </c>
      <c r="B2430" s="64">
        <v>2016</v>
      </c>
      <c r="C2430" s="64">
        <v>8</v>
      </c>
      <c r="D2430" s="80">
        <f t="shared" si="79"/>
        <v>2016</v>
      </c>
      <c r="E2430" t="s">
        <v>38</v>
      </c>
      <c r="F2430" t="s">
        <v>143</v>
      </c>
      <c r="G2430" t="s">
        <v>10</v>
      </c>
      <c r="H2430" s="72" t="s">
        <v>216</v>
      </c>
      <c r="I2430" s="72" t="s">
        <v>58</v>
      </c>
      <c r="J2430" t="str">
        <f t="shared" si="78"/>
        <v>Baker Lake</v>
      </c>
      <c r="K2430" t="str">
        <f>IFERROR(VLOOKUP(J2430,LUTs!$A$1:$C$73,2,FALSE),"NA")</f>
        <v>Whatcom</v>
      </c>
      <c r="L2430" t="str">
        <f>IFERROR(VLOOKUP(J2430,LUTs!$A$1:$C$73,3,FALSE),"NA")</f>
        <v>1North Puget Sound</v>
      </c>
      <c r="M2430" s="72" t="s">
        <v>13</v>
      </c>
      <c r="N2430" t="str">
        <f>VLOOKUP(M2430,LUTs!E$2:H$14,3,)</f>
        <v>01Whatcom</v>
      </c>
      <c r="O2430" t="str">
        <f>VLOOKUP(M2430,LUTs!E$2:H$14,4,)</f>
        <v>01North Puget Sound</v>
      </c>
      <c r="P2430" s="73">
        <v>194.32335329341299</v>
      </c>
      <c r="Q2430" s="74">
        <f>VLOOKUP(B2430,Readme!A$40:C$51,2,)*P2430</f>
        <v>1680.8970059880226</v>
      </c>
    </row>
    <row r="2431" spans="1:17" ht="12" customHeight="1" x14ac:dyDescent="0.35">
      <c r="A2431" s="75">
        <v>2430</v>
      </c>
      <c r="B2431" s="64">
        <v>2016</v>
      </c>
      <c r="C2431" s="64">
        <v>9</v>
      </c>
      <c r="D2431" s="80">
        <f t="shared" si="79"/>
        <v>2016</v>
      </c>
      <c r="E2431" t="s">
        <v>38</v>
      </c>
      <c r="F2431" t="s">
        <v>143</v>
      </c>
      <c r="G2431" t="s">
        <v>10</v>
      </c>
      <c r="H2431" s="72" t="s">
        <v>216</v>
      </c>
      <c r="I2431" s="72" t="s">
        <v>58</v>
      </c>
      <c r="J2431" t="str">
        <f t="shared" si="78"/>
        <v>Baker Lake</v>
      </c>
      <c r="K2431" t="str">
        <f>IFERROR(VLOOKUP(J2431,LUTs!$A$1:$C$73,2,FALSE),"NA")</f>
        <v>Whatcom</v>
      </c>
      <c r="L2431" t="str">
        <f>IFERROR(VLOOKUP(J2431,LUTs!$A$1:$C$73,3,FALSE),"NA")</f>
        <v>1North Puget Sound</v>
      </c>
      <c r="M2431" s="72" t="s">
        <v>26</v>
      </c>
      <c r="N2431" t="str">
        <f>VLOOKUP(M2431,LUTs!E$2:H$14,3,)</f>
        <v>20Other</v>
      </c>
      <c r="O2431" t="str">
        <f>VLOOKUP(M2431,LUTs!E$2:H$14,4,)</f>
        <v>07Non Puget Sound</v>
      </c>
      <c r="P2431" s="73">
        <v>19.1794871794872</v>
      </c>
      <c r="Q2431" s="74">
        <f>VLOOKUP(B2431,Readme!A$40:C$51,2,)*P2431</f>
        <v>165.9025641025643</v>
      </c>
    </row>
    <row r="2432" spans="1:17" ht="12" customHeight="1" x14ac:dyDescent="0.35">
      <c r="A2432" s="75">
        <v>2431</v>
      </c>
      <c r="B2432" s="64">
        <v>2016</v>
      </c>
      <c r="C2432" s="64">
        <v>9</v>
      </c>
      <c r="D2432" s="80">
        <f t="shared" si="79"/>
        <v>2016</v>
      </c>
      <c r="E2432" t="s">
        <v>38</v>
      </c>
      <c r="F2432" t="s">
        <v>143</v>
      </c>
      <c r="G2432" t="s">
        <v>10</v>
      </c>
      <c r="H2432" s="72" t="s">
        <v>216</v>
      </c>
      <c r="I2432" s="72" t="s">
        <v>58</v>
      </c>
      <c r="J2432" t="str">
        <f t="shared" si="78"/>
        <v>Baker Lake</v>
      </c>
      <c r="K2432" t="str">
        <f>IFERROR(VLOOKUP(J2432,LUTs!$A$1:$C$73,2,FALSE),"NA")</f>
        <v>Whatcom</v>
      </c>
      <c r="L2432" t="str">
        <f>IFERROR(VLOOKUP(J2432,LUTs!$A$1:$C$73,3,FALSE),"NA")</f>
        <v>1North Puget Sound</v>
      </c>
      <c r="M2432" s="72" t="s">
        <v>20</v>
      </c>
      <c r="N2432" t="str">
        <f>VLOOKUP(M2432,LUTs!E$2:H$14,3,)</f>
        <v>07Pierce</v>
      </c>
      <c r="O2432" t="str">
        <f>VLOOKUP(M2432,LUTs!E$2:H$14,4,)</f>
        <v>02South Puget Sound</v>
      </c>
      <c r="P2432" s="73">
        <v>76.717948717948701</v>
      </c>
      <c r="Q2432" s="74">
        <f>VLOOKUP(B2432,Readme!A$40:C$51,2,)*P2432</f>
        <v>663.61025641025628</v>
      </c>
    </row>
    <row r="2433" spans="1:17" ht="12" customHeight="1" x14ac:dyDescent="0.35">
      <c r="A2433" s="75">
        <v>2432</v>
      </c>
      <c r="B2433" s="64">
        <v>2016</v>
      </c>
      <c r="C2433" s="64">
        <v>9</v>
      </c>
      <c r="D2433" s="80">
        <f t="shared" si="79"/>
        <v>2016</v>
      </c>
      <c r="E2433" t="s">
        <v>38</v>
      </c>
      <c r="F2433" t="s">
        <v>143</v>
      </c>
      <c r="G2433" t="s">
        <v>10</v>
      </c>
      <c r="H2433" s="72" t="s">
        <v>216</v>
      </c>
      <c r="I2433" s="72" t="s">
        <v>58</v>
      </c>
      <c r="J2433" t="str">
        <f t="shared" si="78"/>
        <v>Baker Lake</v>
      </c>
      <c r="K2433" t="str">
        <f>IFERROR(VLOOKUP(J2433,LUTs!$A$1:$C$73,2,FALSE),"NA")</f>
        <v>Whatcom</v>
      </c>
      <c r="L2433" t="str">
        <f>IFERROR(VLOOKUP(J2433,LUTs!$A$1:$C$73,3,FALSE),"NA")</f>
        <v>1North Puget Sound</v>
      </c>
      <c r="M2433" s="72" t="s">
        <v>15</v>
      </c>
      <c r="N2433" t="str">
        <f>VLOOKUP(M2433,LUTs!E$2:H$14,3,)</f>
        <v>02Skagit</v>
      </c>
      <c r="O2433" t="str">
        <f>VLOOKUP(M2433,LUTs!E$2:H$14,4,)</f>
        <v>01North Puget Sound</v>
      </c>
      <c r="P2433" s="73">
        <v>57.538461538461597</v>
      </c>
      <c r="Q2433" s="74">
        <f>VLOOKUP(B2433,Readme!A$40:C$51,2,)*P2433</f>
        <v>497.70769230769281</v>
      </c>
    </row>
    <row r="2434" spans="1:17" ht="12" customHeight="1" x14ac:dyDescent="0.35">
      <c r="A2434" s="75">
        <v>2433</v>
      </c>
      <c r="B2434" s="64">
        <v>2016</v>
      </c>
      <c r="C2434" s="64">
        <v>9</v>
      </c>
      <c r="D2434" s="80">
        <f t="shared" si="79"/>
        <v>2016</v>
      </c>
      <c r="E2434" t="s">
        <v>38</v>
      </c>
      <c r="F2434" t="s">
        <v>143</v>
      </c>
      <c r="G2434" t="s">
        <v>10</v>
      </c>
      <c r="H2434" s="72" t="s">
        <v>216</v>
      </c>
      <c r="I2434" s="72" t="s">
        <v>58</v>
      </c>
      <c r="J2434" t="str">
        <f t="shared" si="78"/>
        <v>Baker Lake</v>
      </c>
      <c r="K2434" t="str">
        <f>IFERROR(VLOOKUP(J2434,LUTs!$A$1:$C$73,2,FALSE),"NA")</f>
        <v>Whatcom</v>
      </c>
      <c r="L2434" t="str">
        <f>IFERROR(VLOOKUP(J2434,LUTs!$A$1:$C$73,3,FALSE),"NA")</f>
        <v>1North Puget Sound</v>
      </c>
      <c r="M2434" s="72" t="s">
        <v>16</v>
      </c>
      <c r="N2434" t="str">
        <f>VLOOKUP(M2434,LUTs!E$2:H$14,3,)</f>
        <v>03Snohomish</v>
      </c>
      <c r="O2434" t="str">
        <f>VLOOKUP(M2434,LUTs!E$2:H$14,4,)</f>
        <v>01North Puget Sound</v>
      </c>
      <c r="P2434" s="73">
        <v>163.02564102564099</v>
      </c>
      <c r="Q2434" s="74">
        <f>VLOOKUP(B2434,Readme!A$40:C$51,2,)*P2434</f>
        <v>1410.1717948717946</v>
      </c>
    </row>
    <row r="2435" spans="1:17" ht="12" customHeight="1" x14ac:dyDescent="0.35">
      <c r="A2435" s="75">
        <v>2434</v>
      </c>
      <c r="B2435" s="64">
        <v>2016</v>
      </c>
      <c r="C2435" s="64">
        <v>9</v>
      </c>
      <c r="D2435" s="80">
        <f t="shared" si="79"/>
        <v>2016</v>
      </c>
      <c r="E2435" t="s">
        <v>38</v>
      </c>
      <c r="F2435" t="s">
        <v>143</v>
      </c>
      <c r="G2435" t="s">
        <v>10</v>
      </c>
      <c r="H2435" s="72" t="s">
        <v>216</v>
      </c>
      <c r="I2435" s="72" t="s">
        <v>58</v>
      </c>
      <c r="J2435" t="str">
        <f t="shared" ref="J2435:J2498" si="80">I2435</f>
        <v>Baker Lake</v>
      </c>
      <c r="K2435" t="str">
        <f>IFERROR(VLOOKUP(J2435,LUTs!$A$1:$C$73,2,FALSE),"NA")</f>
        <v>Whatcom</v>
      </c>
      <c r="L2435" t="str">
        <f>IFERROR(VLOOKUP(J2435,LUTs!$A$1:$C$73,3,FALSE),"NA")</f>
        <v>1North Puget Sound</v>
      </c>
      <c r="M2435" s="72" t="s">
        <v>13</v>
      </c>
      <c r="N2435" t="str">
        <f>VLOOKUP(M2435,LUTs!E$2:H$14,3,)</f>
        <v>01Whatcom</v>
      </c>
      <c r="O2435" t="str">
        <f>VLOOKUP(M2435,LUTs!E$2:H$14,4,)</f>
        <v>01North Puget Sound</v>
      </c>
      <c r="P2435" s="73">
        <v>57.538461538461597</v>
      </c>
      <c r="Q2435" s="74">
        <f>VLOOKUP(B2435,Readme!A$40:C$51,2,)*P2435</f>
        <v>497.70769230769281</v>
      </c>
    </row>
    <row r="2436" spans="1:17" ht="12" customHeight="1" x14ac:dyDescent="0.35">
      <c r="A2436" s="75">
        <v>2435</v>
      </c>
      <c r="B2436" s="64">
        <v>2016</v>
      </c>
      <c r="C2436" s="64">
        <v>6</v>
      </c>
      <c r="D2436" s="80">
        <f t="shared" si="79"/>
        <v>2016</v>
      </c>
      <c r="E2436" t="s">
        <v>38</v>
      </c>
      <c r="F2436" t="s">
        <v>143</v>
      </c>
      <c r="G2436" t="s">
        <v>10</v>
      </c>
      <c r="H2436" s="72" t="s">
        <v>217</v>
      </c>
      <c r="I2436" s="72" t="s">
        <v>59</v>
      </c>
      <c r="J2436" t="str">
        <f t="shared" si="80"/>
        <v>Cascade River</v>
      </c>
      <c r="K2436" t="str">
        <f>IFERROR(VLOOKUP(J2436,LUTs!$A$1:$C$73,2,FALSE),"NA")</f>
        <v>Skagit</v>
      </c>
      <c r="L2436" t="str">
        <f>IFERROR(VLOOKUP(J2436,LUTs!$A$1:$C$73,3,FALSE),"NA")</f>
        <v>1North Puget Sound</v>
      </c>
      <c r="M2436" s="72" t="s">
        <v>16</v>
      </c>
      <c r="N2436" t="str">
        <f>VLOOKUP(M2436,LUTs!E$2:H$14,3,)</f>
        <v>03Snohomish</v>
      </c>
      <c r="O2436" t="str">
        <f>VLOOKUP(M2436,LUTs!E$2:H$14,4,)</f>
        <v>01North Puget Sound</v>
      </c>
      <c r="P2436" s="73">
        <v>19</v>
      </c>
      <c r="Q2436" s="74">
        <f>VLOOKUP(B2436,Readme!A$40:C$51,2,)*P2436</f>
        <v>164.35</v>
      </c>
    </row>
    <row r="2437" spans="1:17" ht="12" customHeight="1" x14ac:dyDescent="0.35">
      <c r="A2437" s="75">
        <v>2436</v>
      </c>
      <c r="B2437" s="64">
        <v>2016</v>
      </c>
      <c r="C2437" s="64">
        <v>7</v>
      </c>
      <c r="D2437" s="80">
        <f t="shared" si="79"/>
        <v>2016</v>
      </c>
      <c r="E2437" t="s">
        <v>38</v>
      </c>
      <c r="F2437" t="s">
        <v>143</v>
      </c>
      <c r="G2437" t="s">
        <v>10</v>
      </c>
      <c r="H2437" s="72" t="s">
        <v>217</v>
      </c>
      <c r="I2437" s="72" t="s">
        <v>59</v>
      </c>
      <c r="J2437" t="str">
        <f t="shared" si="80"/>
        <v>Cascade River</v>
      </c>
      <c r="K2437" t="str">
        <f>IFERROR(VLOOKUP(J2437,LUTs!$A$1:$C$73,2,FALSE),"NA")</f>
        <v>Skagit</v>
      </c>
      <c r="L2437" t="str">
        <f>IFERROR(VLOOKUP(J2437,LUTs!$A$1:$C$73,3,FALSE),"NA")</f>
        <v>1North Puget Sound</v>
      </c>
      <c r="M2437" s="72" t="s">
        <v>18</v>
      </c>
      <c r="N2437" t="str">
        <f>VLOOKUP(M2437,LUTs!E$2:H$14,3,)</f>
        <v>06King</v>
      </c>
      <c r="O2437" t="str">
        <f>VLOOKUP(M2437,LUTs!E$2:H$14,4,)</f>
        <v>02South Puget Sound</v>
      </c>
      <c r="P2437" s="73">
        <v>9.6666666666666696</v>
      </c>
      <c r="Q2437" s="74">
        <f>VLOOKUP(B2437,Readme!A$40:C$51,2,)*P2437</f>
        <v>83.616666666666703</v>
      </c>
    </row>
    <row r="2438" spans="1:17" ht="12" customHeight="1" x14ac:dyDescent="0.35">
      <c r="A2438" s="75">
        <v>2437</v>
      </c>
      <c r="B2438" s="64">
        <v>2016</v>
      </c>
      <c r="C2438" s="64">
        <v>7</v>
      </c>
      <c r="D2438" s="80">
        <f t="shared" si="79"/>
        <v>2016</v>
      </c>
      <c r="E2438" t="s">
        <v>38</v>
      </c>
      <c r="F2438" t="s">
        <v>143</v>
      </c>
      <c r="G2438" t="s">
        <v>10</v>
      </c>
      <c r="H2438" s="72" t="s">
        <v>217</v>
      </c>
      <c r="I2438" s="72" t="s">
        <v>59</v>
      </c>
      <c r="J2438" t="str">
        <f t="shared" si="80"/>
        <v>Cascade River</v>
      </c>
      <c r="K2438" t="str">
        <f>IFERROR(VLOOKUP(J2438,LUTs!$A$1:$C$73,2,FALSE),"NA")</f>
        <v>Skagit</v>
      </c>
      <c r="L2438" t="str">
        <f>IFERROR(VLOOKUP(J2438,LUTs!$A$1:$C$73,3,FALSE),"NA")</f>
        <v>1North Puget Sound</v>
      </c>
      <c r="M2438" s="72" t="s">
        <v>15</v>
      </c>
      <c r="N2438" t="str">
        <f>VLOOKUP(M2438,LUTs!E$2:H$14,3,)</f>
        <v>02Skagit</v>
      </c>
      <c r="O2438" t="str">
        <f>VLOOKUP(M2438,LUTs!E$2:H$14,4,)</f>
        <v>01North Puget Sound</v>
      </c>
      <c r="P2438" s="73">
        <v>9.6666666666666696</v>
      </c>
      <c r="Q2438" s="74">
        <f>VLOOKUP(B2438,Readme!A$40:C$51,2,)*P2438</f>
        <v>83.616666666666703</v>
      </c>
    </row>
    <row r="2439" spans="1:17" ht="12" customHeight="1" x14ac:dyDescent="0.35">
      <c r="A2439" s="75">
        <v>2438</v>
      </c>
      <c r="B2439" s="64">
        <v>2016</v>
      </c>
      <c r="C2439" s="64">
        <v>7</v>
      </c>
      <c r="D2439" s="80">
        <f t="shared" si="79"/>
        <v>2016</v>
      </c>
      <c r="E2439" t="s">
        <v>38</v>
      </c>
      <c r="F2439" t="s">
        <v>143</v>
      </c>
      <c r="G2439" t="s">
        <v>10</v>
      </c>
      <c r="H2439" s="72" t="s">
        <v>217</v>
      </c>
      <c r="I2439" s="72" t="s">
        <v>59</v>
      </c>
      <c r="J2439" t="str">
        <f t="shared" si="80"/>
        <v>Cascade River</v>
      </c>
      <c r="K2439" t="str">
        <f>IFERROR(VLOOKUP(J2439,LUTs!$A$1:$C$73,2,FALSE),"NA")</f>
        <v>Skagit</v>
      </c>
      <c r="L2439" t="str">
        <f>IFERROR(VLOOKUP(J2439,LUTs!$A$1:$C$73,3,FALSE),"NA")</f>
        <v>1North Puget Sound</v>
      </c>
      <c r="M2439" s="72" t="s">
        <v>13</v>
      </c>
      <c r="N2439" t="str">
        <f>VLOOKUP(M2439,LUTs!E$2:H$14,3,)</f>
        <v>01Whatcom</v>
      </c>
      <c r="O2439" t="str">
        <f>VLOOKUP(M2439,LUTs!E$2:H$14,4,)</f>
        <v>01North Puget Sound</v>
      </c>
      <c r="P2439" s="73">
        <v>9.6666666666666696</v>
      </c>
      <c r="Q2439" s="74">
        <f>VLOOKUP(B2439,Readme!A$40:C$51,2,)*P2439</f>
        <v>83.616666666666703</v>
      </c>
    </row>
    <row r="2440" spans="1:17" ht="12" customHeight="1" x14ac:dyDescent="0.35">
      <c r="A2440" s="75">
        <v>2439</v>
      </c>
      <c r="B2440" s="64">
        <v>2016</v>
      </c>
      <c r="C2440" s="64">
        <v>9</v>
      </c>
      <c r="D2440" s="80">
        <f t="shared" si="79"/>
        <v>2016</v>
      </c>
      <c r="E2440" t="s">
        <v>38</v>
      </c>
      <c r="F2440" t="s">
        <v>143</v>
      </c>
      <c r="G2440" t="s">
        <v>10</v>
      </c>
      <c r="H2440" s="72" t="s">
        <v>217</v>
      </c>
      <c r="I2440" s="72" t="s">
        <v>59</v>
      </c>
      <c r="J2440" t="str">
        <f t="shared" si="80"/>
        <v>Cascade River</v>
      </c>
      <c r="K2440" t="str">
        <f>IFERROR(VLOOKUP(J2440,LUTs!$A$1:$C$73,2,FALSE),"NA")</f>
        <v>Skagit</v>
      </c>
      <c r="L2440" t="str">
        <f>IFERROR(VLOOKUP(J2440,LUTs!$A$1:$C$73,3,FALSE),"NA")</f>
        <v>1North Puget Sound</v>
      </c>
      <c r="M2440" s="72" t="s">
        <v>16</v>
      </c>
      <c r="N2440" t="str">
        <f>VLOOKUP(M2440,LUTs!E$2:H$14,3,)</f>
        <v>03Snohomish</v>
      </c>
      <c r="O2440" t="str">
        <f>VLOOKUP(M2440,LUTs!E$2:H$14,4,)</f>
        <v>01North Puget Sound</v>
      </c>
      <c r="P2440" s="73">
        <v>0</v>
      </c>
      <c r="Q2440" s="74">
        <f>VLOOKUP(B2440,Readme!A$40:C$51,2,)*P2440</f>
        <v>0</v>
      </c>
    </row>
    <row r="2441" spans="1:17" ht="12" customHeight="1" x14ac:dyDescent="0.35">
      <c r="A2441" s="75">
        <v>2440</v>
      </c>
      <c r="B2441" s="64">
        <v>2016</v>
      </c>
      <c r="C2441" s="64">
        <v>10</v>
      </c>
      <c r="D2441" s="80">
        <f t="shared" si="79"/>
        <v>2016</v>
      </c>
      <c r="E2441" t="s">
        <v>38</v>
      </c>
      <c r="F2441" t="s">
        <v>143</v>
      </c>
      <c r="G2441" t="s">
        <v>10</v>
      </c>
      <c r="H2441" s="72" t="s">
        <v>217</v>
      </c>
      <c r="I2441" s="72" t="s">
        <v>59</v>
      </c>
      <c r="J2441" t="str">
        <f t="shared" si="80"/>
        <v>Cascade River</v>
      </c>
      <c r="K2441" t="str">
        <f>IFERROR(VLOOKUP(J2441,LUTs!$A$1:$C$73,2,FALSE),"NA")</f>
        <v>Skagit</v>
      </c>
      <c r="L2441" t="str">
        <f>IFERROR(VLOOKUP(J2441,LUTs!$A$1:$C$73,3,FALSE),"NA")</f>
        <v>1North Puget Sound</v>
      </c>
      <c r="M2441" s="72" t="s">
        <v>17</v>
      </c>
      <c r="N2441" t="str">
        <f>VLOOKUP(M2441,LUTs!E$2:H$14,3,)</f>
        <v>04Island</v>
      </c>
      <c r="O2441" t="str">
        <f>VLOOKUP(M2441,LUTs!E$2:H$14,4,)</f>
        <v>01North Puget Sound</v>
      </c>
      <c r="P2441" s="73">
        <v>29.342857142857099</v>
      </c>
      <c r="Q2441" s="74">
        <f>VLOOKUP(B2441,Readme!A$40:C$51,2,)*P2441</f>
        <v>253.81571428571391</v>
      </c>
    </row>
    <row r="2442" spans="1:17" ht="12" customHeight="1" x14ac:dyDescent="0.35">
      <c r="A2442" s="75">
        <v>2441</v>
      </c>
      <c r="B2442" s="64">
        <v>2016</v>
      </c>
      <c r="C2442" s="64">
        <v>10</v>
      </c>
      <c r="D2442" s="80">
        <f t="shared" si="79"/>
        <v>2016</v>
      </c>
      <c r="E2442" t="s">
        <v>38</v>
      </c>
      <c r="F2442" t="s">
        <v>143</v>
      </c>
      <c r="G2442" t="s">
        <v>10</v>
      </c>
      <c r="H2442" s="72" t="s">
        <v>217</v>
      </c>
      <c r="I2442" s="72" t="s">
        <v>59</v>
      </c>
      <c r="J2442" t="str">
        <f t="shared" si="80"/>
        <v>Cascade River</v>
      </c>
      <c r="K2442" t="str">
        <f>IFERROR(VLOOKUP(J2442,LUTs!$A$1:$C$73,2,FALSE),"NA")</f>
        <v>Skagit</v>
      </c>
      <c r="L2442" t="str">
        <f>IFERROR(VLOOKUP(J2442,LUTs!$A$1:$C$73,3,FALSE),"NA")</f>
        <v>1North Puget Sound</v>
      </c>
      <c r="M2442" s="72" t="s">
        <v>18</v>
      </c>
      <c r="N2442" t="str">
        <f>VLOOKUP(M2442,LUTs!E$2:H$14,3,)</f>
        <v>06King</v>
      </c>
      <c r="O2442" t="str">
        <f>VLOOKUP(M2442,LUTs!E$2:H$14,4,)</f>
        <v>02South Puget Sound</v>
      </c>
      <c r="P2442" s="73">
        <v>205.4</v>
      </c>
      <c r="Q2442" s="74">
        <f>VLOOKUP(B2442,Readme!A$40:C$51,2,)*P2442</f>
        <v>1776.71</v>
      </c>
    </row>
    <row r="2443" spans="1:17" ht="12" customHeight="1" x14ac:dyDescent="0.35">
      <c r="A2443" s="75">
        <v>2442</v>
      </c>
      <c r="B2443" s="64">
        <v>2016</v>
      </c>
      <c r="C2443" s="64">
        <v>10</v>
      </c>
      <c r="D2443" s="80">
        <f t="shared" si="79"/>
        <v>2016</v>
      </c>
      <c r="E2443" t="s">
        <v>38</v>
      </c>
      <c r="F2443" t="s">
        <v>143</v>
      </c>
      <c r="G2443" t="s">
        <v>10</v>
      </c>
      <c r="H2443" s="72" t="s">
        <v>217</v>
      </c>
      <c r="I2443" s="72" t="s">
        <v>59</v>
      </c>
      <c r="J2443" t="str">
        <f t="shared" si="80"/>
        <v>Cascade River</v>
      </c>
      <c r="K2443" t="str">
        <f>IFERROR(VLOOKUP(J2443,LUTs!$A$1:$C$73,2,FALSE),"NA")</f>
        <v>Skagit</v>
      </c>
      <c r="L2443" t="str">
        <f>IFERROR(VLOOKUP(J2443,LUTs!$A$1:$C$73,3,FALSE),"NA")</f>
        <v>1North Puget Sound</v>
      </c>
      <c r="M2443" s="72" t="s">
        <v>23</v>
      </c>
      <c r="N2443" t="str">
        <f>VLOOKUP(M2443,LUTs!E$2:H$14,3,)</f>
        <v>10Kitsap</v>
      </c>
      <c r="O2443" t="str">
        <f>VLOOKUP(M2443,LUTs!E$2:H$14,4,)</f>
        <v>02South Puget Sound</v>
      </c>
      <c r="P2443" s="73">
        <v>68.466666666666697</v>
      </c>
      <c r="Q2443" s="74">
        <f>VLOOKUP(B2443,Readme!A$40:C$51,2,)*P2443</f>
        <v>592.23666666666691</v>
      </c>
    </row>
    <row r="2444" spans="1:17" ht="12" customHeight="1" x14ac:dyDescent="0.35">
      <c r="A2444" s="75">
        <v>2443</v>
      </c>
      <c r="B2444" s="64">
        <v>2016</v>
      </c>
      <c r="C2444" s="64">
        <v>10</v>
      </c>
      <c r="D2444" s="80">
        <f t="shared" si="79"/>
        <v>2016</v>
      </c>
      <c r="E2444" t="s">
        <v>38</v>
      </c>
      <c r="F2444" t="s">
        <v>143</v>
      </c>
      <c r="G2444" t="s">
        <v>10</v>
      </c>
      <c r="H2444" s="72" t="s">
        <v>217</v>
      </c>
      <c r="I2444" s="72" t="s">
        <v>59</v>
      </c>
      <c r="J2444" t="str">
        <f t="shared" si="80"/>
        <v>Cascade River</v>
      </c>
      <c r="K2444" t="str">
        <f>IFERROR(VLOOKUP(J2444,LUTs!$A$1:$C$73,2,FALSE),"NA")</f>
        <v>Skagit</v>
      </c>
      <c r="L2444" t="str">
        <f>IFERROR(VLOOKUP(J2444,LUTs!$A$1:$C$73,3,FALSE),"NA")</f>
        <v>1North Puget Sound</v>
      </c>
      <c r="M2444" s="72" t="s">
        <v>26</v>
      </c>
      <c r="N2444" t="str">
        <f>VLOOKUP(M2444,LUTs!E$2:H$14,3,)</f>
        <v>20Other</v>
      </c>
      <c r="O2444" t="str">
        <f>VLOOKUP(M2444,LUTs!E$2:H$14,4,)</f>
        <v>07Non Puget Sound</v>
      </c>
      <c r="P2444" s="73">
        <v>29.342857142857099</v>
      </c>
      <c r="Q2444" s="74">
        <f>VLOOKUP(B2444,Readme!A$40:C$51,2,)*P2444</f>
        <v>253.81571428571391</v>
      </c>
    </row>
    <row r="2445" spans="1:17" ht="12" customHeight="1" x14ac:dyDescent="0.35">
      <c r="A2445" s="75">
        <v>2444</v>
      </c>
      <c r="B2445" s="64">
        <v>2016</v>
      </c>
      <c r="C2445" s="64">
        <v>10</v>
      </c>
      <c r="D2445" s="80">
        <f t="shared" si="79"/>
        <v>2016</v>
      </c>
      <c r="E2445" t="s">
        <v>38</v>
      </c>
      <c r="F2445" t="s">
        <v>143</v>
      </c>
      <c r="G2445" t="s">
        <v>10</v>
      </c>
      <c r="H2445" s="72" t="s">
        <v>217</v>
      </c>
      <c r="I2445" s="72" t="s">
        <v>59</v>
      </c>
      <c r="J2445" t="str">
        <f t="shared" si="80"/>
        <v>Cascade River</v>
      </c>
      <c r="K2445" t="str">
        <f>IFERROR(VLOOKUP(J2445,LUTs!$A$1:$C$73,2,FALSE),"NA")</f>
        <v>Skagit</v>
      </c>
      <c r="L2445" t="str">
        <f>IFERROR(VLOOKUP(J2445,LUTs!$A$1:$C$73,3,FALSE),"NA")</f>
        <v>1North Puget Sound</v>
      </c>
      <c r="M2445" s="72" t="s">
        <v>15</v>
      </c>
      <c r="N2445" t="str">
        <f>VLOOKUP(M2445,LUTs!E$2:H$14,3,)</f>
        <v>02Skagit</v>
      </c>
      <c r="O2445" t="str">
        <f>VLOOKUP(M2445,LUTs!E$2:H$14,4,)</f>
        <v>01North Puget Sound</v>
      </c>
      <c r="P2445" s="73">
        <v>195.61904761904799</v>
      </c>
      <c r="Q2445" s="74">
        <f>VLOOKUP(B2445,Readme!A$40:C$51,2,)*P2445</f>
        <v>1692.1047619047652</v>
      </c>
    </row>
    <row r="2446" spans="1:17" ht="12" customHeight="1" x14ac:dyDescent="0.35">
      <c r="A2446" s="75">
        <v>2445</v>
      </c>
      <c r="B2446" s="64">
        <v>2016</v>
      </c>
      <c r="C2446" s="64">
        <v>10</v>
      </c>
      <c r="D2446" s="80">
        <f t="shared" si="79"/>
        <v>2016</v>
      </c>
      <c r="E2446" t="s">
        <v>38</v>
      </c>
      <c r="F2446" t="s">
        <v>143</v>
      </c>
      <c r="G2446" t="s">
        <v>10</v>
      </c>
      <c r="H2446" s="72" t="s">
        <v>217</v>
      </c>
      <c r="I2446" s="72" t="s">
        <v>59</v>
      </c>
      <c r="J2446" t="str">
        <f t="shared" si="80"/>
        <v>Cascade River</v>
      </c>
      <c r="K2446" t="str">
        <f>IFERROR(VLOOKUP(J2446,LUTs!$A$1:$C$73,2,FALSE),"NA")</f>
        <v>Skagit</v>
      </c>
      <c r="L2446" t="str">
        <f>IFERROR(VLOOKUP(J2446,LUTs!$A$1:$C$73,3,FALSE),"NA")</f>
        <v>1North Puget Sound</v>
      </c>
      <c r="M2446" s="72" t="s">
        <v>16</v>
      </c>
      <c r="N2446" t="str">
        <f>VLOOKUP(M2446,LUTs!E$2:H$14,3,)</f>
        <v>03Snohomish</v>
      </c>
      <c r="O2446" t="str">
        <f>VLOOKUP(M2446,LUTs!E$2:H$14,4,)</f>
        <v>01North Puget Sound</v>
      </c>
      <c r="P2446" s="73">
        <v>420.58095238095302</v>
      </c>
      <c r="Q2446" s="74">
        <f>VLOOKUP(B2446,Readme!A$40:C$51,2,)*P2446</f>
        <v>3638.0252380952438</v>
      </c>
    </row>
    <row r="2447" spans="1:17" ht="12" customHeight="1" x14ac:dyDescent="0.35">
      <c r="A2447" s="75">
        <v>2446</v>
      </c>
      <c r="B2447" s="64">
        <v>2016</v>
      </c>
      <c r="C2447" s="64">
        <v>10</v>
      </c>
      <c r="D2447" s="80">
        <f t="shared" si="79"/>
        <v>2016</v>
      </c>
      <c r="E2447" t="s">
        <v>38</v>
      </c>
      <c r="F2447" t="s">
        <v>143</v>
      </c>
      <c r="G2447" t="s">
        <v>10</v>
      </c>
      <c r="H2447" s="72" t="s">
        <v>217</v>
      </c>
      <c r="I2447" s="72" t="s">
        <v>59</v>
      </c>
      <c r="J2447" t="str">
        <f t="shared" si="80"/>
        <v>Cascade River</v>
      </c>
      <c r="K2447" t="str">
        <f>IFERROR(VLOOKUP(J2447,LUTs!$A$1:$C$73,2,FALSE),"NA")</f>
        <v>Skagit</v>
      </c>
      <c r="L2447" t="str">
        <f>IFERROR(VLOOKUP(J2447,LUTs!$A$1:$C$73,3,FALSE),"NA")</f>
        <v>1North Puget Sound</v>
      </c>
      <c r="M2447" s="72" t="s">
        <v>13</v>
      </c>
      <c r="N2447" t="str">
        <f>VLOOKUP(M2447,LUTs!E$2:H$14,3,)</f>
        <v>01Whatcom</v>
      </c>
      <c r="O2447" t="str">
        <f>VLOOKUP(M2447,LUTs!E$2:H$14,4,)</f>
        <v>01North Puget Sound</v>
      </c>
      <c r="P2447" s="73">
        <v>78.247619047619096</v>
      </c>
      <c r="Q2447" s="74">
        <f>VLOOKUP(B2447,Readme!A$40:C$51,2,)*P2447</f>
        <v>676.8419047619052</v>
      </c>
    </row>
    <row r="2448" spans="1:17" ht="12" customHeight="1" x14ac:dyDescent="0.35">
      <c r="A2448" s="75">
        <v>2447</v>
      </c>
      <c r="B2448" s="64">
        <v>2016</v>
      </c>
      <c r="C2448" s="64">
        <v>11</v>
      </c>
      <c r="D2448" s="80">
        <f t="shared" si="79"/>
        <v>2016</v>
      </c>
      <c r="E2448" t="s">
        <v>38</v>
      </c>
      <c r="F2448" t="s">
        <v>143</v>
      </c>
      <c r="G2448" t="s">
        <v>10</v>
      </c>
      <c r="H2448" s="72" t="s">
        <v>217</v>
      </c>
      <c r="I2448" s="72" t="s">
        <v>59</v>
      </c>
      <c r="J2448" t="str">
        <f t="shared" si="80"/>
        <v>Cascade River</v>
      </c>
      <c r="K2448" t="str">
        <f>IFERROR(VLOOKUP(J2448,LUTs!$A$1:$C$73,2,FALSE),"NA")</f>
        <v>Skagit</v>
      </c>
      <c r="L2448" t="str">
        <f>IFERROR(VLOOKUP(J2448,LUTs!$A$1:$C$73,3,FALSE),"NA")</f>
        <v>1North Puget Sound</v>
      </c>
      <c r="M2448" s="72" t="s">
        <v>18</v>
      </c>
      <c r="N2448" t="str">
        <f>VLOOKUP(M2448,LUTs!E$2:H$14,3,)</f>
        <v>06King</v>
      </c>
      <c r="O2448" t="str">
        <f>VLOOKUP(M2448,LUTs!E$2:H$14,4,)</f>
        <v>02South Puget Sound</v>
      </c>
      <c r="P2448" s="73">
        <v>9.9</v>
      </c>
      <c r="Q2448" s="74">
        <f>VLOOKUP(B2448,Readme!A$40:C$51,2,)*P2448</f>
        <v>85.635000000000005</v>
      </c>
    </row>
    <row r="2449" spans="1:17" ht="12" customHeight="1" x14ac:dyDescent="0.35">
      <c r="A2449" s="75">
        <v>2448</v>
      </c>
      <c r="B2449" s="64">
        <v>2016</v>
      </c>
      <c r="C2449" s="64">
        <v>11</v>
      </c>
      <c r="D2449" s="80">
        <f t="shared" si="79"/>
        <v>2016</v>
      </c>
      <c r="E2449" t="s">
        <v>38</v>
      </c>
      <c r="F2449" t="s">
        <v>143</v>
      </c>
      <c r="G2449" t="s">
        <v>10</v>
      </c>
      <c r="H2449" s="72" t="s">
        <v>217</v>
      </c>
      <c r="I2449" s="72" t="s">
        <v>59</v>
      </c>
      <c r="J2449" t="str">
        <f t="shared" si="80"/>
        <v>Cascade River</v>
      </c>
      <c r="K2449" t="str">
        <f>IFERROR(VLOOKUP(J2449,LUTs!$A$1:$C$73,2,FALSE),"NA")</f>
        <v>Skagit</v>
      </c>
      <c r="L2449" t="str">
        <f>IFERROR(VLOOKUP(J2449,LUTs!$A$1:$C$73,3,FALSE),"NA")</f>
        <v>1North Puget Sound</v>
      </c>
      <c r="M2449" s="72" t="s">
        <v>15</v>
      </c>
      <c r="N2449" t="str">
        <f>VLOOKUP(M2449,LUTs!E$2:H$14,3,)</f>
        <v>02Skagit</v>
      </c>
      <c r="O2449" t="str">
        <f>VLOOKUP(M2449,LUTs!E$2:H$14,4,)</f>
        <v>01North Puget Sound</v>
      </c>
      <c r="P2449" s="73">
        <v>49.5</v>
      </c>
      <c r="Q2449" s="74">
        <f>VLOOKUP(B2449,Readme!A$40:C$51,2,)*P2449</f>
        <v>428.17500000000001</v>
      </c>
    </row>
    <row r="2450" spans="1:17" ht="12" customHeight="1" x14ac:dyDescent="0.35">
      <c r="A2450" s="75">
        <v>2449</v>
      </c>
      <c r="B2450" s="64">
        <v>2016</v>
      </c>
      <c r="C2450" s="64">
        <v>11</v>
      </c>
      <c r="D2450" s="80">
        <f t="shared" si="79"/>
        <v>2016</v>
      </c>
      <c r="E2450" t="s">
        <v>38</v>
      </c>
      <c r="F2450" t="s">
        <v>143</v>
      </c>
      <c r="G2450" t="s">
        <v>10</v>
      </c>
      <c r="H2450" s="72" t="s">
        <v>217</v>
      </c>
      <c r="I2450" s="72" t="s">
        <v>59</v>
      </c>
      <c r="J2450" t="str">
        <f t="shared" si="80"/>
        <v>Cascade River</v>
      </c>
      <c r="K2450" t="str">
        <f>IFERROR(VLOOKUP(J2450,LUTs!$A$1:$C$73,2,FALSE),"NA")</f>
        <v>Skagit</v>
      </c>
      <c r="L2450" t="str">
        <f>IFERROR(VLOOKUP(J2450,LUTs!$A$1:$C$73,3,FALSE),"NA")</f>
        <v>1North Puget Sound</v>
      </c>
      <c r="M2450" s="72" t="s">
        <v>16</v>
      </c>
      <c r="N2450" t="str">
        <f>VLOOKUP(M2450,LUTs!E$2:H$14,3,)</f>
        <v>03Snohomish</v>
      </c>
      <c r="O2450" t="str">
        <f>VLOOKUP(M2450,LUTs!E$2:H$14,4,)</f>
        <v>01North Puget Sound</v>
      </c>
      <c r="P2450" s="73">
        <v>39.6</v>
      </c>
      <c r="Q2450" s="74">
        <f>VLOOKUP(B2450,Readme!A$40:C$51,2,)*P2450</f>
        <v>342.54</v>
      </c>
    </row>
    <row r="2451" spans="1:17" ht="12" customHeight="1" x14ac:dyDescent="0.35">
      <c r="A2451" s="75">
        <v>2450</v>
      </c>
      <c r="B2451" s="64">
        <v>2017</v>
      </c>
      <c r="C2451" s="64">
        <v>3</v>
      </c>
      <c r="D2451" s="80">
        <f t="shared" si="79"/>
        <v>2016</v>
      </c>
      <c r="E2451" t="s">
        <v>38</v>
      </c>
      <c r="F2451" t="s">
        <v>143</v>
      </c>
      <c r="G2451" t="s">
        <v>10</v>
      </c>
      <c r="H2451" s="72" t="s">
        <v>217</v>
      </c>
      <c r="I2451" s="72" t="s">
        <v>59</v>
      </c>
      <c r="J2451" t="str">
        <f t="shared" si="80"/>
        <v>Cascade River</v>
      </c>
      <c r="K2451" t="str">
        <f>IFERROR(VLOOKUP(J2451,LUTs!$A$1:$C$73,2,FALSE),"NA")</f>
        <v>Skagit</v>
      </c>
      <c r="L2451" t="str">
        <f>IFERROR(VLOOKUP(J2451,LUTs!$A$1:$C$73,3,FALSE),"NA")</f>
        <v>1North Puget Sound</v>
      </c>
      <c r="M2451" s="72" t="s">
        <v>16</v>
      </c>
      <c r="N2451" t="str">
        <f>VLOOKUP(M2451,LUTs!E$2:H$14,3,)</f>
        <v>03Snohomish</v>
      </c>
      <c r="O2451" t="str">
        <f>VLOOKUP(M2451,LUTs!E$2:H$14,4,)</f>
        <v>01North Puget Sound</v>
      </c>
      <c r="P2451" s="73">
        <v>0</v>
      </c>
      <c r="Q2451" s="74">
        <f>VLOOKUP(B2451,Readme!A$40:C$51,2,)*P2451</f>
        <v>0</v>
      </c>
    </row>
    <row r="2452" spans="1:17" ht="12" customHeight="1" x14ac:dyDescent="0.35">
      <c r="A2452" s="75">
        <v>2451</v>
      </c>
      <c r="B2452" s="64">
        <v>2016</v>
      </c>
      <c r="C2452" s="64">
        <v>6</v>
      </c>
      <c r="D2452" s="80">
        <f t="shared" si="79"/>
        <v>2016</v>
      </c>
      <c r="E2452" t="s">
        <v>38</v>
      </c>
      <c r="F2452" t="s">
        <v>143</v>
      </c>
      <c r="G2452" t="s">
        <v>10</v>
      </c>
      <c r="H2452" s="72" t="s">
        <v>218</v>
      </c>
      <c r="I2452" s="72" t="s">
        <v>60</v>
      </c>
      <c r="J2452" t="str">
        <f t="shared" si="80"/>
        <v>Skagit River</v>
      </c>
      <c r="K2452" t="str">
        <f>IFERROR(VLOOKUP(J2452,LUTs!$A$1:$C$73,2,FALSE),"NA")</f>
        <v>Skagit/Whatcom</v>
      </c>
      <c r="L2452" t="str">
        <f>IFERROR(VLOOKUP(J2452,LUTs!$A$1:$C$73,3,FALSE),"NA")</f>
        <v>2Central Puget Sound</v>
      </c>
      <c r="M2452" s="72" t="s">
        <v>15</v>
      </c>
      <c r="N2452" t="str">
        <f>VLOOKUP(M2452,LUTs!E$2:H$14,3,)</f>
        <v>02Skagit</v>
      </c>
      <c r="O2452" t="str">
        <f>VLOOKUP(M2452,LUTs!E$2:H$14,4,)</f>
        <v>01North Puget Sound</v>
      </c>
      <c r="P2452" s="73">
        <v>28.5</v>
      </c>
      <c r="Q2452" s="74">
        <f>VLOOKUP(B2452,Readme!A$40:C$51,2,)*P2452</f>
        <v>246.52500000000001</v>
      </c>
    </row>
    <row r="2453" spans="1:17" ht="12" customHeight="1" x14ac:dyDescent="0.35">
      <c r="A2453" s="75">
        <v>2452</v>
      </c>
      <c r="B2453" s="64">
        <v>2016</v>
      </c>
      <c r="C2453" s="64">
        <v>6</v>
      </c>
      <c r="D2453" s="80">
        <f t="shared" si="79"/>
        <v>2016</v>
      </c>
      <c r="E2453" t="s">
        <v>38</v>
      </c>
      <c r="F2453" t="s">
        <v>143</v>
      </c>
      <c r="G2453" t="s">
        <v>10</v>
      </c>
      <c r="H2453" s="72" t="s">
        <v>218</v>
      </c>
      <c r="I2453" s="72" t="s">
        <v>60</v>
      </c>
      <c r="J2453" t="str">
        <f t="shared" si="80"/>
        <v>Skagit River</v>
      </c>
      <c r="K2453" t="str">
        <f>IFERROR(VLOOKUP(J2453,LUTs!$A$1:$C$73,2,FALSE),"NA")</f>
        <v>Skagit/Whatcom</v>
      </c>
      <c r="L2453" t="str">
        <f>IFERROR(VLOOKUP(J2453,LUTs!$A$1:$C$73,3,FALSE),"NA")</f>
        <v>2Central Puget Sound</v>
      </c>
      <c r="M2453" s="72" t="s">
        <v>16</v>
      </c>
      <c r="N2453" t="str">
        <f>VLOOKUP(M2453,LUTs!E$2:H$14,3,)</f>
        <v>03Snohomish</v>
      </c>
      <c r="O2453" t="str">
        <f>VLOOKUP(M2453,LUTs!E$2:H$14,4,)</f>
        <v>01North Puget Sound</v>
      </c>
      <c r="P2453" s="73">
        <v>9.5</v>
      </c>
      <c r="Q2453" s="74">
        <f>VLOOKUP(B2453,Readme!A$40:C$51,2,)*P2453</f>
        <v>82.174999999999997</v>
      </c>
    </row>
    <row r="2454" spans="1:17" ht="12" customHeight="1" x14ac:dyDescent="0.35">
      <c r="A2454" s="75">
        <v>2453</v>
      </c>
      <c r="B2454" s="64">
        <v>2016</v>
      </c>
      <c r="C2454" s="64">
        <v>7</v>
      </c>
      <c r="D2454" s="80">
        <f t="shared" si="79"/>
        <v>2016</v>
      </c>
      <c r="E2454" t="s">
        <v>38</v>
      </c>
      <c r="F2454" t="s">
        <v>143</v>
      </c>
      <c r="G2454" t="s">
        <v>10</v>
      </c>
      <c r="H2454" s="72" t="s">
        <v>218</v>
      </c>
      <c r="I2454" s="72" t="s">
        <v>60</v>
      </c>
      <c r="J2454" t="str">
        <f t="shared" si="80"/>
        <v>Skagit River</v>
      </c>
      <c r="K2454" t="str">
        <f>IFERROR(VLOOKUP(J2454,LUTs!$A$1:$C$73,2,FALSE),"NA")</f>
        <v>Skagit/Whatcom</v>
      </c>
      <c r="L2454" t="str">
        <f>IFERROR(VLOOKUP(J2454,LUTs!$A$1:$C$73,3,FALSE),"NA")</f>
        <v>2Central Puget Sound</v>
      </c>
      <c r="M2454" s="72" t="s">
        <v>17</v>
      </c>
      <c r="N2454" t="str">
        <f>VLOOKUP(M2454,LUTs!E$2:H$14,3,)</f>
        <v>04Island</v>
      </c>
      <c r="O2454" t="str">
        <f>VLOOKUP(M2454,LUTs!E$2:H$14,4,)</f>
        <v>01North Puget Sound</v>
      </c>
      <c r="P2454" s="73">
        <v>9.5882352941176503</v>
      </c>
      <c r="Q2454" s="74">
        <f>VLOOKUP(B2454,Readme!A$40:C$51,2,)*P2454</f>
        <v>82.938235294117675</v>
      </c>
    </row>
    <row r="2455" spans="1:17" ht="12" customHeight="1" x14ac:dyDescent="0.35">
      <c r="A2455" s="75">
        <v>2454</v>
      </c>
      <c r="B2455" s="64">
        <v>2016</v>
      </c>
      <c r="C2455" s="64">
        <v>7</v>
      </c>
      <c r="D2455" s="80">
        <f t="shared" si="79"/>
        <v>2016</v>
      </c>
      <c r="E2455" t="s">
        <v>38</v>
      </c>
      <c r="F2455" t="s">
        <v>143</v>
      </c>
      <c r="G2455" t="s">
        <v>10</v>
      </c>
      <c r="H2455" s="72" t="s">
        <v>218</v>
      </c>
      <c r="I2455" s="72" t="s">
        <v>60</v>
      </c>
      <c r="J2455" t="str">
        <f t="shared" si="80"/>
        <v>Skagit River</v>
      </c>
      <c r="K2455" t="str">
        <f>IFERROR(VLOOKUP(J2455,LUTs!$A$1:$C$73,2,FALSE),"NA")</f>
        <v>Skagit/Whatcom</v>
      </c>
      <c r="L2455" t="str">
        <f>IFERROR(VLOOKUP(J2455,LUTs!$A$1:$C$73,3,FALSE),"NA")</f>
        <v>2Central Puget Sound</v>
      </c>
      <c r="M2455" s="72" t="s">
        <v>15</v>
      </c>
      <c r="N2455" t="str">
        <f>VLOOKUP(M2455,LUTs!E$2:H$14,3,)</f>
        <v>02Skagit</v>
      </c>
      <c r="O2455" t="str">
        <f>VLOOKUP(M2455,LUTs!E$2:H$14,4,)</f>
        <v>01North Puget Sound</v>
      </c>
      <c r="P2455" s="73">
        <v>95.882352941176507</v>
      </c>
      <c r="Q2455" s="74">
        <f>VLOOKUP(B2455,Readme!A$40:C$51,2,)*P2455</f>
        <v>829.3823529411768</v>
      </c>
    </row>
    <row r="2456" spans="1:17" ht="12" customHeight="1" x14ac:dyDescent="0.35">
      <c r="A2456" s="75">
        <v>2455</v>
      </c>
      <c r="B2456" s="64">
        <v>2016</v>
      </c>
      <c r="C2456" s="64">
        <v>7</v>
      </c>
      <c r="D2456" s="80">
        <f t="shared" si="79"/>
        <v>2016</v>
      </c>
      <c r="E2456" t="s">
        <v>38</v>
      </c>
      <c r="F2456" t="s">
        <v>143</v>
      </c>
      <c r="G2456" t="s">
        <v>10</v>
      </c>
      <c r="H2456" s="72" t="s">
        <v>218</v>
      </c>
      <c r="I2456" s="72" t="s">
        <v>60</v>
      </c>
      <c r="J2456" t="str">
        <f t="shared" si="80"/>
        <v>Skagit River</v>
      </c>
      <c r="K2456" t="str">
        <f>IFERROR(VLOOKUP(J2456,LUTs!$A$1:$C$73,2,FALSE),"NA")</f>
        <v>Skagit/Whatcom</v>
      </c>
      <c r="L2456" t="str">
        <f>IFERROR(VLOOKUP(J2456,LUTs!$A$1:$C$73,3,FALSE),"NA")</f>
        <v>2Central Puget Sound</v>
      </c>
      <c r="M2456" s="72" t="s">
        <v>16</v>
      </c>
      <c r="N2456" t="str">
        <f>VLOOKUP(M2456,LUTs!E$2:H$14,3,)</f>
        <v>03Snohomish</v>
      </c>
      <c r="O2456" t="str">
        <f>VLOOKUP(M2456,LUTs!E$2:H$14,4,)</f>
        <v>01North Puget Sound</v>
      </c>
      <c r="P2456" s="73">
        <v>47.941176470588204</v>
      </c>
      <c r="Q2456" s="74">
        <f>VLOOKUP(B2456,Readme!A$40:C$51,2,)*P2456</f>
        <v>414.691176470588</v>
      </c>
    </row>
    <row r="2457" spans="1:17" ht="12" customHeight="1" x14ac:dyDescent="0.35">
      <c r="A2457" s="75">
        <v>2456</v>
      </c>
      <c r="B2457" s="64">
        <v>2016</v>
      </c>
      <c r="C2457" s="64">
        <v>7</v>
      </c>
      <c r="D2457" s="80">
        <f t="shared" si="79"/>
        <v>2016</v>
      </c>
      <c r="E2457" t="s">
        <v>38</v>
      </c>
      <c r="F2457" t="s">
        <v>143</v>
      </c>
      <c r="G2457" t="s">
        <v>10</v>
      </c>
      <c r="H2457" s="72" t="s">
        <v>218</v>
      </c>
      <c r="I2457" s="72" t="s">
        <v>60</v>
      </c>
      <c r="J2457" t="str">
        <f t="shared" si="80"/>
        <v>Skagit River</v>
      </c>
      <c r="K2457" t="str">
        <f>IFERROR(VLOOKUP(J2457,LUTs!$A$1:$C$73,2,FALSE),"NA")</f>
        <v>Skagit/Whatcom</v>
      </c>
      <c r="L2457" t="str">
        <f>IFERROR(VLOOKUP(J2457,LUTs!$A$1:$C$73,3,FALSE),"NA")</f>
        <v>2Central Puget Sound</v>
      </c>
      <c r="M2457" s="72" t="s">
        <v>13</v>
      </c>
      <c r="N2457" t="str">
        <f>VLOOKUP(M2457,LUTs!E$2:H$14,3,)</f>
        <v>01Whatcom</v>
      </c>
      <c r="O2457" t="str">
        <f>VLOOKUP(M2457,LUTs!E$2:H$14,4,)</f>
        <v>01North Puget Sound</v>
      </c>
      <c r="P2457" s="73">
        <v>9.5882352941176503</v>
      </c>
      <c r="Q2457" s="74">
        <f>VLOOKUP(B2457,Readme!A$40:C$51,2,)*P2457</f>
        <v>82.938235294117675</v>
      </c>
    </row>
    <row r="2458" spans="1:17" ht="12" customHeight="1" x14ac:dyDescent="0.35">
      <c r="A2458" s="75">
        <v>2457</v>
      </c>
      <c r="B2458" s="64">
        <v>2016</v>
      </c>
      <c r="C2458" s="64">
        <v>9</v>
      </c>
      <c r="D2458" s="80">
        <f t="shared" si="79"/>
        <v>2016</v>
      </c>
      <c r="E2458" t="s">
        <v>38</v>
      </c>
      <c r="F2458" t="s">
        <v>143</v>
      </c>
      <c r="G2458" t="s">
        <v>10</v>
      </c>
      <c r="H2458" s="72" t="s">
        <v>218</v>
      </c>
      <c r="I2458" s="72" t="s">
        <v>60</v>
      </c>
      <c r="J2458" t="str">
        <f t="shared" si="80"/>
        <v>Skagit River</v>
      </c>
      <c r="K2458" t="str">
        <f>IFERROR(VLOOKUP(J2458,LUTs!$A$1:$C$73,2,FALSE),"NA")</f>
        <v>Skagit/Whatcom</v>
      </c>
      <c r="L2458" t="str">
        <f>IFERROR(VLOOKUP(J2458,LUTs!$A$1:$C$73,3,FALSE),"NA")</f>
        <v>2Central Puget Sound</v>
      </c>
      <c r="M2458" s="72" t="s">
        <v>15</v>
      </c>
      <c r="N2458" t="str">
        <f>VLOOKUP(M2458,LUTs!E$2:H$14,3,)</f>
        <v>02Skagit</v>
      </c>
      <c r="O2458" t="str">
        <f>VLOOKUP(M2458,LUTs!E$2:H$14,4,)</f>
        <v>01North Puget Sound</v>
      </c>
      <c r="P2458" s="73">
        <v>38.6666666666667</v>
      </c>
      <c r="Q2458" s="74">
        <f>VLOOKUP(B2458,Readme!A$40:C$51,2,)*P2458</f>
        <v>334.46666666666698</v>
      </c>
    </row>
    <row r="2459" spans="1:17" ht="12" customHeight="1" x14ac:dyDescent="0.35">
      <c r="A2459" s="75">
        <v>2458</v>
      </c>
      <c r="B2459" s="64">
        <v>2016</v>
      </c>
      <c r="C2459" s="64">
        <v>9</v>
      </c>
      <c r="D2459" s="80">
        <f t="shared" si="79"/>
        <v>2016</v>
      </c>
      <c r="E2459" t="s">
        <v>38</v>
      </c>
      <c r="F2459" t="s">
        <v>143</v>
      </c>
      <c r="G2459" t="s">
        <v>10</v>
      </c>
      <c r="H2459" s="72" t="s">
        <v>218</v>
      </c>
      <c r="I2459" s="72" t="s">
        <v>60</v>
      </c>
      <c r="J2459" t="str">
        <f t="shared" si="80"/>
        <v>Skagit River</v>
      </c>
      <c r="K2459" t="str">
        <f>IFERROR(VLOOKUP(J2459,LUTs!$A$1:$C$73,2,FALSE),"NA")</f>
        <v>Skagit/Whatcom</v>
      </c>
      <c r="L2459" t="str">
        <f>IFERROR(VLOOKUP(J2459,LUTs!$A$1:$C$73,3,FALSE),"NA")</f>
        <v>2Central Puget Sound</v>
      </c>
      <c r="M2459" s="72" t="s">
        <v>13</v>
      </c>
      <c r="N2459" t="str">
        <f>VLOOKUP(M2459,LUTs!E$2:H$14,3,)</f>
        <v>01Whatcom</v>
      </c>
      <c r="O2459" t="str">
        <f>VLOOKUP(M2459,LUTs!E$2:H$14,4,)</f>
        <v>01North Puget Sound</v>
      </c>
      <c r="P2459" s="73">
        <v>19.3333333333333</v>
      </c>
      <c r="Q2459" s="74">
        <f>VLOOKUP(B2459,Readme!A$40:C$51,2,)*P2459</f>
        <v>167.23333333333306</v>
      </c>
    </row>
    <row r="2460" spans="1:17" ht="12" customHeight="1" x14ac:dyDescent="0.35">
      <c r="A2460" s="75">
        <v>2459</v>
      </c>
      <c r="B2460" s="64">
        <v>2016</v>
      </c>
      <c r="C2460" s="64">
        <v>10</v>
      </c>
      <c r="D2460" s="80">
        <f t="shared" si="79"/>
        <v>2016</v>
      </c>
      <c r="E2460" t="s">
        <v>38</v>
      </c>
      <c r="F2460" t="s">
        <v>143</v>
      </c>
      <c r="G2460" t="s">
        <v>10</v>
      </c>
      <c r="H2460" s="72" t="s">
        <v>218</v>
      </c>
      <c r="I2460" s="72" t="s">
        <v>60</v>
      </c>
      <c r="J2460" t="str">
        <f t="shared" si="80"/>
        <v>Skagit River</v>
      </c>
      <c r="K2460" t="str">
        <f>IFERROR(VLOOKUP(J2460,LUTs!$A$1:$C$73,2,FALSE),"NA")</f>
        <v>Skagit/Whatcom</v>
      </c>
      <c r="L2460" t="str">
        <f>IFERROR(VLOOKUP(J2460,LUTs!$A$1:$C$73,3,FALSE),"NA")</f>
        <v>2Central Puget Sound</v>
      </c>
      <c r="M2460" s="72" t="s">
        <v>17</v>
      </c>
      <c r="N2460" t="str">
        <f>VLOOKUP(M2460,LUTs!E$2:H$14,3,)</f>
        <v>04Island</v>
      </c>
      <c r="O2460" t="str">
        <f>VLOOKUP(M2460,LUTs!E$2:H$14,4,)</f>
        <v>01North Puget Sound</v>
      </c>
      <c r="P2460" s="73">
        <v>48.174603174603199</v>
      </c>
      <c r="Q2460" s="74">
        <f>VLOOKUP(B2460,Readme!A$40:C$51,2,)*P2460</f>
        <v>416.7103174603177</v>
      </c>
    </row>
    <row r="2461" spans="1:17" ht="12" customHeight="1" x14ac:dyDescent="0.35">
      <c r="A2461" s="75">
        <v>2460</v>
      </c>
      <c r="B2461" s="64">
        <v>2016</v>
      </c>
      <c r="C2461" s="64">
        <v>10</v>
      </c>
      <c r="D2461" s="80">
        <f t="shared" si="79"/>
        <v>2016</v>
      </c>
      <c r="E2461" t="s">
        <v>38</v>
      </c>
      <c r="F2461" t="s">
        <v>143</v>
      </c>
      <c r="G2461" t="s">
        <v>10</v>
      </c>
      <c r="H2461" s="72" t="s">
        <v>218</v>
      </c>
      <c r="I2461" s="72" t="s">
        <v>60</v>
      </c>
      <c r="J2461" t="str">
        <f t="shared" si="80"/>
        <v>Skagit River</v>
      </c>
      <c r="K2461" t="str">
        <f>IFERROR(VLOOKUP(J2461,LUTs!$A$1:$C$73,2,FALSE),"NA")</f>
        <v>Skagit/Whatcom</v>
      </c>
      <c r="L2461" t="str">
        <f>IFERROR(VLOOKUP(J2461,LUTs!$A$1:$C$73,3,FALSE),"NA")</f>
        <v>2Central Puget Sound</v>
      </c>
      <c r="M2461" s="72" t="s">
        <v>18</v>
      </c>
      <c r="N2461" t="str">
        <f>VLOOKUP(M2461,LUTs!E$2:H$14,3,)</f>
        <v>06King</v>
      </c>
      <c r="O2461" t="str">
        <f>VLOOKUP(M2461,LUTs!E$2:H$14,4,)</f>
        <v>02South Puget Sound</v>
      </c>
      <c r="P2461" s="73">
        <v>48.174603174603199</v>
      </c>
      <c r="Q2461" s="74">
        <f>VLOOKUP(B2461,Readme!A$40:C$51,2,)*P2461</f>
        <v>416.7103174603177</v>
      </c>
    </row>
    <row r="2462" spans="1:17" ht="12" customHeight="1" x14ac:dyDescent="0.35">
      <c r="A2462" s="75">
        <v>2461</v>
      </c>
      <c r="B2462" s="64">
        <v>2016</v>
      </c>
      <c r="C2462" s="64">
        <v>10</v>
      </c>
      <c r="D2462" s="80">
        <f t="shared" si="79"/>
        <v>2016</v>
      </c>
      <c r="E2462" t="s">
        <v>38</v>
      </c>
      <c r="F2462" t="s">
        <v>143</v>
      </c>
      <c r="G2462" t="s">
        <v>10</v>
      </c>
      <c r="H2462" s="72" t="s">
        <v>218</v>
      </c>
      <c r="I2462" s="72" t="s">
        <v>60</v>
      </c>
      <c r="J2462" t="str">
        <f t="shared" si="80"/>
        <v>Skagit River</v>
      </c>
      <c r="K2462" t="str">
        <f>IFERROR(VLOOKUP(J2462,LUTs!$A$1:$C$73,2,FALSE),"NA")</f>
        <v>Skagit/Whatcom</v>
      </c>
      <c r="L2462" t="str">
        <f>IFERROR(VLOOKUP(J2462,LUTs!$A$1:$C$73,3,FALSE),"NA")</f>
        <v>2Central Puget Sound</v>
      </c>
      <c r="M2462" s="72" t="s">
        <v>26</v>
      </c>
      <c r="N2462" t="str">
        <f>VLOOKUP(M2462,LUTs!E$2:H$14,3,)</f>
        <v>20Other</v>
      </c>
      <c r="O2462" t="str">
        <f>VLOOKUP(M2462,LUTs!E$2:H$14,4,)</f>
        <v>07Non Puget Sound</v>
      </c>
      <c r="P2462" s="73">
        <v>48.174603174603199</v>
      </c>
      <c r="Q2462" s="74">
        <f>VLOOKUP(B2462,Readme!A$40:C$51,2,)*P2462</f>
        <v>416.7103174603177</v>
      </c>
    </row>
    <row r="2463" spans="1:17" ht="12" customHeight="1" x14ac:dyDescent="0.35">
      <c r="A2463" s="75">
        <v>2462</v>
      </c>
      <c r="B2463" s="64">
        <v>2016</v>
      </c>
      <c r="C2463" s="64">
        <v>10</v>
      </c>
      <c r="D2463" s="80">
        <f t="shared" si="79"/>
        <v>2016</v>
      </c>
      <c r="E2463" t="s">
        <v>38</v>
      </c>
      <c r="F2463" t="s">
        <v>143</v>
      </c>
      <c r="G2463" t="s">
        <v>10</v>
      </c>
      <c r="H2463" s="72" t="s">
        <v>218</v>
      </c>
      <c r="I2463" s="72" t="s">
        <v>60</v>
      </c>
      <c r="J2463" t="str">
        <f t="shared" si="80"/>
        <v>Skagit River</v>
      </c>
      <c r="K2463" t="str">
        <f>IFERROR(VLOOKUP(J2463,LUTs!$A$1:$C$73,2,FALSE),"NA")</f>
        <v>Skagit/Whatcom</v>
      </c>
      <c r="L2463" t="str">
        <f>IFERROR(VLOOKUP(J2463,LUTs!$A$1:$C$73,3,FALSE),"NA")</f>
        <v>2Central Puget Sound</v>
      </c>
      <c r="M2463" s="72" t="s">
        <v>15</v>
      </c>
      <c r="N2463" t="str">
        <f>VLOOKUP(M2463,LUTs!E$2:H$14,3,)</f>
        <v>02Skagit</v>
      </c>
      <c r="O2463" t="str">
        <f>VLOOKUP(M2463,LUTs!E$2:H$14,4,)</f>
        <v>01North Puget Sound</v>
      </c>
      <c r="P2463" s="73">
        <v>1252.5396825396799</v>
      </c>
      <c r="Q2463" s="74">
        <f>VLOOKUP(B2463,Readme!A$40:C$51,2,)*P2463</f>
        <v>10834.468253968233</v>
      </c>
    </row>
    <row r="2464" spans="1:17" ht="12" customHeight="1" x14ac:dyDescent="0.35">
      <c r="A2464" s="75">
        <v>2463</v>
      </c>
      <c r="B2464" s="64">
        <v>2016</v>
      </c>
      <c r="C2464" s="64">
        <v>10</v>
      </c>
      <c r="D2464" s="80">
        <f t="shared" si="79"/>
        <v>2016</v>
      </c>
      <c r="E2464" t="s">
        <v>38</v>
      </c>
      <c r="F2464" t="s">
        <v>143</v>
      </c>
      <c r="G2464" t="s">
        <v>10</v>
      </c>
      <c r="H2464" s="72" t="s">
        <v>218</v>
      </c>
      <c r="I2464" s="72" t="s">
        <v>60</v>
      </c>
      <c r="J2464" t="str">
        <f t="shared" si="80"/>
        <v>Skagit River</v>
      </c>
      <c r="K2464" t="str">
        <f>IFERROR(VLOOKUP(J2464,LUTs!$A$1:$C$73,2,FALSE),"NA")</f>
        <v>Skagit/Whatcom</v>
      </c>
      <c r="L2464" t="str">
        <f>IFERROR(VLOOKUP(J2464,LUTs!$A$1:$C$73,3,FALSE),"NA")</f>
        <v>2Central Puget Sound</v>
      </c>
      <c r="M2464" s="72" t="s">
        <v>16</v>
      </c>
      <c r="N2464" t="str">
        <f>VLOOKUP(M2464,LUTs!E$2:H$14,3,)</f>
        <v>03Snohomish</v>
      </c>
      <c r="O2464" t="str">
        <f>VLOOKUP(M2464,LUTs!E$2:H$14,4,)</f>
        <v>01North Puget Sound</v>
      </c>
      <c r="P2464" s="73">
        <v>86.714285714285694</v>
      </c>
      <c r="Q2464" s="74">
        <f>VLOOKUP(B2464,Readme!A$40:C$51,2,)*P2464</f>
        <v>750.07857142857131</v>
      </c>
    </row>
    <row r="2465" spans="1:17" ht="12" customHeight="1" x14ac:dyDescent="0.35">
      <c r="A2465" s="75">
        <v>2464</v>
      </c>
      <c r="B2465" s="64">
        <v>2016</v>
      </c>
      <c r="C2465" s="64">
        <v>10</v>
      </c>
      <c r="D2465" s="80">
        <f t="shared" si="79"/>
        <v>2016</v>
      </c>
      <c r="E2465" t="s">
        <v>38</v>
      </c>
      <c r="F2465" t="s">
        <v>143</v>
      </c>
      <c r="G2465" t="s">
        <v>10</v>
      </c>
      <c r="H2465" s="72" t="s">
        <v>218</v>
      </c>
      <c r="I2465" s="72" t="s">
        <v>60</v>
      </c>
      <c r="J2465" t="str">
        <f t="shared" si="80"/>
        <v>Skagit River</v>
      </c>
      <c r="K2465" t="str">
        <f>IFERROR(VLOOKUP(J2465,LUTs!$A$1:$C$73,2,FALSE),"NA")</f>
        <v>Skagit/Whatcom</v>
      </c>
      <c r="L2465" t="str">
        <f>IFERROR(VLOOKUP(J2465,LUTs!$A$1:$C$73,3,FALSE),"NA")</f>
        <v>2Central Puget Sound</v>
      </c>
      <c r="M2465" s="72" t="s">
        <v>13</v>
      </c>
      <c r="N2465" t="str">
        <f>VLOOKUP(M2465,LUTs!E$2:H$14,3,)</f>
        <v>01Whatcom</v>
      </c>
      <c r="O2465" t="str">
        <f>VLOOKUP(M2465,LUTs!E$2:H$14,4,)</f>
        <v>01North Puget Sound</v>
      </c>
      <c r="P2465" s="73">
        <v>337.222222222222</v>
      </c>
      <c r="Q2465" s="74">
        <f>VLOOKUP(B2465,Readme!A$40:C$51,2,)*P2465</f>
        <v>2916.9722222222204</v>
      </c>
    </row>
    <row r="2466" spans="1:17" ht="12" customHeight="1" x14ac:dyDescent="0.35">
      <c r="A2466" s="75">
        <v>2465</v>
      </c>
      <c r="B2466" s="64">
        <v>2016</v>
      </c>
      <c r="C2466" s="64">
        <v>11</v>
      </c>
      <c r="D2466" s="80">
        <f t="shared" si="79"/>
        <v>2016</v>
      </c>
      <c r="E2466" t="s">
        <v>38</v>
      </c>
      <c r="F2466" t="s">
        <v>143</v>
      </c>
      <c r="G2466" t="s">
        <v>10</v>
      </c>
      <c r="H2466" s="72" t="s">
        <v>218</v>
      </c>
      <c r="I2466" s="72" t="s">
        <v>60</v>
      </c>
      <c r="J2466" t="str">
        <f t="shared" si="80"/>
        <v>Skagit River</v>
      </c>
      <c r="K2466" t="str">
        <f>IFERROR(VLOOKUP(J2466,LUTs!$A$1:$C$73,2,FALSE),"NA")</f>
        <v>Skagit/Whatcom</v>
      </c>
      <c r="L2466" t="str">
        <f>IFERROR(VLOOKUP(J2466,LUTs!$A$1:$C$73,3,FALSE),"NA")</f>
        <v>2Central Puget Sound</v>
      </c>
      <c r="M2466" s="72" t="s">
        <v>18</v>
      </c>
      <c r="N2466" t="str">
        <f>VLOOKUP(M2466,LUTs!E$2:H$14,3,)</f>
        <v>06King</v>
      </c>
      <c r="O2466" t="str">
        <f>VLOOKUP(M2466,LUTs!E$2:H$14,4,)</f>
        <v>02South Puget Sound</v>
      </c>
      <c r="P2466" s="73">
        <v>9.6</v>
      </c>
      <c r="Q2466" s="74">
        <f>VLOOKUP(B2466,Readme!A$40:C$51,2,)*P2466</f>
        <v>83.04</v>
      </c>
    </row>
    <row r="2467" spans="1:17" ht="12" customHeight="1" x14ac:dyDescent="0.35">
      <c r="A2467" s="75">
        <v>2466</v>
      </c>
      <c r="B2467" s="64">
        <v>2016</v>
      </c>
      <c r="C2467" s="64">
        <v>11</v>
      </c>
      <c r="D2467" s="80">
        <f t="shared" si="79"/>
        <v>2016</v>
      </c>
      <c r="E2467" t="s">
        <v>38</v>
      </c>
      <c r="F2467" t="s">
        <v>143</v>
      </c>
      <c r="G2467" t="s">
        <v>10</v>
      </c>
      <c r="H2467" s="72" t="s">
        <v>218</v>
      </c>
      <c r="I2467" s="72" t="s">
        <v>60</v>
      </c>
      <c r="J2467" t="str">
        <f t="shared" si="80"/>
        <v>Skagit River</v>
      </c>
      <c r="K2467" t="str">
        <f>IFERROR(VLOOKUP(J2467,LUTs!$A$1:$C$73,2,FALSE),"NA")</f>
        <v>Skagit/Whatcom</v>
      </c>
      <c r="L2467" t="str">
        <f>IFERROR(VLOOKUP(J2467,LUTs!$A$1:$C$73,3,FALSE),"NA")</f>
        <v>2Central Puget Sound</v>
      </c>
      <c r="M2467" s="72" t="s">
        <v>26</v>
      </c>
      <c r="N2467" t="str">
        <f>VLOOKUP(M2467,LUTs!E$2:H$14,3,)</f>
        <v>20Other</v>
      </c>
      <c r="O2467" t="str">
        <f>VLOOKUP(M2467,LUTs!E$2:H$14,4,)</f>
        <v>07Non Puget Sound</v>
      </c>
      <c r="P2467" s="73">
        <v>38.4</v>
      </c>
      <c r="Q2467" s="74">
        <f>VLOOKUP(B2467,Readme!A$40:C$51,2,)*P2467</f>
        <v>332.16</v>
      </c>
    </row>
    <row r="2468" spans="1:17" ht="12" customHeight="1" x14ac:dyDescent="0.35">
      <c r="A2468" s="75">
        <v>2467</v>
      </c>
      <c r="B2468" s="64">
        <v>2016</v>
      </c>
      <c r="C2468" s="64">
        <v>11</v>
      </c>
      <c r="D2468" s="80">
        <f t="shared" si="79"/>
        <v>2016</v>
      </c>
      <c r="E2468" t="s">
        <v>38</v>
      </c>
      <c r="F2468" t="s">
        <v>143</v>
      </c>
      <c r="G2468" t="s">
        <v>10</v>
      </c>
      <c r="H2468" s="72" t="s">
        <v>218</v>
      </c>
      <c r="I2468" s="72" t="s">
        <v>60</v>
      </c>
      <c r="J2468" t="str">
        <f t="shared" si="80"/>
        <v>Skagit River</v>
      </c>
      <c r="K2468" t="str">
        <f>IFERROR(VLOOKUP(J2468,LUTs!$A$1:$C$73,2,FALSE),"NA")</f>
        <v>Skagit/Whatcom</v>
      </c>
      <c r="L2468" t="str">
        <f>IFERROR(VLOOKUP(J2468,LUTs!$A$1:$C$73,3,FALSE),"NA")</f>
        <v>2Central Puget Sound</v>
      </c>
      <c r="M2468" s="72" t="s">
        <v>15</v>
      </c>
      <c r="N2468" t="str">
        <f>VLOOKUP(M2468,LUTs!E$2:H$14,3,)</f>
        <v>02Skagit</v>
      </c>
      <c r="O2468" t="str">
        <f>VLOOKUP(M2468,LUTs!E$2:H$14,4,)</f>
        <v>01North Puget Sound</v>
      </c>
      <c r="P2468" s="73">
        <v>249.6</v>
      </c>
      <c r="Q2468" s="74">
        <f>VLOOKUP(B2468,Readme!A$40:C$51,2,)*P2468</f>
        <v>2159.04</v>
      </c>
    </row>
    <row r="2469" spans="1:17" ht="12" customHeight="1" x14ac:dyDescent="0.35">
      <c r="A2469" s="75">
        <v>2468</v>
      </c>
      <c r="B2469" s="64">
        <v>2016</v>
      </c>
      <c r="C2469" s="64">
        <v>11</v>
      </c>
      <c r="D2469" s="80">
        <f t="shared" si="79"/>
        <v>2016</v>
      </c>
      <c r="E2469" t="s">
        <v>38</v>
      </c>
      <c r="F2469" t="s">
        <v>143</v>
      </c>
      <c r="G2469" t="s">
        <v>10</v>
      </c>
      <c r="H2469" s="72" t="s">
        <v>218</v>
      </c>
      <c r="I2469" s="72" t="s">
        <v>60</v>
      </c>
      <c r="J2469" t="str">
        <f t="shared" si="80"/>
        <v>Skagit River</v>
      </c>
      <c r="K2469" t="str">
        <f>IFERROR(VLOOKUP(J2469,LUTs!$A$1:$C$73,2,FALSE),"NA")</f>
        <v>Skagit/Whatcom</v>
      </c>
      <c r="L2469" t="str">
        <f>IFERROR(VLOOKUP(J2469,LUTs!$A$1:$C$73,3,FALSE),"NA")</f>
        <v>2Central Puget Sound</v>
      </c>
      <c r="M2469" s="72" t="s">
        <v>13</v>
      </c>
      <c r="N2469" t="str">
        <f>VLOOKUP(M2469,LUTs!E$2:H$14,3,)</f>
        <v>01Whatcom</v>
      </c>
      <c r="O2469" t="str">
        <f>VLOOKUP(M2469,LUTs!E$2:H$14,4,)</f>
        <v>01North Puget Sound</v>
      </c>
      <c r="P2469" s="73">
        <v>134.4</v>
      </c>
      <c r="Q2469" s="74">
        <f>VLOOKUP(B2469,Readme!A$40:C$51,2,)*P2469</f>
        <v>1162.5600000000002</v>
      </c>
    </row>
    <row r="2470" spans="1:17" ht="12" customHeight="1" x14ac:dyDescent="0.35">
      <c r="A2470" s="75">
        <v>2469</v>
      </c>
      <c r="B2470" s="64">
        <v>2016</v>
      </c>
      <c r="C2470" s="64">
        <v>12</v>
      </c>
      <c r="D2470" s="80">
        <f t="shared" si="79"/>
        <v>2016</v>
      </c>
      <c r="E2470" t="s">
        <v>38</v>
      </c>
      <c r="F2470" t="s">
        <v>143</v>
      </c>
      <c r="G2470" t="s">
        <v>10</v>
      </c>
      <c r="H2470" s="72" t="s">
        <v>218</v>
      </c>
      <c r="I2470" s="72" t="s">
        <v>60</v>
      </c>
      <c r="J2470" t="str">
        <f t="shared" si="80"/>
        <v>Skagit River</v>
      </c>
      <c r="K2470" t="str">
        <f>IFERROR(VLOOKUP(J2470,LUTs!$A$1:$C$73,2,FALSE),"NA")</f>
        <v>Skagit/Whatcom</v>
      </c>
      <c r="L2470" t="str">
        <f>IFERROR(VLOOKUP(J2470,LUTs!$A$1:$C$73,3,FALSE),"NA")</f>
        <v>2Central Puget Sound</v>
      </c>
      <c r="M2470" s="72" t="s">
        <v>15</v>
      </c>
      <c r="N2470" t="str">
        <f>VLOOKUP(M2470,LUTs!E$2:H$14,3,)</f>
        <v>02Skagit</v>
      </c>
      <c r="O2470" t="str">
        <f>VLOOKUP(M2470,LUTs!E$2:H$14,4,)</f>
        <v>01North Puget Sound</v>
      </c>
      <c r="P2470" s="73">
        <v>28.5</v>
      </c>
      <c r="Q2470" s="74">
        <f>VLOOKUP(B2470,Readme!A$40:C$51,2,)*P2470</f>
        <v>246.52500000000001</v>
      </c>
    </row>
    <row r="2471" spans="1:17" ht="12" customHeight="1" x14ac:dyDescent="0.35">
      <c r="A2471" s="75">
        <v>2470</v>
      </c>
      <c r="B2471" s="64">
        <v>2016</v>
      </c>
      <c r="C2471" s="64">
        <v>12</v>
      </c>
      <c r="D2471" s="80">
        <f t="shared" si="79"/>
        <v>2016</v>
      </c>
      <c r="E2471" t="s">
        <v>38</v>
      </c>
      <c r="F2471" t="s">
        <v>143</v>
      </c>
      <c r="G2471" t="s">
        <v>10</v>
      </c>
      <c r="H2471" s="72" t="s">
        <v>218</v>
      </c>
      <c r="I2471" s="72" t="s">
        <v>60</v>
      </c>
      <c r="J2471" t="str">
        <f t="shared" si="80"/>
        <v>Skagit River</v>
      </c>
      <c r="K2471" t="str">
        <f>IFERROR(VLOOKUP(J2471,LUTs!$A$1:$C$73,2,FALSE),"NA")</f>
        <v>Skagit/Whatcom</v>
      </c>
      <c r="L2471" t="str">
        <f>IFERROR(VLOOKUP(J2471,LUTs!$A$1:$C$73,3,FALSE),"NA")</f>
        <v>2Central Puget Sound</v>
      </c>
      <c r="M2471" s="72" t="s">
        <v>16</v>
      </c>
      <c r="N2471" t="str">
        <f>VLOOKUP(M2471,LUTs!E$2:H$14,3,)</f>
        <v>03Snohomish</v>
      </c>
      <c r="O2471" t="str">
        <f>VLOOKUP(M2471,LUTs!E$2:H$14,4,)</f>
        <v>01North Puget Sound</v>
      </c>
      <c r="P2471" s="73">
        <v>9.5</v>
      </c>
      <c r="Q2471" s="74">
        <f>VLOOKUP(B2471,Readme!A$40:C$51,2,)*P2471</f>
        <v>82.174999999999997</v>
      </c>
    </row>
    <row r="2472" spans="1:17" ht="12" customHeight="1" x14ac:dyDescent="0.35">
      <c r="A2472" s="75">
        <v>2471</v>
      </c>
      <c r="B2472" s="64">
        <v>2016</v>
      </c>
      <c r="C2472" s="64">
        <v>6</v>
      </c>
      <c r="D2472" s="80">
        <f t="shared" si="79"/>
        <v>2016</v>
      </c>
      <c r="E2472" t="s">
        <v>38</v>
      </c>
      <c r="F2472" t="s">
        <v>143</v>
      </c>
      <c r="G2472" t="s">
        <v>10</v>
      </c>
      <c r="H2472" s="72" t="s">
        <v>220</v>
      </c>
      <c r="I2472" s="72" t="s">
        <v>62</v>
      </c>
      <c r="J2472" t="str">
        <f t="shared" si="80"/>
        <v>Skykomish River</v>
      </c>
      <c r="K2472" t="str">
        <f>IFERROR(VLOOKUP(J2472,LUTs!$A$1:$C$73,2,FALSE),"NA")</f>
        <v>Snohomish</v>
      </c>
      <c r="L2472" t="str">
        <f>IFERROR(VLOOKUP(J2472,LUTs!$A$1:$C$73,3,FALSE),"NA")</f>
        <v>2Central Puget Sound</v>
      </c>
      <c r="M2472" s="72" t="s">
        <v>18</v>
      </c>
      <c r="N2472" t="str">
        <f>VLOOKUP(M2472,LUTs!E$2:H$14,3,)</f>
        <v>06King</v>
      </c>
      <c r="O2472" t="str">
        <f>VLOOKUP(M2472,LUTs!E$2:H$14,4,)</f>
        <v>02South Puget Sound</v>
      </c>
      <c r="P2472" s="73">
        <v>9.4</v>
      </c>
      <c r="Q2472" s="74">
        <f>VLOOKUP(B2472,Readme!A$40:C$51,2,)*P2472</f>
        <v>81.31</v>
      </c>
    </row>
    <row r="2473" spans="1:17" ht="12" customHeight="1" x14ac:dyDescent="0.35">
      <c r="A2473" s="75">
        <v>2472</v>
      </c>
      <c r="B2473" s="64">
        <v>2016</v>
      </c>
      <c r="C2473" s="64">
        <v>6</v>
      </c>
      <c r="D2473" s="80">
        <f t="shared" si="79"/>
        <v>2016</v>
      </c>
      <c r="E2473" t="s">
        <v>38</v>
      </c>
      <c r="F2473" t="s">
        <v>143</v>
      </c>
      <c r="G2473" t="s">
        <v>10</v>
      </c>
      <c r="H2473" s="72" t="s">
        <v>220</v>
      </c>
      <c r="I2473" s="72" t="s">
        <v>62</v>
      </c>
      <c r="J2473" t="str">
        <f t="shared" si="80"/>
        <v>Skykomish River</v>
      </c>
      <c r="K2473" t="str">
        <f>IFERROR(VLOOKUP(J2473,LUTs!$A$1:$C$73,2,FALSE),"NA")</f>
        <v>Snohomish</v>
      </c>
      <c r="L2473" t="str">
        <f>IFERROR(VLOOKUP(J2473,LUTs!$A$1:$C$73,3,FALSE),"NA")</f>
        <v>2Central Puget Sound</v>
      </c>
      <c r="M2473" s="72" t="s">
        <v>26</v>
      </c>
      <c r="N2473" t="str">
        <f>VLOOKUP(M2473,LUTs!E$2:H$14,3,)</f>
        <v>20Other</v>
      </c>
      <c r="O2473" t="str">
        <f>VLOOKUP(M2473,LUTs!E$2:H$14,4,)</f>
        <v>07Non Puget Sound</v>
      </c>
      <c r="P2473" s="73">
        <v>9.4</v>
      </c>
      <c r="Q2473" s="74">
        <f>VLOOKUP(B2473,Readme!A$40:C$51,2,)*P2473</f>
        <v>81.31</v>
      </c>
    </row>
    <row r="2474" spans="1:17" ht="12" customHeight="1" x14ac:dyDescent="0.35">
      <c r="A2474" s="75">
        <v>2473</v>
      </c>
      <c r="B2474" s="64">
        <v>2016</v>
      </c>
      <c r="C2474" s="64">
        <v>6</v>
      </c>
      <c r="D2474" s="80">
        <f t="shared" si="79"/>
        <v>2016</v>
      </c>
      <c r="E2474" t="s">
        <v>38</v>
      </c>
      <c r="F2474" t="s">
        <v>143</v>
      </c>
      <c r="G2474" t="s">
        <v>10</v>
      </c>
      <c r="H2474" s="72" t="s">
        <v>220</v>
      </c>
      <c r="I2474" s="72" t="s">
        <v>62</v>
      </c>
      <c r="J2474" t="str">
        <f t="shared" si="80"/>
        <v>Skykomish River</v>
      </c>
      <c r="K2474" t="str">
        <f>IFERROR(VLOOKUP(J2474,LUTs!$A$1:$C$73,2,FALSE),"NA")</f>
        <v>Snohomish</v>
      </c>
      <c r="L2474" t="str">
        <f>IFERROR(VLOOKUP(J2474,LUTs!$A$1:$C$73,3,FALSE),"NA")</f>
        <v>2Central Puget Sound</v>
      </c>
      <c r="M2474" s="72" t="s">
        <v>16</v>
      </c>
      <c r="N2474" t="str">
        <f>VLOOKUP(M2474,LUTs!E$2:H$14,3,)</f>
        <v>03Snohomish</v>
      </c>
      <c r="O2474" t="str">
        <f>VLOOKUP(M2474,LUTs!E$2:H$14,4,)</f>
        <v>01North Puget Sound</v>
      </c>
      <c r="P2474" s="73">
        <v>28.2</v>
      </c>
      <c r="Q2474" s="74">
        <f>VLOOKUP(B2474,Readme!A$40:C$51,2,)*P2474</f>
        <v>243.93</v>
      </c>
    </row>
    <row r="2475" spans="1:17" ht="12" customHeight="1" x14ac:dyDescent="0.35">
      <c r="A2475" s="75">
        <v>2474</v>
      </c>
      <c r="B2475" s="64">
        <v>2016</v>
      </c>
      <c r="C2475" s="64">
        <v>7</v>
      </c>
      <c r="D2475" s="80">
        <f t="shared" si="79"/>
        <v>2016</v>
      </c>
      <c r="E2475" t="s">
        <v>38</v>
      </c>
      <c r="F2475" t="s">
        <v>143</v>
      </c>
      <c r="G2475" t="s">
        <v>10</v>
      </c>
      <c r="H2475" s="72" t="s">
        <v>220</v>
      </c>
      <c r="I2475" s="72" t="s">
        <v>62</v>
      </c>
      <c r="J2475" t="str">
        <f t="shared" si="80"/>
        <v>Skykomish River</v>
      </c>
      <c r="K2475" t="str">
        <f>IFERROR(VLOOKUP(J2475,LUTs!$A$1:$C$73,2,FALSE),"NA")</f>
        <v>Snohomish</v>
      </c>
      <c r="L2475" t="str">
        <f>IFERROR(VLOOKUP(J2475,LUTs!$A$1:$C$73,3,FALSE),"NA")</f>
        <v>2Central Puget Sound</v>
      </c>
      <c r="M2475" s="72" t="s">
        <v>25</v>
      </c>
      <c r="N2475" t="str">
        <f>VLOOKUP(M2475,LUTs!E$2:H$14,3,)</f>
        <v>12Jefferson</v>
      </c>
      <c r="O2475" t="str">
        <f>VLOOKUP(M2475,LUTs!E$2:H$14,4,)</f>
        <v>03Strait of Juan de Fuca</v>
      </c>
      <c r="P2475" s="73">
        <v>28.1911764705882</v>
      </c>
      <c r="Q2475" s="74">
        <f>VLOOKUP(B2475,Readme!A$40:C$51,2,)*P2475</f>
        <v>243.85367647058794</v>
      </c>
    </row>
    <row r="2476" spans="1:17" ht="12" customHeight="1" x14ac:dyDescent="0.35">
      <c r="A2476" s="75">
        <v>2475</v>
      </c>
      <c r="B2476" s="64">
        <v>2016</v>
      </c>
      <c r="C2476" s="64">
        <v>7</v>
      </c>
      <c r="D2476" s="80">
        <f t="shared" si="79"/>
        <v>2016</v>
      </c>
      <c r="E2476" t="s">
        <v>38</v>
      </c>
      <c r="F2476" t="s">
        <v>143</v>
      </c>
      <c r="G2476" t="s">
        <v>10</v>
      </c>
      <c r="H2476" s="72" t="s">
        <v>220</v>
      </c>
      <c r="I2476" s="72" t="s">
        <v>62</v>
      </c>
      <c r="J2476" t="str">
        <f t="shared" si="80"/>
        <v>Skykomish River</v>
      </c>
      <c r="K2476" t="str">
        <f>IFERROR(VLOOKUP(J2476,LUTs!$A$1:$C$73,2,FALSE),"NA")</f>
        <v>Snohomish</v>
      </c>
      <c r="L2476" t="str">
        <f>IFERROR(VLOOKUP(J2476,LUTs!$A$1:$C$73,3,FALSE),"NA")</f>
        <v>2Central Puget Sound</v>
      </c>
      <c r="M2476" s="72" t="s">
        <v>18</v>
      </c>
      <c r="N2476" t="str">
        <f>VLOOKUP(M2476,LUTs!E$2:H$14,3,)</f>
        <v>06King</v>
      </c>
      <c r="O2476" t="str">
        <f>VLOOKUP(M2476,LUTs!E$2:H$14,4,)</f>
        <v>02South Puget Sound</v>
      </c>
      <c r="P2476" s="73">
        <v>310.10294117647101</v>
      </c>
      <c r="Q2476" s="74">
        <f>VLOOKUP(B2476,Readme!A$40:C$51,2,)*P2476</f>
        <v>2682.3904411764743</v>
      </c>
    </row>
    <row r="2477" spans="1:17" ht="12" customHeight="1" x14ac:dyDescent="0.35">
      <c r="A2477" s="75">
        <v>2476</v>
      </c>
      <c r="B2477" s="64">
        <v>2016</v>
      </c>
      <c r="C2477" s="64">
        <v>7</v>
      </c>
      <c r="D2477" s="80">
        <f t="shared" si="79"/>
        <v>2016</v>
      </c>
      <c r="E2477" t="s">
        <v>38</v>
      </c>
      <c r="F2477" t="s">
        <v>143</v>
      </c>
      <c r="G2477" t="s">
        <v>10</v>
      </c>
      <c r="H2477" s="72" t="s">
        <v>220</v>
      </c>
      <c r="I2477" s="72" t="s">
        <v>62</v>
      </c>
      <c r="J2477" t="str">
        <f t="shared" si="80"/>
        <v>Skykomish River</v>
      </c>
      <c r="K2477" t="str">
        <f>IFERROR(VLOOKUP(J2477,LUTs!$A$1:$C$73,2,FALSE),"NA")</f>
        <v>Snohomish</v>
      </c>
      <c r="L2477" t="str">
        <f>IFERROR(VLOOKUP(J2477,LUTs!$A$1:$C$73,3,FALSE),"NA")</f>
        <v>2Central Puget Sound</v>
      </c>
      <c r="M2477" s="72" t="s">
        <v>26</v>
      </c>
      <c r="N2477" t="str">
        <f>VLOOKUP(M2477,LUTs!E$2:H$14,3,)</f>
        <v>20Other</v>
      </c>
      <c r="O2477" t="str">
        <f>VLOOKUP(M2477,LUTs!E$2:H$14,4,)</f>
        <v>07Non Puget Sound</v>
      </c>
      <c r="P2477" s="73">
        <v>56.382352941176499</v>
      </c>
      <c r="Q2477" s="74">
        <f>VLOOKUP(B2477,Readme!A$40:C$51,2,)*P2477</f>
        <v>487.70735294117674</v>
      </c>
    </row>
    <row r="2478" spans="1:17" ht="12" customHeight="1" x14ac:dyDescent="0.35">
      <c r="A2478" s="75">
        <v>2477</v>
      </c>
      <c r="B2478" s="64">
        <v>2016</v>
      </c>
      <c r="C2478" s="64">
        <v>7</v>
      </c>
      <c r="D2478" s="80">
        <f t="shared" si="79"/>
        <v>2016</v>
      </c>
      <c r="E2478" t="s">
        <v>38</v>
      </c>
      <c r="F2478" t="s">
        <v>143</v>
      </c>
      <c r="G2478" t="s">
        <v>10</v>
      </c>
      <c r="H2478" s="72" t="s">
        <v>220</v>
      </c>
      <c r="I2478" s="72" t="s">
        <v>62</v>
      </c>
      <c r="J2478" t="str">
        <f t="shared" si="80"/>
        <v>Skykomish River</v>
      </c>
      <c r="K2478" t="str">
        <f>IFERROR(VLOOKUP(J2478,LUTs!$A$1:$C$73,2,FALSE),"NA")</f>
        <v>Snohomish</v>
      </c>
      <c r="L2478" t="str">
        <f>IFERROR(VLOOKUP(J2478,LUTs!$A$1:$C$73,3,FALSE),"NA")</f>
        <v>2Central Puget Sound</v>
      </c>
      <c r="M2478" s="72" t="s">
        <v>20</v>
      </c>
      <c r="N2478" t="str">
        <f>VLOOKUP(M2478,LUTs!E$2:H$14,3,)</f>
        <v>07Pierce</v>
      </c>
      <c r="O2478" t="str">
        <f>VLOOKUP(M2478,LUTs!E$2:H$14,4,)</f>
        <v>02South Puget Sound</v>
      </c>
      <c r="P2478" s="73">
        <v>28.1911764705882</v>
      </c>
      <c r="Q2478" s="74">
        <f>VLOOKUP(B2478,Readme!A$40:C$51,2,)*P2478</f>
        <v>243.85367647058794</v>
      </c>
    </row>
    <row r="2479" spans="1:17" ht="12" customHeight="1" x14ac:dyDescent="0.35">
      <c r="A2479" s="75">
        <v>2478</v>
      </c>
      <c r="B2479" s="64">
        <v>2016</v>
      </c>
      <c r="C2479" s="64">
        <v>7</v>
      </c>
      <c r="D2479" s="80">
        <f t="shared" si="79"/>
        <v>2016</v>
      </c>
      <c r="E2479" t="s">
        <v>38</v>
      </c>
      <c r="F2479" t="s">
        <v>143</v>
      </c>
      <c r="G2479" t="s">
        <v>10</v>
      </c>
      <c r="H2479" s="72" t="s">
        <v>220</v>
      </c>
      <c r="I2479" s="72" t="s">
        <v>62</v>
      </c>
      <c r="J2479" t="str">
        <f t="shared" si="80"/>
        <v>Skykomish River</v>
      </c>
      <c r="K2479" t="str">
        <f>IFERROR(VLOOKUP(J2479,LUTs!$A$1:$C$73,2,FALSE),"NA")</f>
        <v>Snohomish</v>
      </c>
      <c r="L2479" t="str">
        <f>IFERROR(VLOOKUP(J2479,LUTs!$A$1:$C$73,3,FALSE),"NA")</f>
        <v>2Central Puget Sound</v>
      </c>
      <c r="M2479" s="72" t="s">
        <v>16</v>
      </c>
      <c r="N2479" t="str">
        <f>VLOOKUP(M2479,LUTs!E$2:H$14,3,)</f>
        <v>03Snohomish</v>
      </c>
      <c r="O2479" t="str">
        <f>VLOOKUP(M2479,LUTs!E$2:H$14,4,)</f>
        <v>01North Puget Sound</v>
      </c>
      <c r="P2479" s="73">
        <v>216.132352941177</v>
      </c>
      <c r="Q2479" s="74">
        <f>VLOOKUP(B2479,Readme!A$40:C$51,2,)*P2479</f>
        <v>1869.5448529411813</v>
      </c>
    </row>
    <row r="2480" spans="1:17" ht="12" customHeight="1" x14ac:dyDescent="0.35">
      <c r="A2480" s="75">
        <v>2479</v>
      </c>
      <c r="B2480" s="64">
        <v>2016</v>
      </c>
      <c r="C2480" s="64">
        <v>10</v>
      </c>
      <c r="D2480" s="80">
        <f t="shared" si="79"/>
        <v>2016</v>
      </c>
      <c r="E2480" t="s">
        <v>38</v>
      </c>
      <c r="F2480" t="s">
        <v>143</v>
      </c>
      <c r="G2480" t="s">
        <v>10</v>
      </c>
      <c r="H2480" s="72" t="s">
        <v>220</v>
      </c>
      <c r="I2480" s="72" t="s">
        <v>62</v>
      </c>
      <c r="J2480" t="str">
        <f t="shared" si="80"/>
        <v>Skykomish River</v>
      </c>
      <c r="K2480" t="str">
        <f>IFERROR(VLOOKUP(J2480,LUTs!$A$1:$C$73,2,FALSE),"NA")</f>
        <v>Snohomish</v>
      </c>
      <c r="L2480" t="str">
        <f>IFERROR(VLOOKUP(J2480,LUTs!$A$1:$C$73,3,FALSE),"NA")</f>
        <v>2Central Puget Sound</v>
      </c>
      <c r="M2480" s="72" t="s">
        <v>18</v>
      </c>
      <c r="N2480" t="str">
        <f>VLOOKUP(M2480,LUTs!E$2:H$14,3,)</f>
        <v>06King</v>
      </c>
      <c r="O2480" t="str">
        <f>VLOOKUP(M2480,LUTs!E$2:H$14,4,)</f>
        <v>02South Puget Sound</v>
      </c>
      <c r="P2480" s="73">
        <v>178.6</v>
      </c>
      <c r="Q2480" s="74">
        <f>VLOOKUP(B2480,Readme!A$40:C$51,2,)*P2480</f>
        <v>1544.89</v>
      </c>
    </row>
    <row r="2481" spans="1:17" ht="12" customHeight="1" x14ac:dyDescent="0.35">
      <c r="A2481" s="75">
        <v>2480</v>
      </c>
      <c r="B2481" s="64">
        <v>2016</v>
      </c>
      <c r="C2481" s="64">
        <v>10</v>
      </c>
      <c r="D2481" s="80">
        <f t="shared" si="79"/>
        <v>2016</v>
      </c>
      <c r="E2481" t="s">
        <v>38</v>
      </c>
      <c r="F2481" t="s">
        <v>143</v>
      </c>
      <c r="G2481" t="s">
        <v>10</v>
      </c>
      <c r="H2481" s="72" t="s">
        <v>220</v>
      </c>
      <c r="I2481" s="72" t="s">
        <v>62</v>
      </c>
      <c r="J2481" t="str">
        <f t="shared" si="80"/>
        <v>Skykomish River</v>
      </c>
      <c r="K2481" t="str">
        <f>IFERROR(VLOOKUP(J2481,LUTs!$A$1:$C$73,2,FALSE),"NA")</f>
        <v>Snohomish</v>
      </c>
      <c r="L2481" t="str">
        <f>IFERROR(VLOOKUP(J2481,LUTs!$A$1:$C$73,3,FALSE),"NA")</f>
        <v>2Central Puget Sound</v>
      </c>
      <c r="M2481" s="72" t="s">
        <v>16</v>
      </c>
      <c r="N2481" t="str">
        <f>VLOOKUP(M2481,LUTs!E$2:H$14,3,)</f>
        <v>03Snohomish</v>
      </c>
      <c r="O2481" t="str">
        <f>VLOOKUP(M2481,LUTs!E$2:H$14,4,)</f>
        <v>01North Puget Sound</v>
      </c>
      <c r="P2481" s="73">
        <v>150.4</v>
      </c>
      <c r="Q2481" s="74">
        <f>VLOOKUP(B2481,Readme!A$40:C$51,2,)*P2481</f>
        <v>1300.96</v>
      </c>
    </row>
    <row r="2482" spans="1:17" ht="12" customHeight="1" x14ac:dyDescent="0.35">
      <c r="A2482" s="75">
        <v>2481</v>
      </c>
      <c r="B2482" s="64">
        <v>2016</v>
      </c>
      <c r="C2482" s="64">
        <v>11</v>
      </c>
      <c r="D2482" s="80">
        <f t="shared" si="79"/>
        <v>2016</v>
      </c>
      <c r="E2482" t="s">
        <v>38</v>
      </c>
      <c r="F2482" t="s">
        <v>143</v>
      </c>
      <c r="G2482" t="s">
        <v>10</v>
      </c>
      <c r="H2482" s="72" t="s">
        <v>220</v>
      </c>
      <c r="I2482" s="72" t="s">
        <v>62</v>
      </c>
      <c r="J2482" t="str">
        <f t="shared" si="80"/>
        <v>Skykomish River</v>
      </c>
      <c r="K2482" t="str">
        <f>IFERROR(VLOOKUP(J2482,LUTs!$A$1:$C$73,2,FALSE),"NA")</f>
        <v>Snohomish</v>
      </c>
      <c r="L2482" t="str">
        <f>IFERROR(VLOOKUP(J2482,LUTs!$A$1:$C$73,3,FALSE),"NA")</f>
        <v>2Central Puget Sound</v>
      </c>
      <c r="M2482" s="72" t="s">
        <v>18</v>
      </c>
      <c r="N2482" t="str">
        <f>VLOOKUP(M2482,LUTs!E$2:H$14,3,)</f>
        <v>06King</v>
      </c>
      <c r="O2482" t="str">
        <f>VLOOKUP(M2482,LUTs!E$2:H$14,4,)</f>
        <v>02South Puget Sound</v>
      </c>
      <c r="P2482" s="73">
        <v>34.318181818181799</v>
      </c>
      <c r="Q2482" s="74">
        <f>VLOOKUP(B2482,Readme!A$40:C$51,2,)*P2482</f>
        <v>296.85227272727258</v>
      </c>
    </row>
    <row r="2483" spans="1:17" ht="12" customHeight="1" x14ac:dyDescent="0.35">
      <c r="A2483" s="75">
        <v>2482</v>
      </c>
      <c r="B2483" s="64">
        <v>2016</v>
      </c>
      <c r="C2483" s="64">
        <v>11</v>
      </c>
      <c r="D2483" s="80">
        <f t="shared" si="79"/>
        <v>2016</v>
      </c>
      <c r="E2483" t="s">
        <v>38</v>
      </c>
      <c r="F2483" t="s">
        <v>143</v>
      </c>
      <c r="G2483" t="s">
        <v>10</v>
      </c>
      <c r="H2483" s="72" t="s">
        <v>220</v>
      </c>
      <c r="I2483" s="72" t="s">
        <v>62</v>
      </c>
      <c r="J2483" t="str">
        <f t="shared" si="80"/>
        <v>Skykomish River</v>
      </c>
      <c r="K2483" t="str">
        <f>IFERROR(VLOOKUP(J2483,LUTs!$A$1:$C$73,2,FALSE),"NA")</f>
        <v>Snohomish</v>
      </c>
      <c r="L2483" t="str">
        <f>IFERROR(VLOOKUP(J2483,LUTs!$A$1:$C$73,3,FALSE),"NA")</f>
        <v>2Central Puget Sound</v>
      </c>
      <c r="M2483" s="72" t="s">
        <v>26</v>
      </c>
      <c r="N2483" t="str">
        <f>VLOOKUP(M2483,LUTs!E$2:H$14,3,)</f>
        <v>20Other</v>
      </c>
      <c r="O2483" t="str">
        <f>VLOOKUP(M2483,LUTs!E$2:H$14,4,)</f>
        <v>07Non Puget Sound</v>
      </c>
      <c r="P2483" s="73">
        <v>6.8636363636363704</v>
      </c>
      <c r="Q2483" s="74">
        <f>VLOOKUP(B2483,Readme!A$40:C$51,2,)*P2483</f>
        <v>59.370454545454606</v>
      </c>
    </row>
    <row r="2484" spans="1:17" ht="12" customHeight="1" x14ac:dyDescent="0.35">
      <c r="A2484" s="75">
        <v>2483</v>
      </c>
      <c r="B2484" s="64">
        <v>2016</v>
      </c>
      <c r="C2484" s="64">
        <v>11</v>
      </c>
      <c r="D2484" s="80">
        <f t="shared" si="79"/>
        <v>2016</v>
      </c>
      <c r="E2484" t="s">
        <v>38</v>
      </c>
      <c r="F2484" t="s">
        <v>143</v>
      </c>
      <c r="G2484" t="s">
        <v>10</v>
      </c>
      <c r="H2484" s="72" t="s">
        <v>220</v>
      </c>
      <c r="I2484" s="72" t="s">
        <v>62</v>
      </c>
      <c r="J2484" t="str">
        <f t="shared" si="80"/>
        <v>Skykomish River</v>
      </c>
      <c r="K2484" t="str">
        <f>IFERROR(VLOOKUP(J2484,LUTs!$A$1:$C$73,2,FALSE),"NA")</f>
        <v>Snohomish</v>
      </c>
      <c r="L2484" t="str">
        <f>IFERROR(VLOOKUP(J2484,LUTs!$A$1:$C$73,3,FALSE),"NA")</f>
        <v>2Central Puget Sound</v>
      </c>
      <c r="M2484" s="72" t="s">
        <v>20</v>
      </c>
      <c r="N2484" t="str">
        <f>VLOOKUP(M2484,LUTs!E$2:H$14,3,)</f>
        <v>07Pierce</v>
      </c>
      <c r="O2484" t="str">
        <f>VLOOKUP(M2484,LUTs!E$2:H$14,4,)</f>
        <v>02South Puget Sound</v>
      </c>
      <c r="P2484" s="73">
        <v>3.4318181818181799</v>
      </c>
      <c r="Q2484" s="74">
        <f>VLOOKUP(B2484,Readme!A$40:C$51,2,)*P2484</f>
        <v>29.685227272727257</v>
      </c>
    </row>
    <row r="2485" spans="1:17" ht="12" customHeight="1" x14ac:dyDescent="0.35">
      <c r="A2485" s="75">
        <v>2484</v>
      </c>
      <c r="B2485" s="64">
        <v>2016</v>
      </c>
      <c r="C2485" s="64">
        <v>11</v>
      </c>
      <c r="D2485" s="80">
        <f t="shared" si="79"/>
        <v>2016</v>
      </c>
      <c r="E2485" t="s">
        <v>38</v>
      </c>
      <c r="F2485" t="s">
        <v>143</v>
      </c>
      <c r="G2485" t="s">
        <v>10</v>
      </c>
      <c r="H2485" s="72" t="s">
        <v>220</v>
      </c>
      <c r="I2485" s="72" t="s">
        <v>62</v>
      </c>
      <c r="J2485" t="str">
        <f t="shared" si="80"/>
        <v>Skykomish River</v>
      </c>
      <c r="K2485" t="str">
        <f>IFERROR(VLOOKUP(J2485,LUTs!$A$1:$C$73,2,FALSE),"NA")</f>
        <v>Snohomish</v>
      </c>
      <c r="L2485" t="str">
        <f>IFERROR(VLOOKUP(J2485,LUTs!$A$1:$C$73,3,FALSE),"NA")</f>
        <v>2Central Puget Sound</v>
      </c>
      <c r="M2485" s="72" t="s">
        <v>15</v>
      </c>
      <c r="N2485" t="str">
        <f>VLOOKUP(M2485,LUTs!E$2:H$14,3,)</f>
        <v>02Skagit</v>
      </c>
      <c r="O2485" t="str">
        <f>VLOOKUP(M2485,LUTs!E$2:H$14,4,)</f>
        <v>01North Puget Sound</v>
      </c>
      <c r="P2485" s="73">
        <v>3.4318181818181799</v>
      </c>
      <c r="Q2485" s="74">
        <f>VLOOKUP(B2485,Readme!A$40:C$51,2,)*P2485</f>
        <v>29.685227272727257</v>
      </c>
    </row>
    <row r="2486" spans="1:17" ht="12" customHeight="1" x14ac:dyDescent="0.35">
      <c r="A2486" s="75">
        <v>2485</v>
      </c>
      <c r="B2486" s="64">
        <v>2016</v>
      </c>
      <c r="C2486" s="64">
        <v>11</v>
      </c>
      <c r="D2486" s="80">
        <f t="shared" si="79"/>
        <v>2016</v>
      </c>
      <c r="E2486" t="s">
        <v>38</v>
      </c>
      <c r="F2486" t="s">
        <v>143</v>
      </c>
      <c r="G2486" t="s">
        <v>10</v>
      </c>
      <c r="H2486" s="72" t="s">
        <v>220</v>
      </c>
      <c r="I2486" s="72" t="s">
        <v>62</v>
      </c>
      <c r="J2486" t="str">
        <f t="shared" si="80"/>
        <v>Skykomish River</v>
      </c>
      <c r="K2486" t="str">
        <f>IFERROR(VLOOKUP(J2486,LUTs!$A$1:$C$73,2,FALSE),"NA")</f>
        <v>Snohomish</v>
      </c>
      <c r="L2486" t="str">
        <f>IFERROR(VLOOKUP(J2486,LUTs!$A$1:$C$73,3,FALSE),"NA")</f>
        <v>2Central Puget Sound</v>
      </c>
      <c r="M2486" s="72" t="s">
        <v>16</v>
      </c>
      <c r="N2486" t="str">
        <f>VLOOKUP(M2486,LUTs!E$2:H$14,3,)</f>
        <v>03Snohomish</v>
      </c>
      <c r="O2486" t="str">
        <f>VLOOKUP(M2486,LUTs!E$2:H$14,4,)</f>
        <v>01North Puget Sound</v>
      </c>
      <c r="P2486" s="73">
        <v>102.954545454545</v>
      </c>
      <c r="Q2486" s="74">
        <f>VLOOKUP(B2486,Readme!A$40:C$51,2,)*P2486</f>
        <v>890.55681818181426</v>
      </c>
    </row>
    <row r="2487" spans="1:17" ht="12" customHeight="1" x14ac:dyDescent="0.35">
      <c r="A2487" s="75">
        <v>2486</v>
      </c>
      <c r="B2487" s="64">
        <v>2016</v>
      </c>
      <c r="C2487" s="64">
        <v>10</v>
      </c>
      <c r="D2487" s="80">
        <f t="shared" si="79"/>
        <v>2016</v>
      </c>
      <c r="E2487" t="s">
        <v>38</v>
      </c>
      <c r="F2487" t="s">
        <v>143</v>
      </c>
      <c r="G2487" t="s">
        <v>10</v>
      </c>
      <c r="H2487" s="72" t="s">
        <v>221</v>
      </c>
      <c r="I2487" s="72" t="s">
        <v>63</v>
      </c>
      <c r="J2487" t="str">
        <f t="shared" si="80"/>
        <v>Snohomish River</v>
      </c>
      <c r="K2487" t="str">
        <f>IFERROR(VLOOKUP(J2487,LUTs!$A$1:$C$73,2,FALSE),"NA")</f>
        <v>Snohomish</v>
      </c>
      <c r="L2487" t="str">
        <f>IFERROR(VLOOKUP(J2487,LUTs!$A$1:$C$73,3,FALSE),"NA")</f>
        <v>2Central Puget Sound</v>
      </c>
      <c r="M2487" s="72" t="s">
        <v>17</v>
      </c>
      <c r="N2487" t="str">
        <f>VLOOKUP(M2487,LUTs!E$2:H$14,3,)</f>
        <v>04Island</v>
      </c>
      <c r="O2487" t="str">
        <f>VLOOKUP(M2487,LUTs!E$2:H$14,4,)</f>
        <v>01North Puget Sound</v>
      </c>
      <c r="P2487" s="73">
        <v>19.16</v>
      </c>
      <c r="Q2487" s="74">
        <f>VLOOKUP(B2487,Readme!A$40:C$51,2,)*P2487</f>
        <v>165.73400000000001</v>
      </c>
    </row>
    <row r="2488" spans="1:17" ht="12" customHeight="1" x14ac:dyDescent="0.35">
      <c r="A2488" s="75">
        <v>2487</v>
      </c>
      <c r="B2488" s="64">
        <v>2016</v>
      </c>
      <c r="C2488" s="64">
        <v>10</v>
      </c>
      <c r="D2488" s="80">
        <f t="shared" si="79"/>
        <v>2016</v>
      </c>
      <c r="E2488" t="s">
        <v>38</v>
      </c>
      <c r="F2488" t="s">
        <v>143</v>
      </c>
      <c r="G2488" t="s">
        <v>10</v>
      </c>
      <c r="H2488" s="72" t="s">
        <v>221</v>
      </c>
      <c r="I2488" s="72" t="s">
        <v>63</v>
      </c>
      <c r="J2488" t="str">
        <f t="shared" si="80"/>
        <v>Snohomish River</v>
      </c>
      <c r="K2488" t="str">
        <f>IFERROR(VLOOKUP(J2488,LUTs!$A$1:$C$73,2,FALSE),"NA")</f>
        <v>Snohomish</v>
      </c>
      <c r="L2488" t="str">
        <f>IFERROR(VLOOKUP(J2488,LUTs!$A$1:$C$73,3,FALSE),"NA")</f>
        <v>2Central Puget Sound</v>
      </c>
      <c r="M2488" s="72" t="s">
        <v>18</v>
      </c>
      <c r="N2488" t="str">
        <f>VLOOKUP(M2488,LUTs!E$2:H$14,3,)</f>
        <v>06King</v>
      </c>
      <c r="O2488" t="str">
        <f>VLOOKUP(M2488,LUTs!E$2:H$14,4,)</f>
        <v>02South Puget Sound</v>
      </c>
      <c r="P2488" s="73">
        <v>28.74</v>
      </c>
      <c r="Q2488" s="74">
        <f>VLOOKUP(B2488,Readme!A$40:C$51,2,)*P2488</f>
        <v>248.601</v>
      </c>
    </row>
    <row r="2489" spans="1:17" ht="12" customHeight="1" x14ac:dyDescent="0.35">
      <c r="A2489" s="75">
        <v>2488</v>
      </c>
      <c r="B2489" s="64">
        <v>2016</v>
      </c>
      <c r="C2489" s="64">
        <v>10</v>
      </c>
      <c r="D2489" s="80">
        <f t="shared" si="79"/>
        <v>2016</v>
      </c>
      <c r="E2489" t="s">
        <v>38</v>
      </c>
      <c r="F2489" t="s">
        <v>143</v>
      </c>
      <c r="G2489" t="s">
        <v>10</v>
      </c>
      <c r="H2489" s="72" t="s">
        <v>221</v>
      </c>
      <c r="I2489" s="72" t="s">
        <v>63</v>
      </c>
      <c r="J2489" t="str">
        <f t="shared" si="80"/>
        <v>Snohomish River</v>
      </c>
      <c r="K2489" t="str">
        <f>IFERROR(VLOOKUP(J2489,LUTs!$A$1:$C$73,2,FALSE),"NA")</f>
        <v>Snohomish</v>
      </c>
      <c r="L2489" t="str">
        <f>IFERROR(VLOOKUP(J2489,LUTs!$A$1:$C$73,3,FALSE),"NA")</f>
        <v>2Central Puget Sound</v>
      </c>
      <c r="M2489" s="72" t="s">
        <v>26</v>
      </c>
      <c r="N2489" t="str">
        <f>VLOOKUP(M2489,LUTs!E$2:H$14,3,)</f>
        <v>20Other</v>
      </c>
      <c r="O2489" t="str">
        <f>VLOOKUP(M2489,LUTs!E$2:H$14,4,)</f>
        <v>07Non Puget Sound</v>
      </c>
      <c r="P2489" s="73">
        <v>19.16</v>
      </c>
      <c r="Q2489" s="74">
        <f>VLOOKUP(B2489,Readme!A$40:C$51,2,)*P2489</f>
        <v>165.73400000000001</v>
      </c>
    </row>
    <row r="2490" spans="1:17" ht="12" customHeight="1" x14ac:dyDescent="0.35">
      <c r="A2490" s="75">
        <v>2489</v>
      </c>
      <c r="B2490" s="64">
        <v>2016</v>
      </c>
      <c r="C2490" s="64">
        <v>10</v>
      </c>
      <c r="D2490" s="80">
        <f t="shared" ref="D2490:D2553" si="81">IF(C2490&gt;3,B2490,B2490-1)</f>
        <v>2016</v>
      </c>
      <c r="E2490" t="s">
        <v>38</v>
      </c>
      <c r="F2490" t="s">
        <v>143</v>
      </c>
      <c r="G2490" t="s">
        <v>10</v>
      </c>
      <c r="H2490" s="72" t="s">
        <v>221</v>
      </c>
      <c r="I2490" s="72" t="s">
        <v>63</v>
      </c>
      <c r="J2490" t="str">
        <f t="shared" si="80"/>
        <v>Snohomish River</v>
      </c>
      <c r="K2490" t="str">
        <f>IFERROR(VLOOKUP(J2490,LUTs!$A$1:$C$73,2,FALSE),"NA")</f>
        <v>Snohomish</v>
      </c>
      <c r="L2490" t="str">
        <f>IFERROR(VLOOKUP(J2490,LUTs!$A$1:$C$73,3,FALSE),"NA")</f>
        <v>2Central Puget Sound</v>
      </c>
      <c r="M2490" s="72" t="s">
        <v>15</v>
      </c>
      <c r="N2490" t="str">
        <f>VLOOKUP(M2490,LUTs!E$2:H$14,3,)</f>
        <v>02Skagit</v>
      </c>
      <c r="O2490" t="str">
        <f>VLOOKUP(M2490,LUTs!E$2:H$14,4,)</f>
        <v>01North Puget Sound</v>
      </c>
      <c r="P2490" s="73">
        <v>38.32</v>
      </c>
      <c r="Q2490" s="74">
        <f>VLOOKUP(B2490,Readme!A$40:C$51,2,)*P2490</f>
        <v>331.46800000000002</v>
      </c>
    </row>
    <row r="2491" spans="1:17" ht="12" customHeight="1" x14ac:dyDescent="0.35">
      <c r="A2491" s="75">
        <v>2490</v>
      </c>
      <c r="B2491" s="64">
        <v>2016</v>
      </c>
      <c r="C2491" s="64">
        <v>10</v>
      </c>
      <c r="D2491" s="80">
        <f t="shared" si="81"/>
        <v>2016</v>
      </c>
      <c r="E2491" t="s">
        <v>38</v>
      </c>
      <c r="F2491" t="s">
        <v>143</v>
      </c>
      <c r="G2491" t="s">
        <v>10</v>
      </c>
      <c r="H2491" s="72" t="s">
        <v>221</v>
      </c>
      <c r="I2491" s="72" t="s">
        <v>63</v>
      </c>
      <c r="J2491" t="str">
        <f t="shared" si="80"/>
        <v>Snohomish River</v>
      </c>
      <c r="K2491" t="str">
        <f>IFERROR(VLOOKUP(J2491,LUTs!$A$1:$C$73,2,FALSE),"NA")</f>
        <v>Snohomish</v>
      </c>
      <c r="L2491" t="str">
        <f>IFERROR(VLOOKUP(J2491,LUTs!$A$1:$C$73,3,FALSE),"NA")</f>
        <v>2Central Puget Sound</v>
      </c>
      <c r="M2491" s="72" t="s">
        <v>16</v>
      </c>
      <c r="N2491" t="str">
        <f>VLOOKUP(M2491,LUTs!E$2:H$14,3,)</f>
        <v>03Snohomish</v>
      </c>
      <c r="O2491" t="str">
        <f>VLOOKUP(M2491,LUTs!E$2:H$14,4,)</f>
        <v>01North Puget Sound</v>
      </c>
      <c r="P2491" s="73">
        <v>373.62</v>
      </c>
      <c r="Q2491" s="74">
        <f>VLOOKUP(B2491,Readme!A$40:C$51,2,)*P2491</f>
        <v>3231.8130000000001</v>
      </c>
    </row>
    <row r="2492" spans="1:17" ht="12" customHeight="1" x14ac:dyDescent="0.35">
      <c r="A2492" s="75">
        <v>2491</v>
      </c>
      <c r="B2492" s="64">
        <v>2016</v>
      </c>
      <c r="C2492" s="64">
        <v>11</v>
      </c>
      <c r="D2492" s="80">
        <f t="shared" si="81"/>
        <v>2016</v>
      </c>
      <c r="E2492" t="s">
        <v>38</v>
      </c>
      <c r="F2492" t="s">
        <v>143</v>
      </c>
      <c r="G2492" t="s">
        <v>10</v>
      </c>
      <c r="H2492" s="72" t="s">
        <v>221</v>
      </c>
      <c r="I2492" s="72" t="s">
        <v>63</v>
      </c>
      <c r="J2492" t="str">
        <f t="shared" si="80"/>
        <v>Snohomish River</v>
      </c>
      <c r="K2492" t="str">
        <f>IFERROR(VLOOKUP(J2492,LUTs!$A$1:$C$73,2,FALSE),"NA")</f>
        <v>Snohomish</v>
      </c>
      <c r="L2492" t="str">
        <f>IFERROR(VLOOKUP(J2492,LUTs!$A$1:$C$73,3,FALSE),"NA")</f>
        <v>2Central Puget Sound</v>
      </c>
      <c r="M2492" s="72" t="s">
        <v>18</v>
      </c>
      <c r="N2492" t="str">
        <f>VLOOKUP(M2492,LUTs!E$2:H$14,3,)</f>
        <v>06King</v>
      </c>
      <c r="O2492" t="str">
        <f>VLOOKUP(M2492,LUTs!E$2:H$14,4,)</f>
        <v>02South Puget Sound</v>
      </c>
      <c r="P2492" s="73">
        <v>10</v>
      </c>
      <c r="Q2492" s="74">
        <f>VLOOKUP(B2492,Readme!A$40:C$51,2,)*P2492</f>
        <v>86.5</v>
      </c>
    </row>
    <row r="2493" spans="1:17" ht="12" customHeight="1" x14ac:dyDescent="0.35">
      <c r="A2493" s="75">
        <v>2492</v>
      </c>
      <c r="B2493" s="64">
        <v>2016</v>
      </c>
      <c r="C2493" s="64">
        <v>10</v>
      </c>
      <c r="D2493" s="80">
        <f t="shared" si="81"/>
        <v>2016</v>
      </c>
      <c r="E2493" t="s">
        <v>38</v>
      </c>
      <c r="F2493" t="s">
        <v>143</v>
      </c>
      <c r="G2493" t="s">
        <v>10</v>
      </c>
      <c r="H2493" s="72" t="s">
        <v>233</v>
      </c>
      <c r="I2493" s="72" t="s">
        <v>76</v>
      </c>
      <c r="J2493" t="str">
        <f t="shared" si="80"/>
        <v>Wallace River</v>
      </c>
      <c r="K2493" t="str">
        <f>IFERROR(VLOOKUP(J2493,LUTs!$A$1:$C$73,2,FALSE),"NA")</f>
        <v>Snohomish</v>
      </c>
      <c r="L2493" t="str">
        <f>IFERROR(VLOOKUP(J2493,LUTs!$A$1:$C$73,3,FALSE),"NA")</f>
        <v>2Central Puget Sound</v>
      </c>
      <c r="M2493" s="72" t="s">
        <v>18</v>
      </c>
      <c r="N2493" t="str">
        <f>VLOOKUP(M2493,LUTs!E$2:H$14,3,)</f>
        <v>06King</v>
      </c>
      <c r="O2493" t="str">
        <f>VLOOKUP(M2493,LUTs!E$2:H$14,4,)</f>
        <v>02South Puget Sound</v>
      </c>
      <c r="P2493" s="73">
        <v>131.333333333333</v>
      </c>
      <c r="Q2493" s="74">
        <f>VLOOKUP(B2493,Readme!A$40:C$51,2,)*P2493</f>
        <v>1136.0333333333306</v>
      </c>
    </row>
    <row r="2494" spans="1:17" ht="12" customHeight="1" x14ac:dyDescent="0.35">
      <c r="A2494" s="75">
        <v>2493</v>
      </c>
      <c r="B2494" s="64">
        <v>2016</v>
      </c>
      <c r="C2494" s="64">
        <v>10</v>
      </c>
      <c r="D2494" s="80">
        <f t="shared" si="81"/>
        <v>2016</v>
      </c>
      <c r="E2494" t="s">
        <v>38</v>
      </c>
      <c r="F2494" t="s">
        <v>143</v>
      </c>
      <c r="G2494" t="s">
        <v>10</v>
      </c>
      <c r="H2494" s="72" t="s">
        <v>233</v>
      </c>
      <c r="I2494" s="72" t="s">
        <v>76</v>
      </c>
      <c r="J2494" t="str">
        <f t="shared" si="80"/>
        <v>Wallace River</v>
      </c>
      <c r="K2494" t="str">
        <f>IFERROR(VLOOKUP(J2494,LUTs!$A$1:$C$73,2,FALSE),"NA")</f>
        <v>Snohomish</v>
      </c>
      <c r="L2494" t="str">
        <f>IFERROR(VLOOKUP(J2494,LUTs!$A$1:$C$73,3,FALSE),"NA")</f>
        <v>2Central Puget Sound</v>
      </c>
      <c r="M2494" s="72" t="s">
        <v>16</v>
      </c>
      <c r="N2494" t="str">
        <f>VLOOKUP(M2494,LUTs!E$2:H$14,3,)</f>
        <v>03Snohomish</v>
      </c>
      <c r="O2494" t="str">
        <f>VLOOKUP(M2494,LUTs!E$2:H$14,4,)</f>
        <v>01North Puget Sound</v>
      </c>
      <c r="P2494" s="73">
        <v>65.6666666666667</v>
      </c>
      <c r="Q2494" s="74">
        <f>VLOOKUP(B2494,Readme!A$40:C$51,2,)*P2494</f>
        <v>568.01666666666699</v>
      </c>
    </row>
    <row r="2495" spans="1:17" ht="12" customHeight="1" x14ac:dyDescent="0.35">
      <c r="A2495" s="75">
        <v>2494</v>
      </c>
      <c r="B2495" s="64">
        <v>2016</v>
      </c>
      <c r="C2495" s="64">
        <v>11</v>
      </c>
      <c r="D2495" s="80">
        <f t="shared" si="81"/>
        <v>2016</v>
      </c>
      <c r="E2495" t="s">
        <v>38</v>
      </c>
      <c r="F2495" t="s">
        <v>143</v>
      </c>
      <c r="G2495" t="s">
        <v>10</v>
      </c>
      <c r="H2495" s="72" t="s">
        <v>233</v>
      </c>
      <c r="I2495" s="72" t="s">
        <v>76</v>
      </c>
      <c r="J2495" t="str">
        <f t="shared" si="80"/>
        <v>Wallace River</v>
      </c>
      <c r="K2495" t="str">
        <f>IFERROR(VLOOKUP(J2495,LUTs!$A$1:$C$73,2,FALSE),"NA")</f>
        <v>Snohomish</v>
      </c>
      <c r="L2495" t="str">
        <f>IFERROR(VLOOKUP(J2495,LUTs!$A$1:$C$73,3,FALSE),"NA")</f>
        <v>2Central Puget Sound</v>
      </c>
      <c r="M2495" s="72" t="s">
        <v>18</v>
      </c>
      <c r="N2495" t="str">
        <f>VLOOKUP(M2495,LUTs!E$2:H$14,3,)</f>
        <v>06King</v>
      </c>
      <c r="O2495" t="str">
        <f>VLOOKUP(M2495,LUTs!E$2:H$14,4,)</f>
        <v>02South Puget Sound</v>
      </c>
      <c r="P2495" s="73">
        <v>28</v>
      </c>
      <c r="Q2495" s="74">
        <f>VLOOKUP(B2495,Readme!A$40:C$51,2,)*P2495</f>
        <v>242.20000000000002</v>
      </c>
    </row>
    <row r="2496" spans="1:17" ht="12" customHeight="1" x14ac:dyDescent="0.35">
      <c r="A2496" s="75">
        <v>2495</v>
      </c>
      <c r="B2496" s="64">
        <v>2016</v>
      </c>
      <c r="C2496" s="64">
        <v>11</v>
      </c>
      <c r="D2496" s="80">
        <f t="shared" si="81"/>
        <v>2016</v>
      </c>
      <c r="E2496" t="s">
        <v>38</v>
      </c>
      <c r="F2496" t="s">
        <v>143</v>
      </c>
      <c r="G2496" t="s">
        <v>10</v>
      </c>
      <c r="H2496" s="72" t="s">
        <v>233</v>
      </c>
      <c r="I2496" s="72" t="s">
        <v>76</v>
      </c>
      <c r="J2496" t="str">
        <f t="shared" si="80"/>
        <v>Wallace River</v>
      </c>
      <c r="K2496" t="str">
        <f>IFERROR(VLOOKUP(J2496,LUTs!$A$1:$C$73,2,FALSE),"NA")</f>
        <v>Snohomish</v>
      </c>
      <c r="L2496" t="str">
        <f>IFERROR(VLOOKUP(J2496,LUTs!$A$1:$C$73,3,FALSE),"NA")</f>
        <v>2Central Puget Sound</v>
      </c>
      <c r="M2496" s="72" t="s">
        <v>16</v>
      </c>
      <c r="N2496" t="str">
        <f>VLOOKUP(M2496,LUTs!E$2:H$14,3,)</f>
        <v>03Snohomish</v>
      </c>
      <c r="O2496" t="str">
        <f>VLOOKUP(M2496,LUTs!E$2:H$14,4,)</f>
        <v>01North Puget Sound</v>
      </c>
      <c r="P2496" s="73">
        <v>28</v>
      </c>
      <c r="Q2496" s="74">
        <f>VLOOKUP(B2496,Readme!A$40:C$51,2,)*P2496</f>
        <v>242.20000000000002</v>
      </c>
    </row>
    <row r="2497" spans="1:17" ht="12" customHeight="1" x14ac:dyDescent="0.35">
      <c r="A2497" s="75">
        <v>2496</v>
      </c>
      <c r="B2497" s="64">
        <v>2016</v>
      </c>
      <c r="C2497" s="64">
        <v>12</v>
      </c>
      <c r="D2497" s="80">
        <f t="shared" si="81"/>
        <v>2016</v>
      </c>
      <c r="E2497" t="s">
        <v>38</v>
      </c>
      <c r="F2497" t="s">
        <v>143</v>
      </c>
      <c r="G2497" t="s">
        <v>10</v>
      </c>
      <c r="H2497" s="72" t="s">
        <v>233</v>
      </c>
      <c r="I2497" s="72" t="s">
        <v>76</v>
      </c>
      <c r="J2497" t="str">
        <f t="shared" si="80"/>
        <v>Wallace River</v>
      </c>
      <c r="K2497" t="str">
        <f>IFERROR(VLOOKUP(J2497,LUTs!$A$1:$C$73,2,FALSE),"NA")</f>
        <v>Snohomish</v>
      </c>
      <c r="L2497" t="str">
        <f>IFERROR(VLOOKUP(J2497,LUTs!$A$1:$C$73,3,FALSE),"NA")</f>
        <v>2Central Puget Sound</v>
      </c>
      <c r="M2497" s="72" t="s">
        <v>16</v>
      </c>
      <c r="N2497" t="str">
        <f>VLOOKUP(M2497,LUTs!E$2:H$14,3,)</f>
        <v>03Snohomish</v>
      </c>
      <c r="O2497" t="str">
        <f>VLOOKUP(M2497,LUTs!E$2:H$14,4,)</f>
        <v>01North Puget Sound</v>
      </c>
      <c r="P2497" s="73">
        <v>9</v>
      </c>
      <c r="Q2497" s="74">
        <f>VLOOKUP(B2497,Readme!A$40:C$51,2,)*P2497</f>
        <v>77.850000000000009</v>
      </c>
    </row>
    <row r="2498" spans="1:17" ht="12" customHeight="1" x14ac:dyDescent="0.35">
      <c r="A2498" s="75">
        <v>2497</v>
      </c>
      <c r="B2498" s="64">
        <v>2016</v>
      </c>
      <c r="C2498" s="64">
        <v>9</v>
      </c>
      <c r="D2498" s="80">
        <f t="shared" si="81"/>
        <v>2016</v>
      </c>
      <c r="E2498" t="s">
        <v>38</v>
      </c>
      <c r="F2498" t="s">
        <v>143</v>
      </c>
      <c r="G2498" t="s">
        <v>10</v>
      </c>
      <c r="H2498" s="72" t="s">
        <v>224</v>
      </c>
      <c r="I2498" s="72" t="s">
        <v>66</v>
      </c>
      <c r="J2498" t="str">
        <f t="shared" si="80"/>
        <v>Whatcom Creek</v>
      </c>
      <c r="K2498" t="str">
        <f>IFERROR(VLOOKUP(J2498,LUTs!$A$1:$C$73,2,FALSE),"NA")</f>
        <v>Whatcom</v>
      </c>
      <c r="L2498" t="str">
        <f>IFERROR(VLOOKUP(J2498,LUTs!$A$1:$C$73,3,FALSE),"NA")</f>
        <v>1North Puget Sound</v>
      </c>
      <c r="M2498" s="72" t="s">
        <v>13</v>
      </c>
      <c r="N2498" t="str">
        <f>VLOOKUP(M2498,LUTs!E$2:H$14,3,)</f>
        <v>01Whatcom</v>
      </c>
      <c r="O2498" t="str">
        <f>VLOOKUP(M2498,LUTs!E$2:H$14,4,)</f>
        <v>01North Puget Sound</v>
      </c>
      <c r="P2498" s="73">
        <v>10</v>
      </c>
      <c r="Q2498" s="74">
        <f>VLOOKUP(B2498,Readme!A$40:C$51,2,)*P2498</f>
        <v>86.5</v>
      </c>
    </row>
    <row r="2499" spans="1:17" ht="12" customHeight="1" x14ac:dyDescent="0.35">
      <c r="A2499" s="75">
        <v>2498</v>
      </c>
      <c r="B2499" s="64">
        <v>2016</v>
      </c>
      <c r="C2499" s="64">
        <v>10</v>
      </c>
      <c r="D2499" s="80">
        <f t="shared" si="81"/>
        <v>2016</v>
      </c>
      <c r="E2499" t="s">
        <v>38</v>
      </c>
      <c r="F2499" t="s">
        <v>143</v>
      </c>
      <c r="G2499" t="s">
        <v>10</v>
      </c>
      <c r="H2499" s="72" t="s">
        <v>224</v>
      </c>
      <c r="I2499" s="72" t="s">
        <v>66</v>
      </c>
      <c r="J2499" t="str">
        <f t="shared" ref="J2499:J2562" si="82">I2499</f>
        <v>Whatcom Creek</v>
      </c>
      <c r="K2499" t="str">
        <f>IFERROR(VLOOKUP(J2499,LUTs!$A$1:$C$73,2,FALSE),"NA")</f>
        <v>Whatcom</v>
      </c>
      <c r="L2499" t="str">
        <f>IFERROR(VLOOKUP(J2499,LUTs!$A$1:$C$73,3,FALSE),"NA")</f>
        <v>1North Puget Sound</v>
      </c>
      <c r="M2499" s="72" t="s">
        <v>18</v>
      </c>
      <c r="N2499" t="str">
        <f>VLOOKUP(M2499,LUTs!E$2:H$14,3,)</f>
        <v>06King</v>
      </c>
      <c r="O2499" t="str">
        <f>VLOOKUP(M2499,LUTs!E$2:H$14,4,)</f>
        <v>02South Puget Sound</v>
      </c>
      <c r="P2499" s="73">
        <v>20</v>
      </c>
      <c r="Q2499" s="74">
        <f>VLOOKUP(B2499,Readme!A$40:C$51,2,)*P2499</f>
        <v>173</v>
      </c>
    </row>
    <row r="2500" spans="1:17" ht="12" customHeight="1" x14ac:dyDescent="0.35">
      <c r="A2500" s="75">
        <v>2499</v>
      </c>
      <c r="B2500" s="64">
        <v>2016</v>
      </c>
      <c r="C2500" s="64">
        <v>10</v>
      </c>
      <c r="D2500" s="80">
        <f t="shared" si="81"/>
        <v>2016</v>
      </c>
      <c r="E2500" t="s">
        <v>38</v>
      </c>
      <c r="F2500" t="s">
        <v>143</v>
      </c>
      <c r="G2500" t="s">
        <v>10</v>
      </c>
      <c r="H2500" s="72" t="s">
        <v>224</v>
      </c>
      <c r="I2500" s="72" t="s">
        <v>66</v>
      </c>
      <c r="J2500" t="str">
        <f t="shared" si="82"/>
        <v>Whatcom Creek</v>
      </c>
      <c r="K2500" t="str">
        <f>IFERROR(VLOOKUP(J2500,LUTs!$A$1:$C$73,2,FALSE),"NA")</f>
        <v>Whatcom</v>
      </c>
      <c r="L2500" t="str">
        <f>IFERROR(VLOOKUP(J2500,LUTs!$A$1:$C$73,3,FALSE),"NA")</f>
        <v>1North Puget Sound</v>
      </c>
      <c r="M2500" s="72" t="s">
        <v>15</v>
      </c>
      <c r="N2500" t="str">
        <f>VLOOKUP(M2500,LUTs!E$2:H$14,3,)</f>
        <v>02Skagit</v>
      </c>
      <c r="O2500" t="str">
        <f>VLOOKUP(M2500,LUTs!E$2:H$14,4,)</f>
        <v>01North Puget Sound</v>
      </c>
      <c r="P2500" s="73">
        <v>40</v>
      </c>
      <c r="Q2500" s="74">
        <f>VLOOKUP(B2500,Readme!A$40:C$51,2,)*P2500</f>
        <v>346</v>
      </c>
    </row>
    <row r="2501" spans="1:17" ht="12" customHeight="1" x14ac:dyDescent="0.35">
      <c r="A2501" s="75">
        <v>2500</v>
      </c>
      <c r="B2501" s="64">
        <v>2016</v>
      </c>
      <c r="C2501" s="64">
        <v>10</v>
      </c>
      <c r="D2501" s="80">
        <f t="shared" si="81"/>
        <v>2016</v>
      </c>
      <c r="E2501" t="s">
        <v>38</v>
      </c>
      <c r="F2501" t="s">
        <v>143</v>
      </c>
      <c r="G2501" t="s">
        <v>10</v>
      </c>
      <c r="H2501" s="72" t="s">
        <v>224</v>
      </c>
      <c r="I2501" s="72" t="s">
        <v>66</v>
      </c>
      <c r="J2501" t="str">
        <f t="shared" si="82"/>
        <v>Whatcom Creek</v>
      </c>
      <c r="K2501" t="str">
        <f>IFERROR(VLOOKUP(J2501,LUTs!$A$1:$C$73,2,FALSE),"NA")</f>
        <v>Whatcom</v>
      </c>
      <c r="L2501" t="str">
        <f>IFERROR(VLOOKUP(J2501,LUTs!$A$1:$C$73,3,FALSE),"NA")</f>
        <v>1North Puget Sound</v>
      </c>
      <c r="M2501" s="72" t="s">
        <v>13</v>
      </c>
      <c r="N2501" t="str">
        <f>VLOOKUP(M2501,LUTs!E$2:H$14,3,)</f>
        <v>01Whatcom</v>
      </c>
      <c r="O2501" t="str">
        <f>VLOOKUP(M2501,LUTs!E$2:H$14,4,)</f>
        <v>01North Puget Sound</v>
      </c>
      <c r="P2501" s="73">
        <v>110</v>
      </c>
      <c r="Q2501" s="74">
        <f>VLOOKUP(B2501,Readme!A$40:C$51,2,)*P2501</f>
        <v>951.5</v>
      </c>
    </row>
    <row r="2502" spans="1:17" ht="12" customHeight="1" x14ac:dyDescent="0.35">
      <c r="A2502" s="75">
        <v>2501</v>
      </c>
      <c r="B2502" s="64">
        <v>2016</v>
      </c>
      <c r="C2502" s="64">
        <v>11</v>
      </c>
      <c r="D2502" s="80">
        <f t="shared" si="81"/>
        <v>2016</v>
      </c>
      <c r="E2502" t="s">
        <v>38</v>
      </c>
      <c r="F2502" t="s">
        <v>143</v>
      </c>
      <c r="G2502" t="s">
        <v>10</v>
      </c>
      <c r="H2502" s="72" t="s">
        <v>224</v>
      </c>
      <c r="I2502" s="72" t="s">
        <v>66</v>
      </c>
      <c r="J2502" t="str">
        <f t="shared" si="82"/>
        <v>Whatcom Creek</v>
      </c>
      <c r="K2502" t="str">
        <f>IFERROR(VLOOKUP(J2502,LUTs!$A$1:$C$73,2,FALSE),"NA")</f>
        <v>Whatcom</v>
      </c>
      <c r="L2502" t="str">
        <f>IFERROR(VLOOKUP(J2502,LUTs!$A$1:$C$73,3,FALSE),"NA")</f>
        <v>1North Puget Sound</v>
      </c>
      <c r="M2502" s="72" t="s">
        <v>17</v>
      </c>
      <c r="N2502" t="str">
        <f>VLOOKUP(M2502,LUTs!E$2:H$14,3,)</f>
        <v>04Island</v>
      </c>
      <c r="O2502" t="str">
        <f>VLOOKUP(M2502,LUTs!E$2:H$14,4,)</f>
        <v>01North Puget Sound</v>
      </c>
      <c r="P2502" s="73">
        <v>204.757719714964</v>
      </c>
      <c r="Q2502" s="74">
        <f>VLOOKUP(B2502,Readme!A$40:C$51,2,)*P2502</f>
        <v>1771.1542755344387</v>
      </c>
    </row>
    <row r="2503" spans="1:17" ht="12" customHeight="1" x14ac:dyDescent="0.35">
      <c r="A2503" s="75">
        <v>2502</v>
      </c>
      <c r="B2503" s="64">
        <v>2016</v>
      </c>
      <c r="C2503" s="64">
        <v>11</v>
      </c>
      <c r="D2503" s="80">
        <f t="shared" si="81"/>
        <v>2016</v>
      </c>
      <c r="E2503" t="s">
        <v>38</v>
      </c>
      <c r="F2503" t="s">
        <v>143</v>
      </c>
      <c r="G2503" t="s">
        <v>10</v>
      </c>
      <c r="H2503" s="72" t="s">
        <v>224</v>
      </c>
      <c r="I2503" s="72" t="s">
        <v>66</v>
      </c>
      <c r="J2503" t="str">
        <f t="shared" si="82"/>
        <v>Whatcom Creek</v>
      </c>
      <c r="K2503" t="str">
        <f>IFERROR(VLOOKUP(J2503,LUTs!$A$1:$C$73,2,FALSE),"NA")</f>
        <v>Whatcom</v>
      </c>
      <c r="L2503" t="str">
        <f>IFERROR(VLOOKUP(J2503,LUTs!$A$1:$C$73,3,FALSE),"NA")</f>
        <v>1North Puget Sound</v>
      </c>
      <c r="M2503" s="72" t="s">
        <v>18</v>
      </c>
      <c r="N2503" t="str">
        <f>VLOOKUP(M2503,LUTs!E$2:H$14,3,)</f>
        <v>06King</v>
      </c>
      <c r="O2503" t="str">
        <f>VLOOKUP(M2503,LUTs!E$2:H$14,4,)</f>
        <v>02South Puget Sound</v>
      </c>
      <c r="P2503" s="73">
        <v>258.64133016627102</v>
      </c>
      <c r="Q2503" s="74">
        <f>VLOOKUP(B2503,Readme!A$40:C$51,2,)*P2503</f>
        <v>2237.2475059382446</v>
      </c>
    </row>
    <row r="2504" spans="1:17" ht="12" customHeight="1" x14ac:dyDescent="0.35">
      <c r="A2504" s="75">
        <v>2503</v>
      </c>
      <c r="B2504" s="64">
        <v>2016</v>
      </c>
      <c r="C2504" s="64">
        <v>11</v>
      </c>
      <c r="D2504" s="80">
        <f t="shared" si="81"/>
        <v>2016</v>
      </c>
      <c r="E2504" t="s">
        <v>38</v>
      </c>
      <c r="F2504" t="s">
        <v>143</v>
      </c>
      <c r="G2504" t="s">
        <v>10</v>
      </c>
      <c r="H2504" s="72" t="s">
        <v>224</v>
      </c>
      <c r="I2504" s="72" t="s">
        <v>66</v>
      </c>
      <c r="J2504" t="str">
        <f t="shared" si="82"/>
        <v>Whatcom Creek</v>
      </c>
      <c r="K2504" t="str">
        <f>IFERROR(VLOOKUP(J2504,LUTs!$A$1:$C$73,2,FALSE),"NA")</f>
        <v>Whatcom</v>
      </c>
      <c r="L2504" t="str">
        <f>IFERROR(VLOOKUP(J2504,LUTs!$A$1:$C$73,3,FALSE),"NA")</f>
        <v>1North Puget Sound</v>
      </c>
      <c r="M2504" s="72" t="s">
        <v>22</v>
      </c>
      <c r="N2504" t="str">
        <f>VLOOKUP(M2504,LUTs!E$2:H$14,3,)</f>
        <v>09Mason</v>
      </c>
      <c r="O2504" t="str">
        <f>VLOOKUP(M2504,LUTs!E$2:H$14,4,)</f>
        <v>02South Puget Sound</v>
      </c>
      <c r="P2504" s="73">
        <v>21.5534441805226</v>
      </c>
      <c r="Q2504" s="74">
        <f>VLOOKUP(B2504,Readme!A$40:C$51,2,)*P2504</f>
        <v>186.4372921615205</v>
      </c>
    </row>
    <row r="2505" spans="1:17" ht="12" customHeight="1" x14ac:dyDescent="0.35">
      <c r="A2505" s="75">
        <v>2504</v>
      </c>
      <c r="B2505" s="64">
        <v>2016</v>
      </c>
      <c r="C2505" s="64">
        <v>11</v>
      </c>
      <c r="D2505" s="80">
        <f t="shared" si="81"/>
        <v>2016</v>
      </c>
      <c r="E2505" t="s">
        <v>38</v>
      </c>
      <c r="F2505" t="s">
        <v>143</v>
      </c>
      <c r="G2505" t="s">
        <v>10</v>
      </c>
      <c r="H2505" s="72" t="s">
        <v>224</v>
      </c>
      <c r="I2505" s="72" t="s">
        <v>66</v>
      </c>
      <c r="J2505" t="str">
        <f t="shared" si="82"/>
        <v>Whatcom Creek</v>
      </c>
      <c r="K2505" t="str">
        <f>IFERROR(VLOOKUP(J2505,LUTs!$A$1:$C$73,2,FALSE),"NA")</f>
        <v>Whatcom</v>
      </c>
      <c r="L2505" t="str">
        <f>IFERROR(VLOOKUP(J2505,LUTs!$A$1:$C$73,3,FALSE),"NA")</f>
        <v>1North Puget Sound</v>
      </c>
      <c r="M2505" s="72" t="s">
        <v>26</v>
      </c>
      <c r="N2505" t="str">
        <f>VLOOKUP(M2505,LUTs!E$2:H$14,3,)</f>
        <v>20Other</v>
      </c>
      <c r="O2505" t="str">
        <f>VLOOKUP(M2505,LUTs!E$2:H$14,4,)</f>
        <v>07Non Puget Sound</v>
      </c>
      <c r="P2505" s="73">
        <v>21.5534441805226</v>
      </c>
      <c r="Q2505" s="74">
        <f>VLOOKUP(B2505,Readme!A$40:C$51,2,)*P2505</f>
        <v>186.4372921615205</v>
      </c>
    </row>
    <row r="2506" spans="1:17" ht="12" customHeight="1" x14ac:dyDescent="0.35">
      <c r="A2506" s="75">
        <v>2505</v>
      </c>
      <c r="B2506" s="64">
        <v>2016</v>
      </c>
      <c r="C2506" s="64">
        <v>11</v>
      </c>
      <c r="D2506" s="80">
        <f t="shared" si="81"/>
        <v>2016</v>
      </c>
      <c r="E2506" t="s">
        <v>38</v>
      </c>
      <c r="F2506" t="s">
        <v>143</v>
      </c>
      <c r="G2506" t="s">
        <v>10</v>
      </c>
      <c r="H2506" s="72" t="s">
        <v>224</v>
      </c>
      <c r="I2506" s="72" t="s">
        <v>66</v>
      </c>
      <c r="J2506" t="str">
        <f t="shared" si="82"/>
        <v>Whatcom Creek</v>
      </c>
      <c r="K2506" t="str">
        <f>IFERROR(VLOOKUP(J2506,LUTs!$A$1:$C$73,2,FALSE),"NA")</f>
        <v>Whatcom</v>
      </c>
      <c r="L2506" t="str">
        <f>IFERROR(VLOOKUP(J2506,LUTs!$A$1:$C$73,3,FALSE),"NA")</f>
        <v>1North Puget Sound</v>
      </c>
      <c r="M2506" s="72" t="s">
        <v>15</v>
      </c>
      <c r="N2506" t="str">
        <f>VLOOKUP(M2506,LUTs!E$2:H$14,3,)</f>
        <v>02Skagit</v>
      </c>
      <c r="O2506" t="str">
        <f>VLOOKUP(M2506,LUTs!E$2:H$14,4,)</f>
        <v>01North Puget Sound</v>
      </c>
      <c r="P2506" s="73">
        <v>398.73871733966803</v>
      </c>
      <c r="Q2506" s="74">
        <f>VLOOKUP(B2506,Readme!A$40:C$51,2,)*P2506</f>
        <v>3449.0899049881286</v>
      </c>
    </row>
    <row r="2507" spans="1:17" ht="12" customHeight="1" x14ac:dyDescent="0.35">
      <c r="A2507" s="75">
        <v>2506</v>
      </c>
      <c r="B2507" s="64">
        <v>2016</v>
      </c>
      <c r="C2507" s="64">
        <v>11</v>
      </c>
      <c r="D2507" s="80">
        <f t="shared" si="81"/>
        <v>2016</v>
      </c>
      <c r="E2507" t="s">
        <v>38</v>
      </c>
      <c r="F2507" t="s">
        <v>143</v>
      </c>
      <c r="G2507" t="s">
        <v>10</v>
      </c>
      <c r="H2507" s="72" t="s">
        <v>224</v>
      </c>
      <c r="I2507" s="72" t="s">
        <v>66</v>
      </c>
      <c r="J2507" t="str">
        <f t="shared" si="82"/>
        <v>Whatcom Creek</v>
      </c>
      <c r="K2507" t="str">
        <f>IFERROR(VLOOKUP(J2507,LUTs!$A$1:$C$73,2,FALSE),"NA")</f>
        <v>Whatcom</v>
      </c>
      <c r="L2507" t="str">
        <f>IFERROR(VLOOKUP(J2507,LUTs!$A$1:$C$73,3,FALSE),"NA")</f>
        <v>1North Puget Sound</v>
      </c>
      <c r="M2507" s="72" t="s">
        <v>16</v>
      </c>
      <c r="N2507" t="str">
        <f>VLOOKUP(M2507,LUTs!E$2:H$14,3,)</f>
        <v>03Snohomish</v>
      </c>
      <c r="O2507" t="str">
        <f>VLOOKUP(M2507,LUTs!E$2:H$14,4,)</f>
        <v>01North Puget Sound</v>
      </c>
      <c r="P2507" s="73">
        <v>1454.8574821852701</v>
      </c>
      <c r="Q2507" s="74">
        <f>VLOOKUP(B2507,Readme!A$40:C$51,2,)*P2507</f>
        <v>12584.517220902588</v>
      </c>
    </row>
    <row r="2508" spans="1:17" ht="12" customHeight="1" x14ac:dyDescent="0.35">
      <c r="A2508" s="75">
        <v>2507</v>
      </c>
      <c r="B2508" s="64">
        <v>2016</v>
      </c>
      <c r="C2508" s="64">
        <v>11</v>
      </c>
      <c r="D2508" s="80">
        <f t="shared" si="81"/>
        <v>2016</v>
      </c>
      <c r="E2508" t="s">
        <v>38</v>
      </c>
      <c r="F2508" t="s">
        <v>143</v>
      </c>
      <c r="G2508" t="s">
        <v>10</v>
      </c>
      <c r="H2508" s="72" t="s">
        <v>224</v>
      </c>
      <c r="I2508" s="72" t="s">
        <v>66</v>
      </c>
      <c r="J2508" t="str">
        <f t="shared" si="82"/>
        <v>Whatcom Creek</v>
      </c>
      <c r="K2508" t="str">
        <f>IFERROR(VLOOKUP(J2508,LUTs!$A$1:$C$73,2,FALSE),"NA")</f>
        <v>Whatcom</v>
      </c>
      <c r="L2508" t="str">
        <f>IFERROR(VLOOKUP(J2508,LUTs!$A$1:$C$73,3,FALSE),"NA")</f>
        <v>1North Puget Sound</v>
      </c>
      <c r="M2508" s="72" t="s">
        <v>13</v>
      </c>
      <c r="N2508" t="str">
        <f>VLOOKUP(M2508,LUTs!E$2:H$14,3,)</f>
        <v>01Whatcom</v>
      </c>
      <c r="O2508" t="str">
        <f>VLOOKUP(M2508,LUTs!E$2:H$14,4,)</f>
        <v>01North Puget Sound</v>
      </c>
      <c r="P2508" s="73">
        <v>2176.89786223278</v>
      </c>
      <c r="Q2508" s="74">
        <f>VLOOKUP(B2508,Readme!A$40:C$51,2,)*P2508</f>
        <v>18830.166508313549</v>
      </c>
    </row>
    <row r="2509" spans="1:17" ht="12" customHeight="1" x14ac:dyDescent="0.35">
      <c r="A2509" s="75">
        <v>2508</v>
      </c>
      <c r="B2509" s="64">
        <v>2016</v>
      </c>
      <c r="C2509" s="64">
        <v>12</v>
      </c>
      <c r="D2509" s="80">
        <f t="shared" si="81"/>
        <v>2016</v>
      </c>
      <c r="E2509" t="s">
        <v>38</v>
      </c>
      <c r="F2509" t="s">
        <v>143</v>
      </c>
      <c r="G2509" t="s">
        <v>10</v>
      </c>
      <c r="H2509" s="72" t="s">
        <v>224</v>
      </c>
      <c r="I2509" s="72" t="s">
        <v>66</v>
      </c>
      <c r="J2509" t="str">
        <f t="shared" si="82"/>
        <v>Whatcom Creek</v>
      </c>
      <c r="K2509" t="str">
        <f>IFERROR(VLOOKUP(J2509,LUTs!$A$1:$C$73,2,FALSE),"NA")</f>
        <v>Whatcom</v>
      </c>
      <c r="L2509" t="str">
        <f>IFERROR(VLOOKUP(J2509,LUTs!$A$1:$C$73,3,FALSE),"NA")</f>
        <v>1North Puget Sound</v>
      </c>
      <c r="M2509" s="72" t="s">
        <v>17</v>
      </c>
      <c r="N2509" t="str">
        <f>VLOOKUP(M2509,LUTs!E$2:H$14,3,)</f>
        <v>04Island</v>
      </c>
      <c r="O2509" t="str">
        <f>VLOOKUP(M2509,LUTs!E$2:H$14,4,)</f>
        <v>01North Puget Sound</v>
      </c>
      <c r="P2509" s="73">
        <v>44.275862068965502</v>
      </c>
      <c r="Q2509" s="74">
        <f>VLOOKUP(B2509,Readme!A$40:C$51,2,)*P2509</f>
        <v>382.98620689655161</v>
      </c>
    </row>
    <row r="2510" spans="1:17" ht="12" customHeight="1" x14ac:dyDescent="0.35">
      <c r="A2510" s="75">
        <v>2509</v>
      </c>
      <c r="B2510" s="64">
        <v>2016</v>
      </c>
      <c r="C2510" s="64">
        <v>12</v>
      </c>
      <c r="D2510" s="80">
        <f t="shared" si="81"/>
        <v>2016</v>
      </c>
      <c r="E2510" t="s">
        <v>38</v>
      </c>
      <c r="F2510" t="s">
        <v>143</v>
      </c>
      <c r="G2510" t="s">
        <v>10</v>
      </c>
      <c r="H2510" s="72" t="s">
        <v>224</v>
      </c>
      <c r="I2510" s="72" t="s">
        <v>66</v>
      </c>
      <c r="J2510" t="str">
        <f t="shared" si="82"/>
        <v>Whatcom Creek</v>
      </c>
      <c r="K2510" t="str">
        <f>IFERROR(VLOOKUP(J2510,LUTs!$A$1:$C$73,2,FALSE),"NA")</f>
        <v>Whatcom</v>
      </c>
      <c r="L2510" t="str">
        <f>IFERROR(VLOOKUP(J2510,LUTs!$A$1:$C$73,3,FALSE),"NA")</f>
        <v>1North Puget Sound</v>
      </c>
      <c r="M2510" s="72" t="s">
        <v>26</v>
      </c>
      <c r="N2510" t="str">
        <f>VLOOKUP(M2510,LUTs!E$2:H$14,3,)</f>
        <v>20Other</v>
      </c>
      <c r="O2510" t="str">
        <f>VLOOKUP(M2510,LUTs!E$2:H$14,4,)</f>
        <v>07Non Puget Sound</v>
      </c>
      <c r="P2510" s="73">
        <v>44.275862068965502</v>
      </c>
      <c r="Q2510" s="74">
        <f>VLOOKUP(B2510,Readme!A$40:C$51,2,)*P2510</f>
        <v>382.98620689655161</v>
      </c>
    </row>
    <row r="2511" spans="1:17" ht="12" customHeight="1" x14ac:dyDescent="0.35">
      <c r="A2511" s="75">
        <v>2510</v>
      </c>
      <c r="B2511" s="64">
        <v>2016</v>
      </c>
      <c r="C2511" s="64">
        <v>12</v>
      </c>
      <c r="D2511" s="80">
        <f t="shared" si="81"/>
        <v>2016</v>
      </c>
      <c r="E2511" t="s">
        <v>38</v>
      </c>
      <c r="F2511" t="s">
        <v>143</v>
      </c>
      <c r="G2511" t="s">
        <v>10</v>
      </c>
      <c r="H2511" s="72" t="s">
        <v>224</v>
      </c>
      <c r="I2511" s="72" t="s">
        <v>66</v>
      </c>
      <c r="J2511" t="str">
        <f t="shared" si="82"/>
        <v>Whatcom Creek</v>
      </c>
      <c r="K2511" t="str">
        <f>IFERROR(VLOOKUP(J2511,LUTs!$A$1:$C$73,2,FALSE),"NA")</f>
        <v>Whatcom</v>
      </c>
      <c r="L2511" t="str">
        <f>IFERROR(VLOOKUP(J2511,LUTs!$A$1:$C$73,3,FALSE),"NA")</f>
        <v>1North Puget Sound</v>
      </c>
      <c r="M2511" s="72" t="s">
        <v>15</v>
      </c>
      <c r="N2511" t="str">
        <f>VLOOKUP(M2511,LUTs!E$2:H$14,3,)</f>
        <v>02Skagit</v>
      </c>
      <c r="O2511" t="str">
        <f>VLOOKUP(M2511,LUTs!E$2:H$14,4,)</f>
        <v>01North Puget Sound</v>
      </c>
      <c r="P2511" s="73">
        <v>22.137931034482801</v>
      </c>
      <c r="Q2511" s="74">
        <f>VLOOKUP(B2511,Readme!A$40:C$51,2,)*P2511</f>
        <v>191.49310344827623</v>
      </c>
    </row>
    <row r="2512" spans="1:17" ht="12" customHeight="1" x14ac:dyDescent="0.35">
      <c r="A2512" s="75">
        <v>2511</v>
      </c>
      <c r="B2512" s="64">
        <v>2016</v>
      </c>
      <c r="C2512" s="64">
        <v>12</v>
      </c>
      <c r="D2512" s="80">
        <f t="shared" si="81"/>
        <v>2016</v>
      </c>
      <c r="E2512" t="s">
        <v>38</v>
      </c>
      <c r="F2512" t="s">
        <v>143</v>
      </c>
      <c r="G2512" t="s">
        <v>10</v>
      </c>
      <c r="H2512" s="72" t="s">
        <v>224</v>
      </c>
      <c r="I2512" s="72" t="s">
        <v>66</v>
      </c>
      <c r="J2512" t="str">
        <f t="shared" si="82"/>
        <v>Whatcom Creek</v>
      </c>
      <c r="K2512" t="str">
        <f>IFERROR(VLOOKUP(J2512,LUTs!$A$1:$C$73,2,FALSE),"NA")</f>
        <v>Whatcom</v>
      </c>
      <c r="L2512" t="str">
        <f>IFERROR(VLOOKUP(J2512,LUTs!$A$1:$C$73,3,FALSE),"NA")</f>
        <v>1North Puget Sound</v>
      </c>
      <c r="M2512" s="72" t="s">
        <v>16</v>
      </c>
      <c r="N2512" t="str">
        <f>VLOOKUP(M2512,LUTs!E$2:H$14,3,)</f>
        <v>03Snohomish</v>
      </c>
      <c r="O2512" t="str">
        <f>VLOOKUP(M2512,LUTs!E$2:H$14,4,)</f>
        <v>01North Puget Sound</v>
      </c>
      <c r="P2512" s="73">
        <v>44.275862068965502</v>
      </c>
      <c r="Q2512" s="74">
        <f>VLOOKUP(B2512,Readme!A$40:C$51,2,)*P2512</f>
        <v>382.98620689655161</v>
      </c>
    </row>
    <row r="2513" spans="1:17" ht="12" customHeight="1" x14ac:dyDescent="0.35">
      <c r="A2513" s="75">
        <v>2512</v>
      </c>
      <c r="B2513" s="64">
        <v>2016</v>
      </c>
      <c r="C2513" s="64">
        <v>12</v>
      </c>
      <c r="D2513" s="80">
        <f t="shared" si="81"/>
        <v>2016</v>
      </c>
      <c r="E2513" t="s">
        <v>38</v>
      </c>
      <c r="F2513" t="s">
        <v>143</v>
      </c>
      <c r="G2513" t="s">
        <v>10</v>
      </c>
      <c r="H2513" s="72" t="s">
        <v>224</v>
      </c>
      <c r="I2513" s="72" t="s">
        <v>66</v>
      </c>
      <c r="J2513" t="str">
        <f t="shared" si="82"/>
        <v>Whatcom Creek</v>
      </c>
      <c r="K2513" t="str">
        <f>IFERROR(VLOOKUP(J2513,LUTs!$A$1:$C$73,2,FALSE),"NA")</f>
        <v>Whatcom</v>
      </c>
      <c r="L2513" t="str">
        <f>IFERROR(VLOOKUP(J2513,LUTs!$A$1:$C$73,3,FALSE),"NA")</f>
        <v>1North Puget Sound</v>
      </c>
      <c r="M2513" s="72" t="s">
        <v>13</v>
      </c>
      <c r="N2513" t="str">
        <f>VLOOKUP(M2513,LUTs!E$2:H$14,3,)</f>
        <v>01Whatcom</v>
      </c>
      <c r="O2513" t="str">
        <f>VLOOKUP(M2513,LUTs!E$2:H$14,4,)</f>
        <v>01North Puget Sound</v>
      </c>
      <c r="P2513" s="73">
        <v>166.03448275862101</v>
      </c>
      <c r="Q2513" s="74">
        <f>VLOOKUP(B2513,Readme!A$40:C$51,2,)*P2513</f>
        <v>1436.1982758620718</v>
      </c>
    </row>
    <row r="2514" spans="1:17" ht="12" customHeight="1" x14ac:dyDescent="0.35">
      <c r="A2514" s="75">
        <v>2513</v>
      </c>
      <c r="B2514" s="64">
        <v>2017</v>
      </c>
      <c r="C2514" s="64">
        <v>10</v>
      </c>
      <c r="D2514" s="80">
        <f t="shared" si="81"/>
        <v>2017</v>
      </c>
      <c r="E2514" t="s">
        <v>38</v>
      </c>
      <c r="F2514" t="s">
        <v>143</v>
      </c>
      <c r="G2514" t="s">
        <v>10</v>
      </c>
      <c r="H2514" s="72">
        <v>724</v>
      </c>
      <c r="I2514" s="72" t="s">
        <v>40</v>
      </c>
      <c r="J2514" t="str">
        <f t="shared" si="82"/>
        <v>Dakota Creek (Whatcom Co)</v>
      </c>
      <c r="K2514" t="str">
        <f>IFERROR(VLOOKUP(J2514,LUTs!$A$1:$C$73,2,FALSE),"NA")</f>
        <v>Whatcom</v>
      </c>
      <c r="L2514" t="str">
        <f>IFERROR(VLOOKUP(J2514,LUTs!$A$1:$C$73,3,FALSE),"NA")</f>
        <v>1North Puget Sound</v>
      </c>
      <c r="M2514" s="72" t="s">
        <v>13</v>
      </c>
      <c r="N2514" t="str">
        <f>VLOOKUP(M2514,LUTs!E$2:H$14,3,)</f>
        <v>01Whatcom</v>
      </c>
      <c r="O2514" t="str">
        <f>VLOOKUP(M2514,LUTs!E$2:H$14,4,)</f>
        <v>01North Puget Sound</v>
      </c>
      <c r="P2514" s="73">
        <v>39</v>
      </c>
      <c r="Q2514" s="74">
        <f>VLOOKUP(B2514,Readme!A$40:C$51,2,)*P2514</f>
        <v>134.16</v>
      </c>
    </row>
    <row r="2515" spans="1:17" ht="12" customHeight="1" x14ac:dyDescent="0.35">
      <c r="A2515" s="75">
        <v>2514</v>
      </c>
      <c r="B2515" s="64">
        <v>2017</v>
      </c>
      <c r="C2515" s="64">
        <v>7</v>
      </c>
      <c r="D2515" s="80">
        <f t="shared" si="81"/>
        <v>2017</v>
      </c>
      <c r="E2515" t="s">
        <v>38</v>
      </c>
      <c r="F2515" t="s">
        <v>143</v>
      </c>
      <c r="G2515" t="s">
        <v>10</v>
      </c>
      <c r="H2515" s="72">
        <v>728</v>
      </c>
      <c r="I2515" s="72" t="s">
        <v>41</v>
      </c>
      <c r="J2515" t="str">
        <f t="shared" si="82"/>
        <v>Deschutes River</v>
      </c>
      <c r="K2515" t="str">
        <f>IFERROR(VLOOKUP(J2515,LUTs!$A$1:$C$73,2,FALSE),"NA")</f>
        <v>Thurston</v>
      </c>
      <c r="L2515" t="str">
        <f>IFERROR(VLOOKUP(J2515,LUTs!$A$1:$C$73,3,FALSE),"NA")</f>
        <v>3South Puget Sound</v>
      </c>
      <c r="M2515" s="72" t="s">
        <v>18</v>
      </c>
      <c r="N2515" t="str">
        <f>VLOOKUP(M2515,LUTs!E$2:H$14,3,)</f>
        <v>06King</v>
      </c>
      <c r="O2515" t="str">
        <f>VLOOKUP(M2515,LUTs!E$2:H$14,4,)</f>
        <v>02South Puget Sound</v>
      </c>
      <c r="P2515" s="73">
        <v>10</v>
      </c>
      <c r="Q2515" s="74">
        <f>VLOOKUP(B2515,Readme!A$40:C$51,2,)*P2515</f>
        <v>34.4</v>
      </c>
    </row>
    <row r="2516" spans="1:17" ht="12" customHeight="1" x14ac:dyDescent="0.35">
      <c r="A2516" s="75">
        <v>2515</v>
      </c>
      <c r="B2516" s="64">
        <v>2017</v>
      </c>
      <c r="C2516" s="64">
        <v>10</v>
      </c>
      <c r="D2516" s="80">
        <f t="shared" si="81"/>
        <v>2017</v>
      </c>
      <c r="E2516" t="s">
        <v>38</v>
      </c>
      <c r="F2516" t="s">
        <v>143</v>
      </c>
      <c r="G2516" t="s">
        <v>10</v>
      </c>
      <c r="H2516" s="72">
        <v>732</v>
      </c>
      <c r="I2516" s="72" t="s">
        <v>67</v>
      </c>
      <c r="J2516" t="str">
        <f t="shared" si="82"/>
        <v>Dewatto River</v>
      </c>
      <c r="K2516" t="str">
        <f>IFERROR(VLOOKUP(J2516,LUTs!$A$1:$C$73,2,FALSE),"NA")</f>
        <v>Mason</v>
      </c>
      <c r="L2516" t="str">
        <f>IFERROR(VLOOKUP(J2516,LUTs!$A$1:$C$73,3,FALSE),"NA")</f>
        <v>4 Hood Canal</v>
      </c>
      <c r="M2516" s="72" t="s">
        <v>18</v>
      </c>
      <c r="N2516" t="str">
        <f>VLOOKUP(M2516,LUTs!E$2:H$14,3,)</f>
        <v>06King</v>
      </c>
      <c r="O2516" t="str">
        <f>VLOOKUP(M2516,LUTs!E$2:H$14,4,)</f>
        <v>02South Puget Sound</v>
      </c>
      <c r="P2516" s="73">
        <v>10.181818181818199</v>
      </c>
      <c r="Q2516" s="74">
        <f>VLOOKUP(B2516,Readme!A$40:C$51,2,)*P2516</f>
        <v>35.025454545454608</v>
      </c>
    </row>
    <row r="2517" spans="1:17" ht="12" customHeight="1" x14ac:dyDescent="0.35">
      <c r="A2517" s="75">
        <v>2516</v>
      </c>
      <c r="B2517" s="64">
        <v>2017</v>
      </c>
      <c r="C2517" s="64">
        <v>10</v>
      </c>
      <c r="D2517" s="80">
        <f t="shared" si="81"/>
        <v>2017</v>
      </c>
      <c r="E2517" t="s">
        <v>38</v>
      </c>
      <c r="F2517" t="s">
        <v>143</v>
      </c>
      <c r="G2517" t="s">
        <v>10</v>
      </c>
      <c r="H2517" s="72">
        <v>732</v>
      </c>
      <c r="I2517" s="72" t="s">
        <v>67</v>
      </c>
      <c r="J2517" t="str">
        <f t="shared" si="82"/>
        <v>Dewatto River</v>
      </c>
      <c r="K2517" t="str">
        <f>IFERROR(VLOOKUP(J2517,LUTs!$A$1:$C$73,2,FALSE),"NA")</f>
        <v>Mason</v>
      </c>
      <c r="L2517" t="str">
        <f>IFERROR(VLOOKUP(J2517,LUTs!$A$1:$C$73,3,FALSE),"NA")</f>
        <v>4 Hood Canal</v>
      </c>
      <c r="M2517" s="72" t="s">
        <v>23</v>
      </c>
      <c r="N2517" t="str">
        <f>VLOOKUP(M2517,LUTs!E$2:H$14,3,)</f>
        <v>10Kitsap</v>
      </c>
      <c r="O2517" t="str">
        <f>VLOOKUP(M2517,LUTs!E$2:H$14,4,)</f>
        <v>02South Puget Sound</v>
      </c>
      <c r="P2517" s="73">
        <v>213.81818181818201</v>
      </c>
      <c r="Q2517" s="74">
        <f>VLOOKUP(B2517,Readme!A$40:C$51,2,)*P2517</f>
        <v>735.53454545454611</v>
      </c>
    </row>
    <row r="2518" spans="1:17" ht="12" customHeight="1" x14ac:dyDescent="0.35">
      <c r="A2518" s="75">
        <v>2517</v>
      </c>
      <c r="B2518" s="64">
        <v>2017</v>
      </c>
      <c r="C2518" s="64">
        <v>11</v>
      </c>
      <c r="D2518" s="80">
        <f t="shared" si="81"/>
        <v>2017</v>
      </c>
      <c r="E2518" t="s">
        <v>38</v>
      </c>
      <c r="F2518" t="s">
        <v>143</v>
      </c>
      <c r="G2518" t="s">
        <v>10</v>
      </c>
      <c r="H2518" s="72">
        <v>732</v>
      </c>
      <c r="I2518" s="72" t="s">
        <v>67</v>
      </c>
      <c r="J2518" t="str">
        <f t="shared" si="82"/>
        <v>Dewatto River</v>
      </c>
      <c r="K2518" t="str">
        <f>IFERROR(VLOOKUP(J2518,LUTs!$A$1:$C$73,2,FALSE),"NA")</f>
        <v>Mason</v>
      </c>
      <c r="L2518" t="str">
        <f>IFERROR(VLOOKUP(J2518,LUTs!$A$1:$C$73,3,FALSE),"NA")</f>
        <v>4 Hood Canal</v>
      </c>
      <c r="M2518" s="72" t="s">
        <v>23</v>
      </c>
      <c r="N2518" t="str">
        <f>VLOOKUP(M2518,LUTs!E$2:H$14,3,)</f>
        <v>10Kitsap</v>
      </c>
      <c r="O2518" t="str">
        <f>VLOOKUP(M2518,LUTs!E$2:H$14,4,)</f>
        <v>02South Puget Sound</v>
      </c>
      <c r="P2518" s="73">
        <v>41</v>
      </c>
      <c r="Q2518" s="74">
        <f>VLOOKUP(B2518,Readme!A$40:C$51,2,)*P2518</f>
        <v>141.04</v>
      </c>
    </row>
    <row r="2519" spans="1:17" ht="12" customHeight="1" x14ac:dyDescent="0.35">
      <c r="A2519" s="75">
        <v>2518</v>
      </c>
      <c r="B2519" s="64">
        <v>2017</v>
      </c>
      <c r="C2519" s="64">
        <v>11</v>
      </c>
      <c r="D2519" s="80">
        <f t="shared" si="81"/>
        <v>2017</v>
      </c>
      <c r="E2519" t="s">
        <v>38</v>
      </c>
      <c r="F2519" t="s">
        <v>143</v>
      </c>
      <c r="G2519" t="s">
        <v>10</v>
      </c>
      <c r="H2519" s="72">
        <v>736</v>
      </c>
      <c r="I2519" s="72" t="s">
        <v>42</v>
      </c>
      <c r="J2519" t="str">
        <f t="shared" si="82"/>
        <v>Duckabush River</v>
      </c>
      <c r="K2519" t="str">
        <f>IFERROR(VLOOKUP(J2519,LUTs!$A$1:$C$73,2,FALSE),"NA")</f>
        <v>Jefferson</v>
      </c>
      <c r="L2519" t="str">
        <f>IFERROR(VLOOKUP(J2519,LUTs!$A$1:$C$73,3,FALSE),"NA")</f>
        <v>4 Hood Canal</v>
      </c>
      <c r="M2519" s="72" t="s">
        <v>25</v>
      </c>
      <c r="N2519" t="str">
        <f>VLOOKUP(M2519,LUTs!E$2:H$14,3,)</f>
        <v>12Jefferson</v>
      </c>
      <c r="O2519" t="str">
        <f>VLOOKUP(M2519,LUTs!E$2:H$14,4,)</f>
        <v>03Strait of Juan de Fuca</v>
      </c>
      <c r="P2519" s="73">
        <v>21</v>
      </c>
      <c r="Q2519" s="74">
        <f>VLOOKUP(B2519,Readme!A$40:C$51,2,)*P2519</f>
        <v>72.239999999999995</v>
      </c>
    </row>
    <row r="2520" spans="1:17" ht="12" customHeight="1" x14ac:dyDescent="0.35">
      <c r="A2520" s="75">
        <v>2519</v>
      </c>
      <c r="B2520" s="64">
        <v>2017</v>
      </c>
      <c r="C2520" s="64">
        <v>10</v>
      </c>
      <c r="D2520" s="80">
        <f t="shared" si="81"/>
        <v>2017</v>
      </c>
      <c r="E2520" t="s">
        <v>38</v>
      </c>
      <c r="F2520" t="s">
        <v>143</v>
      </c>
      <c r="G2520" t="s">
        <v>10</v>
      </c>
      <c r="H2520" s="72">
        <v>738</v>
      </c>
      <c r="I2520" s="72" t="s">
        <v>43</v>
      </c>
      <c r="J2520" t="str">
        <f t="shared" si="82"/>
        <v>Dungeness River</v>
      </c>
      <c r="K2520" t="str">
        <f>IFERROR(VLOOKUP(J2520,LUTs!$A$1:$C$73,2,FALSE),"NA")</f>
        <v>Clallam</v>
      </c>
      <c r="L2520" t="str">
        <f>IFERROR(VLOOKUP(J2520,LUTs!$A$1:$C$73,3,FALSE),"NA")</f>
        <v>0Strait of Juan de Fuca</v>
      </c>
      <c r="M2520" s="72" t="s">
        <v>24</v>
      </c>
      <c r="N2520" t="str">
        <f>VLOOKUP(M2520,LUTs!E$2:H$14,3,)</f>
        <v>11Clallam</v>
      </c>
      <c r="O2520" t="str">
        <f>VLOOKUP(M2520,LUTs!E$2:H$14,4,)</f>
        <v>03Strait of Juan de Fuca</v>
      </c>
      <c r="P2520" s="73">
        <v>519.75</v>
      </c>
      <c r="Q2520" s="74">
        <f>VLOOKUP(B2520,Readme!A$40:C$51,2,)*P2520</f>
        <v>1787.94</v>
      </c>
    </row>
    <row r="2521" spans="1:17" ht="12" customHeight="1" x14ac:dyDescent="0.35">
      <c r="A2521" s="75">
        <v>2520</v>
      </c>
      <c r="B2521" s="64">
        <v>2017</v>
      </c>
      <c r="C2521" s="64">
        <v>10</v>
      </c>
      <c r="D2521" s="80">
        <f t="shared" si="81"/>
        <v>2017</v>
      </c>
      <c r="E2521" t="s">
        <v>38</v>
      </c>
      <c r="F2521" t="s">
        <v>143</v>
      </c>
      <c r="G2521" t="s">
        <v>10</v>
      </c>
      <c r="H2521" s="72">
        <v>738</v>
      </c>
      <c r="I2521" s="72" t="s">
        <v>43</v>
      </c>
      <c r="J2521" t="str">
        <f t="shared" si="82"/>
        <v>Dungeness River</v>
      </c>
      <c r="K2521" t="str">
        <f>IFERROR(VLOOKUP(J2521,LUTs!$A$1:$C$73,2,FALSE),"NA")</f>
        <v>Clallam</v>
      </c>
      <c r="L2521" t="str">
        <f>IFERROR(VLOOKUP(J2521,LUTs!$A$1:$C$73,3,FALSE),"NA")</f>
        <v>0Strait of Juan de Fuca</v>
      </c>
      <c r="M2521" s="72" t="s">
        <v>25</v>
      </c>
      <c r="N2521" t="str">
        <f>VLOOKUP(M2521,LUTs!E$2:H$14,3,)</f>
        <v>12Jefferson</v>
      </c>
      <c r="O2521" t="str">
        <f>VLOOKUP(M2521,LUTs!E$2:H$14,4,)</f>
        <v>03Strait of Juan de Fuca</v>
      </c>
      <c r="P2521" s="73">
        <v>61.147058823529399</v>
      </c>
      <c r="Q2521" s="74">
        <f>VLOOKUP(B2521,Readme!A$40:C$51,2,)*P2521</f>
        <v>210.34588235294112</v>
      </c>
    </row>
    <row r="2522" spans="1:17" ht="12" customHeight="1" x14ac:dyDescent="0.35">
      <c r="A2522" s="75">
        <v>2521</v>
      </c>
      <c r="B2522" s="64">
        <v>2017</v>
      </c>
      <c r="C2522" s="64">
        <v>10</v>
      </c>
      <c r="D2522" s="80">
        <f t="shared" si="81"/>
        <v>2017</v>
      </c>
      <c r="E2522" t="s">
        <v>38</v>
      </c>
      <c r="F2522" t="s">
        <v>143</v>
      </c>
      <c r="G2522" t="s">
        <v>10</v>
      </c>
      <c r="H2522" s="72">
        <v>738</v>
      </c>
      <c r="I2522" s="72" t="s">
        <v>43</v>
      </c>
      <c r="J2522" t="str">
        <f t="shared" si="82"/>
        <v>Dungeness River</v>
      </c>
      <c r="K2522" t="str">
        <f>IFERROR(VLOOKUP(J2522,LUTs!$A$1:$C$73,2,FALSE),"NA")</f>
        <v>Clallam</v>
      </c>
      <c r="L2522" t="str">
        <f>IFERROR(VLOOKUP(J2522,LUTs!$A$1:$C$73,3,FALSE),"NA")</f>
        <v>0Strait of Juan de Fuca</v>
      </c>
      <c r="M2522" s="72" t="s">
        <v>18</v>
      </c>
      <c r="N2522" t="str">
        <f>VLOOKUP(M2522,LUTs!E$2:H$14,3,)</f>
        <v>06King</v>
      </c>
      <c r="O2522" t="str">
        <f>VLOOKUP(M2522,LUTs!E$2:H$14,4,)</f>
        <v>02South Puget Sound</v>
      </c>
      <c r="P2522" s="73">
        <v>61.147058823529399</v>
      </c>
      <c r="Q2522" s="74">
        <f>VLOOKUP(B2522,Readme!A$40:C$51,2,)*P2522</f>
        <v>210.34588235294112</v>
      </c>
    </row>
    <row r="2523" spans="1:17" ht="12" customHeight="1" x14ac:dyDescent="0.35">
      <c r="A2523" s="75">
        <v>2522</v>
      </c>
      <c r="B2523" s="64">
        <v>2017</v>
      </c>
      <c r="C2523" s="64">
        <v>10</v>
      </c>
      <c r="D2523" s="80">
        <f t="shared" si="81"/>
        <v>2017</v>
      </c>
      <c r="E2523" t="s">
        <v>38</v>
      </c>
      <c r="F2523" t="s">
        <v>143</v>
      </c>
      <c r="G2523" t="s">
        <v>10</v>
      </c>
      <c r="H2523" s="72">
        <v>738</v>
      </c>
      <c r="I2523" s="72" t="s">
        <v>43</v>
      </c>
      <c r="J2523" t="str">
        <f t="shared" si="82"/>
        <v>Dungeness River</v>
      </c>
      <c r="K2523" t="str">
        <f>IFERROR(VLOOKUP(J2523,LUTs!$A$1:$C$73,2,FALSE),"NA")</f>
        <v>Clallam</v>
      </c>
      <c r="L2523" t="str">
        <f>IFERROR(VLOOKUP(J2523,LUTs!$A$1:$C$73,3,FALSE),"NA")</f>
        <v>0Strait of Juan de Fuca</v>
      </c>
      <c r="M2523" s="72" t="s">
        <v>23</v>
      </c>
      <c r="N2523" t="str">
        <f>VLOOKUP(M2523,LUTs!E$2:H$14,3,)</f>
        <v>10Kitsap</v>
      </c>
      <c r="O2523" t="str">
        <f>VLOOKUP(M2523,LUTs!E$2:H$14,4,)</f>
        <v>02South Puget Sound</v>
      </c>
      <c r="P2523" s="73">
        <v>30.573529411764699</v>
      </c>
      <c r="Q2523" s="74">
        <f>VLOOKUP(B2523,Readme!A$40:C$51,2,)*P2523</f>
        <v>105.17294117647056</v>
      </c>
    </row>
    <row r="2524" spans="1:17" ht="12" customHeight="1" x14ac:dyDescent="0.35">
      <c r="A2524" s="75">
        <v>2523</v>
      </c>
      <c r="B2524" s="64">
        <v>2017</v>
      </c>
      <c r="C2524" s="64">
        <v>10</v>
      </c>
      <c r="D2524" s="80">
        <f t="shared" si="81"/>
        <v>2017</v>
      </c>
      <c r="E2524" t="s">
        <v>38</v>
      </c>
      <c r="F2524" t="s">
        <v>143</v>
      </c>
      <c r="G2524" t="s">
        <v>10</v>
      </c>
      <c r="H2524" s="72">
        <v>738</v>
      </c>
      <c r="I2524" s="72" t="s">
        <v>43</v>
      </c>
      <c r="J2524" t="str">
        <f t="shared" si="82"/>
        <v>Dungeness River</v>
      </c>
      <c r="K2524" t="str">
        <f>IFERROR(VLOOKUP(J2524,LUTs!$A$1:$C$73,2,FALSE),"NA")</f>
        <v>Clallam</v>
      </c>
      <c r="L2524" t="str">
        <f>IFERROR(VLOOKUP(J2524,LUTs!$A$1:$C$73,3,FALSE),"NA")</f>
        <v>0Strait of Juan de Fuca</v>
      </c>
      <c r="M2524" s="72" t="s">
        <v>26</v>
      </c>
      <c r="N2524" t="str">
        <f>VLOOKUP(M2524,LUTs!E$2:H$14,3,)</f>
        <v>20Other</v>
      </c>
      <c r="O2524" t="str">
        <f>VLOOKUP(M2524,LUTs!E$2:H$14,4,)</f>
        <v>07Non Puget Sound</v>
      </c>
      <c r="P2524" s="73">
        <v>10.1911764705882</v>
      </c>
      <c r="Q2524" s="74">
        <f>VLOOKUP(B2524,Readme!A$40:C$51,2,)*P2524</f>
        <v>35.057647058823406</v>
      </c>
    </row>
    <row r="2525" spans="1:17" ht="12" customHeight="1" x14ac:dyDescent="0.35">
      <c r="A2525" s="75">
        <v>2524</v>
      </c>
      <c r="B2525" s="64">
        <v>2017</v>
      </c>
      <c r="C2525" s="64">
        <v>10</v>
      </c>
      <c r="D2525" s="80">
        <f t="shared" si="81"/>
        <v>2017</v>
      </c>
      <c r="E2525" t="s">
        <v>38</v>
      </c>
      <c r="F2525" t="s">
        <v>143</v>
      </c>
      <c r="G2525" t="s">
        <v>10</v>
      </c>
      <c r="H2525" s="72">
        <v>738</v>
      </c>
      <c r="I2525" s="72" t="s">
        <v>43</v>
      </c>
      <c r="J2525" t="str">
        <f t="shared" si="82"/>
        <v>Dungeness River</v>
      </c>
      <c r="K2525" t="str">
        <f>IFERROR(VLOOKUP(J2525,LUTs!$A$1:$C$73,2,FALSE),"NA")</f>
        <v>Clallam</v>
      </c>
      <c r="L2525" t="str">
        <f>IFERROR(VLOOKUP(J2525,LUTs!$A$1:$C$73,3,FALSE),"NA")</f>
        <v>0Strait of Juan de Fuca</v>
      </c>
      <c r="M2525" s="72" t="s">
        <v>20</v>
      </c>
      <c r="N2525" t="str">
        <f>VLOOKUP(M2525,LUTs!E$2:H$14,3,)</f>
        <v>07Pierce</v>
      </c>
      <c r="O2525" t="str">
        <f>VLOOKUP(M2525,LUTs!E$2:H$14,4,)</f>
        <v>02South Puget Sound</v>
      </c>
      <c r="P2525" s="73">
        <v>10.1911764705882</v>
      </c>
      <c r="Q2525" s="74">
        <f>VLOOKUP(B2525,Readme!A$40:C$51,2,)*P2525</f>
        <v>35.057647058823406</v>
      </c>
    </row>
    <row r="2526" spans="1:17" ht="12" customHeight="1" x14ac:dyDescent="0.35">
      <c r="A2526" s="75">
        <v>2525</v>
      </c>
      <c r="B2526" s="64">
        <v>2017</v>
      </c>
      <c r="C2526" s="64">
        <v>11</v>
      </c>
      <c r="D2526" s="80">
        <f t="shared" si="81"/>
        <v>2017</v>
      </c>
      <c r="E2526" t="s">
        <v>38</v>
      </c>
      <c r="F2526" t="s">
        <v>143</v>
      </c>
      <c r="G2526" t="s">
        <v>10</v>
      </c>
      <c r="H2526" s="72">
        <v>738</v>
      </c>
      <c r="I2526" s="72" t="s">
        <v>43</v>
      </c>
      <c r="J2526" t="str">
        <f t="shared" si="82"/>
        <v>Dungeness River</v>
      </c>
      <c r="K2526" t="str">
        <f>IFERROR(VLOOKUP(J2526,LUTs!$A$1:$C$73,2,FALSE),"NA")</f>
        <v>Clallam</v>
      </c>
      <c r="L2526" t="str">
        <f>IFERROR(VLOOKUP(J2526,LUTs!$A$1:$C$73,3,FALSE),"NA")</f>
        <v>0Strait of Juan de Fuca</v>
      </c>
      <c r="M2526" s="72" t="s">
        <v>24</v>
      </c>
      <c r="N2526" t="str">
        <f>VLOOKUP(M2526,LUTs!E$2:H$14,3,)</f>
        <v>11Clallam</v>
      </c>
      <c r="O2526" t="str">
        <f>VLOOKUP(M2526,LUTs!E$2:H$14,4,)</f>
        <v>03Strait of Juan de Fuca</v>
      </c>
      <c r="P2526" s="73">
        <v>234.87878787878799</v>
      </c>
      <c r="Q2526" s="74">
        <f>VLOOKUP(B2526,Readme!A$40:C$51,2,)*P2526</f>
        <v>807.98303030303066</v>
      </c>
    </row>
    <row r="2527" spans="1:17" ht="12" customHeight="1" x14ac:dyDescent="0.35">
      <c r="A2527" s="75">
        <v>2526</v>
      </c>
      <c r="B2527" s="64">
        <v>2017</v>
      </c>
      <c r="C2527" s="64">
        <v>11</v>
      </c>
      <c r="D2527" s="80">
        <f t="shared" si="81"/>
        <v>2017</v>
      </c>
      <c r="E2527" t="s">
        <v>38</v>
      </c>
      <c r="F2527" t="s">
        <v>143</v>
      </c>
      <c r="G2527" t="s">
        <v>10</v>
      </c>
      <c r="H2527" s="72">
        <v>738</v>
      </c>
      <c r="I2527" s="72" t="s">
        <v>43</v>
      </c>
      <c r="J2527" t="str">
        <f t="shared" si="82"/>
        <v>Dungeness River</v>
      </c>
      <c r="K2527" t="str">
        <f>IFERROR(VLOOKUP(J2527,LUTs!$A$1:$C$73,2,FALSE),"NA")</f>
        <v>Clallam</v>
      </c>
      <c r="L2527" t="str">
        <f>IFERROR(VLOOKUP(J2527,LUTs!$A$1:$C$73,3,FALSE),"NA")</f>
        <v>0Strait of Juan de Fuca</v>
      </c>
      <c r="M2527" s="72" t="s">
        <v>25</v>
      </c>
      <c r="N2527" t="str">
        <f>VLOOKUP(M2527,LUTs!E$2:H$14,3,)</f>
        <v>12Jefferson</v>
      </c>
      <c r="O2527" t="str">
        <f>VLOOKUP(M2527,LUTs!E$2:H$14,4,)</f>
        <v>03Strait of Juan de Fuca</v>
      </c>
      <c r="P2527" s="73">
        <v>20.424242424242401</v>
      </c>
      <c r="Q2527" s="74">
        <f>VLOOKUP(B2527,Readme!A$40:C$51,2,)*P2527</f>
        <v>70.25939393939386</v>
      </c>
    </row>
    <row r="2528" spans="1:17" ht="12" customHeight="1" x14ac:dyDescent="0.35">
      <c r="A2528" s="75">
        <v>2527</v>
      </c>
      <c r="B2528" s="64">
        <v>2017</v>
      </c>
      <c r="C2528" s="64">
        <v>11</v>
      </c>
      <c r="D2528" s="80">
        <f t="shared" si="81"/>
        <v>2017</v>
      </c>
      <c r="E2528" t="s">
        <v>38</v>
      </c>
      <c r="F2528" t="s">
        <v>143</v>
      </c>
      <c r="G2528" t="s">
        <v>10</v>
      </c>
      <c r="H2528" s="72">
        <v>738</v>
      </c>
      <c r="I2528" s="72" t="s">
        <v>43</v>
      </c>
      <c r="J2528" t="str">
        <f t="shared" si="82"/>
        <v>Dungeness River</v>
      </c>
      <c r="K2528" t="str">
        <f>IFERROR(VLOOKUP(J2528,LUTs!$A$1:$C$73,2,FALSE),"NA")</f>
        <v>Clallam</v>
      </c>
      <c r="L2528" t="str">
        <f>IFERROR(VLOOKUP(J2528,LUTs!$A$1:$C$73,3,FALSE),"NA")</f>
        <v>0Strait of Juan de Fuca</v>
      </c>
      <c r="M2528" s="72" t="s">
        <v>18</v>
      </c>
      <c r="N2528" t="str">
        <f>VLOOKUP(M2528,LUTs!E$2:H$14,3,)</f>
        <v>06King</v>
      </c>
      <c r="O2528" t="str">
        <f>VLOOKUP(M2528,LUTs!E$2:H$14,4,)</f>
        <v>02South Puget Sound</v>
      </c>
      <c r="P2528" s="73">
        <v>81.696969696969703</v>
      </c>
      <c r="Q2528" s="74">
        <f>VLOOKUP(B2528,Readme!A$40:C$51,2,)*P2528</f>
        <v>281.03757575757578</v>
      </c>
    </row>
    <row r="2529" spans="1:17" ht="12" customHeight="1" x14ac:dyDescent="0.35">
      <c r="A2529" s="75">
        <v>2528</v>
      </c>
      <c r="B2529" s="64">
        <v>2017</v>
      </c>
      <c r="C2529" s="64">
        <v>12</v>
      </c>
      <c r="D2529" s="80">
        <f t="shared" si="81"/>
        <v>2017</v>
      </c>
      <c r="E2529" t="s">
        <v>38</v>
      </c>
      <c r="F2529" t="s">
        <v>143</v>
      </c>
      <c r="G2529" t="s">
        <v>10</v>
      </c>
      <c r="H2529" s="72">
        <v>738</v>
      </c>
      <c r="I2529" s="72" t="s">
        <v>43</v>
      </c>
      <c r="J2529" t="str">
        <f t="shared" si="82"/>
        <v>Dungeness River</v>
      </c>
      <c r="K2529" t="str">
        <f>IFERROR(VLOOKUP(J2529,LUTs!$A$1:$C$73,2,FALSE),"NA")</f>
        <v>Clallam</v>
      </c>
      <c r="L2529" t="str">
        <f>IFERROR(VLOOKUP(J2529,LUTs!$A$1:$C$73,3,FALSE),"NA")</f>
        <v>0Strait of Juan de Fuca</v>
      </c>
      <c r="M2529" s="72" t="s">
        <v>24</v>
      </c>
      <c r="N2529" t="str">
        <f>VLOOKUP(M2529,LUTs!E$2:H$14,3,)</f>
        <v>11Clallam</v>
      </c>
      <c r="O2529" t="str">
        <f>VLOOKUP(M2529,LUTs!E$2:H$14,4,)</f>
        <v>03Strait of Juan de Fuca</v>
      </c>
      <c r="P2529" s="73">
        <v>10</v>
      </c>
      <c r="Q2529" s="74">
        <f>VLOOKUP(B2529,Readme!A$40:C$51,2,)*P2529</f>
        <v>34.4</v>
      </c>
    </row>
    <row r="2530" spans="1:17" ht="12" customHeight="1" x14ac:dyDescent="0.35">
      <c r="A2530" s="75">
        <v>2529</v>
      </c>
      <c r="B2530" s="64">
        <v>2017</v>
      </c>
      <c r="C2530" s="64">
        <v>8</v>
      </c>
      <c r="D2530" s="80">
        <f t="shared" si="81"/>
        <v>2017</v>
      </c>
      <c r="E2530" t="s">
        <v>38</v>
      </c>
      <c r="F2530" t="s">
        <v>143</v>
      </c>
      <c r="G2530" t="s">
        <v>10</v>
      </c>
      <c r="H2530" s="72">
        <v>746</v>
      </c>
      <c r="I2530" s="72" t="s">
        <v>45</v>
      </c>
      <c r="J2530" t="str">
        <f t="shared" si="82"/>
        <v>Green - Duwamish River</v>
      </c>
      <c r="K2530" t="str">
        <f>IFERROR(VLOOKUP(J2530,LUTs!$A$1:$C$73,2,FALSE),"NA")</f>
        <v>King</v>
      </c>
      <c r="L2530" t="str">
        <f>IFERROR(VLOOKUP(J2530,LUTs!$A$1:$C$73,3,FALSE),"NA")</f>
        <v>3South Puget Sound</v>
      </c>
      <c r="M2530" s="72" t="s">
        <v>18</v>
      </c>
      <c r="N2530" t="str">
        <f>VLOOKUP(M2530,LUTs!E$2:H$14,3,)</f>
        <v>06King</v>
      </c>
      <c r="O2530" t="str">
        <f>VLOOKUP(M2530,LUTs!E$2:H$14,4,)</f>
        <v>02South Puget Sound</v>
      </c>
      <c r="P2530" s="73">
        <v>818.94656488549595</v>
      </c>
      <c r="Q2530" s="74">
        <f>VLOOKUP(B2530,Readme!A$40:C$51,2,)*P2530</f>
        <v>2817.1761832061061</v>
      </c>
    </row>
    <row r="2531" spans="1:17" ht="12" customHeight="1" x14ac:dyDescent="0.35">
      <c r="A2531" s="75">
        <v>2530</v>
      </c>
      <c r="B2531" s="64">
        <v>2017</v>
      </c>
      <c r="C2531" s="64">
        <v>8</v>
      </c>
      <c r="D2531" s="80">
        <f t="shared" si="81"/>
        <v>2017</v>
      </c>
      <c r="E2531" t="s">
        <v>38</v>
      </c>
      <c r="F2531" t="s">
        <v>143</v>
      </c>
      <c r="G2531" t="s">
        <v>10</v>
      </c>
      <c r="H2531" s="72">
        <v>746</v>
      </c>
      <c r="I2531" s="72" t="s">
        <v>45</v>
      </c>
      <c r="J2531" t="str">
        <f t="shared" si="82"/>
        <v>Green - Duwamish River</v>
      </c>
      <c r="K2531" t="str">
        <f>IFERROR(VLOOKUP(J2531,LUTs!$A$1:$C$73,2,FALSE),"NA")</f>
        <v>King</v>
      </c>
      <c r="L2531" t="str">
        <f>IFERROR(VLOOKUP(J2531,LUTs!$A$1:$C$73,3,FALSE),"NA")</f>
        <v>3South Puget Sound</v>
      </c>
      <c r="M2531" s="72" t="s">
        <v>26</v>
      </c>
      <c r="N2531" t="str">
        <f>VLOOKUP(M2531,LUTs!E$2:H$14,3,)</f>
        <v>20Other</v>
      </c>
      <c r="O2531" t="str">
        <f>VLOOKUP(M2531,LUTs!E$2:H$14,4,)</f>
        <v>07Non Puget Sound</v>
      </c>
      <c r="P2531" s="73">
        <v>383.55725190839701</v>
      </c>
      <c r="Q2531" s="74">
        <f>VLOOKUP(B2531,Readme!A$40:C$51,2,)*P2531</f>
        <v>1319.4369465648856</v>
      </c>
    </row>
    <row r="2532" spans="1:17" ht="12" customHeight="1" x14ac:dyDescent="0.35">
      <c r="A2532" s="75">
        <v>2531</v>
      </c>
      <c r="B2532" s="64">
        <v>2017</v>
      </c>
      <c r="C2532" s="64">
        <v>8</v>
      </c>
      <c r="D2532" s="80">
        <f t="shared" si="81"/>
        <v>2017</v>
      </c>
      <c r="E2532" t="s">
        <v>38</v>
      </c>
      <c r="F2532" t="s">
        <v>143</v>
      </c>
      <c r="G2532" t="s">
        <v>10</v>
      </c>
      <c r="H2532" s="72">
        <v>746</v>
      </c>
      <c r="I2532" s="72" t="s">
        <v>45</v>
      </c>
      <c r="J2532" t="str">
        <f t="shared" si="82"/>
        <v>Green - Duwamish River</v>
      </c>
      <c r="K2532" t="str">
        <f>IFERROR(VLOOKUP(J2532,LUTs!$A$1:$C$73,2,FALSE),"NA")</f>
        <v>King</v>
      </c>
      <c r="L2532" t="str">
        <f>IFERROR(VLOOKUP(J2532,LUTs!$A$1:$C$73,3,FALSE),"NA")</f>
        <v>3South Puget Sound</v>
      </c>
      <c r="M2532" s="72" t="s">
        <v>20</v>
      </c>
      <c r="N2532" t="str">
        <f>VLOOKUP(M2532,LUTs!E$2:H$14,3,)</f>
        <v>07Pierce</v>
      </c>
      <c r="O2532" t="str">
        <f>VLOOKUP(M2532,LUTs!E$2:H$14,4,)</f>
        <v>02South Puget Sound</v>
      </c>
      <c r="P2532" s="73">
        <v>145.12977099236599</v>
      </c>
      <c r="Q2532" s="74">
        <f>VLOOKUP(B2532,Readme!A$40:C$51,2,)*P2532</f>
        <v>499.24641221373901</v>
      </c>
    </row>
    <row r="2533" spans="1:17" ht="12" customHeight="1" x14ac:dyDescent="0.35">
      <c r="A2533" s="75">
        <v>2532</v>
      </c>
      <c r="B2533" s="64">
        <v>2017</v>
      </c>
      <c r="C2533" s="64">
        <v>8</v>
      </c>
      <c r="D2533" s="80">
        <f t="shared" si="81"/>
        <v>2017</v>
      </c>
      <c r="E2533" t="s">
        <v>38</v>
      </c>
      <c r="F2533" t="s">
        <v>143</v>
      </c>
      <c r="G2533" t="s">
        <v>10</v>
      </c>
      <c r="H2533" s="72">
        <v>746</v>
      </c>
      <c r="I2533" s="72" t="s">
        <v>45</v>
      </c>
      <c r="J2533" t="str">
        <f t="shared" si="82"/>
        <v>Green - Duwamish River</v>
      </c>
      <c r="K2533" t="str">
        <f>IFERROR(VLOOKUP(J2533,LUTs!$A$1:$C$73,2,FALSE),"NA")</f>
        <v>King</v>
      </c>
      <c r="L2533" t="str">
        <f>IFERROR(VLOOKUP(J2533,LUTs!$A$1:$C$73,3,FALSE),"NA")</f>
        <v>3South Puget Sound</v>
      </c>
      <c r="M2533" s="72" t="s">
        <v>16</v>
      </c>
      <c r="N2533" t="str">
        <f>VLOOKUP(M2533,LUTs!E$2:H$14,3,)</f>
        <v>03Snohomish</v>
      </c>
      <c r="O2533" t="str">
        <f>VLOOKUP(M2533,LUTs!E$2:H$14,4,)</f>
        <v>01North Puget Sound</v>
      </c>
      <c r="P2533" s="73">
        <v>10.366412213740499</v>
      </c>
      <c r="Q2533" s="74">
        <f>VLOOKUP(B2533,Readme!A$40:C$51,2,)*P2533</f>
        <v>35.660458015267317</v>
      </c>
    </row>
    <row r="2534" spans="1:17" ht="12" customHeight="1" x14ac:dyDescent="0.35">
      <c r="A2534" s="75">
        <v>2533</v>
      </c>
      <c r="B2534" s="64">
        <v>2017</v>
      </c>
      <c r="C2534" s="64">
        <v>9</v>
      </c>
      <c r="D2534" s="80">
        <f t="shared" si="81"/>
        <v>2017</v>
      </c>
      <c r="E2534" t="s">
        <v>38</v>
      </c>
      <c r="F2534" t="s">
        <v>143</v>
      </c>
      <c r="G2534" t="s">
        <v>10</v>
      </c>
      <c r="H2534" s="72">
        <v>746</v>
      </c>
      <c r="I2534" s="72" t="s">
        <v>45</v>
      </c>
      <c r="J2534" t="str">
        <f t="shared" si="82"/>
        <v>Green - Duwamish River</v>
      </c>
      <c r="K2534" t="str">
        <f>IFERROR(VLOOKUP(J2534,LUTs!$A$1:$C$73,2,FALSE),"NA")</f>
        <v>King</v>
      </c>
      <c r="L2534" t="str">
        <f>IFERROR(VLOOKUP(J2534,LUTs!$A$1:$C$73,3,FALSE),"NA")</f>
        <v>3South Puget Sound</v>
      </c>
      <c r="M2534" s="72" t="s">
        <v>18</v>
      </c>
      <c r="N2534" t="str">
        <f>VLOOKUP(M2534,LUTs!E$2:H$14,3,)</f>
        <v>06King</v>
      </c>
      <c r="O2534" t="str">
        <f>VLOOKUP(M2534,LUTs!E$2:H$14,4,)</f>
        <v>02South Puget Sound</v>
      </c>
      <c r="P2534" s="73">
        <v>3766.4643678160901</v>
      </c>
      <c r="Q2534" s="74">
        <f>VLOOKUP(B2534,Readme!A$40:C$51,2,)*P2534</f>
        <v>12956.63742528735</v>
      </c>
    </row>
    <row r="2535" spans="1:17" ht="12" customHeight="1" x14ac:dyDescent="0.35">
      <c r="A2535" s="75">
        <v>2534</v>
      </c>
      <c r="B2535" s="64">
        <v>2017</v>
      </c>
      <c r="C2535" s="64">
        <v>9</v>
      </c>
      <c r="D2535" s="80">
        <f t="shared" si="81"/>
        <v>2017</v>
      </c>
      <c r="E2535" t="s">
        <v>38</v>
      </c>
      <c r="F2535" t="s">
        <v>143</v>
      </c>
      <c r="G2535" t="s">
        <v>10</v>
      </c>
      <c r="H2535" s="72">
        <v>746</v>
      </c>
      <c r="I2535" s="72" t="s">
        <v>45</v>
      </c>
      <c r="J2535" t="str">
        <f t="shared" si="82"/>
        <v>Green - Duwamish River</v>
      </c>
      <c r="K2535" t="str">
        <f>IFERROR(VLOOKUP(J2535,LUTs!$A$1:$C$73,2,FALSE),"NA")</f>
        <v>King</v>
      </c>
      <c r="L2535" t="str">
        <f>IFERROR(VLOOKUP(J2535,LUTs!$A$1:$C$73,3,FALSE),"NA")</f>
        <v>3South Puget Sound</v>
      </c>
      <c r="M2535" s="72" t="s">
        <v>23</v>
      </c>
      <c r="N2535" t="str">
        <f>VLOOKUP(M2535,LUTs!E$2:H$14,3,)</f>
        <v>10Kitsap</v>
      </c>
      <c r="O2535" t="str">
        <f>VLOOKUP(M2535,LUTs!E$2:H$14,4,)</f>
        <v>02South Puget Sound</v>
      </c>
      <c r="P2535" s="73">
        <v>20.809195402298901</v>
      </c>
      <c r="Q2535" s="74">
        <f>VLOOKUP(B2535,Readme!A$40:C$51,2,)*P2535</f>
        <v>71.583632183908222</v>
      </c>
    </row>
    <row r="2536" spans="1:17" ht="12" customHeight="1" x14ac:dyDescent="0.35">
      <c r="A2536" s="75">
        <v>2535</v>
      </c>
      <c r="B2536" s="64">
        <v>2017</v>
      </c>
      <c r="C2536" s="64">
        <v>9</v>
      </c>
      <c r="D2536" s="80">
        <f t="shared" si="81"/>
        <v>2017</v>
      </c>
      <c r="E2536" t="s">
        <v>38</v>
      </c>
      <c r="F2536" t="s">
        <v>143</v>
      </c>
      <c r="G2536" t="s">
        <v>10</v>
      </c>
      <c r="H2536" s="72">
        <v>746</v>
      </c>
      <c r="I2536" s="72" t="s">
        <v>45</v>
      </c>
      <c r="J2536" t="str">
        <f t="shared" si="82"/>
        <v>Green - Duwamish River</v>
      </c>
      <c r="K2536" t="str">
        <f>IFERROR(VLOOKUP(J2536,LUTs!$A$1:$C$73,2,FALSE),"NA")</f>
        <v>King</v>
      </c>
      <c r="L2536" t="str">
        <f>IFERROR(VLOOKUP(J2536,LUTs!$A$1:$C$73,3,FALSE),"NA")</f>
        <v>3South Puget Sound</v>
      </c>
      <c r="M2536" s="72" t="s">
        <v>26</v>
      </c>
      <c r="N2536" t="str">
        <f>VLOOKUP(M2536,LUTs!E$2:H$14,3,)</f>
        <v>20Other</v>
      </c>
      <c r="O2536" t="str">
        <f>VLOOKUP(M2536,LUTs!E$2:H$14,4,)</f>
        <v>07Non Puget Sound</v>
      </c>
      <c r="P2536" s="73">
        <v>249.710344827586</v>
      </c>
      <c r="Q2536" s="74">
        <f>VLOOKUP(B2536,Readme!A$40:C$51,2,)*P2536</f>
        <v>859.00358620689587</v>
      </c>
    </row>
    <row r="2537" spans="1:17" ht="12" customHeight="1" x14ac:dyDescent="0.35">
      <c r="A2537" s="75">
        <v>2536</v>
      </c>
      <c r="B2537" s="64">
        <v>2017</v>
      </c>
      <c r="C2537" s="64">
        <v>9</v>
      </c>
      <c r="D2537" s="80">
        <f t="shared" si="81"/>
        <v>2017</v>
      </c>
      <c r="E2537" t="s">
        <v>38</v>
      </c>
      <c r="F2537" t="s">
        <v>143</v>
      </c>
      <c r="G2537" t="s">
        <v>10</v>
      </c>
      <c r="H2537" s="72">
        <v>746</v>
      </c>
      <c r="I2537" s="72" t="s">
        <v>45</v>
      </c>
      <c r="J2537" t="str">
        <f t="shared" si="82"/>
        <v>Green - Duwamish River</v>
      </c>
      <c r="K2537" t="str">
        <f>IFERROR(VLOOKUP(J2537,LUTs!$A$1:$C$73,2,FALSE),"NA")</f>
        <v>King</v>
      </c>
      <c r="L2537" t="str">
        <f>IFERROR(VLOOKUP(J2537,LUTs!$A$1:$C$73,3,FALSE),"NA")</f>
        <v>3South Puget Sound</v>
      </c>
      <c r="M2537" s="72" t="s">
        <v>20</v>
      </c>
      <c r="N2537" t="str">
        <f>VLOOKUP(M2537,LUTs!E$2:H$14,3,)</f>
        <v>07Pierce</v>
      </c>
      <c r="O2537" t="str">
        <f>VLOOKUP(M2537,LUTs!E$2:H$14,4,)</f>
        <v>02South Puget Sound</v>
      </c>
      <c r="P2537" s="73">
        <v>374.56551724137898</v>
      </c>
      <c r="Q2537" s="74">
        <f>VLOOKUP(B2537,Readme!A$40:C$51,2,)*P2537</f>
        <v>1288.5053793103436</v>
      </c>
    </row>
    <row r="2538" spans="1:17" ht="12" customHeight="1" x14ac:dyDescent="0.35">
      <c r="A2538" s="75">
        <v>2537</v>
      </c>
      <c r="B2538" s="64">
        <v>2017</v>
      </c>
      <c r="C2538" s="64">
        <v>9</v>
      </c>
      <c r="D2538" s="80">
        <f t="shared" si="81"/>
        <v>2017</v>
      </c>
      <c r="E2538" t="s">
        <v>38</v>
      </c>
      <c r="F2538" t="s">
        <v>143</v>
      </c>
      <c r="G2538" t="s">
        <v>10</v>
      </c>
      <c r="H2538" s="72">
        <v>746</v>
      </c>
      <c r="I2538" s="72" t="s">
        <v>45</v>
      </c>
      <c r="J2538" t="str">
        <f t="shared" si="82"/>
        <v>Green - Duwamish River</v>
      </c>
      <c r="K2538" t="str">
        <f>IFERROR(VLOOKUP(J2538,LUTs!$A$1:$C$73,2,FALSE),"NA")</f>
        <v>King</v>
      </c>
      <c r="L2538" t="str">
        <f>IFERROR(VLOOKUP(J2538,LUTs!$A$1:$C$73,3,FALSE),"NA")</f>
        <v>3South Puget Sound</v>
      </c>
      <c r="M2538" s="72" t="s">
        <v>16</v>
      </c>
      <c r="N2538" t="str">
        <f>VLOOKUP(M2538,LUTs!E$2:H$14,3,)</f>
        <v>03Snohomish</v>
      </c>
      <c r="O2538" t="str">
        <f>VLOOKUP(M2538,LUTs!E$2:H$14,4,)</f>
        <v>01North Puget Sound</v>
      </c>
      <c r="P2538" s="73">
        <v>114.450574712644</v>
      </c>
      <c r="Q2538" s="74">
        <f>VLOOKUP(B2538,Readme!A$40:C$51,2,)*P2538</f>
        <v>393.70997701149537</v>
      </c>
    </row>
    <row r="2539" spans="1:17" ht="12" customHeight="1" x14ac:dyDescent="0.35">
      <c r="A2539" s="75">
        <v>2538</v>
      </c>
      <c r="B2539" s="64">
        <v>2017</v>
      </c>
      <c r="C2539" s="64">
        <v>10</v>
      </c>
      <c r="D2539" s="80">
        <f t="shared" si="81"/>
        <v>2017</v>
      </c>
      <c r="E2539" t="s">
        <v>38</v>
      </c>
      <c r="F2539" t="s">
        <v>143</v>
      </c>
      <c r="G2539" t="s">
        <v>10</v>
      </c>
      <c r="H2539" s="72">
        <v>746</v>
      </c>
      <c r="I2539" s="72" t="s">
        <v>45</v>
      </c>
      <c r="J2539" t="str">
        <f t="shared" si="82"/>
        <v>Green - Duwamish River</v>
      </c>
      <c r="K2539" t="str">
        <f>IFERROR(VLOOKUP(J2539,LUTs!$A$1:$C$73,2,FALSE),"NA")</f>
        <v>King</v>
      </c>
      <c r="L2539" t="str">
        <f>IFERROR(VLOOKUP(J2539,LUTs!$A$1:$C$73,3,FALSE),"NA")</f>
        <v>3South Puget Sound</v>
      </c>
      <c r="M2539" s="72" t="s">
        <v>18</v>
      </c>
      <c r="N2539" t="str">
        <f>VLOOKUP(M2539,LUTs!E$2:H$14,3,)</f>
        <v>06King</v>
      </c>
      <c r="O2539" t="str">
        <f>VLOOKUP(M2539,LUTs!E$2:H$14,4,)</f>
        <v>02South Puget Sound</v>
      </c>
      <c r="P2539" s="73">
        <v>2138.7366412213701</v>
      </c>
      <c r="Q2539" s="74">
        <f>VLOOKUP(B2539,Readme!A$40:C$51,2,)*P2539</f>
        <v>7357.2540458015128</v>
      </c>
    </row>
    <row r="2540" spans="1:17" ht="12" customHeight="1" x14ac:dyDescent="0.35">
      <c r="A2540" s="75">
        <v>2539</v>
      </c>
      <c r="B2540" s="64">
        <v>2017</v>
      </c>
      <c r="C2540" s="64">
        <v>10</v>
      </c>
      <c r="D2540" s="80">
        <f t="shared" si="81"/>
        <v>2017</v>
      </c>
      <c r="E2540" t="s">
        <v>38</v>
      </c>
      <c r="F2540" t="s">
        <v>143</v>
      </c>
      <c r="G2540" t="s">
        <v>10</v>
      </c>
      <c r="H2540" s="72">
        <v>746</v>
      </c>
      <c r="I2540" s="72" t="s">
        <v>45</v>
      </c>
      <c r="J2540" t="str">
        <f t="shared" si="82"/>
        <v>Green - Duwamish River</v>
      </c>
      <c r="K2540" t="str">
        <f>IFERROR(VLOOKUP(J2540,LUTs!$A$1:$C$73,2,FALSE),"NA")</f>
        <v>King</v>
      </c>
      <c r="L2540" t="str">
        <f>IFERROR(VLOOKUP(J2540,LUTs!$A$1:$C$73,3,FALSE),"NA")</f>
        <v>3South Puget Sound</v>
      </c>
      <c r="M2540" s="72" t="s">
        <v>26</v>
      </c>
      <c r="N2540" t="str">
        <f>VLOOKUP(M2540,LUTs!E$2:H$14,3,)</f>
        <v>20Other</v>
      </c>
      <c r="O2540" t="str">
        <f>VLOOKUP(M2540,LUTs!E$2:H$14,4,)</f>
        <v>07Non Puget Sound</v>
      </c>
      <c r="P2540" s="73">
        <v>72.324427480916</v>
      </c>
      <c r="Q2540" s="74">
        <f>VLOOKUP(B2540,Readme!A$40:C$51,2,)*P2540</f>
        <v>248.79603053435105</v>
      </c>
    </row>
    <row r="2541" spans="1:17" ht="12" customHeight="1" x14ac:dyDescent="0.35">
      <c r="A2541" s="75">
        <v>2540</v>
      </c>
      <c r="B2541" s="64">
        <v>2017</v>
      </c>
      <c r="C2541" s="64">
        <v>10</v>
      </c>
      <c r="D2541" s="80">
        <f t="shared" si="81"/>
        <v>2017</v>
      </c>
      <c r="E2541" t="s">
        <v>38</v>
      </c>
      <c r="F2541" t="s">
        <v>143</v>
      </c>
      <c r="G2541" t="s">
        <v>10</v>
      </c>
      <c r="H2541" s="72">
        <v>746</v>
      </c>
      <c r="I2541" s="72" t="s">
        <v>45</v>
      </c>
      <c r="J2541" t="str">
        <f t="shared" si="82"/>
        <v>Green - Duwamish River</v>
      </c>
      <c r="K2541" t="str">
        <f>IFERROR(VLOOKUP(J2541,LUTs!$A$1:$C$73,2,FALSE),"NA")</f>
        <v>King</v>
      </c>
      <c r="L2541" t="str">
        <f>IFERROR(VLOOKUP(J2541,LUTs!$A$1:$C$73,3,FALSE),"NA")</f>
        <v>3South Puget Sound</v>
      </c>
      <c r="M2541" s="72" t="s">
        <v>20</v>
      </c>
      <c r="N2541" t="str">
        <f>VLOOKUP(M2541,LUTs!E$2:H$14,3,)</f>
        <v>07Pierce</v>
      </c>
      <c r="O2541" t="str">
        <f>VLOOKUP(M2541,LUTs!E$2:H$14,4,)</f>
        <v>02South Puget Sound</v>
      </c>
      <c r="P2541" s="73">
        <v>454.610687022901</v>
      </c>
      <c r="Q2541" s="74">
        <f>VLOOKUP(B2541,Readme!A$40:C$51,2,)*P2541</f>
        <v>1563.8607633587794</v>
      </c>
    </row>
    <row r="2542" spans="1:17" ht="12" customHeight="1" x14ac:dyDescent="0.35">
      <c r="A2542" s="75">
        <v>2541</v>
      </c>
      <c r="B2542" s="64">
        <v>2017</v>
      </c>
      <c r="C2542" s="64">
        <v>10</v>
      </c>
      <c r="D2542" s="80">
        <f t="shared" si="81"/>
        <v>2017</v>
      </c>
      <c r="E2542" t="s">
        <v>38</v>
      </c>
      <c r="F2542" t="s">
        <v>143</v>
      </c>
      <c r="G2542" t="s">
        <v>10</v>
      </c>
      <c r="H2542" s="72">
        <v>746</v>
      </c>
      <c r="I2542" s="72" t="s">
        <v>45</v>
      </c>
      <c r="J2542" t="str">
        <f t="shared" si="82"/>
        <v>Green - Duwamish River</v>
      </c>
      <c r="K2542" t="str">
        <f>IFERROR(VLOOKUP(J2542,LUTs!$A$1:$C$73,2,FALSE),"NA")</f>
        <v>King</v>
      </c>
      <c r="L2542" t="str">
        <f>IFERROR(VLOOKUP(J2542,LUTs!$A$1:$C$73,3,FALSE),"NA")</f>
        <v>3South Puget Sound</v>
      </c>
      <c r="M2542" s="72" t="s">
        <v>16</v>
      </c>
      <c r="N2542" t="str">
        <f>VLOOKUP(M2542,LUTs!E$2:H$14,3,)</f>
        <v>03Snohomish</v>
      </c>
      <c r="O2542" t="str">
        <f>VLOOKUP(M2542,LUTs!E$2:H$14,4,)</f>
        <v>01North Puget Sound</v>
      </c>
      <c r="P2542" s="73">
        <v>41.328244274809201</v>
      </c>
      <c r="Q2542" s="74">
        <f>VLOOKUP(B2542,Readme!A$40:C$51,2,)*P2542</f>
        <v>142.16916030534364</v>
      </c>
    </row>
    <row r="2543" spans="1:17" ht="12" customHeight="1" x14ac:dyDescent="0.35">
      <c r="A2543" s="75">
        <v>2542</v>
      </c>
      <c r="B2543" s="64">
        <v>2017</v>
      </c>
      <c r="C2543" s="64">
        <v>11</v>
      </c>
      <c r="D2543" s="80">
        <f t="shared" si="81"/>
        <v>2017</v>
      </c>
      <c r="E2543" t="s">
        <v>38</v>
      </c>
      <c r="F2543" t="s">
        <v>143</v>
      </c>
      <c r="G2543" t="s">
        <v>10</v>
      </c>
      <c r="H2543" s="72">
        <v>746</v>
      </c>
      <c r="I2543" s="72" t="s">
        <v>45</v>
      </c>
      <c r="J2543" t="str">
        <f t="shared" si="82"/>
        <v>Green - Duwamish River</v>
      </c>
      <c r="K2543" t="str">
        <f>IFERROR(VLOOKUP(J2543,LUTs!$A$1:$C$73,2,FALSE),"NA")</f>
        <v>King</v>
      </c>
      <c r="L2543" t="str">
        <f>IFERROR(VLOOKUP(J2543,LUTs!$A$1:$C$73,3,FALSE),"NA")</f>
        <v>3South Puget Sound</v>
      </c>
      <c r="M2543" s="72" t="s">
        <v>18</v>
      </c>
      <c r="N2543" t="str">
        <f>VLOOKUP(M2543,LUTs!E$2:H$14,3,)</f>
        <v>06King</v>
      </c>
      <c r="O2543" t="str">
        <f>VLOOKUP(M2543,LUTs!E$2:H$14,4,)</f>
        <v>02South Puget Sound</v>
      </c>
      <c r="P2543" s="73">
        <v>278.77499999999998</v>
      </c>
      <c r="Q2543" s="74">
        <f>VLOOKUP(B2543,Readme!A$40:C$51,2,)*P2543</f>
        <v>958.98599999999988</v>
      </c>
    </row>
    <row r="2544" spans="1:17" ht="12" customHeight="1" x14ac:dyDescent="0.35">
      <c r="A2544" s="75">
        <v>2543</v>
      </c>
      <c r="B2544" s="64">
        <v>2017</v>
      </c>
      <c r="C2544" s="64">
        <v>11</v>
      </c>
      <c r="D2544" s="80">
        <f t="shared" si="81"/>
        <v>2017</v>
      </c>
      <c r="E2544" t="s">
        <v>38</v>
      </c>
      <c r="F2544" t="s">
        <v>143</v>
      </c>
      <c r="G2544" t="s">
        <v>10</v>
      </c>
      <c r="H2544" s="72">
        <v>746</v>
      </c>
      <c r="I2544" s="72" t="s">
        <v>45</v>
      </c>
      <c r="J2544" t="str">
        <f t="shared" si="82"/>
        <v>Green - Duwamish River</v>
      </c>
      <c r="K2544" t="str">
        <f>IFERROR(VLOOKUP(J2544,LUTs!$A$1:$C$73,2,FALSE),"NA")</f>
        <v>King</v>
      </c>
      <c r="L2544" t="str">
        <f>IFERROR(VLOOKUP(J2544,LUTs!$A$1:$C$73,3,FALSE),"NA")</f>
        <v>3South Puget Sound</v>
      </c>
      <c r="M2544" s="72" t="s">
        <v>26</v>
      </c>
      <c r="N2544" t="str">
        <f>VLOOKUP(M2544,LUTs!E$2:H$14,3,)</f>
        <v>20Other</v>
      </c>
      <c r="O2544" t="str">
        <f>VLOOKUP(M2544,LUTs!E$2:H$14,4,)</f>
        <v>07Non Puget Sound</v>
      </c>
      <c r="P2544" s="73">
        <v>51.625</v>
      </c>
      <c r="Q2544" s="74">
        <f>VLOOKUP(B2544,Readme!A$40:C$51,2,)*P2544</f>
        <v>177.59</v>
      </c>
    </row>
    <row r="2545" spans="1:17" ht="12" customHeight="1" x14ac:dyDescent="0.35">
      <c r="A2545" s="75">
        <v>2544</v>
      </c>
      <c r="B2545" s="64">
        <v>2017</v>
      </c>
      <c r="C2545" s="64">
        <v>11</v>
      </c>
      <c r="D2545" s="80">
        <f t="shared" si="81"/>
        <v>2017</v>
      </c>
      <c r="E2545" t="s">
        <v>38</v>
      </c>
      <c r="F2545" t="s">
        <v>143</v>
      </c>
      <c r="G2545" t="s">
        <v>10</v>
      </c>
      <c r="H2545" s="72">
        <v>746</v>
      </c>
      <c r="I2545" s="72" t="s">
        <v>45</v>
      </c>
      <c r="J2545" t="str">
        <f t="shared" si="82"/>
        <v>Green - Duwamish River</v>
      </c>
      <c r="K2545" t="str">
        <f>IFERROR(VLOOKUP(J2545,LUTs!$A$1:$C$73,2,FALSE),"NA")</f>
        <v>King</v>
      </c>
      <c r="L2545" t="str">
        <f>IFERROR(VLOOKUP(J2545,LUTs!$A$1:$C$73,3,FALSE),"NA")</f>
        <v>3South Puget Sound</v>
      </c>
      <c r="M2545" s="72" t="s">
        <v>20</v>
      </c>
      <c r="N2545" t="str">
        <f>VLOOKUP(M2545,LUTs!E$2:H$14,3,)</f>
        <v>07Pierce</v>
      </c>
      <c r="O2545" t="str">
        <f>VLOOKUP(M2545,LUTs!E$2:H$14,4,)</f>
        <v>02South Puget Sound</v>
      </c>
      <c r="P2545" s="73">
        <v>82.6</v>
      </c>
      <c r="Q2545" s="74">
        <f>VLOOKUP(B2545,Readme!A$40:C$51,2,)*P2545</f>
        <v>284.14399999999995</v>
      </c>
    </row>
    <row r="2546" spans="1:17" ht="12" customHeight="1" x14ac:dyDescent="0.35">
      <c r="A2546" s="75">
        <v>2545</v>
      </c>
      <c r="B2546" s="64">
        <v>2017</v>
      </c>
      <c r="C2546" s="64">
        <v>10</v>
      </c>
      <c r="D2546" s="80">
        <f t="shared" si="81"/>
        <v>2017</v>
      </c>
      <c r="E2546" t="s">
        <v>38</v>
      </c>
      <c r="F2546" t="s">
        <v>143</v>
      </c>
      <c r="G2546" t="s">
        <v>10</v>
      </c>
      <c r="H2546" s="72">
        <v>754</v>
      </c>
      <c r="I2546" s="72" t="s">
        <v>47</v>
      </c>
      <c r="J2546" t="str">
        <f t="shared" si="82"/>
        <v>Kennedy Creek</v>
      </c>
      <c r="K2546" t="str">
        <f>IFERROR(VLOOKUP(J2546,LUTs!$A$1:$C$73,2,FALSE),"NA")</f>
        <v>Mason/Thurston</v>
      </c>
      <c r="L2546" t="str">
        <f>IFERROR(VLOOKUP(J2546,LUTs!$A$1:$C$73,3,FALSE),"NA")</f>
        <v>3South Puget Sound</v>
      </c>
      <c r="M2546" s="72" t="s">
        <v>20</v>
      </c>
      <c r="N2546" t="str">
        <f>VLOOKUP(M2546,LUTs!E$2:H$14,3,)</f>
        <v>07Pierce</v>
      </c>
      <c r="O2546" t="str">
        <f>VLOOKUP(M2546,LUTs!E$2:H$14,4,)</f>
        <v>02South Puget Sound</v>
      </c>
      <c r="P2546" s="73">
        <v>25</v>
      </c>
      <c r="Q2546" s="74">
        <f>VLOOKUP(B2546,Readme!A$40:C$51,2,)*P2546</f>
        <v>86</v>
      </c>
    </row>
    <row r="2547" spans="1:17" ht="12" customHeight="1" x14ac:dyDescent="0.35">
      <c r="A2547" s="75">
        <v>2546</v>
      </c>
      <c r="B2547" s="64">
        <v>2017</v>
      </c>
      <c r="C2547" s="64">
        <v>11</v>
      </c>
      <c r="D2547" s="80">
        <f t="shared" si="81"/>
        <v>2017</v>
      </c>
      <c r="E2547" t="s">
        <v>38</v>
      </c>
      <c r="F2547" t="s">
        <v>143</v>
      </c>
      <c r="G2547" t="s">
        <v>10</v>
      </c>
      <c r="H2547" s="72">
        <v>754</v>
      </c>
      <c r="I2547" s="72" t="s">
        <v>47</v>
      </c>
      <c r="J2547" t="str">
        <f t="shared" si="82"/>
        <v>Kennedy Creek</v>
      </c>
      <c r="K2547" t="str">
        <f>IFERROR(VLOOKUP(J2547,LUTs!$A$1:$C$73,2,FALSE),"NA")</f>
        <v>Mason/Thurston</v>
      </c>
      <c r="L2547" t="str">
        <f>IFERROR(VLOOKUP(J2547,LUTs!$A$1:$C$73,3,FALSE),"NA")</f>
        <v>3South Puget Sound</v>
      </c>
      <c r="M2547" s="72" t="s">
        <v>22</v>
      </c>
      <c r="N2547" t="str">
        <f>VLOOKUP(M2547,LUTs!E$2:H$14,3,)</f>
        <v>09Mason</v>
      </c>
      <c r="O2547" t="str">
        <f>VLOOKUP(M2547,LUTs!E$2:H$14,4,)</f>
        <v>02South Puget Sound</v>
      </c>
      <c r="P2547" s="73">
        <v>24.6666666666667</v>
      </c>
      <c r="Q2547" s="74">
        <f>VLOOKUP(B2547,Readme!A$40:C$51,2,)*P2547</f>
        <v>84.853333333333453</v>
      </c>
    </row>
    <row r="2548" spans="1:17" ht="12" customHeight="1" x14ac:dyDescent="0.35">
      <c r="A2548" s="75">
        <v>2547</v>
      </c>
      <c r="B2548" s="64">
        <v>2017</v>
      </c>
      <c r="C2548" s="64">
        <v>11</v>
      </c>
      <c r="D2548" s="80">
        <f t="shared" si="81"/>
        <v>2017</v>
      </c>
      <c r="E2548" t="s">
        <v>38</v>
      </c>
      <c r="F2548" t="s">
        <v>143</v>
      </c>
      <c r="G2548" t="s">
        <v>10</v>
      </c>
      <c r="H2548" s="72">
        <v>754</v>
      </c>
      <c r="I2548" s="72" t="s">
        <v>47</v>
      </c>
      <c r="J2548" t="str">
        <f t="shared" si="82"/>
        <v>Kennedy Creek</v>
      </c>
      <c r="K2548" t="str">
        <f>IFERROR(VLOOKUP(J2548,LUTs!$A$1:$C$73,2,FALSE),"NA")</f>
        <v>Mason/Thurston</v>
      </c>
      <c r="L2548" t="str">
        <f>IFERROR(VLOOKUP(J2548,LUTs!$A$1:$C$73,3,FALSE),"NA")</f>
        <v>3South Puget Sound</v>
      </c>
      <c r="M2548" s="72" t="s">
        <v>20</v>
      </c>
      <c r="N2548" t="str">
        <f>VLOOKUP(M2548,LUTs!E$2:H$14,3,)</f>
        <v>07Pierce</v>
      </c>
      <c r="O2548" t="str">
        <f>VLOOKUP(M2548,LUTs!E$2:H$14,4,)</f>
        <v>02South Puget Sound</v>
      </c>
      <c r="P2548" s="73">
        <v>12.3333333333333</v>
      </c>
      <c r="Q2548" s="74">
        <f>VLOOKUP(B2548,Readme!A$40:C$51,2,)*P2548</f>
        <v>42.426666666666549</v>
      </c>
    </row>
    <row r="2549" spans="1:17" ht="12" customHeight="1" x14ac:dyDescent="0.35">
      <c r="A2549" s="75">
        <v>2548</v>
      </c>
      <c r="B2549" s="64">
        <v>2017</v>
      </c>
      <c r="C2549" s="64">
        <v>9</v>
      </c>
      <c r="D2549" s="80">
        <f t="shared" si="81"/>
        <v>2017</v>
      </c>
      <c r="E2549" t="s">
        <v>38</v>
      </c>
      <c r="F2549" t="s">
        <v>143</v>
      </c>
      <c r="G2549" t="s">
        <v>10</v>
      </c>
      <c r="H2549" s="72">
        <v>762</v>
      </c>
      <c r="I2549" s="72" t="s">
        <v>48</v>
      </c>
      <c r="J2549" t="str">
        <f t="shared" si="82"/>
        <v>Lake Washington</v>
      </c>
      <c r="K2549" t="str">
        <f>IFERROR(VLOOKUP(J2549,LUTs!$A$1:$C$73,2,FALSE),"NA")</f>
        <v>King</v>
      </c>
      <c r="L2549" t="str">
        <f>IFERROR(VLOOKUP(J2549,LUTs!$A$1:$C$73,3,FALSE),"NA")</f>
        <v>2Central Puget Sound</v>
      </c>
      <c r="M2549" s="72" t="s">
        <v>18</v>
      </c>
      <c r="N2549" t="str">
        <f>VLOOKUP(M2549,LUTs!E$2:H$14,3,)</f>
        <v>06King</v>
      </c>
      <c r="O2549" t="str">
        <f>VLOOKUP(M2549,LUTs!E$2:H$14,4,)</f>
        <v>02South Puget Sound</v>
      </c>
      <c r="P2549" s="73">
        <v>184.78260869565199</v>
      </c>
      <c r="Q2549" s="74">
        <f>VLOOKUP(B2549,Readme!A$40:C$51,2,)*P2549</f>
        <v>635.65217391304282</v>
      </c>
    </row>
    <row r="2550" spans="1:17" ht="12" customHeight="1" x14ac:dyDescent="0.35">
      <c r="A2550" s="75">
        <v>2549</v>
      </c>
      <c r="B2550" s="64">
        <v>2017</v>
      </c>
      <c r="C2550" s="64">
        <v>9</v>
      </c>
      <c r="D2550" s="80">
        <f t="shared" si="81"/>
        <v>2017</v>
      </c>
      <c r="E2550" t="s">
        <v>38</v>
      </c>
      <c r="F2550" t="s">
        <v>143</v>
      </c>
      <c r="G2550" t="s">
        <v>10</v>
      </c>
      <c r="H2550" s="72">
        <v>762</v>
      </c>
      <c r="I2550" s="72" t="s">
        <v>48</v>
      </c>
      <c r="J2550" t="str">
        <f t="shared" si="82"/>
        <v>Lake Washington</v>
      </c>
      <c r="K2550" t="str">
        <f>IFERROR(VLOOKUP(J2550,LUTs!$A$1:$C$73,2,FALSE),"NA")</f>
        <v>King</v>
      </c>
      <c r="L2550" t="str">
        <f>IFERROR(VLOOKUP(J2550,LUTs!$A$1:$C$73,3,FALSE),"NA")</f>
        <v>2Central Puget Sound</v>
      </c>
      <c r="M2550" s="72" t="s">
        <v>16</v>
      </c>
      <c r="N2550" t="str">
        <f>VLOOKUP(M2550,LUTs!E$2:H$14,3,)</f>
        <v>03Snohomish</v>
      </c>
      <c r="O2550" t="str">
        <f>VLOOKUP(M2550,LUTs!E$2:H$14,4,)</f>
        <v>01North Puget Sound</v>
      </c>
      <c r="P2550" s="73">
        <v>65.2173913043478</v>
      </c>
      <c r="Q2550" s="74">
        <f>VLOOKUP(B2550,Readme!A$40:C$51,2,)*P2550</f>
        <v>224.34782608695642</v>
      </c>
    </row>
    <row r="2551" spans="1:17" ht="12" customHeight="1" x14ac:dyDescent="0.35">
      <c r="A2551" s="75">
        <v>2550</v>
      </c>
      <c r="B2551" s="64">
        <v>2017</v>
      </c>
      <c r="C2551" s="64">
        <v>10</v>
      </c>
      <c r="D2551" s="80">
        <f t="shared" si="81"/>
        <v>2017</v>
      </c>
      <c r="E2551" t="s">
        <v>38</v>
      </c>
      <c r="F2551" t="s">
        <v>143</v>
      </c>
      <c r="G2551" t="s">
        <v>10</v>
      </c>
      <c r="H2551" s="72">
        <v>762</v>
      </c>
      <c r="I2551" s="72" t="s">
        <v>48</v>
      </c>
      <c r="J2551" t="str">
        <f t="shared" si="82"/>
        <v>Lake Washington</v>
      </c>
      <c r="K2551" t="str">
        <f>IFERROR(VLOOKUP(J2551,LUTs!$A$1:$C$73,2,FALSE),"NA")</f>
        <v>King</v>
      </c>
      <c r="L2551" t="str">
        <f>IFERROR(VLOOKUP(J2551,LUTs!$A$1:$C$73,3,FALSE),"NA")</f>
        <v>2Central Puget Sound</v>
      </c>
      <c r="M2551" s="72" t="s">
        <v>18</v>
      </c>
      <c r="N2551" t="str">
        <f>VLOOKUP(M2551,LUTs!E$2:H$14,3,)</f>
        <v>06King</v>
      </c>
      <c r="O2551" t="str">
        <f>VLOOKUP(M2551,LUTs!E$2:H$14,4,)</f>
        <v>02South Puget Sound</v>
      </c>
      <c r="P2551" s="73">
        <v>162.6</v>
      </c>
      <c r="Q2551" s="74">
        <f>VLOOKUP(B2551,Readme!A$40:C$51,2,)*P2551</f>
        <v>559.34399999999994</v>
      </c>
    </row>
    <row r="2552" spans="1:17" ht="12" customHeight="1" x14ac:dyDescent="0.35">
      <c r="A2552" s="75">
        <v>2551</v>
      </c>
      <c r="B2552" s="64">
        <v>2017</v>
      </c>
      <c r="C2552" s="64">
        <v>10</v>
      </c>
      <c r="D2552" s="80">
        <f t="shared" si="81"/>
        <v>2017</v>
      </c>
      <c r="E2552" t="s">
        <v>38</v>
      </c>
      <c r="F2552" t="s">
        <v>143</v>
      </c>
      <c r="G2552" t="s">
        <v>10</v>
      </c>
      <c r="H2552" s="72">
        <v>762</v>
      </c>
      <c r="I2552" s="72" t="s">
        <v>48</v>
      </c>
      <c r="J2552" t="str">
        <f t="shared" si="82"/>
        <v>Lake Washington</v>
      </c>
      <c r="K2552" t="str">
        <f>IFERROR(VLOOKUP(J2552,LUTs!$A$1:$C$73,2,FALSE),"NA")</f>
        <v>King</v>
      </c>
      <c r="L2552" t="str">
        <f>IFERROR(VLOOKUP(J2552,LUTs!$A$1:$C$73,3,FALSE),"NA")</f>
        <v>2Central Puget Sound</v>
      </c>
      <c r="M2552" s="72" t="s">
        <v>16</v>
      </c>
      <c r="N2552" t="str">
        <f>VLOOKUP(M2552,LUTs!E$2:H$14,3,)</f>
        <v>03Snohomish</v>
      </c>
      <c r="O2552" t="str">
        <f>VLOOKUP(M2552,LUTs!E$2:H$14,4,)</f>
        <v>01North Puget Sound</v>
      </c>
      <c r="P2552" s="73">
        <v>108.4</v>
      </c>
      <c r="Q2552" s="74">
        <f>VLOOKUP(B2552,Readme!A$40:C$51,2,)*P2552</f>
        <v>372.89600000000002</v>
      </c>
    </row>
    <row r="2553" spans="1:17" ht="12" customHeight="1" x14ac:dyDescent="0.35">
      <c r="A2553" s="75">
        <v>2552</v>
      </c>
      <c r="B2553" s="64">
        <v>2017</v>
      </c>
      <c r="C2553" s="64">
        <v>10</v>
      </c>
      <c r="D2553" s="80">
        <f t="shared" si="81"/>
        <v>2017</v>
      </c>
      <c r="E2553" t="s">
        <v>38</v>
      </c>
      <c r="F2553" t="s">
        <v>143</v>
      </c>
      <c r="G2553" t="s">
        <v>10</v>
      </c>
      <c r="H2553" s="72">
        <v>764</v>
      </c>
      <c r="I2553" s="72" t="s">
        <v>49</v>
      </c>
      <c r="J2553" t="str">
        <f t="shared" si="82"/>
        <v>Lake Sammamish</v>
      </c>
      <c r="K2553" t="str">
        <f>IFERROR(VLOOKUP(J2553,LUTs!$A$1:$C$73,2,FALSE),"NA")</f>
        <v>King</v>
      </c>
      <c r="L2553" t="str">
        <f>IFERROR(VLOOKUP(J2553,LUTs!$A$1:$C$73,3,FALSE),"NA")</f>
        <v>2Central Puget Sound</v>
      </c>
      <c r="M2553" s="72" t="s">
        <v>18</v>
      </c>
      <c r="N2553" t="str">
        <f>VLOOKUP(M2553,LUTs!E$2:H$14,3,)</f>
        <v>06King</v>
      </c>
      <c r="O2553" t="str">
        <f>VLOOKUP(M2553,LUTs!E$2:H$14,4,)</f>
        <v>02South Puget Sound</v>
      </c>
      <c r="P2553" s="73">
        <v>20.5</v>
      </c>
      <c r="Q2553" s="74">
        <f>VLOOKUP(B2553,Readme!A$40:C$51,2,)*P2553</f>
        <v>70.52</v>
      </c>
    </row>
    <row r="2554" spans="1:17" ht="12" customHeight="1" x14ac:dyDescent="0.35">
      <c r="A2554" s="75">
        <v>2553</v>
      </c>
      <c r="B2554" s="64">
        <v>2017</v>
      </c>
      <c r="C2554" s="64">
        <v>10</v>
      </c>
      <c r="D2554" s="80">
        <f t="shared" ref="D2554:D2617" si="83">IF(C2554&gt;3,B2554,B2554-1)</f>
        <v>2017</v>
      </c>
      <c r="E2554" t="s">
        <v>38</v>
      </c>
      <c r="F2554" t="s">
        <v>143</v>
      </c>
      <c r="G2554" t="s">
        <v>10</v>
      </c>
      <c r="H2554" s="72">
        <v>764</v>
      </c>
      <c r="I2554" s="72" t="s">
        <v>49</v>
      </c>
      <c r="J2554" t="str">
        <f t="shared" si="82"/>
        <v>Lake Sammamish</v>
      </c>
      <c r="K2554" t="str">
        <f>IFERROR(VLOOKUP(J2554,LUTs!$A$1:$C$73,2,FALSE),"NA")</f>
        <v>King</v>
      </c>
      <c r="L2554" t="str">
        <f>IFERROR(VLOOKUP(J2554,LUTs!$A$1:$C$73,3,FALSE),"NA")</f>
        <v>2Central Puget Sound</v>
      </c>
      <c r="M2554" s="72" t="s">
        <v>21</v>
      </c>
      <c r="N2554" t="str">
        <f>VLOOKUP(M2554,LUTs!E$2:H$14,3,)</f>
        <v>08Thurston</v>
      </c>
      <c r="O2554" t="str">
        <f>VLOOKUP(M2554,LUTs!E$2:H$14,4,)</f>
        <v>02South Puget Sound</v>
      </c>
      <c r="P2554" s="73">
        <v>20.5</v>
      </c>
      <c r="Q2554" s="74">
        <f>VLOOKUP(B2554,Readme!A$40:C$51,2,)*P2554</f>
        <v>70.52</v>
      </c>
    </row>
    <row r="2555" spans="1:17" ht="12" customHeight="1" x14ac:dyDescent="0.35">
      <c r="A2555" s="75">
        <v>2554</v>
      </c>
      <c r="B2555" s="64">
        <v>2017</v>
      </c>
      <c r="C2555" s="64">
        <v>11</v>
      </c>
      <c r="D2555" s="80">
        <f t="shared" si="83"/>
        <v>2017</v>
      </c>
      <c r="E2555" t="s">
        <v>38</v>
      </c>
      <c r="F2555" t="s">
        <v>143</v>
      </c>
      <c r="G2555" t="s">
        <v>10</v>
      </c>
      <c r="H2555" s="72">
        <v>778</v>
      </c>
      <c r="I2555" s="72" t="s">
        <v>50</v>
      </c>
      <c r="J2555" t="str">
        <f t="shared" si="82"/>
        <v>Minter Creek</v>
      </c>
      <c r="K2555" t="str">
        <f>IFERROR(VLOOKUP(J2555,LUTs!$A$1:$C$73,2,FALSE),"NA")</f>
        <v>Kitsap/Pierce</v>
      </c>
      <c r="L2555" t="str">
        <f>IFERROR(VLOOKUP(J2555,LUTs!$A$1:$C$73,3,FALSE),"NA")</f>
        <v>3South Puget Sound</v>
      </c>
      <c r="M2555" s="72" t="s">
        <v>18</v>
      </c>
      <c r="N2555" t="str">
        <f>VLOOKUP(M2555,LUTs!E$2:H$14,3,)</f>
        <v>06King</v>
      </c>
      <c r="O2555" t="str">
        <f>VLOOKUP(M2555,LUTs!E$2:H$14,4,)</f>
        <v>02South Puget Sound</v>
      </c>
      <c r="P2555" s="73">
        <v>2112.5720000000001</v>
      </c>
      <c r="Q2555" s="74">
        <f>VLOOKUP(B2555,Readme!A$40:C$51,2,)*P2555</f>
        <v>7267.2476800000004</v>
      </c>
    </row>
    <row r="2556" spans="1:17" ht="12" customHeight="1" x14ac:dyDescent="0.35">
      <c r="A2556" s="75">
        <v>2555</v>
      </c>
      <c r="B2556" s="64">
        <v>2017</v>
      </c>
      <c r="C2556" s="64">
        <v>11</v>
      </c>
      <c r="D2556" s="80">
        <f t="shared" si="83"/>
        <v>2017</v>
      </c>
      <c r="E2556" t="s">
        <v>38</v>
      </c>
      <c r="F2556" t="s">
        <v>143</v>
      </c>
      <c r="G2556" t="s">
        <v>10</v>
      </c>
      <c r="H2556" s="72">
        <v>778</v>
      </c>
      <c r="I2556" s="72" t="s">
        <v>50</v>
      </c>
      <c r="J2556" t="str">
        <f t="shared" si="82"/>
        <v>Minter Creek</v>
      </c>
      <c r="K2556" t="str">
        <f>IFERROR(VLOOKUP(J2556,LUTs!$A$1:$C$73,2,FALSE),"NA")</f>
        <v>Kitsap/Pierce</v>
      </c>
      <c r="L2556" t="str">
        <f>IFERROR(VLOOKUP(J2556,LUTs!$A$1:$C$73,3,FALSE),"NA")</f>
        <v>3South Puget Sound</v>
      </c>
      <c r="M2556" s="72" t="s">
        <v>23</v>
      </c>
      <c r="N2556" t="str">
        <f>VLOOKUP(M2556,LUTs!E$2:H$14,3,)</f>
        <v>10Kitsap</v>
      </c>
      <c r="O2556" t="str">
        <f>VLOOKUP(M2556,LUTs!E$2:H$14,4,)</f>
        <v>02South Puget Sound</v>
      </c>
      <c r="P2556" s="73">
        <v>272.916</v>
      </c>
      <c r="Q2556" s="74">
        <f>VLOOKUP(B2556,Readme!A$40:C$51,2,)*P2556</f>
        <v>938.83104000000003</v>
      </c>
    </row>
    <row r="2557" spans="1:17" ht="12" customHeight="1" x14ac:dyDescent="0.35">
      <c r="A2557" s="75">
        <v>2556</v>
      </c>
      <c r="B2557" s="64">
        <v>2017</v>
      </c>
      <c r="C2557" s="64">
        <v>11</v>
      </c>
      <c r="D2557" s="80">
        <f t="shared" si="83"/>
        <v>2017</v>
      </c>
      <c r="E2557" t="s">
        <v>38</v>
      </c>
      <c r="F2557" t="s">
        <v>143</v>
      </c>
      <c r="G2557" t="s">
        <v>10</v>
      </c>
      <c r="H2557" s="72">
        <v>778</v>
      </c>
      <c r="I2557" s="72" t="s">
        <v>50</v>
      </c>
      <c r="J2557" t="str">
        <f t="shared" si="82"/>
        <v>Minter Creek</v>
      </c>
      <c r="K2557" t="str">
        <f>IFERROR(VLOOKUP(J2557,LUTs!$A$1:$C$73,2,FALSE),"NA")</f>
        <v>Kitsap/Pierce</v>
      </c>
      <c r="L2557" t="str">
        <f>IFERROR(VLOOKUP(J2557,LUTs!$A$1:$C$73,3,FALSE),"NA")</f>
        <v>3South Puget Sound</v>
      </c>
      <c r="M2557" s="72" t="s">
        <v>26</v>
      </c>
      <c r="N2557" t="str">
        <f>VLOOKUP(M2557,LUTs!E$2:H$14,3,)</f>
        <v>20Other</v>
      </c>
      <c r="O2557" t="str">
        <f>VLOOKUP(M2557,LUTs!E$2:H$14,4,)</f>
        <v>07Non Puget Sound</v>
      </c>
      <c r="P2557" s="73">
        <v>232.48400000000001</v>
      </c>
      <c r="Q2557" s="74">
        <f>VLOOKUP(B2557,Readme!A$40:C$51,2,)*P2557</f>
        <v>799.74495999999999</v>
      </c>
    </row>
    <row r="2558" spans="1:17" ht="12" customHeight="1" x14ac:dyDescent="0.35">
      <c r="A2558" s="75">
        <v>2557</v>
      </c>
      <c r="B2558" s="64">
        <v>2017</v>
      </c>
      <c r="C2558" s="64">
        <v>11</v>
      </c>
      <c r="D2558" s="80">
        <f t="shared" si="83"/>
        <v>2017</v>
      </c>
      <c r="E2558" t="s">
        <v>38</v>
      </c>
      <c r="F2558" t="s">
        <v>143</v>
      </c>
      <c r="G2558" t="s">
        <v>10</v>
      </c>
      <c r="H2558" s="72">
        <v>778</v>
      </c>
      <c r="I2558" s="72" t="s">
        <v>50</v>
      </c>
      <c r="J2558" t="str">
        <f t="shared" si="82"/>
        <v>Minter Creek</v>
      </c>
      <c r="K2558" t="str">
        <f>IFERROR(VLOOKUP(J2558,LUTs!$A$1:$C$73,2,FALSE),"NA")</f>
        <v>Kitsap/Pierce</v>
      </c>
      <c r="L2558" t="str">
        <f>IFERROR(VLOOKUP(J2558,LUTs!$A$1:$C$73,3,FALSE),"NA")</f>
        <v>3South Puget Sound</v>
      </c>
      <c r="M2558" s="72" t="s">
        <v>20</v>
      </c>
      <c r="N2558" t="str">
        <f>VLOOKUP(M2558,LUTs!E$2:H$14,3,)</f>
        <v>07Pierce</v>
      </c>
      <c r="O2558" t="str">
        <f>VLOOKUP(M2558,LUTs!E$2:H$14,4,)</f>
        <v>02South Puget Sound</v>
      </c>
      <c r="P2558" s="73">
        <v>2102.4639999999999</v>
      </c>
      <c r="Q2558" s="74">
        <f>VLOOKUP(B2558,Readme!A$40:C$51,2,)*P2558</f>
        <v>7232.4761599999993</v>
      </c>
    </row>
    <row r="2559" spans="1:17" ht="12" customHeight="1" x14ac:dyDescent="0.35">
      <c r="A2559" s="75">
        <v>2558</v>
      </c>
      <c r="B2559" s="64">
        <v>2017</v>
      </c>
      <c r="C2559" s="64">
        <v>11</v>
      </c>
      <c r="D2559" s="80">
        <f t="shared" si="83"/>
        <v>2017</v>
      </c>
      <c r="E2559" t="s">
        <v>38</v>
      </c>
      <c r="F2559" t="s">
        <v>143</v>
      </c>
      <c r="G2559" t="s">
        <v>10</v>
      </c>
      <c r="H2559" s="72">
        <v>778</v>
      </c>
      <c r="I2559" s="72" t="s">
        <v>50</v>
      </c>
      <c r="J2559" t="str">
        <f t="shared" si="82"/>
        <v>Minter Creek</v>
      </c>
      <c r="K2559" t="str">
        <f>IFERROR(VLOOKUP(J2559,LUTs!$A$1:$C$73,2,FALSE),"NA")</f>
        <v>Kitsap/Pierce</v>
      </c>
      <c r="L2559" t="str">
        <f>IFERROR(VLOOKUP(J2559,LUTs!$A$1:$C$73,3,FALSE),"NA")</f>
        <v>3South Puget Sound</v>
      </c>
      <c r="M2559" s="72" t="s">
        <v>16</v>
      </c>
      <c r="N2559" t="str">
        <f>VLOOKUP(M2559,LUTs!E$2:H$14,3,)</f>
        <v>03Snohomish</v>
      </c>
      <c r="O2559" t="str">
        <f>VLOOKUP(M2559,LUTs!E$2:H$14,4,)</f>
        <v>01North Puget Sound</v>
      </c>
      <c r="P2559" s="73">
        <v>283.024</v>
      </c>
      <c r="Q2559" s="74">
        <f>VLOOKUP(B2559,Readme!A$40:C$51,2,)*P2559</f>
        <v>973.60256000000004</v>
      </c>
    </row>
    <row r="2560" spans="1:17" ht="12" customHeight="1" x14ac:dyDescent="0.35">
      <c r="A2560" s="75">
        <v>2559</v>
      </c>
      <c r="B2560" s="64">
        <v>2017</v>
      </c>
      <c r="C2560" s="64">
        <v>11</v>
      </c>
      <c r="D2560" s="80">
        <f t="shared" si="83"/>
        <v>2017</v>
      </c>
      <c r="E2560" t="s">
        <v>38</v>
      </c>
      <c r="F2560" t="s">
        <v>143</v>
      </c>
      <c r="G2560" t="s">
        <v>10</v>
      </c>
      <c r="H2560" s="72">
        <v>778</v>
      </c>
      <c r="I2560" s="72" t="s">
        <v>50</v>
      </c>
      <c r="J2560" t="str">
        <f t="shared" si="82"/>
        <v>Minter Creek</v>
      </c>
      <c r="K2560" t="str">
        <f>IFERROR(VLOOKUP(J2560,LUTs!$A$1:$C$73,2,FALSE),"NA")</f>
        <v>Kitsap/Pierce</v>
      </c>
      <c r="L2560" t="str">
        <f>IFERROR(VLOOKUP(J2560,LUTs!$A$1:$C$73,3,FALSE),"NA")</f>
        <v>3South Puget Sound</v>
      </c>
      <c r="M2560" s="72" t="s">
        <v>21</v>
      </c>
      <c r="N2560" t="str">
        <f>VLOOKUP(M2560,LUTs!E$2:H$14,3,)</f>
        <v>08Thurston</v>
      </c>
      <c r="O2560" t="str">
        <f>VLOOKUP(M2560,LUTs!E$2:H$14,4,)</f>
        <v>02South Puget Sound</v>
      </c>
      <c r="P2560" s="73">
        <v>50.54</v>
      </c>
      <c r="Q2560" s="74">
        <f>VLOOKUP(B2560,Readme!A$40:C$51,2,)*P2560</f>
        <v>173.85759999999999</v>
      </c>
    </row>
    <row r="2561" spans="1:17" ht="12" customHeight="1" x14ac:dyDescent="0.35">
      <c r="A2561" s="75">
        <v>2560</v>
      </c>
      <c r="B2561" s="64">
        <v>2017</v>
      </c>
      <c r="C2561" s="64">
        <v>12</v>
      </c>
      <c r="D2561" s="80">
        <f t="shared" si="83"/>
        <v>2017</v>
      </c>
      <c r="E2561" t="s">
        <v>38</v>
      </c>
      <c r="F2561" t="s">
        <v>143</v>
      </c>
      <c r="G2561" t="s">
        <v>10</v>
      </c>
      <c r="H2561" s="72">
        <v>778</v>
      </c>
      <c r="I2561" s="72" t="s">
        <v>50</v>
      </c>
      <c r="J2561" t="str">
        <f t="shared" si="82"/>
        <v>Minter Creek</v>
      </c>
      <c r="K2561" t="str">
        <f>IFERROR(VLOOKUP(J2561,LUTs!$A$1:$C$73,2,FALSE),"NA")</f>
        <v>Kitsap/Pierce</v>
      </c>
      <c r="L2561" t="str">
        <f>IFERROR(VLOOKUP(J2561,LUTs!$A$1:$C$73,3,FALSE),"NA")</f>
        <v>3South Puget Sound</v>
      </c>
      <c r="M2561" s="72" t="s">
        <v>18</v>
      </c>
      <c r="N2561" t="str">
        <f>VLOOKUP(M2561,LUTs!E$2:H$14,3,)</f>
        <v>06King</v>
      </c>
      <c r="O2561" t="str">
        <f>VLOOKUP(M2561,LUTs!E$2:H$14,4,)</f>
        <v>02South Puget Sound</v>
      </c>
      <c r="P2561" s="73">
        <v>586.44444444444503</v>
      </c>
      <c r="Q2561" s="74">
        <f>VLOOKUP(B2561,Readme!A$40:C$51,2,)*P2561</f>
        <v>2017.3688888888908</v>
      </c>
    </row>
    <row r="2562" spans="1:17" ht="12" customHeight="1" x14ac:dyDescent="0.35">
      <c r="A2562" s="75">
        <v>2561</v>
      </c>
      <c r="B2562" s="64">
        <v>2017</v>
      </c>
      <c r="C2562" s="64">
        <v>12</v>
      </c>
      <c r="D2562" s="80">
        <f t="shared" si="83"/>
        <v>2017</v>
      </c>
      <c r="E2562" t="s">
        <v>38</v>
      </c>
      <c r="F2562" t="s">
        <v>143</v>
      </c>
      <c r="G2562" t="s">
        <v>10</v>
      </c>
      <c r="H2562" s="72">
        <v>778</v>
      </c>
      <c r="I2562" s="72" t="s">
        <v>50</v>
      </c>
      <c r="J2562" t="str">
        <f t="shared" si="82"/>
        <v>Minter Creek</v>
      </c>
      <c r="K2562" t="str">
        <f>IFERROR(VLOOKUP(J2562,LUTs!$A$1:$C$73,2,FALSE),"NA")</f>
        <v>Kitsap/Pierce</v>
      </c>
      <c r="L2562" t="str">
        <f>IFERROR(VLOOKUP(J2562,LUTs!$A$1:$C$73,3,FALSE),"NA")</f>
        <v>3South Puget Sound</v>
      </c>
      <c r="M2562" s="72" t="s">
        <v>23</v>
      </c>
      <c r="N2562" t="str">
        <f>VLOOKUP(M2562,LUTs!E$2:H$14,3,)</f>
        <v>10Kitsap</v>
      </c>
      <c r="O2562" t="str">
        <f>VLOOKUP(M2562,LUTs!E$2:H$14,4,)</f>
        <v>02South Puget Sound</v>
      </c>
      <c r="P2562" s="73">
        <v>80.8888888888889</v>
      </c>
      <c r="Q2562" s="74">
        <f>VLOOKUP(B2562,Readme!A$40:C$51,2,)*P2562</f>
        <v>278.25777777777779</v>
      </c>
    </row>
    <row r="2563" spans="1:17" ht="12" customHeight="1" x14ac:dyDescent="0.35">
      <c r="A2563" s="75">
        <v>2562</v>
      </c>
      <c r="B2563" s="64">
        <v>2017</v>
      </c>
      <c r="C2563" s="64">
        <v>12</v>
      </c>
      <c r="D2563" s="80">
        <f t="shared" si="83"/>
        <v>2017</v>
      </c>
      <c r="E2563" t="s">
        <v>38</v>
      </c>
      <c r="F2563" t="s">
        <v>143</v>
      </c>
      <c r="G2563" t="s">
        <v>10</v>
      </c>
      <c r="H2563" s="72">
        <v>778</v>
      </c>
      <c r="I2563" s="72" t="s">
        <v>50</v>
      </c>
      <c r="J2563" t="str">
        <f t="shared" ref="J2563:J2626" si="84">I2563</f>
        <v>Minter Creek</v>
      </c>
      <c r="K2563" t="str">
        <f>IFERROR(VLOOKUP(J2563,LUTs!$A$1:$C$73,2,FALSE),"NA")</f>
        <v>Kitsap/Pierce</v>
      </c>
      <c r="L2563" t="str">
        <f>IFERROR(VLOOKUP(J2563,LUTs!$A$1:$C$73,3,FALSE),"NA")</f>
        <v>3South Puget Sound</v>
      </c>
      <c r="M2563" s="72" t="s">
        <v>26</v>
      </c>
      <c r="N2563" t="str">
        <f>VLOOKUP(M2563,LUTs!E$2:H$14,3,)</f>
        <v>20Other</v>
      </c>
      <c r="O2563" t="str">
        <f>VLOOKUP(M2563,LUTs!E$2:H$14,4,)</f>
        <v>07Non Puget Sound</v>
      </c>
      <c r="P2563" s="73">
        <v>293.222222222222</v>
      </c>
      <c r="Q2563" s="74">
        <f>VLOOKUP(B2563,Readme!A$40:C$51,2,)*P2563</f>
        <v>1008.6844444444437</v>
      </c>
    </row>
    <row r="2564" spans="1:17" ht="12" customHeight="1" x14ac:dyDescent="0.35">
      <c r="A2564" s="75">
        <v>2563</v>
      </c>
      <c r="B2564" s="64">
        <v>2017</v>
      </c>
      <c r="C2564" s="64">
        <v>12</v>
      </c>
      <c r="D2564" s="80">
        <f t="shared" si="83"/>
        <v>2017</v>
      </c>
      <c r="E2564" t="s">
        <v>38</v>
      </c>
      <c r="F2564" t="s">
        <v>143</v>
      </c>
      <c r="G2564" t="s">
        <v>10</v>
      </c>
      <c r="H2564" s="72">
        <v>778</v>
      </c>
      <c r="I2564" s="72" t="s">
        <v>50</v>
      </c>
      <c r="J2564" t="str">
        <f t="shared" si="84"/>
        <v>Minter Creek</v>
      </c>
      <c r="K2564" t="str">
        <f>IFERROR(VLOOKUP(J2564,LUTs!$A$1:$C$73,2,FALSE),"NA")</f>
        <v>Kitsap/Pierce</v>
      </c>
      <c r="L2564" t="str">
        <f>IFERROR(VLOOKUP(J2564,LUTs!$A$1:$C$73,3,FALSE),"NA")</f>
        <v>3South Puget Sound</v>
      </c>
      <c r="M2564" s="72" t="s">
        <v>20</v>
      </c>
      <c r="N2564" t="str">
        <f>VLOOKUP(M2564,LUTs!E$2:H$14,3,)</f>
        <v>07Pierce</v>
      </c>
      <c r="O2564" t="str">
        <f>VLOOKUP(M2564,LUTs!E$2:H$14,4,)</f>
        <v>02South Puget Sound</v>
      </c>
      <c r="P2564" s="73">
        <v>384.222222222222</v>
      </c>
      <c r="Q2564" s="74">
        <f>VLOOKUP(B2564,Readme!A$40:C$51,2,)*P2564</f>
        <v>1321.7244444444436</v>
      </c>
    </row>
    <row r="2565" spans="1:17" ht="12" customHeight="1" x14ac:dyDescent="0.35">
      <c r="A2565" s="75">
        <v>2564</v>
      </c>
      <c r="B2565" s="64">
        <v>2017</v>
      </c>
      <c r="C2565" s="64">
        <v>12</v>
      </c>
      <c r="D2565" s="80">
        <f t="shared" si="83"/>
        <v>2017</v>
      </c>
      <c r="E2565" t="s">
        <v>38</v>
      </c>
      <c r="F2565" t="s">
        <v>143</v>
      </c>
      <c r="G2565" t="s">
        <v>10</v>
      </c>
      <c r="H2565" s="72">
        <v>778</v>
      </c>
      <c r="I2565" s="72" t="s">
        <v>50</v>
      </c>
      <c r="J2565" t="str">
        <f t="shared" si="84"/>
        <v>Minter Creek</v>
      </c>
      <c r="K2565" t="str">
        <f>IFERROR(VLOOKUP(J2565,LUTs!$A$1:$C$73,2,FALSE),"NA")</f>
        <v>Kitsap/Pierce</v>
      </c>
      <c r="L2565" t="str">
        <f>IFERROR(VLOOKUP(J2565,LUTs!$A$1:$C$73,3,FALSE),"NA")</f>
        <v>3South Puget Sound</v>
      </c>
      <c r="M2565" s="72" t="s">
        <v>16</v>
      </c>
      <c r="N2565" t="str">
        <f>VLOOKUP(M2565,LUTs!E$2:H$14,3,)</f>
        <v>03Snohomish</v>
      </c>
      <c r="O2565" t="str">
        <f>VLOOKUP(M2565,LUTs!E$2:H$14,4,)</f>
        <v>01North Puget Sound</v>
      </c>
      <c r="P2565" s="73">
        <v>20.2222222222222</v>
      </c>
      <c r="Q2565" s="74">
        <f>VLOOKUP(B2565,Readme!A$40:C$51,2,)*P2565</f>
        <v>69.564444444444362</v>
      </c>
    </row>
    <row r="2566" spans="1:17" ht="12" customHeight="1" x14ac:dyDescent="0.35">
      <c r="A2566" s="75">
        <v>2565</v>
      </c>
      <c r="B2566" s="64">
        <v>2018</v>
      </c>
      <c r="C2566" s="64">
        <v>1</v>
      </c>
      <c r="D2566" s="80">
        <f t="shared" si="83"/>
        <v>2017</v>
      </c>
      <c r="E2566" t="s">
        <v>38</v>
      </c>
      <c r="F2566" t="s">
        <v>143</v>
      </c>
      <c r="G2566" t="s">
        <v>10</v>
      </c>
      <c r="H2566" s="72">
        <v>778</v>
      </c>
      <c r="I2566" s="72" t="s">
        <v>50</v>
      </c>
      <c r="J2566" t="str">
        <f t="shared" si="84"/>
        <v>Minter Creek</v>
      </c>
      <c r="K2566" t="str">
        <f>IFERROR(VLOOKUP(J2566,LUTs!$A$1:$C$73,2,FALSE),"NA")</f>
        <v>Kitsap/Pierce</v>
      </c>
      <c r="L2566" t="str">
        <f>IFERROR(VLOOKUP(J2566,LUTs!$A$1:$C$73,3,FALSE),"NA")</f>
        <v>3South Puget Sound</v>
      </c>
      <c r="M2566" s="72" t="s">
        <v>16</v>
      </c>
      <c r="N2566" t="str">
        <f>VLOOKUP(M2566,LUTs!E$2:H$14,3,)</f>
        <v>03Snohomish</v>
      </c>
      <c r="O2566" t="str">
        <f>VLOOKUP(M2566,LUTs!E$2:H$14,4,)</f>
        <v>01North Puget Sound</v>
      </c>
      <c r="P2566" s="73">
        <v>40</v>
      </c>
      <c r="Q2566" s="74">
        <f>VLOOKUP(B2566,Readme!A$40:C$51,2,)*P2566</f>
        <v>346</v>
      </c>
    </row>
    <row r="2567" spans="1:17" ht="12" customHeight="1" x14ac:dyDescent="0.35">
      <c r="A2567" s="75">
        <v>2566</v>
      </c>
      <c r="B2567" s="64">
        <v>2017</v>
      </c>
      <c r="C2567" s="64">
        <v>7</v>
      </c>
      <c r="D2567" s="80">
        <f t="shared" si="83"/>
        <v>2017</v>
      </c>
      <c r="E2567" t="s">
        <v>38</v>
      </c>
      <c r="F2567" t="s">
        <v>143</v>
      </c>
      <c r="G2567" t="s">
        <v>10</v>
      </c>
      <c r="H2567" s="72">
        <v>786</v>
      </c>
      <c r="I2567" s="72" t="s">
        <v>51</v>
      </c>
      <c r="J2567" t="str">
        <f t="shared" si="84"/>
        <v>Nisqually River</v>
      </c>
      <c r="K2567" t="str">
        <f>IFERROR(VLOOKUP(J2567,LUTs!$A$1:$C$73,2,FALSE),"NA")</f>
        <v>Thurston/Pierce</v>
      </c>
      <c r="L2567" t="str">
        <f>IFERROR(VLOOKUP(J2567,LUTs!$A$1:$C$73,3,FALSE),"NA")</f>
        <v>3South Puget Sound</v>
      </c>
      <c r="M2567" s="72" t="s">
        <v>26</v>
      </c>
      <c r="N2567" t="str">
        <f>VLOOKUP(M2567,LUTs!E$2:H$14,3,)</f>
        <v>20Other</v>
      </c>
      <c r="O2567" t="str">
        <f>VLOOKUP(M2567,LUTs!E$2:H$14,4,)</f>
        <v>07Non Puget Sound</v>
      </c>
      <c r="P2567" s="73">
        <v>10</v>
      </c>
      <c r="Q2567" s="74">
        <f>VLOOKUP(B2567,Readme!A$40:C$51,2,)*P2567</f>
        <v>34.4</v>
      </c>
    </row>
    <row r="2568" spans="1:17" ht="12" customHeight="1" x14ac:dyDescent="0.35">
      <c r="A2568" s="75">
        <v>2567</v>
      </c>
      <c r="B2568" s="64">
        <v>2017</v>
      </c>
      <c r="C2568" s="64">
        <v>7</v>
      </c>
      <c r="D2568" s="80">
        <f t="shared" si="83"/>
        <v>2017</v>
      </c>
      <c r="E2568" t="s">
        <v>38</v>
      </c>
      <c r="F2568" t="s">
        <v>143</v>
      </c>
      <c r="G2568" t="s">
        <v>10</v>
      </c>
      <c r="H2568" s="72">
        <v>786</v>
      </c>
      <c r="I2568" s="72" t="s">
        <v>51</v>
      </c>
      <c r="J2568" t="str">
        <f t="shared" si="84"/>
        <v>Nisqually River</v>
      </c>
      <c r="K2568" t="str">
        <f>IFERROR(VLOOKUP(J2568,LUTs!$A$1:$C$73,2,FALSE),"NA")</f>
        <v>Thurston/Pierce</v>
      </c>
      <c r="L2568" t="str">
        <f>IFERROR(VLOOKUP(J2568,LUTs!$A$1:$C$73,3,FALSE),"NA")</f>
        <v>3South Puget Sound</v>
      </c>
      <c r="M2568" s="72" t="s">
        <v>21</v>
      </c>
      <c r="N2568" t="str">
        <f>VLOOKUP(M2568,LUTs!E$2:H$14,3,)</f>
        <v>08Thurston</v>
      </c>
      <c r="O2568" t="str">
        <f>VLOOKUP(M2568,LUTs!E$2:H$14,4,)</f>
        <v>02South Puget Sound</v>
      </c>
      <c r="P2568" s="73">
        <v>20</v>
      </c>
      <c r="Q2568" s="74">
        <f>VLOOKUP(B2568,Readme!A$40:C$51,2,)*P2568</f>
        <v>68.8</v>
      </c>
    </row>
    <row r="2569" spans="1:17" ht="12" customHeight="1" x14ac:dyDescent="0.35">
      <c r="A2569" s="75">
        <v>2568</v>
      </c>
      <c r="B2569" s="64">
        <v>2017</v>
      </c>
      <c r="C2569" s="64">
        <v>8</v>
      </c>
      <c r="D2569" s="80">
        <f t="shared" si="83"/>
        <v>2017</v>
      </c>
      <c r="E2569" t="s">
        <v>38</v>
      </c>
      <c r="F2569" t="s">
        <v>143</v>
      </c>
      <c r="G2569" t="s">
        <v>10</v>
      </c>
      <c r="H2569" s="72">
        <v>786</v>
      </c>
      <c r="I2569" s="72" t="s">
        <v>51</v>
      </c>
      <c r="J2569" t="str">
        <f t="shared" si="84"/>
        <v>Nisqually River</v>
      </c>
      <c r="K2569" t="str">
        <f>IFERROR(VLOOKUP(J2569,LUTs!$A$1:$C$73,2,FALSE),"NA")</f>
        <v>Thurston/Pierce</v>
      </c>
      <c r="L2569" t="str">
        <f>IFERROR(VLOOKUP(J2569,LUTs!$A$1:$C$73,3,FALSE),"NA")</f>
        <v>3South Puget Sound</v>
      </c>
      <c r="M2569" s="72" t="s">
        <v>18</v>
      </c>
      <c r="N2569" t="str">
        <f>VLOOKUP(M2569,LUTs!E$2:H$14,3,)</f>
        <v>06King</v>
      </c>
      <c r="O2569" t="str">
        <f>VLOOKUP(M2569,LUTs!E$2:H$14,4,)</f>
        <v>02South Puget Sound</v>
      </c>
      <c r="P2569" s="73">
        <v>240.336448598131</v>
      </c>
      <c r="Q2569" s="74">
        <f>VLOOKUP(B2569,Readme!A$40:C$51,2,)*P2569</f>
        <v>826.75738317757066</v>
      </c>
    </row>
    <row r="2570" spans="1:17" ht="12" customHeight="1" x14ac:dyDescent="0.35">
      <c r="A2570" s="75">
        <v>2569</v>
      </c>
      <c r="B2570" s="64">
        <v>2017</v>
      </c>
      <c r="C2570" s="64">
        <v>8</v>
      </c>
      <c r="D2570" s="80">
        <f t="shared" si="83"/>
        <v>2017</v>
      </c>
      <c r="E2570" t="s">
        <v>38</v>
      </c>
      <c r="F2570" t="s">
        <v>143</v>
      </c>
      <c r="G2570" t="s">
        <v>10</v>
      </c>
      <c r="H2570" s="72">
        <v>786</v>
      </c>
      <c r="I2570" s="72" t="s">
        <v>51</v>
      </c>
      <c r="J2570" t="str">
        <f t="shared" si="84"/>
        <v>Nisqually River</v>
      </c>
      <c r="K2570" t="str">
        <f>IFERROR(VLOOKUP(J2570,LUTs!$A$1:$C$73,2,FALSE),"NA")</f>
        <v>Thurston/Pierce</v>
      </c>
      <c r="L2570" t="str">
        <f>IFERROR(VLOOKUP(J2570,LUTs!$A$1:$C$73,3,FALSE),"NA")</f>
        <v>3South Puget Sound</v>
      </c>
      <c r="M2570" s="72" t="s">
        <v>26</v>
      </c>
      <c r="N2570" t="str">
        <f>VLOOKUP(M2570,LUTs!E$2:H$14,3,)</f>
        <v>20Other</v>
      </c>
      <c r="O2570" t="str">
        <f>VLOOKUP(M2570,LUTs!E$2:H$14,4,)</f>
        <v>07Non Puget Sound</v>
      </c>
      <c r="P2570" s="73">
        <v>190.26635514018699</v>
      </c>
      <c r="Q2570" s="74">
        <f>VLOOKUP(B2570,Readme!A$40:C$51,2,)*P2570</f>
        <v>654.51626168224323</v>
      </c>
    </row>
    <row r="2571" spans="1:17" ht="12" customHeight="1" x14ac:dyDescent="0.35">
      <c r="A2571" s="75">
        <v>2570</v>
      </c>
      <c r="B2571" s="64">
        <v>2017</v>
      </c>
      <c r="C2571" s="64">
        <v>8</v>
      </c>
      <c r="D2571" s="80">
        <f t="shared" si="83"/>
        <v>2017</v>
      </c>
      <c r="E2571" t="s">
        <v>38</v>
      </c>
      <c r="F2571" t="s">
        <v>143</v>
      </c>
      <c r="G2571" t="s">
        <v>10</v>
      </c>
      <c r="H2571" s="72">
        <v>786</v>
      </c>
      <c r="I2571" s="72" t="s">
        <v>51</v>
      </c>
      <c r="J2571" t="str">
        <f t="shared" si="84"/>
        <v>Nisqually River</v>
      </c>
      <c r="K2571" t="str">
        <f>IFERROR(VLOOKUP(J2571,LUTs!$A$1:$C$73,2,FALSE),"NA")</f>
        <v>Thurston/Pierce</v>
      </c>
      <c r="L2571" t="str">
        <f>IFERROR(VLOOKUP(J2571,LUTs!$A$1:$C$73,3,FALSE),"NA")</f>
        <v>3South Puget Sound</v>
      </c>
      <c r="M2571" s="72" t="s">
        <v>20</v>
      </c>
      <c r="N2571" t="str">
        <f>VLOOKUP(M2571,LUTs!E$2:H$14,3,)</f>
        <v>07Pierce</v>
      </c>
      <c r="O2571" t="str">
        <f>VLOOKUP(M2571,LUTs!E$2:H$14,4,)</f>
        <v>02South Puget Sound</v>
      </c>
      <c r="P2571" s="73">
        <v>570.79906542056096</v>
      </c>
      <c r="Q2571" s="74">
        <f>VLOOKUP(B2571,Readme!A$40:C$51,2,)*P2571</f>
        <v>1963.5487850467298</v>
      </c>
    </row>
    <row r="2572" spans="1:17" ht="12" customHeight="1" x14ac:dyDescent="0.35">
      <c r="A2572" s="75">
        <v>2571</v>
      </c>
      <c r="B2572" s="64">
        <v>2017</v>
      </c>
      <c r="C2572" s="64">
        <v>8</v>
      </c>
      <c r="D2572" s="80">
        <f t="shared" si="83"/>
        <v>2017</v>
      </c>
      <c r="E2572" t="s">
        <v>38</v>
      </c>
      <c r="F2572" t="s">
        <v>143</v>
      </c>
      <c r="G2572" t="s">
        <v>10</v>
      </c>
      <c r="H2572" s="72">
        <v>786</v>
      </c>
      <c r="I2572" s="72" t="s">
        <v>51</v>
      </c>
      <c r="J2572" t="str">
        <f t="shared" si="84"/>
        <v>Nisqually River</v>
      </c>
      <c r="K2572" t="str">
        <f>IFERROR(VLOOKUP(J2572,LUTs!$A$1:$C$73,2,FALSE),"NA")</f>
        <v>Thurston/Pierce</v>
      </c>
      <c r="L2572" t="str">
        <f>IFERROR(VLOOKUP(J2572,LUTs!$A$1:$C$73,3,FALSE),"NA")</f>
        <v>3South Puget Sound</v>
      </c>
      <c r="M2572" s="72" t="s">
        <v>16</v>
      </c>
      <c r="N2572" t="str">
        <f>VLOOKUP(M2572,LUTs!E$2:H$14,3,)</f>
        <v>03Snohomish</v>
      </c>
      <c r="O2572" t="str">
        <f>VLOOKUP(M2572,LUTs!E$2:H$14,4,)</f>
        <v>01North Puget Sound</v>
      </c>
      <c r="P2572" s="73">
        <v>20.028037383177601</v>
      </c>
      <c r="Q2572" s="74">
        <f>VLOOKUP(B2572,Readme!A$40:C$51,2,)*P2572</f>
        <v>68.896448598130945</v>
      </c>
    </row>
    <row r="2573" spans="1:17" ht="12" customHeight="1" x14ac:dyDescent="0.35">
      <c r="A2573" s="75">
        <v>2572</v>
      </c>
      <c r="B2573" s="64">
        <v>2017</v>
      </c>
      <c r="C2573" s="64">
        <v>8</v>
      </c>
      <c r="D2573" s="80">
        <f t="shared" si="83"/>
        <v>2017</v>
      </c>
      <c r="E2573" t="s">
        <v>38</v>
      </c>
      <c r="F2573" t="s">
        <v>143</v>
      </c>
      <c r="G2573" t="s">
        <v>10</v>
      </c>
      <c r="H2573" s="72">
        <v>786</v>
      </c>
      <c r="I2573" s="72" t="s">
        <v>51</v>
      </c>
      <c r="J2573" t="str">
        <f t="shared" si="84"/>
        <v>Nisqually River</v>
      </c>
      <c r="K2573" t="str">
        <f>IFERROR(VLOOKUP(J2573,LUTs!$A$1:$C$73,2,FALSE),"NA")</f>
        <v>Thurston/Pierce</v>
      </c>
      <c r="L2573" t="str">
        <f>IFERROR(VLOOKUP(J2573,LUTs!$A$1:$C$73,3,FALSE),"NA")</f>
        <v>3South Puget Sound</v>
      </c>
      <c r="M2573" s="72" t="s">
        <v>21</v>
      </c>
      <c r="N2573" t="str">
        <f>VLOOKUP(M2573,LUTs!E$2:H$14,3,)</f>
        <v>08Thurston</v>
      </c>
      <c r="O2573" t="str">
        <f>VLOOKUP(M2573,LUTs!E$2:H$14,4,)</f>
        <v>02South Puget Sound</v>
      </c>
      <c r="P2573" s="73">
        <v>1111.5560747663601</v>
      </c>
      <c r="Q2573" s="74">
        <f>VLOOKUP(B2573,Readme!A$40:C$51,2,)*P2573</f>
        <v>3823.7528971962788</v>
      </c>
    </row>
    <row r="2574" spans="1:17" ht="12" customHeight="1" x14ac:dyDescent="0.35">
      <c r="A2574" s="75">
        <v>2573</v>
      </c>
      <c r="B2574" s="64">
        <v>2017</v>
      </c>
      <c r="C2574" s="64">
        <v>8</v>
      </c>
      <c r="D2574" s="80">
        <f t="shared" si="83"/>
        <v>2017</v>
      </c>
      <c r="E2574" t="s">
        <v>38</v>
      </c>
      <c r="F2574" t="s">
        <v>143</v>
      </c>
      <c r="G2574" t="s">
        <v>10</v>
      </c>
      <c r="H2574" s="72">
        <v>786</v>
      </c>
      <c r="I2574" s="72" t="s">
        <v>51</v>
      </c>
      <c r="J2574" t="str">
        <f t="shared" si="84"/>
        <v>Nisqually River</v>
      </c>
      <c r="K2574" t="str">
        <f>IFERROR(VLOOKUP(J2574,LUTs!$A$1:$C$73,2,FALSE),"NA")</f>
        <v>Thurston/Pierce</v>
      </c>
      <c r="L2574" t="str">
        <f>IFERROR(VLOOKUP(J2574,LUTs!$A$1:$C$73,3,FALSE),"NA")</f>
        <v>3South Puget Sound</v>
      </c>
      <c r="M2574" s="72" t="s">
        <v>13</v>
      </c>
      <c r="N2574" t="str">
        <f>VLOOKUP(M2574,LUTs!E$2:H$14,3,)</f>
        <v>01Whatcom</v>
      </c>
      <c r="O2574" t="str">
        <f>VLOOKUP(M2574,LUTs!E$2:H$14,4,)</f>
        <v>01North Puget Sound</v>
      </c>
      <c r="P2574" s="73">
        <v>10.014018691588801</v>
      </c>
      <c r="Q2574" s="74">
        <f>VLOOKUP(B2574,Readme!A$40:C$51,2,)*P2574</f>
        <v>34.448224299065473</v>
      </c>
    </row>
    <row r="2575" spans="1:17" ht="12" customHeight="1" x14ac:dyDescent="0.35">
      <c r="A2575" s="75">
        <v>2574</v>
      </c>
      <c r="B2575" s="64">
        <v>2017</v>
      </c>
      <c r="C2575" s="64">
        <v>9</v>
      </c>
      <c r="D2575" s="80">
        <f t="shared" si="83"/>
        <v>2017</v>
      </c>
      <c r="E2575" t="s">
        <v>38</v>
      </c>
      <c r="F2575" t="s">
        <v>143</v>
      </c>
      <c r="G2575" t="s">
        <v>10</v>
      </c>
      <c r="H2575" s="72">
        <v>786</v>
      </c>
      <c r="I2575" s="72" t="s">
        <v>51</v>
      </c>
      <c r="J2575" t="str">
        <f t="shared" si="84"/>
        <v>Nisqually River</v>
      </c>
      <c r="K2575" t="str">
        <f>IFERROR(VLOOKUP(J2575,LUTs!$A$1:$C$73,2,FALSE),"NA")</f>
        <v>Thurston/Pierce</v>
      </c>
      <c r="L2575" t="str">
        <f>IFERROR(VLOOKUP(J2575,LUTs!$A$1:$C$73,3,FALSE),"NA")</f>
        <v>3South Puget Sound</v>
      </c>
      <c r="M2575" s="72" t="s">
        <v>18</v>
      </c>
      <c r="N2575" t="str">
        <f>VLOOKUP(M2575,LUTs!E$2:H$14,3,)</f>
        <v>06King</v>
      </c>
      <c r="O2575" t="str">
        <f>VLOOKUP(M2575,LUTs!E$2:H$14,4,)</f>
        <v>02South Puget Sound</v>
      </c>
      <c r="P2575" s="73">
        <v>1681.7343616109699</v>
      </c>
      <c r="Q2575" s="74">
        <f>VLOOKUP(B2575,Readme!A$40:C$51,2,)*P2575</f>
        <v>5785.1662039417361</v>
      </c>
    </row>
    <row r="2576" spans="1:17" ht="12" customHeight="1" x14ac:dyDescent="0.35">
      <c r="A2576" s="75">
        <v>2575</v>
      </c>
      <c r="B2576" s="64">
        <v>2017</v>
      </c>
      <c r="C2576" s="64">
        <v>9</v>
      </c>
      <c r="D2576" s="80">
        <f t="shared" si="83"/>
        <v>2017</v>
      </c>
      <c r="E2576" t="s">
        <v>38</v>
      </c>
      <c r="F2576" t="s">
        <v>143</v>
      </c>
      <c r="G2576" t="s">
        <v>10</v>
      </c>
      <c r="H2576" s="72">
        <v>786</v>
      </c>
      <c r="I2576" s="72" t="s">
        <v>51</v>
      </c>
      <c r="J2576" t="str">
        <f t="shared" si="84"/>
        <v>Nisqually River</v>
      </c>
      <c r="K2576" t="str">
        <f>IFERROR(VLOOKUP(J2576,LUTs!$A$1:$C$73,2,FALSE),"NA")</f>
        <v>Thurston/Pierce</v>
      </c>
      <c r="L2576" t="str">
        <f>IFERROR(VLOOKUP(J2576,LUTs!$A$1:$C$73,3,FALSE),"NA")</f>
        <v>3South Puget Sound</v>
      </c>
      <c r="M2576" s="72" t="s">
        <v>23</v>
      </c>
      <c r="N2576" t="str">
        <f>VLOOKUP(M2576,LUTs!E$2:H$14,3,)</f>
        <v>10Kitsap</v>
      </c>
      <c r="O2576" t="str">
        <f>VLOOKUP(M2576,LUTs!E$2:H$14,4,)</f>
        <v>02South Puget Sound</v>
      </c>
      <c r="P2576" s="73">
        <v>60.421593830334203</v>
      </c>
      <c r="Q2576" s="74">
        <f>VLOOKUP(B2576,Readme!A$40:C$51,2,)*P2576</f>
        <v>207.85028277634964</v>
      </c>
    </row>
    <row r="2577" spans="1:17" ht="12" customHeight="1" x14ac:dyDescent="0.35">
      <c r="A2577" s="75">
        <v>2576</v>
      </c>
      <c r="B2577" s="64">
        <v>2017</v>
      </c>
      <c r="C2577" s="64">
        <v>9</v>
      </c>
      <c r="D2577" s="80">
        <f t="shared" si="83"/>
        <v>2017</v>
      </c>
      <c r="E2577" t="s">
        <v>38</v>
      </c>
      <c r="F2577" t="s">
        <v>143</v>
      </c>
      <c r="G2577" t="s">
        <v>10</v>
      </c>
      <c r="H2577" s="72">
        <v>786</v>
      </c>
      <c r="I2577" s="72" t="s">
        <v>51</v>
      </c>
      <c r="J2577" t="str">
        <f t="shared" si="84"/>
        <v>Nisqually River</v>
      </c>
      <c r="K2577" t="str">
        <f>IFERROR(VLOOKUP(J2577,LUTs!$A$1:$C$73,2,FALSE),"NA")</f>
        <v>Thurston/Pierce</v>
      </c>
      <c r="L2577" t="str">
        <f>IFERROR(VLOOKUP(J2577,LUTs!$A$1:$C$73,3,FALSE),"NA")</f>
        <v>3South Puget Sound</v>
      </c>
      <c r="M2577" s="72" t="s">
        <v>22</v>
      </c>
      <c r="N2577" t="str">
        <f>VLOOKUP(M2577,LUTs!E$2:H$14,3,)</f>
        <v>09Mason</v>
      </c>
      <c r="O2577" t="str">
        <f>VLOOKUP(M2577,LUTs!E$2:H$14,4,)</f>
        <v>02South Puget Sound</v>
      </c>
      <c r="P2577" s="73">
        <v>30.210796915167101</v>
      </c>
      <c r="Q2577" s="74">
        <f>VLOOKUP(B2577,Readme!A$40:C$51,2,)*P2577</f>
        <v>103.92514138817482</v>
      </c>
    </row>
    <row r="2578" spans="1:17" ht="12" customHeight="1" x14ac:dyDescent="0.35">
      <c r="A2578" s="75">
        <v>2577</v>
      </c>
      <c r="B2578" s="64">
        <v>2017</v>
      </c>
      <c r="C2578" s="64">
        <v>9</v>
      </c>
      <c r="D2578" s="80">
        <f t="shared" si="83"/>
        <v>2017</v>
      </c>
      <c r="E2578" t="s">
        <v>38</v>
      </c>
      <c r="F2578" t="s">
        <v>143</v>
      </c>
      <c r="G2578" t="s">
        <v>10</v>
      </c>
      <c r="H2578" s="72">
        <v>786</v>
      </c>
      <c r="I2578" s="72" t="s">
        <v>51</v>
      </c>
      <c r="J2578" t="str">
        <f t="shared" si="84"/>
        <v>Nisqually River</v>
      </c>
      <c r="K2578" t="str">
        <f>IFERROR(VLOOKUP(J2578,LUTs!$A$1:$C$73,2,FALSE),"NA")</f>
        <v>Thurston/Pierce</v>
      </c>
      <c r="L2578" t="str">
        <f>IFERROR(VLOOKUP(J2578,LUTs!$A$1:$C$73,3,FALSE),"NA")</f>
        <v>3South Puget Sound</v>
      </c>
      <c r="M2578" s="72" t="s">
        <v>26</v>
      </c>
      <c r="N2578" t="str">
        <f>VLOOKUP(M2578,LUTs!E$2:H$14,3,)</f>
        <v>20Other</v>
      </c>
      <c r="O2578" t="str">
        <f>VLOOKUP(M2578,LUTs!E$2:H$14,4,)</f>
        <v>07Non Puget Sound</v>
      </c>
      <c r="P2578" s="73">
        <v>674.70779777206496</v>
      </c>
      <c r="Q2578" s="74">
        <f>VLOOKUP(B2578,Readme!A$40:C$51,2,)*P2578</f>
        <v>2320.9948243359036</v>
      </c>
    </row>
    <row r="2579" spans="1:17" ht="12" customHeight="1" x14ac:dyDescent="0.35">
      <c r="A2579" s="75">
        <v>2578</v>
      </c>
      <c r="B2579" s="64">
        <v>2017</v>
      </c>
      <c r="C2579" s="64">
        <v>9</v>
      </c>
      <c r="D2579" s="80">
        <f t="shared" si="83"/>
        <v>2017</v>
      </c>
      <c r="E2579" t="s">
        <v>38</v>
      </c>
      <c r="F2579" t="s">
        <v>143</v>
      </c>
      <c r="G2579" t="s">
        <v>10</v>
      </c>
      <c r="H2579" s="72">
        <v>786</v>
      </c>
      <c r="I2579" s="72" t="s">
        <v>51</v>
      </c>
      <c r="J2579" t="str">
        <f t="shared" si="84"/>
        <v>Nisqually River</v>
      </c>
      <c r="K2579" t="str">
        <f>IFERROR(VLOOKUP(J2579,LUTs!$A$1:$C$73,2,FALSE),"NA")</f>
        <v>Thurston/Pierce</v>
      </c>
      <c r="L2579" t="str">
        <f>IFERROR(VLOOKUP(J2579,LUTs!$A$1:$C$73,3,FALSE),"NA")</f>
        <v>3South Puget Sound</v>
      </c>
      <c r="M2579" s="72" t="s">
        <v>20</v>
      </c>
      <c r="N2579" t="str">
        <f>VLOOKUP(M2579,LUTs!E$2:H$14,3,)</f>
        <v>07Pierce</v>
      </c>
      <c r="O2579" t="str">
        <f>VLOOKUP(M2579,LUTs!E$2:H$14,4,)</f>
        <v>02South Puget Sound</v>
      </c>
      <c r="P2579" s="73">
        <v>4279.8628963153396</v>
      </c>
      <c r="Q2579" s="74">
        <f>VLOOKUP(B2579,Readme!A$40:C$51,2,)*P2579</f>
        <v>14722.728363324768</v>
      </c>
    </row>
    <row r="2580" spans="1:17" ht="12" customHeight="1" x14ac:dyDescent="0.35">
      <c r="A2580" s="75">
        <v>2579</v>
      </c>
      <c r="B2580" s="64">
        <v>2017</v>
      </c>
      <c r="C2580" s="64">
        <v>9</v>
      </c>
      <c r="D2580" s="80">
        <f t="shared" si="83"/>
        <v>2017</v>
      </c>
      <c r="E2580" t="s">
        <v>38</v>
      </c>
      <c r="F2580" t="s">
        <v>143</v>
      </c>
      <c r="G2580" t="s">
        <v>10</v>
      </c>
      <c r="H2580" s="72">
        <v>786</v>
      </c>
      <c r="I2580" s="72" t="s">
        <v>51</v>
      </c>
      <c r="J2580" t="str">
        <f t="shared" si="84"/>
        <v>Nisqually River</v>
      </c>
      <c r="K2580" t="str">
        <f>IFERROR(VLOOKUP(J2580,LUTs!$A$1:$C$73,2,FALSE),"NA")</f>
        <v>Thurston/Pierce</v>
      </c>
      <c r="L2580" t="str">
        <f>IFERROR(VLOOKUP(J2580,LUTs!$A$1:$C$73,3,FALSE),"NA")</f>
        <v>3South Puget Sound</v>
      </c>
      <c r="M2580" s="72" t="s">
        <v>16</v>
      </c>
      <c r="N2580" t="str">
        <f>VLOOKUP(M2580,LUTs!E$2:H$14,3,)</f>
        <v>03Snohomish</v>
      </c>
      <c r="O2580" t="str">
        <f>VLOOKUP(M2580,LUTs!E$2:H$14,4,)</f>
        <v>01North Puget Sound</v>
      </c>
      <c r="P2580" s="73">
        <v>120.84318766066799</v>
      </c>
      <c r="Q2580" s="74">
        <f>VLOOKUP(B2580,Readme!A$40:C$51,2,)*P2580</f>
        <v>415.70056555269787</v>
      </c>
    </row>
    <row r="2581" spans="1:17" ht="12" customHeight="1" x14ac:dyDescent="0.35">
      <c r="A2581" s="75">
        <v>2580</v>
      </c>
      <c r="B2581" s="64">
        <v>2017</v>
      </c>
      <c r="C2581" s="64">
        <v>9</v>
      </c>
      <c r="D2581" s="80">
        <f t="shared" si="83"/>
        <v>2017</v>
      </c>
      <c r="E2581" t="s">
        <v>38</v>
      </c>
      <c r="F2581" t="s">
        <v>143</v>
      </c>
      <c r="G2581" t="s">
        <v>10</v>
      </c>
      <c r="H2581" s="72">
        <v>786</v>
      </c>
      <c r="I2581" s="72" t="s">
        <v>51</v>
      </c>
      <c r="J2581" t="str">
        <f t="shared" si="84"/>
        <v>Nisqually River</v>
      </c>
      <c r="K2581" t="str">
        <f>IFERROR(VLOOKUP(J2581,LUTs!$A$1:$C$73,2,FALSE),"NA")</f>
        <v>Thurston/Pierce</v>
      </c>
      <c r="L2581" t="str">
        <f>IFERROR(VLOOKUP(J2581,LUTs!$A$1:$C$73,3,FALSE),"NA")</f>
        <v>3South Puget Sound</v>
      </c>
      <c r="M2581" s="72" t="s">
        <v>21</v>
      </c>
      <c r="N2581" t="str">
        <f>VLOOKUP(M2581,LUTs!E$2:H$14,3,)</f>
        <v>08Thurston</v>
      </c>
      <c r="O2581" t="str">
        <f>VLOOKUP(M2581,LUTs!E$2:H$14,4,)</f>
        <v>02South Puget Sound</v>
      </c>
      <c r="P2581" s="73">
        <v>4853.8680377035098</v>
      </c>
      <c r="Q2581" s="74">
        <f>VLOOKUP(B2581,Readme!A$40:C$51,2,)*P2581</f>
        <v>16697.306049700073</v>
      </c>
    </row>
    <row r="2582" spans="1:17" ht="12" customHeight="1" x14ac:dyDescent="0.35">
      <c r="A2582" s="75">
        <v>2581</v>
      </c>
      <c r="B2582" s="64">
        <v>2017</v>
      </c>
      <c r="C2582" s="64">
        <v>9</v>
      </c>
      <c r="D2582" s="80">
        <f t="shared" si="83"/>
        <v>2017</v>
      </c>
      <c r="E2582" t="s">
        <v>38</v>
      </c>
      <c r="F2582" t="s">
        <v>143</v>
      </c>
      <c r="G2582" t="s">
        <v>10</v>
      </c>
      <c r="H2582" s="72">
        <v>786</v>
      </c>
      <c r="I2582" s="72" t="s">
        <v>51</v>
      </c>
      <c r="J2582" t="str">
        <f t="shared" si="84"/>
        <v>Nisqually River</v>
      </c>
      <c r="K2582" t="str">
        <f>IFERROR(VLOOKUP(J2582,LUTs!$A$1:$C$73,2,FALSE),"NA")</f>
        <v>Thurston/Pierce</v>
      </c>
      <c r="L2582" t="str">
        <f>IFERROR(VLOOKUP(J2582,LUTs!$A$1:$C$73,3,FALSE),"NA")</f>
        <v>3South Puget Sound</v>
      </c>
      <c r="M2582" s="72" t="s">
        <v>13</v>
      </c>
      <c r="N2582" t="str">
        <f>VLOOKUP(M2582,LUTs!E$2:H$14,3,)</f>
        <v>01Whatcom</v>
      </c>
      <c r="O2582" t="str">
        <f>VLOOKUP(M2582,LUTs!E$2:H$14,4,)</f>
        <v>01North Puget Sound</v>
      </c>
      <c r="P2582" s="73">
        <v>50.3513281919452</v>
      </c>
      <c r="Q2582" s="74">
        <f>VLOOKUP(B2582,Readme!A$40:C$51,2,)*P2582</f>
        <v>173.20856898029149</v>
      </c>
    </row>
    <row r="2583" spans="1:17" ht="12" customHeight="1" x14ac:dyDescent="0.35">
      <c r="A2583" s="75">
        <v>2582</v>
      </c>
      <c r="B2583" s="64">
        <v>2017</v>
      </c>
      <c r="C2583" s="64">
        <v>10</v>
      </c>
      <c r="D2583" s="80">
        <f t="shared" si="83"/>
        <v>2017</v>
      </c>
      <c r="E2583" t="s">
        <v>38</v>
      </c>
      <c r="F2583" t="s">
        <v>143</v>
      </c>
      <c r="G2583" t="s">
        <v>10</v>
      </c>
      <c r="H2583" s="72">
        <v>786</v>
      </c>
      <c r="I2583" s="72" t="s">
        <v>51</v>
      </c>
      <c r="J2583" t="str">
        <f t="shared" si="84"/>
        <v>Nisqually River</v>
      </c>
      <c r="K2583" t="str">
        <f>IFERROR(VLOOKUP(J2583,LUTs!$A$1:$C$73,2,FALSE),"NA")</f>
        <v>Thurston/Pierce</v>
      </c>
      <c r="L2583" t="str">
        <f>IFERROR(VLOOKUP(J2583,LUTs!$A$1:$C$73,3,FALSE),"NA")</f>
        <v>3South Puget Sound</v>
      </c>
      <c r="M2583" s="72" t="s">
        <v>18</v>
      </c>
      <c r="N2583" t="str">
        <f>VLOOKUP(M2583,LUTs!E$2:H$14,3,)</f>
        <v>06King</v>
      </c>
      <c r="O2583" t="str">
        <f>VLOOKUP(M2583,LUTs!E$2:H$14,4,)</f>
        <v>02South Puget Sound</v>
      </c>
      <c r="P2583" s="73">
        <v>481.41253263707603</v>
      </c>
      <c r="Q2583" s="74">
        <f>VLOOKUP(B2583,Readme!A$40:C$51,2,)*P2583</f>
        <v>1656.0591122715416</v>
      </c>
    </row>
    <row r="2584" spans="1:17" ht="12" customHeight="1" x14ac:dyDescent="0.35">
      <c r="A2584" s="75">
        <v>2583</v>
      </c>
      <c r="B2584" s="64">
        <v>2017</v>
      </c>
      <c r="C2584" s="64">
        <v>10</v>
      </c>
      <c r="D2584" s="80">
        <f t="shared" si="83"/>
        <v>2017</v>
      </c>
      <c r="E2584" t="s">
        <v>38</v>
      </c>
      <c r="F2584" t="s">
        <v>143</v>
      </c>
      <c r="G2584" t="s">
        <v>10</v>
      </c>
      <c r="H2584" s="72">
        <v>786</v>
      </c>
      <c r="I2584" s="72" t="s">
        <v>51</v>
      </c>
      <c r="J2584" t="str">
        <f t="shared" si="84"/>
        <v>Nisqually River</v>
      </c>
      <c r="K2584" t="str">
        <f>IFERROR(VLOOKUP(J2584,LUTs!$A$1:$C$73,2,FALSE),"NA")</f>
        <v>Thurston/Pierce</v>
      </c>
      <c r="L2584" t="str">
        <f>IFERROR(VLOOKUP(J2584,LUTs!$A$1:$C$73,3,FALSE),"NA")</f>
        <v>3South Puget Sound</v>
      </c>
      <c r="M2584" s="72" t="s">
        <v>23</v>
      </c>
      <c r="N2584" t="str">
        <f>VLOOKUP(M2584,LUTs!E$2:H$14,3,)</f>
        <v>10Kitsap</v>
      </c>
      <c r="O2584" t="str">
        <f>VLOOKUP(M2584,LUTs!E$2:H$14,4,)</f>
        <v>02South Puget Sound</v>
      </c>
      <c r="P2584" s="73">
        <v>61.456919060052201</v>
      </c>
      <c r="Q2584" s="74">
        <f>VLOOKUP(B2584,Readme!A$40:C$51,2,)*P2584</f>
        <v>211.41180156657956</v>
      </c>
    </row>
    <row r="2585" spans="1:17" ht="12" customHeight="1" x14ac:dyDescent="0.35">
      <c r="A2585" s="75">
        <v>2584</v>
      </c>
      <c r="B2585" s="64">
        <v>2017</v>
      </c>
      <c r="C2585" s="64">
        <v>10</v>
      </c>
      <c r="D2585" s="80">
        <f t="shared" si="83"/>
        <v>2017</v>
      </c>
      <c r="E2585" t="s">
        <v>38</v>
      </c>
      <c r="F2585" t="s">
        <v>143</v>
      </c>
      <c r="G2585" t="s">
        <v>10</v>
      </c>
      <c r="H2585" s="72">
        <v>786</v>
      </c>
      <c r="I2585" s="72" t="s">
        <v>51</v>
      </c>
      <c r="J2585" t="str">
        <f t="shared" si="84"/>
        <v>Nisqually River</v>
      </c>
      <c r="K2585" t="str">
        <f>IFERROR(VLOOKUP(J2585,LUTs!$A$1:$C$73,2,FALSE),"NA")</f>
        <v>Thurston/Pierce</v>
      </c>
      <c r="L2585" t="str">
        <f>IFERROR(VLOOKUP(J2585,LUTs!$A$1:$C$73,3,FALSE),"NA")</f>
        <v>3South Puget Sound</v>
      </c>
      <c r="M2585" s="72" t="s">
        <v>22</v>
      </c>
      <c r="N2585" t="str">
        <f>VLOOKUP(M2585,LUTs!E$2:H$14,3,)</f>
        <v>09Mason</v>
      </c>
      <c r="O2585" t="str">
        <f>VLOOKUP(M2585,LUTs!E$2:H$14,4,)</f>
        <v>02South Puget Sound</v>
      </c>
      <c r="P2585" s="73">
        <v>30.7284595300261</v>
      </c>
      <c r="Q2585" s="74">
        <f>VLOOKUP(B2585,Readme!A$40:C$51,2,)*P2585</f>
        <v>105.70590078328978</v>
      </c>
    </row>
    <row r="2586" spans="1:17" ht="12" customHeight="1" x14ac:dyDescent="0.35">
      <c r="A2586" s="75">
        <v>2585</v>
      </c>
      <c r="B2586" s="64">
        <v>2017</v>
      </c>
      <c r="C2586" s="64">
        <v>10</v>
      </c>
      <c r="D2586" s="80">
        <f t="shared" si="83"/>
        <v>2017</v>
      </c>
      <c r="E2586" t="s">
        <v>38</v>
      </c>
      <c r="F2586" t="s">
        <v>143</v>
      </c>
      <c r="G2586" t="s">
        <v>10</v>
      </c>
      <c r="H2586" s="72">
        <v>786</v>
      </c>
      <c r="I2586" s="72" t="s">
        <v>51</v>
      </c>
      <c r="J2586" t="str">
        <f t="shared" si="84"/>
        <v>Nisqually River</v>
      </c>
      <c r="K2586" t="str">
        <f>IFERROR(VLOOKUP(J2586,LUTs!$A$1:$C$73,2,FALSE),"NA")</f>
        <v>Thurston/Pierce</v>
      </c>
      <c r="L2586" t="str">
        <f>IFERROR(VLOOKUP(J2586,LUTs!$A$1:$C$73,3,FALSE),"NA")</f>
        <v>3South Puget Sound</v>
      </c>
      <c r="M2586" s="72" t="s">
        <v>26</v>
      </c>
      <c r="N2586" t="str">
        <f>VLOOKUP(M2586,LUTs!E$2:H$14,3,)</f>
        <v>20Other</v>
      </c>
      <c r="O2586" t="str">
        <f>VLOOKUP(M2586,LUTs!E$2:H$14,4,)</f>
        <v>07Non Puget Sound</v>
      </c>
      <c r="P2586" s="73">
        <v>163.88511749347299</v>
      </c>
      <c r="Q2586" s="74">
        <f>VLOOKUP(B2586,Readme!A$40:C$51,2,)*P2586</f>
        <v>563.76480417754703</v>
      </c>
    </row>
    <row r="2587" spans="1:17" ht="12" customHeight="1" x14ac:dyDescent="0.35">
      <c r="A2587" s="75">
        <v>2586</v>
      </c>
      <c r="B2587" s="64">
        <v>2017</v>
      </c>
      <c r="C2587" s="64">
        <v>10</v>
      </c>
      <c r="D2587" s="80">
        <f t="shared" si="83"/>
        <v>2017</v>
      </c>
      <c r="E2587" t="s">
        <v>38</v>
      </c>
      <c r="F2587" t="s">
        <v>143</v>
      </c>
      <c r="G2587" t="s">
        <v>10</v>
      </c>
      <c r="H2587" s="72">
        <v>786</v>
      </c>
      <c r="I2587" s="72" t="s">
        <v>51</v>
      </c>
      <c r="J2587" t="str">
        <f t="shared" si="84"/>
        <v>Nisqually River</v>
      </c>
      <c r="K2587" t="str">
        <f>IFERROR(VLOOKUP(J2587,LUTs!$A$1:$C$73,2,FALSE),"NA")</f>
        <v>Thurston/Pierce</v>
      </c>
      <c r="L2587" t="str">
        <f>IFERROR(VLOOKUP(J2587,LUTs!$A$1:$C$73,3,FALSE),"NA")</f>
        <v>3South Puget Sound</v>
      </c>
      <c r="M2587" s="72" t="s">
        <v>20</v>
      </c>
      <c r="N2587" t="str">
        <f>VLOOKUP(M2587,LUTs!E$2:H$14,3,)</f>
        <v>07Pierce</v>
      </c>
      <c r="O2587" t="str">
        <f>VLOOKUP(M2587,LUTs!E$2:H$14,4,)</f>
        <v>02South Puget Sound</v>
      </c>
      <c r="P2587" s="73">
        <v>1587.63707571802</v>
      </c>
      <c r="Q2587" s="74">
        <f>VLOOKUP(B2587,Readme!A$40:C$51,2,)*P2587</f>
        <v>5461.4715404699891</v>
      </c>
    </row>
    <row r="2588" spans="1:17" ht="12" customHeight="1" x14ac:dyDescent="0.35">
      <c r="A2588" s="75">
        <v>2587</v>
      </c>
      <c r="B2588" s="64">
        <v>2017</v>
      </c>
      <c r="C2588" s="64">
        <v>10</v>
      </c>
      <c r="D2588" s="80">
        <f t="shared" si="83"/>
        <v>2017</v>
      </c>
      <c r="E2588" t="s">
        <v>38</v>
      </c>
      <c r="F2588" t="s">
        <v>143</v>
      </c>
      <c r="G2588" t="s">
        <v>10</v>
      </c>
      <c r="H2588" s="72">
        <v>786</v>
      </c>
      <c r="I2588" s="72" t="s">
        <v>51</v>
      </c>
      <c r="J2588" t="str">
        <f t="shared" si="84"/>
        <v>Nisqually River</v>
      </c>
      <c r="K2588" t="str">
        <f>IFERROR(VLOOKUP(J2588,LUTs!$A$1:$C$73,2,FALSE),"NA")</f>
        <v>Thurston/Pierce</v>
      </c>
      <c r="L2588" t="str">
        <f>IFERROR(VLOOKUP(J2588,LUTs!$A$1:$C$73,3,FALSE),"NA")</f>
        <v>3South Puget Sound</v>
      </c>
      <c r="M2588" s="72" t="s">
        <v>16</v>
      </c>
      <c r="N2588" t="str">
        <f>VLOOKUP(M2588,LUTs!E$2:H$14,3,)</f>
        <v>03Snohomish</v>
      </c>
      <c r="O2588" t="str">
        <f>VLOOKUP(M2588,LUTs!E$2:H$14,4,)</f>
        <v>01North Puget Sound</v>
      </c>
      <c r="P2588" s="73">
        <v>40.971279373368198</v>
      </c>
      <c r="Q2588" s="74">
        <f>VLOOKUP(B2588,Readme!A$40:C$51,2,)*P2588</f>
        <v>140.94120104438659</v>
      </c>
    </row>
    <row r="2589" spans="1:17" ht="12" customHeight="1" x14ac:dyDescent="0.35">
      <c r="A2589" s="75">
        <v>2588</v>
      </c>
      <c r="B2589" s="64">
        <v>2017</v>
      </c>
      <c r="C2589" s="64">
        <v>10</v>
      </c>
      <c r="D2589" s="80">
        <f t="shared" si="83"/>
        <v>2017</v>
      </c>
      <c r="E2589" t="s">
        <v>38</v>
      </c>
      <c r="F2589" t="s">
        <v>143</v>
      </c>
      <c r="G2589" t="s">
        <v>10</v>
      </c>
      <c r="H2589" s="72">
        <v>786</v>
      </c>
      <c r="I2589" s="72" t="s">
        <v>51</v>
      </c>
      <c r="J2589" t="str">
        <f t="shared" si="84"/>
        <v>Nisqually River</v>
      </c>
      <c r="K2589" t="str">
        <f>IFERROR(VLOOKUP(J2589,LUTs!$A$1:$C$73,2,FALSE),"NA")</f>
        <v>Thurston/Pierce</v>
      </c>
      <c r="L2589" t="str">
        <f>IFERROR(VLOOKUP(J2589,LUTs!$A$1:$C$73,3,FALSE),"NA")</f>
        <v>3South Puget Sound</v>
      </c>
      <c r="M2589" s="72" t="s">
        <v>21</v>
      </c>
      <c r="N2589" t="str">
        <f>VLOOKUP(M2589,LUTs!E$2:H$14,3,)</f>
        <v>08Thurston</v>
      </c>
      <c r="O2589" t="str">
        <f>VLOOKUP(M2589,LUTs!E$2:H$14,4,)</f>
        <v>02South Puget Sound</v>
      </c>
      <c r="P2589" s="73">
        <v>1556.90861618799</v>
      </c>
      <c r="Q2589" s="74">
        <f>VLOOKUP(B2589,Readme!A$40:C$51,2,)*P2589</f>
        <v>5355.7656396866851</v>
      </c>
    </row>
    <row r="2590" spans="1:17" ht="12" customHeight="1" x14ac:dyDescent="0.35">
      <c r="A2590" s="75">
        <v>2589</v>
      </c>
      <c r="B2590" s="64">
        <v>2017</v>
      </c>
      <c r="C2590" s="64">
        <v>11</v>
      </c>
      <c r="D2590" s="80">
        <f t="shared" si="83"/>
        <v>2017</v>
      </c>
      <c r="E2590" t="s">
        <v>38</v>
      </c>
      <c r="F2590" t="s">
        <v>143</v>
      </c>
      <c r="G2590" t="s">
        <v>10</v>
      </c>
      <c r="H2590" s="72">
        <v>786</v>
      </c>
      <c r="I2590" s="72" t="s">
        <v>51</v>
      </c>
      <c r="J2590" t="str">
        <f t="shared" si="84"/>
        <v>Nisqually River</v>
      </c>
      <c r="K2590" t="str">
        <f>IFERROR(VLOOKUP(J2590,LUTs!$A$1:$C$73,2,FALSE),"NA")</f>
        <v>Thurston/Pierce</v>
      </c>
      <c r="L2590" t="str">
        <f>IFERROR(VLOOKUP(J2590,LUTs!$A$1:$C$73,3,FALSE),"NA")</f>
        <v>3South Puget Sound</v>
      </c>
      <c r="M2590" s="72" t="s">
        <v>18</v>
      </c>
      <c r="N2590" t="str">
        <f>VLOOKUP(M2590,LUTs!E$2:H$14,3,)</f>
        <v>06King</v>
      </c>
      <c r="O2590" t="str">
        <f>VLOOKUP(M2590,LUTs!E$2:H$14,4,)</f>
        <v>02South Puget Sound</v>
      </c>
      <c r="P2590" s="73">
        <v>10</v>
      </c>
      <c r="Q2590" s="74">
        <f>VLOOKUP(B2590,Readme!A$40:C$51,2,)*P2590</f>
        <v>34.4</v>
      </c>
    </row>
    <row r="2591" spans="1:17" ht="12" customHeight="1" x14ac:dyDescent="0.35">
      <c r="A2591" s="75">
        <v>2590</v>
      </c>
      <c r="B2591" s="64">
        <v>2017</v>
      </c>
      <c r="C2591" s="64">
        <v>11</v>
      </c>
      <c r="D2591" s="80">
        <f t="shared" si="83"/>
        <v>2017</v>
      </c>
      <c r="E2591" t="s">
        <v>38</v>
      </c>
      <c r="F2591" t="s">
        <v>143</v>
      </c>
      <c r="G2591" t="s">
        <v>10</v>
      </c>
      <c r="H2591" s="72">
        <v>786</v>
      </c>
      <c r="I2591" s="72" t="s">
        <v>51</v>
      </c>
      <c r="J2591" t="str">
        <f t="shared" si="84"/>
        <v>Nisqually River</v>
      </c>
      <c r="K2591" t="str">
        <f>IFERROR(VLOOKUP(J2591,LUTs!$A$1:$C$73,2,FALSE),"NA")</f>
        <v>Thurston/Pierce</v>
      </c>
      <c r="L2591" t="str">
        <f>IFERROR(VLOOKUP(J2591,LUTs!$A$1:$C$73,3,FALSE),"NA")</f>
        <v>3South Puget Sound</v>
      </c>
      <c r="M2591" s="72" t="s">
        <v>26</v>
      </c>
      <c r="N2591" t="str">
        <f>VLOOKUP(M2591,LUTs!E$2:H$14,3,)</f>
        <v>20Other</v>
      </c>
      <c r="O2591" t="str">
        <f>VLOOKUP(M2591,LUTs!E$2:H$14,4,)</f>
        <v>07Non Puget Sound</v>
      </c>
      <c r="P2591" s="73">
        <v>10</v>
      </c>
      <c r="Q2591" s="74">
        <f>VLOOKUP(B2591,Readme!A$40:C$51,2,)*P2591</f>
        <v>34.4</v>
      </c>
    </row>
    <row r="2592" spans="1:17" ht="12" customHeight="1" x14ac:dyDescent="0.35">
      <c r="A2592" s="75">
        <v>2591</v>
      </c>
      <c r="B2592" s="64">
        <v>2017</v>
      </c>
      <c r="C2592" s="64">
        <v>11</v>
      </c>
      <c r="D2592" s="80">
        <f t="shared" si="83"/>
        <v>2017</v>
      </c>
      <c r="E2592" t="s">
        <v>38</v>
      </c>
      <c r="F2592" t="s">
        <v>143</v>
      </c>
      <c r="G2592" t="s">
        <v>10</v>
      </c>
      <c r="H2592" s="72">
        <v>786</v>
      </c>
      <c r="I2592" s="72" t="s">
        <v>51</v>
      </c>
      <c r="J2592" t="str">
        <f t="shared" si="84"/>
        <v>Nisqually River</v>
      </c>
      <c r="K2592" t="str">
        <f>IFERROR(VLOOKUP(J2592,LUTs!$A$1:$C$73,2,FALSE),"NA")</f>
        <v>Thurston/Pierce</v>
      </c>
      <c r="L2592" t="str">
        <f>IFERROR(VLOOKUP(J2592,LUTs!$A$1:$C$73,3,FALSE),"NA")</f>
        <v>3South Puget Sound</v>
      </c>
      <c r="M2592" s="72" t="s">
        <v>21</v>
      </c>
      <c r="N2592" t="str">
        <f>VLOOKUP(M2592,LUTs!E$2:H$14,3,)</f>
        <v>08Thurston</v>
      </c>
      <c r="O2592" t="str">
        <f>VLOOKUP(M2592,LUTs!E$2:H$14,4,)</f>
        <v>02South Puget Sound</v>
      </c>
      <c r="P2592" s="73">
        <v>10</v>
      </c>
      <c r="Q2592" s="74">
        <f>VLOOKUP(B2592,Readme!A$40:C$51,2,)*P2592</f>
        <v>34.4</v>
      </c>
    </row>
    <row r="2593" spans="1:17" ht="12" customHeight="1" x14ac:dyDescent="0.35">
      <c r="A2593" s="75">
        <v>2592</v>
      </c>
      <c r="B2593" s="64">
        <v>2017</v>
      </c>
      <c r="C2593" s="64">
        <v>12</v>
      </c>
      <c r="D2593" s="80">
        <f t="shared" si="83"/>
        <v>2017</v>
      </c>
      <c r="E2593" t="s">
        <v>38</v>
      </c>
      <c r="F2593" t="s">
        <v>143</v>
      </c>
      <c r="G2593" t="s">
        <v>10</v>
      </c>
      <c r="H2593" s="72">
        <v>786</v>
      </c>
      <c r="I2593" s="72" t="s">
        <v>51</v>
      </c>
      <c r="J2593" t="str">
        <f t="shared" si="84"/>
        <v>Nisqually River</v>
      </c>
      <c r="K2593" t="str">
        <f>IFERROR(VLOOKUP(J2593,LUTs!$A$1:$C$73,2,FALSE),"NA")</f>
        <v>Thurston/Pierce</v>
      </c>
      <c r="L2593" t="str">
        <f>IFERROR(VLOOKUP(J2593,LUTs!$A$1:$C$73,3,FALSE),"NA")</f>
        <v>3South Puget Sound</v>
      </c>
      <c r="M2593" s="72" t="s">
        <v>20</v>
      </c>
      <c r="N2593" t="str">
        <f>VLOOKUP(M2593,LUTs!E$2:H$14,3,)</f>
        <v>07Pierce</v>
      </c>
      <c r="O2593" t="str">
        <f>VLOOKUP(M2593,LUTs!E$2:H$14,4,)</f>
        <v>02South Puget Sound</v>
      </c>
      <c r="P2593" s="73">
        <v>108.842105263158</v>
      </c>
      <c r="Q2593" s="74">
        <f>VLOOKUP(B2593,Readme!A$40:C$51,2,)*P2593</f>
        <v>374.41684210526353</v>
      </c>
    </row>
    <row r="2594" spans="1:17" ht="12" customHeight="1" x14ac:dyDescent="0.35">
      <c r="A2594" s="75">
        <v>2593</v>
      </c>
      <c r="B2594" s="64">
        <v>2017</v>
      </c>
      <c r="C2594" s="64">
        <v>12</v>
      </c>
      <c r="D2594" s="80">
        <f t="shared" si="83"/>
        <v>2017</v>
      </c>
      <c r="E2594" t="s">
        <v>38</v>
      </c>
      <c r="F2594" t="s">
        <v>143</v>
      </c>
      <c r="G2594" t="s">
        <v>10</v>
      </c>
      <c r="H2594" s="72">
        <v>786</v>
      </c>
      <c r="I2594" s="72" t="s">
        <v>51</v>
      </c>
      <c r="J2594" t="str">
        <f t="shared" si="84"/>
        <v>Nisqually River</v>
      </c>
      <c r="K2594" t="str">
        <f>IFERROR(VLOOKUP(J2594,LUTs!$A$1:$C$73,2,FALSE),"NA")</f>
        <v>Thurston/Pierce</v>
      </c>
      <c r="L2594" t="str">
        <f>IFERROR(VLOOKUP(J2594,LUTs!$A$1:$C$73,3,FALSE),"NA")</f>
        <v>3South Puget Sound</v>
      </c>
      <c r="M2594" s="72" t="s">
        <v>21</v>
      </c>
      <c r="N2594" t="str">
        <f>VLOOKUP(M2594,LUTs!E$2:H$14,3,)</f>
        <v>08Thurston</v>
      </c>
      <c r="O2594" t="str">
        <f>VLOOKUP(M2594,LUTs!E$2:H$14,4,)</f>
        <v>02South Puget Sound</v>
      </c>
      <c r="P2594" s="73">
        <v>79.157894736842096</v>
      </c>
      <c r="Q2594" s="74">
        <f>VLOOKUP(B2594,Readme!A$40:C$51,2,)*P2594</f>
        <v>272.30315789473678</v>
      </c>
    </row>
    <row r="2595" spans="1:17" ht="12" customHeight="1" x14ac:dyDescent="0.35">
      <c r="A2595" s="75">
        <v>2594</v>
      </c>
      <c r="B2595" s="64">
        <v>2018</v>
      </c>
      <c r="C2595" s="64">
        <v>1</v>
      </c>
      <c r="D2595" s="80">
        <f t="shared" si="83"/>
        <v>2017</v>
      </c>
      <c r="E2595" t="s">
        <v>38</v>
      </c>
      <c r="F2595" t="s">
        <v>143</v>
      </c>
      <c r="G2595" t="s">
        <v>10</v>
      </c>
      <c r="H2595" s="72">
        <v>786</v>
      </c>
      <c r="I2595" s="72" t="s">
        <v>51</v>
      </c>
      <c r="J2595" t="str">
        <f t="shared" si="84"/>
        <v>Nisqually River</v>
      </c>
      <c r="K2595" t="str">
        <f>IFERROR(VLOOKUP(J2595,LUTs!$A$1:$C$73,2,FALSE),"NA")</f>
        <v>Thurston/Pierce</v>
      </c>
      <c r="L2595" t="str">
        <f>IFERROR(VLOOKUP(J2595,LUTs!$A$1:$C$73,3,FALSE),"NA")</f>
        <v>3South Puget Sound</v>
      </c>
      <c r="M2595" s="72" t="s">
        <v>20</v>
      </c>
      <c r="N2595" t="str">
        <f>VLOOKUP(M2595,LUTs!E$2:H$14,3,)</f>
        <v>07Pierce</v>
      </c>
      <c r="O2595" t="str">
        <f>VLOOKUP(M2595,LUTs!E$2:H$14,4,)</f>
        <v>02South Puget Sound</v>
      </c>
      <c r="P2595" s="73">
        <v>20</v>
      </c>
      <c r="Q2595" s="74">
        <f>VLOOKUP(B2595,Readme!A$40:C$51,2,)*P2595</f>
        <v>173</v>
      </c>
    </row>
    <row r="2596" spans="1:17" ht="12" customHeight="1" x14ac:dyDescent="0.35">
      <c r="A2596" s="75">
        <v>2595</v>
      </c>
      <c r="B2596" s="64">
        <v>2017</v>
      </c>
      <c r="C2596" s="64">
        <v>7</v>
      </c>
      <c r="D2596" s="80">
        <f t="shared" si="83"/>
        <v>2017</v>
      </c>
      <c r="E2596" t="s">
        <v>38</v>
      </c>
      <c r="F2596" t="s">
        <v>143</v>
      </c>
      <c r="G2596" t="s">
        <v>10</v>
      </c>
      <c r="H2596" s="72">
        <v>788</v>
      </c>
      <c r="I2596" s="72" t="s">
        <v>52</v>
      </c>
      <c r="J2596" t="str">
        <f t="shared" si="84"/>
        <v>Nooksack River</v>
      </c>
      <c r="K2596" t="str">
        <f>IFERROR(VLOOKUP(J2596,LUTs!$A$1:$C$73,2,FALSE),"NA")</f>
        <v>Whatcom</v>
      </c>
      <c r="L2596" t="str">
        <f>IFERROR(VLOOKUP(J2596,LUTs!$A$1:$C$73,3,FALSE),"NA")</f>
        <v>1North Puget Sound</v>
      </c>
      <c r="M2596" s="72" t="s">
        <v>13</v>
      </c>
      <c r="N2596" t="str">
        <f>VLOOKUP(M2596,LUTs!E$2:H$14,3,)</f>
        <v>01Whatcom</v>
      </c>
      <c r="O2596" t="str">
        <f>VLOOKUP(M2596,LUTs!E$2:H$14,4,)</f>
        <v>01North Puget Sound</v>
      </c>
      <c r="P2596" s="73">
        <v>10</v>
      </c>
      <c r="Q2596" s="74">
        <f>VLOOKUP(B2596,Readme!A$40:C$51,2,)*P2596</f>
        <v>34.4</v>
      </c>
    </row>
    <row r="2597" spans="1:17" ht="12" customHeight="1" x14ac:dyDescent="0.35">
      <c r="A2597" s="75">
        <v>2596</v>
      </c>
      <c r="B2597" s="64">
        <v>2017</v>
      </c>
      <c r="C2597" s="64">
        <v>8</v>
      </c>
      <c r="D2597" s="80">
        <f t="shared" si="83"/>
        <v>2017</v>
      </c>
      <c r="E2597" t="s">
        <v>38</v>
      </c>
      <c r="F2597" t="s">
        <v>143</v>
      </c>
      <c r="G2597" t="s">
        <v>10</v>
      </c>
      <c r="H2597" s="72">
        <v>788</v>
      </c>
      <c r="I2597" s="72" t="s">
        <v>52</v>
      </c>
      <c r="J2597" t="str">
        <f t="shared" si="84"/>
        <v>Nooksack River</v>
      </c>
      <c r="K2597" t="str">
        <f>IFERROR(VLOOKUP(J2597,LUTs!$A$1:$C$73,2,FALSE),"NA")</f>
        <v>Whatcom</v>
      </c>
      <c r="L2597" t="str">
        <f>IFERROR(VLOOKUP(J2597,LUTs!$A$1:$C$73,3,FALSE),"NA")</f>
        <v>1North Puget Sound</v>
      </c>
      <c r="M2597" s="72" t="s">
        <v>26</v>
      </c>
      <c r="N2597" t="str">
        <f>VLOOKUP(M2597,LUTs!E$2:H$14,3,)</f>
        <v>20Other</v>
      </c>
      <c r="O2597" t="str">
        <f>VLOOKUP(M2597,LUTs!E$2:H$14,4,)</f>
        <v>07Non Puget Sound</v>
      </c>
      <c r="P2597" s="73">
        <v>9.6744186046511604</v>
      </c>
      <c r="Q2597" s="74">
        <f>VLOOKUP(B2597,Readme!A$40:C$51,2,)*P2597</f>
        <v>33.279999999999994</v>
      </c>
    </row>
    <row r="2598" spans="1:17" ht="12" customHeight="1" x14ac:dyDescent="0.35">
      <c r="A2598" s="75">
        <v>2597</v>
      </c>
      <c r="B2598" s="64">
        <v>2017</v>
      </c>
      <c r="C2598" s="64">
        <v>8</v>
      </c>
      <c r="D2598" s="80">
        <f t="shared" si="83"/>
        <v>2017</v>
      </c>
      <c r="E2598" t="s">
        <v>38</v>
      </c>
      <c r="F2598" t="s">
        <v>143</v>
      </c>
      <c r="G2598" t="s">
        <v>10</v>
      </c>
      <c r="H2598" s="72">
        <v>788</v>
      </c>
      <c r="I2598" s="72" t="s">
        <v>52</v>
      </c>
      <c r="J2598" t="str">
        <f t="shared" si="84"/>
        <v>Nooksack River</v>
      </c>
      <c r="K2598" t="str">
        <f>IFERROR(VLOOKUP(J2598,LUTs!$A$1:$C$73,2,FALSE),"NA")</f>
        <v>Whatcom</v>
      </c>
      <c r="L2598" t="str">
        <f>IFERROR(VLOOKUP(J2598,LUTs!$A$1:$C$73,3,FALSE),"NA")</f>
        <v>1North Puget Sound</v>
      </c>
      <c r="M2598" s="72" t="s">
        <v>15</v>
      </c>
      <c r="N2598" t="str">
        <f>VLOOKUP(M2598,LUTs!E$2:H$14,3,)</f>
        <v>02Skagit</v>
      </c>
      <c r="O2598" t="str">
        <f>VLOOKUP(M2598,LUTs!E$2:H$14,4,)</f>
        <v>01North Puget Sound</v>
      </c>
      <c r="P2598" s="73">
        <v>29.023255813953501</v>
      </c>
      <c r="Q2598" s="74">
        <f>VLOOKUP(B2598,Readme!A$40:C$51,2,)*P2598</f>
        <v>99.840000000000046</v>
      </c>
    </row>
    <row r="2599" spans="1:17" ht="12" customHeight="1" x14ac:dyDescent="0.35">
      <c r="A2599" s="75">
        <v>2598</v>
      </c>
      <c r="B2599" s="64">
        <v>2017</v>
      </c>
      <c r="C2599" s="64">
        <v>8</v>
      </c>
      <c r="D2599" s="80">
        <f t="shared" si="83"/>
        <v>2017</v>
      </c>
      <c r="E2599" t="s">
        <v>38</v>
      </c>
      <c r="F2599" t="s">
        <v>143</v>
      </c>
      <c r="G2599" t="s">
        <v>10</v>
      </c>
      <c r="H2599" s="72">
        <v>788</v>
      </c>
      <c r="I2599" s="72" t="s">
        <v>52</v>
      </c>
      <c r="J2599" t="str">
        <f t="shared" si="84"/>
        <v>Nooksack River</v>
      </c>
      <c r="K2599" t="str">
        <f>IFERROR(VLOOKUP(J2599,LUTs!$A$1:$C$73,2,FALSE),"NA")</f>
        <v>Whatcom</v>
      </c>
      <c r="L2599" t="str">
        <f>IFERROR(VLOOKUP(J2599,LUTs!$A$1:$C$73,3,FALSE),"NA")</f>
        <v>1North Puget Sound</v>
      </c>
      <c r="M2599" s="72" t="s">
        <v>13</v>
      </c>
      <c r="N2599" t="str">
        <f>VLOOKUP(M2599,LUTs!E$2:H$14,3,)</f>
        <v>01Whatcom</v>
      </c>
      <c r="O2599" t="str">
        <f>VLOOKUP(M2599,LUTs!E$2:H$14,4,)</f>
        <v>01North Puget Sound</v>
      </c>
      <c r="P2599" s="73">
        <v>1209.3023255814001</v>
      </c>
      <c r="Q2599" s="74">
        <f>VLOOKUP(B2599,Readme!A$40:C$51,2,)*P2599</f>
        <v>4160.0000000000164</v>
      </c>
    </row>
    <row r="2600" spans="1:17" ht="12" customHeight="1" x14ac:dyDescent="0.35">
      <c r="A2600" s="75">
        <v>2599</v>
      </c>
      <c r="B2600" s="64">
        <v>2017</v>
      </c>
      <c r="C2600" s="64">
        <v>9</v>
      </c>
      <c r="D2600" s="80">
        <f t="shared" si="83"/>
        <v>2017</v>
      </c>
      <c r="E2600" t="s">
        <v>38</v>
      </c>
      <c r="F2600" t="s">
        <v>143</v>
      </c>
      <c r="G2600" t="s">
        <v>10</v>
      </c>
      <c r="H2600" s="72">
        <v>788</v>
      </c>
      <c r="I2600" s="72" t="s">
        <v>52</v>
      </c>
      <c r="J2600" t="str">
        <f t="shared" si="84"/>
        <v>Nooksack River</v>
      </c>
      <c r="K2600" t="str">
        <f>IFERROR(VLOOKUP(J2600,LUTs!$A$1:$C$73,2,FALSE),"NA")</f>
        <v>Whatcom</v>
      </c>
      <c r="L2600" t="str">
        <f>IFERROR(VLOOKUP(J2600,LUTs!$A$1:$C$73,3,FALSE),"NA")</f>
        <v>1North Puget Sound</v>
      </c>
      <c r="M2600" s="72" t="s">
        <v>26</v>
      </c>
      <c r="N2600" t="str">
        <f>VLOOKUP(M2600,LUTs!E$2:H$14,3,)</f>
        <v>20Other</v>
      </c>
      <c r="O2600" t="str">
        <f>VLOOKUP(M2600,LUTs!E$2:H$14,4,)</f>
        <v>07Non Puget Sound</v>
      </c>
      <c r="P2600" s="73">
        <v>9.66</v>
      </c>
      <c r="Q2600" s="74">
        <f>VLOOKUP(B2600,Readme!A$40:C$51,2,)*P2600</f>
        <v>33.230400000000003</v>
      </c>
    </row>
    <row r="2601" spans="1:17" ht="12" customHeight="1" x14ac:dyDescent="0.35">
      <c r="A2601" s="75">
        <v>2600</v>
      </c>
      <c r="B2601" s="64">
        <v>2017</v>
      </c>
      <c r="C2601" s="64">
        <v>9</v>
      </c>
      <c r="D2601" s="80">
        <f t="shared" si="83"/>
        <v>2017</v>
      </c>
      <c r="E2601" t="s">
        <v>38</v>
      </c>
      <c r="F2601" t="s">
        <v>143</v>
      </c>
      <c r="G2601" t="s">
        <v>10</v>
      </c>
      <c r="H2601" s="72">
        <v>788</v>
      </c>
      <c r="I2601" s="72" t="s">
        <v>52</v>
      </c>
      <c r="J2601" t="str">
        <f t="shared" si="84"/>
        <v>Nooksack River</v>
      </c>
      <c r="K2601" t="str">
        <f>IFERROR(VLOOKUP(J2601,LUTs!$A$1:$C$73,2,FALSE),"NA")</f>
        <v>Whatcom</v>
      </c>
      <c r="L2601" t="str">
        <f>IFERROR(VLOOKUP(J2601,LUTs!$A$1:$C$73,3,FALSE),"NA")</f>
        <v>1North Puget Sound</v>
      </c>
      <c r="M2601" s="72" t="s">
        <v>13</v>
      </c>
      <c r="N2601" t="str">
        <f>VLOOKUP(M2601,LUTs!E$2:H$14,3,)</f>
        <v>01Whatcom</v>
      </c>
      <c r="O2601" t="str">
        <f>VLOOKUP(M2601,LUTs!E$2:H$14,4,)</f>
        <v>01North Puget Sound</v>
      </c>
      <c r="P2601" s="73">
        <v>473.34</v>
      </c>
      <c r="Q2601" s="74">
        <f>VLOOKUP(B2601,Readme!A$40:C$51,2,)*P2601</f>
        <v>1628.2895999999998</v>
      </c>
    </row>
    <row r="2602" spans="1:17" ht="12" customHeight="1" x14ac:dyDescent="0.35">
      <c r="A2602" s="75">
        <v>2601</v>
      </c>
      <c r="B2602" s="64">
        <v>2017</v>
      </c>
      <c r="C2602" s="64">
        <v>10</v>
      </c>
      <c r="D2602" s="80">
        <f t="shared" si="83"/>
        <v>2017</v>
      </c>
      <c r="E2602" t="s">
        <v>38</v>
      </c>
      <c r="F2602" t="s">
        <v>143</v>
      </c>
      <c r="G2602" t="s">
        <v>10</v>
      </c>
      <c r="H2602" s="72">
        <v>788</v>
      </c>
      <c r="I2602" s="72" t="s">
        <v>52</v>
      </c>
      <c r="J2602" t="str">
        <f t="shared" si="84"/>
        <v>Nooksack River</v>
      </c>
      <c r="K2602" t="str">
        <f>IFERROR(VLOOKUP(J2602,LUTs!$A$1:$C$73,2,FALSE),"NA")</f>
        <v>Whatcom</v>
      </c>
      <c r="L2602" t="str">
        <f>IFERROR(VLOOKUP(J2602,LUTs!$A$1:$C$73,3,FALSE),"NA")</f>
        <v>1North Puget Sound</v>
      </c>
      <c r="M2602" s="72" t="s">
        <v>17</v>
      </c>
      <c r="N2602" t="str">
        <f>VLOOKUP(M2602,LUTs!E$2:H$14,3,)</f>
        <v>04Island</v>
      </c>
      <c r="O2602" t="str">
        <f>VLOOKUP(M2602,LUTs!E$2:H$14,4,)</f>
        <v>01North Puget Sound</v>
      </c>
      <c r="P2602" s="73">
        <v>58.137931034482797</v>
      </c>
      <c r="Q2602" s="74">
        <f>VLOOKUP(B2602,Readme!A$40:C$51,2,)*P2602</f>
        <v>199.99448275862082</v>
      </c>
    </row>
    <row r="2603" spans="1:17" ht="12" customHeight="1" x14ac:dyDescent="0.35">
      <c r="A2603" s="75">
        <v>2602</v>
      </c>
      <c r="B2603" s="64">
        <v>2017</v>
      </c>
      <c r="C2603" s="64">
        <v>10</v>
      </c>
      <c r="D2603" s="80">
        <f t="shared" si="83"/>
        <v>2017</v>
      </c>
      <c r="E2603" t="s">
        <v>38</v>
      </c>
      <c r="F2603" t="s">
        <v>143</v>
      </c>
      <c r="G2603" t="s">
        <v>10</v>
      </c>
      <c r="H2603" s="72">
        <v>788</v>
      </c>
      <c r="I2603" s="72" t="s">
        <v>52</v>
      </c>
      <c r="J2603" t="str">
        <f t="shared" si="84"/>
        <v>Nooksack River</v>
      </c>
      <c r="K2603" t="str">
        <f>IFERROR(VLOOKUP(J2603,LUTs!$A$1:$C$73,2,FALSE),"NA")</f>
        <v>Whatcom</v>
      </c>
      <c r="L2603" t="str">
        <f>IFERROR(VLOOKUP(J2603,LUTs!$A$1:$C$73,3,FALSE),"NA")</f>
        <v>1North Puget Sound</v>
      </c>
      <c r="M2603" s="72" t="s">
        <v>18</v>
      </c>
      <c r="N2603" t="str">
        <f>VLOOKUP(M2603,LUTs!E$2:H$14,3,)</f>
        <v>06King</v>
      </c>
      <c r="O2603" t="str">
        <f>VLOOKUP(M2603,LUTs!E$2:H$14,4,)</f>
        <v>02South Puget Sound</v>
      </c>
      <c r="P2603" s="73">
        <v>29.068965517241399</v>
      </c>
      <c r="Q2603" s="74">
        <f>VLOOKUP(B2603,Readme!A$40:C$51,2,)*P2603</f>
        <v>99.99724137931041</v>
      </c>
    </row>
    <row r="2604" spans="1:17" ht="12" customHeight="1" x14ac:dyDescent="0.35">
      <c r="A2604" s="75">
        <v>2603</v>
      </c>
      <c r="B2604" s="64">
        <v>2017</v>
      </c>
      <c r="C2604" s="64">
        <v>10</v>
      </c>
      <c r="D2604" s="80">
        <f t="shared" si="83"/>
        <v>2017</v>
      </c>
      <c r="E2604" t="s">
        <v>38</v>
      </c>
      <c r="F2604" t="s">
        <v>143</v>
      </c>
      <c r="G2604" t="s">
        <v>10</v>
      </c>
      <c r="H2604" s="72">
        <v>788</v>
      </c>
      <c r="I2604" s="72" t="s">
        <v>52</v>
      </c>
      <c r="J2604" t="str">
        <f t="shared" si="84"/>
        <v>Nooksack River</v>
      </c>
      <c r="K2604" t="str">
        <f>IFERROR(VLOOKUP(J2604,LUTs!$A$1:$C$73,2,FALSE),"NA")</f>
        <v>Whatcom</v>
      </c>
      <c r="L2604" t="str">
        <f>IFERROR(VLOOKUP(J2604,LUTs!$A$1:$C$73,3,FALSE),"NA")</f>
        <v>1North Puget Sound</v>
      </c>
      <c r="M2604" s="72" t="s">
        <v>26</v>
      </c>
      <c r="N2604" t="str">
        <f>VLOOKUP(M2604,LUTs!E$2:H$14,3,)</f>
        <v>20Other</v>
      </c>
      <c r="O2604" t="str">
        <f>VLOOKUP(M2604,LUTs!E$2:H$14,4,)</f>
        <v>07Non Puget Sound</v>
      </c>
      <c r="P2604" s="73">
        <v>9.6896551724138007</v>
      </c>
      <c r="Q2604" s="74">
        <f>VLOOKUP(B2604,Readme!A$40:C$51,2,)*P2604</f>
        <v>33.332413793103477</v>
      </c>
    </row>
    <row r="2605" spans="1:17" ht="12" customHeight="1" x14ac:dyDescent="0.35">
      <c r="A2605" s="75">
        <v>2604</v>
      </c>
      <c r="B2605" s="64">
        <v>2017</v>
      </c>
      <c r="C2605" s="64">
        <v>10</v>
      </c>
      <c r="D2605" s="80">
        <f t="shared" si="83"/>
        <v>2017</v>
      </c>
      <c r="E2605" t="s">
        <v>38</v>
      </c>
      <c r="F2605" t="s">
        <v>143</v>
      </c>
      <c r="G2605" t="s">
        <v>10</v>
      </c>
      <c r="H2605" s="72">
        <v>788</v>
      </c>
      <c r="I2605" s="72" t="s">
        <v>52</v>
      </c>
      <c r="J2605" t="str">
        <f t="shared" si="84"/>
        <v>Nooksack River</v>
      </c>
      <c r="K2605" t="str">
        <f>IFERROR(VLOOKUP(J2605,LUTs!$A$1:$C$73,2,FALSE),"NA")</f>
        <v>Whatcom</v>
      </c>
      <c r="L2605" t="str">
        <f>IFERROR(VLOOKUP(J2605,LUTs!$A$1:$C$73,3,FALSE),"NA")</f>
        <v>1North Puget Sound</v>
      </c>
      <c r="M2605" s="72" t="s">
        <v>20</v>
      </c>
      <c r="N2605" t="str">
        <f>VLOOKUP(M2605,LUTs!E$2:H$14,3,)</f>
        <v>07Pierce</v>
      </c>
      <c r="O2605" t="str">
        <f>VLOOKUP(M2605,LUTs!E$2:H$14,4,)</f>
        <v>02South Puget Sound</v>
      </c>
      <c r="P2605" s="73">
        <v>29.068965517241399</v>
      </c>
      <c r="Q2605" s="74">
        <f>VLOOKUP(B2605,Readme!A$40:C$51,2,)*P2605</f>
        <v>99.99724137931041</v>
      </c>
    </row>
    <row r="2606" spans="1:17" ht="12" customHeight="1" x14ac:dyDescent="0.35">
      <c r="A2606" s="75">
        <v>2605</v>
      </c>
      <c r="B2606" s="64">
        <v>2017</v>
      </c>
      <c r="C2606" s="64">
        <v>10</v>
      </c>
      <c r="D2606" s="80">
        <f t="shared" si="83"/>
        <v>2017</v>
      </c>
      <c r="E2606" t="s">
        <v>38</v>
      </c>
      <c r="F2606" t="s">
        <v>143</v>
      </c>
      <c r="G2606" t="s">
        <v>10</v>
      </c>
      <c r="H2606" s="72">
        <v>788</v>
      </c>
      <c r="I2606" s="72" t="s">
        <v>52</v>
      </c>
      <c r="J2606" t="str">
        <f t="shared" si="84"/>
        <v>Nooksack River</v>
      </c>
      <c r="K2606" t="str">
        <f>IFERROR(VLOOKUP(J2606,LUTs!$A$1:$C$73,2,FALSE),"NA")</f>
        <v>Whatcom</v>
      </c>
      <c r="L2606" t="str">
        <f>IFERROR(VLOOKUP(J2606,LUTs!$A$1:$C$73,3,FALSE),"NA")</f>
        <v>1North Puget Sound</v>
      </c>
      <c r="M2606" s="72" t="s">
        <v>15</v>
      </c>
      <c r="N2606" t="str">
        <f>VLOOKUP(M2606,LUTs!E$2:H$14,3,)</f>
        <v>02Skagit</v>
      </c>
      <c r="O2606" t="str">
        <f>VLOOKUP(M2606,LUTs!E$2:H$14,4,)</f>
        <v>01North Puget Sound</v>
      </c>
      <c r="P2606" s="73">
        <v>48.448275862069003</v>
      </c>
      <c r="Q2606" s="74">
        <f>VLOOKUP(B2606,Readme!A$40:C$51,2,)*P2606</f>
        <v>166.66206896551736</v>
      </c>
    </row>
    <row r="2607" spans="1:17" ht="12" customHeight="1" x14ac:dyDescent="0.35">
      <c r="A2607" s="75">
        <v>2606</v>
      </c>
      <c r="B2607" s="64">
        <v>2017</v>
      </c>
      <c r="C2607" s="64">
        <v>10</v>
      </c>
      <c r="D2607" s="80">
        <f t="shared" si="83"/>
        <v>2017</v>
      </c>
      <c r="E2607" t="s">
        <v>38</v>
      </c>
      <c r="F2607" t="s">
        <v>143</v>
      </c>
      <c r="G2607" t="s">
        <v>10</v>
      </c>
      <c r="H2607" s="72">
        <v>788</v>
      </c>
      <c r="I2607" s="72" t="s">
        <v>52</v>
      </c>
      <c r="J2607" t="str">
        <f t="shared" si="84"/>
        <v>Nooksack River</v>
      </c>
      <c r="K2607" t="str">
        <f>IFERROR(VLOOKUP(J2607,LUTs!$A$1:$C$73,2,FALSE),"NA")</f>
        <v>Whatcom</v>
      </c>
      <c r="L2607" t="str">
        <f>IFERROR(VLOOKUP(J2607,LUTs!$A$1:$C$73,3,FALSE),"NA")</f>
        <v>1North Puget Sound</v>
      </c>
      <c r="M2607" s="72" t="s">
        <v>16</v>
      </c>
      <c r="N2607" t="str">
        <f>VLOOKUP(M2607,LUTs!E$2:H$14,3,)</f>
        <v>03Snohomish</v>
      </c>
      <c r="O2607" t="str">
        <f>VLOOKUP(M2607,LUTs!E$2:H$14,4,)</f>
        <v>01North Puget Sound</v>
      </c>
      <c r="P2607" s="73">
        <v>48.448275862069003</v>
      </c>
      <c r="Q2607" s="74">
        <f>VLOOKUP(B2607,Readme!A$40:C$51,2,)*P2607</f>
        <v>166.66206896551736</v>
      </c>
    </row>
    <row r="2608" spans="1:17" ht="12" customHeight="1" x14ac:dyDescent="0.35">
      <c r="A2608" s="75">
        <v>2607</v>
      </c>
      <c r="B2608" s="64">
        <v>2017</v>
      </c>
      <c r="C2608" s="64">
        <v>10</v>
      </c>
      <c r="D2608" s="80">
        <f t="shared" si="83"/>
        <v>2017</v>
      </c>
      <c r="E2608" t="s">
        <v>38</v>
      </c>
      <c r="F2608" t="s">
        <v>143</v>
      </c>
      <c r="G2608" t="s">
        <v>10</v>
      </c>
      <c r="H2608" s="72">
        <v>788</v>
      </c>
      <c r="I2608" s="72" t="s">
        <v>52</v>
      </c>
      <c r="J2608" t="str">
        <f t="shared" si="84"/>
        <v>Nooksack River</v>
      </c>
      <c r="K2608" t="str">
        <f>IFERROR(VLOOKUP(J2608,LUTs!$A$1:$C$73,2,FALSE),"NA")</f>
        <v>Whatcom</v>
      </c>
      <c r="L2608" t="str">
        <f>IFERROR(VLOOKUP(J2608,LUTs!$A$1:$C$73,3,FALSE),"NA")</f>
        <v>1North Puget Sound</v>
      </c>
      <c r="M2608" s="72" t="s">
        <v>13</v>
      </c>
      <c r="N2608" t="str">
        <f>VLOOKUP(M2608,LUTs!E$2:H$14,3,)</f>
        <v>01Whatcom</v>
      </c>
      <c r="O2608" t="str">
        <f>VLOOKUP(M2608,LUTs!E$2:H$14,4,)</f>
        <v>01North Puget Sound</v>
      </c>
      <c r="P2608" s="73">
        <v>339.13793103448302</v>
      </c>
      <c r="Q2608" s="74">
        <f>VLOOKUP(B2608,Readme!A$40:C$51,2,)*P2608</f>
        <v>1166.6344827586215</v>
      </c>
    </row>
    <row r="2609" spans="1:17" ht="12" customHeight="1" x14ac:dyDescent="0.35">
      <c r="A2609" s="75">
        <v>2608</v>
      </c>
      <c r="B2609" s="64">
        <v>2017</v>
      </c>
      <c r="C2609" s="64">
        <v>11</v>
      </c>
      <c r="D2609" s="80">
        <f t="shared" si="83"/>
        <v>2017</v>
      </c>
      <c r="E2609" t="s">
        <v>38</v>
      </c>
      <c r="F2609" t="s">
        <v>143</v>
      </c>
      <c r="G2609" t="s">
        <v>10</v>
      </c>
      <c r="H2609" s="72">
        <v>788</v>
      </c>
      <c r="I2609" s="72" t="s">
        <v>52</v>
      </c>
      <c r="J2609" t="str">
        <f t="shared" si="84"/>
        <v>Nooksack River</v>
      </c>
      <c r="K2609" t="str">
        <f>IFERROR(VLOOKUP(J2609,LUTs!$A$1:$C$73,2,FALSE),"NA")</f>
        <v>Whatcom</v>
      </c>
      <c r="L2609" t="str">
        <f>IFERROR(VLOOKUP(J2609,LUTs!$A$1:$C$73,3,FALSE),"NA")</f>
        <v>1North Puget Sound</v>
      </c>
      <c r="M2609" s="72" t="s">
        <v>17</v>
      </c>
      <c r="N2609" t="str">
        <f>VLOOKUP(M2609,LUTs!E$2:H$14,3,)</f>
        <v>04Island</v>
      </c>
      <c r="O2609" t="str">
        <f>VLOOKUP(M2609,LUTs!E$2:H$14,4,)</f>
        <v>01North Puget Sound</v>
      </c>
      <c r="P2609" s="73">
        <v>38.580645161290299</v>
      </c>
      <c r="Q2609" s="74">
        <f>VLOOKUP(B2609,Readme!A$40:C$51,2,)*P2609</f>
        <v>132.71741935483863</v>
      </c>
    </row>
    <row r="2610" spans="1:17" ht="12" customHeight="1" x14ac:dyDescent="0.35">
      <c r="A2610" s="75">
        <v>2609</v>
      </c>
      <c r="B2610" s="64">
        <v>2017</v>
      </c>
      <c r="C2610" s="64">
        <v>11</v>
      </c>
      <c r="D2610" s="80">
        <f t="shared" si="83"/>
        <v>2017</v>
      </c>
      <c r="E2610" t="s">
        <v>38</v>
      </c>
      <c r="F2610" t="s">
        <v>143</v>
      </c>
      <c r="G2610" t="s">
        <v>10</v>
      </c>
      <c r="H2610" s="72">
        <v>788</v>
      </c>
      <c r="I2610" s="72" t="s">
        <v>52</v>
      </c>
      <c r="J2610" t="str">
        <f t="shared" si="84"/>
        <v>Nooksack River</v>
      </c>
      <c r="K2610" t="str">
        <f>IFERROR(VLOOKUP(J2610,LUTs!$A$1:$C$73,2,FALSE),"NA")</f>
        <v>Whatcom</v>
      </c>
      <c r="L2610" t="str">
        <f>IFERROR(VLOOKUP(J2610,LUTs!$A$1:$C$73,3,FALSE),"NA")</f>
        <v>1North Puget Sound</v>
      </c>
      <c r="M2610" s="72" t="s">
        <v>26</v>
      </c>
      <c r="N2610" t="str">
        <f>VLOOKUP(M2610,LUTs!E$2:H$14,3,)</f>
        <v>20Other</v>
      </c>
      <c r="O2610" t="str">
        <f>VLOOKUP(M2610,LUTs!E$2:H$14,4,)</f>
        <v>07Non Puget Sound</v>
      </c>
      <c r="P2610" s="73">
        <v>19.290322580645199</v>
      </c>
      <c r="Q2610" s="74">
        <f>VLOOKUP(B2610,Readme!A$40:C$51,2,)*P2610</f>
        <v>66.358709677419483</v>
      </c>
    </row>
    <row r="2611" spans="1:17" ht="12" customHeight="1" x14ac:dyDescent="0.35">
      <c r="A2611" s="75">
        <v>2610</v>
      </c>
      <c r="B2611" s="64">
        <v>2017</v>
      </c>
      <c r="C2611" s="64">
        <v>11</v>
      </c>
      <c r="D2611" s="80">
        <f t="shared" si="83"/>
        <v>2017</v>
      </c>
      <c r="E2611" t="s">
        <v>38</v>
      </c>
      <c r="F2611" t="s">
        <v>143</v>
      </c>
      <c r="G2611" t="s">
        <v>10</v>
      </c>
      <c r="H2611" s="72">
        <v>788</v>
      </c>
      <c r="I2611" s="72" t="s">
        <v>52</v>
      </c>
      <c r="J2611" t="str">
        <f t="shared" si="84"/>
        <v>Nooksack River</v>
      </c>
      <c r="K2611" t="str">
        <f>IFERROR(VLOOKUP(J2611,LUTs!$A$1:$C$73,2,FALSE),"NA")</f>
        <v>Whatcom</v>
      </c>
      <c r="L2611" t="str">
        <f>IFERROR(VLOOKUP(J2611,LUTs!$A$1:$C$73,3,FALSE),"NA")</f>
        <v>1North Puget Sound</v>
      </c>
      <c r="M2611" s="72" t="s">
        <v>15</v>
      </c>
      <c r="N2611" t="str">
        <f>VLOOKUP(M2611,LUTs!E$2:H$14,3,)</f>
        <v>02Skagit</v>
      </c>
      <c r="O2611" t="str">
        <f>VLOOKUP(M2611,LUTs!E$2:H$14,4,)</f>
        <v>01North Puget Sound</v>
      </c>
      <c r="P2611" s="73">
        <v>9.6451612903225801</v>
      </c>
      <c r="Q2611" s="74">
        <f>VLOOKUP(B2611,Readme!A$40:C$51,2,)*P2611</f>
        <v>33.179354838709678</v>
      </c>
    </row>
    <row r="2612" spans="1:17" ht="12" customHeight="1" x14ac:dyDescent="0.35">
      <c r="A2612" s="75">
        <v>2611</v>
      </c>
      <c r="B2612" s="64">
        <v>2017</v>
      </c>
      <c r="C2612" s="64">
        <v>11</v>
      </c>
      <c r="D2612" s="80">
        <f t="shared" si="83"/>
        <v>2017</v>
      </c>
      <c r="E2612" t="s">
        <v>38</v>
      </c>
      <c r="F2612" t="s">
        <v>143</v>
      </c>
      <c r="G2612" t="s">
        <v>10</v>
      </c>
      <c r="H2612" s="72">
        <v>788</v>
      </c>
      <c r="I2612" s="72" t="s">
        <v>52</v>
      </c>
      <c r="J2612" t="str">
        <f t="shared" si="84"/>
        <v>Nooksack River</v>
      </c>
      <c r="K2612" t="str">
        <f>IFERROR(VLOOKUP(J2612,LUTs!$A$1:$C$73,2,FALSE),"NA")</f>
        <v>Whatcom</v>
      </c>
      <c r="L2612" t="str">
        <f>IFERROR(VLOOKUP(J2612,LUTs!$A$1:$C$73,3,FALSE),"NA")</f>
        <v>1North Puget Sound</v>
      </c>
      <c r="M2612" s="72" t="s">
        <v>16</v>
      </c>
      <c r="N2612" t="str">
        <f>VLOOKUP(M2612,LUTs!E$2:H$14,3,)</f>
        <v>03Snohomish</v>
      </c>
      <c r="O2612" t="str">
        <f>VLOOKUP(M2612,LUTs!E$2:H$14,4,)</f>
        <v>01North Puget Sound</v>
      </c>
      <c r="P2612" s="73">
        <v>86.806451612903302</v>
      </c>
      <c r="Q2612" s="74">
        <f>VLOOKUP(B2612,Readme!A$40:C$51,2,)*P2612</f>
        <v>298.61419354838733</v>
      </c>
    </row>
    <row r="2613" spans="1:17" ht="12" customHeight="1" x14ac:dyDescent="0.35">
      <c r="A2613" s="75">
        <v>2612</v>
      </c>
      <c r="B2613" s="64">
        <v>2017</v>
      </c>
      <c r="C2613" s="64">
        <v>11</v>
      </c>
      <c r="D2613" s="80">
        <f t="shared" si="83"/>
        <v>2017</v>
      </c>
      <c r="E2613" t="s">
        <v>38</v>
      </c>
      <c r="F2613" t="s">
        <v>143</v>
      </c>
      <c r="G2613" t="s">
        <v>10</v>
      </c>
      <c r="H2613" s="72">
        <v>788</v>
      </c>
      <c r="I2613" s="72" t="s">
        <v>52</v>
      </c>
      <c r="J2613" t="str">
        <f t="shared" si="84"/>
        <v>Nooksack River</v>
      </c>
      <c r="K2613" t="str">
        <f>IFERROR(VLOOKUP(J2613,LUTs!$A$1:$C$73,2,FALSE),"NA")</f>
        <v>Whatcom</v>
      </c>
      <c r="L2613" t="str">
        <f>IFERROR(VLOOKUP(J2613,LUTs!$A$1:$C$73,3,FALSE),"NA")</f>
        <v>1North Puget Sound</v>
      </c>
      <c r="M2613" s="72" t="s">
        <v>13</v>
      </c>
      <c r="N2613" t="str">
        <f>VLOOKUP(M2613,LUTs!E$2:H$14,3,)</f>
        <v>01Whatcom</v>
      </c>
      <c r="O2613" t="str">
        <f>VLOOKUP(M2613,LUTs!E$2:H$14,4,)</f>
        <v>01North Puget Sound</v>
      </c>
      <c r="P2613" s="73">
        <v>144.677419354839</v>
      </c>
      <c r="Q2613" s="74">
        <f>VLOOKUP(B2613,Readme!A$40:C$51,2,)*P2613</f>
        <v>497.69032258064618</v>
      </c>
    </row>
    <row r="2614" spans="1:17" ht="12" customHeight="1" x14ac:dyDescent="0.35">
      <c r="A2614" s="75">
        <v>2613</v>
      </c>
      <c r="B2614" s="64">
        <v>2017</v>
      </c>
      <c r="C2614" s="64">
        <v>12</v>
      </c>
      <c r="D2614" s="80">
        <f t="shared" si="83"/>
        <v>2017</v>
      </c>
      <c r="E2614" t="s">
        <v>38</v>
      </c>
      <c r="F2614" t="s">
        <v>143</v>
      </c>
      <c r="G2614" t="s">
        <v>10</v>
      </c>
      <c r="H2614" s="72">
        <v>788</v>
      </c>
      <c r="I2614" s="72" t="s">
        <v>52</v>
      </c>
      <c r="J2614" t="str">
        <f t="shared" si="84"/>
        <v>Nooksack River</v>
      </c>
      <c r="K2614" t="str">
        <f>IFERROR(VLOOKUP(J2614,LUTs!$A$1:$C$73,2,FALSE),"NA")</f>
        <v>Whatcom</v>
      </c>
      <c r="L2614" t="str">
        <f>IFERROR(VLOOKUP(J2614,LUTs!$A$1:$C$73,3,FALSE),"NA")</f>
        <v>1North Puget Sound</v>
      </c>
      <c r="M2614" s="72" t="s">
        <v>20</v>
      </c>
      <c r="N2614" t="str">
        <f>VLOOKUP(M2614,LUTs!E$2:H$14,3,)</f>
        <v>07Pierce</v>
      </c>
      <c r="O2614" t="str">
        <f>VLOOKUP(M2614,LUTs!E$2:H$14,4,)</f>
        <v>02South Puget Sound</v>
      </c>
      <c r="P2614" s="73">
        <v>38.4</v>
      </c>
      <c r="Q2614" s="74">
        <f>VLOOKUP(B2614,Readme!A$40:C$51,2,)*P2614</f>
        <v>132.096</v>
      </c>
    </row>
    <row r="2615" spans="1:17" ht="12" customHeight="1" x14ac:dyDescent="0.35">
      <c r="A2615" s="75">
        <v>2614</v>
      </c>
      <c r="B2615" s="64">
        <v>2017</v>
      </c>
      <c r="C2615" s="64">
        <v>12</v>
      </c>
      <c r="D2615" s="80">
        <f t="shared" si="83"/>
        <v>2017</v>
      </c>
      <c r="E2615" t="s">
        <v>38</v>
      </c>
      <c r="F2615" t="s">
        <v>143</v>
      </c>
      <c r="G2615" t="s">
        <v>10</v>
      </c>
      <c r="H2615" s="72">
        <v>788</v>
      </c>
      <c r="I2615" s="72" t="s">
        <v>52</v>
      </c>
      <c r="J2615" t="str">
        <f t="shared" si="84"/>
        <v>Nooksack River</v>
      </c>
      <c r="K2615" t="str">
        <f>IFERROR(VLOOKUP(J2615,LUTs!$A$1:$C$73,2,FALSE),"NA")</f>
        <v>Whatcom</v>
      </c>
      <c r="L2615" t="str">
        <f>IFERROR(VLOOKUP(J2615,LUTs!$A$1:$C$73,3,FALSE),"NA")</f>
        <v>1North Puget Sound</v>
      </c>
      <c r="M2615" s="72" t="s">
        <v>15</v>
      </c>
      <c r="N2615" t="str">
        <f>VLOOKUP(M2615,LUTs!E$2:H$14,3,)</f>
        <v>02Skagit</v>
      </c>
      <c r="O2615" t="str">
        <f>VLOOKUP(M2615,LUTs!E$2:H$14,4,)</f>
        <v>01North Puget Sound</v>
      </c>
      <c r="P2615" s="73">
        <v>9.6</v>
      </c>
      <c r="Q2615" s="74">
        <f>VLOOKUP(B2615,Readme!A$40:C$51,2,)*P2615</f>
        <v>33.024000000000001</v>
      </c>
    </row>
    <row r="2616" spans="1:17" ht="12" customHeight="1" x14ac:dyDescent="0.35">
      <c r="A2616" s="75">
        <v>2615</v>
      </c>
      <c r="B2616" s="64">
        <v>2017</v>
      </c>
      <c r="C2616" s="64">
        <v>9</v>
      </c>
      <c r="D2616" s="80">
        <f t="shared" si="83"/>
        <v>2017</v>
      </c>
      <c r="E2616" t="s">
        <v>38</v>
      </c>
      <c r="F2616" t="s">
        <v>143</v>
      </c>
      <c r="G2616" t="s">
        <v>10</v>
      </c>
      <c r="H2616" s="72">
        <v>802</v>
      </c>
      <c r="I2616" s="72" t="s">
        <v>53</v>
      </c>
      <c r="J2616" t="str">
        <f t="shared" si="84"/>
        <v>Carbon River</v>
      </c>
      <c r="K2616" t="str">
        <f>IFERROR(VLOOKUP(J2616,LUTs!$A$1:$C$73,2,FALSE),"NA")</f>
        <v>Pierce</v>
      </c>
      <c r="L2616" t="str">
        <f>IFERROR(VLOOKUP(J2616,LUTs!$A$1:$C$73,3,FALSE),"NA")</f>
        <v>3South Puget Sound</v>
      </c>
      <c r="M2616" s="72" t="s">
        <v>18</v>
      </c>
      <c r="N2616" t="str">
        <f>VLOOKUP(M2616,LUTs!E$2:H$14,3,)</f>
        <v>06King</v>
      </c>
      <c r="O2616" t="str">
        <f>VLOOKUP(M2616,LUTs!E$2:H$14,4,)</f>
        <v>02South Puget Sound</v>
      </c>
      <c r="P2616" s="73">
        <v>280.14084507042298</v>
      </c>
      <c r="Q2616" s="74">
        <f>VLOOKUP(B2616,Readme!A$40:C$51,2,)*P2616</f>
        <v>963.68450704225506</v>
      </c>
    </row>
    <row r="2617" spans="1:17" ht="12" customHeight="1" x14ac:dyDescent="0.35">
      <c r="A2617" s="75">
        <v>2616</v>
      </c>
      <c r="B2617" s="64">
        <v>2017</v>
      </c>
      <c r="C2617" s="64">
        <v>9</v>
      </c>
      <c r="D2617" s="80">
        <f t="shared" si="83"/>
        <v>2017</v>
      </c>
      <c r="E2617" t="s">
        <v>38</v>
      </c>
      <c r="F2617" t="s">
        <v>143</v>
      </c>
      <c r="G2617" t="s">
        <v>10</v>
      </c>
      <c r="H2617" s="72">
        <v>802</v>
      </c>
      <c r="I2617" s="72" t="s">
        <v>53</v>
      </c>
      <c r="J2617" t="str">
        <f t="shared" si="84"/>
        <v>Carbon River</v>
      </c>
      <c r="K2617" t="str">
        <f>IFERROR(VLOOKUP(J2617,LUTs!$A$1:$C$73,2,FALSE),"NA")</f>
        <v>Pierce</v>
      </c>
      <c r="L2617" t="str">
        <f>IFERROR(VLOOKUP(J2617,LUTs!$A$1:$C$73,3,FALSE),"NA")</f>
        <v>3South Puget Sound</v>
      </c>
      <c r="M2617" s="72" t="s">
        <v>23</v>
      </c>
      <c r="N2617" t="str">
        <f>VLOOKUP(M2617,LUTs!E$2:H$14,3,)</f>
        <v>10Kitsap</v>
      </c>
      <c r="O2617" t="str">
        <f>VLOOKUP(M2617,LUTs!E$2:H$14,4,)</f>
        <v>02South Puget Sound</v>
      </c>
      <c r="P2617" s="73">
        <v>64.647887323943706</v>
      </c>
      <c r="Q2617" s="74">
        <f>VLOOKUP(B2617,Readme!A$40:C$51,2,)*P2617</f>
        <v>222.38873239436634</v>
      </c>
    </row>
    <row r="2618" spans="1:17" ht="12" customHeight="1" x14ac:dyDescent="0.35">
      <c r="A2618" s="75">
        <v>2617</v>
      </c>
      <c r="B2618" s="64">
        <v>2017</v>
      </c>
      <c r="C2618" s="64">
        <v>9</v>
      </c>
      <c r="D2618" s="80">
        <f t="shared" ref="D2618:D2681" si="85">IF(C2618&gt;3,B2618,B2618-1)</f>
        <v>2017</v>
      </c>
      <c r="E2618" t="s">
        <v>38</v>
      </c>
      <c r="F2618" t="s">
        <v>143</v>
      </c>
      <c r="G2618" t="s">
        <v>10</v>
      </c>
      <c r="H2618" s="72">
        <v>802</v>
      </c>
      <c r="I2618" s="72" t="s">
        <v>53</v>
      </c>
      <c r="J2618" t="str">
        <f t="shared" si="84"/>
        <v>Carbon River</v>
      </c>
      <c r="K2618" t="str">
        <f>IFERROR(VLOOKUP(J2618,LUTs!$A$1:$C$73,2,FALSE),"NA")</f>
        <v>Pierce</v>
      </c>
      <c r="L2618" t="str">
        <f>IFERROR(VLOOKUP(J2618,LUTs!$A$1:$C$73,3,FALSE),"NA")</f>
        <v>3South Puget Sound</v>
      </c>
      <c r="M2618" s="72" t="s">
        <v>20</v>
      </c>
      <c r="N2618" t="str">
        <f>VLOOKUP(M2618,LUTs!E$2:H$14,3,)</f>
        <v>07Pierce</v>
      </c>
      <c r="O2618" t="str">
        <f>VLOOKUP(M2618,LUTs!E$2:H$14,4,)</f>
        <v>02South Puget Sound</v>
      </c>
      <c r="P2618" s="73">
        <v>420.21126760563402</v>
      </c>
      <c r="Q2618" s="74">
        <f>VLOOKUP(B2618,Readme!A$40:C$51,2,)*P2618</f>
        <v>1445.526760563381</v>
      </c>
    </row>
    <row r="2619" spans="1:17" ht="12" customHeight="1" x14ac:dyDescent="0.35">
      <c r="A2619" s="75">
        <v>2618</v>
      </c>
      <c r="B2619" s="64">
        <v>2017</v>
      </c>
      <c r="C2619" s="64">
        <v>10</v>
      </c>
      <c r="D2619" s="80">
        <f t="shared" si="85"/>
        <v>2017</v>
      </c>
      <c r="E2619" t="s">
        <v>38</v>
      </c>
      <c r="F2619" t="s">
        <v>143</v>
      </c>
      <c r="G2619" t="s">
        <v>10</v>
      </c>
      <c r="H2619" s="72">
        <v>802</v>
      </c>
      <c r="I2619" s="72" t="s">
        <v>53</v>
      </c>
      <c r="J2619" t="str">
        <f t="shared" si="84"/>
        <v>Carbon River</v>
      </c>
      <c r="K2619" t="str">
        <f>IFERROR(VLOOKUP(J2619,LUTs!$A$1:$C$73,2,FALSE),"NA")</f>
        <v>Pierce</v>
      </c>
      <c r="L2619" t="str">
        <f>IFERROR(VLOOKUP(J2619,LUTs!$A$1:$C$73,3,FALSE),"NA")</f>
        <v>3South Puget Sound</v>
      </c>
      <c r="M2619" s="72" t="s">
        <v>18</v>
      </c>
      <c r="N2619" t="str">
        <f>VLOOKUP(M2619,LUTs!E$2:H$14,3,)</f>
        <v>06King</v>
      </c>
      <c r="O2619" t="str">
        <f>VLOOKUP(M2619,LUTs!E$2:H$14,4,)</f>
        <v>02South Puget Sound</v>
      </c>
      <c r="P2619" s="73">
        <v>95.863636363636402</v>
      </c>
      <c r="Q2619" s="74">
        <f>VLOOKUP(B2619,Readme!A$40:C$51,2,)*P2619</f>
        <v>329.77090909090924</v>
      </c>
    </row>
    <row r="2620" spans="1:17" ht="12" customHeight="1" x14ac:dyDescent="0.35">
      <c r="A2620" s="75">
        <v>2619</v>
      </c>
      <c r="B2620" s="64">
        <v>2017</v>
      </c>
      <c r="C2620" s="64">
        <v>10</v>
      </c>
      <c r="D2620" s="80">
        <f t="shared" si="85"/>
        <v>2017</v>
      </c>
      <c r="E2620" t="s">
        <v>38</v>
      </c>
      <c r="F2620" t="s">
        <v>143</v>
      </c>
      <c r="G2620" t="s">
        <v>10</v>
      </c>
      <c r="H2620" s="72">
        <v>802</v>
      </c>
      <c r="I2620" s="72" t="s">
        <v>53</v>
      </c>
      <c r="J2620" t="str">
        <f t="shared" si="84"/>
        <v>Carbon River</v>
      </c>
      <c r="K2620" t="str">
        <f>IFERROR(VLOOKUP(J2620,LUTs!$A$1:$C$73,2,FALSE),"NA")</f>
        <v>Pierce</v>
      </c>
      <c r="L2620" t="str">
        <f>IFERROR(VLOOKUP(J2620,LUTs!$A$1:$C$73,3,FALSE),"NA")</f>
        <v>3South Puget Sound</v>
      </c>
      <c r="M2620" s="72" t="s">
        <v>20</v>
      </c>
      <c r="N2620" t="str">
        <f>VLOOKUP(M2620,LUTs!E$2:H$14,3,)</f>
        <v>07Pierce</v>
      </c>
      <c r="O2620" t="str">
        <f>VLOOKUP(M2620,LUTs!E$2:H$14,4,)</f>
        <v>02South Puget Sound</v>
      </c>
      <c r="P2620" s="73">
        <v>607.13636363636397</v>
      </c>
      <c r="Q2620" s="74">
        <f>VLOOKUP(B2620,Readme!A$40:C$51,2,)*P2620</f>
        <v>2088.5490909090922</v>
      </c>
    </row>
    <row r="2621" spans="1:17" ht="12" customHeight="1" x14ac:dyDescent="0.35">
      <c r="A2621" s="75">
        <v>2620</v>
      </c>
      <c r="B2621" s="64">
        <v>2017</v>
      </c>
      <c r="C2621" s="64">
        <v>11</v>
      </c>
      <c r="D2621" s="80">
        <f t="shared" si="85"/>
        <v>2017</v>
      </c>
      <c r="E2621" t="s">
        <v>38</v>
      </c>
      <c r="F2621" t="s">
        <v>143</v>
      </c>
      <c r="G2621" t="s">
        <v>10</v>
      </c>
      <c r="H2621" s="72">
        <v>802</v>
      </c>
      <c r="I2621" s="72" t="s">
        <v>53</v>
      </c>
      <c r="J2621" t="str">
        <f t="shared" si="84"/>
        <v>Carbon River</v>
      </c>
      <c r="K2621" t="str">
        <f>IFERROR(VLOOKUP(J2621,LUTs!$A$1:$C$73,2,FALSE),"NA")</f>
        <v>Pierce</v>
      </c>
      <c r="L2621" t="str">
        <f>IFERROR(VLOOKUP(J2621,LUTs!$A$1:$C$73,3,FALSE),"NA")</f>
        <v>3South Puget Sound</v>
      </c>
      <c r="M2621" s="72" t="s">
        <v>20</v>
      </c>
      <c r="N2621" t="str">
        <f>VLOOKUP(M2621,LUTs!E$2:H$14,3,)</f>
        <v>07Pierce</v>
      </c>
      <c r="O2621" t="str">
        <f>VLOOKUP(M2621,LUTs!E$2:H$14,4,)</f>
        <v>02South Puget Sound</v>
      </c>
      <c r="P2621" s="73">
        <v>31</v>
      </c>
      <c r="Q2621" s="74">
        <f>VLOOKUP(B2621,Readme!A$40:C$51,2,)*P2621</f>
        <v>106.64</v>
      </c>
    </row>
    <row r="2622" spans="1:17" ht="12" customHeight="1" x14ac:dyDescent="0.35">
      <c r="A2622" s="75">
        <v>2621</v>
      </c>
      <c r="B2622" s="64">
        <v>2017</v>
      </c>
      <c r="C2622" s="64">
        <v>8</v>
      </c>
      <c r="D2622" s="80">
        <f t="shared" si="85"/>
        <v>2017</v>
      </c>
      <c r="E2622" t="s">
        <v>38</v>
      </c>
      <c r="F2622" t="s">
        <v>143</v>
      </c>
      <c r="G2622" t="s">
        <v>10</v>
      </c>
      <c r="H2622" s="72">
        <v>804</v>
      </c>
      <c r="I2622" s="72" t="s">
        <v>54</v>
      </c>
      <c r="J2622" t="str">
        <f t="shared" si="84"/>
        <v>Puyallup River</v>
      </c>
      <c r="K2622" t="str">
        <f>IFERROR(VLOOKUP(J2622,LUTs!$A$1:$C$73,2,FALSE),"NA")</f>
        <v>Pierce</v>
      </c>
      <c r="L2622" t="str">
        <f>IFERROR(VLOOKUP(J2622,LUTs!$A$1:$C$73,3,FALSE),"NA")</f>
        <v>3South Puget Sound</v>
      </c>
      <c r="M2622" s="72" t="s">
        <v>18</v>
      </c>
      <c r="N2622" t="str">
        <f>VLOOKUP(M2622,LUTs!E$2:H$14,3,)</f>
        <v>06King</v>
      </c>
      <c r="O2622" t="str">
        <f>VLOOKUP(M2622,LUTs!E$2:H$14,4,)</f>
        <v>02South Puget Sound</v>
      </c>
      <c r="P2622" s="73">
        <v>1983.3333333333301</v>
      </c>
      <c r="Q2622" s="74">
        <f>VLOOKUP(B2622,Readme!A$40:C$51,2,)*P2622</f>
        <v>6822.6666666666551</v>
      </c>
    </row>
    <row r="2623" spans="1:17" ht="12" customHeight="1" x14ac:dyDescent="0.35">
      <c r="A2623" s="75">
        <v>2622</v>
      </c>
      <c r="B2623" s="64">
        <v>2017</v>
      </c>
      <c r="C2623" s="64">
        <v>8</v>
      </c>
      <c r="D2623" s="80">
        <f t="shared" si="85"/>
        <v>2017</v>
      </c>
      <c r="E2623" t="s">
        <v>38</v>
      </c>
      <c r="F2623" t="s">
        <v>143</v>
      </c>
      <c r="G2623" t="s">
        <v>10</v>
      </c>
      <c r="H2623" s="72">
        <v>804</v>
      </c>
      <c r="I2623" s="72" t="s">
        <v>54</v>
      </c>
      <c r="J2623" t="str">
        <f t="shared" si="84"/>
        <v>Puyallup River</v>
      </c>
      <c r="K2623" t="str">
        <f>IFERROR(VLOOKUP(J2623,LUTs!$A$1:$C$73,2,FALSE),"NA")</f>
        <v>Pierce</v>
      </c>
      <c r="L2623" t="str">
        <f>IFERROR(VLOOKUP(J2623,LUTs!$A$1:$C$73,3,FALSE),"NA")</f>
        <v>3South Puget Sound</v>
      </c>
      <c r="M2623" s="72" t="s">
        <v>23</v>
      </c>
      <c r="N2623" t="str">
        <f>VLOOKUP(M2623,LUTs!E$2:H$14,3,)</f>
        <v>10Kitsap</v>
      </c>
      <c r="O2623" t="str">
        <f>VLOOKUP(M2623,LUTs!E$2:H$14,4,)</f>
        <v>02South Puget Sound</v>
      </c>
      <c r="P2623" s="73">
        <v>49.5833333333333</v>
      </c>
      <c r="Q2623" s="74">
        <f>VLOOKUP(B2623,Readme!A$40:C$51,2,)*P2623</f>
        <v>170.56666666666655</v>
      </c>
    </row>
    <row r="2624" spans="1:17" ht="12" customHeight="1" x14ac:dyDescent="0.35">
      <c r="A2624" s="75">
        <v>2623</v>
      </c>
      <c r="B2624" s="64">
        <v>2017</v>
      </c>
      <c r="C2624" s="64">
        <v>8</v>
      </c>
      <c r="D2624" s="80">
        <f t="shared" si="85"/>
        <v>2017</v>
      </c>
      <c r="E2624" t="s">
        <v>38</v>
      </c>
      <c r="F2624" t="s">
        <v>143</v>
      </c>
      <c r="G2624" t="s">
        <v>10</v>
      </c>
      <c r="H2624" s="72">
        <v>804</v>
      </c>
      <c r="I2624" s="72" t="s">
        <v>54</v>
      </c>
      <c r="J2624" t="str">
        <f t="shared" si="84"/>
        <v>Puyallup River</v>
      </c>
      <c r="K2624" t="str">
        <f>IFERROR(VLOOKUP(J2624,LUTs!$A$1:$C$73,2,FALSE),"NA")</f>
        <v>Pierce</v>
      </c>
      <c r="L2624" t="str">
        <f>IFERROR(VLOOKUP(J2624,LUTs!$A$1:$C$73,3,FALSE),"NA")</f>
        <v>3South Puget Sound</v>
      </c>
      <c r="M2624" s="72" t="s">
        <v>26</v>
      </c>
      <c r="N2624" t="str">
        <f>VLOOKUP(M2624,LUTs!E$2:H$14,3,)</f>
        <v>20Other</v>
      </c>
      <c r="O2624" t="str">
        <f>VLOOKUP(M2624,LUTs!E$2:H$14,4,)</f>
        <v>07Non Puget Sound</v>
      </c>
      <c r="P2624" s="73">
        <v>327.25</v>
      </c>
      <c r="Q2624" s="74">
        <f>VLOOKUP(B2624,Readme!A$40:C$51,2,)*P2624</f>
        <v>1125.74</v>
      </c>
    </row>
    <row r="2625" spans="1:17" ht="12" customHeight="1" x14ac:dyDescent="0.35">
      <c r="A2625" s="75">
        <v>2624</v>
      </c>
      <c r="B2625" s="64">
        <v>2017</v>
      </c>
      <c r="C2625" s="64">
        <v>8</v>
      </c>
      <c r="D2625" s="80">
        <f t="shared" si="85"/>
        <v>2017</v>
      </c>
      <c r="E2625" t="s">
        <v>38</v>
      </c>
      <c r="F2625" t="s">
        <v>143</v>
      </c>
      <c r="G2625" t="s">
        <v>10</v>
      </c>
      <c r="H2625" s="72">
        <v>804</v>
      </c>
      <c r="I2625" s="72" t="s">
        <v>54</v>
      </c>
      <c r="J2625" t="str">
        <f t="shared" si="84"/>
        <v>Puyallup River</v>
      </c>
      <c r="K2625" t="str">
        <f>IFERROR(VLOOKUP(J2625,LUTs!$A$1:$C$73,2,FALSE),"NA")</f>
        <v>Pierce</v>
      </c>
      <c r="L2625" t="str">
        <f>IFERROR(VLOOKUP(J2625,LUTs!$A$1:$C$73,3,FALSE),"NA")</f>
        <v>3South Puget Sound</v>
      </c>
      <c r="M2625" s="72" t="s">
        <v>20</v>
      </c>
      <c r="N2625" t="str">
        <f>VLOOKUP(M2625,LUTs!E$2:H$14,3,)</f>
        <v>07Pierce</v>
      </c>
      <c r="O2625" t="str">
        <f>VLOOKUP(M2625,LUTs!E$2:H$14,4,)</f>
        <v>02South Puget Sound</v>
      </c>
      <c r="P2625" s="73">
        <v>3064.25</v>
      </c>
      <c r="Q2625" s="74">
        <f>VLOOKUP(B2625,Readme!A$40:C$51,2,)*P2625</f>
        <v>10541.02</v>
      </c>
    </row>
    <row r="2626" spans="1:17" ht="12" customHeight="1" x14ac:dyDescent="0.35">
      <c r="A2626" s="75">
        <v>2625</v>
      </c>
      <c r="B2626" s="64">
        <v>2017</v>
      </c>
      <c r="C2626" s="64">
        <v>8</v>
      </c>
      <c r="D2626" s="80">
        <f t="shared" si="85"/>
        <v>2017</v>
      </c>
      <c r="E2626" t="s">
        <v>38</v>
      </c>
      <c r="F2626" t="s">
        <v>143</v>
      </c>
      <c r="G2626" t="s">
        <v>10</v>
      </c>
      <c r="H2626" s="72">
        <v>804</v>
      </c>
      <c r="I2626" s="72" t="s">
        <v>54</v>
      </c>
      <c r="J2626" t="str">
        <f t="shared" si="84"/>
        <v>Puyallup River</v>
      </c>
      <c r="K2626" t="str">
        <f>IFERROR(VLOOKUP(J2626,LUTs!$A$1:$C$73,2,FALSE),"NA")</f>
        <v>Pierce</v>
      </c>
      <c r="L2626" t="str">
        <f>IFERROR(VLOOKUP(J2626,LUTs!$A$1:$C$73,3,FALSE),"NA")</f>
        <v>3South Puget Sound</v>
      </c>
      <c r="M2626" s="72" t="s">
        <v>21</v>
      </c>
      <c r="N2626" t="str">
        <f>VLOOKUP(M2626,LUTs!E$2:H$14,3,)</f>
        <v>08Thurston</v>
      </c>
      <c r="O2626" t="str">
        <f>VLOOKUP(M2626,LUTs!E$2:H$14,4,)</f>
        <v>02South Puget Sound</v>
      </c>
      <c r="P2626" s="73">
        <v>158.666666666667</v>
      </c>
      <c r="Q2626" s="74">
        <f>VLOOKUP(B2626,Readme!A$40:C$51,2,)*P2626</f>
        <v>545.81333333333441</v>
      </c>
    </row>
    <row r="2627" spans="1:17" ht="12" customHeight="1" x14ac:dyDescent="0.35">
      <c r="A2627" s="75">
        <v>2626</v>
      </c>
      <c r="B2627" s="64">
        <v>2017</v>
      </c>
      <c r="C2627" s="64">
        <v>8</v>
      </c>
      <c r="D2627" s="80">
        <f t="shared" si="85"/>
        <v>2017</v>
      </c>
      <c r="E2627" t="s">
        <v>38</v>
      </c>
      <c r="F2627" t="s">
        <v>143</v>
      </c>
      <c r="G2627" t="s">
        <v>10</v>
      </c>
      <c r="H2627" s="72">
        <v>804</v>
      </c>
      <c r="I2627" s="72" t="s">
        <v>54</v>
      </c>
      <c r="J2627" t="str">
        <f t="shared" ref="J2627:J2690" si="86">I2627</f>
        <v>Puyallup River</v>
      </c>
      <c r="K2627" t="str">
        <f>IFERROR(VLOOKUP(J2627,LUTs!$A$1:$C$73,2,FALSE),"NA")</f>
        <v>Pierce</v>
      </c>
      <c r="L2627" t="str">
        <f>IFERROR(VLOOKUP(J2627,LUTs!$A$1:$C$73,3,FALSE),"NA")</f>
        <v>3South Puget Sound</v>
      </c>
      <c r="M2627" s="72" t="s">
        <v>13</v>
      </c>
      <c r="N2627" t="str">
        <f>VLOOKUP(M2627,LUTs!E$2:H$14,3,)</f>
        <v>01Whatcom</v>
      </c>
      <c r="O2627" t="str">
        <f>VLOOKUP(M2627,LUTs!E$2:H$14,4,)</f>
        <v>01North Puget Sound</v>
      </c>
      <c r="P2627" s="73">
        <v>9.9166666666666696</v>
      </c>
      <c r="Q2627" s="74">
        <f>VLOOKUP(B2627,Readme!A$40:C$51,2,)*P2627</f>
        <v>34.113333333333344</v>
      </c>
    </row>
    <row r="2628" spans="1:17" ht="12" customHeight="1" x14ac:dyDescent="0.35">
      <c r="A2628" s="75">
        <v>2627</v>
      </c>
      <c r="B2628" s="64">
        <v>2017</v>
      </c>
      <c r="C2628" s="64">
        <v>9</v>
      </c>
      <c r="D2628" s="80">
        <f t="shared" si="85"/>
        <v>2017</v>
      </c>
      <c r="E2628" t="s">
        <v>38</v>
      </c>
      <c r="F2628" t="s">
        <v>143</v>
      </c>
      <c r="G2628" t="s">
        <v>10</v>
      </c>
      <c r="H2628" s="72">
        <v>804</v>
      </c>
      <c r="I2628" s="72" t="s">
        <v>54</v>
      </c>
      <c r="J2628" t="str">
        <f t="shared" si="86"/>
        <v>Puyallup River</v>
      </c>
      <c r="K2628" t="str">
        <f>IFERROR(VLOOKUP(J2628,LUTs!$A$1:$C$73,2,FALSE),"NA")</f>
        <v>Pierce</v>
      </c>
      <c r="L2628" t="str">
        <f>IFERROR(VLOOKUP(J2628,LUTs!$A$1:$C$73,3,FALSE),"NA")</f>
        <v>3South Puget Sound</v>
      </c>
      <c r="M2628" s="72" t="s">
        <v>18</v>
      </c>
      <c r="N2628" t="str">
        <f>VLOOKUP(M2628,LUTs!E$2:H$14,3,)</f>
        <v>06King</v>
      </c>
      <c r="O2628" t="str">
        <f>VLOOKUP(M2628,LUTs!E$2:H$14,4,)</f>
        <v>02South Puget Sound</v>
      </c>
      <c r="P2628" s="73">
        <v>3329.8443983402499</v>
      </c>
      <c r="Q2628" s="74">
        <f>VLOOKUP(B2628,Readme!A$40:C$51,2,)*P2628</f>
        <v>11454.66473029046</v>
      </c>
    </row>
    <row r="2629" spans="1:17" ht="12" customHeight="1" x14ac:dyDescent="0.35">
      <c r="A2629" s="75">
        <v>2628</v>
      </c>
      <c r="B2629" s="64">
        <v>2017</v>
      </c>
      <c r="C2629" s="64">
        <v>9</v>
      </c>
      <c r="D2629" s="80">
        <f t="shared" si="85"/>
        <v>2017</v>
      </c>
      <c r="E2629" t="s">
        <v>38</v>
      </c>
      <c r="F2629" t="s">
        <v>143</v>
      </c>
      <c r="G2629" t="s">
        <v>10</v>
      </c>
      <c r="H2629" s="72">
        <v>804</v>
      </c>
      <c r="I2629" s="72" t="s">
        <v>54</v>
      </c>
      <c r="J2629" t="str">
        <f t="shared" si="86"/>
        <v>Puyallup River</v>
      </c>
      <c r="K2629" t="str">
        <f>IFERROR(VLOOKUP(J2629,LUTs!$A$1:$C$73,2,FALSE),"NA")</f>
        <v>Pierce</v>
      </c>
      <c r="L2629" t="str">
        <f>IFERROR(VLOOKUP(J2629,LUTs!$A$1:$C$73,3,FALSE),"NA")</f>
        <v>3South Puget Sound</v>
      </c>
      <c r="M2629" s="72" t="s">
        <v>23</v>
      </c>
      <c r="N2629" t="str">
        <f>VLOOKUP(M2629,LUTs!E$2:H$14,3,)</f>
        <v>10Kitsap</v>
      </c>
      <c r="O2629" t="str">
        <f>VLOOKUP(M2629,LUTs!E$2:H$14,4,)</f>
        <v>02South Puget Sound</v>
      </c>
      <c r="P2629" s="73">
        <v>208.73651452282201</v>
      </c>
      <c r="Q2629" s="74">
        <f>VLOOKUP(B2629,Readme!A$40:C$51,2,)*P2629</f>
        <v>718.05360995850765</v>
      </c>
    </row>
    <row r="2630" spans="1:17" ht="12" customHeight="1" x14ac:dyDescent="0.35">
      <c r="A2630" s="75">
        <v>2629</v>
      </c>
      <c r="B2630" s="64">
        <v>2017</v>
      </c>
      <c r="C2630" s="64">
        <v>9</v>
      </c>
      <c r="D2630" s="80">
        <f t="shared" si="85"/>
        <v>2017</v>
      </c>
      <c r="E2630" t="s">
        <v>38</v>
      </c>
      <c r="F2630" t="s">
        <v>143</v>
      </c>
      <c r="G2630" t="s">
        <v>10</v>
      </c>
      <c r="H2630" s="72">
        <v>804</v>
      </c>
      <c r="I2630" s="72" t="s">
        <v>54</v>
      </c>
      <c r="J2630" t="str">
        <f t="shared" si="86"/>
        <v>Puyallup River</v>
      </c>
      <c r="K2630" t="str">
        <f>IFERROR(VLOOKUP(J2630,LUTs!$A$1:$C$73,2,FALSE),"NA")</f>
        <v>Pierce</v>
      </c>
      <c r="L2630" t="str">
        <f>IFERROR(VLOOKUP(J2630,LUTs!$A$1:$C$73,3,FALSE),"NA")</f>
        <v>3South Puget Sound</v>
      </c>
      <c r="M2630" s="72" t="s">
        <v>26</v>
      </c>
      <c r="N2630" t="str">
        <f>VLOOKUP(M2630,LUTs!E$2:H$14,3,)</f>
        <v>20Other</v>
      </c>
      <c r="O2630" t="str">
        <f>VLOOKUP(M2630,LUTs!E$2:H$14,4,)</f>
        <v>07Non Puget Sound</v>
      </c>
      <c r="P2630" s="73">
        <v>506.93153526971003</v>
      </c>
      <c r="Q2630" s="74">
        <f>VLOOKUP(B2630,Readme!A$40:C$51,2,)*P2630</f>
        <v>1743.8444813278024</v>
      </c>
    </row>
    <row r="2631" spans="1:17" ht="12" customHeight="1" x14ac:dyDescent="0.35">
      <c r="A2631" s="75">
        <v>2630</v>
      </c>
      <c r="B2631" s="64">
        <v>2017</v>
      </c>
      <c r="C2631" s="64">
        <v>9</v>
      </c>
      <c r="D2631" s="80">
        <f t="shared" si="85"/>
        <v>2017</v>
      </c>
      <c r="E2631" t="s">
        <v>38</v>
      </c>
      <c r="F2631" t="s">
        <v>143</v>
      </c>
      <c r="G2631" t="s">
        <v>10</v>
      </c>
      <c r="H2631" s="72">
        <v>804</v>
      </c>
      <c r="I2631" s="72" t="s">
        <v>54</v>
      </c>
      <c r="J2631" t="str">
        <f t="shared" si="86"/>
        <v>Puyallup River</v>
      </c>
      <c r="K2631" t="str">
        <f>IFERROR(VLOOKUP(J2631,LUTs!$A$1:$C$73,2,FALSE),"NA")</f>
        <v>Pierce</v>
      </c>
      <c r="L2631" t="str">
        <f>IFERROR(VLOOKUP(J2631,LUTs!$A$1:$C$73,3,FALSE),"NA")</f>
        <v>3South Puget Sound</v>
      </c>
      <c r="M2631" s="72" t="s">
        <v>20</v>
      </c>
      <c r="N2631" t="str">
        <f>VLOOKUP(M2631,LUTs!E$2:H$14,3,)</f>
        <v>07Pierce</v>
      </c>
      <c r="O2631" t="str">
        <f>VLOOKUP(M2631,LUTs!E$2:H$14,4,)</f>
        <v>02South Puget Sound</v>
      </c>
      <c r="P2631" s="73">
        <v>5258.1721991701297</v>
      </c>
      <c r="Q2631" s="74">
        <f>VLOOKUP(B2631,Readme!A$40:C$51,2,)*P2631</f>
        <v>18088.112365145247</v>
      </c>
    </row>
    <row r="2632" spans="1:17" ht="12" customHeight="1" x14ac:dyDescent="0.35">
      <c r="A2632" s="75">
        <v>2631</v>
      </c>
      <c r="B2632" s="64">
        <v>2017</v>
      </c>
      <c r="C2632" s="64">
        <v>9</v>
      </c>
      <c r="D2632" s="80">
        <f t="shared" si="85"/>
        <v>2017</v>
      </c>
      <c r="E2632" t="s">
        <v>38</v>
      </c>
      <c r="F2632" t="s">
        <v>143</v>
      </c>
      <c r="G2632" t="s">
        <v>10</v>
      </c>
      <c r="H2632" s="72">
        <v>804</v>
      </c>
      <c r="I2632" s="72" t="s">
        <v>54</v>
      </c>
      <c r="J2632" t="str">
        <f t="shared" si="86"/>
        <v>Puyallup River</v>
      </c>
      <c r="K2632" t="str">
        <f>IFERROR(VLOOKUP(J2632,LUTs!$A$1:$C$73,2,FALSE),"NA")</f>
        <v>Pierce</v>
      </c>
      <c r="L2632" t="str">
        <f>IFERROR(VLOOKUP(J2632,LUTs!$A$1:$C$73,3,FALSE),"NA")</f>
        <v>3South Puget Sound</v>
      </c>
      <c r="M2632" s="72" t="s">
        <v>15</v>
      </c>
      <c r="N2632" t="str">
        <f>VLOOKUP(M2632,LUTs!E$2:H$14,3,)</f>
        <v>02Skagit</v>
      </c>
      <c r="O2632" t="str">
        <f>VLOOKUP(M2632,LUTs!E$2:H$14,4,)</f>
        <v>01North Puget Sound</v>
      </c>
      <c r="P2632" s="73">
        <v>9.9398340248962693</v>
      </c>
      <c r="Q2632" s="74">
        <f>VLOOKUP(B2632,Readme!A$40:C$51,2,)*P2632</f>
        <v>34.193029045643165</v>
      </c>
    </row>
    <row r="2633" spans="1:17" ht="12" customHeight="1" x14ac:dyDescent="0.35">
      <c r="A2633" s="75">
        <v>2632</v>
      </c>
      <c r="B2633" s="64">
        <v>2017</v>
      </c>
      <c r="C2633" s="64">
        <v>9</v>
      </c>
      <c r="D2633" s="80">
        <f t="shared" si="85"/>
        <v>2017</v>
      </c>
      <c r="E2633" t="s">
        <v>38</v>
      </c>
      <c r="F2633" t="s">
        <v>143</v>
      </c>
      <c r="G2633" t="s">
        <v>10</v>
      </c>
      <c r="H2633" s="72">
        <v>804</v>
      </c>
      <c r="I2633" s="72" t="s">
        <v>54</v>
      </c>
      <c r="J2633" t="str">
        <f t="shared" si="86"/>
        <v>Puyallup River</v>
      </c>
      <c r="K2633" t="str">
        <f>IFERROR(VLOOKUP(J2633,LUTs!$A$1:$C$73,2,FALSE),"NA")</f>
        <v>Pierce</v>
      </c>
      <c r="L2633" t="str">
        <f>IFERROR(VLOOKUP(J2633,LUTs!$A$1:$C$73,3,FALSE),"NA")</f>
        <v>3South Puget Sound</v>
      </c>
      <c r="M2633" s="72" t="s">
        <v>16</v>
      </c>
      <c r="N2633" t="str">
        <f>VLOOKUP(M2633,LUTs!E$2:H$14,3,)</f>
        <v>03Snohomish</v>
      </c>
      <c r="O2633" t="str">
        <f>VLOOKUP(M2633,LUTs!E$2:H$14,4,)</f>
        <v>01North Puget Sound</v>
      </c>
      <c r="P2633" s="73">
        <v>79.518672199170098</v>
      </c>
      <c r="Q2633" s="74">
        <f>VLOOKUP(B2633,Readme!A$40:C$51,2,)*P2633</f>
        <v>273.54423236514515</v>
      </c>
    </row>
    <row r="2634" spans="1:17" ht="12" customHeight="1" x14ac:dyDescent="0.35">
      <c r="A2634" s="75">
        <v>2633</v>
      </c>
      <c r="B2634" s="64">
        <v>2017</v>
      </c>
      <c r="C2634" s="64">
        <v>9</v>
      </c>
      <c r="D2634" s="80">
        <f t="shared" si="85"/>
        <v>2017</v>
      </c>
      <c r="E2634" t="s">
        <v>38</v>
      </c>
      <c r="F2634" t="s">
        <v>143</v>
      </c>
      <c r="G2634" t="s">
        <v>10</v>
      </c>
      <c r="H2634" s="72">
        <v>804</v>
      </c>
      <c r="I2634" s="72" t="s">
        <v>54</v>
      </c>
      <c r="J2634" t="str">
        <f t="shared" si="86"/>
        <v>Puyallup River</v>
      </c>
      <c r="K2634" t="str">
        <f>IFERROR(VLOOKUP(J2634,LUTs!$A$1:$C$73,2,FALSE),"NA")</f>
        <v>Pierce</v>
      </c>
      <c r="L2634" t="str">
        <f>IFERROR(VLOOKUP(J2634,LUTs!$A$1:$C$73,3,FALSE),"NA")</f>
        <v>3South Puget Sound</v>
      </c>
      <c r="M2634" s="72" t="s">
        <v>21</v>
      </c>
      <c r="N2634" t="str">
        <f>VLOOKUP(M2634,LUTs!E$2:H$14,3,)</f>
        <v>08Thurston</v>
      </c>
      <c r="O2634" t="str">
        <f>VLOOKUP(M2634,LUTs!E$2:H$14,4,)</f>
        <v>02South Puget Sound</v>
      </c>
      <c r="P2634" s="73">
        <v>188.85684647302901</v>
      </c>
      <c r="Q2634" s="74">
        <f>VLOOKUP(B2634,Readme!A$40:C$51,2,)*P2634</f>
        <v>649.6675518672198</v>
      </c>
    </row>
    <row r="2635" spans="1:17" ht="12" customHeight="1" x14ac:dyDescent="0.35">
      <c r="A2635" s="75">
        <v>2634</v>
      </c>
      <c r="B2635" s="64">
        <v>2017</v>
      </c>
      <c r="C2635" s="64">
        <v>10</v>
      </c>
      <c r="D2635" s="80">
        <f t="shared" si="85"/>
        <v>2017</v>
      </c>
      <c r="E2635" t="s">
        <v>38</v>
      </c>
      <c r="F2635" t="s">
        <v>143</v>
      </c>
      <c r="G2635" t="s">
        <v>10</v>
      </c>
      <c r="H2635" s="72">
        <v>804</v>
      </c>
      <c r="I2635" s="72" t="s">
        <v>54</v>
      </c>
      <c r="J2635" t="str">
        <f t="shared" si="86"/>
        <v>Puyallup River</v>
      </c>
      <c r="K2635" t="str">
        <f>IFERROR(VLOOKUP(J2635,LUTs!$A$1:$C$73,2,FALSE),"NA")</f>
        <v>Pierce</v>
      </c>
      <c r="L2635" t="str">
        <f>IFERROR(VLOOKUP(J2635,LUTs!$A$1:$C$73,3,FALSE),"NA")</f>
        <v>3South Puget Sound</v>
      </c>
      <c r="M2635" s="72" t="s">
        <v>18</v>
      </c>
      <c r="N2635" t="str">
        <f>VLOOKUP(M2635,LUTs!E$2:H$14,3,)</f>
        <v>06King</v>
      </c>
      <c r="O2635" t="str">
        <f>VLOOKUP(M2635,LUTs!E$2:H$14,4,)</f>
        <v>02South Puget Sound</v>
      </c>
      <c r="P2635" s="73">
        <v>169.80459770114899</v>
      </c>
      <c r="Q2635" s="74">
        <f>VLOOKUP(B2635,Readme!A$40:C$51,2,)*P2635</f>
        <v>584.12781609195258</v>
      </c>
    </row>
    <row r="2636" spans="1:17" ht="12" customHeight="1" x14ac:dyDescent="0.35">
      <c r="A2636" s="75">
        <v>2635</v>
      </c>
      <c r="B2636" s="64">
        <v>2017</v>
      </c>
      <c r="C2636" s="64">
        <v>10</v>
      </c>
      <c r="D2636" s="80">
        <f t="shared" si="85"/>
        <v>2017</v>
      </c>
      <c r="E2636" t="s">
        <v>38</v>
      </c>
      <c r="F2636" t="s">
        <v>143</v>
      </c>
      <c r="G2636" t="s">
        <v>10</v>
      </c>
      <c r="H2636" s="72">
        <v>804</v>
      </c>
      <c r="I2636" s="72" t="s">
        <v>54</v>
      </c>
      <c r="J2636" t="str">
        <f t="shared" si="86"/>
        <v>Puyallup River</v>
      </c>
      <c r="K2636" t="str">
        <f>IFERROR(VLOOKUP(J2636,LUTs!$A$1:$C$73,2,FALSE),"NA")</f>
        <v>Pierce</v>
      </c>
      <c r="L2636" t="str">
        <f>IFERROR(VLOOKUP(J2636,LUTs!$A$1:$C$73,3,FALSE),"NA")</f>
        <v>3South Puget Sound</v>
      </c>
      <c r="M2636" s="72" t="s">
        <v>26</v>
      </c>
      <c r="N2636" t="str">
        <f>VLOOKUP(M2636,LUTs!E$2:H$14,3,)</f>
        <v>20Other</v>
      </c>
      <c r="O2636" t="str">
        <f>VLOOKUP(M2636,LUTs!E$2:H$14,4,)</f>
        <v>07Non Puget Sound</v>
      </c>
      <c r="P2636" s="73">
        <v>29.965517241379299</v>
      </c>
      <c r="Q2636" s="74">
        <f>VLOOKUP(B2636,Readme!A$40:C$51,2,)*P2636</f>
        <v>103.08137931034479</v>
      </c>
    </row>
    <row r="2637" spans="1:17" ht="12" customHeight="1" x14ac:dyDescent="0.35">
      <c r="A2637" s="75">
        <v>2636</v>
      </c>
      <c r="B2637" s="64">
        <v>2017</v>
      </c>
      <c r="C2637" s="64">
        <v>10</v>
      </c>
      <c r="D2637" s="80">
        <f t="shared" si="85"/>
        <v>2017</v>
      </c>
      <c r="E2637" t="s">
        <v>38</v>
      </c>
      <c r="F2637" t="s">
        <v>143</v>
      </c>
      <c r="G2637" t="s">
        <v>10</v>
      </c>
      <c r="H2637" s="72">
        <v>804</v>
      </c>
      <c r="I2637" s="72" t="s">
        <v>54</v>
      </c>
      <c r="J2637" t="str">
        <f t="shared" si="86"/>
        <v>Puyallup River</v>
      </c>
      <c r="K2637" t="str">
        <f>IFERROR(VLOOKUP(J2637,LUTs!$A$1:$C$73,2,FALSE),"NA")</f>
        <v>Pierce</v>
      </c>
      <c r="L2637" t="str">
        <f>IFERROR(VLOOKUP(J2637,LUTs!$A$1:$C$73,3,FALSE),"NA")</f>
        <v>3South Puget Sound</v>
      </c>
      <c r="M2637" s="72" t="s">
        <v>20</v>
      </c>
      <c r="N2637" t="str">
        <f>VLOOKUP(M2637,LUTs!E$2:H$14,3,)</f>
        <v>07Pierce</v>
      </c>
      <c r="O2637" t="str">
        <f>VLOOKUP(M2637,LUTs!E$2:H$14,4,)</f>
        <v>02South Puget Sound</v>
      </c>
      <c r="P2637" s="73">
        <v>669.22988505747105</v>
      </c>
      <c r="Q2637" s="74">
        <f>VLOOKUP(B2637,Readme!A$40:C$51,2,)*P2637</f>
        <v>2302.1508045977002</v>
      </c>
    </row>
    <row r="2638" spans="1:17" ht="12" customHeight="1" x14ac:dyDescent="0.35">
      <c r="A2638" s="75">
        <v>2637</v>
      </c>
      <c r="B2638" s="64">
        <v>2017</v>
      </c>
      <c r="C2638" s="64">
        <v>11</v>
      </c>
      <c r="D2638" s="80">
        <f t="shared" si="85"/>
        <v>2017</v>
      </c>
      <c r="E2638" t="s">
        <v>38</v>
      </c>
      <c r="F2638" t="s">
        <v>143</v>
      </c>
      <c r="G2638" t="s">
        <v>10</v>
      </c>
      <c r="H2638" s="72">
        <v>804</v>
      </c>
      <c r="I2638" s="72" t="s">
        <v>54</v>
      </c>
      <c r="J2638" t="str">
        <f t="shared" si="86"/>
        <v>Puyallup River</v>
      </c>
      <c r="K2638" t="str">
        <f>IFERROR(VLOOKUP(J2638,LUTs!$A$1:$C$73,2,FALSE),"NA")</f>
        <v>Pierce</v>
      </c>
      <c r="L2638" t="str">
        <f>IFERROR(VLOOKUP(J2638,LUTs!$A$1:$C$73,3,FALSE),"NA")</f>
        <v>3South Puget Sound</v>
      </c>
      <c r="M2638" s="72" t="s">
        <v>18</v>
      </c>
      <c r="N2638" t="str">
        <f>VLOOKUP(M2638,LUTs!E$2:H$14,3,)</f>
        <v>06King</v>
      </c>
      <c r="O2638" t="str">
        <f>VLOOKUP(M2638,LUTs!E$2:H$14,4,)</f>
        <v>02South Puget Sound</v>
      </c>
      <c r="P2638" s="73">
        <v>20</v>
      </c>
      <c r="Q2638" s="74">
        <f>VLOOKUP(B2638,Readme!A$40:C$51,2,)*P2638</f>
        <v>68.8</v>
      </c>
    </row>
    <row r="2639" spans="1:17" ht="12" customHeight="1" x14ac:dyDescent="0.35">
      <c r="A2639" s="75">
        <v>2638</v>
      </c>
      <c r="B2639" s="64">
        <v>2017</v>
      </c>
      <c r="C2639" s="64">
        <v>11</v>
      </c>
      <c r="D2639" s="80">
        <f t="shared" si="85"/>
        <v>2017</v>
      </c>
      <c r="E2639" t="s">
        <v>38</v>
      </c>
      <c r="F2639" t="s">
        <v>143</v>
      </c>
      <c r="G2639" t="s">
        <v>10</v>
      </c>
      <c r="H2639" s="72">
        <v>804</v>
      </c>
      <c r="I2639" s="72" t="s">
        <v>54</v>
      </c>
      <c r="J2639" t="str">
        <f t="shared" si="86"/>
        <v>Puyallup River</v>
      </c>
      <c r="K2639" t="str">
        <f>IFERROR(VLOOKUP(J2639,LUTs!$A$1:$C$73,2,FALSE),"NA")</f>
        <v>Pierce</v>
      </c>
      <c r="L2639" t="str">
        <f>IFERROR(VLOOKUP(J2639,LUTs!$A$1:$C$73,3,FALSE),"NA")</f>
        <v>3South Puget Sound</v>
      </c>
      <c r="M2639" s="72" t="s">
        <v>20</v>
      </c>
      <c r="N2639" t="str">
        <f>VLOOKUP(M2639,LUTs!E$2:H$14,3,)</f>
        <v>07Pierce</v>
      </c>
      <c r="O2639" t="str">
        <f>VLOOKUP(M2639,LUTs!E$2:H$14,4,)</f>
        <v>02South Puget Sound</v>
      </c>
      <c r="P2639" s="73">
        <v>120</v>
      </c>
      <c r="Q2639" s="74">
        <f>VLOOKUP(B2639,Readme!A$40:C$51,2,)*P2639</f>
        <v>412.8</v>
      </c>
    </row>
    <row r="2640" spans="1:17" ht="12" customHeight="1" x14ac:dyDescent="0.35">
      <c r="A2640" s="75">
        <v>2639</v>
      </c>
      <c r="B2640" s="64">
        <v>2017</v>
      </c>
      <c r="C2640" s="64">
        <v>12</v>
      </c>
      <c r="D2640" s="80">
        <f t="shared" si="85"/>
        <v>2017</v>
      </c>
      <c r="E2640" t="s">
        <v>38</v>
      </c>
      <c r="F2640" t="s">
        <v>143</v>
      </c>
      <c r="G2640" t="s">
        <v>10</v>
      </c>
      <c r="H2640" s="72">
        <v>804</v>
      </c>
      <c r="I2640" s="72" t="s">
        <v>54</v>
      </c>
      <c r="J2640" t="str">
        <f t="shared" si="86"/>
        <v>Puyallup River</v>
      </c>
      <c r="K2640" t="str">
        <f>IFERROR(VLOOKUP(J2640,LUTs!$A$1:$C$73,2,FALSE),"NA")</f>
        <v>Pierce</v>
      </c>
      <c r="L2640" t="str">
        <f>IFERROR(VLOOKUP(J2640,LUTs!$A$1:$C$73,3,FALSE),"NA")</f>
        <v>3South Puget Sound</v>
      </c>
      <c r="M2640" s="72" t="s">
        <v>20</v>
      </c>
      <c r="N2640" t="str">
        <f>VLOOKUP(M2640,LUTs!E$2:H$14,3,)</f>
        <v>07Pierce</v>
      </c>
      <c r="O2640" t="str">
        <f>VLOOKUP(M2640,LUTs!E$2:H$14,4,)</f>
        <v>02South Puget Sound</v>
      </c>
      <c r="P2640" s="73">
        <v>49</v>
      </c>
      <c r="Q2640" s="74">
        <f>VLOOKUP(B2640,Readme!A$40:C$51,2,)*P2640</f>
        <v>168.56</v>
      </c>
    </row>
    <row r="2641" spans="1:17" ht="12" customHeight="1" x14ac:dyDescent="0.35">
      <c r="A2641" s="75">
        <v>2640</v>
      </c>
      <c r="B2641" s="64">
        <v>2017</v>
      </c>
      <c r="C2641" s="64">
        <v>8</v>
      </c>
      <c r="D2641" s="80">
        <f t="shared" si="85"/>
        <v>2017</v>
      </c>
      <c r="E2641" t="s">
        <v>38</v>
      </c>
      <c r="F2641" t="s">
        <v>143</v>
      </c>
      <c r="G2641" t="s">
        <v>10</v>
      </c>
      <c r="H2641" s="72">
        <v>812</v>
      </c>
      <c r="I2641" s="72" t="s">
        <v>55</v>
      </c>
      <c r="J2641" t="str">
        <f t="shared" si="86"/>
        <v>Quilcene River</v>
      </c>
      <c r="K2641" t="str">
        <f>IFERROR(VLOOKUP(J2641,LUTs!$A$1:$C$73,2,FALSE),"NA")</f>
        <v>Jefferson</v>
      </c>
      <c r="L2641" t="str">
        <f>IFERROR(VLOOKUP(J2641,LUTs!$A$1:$C$73,3,FALSE),"NA")</f>
        <v>4 Hood Canal</v>
      </c>
      <c r="M2641" s="72" t="s">
        <v>24</v>
      </c>
      <c r="N2641" t="str">
        <f>VLOOKUP(M2641,LUTs!E$2:H$14,3,)</f>
        <v>11Clallam</v>
      </c>
      <c r="O2641" t="str">
        <f>VLOOKUP(M2641,LUTs!E$2:H$14,4,)</f>
        <v>03Strait of Juan de Fuca</v>
      </c>
      <c r="P2641" s="73">
        <v>40.876712328767098</v>
      </c>
      <c r="Q2641" s="74">
        <f>VLOOKUP(B2641,Readme!A$40:C$51,2,)*P2641</f>
        <v>140.61589041095883</v>
      </c>
    </row>
    <row r="2642" spans="1:17" ht="12" customHeight="1" x14ac:dyDescent="0.35">
      <c r="A2642" s="75">
        <v>2641</v>
      </c>
      <c r="B2642" s="64">
        <v>2017</v>
      </c>
      <c r="C2642" s="64">
        <v>8</v>
      </c>
      <c r="D2642" s="80">
        <f t="shared" si="85"/>
        <v>2017</v>
      </c>
      <c r="E2642" t="s">
        <v>38</v>
      </c>
      <c r="F2642" t="s">
        <v>143</v>
      </c>
      <c r="G2642" t="s">
        <v>10</v>
      </c>
      <c r="H2642" s="72">
        <v>812</v>
      </c>
      <c r="I2642" s="72" t="s">
        <v>55</v>
      </c>
      <c r="J2642" t="str">
        <f t="shared" si="86"/>
        <v>Quilcene River</v>
      </c>
      <c r="K2642" t="str">
        <f>IFERROR(VLOOKUP(J2642,LUTs!$A$1:$C$73,2,FALSE),"NA")</f>
        <v>Jefferson</v>
      </c>
      <c r="L2642" t="str">
        <f>IFERROR(VLOOKUP(J2642,LUTs!$A$1:$C$73,3,FALSE),"NA")</f>
        <v>4 Hood Canal</v>
      </c>
      <c r="M2642" s="72" t="s">
        <v>25</v>
      </c>
      <c r="N2642" t="str">
        <f>VLOOKUP(M2642,LUTs!E$2:H$14,3,)</f>
        <v>12Jefferson</v>
      </c>
      <c r="O2642" t="str">
        <f>VLOOKUP(M2642,LUTs!E$2:H$14,4,)</f>
        <v>03Strait of Juan de Fuca</v>
      </c>
      <c r="P2642" s="73">
        <v>10.219178082191799</v>
      </c>
      <c r="Q2642" s="74">
        <f>VLOOKUP(B2642,Readme!A$40:C$51,2,)*P2642</f>
        <v>35.153972602739792</v>
      </c>
    </row>
    <row r="2643" spans="1:17" ht="12" customHeight="1" x14ac:dyDescent="0.35">
      <c r="A2643" s="75">
        <v>2642</v>
      </c>
      <c r="B2643" s="64">
        <v>2017</v>
      </c>
      <c r="C2643" s="64">
        <v>8</v>
      </c>
      <c r="D2643" s="80">
        <f t="shared" si="85"/>
        <v>2017</v>
      </c>
      <c r="E2643" t="s">
        <v>38</v>
      </c>
      <c r="F2643" t="s">
        <v>143</v>
      </c>
      <c r="G2643" t="s">
        <v>10</v>
      </c>
      <c r="H2643" s="72">
        <v>812</v>
      </c>
      <c r="I2643" s="72" t="s">
        <v>55</v>
      </c>
      <c r="J2643" t="str">
        <f t="shared" si="86"/>
        <v>Quilcene River</v>
      </c>
      <c r="K2643" t="str">
        <f>IFERROR(VLOOKUP(J2643,LUTs!$A$1:$C$73,2,FALSE),"NA")</f>
        <v>Jefferson</v>
      </c>
      <c r="L2643" t="str">
        <f>IFERROR(VLOOKUP(J2643,LUTs!$A$1:$C$73,3,FALSE),"NA")</f>
        <v>4 Hood Canal</v>
      </c>
      <c r="M2643" s="72" t="s">
        <v>18</v>
      </c>
      <c r="N2643" t="str">
        <f>VLOOKUP(M2643,LUTs!E$2:H$14,3,)</f>
        <v>06King</v>
      </c>
      <c r="O2643" t="str">
        <f>VLOOKUP(M2643,LUTs!E$2:H$14,4,)</f>
        <v>02South Puget Sound</v>
      </c>
      <c r="P2643" s="73">
        <v>153.28767123287699</v>
      </c>
      <c r="Q2643" s="74">
        <f>VLOOKUP(B2643,Readme!A$40:C$51,2,)*P2643</f>
        <v>527.30958904109684</v>
      </c>
    </row>
    <row r="2644" spans="1:17" ht="12" customHeight="1" x14ac:dyDescent="0.35">
      <c r="A2644" s="75">
        <v>2643</v>
      </c>
      <c r="B2644" s="64">
        <v>2017</v>
      </c>
      <c r="C2644" s="64">
        <v>8</v>
      </c>
      <c r="D2644" s="80">
        <f t="shared" si="85"/>
        <v>2017</v>
      </c>
      <c r="E2644" t="s">
        <v>38</v>
      </c>
      <c r="F2644" t="s">
        <v>143</v>
      </c>
      <c r="G2644" t="s">
        <v>10</v>
      </c>
      <c r="H2644" s="72">
        <v>812</v>
      </c>
      <c r="I2644" s="72" t="s">
        <v>55</v>
      </c>
      <c r="J2644" t="str">
        <f t="shared" si="86"/>
        <v>Quilcene River</v>
      </c>
      <c r="K2644" t="str">
        <f>IFERROR(VLOOKUP(J2644,LUTs!$A$1:$C$73,2,FALSE),"NA")</f>
        <v>Jefferson</v>
      </c>
      <c r="L2644" t="str">
        <f>IFERROR(VLOOKUP(J2644,LUTs!$A$1:$C$73,3,FALSE),"NA")</f>
        <v>4 Hood Canal</v>
      </c>
      <c r="M2644" s="72" t="s">
        <v>23</v>
      </c>
      <c r="N2644" t="str">
        <f>VLOOKUP(M2644,LUTs!E$2:H$14,3,)</f>
        <v>10Kitsap</v>
      </c>
      <c r="O2644" t="str">
        <f>VLOOKUP(M2644,LUTs!E$2:H$14,4,)</f>
        <v>02South Puget Sound</v>
      </c>
      <c r="P2644" s="73">
        <v>173.72602739726</v>
      </c>
      <c r="Q2644" s="74">
        <f>VLOOKUP(B2644,Readme!A$40:C$51,2,)*P2644</f>
        <v>597.61753424657434</v>
      </c>
    </row>
    <row r="2645" spans="1:17" ht="12" customHeight="1" x14ac:dyDescent="0.35">
      <c r="A2645" s="75">
        <v>2644</v>
      </c>
      <c r="B2645" s="64">
        <v>2017</v>
      </c>
      <c r="C2645" s="64">
        <v>8</v>
      </c>
      <c r="D2645" s="80">
        <f t="shared" si="85"/>
        <v>2017</v>
      </c>
      <c r="E2645" t="s">
        <v>38</v>
      </c>
      <c r="F2645" t="s">
        <v>143</v>
      </c>
      <c r="G2645" t="s">
        <v>10</v>
      </c>
      <c r="H2645" s="72">
        <v>812</v>
      </c>
      <c r="I2645" s="72" t="s">
        <v>55</v>
      </c>
      <c r="J2645" t="str">
        <f t="shared" si="86"/>
        <v>Quilcene River</v>
      </c>
      <c r="K2645" t="str">
        <f>IFERROR(VLOOKUP(J2645,LUTs!$A$1:$C$73,2,FALSE),"NA")</f>
        <v>Jefferson</v>
      </c>
      <c r="L2645" t="str">
        <f>IFERROR(VLOOKUP(J2645,LUTs!$A$1:$C$73,3,FALSE),"NA")</f>
        <v>4 Hood Canal</v>
      </c>
      <c r="M2645" s="72" t="s">
        <v>26</v>
      </c>
      <c r="N2645" t="str">
        <f>VLOOKUP(M2645,LUTs!E$2:H$14,3,)</f>
        <v>20Other</v>
      </c>
      <c r="O2645" t="str">
        <f>VLOOKUP(M2645,LUTs!E$2:H$14,4,)</f>
        <v>07Non Puget Sound</v>
      </c>
      <c r="P2645" s="73">
        <v>204.383561643836</v>
      </c>
      <c r="Q2645" s="74">
        <f>VLOOKUP(B2645,Readme!A$40:C$51,2,)*P2645</f>
        <v>703.07945205479587</v>
      </c>
    </row>
    <row r="2646" spans="1:17" ht="12" customHeight="1" x14ac:dyDescent="0.35">
      <c r="A2646" s="75">
        <v>2645</v>
      </c>
      <c r="B2646" s="64">
        <v>2017</v>
      </c>
      <c r="C2646" s="64">
        <v>8</v>
      </c>
      <c r="D2646" s="80">
        <f t="shared" si="85"/>
        <v>2017</v>
      </c>
      <c r="E2646" t="s">
        <v>38</v>
      </c>
      <c r="F2646" t="s">
        <v>143</v>
      </c>
      <c r="G2646" t="s">
        <v>10</v>
      </c>
      <c r="H2646" s="72">
        <v>812</v>
      </c>
      <c r="I2646" s="72" t="s">
        <v>55</v>
      </c>
      <c r="J2646" t="str">
        <f t="shared" si="86"/>
        <v>Quilcene River</v>
      </c>
      <c r="K2646" t="str">
        <f>IFERROR(VLOOKUP(J2646,LUTs!$A$1:$C$73,2,FALSE),"NA")</f>
        <v>Jefferson</v>
      </c>
      <c r="L2646" t="str">
        <f>IFERROR(VLOOKUP(J2646,LUTs!$A$1:$C$73,3,FALSE),"NA")</f>
        <v>4 Hood Canal</v>
      </c>
      <c r="M2646" s="72" t="s">
        <v>20</v>
      </c>
      <c r="N2646" t="str">
        <f>VLOOKUP(M2646,LUTs!E$2:H$14,3,)</f>
        <v>07Pierce</v>
      </c>
      <c r="O2646" t="str">
        <f>VLOOKUP(M2646,LUTs!E$2:H$14,4,)</f>
        <v>02South Puget Sound</v>
      </c>
      <c r="P2646" s="73">
        <v>102.191780821918</v>
      </c>
      <c r="Q2646" s="74">
        <f>VLOOKUP(B2646,Readme!A$40:C$51,2,)*P2646</f>
        <v>351.53972602739793</v>
      </c>
    </row>
    <row r="2647" spans="1:17" ht="12" customHeight="1" x14ac:dyDescent="0.35">
      <c r="A2647" s="75">
        <v>2646</v>
      </c>
      <c r="B2647" s="64">
        <v>2017</v>
      </c>
      <c r="C2647" s="64">
        <v>8</v>
      </c>
      <c r="D2647" s="80">
        <f t="shared" si="85"/>
        <v>2017</v>
      </c>
      <c r="E2647" t="s">
        <v>38</v>
      </c>
      <c r="F2647" t="s">
        <v>143</v>
      </c>
      <c r="G2647" t="s">
        <v>10</v>
      </c>
      <c r="H2647" s="72">
        <v>812</v>
      </c>
      <c r="I2647" s="72" t="s">
        <v>55</v>
      </c>
      <c r="J2647" t="str">
        <f t="shared" si="86"/>
        <v>Quilcene River</v>
      </c>
      <c r="K2647" t="str">
        <f>IFERROR(VLOOKUP(J2647,LUTs!$A$1:$C$73,2,FALSE),"NA")</f>
        <v>Jefferson</v>
      </c>
      <c r="L2647" t="str">
        <f>IFERROR(VLOOKUP(J2647,LUTs!$A$1:$C$73,3,FALSE),"NA")</f>
        <v>4 Hood Canal</v>
      </c>
      <c r="M2647" s="72" t="s">
        <v>21</v>
      </c>
      <c r="N2647" t="str">
        <f>VLOOKUP(M2647,LUTs!E$2:H$14,3,)</f>
        <v>08Thurston</v>
      </c>
      <c r="O2647" t="str">
        <f>VLOOKUP(M2647,LUTs!E$2:H$14,4,)</f>
        <v>02South Puget Sound</v>
      </c>
      <c r="P2647" s="73">
        <v>61.315068493150697</v>
      </c>
      <c r="Q2647" s="74">
        <f>VLOOKUP(B2647,Readme!A$40:C$51,2,)*P2647</f>
        <v>210.9238356164384</v>
      </c>
    </row>
    <row r="2648" spans="1:17" ht="12" customHeight="1" x14ac:dyDescent="0.35">
      <c r="A2648" s="75">
        <v>2647</v>
      </c>
      <c r="B2648" s="64">
        <v>2017</v>
      </c>
      <c r="C2648" s="64">
        <v>9</v>
      </c>
      <c r="D2648" s="80">
        <f t="shared" si="85"/>
        <v>2017</v>
      </c>
      <c r="E2648" t="s">
        <v>38</v>
      </c>
      <c r="F2648" t="s">
        <v>143</v>
      </c>
      <c r="G2648" t="s">
        <v>10</v>
      </c>
      <c r="H2648" s="72">
        <v>812</v>
      </c>
      <c r="I2648" s="72" t="s">
        <v>55</v>
      </c>
      <c r="J2648" t="str">
        <f t="shared" si="86"/>
        <v>Quilcene River</v>
      </c>
      <c r="K2648" t="str">
        <f>IFERROR(VLOOKUP(J2648,LUTs!$A$1:$C$73,2,FALSE),"NA")</f>
        <v>Jefferson</v>
      </c>
      <c r="L2648" t="str">
        <f>IFERROR(VLOOKUP(J2648,LUTs!$A$1:$C$73,3,FALSE),"NA")</f>
        <v>4 Hood Canal</v>
      </c>
      <c r="M2648" s="72" t="s">
        <v>25</v>
      </c>
      <c r="N2648" t="str">
        <f>VLOOKUP(M2648,LUTs!E$2:H$14,3,)</f>
        <v>12Jefferson</v>
      </c>
      <c r="O2648" t="str">
        <f>VLOOKUP(M2648,LUTs!E$2:H$14,4,)</f>
        <v>03Strait of Juan de Fuca</v>
      </c>
      <c r="P2648" s="73">
        <v>20.4460431654676</v>
      </c>
      <c r="Q2648" s="74">
        <f>VLOOKUP(B2648,Readme!A$40:C$51,2,)*P2648</f>
        <v>70.33438848920855</v>
      </c>
    </row>
    <row r="2649" spans="1:17" ht="12" customHeight="1" x14ac:dyDescent="0.35">
      <c r="A2649" s="75">
        <v>2648</v>
      </c>
      <c r="B2649" s="64">
        <v>2017</v>
      </c>
      <c r="C2649" s="64">
        <v>9</v>
      </c>
      <c r="D2649" s="80">
        <f t="shared" si="85"/>
        <v>2017</v>
      </c>
      <c r="E2649" t="s">
        <v>38</v>
      </c>
      <c r="F2649" t="s">
        <v>143</v>
      </c>
      <c r="G2649" t="s">
        <v>10</v>
      </c>
      <c r="H2649" s="72">
        <v>812</v>
      </c>
      <c r="I2649" s="72" t="s">
        <v>55</v>
      </c>
      <c r="J2649" t="str">
        <f t="shared" si="86"/>
        <v>Quilcene River</v>
      </c>
      <c r="K2649" t="str">
        <f>IFERROR(VLOOKUP(J2649,LUTs!$A$1:$C$73,2,FALSE),"NA")</f>
        <v>Jefferson</v>
      </c>
      <c r="L2649" t="str">
        <f>IFERROR(VLOOKUP(J2649,LUTs!$A$1:$C$73,3,FALSE),"NA")</f>
        <v>4 Hood Canal</v>
      </c>
      <c r="M2649" s="72" t="s">
        <v>18</v>
      </c>
      <c r="N2649" t="str">
        <f>VLOOKUP(M2649,LUTs!E$2:H$14,3,)</f>
        <v>06King</v>
      </c>
      <c r="O2649" t="str">
        <f>VLOOKUP(M2649,LUTs!E$2:H$14,4,)</f>
        <v>02South Puget Sound</v>
      </c>
      <c r="P2649" s="73">
        <v>316.91366906474798</v>
      </c>
      <c r="Q2649" s="74">
        <f>VLOOKUP(B2649,Readme!A$40:C$51,2,)*P2649</f>
        <v>1090.1830215827331</v>
      </c>
    </row>
    <row r="2650" spans="1:17" ht="12" customHeight="1" x14ac:dyDescent="0.35">
      <c r="A2650" s="75">
        <v>2649</v>
      </c>
      <c r="B2650" s="64">
        <v>2017</v>
      </c>
      <c r="C2650" s="64">
        <v>9</v>
      </c>
      <c r="D2650" s="80">
        <f t="shared" si="85"/>
        <v>2017</v>
      </c>
      <c r="E2650" t="s">
        <v>38</v>
      </c>
      <c r="F2650" t="s">
        <v>143</v>
      </c>
      <c r="G2650" t="s">
        <v>10</v>
      </c>
      <c r="H2650" s="72">
        <v>812</v>
      </c>
      <c r="I2650" s="72" t="s">
        <v>55</v>
      </c>
      <c r="J2650" t="str">
        <f t="shared" si="86"/>
        <v>Quilcene River</v>
      </c>
      <c r="K2650" t="str">
        <f>IFERROR(VLOOKUP(J2650,LUTs!$A$1:$C$73,2,FALSE),"NA")</f>
        <v>Jefferson</v>
      </c>
      <c r="L2650" t="str">
        <f>IFERROR(VLOOKUP(J2650,LUTs!$A$1:$C$73,3,FALSE),"NA")</f>
        <v>4 Hood Canal</v>
      </c>
      <c r="M2650" s="72" t="s">
        <v>23</v>
      </c>
      <c r="N2650" t="str">
        <f>VLOOKUP(M2650,LUTs!E$2:H$14,3,)</f>
        <v>10Kitsap</v>
      </c>
      <c r="O2650" t="str">
        <f>VLOOKUP(M2650,LUTs!E$2:H$14,4,)</f>
        <v>02South Puget Sound</v>
      </c>
      <c r="P2650" s="73">
        <v>439.589928057554</v>
      </c>
      <c r="Q2650" s="74">
        <f>VLOOKUP(B2650,Readme!A$40:C$51,2,)*P2650</f>
        <v>1512.1893525179858</v>
      </c>
    </row>
    <row r="2651" spans="1:17" ht="12" customHeight="1" x14ac:dyDescent="0.35">
      <c r="A2651" s="75">
        <v>2650</v>
      </c>
      <c r="B2651" s="64">
        <v>2017</v>
      </c>
      <c r="C2651" s="64">
        <v>9</v>
      </c>
      <c r="D2651" s="80">
        <f t="shared" si="85"/>
        <v>2017</v>
      </c>
      <c r="E2651" t="s">
        <v>38</v>
      </c>
      <c r="F2651" t="s">
        <v>143</v>
      </c>
      <c r="G2651" t="s">
        <v>10</v>
      </c>
      <c r="H2651" s="72">
        <v>812</v>
      </c>
      <c r="I2651" s="72" t="s">
        <v>55</v>
      </c>
      <c r="J2651" t="str">
        <f t="shared" si="86"/>
        <v>Quilcene River</v>
      </c>
      <c r="K2651" t="str">
        <f>IFERROR(VLOOKUP(J2651,LUTs!$A$1:$C$73,2,FALSE),"NA")</f>
        <v>Jefferson</v>
      </c>
      <c r="L2651" t="str">
        <f>IFERROR(VLOOKUP(J2651,LUTs!$A$1:$C$73,3,FALSE),"NA")</f>
        <v>4 Hood Canal</v>
      </c>
      <c r="M2651" s="72" t="s">
        <v>22</v>
      </c>
      <c r="N2651" t="str">
        <f>VLOOKUP(M2651,LUTs!E$2:H$14,3,)</f>
        <v>09Mason</v>
      </c>
      <c r="O2651" t="str">
        <f>VLOOKUP(M2651,LUTs!E$2:H$14,4,)</f>
        <v>02South Puget Sound</v>
      </c>
      <c r="P2651" s="73">
        <v>214.68345323740999</v>
      </c>
      <c r="Q2651" s="74">
        <f>VLOOKUP(B2651,Readme!A$40:C$51,2,)*P2651</f>
        <v>738.51107913669034</v>
      </c>
    </row>
    <row r="2652" spans="1:17" ht="12" customHeight="1" x14ac:dyDescent="0.35">
      <c r="A2652" s="75">
        <v>2651</v>
      </c>
      <c r="B2652" s="64">
        <v>2017</v>
      </c>
      <c r="C2652" s="64">
        <v>9</v>
      </c>
      <c r="D2652" s="80">
        <f t="shared" si="85"/>
        <v>2017</v>
      </c>
      <c r="E2652" t="s">
        <v>38</v>
      </c>
      <c r="F2652" t="s">
        <v>143</v>
      </c>
      <c r="G2652" t="s">
        <v>10</v>
      </c>
      <c r="H2652" s="72">
        <v>812</v>
      </c>
      <c r="I2652" s="72" t="s">
        <v>55</v>
      </c>
      <c r="J2652" t="str">
        <f t="shared" si="86"/>
        <v>Quilcene River</v>
      </c>
      <c r="K2652" t="str">
        <f>IFERROR(VLOOKUP(J2652,LUTs!$A$1:$C$73,2,FALSE),"NA")</f>
        <v>Jefferson</v>
      </c>
      <c r="L2652" t="str">
        <f>IFERROR(VLOOKUP(J2652,LUTs!$A$1:$C$73,3,FALSE),"NA")</f>
        <v>4 Hood Canal</v>
      </c>
      <c r="M2652" s="72" t="s">
        <v>26</v>
      </c>
      <c r="N2652" t="str">
        <f>VLOOKUP(M2652,LUTs!E$2:H$14,3,)</f>
        <v>20Other</v>
      </c>
      <c r="O2652" t="str">
        <f>VLOOKUP(M2652,LUTs!E$2:H$14,4,)</f>
        <v>07Non Puget Sound</v>
      </c>
      <c r="P2652" s="73">
        <v>71.561151079136707</v>
      </c>
      <c r="Q2652" s="74">
        <f>VLOOKUP(B2652,Readme!A$40:C$51,2,)*P2652</f>
        <v>246.17035971223027</v>
      </c>
    </row>
    <row r="2653" spans="1:17" ht="12" customHeight="1" x14ac:dyDescent="0.35">
      <c r="A2653" s="75">
        <v>2652</v>
      </c>
      <c r="B2653" s="64">
        <v>2017</v>
      </c>
      <c r="C2653" s="64">
        <v>9</v>
      </c>
      <c r="D2653" s="80">
        <f t="shared" si="85"/>
        <v>2017</v>
      </c>
      <c r="E2653" t="s">
        <v>38</v>
      </c>
      <c r="F2653" t="s">
        <v>143</v>
      </c>
      <c r="G2653" t="s">
        <v>10</v>
      </c>
      <c r="H2653" s="72">
        <v>812</v>
      </c>
      <c r="I2653" s="72" t="s">
        <v>55</v>
      </c>
      <c r="J2653" t="str">
        <f t="shared" si="86"/>
        <v>Quilcene River</v>
      </c>
      <c r="K2653" t="str">
        <f>IFERROR(VLOOKUP(J2653,LUTs!$A$1:$C$73,2,FALSE),"NA")</f>
        <v>Jefferson</v>
      </c>
      <c r="L2653" t="str">
        <f>IFERROR(VLOOKUP(J2653,LUTs!$A$1:$C$73,3,FALSE),"NA")</f>
        <v>4 Hood Canal</v>
      </c>
      <c r="M2653" s="72" t="s">
        <v>20</v>
      </c>
      <c r="N2653" t="str">
        <f>VLOOKUP(M2653,LUTs!E$2:H$14,3,)</f>
        <v>07Pierce</v>
      </c>
      <c r="O2653" t="str">
        <f>VLOOKUP(M2653,LUTs!E$2:H$14,4,)</f>
        <v>02South Puget Sound</v>
      </c>
      <c r="P2653" s="73">
        <v>265.79856115107901</v>
      </c>
      <c r="Q2653" s="74">
        <f>VLOOKUP(B2653,Readme!A$40:C$51,2,)*P2653</f>
        <v>914.34705035971183</v>
      </c>
    </row>
    <row r="2654" spans="1:17" ht="12" customHeight="1" x14ac:dyDescent="0.35">
      <c r="A2654" s="75">
        <v>2653</v>
      </c>
      <c r="B2654" s="64">
        <v>2017</v>
      </c>
      <c r="C2654" s="64">
        <v>9</v>
      </c>
      <c r="D2654" s="80">
        <f t="shared" si="85"/>
        <v>2017</v>
      </c>
      <c r="E2654" t="s">
        <v>38</v>
      </c>
      <c r="F2654" t="s">
        <v>143</v>
      </c>
      <c r="G2654" t="s">
        <v>10</v>
      </c>
      <c r="H2654" s="72">
        <v>812</v>
      </c>
      <c r="I2654" s="72" t="s">
        <v>55</v>
      </c>
      <c r="J2654" t="str">
        <f t="shared" si="86"/>
        <v>Quilcene River</v>
      </c>
      <c r="K2654" t="str">
        <f>IFERROR(VLOOKUP(J2654,LUTs!$A$1:$C$73,2,FALSE),"NA")</f>
        <v>Jefferson</v>
      </c>
      <c r="L2654" t="str">
        <f>IFERROR(VLOOKUP(J2654,LUTs!$A$1:$C$73,3,FALSE),"NA")</f>
        <v>4 Hood Canal</v>
      </c>
      <c r="M2654" s="72" t="s">
        <v>21</v>
      </c>
      <c r="N2654" t="str">
        <f>VLOOKUP(M2654,LUTs!E$2:H$14,3,)</f>
        <v>08Thurston</v>
      </c>
      <c r="O2654" t="str">
        <f>VLOOKUP(M2654,LUTs!E$2:H$14,4,)</f>
        <v>02South Puget Sound</v>
      </c>
      <c r="P2654" s="73">
        <v>92.007194244604307</v>
      </c>
      <c r="Q2654" s="74">
        <f>VLOOKUP(B2654,Readme!A$40:C$51,2,)*P2654</f>
        <v>316.50474820143882</v>
      </c>
    </row>
    <row r="2655" spans="1:17" ht="12" customHeight="1" x14ac:dyDescent="0.35">
      <c r="A2655" s="75">
        <v>2654</v>
      </c>
      <c r="B2655" s="64">
        <v>2017</v>
      </c>
      <c r="C2655" s="64">
        <v>10</v>
      </c>
      <c r="D2655" s="80">
        <f t="shared" si="85"/>
        <v>2017</v>
      </c>
      <c r="E2655" t="s">
        <v>38</v>
      </c>
      <c r="F2655" t="s">
        <v>143</v>
      </c>
      <c r="G2655" t="s">
        <v>10</v>
      </c>
      <c r="H2655" s="72">
        <v>812</v>
      </c>
      <c r="I2655" s="72" t="s">
        <v>55</v>
      </c>
      <c r="J2655" t="str">
        <f t="shared" si="86"/>
        <v>Quilcene River</v>
      </c>
      <c r="K2655" t="str">
        <f>IFERROR(VLOOKUP(J2655,LUTs!$A$1:$C$73,2,FALSE),"NA")</f>
        <v>Jefferson</v>
      </c>
      <c r="L2655" t="str">
        <f>IFERROR(VLOOKUP(J2655,LUTs!$A$1:$C$73,3,FALSE),"NA")</f>
        <v>4 Hood Canal</v>
      </c>
      <c r="M2655" s="72" t="s">
        <v>24</v>
      </c>
      <c r="N2655" t="str">
        <f>VLOOKUP(M2655,LUTs!E$2:H$14,3,)</f>
        <v>11Clallam</v>
      </c>
      <c r="O2655" t="str">
        <f>VLOOKUP(M2655,LUTs!E$2:H$14,4,)</f>
        <v>03Strait of Juan de Fuca</v>
      </c>
      <c r="P2655" s="73">
        <v>10.25</v>
      </c>
      <c r="Q2655" s="74">
        <f>VLOOKUP(B2655,Readme!A$40:C$51,2,)*P2655</f>
        <v>35.26</v>
      </c>
    </row>
    <row r="2656" spans="1:17" ht="12" customHeight="1" x14ac:dyDescent="0.35">
      <c r="A2656" s="75">
        <v>2655</v>
      </c>
      <c r="B2656" s="64">
        <v>2017</v>
      </c>
      <c r="C2656" s="64">
        <v>10</v>
      </c>
      <c r="D2656" s="80">
        <f t="shared" si="85"/>
        <v>2017</v>
      </c>
      <c r="E2656" t="s">
        <v>38</v>
      </c>
      <c r="F2656" t="s">
        <v>143</v>
      </c>
      <c r="G2656" t="s">
        <v>10</v>
      </c>
      <c r="H2656" s="72">
        <v>812</v>
      </c>
      <c r="I2656" s="72" t="s">
        <v>55</v>
      </c>
      <c r="J2656" t="str">
        <f t="shared" si="86"/>
        <v>Quilcene River</v>
      </c>
      <c r="K2656" t="str">
        <f>IFERROR(VLOOKUP(J2656,LUTs!$A$1:$C$73,2,FALSE),"NA")</f>
        <v>Jefferson</v>
      </c>
      <c r="L2656" t="str">
        <f>IFERROR(VLOOKUP(J2656,LUTs!$A$1:$C$73,3,FALSE),"NA")</f>
        <v>4 Hood Canal</v>
      </c>
      <c r="M2656" s="72" t="s">
        <v>23</v>
      </c>
      <c r="N2656" t="str">
        <f>VLOOKUP(M2656,LUTs!E$2:H$14,3,)</f>
        <v>10Kitsap</v>
      </c>
      <c r="O2656" t="str">
        <f>VLOOKUP(M2656,LUTs!E$2:H$14,4,)</f>
        <v>02South Puget Sound</v>
      </c>
      <c r="P2656" s="73">
        <v>51.25</v>
      </c>
      <c r="Q2656" s="74">
        <f>VLOOKUP(B2656,Readme!A$40:C$51,2,)*P2656</f>
        <v>176.3</v>
      </c>
    </row>
    <row r="2657" spans="1:17" ht="12" customHeight="1" x14ac:dyDescent="0.35">
      <c r="A2657" s="75">
        <v>2656</v>
      </c>
      <c r="B2657" s="64">
        <v>2017</v>
      </c>
      <c r="C2657" s="64">
        <v>10</v>
      </c>
      <c r="D2657" s="80">
        <f t="shared" si="85"/>
        <v>2017</v>
      </c>
      <c r="E2657" t="s">
        <v>38</v>
      </c>
      <c r="F2657" t="s">
        <v>143</v>
      </c>
      <c r="G2657" t="s">
        <v>10</v>
      </c>
      <c r="H2657" s="72">
        <v>812</v>
      </c>
      <c r="I2657" s="72" t="s">
        <v>55</v>
      </c>
      <c r="J2657" t="str">
        <f t="shared" si="86"/>
        <v>Quilcene River</v>
      </c>
      <c r="K2657" t="str">
        <f>IFERROR(VLOOKUP(J2657,LUTs!$A$1:$C$73,2,FALSE),"NA")</f>
        <v>Jefferson</v>
      </c>
      <c r="L2657" t="str">
        <f>IFERROR(VLOOKUP(J2657,LUTs!$A$1:$C$73,3,FALSE),"NA")</f>
        <v>4 Hood Canal</v>
      </c>
      <c r="M2657" s="72" t="s">
        <v>20</v>
      </c>
      <c r="N2657" t="str">
        <f>VLOOKUP(M2657,LUTs!E$2:H$14,3,)</f>
        <v>07Pierce</v>
      </c>
      <c r="O2657" t="str">
        <f>VLOOKUP(M2657,LUTs!E$2:H$14,4,)</f>
        <v>02South Puget Sound</v>
      </c>
      <c r="P2657" s="73">
        <v>20.5</v>
      </c>
      <c r="Q2657" s="74">
        <f>VLOOKUP(B2657,Readme!A$40:C$51,2,)*P2657</f>
        <v>70.52</v>
      </c>
    </row>
    <row r="2658" spans="1:17" ht="12" customHeight="1" x14ac:dyDescent="0.35">
      <c r="A2658" s="75">
        <v>2657</v>
      </c>
      <c r="B2658" s="64">
        <v>2017</v>
      </c>
      <c r="C2658" s="64">
        <v>8</v>
      </c>
      <c r="D2658" s="80">
        <f t="shared" si="85"/>
        <v>2017</v>
      </c>
      <c r="E2658" t="s">
        <v>38</v>
      </c>
      <c r="F2658" t="s">
        <v>143</v>
      </c>
      <c r="G2658" t="s">
        <v>10</v>
      </c>
      <c r="H2658" s="72">
        <v>816</v>
      </c>
      <c r="I2658" s="72" t="s">
        <v>56</v>
      </c>
      <c r="J2658" t="str">
        <f t="shared" si="86"/>
        <v>Samish River</v>
      </c>
      <c r="K2658" t="str">
        <f>IFERROR(VLOOKUP(J2658,LUTs!$A$1:$C$73,2,FALSE),"NA")</f>
        <v>Skagit</v>
      </c>
      <c r="L2658" t="str">
        <f>IFERROR(VLOOKUP(J2658,LUTs!$A$1:$C$73,3,FALSE),"NA")</f>
        <v>1North Puget Sound</v>
      </c>
      <c r="M2658" s="72" t="s">
        <v>17</v>
      </c>
      <c r="N2658" t="str">
        <f>VLOOKUP(M2658,LUTs!E$2:H$14,3,)</f>
        <v>04Island</v>
      </c>
      <c r="O2658" t="str">
        <f>VLOOKUP(M2658,LUTs!E$2:H$14,4,)</f>
        <v>01North Puget Sound</v>
      </c>
      <c r="P2658" s="73">
        <v>19.3571428571429</v>
      </c>
      <c r="Q2658" s="74">
        <f>VLOOKUP(B2658,Readme!A$40:C$51,2,)*P2658</f>
        <v>66.588571428571569</v>
      </c>
    </row>
    <row r="2659" spans="1:17" ht="12" customHeight="1" x14ac:dyDescent="0.35">
      <c r="A2659" s="75">
        <v>2658</v>
      </c>
      <c r="B2659" s="64">
        <v>2017</v>
      </c>
      <c r="C2659" s="64">
        <v>8</v>
      </c>
      <c r="D2659" s="80">
        <f t="shared" si="85"/>
        <v>2017</v>
      </c>
      <c r="E2659" t="s">
        <v>38</v>
      </c>
      <c r="F2659" t="s">
        <v>143</v>
      </c>
      <c r="G2659" t="s">
        <v>10</v>
      </c>
      <c r="H2659" s="72">
        <v>816</v>
      </c>
      <c r="I2659" s="72" t="s">
        <v>56</v>
      </c>
      <c r="J2659" t="str">
        <f t="shared" si="86"/>
        <v>Samish River</v>
      </c>
      <c r="K2659" t="str">
        <f>IFERROR(VLOOKUP(J2659,LUTs!$A$1:$C$73,2,FALSE),"NA")</f>
        <v>Skagit</v>
      </c>
      <c r="L2659" t="str">
        <f>IFERROR(VLOOKUP(J2659,LUTs!$A$1:$C$73,3,FALSE),"NA")</f>
        <v>1North Puget Sound</v>
      </c>
      <c r="M2659" s="72" t="s">
        <v>18</v>
      </c>
      <c r="N2659" t="str">
        <f>VLOOKUP(M2659,LUTs!E$2:H$14,3,)</f>
        <v>06King</v>
      </c>
      <c r="O2659" t="str">
        <f>VLOOKUP(M2659,LUTs!E$2:H$14,4,)</f>
        <v>02South Puget Sound</v>
      </c>
      <c r="P2659" s="73">
        <v>135.5</v>
      </c>
      <c r="Q2659" s="74">
        <f>VLOOKUP(B2659,Readme!A$40:C$51,2,)*P2659</f>
        <v>466.12</v>
      </c>
    </row>
    <row r="2660" spans="1:17" ht="12" customHeight="1" x14ac:dyDescent="0.35">
      <c r="A2660" s="75">
        <v>2659</v>
      </c>
      <c r="B2660" s="64">
        <v>2017</v>
      </c>
      <c r="C2660" s="64">
        <v>8</v>
      </c>
      <c r="D2660" s="80">
        <f t="shared" si="85"/>
        <v>2017</v>
      </c>
      <c r="E2660" t="s">
        <v>38</v>
      </c>
      <c r="F2660" t="s">
        <v>143</v>
      </c>
      <c r="G2660" t="s">
        <v>10</v>
      </c>
      <c r="H2660" s="72">
        <v>816</v>
      </c>
      <c r="I2660" s="72" t="s">
        <v>56</v>
      </c>
      <c r="J2660" t="str">
        <f t="shared" si="86"/>
        <v>Samish River</v>
      </c>
      <c r="K2660" t="str">
        <f>IFERROR(VLOOKUP(J2660,LUTs!$A$1:$C$73,2,FALSE),"NA")</f>
        <v>Skagit</v>
      </c>
      <c r="L2660" t="str">
        <f>IFERROR(VLOOKUP(J2660,LUTs!$A$1:$C$73,3,FALSE),"NA")</f>
        <v>1North Puget Sound</v>
      </c>
      <c r="M2660" s="72" t="s">
        <v>15</v>
      </c>
      <c r="N2660" t="str">
        <f>VLOOKUP(M2660,LUTs!E$2:H$14,3,)</f>
        <v>02Skagit</v>
      </c>
      <c r="O2660" t="str">
        <f>VLOOKUP(M2660,LUTs!E$2:H$14,4,)</f>
        <v>01North Puget Sound</v>
      </c>
      <c r="P2660" s="73">
        <v>58.071428571428598</v>
      </c>
      <c r="Q2660" s="74">
        <f>VLOOKUP(B2660,Readme!A$40:C$51,2,)*P2660</f>
        <v>199.76571428571438</v>
      </c>
    </row>
    <row r="2661" spans="1:17" ht="12" customHeight="1" x14ac:dyDescent="0.35">
      <c r="A2661" s="75">
        <v>2660</v>
      </c>
      <c r="B2661" s="64">
        <v>2017</v>
      </c>
      <c r="C2661" s="64">
        <v>8</v>
      </c>
      <c r="D2661" s="80">
        <f t="shared" si="85"/>
        <v>2017</v>
      </c>
      <c r="E2661" t="s">
        <v>38</v>
      </c>
      <c r="F2661" t="s">
        <v>143</v>
      </c>
      <c r="G2661" t="s">
        <v>10</v>
      </c>
      <c r="H2661" s="72">
        <v>816</v>
      </c>
      <c r="I2661" s="72" t="s">
        <v>56</v>
      </c>
      <c r="J2661" t="str">
        <f t="shared" si="86"/>
        <v>Samish River</v>
      </c>
      <c r="K2661" t="str">
        <f>IFERROR(VLOOKUP(J2661,LUTs!$A$1:$C$73,2,FALSE),"NA")</f>
        <v>Skagit</v>
      </c>
      <c r="L2661" t="str">
        <f>IFERROR(VLOOKUP(J2661,LUTs!$A$1:$C$73,3,FALSE),"NA")</f>
        <v>1North Puget Sound</v>
      </c>
      <c r="M2661" s="72" t="s">
        <v>16</v>
      </c>
      <c r="N2661" t="str">
        <f>VLOOKUP(M2661,LUTs!E$2:H$14,3,)</f>
        <v>03Snohomish</v>
      </c>
      <c r="O2661" t="str">
        <f>VLOOKUP(M2661,LUTs!E$2:H$14,4,)</f>
        <v>01North Puget Sound</v>
      </c>
      <c r="P2661" s="73">
        <v>222.607142857143</v>
      </c>
      <c r="Q2661" s="74">
        <f>VLOOKUP(B2661,Readme!A$40:C$51,2,)*P2661</f>
        <v>765.76857142857193</v>
      </c>
    </row>
    <row r="2662" spans="1:17" ht="12" customHeight="1" x14ac:dyDescent="0.35">
      <c r="A2662" s="75">
        <v>2661</v>
      </c>
      <c r="B2662" s="64">
        <v>2017</v>
      </c>
      <c r="C2662" s="64">
        <v>8</v>
      </c>
      <c r="D2662" s="80">
        <f t="shared" si="85"/>
        <v>2017</v>
      </c>
      <c r="E2662" t="s">
        <v>38</v>
      </c>
      <c r="F2662" t="s">
        <v>143</v>
      </c>
      <c r="G2662" t="s">
        <v>10</v>
      </c>
      <c r="H2662" s="72">
        <v>816</v>
      </c>
      <c r="I2662" s="72" t="s">
        <v>56</v>
      </c>
      <c r="J2662" t="str">
        <f t="shared" si="86"/>
        <v>Samish River</v>
      </c>
      <c r="K2662" t="str">
        <f>IFERROR(VLOOKUP(J2662,LUTs!$A$1:$C$73,2,FALSE),"NA")</f>
        <v>Skagit</v>
      </c>
      <c r="L2662" t="str">
        <f>IFERROR(VLOOKUP(J2662,LUTs!$A$1:$C$73,3,FALSE),"NA")</f>
        <v>1North Puget Sound</v>
      </c>
      <c r="M2662" s="72" t="s">
        <v>13</v>
      </c>
      <c r="N2662" t="str">
        <f>VLOOKUP(M2662,LUTs!E$2:H$14,3,)</f>
        <v>01Whatcom</v>
      </c>
      <c r="O2662" t="str">
        <f>VLOOKUP(M2662,LUTs!E$2:H$14,4,)</f>
        <v>01North Puget Sound</v>
      </c>
      <c r="P2662" s="73">
        <v>106.46428571428601</v>
      </c>
      <c r="Q2662" s="74">
        <f>VLOOKUP(B2662,Readme!A$40:C$51,2,)*P2662</f>
        <v>366.23714285714385</v>
      </c>
    </row>
    <row r="2663" spans="1:17" ht="12" customHeight="1" x14ac:dyDescent="0.35">
      <c r="A2663" s="75">
        <v>2662</v>
      </c>
      <c r="B2663" s="64">
        <v>2017</v>
      </c>
      <c r="C2663" s="64">
        <v>9</v>
      </c>
      <c r="D2663" s="80">
        <f t="shared" si="85"/>
        <v>2017</v>
      </c>
      <c r="E2663" t="s">
        <v>38</v>
      </c>
      <c r="F2663" t="s">
        <v>143</v>
      </c>
      <c r="G2663" t="s">
        <v>10</v>
      </c>
      <c r="H2663" s="72">
        <v>816</v>
      </c>
      <c r="I2663" s="72" t="s">
        <v>56</v>
      </c>
      <c r="J2663" t="str">
        <f t="shared" si="86"/>
        <v>Samish River</v>
      </c>
      <c r="K2663" t="str">
        <f>IFERROR(VLOOKUP(J2663,LUTs!$A$1:$C$73,2,FALSE),"NA")</f>
        <v>Skagit</v>
      </c>
      <c r="L2663" t="str">
        <f>IFERROR(VLOOKUP(J2663,LUTs!$A$1:$C$73,3,FALSE),"NA")</f>
        <v>1North Puget Sound</v>
      </c>
      <c r="M2663" s="72" t="s">
        <v>17</v>
      </c>
      <c r="N2663" t="str">
        <f>VLOOKUP(M2663,LUTs!E$2:H$14,3,)</f>
        <v>04Island</v>
      </c>
      <c r="O2663" t="str">
        <f>VLOOKUP(M2663,LUTs!E$2:H$14,4,)</f>
        <v>01North Puget Sound</v>
      </c>
      <c r="P2663" s="73">
        <v>232.114832535885</v>
      </c>
      <c r="Q2663" s="74">
        <f>VLOOKUP(B2663,Readme!A$40:C$51,2,)*P2663</f>
        <v>798.47502392344438</v>
      </c>
    </row>
    <row r="2664" spans="1:17" ht="12" customHeight="1" x14ac:dyDescent="0.35">
      <c r="A2664" s="75">
        <v>2663</v>
      </c>
      <c r="B2664" s="64">
        <v>2017</v>
      </c>
      <c r="C2664" s="64">
        <v>9</v>
      </c>
      <c r="D2664" s="80">
        <f t="shared" si="85"/>
        <v>2017</v>
      </c>
      <c r="E2664" t="s">
        <v>38</v>
      </c>
      <c r="F2664" t="s">
        <v>143</v>
      </c>
      <c r="G2664" t="s">
        <v>10</v>
      </c>
      <c r="H2664" s="72">
        <v>816</v>
      </c>
      <c r="I2664" s="72" t="s">
        <v>56</v>
      </c>
      <c r="J2664" t="str">
        <f t="shared" si="86"/>
        <v>Samish River</v>
      </c>
      <c r="K2664" t="str">
        <f>IFERROR(VLOOKUP(J2664,LUTs!$A$1:$C$73,2,FALSE),"NA")</f>
        <v>Skagit</v>
      </c>
      <c r="L2664" t="str">
        <f>IFERROR(VLOOKUP(J2664,LUTs!$A$1:$C$73,3,FALSE),"NA")</f>
        <v>1North Puget Sound</v>
      </c>
      <c r="M2664" s="72" t="s">
        <v>18</v>
      </c>
      <c r="N2664" t="str">
        <f>VLOOKUP(M2664,LUTs!E$2:H$14,3,)</f>
        <v>06King</v>
      </c>
      <c r="O2664" t="str">
        <f>VLOOKUP(M2664,LUTs!E$2:H$14,4,)</f>
        <v>02South Puget Sound</v>
      </c>
      <c r="P2664" s="73">
        <v>909.11642743221705</v>
      </c>
      <c r="Q2664" s="74">
        <f>VLOOKUP(B2664,Readme!A$40:C$51,2,)*P2664</f>
        <v>3127.3605103668265</v>
      </c>
    </row>
    <row r="2665" spans="1:17" ht="12" customHeight="1" x14ac:dyDescent="0.35">
      <c r="A2665" s="75">
        <v>2664</v>
      </c>
      <c r="B2665" s="64">
        <v>2017</v>
      </c>
      <c r="C2665" s="64">
        <v>9</v>
      </c>
      <c r="D2665" s="80">
        <f t="shared" si="85"/>
        <v>2017</v>
      </c>
      <c r="E2665" t="s">
        <v>38</v>
      </c>
      <c r="F2665" t="s">
        <v>143</v>
      </c>
      <c r="G2665" t="s">
        <v>10</v>
      </c>
      <c r="H2665" s="72">
        <v>816</v>
      </c>
      <c r="I2665" s="72" t="s">
        <v>56</v>
      </c>
      <c r="J2665" t="str">
        <f t="shared" si="86"/>
        <v>Samish River</v>
      </c>
      <c r="K2665" t="str">
        <f>IFERROR(VLOOKUP(J2665,LUTs!$A$1:$C$73,2,FALSE),"NA")</f>
        <v>Skagit</v>
      </c>
      <c r="L2665" t="str">
        <f>IFERROR(VLOOKUP(J2665,LUTs!$A$1:$C$73,3,FALSE),"NA")</f>
        <v>1North Puget Sound</v>
      </c>
      <c r="M2665" s="72" t="s">
        <v>26</v>
      </c>
      <c r="N2665" t="str">
        <f>VLOOKUP(M2665,LUTs!E$2:H$14,3,)</f>
        <v>20Other</v>
      </c>
      <c r="O2665" t="str">
        <f>VLOOKUP(M2665,LUTs!E$2:H$14,4,)</f>
        <v>07Non Puget Sound</v>
      </c>
      <c r="P2665" s="73">
        <v>415.87240829346098</v>
      </c>
      <c r="Q2665" s="74">
        <f>VLOOKUP(B2665,Readme!A$40:C$51,2,)*P2665</f>
        <v>1430.6010845295057</v>
      </c>
    </row>
    <row r="2666" spans="1:17" ht="12" customHeight="1" x14ac:dyDescent="0.35">
      <c r="A2666" s="75">
        <v>2665</v>
      </c>
      <c r="B2666" s="64">
        <v>2017</v>
      </c>
      <c r="C2666" s="64">
        <v>9</v>
      </c>
      <c r="D2666" s="80">
        <f t="shared" si="85"/>
        <v>2017</v>
      </c>
      <c r="E2666" t="s">
        <v>38</v>
      </c>
      <c r="F2666" t="s">
        <v>143</v>
      </c>
      <c r="G2666" t="s">
        <v>10</v>
      </c>
      <c r="H2666" s="72">
        <v>816</v>
      </c>
      <c r="I2666" s="72" t="s">
        <v>56</v>
      </c>
      <c r="J2666" t="str">
        <f t="shared" si="86"/>
        <v>Samish River</v>
      </c>
      <c r="K2666" t="str">
        <f>IFERROR(VLOOKUP(J2666,LUTs!$A$1:$C$73,2,FALSE),"NA")</f>
        <v>Skagit</v>
      </c>
      <c r="L2666" t="str">
        <f>IFERROR(VLOOKUP(J2666,LUTs!$A$1:$C$73,3,FALSE),"NA")</f>
        <v>1North Puget Sound</v>
      </c>
      <c r="M2666" s="72" t="s">
        <v>20</v>
      </c>
      <c r="N2666" t="str">
        <f>VLOOKUP(M2666,LUTs!E$2:H$14,3,)</f>
        <v>07Pierce</v>
      </c>
      <c r="O2666" t="str">
        <f>VLOOKUP(M2666,LUTs!E$2:H$14,4,)</f>
        <v>02South Puget Sound</v>
      </c>
      <c r="P2666" s="73">
        <v>19.342902711323799</v>
      </c>
      <c r="Q2666" s="74">
        <f>VLOOKUP(B2666,Readme!A$40:C$51,2,)*P2666</f>
        <v>66.539585326953869</v>
      </c>
    </row>
    <row r="2667" spans="1:17" ht="12" customHeight="1" x14ac:dyDescent="0.35">
      <c r="A2667" s="75">
        <v>2666</v>
      </c>
      <c r="B2667" s="64">
        <v>2017</v>
      </c>
      <c r="C2667" s="64">
        <v>9</v>
      </c>
      <c r="D2667" s="80">
        <f t="shared" si="85"/>
        <v>2017</v>
      </c>
      <c r="E2667" t="s">
        <v>38</v>
      </c>
      <c r="F2667" t="s">
        <v>143</v>
      </c>
      <c r="G2667" t="s">
        <v>10</v>
      </c>
      <c r="H2667" s="72">
        <v>816</v>
      </c>
      <c r="I2667" s="72" t="s">
        <v>56</v>
      </c>
      <c r="J2667" t="str">
        <f t="shared" si="86"/>
        <v>Samish River</v>
      </c>
      <c r="K2667" t="str">
        <f>IFERROR(VLOOKUP(J2667,LUTs!$A$1:$C$73,2,FALSE),"NA")</f>
        <v>Skagit</v>
      </c>
      <c r="L2667" t="str">
        <f>IFERROR(VLOOKUP(J2667,LUTs!$A$1:$C$73,3,FALSE),"NA")</f>
        <v>1North Puget Sound</v>
      </c>
      <c r="M2667" s="72" t="s">
        <v>15</v>
      </c>
      <c r="N2667" t="str">
        <f>VLOOKUP(M2667,LUTs!E$2:H$14,3,)</f>
        <v>02Skagit</v>
      </c>
      <c r="O2667" t="str">
        <f>VLOOKUP(M2667,LUTs!E$2:H$14,4,)</f>
        <v>01North Puget Sound</v>
      </c>
      <c r="P2667" s="73">
        <v>1015.5023923445</v>
      </c>
      <c r="Q2667" s="74">
        <f>VLOOKUP(B2667,Readme!A$40:C$51,2,)*P2667</f>
        <v>3493.32822966508</v>
      </c>
    </row>
    <row r="2668" spans="1:17" ht="12" customHeight="1" x14ac:dyDescent="0.35">
      <c r="A2668" s="75">
        <v>2667</v>
      </c>
      <c r="B2668" s="64">
        <v>2017</v>
      </c>
      <c r="C2668" s="64">
        <v>9</v>
      </c>
      <c r="D2668" s="80">
        <f t="shared" si="85"/>
        <v>2017</v>
      </c>
      <c r="E2668" t="s">
        <v>38</v>
      </c>
      <c r="F2668" t="s">
        <v>143</v>
      </c>
      <c r="G2668" t="s">
        <v>10</v>
      </c>
      <c r="H2668" s="72">
        <v>816</v>
      </c>
      <c r="I2668" s="72" t="s">
        <v>56</v>
      </c>
      <c r="J2668" t="str">
        <f t="shared" si="86"/>
        <v>Samish River</v>
      </c>
      <c r="K2668" t="str">
        <f>IFERROR(VLOOKUP(J2668,LUTs!$A$1:$C$73,2,FALSE),"NA")</f>
        <v>Skagit</v>
      </c>
      <c r="L2668" t="str">
        <f>IFERROR(VLOOKUP(J2668,LUTs!$A$1:$C$73,3,FALSE),"NA")</f>
        <v>1North Puget Sound</v>
      </c>
      <c r="M2668" s="72" t="s">
        <v>16</v>
      </c>
      <c r="N2668" t="str">
        <f>VLOOKUP(M2668,LUTs!E$2:H$14,3,)</f>
        <v>03Snohomish</v>
      </c>
      <c r="O2668" t="str">
        <f>VLOOKUP(M2668,LUTs!E$2:H$14,4,)</f>
        <v>01North Puget Sound</v>
      </c>
      <c r="P2668" s="73">
        <v>2766.0350877193</v>
      </c>
      <c r="Q2668" s="74">
        <f>VLOOKUP(B2668,Readme!A$40:C$51,2,)*P2668</f>
        <v>9515.160701754392</v>
      </c>
    </row>
    <row r="2669" spans="1:17" ht="12" customHeight="1" x14ac:dyDescent="0.35">
      <c r="A2669" s="75">
        <v>2668</v>
      </c>
      <c r="B2669" s="64">
        <v>2017</v>
      </c>
      <c r="C2669" s="64">
        <v>9</v>
      </c>
      <c r="D2669" s="80">
        <f t="shared" si="85"/>
        <v>2017</v>
      </c>
      <c r="E2669" t="s">
        <v>38</v>
      </c>
      <c r="F2669" t="s">
        <v>143</v>
      </c>
      <c r="G2669" t="s">
        <v>10</v>
      </c>
      <c r="H2669" s="72">
        <v>816</v>
      </c>
      <c r="I2669" s="72" t="s">
        <v>56</v>
      </c>
      <c r="J2669" t="str">
        <f t="shared" si="86"/>
        <v>Samish River</v>
      </c>
      <c r="K2669" t="str">
        <f>IFERROR(VLOOKUP(J2669,LUTs!$A$1:$C$73,2,FALSE),"NA")</f>
        <v>Skagit</v>
      </c>
      <c r="L2669" t="str">
        <f>IFERROR(VLOOKUP(J2669,LUTs!$A$1:$C$73,3,FALSE),"NA")</f>
        <v>1North Puget Sound</v>
      </c>
      <c r="M2669" s="72" t="s">
        <v>13</v>
      </c>
      <c r="N2669" t="str">
        <f>VLOOKUP(M2669,LUTs!E$2:H$14,3,)</f>
        <v>01Whatcom</v>
      </c>
      <c r="O2669" t="str">
        <f>VLOOKUP(M2669,LUTs!E$2:H$14,4,)</f>
        <v>01North Puget Sound</v>
      </c>
      <c r="P2669" s="73">
        <v>706.01594896331801</v>
      </c>
      <c r="Q2669" s="74">
        <f>VLOOKUP(B2669,Readme!A$40:C$51,2,)*P2669</f>
        <v>2428.694864433814</v>
      </c>
    </row>
    <row r="2670" spans="1:17" ht="12" customHeight="1" x14ac:dyDescent="0.35">
      <c r="A2670" s="75">
        <v>2669</v>
      </c>
      <c r="B2670" s="64">
        <v>2017</v>
      </c>
      <c r="C2670" s="64">
        <v>10</v>
      </c>
      <c r="D2670" s="80">
        <f t="shared" si="85"/>
        <v>2017</v>
      </c>
      <c r="E2670" t="s">
        <v>38</v>
      </c>
      <c r="F2670" t="s">
        <v>143</v>
      </c>
      <c r="G2670" t="s">
        <v>10</v>
      </c>
      <c r="H2670" s="72">
        <v>816</v>
      </c>
      <c r="I2670" s="72" t="s">
        <v>56</v>
      </c>
      <c r="J2670" t="str">
        <f t="shared" si="86"/>
        <v>Samish River</v>
      </c>
      <c r="K2670" t="str">
        <f>IFERROR(VLOOKUP(J2670,LUTs!$A$1:$C$73,2,FALSE),"NA")</f>
        <v>Skagit</v>
      </c>
      <c r="L2670" t="str">
        <f>IFERROR(VLOOKUP(J2670,LUTs!$A$1:$C$73,3,FALSE),"NA")</f>
        <v>1North Puget Sound</v>
      </c>
      <c r="M2670" s="72" t="s">
        <v>17</v>
      </c>
      <c r="N2670" t="str">
        <f>VLOOKUP(M2670,LUTs!E$2:H$14,3,)</f>
        <v>04Island</v>
      </c>
      <c r="O2670" t="str">
        <f>VLOOKUP(M2670,LUTs!E$2:H$14,4,)</f>
        <v>01North Puget Sound</v>
      </c>
      <c r="P2670" s="73">
        <v>9.6666666666666696</v>
      </c>
      <c r="Q2670" s="74">
        <f>VLOOKUP(B2670,Readme!A$40:C$51,2,)*P2670</f>
        <v>33.253333333333345</v>
      </c>
    </row>
    <row r="2671" spans="1:17" ht="12" customHeight="1" x14ac:dyDescent="0.35">
      <c r="A2671" s="75">
        <v>2670</v>
      </c>
      <c r="B2671" s="64">
        <v>2017</v>
      </c>
      <c r="C2671" s="64">
        <v>10</v>
      </c>
      <c r="D2671" s="80">
        <f t="shared" si="85"/>
        <v>2017</v>
      </c>
      <c r="E2671" t="s">
        <v>38</v>
      </c>
      <c r="F2671" t="s">
        <v>143</v>
      </c>
      <c r="G2671" t="s">
        <v>10</v>
      </c>
      <c r="H2671" s="72">
        <v>816</v>
      </c>
      <c r="I2671" s="72" t="s">
        <v>56</v>
      </c>
      <c r="J2671" t="str">
        <f t="shared" si="86"/>
        <v>Samish River</v>
      </c>
      <c r="K2671" t="str">
        <f>IFERROR(VLOOKUP(J2671,LUTs!$A$1:$C$73,2,FALSE),"NA")</f>
        <v>Skagit</v>
      </c>
      <c r="L2671" t="str">
        <f>IFERROR(VLOOKUP(J2671,LUTs!$A$1:$C$73,3,FALSE),"NA")</f>
        <v>1North Puget Sound</v>
      </c>
      <c r="M2671" s="72" t="s">
        <v>18</v>
      </c>
      <c r="N2671" t="str">
        <f>VLOOKUP(M2671,LUTs!E$2:H$14,3,)</f>
        <v>06King</v>
      </c>
      <c r="O2671" t="str">
        <f>VLOOKUP(M2671,LUTs!E$2:H$14,4,)</f>
        <v>02South Puget Sound</v>
      </c>
      <c r="P2671" s="73">
        <v>415.66666666666703</v>
      </c>
      <c r="Q2671" s="74">
        <f>VLOOKUP(B2671,Readme!A$40:C$51,2,)*P2671</f>
        <v>1429.8933333333346</v>
      </c>
    </row>
    <row r="2672" spans="1:17" ht="12" customHeight="1" x14ac:dyDescent="0.35">
      <c r="A2672" s="75">
        <v>2671</v>
      </c>
      <c r="B2672" s="64">
        <v>2017</v>
      </c>
      <c r="C2672" s="64">
        <v>10</v>
      </c>
      <c r="D2672" s="80">
        <f t="shared" si="85"/>
        <v>2017</v>
      </c>
      <c r="E2672" t="s">
        <v>38</v>
      </c>
      <c r="F2672" t="s">
        <v>143</v>
      </c>
      <c r="G2672" t="s">
        <v>10</v>
      </c>
      <c r="H2672" s="72">
        <v>816</v>
      </c>
      <c r="I2672" s="72" t="s">
        <v>56</v>
      </c>
      <c r="J2672" t="str">
        <f t="shared" si="86"/>
        <v>Samish River</v>
      </c>
      <c r="K2672" t="str">
        <f>IFERROR(VLOOKUP(J2672,LUTs!$A$1:$C$73,2,FALSE),"NA")</f>
        <v>Skagit</v>
      </c>
      <c r="L2672" t="str">
        <f>IFERROR(VLOOKUP(J2672,LUTs!$A$1:$C$73,3,FALSE),"NA")</f>
        <v>1North Puget Sound</v>
      </c>
      <c r="M2672" s="72" t="s">
        <v>26</v>
      </c>
      <c r="N2672" t="str">
        <f>VLOOKUP(M2672,LUTs!E$2:H$14,3,)</f>
        <v>20Other</v>
      </c>
      <c r="O2672" t="str">
        <f>VLOOKUP(M2672,LUTs!E$2:H$14,4,)</f>
        <v>07Non Puget Sound</v>
      </c>
      <c r="P2672" s="73">
        <v>29</v>
      </c>
      <c r="Q2672" s="74">
        <f>VLOOKUP(B2672,Readme!A$40:C$51,2,)*P2672</f>
        <v>99.76</v>
      </c>
    </row>
    <row r="2673" spans="1:17" ht="12" customHeight="1" x14ac:dyDescent="0.35">
      <c r="A2673" s="75">
        <v>2672</v>
      </c>
      <c r="B2673" s="64">
        <v>2017</v>
      </c>
      <c r="C2673" s="64">
        <v>10</v>
      </c>
      <c r="D2673" s="80">
        <f t="shared" si="85"/>
        <v>2017</v>
      </c>
      <c r="E2673" t="s">
        <v>38</v>
      </c>
      <c r="F2673" t="s">
        <v>143</v>
      </c>
      <c r="G2673" t="s">
        <v>10</v>
      </c>
      <c r="H2673" s="72">
        <v>816</v>
      </c>
      <c r="I2673" s="72" t="s">
        <v>56</v>
      </c>
      <c r="J2673" t="str">
        <f t="shared" si="86"/>
        <v>Samish River</v>
      </c>
      <c r="K2673" t="str">
        <f>IFERROR(VLOOKUP(J2673,LUTs!$A$1:$C$73,2,FALSE),"NA")</f>
        <v>Skagit</v>
      </c>
      <c r="L2673" t="str">
        <f>IFERROR(VLOOKUP(J2673,LUTs!$A$1:$C$73,3,FALSE),"NA")</f>
        <v>1North Puget Sound</v>
      </c>
      <c r="M2673" s="72" t="s">
        <v>15</v>
      </c>
      <c r="N2673" t="str">
        <f>VLOOKUP(M2673,LUTs!E$2:H$14,3,)</f>
        <v>02Skagit</v>
      </c>
      <c r="O2673" t="str">
        <f>VLOOKUP(M2673,LUTs!E$2:H$14,4,)</f>
        <v>01North Puget Sound</v>
      </c>
      <c r="P2673" s="73">
        <v>203</v>
      </c>
      <c r="Q2673" s="74">
        <f>VLOOKUP(B2673,Readme!A$40:C$51,2,)*P2673</f>
        <v>698.31999999999994</v>
      </c>
    </row>
    <row r="2674" spans="1:17" ht="12" customHeight="1" x14ac:dyDescent="0.35">
      <c r="A2674" s="75">
        <v>2673</v>
      </c>
      <c r="B2674" s="64">
        <v>2017</v>
      </c>
      <c r="C2674" s="64">
        <v>10</v>
      </c>
      <c r="D2674" s="80">
        <f t="shared" si="85"/>
        <v>2017</v>
      </c>
      <c r="E2674" t="s">
        <v>38</v>
      </c>
      <c r="F2674" t="s">
        <v>143</v>
      </c>
      <c r="G2674" t="s">
        <v>10</v>
      </c>
      <c r="H2674" s="72">
        <v>816</v>
      </c>
      <c r="I2674" s="72" t="s">
        <v>56</v>
      </c>
      <c r="J2674" t="str">
        <f t="shared" si="86"/>
        <v>Samish River</v>
      </c>
      <c r="K2674" t="str">
        <f>IFERROR(VLOOKUP(J2674,LUTs!$A$1:$C$73,2,FALSE),"NA")</f>
        <v>Skagit</v>
      </c>
      <c r="L2674" t="str">
        <f>IFERROR(VLOOKUP(J2674,LUTs!$A$1:$C$73,3,FALSE),"NA")</f>
        <v>1North Puget Sound</v>
      </c>
      <c r="M2674" s="72" t="s">
        <v>16</v>
      </c>
      <c r="N2674" t="str">
        <f>VLOOKUP(M2674,LUTs!E$2:H$14,3,)</f>
        <v>03Snohomish</v>
      </c>
      <c r="O2674" t="str">
        <f>VLOOKUP(M2674,LUTs!E$2:H$14,4,)</f>
        <v>01North Puget Sound</v>
      </c>
      <c r="P2674" s="73">
        <v>1082.6666666666699</v>
      </c>
      <c r="Q2674" s="74">
        <f>VLOOKUP(B2674,Readme!A$40:C$51,2,)*P2674</f>
        <v>3724.3733333333444</v>
      </c>
    </row>
    <row r="2675" spans="1:17" ht="12" customHeight="1" x14ac:dyDescent="0.35">
      <c r="A2675" s="75">
        <v>2674</v>
      </c>
      <c r="B2675" s="64">
        <v>2017</v>
      </c>
      <c r="C2675" s="64">
        <v>10</v>
      </c>
      <c r="D2675" s="80">
        <f t="shared" si="85"/>
        <v>2017</v>
      </c>
      <c r="E2675" t="s">
        <v>38</v>
      </c>
      <c r="F2675" t="s">
        <v>143</v>
      </c>
      <c r="G2675" t="s">
        <v>10</v>
      </c>
      <c r="H2675" s="72">
        <v>816</v>
      </c>
      <c r="I2675" s="72" t="s">
        <v>56</v>
      </c>
      <c r="J2675" t="str">
        <f t="shared" si="86"/>
        <v>Samish River</v>
      </c>
      <c r="K2675" t="str">
        <f>IFERROR(VLOOKUP(J2675,LUTs!$A$1:$C$73,2,FALSE),"NA")</f>
        <v>Skagit</v>
      </c>
      <c r="L2675" t="str">
        <f>IFERROR(VLOOKUP(J2675,LUTs!$A$1:$C$73,3,FALSE),"NA")</f>
        <v>1North Puget Sound</v>
      </c>
      <c r="M2675" s="72" t="s">
        <v>13</v>
      </c>
      <c r="N2675" t="str">
        <f>VLOOKUP(M2675,LUTs!E$2:H$14,3,)</f>
        <v>01Whatcom</v>
      </c>
      <c r="O2675" t="str">
        <f>VLOOKUP(M2675,LUTs!E$2:H$14,4,)</f>
        <v>01North Puget Sound</v>
      </c>
      <c r="P2675" s="73">
        <v>87</v>
      </c>
      <c r="Q2675" s="74">
        <f>VLOOKUP(B2675,Readme!A$40:C$51,2,)*P2675</f>
        <v>299.27999999999997</v>
      </c>
    </row>
    <row r="2676" spans="1:17" ht="12" customHeight="1" x14ac:dyDescent="0.35">
      <c r="A2676" s="75">
        <v>2675</v>
      </c>
      <c r="B2676" s="64">
        <v>2017</v>
      </c>
      <c r="C2676" s="64">
        <v>7</v>
      </c>
      <c r="D2676" s="80">
        <f t="shared" si="85"/>
        <v>2017</v>
      </c>
      <c r="E2676" t="s">
        <v>38</v>
      </c>
      <c r="F2676" t="s">
        <v>143</v>
      </c>
      <c r="G2676" t="s">
        <v>10</v>
      </c>
      <c r="H2676" s="72">
        <v>825</v>
      </c>
      <c r="I2676" s="72" t="s">
        <v>58</v>
      </c>
      <c r="J2676" t="str">
        <f t="shared" si="86"/>
        <v>Baker Lake</v>
      </c>
      <c r="K2676" t="str">
        <f>IFERROR(VLOOKUP(J2676,LUTs!$A$1:$C$73,2,FALSE),"NA")</f>
        <v>Whatcom</v>
      </c>
      <c r="L2676" t="str">
        <f>IFERROR(VLOOKUP(J2676,LUTs!$A$1:$C$73,3,FALSE),"NA")</f>
        <v>1North Puget Sound</v>
      </c>
      <c r="M2676" s="72" t="s">
        <v>24</v>
      </c>
      <c r="N2676" t="str">
        <f>VLOOKUP(M2676,LUTs!E$2:H$14,3,)</f>
        <v>11Clallam</v>
      </c>
      <c r="O2676" t="str">
        <f>VLOOKUP(M2676,LUTs!E$2:H$14,4,)</f>
        <v>03Strait of Juan de Fuca</v>
      </c>
      <c r="P2676" s="73">
        <v>9.99457994579946</v>
      </c>
      <c r="Q2676" s="74">
        <f>VLOOKUP(B2676,Readme!A$40:C$51,2,)*P2676</f>
        <v>34.381355013550142</v>
      </c>
    </row>
    <row r="2677" spans="1:17" ht="12" customHeight="1" x14ac:dyDescent="0.35">
      <c r="A2677" s="75">
        <v>2676</v>
      </c>
      <c r="B2677" s="64">
        <v>2017</v>
      </c>
      <c r="C2677" s="64">
        <v>7</v>
      </c>
      <c r="D2677" s="80">
        <f t="shared" si="85"/>
        <v>2017</v>
      </c>
      <c r="E2677" t="s">
        <v>38</v>
      </c>
      <c r="F2677" t="s">
        <v>143</v>
      </c>
      <c r="G2677" t="s">
        <v>10</v>
      </c>
      <c r="H2677" s="72">
        <v>825</v>
      </c>
      <c r="I2677" s="72" t="s">
        <v>58</v>
      </c>
      <c r="J2677" t="str">
        <f t="shared" si="86"/>
        <v>Baker Lake</v>
      </c>
      <c r="K2677" t="str">
        <f>IFERROR(VLOOKUP(J2677,LUTs!$A$1:$C$73,2,FALSE),"NA")</f>
        <v>Whatcom</v>
      </c>
      <c r="L2677" t="str">
        <f>IFERROR(VLOOKUP(J2677,LUTs!$A$1:$C$73,3,FALSE),"NA")</f>
        <v>1North Puget Sound</v>
      </c>
      <c r="M2677" s="72" t="s">
        <v>17</v>
      </c>
      <c r="N2677" t="str">
        <f>VLOOKUP(M2677,LUTs!E$2:H$14,3,)</f>
        <v>04Island</v>
      </c>
      <c r="O2677" t="str">
        <f>VLOOKUP(M2677,LUTs!E$2:H$14,4,)</f>
        <v>01North Puget Sound</v>
      </c>
      <c r="P2677" s="73">
        <v>119.934959349594</v>
      </c>
      <c r="Q2677" s="74">
        <f>VLOOKUP(B2677,Readme!A$40:C$51,2,)*P2677</f>
        <v>412.57626016260332</v>
      </c>
    </row>
    <row r="2678" spans="1:17" ht="12" customHeight="1" x14ac:dyDescent="0.35">
      <c r="A2678" s="75">
        <v>2677</v>
      </c>
      <c r="B2678" s="64">
        <v>2017</v>
      </c>
      <c r="C2678" s="64">
        <v>7</v>
      </c>
      <c r="D2678" s="80">
        <f t="shared" si="85"/>
        <v>2017</v>
      </c>
      <c r="E2678" t="s">
        <v>38</v>
      </c>
      <c r="F2678" t="s">
        <v>143</v>
      </c>
      <c r="G2678" t="s">
        <v>10</v>
      </c>
      <c r="H2678" s="72">
        <v>825</v>
      </c>
      <c r="I2678" s="72" t="s">
        <v>58</v>
      </c>
      <c r="J2678" t="str">
        <f t="shared" si="86"/>
        <v>Baker Lake</v>
      </c>
      <c r="K2678" t="str">
        <f>IFERROR(VLOOKUP(J2678,LUTs!$A$1:$C$73,2,FALSE),"NA")</f>
        <v>Whatcom</v>
      </c>
      <c r="L2678" t="str">
        <f>IFERROR(VLOOKUP(J2678,LUTs!$A$1:$C$73,3,FALSE),"NA")</f>
        <v>1North Puget Sound</v>
      </c>
      <c r="M2678" s="72" t="s">
        <v>18</v>
      </c>
      <c r="N2678" t="str">
        <f>VLOOKUP(M2678,LUTs!E$2:H$14,3,)</f>
        <v>06King</v>
      </c>
      <c r="O2678" t="str">
        <f>VLOOKUP(M2678,LUTs!E$2:H$14,4,)</f>
        <v>02South Puget Sound</v>
      </c>
      <c r="P2678" s="73">
        <v>349.81029810298099</v>
      </c>
      <c r="Q2678" s="74">
        <f>VLOOKUP(B2678,Readme!A$40:C$51,2,)*P2678</f>
        <v>1203.3474254742546</v>
      </c>
    </row>
    <row r="2679" spans="1:17" ht="12" customHeight="1" x14ac:dyDescent="0.35">
      <c r="A2679" s="75">
        <v>2678</v>
      </c>
      <c r="B2679" s="64">
        <v>2017</v>
      </c>
      <c r="C2679" s="64">
        <v>7</v>
      </c>
      <c r="D2679" s="80">
        <f t="shared" si="85"/>
        <v>2017</v>
      </c>
      <c r="E2679" t="s">
        <v>38</v>
      </c>
      <c r="F2679" t="s">
        <v>143</v>
      </c>
      <c r="G2679" t="s">
        <v>10</v>
      </c>
      <c r="H2679" s="72">
        <v>825</v>
      </c>
      <c r="I2679" s="72" t="s">
        <v>58</v>
      </c>
      <c r="J2679" t="str">
        <f t="shared" si="86"/>
        <v>Baker Lake</v>
      </c>
      <c r="K2679" t="str">
        <f>IFERROR(VLOOKUP(J2679,LUTs!$A$1:$C$73,2,FALSE),"NA")</f>
        <v>Whatcom</v>
      </c>
      <c r="L2679" t="str">
        <f>IFERROR(VLOOKUP(J2679,LUTs!$A$1:$C$73,3,FALSE),"NA")</f>
        <v>1North Puget Sound</v>
      </c>
      <c r="M2679" s="72" t="s">
        <v>22</v>
      </c>
      <c r="N2679" t="str">
        <f>VLOOKUP(M2679,LUTs!E$2:H$14,3,)</f>
        <v>09Mason</v>
      </c>
      <c r="O2679" t="str">
        <f>VLOOKUP(M2679,LUTs!E$2:H$14,4,)</f>
        <v>02South Puget Sound</v>
      </c>
      <c r="P2679" s="73">
        <v>59.967479674796799</v>
      </c>
      <c r="Q2679" s="74">
        <f>VLOOKUP(B2679,Readme!A$40:C$51,2,)*P2679</f>
        <v>206.28813008130098</v>
      </c>
    </row>
    <row r="2680" spans="1:17" ht="12" customHeight="1" x14ac:dyDescent="0.35">
      <c r="A2680" s="75">
        <v>2679</v>
      </c>
      <c r="B2680" s="64">
        <v>2017</v>
      </c>
      <c r="C2680" s="64">
        <v>7</v>
      </c>
      <c r="D2680" s="80">
        <f t="shared" si="85"/>
        <v>2017</v>
      </c>
      <c r="E2680" t="s">
        <v>38</v>
      </c>
      <c r="F2680" t="s">
        <v>143</v>
      </c>
      <c r="G2680" t="s">
        <v>10</v>
      </c>
      <c r="H2680" s="72">
        <v>825</v>
      </c>
      <c r="I2680" s="72" t="s">
        <v>58</v>
      </c>
      <c r="J2680" t="str">
        <f t="shared" si="86"/>
        <v>Baker Lake</v>
      </c>
      <c r="K2680" t="str">
        <f>IFERROR(VLOOKUP(J2680,LUTs!$A$1:$C$73,2,FALSE),"NA")</f>
        <v>Whatcom</v>
      </c>
      <c r="L2680" t="str">
        <f>IFERROR(VLOOKUP(J2680,LUTs!$A$1:$C$73,3,FALSE),"NA")</f>
        <v>1North Puget Sound</v>
      </c>
      <c r="M2680" s="72" t="s">
        <v>26</v>
      </c>
      <c r="N2680" t="str">
        <f>VLOOKUP(M2680,LUTs!E$2:H$14,3,)</f>
        <v>20Other</v>
      </c>
      <c r="O2680" t="str">
        <f>VLOOKUP(M2680,LUTs!E$2:H$14,4,)</f>
        <v>07Non Puget Sound</v>
      </c>
      <c r="P2680" s="73">
        <v>169.907859078591</v>
      </c>
      <c r="Q2680" s="74">
        <f>VLOOKUP(B2680,Readme!A$40:C$51,2,)*P2680</f>
        <v>584.48303523035304</v>
      </c>
    </row>
    <row r="2681" spans="1:17" ht="12" customHeight="1" x14ac:dyDescent="0.35">
      <c r="A2681" s="75">
        <v>2680</v>
      </c>
      <c r="B2681" s="64">
        <v>2017</v>
      </c>
      <c r="C2681" s="64">
        <v>7</v>
      </c>
      <c r="D2681" s="80">
        <f t="shared" si="85"/>
        <v>2017</v>
      </c>
      <c r="E2681" t="s">
        <v>38</v>
      </c>
      <c r="F2681" t="s">
        <v>143</v>
      </c>
      <c r="G2681" t="s">
        <v>10</v>
      </c>
      <c r="H2681" s="72">
        <v>825</v>
      </c>
      <c r="I2681" s="72" t="s">
        <v>58</v>
      </c>
      <c r="J2681" t="str">
        <f t="shared" si="86"/>
        <v>Baker Lake</v>
      </c>
      <c r="K2681" t="str">
        <f>IFERROR(VLOOKUP(J2681,LUTs!$A$1:$C$73,2,FALSE),"NA")</f>
        <v>Whatcom</v>
      </c>
      <c r="L2681" t="str">
        <f>IFERROR(VLOOKUP(J2681,LUTs!$A$1:$C$73,3,FALSE),"NA")</f>
        <v>1North Puget Sound</v>
      </c>
      <c r="M2681" s="72" t="s">
        <v>20</v>
      </c>
      <c r="N2681" t="str">
        <f>VLOOKUP(M2681,LUTs!E$2:H$14,3,)</f>
        <v>07Pierce</v>
      </c>
      <c r="O2681" t="str">
        <f>VLOOKUP(M2681,LUTs!E$2:H$14,4,)</f>
        <v>02South Puget Sound</v>
      </c>
      <c r="P2681" s="73">
        <v>149.918699186992</v>
      </c>
      <c r="Q2681" s="74">
        <f>VLOOKUP(B2681,Readme!A$40:C$51,2,)*P2681</f>
        <v>515.72032520325251</v>
      </c>
    </row>
    <row r="2682" spans="1:17" ht="12" customHeight="1" x14ac:dyDescent="0.35">
      <c r="A2682" s="75">
        <v>2681</v>
      </c>
      <c r="B2682" s="64">
        <v>2017</v>
      </c>
      <c r="C2682" s="64">
        <v>7</v>
      </c>
      <c r="D2682" s="80">
        <f t="shared" ref="D2682:D2745" si="87">IF(C2682&gt;3,B2682,B2682-1)</f>
        <v>2017</v>
      </c>
      <c r="E2682" t="s">
        <v>38</v>
      </c>
      <c r="F2682" t="s">
        <v>143</v>
      </c>
      <c r="G2682" t="s">
        <v>10</v>
      </c>
      <c r="H2682" s="72">
        <v>825</v>
      </c>
      <c r="I2682" s="72" t="s">
        <v>58</v>
      </c>
      <c r="J2682" t="str">
        <f t="shared" si="86"/>
        <v>Baker Lake</v>
      </c>
      <c r="K2682" t="str">
        <f>IFERROR(VLOOKUP(J2682,LUTs!$A$1:$C$73,2,FALSE),"NA")</f>
        <v>Whatcom</v>
      </c>
      <c r="L2682" t="str">
        <f>IFERROR(VLOOKUP(J2682,LUTs!$A$1:$C$73,3,FALSE),"NA")</f>
        <v>1North Puget Sound</v>
      </c>
      <c r="M2682" s="72" t="s">
        <v>15</v>
      </c>
      <c r="N2682" t="str">
        <f>VLOOKUP(M2682,LUTs!E$2:H$14,3,)</f>
        <v>02Skagit</v>
      </c>
      <c r="O2682" t="str">
        <f>VLOOKUP(M2682,LUTs!E$2:H$14,4,)</f>
        <v>01North Puget Sound</v>
      </c>
      <c r="P2682" s="73">
        <v>1269.3116531165299</v>
      </c>
      <c r="Q2682" s="74">
        <f>VLOOKUP(B2682,Readme!A$40:C$51,2,)*P2682</f>
        <v>4366.4320867208626</v>
      </c>
    </row>
    <row r="2683" spans="1:17" ht="12" customHeight="1" x14ac:dyDescent="0.35">
      <c r="A2683" s="75">
        <v>2682</v>
      </c>
      <c r="B2683" s="64">
        <v>2017</v>
      </c>
      <c r="C2683" s="64">
        <v>7</v>
      </c>
      <c r="D2683" s="80">
        <f t="shared" si="87"/>
        <v>2017</v>
      </c>
      <c r="E2683" t="s">
        <v>38</v>
      </c>
      <c r="F2683" t="s">
        <v>143</v>
      </c>
      <c r="G2683" t="s">
        <v>10</v>
      </c>
      <c r="H2683" s="72">
        <v>825</v>
      </c>
      <c r="I2683" s="72" t="s">
        <v>58</v>
      </c>
      <c r="J2683" t="str">
        <f t="shared" si="86"/>
        <v>Baker Lake</v>
      </c>
      <c r="K2683" t="str">
        <f>IFERROR(VLOOKUP(J2683,LUTs!$A$1:$C$73,2,FALSE),"NA")</f>
        <v>Whatcom</v>
      </c>
      <c r="L2683" t="str">
        <f>IFERROR(VLOOKUP(J2683,LUTs!$A$1:$C$73,3,FALSE),"NA")</f>
        <v>1North Puget Sound</v>
      </c>
      <c r="M2683" s="72" t="s">
        <v>16</v>
      </c>
      <c r="N2683" t="str">
        <f>VLOOKUP(M2683,LUTs!E$2:H$14,3,)</f>
        <v>03Snohomish</v>
      </c>
      <c r="O2683" t="str">
        <f>VLOOKUP(M2683,LUTs!E$2:H$14,4,)</f>
        <v>01North Puget Sound</v>
      </c>
      <c r="P2683" s="73">
        <v>1139.3821138211399</v>
      </c>
      <c r="Q2683" s="74">
        <f>VLOOKUP(B2683,Readme!A$40:C$51,2,)*P2683</f>
        <v>3919.4744715447214</v>
      </c>
    </row>
    <row r="2684" spans="1:17" ht="12" customHeight="1" x14ac:dyDescent="0.35">
      <c r="A2684" s="75">
        <v>2683</v>
      </c>
      <c r="B2684" s="64">
        <v>2017</v>
      </c>
      <c r="C2684" s="64">
        <v>7</v>
      </c>
      <c r="D2684" s="80">
        <f t="shared" si="87"/>
        <v>2017</v>
      </c>
      <c r="E2684" t="s">
        <v>38</v>
      </c>
      <c r="F2684" t="s">
        <v>143</v>
      </c>
      <c r="G2684" t="s">
        <v>10</v>
      </c>
      <c r="H2684" s="72">
        <v>825</v>
      </c>
      <c r="I2684" s="72" t="s">
        <v>58</v>
      </c>
      <c r="J2684" t="str">
        <f t="shared" si="86"/>
        <v>Baker Lake</v>
      </c>
      <c r="K2684" t="str">
        <f>IFERROR(VLOOKUP(J2684,LUTs!$A$1:$C$73,2,FALSE),"NA")</f>
        <v>Whatcom</v>
      </c>
      <c r="L2684" t="str">
        <f>IFERROR(VLOOKUP(J2684,LUTs!$A$1:$C$73,3,FALSE),"NA")</f>
        <v>1North Puget Sound</v>
      </c>
      <c r="M2684" s="72" t="s">
        <v>21</v>
      </c>
      <c r="N2684" t="str">
        <f>VLOOKUP(M2684,LUTs!E$2:H$14,3,)</f>
        <v>08Thurston</v>
      </c>
      <c r="O2684" t="str">
        <f>VLOOKUP(M2684,LUTs!E$2:H$14,4,)</f>
        <v>02South Puget Sound</v>
      </c>
      <c r="P2684" s="73">
        <v>29.983739837398399</v>
      </c>
      <c r="Q2684" s="74">
        <f>VLOOKUP(B2684,Readme!A$40:C$51,2,)*P2684</f>
        <v>103.14406504065049</v>
      </c>
    </row>
    <row r="2685" spans="1:17" ht="12" customHeight="1" x14ac:dyDescent="0.35">
      <c r="A2685" s="75">
        <v>2684</v>
      </c>
      <c r="B2685" s="64">
        <v>2017</v>
      </c>
      <c r="C2685" s="64">
        <v>7</v>
      </c>
      <c r="D2685" s="80">
        <f t="shared" si="87"/>
        <v>2017</v>
      </c>
      <c r="E2685" t="s">
        <v>38</v>
      </c>
      <c r="F2685" t="s">
        <v>143</v>
      </c>
      <c r="G2685" t="s">
        <v>10</v>
      </c>
      <c r="H2685" s="72">
        <v>825</v>
      </c>
      <c r="I2685" s="72" t="s">
        <v>58</v>
      </c>
      <c r="J2685" t="str">
        <f t="shared" si="86"/>
        <v>Baker Lake</v>
      </c>
      <c r="K2685" t="str">
        <f>IFERROR(VLOOKUP(J2685,LUTs!$A$1:$C$73,2,FALSE),"NA")</f>
        <v>Whatcom</v>
      </c>
      <c r="L2685" t="str">
        <f>IFERROR(VLOOKUP(J2685,LUTs!$A$1:$C$73,3,FALSE),"NA")</f>
        <v>1North Puget Sound</v>
      </c>
      <c r="M2685" s="72" t="s">
        <v>13</v>
      </c>
      <c r="N2685" t="str">
        <f>VLOOKUP(M2685,LUTs!E$2:H$14,3,)</f>
        <v>01Whatcom</v>
      </c>
      <c r="O2685" t="str">
        <f>VLOOKUP(M2685,LUTs!E$2:H$14,4,)</f>
        <v>01North Puget Sound</v>
      </c>
      <c r="P2685" s="73">
        <v>389.788617886179</v>
      </c>
      <c r="Q2685" s="74">
        <f>VLOOKUP(B2685,Readme!A$40:C$51,2,)*P2685</f>
        <v>1340.8728455284556</v>
      </c>
    </row>
    <row r="2686" spans="1:17" ht="12" customHeight="1" x14ac:dyDescent="0.35">
      <c r="A2686" s="75">
        <v>2685</v>
      </c>
      <c r="B2686" s="64">
        <v>2017</v>
      </c>
      <c r="C2686" s="64">
        <v>8</v>
      </c>
      <c r="D2686" s="80">
        <f t="shared" si="87"/>
        <v>2017</v>
      </c>
      <c r="E2686" t="s">
        <v>38</v>
      </c>
      <c r="F2686" t="s">
        <v>143</v>
      </c>
      <c r="G2686" t="s">
        <v>10</v>
      </c>
      <c r="H2686" s="72">
        <v>825</v>
      </c>
      <c r="I2686" s="72" t="s">
        <v>58</v>
      </c>
      <c r="J2686" t="str">
        <f t="shared" si="86"/>
        <v>Baker Lake</v>
      </c>
      <c r="K2686" t="str">
        <f>IFERROR(VLOOKUP(J2686,LUTs!$A$1:$C$73,2,FALSE),"NA")</f>
        <v>Whatcom</v>
      </c>
      <c r="L2686" t="str">
        <f>IFERROR(VLOOKUP(J2686,LUTs!$A$1:$C$73,3,FALSE),"NA")</f>
        <v>1North Puget Sound</v>
      </c>
      <c r="M2686" s="72" t="s">
        <v>17</v>
      </c>
      <c r="N2686" t="str">
        <f>VLOOKUP(M2686,LUTs!E$2:H$14,3,)</f>
        <v>04Island</v>
      </c>
      <c r="O2686" t="str">
        <f>VLOOKUP(M2686,LUTs!E$2:H$14,4,)</f>
        <v>01North Puget Sound</v>
      </c>
      <c r="P2686" s="73">
        <v>50</v>
      </c>
      <c r="Q2686" s="74">
        <f>VLOOKUP(B2686,Readme!A$40:C$51,2,)*P2686</f>
        <v>172</v>
      </c>
    </row>
    <row r="2687" spans="1:17" ht="12" customHeight="1" x14ac:dyDescent="0.35">
      <c r="A2687" s="75">
        <v>2686</v>
      </c>
      <c r="B2687" s="64">
        <v>2017</v>
      </c>
      <c r="C2687" s="64">
        <v>8</v>
      </c>
      <c r="D2687" s="80">
        <f t="shared" si="87"/>
        <v>2017</v>
      </c>
      <c r="E2687" t="s">
        <v>38</v>
      </c>
      <c r="F2687" t="s">
        <v>143</v>
      </c>
      <c r="G2687" t="s">
        <v>10</v>
      </c>
      <c r="H2687" s="72">
        <v>825</v>
      </c>
      <c r="I2687" s="72" t="s">
        <v>58</v>
      </c>
      <c r="J2687" t="str">
        <f t="shared" si="86"/>
        <v>Baker Lake</v>
      </c>
      <c r="K2687" t="str">
        <f>IFERROR(VLOOKUP(J2687,LUTs!$A$1:$C$73,2,FALSE),"NA")</f>
        <v>Whatcom</v>
      </c>
      <c r="L2687" t="str">
        <f>IFERROR(VLOOKUP(J2687,LUTs!$A$1:$C$73,3,FALSE),"NA")</f>
        <v>1North Puget Sound</v>
      </c>
      <c r="M2687" s="72" t="s">
        <v>18</v>
      </c>
      <c r="N2687" t="str">
        <f>VLOOKUP(M2687,LUTs!E$2:H$14,3,)</f>
        <v>06King</v>
      </c>
      <c r="O2687" t="str">
        <f>VLOOKUP(M2687,LUTs!E$2:H$14,4,)</f>
        <v>02South Puget Sound</v>
      </c>
      <c r="P2687" s="73">
        <v>130</v>
      </c>
      <c r="Q2687" s="74">
        <f>VLOOKUP(B2687,Readme!A$40:C$51,2,)*P2687</f>
        <v>447.2</v>
      </c>
    </row>
    <row r="2688" spans="1:17" ht="12" customHeight="1" x14ac:dyDescent="0.35">
      <c r="A2688" s="75">
        <v>2687</v>
      </c>
      <c r="B2688" s="64">
        <v>2017</v>
      </c>
      <c r="C2688" s="64">
        <v>8</v>
      </c>
      <c r="D2688" s="80">
        <f t="shared" si="87"/>
        <v>2017</v>
      </c>
      <c r="E2688" t="s">
        <v>38</v>
      </c>
      <c r="F2688" t="s">
        <v>143</v>
      </c>
      <c r="G2688" t="s">
        <v>10</v>
      </c>
      <c r="H2688" s="72">
        <v>825</v>
      </c>
      <c r="I2688" s="72" t="s">
        <v>58</v>
      </c>
      <c r="J2688" t="str">
        <f t="shared" si="86"/>
        <v>Baker Lake</v>
      </c>
      <c r="K2688" t="str">
        <f>IFERROR(VLOOKUP(J2688,LUTs!$A$1:$C$73,2,FALSE),"NA")</f>
        <v>Whatcom</v>
      </c>
      <c r="L2688" t="str">
        <f>IFERROR(VLOOKUP(J2688,LUTs!$A$1:$C$73,3,FALSE),"NA")</f>
        <v>1North Puget Sound</v>
      </c>
      <c r="M2688" s="72" t="s">
        <v>26</v>
      </c>
      <c r="N2688" t="str">
        <f>VLOOKUP(M2688,LUTs!E$2:H$14,3,)</f>
        <v>20Other</v>
      </c>
      <c r="O2688" t="str">
        <f>VLOOKUP(M2688,LUTs!E$2:H$14,4,)</f>
        <v>07Non Puget Sound</v>
      </c>
      <c r="P2688" s="73">
        <v>80</v>
      </c>
      <c r="Q2688" s="74">
        <f>VLOOKUP(B2688,Readme!A$40:C$51,2,)*P2688</f>
        <v>275.2</v>
      </c>
    </row>
    <row r="2689" spans="1:17" ht="12" customHeight="1" x14ac:dyDescent="0.35">
      <c r="A2689" s="75">
        <v>2688</v>
      </c>
      <c r="B2689" s="64">
        <v>2017</v>
      </c>
      <c r="C2689" s="64">
        <v>8</v>
      </c>
      <c r="D2689" s="80">
        <f t="shared" si="87"/>
        <v>2017</v>
      </c>
      <c r="E2689" t="s">
        <v>38</v>
      </c>
      <c r="F2689" t="s">
        <v>143</v>
      </c>
      <c r="G2689" t="s">
        <v>10</v>
      </c>
      <c r="H2689" s="72">
        <v>825</v>
      </c>
      <c r="I2689" s="72" t="s">
        <v>58</v>
      </c>
      <c r="J2689" t="str">
        <f t="shared" si="86"/>
        <v>Baker Lake</v>
      </c>
      <c r="K2689" t="str">
        <f>IFERROR(VLOOKUP(J2689,LUTs!$A$1:$C$73,2,FALSE),"NA")</f>
        <v>Whatcom</v>
      </c>
      <c r="L2689" t="str">
        <f>IFERROR(VLOOKUP(J2689,LUTs!$A$1:$C$73,3,FALSE),"NA")</f>
        <v>1North Puget Sound</v>
      </c>
      <c r="M2689" s="72" t="s">
        <v>20</v>
      </c>
      <c r="N2689" t="str">
        <f>VLOOKUP(M2689,LUTs!E$2:H$14,3,)</f>
        <v>07Pierce</v>
      </c>
      <c r="O2689" t="str">
        <f>VLOOKUP(M2689,LUTs!E$2:H$14,4,)</f>
        <v>02South Puget Sound</v>
      </c>
      <c r="P2689" s="73">
        <v>120</v>
      </c>
      <c r="Q2689" s="74">
        <f>VLOOKUP(B2689,Readme!A$40:C$51,2,)*P2689</f>
        <v>412.8</v>
      </c>
    </row>
    <row r="2690" spans="1:17" ht="12" customHeight="1" x14ac:dyDescent="0.35">
      <c r="A2690" s="75">
        <v>2689</v>
      </c>
      <c r="B2690" s="64">
        <v>2017</v>
      </c>
      <c r="C2690" s="64">
        <v>8</v>
      </c>
      <c r="D2690" s="80">
        <f t="shared" si="87"/>
        <v>2017</v>
      </c>
      <c r="E2690" t="s">
        <v>38</v>
      </c>
      <c r="F2690" t="s">
        <v>143</v>
      </c>
      <c r="G2690" t="s">
        <v>10</v>
      </c>
      <c r="H2690" s="72">
        <v>825</v>
      </c>
      <c r="I2690" s="72" t="s">
        <v>58</v>
      </c>
      <c r="J2690" t="str">
        <f t="shared" si="86"/>
        <v>Baker Lake</v>
      </c>
      <c r="K2690" t="str">
        <f>IFERROR(VLOOKUP(J2690,LUTs!$A$1:$C$73,2,FALSE),"NA")</f>
        <v>Whatcom</v>
      </c>
      <c r="L2690" t="str">
        <f>IFERROR(VLOOKUP(J2690,LUTs!$A$1:$C$73,3,FALSE),"NA")</f>
        <v>1North Puget Sound</v>
      </c>
      <c r="M2690" s="72" t="s">
        <v>15</v>
      </c>
      <c r="N2690" t="str">
        <f>VLOOKUP(M2690,LUTs!E$2:H$14,3,)</f>
        <v>02Skagit</v>
      </c>
      <c r="O2690" t="str">
        <f>VLOOKUP(M2690,LUTs!E$2:H$14,4,)</f>
        <v>01North Puget Sound</v>
      </c>
      <c r="P2690" s="73">
        <v>450</v>
      </c>
      <c r="Q2690" s="74">
        <f>VLOOKUP(B2690,Readme!A$40:C$51,2,)*P2690</f>
        <v>1548</v>
      </c>
    </row>
    <row r="2691" spans="1:17" ht="12" customHeight="1" x14ac:dyDescent="0.35">
      <c r="A2691" s="75">
        <v>2690</v>
      </c>
      <c r="B2691" s="64">
        <v>2017</v>
      </c>
      <c r="C2691" s="64">
        <v>8</v>
      </c>
      <c r="D2691" s="80">
        <f t="shared" si="87"/>
        <v>2017</v>
      </c>
      <c r="E2691" t="s">
        <v>38</v>
      </c>
      <c r="F2691" t="s">
        <v>143</v>
      </c>
      <c r="G2691" t="s">
        <v>10</v>
      </c>
      <c r="H2691" s="72">
        <v>825</v>
      </c>
      <c r="I2691" s="72" t="s">
        <v>58</v>
      </c>
      <c r="J2691" t="str">
        <f t="shared" ref="J2691:J2754" si="88">I2691</f>
        <v>Baker Lake</v>
      </c>
      <c r="K2691" t="str">
        <f>IFERROR(VLOOKUP(J2691,LUTs!$A$1:$C$73,2,FALSE),"NA")</f>
        <v>Whatcom</v>
      </c>
      <c r="L2691" t="str">
        <f>IFERROR(VLOOKUP(J2691,LUTs!$A$1:$C$73,3,FALSE),"NA")</f>
        <v>1North Puget Sound</v>
      </c>
      <c r="M2691" s="72" t="s">
        <v>16</v>
      </c>
      <c r="N2691" t="str">
        <f>VLOOKUP(M2691,LUTs!E$2:H$14,3,)</f>
        <v>03Snohomish</v>
      </c>
      <c r="O2691" t="str">
        <f>VLOOKUP(M2691,LUTs!E$2:H$14,4,)</f>
        <v>01North Puget Sound</v>
      </c>
      <c r="P2691" s="73">
        <v>190</v>
      </c>
      <c r="Q2691" s="74">
        <f>VLOOKUP(B2691,Readme!A$40:C$51,2,)*P2691</f>
        <v>653.6</v>
      </c>
    </row>
    <row r="2692" spans="1:17" ht="12" customHeight="1" x14ac:dyDescent="0.35">
      <c r="A2692" s="75">
        <v>2691</v>
      </c>
      <c r="B2692" s="64">
        <v>2017</v>
      </c>
      <c r="C2692" s="64">
        <v>8</v>
      </c>
      <c r="D2692" s="80">
        <f t="shared" si="87"/>
        <v>2017</v>
      </c>
      <c r="E2692" t="s">
        <v>38</v>
      </c>
      <c r="F2692" t="s">
        <v>143</v>
      </c>
      <c r="G2692" t="s">
        <v>10</v>
      </c>
      <c r="H2692" s="72">
        <v>825</v>
      </c>
      <c r="I2692" s="72" t="s">
        <v>58</v>
      </c>
      <c r="J2692" t="str">
        <f t="shared" si="88"/>
        <v>Baker Lake</v>
      </c>
      <c r="K2692" t="str">
        <f>IFERROR(VLOOKUP(J2692,LUTs!$A$1:$C$73,2,FALSE),"NA")</f>
        <v>Whatcom</v>
      </c>
      <c r="L2692" t="str">
        <f>IFERROR(VLOOKUP(J2692,LUTs!$A$1:$C$73,3,FALSE),"NA")</f>
        <v>1North Puget Sound</v>
      </c>
      <c r="M2692" s="72" t="s">
        <v>13</v>
      </c>
      <c r="N2692" t="str">
        <f>VLOOKUP(M2692,LUTs!E$2:H$14,3,)</f>
        <v>01Whatcom</v>
      </c>
      <c r="O2692" t="str">
        <f>VLOOKUP(M2692,LUTs!E$2:H$14,4,)</f>
        <v>01North Puget Sound</v>
      </c>
      <c r="P2692" s="73">
        <v>70</v>
      </c>
      <c r="Q2692" s="74">
        <f>VLOOKUP(B2692,Readme!A$40:C$51,2,)*P2692</f>
        <v>240.79999999999998</v>
      </c>
    </row>
    <row r="2693" spans="1:17" ht="12" customHeight="1" x14ac:dyDescent="0.35">
      <c r="A2693" s="75">
        <v>2692</v>
      </c>
      <c r="B2693" s="64">
        <v>2017</v>
      </c>
      <c r="C2693" s="64">
        <v>9</v>
      </c>
      <c r="D2693" s="80">
        <f t="shared" si="87"/>
        <v>2017</v>
      </c>
      <c r="E2693" t="s">
        <v>38</v>
      </c>
      <c r="F2693" t="s">
        <v>143</v>
      </c>
      <c r="G2693" t="s">
        <v>10</v>
      </c>
      <c r="H2693" s="72">
        <v>825</v>
      </c>
      <c r="I2693" s="72" t="s">
        <v>58</v>
      </c>
      <c r="J2693" t="str">
        <f t="shared" si="88"/>
        <v>Baker Lake</v>
      </c>
      <c r="K2693" t="str">
        <f>IFERROR(VLOOKUP(J2693,LUTs!$A$1:$C$73,2,FALSE),"NA")</f>
        <v>Whatcom</v>
      </c>
      <c r="L2693" t="str">
        <f>IFERROR(VLOOKUP(J2693,LUTs!$A$1:$C$73,3,FALSE),"NA")</f>
        <v>1North Puget Sound</v>
      </c>
      <c r="M2693" s="72" t="s">
        <v>15</v>
      </c>
      <c r="N2693" t="str">
        <f>VLOOKUP(M2693,LUTs!E$2:H$14,3,)</f>
        <v>02Skagit</v>
      </c>
      <c r="O2693" t="str">
        <f>VLOOKUP(M2693,LUTs!E$2:H$14,4,)</f>
        <v>01North Puget Sound</v>
      </c>
      <c r="P2693" s="73">
        <v>20</v>
      </c>
      <c r="Q2693" s="74">
        <f>VLOOKUP(B2693,Readme!A$40:C$51,2,)*P2693</f>
        <v>68.8</v>
      </c>
    </row>
    <row r="2694" spans="1:17" ht="12" customHeight="1" x14ac:dyDescent="0.35">
      <c r="A2694" s="75">
        <v>2693</v>
      </c>
      <c r="B2694" s="64">
        <v>2017</v>
      </c>
      <c r="C2694" s="64">
        <v>6</v>
      </c>
      <c r="D2694" s="80">
        <f t="shared" si="87"/>
        <v>2017</v>
      </c>
      <c r="E2694" t="s">
        <v>38</v>
      </c>
      <c r="F2694" t="s">
        <v>143</v>
      </c>
      <c r="G2694" t="s">
        <v>10</v>
      </c>
      <c r="H2694" s="72">
        <v>826</v>
      </c>
      <c r="I2694" s="72" t="s">
        <v>59</v>
      </c>
      <c r="J2694" t="str">
        <f t="shared" si="88"/>
        <v>Cascade River</v>
      </c>
      <c r="K2694" t="str">
        <f>IFERROR(VLOOKUP(J2694,LUTs!$A$1:$C$73,2,FALSE),"NA")</f>
        <v>Skagit</v>
      </c>
      <c r="L2694" t="str">
        <f>IFERROR(VLOOKUP(J2694,LUTs!$A$1:$C$73,3,FALSE),"NA")</f>
        <v>1North Puget Sound</v>
      </c>
      <c r="M2694" s="72" t="s">
        <v>18</v>
      </c>
      <c r="N2694" t="str">
        <f>VLOOKUP(M2694,LUTs!E$2:H$14,3,)</f>
        <v>06King</v>
      </c>
      <c r="O2694" t="str">
        <f>VLOOKUP(M2694,LUTs!E$2:H$14,4,)</f>
        <v>02South Puget Sound</v>
      </c>
      <c r="P2694" s="73">
        <v>20</v>
      </c>
      <c r="Q2694" s="74">
        <f>VLOOKUP(B2694,Readme!A$40:C$51,2,)*P2694</f>
        <v>68.8</v>
      </c>
    </row>
    <row r="2695" spans="1:17" ht="12" customHeight="1" x14ac:dyDescent="0.35">
      <c r="A2695" s="75">
        <v>2694</v>
      </c>
      <c r="B2695" s="64">
        <v>2017</v>
      </c>
      <c r="C2695" s="64">
        <v>6</v>
      </c>
      <c r="D2695" s="80">
        <f t="shared" si="87"/>
        <v>2017</v>
      </c>
      <c r="E2695" t="s">
        <v>38</v>
      </c>
      <c r="F2695" t="s">
        <v>143</v>
      </c>
      <c r="G2695" t="s">
        <v>10</v>
      </c>
      <c r="H2695" s="72">
        <v>826</v>
      </c>
      <c r="I2695" s="72" t="s">
        <v>59</v>
      </c>
      <c r="J2695" t="str">
        <f t="shared" si="88"/>
        <v>Cascade River</v>
      </c>
      <c r="K2695" t="str">
        <f>IFERROR(VLOOKUP(J2695,LUTs!$A$1:$C$73,2,FALSE),"NA")</f>
        <v>Skagit</v>
      </c>
      <c r="L2695" t="str">
        <f>IFERROR(VLOOKUP(J2695,LUTs!$A$1:$C$73,3,FALSE),"NA")</f>
        <v>1North Puget Sound</v>
      </c>
      <c r="M2695" s="72" t="s">
        <v>15</v>
      </c>
      <c r="N2695" t="str">
        <f>VLOOKUP(M2695,LUTs!E$2:H$14,3,)</f>
        <v>02Skagit</v>
      </c>
      <c r="O2695" t="str">
        <f>VLOOKUP(M2695,LUTs!E$2:H$14,4,)</f>
        <v>01North Puget Sound</v>
      </c>
      <c r="P2695" s="73">
        <v>40</v>
      </c>
      <c r="Q2695" s="74">
        <f>VLOOKUP(B2695,Readme!A$40:C$51,2,)*P2695</f>
        <v>137.6</v>
      </c>
    </row>
    <row r="2696" spans="1:17" ht="12" customHeight="1" x14ac:dyDescent="0.35">
      <c r="A2696" s="75">
        <v>2695</v>
      </c>
      <c r="B2696" s="64">
        <v>2017</v>
      </c>
      <c r="C2696" s="64">
        <v>6</v>
      </c>
      <c r="D2696" s="80">
        <f t="shared" si="87"/>
        <v>2017</v>
      </c>
      <c r="E2696" t="s">
        <v>38</v>
      </c>
      <c r="F2696" t="s">
        <v>143</v>
      </c>
      <c r="G2696" t="s">
        <v>10</v>
      </c>
      <c r="H2696" s="72">
        <v>826</v>
      </c>
      <c r="I2696" s="72" t="s">
        <v>59</v>
      </c>
      <c r="J2696" t="str">
        <f t="shared" si="88"/>
        <v>Cascade River</v>
      </c>
      <c r="K2696" t="str">
        <f>IFERROR(VLOOKUP(J2696,LUTs!$A$1:$C$73,2,FALSE),"NA")</f>
        <v>Skagit</v>
      </c>
      <c r="L2696" t="str">
        <f>IFERROR(VLOOKUP(J2696,LUTs!$A$1:$C$73,3,FALSE),"NA")</f>
        <v>1North Puget Sound</v>
      </c>
      <c r="M2696" s="72" t="s">
        <v>16</v>
      </c>
      <c r="N2696" t="str">
        <f>VLOOKUP(M2696,LUTs!E$2:H$14,3,)</f>
        <v>03Snohomish</v>
      </c>
      <c r="O2696" t="str">
        <f>VLOOKUP(M2696,LUTs!E$2:H$14,4,)</f>
        <v>01North Puget Sound</v>
      </c>
      <c r="P2696" s="73">
        <v>70</v>
      </c>
      <c r="Q2696" s="74">
        <f>VLOOKUP(B2696,Readme!A$40:C$51,2,)*P2696</f>
        <v>240.79999999999998</v>
      </c>
    </row>
    <row r="2697" spans="1:17" ht="12" customHeight="1" x14ac:dyDescent="0.35">
      <c r="A2697" s="75">
        <v>2696</v>
      </c>
      <c r="B2697" s="64">
        <v>2017</v>
      </c>
      <c r="C2697" s="64">
        <v>6</v>
      </c>
      <c r="D2697" s="80">
        <f t="shared" si="87"/>
        <v>2017</v>
      </c>
      <c r="E2697" t="s">
        <v>38</v>
      </c>
      <c r="F2697" t="s">
        <v>143</v>
      </c>
      <c r="G2697" t="s">
        <v>10</v>
      </c>
      <c r="H2697" s="72">
        <v>826</v>
      </c>
      <c r="I2697" s="72" t="s">
        <v>59</v>
      </c>
      <c r="J2697" t="str">
        <f t="shared" si="88"/>
        <v>Cascade River</v>
      </c>
      <c r="K2697" t="str">
        <f>IFERROR(VLOOKUP(J2697,LUTs!$A$1:$C$73,2,FALSE),"NA")</f>
        <v>Skagit</v>
      </c>
      <c r="L2697" t="str">
        <f>IFERROR(VLOOKUP(J2697,LUTs!$A$1:$C$73,3,FALSE),"NA")</f>
        <v>1North Puget Sound</v>
      </c>
      <c r="M2697" s="72" t="s">
        <v>13</v>
      </c>
      <c r="N2697" t="str">
        <f>VLOOKUP(M2697,LUTs!E$2:H$14,3,)</f>
        <v>01Whatcom</v>
      </c>
      <c r="O2697" t="str">
        <f>VLOOKUP(M2697,LUTs!E$2:H$14,4,)</f>
        <v>01North Puget Sound</v>
      </c>
      <c r="P2697" s="73">
        <v>80</v>
      </c>
      <c r="Q2697" s="74">
        <f>VLOOKUP(B2697,Readme!A$40:C$51,2,)*P2697</f>
        <v>275.2</v>
      </c>
    </row>
    <row r="2698" spans="1:17" ht="12" customHeight="1" x14ac:dyDescent="0.35">
      <c r="A2698" s="75">
        <v>2697</v>
      </c>
      <c r="B2698" s="64">
        <v>2017</v>
      </c>
      <c r="C2698" s="64">
        <v>7</v>
      </c>
      <c r="D2698" s="80">
        <f t="shared" si="87"/>
        <v>2017</v>
      </c>
      <c r="E2698" t="s">
        <v>38</v>
      </c>
      <c r="F2698" t="s">
        <v>143</v>
      </c>
      <c r="G2698" t="s">
        <v>10</v>
      </c>
      <c r="H2698" s="72">
        <v>826</v>
      </c>
      <c r="I2698" s="72" t="s">
        <v>59</v>
      </c>
      <c r="J2698" t="str">
        <f t="shared" si="88"/>
        <v>Cascade River</v>
      </c>
      <c r="K2698" t="str">
        <f>IFERROR(VLOOKUP(J2698,LUTs!$A$1:$C$73,2,FALSE),"NA")</f>
        <v>Skagit</v>
      </c>
      <c r="L2698" t="str">
        <f>IFERROR(VLOOKUP(J2698,LUTs!$A$1:$C$73,3,FALSE),"NA")</f>
        <v>1North Puget Sound</v>
      </c>
      <c r="M2698" s="72" t="s">
        <v>15</v>
      </c>
      <c r="N2698" t="str">
        <f>VLOOKUP(M2698,LUTs!E$2:H$14,3,)</f>
        <v>02Skagit</v>
      </c>
      <c r="O2698" t="str">
        <f>VLOOKUP(M2698,LUTs!E$2:H$14,4,)</f>
        <v>01North Puget Sound</v>
      </c>
      <c r="P2698" s="73">
        <v>60</v>
      </c>
      <c r="Q2698" s="74">
        <f>VLOOKUP(B2698,Readme!A$40:C$51,2,)*P2698</f>
        <v>206.4</v>
      </c>
    </row>
    <row r="2699" spans="1:17" ht="12" customHeight="1" x14ac:dyDescent="0.35">
      <c r="A2699" s="75">
        <v>2698</v>
      </c>
      <c r="B2699" s="64">
        <v>2017</v>
      </c>
      <c r="C2699" s="64">
        <v>7</v>
      </c>
      <c r="D2699" s="80">
        <f t="shared" si="87"/>
        <v>2017</v>
      </c>
      <c r="E2699" t="s">
        <v>38</v>
      </c>
      <c r="F2699" t="s">
        <v>143</v>
      </c>
      <c r="G2699" t="s">
        <v>10</v>
      </c>
      <c r="H2699" s="72">
        <v>826</v>
      </c>
      <c r="I2699" s="72" t="s">
        <v>59</v>
      </c>
      <c r="J2699" t="str">
        <f t="shared" si="88"/>
        <v>Cascade River</v>
      </c>
      <c r="K2699" t="str">
        <f>IFERROR(VLOOKUP(J2699,LUTs!$A$1:$C$73,2,FALSE),"NA")</f>
        <v>Skagit</v>
      </c>
      <c r="L2699" t="str">
        <f>IFERROR(VLOOKUP(J2699,LUTs!$A$1:$C$73,3,FALSE),"NA")</f>
        <v>1North Puget Sound</v>
      </c>
      <c r="M2699" s="72" t="s">
        <v>16</v>
      </c>
      <c r="N2699" t="str">
        <f>VLOOKUP(M2699,LUTs!E$2:H$14,3,)</f>
        <v>03Snohomish</v>
      </c>
      <c r="O2699" t="str">
        <f>VLOOKUP(M2699,LUTs!E$2:H$14,4,)</f>
        <v>01North Puget Sound</v>
      </c>
      <c r="P2699" s="73">
        <v>50</v>
      </c>
      <c r="Q2699" s="74">
        <f>VLOOKUP(B2699,Readme!A$40:C$51,2,)*P2699</f>
        <v>172</v>
      </c>
    </row>
    <row r="2700" spans="1:17" ht="12" customHeight="1" x14ac:dyDescent="0.35">
      <c r="A2700" s="75">
        <v>2699</v>
      </c>
      <c r="B2700" s="64">
        <v>2017</v>
      </c>
      <c r="C2700" s="64">
        <v>7</v>
      </c>
      <c r="D2700" s="80">
        <f t="shared" si="87"/>
        <v>2017</v>
      </c>
      <c r="E2700" t="s">
        <v>38</v>
      </c>
      <c r="F2700" t="s">
        <v>143</v>
      </c>
      <c r="G2700" t="s">
        <v>10</v>
      </c>
      <c r="H2700" s="72">
        <v>826</v>
      </c>
      <c r="I2700" s="72" t="s">
        <v>59</v>
      </c>
      <c r="J2700" t="str">
        <f t="shared" si="88"/>
        <v>Cascade River</v>
      </c>
      <c r="K2700" t="str">
        <f>IFERROR(VLOOKUP(J2700,LUTs!$A$1:$C$73,2,FALSE),"NA")</f>
        <v>Skagit</v>
      </c>
      <c r="L2700" t="str">
        <f>IFERROR(VLOOKUP(J2700,LUTs!$A$1:$C$73,3,FALSE),"NA")</f>
        <v>1North Puget Sound</v>
      </c>
      <c r="M2700" s="72" t="s">
        <v>13</v>
      </c>
      <c r="N2700" t="str">
        <f>VLOOKUP(M2700,LUTs!E$2:H$14,3,)</f>
        <v>01Whatcom</v>
      </c>
      <c r="O2700" t="str">
        <f>VLOOKUP(M2700,LUTs!E$2:H$14,4,)</f>
        <v>01North Puget Sound</v>
      </c>
      <c r="P2700" s="73">
        <v>40</v>
      </c>
      <c r="Q2700" s="74">
        <f>VLOOKUP(B2700,Readme!A$40:C$51,2,)*P2700</f>
        <v>137.6</v>
      </c>
    </row>
    <row r="2701" spans="1:17" ht="12" customHeight="1" x14ac:dyDescent="0.35">
      <c r="A2701" s="75">
        <v>2700</v>
      </c>
      <c r="B2701" s="64">
        <v>2017</v>
      </c>
      <c r="C2701" s="64">
        <v>6</v>
      </c>
      <c r="D2701" s="80">
        <f t="shared" si="87"/>
        <v>2017</v>
      </c>
      <c r="E2701" t="s">
        <v>38</v>
      </c>
      <c r="F2701" t="s">
        <v>143</v>
      </c>
      <c r="G2701" t="s">
        <v>10</v>
      </c>
      <c r="H2701" s="72">
        <v>830</v>
      </c>
      <c r="I2701" s="72" t="s">
        <v>60</v>
      </c>
      <c r="J2701" t="str">
        <f t="shared" si="88"/>
        <v>Skagit River</v>
      </c>
      <c r="K2701" t="str">
        <f>IFERROR(VLOOKUP(J2701,LUTs!$A$1:$C$73,2,FALSE),"NA")</f>
        <v>Skagit/Whatcom</v>
      </c>
      <c r="L2701" t="str">
        <f>IFERROR(VLOOKUP(J2701,LUTs!$A$1:$C$73,3,FALSE),"NA")</f>
        <v>2Central Puget Sound</v>
      </c>
      <c r="M2701" s="72" t="s">
        <v>18</v>
      </c>
      <c r="N2701" t="str">
        <f>VLOOKUP(M2701,LUTs!E$2:H$14,3,)</f>
        <v>06King</v>
      </c>
      <c r="O2701" t="str">
        <f>VLOOKUP(M2701,LUTs!E$2:H$14,4,)</f>
        <v>02South Puget Sound</v>
      </c>
      <c r="P2701" s="73">
        <v>20</v>
      </c>
      <c r="Q2701" s="74">
        <f>VLOOKUP(B2701,Readme!A$40:C$51,2,)*P2701</f>
        <v>68.8</v>
      </c>
    </row>
    <row r="2702" spans="1:17" ht="12" customHeight="1" x14ac:dyDescent="0.35">
      <c r="A2702" s="75">
        <v>2701</v>
      </c>
      <c r="B2702" s="64">
        <v>2017</v>
      </c>
      <c r="C2702" s="64">
        <v>6</v>
      </c>
      <c r="D2702" s="80">
        <f t="shared" si="87"/>
        <v>2017</v>
      </c>
      <c r="E2702" t="s">
        <v>38</v>
      </c>
      <c r="F2702" t="s">
        <v>143</v>
      </c>
      <c r="G2702" t="s">
        <v>10</v>
      </c>
      <c r="H2702" s="72">
        <v>830</v>
      </c>
      <c r="I2702" s="72" t="s">
        <v>60</v>
      </c>
      <c r="J2702" t="str">
        <f t="shared" si="88"/>
        <v>Skagit River</v>
      </c>
      <c r="K2702" t="str">
        <f>IFERROR(VLOOKUP(J2702,LUTs!$A$1:$C$73,2,FALSE),"NA")</f>
        <v>Skagit/Whatcom</v>
      </c>
      <c r="L2702" t="str">
        <f>IFERROR(VLOOKUP(J2702,LUTs!$A$1:$C$73,3,FALSE),"NA")</f>
        <v>2Central Puget Sound</v>
      </c>
      <c r="M2702" s="72" t="s">
        <v>26</v>
      </c>
      <c r="N2702" t="str">
        <f>VLOOKUP(M2702,LUTs!E$2:H$14,3,)</f>
        <v>20Other</v>
      </c>
      <c r="O2702" t="str">
        <f>VLOOKUP(M2702,LUTs!E$2:H$14,4,)</f>
        <v>07Non Puget Sound</v>
      </c>
      <c r="P2702" s="73">
        <v>20</v>
      </c>
      <c r="Q2702" s="74">
        <f>VLOOKUP(B2702,Readme!A$40:C$51,2,)*P2702</f>
        <v>68.8</v>
      </c>
    </row>
    <row r="2703" spans="1:17" ht="12" customHeight="1" x14ac:dyDescent="0.35">
      <c r="A2703" s="75">
        <v>2702</v>
      </c>
      <c r="B2703" s="64">
        <v>2017</v>
      </c>
      <c r="C2703" s="64">
        <v>6</v>
      </c>
      <c r="D2703" s="80">
        <f t="shared" si="87"/>
        <v>2017</v>
      </c>
      <c r="E2703" t="s">
        <v>38</v>
      </c>
      <c r="F2703" t="s">
        <v>143</v>
      </c>
      <c r="G2703" t="s">
        <v>10</v>
      </c>
      <c r="H2703" s="72">
        <v>830</v>
      </c>
      <c r="I2703" s="72" t="s">
        <v>60</v>
      </c>
      <c r="J2703" t="str">
        <f t="shared" si="88"/>
        <v>Skagit River</v>
      </c>
      <c r="K2703" t="str">
        <f>IFERROR(VLOOKUP(J2703,LUTs!$A$1:$C$73,2,FALSE),"NA")</f>
        <v>Skagit/Whatcom</v>
      </c>
      <c r="L2703" t="str">
        <f>IFERROR(VLOOKUP(J2703,LUTs!$A$1:$C$73,3,FALSE),"NA")</f>
        <v>2Central Puget Sound</v>
      </c>
      <c r="M2703" s="72" t="s">
        <v>15</v>
      </c>
      <c r="N2703" t="str">
        <f>VLOOKUP(M2703,LUTs!E$2:H$14,3,)</f>
        <v>02Skagit</v>
      </c>
      <c r="O2703" t="str">
        <f>VLOOKUP(M2703,LUTs!E$2:H$14,4,)</f>
        <v>01North Puget Sound</v>
      </c>
      <c r="P2703" s="73">
        <v>90</v>
      </c>
      <c r="Q2703" s="74">
        <f>VLOOKUP(B2703,Readme!A$40:C$51,2,)*P2703</f>
        <v>309.60000000000002</v>
      </c>
    </row>
    <row r="2704" spans="1:17" ht="12" customHeight="1" x14ac:dyDescent="0.35">
      <c r="A2704" s="75">
        <v>2703</v>
      </c>
      <c r="B2704" s="64">
        <v>2017</v>
      </c>
      <c r="C2704" s="64">
        <v>6</v>
      </c>
      <c r="D2704" s="80">
        <f t="shared" si="87"/>
        <v>2017</v>
      </c>
      <c r="E2704" t="s">
        <v>38</v>
      </c>
      <c r="F2704" t="s">
        <v>143</v>
      </c>
      <c r="G2704" t="s">
        <v>10</v>
      </c>
      <c r="H2704" s="72">
        <v>830</v>
      </c>
      <c r="I2704" s="72" t="s">
        <v>60</v>
      </c>
      <c r="J2704" t="str">
        <f t="shared" si="88"/>
        <v>Skagit River</v>
      </c>
      <c r="K2704" t="str">
        <f>IFERROR(VLOOKUP(J2704,LUTs!$A$1:$C$73,2,FALSE),"NA")</f>
        <v>Skagit/Whatcom</v>
      </c>
      <c r="L2704" t="str">
        <f>IFERROR(VLOOKUP(J2704,LUTs!$A$1:$C$73,3,FALSE),"NA")</f>
        <v>2Central Puget Sound</v>
      </c>
      <c r="M2704" s="72" t="s">
        <v>16</v>
      </c>
      <c r="N2704" t="str">
        <f>VLOOKUP(M2704,LUTs!E$2:H$14,3,)</f>
        <v>03Snohomish</v>
      </c>
      <c r="O2704" t="str">
        <f>VLOOKUP(M2704,LUTs!E$2:H$14,4,)</f>
        <v>01North Puget Sound</v>
      </c>
      <c r="P2704" s="73">
        <v>60</v>
      </c>
      <c r="Q2704" s="74">
        <f>VLOOKUP(B2704,Readme!A$40:C$51,2,)*P2704</f>
        <v>206.4</v>
      </c>
    </row>
    <row r="2705" spans="1:17" ht="12" customHeight="1" x14ac:dyDescent="0.35">
      <c r="A2705" s="75">
        <v>2704</v>
      </c>
      <c r="B2705" s="64">
        <v>2017</v>
      </c>
      <c r="C2705" s="64">
        <v>6</v>
      </c>
      <c r="D2705" s="80">
        <f t="shared" si="87"/>
        <v>2017</v>
      </c>
      <c r="E2705" t="s">
        <v>38</v>
      </c>
      <c r="F2705" t="s">
        <v>143</v>
      </c>
      <c r="G2705" t="s">
        <v>10</v>
      </c>
      <c r="H2705" s="72">
        <v>830</v>
      </c>
      <c r="I2705" s="72" t="s">
        <v>60</v>
      </c>
      <c r="J2705" t="str">
        <f t="shared" si="88"/>
        <v>Skagit River</v>
      </c>
      <c r="K2705" t="str">
        <f>IFERROR(VLOOKUP(J2705,LUTs!$A$1:$C$73,2,FALSE),"NA")</f>
        <v>Skagit/Whatcom</v>
      </c>
      <c r="L2705" t="str">
        <f>IFERROR(VLOOKUP(J2705,LUTs!$A$1:$C$73,3,FALSE),"NA")</f>
        <v>2Central Puget Sound</v>
      </c>
      <c r="M2705" s="72" t="s">
        <v>13</v>
      </c>
      <c r="N2705" t="str">
        <f>VLOOKUP(M2705,LUTs!E$2:H$14,3,)</f>
        <v>01Whatcom</v>
      </c>
      <c r="O2705" t="str">
        <f>VLOOKUP(M2705,LUTs!E$2:H$14,4,)</f>
        <v>01North Puget Sound</v>
      </c>
      <c r="P2705" s="73">
        <v>100</v>
      </c>
      <c r="Q2705" s="74">
        <f>VLOOKUP(B2705,Readme!A$40:C$51,2,)*P2705</f>
        <v>344</v>
      </c>
    </row>
    <row r="2706" spans="1:17" ht="12" customHeight="1" x14ac:dyDescent="0.35">
      <c r="A2706" s="75">
        <v>2705</v>
      </c>
      <c r="B2706" s="64">
        <v>2017</v>
      </c>
      <c r="C2706" s="64">
        <v>7</v>
      </c>
      <c r="D2706" s="80">
        <f t="shared" si="87"/>
        <v>2017</v>
      </c>
      <c r="E2706" t="s">
        <v>38</v>
      </c>
      <c r="F2706" t="s">
        <v>143</v>
      </c>
      <c r="G2706" t="s">
        <v>10</v>
      </c>
      <c r="H2706" s="72">
        <v>830</v>
      </c>
      <c r="I2706" s="72" t="s">
        <v>60</v>
      </c>
      <c r="J2706" t="str">
        <f t="shared" si="88"/>
        <v>Skagit River</v>
      </c>
      <c r="K2706" t="str">
        <f>IFERROR(VLOOKUP(J2706,LUTs!$A$1:$C$73,2,FALSE),"NA")</f>
        <v>Skagit/Whatcom</v>
      </c>
      <c r="L2706" t="str">
        <f>IFERROR(VLOOKUP(J2706,LUTs!$A$1:$C$73,3,FALSE),"NA")</f>
        <v>2Central Puget Sound</v>
      </c>
      <c r="M2706" s="72" t="s">
        <v>18</v>
      </c>
      <c r="N2706" t="str">
        <f>VLOOKUP(M2706,LUTs!E$2:H$14,3,)</f>
        <v>06King</v>
      </c>
      <c r="O2706" t="str">
        <f>VLOOKUP(M2706,LUTs!E$2:H$14,4,)</f>
        <v>02South Puget Sound</v>
      </c>
      <c r="P2706" s="73">
        <v>50</v>
      </c>
      <c r="Q2706" s="74">
        <f>VLOOKUP(B2706,Readme!A$40:C$51,2,)*P2706</f>
        <v>172</v>
      </c>
    </row>
    <row r="2707" spans="1:17" ht="12" customHeight="1" x14ac:dyDescent="0.35">
      <c r="A2707" s="75">
        <v>2706</v>
      </c>
      <c r="B2707" s="64">
        <v>2017</v>
      </c>
      <c r="C2707" s="64">
        <v>7</v>
      </c>
      <c r="D2707" s="80">
        <f t="shared" si="87"/>
        <v>2017</v>
      </c>
      <c r="E2707" t="s">
        <v>38</v>
      </c>
      <c r="F2707" t="s">
        <v>143</v>
      </c>
      <c r="G2707" t="s">
        <v>10</v>
      </c>
      <c r="H2707" s="72">
        <v>830</v>
      </c>
      <c r="I2707" s="72" t="s">
        <v>60</v>
      </c>
      <c r="J2707" t="str">
        <f t="shared" si="88"/>
        <v>Skagit River</v>
      </c>
      <c r="K2707" t="str">
        <f>IFERROR(VLOOKUP(J2707,LUTs!$A$1:$C$73,2,FALSE),"NA")</f>
        <v>Skagit/Whatcom</v>
      </c>
      <c r="L2707" t="str">
        <f>IFERROR(VLOOKUP(J2707,LUTs!$A$1:$C$73,3,FALSE),"NA")</f>
        <v>2Central Puget Sound</v>
      </c>
      <c r="M2707" s="72" t="s">
        <v>26</v>
      </c>
      <c r="N2707" t="str">
        <f>VLOOKUP(M2707,LUTs!E$2:H$14,3,)</f>
        <v>20Other</v>
      </c>
      <c r="O2707" t="str">
        <f>VLOOKUP(M2707,LUTs!E$2:H$14,4,)</f>
        <v>07Non Puget Sound</v>
      </c>
      <c r="P2707" s="73">
        <v>10</v>
      </c>
      <c r="Q2707" s="74">
        <f>VLOOKUP(B2707,Readme!A$40:C$51,2,)*P2707</f>
        <v>34.4</v>
      </c>
    </row>
    <row r="2708" spans="1:17" ht="12" customHeight="1" x14ac:dyDescent="0.35">
      <c r="A2708" s="75">
        <v>2707</v>
      </c>
      <c r="B2708" s="64">
        <v>2017</v>
      </c>
      <c r="C2708" s="64">
        <v>7</v>
      </c>
      <c r="D2708" s="80">
        <f t="shared" si="87"/>
        <v>2017</v>
      </c>
      <c r="E2708" t="s">
        <v>38</v>
      </c>
      <c r="F2708" t="s">
        <v>143</v>
      </c>
      <c r="G2708" t="s">
        <v>10</v>
      </c>
      <c r="H2708" s="72">
        <v>830</v>
      </c>
      <c r="I2708" s="72" t="s">
        <v>60</v>
      </c>
      <c r="J2708" t="str">
        <f t="shared" si="88"/>
        <v>Skagit River</v>
      </c>
      <c r="K2708" t="str">
        <f>IFERROR(VLOOKUP(J2708,LUTs!$A$1:$C$73,2,FALSE),"NA")</f>
        <v>Skagit/Whatcom</v>
      </c>
      <c r="L2708" t="str">
        <f>IFERROR(VLOOKUP(J2708,LUTs!$A$1:$C$73,3,FALSE),"NA")</f>
        <v>2Central Puget Sound</v>
      </c>
      <c r="M2708" s="72" t="s">
        <v>15</v>
      </c>
      <c r="N2708" t="str">
        <f>VLOOKUP(M2708,LUTs!E$2:H$14,3,)</f>
        <v>02Skagit</v>
      </c>
      <c r="O2708" t="str">
        <f>VLOOKUP(M2708,LUTs!E$2:H$14,4,)</f>
        <v>01North Puget Sound</v>
      </c>
      <c r="P2708" s="73">
        <v>90</v>
      </c>
      <c r="Q2708" s="74">
        <f>VLOOKUP(B2708,Readme!A$40:C$51,2,)*P2708</f>
        <v>309.60000000000002</v>
      </c>
    </row>
    <row r="2709" spans="1:17" ht="12" customHeight="1" x14ac:dyDescent="0.35">
      <c r="A2709" s="75">
        <v>2708</v>
      </c>
      <c r="B2709" s="64">
        <v>2017</v>
      </c>
      <c r="C2709" s="64">
        <v>7</v>
      </c>
      <c r="D2709" s="80">
        <f t="shared" si="87"/>
        <v>2017</v>
      </c>
      <c r="E2709" t="s">
        <v>38</v>
      </c>
      <c r="F2709" t="s">
        <v>143</v>
      </c>
      <c r="G2709" t="s">
        <v>10</v>
      </c>
      <c r="H2709" s="72">
        <v>830</v>
      </c>
      <c r="I2709" s="72" t="s">
        <v>60</v>
      </c>
      <c r="J2709" t="str">
        <f t="shared" si="88"/>
        <v>Skagit River</v>
      </c>
      <c r="K2709" t="str">
        <f>IFERROR(VLOOKUP(J2709,LUTs!$A$1:$C$73,2,FALSE),"NA")</f>
        <v>Skagit/Whatcom</v>
      </c>
      <c r="L2709" t="str">
        <f>IFERROR(VLOOKUP(J2709,LUTs!$A$1:$C$73,3,FALSE),"NA")</f>
        <v>2Central Puget Sound</v>
      </c>
      <c r="M2709" s="72" t="s">
        <v>16</v>
      </c>
      <c r="N2709" t="str">
        <f>VLOOKUP(M2709,LUTs!E$2:H$14,3,)</f>
        <v>03Snohomish</v>
      </c>
      <c r="O2709" t="str">
        <f>VLOOKUP(M2709,LUTs!E$2:H$14,4,)</f>
        <v>01North Puget Sound</v>
      </c>
      <c r="P2709" s="73">
        <v>40</v>
      </c>
      <c r="Q2709" s="74">
        <f>VLOOKUP(B2709,Readme!A$40:C$51,2,)*P2709</f>
        <v>137.6</v>
      </c>
    </row>
    <row r="2710" spans="1:17" ht="12" customHeight="1" x14ac:dyDescent="0.35">
      <c r="A2710" s="75">
        <v>2709</v>
      </c>
      <c r="B2710" s="64">
        <v>2017</v>
      </c>
      <c r="C2710" s="64">
        <v>7</v>
      </c>
      <c r="D2710" s="80">
        <f t="shared" si="87"/>
        <v>2017</v>
      </c>
      <c r="E2710" t="s">
        <v>38</v>
      </c>
      <c r="F2710" t="s">
        <v>143</v>
      </c>
      <c r="G2710" t="s">
        <v>10</v>
      </c>
      <c r="H2710" s="72">
        <v>830</v>
      </c>
      <c r="I2710" s="72" t="s">
        <v>60</v>
      </c>
      <c r="J2710" t="str">
        <f t="shared" si="88"/>
        <v>Skagit River</v>
      </c>
      <c r="K2710" t="str">
        <f>IFERROR(VLOOKUP(J2710,LUTs!$A$1:$C$73,2,FALSE),"NA")</f>
        <v>Skagit/Whatcom</v>
      </c>
      <c r="L2710" t="str">
        <f>IFERROR(VLOOKUP(J2710,LUTs!$A$1:$C$73,3,FALSE),"NA")</f>
        <v>2Central Puget Sound</v>
      </c>
      <c r="M2710" s="72" t="s">
        <v>13</v>
      </c>
      <c r="N2710" t="str">
        <f>VLOOKUP(M2710,LUTs!E$2:H$14,3,)</f>
        <v>01Whatcom</v>
      </c>
      <c r="O2710" t="str">
        <f>VLOOKUP(M2710,LUTs!E$2:H$14,4,)</f>
        <v>01North Puget Sound</v>
      </c>
      <c r="P2710" s="73">
        <v>70</v>
      </c>
      <c r="Q2710" s="74">
        <f>VLOOKUP(B2710,Readme!A$40:C$51,2,)*P2710</f>
        <v>240.79999999999998</v>
      </c>
    </row>
    <row r="2711" spans="1:17" ht="12" customHeight="1" x14ac:dyDescent="0.35">
      <c r="A2711" s="75">
        <v>2710</v>
      </c>
      <c r="B2711" s="64">
        <v>2017</v>
      </c>
      <c r="C2711" s="64">
        <v>8</v>
      </c>
      <c r="D2711" s="80">
        <f t="shared" si="87"/>
        <v>2017</v>
      </c>
      <c r="E2711" t="s">
        <v>38</v>
      </c>
      <c r="F2711" t="s">
        <v>143</v>
      </c>
      <c r="G2711" t="s">
        <v>10</v>
      </c>
      <c r="H2711" s="72">
        <v>830</v>
      </c>
      <c r="I2711" s="72" t="s">
        <v>60</v>
      </c>
      <c r="J2711" t="str">
        <f t="shared" si="88"/>
        <v>Skagit River</v>
      </c>
      <c r="K2711" t="str">
        <f>IFERROR(VLOOKUP(J2711,LUTs!$A$1:$C$73,2,FALSE),"NA")</f>
        <v>Skagit/Whatcom</v>
      </c>
      <c r="L2711" t="str">
        <f>IFERROR(VLOOKUP(J2711,LUTs!$A$1:$C$73,3,FALSE),"NA")</f>
        <v>2Central Puget Sound</v>
      </c>
      <c r="M2711" s="72" t="s">
        <v>16</v>
      </c>
      <c r="N2711" t="str">
        <f>VLOOKUP(M2711,LUTs!E$2:H$14,3,)</f>
        <v>03Snohomish</v>
      </c>
      <c r="O2711" t="str">
        <f>VLOOKUP(M2711,LUTs!E$2:H$14,4,)</f>
        <v>01North Puget Sound</v>
      </c>
      <c r="P2711" s="73">
        <v>30</v>
      </c>
      <c r="Q2711" s="74">
        <f>VLOOKUP(B2711,Readme!A$40:C$51,2,)*P2711</f>
        <v>103.2</v>
      </c>
    </row>
    <row r="2712" spans="1:17" ht="12" customHeight="1" x14ac:dyDescent="0.35">
      <c r="A2712" s="75">
        <v>2711</v>
      </c>
      <c r="B2712" s="64">
        <v>2017</v>
      </c>
      <c r="C2712" s="64">
        <v>6</v>
      </c>
      <c r="D2712" s="80">
        <f t="shared" si="87"/>
        <v>2017</v>
      </c>
      <c r="E2712" t="s">
        <v>38</v>
      </c>
      <c r="F2712" t="s">
        <v>143</v>
      </c>
      <c r="G2712" t="s">
        <v>10</v>
      </c>
      <c r="H2712" s="72">
        <v>844</v>
      </c>
      <c r="I2712" s="72" t="s">
        <v>62</v>
      </c>
      <c r="J2712" t="str">
        <f t="shared" si="88"/>
        <v>Skykomish River</v>
      </c>
      <c r="K2712" t="str">
        <f>IFERROR(VLOOKUP(J2712,LUTs!$A$1:$C$73,2,FALSE),"NA")</f>
        <v>Snohomish</v>
      </c>
      <c r="L2712" t="str">
        <f>IFERROR(VLOOKUP(J2712,LUTs!$A$1:$C$73,3,FALSE),"NA")</f>
        <v>2Central Puget Sound</v>
      </c>
      <c r="M2712" s="72" t="s">
        <v>17</v>
      </c>
      <c r="N2712" t="str">
        <f>VLOOKUP(M2712,LUTs!E$2:H$14,3,)</f>
        <v>04Island</v>
      </c>
      <c r="O2712" t="str">
        <f>VLOOKUP(M2712,LUTs!E$2:H$14,4,)</f>
        <v>01North Puget Sound</v>
      </c>
      <c r="P2712" s="73">
        <v>19.636363636363601</v>
      </c>
      <c r="Q2712" s="74">
        <f>VLOOKUP(B2712,Readme!A$40:C$51,2,)*P2712</f>
        <v>67.549090909090793</v>
      </c>
    </row>
    <row r="2713" spans="1:17" ht="12" customHeight="1" x14ac:dyDescent="0.35">
      <c r="A2713" s="75">
        <v>2712</v>
      </c>
      <c r="B2713" s="64">
        <v>2017</v>
      </c>
      <c r="C2713" s="64">
        <v>6</v>
      </c>
      <c r="D2713" s="80">
        <f t="shared" si="87"/>
        <v>2017</v>
      </c>
      <c r="E2713" t="s">
        <v>38</v>
      </c>
      <c r="F2713" t="s">
        <v>143</v>
      </c>
      <c r="G2713" t="s">
        <v>10</v>
      </c>
      <c r="H2713" s="72">
        <v>844</v>
      </c>
      <c r="I2713" s="72" t="s">
        <v>62</v>
      </c>
      <c r="J2713" t="str">
        <f t="shared" si="88"/>
        <v>Skykomish River</v>
      </c>
      <c r="K2713" t="str">
        <f>IFERROR(VLOOKUP(J2713,LUTs!$A$1:$C$73,2,FALSE),"NA")</f>
        <v>Snohomish</v>
      </c>
      <c r="L2713" t="str">
        <f>IFERROR(VLOOKUP(J2713,LUTs!$A$1:$C$73,3,FALSE),"NA")</f>
        <v>2Central Puget Sound</v>
      </c>
      <c r="M2713" s="72" t="s">
        <v>18</v>
      </c>
      <c r="N2713" t="str">
        <f>VLOOKUP(M2713,LUTs!E$2:H$14,3,)</f>
        <v>06King</v>
      </c>
      <c r="O2713" t="str">
        <f>VLOOKUP(M2713,LUTs!E$2:H$14,4,)</f>
        <v>02South Puget Sound</v>
      </c>
      <c r="P2713" s="73">
        <v>108</v>
      </c>
      <c r="Q2713" s="74">
        <f>VLOOKUP(B2713,Readme!A$40:C$51,2,)*P2713</f>
        <v>371.52</v>
      </c>
    </row>
    <row r="2714" spans="1:17" ht="12" customHeight="1" x14ac:dyDescent="0.35">
      <c r="A2714" s="75">
        <v>2713</v>
      </c>
      <c r="B2714" s="64">
        <v>2017</v>
      </c>
      <c r="C2714" s="64">
        <v>6</v>
      </c>
      <c r="D2714" s="80">
        <f t="shared" si="87"/>
        <v>2017</v>
      </c>
      <c r="E2714" t="s">
        <v>38</v>
      </c>
      <c r="F2714" t="s">
        <v>143</v>
      </c>
      <c r="G2714" t="s">
        <v>10</v>
      </c>
      <c r="H2714" s="72">
        <v>844</v>
      </c>
      <c r="I2714" s="72" t="s">
        <v>62</v>
      </c>
      <c r="J2714" t="str">
        <f t="shared" si="88"/>
        <v>Skykomish River</v>
      </c>
      <c r="K2714" t="str">
        <f>IFERROR(VLOOKUP(J2714,LUTs!$A$1:$C$73,2,FALSE),"NA")</f>
        <v>Snohomish</v>
      </c>
      <c r="L2714" t="str">
        <f>IFERROR(VLOOKUP(J2714,LUTs!$A$1:$C$73,3,FALSE),"NA")</f>
        <v>2Central Puget Sound</v>
      </c>
      <c r="M2714" s="72" t="s">
        <v>23</v>
      </c>
      <c r="N2714" t="str">
        <f>VLOOKUP(M2714,LUTs!E$2:H$14,3,)</f>
        <v>10Kitsap</v>
      </c>
      <c r="O2714" t="str">
        <f>VLOOKUP(M2714,LUTs!E$2:H$14,4,)</f>
        <v>02South Puget Sound</v>
      </c>
      <c r="P2714" s="73">
        <v>9.8181818181818201</v>
      </c>
      <c r="Q2714" s="74">
        <f>VLOOKUP(B2714,Readme!A$40:C$51,2,)*P2714</f>
        <v>33.774545454545461</v>
      </c>
    </row>
    <row r="2715" spans="1:17" ht="12" customHeight="1" x14ac:dyDescent="0.35">
      <c r="A2715" s="75">
        <v>2714</v>
      </c>
      <c r="B2715" s="64">
        <v>2017</v>
      </c>
      <c r="C2715" s="64">
        <v>6</v>
      </c>
      <c r="D2715" s="80">
        <f t="shared" si="87"/>
        <v>2017</v>
      </c>
      <c r="E2715" t="s">
        <v>38</v>
      </c>
      <c r="F2715" t="s">
        <v>143</v>
      </c>
      <c r="G2715" t="s">
        <v>10</v>
      </c>
      <c r="H2715" s="72">
        <v>844</v>
      </c>
      <c r="I2715" s="72" t="s">
        <v>62</v>
      </c>
      <c r="J2715" t="str">
        <f t="shared" si="88"/>
        <v>Skykomish River</v>
      </c>
      <c r="K2715" t="str">
        <f>IFERROR(VLOOKUP(J2715,LUTs!$A$1:$C$73,2,FALSE),"NA")</f>
        <v>Snohomish</v>
      </c>
      <c r="L2715" t="str">
        <f>IFERROR(VLOOKUP(J2715,LUTs!$A$1:$C$73,3,FALSE),"NA")</f>
        <v>2Central Puget Sound</v>
      </c>
      <c r="M2715" s="72" t="s">
        <v>26</v>
      </c>
      <c r="N2715" t="str">
        <f>VLOOKUP(M2715,LUTs!E$2:H$14,3,)</f>
        <v>20Other</v>
      </c>
      <c r="O2715" t="str">
        <f>VLOOKUP(M2715,LUTs!E$2:H$14,4,)</f>
        <v>07Non Puget Sound</v>
      </c>
      <c r="P2715" s="73">
        <v>58.909090909090899</v>
      </c>
      <c r="Q2715" s="74">
        <f>VLOOKUP(B2715,Readme!A$40:C$51,2,)*P2715</f>
        <v>202.64727272727268</v>
      </c>
    </row>
    <row r="2716" spans="1:17" ht="12" customHeight="1" x14ac:dyDescent="0.35">
      <c r="A2716" s="75">
        <v>2715</v>
      </c>
      <c r="B2716" s="64">
        <v>2017</v>
      </c>
      <c r="C2716" s="64">
        <v>6</v>
      </c>
      <c r="D2716" s="80">
        <f t="shared" si="87"/>
        <v>2017</v>
      </c>
      <c r="E2716" t="s">
        <v>38</v>
      </c>
      <c r="F2716" t="s">
        <v>143</v>
      </c>
      <c r="G2716" t="s">
        <v>10</v>
      </c>
      <c r="H2716" s="72">
        <v>844</v>
      </c>
      <c r="I2716" s="72" t="s">
        <v>62</v>
      </c>
      <c r="J2716" t="str">
        <f t="shared" si="88"/>
        <v>Skykomish River</v>
      </c>
      <c r="K2716" t="str">
        <f>IFERROR(VLOOKUP(J2716,LUTs!$A$1:$C$73,2,FALSE),"NA")</f>
        <v>Snohomish</v>
      </c>
      <c r="L2716" t="str">
        <f>IFERROR(VLOOKUP(J2716,LUTs!$A$1:$C$73,3,FALSE),"NA")</f>
        <v>2Central Puget Sound</v>
      </c>
      <c r="M2716" s="72" t="s">
        <v>20</v>
      </c>
      <c r="N2716" t="str">
        <f>VLOOKUP(M2716,LUTs!E$2:H$14,3,)</f>
        <v>07Pierce</v>
      </c>
      <c r="O2716" t="str">
        <f>VLOOKUP(M2716,LUTs!E$2:H$14,4,)</f>
        <v>02South Puget Sound</v>
      </c>
      <c r="P2716" s="73">
        <v>29.454545454545499</v>
      </c>
      <c r="Q2716" s="74">
        <f>VLOOKUP(B2716,Readme!A$40:C$51,2,)*P2716</f>
        <v>101.32363636363651</v>
      </c>
    </row>
    <row r="2717" spans="1:17" ht="12" customHeight="1" x14ac:dyDescent="0.35">
      <c r="A2717" s="75">
        <v>2716</v>
      </c>
      <c r="B2717" s="64">
        <v>2017</v>
      </c>
      <c r="C2717" s="64">
        <v>6</v>
      </c>
      <c r="D2717" s="80">
        <f t="shared" si="87"/>
        <v>2017</v>
      </c>
      <c r="E2717" t="s">
        <v>38</v>
      </c>
      <c r="F2717" t="s">
        <v>143</v>
      </c>
      <c r="G2717" t="s">
        <v>10</v>
      </c>
      <c r="H2717" s="72">
        <v>844</v>
      </c>
      <c r="I2717" s="72" t="s">
        <v>62</v>
      </c>
      <c r="J2717" t="str">
        <f t="shared" si="88"/>
        <v>Skykomish River</v>
      </c>
      <c r="K2717" t="str">
        <f>IFERROR(VLOOKUP(J2717,LUTs!$A$1:$C$73,2,FALSE),"NA")</f>
        <v>Snohomish</v>
      </c>
      <c r="L2717" t="str">
        <f>IFERROR(VLOOKUP(J2717,LUTs!$A$1:$C$73,3,FALSE),"NA")</f>
        <v>2Central Puget Sound</v>
      </c>
      <c r="M2717" s="72" t="s">
        <v>16</v>
      </c>
      <c r="N2717" t="str">
        <f>VLOOKUP(M2717,LUTs!E$2:H$14,3,)</f>
        <v>03Snohomish</v>
      </c>
      <c r="O2717" t="str">
        <f>VLOOKUP(M2717,LUTs!E$2:H$14,4,)</f>
        <v>01North Puget Sound</v>
      </c>
      <c r="P2717" s="73">
        <v>98.181818181818201</v>
      </c>
      <c r="Q2717" s="74">
        <f>VLOOKUP(B2717,Readme!A$40:C$51,2,)*P2717</f>
        <v>337.74545454545461</v>
      </c>
    </row>
    <row r="2718" spans="1:17" ht="12" customHeight="1" x14ac:dyDescent="0.35">
      <c r="A2718" s="75">
        <v>2717</v>
      </c>
      <c r="B2718" s="64">
        <v>2017</v>
      </c>
      <c r="C2718" s="64">
        <v>7</v>
      </c>
      <c r="D2718" s="80">
        <f t="shared" si="87"/>
        <v>2017</v>
      </c>
      <c r="E2718" t="s">
        <v>38</v>
      </c>
      <c r="F2718" t="s">
        <v>143</v>
      </c>
      <c r="G2718" t="s">
        <v>10</v>
      </c>
      <c r="H2718" s="72">
        <v>844</v>
      </c>
      <c r="I2718" s="72" t="s">
        <v>62</v>
      </c>
      <c r="J2718" t="str">
        <f t="shared" si="88"/>
        <v>Skykomish River</v>
      </c>
      <c r="K2718" t="str">
        <f>IFERROR(VLOOKUP(J2718,LUTs!$A$1:$C$73,2,FALSE),"NA")</f>
        <v>Snohomish</v>
      </c>
      <c r="L2718" t="str">
        <f>IFERROR(VLOOKUP(J2718,LUTs!$A$1:$C$73,3,FALSE),"NA")</f>
        <v>2Central Puget Sound</v>
      </c>
      <c r="M2718" s="72" t="s">
        <v>18</v>
      </c>
      <c r="N2718" t="str">
        <f>VLOOKUP(M2718,LUTs!E$2:H$14,3,)</f>
        <v>06King</v>
      </c>
      <c r="O2718" t="str">
        <f>VLOOKUP(M2718,LUTs!E$2:H$14,4,)</f>
        <v>02South Puget Sound</v>
      </c>
      <c r="P2718" s="73">
        <v>244.871794871795</v>
      </c>
      <c r="Q2718" s="74">
        <f>VLOOKUP(B2718,Readme!A$40:C$51,2,)*P2718</f>
        <v>842.35897435897482</v>
      </c>
    </row>
    <row r="2719" spans="1:17" ht="12" customHeight="1" x14ac:dyDescent="0.35">
      <c r="A2719" s="75">
        <v>2718</v>
      </c>
      <c r="B2719" s="64">
        <v>2017</v>
      </c>
      <c r="C2719" s="64">
        <v>7</v>
      </c>
      <c r="D2719" s="80">
        <f t="shared" si="87"/>
        <v>2017</v>
      </c>
      <c r="E2719" t="s">
        <v>38</v>
      </c>
      <c r="F2719" t="s">
        <v>143</v>
      </c>
      <c r="G2719" t="s">
        <v>10</v>
      </c>
      <c r="H2719" s="72">
        <v>844</v>
      </c>
      <c r="I2719" s="72" t="s">
        <v>62</v>
      </c>
      <c r="J2719" t="str">
        <f t="shared" si="88"/>
        <v>Skykomish River</v>
      </c>
      <c r="K2719" t="str">
        <f>IFERROR(VLOOKUP(J2719,LUTs!$A$1:$C$73,2,FALSE),"NA")</f>
        <v>Snohomish</v>
      </c>
      <c r="L2719" t="str">
        <f>IFERROR(VLOOKUP(J2719,LUTs!$A$1:$C$73,3,FALSE),"NA")</f>
        <v>2Central Puget Sound</v>
      </c>
      <c r="M2719" s="72" t="s">
        <v>26</v>
      </c>
      <c r="N2719" t="str">
        <f>VLOOKUP(M2719,LUTs!E$2:H$14,3,)</f>
        <v>20Other</v>
      </c>
      <c r="O2719" t="str">
        <f>VLOOKUP(M2719,LUTs!E$2:H$14,4,)</f>
        <v>07Non Puget Sound</v>
      </c>
      <c r="P2719" s="73">
        <v>9.7948717948717992</v>
      </c>
      <c r="Q2719" s="74">
        <f>VLOOKUP(B2719,Readme!A$40:C$51,2,)*P2719</f>
        <v>33.694358974358991</v>
      </c>
    </row>
    <row r="2720" spans="1:17" ht="12" customHeight="1" x14ac:dyDescent="0.35">
      <c r="A2720" s="75">
        <v>2719</v>
      </c>
      <c r="B2720" s="64">
        <v>2017</v>
      </c>
      <c r="C2720" s="64">
        <v>7</v>
      </c>
      <c r="D2720" s="80">
        <f t="shared" si="87"/>
        <v>2017</v>
      </c>
      <c r="E2720" t="s">
        <v>38</v>
      </c>
      <c r="F2720" t="s">
        <v>143</v>
      </c>
      <c r="G2720" t="s">
        <v>10</v>
      </c>
      <c r="H2720" s="72">
        <v>844</v>
      </c>
      <c r="I2720" s="72" t="s">
        <v>62</v>
      </c>
      <c r="J2720" t="str">
        <f t="shared" si="88"/>
        <v>Skykomish River</v>
      </c>
      <c r="K2720" t="str">
        <f>IFERROR(VLOOKUP(J2720,LUTs!$A$1:$C$73,2,FALSE),"NA")</f>
        <v>Snohomish</v>
      </c>
      <c r="L2720" t="str">
        <f>IFERROR(VLOOKUP(J2720,LUTs!$A$1:$C$73,3,FALSE),"NA")</f>
        <v>2Central Puget Sound</v>
      </c>
      <c r="M2720" s="72" t="s">
        <v>30</v>
      </c>
      <c r="N2720" t="str">
        <f>VLOOKUP(M2720,LUTs!E$2:H$14,3,)</f>
        <v>05San Juan</v>
      </c>
      <c r="O2720" t="str">
        <f>VLOOKUP(M2720,LUTs!E$2:H$14,4,)</f>
        <v>01North Puget Sound</v>
      </c>
      <c r="P2720" s="73">
        <v>9.7948717948717992</v>
      </c>
      <c r="Q2720" s="74">
        <f>VLOOKUP(B2720,Readme!A$40:C$51,2,)*P2720</f>
        <v>33.694358974358991</v>
      </c>
    </row>
    <row r="2721" spans="1:17" ht="12" customHeight="1" x14ac:dyDescent="0.35">
      <c r="A2721" s="75">
        <v>2720</v>
      </c>
      <c r="B2721" s="64">
        <v>2017</v>
      </c>
      <c r="C2721" s="64">
        <v>7</v>
      </c>
      <c r="D2721" s="80">
        <f t="shared" si="87"/>
        <v>2017</v>
      </c>
      <c r="E2721" t="s">
        <v>38</v>
      </c>
      <c r="F2721" t="s">
        <v>143</v>
      </c>
      <c r="G2721" t="s">
        <v>10</v>
      </c>
      <c r="H2721" s="72">
        <v>844</v>
      </c>
      <c r="I2721" s="72" t="s">
        <v>62</v>
      </c>
      <c r="J2721" t="str">
        <f t="shared" si="88"/>
        <v>Skykomish River</v>
      </c>
      <c r="K2721" t="str">
        <f>IFERROR(VLOOKUP(J2721,LUTs!$A$1:$C$73,2,FALSE),"NA")</f>
        <v>Snohomish</v>
      </c>
      <c r="L2721" t="str">
        <f>IFERROR(VLOOKUP(J2721,LUTs!$A$1:$C$73,3,FALSE),"NA")</f>
        <v>2Central Puget Sound</v>
      </c>
      <c r="M2721" s="72" t="s">
        <v>16</v>
      </c>
      <c r="N2721" t="str">
        <f>VLOOKUP(M2721,LUTs!E$2:H$14,3,)</f>
        <v>03Snohomish</v>
      </c>
      <c r="O2721" t="str">
        <f>VLOOKUP(M2721,LUTs!E$2:H$14,4,)</f>
        <v>01North Puget Sound</v>
      </c>
      <c r="P2721" s="73">
        <v>117.538461538462</v>
      </c>
      <c r="Q2721" s="74">
        <f>VLOOKUP(B2721,Readme!A$40:C$51,2,)*P2721</f>
        <v>404.33230769230926</v>
      </c>
    </row>
    <row r="2722" spans="1:17" ht="12" customHeight="1" x14ac:dyDescent="0.35">
      <c r="A2722" s="75">
        <v>2721</v>
      </c>
      <c r="B2722" s="64">
        <v>2017</v>
      </c>
      <c r="C2722" s="64">
        <v>8</v>
      </c>
      <c r="D2722" s="80">
        <f t="shared" si="87"/>
        <v>2017</v>
      </c>
      <c r="E2722" t="s">
        <v>38</v>
      </c>
      <c r="F2722" t="s">
        <v>143</v>
      </c>
      <c r="G2722" t="s">
        <v>10</v>
      </c>
      <c r="H2722" s="72">
        <v>844</v>
      </c>
      <c r="I2722" s="72" t="s">
        <v>62</v>
      </c>
      <c r="J2722" t="str">
        <f t="shared" si="88"/>
        <v>Skykomish River</v>
      </c>
      <c r="K2722" t="str">
        <f>IFERROR(VLOOKUP(J2722,LUTs!$A$1:$C$73,2,FALSE),"NA")</f>
        <v>Snohomish</v>
      </c>
      <c r="L2722" t="str">
        <f>IFERROR(VLOOKUP(J2722,LUTs!$A$1:$C$73,3,FALSE),"NA")</f>
        <v>2Central Puget Sound</v>
      </c>
      <c r="M2722" s="72" t="s">
        <v>18</v>
      </c>
      <c r="N2722" t="str">
        <f>VLOOKUP(M2722,LUTs!E$2:H$14,3,)</f>
        <v>06King</v>
      </c>
      <c r="O2722" t="str">
        <f>VLOOKUP(M2722,LUTs!E$2:H$14,4,)</f>
        <v>02South Puget Sound</v>
      </c>
      <c r="P2722" s="73">
        <v>197.07317073170699</v>
      </c>
      <c r="Q2722" s="74">
        <f>VLOOKUP(B2722,Readme!A$40:C$51,2,)*P2722</f>
        <v>677.9317073170721</v>
      </c>
    </row>
    <row r="2723" spans="1:17" ht="12" customHeight="1" x14ac:dyDescent="0.35">
      <c r="A2723" s="75">
        <v>2722</v>
      </c>
      <c r="B2723" s="64">
        <v>2017</v>
      </c>
      <c r="C2723" s="64">
        <v>8</v>
      </c>
      <c r="D2723" s="80">
        <f t="shared" si="87"/>
        <v>2017</v>
      </c>
      <c r="E2723" t="s">
        <v>38</v>
      </c>
      <c r="F2723" t="s">
        <v>143</v>
      </c>
      <c r="G2723" t="s">
        <v>10</v>
      </c>
      <c r="H2723" s="72">
        <v>844</v>
      </c>
      <c r="I2723" s="72" t="s">
        <v>62</v>
      </c>
      <c r="J2723" t="str">
        <f t="shared" si="88"/>
        <v>Skykomish River</v>
      </c>
      <c r="K2723" t="str">
        <f>IFERROR(VLOOKUP(J2723,LUTs!$A$1:$C$73,2,FALSE),"NA")</f>
        <v>Snohomish</v>
      </c>
      <c r="L2723" t="str">
        <f>IFERROR(VLOOKUP(J2723,LUTs!$A$1:$C$73,3,FALSE),"NA")</f>
        <v>2Central Puget Sound</v>
      </c>
      <c r="M2723" s="72" t="s">
        <v>16</v>
      </c>
      <c r="N2723" t="str">
        <f>VLOOKUP(M2723,LUTs!E$2:H$14,3,)</f>
        <v>03Snohomish</v>
      </c>
      <c r="O2723" t="str">
        <f>VLOOKUP(M2723,LUTs!E$2:H$14,4,)</f>
        <v>01North Puget Sound</v>
      </c>
      <c r="P2723" s="73">
        <v>197.07317073170699</v>
      </c>
      <c r="Q2723" s="74">
        <f>VLOOKUP(B2723,Readme!A$40:C$51,2,)*P2723</f>
        <v>677.9317073170721</v>
      </c>
    </row>
    <row r="2724" spans="1:17" ht="12" customHeight="1" x14ac:dyDescent="0.35">
      <c r="A2724" s="75">
        <v>2723</v>
      </c>
      <c r="B2724" s="64">
        <v>2017</v>
      </c>
      <c r="C2724" s="64">
        <v>8</v>
      </c>
      <c r="D2724" s="80">
        <f t="shared" si="87"/>
        <v>2017</v>
      </c>
      <c r="E2724" t="s">
        <v>38</v>
      </c>
      <c r="F2724" t="s">
        <v>143</v>
      </c>
      <c r="G2724" t="s">
        <v>10</v>
      </c>
      <c r="H2724" s="72">
        <v>844</v>
      </c>
      <c r="I2724" s="72" t="s">
        <v>62</v>
      </c>
      <c r="J2724" t="str">
        <f t="shared" si="88"/>
        <v>Skykomish River</v>
      </c>
      <c r="K2724" t="str">
        <f>IFERROR(VLOOKUP(J2724,LUTs!$A$1:$C$73,2,FALSE),"NA")</f>
        <v>Snohomish</v>
      </c>
      <c r="L2724" t="str">
        <f>IFERROR(VLOOKUP(J2724,LUTs!$A$1:$C$73,3,FALSE),"NA")</f>
        <v>2Central Puget Sound</v>
      </c>
      <c r="M2724" s="72" t="s">
        <v>21</v>
      </c>
      <c r="N2724" t="str">
        <f>VLOOKUP(M2724,LUTs!E$2:H$14,3,)</f>
        <v>08Thurston</v>
      </c>
      <c r="O2724" t="str">
        <f>VLOOKUP(M2724,LUTs!E$2:H$14,4,)</f>
        <v>02South Puget Sound</v>
      </c>
      <c r="P2724" s="73">
        <v>9.8536585365853693</v>
      </c>
      <c r="Q2724" s="74">
        <f>VLOOKUP(B2724,Readme!A$40:C$51,2,)*P2724</f>
        <v>33.896585365853667</v>
      </c>
    </row>
    <row r="2725" spans="1:17" ht="12" customHeight="1" x14ac:dyDescent="0.35">
      <c r="A2725" s="75">
        <v>2724</v>
      </c>
      <c r="B2725" s="64">
        <v>2017</v>
      </c>
      <c r="C2725" s="64">
        <v>9</v>
      </c>
      <c r="D2725" s="80">
        <f t="shared" si="87"/>
        <v>2017</v>
      </c>
      <c r="E2725" t="s">
        <v>38</v>
      </c>
      <c r="F2725" t="s">
        <v>143</v>
      </c>
      <c r="G2725" t="s">
        <v>10</v>
      </c>
      <c r="H2725" s="72">
        <v>844</v>
      </c>
      <c r="I2725" s="72" t="s">
        <v>62</v>
      </c>
      <c r="J2725" t="str">
        <f t="shared" si="88"/>
        <v>Skykomish River</v>
      </c>
      <c r="K2725" t="str">
        <f>IFERROR(VLOOKUP(J2725,LUTs!$A$1:$C$73,2,FALSE),"NA")</f>
        <v>Snohomish</v>
      </c>
      <c r="L2725" t="str">
        <f>IFERROR(VLOOKUP(J2725,LUTs!$A$1:$C$73,3,FALSE),"NA")</f>
        <v>2Central Puget Sound</v>
      </c>
      <c r="M2725" s="72" t="s">
        <v>17</v>
      </c>
      <c r="N2725" t="str">
        <f>VLOOKUP(M2725,LUTs!E$2:H$14,3,)</f>
        <v>04Island</v>
      </c>
      <c r="O2725" t="str">
        <f>VLOOKUP(M2725,LUTs!E$2:H$14,4,)</f>
        <v>01North Puget Sound</v>
      </c>
      <c r="P2725" s="73">
        <v>19.712230215827301</v>
      </c>
      <c r="Q2725" s="74">
        <f>VLOOKUP(B2725,Readme!A$40:C$51,2,)*P2725</f>
        <v>67.810071942445916</v>
      </c>
    </row>
    <row r="2726" spans="1:17" ht="12" customHeight="1" x14ac:dyDescent="0.35">
      <c r="A2726" s="75">
        <v>2725</v>
      </c>
      <c r="B2726" s="64">
        <v>2017</v>
      </c>
      <c r="C2726" s="64">
        <v>9</v>
      </c>
      <c r="D2726" s="80">
        <f t="shared" si="87"/>
        <v>2017</v>
      </c>
      <c r="E2726" t="s">
        <v>38</v>
      </c>
      <c r="F2726" t="s">
        <v>143</v>
      </c>
      <c r="G2726" t="s">
        <v>10</v>
      </c>
      <c r="H2726" s="72">
        <v>844</v>
      </c>
      <c r="I2726" s="72" t="s">
        <v>62</v>
      </c>
      <c r="J2726" t="str">
        <f t="shared" si="88"/>
        <v>Skykomish River</v>
      </c>
      <c r="K2726" t="str">
        <f>IFERROR(VLOOKUP(J2726,LUTs!$A$1:$C$73,2,FALSE),"NA")</f>
        <v>Snohomish</v>
      </c>
      <c r="L2726" t="str">
        <f>IFERROR(VLOOKUP(J2726,LUTs!$A$1:$C$73,3,FALSE),"NA")</f>
        <v>2Central Puget Sound</v>
      </c>
      <c r="M2726" s="72" t="s">
        <v>18</v>
      </c>
      <c r="N2726" t="str">
        <f>VLOOKUP(M2726,LUTs!E$2:H$14,3,)</f>
        <v>06King</v>
      </c>
      <c r="O2726" t="str">
        <f>VLOOKUP(M2726,LUTs!E$2:H$14,4,)</f>
        <v>02South Puget Sound</v>
      </c>
      <c r="P2726" s="73">
        <v>335.107913669065</v>
      </c>
      <c r="Q2726" s="74">
        <f>VLOOKUP(B2726,Readme!A$40:C$51,2,)*P2726</f>
        <v>1152.7712230215836</v>
      </c>
    </row>
    <row r="2727" spans="1:17" ht="12" customHeight="1" x14ac:dyDescent="0.35">
      <c r="A2727" s="75">
        <v>2726</v>
      </c>
      <c r="B2727" s="64">
        <v>2017</v>
      </c>
      <c r="C2727" s="64">
        <v>9</v>
      </c>
      <c r="D2727" s="80">
        <f t="shared" si="87"/>
        <v>2017</v>
      </c>
      <c r="E2727" t="s">
        <v>38</v>
      </c>
      <c r="F2727" t="s">
        <v>143</v>
      </c>
      <c r="G2727" t="s">
        <v>10</v>
      </c>
      <c r="H2727" s="72">
        <v>844</v>
      </c>
      <c r="I2727" s="72" t="s">
        <v>62</v>
      </c>
      <c r="J2727" t="str">
        <f t="shared" si="88"/>
        <v>Skykomish River</v>
      </c>
      <c r="K2727" t="str">
        <f>IFERROR(VLOOKUP(J2727,LUTs!$A$1:$C$73,2,FALSE),"NA")</f>
        <v>Snohomish</v>
      </c>
      <c r="L2727" t="str">
        <f>IFERROR(VLOOKUP(J2727,LUTs!$A$1:$C$73,3,FALSE),"NA")</f>
        <v>2Central Puget Sound</v>
      </c>
      <c r="M2727" s="72" t="s">
        <v>26</v>
      </c>
      <c r="N2727" t="str">
        <f>VLOOKUP(M2727,LUTs!E$2:H$14,3,)</f>
        <v>20Other</v>
      </c>
      <c r="O2727" t="str">
        <f>VLOOKUP(M2727,LUTs!E$2:H$14,4,)</f>
        <v>07Non Puget Sound</v>
      </c>
      <c r="P2727" s="73">
        <v>68.992805755395693</v>
      </c>
      <c r="Q2727" s="74">
        <f>VLOOKUP(B2727,Readme!A$40:C$51,2,)*P2727</f>
        <v>237.33525179856119</v>
      </c>
    </row>
    <row r="2728" spans="1:17" ht="12" customHeight="1" x14ac:dyDescent="0.35">
      <c r="A2728" s="75">
        <v>2727</v>
      </c>
      <c r="B2728" s="64">
        <v>2017</v>
      </c>
      <c r="C2728" s="64">
        <v>9</v>
      </c>
      <c r="D2728" s="80">
        <f t="shared" si="87"/>
        <v>2017</v>
      </c>
      <c r="E2728" t="s">
        <v>38</v>
      </c>
      <c r="F2728" t="s">
        <v>143</v>
      </c>
      <c r="G2728" t="s">
        <v>10</v>
      </c>
      <c r="H2728" s="72">
        <v>844</v>
      </c>
      <c r="I2728" s="72" t="s">
        <v>62</v>
      </c>
      <c r="J2728" t="str">
        <f t="shared" si="88"/>
        <v>Skykomish River</v>
      </c>
      <c r="K2728" t="str">
        <f>IFERROR(VLOOKUP(J2728,LUTs!$A$1:$C$73,2,FALSE),"NA")</f>
        <v>Snohomish</v>
      </c>
      <c r="L2728" t="str">
        <f>IFERROR(VLOOKUP(J2728,LUTs!$A$1:$C$73,3,FALSE),"NA")</f>
        <v>2Central Puget Sound</v>
      </c>
      <c r="M2728" s="72" t="s">
        <v>16</v>
      </c>
      <c r="N2728" t="str">
        <f>VLOOKUP(M2728,LUTs!E$2:H$14,3,)</f>
        <v>03Snohomish</v>
      </c>
      <c r="O2728" t="str">
        <f>VLOOKUP(M2728,LUTs!E$2:H$14,4,)</f>
        <v>01North Puget Sound</v>
      </c>
      <c r="P2728" s="73">
        <v>926.47482014388504</v>
      </c>
      <c r="Q2728" s="74">
        <f>VLOOKUP(B2728,Readme!A$40:C$51,2,)*P2728</f>
        <v>3187.0733812949643</v>
      </c>
    </row>
    <row r="2729" spans="1:17" ht="12" customHeight="1" x14ac:dyDescent="0.35">
      <c r="A2729" s="75">
        <v>2728</v>
      </c>
      <c r="B2729" s="64">
        <v>2017</v>
      </c>
      <c r="C2729" s="64">
        <v>9</v>
      </c>
      <c r="D2729" s="80">
        <f t="shared" si="87"/>
        <v>2017</v>
      </c>
      <c r="E2729" t="s">
        <v>38</v>
      </c>
      <c r="F2729" t="s">
        <v>143</v>
      </c>
      <c r="G2729" t="s">
        <v>10</v>
      </c>
      <c r="H2729" s="72">
        <v>844</v>
      </c>
      <c r="I2729" s="72" t="s">
        <v>62</v>
      </c>
      <c r="J2729" t="str">
        <f t="shared" si="88"/>
        <v>Skykomish River</v>
      </c>
      <c r="K2729" t="str">
        <f>IFERROR(VLOOKUP(J2729,LUTs!$A$1:$C$73,2,FALSE),"NA")</f>
        <v>Snohomish</v>
      </c>
      <c r="L2729" t="str">
        <f>IFERROR(VLOOKUP(J2729,LUTs!$A$1:$C$73,3,FALSE),"NA")</f>
        <v>2Central Puget Sound</v>
      </c>
      <c r="M2729" s="72" t="s">
        <v>21</v>
      </c>
      <c r="N2729" t="str">
        <f>VLOOKUP(M2729,LUTs!E$2:H$14,3,)</f>
        <v>08Thurston</v>
      </c>
      <c r="O2729" t="str">
        <f>VLOOKUP(M2729,LUTs!E$2:H$14,4,)</f>
        <v>02South Puget Sound</v>
      </c>
      <c r="P2729" s="73">
        <v>9.85611510791367</v>
      </c>
      <c r="Q2729" s="74">
        <f>VLOOKUP(B2729,Readme!A$40:C$51,2,)*P2729</f>
        <v>33.905035971223022</v>
      </c>
    </row>
    <row r="2730" spans="1:17" ht="12" customHeight="1" x14ac:dyDescent="0.35">
      <c r="A2730" s="75">
        <v>2729</v>
      </c>
      <c r="B2730" s="64">
        <v>2017</v>
      </c>
      <c r="C2730" s="64">
        <v>9</v>
      </c>
      <c r="D2730" s="80">
        <f t="shared" si="87"/>
        <v>2017</v>
      </c>
      <c r="E2730" t="s">
        <v>38</v>
      </c>
      <c r="F2730" t="s">
        <v>143</v>
      </c>
      <c r="G2730" t="s">
        <v>10</v>
      </c>
      <c r="H2730" s="72">
        <v>844</v>
      </c>
      <c r="I2730" s="72" t="s">
        <v>62</v>
      </c>
      <c r="J2730" t="str">
        <f t="shared" si="88"/>
        <v>Skykomish River</v>
      </c>
      <c r="K2730" t="str">
        <f>IFERROR(VLOOKUP(J2730,LUTs!$A$1:$C$73,2,FALSE),"NA")</f>
        <v>Snohomish</v>
      </c>
      <c r="L2730" t="str">
        <f>IFERROR(VLOOKUP(J2730,LUTs!$A$1:$C$73,3,FALSE),"NA")</f>
        <v>2Central Puget Sound</v>
      </c>
      <c r="M2730" s="72" t="s">
        <v>13</v>
      </c>
      <c r="N2730" t="str">
        <f>VLOOKUP(M2730,LUTs!E$2:H$14,3,)</f>
        <v>01Whatcom</v>
      </c>
      <c r="O2730" t="str">
        <f>VLOOKUP(M2730,LUTs!E$2:H$14,4,)</f>
        <v>01North Puget Sound</v>
      </c>
      <c r="P2730" s="73">
        <v>9.85611510791367</v>
      </c>
      <c r="Q2730" s="74">
        <f>VLOOKUP(B2730,Readme!A$40:C$51,2,)*P2730</f>
        <v>33.905035971223022</v>
      </c>
    </row>
    <row r="2731" spans="1:17" ht="12" customHeight="1" x14ac:dyDescent="0.35">
      <c r="A2731" s="75">
        <v>2730</v>
      </c>
      <c r="B2731" s="64">
        <v>2017</v>
      </c>
      <c r="C2731" s="64">
        <v>10</v>
      </c>
      <c r="D2731" s="80">
        <f t="shared" si="87"/>
        <v>2017</v>
      </c>
      <c r="E2731" t="s">
        <v>38</v>
      </c>
      <c r="F2731" t="s">
        <v>143</v>
      </c>
      <c r="G2731" t="s">
        <v>10</v>
      </c>
      <c r="H2731" s="72">
        <v>844</v>
      </c>
      <c r="I2731" s="72" t="s">
        <v>62</v>
      </c>
      <c r="J2731" t="str">
        <f t="shared" si="88"/>
        <v>Skykomish River</v>
      </c>
      <c r="K2731" t="str">
        <f>IFERROR(VLOOKUP(J2731,LUTs!$A$1:$C$73,2,FALSE),"NA")</f>
        <v>Snohomish</v>
      </c>
      <c r="L2731" t="str">
        <f>IFERROR(VLOOKUP(J2731,LUTs!$A$1:$C$73,3,FALSE),"NA")</f>
        <v>2Central Puget Sound</v>
      </c>
      <c r="M2731" s="72" t="s">
        <v>18</v>
      </c>
      <c r="N2731" t="str">
        <f>VLOOKUP(M2731,LUTs!E$2:H$14,3,)</f>
        <v>06King</v>
      </c>
      <c r="O2731" t="str">
        <f>VLOOKUP(M2731,LUTs!E$2:H$14,4,)</f>
        <v>02South Puget Sound</v>
      </c>
      <c r="P2731" s="73">
        <v>150.96774193548401</v>
      </c>
      <c r="Q2731" s="74">
        <f>VLOOKUP(B2731,Readme!A$40:C$51,2,)*P2731</f>
        <v>519.32903225806501</v>
      </c>
    </row>
    <row r="2732" spans="1:17" ht="12" customHeight="1" x14ac:dyDescent="0.35">
      <c r="A2732" s="75">
        <v>2731</v>
      </c>
      <c r="B2732" s="64">
        <v>2017</v>
      </c>
      <c r="C2732" s="64">
        <v>10</v>
      </c>
      <c r="D2732" s="80">
        <f t="shared" si="87"/>
        <v>2017</v>
      </c>
      <c r="E2732" t="s">
        <v>38</v>
      </c>
      <c r="F2732" t="s">
        <v>143</v>
      </c>
      <c r="G2732" t="s">
        <v>10</v>
      </c>
      <c r="H2732" s="72">
        <v>844</v>
      </c>
      <c r="I2732" s="72" t="s">
        <v>62</v>
      </c>
      <c r="J2732" t="str">
        <f t="shared" si="88"/>
        <v>Skykomish River</v>
      </c>
      <c r="K2732" t="str">
        <f>IFERROR(VLOOKUP(J2732,LUTs!$A$1:$C$73,2,FALSE),"NA")</f>
        <v>Snohomish</v>
      </c>
      <c r="L2732" t="str">
        <f>IFERROR(VLOOKUP(J2732,LUTs!$A$1:$C$73,3,FALSE),"NA")</f>
        <v>2Central Puget Sound</v>
      </c>
      <c r="M2732" s="72" t="s">
        <v>20</v>
      </c>
      <c r="N2732" t="str">
        <f>VLOOKUP(M2732,LUTs!E$2:H$14,3,)</f>
        <v>07Pierce</v>
      </c>
      <c r="O2732" t="str">
        <f>VLOOKUP(M2732,LUTs!E$2:H$14,4,)</f>
        <v>02South Puget Sound</v>
      </c>
      <c r="P2732" s="73">
        <v>40.258064516128997</v>
      </c>
      <c r="Q2732" s="74">
        <f>VLOOKUP(B2732,Readme!A$40:C$51,2,)*P2732</f>
        <v>138.48774193548374</v>
      </c>
    </row>
    <row r="2733" spans="1:17" ht="12" customHeight="1" x14ac:dyDescent="0.35">
      <c r="A2733" s="75">
        <v>2732</v>
      </c>
      <c r="B2733" s="64">
        <v>2017</v>
      </c>
      <c r="C2733" s="64">
        <v>10</v>
      </c>
      <c r="D2733" s="80">
        <f t="shared" si="87"/>
        <v>2017</v>
      </c>
      <c r="E2733" t="s">
        <v>38</v>
      </c>
      <c r="F2733" t="s">
        <v>143</v>
      </c>
      <c r="G2733" t="s">
        <v>10</v>
      </c>
      <c r="H2733" s="72">
        <v>844</v>
      </c>
      <c r="I2733" s="72" t="s">
        <v>62</v>
      </c>
      <c r="J2733" t="str">
        <f t="shared" si="88"/>
        <v>Skykomish River</v>
      </c>
      <c r="K2733" t="str">
        <f>IFERROR(VLOOKUP(J2733,LUTs!$A$1:$C$73,2,FALSE),"NA")</f>
        <v>Snohomish</v>
      </c>
      <c r="L2733" t="str">
        <f>IFERROR(VLOOKUP(J2733,LUTs!$A$1:$C$73,3,FALSE),"NA")</f>
        <v>2Central Puget Sound</v>
      </c>
      <c r="M2733" s="72" t="s">
        <v>16</v>
      </c>
      <c r="N2733" t="str">
        <f>VLOOKUP(M2733,LUTs!E$2:H$14,3,)</f>
        <v>03Snohomish</v>
      </c>
      <c r="O2733" t="str">
        <f>VLOOKUP(M2733,LUTs!E$2:H$14,4,)</f>
        <v>01North Puget Sound</v>
      </c>
      <c r="P2733" s="73">
        <v>120.774193548387</v>
      </c>
      <c r="Q2733" s="74">
        <f>VLOOKUP(B2733,Readme!A$40:C$51,2,)*P2733</f>
        <v>415.46322580645131</v>
      </c>
    </row>
    <row r="2734" spans="1:17" ht="12" customHeight="1" x14ac:dyDescent="0.35">
      <c r="A2734" s="75">
        <v>2733</v>
      </c>
      <c r="B2734" s="64">
        <v>2017</v>
      </c>
      <c r="C2734" s="64">
        <v>11</v>
      </c>
      <c r="D2734" s="80">
        <f t="shared" si="87"/>
        <v>2017</v>
      </c>
      <c r="E2734" t="s">
        <v>38</v>
      </c>
      <c r="F2734" t="s">
        <v>143</v>
      </c>
      <c r="G2734" t="s">
        <v>10</v>
      </c>
      <c r="H2734" s="72">
        <v>844</v>
      </c>
      <c r="I2734" s="72" t="s">
        <v>62</v>
      </c>
      <c r="J2734" t="str">
        <f t="shared" si="88"/>
        <v>Skykomish River</v>
      </c>
      <c r="K2734" t="str">
        <f>IFERROR(VLOOKUP(J2734,LUTs!$A$1:$C$73,2,FALSE),"NA")</f>
        <v>Snohomish</v>
      </c>
      <c r="L2734" t="str">
        <f>IFERROR(VLOOKUP(J2734,LUTs!$A$1:$C$73,3,FALSE),"NA")</f>
        <v>2Central Puget Sound</v>
      </c>
      <c r="M2734" s="72" t="s">
        <v>18</v>
      </c>
      <c r="N2734" t="str">
        <f>VLOOKUP(M2734,LUTs!E$2:H$14,3,)</f>
        <v>06King</v>
      </c>
      <c r="O2734" t="str">
        <f>VLOOKUP(M2734,LUTs!E$2:H$14,4,)</f>
        <v>02South Puget Sound</v>
      </c>
      <c r="P2734" s="73">
        <v>20</v>
      </c>
      <c r="Q2734" s="74">
        <f>VLOOKUP(B2734,Readme!A$40:C$51,2,)*P2734</f>
        <v>68.8</v>
      </c>
    </row>
    <row r="2735" spans="1:17" ht="12" customHeight="1" x14ac:dyDescent="0.35">
      <c r="A2735" s="75">
        <v>2734</v>
      </c>
      <c r="B2735" s="64">
        <v>2017</v>
      </c>
      <c r="C2735" s="64">
        <v>8</v>
      </c>
      <c r="D2735" s="80">
        <f t="shared" si="87"/>
        <v>2017</v>
      </c>
      <c r="E2735" t="s">
        <v>38</v>
      </c>
      <c r="F2735" t="s">
        <v>143</v>
      </c>
      <c r="G2735" t="s">
        <v>10</v>
      </c>
      <c r="H2735" s="72">
        <v>850</v>
      </c>
      <c r="I2735" s="72" t="s">
        <v>63</v>
      </c>
      <c r="J2735" t="str">
        <f t="shared" si="88"/>
        <v>Snohomish River</v>
      </c>
      <c r="K2735" t="str">
        <f>IFERROR(VLOOKUP(J2735,LUTs!$A$1:$C$73,2,FALSE),"NA")</f>
        <v>Snohomish</v>
      </c>
      <c r="L2735" t="str">
        <f>IFERROR(VLOOKUP(J2735,LUTs!$A$1:$C$73,3,FALSE),"NA")</f>
        <v>2Central Puget Sound</v>
      </c>
      <c r="M2735" s="72" t="s">
        <v>17</v>
      </c>
      <c r="N2735" t="str">
        <f>VLOOKUP(M2735,LUTs!E$2:H$14,3,)</f>
        <v>04Island</v>
      </c>
      <c r="O2735" t="str">
        <f>VLOOKUP(M2735,LUTs!E$2:H$14,4,)</f>
        <v>01North Puget Sound</v>
      </c>
      <c r="P2735" s="73">
        <v>49.728571428571399</v>
      </c>
      <c r="Q2735" s="74">
        <f>VLOOKUP(B2735,Readme!A$40:C$51,2,)*P2735</f>
        <v>171.06628571428561</v>
      </c>
    </row>
    <row r="2736" spans="1:17" ht="12" customHeight="1" x14ac:dyDescent="0.35">
      <c r="A2736" s="75">
        <v>2735</v>
      </c>
      <c r="B2736" s="64">
        <v>2017</v>
      </c>
      <c r="C2736" s="64">
        <v>8</v>
      </c>
      <c r="D2736" s="80">
        <f t="shared" si="87"/>
        <v>2017</v>
      </c>
      <c r="E2736" t="s">
        <v>38</v>
      </c>
      <c r="F2736" t="s">
        <v>143</v>
      </c>
      <c r="G2736" t="s">
        <v>10</v>
      </c>
      <c r="H2736" s="72">
        <v>850</v>
      </c>
      <c r="I2736" s="72" t="s">
        <v>63</v>
      </c>
      <c r="J2736" t="str">
        <f t="shared" si="88"/>
        <v>Snohomish River</v>
      </c>
      <c r="K2736" t="str">
        <f>IFERROR(VLOOKUP(J2736,LUTs!$A$1:$C$73,2,FALSE),"NA")</f>
        <v>Snohomish</v>
      </c>
      <c r="L2736" t="str">
        <f>IFERROR(VLOOKUP(J2736,LUTs!$A$1:$C$73,3,FALSE),"NA")</f>
        <v>2Central Puget Sound</v>
      </c>
      <c r="M2736" s="72" t="s">
        <v>18</v>
      </c>
      <c r="N2736" t="str">
        <f>VLOOKUP(M2736,LUTs!E$2:H$14,3,)</f>
        <v>06King</v>
      </c>
      <c r="O2736" t="str">
        <f>VLOOKUP(M2736,LUTs!E$2:H$14,4,)</f>
        <v>02South Puget Sound</v>
      </c>
      <c r="P2736" s="73">
        <v>477.39428571428601</v>
      </c>
      <c r="Q2736" s="74">
        <f>VLOOKUP(B2736,Readme!A$40:C$51,2,)*P2736</f>
        <v>1642.2363428571439</v>
      </c>
    </row>
    <row r="2737" spans="1:17" ht="12" customHeight="1" x14ac:dyDescent="0.35">
      <c r="A2737" s="75">
        <v>2736</v>
      </c>
      <c r="B2737" s="64">
        <v>2017</v>
      </c>
      <c r="C2737" s="64">
        <v>8</v>
      </c>
      <c r="D2737" s="80">
        <f t="shared" si="87"/>
        <v>2017</v>
      </c>
      <c r="E2737" t="s">
        <v>38</v>
      </c>
      <c r="F2737" t="s">
        <v>143</v>
      </c>
      <c r="G2737" t="s">
        <v>10</v>
      </c>
      <c r="H2737" s="72">
        <v>850</v>
      </c>
      <c r="I2737" s="72" t="s">
        <v>63</v>
      </c>
      <c r="J2737" t="str">
        <f t="shared" si="88"/>
        <v>Snohomish River</v>
      </c>
      <c r="K2737" t="str">
        <f>IFERROR(VLOOKUP(J2737,LUTs!$A$1:$C$73,2,FALSE),"NA")</f>
        <v>Snohomish</v>
      </c>
      <c r="L2737" t="str">
        <f>IFERROR(VLOOKUP(J2737,LUTs!$A$1:$C$73,3,FALSE),"NA")</f>
        <v>2Central Puget Sound</v>
      </c>
      <c r="M2737" s="72" t="s">
        <v>26</v>
      </c>
      <c r="N2737" t="str">
        <f>VLOOKUP(M2737,LUTs!E$2:H$14,3,)</f>
        <v>20Other</v>
      </c>
      <c r="O2737" t="str">
        <f>VLOOKUP(M2737,LUTs!E$2:H$14,4,)</f>
        <v>07Non Puget Sound</v>
      </c>
      <c r="P2737" s="73">
        <v>119.34857142857101</v>
      </c>
      <c r="Q2737" s="74">
        <f>VLOOKUP(B2737,Readme!A$40:C$51,2,)*P2737</f>
        <v>410.55908571428427</v>
      </c>
    </row>
    <row r="2738" spans="1:17" ht="12" customHeight="1" x14ac:dyDescent="0.35">
      <c r="A2738" s="75">
        <v>2737</v>
      </c>
      <c r="B2738" s="64">
        <v>2017</v>
      </c>
      <c r="C2738" s="64">
        <v>8</v>
      </c>
      <c r="D2738" s="80">
        <f t="shared" si="87"/>
        <v>2017</v>
      </c>
      <c r="E2738" t="s">
        <v>38</v>
      </c>
      <c r="F2738" t="s">
        <v>143</v>
      </c>
      <c r="G2738" t="s">
        <v>10</v>
      </c>
      <c r="H2738" s="72">
        <v>850</v>
      </c>
      <c r="I2738" s="72" t="s">
        <v>63</v>
      </c>
      <c r="J2738" t="str">
        <f t="shared" si="88"/>
        <v>Snohomish River</v>
      </c>
      <c r="K2738" t="str">
        <f>IFERROR(VLOOKUP(J2738,LUTs!$A$1:$C$73,2,FALSE),"NA")</f>
        <v>Snohomish</v>
      </c>
      <c r="L2738" t="str">
        <f>IFERROR(VLOOKUP(J2738,LUTs!$A$1:$C$73,3,FALSE),"NA")</f>
        <v>2Central Puget Sound</v>
      </c>
      <c r="M2738" s="72" t="s">
        <v>15</v>
      </c>
      <c r="N2738" t="str">
        <f>VLOOKUP(M2738,LUTs!E$2:H$14,3,)</f>
        <v>02Skagit</v>
      </c>
      <c r="O2738" t="str">
        <f>VLOOKUP(M2738,LUTs!E$2:H$14,4,)</f>
        <v>01North Puget Sound</v>
      </c>
      <c r="P2738" s="73">
        <v>9.9457142857142902</v>
      </c>
      <c r="Q2738" s="74">
        <f>VLOOKUP(B2738,Readme!A$40:C$51,2,)*P2738</f>
        <v>34.213257142857159</v>
      </c>
    </row>
    <row r="2739" spans="1:17" ht="12" customHeight="1" x14ac:dyDescent="0.35">
      <c r="A2739" s="75">
        <v>2738</v>
      </c>
      <c r="B2739" s="64">
        <v>2017</v>
      </c>
      <c r="C2739" s="64">
        <v>8</v>
      </c>
      <c r="D2739" s="80">
        <f t="shared" si="87"/>
        <v>2017</v>
      </c>
      <c r="E2739" t="s">
        <v>38</v>
      </c>
      <c r="F2739" t="s">
        <v>143</v>
      </c>
      <c r="G2739" t="s">
        <v>10</v>
      </c>
      <c r="H2739" s="72">
        <v>850</v>
      </c>
      <c r="I2739" s="72" t="s">
        <v>63</v>
      </c>
      <c r="J2739" t="str">
        <f t="shared" si="88"/>
        <v>Snohomish River</v>
      </c>
      <c r="K2739" t="str">
        <f>IFERROR(VLOOKUP(J2739,LUTs!$A$1:$C$73,2,FALSE),"NA")</f>
        <v>Snohomish</v>
      </c>
      <c r="L2739" t="str">
        <f>IFERROR(VLOOKUP(J2739,LUTs!$A$1:$C$73,3,FALSE),"NA")</f>
        <v>2Central Puget Sound</v>
      </c>
      <c r="M2739" s="72" t="s">
        <v>16</v>
      </c>
      <c r="N2739" t="str">
        <f>VLOOKUP(M2739,LUTs!E$2:H$14,3,)</f>
        <v>03Snohomish</v>
      </c>
      <c r="O2739" t="str">
        <f>VLOOKUP(M2739,LUTs!E$2:H$14,4,)</f>
        <v>01North Puget Sound</v>
      </c>
      <c r="P2739" s="73">
        <v>2754.9628571428598</v>
      </c>
      <c r="Q2739" s="74">
        <f>VLOOKUP(B2739,Readme!A$40:C$51,2,)*P2739</f>
        <v>9477.0722285714382</v>
      </c>
    </row>
    <row r="2740" spans="1:17" ht="12" customHeight="1" x14ac:dyDescent="0.35">
      <c r="A2740" s="75">
        <v>2739</v>
      </c>
      <c r="B2740" s="64">
        <v>2017</v>
      </c>
      <c r="C2740" s="64">
        <v>8</v>
      </c>
      <c r="D2740" s="80">
        <f t="shared" si="87"/>
        <v>2017</v>
      </c>
      <c r="E2740" t="s">
        <v>38</v>
      </c>
      <c r="F2740" t="s">
        <v>143</v>
      </c>
      <c r="G2740" t="s">
        <v>10</v>
      </c>
      <c r="H2740" s="72">
        <v>850</v>
      </c>
      <c r="I2740" s="72" t="s">
        <v>63</v>
      </c>
      <c r="J2740" t="str">
        <f t="shared" si="88"/>
        <v>Snohomish River</v>
      </c>
      <c r="K2740" t="str">
        <f>IFERROR(VLOOKUP(J2740,LUTs!$A$1:$C$73,2,FALSE),"NA")</f>
        <v>Snohomish</v>
      </c>
      <c r="L2740" t="str">
        <f>IFERROR(VLOOKUP(J2740,LUTs!$A$1:$C$73,3,FALSE),"NA")</f>
        <v>2Central Puget Sound</v>
      </c>
      <c r="M2740" s="72" t="s">
        <v>13</v>
      </c>
      <c r="N2740" t="str">
        <f>VLOOKUP(M2740,LUTs!E$2:H$14,3,)</f>
        <v>01Whatcom</v>
      </c>
      <c r="O2740" t="str">
        <f>VLOOKUP(M2740,LUTs!E$2:H$14,4,)</f>
        <v>01North Puget Sound</v>
      </c>
      <c r="P2740" s="73">
        <v>69.62</v>
      </c>
      <c r="Q2740" s="74">
        <f>VLOOKUP(B2740,Readme!A$40:C$51,2,)*P2740</f>
        <v>239.49280000000002</v>
      </c>
    </row>
    <row r="2741" spans="1:17" ht="12" customHeight="1" x14ac:dyDescent="0.35">
      <c r="A2741" s="75">
        <v>2740</v>
      </c>
      <c r="B2741" s="64">
        <v>2017</v>
      </c>
      <c r="C2741" s="64">
        <v>9</v>
      </c>
      <c r="D2741" s="80">
        <f t="shared" si="87"/>
        <v>2017</v>
      </c>
      <c r="E2741" t="s">
        <v>38</v>
      </c>
      <c r="F2741" t="s">
        <v>143</v>
      </c>
      <c r="G2741" t="s">
        <v>10</v>
      </c>
      <c r="H2741" s="72">
        <v>850</v>
      </c>
      <c r="I2741" s="72" t="s">
        <v>63</v>
      </c>
      <c r="J2741" t="str">
        <f t="shared" si="88"/>
        <v>Snohomish River</v>
      </c>
      <c r="K2741" t="str">
        <f>IFERROR(VLOOKUP(J2741,LUTs!$A$1:$C$73,2,FALSE),"NA")</f>
        <v>Snohomish</v>
      </c>
      <c r="L2741" t="str">
        <f>IFERROR(VLOOKUP(J2741,LUTs!$A$1:$C$73,3,FALSE),"NA")</f>
        <v>2Central Puget Sound</v>
      </c>
      <c r="M2741" s="72" t="s">
        <v>17</v>
      </c>
      <c r="N2741" t="str">
        <f>VLOOKUP(M2741,LUTs!E$2:H$14,3,)</f>
        <v>04Island</v>
      </c>
      <c r="O2741" t="str">
        <f>VLOOKUP(M2741,LUTs!E$2:H$14,4,)</f>
        <v>01North Puget Sound</v>
      </c>
      <c r="P2741" s="73">
        <v>49.724186704384699</v>
      </c>
      <c r="Q2741" s="74">
        <f>VLOOKUP(B2741,Readme!A$40:C$51,2,)*P2741</f>
        <v>171.05120226308335</v>
      </c>
    </row>
    <row r="2742" spans="1:17" ht="12" customHeight="1" x14ac:dyDescent="0.35">
      <c r="A2742" s="75">
        <v>2741</v>
      </c>
      <c r="B2742" s="64">
        <v>2017</v>
      </c>
      <c r="C2742" s="64">
        <v>9</v>
      </c>
      <c r="D2742" s="80">
        <f t="shared" si="87"/>
        <v>2017</v>
      </c>
      <c r="E2742" t="s">
        <v>38</v>
      </c>
      <c r="F2742" t="s">
        <v>143</v>
      </c>
      <c r="G2742" t="s">
        <v>10</v>
      </c>
      <c r="H2742" s="72">
        <v>850</v>
      </c>
      <c r="I2742" s="72" t="s">
        <v>63</v>
      </c>
      <c r="J2742" t="str">
        <f t="shared" si="88"/>
        <v>Snohomish River</v>
      </c>
      <c r="K2742" t="str">
        <f>IFERROR(VLOOKUP(J2742,LUTs!$A$1:$C$73,2,FALSE),"NA")</f>
        <v>Snohomish</v>
      </c>
      <c r="L2742" t="str">
        <f>IFERROR(VLOOKUP(J2742,LUTs!$A$1:$C$73,3,FALSE),"NA")</f>
        <v>2Central Puget Sound</v>
      </c>
      <c r="M2742" s="72" t="s">
        <v>18</v>
      </c>
      <c r="N2742" t="str">
        <f>VLOOKUP(M2742,LUTs!E$2:H$14,3,)</f>
        <v>06King</v>
      </c>
      <c r="O2742" t="str">
        <f>VLOOKUP(M2742,LUTs!E$2:H$14,4,)</f>
        <v>02South Puget Sound</v>
      </c>
      <c r="P2742" s="73">
        <v>845.31117397454102</v>
      </c>
      <c r="Q2742" s="74">
        <f>VLOOKUP(B2742,Readme!A$40:C$51,2,)*P2742</f>
        <v>2907.870438472421</v>
      </c>
    </row>
    <row r="2743" spans="1:17" ht="12" customHeight="1" x14ac:dyDescent="0.35">
      <c r="A2743" s="75">
        <v>2742</v>
      </c>
      <c r="B2743" s="64">
        <v>2017</v>
      </c>
      <c r="C2743" s="64">
        <v>9</v>
      </c>
      <c r="D2743" s="80">
        <f t="shared" si="87"/>
        <v>2017</v>
      </c>
      <c r="E2743" t="s">
        <v>38</v>
      </c>
      <c r="F2743" t="s">
        <v>143</v>
      </c>
      <c r="G2743" t="s">
        <v>10</v>
      </c>
      <c r="H2743" s="72">
        <v>850</v>
      </c>
      <c r="I2743" s="72" t="s">
        <v>63</v>
      </c>
      <c r="J2743" t="str">
        <f t="shared" si="88"/>
        <v>Snohomish River</v>
      </c>
      <c r="K2743" t="str">
        <f>IFERROR(VLOOKUP(J2743,LUTs!$A$1:$C$73,2,FALSE),"NA")</f>
        <v>Snohomish</v>
      </c>
      <c r="L2743" t="str">
        <f>IFERROR(VLOOKUP(J2743,LUTs!$A$1:$C$73,3,FALSE),"NA")</f>
        <v>2Central Puget Sound</v>
      </c>
      <c r="M2743" s="72" t="s">
        <v>26</v>
      </c>
      <c r="N2743" t="str">
        <f>VLOOKUP(M2743,LUTs!E$2:H$14,3,)</f>
        <v>20Other</v>
      </c>
      <c r="O2743" t="str">
        <f>VLOOKUP(M2743,LUTs!E$2:H$14,4,)</f>
        <v>07Non Puget Sound</v>
      </c>
      <c r="P2743" s="73">
        <v>487.29702970297001</v>
      </c>
      <c r="Q2743" s="74">
        <f>VLOOKUP(B2743,Readme!A$40:C$51,2,)*P2743</f>
        <v>1676.3017821782169</v>
      </c>
    </row>
    <row r="2744" spans="1:17" ht="12" customHeight="1" x14ac:dyDescent="0.35">
      <c r="A2744" s="75">
        <v>2743</v>
      </c>
      <c r="B2744" s="64">
        <v>2017</v>
      </c>
      <c r="C2744" s="64">
        <v>9</v>
      </c>
      <c r="D2744" s="80">
        <f t="shared" si="87"/>
        <v>2017</v>
      </c>
      <c r="E2744" t="s">
        <v>38</v>
      </c>
      <c r="F2744" t="s">
        <v>143</v>
      </c>
      <c r="G2744" t="s">
        <v>10</v>
      </c>
      <c r="H2744" s="72">
        <v>850</v>
      </c>
      <c r="I2744" s="72" t="s">
        <v>63</v>
      </c>
      <c r="J2744" t="str">
        <f t="shared" si="88"/>
        <v>Snohomish River</v>
      </c>
      <c r="K2744" t="str">
        <f>IFERROR(VLOOKUP(J2744,LUTs!$A$1:$C$73,2,FALSE),"NA")</f>
        <v>Snohomish</v>
      </c>
      <c r="L2744" t="str">
        <f>IFERROR(VLOOKUP(J2744,LUTs!$A$1:$C$73,3,FALSE),"NA")</f>
        <v>2Central Puget Sound</v>
      </c>
      <c r="M2744" s="72" t="s">
        <v>20</v>
      </c>
      <c r="N2744" t="str">
        <f>VLOOKUP(M2744,LUTs!E$2:H$14,3,)</f>
        <v>07Pierce</v>
      </c>
      <c r="O2744" t="str">
        <f>VLOOKUP(M2744,LUTs!E$2:H$14,4,)</f>
        <v>02South Puget Sound</v>
      </c>
      <c r="P2744" s="73">
        <v>59.6690240452617</v>
      </c>
      <c r="Q2744" s="74">
        <f>VLOOKUP(B2744,Readme!A$40:C$51,2,)*P2744</f>
        <v>205.26144271570024</v>
      </c>
    </row>
    <row r="2745" spans="1:17" ht="12" customHeight="1" x14ac:dyDescent="0.35">
      <c r="A2745" s="75">
        <v>2744</v>
      </c>
      <c r="B2745" s="64">
        <v>2017</v>
      </c>
      <c r="C2745" s="64">
        <v>9</v>
      </c>
      <c r="D2745" s="80">
        <f t="shared" si="87"/>
        <v>2017</v>
      </c>
      <c r="E2745" t="s">
        <v>38</v>
      </c>
      <c r="F2745" t="s">
        <v>143</v>
      </c>
      <c r="G2745" t="s">
        <v>10</v>
      </c>
      <c r="H2745" s="72">
        <v>850</v>
      </c>
      <c r="I2745" s="72" t="s">
        <v>63</v>
      </c>
      <c r="J2745" t="str">
        <f t="shared" si="88"/>
        <v>Snohomish River</v>
      </c>
      <c r="K2745" t="str">
        <f>IFERROR(VLOOKUP(J2745,LUTs!$A$1:$C$73,2,FALSE),"NA")</f>
        <v>Snohomish</v>
      </c>
      <c r="L2745" t="str">
        <f>IFERROR(VLOOKUP(J2745,LUTs!$A$1:$C$73,3,FALSE),"NA")</f>
        <v>2Central Puget Sound</v>
      </c>
      <c r="M2745" s="72" t="s">
        <v>15</v>
      </c>
      <c r="N2745" t="str">
        <f>VLOOKUP(M2745,LUTs!E$2:H$14,3,)</f>
        <v>02Skagit</v>
      </c>
      <c r="O2745" t="str">
        <f>VLOOKUP(M2745,LUTs!E$2:H$14,4,)</f>
        <v>01North Puget Sound</v>
      </c>
      <c r="P2745" s="73">
        <v>69.613861386138595</v>
      </c>
      <c r="Q2745" s="74">
        <f>VLOOKUP(B2745,Readme!A$40:C$51,2,)*P2745</f>
        <v>239.47168316831676</v>
      </c>
    </row>
    <row r="2746" spans="1:17" ht="12" customHeight="1" x14ac:dyDescent="0.35">
      <c r="A2746" s="75">
        <v>2745</v>
      </c>
      <c r="B2746" s="64">
        <v>2017</v>
      </c>
      <c r="C2746" s="64">
        <v>9</v>
      </c>
      <c r="D2746" s="80">
        <f t="shared" ref="D2746:D2809" si="89">IF(C2746&gt;3,B2746,B2746-1)</f>
        <v>2017</v>
      </c>
      <c r="E2746" t="s">
        <v>38</v>
      </c>
      <c r="F2746" t="s">
        <v>143</v>
      </c>
      <c r="G2746" t="s">
        <v>10</v>
      </c>
      <c r="H2746" s="72">
        <v>850</v>
      </c>
      <c r="I2746" s="72" t="s">
        <v>63</v>
      </c>
      <c r="J2746" t="str">
        <f t="shared" si="88"/>
        <v>Snohomish River</v>
      </c>
      <c r="K2746" t="str">
        <f>IFERROR(VLOOKUP(J2746,LUTs!$A$1:$C$73,2,FALSE),"NA")</f>
        <v>Snohomish</v>
      </c>
      <c r="L2746" t="str">
        <f>IFERROR(VLOOKUP(J2746,LUTs!$A$1:$C$73,3,FALSE),"NA")</f>
        <v>2Central Puget Sound</v>
      </c>
      <c r="M2746" s="72" t="s">
        <v>16</v>
      </c>
      <c r="N2746" t="str">
        <f>VLOOKUP(M2746,LUTs!E$2:H$14,3,)</f>
        <v>03Snohomish</v>
      </c>
      <c r="O2746" t="str">
        <f>VLOOKUP(M2746,LUTs!E$2:H$14,4,)</f>
        <v>01North Puget Sound</v>
      </c>
      <c r="P2746" s="73">
        <v>5519.3847241866997</v>
      </c>
      <c r="Q2746" s="74">
        <f>VLOOKUP(B2746,Readme!A$40:C$51,2,)*P2746</f>
        <v>18986.683451202247</v>
      </c>
    </row>
    <row r="2747" spans="1:17" ht="12" customHeight="1" x14ac:dyDescent="0.35">
      <c r="A2747" s="75">
        <v>2746</v>
      </c>
      <c r="B2747" s="64">
        <v>2017</v>
      </c>
      <c r="C2747" s="64">
        <v>10</v>
      </c>
      <c r="D2747" s="80">
        <f t="shared" si="89"/>
        <v>2017</v>
      </c>
      <c r="E2747" t="s">
        <v>38</v>
      </c>
      <c r="F2747" t="s">
        <v>143</v>
      </c>
      <c r="G2747" t="s">
        <v>10</v>
      </c>
      <c r="H2747" s="72">
        <v>850</v>
      </c>
      <c r="I2747" s="72" t="s">
        <v>63</v>
      </c>
      <c r="J2747" t="str">
        <f t="shared" si="88"/>
        <v>Snohomish River</v>
      </c>
      <c r="K2747" t="str">
        <f>IFERROR(VLOOKUP(J2747,LUTs!$A$1:$C$73,2,FALSE),"NA")</f>
        <v>Snohomish</v>
      </c>
      <c r="L2747" t="str">
        <f>IFERROR(VLOOKUP(J2747,LUTs!$A$1:$C$73,3,FALSE),"NA")</f>
        <v>2Central Puget Sound</v>
      </c>
      <c r="M2747" s="72" t="s">
        <v>17</v>
      </c>
      <c r="N2747" t="str">
        <f>VLOOKUP(M2747,LUTs!E$2:H$14,3,)</f>
        <v>04Island</v>
      </c>
      <c r="O2747" t="str">
        <f>VLOOKUP(M2747,LUTs!E$2:H$14,4,)</f>
        <v>01North Puget Sound</v>
      </c>
      <c r="P2747" s="73">
        <v>9.9345238095238102</v>
      </c>
      <c r="Q2747" s="74">
        <f>VLOOKUP(B2747,Readme!A$40:C$51,2,)*P2747</f>
        <v>34.174761904761908</v>
      </c>
    </row>
    <row r="2748" spans="1:17" ht="12" customHeight="1" x14ac:dyDescent="0.35">
      <c r="A2748" s="75">
        <v>2747</v>
      </c>
      <c r="B2748" s="64">
        <v>2017</v>
      </c>
      <c r="C2748" s="64">
        <v>10</v>
      </c>
      <c r="D2748" s="80">
        <f t="shared" si="89"/>
        <v>2017</v>
      </c>
      <c r="E2748" t="s">
        <v>38</v>
      </c>
      <c r="F2748" t="s">
        <v>143</v>
      </c>
      <c r="G2748" t="s">
        <v>10</v>
      </c>
      <c r="H2748" s="72">
        <v>850</v>
      </c>
      <c r="I2748" s="72" t="s">
        <v>63</v>
      </c>
      <c r="J2748" t="str">
        <f t="shared" si="88"/>
        <v>Snohomish River</v>
      </c>
      <c r="K2748" t="str">
        <f>IFERROR(VLOOKUP(J2748,LUTs!$A$1:$C$73,2,FALSE),"NA")</f>
        <v>Snohomish</v>
      </c>
      <c r="L2748" t="str">
        <f>IFERROR(VLOOKUP(J2748,LUTs!$A$1:$C$73,3,FALSE),"NA")</f>
        <v>2Central Puget Sound</v>
      </c>
      <c r="M2748" s="72" t="s">
        <v>18</v>
      </c>
      <c r="N2748" t="str">
        <f>VLOOKUP(M2748,LUTs!E$2:H$14,3,)</f>
        <v>06King</v>
      </c>
      <c r="O2748" t="str">
        <f>VLOOKUP(M2748,LUTs!E$2:H$14,4,)</f>
        <v>02South Puget Sound</v>
      </c>
      <c r="P2748" s="73">
        <v>576.20238095238096</v>
      </c>
      <c r="Q2748" s="74">
        <f>VLOOKUP(B2748,Readme!A$40:C$51,2,)*P2748</f>
        <v>1982.1361904761904</v>
      </c>
    </row>
    <row r="2749" spans="1:17" ht="12" customHeight="1" x14ac:dyDescent="0.35">
      <c r="A2749" s="75">
        <v>2748</v>
      </c>
      <c r="B2749" s="64">
        <v>2017</v>
      </c>
      <c r="C2749" s="64">
        <v>10</v>
      </c>
      <c r="D2749" s="80">
        <f t="shared" si="89"/>
        <v>2017</v>
      </c>
      <c r="E2749" t="s">
        <v>38</v>
      </c>
      <c r="F2749" t="s">
        <v>143</v>
      </c>
      <c r="G2749" t="s">
        <v>10</v>
      </c>
      <c r="H2749" s="72">
        <v>850</v>
      </c>
      <c r="I2749" s="72" t="s">
        <v>63</v>
      </c>
      <c r="J2749" t="str">
        <f t="shared" si="88"/>
        <v>Snohomish River</v>
      </c>
      <c r="K2749" t="str">
        <f>IFERROR(VLOOKUP(J2749,LUTs!$A$1:$C$73,2,FALSE),"NA")</f>
        <v>Snohomish</v>
      </c>
      <c r="L2749" t="str">
        <f>IFERROR(VLOOKUP(J2749,LUTs!$A$1:$C$73,3,FALSE),"NA")</f>
        <v>2Central Puget Sound</v>
      </c>
      <c r="M2749" s="72" t="s">
        <v>26</v>
      </c>
      <c r="N2749" t="str">
        <f>VLOOKUP(M2749,LUTs!E$2:H$14,3,)</f>
        <v>20Other</v>
      </c>
      <c r="O2749" t="str">
        <f>VLOOKUP(M2749,LUTs!E$2:H$14,4,)</f>
        <v>07Non Puget Sound</v>
      </c>
      <c r="P2749" s="73">
        <v>9.9345238095238102</v>
      </c>
      <c r="Q2749" s="74">
        <f>VLOOKUP(B2749,Readme!A$40:C$51,2,)*P2749</f>
        <v>34.174761904761908</v>
      </c>
    </row>
    <row r="2750" spans="1:17" ht="12" customHeight="1" x14ac:dyDescent="0.35">
      <c r="A2750" s="75">
        <v>2749</v>
      </c>
      <c r="B2750" s="64">
        <v>2017</v>
      </c>
      <c r="C2750" s="64">
        <v>10</v>
      </c>
      <c r="D2750" s="80">
        <f t="shared" si="89"/>
        <v>2017</v>
      </c>
      <c r="E2750" t="s">
        <v>38</v>
      </c>
      <c r="F2750" t="s">
        <v>143</v>
      </c>
      <c r="G2750" t="s">
        <v>10</v>
      </c>
      <c r="H2750" s="72">
        <v>850</v>
      </c>
      <c r="I2750" s="72" t="s">
        <v>63</v>
      </c>
      <c r="J2750" t="str">
        <f t="shared" si="88"/>
        <v>Snohomish River</v>
      </c>
      <c r="K2750" t="str">
        <f>IFERROR(VLOOKUP(J2750,LUTs!$A$1:$C$73,2,FALSE),"NA")</f>
        <v>Snohomish</v>
      </c>
      <c r="L2750" t="str">
        <f>IFERROR(VLOOKUP(J2750,LUTs!$A$1:$C$73,3,FALSE),"NA")</f>
        <v>2Central Puget Sound</v>
      </c>
      <c r="M2750" s="72" t="s">
        <v>20</v>
      </c>
      <c r="N2750" t="str">
        <f>VLOOKUP(M2750,LUTs!E$2:H$14,3,)</f>
        <v>07Pierce</v>
      </c>
      <c r="O2750" t="str">
        <f>VLOOKUP(M2750,LUTs!E$2:H$14,4,)</f>
        <v>02South Puget Sound</v>
      </c>
      <c r="P2750" s="73">
        <v>9.9345238095238102</v>
      </c>
      <c r="Q2750" s="74">
        <f>VLOOKUP(B2750,Readme!A$40:C$51,2,)*P2750</f>
        <v>34.174761904761908</v>
      </c>
    </row>
    <row r="2751" spans="1:17" ht="12" customHeight="1" x14ac:dyDescent="0.35">
      <c r="A2751" s="75">
        <v>2750</v>
      </c>
      <c r="B2751" s="64">
        <v>2017</v>
      </c>
      <c r="C2751" s="64">
        <v>10</v>
      </c>
      <c r="D2751" s="80">
        <f t="shared" si="89"/>
        <v>2017</v>
      </c>
      <c r="E2751" t="s">
        <v>38</v>
      </c>
      <c r="F2751" t="s">
        <v>143</v>
      </c>
      <c r="G2751" t="s">
        <v>10</v>
      </c>
      <c r="H2751" s="72">
        <v>850</v>
      </c>
      <c r="I2751" s="72" t="s">
        <v>63</v>
      </c>
      <c r="J2751" t="str">
        <f t="shared" si="88"/>
        <v>Snohomish River</v>
      </c>
      <c r="K2751" t="str">
        <f>IFERROR(VLOOKUP(J2751,LUTs!$A$1:$C$73,2,FALSE),"NA")</f>
        <v>Snohomish</v>
      </c>
      <c r="L2751" t="str">
        <f>IFERROR(VLOOKUP(J2751,LUTs!$A$1:$C$73,3,FALSE),"NA")</f>
        <v>2Central Puget Sound</v>
      </c>
      <c r="M2751" s="72" t="s">
        <v>15</v>
      </c>
      <c r="N2751" t="str">
        <f>VLOOKUP(M2751,LUTs!E$2:H$14,3,)</f>
        <v>02Skagit</v>
      </c>
      <c r="O2751" t="str">
        <f>VLOOKUP(M2751,LUTs!E$2:H$14,4,)</f>
        <v>01North Puget Sound</v>
      </c>
      <c r="P2751" s="73">
        <v>9.9345238095238102</v>
      </c>
      <c r="Q2751" s="74">
        <f>VLOOKUP(B2751,Readme!A$40:C$51,2,)*P2751</f>
        <v>34.174761904761908</v>
      </c>
    </row>
    <row r="2752" spans="1:17" ht="12" customHeight="1" x14ac:dyDescent="0.35">
      <c r="A2752" s="75">
        <v>2751</v>
      </c>
      <c r="B2752" s="64">
        <v>2017</v>
      </c>
      <c r="C2752" s="64">
        <v>10</v>
      </c>
      <c r="D2752" s="80">
        <f t="shared" si="89"/>
        <v>2017</v>
      </c>
      <c r="E2752" t="s">
        <v>38</v>
      </c>
      <c r="F2752" t="s">
        <v>143</v>
      </c>
      <c r="G2752" t="s">
        <v>10</v>
      </c>
      <c r="H2752" s="72">
        <v>850</v>
      </c>
      <c r="I2752" s="72" t="s">
        <v>63</v>
      </c>
      <c r="J2752" t="str">
        <f t="shared" si="88"/>
        <v>Snohomish River</v>
      </c>
      <c r="K2752" t="str">
        <f>IFERROR(VLOOKUP(J2752,LUTs!$A$1:$C$73,2,FALSE),"NA")</f>
        <v>Snohomish</v>
      </c>
      <c r="L2752" t="str">
        <f>IFERROR(VLOOKUP(J2752,LUTs!$A$1:$C$73,3,FALSE),"NA")</f>
        <v>2Central Puget Sound</v>
      </c>
      <c r="M2752" s="72" t="s">
        <v>16</v>
      </c>
      <c r="N2752" t="str">
        <f>VLOOKUP(M2752,LUTs!E$2:H$14,3,)</f>
        <v>03Snohomish</v>
      </c>
      <c r="O2752" t="str">
        <f>VLOOKUP(M2752,LUTs!E$2:H$14,4,)</f>
        <v>01North Puget Sound</v>
      </c>
      <c r="P2752" s="73">
        <v>1053.05952380952</v>
      </c>
      <c r="Q2752" s="74">
        <f>VLOOKUP(B2752,Readme!A$40:C$51,2,)*P2752</f>
        <v>3622.5247619047486</v>
      </c>
    </row>
    <row r="2753" spans="1:17" ht="12" customHeight="1" x14ac:dyDescent="0.35">
      <c r="A2753" s="75">
        <v>2752</v>
      </c>
      <c r="B2753" s="64">
        <v>2017</v>
      </c>
      <c r="C2753" s="64">
        <v>11</v>
      </c>
      <c r="D2753" s="80">
        <f t="shared" si="89"/>
        <v>2017</v>
      </c>
      <c r="E2753" t="s">
        <v>38</v>
      </c>
      <c r="F2753" t="s">
        <v>143</v>
      </c>
      <c r="G2753" t="s">
        <v>10</v>
      </c>
      <c r="H2753" s="72">
        <v>850</v>
      </c>
      <c r="I2753" s="72" t="s">
        <v>63</v>
      </c>
      <c r="J2753" t="str">
        <f t="shared" si="88"/>
        <v>Snohomish River</v>
      </c>
      <c r="K2753" t="str">
        <f>IFERROR(VLOOKUP(J2753,LUTs!$A$1:$C$73,2,FALSE),"NA")</f>
        <v>Snohomish</v>
      </c>
      <c r="L2753" t="str">
        <f>IFERROR(VLOOKUP(J2753,LUTs!$A$1:$C$73,3,FALSE),"NA")</f>
        <v>2Central Puget Sound</v>
      </c>
      <c r="M2753" s="72" t="s">
        <v>26</v>
      </c>
      <c r="N2753" t="str">
        <f>VLOOKUP(M2753,LUTs!E$2:H$14,3,)</f>
        <v>20Other</v>
      </c>
      <c r="O2753" t="str">
        <f>VLOOKUP(M2753,LUTs!E$2:H$14,4,)</f>
        <v>07Non Puget Sound</v>
      </c>
      <c r="P2753" s="73">
        <v>10</v>
      </c>
      <c r="Q2753" s="74">
        <f>VLOOKUP(B2753,Readme!A$40:C$51,2,)*P2753</f>
        <v>34.4</v>
      </c>
    </row>
    <row r="2754" spans="1:17" ht="12" customHeight="1" x14ac:dyDescent="0.35">
      <c r="A2754" s="75">
        <v>2753</v>
      </c>
      <c r="B2754" s="64">
        <v>2017</v>
      </c>
      <c r="C2754" s="64">
        <v>8</v>
      </c>
      <c r="D2754" s="80">
        <f t="shared" si="89"/>
        <v>2017</v>
      </c>
      <c r="E2754" t="s">
        <v>38</v>
      </c>
      <c r="F2754" t="s">
        <v>143</v>
      </c>
      <c r="G2754" t="s">
        <v>10</v>
      </c>
      <c r="H2754" s="72">
        <v>852</v>
      </c>
      <c r="I2754" s="72" t="s">
        <v>64</v>
      </c>
      <c r="J2754" t="str">
        <f t="shared" si="88"/>
        <v>Snoqualmie River</v>
      </c>
      <c r="K2754" t="str">
        <f>IFERROR(VLOOKUP(J2754,LUTs!$A$1:$C$73,2,FALSE),"NA")</f>
        <v>Snohomish/King</v>
      </c>
      <c r="L2754" t="str">
        <f>IFERROR(VLOOKUP(J2754,LUTs!$A$1:$C$73,3,FALSE),"NA")</f>
        <v>2Central Puget Sound</v>
      </c>
      <c r="M2754" s="72" t="s">
        <v>16</v>
      </c>
      <c r="N2754" t="str">
        <f>VLOOKUP(M2754,LUTs!E$2:H$14,3,)</f>
        <v>03Snohomish</v>
      </c>
      <c r="O2754" t="str">
        <f>VLOOKUP(M2754,LUTs!E$2:H$14,4,)</f>
        <v>01North Puget Sound</v>
      </c>
      <c r="P2754" s="73">
        <v>10</v>
      </c>
      <c r="Q2754" s="74">
        <f>VLOOKUP(B2754,Readme!A$40:C$51,2,)*P2754</f>
        <v>34.4</v>
      </c>
    </row>
    <row r="2755" spans="1:17" ht="12" customHeight="1" x14ac:dyDescent="0.35">
      <c r="A2755" s="75">
        <v>2754</v>
      </c>
      <c r="B2755" s="64">
        <v>2017</v>
      </c>
      <c r="C2755" s="64">
        <v>9</v>
      </c>
      <c r="D2755" s="80">
        <f t="shared" si="89"/>
        <v>2017</v>
      </c>
      <c r="E2755" t="s">
        <v>38</v>
      </c>
      <c r="F2755" t="s">
        <v>143</v>
      </c>
      <c r="G2755" t="s">
        <v>10</v>
      </c>
      <c r="H2755" s="72">
        <v>852</v>
      </c>
      <c r="I2755" s="72" t="s">
        <v>64</v>
      </c>
      <c r="J2755" t="str">
        <f t="shared" ref="J2755:J2818" si="90">I2755</f>
        <v>Snoqualmie River</v>
      </c>
      <c r="K2755" t="str">
        <f>IFERROR(VLOOKUP(J2755,LUTs!$A$1:$C$73,2,FALSE),"NA")</f>
        <v>Snohomish/King</v>
      </c>
      <c r="L2755" t="str">
        <f>IFERROR(VLOOKUP(J2755,LUTs!$A$1:$C$73,3,FALSE),"NA")</f>
        <v>2Central Puget Sound</v>
      </c>
      <c r="M2755" s="72" t="s">
        <v>24</v>
      </c>
      <c r="N2755" t="str">
        <f>VLOOKUP(M2755,LUTs!E$2:H$14,3,)</f>
        <v>11Clallam</v>
      </c>
      <c r="O2755" t="str">
        <f>VLOOKUP(M2755,LUTs!E$2:H$14,4,)</f>
        <v>03Strait of Juan de Fuca</v>
      </c>
      <c r="P2755" s="73">
        <v>19.3333333333333</v>
      </c>
      <c r="Q2755" s="74">
        <f>VLOOKUP(B2755,Readme!A$40:C$51,2,)*P2755</f>
        <v>66.506666666666547</v>
      </c>
    </row>
    <row r="2756" spans="1:17" ht="12" customHeight="1" x14ac:dyDescent="0.35">
      <c r="A2756" s="75">
        <v>2755</v>
      </c>
      <c r="B2756" s="64">
        <v>2017</v>
      </c>
      <c r="C2756" s="64">
        <v>9</v>
      </c>
      <c r="D2756" s="80">
        <f t="shared" si="89"/>
        <v>2017</v>
      </c>
      <c r="E2756" t="s">
        <v>38</v>
      </c>
      <c r="F2756" t="s">
        <v>143</v>
      </c>
      <c r="G2756" t="s">
        <v>10</v>
      </c>
      <c r="H2756" s="72">
        <v>852</v>
      </c>
      <c r="I2756" s="72" t="s">
        <v>64</v>
      </c>
      <c r="J2756" t="str">
        <f t="shared" si="90"/>
        <v>Snoqualmie River</v>
      </c>
      <c r="K2756" t="str">
        <f>IFERROR(VLOOKUP(J2756,LUTs!$A$1:$C$73,2,FALSE),"NA")</f>
        <v>Snohomish/King</v>
      </c>
      <c r="L2756" t="str">
        <f>IFERROR(VLOOKUP(J2756,LUTs!$A$1:$C$73,3,FALSE),"NA")</f>
        <v>2Central Puget Sound</v>
      </c>
      <c r="M2756" s="72" t="s">
        <v>16</v>
      </c>
      <c r="N2756" t="str">
        <f>VLOOKUP(M2756,LUTs!E$2:H$14,3,)</f>
        <v>03Snohomish</v>
      </c>
      <c r="O2756" t="str">
        <f>VLOOKUP(M2756,LUTs!E$2:H$14,4,)</f>
        <v>01North Puget Sound</v>
      </c>
      <c r="P2756" s="73">
        <v>9.6666666666666696</v>
      </c>
      <c r="Q2756" s="74">
        <f>VLOOKUP(B2756,Readme!A$40:C$51,2,)*P2756</f>
        <v>33.253333333333345</v>
      </c>
    </row>
    <row r="2757" spans="1:17" ht="12" customHeight="1" x14ac:dyDescent="0.35">
      <c r="A2757" s="75">
        <v>2756</v>
      </c>
      <c r="B2757" s="64">
        <v>2017</v>
      </c>
      <c r="C2757" s="64">
        <v>9</v>
      </c>
      <c r="D2757" s="80">
        <f t="shared" si="89"/>
        <v>2017</v>
      </c>
      <c r="E2757" t="s">
        <v>38</v>
      </c>
      <c r="F2757" t="s">
        <v>143</v>
      </c>
      <c r="G2757" t="s">
        <v>10</v>
      </c>
      <c r="H2757" s="72">
        <v>860</v>
      </c>
      <c r="I2757" s="72" t="s">
        <v>76</v>
      </c>
      <c r="J2757" t="str">
        <f t="shared" si="90"/>
        <v>Wallace River</v>
      </c>
      <c r="K2757" t="str">
        <f>IFERROR(VLOOKUP(J2757,LUTs!$A$1:$C$73,2,FALSE),"NA")</f>
        <v>Snohomish</v>
      </c>
      <c r="L2757" t="str">
        <f>IFERROR(VLOOKUP(J2757,LUTs!$A$1:$C$73,3,FALSE),"NA")</f>
        <v>2Central Puget Sound</v>
      </c>
      <c r="M2757" s="72" t="s">
        <v>16</v>
      </c>
      <c r="N2757" t="str">
        <f>VLOOKUP(M2757,LUTs!E$2:H$14,3,)</f>
        <v>03Snohomish</v>
      </c>
      <c r="O2757" t="str">
        <f>VLOOKUP(M2757,LUTs!E$2:H$14,4,)</f>
        <v>01North Puget Sound</v>
      </c>
      <c r="P2757" s="73">
        <v>78</v>
      </c>
      <c r="Q2757" s="74">
        <f>VLOOKUP(B2757,Readme!A$40:C$51,2,)*P2757</f>
        <v>268.32</v>
      </c>
    </row>
    <row r="2758" spans="1:17" ht="12" customHeight="1" x14ac:dyDescent="0.35">
      <c r="A2758" s="75">
        <v>2757</v>
      </c>
      <c r="B2758" s="64">
        <v>2017</v>
      </c>
      <c r="C2758" s="64">
        <v>10</v>
      </c>
      <c r="D2758" s="80">
        <f t="shared" si="89"/>
        <v>2017</v>
      </c>
      <c r="E2758" t="s">
        <v>38</v>
      </c>
      <c r="F2758" t="s">
        <v>143</v>
      </c>
      <c r="G2758" t="s">
        <v>10</v>
      </c>
      <c r="H2758" s="72">
        <v>860</v>
      </c>
      <c r="I2758" s="72" t="s">
        <v>76</v>
      </c>
      <c r="J2758" t="str">
        <f t="shared" si="90"/>
        <v>Wallace River</v>
      </c>
      <c r="K2758" t="str">
        <f>IFERROR(VLOOKUP(J2758,LUTs!$A$1:$C$73,2,FALSE),"NA")</f>
        <v>Snohomish</v>
      </c>
      <c r="L2758" t="str">
        <f>IFERROR(VLOOKUP(J2758,LUTs!$A$1:$C$73,3,FALSE),"NA")</f>
        <v>2Central Puget Sound</v>
      </c>
      <c r="M2758" s="72" t="s">
        <v>18</v>
      </c>
      <c r="N2758" t="str">
        <f>VLOOKUP(M2758,LUTs!E$2:H$14,3,)</f>
        <v>06King</v>
      </c>
      <c r="O2758" t="str">
        <f>VLOOKUP(M2758,LUTs!E$2:H$14,4,)</f>
        <v>02South Puget Sound</v>
      </c>
      <c r="P2758" s="73">
        <v>97.894736842105303</v>
      </c>
      <c r="Q2758" s="74">
        <f>VLOOKUP(B2758,Readme!A$40:C$51,2,)*P2758</f>
        <v>336.75789473684222</v>
      </c>
    </row>
    <row r="2759" spans="1:17" ht="12" customHeight="1" x14ac:dyDescent="0.35">
      <c r="A2759" s="75">
        <v>2758</v>
      </c>
      <c r="B2759" s="64">
        <v>2017</v>
      </c>
      <c r="C2759" s="64">
        <v>10</v>
      </c>
      <c r="D2759" s="80">
        <f t="shared" si="89"/>
        <v>2017</v>
      </c>
      <c r="E2759" t="s">
        <v>38</v>
      </c>
      <c r="F2759" t="s">
        <v>143</v>
      </c>
      <c r="G2759" t="s">
        <v>10</v>
      </c>
      <c r="H2759" s="72">
        <v>860</v>
      </c>
      <c r="I2759" s="72" t="s">
        <v>76</v>
      </c>
      <c r="J2759" t="str">
        <f t="shared" si="90"/>
        <v>Wallace River</v>
      </c>
      <c r="K2759" t="str">
        <f>IFERROR(VLOOKUP(J2759,LUTs!$A$1:$C$73,2,FALSE),"NA")</f>
        <v>Snohomish</v>
      </c>
      <c r="L2759" t="str">
        <f>IFERROR(VLOOKUP(J2759,LUTs!$A$1:$C$73,3,FALSE),"NA")</f>
        <v>2Central Puget Sound</v>
      </c>
      <c r="M2759" s="72" t="s">
        <v>16</v>
      </c>
      <c r="N2759" t="str">
        <f>VLOOKUP(M2759,LUTs!E$2:H$14,3,)</f>
        <v>03Snohomish</v>
      </c>
      <c r="O2759" t="str">
        <f>VLOOKUP(M2759,LUTs!E$2:H$14,4,)</f>
        <v>01North Puget Sound</v>
      </c>
      <c r="P2759" s="73">
        <v>274.10526315789502</v>
      </c>
      <c r="Q2759" s="74">
        <f>VLOOKUP(B2759,Readme!A$40:C$51,2,)*P2759</f>
        <v>942.92210526315887</v>
      </c>
    </row>
    <row r="2760" spans="1:17" ht="12" customHeight="1" x14ac:dyDescent="0.35">
      <c r="A2760" s="75">
        <v>2759</v>
      </c>
      <c r="B2760" s="64">
        <v>2017</v>
      </c>
      <c r="C2760" s="64">
        <v>11</v>
      </c>
      <c r="D2760" s="80">
        <f t="shared" si="89"/>
        <v>2017</v>
      </c>
      <c r="E2760" t="s">
        <v>38</v>
      </c>
      <c r="F2760" t="s">
        <v>143</v>
      </c>
      <c r="G2760" t="s">
        <v>10</v>
      </c>
      <c r="H2760" s="72">
        <v>860</v>
      </c>
      <c r="I2760" s="72" t="s">
        <v>76</v>
      </c>
      <c r="J2760" t="str">
        <f t="shared" si="90"/>
        <v>Wallace River</v>
      </c>
      <c r="K2760" t="str">
        <f>IFERROR(VLOOKUP(J2760,LUTs!$A$1:$C$73,2,FALSE),"NA")</f>
        <v>Snohomish</v>
      </c>
      <c r="L2760" t="str">
        <f>IFERROR(VLOOKUP(J2760,LUTs!$A$1:$C$73,3,FALSE),"NA")</f>
        <v>2Central Puget Sound</v>
      </c>
      <c r="M2760" s="72" t="s">
        <v>16</v>
      </c>
      <c r="N2760" t="str">
        <f>VLOOKUP(M2760,LUTs!E$2:H$14,3,)</f>
        <v>03Snohomish</v>
      </c>
      <c r="O2760" t="str">
        <f>VLOOKUP(M2760,LUTs!E$2:H$14,4,)</f>
        <v>01North Puget Sound</v>
      </c>
      <c r="P2760" s="73">
        <v>69</v>
      </c>
      <c r="Q2760" s="74">
        <f>VLOOKUP(B2760,Readme!A$40:C$51,2,)*P2760</f>
        <v>237.35999999999999</v>
      </c>
    </row>
    <row r="2761" spans="1:17" ht="12" customHeight="1" x14ac:dyDescent="0.35">
      <c r="A2761" s="75">
        <v>2760</v>
      </c>
      <c r="B2761" s="64">
        <v>2017</v>
      </c>
      <c r="C2761" s="64">
        <v>10</v>
      </c>
      <c r="D2761" s="80">
        <f t="shared" si="89"/>
        <v>2017</v>
      </c>
      <c r="E2761" t="s">
        <v>38</v>
      </c>
      <c r="F2761" t="s">
        <v>143</v>
      </c>
      <c r="G2761" t="s">
        <v>10</v>
      </c>
      <c r="H2761" s="72">
        <v>884</v>
      </c>
      <c r="I2761" s="72" t="s">
        <v>66</v>
      </c>
      <c r="J2761" t="str">
        <f t="shared" si="90"/>
        <v>Whatcom Creek</v>
      </c>
      <c r="K2761" t="str">
        <f>IFERROR(VLOOKUP(J2761,LUTs!$A$1:$C$73,2,FALSE),"NA")</f>
        <v>Whatcom</v>
      </c>
      <c r="L2761" t="str">
        <f>IFERROR(VLOOKUP(J2761,LUTs!$A$1:$C$73,3,FALSE),"NA")</f>
        <v>1North Puget Sound</v>
      </c>
      <c r="M2761" s="72" t="s">
        <v>16</v>
      </c>
      <c r="N2761" t="str">
        <f>VLOOKUP(M2761,LUTs!E$2:H$14,3,)</f>
        <v>03Snohomish</v>
      </c>
      <c r="O2761" t="str">
        <f>VLOOKUP(M2761,LUTs!E$2:H$14,4,)</f>
        <v>01North Puget Sound</v>
      </c>
      <c r="P2761" s="73">
        <v>19.384615384615401</v>
      </c>
      <c r="Q2761" s="74">
        <f>VLOOKUP(B2761,Readme!A$40:C$51,2,)*P2761</f>
        <v>66.683076923076982</v>
      </c>
    </row>
    <row r="2762" spans="1:17" ht="12" customHeight="1" x14ac:dyDescent="0.35">
      <c r="A2762" s="75">
        <v>2761</v>
      </c>
      <c r="B2762" s="64">
        <v>2017</v>
      </c>
      <c r="C2762" s="64">
        <v>10</v>
      </c>
      <c r="D2762" s="80">
        <f t="shared" si="89"/>
        <v>2017</v>
      </c>
      <c r="E2762" t="s">
        <v>38</v>
      </c>
      <c r="F2762" t="s">
        <v>143</v>
      </c>
      <c r="G2762" t="s">
        <v>10</v>
      </c>
      <c r="H2762" s="72">
        <v>884</v>
      </c>
      <c r="I2762" s="72" t="s">
        <v>66</v>
      </c>
      <c r="J2762" t="str">
        <f t="shared" si="90"/>
        <v>Whatcom Creek</v>
      </c>
      <c r="K2762" t="str">
        <f>IFERROR(VLOOKUP(J2762,LUTs!$A$1:$C$73,2,FALSE),"NA")</f>
        <v>Whatcom</v>
      </c>
      <c r="L2762" t="str">
        <f>IFERROR(VLOOKUP(J2762,LUTs!$A$1:$C$73,3,FALSE),"NA")</f>
        <v>1North Puget Sound</v>
      </c>
      <c r="M2762" s="72" t="s">
        <v>13</v>
      </c>
      <c r="N2762" t="str">
        <f>VLOOKUP(M2762,LUTs!E$2:H$14,3,)</f>
        <v>01Whatcom</v>
      </c>
      <c r="O2762" t="str">
        <f>VLOOKUP(M2762,LUTs!E$2:H$14,4,)</f>
        <v>01North Puget Sound</v>
      </c>
      <c r="P2762" s="73">
        <v>106.615384615385</v>
      </c>
      <c r="Q2762" s="74">
        <f>VLOOKUP(B2762,Readme!A$40:C$51,2,)*P2762</f>
        <v>366.75692307692441</v>
      </c>
    </row>
    <row r="2763" spans="1:17" ht="12" customHeight="1" x14ac:dyDescent="0.35">
      <c r="A2763" s="75">
        <v>2762</v>
      </c>
      <c r="B2763" s="64">
        <v>2017</v>
      </c>
      <c r="C2763" s="64">
        <v>11</v>
      </c>
      <c r="D2763" s="80">
        <f t="shared" si="89"/>
        <v>2017</v>
      </c>
      <c r="E2763" t="s">
        <v>38</v>
      </c>
      <c r="F2763" t="s">
        <v>143</v>
      </c>
      <c r="G2763" t="s">
        <v>10</v>
      </c>
      <c r="H2763" s="72">
        <v>884</v>
      </c>
      <c r="I2763" s="72" t="s">
        <v>66</v>
      </c>
      <c r="J2763" t="str">
        <f t="shared" si="90"/>
        <v>Whatcom Creek</v>
      </c>
      <c r="K2763" t="str">
        <f>IFERROR(VLOOKUP(J2763,LUTs!$A$1:$C$73,2,FALSE),"NA")</f>
        <v>Whatcom</v>
      </c>
      <c r="L2763" t="str">
        <f>IFERROR(VLOOKUP(J2763,LUTs!$A$1:$C$73,3,FALSE),"NA")</f>
        <v>1North Puget Sound</v>
      </c>
      <c r="M2763" s="72" t="s">
        <v>18</v>
      </c>
      <c r="N2763" t="str">
        <f>VLOOKUP(M2763,LUTs!E$2:H$14,3,)</f>
        <v>06King</v>
      </c>
      <c r="O2763" t="str">
        <f>VLOOKUP(M2763,LUTs!E$2:H$14,4,)</f>
        <v>02South Puget Sound</v>
      </c>
      <c r="P2763" s="73">
        <v>9.6666666666666696</v>
      </c>
      <c r="Q2763" s="74">
        <f>VLOOKUP(B2763,Readme!A$40:C$51,2,)*P2763</f>
        <v>33.253333333333345</v>
      </c>
    </row>
    <row r="2764" spans="1:17" ht="12" customHeight="1" x14ac:dyDescent="0.35">
      <c r="A2764" s="75">
        <v>2763</v>
      </c>
      <c r="B2764" s="64">
        <v>2017</v>
      </c>
      <c r="C2764" s="64">
        <v>11</v>
      </c>
      <c r="D2764" s="80">
        <f t="shared" si="89"/>
        <v>2017</v>
      </c>
      <c r="E2764" t="s">
        <v>38</v>
      </c>
      <c r="F2764" t="s">
        <v>143</v>
      </c>
      <c r="G2764" t="s">
        <v>10</v>
      </c>
      <c r="H2764" s="72">
        <v>884</v>
      </c>
      <c r="I2764" s="72" t="s">
        <v>66</v>
      </c>
      <c r="J2764" t="str">
        <f t="shared" si="90"/>
        <v>Whatcom Creek</v>
      </c>
      <c r="K2764" t="str">
        <f>IFERROR(VLOOKUP(J2764,LUTs!$A$1:$C$73,2,FALSE),"NA")</f>
        <v>Whatcom</v>
      </c>
      <c r="L2764" t="str">
        <f>IFERROR(VLOOKUP(J2764,LUTs!$A$1:$C$73,3,FALSE),"NA")</f>
        <v>1North Puget Sound</v>
      </c>
      <c r="M2764" s="72" t="s">
        <v>20</v>
      </c>
      <c r="N2764" t="str">
        <f>VLOOKUP(M2764,LUTs!E$2:H$14,3,)</f>
        <v>07Pierce</v>
      </c>
      <c r="O2764" t="str">
        <f>VLOOKUP(M2764,LUTs!E$2:H$14,4,)</f>
        <v>02South Puget Sound</v>
      </c>
      <c r="P2764" s="73">
        <v>38.6666666666667</v>
      </c>
      <c r="Q2764" s="74">
        <f>VLOOKUP(B2764,Readme!A$40:C$51,2,)*P2764</f>
        <v>133.01333333333343</v>
      </c>
    </row>
    <row r="2765" spans="1:17" ht="12" customHeight="1" x14ac:dyDescent="0.35">
      <c r="A2765" s="75">
        <v>2764</v>
      </c>
      <c r="B2765" s="64">
        <v>2017</v>
      </c>
      <c r="C2765" s="64">
        <v>11</v>
      </c>
      <c r="D2765" s="80">
        <f t="shared" si="89"/>
        <v>2017</v>
      </c>
      <c r="E2765" t="s">
        <v>38</v>
      </c>
      <c r="F2765" t="s">
        <v>143</v>
      </c>
      <c r="G2765" t="s">
        <v>10</v>
      </c>
      <c r="H2765" s="72">
        <v>884</v>
      </c>
      <c r="I2765" s="72" t="s">
        <v>66</v>
      </c>
      <c r="J2765" t="str">
        <f t="shared" si="90"/>
        <v>Whatcom Creek</v>
      </c>
      <c r="K2765" t="str">
        <f>IFERROR(VLOOKUP(J2765,LUTs!$A$1:$C$73,2,FALSE),"NA")</f>
        <v>Whatcom</v>
      </c>
      <c r="L2765" t="str">
        <f>IFERROR(VLOOKUP(J2765,LUTs!$A$1:$C$73,3,FALSE),"NA")</f>
        <v>1North Puget Sound</v>
      </c>
      <c r="M2765" s="72" t="s">
        <v>15</v>
      </c>
      <c r="N2765" t="str">
        <f>VLOOKUP(M2765,LUTs!E$2:H$14,3,)</f>
        <v>02Skagit</v>
      </c>
      <c r="O2765" t="str">
        <f>VLOOKUP(M2765,LUTs!E$2:H$14,4,)</f>
        <v>01North Puget Sound</v>
      </c>
      <c r="P2765" s="73">
        <v>29</v>
      </c>
      <c r="Q2765" s="74">
        <f>VLOOKUP(B2765,Readme!A$40:C$51,2,)*P2765</f>
        <v>99.76</v>
      </c>
    </row>
    <row r="2766" spans="1:17" ht="12" customHeight="1" x14ac:dyDescent="0.35">
      <c r="A2766" s="75">
        <v>2765</v>
      </c>
      <c r="B2766" s="64">
        <v>2017</v>
      </c>
      <c r="C2766" s="64">
        <v>11</v>
      </c>
      <c r="D2766" s="80">
        <f t="shared" si="89"/>
        <v>2017</v>
      </c>
      <c r="E2766" t="s">
        <v>38</v>
      </c>
      <c r="F2766" t="s">
        <v>143</v>
      </c>
      <c r="G2766" t="s">
        <v>10</v>
      </c>
      <c r="H2766" s="72">
        <v>884</v>
      </c>
      <c r="I2766" s="72" t="s">
        <v>66</v>
      </c>
      <c r="J2766" t="str">
        <f t="shared" si="90"/>
        <v>Whatcom Creek</v>
      </c>
      <c r="K2766" t="str">
        <f>IFERROR(VLOOKUP(J2766,LUTs!$A$1:$C$73,2,FALSE),"NA")</f>
        <v>Whatcom</v>
      </c>
      <c r="L2766" t="str">
        <f>IFERROR(VLOOKUP(J2766,LUTs!$A$1:$C$73,3,FALSE),"NA")</f>
        <v>1North Puget Sound</v>
      </c>
      <c r="M2766" s="72" t="s">
        <v>16</v>
      </c>
      <c r="N2766" t="str">
        <f>VLOOKUP(M2766,LUTs!E$2:H$14,3,)</f>
        <v>03Snohomish</v>
      </c>
      <c r="O2766" t="str">
        <f>VLOOKUP(M2766,LUTs!E$2:H$14,4,)</f>
        <v>01North Puget Sound</v>
      </c>
      <c r="P2766" s="73">
        <v>183.666666666667</v>
      </c>
      <c r="Q2766" s="74">
        <f>VLOOKUP(B2766,Readme!A$40:C$51,2,)*P2766</f>
        <v>631.81333333333441</v>
      </c>
    </row>
    <row r="2767" spans="1:17" ht="12" customHeight="1" x14ac:dyDescent="0.35">
      <c r="A2767" s="75">
        <v>2766</v>
      </c>
      <c r="B2767" s="64">
        <v>2017</v>
      </c>
      <c r="C2767" s="64">
        <v>11</v>
      </c>
      <c r="D2767" s="80">
        <f t="shared" si="89"/>
        <v>2017</v>
      </c>
      <c r="E2767" t="s">
        <v>38</v>
      </c>
      <c r="F2767" t="s">
        <v>143</v>
      </c>
      <c r="G2767" t="s">
        <v>10</v>
      </c>
      <c r="H2767" s="72">
        <v>884</v>
      </c>
      <c r="I2767" s="72" t="s">
        <v>66</v>
      </c>
      <c r="J2767" t="str">
        <f t="shared" si="90"/>
        <v>Whatcom Creek</v>
      </c>
      <c r="K2767" t="str">
        <f>IFERROR(VLOOKUP(J2767,LUTs!$A$1:$C$73,2,FALSE),"NA")</f>
        <v>Whatcom</v>
      </c>
      <c r="L2767" t="str">
        <f>IFERROR(VLOOKUP(J2767,LUTs!$A$1:$C$73,3,FALSE),"NA")</f>
        <v>1North Puget Sound</v>
      </c>
      <c r="M2767" s="72" t="s">
        <v>13</v>
      </c>
      <c r="N2767" t="str">
        <f>VLOOKUP(M2767,LUTs!E$2:H$14,3,)</f>
        <v>01Whatcom</v>
      </c>
      <c r="O2767" t="str">
        <f>VLOOKUP(M2767,LUTs!E$2:H$14,4,)</f>
        <v>01North Puget Sound</v>
      </c>
      <c r="P2767" s="73">
        <v>493</v>
      </c>
      <c r="Q2767" s="74">
        <f>VLOOKUP(B2767,Readme!A$40:C$51,2,)*P2767</f>
        <v>1695.92</v>
      </c>
    </row>
    <row r="2768" spans="1:17" ht="12" customHeight="1" x14ac:dyDescent="0.35">
      <c r="A2768" s="75">
        <v>2767</v>
      </c>
      <c r="B2768" s="64">
        <v>2017</v>
      </c>
      <c r="C2768" s="64">
        <v>12</v>
      </c>
      <c r="D2768" s="80">
        <f t="shared" si="89"/>
        <v>2017</v>
      </c>
      <c r="E2768" t="s">
        <v>38</v>
      </c>
      <c r="F2768" t="s">
        <v>143</v>
      </c>
      <c r="G2768" t="s">
        <v>10</v>
      </c>
      <c r="H2768" s="72">
        <v>884</v>
      </c>
      <c r="I2768" s="72" t="s">
        <v>66</v>
      </c>
      <c r="J2768" t="str">
        <f t="shared" si="90"/>
        <v>Whatcom Creek</v>
      </c>
      <c r="K2768" t="str">
        <f>IFERROR(VLOOKUP(J2768,LUTs!$A$1:$C$73,2,FALSE),"NA")</f>
        <v>Whatcom</v>
      </c>
      <c r="L2768" t="str">
        <f>IFERROR(VLOOKUP(J2768,LUTs!$A$1:$C$73,3,FALSE),"NA")</f>
        <v>1North Puget Sound</v>
      </c>
      <c r="M2768" s="72" t="s">
        <v>13</v>
      </c>
      <c r="N2768" t="str">
        <f>VLOOKUP(M2768,LUTs!E$2:H$14,3,)</f>
        <v>01Whatcom</v>
      </c>
      <c r="O2768" t="str">
        <f>VLOOKUP(M2768,LUTs!E$2:H$14,4,)</f>
        <v>01North Puget Sound</v>
      </c>
      <c r="P2768" s="73">
        <v>19</v>
      </c>
      <c r="Q2768" s="74">
        <f>VLOOKUP(B2768,Readme!A$40:C$51,2,)*P2768</f>
        <v>65.36</v>
      </c>
    </row>
    <row r="2769" spans="1:17" ht="12" customHeight="1" x14ac:dyDescent="0.35">
      <c r="A2769" s="75">
        <v>2768</v>
      </c>
      <c r="B2769" s="64">
        <v>2018</v>
      </c>
      <c r="C2769" s="64">
        <v>8</v>
      </c>
      <c r="D2769" s="80">
        <f t="shared" si="89"/>
        <v>2018</v>
      </c>
      <c r="E2769" t="s">
        <v>38</v>
      </c>
      <c r="F2769" t="s">
        <v>143</v>
      </c>
      <c r="G2769" t="s">
        <v>10</v>
      </c>
      <c r="H2769" s="72">
        <v>714</v>
      </c>
      <c r="I2769" s="72" t="s">
        <v>39</v>
      </c>
      <c r="J2769" t="str">
        <f t="shared" si="90"/>
        <v>Chambers Creek</v>
      </c>
      <c r="K2769" t="str">
        <f>IFERROR(VLOOKUP(J2769,LUTs!$A$1:$C$73,2,FALSE),"NA")</f>
        <v>Pierce</v>
      </c>
      <c r="L2769" t="str">
        <f>IFERROR(VLOOKUP(J2769,LUTs!$A$1:$C$73,3,FALSE),"NA")</f>
        <v>3South Puget Sound</v>
      </c>
      <c r="M2769" s="72" t="s">
        <v>20</v>
      </c>
      <c r="N2769" t="str">
        <f>VLOOKUP(M2769,LUTs!E$2:H$14,3,)</f>
        <v>07Pierce</v>
      </c>
      <c r="O2769" t="str">
        <f>VLOOKUP(M2769,LUTs!E$2:H$14,4,)</f>
        <v>02South Puget Sound</v>
      </c>
      <c r="P2769" s="73">
        <v>1</v>
      </c>
      <c r="Q2769" s="74">
        <f>VLOOKUP(B2769,Readme!A$40:C$51,2,)*P2769</f>
        <v>8.65</v>
      </c>
    </row>
    <row r="2770" spans="1:17" ht="12" customHeight="1" x14ac:dyDescent="0.35">
      <c r="A2770" s="75">
        <v>2769</v>
      </c>
      <c r="B2770" s="64">
        <v>2018</v>
      </c>
      <c r="C2770" s="64">
        <v>9</v>
      </c>
      <c r="D2770" s="80">
        <f t="shared" si="89"/>
        <v>2018</v>
      </c>
      <c r="E2770" t="s">
        <v>38</v>
      </c>
      <c r="F2770" t="s">
        <v>143</v>
      </c>
      <c r="G2770" t="s">
        <v>10</v>
      </c>
      <c r="H2770" s="72">
        <v>714</v>
      </c>
      <c r="I2770" s="72" t="s">
        <v>39</v>
      </c>
      <c r="J2770" t="str">
        <f t="shared" si="90"/>
        <v>Chambers Creek</v>
      </c>
      <c r="K2770" t="str">
        <f>IFERROR(VLOOKUP(J2770,LUTs!$A$1:$C$73,2,FALSE),"NA")</f>
        <v>Pierce</v>
      </c>
      <c r="L2770" t="str">
        <f>IFERROR(VLOOKUP(J2770,LUTs!$A$1:$C$73,3,FALSE),"NA")</f>
        <v>3South Puget Sound</v>
      </c>
      <c r="M2770" s="72" t="s">
        <v>20</v>
      </c>
      <c r="N2770" t="str">
        <f>VLOOKUP(M2770,LUTs!E$2:H$14,3,)</f>
        <v>07Pierce</v>
      </c>
      <c r="O2770" t="str">
        <f>VLOOKUP(M2770,LUTs!E$2:H$14,4,)</f>
        <v>02South Puget Sound</v>
      </c>
      <c r="P2770" s="73">
        <v>1</v>
      </c>
      <c r="Q2770" s="74">
        <f>VLOOKUP(B2770,Readme!A$40:C$51,2,)*P2770</f>
        <v>8.65</v>
      </c>
    </row>
    <row r="2771" spans="1:17" ht="12" customHeight="1" x14ac:dyDescent="0.35">
      <c r="A2771" s="75">
        <v>2770</v>
      </c>
      <c r="B2771" s="64">
        <v>2018</v>
      </c>
      <c r="C2771" s="64">
        <v>10</v>
      </c>
      <c r="D2771" s="80">
        <f t="shared" si="89"/>
        <v>2018</v>
      </c>
      <c r="E2771" t="s">
        <v>38</v>
      </c>
      <c r="F2771" t="s">
        <v>143</v>
      </c>
      <c r="G2771" t="s">
        <v>10</v>
      </c>
      <c r="H2771" s="72">
        <v>724</v>
      </c>
      <c r="I2771" s="72" t="s">
        <v>40</v>
      </c>
      <c r="J2771" t="str">
        <f t="shared" si="90"/>
        <v>Dakota Creek (Whatcom Co)</v>
      </c>
      <c r="K2771" t="str">
        <f>IFERROR(VLOOKUP(J2771,LUTs!$A$1:$C$73,2,FALSE),"NA")</f>
        <v>Whatcom</v>
      </c>
      <c r="L2771" t="str">
        <f>IFERROR(VLOOKUP(J2771,LUTs!$A$1:$C$73,3,FALSE),"NA")</f>
        <v>1North Puget Sound</v>
      </c>
      <c r="M2771" s="72" t="s">
        <v>13</v>
      </c>
      <c r="N2771" t="str">
        <f>VLOOKUP(M2771,LUTs!E$2:H$14,3,)</f>
        <v>01Whatcom</v>
      </c>
      <c r="O2771" t="str">
        <f>VLOOKUP(M2771,LUTs!E$2:H$14,4,)</f>
        <v>01North Puget Sound</v>
      </c>
      <c r="P2771" s="73">
        <v>19</v>
      </c>
      <c r="Q2771" s="74">
        <f>VLOOKUP(B2771,Readme!A$40:C$51,2,)*P2771</f>
        <v>164.35</v>
      </c>
    </row>
    <row r="2772" spans="1:17" ht="12" customHeight="1" x14ac:dyDescent="0.35">
      <c r="A2772" s="75">
        <v>2771</v>
      </c>
      <c r="B2772" s="64">
        <v>2018</v>
      </c>
      <c r="C2772" s="64">
        <v>10</v>
      </c>
      <c r="D2772" s="80">
        <f t="shared" si="89"/>
        <v>2018</v>
      </c>
      <c r="E2772" t="s">
        <v>38</v>
      </c>
      <c r="F2772" t="s">
        <v>143</v>
      </c>
      <c r="G2772" t="s">
        <v>10</v>
      </c>
      <c r="H2772" s="72">
        <v>732</v>
      </c>
      <c r="I2772" s="72" t="s">
        <v>67</v>
      </c>
      <c r="J2772" t="str">
        <f t="shared" si="90"/>
        <v>Dewatto River</v>
      </c>
      <c r="K2772" t="str">
        <f>IFERROR(VLOOKUP(J2772,LUTs!$A$1:$C$73,2,FALSE),"NA")</f>
        <v>Mason</v>
      </c>
      <c r="L2772" t="str">
        <f>IFERROR(VLOOKUP(J2772,LUTs!$A$1:$C$73,3,FALSE),"NA")</f>
        <v>4 Hood Canal</v>
      </c>
      <c r="M2772" s="72" t="s">
        <v>23</v>
      </c>
      <c r="N2772" t="str">
        <f>VLOOKUP(M2772,LUTs!E$2:H$14,3,)</f>
        <v>10Kitsap</v>
      </c>
      <c r="O2772" t="str">
        <f>VLOOKUP(M2772,LUTs!E$2:H$14,4,)</f>
        <v>02South Puget Sound</v>
      </c>
      <c r="P2772" s="73">
        <v>2</v>
      </c>
      <c r="Q2772" s="74">
        <f>VLOOKUP(B2772,Readme!A$40:C$51,2,)*P2772</f>
        <v>17.3</v>
      </c>
    </row>
    <row r="2773" spans="1:17" ht="12" customHeight="1" x14ac:dyDescent="0.35">
      <c r="A2773" s="75">
        <v>2772</v>
      </c>
      <c r="B2773" s="64">
        <v>2018</v>
      </c>
      <c r="C2773" s="64">
        <v>10</v>
      </c>
      <c r="D2773" s="80">
        <f t="shared" si="89"/>
        <v>2018</v>
      </c>
      <c r="E2773" t="s">
        <v>38</v>
      </c>
      <c r="F2773" t="s">
        <v>143</v>
      </c>
      <c r="G2773" t="s">
        <v>10</v>
      </c>
      <c r="H2773" s="72">
        <v>738</v>
      </c>
      <c r="I2773" s="72" t="s">
        <v>43</v>
      </c>
      <c r="J2773" t="str">
        <f t="shared" si="90"/>
        <v>Dungeness River</v>
      </c>
      <c r="K2773" t="str">
        <f>IFERROR(VLOOKUP(J2773,LUTs!$A$1:$C$73,2,FALSE),"NA")</f>
        <v>Clallam</v>
      </c>
      <c r="L2773" t="str">
        <f>IFERROR(VLOOKUP(J2773,LUTs!$A$1:$C$73,3,FALSE),"NA")</f>
        <v>0Strait of Juan de Fuca</v>
      </c>
      <c r="M2773" s="72" t="s">
        <v>24</v>
      </c>
      <c r="N2773" t="str">
        <f>VLOOKUP(M2773,LUTs!E$2:H$14,3,)</f>
        <v>11Clallam</v>
      </c>
      <c r="O2773" t="str">
        <f>VLOOKUP(M2773,LUTs!E$2:H$14,4,)</f>
        <v>03Strait of Juan de Fuca</v>
      </c>
      <c r="P2773" s="73">
        <v>131.529411764706</v>
      </c>
      <c r="Q2773" s="74">
        <f>VLOOKUP(B2773,Readme!A$40:C$51,2,)*P2773</f>
        <v>1137.729411764707</v>
      </c>
    </row>
    <row r="2774" spans="1:17" ht="12" customHeight="1" x14ac:dyDescent="0.35">
      <c r="A2774" s="75">
        <v>2773</v>
      </c>
      <c r="B2774" s="64">
        <v>2018</v>
      </c>
      <c r="C2774" s="64">
        <v>10</v>
      </c>
      <c r="D2774" s="80">
        <f t="shared" si="89"/>
        <v>2018</v>
      </c>
      <c r="E2774" t="s">
        <v>38</v>
      </c>
      <c r="F2774" t="s">
        <v>143</v>
      </c>
      <c r="G2774" t="s">
        <v>10</v>
      </c>
      <c r="H2774" s="72">
        <v>738</v>
      </c>
      <c r="I2774" s="72" t="s">
        <v>43</v>
      </c>
      <c r="J2774" t="str">
        <f t="shared" si="90"/>
        <v>Dungeness River</v>
      </c>
      <c r="K2774" t="str">
        <f>IFERROR(VLOOKUP(J2774,LUTs!$A$1:$C$73,2,FALSE),"NA")</f>
        <v>Clallam</v>
      </c>
      <c r="L2774" t="str">
        <f>IFERROR(VLOOKUP(J2774,LUTs!$A$1:$C$73,3,FALSE),"NA")</f>
        <v>0Strait of Juan de Fuca</v>
      </c>
      <c r="M2774" s="72" t="s">
        <v>23</v>
      </c>
      <c r="N2774" t="str">
        <f>VLOOKUP(M2774,LUTs!E$2:H$14,3,)</f>
        <v>10Kitsap</v>
      </c>
      <c r="O2774" t="str">
        <f>VLOOKUP(M2774,LUTs!E$2:H$14,4,)</f>
        <v>02South Puget Sound</v>
      </c>
      <c r="P2774" s="73">
        <v>30.352941176470601</v>
      </c>
      <c r="Q2774" s="74">
        <f>VLOOKUP(B2774,Readme!A$40:C$51,2,)*P2774</f>
        <v>262.55294117647071</v>
      </c>
    </row>
    <row r="2775" spans="1:17" ht="12" customHeight="1" x14ac:dyDescent="0.35">
      <c r="A2775" s="75">
        <v>2774</v>
      </c>
      <c r="B2775" s="64">
        <v>2018</v>
      </c>
      <c r="C2775" s="64">
        <v>10</v>
      </c>
      <c r="D2775" s="80">
        <f t="shared" si="89"/>
        <v>2018</v>
      </c>
      <c r="E2775" t="s">
        <v>38</v>
      </c>
      <c r="F2775" t="s">
        <v>143</v>
      </c>
      <c r="G2775" t="s">
        <v>10</v>
      </c>
      <c r="H2775" s="72">
        <v>738</v>
      </c>
      <c r="I2775" s="72" t="s">
        <v>43</v>
      </c>
      <c r="J2775" t="str">
        <f t="shared" si="90"/>
        <v>Dungeness River</v>
      </c>
      <c r="K2775" t="str">
        <f>IFERROR(VLOOKUP(J2775,LUTs!$A$1:$C$73,2,FALSE),"NA")</f>
        <v>Clallam</v>
      </c>
      <c r="L2775" t="str">
        <f>IFERROR(VLOOKUP(J2775,LUTs!$A$1:$C$73,3,FALSE),"NA")</f>
        <v>0Strait of Juan de Fuca</v>
      </c>
      <c r="M2775" s="72" t="s">
        <v>20</v>
      </c>
      <c r="N2775" t="str">
        <f>VLOOKUP(M2775,LUTs!E$2:H$14,3,)</f>
        <v>07Pierce</v>
      </c>
      <c r="O2775" t="str">
        <f>VLOOKUP(M2775,LUTs!E$2:H$14,4,)</f>
        <v>02South Puget Sound</v>
      </c>
      <c r="P2775" s="73">
        <v>10.117647058823501</v>
      </c>
      <c r="Q2775" s="74">
        <f>VLOOKUP(B2775,Readme!A$40:C$51,2,)*P2775</f>
        <v>87.517647058823286</v>
      </c>
    </row>
    <row r="2776" spans="1:17" ht="12" customHeight="1" x14ac:dyDescent="0.35">
      <c r="A2776" s="75">
        <v>2775</v>
      </c>
      <c r="B2776" s="64">
        <v>2018</v>
      </c>
      <c r="C2776" s="64">
        <v>11</v>
      </c>
      <c r="D2776" s="80">
        <f t="shared" si="89"/>
        <v>2018</v>
      </c>
      <c r="E2776" t="s">
        <v>38</v>
      </c>
      <c r="F2776" t="s">
        <v>143</v>
      </c>
      <c r="G2776" t="s">
        <v>10</v>
      </c>
      <c r="H2776" s="72">
        <v>738</v>
      </c>
      <c r="I2776" s="72" t="s">
        <v>43</v>
      </c>
      <c r="J2776" t="str">
        <f t="shared" si="90"/>
        <v>Dungeness River</v>
      </c>
      <c r="K2776" t="str">
        <f>IFERROR(VLOOKUP(J2776,LUTs!$A$1:$C$73,2,FALSE),"NA")</f>
        <v>Clallam</v>
      </c>
      <c r="L2776" t="str">
        <f>IFERROR(VLOOKUP(J2776,LUTs!$A$1:$C$73,3,FALSE),"NA")</f>
        <v>0Strait of Juan de Fuca</v>
      </c>
      <c r="M2776" s="72" t="s">
        <v>24</v>
      </c>
      <c r="N2776" t="str">
        <f>VLOOKUP(M2776,LUTs!E$2:H$14,3,)</f>
        <v>11Clallam</v>
      </c>
      <c r="O2776" t="str">
        <f>VLOOKUP(M2776,LUTs!E$2:H$14,4,)</f>
        <v>03Strait of Juan de Fuca</v>
      </c>
      <c r="P2776" s="73">
        <v>40</v>
      </c>
      <c r="Q2776" s="74">
        <f>VLOOKUP(B2776,Readme!A$40:C$51,2,)*P2776</f>
        <v>346</v>
      </c>
    </row>
    <row r="2777" spans="1:17" ht="12" customHeight="1" x14ac:dyDescent="0.35">
      <c r="A2777" s="75">
        <v>2776</v>
      </c>
      <c r="B2777" s="64">
        <v>2018</v>
      </c>
      <c r="C2777" s="64">
        <v>8</v>
      </c>
      <c r="D2777" s="80">
        <f t="shared" si="89"/>
        <v>2018</v>
      </c>
      <c r="E2777" t="s">
        <v>38</v>
      </c>
      <c r="F2777" t="s">
        <v>143</v>
      </c>
      <c r="G2777" t="s">
        <v>10</v>
      </c>
      <c r="H2777" s="72">
        <v>746</v>
      </c>
      <c r="I2777" s="72" t="s">
        <v>45</v>
      </c>
      <c r="J2777" t="str">
        <f t="shared" si="90"/>
        <v>Green - Duwamish River</v>
      </c>
      <c r="K2777" t="str">
        <f>IFERROR(VLOOKUP(J2777,LUTs!$A$1:$C$73,2,FALSE),"NA")</f>
        <v>King</v>
      </c>
      <c r="L2777" t="str">
        <f>IFERROR(VLOOKUP(J2777,LUTs!$A$1:$C$73,3,FALSE),"NA")</f>
        <v>3South Puget Sound</v>
      </c>
      <c r="M2777" s="72" t="s">
        <v>18</v>
      </c>
      <c r="N2777" t="str">
        <f>VLOOKUP(M2777,LUTs!E$2:H$14,3,)</f>
        <v>06King</v>
      </c>
      <c r="O2777" t="str">
        <f>VLOOKUP(M2777,LUTs!E$2:H$14,4,)</f>
        <v>02South Puget Sound</v>
      </c>
      <c r="P2777" s="73">
        <v>87.3</v>
      </c>
      <c r="Q2777" s="74">
        <f>VLOOKUP(B2777,Readme!A$40:C$51,2,)*P2777</f>
        <v>755.14499999999998</v>
      </c>
    </row>
    <row r="2778" spans="1:17" ht="12" customHeight="1" x14ac:dyDescent="0.35">
      <c r="A2778" s="75">
        <v>2777</v>
      </c>
      <c r="B2778" s="64">
        <v>2018</v>
      </c>
      <c r="C2778" s="64">
        <v>8</v>
      </c>
      <c r="D2778" s="80">
        <f t="shared" si="89"/>
        <v>2018</v>
      </c>
      <c r="E2778" t="s">
        <v>38</v>
      </c>
      <c r="F2778" t="s">
        <v>143</v>
      </c>
      <c r="G2778" t="s">
        <v>10</v>
      </c>
      <c r="H2778" s="72">
        <v>746</v>
      </c>
      <c r="I2778" s="72" t="s">
        <v>45</v>
      </c>
      <c r="J2778" t="str">
        <f t="shared" si="90"/>
        <v>Green - Duwamish River</v>
      </c>
      <c r="K2778" t="str">
        <f>IFERROR(VLOOKUP(J2778,LUTs!$A$1:$C$73,2,FALSE),"NA")</f>
        <v>King</v>
      </c>
      <c r="L2778" t="str">
        <f>IFERROR(VLOOKUP(J2778,LUTs!$A$1:$C$73,3,FALSE),"NA")</f>
        <v>3South Puget Sound</v>
      </c>
      <c r="M2778" s="72" t="s">
        <v>20</v>
      </c>
      <c r="N2778" t="str">
        <f>VLOOKUP(M2778,LUTs!E$2:H$14,3,)</f>
        <v>07Pierce</v>
      </c>
      <c r="O2778" t="str">
        <f>VLOOKUP(M2778,LUTs!E$2:H$14,4,)</f>
        <v>02South Puget Sound</v>
      </c>
      <c r="P2778" s="73">
        <v>9.6999999999999993</v>
      </c>
      <c r="Q2778" s="74">
        <f>VLOOKUP(B2778,Readme!A$40:C$51,2,)*P2778</f>
        <v>83.905000000000001</v>
      </c>
    </row>
    <row r="2779" spans="1:17" ht="12" customHeight="1" x14ac:dyDescent="0.35">
      <c r="A2779" s="75">
        <v>2778</v>
      </c>
      <c r="B2779" s="64">
        <v>2018</v>
      </c>
      <c r="C2779" s="64">
        <v>9</v>
      </c>
      <c r="D2779" s="80">
        <f t="shared" si="89"/>
        <v>2018</v>
      </c>
      <c r="E2779" t="s">
        <v>38</v>
      </c>
      <c r="F2779" t="s">
        <v>143</v>
      </c>
      <c r="G2779" t="s">
        <v>10</v>
      </c>
      <c r="H2779" s="72">
        <v>746</v>
      </c>
      <c r="I2779" s="72" t="s">
        <v>45</v>
      </c>
      <c r="J2779" t="str">
        <f t="shared" si="90"/>
        <v>Green - Duwamish River</v>
      </c>
      <c r="K2779" t="str">
        <f>IFERROR(VLOOKUP(J2779,LUTs!$A$1:$C$73,2,FALSE),"NA")</f>
        <v>King</v>
      </c>
      <c r="L2779" t="str">
        <f>IFERROR(VLOOKUP(J2779,LUTs!$A$1:$C$73,3,FALSE),"NA")</f>
        <v>3South Puget Sound</v>
      </c>
      <c r="M2779" s="72" t="s">
        <v>18</v>
      </c>
      <c r="N2779" t="str">
        <f>VLOOKUP(M2779,LUTs!E$2:H$14,3,)</f>
        <v>06King</v>
      </c>
      <c r="O2779" t="str">
        <f>VLOOKUP(M2779,LUTs!E$2:H$14,4,)</f>
        <v>02South Puget Sound</v>
      </c>
      <c r="P2779" s="73">
        <v>1401.9745222929901</v>
      </c>
      <c r="Q2779" s="74">
        <f>VLOOKUP(B2779,Readme!A$40:C$51,2,)*P2779</f>
        <v>12127.079617834364</v>
      </c>
    </row>
    <row r="2780" spans="1:17" ht="12" customHeight="1" x14ac:dyDescent="0.35">
      <c r="A2780" s="75">
        <v>2779</v>
      </c>
      <c r="B2780" s="64">
        <v>2018</v>
      </c>
      <c r="C2780" s="64">
        <v>9</v>
      </c>
      <c r="D2780" s="80">
        <f t="shared" si="89"/>
        <v>2018</v>
      </c>
      <c r="E2780" t="s">
        <v>38</v>
      </c>
      <c r="F2780" t="s">
        <v>143</v>
      </c>
      <c r="G2780" t="s">
        <v>10</v>
      </c>
      <c r="H2780" s="72">
        <v>746</v>
      </c>
      <c r="I2780" s="72" t="s">
        <v>45</v>
      </c>
      <c r="J2780" t="str">
        <f t="shared" si="90"/>
        <v>Green - Duwamish River</v>
      </c>
      <c r="K2780" t="str">
        <f>IFERROR(VLOOKUP(J2780,LUTs!$A$1:$C$73,2,FALSE),"NA")</f>
        <v>King</v>
      </c>
      <c r="L2780" t="str">
        <f>IFERROR(VLOOKUP(J2780,LUTs!$A$1:$C$73,3,FALSE),"NA")</f>
        <v>3South Puget Sound</v>
      </c>
      <c r="M2780" s="72" t="s">
        <v>26</v>
      </c>
      <c r="N2780" t="str">
        <f>VLOOKUP(M2780,LUTs!E$2:H$14,3,)</f>
        <v>20Other</v>
      </c>
      <c r="O2780" t="str">
        <f>VLOOKUP(M2780,LUTs!E$2:H$14,4,)</f>
        <v>07Non Puget Sound</v>
      </c>
      <c r="P2780" s="73">
        <v>67.681528662420405</v>
      </c>
      <c r="Q2780" s="74">
        <f>VLOOKUP(B2780,Readme!A$40:C$51,2,)*P2780</f>
        <v>585.44522292993656</v>
      </c>
    </row>
    <row r="2781" spans="1:17" ht="12" customHeight="1" x14ac:dyDescent="0.35">
      <c r="A2781" s="75">
        <v>2780</v>
      </c>
      <c r="B2781" s="64">
        <v>2018</v>
      </c>
      <c r="C2781" s="64">
        <v>9</v>
      </c>
      <c r="D2781" s="80">
        <f t="shared" si="89"/>
        <v>2018</v>
      </c>
      <c r="E2781" t="s">
        <v>38</v>
      </c>
      <c r="F2781" t="s">
        <v>143</v>
      </c>
      <c r="G2781" t="s">
        <v>10</v>
      </c>
      <c r="H2781" s="72">
        <v>746</v>
      </c>
      <c r="I2781" s="72" t="s">
        <v>45</v>
      </c>
      <c r="J2781" t="str">
        <f t="shared" si="90"/>
        <v>Green - Duwamish River</v>
      </c>
      <c r="K2781" t="str">
        <f>IFERROR(VLOOKUP(J2781,LUTs!$A$1:$C$73,2,FALSE),"NA")</f>
        <v>King</v>
      </c>
      <c r="L2781" t="str">
        <f>IFERROR(VLOOKUP(J2781,LUTs!$A$1:$C$73,3,FALSE),"NA")</f>
        <v>3South Puget Sound</v>
      </c>
      <c r="M2781" s="72" t="s">
        <v>20</v>
      </c>
      <c r="N2781" t="str">
        <f>VLOOKUP(M2781,LUTs!E$2:H$14,3,)</f>
        <v>07Pierce</v>
      </c>
      <c r="O2781" t="str">
        <f>VLOOKUP(M2781,LUTs!E$2:H$14,4,)</f>
        <v>02South Puget Sound</v>
      </c>
      <c r="P2781" s="73">
        <v>48.343949044585997</v>
      </c>
      <c r="Q2781" s="74">
        <f>VLOOKUP(B2781,Readme!A$40:C$51,2,)*P2781</f>
        <v>418.1751592356689</v>
      </c>
    </row>
    <row r="2782" spans="1:17" ht="12" customHeight="1" x14ac:dyDescent="0.35">
      <c r="A2782" s="75">
        <v>2781</v>
      </c>
      <c r="B2782" s="64">
        <v>2018</v>
      </c>
      <c r="C2782" s="64">
        <v>10</v>
      </c>
      <c r="D2782" s="80">
        <f t="shared" si="89"/>
        <v>2018</v>
      </c>
      <c r="E2782" t="s">
        <v>38</v>
      </c>
      <c r="F2782" t="s">
        <v>143</v>
      </c>
      <c r="G2782" t="s">
        <v>10</v>
      </c>
      <c r="H2782" s="72">
        <v>746</v>
      </c>
      <c r="I2782" s="72" t="s">
        <v>45</v>
      </c>
      <c r="J2782" t="str">
        <f t="shared" si="90"/>
        <v>Green - Duwamish River</v>
      </c>
      <c r="K2782" t="str">
        <f>IFERROR(VLOOKUP(J2782,LUTs!$A$1:$C$73,2,FALSE),"NA")</f>
        <v>King</v>
      </c>
      <c r="L2782" t="str">
        <f>IFERROR(VLOOKUP(J2782,LUTs!$A$1:$C$73,3,FALSE),"NA")</f>
        <v>3South Puget Sound</v>
      </c>
      <c r="M2782" s="72" t="s">
        <v>18</v>
      </c>
      <c r="N2782" t="str">
        <f>VLOOKUP(M2782,LUTs!E$2:H$14,3,)</f>
        <v>06King</v>
      </c>
      <c r="O2782" t="str">
        <f>VLOOKUP(M2782,LUTs!E$2:H$14,4,)</f>
        <v>02South Puget Sound</v>
      </c>
      <c r="P2782" s="73">
        <v>1094.96124031008</v>
      </c>
      <c r="Q2782" s="74">
        <f>VLOOKUP(B2782,Readme!A$40:C$51,2,)*P2782</f>
        <v>9471.4147286821935</v>
      </c>
    </row>
    <row r="2783" spans="1:17" ht="12" customHeight="1" x14ac:dyDescent="0.35">
      <c r="A2783" s="75">
        <v>2782</v>
      </c>
      <c r="B2783" s="64">
        <v>2018</v>
      </c>
      <c r="C2783" s="64">
        <v>10</v>
      </c>
      <c r="D2783" s="80">
        <f t="shared" si="89"/>
        <v>2018</v>
      </c>
      <c r="E2783" t="s">
        <v>38</v>
      </c>
      <c r="F2783" t="s">
        <v>143</v>
      </c>
      <c r="G2783" t="s">
        <v>10</v>
      </c>
      <c r="H2783" s="72">
        <v>746</v>
      </c>
      <c r="I2783" s="72" t="s">
        <v>45</v>
      </c>
      <c r="J2783" t="str">
        <f t="shared" si="90"/>
        <v>Green - Duwamish River</v>
      </c>
      <c r="K2783" t="str">
        <f>IFERROR(VLOOKUP(J2783,LUTs!$A$1:$C$73,2,FALSE),"NA")</f>
        <v>King</v>
      </c>
      <c r="L2783" t="str">
        <f>IFERROR(VLOOKUP(J2783,LUTs!$A$1:$C$73,3,FALSE),"NA")</f>
        <v>3South Puget Sound</v>
      </c>
      <c r="M2783" s="72" t="s">
        <v>26</v>
      </c>
      <c r="N2783" t="str">
        <f>VLOOKUP(M2783,LUTs!E$2:H$14,3,)</f>
        <v>20Other</v>
      </c>
      <c r="O2783" t="str">
        <f>VLOOKUP(M2783,LUTs!E$2:H$14,4,)</f>
        <v>07Non Puget Sound</v>
      </c>
      <c r="P2783" s="73">
        <v>29.069767441860499</v>
      </c>
      <c r="Q2783" s="74">
        <f>VLOOKUP(B2783,Readme!A$40:C$51,2,)*P2783</f>
        <v>251.45348837209332</v>
      </c>
    </row>
    <row r="2784" spans="1:17" ht="12" customHeight="1" x14ac:dyDescent="0.35">
      <c r="A2784" s="75">
        <v>2783</v>
      </c>
      <c r="B2784" s="64">
        <v>2018</v>
      </c>
      <c r="C2784" s="64">
        <v>10</v>
      </c>
      <c r="D2784" s="80">
        <f t="shared" si="89"/>
        <v>2018</v>
      </c>
      <c r="E2784" t="s">
        <v>38</v>
      </c>
      <c r="F2784" t="s">
        <v>143</v>
      </c>
      <c r="G2784" t="s">
        <v>10</v>
      </c>
      <c r="H2784" s="72">
        <v>746</v>
      </c>
      <c r="I2784" s="72" t="s">
        <v>45</v>
      </c>
      <c r="J2784" t="str">
        <f t="shared" si="90"/>
        <v>Green - Duwamish River</v>
      </c>
      <c r="K2784" t="str">
        <f>IFERROR(VLOOKUP(J2784,LUTs!$A$1:$C$73,2,FALSE),"NA")</f>
        <v>King</v>
      </c>
      <c r="L2784" t="str">
        <f>IFERROR(VLOOKUP(J2784,LUTs!$A$1:$C$73,3,FALSE),"NA")</f>
        <v>3South Puget Sound</v>
      </c>
      <c r="M2784" s="72" t="s">
        <v>20</v>
      </c>
      <c r="N2784" t="str">
        <f>VLOOKUP(M2784,LUTs!E$2:H$14,3,)</f>
        <v>07Pierce</v>
      </c>
      <c r="O2784" t="str">
        <f>VLOOKUP(M2784,LUTs!E$2:H$14,4,)</f>
        <v>02South Puget Sound</v>
      </c>
      <c r="P2784" s="73">
        <v>67.829457364341096</v>
      </c>
      <c r="Q2784" s="74">
        <f>VLOOKUP(B2784,Readme!A$40:C$51,2,)*P2784</f>
        <v>586.72480620155045</v>
      </c>
    </row>
    <row r="2785" spans="1:17" ht="12" customHeight="1" x14ac:dyDescent="0.35">
      <c r="A2785" s="75">
        <v>2784</v>
      </c>
      <c r="B2785" s="64">
        <v>2018</v>
      </c>
      <c r="C2785" s="64">
        <v>10</v>
      </c>
      <c r="D2785" s="80">
        <f t="shared" si="89"/>
        <v>2018</v>
      </c>
      <c r="E2785" t="s">
        <v>38</v>
      </c>
      <c r="F2785" t="s">
        <v>143</v>
      </c>
      <c r="G2785" t="s">
        <v>10</v>
      </c>
      <c r="H2785" s="72">
        <v>746</v>
      </c>
      <c r="I2785" s="72" t="s">
        <v>45</v>
      </c>
      <c r="J2785" t="str">
        <f t="shared" si="90"/>
        <v>Green - Duwamish River</v>
      </c>
      <c r="K2785" t="str">
        <f>IFERROR(VLOOKUP(J2785,LUTs!$A$1:$C$73,2,FALSE),"NA")</f>
        <v>King</v>
      </c>
      <c r="L2785" t="str">
        <f>IFERROR(VLOOKUP(J2785,LUTs!$A$1:$C$73,3,FALSE),"NA")</f>
        <v>3South Puget Sound</v>
      </c>
      <c r="M2785" s="72" t="s">
        <v>21</v>
      </c>
      <c r="N2785" t="str">
        <f>VLOOKUP(M2785,LUTs!E$2:H$14,3,)</f>
        <v>08Thurston</v>
      </c>
      <c r="O2785" t="str">
        <f>VLOOKUP(M2785,LUTs!E$2:H$14,4,)</f>
        <v>02South Puget Sound</v>
      </c>
      <c r="P2785" s="73">
        <v>58.139534883720899</v>
      </c>
      <c r="Q2785" s="74">
        <f>VLOOKUP(B2785,Readme!A$40:C$51,2,)*P2785</f>
        <v>502.90697674418578</v>
      </c>
    </row>
    <row r="2786" spans="1:17" ht="12" customHeight="1" x14ac:dyDescent="0.35">
      <c r="A2786" s="75">
        <v>2785</v>
      </c>
      <c r="B2786" s="64">
        <v>2018</v>
      </c>
      <c r="C2786" s="64">
        <v>11</v>
      </c>
      <c r="D2786" s="80">
        <f t="shared" si="89"/>
        <v>2018</v>
      </c>
      <c r="E2786" t="s">
        <v>38</v>
      </c>
      <c r="F2786" t="s">
        <v>143</v>
      </c>
      <c r="G2786" t="s">
        <v>10</v>
      </c>
      <c r="H2786" s="72">
        <v>746</v>
      </c>
      <c r="I2786" s="72" t="s">
        <v>45</v>
      </c>
      <c r="J2786" t="str">
        <f t="shared" si="90"/>
        <v>Green - Duwamish River</v>
      </c>
      <c r="K2786" t="str">
        <f>IFERROR(VLOOKUP(J2786,LUTs!$A$1:$C$73,2,FALSE),"NA")</f>
        <v>King</v>
      </c>
      <c r="L2786" t="str">
        <f>IFERROR(VLOOKUP(J2786,LUTs!$A$1:$C$73,3,FALSE),"NA")</f>
        <v>3South Puget Sound</v>
      </c>
      <c r="M2786" s="72" t="s">
        <v>18</v>
      </c>
      <c r="N2786" t="str">
        <f>VLOOKUP(M2786,LUTs!E$2:H$14,3,)</f>
        <v>06King</v>
      </c>
      <c r="O2786" t="str">
        <f>VLOOKUP(M2786,LUTs!E$2:H$14,4,)</f>
        <v>02South Puget Sound</v>
      </c>
      <c r="P2786" s="73">
        <v>1514.5915492957699</v>
      </c>
      <c r="Q2786" s="74">
        <f>VLOOKUP(B2786,Readme!A$40:C$51,2,)*P2786</f>
        <v>13101.21690140841</v>
      </c>
    </row>
    <row r="2787" spans="1:17" ht="12" customHeight="1" x14ac:dyDescent="0.35">
      <c r="A2787" s="75">
        <v>2786</v>
      </c>
      <c r="B2787" s="64">
        <v>2018</v>
      </c>
      <c r="C2787" s="64">
        <v>11</v>
      </c>
      <c r="D2787" s="80">
        <f t="shared" si="89"/>
        <v>2018</v>
      </c>
      <c r="E2787" t="s">
        <v>38</v>
      </c>
      <c r="F2787" t="s">
        <v>143</v>
      </c>
      <c r="G2787" t="s">
        <v>10</v>
      </c>
      <c r="H2787" s="72">
        <v>746</v>
      </c>
      <c r="I2787" s="72" t="s">
        <v>45</v>
      </c>
      <c r="J2787" t="str">
        <f t="shared" si="90"/>
        <v>Green - Duwamish River</v>
      </c>
      <c r="K2787" t="str">
        <f>IFERROR(VLOOKUP(J2787,LUTs!$A$1:$C$73,2,FALSE),"NA")</f>
        <v>King</v>
      </c>
      <c r="L2787" t="str">
        <f>IFERROR(VLOOKUP(J2787,LUTs!$A$1:$C$73,3,FALSE),"NA")</f>
        <v>3South Puget Sound</v>
      </c>
      <c r="M2787" s="72" t="s">
        <v>26</v>
      </c>
      <c r="N2787" t="str">
        <f>VLOOKUP(M2787,LUTs!E$2:H$14,3,)</f>
        <v>20Other</v>
      </c>
      <c r="O2787" t="str">
        <f>VLOOKUP(M2787,LUTs!E$2:H$14,4,)</f>
        <v>07Non Puget Sound</v>
      </c>
      <c r="P2787" s="73">
        <v>48.5446009389671</v>
      </c>
      <c r="Q2787" s="74">
        <f>VLOOKUP(B2787,Readme!A$40:C$51,2,)*P2787</f>
        <v>419.91079812206544</v>
      </c>
    </row>
    <row r="2788" spans="1:17" ht="12" customHeight="1" x14ac:dyDescent="0.35">
      <c r="A2788" s="75">
        <v>2787</v>
      </c>
      <c r="B2788" s="64">
        <v>2018</v>
      </c>
      <c r="C2788" s="64">
        <v>11</v>
      </c>
      <c r="D2788" s="80">
        <f t="shared" si="89"/>
        <v>2018</v>
      </c>
      <c r="E2788" t="s">
        <v>38</v>
      </c>
      <c r="F2788" t="s">
        <v>143</v>
      </c>
      <c r="G2788" t="s">
        <v>10</v>
      </c>
      <c r="H2788" s="72">
        <v>746</v>
      </c>
      <c r="I2788" s="72" t="s">
        <v>45</v>
      </c>
      <c r="J2788" t="str">
        <f t="shared" si="90"/>
        <v>Green - Duwamish River</v>
      </c>
      <c r="K2788" t="str">
        <f>IFERROR(VLOOKUP(J2788,LUTs!$A$1:$C$73,2,FALSE),"NA")</f>
        <v>King</v>
      </c>
      <c r="L2788" t="str">
        <f>IFERROR(VLOOKUP(J2788,LUTs!$A$1:$C$73,3,FALSE),"NA")</f>
        <v>3South Puget Sound</v>
      </c>
      <c r="M2788" s="72" t="s">
        <v>20</v>
      </c>
      <c r="N2788" t="str">
        <f>VLOOKUP(M2788,LUTs!E$2:H$14,3,)</f>
        <v>07Pierce</v>
      </c>
      <c r="O2788" t="str">
        <f>VLOOKUP(M2788,LUTs!E$2:H$14,4,)</f>
        <v>02South Puget Sound</v>
      </c>
      <c r="P2788" s="73">
        <v>368.93896713614998</v>
      </c>
      <c r="Q2788" s="74">
        <f>VLOOKUP(B2788,Readme!A$40:C$51,2,)*P2788</f>
        <v>3191.3220657276975</v>
      </c>
    </row>
    <row r="2789" spans="1:17" ht="12" customHeight="1" x14ac:dyDescent="0.35">
      <c r="A2789" s="75">
        <v>2788</v>
      </c>
      <c r="B2789" s="64">
        <v>2018</v>
      </c>
      <c r="C2789" s="64">
        <v>11</v>
      </c>
      <c r="D2789" s="80">
        <f t="shared" si="89"/>
        <v>2018</v>
      </c>
      <c r="E2789" t="s">
        <v>38</v>
      </c>
      <c r="F2789" t="s">
        <v>143</v>
      </c>
      <c r="G2789" t="s">
        <v>10</v>
      </c>
      <c r="H2789" s="72">
        <v>746</v>
      </c>
      <c r="I2789" s="72" t="s">
        <v>45</v>
      </c>
      <c r="J2789" t="str">
        <f t="shared" si="90"/>
        <v>Green - Duwamish River</v>
      </c>
      <c r="K2789" t="str">
        <f>IFERROR(VLOOKUP(J2789,LUTs!$A$1:$C$73,2,FALSE),"NA")</f>
        <v>King</v>
      </c>
      <c r="L2789" t="str">
        <f>IFERROR(VLOOKUP(J2789,LUTs!$A$1:$C$73,3,FALSE),"NA")</f>
        <v>3South Puget Sound</v>
      </c>
      <c r="M2789" s="72" t="s">
        <v>16</v>
      </c>
      <c r="N2789" t="str">
        <f>VLOOKUP(M2789,LUTs!E$2:H$14,3,)</f>
        <v>03Snohomish</v>
      </c>
      <c r="O2789" t="str">
        <f>VLOOKUP(M2789,LUTs!E$2:H$14,4,)</f>
        <v>01North Puget Sound</v>
      </c>
      <c r="P2789" s="73">
        <v>77.671361502347395</v>
      </c>
      <c r="Q2789" s="74">
        <f>VLOOKUP(B2789,Readme!A$40:C$51,2,)*P2789</f>
        <v>671.85727699530503</v>
      </c>
    </row>
    <row r="2790" spans="1:17" ht="12" customHeight="1" x14ac:dyDescent="0.35">
      <c r="A2790" s="75">
        <v>2789</v>
      </c>
      <c r="B2790" s="64">
        <v>2018</v>
      </c>
      <c r="C2790" s="64">
        <v>11</v>
      </c>
      <c r="D2790" s="80">
        <f t="shared" si="89"/>
        <v>2018</v>
      </c>
      <c r="E2790" t="s">
        <v>38</v>
      </c>
      <c r="F2790" t="s">
        <v>143</v>
      </c>
      <c r="G2790" t="s">
        <v>10</v>
      </c>
      <c r="H2790" s="72">
        <v>746</v>
      </c>
      <c r="I2790" s="72" t="s">
        <v>45</v>
      </c>
      <c r="J2790" t="str">
        <f t="shared" si="90"/>
        <v>Green - Duwamish River</v>
      </c>
      <c r="K2790" t="str">
        <f>IFERROR(VLOOKUP(J2790,LUTs!$A$1:$C$73,2,FALSE),"NA")</f>
        <v>King</v>
      </c>
      <c r="L2790" t="str">
        <f>IFERROR(VLOOKUP(J2790,LUTs!$A$1:$C$73,3,FALSE),"NA")</f>
        <v>3South Puget Sound</v>
      </c>
      <c r="M2790" s="72" t="s">
        <v>21</v>
      </c>
      <c r="N2790" t="str">
        <f>VLOOKUP(M2790,LUTs!E$2:H$14,3,)</f>
        <v>08Thurston</v>
      </c>
      <c r="O2790" t="str">
        <f>VLOOKUP(M2790,LUTs!E$2:H$14,4,)</f>
        <v>02South Puget Sound</v>
      </c>
      <c r="P2790" s="73">
        <v>58.253521126760603</v>
      </c>
      <c r="Q2790" s="74">
        <f>VLOOKUP(B2790,Readme!A$40:C$51,2,)*P2790</f>
        <v>503.89295774647923</v>
      </c>
    </row>
    <row r="2791" spans="1:17" ht="12" customHeight="1" x14ac:dyDescent="0.35">
      <c r="A2791" s="75">
        <v>2790</v>
      </c>
      <c r="B2791" s="64">
        <v>2018</v>
      </c>
      <c r="C2791" s="64">
        <v>12</v>
      </c>
      <c r="D2791" s="80">
        <f t="shared" si="89"/>
        <v>2018</v>
      </c>
      <c r="E2791" t="s">
        <v>38</v>
      </c>
      <c r="F2791" t="s">
        <v>143</v>
      </c>
      <c r="G2791" t="s">
        <v>10</v>
      </c>
      <c r="H2791" s="72">
        <v>746</v>
      </c>
      <c r="I2791" s="72" t="s">
        <v>45</v>
      </c>
      <c r="J2791" t="str">
        <f t="shared" si="90"/>
        <v>Green - Duwamish River</v>
      </c>
      <c r="K2791" t="str">
        <f>IFERROR(VLOOKUP(J2791,LUTs!$A$1:$C$73,2,FALSE),"NA")</f>
        <v>King</v>
      </c>
      <c r="L2791" t="str">
        <f>IFERROR(VLOOKUP(J2791,LUTs!$A$1:$C$73,3,FALSE),"NA")</f>
        <v>3South Puget Sound</v>
      </c>
      <c r="M2791" s="72" t="s">
        <v>18</v>
      </c>
      <c r="N2791" t="str">
        <f>VLOOKUP(M2791,LUTs!E$2:H$14,3,)</f>
        <v>06King</v>
      </c>
      <c r="O2791" t="str">
        <f>VLOOKUP(M2791,LUTs!E$2:H$14,4,)</f>
        <v>02South Puget Sound</v>
      </c>
      <c r="P2791" s="73">
        <v>67.900000000000006</v>
      </c>
      <c r="Q2791" s="74">
        <f>VLOOKUP(B2791,Readme!A$40:C$51,2,)*P2791</f>
        <v>587.33500000000004</v>
      </c>
    </row>
    <row r="2792" spans="1:17" ht="12" customHeight="1" x14ac:dyDescent="0.35">
      <c r="A2792" s="75">
        <v>2791</v>
      </c>
      <c r="B2792" s="64">
        <v>2018</v>
      </c>
      <c r="C2792" s="64">
        <v>12</v>
      </c>
      <c r="D2792" s="80">
        <f t="shared" si="89"/>
        <v>2018</v>
      </c>
      <c r="E2792" t="s">
        <v>38</v>
      </c>
      <c r="F2792" t="s">
        <v>143</v>
      </c>
      <c r="G2792" t="s">
        <v>10</v>
      </c>
      <c r="H2792" s="72">
        <v>746</v>
      </c>
      <c r="I2792" s="72" t="s">
        <v>45</v>
      </c>
      <c r="J2792" t="str">
        <f t="shared" si="90"/>
        <v>Green - Duwamish River</v>
      </c>
      <c r="K2792" t="str">
        <f>IFERROR(VLOOKUP(J2792,LUTs!$A$1:$C$73,2,FALSE),"NA")</f>
        <v>King</v>
      </c>
      <c r="L2792" t="str">
        <f>IFERROR(VLOOKUP(J2792,LUTs!$A$1:$C$73,3,FALSE),"NA")</f>
        <v>3South Puget Sound</v>
      </c>
      <c r="M2792" s="72" t="s">
        <v>16</v>
      </c>
      <c r="N2792" t="str">
        <f>VLOOKUP(M2792,LUTs!E$2:H$14,3,)</f>
        <v>03Snohomish</v>
      </c>
      <c r="O2792" t="str">
        <f>VLOOKUP(M2792,LUTs!E$2:H$14,4,)</f>
        <v>01North Puget Sound</v>
      </c>
      <c r="P2792" s="73">
        <v>29.1</v>
      </c>
      <c r="Q2792" s="74">
        <f>VLOOKUP(B2792,Readme!A$40:C$51,2,)*P2792</f>
        <v>251.71500000000003</v>
      </c>
    </row>
    <row r="2793" spans="1:17" ht="12" customHeight="1" x14ac:dyDescent="0.35">
      <c r="A2793" s="75">
        <v>2792</v>
      </c>
      <c r="B2793" s="64">
        <v>2019</v>
      </c>
      <c r="C2793" s="64">
        <v>1</v>
      </c>
      <c r="D2793" s="80">
        <f t="shared" si="89"/>
        <v>2018</v>
      </c>
      <c r="E2793" t="s">
        <v>38</v>
      </c>
      <c r="F2793" t="s">
        <v>143</v>
      </c>
      <c r="G2793" t="s">
        <v>10</v>
      </c>
      <c r="H2793" s="72">
        <v>746</v>
      </c>
      <c r="I2793" s="72" t="s">
        <v>45</v>
      </c>
      <c r="J2793" t="str">
        <f t="shared" si="90"/>
        <v>Green - Duwamish River</v>
      </c>
      <c r="K2793" t="str">
        <f>IFERROR(VLOOKUP(J2793,LUTs!$A$1:$C$73,2,FALSE),"NA")</f>
        <v>King</v>
      </c>
      <c r="L2793" t="str">
        <f>IFERROR(VLOOKUP(J2793,LUTs!$A$1:$C$73,3,FALSE),"NA")</f>
        <v>3South Puget Sound</v>
      </c>
      <c r="M2793" s="72" t="s">
        <v>18</v>
      </c>
      <c r="N2793" t="str">
        <f>VLOOKUP(M2793,LUTs!E$2:H$14,3,)</f>
        <v>06King</v>
      </c>
      <c r="O2793" t="str">
        <f>VLOOKUP(M2793,LUTs!E$2:H$14,4,)</f>
        <v>02South Puget Sound</v>
      </c>
      <c r="P2793" s="73">
        <v>29</v>
      </c>
      <c r="Q2793" s="74">
        <f>VLOOKUP(B2793,Readme!A$40:C$51,2,)*P2793</f>
        <v>99.76</v>
      </c>
    </row>
    <row r="2794" spans="1:17" ht="12" customHeight="1" x14ac:dyDescent="0.35">
      <c r="A2794" s="75">
        <v>2793</v>
      </c>
      <c r="B2794" s="64">
        <v>2018</v>
      </c>
      <c r="C2794" s="64">
        <v>10</v>
      </c>
      <c r="D2794" s="80">
        <f t="shared" si="89"/>
        <v>2018</v>
      </c>
      <c r="E2794" t="s">
        <v>38</v>
      </c>
      <c r="F2794" t="s">
        <v>143</v>
      </c>
      <c r="G2794" t="s">
        <v>10</v>
      </c>
      <c r="H2794" s="72">
        <v>754</v>
      </c>
      <c r="I2794" s="72" t="s">
        <v>47</v>
      </c>
      <c r="J2794" t="str">
        <f t="shared" si="90"/>
        <v>Kennedy Creek</v>
      </c>
      <c r="K2794" t="str">
        <f>IFERROR(VLOOKUP(J2794,LUTs!$A$1:$C$73,2,FALSE),"NA")</f>
        <v>Mason/Thurston</v>
      </c>
      <c r="L2794" t="str">
        <f>IFERROR(VLOOKUP(J2794,LUTs!$A$1:$C$73,3,FALSE),"NA")</f>
        <v>3South Puget Sound</v>
      </c>
      <c r="M2794" s="72" t="s">
        <v>20</v>
      </c>
      <c r="N2794" t="str">
        <f>VLOOKUP(M2794,LUTs!E$2:H$14,3,)</f>
        <v>07Pierce</v>
      </c>
      <c r="O2794" t="str">
        <f>VLOOKUP(M2794,LUTs!E$2:H$14,4,)</f>
        <v>02South Puget Sound</v>
      </c>
      <c r="P2794" s="73">
        <v>100.71428571428601</v>
      </c>
      <c r="Q2794" s="74">
        <f>VLOOKUP(B2794,Readme!A$40:C$51,2,)*P2794</f>
        <v>871.17857142857395</v>
      </c>
    </row>
    <row r="2795" spans="1:17" ht="12" customHeight="1" x14ac:dyDescent="0.35">
      <c r="A2795" s="75">
        <v>2794</v>
      </c>
      <c r="B2795" s="64">
        <v>2018</v>
      </c>
      <c r="C2795" s="64">
        <v>10</v>
      </c>
      <c r="D2795" s="80">
        <f t="shared" si="89"/>
        <v>2018</v>
      </c>
      <c r="E2795" t="s">
        <v>38</v>
      </c>
      <c r="F2795" t="s">
        <v>143</v>
      </c>
      <c r="G2795" t="s">
        <v>10</v>
      </c>
      <c r="H2795" s="72">
        <v>754</v>
      </c>
      <c r="I2795" s="72" t="s">
        <v>47</v>
      </c>
      <c r="J2795" t="str">
        <f t="shared" si="90"/>
        <v>Kennedy Creek</v>
      </c>
      <c r="K2795" t="str">
        <f>IFERROR(VLOOKUP(J2795,LUTs!$A$1:$C$73,2,FALSE),"NA")</f>
        <v>Mason/Thurston</v>
      </c>
      <c r="L2795" t="str">
        <f>IFERROR(VLOOKUP(J2795,LUTs!$A$1:$C$73,3,FALSE),"NA")</f>
        <v>3South Puget Sound</v>
      </c>
      <c r="M2795" s="72" t="s">
        <v>21</v>
      </c>
      <c r="N2795" t="str">
        <f>VLOOKUP(M2795,LUTs!E$2:H$14,3,)</f>
        <v>08Thurston</v>
      </c>
      <c r="O2795" t="str">
        <f>VLOOKUP(M2795,LUTs!E$2:H$14,4,)</f>
        <v>02South Puget Sound</v>
      </c>
      <c r="P2795" s="73">
        <v>40.285714285714299</v>
      </c>
      <c r="Q2795" s="74">
        <f>VLOOKUP(B2795,Readme!A$40:C$51,2,)*P2795</f>
        <v>348.4714285714287</v>
      </c>
    </row>
    <row r="2796" spans="1:17" ht="12" customHeight="1" x14ac:dyDescent="0.35">
      <c r="A2796" s="75">
        <v>2795</v>
      </c>
      <c r="B2796" s="64">
        <v>2018</v>
      </c>
      <c r="C2796" s="64">
        <v>11</v>
      </c>
      <c r="D2796" s="80">
        <f t="shared" si="89"/>
        <v>2018</v>
      </c>
      <c r="E2796" t="s">
        <v>38</v>
      </c>
      <c r="F2796" t="s">
        <v>143</v>
      </c>
      <c r="G2796" t="s">
        <v>10</v>
      </c>
      <c r="H2796" s="72">
        <v>754</v>
      </c>
      <c r="I2796" s="72" t="s">
        <v>47</v>
      </c>
      <c r="J2796" t="str">
        <f t="shared" si="90"/>
        <v>Kennedy Creek</v>
      </c>
      <c r="K2796" t="str">
        <f>IFERROR(VLOOKUP(J2796,LUTs!$A$1:$C$73,2,FALSE),"NA")</f>
        <v>Mason/Thurston</v>
      </c>
      <c r="L2796" t="str">
        <f>IFERROR(VLOOKUP(J2796,LUTs!$A$1:$C$73,3,FALSE),"NA")</f>
        <v>3South Puget Sound</v>
      </c>
      <c r="M2796" s="72" t="s">
        <v>20</v>
      </c>
      <c r="N2796" t="str">
        <f>VLOOKUP(M2796,LUTs!E$2:H$14,3,)</f>
        <v>07Pierce</v>
      </c>
      <c r="O2796" t="str">
        <f>VLOOKUP(M2796,LUTs!E$2:H$14,4,)</f>
        <v>02South Puget Sound</v>
      </c>
      <c r="P2796" s="73">
        <v>120.5</v>
      </c>
      <c r="Q2796" s="74">
        <f>VLOOKUP(B2796,Readme!A$40:C$51,2,)*P2796</f>
        <v>1042.325</v>
      </c>
    </row>
    <row r="2797" spans="1:17" ht="12" customHeight="1" x14ac:dyDescent="0.35">
      <c r="A2797" s="75">
        <v>2796</v>
      </c>
      <c r="B2797" s="64">
        <v>2018</v>
      </c>
      <c r="C2797" s="64">
        <v>11</v>
      </c>
      <c r="D2797" s="80">
        <f t="shared" si="89"/>
        <v>2018</v>
      </c>
      <c r="E2797" t="s">
        <v>38</v>
      </c>
      <c r="F2797" t="s">
        <v>143</v>
      </c>
      <c r="G2797" t="s">
        <v>10</v>
      </c>
      <c r="H2797" s="72">
        <v>754</v>
      </c>
      <c r="I2797" s="72" t="s">
        <v>47</v>
      </c>
      <c r="J2797" t="str">
        <f t="shared" si="90"/>
        <v>Kennedy Creek</v>
      </c>
      <c r="K2797" t="str">
        <f>IFERROR(VLOOKUP(J2797,LUTs!$A$1:$C$73,2,FALSE),"NA")</f>
        <v>Mason/Thurston</v>
      </c>
      <c r="L2797" t="str">
        <f>IFERROR(VLOOKUP(J2797,LUTs!$A$1:$C$73,3,FALSE),"NA")</f>
        <v>3South Puget Sound</v>
      </c>
      <c r="M2797" s="72" t="s">
        <v>21</v>
      </c>
      <c r="N2797" t="str">
        <f>VLOOKUP(M2797,LUTs!E$2:H$14,3,)</f>
        <v>08Thurston</v>
      </c>
      <c r="O2797" t="str">
        <f>VLOOKUP(M2797,LUTs!E$2:H$14,4,)</f>
        <v>02South Puget Sound</v>
      </c>
      <c r="P2797" s="73">
        <v>120.5</v>
      </c>
      <c r="Q2797" s="74">
        <f>VLOOKUP(B2797,Readme!A$40:C$51,2,)*P2797</f>
        <v>1042.325</v>
      </c>
    </row>
    <row r="2798" spans="1:17" ht="12" customHeight="1" x14ac:dyDescent="0.35">
      <c r="A2798" s="75">
        <v>2797</v>
      </c>
      <c r="B2798" s="64">
        <v>2018</v>
      </c>
      <c r="C2798" s="64">
        <v>9</v>
      </c>
      <c r="D2798" s="80">
        <f t="shared" si="89"/>
        <v>2018</v>
      </c>
      <c r="E2798" t="s">
        <v>38</v>
      </c>
      <c r="F2798" t="s">
        <v>143</v>
      </c>
      <c r="G2798" t="s">
        <v>10</v>
      </c>
      <c r="H2798" s="72">
        <v>762</v>
      </c>
      <c r="I2798" s="72" t="s">
        <v>48</v>
      </c>
      <c r="J2798" t="str">
        <f t="shared" si="90"/>
        <v>Lake Washington</v>
      </c>
      <c r="K2798" t="str">
        <f>IFERROR(VLOOKUP(J2798,LUTs!$A$1:$C$73,2,FALSE),"NA")</f>
        <v>King</v>
      </c>
      <c r="L2798" t="str">
        <f>IFERROR(VLOOKUP(J2798,LUTs!$A$1:$C$73,3,FALSE),"NA")</f>
        <v>2Central Puget Sound</v>
      </c>
      <c r="M2798" s="72" t="s">
        <v>18</v>
      </c>
      <c r="N2798" t="str">
        <f>VLOOKUP(M2798,LUTs!E$2:H$14,3,)</f>
        <v>06King</v>
      </c>
      <c r="O2798" t="str">
        <f>VLOOKUP(M2798,LUTs!E$2:H$14,4,)</f>
        <v>02South Puget Sound</v>
      </c>
      <c r="P2798" s="73">
        <v>90.3</v>
      </c>
      <c r="Q2798" s="74">
        <f>VLOOKUP(B2798,Readme!A$40:C$51,2,)*P2798</f>
        <v>781.09500000000003</v>
      </c>
    </row>
    <row r="2799" spans="1:17" ht="12" customHeight="1" x14ac:dyDescent="0.35">
      <c r="A2799" s="75">
        <v>2798</v>
      </c>
      <c r="B2799" s="64">
        <v>2018</v>
      </c>
      <c r="C2799" s="64">
        <v>9</v>
      </c>
      <c r="D2799" s="80">
        <f t="shared" si="89"/>
        <v>2018</v>
      </c>
      <c r="E2799" t="s">
        <v>38</v>
      </c>
      <c r="F2799" t="s">
        <v>143</v>
      </c>
      <c r="G2799" t="s">
        <v>10</v>
      </c>
      <c r="H2799" s="72">
        <v>762</v>
      </c>
      <c r="I2799" s="72" t="s">
        <v>48</v>
      </c>
      <c r="J2799" t="str">
        <f t="shared" si="90"/>
        <v>Lake Washington</v>
      </c>
      <c r="K2799" t="str">
        <f>IFERROR(VLOOKUP(J2799,LUTs!$A$1:$C$73,2,FALSE),"NA")</f>
        <v>King</v>
      </c>
      <c r="L2799" t="str">
        <f>IFERROR(VLOOKUP(J2799,LUTs!$A$1:$C$73,3,FALSE),"NA")</f>
        <v>2Central Puget Sound</v>
      </c>
      <c r="M2799" s="72" t="s">
        <v>16</v>
      </c>
      <c r="N2799" t="str">
        <f>VLOOKUP(M2799,LUTs!E$2:H$14,3,)</f>
        <v>03Snohomish</v>
      </c>
      <c r="O2799" t="str">
        <f>VLOOKUP(M2799,LUTs!E$2:H$14,4,)</f>
        <v>01North Puget Sound</v>
      </c>
      <c r="P2799" s="73">
        <v>210.7</v>
      </c>
      <c r="Q2799" s="74">
        <f>VLOOKUP(B2799,Readme!A$40:C$51,2,)*P2799</f>
        <v>1822.5550000000001</v>
      </c>
    </row>
    <row r="2800" spans="1:17" ht="12" customHeight="1" x14ac:dyDescent="0.35">
      <c r="A2800" s="75">
        <v>2799</v>
      </c>
      <c r="B2800" s="64">
        <v>2018</v>
      </c>
      <c r="C2800" s="64">
        <v>10</v>
      </c>
      <c r="D2800" s="80">
        <f t="shared" si="89"/>
        <v>2018</v>
      </c>
      <c r="E2800" t="s">
        <v>38</v>
      </c>
      <c r="F2800" t="s">
        <v>143</v>
      </c>
      <c r="G2800" t="s">
        <v>10</v>
      </c>
      <c r="H2800" s="72">
        <v>764</v>
      </c>
      <c r="I2800" s="72" t="s">
        <v>49</v>
      </c>
      <c r="J2800" t="str">
        <f t="shared" si="90"/>
        <v>Lake Sammamish</v>
      </c>
      <c r="K2800" t="str">
        <f>IFERROR(VLOOKUP(J2800,LUTs!$A$1:$C$73,2,FALSE),"NA")</f>
        <v>King</v>
      </c>
      <c r="L2800" t="str">
        <f>IFERROR(VLOOKUP(J2800,LUTs!$A$1:$C$73,3,FALSE),"NA")</f>
        <v>2Central Puget Sound</v>
      </c>
      <c r="M2800" s="72" t="s">
        <v>18</v>
      </c>
      <c r="N2800" t="str">
        <f>VLOOKUP(M2800,LUTs!E$2:H$14,3,)</f>
        <v>06King</v>
      </c>
      <c r="O2800" t="str">
        <f>VLOOKUP(M2800,LUTs!E$2:H$14,4,)</f>
        <v>02South Puget Sound</v>
      </c>
      <c r="P2800" s="73">
        <v>10</v>
      </c>
      <c r="Q2800" s="74">
        <f>VLOOKUP(B2800,Readme!A$40:C$51,2,)*P2800</f>
        <v>86.5</v>
      </c>
    </row>
    <row r="2801" spans="1:17" ht="12" customHeight="1" x14ac:dyDescent="0.35">
      <c r="A2801" s="75">
        <v>2800</v>
      </c>
      <c r="B2801" s="64">
        <v>2019</v>
      </c>
      <c r="C2801" s="64">
        <v>3</v>
      </c>
      <c r="D2801" s="80">
        <f t="shared" si="89"/>
        <v>2018</v>
      </c>
      <c r="E2801" t="s">
        <v>38</v>
      </c>
      <c r="F2801" t="s">
        <v>143</v>
      </c>
      <c r="G2801" t="s">
        <v>10</v>
      </c>
      <c r="H2801" s="72">
        <v>764</v>
      </c>
      <c r="I2801" s="72" t="s">
        <v>49</v>
      </c>
      <c r="J2801" t="str">
        <f t="shared" si="90"/>
        <v>Lake Sammamish</v>
      </c>
      <c r="K2801" t="str">
        <f>IFERROR(VLOOKUP(J2801,LUTs!$A$1:$C$73,2,FALSE),"NA")</f>
        <v>King</v>
      </c>
      <c r="L2801" t="str">
        <f>IFERROR(VLOOKUP(J2801,LUTs!$A$1:$C$73,3,FALSE),"NA")</f>
        <v>2Central Puget Sound</v>
      </c>
      <c r="M2801" s="72" t="s">
        <v>16</v>
      </c>
      <c r="N2801" t="str">
        <f>VLOOKUP(M2801,LUTs!E$2:H$14,3,)</f>
        <v>03Snohomish</v>
      </c>
      <c r="O2801" t="str">
        <f>VLOOKUP(M2801,LUTs!E$2:H$14,4,)</f>
        <v>01North Puget Sound</v>
      </c>
      <c r="P2801" s="73">
        <v>10</v>
      </c>
      <c r="Q2801" s="74">
        <f>VLOOKUP(B2801,Readme!A$40:C$51,2,)*P2801</f>
        <v>34.4</v>
      </c>
    </row>
    <row r="2802" spans="1:17" ht="12" customHeight="1" x14ac:dyDescent="0.35">
      <c r="A2802" s="75">
        <v>2801</v>
      </c>
      <c r="B2802" s="64">
        <v>2018</v>
      </c>
      <c r="C2802" s="64">
        <v>9</v>
      </c>
      <c r="D2802" s="80">
        <f t="shared" si="89"/>
        <v>2018</v>
      </c>
      <c r="E2802" t="s">
        <v>38</v>
      </c>
      <c r="F2802" t="s">
        <v>143</v>
      </c>
      <c r="G2802" t="s">
        <v>10</v>
      </c>
      <c r="H2802" s="72">
        <v>770</v>
      </c>
      <c r="I2802" s="72" t="s">
        <v>77</v>
      </c>
      <c r="J2802" t="str">
        <f t="shared" si="90"/>
        <v>McAllister Creek</v>
      </c>
      <c r="K2802" t="str">
        <f>IFERROR(VLOOKUP(J2802,LUTs!$A$1:$C$73,2,FALSE),"NA")</f>
        <v>Thurston</v>
      </c>
      <c r="L2802" t="str">
        <f>IFERROR(VLOOKUP(J2802,LUTs!$A$1:$C$73,3,FALSE),"NA")</f>
        <v>3South Puget Sound</v>
      </c>
      <c r="M2802" s="72" t="s">
        <v>21</v>
      </c>
      <c r="N2802" t="str">
        <f>VLOOKUP(M2802,LUTs!E$2:H$14,3,)</f>
        <v>08Thurston</v>
      </c>
      <c r="O2802" t="str">
        <f>VLOOKUP(M2802,LUTs!E$2:H$14,4,)</f>
        <v>02South Puget Sound</v>
      </c>
      <c r="P2802" s="73">
        <v>47</v>
      </c>
      <c r="Q2802" s="74">
        <f>VLOOKUP(B2802,Readme!A$40:C$51,2,)*P2802</f>
        <v>406.55</v>
      </c>
    </row>
    <row r="2803" spans="1:17" ht="12" customHeight="1" x14ac:dyDescent="0.35">
      <c r="A2803" s="75">
        <v>2802</v>
      </c>
      <c r="B2803" s="64">
        <v>2018</v>
      </c>
      <c r="C2803" s="64">
        <v>10</v>
      </c>
      <c r="D2803" s="80">
        <f t="shared" si="89"/>
        <v>2018</v>
      </c>
      <c r="E2803" t="s">
        <v>38</v>
      </c>
      <c r="F2803" t="s">
        <v>143</v>
      </c>
      <c r="G2803" t="s">
        <v>10</v>
      </c>
      <c r="H2803" s="72">
        <v>778</v>
      </c>
      <c r="I2803" s="72" t="s">
        <v>50</v>
      </c>
      <c r="J2803" t="str">
        <f t="shared" si="90"/>
        <v>Minter Creek</v>
      </c>
      <c r="K2803" t="str">
        <f>IFERROR(VLOOKUP(J2803,LUTs!$A$1:$C$73,2,FALSE),"NA")</f>
        <v>Kitsap/Pierce</v>
      </c>
      <c r="L2803" t="str">
        <f>IFERROR(VLOOKUP(J2803,LUTs!$A$1:$C$73,3,FALSE),"NA")</f>
        <v>3South Puget Sound</v>
      </c>
      <c r="M2803" s="72" t="s">
        <v>18</v>
      </c>
      <c r="N2803" t="str">
        <f>VLOOKUP(M2803,LUTs!E$2:H$14,3,)</f>
        <v>06King</v>
      </c>
      <c r="O2803" t="str">
        <f>VLOOKUP(M2803,LUTs!E$2:H$14,4,)</f>
        <v>02South Puget Sound</v>
      </c>
      <c r="P2803" s="73">
        <v>67.900000000000006</v>
      </c>
      <c r="Q2803" s="74">
        <f>VLOOKUP(B2803,Readme!A$40:C$51,2,)*P2803</f>
        <v>587.33500000000004</v>
      </c>
    </row>
    <row r="2804" spans="1:17" ht="12" customHeight="1" x14ac:dyDescent="0.35">
      <c r="A2804" s="75">
        <v>2803</v>
      </c>
      <c r="B2804" s="64">
        <v>2018</v>
      </c>
      <c r="C2804" s="64">
        <v>10</v>
      </c>
      <c r="D2804" s="80">
        <f t="shared" si="89"/>
        <v>2018</v>
      </c>
      <c r="E2804" t="s">
        <v>38</v>
      </c>
      <c r="F2804" t="s">
        <v>143</v>
      </c>
      <c r="G2804" t="s">
        <v>10</v>
      </c>
      <c r="H2804" s="72">
        <v>778</v>
      </c>
      <c r="I2804" s="72" t="s">
        <v>50</v>
      </c>
      <c r="J2804" t="str">
        <f t="shared" si="90"/>
        <v>Minter Creek</v>
      </c>
      <c r="K2804" t="str">
        <f>IFERROR(VLOOKUP(J2804,LUTs!$A$1:$C$73,2,FALSE),"NA")</f>
        <v>Kitsap/Pierce</v>
      </c>
      <c r="L2804" t="str">
        <f>IFERROR(VLOOKUP(J2804,LUTs!$A$1:$C$73,3,FALSE),"NA")</f>
        <v>3South Puget Sound</v>
      </c>
      <c r="M2804" s="72" t="s">
        <v>26</v>
      </c>
      <c r="N2804" t="str">
        <f>VLOOKUP(M2804,LUTs!E$2:H$14,3,)</f>
        <v>20Other</v>
      </c>
      <c r="O2804" t="str">
        <f>VLOOKUP(M2804,LUTs!E$2:H$14,4,)</f>
        <v>07Non Puget Sound</v>
      </c>
      <c r="P2804" s="73">
        <v>9.6999999999999993</v>
      </c>
      <c r="Q2804" s="74">
        <f>VLOOKUP(B2804,Readme!A$40:C$51,2,)*P2804</f>
        <v>83.905000000000001</v>
      </c>
    </row>
    <row r="2805" spans="1:17" ht="12" customHeight="1" x14ac:dyDescent="0.35">
      <c r="A2805" s="75">
        <v>2804</v>
      </c>
      <c r="B2805" s="64">
        <v>2018</v>
      </c>
      <c r="C2805" s="64">
        <v>10</v>
      </c>
      <c r="D2805" s="80">
        <f t="shared" si="89"/>
        <v>2018</v>
      </c>
      <c r="E2805" t="s">
        <v>38</v>
      </c>
      <c r="F2805" t="s">
        <v>143</v>
      </c>
      <c r="G2805" t="s">
        <v>10</v>
      </c>
      <c r="H2805" s="72">
        <v>778</v>
      </c>
      <c r="I2805" s="72" t="s">
        <v>50</v>
      </c>
      <c r="J2805" t="str">
        <f t="shared" si="90"/>
        <v>Minter Creek</v>
      </c>
      <c r="K2805" t="str">
        <f>IFERROR(VLOOKUP(J2805,LUTs!$A$1:$C$73,2,FALSE),"NA")</f>
        <v>Kitsap/Pierce</v>
      </c>
      <c r="L2805" t="str">
        <f>IFERROR(VLOOKUP(J2805,LUTs!$A$1:$C$73,3,FALSE),"NA")</f>
        <v>3South Puget Sound</v>
      </c>
      <c r="M2805" s="72" t="s">
        <v>20</v>
      </c>
      <c r="N2805" t="str">
        <f>VLOOKUP(M2805,LUTs!E$2:H$14,3,)</f>
        <v>07Pierce</v>
      </c>
      <c r="O2805" t="str">
        <f>VLOOKUP(M2805,LUTs!E$2:H$14,4,)</f>
        <v>02South Puget Sound</v>
      </c>
      <c r="P2805" s="73">
        <v>106.7</v>
      </c>
      <c r="Q2805" s="74">
        <f>VLOOKUP(B2805,Readme!A$40:C$51,2,)*P2805</f>
        <v>922.95500000000004</v>
      </c>
    </row>
    <row r="2806" spans="1:17" ht="12" customHeight="1" x14ac:dyDescent="0.35">
      <c r="A2806" s="75">
        <v>2805</v>
      </c>
      <c r="B2806" s="64">
        <v>2018</v>
      </c>
      <c r="C2806" s="64">
        <v>10</v>
      </c>
      <c r="D2806" s="80">
        <f t="shared" si="89"/>
        <v>2018</v>
      </c>
      <c r="E2806" t="s">
        <v>38</v>
      </c>
      <c r="F2806" t="s">
        <v>143</v>
      </c>
      <c r="G2806" t="s">
        <v>10</v>
      </c>
      <c r="H2806" s="72">
        <v>778</v>
      </c>
      <c r="I2806" s="72" t="s">
        <v>50</v>
      </c>
      <c r="J2806" t="str">
        <f t="shared" si="90"/>
        <v>Minter Creek</v>
      </c>
      <c r="K2806" t="str">
        <f>IFERROR(VLOOKUP(J2806,LUTs!$A$1:$C$73,2,FALSE),"NA")</f>
        <v>Kitsap/Pierce</v>
      </c>
      <c r="L2806" t="str">
        <f>IFERROR(VLOOKUP(J2806,LUTs!$A$1:$C$73,3,FALSE),"NA")</f>
        <v>3South Puget Sound</v>
      </c>
      <c r="M2806" s="72" t="s">
        <v>16</v>
      </c>
      <c r="N2806" t="str">
        <f>VLOOKUP(M2806,LUTs!E$2:H$14,3,)</f>
        <v>03Snohomish</v>
      </c>
      <c r="O2806" t="str">
        <f>VLOOKUP(M2806,LUTs!E$2:H$14,4,)</f>
        <v>01North Puget Sound</v>
      </c>
      <c r="P2806" s="73">
        <v>9.6999999999999993</v>
      </c>
      <c r="Q2806" s="74">
        <f>VLOOKUP(B2806,Readme!A$40:C$51,2,)*P2806</f>
        <v>83.905000000000001</v>
      </c>
    </row>
    <row r="2807" spans="1:17" ht="12" customHeight="1" x14ac:dyDescent="0.35">
      <c r="A2807" s="75">
        <v>2806</v>
      </c>
      <c r="B2807" s="64">
        <v>2018</v>
      </c>
      <c r="C2807" s="64">
        <v>11</v>
      </c>
      <c r="D2807" s="80">
        <f t="shared" si="89"/>
        <v>2018</v>
      </c>
      <c r="E2807" t="s">
        <v>38</v>
      </c>
      <c r="F2807" t="s">
        <v>143</v>
      </c>
      <c r="G2807" t="s">
        <v>10</v>
      </c>
      <c r="H2807" s="72">
        <v>778</v>
      </c>
      <c r="I2807" s="72" t="s">
        <v>50</v>
      </c>
      <c r="J2807" t="str">
        <f t="shared" si="90"/>
        <v>Minter Creek</v>
      </c>
      <c r="K2807" t="str">
        <f>IFERROR(VLOOKUP(J2807,LUTs!$A$1:$C$73,2,FALSE),"NA")</f>
        <v>Kitsap/Pierce</v>
      </c>
      <c r="L2807" t="str">
        <f>IFERROR(VLOOKUP(J2807,LUTs!$A$1:$C$73,3,FALSE),"NA")</f>
        <v>3South Puget Sound</v>
      </c>
      <c r="M2807" s="72" t="s">
        <v>18</v>
      </c>
      <c r="N2807" t="str">
        <f>VLOOKUP(M2807,LUTs!E$2:H$14,3,)</f>
        <v>06King</v>
      </c>
      <c r="O2807" t="str">
        <f>VLOOKUP(M2807,LUTs!E$2:H$14,4,)</f>
        <v>02South Puget Sound</v>
      </c>
      <c r="P2807" s="73">
        <v>1756.4711779448601</v>
      </c>
      <c r="Q2807" s="74">
        <f>VLOOKUP(B2807,Readme!A$40:C$51,2,)*P2807</f>
        <v>15193.47568922304</v>
      </c>
    </row>
    <row r="2808" spans="1:17" ht="12" customHeight="1" x14ac:dyDescent="0.35">
      <c r="A2808" s="75">
        <v>2807</v>
      </c>
      <c r="B2808" s="64">
        <v>2018</v>
      </c>
      <c r="C2808" s="64">
        <v>11</v>
      </c>
      <c r="D2808" s="80">
        <f t="shared" si="89"/>
        <v>2018</v>
      </c>
      <c r="E2808" t="s">
        <v>38</v>
      </c>
      <c r="F2808" t="s">
        <v>143</v>
      </c>
      <c r="G2808" t="s">
        <v>10</v>
      </c>
      <c r="H2808" s="72">
        <v>778</v>
      </c>
      <c r="I2808" s="72" t="s">
        <v>50</v>
      </c>
      <c r="J2808" t="str">
        <f t="shared" si="90"/>
        <v>Minter Creek</v>
      </c>
      <c r="K2808" t="str">
        <f>IFERROR(VLOOKUP(J2808,LUTs!$A$1:$C$73,2,FALSE),"NA")</f>
        <v>Kitsap/Pierce</v>
      </c>
      <c r="L2808" t="str">
        <f>IFERROR(VLOOKUP(J2808,LUTs!$A$1:$C$73,3,FALSE),"NA")</f>
        <v>3South Puget Sound</v>
      </c>
      <c r="M2808" s="72" t="s">
        <v>23</v>
      </c>
      <c r="N2808" t="str">
        <f>VLOOKUP(M2808,LUTs!E$2:H$14,3,)</f>
        <v>10Kitsap</v>
      </c>
      <c r="O2808" t="str">
        <f>VLOOKUP(M2808,LUTs!E$2:H$14,4,)</f>
        <v>02South Puget Sound</v>
      </c>
      <c r="P2808" s="73">
        <v>291.12781954887203</v>
      </c>
      <c r="Q2808" s="74">
        <f>VLOOKUP(B2808,Readme!A$40:C$51,2,)*P2808</f>
        <v>2518.2556390977429</v>
      </c>
    </row>
    <row r="2809" spans="1:17" ht="12" customHeight="1" x14ac:dyDescent="0.35">
      <c r="A2809" s="75">
        <v>2808</v>
      </c>
      <c r="B2809" s="64">
        <v>2018</v>
      </c>
      <c r="C2809" s="64">
        <v>11</v>
      </c>
      <c r="D2809" s="80">
        <f t="shared" si="89"/>
        <v>2018</v>
      </c>
      <c r="E2809" t="s">
        <v>38</v>
      </c>
      <c r="F2809" t="s">
        <v>143</v>
      </c>
      <c r="G2809" t="s">
        <v>10</v>
      </c>
      <c r="H2809" s="72">
        <v>778</v>
      </c>
      <c r="I2809" s="72" t="s">
        <v>50</v>
      </c>
      <c r="J2809" t="str">
        <f t="shared" si="90"/>
        <v>Minter Creek</v>
      </c>
      <c r="K2809" t="str">
        <f>IFERROR(VLOOKUP(J2809,LUTs!$A$1:$C$73,2,FALSE),"NA")</f>
        <v>Kitsap/Pierce</v>
      </c>
      <c r="L2809" t="str">
        <f>IFERROR(VLOOKUP(J2809,LUTs!$A$1:$C$73,3,FALSE),"NA")</f>
        <v>3South Puget Sound</v>
      </c>
      <c r="M2809" s="72" t="s">
        <v>22</v>
      </c>
      <c r="N2809" t="str">
        <f>VLOOKUP(M2809,LUTs!E$2:H$14,3,)</f>
        <v>09Mason</v>
      </c>
      <c r="O2809" t="str">
        <f>VLOOKUP(M2809,LUTs!E$2:H$14,4,)</f>
        <v>02South Puget Sound</v>
      </c>
      <c r="P2809" s="73">
        <v>67.929824561403507</v>
      </c>
      <c r="Q2809" s="74">
        <f>VLOOKUP(B2809,Readme!A$40:C$51,2,)*P2809</f>
        <v>587.59298245614036</v>
      </c>
    </row>
    <row r="2810" spans="1:17" ht="12" customHeight="1" x14ac:dyDescent="0.35">
      <c r="A2810" s="75">
        <v>2809</v>
      </c>
      <c r="B2810" s="64">
        <v>2018</v>
      </c>
      <c r="C2810" s="64">
        <v>11</v>
      </c>
      <c r="D2810" s="80">
        <f t="shared" ref="D2810:D2873" si="91">IF(C2810&gt;3,B2810,B2810-1)</f>
        <v>2018</v>
      </c>
      <c r="E2810" t="s">
        <v>38</v>
      </c>
      <c r="F2810" t="s">
        <v>143</v>
      </c>
      <c r="G2810" t="s">
        <v>10</v>
      </c>
      <c r="H2810" s="72">
        <v>778</v>
      </c>
      <c r="I2810" s="72" t="s">
        <v>50</v>
      </c>
      <c r="J2810" t="str">
        <f t="shared" si="90"/>
        <v>Minter Creek</v>
      </c>
      <c r="K2810" t="str">
        <f>IFERROR(VLOOKUP(J2810,LUTs!$A$1:$C$73,2,FALSE),"NA")</f>
        <v>Kitsap/Pierce</v>
      </c>
      <c r="L2810" t="str">
        <f>IFERROR(VLOOKUP(J2810,LUTs!$A$1:$C$73,3,FALSE),"NA")</f>
        <v>3South Puget Sound</v>
      </c>
      <c r="M2810" s="72" t="s">
        <v>26</v>
      </c>
      <c r="N2810" t="str">
        <f>VLOOKUP(M2810,LUTs!E$2:H$14,3,)</f>
        <v>20Other</v>
      </c>
      <c r="O2810" t="str">
        <f>VLOOKUP(M2810,LUTs!E$2:H$14,4,)</f>
        <v>07Non Puget Sound</v>
      </c>
      <c r="P2810" s="73">
        <v>155.26817042606501</v>
      </c>
      <c r="Q2810" s="74">
        <f>VLOOKUP(B2810,Readme!A$40:C$51,2,)*P2810</f>
        <v>1343.0696741854624</v>
      </c>
    </row>
    <row r="2811" spans="1:17" ht="12" customHeight="1" x14ac:dyDescent="0.35">
      <c r="A2811" s="75">
        <v>2810</v>
      </c>
      <c r="B2811" s="64">
        <v>2018</v>
      </c>
      <c r="C2811" s="64">
        <v>11</v>
      </c>
      <c r="D2811" s="80">
        <f t="shared" si="91"/>
        <v>2018</v>
      </c>
      <c r="E2811" t="s">
        <v>38</v>
      </c>
      <c r="F2811" t="s">
        <v>143</v>
      </c>
      <c r="G2811" t="s">
        <v>10</v>
      </c>
      <c r="H2811" s="72">
        <v>778</v>
      </c>
      <c r="I2811" s="72" t="s">
        <v>50</v>
      </c>
      <c r="J2811" t="str">
        <f t="shared" si="90"/>
        <v>Minter Creek</v>
      </c>
      <c r="K2811" t="str">
        <f>IFERROR(VLOOKUP(J2811,LUTs!$A$1:$C$73,2,FALSE),"NA")</f>
        <v>Kitsap/Pierce</v>
      </c>
      <c r="L2811" t="str">
        <f>IFERROR(VLOOKUP(J2811,LUTs!$A$1:$C$73,3,FALSE),"NA")</f>
        <v>3South Puget Sound</v>
      </c>
      <c r="M2811" s="72" t="s">
        <v>20</v>
      </c>
      <c r="N2811" t="str">
        <f>VLOOKUP(M2811,LUTs!E$2:H$14,3,)</f>
        <v>07Pierce</v>
      </c>
      <c r="O2811" t="str">
        <f>VLOOKUP(M2811,LUTs!E$2:H$14,4,)</f>
        <v>02South Puget Sound</v>
      </c>
      <c r="P2811" s="73">
        <v>1232.4411027568899</v>
      </c>
      <c r="Q2811" s="74">
        <f>VLOOKUP(B2811,Readme!A$40:C$51,2,)*P2811</f>
        <v>10660.615538847098</v>
      </c>
    </row>
    <row r="2812" spans="1:17" ht="12" customHeight="1" x14ac:dyDescent="0.35">
      <c r="A2812" s="75">
        <v>2811</v>
      </c>
      <c r="B2812" s="64">
        <v>2018</v>
      </c>
      <c r="C2812" s="64">
        <v>11</v>
      </c>
      <c r="D2812" s="80">
        <f t="shared" si="91"/>
        <v>2018</v>
      </c>
      <c r="E2812" t="s">
        <v>38</v>
      </c>
      <c r="F2812" t="s">
        <v>143</v>
      </c>
      <c r="G2812" t="s">
        <v>10</v>
      </c>
      <c r="H2812" s="72">
        <v>778</v>
      </c>
      <c r="I2812" s="72" t="s">
        <v>50</v>
      </c>
      <c r="J2812" t="str">
        <f t="shared" si="90"/>
        <v>Minter Creek</v>
      </c>
      <c r="K2812" t="str">
        <f>IFERROR(VLOOKUP(J2812,LUTs!$A$1:$C$73,2,FALSE),"NA")</f>
        <v>Kitsap/Pierce</v>
      </c>
      <c r="L2812" t="str">
        <f>IFERROR(VLOOKUP(J2812,LUTs!$A$1:$C$73,3,FALSE),"NA")</f>
        <v>3South Puget Sound</v>
      </c>
      <c r="M2812" s="72" t="s">
        <v>16</v>
      </c>
      <c r="N2812" t="str">
        <f>VLOOKUP(M2812,LUTs!E$2:H$14,3,)</f>
        <v>03Snohomish</v>
      </c>
      <c r="O2812" t="str">
        <f>VLOOKUP(M2812,LUTs!E$2:H$14,4,)</f>
        <v>01North Puget Sound</v>
      </c>
      <c r="P2812" s="73">
        <v>271.71929824561403</v>
      </c>
      <c r="Q2812" s="74">
        <f>VLOOKUP(B2812,Readme!A$40:C$51,2,)*P2812</f>
        <v>2350.3719298245614</v>
      </c>
    </row>
    <row r="2813" spans="1:17" ht="12" customHeight="1" x14ac:dyDescent="0.35">
      <c r="A2813" s="75">
        <v>2812</v>
      </c>
      <c r="B2813" s="64">
        <v>2018</v>
      </c>
      <c r="C2813" s="64">
        <v>11</v>
      </c>
      <c r="D2813" s="80">
        <f t="shared" si="91"/>
        <v>2018</v>
      </c>
      <c r="E2813" t="s">
        <v>38</v>
      </c>
      <c r="F2813" t="s">
        <v>143</v>
      </c>
      <c r="G2813" t="s">
        <v>10</v>
      </c>
      <c r="H2813" s="72">
        <v>778</v>
      </c>
      <c r="I2813" s="72" t="s">
        <v>50</v>
      </c>
      <c r="J2813" t="str">
        <f t="shared" si="90"/>
        <v>Minter Creek</v>
      </c>
      <c r="K2813" t="str">
        <f>IFERROR(VLOOKUP(J2813,LUTs!$A$1:$C$73,2,FALSE),"NA")</f>
        <v>Kitsap/Pierce</v>
      </c>
      <c r="L2813" t="str">
        <f>IFERROR(VLOOKUP(J2813,LUTs!$A$1:$C$73,3,FALSE),"NA")</f>
        <v>3South Puget Sound</v>
      </c>
      <c r="M2813" s="72" t="s">
        <v>21</v>
      </c>
      <c r="N2813" t="str">
        <f>VLOOKUP(M2813,LUTs!E$2:H$14,3,)</f>
        <v>08Thurston</v>
      </c>
      <c r="O2813" t="str">
        <f>VLOOKUP(M2813,LUTs!E$2:H$14,4,)</f>
        <v>02South Puget Sound</v>
      </c>
      <c r="P2813" s="73">
        <v>97.042606516290803</v>
      </c>
      <c r="Q2813" s="74">
        <f>VLOOKUP(B2813,Readme!A$40:C$51,2,)*P2813</f>
        <v>839.41854636591552</v>
      </c>
    </row>
    <row r="2814" spans="1:17" ht="12" customHeight="1" x14ac:dyDescent="0.35">
      <c r="A2814" s="75">
        <v>2813</v>
      </c>
      <c r="B2814" s="64">
        <v>2018</v>
      </c>
      <c r="C2814" s="64">
        <v>12</v>
      </c>
      <c r="D2814" s="80">
        <f t="shared" si="91"/>
        <v>2018</v>
      </c>
      <c r="E2814" t="s">
        <v>38</v>
      </c>
      <c r="F2814" t="s">
        <v>143</v>
      </c>
      <c r="G2814" t="s">
        <v>10</v>
      </c>
      <c r="H2814" s="72">
        <v>778</v>
      </c>
      <c r="I2814" s="72" t="s">
        <v>50</v>
      </c>
      <c r="J2814" t="str">
        <f t="shared" si="90"/>
        <v>Minter Creek</v>
      </c>
      <c r="K2814" t="str">
        <f>IFERROR(VLOOKUP(J2814,LUTs!$A$1:$C$73,2,FALSE),"NA")</f>
        <v>Kitsap/Pierce</v>
      </c>
      <c r="L2814" t="str">
        <f>IFERROR(VLOOKUP(J2814,LUTs!$A$1:$C$73,3,FALSE),"NA")</f>
        <v>3South Puget Sound</v>
      </c>
      <c r="M2814" s="72" t="s">
        <v>18</v>
      </c>
      <c r="N2814" t="str">
        <f>VLOOKUP(M2814,LUTs!E$2:H$14,3,)</f>
        <v>06King</v>
      </c>
      <c r="O2814" t="str">
        <f>VLOOKUP(M2814,LUTs!E$2:H$14,4,)</f>
        <v>02South Puget Sound</v>
      </c>
      <c r="P2814" s="73">
        <v>145.45454545454501</v>
      </c>
      <c r="Q2814" s="74">
        <f>VLOOKUP(B2814,Readme!A$40:C$51,2,)*P2814</f>
        <v>1258.1818181818144</v>
      </c>
    </row>
    <row r="2815" spans="1:17" ht="12" customHeight="1" x14ac:dyDescent="0.35">
      <c r="A2815" s="75">
        <v>2814</v>
      </c>
      <c r="B2815" s="64">
        <v>2018</v>
      </c>
      <c r="C2815" s="64">
        <v>12</v>
      </c>
      <c r="D2815" s="80">
        <f t="shared" si="91"/>
        <v>2018</v>
      </c>
      <c r="E2815" t="s">
        <v>38</v>
      </c>
      <c r="F2815" t="s">
        <v>143</v>
      </c>
      <c r="G2815" t="s">
        <v>10</v>
      </c>
      <c r="H2815" s="72">
        <v>778</v>
      </c>
      <c r="I2815" s="72" t="s">
        <v>50</v>
      </c>
      <c r="J2815" t="str">
        <f t="shared" si="90"/>
        <v>Minter Creek</v>
      </c>
      <c r="K2815" t="str">
        <f>IFERROR(VLOOKUP(J2815,LUTs!$A$1:$C$73,2,FALSE),"NA")</f>
        <v>Kitsap/Pierce</v>
      </c>
      <c r="L2815" t="str">
        <f>IFERROR(VLOOKUP(J2815,LUTs!$A$1:$C$73,3,FALSE),"NA")</f>
        <v>3South Puget Sound</v>
      </c>
      <c r="M2815" s="72" t="s">
        <v>23</v>
      </c>
      <c r="N2815" t="str">
        <f>VLOOKUP(M2815,LUTs!E$2:H$14,3,)</f>
        <v>10Kitsap</v>
      </c>
      <c r="O2815" t="str">
        <f>VLOOKUP(M2815,LUTs!E$2:H$14,4,)</f>
        <v>02South Puget Sound</v>
      </c>
      <c r="P2815" s="73">
        <v>38.787878787878803</v>
      </c>
      <c r="Q2815" s="74">
        <f>VLOOKUP(B2815,Readme!A$40:C$51,2,)*P2815</f>
        <v>335.51515151515167</v>
      </c>
    </row>
    <row r="2816" spans="1:17" ht="12" customHeight="1" x14ac:dyDescent="0.35">
      <c r="A2816" s="75">
        <v>2815</v>
      </c>
      <c r="B2816" s="64">
        <v>2018</v>
      </c>
      <c r="C2816" s="64">
        <v>12</v>
      </c>
      <c r="D2816" s="80">
        <f t="shared" si="91"/>
        <v>2018</v>
      </c>
      <c r="E2816" t="s">
        <v>38</v>
      </c>
      <c r="F2816" t="s">
        <v>143</v>
      </c>
      <c r="G2816" t="s">
        <v>10</v>
      </c>
      <c r="H2816" s="72">
        <v>778</v>
      </c>
      <c r="I2816" s="72" t="s">
        <v>50</v>
      </c>
      <c r="J2816" t="str">
        <f t="shared" si="90"/>
        <v>Minter Creek</v>
      </c>
      <c r="K2816" t="str">
        <f>IFERROR(VLOOKUP(J2816,LUTs!$A$1:$C$73,2,FALSE),"NA")</f>
        <v>Kitsap/Pierce</v>
      </c>
      <c r="L2816" t="str">
        <f>IFERROR(VLOOKUP(J2816,LUTs!$A$1:$C$73,3,FALSE),"NA")</f>
        <v>3South Puget Sound</v>
      </c>
      <c r="M2816" s="72" t="s">
        <v>20</v>
      </c>
      <c r="N2816" t="str">
        <f>VLOOKUP(M2816,LUTs!E$2:H$14,3,)</f>
        <v>07Pierce</v>
      </c>
      <c r="O2816" t="str">
        <f>VLOOKUP(M2816,LUTs!E$2:H$14,4,)</f>
        <v>02South Puget Sound</v>
      </c>
      <c r="P2816" s="73">
        <v>67.878787878787904</v>
      </c>
      <c r="Q2816" s="74">
        <f>VLOOKUP(B2816,Readme!A$40:C$51,2,)*P2816</f>
        <v>587.15151515151535</v>
      </c>
    </row>
    <row r="2817" spans="1:17" ht="12" customHeight="1" x14ac:dyDescent="0.35">
      <c r="A2817" s="75">
        <v>2816</v>
      </c>
      <c r="B2817" s="64">
        <v>2018</v>
      </c>
      <c r="C2817" s="64">
        <v>12</v>
      </c>
      <c r="D2817" s="80">
        <f t="shared" si="91"/>
        <v>2018</v>
      </c>
      <c r="E2817" t="s">
        <v>38</v>
      </c>
      <c r="F2817" t="s">
        <v>143</v>
      </c>
      <c r="G2817" t="s">
        <v>10</v>
      </c>
      <c r="H2817" s="72">
        <v>778</v>
      </c>
      <c r="I2817" s="72" t="s">
        <v>50</v>
      </c>
      <c r="J2817" t="str">
        <f t="shared" si="90"/>
        <v>Minter Creek</v>
      </c>
      <c r="K2817" t="str">
        <f>IFERROR(VLOOKUP(J2817,LUTs!$A$1:$C$73,2,FALSE),"NA")</f>
        <v>Kitsap/Pierce</v>
      </c>
      <c r="L2817" t="str">
        <f>IFERROR(VLOOKUP(J2817,LUTs!$A$1:$C$73,3,FALSE),"NA")</f>
        <v>3South Puget Sound</v>
      </c>
      <c r="M2817" s="72" t="s">
        <v>16</v>
      </c>
      <c r="N2817" t="str">
        <f>VLOOKUP(M2817,LUTs!E$2:H$14,3,)</f>
        <v>03Snohomish</v>
      </c>
      <c r="O2817" t="str">
        <f>VLOOKUP(M2817,LUTs!E$2:H$14,4,)</f>
        <v>01North Puget Sound</v>
      </c>
      <c r="P2817" s="73">
        <v>67.878787878787904</v>
      </c>
      <c r="Q2817" s="74">
        <f>VLOOKUP(B2817,Readme!A$40:C$51,2,)*P2817</f>
        <v>587.15151515151535</v>
      </c>
    </row>
    <row r="2818" spans="1:17" ht="12" customHeight="1" x14ac:dyDescent="0.35">
      <c r="A2818" s="75">
        <v>2817</v>
      </c>
      <c r="B2818" s="64">
        <v>2018</v>
      </c>
      <c r="C2818" s="64">
        <v>6</v>
      </c>
      <c r="D2818" s="80">
        <f t="shared" si="91"/>
        <v>2018</v>
      </c>
      <c r="E2818" t="s">
        <v>38</v>
      </c>
      <c r="F2818" t="s">
        <v>143</v>
      </c>
      <c r="G2818" t="s">
        <v>10</v>
      </c>
      <c r="H2818" s="72">
        <v>786</v>
      </c>
      <c r="I2818" s="72" t="s">
        <v>51</v>
      </c>
      <c r="J2818" t="str">
        <f t="shared" si="90"/>
        <v>Nisqually River</v>
      </c>
      <c r="K2818" t="str">
        <f>IFERROR(VLOOKUP(J2818,LUTs!$A$1:$C$73,2,FALSE),"NA")</f>
        <v>Thurston/Pierce</v>
      </c>
      <c r="L2818" t="str">
        <f>IFERROR(VLOOKUP(J2818,LUTs!$A$1:$C$73,3,FALSE),"NA")</f>
        <v>3South Puget Sound</v>
      </c>
      <c r="M2818" s="72" t="s">
        <v>21</v>
      </c>
      <c r="N2818" t="str">
        <f>VLOOKUP(M2818,LUTs!E$2:H$14,3,)</f>
        <v>08Thurston</v>
      </c>
      <c r="O2818" t="str">
        <f>VLOOKUP(M2818,LUTs!E$2:H$14,4,)</f>
        <v>02South Puget Sound</v>
      </c>
      <c r="P2818" s="73">
        <v>9</v>
      </c>
      <c r="Q2818" s="74">
        <f>VLOOKUP(B2818,Readme!A$40:C$51,2,)*P2818</f>
        <v>77.850000000000009</v>
      </c>
    </row>
    <row r="2819" spans="1:17" ht="12" customHeight="1" x14ac:dyDescent="0.35">
      <c r="A2819" s="75">
        <v>2818</v>
      </c>
      <c r="B2819" s="64">
        <v>2018</v>
      </c>
      <c r="C2819" s="64">
        <v>7</v>
      </c>
      <c r="D2819" s="80">
        <f t="shared" si="91"/>
        <v>2018</v>
      </c>
      <c r="E2819" t="s">
        <v>38</v>
      </c>
      <c r="F2819" t="s">
        <v>143</v>
      </c>
      <c r="G2819" t="s">
        <v>10</v>
      </c>
      <c r="H2819" s="72">
        <v>786</v>
      </c>
      <c r="I2819" s="72" t="s">
        <v>51</v>
      </c>
      <c r="J2819" t="str">
        <f t="shared" ref="J2819:J2882" si="92">I2819</f>
        <v>Nisqually River</v>
      </c>
      <c r="K2819" t="str">
        <f>IFERROR(VLOOKUP(J2819,LUTs!$A$1:$C$73,2,FALSE),"NA")</f>
        <v>Thurston/Pierce</v>
      </c>
      <c r="L2819" t="str">
        <f>IFERROR(VLOOKUP(J2819,LUTs!$A$1:$C$73,3,FALSE),"NA")</f>
        <v>3South Puget Sound</v>
      </c>
      <c r="M2819" s="72" t="s">
        <v>20</v>
      </c>
      <c r="N2819" t="str">
        <f>VLOOKUP(M2819,LUTs!E$2:H$14,3,)</f>
        <v>07Pierce</v>
      </c>
      <c r="O2819" t="str">
        <f>VLOOKUP(M2819,LUTs!E$2:H$14,4,)</f>
        <v>02South Puget Sound</v>
      </c>
      <c r="P2819" s="73">
        <v>18.8</v>
      </c>
      <c r="Q2819" s="74">
        <f>VLOOKUP(B2819,Readme!A$40:C$51,2,)*P2819</f>
        <v>162.62</v>
      </c>
    </row>
    <row r="2820" spans="1:17" ht="12" customHeight="1" x14ac:dyDescent="0.35">
      <c r="A2820" s="75">
        <v>2819</v>
      </c>
      <c r="B2820" s="64">
        <v>2018</v>
      </c>
      <c r="C2820" s="64">
        <v>7</v>
      </c>
      <c r="D2820" s="80">
        <f t="shared" si="91"/>
        <v>2018</v>
      </c>
      <c r="E2820" t="s">
        <v>38</v>
      </c>
      <c r="F2820" t="s">
        <v>143</v>
      </c>
      <c r="G2820" t="s">
        <v>10</v>
      </c>
      <c r="H2820" s="72">
        <v>786</v>
      </c>
      <c r="I2820" s="72" t="s">
        <v>51</v>
      </c>
      <c r="J2820" t="str">
        <f t="shared" si="92"/>
        <v>Nisqually River</v>
      </c>
      <c r="K2820" t="str">
        <f>IFERROR(VLOOKUP(J2820,LUTs!$A$1:$C$73,2,FALSE),"NA")</f>
        <v>Thurston/Pierce</v>
      </c>
      <c r="L2820" t="str">
        <f>IFERROR(VLOOKUP(J2820,LUTs!$A$1:$C$73,3,FALSE),"NA")</f>
        <v>3South Puget Sound</v>
      </c>
      <c r="M2820" s="72" t="s">
        <v>21</v>
      </c>
      <c r="N2820" t="str">
        <f>VLOOKUP(M2820,LUTs!E$2:H$14,3,)</f>
        <v>08Thurston</v>
      </c>
      <c r="O2820" t="str">
        <f>VLOOKUP(M2820,LUTs!E$2:H$14,4,)</f>
        <v>02South Puget Sound</v>
      </c>
      <c r="P2820" s="73">
        <v>75.2</v>
      </c>
      <c r="Q2820" s="74">
        <f>VLOOKUP(B2820,Readme!A$40:C$51,2,)*P2820</f>
        <v>650.48</v>
      </c>
    </row>
    <row r="2821" spans="1:17" ht="12" customHeight="1" x14ac:dyDescent="0.35">
      <c r="A2821" s="75">
        <v>2820</v>
      </c>
      <c r="B2821" s="64">
        <v>2018</v>
      </c>
      <c r="C2821" s="64">
        <v>8</v>
      </c>
      <c r="D2821" s="80">
        <f t="shared" si="91"/>
        <v>2018</v>
      </c>
      <c r="E2821" t="s">
        <v>38</v>
      </c>
      <c r="F2821" t="s">
        <v>143</v>
      </c>
      <c r="G2821" t="s">
        <v>10</v>
      </c>
      <c r="H2821" s="72">
        <v>786</v>
      </c>
      <c r="I2821" s="72" t="s">
        <v>51</v>
      </c>
      <c r="J2821" t="str">
        <f t="shared" si="92"/>
        <v>Nisqually River</v>
      </c>
      <c r="K2821" t="str">
        <f>IFERROR(VLOOKUP(J2821,LUTs!$A$1:$C$73,2,FALSE),"NA")</f>
        <v>Thurston/Pierce</v>
      </c>
      <c r="L2821" t="str">
        <f>IFERROR(VLOOKUP(J2821,LUTs!$A$1:$C$73,3,FALSE),"NA")</f>
        <v>3South Puget Sound</v>
      </c>
      <c r="M2821" s="72" t="s">
        <v>18</v>
      </c>
      <c r="N2821" t="str">
        <f>VLOOKUP(M2821,LUTs!E$2:H$14,3,)</f>
        <v>06King</v>
      </c>
      <c r="O2821" t="str">
        <f>VLOOKUP(M2821,LUTs!E$2:H$14,4,)</f>
        <v>02South Puget Sound</v>
      </c>
      <c r="P2821" s="73">
        <v>142.105263157895</v>
      </c>
      <c r="Q2821" s="74">
        <f>VLOOKUP(B2821,Readme!A$40:C$51,2,)*P2821</f>
        <v>1229.2105263157919</v>
      </c>
    </row>
    <row r="2822" spans="1:17" ht="12" customHeight="1" x14ac:dyDescent="0.35">
      <c r="A2822" s="75">
        <v>2821</v>
      </c>
      <c r="B2822" s="64">
        <v>2018</v>
      </c>
      <c r="C2822" s="64">
        <v>8</v>
      </c>
      <c r="D2822" s="80">
        <f t="shared" si="91"/>
        <v>2018</v>
      </c>
      <c r="E2822" t="s">
        <v>38</v>
      </c>
      <c r="F2822" t="s">
        <v>143</v>
      </c>
      <c r="G2822" t="s">
        <v>10</v>
      </c>
      <c r="H2822" s="72">
        <v>786</v>
      </c>
      <c r="I2822" s="72" t="s">
        <v>51</v>
      </c>
      <c r="J2822" t="str">
        <f t="shared" si="92"/>
        <v>Nisqually River</v>
      </c>
      <c r="K2822" t="str">
        <f>IFERROR(VLOOKUP(J2822,LUTs!$A$1:$C$73,2,FALSE),"NA")</f>
        <v>Thurston/Pierce</v>
      </c>
      <c r="L2822" t="str">
        <f>IFERROR(VLOOKUP(J2822,LUTs!$A$1:$C$73,3,FALSE),"NA")</f>
        <v>3South Puget Sound</v>
      </c>
      <c r="M2822" s="72" t="s">
        <v>23</v>
      </c>
      <c r="N2822" t="str">
        <f>VLOOKUP(M2822,LUTs!E$2:H$14,3,)</f>
        <v>10Kitsap</v>
      </c>
      <c r="O2822" t="str">
        <f>VLOOKUP(M2822,LUTs!E$2:H$14,4,)</f>
        <v>02South Puget Sound</v>
      </c>
      <c r="P2822" s="73">
        <v>9.4736842105263204</v>
      </c>
      <c r="Q2822" s="74">
        <f>VLOOKUP(B2822,Readme!A$40:C$51,2,)*P2822</f>
        <v>81.947368421052673</v>
      </c>
    </row>
    <row r="2823" spans="1:17" ht="12" customHeight="1" x14ac:dyDescent="0.35">
      <c r="A2823" s="75">
        <v>2822</v>
      </c>
      <c r="B2823" s="64">
        <v>2018</v>
      </c>
      <c r="C2823" s="64">
        <v>8</v>
      </c>
      <c r="D2823" s="80">
        <f t="shared" si="91"/>
        <v>2018</v>
      </c>
      <c r="E2823" t="s">
        <v>38</v>
      </c>
      <c r="F2823" t="s">
        <v>143</v>
      </c>
      <c r="G2823" t="s">
        <v>10</v>
      </c>
      <c r="H2823" s="72">
        <v>786</v>
      </c>
      <c r="I2823" s="72" t="s">
        <v>51</v>
      </c>
      <c r="J2823" t="str">
        <f t="shared" si="92"/>
        <v>Nisqually River</v>
      </c>
      <c r="K2823" t="str">
        <f>IFERROR(VLOOKUP(J2823,LUTs!$A$1:$C$73,2,FALSE),"NA")</f>
        <v>Thurston/Pierce</v>
      </c>
      <c r="L2823" t="str">
        <f>IFERROR(VLOOKUP(J2823,LUTs!$A$1:$C$73,3,FALSE),"NA")</f>
        <v>3South Puget Sound</v>
      </c>
      <c r="M2823" s="72" t="s">
        <v>22</v>
      </c>
      <c r="N2823" t="str">
        <f>VLOOKUP(M2823,LUTs!E$2:H$14,3,)</f>
        <v>09Mason</v>
      </c>
      <c r="O2823" t="str">
        <f>VLOOKUP(M2823,LUTs!E$2:H$14,4,)</f>
        <v>02South Puget Sound</v>
      </c>
      <c r="P2823" s="73">
        <v>9.4736842105263204</v>
      </c>
      <c r="Q2823" s="74">
        <f>VLOOKUP(B2823,Readme!A$40:C$51,2,)*P2823</f>
        <v>81.947368421052673</v>
      </c>
    </row>
    <row r="2824" spans="1:17" ht="12" customHeight="1" x14ac:dyDescent="0.35">
      <c r="A2824" s="75">
        <v>2823</v>
      </c>
      <c r="B2824" s="64">
        <v>2018</v>
      </c>
      <c r="C2824" s="64">
        <v>8</v>
      </c>
      <c r="D2824" s="80">
        <f t="shared" si="91"/>
        <v>2018</v>
      </c>
      <c r="E2824" t="s">
        <v>38</v>
      </c>
      <c r="F2824" t="s">
        <v>143</v>
      </c>
      <c r="G2824" t="s">
        <v>10</v>
      </c>
      <c r="H2824" s="72">
        <v>786</v>
      </c>
      <c r="I2824" s="72" t="s">
        <v>51</v>
      </c>
      <c r="J2824" t="str">
        <f t="shared" si="92"/>
        <v>Nisqually River</v>
      </c>
      <c r="K2824" t="str">
        <f>IFERROR(VLOOKUP(J2824,LUTs!$A$1:$C$73,2,FALSE),"NA")</f>
        <v>Thurston/Pierce</v>
      </c>
      <c r="L2824" t="str">
        <f>IFERROR(VLOOKUP(J2824,LUTs!$A$1:$C$73,3,FALSE),"NA")</f>
        <v>3South Puget Sound</v>
      </c>
      <c r="M2824" s="72" t="s">
        <v>26</v>
      </c>
      <c r="N2824" t="str">
        <f>VLOOKUP(M2824,LUTs!E$2:H$14,3,)</f>
        <v>20Other</v>
      </c>
      <c r="O2824" t="str">
        <f>VLOOKUP(M2824,LUTs!E$2:H$14,4,)</f>
        <v>07Non Puget Sound</v>
      </c>
      <c r="P2824" s="73">
        <v>47.368421052631597</v>
      </c>
      <c r="Q2824" s="74">
        <f>VLOOKUP(B2824,Readme!A$40:C$51,2,)*P2824</f>
        <v>409.73684210526335</v>
      </c>
    </row>
    <row r="2825" spans="1:17" ht="12" customHeight="1" x14ac:dyDescent="0.35">
      <c r="A2825" s="75">
        <v>2824</v>
      </c>
      <c r="B2825" s="64">
        <v>2018</v>
      </c>
      <c r="C2825" s="64">
        <v>8</v>
      </c>
      <c r="D2825" s="80">
        <f t="shared" si="91"/>
        <v>2018</v>
      </c>
      <c r="E2825" t="s">
        <v>38</v>
      </c>
      <c r="F2825" t="s">
        <v>143</v>
      </c>
      <c r="G2825" t="s">
        <v>10</v>
      </c>
      <c r="H2825" s="72">
        <v>786</v>
      </c>
      <c r="I2825" s="72" t="s">
        <v>51</v>
      </c>
      <c r="J2825" t="str">
        <f t="shared" si="92"/>
        <v>Nisqually River</v>
      </c>
      <c r="K2825" t="str">
        <f>IFERROR(VLOOKUP(J2825,LUTs!$A$1:$C$73,2,FALSE),"NA")</f>
        <v>Thurston/Pierce</v>
      </c>
      <c r="L2825" t="str">
        <f>IFERROR(VLOOKUP(J2825,LUTs!$A$1:$C$73,3,FALSE),"NA")</f>
        <v>3South Puget Sound</v>
      </c>
      <c r="M2825" s="72" t="s">
        <v>20</v>
      </c>
      <c r="N2825" t="str">
        <f>VLOOKUP(M2825,LUTs!E$2:H$14,3,)</f>
        <v>07Pierce</v>
      </c>
      <c r="O2825" t="str">
        <f>VLOOKUP(M2825,LUTs!E$2:H$14,4,)</f>
        <v>02South Puget Sound</v>
      </c>
      <c r="P2825" s="73">
        <v>1146.3157894736801</v>
      </c>
      <c r="Q2825" s="74">
        <f>VLOOKUP(B2825,Readme!A$40:C$51,2,)*P2825</f>
        <v>9915.6315789473338</v>
      </c>
    </row>
    <row r="2826" spans="1:17" ht="12" customHeight="1" x14ac:dyDescent="0.35">
      <c r="A2826" s="75">
        <v>2825</v>
      </c>
      <c r="B2826" s="64">
        <v>2018</v>
      </c>
      <c r="C2826" s="64">
        <v>8</v>
      </c>
      <c r="D2826" s="80">
        <f t="shared" si="91"/>
        <v>2018</v>
      </c>
      <c r="E2826" t="s">
        <v>38</v>
      </c>
      <c r="F2826" t="s">
        <v>143</v>
      </c>
      <c r="G2826" t="s">
        <v>10</v>
      </c>
      <c r="H2826" s="72">
        <v>786</v>
      </c>
      <c r="I2826" s="72" t="s">
        <v>51</v>
      </c>
      <c r="J2826" t="str">
        <f t="shared" si="92"/>
        <v>Nisqually River</v>
      </c>
      <c r="K2826" t="str">
        <f>IFERROR(VLOOKUP(J2826,LUTs!$A$1:$C$73,2,FALSE),"NA")</f>
        <v>Thurston/Pierce</v>
      </c>
      <c r="L2826" t="str">
        <f>IFERROR(VLOOKUP(J2826,LUTs!$A$1:$C$73,3,FALSE),"NA")</f>
        <v>3South Puget Sound</v>
      </c>
      <c r="M2826" s="72" t="s">
        <v>21</v>
      </c>
      <c r="N2826" t="str">
        <f>VLOOKUP(M2826,LUTs!E$2:H$14,3,)</f>
        <v>08Thurston</v>
      </c>
      <c r="O2826" t="str">
        <f>VLOOKUP(M2826,LUTs!E$2:H$14,4,)</f>
        <v>02South Puget Sound</v>
      </c>
      <c r="P2826" s="73">
        <v>1165.2631578947401</v>
      </c>
      <c r="Q2826" s="74">
        <f>VLOOKUP(B2826,Readme!A$40:C$51,2,)*P2826</f>
        <v>10079.526315789502</v>
      </c>
    </row>
    <row r="2827" spans="1:17" ht="12" customHeight="1" x14ac:dyDescent="0.35">
      <c r="A2827" s="75">
        <v>2826</v>
      </c>
      <c r="B2827" s="64">
        <v>2018</v>
      </c>
      <c r="C2827" s="64">
        <v>9</v>
      </c>
      <c r="D2827" s="80">
        <f t="shared" si="91"/>
        <v>2018</v>
      </c>
      <c r="E2827" t="s">
        <v>38</v>
      </c>
      <c r="F2827" t="s">
        <v>143</v>
      </c>
      <c r="G2827" t="s">
        <v>10</v>
      </c>
      <c r="H2827" s="72">
        <v>786</v>
      </c>
      <c r="I2827" s="72" t="s">
        <v>51</v>
      </c>
      <c r="J2827" t="str">
        <f t="shared" si="92"/>
        <v>Nisqually River</v>
      </c>
      <c r="K2827" t="str">
        <f>IFERROR(VLOOKUP(J2827,LUTs!$A$1:$C$73,2,FALSE),"NA")</f>
        <v>Thurston/Pierce</v>
      </c>
      <c r="L2827" t="str">
        <f>IFERROR(VLOOKUP(J2827,LUTs!$A$1:$C$73,3,FALSE),"NA")</f>
        <v>3South Puget Sound</v>
      </c>
      <c r="M2827" s="72" t="s">
        <v>18</v>
      </c>
      <c r="N2827" t="str">
        <f>VLOOKUP(M2827,LUTs!E$2:H$14,3,)</f>
        <v>06King</v>
      </c>
      <c r="O2827" t="str">
        <f>VLOOKUP(M2827,LUTs!E$2:H$14,4,)</f>
        <v>02South Puget Sound</v>
      </c>
      <c r="P2827" s="73">
        <v>199.03676470588201</v>
      </c>
      <c r="Q2827" s="74">
        <f>VLOOKUP(B2827,Readme!A$40:C$51,2,)*P2827</f>
        <v>1721.6680147058794</v>
      </c>
    </row>
    <row r="2828" spans="1:17" ht="12" customHeight="1" x14ac:dyDescent="0.35">
      <c r="A2828" s="75">
        <v>2827</v>
      </c>
      <c r="B2828" s="64">
        <v>2018</v>
      </c>
      <c r="C2828" s="64">
        <v>9</v>
      </c>
      <c r="D2828" s="80">
        <f t="shared" si="91"/>
        <v>2018</v>
      </c>
      <c r="E2828" t="s">
        <v>38</v>
      </c>
      <c r="F2828" t="s">
        <v>143</v>
      </c>
      <c r="G2828" t="s">
        <v>10</v>
      </c>
      <c r="H2828" s="72">
        <v>786</v>
      </c>
      <c r="I2828" s="72" t="s">
        <v>51</v>
      </c>
      <c r="J2828" t="str">
        <f t="shared" si="92"/>
        <v>Nisqually River</v>
      </c>
      <c r="K2828" t="str">
        <f>IFERROR(VLOOKUP(J2828,LUTs!$A$1:$C$73,2,FALSE),"NA")</f>
        <v>Thurston/Pierce</v>
      </c>
      <c r="L2828" t="str">
        <f>IFERROR(VLOOKUP(J2828,LUTs!$A$1:$C$73,3,FALSE),"NA")</f>
        <v>3South Puget Sound</v>
      </c>
      <c r="M2828" s="72" t="s">
        <v>22</v>
      </c>
      <c r="N2828" t="str">
        <f>VLOOKUP(M2828,LUTs!E$2:H$14,3,)</f>
        <v>09Mason</v>
      </c>
      <c r="O2828" t="str">
        <f>VLOOKUP(M2828,LUTs!E$2:H$14,4,)</f>
        <v>02South Puget Sound</v>
      </c>
      <c r="P2828" s="73">
        <v>9.4779411764705905</v>
      </c>
      <c r="Q2828" s="74">
        <f>VLOOKUP(B2828,Readme!A$40:C$51,2,)*P2828</f>
        <v>81.984191176470617</v>
      </c>
    </row>
    <row r="2829" spans="1:17" ht="12" customHeight="1" x14ac:dyDescent="0.35">
      <c r="A2829" s="75">
        <v>2828</v>
      </c>
      <c r="B2829" s="64">
        <v>2018</v>
      </c>
      <c r="C2829" s="64">
        <v>9</v>
      </c>
      <c r="D2829" s="80">
        <f t="shared" si="91"/>
        <v>2018</v>
      </c>
      <c r="E2829" t="s">
        <v>38</v>
      </c>
      <c r="F2829" t="s">
        <v>143</v>
      </c>
      <c r="G2829" t="s">
        <v>10</v>
      </c>
      <c r="H2829" s="72">
        <v>786</v>
      </c>
      <c r="I2829" s="72" t="s">
        <v>51</v>
      </c>
      <c r="J2829" t="str">
        <f t="shared" si="92"/>
        <v>Nisqually River</v>
      </c>
      <c r="K2829" t="str">
        <f>IFERROR(VLOOKUP(J2829,LUTs!$A$1:$C$73,2,FALSE),"NA")</f>
        <v>Thurston/Pierce</v>
      </c>
      <c r="L2829" t="str">
        <f>IFERROR(VLOOKUP(J2829,LUTs!$A$1:$C$73,3,FALSE),"NA")</f>
        <v>3South Puget Sound</v>
      </c>
      <c r="M2829" s="72" t="s">
        <v>26</v>
      </c>
      <c r="N2829" t="str">
        <f>VLOOKUP(M2829,LUTs!E$2:H$14,3,)</f>
        <v>20Other</v>
      </c>
      <c r="O2829" t="str">
        <f>VLOOKUP(M2829,LUTs!E$2:H$14,4,)</f>
        <v>07Non Puget Sound</v>
      </c>
      <c r="P2829" s="73">
        <v>170.60294117647101</v>
      </c>
      <c r="Q2829" s="74">
        <f>VLOOKUP(B2829,Readme!A$40:C$51,2,)*P2829</f>
        <v>1475.7154411764743</v>
      </c>
    </row>
    <row r="2830" spans="1:17" ht="12" customHeight="1" x14ac:dyDescent="0.35">
      <c r="A2830" s="75">
        <v>2829</v>
      </c>
      <c r="B2830" s="64">
        <v>2018</v>
      </c>
      <c r="C2830" s="64">
        <v>9</v>
      </c>
      <c r="D2830" s="80">
        <f t="shared" si="91"/>
        <v>2018</v>
      </c>
      <c r="E2830" t="s">
        <v>38</v>
      </c>
      <c r="F2830" t="s">
        <v>143</v>
      </c>
      <c r="G2830" t="s">
        <v>10</v>
      </c>
      <c r="H2830" s="72">
        <v>786</v>
      </c>
      <c r="I2830" s="72" t="s">
        <v>51</v>
      </c>
      <c r="J2830" t="str">
        <f t="shared" si="92"/>
        <v>Nisqually River</v>
      </c>
      <c r="K2830" t="str">
        <f>IFERROR(VLOOKUP(J2830,LUTs!$A$1:$C$73,2,FALSE),"NA")</f>
        <v>Thurston/Pierce</v>
      </c>
      <c r="L2830" t="str">
        <f>IFERROR(VLOOKUP(J2830,LUTs!$A$1:$C$73,3,FALSE),"NA")</f>
        <v>3South Puget Sound</v>
      </c>
      <c r="M2830" s="72" t="s">
        <v>20</v>
      </c>
      <c r="N2830" t="str">
        <f>VLOOKUP(M2830,LUTs!E$2:H$14,3,)</f>
        <v>07Pierce</v>
      </c>
      <c r="O2830" t="str">
        <f>VLOOKUP(M2830,LUTs!E$2:H$14,4,)</f>
        <v>02South Puget Sound</v>
      </c>
      <c r="P2830" s="73">
        <v>966.75</v>
      </c>
      <c r="Q2830" s="74">
        <f>VLOOKUP(B2830,Readme!A$40:C$51,2,)*P2830</f>
        <v>8362.3875000000007</v>
      </c>
    </row>
    <row r="2831" spans="1:17" ht="12" customHeight="1" x14ac:dyDescent="0.35">
      <c r="A2831" s="75">
        <v>2830</v>
      </c>
      <c r="B2831" s="64">
        <v>2018</v>
      </c>
      <c r="C2831" s="64">
        <v>9</v>
      </c>
      <c r="D2831" s="80">
        <f t="shared" si="91"/>
        <v>2018</v>
      </c>
      <c r="E2831" t="s">
        <v>38</v>
      </c>
      <c r="F2831" t="s">
        <v>143</v>
      </c>
      <c r="G2831" t="s">
        <v>10</v>
      </c>
      <c r="H2831" s="72">
        <v>786</v>
      </c>
      <c r="I2831" s="72" t="s">
        <v>51</v>
      </c>
      <c r="J2831" t="str">
        <f t="shared" si="92"/>
        <v>Nisqually River</v>
      </c>
      <c r="K2831" t="str">
        <f>IFERROR(VLOOKUP(J2831,LUTs!$A$1:$C$73,2,FALSE),"NA")</f>
        <v>Thurston/Pierce</v>
      </c>
      <c r="L2831" t="str">
        <f>IFERROR(VLOOKUP(J2831,LUTs!$A$1:$C$73,3,FALSE),"NA")</f>
        <v>3South Puget Sound</v>
      </c>
      <c r="M2831" s="72" t="s">
        <v>16</v>
      </c>
      <c r="N2831" t="str">
        <f>VLOOKUP(M2831,LUTs!E$2:H$14,3,)</f>
        <v>03Snohomish</v>
      </c>
      <c r="O2831" t="str">
        <f>VLOOKUP(M2831,LUTs!E$2:H$14,4,)</f>
        <v>01North Puget Sound</v>
      </c>
      <c r="P2831" s="73">
        <v>9.4779411764705905</v>
      </c>
      <c r="Q2831" s="74">
        <f>VLOOKUP(B2831,Readme!A$40:C$51,2,)*P2831</f>
        <v>81.984191176470617</v>
      </c>
    </row>
    <row r="2832" spans="1:17" ht="12" customHeight="1" x14ac:dyDescent="0.35">
      <c r="A2832" s="75">
        <v>2831</v>
      </c>
      <c r="B2832" s="64">
        <v>2018</v>
      </c>
      <c r="C2832" s="64">
        <v>9</v>
      </c>
      <c r="D2832" s="80">
        <f t="shared" si="91"/>
        <v>2018</v>
      </c>
      <c r="E2832" t="s">
        <v>38</v>
      </c>
      <c r="F2832" t="s">
        <v>143</v>
      </c>
      <c r="G2832" t="s">
        <v>10</v>
      </c>
      <c r="H2832" s="72">
        <v>786</v>
      </c>
      <c r="I2832" s="72" t="s">
        <v>51</v>
      </c>
      <c r="J2832" t="str">
        <f t="shared" si="92"/>
        <v>Nisqually River</v>
      </c>
      <c r="K2832" t="str">
        <f>IFERROR(VLOOKUP(J2832,LUTs!$A$1:$C$73,2,FALSE),"NA")</f>
        <v>Thurston/Pierce</v>
      </c>
      <c r="L2832" t="str">
        <f>IFERROR(VLOOKUP(J2832,LUTs!$A$1:$C$73,3,FALSE),"NA")</f>
        <v>3South Puget Sound</v>
      </c>
      <c r="M2832" s="72" t="s">
        <v>21</v>
      </c>
      <c r="N2832" t="str">
        <f>VLOOKUP(M2832,LUTs!E$2:H$14,3,)</f>
        <v>08Thurston</v>
      </c>
      <c r="O2832" t="str">
        <f>VLOOKUP(M2832,LUTs!E$2:H$14,4,)</f>
        <v>02South Puget Sound</v>
      </c>
      <c r="P2832" s="73">
        <v>1222.6544117647099</v>
      </c>
      <c r="Q2832" s="74">
        <f>VLOOKUP(B2832,Readme!A$40:C$51,2,)*P2832</f>
        <v>10575.960661764742</v>
      </c>
    </row>
    <row r="2833" spans="1:17" ht="12" customHeight="1" x14ac:dyDescent="0.35">
      <c r="A2833" s="75">
        <v>2832</v>
      </c>
      <c r="B2833" s="64">
        <v>2018</v>
      </c>
      <c r="C2833" s="64">
        <v>8</v>
      </c>
      <c r="D2833" s="80">
        <f t="shared" si="91"/>
        <v>2018</v>
      </c>
      <c r="E2833" t="s">
        <v>38</v>
      </c>
      <c r="F2833" t="s">
        <v>143</v>
      </c>
      <c r="G2833" t="s">
        <v>10</v>
      </c>
      <c r="H2833" s="72">
        <v>788</v>
      </c>
      <c r="I2833" s="72" t="s">
        <v>52</v>
      </c>
      <c r="J2833" t="str">
        <f t="shared" si="92"/>
        <v>Nooksack River</v>
      </c>
      <c r="K2833" t="str">
        <f>IFERROR(VLOOKUP(J2833,LUTs!$A$1:$C$73,2,FALSE),"NA")</f>
        <v>Whatcom</v>
      </c>
      <c r="L2833" t="str">
        <f>IFERROR(VLOOKUP(J2833,LUTs!$A$1:$C$73,3,FALSE),"NA")</f>
        <v>1North Puget Sound</v>
      </c>
      <c r="M2833" s="72" t="s">
        <v>13</v>
      </c>
      <c r="N2833" t="str">
        <f>VLOOKUP(M2833,LUTs!E$2:H$14,3,)</f>
        <v>01Whatcom</v>
      </c>
      <c r="O2833" t="str">
        <f>VLOOKUP(M2833,LUTs!E$2:H$14,4,)</f>
        <v>01North Puget Sound</v>
      </c>
      <c r="P2833" s="73">
        <v>147</v>
      </c>
      <c r="Q2833" s="74">
        <f>VLOOKUP(B2833,Readme!A$40:C$51,2,)*P2833</f>
        <v>1271.55</v>
      </c>
    </row>
    <row r="2834" spans="1:17" ht="12" customHeight="1" x14ac:dyDescent="0.35">
      <c r="A2834" s="75">
        <v>2833</v>
      </c>
      <c r="B2834" s="64">
        <v>2018</v>
      </c>
      <c r="C2834" s="64">
        <v>9</v>
      </c>
      <c r="D2834" s="80">
        <f t="shared" si="91"/>
        <v>2018</v>
      </c>
      <c r="E2834" t="s">
        <v>38</v>
      </c>
      <c r="F2834" t="s">
        <v>143</v>
      </c>
      <c r="G2834" t="s">
        <v>10</v>
      </c>
      <c r="H2834" s="72">
        <v>788</v>
      </c>
      <c r="I2834" s="72" t="s">
        <v>52</v>
      </c>
      <c r="J2834" t="str">
        <f t="shared" si="92"/>
        <v>Nooksack River</v>
      </c>
      <c r="K2834" t="str">
        <f>IFERROR(VLOOKUP(J2834,LUTs!$A$1:$C$73,2,FALSE),"NA")</f>
        <v>Whatcom</v>
      </c>
      <c r="L2834" t="str">
        <f>IFERROR(VLOOKUP(J2834,LUTs!$A$1:$C$73,3,FALSE),"NA")</f>
        <v>1North Puget Sound</v>
      </c>
      <c r="M2834" s="72" t="s">
        <v>13</v>
      </c>
      <c r="N2834" t="str">
        <f>VLOOKUP(M2834,LUTs!E$2:H$14,3,)</f>
        <v>01Whatcom</v>
      </c>
      <c r="O2834" t="str">
        <f>VLOOKUP(M2834,LUTs!E$2:H$14,4,)</f>
        <v>01North Puget Sound</v>
      </c>
      <c r="P2834" s="73">
        <v>1603</v>
      </c>
      <c r="Q2834" s="74">
        <f>VLOOKUP(B2834,Readme!A$40:C$51,2,)*P2834</f>
        <v>13865.95</v>
      </c>
    </row>
    <row r="2835" spans="1:17" ht="12" customHeight="1" x14ac:dyDescent="0.35">
      <c r="A2835" s="75">
        <v>2834</v>
      </c>
      <c r="B2835" s="64">
        <v>2018</v>
      </c>
      <c r="C2835" s="64">
        <v>10</v>
      </c>
      <c r="D2835" s="80">
        <f t="shared" si="91"/>
        <v>2018</v>
      </c>
      <c r="E2835" t="s">
        <v>38</v>
      </c>
      <c r="F2835" t="s">
        <v>143</v>
      </c>
      <c r="G2835" t="s">
        <v>10</v>
      </c>
      <c r="H2835" s="72">
        <v>788</v>
      </c>
      <c r="I2835" s="72" t="s">
        <v>52</v>
      </c>
      <c r="J2835" t="str">
        <f t="shared" si="92"/>
        <v>Nooksack River</v>
      </c>
      <c r="K2835" t="str">
        <f>IFERROR(VLOOKUP(J2835,LUTs!$A$1:$C$73,2,FALSE),"NA")</f>
        <v>Whatcom</v>
      </c>
      <c r="L2835" t="str">
        <f>IFERROR(VLOOKUP(J2835,LUTs!$A$1:$C$73,3,FALSE),"NA")</f>
        <v>1North Puget Sound</v>
      </c>
      <c r="M2835" s="72" t="s">
        <v>17</v>
      </c>
      <c r="N2835" t="str">
        <f>VLOOKUP(M2835,LUTs!E$2:H$14,3,)</f>
        <v>04Island</v>
      </c>
      <c r="O2835" t="str">
        <f>VLOOKUP(M2835,LUTs!E$2:H$14,4,)</f>
        <v>01North Puget Sound</v>
      </c>
      <c r="P2835" s="73">
        <v>294.63035019455299</v>
      </c>
      <c r="Q2835" s="74">
        <f>VLOOKUP(B2835,Readme!A$40:C$51,2,)*P2835</f>
        <v>2548.5525291828835</v>
      </c>
    </row>
    <row r="2836" spans="1:17" ht="12" customHeight="1" x14ac:dyDescent="0.35">
      <c r="A2836" s="75">
        <v>2835</v>
      </c>
      <c r="B2836" s="64">
        <v>2018</v>
      </c>
      <c r="C2836" s="64">
        <v>10</v>
      </c>
      <c r="D2836" s="80">
        <f t="shared" si="91"/>
        <v>2018</v>
      </c>
      <c r="E2836" t="s">
        <v>38</v>
      </c>
      <c r="F2836" t="s">
        <v>143</v>
      </c>
      <c r="G2836" t="s">
        <v>10</v>
      </c>
      <c r="H2836" s="72">
        <v>788</v>
      </c>
      <c r="I2836" s="72" t="s">
        <v>52</v>
      </c>
      <c r="J2836" t="str">
        <f t="shared" si="92"/>
        <v>Nooksack River</v>
      </c>
      <c r="K2836" t="str">
        <f>IFERROR(VLOOKUP(J2836,LUTs!$A$1:$C$73,2,FALSE),"NA")</f>
        <v>Whatcom</v>
      </c>
      <c r="L2836" t="str">
        <f>IFERROR(VLOOKUP(J2836,LUTs!$A$1:$C$73,3,FALSE),"NA")</f>
        <v>1North Puget Sound</v>
      </c>
      <c r="M2836" s="72" t="s">
        <v>18</v>
      </c>
      <c r="N2836" t="str">
        <f>VLOOKUP(M2836,LUTs!E$2:H$14,3,)</f>
        <v>06King</v>
      </c>
      <c r="O2836" t="str">
        <f>VLOOKUP(M2836,LUTs!E$2:H$14,4,)</f>
        <v>02South Puget Sound</v>
      </c>
      <c r="P2836" s="73">
        <v>88.3891050583658</v>
      </c>
      <c r="Q2836" s="74">
        <f>VLOOKUP(B2836,Readme!A$40:C$51,2,)*P2836</f>
        <v>764.56575875486419</v>
      </c>
    </row>
    <row r="2837" spans="1:17" ht="12" customHeight="1" x14ac:dyDescent="0.35">
      <c r="A2837" s="75">
        <v>2836</v>
      </c>
      <c r="B2837" s="64">
        <v>2018</v>
      </c>
      <c r="C2837" s="64">
        <v>10</v>
      </c>
      <c r="D2837" s="80">
        <f t="shared" si="91"/>
        <v>2018</v>
      </c>
      <c r="E2837" t="s">
        <v>38</v>
      </c>
      <c r="F2837" t="s">
        <v>143</v>
      </c>
      <c r="G2837" t="s">
        <v>10</v>
      </c>
      <c r="H2837" s="72">
        <v>788</v>
      </c>
      <c r="I2837" s="72" t="s">
        <v>52</v>
      </c>
      <c r="J2837" t="str">
        <f t="shared" si="92"/>
        <v>Nooksack River</v>
      </c>
      <c r="K2837" t="str">
        <f>IFERROR(VLOOKUP(J2837,LUTs!$A$1:$C$73,2,FALSE),"NA")</f>
        <v>Whatcom</v>
      </c>
      <c r="L2837" t="str">
        <f>IFERROR(VLOOKUP(J2837,LUTs!$A$1:$C$73,3,FALSE),"NA")</f>
        <v>1North Puget Sound</v>
      </c>
      <c r="M2837" s="72" t="s">
        <v>26</v>
      </c>
      <c r="N2837" t="str">
        <f>VLOOKUP(M2837,LUTs!E$2:H$14,3,)</f>
        <v>20Other</v>
      </c>
      <c r="O2837" t="str">
        <f>VLOOKUP(M2837,LUTs!E$2:H$14,4,)</f>
        <v>07Non Puget Sound</v>
      </c>
      <c r="P2837" s="73">
        <v>49.105058365758801</v>
      </c>
      <c r="Q2837" s="74">
        <f>VLOOKUP(B2837,Readme!A$40:C$51,2,)*P2837</f>
        <v>424.75875486381364</v>
      </c>
    </row>
    <row r="2838" spans="1:17" ht="12" customHeight="1" x14ac:dyDescent="0.35">
      <c r="A2838" s="75">
        <v>2837</v>
      </c>
      <c r="B2838" s="64">
        <v>2018</v>
      </c>
      <c r="C2838" s="64">
        <v>10</v>
      </c>
      <c r="D2838" s="80">
        <f t="shared" si="91"/>
        <v>2018</v>
      </c>
      <c r="E2838" t="s">
        <v>38</v>
      </c>
      <c r="F2838" t="s">
        <v>143</v>
      </c>
      <c r="G2838" t="s">
        <v>10</v>
      </c>
      <c r="H2838" s="72">
        <v>788</v>
      </c>
      <c r="I2838" s="72" t="s">
        <v>52</v>
      </c>
      <c r="J2838" t="str">
        <f t="shared" si="92"/>
        <v>Nooksack River</v>
      </c>
      <c r="K2838" t="str">
        <f>IFERROR(VLOOKUP(J2838,LUTs!$A$1:$C$73,2,FALSE),"NA")</f>
        <v>Whatcom</v>
      </c>
      <c r="L2838" t="str">
        <f>IFERROR(VLOOKUP(J2838,LUTs!$A$1:$C$73,3,FALSE),"NA")</f>
        <v>1North Puget Sound</v>
      </c>
      <c r="M2838" s="72" t="s">
        <v>15</v>
      </c>
      <c r="N2838" t="str">
        <f>VLOOKUP(M2838,LUTs!E$2:H$14,3,)</f>
        <v>02Skagit</v>
      </c>
      <c r="O2838" t="str">
        <f>VLOOKUP(M2838,LUTs!E$2:H$14,4,)</f>
        <v>01North Puget Sound</v>
      </c>
      <c r="P2838" s="73">
        <v>343.73540856031099</v>
      </c>
      <c r="Q2838" s="74">
        <f>VLOOKUP(B2838,Readme!A$40:C$51,2,)*P2838</f>
        <v>2973.3112840466902</v>
      </c>
    </row>
    <row r="2839" spans="1:17" ht="12" customHeight="1" x14ac:dyDescent="0.35">
      <c r="A2839" s="75">
        <v>2838</v>
      </c>
      <c r="B2839" s="64">
        <v>2018</v>
      </c>
      <c r="C2839" s="64">
        <v>10</v>
      </c>
      <c r="D2839" s="80">
        <f t="shared" si="91"/>
        <v>2018</v>
      </c>
      <c r="E2839" t="s">
        <v>38</v>
      </c>
      <c r="F2839" t="s">
        <v>143</v>
      </c>
      <c r="G2839" t="s">
        <v>10</v>
      </c>
      <c r="H2839" s="72">
        <v>788</v>
      </c>
      <c r="I2839" s="72" t="s">
        <v>52</v>
      </c>
      <c r="J2839" t="str">
        <f t="shared" si="92"/>
        <v>Nooksack River</v>
      </c>
      <c r="K2839" t="str">
        <f>IFERROR(VLOOKUP(J2839,LUTs!$A$1:$C$73,2,FALSE),"NA")</f>
        <v>Whatcom</v>
      </c>
      <c r="L2839" t="str">
        <f>IFERROR(VLOOKUP(J2839,LUTs!$A$1:$C$73,3,FALSE),"NA")</f>
        <v>1North Puget Sound</v>
      </c>
      <c r="M2839" s="72" t="s">
        <v>16</v>
      </c>
      <c r="N2839" t="str">
        <f>VLOOKUP(M2839,LUTs!E$2:H$14,3,)</f>
        <v>03Snohomish</v>
      </c>
      <c r="O2839" t="str">
        <f>VLOOKUP(M2839,LUTs!E$2:H$14,4,)</f>
        <v>01North Puget Sound</v>
      </c>
      <c r="P2839" s="73">
        <v>245.525291828794</v>
      </c>
      <c r="Q2839" s="74">
        <f>VLOOKUP(B2839,Readme!A$40:C$51,2,)*P2839</f>
        <v>2123.7937743190682</v>
      </c>
    </row>
    <row r="2840" spans="1:17" ht="12" customHeight="1" x14ac:dyDescent="0.35">
      <c r="A2840" s="75">
        <v>2839</v>
      </c>
      <c r="B2840" s="64">
        <v>2018</v>
      </c>
      <c r="C2840" s="64">
        <v>10</v>
      </c>
      <c r="D2840" s="80">
        <f t="shared" si="91"/>
        <v>2018</v>
      </c>
      <c r="E2840" t="s">
        <v>38</v>
      </c>
      <c r="F2840" t="s">
        <v>143</v>
      </c>
      <c r="G2840" t="s">
        <v>10</v>
      </c>
      <c r="H2840" s="72">
        <v>788</v>
      </c>
      <c r="I2840" s="72" t="s">
        <v>52</v>
      </c>
      <c r="J2840" t="str">
        <f t="shared" si="92"/>
        <v>Nooksack River</v>
      </c>
      <c r="K2840" t="str">
        <f>IFERROR(VLOOKUP(J2840,LUTs!$A$1:$C$73,2,FALSE),"NA")</f>
        <v>Whatcom</v>
      </c>
      <c r="L2840" t="str">
        <f>IFERROR(VLOOKUP(J2840,LUTs!$A$1:$C$73,3,FALSE),"NA")</f>
        <v>1North Puget Sound</v>
      </c>
      <c r="M2840" s="72" t="s">
        <v>13</v>
      </c>
      <c r="N2840" t="str">
        <f>VLOOKUP(M2840,LUTs!E$2:H$14,3,)</f>
        <v>01Whatcom</v>
      </c>
      <c r="O2840" t="str">
        <f>VLOOKUP(M2840,LUTs!E$2:H$14,4,)</f>
        <v>01North Puget Sound</v>
      </c>
      <c r="P2840" s="73">
        <v>1502.61478599222</v>
      </c>
      <c r="Q2840" s="74">
        <f>VLOOKUP(B2840,Readme!A$40:C$51,2,)*P2840</f>
        <v>12997.617898832705</v>
      </c>
    </row>
    <row r="2841" spans="1:17" ht="12" customHeight="1" x14ac:dyDescent="0.35">
      <c r="A2841" s="75">
        <v>2840</v>
      </c>
      <c r="B2841" s="64">
        <v>2018</v>
      </c>
      <c r="C2841" s="64">
        <v>11</v>
      </c>
      <c r="D2841" s="80">
        <f t="shared" si="91"/>
        <v>2018</v>
      </c>
      <c r="E2841" t="s">
        <v>38</v>
      </c>
      <c r="F2841" t="s">
        <v>143</v>
      </c>
      <c r="G2841" t="s">
        <v>10</v>
      </c>
      <c r="H2841" s="72">
        <v>788</v>
      </c>
      <c r="I2841" s="72" t="s">
        <v>52</v>
      </c>
      <c r="J2841" t="str">
        <f t="shared" si="92"/>
        <v>Nooksack River</v>
      </c>
      <c r="K2841" t="str">
        <f>IFERROR(VLOOKUP(J2841,LUTs!$A$1:$C$73,2,FALSE),"NA")</f>
        <v>Whatcom</v>
      </c>
      <c r="L2841" t="str">
        <f>IFERROR(VLOOKUP(J2841,LUTs!$A$1:$C$73,3,FALSE),"NA")</f>
        <v>1North Puget Sound</v>
      </c>
      <c r="M2841" s="72" t="s">
        <v>17</v>
      </c>
      <c r="N2841" t="str">
        <f>VLOOKUP(M2841,LUTs!E$2:H$14,3,)</f>
        <v>04Island</v>
      </c>
      <c r="O2841" t="str">
        <f>VLOOKUP(M2841,LUTs!E$2:H$14,4,)</f>
        <v>01North Puget Sound</v>
      </c>
      <c r="P2841" s="73">
        <v>29.3333333333333</v>
      </c>
      <c r="Q2841" s="74">
        <f>VLOOKUP(B2841,Readme!A$40:C$51,2,)*P2841</f>
        <v>253.73333333333306</v>
      </c>
    </row>
    <row r="2842" spans="1:17" ht="12" customHeight="1" x14ac:dyDescent="0.35">
      <c r="A2842" s="75">
        <v>2841</v>
      </c>
      <c r="B2842" s="64">
        <v>2018</v>
      </c>
      <c r="C2842" s="64">
        <v>11</v>
      </c>
      <c r="D2842" s="80">
        <f t="shared" si="91"/>
        <v>2018</v>
      </c>
      <c r="E2842" t="s">
        <v>38</v>
      </c>
      <c r="F2842" t="s">
        <v>143</v>
      </c>
      <c r="G2842" t="s">
        <v>10</v>
      </c>
      <c r="H2842" s="72">
        <v>788</v>
      </c>
      <c r="I2842" s="72" t="s">
        <v>52</v>
      </c>
      <c r="J2842" t="str">
        <f t="shared" si="92"/>
        <v>Nooksack River</v>
      </c>
      <c r="K2842" t="str">
        <f>IFERROR(VLOOKUP(J2842,LUTs!$A$1:$C$73,2,FALSE),"NA")</f>
        <v>Whatcom</v>
      </c>
      <c r="L2842" t="str">
        <f>IFERROR(VLOOKUP(J2842,LUTs!$A$1:$C$73,3,FALSE),"NA")</f>
        <v>1North Puget Sound</v>
      </c>
      <c r="M2842" s="72" t="s">
        <v>18</v>
      </c>
      <c r="N2842" t="str">
        <f>VLOOKUP(M2842,LUTs!E$2:H$14,3,)</f>
        <v>06King</v>
      </c>
      <c r="O2842" t="str">
        <f>VLOOKUP(M2842,LUTs!E$2:H$14,4,)</f>
        <v>02South Puget Sound</v>
      </c>
      <c r="P2842" s="73">
        <v>78.2222222222222</v>
      </c>
      <c r="Q2842" s="74">
        <f>VLOOKUP(B2842,Readme!A$40:C$51,2,)*P2842</f>
        <v>676.62222222222204</v>
      </c>
    </row>
    <row r="2843" spans="1:17" ht="12" customHeight="1" x14ac:dyDescent="0.35">
      <c r="A2843" s="75">
        <v>2842</v>
      </c>
      <c r="B2843" s="64">
        <v>2018</v>
      </c>
      <c r="C2843" s="64">
        <v>11</v>
      </c>
      <c r="D2843" s="80">
        <f t="shared" si="91"/>
        <v>2018</v>
      </c>
      <c r="E2843" t="s">
        <v>38</v>
      </c>
      <c r="F2843" t="s">
        <v>143</v>
      </c>
      <c r="G2843" t="s">
        <v>10</v>
      </c>
      <c r="H2843" s="72">
        <v>788</v>
      </c>
      <c r="I2843" s="72" t="s">
        <v>52</v>
      </c>
      <c r="J2843" t="str">
        <f t="shared" si="92"/>
        <v>Nooksack River</v>
      </c>
      <c r="K2843" t="str">
        <f>IFERROR(VLOOKUP(J2843,LUTs!$A$1:$C$73,2,FALSE),"NA")</f>
        <v>Whatcom</v>
      </c>
      <c r="L2843" t="str">
        <f>IFERROR(VLOOKUP(J2843,LUTs!$A$1:$C$73,3,FALSE),"NA")</f>
        <v>1North Puget Sound</v>
      </c>
      <c r="M2843" s="72" t="s">
        <v>26</v>
      </c>
      <c r="N2843" t="str">
        <f>VLOOKUP(M2843,LUTs!E$2:H$14,3,)</f>
        <v>20Other</v>
      </c>
      <c r="O2843" t="str">
        <f>VLOOKUP(M2843,LUTs!E$2:H$14,4,)</f>
        <v>07Non Puget Sound</v>
      </c>
      <c r="P2843" s="73">
        <v>78.2222222222222</v>
      </c>
      <c r="Q2843" s="74">
        <f>VLOOKUP(B2843,Readme!A$40:C$51,2,)*P2843</f>
        <v>676.62222222222204</v>
      </c>
    </row>
    <row r="2844" spans="1:17" ht="12" customHeight="1" x14ac:dyDescent="0.35">
      <c r="A2844" s="75">
        <v>2843</v>
      </c>
      <c r="B2844" s="64">
        <v>2018</v>
      </c>
      <c r="C2844" s="64">
        <v>11</v>
      </c>
      <c r="D2844" s="80">
        <f t="shared" si="91"/>
        <v>2018</v>
      </c>
      <c r="E2844" t="s">
        <v>38</v>
      </c>
      <c r="F2844" t="s">
        <v>143</v>
      </c>
      <c r="G2844" t="s">
        <v>10</v>
      </c>
      <c r="H2844" s="72">
        <v>788</v>
      </c>
      <c r="I2844" s="72" t="s">
        <v>52</v>
      </c>
      <c r="J2844" t="str">
        <f t="shared" si="92"/>
        <v>Nooksack River</v>
      </c>
      <c r="K2844" t="str">
        <f>IFERROR(VLOOKUP(J2844,LUTs!$A$1:$C$73,2,FALSE),"NA")</f>
        <v>Whatcom</v>
      </c>
      <c r="L2844" t="str">
        <f>IFERROR(VLOOKUP(J2844,LUTs!$A$1:$C$73,3,FALSE),"NA")</f>
        <v>1North Puget Sound</v>
      </c>
      <c r="M2844" s="72" t="s">
        <v>15</v>
      </c>
      <c r="N2844" t="str">
        <f>VLOOKUP(M2844,LUTs!E$2:H$14,3,)</f>
        <v>02Skagit</v>
      </c>
      <c r="O2844" t="str">
        <f>VLOOKUP(M2844,LUTs!E$2:H$14,4,)</f>
        <v>01North Puget Sound</v>
      </c>
      <c r="P2844" s="73">
        <v>107.555555555556</v>
      </c>
      <c r="Q2844" s="74">
        <f>VLOOKUP(B2844,Readme!A$40:C$51,2,)*P2844</f>
        <v>930.35555555555936</v>
      </c>
    </row>
    <row r="2845" spans="1:17" ht="12" customHeight="1" x14ac:dyDescent="0.35">
      <c r="A2845" s="75">
        <v>2844</v>
      </c>
      <c r="B2845" s="64">
        <v>2018</v>
      </c>
      <c r="C2845" s="64">
        <v>11</v>
      </c>
      <c r="D2845" s="80">
        <f t="shared" si="91"/>
        <v>2018</v>
      </c>
      <c r="E2845" t="s">
        <v>38</v>
      </c>
      <c r="F2845" t="s">
        <v>143</v>
      </c>
      <c r="G2845" t="s">
        <v>10</v>
      </c>
      <c r="H2845" s="72">
        <v>788</v>
      </c>
      <c r="I2845" s="72" t="s">
        <v>52</v>
      </c>
      <c r="J2845" t="str">
        <f t="shared" si="92"/>
        <v>Nooksack River</v>
      </c>
      <c r="K2845" t="str">
        <f>IFERROR(VLOOKUP(J2845,LUTs!$A$1:$C$73,2,FALSE),"NA")</f>
        <v>Whatcom</v>
      </c>
      <c r="L2845" t="str">
        <f>IFERROR(VLOOKUP(J2845,LUTs!$A$1:$C$73,3,FALSE),"NA")</f>
        <v>1North Puget Sound</v>
      </c>
      <c r="M2845" s="72" t="s">
        <v>16</v>
      </c>
      <c r="N2845" t="str">
        <f>VLOOKUP(M2845,LUTs!E$2:H$14,3,)</f>
        <v>03Snohomish</v>
      </c>
      <c r="O2845" t="str">
        <f>VLOOKUP(M2845,LUTs!E$2:H$14,4,)</f>
        <v>01North Puget Sound</v>
      </c>
      <c r="P2845" s="73">
        <v>39.1111111111111</v>
      </c>
      <c r="Q2845" s="74">
        <f>VLOOKUP(B2845,Readme!A$40:C$51,2,)*P2845</f>
        <v>338.31111111111102</v>
      </c>
    </row>
    <row r="2846" spans="1:17" ht="12" customHeight="1" x14ac:dyDescent="0.35">
      <c r="A2846" s="75">
        <v>2845</v>
      </c>
      <c r="B2846" s="64">
        <v>2018</v>
      </c>
      <c r="C2846" s="64">
        <v>11</v>
      </c>
      <c r="D2846" s="80">
        <f t="shared" si="91"/>
        <v>2018</v>
      </c>
      <c r="E2846" t="s">
        <v>38</v>
      </c>
      <c r="F2846" t="s">
        <v>143</v>
      </c>
      <c r="G2846" t="s">
        <v>10</v>
      </c>
      <c r="H2846" s="72">
        <v>788</v>
      </c>
      <c r="I2846" s="72" t="s">
        <v>52</v>
      </c>
      <c r="J2846" t="str">
        <f t="shared" si="92"/>
        <v>Nooksack River</v>
      </c>
      <c r="K2846" t="str">
        <f>IFERROR(VLOOKUP(J2846,LUTs!$A$1:$C$73,2,FALSE),"NA")</f>
        <v>Whatcom</v>
      </c>
      <c r="L2846" t="str">
        <f>IFERROR(VLOOKUP(J2846,LUTs!$A$1:$C$73,3,FALSE),"NA")</f>
        <v>1North Puget Sound</v>
      </c>
      <c r="M2846" s="72" t="s">
        <v>13</v>
      </c>
      <c r="N2846" t="str">
        <f>VLOOKUP(M2846,LUTs!E$2:H$14,3,)</f>
        <v>01Whatcom</v>
      </c>
      <c r="O2846" t="str">
        <f>VLOOKUP(M2846,LUTs!E$2:H$14,4,)</f>
        <v>01North Puget Sound</v>
      </c>
      <c r="P2846" s="73">
        <v>107.555555555556</v>
      </c>
      <c r="Q2846" s="74">
        <f>VLOOKUP(B2846,Readme!A$40:C$51,2,)*P2846</f>
        <v>930.35555555555936</v>
      </c>
    </row>
    <row r="2847" spans="1:17" ht="12" customHeight="1" x14ac:dyDescent="0.35">
      <c r="A2847" s="75">
        <v>2846</v>
      </c>
      <c r="B2847" s="64">
        <v>2018</v>
      </c>
      <c r="C2847" s="64">
        <v>12</v>
      </c>
      <c r="D2847" s="80">
        <f t="shared" si="91"/>
        <v>2018</v>
      </c>
      <c r="E2847" t="s">
        <v>38</v>
      </c>
      <c r="F2847" t="s">
        <v>143</v>
      </c>
      <c r="G2847" t="s">
        <v>10</v>
      </c>
      <c r="H2847" s="72">
        <v>788</v>
      </c>
      <c r="I2847" s="72" t="s">
        <v>52</v>
      </c>
      <c r="J2847" t="str">
        <f t="shared" si="92"/>
        <v>Nooksack River</v>
      </c>
      <c r="K2847" t="str">
        <f>IFERROR(VLOOKUP(J2847,LUTs!$A$1:$C$73,2,FALSE),"NA")</f>
        <v>Whatcom</v>
      </c>
      <c r="L2847" t="str">
        <f>IFERROR(VLOOKUP(J2847,LUTs!$A$1:$C$73,3,FALSE),"NA")</f>
        <v>1North Puget Sound</v>
      </c>
      <c r="M2847" s="72" t="s">
        <v>18</v>
      </c>
      <c r="N2847" t="str">
        <f>VLOOKUP(M2847,LUTs!E$2:H$14,3,)</f>
        <v>06King</v>
      </c>
      <c r="O2847" t="str">
        <f>VLOOKUP(M2847,LUTs!E$2:H$14,4,)</f>
        <v>02South Puget Sound</v>
      </c>
      <c r="P2847" s="73">
        <v>10</v>
      </c>
      <c r="Q2847" s="74">
        <f>VLOOKUP(B2847,Readme!A$40:C$51,2,)*P2847</f>
        <v>86.5</v>
      </c>
    </row>
    <row r="2848" spans="1:17" ht="12" customHeight="1" x14ac:dyDescent="0.35">
      <c r="A2848" s="75">
        <v>2847</v>
      </c>
      <c r="B2848" s="64">
        <v>2018</v>
      </c>
      <c r="C2848" s="64">
        <v>8</v>
      </c>
      <c r="D2848" s="80">
        <f t="shared" si="91"/>
        <v>2018</v>
      </c>
      <c r="E2848" t="s">
        <v>38</v>
      </c>
      <c r="F2848" t="s">
        <v>143</v>
      </c>
      <c r="G2848" t="s">
        <v>10</v>
      </c>
      <c r="H2848" s="72">
        <v>802</v>
      </c>
      <c r="I2848" s="72" t="s">
        <v>53</v>
      </c>
      <c r="J2848" t="str">
        <f t="shared" si="92"/>
        <v>Carbon River</v>
      </c>
      <c r="K2848" t="str">
        <f>IFERROR(VLOOKUP(J2848,LUTs!$A$1:$C$73,2,FALSE),"NA")</f>
        <v>Pierce</v>
      </c>
      <c r="L2848" t="str">
        <f>IFERROR(VLOOKUP(J2848,LUTs!$A$1:$C$73,3,FALSE),"NA")</f>
        <v>3South Puget Sound</v>
      </c>
      <c r="M2848" s="72" t="s">
        <v>18</v>
      </c>
      <c r="N2848" t="str">
        <f>VLOOKUP(M2848,LUTs!E$2:H$14,3,)</f>
        <v>06King</v>
      </c>
      <c r="O2848" t="str">
        <f>VLOOKUP(M2848,LUTs!E$2:H$14,4,)</f>
        <v>02South Puget Sound</v>
      </c>
      <c r="P2848" s="73">
        <v>90</v>
      </c>
      <c r="Q2848" s="74">
        <f>VLOOKUP(B2848,Readme!A$40:C$51,2,)*P2848</f>
        <v>778.5</v>
      </c>
    </row>
    <row r="2849" spans="1:17" ht="12" customHeight="1" x14ac:dyDescent="0.35">
      <c r="A2849" s="75">
        <v>2848</v>
      </c>
      <c r="B2849" s="64">
        <v>2018</v>
      </c>
      <c r="C2849" s="64">
        <v>8</v>
      </c>
      <c r="D2849" s="80">
        <f t="shared" si="91"/>
        <v>2018</v>
      </c>
      <c r="E2849" t="s">
        <v>38</v>
      </c>
      <c r="F2849" t="s">
        <v>143</v>
      </c>
      <c r="G2849" t="s">
        <v>10</v>
      </c>
      <c r="H2849" s="72">
        <v>802</v>
      </c>
      <c r="I2849" s="72" t="s">
        <v>53</v>
      </c>
      <c r="J2849" t="str">
        <f t="shared" si="92"/>
        <v>Carbon River</v>
      </c>
      <c r="K2849" t="str">
        <f>IFERROR(VLOOKUP(J2849,LUTs!$A$1:$C$73,2,FALSE),"NA")</f>
        <v>Pierce</v>
      </c>
      <c r="L2849" t="str">
        <f>IFERROR(VLOOKUP(J2849,LUTs!$A$1:$C$73,3,FALSE),"NA")</f>
        <v>3South Puget Sound</v>
      </c>
      <c r="M2849" s="72" t="s">
        <v>20</v>
      </c>
      <c r="N2849" t="str">
        <f>VLOOKUP(M2849,LUTs!E$2:H$14,3,)</f>
        <v>07Pierce</v>
      </c>
      <c r="O2849" t="str">
        <f>VLOOKUP(M2849,LUTs!E$2:H$14,4,)</f>
        <v>02South Puget Sound</v>
      </c>
      <c r="P2849" s="73">
        <v>120</v>
      </c>
      <c r="Q2849" s="74">
        <f>VLOOKUP(B2849,Readme!A$40:C$51,2,)*P2849</f>
        <v>1038</v>
      </c>
    </row>
    <row r="2850" spans="1:17" ht="12" customHeight="1" x14ac:dyDescent="0.35">
      <c r="A2850" s="75">
        <v>2849</v>
      </c>
      <c r="B2850" s="64">
        <v>2018</v>
      </c>
      <c r="C2850" s="64">
        <v>9</v>
      </c>
      <c r="D2850" s="80">
        <f t="shared" si="91"/>
        <v>2018</v>
      </c>
      <c r="E2850" t="s">
        <v>38</v>
      </c>
      <c r="F2850" t="s">
        <v>143</v>
      </c>
      <c r="G2850" t="s">
        <v>10</v>
      </c>
      <c r="H2850" s="72">
        <v>802</v>
      </c>
      <c r="I2850" s="72" t="s">
        <v>53</v>
      </c>
      <c r="J2850" t="str">
        <f t="shared" si="92"/>
        <v>Carbon River</v>
      </c>
      <c r="K2850" t="str">
        <f>IFERROR(VLOOKUP(J2850,LUTs!$A$1:$C$73,2,FALSE),"NA")</f>
        <v>Pierce</v>
      </c>
      <c r="L2850" t="str">
        <f>IFERROR(VLOOKUP(J2850,LUTs!$A$1:$C$73,3,FALSE),"NA")</f>
        <v>3South Puget Sound</v>
      </c>
      <c r="M2850" s="72" t="s">
        <v>18</v>
      </c>
      <c r="N2850" t="str">
        <f>VLOOKUP(M2850,LUTs!E$2:H$14,3,)</f>
        <v>06King</v>
      </c>
      <c r="O2850" t="str">
        <f>VLOOKUP(M2850,LUTs!E$2:H$14,4,)</f>
        <v>02South Puget Sound</v>
      </c>
      <c r="P2850" s="73">
        <v>554.46511627907</v>
      </c>
      <c r="Q2850" s="74">
        <f>VLOOKUP(B2850,Readme!A$40:C$51,2,)*P2850</f>
        <v>4796.1232558139554</v>
      </c>
    </row>
    <row r="2851" spans="1:17" ht="12" customHeight="1" x14ac:dyDescent="0.35">
      <c r="A2851" s="75">
        <v>2850</v>
      </c>
      <c r="B2851" s="64">
        <v>2018</v>
      </c>
      <c r="C2851" s="64">
        <v>9</v>
      </c>
      <c r="D2851" s="80">
        <f t="shared" si="91"/>
        <v>2018</v>
      </c>
      <c r="E2851" t="s">
        <v>38</v>
      </c>
      <c r="F2851" t="s">
        <v>143</v>
      </c>
      <c r="G2851" t="s">
        <v>10</v>
      </c>
      <c r="H2851" s="72">
        <v>802</v>
      </c>
      <c r="I2851" s="72" t="s">
        <v>53</v>
      </c>
      <c r="J2851" t="str">
        <f t="shared" si="92"/>
        <v>Carbon River</v>
      </c>
      <c r="K2851" t="str">
        <f>IFERROR(VLOOKUP(J2851,LUTs!$A$1:$C$73,2,FALSE),"NA")</f>
        <v>Pierce</v>
      </c>
      <c r="L2851" t="str">
        <f>IFERROR(VLOOKUP(J2851,LUTs!$A$1:$C$73,3,FALSE),"NA")</f>
        <v>3South Puget Sound</v>
      </c>
      <c r="M2851" s="72" t="s">
        <v>20</v>
      </c>
      <c r="N2851" t="str">
        <f>VLOOKUP(M2851,LUTs!E$2:H$14,3,)</f>
        <v>07Pierce</v>
      </c>
      <c r="O2851" t="str">
        <f>VLOOKUP(M2851,LUTs!E$2:H$14,4,)</f>
        <v>02South Puget Sound</v>
      </c>
      <c r="P2851" s="73">
        <v>1108.93023255814</v>
      </c>
      <c r="Q2851" s="74">
        <f>VLOOKUP(B2851,Readme!A$40:C$51,2,)*P2851</f>
        <v>9592.2465116279109</v>
      </c>
    </row>
    <row r="2852" spans="1:17" ht="12" customHeight="1" x14ac:dyDescent="0.35">
      <c r="A2852" s="75">
        <v>2851</v>
      </c>
      <c r="B2852" s="64">
        <v>2018</v>
      </c>
      <c r="C2852" s="64">
        <v>9</v>
      </c>
      <c r="D2852" s="80">
        <f t="shared" si="91"/>
        <v>2018</v>
      </c>
      <c r="E2852" t="s">
        <v>38</v>
      </c>
      <c r="F2852" t="s">
        <v>143</v>
      </c>
      <c r="G2852" t="s">
        <v>10</v>
      </c>
      <c r="H2852" s="72">
        <v>802</v>
      </c>
      <c r="I2852" s="72" t="s">
        <v>53</v>
      </c>
      <c r="J2852" t="str">
        <f t="shared" si="92"/>
        <v>Carbon River</v>
      </c>
      <c r="K2852" t="str">
        <f>IFERROR(VLOOKUP(J2852,LUTs!$A$1:$C$73,2,FALSE),"NA")</f>
        <v>Pierce</v>
      </c>
      <c r="L2852" t="str">
        <f>IFERROR(VLOOKUP(J2852,LUTs!$A$1:$C$73,3,FALSE),"NA")</f>
        <v>3South Puget Sound</v>
      </c>
      <c r="M2852" s="72" t="s">
        <v>16</v>
      </c>
      <c r="N2852" t="str">
        <f>VLOOKUP(M2852,LUTs!E$2:H$14,3,)</f>
        <v>03Snohomish</v>
      </c>
      <c r="O2852" t="str">
        <f>VLOOKUP(M2852,LUTs!E$2:H$14,4,)</f>
        <v>01North Puget Sound</v>
      </c>
      <c r="P2852" s="73">
        <v>19.802325581395401</v>
      </c>
      <c r="Q2852" s="74">
        <f>VLOOKUP(B2852,Readme!A$40:C$51,2,)*P2852</f>
        <v>171.29011627907022</v>
      </c>
    </row>
    <row r="2853" spans="1:17" ht="12" customHeight="1" x14ac:dyDescent="0.35">
      <c r="A2853" s="75">
        <v>2852</v>
      </c>
      <c r="B2853" s="64">
        <v>2018</v>
      </c>
      <c r="C2853" s="64">
        <v>9</v>
      </c>
      <c r="D2853" s="80">
        <f t="shared" si="91"/>
        <v>2018</v>
      </c>
      <c r="E2853" t="s">
        <v>38</v>
      </c>
      <c r="F2853" t="s">
        <v>143</v>
      </c>
      <c r="G2853" t="s">
        <v>10</v>
      </c>
      <c r="H2853" s="72">
        <v>802</v>
      </c>
      <c r="I2853" s="72" t="s">
        <v>53</v>
      </c>
      <c r="J2853" t="str">
        <f t="shared" si="92"/>
        <v>Carbon River</v>
      </c>
      <c r="K2853" t="str">
        <f>IFERROR(VLOOKUP(J2853,LUTs!$A$1:$C$73,2,FALSE),"NA")</f>
        <v>Pierce</v>
      </c>
      <c r="L2853" t="str">
        <f>IFERROR(VLOOKUP(J2853,LUTs!$A$1:$C$73,3,FALSE),"NA")</f>
        <v>3South Puget Sound</v>
      </c>
      <c r="M2853" s="72" t="s">
        <v>21</v>
      </c>
      <c r="N2853" t="str">
        <f>VLOOKUP(M2853,LUTs!E$2:H$14,3,)</f>
        <v>08Thurston</v>
      </c>
      <c r="O2853" t="str">
        <f>VLOOKUP(M2853,LUTs!E$2:H$14,4,)</f>
        <v>02South Puget Sound</v>
      </c>
      <c r="P2853" s="73">
        <v>19.802325581395401</v>
      </c>
      <c r="Q2853" s="74">
        <f>VLOOKUP(B2853,Readme!A$40:C$51,2,)*P2853</f>
        <v>171.29011627907022</v>
      </c>
    </row>
    <row r="2854" spans="1:17" ht="12" customHeight="1" x14ac:dyDescent="0.35">
      <c r="A2854" s="75">
        <v>2853</v>
      </c>
      <c r="B2854" s="64">
        <v>2018</v>
      </c>
      <c r="C2854" s="64">
        <v>10</v>
      </c>
      <c r="D2854" s="80">
        <f t="shared" si="91"/>
        <v>2018</v>
      </c>
      <c r="E2854" t="s">
        <v>38</v>
      </c>
      <c r="F2854" t="s">
        <v>143</v>
      </c>
      <c r="G2854" t="s">
        <v>10</v>
      </c>
      <c r="H2854" s="72">
        <v>802</v>
      </c>
      <c r="I2854" s="72" t="s">
        <v>53</v>
      </c>
      <c r="J2854" t="str">
        <f t="shared" si="92"/>
        <v>Carbon River</v>
      </c>
      <c r="K2854" t="str">
        <f>IFERROR(VLOOKUP(J2854,LUTs!$A$1:$C$73,2,FALSE),"NA")</f>
        <v>Pierce</v>
      </c>
      <c r="L2854" t="str">
        <f>IFERROR(VLOOKUP(J2854,LUTs!$A$1:$C$73,3,FALSE),"NA")</f>
        <v>3South Puget Sound</v>
      </c>
      <c r="M2854" s="72" t="s">
        <v>18</v>
      </c>
      <c r="N2854" t="str">
        <f>VLOOKUP(M2854,LUTs!E$2:H$14,3,)</f>
        <v>06King</v>
      </c>
      <c r="O2854" t="str">
        <f>VLOOKUP(M2854,LUTs!E$2:H$14,4,)</f>
        <v>02South Puget Sound</v>
      </c>
      <c r="P2854" s="73">
        <v>184.57142857142901</v>
      </c>
      <c r="Q2854" s="74">
        <f>VLOOKUP(B2854,Readme!A$40:C$51,2,)*P2854</f>
        <v>1596.5428571428611</v>
      </c>
    </row>
    <row r="2855" spans="1:17" ht="12" customHeight="1" x14ac:dyDescent="0.35">
      <c r="A2855" s="75">
        <v>2854</v>
      </c>
      <c r="B2855" s="64">
        <v>2018</v>
      </c>
      <c r="C2855" s="64">
        <v>10</v>
      </c>
      <c r="D2855" s="80">
        <f t="shared" si="91"/>
        <v>2018</v>
      </c>
      <c r="E2855" t="s">
        <v>38</v>
      </c>
      <c r="F2855" t="s">
        <v>143</v>
      </c>
      <c r="G2855" t="s">
        <v>10</v>
      </c>
      <c r="H2855" s="72">
        <v>802</v>
      </c>
      <c r="I2855" s="72" t="s">
        <v>53</v>
      </c>
      <c r="J2855" t="str">
        <f t="shared" si="92"/>
        <v>Carbon River</v>
      </c>
      <c r="K2855" t="str">
        <f>IFERROR(VLOOKUP(J2855,LUTs!$A$1:$C$73,2,FALSE),"NA")</f>
        <v>Pierce</v>
      </c>
      <c r="L2855" t="str">
        <f>IFERROR(VLOOKUP(J2855,LUTs!$A$1:$C$73,3,FALSE),"NA")</f>
        <v>3South Puget Sound</v>
      </c>
      <c r="M2855" s="72" t="s">
        <v>20</v>
      </c>
      <c r="N2855" t="str">
        <f>VLOOKUP(M2855,LUTs!E$2:H$14,3,)</f>
        <v>07Pierce</v>
      </c>
      <c r="O2855" t="str">
        <f>VLOOKUP(M2855,LUTs!E$2:H$14,4,)</f>
        <v>02South Puget Sound</v>
      </c>
      <c r="P2855" s="73">
        <v>495.42857142857201</v>
      </c>
      <c r="Q2855" s="74">
        <f>VLOOKUP(B2855,Readme!A$40:C$51,2,)*P2855</f>
        <v>4285.457142857148</v>
      </c>
    </row>
    <row r="2856" spans="1:17" ht="12" customHeight="1" x14ac:dyDescent="0.35">
      <c r="A2856" s="75">
        <v>2855</v>
      </c>
      <c r="B2856" s="64">
        <v>2018</v>
      </c>
      <c r="C2856" s="64">
        <v>8</v>
      </c>
      <c r="D2856" s="80">
        <f t="shared" si="91"/>
        <v>2018</v>
      </c>
      <c r="E2856" t="s">
        <v>38</v>
      </c>
      <c r="F2856" t="s">
        <v>143</v>
      </c>
      <c r="G2856" t="s">
        <v>10</v>
      </c>
      <c r="H2856" s="72">
        <v>804</v>
      </c>
      <c r="I2856" s="72" t="s">
        <v>54</v>
      </c>
      <c r="J2856" t="str">
        <f t="shared" si="92"/>
        <v>Puyallup River</v>
      </c>
      <c r="K2856" t="str">
        <f>IFERROR(VLOOKUP(J2856,LUTs!$A$1:$C$73,2,FALSE),"NA")</f>
        <v>Pierce</v>
      </c>
      <c r="L2856" t="str">
        <f>IFERROR(VLOOKUP(J2856,LUTs!$A$1:$C$73,3,FALSE),"NA")</f>
        <v>3South Puget Sound</v>
      </c>
      <c r="M2856" s="72" t="s">
        <v>18</v>
      </c>
      <c r="N2856" t="str">
        <f>VLOOKUP(M2856,LUTs!E$2:H$14,3,)</f>
        <v>06King</v>
      </c>
      <c r="O2856" t="str">
        <f>VLOOKUP(M2856,LUTs!E$2:H$14,4,)</f>
        <v>02South Puget Sound</v>
      </c>
      <c r="P2856" s="73">
        <v>450.5625</v>
      </c>
      <c r="Q2856" s="74">
        <f>VLOOKUP(B2856,Readme!A$40:C$51,2,)*P2856</f>
        <v>3897.3656250000004</v>
      </c>
    </row>
    <row r="2857" spans="1:17" ht="12" customHeight="1" x14ac:dyDescent="0.35">
      <c r="A2857" s="75">
        <v>2856</v>
      </c>
      <c r="B2857" s="64">
        <v>2018</v>
      </c>
      <c r="C2857" s="64">
        <v>8</v>
      </c>
      <c r="D2857" s="80">
        <f t="shared" si="91"/>
        <v>2018</v>
      </c>
      <c r="E2857" t="s">
        <v>38</v>
      </c>
      <c r="F2857" t="s">
        <v>143</v>
      </c>
      <c r="G2857" t="s">
        <v>10</v>
      </c>
      <c r="H2857" s="72">
        <v>804</v>
      </c>
      <c r="I2857" s="72" t="s">
        <v>54</v>
      </c>
      <c r="J2857" t="str">
        <f t="shared" si="92"/>
        <v>Puyallup River</v>
      </c>
      <c r="K2857" t="str">
        <f>IFERROR(VLOOKUP(J2857,LUTs!$A$1:$C$73,2,FALSE),"NA")</f>
        <v>Pierce</v>
      </c>
      <c r="L2857" t="str">
        <f>IFERROR(VLOOKUP(J2857,LUTs!$A$1:$C$73,3,FALSE),"NA")</f>
        <v>3South Puget Sound</v>
      </c>
      <c r="M2857" s="72" t="s">
        <v>23</v>
      </c>
      <c r="N2857" t="str">
        <f>VLOOKUP(M2857,LUTs!E$2:H$14,3,)</f>
        <v>10Kitsap</v>
      </c>
      <c r="O2857" t="str">
        <f>VLOOKUP(M2857,LUTs!E$2:H$14,4,)</f>
        <v>02South Puget Sound</v>
      </c>
      <c r="P2857" s="73">
        <v>10.012499999999999</v>
      </c>
      <c r="Q2857" s="74">
        <f>VLOOKUP(B2857,Readme!A$40:C$51,2,)*P2857</f>
        <v>86.608125000000001</v>
      </c>
    </row>
    <row r="2858" spans="1:17" ht="12" customHeight="1" x14ac:dyDescent="0.35">
      <c r="A2858" s="75">
        <v>2857</v>
      </c>
      <c r="B2858" s="64">
        <v>2018</v>
      </c>
      <c r="C2858" s="64">
        <v>8</v>
      </c>
      <c r="D2858" s="80">
        <f t="shared" si="91"/>
        <v>2018</v>
      </c>
      <c r="E2858" t="s">
        <v>38</v>
      </c>
      <c r="F2858" t="s">
        <v>143</v>
      </c>
      <c r="G2858" t="s">
        <v>10</v>
      </c>
      <c r="H2858" s="72">
        <v>804</v>
      </c>
      <c r="I2858" s="72" t="s">
        <v>54</v>
      </c>
      <c r="J2858" t="str">
        <f t="shared" si="92"/>
        <v>Puyallup River</v>
      </c>
      <c r="K2858" t="str">
        <f>IFERROR(VLOOKUP(J2858,LUTs!$A$1:$C$73,2,FALSE),"NA")</f>
        <v>Pierce</v>
      </c>
      <c r="L2858" t="str">
        <f>IFERROR(VLOOKUP(J2858,LUTs!$A$1:$C$73,3,FALSE),"NA")</f>
        <v>3South Puget Sound</v>
      </c>
      <c r="M2858" s="72" t="s">
        <v>20</v>
      </c>
      <c r="N2858" t="str">
        <f>VLOOKUP(M2858,LUTs!E$2:H$14,3,)</f>
        <v>07Pierce</v>
      </c>
      <c r="O2858" t="str">
        <f>VLOOKUP(M2858,LUTs!E$2:H$14,4,)</f>
        <v>02South Puget Sound</v>
      </c>
      <c r="P2858" s="73">
        <v>1141.425</v>
      </c>
      <c r="Q2858" s="74">
        <f>VLOOKUP(B2858,Readme!A$40:C$51,2,)*P2858</f>
        <v>9873.3262500000001</v>
      </c>
    </row>
    <row r="2859" spans="1:17" ht="12" customHeight="1" x14ac:dyDescent="0.35">
      <c r="A2859" s="75">
        <v>2858</v>
      </c>
      <c r="B2859" s="64">
        <v>2018</v>
      </c>
      <c r="C2859" s="64">
        <v>9</v>
      </c>
      <c r="D2859" s="80">
        <f t="shared" si="91"/>
        <v>2018</v>
      </c>
      <c r="E2859" t="s">
        <v>38</v>
      </c>
      <c r="F2859" t="s">
        <v>143</v>
      </c>
      <c r="G2859" t="s">
        <v>10</v>
      </c>
      <c r="H2859" s="72">
        <v>804</v>
      </c>
      <c r="I2859" s="72" t="s">
        <v>54</v>
      </c>
      <c r="J2859" t="str">
        <f t="shared" si="92"/>
        <v>Puyallup River</v>
      </c>
      <c r="K2859" t="str">
        <f>IFERROR(VLOOKUP(J2859,LUTs!$A$1:$C$73,2,FALSE),"NA")</f>
        <v>Pierce</v>
      </c>
      <c r="L2859" t="str">
        <f>IFERROR(VLOOKUP(J2859,LUTs!$A$1:$C$73,3,FALSE),"NA")</f>
        <v>3South Puget Sound</v>
      </c>
      <c r="M2859" s="72" t="s">
        <v>25</v>
      </c>
      <c r="N2859" t="str">
        <f>VLOOKUP(M2859,LUTs!E$2:H$14,3,)</f>
        <v>12Jefferson</v>
      </c>
      <c r="O2859" t="str">
        <f>VLOOKUP(M2859,LUTs!E$2:H$14,4,)</f>
        <v>03Strait of Juan de Fuca</v>
      </c>
      <c r="P2859" s="73">
        <v>10.025477707006401</v>
      </c>
      <c r="Q2859" s="74">
        <f>VLOOKUP(B2859,Readme!A$40:C$51,2,)*P2859</f>
        <v>86.720382165605372</v>
      </c>
    </row>
    <row r="2860" spans="1:17" ht="12" customHeight="1" x14ac:dyDescent="0.35">
      <c r="A2860" s="75">
        <v>2859</v>
      </c>
      <c r="B2860" s="64">
        <v>2018</v>
      </c>
      <c r="C2860" s="64">
        <v>9</v>
      </c>
      <c r="D2860" s="80">
        <f t="shared" si="91"/>
        <v>2018</v>
      </c>
      <c r="E2860" t="s">
        <v>38</v>
      </c>
      <c r="F2860" t="s">
        <v>143</v>
      </c>
      <c r="G2860" t="s">
        <v>10</v>
      </c>
      <c r="H2860" s="72">
        <v>804</v>
      </c>
      <c r="I2860" s="72" t="s">
        <v>54</v>
      </c>
      <c r="J2860" t="str">
        <f t="shared" si="92"/>
        <v>Puyallup River</v>
      </c>
      <c r="K2860" t="str">
        <f>IFERROR(VLOOKUP(J2860,LUTs!$A$1:$C$73,2,FALSE),"NA")</f>
        <v>Pierce</v>
      </c>
      <c r="L2860" t="str">
        <f>IFERROR(VLOOKUP(J2860,LUTs!$A$1:$C$73,3,FALSE),"NA")</f>
        <v>3South Puget Sound</v>
      </c>
      <c r="M2860" s="72" t="s">
        <v>18</v>
      </c>
      <c r="N2860" t="str">
        <f>VLOOKUP(M2860,LUTs!E$2:H$14,3,)</f>
        <v>06King</v>
      </c>
      <c r="O2860" t="str">
        <f>VLOOKUP(M2860,LUTs!E$2:H$14,4,)</f>
        <v>02South Puget Sound</v>
      </c>
      <c r="P2860" s="73">
        <v>771.961783439491</v>
      </c>
      <c r="Q2860" s="74">
        <f>VLOOKUP(B2860,Readme!A$40:C$51,2,)*P2860</f>
        <v>6677.469426751597</v>
      </c>
    </row>
    <row r="2861" spans="1:17" ht="12" customHeight="1" x14ac:dyDescent="0.35">
      <c r="A2861" s="75">
        <v>2860</v>
      </c>
      <c r="B2861" s="64">
        <v>2018</v>
      </c>
      <c r="C2861" s="64">
        <v>9</v>
      </c>
      <c r="D2861" s="80">
        <f t="shared" si="91"/>
        <v>2018</v>
      </c>
      <c r="E2861" t="s">
        <v>38</v>
      </c>
      <c r="F2861" t="s">
        <v>143</v>
      </c>
      <c r="G2861" t="s">
        <v>10</v>
      </c>
      <c r="H2861" s="72">
        <v>804</v>
      </c>
      <c r="I2861" s="72" t="s">
        <v>54</v>
      </c>
      <c r="J2861" t="str">
        <f t="shared" si="92"/>
        <v>Puyallup River</v>
      </c>
      <c r="K2861" t="str">
        <f>IFERROR(VLOOKUP(J2861,LUTs!$A$1:$C$73,2,FALSE),"NA")</f>
        <v>Pierce</v>
      </c>
      <c r="L2861" t="str">
        <f>IFERROR(VLOOKUP(J2861,LUTs!$A$1:$C$73,3,FALSE),"NA")</f>
        <v>3South Puget Sound</v>
      </c>
      <c r="M2861" s="72" t="s">
        <v>26</v>
      </c>
      <c r="N2861" t="str">
        <f>VLOOKUP(M2861,LUTs!E$2:H$14,3,)</f>
        <v>20Other</v>
      </c>
      <c r="O2861" t="str">
        <f>VLOOKUP(M2861,LUTs!E$2:H$14,4,)</f>
        <v>07Non Puget Sound</v>
      </c>
      <c r="P2861" s="73">
        <v>90.229299363057294</v>
      </c>
      <c r="Q2861" s="74">
        <f>VLOOKUP(B2861,Readme!A$40:C$51,2,)*P2861</f>
        <v>780.48343949044568</v>
      </c>
    </row>
    <row r="2862" spans="1:17" ht="12" customHeight="1" x14ac:dyDescent="0.35">
      <c r="A2862" s="75">
        <v>2861</v>
      </c>
      <c r="B2862" s="64">
        <v>2018</v>
      </c>
      <c r="C2862" s="64">
        <v>9</v>
      </c>
      <c r="D2862" s="80">
        <f t="shared" si="91"/>
        <v>2018</v>
      </c>
      <c r="E2862" t="s">
        <v>38</v>
      </c>
      <c r="F2862" t="s">
        <v>143</v>
      </c>
      <c r="G2862" t="s">
        <v>10</v>
      </c>
      <c r="H2862" s="72">
        <v>804</v>
      </c>
      <c r="I2862" s="72" t="s">
        <v>54</v>
      </c>
      <c r="J2862" t="str">
        <f t="shared" si="92"/>
        <v>Puyallup River</v>
      </c>
      <c r="K2862" t="str">
        <f>IFERROR(VLOOKUP(J2862,LUTs!$A$1:$C$73,2,FALSE),"NA")</f>
        <v>Pierce</v>
      </c>
      <c r="L2862" t="str">
        <f>IFERROR(VLOOKUP(J2862,LUTs!$A$1:$C$73,3,FALSE),"NA")</f>
        <v>3South Puget Sound</v>
      </c>
      <c r="M2862" s="72" t="s">
        <v>20</v>
      </c>
      <c r="N2862" t="str">
        <f>VLOOKUP(M2862,LUTs!E$2:H$14,3,)</f>
        <v>07Pierce</v>
      </c>
      <c r="O2862" t="str">
        <f>VLOOKUP(M2862,LUTs!E$2:H$14,4,)</f>
        <v>02South Puget Sound</v>
      </c>
      <c r="P2862" s="73">
        <v>2215.6305732484102</v>
      </c>
      <c r="Q2862" s="74">
        <f>VLOOKUP(B2862,Readme!A$40:C$51,2,)*P2862</f>
        <v>19165.20445859875</v>
      </c>
    </row>
    <row r="2863" spans="1:17" ht="12" customHeight="1" x14ac:dyDescent="0.35">
      <c r="A2863" s="75">
        <v>2862</v>
      </c>
      <c r="B2863" s="64">
        <v>2018</v>
      </c>
      <c r="C2863" s="64">
        <v>9</v>
      </c>
      <c r="D2863" s="80">
        <f t="shared" si="91"/>
        <v>2018</v>
      </c>
      <c r="E2863" t="s">
        <v>38</v>
      </c>
      <c r="F2863" t="s">
        <v>143</v>
      </c>
      <c r="G2863" t="s">
        <v>10</v>
      </c>
      <c r="H2863" s="72">
        <v>804</v>
      </c>
      <c r="I2863" s="72" t="s">
        <v>54</v>
      </c>
      <c r="J2863" t="str">
        <f t="shared" si="92"/>
        <v>Puyallup River</v>
      </c>
      <c r="K2863" t="str">
        <f>IFERROR(VLOOKUP(J2863,LUTs!$A$1:$C$73,2,FALSE),"NA")</f>
        <v>Pierce</v>
      </c>
      <c r="L2863" t="str">
        <f>IFERROR(VLOOKUP(J2863,LUTs!$A$1:$C$73,3,FALSE),"NA")</f>
        <v>3South Puget Sound</v>
      </c>
      <c r="M2863" s="72" t="s">
        <v>21</v>
      </c>
      <c r="N2863" t="str">
        <f>VLOOKUP(M2863,LUTs!E$2:H$14,3,)</f>
        <v>08Thurston</v>
      </c>
      <c r="O2863" t="str">
        <f>VLOOKUP(M2863,LUTs!E$2:H$14,4,)</f>
        <v>02South Puget Sound</v>
      </c>
      <c r="P2863" s="73">
        <v>60.152866242038201</v>
      </c>
      <c r="Q2863" s="74">
        <f>VLOOKUP(B2863,Readme!A$40:C$51,2,)*P2863</f>
        <v>520.32229299363041</v>
      </c>
    </row>
    <row r="2864" spans="1:17" ht="12" customHeight="1" x14ac:dyDescent="0.35">
      <c r="A2864" s="75">
        <v>2863</v>
      </c>
      <c r="B2864" s="64">
        <v>2018</v>
      </c>
      <c r="C2864" s="64">
        <v>10</v>
      </c>
      <c r="D2864" s="80">
        <f t="shared" si="91"/>
        <v>2018</v>
      </c>
      <c r="E2864" t="s">
        <v>38</v>
      </c>
      <c r="F2864" t="s">
        <v>143</v>
      </c>
      <c r="G2864" t="s">
        <v>10</v>
      </c>
      <c r="H2864" s="72">
        <v>804</v>
      </c>
      <c r="I2864" s="72" t="s">
        <v>54</v>
      </c>
      <c r="J2864" t="str">
        <f t="shared" si="92"/>
        <v>Puyallup River</v>
      </c>
      <c r="K2864" t="str">
        <f>IFERROR(VLOOKUP(J2864,LUTs!$A$1:$C$73,2,FALSE),"NA")</f>
        <v>Pierce</v>
      </c>
      <c r="L2864" t="str">
        <f>IFERROR(VLOOKUP(J2864,LUTs!$A$1:$C$73,3,FALSE),"NA")</f>
        <v>3South Puget Sound</v>
      </c>
      <c r="M2864" s="72" t="s">
        <v>18</v>
      </c>
      <c r="N2864" t="str">
        <f>VLOOKUP(M2864,LUTs!E$2:H$14,3,)</f>
        <v>06King</v>
      </c>
      <c r="O2864" t="str">
        <f>VLOOKUP(M2864,LUTs!E$2:H$14,4,)</f>
        <v>02South Puget Sound</v>
      </c>
      <c r="P2864" s="73">
        <v>10.085106382978701</v>
      </c>
      <c r="Q2864" s="74">
        <f>VLOOKUP(B2864,Readme!A$40:C$51,2,)*P2864</f>
        <v>87.236170212765771</v>
      </c>
    </row>
    <row r="2865" spans="1:17" ht="12" customHeight="1" x14ac:dyDescent="0.35">
      <c r="A2865" s="75">
        <v>2864</v>
      </c>
      <c r="B2865" s="64">
        <v>2018</v>
      </c>
      <c r="C2865" s="64">
        <v>10</v>
      </c>
      <c r="D2865" s="80">
        <f t="shared" si="91"/>
        <v>2018</v>
      </c>
      <c r="E2865" t="s">
        <v>38</v>
      </c>
      <c r="F2865" t="s">
        <v>143</v>
      </c>
      <c r="G2865" t="s">
        <v>10</v>
      </c>
      <c r="H2865" s="72">
        <v>804</v>
      </c>
      <c r="I2865" s="72" t="s">
        <v>54</v>
      </c>
      <c r="J2865" t="str">
        <f t="shared" si="92"/>
        <v>Puyallup River</v>
      </c>
      <c r="K2865" t="str">
        <f>IFERROR(VLOOKUP(J2865,LUTs!$A$1:$C$73,2,FALSE),"NA")</f>
        <v>Pierce</v>
      </c>
      <c r="L2865" t="str">
        <f>IFERROR(VLOOKUP(J2865,LUTs!$A$1:$C$73,3,FALSE),"NA")</f>
        <v>3South Puget Sound</v>
      </c>
      <c r="M2865" s="72" t="s">
        <v>26</v>
      </c>
      <c r="N2865" t="str">
        <f>VLOOKUP(M2865,LUTs!E$2:H$14,3,)</f>
        <v>20Other</v>
      </c>
      <c r="O2865" t="str">
        <f>VLOOKUP(M2865,LUTs!E$2:H$14,4,)</f>
        <v>07Non Puget Sound</v>
      </c>
      <c r="P2865" s="73">
        <v>10.085106382978701</v>
      </c>
      <c r="Q2865" s="74">
        <f>VLOOKUP(B2865,Readme!A$40:C$51,2,)*P2865</f>
        <v>87.236170212765771</v>
      </c>
    </row>
    <row r="2866" spans="1:17" ht="12" customHeight="1" x14ac:dyDescent="0.35">
      <c r="A2866" s="75">
        <v>2865</v>
      </c>
      <c r="B2866" s="64">
        <v>2018</v>
      </c>
      <c r="C2866" s="64">
        <v>10</v>
      </c>
      <c r="D2866" s="80">
        <f t="shared" si="91"/>
        <v>2018</v>
      </c>
      <c r="E2866" t="s">
        <v>38</v>
      </c>
      <c r="F2866" t="s">
        <v>143</v>
      </c>
      <c r="G2866" t="s">
        <v>10</v>
      </c>
      <c r="H2866" s="72">
        <v>804</v>
      </c>
      <c r="I2866" s="72" t="s">
        <v>54</v>
      </c>
      <c r="J2866" t="str">
        <f t="shared" si="92"/>
        <v>Puyallup River</v>
      </c>
      <c r="K2866" t="str">
        <f>IFERROR(VLOOKUP(J2866,LUTs!$A$1:$C$73,2,FALSE),"NA")</f>
        <v>Pierce</v>
      </c>
      <c r="L2866" t="str">
        <f>IFERROR(VLOOKUP(J2866,LUTs!$A$1:$C$73,3,FALSE),"NA")</f>
        <v>3South Puget Sound</v>
      </c>
      <c r="M2866" s="72" t="s">
        <v>20</v>
      </c>
      <c r="N2866" t="str">
        <f>VLOOKUP(M2866,LUTs!E$2:H$14,3,)</f>
        <v>07Pierce</v>
      </c>
      <c r="O2866" t="str">
        <f>VLOOKUP(M2866,LUTs!E$2:H$14,4,)</f>
        <v>02South Puget Sound</v>
      </c>
      <c r="P2866" s="73">
        <v>433.659574468085</v>
      </c>
      <c r="Q2866" s="74">
        <f>VLOOKUP(B2866,Readme!A$40:C$51,2,)*P2866</f>
        <v>3751.1553191489352</v>
      </c>
    </row>
    <row r="2867" spans="1:17" ht="12" customHeight="1" x14ac:dyDescent="0.35">
      <c r="A2867" s="75">
        <v>2866</v>
      </c>
      <c r="B2867" s="64">
        <v>2018</v>
      </c>
      <c r="C2867" s="64">
        <v>10</v>
      </c>
      <c r="D2867" s="80">
        <f t="shared" si="91"/>
        <v>2018</v>
      </c>
      <c r="E2867" t="s">
        <v>38</v>
      </c>
      <c r="F2867" t="s">
        <v>143</v>
      </c>
      <c r="G2867" t="s">
        <v>10</v>
      </c>
      <c r="H2867" s="72">
        <v>804</v>
      </c>
      <c r="I2867" s="72" t="s">
        <v>54</v>
      </c>
      <c r="J2867" t="str">
        <f t="shared" si="92"/>
        <v>Puyallup River</v>
      </c>
      <c r="K2867" t="str">
        <f>IFERROR(VLOOKUP(J2867,LUTs!$A$1:$C$73,2,FALSE),"NA")</f>
        <v>Pierce</v>
      </c>
      <c r="L2867" t="str">
        <f>IFERROR(VLOOKUP(J2867,LUTs!$A$1:$C$73,3,FALSE),"NA")</f>
        <v>3South Puget Sound</v>
      </c>
      <c r="M2867" s="72" t="s">
        <v>16</v>
      </c>
      <c r="N2867" t="str">
        <f>VLOOKUP(M2867,LUTs!E$2:H$14,3,)</f>
        <v>03Snohomish</v>
      </c>
      <c r="O2867" t="str">
        <f>VLOOKUP(M2867,LUTs!E$2:H$14,4,)</f>
        <v>01North Puget Sound</v>
      </c>
      <c r="P2867" s="73">
        <v>20.170212765957501</v>
      </c>
      <c r="Q2867" s="74">
        <f>VLOOKUP(B2867,Readme!A$40:C$51,2,)*P2867</f>
        <v>174.47234042553239</v>
      </c>
    </row>
    <row r="2868" spans="1:17" ht="12" customHeight="1" x14ac:dyDescent="0.35">
      <c r="A2868" s="75">
        <v>2867</v>
      </c>
      <c r="B2868" s="64">
        <v>2018</v>
      </c>
      <c r="C2868" s="64">
        <v>11</v>
      </c>
      <c r="D2868" s="80">
        <f t="shared" si="91"/>
        <v>2018</v>
      </c>
      <c r="E2868" t="s">
        <v>38</v>
      </c>
      <c r="F2868" t="s">
        <v>143</v>
      </c>
      <c r="G2868" t="s">
        <v>10</v>
      </c>
      <c r="H2868" s="72">
        <v>804</v>
      </c>
      <c r="I2868" s="72" t="s">
        <v>54</v>
      </c>
      <c r="J2868" t="str">
        <f t="shared" si="92"/>
        <v>Puyallup River</v>
      </c>
      <c r="K2868" t="str">
        <f>IFERROR(VLOOKUP(J2868,LUTs!$A$1:$C$73,2,FALSE),"NA")</f>
        <v>Pierce</v>
      </c>
      <c r="L2868" t="str">
        <f>IFERROR(VLOOKUP(J2868,LUTs!$A$1:$C$73,3,FALSE),"NA")</f>
        <v>3South Puget Sound</v>
      </c>
      <c r="M2868" s="72" t="s">
        <v>20</v>
      </c>
      <c r="N2868" t="str">
        <f>VLOOKUP(M2868,LUTs!E$2:H$14,3,)</f>
        <v>07Pierce</v>
      </c>
      <c r="O2868" t="str">
        <f>VLOOKUP(M2868,LUTs!E$2:H$14,4,)</f>
        <v>02South Puget Sound</v>
      </c>
      <c r="P2868" s="73">
        <v>99.090909090909093</v>
      </c>
      <c r="Q2868" s="74">
        <f>VLOOKUP(B2868,Readme!A$40:C$51,2,)*P2868</f>
        <v>857.13636363636374</v>
      </c>
    </row>
    <row r="2869" spans="1:17" ht="12" customHeight="1" x14ac:dyDescent="0.35">
      <c r="A2869" s="75">
        <v>2868</v>
      </c>
      <c r="B2869" s="64">
        <v>2018</v>
      </c>
      <c r="C2869" s="64">
        <v>11</v>
      </c>
      <c r="D2869" s="80">
        <f t="shared" si="91"/>
        <v>2018</v>
      </c>
      <c r="E2869" t="s">
        <v>38</v>
      </c>
      <c r="F2869" t="s">
        <v>143</v>
      </c>
      <c r="G2869" t="s">
        <v>10</v>
      </c>
      <c r="H2869" s="72">
        <v>804</v>
      </c>
      <c r="I2869" s="72" t="s">
        <v>54</v>
      </c>
      <c r="J2869" t="str">
        <f t="shared" si="92"/>
        <v>Puyallup River</v>
      </c>
      <c r="K2869" t="str">
        <f>IFERROR(VLOOKUP(J2869,LUTs!$A$1:$C$73,2,FALSE),"NA")</f>
        <v>Pierce</v>
      </c>
      <c r="L2869" t="str">
        <f>IFERROR(VLOOKUP(J2869,LUTs!$A$1:$C$73,3,FALSE),"NA")</f>
        <v>3South Puget Sound</v>
      </c>
      <c r="M2869" s="72" t="s">
        <v>21</v>
      </c>
      <c r="N2869" t="str">
        <f>VLOOKUP(M2869,LUTs!E$2:H$14,3,)</f>
        <v>08Thurston</v>
      </c>
      <c r="O2869" t="str">
        <f>VLOOKUP(M2869,LUTs!E$2:H$14,4,)</f>
        <v>02South Puget Sound</v>
      </c>
      <c r="P2869" s="73">
        <v>9.9090909090909101</v>
      </c>
      <c r="Q2869" s="74">
        <f>VLOOKUP(B2869,Readme!A$40:C$51,2,)*P2869</f>
        <v>85.713636363636382</v>
      </c>
    </row>
    <row r="2870" spans="1:17" ht="12" customHeight="1" x14ac:dyDescent="0.35">
      <c r="A2870" s="75">
        <v>2869</v>
      </c>
      <c r="B2870" s="64">
        <v>2018</v>
      </c>
      <c r="C2870" s="64">
        <v>12</v>
      </c>
      <c r="D2870" s="80">
        <f t="shared" si="91"/>
        <v>2018</v>
      </c>
      <c r="E2870" t="s">
        <v>38</v>
      </c>
      <c r="F2870" t="s">
        <v>143</v>
      </c>
      <c r="G2870" t="s">
        <v>10</v>
      </c>
      <c r="H2870" s="72">
        <v>804</v>
      </c>
      <c r="I2870" s="72" t="s">
        <v>54</v>
      </c>
      <c r="J2870" t="str">
        <f t="shared" si="92"/>
        <v>Puyallup River</v>
      </c>
      <c r="K2870" t="str">
        <f>IFERROR(VLOOKUP(J2870,LUTs!$A$1:$C$73,2,FALSE),"NA")</f>
        <v>Pierce</v>
      </c>
      <c r="L2870" t="str">
        <f>IFERROR(VLOOKUP(J2870,LUTs!$A$1:$C$73,3,FALSE),"NA")</f>
        <v>3South Puget Sound</v>
      </c>
      <c r="M2870" s="72" t="s">
        <v>20</v>
      </c>
      <c r="N2870" t="str">
        <f>VLOOKUP(M2870,LUTs!E$2:H$14,3,)</f>
        <v>07Pierce</v>
      </c>
      <c r="O2870" t="str">
        <f>VLOOKUP(M2870,LUTs!E$2:H$14,4,)</f>
        <v>02South Puget Sound</v>
      </c>
      <c r="P2870" s="73">
        <v>69</v>
      </c>
      <c r="Q2870" s="74">
        <f>VLOOKUP(B2870,Readme!A$40:C$51,2,)*P2870</f>
        <v>596.85</v>
      </c>
    </row>
    <row r="2871" spans="1:17" ht="12" customHeight="1" x14ac:dyDescent="0.35">
      <c r="A2871" s="75">
        <v>2870</v>
      </c>
      <c r="B2871" s="64">
        <v>2018</v>
      </c>
      <c r="C2871" s="64">
        <v>7</v>
      </c>
      <c r="D2871" s="80">
        <f t="shared" si="91"/>
        <v>2018</v>
      </c>
      <c r="E2871" t="s">
        <v>38</v>
      </c>
      <c r="F2871" t="s">
        <v>143</v>
      </c>
      <c r="G2871" t="s">
        <v>10</v>
      </c>
      <c r="H2871" s="72">
        <v>812</v>
      </c>
      <c r="I2871" s="72" t="s">
        <v>55</v>
      </c>
      <c r="J2871" t="str">
        <f t="shared" si="92"/>
        <v>Quilcene River</v>
      </c>
      <c r="K2871" t="str">
        <f>IFERROR(VLOOKUP(J2871,LUTs!$A$1:$C$73,2,FALSE),"NA")</f>
        <v>Jefferson</v>
      </c>
      <c r="L2871" t="str">
        <f>IFERROR(VLOOKUP(J2871,LUTs!$A$1:$C$73,3,FALSE),"NA")</f>
        <v>4 Hood Canal</v>
      </c>
      <c r="M2871" s="72" t="s">
        <v>26</v>
      </c>
      <c r="N2871" t="str">
        <f>VLOOKUP(M2871,LUTs!E$2:H$14,3,)</f>
        <v>20Other</v>
      </c>
      <c r="O2871" t="str">
        <f>VLOOKUP(M2871,LUTs!E$2:H$14,4,)</f>
        <v>07Non Puget Sound</v>
      </c>
      <c r="P2871" s="73">
        <v>30</v>
      </c>
      <c r="Q2871" s="74">
        <f>VLOOKUP(B2871,Readme!A$40:C$51,2,)*P2871</f>
        <v>259.5</v>
      </c>
    </row>
    <row r="2872" spans="1:17" ht="12" customHeight="1" x14ac:dyDescent="0.35">
      <c r="A2872" s="75">
        <v>2871</v>
      </c>
      <c r="B2872" s="64">
        <v>2018</v>
      </c>
      <c r="C2872" s="64">
        <v>8</v>
      </c>
      <c r="D2872" s="80">
        <f t="shared" si="91"/>
        <v>2018</v>
      </c>
      <c r="E2872" t="s">
        <v>38</v>
      </c>
      <c r="F2872" t="s">
        <v>143</v>
      </c>
      <c r="G2872" t="s">
        <v>10</v>
      </c>
      <c r="H2872" s="72">
        <v>812</v>
      </c>
      <c r="I2872" s="72" t="s">
        <v>55</v>
      </c>
      <c r="J2872" t="str">
        <f t="shared" si="92"/>
        <v>Quilcene River</v>
      </c>
      <c r="K2872" t="str">
        <f>IFERROR(VLOOKUP(J2872,LUTs!$A$1:$C$73,2,FALSE),"NA")</f>
        <v>Jefferson</v>
      </c>
      <c r="L2872" t="str">
        <f>IFERROR(VLOOKUP(J2872,LUTs!$A$1:$C$73,3,FALSE),"NA")</f>
        <v>4 Hood Canal</v>
      </c>
      <c r="M2872" s="72" t="s">
        <v>24</v>
      </c>
      <c r="N2872" t="str">
        <f>VLOOKUP(M2872,LUTs!E$2:H$14,3,)</f>
        <v>11Clallam</v>
      </c>
      <c r="O2872" t="str">
        <f>VLOOKUP(M2872,LUTs!E$2:H$14,4,)</f>
        <v>03Strait of Juan de Fuca</v>
      </c>
      <c r="P2872" s="73">
        <v>90.357142857142904</v>
      </c>
      <c r="Q2872" s="74">
        <f>VLOOKUP(B2872,Readme!A$40:C$51,2,)*P2872</f>
        <v>781.58928571428612</v>
      </c>
    </row>
    <row r="2873" spans="1:17" ht="12" customHeight="1" x14ac:dyDescent="0.35">
      <c r="A2873" s="75">
        <v>2872</v>
      </c>
      <c r="B2873" s="64">
        <v>2018</v>
      </c>
      <c r="C2873" s="64">
        <v>8</v>
      </c>
      <c r="D2873" s="80">
        <f t="shared" si="91"/>
        <v>2018</v>
      </c>
      <c r="E2873" t="s">
        <v>38</v>
      </c>
      <c r="F2873" t="s">
        <v>143</v>
      </c>
      <c r="G2873" t="s">
        <v>10</v>
      </c>
      <c r="H2873" s="72">
        <v>812</v>
      </c>
      <c r="I2873" s="72" t="s">
        <v>55</v>
      </c>
      <c r="J2873" t="str">
        <f t="shared" si="92"/>
        <v>Quilcene River</v>
      </c>
      <c r="K2873" t="str">
        <f>IFERROR(VLOOKUP(J2873,LUTs!$A$1:$C$73,2,FALSE),"NA")</f>
        <v>Jefferson</v>
      </c>
      <c r="L2873" t="str">
        <f>IFERROR(VLOOKUP(J2873,LUTs!$A$1:$C$73,3,FALSE),"NA")</f>
        <v>4 Hood Canal</v>
      </c>
      <c r="M2873" s="72" t="s">
        <v>25</v>
      </c>
      <c r="N2873" t="str">
        <f>VLOOKUP(M2873,LUTs!E$2:H$14,3,)</f>
        <v>12Jefferson</v>
      </c>
      <c r="O2873" t="str">
        <f>VLOOKUP(M2873,LUTs!E$2:H$14,4,)</f>
        <v>03Strait of Juan de Fuca</v>
      </c>
      <c r="P2873" s="73">
        <v>261.03174603174602</v>
      </c>
      <c r="Q2873" s="74">
        <f>VLOOKUP(B2873,Readme!A$40:C$51,2,)*P2873</f>
        <v>2257.9246031746034</v>
      </c>
    </row>
    <row r="2874" spans="1:17" ht="12" customHeight="1" x14ac:dyDescent="0.35">
      <c r="A2874" s="75">
        <v>2873</v>
      </c>
      <c r="B2874" s="64">
        <v>2018</v>
      </c>
      <c r="C2874" s="64">
        <v>8</v>
      </c>
      <c r="D2874" s="80">
        <f t="shared" ref="D2874:D2937" si="93">IF(C2874&gt;3,B2874,B2874-1)</f>
        <v>2018</v>
      </c>
      <c r="E2874" t="s">
        <v>38</v>
      </c>
      <c r="F2874" t="s">
        <v>143</v>
      </c>
      <c r="G2874" t="s">
        <v>10</v>
      </c>
      <c r="H2874" s="72">
        <v>812</v>
      </c>
      <c r="I2874" s="72" t="s">
        <v>55</v>
      </c>
      <c r="J2874" t="str">
        <f t="shared" si="92"/>
        <v>Quilcene River</v>
      </c>
      <c r="K2874" t="str">
        <f>IFERROR(VLOOKUP(J2874,LUTs!$A$1:$C$73,2,FALSE),"NA")</f>
        <v>Jefferson</v>
      </c>
      <c r="L2874" t="str">
        <f>IFERROR(VLOOKUP(J2874,LUTs!$A$1:$C$73,3,FALSE),"NA")</f>
        <v>4 Hood Canal</v>
      </c>
      <c r="M2874" s="72" t="s">
        <v>18</v>
      </c>
      <c r="N2874" t="str">
        <f>VLOOKUP(M2874,LUTs!E$2:H$14,3,)</f>
        <v>06King</v>
      </c>
      <c r="O2874" t="str">
        <f>VLOOKUP(M2874,LUTs!E$2:H$14,4,)</f>
        <v>02South Puget Sound</v>
      </c>
      <c r="P2874" s="73">
        <v>261.03174603174602</v>
      </c>
      <c r="Q2874" s="74">
        <f>VLOOKUP(B2874,Readme!A$40:C$51,2,)*P2874</f>
        <v>2257.9246031746034</v>
      </c>
    </row>
    <row r="2875" spans="1:17" ht="12" customHeight="1" x14ac:dyDescent="0.35">
      <c r="A2875" s="75">
        <v>2874</v>
      </c>
      <c r="B2875" s="64">
        <v>2018</v>
      </c>
      <c r="C2875" s="64">
        <v>8</v>
      </c>
      <c r="D2875" s="80">
        <f t="shared" si="93"/>
        <v>2018</v>
      </c>
      <c r="E2875" t="s">
        <v>38</v>
      </c>
      <c r="F2875" t="s">
        <v>143</v>
      </c>
      <c r="G2875" t="s">
        <v>10</v>
      </c>
      <c r="H2875" s="72">
        <v>812</v>
      </c>
      <c r="I2875" s="72" t="s">
        <v>55</v>
      </c>
      <c r="J2875" t="str">
        <f t="shared" si="92"/>
        <v>Quilcene River</v>
      </c>
      <c r="K2875" t="str">
        <f>IFERROR(VLOOKUP(J2875,LUTs!$A$1:$C$73,2,FALSE),"NA")</f>
        <v>Jefferson</v>
      </c>
      <c r="L2875" t="str">
        <f>IFERROR(VLOOKUP(J2875,LUTs!$A$1:$C$73,3,FALSE),"NA")</f>
        <v>4 Hood Canal</v>
      </c>
      <c r="M2875" s="72" t="s">
        <v>23</v>
      </c>
      <c r="N2875" t="str">
        <f>VLOOKUP(M2875,LUTs!E$2:H$14,3,)</f>
        <v>10Kitsap</v>
      </c>
      <c r="O2875" t="str">
        <f>VLOOKUP(M2875,LUTs!E$2:H$14,4,)</f>
        <v>02South Puget Sound</v>
      </c>
      <c r="P2875" s="73">
        <v>451.78571428571399</v>
      </c>
      <c r="Q2875" s="74">
        <f>VLOOKUP(B2875,Readme!A$40:C$51,2,)*P2875</f>
        <v>3907.9464285714262</v>
      </c>
    </row>
    <row r="2876" spans="1:17" ht="12" customHeight="1" x14ac:dyDescent="0.35">
      <c r="A2876" s="75">
        <v>2875</v>
      </c>
      <c r="B2876" s="64">
        <v>2018</v>
      </c>
      <c r="C2876" s="64">
        <v>8</v>
      </c>
      <c r="D2876" s="80">
        <f t="shared" si="93"/>
        <v>2018</v>
      </c>
      <c r="E2876" t="s">
        <v>38</v>
      </c>
      <c r="F2876" t="s">
        <v>143</v>
      </c>
      <c r="G2876" t="s">
        <v>10</v>
      </c>
      <c r="H2876" s="72">
        <v>812</v>
      </c>
      <c r="I2876" s="72" t="s">
        <v>55</v>
      </c>
      <c r="J2876" t="str">
        <f t="shared" si="92"/>
        <v>Quilcene River</v>
      </c>
      <c r="K2876" t="str">
        <f>IFERROR(VLOOKUP(J2876,LUTs!$A$1:$C$73,2,FALSE),"NA")</f>
        <v>Jefferson</v>
      </c>
      <c r="L2876" t="str">
        <f>IFERROR(VLOOKUP(J2876,LUTs!$A$1:$C$73,3,FALSE),"NA")</f>
        <v>4 Hood Canal</v>
      </c>
      <c r="M2876" s="72" t="s">
        <v>22</v>
      </c>
      <c r="N2876" t="str">
        <f>VLOOKUP(M2876,LUTs!E$2:H$14,3,)</f>
        <v>09Mason</v>
      </c>
      <c r="O2876" t="str">
        <f>VLOOKUP(M2876,LUTs!E$2:H$14,4,)</f>
        <v>02South Puget Sound</v>
      </c>
      <c r="P2876" s="73">
        <v>20.0793650793651</v>
      </c>
      <c r="Q2876" s="74">
        <f>VLOOKUP(B2876,Readme!A$40:C$51,2,)*P2876</f>
        <v>173.68650793650812</v>
      </c>
    </row>
    <row r="2877" spans="1:17" ht="12" customHeight="1" x14ac:dyDescent="0.35">
      <c r="A2877" s="75">
        <v>2876</v>
      </c>
      <c r="B2877" s="64">
        <v>2018</v>
      </c>
      <c r="C2877" s="64">
        <v>8</v>
      </c>
      <c r="D2877" s="80">
        <f t="shared" si="93"/>
        <v>2018</v>
      </c>
      <c r="E2877" t="s">
        <v>38</v>
      </c>
      <c r="F2877" t="s">
        <v>143</v>
      </c>
      <c r="G2877" t="s">
        <v>10</v>
      </c>
      <c r="H2877" s="72">
        <v>812</v>
      </c>
      <c r="I2877" s="72" t="s">
        <v>55</v>
      </c>
      <c r="J2877" t="str">
        <f t="shared" si="92"/>
        <v>Quilcene River</v>
      </c>
      <c r="K2877" t="str">
        <f>IFERROR(VLOOKUP(J2877,LUTs!$A$1:$C$73,2,FALSE),"NA")</f>
        <v>Jefferson</v>
      </c>
      <c r="L2877" t="str">
        <f>IFERROR(VLOOKUP(J2877,LUTs!$A$1:$C$73,3,FALSE),"NA")</f>
        <v>4 Hood Canal</v>
      </c>
      <c r="M2877" s="72" t="s">
        <v>26</v>
      </c>
      <c r="N2877" t="str">
        <f>VLOOKUP(M2877,LUTs!E$2:H$14,3,)</f>
        <v>20Other</v>
      </c>
      <c r="O2877" t="str">
        <f>VLOOKUP(M2877,LUTs!E$2:H$14,4,)</f>
        <v>07Non Puget Sound</v>
      </c>
      <c r="P2877" s="73">
        <v>90.357142857142904</v>
      </c>
      <c r="Q2877" s="74">
        <f>VLOOKUP(B2877,Readme!A$40:C$51,2,)*P2877</f>
        <v>781.58928571428612</v>
      </c>
    </row>
    <row r="2878" spans="1:17" ht="12" customHeight="1" x14ac:dyDescent="0.35">
      <c r="A2878" s="75">
        <v>2877</v>
      </c>
      <c r="B2878" s="64">
        <v>2018</v>
      </c>
      <c r="C2878" s="64">
        <v>8</v>
      </c>
      <c r="D2878" s="80">
        <f t="shared" si="93"/>
        <v>2018</v>
      </c>
      <c r="E2878" t="s">
        <v>38</v>
      </c>
      <c r="F2878" t="s">
        <v>143</v>
      </c>
      <c r="G2878" t="s">
        <v>10</v>
      </c>
      <c r="H2878" s="72">
        <v>812</v>
      </c>
      <c r="I2878" s="72" t="s">
        <v>55</v>
      </c>
      <c r="J2878" t="str">
        <f t="shared" si="92"/>
        <v>Quilcene River</v>
      </c>
      <c r="K2878" t="str">
        <f>IFERROR(VLOOKUP(J2878,LUTs!$A$1:$C$73,2,FALSE),"NA")</f>
        <v>Jefferson</v>
      </c>
      <c r="L2878" t="str">
        <f>IFERROR(VLOOKUP(J2878,LUTs!$A$1:$C$73,3,FALSE),"NA")</f>
        <v>4 Hood Canal</v>
      </c>
      <c r="M2878" s="72" t="s">
        <v>20</v>
      </c>
      <c r="N2878" t="str">
        <f>VLOOKUP(M2878,LUTs!E$2:H$14,3,)</f>
        <v>07Pierce</v>
      </c>
      <c r="O2878" t="str">
        <f>VLOOKUP(M2878,LUTs!E$2:H$14,4,)</f>
        <v>02South Puget Sound</v>
      </c>
      <c r="P2878" s="73">
        <v>80.317460317460302</v>
      </c>
      <c r="Q2878" s="74">
        <f>VLOOKUP(B2878,Readme!A$40:C$51,2,)*P2878</f>
        <v>694.74603174603169</v>
      </c>
    </row>
    <row r="2879" spans="1:17" ht="12" customHeight="1" x14ac:dyDescent="0.35">
      <c r="A2879" s="75">
        <v>2878</v>
      </c>
      <c r="B2879" s="64">
        <v>2018</v>
      </c>
      <c r="C2879" s="64">
        <v>8</v>
      </c>
      <c r="D2879" s="80">
        <f t="shared" si="93"/>
        <v>2018</v>
      </c>
      <c r="E2879" t="s">
        <v>38</v>
      </c>
      <c r="F2879" t="s">
        <v>143</v>
      </c>
      <c r="G2879" t="s">
        <v>10</v>
      </c>
      <c r="H2879" s="72">
        <v>812</v>
      </c>
      <c r="I2879" s="72" t="s">
        <v>55</v>
      </c>
      <c r="J2879" t="str">
        <f t="shared" si="92"/>
        <v>Quilcene River</v>
      </c>
      <c r="K2879" t="str">
        <f>IFERROR(VLOOKUP(J2879,LUTs!$A$1:$C$73,2,FALSE),"NA")</f>
        <v>Jefferson</v>
      </c>
      <c r="L2879" t="str">
        <f>IFERROR(VLOOKUP(J2879,LUTs!$A$1:$C$73,3,FALSE),"NA")</f>
        <v>4 Hood Canal</v>
      </c>
      <c r="M2879" s="72" t="s">
        <v>16</v>
      </c>
      <c r="N2879" t="str">
        <f>VLOOKUP(M2879,LUTs!E$2:H$14,3,)</f>
        <v>03Snohomish</v>
      </c>
      <c r="O2879" t="str">
        <f>VLOOKUP(M2879,LUTs!E$2:H$14,4,)</f>
        <v>01North Puget Sound</v>
      </c>
      <c r="P2879" s="73">
        <v>10.0396825396825</v>
      </c>
      <c r="Q2879" s="74">
        <f>VLOOKUP(B2879,Readme!A$40:C$51,2,)*P2879</f>
        <v>86.843253968253634</v>
      </c>
    </row>
    <row r="2880" spans="1:17" ht="12" customHeight="1" x14ac:dyDescent="0.35">
      <c r="A2880" s="75">
        <v>2879</v>
      </c>
      <c r="B2880" s="64">
        <v>2018</v>
      </c>
      <c r="C2880" s="64">
        <v>9</v>
      </c>
      <c r="D2880" s="80">
        <f t="shared" si="93"/>
        <v>2018</v>
      </c>
      <c r="E2880" t="s">
        <v>38</v>
      </c>
      <c r="F2880" t="s">
        <v>143</v>
      </c>
      <c r="G2880" t="s">
        <v>10</v>
      </c>
      <c r="H2880" s="72">
        <v>812</v>
      </c>
      <c r="I2880" s="72" t="s">
        <v>55</v>
      </c>
      <c r="J2880" t="str">
        <f t="shared" si="92"/>
        <v>Quilcene River</v>
      </c>
      <c r="K2880" t="str">
        <f>IFERROR(VLOOKUP(J2880,LUTs!$A$1:$C$73,2,FALSE),"NA")</f>
        <v>Jefferson</v>
      </c>
      <c r="L2880" t="str">
        <f>IFERROR(VLOOKUP(J2880,LUTs!$A$1:$C$73,3,FALSE),"NA")</f>
        <v>4 Hood Canal</v>
      </c>
      <c r="M2880" s="72" t="s">
        <v>24</v>
      </c>
      <c r="N2880" t="str">
        <f>VLOOKUP(M2880,LUTs!E$2:H$14,3,)</f>
        <v>11Clallam</v>
      </c>
      <c r="O2880" t="str">
        <f>VLOOKUP(M2880,LUTs!E$2:H$14,4,)</f>
        <v>03Strait of Juan de Fuca</v>
      </c>
      <c r="P2880" s="73">
        <v>110.44715447154501</v>
      </c>
      <c r="Q2880" s="74">
        <f>VLOOKUP(B2880,Readme!A$40:C$51,2,)*P2880</f>
        <v>955.3678861788643</v>
      </c>
    </row>
    <row r="2881" spans="1:17" ht="12" customHeight="1" x14ac:dyDescent="0.35">
      <c r="A2881" s="75">
        <v>2880</v>
      </c>
      <c r="B2881" s="64">
        <v>2018</v>
      </c>
      <c r="C2881" s="64">
        <v>9</v>
      </c>
      <c r="D2881" s="80">
        <f t="shared" si="93"/>
        <v>2018</v>
      </c>
      <c r="E2881" t="s">
        <v>38</v>
      </c>
      <c r="F2881" t="s">
        <v>143</v>
      </c>
      <c r="G2881" t="s">
        <v>10</v>
      </c>
      <c r="H2881" s="72">
        <v>812</v>
      </c>
      <c r="I2881" s="72" t="s">
        <v>55</v>
      </c>
      <c r="J2881" t="str">
        <f t="shared" si="92"/>
        <v>Quilcene River</v>
      </c>
      <c r="K2881" t="str">
        <f>IFERROR(VLOOKUP(J2881,LUTs!$A$1:$C$73,2,FALSE),"NA")</f>
        <v>Jefferson</v>
      </c>
      <c r="L2881" t="str">
        <f>IFERROR(VLOOKUP(J2881,LUTs!$A$1:$C$73,3,FALSE),"NA")</f>
        <v>4 Hood Canal</v>
      </c>
      <c r="M2881" s="72" t="s">
        <v>25</v>
      </c>
      <c r="N2881" t="str">
        <f>VLOOKUP(M2881,LUTs!E$2:H$14,3,)</f>
        <v>12Jefferson</v>
      </c>
      <c r="O2881" t="str">
        <f>VLOOKUP(M2881,LUTs!E$2:H$14,4,)</f>
        <v>03Strait of Juan de Fuca</v>
      </c>
      <c r="P2881" s="73">
        <v>281.13821138211398</v>
      </c>
      <c r="Q2881" s="74">
        <f>VLOOKUP(B2881,Readme!A$40:C$51,2,)*P2881</f>
        <v>2431.8455284552861</v>
      </c>
    </row>
    <row r="2882" spans="1:17" ht="12" customHeight="1" x14ac:dyDescent="0.35">
      <c r="A2882" s="75">
        <v>2881</v>
      </c>
      <c r="B2882" s="64">
        <v>2018</v>
      </c>
      <c r="C2882" s="64">
        <v>9</v>
      </c>
      <c r="D2882" s="80">
        <f t="shared" si="93"/>
        <v>2018</v>
      </c>
      <c r="E2882" t="s">
        <v>38</v>
      </c>
      <c r="F2882" t="s">
        <v>143</v>
      </c>
      <c r="G2882" t="s">
        <v>10</v>
      </c>
      <c r="H2882" s="72">
        <v>812</v>
      </c>
      <c r="I2882" s="72" t="s">
        <v>55</v>
      </c>
      <c r="J2882" t="str">
        <f t="shared" si="92"/>
        <v>Quilcene River</v>
      </c>
      <c r="K2882" t="str">
        <f>IFERROR(VLOOKUP(J2882,LUTs!$A$1:$C$73,2,FALSE),"NA")</f>
        <v>Jefferson</v>
      </c>
      <c r="L2882" t="str">
        <f>IFERROR(VLOOKUP(J2882,LUTs!$A$1:$C$73,3,FALSE),"NA")</f>
        <v>4 Hood Canal</v>
      </c>
      <c r="M2882" s="72" t="s">
        <v>18</v>
      </c>
      <c r="N2882" t="str">
        <f>VLOOKUP(M2882,LUTs!E$2:H$14,3,)</f>
        <v>06King</v>
      </c>
      <c r="O2882" t="str">
        <f>VLOOKUP(M2882,LUTs!E$2:H$14,4,)</f>
        <v>02South Puget Sound</v>
      </c>
      <c r="P2882" s="73">
        <v>140.56910569105699</v>
      </c>
      <c r="Q2882" s="74">
        <f>VLOOKUP(B2882,Readme!A$40:C$51,2,)*P2882</f>
        <v>1215.922764227643</v>
      </c>
    </row>
    <row r="2883" spans="1:17" ht="12" customHeight="1" x14ac:dyDescent="0.35">
      <c r="A2883" s="75">
        <v>2882</v>
      </c>
      <c r="B2883" s="64">
        <v>2018</v>
      </c>
      <c r="C2883" s="64">
        <v>9</v>
      </c>
      <c r="D2883" s="80">
        <f t="shared" si="93"/>
        <v>2018</v>
      </c>
      <c r="E2883" t="s">
        <v>38</v>
      </c>
      <c r="F2883" t="s">
        <v>143</v>
      </c>
      <c r="G2883" t="s">
        <v>10</v>
      </c>
      <c r="H2883" s="72">
        <v>812</v>
      </c>
      <c r="I2883" s="72" t="s">
        <v>55</v>
      </c>
      <c r="J2883" t="str">
        <f t="shared" ref="J2883:J2946" si="94">I2883</f>
        <v>Quilcene River</v>
      </c>
      <c r="K2883" t="str">
        <f>IFERROR(VLOOKUP(J2883,LUTs!$A$1:$C$73,2,FALSE),"NA")</f>
        <v>Jefferson</v>
      </c>
      <c r="L2883" t="str">
        <f>IFERROR(VLOOKUP(J2883,LUTs!$A$1:$C$73,3,FALSE),"NA")</f>
        <v>4 Hood Canal</v>
      </c>
      <c r="M2883" s="72" t="s">
        <v>23</v>
      </c>
      <c r="N2883" t="str">
        <f>VLOOKUP(M2883,LUTs!E$2:H$14,3,)</f>
        <v>10Kitsap</v>
      </c>
      <c r="O2883" t="str">
        <f>VLOOKUP(M2883,LUTs!E$2:H$14,4,)</f>
        <v>02South Puget Sound</v>
      </c>
      <c r="P2883" s="73">
        <v>431.74796747967503</v>
      </c>
      <c r="Q2883" s="74">
        <f>VLOOKUP(B2883,Readme!A$40:C$51,2,)*P2883</f>
        <v>3734.6199186991889</v>
      </c>
    </row>
    <row r="2884" spans="1:17" ht="12" customHeight="1" x14ac:dyDescent="0.35">
      <c r="A2884" s="75">
        <v>2883</v>
      </c>
      <c r="B2884" s="64">
        <v>2018</v>
      </c>
      <c r="C2884" s="64">
        <v>9</v>
      </c>
      <c r="D2884" s="80">
        <f t="shared" si="93"/>
        <v>2018</v>
      </c>
      <c r="E2884" t="s">
        <v>38</v>
      </c>
      <c r="F2884" t="s">
        <v>143</v>
      </c>
      <c r="G2884" t="s">
        <v>10</v>
      </c>
      <c r="H2884" s="72">
        <v>812</v>
      </c>
      <c r="I2884" s="72" t="s">
        <v>55</v>
      </c>
      <c r="J2884" t="str">
        <f t="shared" si="94"/>
        <v>Quilcene River</v>
      </c>
      <c r="K2884" t="str">
        <f>IFERROR(VLOOKUP(J2884,LUTs!$A$1:$C$73,2,FALSE),"NA")</f>
        <v>Jefferson</v>
      </c>
      <c r="L2884" t="str">
        <f>IFERROR(VLOOKUP(J2884,LUTs!$A$1:$C$73,3,FALSE),"NA")</f>
        <v>4 Hood Canal</v>
      </c>
      <c r="M2884" s="72" t="s">
        <v>22</v>
      </c>
      <c r="N2884" t="str">
        <f>VLOOKUP(M2884,LUTs!E$2:H$14,3,)</f>
        <v>09Mason</v>
      </c>
      <c r="O2884" t="str">
        <f>VLOOKUP(M2884,LUTs!E$2:H$14,4,)</f>
        <v>02South Puget Sound</v>
      </c>
      <c r="P2884" s="73">
        <v>50.203252032520297</v>
      </c>
      <c r="Q2884" s="74">
        <f>VLOOKUP(B2884,Readme!A$40:C$51,2,)*P2884</f>
        <v>434.25813008130058</v>
      </c>
    </row>
    <row r="2885" spans="1:17" ht="12" customHeight="1" x14ac:dyDescent="0.35">
      <c r="A2885" s="75">
        <v>2884</v>
      </c>
      <c r="B2885" s="64">
        <v>2018</v>
      </c>
      <c r="C2885" s="64">
        <v>9</v>
      </c>
      <c r="D2885" s="80">
        <f t="shared" si="93"/>
        <v>2018</v>
      </c>
      <c r="E2885" t="s">
        <v>38</v>
      </c>
      <c r="F2885" t="s">
        <v>143</v>
      </c>
      <c r="G2885" t="s">
        <v>10</v>
      </c>
      <c r="H2885" s="72">
        <v>812</v>
      </c>
      <c r="I2885" s="72" t="s">
        <v>55</v>
      </c>
      <c r="J2885" t="str">
        <f t="shared" si="94"/>
        <v>Quilcene River</v>
      </c>
      <c r="K2885" t="str">
        <f>IFERROR(VLOOKUP(J2885,LUTs!$A$1:$C$73,2,FALSE),"NA")</f>
        <v>Jefferson</v>
      </c>
      <c r="L2885" t="str">
        <f>IFERROR(VLOOKUP(J2885,LUTs!$A$1:$C$73,3,FALSE),"NA")</f>
        <v>4 Hood Canal</v>
      </c>
      <c r="M2885" s="72" t="s">
        <v>26</v>
      </c>
      <c r="N2885" t="str">
        <f>VLOOKUP(M2885,LUTs!E$2:H$14,3,)</f>
        <v>20Other</v>
      </c>
      <c r="O2885" t="str">
        <f>VLOOKUP(M2885,LUTs!E$2:H$14,4,)</f>
        <v>07Non Puget Sound</v>
      </c>
      <c r="P2885" s="73">
        <v>110.44715447154501</v>
      </c>
      <c r="Q2885" s="74">
        <f>VLOOKUP(B2885,Readme!A$40:C$51,2,)*P2885</f>
        <v>955.3678861788643</v>
      </c>
    </row>
    <row r="2886" spans="1:17" ht="12" customHeight="1" x14ac:dyDescent="0.35">
      <c r="A2886" s="75">
        <v>2885</v>
      </c>
      <c r="B2886" s="64">
        <v>2018</v>
      </c>
      <c r="C2886" s="64">
        <v>9</v>
      </c>
      <c r="D2886" s="80">
        <f t="shared" si="93"/>
        <v>2018</v>
      </c>
      <c r="E2886" t="s">
        <v>38</v>
      </c>
      <c r="F2886" t="s">
        <v>143</v>
      </c>
      <c r="G2886" t="s">
        <v>10</v>
      </c>
      <c r="H2886" s="72">
        <v>812</v>
      </c>
      <c r="I2886" s="72" t="s">
        <v>55</v>
      </c>
      <c r="J2886" t="str">
        <f t="shared" si="94"/>
        <v>Quilcene River</v>
      </c>
      <c r="K2886" t="str">
        <f>IFERROR(VLOOKUP(J2886,LUTs!$A$1:$C$73,2,FALSE),"NA")</f>
        <v>Jefferson</v>
      </c>
      <c r="L2886" t="str">
        <f>IFERROR(VLOOKUP(J2886,LUTs!$A$1:$C$73,3,FALSE),"NA")</f>
        <v>4 Hood Canal</v>
      </c>
      <c r="M2886" s="72" t="s">
        <v>20</v>
      </c>
      <c r="N2886" t="str">
        <f>VLOOKUP(M2886,LUTs!E$2:H$14,3,)</f>
        <v>07Pierce</v>
      </c>
      <c r="O2886" t="str">
        <f>VLOOKUP(M2886,LUTs!E$2:H$14,4,)</f>
        <v>02South Puget Sound</v>
      </c>
      <c r="P2886" s="73">
        <v>70.284552845528495</v>
      </c>
      <c r="Q2886" s="74">
        <f>VLOOKUP(B2886,Readme!A$40:C$51,2,)*P2886</f>
        <v>607.96138211382151</v>
      </c>
    </row>
    <row r="2887" spans="1:17" ht="12" customHeight="1" x14ac:dyDescent="0.35">
      <c r="A2887" s="75">
        <v>2886</v>
      </c>
      <c r="B2887" s="64">
        <v>2018</v>
      </c>
      <c r="C2887" s="64">
        <v>9</v>
      </c>
      <c r="D2887" s="80">
        <f t="shared" si="93"/>
        <v>2018</v>
      </c>
      <c r="E2887" t="s">
        <v>38</v>
      </c>
      <c r="F2887" t="s">
        <v>143</v>
      </c>
      <c r="G2887" t="s">
        <v>10</v>
      </c>
      <c r="H2887" s="72">
        <v>812</v>
      </c>
      <c r="I2887" s="72" t="s">
        <v>55</v>
      </c>
      <c r="J2887" t="str">
        <f t="shared" si="94"/>
        <v>Quilcene River</v>
      </c>
      <c r="K2887" t="str">
        <f>IFERROR(VLOOKUP(J2887,LUTs!$A$1:$C$73,2,FALSE),"NA")</f>
        <v>Jefferson</v>
      </c>
      <c r="L2887" t="str">
        <f>IFERROR(VLOOKUP(J2887,LUTs!$A$1:$C$73,3,FALSE),"NA")</f>
        <v>4 Hood Canal</v>
      </c>
      <c r="M2887" s="72" t="s">
        <v>15</v>
      </c>
      <c r="N2887" t="str">
        <f>VLOOKUP(M2887,LUTs!E$2:H$14,3,)</f>
        <v>02Skagit</v>
      </c>
      <c r="O2887" t="str">
        <f>VLOOKUP(M2887,LUTs!E$2:H$14,4,)</f>
        <v>01North Puget Sound</v>
      </c>
      <c r="P2887" s="73">
        <v>10.040650406504099</v>
      </c>
      <c r="Q2887" s="74">
        <f>VLOOKUP(B2887,Readme!A$40:C$51,2,)*P2887</f>
        <v>86.851626016260468</v>
      </c>
    </row>
    <row r="2888" spans="1:17" ht="12" customHeight="1" x14ac:dyDescent="0.35">
      <c r="A2888" s="75">
        <v>2887</v>
      </c>
      <c r="B2888" s="64">
        <v>2018</v>
      </c>
      <c r="C2888" s="64">
        <v>9</v>
      </c>
      <c r="D2888" s="80">
        <f t="shared" si="93"/>
        <v>2018</v>
      </c>
      <c r="E2888" t="s">
        <v>38</v>
      </c>
      <c r="F2888" t="s">
        <v>143</v>
      </c>
      <c r="G2888" t="s">
        <v>10</v>
      </c>
      <c r="H2888" s="72">
        <v>812</v>
      </c>
      <c r="I2888" s="72" t="s">
        <v>55</v>
      </c>
      <c r="J2888" t="str">
        <f t="shared" si="94"/>
        <v>Quilcene River</v>
      </c>
      <c r="K2888" t="str">
        <f>IFERROR(VLOOKUP(J2888,LUTs!$A$1:$C$73,2,FALSE),"NA")</f>
        <v>Jefferson</v>
      </c>
      <c r="L2888" t="str">
        <f>IFERROR(VLOOKUP(J2888,LUTs!$A$1:$C$73,3,FALSE),"NA")</f>
        <v>4 Hood Canal</v>
      </c>
      <c r="M2888" s="72" t="s">
        <v>16</v>
      </c>
      <c r="N2888" t="str">
        <f>VLOOKUP(M2888,LUTs!E$2:H$14,3,)</f>
        <v>03Snohomish</v>
      </c>
      <c r="O2888" t="str">
        <f>VLOOKUP(M2888,LUTs!E$2:H$14,4,)</f>
        <v>01North Puget Sound</v>
      </c>
      <c r="P2888" s="73">
        <v>30.121951219512201</v>
      </c>
      <c r="Q2888" s="74">
        <f>VLOOKUP(B2888,Readme!A$40:C$51,2,)*P2888</f>
        <v>260.55487804878055</v>
      </c>
    </row>
    <row r="2889" spans="1:17" ht="12" customHeight="1" x14ac:dyDescent="0.35">
      <c r="A2889" s="75">
        <v>2888</v>
      </c>
      <c r="B2889" s="64">
        <v>2018</v>
      </c>
      <c r="C2889" s="64">
        <v>10</v>
      </c>
      <c r="D2889" s="80">
        <f t="shared" si="93"/>
        <v>2018</v>
      </c>
      <c r="E2889" t="s">
        <v>38</v>
      </c>
      <c r="F2889" t="s">
        <v>143</v>
      </c>
      <c r="G2889" t="s">
        <v>10</v>
      </c>
      <c r="H2889" s="72">
        <v>812</v>
      </c>
      <c r="I2889" s="72" t="s">
        <v>55</v>
      </c>
      <c r="J2889" t="str">
        <f t="shared" si="94"/>
        <v>Quilcene River</v>
      </c>
      <c r="K2889" t="str">
        <f>IFERROR(VLOOKUP(J2889,LUTs!$A$1:$C$73,2,FALSE),"NA")</f>
        <v>Jefferson</v>
      </c>
      <c r="L2889" t="str">
        <f>IFERROR(VLOOKUP(J2889,LUTs!$A$1:$C$73,3,FALSE),"NA")</f>
        <v>4 Hood Canal</v>
      </c>
      <c r="M2889" s="72" t="s">
        <v>23</v>
      </c>
      <c r="N2889" t="str">
        <f>VLOOKUP(M2889,LUTs!E$2:H$14,3,)</f>
        <v>10Kitsap</v>
      </c>
      <c r="O2889" t="str">
        <f>VLOOKUP(M2889,LUTs!E$2:H$14,4,)</f>
        <v>02South Puget Sound</v>
      </c>
      <c r="P2889" s="73">
        <v>30</v>
      </c>
      <c r="Q2889" s="74">
        <f>VLOOKUP(B2889,Readme!A$40:C$51,2,)*P2889</f>
        <v>259.5</v>
      </c>
    </row>
    <row r="2890" spans="1:17" ht="12" customHeight="1" x14ac:dyDescent="0.35">
      <c r="A2890" s="75">
        <v>2889</v>
      </c>
      <c r="B2890" s="64">
        <v>2018</v>
      </c>
      <c r="C2890" s="64">
        <v>8</v>
      </c>
      <c r="D2890" s="80">
        <f t="shared" si="93"/>
        <v>2018</v>
      </c>
      <c r="E2890" t="s">
        <v>38</v>
      </c>
      <c r="F2890" t="s">
        <v>143</v>
      </c>
      <c r="G2890" t="s">
        <v>10</v>
      </c>
      <c r="H2890" s="72">
        <v>816</v>
      </c>
      <c r="I2890" s="72" t="s">
        <v>56</v>
      </c>
      <c r="J2890" t="str">
        <f t="shared" si="94"/>
        <v>Samish River</v>
      </c>
      <c r="K2890" t="str">
        <f>IFERROR(VLOOKUP(J2890,LUTs!$A$1:$C$73,2,FALSE),"NA")</f>
        <v>Skagit</v>
      </c>
      <c r="L2890" t="str">
        <f>IFERROR(VLOOKUP(J2890,LUTs!$A$1:$C$73,3,FALSE),"NA")</f>
        <v>1North Puget Sound</v>
      </c>
      <c r="M2890" s="72" t="s">
        <v>17</v>
      </c>
      <c r="N2890" t="str">
        <f>VLOOKUP(M2890,LUTs!E$2:H$14,3,)</f>
        <v>04Island</v>
      </c>
      <c r="O2890" t="str">
        <f>VLOOKUP(M2890,LUTs!E$2:H$14,4,)</f>
        <v>01North Puget Sound</v>
      </c>
      <c r="P2890" s="73">
        <v>126.224066390042</v>
      </c>
      <c r="Q2890" s="74">
        <f>VLOOKUP(B2890,Readme!A$40:C$51,2,)*P2890</f>
        <v>1091.8381742738634</v>
      </c>
    </row>
    <row r="2891" spans="1:17" ht="12" customHeight="1" x14ac:dyDescent="0.35">
      <c r="A2891" s="75">
        <v>2890</v>
      </c>
      <c r="B2891" s="64">
        <v>2018</v>
      </c>
      <c r="C2891" s="64">
        <v>8</v>
      </c>
      <c r="D2891" s="80">
        <f t="shared" si="93"/>
        <v>2018</v>
      </c>
      <c r="E2891" t="s">
        <v>38</v>
      </c>
      <c r="F2891" t="s">
        <v>143</v>
      </c>
      <c r="G2891" t="s">
        <v>10</v>
      </c>
      <c r="H2891" s="72">
        <v>816</v>
      </c>
      <c r="I2891" s="72" t="s">
        <v>56</v>
      </c>
      <c r="J2891" t="str">
        <f t="shared" si="94"/>
        <v>Samish River</v>
      </c>
      <c r="K2891" t="str">
        <f>IFERROR(VLOOKUP(J2891,LUTs!$A$1:$C$73,2,FALSE),"NA")</f>
        <v>Skagit</v>
      </c>
      <c r="L2891" t="str">
        <f>IFERROR(VLOOKUP(J2891,LUTs!$A$1:$C$73,3,FALSE),"NA")</f>
        <v>1North Puget Sound</v>
      </c>
      <c r="M2891" s="72" t="s">
        <v>18</v>
      </c>
      <c r="N2891" t="str">
        <f>VLOOKUP(M2891,LUTs!E$2:H$14,3,)</f>
        <v>06King</v>
      </c>
      <c r="O2891" t="str">
        <f>VLOOKUP(M2891,LUTs!E$2:H$14,4,)</f>
        <v>02South Puget Sound</v>
      </c>
      <c r="P2891" s="73">
        <v>339.83402489626599</v>
      </c>
      <c r="Q2891" s="74">
        <f>VLOOKUP(B2891,Readme!A$40:C$51,2,)*P2891</f>
        <v>2939.5643153527008</v>
      </c>
    </row>
    <row r="2892" spans="1:17" ht="12" customHeight="1" x14ac:dyDescent="0.35">
      <c r="A2892" s="75">
        <v>2891</v>
      </c>
      <c r="B2892" s="64">
        <v>2018</v>
      </c>
      <c r="C2892" s="64">
        <v>8</v>
      </c>
      <c r="D2892" s="80">
        <f t="shared" si="93"/>
        <v>2018</v>
      </c>
      <c r="E2892" t="s">
        <v>38</v>
      </c>
      <c r="F2892" t="s">
        <v>143</v>
      </c>
      <c r="G2892" t="s">
        <v>10</v>
      </c>
      <c r="H2892" s="72">
        <v>816</v>
      </c>
      <c r="I2892" s="72" t="s">
        <v>56</v>
      </c>
      <c r="J2892" t="str">
        <f t="shared" si="94"/>
        <v>Samish River</v>
      </c>
      <c r="K2892" t="str">
        <f>IFERROR(VLOOKUP(J2892,LUTs!$A$1:$C$73,2,FALSE),"NA")</f>
        <v>Skagit</v>
      </c>
      <c r="L2892" t="str">
        <f>IFERROR(VLOOKUP(J2892,LUTs!$A$1:$C$73,3,FALSE),"NA")</f>
        <v>1North Puget Sound</v>
      </c>
      <c r="M2892" s="72" t="s">
        <v>26</v>
      </c>
      <c r="N2892" t="str">
        <f>VLOOKUP(M2892,LUTs!E$2:H$14,3,)</f>
        <v>20Other</v>
      </c>
      <c r="O2892" t="str">
        <f>VLOOKUP(M2892,LUTs!E$2:H$14,4,)</f>
        <v>07Non Puget Sound</v>
      </c>
      <c r="P2892" s="73">
        <v>67.966804979253098</v>
      </c>
      <c r="Q2892" s="74">
        <f>VLOOKUP(B2892,Readme!A$40:C$51,2,)*P2892</f>
        <v>587.91286307053929</v>
      </c>
    </row>
    <row r="2893" spans="1:17" ht="12" customHeight="1" x14ac:dyDescent="0.35">
      <c r="A2893" s="75">
        <v>2892</v>
      </c>
      <c r="B2893" s="64">
        <v>2018</v>
      </c>
      <c r="C2893" s="64">
        <v>8</v>
      </c>
      <c r="D2893" s="80">
        <f t="shared" si="93"/>
        <v>2018</v>
      </c>
      <c r="E2893" t="s">
        <v>38</v>
      </c>
      <c r="F2893" t="s">
        <v>143</v>
      </c>
      <c r="G2893" t="s">
        <v>10</v>
      </c>
      <c r="H2893" s="72">
        <v>816</v>
      </c>
      <c r="I2893" s="72" t="s">
        <v>56</v>
      </c>
      <c r="J2893" t="str">
        <f t="shared" si="94"/>
        <v>Samish River</v>
      </c>
      <c r="K2893" t="str">
        <f>IFERROR(VLOOKUP(J2893,LUTs!$A$1:$C$73,2,FALSE),"NA")</f>
        <v>Skagit</v>
      </c>
      <c r="L2893" t="str">
        <f>IFERROR(VLOOKUP(J2893,LUTs!$A$1:$C$73,3,FALSE),"NA")</f>
        <v>1North Puget Sound</v>
      </c>
      <c r="M2893" s="72" t="s">
        <v>15</v>
      </c>
      <c r="N2893" t="str">
        <f>VLOOKUP(M2893,LUTs!E$2:H$14,3,)</f>
        <v>02Skagit</v>
      </c>
      <c r="O2893" t="str">
        <f>VLOOKUP(M2893,LUTs!E$2:H$14,4,)</f>
        <v>01North Puget Sound</v>
      </c>
      <c r="P2893" s="73">
        <v>398.09128630705402</v>
      </c>
      <c r="Q2893" s="74">
        <f>VLOOKUP(B2893,Readme!A$40:C$51,2,)*P2893</f>
        <v>3443.4896265560174</v>
      </c>
    </row>
    <row r="2894" spans="1:17" ht="12" customHeight="1" x14ac:dyDescent="0.35">
      <c r="A2894" s="75">
        <v>2893</v>
      </c>
      <c r="B2894" s="64">
        <v>2018</v>
      </c>
      <c r="C2894" s="64">
        <v>8</v>
      </c>
      <c r="D2894" s="80">
        <f t="shared" si="93"/>
        <v>2018</v>
      </c>
      <c r="E2894" t="s">
        <v>38</v>
      </c>
      <c r="F2894" t="s">
        <v>143</v>
      </c>
      <c r="G2894" t="s">
        <v>10</v>
      </c>
      <c r="H2894" s="72">
        <v>816</v>
      </c>
      <c r="I2894" s="72" t="s">
        <v>56</v>
      </c>
      <c r="J2894" t="str">
        <f t="shared" si="94"/>
        <v>Samish River</v>
      </c>
      <c r="K2894" t="str">
        <f>IFERROR(VLOOKUP(J2894,LUTs!$A$1:$C$73,2,FALSE),"NA")</f>
        <v>Skagit</v>
      </c>
      <c r="L2894" t="str">
        <f>IFERROR(VLOOKUP(J2894,LUTs!$A$1:$C$73,3,FALSE),"NA")</f>
        <v>1North Puget Sound</v>
      </c>
      <c r="M2894" s="72" t="s">
        <v>16</v>
      </c>
      <c r="N2894" t="str">
        <f>VLOOKUP(M2894,LUTs!E$2:H$14,3,)</f>
        <v>03Snohomish</v>
      </c>
      <c r="O2894" t="str">
        <f>VLOOKUP(M2894,LUTs!E$2:H$14,4,)</f>
        <v>01North Puget Sound</v>
      </c>
      <c r="P2894" s="73">
        <v>1213.69294605809</v>
      </c>
      <c r="Q2894" s="74">
        <f>VLOOKUP(B2894,Readme!A$40:C$51,2,)*P2894</f>
        <v>10498.44398340248</v>
      </c>
    </row>
    <row r="2895" spans="1:17" ht="12" customHeight="1" x14ac:dyDescent="0.35">
      <c r="A2895" s="75">
        <v>2894</v>
      </c>
      <c r="B2895" s="64">
        <v>2018</v>
      </c>
      <c r="C2895" s="64">
        <v>8</v>
      </c>
      <c r="D2895" s="80">
        <f t="shared" si="93"/>
        <v>2018</v>
      </c>
      <c r="E2895" t="s">
        <v>38</v>
      </c>
      <c r="F2895" t="s">
        <v>143</v>
      </c>
      <c r="G2895" t="s">
        <v>10</v>
      </c>
      <c r="H2895" s="72">
        <v>816</v>
      </c>
      <c r="I2895" s="72" t="s">
        <v>56</v>
      </c>
      <c r="J2895" t="str">
        <f t="shared" si="94"/>
        <v>Samish River</v>
      </c>
      <c r="K2895" t="str">
        <f>IFERROR(VLOOKUP(J2895,LUTs!$A$1:$C$73,2,FALSE),"NA")</f>
        <v>Skagit</v>
      </c>
      <c r="L2895" t="str">
        <f>IFERROR(VLOOKUP(J2895,LUTs!$A$1:$C$73,3,FALSE),"NA")</f>
        <v>1North Puget Sound</v>
      </c>
      <c r="M2895" s="72" t="s">
        <v>13</v>
      </c>
      <c r="N2895" t="str">
        <f>VLOOKUP(M2895,LUTs!E$2:H$14,3,)</f>
        <v>01Whatcom</v>
      </c>
      <c r="O2895" t="str">
        <f>VLOOKUP(M2895,LUTs!E$2:H$14,4,)</f>
        <v>01North Puget Sound</v>
      </c>
      <c r="P2895" s="73">
        <v>194.190871369295</v>
      </c>
      <c r="Q2895" s="74">
        <f>VLOOKUP(B2895,Readme!A$40:C$51,2,)*P2895</f>
        <v>1679.7510373444018</v>
      </c>
    </row>
    <row r="2896" spans="1:17" ht="12" customHeight="1" x14ac:dyDescent="0.35">
      <c r="A2896" s="75">
        <v>2895</v>
      </c>
      <c r="B2896" s="64">
        <v>2018</v>
      </c>
      <c r="C2896" s="64">
        <v>9</v>
      </c>
      <c r="D2896" s="80">
        <f t="shared" si="93"/>
        <v>2018</v>
      </c>
      <c r="E2896" t="s">
        <v>38</v>
      </c>
      <c r="F2896" t="s">
        <v>143</v>
      </c>
      <c r="G2896" t="s">
        <v>10</v>
      </c>
      <c r="H2896" s="72">
        <v>816</v>
      </c>
      <c r="I2896" s="72" t="s">
        <v>56</v>
      </c>
      <c r="J2896" t="str">
        <f t="shared" si="94"/>
        <v>Samish River</v>
      </c>
      <c r="K2896" t="str">
        <f>IFERROR(VLOOKUP(J2896,LUTs!$A$1:$C$73,2,FALSE),"NA")</f>
        <v>Skagit</v>
      </c>
      <c r="L2896" t="str">
        <f>IFERROR(VLOOKUP(J2896,LUTs!$A$1:$C$73,3,FALSE),"NA")</f>
        <v>1North Puget Sound</v>
      </c>
      <c r="M2896" s="72" t="s">
        <v>17</v>
      </c>
      <c r="N2896" t="str">
        <f>VLOOKUP(M2896,LUTs!E$2:H$14,3,)</f>
        <v>04Island</v>
      </c>
      <c r="O2896" t="str">
        <f>VLOOKUP(M2896,LUTs!E$2:H$14,4,)</f>
        <v>01North Puget Sound</v>
      </c>
      <c r="P2896" s="73">
        <v>203.94230769230799</v>
      </c>
      <c r="Q2896" s="74">
        <f>VLOOKUP(B2896,Readme!A$40:C$51,2,)*P2896</f>
        <v>1764.1009615384642</v>
      </c>
    </row>
    <row r="2897" spans="1:17" ht="12" customHeight="1" x14ac:dyDescent="0.35">
      <c r="A2897" s="75">
        <v>2896</v>
      </c>
      <c r="B2897" s="64">
        <v>2018</v>
      </c>
      <c r="C2897" s="64">
        <v>9</v>
      </c>
      <c r="D2897" s="80">
        <f t="shared" si="93"/>
        <v>2018</v>
      </c>
      <c r="E2897" t="s">
        <v>38</v>
      </c>
      <c r="F2897" t="s">
        <v>143</v>
      </c>
      <c r="G2897" t="s">
        <v>10</v>
      </c>
      <c r="H2897" s="72">
        <v>816</v>
      </c>
      <c r="I2897" s="72" t="s">
        <v>56</v>
      </c>
      <c r="J2897" t="str">
        <f t="shared" si="94"/>
        <v>Samish River</v>
      </c>
      <c r="K2897" t="str">
        <f>IFERROR(VLOOKUP(J2897,LUTs!$A$1:$C$73,2,FALSE),"NA")</f>
        <v>Skagit</v>
      </c>
      <c r="L2897" t="str">
        <f>IFERROR(VLOOKUP(J2897,LUTs!$A$1:$C$73,3,FALSE),"NA")</f>
        <v>1North Puget Sound</v>
      </c>
      <c r="M2897" s="72" t="s">
        <v>18</v>
      </c>
      <c r="N2897" t="str">
        <f>VLOOKUP(M2897,LUTs!E$2:H$14,3,)</f>
        <v>06King</v>
      </c>
      <c r="O2897" t="str">
        <f>VLOOKUP(M2897,LUTs!E$2:H$14,4,)</f>
        <v>02South Puget Sound</v>
      </c>
      <c r="P2897" s="73">
        <v>330.19230769230802</v>
      </c>
      <c r="Q2897" s="74">
        <f>VLOOKUP(B2897,Readme!A$40:C$51,2,)*P2897</f>
        <v>2856.1634615384646</v>
      </c>
    </row>
    <row r="2898" spans="1:17" ht="12" customHeight="1" x14ac:dyDescent="0.35">
      <c r="A2898" s="75">
        <v>2897</v>
      </c>
      <c r="B2898" s="64">
        <v>2018</v>
      </c>
      <c r="C2898" s="64">
        <v>9</v>
      </c>
      <c r="D2898" s="80">
        <f t="shared" si="93"/>
        <v>2018</v>
      </c>
      <c r="E2898" t="s">
        <v>38</v>
      </c>
      <c r="F2898" t="s">
        <v>143</v>
      </c>
      <c r="G2898" t="s">
        <v>10</v>
      </c>
      <c r="H2898" s="72">
        <v>816</v>
      </c>
      <c r="I2898" s="72" t="s">
        <v>56</v>
      </c>
      <c r="J2898" t="str">
        <f t="shared" si="94"/>
        <v>Samish River</v>
      </c>
      <c r="K2898" t="str">
        <f>IFERROR(VLOOKUP(J2898,LUTs!$A$1:$C$73,2,FALSE),"NA")</f>
        <v>Skagit</v>
      </c>
      <c r="L2898" t="str">
        <f>IFERROR(VLOOKUP(J2898,LUTs!$A$1:$C$73,3,FALSE),"NA")</f>
        <v>1North Puget Sound</v>
      </c>
      <c r="M2898" s="72" t="s">
        <v>26</v>
      </c>
      <c r="N2898" t="str">
        <f>VLOOKUP(M2898,LUTs!E$2:H$14,3,)</f>
        <v>20Other</v>
      </c>
      <c r="O2898" t="str">
        <f>VLOOKUP(M2898,LUTs!E$2:H$14,4,)</f>
        <v>07Non Puget Sound</v>
      </c>
      <c r="P2898" s="73">
        <v>271.92307692307702</v>
      </c>
      <c r="Q2898" s="74">
        <f>VLOOKUP(B2898,Readme!A$40:C$51,2,)*P2898</f>
        <v>2352.1346153846162</v>
      </c>
    </row>
    <row r="2899" spans="1:17" ht="12" customHeight="1" x14ac:dyDescent="0.35">
      <c r="A2899" s="75">
        <v>2898</v>
      </c>
      <c r="B2899" s="64">
        <v>2018</v>
      </c>
      <c r="C2899" s="64">
        <v>9</v>
      </c>
      <c r="D2899" s="80">
        <f t="shared" si="93"/>
        <v>2018</v>
      </c>
      <c r="E2899" t="s">
        <v>38</v>
      </c>
      <c r="F2899" t="s">
        <v>143</v>
      </c>
      <c r="G2899" t="s">
        <v>10</v>
      </c>
      <c r="H2899" s="72">
        <v>816</v>
      </c>
      <c r="I2899" s="72" t="s">
        <v>56</v>
      </c>
      <c r="J2899" t="str">
        <f t="shared" si="94"/>
        <v>Samish River</v>
      </c>
      <c r="K2899" t="str">
        <f>IFERROR(VLOOKUP(J2899,LUTs!$A$1:$C$73,2,FALSE),"NA")</f>
        <v>Skagit</v>
      </c>
      <c r="L2899" t="str">
        <f>IFERROR(VLOOKUP(J2899,LUTs!$A$1:$C$73,3,FALSE),"NA")</f>
        <v>1North Puget Sound</v>
      </c>
      <c r="M2899" s="72" t="s">
        <v>20</v>
      </c>
      <c r="N2899" t="str">
        <f>VLOOKUP(M2899,LUTs!E$2:H$14,3,)</f>
        <v>07Pierce</v>
      </c>
      <c r="O2899" t="str">
        <f>VLOOKUP(M2899,LUTs!E$2:H$14,4,)</f>
        <v>02South Puget Sound</v>
      </c>
      <c r="P2899" s="73">
        <v>48.557692307692299</v>
      </c>
      <c r="Q2899" s="74">
        <f>VLOOKUP(B2899,Readme!A$40:C$51,2,)*P2899</f>
        <v>420.0240384615384</v>
      </c>
    </row>
    <row r="2900" spans="1:17" ht="12" customHeight="1" x14ac:dyDescent="0.35">
      <c r="A2900" s="75">
        <v>2899</v>
      </c>
      <c r="B2900" s="64">
        <v>2018</v>
      </c>
      <c r="C2900" s="64">
        <v>9</v>
      </c>
      <c r="D2900" s="80">
        <f t="shared" si="93"/>
        <v>2018</v>
      </c>
      <c r="E2900" t="s">
        <v>38</v>
      </c>
      <c r="F2900" t="s">
        <v>143</v>
      </c>
      <c r="G2900" t="s">
        <v>10</v>
      </c>
      <c r="H2900" s="72">
        <v>816</v>
      </c>
      <c r="I2900" s="72" t="s">
        <v>56</v>
      </c>
      <c r="J2900" t="str">
        <f t="shared" si="94"/>
        <v>Samish River</v>
      </c>
      <c r="K2900" t="str">
        <f>IFERROR(VLOOKUP(J2900,LUTs!$A$1:$C$73,2,FALSE),"NA")</f>
        <v>Skagit</v>
      </c>
      <c r="L2900" t="str">
        <f>IFERROR(VLOOKUP(J2900,LUTs!$A$1:$C$73,3,FALSE),"NA")</f>
        <v>1North Puget Sound</v>
      </c>
      <c r="M2900" s="72" t="s">
        <v>15</v>
      </c>
      <c r="N2900" t="str">
        <f>VLOOKUP(M2900,LUTs!E$2:H$14,3,)</f>
        <v>02Skagit</v>
      </c>
      <c r="O2900" t="str">
        <f>VLOOKUP(M2900,LUTs!E$2:H$14,4,)</f>
        <v>01North Puget Sound</v>
      </c>
      <c r="P2900" s="73">
        <v>466.15384615384602</v>
      </c>
      <c r="Q2900" s="74">
        <f>VLOOKUP(B2900,Readme!A$40:C$51,2,)*P2900</f>
        <v>4032.2307692307681</v>
      </c>
    </row>
    <row r="2901" spans="1:17" ht="12" customHeight="1" x14ac:dyDescent="0.35">
      <c r="A2901" s="75">
        <v>2900</v>
      </c>
      <c r="B2901" s="64">
        <v>2018</v>
      </c>
      <c r="C2901" s="64">
        <v>9</v>
      </c>
      <c r="D2901" s="80">
        <f t="shared" si="93"/>
        <v>2018</v>
      </c>
      <c r="E2901" t="s">
        <v>38</v>
      </c>
      <c r="F2901" t="s">
        <v>143</v>
      </c>
      <c r="G2901" t="s">
        <v>10</v>
      </c>
      <c r="H2901" s="72">
        <v>816</v>
      </c>
      <c r="I2901" s="72" t="s">
        <v>56</v>
      </c>
      <c r="J2901" t="str">
        <f t="shared" si="94"/>
        <v>Samish River</v>
      </c>
      <c r="K2901" t="str">
        <f>IFERROR(VLOOKUP(J2901,LUTs!$A$1:$C$73,2,FALSE),"NA")</f>
        <v>Skagit</v>
      </c>
      <c r="L2901" t="str">
        <f>IFERROR(VLOOKUP(J2901,LUTs!$A$1:$C$73,3,FALSE),"NA")</f>
        <v>1North Puget Sound</v>
      </c>
      <c r="M2901" s="72" t="s">
        <v>16</v>
      </c>
      <c r="N2901" t="str">
        <f>VLOOKUP(M2901,LUTs!E$2:H$14,3,)</f>
        <v>03Snohomish</v>
      </c>
      <c r="O2901" t="str">
        <f>VLOOKUP(M2901,LUTs!E$2:H$14,4,)</f>
        <v>01North Puget Sound</v>
      </c>
      <c r="P2901" s="73">
        <v>1981.1538461538501</v>
      </c>
      <c r="Q2901" s="74">
        <f>VLOOKUP(B2901,Readme!A$40:C$51,2,)*P2901</f>
        <v>17136.980769230802</v>
      </c>
    </row>
    <row r="2902" spans="1:17" ht="12" customHeight="1" x14ac:dyDescent="0.35">
      <c r="A2902" s="75">
        <v>2901</v>
      </c>
      <c r="B2902" s="64">
        <v>2018</v>
      </c>
      <c r="C2902" s="64">
        <v>9</v>
      </c>
      <c r="D2902" s="80">
        <f t="shared" si="93"/>
        <v>2018</v>
      </c>
      <c r="E2902" t="s">
        <v>38</v>
      </c>
      <c r="F2902" t="s">
        <v>143</v>
      </c>
      <c r="G2902" t="s">
        <v>10</v>
      </c>
      <c r="H2902" s="72">
        <v>816</v>
      </c>
      <c r="I2902" s="72" t="s">
        <v>56</v>
      </c>
      <c r="J2902" t="str">
        <f t="shared" si="94"/>
        <v>Samish River</v>
      </c>
      <c r="K2902" t="str">
        <f>IFERROR(VLOOKUP(J2902,LUTs!$A$1:$C$73,2,FALSE),"NA")</f>
        <v>Skagit</v>
      </c>
      <c r="L2902" t="str">
        <f>IFERROR(VLOOKUP(J2902,LUTs!$A$1:$C$73,3,FALSE),"NA")</f>
        <v>1North Puget Sound</v>
      </c>
      <c r="M2902" s="72" t="s">
        <v>21</v>
      </c>
      <c r="N2902" t="str">
        <f>VLOOKUP(M2902,LUTs!E$2:H$14,3,)</f>
        <v>08Thurston</v>
      </c>
      <c r="O2902" t="str">
        <f>VLOOKUP(M2902,LUTs!E$2:H$14,4,)</f>
        <v>02South Puget Sound</v>
      </c>
      <c r="P2902" s="73">
        <v>19.423076923076898</v>
      </c>
      <c r="Q2902" s="74">
        <f>VLOOKUP(B2902,Readme!A$40:C$51,2,)*P2902</f>
        <v>168.00961538461519</v>
      </c>
    </row>
    <row r="2903" spans="1:17" ht="12" customHeight="1" x14ac:dyDescent="0.35">
      <c r="A2903" s="75">
        <v>2902</v>
      </c>
      <c r="B2903" s="64">
        <v>2018</v>
      </c>
      <c r="C2903" s="64">
        <v>9</v>
      </c>
      <c r="D2903" s="80">
        <f t="shared" si="93"/>
        <v>2018</v>
      </c>
      <c r="E2903" t="s">
        <v>38</v>
      </c>
      <c r="F2903" t="s">
        <v>143</v>
      </c>
      <c r="G2903" t="s">
        <v>10</v>
      </c>
      <c r="H2903" s="72">
        <v>816</v>
      </c>
      <c r="I2903" s="72" t="s">
        <v>56</v>
      </c>
      <c r="J2903" t="str">
        <f t="shared" si="94"/>
        <v>Samish River</v>
      </c>
      <c r="K2903" t="str">
        <f>IFERROR(VLOOKUP(J2903,LUTs!$A$1:$C$73,2,FALSE),"NA")</f>
        <v>Skagit</v>
      </c>
      <c r="L2903" t="str">
        <f>IFERROR(VLOOKUP(J2903,LUTs!$A$1:$C$73,3,FALSE),"NA")</f>
        <v>1North Puget Sound</v>
      </c>
      <c r="M2903" s="72" t="s">
        <v>13</v>
      </c>
      <c r="N2903" t="str">
        <f>VLOOKUP(M2903,LUTs!E$2:H$14,3,)</f>
        <v>01Whatcom</v>
      </c>
      <c r="O2903" t="str">
        <f>VLOOKUP(M2903,LUTs!E$2:H$14,4,)</f>
        <v>01North Puget Sound</v>
      </c>
      <c r="P2903" s="73">
        <v>718.65384615384596</v>
      </c>
      <c r="Q2903" s="74">
        <f>VLOOKUP(B2903,Readme!A$40:C$51,2,)*P2903</f>
        <v>6216.3557692307677</v>
      </c>
    </row>
    <row r="2904" spans="1:17" ht="12" customHeight="1" x14ac:dyDescent="0.35">
      <c r="A2904" s="75">
        <v>2903</v>
      </c>
      <c r="B2904" s="64">
        <v>2018</v>
      </c>
      <c r="C2904" s="64">
        <v>10</v>
      </c>
      <c r="D2904" s="80">
        <f t="shared" si="93"/>
        <v>2018</v>
      </c>
      <c r="E2904" t="s">
        <v>38</v>
      </c>
      <c r="F2904" t="s">
        <v>143</v>
      </c>
      <c r="G2904" t="s">
        <v>10</v>
      </c>
      <c r="H2904" s="72">
        <v>816</v>
      </c>
      <c r="I2904" s="72" t="s">
        <v>56</v>
      </c>
      <c r="J2904" t="str">
        <f t="shared" si="94"/>
        <v>Samish River</v>
      </c>
      <c r="K2904" t="str">
        <f>IFERROR(VLOOKUP(J2904,LUTs!$A$1:$C$73,2,FALSE),"NA")</f>
        <v>Skagit</v>
      </c>
      <c r="L2904" t="str">
        <f>IFERROR(VLOOKUP(J2904,LUTs!$A$1:$C$73,3,FALSE),"NA")</f>
        <v>1North Puget Sound</v>
      </c>
      <c r="M2904" s="72" t="s">
        <v>18</v>
      </c>
      <c r="N2904" t="str">
        <f>VLOOKUP(M2904,LUTs!E$2:H$14,3,)</f>
        <v>06King</v>
      </c>
      <c r="O2904" t="str">
        <f>VLOOKUP(M2904,LUTs!E$2:H$14,4,)</f>
        <v>02South Puget Sound</v>
      </c>
      <c r="P2904" s="73">
        <v>19.387755102040799</v>
      </c>
      <c r="Q2904" s="74">
        <f>VLOOKUP(B2904,Readme!A$40:C$51,2,)*P2904</f>
        <v>167.70408163265293</v>
      </c>
    </row>
    <row r="2905" spans="1:17" ht="12" customHeight="1" x14ac:dyDescent="0.35">
      <c r="A2905" s="75">
        <v>2904</v>
      </c>
      <c r="B2905" s="64">
        <v>2018</v>
      </c>
      <c r="C2905" s="64">
        <v>10</v>
      </c>
      <c r="D2905" s="80">
        <f t="shared" si="93"/>
        <v>2018</v>
      </c>
      <c r="E2905" t="s">
        <v>38</v>
      </c>
      <c r="F2905" t="s">
        <v>143</v>
      </c>
      <c r="G2905" t="s">
        <v>10</v>
      </c>
      <c r="H2905" s="72">
        <v>816</v>
      </c>
      <c r="I2905" s="72" t="s">
        <v>56</v>
      </c>
      <c r="J2905" t="str">
        <f t="shared" si="94"/>
        <v>Samish River</v>
      </c>
      <c r="K2905" t="str">
        <f>IFERROR(VLOOKUP(J2905,LUTs!$A$1:$C$73,2,FALSE),"NA")</f>
        <v>Skagit</v>
      </c>
      <c r="L2905" t="str">
        <f>IFERROR(VLOOKUP(J2905,LUTs!$A$1:$C$73,3,FALSE),"NA")</f>
        <v>1North Puget Sound</v>
      </c>
      <c r="M2905" s="72" t="s">
        <v>15</v>
      </c>
      <c r="N2905" t="str">
        <f>VLOOKUP(M2905,LUTs!E$2:H$14,3,)</f>
        <v>02Skagit</v>
      </c>
      <c r="O2905" t="str">
        <f>VLOOKUP(M2905,LUTs!E$2:H$14,4,)</f>
        <v>01North Puget Sound</v>
      </c>
      <c r="P2905" s="73">
        <v>29.081632653061199</v>
      </c>
      <c r="Q2905" s="74">
        <f>VLOOKUP(B2905,Readme!A$40:C$51,2,)*P2905</f>
        <v>251.55612244897938</v>
      </c>
    </row>
    <row r="2906" spans="1:17" ht="12" customHeight="1" x14ac:dyDescent="0.35">
      <c r="A2906" s="75">
        <v>2905</v>
      </c>
      <c r="B2906" s="64">
        <v>2018</v>
      </c>
      <c r="C2906" s="64">
        <v>10</v>
      </c>
      <c r="D2906" s="80">
        <f t="shared" si="93"/>
        <v>2018</v>
      </c>
      <c r="E2906" t="s">
        <v>38</v>
      </c>
      <c r="F2906" t="s">
        <v>143</v>
      </c>
      <c r="G2906" t="s">
        <v>10</v>
      </c>
      <c r="H2906" s="72">
        <v>816</v>
      </c>
      <c r="I2906" s="72" t="s">
        <v>56</v>
      </c>
      <c r="J2906" t="str">
        <f t="shared" si="94"/>
        <v>Samish River</v>
      </c>
      <c r="K2906" t="str">
        <f>IFERROR(VLOOKUP(J2906,LUTs!$A$1:$C$73,2,FALSE),"NA")</f>
        <v>Skagit</v>
      </c>
      <c r="L2906" t="str">
        <f>IFERROR(VLOOKUP(J2906,LUTs!$A$1:$C$73,3,FALSE),"NA")</f>
        <v>1North Puget Sound</v>
      </c>
      <c r="M2906" s="72" t="s">
        <v>16</v>
      </c>
      <c r="N2906" t="str">
        <f>VLOOKUP(M2906,LUTs!E$2:H$14,3,)</f>
        <v>03Snohomish</v>
      </c>
      <c r="O2906" t="str">
        <f>VLOOKUP(M2906,LUTs!E$2:H$14,4,)</f>
        <v>01North Puget Sound</v>
      </c>
      <c r="P2906" s="73">
        <v>271.42857142857099</v>
      </c>
      <c r="Q2906" s="74">
        <f>VLOOKUP(B2906,Readme!A$40:C$51,2,)*P2906</f>
        <v>2347.857142857139</v>
      </c>
    </row>
    <row r="2907" spans="1:17" ht="12" customHeight="1" x14ac:dyDescent="0.35">
      <c r="A2907" s="75">
        <v>2906</v>
      </c>
      <c r="B2907" s="64">
        <v>2018</v>
      </c>
      <c r="C2907" s="64">
        <v>10</v>
      </c>
      <c r="D2907" s="80">
        <f t="shared" si="93"/>
        <v>2018</v>
      </c>
      <c r="E2907" t="s">
        <v>38</v>
      </c>
      <c r="F2907" t="s">
        <v>143</v>
      </c>
      <c r="G2907" t="s">
        <v>10</v>
      </c>
      <c r="H2907" s="72">
        <v>816</v>
      </c>
      <c r="I2907" s="72" t="s">
        <v>56</v>
      </c>
      <c r="J2907" t="str">
        <f t="shared" si="94"/>
        <v>Samish River</v>
      </c>
      <c r="K2907" t="str">
        <f>IFERROR(VLOOKUP(J2907,LUTs!$A$1:$C$73,2,FALSE),"NA")</f>
        <v>Skagit</v>
      </c>
      <c r="L2907" t="str">
        <f>IFERROR(VLOOKUP(J2907,LUTs!$A$1:$C$73,3,FALSE),"NA")</f>
        <v>1North Puget Sound</v>
      </c>
      <c r="M2907" s="72" t="s">
        <v>21</v>
      </c>
      <c r="N2907" t="str">
        <f>VLOOKUP(M2907,LUTs!E$2:H$14,3,)</f>
        <v>08Thurston</v>
      </c>
      <c r="O2907" t="str">
        <f>VLOOKUP(M2907,LUTs!E$2:H$14,4,)</f>
        <v>02South Puget Sound</v>
      </c>
      <c r="P2907" s="73">
        <v>9.6938775510204103</v>
      </c>
      <c r="Q2907" s="74">
        <f>VLOOKUP(B2907,Readme!A$40:C$51,2,)*P2907</f>
        <v>83.85204081632655</v>
      </c>
    </row>
    <row r="2908" spans="1:17" ht="12" customHeight="1" x14ac:dyDescent="0.35">
      <c r="A2908" s="75">
        <v>2907</v>
      </c>
      <c r="B2908" s="64">
        <v>2018</v>
      </c>
      <c r="C2908" s="64">
        <v>10</v>
      </c>
      <c r="D2908" s="80">
        <f t="shared" si="93"/>
        <v>2018</v>
      </c>
      <c r="E2908" t="s">
        <v>38</v>
      </c>
      <c r="F2908" t="s">
        <v>143</v>
      </c>
      <c r="G2908" t="s">
        <v>10</v>
      </c>
      <c r="H2908" s="72">
        <v>816</v>
      </c>
      <c r="I2908" s="72" t="s">
        <v>56</v>
      </c>
      <c r="J2908" t="str">
        <f t="shared" si="94"/>
        <v>Samish River</v>
      </c>
      <c r="K2908" t="str">
        <f>IFERROR(VLOOKUP(J2908,LUTs!$A$1:$C$73,2,FALSE),"NA")</f>
        <v>Skagit</v>
      </c>
      <c r="L2908" t="str">
        <f>IFERROR(VLOOKUP(J2908,LUTs!$A$1:$C$73,3,FALSE),"NA")</f>
        <v>1North Puget Sound</v>
      </c>
      <c r="M2908" s="72" t="s">
        <v>13</v>
      </c>
      <c r="N2908" t="str">
        <f>VLOOKUP(M2908,LUTs!E$2:H$14,3,)</f>
        <v>01Whatcom</v>
      </c>
      <c r="O2908" t="str">
        <f>VLOOKUP(M2908,LUTs!E$2:H$14,4,)</f>
        <v>01North Puget Sound</v>
      </c>
      <c r="P2908" s="73">
        <v>145.408163265306</v>
      </c>
      <c r="Q2908" s="74">
        <f>VLOOKUP(B2908,Readme!A$40:C$51,2,)*P2908</f>
        <v>1257.7806122448969</v>
      </c>
    </row>
    <row r="2909" spans="1:17" ht="12" customHeight="1" x14ac:dyDescent="0.35">
      <c r="A2909" s="75">
        <v>2908</v>
      </c>
      <c r="B2909" s="64">
        <v>2018</v>
      </c>
      <c r="C2909" s="64">
        <v>11</v>
      </c>
      <c r="D2909" s="80">
        <f t="shared" si="93"/>
        <v>2018</v>
      </c>
      <c r="E2909" t="s">
        <v>38</v>
      </c>
      <c r="F2909" t="s">
        <v>143</v>
      </c>
      <c r="G2909" t="s">
        <v>10</v>
      </c>
      <c r="H2909" s="72">
        <v>816</v>
      </c>
      <c r="I2909" s="72" t="s">
        <v>56</v>
      </c>
      <c r="J2909" t="str">
        <f t="shared" si="94"/>
        <v>Samish River</v>
      </c>
      <c r="K2909" t="str">
        <f>IFERROR(VLOOKUP(J2909,LUTs!$A$1:$C$73,2,FALSE),"NA")</f>
        <v>Skagit</v>
      </c>
      <c r="L2909" t="str">
        <f>IFERROR(VLOOKUP(J2909,LUTs!$A$1:$C$73,3,FALSE),"NA")</f>
        <v>1North Puget Sound</v>
      </c>
      <c r="M2909" s="72" t="s">
        <v>13</v>
      </c>
      <c r="N2909" t="str">
        <f>VLOOKUP(M2909,LUTs!E$2:H$14,3,)</f>
        <v>01Whatcom</v>
      </c>
      <c r="O2909" t="str">
        <f>VLOOKUP(M2909,LUTs!E$2:H$14,4,)</f>
        <v>01North Puget Sound</v>
      </c>
      <c r="P2909" s="73">
        <v>38</v>
      </c>
      <c r="Q2909" s="74">
        <f>VLOOKUP(B2909,Readme!A$40:C$51,2,)*P2909</f>
        <v>328.7</v>
      </c>
    </row>
    <row r="2910" spans="1:17" ht="12" customHeight="1" x14ac:dyDescent="0.35">
      <c r="A2910" s="75">
        <v>2909</v>
      </c>
      <c r="B2910" s="64">
        <v>2018</v>
      </c>
      <c r="C2910" s="64">
        <v>7</v>
      </c>
      <c r="D2910" s="80">
        <f t="shared" si="93"/>
        <v>2018</v>
      </c>
      <c r="E2910" t="s">
        <v>38</v>
      </c>
      <c r="F2910" t="s">
        <v>143</v>
      </c>
      <c r="G2910" t="s">
        <v>10</v>
      </c>
      <c r="H2910" s="72">
        <v>825</v>
      </c>
      <c r="I2910" s="72" t="s">
        <v>58</v>
      </c>
      <c r="J2910" t="str">
        <f t="shared" si="94"/>
        <v>Baker Lake</v>
      </c>
      <c r="K2910" t="str">
        <f>IFERROR(VLOOKUP(J2910,LUTs!$A$1:$C$73,2,FALSE),"NA")</f>
        <v>Whatcom</v>
      </c>
      <c r="L2910" t="str">
        <f>IFERROR(VLOOKUP(J2910,LUTs!$A$1:$C$73,3,FALSE),"NA")</f>
        <v>1North Puget Sound</v>
      </c>
      <c r="M2910" s="72" t="s">
        <v>17</v>
      </c>
      <c r="N2910" t="str">
        <f>VLOOKUP(M2910,LUTs!E$2:H$14,3,)</f>
        <v>04Island</v>
      </c>
      <c r="O2910" t="str">
        <f>VLOOKUP(M2910,LUTs!E$2:H$14,4,)</f>
        <v>01North Puget Sound</v>
      </c>
      <c r="P2910" s="73">
        <v>125.15296367112801</v>
      </c>
      <c r="Q2910" s="74">
        <f>VLOOKUP(B2910,Readme!A$40:C$51,2,)*P2910</f>
        <v>1082.5731357552572</v>
      </c>
    </row>
    <row r="2911" spans="1:17" ht="12" customHeight="1" x14ac:dyDescent="0.35">
      <c r="A2911" s="75">
        <v>2910</v>
      </c>
      <c r="B2911" s="64">
        <v>2018</v>
      </c>
      <c r="C2911" s="64">
        <v>7</v>
      </c>
      <c r="D2911" s="80">
        <f t="shared" si="93"/>
        <v>2018</v>
      </c>
      <c r="E2911" t="s">
        <v>38</v>
      </c>
      <c r="F2911" t="s">
        <v>143</v>
      </c>
      <c r="G2911" t="s">
        <v>10</v>
      </c>
      <c r="H2911" s="72">
        <v>825</v>
      </c>
      <c r="I2911" s="72" t="s">
        <v>58</v>
      </c>
      <c r="J2911" t="str">
        <f t="shared" si="94"/>
        <v>Baker Lake</v>
      </c>
      <c r="K2911" t="str">
        <f>IFERROR(VLOOKUP(J2911,LUTs!$A$1:$C$73,2,FALSE),"NA")</f>
        <v>Whatcom</v>
      </c>
      <c r="L2911" t="str">
        <f>IFERROR(VLOOKUP(J2911,LUTs!$A$1:$C$73,3,FALSE),"NA")</f>
        <v>1North Puget Sound</v>
      </c>
      <c r="M2911" s="72" t="s">
        <v>18</v>
      </c>
      <c r="N2911" t="str">
        <f>VLOOKUP(M2911,LUTs!E$2:H$14,3,)</f>
        <v>06King</v>
      </c>
      <c r="O2911" t="str">
        <f>VLOOKUP(M2911,LUTs!E$2:H$14,4,)</f>
        <v>02South Puget Sound</v>
      </c>
      <c r="P2911" s="73">
        <v>471.73040152963699</v>
      </c>
      <c r="Q2911" s="74">
        <f>VLOOKUP(B2911,Readme!A$40:C$51,2,)*P2911</f>
        <v>4080.4679732313602</v>
      </c>
    </row>
    <row r="2912" spans="1:17" ht="12" customHeight="1" x14ac:dyDescent="0.35">
      <c r="A2912" s="75">
        <v>2911</v>
      </c>
      <c r="B2912" s="64">
        <v>2018</v>
      </c>
      <c r="C2912" s="64">
        <v>7</v>
      </c>
      <c r="D2912" s="80">
        <f t="shared" si="93"/>
        <v>2018</v>
      </c>
      <c r="E2912" t="s">
        <v>38</v>
      </c>
      <c r="F2912" t="s">
        <v>143</v>
      </c>
      <c r="G2912" t="s">
        <v>10</v>
      </c>
      <c r="H2912" s="72">
        <v>825</v>
      </c>
      <c r="I2912" s="72" t="s">
        <v>58</v>
      </c>
      <c r="J2912" t="str">
        <f t="shared" si="94"/>
        <v>Baker Lake</v>
      </c>
      <c r="K2912" t="str">
        <f>IFERROR(VLOOKUP(J2912,LUTs!$A$1:$C$73,2,FALSE),"NA")</f>
        <v>Whatcom</v>
      </c>
      <c r="L2912" t="str">
        <f>IFERROR(VLOOKUP(J2912,LUTs!$A$1:$C$73,3,FALSE),"NA")</f>
        <v>1North Puget Sound</v>
      </c>
      <c r="M2912" s="72" t="s">
        <v>23</v>
      </c>
      <c r="N2912" t="str">
        <f>VLOOKUP(M2912,LUTs!E$2:H$14,3,)</f>
        <v>10Kitsap</v>
      </c>
      <c r="O2912" t="str">
        <f>VLOOKUP(M2912,LUTs!E$2:H$14,4,)</f>
        <v>02South Puget Sound</v>
      </c>
      <c r="P2912" s="73">
        <v>9.6271510516252405</v>
      </c>
      <c r="Q2912" s="74">
        <f>VLOOKUP(B2912,Readme!A$40:C$51,2,)*P2912</f>
        <v>83.274856596558337</v>
      </c>
    </row>
    <row r="2913" spans="1:17" ht="12" customHeight="1" x14ac:dyDescent="0.35">
      <c r="A2913" s="75">
        <v>2912</v>
      </c>
      <c r="B2913" s="64">
        <v>2018</v>
      </c>
      <c r="C2913" s="64">
        <v>7</v>
      </c>
      <c r="D2913" s="80">
        <f t="shared" si="93"/>
        <v>2018</v>
      </c>
      <c r="E2913" t="s">
        <v>38</v>
      </c>
      <c r="F2913" t="s">
        <v>143</v>
      </c>
      <c r="G2913" t="s">
        <v>10</v>
      </c>
      <c r="H2913" s="72">
        <v>825</v>
      </c>
      <c r="I2913" s="72" t="s">
        <v>58</v>
      </c>
      <c r="J2913" t="str">
        <f t="shared" si="94"/>
        <v>Baker Lake</v>
      </c>
      <c r="K2913" t="str">
        <f>IFERROR(VLOOKUP(J2913,LUTs!$A$1:$C$73,2,FALSE),"NA")</f>
        <v>Whatcom</v>
      </c>
      <c r="L2913" t="str">
        <f>IFERROR(VLOOKUP(J2913,LUTs!$A$1:$C$73,3,FALSE),"NA")</f>
        <v>1North Puget Sound</v>
      </c>
      <c r="M2913" s="72" t="s">
        <v>26</v>
      </c>
      <c r="N2913" t="str">
        <f>VLOOKUP(M2913,LUTs!E$2:H$14,3,)</f>
        <v>20Other</v>
      </c>
      <c r="O2913" t="str">
        <f>VLOOKUP(M2913,LUTs!E$2:H$14,4,)</f>
        <v>07Non Puget Sound</v>
      </c>
      <c r="P2913" s="73">
        <v>606.51051625238995</v>
      </c>
      <c r="Q2913" s="74">
        <f>VLOOKUP(B2913,Readme!A$40:C$51,2,)*P2913</f>
        <v>5246.3159655831732</v>
      </c>
    </row>
    <row r="2914" spans="1:17" ht="12" customHeight="1" x14ac:dyDescent="0.35">
      <c r="A2914" s="75">
        <v>2913</v>
      </c>
      <c r="B2914" s="64">
        <v>2018</v>
      </c>
      <c r="C2914" s="64">
        <v>7</v>
      </c>
      <c r="D2914" s="80">
        <f t="shared" si="93"/>
        <v>2018</v>
      </c>
      <c r="E2914" t="s">
        <v>38</v>
      </c>
      <c r="F2914" t="s">
        <v>143</v>
      </c>
      <c r="G2914" t="s">
        <v>10</v>
      </c>
      <c r="H2914" s="72">
        <v>825</v>
      </c>
      <c r="I2914" s="72" t="s">
        <v>58</v>
      </c>
      <c r="J2914" t="str">
        <f t="shared" si="94"/>
        <v>Baker Lake</v>
      </c>
      <c r="K2914" t="str">
        <f>IFERROR(VLOOKUP(J2914,LUTs!$A$1:$C$73,2,FALSE),"NA")</f>
        <v>Whatcom</v>
      </c>
      <c r="L2914" t="str">
        <f>IFERROR(VLOOKUP(J2914,LUTs!$A$1:$C$73,3,FALSE),"NA")</f>
        <v>1North Puget Sound</v>
      </c>
      <c r="M2914" s="72" t="s">
        <v>20</v>
      </c>
      <c r="N2914" t="str">
        <f>VLOOKUP(M2914,LUTs!E$2:H$14,3,)</f>
        <v>07Pierce</v>
      </c>
      <c r="O2914" t="str">
        <f>VLOOKUP(M2914,LUTs!E$2:H$14,4,)</f>
        <v>02South Puget Sound</v>
      </c>
      <c r="P2914" s="73">
        <v>154.03441682600399</v>
      </c>
      <c r="Q2914" s="74">
        <f>VLOOKUP(B2914,Readme!A$40:C$51,2,)*P2914</f>
        <v>1332.3977055449345</v>
      </c>
    </row>
    <row r="2915" spans="1:17" ht="12" customHeight="1" x14ac:dyDescent="0.35">
      <c r="A2915" s="75">
        <v>2914</v>
      </c>
      <c r="B2915" s="64">
        <v>2018</v>
      </c>
      <c r="C2915" s="64">
        <v>7</v>
      </c>
      <c r="D2915" s="80">
        <f t="shared" si="93"/>
        <v>2018</v>
      </c>
      <c r="E2915" t="s">
        <v>38</v>
      </c>
      <c r="F2915" t="s">
        <v>143</v>
      </c>
      <c r="G2915" t="s">
        <v>10</v>
      </c>
      <c r="H2915" s="72">
        <v>825</v>
      </c>
      <c r="I2915" s="72" t="s">
        <v>58</v>
      </c>
      <c r="J2915" t="str">
        <f t="shared" si="94"/>
        <v>Baker Lake</v>
      </c>
      <c r="K2915" t="str">
        <f>IFERROR(VLOOKUP(J2915,LUTs!$A$1:$C$73,2,FALSE),"NA")</f>
        <v>Whatcom</v>
      </c>
      <c r="L2915" t="str">
        <f>IFERROR(VLOOKUP(J2915,LUTs!$A$1:$C$73,3,FALSE),"NA")</f>
        <v>1North Puget Sound</v>
      </c>
      <c r="M2915" s="72" t="s">
        <v>30</v>
      </c>
      <c r="N2915" t="str">
        <f>VLOOKUP(M2915,LUTs!E$2:H$14,3,)</f>
        <v>05San Juan</v>
      </c>
      <c r="O2915" t="str">
        <f>VLOOKUP(M2915,LUTs!E$2:H$14,4,)</f>
        <v>01North Puget Sound</v>
      </c>
      <c r="P2915" s="73">
        <v>9.6271510516252405</v>
      </c>
      <c r="Q2915" s="74">
        <f>VLOOKUP(B2915,Readme!A$40:C$51,2,)*P2915</f>
        <v>83.274856596558337</v>
      </c>
    </row>
    <row r="2916" spans="1:17" ht="12" customHeight="1" x14ac:dyDescent="0.35">
      <c r="A2916" s="75">
        <v>2915</v>
      </c>
      <c r="B2916" s="64">
        <v>2018</v>
      </c>
      <c r="C2916" s="64">
        <v>7</v>
      </c>
      <c r="D2916" s="80">
        <f t="shared" si="93"/>
        <v>2018</v>
      </c>
      <c r="E2916" t="s">
        <v>38</v>
      </c>
      <c r="F2916" t="s">
        <v>143</v>
      </c>
      <c r="G2916" t="s">
        <v>10</v>
      </c>
      <c r="H2916" s="72">
        <v>825</v>
      </c>
      <c r="I2916" s="72" t="s">
        <v>58</v>
      </c>
      <c r="J2916" t="str">
        <f t="shared" si="94"/>
        <v>Baker Lake</v>
      </c>
      <c r="K2916" t="str">
        <f>IFERROR(VLOOKUP(J2916,LUTs!$A$1:$C$73,2,FALSE),"NA")</f>
        <v>Whatcom</v>
      </c>
      <c r="L2916" t="str">
        <f>IFERROR(VLOOKUP(J2916,LUTs!$A$1:$C$73,3,FALSE),"NA")</f>
        <v>1North Puget Sound</v>
      </c>
      <c r="M2916" s="72" t="s">
        <v>15</v>
      </c>
      <c r="N2916" t="str">
        <f>VLOOKUP(M2916,LUTs!E$2:H$14,3,)</f>
        <v>02Skagit</v>
      </c>
      <c r="O2916" t="str">
        <f>VLOOKUP(M2916,LUTs!E$2:H$14,4,)</f>
        <v>01North Puget Sound</v>
      </c>
      <c r="P2916" s="73">
        <v>1636.61567877629</v>
      </c>
      <c r="Q2916" s="74">
        <f>VLOOKUP(B2916,Readme!A$40:C$51,2,)*P2916</f>
        <v>14156.725621414909</v>
      </c>
    </row>
    <row r="2917" spans="1:17" ht="12" customHeight="1" x14ac:dyDescent="0.35">
      <c r="A2917" s="75">
        <v>2916</v>
      </c>
      <c r="B2917" s="64">
        <v>2018</v>
      </c>
      <c r="C2917" s="64">
        <v>7</v>
      </c>
      <c r="D2917" s="80">
        <f t="shared" si="93"/>
        <v>2018</v>
      </c>
      <c r="E2917" t="s">
        <v>38</v>
      </c>
      <c r="F2917" t="s">
        <v>143</v>
      </c>
      <c r="G2917" t="s">
        <v>10</v>
      </c>
      <c r="H2917" s="72">
        <v>825</v>
      </c>
      <c r="I2917" s="72" t="s">
        <v>58</v>
      </c>
      <c r="J2917" t="str">
        <f t="shared" si="94"/>
        <v>Baker Lake</v>
      </c>
      <c r="K2917" t="str">
        <f>IFERROR(VLOOKUP(J2917,LUTs!$A$1:$C$73,2,FALSE),"NA")</f>
        <v>Whatcom</v>
      </c>
      <c r="L2917" t="str">
        <f>IFERROR(VLOOKUP(J2917,LUTs!$A$1:$C$73,3,FALSE),"NA")</f>
        <v>1North Puget Sound</v>
      </c>
      <c r="M2917" s="72" t="s">
        <v>16</v>
      </c>
      <c r="N2917" t="str">
        <f>VLOOKUP(M2917,LUTs!E$2:H$14,3,)</f>
        <v>03Snohomish</v>
      </c>
      <c r="O2917" t="str">
        <f>VLOOKUP(M2917,LUTs!E$2:H$14,4,)</f>
        <v>01North Puget Sound</v>
      </c>
      <c r="P2917" s="73">
        <v>1549.97131931166</v>
      </c>
      <c r="Q2917" s="74">
        <f>VLOOKUP(B2917,Readme!A$40:C$51,2,)*P2917</f>
        <v>13407.251912045858</v>
      </c>
    </row>
    <row r="2918" spans="1:17" ht="12" customHeight="1" x14ac:dyDescent="0.35">
      <c r="A2918" s="75">
        <v>2917</v>
      </c>
      <c r="B2918" s="64">
        <v>2018</v>
      </c>
      <c r="C2918" s="64">
        <v>7</v>
      </c>
      <c r="D2918" s="80">
        <f t="shared" si="93"/>
        <v>2018</v>
      </c>
      <c r="E2918" t="s">
        <v>38</v>
      </c>
      <c r="F2918" t="s">
        <v>143</v>
      </c>
      <c r="G2918" t="s">
        <v>10</v>
      </c>
      <c r="H2918" s="72">
        <v>825</v>
      </c>
      <c r="I2918" s="72" t="s">
        <v>58</v>
      </c>
      <c r="J2918" t="str">
        <f t="shared" si="94"/>
        <v>Baker Lake</v>
      </c>
      <c r="K2918" t="str">
        <f>IFERROR(VLOOKUP(J2918,LUTs!$A$1:$C$73,2,FALSE),"NA")</f>
        <v>Whatcom</v>
      </c>
      <c r="L2918" t="str">
        <f>IFERROR(VLOOKUP(J2918,LUTs!$A$1:$C$73,3,FALSE),"NA")</f>
        <v>1North Puget Sound</v>
      </c>
      <c r="M2918" s="72" t="s">
        <v>21</v>
      </c>
      <c r="N2918" t="str">
        <f>VLOOKUP(M2918,LUTs!E$2:H$14,3,)</f>
        <v>08Thurston</v>
      </c>
      <c r="O2918" t="str">
        <f>VLOOKUP(M2918,LUTs!E$2:H$14,4,)</f>
        <v>02South Puget Sound</v>
      </c>
      <c r="P2918" s="73">
        <v>38.508604206500998</v>
      </c>
      <c r="Q2918" s="74">
        <f>VLOOKUP(B2918,Readme!A$40:C$51,2,)*P2918</f>
        <v>333.09942638623363</v>
      </c>
    </row>
    <row r="2919" spans="1:17" ht="12" customHeight="1" x14ac:dyDescent="0.35">
      <c r="A2919" s="75">
        <v>2918</v>
      </c>
      <c r="B2919" s="64">
        <v>2018</v>
      </c>
      <c r="C2919" s="64">
        <v>7</v>
      </c>
      <c r="D2919" s="80">
        <f t="shared" si="93"/>
        <v>2018</v>
      </c>
      <c r="E2919" t="s">
        <v>38</v>
      </c>
      <c r="F2919" t="s">
        <v>143</v>
      </c>
      <c r="G2919" t="s">
        <v>10</v>
      </c>
      <c r="H2919" s="72">
        <v>825</v>
      </c>
      <c r="I2919" s="72" t="s">
        <v>58</v>
      </c>
      <c r="J2919" t="str">
        <f t="shared" si="94"/>
        <v>Baker Lake</v>
      </c>
      <c r="K2919" t="str">
        <f>IFERROR(VLOOKUP(J2919,LUTs!$A$1:$C$73,2,FALSE),"NA")</f>
        <v>Whatcom</v>
      </c>
      <c r="L2919" t="str">
        <f>IFERROR(VLOOKUP(J2919,LUTs!$A$1:$C$73,3,FALSE),"NA")</f>
        <v>1North Puget Sound</v>
      </c>
      <c r="M2919" s="72" t="s">
        <v>13</v>
      </c>
      <c r="N2919" t="str">
        <f>VLOOKUP(M2919,LUTs!E$2:H$14,3,)</f>
        <v>01Whatcom</v>
      </c>
      <c r="O2919" t="str">
        <f>VLOOKUP(M2919,LUTs!E$2:H$14,4,)</f>
        <v>01North Puget Sound</v>
      </c>
      <c r="P2919" s="73">
        <v>433.221797323136</v>
      </c>
      <c r="Q2919" s="74">
        <f>VLOOKUP(B2919,Readme!A$40:C$51,2,)*P2919</f>
        <v>3747.3685468451267</v>
      </c>
    </row>
    <row r="2920" spans="1:17" ht="12" customHeight="1" x14ac:dyDescent="0.35">
      <c r="A2920" s="75">
        <v>2919</v>
      </c>
      <c r="B2920" s="64">
        <v>2018</v>
      </c>
      <c r="C2920" s="64">
        <v>8</v>
      </c>
      <c r="D2920" s="80">
        <f t="shared" si="93"/>
        <v>2018</v>
      </c>
      <c r="E2920" t="s">
        <v>38</v>
      </c>
      <c r="F2920" t="s">
        <v>143</v>
      </c>
      <c r="G2920" t="s">
        <v>10</v>
      </c>
      <c r="H2920" s="72">
        <v>825</v>
      </c>
      <c r="I2920" s="72" t="s">
        <v>58</v>
      </c>
      <c r="J2920" t="str">
        <f t="shared" si="94"/>
        <v>Baker Lake</v>
      </c>
      <c r="K2920" t="str">
        <f>IFERROR(VLOOKUP(J2920,LUTs!$A$1:$C$73,2,FALSE),"NA")</f>
        <v>Whatcom</v>
      </c>
      <c r="L2920" t="str">
        <f>IFERROR(VLOOKUP(J2920,LUTs!$A$1:$C$73,3,FALSE),"NA")</f>
        <v>1North Puget Sound</v>
      </c>
      <c r="M2920" s="72" t="s">
        <v>17</v>
      </c>
      <c r="N2920" t="str">
        <f>VLOOKUP(M2920,LUTs!E$2:H$14,3,)</f>
        <v>04Island</v>
      </c>
      <c r="O2920" t="str">
        <f>VLOOKUP(M2920,LUTs!E$2:H$14,4,)</f>
        <v>01North Puget Sound</v>
      </c>
      <c r="P2920" s="73">
        <v>38.8474576271187</v>
      </c>
      <c r="Q2920" s="74">
        <f>VLOOKUP(B2920,Readme!A$40:C$51,2,)*P2920</f>
        <v>336.03050847457678</v>
      </c>
    </row>
    <row r="2921" spans="1:17" ht="12" customHeight="1" x14ac:dyDescent="0.35">
      <c r="A2921" s="75">
        <v>2920</v>
      </c>
      <c r="B2921" s="64">
        <v>2018</v>
      </c>
      <c r="C2921" s="64">
        <v>8</v>
      </c>
      <c r="D2921" s="80">
        <f t="shared" si="93"/>
        <v>2018</v>
      </c>
      <c r="E2921" t="s">
        <v>38</v>
      </c>
      <c r="F2921" t="s">
        <v>143</v>
      </c>
      <c r="G2921" t="s">
        <v>10</v>
      </c>
      <c r="H2921" s="72">
        <v>825</v>
      </c>
      <c r="I2921" s="72" t="s">
        <v>58</v>
      </c>
      <c r="J2921" t="str">
        <f t="shared" si="94"/>
        <v>Baker Lake</v>
      </c>
      <c r="K2921" t="str">
        <f>IFERROR(VLOOKUP(J2921,LUTs!$A$1:$C$73,2,FALSE),"NA")</f>
        <v>Whatcom</v>
      </c>
      <c r="L2921" t="str">
        <f>IFERROR(VLOOKUP(J2921,LUTs!$A$1:$C$73,3,FALSE),"NA")</f>
        <v>1North Puget Sound</v>
      </c>
      <c r="M2921" s="72" t="s">
        <v>18</v>
      </c>
      <c r="N2921" t="str">
        <f>VLOOKUP(M2921,LUTs!E$2:H$14,3,)</f>
        <v>06King</v>
      </c>
      <c r="O2921" t="str">
        <f>VLOOKUP(M2921,LUTs!E$2:H$14,4,)</f>
        <v>02South Puget Sound</v>
      </c>
      <c r="P2921" s="73">
        <v>58.271186440678001</v>
      </c>
      <c r="Q2921" s="74">
        <f>VLOOKUP(B2921,Readme!A$40:C$51,2,)*P2921</f>
        <v>504.04576271186471</v>
      </c>
    </row>
    <row r="2922" spans="1:17" ht="12" customHeight="1" x14ac:dyDescent="0.35">
      <c r="A2922" s="75">
        <v>2921</v>
      </c>
      <c r="B2922" s="64">
        <v>2018</v>
      </c>
      <c r="C2922" s="64">
        <v>8</v>
      </c>
      <c r="D2922" s="80">
        <f t="shared" si="93"/>
        <v>2018</v>
      </c>
      <c r="E2922" t="s">
        <v>38</v>
      </c>
      <c r="F2922" t="s">
        <v>143</v>
      </c>
      <c r="G2922" t="s">
        <v>10</v>
      </c>
      <c r="H2922" s="72">
        <v>825</v>
      </c>
      <c r="I2922" s="72" t="s">
        <v>58</v>
      </c>
      <c r="J2922" t="str">
        <f t="shared" si="94"/>
        <v>Baker Lake</v>
      </c>
      <c r="K2922" t="str">
        <f>IFERROR(VLOOKUP(J2922,LUTs!$A$1:$C$73,2,FALSE),"NA")</f>
        <v>Whatcom</v>
      </c>
      <c r="L2922" t="str">
        <f>IFERROR(VLOOKUP(J2922,LUTs!$A$1:$C$73,3,FALSE),"NA")</f>
        <v>1North Puget Sound</v>
      </c>
      <c r="M2922" s="72" t="s">
        <v>26</v>
      </c>
      <c r="N2922" t="str">
        <f>VLOOKUP(M2922,LUTs!E$2:H$14,3,)</f>
        <v>20Other</v>
      </c>
      <c r="O2922" t="str">
        <f>VLOOKUP(M2922,LUTs!E$2:H$14,4,)</f>
        <v>07Non Puget Sound</v>
      </c>
      <c r="P2922" s="73">
        <v>213.66101694915301</v>
      </c>
      <c r="Q2922" s="74">
        <f>VLOOKUP(B2922,Readme!A$40:C$51,2,)*P2922</f>
        <v>1848.1677966101736</v>
      </c>
    </row>
    <row r="2923" spans="1:17" ht="12" customHeight="1" x14ac:dyDescent="0.35">
      <c r="A2923" s="75">
        <v>2922</v>
      </c>
      <c r="B2923" s="64">
        <v>2018</v>
      </c>
      <c r="C2923" s="64">
        <v>8</v>
      </c>
      <c r="D2923" s="80">
        <f t="shared" si="93"/>
        <v>2018</v>
      </c>
      <c r="E2923" t="s">
        <v>38</v>
      </c>
      <c r="F2923" t="s">
        <v>143</v>
      </c>
      <c r="G2923" t="s">
        <v>10</v>
      </c>
      <c r="H2923" s="72">
        <v>825</v>
      </c>
      <c r="I2923" s="72" t="s">
        <v>58</v>
      </c>
      <c r="J2923" t="str">
        <f t="shared" si="94"/>
        <v>Baker Lake</v>
      </c>
      <c r="K2923" t="str">
        <f>IFERROR(VLOOKUP(J2923,LUTs!$A$1:$C$73,2,FALSE),"NA")</f>
        <v>Whatcom</v>
      </c>
      <c r="L2923" t="str">
        <f>IFERROR(VLOOKUP(J2923,LUTs!$A$1:$C$73,3,FALSE),"NA")</f>
        <v>1North Puget Sound</v>
      </c>
      <c r="M2923" s="72" t="s">
        <v>15</v>
      </c>
      <c r="N2923" t="str">
        <f>VLOOKUP(M2923,LUTs!E$2:H$14,3,)</f>
        <v>02Skagit</v>
      </c>
      <c r="O2923" t="str">
        <f>VLOOKUP(M2923,LUTs!E$2:H$14,4,)</f>
        <v>01North Puget Sound</v>
      </c>
      <c r="P2923" s="73">
        <v>281.64406779660999</v>
      </c>
      <c r="Q2923" s="74">
        <f>VLOOKUP(B2923,Readme!A$40:C$51,2,)*P2923</f>
        <v>2436.2211864406763</v>
      </c>
    </row>
    <row r="2924" spans="1:17" ht="12" customHeight="1" x14ac:dyDescent="0.35">
      <c r="A2924" s="75">
        <v>2923</v>
      </c>
      <c r="B2924" s="64">
        <v>2018</v>
      </c>
      <c r="C2924" s="64">
        <v>8</v>
      </c>
      <c r="D2924" s="80">
        <f t="shared" si="93"/>
        <v>2018</v>
      </c>
      <c r="E2924" t="s">
        <v>38</v>
      </c>
      <c r="F2924" t="s">
        <v>143</v>
      </c>
      <c r="G2924" t="s">
        <v>10</v>
      </c>
      <c r="H2924" s="72">
        <v>825</v>
      </c>
      <c r="I2924" s="72" t="s">
        <v>58</v>
      </c>
      <c r="J2924" t="str">
        <f t="shared" si="94"/>
        <v>Baker Lake</v>
      </c>
      <c r="K2924" t="str">
        <f>IFERROR(VLOOKUP(J2924,LUTs!$A$1:$C$73,2,FALSE),"NA")</f>
        <v>Whatcom</v>
      </c>
      <c r="L2924" t="str">
        <f>IFERROR(VLOOKUP(J2924,LUTs!$A$1:$C$73,3,FALSE),"NA")</f>
        <v>1North Puget Sound</v>
      </c>
      <c r="M2924" s="72" t="s">
        <v>16</v>
      </c>
      <c r="N2924" t="str">
        <f>VLOOKUP(M2924,LUTs!E$2:H$14,3,)</f>
        <v>03Snohomish</v>
      </c>
      <c r="O2924" t="str">
        <f>VLOOKUP(M2924,LUTs!E$2:H$14,4,)</f>
        <v>01North Puget Sound</v>
      </c>
      <c r="P2924" s="73">
        <v>446.74576271186498</v>
      </c>
      <c r="Q2924" s="74">
        <f>VLOOKUP(B2924,Readme!A$40:C$51,2,)*P2924</f>
        <v>3864.3508474576324</v>
      </c>
    </row>
    <row r="2925" spans="1:17" ht="12" customHeight="1" x14ac:dyDescent="0.35">
      <c r="A2925" s="75">
        <v>2924</v>
      </c>
      <c r="B2925" s="64">
        <v>2018</v>
      </c>
      <c r="C2925" s="64">
        <v>8</v>
      </c>
      <c r="D2925" s="80">
        <f t="shared" si="93"/>
        <v>2018</v>
      </c>
      <c r="E2925" t="s">
        <v>38</v>
      </c>
      <c r="F2925" t="s">
        <v>143</v>
      </c>
      <c r="G2925" t="s">
        <v>10</v>
      </c>
      <c r="H2925" s="72">
        <v>825</v>
      </c>
      <c r="I2925" s="72" t="s">
        <v>58</v>
      </c>
      <c r="J2925" t="str">
        <f t="shared" si="94"/>
        <v>Baker Lake</v>
      </c>
      <c r="K2925" t="str">
        <f>IFERROR(VLOOKUP(J2925,LUTs!$A$1:$C$73,2,FALSE),"NA")</f>
        <v>Whatcom</v>
      </c>
      <c r="L2925" t="str">
        <f>IFERROR(VLOOKUP(J2925,LUTs!$A$1:$C$73,3,FALSE),"NA")</f>
        <v>1North Puget Sound</v>
      </c>
      <c r="M2925" s="72" t="s">
        <v>13</v>
      </c>
      <c r="N2925" t="str">
        <f>VLOOKUP(M2925,LUTs!E$2:H$14,3,)</f>
        <v>01Whatcom</v>
      </c>
      <c r="O2925" t="str">
        <f>VLOOKUP(M2925,LUTs!E$2:H$14,4,)</f>
        <v>01North Puget Sound</v>
      </c>
      <c r="P2925" s="73">
        <v>106.83050847457601</v>
      </c>
      <c r="Q2925" s="74">
        <f>VLOOKUP(B2925,Readme!A$40:C$51,2,)*P2925</f>
        <v>924.08389830508247</v>
      </c>
    </row>
    <row r="2926" spans="1:17" ht="12" customHeight="1" x14ac:dyDescent="0.35">
      <c r="A2926" s="75">
        <v>2925</v>
      </c>
      <c r="B2926" s="64">
        <v>2018</v>
      </c>
      <c r="C2926" s="64">
        <v>9</v>
      </c>
      <c r="D2926" s="80">
        <f t="shared" si="93"/>
        <v>2018</v>
      </c>
      <c r="E2926" t="s">
        <v>38</v>
      </c>
      <c r="F2926" t="s">
        <v>143</v>
      </c>
      <c r="G2926" t="s">
        <v>10</v>
      </c>
      <c r="H2926" s="72">
        <v>825</v>
      </c>
      <c r="I2926" s="72" t="s">
        <v>58</v>
      </c>
      <c r="J2926" t="str">
        <f t="shared" si="94"/>
        <v>Baker Lake</v>
      </c>
      <c r="K2926" t="str">
        <f>IFERROR(VLOOKUP(J2926,LUTs!$A$1:$C$73,2,FALSE),"NA")</f>
        <v>Whatcom</v>
      </c>
      <c r="L2926" t="str">
        <f>IFERROR(VLOOKUP(J2926,LUTs!$A$1:$C$73,3,FALSE),"NA")</f>
        <v>1North Puget Sound</v>
      </c>
      <c r="M2926" s="72" t="s">
        <v>16</v>
      </c>
      <c r="N2926" t="str">
        <f>VLOOKUP(M2926,LUTs!E$2:H$14,3,)</f>
        <v>03Snohomish</v>
      </c>
      <c r="O2926" t="str">
        <f>VLOOKUP(M2926,LUTs!E$2:H$14,4,)</f>
        <v>01North Puget Sound</v>
      </c>
      <c r="P2926" s="73">
        <v>19</v>
      </c>
      <c r="Q2926" s="74">
        <f>VLOOKUP(B2926,Readme!A$40:C$51,2,)*P2926</f>
        <v>164.35</v>
      </c>
    </row>
    <row r="2927" spans="1:17" ht="12" customHeight="1" x14ac:dyDescent="0.35">
      <c r="A2927" s="75">
        <v>2926</v>
      </c>
      <c r="B2927" s="64">
        <v>2018</v>
      </c>
      <c r="C2927" s="64">
        <v>10</v>
      </c>
      <c r="D2927" s="80">
        <f t="shared" si="93"/>
        <v>2018</v>
      </c>
      <c r="E2927" t="s">
        <v>38</v>
      </c>
      <c r="F2927" t="s">
        <v>143</v>
      </c>
      <c r="G2927" t="s">
        <v>10</v>
      </c>
      <c r="H2927" s="72">
        <v>825</v>
      </c>
      <c r="I2927" s="72" t="s">
        <v>58</v>
      </c>
      <c r="J2927" t="str">
        <f t="shared" si="94"/>
        <v>Baker Lake</v>
      </c>
      <c r="K2927" t="str">
        <f>IFERROR(VLOOKUP(J2927,LUTs!$A$1:$C$73,2,FALSE),"NA")</f>
        <v>Whatcom</v>
      </c>
      <c r="L2927" t="str">
        <f>IFERROR(VLOOKUP(J2927,LUTs!$A$1:$C$73,3,FALSE),"NA")</f>
        <v>1North Puget Sound</v>
      </c>
      <c r="M2927" s="72" t="s">
        <v>18</v>
      </c>
      <c r="N2927" t="str">
        <f>VLOOKUP(M2927,LUTs!E$2:H$14,3,)</f>
        <v>06King</v>
      </c>
      <c r="O2927" t="str">
        <f>VLOOKUP(M2927,LUTs!E$2:H$14,4,)</f>
        <v>02South Puget Sound</v>
      </c>
      <c r="P2927" s="73">
        <v>0</v>
      </c>
      <c r="Q2927" s="74">
        <f>VLOOKUP(B2927,Readme!A$40:C$51,2,)*P2927</f>
        <v>0</v>
      </c>
    </row>
    <row r="2928" spans="1:17" ht="12" customHeight="1" x14ac:dyDescent="0.35">
      <c r="A2928" s="75">
        <v>2927</v>
      </c>
      <c r="B2928" s="64">
        <v>2018</v>
      </c>
      <c r="C2928" s="64">
        <v>5</v>
      </c>
      <c r="D2928" s="80">
        <f t="shared" si="93"/>
        <v>2018</v>
      </c>
      <c r="E2928" t="s">
        <v>38</v>
      </c>
      <c r="F2928" t="s">
        <v>143</v>
      </c>
      <c r="G2928" t="s">
        <v>10</v>
      </c>
      <c r="H2928" s="72">
        <v>826</v>
      </c>
      <c r="I2928" s="72" t="s">
        <v>59</v>
      </c>
      <c r="J2928" t="str">
        <f t="shared" si="94"/>
        <v>Cascade River</v>
      </c>
      <c r="K2928" t="str">
        <f>IFERROR(VLOOKUP(J2928,LUTs!$A$1:$C$73,2,FALSE),"NA")</f>
        <v>Skagit</v>
      </c>
      <c r="L2928" t="str">
        <f>IFERROR(VLOOKUP(J2928,LUTs!$A$1:$C$73,3,FALSE),"NA")</f>
        <v>1North Puget Sound</v>
      </c>
      <c r="M2928" s="72" t="s">
        <v>17</v>
      </c>
      <c r="N2928" t="str">
        <f>VLOOKUP(M2928,LUTs!E$2:H$14,3,)</f>
        <v>04Island</v>
      </c>
      <c r="O2928" t="str">
        <f>VLOOKUP(M2928,LUTs!E$2:H$14,4,)</f>
        <v>01North Puget Sound</v>
      </c>
      <c r="P2928" s="73">
        <v>9.5</v>
      </c>
      <c r="Q2928" s="74">
        <f>VLOOKUP(B2928,Readme!A$40:C$51,2,)*P2928</f>
        <v>82.174999999999997</v>
      </c>
    </row>
    <row r="2929" spans="1:17" ht="12" customHeight="1" x14ac:dyDescent="0.35">
      <c r="A2929" s="75">
        <v>2928</v>
      </c>
      <c r="B2929" s="64">
        <v>2018</v>
      </c>
      <c r="C2929" s="64">
        <v>5</v>
      </c>
      <c r="D2929" s="80">
        <f t="shared" si="93"/>
        <v>2018</v>
      </c>
      <c r="E2929" t="s">
        <v>38</v>
      </c>
      <c r="F2929" t="s">
        <v>143</v>
      </c>
      <c r="G2929" t="s">
        <v>10</v>
      </c>
      <c r="H2929" s="72">
        <v>826</v>
      </c>
      <c r="I2929" s="72" t="s">
        <v>59</v>
      </c>
      <c r="J2929" t="str">
        <f t="shared" si="94"/>
        <v>Cascade River</v>
      </c>
      <c r="K2929" t="str">
        <f>IFERROR(VLOOKUP(J2929,LUTs!$A$1:$C$73,2,FALSE),"NA")</f>
        <v>Skagit</v>
      </c>
      <c r="L2929" t="str">
        <f>IFERROR(VLOOKUP(J2929,LUTs!$A$1:$C$73,3,FALSE),"NA")</f>
        <v>1North Puget Sound</v>
      </c>
      <c r="M2929" s="72" t="s">
        <v>18</v>
      </c>
      <c r="N2929" t="str">
        <f>VLOOKUP(M2929,LUTs!E$2:H$14,3,)</f>
        <v>06King</v>
      </c>
      <c r="O2929" t="str">
        <f>VLOOKUP(M2929,LUTs!E$2:H$14,4,)</f>
        <v>02South Puget Sound</v>
      </c>
      <c r="P2929" s="73">
        <v>38</v>
      </c>
      <c r="Q2929" s="74">
        <f>VLOOKUP(B2929,Readme!A$40:C$51,2,)*P2929</f>
        <v>328.7</v>
      </c>
    </row>
    <row r="2930" spans="1:17" ht="12" customHeight="1" x14ac:dyDescent="0.35">
      <c r="A2930" s="75">
        <v>2929</v>
      </c>
      <c r="B2930" s="64">
        <v>2018</v>
      </c>
      <c r="C2930" s="64">
        <v>5</v>
      </c>
      <c r="D2930" s="80">
        <f t="shared" si="93"/>
        <v>2018</v>
      </c>
      <c r="E2930" t="s">
        <v>38</v>
      </c>
      <c r="F2930" t="s">
        <v>143</v>
      </c>
      <c r="G2930" t="s">
        <v>10</v>
      </c>
      <c r="H2930" s="72">
        <v>826</v>
      </c>
      <c r="I2930" s="72" t="s">
        <v>59</v>
      </c>
      <c r="J2930" t="str">
        <f t="shared" si="94"/>
        <v>Cascade River</v>
      </c>
      <c r="K2930" t="str">
        <f>IFERROR(VLOOKUP(J2930,LUTs!$A$1:$C$73,2,FALSE),"NA")</f>
        <v>Skagit</v>
      </c>
      <c r="L2930" t="str">
        <f>IFERROR(VLOOKUP(J2930,LUTs!$A$1:$C$73,3,FALSE),"NA")</f>
        <v>1North Puget Sound</v>
      </c>
      <c r="M2930" s="72" t="s">
        <v>16</v>
      </c>
      <c r="N2930" t="str">
        <f>VLOOKUP(M2930,LUTs!E$2:H$14,3,)</f>
        <v>03Snohomish</v>
      </c>
      <c r="O2930" t="str">
        <f>VLOOKUP(M2930,LUTs!E$2:H$14,4,)</f>
        <v>01North Puget Sound</v>
      </c>
      <c r="P2930" s="73">
        <v>9.5</v>
      </c>
      <c r="Q2930" s="74">
        <f>VLOOKUP(B2930,Readme!A$40:C$51,2,)*P2930</f>
        <v>82.174999999999997</v>
      </c>
    </row>
    <row r="2931" spans="1:17" ht="12" customHeight="1" x14ac:dyDescent="0.35">
      <c r="A2931" s="75">
        <v>2930</v>
      </c>
      <c r="B2931" s="64">
        <v>2018</v>
      </c>
      <c r="C2931" s="64">
        <v>6</v>
      </c>
      <c r="D2931" s="80">
        <f t="shared" si="93"/>
        <v>2018</v>
      </c>
      <c r="E2931" t="s">
        <v>38</v>
      </c>
      <c r="F2931" t="s">
        <v>143</v>
      </c>
      <c r="G2931" t="s">
        <v>10</v>
      </c>
      <c r="H2931" s="72">
        <v>826</v>
      </c>
      <c r="I2931" s="72" t="s">
        <v>59</v>
      </c>
      <c r="J2931" t="str">
        <f t="shared" si="94"/>
        <v>Cascade River</v>
      </c>
      <c r="K2931" t="str">
        <f>IFERROR(VLOOKUP(J2931,LUTs!$A$1:$C$73,2,FALSE),"NA")</f>
        <v>Skagit</v>
      </c>
      <c r="L2931" t="str">
        <f>IFERROR(VLOOKUP(J2931,LUTs!$A$1:$C$73,3,FALSE),"NA")</f>
        <v>1North Puget Sound</v>
      </c>
      <c r="M2931" s="72" t="s">
        <v>17</v>
      </c>
      <c r="N2931" t="str">
        <f>VLOOKUP(M2931,LUTs!E$2:H$14,3,)</f>
        <v>04Island</v>
      </c>
      <c r="O2931" t="str">
        <f>VLOOKUP(M2931,LUTs!E$2:H$14,4,)</f>
        <v>01North Puget Sound</v>
      </c>
      <c r="P2931" s="73">
        <v>9.5789473684210495</v>
      </c>
      <c r="Q2931" s="74">
        <f>VLOOKUP(B2931,Readme!A$40:C$51,2,)*P2931</f>
        <v>82.857894736842084</v>
      </c>
    </row>
    <row r="2932" spans="1:17" ht="12" customHeight="1" x14ac:dyDescent="0.35">
      <c r="A2932" s="75">
        <v>2931</v>
      </c>
      <c r="B2932" s="64">
        <v>2018</v>
      </c>
      <c r="C2932" s="64">
        <v>6</v>
      </c>
      <c r="D2932" s="80">
        <f t="shared" si="93"/>
        <v>2018</v>
      </c>
      <c r="E2932" t="s">
        <v>38</v>
      </c>
      <c r="F2932" t="s">
        <v>143</v>
      </c>
      <c r="G2932" t="s">
        <v>10</v>
      </c>
      <c r="H2932" s="72">
        <v>826</v>
      </c>
      <c r="I2932" s="72" t="s">
        <v>59</v>
      </c>
      <c r="J2932" t="str">
        <f t="shared" si="94"/>
        <v>Cascade River</v>
      </c>
      <c r="K2932" t="str">
        <f>IFERROR(VLOOKUP(J2932,LUTs!$A$1:$C$73,2,FALSE),"NA")</f>
        <v>Skagit</v>
      </c>
      <c r="L2932" t="str">
        <f>IFERROR(VLOOKUP(J2932,LUTs!$A$1:$C$73,3,FALSE),"NA")</f>
        <v>1North Puget Sound</v>
      </c>
      <c r="M2932" s="72" t="s">
        <v>18</v>
      </c>
      <c r="N2932" t="str">
        <f>VLOOKUP(M2932,LUTs!E$2:H$14,3,)</f>
        <v>06King</v>
      </c>
      <c r="O2932" t="str">
        <f>VLOOKUP(M2932,LUTs!E$2:H$14,4,)</f>
        <v>02South Puget Sound</v>
      </c>
      <c r="P2932" s="73">
        <v>105.368421052632</v>
      </c>
      <c r="Q2932" s="74">
        <f>VLOOKUP(B2932,Readme!A$40:C$51,2,)*P2932</f>
        <v>911.43684210526681</v>
      </c>
    </row>
    <row r="2933" spans="1:17" ht="12" customHeight="1" x14ac:dyDescent="0.35">
      <c r="A2933" s="75">
        <v>2932</v>
      </c>
      <c r="B2933" s="64">
        <v>2018</v>
      </c>
      <c r="C2933" s="64">
        <v>6</v>
      </c>
      <c r="D2933" s="80">
        <f t="shared" si="93"/>
        <v>2018</v>
      </c>
      <c r="E2933" t="s">
        <v>38</v>
      </c>
      <c r="F2933" t="s">
        <v>143</v>
      </c>
      <c r="G2933" t="s">
        <v>10</v>
      </c>
      <c r="H2933" s="72">
        <v>826</v>
      </c>
      <c r="I2933" s="72" t="s">
        <v>59</v>
      </c>
      <c r="J2933" t="str">
        <f t="shared" si="94"/>
        <v>Cascade River</v>
      </c>
      <c r="K2933" t="str">
        <f>IFERROR(VLOOKUP(J2933,LUTs!$A$1:$C$73,2,FALSE),"NA")</f>
        <v>Skagit</v>
      </c>
      <c r="L2933" t="str">
        <f>IFERROR(VLOOKUP(J2933,LUTs!$A$1:$C$73,3,FALSE),"NA")</f>
        <v>1North Puget Sound</v>
      </c>
      <c r="M2933" s="72" t="s">
        <v>15</v>
      </c>
      <c r="N2933" t="str">
        <f>VLOOKUP(M2933,LUTs!E$2:H$14,3,)</f>
        <v>02Skagit</v>
      </c>
      <c r="O2933" t="str">
        <f>VLOOKUP(M2933,LUTs!E$2:H$14,4,)</f>
        <v>01North Puget Sound</v>
      </c>
      <c r="P2933" s="73">
        <v>9.5789473684210495</v>
      </c>
      <c r="Q2933" s="74">
        <f>VLOOKUP(B2933,Readme!A$40:C$51,2,)*P2933</f>
        <v>82.857894736842084</v>
      </c>
    </row>
    <row r="2934" spans="1:17" ht="12" customHeight="1" x14ac:dyDescent="0.35">
      <c r="A2934" s="75">
        <v>2933</v>
      </c>
      <c r="B2934" s="64">
        <v>2018</v>
      </c>
      <c r="C2934" s="64">
        <v>6</v>
      </c>
      <c r="D2934" s="80">
        <f t="shared" si="93"/>
        <v>2018</v>
      </c>
      <c r="E2934" t="s">
        <v>38</v>
      </c>
      <c r="F2934" t="s">
        <v>143</v>
      </c>
      <c r="G2934" t="s">
        <v>10</v>
      </c>
      <c r="H2934" s="72">
        <v>826</v>
      </c>
      <c r="I2934" s="72" t="s">
        <v>59</v>
      </c>
      <c r="J2934" t="str">
        <f t="shared" si="94"/>
        <v>Cascade River</v>
      </c>
      <c r="K2934" t="str">
        <f>IFERROR(VLOOKUP(J2934,LUTs!$A$1:$C$73,2,FALSE),"NA")</f>
        <v>Skagit</v>
      </c>
      <c r="L2934" t="str">
        <f>IFERROR(VLOOKUP(J2934,LUTs!$A$1:$C$73,3,FALSE),"NA")</f>
        <v>1North Puget Sound</v>
      </c>
      <c r="M2934" s="72" t="s">
        <v>16</v>
      </c>
      <c r="N2934" t="str">
        <f>VLOOKUP(M2934,LUTs!E$2:H$14,3,)</f>
        <v>03Snohomish</v>
      </c>
      <c r="O2934" t="str">
        <f>VLOOKUP(M2934,LUTs!E$2:H$14,4,)</f>
        <v>01North Puget Sound</v>
      </c>
      <c r="P2934" s="73">
        <v>38.315789473684198</v>
      </c>
      <c r="Q2934" s="74">
        <f>VLOOKUP(B2934,Readme!A$40:C$51,2,)*P2934</f>
        <v>331.43157894736834</v>
      </c>
    </row>
    <row r="2935" spans="1:17" ht="12" customHeight="1" x14ac:dyDescent="0.35">
      <c r="A2935" s="75">
        <v>2934</v>
      </c>
      <c r="B2935" s="64">
        <v>2018</v>
      </c>
      <c r="C2935" s="64">
        <v>6</v>
      </c>
      <c r="D2935" s="80">
        <f t="shared" si="93"/>
        <v>2018</v>
      </c>
      <c r="E2935" t="s">
        <v>38</v>
      </c>
      <c r="F2935" t="s">
        <v>143</v>
      </c>
      <c r="G2935" t="s">
        <v>10</v>
      </c>
      <c r="H2935" s="72">
        <v>826</v>
      </c>
      <c r="I2935" s="72" t="s">
        <v>59</v>
      </c>
      <c r="J2935" t="str">
        <f t="shared" si="94"/>
        <v>Cascade River</v>
      </c>
      <c r="K2935" t="str">
        <f>IFERROR(VLOOKUP(J2935,LUTs!$A$1:$C$73,2,FALSE),"NA")</f>
        <v>Skagit</v>
      </c>
      <c r="L2935" t="str">
        <f>IFERROR(VLOOKUP(J2935,LUTs!$A$1:$C$73,3,FALSE),"NA")</f>
        <v>1North Puget Sound</v>
      </c>
      <c r="M2935" s="72" t="s">
        <v>13</v>
      </c>
      <c r="N2935" t="str">
        <f>VLOOKUP(M2935,LUTs!E$2:H$14,3,)</f>
        <v>01Whatcom</v>
      </c>
      <c r="O2935" t="str">
        <f>VLOOKUP(M2935,LUTs!E$2:H$14,4,)</f>
        <v>01North Puget Sound</v>
      </c>
      <c r="P2935" s="73">
        <v>19.157894736842099</v>
      </c>
      <c r="Q2935" s="74">
        <f>VLOOKUP(B2935,Readme!A$40:C$51,2,)*P2935</f>
        <v>165.71578947368417</v>
      </c>
    </row>
    <row r="2936" spans="1:17" ht="12" customHeight="1" x14ac:dyDescent="0.35">
      <c r="A2936" s="75">
        <v>2935</v>
      </c>
      <c r="B2936" s="64">
        <v>2018</v>
      </c>
      <c r="C2936" s="64">
        <v>7</v>
      </c>
      <c r="D2936" s="80">
        <f t="shared" si="93"/>
        <v>2018</v>
      </c>
      <c r="E2936" t="s">
        <v>38</v>
      </c>
      <c r="F2936" t="s">
        <v>143</v>
      </c>
      <c r="G2936" t="s">
        <v>10</v>
      </c>
      <c r="H2936" s="72">
        <v>826</v>
      </c>
      <c r="I2936" s="72" t="s">
        <v>59</v>
      </c>
      <c r="J2936" t="str">
        <f t="shared" si="94"/>
        <v>Cascade River</v>
      </c>
      <c r="K2936" t="str">
        <f>IFERROR(VLOOKUP(J2936,LUTs!$A$1:$C$73,2,FALSE),"NA")</f>
        <v>Skagit</v>
      </c>
      <c r="L2936" t="str">
        <f>IFERROR(VLOOKUP(J2936,LUTs!$A$1:$C$73,3,FALSE),"NA")</f>
        <v>1North Puget Sound</v>
      </c>
      <c r="M2936" s="72" t="s">
        <v>13</v>
      </c>
      <c r="N2936" t="str">
        <f>VLOOKUP(M2936,LUTs!E$2:H$14,3,)</f>
        <v>01Whatcom</v>
      </c>
      <c r="O2936" t="str">
        <f>VLOOKUP(M2936,LUTs!E$2:H$14,4,)</f>
        <v>01North Puget Sound</v>
      </c>
      <c r="P2936" s="73">
        <v>48</v>
      </c>
      <c r="Q2936" s="74">
        <f>VLOOKUP(B2936,Readme!A$40:C$51,2,)*P2936</f>
        <v>415.20000000000005</v>
      </c>
    </row>
    <row r="2937" spans="1:17" ht="12" customHeight="1" x14ac:dyDescent="0.35">
      <c r="A2937" s="75">
        <v>2936</v>
      </c>
      <c r="B2937" s="64">
        <v>2018</v>
      </c>
      <c r="C2937" s="64">
        <v>9</v>
      </c>
      <c r="D2937" s="80">
        <f t="shared" si="93"/>
        <v>2018</v>
      </c>
      <c r="E2937" t="s">
        <v>38</v>
      </c>
      <c r="F2937" t="s">
        <v>143</v>
      </c>
      <c r="G2937" t="s">
        <v>10</v>
      </c>
      <c r="H2937" s="72">
        <v>826</v>
      </c>
      <c r="I2937" s="72" t="s">
        <v>59</v>
      </c>
      <c r="J2937" t="str">
        <f t="shared" si="94"/>
        <v>Cascade River</v>
      </c>
      <c r="K2937" t="str">
        <f>IFERROR(VLOOKUP(J2937,LUTs!$A$1:$C$73,2,FALSE),"NA")</f>
        <v>Skagit</v>
      </c>
      <c r="L2937" t="str">
        <f>IFERROR(VLOOKUP(J2937,LUTs!$A$1:$C$73,3,FALSE),"NA")</f>
        <v>1North Puget Sound</v>
      </c>
      <c r="M2937" s="72" t="s">
        <v>18</v>
      </c>
      <c r="N2937" t="str">
        <f>VLOOKUP(M2937,LUTs!E$2:H$14,3,)</f>
        <v>06King</v>
      </c>
      <c r="O2937" t="str">
        <f>VLOOKUP(M2937,LUTs!E$2:H$14,4,)</f>
        <v>02South Puget Sound</v>
      </c>
      <c r="P2937" s="73">
        <v>19.153846153846199</v>
      </c>
      <c r="Q2937" s="74">
        <f>VLOOKUP(B2937,Readme!A$40:C$51,2,)*P2937</f>
        <v>165.68076923076964</v>
      </c>
    </row>
    <row r="2938" spans="1:17" ht="12" customHeight="1" x14ac:dyDescent="0.35">
      <c r="A2938" s="75">
        <v>2937</v>
      </c>
      <c r="B2938" s="64">
        <v>2018</v>
      </c>
      <c r="C2938" s="64">
        <v>9</v>
      </c>
      <c r="D2938" s="80">
        <f t="shared" ref="D2938:D3001" si="95">IF(C2938&gt;3,B2938,B2938-1)</f>
        <v>2018</v>
      </c>
      <c r="E2938" t="s">
        <v>38</v>
      </c>
      <c r="F2938" t="s">
        <v>143</v>
      </c>
      <c r="G2938" t="s">
        <v>10</v>
      </c>
      <c r="H2938" s="72">
        <v>826</v>
      </c>
      <c r="I2938" s="72" t="s">
        <v>59</v>
      </c>
      <c r="J2938" t="str">
        <f t="shared" si="94"/>
        <v>Cascade River</v>
      </c>
      <c r="K2938" t="str">
        <f>IFERROR(VLOOKUP(J2938,LUTs!$A$1:$C$73,2,FALSE),"NA")</f>
        <v>Skagit</v>
      </c>
      <c r="L2938" t="str">
        <f>IFERROR(VLOOKUP(J2938,LUTs!$A$1:$C$73,3,FALSE),"NA")</f>
        <v>1North Puget Sound</v>
      </c>
      <c r="M2938" s="72" t="s">
        <v>26</v>
      </c>
      <c r="N2938" t="str">
        <f>VLOOKUP(M2938,LUTs!E$2:H$14,3,)</f>
        <v>20Other</v>
      </c>
      <c r="O2938" t="str">
        <f>VLOOKUP(M2938,LUTs!E$2:H$14,4,)</f>
        <v>07Non Puget Sound</v>
      </c>
      <c r="P2938" s="73">
        <v>19.153846153846199</v>
      </c>
      <c r="Q2938" s="74">
        <f>VLOOKUP(B2938,Readme!A$40:C$51,2,)*P2938</f>
        <v>165.68076923076964</v>
      </c>
    </row>
    <row r="2939" spans="1:17" ht="12" customHeight="1" x14ac:dyDescent="0.35">
      <c r="A2939" s="75">
        <v>2938</v>
      </c>
      <c r="B2939" s="64">
        <v>2018</v>
      </c>
      <c r="C2939" s="64">
        <v>9</v>
      </c>
      <c r="D2939" s="80">
        <f t="shared" si="95"/>
        <v>2018</v>
      </c>
      <c r="E2939" t="s">
        <v>38</v>
      </c>
      <c r="F2939" t="s">
        <v>143</v>
      </c>
      <c r="G2939" t="s">
        <v>10</v>
      </c>
      <c r="H2939" s="72">
        <v>826</v>
      </c>
      <c r="I2939" s="72" t="s">
        <v>59</v>
      </c>
      <c r="J2939" t="str">
        <f t="shared" si="94"/>
        <v>Cascade River</v>
      </c>
      <c r="K2939" t="str">
        <f>IFERROR(VLOOKUP(J2939,LUTs!$A$1:$C$73,2,FALSE),"NA")</f>
        <v>Skagit</v>
      </c>
      <c r="L2939" t="str">
        <f>IFERROR(VLOOKUP(J2939,LUTs!$A$1:$C$73,3,FALSE),"NA")</f>
        <v>1North Puget Sound</v>
      </c>
      <c r="M2939" s="72" t="s">
        <v>15</v>
      </c>
      <c r="N2939" t="str">
        <f>VLOOKUP(M2939,LUTs!E$2:H$14,3,)</f>
        <v>02Skagit</v>
      </c>
      <c r="O2939" t="str">
        <f>VLOOKUP(M2939,LUTs!E$2:H$14,4,)</f>
        <v>01North Puget Sound</v>
      </c>
      <c r="P2939" s="73">
        <v>220.269230769231</v>
      </c>
      <c r="Q2939" s="74">
        <f>VLOOKUP(B2939,Readme!A$40:C$51,2,)*P2939</f>
        <v>1905.3288461538482</v>
      </c>
    </row>
    <row r="2940" spans="1:17" ht="12" customHeight="1" x14ac:dyDescent="0.35">
      <c r="A2940" s="75">
        <v>2939</v>
      </c>
      <c r="B2940" s="64">
        <v>2018</v>
      </c>
      <c r="C2940" s="64">
        <v>9</v>
      </c>
      <c r="D2940" s="80">
        <f t="shared" si="95"/>
        <v>2018</v>
      </c>
      <c r="E2940" t="s">
        <v>38</v>
      </c>
      <c r="F2940" t="s">
        <v>143</v>
      </c>
      <c r="G2940" t="s">
        <v>10</v>
      </c>
      <c r="H2940" s="72">
        <v>826</v>
      </c>
      <c r="I2940" s="72" t="s">
        <v>59</v>
      </c>
      <c r="J2940" t="str">
        <f t="shared" si="94"/>
        <v>Cascade River</v>
      </c>
      <c r="K2940" t="str">
        <f>IFERROR(VLOOKUP(J2940,LUTs!$A$1:$C$73,2,FALSE),"NA")</f>
        <v>Skagit</v>
      </c>
      <c r="L2940" t="str">
        <f>IFERROR(VLOOKUP(J2940,LUTs!$A$1:$C$73,3,FALSE),"NA")</f>
        <v>1North Puget Sound</v>
      </c>
      <c r="M2940" s="72" t="s">
        <v>16</v>
      </c>
      <c r="N2940" t="str">
        <f>VLOOKUP(M2940,LUTs!E$2:H$14,3,)</f>
        <v>03Snohomish</v>
      </c>
      <c r="O2940" t="str">
        <f>VLOOKUP(M2940,LUTs!E$2:H$14,4,)</f>
        <v>01North Puget Sound</v>
      </c>
      <c r="P2940" s="73">
        <v>210.69230769230799</v>
      </c>
      <c r="Q2940" s="74">
        <f>VLOOKUP(B2940,Readme!A$40:C$51,2,)*P2940</f>
        <v>1822.4884615384642</v>
      </c>
    </row>
    <row r="2941" spans="1:17" ht="12" customHeight="1" x14ac:dyDescent="0.35">
      <c r="A2941" s="75">
        <v>2940</v>
      </c>
      <c r="B2941" s="64">
        <v>2018</v>
      </c>
      <c r="C2941" s="64">
        <v>9</v>
      </c>
      <c r="D2941" s="80">
        <f t="shared" si="95"/>
        <v>2018</v>
      </c>
      <c r="E2941" t="s">
        <v>38</v>
      </c>
      <c r="F2941" t="s">
        <v>143</v>
      </c>
      <c r="G2941" t="s">
        <v>10</v>
      </c>
      <c r="H2941" s="72">
        <v>826</v>
      </c>
      <c r="I2941" s="72" t="s">
        <v>59</v>
      </c>
      <c r="J2941" t="str">
        <f t="shared" si="94"/>
        <v>Cascade River</v>
      </c>
      <c r="K2941" t="str">
        <f>IFERROR(VLOOKUP(J2941,LUTs!$A$1:$C$73,2,FALSE),"NA")</f>
        <v>Skagit</v>
      </c>
      <c r="L2941" t="str">
        <f>IFERROR(VLOOKUP(J2941,LUTs!$A$1:$C$73,3,FALSE),"NA")</f>
        <v>1North Puget Sound</v>
      </c>
      <c r="M2941" s="72" t="s">
        <v>13</v>
      </c>
      <c r="N2941" t="str">
        <f>VLOOKUP(M2941,LUTs!E$2:H$14,3,)</f>
        <v>01Whatcom</v>
      </c>
      <c r="O2941" t="str">
        <f>VLOOKUP(M2941,LUTs!E$2:H$14,4,)</f>
        <v>01North Puget Sound</v>
      </c>
      <c r="P2941" s="73">
        <v>28.730769230769202</v>
      </c>
      <c r="Q2941" s="74">
        <f>VLOOKUP(B2941,Readme!A$40:C$51,2,)*P2941</f>
        <v>248.5211538461536</v>
      </c>
    </row>
    <row r="2942" spans="1:17" ht="12" customHeight="1" x14ac:dyDescent="0.35">
      <c r="A2942" s="75">
        <v>2941</v>
      </c>
      <c r="B2942" s="64">
        <v>2018</v>
      </c>
      <c r="C2942" s="64">
        <v>10</v>
      </c>
      <c r="D2942" s="80">
        <f t="shared" si="95"/>
        <v>2018</v>
      </c>
      <c r="E2942" t="s">
        <v>38</v>
      </c>
      <c r="F2942" t="s">
        <v>143</v>
      </c>
      <c r="G2942" t="s">
        <v>10</v>
      </c>
      <c r="H2942" s="72">
        <v>826</v>
      </c>
      <c r="I2942" s="72" t="s">
        <v>59</v>
      </c>
      <c r="J2942" t="str">
        <f t="shared" si="94"/>
        <v>Cascade River</v>
      </c>
      <c r="K2942" t="str">
        <f>IFERROR(VLOOKUP(J2942,LUTs!$A$1:$C$73,2,FALSE),"NA")</f>
        <v>Skagit</v>
      </c>
      <c r="L2942" t="str">
        <f>IFERROR(VLOOKUP(J2942,LUTs!$A$1:$C$73,3,FALSE),"NA")</f>
        <v>1North Puget Sound</v>
      </c>
      <c r="M2942" s="72" t="s">
        <v>18</v>
      </c>
      <c r="N2942" t="str">
        <f>VLOOKUP(M2942,LUTs!E$2:H$14,3,)</f>
        <v>06King</v>
      </c>
      <c r="O2942" t="str">
        <f>VLOOKUP(M2942,LUTs!E$2:H$14,4,)</f>
        <v>02South Puget Sound</v>
      </c>
      <c r="P2942" s="73">
        <v>67.089108910891099</v>
      </c>
      <c r="Q2942" s="74">
        <f>VLOOKUP(B2942,Readme!A$40:C$51,2,)*P2942</f>
        <v>580.32079207920799</v>
      </c>
    </row>
    <row r="2943" spans="1:17" ht="12" customHeight="1" x14ac:dyDescent="0.35">
      <c r="A2943" s="75">
        <v>2942</v>
      </c>
      <c r="B2943" s="64">
        <v>2018</v>
      </c>
      <c r="C2943" s="64">
        <v>10</v>
      </c>
      <c r="D2943" s="80">
        <f t="shared" si="95"/>
        <v>2018</v>
      </c>
      <c r="E2943" t="s">
        <v>38</v>
      </c>
      <c r="F2943" t="s">
        <v>143</v>
      </c>
      <c r="G2943" t="s">
        <v>10</v>
      </c>
      <c r="H2943" s="72">
        <v>826</v>
      </c>
      <c r="I2943" s="72" t="s">
        <v>59</v>
      </c>
      <c r="J2943" t="str">
        <f t="shared" si="94"/>
        <v>Cascade River</v>
      </c>
      <c r="K2943" t="str">
        <f>IFERROR(VLOOKUP(J2943,LUTs!$A$1:$C$73,2,FALSE),"NA")</f>
        <v>Skagit</v>
      </c>
      <c r="L2943" t="str">
        <f>IFERROR(VLOOKUP(J2943,LUTs!$A$1:$C$73,3,FALSE),"NA")</f>
        <v>1North Puget Sound</v>
      </c>
      <c r="M2943" s="72" t="s">
        <v>26</v>
      </c>
      <c r="N2943" t="str">
        <f>VLOOKUP(M2943,LUTs!E$2:H$14,3,)</f>
        <v>20Other</v>
      </c>
      <c r="O2943" t="str">
        <f>VLOOKUP(M2943,LUTs!E$2:H$14,4,)</f>
        <v>07Non Puget Sound</v>
      </c>
      <c r="P2943" s="73">
        <v>95.841584158415898</v>
      </c>
      <c r="Q2943" s="74">
        <f>VLOOKUP(B2943,Readme!A$40:C$51,2,)*P2943</f>
        <v>829.02970297029754</v>
      </c>
    </row>
    <row r="2944" spans="1:17" ht="12" customHeight="1" x14ac:dyDescent="0.35">
      <c r="A2944" s="75">
        <v>2943</v>
      </c>
      <c r="B2944" s="64">
        <v>2018</v>
      </c>
      <c r="C2944" s="64">
        <v>10</v>
      </c>
      <c r="D2944" s="80">
        <f t="shared" si="95"/>
        <v>2018</v>
      </c>
      <c r="E2944" t="s">
        <v>38</v>
      </c>
      <c r="F2944" t="s">
        <v>143</v>
      </c>
      <c r="G2944" t="s">
        <v>10</v>
      </c>
      <c r="H2944" s="72">
        <v>826</v>
      </c>
      <c r="I2944" s="72" t="s">
        <v>59</v>
      </c>
      <c r="J2944" t="str">
        <f t="shared" si="94"/>
        <v>Cascade River</v>
      </c>
      <c r="K2944" t="str">
        <f>IFERROR(VLOOKUP(J2944,LUTs!$A$1:$C$73,2,FALSE),"NA")</f>
        <v>Skagit</v>
      </c>
      <c r="L2944" t="str">
        <f>IFERROR(VLOOKUP(J2944,LUTs!$A$1:$C$73,3,FALSE),"NA")</f>
        <v>1North Puget Sound</v>
      </c>
      <c r="M2944" s="72" t="s">
        <v>15</v>
      </c>
      <c r="N2944" t="str">
        <f>VLOOKUP(M2944,LUTs!E$2:H$14,3,)</f>
        <v>02Skagit</v>
      </c>
      <c r="O2944" t="str">
        <f>VLOOKUP(M2944,LUTs!E$2:H$14,4,)</f>
        <v>01North Puget Sound</v>
      </c>
      <c r="P2944" s="73">
        <v>507.96039603960401</v>
      </c>
      <c r="Q2944" s="74">
        <f>VLOOKUP(B2944,Readme!A$40:C$51,2,)*P2944</f>
        <v>4393.8574257425753</v>
      </c>
    </row>
    <row r="2945" spans="1:17" ht="12" customHeight="1" x14ac:dyDescent="0.35">
      <c r="A2945" s="75">
        <v>2944</v>
      </c>
      <c r="B2945" s="64">
        <v>2018</v>
      </c>
      <c r="C2945" s="64">
        <v>10</v>
      </c>
      <c r="D2945" s="80">
        <f t="shared" si="95"/>
        <v>2018</v>
      </c>
      <c r="E2945" t="s">
        <v>38</v>
      </c>
      <c r="F2945" t="s">
        <v>143</v>
      </c>
      <c r="G2945" t="s">
        <v>10</v>
      </c>
      <c r="H2945" s="72">
        <v>826</v>
      </c>
      <c r="I2945" s="72" t="s">
        <v>59</v>
      </c>
      <c r="J2945" t="str">
        <f t="shared" si="94"/>
        <v>Cascade River</v>
      </c>
      <c r="K2945" t="str">
        <f>IFERROR(VLOOKUP(J2945,LUTs!$A$1:$C$73,2,FALSE),"NA")</f>
        <v>Skagit</v>
      </c>
      <c r="L2945" t="str">
        <f>IFERROR(VLOOKUP(J2945,LUTs!$A$1:$C$73,3,FALSE),"NA")</f>
        <v>1North Puget Sound</v>
      </c>
      <c r="M2945" s="72" t="s">
        <v>16</v>
      </c>
      <c r="N2945" t="str">
        <f>VLOOKUP(M2945,LUTs!E$2:H$14,3,)</f>
        <v>03Snohomish</v>
      </c>
      <c r="O2945" t="str">
        <f>VLOOKUP(M2945,LUTs!E$2:H$14,4,)</f>
        <v>01North Puget Sound</v>
      </c>
      <c r="P2945" s="73">
        <v>220.43564356435701</v>
      </c>
      <c r="Q2945" s="74">
        <f>VLOOKUP(B2945,Readme!A$40:C$51,2,)*P2945</f>
        <v>1906.7683168316883</v>
      </c>
    </row>
    <row r="2946" spans="1:17" ht="12" customHeight="1" x14ac:dyDescent="0.35">
      <c r="A2946" s="75">
        <v>2945</v>
      </c>
      <c r="B2946" s="64">
        <v>2018</v>
      </c>
      <c r="C2946" s="64">
        <v>10</v>
      </c>
      <c r="D2946" s="80">
        <f t="shared" si="95"/>
        <v>2018</v>
      </c>
      <c r="E2946" t="s">
        <v>38</v>
      </c>
      <c r="F2946" t="s">
        <v>143</v>
      </c>
      <c r="G2946" t="s">
        <v>10</v>
      </c>
      <c r="H2946" s="72">
        <v>826</v>
      </c>
      <c r="I2946" s="72" t="s">
        <v>59</v>
      </c>
      <c r="J2946" t="str">
        <f t="shared" si="94"/>
        <v>Cascade River</v>
      </c>
      <c r="K2946" t="str">
        <f>IFERROR(VLOOKUP(J2946,LUTs!$A$1:$C$73,2,FALSE),"NA")</f>
        <v>Skagit</v>
      </c>
      <c r="L2946" t="str">
        <f>IFERROR(VLOOKUP(J2946,LUTs!$A$1:$C$73,3,FALSE),"NA")</f>
        <v>1North Puget Sound</v>
      </c>
      <c r="M2946" s="72" t="s">
        <v>21</v>
      </c>
      <c r="N2946" t="str">
        <f>VLOOKUP(M2946,LUTs!E$2:H$14,3,)</f>
        <v>08Thurston</v>
      </c>
      <c r="O2946" t="str">
        <f>VLOOKUP(M2946,LUTs!E$2:H$14,4,)</f>
        <v>02South Puget Sound</v>
      </c>
      <c r="P2946" s="73">
        <v>19.1683168316832</v>
      </c>
      <c r="Q2946" s="74">
        <f>VLOOKUP(B2946,Readme!A$40:C$51,2,)*P2946</f>
        <v>165.80594059405968</v>
      </c>
    </row>
    <row r="2947" spans="1:17" ht="12" customHeight="1" x14ac:dyDescent="0.35">
      <c r="A2947" s="75">
        <v>2946</v>
      </c>
      <c r="B2947" s="64">
        <v>2018</v>
      </c>
      <c r="C2947" s="64">
        <v>10</v>
      </c>
      <c r="D2947" s="80">
        <f t="shared" si="95"/>
        <v>2018</v>
      </c>
      <c r="E2947" t="s">
        <v>38</v>
      </c>
      <c r="F2947" t="s">
        <v>143</v>
      </c>
      <c r="G2947" t="s">
        <v>10</v>
      </c>
      <c r="H2947" s="72">
        <v>826</v>
      </c>
      <c r="I2947" s="72" t="s">
        <v>59</v>
      </c>
      <c r="J2947" t="str">
        <f t="shared" ref="J2947:J3010" si="96">I2947</f>
        <v>Cascade River</v>
      </c>
      <c r="K2947" t="str">
        <f>IFERROR(VLOOKUP(J2947,LUTs!$A$1:$C$73,2,FALSE),"NA")</f>
        <v>Skagit</v>
      </c>
      <c r="L2947" t="str">
        <f>IFERROR(VLOOKUP(J2947,LUTs!$A$1:$C$73,3,FALSE),"NA")</f>
        <v>1North Puget Sound</v>
      </c>
      <c r="M2947" s="72" t="s">
        <v>13</v>
      </c>
      <c r="N2947" t="str">
        <f>VLOOKUP(M2947,LUTs!E$2:H$14,3,)</f>
        <v>01Whatcom</v>
      </c>
      <c r="O2947" t="str">
        <f>VLOOKUP(M2947,LUTs!E$2:H$14,4,)</f>
        <v>01North Puget Sound</v>
      </c>
      <c r="P2947" s="73">
        <v>57.504950495049499</v>
      </c>
      <c r="Q2947" s="74">
        <f>VLOOKUP(B2947,Readme!A$40:C$51,2,)*P2947</f>
        <v>497.41782178217818</v>
      </c>
    </row>
    <row r="2948" spans="1:17" ht="12" customHeight="1" x14ac:dyDescent="0.35">
      <c r="A2948" s="75">
        <v>2947</v>
      </c>
      <c r="B2948" s="64">
        <v>2018</v>
      </c>
      <c r="C2948" s="64">
        <v>11</v>
      </c>
      <c r="D2948" s="80">
        <f t="shared" si="95"/>
        <v>2018</v>
      </c>
      <c r="E2948" t="s">
        <v>38</v>
      </c>
      <c r="F2948" t="s">
        <v>143</v>
      </c>
      <c r="G2948" t="s">
        <v>10</v>
      </c>
      <c r="H2948" s="72">
        <v>826</v>
      </c>
      <c r="I2948" s="72" t="s">
        <v>59</v>
      </c>
      <c r="J2948" t="str">
        <f t="shared" si="96"/>
        <v>Cascade River</v>
      </c>
      <c r="K2948" t="str">
        <f>IFERROR(VLOOKUP(J2948,LUTs!$A$1:$C$73,2,FALSE),"NA")</f>
        <v>Skagit</v>
      </c>
      <c r="L2948" t="str">
        <f>IFERROR(VLOOKUP(J2948,LUTs!$A$1:$C$73,3,FALSE),"NA")</f>
        <v>1North Puget Sound</v>
      </c>
      <c r="M2948" s="72" t="s">
        <v>15</v>
      </c>
      <c r="N2948" t="str">
        <f>VLOOKUP(M2948,LUTs!E$2:H$14,3,)</f>
        <v>02Skagit</v>
      </c>
      <c r="O2948" t="str">
        <f>VLOOKUP(M2948,LUTs!E$2:H$14,4,)</f>
        <v>01North Puget Sound</v>
      </c>
      <c r="P2948" s="73">
        <v>38</v>
      </c>
      <c r="Q2948" s="74">
        <f>VLOOKUP(B2948,Readme!A$40:C$51,2,)*P2948</f>
        <v>328.7</v>
      </c>
    </row>
    <row r="2949" spans="1:17" ht="12" customHeight="1" x14ac:dyDescent="0.35">
      <c r="A2949" s="75">
        <v>2948</v>
      </c>
      <c r="B2949" s="64">
        <v>2018</v>
      </c>
      <c r="C2949" s="64">
        <v>5</v>
      </c>
      <c r="D2949" s="80">
        <f t="shared" si="95"/>
        <v>2018</v>
      </c>
      <c r="E2949" t="s">
        <v>38</v>
      </c>
      <c r="F2949" t="s">
        <v>143</v>
      </c>
      <c r="G2949" t="s">
        <v>10</v>
      </c>
      <c r="H2949" s="72">
        <v>830</v>
      </c>
      <c r="I2949" s="72" t="s">
        <v>60</v>
      </c>
      <c r="J2949" t="str">
        <f t="shared" si="96"/>
        <v>Skagit River</v>
      </c>
      <c r="K2949" t="str">
        <f>IFERROR(VLOOKUP(J2949,LUTs!$A$1:$C$73,2,FALSE),"NA")</f>
        <v>Skagit/Whatcom</v>
      </c>
      <c r="L2949" t="str">
        <f>IFERROR(VLOOKUP(J2949,LUTs!$A$1:$C$73,3,FALSE),"NA")</f>
        <v>2Central Puget Sound</v>
      </c>
      <c r="M2949" s="72" t="s">
        <v>26</v>
      </c>
      <c r="N2949" t="str">
        <f>VLOOKUP(M2949,LUTs!E$2:H$14,3,)</f>
        <v>20Other</v>
      </c>
      <c r="O2949" t="str">
        <f>VLOOKUP(M2949,LUTs!E$2:H$14,4,)</f>
        <v>07Non Puget Sound</v>
      </c>
      <c r="P2949" s="73">
        <v>9.5</v>
      </c>
      <c r="Q2949" s="74">
        <f>VLOOKUP(B2949,Readme!A$40:C$51,2,)*P2949</f>
        <v>82.174999999999997</v>
      </c>
    </row>
    <row r="2950" spans="1:17" ht="12" customHeight="1" x14ac:dyDescent="0.35">
      <c r="A2950" s="75">
        <v>2949</v>
      </c>
      <c r="B2950" s="64">
        <v>2018</v>
      </c>
      <c r="C2950" s="64">
        <v>5</v>
      </c>
      <c r="D2950" s="80">
        <f t="shared" si="95"/>
        <v>2018</v>
      </c>
      <c r="E2950" t="s">
        <v>38</v>
      </c>
      <c r="F2950" t="s">
        <v>143</v>
      </c>
      <c r="G2950" t="s">
        <v>10</v>
      </c>
      <c r="H2950" s="72">
        <v>830</v>
      </c>
      <c r="I2950" s="72" t="s">
        <v>60</v>
      </c>
      <c r="J2950" t="str">
        <f t="shared" si="96"/>
        <v>Skagit River</v>
      </c>
      <c r="K2950" t="str">
        <f>IFERROR(VLOOKUP(J2950,LUTs!$A$1:$C$73,2,FALSE),"NA")</f>
        <v>Skagit/Whatcom</v>
      </c>
      <c r="L2950" t="str">
        <f>IFERROR(VLOOKUP(J2950,LUTs!$A$1:$C$73,3,FALSE),"NA")</f>
        <v>2Central Puget Sound</v>
      </c>
      <c r="M2950" s="72" t="s">
        <v>13</v>
      </c>
      <c r="N2950" t="str">
        <f>VLOOKUP(M2950,LUTs!E$2:H$14,3,)</f>
        <v>01Whatcom</v>
      </c>
      <c r="O2950" t="str">
        <f>VLOOKUP(M2950,LUTs!E$2:H$14,4,)</f>
        <v>01North Puget Sound</v>
      </c>
      <c r="P2950" s="73">
        <v>9.5</v>
      </c>
      <c r="Q2950" s="74">
        <f>VLOOKUP(B2950,Readme!A$40:C$51,2,)*P2950</f>
        <v>82.174999999999997</v>
      </c>
    </row>
    <row r="2951" spans="1:17" ht="12" customHeight="1" x14ac:dyDescent="0.35">
      <c r="A2951" s="75">
        <v>2950</v>
      </c>
      <c r="B2951" s="64">
        <v>2018</v>
      </c>
      <c r="C2951" s="64">
        <v>6</v>
      </c>
      <c r="D2951" s="80">
        <f t="shared" si="95"/>
        <v>2018</v>
      </c>
      <c r="E2951" t="s">
        <v>38</v>
      </c>
      <c r="F2951" t="s">
        <v>143</v>
      </c>
      <c r="G2951" t="s">
        <v>10</v>
      </c>
      <c r="H2951" s="72">
        <v>830</v>
      </c>
      <c r="I2951" s="72" t="s">
        <v>60</v>
      </c>
      <c r="J2951" t="str">
        <f t="shared" si="96"/>
        <v>Skagit River</v>
      </c>
      <c r="K2951" t="str">
        <f>IFERROR(VLOOKUP(J2951,LUTs!$A$1:$C$73,2,FALSE),"NA")</f>
        <v>Skagit/Whatcom</v>
      </c>
      <c r="L2951" t="str">
        <f>IFERROR(VLOOKUP(J2951,LUTs!$A$1:$C$73,3,FALSE),"NA")</f>
        <v>2Central Puget Sound</v>
      </c>
      <c r="M2951" s="72" t="s">
        <v>17</v>
      </c>
      <c r="N2951" t="str">
        <f>VLOOKUP(M2951,LUTs!E$2:H$14,3,)</f>
        <v>04Island</v>
      </c>
      <c r="O2951" t="str">
        <f>VLOOKUP(M2951,LUTs!E$2:H$14,4,)</f>
        <v>01North Puget Sound</v>
      </c>
      <c r="P2951" s="73">
        <v>19.1111111111111</v>
      </c>
      <c r="Q2951" s="74">
        <f>VLOOKUP(B2951,Readme!A$40:C$51,2,)*P2951</f>
        <v>165.31111111111102</v>
      </c>
    </row>
    <row r="2952" spans="1:17" ht="12" customHeight="1" x14ac:dyDescent="0.35">
      <c r="A2952" s="75">
        <v>2951</v>
      </c>
      <c r="B2952" s="64">
        <v>2018</v>
      </c>
      <c r="C2952" s="64">
        <v>6</v>
      </c>
      <c r="D2952" s="80">
        <f t="shared" si="95"/>
        <v>2018</v>
      </c>
      <c r="E2952" t="s">
        <v>38</v>
      </c>
      <c r="F2952" t="s">
        <v>143</v>
      </c>
      <c r="G2952" t="s">
        <v>10</v>
      </c>
      <c r="H2952" s="72">
        <v>830</v>
      </c>
      <c r="I2952" s="72" t="s">
        <v>60</v>
      </c>
      <c r="J2952" t="str">
        <f t="shared" si="96"/>
        <v>Skagit River</v>
      </c>
      <c r="K2952" t="str">
        <f>IFERROR(VLOOKUP(J2952,LUTs!$A$1:$C$73,2,FALSE),"NA")</f>
        <v>Skagit/Whatcom</v>
      </c>
      <c r="L2952" t="str">
        <f>IFERROR(VLOOKUP(J2952,LUTs!$A$1:$C$73,3,FALSE),"NA")</f>
        <v>2Central Puget Sound</v>
      </c>
      <c r="M2952" s="72" t="s">
        <v>15</v>
      </c>
      <c r="N2952" t="str">
        <f>VLOOKUP(M2952,LUTs!E$2:H$14,3,)</f>
        <v>02Skagit</v>
      </c>
      <c r="O2952" t="str">
        <f>VLOOKUP(M2952,LUTs!E$2:H$14,4,)</f>
        <v>01North Puget Sound</v>
      </c>
      <c r="P2952" s="73">
        <v>19.1111111111111</v>
      </c>
      <c r="Q2952" s="74">
        <f>VLOOKUP(B2952,Readme!A$40:C$51,2,)*P2952</f>
        <v>165.31111111111102</v>
      </c>
    </row>
    <row r="2953" spans="1:17" ht="12" customHeight="1" x14ac:dyDescent="0.35">
      <c r="A2953" s="75">
        <v>2952</v>
      </c>
      <c r="B2953" s="64">
        <v>2018</v>
      </c>
      <c r="C2953" s="64">
        <v>6</v>
      </c>
      <c r="D2953" s="80">
        <f t="shared" si="95"/>
        <v>2018</v>
      </c>
      <c r="E2953" t="s">
        <v>38</v>
      </c>
      <c r="F2953" t="s">
        <v>143</v>
      </c>
      <c r="G2953" t="s">
        <v>10</v>
      </c>
      <c r="H2953" s="72">
        <v>830</v>
      </c>
      <c r="I2953" s="72" t="s">
        <v>60</v>
      </c>
      <c r="J2953" t="str">
        <f t="shared" si="96"/>
        <v>Skagit River</v>
      </c>
      <c r="K2953" t="str">
        <f>IFERROR(VLOOKUP(J2953,LUTs!$A$1:$C$73,2,FALSE),"NA")</f>
        <v>Skagit/Whatcom</v>
      </c>
      <c r="L2953" t="str">
        <f>IFERROR(VLOOKUP(J2953,LUTs!$A$1:$C$73,3,FALSE),"NA")</f>
        <v>2Central Puget Sound</v>
      </c>
      <c r="M2953" s="72" t="s">
        <v>16</v>
      </c>
      <c r="N2953" t="str">
        <f>VLOOKUP(M2953,LUTs!E$2:H$14,3,)</f>
        <v>03Snohomish</v>
      </c>
      <c r="O2953" t="str">
        <f>VLOOKUP(M2953,LUTs!E$2:H$14,4,)</f>
        <v>01North Puget Sound</v>
      </c>
      <c r="P2953" s="73">
        <v>47.7777777777778</v>
      </c>
      <c r="Q2953" s="74">
        <f>VLOOKUP(B2953,Readme!A$40:C$51,2,)*P2953</f>
        <v>413.277777777778</v>
      </c>
    </row>
    <row r="2954" spans="1:17" ht="12" customHeight="1" x14ac:dyDescent="0.35">
      <c r="A2954" s="75">
        <v>2953</v>
      </c>
      <c r="B2954" s="64">
        <v>2018</v>
      </c>
      <c r="C2954" s="64">
        <v>7</v>
      </c>
      <c r="D2954" s="80">
        <f t="shared" si="95"/>
        <v>2018</v>
      </c>
      <c r="E2954" t="s">
        <v>38</v>
      </c>
      <c r="F2954" t="s">
        <v>143</v>
      </c>
      <c r="G2954" t="s">
        <v>10</v>
      </c>
      <c r="H2954" s="72">
        <v>830</v>
      </c>
      <c r="I2954" s="72" t="s">
        <v>60</v>
      </c>
      <c r="J2954" t="str">
        <f t="shared" si="96"/>
        <v>Skagit River</v>
      </c>
      <c r="K2954" t="str">
        <f>IFERROR(VLOOKUP(J2954,LUTs!$A$1:$C$73,2,FALSE),"NA")</f>
        <v>Skagit/Whatcom</v>
      </c>
      <c r="L2954" t="str">
        <f>IFERROR(VLOOKUP(J2954,LUTs!$A$1:$C$73,3,FALSE),"NA")</f>
        <v>2Central Puget Sound</v>
      </c>
      <c r="M2954" s="72" t="s">
        <v>15</v>
      </c>
      <c r="N2954" t="str">
        <f>VLOOKUP(M2954,LUTs!E$2:H$14,3,)</f>
        <v>02Skagit</v>
      </c>
      <c r="O2954" t="str">
        <f>VLOOKUP(M2954,LUTs!E$2:H$14,4,)</f>
        <v>01North Puget Sound</v>
      </c>
      <c r="P2954" s="73">
        <v>86.4</v>
      </c>
      <c r="Q2954" s="74">
        <f>VLOOKUP(B2954,Readme!A$40:C$51,2,)*P2954</f>
        <v>747.36000000000013</v>
      </c>
    </row>
    <row r="2955" spans="1:17" ht="12" customHeight="1" x14ac:dyDescent="0.35">
      <c r="A2955" s="75">
        <v>2954</v>
      </c>
      <c r="B2955" s="64">
        <v>2018</v>
      </c>
      <c r="C2955" s="64">
        <v>7</v>
      </c>
      <c r="D2955" s="80">
        <f t="shared" si="95"/>
        <v>2018</v>
      </c>
      <c r="E2955" t="s">
        <v>38</v>
      </c>
      <c r="F2955" t="s">
        <v>143</v>
      </c>
      <c r="G2955" t="s">
        <v>10</v>
      </c>
      <c r="H2955" s="72">
        <v>830</v>
      </c>
      <c r="I2955" s="72" t="s">
        <v>60</v>
      </c>
      <c r="J2955" t="str">
        <f t="shared" si="96"/>
        <v>Skagit River</v>
      </c>
      <c r="K2955" t="str">
        <f>IFERROR(VLOOKUP(J2955,LUTs!$A$1:$C$73,2,FALSE),"NA")</f>
        <v>Skagit/Whatcom</v>
      </c>
      <c r="L2955" t="str">
        <f>IFERROR(VLOOKUP(J2955,LUTs!$A$1:$C$73,3,FALSE),"NA")</f>
        <v>2Central Puget Sound</v>
      </c>
      <c r="M2955" s="72" t="s">
        <v>16</v>
      </c>
      <c r="N2955" t="str">
        <f>VLOOKUP(M2955,LUTs!E$2:H$14,3,)</f>
        <v>03Snohomish</v>
      </c>
      <c r="O2955" t="str">
        <f>VLOOKUP(M2955,LUTs!E$2:H$14,4,)</f>
        <v>01North Puget Sound</v>
      </c>
      <c r="P2955" s="73">
        <v>9.6</v>
      </c>
      <c r="Q2955" s="74">
        <f>VLOOKUP(B2955,Readme!A$40:C$51,2,)*P2955</f>
        <v>83.04</v>
      </c>
    </row>
    <row r="2956" spans="1:17" ht="12" customHeight="1" x14ac:dyDescent="0.35">
      <c r="A2956" s="75">
        <v>2955</v>
      </c>
      <c r="B2956" s="64">
        <v>2018</v>
      </c>
      <c r="C2956" s="64">
        <v>8</v>
      </c>
      <c r="D2956" s="80">
        <f t="shared" si="95"/>
        <v>2018</v>
      </c>
      <c r="E2956" t="s">
        <v>38</v>
      </c>
      <c r="F2956" t="s">
        <v>143</v>
      </c>
      <c r="G2956" t="s">
        <v>10</v>
      </c>
      <c r="H2956" s="72">
        <v>830</v>
      </c>
      <c r="I2956" s="72" t="s">
        <v>60</v>
      </c>
      <c r="J2956" t="str">
        <f t="shared" si="96"/>
        <v>Skagit River</v>
      </c>
      <c r="K2956" t="str">
        <f>IFERROR(VLOOKUP(J2956,LUTs!$A$1:$C$73,2,FALSE),"NA")</f>
        <v>Skagit/Whatcom</v>
      </c>
      <c r="L2956" t="str">
        <f>IFERROR(VLOOKUP(J2956,LUTs!$A$1:$C$73,3,FALSE),"NA")</f>
        <v>2Central Puget Sound</v>
      </c>
      <c r="M2956" s="72" t="s">
        <v>15</v>
      </c>
      <c r="N2956" t="str">
        <f>VLOOKUP(M2956,LUTs!E$2:H$14,3,)</f>
        <v>02Skagit</v>
      </c>
      <c r="O2956" t="str">
        <f>VLOOKUP(M2956,LUTs!E$2:H$14,4,)</f>
        <v>01North Puget Sound</v>
      </c>
      <c r="P2956" s="73">
        <v>97</v>
      </c>
      <c r="Q2956" s="74">
        <f>VLOOKUP(B2956,Readme!A$40:C$51,2,)*P2956</f>
        <v>839.05000000000007</v>
      </c>
    </row>
    <row r="2957" spans="1:17" ht="12" customHeight="1" x14ac:dyDescent="0.35">
      <c r="A2957" s="75">
        <v>2956</v>
      </c>
      <c r="B2957" s="64">
        <v>2018</v>
      </c>
      <c r="C2957" s="64">
        <v>9</v>
      </c>
      <c r="D2957" s="80">
        <f t="shared" si="95"/>
        <v>2018</v>
      </c>
      <c r="E2957" t="s">
        <v>38</v>
      </c>
      <c r="F2957" t="s">
        <v>143</v>
      </c>
      <c r="G2957" t="s">
        <v>10</v>
      </c>
      <c r="H2957" s="72">
        <v>830</v>
      </c>
      <c r="I2957" s="72" t="s">
        <v>60</v>
      </c>
      <c r="J2957" t="str">
        <f t="shared" si="96"/>
        <v>Skagit River</v>
      </c>
      <c r="K2957" t="str">
        <f>IFERROR(VLOOKUP(J2957,LUTs!$A$1:$C$73,2,FALSE),"NA")</f>
        <v>Skagit/Whatcom</v>
      </c>
      <c r="L2957" t="str">
        <f>IFERROR(VLOOKUP(J2957,LUTs!$A$1:$C$73,3,FALSE),"NA")</f>
        <v>2Central Puget Sound</v>
      </c>
      <c r="M2957" s="72" t="s">
        <v>17</v>
      </c>
      <c r="N2957" t="str">
        <f>VLOOKUP(M2957,LUTs!E$2:H$14,3,)</f>
        <v>04Island</v>
      </c>
      <c r="O2957" t="str">
        <f>VLOOKUP(M2957,LUTs!E$2:H$14,4,)</f>
        <v>01North Puget Sound</v>
      </c>
      <c r="P2957" s="73">
        <v>9.6867469879518104</v>
      </c>
      <c r="Q2957" s="74">
        <f>VLOOKUP(B2957,Readme!A$40:C$51,2,)*P2957</f>
        <v>83.790361445783162</v>
      </c>
    </row>
    <row r="2958" spans="1:17" ht="12" customHeight="1" x14ac:dyDescent="0.35">
      <c r="A2958" s="75">
        <v>2957</v>
      </c>
      <c r="B2958" s="64">
        <v>2018</v>
      </c>
      <c r="C2958" s="64">
        <v>9</v>
      </c>
      <c r="D2958" s="80">
        <f t="shared" si="95"/>
        <v>2018</v>
      </c>
      <c r="E2958" t="s">
        <v>38</v>
      </c>
      <c r="F2958" t="s">
        <v>143</v>
      </c>
      <c r="G2958" t="s">
        <v>10</v>
      </c>
      <c r="H2958" s="72">
        <v>830</v>
      </c>
      <c r="I2958" s="72" t="s">
        <v>60</v>
      </c>
      <c r="J2958" t="str">
        <f t="shared" si="96"/>
        <v>Skagit River</v>
      </c>
      <c r="K2958" t="str">
        <f>IFERROR(VLOOKUP(J2958,LUTs!$A$1:$C$73,2,FALSE),"NA")</f>
        <v>Skagit/Whatcom</v>
      </c>
      <c r="L2958" t="str">
        <f>IFERROR(VLOOKUP(J2958,LUTs!$A$1:$C$73,3,FALSE),"NA")</f>
        <v>2Central Puget Sound</v>
      </c>
      <c r="M2958" s="72" t="s">
        <v>18</v>
      </c>
      <c r="N2958" t="str">
        <f>VLOOKUP(M2958,LUTs!E$2:H$14,3,)</f>
        <v>06King</v>
      </c>
      <c r="O2958" t="str">
        <f>VLOOKUP(M2958,LUTs!E$2:H$14,4,)</f>
        <v>02South Puget Sound</v>
      </c>
      <c r="P2958" s="73">
        <v>9.6867469879518104</v>
      </c>
      <c r="Q2958" s="74">
        <f>VLOOKUP(B2958,Readme!A$40:C$51,2,)*P2958</f>
        <v>83.790361445783162</v>
      </c>
    </row>
    <row r="2959" spans="1:17" ht="12" customHeight="1" x14ac:dyDescent="0.35">
      <c r="A2959" s="75">
        <v>2958</v>
      </c>
      <c r="B2959" s="64">
        <v>2018</v>
      </c>
      <c r="C2959" s="64">
        <v>9</v>
      </c>
      <c r="D2959" s="80">
        <f t="shared" si="95"/>
        <v>2018</v>
      </c>
      <c r="E2959" t="s">
        <v>38</v>
      </c>
      <c r="F2959" t="s">
        <v>143</v>
      </c>
      <c r="G2959" t="s">
        <v>10</v>
      </c>
      <c r="H2959" s="72">
        <v>830</v>
      </c>
      <c r="I2959" s="72" t="s">
        <v>60</v>
      </c>
      <c r="J2959" t="str">
        <f t="shared" si="96"/>
        <v>Skagit River</v>
      </c>
      <c r="K2959" t="str">
        <f>IFERROR(VLOOKUP(J2959,LUTs!$A$1:$C$73,2,FALSE),"NA")</f>
        <v>Skagit/Whatcom</v>
      </c>
      <c r="L2959" t="str">
        <f>IFERROR(VLOOKUP(J2959,LUTs!$A$1:$C$73,3,FALSE),"NA")</f>
        <v>2Central Puget Sound</v>
      </c>
      <c r="M2959" s="72" t="s">
        <v>26</v>
      </c>
      <c r="N2959" t="str">
        <f>VLOOKUP(M2959,LUTs!E$2:H$14,3,)</f>
        <v>20Other</v>
      </c>
      <c r="O2959" t="str">
        <f>VLOOKUP(M2959,LUTs!E$2:H$14,4,)</f>
        <v>07Non Puget Sound</v>
      </c>
      <c r="P2959" s="73">
        <v>48.433734939758999</v>
      </c>
      <c r="Q2959" s="74">
        <f>VLOOKUP(B2959,Readme!A$40:C$51,2,)*P2959</f>
        <v>418.95180722891536</v>
      </c>
    </row>
    <row r="2960" spans="1:17" ht="12" customHeight="1" x14ac:dyDescent="0.35">
      <c r="A2960" s="75">
        <v>2959</v>
      </c>
      <c r="B2960" s="64">
        <v>2018</v>
      </c>
      <c r="C2960" s="64">
        <v>9</v>
      </c>
      <c r="D2960" s="80">
        <f t="shared" si="95"/>
        <v>2018</v>
      </c>
      <c r="E2960" t="s">
        <v>38</v>
      </c>
      <c r="F2960" t="s">
        <v>143</v>
      </c>
      <c r="G2960" t="s">
        <v>10</v>
      </c>
      <c r="H2960" s="72">
        <v>830</v>
      </c>
      <c r="I2960" s="72" t="s">
        <v>60</v>
      </c>
      <c r="J2960" t="str">
        <f t="shared" si="96"/>
        <v>Skagit River</v>
      </c>
      <c r="K2960" t="str">
        <f>IFERROR(VLOOKUP(J2960,LUTs!$A$1:$C$73,2,FALSE),"NA")</f>
        <v>Skagit/Whatcom</v>
      </c>
      <c r="L2960" t="str">
        <f>IFERROR(VLOOKUP(J2960,LUTs!$A$1:$C$73,3,FALSE),"NA")</f>
        <v>2Central Puget Sound</v>
      </c>
      <c r="M2960" s="72" t="s">
        <v>15</v>
      </c>
      <c r="N2960" t="str">
        <f>VLOOKUP(M2960,LUTs!E$2:H$14,3,)</f>
        <v>02Skagit</v>
      </c>
      <c r="O2960" t="str">
        <f>VLOOKUP(M2960,LUTs!E$2:H$14,4,)</f>
        <v>01North Puget Sound</v>
      </c>
      <c r="P2960" s="73">
        <v>1172.0963855421701</v>
      </c>
      <c r="Q2960" s="74">
        <f>VLOOKUP(B2960,Readme!A$40:C$51,2,)*P2960</f>
        <v>10138.633734939771</v>
      </c>
    </row>
    <row r="2961" spans="1:17" ht="12" customHeight="1" x14ac:dyDescent="0.35">
      <c r="A2961" s="75">
        <v>2960</v>
      </c>
      <c r="B2961" s="64">
        <v>2018</v>
      </c>
      <c r="C2961" s="64">
        <v>9</v>
      </c>
      <c r="D2961" s="80">
        <f t="shared" si="95"/>
        <v>2018</v>
      </c>
      <c r="E2961" t="s">
        <v>38</v>
      </c>
      <c r="F2961" t="s">
        <v>143</v>
      </c>
      <c r="G2961" t="s">
        <v>10</v>
      </c>
      <c r="H2961" s="72">
        <v>830</v>
      </c>
      <c r="I2961" s="72" t="s">
        <v>60</v>
      </c>
      <c r="J2961" t="str">
        <f t="shared" si="96"/>
        <v>Skagit River</v>
      </c>
      <c r="K2961" t="str">
        <f>IFERROR(VLOOKUP(J2961,LUTs!$A$1:$C$73,2,FALSE),"NA")</f>
        <v>Skagit/Whatcom</v>
      </c>
      <c r="L2961" t="str">
        <f>IFERROR(VLOOKUP(J2961,LUTs!$A$1:$C$73,3,FALSE),"NA")</f>
        <v>2Central Puget Sound</v>
      </c>
      <c r="M2961" s="72" t="s">
        <v>16</v>
      </c>
      <c r="N2961" t="str">
        <f>VLOOKUP(M2961,LUTs!E$2:H$14,3,)</f>
        <v>03Snohomish</v>
      </c>
      <c r="O2961" t="str">
        <f>VLOOKUP(M2961,LUTs!E$2:H$14,4,)</f>
        <v>01North Puget Sound</v>
      </c>
      <c r="P2961" s="73">
        <v>145.30120481927699</v>
      </c>
      <c r="Q2961" s="74">
        <f>VLOOKUP(B2961,Readme!A$40:C$51,2,)*P2961</f>
        <v>1256.855421686746</v>
      </c>
    </row>
    <row r="2962" spans="1:17" ht="12" customHeight="1" x14ac:dyDescent="0.35">
      <c r="A2962" s="75">
        <v>2961</v>
      </c>
      <c r="B2962" s="64">
        <v>2018</v>
      </c>
      <c r="C2962" s="64">
        <v>9</v>
      </c>
      <c r="D2962" s="80">
        <f t="shared" si="95"/>
        <v>2018</v>
      </c>
      <c r="E2962" t="s">
        <v>38</v>
      </c>
      <c r="F2962" t="s">
        <v>143</v>
      </c>
      <c r="G2962" t="s">
        <v>10</v>
      </c>
      <c r="H2962" s="72">
        <v>830</v>
      </c>
      <c r="I2962" s="72" t="s">
        <v>60</v>
      </c>
      <c r="J2962" t="str">
        <f t="shared" si="96"/>
        <v>Skagit River</v>
      </c>
      <c r="K2962" t="str">
        <f>IFERROR(VLOOKUP(J2962,LUTs!$A$1:$C$73,2,FALSE),"NA")</f>
        <v>Skagit/Whatcom</v>
      </c>
      <c r="L2962" t="str">
        <f>IFERROR(VLOOKUP(J2962,LUTs!$A$1:$C$73,3,FALSE),"NA")</f>
        <v>2Central Puget Sound</v>
      </c>
      <c r="M2962" s="72" t="s">
        <v>13</v>
      </c>
      <c r="N2962" t="str">
        <f>VLOOKUP(M2962,LUTs!E$2:H$14,3,)</f>
        <v>01Whatcom</v>
      </c>
      <c r="O2962" t="str">
        <f>VLOOKUP(M2962,LUTs!E$2:H$14,4,)</f>
        <v>01North Puget Sound</v>
      </c>
      <c r="P2962" s="73">
        <v>222.79518072289201</v>
      </c>
      <c r="Q2962" s="74">
        <f>VLOOKUP(B2962,Readme!A$40:C$51,2,)*P2962</f>
        <v>1927.1783132530161</v>
      </c>
    </row>
    <row r="2963" spans="1:17" ht="12" customHeight="1" x14ac:dyDescent="0.35">
      <c r="A2963" s="75">
        <v>2962</v>
      </c>
      <c r="B2963" s="64">
        <v>2018</v>
      </c>
      <c r="C2963" s="64">
        <v>10</v>
      </c>
      <c r="D2963" s="80">
        <f t="shared" si="95"/>
        <v>2018</v>
      </c>
      <c r="E2963" t="s">
        <v>38</v>
      </c>
      <c r="F2963" t="s">
        <v>143</v>
      </c>
      <c r="G2963" t="s">
        <v>10</v>
      </c>
      <c r="H2963" s="72">
        <v>830</v>
      </c>
      <c r="I2963" s="72" t="s">
        <v>60</v>
      </c>
      <c r="J2963" t="str">
        <f t="shared" si="96"/>
        <v>Skagit River</v>
      </c>
      <c r="K2963" t="str">
        <f>IFERROR(VLOOKUP(J2963,LUTs!$A$1:$C$73,2,FALSE),"NA")</f>
        <v>Skagit/Whatcom</v>
      </c>
      <c r="L2963" t="str">
        <f>IFERROR(VLOOKUP(J2963,LUTs!$A$1:$C$73,3,FALSE),"NA")</f>
        <v>2Central Puget Sound</v>
      </c>
      <c r="M2963" s="72" t="s">
        <v>17</v>
      </c>
      <c r="N2963" t="str">
        <f>VLOOKUP(M2963,LUTs!E$2:H$14,3,)</f>
        <v>04Island</v>
      </c>
      <c r="O2963" t="str">
        <f>VLOOKUP(M2963,LUTs!E$2:H$14,4,)</f>
        <v>01North Puget Sound</v>
      </c>
      <c r="P2963" s="73">
        <v>19.377777777777801</v>
      </c>
      <c r="Q2963" s="74">
        <f>VLOOKUP(B2963,Readme!A$40:C$51,2,)*P2963</f>
        <v>167.617777777778</v>
      </c>
    </row>
    <row r="2964" spans="1:17" ht="12" customHeight="1" x14ac:dyDescent="0.35">
      <c r="A2964" s="75">
        <v>2963</v>
      </c>
      <c r="B2964" s="64">
        <v>2018</v>
      </c>
      <c r="C2964" s="64">
        <v>10</v>
      </c>
      <c r="D2964" s="80">
        <f t="shared" si="95"/>
        <v>2018</v>
      </c>
      <c r="E2964" t="s">
        <v>38</v>
      </c>
      <c r="F2964" t="s">
        <v>143</v>
      </c>
      <c r="G2964" t="s">
        <v>10</v>
      </c>
      <c r="H2964" s="72">
        <v>830</v>
      </c>
      <c r="I2964" s="72" t="s">
        <v>60</v>
      </c>
      <c r="J2964" t="str">
        <f t="shared" si="96"/>
        <v>Skagit River</v>
      </c>
      <c r="K2964" t="str">
        <f>IFERROR(VLOOKUP(J2964,LUTs!$A$1:$C$73,2,FALSE),"NA")</f>
        <v>Skagit/Whatcom</v>
      </c>
      <c r="L2964" t="str">
        <f>IFERROR(VLOOKUP(J2964,LUTs!$A$1:$C$73,3,FALSE),"NA")</f>
        <v>2Central Puget Sound</v>
      </c>
      <c r="M2964" s="72" t="s">
        <v>18</v>
      </c>
      <c r="N2964" t="str">
        <f>VLOOKUP(M2964,LUTs!E$2:H$14,3,)</f>
        <v>06King</v>
      </c>
      <c r="O2964" t="str">
        <f>VLOOKUP(M2964,LUTs!E$2:H$14,4,)</f>
        <v>02South Puget Sound</v>
      </c>
      <c r="P2964" s="73">
        <v>87.2</v>
      </c>
      <c r="Q2964" s="74">
        <f>VLOOKUP(B2964,Readme!A$40:C$51,2,)*P2964</f>
        <v>754.28000000000009</v>
      </c>
    </row>
    <row r="2965" spans="1:17" ht="12" customHeight="1" x14ac:dyDescent="0.35">
      <c r="A2965" s="75">
        <v>2964</v>
      </c>
      <c r="B2965" s="64">
        <v>2018</v>
      </c>
      <c r="C2965" s="64">
        <v>10</v>
      </c>
      <c r="D2965" s="80">
        <f t="shared" si="95"/>
        <v>2018</v>
      </c>
      <c r="E2965" t="s">
        <v>38</v>
      </c>
      <c r="F2965" t="s">
        <v>143</v>
      </c>
      <c r="G2965" t="s">
        <v>10</v>
      </c>
      <c r="H2965" s="72">
        <v>830</v>
      </c>
      <c r="I2965" s="72" t="s">
        <v>60</v>
      </c>
      <c r="J2965" t="str">
        <f t="shared" si="96"/>
        <v>Skagit River</v>
      </c>
      <c r="K2965" t="str">
        <f>IFERROR(VLOOKUP(J2965,LUTs!$A$1:$C$73,2,FALSE),"NA")</f>
        <v>Skagit/Whatcom</v>
      </c>
      <c r="L2965" t="str">
        <f>IFERROR(VLOOKUP(J2965,LUTs!$A$1:$C$73,3,FALSE),"NA")</f>
        <v>2Central Puget Sound</v>
      </c>
      <c r="M2965" s="72" t="s">
        <v>22</v>
      </c>
      <c r="N2965" t="str">
        <f>VLOOKUP(M2965,LUTs!E$2:H$14,3,)</f>
        <v>09Mason</v>
      </c>
      <c r="O2965" t="str">
        <f>VLOOKUP(M2965,LUTs!E$2:H$14,4,)</f>
        <v>02South Puget Sound</v>
      </c>
      <c r="P2965" s="73">
        <v>48.4444444444445</v>
      </c>
      <c r="Q2965" s="74">
        <f>VLOOKUP(B2965,Readme!A$40:C$51,2,)*P2965</f>
        <v>419.04444444444493</v>
      </c>
    </row>
    <row r="2966" spans="1:17" ht="12" customHeight="1" x14ac:dyDescent="0.35">
      <c r="A2966" s="75">
        <v>2965</v>
      </c>
      <c r="B2966" s="64">
        <v>2018</v>
      </c>
      <c r="C2966" s="64">
        <v>10</v>
      </c>
      <c r="D2966" s="80">
        <f t="shared" si="95"/>
        <v>2018</v>
      </c>
      <c r="E2966" t="s">
        <v>38</v>
      </c>
      <c r="F2966" t="s">
        <v>143</v>
      </c>
      <c r="G2966" t="s">
        <v>10</v>
      </c>
      <c r="H2966" s="72">
        <v>830</v>
      </c>
      <c r="I2966" s="72" t="s">
        <v>60</v>
      </c>
      <c r="J2966" t="str">
        <f t="shared" si="96"/>
        <v>Skagit River</v>
      </c>
      <c r="K2966" t="str">
        <f>IFERROR(VLOOKUP(J2966,LUTs!$A$1:$C$73,2,FALSE),"NA")</f>
        <v>Skagit/Whatcom</v>
      </c>
      <c r="L2966" t="str">
        <f>IFERROR(VLOOKUP(J2966,LUTs!$A$1:$C$73,3,FALSE),"NA")</f>
        <v>2Central Puget Sound</v>
      </c>
      <c r="M2966" s="72" t="s">
        <v>20</v>
      </c>
      <c r="N2966" t="str">
        <f>VLOOKUP(M2966,LUTs!E$2:H$14,3,)</f>
        <v>07Pierce</v>
      </c>
      <c r="O2966" t="str">
        <f>VLOOKUP(M2966,LUTs!E$2:H$14,4,)</f>
        <v>02South Puget Sound</v>
      </c>
      <c r="P2966" s="73">
        <v>19.377777777777801</v>
      </c>
      <c r="Q2966" s="74">
        <f>VLOOKUP(B2966,Readme!A$40:C$51,2,)*P2966</f>
        <v>167.617777777778</v>
      </c>
    </row>
    <row r="2967" spans="1:17" ht="12" customHeight="1" x14ac:dyDescent="0.35">
      <c r="A2967" s="75">
        <v>2966</v>
      </c>
      <c r="B2967" s="64">
        <v>2018</v>
      </c>
      <c r="C2967" s="64">
        <v>10</v>
      </c>
      <c r="D2967" s="80">
        <f t="shared" si="95"/>
        <v>2018</v>
      </c>
      <c r="E2967" t="s">
        <v>38</v>
      </c>
      <c r="F2967" t="s">
        <v>143</v>
      </c>
      <c r="G2967" t="s">
        <v>10</v>
      </c>
      <c r="H2967" s="72">
        <v>830</v>
      </c>
      <c r="I2967" s="72" t="s">
        <v>60</v>
      </c>
      <c r="J2967" t="str">
        <f t="shared" si="96"/>
        <v>Skagit River</v>
      </c>
      <c r="K2967" t="str">
        <f>IFERROR(VLOOKUP(J2967,LUTs!$A$1:$C$73,2,FALSE),"NA")</f>
        <v>Skagit/Whatcom</v>
      </c>
      <c r="L2967" t="str">
        <f>IFERROR(VLOOKUP(J2967,LUTs!$A$1:$C$73,3,FALSE),"NA")</f>
        <v>2Central Puget Sound</v>
      </c>
      <c r="M2967" s="72" t="s">
        <v>15</v>
      </c>
      <c r="N2967" t="str">
        <f>VLOOKUP(M2967,LUTs!E$2:H$14,3,)</f>
        <v>02Skagit</v>
      </c>
      <c r="O2967" t="str">
        <f>VLOOKUP(M2967,LUTs!E$2:H$14,4,)</f>
        <v>01North Puget Sound</v>
      </c>
      <c r="P2967" s="73">
        <v>445.68888888888898</v>
      </c>
      <c r="Q2967" s="74">
        <f>VLOOKUP(B2967,Readme!A$40:C$51,2,)*P2967</f>
        <v>3855.2088888888898</v>
      </c>
    </row>
    <row r="2968" spans="1:17" ht="12" customHeight="1" x14ac:dyDescent="0.35">
      <c r="A2968" s="75">
        <v>2967</v>
      </c>
      <c r="B2968" s="64">
        <v>2018</v>
      </c>
      <c r="C2968" s="64">
        <v>10</v>
      </c>
      <c r="D2968" s="80">
        <f t="shared" si="95"/>
        <v>2018</v>
      </c>
      <c r="E2968" t="s">
        <v>38</v>
      </c>
      <c r="F2968" t="s">
        <v>143</v>
      </c>
      <c r="G2968" t="s">
        <v>10</v>
      </c>
      <c r="H2968" s="72">
        <v>830</v>
      </c>
      <c r="I2968" s="72" t="s">
        <v>60</v>
      </c>
      <c r="J2968" t="str">
        <f t="shared" si="96"/>
        <v>Skagit River</v>
      </c>
      <c r="K2968" t="str">
        <f>IFERROR(VLOOKUP(J2968,LUTs!$A$1:$C$73,2,FALSE),"NA")</f>
        <v>Skagit/Whatcom</v>
      </c>
      <c r="L2968" t="str">
        <f>IFERROR(VLOOKUP(J2968,LUTs!$A$1:$C$73,3,FALSE),"NA")</f>
        <v>2Central Puget Sound</v>
      </c>
      <c r="M2968" s="72" t="s">
        <v>16</v>
      </c>
      <c r="N2968" t="str">
        <f>VLOOKUP(M2968,LUTs!E$2:H$14,3,)</f>
        <v>03Snohomish</v>
      </c>
      <c r="O2968" t="str">
        <f>VLOOKUP(M2968,LUTs!E$2:H$14,4,)</f>
        <v>01North Puget Sound</v>
      </c>
      <c r="P2968" s="73">
        <v>96.8888888888889</v>
      </c>
      <c r="Q2968" s="74">
        <f>VLOOKUP(B2968,Readme!A$40:C$51,2,)*P2968</f>
        <v>838.08888888888907</v>
      </c>
    </row>
    <row r="2969" spans="1:17" ht="12" customHeight="1" x14ac:dyDescent="0.35">
      <c r="A2969" s="75">
        <v>2968</v>
      </c>
      <c r="B2969" s="64">
        <v>2018</v>
      </c>
      <c r="C2969" s="64">
        <v>10</v>
      </c>
      <c r="D2969" s="80">
        <f t="shared" si="95"/>
        <v>2018</v>
      </c>
      <c r="E2969" t="s">
        <v>38</v>
      </c>
      <c r="F2969" t="s">
        <v>143</v>
      </c>
      <c r="G2969" t="s">
        <v>10</v>
      </c>
      <c r="H2969" s="72">
        <v>830</v>
      </c>
      <c r="I2969" s="72" t="s">
        <v>60</v>
      </c>
      <c r="J2969" t="str">
        <f t="shared" si="96"/>
        <v>Skagit River</v>
      </c>
      <c r="K2969" t="str">
        <f>IFERROR(VLOOKUP(J2969,LUTs!$A$1:$C$73,2,FALSE),"NA")</f>
        <v>Skagit/Whatcom</v>
      </c>
      <c r="L2969" t="str">
        <f>IFERROR(VLOOKUP(J2969,LUTs!$A$1:$C$73,3,FALSE),"NA")</f>
        <v>2Central Puget Sound</v>
      </c>
      <c r="M2969" s="72" t="s">
        <v>13</v>
      </c>
      <c r="N2969" t="str">
        <f>VLOOKUP(M2969,LUTs!E$2:H$14,3,)</f>
        <v>01Whatcom</v>
      </c>
      <c r="O2969" t="str">
        <f>VLOOKUP(M2969,LUTs!E$2:H$14,4,)</f>
        <v>01North Puget Sound</v>
      </c>
      <c r="P2969" s="73">
        <v>155.02222222222201</v>
      </c>
      <c r="Q2969" s="74">
        <f>VLOOKUP(B2969,Readme!A$40:C$51,2,)*P2969</f>
        <v>1340.9422222222204</v>
      </c>
    </row>
    <row r="2970" spans="1:17" ht="12" customHeight="1" x14ac:dyDescent="0.35">
      <c r="A2970" s="75">
        <v>2969</v>
      </c>
      <c r="B2970" s="64">
        <v>2018</v>
      </c>
      <c r="C2970" s="64">
        <v>11</v>
      </c>
      <c r="D2970" s="80">
        <f t="shared" si="95"/>
        <v>2018</v>
      </c>
      <c r="E2970" t="s">
        <v>38</v>
      </c>
      <c r="F2970" t="s">
        <v>143</v>
      </c>
      <c r="G2970" t="s">
        <v>10</v>
      </c>
      <c r="H2970" s="72">
        <v>830</v>
      </c>
      <c r="I2970" s="72" t="s">
        <v>60</v>
      </c>
      <c r="J2970" t="str">
        <f t="shared" si="96"/>
        <v>Skagit River</v>
      </c>
      <c r="K2970" t="str">
        <f>IFERROR(VLOOKUP(J2970,LUTs!$A$1:$C$73,2,FALSE),"NA")</f>
        <v>Skagit/Whatcom</v>
      </c>
      <c r="L2970" t="str">
        <f>IFERROR(VLOOKUP(J2970,LUTs!$A$1:$C$73,3,FALSE),"NA")</f>
        <v>2Central Puget Sound</v>
      </c>
      <c r="M2970" s="72" t="s">
        <v>18</v>
      </c>
      <c r="N2970" t="str">
        <f>VLOOKUP(M2970,LUTs!E$2:H$14,3,)</f>
        <v>06King</v>
      </c>
      <c r="O2970" t="str">
        <f>VLOOKUP(M2970,LUTs!E$2:H$14,4,)</f>
        <v>02South Puget Sound</v>
      </c>
      <c r="P2970" s="73">
        <v>9.6666666666666696</v>
      </c>
      <c r="Q2970" s="74">
        <f>VLOOKUP(B2970,Readme!A$40:C$51,2,)*P2970</f>
        <v>83.616666666666703</v>
      </c>
    </row>
    <row r="2971" spans="1:17" ht="12" customHeight="1" x14ac:dyDescent="0.35">
      <c r="A2971" s="75">
        <v>2970</v>
      </c>
      <c r="B2971" s="64">
        <v>2018</v>
      </c>
      <c r="C2971" s="64">
        <v>11</v>
      </c>
      <c r="D2971" s="80">
        <f t="shared" si="95"/>
        <v>2018</v>
      </c>
      <c r="E2971" t="s">
        <v>38</v>
      </c>
      <c r="F2971" t="s">
        <v>143</v>
      </c>
      <c r="G2971" t="s">
        <v>10</v>
      </c>
      <c r="H2971" s="72">
        <v>830</v>
      </c>
      <c r="I2971" s="72" t="s">
        <v>60</v>
      </c>
      <c r="J2971" t="str">
        <f t="shared" si="96"/>
        <v>Skagit River</v>
      </c>
      <c r="K2971" t="str">
        <f>IFERROR(VLOOKUP(J2971,LUTs!$A$1:$C$73,2,FALSE),"NA")</f>
        <v>Skagit/Whatcom</v>
      </c>
      <c r="L2971" t="str">
        <f>IFERROR(VLOOKUP(J2971,LUTs!$A$1:$C$73,3,FALSE),"NA")</f>
        <v>2Central Puget Sound</v>
      </c>
      <c r="M2971" s="72" t="s">
        <v>26</v>
      </c>
      <c r="N2971" t="str">
        <f>VLOOKUP(M2971,LUTs!E$2:H$14,3,)</f>
        <v>20Other</v>
      </c>
      <c r="O2971" t="str">
        <f>VLOOKUP(M2971,LUTs!E$2:H$14,4,)</f>
        <v>07Non Puget Sound</v>
      </c>
      <c r="P2971" s="73">
        <v>9.6666666666666696</v>
      </c>
      <c r="Q2971" s="74">
        <f>VLOOKUP(B2971,Readme!A$40:C$51,2,)*P2971</f>
        <v>83.616666666666703</v>
      </c>
    </row>
    <row r="2972" spans="1:17" ht="12" customHeight="1" x14ac:dyDescent="0.35">
      <c r="A2972" s="75">
        <v>2971</v>
      </c>
      <c r="B2972" s="64">
        <v>2018</v>
      </c>
      <c r="C2972" s="64">
        <v>11</v>
      </c>
      <c r="D2972" s="80">
        <f t="shared" si="95"/>
        <v>2018</v>
      </c>
      <c r="E2972" t="s">
        <v>38</v>
      </c>
      <c r="F2972" t="s">
        <v>143</v>
      </c>
      <c r="G2972" t="s">
        <v>10</v>
      </c>
      <c r="H2972" s="72">
        <v>830</v>
      </c>
      <c r="I2972" s="72" t="s">
        <v>60</v>
      </c>
      <c r="J2972" t="str">
        <f t="shared" si="96"/>
        <v>Skagit River</v>
      </c>
      <c r="K2972" t="str">
        <f>IFERROR(VLOOKUP(J2972,LUTs!$A$1:$C$73,2,FALSE),"NA")</f>
        <v>Skagit/Whatcom</v>
      </c>
      <c r="L2972" t="str">
        <f>IFERROR(VLOOKUP(J2972,LUTs!$A$1:$C$73,3,FALSE),"NA")</f>
        <v>2Central Puget Sound</v>
      </c>
      <c r="M2972" s="72" t="s">
        <v>20</v>
      </c>
      <c r="N2972" t="str">
        <f>VLOOKUP(M2972,LUTs!E$2:H$14,3,)</f>
        <v>07Pierce</v>
      </c>
      <c r="O2972" t="str">
        <f>VLOOKUP(M2972,LUTs!E$2:H$14,4,)</f>
        <v>02South Puget Sound</v>
      </c>
      <c r="P2972" s="73">
        <v>9.6666666666666696</v>
      </c>
      <c r="Q2972" s="74">
        <f>VLOOKUP(B2972,Readme!A$40:C$51,2,)*P2972</f>
        <v>83.616666666666703</v>
      </c>
    </row>
    <row r="2973" spans="1:17" ht="12" customHeight="1" x14ac:dyDescent="0.35">
      <c r="A2973" s="75">
        <v>2972</v>
      </c>
      <c r="B2973" s="64">
        <v>2018</v>
      </c>
      <c r="C2973" s="64">
        <v>11</v>
      </c>
      <c r="D2973" s="80">
        <f t="shared" si="95"/>
        <v>2018</v>
      </c>
      <c r="E2973" t="s">
        <v>38</v>
      </c>
      <c r="F2973" t="s">
        <v>143</v>
      </c>
      <c r="G2973" t="s">
        <v>10</v>
      </c>
      <c r="H2973" s="72">
        <v>830</v>
      </c>
      <c r="I2973" s="72" t="s">
        <v>60</v>
      </c>
      <c r="J2973" t="str">
        <f t="shared" si="96"/>
        <v>Skagit River</v>
      </c>
      <c r="K2973" t="str">
        <f>IFERROR(VLOOKUP(J2973,LUTs!$A$1:$C$73,2,FALSE),"NA")</f>
        <v>Skagit/Whatcom</v>
      </c>
      <c r="L2973" t="str">
        <f>IFERROR(VLOOKUP(J2973,LUTs!$A$1:$C$73,3,FALSE),"NA")</f>
        <v>2Central Puget Sound</v>
      </c>
      <c r="M2973" s="72" t="s">
        <v>15</v>
      </c>
      <c r="N2973" t="str">
        <f>VLOOKUP(M2973,LUTs!E$2:H$14,3,)</f>
        <v>02Skagit</v>
      </c>
      <c r="O2973" t="str">
        <f>VLOOKUP(M2973,LUTs!E$2:H$14,4,)</f>
        <v>01North Puget Sound</v>
      </c>
      <c r="P2973" s="73">
        <v>29</v>
      </c>
      <c r="Q2973" s="74">
        <f>VLOOKUP(B2973,Readme!A$40:C$51,2,)*P2973</f>
        <v>250.85000000000002</v>
      </c>
    </row>
    <row r="2974" spans="1:17" ht="12" customHeight="1" x14ac:dyDescent="0.35">
      <c r="A2974" s="75">
        <v>2973</v>
      </c>
      <c r="B2974" s="64">
        <v>2018</v>
      </c>
      <c r="C2974" s="64">
        <v>11</v>
      </c>
      <c r="D2974" s="80">
        <f t="shared" si="95"/>
        <v>2018</v>
      </c>
      <c r="E2974" t="s">
        <v>38</v>
      </c>
      <c r="F2974" t="s">
        <v>143</v>
      </c>
      <c r="G2974" t="s">
        <v>10</v>
      </c>
      <c r="H2974" s="72">
        <v>830</v>
      </c>
      <c r="I2974" s="72" t="s">
        <v>60</v>
      </c>
      <c r="J2974" t="str">
        <f t="shared" si="96"/>
        <v>Skagit River</v>
      </c>
      <c r="K2974" t="str">
        <f>IFERROR(VLOOKUP(J2974,LUTs!$A$1:$C$73,2,FALSE),"NA")</f>
        <v>Skagit/Whatcom</v>
      </c>
      <c r="L2974" t="str">
        <f>IFERROR(VLOOKUP(J2974,LUTs!$A$1:$C$73,3,FALSE),"NA")</f>
        <v>2Central Puget Sound</v>
      </c>
      <c r="M2974" s="72" t="s">
        <v>16</v>
      </c>
      <c r="N2974" t="str">
        <f>VLOOKUP(M2974,LUTs!E$2:H$14,3,)</f>
        <v>03Snohomish</v>
      </c>
      <c r="O2974" t="str">
        <f>VLOOKUP(M2974,LUTs!E$2:H$14,4,)</f>
        <v>01North Puget Sound</v>
      </c>
      <c r="P2974" s="73">
        <v>38.6666666666667</v>
      </c>
      <c r="Q2974" s="74">
        <f>VLOOKUP(B2974,Readme!A$40:C$51,2,)*P2974</f>
        <v>334.46666666666698</v>
      </c>
    </row>
    <row r="2975" spans="1:17" ht="12" customHeight="1" x14ac:dyDescent="0.35">
      <c r="A2975" s="75">
        <v>2974</v>
      </c>
      <c r="B2975" s="64">
        <v>2018</v>
      </c>
      <c r="C2975" s="64">
        <v>11</v>
      </c>
      <c r="D2975" s="80">
        <f t="shared" si="95"/>
        <v>2018</v>
      </c>
      <c r="E2975" t="s">
        <v>38</v>
      </c>
      <c r="F2975" t="s">
        <v>143</v>
      </c>
      <c r="G2975" t="s">
        <v>10</v>
      </c>
      <c r="H2975" s="72">
        <v>830</v>
      </c>
      <c r="I2975" s="72" t="s">
        <v>60</v>
      </c>
      <c r="J2975" t="str">
        <f t="shared" si="96"/>
        <v>Skagit River</v>
      </c>
      <c r="K2975" t="str">
        <f>IFERROR(VLOOKUP(J2975,LUTs!$A$1:$C$73,2,FALSE),"NA")</f>
        <v>Skagit/Whatcom</v>
      </c>
      <c r="L2975" t="str">
        <f>IFERROR(VLOOKUP(J2975,LUTs!$A$1:$C$73,3,FALSE),"NA")</f>
        <v>2Central Puget Sound</v>
      </c>
      <c r="M2975" s="72" t="s">
        <v>13</v>
      </c>
      <c r="N2975" t="str">
        <f>VLOOKUP(M2975,LUTs!E$2:H$14,3,)</f>
        <v>01Whatcom</v>
      </c>
      <c r="O2975" t="str">
        <f>VLOOKUP(M2975,LUTs!E$2:H$14,4,)</f>
        <v>01North Puget Sound</v>
      </c>
      <c r="P2975" s="73">
        <v>19.3333333333333</v>
      </c>
      <c r="Q2975" s="74">
        <f>VLOOKUP(B2975,Readme!A$40:C$51,2,)*P2975</f>
        <v>167.23333333333306</v>
      </c>
    </row>
    <row r="2976" spans="1:17" ht="12" customHeight="1" x14ac:dyDescent="0.35">
      <c r="A2976" s="75">
        <v>2975</v>
      </c>
      <c r="B2976" s="64">
        <v>2018</v>
      </c>
      <c r="C2976" s="64">
        <v>12</v>
      </c>
      <c r="D2976" s="80">
        <f t="shared" si="95"/>
        <v>2018</v>
      </c>
      <c r="E2976" t="s">
        <v>38</v>
      </c>
      <c r="F2976" t="s">
        <v>143</v>
      </c>
      <c r="G2976" t="s">
        <v>10</v>
      </c>
      <c r="H2976" s="72">
        <v>830</v>
      </c>
      <c r="I2976" s="72" t="s">
        <v>60</v>
      </c>
      <c r="J2976" t="str">
        <f t="shared" si="96"/>
        <v>Skagit River</v>
      </c>
      <c r="K2976" t="str">
        <f>IFERROR(VLOOKUP(J2976,LUTs!$A$1:$C$73,2,FALSE),"NA")</f>
        <v>Skagit/Whatcom</v>
      </c>
      <c r="L2976" t="str">
        <f>IFERROR(VLOOKUP(J2976,LUTs!$A$1:$C$73,3,FALSE),"NA")</f>
        <v>2Central Puget Sound</v>
      </c>
      <c r="M2976" s="72" t="s">
        <v>15</v>
      </c>
      <c r="N2976" t="str">
        <f>VLOOKUP(M2976,LUTs!E$2:H$14,3,)</f>
        <v>02Skagit</v>
      </c>
      <c r="O2976" t="str">
        <f>VLOOKUP(M2976,LUTs!E$2:H$14,4,)</f>
        <v>01North Puget Sound</v>
      </c>
      <c r="P2976" s="73">
        <v>19</v>
      </c>
      <c r="Q2976" s="74">
        <f>VLOOKUP(B2976,Readme!A$40:C$51,2,)*P2976</f>
        <v>164.35</v>
      </c>
    </row>
    <row r="2977" spans="1:17" ht="12" customHeight="1" x14ac:dyDescent="0.35">
      <c r="A2977" s="75">
        <v>2976</v>
      </c>
      <c r="B2977" s="64">
        <v>2018</v>
      </c>
      <c r="C2977" s="64">
        <v>11</v>
      </c>
      <c r="D2977" s="80">
        <f t="shared" si="95"/>
        <v>2018</v>
      </c>
      <c r="E2977" t="s">
        <v>38</v>
      </c>
      <c r="F2977" t="s">
        <v>143</v>
      </c>
      <c r="G2977" t="s">
        <v>10</v>
      </c>
      <c r="H2977" s="72">
        <v>834</v>
      </c>
      <c r="I2977" s="72" t="s">
        <v>61</v>
      </c>
      <c r="J2977" t="str">
        <f t="shared" si="96"/>
        <v>Skokomish River</v>
      </c>
      <c r="K2977" t="str">
        <f>IFERROR(VLOOKUP(J2977,LUTs!$A$1:$C$73,2,FALSE),"NA")</f>
        <v>Mason</v>
      </c>
      <c r="L2977" t="str">
        <f>IFERROR(VLOOKUP(J2977,LUTs!$A$1:$C$73,3,FALSE),"NA")</f>
        <v>4 Hood Canal</v>
      </c>
      <c r="M2977" s="72" t="s">
        <v>18</v>
      </c>
      <c r="N2977" t="str">
        <f>VLOOKUP(M2977,LUTs!E$2:H$14,3,)</f>
        <v>06King</v>
      </c>
      <c r="O2977" t="str">
        <f>VLOOKUP(M2977,LUTs!E$2:H$14,4,)</f>
        <v>02South Puget Sound</v>
      </c>
      <c r="P2977" s="73">
        <v>2</v>
      </c>
      <c r="Q2977" s="74">
        <f>VLOOKUP(B2977,Readme!A$40:C$51,2,)*P2977</f>
        <v>17.3</v>
      </c>
    </row>
    <row r="2978" spans="1:17" ht="12" customHeight="1" x14ac:dyDescent="0.35">
      <c r="A2978" s="75">
        <v>2977</v>
      </c>
      <c r="B2978" s="64">
        <v>2018</v>
      </c>
      <c r="C2978" s="64">
        <v>5</v>
      </c>
      <c r="D2978" s="80">
        <f t="shared" si="95"/>
        <v>2018</v>
      </c>
      <c r="E2978" t="s">
        <v>38</v>
      </c>
      <c r="F2978" t="s">
        <v>143</v>
      </c>
      <c r="G2978" t="s">
        <v>10</v>
      </c>
      <c r="H2978" s="72">
        <v>844</v>
      </c>
      <c r="I2978" s="72" t="s">
        <v>62</v>
      </c>
      <c r="J2978" t="str">
        <f t="shared" si="96"/>
        <v>Skykomish River</v>
      </c>
      <c r="K2978" t="str">
        <f>IFERROR(VLOOKUP(J2978,LUTs!$A$1:$C$73,2,FALSE),"NA")</f>
        <v>Snohomish</v>
      </c>
      <c r="L2978" t="str">
        <f>IFERROR(VLOOKUP(J2978,LUTs!$A$1:$C$73,3,FALSE),"NA")</f>
        <v>2Central Puget Sound</v>
      </c>
      <c r="M2978" s="72" t="s">
        <v>18</v>
      </c>
      <c r="N2978" t="str">
        <f>VLOOKUP(M2978,LUTs!E$2:H$14,3,)</f>
        <v>06King</v>
      </c>
      <c r="O2978" t="str">
        <f>VLOOKUP(M2978,LUTs!E$2:H$14,4,)</f>
        <v>02South Puget Sound</v>
      </c>
      <c r="P2978" s="73">
        <v>10.1666666666667</v>
      </c>
      <c r="Q2978" s="74">
        <f>VLOOKUP(B2978,Readme!A$40:C$51,2,)*P2978</f>
        <v>87.941666666666961</v>
      </c>
    </row>
    <row r="2979" spans="1:17" ht="12" customHeight="1" x14ac:dyDescent="0.35">
      <c r="A2979" s="75">
        <v>2978</v>
      </c>
      <c r="B2979" s="64">
        <v>2018</v>
      </c>
      <c r="C2979" s="64">
        <v>5</v>
      </c>
      <c r="D2979" s="80">
        <f t="shared" si="95"/>
        <v>2018</v>
      </c>
      <c r="E2979" t="s">
        <v>38</v>
      </c>
      <c r="F2979" t="s">
        <v>143</v>
      </c>
      <c r="G2979" t="s">
        <v>10</v>
      </c>
      <c r="H2979" s="72">
        <v>844</v>
      </c>
      <c r="I2979" s="72" t="s">
        <v>62</v>
      </c>
      <c r="J2979" t="str">
        <f t="shared" si="96"/>
        <v>Skykomish River</v>
      </c>
      <c r="K2979" t="str">
        <f>IFERROR(VLOOKUP(J2979,LUTs!$A$1:$C$73,2,FALSE),"NA")</f>
        <v>Snohomish</v>
      </c>
      <c r="L2979" t="str">
        <f>IFERROR(VLOOKUP(J2979,LUTs!$A$1:$C$73,3,FALSE),"NA")</f>
        <v>2Central Puget Sound</v>
      </c>
      <c r="M2979" s="72" t="s">
        <v>16</v>
      </c>
      <c r="N2979" t="str">
        <f>VLOOKUP(M2979,LUTs!E$2:H$14,3,)</f>
        <v>03Snohomish</v>
      </c>
      <c r="O2979" t="str">
        <f>VLOOKUP(M2979,LUTs!E$2:H$14,4,)</f>
        <v>01North Puget Sound</v>
      </c>
      <c r="P2979" s="73">
        <v>50.8333333333333</v>
      </c>
      <c r="Q2979" s="74">
        <f>VLOOKUP(B2979,Readme!A$40:C$51,2,)*P2979</f>
        <v>439.70833333333309</v>
      </c>
    </row>
    <row r="2980" spans="1:17" ht="12" customHeight="1" x14ac:dyDescent="0.35">
      <c r="A2980" s="75">
        <v>2979</v>
      </c>
      <c r="B2980" s="64">
        <v>2018</v>
      </c>
      <c r="C2980" s="64">
        <v>6</v>
      </c>
      <c r="D2980" s="80">
        <f t="shared" si="95"/>
        <v>2018</v>
      </c>
      <c r="E2980" t="s">
        <v>38</v>
      </c>
      <c r="F2980" t="s">
        <v>143</v>
      </c>
      <c r="G2980" t="s">
        <v>10</v>
      </c>
      <c r="H2980" s="72">
        <v>844</v>
      </c>
      <c r="I2980" s="72" t="s">
        <v>62</v>
      </c>
      <c r="J2980" t="str">
        <f t="shared" si="96"/>
        <v>Skykomish River</v>
      </c>
      <c r="K2980" t="str">
        <f>IFERROR(VLOOKUP(J2980,LUTs!$A$1:$C$73,2,FALSE),"NA")</f>
        <v>Snohomish</v>
      </c>
      <c r="L2980" t="str">
        <f>IFERROR(VLOOKUP(J2980,LUTs!$A$1:$C$73,3,FALSE),"NA")</f>
        <v>2Central Puget Sound</v>
      </c>
      <c r="M2980" s="72" t="s">
        <v>17</v>
      </c>
      <c r="N2980" t="str">
        <f>VLOOKUP(M2980,LUTs!E$2:H$14,3,)</f>
        <v>04Island</v>
      </c>
      <c r="O2980" t="str">
        <f>VLOOKUP(M2980,LUTs!E$2:H$14,4,)</f>
        <v>01North Puget Sound</v>
      </c>
      <c r="P2980" s="73">
        <v>20.090909090909101</v>
      </c>
      <c r="Q2980" s="74">
        <f>VLOOKUP(B2980,Readme!A$40:C$51,2,)*P2980</f>
        <v>173.78636363636372</v>
      </c>
    </row>
    <row r="2981" spans="1:17" ht="12" customHeight="1" x14ac:dyDescent="0.35">
      <c r="A2981" s="75">
        <v>2980</v>
      </c>
      <c r="B2981" s="64">
        <v>2018</v>
      </c>
      <c r="C2981" s="64">
        <v>6</v>
      </c>
      <c r="D2981" s="80">
        <f t="shared" si="95"/>
        <v>2018</v>
      </c>
      <c r="E2981" t="s">
        <v>38</v>
      </c>
      <c r="F2981" t="s">
        <v>143</v>
      </c>
      <c r="G2981" t="s">
        <v>10</v>
      </c>
      <c r="H2981" s="72">
        <v>844</v>
      </c>
      <c r="I2981" s="72" t="s">
        <v>62</v>
      </c>
      <c r="J2981" t="str">
        <f t="shared" si="96"/>
        <v>Skykomish River</v>
      </c>
      <c r="K2981" t="str">
        <f>IFERROR(VLOOKUP(J2981,LUTs!$A$1:$C$73,2,FALSE),"NA")</f>
        <v>Snohomish</v>
      </c>
      <c r="L2981" t="str">
        <f>IFERROR(VLOOKUP(J2981,LUTs!$A$1:$C$73,3,FALSE),"NA")</f>
        <v>2Central Puget Sound</v>
      </c>
      <c r="M2981" s="72" t="s">
        <v>18</v>
      </c>
      <c r="N2981" t="str">
        <f>VLOOKUP(M2981,LUTs!E$2:H$14,3,)</f>
        <v>06King</v>
      </c>
      <c r="O2981" t="str">
        <f>VLOOKUP(M2981,LUTs!E$2:H$14,4,)</f>
        <v>02South Puget Sound</v>
      </c>
      <c r="P2981" s="73">
        <v>60.272727272727302</v>
      </c>
      <c r="Q2981" s="74">
        <f>VLOOKUP(B2981,Readme!A$40:C$51,2,)*P2981</f>
        <v>521.35909090909115</v>
      </c>
    </row>
    <row r="2982" spans="1:17" ht="12" customHeight="1" x14ac:dyDescent="0.35">
      <c r="A2982" s="75">
        <v>2981</v>
      </c>
      <c r="B2982" s="64">
        <v>2018</v>
      </c>
      <c r="C2982" s="64">
        <v>6</v>
      </c>
      <c r="D2982" s="80">
        <f t="shared" si="95"/>
        <v>2018</v>
      </c>
      <c r="E2982" t="s">
        <v>38</v>
      </c>
      <c r="F2982" t="s">
        <v>143</v>
      </c>
      <c r="G2982" t="s">
        <v>10</v>
      </c>
      <c r="H2982" s="72">
        <v>844</v>
      </c>
      <c r="I2982" s="72" t="s">
        <v>62</v>
      </c>
      <c r="J2982" t="str">
        <f t="shared" si="96"/>
        <v>Skykomish River</v>
      </c>
      <c r="K2982" t="str">
        <f>IFERROR(VLOOKUP(J2982,LUTs!$A$1:$C$73,2,FALSE),"NA")</f>
        <v>Snohomish</v>
      </c>
      <c r="L2982" t="str">
        <f>IFERROR(VLOOKUP(J2982,LUTs!$A$1:$C$73,3,FALSE),"NA")</f>
        <v>2Central Puget Sound</v>
      </c>
      <c r="M2982" s="72" t="s">
        <v>26</v>
      </c>
      <c r="N2982" t="str">
        <f>VLOOKUP(M2982,LUTs!E$2:H$14,3,)</f>
        <v>20Other</v>
      </c>
      <c r="O2982" t="str">
        <f>VLOOKUP(M2982,LUTs!E$2:H$14,4,)</f>
        <v>07Non Puget Sound</v>
      </c>
      <c r="P2982" s="73">
        <v>10.045454545454501</v>
      </c>
      <c r="Q2982" s="74">
        <f>VLOOKUP(B2982,Readme!A$40:C$51,2,)*P2982</f>
        <v>86.893181818181432</v>
      </c>
    </row>
    <row r="2983" spans="1:17" ht="12" customHeight="1" x14ac:dyDescent="0.35">
      <c r="A2983" s="75">
        <v>2982</v>
      </c>
      <c r="B2983" s="64">
        <v>2018</v>
      </c>
      <c r="C2983" s="64">
        <v>6</v>
      </c>
      <c r="D2983" s="80">
        <f t="shared" si="95"/>
        <v>2018</v>
      </c>
      <c r="E2983" t="s">
        <v>38</v>
      </c>
      <c r="F2983" t="s">
        <v>143</v>
      </c>
      <c r="G2983" t="s">
        <v>10</v>
      </c>
      <c r="H2983" s="72">
        <v>844</v>
      </c>
      <c r="I2983" s="72" t="s">
        <v>62</v>
      </c>
      <c r="J2983" t="str">
        <f t="shared" si="96"/>
        <v>Skykomish River</v>
      </c>
      <c r="K2983" t="str">
        <f>IFERROR(VLOOKUP(J2983,LUTs!$A$1:$C$73,2,FALSE),"NA")</f>
        <v>Snohomish</v>
      </c>
      <c r="L2983" t="str">
        <f>IFERROR(VLOOKUP(J2983,LUTs!$A$1:$C$73,3,FALSE),"NA")</f>
        <v>2Central Puget Sound</v>
      </c>
      <c r="M2983" s="72" t="s">
        <v>20</v>
      </c>
      <c r="N2983" t="str">
        <f>VLOOKUP(M2983,LUTs!E$2:H$14,3,)</f>
        <v>07Pierce</v>
      </c>
      <c r="O2983" t="str">
        <f>VLOOKUP(M2983,LUTs!E$2:H$14,4,)</f>
        <v>02South Puget Sound</v>
      </c>
      <c r="P2983" s="73">
        <v>30.136363636363601</v>
      </c>
      <c r="Q2983" s="74">
        <f>VLOOKUP(B2983,Readme!A$40:C$51,2,)*P2983</f>
        <v>260.67954545454518</v>
      </c>
    </row>
    <row r="2984" spans="1:17" ht="12" customHeight="1" x14ac:dyDescent="0.35">
      <c r="A2984" s="75">
        <v>2983</v>
      </c>
      <c r="B2984" s="64">
        <v>2018</v>
      </c>
      <c r="C2984" s="64">
        <v>6</v>
      </c>
      <c r="D2984" s="80">
        <f t="shared" si="95"/>
        <v>2018</v>
      </c>
      <c r="E2984" t="s">
        <v>38</v>
      </c>
      <c r="F2984" t="s">
        <v>143</v>
      </c>
      <c r="G2984" t="s">
        <v>10</v>
      </c>
      <c r="H2984" s="72">
        <v>844</v>
      </c>
      <c r="I2984" s="72" t="s">
        <v>62</v>
      </c>
      <c r="J2984" t="str">
        <f t="shared" si="96"/>
        <v>Skykomish River</v>
      </c>
      <c r="K2984" t="str">
        <f>IFERROR(VLOOKUP(J2984,LUTs!$A$1:$C$73,2,FALSE),"NA")</f>
        <v>Snohomish</v>
      </c>
      <c r="L2984" t="str">
        <f>IFERROR(VLOOKUP(J2984,LUTs!$A$1:$C$73,3,FALSE),"NA")</f>
        <v>2Central Puget Sound</v>
      </c>
      <c r="M2984" s="72" t="s">
        <v>16</v>
      </c>
      <c r="N2984" t="str">
        <f>VLOOKUP(M2984,LUTs!E$2:H$14,3,)</f>
        <v>03Snohomish</v>
      </c>
      <c r="O2984" t="str">
        <f>VLOOKUP(M2984,LUTs!E$2:H$14,4,)</f>
        <v>01North Puget Sound</v>
      </c>
      <c r="P2984" s="73">
        <v>90.409090909090907</v>
      </c>
      <c r="Q2984" s="74">
        <f>VLOOKUP(B2984,Readme!A$40:C$51,2,)*P2984</f>
        <v>782.03863636363633</v>
      </c>
    </row>
    <row r="2985" spans="1:17" ht="12" customHeight="1" x14ac:dyDescent="0.35">
      <c r="A2985" s="75">
        <v>2984</v>
      </c>
      <c r="B2985" s="64">
        <v>2018</v>
      </c>
      <c r="C2985" s="64">
        <v>6</v>
      </c>
      <c r="D2985" s="80">
        <f t="shared" si="95"/>
        <v>2018</v>
      </c>
      <c r="E2985" t="s">
        <v>38</v>
      </c>
      <c r="F2985" t="s">
        <v>143</v>
      </c>
      <c r="G2985" t="s">
        <v>10</v>
      </c>
      <c r="H2985" s="72">
        <v>844</v>
      </c>
      <c r="I2985" s="72" t="s">
        <v>62</v>
      </c>
      <c r="J2985" t="str">
        <f t="shared" si="96"/>
        <v>Skykomish River</v>
      </c>
      <c r="K2985" t="str">
        <f>IFERROR(VLOOKUP(J2985,LUTs!$A$1:$C$73,2,FALSE),"NA")</f>
        <v>Snohomish</v>
      </c>
      <c r="L2985" t="str">
        <f>IFERROR(VLOOKUP(J2985,LUTs!$A$1:$C$73,3,FALSE),"NA")</f>
        <v>2Central Puget Sound</v>
      </c>
      <c r="M2985" s="72" t="s">
        <v>21</v>
      </c>
      <c r="N2985" t="str">
        <f>VLOOKUP(M2985,LUTs!E$2:H$14,3,)</f>
        <v>08Thurston</v>
      </c>
      <c r="O2985" t="str">
        <f>VLOOKUP(M2985,LUTs!E$2:H$14,4,)</f>
        <v>02South Puget Sound</v>
      </c>
      <c r="P2985" s="73">
        <v>10.045454545454501</v>
      </c>
      <c r="Q2985" s="74">
        <f>VLOOKUP(B2985,Readme!A$40:C$51,2,)*P2985</f>
        <v>86.893181818181432</v>
      </c>
    </row>
    <row r="2986" spans="1:17" ht="12" customHeight="1" x14ac:dyDescent="0.35">
      <c r="A2986" s="75">
        <v>2985</v>
      </c>
      <c r="B2986" s="64">
        <v>2018</v>
      </c>
      <c r="C2986" s="64">
        <v>7</v>
      </c>
      <c r="D2986" s="80">
        <f t="shared" si="95"/>
        <v>2018</v>
      </c>
      <c r="E2986" t="s">
        <v>38</v>
      </c>
      <c r="F2986" t="s">
        <v>143</v>
      </c>
      <c r="G2986" t="s">
        <v>10</v>
      </c>
      <c r="H2986" s="72">
        <v>844</v>
      </c>
      <c r="I2986" s="72" t="s">
        <v>62</v>
      </c>
      <c r="J2986" t="str">
        <f t="shared" si="96"/>
        <v>Skykomish River</v>
      </c>
      <c r="K2986" t="str">
        <f>IFERROR(VLOOKUP(J2986,LUTs!$A$1:$C$73,2,FALSE),"NA")</f>
        <v>Snohomish</v>
      </c>
      <c r="L2986" t="str">
        <f>IFERROR(VLOOKUP(J2986,LUTs!$A$1:$C$73,3,FALSE),"NA")</f>
        <v>2Central Puget Sound</v>
      </c>
      <c r="M2986" s="72" t="s">
        <v>18</v>
      </c>
      <c r="N2986" t="str">
        <f>VLOOKUP(M2986,LUTs!E$2:H$14,3,)</f>
        <v>06King</v>
      </c>
      <c r="O2986" t="str">
        <f>VLOOKUP(M2986,LUTs!E$2:H$14,4,)</f>
        <v>02South Puget Sound</v>
      </c>
      <c r="P2986" s="73">
        <v>102.083333333333</v>
      </c>
      <c r="Q2986" s="74">
        <f>VLOOKUP(B2986,Readme!A$40:C$51,2,)*P2986</f>
        <v>883.02083333333053</v>
      </c>
    </row>
    <row r="2987" spans="1:17" ht="12" customHeight="1" x14ac:dyDescent="0.35">
      <c r="A2987" s="75">
        <v>2986</v>
      </c>
      <c r="B2987" s="64">
        <v>2018</v>
      </c>
      <c r="C2987" s="64">
        <v>7</v>
      </c>
      <c r="D2987" s="80">
        <f t="shared" si="95"/>
        <v>2018</v>
      </c>
      <c r="E2987" t="s">
        <v>38</v>
      </c>
      <c r="F2987" t="s">
        <v>143</v>
      </c>
      <c r="G2987" t="s">
        <v>10</v>
      </c>
      <c r="H2987" s="72">
        <v>844</v>
      </c>
      <c r="I2987" s="72" t="s">
        <v>62</v>
      </c>
      <c r="J2987" t="str">
        <f t="shared" si="96"/>
        <v>Skykomish River</v>
      </c>
      <c r="K2987" t="str">
        <f>IFERROR(VLOOKUP(J2987,LUTs!$A$1:$C$73,2,FALSE),"NA")</f>
        <v>Snohomish</v>
      </c>
      <c r="L2987" t="str">
        <f>IFERROR(VLOOKUP(J2987,LUTs!$A$1:$C$73,3,FALSE),"NA")</f>
        <v>2Central Puget Sound</v>
      </c>
      <c r="M2987" s="72" t="s">
        <v>26</v>
      </c>
      <c r="N2987" t="str">
        <f>VLOOKUP(M2987,LUTs!E$2:H$14,3,)</f>
        <v>20Other</v>
      </c>
      <c r="O2987" t="str">
        <f>VLOOKUP(M2987,LUTs!E$2:H$14,4,)</f>
        <v>07Non Puget Sound</v>
      </c>
      <c r="P2987" s="73">
        <v>30.625</v>
      </c>
      <c r="Q2987" s="74">
        <f>VLOOKUP(B2987,Readme!A$40:C$51,2,)*P2987</f>
        <v>264.90625</v>
      </c>
    </row>
    <row r="2988" spans="1:17" ht="12" customHeight="1" x14ac:dyDescent="0.35">
      <c r="A2988" s="75">
        <v>2987</v>
      </c>
      <c r="B2988" s="64">
        <v>2018</v>
      </c>
      <c r="C2988" s="64">
        <v>7</v>
      </c>
      <c r="D2988" s="80">
        <f t="shared" si="95"/>
        <v>2018</v>
      </c>
      <c r="E2988" t="s">
        <v>38</v>
      </c>
      <c r="F2988" t="s">
        <v>143</v>
      </c>
      <c r="G2988" t="s">
        <v>10</v>
      </c>
      <c r="H2988" s="72">
        <v>844</v>
      </c>
      <c r="I2988" s="72" t="s">
        <v>62</v>
      </c>
      <c r="J2988" t="str">
        <f t="shared" si="96"/>
        <v>Skykomish River</v>
      </c>
      <c r="K2988" t="str">
        <f>IFERROR(VLOOKUP(J2988,LUTs!$A$1:$C$73,2,FALSE),"NA")</f>
        <v>Snohomish</v>
      </c>
      <c r="L2988" t="str">
        <f>IFERROR(VLOOKUP(J2988,LUTs!$A$1:$C$73,3,FALSE),"NA")</f>
        <v>2Central Puget Sound</v>
      </c>
      <c r="M2988" s="72" t="s">
        <v>20</v>
      </c>
      <c r="N2988" t="str">
        <f>VLOOKUP(M2988,LUTs!E$2:H$14,3,)</f>
        <v>07Pierce</v>
      </c>
      <c r="O2988" t="str">
        <f>VLOOKUP(M2988,LUTs!E$2:H$14,4,)</f>
        <v>02South Puget Sound</v>
      </c>
      <c r="P2988" s="73">
        <v>20.4166666666667</v>
      </c>
      <c r="Q2988" s="74">
        <f>VLOOKUP(B2988,Readme!A$40:C$51,2,)*P2988</f>
        <v>176.60416666666697</v>
      </c>
    </row>
    <row r="2989" spans="1:17" ht="12" customHeight="1" x14ac:dyDescent="0.35">
      <c r="A2989" s="75">
        <v>2988</v>
      </c>
      <c r="B2989" s="64">
        <v>2018</v>
      </c>
      <c r="C2989" s="64">
        <v>7</v>
      </c>
      <c r="D2989" s="80">
        <f t="shared" si="95"/>
        <v>2018</v>
      </c>
      <c r="E2989" t="s">
        <v>38</v>
      </c>
      <c r="F2989" t="s">
        <v>143</v>
      </c>
      <c r="G2989" t="s">
        <v>10</v>
      </c>
      <c r="H2989" s="72">
        <v>844</v>
      </c>
      <c r="I2989" s="72" t="s">
        <v>62</v>
      </c>
      <c r="J2989" t="str">
        <f t="shared" si="96"/>
        <v>Skykomish River</v>
      </c>
      <c r="K2989" t="str">
        <f>IFERROR(VLOOKUP(J2989,LUTs!$A$1:$C$73,2,FALSE),"NA")</f>
        <v>Snohomish</v>
      </c>
      <c r="L2989" t="str">
        <f>IFERROR(VLOOKUP(J2989,LUTs!$A$1:$C$73,3,FALSE),"NA")</f>
        <v>2Central Puget Sound</v>
      </c>
      <c r="M2989" s="72" t="s">
        <v>15</v>
      </c>
      <c r="N2989" t="str">
        <f>VLOOKUP(M2989,LUTs!E$2:H$14,3,)</f>
        <v>02Skagit</v>
      </c>
      <c r="O2989" t="str">
        <f>VLOOKUP(M2989,LUTs!E$2:H$14,4,)</f>
        <v>01North Puget Sound</v>
      </c>
      <c r="P2989" s="73">
        <v>20.4166666666667</v>
      </c>
      <c r="Q2989" s="74">
        <f>VLOOKUP(B2989,Readme!A$40:C$51,2,)*P2989</f>
        <v>176.60416666666697</v>
      </c>
    </row>
    <row r="2990" spans="1:17" ht="12" customHeight="1" x14ac:dyDescent="0.35">
      <c r="A2990" s="75">
        <v>2989</v>
      </c>
      <c r="B2990" s="64">
        <v>2018</v>
      </c>
      <c r="C2990" s="64">
        <v>7</v>
      </c>
      <c r="D2990" s="80">
        <f t="shared" si="95"/>
        <v>2018</v>
      </c>
      <c r="E2990" t="s">
        <v>38</v>
      </c>
      <c r="F2990" t="s">
        <v>143</v>
      </c>
      <c r="G2990" t="s">
        <v>10</v>
      </c>
      <c r="H2990" s="72">
        <v>844</v>
      </c>
      <c r="I2990" s="72" t="s">
        <v>62</v>
      </c>
      <c r="J2990" t="str">
        <f t="shared" si="96"/>
        <v>Skykomish River</v>
      </c>
      <c r="K2990" t="str">
        <f>IFERROR(VLOOKUP(J2990,LUTs!$A$1:$C$73,2,FALSE),"NA")</f>
        <v>Snohomish</v>
      </c>
      <c r="L2990" t="str">
        <f>IFERROR(VLOOKUP(J2990,LUTs!$A$1:$C$73,3,FALSE),"NA")</f>
        <v>2Central Puget Sound</v>
      </c>
      <c r="M2990" s="72" t="s">
        <v>16</v>
      </c>
      <c r="N2990" t="str">
        <f>VLOOKUP(M2990,LUTs!E$2:H$14,3,)</f>
        <v>03Snohomish</v>
      </c>
      <c r="O2990" t="str">
        <f>VLOOKUP(M2990,LUTs!E$2:H$14,4,)</f>
        <v>01North Puget Sound</v>
      </c>
      <c r="P2990" s="73">
        <v>61.25</v>
      </c>
      <c r="Q2990" s="74">
        <f>VLOOKUP(B2990,Readme!A$40:C$51,2,)*P2990</f>
        <v>529.8125</v>
      </c>
    </row>
    <row r="2991" spans="1:17" ht="12" customHeight="1" x14ac:dyDescent="0.35">
      <c r="A2991" s="75">
        <v>2990</v>
      </c>
      <c r="B2991" s="64">
        <v>2018</v>
      </c>
      <c r="C2991" s="64">
        <v>7</v>
      </c>
      <c r="D2991" s="80">
        <f t="shared" si="95"/>
        <v>2018</v>
      </c>
      <c r="E2991" t="s">
        <v>38</v>
      </c>
      <c r="F2991" t="s">
        <v>143</v>
      </c>
      <c r="G2991" t="s">
        <v>10</v>
      </c>
      <c r="H2991" s="72">
        <v>844</v>
      </c>
      <c r="I2991" s="72" t="s">
        <v>62</v>
      </c>
      <c r="J2991" t="str">
        <f t="shared" si="96"/>
        <v>Skykomish River</v>
      </c>
      <c r="K2991" t="str">
        <f>IFERROR(VLOOKUP(J2991,LUTs!$A$1:$C$73,2,FALSE),"NA")</f>
        <v>Snohomish</v>
      </c>
      <c r="L2991" t="str">
        <f>IFERROR(VLOOKUP(J2991,LUTs!$A$1:$C$73,3,FALSE),"NA")</f>
        <v>2Central Puget Sound</v>
      </c>
      <c r="M2991" s="72" t="s">
        <v>21</v>
      </c>
      <c r="N2991" t="str">
        <f>VLOOKUP(M2991,LUTs!E$2:H$14,3,)</f>
        <v>08Thurston</v>
      </c>
      <c r="O2991" t="str">
        <f>VLOOKUP(M2991,LUTs!E$2:H$14,4,)</f>
        <v>02South Puget Sound</v>
      </c>
      <c r="P2991" s="73">
        <v>10.2083333333333</v>
      </c>
      <c r="Q2991" s="74">
        <f>VLOOKUP(B2991,Readme!A$40:C$51,2,)*P2991</f>
        <v>88.302083333333044</v>
      </c>
    </row>
    <row r="2992" spans="1:17" ht="12" customHeight="1" x14ac:dyDescent="0.35">
      <c r="A2992" s="75">
        <v>2991</v>
      </c>
      <c r="B2992" s="64">
        <v>2018</v>
      </c>
      <c r="C2992" s="64">
        <v>9</v>
      </c>
      <c r="D2992" s="80">
        <f t="shared" si="95"/>
        <v>2018</v>
      </c>
      <c r="E2992" t="s">
        <v>38</v>
      </c>
      <c r="F2992" t="s">
        <v>143</v>
      </c>
      <c r="G2992" t="s">
        <v>10</v>
      </c>
      <c r="H2992" s="72">
        <v>844</v>
      </c>
      <c r="I2992" s="72" t="s">
        <v>62</v>
      </c>
      <c r="J2992" t="str">
        <f t="shared" si="96"/>
        <v>Skykomish River</v>
      </c>
      <c r="K2992" t="str">
        <f>IFERROR(VLOOKUP(J2992,LUTs!$A$1:$C$73,2,FALSE),"NA")</f>
        <v>Snohomish</v>
      </c>
      <c r="L2992" t="str">
        <f>IFERROR(VLOOKUP(J2992,LUTs!$A$1:$C$73,3,FALSE),"NA")</f>
        <v>2Central Puget Sound</v>
      </c>
      <c r="M2992" s="72" t="s">
        <v>18</v>
      </c>
      <c r="N2992" t="str">
        <f>VLOOKUP(M2992,LUTs!E$2:H$14,3,)</f>
        <v>06King</v>
      </c>
      <c r="O2992" t="str">
        <f>VLOOKUP(M2992,LUTs!E$2:H$14,4,)</f>
        <v>02South Puget Sound</v>
      </c>
      <c r="P2992" s="73">
        <v>9.9411764705882408</v>
      </c>
      <c r="Q2992" s="74">
        <f>VLOOKUP(B2992,Readme!A$40:C$51,2,)*P2992</f>
        <v>85.991176470588286</v>
      </c>
    </row>
    <row r="2993" spans="1:17" ht="12" customHeight="1" x14ac:dyDescent="0.35">
      <c r="A2993" s="75">
        <v>2992</v>
      </c>
      <c r="B2993" s="64">
        <v>2018</v>
      </c>
      <c r="C2993" s="64">
        <v>9</v>
      </c>
      <c r="D2993" s="80">
        <f t="shared" si="95"/>
        <v>2018</v>
      </c>
      <c r="E2993" t="s">
        <v>38</v>
      </c>
      <c r="F2993" t="s">
        <v>143</v>
      </c>
      <c r="G2993" t="s">
        <v>10</v>
      </c>
      <c r="H2993" s="72">
        <v>844</v>
      </c>
      <c r="I2993" s="72" t="s">
        <v>62</v>
      </c>
      <c r="J2993" t="str">
        <f t="shared" si="96"/>
        <v>Skykomish River</v>
      </c>
      <c r="K2993" t="str">
        <f>IFERROR(VLOOKUP(J2993,LUTs!$A$1:$C$73,2,FALSE),"NA")</f>
        <v>Snohomish</v>
      </c>
      <c r="L2993" t="str">
        <f>IFERROR(VLOOKUP(J2993,LUTs!$A$1:$C$73,3,FALSE),"NA")</f>
        <v>2Central Puget Sound</v>
      </c>
      <c r="M2993" s="72" t="s">
        <v>16</v>
      </c>
      <c r="N2993" t="str">
        <f>VLOOKUP(M2993,LUTs!E$2:H$14,3,)</f>
        <v>03Snohomish</v>
      </c>
      <c r="O2993" t="str">
        <f>VLOOKUP(M2993,LUTs!E$2:H$14,4,)</f>
        <v>01North Puget Sound</v>
      </c>
      <c r="P2993" s="73">
        <v>159.058823529412</v>
      </c>
      <c r="Q2993" s="74">
        <f>VLOOKUP(B2993,Readme!A$40:C$51,2,)*P2993</f>
        <v>1375.8588235294137</v>
      </c>
    </row>
    <row r="2994" spans="1:17" ht="12" customHeight="1" x14ac:dyDescent="0.35">
      <c r="A2994" s="75">
        <v>2993</v>
      </c>
      <c r="B2994" s="64">
        <v>2018</v>
      </c>
      <c r="C2994" s="64">
        <v>10</v>
      </c>
      <c r="D2994" s="80">
        <f t="shared" si="95"/>
        <v>2018</v>
      </c>
      <c r="E2994" t="s">
        <v>38</v>
      </c>
      <c r="F2994" t="s">
        <v>143</v>
      </c>
      <c r="G2994" t="s">
        <v>10</v>
      </c>
      <c r="H2994" s="72">
        <v>844</v>
      </c>
      <c r="I2994" s="72" t="s">
        <v>62</v>
      </c>
      <c r="J2994" t="str">
        <f t="shared" si="96"/>
        <v>Skykomish River</v>
      </c>
      <c r="K2994" t="str">
        <f>IFERROR(VLOOKUP(J2994,LUTs!$A$1:$C$73,2,FALSE),"NA")</f>
        <v>Snohomish</v>
      </c>
      <c r="L2994" t="str">
        <f>IFERROR(VLOOKUP(J2994,LUTs!$A$1:$C$73,3,FALSE),"NA")</f>
        <v>2Central Puget Sound</v>
      </c>
      <c r="M2994" s="72" t="s">
        <v>17</v>
      </c>
      <c r="N2994" t="str">
        <f>VLOOKUP(M2994,LUTs!E$2:H$14,3,)</f>
        <v>04Island</v>
      </c>
      <c r="O2994" t="str">
        <f>VLOOKUP(M2994,LUTs!E$2:H$14,4,)</f>
        <v>01North Puget Sound</v>
      </c>
      <c r="P2994" s="73">
        <v>39.692307692307701</v>
      </c>
      <c r="Q2994" s="74">
        <f>VLOOKUP(B2994,Readme!A$40:C$51,2,)*P2994</f>
        <v>343.33846153846162</v>
      </c>
    </row>
    <row r="2995" spans="1:17" ht="12" customHeight="1" x14ac:dyDescent="0.35">
      <c r="A2995" s="75">
        <v>2994</v>
      </c>
      <c r="B2995" s="64">
        <v>2018</v>
      </c>
      <c r="C2995" s="64">
        <v>10</v>
      </c>
      <c r="D2995" s="80">
        <f t="shared" si="95"/>
        <v>2018</v>
      </c>
      <c r="E2995" t="s">
        <v>38</v>
      </c>
      <c r="F2995" t="s">
        <v>143</v>
      </c>
      <c r="G2995" t="s">
        <v>10</v>
      </c>
      <c r="H2995" s="72">
        <v>844</v>
      </c>
      <c r="I2995" s="72" t="s">
        <v>62</v>
      </c>
      <c r="J2995" t="str">
        <f t="shared" si="96"/>
        <v>Skykomish River</v>
      </c>
      <c r="K2995" t="str">
        <f>IFERROR(VLOOKUP(J2995,LUTs!$A$1:$C$73,2,FALSE),"NA")</f>
        <v>Snohomish</v>
      </c>
      <c r="L2995" t="str">
        <f>IFERROR(VLOOKUP(J2995,LUTs!$A$1:$C$73,3,FALSE),"NA")</f>
        <v>2Central Puget Sound</v>
      </c>
      <c r="M2995" s="72" t="s">
        <v>18</v>
      </c>
      <c r="N2995" t="str">
        <f>VLOOKUP(M2995,LUTs!E$2:H$14,3,)</f>
        <v>06King</v>
      </c>
      <c r="O2995" t="str">
        <f>VLOOKUP(M2995,LUTs!E$2:H$14,4,)</f>
        <v>02South Puget Sound</v>
      </c>
      <c r="P2995" s="73">
        <v>19.846153846153801</v>
      </c>
      <c r="Q2995" s="74">
        <f>VLOOKUP(B2995,Readme!A$40:C$51,2,)*P2995</f>
        <v>171.66923076923038</v>
      </c>
    </row>
    <row r="2996" spans="1:17" ht="12" customHeight="1" x14ac:dyDescent="0.35">
      <c r="A2996" s="75">
        <v>2995</v>
      </c>
      <c r="B2996" s="64">
        <v>2018</v>
      </c>
      <c r="C2996" s="64">
        <v>10</v>
      </c>
      <c r="D2996" s="80">
        <f t="shared" si="95"/>
        <v>2018</v>
      </c>
      <c r="E2996" t="s">
        <v>38</v>
      </c>
      <c r="F2996" t="s">
        <v>143</v>
      </c>
      <c r="G2996" t="s">
        <v>10</v>
      </c>
      <c r="H2996" s="72">
        <v>844</v>
      </c>
      <c r="I2996" s="72" t="s">
        <v>62</v>
      </c>
      <c r="J2996" t="str">
        <f t="shared" si="96"/>
        <v>Skykomish River</v>
      </c>
      <c r="K2996" t="str">
        <f>IFERROR(VLOOKUP(J2996,LUTs!$A$1:$C$73,2,FALSE),"NA")</f>
        <v>Snohomish</v>
      </c>
      <c r="L2996" t="str">
        <f>IFERROR(VLOOKUP(J2996,LUTs!$A$1:$C$73,3,FALSE),"NA")</f>
        <v>2Central Puget Sound</v>
      </c>
      <c r="M2996" s="72" t="s">
        <v>20</v>
      </c>
      <c r="N2996" t="str">
        <f>VLOOKUP(M2996,LUTs!E$2:H$14,3,)</f>
        <v>07Pierce</v>
      </c>
      <c r="O2996" t="str">
        <f>VLOOKUP(M2996,LUTs!E$2:H$14,4,)</f>
        <v>02South Puget Sound</v>
      </c>
      <c r="P2996" s="73">
        <v>69.461538461538495</v>
      </c>
      <c r="Q2996" s="74">
        <f>VLOOKUP(B2996,Readme!A$40:C$51,2,)*P2996</f>
        <v>600.84230769230805</v>
      </c>
    </row>
    <row r="2997" spans="1:17" ht="12" customHeight="1" x14ac:dyDescent="0.35">
      <c r="A2997" s="75">
        <v>2996</v>
      </c>
      <c r="B2997" s="64">
        <v>2018</v>
      </c>
      <c r="C2997" s="64">
        <v>11</v>
      </c>
      <c r="D2997" s="80">
        <f t="shared" si="95"/>
        <v>2018</v>
      </c>
      <c r="E2997" t="s">
        <v>38</v>
      </c>
      <c r="F2997" t="s">
        <v>143</v>
      </c>
      <c r="G2997" t="s">
        <v>10</v>
      </c>
      <c r="H2997" s="72">
        <v>844</v>
      </c>
      <c r="I2997" s="72" t="s">
        <v>62</v>
      </c>
      <c r="J2997" t="str">
        <f t="shared" si="96"/>
        <v>Skykomish River</v>
      </c>
      <c r="K2997" t="str">
        <f>IFERROR(VLOOKUP(J2997,LUTs!$A$1:$C$73,2,FALSE),"NA")</f>
        <v>Snohomish</v>
      </c>
      <c r="L2997" t="str">
        <f>IFERROR(VLOOKUP(J2997,LUTs!$A$1:$C$73,3,FALSE),"NA")</f>
        <v>2Central Puget Sound</v>
      </c>
      <c r="M2997" s="72" t="s">
        <v>20</v>
      </c>
      <c r="N2997" t="str">
        <f>VLOOKUP(M2997,LUTs!E$2:H$14,3,)</f>
        <v>07Pierce</v>
      </c>
      <c r="O2997" t="str">
        <f>VLOOKUP(M2997,LUTs!E$2:H$14,4,)</f>
        <v>02South Puget Sound</v>
      </c>
      <c r="P2997" s="73">
        <v>10</v>
      </c>
      <c r="Q2997" s="74">
        <f>VLOOKUP(B2997,Readme!A$40:C$51,2,)*P2997</f>
        <v>86.5</v>
      </c>
    </row>
    <row r="2998" spans="1:17" ht="12" customHeight="1" x14ac:dyDescent="0.35">
      <c r="A2998" s="75">
        <v>2997</v>
      </c>
      <c r="B2998" s="64">
        <v>2018</v>
      </c>
      <c r="C2998" s="64">
        <v>11</v>
      </c>
      <c r="D2998" s="80">
        <f t="shared" si="95"/>
        <v>2018</v>
      </c>
      <c r="E2998" t="s">
        <v>38</v>
      </c>
      <c r="F2998" t="s">
        <v>143</v>
      </c>
      <c r="G2998" t="s">
        <v>10</v>
      </c>
      <c r="H2998" s="72">
        <v>844</v>
      </c>
      <c r="I2998" s="72" t="s">
        <v>62</v>
      </c>
      <c r="J2998" t="str">
        <f t="shared" si="96"/>
        <v>Skykomish River</v>
      </c>
      <c r="K2998" t="str">
        <f>IFERROR(VLOOKUP(J2998,LUTs!$A$1:$C$73,2,FALSE),"NA")</f>
        <v>Snohomish</v>
      </c>
      <c r="L2998" t="str">
        <f>IFERROR(VLOOKUP(J2998,LUTs!$A$1:$C$73,3,FALSE),"NA")</f>
        <v>2Central Puget Sound</v>
      </c>
      <c r="M2998" s="72" t="s">
        <v>16</v>
      </c>
      <c r="N2998" t="str">
        <f>VLOOKUP(M2998,LUTs!E$2:H$14,3,)</f>
        <v>03Snohomish</v>
      </c>
      <c r="O2998" t="str">
        <f>VLOOKUP(M2998,LUTs!E$2:H$14,4,)</f>
        <v>01North Puget Sound</v>
      </c>
      <c r="P2998" s="73">
        <v>10</v>
      </c>
      <c r="Q2998" s="74">
        <f>VLOOKUP(B2998,Readme!A$40:C$51,2,)*P2998</f>
        <v>86.5</v>
      </c>
    </row>
    <row r="2999" spans="1:17" ht="12" customHeight="1" x14ac:dyDescent="0.35">
      <c r="A2999" s="75">
        <v>2998</v>
      </c>
      <c r="B2999" s="64">
        <v>2018</v>
      </c>
      <c r="C2999" s="64">
        <v>9</v>
      </c>
      <c r="D2999" s="80">
        <f t="shared" si="95"/>
        <v>2018</v>
      </c>
      <c r="E2999" t="s">
        <v>38</v>
      </c>
      <c r="F2999" t="s">
        <v>143</v>
      </c>
      <c r="G2999" t="s">
        <v>10</v>
      </c>
      <c r="H2999" s="72">
        <v>850</v>
      </c>
      <c r="I2999" s="72" t="s">
        <v>63</v>
      </c>
      <c r="J2999" t="str">
        <f t="shared" si="96"/>
        <v>Snohomish River</v>
      </c>
      <c r="K2999" t="str">
        <f>IFERROR(VLOOKUP(J2999,LUTs!$A$1:$C$73,2,FALSE),"NA")</f>
        <v>Snohomish</v>
      </c>
      <c r="L2999" t="str">
        <f>IFERROR(VLOOKUP(J2999,LUTs!$A$1:$C$73,3,FALSE),"NA")</f>
        <v>2Central Puget Sound</v>
      </c>
      <c r="M2999" s="72" t="s">
        <v>17</v>
      </c>
      <c r="N2999" t="str">
        <f>VLOOKUP(M2999,LUTs!E$2:H$14,3,)</f>
        <v>04Island</v>
      </c>
      <c r="O2999" t="str">
        <f>VLOOKUP(M2999,LUTs!E$2:H$14,4,)</f>
        <v>01North Puget Sound</v>
      </c>
      <c r="P2999" s="73">
        <v>19.884615384615401</v>
      </c>
      <c r="Q2999" s="74">
        <f>VLOOKUP(B2999,Readme!A$40:C$51,2,)*P2999</f>
        <v>172.00192307692322</v>
      </c>
    </row>
    <row r="3000" spans="1:17" ht="12" customHeight="1" x14ac:dyDescent="0.35">
      <c r="A3000" s="75">
        <v>2999</v>
      </c>
      <c r="B3000" s="64">
        <v>2018</v>
      </c>
      <c r="C3000" s="64">
        <v>9</v>
      </c>
      <c r="D3000" s="80">
        <f t="shared" si="95"/>
        <v>2018</v>
      </c>
      <c r="E3000" t="s">
        <v>38</v>
      </c>
      <c r="F3000" t="s">
        <v>143</v>
      </c>
      <c r="G3000" t="s">
        <v>10</v>
      </c>
      <c r="H3000" s="72">
        <v>850</v>
      </c>
      <c r="I3000" s="72" t="s">
        <v>63</v>
      </c>
      <c r="J3000" t="str">
        <f t="shared" si="96"/>
        <v>Snohomish River</v>
      </c>
      <c r="K3000" t="str">
        <f>IFERROR(VLOOKUP(J3000,LUTs!$A$1:$C$73,2,FALSE),"NA")</f>
        <v>Snohomish</v>
      </c>
      <c r="L3000" t="str">
        <f>IFERROR(VLOOKUP(J3000,LUTs!$A$1:$C$73,3,FALSE),"NA")</f>
        <v>2Central Puget Sound</v>
      </c>
      <c r="M3000" s="72" t="s">
        <v>18</v>
      </c>
      <c r="N3000" t="str">
        <f>VLOOKUP(M3000,LUTs!E$2:H$14,3,)</f>
        <v>06King</v>
      </c>
      <c r="O3000" t="str">
        <f>VLOOKUP(M3000,LUTs!E$2:H$14,4,)</f>
        <v>02South Puget Sound</v>
      </c>
      <c r="P3000" s="73">
        <v>49.711538461538503</v>
      </c>
      <c r="Q3000" s="74">
        <f>VLOOKUP(B3000,Readme!A$40:C$51,2,)*P3000</f>
        <v>430.00480769230808</v>
      </c>
    </row>
    <row r="3001" spans="1:17" ht="12" customHeight="1" x14ac:dyDescent="0.35">
      <c r="A3001" s="75">
        <v>3000</v>
      </c>
      <c r="B3001" s="64">
        <v>2018</v>
      </c>
      <c r="C3001" s="64">
        <v>9</v>
      </c>
      <c r="D3001" s="80">
        <f t="shared" si="95"/>
        <v>2018</v>
      </c>
      <c r="E3001" t="s">
        <v>38</v>
      </c>
      <c r="F3001" t="s">
        <v>143</v>
      </c>
      <c r="G3001" t="s">
        <v>10</v>
      </c>
      <c r="H3001" s="72">
        <v>850</v>
      </c>
      <c r="I3001" s="72" t="s">
        <v>63</v>
      </c>
      <c r="J3001" t="str">
        <f t="shared" si="96"/>
        <v>Snohomish River</v>
      </c>
      <c r="K3001" t="str">
        <f>IFERROR(VLOOKUP(J3001,LUTs!$A$1:$C$73,2,FALSE),"NA")</f>
        <v>Snohomish</v>
      </c>
      <c r="L3001" t="str">
        <f>IFERROR(VLOOKUP(J3001,LUTs!$A$1:$C$73,3,FALSE),"NA")</f>
        <v>2Central Puget Sound</v>
      </c>
      <c r="M3001" s="72" t="s">
        <v>26</v>
      </c>
      <c r="N3001" t="str">
        <f>VLOOKUP(M3001,LUTs!E$2:H$14,3,)</f>
        <v>20Other</v>
      </c>
      <c r="O3001" t="str">
        <f>VLOOKUP(M3001,LUTs!E$2:H$14,4,)</f>
        <v>07Non Puget Sound</v>
      </c>
      <c r="P3001" s="73">
        <v>29.826923076923102</v>
      </c>
      <c r="Q3001" s="74">
        <f>VLOOKUP(B3001,Readme!A$40:C$51,2,)*P3001</f>
        <v>258.00288461538486</v>
      </c>
    </row>
    <row r="3002" spans="1:17" ht="12" customHeight="1" x14ac:dyDescent="0.35">
      <c r="A3002" s="75">
        <v>3001</v>
      </c>
      <c r="B3002" s="64">
        <v>2018</v>
      </c>
      <c r="C3002" s="64">
        <v>9</v>
      </c>
      <c r="D3002" s="80">
        <f t="shared" ref="D3002:D3065" si="97">IF(C3002&gt;3,B3002,B3002-1)</f>
        <v>2018</v>
      </c>
      <c r="E3002" t="s">
        <v>38</v>
      </c>
      <c r="F3002" t="s">
        <v>143</v>
      </c>
      <c r="G3002" t="s">
        <v>10</v>
      </c>
      <c r="H3002" s="72">
        <v>850</v>
      </c>
      <c r="I3002" s="72" t="s">
        <v>63</v>
      </c>
      <c r="J3002" t="str">
        <f t="shared" si="96"/>
        <v>Snohomish River</v>
      </c>
      <c r="K3002" t="str">
        <f>IFERROR(VLOOKUP(J3002,LUTs!$A$1:$C$73,2,FALSE),"NA")</f>
        <v>Snohomish</v>
      </c>
      <c r="L3002" t="str">
        <f>IFERROR(VLOOKUP(J3002,LUTs!$A$1:$C$73,3,FALSE),"NA")</f>
        <v>2Central Puget Sound</v>
      </c>
      <c r="M3002" s="72" t="s">
        <v>20</v>
      </c>
      <c r="N3002" t="str">
        <f>VLOOKUP(M3002,LUTs!E$2:H$14,3,)</f>
        <v>07Pierce</v>
      </c>
      <c r="O3002" t="str">
        <f>VLOOKUP(M3002,LUTs!E$2:H$14,4,)</f>
        <v>02South Puget Sound</v>
      </c>
      <c r="P3002" s="73">
        <v>9.9423076923077005</v>
      </c>
      <c r="Q3002" s="74">
        <f>VLOOKUP(B3002,Readme!A$40:C$51,2,)*P3002</f>
        <v>86.00096153846161</v>
      </c>
    </row>
    <row r="3003" spans="1:17" ht="12" customHeight="1" x14ac:dyDescent="0.35">
      <c r="A3003" s="75">
        <v>3002</v>
      </c>
      <c r="B3003" s="64">
        <v>2018</v>
      </c>
      <c r="C3003" s="64">
        <v>9</v>
      </c>
      <c r="D3003" s="80">
        <f t="shared" si="97"/>
        <v>2018</v>
      </c>
      <c r="E3003" t="s">
        <v>38</v>
      </c>
      <c r="F3003" t="s">
        <v>143</v>
      </c>
      <c r="G3003" t="s">
        <v>10</v>
      </c>
      <c r="H3003" s="72">
        <v>850</v>
      </c>
      <c r="I3003" s="72" t="s">
        <v>63</v>
      </c>
      <c r="J3003" t="str">
        <f t="shared" si="96"/>
        <v>Snohomish River</v>
      </c>
      <c r="K3003" t="str">
        <f>IFERROR(VLOOKUP(J3003,LUTs!$A$1:$C$73,2,FALSE),"NA")</f>
        <v>Snohomish</v>
      </c>
      <c r="L3003" t="str">
        <f>IFERROR(VLOOKUP(J3003,LUTs!$A$1:$C$73,3,FALSE),"NA")</f>
        <v>2Central Puget Sound</v>
      </c>
      <c r="M3003" s="72" t="s">
        <v>16</v>
      </c>
      <c r="N3003" t="str">
        <f>VLOOKUP(M3003,LUTs!E$2:H$14,3,)</f>
        <v>03Snohomish</v>
      </c>
      <c r="O3003" t="str">
        <f>VLOOKUP(M3003,LUTs!E$2:H$14,4,)</f>
        <v>01North Puget Sound</v>
      </c>
      <c r="P3003" s="73">
        <v>407.63461538461502</v>
      </c>
      <c r="Q3003" s="74">
        <f>VLOOKUP(B3003,Readme!A$40:C$51,2,)*P3003</f>
        <v>3526.0394230769202</v>
      </c>
    </row>
    <row r="3004" spans="1:17" ht="12" customHeight="1" x14ac:dyDescent="0.35">
      <c r="A3004" s="75">
        <v>3003</v>
      </c>
      <c r="B3004" s="64">
        <v>2018</v>
      </c>
      <c r="C3004" s="64">
        <v>9</v>
      </c>
      <c r="D3004" s="80">
        <f t="shared" si="97"/>
        <v>2018</v>
      </c>
      <c r="E3004" t="s">
        <v>38</v>
      </c>
      <c r="F3004" t="s">
        <v>143</v>
      </c>
      <c r="G3004" t="s">
        <v>10</v>
      </c>
      <c r="H3004" s="72">
        <v>852</v>
      </c>
      <c r="I3004" s="72" t="s">
        <v>64</v>
      </c>
      <c r="J3004" t="str">
        <f t="shared" si="96"/>
        <v>Snoqualmie River</v>
      </c>
      <c r="K3004" t="str">
        <f>IFERROR(VLOOKUP(J3004,LUTs!$A$1:$C$73,2,FALSE),"NA")</f>
        <v>Snohomish/King</v>
      </c>
      <c r="L3004" t="str">
        <f>IFERROR(VLOOKUP(J3004,LUTs!$A$1:$C$73,3,FALSE),"NA")</f>
        <v>2Central Puget Sound</v>
      </c>
      <c r="M3004" s="72" t="s">
        <v>18</v>
      </c>
      <c r="N3004" t="str">
        <f>VLOOKUP(M3004,LUTs!E$2:H$14,3,)</f>
        <v>06King</v>
      </c>
      <c r="O3004" t="str">
        <f>VLOOKUP(M3004,LUTs!E$2:H$14,4,)</f>
        <v>02South Puget Sound</v>
      </c>
      <c r="P3004" s="73">
        <v>10</v>
      </c>
      <c r="Q3004" s="74">
        <f>VLOOKUP(B3004,Readme!A$40:C$51,2,)*P3004</f>
        <v>86.5</v>
      </c>
    </row>
    <row r="3005" spans="1:17" ht="12" customHeight="1" x14ac:dyDescent="0.35">
      <c r="A3005" s="75">
        <v>3004</v>
      </c>
      <c r="B3005" s="64">
        <v>2018</v>
      </c>
      <c r="C3005" s="64">
        <v>11</v>
      </c>
      <c r="D3005" s="80">
        <f t="shared" si="97"/>
        <v>2018</v>
      </c>
      <c r="E3005" t="s">
        <v>38</v>
      </c>
      <c r="F3005" t="s">
        <v>143</v>
      </c>
      <c r="G3005" t="s">
        <v>10</v>
      </c>
      <c r="H3005" s="72">
        <v>852</v>
      </c>
      <c r="I3005" s="72" t="s">
        <v>64</v>
      </c>
      <c r="J3005" t="str">
        <f t="shared" si="96"/>
        <v>Snoqualmie River</v>
      </c>
      <c r="K3005" t="str">
        <f>IFERROR(VLOOKUP(J3005,LUTs!$A$1:$C$73,2,FALSE),"NA")</f>
        <v>Snohomish/King</v>
      </c>
      <c r="L3005" t="str">
        <f>IFERROR(VLOOKUP(J3005,LUTs!$A$1:$C$73,3,FALSE),"NA")</f>
        <v>2Central Puget Sound</v>
      </c>
      <c r="M3005" s="72" t="s">
        <v>13</v>
      </c>
      <c r="N3005" t="str">
        <f>VLOOKUP(M3005,LUTs!E$2:H$14,3,)</f>
        <v>01Whatcom</v>
      </c>
      <c r="O3005" t="str">
        <f>VLOOKUP(M3005,LUTs!E$2:H$14,4,)</f>
        <v>01North Puget Sound</v>
      </c>
      <c r="P3005" s="73">
        <v>0</v>
      </c>
      <c r="Q3005" s="74">
        <f>VLOOKUP(B3005,Readme!A$40:C$51,2,)*P3005</f>
        <v>0</v>
      </c>
    </row>
    <row r="3006" spans="1:17" ht="12" customHeight="1" x14ac:dyDescent="0.35">
      <c r="A3006" s="75">
        <v>3005</v>
      </c>
      <c r="B3006" s="64">
        <v>2018</v>
      </c>
      <c r="C3006" s="64">
        <v>9</v>
      </c>
      <c r="D3006" s="80">
        <f t="shared" si="97"/>
        <v>2018</v>
      </c>
      <c r="E3006" t="s">
        <v>38</v>
      </c>
      <c r="F3006" t="s">
        <v>143</v>
      </c>
      <c r="G3006" t="s">
        <v>10</v>
      </c>
      <c r="H3006" s="72">
        <v>860</v>
      </c>
      <c r="I3006" s="72" t="s">
        <v>76</v>
      </c>
      <c r="J3006" t="str">
        <f t="shared" si="96"/>
        <v>Wallace River</v>
      </c>
      <c r="K3006" t="str">
        <f>IFERROR(VLOOKUP(J3006,LUTs!$A$1:$C$73,2,FALSE),"NA")</f>
        <v>Snohomish</v>
      </c>
      <c r="L3006" t="str">
        <f>IFERROR(VLOOKUP(J3006,LUTs!$A$1:$C$73,3,FALSE),"NA")</f>
        <v>2Central Puget Sound</v>
      </c>
      <c r="M3006" s="72" t="s">
        <v>18</v>
      </c>
      <c r="N3006" t="str">
        <f>VLOOKUP(M3006,LUTs!E$2:H$14,3,)</f>
        <v>06King</v>
      </c>
      <c r="O3006" t="str">
        <f>VLOOKUP(M3006,LUTs!E$2:H$14,4,)</f>
        <v>02South Puget Sound</v>
      </c>
      <c r="P3006" s="73">
        <v>21.3333333333333</v>
      </c>
      <c r="Q3006" s="74">
        <f>VLOOKUP(B3006,Readme!A$40:C$51,2,)*P3006</f>
        <v>184.53333333333305</v>
      </c>
    </row>
    <row r="3007" spans="1:17" ht="12" customHeight="1" x14ac:dyDescent="0.35">
      <c r="A3007" s="75">
        <v>3006</v>
      </c>
      <c r="B3007" s="64">
        <v>2018</v>
      </c>
      <c r="C3007" s="64">
        <v>9</v>
      </c>
      <c r="D3007" s="80">
        <f t="shared" si="97"/>
        <v>2018</v>
      </c>
      <c r="E3007" t="s">
        <v>38</v>
      </c>
      <c r="F3007" t="s">
        <v>143</v>
      </c>
      <c r="G3007" t="s">
        <v>10</v>
      </c>
      <c r="H3007" s="72">
        <v>860</v>
      </c>
      <c r="I3007" s="72" t="s">
        <v>76</v>
      </c>
      <c r="J3007" t="str">
        <f t="shared" si="96"/>
        <v>Wallace River</v>
      </c>
      <c r="K3007" t="str">
        <f>IFERROR(VLOOKUP(J3007,LUTs!$A$1:$C$73,2,FALSE),"NA")</f>
        <v>Snohomish</v>
      </c>
      <c r="L3007" t="str">
        <f>IFERROR(VLOOKUP(J3007,LUTs!$A$1:$C$73,3,FALSE),"NA")</f>
        <v>2Central Puget Sound</v>
      </c>
      <c r="M3007" s="72" t="s">
        <v>16</v>
      </c>
      <c r="N3007" t="str">
        <f>VLOOKUP(M3007,LUTs!E$2:H$14,3,)</f>
        <v>03Snohomish</v>
      </c>
      <c r="O3007" t="str">
        <f>VLOOKUP(M3007,LUTs!E$2:H$14,4,)</f>
        <v>01North Puget Sound</v>
      </c>
      <c r="P3007" s="73">
        <v>10.6666666666667</v>
      </c>
      <c r="Q3007" s="74">
        <f>VLOOKUP(B3007,Readme!A$40:C$51,2,)*P3007</f>
        <v>92.266666666666964</v>
      </c>
    </row>
    <row r="3008" spans="1:17" ht="12" customHeight="1" x14ac:dyDescent="0.35">
      <c r="A3008" s="75">
        <v>3007</v>
      </c>
      <c r="B3008" s="64">
        <v>2018</v>
      </c>
      <c r="C3008" s="64">
        <v>10</v>
      </c>
      <c r="D3008" s="80">
        <f t="shared" si="97"/>
        <v>2018</v>
      </c>
      <c r="E3008" t="s">
        <v>38</v>
      </c>
      <c r="F3008" t="s">
        <v>143</v>
      </c>
      <c r="G3008" t="s">
        <v>10</v>
      </c>
      <c r="H3008" s="72">
        <v>860</v>
      </c>
      <c r="I3008" s="72" t="s">
        <v>76</v>
      </c>
      <c r="J3008" t="str">
        <f t="shared" si="96"/>
        <v>Wallace River</v>
      </c>
      <c r="K3008" t="str">
        <f>IFERROR(VLOOKUP(J3008,LUTs!$A$1:$C$73,2,FALSE),"NA")</f>
        <v>Snohomish</v>
      </c>
      <c r="L3008" t="str">
        <f>IFERROR(VLOOKUP(J3008,LUTs!$A$1:$C$73,3,FALSE),"NA")</f>
        <v>2Central Puget Sound</v>
      </c>
      <c r="M3008" s="72" t="s">
        <v>16</v>
      </c>
      <c r="N3008" t="str">
        <f>VLOOKUP(M3008,LUTs!E$2:H$14,3,)</f>
        <v>03Snohomish</v>
      </c>
      <c r="O3008" t="str">
        <f>VLOOKUP(M3008,LUTs!E$2:H$14,4,)</f>
        <v>01North Puget Sound</v>
      </c>
      <c r="P3008" s="73">
        <v>107</v>
      </c>
      <c r="Q3008" s="74">
        <f>VLOOKUP(B3008,Readme!A$40:C$51,2,)*P3008</f>
        <v>925.55000000000007</v>
      </c>
    </row>
    <row r="3009" spans="1:17" ht="12" customHeight="1" x14ac:dyDescent="0.35">
      <c r="A3009" s="75">
        <v>3008</v>
      </c>
      <c r="B3009" s="64">
        <v>2018</v>
      </c>
      <c r="C3009" s="64">
        <v>10</v>
      </c>
      <c r="D3009" s="80">
        <f t="shared" si="97"/>
        <v>2018</v>
      </c>
      <c r="E3009" t="s">
        <v>38</v>
      </c>
      <c r="F3009" t="s">
        <v>143</v>
      </c>
      <c r="G3009" t="s">
        <v>10</v>
      </c>
      <c r="H3009" s="72">
        <v>884</v>
      </c>
      <c r="I3009" s="72" t="s">
        <v>66</v>
      </c>
      <c r="J3009" t="str">
        <f t="shared" si="96"/>
        <v>Whatcom Creek</v>
      </c>
      <c r="K3009" t="str">
        <f>IFERROR(VLOOKUP(J3009,LUTs!$A$1:$C$73,2,FALSE),"NA")</f>
        <v>Whatcom</v>
      </c>
      <c r="L3009" t="str">
        <f>IFERROR(VLOOKUP(J3009,LUTs!$A$1:$C$73,3,FALSE),"NA")</f>
        <v>1North Puget Sound</v>
      </c>
      <c r="M3009" s="72" t="s">
        <v>13</v>
      </c>
      <c r="N3009" t="str">
        <f>VLOOKUP(M3009,LUTs!E$2:H$14,3,)</f>
        <v>01Whatcom</v>
      </c>
      <c r="O3009" t="str">
        <f>VLOOKUP(M3009,LUTs!E$2:H$14,4,)</f>
        <v>01North Puget Sound</v>
      </c>
      <c r="P3009" s="73">
        <v>58</v>
      </c>
      <c r="Q3009" s="74">
        <f>VLOOKUP(B3009,Readme!A$40:C$51,2,)*P3009</f>
        <v>501.70000000000005</v>
      </c>
    </row>
    <row r="3010" spans="1:17" ht="12" customHeight="1" x14ac:dyDescent="0.35">
      <c r="A3010" s="75">
        <v>3009</v>
      </c>
      <c r="B3010" s="64">
        <v>2018</v>
      </c>
      <c r="C3010" s="64">
        <v>11</v>
      </c>
      <c r="D3010" s="80">
        <f t="shared" si="97"/>
        <v>2018</v>
      </c>
      <c r="E3010" t="s">
        <v>38</v>
      </c>
      <c r="F3010" t="s">
        <v>143</v>
      </c>
      <c r="G3010" t="s">
        <v>10</v>
      </c>
      <c r="H3010" s="72">
        <v>884</v>
      </c>
      <c r="I3010" s="72" t="s">
        <v>66</v>
      </c>
      <c r="J3010" t="str">
        <f t="shared" si="96"/>
        <v>Whatcom Creek</v>
      </c>
      <c r="K3010" t="str">
        <f>IFERROR(VLOOKUP(J3010,LUTs!$A$1:$C$73,2,FALSE),"NA")</f>
        <v>Whatcom</v>
      </c>
      <c r="L3010" t="str">
        <f>IFERROR(VLOOKUP(J3010,LUTs!$A$1:$C$73,3,FALSE),"NA")</f>
        <v>1North Puget Sound</v>
      </c>
      <c r="M3010" s="72" t="s">
        <v>16</v>
      </c>
      <c r="N3010" t="str">
        <f>VLOOKUP(M3010,LUTs!E$2:H$14,3,)</f>
        <v>03Snohomish</v>
      </c>
      <c r="O3010" t="str">
        <f>VLOOKUP(M3010,LUTs!E$2:H$14,4,)</f>
        <v>01North Puget Sound</v>
      </c>
      <c r="P3010" s="73">
        <v>38.75</v>
      </c>
      <c r="Q3010" s="74">
        <f>VLOOKUP(B3010,Readme!A$40:C$51,2,)*P3010</f>
        <v>335.1875</v>
      </c>
    </row>
    <row r="3011" spans="1:17" ht="12" customHeight="1" x14ac:dyDescent="0.35">
      <c r="A3011" s="75">
        <v>3010</v>
      </c>
      <c r="B3011" s="64">
        <v>2018</v>
      </c>
      <c r="C3011" s="64">
        <v>11</v>
      </c>
      <c r="D3011" s="80">
        <f t="shared" si="97"/>
        <v>2018</v>
      </c>
      <c r="E3011" t="s">
        <v>38</v>
      </c>
      <c r="F3011" t="s">
        <v>143</v>
      </c>
      <c r="G3011" t="s">
        <v>10</v>
      </c>
      <c r="H3011" s="72">
        <v>884</v>
      </c>
      <c r="I3011" s="72" t="s">
        <v>66</v>
      </c>
      <c r="J3011" t="str">
        <f t="shared" ref="J3011:J3074" si="98">I3011</f>
        <v>Whatcom Creek</v>
      </c>
      <c r="K3011" t="str">
        <f>IFERROR(VLOOKUP(J3011,LUTs!$A$1:$C$73,2,FALSE),"NA")</f>
        <v>Whatcom</v>
      </c>
      <c r="L3011" t="str">
        <f>IFERROR(VLOOKUP(J3011,LUTs!$A$1:$C$73,3,FALSE),"NA")</f>
        <v>1North Puget Sound</v>
      </c>
      <c r="M3011" s="72" t="s">
        <v>13</v>
      </c>
      <c r="N3011" t="str">
        <f>VLOOKUP(M3011,LUTs!E$2:H$14,3,)</f>
        <v>01Whatcom</v>
      </c>
      <c r="O3011" t="str">
        <f>VLOOKUP(M3011,LUTs!E$2:H$14,4,)</f>
        <v>01North Puget Sound</v>
      </c>
      <c r="P3011" s="73">
        <v>116.25</v>
      </c>
      <c r="Q3011" s="74">
        <f>VLOOKUP(B3011,Readme!A$40:C$51,2,)*P3011</f>
        <v>1005.5625</v>
      </c>
    </row>
    <row r="3012" spans="1:17" ht="12" customHeight="1" x14ac:dyDescent="0.35">
      <c r="A3012" s="75">
        <v>3011</v>
      </c>
      <c r="B3012" s="64">
        <v>2019</v>
      </c>
      <c r="C3012" s="64">
        <v>10</v>
      </c>
      <c r="D3012" s="80">
        <f t="shared" si="97"/>
        <v>2019</v>
      </c>
      <c r="E3012" t="s">
        <v>38</v>
      </c>
      <c r="F3012" t="s">
        <v>143</v>
      </c>
      <c r="G3012" t="s">
        <v>10</v>
      </c>
      <c r="H3012" s="72">
        <v>706</v>
      </c>
      <c r="I3012" s="72" t="s">
        <v>75</v>
      </c>
      <c r="J3012" t="str">
        <f t="shared" si="98"/>
        <v>Black River (Thurston Co)</v>
      </c>
      <c r="K3012" t="str">
        <f>IFERROR(VLOOKUP(J3012,LUTs!$A$1:$C$73,2,FALSE),"NA")</f>
        <v>Thurston</v>
      </c>
      <c r="L3012" t="str">
        <f>IFERROR(VLOOKUP(J3012,LUTs!$A$1:$C$73,3,FALSE),"NA")</f>
        <v>3South Puget Sound</v>
      </c>
      <c r="M3012" s="72" t="s">
        <v>18</v>
      </c>
      <c r="N3012" t="str">
        <f>VLOOKUP(M3012,LUTs!E$2:H$14,3,)</f>
        <v>06King</v>
      </c>
      <c r="O3012" t="str">
        <f>VLOOKUP(M3012,LUTs!E$2:H$14,4,)</f>
        <v>02South Puget Sound</v>
      </c>
      <c r="P3012" s="73">
        <v>22</v>
      </c>
      <c r="Q3012" s="74">
        <f>VLOOKUP(B3012,Readme!A$40:C$51,2,)*P3012</f>
        <v>75.679999999999993</v>
      </c>
    </row>
    <row r="3013" spans="1:17" ht="12" customHeight="1" x14ac:dyDescent="0.35">
      <c r="A3013" s="75">
        <v>3012</v>
      </c>
      <c r="B3013" s="64">
        <v>2019</v>
      </c>
      <c r="C3013" s="64">
        <v>9</v>
      </c>
      <c r="D3013" s="80">
        <f t="shared" si="97"/>
        <v>2019</v>
      </c>
      <c r="E3013" t="s">
        <v>38</v>
      </c>
      <c r="F3013" t="s">
        <v>143</v>
      </c>
      <c r="G3013" t="s">
        <v>10</v>
      </c>
      <c r="H3013" s="72">
        <v>710</v>
      </c>
      <c r="I3013" s="72" t="s">
        <v>78</v>
      </c>
      <c r="J3013" t="str">
        <f t="shared" si="98"/>
        <v>California Creek</v>
      </c>
      <c r="K3013" t="str">
        <f>IFERROR(VLOOKUP(J3013,LUTs!$A$1:$C$73,2,FALSE),"NA")</f>
        <v>Whatcom</v>
      </c>
      <c r="L3013" t="str">
        <f>IFERROR(VLOOKUP(J3013,LUTs!$A$1:$C$73,3,FALSE),"NA")</f>
        <v>1North Puget Sound</v>
      </c>
      <c r="M3013" s="72" t="s">
        <v>13</v>
      </c>
      <c r="N3013" t="str">
        <f>VLOOKUP(M3013,LUTs!E$2:H$14,3,)</f>
        <v>01Whatcom</v>
      </c>
      <c r="O3013" t="str">
        <f>VLOOKUP(M3013,LUTs!E$2:H$14,4,)</f>
        <v>01North Puget Sound</v>
      </c>
      <c r="P3013" s="73">
        <v>11</v>
      </c>
      <c r="Q3013" s="74">
        <f>VLOOKUP(B3013,Readme!A$40:C$51,2,)*P3013</f>
        <v>37.839999999999996</v>
      </c>
    </row>
    <row r="3014" spans="1:17" ht="12" customHeight="1" x14ac:dyDescent="0.35">
      <c r="A3014" s="75">
        <v>3013</v>
      </c>
      <c r="B3014" s="64">
        <v>2019</v>
      </c>
      <c r="C3014" s="64">
        <v>8</v>
      </c>
      <c r="D3014" s="80">
        <f t="shared" si="97"/>
        <v>2019</v>
      </c>
      <c r="E3014" t="s">
        <v>38</v>
      </c>
      <c r="F3014" t="s">
        <v>143</v>
      </c>
      <c r="G3014" t="s">
        <v>10</v>
      </c>
      <c r="H3014" s="72">
        <v>714</v>
      </c>
      <c r="I3014" s="72" t="s">
        <v>39</v>
      </c>
      <c r="J3014" t="str">
        <f t="shared" si="98"/>
        <v>Chambers Creek</v>
      </c>
      <c r="K3014" t="str">
        <f>IFERROR(VLOOKUP(J3014,LUTs!$A$1:$C$73,2,FALSE),"NA")</f>
        <v>Pierce</v>
      </c>
      <c r="L3014" t="str">
        <f>IFERROR(VLOOKUP(J3014,LUTs!$A$1:$C$73,3,FALSE),"NA")</f>
        <v>3South Puget Sound</v>
      </c>
      <c r="M3014" s="72" t="s">
        <v>20</v>
      </c>
      <c r="N3014" t="str">
        <f>VLOOKUP(M3014,LUTs!E$2:H$14,3,)</f>
        <v>07Pierce</v>
      </c>
      <c r="O3014" t="str">
        <f>VLOOKUP(M3014,LUTs!E$2:H$14,4,)</f>
        <v>02South Puget Sound</v>
      </c>
      <c r="P3014" s="73">
        <v>11</v>
      </c>
      <c r="Q3014" s="74">
        <f>VLOOKUP(B3014,Readme!A$40:C$51,2,)*P3014</f>
        <v>37.839999999999996</v>
      </c>
    </row>
    <row r="3015" spans="1:17" ht="12" customHeight="1" x14ac:dyDescent="0.35">
      <c r="A3015" s="75">
        <v>3014</v>
      </c>
      <c r="B3015" s="64">
        <v>2019</v>
      </c>
      <c r="C3015" s="64">
        <v>10</v>
      </c>
      <c r="D3015" s="80">
        <f t="shared" si="97"/>
        <v>2019</v>
      </c>
      <c r="E3015" t="s">
        <v>38</v>
      </c>
      <c r="F3015" t="s">
        <v>143</v>
      </c>
      <c r="G3015" t="s">
        <v>10</v>
      </c>
      <c r="H3015" s="72">
        <v>724</v>
      </c>
      <c r="I3015" s="72" t="s">
        <v>40</v>
      </c>
      <c r="J3015" t="str">
        <f t="shared" si="98"/>
        <v>Dakota Creek (Whatcom Co)</v>
      </c>
      <c r="K3015" t="str">
        <f>IFERROR(VLOOKUP(J3015,LUTs!$A$1:$C$73,2,FALSE),"NA")</f>
        <v>Whatcom</v>
      </c>
      <c r="L3015" t="str">
        <f>IFERROR(VLOOKUP(J3015,LUTs!$A$1:$C$73,3,FALSE),"NA")</f>
        <v>1North Puget Sound</v>
      </c>
      <c r="M3015" s="72" t="s">
        <v>16</v>
      </c>
      <c r="N3015" t="str">
        <f>VLOOKUP(M3015,LUTs!E$2:H$14,3,)</f>
        <v>03Snohomish</v>
      </c>
      <c r="O3015" t="str">
        <f>VLOOKUP(M3015,LUTs!E$2:H$14,4,)</f>
        <v>01North Puget Sound</v>
      </c>
      <c r="P3015" s="73">
        <v>51.6666666666667</v>
      </c>
      <c r="Q3015" s="74">
        <f>VLOOKUP(B3015,Readme!A$40:C$51,2,)*P3015</f>
        <v>177.73333333333343</v>
      </c>
    </row>
    <row r="3016" spans="1:17" ht="12" customHeight="1" x14ac:dyDescent="0.35">
      <c r="A3016" s="75">
        <v>3015</v>
      </c>
      <c r="B3016" s="64">
        <v>2019</v>
      </c>
      <c r="C3016" s="64">
        <v>10</v>
      </c>
      <c r="D3016" s="80">
        <f t="shared" si="97"/>
        <v>2019</v>
      </c>
      <c r="E3016" t="s">
        <v>38</v>
      </c>
      <c r="F3016" t="s">
        <v>143</v>
      </c>
      <c r="G3016" t="s">
        <v>10</v>
      </c>
      <c r="H3016" s="72">
        <v>724</v>
      </c>
      <c r="I3016" s="72" t="s">
        <v>40</v>
      </c>
      <c r="J3016" t="str">
        <f t="shared" si="98"/>
        <v>Dakota Creek (Whatcom Co)</v>
      </c>
      <c r="K3016" t="str">
        <f>IFERROR(VLOOKUP(J3016,LUTs!$A$1:$C$73,2,FALSE),"NA")</f>
        <v>Whatcom</v>
      </c>
      <c r="L3016" t="str">
        <f>IFERROR(VLOOKUP(J3016,LUTs!$A$1:$C$73,3,FALSE),"NA")</f>
        <v>1North Puget Sound</v>
      </c>
      <c r="M3016" s="72" t="s">
        <v>13</v>
      </c>
      <c r="N3016" t="str">
        <f>VLOOKUP(M3016,LUTs!E$2:H$14,3,)</f>
        <v>01Whatcom</v>
      </c>
      <c r="O3016" t="str">
        <f>VLOOKUP(M3016,LUTs!E$2:H$14,4,)</f>
        <v>01North Puget Sound</v>
      </c>
      <c r="P3016" s="73">
        <v>72.3333333333334</v>
      </c>
      <c r="Q3016" s="74">
        <f>VLOOKUP(B3016,Readme!A$40:C$51,2,)*P3016</f>
        <v>248.82666666666688</v>
      </c>
    </row>
    <row r="3017" spans="1:17" ht="12" customHeight="1" x14ac:dyDescent="0.35">
      <c r="A3017" s="75">
        <v>3016</v>
      </c>
      <c r="B3017" s="64">
        <v>2019</v>
      </c>
      <c r="C3017" s="64">
        <v>10</v>
      </c>
      <c r="D3017" s="80">
        <f t="shared" si="97"/>
        <v>2019</v>
      </c>
      <c r="E3017" t="s">
        <v>38</v>
      </c>
      <c r="F3017" t="s">
        <v>143</v>
      </c>
      <c r="G3017" t="s">
        <v>10</v>
      </c>
      <c r="H3017" s="72">
        <v>736</v>
      </c>
      <c r="I3017" s="72" t="s">
        <v>42</v>
      </c>
      <c r="J3017" t="str">
        <f t="shared" si="98"/>
        <v>Duckabush River</v>
      </c>
      <c r="K3017" t="str">
        <f>IFERROR(VLOOKUP(J3017,LUTs!$A$1:$C$73,2,FALSE),"NA")</f>
        <v>Jefferson</v>
      </c>
      <c r="L3017" t="str">
        <f>IFERROR(VLOOKUP(J3017,LUTs!$A$1:$C$73,3,FALSE),"NA")</f>
        <v>4 Hood Canal</v>
      </c>
      <c r="M3017" s="72" t="s">
        <v>18</v>
      </c>
      <c r="N3017" t="str">
        <f>VLOOKUP(M3017,LUTs!E$2:H$14,3,)</f>
        <v>06King</v>
      </c>
      <c r="O3017" t="str">
        <f>VLOOKUP(M3017,LUTs!E$2:H$14,4,)</f>
        <v>02South Puget Sound</v>
      </c>
      <c r="P3017" s="73">
        <v>11</v>
      </c>
      <c r="Q3017" s="74">
        <f>VLOOKUP(B3017,Readme!A$40:C$51,2,)*P3017</f>
        <v>37.839999999999996</v>
      </c>
    </row>
    <row r="3018" spans="1:17" ht="12" customHeight="1" x14ac:dyDescent="0.35">
      <c r="A3018" s="75">
        <v>3017</v>
      </c>
      <c r="B3018" s="64">
        <v>2019</v>
      </c>
      <c r="C3018" s="64">
        <v>10</v>
      </c>
      <c r="D3018" s="80">
        <f t="shared" si="97"/>
        <v>2019</v>
      </c>
      <c r="E3018" t="s">
        <v>38</v>
      </c>
      <c r="F3018" t="s">
        <v>143</v>
      </c>
      <c r="G3018" t="s">
        <v>10</v>
      </c>
      <c r="H3018" s="72">
        <v>738</v>
      </c>
      <c r="I3018" s="72" t="s">
        <v>43</v>
      </c>
      <c r="J3018" t="str">
        <f t="shared" si="98"/>
        <v>Dungeness River</v>
      </c>
      <c r="K3018" t="str">
        <f>IFERROR(VLOOKUP(J3018,LUTs!$A$1:$C$73,2,FALSE),"NA")</f>
        <v>Clallam</v>
      </c>
      <c r="L3018" t="str">
        <f>IFERROR(VLOOKUP(J3018,LUTs!$A$1:$C$73,3,FALSE),"NA")</f>
        <v>0Strait of Juan de Fuca</v>
      </c>
      <c r="M3018" s="72" t="s">
        <v>24</v>
      </c>
      <c r="N3018" t="str">
        <f>VLOOKUP(M3018,LUTs!E$2:H$14,3,)</f>
        <v>11Clallam</v>
      </c>
      <c r="O3018" t="str">
        <f>VLOOKUP(M3018,LUTs!E$2:H$14,4,)</f>
        <v>03Strait of Juan de Fuca</v>
      </c>
      <c r="P3018" s="73">
        <v>403.71428571428601</v>
      </c>
      <c r="Q3018" s="74">
        <f>VLOOKUP(B3018,Readme!A$40:C$51,2,)*P3018</f>
        <v>1388.7771428571439</v>
      </c>
    </row>
    <row r="3019" spans="1:17" ht="12" customHeight="1" x14ac:dyDescent="0.35">
      <c r="A3019" s="75">
        <v>3018</v>
      </c>
      <c r="B3019" s="64">
        <v>2019</v>
      </c>
      <c r="C3019" s="64">
        <v>10</v>
      </c>
      <c r="D3019" s="80">
        <f t="shared" si="97"/>
        <v>2019</v>
      </c>
      <c r="E3019" t="s">
        <v>38</v>
      </c>
      <c r="F3019" t="s">
        <v>143</v>
      </c>
      <c r="G3019" t="s">
        <v>10</v>
      </c>
      <c r="H3019" s="72">
        <v>738</v>
      </c>
      <c r="I3019" s="72" t="s">
        <v>43</v>
      </c>
      <c r="J3019" t="str">
        <f t="shared" si="98"/>
        <v>Dungeness River</v>
      </c>
      <c r="K3019" t="str">
        <f>IFERROR(VLOOKUP(J3019,LUTs!$A$1:$C$73,2,FALSE),"NA")</f>
        <v>Clallam</v>
      </c>
      <c r="L3019" t="str">
        <f>IFERROR(VLOOKUP(J3019,LUTs!$A$1:$C$73,3,FALSE),"NA")</f>
        <v>0Strait of Juan de Fuca</v>
      </c>
      <c r="M3019" s="72" t="s">
        <v>25</v>
      </c>
      <c r="N3019" t="str">
        <f>VLOOKUP(M3019,LUTs!E$2:H$14,3,)</f>
        <v>12Jefferson</v>
      </c>
      <c r="O3019" t="str">
        <f>VLOOKUP(M3019,LUTs!E$2:H$14,4,)</f>
        <v>03Strait of Juan de Fuca</v>
      </c>
      <c r="P3019" s="73">
        <v>22.428571428571399</v>
      </c>
      <c r="Q3019" s="74">
        <f>VLOOKUP(B3019,Readme!A$40:C$51,2,)*P3019</f>
        <v>77.154285714285606</v>
      </c>
    </row>
    <row r="3020" spans="1:17" ht="12" customHeight="1" x14ac:dyDescent="0.35">
      <c r="A3020" s="75">
        <v>3019</v>
      </c>
      <c r="B3020" s="64">
        <v>2019</v>
      </c>
      <c r="C3020" s="64">
        <v>10</v>
      </c>
      <c r="D3020" s="80">
        <f t="shared" si="97"/>
        <v>2019</v>
      </c>
      <c r="E3020" t="s">
        <v>38</v>
      </c>
      <c r="F3020" t="s">
        <v>143</v>
      </c>
      <c r="G3020" t="s">
        <v>10</v>
      </c>
      <c r="H3020" s="72">
        <v>738</v>
      </c>
      <c r="I3020" s="72" t="s">
        <v>43</v>
      </c>
      <c r="J3020" t="str">
        <f t="shared" si="98"/>
        <v>Dungeness River</v>
      </c>
      <c r="K3020" t="str">
        <f>IFERROR(VLOOKUP(J3020,LUTs!$A$1:$C$73,2,FALSE),"NA")</f>
        <v>Clallam</v>
      </c>
      <c r="L3020" t="str">
        <f>IFERROR(VLOOKUP(J3020,LUTs!$A$1:$C$73,3,FALSE),"NA")</f>
        <v>0Strait of Juan de Fuca</v>
      </c>
      <c r="M3020" s="72" t="s">
        <v>22</v>
      </c>
      <c r="N3020" t="str">
        <f>VLOOKUP(M3020,LUTs!E$2:H$14,3,)</f>
        <v>09Mason</v>
      </c>
      <c r="O3020" t="str">
        <f>VLOOKUP(M3020,LUTs!E$2:H$14,4,)</f>
        <v>02South Puget Sound</v>
      </c>
      <c r="P3020" s="73">
        <v>11.214285714285699</v>
      </c>
      <c r="Q3020" s="74">
        <f>VLOOKUP(B3020,Readme!A$40:C$51,2,)*P3020</f>
        <v>38.577142857142803</v>
      </c>
    </row>
    <row r="3021" spans="1:17" ht="12" customHeight="1" x14ac:dyDescent="0.35">
      <c r="A3021" s="75">
        <v>3020</v>
      </c>
      <c r="B3021" s="64">
        <v>2019</v>
      </c>
      <c r="C3021" s="64">
        <v>10</v>
      </c>
      <c r="D3021" s="80">
        <f t="shared" si="97"/>
        <v>2019</v>
      </c>
      <c r="E3021" t="s">
        <v>38</v>
      </c>
      <c r="F3021" t="s">
        <v>143</v>
      </c>
      <c r="G3021" t="s">
        <v>10</v>
      </c>
      <c r="H3021" s="72">
        <v>738</v>
      </c>
      <c r="I3021" s="72" t="s">
        <v>43</v>
      </c>
      <c r="J3021" t="str">
        <f t="shared" si="98"/>
        <v>Dungeness River</v>
      </c>
      <c r="K3021" t="str">
        <f>IFERROR(VLOOKUP(J3021,LUTs!$A$1:$C$73,2,FALSE),"NA")</f>
        <v>Clallam</v>
      </c>
      <c r="L3021" t="str">
        <f>IFERROR(VLOOKUP(J3021,LUTs!$A$1:$C$73,3,FALSE),"NA")</f>
        <v>0Strait of Juan de Fuca</v>
      </c>
      <c r="M3021" s="72" t="s">
        <v>20</v>
      </c>
      <c r="N3021" t="str">
        <f>VLOOKUP(M3021,LUTs!E$2:H$14,3,)</f>
        <v>07Pierce</v>
      </c>
      <c r="O3021" t="str">
        <f>VLOOKUP(M3021,LUTs!E$2:H$14,4,)</f>
        <v>02South Puget Sound</v>
      </c>
      <c r="P3021" s="73">
        <v>33.642857142857103</v>
      </c>
      <c r="Q3021" s="74">
        <f>VLOOKUP(B3021,Readme!A$40:C$51,2,)*P3021</f>
        <v>115.73142857142844</v>
      </c>
    </row>
    <row r="3022" spans="1:17" ht="12" customHeight="1" x14ac:dyDescent="0.35">
      <c r="A3022" s="75">
        <v>3021</v>
      </c>
      <c r="B3022" s="64">
        <v>2019</v>
      </c>
      <c r="C3022" s="64">
        <v>11</v>
      </c>
      <c r="D3022" s="80">
        <f t="shared" si="97"/>
        <v>2019</v>
      </c>
      <c r="E3022" t="s">
        <v>38</v>
      </c>
      <c r="F3022" t="s">
        <v>143</v>
      </c>
      <c r="G3022" t="s">
        <v>10</v>
      </c>
      <c r="H3022" s="72">
        <v>738</v>
      </c>
      <c r="I3022" s="72" t="s">
        <v>43</v>
      </c>
      <c r="J3022" t="str">
        <f t="shared" si="98"/>
        <v>Dungeness River</v>
      </c>
      <c r="K3022" t="str">
        <f>IFERROR(VLOOKUP(J3022,LUTs!$A$1:$C$73,2,FALSE),"NA")</f>
        <v>Clallam</v>
      </c>
      <c r="L3022" t="str">
        <f>IFERROR(VLOOKUP(J3022,LUTs!$A$1:$C$73,3,FALSE),"NA")</f>
        <v>0Strait of Juan de Fuca</v>
      </c>
      <c r="M3022" s="72" t="s">
        <v>24</v>
      </c>
      <c r="N3022" t="str">
        <f>VLOOKUP(M3022,LUTs!E$2:H$14,3,)</f>
        <v>11Clallam</v>
      </c>
      <c r="O3022" t="str">
        <f>VLOOKUP(M3022,LUTs!E$2:H$14,4,)</f>
        <v>03Strait of Juan de Fuca</v>
      </c>
      <c r="P3022" s="73">
        <v>134.4</v>
      </c>
      <c r="Q3022" s="74">
        <f>VLOOKUP(B3022,Readme!A$40:C$51,2,)*P3022</f>
        <v>462.33600000000001</v>
      </c>
    </row>
    <row r="3023" spans="1:17" ht="12" customHeight="1" x14ac:dyDescent="0.35">
      <c r="A3023" s="75">
        <v>3022</v>
      </c>
      <c r="B3023" s="64">
        <v>2019</v>
      </c>
      <c r="C3023" s="64">
        <v>11</v>
      </c>
      <c r="D3023" s="80">
        <f t="shared" si="97"/>
        <v>2019</v>
      </c>
      <c r="E3023" t="s">
        <v>38</v>
      </c>
      <c r="F3023" t="s">
        <v>143</v>
      </c>
      <c r="G3023" t="s">
        <v>10</v>
      </c>
      <c r="H3023" s="72">
        <v>738</v>
      </c>
      <c r="I3023" s="72" t="s">
        <v>43</v>
      </c>
      <c r="J3023" t="str">
        <f t="shared" si="98"/>
        <v>Dungeness River</v>
      </c>
      <c r="K3023" t="str">
        <f>IFERROR(VLOOKUP(J3023,LUTs!$A$1:$C$73,2,FALSE),"NA")</f>
        <v>Clallam</v>
      </c>
      <c r="L3023" t="str">
        <f>IFERROR(VLOOKUP(J3023,LUTs!$A$1:$C$73,3,FALSE),"NA")</f>
        <v>0Strait of Juan de Fuca</v>
      </c>
      <c r="M3023" s="72" t="s">
        <v>25</v>
      </c>
      <c r="N3023" t="str">
        <f>VLOOKUP(M3023,LUTs!E$2:H$14,3,)</f>
        <v>12Jefferson</v>
      </c>
      <c r="O3023" t="str">
        <f>VLOOKUP(M3023,LUTs!E$2:H$14,4,)</f>
        <v>03Strait of Juan de Fuca</v>
      </c>
      <c r="P3023" s="73">
        <v>22.4</v>
      </c>
      <c r="Q3023" s="74">
        <f>VLOOKUP(B3023,Readme!A$40:C$51,2,)*P3023</f>
        <v>77.055999999999997</v>
      </c>
    </row>
    <row r="3024" spans="1:17" ht="12" customHeight="1" x14ac:dyDescent="0.35">
      <c r="A3024" s="75">
        <v>3023</v>
      </c>
      <c r="B3024" s="64">
        <v>2019</v>
      </c>
      <c r="C3024" s="64">
        <v>11</v>
      </c>
      <c r="D3024" s="80">
        <f t="shared" si="97"/>
        <v>2019</v>
      </c>
      <c r="E3024" t="s">
        <v>38</v>
      </c>
      <c r="F3024" t="s">
        <v>143</v>
      </c>
      <c r="G3024" t="s">
        <v>10</v>
      </c>
      <c r="H3024" s="72">
        <v>738</v>
      </c>
      <c r="I3024" s="72" t="s">
        <v>43</v>
      </c>
      <c r="J3024" t="str">
        <f t="shared" si="98"/>
        <v>Dungeness River</v>
      </c>
      <c r="K3024" t="str">
        <f>IFERROR(VLOOKUP(J3024,LUTs!$A$1:$C$73,2,FALSE),"NA")</f>
        <v>Clallam</v>
      </c>
      <c r="L3024" t="str">
        <f>IFERROR(VLOOKUP(J3024,LUTs!$A$1:$C$73,3,FALSE),"NA")</f>
        <v>0Strait of Juan de Fuca</v>
      </c>
      <c r="M3024" s="72" t="s">
        <v>20</v>
      </c>
      <c r="N3024" t="str">
        <f>VLOOKUP(M3024,LUTs!E$2:H$14,3,)</f>
        <v>07Pierce</v>
      </c>
      <c r="O3024" t="str">
        <f>VLOOKUP(M3024,LUTs!E$2:H$14,4,)</f>
        <v>02South Puget Sound</v>
      </c>
      <c r="P3024" s="73">
        <v>11.2</v>
      </c>
      <c r="Q3024" s="74">
        <f>VLOOKUP(B3024,Readme!A$40:C$51,2,)*P3024</f>
        <v>38.527999999999999</v>
      </c>
    </row>
    <row r="3025" spans="1:17" ht="12" customHeight="1" x14ac:dyDescent="0.35">
      <c r="A3025" s="75">
        <v>3024</v>
      </c>
      <c r="B3025" s="64">
        <v>2019</v>
      </c>
      <c r="C3025" s="64">
        <v>7</v>
      </c>
      <c r="D3025" s="80">
        <f t="shared" si="97"/>
        <v>2019</v>
      </c>
      <c r="E3025" t="s">
        <v>38</v>
      </c>
      <c r="F3025" t="s">
        <v>143</v>
      </c>
      <c r="G3025" t="s">
        <v>10</v>
      </c>
      <c r="H3025" s="72">
        <v>746</v>
      </c>
      <c r="I3025" s="72" t="s">
        <v>45</v>
      </c>
      <c r="J3025" t="str">
        <f t="shared" si="98"/>
        <v>Green - Duwamish River</v>
      </c>
      <c r="K3025" t="str">
        <f>IFERROR(VLOOKUP(J3025,LUTs!$A$1:$C$73,2,FALSE),"NA")</f>
        <v>King</v>
      </c>
      <c r="L3025" t="str">
        <f>IFERROR(VLOOKUP(J3025,LUTs!$A$1:$C$73,3,FALSE),"NA")</f>
        <v>3South Puget Sound</v>
      </c>
      <c r="M3025" s="72" t="s">
        <v>18</v>
      </c>
      <c r="N3025" t="str">
        <f>VLOOKUP(M3025,LUTs!E$2:H$14,3,)</f>
        <v>06King</v>
      </c>
      <c r="O3025" t="str">
        <f>VLOOKUP(M3025,LUTs!E$2:H$14,4,)</f>
        <v>02South Puget Sound</v>
      </c>
      <c r="P3025" s="73">
        <v>22</v>
      </c>
      <c r="Q3025" s="74">
        <f>VLOOKUP(B3025,Readme!A$40:C$51,2,)*P3025</f>
        <v>75.679999999999993</v>
      </c>
    </row>
    <row r="3026" spans="1:17" ht="12" customHeight="1" x14ac:dyDescent="0.35">
      <c r="A3026" s="75">
        <v>3025</v>
      </c>
      <c r="B3026" s="64">
        <v>2019</v>
      </c>
      <c r="C3026" s="64">
        <v>8</v>
      </c>
      <c r="D3026" s="80">
        <f t="shared" si="97"/>
        <v>2019</v>
      </c>
      <c r="E3026" t="s">
        <v>38</v>
      </c>
      <c r="F3026" t="s">
        <v>143</v>
      </c>
      <c r="G3026" t="s">
        <v>10</v>
      </c>
      <c r="H3026" s="72">
        <v>746</v>
      </c>
      <c r="I3026" s="72" t="s">
        <v>45</v>
      </c>
      <c r="J3026" t="str">
        <f t="shared" si="98"/>
        <v>Green - Duwamish River</v>
      </c>
      <c r="K3026" t="str">
        <f>IFERROR(VLOOKUP(J3026,LUTs!$A$1:$C$73,2,FALSE),"NA")</f>
        <v>King</v>
      </c>
      <c r="L3026" t="str">
        <f>IFERROR(VLOOKUP(J3026,LUTs!$A$1:$C$73,3,FALSE),"NA")</f>
        <v>3South Puget Sound</v>
      </c>
      <c r="M3026" s="72" t="s">
        <v>18</v>
      </c>
      <c r="N3026" t="str">
        <f>VLOOKUP(M3026,LUTs!E$2:H$14,3,)</f>
        <v>06King</v>
      </c>
      <c r="O3026" t="str">
        <f>VLOOKUP(M3026,LUTs!E$2:H$14,4,)</f>
        <v>02South Puget Sound</v>
      </c>
      <c r="P3026" s="73">
        <v>4684.3679060665399</v>
      </c>
      <c r="Q3026" s="74">
        <f>VLOOKUP(B3026,Readme!A$40:C$51,2,)*P3026</f>
        <v>16114.225596868897</v>
      </c>
    </row>
    <row r="3027" spans="1:17" ht="12" customHeight="1" x14ac:dyDescent="0.35">
      <c r="A3027" s="75">
        <v>3026</v>
      </c>
      <c r="B3027" s="64">
        <v>2019</v>
      </c>
      <c r="C3027" s="64">
        <v>8</v>
      </c>
      <c r="D3027" s="80">
        <f t="shared" si="97"/>
        <v>2019</v>
      </c>
      <c r="E3027" t="s">
        <v>38</v>
      </c>
      <c r="F3027" t="s">
        <v>143</v>
      </c>
      <c r="G3027" t="s">
        <v>10</v>
      </c>
      <c r="H3027" s="72">
        <v>746</v>
      </c>
      <c r="I3027" s="72" t="s">
        <v>45</v>
      </c>
      <c r="J3027" t="str">
        <f t="shared" si="98"/>
        <v>Green - Duwamish River</v>
      </c>
      <c r="K3027" t="str">
        <f>IFERROR(VLOOKUP(J3027,LUTs!$A$1:$C$73,2,FALSE),"NA")</f>
        <v>King</v>
      </c>
      <c r="L3027" t="str">
        <f>IFERROR(VLOOKUP(J3027,LUTs!$A$1:$C$73,3,FALSE),"NA")</f>
        <v>3South Puget Sound</v>
      </c>
      <c r="M3027" s="72" t="s">
        <v>23</v>
      </c>
      <c r="N3027" t="str">
        <f>VLOOKUP(M3027,LUTs!E$2:H$14,3,)</f>
        <v>10Kitsap</v>
      </c>
      <c r="O3027" t="str">
        <f>VLOOKUP(M3027,LUTs!E$2:H$14,4,)</f>
        <v>02South Puget Sound</v>
      </c>
      <c r="P3027" s="73">
        <v>21.686888454011701</v>
      </c>
      <c r="Q3027" s="74">
        <f>VLOOKUP(B3027,Readme!A$40:C$51,2,)*P3027</f>
        <v>74.602896281800255</v>
      </c>
    </row>
    <row r="3028" spans="1:17" ht="12" customHeight="1" x14ac:dyDescent="0.35">
      <c r="A3028" s="75">
        <v>3027</v>
      </c>
      <c r="B3028" s="64">
        <v>2019</v>
      </c>
      <c r="C3028" s="64">
        <v>8</v>
      </c>
      <c r="D3028" s="80">
        <f t="shared" si="97"/>
        <v>2019</v>
      </c>
      <c r="E3028" t="s">
        <v>38</v>
      </c>
      <c r="F3028" t="s">
        <v>143</v>
      </c>
      <c r="G3028" t="s">
        <v>10</v>
      </c>
      <c r="H3028" s="72">
        <v>746</v>
      </c>
      <c r="I3028" s="72" t="s">
        <v>45</v>
      </c>
      <c r="J3028" t="str">
        <f t="shared" si="98"/>
        <v>Green - Duwamish River</v>
      </c>
      <c r="K3028" t="str">
        <f>IFERROR(VLOOKUP(J3028,LUTs!$A$1:$C$73,2,FALSE),"NA")</f>
        <v>King</v>
      </c>
      <c r="L3028" t="str">
        <f>IFERROR(VLOOKUP(J3028,LUTs!$A$1:$C$73,3,FALSE),"NA")</f>
        <v>3South Puget Sound</v>
      </c>
      <c r="M3028" s="72" t="s">
        <v>26</v>
      </c>
      <c r="N3028" t="str">
        <f>VLOOKUP(M3028,LUTs!E$2:H$14,3,)</f>
        <v>20Other</v>
      </c>
      <c r="O3028" t="str">
        <f>VLOOKUP(M3028,LUTs!E$2:H$14,4,)</f>
        <v>07Non Puget Sound</v>
      </c>
      <c r="P3028" s="73">
        <v>336.14677103718202</v>
      </c>
      <c r="Q3028" s="74">
        <f>VLOOKUP(B3028,Readme!A$40:C$51,2,)*P3028</f>
        <v>1156.3448923679061</v>
      </c>
    </row>
    <row r="3029" spans="1:17" ht="12" customHeight="1" x14ac:dyDescent="0.35">
      <c r="A3029" s="75">
        <v>3028</v>
      </c>
      <c r="B3029" s="64">
        <v>2019</v>
      </c>
      <c r="C3029" s="64">
        <v>8</v>
      </c>
      <c r="D3029" s="80">
        <f t="shared" si="97"/>
        <v>2019</v>
      </c>
      <c r="E3029" t="s">
        <v>38</v>
      </c>
      <c r="F3029" t="s">
        <v>143</v>
      </c>
      <c r="G3029" t="s">
        <v>10</v>
      </c>
      <c r="H3029" s="72">
        <v>746</v>
      </c>
      <c r="I3029" s="72" t="s">
        <v>45</v>
      </c>
      <c r="J3029" t="str">
        <f t="shared" si="98"/>
        <v>Green - Duwamish River</v>
      </c>
      <c r="K3029" t="str">
        <f>IFERROR(VLOOKUP(J3029,LUTs!$A$1:$C$73,2,FALSE),"NA")</f>
        <v>King</v>
      </c>
      <c r="L3029" t="str">
        <f>IFERROR(VLOOKUP(J3029,LUTs!$A$1:$C$73,3,FALSE),"NA")</f>
        <v>3South Puget Sound</v>
      </c>
      <c r="M3029" s="72" t="s">
        <v>20</v>
      </c>
      <c r="N3029" t="str">
        <f>VLOOKUP(M3029,LUTs!E$2:H$14,3,)</f>
        <v>07Pierce</v>
      </c>
      <c r="O3029" t="str">
        <f>VLOOKUP(M3029,LUTs!E$2:H$14,4,)</f>
        <v>02South Puget Sound</v>
      </c>
      <c r="P3029" s="73">
        <v>281.92954990215298</v>
      </c>
      <c r="Q3029" s="74">
        <f>VLOOKUP(B3029,Readme!A$40:C$51,2,)*P3029</f>
        <v>969.83765166340629</v>
      </c>
    </row>
    <row r="3030" spans="1:17" ht="12" customHeight="1" x14ac:dyDescent="0.35">
      <c r="A3030" s="75">
        <v>3029</v>
      </c>
      <c r="B3030" s="64">
        <v>2019</v>
      </c>
      <c r="C3030" s="64">
        <v>8</v>
      </c>
      <c r="D3030" s="80">
        <f t="shared" si="97"/>
        <v>2019</v>
      </c>
      <c r="E3030" t="s">
        <v>38</v>
      </c>
      <c r="F3030" t="s">
        <v>143</v>
      </c>
      <c r="G3030" t="s">
        <v>10</v>
      </c>
      <c r="H3030" s="72">
        <v>746</v>
      </c>
      <c r="I3030" s="72" t="s">
        <v>45</v>
      </c>
      <c r="J3030" t="str">
        <f t="shared" si="98"/>
        <v>Green - Duwamish River</v>
      </c>
      <c r="K3030" t="str">
        <f>IFERROR(VLOOKUP(J3030,LUTs!$A$1:$C$73,2,FALSE),"NA")</f>
        <v>King</v>
      </c>
      <c r="L3030" t="str">
        <f>IFERROR(VLOOKUP(J3030,LUTs!$A$1:$C$73,3,FALSE),"NA")</f>
        <v>3South Puget Sound</v>
      </c>
      <c r="M3030" s="72" t="s">
        <v>16</v>
      </c>
      <c r="N3030" t="str">
        <f>VLOOKUP(M3030,LUTs!E$2:H$14,3,)</f>
        <v>03Snohomish</v>
      </c>
      <c r="O3030" t="str">
        <f>VLOOKUP(M3030,LUTs!E$2:H$14,4,)</f>
        <v>01North Puget Sound</v>
      </c>
      <c r="P3030" s="73">
        <v>206.025440313112</v>
      </c>
      <c r="Q3030" s="74">
        <f>VLOOKUP(B3030,Readme!A$40:C$51,2,)*P3030</f>
        <v>708.72751467710532</v>
      </c>
    </row>
    <row r="3031" spans="1:17" ht="12" customHeight="1" x14ac:dyDescent="0.35">
      <c r="A3031" s="75">
        <v>3030</v>
      </c>
      <c r="B3031" s="64">
        <v>2019</v>
      </c>
      <c r="C3031" s="64">
        <v>8</v>
      </c>
      <c r="D3031" s="80">
        <f t="shared" si="97"/>
        <v>2019</v>
      </c>
      <c r="E3031" t="s">
        <v>38</v>
      </c>
      <c r="F3031" t="s">
        <v>143</v>
      </c>
      <c r="G3031" t="s">
        <v>10</v>
      </c>
      <c r="H3031" s="72">
        <v>746</v>
      </c>
      <c r="I3031" s="72" t="s">
        <v>45</v>
      </c>
      <c r="J3031" t="str">
        <f t="shared" si="98"/>
        <v>Green - Duwamish River</v>
      </c>
      <c r="K3031" t="str">
        <f>IFERROR(VLOOKUP(J3031,LUTs!$A$1:$C$73,2,FALSE),"NA")</f>
        <v>King</v>
      </c>
      <c r="L3031" t="str">
        <f>IFERROR(VLOOKUP(J3031,LUTs!$A$1:$C$73,3,FALSE),"NA")</f>
        <v>3South Puget Sound</v>
      </c>
      <c r="M3031" s="72" t="s">
        <v>21</v>
      </c>
      <c r="N3031" t="str">
        <f>VLOOKUP(M3031,LUTs!E$2:H$14,3,)</f>
        <v>08Thurston</v>
      </c>
      <c r="O3031" t="str">
        <f>VLOOKUP(M3031,LUTs!E$2:H$14,4,)</f>
        <v>02South Puget Sound</v>
      </c>
      <c r="P3031" s="73">
        <v>10.8434442270059</v>
      </c>
      <c r="Q3031" s="74">
        <f>VLOOKUP(B3031,Readme!A$40:C$51,2,)*P3031</f>
        <v>37.301448140900298</v>
      </c>
    </row>
    <row r="3032" spans="1:17" ht="12" customHeight="1" x14ac:dyDescent="0.35">
      <c r="A3032" s="75">
        <v>3031</v>
      </c>
      <c r="B3032" s="64">
        <v>2019</v>
      </c>
      <c r="C3032" s="64">
        <v>9</v>
      </c>
      <c r="D3032" s="80">
        <f t="shared" si="97"/>
        <v>2019</v>
      </c>
      <c r="E3032" t="s">
        <v>38</v>
      </c>
      <c r="F3032" t="s">
        <v>143</v>
      </c>
      <c r="G3032" t="s">
        <v>10</v>
      </c>
      <c r="H3032" s="72">
        <v>746</v>
      </c>
      <c r="I3032" s="72" t="s">
        <v>45</v>
      </c>
      <c r="J3032" t="str">
        <f t="shared" si="98"/>
        <v>Green - Duwamish River</v>
      </c>
      <c r="K3032" t="str">
        <f>IFERROR(VLOOKUP(J3032,LUTs!$A$1:$C$73,2,FALSE),"NA")</f>
        <v>King</v>
      </c>
      <c r="L3032" t="str">
        <f>IFERROR(VLOOKUP(J3032,LUTs!$A$1:$C$73,3,FALSE),"NA")</f>
        <v>3South Puget Sound</v>
      </c>
      <c r="M3032" s="72" t="s">
        <v>17</v>
      </c>
      <c r="N3032" t="str">
        <f>VLOOKUP(M3032,LUTs!E$2:H$14,3,)</f>
        <v>04Island</v>
      </c>
      <c r="O3032" t="str">
        <f>VLOOKUP(M3032,LUTs!E$2:H$14,4,)</f>
        <v>01North Puget Sound</v>
      </c>
      <c r="P3032" s="73">
        <v>21.710526315789501</v>
      </c>
      <c r="Q3032" s="74">
        <f>VLOOKUP(B3032,Readme!A$40:C$51,2,)*P3032</f>
        <v>74.68421052631588</v>
      </c>
    </row>
    <row r="3033" spans="1:17" ht="12" customHeight="1" x14ac:dyDescent="0.35">
      <c r="A3033" s="75">
        <v>3032</v>
      </c>
      <c r="B3033" s="64">
        <v>2019</v>
      </c>
      <c r="C3033" s="64">
        <v>9</v>
      </c>
      <c r="D3033" s="80">
        <f t="shared" si="97"/>
        <v>2019</v>
      </c>
      <c r="E3033" t="s">
        <v>38</v>
      </c>
      <c r="F3033" t="s">
        <v>143</v>
      </c>
      <c r="G3033" t="s">
        <v>10</v>
      </c>
      <c r="H3033" s="72">
        <v>746</v>
      </c>
      <c r="I3033" s="72" t="s">
        <v>45</v>
      </c>
      <c r="J3033" t="str">
        <f t="shared" si="98"/>
        <v>Green - Duwamish River</v>
      </c>
      <c r="K3033" t="str">
        <f>IFERROR(VLOOKUP(J3033,LUTs!$A$1:$C$73,2,FALSE),"NA")</f>
        <v>King</v>
      </c>
      <c r="L3033" t="str">
        <f>IFERROR(VLOOKUP(J3033,LUTs!$A$1:$C$73,3,FALSE),"NA")</f>
        <v>3South Puget Sound</v>
      </c>
      <c r="M3033" s="72" t="s">
        <v>25</v>
      </c>
      <c r="N3033" t="str">
        <f>VLOOKUP(M3033,LUTs!E$2:H$14,3,)</f>
        <v>12Jefferson</v>
      </c>
      <c r="O3033" t="str">
        <f>VLOOKUP(M3033,LUTs!E$2:H$14,4,)</f>
        <v>03Strait of Juan de Fuca</v>
      </c>
      <c r="P3033" s="73">
        <v>119.407894736842</v>
      </c>
      <c r="Q3033" s="74">
        <f>VLOOKUP(B3033,Readme!A$40:C$51,2,)*P3033</f>
        <v>410.76315789473648</v>
      </c>
    </row>
    <row r="3034" spans="1:17" ht="12" customHeight="1" x14ac:dyDescent="0.35">
      <c r="A3034" s="75">
        <v>3033</v>
      </c>
      <c r="B3034" s="64">
        <v>2019</v>
      </c>
      <c r="C3034" s="64">
        <v>9</v>
      </c>
      <c r="D3034" s="80">
        <f t="shared" si="97"/>
        <v>2019</v>
      </c>
      <c r="E3034" t="s">
        <v>38</v>
      </c>
      <c r="F3034" t="s">
        <v>143</v>
      </c>
      <c r="G3034" t="s">
        <v>10</v>
      </c>
      <c r="H3034" s="72">
        <v>746</v>
      </c>
      <c r="I3034" s="72" t="s">
        <v>45</v>
      </c>
      <c r="J3034" t="str">
        <f t="shared" si="98"/>
        <v>Green - Duwamish River</v>
      </c>
      <c r="K3034" t="str">
        <f>IFERROR(VLOOKUP(J3034,LUTs!$A$1:$C$73,2,FALSE),"NA")</f>
        <v>King</v>
      </c>
      <c r="L3034" t="str">
        <f>IFERROR(VLOOKUP(J3034,LUTs!$A$1:$C$73,3,FALSE),"NA")</f>
        <v>3South Puget Sound</v>
      </c>
      <c r="M3034" s="72" t="s">
        <v>18</v>
      </c>
      <c r="N3034" t="str">
        <f>VLOOKUP(M3034,LUTs!E$2:H$14,3,)</f>
        <v>06King</v>
      </c>
      <c r="O3034" t="str">
        <f>VLOOKUP(M3034,LUTs!E$2:H$14,4,)</f>
        <v>02South Puget Sound</v>
      </c>
      <c r="P3034" s="73">
        <v>3842.7631578947398</v>
      </c>
      <c r="Q3034" s="74">
        <f>VLOOKUP(B3034,Readme!A$40:C$51,2,)*P3034</f>
        <v>13219.105263157904</v>
      </c>
    </row>
    <row r="3035" spans="1:17" ht="12" customHeight="1" x14ac:dyDescent="0.35">
      <c r="A3035" s="75">
        <v>3034</v>
      </c>
      <c r="B3035" s="64">
        <v>2019</v>
      </c>
      <c r="C3035" s="64">
        <v>9</v>
      </c>
      <c r="D3035" s="80">
        <f t="shared" si="97"/>
        <v>2019</v>
      </c>
      <c r="E3035" t="s">
        <v>38</v>
      </c>
      <c r="F3035" t="s">
        <v>143</v>
      </c>
      <c r="G3035" t="s">
        <v>10</v>
      </c>
      <c r="H3035" s="72">
        <v>746</v>
      </c>
      <c r="I3035" s="72" t="s">
        <v>45</v>
      </c>
      <c r="J3035" t="str">
        <f t="shared" si="98"/>
        <v>Green - Duwamish River</v>
      </c>
      <c r="K3035" t="str">
        <f>IFERROR(VLOOKUP(J3035,LUTs!$A$1:$C$73,2,FALSE),"NA")</f>
        <v>King</v>
      </c>
      <c r="L3035" t="str">
        <f>IFERROR(VLOOKUP(J3035,LUTs!$A$1:$C$73,3,FALSE),"NA")</f>
        <v>3South Puget Sound</v>
      </c>
      <c r="M3035" s="72" t="s">
        <v>23</v>
      </c>
      <c r="N3035" t="str">
        <f>VLOOKUP(M3035,LUTs!E$2:H$14,3,)</f>
        <v>10Kitsap</v>
      </c>
      <c r="O3035" t="str">
        <f>VLOOKUP(M3035,LUTs!E$2:H$14,4,)</f>
        <v>02South Puget Sound</v>
      </c>
      <c r="P3035" s="73">
        <v>43.421052631579002</v>
      </c>
      <c r="Q3035" s="74">
        <f>VLOOKUP(B3035,Readme!A$40:C$51,2,)*P3035</f>
        <v>149.36842105263176</v>
      </c>
    </row>
    <row r="3036" spans="1:17" ht="12" customHeight="1" x14ac:dyDescent="0.35">
      <c r="A3036" s="75">
        <v>3035</v>
      </c>
      <c r="B3036" s="64">
        <v>2019</v>
      </c>
      <c r="C3036" s="64">
        <v>9</v>
      </c>
      <c r="D3036" s="80">
        <f t="shared" si="97"/>
        <v>2019</v>
      </c>
      <c r="E3036" t="s">
        <v>38</v>
      </c>
      <c r="F3036" t="s">
        <v>143</v>
      </c>
      <c r="G3036" t="s">
        <v>10</v>
      </c>
      <c r="H3036" s="72">
        <v>746</v>
      </c>
      <c r="I3036" s="72" t="s">
        <v>45</v>
      </c>
      <c r="J3036" t="str">
        <f t="shared" si="98"/>
        <v>Green - Duwamish River</v>
      </c>
      <c r="K3036" t="str">
        <f>IFERROR(VLOOKUP(J3036,LUTs!$A$1:$C$73,2,FALSE),"NA")</f>
        <v>King</v>
      </c>
      <c r="L3036" t="str">
        <f>IFERROR(VLOOKUP(J3036,LUTs!$A$1:$C$73,3,FALSE),"NA")</f>
        <v>3South Puget Sound</v>
      </c>
      <c r="M3036" s="72" t="s">
        <v>26</v>
      </c>
      <c r="N3036" t="str">
        <f>VLOOKUP(M3036,LUTs!E$2:H$14,3,)</f>
        <v>20Other</v>
      </c>
      <c r="O3036" t="str">
        <f>VLOOKUP(M3036,LUTs!E$2:H$14,4,)</f>
        <v>07Non Puget Sound</v>
      </c>
      <c r="P3036" s="73">
        <v>325.65789473684202</v>
      </c>
      <c r="Q3036" s="74">
        <f>VLOOKUP(B3036,Readme!A$40:C$51,2,)*P3036</f>
        <v>1120.2631578947367</v>
      </c>
    </row>
    <row r="3037" spans="1:17" ht="12" customHeight="1" x14ac:dyDescent="0.35">
      <c r="A3037" s="75">
        <v>3036</v>
      </c>
      <c r="B3037" s="64">
        <v>2019</v>
      </c>
      <c r="C3037" s="64">
        <v>9</v>
      </c>
      <c r="D3037" s="80">
        <f t="shared" si="97"/>
        <v>2019</v>
      </c>
      <c r="E3037" t="s">
        <v>38</v>
      </c>
      <c r="F3037" t="s">
        <v>143</v>
      </c>
      <c r="G3037" t="s">
        <v>10</v>
      </c>
      <c r="H3037" s="72">
        <v>746</v>
      </c>
      <c r="I3037" s="72" t="s">
        <v>45</v>
      </c>
      <c r="J3037" t="str">
        <f t="shared" si="98"/>
        <v>Green - Duwamish River</v>
      </c>
      <c r="K3037" t="str">
        <f>IFERROR(VLOOKUP(J3037,LUTs!$A$1:$C$73,2,FALSE),"NA")</f>
        <v>King</v>
      </c>
      <c r="L3037" t="str">
        <f>IFERROR(VLOOKUP(J3037,LUTs!$A$1:$C$73,3,FALSE),"NA")</f>
        <v>3South Puget Sound</v>
      </c>
      <c r="M3037" s="72" t="s">
        <v>20</v>
      </c>
      <c r="N3037" t="str">
        <f>VLOOKUP(M3037,LUTs!E$2:H$14,3,)</f>
        <v>07Pierce</v>
      </c>
      <c r="O3037" t="str">
        <f>VLOOKUP(M3037,LUTs!E$2:H$14,4,)</f>
        <v>02South Puget Sound</v>
      </c>
      <c r="P3037" s="73">
        <v>1204.9342105263199</v>
      </c>
      <c r="Q3037" s="74">
        <f>VLOOKUP(B3037,Readme!A$40:C$51,2,)*P3037</f>
        <v>4144.9736842105403</v>
      </c>
    </row>
    <row r="3038" spans="1:17" ht="12" customHeight="1" x14ac:dyDescent="0.35">
      <c r="A3038" s="75">
        <v>3037</v>
      </c>
      <c r="B3038" s="64">
        <v>2019</v>
      </c>
      <c r="C3038" s="64">
        <v>9</v>
      </c>
      <c r="D3038" s="80">
        <f t="shared" si="97"/>
        <v>2019</v>
      </c>
      <c r="E3038" t="s">
        <v>38</v>
      </c>
      <c r="F3038" t="s">
        <v>143</v>
      </c>
      <c r="G3038" t="s">
        <v>10</v>
      </c>
      <c r="H3038" s="72">
        <v>746</v>
      </c>
      <c r="I3038" s="72" t="s">
        <v>45</v>
      </c>
      <c r="J3038" t="str">
        <f t="shared" si="98"/>
        <v>Green - Duwamish River</v>
      </c>
      <c r="K3038" t="str">
        <f>IFERROR(VLOOKUP(J3038,LUTs!$A$1:$C$73,2,FALSE),"NA")</f>
        <v>King</v>
      </c>
      <c r="L3038" t="str">
        <f>IFERROR(VLOOKUP(J3038,LUTs!$A$1:$C$73,3,FALSE),"NA")</f>
        <v>3South Puget Sound</v>
      </c>
      <c r="M3038" s="72" t="s">
        <v>16</v>
      </c>
      <c r="N3038" t="str">
        <f>VLOOKUP(M3038,LUTs!E$2:H$14,3,)</f>
        <v>03Snohomish</v>
      </c>
      <c r="O3038" t="str">
        <f>VLOOKUP(M3038,LUTs!E$2:H$14,4,)</f>
        <v>01North Puget Sound</v>
      </c>
      <c r="P3038" s="73">
        <v>206.25</v>
      </c>
      <c r="Q3038" s="74">
        <f>VLOOKUP(B3038,Readme!A$40:C$51,2,)*P3038</f>
        <v>709.5</v>
      </c>
    </row>
    <row r="3039" spans="1:17" ht="12" customHeight="1" x14ac:dyDescent="0.35">
      <c r="A3039" s="75">
        <v>3038</v>
      </c>
      <c r="B3039" s="64">
        <v>2019</v>
      </c>
      <c r="C3039" s="64">
        <v>9</v>
      </c>
      <c r="D3039" s="80">
        <f t="shared" si="97"/>
        <v>2019</v>
      </c>
      <c r="E3039" t="s">
        <v>38</v>
      </c>
      <c r="F3039" t="s">
        <v>143</v>
      </c>
      <c r="G3039" t="s">
        <v>10</v>
      </c>
      <c r="H3039" s="72">
        <v>746</v>
      </c>
      <c r="I3039" s="72" t="s">
        <v>45</v>
      </c>
      <c r="J3039" t="str">
        <f t="shared" si="98"/>
        <v>Green - Duwamish River</v>
      </c>
      <c r="K3039" t="str">
        <f>IFERROR(VLOOKUP(J3039,LUTs!$A$1:$C$73,2,FALSE),"NA")</f>
        <v>King</v>
      </c>
      <c r="L3039" t="str">
        <f>IFERROR(VLOOKUP(J3039,LUTs!$A$1:$C$73,3,FALSE),"NA")</f>
        <v>3South Puget Sound</v>
      </c>
      <c r="M3039" s="72" t="s">
        <v>21</v>
      </c>
      <c r="N3039" t="str">
        <f>VLOOKUP(M3039,LUTs!E$2:H$14,3,)</f>
        <v>08Thurston</v>
      </c>
      <c r="O3039" t="str">
        <f>VLOOKUP(M3039,LUTs!E$2:H$14,4,)</f>
        <v>02South Puget Sound</v>
      </c>
      <c r="P3039" s="73">
        <v>10.855263157894701</v>
      </c>
      <c r="Q3039" s="74">
        <f>VLOOKUP(B3039,Readme!A$40:C$51,2,)*P3039</f>
        <v>37.342105263157769</v>
      </c>
    </row>
    <row r="3040" spans="1:17" ht="12" customHeight="1" x14ac:dyDescent="0.35">
      <c r="A3040" s="75">
        <v>3039</v>
      </c>
      <c r="B3040" s="64">
        <v>2019</v>
      </c>
      <c r="C3040" s="64">
        <v>10</v>
      </c>
      <c r="D3040" s="80">
        <f t="shared" si="97"/>
        <v>2019</v>
      </c>
      <c r="E3040" t="s">
        <v>38</v>
      </c>
      <c r="F3040" t="s">
        <v>143</v>
      </c>
      <c r="G3040" t="s">
        <v>10</v>
      </c>
      <c r="H3040" s="72">
        <v>746</v>
      </c>
      <c r="I3040" s="72" t="s">
        <v>45</v>
      </c>
      <c r="J3040" t="str">
        <f t="shared" si="98"/>
        <v>Green - Duwamish River</v>
      </c>
      <c r="K3040" t="str">
        <f>IFERROR(VLOOKUP(J3040,LUTs!$A$1:$C$73,2,FALSE),"NA")</f>
        <v>King</v>
      </c>
      <c r="L3040" t="str">
        <f>IFERROR(VLOOKUP(J3040,LUTs!$A$1:$C$73,3,FALSE),"NA")</f>
        <v>3South Puget Sound</v>
      </c>
      <c r="M3040" s="72" t="s">
        <v>17</v>
      </c>
      <c r="N3040" t="str">
        <f>VLOOKUP(M3040,LUTs!E$2:H$14,3,)</f>
        <v>04Island</v>
      </c>
      <c r="O3040" t="str">
        <f>VLOOKUP(M3040,LUTs!E$2:H$14,4,)</f>
        <v>01North Puget Sound</v>
      </c>
      <c r="P3040" s="73">
        <v>119.567328918322</v>
      </c>
      <c r="Q3040" s="74">
        <f>VLOOKUP(B3040,Readme!A$40:C$51,2,)*P3040</f>
        <v>411.3116114790277</v>
      </c>
    </row>
    <row r="3041" spans="1:17" ht="12" customHeight="1" x14ac:dyDescent="0.35">
      <c r="A3041" s="75">
        <v>3040</v>
      </c>
      <c r="B3041" s="64">
        <v>2019</v>
      </c>
      <c r="C3041" s="64">
        <v>10</v>
      </c>
      <c r="D3041" s="80">
        <f t="shared" si="97"/>
        <v>2019</v>
      </c>
      <c r="E3041" t="s">
        <v>38</v>
      </c>
      <c r="F3041" t="s">
        <v>143</v>
      </c>
      <c r="G3041" t="s">
        <v>10</v>
      </c>
      <c r="H3041" s="72">
        <v>746</v>
      </c>
      <c r="I3041" s="72" t="s">
        <v>45</v>
      </c>
      <c r="J3041" t="str">
        <f t="shared" si="98"/>
        <v>Green - Duwamish River</v>
      </c>
      <c r="K3041" t="str">
        <f>IFERROR(VLOOKUP(J3041,LUTs!$A$1:$C$73,2,FALSE),"NA")</f>
        <v>King</v>
      </c>
      <c r="L3041" t="str">
        <f>IFERROR(VLOOKUP(J3041,LUTs!$A$1:$C$73,3,FALSE),"NA")</f>
        <v>3South Puget Sound</v>
      </c>
      <c r="M3041" s="72" t="s">
        <v>18</v>
      </c>
      <c r="N3041" t="str">
        <f>VLOOKUP(M3041,LUTs!E$2:H$14,3,)</f>
        <v>06King</v>
      </c>
      <c r="O3041" t="str">
        <f>VLOOKUP(M3041,LUTs!E$2:H$14,4,)</f>
        <v>02South Puget Sound</v>
      </c>
      <c r="P3041" s="73">
        <v>3782.6754966887402</v>
      </c>
      <c r="Q3041" s="74">
        <f>VLOOKUP(B3041,Readme!A$40:C$51,2,)*P3041</f>
        <v>13012.403708609267</v>
      </c>
    </row>
    <row r="3042" spans="1:17" ht="12" customHeight="1" x14ac:dyDescent="0.35">
      <c r="A3042" s="75">
        <v>3041</v>
      </c>
      <c r="B3042" s="64">
        <v>2019</v>
      </c>
      <c r="C3042" s="64">
        <v>10</v>
      </c>
      <c r="D3042" s="80">
        <f t="shared" si="97"/>
        <v>2019</v>
      </c>
      <c r="E3042" t="s">
        <v>38</v>
      </c>
      <c r="F3042" t="s">
        <v>143</v>
      </c>
      <c r="G3042" t="s">
        <v>10</v>
      </c>
      <c r="H3042" s="72">
        <v>746</v>
      </c>
      <c r="I3042" s="72" t="s">
        <v>45</v>
      </c>
      <c r="J3042" t="str">
        <f t="shared" si="98"/>
        <v>Green - Duwamish River</v>
      </c>
      <c r="K3042" t="str">
        <f>IFERROR(VLOOKUP(J3042,LUTs!$A$1:$C$73,2,FALSE),"NA")</f>
        <v>King</v>
      </c>
      <c r="L3042" t="str">
        <f>IFERROR(VLOOKUP(J3042,LUTs!$A$1:$C$73,3,FALSE),"NA")</f>
        <v>3South Puget Sound</v>
      </c>
      <c r="M3042" s="72" t="s">
        <v>26</v>
      </c>
      <c r="N3042" t="str">
        <f>VLOOKUP(M3042,LUTs!E$2:H$14,3,)</f>
        <v>20Other</v>
      </c>
      <c r="O3042" t="str">
        <f>VLOOKUP(M3042,LUTs!E$2:H$14,4,)</f>
        <v>07Non Puget Sound</v>
      </c>
      <c r="P3042" s="73">
        <v>10.8697571743929</v>
      </c>
      <c r="Q3042" s="74">
        <f>VLOOKUP(B3042,Readme!A$40:C$51,2,)*P3042</f>
        <v>37.391964679911574</v>
      </c>
    </row>
    <row r="3043" spans="1:17" ht="12" customHeight="1" x14ac:dyDescent="0.35">
      <c r="A3043" s="75">
        <v>3042</v>
      </c>
      <c r="B3043" s="64">
        <v>2019</v>
      </c>
      <c r="C3043" s="64">
        <v>10</v>
      </c>
      <c r="D3043" s="80">
        <f t="shared" si="97"/>
        <v>2019</v>
      </c>
      <c r="E3043" t="s">
        <v>38</v>
      </c>
      <c r="F3043" t="s">
        <v>143</v>
      </c>
      <c r="G3043" t="s">
        <v>10</v>
      </c>
      <c r="H3043" s="72">
        <v>746</v>
      </c>
      <c r="I3043" s="72" t="s">
        <v>45</v>
      </c>
      <c r="J3043" t="str">
        <f t="shared" si="98"/>
        <v>Green - Duwamish River</v>
      </c>
      <c r="K3043" t="str">
        <f>IFERROR(VLOOKUP(J3043,LUTs!$A$1:$C$73,2,FALSE),"NA")</f>
        <v>King</v>
      </c>
      <c r="L3043" t="str">
        <f>IFERROR(VLOOKUP(J3043,LUTs!$A$1:$C$73,3,FALSE),"NA")</f>
        <v>3South Puget Sound</v>
      </c>
      <c r="M3043" s="72" t="s">
        <v>20</v>
      </c>
      <c r="N3043" t="str">
        <f>VLOOKUP(M3043,LUTs!E$2:H$14,3,)</f>
        <v>07Pierce</v>
      </c>
      <c r="O3043" t="str">
        <f>VLOOKUP(M3043,LUTs!E$2:H$14,4,)</f>
        <v>02South Puget Sound</v>
      </c>
      <c r="P3043" s="73">
        <v>858.71081677704206</v>
      </c>
      <c r="Q3043" s="74">
        <f>VLOOKUP(B3043,Readme!A$40:C$51,2,)*P3043</f>
        <v>2953.9652097130247</v>
      </c>
    </row>
    <row r="3044" spans="1:17" ht="12" customHeight="1" x14ac:dyDescent="0.35">
      <c r="A3044" s="75">
        <v>3043</v>
      </c>
      <c r="B3044" s="64">
        <v>2019</v>
      </c>
      <c r="C3044" s="64">
        <v>10</v>
      </c>
      <c r="D3044" s="80">
        <f t="shared" si="97"/>
        <v>2019</v>
      </c>
      <c r="E3044" t="s">
        <v>38</v>
      </c>
      <c r="F3044" t="s">
        <v>143</v>
      </c>
      <c r="G3044" t="s">
        <v>10</v>
      </c>
      <c r="H3044" s="72">
        <v>746</v>
      </c>
      <c r="I3044" s="72" t="s">
        <v>45</v>
      </c>
      <c r="J3044" t="str">
        <f t="shared" si="98"/>
        <v>Green - Duwamish River</v>
      </c>
      <c r="K3044" t="str">
        <f>IFERROR(VLOOKUP(J3044,LUTs!$A$1:$C$73,2,FALSE),"NA")</f>
        <v>King</v>
      </c>
      <c r="L3044" t="str">
        <f>IFERROR(VLOOKUP(J3044,LUTs!$A$1:$C$73,3,FALSE),"NA")</f>
        <v>3South Puget Sound</v>
      </c>
      <c r="M3044" s="72" t="s">
        <v>16</v>
      </c>
      <c r="N3044" t="str">
        <f>VLOOKUP(M3044,LUTs!E$2:H$14,3,)</f>
        <v>03Snohomish</v>
      </c>
      <c r="O3044" t="str">
        <f>VLOOKUP(M3044,LUTs!E$2:H$14,4,)</f>
        <v>01North Puget Sound</v>
      </c>
      <c r="P3044" s="73">
        <v>97.8278145695365</v>
      </c>
      <c r="Q3044" s="74">
        <f>VLOOKUP(B3044,Readme!A$40:C$51,2,)*P3044</f>
        <v>336.52768211920556</v>
      </c>
    </row>
    <row r="3045" spans="1:17" ht="12" customHeight="1" x14ac:dyDescent="0.35">
      <c r="A3045" s="75">
        <v>3044</v>
      </c>
      <c r="B3045" s="64">
        <v>2019</v>
      </c>
      <c r="C3045" s="64">
        <v>10</v>
      </c>
      <c r="D3045" s="80">
        <f t="shared" si="97"/>
        <v>2019</v>
      </c>
      <c r="E3045" t="s">
        <v>38</v>
      </c>
      <c r="F3045" t="s">
        <v>143</v>
      </c>
      <c r="G3045" t="s">
        <v>10</v>
      </c>
      <c r="H3045" s="72">
        <v>746</v>
      </c>
      <c r="I3045" s="72" t="s">
        <v>45</v>
      </c>
      <c r="J3045" t="str">
        <f t="shared" si="98"/>
        <v>Green - Duwamish River</v>
      </c>
      <c r="K3045" t="str">
        <f>IFERROR(VLOOKUP(J3045,LUTs!$A$1:$C$73,2,FALSE),"NA")</f>
        <v>King</v>
      </c>
      <c r="L3045" t="str">
        <f>IFERROR(VLOOKUP(J3045,LUTs!$A$1:$C$73,3,FALSE),"NA")</f>
        <v>3South Puget Sound</v>
      </c>
      <c r="M3045" s="72" t="s">
        <v>21</v>
      </c>
      <c r="N3045" t="str">
        <f>VLOOKUP(M3045,LUTs!E$2:H$14,3,)</f>
        <v>08Thurston</v>
      </c>
      <c r="O3045" t="str">
        <f>VLOOKUP(M3045,LUTs!E$2:H$14,4,)</f>
        <v>02South Puget Sound</v>
      </c>
      <c r="P3045" s="73">
        <v>54.348785871964701</v>
      </c>
      <c r="Q3045" s="74">
        <f>VLOOKUP(B3045,Readme!A$40:C$51,2,)*P3045</f>
        <v>186.95982339955856</v>
      </c>
    </row>
    <row r="3046" spans="1:17" ht="12" customHeight="1" x14ac:dyDescent="0.35">
      <c r="A3046" s="75">
        <v>3045</v>
      </c>
      <c r="B3046" s="64">
        <v>2019</v>
      </c>
      <c r="C3046" s="64">
        <v>11</v>
      </c>
      <c r="D3046" s="80">
        <f t="shared" si="97"/>
        <v>2019</v>
      </c>
      <c r="E3046" t="s">
        <v>38</v>
      </c>
      <c r="F3046" t="s">
        <v>143</v>
      </c>
      <c r="G3046" t="s">
        <v>10</v>
      </c>
      <c r="H3046" s="72">
        <v>746</v>
      </c>
      <c r="I3046" s="72" t="s">
        <v>45</v>
      </c>
      <c r="J3046" t="str">
        <f t="shared" si="98"/>
        <v>Green - Duwamish River</v>
      </c>
      <c r="K3046" t="str">
        <f>IFERROR(VLOOKUP(J3046,LUTs!$A$1:$C$73,2,FALSE),"NA")</f>
        <v>King</v>
      </c>
      <c r="L3046" t="str">
        <f>IFERROR(VLOOKUP(J3046,LUTs!$A$1:$C$73,3,FALSE),"NA")</f>
        <v>3South Puget Sound</v>
      </c>
      <c r="M3046" s="72" t="s">
        <v>17</v>
      </c>
      <c r="N3046" t="str">
        <f>VLOOKUP(M3046,LUTs!E$2:H$14,3,)</f>
        <v>04Island</v>
      </c>
      <c r="O3046" t="str">
        <f>VLOOKUP(M3046,LUTs!E$2:H$14,4,)</f>
        <v>01North Puget Sound</v>
      </c>
      <c r="P3046" s="73">
        <v>32.651162790697697</v>
      </c>
      <c r="Q3046" s="74">
        <f>VLOOKUP(B3046,Readme!A$40:C$51,2,)*P3046</f>
        <v>112.32000000000008</v>
      </c>
    </row>
    <row r="3047" spans="1:17" ht="12" customHeight="1" x14ac:dyDescent="0.35">
      <c r="A3047" s="75">
        <v>3046</v>
      </c>
      <c r="B3047" s="64">
        <v>2019</v>
      </c>
      <c r="C3047" s="64">
        <v>11</v>
      </c>
      <c r="D3047" s="80">
        <f t="shared" si="97"/>
        <v>2019</v>
      </c>
      <c r="E3047" t="s">
        <v>38</v>
      </c>
      <c r="F3047" t="s">
        <v>143</v>
      </c>
      <c r="G3047" t="s">
        <v>10</v>
      </c>
      <c r="H3047" s="72">
        <v>746</v>
      </c>
      <c r="I3047" s="72" t="s">
        <v>45</v>
      </c>
      <c r="J3047" t="str">
        <f t="shared" si="98"/>
        <v>Green - Duwamish River</v>
      </c>
      <c r="K3047" t="str">
        <f>IFERROR(VLOOKUP(J3047,LUTs!$A$1:$C$73,2,FALSE),"NA")</f>
        <v>King</v>
      </c>
      <c r="L3047" t="str">
        <f>IFERROR(VLOOKUP(J3047,LUTs!$A$1:$C$73,3,FALSE),"NA")</f>
        <v>3South Puget Sound</v>
      </c>
      <c r="M3047" s="72" t="s">
        <v>18</v>
      </c>
      <c r="N3047" t="str">
        <f>VLOOKUP(M3047,LUTs!E$2:H$14,3,)</f>
        <v>06King</v>
      </c>
      <c r="O3047" t="str">
        <f>VLOOKUP(M3047,LUTs!E$2:H$14,4,)</f>
        <v>02South Puget Sound</v>
      </c>
      <c r="P3047" s="73">
        <v>348.27906976744202</v>
      </c>
      <c r="Q3047" s="74">
        <f>VLOOKUP(B3047,Readme!A$40:C$51,2,)*P3047</f>
        <v>1198.0800000000006</v>
      </c>
    </row>
    <row r="3048" spans="1:17" ht="12" customHeight="1" x14ac:dyDescent="0.35">
      <c r="A3048" s="75">
        <v>3047</v>
      </c>
      <c r="B3048" s="64">
        <v>2019</v>
      </c>
      <c r="C3048" s="64">
        <v>11</v>
      </c>
      <c r="D3048" s="80">
        <f t="shared" si="97"/>
        <v>2019</v>
      </c>
      <c r="E3048" t="s">
        <v>38</v>
      </c>
      <c r="F3048" t="s">
        <v>143</v>
      </c>
      <c r="G3048" t="s">
        <v>10</v>
      </c>
      <c r="H3048" s="72">
        <v>746</v>
      </c>
      <c r="I3048" s="72" t="s">
        <v>45</v>
      </c>
      <c r="J3048" t="str">
        <f t="shared" si="98"/>
        <v>Green - Duwamish River</v>
      </c>
      <c r="K3048" t="str">
        <f>IFERROR(VLOOKUP(J3048,LUTs!$A$1:$C$73,2,FALSE),"NA")</f>
        <v>King</v>
      </c>
      <c r="L3048" t="str">
        <f>IFERROR(VLOOKUP(J3048,LUTs!$A$1:$C$73,3,FALSE),"NA")</f>
        <v>3South Puget Sound</v>
      </c>
      <c r="M3048" s="72" t="s">
        <v>20</v>
      </c>
      <c r="N3048" t="str">
        <f>VLOOKUP(M3048,LUTs!E$2:H$14,3,)</f>
        <v>07Pierce</v>
      </c>
      <c r="O3048" t="str">
        <f>VLOOKUP(M3048,LUTs!E$2:H$14,4,)</f>
        <v>02South Puget Sound</v>
      </c>
      <c r="P3048" s="73">
        <v>65.302325581395394</v>
      </c>
      <c r="Q3048" s="74">
        <f>VLOOKUP(B3048,Readme!A$40:C$51,2,)*P3048</f>
        <v>224.64000000000016</v>
      </c>
    </row>
    <row r="3049" spans="1:17" ht="12" customHeight="1" x14ac:dyDescent="0.35">
      <c r="A3049" s="75">
        <v>3048</v>
      </c>
      <c r="B3049" s="64">
        <v>2019</v>
      </c>
      <c r="C3049" s="64">
        <v>11</v>
      </c>
      <c r="D3049" s="80">
        <f t="shared" si="97"/>
        <v>2019</v>
      </c>
      <c r="E3049" t="s">
        <v>38</v>
      </c>
      <c r="F3049" t="s">
        <v>143</v>
      </c>
      <c r="G3049" t="s">
        <v>10</v>
      </c>
      <c r="H3049" s="72">
        <v>746</v>
      </c>
      <c r="I3049" s="72" t="s">
        <v>45</v>
      </c>
      <c r="J3049" t="str">
        <f t="shared" si="98"/>
        <v>Green - Duwamish River</v>
      </c>
      <c r="K3049" t="str">
        <f>IFERROR(VLOOKUP(J3049,LUTs!$A$1:$C$73,2,FALSE),"NA")</f>
        <v>King</v>
      </c>
      <c r="L3049" t="str">
        <f>IFERROR(VLOOKUP(J3049,LUTs!$A$1:$C$73,3,FALSE),"NA")</f>
        <v>3South Puget Sound</v>
      </c>
      <c r="M3049" s="72" t="s">
        <v>16</v>
      </c>
      <c r="N3049" t="str">
        <f>VLOOKUP(M3049,LUTs!E$2:H$14,3,)</f>
        <v>03Snohomish</v>
      </c>
      <c r="O3049" t="str">
        <f>VLOOKUP(M3049,LUTs!E$2:H$14,4,)</f>
        <v>01North Puget Sound</v>
      </c>
      <c r="P3049" s="73">
        <v>21.767441860465102</v>
      </c>
      <c r="Q3049" s="74">
        <f>VLOOKUP(B3049,Readme!A$40:C$51,2,)*P3049</f>
        <v>74.879999999999953</v>
      </c>
    </row>
    <row r="3050" spans="1:17" ht="12" customHeight="1" x14ac:dyDescent="0.35">
      <c r="A3050" s="75">
        <v>3049</v>
      </c>
      <c r="B3050" s="64">
        <v>2019</v>
      </c>
      <c r="C3050" s="64">
        <v>12</v>
      </c>
      <c r="D3050" s="80">
        <f t="shared" si="97"/>
        <v>2019</v>
      </c>
      <c r="E3050" t="s">
        <v>38</v>
      </c>
      <c r="F3050" t="s">
        <v>143</v>
      </c>
      <c r="G3050" t="s">
        <v>10</v>
      </c>
      <c r="H3050" s="72">
        <v>746</v>
      </c>
      <c r="I3050" s="72" t="s">
        <v>45</v>
      </c>
      <c r="J3050" t="str">
        <f t="shared" si="98"/>
        <v>Green - Duwamish River</v>
      </c>
      <c r="K3050" t="str">
        <f>IFERROR(VLOOKUP(J3050,LUTs!$A$1:$C$73,2,FALSE),"NA")</f>
        <v>King</v>
      </c>
      <c r="L3050" t="str">
        <f>IFERROR(VLOOKUP(J3050,LUTs!$A$1:$C$73,3,FALSE),"NA")</f>
        <v>3South Puget Sound</v>
      </c>
      <c r="M3050" s="72" t="s">
        <v>18</v>
      </c>
      <c r="N3050" t="str">
        <f>VLOOKUP(M3050,LUTs!E$2:H$14,3,)</f>
        <v>06King</v>
      </c>
      <c r="O3050" t="str">
        <f>VLOOKUP(M3050,LUTs!E$2:H$14,4,)</f>
        <v>02South Puget Sound</v>
      </c>
      <c r="P3050" s="73">
        <v>65.3333333333333</v>
      </c>
      <c r="Q3050" s="74">
        <f>VLOOKUP(B3050,Readme!A$40:C$51,2,)*P3050</f>
        <v>224.74666666666656</v>
      </c>
    </row>
    <row r="3051" spans="1:17" ht="12" customHeight="1" x14ac:dyDescent="0.35">
      <c r="A3051" s="75">
        <v>3050</v>
      </c>
      <c r="B3051" s="64">
        <v>2019</v>
      </c>
      <c r="C3051" s="64">
        <v>12</v>
      </c>
      <c r="D3051" s="80">
        <f t="shared" si="97"/>
        <v>2019</v>
      </c>
      <c r="E3051" t="s">
        <v>38</v>
      </c>
      <c r="F3051" t="s">
        <v>143</v>
      </c>
      <c r="G3051" t="s">
        <v>10</v>
      </c>
      <c r="H3051" s="72">
        <v>746</v>
      </c>
      <c r="I3051" s="72" t="s">
        <v>45</v>
      </c>
      <c r="J3051" t="str">
        <f t="shared" si="98"/>
        <v>Green - Duwamish River</v>
      </c>
      <c r="K3051" t="str">
        <f>IFERROR(VLOOKUP(J3051,LUTs!$A$1:$C$73,2,FALSE),"NA")</f>
        <v>King</v>
      </c>
      <c r="L3051" t="str">
        <f>IFERROR(VLOOKUP(J3051,LUTs!$A$1:$C$73,3,FALSE),"NA")</f>
        <v>3South Puget Sound</v>
      </c>
      <c r="M3051" s="72" t="s">
        <v>20</v>
      </c>
      <c r="N3051" t="str">
        <f>VLOOKUP(M3051,LUTs!E$2:H$14,3,)</f>
        <v>07Pierce</v>
      </c>
      <c r="O3051" t="str">
        <f>VLOOKUP(M3051,LUTs!E$2:H$14,4,)</f>
        <v>02South Puget Sound</v>
      </c>
      <c r="P3051" s="73">
        <v>10.8888888888889</v>
      </c>
      <c r="Q3051" s="74">
        <f>VLOOKUP(B3051,Readme!A$40:C$51,2,)*P3051</f>
        <v>37.457777777777814</v>
      </c>
    </row>
    <row r="3052" spans="1:17" ht="12" customHeight="1" x14ac:dyDescent="0.35">
      <c r="A3052" s="75">
        <v>3051</v>
      </c>
      <c r="B3052" s="64">
        <v>2019</v>
      </c>
      <c r="C3052" s="64">
        <v>12</v>
      </c>
      <c r="D3052" s="80">
        <f t="shared" si="97"/>
        <v>2019</v>
      </c>
      <c r="E3052" t="s">
        <v>38</v>
      </c>
      <c r="F3052" t="s">
        <v>143</v>
      </c>
      <c r="G3052" t="s">
        <v>10</v>
      </c>
      <c r="H3052" s="72">
        <v>746</v>
      </c>
      <c r="I3052" s="72" t="s">
        <v>45</v>
      </c>
      <c r="J3052" t="str">
        <f t="shared" si="98"/>
        <v>Green - Duwamish River</v>
      </c>
      <c r="K3052" t="str">
        <f>IFERROR(VLOOKUP(J3052,LUTs!$A$1:$C$73,2,FALSE),"NA")</f>
        <v>King</v>
      </c>
      <c r="L3052" t="str">
        <f>IFERROR(VLOOKUP(J3052,LUTs!$A$1:$C$73,3,FALSE),"NA")</f>
        <v>3South Puget Sound</v>
      </c>
      <c r="M3052" s="72" t="s">
        <v>16</v>
      </c>
      <c r="N3052" t="str">
        <f>VLOOKUP(M3052,LUTs!E$2:H$14,3,)</f>
        <v>03Snohomish</v>
      </c>
      <c r="O3052" t="str">
        <f>VLOOKUP(M3052,LUTs!E$2:H$14,4,)</f>
        <v>01North Puget Sound</v>
      </c>
      <c r="P3052" s="73">
        <v>21.7777777777778</v>
      </c>
      <c r="Q3052" s="74">
        <f>VLOOKUP(B3052,Readme!A$40:C$51,2,)*P3052</f>
        <v>74.915555555555628</v>
      </c>
    </row>
    <row r="3053" spans="1:17" ht="12" customHeight="1" x14ac:dyDescent="0.35">
      <c r="A3053" s="75">
        <v>3052</v>
      </c>
      <c r="B3053" s="64">
        <v>2019</v>
      </c>
      <c r="C3053" s="64">
        <v>10</v>
      </c>
      <c r="D3053" s="80">
        <f t="shared" si="97"/>
        <v>2019</v>
      </c>
      <c r="E3053" t="s">
        <v>38</v>
      </c>
      <c r="F3053" t="s">
        <v>143</v>
      </c>
      <c r="G3053" t="s">
        <v>10</v>
      </c>
      <c r="H3053" s="72">
        <v>754</v>
      </c>
      <c r="I3053" s="72" t="s">
        <v>47</v>
      </c>
      <c r="J3053" t="str">
        <f t="shared" si="98"/>
        <v>Kennedy Creek</v>
      </c>
      <c r="K3053" t="str">
        <f>IFERROR(VLOOKUP(J3053,LUTs!$A$1:$C$73,2,FALSE),"NA")</f>
        <v>Mason/Thurston</v>
      </c>
      <c r="L3053" t="str">
        <f>IFERROR(VLOOKUP(J3053,LUTs!$A$1:$C$73,3,FALSE),"NA")</f>
        <v>3South Puget Sound</v>
      </c>
      <c r="M3053" s="72" t="s">
        <v>20</v>
      </c>
      <c r="N3053" t="str">
        <f>VLOOKUP(M3053,LUTs!E$2:H$14,3,)</f>
        <v>07Pierce</v>
      </c>
      <c r="O3053" t="str">
        <f>VLOOKUP(M3053,LUTs!E$2:H$14,4,)</f>
        <v>02South Puget Sound</v>
      </c>
      <c r="P3053" s="73">
        <v>11</v>
      </c>
      <c r="Q3053" s="74">
        <f>VLOOKUP(B3053,Readme!A$40:C$51,2,)*P3053</f>
        <v>37.839999999999996</v>
      </c>
    </row>
    <row r="3054" spans="1:17" ht="12" customHeight="1" x14ac:dyDescent="0.35">
      <c r="A3054" s="75">
        <v>3053</v>
      </c>
      <c r="B3054" s="64">
        <v>2019</v>
      </c>
      <c r="C3054" s="64">
        <v>11</v>
      </c>
      <c r="D3054" s="80">
        <f t="shared" si="97"/>
        <v>2019</v>
      </c>
      <c r="E3054" t="s">
        <v>38</v>
      </c>
      <c r="F3054" t="s">
        <v>143</v>
      </c>
      <c r="G3054" t="s">
        <v>10</v>
      </c>
      <c r="H3054" s="72">
        <v>754</v>
      </c>
      <c r="I3054" s="72" t="s">
        <v>47</v>
      </c>
      <c r="J3054" t="str">
        <f t="shared" si="98"/>
        <v>Kennedy Creek</v>
      </c>
      <c r="K3054" t="str">
        <f>IFERROR(VLOOKUP(J3054,LUTs!$A$1:$C$73,2,FALSE),"NA")</f>
        <v>Mason/Thurston</v>
      </c>
      <c r="L3054" t="str">
        <f>IFERROR(VLOOKUP(J3054,LUTs!$A$1:$C$73,3,FALSE),"NA")</f>
        <v>3South Puget Sound</v>
      </c>
      <c r="M3054" s="72" t="s">
        <v>20</v>
      </c>
      <c r="N3054" t="str">
        <f>VLOOKUP(M3054,LUTs!E$2:H$14,3,)</f>
        <v>07Pierce</v>
      </c>
      <c r="O3054" t="str">
        <f>VLOOKUP(M3054,LUTs!E$2:H$14,4,)</f>
        <v>02South Puget Sound</v>
      </c>
      <c r="P3054" s="73">
        <v>11</v>
      </c>
      <c r="Q3054" s="74">
        <f>VLOOKUP(B3054,Readme!A$40:C$51,2,)*P3054</f>
        <v>37.839999999999996</v>
      </c>
    </row>
    <row r="3055" spans="1:17" ht="12" customHeight="1" x14ac:dyDescent="0.35">
      <c r="A3055" s="75">
        <v>3054</v>
      </c>
      <c r="B3055" s="64">
        <v>2019</v>
      </c>
      <c r="C3055" s="64">
        <v>11</v>
      </c>
      <c r="D3055" s="80">
        <f t="shared" si="97"/>
        <v>2019</v>
      </c>
      <c r="E3055" t="s">
        <v>38</v>
      </c>
      <c r="F3055" t="s">
        <v>143</v>
      </c>
      <c r="G3055" t="s">
        <v>10</v>
      </c>
      <c r="H3055" s="72">
        <v>754</v>
      </c>
      <c r="I3055" s="72" t="s">
        <v>47</v>
      </c>
      <c r="J3055" t="str">
        <f t="shared" si="98"/>
        <v>Kennedy Creek</v>
      </c>
      <c r="K3055" t="str">
        <f>IFERROR(VLOOKUP(J3055,LUTs!$A$1:$C$73,2,FALSE),"NA")</f>
        <v>Mason/Thurston</v>
      </c>
      <c r="L3055" t="str">
        <f>IFERROR(VLOOKUP(J3055,LUTs!$A$1:$C$73,3,FALSE),"NA")</f>
        <v>3South Puget Sound</v>
      </c>
      <c r="M3055" s="72" t="s">
        <v>21</v>
      </c>
      <c r="N3055" t="str">
        <f>VLOOKUP(M3055,LUTs!E$2:H$14,3,)</f>
        <v>08Thurston</v>
      </c>
      <c r="O3055" t="str">
        <f>VLOOKUP(M3055,LUTs!E$2:H$14,4,)</f>
        <v>02South Puget Sound</v>
      </c>
      <c r="P3055" s="73">
        <v>11</v>
      </c>
      <c r="Q3055" s="74">
        <f>VLOOKUP(B3055,Readme!A$40:C$51,2,)*P3055</f>
        <v>37.839999999999996</v>
      </c>
    </row>
    <row r="3056" spans="1:17" ht="12" customHeight="1" x14ac:dyDescent="0.35">
      <c r="A3056" s="75">
        <v>3055</v>
      </c>
      <c r="B3056" s="64">
        <v>2019</v>
      </c>
      <c r="C3056" s="64">
        <v>9</v>
      </c>
      <c r="D3056" s="80">
        <f t="shared" si="97"/>
        <v>2019</v>
      </c>
      <c r="E3056" t="s">
        <v>38</v>
      </c>
      <c r="F3056" t="s">
        <v>143</v>
      </c>
      <c r="G3056" t="s">
        <v>10</v>
      </c>
      <c r="H3056" s="72">
        <v>762</v>
      </c>
      <c r="I3056" s="72" t="s">
        <v>48</v>
      </c>
      <c r="J3056" t="str">
        <f t="shared" si="98"/>
        <v>Lake Washington</v>
      </c>
      <c r="K3056" t="str">
        <f>IFERROR(VLOOKUP(J3056,LUTs!$A$1:$C$73,2,FALSE),"NA")</f>
        <v>King</v>
      </c>
      <c r="L3056" t="str">
        <f>IFERROR(VLOOKUP(J3056,LUTs!$A$1:$C$73,3,FALSE),"NA")</f>
        <v>2Central Puget Sound</v>
      </c>
      <c r="M3056" s="72" t="s">
        <v>18</v>
      </c>
      <c r="N3056" t="str">
        <f>VLOOKUP(M3056,LUTs!E$2:H$14,3,)</f>
        <v>06King</v>
      </c>
      <c r="O3056" t="str">
        <f>VLOOKUP(M3056,LUTs!E$2:H$14,4,)</f>
        <v>02South Puget Sound</v>
      </c>
      <c r="P3056" s="73">
        <v>451</v>
      </c>
      <c r="Q3056" s="74">
        <f>VLOOKUP(B3056,Readme!A$40:C$51,2,)*P3056</f>
        <v>1551.44</v>
      </c>
    </row>
    <row r="3057" spans="1:17" ht="12" customHeight="1" x14ac:dyDescent="0.35">
      <c r="A3057" s="75">
        <v>3056</v>
      </c>
      <c r="B3057" s="64">
        <v>2019</v>
      </c>
      <c r="C3057" s="64">
        <v>9</v>
      </c>
      <c r="D3057" s="80">
        <f t="shared" si="97"/>
        <v>2019</v>
      </c>
      <c r="E3057" t="s">
        <v>38</v>
      </c>
      <c r="F3057" t="s">
        <v>143</v>
      </c>
      <c r="G3057" t="s">
        <v>10</v>
      </c>
      <c r="H3057" s="72">
        <v>762</v>
      </c>
      <c r="I3057" s="72" t="s">
        <v>48</v>
      </c>
      <c r="J3057" t="str">
        <f t="shared" si="98"/>
        <v>Lake Washington</v>
      </c>
      <c r="K3057" t="str">
        <f>IFERROR(VLOOKUP(J3057,LUTs!$A$1:$C$73,2,FALSE),"NA")</f>
        <v>King</v>
      </c>
      <c r="L3057" t="str">
        <f>IFERROR(VLOOKUP(J3057,LUTs!$A$1:$C$73,3,FALSE),"NA")</f>
        <v>2Central Puget Sound</v>
      </c>
      <c r="M3057" s="72" t="s">
        <v>16</v>
      </c>
      <c r="N3057" t="str">
        <f>VLOOKUP(M3057,LUTs!E$2:H$14,3,)</f>
        <v>03Snohomish</v>
      </c>
      <c r="O3057" t="str">
        <f>VLOOKUP(M3057,LUTs!E$2:H$14,4,)</f>
        <v>01North Puget Sound</v>
      </c>
      <c r="P3057" s="73">
        <v>99</v>
      </c>
      <c r="Q3057" s="74">
        <f>VLOOKUP(B3057,Readme!A$40:C$51,2,)*P3057</f>
        <v>340.56</v>
      </c>
    </row>
    <row r="3058" spans="1:17" ht="12" customHeight="1" x14ac:dyDescent="0.35">
      <c r="A3058" s="75">
        <v>3057</v>
      </c>
      <c r="B3058" s="64">
        <v>2019</v>
      </c>
      <c r="C3058" s="64">
        <v>8</v>
      </c>
      <c r="D3058" s="80">
        <f t="shared" si="97"/>
        <v>2019</v>
      </c>
      <c r="E3058" t="s">
        <v>38</v>
      </c>
      <c r="F3058" t="s">
        <v>143</v>
      </c>
      <c r="G3058" t="s">
        <v>10</v>
      </c>
      <c r="H3058" s="72">
        <v>764</v>
      </c>
      <c r="I3058" s="72" t="s">
        <v>49</v>
      </c>
      <c r="J3058" t="str">
        <f t="shared" si="98"/>
        <v>Lake Sammamish</v>
      </c>
      <c r="K3058" t="str">
        <f>IFERROR(VLOOKUP(J3058,LUTs!$A$1:$C$73,2,FALSE),"NA")</f>
        <v>King</v>
      </c>
      <c r="L3058" t="str">
        <f>IFERROR(VLOOKUP(J3058,LUTs!$A$1:$C$73,3,FALSE),"NA")</f>
        <v>2Central Puget Sound</v>
      </c>
      <c r="M3058" s="72" t="s">
        <v>20</v>
      </c>
      <c r="N3058" t="str">
        <f>VLOOKUP(M3058,LUTs!E$2:H$14,3,)</f>
        <v>07Pierce</v>
      </c>
      <c r="O3058" t="str">
        <f>VLOOKUP(M3058,LUTs!E$2:H$14,4,)</f>
        <v>02South Puget Sound</v>
      </c>
      <c r="P3058" s="73">
        <v>44</v>
      </c>
      <c r="Q3058" s="74">
        <f>VLOOKUP(B3058,Readme!A$40:C$51,2,)*P3058</f>
        <v>151.35999999999999</v>
      </c>
    </row>
    <row r="3059" spans="1:17" ht="12" customHeight="1" x14ac:dyDescent="0.35">
      <c r="A3059" s="75">
        <v>3058</v>
      </c>
      <c r="B3059" s="64">
        <v>2019</v>
      </c>
      <c r="C3059" s="64">
        <v>9</v>
      </c>
      <c r="D3059" s="80">
        <f t="shared" si="97"/>
        <v>2019</v>
      </c>
      <c r="E3059" t="s">
        <v>38</v>
      </c>
      <c r="F3059" t="s">
        <v>143</v>
      </c>
      <c r="G3059" t="s">
        <v>10</v>
      </c>
      <c r="H3059" s="72">
        <v>764</v>
      </c>
      <c r="I3059" s="72" t="s">
        <v>49</v>
      </c>
      <c r="J3059" t="str">
        <f t="shared" si="98"/>
        <v>Lake Sammamish</v>
      </c>
      <c r="K3059" t="str">
        <f>IFERROR(VLOOKUP(J3059,LUTs!$A$1:$C$73,2,FALSE),"NA")</f>
        <v>King</v>
      </c>
      <c r="L3059" t="str">
        <f>IFERROR(VLOOKUP(J3059,LUTs!$A$1:$C$73,3,FALSE),"NA")</f>
        <v>2Central Puget Sound</v>
      </c>
      <c r="M3059" s="72" t="s">
        <v>18</v>
      </c>
      <c r="N3059" t="str">
        <f>VLOOKUP(M3059,LUTs!E$2:H$14,3,)</f>
        <v>06King</v>
      </c>
      <c r="O3059" t="str">
        <f>VLOOKUP(M3059,LUTs!E$2:H$14,4,)</f>
        <v>02South Puget Sound</v>
      </c>
      <c r="P3059" s="73">
        <v>11</v>
      </c>
      <c r="Q3059" s="74">
        <f>VLOOKUP(B3059,Readme!A$40:C$51,2,)*P3059</f>
        <v>37.839999999999996</v>
      </c>
    </row>
    <row r="3060" spans="1:17" ht="12" customHeight="1" x14ac:dyDescent="0.35">
      <c r="A3060" s="75">
        <v>3059</v>
      </c>
      <c r="B3060" s="64">
        <v>2019</v>
      </c>
      <c r="C3060" s="64">
        <v>11</v>
      </c>
      <c r="D3060" s="80">
        <f t="shared" si="97"/>
        <v>2019</v>
      </c>
      <c r="E3060" t="s">
        <v>38</v>
      </c>
      <c r="F3060" t="s">
        <v>143</v>
      </c>
      <c r="G3060" t="s">
        <v>10</v>
      </c>
      <c r="H3060" s="72">
        <v>764</v>
      </c>
      <c r="I3060" s="72" t="s">
        <v>49</v>
      </c>
      <c r="J3060" t="str">
        <f t="shared" si="98"/>
        <v>Lake Sammamish</v>
      </c>
      <c r="K3060" t="str">
        <f>IFERROR(VLOOKUP(J3060,LUTs!$A$1:$C$73,2,FALSE),"NA")</f>
        <v>King</v>
      </c>
      <c r="L3060" t="str">
        <f>IFERROR(VLOOKUP(J3060,LUTs!$A$1:$C$73,3,FALSE),"NA")</f>
        <v>2Central Puget Sound</v>
      </c>
      <c r="M3060" s="72" t="s">
        <v>20</v>
      </c>
      <c r="N3060" t="str">
        <f>VLOOKUP(M3060,LUTs!E$2:H$14,3,)</f>
        <v>07Pierce</v>
      </c>
      <c r="O3060" t="str">
        <f>VLOOKUP(M3060,LUTs!E$2:H$14,4,)</f>
        <v>02South Puget Sound</v>
      </c>
      <c r="P3060" s="73">
        <v>22</v>
      </c>
      <c r="Q3060" s="74">
        <f>VLOOKUP(B3060,Readme!A$40:C$51,2,)*P3060</f>
        <v>75.679999999999993</v>
      </c>
    </row>
    <row r="3061" spans="1:17" ht="12" customHeight="1" x14ac:dyDescent="0.35">
      <c r="A3061" s="75">
        <v>3060</v>
      </c>
      <c r="B3061" s="64">
        <v>2019</v>
      </c>
      <c r="C3061" s="64">
        <v>8</v>
      </c>
      <c r="D3061" s="80">
        <f t="shared" si="97"/>
        <v>2019</v>
      </c>
      <c r="E3061" t="s">
        <v>38</v>
      </c>
      <c r="F3061" t="s">
        <v>143</v>
      </c>
      <c r="G3061" t="s">
        <v>10</v>
      </c>
      <c r="H3061" s="72">
        <v>768</v>
      </c>
      <c r="I3061" s="72" t="s">
        <v>79</v>
      </c>
      <c r="J3061" t="str">
        <f t="shared" si="98"/>
        <v>Lyre River</v>
      </c>
      <c r="K3061" t="str">
        <f>IFERROR(VLOOKUP(J3061,LUTs!$A$1:$C$73,2,FALSE),"NA")</f>
        <v>Clallam</v>
      </c>
      <c r="L3061" t="str">
        <f>IFERROR(VLOOKUP(J3061,LUTs!$A$1:$C$73,3,FALSE),"NA")</f>
        <v>0Strait of Juan de Fuca</v>
      </c>
      <c r="M3061" s="72" t="s">
        <v>16</v>
      </c>
      <c r="N3061" t="str">
        <f>VLOOKUP(M3061,LUTs!E$2:H$14,3,)</f>
        <v>03Snohomish</v>
      </c>
      <c r="O3061" t="str">
        <f>VLOOKUP(M3061,LUTs!E$2:H$14,4,)</f>
        <v>01North Puget Sound</v>
      </c>
      <c r="P3061" s="73">
        <v>0</v>
      </c>
      <c r="Q3061" s="74">
        <f>VLOOKUP(B3061,Readme!A$40:C$51,2,)*P3061</f>
        <v>0</v>
      </c>
    </row>
    <row r="3062" spans="1:17" ht="12" customHeight="1" x14ac:dyDescent="0.35">
      <c r="A3062" s="75">
        <v>3061</v>
      </c>
      <c r="B3062" s="64">
        <v>2019</v>
      </c>
      <c r="C3062" s="64">
        <v>8</v>
      </c>
      <c r="D3062" s="80">
        <f t="shared" si="97"/>
        <v>2019</v>
      </c>
      <c r="E3062" t="s">
        <v>38</v>
      </c>
      <c r="F3062" t="s">
        <v>143</v>
      </c>
      <c r="G3062" t="s">
        <v>10</v>
      </c>
      <c r="H3062" s="72">
        <v>768</v>
      </c>
      <c r="I3062" s="72" t="s">
        <v>79</v>
      </c>
      <c r="J3062" t="str">
        <f t="shared" si="98"/>
        <v>Lyre River</v>
      </c>
      <c r="K3062" t="str">
        <f>IFERROR(VLOOKUP(J3062,LUTs!$A$1:$C$73,2,FALSE),"NA")</f>
        <v>Clallam</v>
      </c>
      <c r="L3062" t="str">
        <f>IFERROR(VLOOKUP(J3062,LUTs!$A$1:$C$73,3,FALSE),"NA")</f>
        <v>0Strait of Juan de Fuca</v>
      </c>
      <c r="M3062" s="72" t="s">
        <v>21</v>
      </c>
      <c r="N3062" t="str">
        <f>VLOOKUP(M3062,LUTs!E$2:H$14,3,)</f>
        <v>08Thurston</v>
      </c>
      <c r="O3062" t="str">
        <f>VLOOKUP(M3062,LUTs!E$2:H$14,4,)</f>
        <v>02South Puget Sound</v>
      </c>
      <c r="P3062" s="73">
        <v>0</v>
      </c>
      <c r="Q3062" s="74">
        <f>VLOOKUP(B3062,Readme!A$40:C$51,2,)*P3062</f>
        <v>0</v>
      </c>
    </row>
    <row r="3063" spans="1:17" ht="12" customHeight="1" x14ac:dyDescent="0.35">
      <c r="A3063" s="75">
        <v>3062</v>
      </c>
      <c r="B3063" s="64">
        <v>2019</v>
      </c>
      <c r="C3063" s="64">
        <v>9</v>
      </c>
      <c r="D3063" s="80">
        <f t="shared" si="97"/>
        <v>2019</v>
      </c>
      <c r="E3063" t="s">
        <v>38</v>
      </c>
      <c r="F3063" t="s">
        <v>143</v>
      </c>
      <c r="G3063" t="s">
        <v>10</v>
      </c>
      <c r="H3063" s="72">
        <v>768</v>
      </c>
      <c r="I3063" s="72" t="s">
        <v>79</v>
      </c>
      <c r="J3063" t="str">
        <f t="shared" si="98"/>
        <v>Lyre River</v>
      </c>
      <c r="K3063" t="str">
        <f>IFERROR(VLOOKUP(J3063,LUTs!$A$1:$C$73,2,FALSE),"NA")</f>
        <v>Clallam</v>
      </c>
      <c r="L3063" t="str">
        <f>IFERROR(VLOOKUP(J3063,LUTs!$A$1:$C$73,3,FALSE),"NA")</f>
        <v>0Strait of Juan de Fuca</v>
      </c>
      <c r="M3063" s="72" t="s">
        <v>20</v>
      </c>
      <c r="N3063" t="str">
        <f>VLOOKUP(M3063,LUTs!E$2:H$14,3,)</f>
        <v>07Pierce</v>
      </c>
      <c r="O3063" t="str">
        <f>VLOOKUP(M3063,LUTs!E$2:H$14,4,)</f>
        <v>02South Puget Sound</v>
      </c>
      <c r="P3063" s="73">
        <v>0</v>
      </c>
      <c r="Q3063" s="74">
        <f>VLOOKUP(B3063,Readme!A$40:C$51,2,)*P3063</f>
        <v>0</v>
      </c>
    </row>
    <row r="3064" spans="1:17" ht="12" customHeight="1" x14ac:dyDescent="0.35">
      <c r="A3064" s="75">
        <v>3063</v>
      </c>
      <c r="B3064" s="64">
        <v>2019</v>
      </c>
      <c r="C3064" s="64">
        <v>9</v>
      </c>
      <c r="D3064" s="80">
        <f t="shared" si="97"/>
        <v>2019</v>
      </c>
      <c r="E3064" t="s">
        <v>38</v>
      </c>
      <c r="F3064" t="s">
        <v>143</v>
      </c>
      <c r="G3064" t="s">
        <v>10</v>
      </c>
      <c r="H3064" s="72">
        <v>778</v>
      </c>
      <c r="I3064" s="72" t="s">
        <v>50</v>
      </c>
      <c r="J3064" t="str">
        <f t="shared" si="98"/>
        <v>Minter Creek</v>
      </c>
      <c r="K3064" t="str">
        <f>IFERROR(VLOOKUP(J3064,LUTs!$A$1:$C$73,2,FALSE),"NA")</f>
        <v>Kitsap/Pierce</v>
      </c>
      <c r="L3064" t="str">
        <f>IFERROR(VLOOKUP(J3064,LUTs!$A$1:$C$73,3,FALSE),"NA")</f>
        <v>3South Puget Sound</v>
      </c>
      <c r="M3064" s="72" t="s">
        <v>18</v>
      </c>
      <c r="N3064" t="str">
        <f>VLOOKUP(M3064,LUTs!E$2:H$14,3,)</f>
        <v>06King</v>
      </c>
      <c r="O3064" t="str">
        <f>VLOOKUP(M3064,LUTs!E$2:H$14,4,)</f>
        <v>02South Puget Sound</v>
      </c>
      <c r="P3064" s="73">
        <v>43.047619047619101</v>
      </c>
      <c r="Q3064" s="74">
        <f>VLOOKUP(B3064,Readme!A$40:C$51,2,)*P3064</f>
        <v>148.08380952380969</v>
      </c>
    </row>
    <row r="3065" spans="1:17" ht="12" customHeight="1" x14ac:dyDescent="0.35">
      <c r="A3065" s="75">
        <v>3064</v>
      </c>
      <c r="B3065" s="64">
        <v>2019</v>
      </c>
      <c r="C3065" s="64">
        <v>9</v>
      </c>
      <c r="D3065" s="80">
        <f t="shared" si="97"/>
        <v>2019</v>
      </c>
      <c r="E3065" t="s">
        <v>38</v>
      </c>
      <c r="F3065" t="s">
        <v>143</v>
      </c>
      <c r="G3065" t="s">
        <v>10</v>
      </c>
      <c r="H3065" s="72">
        <v>778</v>
      </c>
      <c r="I3065" s="72" t="s">
        <v>50</v>
      </c>
      <c r="J3065" t="str">
        <f t="shared" si="98"/>
        <v>Minter Creek</v>
      </c>
      <c r="K3065" t="str">
        <f>IFERROR(VLOOKUP(J3065,LUTs!$A$1:$C$73,2,FALSE),"NA")</f>
        <v>Kitsap/Pierce</v>
      </c>
      <c r="L3065" t="str">
        <f>IFERROR(VLOOKUP(J3065,LUTs!$A$1:$C$73,3,FALSE),"NA")</f>
        <v>3South Puget Sound</v>
      </c>
      <c r="M3065" s="72" t="s">
        <v>23</v>
      </c>
      <c r="N3065" t="str">
        <f>VLOOKUP(M3065,LUTs!E$2:H$14,3,)</f>
        <v>10Kitsap</v>
      </c>
      <c r="O3065" t="str">
        <f>VLOOKUP(M3065,LUTs!E$2:H$14,4,)</f>
        <v>02South Puget Sound</v>
      </c>
      <c r="P3065" s="73">
        <v>139.90476190476201</v>
      </c>
      <c r="Q3065" s="74">
        <f>VLOOKUP(B3065,Readme!A$40:C$51,2,)*P3065</f>
        <v>481.2723809523813</v>
      </c>
    </row>
    <row r="3066" spans="1:17" ht="12" customHeight="1" x14ac:dyDescent="0.35">
      <c r="A3066" s="75">
        <v>3065</v>
      </c>
      <c r="B3066" s="64">
        <v>2019</v>
      </c>
      <c r="C3066" s="64">
        <v>9</v>
      </c>
      <c r="D3066" s="80">
        <f t="shared" ref="D3066:D3129" si="99">IF(C3066&gt;3,B3066,B3066-1)</f>
        <v>2019</v>
      </c>
      <c r="E3066" t="s">
        <v>38</v>
      </c>
      <c r="F3066" t="s">
        <v>143</v>
      </c>
      <c r="G3066" t="s">
        <v>10</v>
      </c>
      <c r="H3066" s="72">
        <v>778</v>
      </c>
      <c r="I3066" s="72" t="s">
        <v>50</v>
      </c>
      <c r="J3066" t="str">
        <f t="shared" si="98"/>
        <v>Minter Creek</v>
      </c>
      <c r="K3066" t="str">
        <f>IFERROR(VLOOKUP(J3066,LUTs!$A$1:$C$73,2,FALSE),"NA")</f>
        <v>Kitsap/Pierce</v>
      </c>
      <c r="L3066" t="str">
        <f>IFERROR(VLOOKUP(J3066,LUTs!$A$1:$C$73,3,FALSE),"NA")</f>
        <v>3South Puget Sound</v>
      </c>
      <c r="M3066" s="72" t="s">
        <v>20</v>
      </c>
      <c r="N3066" t="str">
        <f>VLOOKUP(M3066,LUTs!E$2:H$14,3,)</f>
        <v>07Pierce</v>
      </c>
      <c r="O3066" t="str">
        <f>VLOOKUP(M3066,LUTs!E$2:H$14,4,)</f>
        <v>02South Puget Sound</v>
      </c>
      <c r="P3066" s="73">
        <v>43.047619047619101</v>
      </c>
      <c r="Q3066" s="74">
        <f>VLOOKUP(B3066,Readme!A$40:C$51,2,)*P3066</f>
        <v>148.08380952380969</v>
      </c>
    </row>
    <row r="3067" spans="1:17" ht="12" customHeight="1" x14ac:dyDescent="0.35">
      <c r="A3067" s="75">
        <v>3066</v>
      </c>
      <c r="B3067" s="64">
        <v>2019</v>
      </c>
      <c r="C3067" s="64">
        <v>10</v>
      </c>
      <c r="D3067" s="80">
        <f t="shared" si="99"/>
        <v>2019</v>
      </c>
      <c r="E3067" t="s">
        <v>38</v>
      </c>
      <c r="F3067" t="s">
        <v>143</v>
      </c>
      <c r="G3067" t="s">
        <v>10</v>
      </c>
      <c r="H3067" s="72">
        <v>778</v>
      </c>
      <c r="I3067" s="72" t="s">
        <v>50</v>
      </c>
      <c r="J3067" t="str">
        <f t="shared" si="98"/>
        <v>Minter Creek</v>
      </c>
      <c r="K3067" t="str">
        <f>IFERROR(VLOOKUP(J3067,LUTs!$A$1:$C$73,2,FALSE),"NA")</f>
        <v>Kitsap/Pierce</v>
      </c>
      <c r="L3067" t="str">
        <f>IFERROR(VLOOKUP(J3067,LUTs!$A$1:$C$73,3,FALSE),"NA")</f>
        <v>3South Puget Sound</v>
      </c>
      <c r="M3067" s="72" t="s">
        <v>18</v>
      </c>
      <c r="N3067" t="str">
        <f>VLOOKUP(M3067,LUTs!E$2:H$14,3,)</f>
        <v>06King</v>
      </c>
      <c r="O3067" t="str">
        <f>VLOOKUP(M3067,LUTs!E$2:H$14,4,)</f>
        <v>02South Puget Sound</v>
      </c>
      <c r="P3067" s="73">
        <v>32.290909090909103</v>
      </c>
      <c r="Q3067" s="74">
        <f>VLOOKUP(B3067,Readme!A$40:C$51,2,)*P3067</f>
        <v>111.08072727272732</v>
      </c>
    </row>
    <row r="3068" spans="1:17" ht="12" customHeight="1" x14ac:dyDescent="0.35">
      <c r="A3068" s="75">
        <v>3067</v>
      </c>
      <c r="B3068" s="64">
        <v>2019</v>
      </c>
      <c r="C3068" s="64">
        <v>10</v>
      </c>
      <c r="D3068" s="80">
        <f t="shared" si="99"/>
        <v>2019</v>
      </c>
      <c r="E3068" t="s">
        <v>38</v>
      </c>
      <c r="F3068" t="s">
        <v>143</v>
      </c>
      <c r="G3068" t="s">
        <v>10</v>
      </c>
      <c r="H3068" s="72">
        <v>778</v>
      </c>
      <c r="I3068" s="72" t="s">
        <v>50</v>
      </c>
      <c r="J3068" t="str">
        <f t="shared" si="98"/>
        <v>Minter Creek</v>
      </c>
      <c r="K3068" t="str">
        <f>IFERROR(VLOOKUP(J3068,LUTs!$A$1:$C$73,2,FALSE),"NA")</f>
        <v>Kitsap/Pierce</v>
      </c>
      <c r="L3068" t="str">
        <f>IFERROR(VLOOKUP(J3068,LUTs!$A$1:$C$73,3,FALSE),"NA")</f>
        <v>3South Puget Sound</v>
      </c>
      <c r="M3068" s="72" t="s">
        <v>23</v>
      </c>
      <c r="N3068" t="str">
        <f>VLOOKUP(M3068,LUTs!E$2:H$14,3,)</f>
        <v>10Kitsap</v>
      </c>
      <c r="O3068" t="str">
        <f>VLOOKUP(M3068,LUTs!E$2:H$14,4,)</f>
        <v>02South Puget Sound</v>
      </c>
      <c r="P3068" s="73">
        <v>226.036363636364</v>
      </c>
      <c r="Q3068" s="74">
        <f>VLOOKUP(B3068,Readme!A$40:C$51,2,)*P3068</f>
        <v>777.56509090909219</v>
      </c>
    </row>
    <row r="3069" spans="1:17" ht="12" customHeight="1" x14ac:dyDescent="0.35">
      <c r="A3069" s="75">
        <v>3068</v>
      </c>
      <c r="B3069" s="64">
        <v>2019</v>
      </c>
      <c r="C3069" s="64">
        <v>10</v>
      </c>
      <c r="D3069" s="80">
        <f t="shared" si="99"/>
        <v>2019</v>
      </c>
      <c r="E3069" t="s">
        <v>38</v>
      </c>
      <c r="F3069" t="s">
        <v>143</v>
      </c>
      <c r="G3069" t="s">
        <v>10</v>
      </c>
      <c r="H3069" s="72">
        <v>778</v>
      </c>
      <c r="I3069" s="72" t="s">
        <v>50</v>
      </c>
      <c r="J3069" t="str">
        <f t="shared" si="98"/>
        <v>Minter Creek</v>
      </c>
      <c r="K3069" t="str">
        <f>IFERROR(VLOOKUP(J3069,LUTs!$A$1:$C$73,2,FALSE),"NA")</f>
        <v>Kitsap/Pierce</v>
      </c>
      <c r="L3069" t="str">
        <f>IFERROR(VLOOKUP(J3069,LUTs!$A$1:$C$73,3,FALSE),"NA")</f>
        <v>3South Puget Sound</v>
      </c>
      <c r="M3069" s="72" t="s">
        <v>20</v>
      </c>
      <c r="N3069" t="str">
        <f>VLOOKUP(M3069,LUTs!E$2:H$14,3,)</f>
        <v>07Pierce</v>
      </c>
      <c r="O3069" t="str">
        <f>VLOOKUP(M3069,LUTs!E$2:H$14,4,)</f>
        <v>02South Puget Sound</v>
      </c>
      <c r="P3069" s="73">
        <v>204.50909090909099</v>
      </c>
      <c r="Q3069" s="74">
        <f>VLOOKUP(B3069,Readme!A$40:C$51,2,)*P3069</f>
        <v>703.51127272727297</v>
      </c>
    </row>
    <row r="3070" spans="1:17" ht="12" customHeight="1" x14ac:dyDescent="0.35">
      <c r="A3070" s="75">
        <v>3069</v>
      </c>
      <c r="B3070" s="64">
        <v>2019</v>
      </c>
      <c r="C3070" s="64">
        <v>10</v>
      </c>
      <c r="D3070" s="80">
        <f t="shared" si="99"/>
        <v>2019</v>
      </c>
      <c r="E3070" t="s">
        <v>38</v>
      </c>
      <c r="F3070" t="s">
        <v>143</v>
      </c>
      <c r="G3070" t="s">
        <v>10</v>
      </c>
      <c r="H3070" s="72">
        <v>778</v>
      </c>
      <c r="I3070" s="72" t="s">
        <v>50</v>
      </c>
      <c r="J3070" t="str">
        <f t="shared" si="98"/>
        <v>Minter Creek</v>
      </c>
      <c r="K3070" t="str">
        <f>IFERROR(VLOOKUP(J3070,LUTs!$A$1:$C$73,2,FALSE),"NA")</f>
        <v>Kitsap/Pierce</v>
      </c>
      <c r="L3070" t="str">
        <f>IFERROR(VLOOKUP(J3070,LUTs!$A$1:$C$73,3,FALSE),"NA")</f>
        <v>3South Puget Sound</v>
      </c>
      <c r="M3070" s="72" t="s">
        <v>16</v>
      </c>
      <c r="N3070" t="str">
        <f>VLOOKUP(M3070,LUTs!E$2:H$14,3,)</f>
        <v>03Snohomish</v>
      </c>
      <c r="O3070" t="str">
        <f>VLOOKUP(M3070,LUTs!E$2:H$14,4,)</f>
        <v>01North Puget Sound</v>
      </c>
      <c r="P3070" s="73">
        <v>10.763636363636399</v>
      </c>
      <c r="Q3070" s="74">
        <f>VLOOKUP(B3070,Readme!A$40:C$51,2,)*P3070</f>
        <v>37.026909090909214</v>
      </c>
    </row>
    <row r="3071" spans="1:17" ht="12" customHeight="1" x14ac:dyDescent="0.35">
      <c r="A3071" s="75">
        <v>3070</v>
      </c>
      <c r="B3071" s="64">
        <v>2019</v>
      </c>
      <c r="C3071" s="64">
        <v>10</v>
      </c>
      <c r="D3071" s="80">
        <f t="shared" si="99"/>
        <v>2019</v>
      </c>
      <c r="E3071" t="s">
        <v>38</v>
      </c>
      <c r="F3071" t="s">
        <v>143</v>
      </c>
      <c r="G3071" t="s">
        <v>10</v>
      </c>
      <c r="H3071" s="72">
        <v>778</v>
      </c>
      <c r="I3071" s="72" t="s">
        <v>50</v>
      </c>
      <c r="J3071" t="str">
        <f t="shared" si="98"/>
        <v>Minter Creek</v>
      </c>
      <c r="K3071" t="str">
        <f>IFERROR(VLOOKUP(J3071,LUTs!$A$1:$C$73,2,FALSE),"NA")</f>
        <v>Kitsap/Pierce</v>
      </c>
      <c r="L3071" t="str">
        <f>IFERROR(VLOOKUP(J3071,LUTs!$A$1:$C$73,3,FALSE),"NA")</f>
        <v>3South Puget Sound</v>
      </c>
      <c r="M3071" s="72" t="s">
        <v>21</v>
      </c>
      <c r="N3071" t="str">
        <f>VLOOKUP(M3071,LUTs!E$2:H$14,3,)</f>
        <v>08Thurston</v>
      </c>
      <c r="O3071" t="str">
        <f>VLOOKUP(M3071,LUTs!E$2:H$14,4,)</f>
        <v>02South Puget Sound</v>
      </c>
      <c r="P3071" s="73">
        <v>118.4</v>
      </c>
      <c r="Q3071" s="74">
        <f>VLOOKUP(B3071,Readme!A$40:C$51,2,)*P3071</f>
        <v>407.29599999999999</v>
      </c>
    </row>
    <row r="3072" spans="1:17" ht="12" customHeight="1" x14ac:dyDescent="0.35">
      <c r="A3072" s="75">
        <v>3071</v>
      </c>
      <c r="B3072" s="64">
        <v>2019</v>
      </c>
      <c r="C3072" s="64">
        <v>11</v>
      </c>
      <c r="D3072" s="80">
        <f t="shared" si="99"/>
        <v>2019</v>
      </c>
      <c r="E3072" t="s">
        <v>38</v>
      </c>
      <c r="F3072" t="s">
        <v>143</v>
      </c>
      <c r="G3072" t="s">
        <v>10</v>
      </c>
      <c r="H3072" s="72">
        <v>778</v>
      </c>
      <c r="I3072" s="72" t="s">
        <v>50</v>
      </c>
      <c r="J3072" t="str">
        <f t="shared" si="98"/>
        <v>Minter Creek</v>
      </c>
      <c r="K3072" t="str">
        <f>IFERROR(VLOOKUP(J3072,LUTs!$A$1:$C$73,2,FALSE),"NA")</f>
        <v>Kitsap/Pierce</v>
      </c>
      <c r="L3072" t="str">
        <f>IFERROR(VLOOKUP(J3072,LUTs!$A$1:$C$73,3,FALSE),"NA")</f>
        <v>3South Puget Sound</v>
      </c>
      <c r="M3072" s="72" t="s">
        <v>17</v>
      </c>
      <c r="N3072" t="str">
        <f>VLOOKUP(M3072,LUTs!E$2:H$14,3,)</f>
        <v>04Island</v>
      </c>
      <c r="O3072" t="str">
        <f>VLOOKUP(M3072,LUTs!E$2:H$14,4,)</f>
        <v>01North Puget Sound</v>
      </c>
      <c r="P3072" s="73">
        <v>10.752808988764</v>
      </c>
      <c r="Q3072" s="74">
        <f>VLOOKUP(B3072,Readme!A$40:C$51,2,)*P3072</f>
        <v>36.989662921348163</v>
      </c>
    </row>
    <row r="3073" spans="1:17" ht="12" customHeight="1" x14ac:dyDescent="0.35">
      <c r="A3073" s="75">
        <v>3072</v>
      </c>
      <c r="B3073" s="64">
        <v>2019</v>
      </c>
      <c r="C3073" s="64">
        <v>11</v>
      </c>
      <c r="D3073" s="80">
        <f t="shared" si="99"/>
        <v>2019</v>
      </c>
      <c r="E3073" t="s">
        <v>38</v>
      </c>
      <c r="F3073" t="s">
        <v>143</v>
      </c>
      <c r="G3073" t="s">
        <v>10</v>
      </c>
      <c r="H3073" s="72">
        <v>778</v>
      </c>
      <c r="I3073" s="72" t="s">
        <v>50</v>
      </c>
      <c r="J3073" t="str">
        <f t="shared" si="98"/>
        <v>Minter Creek</v>
      </c>
      <c r="K3073" t="str">
        <f>IFERROR(VLOOKUP(J3073,LUTs!$A$1:$C$73,2,FALSE),"NA")</f>
        <v>Kitsap/Pierce</v>
      </c>
      <c r="L3073" t="str">
        <f>IFERROR(VLOOKUP(J3073,LUTs!$A$1:$C$73,3,FALSE),"NA")</f>
        <v>3South Puget Sound</v>
      </c>
      <c r="M3073" s="72" t="s">
        <v>18</v>
      </c>
      <c r="N3073" t="str">
        <f>VLOOKUP(M3073,LUTs!E$2:H$14,3,)</f>
        <v>06King</v>
      </c>
      <c r="O3073" t="str">
        <f>VLOOKUP(M3073,LUTs!E$2:H$14,4,)</f>
        <v>02South Puget Sound</v>
      </c>
      <c r="P3073" s="73">
        <v>430.11235955056202</v>
      </c>
      <c r="Q3073" s="74">
        <f>VLOOKUP(B3073,Readme!A$40:C$51,2,)*P3073</f>
        <v>1479.5865168539333</v>
      </c>
    </row>
    <row r="3074" spans="1:17" ht="12" customHeight="1" x14ac:dyDescent="0.35">
      <c r="A3074" s="75">
        <v>3073</v>
      </c>
      <c r="B3074" s="64">
        <v>2019</v>
      </c>
      <c r="C3074" s="64">
        <v>11</v>
      </c>
      <c r="D3074" s="80">
        <f t="shared" si="99"/>
        <v>2019</v>
      </c>
      <c r="E3074" t="s">
        <v>38</v>
      </c>
      <c r="F3074" t="s">
        <v>143</v>
      </c>
      <c r="G3074" t="s">
        <v>10</v>
      </c>
      <c r="H3074" s="72">
        <v>778</v>
      </c>
      <c r="I3074" s="72" t="s">
        <v>50</v>
      </c>
      <c r="J3074" t="str">
        <f t="shared" si="98"/>
        <v>Minter Creek</v>
      </c>
      <c r="K3074" t="str">
        <f>IFERROR(VLOOKUP(J3074,LUTs!$A$1:$C$73,2,FALSE),"NA")</f>
        <v>Kitsap/Pierce</v>
      </c>
      <c r="L3074" t="str">
        <f>IFERROR(VLOOKUP(J3074,LUTs!$A$1:$C$73,3,FALSE),"NA")</f>
        <v>3South Puget Sound</v>
      </c>
      <c r="M3074" s="72" t="s">
        <v>23</v>
      </c>
      <c r="N3074" t="str">
        <f>VLOOKUP(M3074,LUTs!E$2:H$14,3,)</f>
        <v>10Kitsap</v>
      </c>
      <c r="O3074" t="str">
        <f>VLOOKUP(M3074,LUTs!E$2:H$14,4,)</f>
        <v>02South Puget Sound</v>
      </c>
      <c r="P3074" s="73">
        <v>43.0112359550562</v>
      </c>
      <c r="Q3074" s="74">
        <f>VLOOKUP(B3074,Readme!A$40:C$51,2,)*P3074</f>
        <v>147.95865168539333</v>
      </c>
    </row>
    <row r="3075" spans="1:17" ht="12" customHeight="1" x14ac:dyDescent="0.35">
      <c r="A3075" s="75">
        <v>3074</v>
      </c>
      <c r="B3075" s="64">
        <v>2019</v>
      </c>
      <c r="C3075" s="64">
        <v>11</v>
      </c>
      <c r="D3075" s="80">
        <f t="shared" si="99"/>
        <v>2019</v>
      </c>
      <c r="E3075" t="s">
        <v>38</v>
      </c>
      <c r="F3075" t="s">
        <v>143</v>
      </c>
      <c r="G3075" t="s">
        <v>10</v>
      </c>
      <c r="H3075" s="72">
        <v>778</v>
      </c>
      <c r="I3075" s="72" t="s">
        <v>50</v>
      </c>
      <c r="J3075" t="str">
        <f t="shared" ref="J3075:J3138" si="100">I3075</f>
        <v>Minter Creek</v>
      </c>
      <c r="K3075" t="str">
        <f>IFERROR(VLOOKUP(J3075,LUTs!$A$1:$C$73,2,FALSE),"NA")</f>
        <v>Kitsap/Pierce</v>
      </c>
      <c r="L3075" t="str">
        <f>IFERROR(VLOOKUP(J3075,LUTs!$A$1:$C$73,3,FALSE),"NA")</f>
        <v>3South Puget Sound</v>
      </c>
      <c r="M3075" s="72" t="s">
        <v>26</v>
      </c>
      <c r="N3075" t="str">
        <f>VLOOKUP(M3075,LUTs!E$2:H$14,3,)</f>
        <v>20Other</v>
      </c>
      <c r="O3075" t="str">
        <f>VLOOKUP(M3075,LUTs!E$2:H$14,4,)</f>
        <v>07Non Puget Sound</v>
      </c>
      <c r="P3075" s="73">
        <v>10.752808988764</v>
      </c>
      <c r="Q3075" s="74">
        <f>VLOOKUP(B3075,Readme!A$40:C$51,2,)*P3075</f>
        <v>36.989662921348163</v>
      </c>
    </row>
    <row r="3076" spans="1:17" ht="12" customHeight="1" x14ac:dyDescent="0.35">
      <c r="A3076" s="75">
        <v>3075</v>
      </c>
      <c r="B3076" s="64">
        <v>2019</v>
      </c>
      <c r="C3076" s="64">
        <v>11</v>
      </c>
      <c r="D3076" s="80">
        <f t="shared" si="99"/>
        <v>2019</v>
      </c>
      <c r="E3076" t="s">
        <v>38</v>
      </c>
      <c r="F3076" t="s">
        <v>143</v>
      </c>
      <c r="G3076" t="s">
        <v>10</v>
      </c>
      <c r="H3076" s="72">
        <v>778</v>
      </c>
      <c r="I3076" s="72" t="s">
        <v>50</v>
      </c>
      <c r="J3076" t="str">
        <f t="shared" si="100"/>
        <v>Minter Creek</v>
      </c>
      <c r="K3076" t="str">
        <f>IFERROR(VLOOKUP(J3076,LUTs!$A$1:$C$73,2,FALSE),"NA")</f>
        <v>Kitsap/Pierce</v>
      </c>
      <c r="L3076" t="str">
        <f>IFERROR(VLOOKUP(J3076,LUTs!$A$1:$C$73,3,FALSE),"NA")</f>
        <v>3South Puget Sound</v>
      </c>
      <c r="M3076" s="72" t="s">
        <v>20</v>
      </c>
      <c r="N3076" t="str">
        <f>VLOOKUP(M3076,LUTs!E$2:H$14,3,)</f>
        <v>07Pierce</v>
      </c>
      <c r="O3076" t="str">
        <f>VLOOKUP(M3076,LUTs!E$2:H$14,4,)</f>
        <v>02South Puget Sound</v>
      </c>
      <c r="P3076" s="73">
        <v>397.85393258427001</v>
      </c>
      <c r="Q3076" s="74">
        <f>VLOOKUP(B3076,Readme!A$40:C$51,2,)*P3076</f>
        <v>1368.6175280898888</v>
      </c>
    </row>
    <row r="3077" spans="1:17" ht="12" customHeight="1" x14ac:dyDescent="0.35">
      <c r="A3077" s="75">
        <v>3076</v>
      </c>
      <c r="B3077" s="64">
        <v>2019</v>
      </c>
      <c r="C3077" s="64">
        <v>11</v>
      </c>
      <c r="D3077" s="80">
        <f t="shared" si="99"/>
        <v>2019</v>
      </c>
      <c r="E3077" t="s">
        <v>38</v>
      </c>
      <c r="F3077" t="s">
        <v>143</v>
      </c>
      <c r="G3077" t="s">
        <v>10</v>
      </c>
      <c r="H3077" s="72">
        <v>778</v>
      </c>
      <c r="I3077" s="72" t="s">
        <v>50</v>
      </c>
      <c r="J3077" t="str">
        <f t="shared" si="100"/>
        <v>Minter Creek</v>
      </c>
      <c r="K3077" t="str">
        <f>IFERROR(VLOOKUP(J3077,LUTs!$A$1:$C$73,2,FALSE),"NA")</f>
        <v>Kitsap/Pierce</v>
      </c>
      <c r="L3077" t="str">
        <f>IFERROR(VLOOKUP(J3077,LUTs!$A$1:$C$73,3,FALSE),"NA")</f>
        <v>3South Puget Sound</v>
      </c>
      <c r="M3077" s="72" t="s">
        <v>16</v>
      </c>
      <c r="N3077" t="str">
        <f>VLOOKUP(M3077,LUTs!E$2:H$14,3,)</f>
        <v>03Snohomish</v>
      </c>
      <c r="O3077" t="str">
        <f>VLOOKUP(M3077,LUTs!E$2:H$14,4,)</f>
        <v>01North Puget Sound</v>
      </c>
      <c r="P3077" s="73">
        <v>64.516853932584297</v>
      </c>
      <c r="Q3077" s="74">
        <f>VLOOKUP(B3077,Readme!A$40:C$51,2,)*P3077</f>
        <v>221.93797752808999</v>
      </c>
    </row>
    <row r="3078" spans="1:17" ht="12" customHeight="1" x14ac:dyDescent="0.35">
      <c r="A3078" s="75">
        <v>3077</v>
      </c>
      <c r="B3078" s="64">
        <v>2019</v>
      </c>
      <c r="C3078" s="64">
        <v>12</v>
      </c>
      <c r="D3078" s="80">
        <f t="shared" si="99"/>
        <v>2019</v>
      </c>
      <c r="E3078" t="s">
        <v>38</v>
      </c>
      <c r="F3078" t="s">
        <v>143</v>
      </c>
      <c r="G3078" t="s">
        <v>10</v>
      </c>
      <c r="H3078" s="72">
        <v>778</v>
      </c>
      <c r="I3078" s="72" t="s">
        <v>50</v>
      </c>
      <c r="J3078" t="str">
        <f t="shared" si="100"/>
        <v>Minter Creek</v>
      </c>
      <c r="K3078" t="str">
        <f>IFERROR(VLOOKUP(J3078,LUTs!$A$1:$C$73,2,FALSE),"NA")</f>
        <v>Kitsap/Pierce</v>
      </c>
      <c r="L3078" t="str">
        <f>IFERROR(VLOOKUP(J3078,LUTs!$A$1:$C$73,3,FALSE),"NA")</f>
        <v>3South Puget Sound</v>
      </c>
      <c r="M3078" s="72" t="s">
        <v>23</v>
      </c>
      <c r="N3078" t="str">
        <f>VLOOKUP(M3078,LUTs!E$2:H$14,3,)</f>
        <v>10Kitsap</v>
      </c>
      <c r="O3078" t="str">
        <f>VLOOKUP(M3078,LUTs!E$2:H$14,4,)</f>
        <v>02South Puget Sound</v>
      </c>
      <c r="P3078" s="73">
        <v>11</v>
      </c>
      <c r="Q3078" s="74">
        <f>VLOOKUP(B3078,Readme!A$40:C$51,2,)*P3078</f>
        <v>37.839999999999996</v>
      </c>
    </row>
    <row r="3079" spans="1:17" ht="12" customHeight="1" x14ac:dyDescent="0.35">
      <c r="A3079" s="75">
        <v>3078</v>
      </c>
      <c r="B3079" s="64">
        <v>2019</v>
      </c>
      <c r="C3079" s="64">
        <v>7</v>
      </c>
      <c r="D3079" s="80">
        <f t="shared" si="99"/>
        <v>2019</v>
      </c>
      <c r="E3079" t="s">
        <v>38</v>
      </c>
      <c r="F3079" t="s">
        <v>143</v>
      </c>
      <c r="G3079" t="s">
        <v>10</v>
      </c>
      <c r="H3079" s="72">
        <v>786</v>
      </c>
      <c r="I3079" s="72" t="s">
        <v>51</v>
      </c>
      <c r="J3079" t="str">
        <f t="shared" si="100"/>
        <v>Nisqually River</v>
      </c>
      <c r="K3079" t="str">
        <f>IFERROR(VLOOKUP(J3079,LUTs!$A$1:$C$73,2,FALSE),"NA")</f>
        <v>Thurston/Pierce</v>
      </c>
      <c r="L3079" t="str">
        <f>IFERROR(VLOOKUP(J3079,LUTs!$A$1:$C$73,3,FALSE),"NA")</f>
        <v>3South Puget Sound</v>
      </c>
      <c r="M3079" s="72" t="s">
        <v>18</v>
      </c>
      <c r="N3079" t="str">
        <f>VLOOKUP(M3079,LUTs!E$2:H$14,3,)</f>
        <v>06King</v>
      </c>
      <c r="O3079" t="str">
        <f>VLOOKUP(M3079,LUTs!E$2:H$14,4,)</f>
        <v>02South Puget Sound</v>
      </c>
      <c r="P3079" s="73">
        <v>10.75</v>
      </c>
      <c r="Q3079" s="74">
        <f>VLOOKUP(B3079,Readme!A$40:C$51,2,)*P3079</f>
        <v>36.979999999999997</v>
      </c>
    </row>
    <row r="3080" spans="1:17" ht="12" customHeight="1" x14ac:dyDescent="0.35">
      <c r="A3080" s="75">
        <v>3079</v>
      </c>
      <c r="B3080" s="64">
        <v>2019</v>
      </c>
      <c r="C3080" s="64">
        <v>7</v>
      </c>
      <c r="D3080" s="80">
        <f t="shared" si="99"/>
        <v>2019</v>
      </c>
      <c r="E3080" t="s">
        <v>38</v>
      </c>
      <c r="F3080" t="s">
        <v>143</v>
      </c>
      <c r="G3080" t="s">
        <v>10</v>
      </c>
      <c r="H3080" s="72">
        <v>786</v>
      </c>
      <c r="I3080" s="72" t="s">
        <v>51</v>
      </c>
      <c r="J3080" t="str">
        <f t="shared" si="100"/>
        <v>Nisqually River</v>
      </c>
      <c r="K3080" t="str">
        <f>IFERROR(VLOOKUP(J3080,LUTs!$A$1:$C$73,2,FALSE),"NA")</f>
        <v>Thurston/Pierce</v>
      </c>
      <c r="L3080" t="str">
        <f>IFERROR(VLOOKUP(J3080,LUTs!$A$1:$C$73,3,FALSE),"NA")</f>
        <v>3South Puget Sound</v>
      </c>
      <c r="M3080" s="72" t="s">
        <v>21</v>
      </c>
      <c r="N3080" t="str">
        <f>VLOOKUP(M3080,LUTs!E$2:H$14,3,)</f>
        <v>08Thurston</v>
      </c>
      <c r="O3080" t="str">
        <f>VLOOKUP(M3080,LUTs!E$2:H$14,4,)</f>
        <v>02South Puget Sound</v>
      </c>
      <c r="P3080" s="73">
        <v>32.25</v>
      </c>
      <c r="Q3080" s="74">
        <f>VLOOKUP(B3080,Readme!A$40:C$51,2,)*P3080</f>
        <v>110.94</v>
      </c>
    </row>
    <row r="3081" spans="1:17" ht="12" customHeight="1" x14ac:dyDescent="0.35">
      <c r="A3081" s="75">
        <v>3080</v>
      </c>
      <c r="B3081" s="64">
        <v>2019</v>
      </c>
      <c r="C3081" s="64">
        <v>8</v>
      </c>
      <c r="D3081" s="80">
        <f t="shared" si="99"/>
        <v>2019</v>
      </c>
      <c r="E3081" t="s">
        <v>38</v>
      </c>
      <c r="F3081" t="s">
        <v>143</v>
      </c>
      <c r="G3081" t="s">
        <v>10</v>
      </c>
      <c r="H3081" s="72">
        <v>786</v>
      </c>
      <c r="I3081" s="72" t="s">
        <v>51</v>
      </c>
      <c r="J3081" t="str">
        <f t="shared" si="100"/>
        <v>Nisqually River</v>
      </c>
      <c r="K3081" t="str">
        <f>IFERROR(VLOOKUP(J3081,LUTs!$A$1:$C$73,2,FALSE),"NA")</f>
        <v>Thurston/Pierce</v>
      </c>
      <c r="L3081" t="str">
        <f>IFERROR(VLOOKUP(J3081,LUTs!$A$1:$C$73,3,FALSE),"NA")</f>
        <v>3South Puget Sound</v>
      </c>
      <c r="M3081" s="72" t="s">
        <v>18</v>
      </c>
      <c r="N3081" t="str">
        <f>VLOOKUP(M3081,LUTs!E$2:H$14,3,)</f>
        <v>06King</v>
      </c>
      <c r="O3081" t="str">
        <f>VLOOKUP(M3081,LUTs!E$2:H$14,4,)</f>
        <v>02South Puget Sound</v>
      </c>
      <c r="P3081" s="73">
        <v>98.313559322033896</v>
      </c>
      <c r="Q3081" s="74">
        <f>VLOOKUP(B3081,Readme!A$40:C$51,2,)*P3081</f>
        <v>338.19864406779658</v>
      </c>
    </row>
    <row r="3082" spans="1:17" ht="12" customHeight="1" x14ac:dyDescent="0.35">
      <c r="A3082" s="75">
        <v>3081</v>
      </c>
      <c r="B3082" s="64">
        <v>2019</v>
      </c>
      <c r="C3082" s="64">
        <v>8</v>
      </c>
      <c r="D3082" s="80">
        <f t="shared" si="99"/>
        <v>2019</v>
      </c>
      <c r="E3082" t="s">
        <v>38</v>
      </c>
      <c r="F3082" t="s">
        <v>143</v>
      </c>
      <c r="G3082" t="s">
        <v>10</v>
      </c>
      <c r="H3082" s="72">
        <v>786</v>
      </c>
      <c r="I3082" s="72" t="s">
        <v>51</v>
      </c>
      <c r="J3082" t="str">
        <f t="shared" si="100"/>
        <v>Nisqually River</v>
      </c>
      <c r="K3082" t="str">
        <f>IFERROR(VLOOKUP(J3082,LUTs!$A$1:$C$73,2,FALSE),"NA")</f>
        <v>Thurston/Pierce</v>
      </c>
      <c r="L3082" t="str">
        <f>IFERROR(VLOOKUP(J3082,LUTs!$A$1:$C$73,3,FALSE),"NA")</f>
        <v>3South Puget Sound</v>
      </c>
      <c r="M3082" s="72" t="s">
        <v>26</v>
      </c>
      <c r="N3082" t="str">
        <f>VLOOKUP(M3082,LUTs!E$2:H$14,3,)</f>
        <v>20Other</v>
      </c>
      <c r="O3082" t="str">
        <f>VLOOKUP(M3082,LUTs!E$2:H$14,4,)</f>
        <v>07Non Puget Sound</v>
      </c>
      <c r="P3082" s="73">
        <v>98.313559322033896</v>
      </c>
      <c r="Q3082" s="74">
        <f>VLOOKUP(B3082,Readme!A$40:C$51,2,)*P3082</f>
        <v>338.19864406779658</v>
      </c>
    </row>
    <row r="3083" spans="1:17" ht="12" customHeight="1" x14ac:dyDescent="0.35">
      <c r="A3083" s="75">
        <v>3082</v>
      </c>
      <c r="B3083" s="64">
        <v>2019</v>
      </c>
      <c r="C3083" s="64">
        <v>8</v>
      </c>
      <c r="D3083" s="80">
        <f t="shared" si="99"/>
        <v>2019</v>
      </c>
      <c r="E3083" t="s">
        <v>38</v>
      </c>
      <c r="F3083" t="s">
        <v>143</v>
      </c>
      <c r="G3083" t="s">
        <v>10</v>
      </c>
      <c r="H3083" s="72">
        <v>786</v>
      </c>
      <c r="I3083" s="72" t="s">
        <v>51</v>
      </c>
      <c r="J3083" t="str">
        <f t="shared" si="100"/>
        <v>Nisqually River</v>
      </c>
      <c r="K3083" t="str">
        <f>IFERROR(VLOOKUP(J3083,LUTs!$A$1:$C$73,2,FALSE),"NA")</f>
        <v>Thurston/Pierce</v>
      </c>
      <c r="L3083" t="str">
        <f>IFERROR(VLOOKUP(J3083,LUTs!$A$1:$C$73,3,FALSE),"NA")</f>
        <v>3South Puget Sound</v>
      </c>
      <c r="M3083" s="72" t="s">
        <v>20</v>
      </c>
      <c r="N3083" t="str">
        <f>VLOOKUP(M3083,LUTs!E$2:H$14,3,)</f>
        <v>07Pierce</v>
      </c>
      <c r="O3083" t="str">
        <f>VLOOKUP(M3083,LUTs!E$2:H$14,4,)</f>
        <v>02South Puget Sound</v>
      </c>
      <c r="P3083" s="73">
        <v>524.33898305084801</v>
      </c>
      <c r="Q3083" s="74">
        <f>VLOOKUP(B3083,Readme!A$40:C$51,2,)*P3083</f>
        <v>1803.7261016949171</v>
      </c>
    </row>
    <row r="3084" spans="1:17" ht="12" customHeight="1" x14ac:dyDescent="0.35">
      <c r="A3084" s="75">
        <v>3083</v>
      </c>
      <c r="B3084" s="64">
        <v>2019</v>
      </c>
      <c r="C3084" s="64">
        <v>8</v>
      </c>
      <c r="D3084" s="80">
        <f t="shared" si="99"/>
        <v>2019</v>
      </c>
      <c r="E3084" t="s">
        <v>38</v>
      </c>
      <c r="F3084" t="s">
        <v>143</v>
      </c>
      <c r="G3084" t="s">
        <v>10</v>
      </c>
      <c r="H3084" s="72">
        <v>786</v>
      </c>
      <c r="I3084" s="72" t="s">
        <v>51</v>
      </c>
      <c r="J3084" t="str">
        <f t="shared" si="100"/>
        <v>Nisqually River</v>
      </c>
      <c r="K3084" t="str">
        <f>IFERROR(VLOOKUP(J3084,LUTs!$A$1:$C$73,2,FALSE),"NA")</f>
        <v>Thurston/Pierce</v>
      </c>
      <c r="L3084" t="str">
        <f>IFERROR(VLOOKUP(J3084,LUTs!$A$1:$C$73,3,FALSE),"NA")</f>
        <v>3South Puget Sound</v>
      </c>
      <c r="M3084" s="72" t="s">
        <v>21</v>
      </c>
      <c r="N3084" t="str">
        <f>VLOOKUP(M3084,LUTs!E$2:H$14,3,)</f>
        <v>08Thurston</v>
      </c>
      <c r="O3084" t="str">
        <f>VLOOKUP(M3084,LUTs!E$2:H$14,4,)</f>
        <v>02South Puget Sound</v>
      </c>
      <c r="P3084" s="73">
        <v>568.03389830508502</v>
      </c>
      <c r="Q3084" s="74">
        <f>VLOOKUP(B3084,Readme!A$40:C$51,2,)*P3084</f>
        <v>1954.0366101694924</v>
      </c>
    </row>
    <row r="3085" spans="1:17" ht="12" customHeight="1" x14ac:dyDescent="0.35">
      <c r="A3085" s="75">
        <v>3084</v>
      </c>
      <c r="B3085" s="64">
        <v>2019</v>
      </c>
      <c r="C3085" s="64">
        <v>9</v>
      </c>
      <c r="D3085" s="80">
        <f t="shared" si="99"/>
        <v>2019</v>
      </c>
      <c r="E3085" t="s">
        <v>38</v>
      </c>
      <c r="F3085" t="s">
        <v>143</v>
      </c>
      <c r="G3085" t="s">
        <v>10</v>
      </c>
      <c r="H3085" s="72">
        <v>786</v>
      </c>
      <c r="I3085" s="72" t="s">
        <v>51</v>
      </c>
      <c r="J3085" t="str">
        <f t="shared" si="100"/>
        <v>Nisqually River</v>
      </c>
      <c r="K3085" t="str">
        <f>IFERROR(VLOOKUP(J3085,LUTs!$A$1:$C$73,2,FALSE),"NA")</f>
        <v>Thurston/Pierce</v>
      </c>
      <c r="L3085" t="str">
        <f>IFERROR(VLOOKUP(J3085,LUTs!$A$1:$C$73,3,FALSE),"NA")</f>
        <v>3South Puget Sound</v>
      </c>
      <c r="M3085" s="72" t="s">
        <v>18</v>
      </c>
      <c r="N3085" t="str">
        <f>VLOOKUP(M3085,LUTs!E$2:H$14,3,)</f>
        <v>06King</v>
      </c>
      <c r="O3085" t="str">
        <f>VLOOKUP(M3085,LUTs!E$2:H$14,4,)</f>
        <v>02South Puget Sound</v>
      </c>
      <c r="P3085" s="73">
        <v>247.32371794871801</v>
      </c>
      <c r="Q3085" s="74">
        <f>VLOOKUP(B3085,Readme!A$40:C$51,2,)*P3085</f>
        <v>850.79358974358991</v>
      </c>
    </row>
    <row r="3086" spans="1:17" ht="12" customHeight="1" x14ac:dyDescent="0.35">
      <c r="A3086" s="75">
        <v>3085</v>
      </c>
      <c r="B3086" s="64">
        <v>2019</v>
      </c>
      <c r="C3086" s="64">
        <v>9</v>
      </c>
      <c r="D3086" s="80">
        <f t="shared" si="99"/>
        <v>2019</v>
      </c>
      <c r="E3086" t="s">
        <v>38</v>
      </c>
      <c r="F3086" t="s">
        <v>143</v>
      </c>
      <c r="G3086" t="s">
        <v>10</v>
      </c>
      <c r="H3086" s="72">
        <v>786</v>
      </c>
      <c r="I3086" s="72" t="s">
        <v>51</v>
      </c>
      <c r="J3086" t="str">
        <f t="shared" si="100"/>
        <v>Nisqually River</v>
      </c>
      <c r="K3086" t="str">
        <f>IFERROR(VLOOKUP(J3086,LUTs!$A$1:$C$73,2,FALSE),"NA")</f>
        <v>Thurston/Pierce</v>
      </c>
      <c r="L3086" t="str">
        <f>IFERROR(VLOOKUP(J3086,LUTs!$A$1:$C$73,3,FALSE),"NA")</f>
        <v>3South Puget Sound</v>
      </c>
      <c r="M3086" s="72" t="s">
        <v>22</v>
      </c>
      <c r="N3086" t="str">
        <f>VLOOKUP(M3086,LUTs!E$2:H$14,3,)</f>
        <v>09Mason</v>
      </c>
      <c r="O3086" t="str">
        <f>VLOOKUP(M3086,LUTs!E$2:H$14,4,)</f>
        <v>02South Puget Sound</v>
      </c>
      <c r="P3086" s="73">
        <v>32.259615384615401</v>
      </c>
      <c r="Q3086" s="74">
        <f>VLOOKUP(B3086,Readme!A$40:C$51,2,)*P3086</f>
        <v>110.97307692307697</v>
      </c>
    </row>
    <row r="3087" spans="1:17" ht="12" customHeight="1" x14ac:dyDescent="0.35">
      <c r="A3087" s="75">
        <v>3086</v>
      </c>
      <c r="B3087" s="64">
        <v>2019</v>
      </c>
      <c r="C3087" s="64">
        <v>9</v>
      </c>
      <c r="D3087" s="80">
        <f t="shared" si="99"/>
        <v>2019</v>
      </c>
      <c r="E3087" t="s">
        <v>38</v>
      </c>
      <c r="F3087" t="s">
        <v>143</v>
      </c>
      <c r="G3087" t="s">
        <v>10</v>
      </c>
      <c r="H3087" s="72">
        <v>786</v>
      </c>
      <c r="I3087" s="72" t="s">
        <v>51</v>
      </c>
      <c r="J3087" t="str">
        <f t="shared" si="100"/>
        <v>Nisqually River</v>
      </c>
      <c r="K3087" t="str">
        <f>IFERROR(VLOOKUP(J3087,LUTs!$A$1:$C$73,2,FALSE),"NA")</f>
        <v>Thurston/Pierce</v>
      </c>
      <c r="L3087" t="str">
        <f>IFERROR(VLOOKUP(J3087,LUTs!$A$1:$C$73,3,FALSE),"NA")</f>
        <v>3South Puget Sound</v>
      </c>
      <c r="M3087" s="72" t="s">
        <v>26</v>
      </c>
      <c r="N3087" t="str">
        <f>VLOOKUP(M3087,LUTs!E$2:H$14,3,)</f>
        <v>20Other</v>
      </c>
      <c r="O3087" t="str">
        <f>VLOOKUP(M3087,LUTs!E$2:H$14,4,)</f>
        <v>07Non Puget Sound</v>
      </c>
      <c r="P3087" s="73">
        <v>172.05128205128199</v>
      </c>
      <c r="Q3087" s="74">
        <f>VLOOKUP(B3087,Readme!A$40:C$51,2,)*P3087</f>
        <v>591.85641025641007</v>
      </c>
    </row>
    <row r="3088" spans="1:17" ht="12" customHeight="1" x14ac:dyDescent="0.35">
      <c r="A3088" s="75">
        <v>3087</v>
      </c>
      <c r="B3088" s="64">
        <v>2019</v>
      </c>
      <c r="C3088" s="64">
        <v>9</v>
      </c>
      <c r="D3088" s="80">
        <f t="shared" si="99"/>
        <v>2019</v>
      </c>
      <c r="E3088" t="s">
        <v>38</v>
      </c>
      <c r="F3088" t="s">
        <v>143</v>
      </c>
      <c r="G3088" t="s">
        <v>10</v>
      </c>
      <c r="H3088" s="72">
        <v>786</v>
      </c>
      <c r="I3088" s="72" t="s">
        <v>51</v>
      </c>
      <c r="J3088" t="str">
        <f t="shared" si="100"/>
        <v>Nisqually River</v>
      </c>
      <c r="K3088" t="str">
        <f>IFERROR(VLOOKUP(J3088,LUTs!$A$1:$C$73,2,FALSE),"NA")</f>
        <v>Thurston/Pierce</v>
      </c>
      <c r="L3088" t="str">
        <f>IFERROR(VLOOKUP(J3088,LUTs!$A$1:$C$73,3,FALSE),"NA")</f>
        <v>3South Puget Sound</v>
      </c>
      <c r="M3088" s="72" t="s">
        <v>20</v>
      </c>
      <c r="N3088" t="str">
        <f>VLOOKUP(M3088,LUTs!E$2:H$14,3,)</f>
        <v>07Pierce</v>
      </c>
      <c r="O3088" t="str">
        <f>VLOOKUP(M3088,LUTs!E$2:H$14,4,)</f>
        <v>02South Puget Sound</v>
      </c>
      <c r="P3088" s="73">
        <v>1612.98076923077</v>
      </c>
      <c r="Q3088" s="74">
        <f>VLOOKUP(B3088,Readme!A$40:C$51,2,)*P3088</f>
        <v>5548.6538461538485</v>
      </c>
    </row>
    <row r="3089" spans="1:17" ht="12" customHeight="1" x14ac:dyDescent="0.35">
      <c r="A3089" s="75">
        <v>3088</v>
      </c>
      <c r="B3089" s="64">
        <v>2019</v>
      </c>
      <c r="C3089" s="64">
        <v>9</v>
      </c>
      <c r="D3089" s="80">
        <f t="shared" si="99"/>
        <v>2019</v>
      </c>
      <c r="E3089" t="s">
        <v>38</v>
      </c>
      <c r="F3089" t="s">
        <v>143</v>
      </c>
      <c r="G3089" t="s">
        <v>10</v>
      </c>
      <c r="H3089" s="72">
        <v>786</v>
      </c>
      <c r="I3089" s="72" t="s">
        <v>51</v>
      </c>
      <c r="J3089" t="str">
        <f t="shared" si="100"/>
        <v>Nisqually River</v>
      </c>
      <c r="K3089" t="str">
        <f>IFERROR(VLOOKUP(J3089,LUTs!$A$1:$C$73,2,FALSE),"NA")</f>
        <v>Thurston/Pierce</v>
      </c>
      <c r="L3089" t="str">
        <f>IFERROR(VLOOKUP(J3089,LUTs!$A$1:$C$73,3,FALSE),"NA")</f>
        <v>3South Puget Sound</v>
      </c>
      <c r="M3089" s="72" t="s">
        <v>21</v>
      </c>
      <c r="N3089" t="str">
        <f>VLOOKUP(M3089,LUTs!E$2:H$14,3,)</f>
        <v>08Thurston</v>
      </c>
      <c r="O3089" t="str">
        <f>VLOOKUP(M3089,LUTs!E$2:H$14,4,)</f>
        <v>02South Puget Sound</v>
      </c>
      <c r="P3089" s="73">
        <v>1290.38461538462</v>
      </c>
      <c r="Q3089" s="74">
        <f>VLOOKUP(B3089,Readme!A$40:C$51,2,)*P3089</f>
        <v>4438.9230769230926</v>
      </c>
    </row>
    <row r="3090" spans="1:17" ht="12" customHeight="1" x14ac:dyDescent="0.35">
      <c r="A3090" s="75">
        <v>3089</v>
      </c>
      <c r="B3090" s="64">
        <v>2019</v>
      </c>
      <c r="C3090" s="64">
        <v>10</v>
      </c>
      <c r="D3090" s="80">
        <f t="shared" si="99"/>
        <v>2019</v>
      </c>
      <c r="E3090" t="s">
        <v>38</v>
      </c>
      <c r="F3090" t="s">
        <v>143</v>
      </c>
      <c r="G3090" t="s">
        <v>10</v>
      </c>
      <c r="H3090" s="72">
        <v>786</v>
      </c>
      <c r="I3090" s="72" t="s">
        <v>51</v>
      </c>
      <c r="J3090" t="str">
        <f t="shared" si="100"/>
        <v>Nisqually River</v>
      </c>
      <c r="K3090" t="str">
        <f>IFERROR(VLOOKUP(J3090,LUTs!$A$1:$C$73,2,FALSE),"NA")</f>
        <v>Thurston/Pierce</v>
      </c>
      <c r="L3090" t="str">
        <f>IFERROR(VLOOKUP(J3090,LUTs!$A$1:$C$73,3,FALSE),"NA")</f>
        <v>3South Puget Sound</v>
      </c>
      <c r="M3090" s="72" t="s">
        <v>18</v>
      </c>
      <c r="N3090" t="str">
        <f>VLOOKUP(M3090,LUTs!E$2:H$14,3,)</f>
        <v>06King</v>
      </c>
      <c r="O3090" t="str">
        <f>VLOOKUP(M3090,LUTs!E$2:H$14,4,)</f>
        <v>02South Puget Sound</v>
      </c>
      <c r="P3090" s="73">
        <v>106.949152542373</v>
      </c>
      <c r="Q3090" s="74">
        <f>VLOOKUP(B3090,Readme!A$40:C$51,2,)*P3090</f>
        <v>367.90508474576313</v>
      </c>
    </row>
    <row r="3091" spans="1:17" ht="12" customHeight="1" x14ac:dyDescent="0.35">
      <c r="A3091" s="75">
        <v>3090</v>
      </c>
      <c r="B3091" s="64">
        <v>2019</v>
      </c>
      <c r="C3091" s="64">
        <v>10</v>
      </c>
      <c r="D3091" s="80">
        <f t="shared" si="99"/>
        <v>2019</v>
      </c>
      <c r="E3091" t="s">
        <v>38</v>
      </c>
      <c r="F3091" t="s">
        <v>143</v>
      </c>
      <c r="G3091" t="s">
        <v>10</v>
      </c>
      <c r="H3091" s="72">
        <v>786</v>
      </c>
      <c r="I3091" s="72" t="s">
        <v>51</v>
      </c>
      <c r="J3091" t="str">
        <f t="shared" si="100"/>
        <v>Nisqually River</v>
      </c>
      <c r="K3091" t="str">
        <f>IFERROR(VLOOKUP(J3091,LUTs!$A$1:$C$73,2,FALSE),"NA")</f>
        <v>Thurston/Pierce</v>
      </c>
      <c r="L3091" t="str">
        <f>IFERROR(VLOOKUP(J3091,LUTs!$A$1:$C$73,3,FALSE),"NA")</f>
        <v>3South Puget Sound</v>
      </c>
      <c r="M3091" s="72" t="s">
        <v>26</v>
      </c>
      <c r="N3091" t="str">
        <f>VLOOKUP(M3091,LUTs!E$2:H$14,3,)</f>
        <v>20Other</v>
      </c>
      <c r="O3091" t="str">
        <f>VLOOKUP(M3091,LUTs!E$2:H$14,4,)</f>
        <v>07Non Puget Sound</v>
      </c>
      <c r="P3091" s="73">
        <v>32.084745762711897</v>
      </c>
      <c r="Q3091" s="74">
        <f>VLOOKUP(B3091,Readme!A$40:C$51,2,)*P3091</f>
        <v>110.37152542372893</v>
      </c>
    </row>
    <row r="3092" spans="1:17" ht="12" customHeight="1" x14ac:dyDescent="0.35">
      <c r="A3092" s="75">
        <v>3091</v>
      </c>
      <c r="B3092" s="64">
        <v>2019</v>
      </c>
      <c r="C3092" s="64">
        <v>10</v>
      </c>
      <c r="D3092" s="80">
        <f t="shared" si="99"/>
        <v>2019</v>
      </c>
      <c r="E3092" t="s">
        <v>38</v>
      </c>
      <c r="F3092" t="s">
        <v>143</v>
      </c>
      <c r="G3092" t="s">
        <v>10</v>
      </c>
      <c r="H3092" s="72">
        <v>786</v>
      </c>
      <c r="I3092" s="72" t="s">
        <v>51</v>
      </c>
      <c r="J3092" t="str">
        <f t="shared" si="100"/>
        <v>Nisqually River</v>
      </c>
      <c r="K3092" t="str">
        <f>IFERROR(VLOOKUP(J3092,LUTs!$A$1:$C$73,2,FALSE),"NA")</f>
        <v>Thurston/Pierce</v>
      </c>
      <c r="L3092" t="str">
        <f>IFERROR(VLOOKUP(J3092,LUTs!$A$1:$C$73,3,FALSE),"NA")</f>
        <v>3South Puget Sound</v>
      </c>
      <c r="M3092" s="72" t="s">
        <v>20</v>
      </c>
      <c r="N3092" t="str">
        <f>VLOOKUP(M3092,LUTs!E$2:H$14,3,)</f>
        <v>07Pierce</v>
      </c>
      <c r="O3092" t="str">
        <f>VLOOKUP(M3092,LUTs!E$2:H$14,4,)</f>
        <v>02South Puget Sound</v>
      </c>
      <c r="P3092" s="73">
        <v>310.15254237288099</v>
      </c>
      <c r="Q3092" s="74">
        <f>VLOOKUP(B3092,Readme!A$40:C$51,2,)*P3092</f>
        <v>1066.9247457627105</v>
      </c>
    </row>
    <row r="3093" spans="1:17" ht="12" customHeight="1" x14ac:dyDescent="0.35">
      <c r="A3093" s="75">
        <v>3092</v>
      </c>
      <c r="B3093" s="64">
        <v>2019</v>
      </c>
      <c r="C3093" s="64">
        <v>10</v>
      </c>
      <c r="D3093" s="80">
        <f t="shared" si="99"/>
        <v>2019</v>
      </c>
      <c r="E3093" t="s">
        <v>38</v>
      </c>
      <c r="F3093" t="s">
        <v>143</v>
      </c>
      <c r="G3093" t="s">
        <v>10</v>
      </c>
      <c r="H3093" s="72">
        <v>786</v>
      </c>
      <c r="I3093" s="72" t="s">
        <v>51</v>
      </c>
      <c r="J3093" t="str">
        <f t="shared" si="100"/>
        <v>Nisqually River</v>
      </c>
      <c r="K3093" t="str">
        <f>IFERROR(VLOOKUP(J3093,LUTs!$A$1:$C$73,2,FALSE),"NA")</f>
        <v>Thurston/Pierce</v>
      </c>
      <c r="L3093" t="str">
        <f>IFERROR(VLOOKUP(J3093,LUTs!$A$1:$C$73,3,FALSE),"NA")</f>
        <v>3South Puget Sound</v>
      </c>
      <c r="M3093" s="72" t="s">
        <v>21</v>
      </c>
      <c r="N3093" t="str">
        <f>VLOOKUP(M3093,LUTs!E$2:H$14,3,)</f>
        <v>08Thurston</v>
      </c>
      <c r="O3093" t="str">
        <f>VLOOKUP(M3093,LUTs!E$2:H$14,4,)</f>
        <v>02South Puget Sound</v>
      </c>
      <c r="P3093" s="73">
        <v>181.813559322034</v>
      </c>
      <c r="Q3093" s="74">
        <f>VLOOKUP(B3093,Readme!A$40:C$51,2,)*P3093</f>
        <v>625.43864406779699</v>
      </c>
    </row>
    <row r="3094" spans="1:17" ht="12" customHeight="1" x14ac:dyDescent="0.35">
      <c r="A3094" s="75">
        <v>3093</v>
      </c>
      <c r="B3094" s="64">
        <v>2019</v>
      </c>
      <c r="C3094" s="64">
        <v>11</v>
      </c>
      <c r="D3094" s="80">
        <f t="shared" si="99"/>
        <v>2019</v>
      </c>
      <c r="E3094" t="s">
        <v>38</v>
      </c>
      <c r="F3094" t="s">
        <v>143</v>
      </c>
      <c r="G3094" t="s">
        <v>10</v>
      </c>
      <c r="H3094" s="72">
        <v>786</v>
      </c>
      <c r="I3094" s="72" t="s">
        <v>51</v>
      </c>
      <c r="J3094" t="str">
        <f t="shared" si="100"/>
        <v>Nisqually River</v>
      </c>
      <c r="K3094" t="str">
        <f>IFERROR(VLOOKUP(J3094,LUTs!$A$1:$C$73,2,FALSE),"NA")</f>
        <v>Thurston/Pierce</v>
      </c>
      <c r="L3094" t="str">
        <f>IFERROR(VLOOKUP(J3094,LUTs!$A$1:$C$73,3,FALSE),"NA")</f>
        <v>3South Puget Sound</v>
      </c>
      <c r="M3094" s="72" t="s">
        <v>18</v>
      </c>
      <c r="N3094" t="str">
        <f>VLOOKUP(M3094,LUTs!E$2:H$14,3,)</f>
        <v>06King</v>
      </c>
      <c r="O3094" t="str">
        <f>VLOOKUP(M3094,LUTs!E$2:H$14,4,)</f>
        <v>02South Puget Sound</v>
      </c>
      <c r="P3094" s="73">
        <v>42.8</v>
      </c>
      <c r="Q3094" s="74">
        <f>VLOOKUP(B3094,Readme!A$40:C$51,2,)*P3094</f>
        <v>147.232</v>
      </c>
    </row>
    <row r="3095" spans="1:17" ht="12" customHeight="1" x14ac:dyDescent="0.35">
      <c r="A3095" s="75">
        <v>3094</v>
      </c>
      <c r="B3095" s="64">
        <v>2019</v>
      </c>
      <c r="C3095" s="64">
        <v>11</v>
      </c>
      <c r="D3095" s="80">
        <f t="shared" si="99"/>
        <v>2019</v>
      </c>
      <c r="E3095" t="s">
        <v>38</v>
      </c>
      <c r="F3095" t="s">
        <v>143</v>
      </c>
      <c r="G3095" t="s">
        <v>10</v>
      </c>
      <c r="H3095" s="72">
        <v>786</v>
      </c>
      <c r="I3095" s="72" t="s">
        <v>51</v>
      </c>
      <c r="J3095" t="str">
        <f t="shared" si="100"/>
        <v>Nisqually River</v>
      </c>
      <c r="K3095" t="str">
        <f>IFERROR(VLOOKUP(J3095,LUTs!$A$1:$C$73,2,FALSE),"NA")</f>
        <v>Thurston/Pierce</v>
      </c>
      <c r="L3095" t="str">
        <f>IFERROR(VLOOKUP(J3095,LUTs!$A$1:$C$73,3,FALSE),"NA")</f>
        <v>3South Puget Sound</v>
      </c>
      <c r="M3095" s="72" t="s">
        <v>20</v>
      </c>
      <c r="N3095" t="str">
        <f>VLOOKUP(M3095,LUTs!E$2:H$14,3,)</f>
        <v>07Pierce</v>
      </c>
      <c r="O3095" t="str">
        <f>VLOOKUP(M3095,LUTs!E$2:H$14,4,)</f>
        <v>02South Puget Sound</v>
      </c>
      <c r="P3095" s="73">
        <v>42.8</v>
      </c>
      <c r="Q3095" s="74">
        <f>VLOOKUP(B3095,Readme!A$40:C$51,2,)*P3095</f>
        <v>147.232</v>
      </c>
    </row>
    <row r="3096" spans="1:17" ht="12" customHeight="1" x14ac:dyDescent="0.35">
      <c r="A3096" s="75">
        <v>3095</v>
      </c>
      <c r="B3096" s="64">
        <v>2019</v>
      </c>
      <c r="C3096" s="64">
        <v>11</v>
      </c>
      <c r="D3096" s="80">
        <f t="shared" si="99"/>
        <v>2019</v>
      </c>
      <c r="E3096" t="s">
        <v>38</v>
      </c>
      <c r="F3096" t="s">
        <v>143</v>
      </c>
      <c r="G3096" t="s">
        <v>10</v>
      </c>
      <c r="H3096" s="72">
        <v>786</v>
      </c>
      <c r="I3096" s="72" t="s">
        <v>51</v>
      </c>
      <c r="J3096" t="str">
        <f t="shared" si="100"/>
        <v>Nisqually River</v>
      </c>
      <c r="K3096" t="str">
        <f>IFERROR(VLOOKUP(J3096,LUTs!$A$1:$C$73,2,FALSE),"NA")</f>
        <v>Thurston/Pierce</v>
      </c>
      <c r="L3096" t="str">
        <f>IFERROR(VLOOKUP(J3096,LUTs!$A$1:$C$73,3,FALSE),"NA")</f>
        <v>3South Puget Sound</v>
      </c>
      <c r="M3096" s="72" t="s">
        <v>21</v>
      </c>
      <c r="N3096" t="str">
        <f>VLOOKUP(M3096,LUTs!E$2:H$14,3,)</f>
        <v>08Thurston</v>
      </c>
      <c r="O3096" t="str">
        <f>VLOOKUP(M3096,LUTs!E$2:H$14,4,)</f>
        <v>02South Puget Sound</v>
      </c>
      <c r="P3096" s="73">
        <v>21.4</v>
      </c>
      <c r="Q3096" s="74">
        <f>VLOOKUP(B3096,Readme!A$40:C$51,2,)*P3096</f>
        <v>73.616</v>
      </c>
    </row>
    <row r="3097" spans="1:17" ht="12" customHeight="1" x14ac:dyDescent="0.35">
      <c r="A3097" s="75">
        <v>3096</v>
      </c>
      <c r="B3097" s="64">
        <v>2019</v>
      </c>
      <c r="C3097" s="64">
        <v>8</v>
      </c>
      <c r="D3097" s="80">
        <f t="shared" si="99"/>
        <v>2019</v>
      </c>
      <c r="E3097" t="s">
        <v>38</v>
      </c>
      <c r="F3097" t="s">
        <v>143</v>
      </c>
      <c r="G3097" t="s">
        <v>10</v>
      </c>
      <c r="H3097" s="72">
        <v>788</v>
      </c>
      <c r="I3097" s="72" t="s">
        <v>52</v>
      </c>
      <c r="J3097" t="str">
        <f t="shared" si="100"/>
        <v>Nooksack River</v>
      </c>
      <c r="K3097" t="str">
        <f>IFERROR(VLOOKUP(J3097,LUTs!$A$1:$C$73,2,FALSE),"NA")</f>
        <v>Whatcom</v>
      </c>
      <c r="L3097" t="str">
        <f>IFERROR(VLOOKUP(J3097,LUTs!$A$1:$C$73,3,FALSE),"NA")</f>
        <v>1North Puget Sound</v>
      </c>
      <c r="M3097" s="72" t="s">
        <v>18</v>
      </c>
      <c r="N3097" t="str">
        <f>VLOOKUP(M3097,LUTs!E$2:H$14,3,)</f>
        <v>06King</v>
      </c>
      <c r="O3097" t="str">
        <f>VLOOKUP(M3097,LUTs!E$2:H$14,4,)</f>
        <v>02South Puget Sound</v>
      </c>
      <c r="P3097" s="73">
        <v>10.5</v>
      </c>
      <c r="Q3097" s="74">
        <f>VLOOKUP(B3097,Readme!A$40:C$51,2,)*P3097</f>
        <v>36.119999999999997</v>
      </c>
    </row>
    <row r="3098" spans="1:17" ht="12" customHeight="1" x14ac:dyDescent="0.35">
      <c r="A3098" s="75">
        <v>3097</v>
      </c>
      <c r="B3098" s="64">
        <v>2019</v>
      </c>
      <c r="C3098" s="64">
        <v>8</v>
      </c>
      <c r="D3098" s="80">
        <f t="shared" si="99"/>
        <v>2019</v>
      </c>
      <c r="E3098" t="s">
        <v>38</v>
      </c>
      <c r="F3098" t="s">
        <v>143</v>
      </c>
      <c r="G3098" t="s">
        <v>10</v>
      </c>
      <c r="H3098" s="72">
        <v>788</v>
      </c>
      <c r="I3098" s="72" t="s">
        <v>52</v>
      </c>
      <c r="J3098" t="str">
        <f t="shared" si="100"/>
        <v>Nooksack River</v>
      </c>
      <c r="K3098" t="str">
        <f>IFERROR(VLOOKUP(J3098,LUTs!$A$1:$C$73,2,FALSE),"NA")</f>
        <v>Whatcom</v>
      </c>
      <c r="L3098" t="str">
        <f>IFERROR(VLOOKUP(J3098,LUTs!$A$1:$C$73,3,FALSE),"NA")</f>
        <v>1North Puget Sound</v>
      </c>
      <c r="M3098" s="72" t="s">
        <v>26</v>
      </c>
      <c r="N3098" t="str">
        <f>VLOOKUP(M3098,LUTs!E$2:H$14,3,)</f>
        <v>20Other</v>
      </c>
      <c r="O3098" t="str">
        <f>VLOOKUP(M3098,LUTs!E$2:H$14,4,)</f>
        <v>07Non Puget Sound</v>
      </c>
      <c r="P3098" s="73">
        <v>31.5</v>
      </c>
      <c r="Q3098" s="74">
        <f>VLOOKUP(B3098,Readme!A$40:C$51,2,)*P3098</f>
        <v>108.36</v>
      </c>
    </row>
    <row r="3099" spans="1:17" ht="12" customHeight="1" x14ac:dyDescent="0.35">
      <c r="A3099" s="75">
        <v>3098</v>
      </c>
      <c r="B3099" s="64">
        <v>2019</v>
      </c>
      <c r="C3099" s="64">
        <v>8</v>
      </c>
      <c r="D3099" s="80">
        <f t="shared" si="99"/>
        <v>2019</v>
      </c>
      <c r="E3099" t="s">
        <v>38</v>
      </c>
      <c r="F3099" t="s">
        <v>143</v>
      </c>
      <c r="G3099" t="s">
        <v>10</v>
      </c>
      <c r="H3099" s="72">
        <v>788</v>
      </c>
      <c r="I3099" s="72" t="s">
        <v>52</v>
      </c>
      <c r="J3099" t="str">
        <f t="shared" si="100"/>
        <v>Nooksack River</v>
      </c>
      <c r="K3099" t="str">
        <f>IFERROR(VLOOKUP(J3099,LUTs!$A$1:$C$73,2,FALSE),"NA")</f>
        <v>Whatcom</v>
      </c>
      <c r="L3099" t="str">
        <f>IFERROR(VLOOKUP(J3099,LUTs!$A$1:$C$73,3,FALSE),"NA")</f>
        <v>1North Puget Sound</v>
      </c>
      <c r="M3099" s="72" t="s">
        <v>13</v>
      </c>
      <c r="N3099" t="str">
        <f>VLOOKUP(M3099,LUTs!E$2:H$14,3,)</f>
        <v>01Whatcom</v>
      </c>
      <c r="O3099" t="str">
        <f>VLOOKUP(M3099,LUTs!E$2:H$14,4,)</f>
        <v>01North Puget Sound</v>
      </c>
      <c r="P3099" s="73">
        <v>21</v>
      </c>
      <c r="Q3099" s="74">
        <f>VLOOKUP(B3099,Readme!A$40:C$51,2,)*P3099</f>
        <v>72.239999999999995</v>
      </c>
    </row>
    <row r="3100" spans="1:17" ht="12" customHeight="1" x14ac:dyDescent="0.35">
      <c r="A3100" s="75">
        <v>3099</v>
      </c>
      <c r="B3100" s="64">
        <v>2019</v>
      </c>
      <c r="C3100" s="64">
        <v>9</v>
      </c>
      <c r="D3100" s="80">
        <f t="shared" si="99"/>
        <v>2019</v>
      </c>
      <c r="E3100" t="s">
        <v>38</v>
      </c>
      <c r="F3100" t="s">
        <v>143</v>
      </c>
      <c r="G3100" t="s">
        <v>10</v>
      </c>
      <c r="H3100" s="72">
        <v>788</v>
      </c>
      <c r="I3100" s="72" t="s">
        <v>52</v>
      </c>
      <c r="J3100" t="str">
        <f t="shared" si="100"/>
        <v>Nooksack River</v>
      </c>
      <c r="K3100" t="str">
        <f>IFERROR(VLOOKUP(J3100,LUTs!$A$1:$C$73,2,FALSE),"NA")</f>
        <v>Whatcom</v>
      </c>
      <c r="L3100" t="str">
        <f>IFERROR(VLOOKUP(J3100,LUTs!$A$1:$C$73,3,FALSE),"NA")</f>
        <v>1North Puget Sound</v>
      </c>
      <c r="M3100" s="72" t="s">
        <v>18</v>
      </c>
      <c r="N3100" t="str">
        <f>VLOOKUP(M3100,LUTs!E$2:H$14,3,)</f>
        <v>06King</v>
      </c>
      <c r="O3100" t="str">
        <f>VLOOKUP(M3100,LUTs!E$2:H$14,4,)</f>
        <v>02South Puget Sound</v>
      </c>
      <c r="P3100" s="73">
        <v>21.2</v>
      </c>
      <c r="Q3100" s="74">
        <f>VLOOKUP(B3100,Readme!A$40:C$51,2,)*P3100</f>
        <v>72.927999999999997</v>
      </c>
    </row>
    <row r="3101" spans="1:17" ht="12" customHeight="1" x14ac:dyDescent="0.35">
      <c r="A3101" s="75">
        <v>3100</v>
      </c>
      <c r="B3101" s="64">
        <v>2019</v>
      </c>
      <c r="C3101" s="64">
        <v>9</v>
      </c>
      <c r="D3101" s="80">
        <f t="shared" si="99"/>
        <v>2019</v>
      </c>
      <c r="E3101" t="s">
        <v>38</v>
      </c>
      <c r="F3101" t="s">
        <v>143</v>
      </c>
      <c r="G3101" t="s">
        <v>10</v>
      </c>
      <c r="H3101" s="72">
        <v>788</v>
      </c>
      <c r="I3101" s="72" t="s">
        <v>52</v>
      </c>
      <c r="J3101" t="str">
        <f t="shared" si="100"/>
        <v>Nooksack River</v>
      </c>
      <c r="K3101" t="str">
        <f>IFERROR(VLOOKUP(J3101,LUTs!$A$1:$C$73,2,FALSE),"NA")</f>
        <v>Whatcom</v>
      </c>
      <c r="L3101" t="str">
        <f>IFERROR(VLOOKUP(J3101,LUTs!$A$1:$C$73,3,FALSE),"NA")</f>
        <v>1North Puget Sound</v>
      </c>
      <c r="M3101" s="72" t="s">
        <v>26</v>
      </c>
      <c r="N3101" t="str">
        <f>VLOOKUP(M3101,LUTs!E$2:H$14,3,)</f>
        <v>20Other</v>
      </c>
      <c r="O3101" t="str">
        <f>VLOOKUP(M3101,LUTs!E$2:H$14,4,)</f>
        <v>07Non Puget Sound</v>
      </c>
      <c r="P3101" s="73">
        <v>42.4</v>
      </c>
      <c r="Q3101" s="74">
        <f>VLOOKUP(B3101,Readme!A$40:C$51,2,)*P3101</f>
        <v>145.85599999999999</v>
      </c>
    </row>
    <row r="3102" spans="1:17" ht="12" customHeight="1" x14ac:dyDescent="0.35">
      <c r="A3102" s="75">
        <v>3101</v>
      </c>
      <c r="B3102" s="64">
        <v>2019</v>
      </c>
      <c r="C3102" s="64">
        <v>9</v>
      </c>
      <c r="D3102" s="80">
        <f t="shared" si="99"/>
        <v>2019</v>
      </c>
      <c r="E3102" t="s">
        <v>38</v>
      </c>
      <c r="F3102" t="s">
        <v>143</v>
      </c>
      <c r="G3102" t="s">
        <v>10</v>
      </c>
      <c r="H3102" s="72">
        <v>788</v>
      </c>
      <c r="I3102" s="72" t="s">
        <v>52</v>
      </c>
      <c r="J3102" t="str">
        <f t="shared" si="100"/>
        <v>Nooksack River</v>
      </c>
      <c r="K3102" t="str">
        <f>IFERROR(VLOOKUP(J3102,LUTs!$A$1:$C$73,2,FALSE),"NA")</f>
        <v>Whatcom</v>
      </c>
      <c r="L3102" t="str">
        <f>IFERROR(VLOOKUP(J3102,LUTs!$A$1:$C$73,3,FALSE),"NA")</f>
        <v>1North Puget Sound</v>
      </c>
      <c r="M3102" s="72" t="s">
        <v>13</v>
      </c>
      <c r="N3102" t="str">
        <f>VLOOKUP(M3102,LUTs!E$2:H$14,3,)</f>
        <v>01Whatcom</v>
      </c>
      <c r="O3102" t="str">
        <f>VLOOKUP(M3102,LUTs!E$2:H$14,4,)</f>
        <v>01North Puget Sound</v>
      </c>
      <c r="P3102" s="73">
        <v>201.4</v>
      </c>
      <c r="Q3102" s="74">
        <f>VLOOKUP(B3102,Readme!A$40:C$51,2,)*P3102</f>
        <v>692.81600000000003</v>
      </c>
    </row>
    <row r="3103" spans="1:17" ht="12" customHeight="1" x14ac:dyDescent="0.35">
      <c r="A3103" s="75">
        <v>3102</v>
      </c>
      <c r="B3103" s="64">
        <v>2019</v>
      </c>
      <c r="C3103" s="64">
        <v>10</v>
      </c>
      <c r="D3103" s="80">
        <f t="shared" si="99"/>
        <v>2019</v>
      </c>
      <c r="E3103" t="s">
        <v>38</v>
      </c>
      <c r="F3103" t="s">
        <v>143</v>
      </c>
      <c r="G3103" t="s">
        <v>10</v>
      </c>
      <c r="H3103" s="72">
        <v>788</v>
      </c>
      <c r="I3103" s="72" t="s">
        <v>52</v>
      </c>
      <c r="J3103" t="str">
        <f t="shared" si="100"/>
        <v>Nooksack River</v>
      </c>
      <c r="K3103" t="str">
        <f>IFERROR(VLOOKUP(J3103,LUTs!$A$1:$C$73,2,FALSE),"NA")</f>
        <v>Whatcom</v>
      </c>
      <c r="L3103" t="str">
        <f>IFERROR(VLOOKUP(J3103,LUTs!$A$1:$C$73,3,FALSE),"NA")</f>
        <v>1North Puget Sound</v>
      </c>
      <c r="M3103" s="72" t="s">
        <v>17</v>
      </c>
      <c r="N3103" t="str">
        <f>VLOOKUP(M3103,LUTs!E$2:H$14,3,)</f>
        <v>04Island</v>
      </c>
      <c r="O3103" t="str">
        <f>VLOOKUP(M3103,LUTs!E$2:H$14,4,)</f>
        <v>01North Puget Sound</v>
      </c>
      <c r="P3103" s="73">
        <v>255</v>
      </c>
      <c r="Q3103" s="74">
        <f>VLOOKUP(B3103,Readme!A$40:C$51,2,)*P3103</f>
        <v>877.19999999999993</v>
      </c>
    </row>
    <row r="3104" spans="1:17" ht="12" customHeight="1" x14ac:dyDescent="0.35">
      <c r="A3104" s="75">
        <v>3103</v>
      </c>
      <c r="B3104" s="64">
        <v>2019</v>
      </c>
      <c r="C3104" s="64">
        <v>10</v>
      </c>
      <c r="D3104" s="80">
        <f t="shared" si="99"/>
        <v>2019</v>
      </c>
      <c r="E3104" t="s">
        <v>38</v>
      </c>
      <c r="F3104" t="s">
        <v>143</v>
      </c>
      <c r="G3104" t="s">
        <v>10</v>
      </c>
      <c r="H3104" s="72">
        <v>788</v>
      </c>
      <c r="I3104" s="72" t="s">
        <v>52</v>
      </c>
      <c r="J3104" t="str">
        <f t="shared" si="100"/>
        <v>Nooksack River</v>
      </c>
      <c r="K3104" t="str">
        <f>IFERROR(VLOOKUP(J3104,LUTs!$A$1:$C$73,2,FALSE),"NA")</f>
        <v>Whatcom</v>
      </c>
      <c r="L3104" t="str">
        <f>IFERROR(VLOOKUP(J3104,LUTs!$A$1:$C$73,3,FALSE),"NA")</f>
        <v>1North Puget Sound</v>
      </c>
      <c r="M3104" s="72" t="s">
        <v>18</v>
      </c>
      <c r="N3104" t="str">
        <f>VLOOKUP(M3104,LUTs!E$2:H$14,3,)</f>
        <v>06King</v>
      </c>
      <c r="O3104" t="str">
        <f>VLOOKUP(M3104,LUTs!E$2:H$14,4,)</f>
        <v>02South Puget Sound</v>
      </c>
      <c r="P3104" s="73">
        <v>10.625</v>
      </c>
      <c r="Q3104" s="74">
        <f>VLOOKUP(B3104,Readme!A$40:C$51,2,)*P3104</f>
        <v>36.549999999999997</v>
      </c>
    </row>
    <row r="3105" spans="1:17" ht="12" customHeight="1" x14ac:dyDescent="0.35">
      <c r="A3105" s="75">
        <v>3104</v>
      </c>
      <c r="B3105" s="64">
        <v>2019</v>
      </c>
      <c r="C3105" s="64">
        <v>10</v>
      </c>
      <c r="D3105" s="80">
        <f t="shared" si="99"/>
        <v>2019</v>
      </c>
      <c r="E3105" t="s">
        <v>38</v>
      </c>
      <c r="F3105" t="s">
        <v>143</v>
      </c>
      <c r="G3105" t="s">
        <v>10</v>
      </c>
      <c r="H3105" s="72">
        <v>788</v>
      </c>
      <c r="I3105" s="72" t="s">
        <v>52</v>
      </c>
      <c r="J3105" t="str">
        <f t="shared" si="100"/>
        <v>Nooksack River</v>
      </c>
      <c r="K3105" t="str">
        <f>IFERROR(VLOOKUP(J3105,LUTs!$A$1:$C$73,2,FALSE),"NA")</f>
        <v>Whatcom</v>
      </c>
      <c r="L3105" t="str">
        <f>IFERROR(VLOOKUP(J3105,LUTs!$A$1:$C$73,3,FALSE),"NA")</f>
        <v>1North Puget Sound</v>
      </c>
      <c r="M3105" s="72" t="s">
        <v>15</v>
      </c>
      <c r="N3105" t="str">
        <f>VLOOKUP(M3105,LUTs!E$2:H$14,3,)</f>
        <v>02Skagit</v>
      </c>
      <c r="O3105" t="str">
        <f>VLOOKUP(M3105,LUTs!E$2:H$14,4,)</f>
        <v>01North Puget Sound</v>
      </c>
      <c r="P3105" s="73">
        <v>297.5</v>
      </c>
      <c r="Q3105" s="74">
        <f>VLOOKUP(B3105,Readme!A$40:C$51,2,)*P3105</f>
        <v>1023.4</v>
      </c>
    </row>
    <row r="3106" spans="1:17" ht="12" customHeight="1" x14ac:dyDescent="0.35">
      <c r="A3106" s="75">
        <v>3105</v>
      </c>
      <c r="B3106" s="64">
        <v>2019</v>
      </c>
      <c r="C3106" s="64">
        <v>10</v>
      </c>
      <c r="D3106" s="80">
        <f t="shared" si="99"/>
        <v>2019</v>
      </c>
      <c r="E3106" t="s">
        <v>38</v>
      </c>
      <c r="F3106" t="s">
        <v>143</v>
      </c>
      <c r="G3106" t="s">
        <v>10</v>
      </c>
      <c r="H3106" s="72">
        <v>788</v>
      </c>
      <c r="I3106" s="72" t="s">
        <v>52</v>
      </c>
      <c r="J3106" t="str">
        <f t="shared" si="100"/>
        <v>Nooksack River</v>
      </c>
      <c r="K3106" t="str">
        <f>IFERROR(VLOOKUP(J3106,LUTs!$A$1:$C$73,2,FALSE),"NA")</f>
        <v>Whatcom</v>
      </c>
      <c r="L3106" t="str">
        <f>IFERROR(VLOOKUP(J3106,LUTs!$A$1:$C$73,3,FALSE),"NA")</f>
        <v>1North Puget Sound</v>
      </c>
      <c r="M3106" s="72" t="s">
        <v>16</v>
      </c>
      <c r="N3106" t="str">
        <f>VLOOKUP(M3106,LUTs!E$2:H$14,3,)</f>
        <v>03Snohomish</v>
      </c>
      <c r="O3106" t="str">
        <f>VLOOKUP(M3106,LUTs!E$2:H$14,4,)</f>
        <v>01North Puget Sound</v>
      </c>
      <c r="P3106" s="73">
        <v>180.625</v>
      </c>
      <c r="Q3106" s="74">
        <f>VLOOKUP(B3106,Readme!A$40:C$51,2,)*P3106</f>
        <v>621.35</v>
      </c>
    </row>
    <row r="3107" spans="1:17" ht="12" customHeight="1" x14ac:dyDescent="0.35">
      <c r="A3107" s="75">
        <v>3106</v>
      </c>
      <c r="B3107" s="64">
        <v>2019</v>
      </c>
      <c r="C3107" s="64">
        <v>10</v>
      </c>
      <c r="D3107" s="80">
        <f t="shared" si="99"/>
        <v>2019</v>
      </c>
      <c r="E3107" t="s">
        <v>38</v>
      </c>
      <c r="F3107" t="s">
        <v>143</v>
      </c>
      <c r="G3107" t="s">
        <v>10</v>
      </c>
      <c r="H3107" s="72">
        <v>788</v>
      </c>
      <c r="I3107" s="72" t="s">
        <v>52</v>
      </c>
      <c r="J3107" t="str">
        <f t="shared" si="100"/>
        <v>Nooksack River</v>
      </c>
      <c r="K3107" t="str">
        <f>IFERROR(VLOOKUP(J3107,LUTs!$A$1:$C$73,2,FALSE),"NA")</f>
        <v>Whatcom</v>
      </c>
      <c r="L3107" t="str">
        <f>IFERROR(VLOOKUP(J3107,LUTs!$A$1:$C$73,3,FALSE),"NA")</f>
        <v>1North Puget Sound</v>
      </c>
      <c r="M3107" s="72" t="s">
        <v>13</v>
      </c>
      <c r="N3107" t="str">
        <f>VLOOKUP(M3107,LUTs!E$2:H$14,3,)</f>
        <v>01Whatcom</v>
      </c>
      <c r="O3107" t="str">
        <f>VLOOKUP(M3107,LUTs!E$2:H$14,4,)</f>
        <v>01North Puget Sound</v>
      </c>
      <c r="P3107" s="73">
        <v>871.25</v>
      </c>
      <c r="Q3107" s="74">
        <f>VLOOKUP(B3107,Readme!A$40:C$51,2,)*P3107</f>
        <v>2997.1</v>
      </c>
    </row>
    <row r="3108" spans="1:17" ht="12" customHeight="1" x14ac:dyDescent="0.35">
      <c r="A3108" s="75">
        <v>3107</v>
      </c>
      <c r="B3108" s="64">
        <v>2019</v>
      </c>
      <c r="C3108" s="64">
        <v>11</v>
      </c>
      <c r="D3108" s="80">
        <f t="shared" si="99"/>
        <v>2019</v>
      </c>
      <c r="E3108" t="s">
        <v>38</v>
      </c>
      <c r="F3108" t="s">
        <v>143</v>
      </c>
      <c r="G3108" t="s">
        <v>10</v>
      </c>
      <c r="H3108" s="72">
        <v>788</v>
      </c>
      <c r="I3108" s="72" t="s">
        <v>52</v>
      </c>
      <c r="J3108" t="str">
        <f t="shared" si="100"/>
        <v>Nooksack River</v>
      </c>
      <c r="K3108" t="str">
        <f>IFERROR(VLOOKUP(J3108,LUTs!$A$1:$C$73,2,FALSE),"NA")</f>
        <v>Whatcom</v>
      </c>
      <c r="L3108" t="str">
        <f>IFERROR(VLOOKUP(J3108,LUTs!$A$1:$C$73,3,FALSE),"NA")</f>
        <v>1North Puget Sound</v>
      </c>
      <c r="M3108" s="72" t="s">
        <v>17</v>
      </c>
      <c r="N3108" t="str">
        <f>VLOOKUP(M3108,LUTs!E$2:H$14,3,)</f>
        <v>04Island</v>
      </c>
      <c r="O3108" t="str">
        <f>VLOOKUP(M3108,LUTs!E$2:H$14,4,)</f>
        <v>01North Puget Sound</v>
      </c>
      <c r="P3108" s="73">
        <v>42.2040816326531</v>
      </c>
      <c r="Q3108" s="74">
        <f>VLOOKUP(B3108,Readme!A$40:C$51,2,)*P3108</f>
        <v>145.18204081632666</v>
      </c>
    </row>
    <row r="3109" spans="1:17" ht="12" customHeight="1" x14ac:dyDescent="0.35">
      <c r="A3109" s="75">
        <v>3108</v>
      </c>
      <c r="B3109" s="64">
        <v>2019</v>
      </c>
      <c r="C3109" s="64">
        <v>11</v>
      </c>
      <c r="D3109" s="80">
        <f t="shared" si="99"/>
        <v>2019</v>
      </c>
      <c r="E3109" t="s">
        <v>38</v>
      </c>
      <c r="F3109" t="s">
        <v>143</v>
      </c>
      <c r="G3109" t="s">
        <v>10</v>
      </c>
      <c r="H3109" s="72">
        <v>788</v>
      </c>
      <c r="I3109" s="72" t="s">
        <v>52</v>
      </c>
      <c r="J3109" t="str">
        <f t="shared" si="100"/>
        <v>Nooksack River</v>
      </c>
      <c r="K3109" t="str">
        <f>IFERROR(VLOOKUP(J3109,LUTs!$A$1:$C$73,2,FALSE),"NA")</f>
        <v>Whatcom</v>
      </c>
      <c r="L3109" t="str">
        <f>IFERROR(VLOOKUP(J3109,LUTs!$A$1:$C$73,3,FALSE),"NA")</f>
        <v>1North Puget Sound</v>
      </c>
      <c r="M3109" s="72" t="s">
        <v>15</v>
      </c>
      <c r="N3109" t="str">
        <f>VLOOKUP(M3109,LUTs!E$2:H$14,3,)</f>
        <v>02Skagit</v>
      </c>
      <c r="O3109" t="str">
        <f>VLOOKUP(M3109,LUTs!E$2:H$14,4,)</f>
        <v>01North Puget Sound</v>
      </c>
      <c r="P3109" s="73">
        <v>31.6530612244898</v>
      </c>
      <c r="Q3109" s="74">
        <f>VLOOKUP(B3109,Readme!A$40:C$51,2,)*P3109</f>
        <v>108.88653061224491</v>
      </c>
    </row>
    <row r="3110" spans="1:17" ht="12" customHeight="1" x14ac:dyDescent="0.35">
      <c r="A3110" s="75">
        <v>3109</v>
      </c>
      <c r="B3110" s="64">
        <v>2019</v>
      </c>
      <c r="C3110" s="64">
        <v>11</v>
      </c>
      <c r="D3110" s="80">
        <f t="shared" si="99"/>
        <v>2019</v>
      </c>
      <c r="E3110" t="s">
        <v>38</v>
      </c>
      <c r="F3110" t="s">
        <v>143</v>
      </c>
      <c r="G3110" t="s">
        <v>10</v>
      </c>
      <c r="H3110" s="72">
        <v>788</v>
      </c>
      <c r="I3110" s="72" t="s">
        <v>52</v>
      </c>
      <c r="J3110" t="str">
        <f t="shared" si="100"/>
        <v>Nooksack River</v>
      </c>
      <c r="K3110" t="str">
        <f>IFERROR(VLOOKUP(J3110,LUTs!$A$1:$C$73,2,FALSE),"NA")</f>
        <v>Whatcom</v>
      </c>
      <c r="L3110" t="str">
        <f>IFERROR(VLOOKUP(J3110,LUTs!$A$1:$C$73,3,FALSE),"NA")</f>
        <v>1North Puget Sound</v>
      </c>
      <c r="M3110" s="72" t="s">
        <v>13</v>
      </c>
      <c r="N3110" t="str">
        <f>VLOOKUP(M3110,LUTs!E$2:H$14,3,)</f>
        <v>01Whatcom</v>
      </c>
      <c r="O3110" t="str">
        <f>VLOOKUP(M3110,LUTs!E$2:H$14,4,)</f>
        <v>01North Puget Sound</v>
      </c>
      <c r="P3110" s="73">
        <v>443.142857142857</v>
      </c>
      <c r="Q3110" s="74">
        <f>VLOOKUP(B3110,Readme!A$40:C$51,2,)*P3110</f>
        <v>1524.4114285714281</v>
      </c>
    </row>
    <row r="3111" spans="1:17" ht="12" customHeight="1" x14ac:dyDescent="0.35">
      <c r="A3111" s="75">
        <v>3110</v>
      </c>
      <c r="B3111" s="64">
        <v>2019</v>
      </c>
      <c r="C3111" s="64">
        <v>12</v>
      </c>
      <c r="D3111" s="80">
        <f t="shared" si="99"/>
        <v>2019</v>
      </c>
      <c r="E3111" t="s">
        <v>38</v>
      </c>
      <c r="F3111" t="s">
        <v>143</v>
      </c>
      <c r="G3111" t="s">
        <v>10</v>
      </c>
      <c r="H3111" s="72">
        <v>788</v>
      </c>
      <c r="I3111" s="72" t="s">
        <v>52</v>
      </c>
      <c r="J3111" t="str">
        <f t="shared" si="100"/>
        <v>Nooksack River</v>
      </c>
      <c r="K3111" t="str">
        <f>IFERROR(VLOOKUP(J3111,LUTs!$A$1:$C$73,2,FALSE),"NA")</f>
        <v>Whatcom</v>
      </c>
      <c r="L3111" t="str">
        <f>IFERROR(VLOOKUP(J3111,LUTs!$A$1:$C$73,3,FALSE),"NA")</f>
        <v>1North Puget Sound</v>
      </c>
      <c r="M3111" s="72" t="s">
        <v>15</v>
      </c>
      <c r="N3111" t="str">
        <f>VLOOKUP(M3111,LUTs!E$2:H$14,3,)</f>
        <v>02Skagit</v>
      </c>
      <c r="O3111" t="str">
        <f>VLOOKUP(M3111,LUTs!E$2:H$14,4,)</f>
        <v>01North Puget Sound</v>
      </c>
      <c r="P3111" s="73">
        <v>11</v>
      </c>
      <c r="Q3111" s="74">
        <f>VLOOKUP(B3111,Readme!A$40:C$51,2,)*P3111</f>
        <v>37.839999999999996</v>
      </c>
    </row>
    <row r="3112" spans="1:17" ht="12" customHeight="1" x14ac:dyDescent="0.35">
      <c r="A3112" s="75">
        <v>3111</v>
      </c>
      <c r="B3112" s="64">
        <v>2019</v>
      </c>
      <c r="C3112" s="64">
        <v>7</v>
      </c>
      <c r="D3112" s="80">
        <f t="shared" si="99"/>
        <v>2019</v>
      </c>
      <c r="E3112" t="s">
        <v>38</v>
      </c>
      <c r="F3112" t="s">
        <v>143</v>
      </c>
      <c r="G3112" t="s">
        <v>10</v>
      </c>
      <c r="H3112" s="72">
        <v>802</v>
      </c>
      <c r="I3112" s="72" t="s">
        <v>53</v>
      </c>
      <c r="J3112" t="str">
        <f t="shared" si="100"/>
        <v>Carbon River</v>
      </c>
      <c r="K3112" t="str">
        <f>IFERROR(VLOOKUP(J3112,LUTs!$A$1:$C$73,2,FALSE),"NA")</f>
        <v>Pierce</v>
      </c>
      <c r="L3112" t="str">
        <f>IFERROR(VLOOKUP(J3112,LUTs!$A$1:$C$73,3,FALSE),"NA")</f>
        <v>3South Puget Sound</v>
      </c>
      <c r="M3112" s="72" t="s">
        <v>20</v>
      </c>
      <c r="N3112" t="str">
        <f>VLOOKUP(M3112,LUTs!E$2:H$14,3,)</f>
        <v>07Pierce</v>
      </c>
      <c r="O3112" t="str">
        <f>VLOOKUP(M3112,LUTs!E$2:H$14,4,)</f>
        <v>02South Puget Sound</v>
      </c>
      <c r="P3112" s="73">
        <v>0</v>
      </c>
      <c r="Q3112" s="74">
        <f>VLOOKUP(B3112,Readme!A$40:C$51,2,)*P3112</f>
        <v>0</v>
      </c>
    </row>
    <row r="3113" spans="1:17" ht="12" customHeight="1" x14ac:dyDescent="0.35">
      <c r="A3113" s="75">
        <v>3112</v>
      </c>
      <c r="B3113" s="64">
        <v>2019</v>
      </c>
      <c r="C3113" s="64">
        <v>8</v>
      </c>
      <c r="D3113" s="80">
        <f t="shared" si="99"/>
        <v>2019</v>
      </c>
      <c r="E3113" t="s">
        <v>38</v>
      </c>
      <c r="F3113" t="s">
        <v>143</v>
      </c>
      <c r="G3113" t="s">
        <v>10</v>
      </c>
      <c r="H3113" s="72">
        <v>802</v>
      </c>
      <c r="I3113" s="72" t="s">
        <v>53</v>
      </c>
      <c r="J3113" t="str">
        <f t="shared" si="100"/>
        <v>Carbon River</v>
      </c>
      <c r="K3113" t="str">
        <f>IFERROR(VLOOKUP(J3113,LUTs!$A$1:$C$73,2,FALSE),"NA")</f>
        <v>Pierce</v>
      </c>
      <c r="L3113" t="str">
        <f>IFERROR(VLOOKUP(J3113,LUTs!$A$1:$C$73,3,FALSE),"NA")</f>
        <v>3South Puget Sound</v>
      </c>
      <c r="M3113" s="72" t="s">
        <v>18</v>
      </c>
      <c r="N3113" t="str">
        <f>VLOOKUP(M3113,LUTs!E$2:H$14,3,)</f>
        <v>06King</v>
      </c>
      <c r="O3113" t="str">
        <f>VLOOKUP(M3113,LUTs!E$2:H$14,4,)</f>
        <v>02South Puget Sound</v>
      </c>
      <c r="P3113" s="73">
        <v>29.76</v>
      </c>
      <c r="Q3113" s="74">
        <f>VLOOKUP(B3113,Readme!A$40:C$51,2,)*P3113</f>
        <v>102.37440000000001</v>
      </c>
    </row>
    <row r="3114" spans="1:17" ht="12" customHeight="1" x14ac:dyDescent="0.35">
      <c r="A3114" s="75">
        <v>3113</v>
      </c>
      <c r="B3114" s="64">
        <v>2019</v>
      </c>
      <c r="C3114" s="64">
        <v>8</v>
      </c>
      <c r="D3114" s="80">
        <f t="shared" si="99"/>
        <v>2019</v>
      </c>
      <c r="E3114" t="s">
        <v>38</v>
      </c>
      <c r="F3114" t="s">
        <v>143</v>
      </c>
      <c r="G3114" t="s">
        <v>10</v>
      </c>
      <c r="H3114" s="72">
        <v>802</v>
      </c>
      <c r="I3114" s="72" t="s">
        <v>53</v>
      </c>
      <c r="J3114" t="str">
        <f t="shared" si="100"/>
        <v>Carbon River</v>
      </c>
      <c r="K3114" t="str">
        <f>IFERROR(VLOOKUP(J3114,LUTs!$A$1:$C$73,2,FALSE),"NA")</f>
        <v>Pierce</v>
      </c>
      <c r="L3114" t="str">
        <f>IFERROR(VLOOKUP(J3114,LUTs!$A$1:$C$73,3,FALSE),"NA")</f>
        <v>3South Puget Sound</v>
      </c>
      <c r="M3114" s="72" t="s">
        <v>22</v>
      </c>
      <c r="N3114" t="str">
        <f>VLOOKUP(M3114,LUTs!E$2:H$14,3,)</f>
        <v>09Mason</v>
      </c>
      <c r="O3114" t="str">
        <f>VLOOKUP(M3114,LUTs!E$2:H$14,4,)</f>
        <v>02South Puget Sound</v>
      </c>
      <c r="P3114" s="73">
        <v>9.92</v>
      </c>
      <c r="Q3114" s="74">
        <f>VLOOKUP(B3114,Readme!A$40:C$51,2,)*P3114</f>
        <v>34.1248</v>
      </c>
    </row>
    <row r="3115" spans="1:17" ht="12" customHeight="1" x14ac:dyDescent="0.35">
      <c r="A3115" s="75">
        <v>3114</v>
      </c>
      <c r="B3115" s="64">
        <v>2019</v>
      </c>
      <c r="C3115" s="64">
        <v>8</v>
      </c>
      <c r="D3115" s="80">
        <f t="shared" si="99"/>
        <v>2019</v>
      </c>
      <c r="E3115" t="s">
        <v>38</v>
      </c>
      <c r="F3115" t="s">
        <v>143</v>
      </c>
      <c r="G3115" t="s">
        <v>10</v>
      </c>
      <c r="H3115" s="72">
        <v>802</v>
      </c>
      <c r="I3115" s="72" t="s">
        <v>53</v>
      </c>
      <c r="J3115" t="str">
        <f t="shared" si="100"/>
        <v>Carbon River</v>
      </c>
      <c r="K3115" t="str">
        <f>IFERROR(VLOOKUP(J3115,LUTs!$A$1:$C$73,2,FALSE),"NA")</f>
        <v>Pierce</v>
      </c>
      <c r="L3115" t="str">
        <f>IFERROR(VLOOKUP(J3115,LUTs!$A$1:$C$73,3,FALSE),"NA")</f>
        <v>3South Puget Sound</v>
      </c>
      <c r="M3115" s="72" t="s">
        <v>20</v>
      </c>
      <c r="N3115" t="str">
        <f>VLOOKUP(M3115,LUTs!E$2:H$14,3,)</f>
        <v>07Pierce</v>
      </c>
      <c r="O3115" t="str">
        <f>VLOOKUP(M3115,LUTs!E$2:H$14,4,)</f>
        <v>02South Puget Sound</v>
      </c>
      <c r="P3115" s="73">
        <v>198.4</v>
      </c>
      <c r="Q3115" s="74">
        <f>VLOOKUP(B3115,Readme!A$40:C$51,2,)*P3115</f>
        <v>682.49599999999998</v>
      </c>
    </row>
    <row r="3116" spans="1:17" ht="12" customHeight="1" x14ac:dyDescent="0.35">
      <c r="A3116" s="75">
        <v>3115</v>
      </c>
      <c r="B3116" s="64">
        <v>2019</v>
      </c>
      <c r="C3116" s="64">
        <v>8</v>
      </c>
      <c r="D3116" s="80">
        <f t="shared" si="99"/>
        <v>2019</v>
      </c>
      <c r="E3116" t="s">
        <v>38</v>
      </c>
      <c r="F3116" t="s">
        <v>143</v>
      </c>
      <c r="G3116" t="s">
        <v>10</v>
      </c>
      <c r="H3116" s="72">
        <v>802</v>
      </c>
      <c r="I3116" s="72" t="s">
        <v>53</v>
      </c>
      <c r="J3116" t="str">
        <f t="shared" si="100"/>
        <v>Carbon River</v>
      </c>
      <c r="K3116" t="str">
        <f>IFERROR(VLOOKUP(J3116,LUTs!$A$1:$C$73,2,FALSE),"NA")</f>
        <v>Pierce</v>
      </c>
      <c r="L3116" t="str">
        <f>IFERROR(VLOOKUP(J3116,LUTs!$A$1:$C$73,3,FALSE),"NA")</f>
        <v>3South Puget Sound</v>
      </c>
      <c r="M3116" s="72" t="s">
        <v>16</v>
      </c>
      <c r="N3116" t="str">
        <f>VLOOKUP(M3116,LUTs!E$2:H$14,3,)</f>
        <v>03Snohomish</v>
      </c>
      <c r="O3116" t="str">
        <f>VLOOKUP(M3116,LUTs!E$2:H$14,4,)</f>
        <v>01North Puget Sound</v>
      </c>
      <c r="P3116" s="73">
        <v>9.92</v>
      </c>
      <c r="Q3116" s="74">
        <f>VLOOKUP(B3116,Readme!A$40:C$51,2,)*P3116</f>
        <v>34.1248</v>
      </c>
    </row>
    <row r="3117" spans="1:17" ht="12" customHeight="1" x14ac:dyDescent="0.35">
      <c r="A3117" s="75">
        <v>3116</v>
      </c>
      <c r="B3117" s="64">
        <v>2019</v>
      </c>
      <c r="C3117" s="64">
        <v>9</v>
      </c>
      <c r="D3117" s="80">
        <f t="shared" si="99"/>
        <v>2019</v>
      </c>
      <c r="E3117" t="s">
        <v>38</v>
      </c>
      <c r="F3117" t="s">
        <v>143</v>
      </c>
      <c r="G3117" t="s">
        <v>10</v>
      </c>
      <c r="H3117" s="72">
        <v>802</v>
      </c>
      <c r="I3117" s="72" t="s">
        <v>53</v>
      </c>
      <c r="J3117" t="str">
        <f t="shared" si="100"/>
        <v>Carbon River</v>
      </c>
      <c r="K3117" t="str">
        <f>IFERROR(VLOOKUP(J3117,LUTs!$A$1:$C$73,2,FALSE),"NA")</f>
        <v>Pierce</v>
      </c>
      <c r="L3117" t="str">
        <f>IFERROR(VLOOKUP(J3117,LUTs!$A$1:$C$73,3,FALSE),"NA")</f>
        <v>3South Puget Sound</v>
      </c>
      <c r="M3117" s="72" t="s">
        <v>24</v>
      </c>
      <c r="N3117" t="str">
        <f>VLOOKUP(M3117,LUTs!E$2:H$14,3,)</f>
        <v>11Clallam</v>
      </c>
      <c r="O3117" t="str">
        <f>VLOOKUP(M3117,LUTs!E$2:H$14,4,)</f>
        <v>03Strait of Juan de Fuca</v>
      </c>
      <c r="P3117" s="73">
        <v>22.3150183150183</v>
      </c>
      <c r="Q3117" s="74">
        <f>VLOOKUP(B3117,Readme!A$40:C$51,2,)*P3117</f>
        <v>76.763663003662955</v>
      </c>
    </row>
    <row r="3118" spans="1:17" ht="12" customHeight="1" x14ac:dyDescent="0.35">
      <c r="A3118" s="75">
        <v>3117</v>
      </c>
      <c r="B3118" s="64">
        <v>2019</v>
      </c>
      <c r="C3118" s="64">
        <v>9</v>
      </c>
      <c r="D3118" s="80">
        <f t="shared" si="99"/>
        <v>2019</v>
      </c>
      <c r="E3118" t="s">
        <v>38</v>
      </c>
      <c r="F3118" t="s">
        <v>143</v>
      </c>
      <c r="G3118" t="s">
        <v>10</v>
      </c>
      <c r="H3118" s="72">
        <v>802</v>
      </c>
      <c r="I3118" s="72" t="s">
        <v>53</v>
      </c>
      <c r="J3118" t="str">
        <f t="shared" si="100"/>
        <v>Carbon River</v>
      </c>
      <c r="K3118" t="str">
        <f>IFERROR(VLOOKUP(J3118,LUTs!$A$1:$C$73,2,FALSE),"NA")</f>
        <v>Pierce</v>
      </c>
      <c r="L3118" t="str">
        <f>IFERROR(VLOOKUP(J3118,LUTs!$A$1:$C$73,3,FALSE),"NA")</f>
        <v>3South Puget Sound</v>
      </c>
      <c r="M3118" s="72" t="s">
        <v>18</v>
      </c>
      <c r="N3118" t="str">
        <f>VLOOKUP(M3118,LUTs!E$2:H$14,3,)</f>
        <v>06King</v>
      </c>
      <c r="O3118" t="str">
        <f>VLOOKUP(M3118,LUTs!E$2:H$14,4,)</f>
        <v>02South Puget Sound</v>
      </c>
      <c r="P3118" s="73">
        <v>591.34798534798495</v>
      </c>
      <c r="Q3118" s="74">
        <f>VLOOKUP(B3118,Readme!A$40:C$51,2,)*P3118</f>
        <v>2034.2370695970683</v>
      </c>
    </row>
    <row r="3119" spans="1:17" ht="12" customHeight="1" x14ac:dyDescent="0.35">
      <c r="A3119" s="75">
        <v>3118</v>
      </c>
      <c r="B3119" s="64">
        <v>2019</v>
      </c>
      <c r="C3119" s="64">
        <v>9</v>
      </c>
      <c r="D3119" s="80">
        <f t="shared" si="99"/>
        <v>2019</v>
      </c>
      <c r="E3119" t="s">
        <v>38</v>
      </c>
      <c r="F3119" t="s">
        <v>143</v>
      </c>
      <c r="G3119" t="s">
        <v>10</v>
      </c>
      <c r="H3119" s="72">
        <v>802</v>
      </c>
      <c r="I3119" s="72" t="s">
        <v>53</v>
      </c>
      <c r="J3119" t="str">
        <f t="shared" si="100"/>
        <v>Carbon River</v>
      </c>
      <c r="K3119" t="str">
        <f>IFERROR(VLOOKUP(J3119,LUTs!$A$1:$C$73,2,FALSE),"NA")</f>
        <v>Pierce</v>
      </c>
      <c r="L3119" t="str">
        <f>IFERROR(VLOOKUP(J3119,LUTs!$A$1:$C$73,3,FALSE),"NA")</f>
        <v>3South Puget Sound</v>
      </c>
      <c r="M3119" s="72" t="s">
        <v>23</v>
      </c>
      <c r="N3119" t="str">
        <f>VLOOKUP(M3119,LUTs!E$2:H$14,3,)</f>
        <v>10Kitsap</v>
      </c>
      <c r="O3119" t="str">
        <f>VLOOKUP(M3119,LUTs!E$2:H$14,4,)</f>
        <v>02South Puget Sound</v>
      </c>
      <c r="P3119" s="73">
        <v>78.102564102564102</v>
      </c>
      <c r="Q3119" s="74">
        <f>VLOOKUP(B3119,Readme!A$40:C$51,2,)*P3119</f>
        <v>268.67282051282052</v>
      </c>
    </row>
    <row r="3120" spans="1:17" ht="12" customHeight="1" x14ac:dyDescent="0.35">
      <c r="A3120" s="75">
        <v>3119</v>
      </c>
      <c r="B3120" s="64">
        <v>2019</v>
      </c>
      <c r="C3120" s="64">
        <v>9</v>
      </c>
      <c r="D3120" s="80">
        <f t="shared" si="99"/>
        <v>2019</v>
      </c>
      <c r="E3120" t="s">
        <v>38</v>
      </c>
      <c r="F3120" t="s">
        <v>143</v>
      </c>
      <c r="G3120" t="s">
        <v>10</v>
      </c>
      <c r="H3120" s="72">
        <v>802</v>
      </c>
      <c r="I3120" s="72" t="s">
        <v>53</v>
      </c>
      <c r="J3120" t="str">
        <f t="shared" si="100"/>
        <v>Carbon River</v>
      </c>
      <c r="K3120" t="str">
        <f>IFERROR(VLOOKUP(J3120,LUTs!$A$1:$C$73,2,FALSE),"NA")</f>
        <v>Pierce</v>
      </c>
      <c r="L3120" t="str">
        <f>IFERROR(VLOOKUP(J3120,LUTs!$A$1:$C$73,3,FALSE),"NA")</f>
        <v>3South Puget Sound</v>
      </c>
      <c r="M3120" s="72" t="s">
        <v>26</v>
      </c>
      <c r="N3120" t="str">
        <f>VLOOKUP(M3120,LUTs!E$2:H$14,3,)</f>
        <v>20Other</v>
      </c>
      <c r="O3120" t="str">
        <f>VLOOKUP(M3120,LUTs!E$2:H$14,4,)</f>
        <v>07Non Puget Sound</v>
      </c>
      <c r="P3120" s="73">
        <v>256.622710622711</v>
      </c>
      <c r="Q3120" s="74">
        <f>VLOOKUP(B3120,Readme!A$40:C$51,2,)*P3120</f>
        <v>882.78212454212587</v>
      </c>
    </row>
    <row r="3121" spans="1:17" ht="12" customHeight="1" x14ac:dyDescent="0.35">
      <c r="A3121" s="75">
        <v>3120</v>
      </c>
      <c r="B3121" s="64">
        <v>2019</v>
      </c>
      <c r="C3121" s="64">
        <v>9</v>
      </c>
      <c r="D3121" s="80">
        <f t="shared" si="99"/>
        <v>2019</v>
      </c>
      <c r="E3121" t="s">
        <v>38</v>
      </c>
      <c r="F3121" t="s">
        <v>143</v>
      </c>
      <c r="G3121" t="s">
        <v>10</v>
      </c>
      <c r="H3121" s="72">
        <v>802</v>
      </c>
      <c r="I3121" s="72" t="s">
        <v>53</v>
      </c>
      <c r="J3121" t="str">
        <f t="shared" si="100"/>
        <v>Carbon River</v>
      </c>
      <c r="K3121" t="str">
        <f>IFERROR(VLOOKUP(J3121,LUTs!$A$1:$C$73,2,FALSE),"NA")</f>
        <v>Pierce</v>
      </c>
      <c r="L3121" t="str">
        <f>IFERROR(VLOOKUP(J3121,LUTs!$A$1:$C$73,3,FALSE),"NA")</f>
        <v>3South Puget Sound</v>
      </c>
      <c r="M3121" s="72" t="s">
        <v>20</v>
      </c>
      <c r="N3121" t="str">
        <f>VLOOKUP(M3121,LUTs!E$2:H$14,3,)</f>
        <v>07Pierce</v>
      </c>
      <c r="O3121" t="str">
        <f>VLOOKUP(M3121,LUTs!E$2:H$14,4,)</f>
        <v>02South Puget Sound</v>
      </c>
      <c r="P3121" s="73">
        <v>2052.9816849816898</v>
      </c>
      <c r="Q3121" s="74">
        <f>VLOOKUP(B3121,Readme!A$40:C$51,2,)*P3121</f>
        <v>7062.2569963370124</v>
      </c>
    </row>
    <row r="3122" spans="1:17" ht="12" customHeight="1" x14ac:dyDescent="0.35">
      <c r="A3122" s="75">
        <v>3121</v>
      </c>
      <c r="B3122" s="64">
        <v>2019</v>
      </c>
      <c r="C3122" s="64">
        <v>9</v>
      </c>
      <c r="D3122" s="80">
        <f t="shared" si="99"/>
        <v>2019</v>
      </c>
      <c r="E3122" t="s">
        <v>38</v>
      </c>
      <c r="F3122" t="s">
        <v>143</v>
      </c>
      <c r="G3122" t="s">
        <v>10</v>
      </c>
      <c r="H3122" s="72">
        <v>802</v>
      </c>
      <c r="I3122" s="72" t="s">
        <v>53</v>
      </c>
      <c r="J3122" t="str">
        <f t="shared" si="100"/>
        <v>Carbon River</v>
      </c>
      <c r="K3122" t="str">
        <f>IFERROR(VLOOKUP(J3122,LUTs!$A$1:$C$73,2,FALSE),"NA")</f>
        <v>Pierce</v>
      </c>
      <c r="L3122" t="str">
        <f>IFERROR(VLOOKUP(J3122,LUTs!$A$1:$C$73,3,FALSE),"NA")</f>
        <v>3South Puget Sound</v>
      </c>
      <c r="M3122" s="72" t="s">
        <v>16</v>
      </c>
      <c r="N3122" t="str">
        <f>VLOOKUP(M3122,LUTs!E$2:H$14,3,)</f>
        <v>03Snohomish</v>
      </c>
      <c r="O3122" t="str">
        <f>VLOOKUP(M3122,LUTs!E$2:H$14,4,)</f>
        <v>01North Puget Sound</v>
      </c>
      <c r="P3122" s="73">
        <v>33.472527472527503</v>
      </c>
      <c r="Q3122" s="74">
        <f>VLOOKUP(B3122,Readme!A$40:C$51,2,)*P3122</f>
        <v>115.14549450549461</v>
      </c>
    </row>
    <row r="3123" spans="1:17" ht="12" customHeight="1" x14ac:dyDescent="0.35">
      <c r="A3123" s="75">
        <v>3122</v>
      </c>
      <c r="B3123" s="64">
        <v>2019</v>
      </c>
      <c r="C3123" s="64">
        <v>9</v>
      </c>
      <c r="D3123" s="80">
        <f t="shared" si="99"/>
        <v>2019</v>
      </c>
      <c r="E3123" t="s">
        <v>38</v>
      </c>
      <c r="F3123" t="s">
        <v>143</v>
      </c>
      <c r="G3123" t="s">
        <v>10</v>
      </c>
      <c r="H3123" s="72">
        <v>802</v>
      </c>
      <c r="I3123" s="72" t="s">
        <v>53</v>
      </c>
      <c r="J3123" t="str">
        <f t="shared" si="100"/>
        <v>Carbon River</v>
      </c>
      <c r="K3123" t="str">
        <f>IFERROR(VLOOKUP(J3123,LUTs!$A$1:$C$73,2,FALSE),"NA")</f>
        <v>Pierce</v>
      </c>
      <c r="L3123" t="str">
        <f>IFERROR(VLOOKUP(J3123,LUTs!$A$1:$C$73,3,FALSE),"NA")</f>
        <v>3South Puget Sound</v>
      </c>
      <c r="M3123" s="72" t="s">
        <v>21</v>
      </c>
      <c r="N3123" t="str">
        <f>VLOOKUP(M3123,LUTs!E$2:H$14,3,)</f>
        <v>08Thurston</v>
      </c>
      <c r="O3123" t="str">
        <f>VLOOKUP(M3123,LUTs!E$2:H$14,4,)</f>
        <v>02South Puget Sound</v>
      </c>
      <c r="P3123" s="73">
        <v>11.1575091575092</v>
      </c>
      <c r="Q3123" s="74">
        <f>VLOOKUP(B3123,Readme!A$40:C$51,2,)*P3123</f>
        <v>38.381831501831648</v>
      </c>
    </row>
    <row r="3124" spans="1:17" ht="12" customHeight="1" x14ac:dyDescent="0.35">
      <c r="A3124" s="75">
        <v>3123</v>
      </c>
      <c r="B3124" s="64">
        <v>2019</v>
      </c>
      <c r="C3124" s="64">
        <v>10</v>
      </c>
      <c r="D3124" s="80">
        <f t="shared" si="99"/>
        <v>2019</v>
      </c>
      <c r="E3124" t="s">
        <v>38</v>
      </c>
      <c r="F3124" t="s">
        <v>143</v>
      </c>
      <c r="G3124" t="s">
        <v>10</v>
      </c>
      <c r="H3124" s="72">
        <v>802</v>
      </c>
      <c r="I3124" s="72" t="s">
        <v>53</v>
      </c>
      <c r="J3124" t="str">
        <f t="shared" si="100"/>
        <v>Carbon River</v>
      </c>
      <c r="K3124" t="str">
        <f>IFERROR(VLOOKUP(J3124,LUTs!$A$1:$C$73,2,FALSE),"NA")</f>
        <v>Pierce</v>
      </c>
      <c r="L3124" t="str">
        <f>IFERROR(VLOOKUP(J3124,LUTs!$A$1:$C$73,3,FALSE),"NA")</f>
        <v>3South Puget Sound</v>
      </c>
      <c r="M3124" s="72" t="s">
        <v>18</v>
      </c>
      <c r="N3124" t="str">
        <f>VLOOKUP(M3124,LUTs!E$2:H$14,3,)</f>
        <v>06King</v>
      </c>
      <c r="O3124" t="str">
        <f>VLOOKUP(M3124,LUTs!E$2:H$14,4,)</f>
        <v>02South Puget Sound</v>
      </c>
      <c r="P3124" s="73">
        <v>119.815384615385</v>
      </c>
      <c r="Q3124" s="74">
        <f>VLOOKUP(B3124,Readme!A$40:C$51,2,)*P3124</f>
        <v>412.16492307692437</v>
      </c>
    </row>
    <row r="3125" spans="1:17" ht="12" customHeight="1" x14ac:dyDescent="0.35">
      <c r="A3125" s="75">
        <v>3124</v>
      </c>
      <c r="B3125" s="64">
        <v>2019</v>
      </c>
      <c r="C3125" s="64">
        <v>10</v>
      </c>
      <c r="D3125" s="80">
        <f t="shared" si="99"/>
        <v>2019</v>
      </c>
      <c r="E3125" t="s">
        <v>38</v>
      </c>
      <c r="F3125" t="s">
        <v>143</v>
      </c>
      <c r="G3125" t="s">
        <v>10</v>
      </c>
      <c r="H3125" s="72">
        <v>802</v>
      </c>
      <c r="I3125" s="72" t="s">
        <v>53</v>
      </c>
      <c r="J3125" t="str">
        <f t="shared" si="100"/>
        <v>Carbon River</v>
      </c>
      <c r="K3125" t="str">
        <f>IFERROR(VLOOKUP(J3125,LUTs!$A$1:$C$73,2,FALSE),"NA")</f>
        <v>Pierce</v>
      </c>
      <c r="L3125" t="str">
        <f>IFERROR(VLOOKUP(J3125,LUTs!$A$1:$C$73,3,FALSE),"NA")</f>
        <v>3South Puget Sound</v>
      </c>
      <c r="M3125" s="72" t="s">
        <v>26</v>
      </c>
      <c r="N3125" t="str">
        <f>VLOOKUP(M3125,LUTs!E$2:H$14,3,)</f>
        <v>20Other</v>
      </c>
      <c r="O3125" t="str">
        <f>VLOOKUP(M3125,LUTs!E$2:H$14,4,)</f>
        <v>07Non Puget Sound</v>
      </c>
      <c r="P3125" s="73">
        <v>32.676923076923103</v>
      </c>
      <c r="Q3125" s="74">
        <f>VLOOKUP(B3125,Readme!A$40:C$51,2,)*P3125</f>
        <v>112.40861538461547</v>
      </c>
    </row>
    <row r="3126" spans="1:17" ht="12" customHeight="1" x14ac:dyDescent="0.35">
      <c r="A3126" s="75">
        <v>3125</v>
      </c>
      <c r="B3126" s="64">
        <v>2019</v>
      </c>
      <c r="C3126" s="64">
        <v>10</v>
      </c>
      <c r="D3126" s="80">
        <f t="shared" si="99"/>
        <v>2019</v>
      </c>
      <c r="E3126" t="s">
        <v>38</v>
      </c>
      <c r="F3126" t="s">
        <v>143</v>
      </c>
      <c r="G3126" t="s">
        <v>10</v>
      </c>
      <c r="H3126" s="72">
        <v>802</v>
      </c>
      <c r="I3126" s="72" t="s">
        <v>53</v>
      </c>
      <c r="J3126" t="str">
        <f t="shared" si="100"/>
        <v>Carbon River</v>
      </c>
      <c r="K3126" t="str">
        <f>IFERROR(VLOOKUP(J3126,LUTs!$A$1:$C$73,2,FALSE),"NA")</f>
        <v>Pierce</v>
      </c>
      <c r="L3126" t="str">
        <f>IFERROR(VLOOKUP(J3126,LUTs!$A$1:$C$73,3,FALSE),"NA")</f>
        <v>3South Puget Sound</v>
      </c>
      <c r="M3126" s="72" t="s">
        <v>20</v>
      </c>
      <c r="N3126" t="str">
        <f>VLOOKUP(M3126,LUTs!E$2:H$14,3,)</f>
        <v>07Pierce</v>
      </c>
      <c r="O3126" t="str">
        <f>VLOOKUP(M3126,LUTs!E$2:H$14,4,)</f>
        <v>02South Puget Sound</v>
      </c>
      <c r="P3126" s="73">
        <v>555.50769230769197</v>
      </c>
      <c r="Q3126" s="74">
        <f>VLOOKUP(B3126,Readme!A$40:C$51,2,)*P3126</f>
        <v>1910.9464615384604</v>
      </c>
    </row>
    <row r="3127" spans="1:17" ht="12" customHeight="1" x14ac:dyDescent="0.35">
      <c r="A3127" s="75">
        <v>3126</v>
      </c>
      <c r="B3127" s="64">
        <v>2019</v>
      </c>
      <c r="C3127" s="64">
        <v>7</v>
      </c>
      <c r="D3127" s="80">
        <f t="shared" si="99"/>
        <v>2019</v>
      </c>
      <c r="E3127" t="s">
        <v>38</v>
      </c>
      <c r="F3127" t="s">
        <v>143</v>
      </c>
      <c r="G3127" t="s">
        <v>10</v>
      </c>
      <c r="H3127" s="72">
        <v>804</v>
      </c>
      <c r="I3127" s="72" t="s">
        <v>54</v>
      </c>
      <c r="J3127" t="str">
        <f t="shared" si="100"/>
        <v>Puyallup River</v>
      </c>
      <c r="K3127" t="str">
        <f>IFERROR(VLOOKUP(J3127,LUTs!$A$1:$C$73,2,FALSE),"NA")</f>
        <v>Pierce</v>
      </c>
      <c r="L3127" t="str">
        <f>IFERROR(VLOOKUP(J3127,LUTs!$A$1:$C$73,3,FALSE),"NA")</f>
        <v>3South Puget Sound</v>
      </c>
      <c r="M3127" s="72" t="s">
        <v>20</v>
      </c>
      <c r="N3127" t="str">
        <f>VLOOKUP(M3127,LUTs!E$2:H$14,3,)</f>
        <v>07Pierce</v>
      </c>
      <c r="O3127" t="str">
        <f>VLOOKUP(M3127,LUTs!E$2:H$14,4,)</f>
        <v>02South Puget Sound</v>
      </c>
      <c r="P3127" s="73">
        <v>0</v>
      </c>
      <c r="Q3127" s="74">
        <f>VLOOKUP(B3127,Readme!A$40:C$51,2,)*P3127</f>
        <v>0</v>
      </c>
    </row>
    <row r="3128" spans="1:17" ht="12" customHeight="1" x14ac:dyDescent="0.35">
      <c r="A3128" s="75">
        <v>3127</v>
      </c>
      <c r="B3128" s="64">
        <v>2019</v>
      </c>
      <c r="C3128" s="64">
        <v>8</v>
      </c>
      <c r="D3128" s="80">
        <f t="shared" si="99"/>
        <v>2019</v>
      </c>
      <c r="E3128" t="s">
        <v>38</v>
      </c>
      <c r="F3128" t="s">
        <v>143</v>
      </c>
      <c r="G3128" t="s">
        <v>10</v>
      </c>
      <c r="H3128" s="72">
        <v>804</v>
      </c>
      <c r="I3128" s="72" t="s">
        <v>54</v>
      </c>
      <c r="J3128" t="str">
        <f t="shared" si="100"/>
        <v>Puyallup River</v>
      </c>
      <c r="K3128" t="str">
        <f>IFERROR(VLOOKUP(J3128,LUTs!$A$1:$C$73,2,FALSE),"NA")</f>
        <v>Pierce</v>
      </c>
      <c r="L3128" t="str">
        <f>IFERROR(VLOOKUP(J3128,LUTs!$A$1:$C$73,3,FALSE),"NA")</f>
        <v>3South Puget Sound</v>
      </c>
      <c r="M3128" s="72" t="s">
        <v>24</v>
      </c>
      <c r="N3128" t="str">
        <f>VLOOKUP(M3128,LUTs!E$2:H$14,3,)</f>
        <v>11Clallam</v>
      </c>
      <c r="O3128" t="str">
        <f>VLOOKUP(M3128,LUTs!E$2:H$14,4,)</f>
        <v>03Strait of Juan de Fuca</v>
      </c>
      <c r="P3128" s="73">
        <v>21.5962280325761</v>
      </c>
      <c r="Q3128" s="74">
        <f>VLOOKUP(B3128,Readme!A$40:C$51,2,)*P3128</f>
        <v>74.291024432061789</v>
      </c>
    </row>
    <row r="3129" spans="1:17" ht="12" customHeight="1" x14ac:dyDescent="0.35">
      <c r="A3129" s="75">
        <v>3128</v>
      </c>
      <c r="B3129" s="64">
        <v>2019</v>
      </c>
      <c r="C3129" s="64">
        <v>8</v>
      </c>
      <c r="D3129" s="80">
        <f t="shared" si="99"/>
        <v>2019</v>
      </c>
      <c r="E3129" t="s">
        <v>38</v>
      </c>
      <c r="F3129" t="s">
        <v>143</v>
      </c>
      <c r="G3129" t="s">
        <v>10</v>
      </c>
      <c r="H3129" s="72">
        <v>804</v>
      </c>
      <c r="I3129" s="72" t="s">
        <v>54</v>
      </c>
      <c r="J3129" t="str">
        <f t="shared" si="100"/>
        <v>Puyallup River</v>
      </c>
      <c r="K3129" t="str">
        <f>IFERROR(VLOOKUP(J3129,LUTs!$A$1:$C$73,2,FALSE),"NA")</f>
        <v>Pierce</v>
      </c>
      <c r="L3129" t="str">
        <f>IFERROR(VLOOKUP(J3129,LUTs!$A$1:$C$73,3,FALSE),"NA")</f>
        <v>3South Puget Sound</v>
      </c>
      <c r="M3129" s="72" t="s">
        <v>25</v>
      </c>
      <c r="N3129" t="str">
        <f>VLOOKUP(M3129,LUTs!E$2:H$14,3,)</f>
        <v>12Jefferson</v>
      </c>
      <c r="O3129" t="str">
        <f>VLOOKUP(M3129,LUTs!E$2:H$14,4,)</f>
        <v>03Strait of Juan de Fuca</v>
      </c>
      <c r="P3129" s="73">
        <v>64.788684097728293</v>
      </c>
      <c r="Q3129" s="74">
        <f>VLOOKUP(B3129,Readme!A$40:C$51,2,)*P3129</f>
        <v>222.87307329618531</v>
      </c>
    </row>
    <row r="3130" spans="1:17" ht="12" customHeight="1" x14ac:dyDescent="0.35">
      <c r="A3130" s="75">
        <v>3129</v>
      </c>
      <c r="B3130" s="64">
        <v>2019</v>
      </c>
      <c r="C3130" s="64">
        <v>8</v>
      </c>
      <c r="D3130" s="80">
        <f t="shared" ref="D3130:D3193" si="101">IF(C3130&gt;3,B3130,B3130-1)</f>
        <v>2019</v>
      </c>
      <c r="E3130" t="s">
        <v>38</v>
      </c>
      <c r="F3130" t="s">
        <v>143</v>
      </c>
      <c r="G3130" t="s">
        <v>10</v>
      </c>
      <c r="H3130" s="72">
        <v>804</v>
      </c>
      <c r="I3130" s="72" t="s">
        <v>54</v>
      </c>
      <c r="J3130" t="str">
        <f t="shared" si="100"/>
        <v>Puyallup River</v>
      </c>
      <c r="K3130" t="str">
        <f>IFERROR(VLOOKUP(J3130,LUTs!$A$1:$C$73,2,FALSE),"NA")</f>
        <v>Pierce</v>
      </c>
      <c r="L3130" t="str">
        <f>IFERROR(VLOOKUP(J3130,LUTs!$A$1:$C$73,3,FALSE),"NA")</f>
        <v>3South Puget Sound</v>
      </c>
      <c r="M3130" s="72" t="s">
        <v>18</v>
      </c>
      <c r="N3130" t="str">
        <f>VLOOKUP(M3130,LUTs!E$2:H$14,3,)</f>
        <v>06King</v>
      </c>
      <c r="O3130" t="str">
        <f>VLOOKUP(M3130,LUTs!E$2:H$14,4,)</f>
        <v>02South Puget Sound</v>
      </c>
      <c r="P3130" s="73">
        <v>7731.4496356622403</v>
      </c>
      <c r="Q3130" s="74">
        <f>VLOOKUP(B3130,Readme!A$40:C$51,2,)*P3130</f>
        <v>26596.186746678108</v>
      </c>
    </row>
    <row r="3131" spans="1:17" ht="12" customHeight="1" x14ac:dyDescent="0.35">
      <c r="A3131" s="75">
        <v>3130</v>
      </c>
      <c r="B3131" s="64">
        <v>2019</v>
      </c>
      <c r="C3131" s="64">
        <v>8</v>
      </c>
      <c r="D3131" s="80">
        <f t="shared" si="101"/>
        <v>2019</v>
      </c>
      <c r="E3131" t="s">
        <v>38</v>
      </c>
      <c r="F3131" t="s">
        <v>143</v>
      </c>
      <c r="G3131" t="s">
        <v>10</v>
      </c>
      <c r="H3131" s="72">
        <v>804</v>
      </c>
      <c r="I3131" s="72" t="s">
        <v>54</v>
      </c>
      <c r="J3131" t="str">
        <f t="shared" si="100"/>
        <v>Puyallup River</v>
      </c>
      <c r="K3131" t="str">
        <f>IFERROR(VLOOKUP(J3131,LUTs!$A$1:$C$73,2,FALSE),"NA")</f>
        <v>Pierce</v>
      </c>
      <c r="L3131" t="str">
        <f>IFERROR(VLOOKUP(J3131,LUTs!$A$1:$C$73,3,FALSE),"NA")</f>
        <v>3South Puget Sound</v>
      </c>
      <c r="M3131" s="72" t="s">
        <v>23</v>
      </c>
      <c r="N3131" t="str">
        <f>VLOOKUP(M3131,LUTs!E$2:H$14,3,)</f>
        <v>10Kitsap</v>
      </c>
      <c r="O3131" t="str">
        <f>VLOOKUP(M3131,LUTs!E$2:H$14,4,)</f>
        <v>02South Puget Sound</v>
      </c>
      <c r="P3131" s="73">
        <v>421.126446635234</v>
      </c>
      <c r="Q3131" s="74">
        <f>VLOOKUP(B3131,Readme!A$40:C$51,2,)*P3131</f>
        <v>1448.6749764252049</v>
      </c>
    </row>
    <row r="3132" spans="1:17" ht="12" customHeight="1" x14ac:dyDescent="0.35">
      <c r="A3132" s="75">
        <v>3131</v>
      </c>
      <c r="B3132" s="64">
        <v>2019</v>
      </c>
      <c r="C3132" s="64">
        <v>8</v>
      </c>
      <c r="D3132" s="80">
        <f t="shared" si="101"/>
        <v>2019</v>
      </c>
      <c r="E3132" t="s">
        <v>38</v>
      </c>
      <c r="F3132" t="s">
        <v>143</v>
      </c>
      <c r="G3132" t="s">
        <v>10</v>
      </c>
      <c r="H3132" s="72">
        <v>804</v>
      </c>
      <c r="I3132" s="72" t="s">
        <v>54</v>
      </c>
      <c r="J3132" t="str">
        <f t="shared" si="100"/>
        <v>Puyallup River</v>
      </c>
      <c r="K3132" t="str">
        <f>IFERROR(VLOOKUP(J3132,LUTs!$A$1:$C$73,2,FALSE),"NA")</f>
        <v>Pierce</v>
      </c>
      <c r="L3132" t="str">
        <f>IFERROR(VLOOKUP(J3132,LUTs!$A$1:$C$73,3,FALSE),"NA")</f>
        <v>3South Puget Sound</v>
      </c>
      <c r="M3132" s="72" t="s">
        <v>22</v>
      </c>
      <c r="N3132" t="str">
        <f>VLOOKUP(M3132,LUTs!E$2:H$14,3,)</f>
        <v>09Mason</v>
      </c>
      <c r="O3132" t="str">
        <f>VLOOKUP(M3132,LUTs!E$2:H$14,4,)</f>
        <v>02South Puget Sound</v>
      </c>
      <c r="P3132" s="73">
        <v>302.34719245606499</v>
      </c>
      <c r="Q3132" s="74">
        <f>VLOOKUP(B3132,Readme!A$40:C$51,2,)*P3132</f>
        <v>1040.0743420488636</v>
      </c>
    </row>
    <row r="3133" spans="1:17" ht="12" customHeight="1" x14ac:dyDescent="0.35">
      <c r="A3133" s="75">
        <v>3132</v>
      </c>
      <c r="B3133" s="64">
        <v>2019</v>
      </c>
      <c r="C3133" s="64">
        <v>8</v>
      </c>
      <c r="D3133" s="80">
        <f t="shared" si="101"/>
        <v>2019</v>
      </c>
      <c r="E3133" t="s">
        <v>38</v>
      </c>
      <c r="F3133" t="s">
        <v>143</v>
      </c>
      <c r="G3133" t="s">
        <v>10</v>
      </c>
      <c r="H3133" s="72">
        <v>804</v>
      </c>
      <c r="I3133" s="72" t="s">
        <v>54</v>
      </c>
      <c r="J3133" t="str">
        <f t="shared" si="100"/>
        <v>Puyallup River</v>
      </c>
      <c r="K3133" t="str">
        <f>IFERROR(VLOOKUP(J3133,LUTs!$A$1:$C$73,2,FALSE),"NA")</f>
        <v>Pierce</v>
      </c>
      <c r="L3133" t="str">
        <f>IFERROR(VLOOKUP(J3133,LUTs!$A$1:$C$73,3,FALSE),"NA")</f>
        <v>3South Puget Sound</v>
      </c>
      <c r="M3133" s="72" t="s">
        <v>26</v>
      </c>
      <c r="N3133" t="str">
        <f>VLOOKUP(M3133,LUTs!E$2:H$14,3,)</f>
        <v>20Other</v>
      </c>
      <c r="O3133" t="str">
        <f>VLOOKUP(M3133,LUTs!E$2:H$14,4,)</f>
        <v>07Non Puget Sound</v>
      </c>
      <c r="P3133" s="73">
        <v>604.69438491212998</v>
      </c>
      <c r="Q3133" s="74">
        <f>VLOOKUP(B3133,Readme!A$40:C$51,2,)*P3133</f>
        <v>2080.1486840977273</v>
      </c>
    </row>
    <row r="3134" spans="1:17" ht="12" customHeight="1" x14ac:dyDescent="0.35">
      <c r="A3134" s="75">
        <v>3133</v>
      </c>
      <c r="B3134" s="64">
        <v>2019</v>
      </c>
      <c r="C3134" s="64">
        <v>8</v>
      </c>
      <c r="D3134" s="80">
        <f t="shared" si="101"/>
        <v>2019</v>
      </c>
      <c r="E3134" t="s">
        <v>38</v>
      </c>
      <c r="F3134" t="s">
        <v>143</v>
      </c>
      <c r="G3134" t="s">
        <v>10</v>
      </c>
      <c r="H3134" s="72">
        <v>804</v>
      </c>
      <c r="I3134" s="72" t="s">
        <v>54</v>
      </c>
      <c r="J3134" t="str">
        <f t="shared" si="100"/>
        <v>Puyallup River</v>
      </c>
      <c r="K3134" t="str">
        <f>IFERROR(VLOOKUP(J3134,LUTs!$A$1:$C$73,2,FALSE),"NA")</f>
        <v>Pierce</v>
      </c>
      <c r="L3134" t="str">
        <f>IFERROR(VLOOKUP(J3134,LUTs!$A$1:$C$73,3,FALSE),"NA")</f>
        <v>3South Puget Sound</v>
      </c>
      <c r="M3134" s="72" t="s">
        <v>20</v>
      </c>
      <c r="N3134" t="str">
        <f>VLOOKUP(M3134,LUTs!E$2:H$14,3,)</f>
        <v>07Pierce</v>
      </c>
      <c r="O3134" t="str">
        <f>VLOOKUP(M3134,LUTs!E$2:H$14,4,)</f>
        <v>02South Puget Sound</v>
      </c>
      <c r="P3134" s="73">
        <v>14631.444492070301</v>
      </c>
      <c r="Q3134" s="74">
        <f>VLOOKUP(B3134,Readme!A$40:C$51,2,)*P3134</f>
        <v>50332.169052721831</v>
      </c>
    </row>
    <row r="3135" spans="1:17" ht="12" customHeight="1" x14ac:dyDescent="0.35">
      <c r="A3135" s="75">
        <v>3134</v>
      </c>
      <c r="B3135" s="64">
        <v>2019</v>
      </c>
      <c r="C3135" s="64">
        <v>8</v>
      </c>
      <c r="D3135" s="80">
        <f t="shared" si="101"/>
        <v>2019</v>
      </c>
      <c r="E3135" t="s">
        <v>38</v>
      </c>
      <c r="F3135" t="s">
        <v>143</v>
      </c>
      <c r="G3135" t="s">
        <v>10</v>
      </c>
      <c r="H3135" s="72">
        <v>804</v>
      </c>
      <c r="I3135" s="72" t="s">
        <v>54</v>
      </c>
      <c r="J3135" t="str">
        <f t="shared" si="100"/>
        <v>Puyallup River</v>
      </c>
      <c r="K3135" t="str">
        <f>IFERROR(VLOOKUP(J3135,LUTs!$A$1:$C$73,2,FALSE),"NA")</f>
        <v>Pierce</v>
      </c>
      <c r="L3135" t="str">
        <f>IFERROR(VLOOKUP(J3135,LUTs!$A$1:$C$73,3,FALSE),"NA")</f>
        <v>3South Puget Sound</v>
      </c>
      <c r="M3135" s="72" t="s">
        <v>16</v>
      </c>
      <c r="N3135" t="str">
        <f>VLOOKUP(M3135,LUTs!E$2:H$14,3,)</f>
        <v>03Snohomish</v>
      </c>
      <c r="O3135" t="str">
        <f>VLOOKUP(M3135,LUTs!E$2:H$14,4,)</f>
        <v>01North Puget Sound</v>
      </c>
      <c r="P3135" s="73">
        <v>269.95285040720103</v>
      </c>
      <c r="Q3135" s="74">
        <f>VLOOKUP(B3135,Readme!A$40:C$51,2,)*P3135</f>
        <v>928.63780540077153</v>
      </c>
    </row>
    <row r="3136" spans="1:17" ht="12" customHeight="1" x14ac:dyDescent="0.35">
      <c r="A3136" s="75">
        <v>3135</v>
      </c>
      <c r="B3136" s="64">
        <v>2019</v>
      </c>
      <c r="C3136" s="64">
        <v>8</v>
      </c>
      <c r="D3136" s="80">
        <f t="shared" si="101"/>
        <v>2019</v>
      </c>
      <c r="E3136" t="s">
        <v>38</v>
      </c>
      <c r="F3136" t="s">
        <v>143</v>
      </c>
      <c r="G3136" t="s">
        <v>10</v>
      </c>
      <c r="H3136" s="72">
        <v>804</v>
      </c>
      <c r="I3136" s="72" t="s">
        <v>54</v>
      </c>
      <c r="J3136" t="str">
        <f t="shared" si="100"/>
        <v>Puyallup River</v>
      </c>
      <c r="K3136" t="str">
        <f>IFERROR(VLOOKUP(J3136,LUTs!$A$1:$C$73,2,FALSE),"NA")</f>
        <v>Pierce</v>
      </c>
      <c r="L3136" t="str">
        <f>IFERROR(VLOOKUP(J3136,LUTs!$A$1:$C$73,3,FALSE),"NA")</f>
        <v>3South Puget Sound</v>
      </c>
      <c r="M3136" s="72" t="s">
        <v>21</v>
      </c>
      <c r="N3136" t="str">
        <f>VLOOKUP(M3136,LUTs!E$2:H$14,3,)</f>
        <v>08Thurston</v>
      </c>
      <c r="O3136" t="str">
        <f>VLOOKUP(M3136,LUTs!E$2:H$14,4,)</f>
        <v>02South Puget Sound</v>
      </c>
      <c r="P3136" s="73">
        <v>1144.6000857265301</v>
      </c>
      <c r="Q3136" s="74">
        <f>VLOOKUP(B3136,Readme!A$40:C$51,2,)*P3136</f>
        <v>3937.4242948992633</v>
      </c>
    </row>
    <row r="3137" spans="1:17" ht="12" customHeight="1" x14ac:dyDescent="0.35">
      <c r="A3137" s="75">
        <v>3136</v>
      </c>
      <c r="B3137" s="64">
        <v>2019</v>
      </c>
      <c r="C3137" s="64">
        <v>9</v>
      </c>
      <c r="D3137" s="80">
        <f t="shared" si="101"/>
        <v>2019</v>
      </c>
      <c r="E3137" t="s">
        <v>38</v>
      </c>
      <c r="F3137" t="s">
        <v>143</v>
      </c>
      <c r="G3137" t="s">
        <v>10</v>
      </c>
      <c r="H3137" s="72">
        <v>804</v>
      </c>
      <c r="I3137" s="72" t="s">
        <v>54</v>
      </c>
      <c r="J3137" t="str">
        <f t="shared" si="100"/>
        <v>Puyallup River</v>
      </c>
      <c r="K3137" t="str">
        <f>IFERROR(VLOOKUP(J3137,LUTs!$A$1:$C$73,2,FALSE),"NA")</f>
        <v>Pierce</v>
      </c>
      <c r="L3137" t="str">
        <f>IFERROR(VLOOKUP(J3137,LUTs!$A$1:$C$73,3,FALSE),"NA")</f>
        <v>3South Puget Sound</v>
      </c>
      <c r="M3137" s="72" t="s">
        <v>24</v>
      </c>
      <c r="N3137" t="str">
        <f>VLOOKUP(M3137,LUTs!E$2:H$14,3,)</f>
        <v>11Clallam</v>
      </c>
      <c r="O3137" t="str">
        <f>VLOOKUP(M3137,LUTs!E$2:H$14,4,)</f>
        <v>03Strait of Juan de Fuca</v>
      </c>
      <c r="P3137" s="73">
        <v>10.7849305047549</v>
      </c>
      <c r="Q3137" s="74">
        <f>VLOOKUP(B3137,Readme!A$40:C$51,2,)*P3137</f>
        <v>37.100160936356858</v>
      </c>
    </row>
    <row r="3138" spans="1:17" ht="12" customHeight="1" x14ac:dyDescent="0.35">
      <c r="A3138" s="75">
        <v>3137</v>
      </c>
      <c r="B3138" s="64">
        <v>2019</v>
      </c>
      <c r="C3138" s="64">
        <v>9</v>
      </c>
      <c r="D3138" s="80">
        <f t="shared" si="101"/>
        <v>2019</v>
      </c>
      <c r="E3138" t="s">
        <v>38</v>
      </c>
      <c r="F3138" t="s">
        <v>143</v>
      </c>
      <c r="G3138" t="s">
        <v>10</v>
      </c>
      <c r="H3138" s="72">
        <v>804</v>
      </c>
      <c r="I3138" s="72" t="s">
        <v>54</v>
      </c>
      <c r="J3138" t="str">
        <f t="shared" si="100"/>
        <v>Puyallup River</v>
      </c>
      <c r="K3138" t="str">
        <f>IFERROR(VLOOKUP(J3138,LUTs!$A$1:$C$73,2,FALSE),"NA")</f>
        <v>Pierce</v>
      </c>
      <c r="L3138" t="str">
        <f>IFERROR(VLOOKUP(J3138,LUTs!$A$1:$C$73,3,FALSE),"NA")</f>
        <v>3South Puget Sound</v>
      </c>
      <c r="M3138" s="72" t="s">
        <v>25</v>
      </c>
      <c r="N3138" t="str">
        <f>VLOOKUP(M3138,LUTs!E$2:H$14,3,)</f>
        <v>12Jefferson</v>
      </c>
      <c r="O3138" t="str">
        <f>VLOOKUP(M3138,LUTs!E$2:H$14,4,)</f>
        <v>03Strait of Juan de Fuca</v>
      </c>
      <c r="P3138" s="73">
        <v>64.709583028529593</v>
      </c>
      <c r="Q3138" s="74">
        <f>VLOOKUP(B3138,Readme!A$40:C$51,2,)*P3138</f>
        <v>222.6009656181418</v>
      </c>
    </row>
    <row r="3139" spans="1:17" ht="12" customHeight="1" x14ac:dyDescent="0.35">
      <c r="A3139" s="75">
        <v>3138</v>
      </c>
      <c r="B3139" s="64">
        <v>2019</v>
      </c>
      <c r="C3139" s="64">
        <v>9</v>
      </c>
      <c r="D3139" s="80">
        <f t="shared" si="101"/>
        <v>2019</v>
      </c>
      <c r="E3139" t="s">
        <v>38</v>
      </c>
      <c r="F3139" t="s">
        <v>143</v>
      </c>
      <c r="G3139" t="s">
        <v>10</v>
      </c>
      <c r="H3139" s="72">
        <v>804</v>
      </c>
      <c r="I3139" s="72" t="s">
        <v>54</v>
      </c>
      <c r="J3139" t="str">
        <f t="shared" ref="J3139:J3202" si="102">I3139</f>
        <v>Puyallup River</v>
      </c>
      <c r="K3139" t="str">
        <f>IFERROR(VLOOKUP(J3139,LUTs!$A$1:$C$73,2,FALSE),"NA")</f>
        <v>Pierce</v>
      </c>
      <c r="L3139" t="str">
        <f>IFERROR(VLOOKUP(J3139,LUTs!$A$1:$C$73,3,FALSE),"NA")</f>
        <v>3South Puget Sound</v>
      </c>
      <c r="M3139" s="72" t="s">
        <v>18</v>
      </c>
      <c r="N3139" t="str">
        <f>VLOOKUP(M3139,LUTs!E$2:H$14,3,)</f>
        <v>06King</v>
      </c>
      <c r="O3139" t="str">
        <f>VLOOKUP(M3139,LUTs!E$2:H$14,4,)</f>
        <v>02South Puget Sound</v>
      </c>
      <c r="P3139" s="73">
        <v>4659.0899780541304</v>
      </c>
      <c r="Q3139" s="74">
        <f>VLOOKUP(B3139,Readme!A$40:C$51,2,)*P3139</f>
        <v>16027.269524506208</v>
      </c>
    </row>
    <row r="3140" spans="1:17" ht="12" customHeight="1" x14ac:dyDescent="0.35">
      <c r="A3140" s="75">
        <v>3139</v>
      </c>
      <c r="B3140" s="64">
        <v>2019</v>
      </c>
      <c r="C3140" s="64">
        <v>9</v>
      </c>
      <c r="D3140" s="80">
        <f t="shared" si="101"/>
        <v>2019</v>
      </c>
      <c r="E3140" t="s">
        <v>38</v>
      </c>
      <c r="F3140" t="s">
        <v>143</v>
      </c>
      <c r="G3140" t="s">
        <v>10</v>
      </c>
      <c r="H3140" s="72">
        <v>804</v>
      </c>
      <c r="I3140" s="72" t="s">
        <v>54</v>
      </c>
      <c r="J3140" t="str">
        <f t="shared" si="102"/>
        <v>Puyallup River</v>
      </c>
      <c r="K3140" t="str">
        <f>IFERROR(VLOOKUP(J3140,LUTs!$A$1:$C$73,2,FALSE),"NA")</f>
        <v>Pierce</v>
      </c>
      <c r="L3140" t="str">
        <f>IFERROR(VLOOKUP(J3140,LUTs!$A$1:$C$73,3,FALSE),"NA")</f>
        <v>3South Puget Sound</v>
      </c>
      <c r="M3140" s="72" t="s">
        <v>23</v>
      </c>
      <c r="N3140" t="str">
        <f>VLOOKUP(M3140,LUTs!E$2:H$14,3,)</f>
        <v>10Kitsap</v>
      </c>
      <c r="O3140" t="str">
        <f>VLOOKUP(M3140,LUTs!E$2:H$14,4,)</f>
        <v>02South Puget Sound</v>
      </c>
      <c r="P3140" s="73">
        <v>172.558888076079</v>
      </c>
      <c r="Q3140" s="74">
        <f>VLOOKUP(B3140,Readme!A$40:C$51,2,)*P3140</f>
        <v>593.60257498171177</v>
      </c>
    </row>
    <row r="3141" spans="1:17" ht="12" customHeight="1" x14ac:dyDescent="0.35">
      <c r="A3141" s="75">
        <v>3140</v>
      </c>
      <c r="B3141" s="64">
        <v>2019</v>
      </c>
      <c r="C3141" s="64">
        <v>9</v>
      </c>
      <c r="D3141" s="80">
        <f t="shared" si="101"/>
        <v>2019</v>
      </c>
      <c r="E3141" t="s">
        <v>38</v>
      </c>
      <c r="F3141" t="s">
        <v>143</v>
      </c>
      <c r="G3141" t="s">
        <v>10</v>
      </c>
      <c r="H3141" s="72">
        <v>804</v>
      </c>
      <c r="I3141" s="72" t="s">
        <v>54</v>
      </c>
      <c r="J3141" t="str">
        <f t="shared" si="102"/>
        <v>Puyallup River</v>
      </c>
      <c r="K3141" t="str">
        <f>IFERROR(VLOOKUP(J3141,LUTs!$A$1:$C$73,2,FALSE),"NA")</f>
        <v>Pierce</v>
      </c>
      <c r="L3141" t="str">
        <f>IFERROR(VLOOKUP(J3141,LUTs!$A$1:$C$73,3,FALSE),"NA")</f>
        <v>3South Puget Sound</v>
      </c>
      <c r="M3141" s="72" t="s">
        <v>22</v>
      </c>
      <c r="N3141" t="str">
        <f>VLOOKUP(M3141,LUTs!E$2:H$14,3,)</f>
        <v>09Mason</v>
      </c>
      <c r="O3141" t="str">
        <f>VLOOKUP(M3141,LUTs!E$2:H$14,4,)</f>
        <v>02South Puget Sound</v>
      </c>
      <c r="P3141" s="73">
        <v>172.558888076079</v>
      </c>
      <c r="Q3141" s="74">
        <f>VLOOKUP(B3141,Readme!A$40:C$51,2,)*P3141</f>
        <v>593.60257498171177</v>
      </c>
    </row>
    <row r="3142" spans="1:17" ht="12" customHeight="1" x14ac:dyDescent="0.35">
      <c r="A3142" s="75">
        <v>3141</v>
      </c>
      <c r="B3142" s="64">
        <v>2019</v>
      </c>
      <c r="C3142" s="64">
        <v>9</v>
      </c>
      <c r="D3142" s="80">
        <f t="shared" si="101"/>
        <v>2019</v>
      </c>
      <c r="E3142" t="s">
        <v>38</v>
      </c>
      <c r="F3142" t="s">
        <v>143</v>
      </c>
      <c r="G3142" t="s">
        <v>10</v>
      </c>
      <c r="H3142" s="72">
        <v>804</v>
      </c>
      <c r="I3142" s="72" t="s">
        <v>54</v>
      </c>
      <c r="J3142" t="str">
        <f t="shared" si="102"/>
        <v>Puyallup River</v>
      </c>
      <c r="K3142" t="str">
        <f>IFERROR(VLOOKUP(J3142,LUTs!$A$1:$C$73,2,FALSE),"NA")</f>
        <v>Pierce</v>
      </c>
      <c r="L3142" t="str">
        <f>IFERROR(VLOOKUP(J3142,LUTs!$A$1:$C$73,3,FALSE),"NA")</f>
        <v>3South Puget Sound</v>
      </c>
      <c r="M3142" s="72" t="s">
        <v>26</v>
      </c>
      <c r="N3142" t="str">
        <f>VLOOKUP(M3142,LUTs!E$2:H$14,3,)</f>
        <v>20Other</v>
      </c>
      <c r="O3142" t="str">
        <f>VLOOKUP(M3142,LUTs!E$2:H$14,4,)</f>
        <v>07Non Puget Sound</v>
      </c>
      <c r="P3142" s="73">
        <v>463.75201170446201</v>
      </c>
      <c r="Q3142" s="74">
        <f>VLOOKUP(B3142,Readme!A$40:C$51,2,)*P3142</f>
        <v>1595.3069202633492</v>
      </c>
    </row>
    <row r="3143" spans="1:17" ht="12" customHeight="1" x14ac:dyDescent="0.35">
      <c r="A3143" s="75">
        <v>3142</v>
      </c>
      <c r="B3143" s="64">
        <v>2019</v>
      </c>
      <c r="C3143" s="64">
        <v>9</v>
      </c>
      <c r="D3143" s="80">
        <f t="shared" si="101"/>
        <v>2019</v>
      </c>
      <c r="E3143" t="s">
        <v>38</v>
      </c>
      <c r="F3143" t="s">
        <v>143</v>
      </c>
      <c r="G3143" t="s">
        <v>10</v>
      </c>
      <c r="H3143" s="72">
        <v>804</v>
      </c>
      <c r="I3143" s="72" t="s">
        <v>54</v>
      </c>
      <c r="J3143" t="str">
        <f t="shared" si="102"/>
        <v>Puyallup River</v>
      </c>
      <c r="K3143" t="str">
        <f>IFERROR(VLOOKUP(J3143,LUTs!$A$1:$C$73,2,FALSE),"NA")</f>
        <v>Pierce</v>
      </c>
      <c r="L3143" t="str">
        <f>IFERROR(VLOOKUP(J3143,LUTs!$A$1:$C$73,3,FALSE),"NA")</f>
        <v>3South Puget Sound</v>
      </c>
      <c r="M3143" s="72" t="s">
        <v>20</v>
      </c>
      <c r="N3143" t="str">
        <f>VLOOKUP(M3143,LUTs!E$2:H$14,3,)</f>
        <v>07Pierce</v>
      </c>
      <c r="O3143" t="str">
        <f>VLOOKUP(M3143,LUTs!E$2:H$14,4,)</f>
        <v>02South Puget Sound</v>
      </c>
      <c r="P3143" s="73">
        <v>8369.1060716898301</v>
      </c>
      <c r="Q3143" s="74">
        <f>VLOOKUP(B3143,Readme!A$40:C$51,2,)*P3143</f>
        <v>28789.724886613014</v>
      </c>
    </row>
    <row r="3144" spans="1:17" ht="12" customHeight="1" x14ac:dyDescent="0.35">
      <c r="A3144" s="75">
        <v>3143</v>
      </c>
      <c r="B3144" s="64">
        <v>2019</v>
      </c>
      <c r="C3144" s="64">
        <v>9</v>
      </c>
      <c r="D3144" s="80">
        <f t="shared" si="101"/>
        <v>2019</v>
      </c>
      <c r="E3144" t="s">
        <v>38</v>
      </c>
      <c r="F3144" t="s">
        <v>143</v>
      </c>
      <c r="G3144" t="s">
        <v>10</v>
      </c>
      <c r="H3144" s="72">
        <v>804</v>
      </c>
      <c r="I3144" s="72" t="s">
        <v>54</v>
      </c>
      <c r="J3144" t="str">
        <f t="shared" si="102"/>
        <v>Puyallup River</v>
      </c>
      <c r="K3144" t="str">
        <f>IFERROR(VLOOKUP(J3144,LUTs!$A$1:$C$73,2,FALSE),"NA")</f>
        <v>Pierce</v>
      </c>
      <c r="L3144" t="str">
        <f>IFERROR(VLOOKUP(J3144,LUTs!$A$1:$C$73,3,FALSE),"NA")</f>
        <v>3South Puget Sound</v>
      </c>
      <c r="M3144" s="72" t="s">
        <v>16</v>
      </c>
      <c r="N3144" t="str">
        <f>VLOOKUP(M3144,LUTs!E$2:H$14,3,)</f>
        <v>03Snohomish</v>
      </c>
      <c r="O3144" t="str">
        <f>VLOOKUP(M3144,LUTs!E$2:H$14,4,)</f>
        <v>01North Puget Sound</v>
      </c>
      <c r="P3144" s="73">
        <v>204.913679590344</v>
      </c>
      <c r="Q3144" s="74">
        <f>VLOOKUP(B3144,Readme!A$40:C$51,2,)*P3144</f>
        <v>704.90305779078335</v>
      </c>
    </row>
    <row r="3145" spans="1:17" ht="12" customHeight="1" x14ac:dyDescent="0.35">
      <c r="A3145" s="75">
        <v>3144</v>
      </c>
      <c r="B3145" s="64">
        <v>2019</v>
      </c>
      <c r="C3145" s="64">
        <v>9</v>
      </c>
      <c r="D3145" s="80">
        <f t="shared" si="101"/>
        <v>2019</v>
      </c>
      <c r="E3145" t="s">
        <v>38</v>
      </c>
      <c r="F3145" t="s">
        <v>143</v>
      </c>
      <c r="G3145" t="s">
        <v>10</v>
      </c>
      <c r="H3145" s="72">
        <v>804</v>
      </c>
      <c r="I3145" s="72" t="s">
        <v>54</v>
      </c>
      <c r="J3145" t="str">
        <f t="shared" si="102"/>
        <v>Puyallup River</v>
      </c>
      <c r="K3145" t="str">
        <f>IFERROR(VLOOKUP(J3145,LUTs!$A$1:$C$73,2,FALSE),"NA")</f>
        <v>Pierce</v>
      </c>
      <c r="L3145" t="str">
        <f>IFERROR(VLOOKUP(J3145,LUTs!$A$1:$C$73,3,FALSE),"NA")</f>
        <v>3South Puget Sound</v>
      </c>
      <c r="M3145" s="72" t="s">
        <v>21</v>
      </c>
      <c r="N3145" t="str">
        <f>VLOOKUP(M3145,LUTs!E$2:H$14,3,)</f>
        <v>08Thurston</v>
      </c>
      <c r="O3145" t="str">
        <f>VLOOKUP(M3145,LUTs!E$2:H$14,4,)</f>
        <v>02South Puget Sound</v>
      </c>
      <c r="P3145" s="73">
        <v>625.525969275786</v>
      </c>
      <c r="Q3145" s="74">
        <f>VLOOKUP(B3145,Readme!A$40:C$51,2,)*P3145</f>
        <v>2151.8093343087039</v>
      </c>
    </row>
    <row r="3146" spans="1:17" ht="12" customHeight="1" x14ac:dyDescent="0.35">
      <c r="A3146" s="75">
        <v>3145</v>
      </c>
      <c r="B3146" s="64">
        <v>2019</v>
      </c>
      <c r="C3146" s="64">
        <v>10</v>
      </c>
      <c r="D3146" s="80">
        <f t="shared" si="101"/>
        <v>2019</v>
      </c>
      <c r="E3146" t="s">
        <v>38</v>
      </c>
      <c r="F3146" t="s">
        <v>143</v>
      </c>
      <c r="G3146" t="s">
        <v>10</v>
      </c>
      <c r="H3146" s="72">
        <v>804</v>
      </c>
      <c r="I3146" s="72" t="s">
        <v>54</v>
      </c>
      <c r="J3146" t="str">
        <f t="shared" si="102"/>
        <v>Puyallup River</v>
      </c>
      <c r="K3146" t="str">
        <f>IFERROR(VLOOKUP(J3146,LUTs!$A$1:$C$73,2,FALSE),"NA")</f>
        <v>Pierce</v>
      </c>
      <c r="L3146" t="str">
        <f>IFERROR(VLOOKUP(J3146,LUTs!$A$1:$C$73,3,FALSE),"NA")</f>
        <v>3South Puget Sound</v>
      </c>
      <c r="M3146" s="72" t="s">
        <v>18</v>
      </c>
      <c r="N3146" t="str">
        <f>VLOOKUP(M3146,LUTs!E$2:H$14,3,)</f>
        <v>06King</v>
      </c>
      <c r="O3146" t="str">
        <f>VLOOKUP(M3146,LUTs!E$2:H$14,4,)</f>
        <v>02South Puget Sound</v>
      </c>
      <c r="P3146" s="73">
        <v>195.25</v>
      </c>
      <c r="Q3146" s="74">
        <f>VLOOKUP(B3146,Readme!A$40:C$51,2,)*P3146</f>
        <v>671.66</v>
      </c>
    </row>
    <row r="3147" spans="1:17" ht="12" customHeight="1" x14ac:dyDescent="0.35">
      <c r="A3147" s="75">
        <v>3146</v>
      </c>
      <c r="B3147" s="64">
        <v>2019</v>
      </c>
      <c r="C3147" s="64">
        <v>10</v>
      </c>
      <c r="D3147" s="80">
        <f t="shared" si="101"/>
        <v>2019</v>
      </c>
      <c r="E3147" t="s">
        <v>38</v>
      </c>
      <c r="F3147" t="s">
        <v>143</v>
      </c>
      <c r="G3147" t="s">
        <v>10</v>
      </c>
      <c r="H3147" s="72">
        <v>804</v>
      </c>
      <c r="I3147" s="72" t="s">
        <v>54</v>
      </c>
      <c r="J3147" t="str">
        <f t="shared" si="102"/>
        <v>Puyallup River</v>
      </c>
      <c r="K3147" t="str">
        <f>IFERROR(VLOOKUP(J3147,LUTs!$A$1:$C$73,2,FALSE),"NA")</f>
        <v>Pierce</v>
      </c>
      <c r="L3147" t="str">
        <f>IFERROR(VLOOKUP(J3147,LUTs!$A$1:$C$73,3,FALSE),"NA")</f>
        <v>3South Puget Sound</v>
      </c>
      <c r="M3147" s="72" t="s">
        <v>20</v>
      </c>
      <c r="N3147" t="str">
        <f>VLOOKUP(M3147,LUTs!E$2:H$14,3,)</f>
        <v>07Pierce</v>
      </c>
      <c r="O3147" t="str">
        <f>VLOOKUP(M3147,LUTs!E$2:H$14,4,)</f>
        <v>02South Puget Sound</v>
      </c>
      <c r="P3147" s="73">
        <v>574.90277777777806</v>
      </c>
      <c r="Q3147" s="74">
        <f>VLOOKUP(B3147,Readme!A$40:C$51,2,)*P3147</f>
        <v>1977.6655555555565</v>
      </c>
    </row>
    <row r="3148" spans="1:17" ht="12" customHeight="1" x14ac:dyDescent="0.35">
      <c r="A3148" s="75">
        <v>3147</v>
      </c>
      <c r="B3148" s="64">
        <v>2019</v>
      </c>
      <c r="C3148" s="64">
        <v>10</v>
      </c>
      <c r="D3148" s="80">
        <f t="shared" si="101"/>
        <v>2019</v>
      </c>
      <c r="E3148" t="s">
        <v>38</v>
      </c>
      <c r="F3148" t="s">
        <v>143</v>
      </c>
      <c r="G3148" t="s">
        <v>10</v>
      </c>
      <c r="H3148" s="72">
        <v>804</v>
      </c>
      <c r="I3148" s="72" t="s">
        <v>54</v>
      </c>
      <c r="J3148" t="str">
        <f t="shared" si="102"/>
        <v>Puyallup River</v>
      </c>
      <c r="K3148" t="str">
        <f>IFERROR(VLOOKUP(J3148,LUTs!$A$1:$C$73,2,FALSE),"NA")</f>
        <v>Pierce</v>
      </c>
      <c r="L3148" t="str">
        <f>IFERROR(VLOOKUP(J3148,LUTs!$A$1:$C$73,3,FALSE),"NA")</f>
        <v>3South Puget Sound</v>
      </c>
      <c r="M3148" s="72" t="s">
        <v>15</v>
      </c>
      <c r="N3148" t="str">
        <f>VLOOKUP(M3148,LUTs!E$2:H$14,3,)</f>
        <v>02Skagit</v>
      </c>
      <c r="O3148" t="str">
        <f>VLOOKUP(M3148,LUTs!E$2:H$14,4,)</f>
        <v>01North Puget Sound</v>
      </c>
      <c r="P3148" s="73">
        <v>10.8472222222222</v>
      </c>
      <c r="Q3148" s="74">
        <f>VLOOKUP(B3148,Readme!A$40:C$51,2,)*P3148</f>
        <v>37.314444444444369</v>
      </c>
    </row>
    <row r="3149" spans="1:17" ht="12" customHeight="1" x14ac:dyDescent="0.35">
      <c r="A3149" s="75">
        <v>3148</v>
      </c>
      <c r="B3149" s="64">
        <v>2019</v>
      </c>
      <c r="C3149" s="64">
        <v>11</v>
      </c>
      <c r="D3149" s="80">
        <f t="shared" si="101"/>
        <v>2019</v>
      </c>
      <c r="E3149" t="s">
        <v>38</v>
      </c>
      <c r="F3149" t="s">
        <v>143</v>
      </c>
      <c r="G3149" t="s">
        <v>10</v>
      </c>
      <c r="H3149" s="72">
        <v>804</v>
      </c>
      <c r="I3149" s="72" t="s">
        <v>54</v>
      </c>
      <c r="J3149" t="str">
        <f t="shared" si="102"/>
        <v>Puyallup River</v>
      </c>
      <c r="K3149" t="str">
        <f>IFERROR(VLOOKUP(J3149,LUTs!$A$1:$C$73,2,FALSE),"NA")</f>
        <v>Pierce</v>
      </c>
      <c r="L3149" t="str">
        <f>IFERROR(VLOOKUP(J3149,LUTs!$A$1:$C$73,3,FALSE),"NA")</f>
        <v>3South Puget Sound</v>
      </c>
      <c r="M3149" s="72" t="s">
        <v>18</v>
      </c>
      <c r="N3149" t="str">
        <f>VLOOKUP(M3149,LUTs!E$2:H$14,3,)</f>
        <v>06King</v>
      </c>
      <c r="O3149" t="str">
        <f>VLOOKUP(M3149,LUTs!E$2:H$14,4,)</f>
        <v>02South Puget Sound</v>
      </c>
      <c r="P3149" s="73">
        <v>11</v>
      </c>
      <c r="Q3149" s="74">
        <f>VLOOKUP(B3149,Readme!A$40:C$51,2,)*P3149</f>
        <v>37.839999999999996</v>
      </c>
    </row>
    <row r="3150" spans="1:17" ht="12" customHeight="1" x14ac:dyDescent="0.35">
      <c r="A3150" s="75">
        <v>3149</v>
      </c>
      <c r="B3150" s="64">
        <v>2019</v>
      </c>
      <c r="C3150" s="64">
        <v>11</v>
      </c>
      <c r="D3150" s="80">
        <f t="shared" si="101"/>
        <v>2019</v>
      </c>
      <c r="E3150" t="s">
        <v>38</v>
      </c>
      <c r="F3150" t="s">
        <v>143</v>
      </c>
      <c r="G3150" t="s">
        <v>10</v>
      </c>
      <c r="H3150" s="72">
        <v>804</v>
      </c>
      <c r="I3150" s="72" t="s">
        <v>54</v>
      </c>
      <c r="J3150" t="str">
        <f t="shared" si="102"/>
        <v>Puyallup River</v>
      </c>
      <c r="K3150" t="str">
        <f>IFERROR(VLOOKUP(J3150,LUTs!$A$1:$C$73,2,FALSE),"NA")</f>
        <v>Pierce</v>
      </c>
      <c r="L3150" t="str">
        <f>IFERROR(VLOOKUP(J3150,LUTs!$A$1:$C$73,3,FALSE),"NA")</f>
        <v>3South Puget Sound</v>
      </c>
      <c r="M3150" s="72" t="s">
        <v>20</v>
      </c>
      <c r="N3150" t="str">
        <f>VLOOKUP(M3150,LUTs!E$2:H$14,3,)</f>
        <v>07Pierce</v>
      </c>
      <c r="O3150" t="str">
        <f>VLOOKUP(M3150,LUTs!E$2:H$14,4,)</f>
        <v>02South Puget Sound</v>
      </c>
      <c r="P3150" s="73">
        <v>22</v>
      </c>
      <c r="Q3150" s="74">
        <f>VLOOKUP(B3150,Readme!A$40:C$51,2,)*P3150</f>
        <v>75.679999999999993</v>
      </c>
    </row>
    <row r="3151" spans="1:17" ht="12" customHeight="1" x14ac:dyDescent="0.35">
      <c r="A3151" s="75">
        <v>3150</v>
      </c>
      <c r="B3151" s="64">
        <v>2019</v>
      </c>
      <c r="C3151" s="64">
        <v>11</v>
      </c>
      <c r="D3151" s="80">
        <f t="shared" si="101"/>
        <v>2019</v>
      </c>
      <c r="E3151" t="s">
        <v>38</v>
      </c>
      <c r="F3151" t="s">
        <v>143</v>
      </c>
      <c r="G3151" t="s">
        <v>10</v>
      </c>
      <c r="H3151" s="72">
        <v>804</v>
      </c>
      <c r="I3151" s="72" t="s">
        <v>54</v>
      </c>
      <c r="J3151" t="str">
        <f t="shared" si="102"/>
        <v>Puyallup River</v>
      </c>
      <c r="K3151" t="str">
        <f>IFERROR(VLOOKUP(J3151,LUTs!$A$1:$C$73,2,FALSE),"NA")</f>
        <v>Pierce</v>
      </c>
      <c r="L3151" t="str">
        <f>IFERROR(VLOOKUP(J3151,LUTs!$A$1:$C$73,3,FALSE),"NA")</f>
        <v>3South Puget Sound</v>
      </c>
      <c r="M3151" s="72" t="s">
        <v>21</v>
      </c>
      <c r="N3151" t="str">
        <f>VLOOKUP(M3151,LUTs!E$2:H$14,3,)</f>
        <v>08Thurston</v>
      </c>
      <c r="O3151" t="str">
        <f>VLOOKUP(M3151,LUTs!E$2:H$14,4,)</f>
        <v>02South Puget Sound</v>
      </c>
      <c r="P3151" s="73">
        <v>11</v>
      </c>
      <c r="Q3151" s="74">
        <f>VLOOKUP(B3151,Readme!A$40:C$51,2,)*P3151</f>
        <v>37.839999999999996</v>
      </c>
    </row>
    <row r="3152" spans="1:17" ht="12" customHeight="1" x14ac:dyDescent="0.35">
      <c r="A3152" s="75">
        <v>3151</v>
      </c>
      <c r="B3152" s="64">
        <v>2019</v>
      </c>
      <c r="C3152" s="64">
        <v>8</v>
      </c>
      <c r="D3152" s="80">
        <f t="shared" si="101"/>
        <v>2019</v>
      </c>
      <c r="E3152" t="s">
        <v>38</v>
      </c>
      <c r="F3152" t="s">
        <v>143</v>
      </c>
      <c r="G3152" t="s">
        <v>10</v>
      </c>
      <c r="H3152" s="72">
        <v>812</v>
      </c>
      <c r="I3152" s="72" t="s">
        <v>55</v>
      </c>
      <c r="J3152" t="str">
        <f t="shared" si="102"/>
        <v>Quilcene River</v>
      </c>
      <c r="K3152" t="str">
        <f>IFERROR(VLOOKUP(J3152,LUTs!$A$1:$C$73,2,FALSE),"NA")</f>
        <v>Jefferson</v>
      </c>
      <c r="L3152" t="str">
        <f>IFERROR(VLOOKUP(J3152,LUTs!$A$1:$C$73,3,FALSE),"NA")</f>
        <v>4 Hood Canal</v>
      </c>
      <c r="M3152" s="72" t="s">
        <v>24</v>
      </c>
      <c r="N3152" t="str">
        <f>VLOOKUP(M3152,LUTs!E$2:H$14,3,)</f>
        <v>11Clallam</v>
      </c>
      <c r="O3152" t="str">
        <f>VLOOKUP(M3152,LUTs!E$2:H$14,4,)</f>
        <v>03Strait of Juan de Fuca</v>
      </c>
      <c r="P3152" s="73">
        <v>33.072000000000003</v>
      </c>
      <c r="Q3152" s="74">
        <f>VLOOKUP(B3152,Readme!A$40:C$51,2,)*P3152</f>
        <v>113.76768000000001</v>
      </c>
    </row>
    <row r="3153" spans="1:17" ht="12" customHeight="1" x14ac:dyDescent="0.35">
      <c r="A3153" s="75">
        <v>3152</v>
      </c>
      <c r="B3153" s="64">
        <v>2019</v>
      </c>
      <c r="C3153" s="64">
        <v>8</v>
      </c>
      <c r="D3153" s="80">
        <f t="shared" si="101"/>
        <v>2019</v>
      </c>
      <c r="E3153" t="s">
        <v>38</v>
      </c>
      <c r="F3153" t="s">
        <v>143</v>
      </c>
      <c r="G3153" t="s">
        <v>10</v>
      </c>
      <c r="H3153" s="72">
        <v>812</v>
      </c>
      <c r="I3153" s="72" t="s">
        <v>55</v>
      </c>
      <c r="J3153" t="str">
        <f t="shared" si="102"/>
        <v>Quilcene River</v>
      </c>
      <c r="K3153" t="str">
        <f>IFERROR(VLOOKUP(J3153,LUTs!$A$1:$C$73,2,FALSE),"NA")</f>
        <v>Jefferson</v>
      </c>
      <c r="L3153" t="str">
        <f>IFERROR(VLOOKUP(J3153,LUTs!$A$1:$C$73,3,FALSE),"NA")</f>
        <v>4 Hood Canal</v>
      </c>
      <c r="M3153" s="72" t="s">
        <v>25</v>
      </c>
      <c r="N3153" t="str">
        <f>VLOOKUP(M3153,LUTs!E$2:H$14,3,)</f>
        <v>12Jefferson</v>
      </c>
      <c r="O3153" t="str">
        <f>VLOOKUP(M3153,LUTs!E$2:H$14,4,)</f>
        <v>03Strait of Juan de Fuca</v>
      </c>
      <c r="P3153" s="73">
        <v>143.31200000000001</v>
      </c>
      <c r="Q3153" s="74">
        <f>VLOOKUP(B3153,Readme!A$40:C$51,2,)*P3153</f>
        <v>492.99328000000003</v>
      </c>
    </row>
    <row r="3154" spans="1:17" ht="12" customHeight="1" x14ac:dyDescent="0.35">
      <c r="A3154" s="75">
        <v>3153</v>
      </c>
      <c r="B3154" s="64">
        <v>2019</v>
      </c>
      <c r="C3154" s="64">
        <v>8</v>
      </c>
      <c r="D3154" s="80">
        <f t="shared" si="101"/>
        <v>2019</v>
      </c>
      <c r="E3154" t="s">
        <v>38</v>
      </c>
      <c r="F3154" t="s">
        <v>143</v>
      </c>
      <c r="G3154" t="s">
        <v>10</v>
      </c>
      <c r="H3154" s="72">
        <v>812</v>
      </c>
      <c r="I3154" s="72" t="s">
        <v>55</v>
      </c>
      <c r="J3154" t="str">
        <f t="shared" si="102"/>
        <v>Quilcene River</v>
      </c>
      <c r="K3154" t="str">
        <f>IFERROR(VLOOKUP(J3154,LUTs!$A$1:$C$73,2,FALSE),"NA")</f>
        <v>Jefferson</v>
      </c>
      <c r="L3154" t="str">
        <f>IFERROR(VLOOKUP(J3154,LUTs!$A$1:$C$73,3,FALSE),"NA")</f>
        <v>4 Hood Canal</v>
      </c>
      <c r="M3154" s="72" t="s">
        <v>18</v>
      </c>
      <c r="N3154" t="str">
        <f>VLOOKUP(M3154,LUTs!E$2:H$14,3,)</f>
        <v>06King</v>
      </c>
      <c r="O3154" t="str">
        <f>VLOOKUP(M3154,LUTs!E$2:H$14,4,)</f>
        <v>02South Puget Sound</v>
      </c>
      <c r="P3154" s="73">
        <v>209.45599999999999</v>
      </c>
      <c r="Q3154" s="74">
        <f>VLOOKUP(B3154,Readme!A$40:C$51,2,)*P3154</f>
        <v>720.52864</v>
      </c>
    </row>
    <row r="3155" spans="1:17" ht="12" customHeight="1" x14ac:dyDescent="0.35">
      <c r="A3155" s="75">
        <v>3154</v>
      </c>
      <c r="B3155" s="64">
        <v>2019</v>
      </c>
      <c r="C3155" s="64">
        <v>8</v>
      </c>
      <c r="D3155" s="80">
        <f t="shared" si="101"/>
        <v>2019</v>
      </c>
      <c r="E3155" t="s">
        <v>38</v>
      </c>
      <c r="F3155" t="s">
        <v>143</v>
      </c>
      <c r="G3155" t="s">
        <v>10</v>
      </c>
      <c r="H3155" s="72">
        <v>812</v>
      </c>
      <c r="I3155" s="72" t="s">
        <v>55</v>
      </c>
      <c r="J3155" t="str">
        <f t="shared" si="102"/>
        <v>Quilcene River</v>
      </c>
      <c r="K3155" t="str">
        <f>IFERROR(VLOOKUP(J3155,LUTs!$A$1:$C$73,2,FALSE),"NA")</f>
        <v>Jefferson</v>
      </c>
      <c r="L3155" t="str">
        <f>IFERROR(VLOOKUP(J3155,LUTs!$A$1:$C$73,3,FALSE),"NA")</f>
        <v>4 Hood Canal</v>
      </c>
      <c r="M3155" s="72" t="s">
        <v>23</v>
      </c>
      <c r="N3155" t="str">
        <f>VLOOKUP(M3155,LUTs!E$2:H$14,3,)</f>
        <v>10Kitsap</v>
      </c>
      <c r="O3155" t="str">
        <f>VLOOKUP(M3155,LUTs!E$2:H$14,4,)</f>
        <v>02South Puget Sound</v>
      </c>
      <c r="P3155" s="73">
        <v>529.15200000000004</v>
      </c>
      <c r="Q3155" s="74">
        <f>VLOOKUP(B3155,Readme!A$40:C$51,2,)*P3155</f>
        <v>1820.2828800000002</v>
      </c>
    </row>
    <row r="3156" spans="1:17" ht="12" customHeight="1" x14ac:dyDescent="0.35">
      <c r="A3156" s="75">
        <v>3155</v>
      </c>
      <c r="B3156" s="64">
        <v>2019</v>
      </c>
      <c r="C3156" s="64">
        <v>8</v>
      </c>
      <c r="D3156" s="80">
        <f t="shared" si="101"/>
        <v>2019</v>
      </c>
      <c r="E3156" t="s">
        <v>38</v>
      </c>
      <c r="F3156" t="s">
        <v>143</v>
      </c>
      <c r="G3156" t="s">
        <v>10</v>
      </c>
      <c r="H3156" s="72">
        <v>812</v>
      </c>
      <c r="I3156" s="72" t="s">
        <v>55</v>
      </c>
      <c r="J3156" t="str">
        <f t="shared" si="102"/>
        <v>Quilcene River</v>
      </c>
      <c r="K3156" t="str">
        <f>IFERROR(VLOOKUP(J3156,LUTs!$A$1:$C$73,2,FALSE),"NA")</f>
        <v>Jefferson</v>
      </c>
      <c r="L3156" t="str">
        <f>IFERROR(VLOOKUP(J3156,LUTs!$A$1:$C$73,3,FALSE),"NA")</f>
        <v>4 Hood Canal</v>
      </c>
      <c r="M3156" s="72" t="s">
        <v>22</v>
      </c>
      <c r="N3156" t="str">
        <f>VLOOKUP(M3156,LUTs!E$2:H$14,3,)</f>
        <v>09Mason</v>
      </c>
      <c r="O3156" t="str">
        <f>VLOOKUP(M3156,LUTs!E$2:H$14,4,)</f>
        <v>02South Puget Sound</v>
      </c>
      <c r="P3156" s="73">
        <v>143.31200000000001</v>
      </c>
      <c r="Q3156" s="74">
        <f>VLOOKUP(B3156,Readme!A$40:C$51,2,)*P3156</f>
        <v>492.99328000000003</v>
      </c>
    </row>
    <row r="3157" spans="1:17" ht="12" customHeight="1" x14ac:dyDescent="0.35">
      <c r="A3157" s="75">
        <v>3156</v>
      </c>
      <c r="B3157" s="64">
        <v>2019</v>
      </c>
      <c r="C3157" s="64">
        <v>8</v>
      </c>
      <c r="D3157" s="80">
        <f t="shared" si="101"/>
        <v>2019</v>
      </c>
      <c r="E3157" t="s">
        <v>38</v>
      </c>
      <c r="F3157" t="s">
        <v>143</v>
      </c>
      <c r="G3157" t="s">
        <v>10</v>
      </c>
      <c r="H3157" s="72">
        <v>812</v>
      </c>
      <c r="I3157" s="72" t="s">
        <v>55</v>
      </c>
      <c r="J3157" t="str">
        <f t="shared" si="102"/>
        <v>Quilcene River</v>
      </c>
      <c r="K3157" t="str">
        <f>IFERROR(VLOOKUP(J3157,LUTs!$A$1:$C$73,2,FALSE),"NA")</f>
        <v>Jefferson</v>
      </c>
      <c r="L3157" t="str">
        <f>IFERROR(VLOOKUP(J3157,LUTs!$A$1:$C$73,3,FALSE),"NA")</f>
        <v>4 Hood Canal</v>
      </c>
      <c r="M3157" s="72" t="s">
        <v>26</v>
      </c>
      <c r="N3157" t="str">
        <f>VLOOKUP(M3157,LUTs!E$2:H$14,3,)</f>
        <v>20Other</v>
      </c>
      <c r="O3157" t="str">
        <f>VLOOKUP(M3157,LUTs!E$2:H$14,4,)</f>
        <v>07Non Puget Sound</v>
      </c>
      <c r="P3157" s="73">
        <v>44.095999999999997</v>
      </c>
      <c r="Q3157" s="74">
        <f>VLOOKUP(B3157,Readme!A$40:C$51,2,)*P3157</f>
        <v>151.69023999999999</v>
      </c>
    </row>
    <row r="3158" spans="1:17" ht="12" customHeight="1" x14ac:dyDescent="0.35">
      <c r="A3158" s="75">
        <v>3157</v>
      </c>
      <c r="B3158" s="64">
        <v>2019</v>
      </c>
      <c r="C3158" s="64">
        <v>8</v>
      </c>
      <c r="D3158" s="80">
        <f t="shared" si="101"/>
        <v>2019</v>
      </c>
      <c r="E3158" t="s">
        <v>38</v>
      </c>
      <c r="F3158" t="s">
        <v>143</v>
      </c>
      <c r="G3158" t="s">
        <v>10</v>
      </c>
      <c r="H3158" s="72">
        <v>812</v>
      </c>
      <c r="I3158" s="72" t="s">
        <v>55</v>
      </c>
      <c r="J3158" t="str">
        <f t="shared" si="102"/>
        <v>Quilcene River</v>
      </c>
      <c r="K3158" t="str">
        <f>IFERROR(VLOOKUP(J3158,LUTs!$A$1:$C$73,2,FALSE),"NA")</f>
        <v>Jefferson</v>
      </c>
      <c r="L3158" t="str">
        <f>IFERROR(VLOOKUP(J3158,LUTs!$A$1:$C$73,3,FALSE),"NA")</f>
        <v>4 Hood Canal</v>
      </c>
      <c r="M3158" s="72" t="s">
        <v>20</v>
      </c>
      <c r="N3158" t="str">
        <f>VLOOKUP(M3158,LUTs!E$2:H$14,3,)</f>
        <v>07Pierce</v>
      </c>
      <c r="O3158" t="str">
        <f>VLOOKUP(M3158,LUTs!E$2:H$14,4,)</f>
        <v>02South Puget Sound</v>
      </c>
      <c r="P3158" s="73">
        <v>187.40799999999999</v>
      </c>
      <c r="Q3158" s="74">
        <f>VLOOKUP(B3158,Readme!A$40:C$51,2,)*P3158</f>
        <v>644.68351999999993</v>
      </c>
    </row>
    <row r="3159" spans="1:17" ht="12" customHeight="1" x14ac:dyDescent="0.35">
      <c r="A3159" s="75">
        <v>3158</v>
      </c>
      <c r="B3159" s="64">
        <v>2019</v>
      </c>
      <c r="C3159" s="64">
        <v>8</v>
      </c>
      <c r="D3159" s="80">
        <f t="shared" si="101"/>
        <v>2019</v>
      </c>
      <c r="E3159" t="s">
        <v>38</v>
      </c>
      <c r="F3159" t="s">
        <v>143</v>
      </c>
      <c r="G3159" t="s">
        <v>10</v>
      </c>
      <c r="H3159" s="72">
        <v>812</v>
      </c>
      <c r="I3159" s="72" t="s">
        <v>55</v>
      </c>
      <c r="J3159" t="str">
        <f t="shared" si="102"/>
        <v>Quilcene River</v>
      </c>
      <c r="K3159" t="str">
        <f>IFERROR(VLOOKUP(J3159,LUTs!$A$1:$C$73,2,FALSE),"NA")</f>
        <v>Jefferson</v>
      </c>
      <c r="L3159" t="str">
        <f>IFERROR(VLOOKUP(J3159,LUTs!$A$1:$C$73,3,FALSE),"NA")</f>
        <v>4 Hood Canal</v>
      </c>
      <c r="M3159" s="72" t="s">
        <v>16</v>
      </c>
      <c r="N3159" t="str">
        <f>VLOOKUP(M3159,LUTs!E$2:H$14,3,)</f>
        <v>03Snohomish</v>
      </c>
      <c r="O3159" t="str">
        <f>VLOOKUP(M3159,LUTs!E$2:H$14,4,)</f>
        <v>01North Puget Sound</v>
      </c>
      <c r="P3159" s="73">
        <v>44.095999999999997</v>
      </c>
      <c r="Q3159" s="74">
        <f>VLOOKUP(B3159,Readme!A$40:C$51,2,)*P3159</f>
        <v>151.69023999999999</v>
      </c>
    </row>
    <row r="3160" spans="1:17" ht="12" customHeight="1" x14ac:dyDescent="0.35">
      <c r="A3160" s="75">
        <v>3159</v>
      </c>
      <c r="B3160" s="64">
        <v>2019</v>
      </c>
      <c r="C3160" s="64">
        <v>8</v>
      </c>
      <c r="D3160" s="80">
        <f t="shared" si="101"/>
        <v>2019</v>
      </c>
      <c r="E3160" t="s">
        <v>38</v>
      </c>
      <c r="F3160" t="s">
        <v>143</v>
      </c>
      <c r="G3160" t="s">
        <v>10</v>
      </c>
      <c r="H3160" s="72">
        <v>812</v>
      </c>
      <c r="I3160" s="72" t="s">
        <v>55</v>
      </c>
      <c r="J3160" t="str">
        <f t="shared" si="102"/>
        <v>Quilcene River</v>
      </c>
      <c r="K3160" t="str">
        <f>IFERROR(VLOOKUP(J3160,LUTs!$A$1:$C$73,2,FALSE),"NA")</f>
        <v>Jefferson</v>
      </c>
      <c r="L3160" t="str">
        <f>IFERROR(VLOOKUP(J3160,LUTs!$A$1:$C$73,3,FALSE),"NA")</f>
        <v>4 Hood Canal</v>
      </c>
      <c r="M3160" s="72" t="s">
        <v>21</v>
      </c>
      <c r="N3160" t="str">
        <f>VLOOKUP(M3160,LUTs!E$2:H$14,3,)</f>
        <v>08Thurston</v>
      </c>
      <c r="O3160" t="str">
        <f>VLOOKUP(M3160,LUTs!E$2:H$14,4,)</f>
        <v>02South Puget Sound</v>
      </c>
      <c r="P3160" s="73">
        <v>44.095999999999997</v>
      </c>
      <c r="Q3160" s="74">
        <f>VLOOKUP(B3160,Readme!A$40:C$51,2,)*P3160</f>
        <v>151.69023999999999</v>
      </c>
    </row>
    <row r="3161" spans="1:17" ht="12" customHeight="1" x14ac:dyDescent="0.35">
      <c r="A3161" s="75">
        <v>3160</v>
      </c>
      <c r="B3161" s="64">
        <v>2019</v>
      </c>
      <c r="C3161" s="64">
        <v>9</v>
      </c>
      <c r="D3161" s="80">
        <f t="shared" si="101"/>
        <v>2019</v>
      </c>
      <c r="E3161" t="s">
        <v>38</v>
      </c>
      <c r="F3161" t="s">
        <v>143</v>
      </c>
      <c r="G3161" t="s">
        <v>10</v>
      </c>
      <c r="H3161" s="72">
        <v>812</v>
      </c>
      <c r="I3161" s="72" t="s">
        <v>55</v>
      </c>
      <c r="J3161" t="str">
        <f t="shared" si="102"/>
        <v>Quilcene River</v>
      </c>
      <c r="K3161" t="str">
        <f>IFERROR(VLOOKUP(J3161,LUTs!$A$1:$C$73,2,FALSE),"NA")</f>
        <v>Jefferson</v>
      </c>
      <c r="L3161" t="str">
        <f>IFERROR(VLOOKUP(J3161,LUTs!$A$1:$C$73,3,FALSE),"NA")</f>
        <v>4 Hood Canal</v>
      </c>
      <c r="M3161" s="72" t="s">
        <v>25</v>
      </c>
      <c r="N3161" t="str">
        <f>VLOOKUP(M3161,LUTs!E$2:H$14,3,)</f>
        <v>12Jefferson</v>
      </c>
      <c r="O3161" t="str">
        <f>VLOOKUP(M3161,LUTs!E$2:H$14,4,)</f>
        <v>03Strait of Juan de Fuca</v>
      </c>
      <c r="P3161" s="73">
        <v>132.413793103448</v>
      </c>
      <c r="Q3161" s="74">
        <f>VLOOKUP(B3161,Readme!A$40:C$51,2,)*P3161</f>
        <v>455.5034482758611</v>
      </c>
    </row>
    <row r="3162" spans="1:17" ht="12" customHeight="1" x14ac:dyDescent="0.35">
      <c r="A3162" s="75">
        <v>3161</v>
      </c>
      <c r="B3162" s="64">
        <v>2019</v>
      </c>
      <c r="C3162" s="64">
        <v>9</v>
      </c>
      <c r="D3162" s="80">
        <f t="shared" si="101"/>
        <v>2019</v>
      </c>
      <c r="E3162" t="s">
        <v>38</v>
      </c>
      <c r="F3162" t="s">
        <v>143</v>
      </c>
      <c r="G3162" t="s">
        <v>10</v>
      </c>
      <c r="H3162" s="72">
        <v>812</v>
      </c>
      <c r="I3162" s="72" t="s">
        <v>55</v>
      </c>
      <c r="J3162" t="str">
        <f t="shared" si="102"/>
        <v>Quilcene River</v>
      </c>
      <c r="K3162" t="str">
        <f>IFERROR(VLOOKUP(J3162,LUTs!$A$1:$C$73,2,FALSE),"NA")</f>
        <v>Jefferson</v>
      </c>
      <c r="L3162" t="str">
        <f>IFERROR(VLOOKUP(J3162,LUTs!$A$1:$C$73,3,FALSE),"NA")</f>
        <v>4 Hood Canal</v>
      </c>
      <c r="M3162" s="72" t="s">
        <v>23</v>
      </c>
      <c r="N3162" t="str">
        <f>VLOOKUP(M3162,LUTs!E$2:H$14,3,)</f>
        <v>10Kitsap</v>
      </c>
      <c r="O3162" t="str">
        <f>VLOOKUP(M3162,LUTs!E$2:H$14,4,)</f>
        <v>02South Puget Sound</v>
      </c>
      <c r="P3162" s="73">
        <v>154.48275862068999</v>
      </c>
      <c r="Q3162" s="74">
        <f>VLOOKUP(B3162,Readme!A$40:C$51,2,)*P3162</f>
        <v>531.42068965517353</v>
      </c>
    </row>
    <row r="3163" spans="1:17" ht="12" customHeight="1" x14ac:dyDescent="0.35">
      <c r="A3163" s="75">
        <v>3162</v>
      </c>
      <c r="B3163" s="64">
        <v>2019</v>
      </c>
      <c r="C3163" s="64">
        <v>9</v>
      </c>
      <c r="D3163" s="80">
        <f t="shared" si="101"/>
        <v>2019</v>
      </c>
      <c r="E3163" t="s">
        <v>38</v>
      </c>
      <c r="F3163" t="s">
        <v>143</v>
      </c>
      <c r="G3163" t="s">
        <v>10</v>
      </c>
      <c r="H3163" s="72">
        <v>812</v>
      </c>
      <c r="I3163" s="72" t="s">
        <v>55</v>
      </c>
      <c r="J3163" t="str">
        <f t="shared" si="102"/>
        <v>Quilcene River</v>
      </c>
      <c r="K3163" t="str">
        <f>IFERROR(VLOOKUP(J3163,LUTs!$A$1:$C$73,2,FALSE),"NA")</f>
        <v>Jefferson</v>
      </c>
      <c r="L3163" t="str">
        <f>IFERROR(VLOOKUP(J3163,LUTs!$A$1:$C$73,3,FALSE),"NA")</f>
        <v>4 Hood Canal</v>
      </c>
      <c r="M3163" s="72" t="s">
        <v>20</v>
      </c>
      <c r="N3163" t="str">
        <f>VLOOKUP(M3163,LUTs!E$2:H$14,3,)</f>
        <v>07Pierce</v>
      </c>
      <c r="O3163" t="str">
        <f>VLOOKUP(M3163,LUTs!E$2:H$14,4,)</f>
        <v>02South Puget Sound</v>
      </c>
      <c r="P3163" s="73">
        <v>11.034482758620699</v>
      </c>
      <c r="Q3163" s="74">
        <f>VLOOKUP(B3163,Readme!A$40:C$51,2,)*P3163</f>
        <v>37.958620689655206</v>
      </c>
    </row>
    <row r="3164" spans="1:17" ht="12" customHeight="1" x14ac:dyDescent="0.35">
      <c r="A3164" s="75">
        <v>3163</v>
      </c>
      <c r="B3164" s="64">
        <v>2019</v>
      </c>
      <c r="C3164" s="64">
        <v>9</v>
      </c>
      <c r="D3164" s="80">
        <f t="shared" si="101"/>
        <v>2019</v>
      </c>
      <c r="E3164" t="s">
        <v>38</v>
      </c>
      <c r="F3164" t="s">
        <v>143</v>
      </c>
      <c r="G3164" t="s">
        <v>10</v>
      </c>
      <c r="H3164" s="72">
        <v>812</v>
      </c>
      <c r="I3164" s="72" t="s">
        <v>55</v>
      </c>
      <c r="J3164" t="str">
        <f t="shared" si="102"/>
        <v>Quilcene River</v>
      </c>
      <c r="K3164" t="str">
        <f>IFERROR(VLOOKUP(J3164,LUTs!$A$1:$C$73,2,FALSE),"NA")</f>
        <v>Jefferson</v>
      </c>
      <c r="L3164" t="str">
        <f>IFERROR(VLOOKUP(J3164,LUTs!$A$1:$C$73,3,FALSE),"NA")</f>
        <v>4 Hood Canal</v>
      </c>
      <c r="M3164" s="72" t="s">
        <v>13</v>
      </c>
      <c r="N3164" t="str">
        <f>VLOOKUP(M3164,LUTs!E$2:H$14,3,)</f>
        <v>01Whatcom</v>
      </c>
      <c r="O3164" t="str">
        <f>VLOOKUP(M3164,LUTs!E$2:H$14,4,)</f>
        <v>01North Puget Sound</v>
      </c>
      <c r="P3164" s="73">
        <v>22.068965517241399</v>
      </c>
      <c r="Q3164" s="74">
        <f>VLOOKUP(B3164,Readme!A$40:C$51,2,)*P3164</f>
        <v>75.917241379310411</v>
      </c>
    </row>
    <row r="3165" spans="1:17" ht="12" customHeight="1" x14ac:dyDescent="0.35">
      <c r="A3165" s="75">
        <v>3164</v>
      </c>
      <c r="B3165" s="64">
        <v>2019</v>
      </c>
      <c r="C3165" s="64">
        <v>10</v>
      </c>
      <c r="D3165" s="80">
        <f t="shared" si="101"/>
        <v>2019</v>
      </c>
      <c r="E3165" t="s">
        <v>38</v>
      </c>
      <c r="F3165" t="s">
        <v>143</v>
      </c>
      <c r="G3165" t="s">
        <v>10</v>
      </c>
      <c r="H3165" s="72">
        <v>812</v>
      </c>
      <c r="I3165" s="72" t="s">
        <v>55</v>
      </c>
      <c r="J3165" t="str">
        <f t="shared" si="102"/>
        <v>Quilcene River</v>
      </c>
      <c r="K3165" t="str">
        <f>IFERROR(VLOOKUP(J3165,LUTs!$A$1:$C$73,2,FALSE),"NA")</f>
        <v>Jefferson</v>
      </c>
      <c r="L3165" t="str">
        <f>IFERROR(VLOOKUP(J3165,LUTs!$A$1:$C$73,3,FALSE),"NA")</f>
        <v>4 Hood Canal</v>
      </c>
      <c r="M3165" s="72" t="s">
        <v>26</v>
      </c>
      <c r="N3165" t="str">
        <f>VLOOKUP(M3165,LUTs!E$2:H$14,3,)</f>
        <v>20Other</v>
      </c>
      <c r="O3165" t="str">
        <f>VLOOKUP(M3165,LUTs!E$2:H$14,4,)</f>
        <v>07Non Puget Sound</v>
      </c>
      <c r="P3165" s="73">
        <v>44</v>
      </c>
      <c r="Q3165" s="74">
        <f>VLOOKUP(B3165,Readme!A$40:C$51,2,)*P3165</f>
        <v>151.35999999999999</v>
      </c>
    </row>
    <row r="3166" spans="1:17" ht="12" customHeight="1" x14ac:dyDescent="0.35">
      <c r="A3166" s="75">
        <v>3165</v>
      </c>
      <c r="B3166" s="64">
        <v>2019</v>
      </c>
      <c r="C3166" s="64">
        <v>8</v>
      </c>
      <c r="D3166" s="80">
        <f t="shared" si="101"/>
        <v>2019</v>
      </c>
      <c r="E3166" t="s">
        <v>38</v>
      </c>
      <c r="F3166" t="s">
        <v>143</v>
      </c>
      <c r="G3166" t="s">
        <v>10</v>
      </c>
      <c r="H3166" s="72">
        <v>816</v>
      </c>
      <c r="I3166" s="72" t="s">
        <v>56</v>
      </c>
      <c r="J3166" t="str">
        <f t="shared" si="102"/>
        <v>Samish River</v>
      </c>
      <c r="K3166" t="str">
        <f>IFERROR(VLOOKUP(J3166,LUTs!$A$1:$C$73,2,FALSE),"NA")</f>
        <v>Skagit</v>
      </c>
      <c r="L3166" t="str">
        <f>IFERROR(VLOOKUP(J3166,LUTs!$A$1:$C$73,3,FALSE),"NA")</f>
        <v>1North Puget Sound</v>
      </c>
      <c r="M3166" s="72" t="s">
        <v>17</v>
      </c>
      <c r="N3166" t="str">
        <f>VLOOKUP(M3166,LUTs!E$2:H$14,3,)</f>
        <v>04Island</v>
      </c>
      <c r="O3166" t="str">
        <f>VLOOKUP(M3166,LUTs!E$2:H$14,4,)</f>
        <v>01North Puget Sound</v>
      </c>
      <c r="P3166" s="73">
        <v>31.0324675324675</v>
      </c>
      <c r="Q3166" s="74">
        <f>VLOOKUP(B3166,Readme!A$40:C$51,2,)*P3166</f>
        <v>106.7516883116882</v>
      </c>
    </row>
    <row r="3167" spans="1:17" ht="12" customHeight="1" x14ac:dyDescent="0.35">
      <c r="A3167" s="75">
        <v>3166</v>
      </c>
      <c r="B3167" s="64">
        <v>2019</v>
      </c>
      <c r="C3167" s="64">
        <v>8</v>
      </c>
      <c r="D3167" s="80">
        <f t="shared" si="101"/>
        <v>2019</v>
      </c>
      <c r="E3167" t="s">
        <v>38</v>
      </c>
      <c r="F3167" t="s">
        <v>143</v>
      </c>
      <c r="G3167" t="s">
        <v>10</v>
      </c>
      <c r="H3167" s="72">
        <v>816</v>
      </c>
      <c r="I3167" s="72" t="s">
        <v>56</v>
      </c>
      <c r="J3167" t="str">
        <f t="shared" si="102"/>
        <v>Samish River</v>
      </c>
      <c r="K3167" t="str">
        <f>IFERROR(VLOOKUP(J3167,LUTs!$A$1:$C$73,2,FALSE),"NA")</f>
        <v>Skagit</v>
      </c>
      <c r="L3167" t="str">
        <f>IFERROR(VLOOKUP(J3167,LUTs!$A$1:$C$73,3,FALSE),"NA")</f>
        <v>1North Puget Sound</v>
      </c>
      <c r="M3167" s="72" t="s">
        <v>18</v>
      </c>
      <c r="N3167" t="str">
        <f>VLOOKUP(M3167,LUTs!E$2:H$14,3,)</f>
        <v>06King</v>
      </c>
      <c r="O3167" t="str">
        <f>VLOOKUP(M3167,LUTs!E$2:H$14,4,)</f>
        <v>02South Puget Sound</v>
      </c>
      <c r="P3167" s="73">
        <v>206.883116883117</v>
      </c>
      <c r="Q3167" s="74">
        <f>VLOOKUP(B3167,Readme!A$40:C$51,2,)*P3167</f>
        <v>711.67792207792252</v>
      </c>
    </row>
    <row r="3168" spans="1:17" ht="12" customHeight="1" x14ac:dyDescent="0.35">
      <c r="A3168" s="75">
        <v>3167</v>
      </c>
      <c r="B3168" s="64">
        <v>2019</v>
      </c>
      <c r="C3168" s="64">
        <v>8</v>
      </c>
      <c r="D3168" s="80">
        <f t="shared" si="101"/>
        <v>2019</v>
      </c>
      <c r="E3168" t="s">
        <v>38</v>
      </c>
      <c r="F3168" t="s">
        <v>143</v>
      </c>
      <c r="G3168" t="s">
        <v>10</v>
      </c>
      <c r="H3168" s="72">
        <v>816</v>
      </c>
      <c r="I3168" s="72" t="s">
        <v>56</v>
      </c>
      <c r="J3168" t="str">
        <f t="shared" si="102"/>
        <v>Samish River</v>
      </c>
      <c r="K3168" t="str">
        <f>IFERROR(VLOOKUP(J3168,LUTs!$A$1:$C$73,2,FALSE),"NA")</f>
        <v>Skagit</v>
      </c>
      <c r="L3168" t="str">
        <f>IFERROR(VLOOKUP(J3168,LUTs!$A$1:$C$73,3,FALSE),"NA")</f>
        <v>1North Puget Sound</v>
      </c>
      <c r="M3168" s="72" t="s">
        <v>26</v>
      </c>
      <c r="N3168" t="str">
        <f>VLOOKUP(M3168,LUTs!E$2:H$14,3,)</f>
        <v>20Other</v>
      </c>
      <c r="O3168" t="str">
        <f>VLOOKUP(M3168,LUTs!E$2:H$14,4,)</f>
        <v>07Non Puget Sound</v>
      </c>
      <c r="P3168" s="73">
        <v>31.0324675324675</v>
      </c>
      <c r="Q3168" s="74">
        <f>VLOOKUP(B3168,Readme!A$40:C$51,2,)*P3168</f>
        <v>106.7516883116882</v>
      </c>
    </row>
    <row r="3169" spans="1:17" ht="12" customHeight="1" x14ac:dyDescent="0.35">
      <c r="A3169" s="75">
        <v>3168</v>
      </c>
      <c r="B3169" s="64">
        <v>2019</v>
      </c>
      <c r="C3169" s="64">
        <v>8</v>
      </c>
      <c r="D3169" s="80">
        <f t="shared" si="101"/>
        <v>2019</v>
      </c>
      <c r="E3169" t="s">
        <v>38</v>
      </c>
      <c r="F3169" t="s">
        <v>143</v>
      </c>
      <c r="G3169" t="s">
        <v>10</v>
      </c>
      <c r="H3169" s="72">
        <v>816</v>
      </c>
      <c r="I3169" s="72" t="s">
        <v>56</v>
      </c>
      <c r="J3169" t="str">
        <f t="shared" si="102"/>
        <v>Samish River</v>
      </c>
      <c r="K3169" t="str">
        <f>IFERROR(VLOOKUP(J3169,LUTs!$A$1:$C$73,2,FALSE),"NA")</f>
        <v>Skagit</v>
      </c>
      <c r="L3169" t="str">
        <f>IFERROR(VLOOKUP(J3169,LUTs!$A$1:$C$73,3,FALSE),"NA")</f>
        <v>1North Puget Sound</v>
      </c>
      <c r="M3169" s="72" t="s">
        <v>20</v>
      </c>
      <c r="N3169" t="str">
        <f>VLOOKUP(M3169,LUTs!E$2:H$14,3,)</f>
        <v>07Pierce</v>
      </c>
      <c r="O3169" t="str">
        <f>VLOOKUP(M3169,LUTs!E$2:H$14,4,)</f>
        <v>02South Puget Sound</v>
      </c>
      <c r="P3169" s="73">
        <v>10.3441558441558</v>
      </c>
      <c r="Q3169" s="74">
        <f>VLOOKUP(B3169,Readme!A$40:C$51,2,)*P3169</f>
        <v>35.583896103895952</v>
      </c>
    </row>
    <row r="3170" spans="1:17" ht="12" customHeight="1" x14ac:dyDescent="0.35">
      <c r="A3170" s="75">
        <v>3169</v>
      </c>
      <c r="B3170" s="64">
        <v>2019</v>
      </c>
      <c r="C3170" s="64">
        <v>8</v>
      </c>
      <c r="D3170" s="80">
        <f t="shared" si="101"/>
        <v>2019</v>
      </c>
      <c r="E3170" t="s">
        <v>38</v>
      </c>
      <c r="F3170" t="s">
        <v>143</v>
      </c>
      <c r="G3170" t="s">
        <v>10</v>
      </c>
      <c r="H3170" s="72">
        <v>816</v>
      </c>
      <c r="I3170" s="72" t="s">
        <v>56</v>
      </c>
      <c r="J3170" t="str">
        <f t="shared" si="102"/>
        <v>Samish River</v>
      </c>
      <c r="K3170" t="str">
        <f>IFERROR(VLOOKUP(J3170,LUTs!$A$1:$C$73,2,FALSE),"NA")</f>
        <v>Skagit</v>
      </c>
      <c r="L3170" t="str">
        <f>IFERROR(VLOOKUP(J3170,LUTs!$A$1:$C$73,3,FALSE),"NA")</f>
        <v>1North Puget Sound</v>
      </c>
      <c r="M3170" s="72" t="s">
        <v>15</v>
      </c>
      <c r="N3170" t="str">
        <f>VLOOKUP(M3170,LUTs!E$2:H$14,3,)</f>
        <v>02Skagit</v>
      </c>
      <c r="O3170" t="str">
        <f>VLOOKUP(M3170,LUTs!E$2:H$14,4,)</f>
        <v>01North Puget Sound</v>
      </c>
      <c r="P3170" s="73">
        <v>72.409090909090907</v>
      </c>
      <c r="Q3170" s="74">
        <f>VLOOKUP(B3170,Readme!A$40:C$51,2,)*P3170</f>
        <v>249.0872727272727</v>
      </c>
    </row>
    <row r="3171" spans="1:17" ht="12" customHeight="1" x14ac:dyDescent="0.35">
      <c r="A3171" s="75">
        <v>3170</v>
      </c>
      <c r="B3171" s="64">
        <v>2019</v>
      </c>
      <c r="C3171" s="64">
        <v>8</v>
      </c>
      <c r="D3171" s="80">
        <f t="shared" si="101"/>
        <v>2019</v>
      </c>
      <c r="E3171" t="s">
        <v>38</v>
      </c>
      <c r="F3171" t="s">
        <v>143</v>
      </c>
      <c r="G3171" t="s">
        <v>10</v>
      </c>
      <c r="H3171" s="72">
        <v>816</v>
      </c>
      <c r="I3171" s="72" t="s">
        <v>56</v>
      </c>
      <c r="J3171" t="str">
        <f t="shared" si="102"/>
        <v>Samish River</v>
      </c>
      <c r="K3171" t="str">
        <f>IFERROR(VLOOKUP(J3171,LUTs!$A$1:$C$73,2,FALSE),"NA")</f>
        <v>Skagit</v>
      </c>
      <c r="L3171" t="str">
        <f>IFERROR(VLOOKUP(J3171,LUTs!$A$1:$C$73,3,FALSE),"NA")</f>
        <v>1North Puget Sound</v>
      </c>
      <c r="M3171" s="72" t="s">
        <v>16</v>
      </c>
      <c r="N3171" t="str">
        <f>VLOOKUP(M3171,LUTs!E$2:H$14,3,)</f>
        <v>03Snohomish</v>
      </c>
      <c r="O3171" t="str">
        <f>VLOOKUP(M3171,LUTs!E$2:H$14,4,)</f>
        <v>01North Puget Sound</v>
      </c>
      <c r="P3171" s="73">
        <v>1024.07142857143</v>
      </c>
      <c r="Q3171" s="74">
        <f>VLOOKUP(B3171,Readme!A$40:C$51,2,)*P3171</f>
        <v>3522.8057142857192</v>
      </c>
    </row>
    <row r="3172" spans="1:17" ht="12" customHeight="1" x14ac:dyDescent="0.35">
      <c r="A3172" s="75">
        <v>3171</v>
      </c>
      <c r="B3172" s="64">
        <v>2019</v>
      </c>
      <c r="C3172" s="64">
        <v>8</v>
      </c>
      <c r="D3172" s="80">
        <f t="shared" si="101"/>
        <v>2019</v>
      </c>
      <c r="E3172" t="s">
        <v>38</v>
      </c>
      <c r="F3172" t="s">
        <v>143</v>
      </c>
      <c r="G3172" t="s">
        <v>10</v>
      </c>
      <c r="H3172" s="72">
        <v>816</v>
      </c>
      <c r="I3172" s="72" t="s">
        <v>56</v>
      </c>
      <c r="J3172" t="str">
        <f t="shared" si="102"/>
        <v>Samish River</v>
      </c>
      <c r="K3172" t="str">
        <f>IFERROR(VLOOKUP(J3172,LUTs!$A$1:$C$73,2,FALSE),"NA")</f>
        <v>Skagit</v>
      </c>
      <c r="L3172" t="str">
        <f>IFERROR(VLOOKUP(J3172,LUTs!$A$1:$C$73,3,FALSE),"NA")</f>
        <v>1North Puget Sound</v>
      </c>
      <c r="M3172" s="72" t="s">
        <v>13</v>
      </c>
      <c r="N3172" t="str">
        <f>VLOOKUP(M3172,LUTs!E$2:H$14,3,)</f>
        <v>01Whatcom</v>
      </c>
      <c r="O3172" t="str">
        <f>VLOOKUP(M3172,LUTs!E$2:H$14,4,)</f>
        <v>01North Puget Sound</v>
      </c>
      <c r="P3172" s="73">
        <v>217.227272727273</v>
      </c>
      <c r="Q3172" s="74">
        <f>VLOOKUP(B3172,Readme!A$40:C$51,2,)*P3172</f>
        <v>747.26181818181908</v>
      </c>
    </row>
    <row r="3173" spans="1:17" ht="12" customHeight="1" x14ac:dyDescent="0.35">
      <c r="A3173" s="75">
        <v>3172</v>
      </c>
      <c r="B3173" s="64">
        <v>2019</v>
      </c>
      <c r="C3173" s="64">
        <v>9</v>
      </c>
      <c r="D3173" s="80">
        <f t="shared" si="101"/>
        <v>2019</v>
      </c>
      <c r="E3173" t="s">
        <v>38</v>
      </c>
      <c r="F3173" t="s">
        <v>143</v>
      </c>
      <c r="G3173" t="s">
        <v>10</v>
      </c>
      <c r="H3173" s="72">
        <v>816</v>
      </c>
      <c r="I3173" s="72" t="s">
        <v>56</v>
      </c>
      <c r="J3173" t="str">
        <f t="shared" si="102"/>
        <v>Samish River</v>
      </c>
      <c r="K3173" t="str">
        <f>IFERROR(VLOOKUP(J3173,LUTs!$A$1:$C$73,2,FALSE),"NA")</f>
        <v>Skagit</v>
      </c>
      <c r="L3173" t="str">
        <f>IFERROR(VLOOKUP(J3173,LUTs!$A$1:$C$73,3,FALSE),"NA")</f>
        <v>1North Puget Sound</v>
      </c>
      <c r="M3173" s="72" t="s">
        <v>17</v>
      </c>
      <c r="N3173" t="str">
        <f>VLOOKUP(M3173,LUTs!E$2:H$14,3,)</f>
        <v>04Island</v>
      </c>
      <c r="O3173" t="str">
        <f>VLOOKUP(M3173,LUTs!E$2:H$14,4,)</f>
        <v>01North Puget Sound</v>
      </c>
      <c r="P3173" s="73">
        <v>10.3417721518987</v>
      </c>
      <c r="Q3173" s="74">
        <f>VLOOKUP(B3173,Readme!A$40:C$51,2,)*P3173</f>
        <v>35.575696202531532</v>
      </c>
    </row>
    <row r="3174" spans="1:17" ht="12" customHeight="1" x14ac:dyDescent="0.35">
      <c r="A3174" s="75">
        <v>3173</v>
      </c>
      <c r="B3174" s="64">
        <v>2019</v>
      </c>
      <c r="C3174" s="64">
        <v>9</v>
      </c>
      <c r="D3174" s="80">
        <f t="shared" si="101"/>
        <v>2019</v>
      </c>
      <c r="E3174" t="s">
        <v>38</v>
      </c>
      <c r="F3174" t="s">
        <v>143</v>
      </c>
      <c r="G3174" t="s">
        <v>10</v>
      </c>
      <c r="H3174" s="72">
        <v>816</v>
      </c>
      <c r="I3174" s="72" t="s">
        <v>56</v>
      </c>
      <c r="J3174" t="str">
        <f t="shared" si="102"/>
        <v>Samish River</v>
      </c>
      <c r="K3174" t="str">
        <f>IFERROR(VLOOKUP(J3174,LUTs!$A$1:$C$73,2,FALSE),"NA")</f>
        <v>Skagit</v>
      </c>
      <c r="L3174" t="str">
        <f>IFERROR(VLOOKUP(J3174,LUTs!$A$1:$C$73,3,FALSE),"NA")</f>
        <v>1North Puget Sound</v>
      </c>
      <c r="M3174" s="72" t="s">
        <v>18</v>
      </c>
      <c r="N3174" t="str">
        <f>VLOOKUP(M3174,LUTs!E$2:H$14,3,)</f>
        <v>06King</v>
      </c>
      <c r="O3174" t="str">
        <f>VLOOKUP(M3174,LUTs!E$2:H$14,4,)</f>
        <v>02South Puget Sound</v>
      </c>
      <c r="P3174" s="73">
        <v>268.88607594936701</v>
      </c>
      <c r="Q3174" s="74">
        <f>VLOOKUP(B3174,Readme!A$40:C$51,2,)*P3174</f>
        <v>924.9681012658225</v>
      </c>
    </row>
    <row r="3175" spans="1:17" ht="12" customHeight="1" x14ac:dyDescent="0.35">
      <c r="A3175" s="75">
        <v>3174</v>
      </c>
      <c r="B3175" s="64">
        <v>2019</v>
      </c>
      <c r="C3175" s="64">
        <v>9</v>
      </c>
      <c r="D3175" s="80">
        <f t="shared" si="101"/>
        <v>2019</v>
      </c>
      <c r="E3175" t="s">
        <v>38</v>
      </c>
      <c r="F3175" t="s">
        <v>143</v>
      </c>
      <c r="G3175" t="s">
        <v>10</v>
      </c>
      <c r="H3175" s="72">
        <v>816</v>
      </c>
      <c r="I3175" s="72" t="s">
        <v>56</v>
      </c>
      <c r="J3175" t="str">
        <f t="shared" si="102"/>
        <v>Samish River</v>
      </c>
      <c r="K3175" t="str">
        <f>IFERROR(VLOOKUP(J3175,LUTs!$A$1:$C$73,2,FALSE),"NA")</f>
        <v>Skagit</v>
      </c>
      <c r="L3175" t="str">
        <f>IFERROR(VLOOKUP(J3175,LUTs!$A$1:$C$73,3,FALSE),"NA")</f>
        <v>1North Puget Sound</v>
      </c>
      <c r="M3175" s="72" t="s">
        <v>26</v>
      </c>
      <c r="N3175" t="str">
        <f>VLOOKUP(M3175,LUTs!E$2:H$14,3,)</f>
        <v>20Other</v>
      </c>
      <c r="O3175" t="str">
        <f>VLOOKUP(M3175,LUTs!E$2:H$14,4,)</f>
        <v>07Non Puget Sound</v>
      </c>
      <c r="P3175" s="73">
        <v>237.860759493671</v>
      </c>
      <c r="Q3175" s="74">
        <f>VLOOKUP(B3175,Readme!A$40:C$51,2,)*P3175</f>
        <v>818.24101265822821</v>
      </c>
    </row>
    <row r="3176" spans="1:17" ht="12" customHeight="1" x14ac:dyDescent="0.35">
      <c r="A3176" s="75">
        <v>3175</v>
      </c>
      <c r="B3176" s="64">
        <v>2019</v>
      </c>
      <c r="C3176" s="64">
        <v>9</v>
      </c>
      <c r="D3176" s="80">
        <f t="shared" si="101"/>
        <v>2019</v>
      </c>
      <c r="E3176" t="s">
        <v>38</v>
      </c>
      <c r="F3176" t="s">
        <v>143</v>
      </c>
      <c r="G3176" t="s">
        <v>10</v>
      </c>
      <c r="H3176" s="72">
        <v>816</v>
      </c>
      <c r="I3176" s="72" t="s">
        <v>56</v>
      </c>
      <c r="J3176" t="str">
        <f t="shared" si="102"/>
        <v>Samish River</v>
      </c>
      <c r="K3176" t="str">
        <f>IFERROR(VLOOKUP(J3176,LUTs!$A$1:$C$73,2,FALSE),"NA")</f>
        <v>Skagit</v>
      </c>
      <c r="L3176" t="str">
        <f>IFERROR(VLOOKUP(J3176,LUTs!$A$1:$C$73,3,FALSE),"NA")</f>
        <v>1North Puget Sound</v>
      </c>
      <c r="M3176" s="72" t="s">
        <v>20</v>
      </c>
      <c r="N3176" t="str">
        <f>VLOOKUP(M3176,LUTs!E$2:H$14,3,)</f>
        <v>07Pierce</v>
      </c>
      <c r="O3176" t="str">
        <f>VLOOKUP(M3176,LUTs!E$2:H$14,4,)</f>
        <v>02South Puget Sound</v>
      </c>
      <c r="P3176" s="73">
        <v>10.3417721518987</v>
      </c>
      <c r="Q3176" s="74">
        <f>VLOOKUP(B3176,Readme!A$40:C$51,2,)*P3176</f>
        <v>35.575696202531532</v>
      </c>
    </row>
    <row r="3177" spans="1:17" ht="12" customHeight="1" x14ac:dyDescent="0.35">
      <c r="A3177" s="75">
        <v>3176</v>
      </c>
      <c r="B3177" s="64">
        <v>2019</v>
      </c>
      <c r="C3177" s="64">
        <v>9</v>
      </c>
      <c r="D3177" s="80">
        <f t="shared" si="101"/>
        <v>2019</v>
      </c>
      <c r="E3177" t="s">
        <v>38</v>
      </c>
      <c r="F3177" t="s">
        <v>143</v>
      </c>
      <c r="G3177" t="s">
        <v>10</v>
      </c>
      <c r="H3177" s="72">
        <v>816</v>
      </c>
      <c r="I3177" s="72" t="s">
        <v>56</v>
      </c>
      <c r="J3177" t="str">
        <f t="shared" si="102"/>
        <v>Samish River</v>
      </c>
      <c r="K3177" t="str">
        <f>IFERROR(VLOOKUP(J3177,LUTs!$A$1:$C$73,2,FALSE),"NA")</f>
        <v>Skagit</v>
      </c>
      <c r="L3177" t="str">
        <f>IFERROR(VLOOKUP(J3177,LUTs!$A$1:$C$73,3,FALSE),"NA")</f>
        <v>1North Puget Sound</v>
      </c>
      <c r="M3177" s="72" t="s">
        <v>15</v>
      </c>
      <c r="N3177" t="str">
        <f>VLOOKUP(M3177,LUTs!E$2:H$14,3,)</f>
        <v>02Skagit</v>
      </c>
      <c r="O3177" t="str">
        <f>VLOOKUP(M3177,LUTs!E$2:H$14,4,)</f>
        <v>01North Puget Sound</v>
      </c>
      <c r="P3177" s="73">
        <v>392.98734177215198</v>
      </c>
      <c r="Q3177" s="74">
        <f>VLOOKUP(B3177,Readme!A$40:C$51,2,)*P3177</f>
        <v>1351.8764556962028</v>
      </c>
    </row>
    <row r="3178" spans="1:17" ht="12" customHeight="1" x14ac:dyDescent="0.35">
      <c r="A3178" s="75">
        <v>3177</v>
      </c>
      <c r="B3178" s="64">
        <v>2019</v>
      </c>
      <c r="C3178" s="64">
        <v>9</v>
      </c>
      <c r="D3178" s="80">
        <f t="shared" si="101"/>
        <v>2019</v>
      </c>
      <c r="E3178" t="s">
        <v>38</v>
      </c>
      <c r="F3178" t="s">
        <v>143</v>
      </c>
      <c r="G3178" t="s">
        <v>10</v>
      </c>
      <c r="H3178" s="72">
        <v>816</v>
      </c>
      <c r="I3178" s="72" t="s">
        <v>56</v>
      </c>
      <c r="J3178" t="str">
        <f t="shared" si="102"/>
        <v>Samish River</v>
      </c>
      <c r="K3178" t="str">
        <f>IFERROR(VLOOKUP(J3178,LUTs!$A$1:$C$73,2,FALSE),"NA")</f>
        <v>Skagit</v>
      </c>
      <c r="L3178" t="str">
        <f>IFERROR(VLOOKUP(J3178,LUTs!$A$1:$C$73,3,FALSE),"NA")</f>
        <v>1North Puget Sound</v>
      </c>
      <c r="M3178" s="72" t="s">
        <v>16</v>
      </c>
      <c r="N3178" t="str">
        <f>VLOOKUP(M3178,LUTs!E$2:H$14,3,)</f>
        <v>03Snohomish</v>
      </c>
      <c r="O3178" t="str">
        <f>VLOOKUP(M3178,LUTs!E$2:H$14,4,)</f>
        <v>01North Puget Sound</v>
      </c>
      <c r="P3178" s="73">
        <v>2078.6962025316502</v>
      </c>
      <c r="Q3178" s="74">
        <f>VLOOKUP(B3178,Readme!A$40:C$51,2,)*P3178</f>
        <v>7150.7149367088768</v>
      </c>
    </row>
    <row r="3179" spans="1:17" ht="12" customHeight="1" x14ac:dyDescent="0.35">
      <c r="A3179" s="75">
        <v>3178</v>
      </c>
      <c r="B3179" s="64">
        <v>2019</v>
      </c>
      <c r="C3179" s="64">
        <v>9</v>
      </c>
      <c r="D3179" s="80">
        <f t="shared" si="101"/>
        <v>2019</v>
      </c>
      <c r="E3179" t="s">
        <v>38</v>
      </c>
      <c r="F3179" t="s">
        <v>143</v>
      </c>
      <c r="G3179" t="s">
        <v>10</v>
      </c>
      <c r="H3179" s="72">
        <v>816</v>
      </c>
      <c r="I3179" s="72" t="s">
        <v>56</v>
      </c>
      <c r="J3179" t="str">
        <f t="shared" si="102"/>
        <v>Samish River</v>
      </c>
      <c r="K3179" t="str">
        <f>IFERROR(VLOOKUP(J3179,LUTs!$A$1:$C$73,2,FALSE),"NA")</f>
        <v>Skagit</v>
      </c>
      <c r="L3179" t="str">
        <f>IFERROR(VLOOKUP(J3179,LUTs!$A$1:$C$73,3,FALSE),"NA")</f>
        <v>1North Puget Sound</v>
      </c>
      <c r="M3179" s="72" t="s">
        <v>13</v>
      </c>
      <c r="N3179" t="str">
        <f>VLOOKUP(M3179,LUTs!E$2:H$14,3,)</f>
        <v>01Whatcom</v>
      </c>
      <c r="O3179" t="str">
        <f>VLOOKUP(M3179,LUTs!E$2:H$14,4,)</f>
        <v>01North Puget Sound</v>
      </c>
      <c r="P3179" s="73">
        <v>268.88607594936701</v>
      </c>
      <c r="Q3179" s="74">
        <f>VLOOKUP(B3179,Readme!A$40:C$51,2,)*P3179</f>
        <v>924.9681012658225</v>
      </c>
    </row>
    <row r="3180" spans="1:17" ht="12" customHeight="1" x14ac:dyDescent="0.35">
      <c r="A3180" s="75">
        <v>3179</v>
      </c>
      <c r="B3180" s="64">
        <v>2019</v>
      </c>
      <c r="C3180" s="64">
        <v>10</v>
      </c>
      <c r="D3180" s="80">
        <f t="shared" si="101"/>
        <v>2019</v>
      </c>
      <c r="E3180" t="s">
        <v>38</v>
      </c>
      <c r="F3180" t="s">
        <v>143</v>
      </c>
      <c r="G3180" t="s">
        <v>10</v>
      </c>
      <c r="H3180" s="72">
        <v>816</v>
      </c>
      <c r="I3180" s="72" t="s">
        <v>56</v>
      </c>
      <c r="J3180" t="str">
        <f t="shared" si="102"/>
        <v>Samish River</v>
      </c>
      <c r="K3180" t="str">
        <f>IFERROR(VLOOKUP(J3180,LUTs!$A$1:$C$73,2,FALSE),"NA")</f>
        <v>Skagit</v>
      </c>
      <c r="L3180" t="str">
        <f>IFERROR(VLOOKUP(J3180,LUTs!$A$1:$C$73,3,FALSE),"NA")</f>
        <v>1North Puget Sound</v>
      </c>
      <c r="M3180" s="72" t="s">
        <v>15</v>
      </c>
      <c r="N3180" t="str">
        <f>VLOOKUP(M3180,LUTs!E$2:H$14,3,)</f>
        <v>02Skagit</v>
      </c>
      <c r="O3180" t="str">
        <f>VLOOKUP(M3180,LUTs!E$2:H$14,4,)</f>
        <v>01North Puget Sound</v>
      </c>
      <c r="P3180" s="73">
        <v>20.6666666666667</v>
      </c>
      <c r="Q3180" s="74">
        <f>VLOOKUP(B3180,Readme!A$40:C$51,2,)*P3180</f>
        <v>71.093333333333447</v>
      </c>
    </row>
    <row r="3181" spans="1:17" ht="12" customHeight="1" x14ac:dyDescent="0.35">
      <c r="A3181" s="75">
        <v>3180</v>
      </c>
      <c r="B3181" s="64">
        <v>2019</v>
      </c>
      <c r="C3181" s="64">
        <v>10</v>
      </c>
      <c r="D3181" s="80">
        <f t="shared" si="101"/>
        <v>2019</v>
      </c>
      <c r="E3181" t="s">
        <v>38</v>
      </c>
      <c r="F3181" t="s">
        <v>143</v>
      </c>
      <c r="G3181" t="s">
        <v>10</v>
      </c>
      <c r="H3181" s="72">
        <v>816</v>
      </c>
      <c r="I3181" s="72" t="s">
        <v>56</v>
      </c>
      <c r="J3181" t="str">
        <f t="shared" si="102"/>
        <v>Samish River</v>
      </c>
      <c r="K3181" t="str">
        <f>IFERROR(VLOOKUP(J3181,LUTs!$A$1:$C$73,2,FALSE),"NA")</f>
        <v>Skagit</v>
      </c>
      <c r="L3181" t="str">
        <f>IFERROR(VLOOKUP(J3181,LUTs!$A$1:$C$73,3,FALSE),"NA")</f>
        <v>1North Puget Sound</v>
      </c>
      <c r="M3181" s="72" t="s">
        <v>16</v>
      </c>
      <c r="N3181" t="str">
        <f>VLOOKUP(M3181,LUTs!E$2:H$14,3,)</f>
        <v>03Snohomish</v>
      </c>
      <c r="O3181" t="str">
        <f>VLOOKUP(M3181,LUTs!E$2:H$14,4,)</f>
        <v>01North Puget Sound</v>
      </c>
      <c r="P3181" s="73">
        <v>10.3333333333333</v>
      </c>
      <c r="Q3181" s="74">
        <f>VLOOKUP(B3181,Readme!A$40:C$51,2,)*P3181</f>
        <v>35.546666666666553</v>
      </c>
    </row>
    <row r="3182" spans="1:17" ht="12" customHeight="1" x14ac:dyDescent="0.35">
      <c r="A3182" s="75">
        <v>3181</v>
      </c>
      <c r="B3182" s="64">
        <v>2019</v>
      </c>
      <c r="C3182" s="64">
        <v>7</v>
      </c>
      <c r="D3182" s="80">
        <f t="shared" si="101"/>
        <v>2019</v>
      </c>
      <c r="E3182" t="s">
        <v>38</v>
      </c>
      <c r="F3182" t="s">
        <v>143</v>
      </c>
      <c r="G3182" t="s">
        <v>10</v>
      </c>
      <c r="H3182" s="72">
        <v>825</v>
      </c>
      <c r="I3182" s="72" t="s">
        <v>58</v>
      </c>
      <c r="J3182" t="str">
        <f t="shared" si="102"/>
        <v>Baker Lake</v>
      </c>
      <c r="K3182" t="str">
        <f>IFERROR(VLOOKUP(J3182,LUTs!$A$1:$C$73,2,FALSE),"NA")</f>
        <v>Whatcom</v>
      </c>
      <c r="L3182" t="str">
        <f>IFERROR(VLOOKUP(J3182,LUTs!$A$1:$C$73,3,FALSE),"NA")</f>
        <v>1North Puget Sound</v>
      </c>
      <c r="M3182" s="72" t="s">
        <v>17</v>
      </c>
      <c r="N3182" t="str">
        <f>VLOOKUP(M3182,LUTs!E$2:H$14,3,)</f>
        <v>04Island</v>
      </c>
      <c r="O3182" t="str">
        <f>VLOOKUP(M3182,LUTs!E$2:H$14,4,)</f>
        <v>01North Puget Sound</v>
      </c>
      <c r="P3182" s="73">
        <v>261.66666666666703</v>
      </c>
      <c r="Q3182" s="74">
        <f>VLOOKUP(B3182,Readme!A$40:C$51,2,)*P3182</f>
        <v>900.13333333333458</v>
      </c>
    </row>
    <row r="3183" spans="1:17" ht="12" customHeight="1" x14ac:dyDescent="0.35">
      <c r="A3183" s="75">
        <v>3182</v>
      </c>
      <c r="B3183" s="64">
        <v>2019</v>
      </c>
      <c r="C3183" s="64">
        <v>7</v>
      </c>
      <c r="D3183" s="80">
        <f t="shared" si="101"/>
        <v>2019</v>
      </c>
      <c r="E3183" t="s">
        <v>38</v>
      </c>
      <c r="F3183" t="s">
        <v>143</v>
      </c>
      <c r="G3183" t="s">
        <v>10</v>
      </c>
      <c r="H3183" s="72">
        <v>825</v>
      </c>
      <c r="I3183" s="72" t="s">
        <v>58</v>
      </c>
      <c r="J3183" t="str">
        <f t="shared" si="102"/>
        <v>Baker Lake</v>
      </c>
      <c r="K3183" t="str">
        <f>IFERROR(VLOOKUP(J3183,LUTs!$A$1:$C$73,2,FALSE),"NA")</f>
        <v>Whatcom</v>
      </c>
      <c r="L3183" t="str">
        <f>IFERROR(VLOOKUP(J3183,LUTs!$A$1:$C$73,3,FALSE),"NA")</f>
        <v>1North Puget Sound</v>
      </c>
      <c r="M3183" s="72" t="s">
        <v>18</v>
      </c>
      <c r="N3183" t="str">
        <f>VLOOKUP(M3183,LUTs!E$2:H$14,3,)</f>
        <v>06King</v>
      </c>
      <c r="O3183" t="str">
        <f>VLOOKUP(M3183,LUTs!E$2:H$14,4,)</f>
        <v>02South Puget Sound</v>
      </c>
      <c r="P3183" s="73">
        <v>491.933333333333</v>
      </c>
      <c r="Q3183" s="74">
        <f>VLOOKUP(B3183,Readme!A$40:C$51,2,)*P3183</f>
        <v>1692.2506666666654</v>
      </c>
    </row>
    <row r="3184" spans="1:17" ht="12" customHeight="1" x14ac:dyDescent="0.35">
      <c r="A3184" s="75">
        <v>3183</v>
      </c>
      <c r="B3184" s="64">
        <v>2019</v>
      </c>
      <c r="C3184" s="64">
        <v>7</v>
      </c>
      <c r="D3184" s="80">
        <f t="shared" si="101"/>
        <v>2019</v>
      </c>
      <c r="E3184" t="s">
        <v>38</v>
      </c>
      <c r="F3184" t="s">
        <v>143</v>
      </c>
      <c r="G3184" t="s">
        <v>10</v>
      </c>
      <c r="H3184" s="72">
        <v>825</v>
      </c>
      <c r="I3184" s="72" t="s">
        <v>58</v>
      </c>
      <c r="J3184" t="str">
        <f t="shared" si="102"/>
        <v>Baker Lake</v>
      </c>
      <c r="K3184" t="str">
        <f>IFERROR(VLOOKUP(J3184,LUTs!$A$1:$C$73,2,FALSE),"NA")</f>
        <v>Whatcom</v>
      </c>
      <c r="L3184" t="str">
        <f>IFERROR(VLOOKUP(J3184,LUTs!$A$1:$C$73,3,FALSE),"NA")</f>
        <v>1North Puget Sound</v>
      </c>
      <c r="M3184" s="72" t="s">
        <v>26</v>
      </c>
      <c r="N3184" t="str">
        <f>VLOOKUP(M3184,LUTs!E$2:H$14,3,)</f>
        <v>20Other</v>
      </c>
      <c r="O3184" t="str">
        <f>VLOOKUP(M3184,LUTs!E$2:H$14,4,)</f>
        <v>07Non Puget Sound</v>
      </c>
      <c r="P3184" s="73">
        <v>125.6</v>
      </c>
      <c r="Q3184" s="74">
        <f>VLOOKUP(B3184,Readme!A$40:C$51,2,)*P3184</f>
        <v>432.06399999999996</v>
      </c>
    </row>
    <row r="3185" spans="1:17" ht="12" customHeight="1" x14ac:dyDescent="0.35">
      <c r="A3185" s="75">
        <v>3184</v>
      </c>
      <c r="B3185" s="64">
        <v>2019</v>
      </c>
      <c r="C3185" s="64">
        <v>7</v>
      </c>
      <c r="D3185" s="80">
        <f t="shared" si="101"/>
        <v>2019</v>
      </c>
      <c r="E3185" t="s">
        <v>38</v>
      </c>
      <c r="F3185" t="s">
        <v>143</v>
      </c>
      <c r="G3185" t="s">
        <v>10</v>
      </c>
      <c r="H3185" s="72">
        <v>825</v>
      </c>
      <c r="I3185" s="72" t="s">
        <v>58</v>
      </c>
      <c r="J3185" t="str">
        <f t="shared" si="102"/>
        <v>Baker Lake</v>
      </c>
      <c r="K3185" t="str">
        <f>IFERROR(VLOOKUP(J3185,LUTs!$A$1:$C$73,2,FALSE),"NA")</f>
        <v>Whatcom</v>
      </c>
      <c r="L3185" t="str">
        <f>IFERROR(VLOOKUP(J3185,LUTs!$A$1:$C$73,3,FALSE),"NA")</f>
        <v>1North Puget Sound</v>
      </c>
      <c r="M3185" s="72" t="s">
        <v>15</v>
      </c>
      <c r="N3185" t="str">
        <f>VLOOKUP(M3185,LUTs!E$2:H$14,3,)</f>
        <v>02Skagit</v>
      </c>
      <c r="O3185" t="str">
        <f>VLOOKUP(M3185,LUTs!E$2:H$14,4,)</f>
        <v>01North Puget Sound</v>
      </c>
      <c r="P3185" s="73">
        <v>565.20000000000005</v>
      </c>
      <c r="Q3185" s="74">
        <f>VLOOKUP(B3185,Readme!A$40:C$51,2,)*P3185</f>
        <v>1944.2880000000002</v>
      </c>
    </row>
    <row r="3186" spans="1:17" ht="12" customHeight="1" x14ac:dyDescent="0.35">
      <c r="A3186" s="75">
        <v>3185</v>
      </c>
      <c r="B3186" s="64">
        <v>2019</v>
      </c>
      <c r="C3186" s="64">
        <v>7</v>
      </c>
      <c r="D3186" s="80">
        <f t="shared" si="101"/>
        <v>2019</v>
      </c>
      <c r="E3186" t="s">
        <v>38</v>
      </c>
      <c r="F3186" t="s">
        <v>143</v>
      </c>
      <c r="G3186" t="s">
        <v>10</v>
      </c>
      <c r="H3186" s="72">
        <v>825</v>
      </c>
      <c r="I3186" s="72" t="s">
        <v>58</v>
      </c>
      <c r="J3186" t="str">
        <f t="shared" si="102"/>
        <v>Baker Lake</v>
      </c>
      <c r="K3186" t="str">
        <f>IFERROR(VLOOKUP(J3186,LUTs!$A$1:$C$73,2,FALSE),"NA")</f>
        <v>Whatcom</v>
      </c>
      <c r="L3186" t="str">
        <f>IFERROR(VLOOKUP(J3186,LUTs!$A$1:$C$73,3,FALSE),"NA")</f>
        <v>1North Puget Sound</v>
      </c>
      <c r="M3186" s="72" t="s">
        <v>16</v>
      </c>
      <c r="N3186" t="str">
        <f>VLOOKUP(M3186,LUTs!E$2:H$14,3,)</f>
        <v>03Snohomish</v>
      </c>
      <c r="O3186" t="str">
        <f>VLOOKUP(M3186,LUTs!E$2:H$14,4,)</f>
        <v>01North Puget Sound</v>
      </c>
      <c r="P3186" s="73">
        <v>586.13333333333298</v>
      </c>
      <c r="Q3186" s="74">
        <f>VLOOKUP(B3186,Readme!A$40:C$51,2,)*P3186</f>
        <v>2016.2986666666654</v>
      </c>
    </row>
    <row r="3187" spans="1:17" ht="12" customHeight="1" x14ac:dyDescent="0.35">
      <c r="A3187" s="75">
        <v>3186</v>
      </c>
      <c r="B3187" s="64">
        <v>2019</v>
      </c>
      <c r="C3187" s="64">
        <v>7</v>
      </c>
      <c r="D3187" s="80">
        <f t="shared" si="101"/>
        <v>2019</v>
      </c>
      <c r="E3187" t="s">
        <v>38</v>
      </c>
      <c r="F3187" t="s">
        <v>143</v>
      </c>
      <c r="G3187" t="s">
        <v>10</v>
      </c>
      <c r="H3187" s="72">
        <v>825</v>
      </c>
      <c r="I3187" s="72" t="s">
        <v>58</v>
      </c>
      <c r="J3187" t="str">
        <f t="shared" si="102"/>
        <v>Baker Lake</v>
      </c>
      <c r="K3187" t="str">
        <f>IFERROR(VLOOKUP(J3187,LUTs!$A$1:$C$73,2,FALSE),"NA")</f>
        <v>Whatcom</v>
      </c>
      <c r="L3187" t="str">
        <f>IFERROR(VLOOKUP(J3187,LUTs!$A$1:$C$73,3,FALSE),"NA")</f>
        <v>1North Puget Sound</v>
      </c>
      <c r="M3187" s="72" t="s">
        <v>21</v>
      </c>
      <c r="N3187" t="str">
        <f>VLOOKUP(M3187,LUTs!E$2:H$14,3,)</f>
        <v>08Thurston</v>
      </c>
      <c r="O3187" t="str">
        <f>VLOOKUP(M3187,LUTs!E$2:H$14,4,)</f>
        <v>02South Puget Sound</v>
      </c>
      <c r="P3187" s="73">
        <v>52.3333333333333</v>
      </c>
      <c r="Q3187" s="74">
        <f>VLOOKUP(B3187,Readme!A$40:C$51,2,)*P3187</f>
        <v>180.02666666666656</v>
      </c>
    </row>
    <row r="3188" spans="1:17" ht="12" customHeight="1" x14ac:dyDescent="0.35">
      <c r="A3188" s="75">
        <v>3187</v>
      </c>
      <c r="B3188" s="64">
        <v>2019</v>
      </c>
      <c r="C3188" s="64">
        <v>7</v>
      </c>
      <c r="D3188" s="80">
        <f t="shared" si="101"/>
        <v>2019</v>
      </c>
      <c r="E3188" t="s">
        <v>38</v>
      </c>
      <c r="F3188" t="s">
        <v>143</v>
      </c>
      <c r="G3188" t="s">
        <v>10</v>
      </c>
      <c r="H3188" s="72">
        <v>825</v>
      </c>
      <c r="I3188" s="72" t="s">
        <v>58</v>
      </c>
      <c r="J3188" t="str">
        <f t="shared" si="102"/>
        <v>Baker Lake</v>
      </c>
      <c r="K3188" t="str">
        <f>IFERROR(VLOOKUP(J3188,LUTs!$A$1:$C$73,2,FALSE),"NA")</f>
        <v>Whatcom</v>
      </c>
      <c r="L3188" t="str">
        <f>IFERROR(VLOOKUP(J3188,LUTs!$A$1:$C$73,3,FALSE),"NA")</f>
        <v>1North Puget Sound</v>
      </c>
      <c r="M3188" s="72" t="s">
        <v>13</v>
      </c>
      <c r="N3188" t="str">
        <f>VLOOKUP(M3188,LUTs!E$2:H$14,3,)</f>
        <v>01Whatcom</v>
      </c>
      <c r="O3188" t="str">
        <f>VLOOKUP(M3188,LUTs!E$2:H$14,4,)</f>
        <v>01North Puget Sound</v>
      </c>
      <c r="P3188" s="73">
        <v>429.13333333333298</v>
      </c>
      <c r="Q3188" s="74">
        <f>VLOOKUP(B3188,Readme!A$40:C$51,2,)*P3188</f>
        <v>1476.2186666666655</v>
      </c>
    </row>
    <row r="3189" spans="1:17" ht="12" customHeight="1" x14ac:dyDescent="0.35">
      <c r="A3189" s="75">
        <v>3188</v>
      </c>
      <c r="B3189" s="64">
        <v>2019</v>
      </c>
      <c r="C3189" s="64">
        <v>8</v>
      </c>
      <c r="D3189" s="80">
        <f t="shared" si="101"/>
        <v>2019</v>
      </c>
      <c r="E3189" t="s">
        <v>38</v>
      </c>
      <c r="F3189" t="s">
        <v>143</v>
      </c>
      <c r="G3189" t="s">
        <v>10</v>
      </c>
      <c r="H3189" s="72">
        <v>825</v>
      </c>
      <c r="I3189" s="72" t="s">
        <v>58</v>
      </c>
      <c r="J3189" t="str">
        <f t="shared" si="102"/>
        <v>Baker Lake</v>
      </c>
      <c r="K3189" t="str">
        <f>IFERROR(VLOOKUP(J3189,LUTs!$A$1:$C$73,2,FALSE),"NA")</f>
        <v>Whatcom</v>
      </c>
      <c r="L3189" t="str">
        <f>IFERROR(VLOOKUP(J3189,LUTs!$A$1:$C$73,3,FALSE),"NA")</f>
        <v>1North Puget Sound</v>
      </c>
      <c r="M3189" s="72" t="s">
        <v>18</v>
      </c>
      <c r="N3189" t="str">
        <f>VLOOKUP(M3189,LUTs!E$2:H$14,3,)</f>
        <v>06King</v>
      </c>
      <c r="O3189" t="str">
        <f>VLOOKUP(M3189,LUTs!E$2:H$14,4,)</f>
        <v>02South Puget Sound</v>
      </c>
      <c r="P3189" s="73">
        <v>31.4</v>
      </c>
      <c r="Q3189" s="74">
        <f>VLOOKUP(B3189,Readme!A$40:C$51,2,)*P3189</f>
        <v>108.01599999999999</v>
      </c>
    </row>
    <row r="3190" spans="1:17" ht="12" customHeight="1" x14ac:dyDescent="0.35">
      <c r="A3190" s="75">
        <v>3189</v>
      </c>
      <c r="B3190" s="64">
        <v>2019</v>
      </c>
      <c r="C3190" s="64">
        <v>8</v>
      </c>
      <c r="D3190" s="80">
        <f t="shared" si="101"/>
        <v>2019</v>
      </c>
      <c r="E3190" t="s">
        <v>38</v>
      </c>
      <c r="F3190" t="s">
        <v>143</v>
      </c>
      <c r="G3190" t="s">
        <v>10</v>
      </c>
      <c r="H3190" s="72">
        <v>825</v>
      </c>
      <c r="I3190" s="72" t="s">
        <v>58</v>
      </c>
      <c r="J3190" t="str">
        <f t="shared" si="102"/>
        <v>Baker Lake</v>
      </c>
      <c r="K3190" t="str">
        <f>IFERROR(VLOOKUP(J3190,LUTs!$A$1:$C$73,2,FALSE),"NA")</f>
        <v>Whatcom</v>
      </c>
      <c r="L3190" t="str">
        <f>IFERROR(VLOOKUP(J3190,LUTs!$A$1:$C$73,3,FALSE),"NA")</f>
        <v>1North Puget Sound</v>
      </c>
      <c r="M3190" s="72" t="s">
        <v>26</v>
      </c>
      <c r="N3190" t="str">
        <f>VLOOKUP(M3190,LUTs!E$2:H$14,3,)</f>
        <v>20Other</v>
      </c>
      <c r="O3190" t="str">
        <f>VLOOKUP(M3190,LUTs!E$2:H$14,4,)</f>
        <v>07Non Puget Sound</v>
      </c>
      <c r="P3190" s="73">
        <v>83.733333333333405</v>
      </c>
      <c r="Q3190" s="74">
        <f>VLOOKUP(B3190,Readme!A$40:C$51,2,)*P3190</f>
        <v>288.04266666666689</v>
      </c>
    </row>
    <row r="3191" spans="1:17" ht="12" customHeight="1" x14ac:dyDescent="0.35">
      <c r="A3191" s="75">
        <v>3190</v>
      </c>
      <c r="B3191" s="64">
        <v>2019</v>
      </c>
      <c r="C3191" s="64">
        <v>8</v>
      </c>
      <c r="D3191" s="80">
        <f t="shared" si="101"/>
        <v>2019</v>
      </c>
      <c r="E3191" t="s">
        <v>38</v>
      </c>
      <c r="F3191" t="s">
        <v>143</v>
      </c>
      <c r="G3191" t="s">
        <v>10</v>
      </c>
      <c r="H3191" s="72">
        <v>825</v>
      </c>
      <c r="I3191" s="72" t="s">
        <v>58</v>
      </c>
      <c r="J3191" t="str">
        <f t="shared" si="102"/>
        <v>Baker Lake</v>
      </c>
      <c r="K3191" t="str">
        <f>IFERROR(VLOOKUP(J3191,LUTs!$A$1:$C$73,2,FALSE),"NA")</f>
        <v>Whatcom</v>
      </c>
      <c r="L3191" t="str">
        <f>IFERROR(VLOOKUP(J3191,LUTs!$A$1:$C$73,3,FALSE),"NA")</f>
        <v>1North Puget Sound</v>
      </c>
      <c r="M3191" s="72" t="s">
        <v>15</v>
      </c>
      <c r="N3191" t="str">
        <f>VLOOKUP(M3191,LUTs!E$2:H$14,3,)</f>
        <v>02Skagit</v>
      </c>
      <c r="O3191" t="str">
        <f>VLOOKUP(M3191,LUTs!E$2:H$14,4,)</f>
        <v>01North Puget Sound</v>
      </c>
      <c r="P3191" s="73">
        <v>10.466666666666701</v>
      </c>
      <c r="Q3191" s="74">
        <f>VLOOKUP(B3191,Readme!A$40:C$51,2,)*P3191</f>
        <v>36.005333333333446</v>
      </c>
    </row>
    <row r="3192" spans="1:17" ht="12" customHeight="1" x14ac:dyDescent="0.35">
      <c r="A3192" s="75">
        <v>3191</v>
      </c>
      <c r="B3192" s="64">
        <v>2019</v>
      </c>
      <c r="C3192" s="64">
        <v>8</v>
      </c>
      <c r="D3192" s="80">
        <f t="shared" si="101"/>
        <v>2019</v>
      </c>
      <c r="E3192" t="s">
        <v>38</v>
      </c>
      <c r="F3192" t="s">
        <v>143</v>
      </c>
      <c r="G3192" t="s">
        <v>10</v>
      </c>
      <c r="H3192" s="72">
        <v>825</v>
      </c>
      <c r="I3192" s="72" t="s">
        <v>58</v>
      </c>
      <c r="J3192" t="str">
        <f t="shared" si="102"/>
        <v>Baker Lake</v>
      </c>
      <c r="K3192" t="str">
        <f>IFERROR(VLOOKUP(J3192,LUTs!$A$1:$C$73,2,FALSE),"NA")</f>
        <v>Whatcom</v>
      </c>
      <c r="L3192" t="str">
        <f>IFERROR(VLOOKUP(J3192,LUTs!$A$1:$C$73,3,FALSE),"NA")</f>
        <v>1North Puget Sound</v>
      </c>
      <c r="M3192" s="72" t="s">
        <v>16</v>
      </c>
      <c r="N3192" t="str">
        <f>VLOOKUP(M3192,LUTs!E$2:H$14,3,)</f>
        <v>03Snohomish</v>
      </c>
      <c r="O3192" t="str">
        <f>VLOOKUP(M3192,LUTs!E$2:H$14,4,)</f>
        <v>01North Puget Sound</v>
      </c>
      <c r="P3192" s="73">
        <v>20.933333333333302</v>
      </c>
      <c r="Q3192" s="74">
        <f>VLOOKUP(B3192,Readme!A$40:C$51,2,)*P3192</f>
        <v>72.010666666666552</v>
      </c>
    </row>
    <row r="3193" spans="1:17" ht="12" customHeight="1" x14ac:dyDescent="0.35">
      <c r="A3193" s="75">
        <v>3192</v>
      </c>
      <c r="B3193" s="64">
        <v>2019</v>
      </c>
      <c r="C3193" s="64">
        <v>8</v>
      </c>
      <c r="D3193" s="80">
        <f t="shared" si="101"/>
        <v>2019</v>
      </c>
      <c r="E3193" t="s">
        <v>38</v>
      </c>
      <c r="F3193" t="s">
        <v>143</v>
      </c>
      <c r="G3193" t="s">
        <v>10</v>
      </c>
      <c r="H3193" s="72">
        <v>825</v>
      </c>
      <c r="I3193" s="72" t="s">
        <v>58</v>
      </c>
      <c r="J3193" t="str">
        <f t="shared" si="102"/>
        <v>Baker Lake</v>
      </c>
      <c r="K3193" t="str">
        <f>IFERROR(VLOOKUP(J3193,LUTs!$A$1:$C$73,2,FALSE),"NA")</f>
        <v>Whatcom</v>
      </c>
      <c r="L3193" t="str">
        <f>IFERROR(VLOOKUP(J3193,LUTs!$A$1:$C$73,3,FALSE),"NA")</f>
        <v>1North Puget Sound</v>
      </c>
      <c r="M3193" s="72" t="s">
        <v>13</v>
      </c>
      <c r="N3193" t="str">
        <f>VLOOKUP(M3193,LUTs!E$2:H$14,3,)</f>
        <v>01Whatcom</v>
      </c>
      <c r="O3193" t="str">
        <f>VLOOKUP(M3193,LUTs!E$2:H$14,4,)</f>
        <v>01North Puget Sound</v>
      </c>
      <c r="P3193" s="73">
        <v>10.466666666666701</v>
      </c>
      <c r="Q3193" s="74">
        <f>VLOOKUP(B3193,Readme!A$40:C$51,2,)*P3193</f>
        <v>36.005333333333446</v>
      </c>
    </row>
    <row r="3194" spans="1:17" ht="12" customHeight="1" x14ac:dyDescent="0.35">
      <c r="A3194" s="75">
        <v>3193</v>
      </c>
      <c r="B3194" s="64">
        <v>2019</v>
      </c>
      <c r="C3194" s="64">
        <v>9</v>
      </c>
      <c r="D3194" s="80">
        <f t="shared" ref="D3194:D3257" si="103">IF(C3194&gt;3,B3194,B3194-1)</f>
        <v>2019</v>
      </c>
      <c r="E3194" t="s">
        <v>38</v>
      </c>
      <c r="F3194" t="s">
        <v>143</v>
      </c>
      <c r="G3194" t="s">
        <v>10</v>
      </c>
      <c r="H3194" s="72">
        <v>825</v>
      </c>
      <c r="I3194" s="72" t="s">
        <v>58</v>
      </c>
      <c r="J3194" t="str">
        <f t="shared" si="102"/>
        <v>Baker Lake</v>
      </c>
      <c r="K3194" t="str">
        <f>IFERROR(VLOOKUP(J3194,LUTs!$A$1:$C$73,2,FALSE),"NA")</f>
        <v>Whatcom</v>
      </c>
      <c r="L3194" t="str">
        <f>IFERROR(VLOOKUP(J3194,LUTs!$A$1:$C$73,3,FALSE),"NA")</f>
        <v>1North Puget Sound</v>
      </c>
      <c r="M3194" s="72" t="s">
        <v>26</v>
      </c>
      <c r="N3194" t="str">
        <f>VLOOKUP(M3194,LUTs!E$2:H$14,3,)</f>
        <v>20Other</v>
      </c>
      <c r="O3194" t="str">
        <f>VLOOKUP(M3194,LUTs!E$2:H$14,4,)</f>
        <v>07Non Puget Sound</v>
      </c>
      <c r="P3194" s="73">
        <v>20.8571428571429</v>
      </c>
      <c r="Q3194" s="74">
        <f>VLOOKUP(B3194,Readme!A$40:C$51,2,)*P3194</f>
        <v>71.74857142857158</v>
      </c>
    </row>
    <row r="3195" spans="1:17" ht="12" customHeight="1" x14ac:dyDescent="0.35">
      <c r="A3195" s="75">
        <v>3194</v>
      </c>
      <c r="B3195" s="64">
        <v>2019</v>
      </c>
      <c r="C3195" s="64">
        <v>9</v>
      </c>
      <c r="D3195" s="80">
        <f t="shared" si="103"/>
        <v>2019</v>
      </c>
      <c r="E3195" t="s">
        <v>38</v>
      </c>
      <c r="F3195" t="s">
        <v>143</v>
      </c>
      <c r="G3195" t="s">
        <v>10</v>
      </c>
      <c r="H3195" s="72">
        <v>825</v>
      </c>
      <c r="I3195" s="72" t="s">
        <v>58</v>
      </c>
      <c r="J3195" t="str">
        <f t="shared" si="102"/>
        <v>Baker Lake</v>
      </c>
      <c r="K3195" t="str">
        <f>IFERROR(VLOOKUP(J3195,LUTs!$A$1:$C$73,2,FALSE),"NA")</f>
        <v>Whatcom</v>
      </c>
      <c r="L3195" t="str">
        <f>IFERROR(VLOOKUP(J3195,LUTs!$A$1:$C$73,3,FALSE),"NA")</f>
        <v>1North Puget Sound</v>
      </c>
      <c r="M3195" s="72" t="s">
        <v>15</v>
      </c>
      <c r="N3195" t="str">
        <f>VLOOKUP(M3195,LUTs!E$2:H$14,3,)</f>
        <v>02Skagit</v>
      </c>
      <c r="O3195" t="str">
        <f>VLOOKUP(M3195,LUTs!E$2:H$14,4,)</f>
        <v>01North Puget Sound</v>
      </c>
      <c r="P3195" s="73">
        <v>20.8571428571429</v>
      </c>
      <c r="Q3195" s="74">
        <f>VLOOKUP(B3195,Readme!A$40:C$51,2,)*P3195</f>
        <v>71.74857142857158</v>
      </c>
    </row>
    <row r="3196" spans="1:17" ht="12" customHeight="1" x14ac:dyDescent="0.35">
      <c r="A3196" s="75">
        <v>3195</v>
      </c>
      <c r="B3196" s="64">
        <v>2019</v>
      </c>
      <c r="C3196" s="64">
        <v>9</v>
      </c>
      <c r="D3196" s="80">
        <f t="shared" si="103"/>
        <v>2019</v>
      </c>
      <c r="E3196" t="s">
        <v>38</v>
      </c>
      <c r="F3196" t="s">
        <v>143</v>
      </c>
      <c r="G3196" t="s">
        <v>10</v>
      </c>
      <c r="H3196" s="72">
        <v>825</v>
      </c>
      <c r="I3196" s="72" t="s">
        <v>58</v>
      </c>
      <c r="J3196" t="str">
        <f t="shared" si="102"/>
        <v>Baker Lake</v>
      </c>
      <c r="K3196" t="str">
        <f>IFERROR(VLOOKUP(J3196,LUTs!$A$1:$C$73,2,FALSE),"NA")</f>
        <v>Whatcom</v>
      </c>
      <c r="L3196" t="str">
        <f>IFERROR(VLOOKUP(J3196,LUTs!$A$1:$C$73,3,FALSE),"NA")</f>
        <v>1North Puget Sound</v>
      </c>
      <c r="M3196" s="72" t="s">
        <v>16</v>
      </c>
      <c r="N3196" t="str">
        <f>VLOOKUP(M3196,LUTs!E$2:H$14,3,)</f>
        <v>03Snohomish</v>
      </c>
      <c r="O3196" t="str">
        <f>VLOOKUP(M3196,LUTs!E$2:H$14,4,)</f>
        <v>01North Puget Sound</v>
      </c>
      <c r="P3196" s="73">
        <v>10.4285714285714</v>
      </c>
      <c r="Q3196" s="74">
        <f>VLOOKUP(B3196,Readme!A$40:C$51,2,)*P3196</f>
        <v>35.87428571428562</v>
      </c>
    </row>
    <row r="3197" spans="1:17" ht="12" customHeight="1" x14ac:dyDescent="0.35">
      <c r="A3197" s="75">
        <v>3196</v>
      </c>
      <c r="B3197" s="64">
        <v>2019</v>
      </c>
      <c r="C3197" s="64">
        <v>9</v>
      </c>
      <c r="D3197" s="80">
        <f t="shared" si="103"/>
        <v>2019</v>
      </c>
      <c r="E3197" t="s">
        <v>38</v>
      </c>
      <c r="F3197" t="s">
        <v>143</v>
      </c>
      <c r="G3197" t="s">
        <v>10</v>
      </c>
      <c r="H3197" s="72">
        <v>825</v>
      </c>
      <c r="I3197" s="72" t="s">
        <v>58</v>
      </c>
      <c r="J3197" t="str">
        <f t="shared" si="102"/>
        <v>Baker Lake</v>
      </c>
      <c r="K3197" t="str">
        <f>IFERROR(VLOOKUP(J3197,LUTs!$A$1:$C$73,2,FALSE),"NA")</f>
        <v>Whatcom</v>
      </c>
      <c r="L3197" t="str">
        <f>IFERROR(VLOOKUP(J3197,LUTs!$A$1:$C$73,3,FALSE),"NA")</f>
        <v>1North Puget Sound</v>
      </c>
      <c r="M3197" s="72" t="s">
        <v>13</v>
      </c>
      <c r="N3197" t="str">
        <f>VLOOKUP(M3197,LUTs!E$2:H$14,3,)</f>
        <v>01Whatcom</v>
      </c>
      <c r="O3197" t="str">
        <f>VLOOKUP(M3197,LUTs!E$2:H$14,4,)</f>
        <v>01North Puget Sound</v>
      </c>
      <c r="P3197" s="73">
        <v>20.8571428571429</v>
      </c>
      <c r="Q3197" s="74">
        <f>VLOOKUP(B3197,Readme!A$40:C$51,2,)*P3197</f>
        <v>71.74857142857158</v>
      </c>
    </row>
    <row r="3198" spans="1:17" ht="12" customHeight="1" x14ac:dyDescent="0.35">
      <c r="A3198" s="75">
        <v>3197</v>
      </c>
      <c r="B3198" s="64">
        <v>2019</v>
      </c>
      <c r="C3198" s="64">
        <v>10</v>
      </c>
      <c r="D3198" s="80">
        <f t="shared" si="103"/>
        <v>2019</v>
      </c>
      <c r="E3198" t="s">
        <v>38</v>
      </c>
      <c r="F3198" t="s">
        <v>143</v>
      </c>
      <c r="G3198" t="s">
        <v>10</v>
      </c>
      <c r="H3198" s="72">
        <v>825</v>
      </c>
      <c r="I3198" s="72" t="s">
        <v>58</v>
      </c>
      <c r="J3198" t="str">
        <f t="shared" si="102"/>
        <v>Baker Lake</v>
      </c>
      <c r="K3198" t="str">
        <f>IFERROR(VLOOKUP(J3198,LUTs!$A$1:$C$73,2,FALSE),"NA")</f>
        <v>Whatcom</v>
      </c>
      <c r="L3198" t="str">
        <f>IFERROR(VLOOKUP(J3198,LUTs!$A$1:$C$73,3,FALSE),"NA")</f>
        <v>1North Puget Sound</v>
      </c>
      <c r="M3198" s="72" t="s">
        <v>17</v>
      </c>
      <c r="N3198" t="str">
        <f>VLOOKUP(M3198,LUTs!E$2:H$14,3,)</f>
        <v>04Island</v>
      </c>
      <c r="O3198" t="str">
        <f>VLOOKUP(M3198,LUTs!E$2:H$14,4,)</f>
        <v>01North Puget Sound</v>
      </c>
      <c r="P3198" s="73">
        <v>0</v>
      </c>
      <c r="Q3198" s="74">
        <f>VLOOKUP(B3198,Readme!A$40:C$51,2,)*P3198</f>
        <v>0</v>
      </c>
    </row>
    <row r="3199" spans="1:17" ht="12" customHeight="1" x14ac:dyDescent="0.35">
      <c r="A3199" s="75">
        <v>3198</v>
      </c>
      <c r="B3199" s="64">
        <v>2019</v>
      </c>
      <c r="C3199" s="64">
        <v>5</v>
      </c>
      <c r="D3199" s="80">
        <f t="shared" si="103"/>
        <v>2019</v>
      </c>
      <c r="E3199" t="s">
        <v>38</v>
      </c>
      <c r="F3199" t="s">
        <v>143</v>
      </c>
      <c r="G3199" t="s">
        <v>10</v>
      </c>
      <c r="H3199" s="72">
        <v>826</v>
      </c>
      <c r="I3199" s="72" t="s">
        <v>59</v>
      </c>
      <c r="J3199" t="str">
        <f t="shared" si="102"/>
        <v>Cascade River</v>
      </c>
      <c r="K3199" t="str">
        <f>IFERROR(VLOOKUP(J3199,LUTs!$A$1:$C$73,2,FALSE),"NA")</f>
        <v>Skagit</v>
      </c>
      <c r="L3199" t="str">
        <f>IFERROR(VLOOKUP(J3199,LUTs!$A$1:$C$73,3,FALSE),"NA")</f>
        <v>1North Puget Sound</v>
      </c>
      <c r="M3199" s="72" t="s">
        <v>18</v>
      </c>
      <c r="N3199" t="str">
        <f>VLOOKUP(M3199,LUTs!E$2:H$14,3,)</f>
        <v>06King</v>
      </c>
      <c r="O3199" t="str">
        <f>VLOOKUP(M3199,LUTs!E$2:H$14,4,)</f>
        <v>02South Puget Sound</v>
      </c>
      <c r="P3199" s="73">
        <v>31.125</v>
      </c>
      <c r="Q3199" s="74">
        <f>VLOOKUP(B3199,Readme!A$40:C$51,2,)*P3199</f>
        <v>107.07</v>
      </c>
    </row>
    <row r="3200" spans="1:17" ht="12" customHeight="1" x14ac:dyDescent="0.35">
      <c r="A3200" s="75">
        <v>3199</v>
      </c>
      <c r="B3200" s="64">
        <v>2019</v>
      </c>
      <c r="C3200" s="64">
        <v>5</v>
      </c>
      <c r="D3200" s="80">
        <f t="shared" si="103"/>
        <v>2019</v>
      </c>
      <c r="E3200" t="s">
        <v>38</v>
      </c>
      <c r="F3200" t="s">
        <v>143</v>
      </c>
      <c r="G3200" t="s">
        <v>10</v>
      </c>
      <c r="H3200" s="72">
        <v>826</v>
      </c>
      <c r="I3200" s="72" t="s">
        <v>59</v>
      </c>
      <c r="J3200" t="str">
        <f t="shared" si="102"/>
        <v>Cascade River</v>
      </c>
      <c r="K3200" t="str">
        <f>IFERROR(VLOOKUP(J3200,LUTs!$A$1:$C$73,2,FALSE),"NA")</f>
        <v>Skagit</v>
      </c>
      <c r="L3200" t="str">
        <f>IFERROR(VLOOKUP(J3200,LUTs!$A$1:$C$73,3,FALSE),"NA")</f>
        <v>1North Puget Sound</v>
      </c>
      <c r="M3200" s="72" t="s">
        <v>26</v>
      </c>
      <c r="N3200" t="str">
        <f>VLOOKUP(M3200,LUTs!E$2:H$14,3,)</f>
        <v>20Other</v>
      </c>
      <c r="O3200" t="str">
        <f>VLOOKUP(M3200,LUTs!E$2:H$14,4,)</f>
        <v>07Non Puget Sound</v>
      </c>
      <c r="P3200" s="73">
        <v>31.125</v>
      </c>
      <c r="Q3200" s="74">
        <f>VLOOKUP(B3200,Readme!A$40:C$51,2,)*P3200</f>
        <v>107.07</v>
      </c>
    </row>
    <row r="3201" spans="1:17" ht="12" customHeight="1" x14ac:dyDescent="0.35">
      <c r="A3201" s="75">
        <v>3200</v>
      </c>
      <c r="B3201" s="64">
        <v>2019</v>
      </c>
      <c r="C3201" s="64">
        <v>5</v>
      </c>
      <c r="D3201" s="80">
        <f t="shared" si="103"/>
        <v>2019</v>
      </c>
      <c r="E3201" t="s">
        <v>38</v>
      </c>
      <c r="F3201" t="s">
        <v>143</v>
      </c>
      <c r="G3201" t="s">
        <v>10</v>
      </c>
      <c r="H3201" s="72">
        <v>826</v>
      </c>
      <c r="I3201" s="72" t="s">
        <v>59</v>
      </c>
      <c r="J3201" t="str">
        <f t="shared" si="102"/>
        <v>Cascade River</v>
      </c>
      <c r="K3201" t="str">
        <f>IFERROR(VLOOKUP(J3201,LUTs!$A$1:$C$73,2,FALSE),"NA")</f>
        <v>Skagit</v>
      </c>
      <c r="L3201" t="str">
        <f>IFERROR(VLOOKUP(J3201,LUTs!$A$1:$C$73,3,FALSE),"NA")</f>
        <v>1North Puget Sound</v>
      </c>
      <c r="M3201" s="72" t="s">
        <v>13</v>
      </c>
      <c r="N3201" t="str">
        <f>VLOOKUP(M3201,LUTs!E$2:H$14,3,)</f>
        <v>01Whatcom</v>
      </c>
      <c r="O3201" t="str">
        <f>VLOOKUP(M3201,LUTs!E$2:H$14,4,)</f>
        <v>01North Puget Sound</v>
      </c>
      <c r="P3201" s="73">
        <v>20.75</v>
      </c>
      <c r="Q3201" s="74">
        <f>VLOOKUP(B3201,Readme!A$40:C$51,2,)*P3201</f>
        <v>71.38</v>
      </c>
    </row>
    <row r="3202" spans="1:17" ht="12" customHeight="1" x14ac:dyDescent="0.35">
      <c r="A3202" s="75">
        <v>3201</v>
      </c>
      <c r="B3202" s="64">
        <v>2019</v>
      </c>
      <c r="C3202" s="64">
        <v>6</v>
      </c>
      <c r="D3202" s="80">
        <f t="shared" si="103"/>
        <v>2019</v>
      </c>
      <c r="E3202" t="s">
        <v>38</v>
      </c>
      <c r="F3202" t="s">
        <v>143</v>
      </c>
      <c r="G3202" t="s">
        <v>10</v>
      </c>
      <c r="H3202" s="72">
        <v>826</v>
      </c>
      <c r="I3202" s="72" t="s">
        <v>59</v>
      </c>
      <c r="J3202" t="str">
        <f t="shared" si="102"/>
        <v>Cascade River</v>
      </c>
      <c r="K3202" t="str">
        <f>IFERROR(VLOOKUP(J3202,LUTs!$A$1:$C$73,2,FALSE),"NA")</f>
        <v>Skagit</v>
      </c>
      <c r="L3202" t="str">
        <f>IFERROR(VLOOKUP(J3202,LUTs!$A$1:$C$73,3,FALSE),"NA")</f>
        <v>1North Puget Sound</v>
      </c>
      <c r="M3202" s="72" t="s">
        <v>18</v>
      </c>
      <c r="N3202" t="str">
        <f>VLOOKUP(M3202,LUTs!E$2:H$14,3,)</f>
        <v>06King</v>
      </c>
      <c r="O3202" t="str">
        <f>VLOOKUP(M3202,LUTs!E$2:H$14,4,)</f>
        <v>02South Puget Sound</v>
      </c>
      <c r="P3202" s="73">
        <v>135.19999999999999</v>
      </c>
      <c r="Q3202" s="74">
        <f>VLOOKUP(B3202,Readme!A$40:C$51,2,)*P3202</f>
        <v>465.08799999999997</v>
      </c>
    </row>
    <row r="3203" spans="1:17" ht="12" customHeight="1" x14ac:dyDescent="0.35">
      <c r="A3203" s="75">
        <v>3202</v>
      </c>
      <c r="B3203" s="64">
        <v>2019</v>
      </c>
      <c r="C3203" s="64">
        <v>6</v>
      </c>
      <c r="D3203" s="80">
        <f t="shared" si="103"/>
        <v>2019</v>
      </c>
      <c r="E3203" t="s">
        <v>38</v>
      </c>
      <c r="F3203" t="s">
        <v>143</v>
      </c>
      <c r="G3203" t="s">
        <v>10</v>
      </c>
      <c r="H3203" s="72">
        <v>826</v>
      </c>
      <c r="I3203" s="72" t="s">
        <v>59</v>
      </c>
      <c r="J3203" t="str">
        <f t="shared" ref="J3203:J3266" si="104">I3203</f>
        <v>Cascade River</v>
      </c>
      <c r="K3203" t="str">
        <f>IFERROR(VLOOKUP(J3203,LUTs!$A$1:$C$73,2,FALSE),"NA")</f>
        <v>Skagit</v>
      </c>
      <c r="L3203" t="str">
        <f>IFERROR(VLOOKUP(J3203,LUTs!$A$1:$C$73,3,FALSE),"NA")</f>
        <v>1North Puget Sound</v>
      </c>
      <c r="M3203" s="72" t="s">
        <v>13</v>
      </c>
      <c r="N3203" t="str">
        <f>VLOOKUP(M3203,LUTs!E$2:H$14,3,)</f>
        <v>01Whatcom</v>
      </c>
      <c r="O3203" t="str">
        <f>VLOOKUP(M3203,LUTs!E$2:H$14,4,)</f>
        <v>01North Puget Sound</v>
      </c>
      <c r="P3203" s="73">
        <v>20.8</v>
      </c>
      <c r="Q3203" s="74">
        <f>VLOOKUP(B3203,Readme!A$40:C$51,2,)*P3203</f>
        <v>71.552000000000007</v>
      </c>
    </row>
    <row r="3204" spans="1:17" ht="12" customHeight="1" x14ac:dyDescent="0.35">
      <c r="A3204" s="75">
        <v>3203</v>
      </c>
      <c r="B3204" s="64">
        <v>2019</v>
      </c>
      <c r="C3204" s="64">
        <v>7</v>
      </c>
      <c r="D3204" s="80">
        <f t="shared" si="103"/>
        <v>2019</v>
      </c>
      <c r="E3204" t="s">
        <v>38</v>
      </c>
      <c r="F3204" t="s">
        <v>143</v>
      </c>
      <c r="G3204" t="s">
        <v>10</v>
      </c>
      <c r="H3204" s="72">
        <v>826</v>
      </c>
      <c r="I3204" s="72" t="s">
        <v>59</v>
      </c>
      <c r="J3204" t="str">
        <f t="shared" si="104"/>
        <v>Cascade River</v>
      </c>
      <c r="K3204" t="str">
        <f>IFERROR(VLOOKUP(J3204,LUTs!$A$1:$C$73,2,FALSE),"NA")</f>
        <v>Skagit</v>
      </c>
      <c r="L3204" t="str">
        <f>IFERROR(VLOOKUP(J3204,LUTs!$A$1:$C$73,3,FALSE),"NA")</f>
        <v>1North Puget Sound</v>
      </c>
      <c r="M3204" s="72" t="s">
        <v>18</v>
      </c>
      <c r="N3204" t="str">
        <f>VLOOKUP(M3204,LUTs!E$2:H$14,3,)</f>
        <v>06King</v>
      </c>
      <c r="O3204" t="str">
        <f>VLOOKUP(M3204,LUTs!E$2:H$14,4,)</f>
        <v>02South Puget Sound</v>
      </c>
      <c r="P3204" s="73">
        <v>10</v>
      </c>
      <c r="Q3204" s="74">
        <f>VLOOKUP(B3204,Readme!A$40:C$51,2,)*P3204</f>
        <v>34.4</v>
      </c>
    </row>
    <row r="3205" spans="1:17" ht="12" customHeight="1" x14ac:dyDescent="0.35">
      <c r="A3205" s="75">
        <v>3204</v>
      </c>
      <c r="B3205" s="64">
        <v>2019</v>
      </c>
      <c r="C3205" s="64">
        <v>8</v>
      </c>
      <c r="D3205" s="80">
        <f t="shared" si="103"/>
        <v>2019</v>
      </c>
      <c r="E3205" t="s">
        <v>38</v>
      </c>
      <c r="F3205" t="s">
        <v>143</v>
      </c>
      <c r="G3205" t="s">
        <v>10</v>
      </c>
      <c r="H3205" s="72">
        <v>826</v>
      </c>
      <c r="I3205" s="72" t="s">
        <v>59</v>
      </c>
      <c r="J3205" t="str">
        <f t="shared" si="104"/>
        <v>Cascade River</v>
      </c>
      <c r="K3205" t="str">
        <f>IFERROR(VLOOKUP(J3205,LUTs!$A$1:$C$73,2,FALSE),"NA")</f>
        <v>Skagit</v>
      </c>
      <c r="L3205" t="str">
        <f>IFERROR(VLOOKUP(J3205,LUTs!$A$1:$C$73,3,FALSE),"NA")</f>
        <v>1North Puget Sound</v>
      </c>
      <c r="M3205" s="72" t="s">
        <v>15</v>
      </c>
      <c r="N3205" t="str">
        <f>VLOOKUP(M3205,LUTs!E$2:H$14,3,)</f>
        <v>02Skagit</v>
      </c>
      <c r="O3205" t="str">
        <f>VLOOKUP(M3205,LUTs!E$2:H$14,4,)</f>
        <v>01North Puget Sound</v>
      </c>
      <c r="P3205" s="73">
        <v>10</v>
      </c>
      <c r="Q3205" s="74">
        <f>VLOOKUP(B3205,Readme!A$40:C$51,2,)*P3205</f>
        <v>34.4</v>
      </c>
    </row>
    <row r="3206" spans="1:17" ht="12" customHeight="1" x14ac:dyDescent="0.35">
      <c r="A3206" s="75">
        <v>3205</v>
      </c>
      <c r="B3206" s="64">
        <v>2019</v>
      </c>
      <c r="C3206" s="64">
        <v>9</v>
      </c>
      <c r="D3206" s="80">
        <f t="shared" si="103"/>
        <v>2019</v>
      </c>
      <c r="E3206" t="s">
        <v>38</v>
      </c>
      <c r="F3206" t="s">
        <v>143</v>
      </c>
      <c r="G3206" t="s">
        <v>10</v>
      </c>
      <c r="H3206" s="72">
        <v>826</v>
      </c>
      <c r="I3206" s="72" t="s">
        <v>59</v>
      </c>
      <c r="J3206" t="str">
        <f t="shared" si="104"/>
        <v>Cascade River</v>
      </c>
      <c r="K3206" t="str">
        <f>IFERROR(VLOOKUP(J3206,LUTs!$A$1:$C$73,2,FALSE),"NA")</f>
        <v>Skagit</v>
      </c>
      <c r="L3206" t="str">
        <f>IFERROR(VLOOKUP(J3206,LUTs!$A$1:$C$73,3,FALSE),"NA")</f>
        <v>1North Puget Sound</v>
      </c>
      <c r="M3206" s="72" t="s">
        <v>17</v>
      </c>
      <c r="N3206" t="str">
        <f>VLOOKUP(M3206,LUTs!E$2:H$14,3,)</f>
        <v>04Island</v>
      </c>
      <c r="O3206" t="str">
        <f>VLOOKUP(M3206,LUTs!E$2:H$14,4,)</f>
        <v>01North Puget Sound</v>
      </c>
      <c r="P3206" s="73">
        <v>41.729729729729698</v>
      </c>
      <c r="Q3206" s="74">
        <f>VLOOKUP(B3206,Readme!A$40:C$51,2,)*P3206</f>
        <v>143.55027027027015</v>
      </c>
    </row>
    <row r="3207" spans="1:17" ht="12" customHeight="1" x14ac:dyDescent="0.35">
      <c r="A3207" s="75">
        <v>3206</v>
      </c>
      <c r="B3207" s="64">
        <v>2019</v>
      </c>
      <c r="C3207" s="64">
        <v>9</v>
      </c>
      <c r="D3207" s="80">
        <f t="shared" si="103"/>
        <v>2019</v>
      </c>
      <c r="E3207" t="s">
        <v>38</v>
      </c>
      <c r="F3207" t="s">
        <v>143</v>
      </c>
      <c r="G3207" t="s">
        <v>10</v>
      </c>
      <c r="H3207" s="72">
        <v>826</v>
      </c>
      <c r="I3207" s="72" t="s">
        <v>59</v>
      </c>
      <c r="J3207" t="str">
        <f t="shared" si="104"/>
        <v>Cascade River</v>
      </c>
      <c r="K3207" t="str">
        <f>IFERROR(VLOOKUP(J3207,LUTs!$A$1:$C$73,2,FALSE),"NA")</f>
        <v>Skagit</v>
      </c>
      <c r="L3207" t="str">
        <f>IFERROR(VLOOKUP(J3207,LUTs!$A$1:$C$73,3,FALSE),"NA")</f>
        <v>1North Puget Sound</v>
      </c>
      <c r="M3207" s="72" t="s">
        <v>18</v>
      </c>
      <c r="N3207" t="str">
        <f>VLOOKUP(M3207,LUTs!E$2:H$14,3,)</f>
        <v>06King</v>
      </c>
      <c r="O3207" t="str">
        <f>VLOOKUP(M3207,LUTs!E$2:H$14,4,)</f>
        <v>02South Puget Sound</v>
      </c>
      <c r="P3207" s="73">
        <v>125.18918918918899</v>
      </c>
      <c r="Q3207" s="74">
        <f>VLOOKUP(B3207,Readme!A$40:C$51,2,)*P3207</f>
        <v>430.65081081081013</v>
      </c>
    </row>
    <row r="3208" spans="1:17" ht="12" customHeight="1" x14ac:dyDescent="0.35">
      <c r="A3208" s="75">
        <v>3207</v>
      </c>
      <c r="B3208" s="64">
        <v>2019</v>
      </c>
      <c r="C3208" s="64">
        <v>9</v>
      </c>
      <c r="D3208" s="80">
        <f t="shared" si="103"/>
        <v>2019</v>
      </c>
      <c r="E3208" t="s">
        <v>38</v>
      </c>
      <c r="F3208" t="s">
        <v>143</v>
      </c>
      <c r="G3208" t="s">
        <v>10</v>
      </c>
      <c r="H3208" s="72">
        <v>826</v>
      </c>
      <c r="I3208" s="72" t="s">
        <v>59</v>
      </c>
      <c r="J3208" t="str">
        <f t="shared" si="104"/>
        <v>Cascade River</v>
      </c>
      <c r="K3208" t="str">
        <f>IFERROR(VLOOKUP(J3208,LUTs!$A$1:$C$73,2,FALSE),"NA")</f>
        <v>Skagit</v>
      </c>
      <c r="L3208" t="str">
        <f>IFERROR(VLOOKUP(J3208,LUTs!$A$1:$C$73,3,FALSE),"NA")</f>
        <v>1North Puget Sound</v>
      </c>
      <c r="M3208" s="72" t="s">
        <v>20</v>
      </c>
      <c r="N3208" t="str">
        <f>VLOOKUP(M3208,LUTs!E$2:H$14,3,)</f>
        <v>07Pierce</v>
      </c>
      <c r="O3208" t="str">
        <f>VLOOKUP(M3208,LUTs!E$2:H$14,4,)</f>
        <v>02South Puget Sound</v>
      </c>
      <c r="P3208" s="73">
        <v>10.4324324324324</v>
      </c>
      <c r="Q3208" s="74">
        <f>VLOOKUP(B3208,Readme!A$40:C$51,2,)*P3208</f>
        <v>35.887567567567451</v>
      </c>
    </row>
    <row r="3209" spans="1:17" ht="12" customHeight="1" x14ac:dyDescent="0.35">
      <c r="A3209" s="75">
        <v>3208</v>
      </c>
      <c r="B3209" s="64">
        <v>2019</v>
      </c>
      <c r="C3209" s="64">
        <v>9</v>
      </c>
      <c r="D3209" s="80">
        <f t="shared" si="103"/>
        <v>2019</v>
      </c>
      <c r="E3209" t="s">
        <v>38</v>
      </c>
      <c r="F3209" t="s">
        <v>143</v>
      </c>
      <c r="G3209" t="s">
        <v>10</v>
      </c>
      <c r="H3209" s="72">
        <v>826</v>
      </c>
      <c r="I3209" s="72" t="s">
        <v>59</v>
      </c>
      <c r="J3209" t="str">
        <f t="shared" si="104"/>
        <v>Cascade River</v>
      </c>
      <c r="K3209" t="str">
        <f>IFERROR(VLOOKUP(J3209,LUTs!$A$1:$C$73,2,FALSE),"NA")</f>
        <v>Skagit</v>
      </c>
      <c r="L3209" t="str">
        <f>IFERROR(VLOOKUP(J3209,LUTs!$A$1:$C$73,3,FALSE),"NA")</f>
        <v>1North Puget Sound</v>
      </c>
      <c r="M3209" s="72" t="s">
        <v>15</v>
      </c>
      <c r="N3209" t="str">
        <f>VLOOKUP(M3209,LUTs!E$2:H$14,3,)</f>
        <v>02Skagit</v>
      </c>
      <c r="O3209" t="str">
        <f>VLOOKUP(M3209,LUTs!E$2:H$14,4,)</f>
        <v>01North Puget Sound</v>
      </c>
      <c r="P3209" s="73">
        <v>354.70270270270299</v>
      </c>
      <c r="Q3209" s="74">
        <f>VLOOKUP(B3209,Readme!A$40:C$51,2,)*P3209</f>
        <v>1220.1772972972983</v>
      </c>
    </row>
    <row r="3210" spans="1:17" ht="12" customHeight="1" x14ac:dyDescent="0.35">
      <c r="A3210" s="75">
        <v>3209</v>
      </c>
      <c r="B3210" s="64">
        <v>2019</v>
      </c>
      <c r="C3210" s="64">
        <v>9</v>
      </c>
      <c r="D3210" s="80">
        <f t="shared" si="103"/>
        <v>2019</v>
      </c>
      <c r="E3210" t="s">
        <v>38</v>
      </c>
      <c r="F3210" t="s">
        <v>143</v>
      </c>
      <c r="G3210" t="s">
        <v>10</v>
      </c>
      <c r="H3210" s="72">
        <v>826</v>
      </c>
      <c r="I3210" s="72" t="s">
        <v>59</v>
      </c>
      <c r="J3210" t="str">
        <f t="shared" si="104"/>
        <v>Cascade River</v>
      </c>
      <c r="K3210" t="str">
        <f>IFERROR(VLOOKUP(J3210,LUTs!$A$1:$C$73,2,FALSE),"NA")</f>
        <v>Skagit</v>
      </c>
      <c r="L3210" t="str">
        <f>IFERROR(VLOOKUP(J3210,LUTs!$A$1:$C$73,3,FALSE),"NA")</f>
        <v>1North Puget Sound</v>
      </c>
      <c r="M3210" s="72" t="s">
        <v>16</v>
      </c>
      <c r="N3210" t="str">
        <f>VLOOKUP(M3210,LUTs!E$2:H$14,3,)</f>
        <v>03Snohomish</v>
      </c>
      <c r="O3210" t="str">
        <f>VLOOKUP(M3210,LUTs!E$2:H$14,4,)</f>
        <v>01North Puget Sound</v>
      </c>
      <c r="P3210" s="73">
        <v>239.94594594594599</v>
      </c>
      <c r="Q3210" s="74">
        <f>VLOOKUP(B3210,Readme!A$40:C$51,2,)*P3210</f>
        <v>825.41405405405419</v>
      </c>
    </row>
    <row r="3211" spans="1:17" ht="12" customHeight="1" x14ac:dyDescent="0.35">
      <c r="A3211" s="75">
        <v>3210</v>
      </c>
      <c r="B3211" s="64">
        <v>2019</v>
      </c>
      <c r="C3211" s="64">
        <v>10</v>
      </c>
      <c r="D3211" s="80">
        <f t="shared" si="103"/>
        <v>2019</v>
      </c>
      <c r="E3211" t="s">
        <v>38</v>
      </c>
      <c r="F3211" t="s">
        <v>143</v>
      </c>
      <c r="G3211" t="s">
        <v>10</v>
      </c>
      <c r="H3211" s="72">
        <v>826</v>
      </c>
      <c r="I3211" s="72" t="s">
        <v>59</v>
      </c>
      <c r="J3211" t="str">
        <f t="shared" si="104"/>
        <v>Cascade River</v>
      </c>
      <c r="K3211" t="str">
        <f>IFERROR(VLOOKUP(J3211,LUTs!$A$1:$C$73,2,FALSE),"NA")</f>
        <v>Skagit</v>
      </c>
      <c r="L3211" t="str">
        <f>IFERROR(VLOOKUP(J3211,LUTs!$A$1:$C$73,3,FALSE),"NA")</f>
        <v>1North Puget Sound</v>
      </c>
      <c r="M3211" s="72" t="s">
        <v>17</v>
      </c>
      <c r="N3211" t="str">
        <f>VLOOKUP(M3211,LUTs!E$2:H$14,3,)</f>
        <v>04Island</v>
      </c>
      <c r="O3211" t="str">
        <f>VLOOKUP(M3211,LUTs!E$2:H$14,4,)</f>
        <v>01North Puget Sound</v>
      </c>
      <c r="P3211" s="73">
        <v>20.8507462686567</v>
      </c>
      <c r="Q3211" s="74">
        <f>VLOOKUP(B3211,Readme!A$40:C$51,2,)*P3211</f>
        <v>71.726567164179045</v>
      </c>
    </row>
    <row r="3212" spans="1:17" ht="12" customHeight="1" x14ac:dyDescent="0.35">
      <c r="A3212" s="75">
        <v>3211</v>
      </c>
      <c r="B3212" s="64">
        <v>2019</v>
      </c>
      <c r="C3212" s="64">
        <v>10</v>
      </c>
      <c r="D3212" s="80">
        <f t="shared" si="103"/>
        <v>2019</v>
      </c>
      <c r="E3212" t="s">
        <v>38</v>
      </c>
      <c r="F3212" t="s">
        <v>143</v>
      </c>
      <c r="G3212" t="s">
        <v>10</v>
      </c>
      <c r="H3212" s="72">
        <v>826</v>
      </c>
      <c r="I3212" s="72" t="s">
        <v>59</v>
      </c>
      <c r="J3212" t="str">
        <f t="shared" si="104"/>
        <v>Cascade River</v>
      </c>
      <c r="K3212" t="str">
        <f>IFERROR(VLOOKUP(J3212,LUTs!$A$1:$C$73,2,FALSE),"NA")</f>
        <v>Skagit</v>
      </c>
      <c r="L3212" t="str">
        <f>IFERROR(VLOOKUP(J3212,LUTs!$A$1:$C$73,3,FALSE),"NA")</f>
        <v>1North Puget Sound</v>
      </c>
      <c r="M3212" s="72" t="s">
        <v>18</v>
      </c>
      <c r="N3212" t="str">
        <f>VLOOKUP(M3212,LUTs!E$2:H$14,3,)</f>
        <v>06King</v>
      </c>
      <c r="O3212" t="str">
        <f>VLOOKUP(M3212,LUTs!E$2:H$14,4,)</f>
        <v>02South Puget Sound</v>
      </c>
      <c r="P3212" s="73">
        <v>260.63432835820902</v>
      </c>
      <c r="Q3212" s="74">
        <f>VLOOKUP(B3212,Readme!A$40:C$51,2,)*P3212</f>
        <v>896.58208955223904</v>
      </c>
    </row>
    <row r="3213" spans="1:17" ht="12" customHeight="1" x14ac:dyDescent="0.35">
      <c r="A3213" s="75">
        <v>3212</v>
      </c>
      <c r="B3213" s="64">
        <v>2019</v>
      </c>
      <c r="C3213" s="64">
        <v>10</v>
      </c>
      <c r="D3213" s="80">
        <f t="shared" si="103"/>
        <v>2019</v>
      </c>
      <c r="E3213" t="s">
        <v>38</v>
      </c>
      <c r="F3213" t="s">
        <v>143</v>
      </c>
      <c r="G3213" t="s">
        <v>10</v>
      </c>
      <c r="H3213" s="72">
        <v>826</v>
      </c>
      <c r="I3213" s="72" t="s">
        <v>59</v>
      </c>
      <c r="J3213" t="str">
        <f t="shared" si="104"/>
        <v>Cascade River</v>
      </c>
      <c r="K3213" t="str">
        <f>IFERROR(VLOOKUP(J3213,LUTs!$A$1:$C$73,2,FALSE),"NA")</f>
        <v>Skagit</v>
      </c>
      <c r="L3213" t="str">
        <f>IFERROR(VLOOKUP(J3213,LUTs!$A$1:$C$73,3,FALSE),"NA")</f>
        <v>1North Puget Sound</v>
      </c>
      <c r="M3213" s="72" t="s">
        <v>26</v>
      </c>
      <c r="N3213" t="str">
        <f>VLOOKUP(M3213,LUTs!E$2:H$14,3,)</f>
        <v>20Other</v>
      </c>
      <c r="O3213" t="str">
        <f>VLOOKUP(M3213,LUTs!E$2:H$14,4,)</f>
        <v>07Non Puget Sound</v>
      </c>
      <c r="P3213" s="73">
        <v>125.10447761194</v>
      </c>
      <c r="Q3213" s="74">
        <f>VLOOKUP(B3213,Readme!A$40:C$51,2,)*P3213</f>
        <v>430.35940298507359</v>
      </c>
    </row>
    <row r="3214" spans="1:17" ht="12" customHeight="1" x14ac:dyDescent="0.35">
      <c r="A3214" s="75">
        <v>3213</v>
      </c>
      <c r="B3214" s="64">
        <v>2019</v>
      </c>
      <c r="C3214" s="64">
        <v>10</v>
      </c>
      <c r="D3214" s="80">
        <f t="shared" si="103"/>
        <v>2019</v>
      </c>
      <c r="E3214" t="s">
        <v>38</v>
      </c>
      <c r="F3214" t="s">
        <v>143</v>
      </c>
      <c r="G3214" t="s">
        <v>10</v>
      </c>
      <c r="H3214" s="72">
        <v>826</v>
      </c>
      <c r="I3214" s="72" t="s">
        <v>59</v>
      </c>
      <c r="J3214" t="str">
        <f t="shared" si="104"/>
        <v>Cascade River</v>
      </c>
      <c r="K3214" t="str">
        <f>IFERROR(VLOOKUP(J3214,LUTs!$A$1:$C$73,2,FALSE),"NA")</f>
        <v>Skagit</v>
      </c>
      <c r="L3214" t="str">
        <f>IFERROR(VLOOKUP(J3214,LUTs!$A$1:$C$73,3,FALSE),"NA")</f>
        <v>1North Puget Sound</v>
      </c>
      <c r="M3214" s="72" t="s">
        <v>20</v>
      </c>
      <c r="N3214" t="str">
        <f>VLOOKUP(M3214,LUTs!E$2:H$14,3,)</f>
        <v>07Pierce</v>
      </c>
      <c r="O3214" t="str">
        <f>VLOOKUP(M3214,LUTs!E$2:H$14,4,)</f>
        <v>02South Puget Sound</v>
      </c>
      <c r="P3214" s="73">
        <v>20.8507462686567</v>
      </c>
      <c r="Q3214" s="74">
        <f>VLOOKUP(B3214,Readme!A$40:C$51,2,)*P3214</f>
        <v>71.726567164179045</v>
      </c>
    </row>
    <row r="3215" spans="1:17" ht="12" customHeight="1" x14ac:dyDescent="0.35">
      <c r="A3215" s="75">
        <v>3214</v>
      </c>
      <c r="B3215" s="64">
        <v>2019</v>
      </c>
      <c r="C3215" s="64">
        <v>10</v>
      </c>
      <c r="D3215" s="80">
        <f t="shared" si="103"/>
        <v>2019</v>
      </c>
      <c r="E3215" t="s">
        <v>38</v>
      </c>
      <c r="F3215" t="s">
        <v>143</v>
      </c>
      <c r="G3215" t="s">
        <v>10</v>
      </c>
      <c r="H3215" s="72">
        <v>826</v>
      </c>
      <c r="I3215" s="72" t="s">
        <v>59</v>
      </c>
      <c r="J3215" t="str">
        <f t="shared" si="104"/>
        <v>Cascade River</v>
      </c>
      <c r="K3215" t="str">
        <f>IFERROR(VLOOKUP(J3215,LUTs!$A$1:$C$73,2,FALSE),"NA")</f>
        <v>Skagit</v>
      </c>
      <c r="L3215" t="str">
        <f>IFERROR(VLOOKUP(J3215,LUTs!$A$1:$C$73,3,FALSE),"NA")</f>
        <v>1North Puget Sound</v>
      </c>
      <c r="M3215" s="72" t="s">
        <v>30</v>
      </c>
      <c r="N3215" t="str">
        <f>VLOOKUP(M3215,LUTs!E$2:H$14,3,)</f>
        <v>05San Juan</v>
      </c>
      <c r="O3215" t="str">
        <f>VLOOKUP(M3215,LUTs!E$2:H$14,4,)</f>
        <v>01North Puget Sound</v>
      </c>
      <c r="P3215" s="73">
        <v>20.8507462686567</v>
      </c>
      <c r="Q3215" s="74">
        <f>VLOOKUP(B3215,Readme!A$40:C$51,2,)*P3215</f>
        <v>71.726567164179045</v>
      </c>
    </row>
    <row r="3216" spans="1:17" ht="12" customHeight="1" x14ac:dyDescent="0.35">
      <c r="A3216" s="75">
        <v>3215</v>
      </c>
      <c r="B3216" s="64">
        <v>2019</v>
      </c>
      <c r="C3216" s="64">
        <v>10</v>
      </c>
      <c r="D3216" s="80">
        <f t="shared" si="103"/>
        <v>2019</v>
      </c>
      <c r="E3216" t="s">
        <v>38</v>
      </c>
      <c r="F3216" t="s">
        <v>143</v>
      </c>
      <c r="G3216" t="s">
        <v>10</v>
      </c>
      <c r="H3216" s="72">
        <v>826</v>
      </c>
      <c r="I3216" s="72" t="s">
        <v>59</v>
      </c>
      <c r="J3216" t="str">
        <f t="shared" si="104"/>
        <v>Cascade River</v>
      </c>
      <c r="K3216" t="str">
        <f>IFERROR(VLOOKUP(J3216,LUTs!$A$1:$C$73,2,FALSE),"NA")</f>
        <v>Skagit</v>
      </c>
      <c r="L3216" t="str">
        <f>IFERROR(VLOOKUP(J3216,LUTs!$A$1:$C$73,3,FALSE),"NA")</f>
        <v>1North Puget Sound</v>
      </c>
      <c r="M3216" s="72" t="s">
        <v>15</v>
      </c>
      <c r="N3216" t="str">
        <f>VLOOKUP(M3216,LUTs!E$2:H$14,3,)</f>
        <v>02Skagit</v>
      </c>
      <c r="O3216" t="str">
        <f>VLOOKUP(M3216,LUTs!E$2:H$14,4,)</f>
        <v>01North Puget Sound</v>
      </c>
      <c r="P3216" s="73">
        <v>667.22388059701495</v>
      </c>
      <c r="Q3216" s="74">
        <f>VLOOKUP(B3216,Readme!A$40:C$51,2,)*P3216</f>
        <v>2295.2501492537313</v>
      </c>
    </row>
    <row r="3217" spans="1:17" ht="12" customHeight="1" x14ac:dyDescent="0.35">
      <c r="A3217" s="75">
        <v>3216</v>
      </c>
      <c r="B3217" s="64">
        <v>2019</v>
      </c>
      <c r="C3217" s="64">
        <v>10</v>
      </c>
      <c r="D3217" s="80">
        <f t="shared" si="103"/>
        <v>2019</v>
      </c>
      <c r="E3217" t="s">
        <v>38</v>
      </c>
      <c r="F3217" t="s">
        <v>143</v>
      </c>
      <c r="G3217" t="s">
        <v>10</v>
      </c>
      <c r="H3217" s="72">
        <v>826</v>
      </c>
      <c r="I3217" s="72" t="s">
        <v>59</v>
      </c>
      <c r="J3217" t="str">
        <f t="shared" si="104"/>
        <v>Cascade River</v>
      </c>
      <c r="K3217" t="str">
        <f>IFERROR(VLOOKUP(J3217,LUTs!$A$1:$C$73,2,FALSE),"NA")</f>
        <v>Skagit</v>
      </c>
      <c r="L3217" t="str">
        <f>IFERROR(VLOOKUP(J3217,LUTs!$A$1:$C$73,3,FALSE),"NA")</f>
        <v>1North Puget Sound</v>
      </c>
      <c r="M3217" s="72" t="s">
        <v>16</v>
      </c>
      <c r="N3217" t="str">
        <f>VLOOKUP(M3217,LUTs!E$2:H$14,3,)</f>
        <v>03Snohomish</v>
      </c>
      <c r="O3217" t="str">
        <f>VLOOKUP(M3217,LUTs!E$2:H$14,4,)</f>
        <v>01North Puget Sound</v>
      </c>
      <c r="P3217" s="73">
        <v>281.48507462686598</v>
      </c>
      <c r="Q3217" s="74">
        <f>VLOOKUP(B3217,Readme!A$40:C$51,2,)*P3217</f>
        <v>968.30865671641891</v>
      </c>
    </row>
    <row r="3218" spans="1:17" ht="12" customHeight="1" x14ac:dyDescent="0.35">
      <c r="A3218" s="75">
        <v>3217</v>
      </c>
      <c r="B3218" s="64">
        <v>2019</v>
      </c>
      <c r="C3218" s="64">
        <v>11</v>
      </c>
      <c r="D3218" s="80">
        <f t="shared" si="103"/>
        <v>2019</v>
      </c>
      <c r="E3218" t="s">
        <v>38</v>
      </c>
      <c r="F3218" t="s">
        <v>143</v>
      </c>
      <c r="G3218" t="s">
        <v>10</v>
      </c>
      <c r="H3218" s="72">
        <v>826</v>
      </c>
      <c r="I3218" s="72" t="s">
        <v>59</v>
      </c>
      <c r="J3218" t="str">
        <f t="shared" si="104"/>
        <v>Cascade River</v>
      </c>
      <c r="K3218" t="str">
        <f>IFERROR(VLOOKUP(J3218,LUTs!$A$1:$C$73,2,FALSE),"NA")</f>
        <v>Skagit</v>
      </c>
      <c r="L3218" t="str">
        <f>IFERROR(VLOOKUP(J3218,LUTs!$A$1:$C$73,3,FALSE),"NA")</f>
        <v>1North Puget Sound</v>
      </c>
      <c r="M3218" s="72" t="s">
        <v>15</v>
      </c>
      <c r="N3218" t="str">
        <f>VLOOKUP(M3218,LUTs!E$2:H$14,3,)</f>
        <v>02Skagit</v>
      </c>
      <c r="O3218" t="str">
        <f>VLOOKUP(M3218,LUTs!E$2:H$14,4,)</f>
        <v>01North Puget Sound</v>
      </c>
      <c r="P3218" s="73">
        <v>31.5</v>
      </c>
      <c r="Q3218" s="74">
        <f>VLOOKUP(B3218,Readme!A$40:C$51,2,)*P3218</f>
        <v>108.36</v>
      </c>
    </row>
    <row r="3219" spans="1:17" ht="12" customHeight="1" x14ac:dyDescent="0.35">
      <c r="A3219" s="75">
        <v>3218</v>
      </c>
      <c r="B3219" s="64">
        <v>2019</v>
      </c>
      <c r="C3219" s="64">
        <v>11</v>
      </c>
      <c r="D3219" s="80">
        <f t="shared" si="103"/>
        <v>2019</v>
      </c>
      <c r="E3219" t="s">
        <v>38</v>
      </c>
      <c r="F3219" t="s">
        <v>143</v>
      </c>
      <c r="G3219" t="s">
        <v>10</v>
      </c>
      <c r="H3219" s="72">
        <v>826</v>
      </c>
      <c r="I3219" s="72" t="s">
        <v>59</v>
      </c>
      <c r="J3219" t="str">
        <f t="shared" si="104"/>
        <v>Cascade River</v>
      </c>
      <c r="K3219" t="str">
        <f>IFERROR(VLOOKUP(J3219,LUTs!$A$1:$C$73,2,FALSE),"NA")</f>
        <v>Skagit</v>
      </c>
      <c r="L3219" t="str">
        <f>IFERROR(VLOOKUP(J3219,LUTs!$A$1:$C$73,3,FALSE),"NA")</f>
        <v>1North Puget Sound</v>
      </c>
      <c r="M3219" s="72" t="s">
        <v>16</v>
      </c>
      <c r="N3219" t="str">
        <f>VLOOKUP(M3219,LUTs!E$2:H$14,3,)</f>
        <v>03Snohomish</v>
      </c>
      <c r="O3219" t="str">
        <f>VLOOKUP(M3219,LUTs!E$2:H$14,4,)</f>
        <v>01North Puget Sound</v>
      </c>
      <c r="P3219" s="73">
        <v>10.5</v>
      </c>
      <c r="Q3219" s="74">
        <f>VLOOKUP(B3219,Readme!A$40:C$51,2,)*P3219</f>
        <v>36.119999999999997</v>
      </c>
    </row>
    <row r="3220" spans="1:17" ht="12" customHeight="1" x14ac:dyDescent="0.35">
      <c r="A3220" s="75">
        <v>3219</v>
      </c>
      <c r="B3220" s="64">
        <v>2019</v>
      </c>
      <c r="C3220" s="64">
        <v>6</v>
      </c>
      <c r="D3220" s="80">
        <f t="shared" si="103"/>
        <v>2019</v>
      </c>
      <c r="E3220" t="s">
        <v>38</v>
      </c>
      <c r="F3220" t="s">
        <v>143</v>
      </c>
      <c r="G3220" t="s">
        <v>10</v>
      </c>
      <c r="H3220" s="72">
        <v>830</v>
      </c>
      <c r="I3220" s="72" t="s">
        <v>60</v>
      </c>
      <c r="J3220" t="str">
        <f t="shared" si="104"/>
        <v>Skagit River</v>
      </c>
      <c r="K3220" t="str">
        <f>IFERROR(VLOOKUP(J3220,LUTs!$A$1:$C$73,2,FALSE),"NA")</f>
        <v>Skagit/Whatcom</v>
      </c>
      <c r="L3220" t="str">
        <f>IFERROR(VLOOKUP(J3220,LUTs!$A$1:$C$73,3,FALSE),"NA")</f>
        <v>2Central Puget Sound</v>
      </c>
      <c r="M3220" s="72" t="s">
        <v>18</v>
      </c>
      <c r="N3220" t="str">
        <f>VLOOKUP(M3220,LUTs!E$2:H$14,3,)</f>
        <v>06King</v>
      </c>
      <c r="O3220" t="str">
        <f>VLOOKUP(M3220,LUTs!E$2:H$14,4,)</f>
        <v>02South Puget Sound</v>
      </c>
      <c r="P3220" s="73">
        <v>31</v>
      </c>
      <c r="Q3220" s="74">
        <f>VLOOKUP(B3220,Readme!A$40:C$51,2,)*P3220</f>
        <v>106.64</v>
      </c>
    </row>
    <row r="3221" spans="1:17" ht="12" customHeight="1" x14ac:dyDescent="0.35">
      <c r="A3221" s="75">
        <v>3220</v>
      </c>
      <c r="B3221" s="64">
        <v>2019</v>
      </c>
      <c r="C3221" s="64">
        <v>6</v>
      </c>
      <c r="D3221" s="80">
        <f t="shared" si="103"/>
        <v>2019</v>
      </c>
      <c r="E3221" t="s">
        <v>38</v>
      </c>
      <c r="F3221" t="s">
        <v>143</v>
      </c>
      <c r="G3221" t="s">
        <v>10</v>
      </c>
      <c r="H3221" s="72">
        <v>830</v>
      </c>
      <c r="I3221" s="72" t="s">
        <v>60</v>
      </c>
      <c r="J3221" t="str">
        <f t="shared" si="104"/>
        <v>Skagit River</v>
      </c>
      <c r="K3221" t="str">
        <f>IFERROR(VLOOKUP(J3221,LUTs!$A$1:$C$73,2,FALSE),"NA")</f>
        <v>Skagit/Whatcom</v>
      </c>
      <c r="L3221" t="str">
        <f>IFERROR(VLOOKUP(J3221,LUTs!$A$1:$C$73,3,FALSE),"NA")</f>
        <v>2Central Puget Sound</v>
      </c>
      <c r="M3221" s="72" t="s">
        <v>15</v>
      </c>
      <c r="N3221" t="str">
        <f>VLOOKUP(M3221,LUTs!E$2:H$14,3,)</f>
        <v>02Skagit</v>
      </c>
      <c r="O3221" t="str">
        <f>VLOOKUP(M3221,LUTs!E$2:H$14,4,)</f>
        <v>01North Puget Sound</v>
      </c>
      <c r="P3221" s="73">
        <v>51.6666666666667</v>
      </c>
      <c r="Q3221" s="74">
        <f>VLOOKUP(B3221,Readme!A$40:C$51,2,)*P3221</f>
        <v>177.73333333333343</v>
      </c>
    </row>
    <row r="3222" spans="1:17" ht="12" customHeight="1" x14ac:dyDescent="0.35">
      <c r="A3222" s="75">
        <v>3221</v>
      </c>
      <c r="B3222" s="64">
        <v>2019</v>
      </c>
      <c r="C3222" s="64">
        <v>6</v>
      </c>
      <c r="D3222" s="80">
        <f t="shared" si="103"/>
        <v>2019</v>
      </c>
      <c r="E3222" t="s">
        <v>38</v>
      </c>
      <c r="F3222" t="s">
        <v>143</v>
      </c>
      <c r="G3222" t="s">
        <v>10</v>
      </c>
      <c r="H3222" s="72">
        <v>830</v>
      </c>
      <c r="I3222" s="72" t="s">
        <v>60</v>
      </c>
      <c r="J3222" t="str">
        <f t="shared" si="104"/>
        <v>Skagit River</v>
      </c>
      <c r="K3222" t="str">
        <f>IFERROR(VLOOKUP(J3222,LUTs!$A$1:$C$73,2,FALSE),"NA")</f>
        <v>Skagit/Whatcom</v>
      </c>
      <c r="L3222" t="str">
        <f>IFERROR(VLOOKUP(J3222,LUTs!$A$1:$C$73,3,FALSE),"NA")</f>
        <v>2Central Puget Sound</v>
      </c>
      <c r="M3222" s="72" t="s">
        <v>13</v>
      </c>
      <c r="N3222" t="str">
        <f>VLOOKUP(M3222,LUTs!E$2:H$14,3,)</f>
        <v>01Whatcom</v>
      </c>
      <c r="O3222" t="str">
        <f>VLOOKUP(M3222,LUTs!E$2:H$14,4,)</f>
        <v>01North Puget Sound</v>
      </c>
      <c r="P3222" s="73">
        <v>10.3333333333333</v>
      </c>
      <c r="Q3222" s="74">
        <f>VLOOKUP(B3222,Readme!A$40:C$51,2,)*P3222</f>
        <v>35.546666666666553</v>
      </c>
    </row>
    <row r="3223" spans="1:17" ht="12" customHeight="1" x14ac:dyDescent="0.35">
      <c r="A3223" s="75">
        <v>3222</v>
      </c>
      <c r="B3223" s="64">
        <v>2019</v>
      </c>
      <c r="C3223" s="64">
        <v>7</v>
      </c>
      <c r="D3223" s="80">
        <f t="shared" si="103"/>
        <v>2019</v>
      </c>
      <c r="E3223" t="s">
        <v>38</v>
      </c>
      <c r="F3223" t="s">
        <v>143</v>
      </c>
      <c r="G3223" t="s">
        <v>10</v>
      </c>
      <c r="H3223" s="72">
        <v>830</v>
      </c>
      <c r="I3223" s="72" t="s">
        <v>60</v>
      </c>
      <c r="J3223" t="str">
        <f t="shared" si="104"/>
        <v>Skagit River</v>
      </c>
      <c r="K3223" t="str">
        <f>IFERROR(VLOOKUP(J3223,LUTs!$A$1:$C$73,2,FALSE),"NA")</f>
        <v>Skagit/Whatcom</v>
      </c>
      <c r="L3223" t="str">
        <f>IFERROR(VLOOKUP(J3223,LUTs!$A$1:$C$73,3,FALSE),"NA")</f>
        <v>2Central Puget Sound</v>
      </c>
      <c r="M3223" s="72" t="s">
        <v>17</v>
      </c>
      <c r="N3223" t="str">
        <f>VLOOKUP(M3223,LUTs!E$2:H$14,3,)</f>
        <v>04Island</v>
      </c>
      <c r="O3223" t="str">
        <f>VLOOKUP(M3223,LUTs!E$2:H$14,4,)</f>
        <v>01North Puget Sound</v>
      </c>
      <c r="P3223" s="73">
        <v>10.4285714285714</v>
      </c>
      <c r="Q3223" s="74">
        <f>VLOOKUP(B3223,Readme!A$40:C$51,2,)*P3223</f>
        <v>35.87428571428562</v>
      </c>
    </row>
    <row r="3224" spans="1:17" ht="12" customHeight="1" x14ac:dyDescent="0.35">
      <c r="A3224" s="75">
        <v>3223</v>
      </c>
      <c r="B3224" s="64">
        <v>2019</v>
      </c>
      <c r="C3224" s="64">
        <v>7</v>
      </c>
      <c r="D3224" s="80">
        <f t="shared" si="103"/>
        <v>2019</v>
      </c>
      <c r="E3224" t="s">
        <v>38</v>
      </c>
      <c r="F3224" t="s">
        <v>143</v>
      </c>
      <c r="G3224" t="s">
        <v>10</v>
      </c>
      <c r="H3224" s="72">
        <v>830</v>
      </c>
      <c r="I3224" s="72" t="s">
        <v>60</v>
      </c>
      <c r="J3224" t="str">
        <f t="shared" si="104"/>
        <v>Skagit River</v>
      </c>
      <c r="K3224" t="str">
        <f>IFERROR(VLOOKUP(J3224,LUTs!$A$1:$C$73,2,FALSE),"NA")</f>
        <v>Skagit/Whatcom</v>
      </c>
      <c r="L3224" t="str">
        <f>IFERROR(VLOOKUP(J3224,LUTs!$A$1:$C$73,3,FALSE),"NA")</f>
        <v>2Central Puget Sound</v>
      </c>
      <c r="M3224" s="72" t="s">
        <v>18</v>
      </c>
      <c r="N3224" t="str">
        <f>VLOOKUP(M3224,LUTs!E$2:H$14,3,)</f>
        <v>06King</v>
      </c>
      <c r="O3224" t="str">
        <f>VLOOKUP(M3224,LUTs!E$2:H$14,4,)</f>
        <v>02South Puget Sound</v>
      </c>
      <c r="P3224" s="73">
        <v>52.142857142857203</v>
      </c>
      <c r="Q3224" s="74">
        <f>VLOOKUP(B3224,Readme!A$40:C$51,2,)*P3224</f>
        <v>179.37142857142877</v>
      </c>
    </row>
    <row r="3225" spans="1:17" ht="12" customHeight="1" x14ac:dyDescent="0.35">
      <c r="A3225" s="75">
        <v>3224</v>
      </c>
      <c r="B3225" s="64">
        <v>2019</v>
      </c>
      <c r="C3225" s="64">
        <v>7</v>
      </c>
      <c r="D3225" s="80">
        <f t="shared" si="103"/>
        <v>2019</v>
      </c>
      <c r="E3225" t="s">
        <v>38</v>
      </c>
      <c r="F3225" t="s">
        <v>143</v>
      </c>
      <c r="G3225" t="s">
        <v>10</v>
      </c>
      <c r="H3225" s="72">
        <v>830</v>
      </c>
      <c r="I3225" s="72" t="s">
        <v>60</v>
      </c>
      <c r="J3225" t="str">
        <f t="shared" si="104"/>
        <v>Skagit River</v>
      </c>
      <c r="K3225" t="str">
        <f>IFERROR(VLOOKUP(J3225,LUTs!$A$1:$C$73,2,FALSE),"NA")</f>
        <v>Skagit/Whatcom</v>
      </c>
      <c r="L3225" t="str">
        <f>IFERROR(VLOOKUP(J3225,LUTs!$A$1:$C$73,3,FALSE),"NA")</f>
        <v>2Central Puget Sound</v>
      </c>
      <c r="M3225" s="72" t="s">
        <v>26</v>
      </c>
      <c r="N3225" t="str">
        <f>VLOOKUP(M3225,LUTs!E$2:H$14,3,)</f>
        <v>20Other</v>
      </c>
      <c r="O3225" t="str">
        <f>VLOOKUP(M3225,LUTs!E$2:H$14,4,)</f>
        <v>07Non Puget Sound</v>
      </c>
      <c r="P3225" s="73">
        <v>20.8571428571429</v>
      </c>
      <c r="Q3225" s="74">
        <f>VLOOKUP(B3225,Readme!A$40:C$51,2,)*P3225</f>
        <v>71.74857142857158</v>
      </c>
    </row>
    <row r="3226" spans="1:17" ht="12" customHeight="1" x14ac:dyDescent="0.35">
      <c r="A3226" s="75">
        <v>3225</v>
      </c>
      <c r="B3226" s="64">
        <v>2019</v>
      </c>
      <c r="C3226" s="64">
        <v>7</v>
      </c>
      <c r="D3226" s="80">
        <f t="shared" si="103"/>
        <v>2019</v>
      </c>
      <c r="E3226" t="s">
        <v>38</v>
      </c>
      <c r="F3226" t="s">
        <v>143</v>
      </c>
      <c r="G3226" t="s">
        <v>10</v>
      </c>
      <c r="H3226" s="72">
        <v>830</v>
      </c>
      <c r="I3226" s="72" t="s">
        <v>60</v>
      </c>
      <c r="J3226" t="str">
        <f t="shared" si="104"/>
        <v>Skagit River</v>
      </c>
      <c r="K3226" t="str">
        <f>IFERROR(VLOOKUP(J3226,LUTs!$A$1:$C$73,2,FALSE),"NA")</f>
        <v>Skagit/Whatcom</v>
      </c>
      <c r="L3226" t="str">
        <f>IFERROR(VLOOKUP(J3226,LUTs!$A$1:$C$73,3,FALSE),"NA")</f>
        <v>2Central Puget Sound</v>
      </c>
      <c r="M3226" s="72" t="s">
        <v>15</v>
      </c>
      <c r="N3226" t="str">
        <f>VLOOKUP(M3226,LUTs!E$2:H$14,3,)</f>
        <v>02Skagit</v>
      </c>
      <c r="O3226" t="str">
        <f>VLOOKUP(M3226,LUTs!E$2:H$14,4,)</f>
        <v>01North Puget Sound</v>
      </c>
      <c r="P3226" s="73">
        <v>114.71428571428601</v>
      </c>
      <c r="Q3226" s="74">
        <f>VLOOKUP(B3226,Readme!A$40:C$51,2,)*P3226</f>
        <v>394.61714285714385</v>
      </c>
    </row>
    <row r="3227" spans="1:17" ht="12" customHeight="1" x14ac:dyDescent="0.35">
      <c r="A3227" s="75">
        <v>3226</v>
      </c>
      <c r="B3227" s="64">
        <v>2019</v>
      </c>
      <c r="C3227" s="64">
        <v>7</v>
      </c>
      <c r="D3227" s="80">
        <f t="shared" si="103"/>
        <v>2019</v>
      </c>
      <c r="E3227" t="s">
        <v>38</v>
      </c>
      <c r="F3227" t="s">
        <v>143</v>
      </c>
      <c r="G3227" t="s">
        <v>10</v>
      </c>
      <c r="H3227" s="72">
        <v>830</v>
      </c>
      <c r="I3227" s="72" t="s">
        <v>60</v>
      </c>
      <c r="J3227" t="str">
        <f t="shared" si="104"/>
        <v>Skagit River</v>
      </c>
      <c r="K3227" t="str">
        <f>IFERROR(VLOOKUP(J3227,LUTs!$A$1:$C$73,2,FALSE),"NA")</f>
        <v>Skagit/Whatcom</v>
      </c>
      <c r="L3227" t="str">
        <f>IFERROR(VLOOKUP(J3227,LUTs!$A$1:$C$73,3,FALSE),"NA")</f>
        <v>2Central Puget Sound</v>
      </c>
      <c r="M3227" s="72" t="s">
        <v>16</v>
      </c>
      <c r="N3227" t="str">
        <f>VLOOKUP(M3227,LUTs!E$2:H$14,3,)</f>
        <v>03Snohomish</v>
      </c>
      <c r="O3227" t="str">
        <f>VLOOKUP(M3227,LUTs!E$2:H$14,4,)</f>
        <v>01North Puget Sound</v>
      </c>
      <c r="P3227" s="73">
        <v>10.4285714285714</v>
      </c>
      <c r="Q3227" s="74">
        <f>VLOOKUP(B3227,Readme!A$40:C$51,2,)*P3227</f>
        <v>35.87428571428562</v>
      </c>
    </row>
    <row r="3228" spans="1:17" ht="12" customHeight="1" x14ac:dyDescent="0.35">
      <c r="A3228" s="75">
        <v>3227</v>
      </c>
      <c r="B3228" s="64">
        <v>2019</v>
      </c>
      <c r="C3228" s="64">
        <v>7</v>
      </c>
      <c r="D3228" s="80">
        <f t="shared" si="103"/>
        <v>2019</v>
      </c>
      <c r="E3228" t="s">
        <v>38</v>
      </c>
      <c r="F3228" t="s">
        <v>143</v>
      </c>
      <c r="G3228" t="s">
        <v>10</v>
      </c>
      <c r="H3228" s="72">
        <v>830</v>
      </c>
      <c r="I3228" s="72" t="s">
        <v>60</v>
      </c>
      <c r="J3228" t="str">
        <f t="shared" si="104"/>
        <v>Skagit River</v>
      </c>
      <c r="K3228" t="str">
        <f>IFERROR(VLOOKUP(J3228,LUTs!$A$1:$C$73,2,FALSE),"NA")</f>
        <v>Skagit/Whatcom</v>
      </c>
      <c r="L3228" t="str">
        <f>IFERROR(VLOOKUP(J3228,LUTs!$A$1:$C$73,3,FALSE),"NA")</f>
        <v>2Central Puget Sound</v>
      </c>
      <c r="M3228" s="72" t="s">
        <v>13</v>
      </c>
      <c r="N3228" t="str">
        <f>VLOOKUP(M3228,LUTs!E$2:H$14,3,)</f>
        <v>01Whatcom</v>
      </c>
      <c r="O3228" t="str">
        <f>VLOOKUP(M3228,LUTs!E$2:H$14,4,)</f>
        <v>01North Puget Sound</v>
      </c>
      <c r="P3228" s="73">
        <v>10.4285714285714</v>
      </c>
      <c r="Q3228" s="74">
        <f>VLOOKUP(B3228,Readme!A$40:C$51,2,)*P3228</f>
        <v>35.87428571428562</v>
      </c>
    </row>
    <row r="3229" spans="1:17" ht="12" customHeight="1" x14ac:dyDescent="0.35">
      <c r="A3229" s="75">
        <v>3228</v>
      </c>
      <c r="B3229" s="64">
        <v>2019</v>
      </c>
      <c r="C3229" s="64">
        <v>8</v>
      </c>
      <c r="D3229" s="80">
        <f t="shared" si="103"/>
        <v>2019</v>
      </c>
      <c r="E3229" t="s">
        <v>38</v>
      </c>
      <c r="F3229" t="s">
        <v>143</v>
      </c>
      <c r="G3229" t="s">
        <v>10</v>
      </c>
      <c r="H3229" s="72">
        <v>830</v>
      </c>
      <c r="I3229" s="72" t="s">
        <v>60</v>
      </c>
      <c r="J3229" t="str">
        <f t="shared" si="104"/>
        <v>Skagit River</v>
      </c>
      <c r="K3229" t="str">
        <f>IFERROR(VLOOKUP(J3229,LUTs!$A$1:$C$73,2,FALSE),"NA")</f>
        <v>Skagit/Whatcom</v>
      </c>
      <c r="L3229" t="str">
        <f>IFERROR(VLOOKUP(J3229,LUTs!$A$1:$C$73,3,FALSE),"NA")</f>
        <v>2Central Puget Sound</v>
      </c>
      <c r="M3229" s="72" t="s">
        <v>15</v>
      </c>
      <c r="N3229" t="str">
        <f>VLOOKUP(M3229,LUTs!E$2:H$14,3,)</f>
        <v>02Skagit</v>
      </c>
      <c r="O3229" t="str">
        <f>VLOOKUP(M3229,LUTs!E$2:H$14,4,)</f>
        <v>01North Puget Sound</v>
      </c>
      <c r="P3229" s="73">
        <v>94.5</v>
      </c>
      <c r="Q3229" s="74">
        <f>VLOOKUP(B3229,Readme!A$40:C$51,2,)*P3229</f>
        <v>325.08</v>
      </c>
    </row>
    <row r="3230" spans="1:17" ht="12" customHeight="1" x14ac:dyDescent="0.35">
      <c r="A3230" s="75">
        <v>3229</v>
      </c>
      <c r="B3230" s="64">
        <v>2019</v>
      </c>
      <c r="C3230" s="64">
        <v>8</v>
      </c>
      <c r="D3230" s="80">
        <f t="shared" si="103"/>
        <v>2019</v>
      </c>
      <c r="E3230" t="s">
        <v>38</v>
      </c>
      <c r="F3230" t="s">
        <v>143</v>
      </c>
      <c r="G3230" t="s">
        <v>10</v>
      </c>
      <c r="H3230" s="72">
        <v>830</v>
      </c>
      <c r="I3230" s="72" t="s">
        <v>60</v>
      </c>
      <c r="J3230" t="str">
        <f t="shared" si="104"/>
        <v>Skagit River</v>
      </c>
      <c r="K3230" t="str">
        <f>IFERROR(VLOOKUP(J3230,LUTs!$A$1:$C$73,2,FALSE),"NA")</f>
        <v>Skagit/Whatcom</v>
      </c>
      <c r="L3230" t="str">
        <f>IFERROR(VLOOKUP(J3230,LUTs!$A$1:$C$73,3,FALSE),"NA")</f>
        <v>2Central Puget Sound</v>
      </c>
      <c r="M3230" s="72" t="s">
        <v>16</v>
      </c>
      <c r="N3230" t="str">
        <f>VLOOKUP(M3230,LUTs!E$2:H$14,3,)</f>
        <v>03Snohomish</v>
      </c>
      <c r="O3230" t="str">
        <f>VLOOKUP(M3230,LUTs!E$2:H$14,4,)</f>
        <v>01North Puget Sound</v>
      </c>
      <c r="P3230" s="73">
        <v>10.5</v>
      </c>
      <c r="Q3230" s="74">
        <f>VLOOKUP(B3230,Readme!A$40:C$51,2,)*P3230</f>
        <v>36.119999999999997</v>
      </c>
    </row>
    <row r="3231" spans="1:17" ht="12" customHeight="1" x14ac:dyDescent="0.35">
      <c r="A3231" s="75">
        <v>3230</v>
      </c>
      <c r="B3231" s="64">
        <v>2019</v>
      </c>
      <c r="C3231" s="64">
        <v>9</v>
      </c>
      <c r="D3231" s="80">
        <f t="shared" si="103"/>
        <v>2019</v>
      </c>
      <c r="E3231" t="s">
        <v>38</v>
      </c>
      <c r="F3231" t="s">
        <v>143</v>
      </c>
      <c r="G3231" t="s">
        <v>10</v>
      </c>
      <c r="H3231" s="72">
        <v>830</v>
      </c>
      <c r="I3231" s="72" t="s">
        <v>60</v>
      </c>
      <c r="J3231" t="str">
        <f t="shared" si="104"/>
        <v>Skagit River</v>
      </c>
      <c r="K3231" t="str">
        <f>IFERROR(VLOOKUP(J3231,LUTs!$A$1:$C$73,2,FALSE),"NA")</f>
        <v>Skagit/Whatcom</v>
      </c>
      <c r="L3231" t="str">
        <f>IFERROR(VLOOKUP(J3231,LUTs!$A$1:$C$73,3,FALSE),"NA")</f>
        <v>2Central Puget Sound</v>
      </c>
      <c r="M3231" s="72" t="s">
        <v>17</v>
      </c>
      <c r="N3231" t="str">
        <f>VLOOKUP(M3231,LUTs!E$2:H$14,3,)</f>
        <v>04Island</v>
      </c>
      <c r="O3231" t="str">
        <f>VLOOKUP(M3231,LUTs!E$2:H$14,4,)</f>
        <v>01North Puget Sound</v>
      </c>
      <c r="P3231" s="73">
        <v>72.9722222222222</v>
      </c>
      <c r="Q3231" s="74">
        <f>VLOOKUP(B3231,Readme!A$40:C$51,2,)*P3231</f>
        <v>251.02444444444436</v>
      </c>
    </row>
    <row r="3232" spans="1:17" ht="12" customHeight="1" x14ac:dyDescent="0.35">
      <c r="A3232" s="75">
        <v>3231</v>
      </c>
      <c r="B3232" s="64">
        <v>2019</v>
      </c>
      <c r="C3232" s="64">
        <v>9</v>
      </c>
      <c r="D3232" s="80">
        <f t="shared" si="103"/>
        <v>2019</v>
      </c>
      <c r="E3232" t="s">
        <v>38</v>
      </c>
      <c r="F3232" t="s">
        <v>143</v>
      </c>
      <c r="G3232" t="s">
        <v>10</v>
      </c>
      <c r="H3232" s="72">
        <v>830</v>
      </c>
      <c r="I3232" s="72" t="s">
        <v>60</v>
      </c>
      <c r="J3232" t="str">
        <f t="shared" si="104"/>
        <v>Skagit River</v>
      </c>
      <c r="K3232" t="str">
        <f>IFERROR(VLOOKUP(J3232,LUTs!$A$1:$C$73,2,FALSE),"NA")</f>
        <v>Skagit/Whatcom</v>
      </c>
      <c r="L3232" t="str">
        <f>IFERROR(VLOOKUP(J3232,LUTs!$A$1:$C$73,3,FALSE),"NA")</f>
        <v>2Central Puget Sound</v>
      </c>
      <c r="M3232" s="72" t="s">
        <v>18</v>
      </c>
      <c r="N3232" t="str">
        <f>VLOOKUP(M3232,LUTs!E$2:H$14,3,)</f>
        <v>06King</v>
      </c>
      <c r="O3232" t="str">
        <f>VLOOKUP(M3232,LUTs!E$2:H$14,4,)</f>
        <v>02South Puget Sound</v>
      </c>
      <c r="P3232" s="73">
        <v>41.698412698412703</v>
      </c>
      <c r="Q3232" s="74">
        <f>VLOOKUP(B3232,Readme!A$40:C$51,2,)*P3232</f>
        <v>143.44253968253969</v>
      </c>
    </row>
    <row r="3233" spans="1:17" ht="12" customHeight="1" x14ac:dyDescent="0.35">
      <c r="A3233" s="75">
        <v>3232</v>
      </c>
      <c r="B3233" s="64">
        <v>2019</v>
      </c>
      <c r="C3233" s="64">
        <v>9</v>
      </c>
      <c r="D3233" s="80">
        <f t="shared" si="103"/>
        <v>2019</v>
      </c>
      <c r="E3233" t="s">
        <v>38</v>
      </c>
      <c r="F3233" t="s">
        <v>143</v>
      </c>
      <c r="G3233" t="s">
        <v>10</v>
      </c>
      <c r="H3233" s="72">
        <v>830</v>
      </c>
      <c r="I3233" s="72" t="s">
        <v>60</v>
      </c>
      <c r="J3233" t="str">
        <f t="shared" si="104"/>
        <v>Skagit River</v>
      </c>
      <c r="K3233" t="str">
        <f>IFERROR(VLOOKUP(J3233,LUTs!$A$1:$C$73,2,FALSE),"NA")</f>
        <v>Skagit/Whatcom</v>
      </c>
      <c r="L3233" t="str">
        <f>IFERROR(VLOOKUP(J3233,LUTs!$A$1:$C$73,3,FALSE),"NA")</f>
        <v>2Central Puget Sound</v>
      </c>
      <c r="M3233" s="72" t="s">
        <v>26</v>
      </c>
      <c r="N3233" t="str">
        <f>VLOOKUP(M3233,LUTs!E$2:H$14,3,)</f>
        <v>20Other</v>
      </c>
      <c r="O3233" t="str">
        <f>VLOOKUP(M3233,LUTs!E$2:H$14,4,)</f>
        <v>07Non Puget Sound</v>
      </c>
      <c r="P3233" s="73">
        <v>10.424603174603201</v>
      </c>
      <c r="Q3233" s="74">
        <f>VLOOKUP(B3233,Readme!A$40:C$51,2,)*P3233</f>
        <v>35.860634920635007</v>
      </c>
    </row>
    <row r="3234" spans="1:17" ht="12" customHeight="1" x14ac:dyDescent="0.35">
      <c r="A3234" s="75">
        <v>3233</v>
      </c>
      <c r="B3234" s="64">
        <v>2019</v>
      </c>
      <c r="C3234" s="64">
        <v>9</v>
      </c>
      <c r="D3234" s="80">
        <f t="shared" si="103"/>
        <v>2019</v>
      </c>
      <c r="E3234" t="s">
        <v>38</v>
      </c>
      <c r="F3234" t="s">
        <v>143</v>
      </c>
      <c r="G3234" t="s">
        <v>10</v>
      </c>
      <c r="H3234" s="72">
        <v>830</v>
      </c>
      <c r="I3234" s="72" t="s">
        <v>60</v>
      </c>
      <c r="J3234" t="str">
        <f t="shared" si="104"/>
        <v>Skagit River</v>
      </c>
      <c r="K3234" t="str">
        <f>IFERROR(VLOOKUP(J3234,LUTs!$A$1:$C$73,2,FALSE),"NA")</f>
        <v>Skagit/Whatcom</v>
      </c>
      <c r="L3234" t="str">
        <f>IFERROR(VLOOKUP(J3234,LUTs!$A$1:$C$73,3,FALSE),"NA")</f>
        <v>2Central Puget Sound</v>
      </c>
      <c r="M3234" s="72" t="s">
        <v>15</v>
      </c>
      <c r="N3234" t="str">
        <f>VLOOKUP(M3234,LUTs!E$2:H$14,3,)</f>
        <v>02Skagit</v>
      </c>
      <c r="O3234" t="str">
        <f>VLOOKUP(M3234,LUTs!E$2:H$14,4,)</f>
        <v>01North Puget Sound</v>
      </c>
      <c r="P3234" s="73">
        <v>2022.37301587302</v>
      </c>
      <c r="Q3234" s="74">
        <f>VLOOKUP(B3234,Readme!A$40:C$51,2,)*P3234</f>
        <v>6956.9631746031882</v>
      </c>
    </row>
    <row r="3235" spans="1:17" ht="12" customHeight="1" x14ac:dyDescent="0.35">
      <c r="A3235" s="75">
        <v>3234</v>
      </c>
      <c r="B3235" s="64">
        <v>2019</v>
      </c>
      <c r="C3235" s="64">
        <v>9</v>
      </c>
      <c r="D3235" s="80">
        <f t="shared" si="103"/>
        <v>2019</v>
      </c>
      <c r="E3235" t="s">
        <v>38</v>
      </c>
      <c r="F3235" t="s">
        <v>143</v>
      </c>
      <c r="G3235" t="s">
        <v>10</v>
      </c>
      <c r="H3235" s="72">
        <v>830</v>
      </c>
      <c r="I3235" s="72" t="s">
        <v>60</v>
      </c>
      <c r="J3235" t="str">
        <f t="shared" si="104"/>
        <v>Skagit River</v>
      </c>
      <c r="K3235" t="str">
        <f>IFERROR(VLOOKUP(J3235,LUTs!$A$1:$C$73,2,FALSE),"NA")</f>
        <v>Skagit/Whatcom</v>
      </c>
      <c r="L3235" t="str">
        <f>IFERROR(VLOOKUP(J3235,LUTs!$A$1:$C$73,3,FALSE),"NA")</f>
        <v>2Central Puget Sound</v>
      </c>
      <c r="M3235" s="72" t="s">
        <v>16</v>
      </c>
      <c r="N3235" t="str">
        <f>VLOOKUP(M3235,LUTs!E$2:H$14,3,)</f>
        <v>03Snohomish</v>
      </c>
      <c r="O3235" t="str">
        <f>VLOOKUP(M3235,LUTs!E$2:H$14,4,)</f>
        <v>01North Puget Sound</v>
      </c>
      <c r="P3235" s="73">
        <v>323.16269841269798</v>
      </c>
      <c r="Q3235" s="74">
        <f>VLOOKUP(B3235,Readme!A$40:C$51,2,)*P3235</f>
        <v>1111.6796825396809</v>
      </c>
    </row>
    <row r="3236" spans="1:17" ht="12" customHeight="1" x14ac:dyDescent="0.35">
      <c r="A3236" s="75">
        <v>3235</v>
      </c>
      <c r="B3236" s="64">
        <v>2019</v>
      </c>
      <c r="C3236" s="64">
        <v>9</v>
      </c>
      <c r="D3236" s="80">
        <f t="shared" si="103"/>
        <v>2019</v>
      </c>
      <c r="E3236" t="s">
        <v>38</v>
      </c>
      <c r="F3236" t="s">
        <v>143</v>
      </c>
      <c r="G3236" t="s">
        <v>10</v>
      </c>
      <c r="H3236" s="72">
        <v>830</v>
      </c>
      <c r="I3236" s="72" t="s">
        <v>60</v>
      </c>
      <c r="J3236" t="str">
        <f t="shared" si="104"/>
        <v>Skagit River</v>
      </c>
      <c r="K3236" t="str">
        <f>IFERROR(VLOOKUP(J3236,LUTs!$A$1:$C$73,2,FALSE),"NA")</f>
        <v>Skagit/Whatcom</v>
      </c>
      <c r="L3236" t="str">
        <f>IFERROR(VLOOKUP(J3236,LUTs!$A$1:$C$73,3,FALSE),"NA")</f>
        <v>2Central Puget Sound</v>
      </c>
      <c r="M3236" s="72" t="s">
        <v>13</v>
      </c>
      <c r="N3236" t="str">
        <f>VLOOKUP(M3236,LUTs!E$2:H$14,3,)</f>
        <v>01Whatcom</v>
      </c>
      <c r="O3236" t="str">
        <f>VLOOKUP(M3236,LUTs!E$2:H$14,4,)</f>
        <v>01North Puget Sound</v>
      </c>
      <c r="P3236" s="73">
        <v>156.36904761904799</v>
      </c>
      <c r="Q3236" s="74">
        <f>VLOOKUP(B3236,Readme!A$40:C$51,2,)*P3236</f>
        <v>537.90952380952513</v>
      </c>
    </row>
    <row r="3237" spans="1:17" ht="12" customHeight="1" x14ac:dyDescent="0.35">
      <c r="A3237" s="75">
        <v>3236</v>
      </c>
      <c r="B3237" s="64">
        <v>2019</v>
      </c>
      <c r="C3237" s="64">
        <v>10</v>
      </c>
      <c r="D3237" s="80">
        <f t="shared" si="103"/>
        <v>2019</v>
      </c>
      <c r="E3237" t="s">
        <v>38</v>
      </c>
      <c r="F3237" t="s">
        <v>143</v>
      </c>
      <c r="G3237" t="s">
        <v>10</v>
      </c>
      <c r="H3237" s="72">
        <v>830</v>
      </c>
      <c r="I3237" s="72" t="s">
        <v>60</v>
      </c>
      <c r="J3237" t="str">
        <f t="shared" si="104"/>
        <v>Skagit River</v>
      </c>
      <c r="K3237" t="str">
        <f>IFERROR(VLOOKUP(J3237,LUTs!$A$1:$C$73,2,FALSE),"NA")</f>
        <v>Skagit/Whatcom</v>
      </c>
      <c r="L3237" t="str">
        <f>IFERROR(VLOOKUP(J3237,LUTs!$A$1:$C$73,3,FALSE),"NA")</f>
        <v>2Central Puget Sound</v>
      </c>
      <c r="M3237" s="72" t="s">
        <v>17</v>
      </c>
      <c r="N3237" t="str">
        <f>VLOOKUP(M3237,LUTs!E$2:H$14,3,)</f>
        <v>04Island</v>
      </c>
      <c r="O3237" t="str">
        <f>VLOOKUP(M3237,LUTs!E$2:H$14,4,)</f>
        <v>01North Puget Sound</v>
      </c>
      <c r="P3237" s="73">
        <v>63.154929577464799</v>
      </c>
      <c r="Q3237" s="74">
        <f>VLOOKUP(B3237,Readme!A$40:C$51,2,)*P3237</f>
        <v>217.2529577464789</v>
      </c>
    </row>
    <row r="3238" spans="1:17" ht="12" customHeight="1" x14ac:dyDescent="0.35">
      <c r="A3238" s="75">
        <v>3237</v>
      </c>
      <c r="B3238" s="64">
        <v>2019</v>
      </c>
      <c r="C3238" s="64">
        <v>10</v>
      </c>
      <c r="D3238" s="80">
        <f t="shared" si="103"/>
        <v>2019</v>
      </c>
      <c r="E3238" t="s">
        <v>38</v>
      </c>
      <c r="F3238" t="s">
        <v>143</v>
      </c>
      <c r="G3238" t="s">
        <v>10</v>
      </c>
      <c r="H3238" s="72">
        <v>830</v>
      </c>
      <c r="I3238" s="72" t="s">
        <v>60</v>
      </c>
      <c r="J3238" t="str">
        <f t="shared" si="104"/>
        <v>Skagit River</v>
      </c>
      <c r="K3238" t="str">
        <f>IFERROR(VLOOKUP(J3238,LUTs!$A$1:$C$73,2,FALSE),"NA")</f>
        <v>Skagit/Whatcom</v>
      </c>
      <c r="L3238" t="str">
        <f>IFERROR(VLOOKUP(J3238,LUTs!$A$1:$C$73,3,FALSE),"NA")</f>
        <v>2Central Puget Sound</v>
      </c>
      <c r="M3238" s="72" t="s">
        <v>18</v>
      </c>
      <c r="N3238" t="str">
        <f>VLOOKUP(M3238,LUTs!E$2:H$14,3,)</f>
        <v>06King</v>
      </c>
      <c r="O3238" t="str">
        <f>VLOOKUP(M3238,LUTs!E$2:H$14,4,)</f>
        <v>02South Puget Sound</v>
      </c>
      <c r="P3238" s="73">
        <v>199.99061032863901</v>
      </c>
      <c r="Q3238" s="74">
        <f>VLOOKUP(B3238,Readme!A$40:C$51,2,)*P3238</f>
        <v>687.96769953051819</v>
      </c>
    </row>
    <row r="3239" spans="1:17" ht="12" customHeight="1" x14ac:dyDescent="0.35">
      <c r="A3239" s="75">
        <v>3238</v>
      </c>
      <c r="B3239" s="64">
        <v>2019</v>
      </c>
      <c r="C3239" s="64">
        <v>10</v>
      </c>
      <c r="D3239" s="80">
        <f t="shared" si="103"/>
        <v>2019</v>
      </c>
      <c r="E3239" t="s">
        <v>38</v>
      </c>
      <c r="F3239" t="s">
        <v>143</v>
      </c>
      <c r="G3239" t="s">
        <v>10</v>
      </c>
      <c r="H3239" s="72">
        <v>830</v>
      </c>
      <c r="I3239" s="72" t="s">
        <v>60</v>
      </c>
      <c r="J3239" t="str">
        <f t="shared" si="104"/>
        <v>Skagit River</v>
      </c>
      <c r="K3239" t="str">
        <f>IFERROR(VLOOKUP(J3239,LUTs!$A$1:$C$73,2,FALSE),"NA")</f>
        <v>Skagit/Whatcom</v>
      </c>
      <c r="L3239" t="str">
        <f>IFERROR(VLOOKUP(J3239,LUTs!$A$1:$C$73,3,FALSE),"NA")</f>
        <v>2Central Puget Sound</v>
      </c>
      <c r="M3239" s="72" t="s">
        <v>26</v>
      </c>
      <c r="N3239" t="str">
        <f>VLOOKUP(M3239,LUTs!E$2:H$14,3,)</f>
        <v>20Other</v>
      </c>
      <c r="O3239" t="str">
        <f>VLOOKUP(M3239,LUTs!E$2:H$14,4,)</f>
        <v>07Non Puget Sound</v>
      </c>
      <c r="P3239" s="73">
        <v>21.051643192488299</v>
      </c>
      <c r="Q3239" s="74">
        <f>VLOOKUP(B3239,Readme!A$40:C$51,2,)*P3239</f>
        <v>72.417652582159747</v>
      </c>
    </row>
    <row r="3240" spans="1:17" ht="12" customHeight="1" x14ac:dyDescent="0.35">
      <c r="A3240" s="75">
        <v>3239</v>
      </c>
      <c r="B3240" s="64">
        <v>2019</v>
      </c>
      <c r="C3240" s="64">
        <v>10</v>
      </c>
      <c r="D3240" s="80">
        <f t="shared" si="103"/>
        <v>2019</v>
      </c>
      <c r="E3240" t="s">
        <v>38</v>
      </c>
      <c r="F3240" t="s">
        <v>143</v>
      </c>
      <c r="G3240" t="s">
        <v>10</v>
      </c>
      <c r="H3240" s="72">
        <v>830</v>
      </c>
      <c r="I3240" s="72" t="s">
        <v>60</v>
      </c>
      <c r="J3240" t="str">
        <f t="shared" si="104"/>
        <v>Skagit River</v>
      </c>
      <c r="K3240" t="str">
        <f>IFERROR(VLOOKUP(J3240,LUTs!$A$1:$C$73,2,FALSE),"NA")</f>
        <v>Skagit/Whatcom</v>
      </c>
      <c r="L3240" t="str">
        <f>IFERROR(VLOOKUP(J3240,LUTs!$A$1:$C$73,3,FALSE),"NA")</f>
        <v>2Central Puget Sound</v>
      </c>
      <c r="M3240" s="72" t="s">
        <v>20</v>
      </c>
      <c r="N3240" t="str">
        <f>VLOOKUP(M3240,LUTs!E$2:H$14,3,)</f>
        <v>07Pierce</v>
      </c>
      <c r="O3240" t="str">
        <f>VLOOKUP(M3240,LUTs!E$2:H$14,4,)</f>
        <v>02South Puget Sound</v>
      </c>
      <c r="P3240" s="73">
        <v>31.577464788732399</v>
      </c>
      <c r="Q3240" s="74">
        <f>VLOOKUP(B3240,Readme!A$40:C$51,2,)*P3240</f>
        <v>108.62647887323945</v>
      </c>
    </row>
    <row r="3241" spans="1:17" ht="12" customHeight="1" x14ac:dyDescent="0.35">
      <c r="A3241" s="75">
        <v>3240</v>
      </c>
      <c r="B3241" s="64">
        <v>2019</v>
      </c>
      <c r="C3241" s="64">
        <v>10</v>
      </c>
      <c r="D3241" s="80">
        <f t="shared" si="103"/>
        <v>2019</v>
      </c>
      <c r="E3241" t="s">
        <v>38</v>
      </c>
      <c r="F3241" t="s">
        <v>143</v>
      </c>
      <c r="G3241" t="s">
        <v>10</v>
      </c>
      <c r="H3241" s="72">
        <v>830</v>
      </c>
      <c r="I3241" s="72" t="s">
        <v>60</v>
      </c>
      <c r="J3241" t="str">
        <f t="shared" si="104"/>
        <v>Skagit River</v>
      </c>
      <c r="K3241" t="str">
        <f>IFERROR(VLOOKUP(J3241,LUTs!$A$1:$C$73,2,FALSE),"NA")</f>
        <v>Skagit/Whatcom</v>
      </c>
      <c r="L3241" t="str">
        <f>IFERROR(VLOOKUP(J3241,LUTs!$A$1:$C$73,3,FALSE),"NA")</f>
        <v>2Central Puget Sound</v>
      </c>
      <c r="M3241" s="72" t="s">
        <v>15</v>
      </c>
      <c r="N3241" t="str">
        <f>VLOOKUP(M3241,LUTs!E$2:H$14,3,)</f>
        <v>02Skagit</v>
      </c>
      <c r="O3241" t="str">
        <f>VLOOKUP(M3241,LUTs!E$2:H$14,4,)</f>
        <v>01North Puget Sound</v>
      </c>
      <c r="P3241" s="73">
        <v>1368.35680751174</v>
      </c>
      <c r="Q3241" s="74">
        <f>VLOOKUP(B3241,Readme!A$40:C$51,2,)*P3241</f>
        <v>4707.147417840386</v>
      </c>
    </row>
    <row r="3242" spans="1:17" ht="12" customHeight="1" x14ac:dyDescent="0.35">
      <c r="A3242" s="75">
        <v>3241</v>
      </c>
      <c r="B3242" s="64">
        <v>2019</v>
      </c>
      <c r="C3242" s="64">
        <v>10</v>
      </c>
      <c r="D3242" s="80">
        <f t="shared" si="103"/>
        <v>2019</v>
      </c>
      <c r="E3242" t="s">
        <v>38</v>
      </c>
      <c r="F3242" t="s">
        <v>143</v>
      </c>
      <c r="G3242" t="s">
        <v>10</v>
      </c>
      <c r="H3242" s="72">
        <v>830</v>
      </c>
      <c r="I3242" s="72" t="s">
        <v>60</v>
      </c>
      <c r="J3242" t="str">
        <f t="shared" si="104"/>
        <v>Skagit River</v>
      </c>
      <c r="K3242" t="str">
        <f>IFERROR(VLOOKUP(J3242,LUTs!$A$1:$C$73,2,FALSE),"NA")</f>
        <v>Skagit/Whatcom</v>
      </c>
      <c r="L3242" t="str">
        <f>IFERROR(VLOOKUP(J3242,LUTs!$A$1:$C$73,3,FALSE),"NA")</f>
        <v>2Central Puget Sound</v>
      </c>
      <c r="M3242" s="72" t="s">
        <v>16</v>
      </c>
      <c r="N3242" t="str">
        <f>VLOOKUP(M3242,LUTs!E$2:H$14,3,)</f>
        <v>03Snohomish</v>
      </c>
      <c r="O3242" t="str">
        <f>VLOOKUP(M3242,LUTs!E$2:H$14,4,)</f>
        <v>01North Puget Sound</v>
      </c>
      <c r="P3242" s="73">
        <v>221.04225352112701</v>
      </c>
      <c r="Q3242" s="74">
        <f>VLOOKUP(B3242,Readme!A$40:C$51,2,)*P3242</f>
        <v>760.38535211267686</v>
      </c>
    </row>
    <row r="3243" spans="1:17" ht="12" customHeight="1" x14ac:dyDescent="0.35">
      <c r="A3243" s="75">
        <v>3242</v>
      </c>
      <c r="B3243" s="64">
        <v>2019</v>
      </c>
      <c r="C3243" s="64">
        <v>10</v>
      </c>
      <c r="D3243" s="80">
        <f t="shared" si="103"/>
        <v>2019</v>
      </c>
      <c r="E3243" t="s">
        <v>38</v>
      </c>
      <c r="F3243" t="s">
        <v>143</v>
      </c>
      <c r="G3243" t="s">
        <v>10</v>
      </c>
      <c r="H3243" s="72">
        <v>830</v>
      </c>
      <c r="I3243" s="72" t="s">
        <v>60</v>
      </c>
      <c r="J3243" t="str">
        <f t="shared" si="104"/>
        <v>Skagit River</v>
      </c>
      <c r="K3243" t="str">
        <f>IFERROR(VLOOKUP(J3243,LUTs!$A$1:$C$73,2,FALSE),"NA")</f>
        <v>Skagit/Whatcom</v>
      </c>
      <c r="L3243" t="str">
        <f>IFERROR(VLOOKUP(J3243,LUTs!$A$1:$C$73,3,FALSE),"NA")</f>
        <v>2Central Puget Sound</v>
      </c>
      <c r="M3243" s="72" t="s">
        <v>21</v>
      </c>
      <c r="N3243" t="str">
        <f>VLOOKUP(M3243,LUTs!E$2:H$14,3,)</f>
        <v>08Thurston</v>
      </c>
      <c r="O3243" t="str">
        <f>VLOOKUP(M3243,LUTs!E$2:H$14,4,)</f>
        <v>02South Puget Sound</v>
      </c>
      <c r="P3243" s="73">
        <v>31.577464788732399</v>
      </c>
      <c r="Q3243" s="74">
        <f>VLOOKUP(B3243,Readme!A$40:C$51,2,)*P3243</f>
        <v>108.62647887323945</v>
      </c>
    </row>
    <row r="3244" spans="1:17" ht="12" customHeight="1" x14ac:dyDescent="0.35">
      <c r="A3244" s="75">
        <v>3243</v>
      </c>
      <c r="B3244" s="64">
        <v>2019</v>
      </c>
      <c r="C3244" s="64">
        <v>10</v>
      </c>
      <c r="D3244" s="80">
        <f t="shared" si="103"/>
        <v>2019</v>
      </c>
      <c r="E3244" t="s">
        <v>38</v>
      </c>
      <c r="F3244" t="s">
        <v>143</v>
      </c>
      <c r="G3244" t="s">
        <v>10</v>
      </c>
      <c r="H3244" s="72">
        <v>830</v>
      </c>
      <c r="I3244" s="72" t="s">
        <v>60</v>
      </c>
      <c r="J3244" t="str">
        <f t="shared" si="104"/>
        <v>Skagit River</v>
      </c>
      <c r="K3244" t="str">
        <f>IFERROR(VLOOKUP(J3244,LUTs!$A$1:$C$73,2,FALSE),"NA")</f>
        <v>Skagit/Whatcom</v>
      </c>
      <c r="L3244" t="str">
        <f>IFERROR(VLOOKUP(J3244,LUTs!$A$1:$C$73,3,FALSE),"NA")</f>
        <v>2Central Puget Sound</v>
      </c>
      <c r="M3244" s="72" t="s">
        <v>13</v>
      </c>
      <c r="N3244" t="str">
        <f>VLOOKUP(M3244,LUTs!E$2:H$14,3,)</f>
        <v>01Whatcom</v>
      </c>
      <c r="O3244" t="str">
        <f>VLOOKUP(M3244,LUTs!E$2:H$14,4,)</f>
        <v>01North Puget Sound</v>
      </c>
      <c r="P3244" s="73">
        <v>305.24882629107998</v>
      </c>
      <c r="Q3244" s="74">
        <f>VLOOKUP(B3244,Readme!A$40:C$51,2,)*P3244</f>
        <v>1050.0559624413152</v>
      </c>
    </row>
    <row r="3245" spans="1:17" ht="12" customHeight="1" x14ac:dyDescent="0.35">
      <c r="A3245" s="75">
        <v>3244</v>
      </c>
      <c r="B3245" s="64">
        <v>2019</v>
      </c>
      <c r="C3245" s="64">
        <v>11</v>
      </c>
      <c r="D3245" s="80">
        <f t="shared" si="103"/>
        <v>2019</v>
      </c>
      <c r="E3245" t="s">
        <v>38</v>
      </c>
      <c r="F3245" t="s">
        <v>143</v>
      </c>
      <c r="G3245" t="s">
        <v>10</v>
      </c>
      <c r="H3245" s="72">
        <v>830</v>
      </c>
      <c r="I3245" s="72" t="s">
        <v>60</v>
      </c>
      <c r="J3245" t="str">
        <f t="shared" si="104"/>
        <v>Skagit River</v>
      </c>
      <c r="K3245" t="str">
        <f>IFERROR(VLOOKUP(J3245,LUTs!$A$1:$C$73,2,FALSE),"NA")</f>
        <v>Skagit/Whatcom</v>
      </c>
      <c r="L3245" t="str">
        <f>IFERROR(VLOOKUP(J3245,LUTs!$A$1:$C$73,3,FALSE),"NA")</f>
        <v>2Central Puget Sound</v>
      </c>
      <c r="M3245" s="72" t="s">
        <v>17</v>
      </c>
      <c r="N3245" t="str">
        <f>VLOOKUP(M3245,LUTs!E$2:H$14,3,)</f>
        <v>04Island</v>
      </c>
      <c r="O3245" t="str">
        <f>VLOOKUP(M3245,LUTs!E$2:H$14,4,)</f>
        <v>01North Puget Sound</v>
      </c>
      <c r="P3245" s="73">
        <v>10.44</v>
      </c>
      <c r="Q3245" s="74">
        <f>VLOOKUP(B3245,Readme!A$40:C$51,2,)*P3245</f>
        <v>35.913599999999995</v>
      </c>
    </row>
    <row r="3246" spans="1:17" ht="12" customHeight="1" x14ac:dyDescent="0.35">
      <c r="A3246" s="75">
        <v>3245</v>
      </c>
      <c r="B3246" s="64">
        <v>2019</v>
      </c>
      <c r="C3246" s="64">
        <v>11</v>
      </c>
      <c r="D3246" s="80">
        <f t="shared" si="103"/>
        <v>2019</v>
      </c>
      <c r="E3246" t="s">
        <v>38</v>
      </c>
      <c r="F3246" t="s">
        <v>143</v>
      </c>
      <c r="G3246" t="s">
        <v>10</v>
      </c>
      <c r="H3246" s="72">
        <v>830</v>
      </c>
      <c r="I3246" s="72" t="s">
        <v>60</v>
      </c>
      <c r="J3246" t="str">
        <f t="shared" si="104"/>
        <v>Skagit River</v>
      </c>
      <c r="K3246" t="str">
        <f>IFERROR(VLOOKUP(J3246,LUTs!$A$1:$C$73,2,FALSE),"NA")</f>
        <v>Skagit/Whatcom</v>
      </c>
      <c r="L3246" t="str">
        <f>IFERROR(VLOOKUP(J3246,LUTs!$A$1:$C$73,3,FALSE),"NA")</f>
        <v>2Central Puget Sound</v>
      </c>
      <c r="M3246" s="72" t="s">
        <v>18</v>
      </c>
      <c r="N3246" t="str">
        <f>VLOOKUP(M3246,LUTs!E$2:H$14,3,)</f>
        <v>06King</v>
      </c>
      <c r="O3246" t="str">
        <f>VLOOKUP(M3246,LUTs!E$2:H$14,4,)</f>
        <v>02South Puget Sound</v>
      </c>
      <c r="P3246" s="73">
        <v>73.08</v>
      </c>
      <c r="Q3246" s="74">
        <f>VLOOKUP(B3246,Readme!A$40:C$51,2,)*P3246</f>
        <v>251.39519999999999</v>
      </c>
    </row>
    <row r="3247" spans="1:17" ht="12" customHeight="1" x14ac:dyDescent="0.35">
      <c r="A3247" s="75">
        <v>3246</v>
      </c>
      <c r="B3247" s="64">
        <v>2019</v>
      </c>
      <c r="C3247" s="64">
        <v>11</v>
      </c>
      <c r="D3247" s="80">
        <f t="shared" si="103"/>
        <v>2019</v>
      </c>
      <c r="E3247" t="s">
        <v>38</v>
      </c>
      <c r="F3247" t="s">
        <v>143</v>
      </c>
      <c r="G3247" t="s">
        <v>10</v>
      </c>
      <c r="H3247" s="72">
        <v>830</v>
      </c>
      <c r="I3247" s="72" t="s">
        <v>60</v>
      </c>
      <c r="J3247" t="str">
        <f t="shared" si="104"/>
        <v>Skagit River</v>
      </c>
      <c r="K3247" t="str">
        <f>IFERROR(VLOOKUP(J3247,LUTs!$A$1:$C$73,2,FALSE),"NA")</f>
        <v>Skagit/Whatcom</v>
      </c>
      <c r="L3247" t="str">
        <f>IFERROR(VLOOKUP(J3247,LUTs!$A$1:$C$73,3,FALSE),"NA")</f>
        <v>2Central Puget Sound</v>
      </c>
      <c r="M3247" s="72" t="s">
        <v>15</v>
      </c>
      <c r="N3247" t="str">
        <f>VLOOKUP(M3247,LUTs!E$2:H$14,3,)</f>
        <v>02Skagit</v>
      </c>
      <c r="O3247" t="str">
        <f>VLOOKUP(M3247,LUTs!E$2:H$14,4,)</f>
        <v>01North Puget Sound</v>
      </c>
      <c r="P3247" s="73">
        <v>114.84</v>
      </c>
      <c r="Q3247" s="74">
        <f>VLOOKUP(B3247,Readme!A$40:C$51,2,)*P3247</f>
        <v>395.0496</v>
      </c>
    </row>
    <row r="3248" spans="1:17" ht="12" customHeight="1" x14ac:dyDescent="0.35">
      <c r="A3248" s="75">
        <v>3247</v>
      </c>
      <c r="B3248" s="64">
        <v>2019</v>
      </c>
      <c r="C3248" s="64">
        <v>11</v>
      </c>
      <c r="D3248" s="80">
        <f t="shared" si="103"/>
        <v>2019</v>
      </c>
      <c r="E3248" t="s">
        <v>38</v>
      </c>
      <c r="F3248" t="s">
        <v>143</v>
      </c>
      <c r="G3248" t="s">
        <v>10</v>
      </c>
      <c r="H3248" s="72">
        <v>830</v>
      </c>
      <c r="I3248" s="72" t="s">
        <v>60</v>
      </c>
      <c r="J3248" t="str">
        <f t="shared" si="104"/>
        <v>Skagit River</v>
      </c>
      <c r="K3248" t="str">
        <f>IFERROR(VLOOKUP(J3248,LUTs!$A$1:$C$73,2,FALSE),"NA")</f>
        <v>Skagit/Whatcom</v>
      </c>
      <c r="L3248" t="str">
        <f>IFERROR(VLOOKUP(J3248,LUTs!$A$1:$C$73,3,FALSE),"NA")</f>
        <v>2Central Puget Sound</v>
      </c>
      <c r="M3248" s="72" t="s">
        <v>16</v>
      </c>
      <c r="N3248" t="str">
        <f>VLOOKUP(M3248,LUTs!E$2:H$14,3,)</f>
        <v>03Snohomish</v>
      </c>
      <c r="O3248" t="str">
        <f>VLOOKUP(M3248,LUTs!E$2:H$14,4,)</f>
        <v>01North Puget Sound</v>
      </c>
      <c r="P3248" s="73">
        <v>10.44</v>
      </c>
      <c r="Q3248" s="74">
        <f>VLOOKUP(B3248,Readme!A$40:C$51,2,)*P3248</f>
        <v>35.913599999999995</v>
      </c>
    </row>
    <row r="3249" spans="1:17" ht="12" customHeight="1" x14ac:dyDescent="0.35">
      <c r="A3249" s="75">
        <v>3248</v>
      </c>
      <c r="B3249" s="64">
        <v>2019</v>
      </c>
      <c r="C3249" s="64">
        <v>11</v>
      </c>
      <c r="D3249" s="80">
        <f t="shared" si="103"/>
        <v>2019</v>
      </c>
      <c r="E3249" t="s">
        <v>38</v>
      </c>
      <c r="F3249" t="s">
        <v>143</v>
      </c>
      <c r="G3249" t="s">
        <v>10</v>
      </c>
      <c r="H3249" s="72">
        <v>830</v>
      </c>
      <c r="I3249" s="72" t="s">
        <v>60</v>
      </c>
      <c r="J3249" t="str">
        <f t="shared" si="104"/>
        <v>Skagit River</v>
      </c>
      <c r="K3249" t="str">
        <f>IFERROR(VLOOKUP(J3249,LUTs!$A$1:$C$73,2,FALSE),"NA")</f>
        <v>Skagit/Whatcom</v>
      </c>
      <c r="L3249" t="str">
        <f>IFERROR(VLOOKUP(J3249,LUTs!$A$1:$C$73,3,FALSE),"NA")</f>
        <v>2Central Puget Sound</v>
      </c>
      <c r="M3249" s="72" t="s">
        <v>13</v>
      </c>
      <c r="N3249" t="str">
        <f>VLOOKUP(M3249,LUTs!E$2:H$14,3,)</f>
        <v>01Whatcom</v>
      </c>
      <c r="O3249" t="str">
        <f>VLOOKUP(M3249,LUTs!E$2:H$14,4,)</f>
        <v>01North Puget Sound</v>
      </c>
      <c r="P3249" s="73">
        <v>52.2</v>
      </c>
      <c r="Q3249" s="74">
        <f>VLOOKUP(B3249,Readme!A$40:C$51,2,)*P3249</f>
        <v>179.56800000000001</v>
      </c>
    </row>
    <row r="3250" spans="1:17" ht="12" customHeight="1" x14ac:dyDescent="0.35">
      <c r="A3250" s="75">
        <v>3249</v>
      </c>
      <c r="B3250" s="64">
        <v>2019</v>
      </c>
      <c r="C3250" s="64">
        <v>8</v>
      </c>
      <c r="D3250" s="80">
        <f t="shared" si="103"/>
        <v>2019</v>
      </c>
      <c r="E3250" t="s">
        <v>38</v>
      </c>
      <c r="F3250" t="s">
        <v>143</v>
      </c>
      <c r="G3250" t="s">
        <v>10</v>
      </c>
      <c r="H3250" s="72">
        <v>840</v>
      </c>
      <c r="I3250" s="72" t="s">
        <v>70</v>
      </c>
      <c r="J3250" t="str">
        <f t="shared" si="104"/>
        <v>Pilchuck River (Snohomish System)</v>
      </c>
      <c r="K3250" t="str">
        <f>IFERROR(VLOOKUP(J3250,LUTs!$A$1:$C$73,2,FALSE),"NA")</f>
        <v>Snohomish</v>
      </c>
      <c r="L3250" t="str">
        <f>IFERROR(VLOOKUP(J3250,LUTs!$A$1:$C$73,3,FALSE),"NA")</f>
        <v>2Central Puget Sound</v>
      </c>
      <c r="M3250" s="72" t="s">
        <v>26</v>
      </c>
      <c r="N3250" t="str">
        <f>VLOOKUP(M3250,LUTs!E$2:H$14,3,)</f>
        <v>20Other</v>
      </c>
      <c r="O3250" t="str">
        <f>VLOOKUP(M3250,LUTs!E$2:H$14,4,)</f>
        <v>07Non Puget Sound</v>
      </c>
      <c r="P3250" s="73">
        <v>0</v>
      </c>
      <c r="Q3250" s="74">
        <f>VLOOKUP(B3250,Readme!A$40:C$51,2,)*P3250</f>
        <v>0</v>
      </c>
    </row>
    <row r="3251" spans="1:17" ht="12" customHeight="1" x14ac:dyDescent="0.35">
      <c r="A3251" s="75">
        <v>3250</v>
      </c>
      <c r="B3251" s="64">
        <v>2019</v>
      </c>
      <c r="C3251" s="64">
        <v>5</v>
      </c>
      <c r="D3251" s="80">
        <f t="shared" si="103"/>
        <v>2019</v>
      </c>
      <c r="E3251" t="s">
        <v>38</v>
      </c>
      <c r="F3251" t="s">
        <v>143</v>
      </c>
      <c r="G3251" t="s">
        <v>10</v>
      </c>
      <c r="H3251" s="72">
        <v>844</v>
      </c>
      <c r="I3251" s="72" t="s">
        <v>62</v>
      </c>
      <c r="J3251" t="str">
        <f t="shared" si="104"/>
        <v>Skykomish River</v>
      </c>
      <c r="K3251" t="str">
        <f>IFERROR(VLOOKUP(J3251,LUTs!$A$1:$C$73,2,FALSE),"NA")</f>
        <v>Snohomish</v>
      </c>
      <c r="L3251" t="str">
        <f>IFERROR(VLOOKUP(J3251,LUTs!$A$1:$C$73,3,FALSE),"NA")</f>
        <v>2Central Puget Sound</v>
      </c>
      <c r="M3251" s="72" t="s">
        <v>18</v>
      </c>
      <c r="N3251" t="str">
        <f>VLOOKUP(M3251,LUTs!E$2:H$14,3,)</f>
        <v>06King</v>
      </c>
      <c r="O3251" t="str">
        <f>VLOOKUP(M3251,LUTs!E$2:H$14,4,)</f>
        <v>02South Puget Sound</v>
      </c>
      <c r="P3251" s="73">
        <v>11</v>
      </c>
      <c r="Q3251" s="74">
        <f>VLOOKUP(B3251,Readme!A$40:C$51,2,)*P3251</f>
        <v>37.839999999999996</v>
      </c>
    </row>
    <row r="3252" spans="1:17" ht="12" customHeight="1" x14ac:dyDescent="0.35">
      <c r="A3252" s="75">
        <v>3251</v>
      </c>
      <c r="B3252" s="64">
        <v>2019</v>
      </c>
      <c r="C3252" s="64">
        <v>5</v>
      </c>
      <c r="D3252" s="80">
        <f t="shared" si="103"/>
        <v>2019</v>
      </c>
      <c r="E3252" t="s">
        <v>38</v>
      </c>
      <c r="F3252" t="s">
        <v>143</v>
      </c>
      <c r="G3252" t="s">
        <v>10</v>
      </c>
      <c r="H3252" s="72">
        <v>844</v>
      </c>
      <c r="I3252" s="72" t="s">
        <v>62</v>
      </c>
      <c r="J3252" t="str">
        <f t="shared" si="104"/>
        <v>Skykomish River</v>
      </c>
      <c r="K3252" t="str">
        <f>IFERROR(VLOOKUP(J3252,LUTs!$A$1:$C$73,2,FALSE),"NA")</f>
        <v>Snohomish</v>
      </c>
      <c r="L3252" t="str">
        <f>IFERROR(VLOOKUP(J3252,LUTs!$A$1:$C$73,3,FALSE),"NA")</f>
        <v>2Central Puget Sound</v>
      </c>
      <c r="M3252" s="72" t="s">
        <v>16</v>
      </c>
      <c r="N3252" t="str">
        <f>VLOOKUP(M3252,LUTs!E$2:H$14,3,)</f>
        <v>03Snohomish</v>
      </c>
      <c r="O3252" t="str">
        <f>VLOOKUP(M3252,LUTs!E$2:H$14,4,)</f>
        <v>01North Puget Sound</v>
      </c>
      <c r="P3252" s="73">
        <v>11</v>
      </c>
      <c r="Q3252" s="74">
        <f>VLOOKUP(B3252,Readme!A$40:C$51,2,)*P3252</f>
        <v>37.839999999999996</v>
      </c>
    </row>
    <row r="3253" spans="1:17" ht="12" customHeight="1" x14ac:dyDescent="0.35">
      <c r="A3253" s="75">
        <v>3252</v>
      </c>
      <c r="B3253" s="64">
        <v>2019</v>
      </c>
      <c r="C3253" s="64">
        <v>6</v>
      </c>
      <c r="D3253" s="80">
        <f t="shared" si="103"/>
        <v>2019</v>
      </c>
      <c r="E3253" t="s">
        <v>38</v>
      </c>
      <c r="F3253" t="s">
        <v>143</v>
      </c>
      <c r="G3253" t="s">
        <v>10</v>
      </c>
      <c r="H3253" s="72">
        <v>844</v>
      </c>
      <c r="I3253" s="72" t="s">
        <v>62</v>
      </c>
      <c r="J3253" t="str">
        <f t="shared" si="104"/>
        <v>Skykomish River</v>
      </c>
      <c r="K3253" t="str">
        <f>IFERROR(VLOOKUP(J3253,LUTs!$A$1:$C$73,2,FALSE),"NA")</f>
        <v>Snohomish</v>
      </c>
      <c r="L3253" t="str">
        <f>IFERROR(VLOOKUP(J3253,LUTs!$A$1:$C$73,3,FALSE),"NA")</f>
        <v>2Central Puget Sound</v>
      </c>
      <c r="M3253" s="72" t="s">
        <v>18</v>
      </c>
      <c r="N3253" t="str">
        <f>VLOOKUP(M3253,LUTs!E$2:H$14,3,)</f>
        <v>06King</v>
      </c>
      <c r="O3253" t="str">
        <f>VLOOKUP(M3253,LUTs!E$2:H$14,4,)</f>
        <v>02South Puget Sound</v>
      </c>
      <c r="P3253" s="73">
        <v>43.5555555555556</v>
      </c>
      <c r="Q3253" s="74">
        <f>VLOOKUP(B3253,Readme!A$40:C$51,2,)*P3253</f>
        <v>149.83111111111126</v>
      </c>
    </row>
    <row r="3254" spans="1:17" ht="12" customHeight="1" x14ac:dyDescent="0.35">
      <c r="A3254" s="75">
        <v>3253</v>
      </c>
      <c r="B3254" s="64">
        <v>2019</v>
      </c>
      <c r="C3254" s="64">
        <v>6</v>
      </c>
      <c r="D3254" s="80">
        <f t="shared" si="103"/>
        <v>2019</v>
      </c>
      <c r="E3254" t="s">
        <v>38</v>
      </c>
      <c r="F3254" t="s">
        <v>143</v>
      </c>
      <c r="G3254" t="s">
        <v>10</v>
      </c>
      <c r="H3254" s="72">
        <v>844</v>
      </c>
      <c r="I3254" s="72" t="s">
        <v>62</v>
      </c>
      <c r="J3254" t="str">
        <f t="shared" si="104"/>
        <v>Skykomish River</v>
      </c>
      <c r="K3254" t="str">
        <f>IFERROR(VLOOKUP(J3254,LUTs!$A$1:$C$73,2,FALSE),"NA")</f>
        <v>Snohomish</v>
      </c>
      <c r="L3254" t="str">
        <f>IFERROR(VLOOKUP(J3254,LUTs!$A$1:$C$73,3,FALSE),"NA")</f>
        <v>2Central Puget Sound</v>
      </c>
      <c r="M3254" s="72" t="s">
        <v>20</v>
      </c>
      <c r="N3254" t="str">
        <f>VLOOKUP(M3254,LUTs!E$2:H$14,3,)</f>
        <v>07Pierce</v>
      </c>
      <c r="O3254" t="str">
        <f>VLOOKUP(M3254,LUTs!E$2:H$14,4,)</f>
        <v>02South Puget Sound</v>
      </c>
      <c r="P3254" s="73">
        <v>21.7777777777778</v>
      </c>
      <c r="Q3254" s="74">
        <f>VLOOKUP(B3254,Readme!A$40:C$51,2,)*P3254</f>
        <v>74.915555555555628</v>
      </c>
    </row>
    <row r="3255" spans="1:17" ht="12" customHeight="1" x14ac:dyDescent="0.35">
      <c r="A3255" s="75">
        <v>3254</v>
      </c>
      <c r="B3255" s="64">
        <v>2019</v>
      </c>
      <c r="C3255" s="64">
        <v>6</v>
      </c>
      <c r="D3255" s="80">
        <f t="shared" si="103"/>
        <v>2019</v>
      </c>
      <c r="E3255" t="s">
        <v>38</v>
      </c>
      <c r="F3255" t="s">
        <v>143</v>
      </c>
      <c r="G3255" t="s">
        <v>10</v>
      </c>
      <c r="H3255" s="72">
        <v>844</v>
      </c>
      <c r="I3255" s="72" t="s">
        <v>62</v>
      </c>
      <c r="J3255" t="str">
        <f t="shared" si="104"/>
        <v>Skykomish River</v>
      </c>
      <c r="K3255" t="str">
        <f>IFERROR(VLOOKUP(J3255,LUTs!$A$1:$C$73,2,FALSE),"NA")</f>
        <v>Snohomish</v>
      </c>
      <c r="L3255" t="str">
        <f>IFERROR(VLOOKUP(J3255,LUTs!$A$1:$C$73,3,FALSE),"NA")</f>
        <v>2Central Puget Sound</v>
      </c>
      <c r="M3255" s="72" t="s">
        <v>15</v>
      </c>
      <c r="N3255" t="str">
        <f>VLOOKUP(M3255,LUTs!E$2:H$14,3,)</f>
        <v>02Skagit</v>
      </c>
      <c r="O3255" t="str">
        <f>VLOOKUP(M3255,LUTs!E$2:H$14,4,)</f>
        <v>01North Puget Sound</v>
      </c>
      <c r="P3255" s="73">
        <v>21.7777777777778</v>
      </c>
      <c r="Q3255" s="74">
        <f>VLOOKUP(B3255,Readme!A$40:C$51,2,)*P3255</f>
        <v>74.915555555555628</v>
      </c>
    </row>
    <row r="3256" spans="1:17" ht="12" customHeight="1" x14ac:dyDescent="0.35">
      <c r="A3256" s="75">
        <v>3255</v>
      </c>
      <c r="B3256" s="64">
        <v>2019</v>
      </c>
      <c r="C3256" s="64">
        <v>6</v>
      </c>
      <c r="D3256" s="80">
        <f t="shared" si="103"/>
        <v>2019</v>
      </c>
      <c r="E3256" t="s">
        <v>38</v>
      </c>
      <c r="F3256" t="s">
        <v>143</v>
      </c>
      <c r="G3256" t="s">
        <v>10</v>
      </c>
      <c r="H3256" s="72">
        <v>844</v>
      </c>
      <c r="I3256" s="72" t="s">
        <v>62</v>
      </c>
      <c r="J3256" t="str">
        <f t="shared" si="104"/>
        <v>Skykomish River</v>
      </c>
      <c r="K3256" t="str">
        <f>IFERROR(VLOOKUP(J3256,LUTs!$A$1:$C$73,2,FALSE),"NA")</f>
        <v>Snohomish</v>
      </c>
      <c r="L3256" t="str">
        <f>IFERROR(VLOOKUP(J3256,LUTs!$A$1:$C$73,3,FALSE),"NA")</f>
        <v>2Central Puget Sound</v>
      </c>
      <c r="M3256" s="72" t="s">
        <v>16</v>
      </c>
      <c r="N3256" t="str">
        <f>VLOOKUP(M3256,LUTs!E$2:H$14,3,)</f>
        <v>03Snohomish</v>
      </c>
      <c r="O3256" t="str">
        <f>VLOOKUP(M3256,LUTs!E$2:H$14,4,)</f>
        <v>01North Puget Sound</v>
      </c>
      <c r="P3256" s="73">
        <v>10.8888888888889</v>
      </c>
      <c r="Q3256" s="74">
        <f>VLOOKUP(B3256,Readme!A$40:C$51,2,)*P3256</f>
        <v>37.457777777777814</v>
      </c>
    </row>
    <row r="3257" spans="1:17" ht="12" customHeight="1" x14ac:dyDescent="0.35">
      <c r="A3257" s="75">
        <v>3256</v>
      </c>
      <c r="B3257" s="64">
        <v>2019</v>
      </c>
      <c r="C3257" s="64">
        <v>7</v>
      </c>
      <c r="D3257" s="80">
        <f t="shared" si="103"/>
        <v>2019</v>
      </c>
      <c r="E3257" t="s">
        <v>38</v>
      </c>
      <c r="F3257" t="s">
        <v>143</v>
      </c>
      <c r="G3257" t="s">
        <v>10</v>
      </c>
      <c r="H3257" s="72">
        <v>844</v>
      </c>
      <c r="I3257" s="72" t="s">
        <v>62</v>
      </c>
      <c r="J3257" t="str">
        <f t="shared" si="104"/>
        <v>Skykomish River</v>
      </c>
      <c r="K3257" t="str">
        <f>IFERROR(VLOOKUP(J3257,LUTs!$A$1:$C$73,2,FALSE),"NA")</f>
        <v>Snohomish</v>
      </c>
      <c r="L3257" t="str">
        <f>IFERROR(VLOOKUP(J3257,LUTs!$A$1:$C$73,3,FALSE),"NA")</f>
        <v>2Central Puget Sound</v>
      </c>
      <c r="M3257" s="72" t="s">
        <v>18</v>
      </c>
      <c r="N3257" t="str">
        <f>VLOOKUP(M3257,LUTs!E$2:H$14,3,)</f>
        <v>06King</v>
      </c>
      <c r="O3257" t="str">
        <f>VLOOKUP(M3257,LUTs!E$2:H$14,4,)</f>
        <v>02South Puget Sound</v>
      </c>
      <c r="P3257" s="73">
        <v>65.294117647058798</v>
      </c>
      <c r="Q3257" s="74">
        <f>VLOOKUP(B3257,Readme!A$40:C$51,2,)*P3257</f>
        <v>224.61176470588225</v>
      </c>
    </row>
    <row r="3258" spans="1:17" ht="12" customHeight="1" x14ac:dyDescent="0.35">
      <c r="A3258" s="75">
        <v>3257</v>
      </c>
      <c r="B3258" s="64">
        <v>2019</v>
      </c>
      <c r="C3258" s="64">
        <v>7</v>
      </c>
      <c r="D3258" s="80">
        <f t="shared" ref="D3258:D3321" si="105">IF(C3258&gt;3,B3258,B3258-1)</f>
        <v>2019</v>
      </c>
      <c r="E3258" t="s">
        <v>38</v>
      </c>
      <c r="F3258" t="s">
        <v>143</v>
      </c>
      <c r="G3258" t="s">
        <v>10</v>
      </c>
      <c r="H3258" s="72">
        <v>844</v>
      </c>
      <c r="I3258" s="72" t="s">
        <v>62</v>
      </c>
      <c r="J3258" t="str">
        <f t="shared" si="104"/>
        <v>Skykomish River</v>
      </c>
      <c r="K3258" t="str">
        <f>IFERROR(VLOOKUP(J3258,LUTs!$A$1:$C$73,2,FALSE),"NA")</f>
        <v>Snohomish</v>
      </c>
      <c r="L3258" t="str">
        <f>IFERROR(VLOOKUP(J3258,LUTs!$A$1:$C$73,3,FALSE),"NA")</f>
        <v>2Central Puget Sound</v>
      </c>
      <c r="M3258" s="72" t="s">
        <v>16</v>
      </c>
      <c r="N3258" t="str">
        <f>VLOOKUP(M3258,LUTs!E$2:H$14,3,)</f>
        <v>03Snohomish</v>
      </c>
      <c r="O3258" t="str">
        <f>VLOOKUP(M3258,LUTs!E$2:H$14,4,)</f>
        <v>01North Puget Sound</v>
      </c>
      <c r="P3258" s="73">
        <v>119.705882352941</v>
      </c>
      <c r="Q3258" s="74">
        <f>VLOOKUP(B3258,Readme!A$40:C$51,2,)*P3258</f>
        <v>411.78823529411704</v>
      </c>
    </row>
    <row r="3259" spans="1:17" ht="12" customHeight="1" x14ac:dyDescent="0.35">
      <c r="A3259" s="75">
        <v>3258</v>
      </c>
      <c r="B3259" s="64">
        <v>2019</v>
      </c>
      <c r="C3259" s="64">
        <v>8</v>
      </c>
      <c r="D3259" s="80">
        <f t="shared" si="105"/>
        <v>2019</v>
      </c>
      <c r="E3259" t="s">
        <v>38</v>
      </c>
      <c r="F3259" t="s">
        <v>143</v>
      </c>
      <c r="G3259" t="s">
        <v>10</v>
      </c>
      <c r="H3259" s="72">
        <v>844</v>
      </c>
      <c r="I3259" s="72" t="s">
        <v>62</v>
      </c>
      <c r="J3259" t="str">
        <f t="shared" si="104"/>
        <v>Skykomish River</v>
      </c>
      <c r="K3259" t="str">
        <f>IFERROR(VLOOKUP(J3259,LUTs!$A$1:$C$73,2,FALSE),"NA")</f>
        <v>Snohomish</v>
      </c>
      <c r="L3259" t="str">
        <f>IFERROR(VLOOKUP(J3259,LUTs!$A$1:$C$73,3,FALSE),"NA")</f>
        <v>2Central Puget Sound</v>
      </c>
      <c r="M3259" s="72" t="s">
        <v>18</v>
      </c>
      <c r="N3259" t="str">
        <f>VLOOKUP(M3259,LUTs!E$2:H$14,3,)</f>
        <v>06King</v>
      </c>
      <c r="O3259" t="str">
        <f>VLOOKUP(M3259,LUTs!E$2:H$14,4,)</f>
        <v>02South Puget Sound</v>
      </c>
      <c r="P3259" s="73">
        <v>11</v>
      </c>
      <c r="Q3259" s="74">
        <f>VLOOKUP(B3259,Readme!A$40:C$51,2,)*P3259</f>
        <v>37.839999999999996</v>
      </c>
    </row>
    <row r="3260" spans="1:17" ht="12" customHeight="1" x14ac:dyDescent="0.35">
      <c r="A3260" s="75">
        <v>3259</v>
      </c>
      <c r="B3260" s="64">
        <v>2019</v>
      </c>
      <c r="C3260" s="64">
        <v>9</v>
      </c>
      <c r="D3260" s="80">
        <f t="shared" si="105"/>
        <v>2019</v>
      </c>
      <c r="E3260" t="s">
        <v>38</v>
      </c>
      <c r="F3260" t="s">
        <v>143</v>
      </c>
      <c r="G3260" t="s">
        <v>10</v>
      </c>
      <c r="H3260" s="72">
        <v>844</v>
      </c>
      <c r="I3260" s="72" t="s">
        <v>62</v>
      </c>
      <c r="J3260" t="str">
        <f t="shared" si="104"/>
        <v>Skykomish River</v>
      </c>
      <c r="K3260" t="str">
        <f>IFERROR(VLOOKUP(J3260,LUTs!$A$1:$C$73,2,FALSE),"NA")</f>
        <v>Snohomish</v>
      </c>
      <c r="L3260" t="str">
        <f>IFERROR(VLOOKUP(J3260,LUTs!$A$1:$C$73,3,FALSE),"NA")</f>
        <v>2Central Puget Sound</v>
      </c>
      <c r="M3260" s="72" t="s">
        <v>18</v>
      </c>
      <c r="N3260" t="str">
        <f>VLOOKUP(M3260,LUTs!E$2:H$14,3,)</f>
        <v>06King</v>
      </c>
      <c r="O3260" t="str">
        <f>VLOOKUP(M3260,LUTs!E$2:H$14,4,)</f>
        <v>02South Puget Sound</v>
      </c>
      <c r="P3260" s="73">
        <v>72.9166666666667</v>
      </c>
      <c r="Q3260" s="74">
        <f>VLOOKUP(B3260,Readme!A$40:C$51,2,)*P3260</f>
        <v>250.83333333333346</v>
      </c>
    </row>
    <row r="3261" spans="1:17" ht="12" customHeight="1" x14ac:dyDescent="0.35">
      <c r="A3261" s="75">
        <v>3260</v>
      </c>
      <c r="B3261" s="64">
        <v>2019</v>
      </c>
      <c r="C3261" s="64">
        <v>9</v>
      </c>
      <c r="D3261" s="80">
        <f t="shared" si="105"/>
        <v>2019</v>
      </c>
      <c r="E3261" t="s">
        <v>38</v>
      </c>
      <c r="F3261" t="s">
        <v>143</v>
      </c>
      <c r="G3261" t="s">
        <v>10</v>
      </c>
      <c r="H3261" s="72">
        <v>844</v>
      </c>
      <c r="I3261" s="72" t="s">
        <v>62</v>
      </c>
      <c r="J3261" t="str">
        <f t="shared" si="104"/>
        <v>Skykomish River</v>
      </c>
      <c r="K3261" t="str">
        <f>IFERROR(VLOOKUP(J3261,LUTs!$A$1:$C$73,2,FALSE),"NA")</f>
        <v>Snohomish</v>
      </c>
      <c r="L3261" t="str">
        <f>IFERROR(VLOOKUP(J3261,LUTs!$A$1:$C$73,3,FALSE),"NA")</f>
        <v>2Central Puget Sound</v>
      </c>
      <c r="M3261" s="72" t="s">
        <v>26</v>
      </c>
      <c r="N3261" t="str">
        <f>VLOOKUP(M3261,LUTs!E$2:H$14,3,)</f>
        <v>20Other</v>
      </c>
      <c r="O3261" t="str">
        <f>VLOOKUP(M3261,LUTs!E$2:H$14,4,)</f>
        <v>07Non Puget Sound</v>
      </c>
      <c r="P3261" s="73">
        <v>41.6666666666667</v>
      </c>
      <c r="Q3261" s="74">
        <f>VLOOKUP(B3261,Readme!A$40:C$51,2,)*P3261</f>
        <v>143.33333333333346</v>
      </c>
    </row>
    <row r="3262" spans="1:17" ht="12" customHeight="1" x14ac:dyDescent="0.35">
      <c r="A3262" s="75">
        <v>3261</v>
      </c>
      <c r="B3262" s="64">
        <v>2019</v>
      </c>
      <c r="C3262" s="64">
        <v>9</v>
      </c>
      <c r="D3262" s="80">
        <f t="shared" si="105"/>
        <v>2019</v>
      </c>
      <c r="E3262" t="s">
        <v>38</v>
      </c>
      <c r="F3262" t="s">
        <v>143</v>
      </c>
      <c r="G3262" t="s">
        <v>10</v>
      </c>
      <c r="H3262" s="72">
        <v>844</v>
      </c>
      <c r="I3262" s="72" t="s">
        <v>62</v>
      </c>
      <c r="J3262" t="str">
        <f t="shared" si="104"/>
        <v>Skykomish River</v>
      </c>
      <c r="K3262" t="str">
        <f>IFERROR(VLOOKUP(J3262,LUTs!$A$1:$C$73,2,FALSE),"NA")</f>
        <v>Snohomish</v>
      </c>
      <c r="L3262" t="str">
        <f>IFERROR(VLOOKUP(J3262,LUTs!$A$1:$C$73,3,FALSE),"NA")</f>
        <v>2Central Puget Sound</v>
      </c>
      <c r="M3262" s="72" t="s">
        <v>20</v>
      </c>
      <c r="N3262" t="str">
        <f>VLOOKUP(M3262,LUTs!E$2:H$14,3,)</f>
        <v>07Pierce</v>
      </c>
      <c r="O3262" t="str">
        <f>VLOOKUP(M3262,LUTs!E$2:H$14,4,)</f>
        <v>02South Puget Sound</v>
      </c>
      <c r="P3262" s="73">
        <v>20.8333333333333</v>
      </c>
      <c r="Q3262" s="74">
        <f>VLOOKUP(B3262,Readme!A$40:C$51,2,)*P3262</f>
        <v>71.666666666666558</v>
      </c>
    </row>
    <row r="3263" spans="1:17" ht="12" customHeight="1" x14ac:dyDescent="0.35">
      <c r="A3263" s="75">
        <v>3262</v>
      </c>
      <c r="B3263" s="64">
        <v>2019</v>
      </c>
      <c r="C3263" s="64">
        <v>9</v>
      </c>
      <c r="D3263" s="80">
        <f t="shared" si="105"/>
        <v>2019</v>
      </c>
      <c r="E3263" t="s">
        <v>38</v>
      </c>
      <c r="F3263" t="s">
        <v>143</v>
      </c>
      <c r="G3263" t="s">
        <v>10</v>
      </c>
      <c r="H3263" s="72">
        <v>844</v>
      </c>
      <c r="I3263" s="72" t="s">
        <v>62</v>
      </c>
      <c r="J3263" t="str">
        <f t="shared" si="104"/>
        <v>Skykomish River</v>
      </c>
      <c r="K3263" t="str">
        <f>IFERROR(VLOOKUP(J3263,LUTs!$A$1:$C$73,2,FALSE),"NA")</f>
        <v>Snohomish</v>
      </c>
      <c r="L3263" t="str">
        <f>IFERROR(VLOOKUP(J3263,LUTs!$A$1:$C$73,3,FALSE),"NA")</f>
        <v>2Central Puget Sound</v>
      </c>
      <c r="M3263" s="72" t="s">
        <v>16</v>
      </c>
      <c r="N3263" t="str">
        <f>VLOOKUP(M3263,LUTs!E$2:H$14,3,)</f>
        <v>03Snohomish</v>
      </c>
      <c r="O3263" t="str">
        <f>VLOOKUP(M3263,LUTs!E$2:H$14,4,)</f>
        <v>01North Puget Sound</v>
      </c>
      <c r="P3263" s="73">
        <v>114.583333333333</v>
      </c>
      <c r="Q3263" s="74">
        <f>VLOOKUP(B3263,Readme!A$40:C$51,2,)*P3263</f>
        <v>394.16666666666549</v>
      </c>
    </row>
    <row r="3264" spans="1:17" ht="12" customHeight="1" x14ac:dyDescent="0.35">
      <c r="A3264" s="75">
        <v>3263</v>
      </c>
      <c r="B3264" s="64">
        <v>2019</v>
      </c>
      <c r="C3264" s="64">
        <v>10</v>
      </c>
      <c r="D3264" s="80">
        <f t="shared" si="105"/>
        <v>2019</v>
      </c>
      <c r="E3264" t="s">
        <v>38</v>
      </c>
      <c r="F3264" t="s">
        <v>143</v>
      </c>
      <c r="G3264" t="s">
        <v>10</v>
      </c>
      <c r="H3264" s="72">
        <v>844</v>
      </c>
      <c r="I3264" s="72" t="s">
        <v>62</v>
      </c>
      <c r="J3264" t="str">
        <f t="shared" si="104"/>
        <v>Skykomish River</v>
      </c>
      <c r="K3264" t="str">
        <f>IFERROR(VLOOKUP(J3264,LUTs!$A$1:$C$73,2,FALSE),"NA")</f>
        <v>Snohomish</v>
      </c>
      <c r="L3264" t="str">
        <f>IFERROR(VLOOKUP(J3264,LUTs!$A$1:$C$73,3,FALSE),"NA")</f>
        <v>2Central Puget Sound</v>
      </c>
      <c r="M3264" s="72" t="s">
        <v>18</v>
      </c>
      <c r="N3264" t="str">
        <f>VLOOKUP(M3264,LUTs!E$2:H$14,3,)</f>
        <v>06King</v>
      </c>
      <c r="O3264" t="str">
        <f>VLOOKUP(M3264,LUTs!E$2:H$14,4,)</f>
        <v>02South Puget Sound</v>
      </c>
      <c r="P3264" s="73">
        <v>10.8</v>
      </c>
      <c r="Q3264" s="74">
        <f>VLOOKUP(B3264,Readme!A$40:C$51,2,)*P3264</f>
        <v>37.152000000000001</v>
      </c>
    </row>
    <row r="3265" spans="1:17" ht="12" customHeight="1" x14ac:dyDescent="0.35">
      <c r="A3265" s="75">
        <v>3264</v>
      </c>
      <c r="B3265" s="64">
        <v>2019</v>
      </c>
      <c r="C3265" s="64">
        <v>10</v>
      </c>
      <c r="D3265" s="80">
        <f t="shared" si="105"/>
        <v>2019</v>
      </c>
      <c r="E3265" t="s">
        <v>38</v>
      </c>
      <c r="F3265" t="s">
        <v>143</v>
      </c>
      <c r="G3265" t="s">
        <v>10</v>
      </c>
      <c r="H3265" s="72">
        <v>844</v>
      </c>
      <c r="I3265" s="72" t="s">
        <v>62</v>
      </c>
      <c r="J3265" t="str">
        <f t="shared" si="104"/>
        <v>Skykomish River</v>
      </c>
      <c r="K3265" t="str">
        <f>IFERROR(VLOOKUP(J3265,LUTs!$A$1:$C$73,2,FALSE),"NA")</f>
        <v>Snohomish</v>
      </c>
      <c r="L3265" t="str">
        <f>IFERROR(VLOOKUP(J3265,LUTs!$A$1:$C$73,3,FALSE),"NA")</f>
        <v>2Central Puget Sound</v>
      </c>
      <c r="M3265" s="72" t="s">
        <v>26</v>
      </c>
      <c r="N3265" t="str">
        <f>VLOOKUP(M3265,LUTs!E$2:H$14,3,)</f>
        <v>20Other</v>
      </c>
      <c r="O3265" t="str">
        <f>VLOOKUP(M3265,LUTs!E$2:H$14,4,)</f>
        <v>07Non Puget Sound</v>
      </c>
      <c r="P3265" s="73">
        <v>10.8</v>
      </c>
      <c r="Q3265" s="74">
        <f>VLOOKUP(B3265,Readme!A$40:C$51,2,)*P3265</f>
        <v>37.152000000000001</v>
      </c>
    </row>
    <row r="3266" spans="1:17" ht="12" customHeight="1" x14ac:dyDescent="0.35">
      <c r="A3266" s="75">
        <v>3265</v>
      </c>
      <c r="B3266" s="64">
        <v>2019</v>
      </c>
      <c r="C3266" s="64">
        <v>10</v>
      </c>
      <c r="D3266" s="80">
        <f t="shared" si="105"/>
        <v>2019</v>
      </c>
      <c r="E3266" t="s">
        <v>38</v>
      </c>
      <c r="F3266" t="s">
        <v>143</v>
      </c>
      <c r="G3266" t="s">
        <v>10</v>
      </c>
      <c r="H3266" s="72">
        <v>844</v>
      </c>
      <c r="I3266" s="72" t="s">
        <v>62</v>
      </c>
      <c r="J3266" t="str">
        <f t="shared" si="104"/>
        <v>Skykomish River</v>
      </c>
      <c r="K3266" t="str">
        <f>IFERROR(VLOOKUP(J3266,LUTs!$A$1:$C$73,2,FALSE),"NA")</f>
        <v>Snohomish</v>
      </c>
      <c r="L3266" t="str">
        <f>IFERROR(VLOOKUP(J3266,LUTs!$A$1:$C$73,3,FALSE),"NA")</f>
        <v>2Central Puget Sound</v>
      </c>
      <c r="M3266" s="72" t="s">
        <v>16</v>
      </c>
      <c r="N3266" t="str">
        <f>VLOOKUP(M3266,LUTs!E$2:H$14,3,)</f>
        <v>03Snohomish</v>
      </c>
      <c r="O3266" t="str">
        <f>VLOOKUP(M3266,LUTs!E$2:H$14,4,)</f>
        <v>01North Puget Sound</v>
      </c>
      <c r="P3266" s="73">
        <v>32.4</v>
      </c>
      <c r="Q3266" s="74">
        <f>VLOOKUP(B3266,Readme!A$40:C$51,2,)*P3266</f>
        <v>111.45599999999999</v>
      </c>
    </row>
    <row r="3267" spans="1:17" ht="12" customHeight="1" x14ac:dyDescent="0.35">
      <c r="A3267" s="75">
        <v>3266</v>
      </c>
      <c r="B3267" s="64">
        <v>2019</v>
      </c>
      <c r="C3267" s="64">
        <v>11</v>
      </c>
      <c r="D3267" s="80">
        <f t="shared" si="105"/>
        <v>2019</v>
      </c>
      <c r="E3267" t="s">
        <v>38</v>
      </c>
      <c r="F3267" t="s">
        <v>143</v>
      </c>
      <c r="G3267" t="s">
        <v>10</v>
      </c>
      <c r="H3267" s="72">
        <v>844</v>
      </c>
      <c r="I3267" s="72" t="s">
        <v>62</v>
      </c>
      <c r="J3267" t="str">
        <f t="shared" ref="J3267:J3330" si="106">I3267</f>
        <v>Skykomish River</v>
      </c>
      <c r="K3267" t="str">
        <f>IFERROR(VLOOKUP(J3267,LUTs!$A$1:$C$73,2,FALSE),"NA")</f>
        <v>Snohomish</v>
      </c>
      <c r="L3267" t="str">
        <f>IFERROR(VLOOKUP(J3267,LUTs!$A$1:$C$73,3,FALSE),"NA")</f>
        <v>2Central Puget Sound</v>
      </c>
      <c r="M3267" s="72" t="s">
        <v>16</v>
      </c>
      <c r="N3267" t="str">
        <f>VLOOKUP(M3267,LUTs!E$2:H$14,3,)</f>
        <v>03Snohomish</v>
      </c>
      <c r="O3267" t="str">
        <f>VLOOKUP(M3267,LUTs!E$2:H$14,4,)</f>
        <v>01North Puget Sound</v>
      </c>
      <c r="P3267" s="73">
        <v>0</v>
      </c>
      <c r="Q3267" s="74">
        <f>VLOOKUP(B3267,Readme!A$40:C$51,2,)*P3267</f>
        <v>0</v>
      </c>
    </row>
    <row r="3268" spans="1:17" ht="12" customHeight="1" x14ac:dyDescent="0.35">
      <c r="A3268" s="75">
        <v>3267</v>
      </c>
      <c r="B3268" s="64">
        <v>2019</v>
      </c>
      <c r="C3268" s="64">
        <v>7</v>
      </c>
      <c r="D3268" s="80">
        <f t="shared" si="105"/>
        <v>2019</v>
      </c>
      <c r="E3268" t="s">
        <v>38</v>
      </c>
      <c r="F3268" t="s">
        <v>143</v>
      </c>
      <c r="G3268" t="s">
        <v>10</v>
      </c>
      <c r="H3268" s="72">
        <v>850</v>
      </c>
      <c r="I3268" s="72" t="s">
        <v>63</v>
      </c>
      <c r="J3268" t="str">
        <f t="shared" si="106"/>
        <v>Snohomish River</v>
      </c>
      <c r="K3268" t="str">
        <f>IFERROR(VLOOKUP(J3268,LUTs!$A$1:$C$73,2,FALSE),"NA")</f>
        <v>Snohomish</v>
      </c>
      <c r="L3268" t="str">
        <f>IFERROR(VLOOKUP(J3268,LUTs!$A$1:$C$73,3,FALSE),"NA")</f>
        <v>2Central Puget Sound</v>
      </c>
      <c r="M3268" s="72" t="s">
        <v>16</v>
      </c>
      <c r="N3268" t="str">
        <f>VLOOKUP(M3268,LUTs!E$2:H$14,3,)</f>
        <v>03Snohomish</v>
      </c>
      <c r="O3268" t="str">
        <f>VLOOKUP(M3268,LUTs!E$2:H$14,4,)</f>
        <v>01North Puget Sound</v>
      </c>
      <c r="P3268" s="73">
        <v>0</v>
      </c>
      <c r="Q3268" s="74">
        <f>VLOOKUP(B3268,Readme!A$40:C$51,2,)*P3268</f>
        <v>0</v>
      </c>
    </row>
    <row r="3269" spans="1:17" ht="12" customHeight="1" x14ac:dyDescent="0.35">
      <c r="A3269" s="75">
        <v>3268</v>
      </c>
      <c r="B3269" s="64">
        <v>2019</v>
      </c>
      <c r="C3269" s="64">
        <v>8</v>
      </c>
      <c r="D3269" s="80">
        <f t="shared" si="105"/>
        <v>2019</v>
      </c>
      <c r="E3269" t="s">
        <v>38</v>
      </c>
      <c r="F3269" t="s">
        <v>143</v>
      </c>
      <c r="G3269" t="s">
        <v>10</v>
      </c>
      <c r="H3269" s="72">
        <v>850</v>
      </c>
      <c r="I3269" s="72" t="s">
        <v>63</v>
      </c>
      <c r="J3269" t="str">
        <f t="shared" si="106"/>
        <v>Snohomish River</v>
      </c>
      <c r="K3269" t="str">
        <f>IFERROR(VLOOKUP(J3269,LUTs!$A$1:$C$73,2,FALSE),"NA")</f>
        <v>Snohomish</v>
      </c>
      <c r="L3269" t="str">
        <f>IFERROR(VLOOKUP(J3269,LUTs!$A$1:$C$73,3,FALSE),"NA")</f>
        <v>2Central Puget Sound</v>
      </c>
      <c r="M3269" s="72" t="s">
        <v>18</v>
      </c>
      <c r="N3269" t="str">
        <f>VLOOKUP(M3269,LUTs!E$2:H$14,3,)</f>
        <v>06King</v>
      </c>
      <c r="O3269" t="str">
        <f>VLOOKUP(M3269,LUTs!E$2:H$14,4,)</f>
        <v>02South Puget Sound</v>
      </c>
      <c r="P3269" s="73">
        <v>67.928571428571502</v>
      </c>
      <c r="Q3269" s="74">
        <f>VLOOKUP(B3269,Readme!A$40:C$51,2,)*P3269</f>
        <v>233.67428571428596</v>
      </c>
    </row>
    <row r="3270" spans="1:17" ht="12" customHeight="1" x14ac:dyDescent="0.35">
      <c r="A3270" s="75">
        <v>3269</v>
      </c>
      <c r="B3270" s="64">
        <v>2019</v>
      </c>
      <c r="C3270" s="64">
        <v>8</v>
      </c>
      <c r="D3270" s="80">
        <f t="shared" si="105"/>
        <v>2019</v>
      </c>
      <c r="E3270" t="s">
        <v>38</v>
      </c>
      <c r="F3270" t="s">
        <v>143</v>
      </c>
      <c r="G3270" t="s">
        <v>10</v>
      </c>
      <c r="H3270" s="72">
        <v>850</v>
      </c>
      <c r="I3270" s="72" t="s">
        <v>63</v>
      </c>
      <c r="J3270" t="str">
        <f t="shared" si="106"/>
        <v>Snohomish River</v>
      </c>
      <c r="K3270" t="str">
        <f>IFERROR(VLOOKUP(J3270,LUTs!$A$1:$C$73,2,FALSE),"NA")</f>
        <v>Snohomish</v>
      </c>
      <c r="L3270" t="str">
        <f>IFERROR(VLOOKUP(J3270,LUTs!$A$1:$C$73,3,FALSE),"NA")</f>
        <v>2Central Puget Sound</v>
      </c>
      <c r="M3270" s="72" t="s">
        <v>26</v>
      </c>
      <c r="N3270" t="str">
        <f>VLOOKUP(M3270,LUTs!E$2:H$14,3,)</f>
        <v>20Other</v>
      </c>
      <c r="O3270" t="str">
        <f>VLOOKUP(M3270,LUTs!E$2:H$14,4,)</f>
        <v>07Non Puget Sound</v>
      </c>
      <c r="P3270" s="73">
        <v>22.6428571428571</v>
      </c>
      <c r="Q3270" s="74">
        <f>VLOOKUP(B3270,Readme!A$40:C$51,2,)*P3270</f>
        <v>77.89142857142842</v>
      </c>
    </row>
    <row r="3271" spans="1:17" ht="12" customHeight="1" x14ac:dyDescent="0.35">
      <c r="A3271" s="75">
        <v>3270</v>
      </c>
      <c r="B3271" s="64">
        <v>2019</v>
      </c>
      <c r="C3271" s="64">
        <v>8</v>
      </c>
      <c r="D3271" s="80">
        <f t="shared" si="105"/>
        <v>2019</v>
      </c>
      <c r="E3271" t="s">
        <v>38</v>
      </c>
      <c r="F3271" t="s">
        <v>143</v>
      </c>
      <c r="G3271" t="s">
        <v>10</v>
      </c>
      <c r="H3271" s="72">
        <v>850</v>
      </c>
      <c r="I3271" s="72" t="s">
        <v>63</v>
      </c>
      <c r="J3271" t="str">
        <f t="shared" si="106"/>
        <v>Snohomish River</v>
      </c>
      <c r="K3271" t="str">
        <f>IFERROR(VLOOKUP(J3271,LUTs!$A$1:$C$73,2,FALSE),"NA")</f>
        <v>Snohomish</v>
      </c>
      <c r="L3271" t="str">
        <f>IFERROR(VLOOKUP(J3271,LUTs!$A$1:$C$73,3,FALSE),"NA")</f>
        <v>2Central Puget Sound</v>
      </c>
      <c r="M3271" s="72" t="s">
        <v>16</v>
      </c>
      <c r="N3271" t="str">
        <f>VLOOKUP(M3271,LUTs!E$2:H$14,3,)</f>
        <v>03Snohomish</v>
      </c>
      <c r="O3271" t="str">
        <f>VLOOKUP(M3271,LUTs!E$2:H$14,4,)</f>
        <v>01North Puget Sound</v>
      </c>
      <c r="P3271" s="73">
        <v>226.42857142857201</v>
      </c>
      <c r="Q3271" s="74">
        <f>VLOOKUP(B3271,Readme!A$40:C$51,2,)*P3271</f>
        <v>778.91428571428776</v>
      </c>
    </row>
    <row r="3272" spans="1:17" ht="12" customHeight="1" x14ac:dyDescent="0.35">
      <c r="A3272" s="75">
        <v>3271</v>
      </c>
      <c r="B3272" s="64">
        <v>2019</v>
      </c>
      <c r="C3272" s="64">
        <v>9</v>
      </c>
      <c r="D3272" s="80">
        <f t="shared" si="105"/>
        <v>2019</v>
      </c>
      <c r="E3272" t="s">
        <v>38</v>
      </c>
      <c r="F3272" t="s">
        <v>143</v>
      </c>
      <c r="G3272" t="s">
        <v>10</v>
      </c>
      <c r="H3272" s="72">
        <v>850</v>
      </c>
      <c r="I3272" s="72" t="s">
        <v>63</v>
      </c>
      <c r="J3272" t="str">
        <f t="shared" si="106"/>
        <v>Snohomish River</v>
      </c>
      <c r="K3272" t="str">
        <f>IFERROR(VLOOKUP(J3272,LUTs!$A$1:$C$73,2,FALSE),"NA")</f>
        <v>Snohomish</v>
      </c>
      <c r="L3272" t="str">
        <f>IFERROR(VLOOKUP(J3272,LUTs!$A$1:$C$73,3,FALSE),"NA")</f>
        <v>2Central Puget Sound</v>
      </c>
      <c r="M3272" s="72" t="s">
        <v>18</v>
      </c>
      <c r="N3272" t="str">
        <f>VLOOKUP(M3272,LUTs!E$2:H$14,3,)</f>
        <v>06King</v>
      </c>
      <c r="O3272" t="str">
        <f>VLOOKUP(M3272,LUTs!E$2:H$14,4,)</f>
        <v>02South Puget Sound</v>
      </c>
      <c r="P3272" s="73">
        <v>287.40157480315003</v>
      </c>
      <c r="Q3272" s="74">
        <f>VLOOKUP(B3272,Readme!A$40:C$51,2,)*P3272</f>
        <v>988.66141732283609</v>
      </c>
    </row>
    <row r="3273" spans="1:17" ht="12" customHeight="1" x14ac:dyDescent="0.35">
      <c r="A3273" s="75">
        <v>3272</v>
      </c>
      <c r="B3273" s="64">
        <v>2019</v>
      </c>
      <c r="C3273" s="64">
        <v>9</v>
      </c>
      <c r="D3273" s="80">
        <f t="shared" si="105"/>
        <v>2019</v>
      </c>
      <c r="E3273" t="s">
        <v>38</v>
      </c>
      <c r="F3273" t="s">
        <v>143</v>
      </c>
      <c r="G3273" t="s">
        <v>10</v>
      </c>
      <c r="H3273" s="72">
        <v>850</v>
      </c>
      <c r="I3273" s="72" t="s">
        <v>63</v>
      </c>
      <c r="J3273" t="str">
        <f t="shared" si="106"/>
        <v>Snohomish River</v>
      </c>
      <c r="K3273" t="str">
        <f>IFERROR(VLOOKUP(J3273,LUTs!$A$1:$C$73,2,FALSE),"NA")</f>
        <v>Snohomish</v>
      </c>
      <c r="L3273" t="str">
        <f>IFERROR(VLOOKUP(J3273,LUTs!$A$1:$C$73,3,FALSE),"NA")</f>
        <v>2Central Puget Sound</v>
      </c>
      <c r="M3273" s="72" t="s">
        <v>26</v>
      </c>
      <c r="N3273" t="str">
        <f>VLOOKUP(M3273,LUTs!E$2:H$14,3,)</f>
        <v>20Other</v>
      </c>
      <c r="O3273" t="str">
        <f>VLOOKUP(M3273,LUTs!E$2:H$14,4,)</f>
        <v>07Non Puget Sound</v>
      </c>
      <c r="P3273" s="73">
        <v>103.46456692913399</v>
      </c>
      <c r="Q3273" s="74">
        <f>VLOOKUP(B3273,Readme!A$40:C$51,2,)*P3273</f>
        <v>355.91811023622091</v>
      </c>
    </row>
    <row r="3274" spans="1:17" ht="12" customHeight="1" x14ac:dyDescent="0.35">
      <c r="A3274" s="75">
        <v>3273</v>
      </c>
      <c r="B3274" s="64">
        <v>2019</v>
      </c>
      <c r="C3274" s="64">
        <v>9</v>
      </c>
      <c r="D3274" s="80">
        <f t="shared" si="105"/>
        <v>2019</v>
      </c>
      <c r="E3274" t="s">
        <v>38</v>
      </c>
      <c r="F3274" t="s">
        <v>143</v>
      </c>
      <c r="G3274" t="s">
        <v>10</v>
      </c>
      <c r="H3274" s="72">
        <v>850</v>
      </c>
      <c r="I3274" s="72" t="s">
        <v>63</v>
      </c>
      <c r="J3274" t="str">
        <f t="shared" si="106"/>
        <v>Snohomish River</v>
      </c>
      <c r="K3274" t="str">
        <f>IFERROR(VLOOKUP(J3274,LUTs!$A$1:$C$73,2,FALSE),"NA")</f>
        <v>Snohomish</v>
      </c>
      <c r="L3274" t="str">
        <f>IFERROR(VLOOKUP(J3274,LUTs!$A$1:$C$73,3,FALSE),"NA")</f>
        <v>2Central Puget Sound</v>
      </c>
      <c r="M3274" s="72" t="s">
        <v>20</v>
      </c>
      <c r="N3274" t="str">
        <f>VLOOKUP(M3274,LUTs!E$2:H$14,3,)</f>
        <v>07Pierce</v>
      </c>
      <c r="O3274" t="str">
        <f>VLOOKUP(M3274,LUTs!E$2:H$14,4,)</f>
        <v>02South Puget Sound</v>
      </c>
      <c r="P3274" s="73">
        <v>22.992125984251999</v>
      </c>
      <c r="Q3274" s="74">
        <f>VLOOKUP(B3274,Readme!A$40:C$51,2,)*P3274</f>
        <v>79.092913385826876</v>
      </c>
    </row>
    <row r="3275" spans="1:17" ht="12" customHeight="1" x14ac:dyDescent="0.35">
      <c r="A3275" s="75">
        <v>3274</v>
      </c>
      <c r="B3275" s="64">
        <v>2019</v>
      </c>
      <c r="C3275" s="64">
        <v>9</v>
      </c>
      <c r="D3275" s="80">
        <f t="shared" si="105"/>
        <v>2019</v>
      </c>
      <c r="E3275" t="s">
        <v>38</v>
      </c>
      <c r="F3275" t="s">
        <v>143</v>
      </c>
      <c r="G3275" t="s">
        <v>10</v>
      </c>
      <c r="H3275" s="72">
        <v>850</v>
      </c>
      <c r="I3275" s="72" t="s">
        <v>63</v>
      </c>
      <c r="J3275" t="str">
        <f t="shared" si="106"/>
        <v>Snohomish River</v>
      </c>
      <c r="K3275" t="str">
        <f>IFERROR(VLOOKUP(J3275,LUTs!$A$1:$C$73,2,FALSE),"NA")</f>
        <v>Snohomish</v>
      </c>
      <c r="L3275" t="str">
        <f>IFERROR(VLOOKUP(J3275,LUTs!$A$1:$C$73,3,FALSE),"NA")</f>
        <v>2Central Puget Sound</v>
      </c>
      <c r="M3275" s="72" t="s">
        <v>15</v>
      </c>
      <c r="N3275" t="str">
        <f>VLOOKUP(M3275,LUTs!E$2:H$14,3,)</f>
        <v>02Skagit</v>
      </c>
      <c r="O3275" t="str">
        <f>VLOOKUP(M3275,LUTs!E$2:H$14,4,)</f>
        <v>01North Puget Sound</v>
      </c>
      <c r="P3275" s="73">
        <v>45.984251968503898</v>
      </c>
      <c r="Q3275" s="74">
        <f>VLOOKUP(B3275,Readme!A$40:C$51,2,)*P3275</f>
        <v>158.18582677165341</v>
      </c>
    </row>
    <row r="3276" spans="1:17" ht="12" customHeight="1" x14ac:dyDescent="0.35">
      <c r="A3276" s="75">
        <v>3275</v>
      </c>
      <c r="B3276" s="64">
        <v>2019</v>
      </c>
      <c r="C3276" s="64">
        <v>9</v>
      </c>
      <c r="D3276" s="80">
        <f t="shared" si="105"/>
        <v>2019</v>
      </c>
      <c r="E3276" t="s">
        <v>38</v>
      </c>
      <c r="F3276" t="s">
        <v>143</v>
      </c>
      <c r="G3276" t="s">
        <v>10</v>
      </c>
      <c r="H3276" s="72">
        <v>850</v>
      </c>
      <c r="I3276" s="72" t="s">
        <v>63</v>
      </c>
      <c r="J3276" t="str">
        <f t="shared" si="106"/>
        <v>Snohomish River</v>
      </c>
      <c r="K3276" t="str">
        <f>IFERROR(VLOOKUP(J3276,LUTs!$A$1:$C$73,2,FALSE),"NA")</f>
        <v>Snohomish</v>
      </c>
      <c r="L3276" t="str">
        <f>IFERROR(VLOOKUP(J3276,LUTs!$A$1:$C$73,3,FALSE),"NA")</f>
        <v>2Central Puget Sound</v>
      </c>
      <c r="M3276" s="72" t="s">
        <v>16</v>
      </c>
      <c r="N3276" t="str">
        <f>VLOOKUP(M3276,LUTs!E$2:H$14,3,)</f>
        <v>03Snohomish</v>
      </c>
      <c r="O3276" t="str">
        <f>VLOOKUP(M3276,LUTs!E$2:H$14,4,)</f>
        <v>01North Puget Sound</v>
      </c>
      <c r="P3276" s="73">
        <v>1000.15748031496</v>
      </c>
      <c r="Q3276" s="74">
        <f>VLOOKUP(B3276,Readme!A$40:C$51,2,)*P3276</f>
        <v>3440.5417322834624</v>
      </c>
    </row>
    <row r="3277" spans="1:17" ht="12" customHeight="1" x14ac:dyDescent="0.35">
      <c r="A3277" s="75">
        <v>3276</v>
      </c>
      <c r="B3277" s="64">
        <v>2019</v>
      </c>
      <c r="C3277" s="64">
        <v>10</v>
      </c>
      <c r="D3277" s="80">
        <f t="shared" si="105"/>
        <v>2019</v>
      </c>
      <c r="E3277" t="s">
        <v>38</v>
      </c>
      <c r="F3277" t="s">
        <v>143</v>
      </c>
      <c r="G3277" t="s">
        <v>10</v>
      </c>
      <c r="H3277" s="72">
        <v>850</v>
      </c>
      <c r="I3277" s="72" t="s">
        <v>63</v>
      </c>
      <c r="J3277" t="str">
        <f t="shared" si="106"/>
        <v>Snohomish River</v>
      </c>
      <c r="K3277" t="str">
        <f>IFERROR(VLOOKUP(J3277,LUTs!$A$1:$C$73,2,FALSE),"NA")</f>
        <v>Snohomish</v>
      </c>
      <c r="L3277" t="str">
        <f>IFERROR(VLOOKUP(J3277,LUTs!$A$1:$C$73,3,FALSE),"NA")</f>
        <v>2Central Puget Sound</v>
      </c>
      <c r="M3277" s="72" t="s">
        <v>18</v>
      </c>
      <c r="N3277" t="str">
        <f>VLOOKUP(M3277,LUTs!E$2:H$14,3,)</f>
        <v>06King</v>
      </c>
      <c r="O3277" t="str">
        <f>VLOOKUP(M3277,LUTs!E$2:H$14,4,)</f>
        <v>02South Puget Sound</v>
      </c>
      <c r="P3277" s="73">
        <v>26.7</v>
      </c>
      <c r="Q3277" s="74">
        <f>VLOOKUP(B3277,Readme!A$40:C$51,2,)*P3277</f>
        <v>91.847999999999999</v>
      </c>
    </row>
    <row r="3278" spans="1:17" ht="12" customHeight="1" x14ac:dyDescent="0.35">
      <c r="A3278" s="75">
        <v>3277</v>
      </c>
      <c r="B3278" s="64">
        <v>2019</v>
      </c>
      <c r="C3278" s="64">
        <v>10</v>
      </c>
      <c r="D3278" s="80">
        <f t="shared" si="105"/>
        <v>2019</v>
      </c>
      <c r="E3278" t="s">
        <v>38</v>
      </c>
      <c r="F3278" t="s">
        <v>143</v>
      </c>
      <c r="G3278" t="s">
        <v>10</v>
      </c>
      <c r="H3278" s="72">
        <v>850</v>
      </c>
      <c r="I3278" s="72" t="s">
        <v>63</v>
      </c>
      <c r="J3278" t="str">
        <f t="shared" si="106"/>
        <v>Snohomish River</v>
      </c>
      <c r="K3278" t="str">
        <f>IFERROR(VLOOKUP(J3278,LUTs!$A$1:$C$73,2,FALSE),"NA")</f>
        <v>Snohomish</v>
      </c>
      <c r="L3278" t="str">
        <f>IFERROR(VLOOKUP(J3278,LUTs!$A$1:$C$73,3,FALSE),"NA")</f>
        <v>2Central Puget Sound</v>
      </c>
      <c r="M3278" s="72" t="s">
        <v>26</v>
      </c>
      <c r="N3278" t="str">
        <f>VLOOKUP(M3278,LUTs!E$2:H$14,3,)</f>
        <v>20Other</v>
      </c>
      <c r="O3278" t="str">
        <f>VLOOKUP(M3278,LUTs!E$2:H$14,4,)</f>
        <v>07Non Puget Sound</v>
      </c>
      <c r="P3278" s="73">
        <v>8.9</v>
      </c>
      <c r="Q3278" s="74">
        <f>VLOOKUP(B3278,Readme!A$40:C$51,2,)*P3278</f>
        <v>30.616</v>
      </c>
    </row>
    <row r="3279" spans="1:17" ht="12" customHeight="1" x14ac:dyDescent="0.35">
      <c r="A3279" s="75">
        <v>3278</v>
      </c>
      <c r="B3279" s="64">
        <v>2019</v>
      </c>
      <c r="C3279" s="64">
        <v>10</v>
      </c>
      <c r="D3279" s="80">
        <f t="shared" si="105"/>
        <v>2019</v>
      </c>
      <c r="E3279" t="s">
        <v>38</v>
      </c>
      <c r="F3279" t="s">
        <v>143</v>
      </c>
      <c r="G3279" t="s">
        <v>10</v>
      </c>
      <c r="H3279" s="72">
        <v>850</v>
      </c>
      <c r="I3279" s="72" t="s">
        <v>63</v>
      </c>
      <c r="J3279" t="str">
        <f t="shared" si="106"/>
        <v>Snohomish River</v>
      </c>
      <c r="K3279" t="str">
        <f>IFERROR(VLOOKUP(J3279,LUTs!$A$1:$C$73,2,FALSE),"NA")</f>
        <v>Snohomish</v>
      </c>
      <c r="L3279" t="str">
        <f>IFERROR(VLOOKUP(J3279,LUTs!$A$1:$C$73,3,FALSE),"NA")</f>
        <v>2Central Puget Sound</v>
      </c>
      <c r="M3279" s="72" t="s">
        <v>15</v>
      </c>
      <c r="N3279" t="str">
        <f>VLOOKUP(M3279,LUTs!E$2:H$14,3,)</f>
        <v>02Skagit</v>
      </c>
      <c r="O3279" t="str">
        <f>VLOOKUP(M3279,LUTs!E$2:H$14,4,)</f>
        <v>01North Puget Sound</v>
      </c>
      <c r="P3279" s="73">
        <v>26.7</v>
      </c>
      <c r="Q3279" s="74">
        <f>VLOOKUP(B3279,Readme!A$40:C$51,2,)*P3279</f>
        <v>91.847999999999999</v>
      </c>
    </row>
    <row r="3280" spans="1:17" ht="12" customHeight="1" x14ac:dyDescent="0.35">
      <c r="A3280" s="75">
        <v>3279</v>
      </c>
      <c r="B3280" s="64">
        <v>2019</v>
      </c>
      <c r="C3280" s="64">
        <v>10</v>
      </c>
      <c r="D3280" s="80">
        <f t="shared" si="105"/>
        <v>2019</v>
      </c>
      <c r="E3280" t="s">
        <v>38</v>
      </c>
      <c r="F3280" t="s">
        <v>143</v>
      </c>
      <c r="G3280" t="s">
        <v>10</v>
      </c>
      <c r="H3280" s="72">
        <v>850</v>
      </c>
      <c r="I3280" s="72" t="s">
        <v>63</v>
      </c>
      <c r="J3280" t="str">
        <f t="shared" si="106"/>
        <v>Snohomish River</v>
      </c>
      <c r="K3280" t="str">
        <f>IFERROR(VLOOKUP(J3280,LUTs!$A$1:$C$73,2,FALSE),"NA")</f>
        <v>Snohomish</v>
      </c>
      <c r="L3280" t="str">
        <f>IFERROR(VLOOKUP(J3280,LUTs!$A$1:$C$73,3,FALSE),"NA")</f>
        <v>2Central Puget Sound</v>
      </c>
      <c r="M3280" s="72" t="s">
        <v>16</v>
      </c>
      <c r="N3280" t="str">
        <f>VLOOKUP(M3280,LUTs!E$2:H$14,3,)</f>
        <v>03Snohomish</v>
      </c>
      <c r="O3280" t="str">
        <f>VLOOKUP(M3280,LUTs!E$2:H$14,4,)</f>
        <v>01North Puget Sound</v>
      </c>
      <c r="P3280" s="73">
        <v>26.7</v>
      </c>
      <c r="Q3280" s="74">
        <f>VLOOKUP(B3280,Readme!A$40:C$51,2,)*P3280</f>
        <v>91.847999999999999</v>
      </c>
    </row>
    <row r="3281" spans="1:17" ht="12" customHeight="1" x14ac:dyDescent="0.35">
      <c r="A3281" s="75">
        <v>3280</v>
      </c>
      <c r="B3281" s="64">
        <v>2019</v>
      </c>
      <c r="C3281" s="64">
        <v>8</v>
      </c>
      <c r="D3281" s="80">
        <f t="shared" si="105"/>
        <v>2019</v>
      </c>
      <c r="E3281" t="s">
        <v>38</v>
      </c>
      <c r="F3281" t="s">
        <v>143</v>
      </c>
      <c r="G3281" t="s">
        <v>10</v>
      </c>
      <c r="H3281" s="72">
        <v>852</v>
      </c>
      <c r="I3281" s="72" t="s">
        <v>64</v>
      </c>
      <c r="J3281" t="str">
        <f t="shared" si="106"/>
        <v>Snoqualmie River</v>
      </c>
      <c r="K3281" t="str">
        <f>IFERROR(VLOOKUP(J3281,LUTs!$A$1:$C$73,2,FALSE),"NA")</f>
        <v>Snohomish/King</v>
      </c>
      <c r="L3281" t="str">
        <f>IFERROR(VLOOKUP(J3281,LUTs!$A$1:$C$73,3,FALSE),"NA")</f>
        <v>2Central Puget Sound</v>
      </c>
      <c r="M3281" s="72" t="s">
        <v>18</v>
      </c>
      <c r="N3281" t="str">
        <f>VLOOKUP(M3281,LUTs!E$2:H$14,3,)</f>
        <v>06King</v>
      </c>
      <c r="O3281" t="str">
        <f>VLOOKUP(M3281,LUTs!E$2:H$14,4,)</f>
        <v>02South Puget Sound</v>
      </c>
      <c r="P3281" s="73">
        <v>11</v>
      </c>
      <c r="Q3281" s="74">
        <f>VLOOKUP(B3281,Readme!A$40:C$51,2,)*P3281</f>
        <v>37.839999999999996</v>
      </c>
    </row>
    <row r="3282" spans="1:17" ht="12" customHeight="1" x14ac:dyDescent="0.35">
      <c r="A3282" s="75">
        <v>3281</v>
      </c>
      <c r="B3282" s="64">
        <v>2019</v>
      </c>
      <c r="C3282" s="64">
        <v>9</v>
      </c>
      <c r="D3282" s="80">
        <f t="shared" si="105"/>
        <v>2019</v>
      </c>
      <c r="E3282" t="s">
        <v>38</v>
      </c>
      <c r="F3282" t="s">
        <v>143</v>
      </c>
      <c r="G3282" t="s">
        <v>10</v>
      </c>
      <c r="H3282" s="72">
        <v>852</v>
      </c>
      <c r="I3282" s="72" t="s">
        <v>64</v>
      </c>
      <c r="J3282" t="str">
        <f t="shared" si="106"/>
        <v>Snoqualmie River</v>
      </c>
      <c r="K3282" t="str">
        <f>IFERROR(VLOOKUP(J3282,LUTs!$A$1:$C$73,2,FALSE),"NA")</f>
        <v>Snohomish/King</v>
      </c>
      <c r="L3282" t="str">
        <f>IFERROR(VLOOKUP(J3282,LUTs!$A$1:$C$73,3,FALSE),"NA")</f>
        <v>2Central Puget Sound</v>
      </c>
      <c r="M3282" s="72" t="s">
        <v>18</v>
      </c>
      <c r="N3282" t="str">
        <f>VLOOKUP(M3282,LUTs!E$2:H$14,3,)</f>
        <v>06King</v>
      </c>
      <c r="O3282" t="str">
        <f>VLOOKUP(M3282,LUTs!E$2:H$14,4,)</f>
        <v>02South Puget Sound</v>
      </c>
      <c r="P3282" s="73">
        <v>43.2</v>
      </c>
      <c r="Q3282" s="74">
        <f>VLOOKUP(B3282,Readme!A$40:C$51,2,)*P3282</f>
        <v>148.608</v>
      </c>
    </row>
    <row r="3283" spans="1:17" ht="12" customHeight="1" x14ac:dyDescent="0.35">
      <c r="A3283" s="75">
        <v>3282</v>
      </c>
      <c r="B3283" s="64">
        <v>2019</v>
      </c>
      <c r="C3283" s="64">
        <v>9</v>
      </c>
      <c r="D3283" s="80">
        <f t="shared" si="105"/>
        <v>2019</v>
      </c>
      <c r="E3283" t="s">
        <v>38</v>
      </c>
      <c r="F3283" t="s">
        <v>143</v>
      </c>
      <c r="G3283" t="s">
        <v>10</v>
      </c>
      <c r="H3283" s="72">
        <v>852</v>
      </c>
      <c r="I3283" s="72" t="s">
        <v>64</v>
      </c>
      <c r="J3283" t="str">
        <f t="shared" si="106"/>
        <v>Snoqualmie River</v>
      </c>
      <c r="K3283" t="str">
        <f>IFERROR(VLOOKUP(J3283,LUTs!$A$1:$C$73,2,FALSE),"NA")</f>
        <v>Snohomish/King</v>
      </c>
      <c r="L3283" t="str">
        <f>IFERROR(VLOOKUP(J3283,LUTs!$A$1:$C$73,3,FALSE),"NA")</f>
        <v>2Central Puget Sound</v>
      </c>
      <c r="M3283" s="72" t="s">
        <v>26</v>
      </c>
      <c r="N3283" t="str">
        <f>VLOOKUP(M3283,LUTs!E$2:H$14,3,)</f>
        <v>20Other</v>
      </c>
      <c r="O3283" t="str">
        <f>VLOOKUP(M3283,LUTs!E$2:H$14,4,)</f>
        <v>07Non Puget Sound</v>
      </c>
      <c r="P3283" s="73">
        <v>10.8</v>
      </c>
      <c r="Q3283" s="74">
        <f>VLOOKUP(B3283,Readme!A$40:C$51,2,)*P3283</f>
        <v>37.152000000000001</v>
      </c>
    </row>
    <row r="3284" spans="1:17" ht="12" customHeight="1" x14ac:dyDescent="0.35">
      <c r="A3284" s="75">
        <v>3283</v>
      </c>
      <c r="B3284" s="64">
        <v>2019</v>
      </c>
      <c r="C3284" s="64">
        <v>10</v>
      </c>
      <c r="D3284" s="80">
        <f t="shared" si="105"/>
        <v>2019</v>
      </c>
      <c r="E3284" t="s">
        <v>38</v>
      </c>
      <c r="F3284" t="s">
        <v>143</v>
      </c>
      <c r="G3284" t="s">
        <v>10</v>
      </c>
      <c r="H3284" s="72">
        <v>852</v>
      </c>
      <c r="I3284" s="72" t="s">
        <v>64</v>
      </c>
      <c r="J3284" t="str">
        <f t="shared" si="106"/>
        <v>Snoqualmie River</v>
      </c>
      <c r="K3284" t="str">
        <f>IFERROR(VLOOKUP(J3284,LUTs!$A$1:$C$73,2,FALSE),"NA")</f>
        <v>Snohomish/King</v>
      </c>
      <c r="L3284" t="str">
        <f>IFERROR(VLOOKUP(J3284,LUTs!$A$1:$C$73,3,FALSE),"NA")</f>
        <v>2Central Puget Sound</v>
      </c>
      <c r="M3284" s="72" t="s">
        <v>18</v>
      </c>
      <c r="N3284" t="str">
        <f>VLOOKUP(M3284,LUTs!E$2:H$14,3,)</f>
        <v>06King</v>
      </c>
      <c r="O3284" t="str">
        <f>VLOOKUP(M3284,LUTs!E$2:H$14,4,)</f>
        <v>02South Puget Sound</v>
      </c>
      <c r="P3284" s="73">
        <v>22</v>
      </c>
      <c r="Q3284" s="74">
        <f>VLOOKUP(B3284,Readme!A$40:C$51,2,)*P3284</f>
        <v>75.679999999999993</v>
      </c>
    </row>
    <row r="3285" spans="1:17" ht="12" customHeight="1" x14ac:dyDescent="0.35">
      <c r="A3285" s="75">
        <v>3284</v>
      </c>
      <c r="B3285" s="64">
        <v>2019</v>
      </c>
      <c r="C3285" s="64">
        <v>9</v>
      </c>
      <c r="D3285" s="80">
        <f t="shared" si="105"/>
        <v>2019</v>
      </c>
      <c r="E3285" t="s">
        <v>38</v>
      </c>
      <c r="F3285" t="s">
        <v>143</v>
      </c>
      <c r="G3285" t="s">
        <v>10</v>
      </c>
      <c r="H3285" s="72">
        <v>860</v>
      </c>
      <c r="I3285" s="72" t="s">
        <v>76</v>
      </c>
      <c r="J3285" t="str">
        <f t="shared" si="106"/>
        <v>Wallace River</v>
      </c>
      <c r="K3285" t="str">
        <f>IFERROR(VLOOKUP(J3285,LUTs!$A$1:$C$73,2,FALSE),"NA")</f>
        <v>Snohomish</v>
      </c>
      <c r="L3285" t="str">
        <f>IFERROR(VLOOKUP(J3285,LUTs!$A$1:$C$73,3,FALSE),"NA")</f>
        <v>2Central Puget Sound</v>
      </c>
      <c r="M3285" s="72" t="s">
        <v>18</v>
      </c>
      <c r="N3285" t="str">
        <f>VLOOKUP(M3285,LUTs!E$2:H$14,3,)</f>
        <v>06King</v>
      </c>
      <c r="O3285" t="str">
        <f>VLOOKUP(M3285,LUTs!E$2:H$14,4,)</f>
        <v>02South Puget Sound</v>
      </c>
      <c r="P3285" s="73">
        <v>43.3333333333333</v>
      </c>
      <c r="Q3285" s="74">
        <f>VLOOKUP(B3285,Readme!A$40:C$51,2,)*P3285</f>
        <v>149.06666666666655</v>
      </c>
    </row>
    <row r="3286" spans="1:17" ht="12" customHeight="1" x14ac:dyDescent="0.35">
      <c r="A3286" s="75">
        <v>3285</v>
      </c>
      <c r="B3286" s="64">
        <v>2019</v>
      </c>
      <c r="C3286" s="64">
        <v>9</v>
      </c>
      <c r="D3286" s="80">
        <f t="shared" si="105"/>
        <v>2019</v>
      </c>
      <c r="E3286" t="s">
        <v>38</v>
      </c>
      <c r="F3286" t="s">
        <v>143</v>
      </c>
      <c r="G3286" t="s">
        <v>10</v>
      </c>
      <c r="H3286" s="72">
        <v>860</v>
      </c>
      <c r="I3286" s="72" t="s">
        <v>76</v>
      </c>
      <c r="J3286" t="str">
        <f t="shared" si="106"/>
        <v>Wallace River</v>
      </c>
      <c r="K3286" t="str">
        <f>IFERROR(VLOOKUP(J3286,LUTs!$A$1:$C$73,2,FALSE),"NA")</f>
        <v>Snohomish</v>
      </c>
      <c r="L3286" t="str">
        <f>IFERROR(VLOOKUP(J3286,LUTs!$A$1:$C$73,3,FALSE),"NA")</f>
        <v>2Central Puget Sound</v>
      </c>
      <c r="M3286" s="72" t="s">
        <v>16</v>
      </c>
      <c r="N3286" t="str">
        <f>VLOOKUP(M3286,LUTs!E$2:H$14,3,)</f>
        <v>03Snohomish</v>
      </c>
      <c r="O3286" t="str">
        <f>VLOOKUP(M3286,LUTs!E$2:H$14,4,)</f>
        <v>01North Puget Sound</v>
      </c>
      <c r="P3286" s="73">
        <v>86.6666666666667</v>
      </c>
      <c r="Q3286" s="74">
        <f>VLOOKUP(B3286,Readme!A$40:C$51,2,)*P3286</f>
        <v>298.13333333333344</v>
      </c>
    </row>
    <row r="3287" spans="1:17" ht="12" customHeight="1" x14ac:dyDescent="0.35">
      <c r="A3287" s="75">
        <v>3286</v>
      </c>
      <c r="B3287" s="64">
        <v>2019</v>
      </c>
      <c r="C3287" s="64">
        <v>10</v>
      </c>
      <c r="D3287" s="80">
        <f t="shared" si="105"/>
        <v>2019</v>
      </c>
      <c r="E3287" t="s">
        <v>38</v>
      </c>
      <c r="F3287" t="s">
        <v>143</v>
      </c>
      <c r="G3287" t="s">
        <v>10</v>
      </c>
      <c r="H3287" s="72">
        <v>860</v>
      </c>
      <c r="I3287" s="72" t="s">
        <v>76</v>
      </c>
      <c r="J3287" t="str">
        <f t="shared" si="106"/>
        <v>Wallace River</v>
      </c>
      <c r="K3287" t="str">
        <f>IFERROR(VLOOKUP(J3287,LUTs!$A$1:$C$73,2,FALSE),"NA")</f>
        <v>Snohomish</v>
      </c>
      <c r="L3287" t="str">
        <f>IFERROR(VLOOKUP(J3287,LUTs!$A$1:$C$73,3,FALSE),"NA")</f>
        <v>2Central Puget Sound</v>
      </c>
      <c r="M3287" s="72" t="s">
        <v>18</v>
      </c>
      <c r="N3287" t="str">
        <f>VLOOKUP(M3287,LUTs!E$2:H$14,3,)</f>
        <v>06King</v>
      </c>
      <c r="O3287" t="str">
        <f>VLOOKUP(M3287,LUTs!E$2:H$14,4,)</f>
        <v>02South Puget Sound</v>
      </c>
      <c r="P3287" s="73">
        <v>108.5</v>
      </c>
      <c r="Q3287" s="74">
        <f>VLOOKUP(B3287,Readme!A$40:C$51,2,)*P3287</f>
        <v>373.24</v>
      </c>
    </row>
    <row r="3288" spans="1:17" ht="12" customHeight="1" x14ac:dyDescent="0.35">
      <c r="A3288" s="75">
        <v>3287</v>
      </c>
      <c r="B3288" s="64">
        <v>2019</v>
      </c>
      <c r="C3288" s="64">
        <v>10</v>
      </c>
      <c r="D3288" s="80">
        <f t="shared" si="105"/>
        <v>2019</v>
      </c>
      <c r="E3288" t="s">
        <v>38</v>
      </c>
      <c r="F3288" t="s">
        <v>143</v>
      </c>
      <c r="G3288" t="s">
        <v>10</v>
      </c>
      <c r="H3288" s="72">
        <v>860</v>
      </c>
      <c r="I3288" s="72" t="s">
        <v>76</v>
      </c>
      <c r="J3288" t="str">
        <f t="shared" si="106"/>
        <v>Wallace River</v>
      </c>
      <c r="K3288" t="str">
        <f>IFERROR(VLOOKUP(J3288,LUTs!$A$1:$C$73,2,FALSE),"NA")</f>
        <v>Snohomish</v>
      </c>
      <c r="L3288" t="str">
        <f>IFERROR(VLOOKUP(J3288,LUTs!$A$1:$C$73,3,FALSE),"NA")</f>
        <v>2Central Puget Sound</v>
      </c>
      <c r="M3288" s="72" t="s">
        <v>16</v>
      </c>
      <c r="N3288" t="str">
        <f>VLOOKUP(M3288,LUTs!E$2:H$14,3,)</f>
        <v>03Snohomish</v>
      </c>
      <c r="O3288" t="str">
        <f>VLOOKUP(M3288,LUTs!E$2:H$14,4,)</f>
        <v>01North Puget Sound</v>
      </c>
      <c r="P3288" s="73">
        <v>108.5</v>
      </c>
      <c r="Q3288" s="74">
        <f>VLOOKUP(B3288,Readme!A$40:C$51,2,)*P3288</f>
        <v>373.24</v>
      </c>
    </row>
    <row r="3289" spans="1:17" ht="12" customHeight="1" x14ac:dyDescent="0.35">
      <c r="A3289" s="75">
        <v>3288</v>
      </c>
      <c r="B3289" s="64">
        <v>2019</v>
      </c>
      <c r="C3289" s="64">
        <v>11</v>
      </c>
      <c r="D3289" s="80">
        <f t="shared" si="105"/>
        <v>2019</v>
      </c>
      <c r="E3289" t="s">
        <v>38</v>
      </c>
      <c r="F3289" t="s">
        <v>143</v>
      </c>
      <c r="G3289" t="s">
        <v>10</v>
      </c>
      <c r="H3289" s="72">
        <v>860</v>
      </c>
      <c r="I3289" s="72" t="s">
        <v>76</v>
      </c>
      <c r="J3289" t="str">
        <f t="shared" si="106"/>
        <v>Wallace River</v>
      </c>
      <c r="K3289" t="str">
        <f>IFERROR(VLOOKUP(J3289,LUTs!$A$1:$C$73,2,FALSE),"NA")</f>
        <v>Snohomish</v>
      </c>
      <c r="L3289" t="str">
        <f>IFERROR(VLOOKUP(J3289,LUTs!$A$1:$C$73,3,FALSE),"NA")</f>
        <v>2Central Puget Sound</v>
      </c>
      <c r="M3289" s="72" t="s">
        <v>18</v>
      </c>
      <c r="N3289" t="str">
        <f>VLOOKUP(M3289,LUTs!E$2:H$14,3,)</f>
        <v>06King</v>
      </c>
      <c r="O3289" t="str">
        <f>VLOOKUP(M3289,LUTs!E$2:H$14,4,)</f>
        <v>02South Puget Sound</v>
      </c>
      <c r="P3289" s="73">
        <v>32.4</v>
      </c>
      <c r="Q3289" s="74">
        <f>VLOOKUP(B3289,Readme!A$40:C$51,2,)*P3289</f>
        <v>111.45599999999999</v>
      </c>
    </row>
    <row r="3290" spans="1:17" ht="12" customHeight="1" x14ac:dyDescent="0.35">
      <c r="A3290" s="75">
        <v>3289</v>
      </c>
      <c r="B3290" s="64">
        <v>2019</v>
      </c>
      <c r="C3290" s="64">
        <v>11</v>
      </c>
      <c r="D3290" s="80">
        <f t="shared" si="105"/>
        <v>2019</v>
      </c>
      <c r="E3290" t="s">
        <v>38</v>
      </c>
      <c r="F3290" t="s">
        <v>143</v>
      </c>
      <c r="G3290" t="s">
        <v>10</v>
      </c>
      <c r="H3290" s="72">
        <v>860</v>
      </c>
      <c r="I3290" s="72" t="s">
        <v>76</v>
      </c>
      <c r="J3290" t="str">
        <f t="shared" si="106"/>
        <v>Wallace River</v>
      </c>
      <c r="K3290" t="str">
        <f>IFERROR(VLOOKUP(J3290,LUTs!$A$1:$C$73,2,FALSE),"NA")</f>
        <v>Snohomish</v>
      </c>
      <c r="L3290" t="str">
        <f>IFERROR(VLOOKUP(J3290,LUTs!$A$1:$C$73,3,FALSE),"NA")</f>
        <v>2Central Puget Sound</v>
      </c>
      <c r="M3290" s="72" t="s">
        <v>16</v>
      </c>
      <c r="N3290" t="str">
        <f>VLOOKUP(M3290,LUTs!E$2:H$14,3,)</f>
        <v>03Snohomish</v>
      </c>
      <c r="O3290" t="str">
        <f>VLOOKUP(M3290,LUTs!E$2:H$14,4,)</f>
        <v>01North Puget Sound</v>
      </c>
      <c r="P3290" s="73">
        <v>21.6</v>
      </c>
      <c r="Q3290" s="74">
        <f>VLOOKUP(B3290,Readme!A$40:C$51,2,)*P3290</f>
        <v>74.304000000000002</v>
      </c>
    </row>
    <row r="3291" spans="1:17" ht="12" customHeight="1" x14ac:dyDescent="0.35">
      <c r="A3291" s="75">
        <v>3290</v>
      </c>
      <c r="B3291" s="64">
        <v>2019</v>
      </c>
      <c r="C3291" s="64">
        <v>8</v>
      </c>
      <c r="D3291" s="80">
        <f t="shared" si="105"/>
        <v>2019</v>
      </c>
      <c r="E3291" t="s">
        <v>38</v>
      </c>
      <c r="F3291" t="s">
        <v>143</v>
      </c>
      <c r="G3291" t="s">
        <v>10</v>
      </c>
      <c r="H3291" s="72">
        <v>872</v>
      </c>
      <c r="I3291" s="72" t="s">
        <v>65</v>
      </c>
      <c r="J3291" t="str">
        <f t="shared" si="106"/>
        <v>Stillaguamish River</v>
      </c>
      <c r="K3291" t="str">
        <f>IFERROR(VLOOKUP(J3291,LUTs!$A$1:$C$73,2,FALSE),"NA")</f>
        <v>Snohomish</v>
      </c>
      <c r="L3291" t="str">
        <f>IFERROR(VLOOKUP(J3291,LUTs!$A$1:$C$73,3,FALSE),"NA")</f>
        <v>2Central Puget Sound</v>
      </c>
      <c r="M3291" s="72" t="s">
        <v>16</v>
      </c>
      <c r="N3291" t="str">
        <f>VLOOKUP(M3291,LUTs!E$2:H$14,3,)</f>
        <v>03Snohomish</v>
      </c>
      <c r="O3291" t="str">
        <f>VLOOKUP(M3291,LUTs!E$2:H$14,4,)</f>
        <v>01North Puget Sound</v>
      </c>
      <c r="P3291" s="73">
        <v>11</v>
      </c>
      <c r="Q3291" s="74">
        <f>VLOOKUP(B3291,Readme!A$40:C$51,2,)*P3291</f>
        <v>37.839999999999996</v>
      </c>
    </row>
    <row r="3292" spans="1:17" ht="12" customHeight="1" x14ac:dyDescent="0.35">
      <c r="A3292" s="75">
        <v>3291</v>
      </c>
      <c r="B3292" s="64">
        <v>2019</v>
      </c>
      <c r="C3292" s="64">
        <v>9</v>
      </c>
      <c r="D3292" s="80">
        <f t="shared" si="105"/>
        <v>2019</v>
      </c>
      <c r="E3292" t="s">
        <v>38</v>
      </c>
      <c r="F3292" t="s">
        <v>143</v>
      </c>
      <c r="G3292" t="s">
        <v>10</v>
      </c>
      <c r="H3292" s="72">
        <v>872</v>
      </c>
      <c r="I3292" s="72" t="s">
        <v>65</v>
      </c>
      <c r="J3292" t="str">
        <f t="shared" si="106"/>
        <v>Stillaguamish River</v>
      </c>
      <c r="K3292" t="str">
        <f>IFERROR(VLOOKUP(J3292,LUTs!$A$1:$C$73,2,FALSE),"NA")</f>
        <v>Snohomish</v>
      </c>
      <c r="L3292" t="str">
        <f>IFERROR(VLOOKUP(J3292,LUTs!$A$1:$C$73,3,FALSE),"NA")</f>
        <v>2Central Puget Sound</v>
      </c>
      <c r="M3292" s="72" t="s">
        <v>26</v>
      </c>
      <c r="N3292" t="str">
        <f>VLOOKUP(M3292,LUTs!E$2:H$14,3,)</f>
        <v>20Other</v>
      </c>
      <c r="O3292" t="str">
        <f>VLOOKUP(M3292,LUTs!E$2:H$14,4,)</f>
        <v>07Non Puget Sound</v>
      </c>
      <c r="P3292" s="73">
        <v>22.210526315789501</v>
      </c>
      <c r="Q3292" s="74">
        <f>VLOOKUP(B3292,Readme!A$40:C$51,2,)*P3292</f>
        <v>76.404210526315879</v>
      </c>
    </row>
    <row r="3293" spans="1:17" ht="12" customHeight="1" x14ac:dyDescent="0.35">
      <c r="A3293" s="75">
        <v>3292</v>
      </c>
      <c r="B3293" s="64">
        <v>2019</v>
      </c>
      <c r="C3293" s="64">
        <v>9</v>
      </c>
      <c r="D3293" s="80">
        <f t="shared" si="105"/>
        <v>2019</v>
      </c>
      <c r="E3293" t="s">
        <v>38</v>
      </c>
      <c r="F3293" t="s">
        <v>143</v>
      </c>
      <c r="G3293" t="s">
        <v>10</v>
      </c>
      <c r="H3293" s="72">
        <v>872</v>
      </c>
      <c r="I3293" s="72" t="s">
        <v>65</v>
      </c>
      <c r="J3293" t="str">
        <f t="shared" si="106"/>
        <v>Stillaguamish River</v>
      </c>
      <c r="K3293" t="str">
        <f>IFERROR(VLOOKUP(J3293,LUTs!$A$1:$C$73,2,FALSE),"NA")</f>
        <v>Snohomish</v>
      </c>
      <c r="L3293" t="str">
        <f>IFERROR(VLOOKUP(J3293,LUTs!$A$1:$C$73,3,FALSE),"NA")</f>
        <v>2Central Puget Sound</v>
      </c>
      <c r="M3293" s="72" t="s">
        <v>20</v>
      </c>
      <c r="N3293" t="str">
        <f>VLOOKUP(M3293,LUTs!E$2:H$14,3,)</f>
        <v>07Pierce</v>
      </c>
      <c r="O3293" t="str">
        <f>VLOOKUP(M3293,LUTs!E$2:H$14,4,)</f>
        <v>02South Puget Sound</v>
      </c>
      <c r="P3293" s="73">
        <v>11.105263157894701</v>
      </c>
      <c r="Q3293" s="74">
        <f>VLOOKUP(B3293,Readme!A$40:C$51,2,)*P3293</f>
        <v>38.202105263157769</v>
      </c>
    </row>
    <row r="3294" spans="1:17" ht="12" customHeight="1" x14ac:dyDescent="0.35">
      <c r="A3294" s="75">
        <v>3293</v>
      </c>
      <c r="B3294" s="64">
        <v>2019</v>
      </c>
      <c r="C3294" s="64">
        <v>9</v>
      </c>
      <c r="D3294" s="80">
        <f t="shared" si="105"/>
        <v>2019</v>
      </c>
      <c r="E3294" t="s">
        <v>38</v>
      </c>
      <c r="F3294" t="s">
        <v>143</v>
      </c>
      <c r="G3294" t="s">
        <v>10</v>
      </c>
      <c r="H3294" s="72">
        <v>872</v>
      </c>
      <c r="I3294" s="72" t="s">
        <v>65</v>
      </c>
      <c r="J3294" t="str">
        <f t="shared" si="106"/>
        <v>Stillaguamish River</v>
      </c>
      <c r="K3294" t="str">
        <f>IFERROR(VLOOKUP(J3294,LUTs!$A$1:$C$73,2,FALSE),"NA")</f>
        <v>Snohomish</v>
      </c>
      <c r="L3294" t="str">
        <f>IFERROR(VLOOKUP(J3294,LUTs!$A$1:$C$73,3,FALSE),"NA")</f>
        <v>2Central Puget Sound</v>
      </c>
      <c r="M3294" s="72" t="s">
        <v>16</v>
      </c>
      <c r="N3294" t="str">
        <f>VLOOKUP(M3294,LUTs!E$2:H$14,3,)</f>
        <v>03Snohomish</v>
      </c>
      <c r="O3294" t="str">
        <f>VLOOKUP(M3294,LUTs!E$2:H$14,4,)</f>
        <v>01North Puget Sound</v>
      </c>
      <c r="P3294" s="73">
        <v>177.68421052631601</v>
      </c>
      <c r="Q3294" s="74">
        <f>VLOOKUP(B3294,Readme!A$40:C$51,2,)*P3294</f>
        <v>611.23368421052703</v>
      </c>
    </row>
    <row r="3295" spans="1:17" ht="12" customHeight="1" x14ac:dyDescent="0.35">
      <c r="A3295" s="75">
        <v>3294</v>
      </c>
      <c r="B3295" s="64">
        <v>2019</v>
      </c>
      <c r="C3295" s="64">
        <v>10</v>
      </c>
      <c r="D3295" s="80">
        <f t="shared" si="105"/>
        <v>2019</v>
      </c>
      <c r="E3295" t="s">
        <v>38</v>
      </c>
      <c r="F3295" t="s">
        <v>143</v>
      </c>
      <c r="G3295" t="s">
        <v>10</v>
      </c>
      <c r="H3295" s="72">
        <v>872</v>
      </c>
      <c r="I3295" s="72" t="s">
        <v>65</v>
      </c>
      <c r="J3295" t="str">
        <f t="shared" si="106"/>
        <v>Stillaguamish River</v>
      </c>
      <c r="K3295" t="str">
        <f>IFERROR(VLOOKUP(J3295,LUTs!$A$1:$C$73,2,FALSE),"NA")</f>
        <v>Snohomish</v>
      </c>
      <c r="L3295" t="str">
        <f>IFERROR(VLOOKUP(J3295,LUTs!$A$1:$C$73,3,FALSE),"NA")</f>
        <v>2Central Puget Sound</v>
      </c>
      <c r="M3295" s="72" t="s">
        <v>18</v>
      </c>
      <c r="N3295" t="str">
        <f>VLOOKUP(M3295,LUTs!E$2:H$14,3,)</f>
        <v>06King</v>
      </c>
      <c r="O3295" t="str">
        <f>VLOOKUP(M3295,LUTs!E$2:H$14,4,)</f>
        <v>02South Puget Sound</v>
      </c>
      <c r="P3295" s="73">
        <v>22.1875</v>
      </c>
      <c r="Q3295" s="74">
        <f>VLOOKUP(B3295,Readme!A$40:C$51,2,)*P3295</f>
        <v>76.325000000000003</v>
      </c>
    </row>
    <row r="3296" spans="1:17" ht="12" customHeight="1" x14ac:dyDescent="0.35">
      <c r="A3296" s="75">
        <v>3295</v>
      </c>
      <c r="B3296" s="64">
        <v>2019</v>
      </c>
      <c r="C3296" s="64">
        <v>10</v>
      </c>
      <c r="D3296" s="80">
        <f t="shared" si="105"/>
        <v>2019</v>
      </c>
      <c r="E3296" t="s">
        <v>38</v>
      </c>
      <c r="F3296" t="s">
        <v>143</v>
      </c>
      <c r="G3296" t="s">
        <v>10</v>
      </c>
      <c r="H3296" s="72">
        <v>872</v>
      </c>
      <c r="I3296" s="72" t="s">
        <v>65</v>
      </c>
      <c r="J3296" t="str">
        <f t="shared" si="106"/>
        <v>Stillaguamish River</v>
      </c>
      <c r="K3296" t="str">
        <f>IFERROR(VLOOKUP(J3296,LUTs!$A$1:$C$73,2,FALSE),"NA")</f>
        <v>Snohomish</v>
      </c>
      <c r="L3296" t="str">
        <f>IFERROR(VLOOKUP(J3296,LUTs!$A$1:$C$73,3,FALSE),"NA")</f>
        <v>2Central Puget Sound</v>
      </c>
      <c r="M3296" s="72" t="s">
        <v>15</v>
      </c>
      <c r="N3296" t="str">
        <f>VLOOKUP(M3296,LUTs!E$2:H$14,3,)</f>
        <v>02Skagit</v>
      </c>
      <c r="O3296" t="str">
        <f>VLOOKUP(M3296,LUTs!E$2:H$14,4,)</f>
        <v>01North Puget Sound</v>
      </c>
      <c r="P3296" s="73">
        <v>22.1875</v>
      </c>
      <c r="Q3296" s="74">
        <f>VLOOKUP(B3296,Readme!A$40:C$51,2,)*P3296</f>
        <v>76.325000000000003</v>
      </c>
    </row>
    <row r="3297" spans="1:17" ht="12" customHeight="1" x14ac:dyDescent="0.35">
      <c r="A3297" s="75">
        <v>3296</v>
      </c>
      <c r="B3297" s="64">
        <v>2019</v>
      </c>
      <c r="C3297" s="64">
        <v>10</v>
      </c>
      <c r="D3297" s="80">
        <f t="shared" si="105"/>
        <v>2019</v>
      </c>
      <c r="E3297" t="s">
        <v>38</v>
      </c>
      <c r="F3297" t="s">
        <v>143</v>
      </c>
      <c r="G3297" t="s">
        <v>10</v>
      </c>
      <c r="H3297" s="72">
        <v>872</v>
      </c>
      <c r="I3297" s="72" t="s">
        <v>65</v>
      </c>
      <c r="J3297" t="str">
        <f t="shared" si="106"/>
        <v>Stillaguamish River</v>
      </c>
      <c r="K3297" t="str">
        <f>IFERROR(VLOOKUP(J3297,LUTs!$A$1:$C$73,2,FALSE),"NA")</f>
        <v>Snohomish</v>
      </c>
      <c r="L3297" t="str">
        <f>IFERROR(VLOOKUP(J3297,LUTs!$A$1:$C$73,3,FALSE),"NA")</f>
        <v>2Central Puget Sound</v>
      </c>
      <c r="M3297" s="72" t="s">
        <v>16</v>
      </c>
      <c r="N3297" t="str">
        <f>VLOOKUP(M3297,LUTs!E$2:H$14,3,)</f>
        <v>03Snohomish</v>
      </c>
      <c r="O3297" t="str">
        <f>VLOOKUP(M3297,LUTs!E$2:H$14,4,)</f>
        <v>01North Puget Sound</v>
      </c>
      <c r="P3297" s="73">
        <v>621.25</v>
      </c>
      <c r="Q3297" s="74">
        <f>VLOOKUP(B3297,Readme!A$40:C$51,2,)*P3297</f>
        <v>2137.1</v>
      </c>
    </row>
    <row r="3298" spans="1:17" ht="12" customHeight="1" x14ac:dyDescent="0.35">
      <c r="A3298" s="75">
        <v>3297</v>
      </c>
      <c r="B3298" s="64">
        <v>2019</v>
      </c>
      <c r="C3298" s="64">
        <v>10</v>
      </c>
      <c r="D3298" s="80">
        <f t="shared" si="105"/>
        <v>2019</v>
      </c>
      <c r="E3298" t="s">
        <v>38</v>
      </c>
      <c r="F3298" t="s">
        <v>143</v>
      </c>
      <c r="G3298" t="s">
        <v>10</v>
      </c>
      <c r="H3298" s="72">
        <v>872</v>
      </c>
      <c r="I3298" s="72" t="s">
        <v>65</v>
      </c>
      <c r="J3298" t="str">
        <f t="shared" si="106"/>
        <v>Stillaguamish River</v>
      </c>
      <c r="K3298" t="str">
        <f>IFERROR(VLOOKUP(J3298,LUTs!$A$1:$C$73,2,FALSE),"NA")</f>
        <v>Snohomish</v>
      </c>
      <c r="L3298" t="str">
        <f>IFERROR(VLOOKUP(J3298,LUTs!$A$1:$C$73,3,FALSE),"NA")</f>
        <v>2Central Puget Sound</v>
      </c>
      <c r="M3298" s="72" t="s">
        <v>13</v>
      </c>
      <c r="N3298" t="str">
        <f>VLOOKUP(M3298,LUTs!E$2:H$14,3,)</f>
        <v>01Whatcom</v>
      </c>
      <c r="O3298" t="str">
        <f>VLOOKUP(M3298,LUTs!E$2:H$14,4,)</f>
        <v>01North Puget Sound</v>
      </c>
      <c r="P3298" s="73">
        <v>44.375</v>
      </c>
      <c r="Q3298" s="74">
        <f>VLOOKUP(B3298,Readme!A$40:C$51,2,)*P3298</f>
        <v>152.65</v>
      </c>
    </row>
    <row r="3299" spans="1:17" ht="12" customHeight="1" x14ac:dyDescent="0.35">
      <c r="A3299" s="75">
        <v>3298</v>
      </c>
      <c r="B3299" s="64">
        <v>2019</v>
      </c>
      <c r="C3299" s="64">
        <v>11</v>
      </c>
      <c r="D3299" s="80">
        <f t="shared" si="105"/>
        <v>2019</v>
      </c>
      <c r="E3299" t="s">
        <v>38</v>
      </c>
      <c r="F3299" t="s">
        <v>143</v>
      </c>
      <c r="G3299" t="s">
        <v>10</v>
      </c>
      <c r="H3299" s="72">
        <v>872</v>
      </c>
      <c r="I3299" s="72" t="s">
        <v>65</v>
      </c>
      <c r="J3299" t="str">
        <f t="shared" si="106"/>
        <v>Stillaguamish River</v>
      </c>
      <c r="K3299" t="str">
        <f>IFERROR(VLOOKUP(J3299,LUTs!$A$1:$C$73,2,FALSE),"NA")</f>
        <v>Snohomish</v>
      </c>
      <c r="L3299" t="str">
        <f>IFERROR(VLOOKUP(J3299,LUTs!$A$1:$C$73,3,FALSE),"NA")</f>
        <v>2Central Puget Sound</v>
      </c>
      <c r="M3299" s="72" t="s">
        <v>16</v>
      </c>
      <c r="N3299" t="str">
        <f>VLOOKUP(M3299,LUTs!E$2:H$14,3,)</f>
        <v>03Snohomish</v>
      </c>
      <c r="O3299" t="str">
        <f>VLOOKUP(M3299,LUTs!E$2:H$14,4,)</f>
        <v>01North Puget Sound</v>
      </c>
      <c r="P3299" s="73">
        <v>11</v>
      </c>
      <c r="Q3299" s="74">
        <f>VLOOKUP(B3299,Readme!A$40:C$51,2,)*P3299</f>
        <v>37.839999999999996</v>
      </c>
    </row>
    <row r="3300" spans="1:17" ht="12" customHeight="1" x14ac:dyDescent="0.35">
      <c r="A3300" s="75">
        <v>3299</v>
      </c>
      <c r="B3300" s="64">
        <v>2019</v>
      </c>
      <c r="C3300" s="64">
        <v>8</v>
      </c>
      <c r="D3300" s="80">
        <f t="shared" si="105"/>
        <v>2019</v>
      </c>
      <c r="E3300" t="s">
        <v>38</v>
      </c>
      <c r="F3300" t="s">
        <v>143</v>
      </c>
      <c r="G3300" t="s">
        <v>10</v>
      </c>
      <c r="H3300" s="72">
        <v>884</v>
      </c>
      <c r="I3300" s="72" t="s">
        <v>66</v>
      </c>
      <c r="J3300" t="str">
        <f t="shared" si="106"/>
        <v>Whatcom Creek</v>
      </c>
      <c r="K3300" t="str">
        <f>IFERROR(VLOOKUP(J3300,LUTs!$A$1:$C$73,2,FALSE),"NA")</f>
        <v>Whatcom</v>
      </c>
      <c r="L3300" t="str">
        <f>IFERROR(VLOOKUP(J3300,LUTs!$A$1:$C$73,3,FALSE),"NA")</f>
        <v>1North Puget Sound</v>
      </c>
      <c r="M3300" s="72" t="s">
        <v>18</v>
      </c>
      <c r="N3300" t="str">
        <f>VLOOKUP(M3300,LUTs!E$2:H$14,3,)</f>
        <v>06King</v>
      </c>
      <c r="O3300" t="str">
        <f>VLOOKUP(M3300,LUTs!E$2:H$14,4,)</f>
        <v>02South Puget Sound</v>
      </c>
      <c r="P3300" s="73">
        <v>10.25</v>
      </c>
      <c r="Q3300" s="74">
        <f>VLOOKUP(B3300,Readme!A$40:C$51,2,)*P3300</f>
        <v>35.26</v>
      </c>
    </row>
    <row r="3301" spans="1:17" ht="12" customHeight="1" x14ac:dyDescent="0.35">
      <c r="A3301" s="75">
        <v>3300</v>
      </c>
      <c r="B3301" s="64">
        <v>2019</v>
      </c>
      <c r="C3301" s="64">
        <v>8</v>
      </c>
      <c r="D3301" s="80">
        <f t="shared" si="105"/>
        <v>2019</v>
      </c>
      <c r="E3301" t="s">
        <v>38</v>
      </c>
      <c r="F3301" t="s">
        <v>143</v>
      </c>
      <c r="G3301" t="s">
        <v>10</v>
      </c>
      <c r="H3301" s="72">
        <v>884</v>
      </c>
      <c r="I3301" s="72" t="s">
        <v>66</v>
      </c>
      <c r="J3301" t="str">
        <f t="shared" si="106"/>
        <v>Whatcom Creek</v>
      </c>
      <c r="K3301" t="str">
        <f>IFERROR(VLOOKUP(J3301,LUTs!$A$1:$C$73,2,FALSE),"NA")</f>
        <v>Whatcom</v>
      </c>
      <c r="L3301" t="str">
        <f>IFERROR(VLOOKUP(J3301,LUTs!$A$1:$C$73,3,FALSE),"NA")</f>
        <v>1North Puget Sound</v>
      </c>
      <c r="M3301" s="72" t="s">
        <v>13</v>
      </c>
      <c r="N3301" t="str">
        <f>VLOOKUP(M3301,LUTs!E$2:H$14,3,)</f>
        <v>01Whatcom</v>
      </c>
      <c r="O3301" t="str">
        <f>VLOOKUP(M3301,LUTs!E$2:H$14,4,)</f>
        <v>01North Puget Sound</v>
      </c>
      <c r="P3301" s="73">
        <v>30.75</v>
      </c>
      <c r="Q3301" s="74">
        <f>VLOOKUP(B3301,Readme!A$40:C$51,2,)*P3301</f>
        <v>105.78</v>
      </c>
    </row>
    <row r="3302" spans="1:17" ht="12" customHeight="1" x14ac:dyDescent="0.35">
      <c r="A3302" s="75">
        <v>3301</v>
      </c>
      <c r="B3302" s="64">
        <v>2019</v>
      </c>
      <c r="C3302" s="64">
        <v>9</v>
      </c>
      <c r="D3302" s="80">
        <f t="shared" si="105"/>
        <v>2019</v>
      </c>
      <c r="E3302" t="s">
        <v>38</v>
      </c>
      <c r="F3302" t="s">
        <v>143</v>
      </c>
      <c r="G3302" t="s">
        <v>10</v>
      </c>
      <c r="H3302" s="72">
        <v>884</v>
      </c>
      <c r="I3302" s="72" t="s">
        <v>66</v>
      </c>
      <c r="J3302" t="str">
        <f t="shared" si="106"/>
        <v>Whatcom Creek</v>
      </c>
      <c r="K3302" t="str">
        <f>IFERROR(VLOOKUP(J3302,LUTs!$A$1:$C$73,2,FALSE),"NA")</f>
        <v>Whatcom</v>
      </c>
      <c r="L3302" t="str">
        <f>IFERROR(VLOOKUP(J3302,LUTs!$A$1:$C$73,3,FALSE),"NA")</f>
        <v>1North Puget Sound</v>
      </c>
      <c r="M3302" s="72" t="s">
        <v>13</v>
      </c>
      <c r="N3302" t="str">
        <f>VLOOKUP(M3302,LUTs!E$2:H$14,3,)</f>
        <v>01Whatcom</v>
      </c>
      <c r="O3302" t="str">
        <f>VLOOKUP(M3302,LUTs!E$2:H$14,4,)</f>
        <v>01North Puget Sound</v>
      </c>
      <c r="P3302" s="73">
        <v>31</v>
      </c>
      <c r="Q3302" s="74">
        <f>VLOOKUP(B3302,Readme!A$40:C$51,2,)*P3302</f>
        <v>106.64</v>
      </c>
    </row>
    <row r="3303" spans="1:17" ht="12" customHeight="1" x14ac:dyDescent="0.35">
      <c r="A3303" s="75">
        <v>3302</v>
      </c>
      <c r="B3303" s="64">
        <v>2019</v>
      </c>
      <c r="C3303" s="64">
        <v>10</v>
      </c>
      <c r="D3303" s="80">
        <f t="shared" si="105"/>
        <v>2019</v>
      </c>
      <c r="E3303" t="s">
        <v>38</v>
      </c>
      <c r="F3303" t="s">
        <v>143</v>
      </c>
      <c r="G3303" t="s">
        <v>10</v>
      </c>
      <c r="H3303" s="72">
        <v>884</v>
      </c>
      <c r="I3303" s="72" t="s">
        <v>66</v>
      </c>
      <c r="J3303" t="str">
        <f t="shared" si="106"/>
        <v>Whatcom Creek</v>
      </c>
      <c r="K3303" t="str">
        <f>IFERROR(VLOOKUP(J3303,LUTs!$A$1:$C$73,2,FALSE),"NA")</f>
        <v>Whatcom</v>
      </c>
      <c r="L3303" t="str">
        <f>IFERROR(VLOOKUP(J3303,LUTs!$A$1:$C$73,3,FALSE),"NA")</f>
        <v>1North Puget Sound</v>
      </c>
      <c r="M3303" s="72" t="s">
        <v>16</v>
      </c>
      <c r="N3303" t="str">
        <f>VLOOKUP(M3303,LUTs!E$2:H$14,3,)</f>
        <v>03Snohomish</v>
      </c>
      <c r="O3303" t="str">
        <f>VLOOKUP(M3303,LUTs!E$2:H$14,4,)</f>
        <v>01North Puget Sound</v>
      </c>
      <c r="P3303" s="73">
        <v>20.571428571428601</v>
      </c>
      <c r="Q3303" s="74">
        <f>VLOOKUP(B3303,Readme!A$40:C$51,2,)*P3303</f>
        <v>70.765714285714381</v>
      </c>
    </row>
    <row r="3304" spans="1:17" ht="12" customHeight="1" x14ac:dyDescent="0.35">
      <c r="A3304" s="75">
        <v>3303</v>
      </c>
      <c r="B3304" s="64">
        <v>2019</v>
      </c>
      <c r="C3304" s="64">
        <v>10</v>
      </c>
      <c r="D3304" s="80">
        <f t="shared" si="105"/>
        <v>2019</v>
      </c>
      <c r="E3304" t="s">
        <v>38</v>
      </c>
      <c r="F3304" t="s">
        <v>143</v>
      </c>
      <c r="G3304" t="s">
        <v>10</v>
      </c>
      <c r="H3304" s="72">
        <v>884</v>
      </c>
      <c r="I3304" s="72" t="s">
        <v>66</v>
      </c>
      <c r="J3304" t="str">
        <f t="shared" si="106"/>
        <v>Whatcom Creek</v>
      </c>
      <c r="K3304" t="str">
        <f>IFERROR(VLOOKUP(J3304,LUTs!$A$1:$C$73,2,FALSE),"NA")</f>
        <v>Whatcom</v>
      </c>
      <c r="L3304" t="str">
        <f>IFERROR(VLOOKUP(J3304,LUTs!$A$1:$C$73,3,FALSE),"NA")</f>
        <v>1North Puget Sound</v>
      </c>
      <c r="M3304" s="72" t="s">
        <v>13</v>
      </c>
      <c r="N3304" t="str">
        <f>VLOOKUP(M3304,LUTs!E$2:H$14,3,)</f>
        <v>01Whatcom</v>
      </c>
      <c r="O3304" t="str">
        <f>VLOOKUP(M3304,LUTs!E$2:H$14,4,)</f>
        <v>01North Puget Sound</v>
      </c>
      <c r="P3304" s="73">
        <v>51.428571428571402</v>
      </c>
      <c r="Q3304" s="74">
        <f>VLOOKUP(B3304,Readme!A$40:C$51,2,)*P3304</f>
        <v>176.91428571428563</v>
      </c>
    </row>
    <row r="3305" spans="1:17" ht="12" customHeight="1" x14ac:dyDescent="0.35">
      <c r="A3305" s="75">
        <v>3304</v>
      </c>
      <c r="B3305" s="64">
        <v>2019</v>
      </c>
      <c r="C3305" s="64">
        <v>11</v>
      </c>
      <c r="D3305" s="80">
        <f t="shared" si="105"/>
        <v>2019</v>
      </c>
      <c r="E3305" t="s">
        <v>38</v>
      </c>
      <c r="F3305" t="s">
        <v>143</v>
      </c>
      <c r="G3305" t="s">
        <v>10</v>
      </c>
      <c r="H3305" s="72">
        <v>884</v>
      </c>
      <c r="I3305" s="72" t="s">
        <v>66</v>
      </c>
      <c r="J3305" t="str">
        <f t="shared" si="106"/>
        <v>Whatcom Creek</v>
      </c>
      <c r="K3305" t="str">
        <f>IFERROR(VLOOKUP(J3305,LUTs!$A$1:$C$73,2,FALSE),"NA")</f>
        <v>Whatcom</v>
      </c>
      <c r="L3305" t="str">
        <f>IFERROR(VLOOKUP(J3305,LUTs!$A$1:$C$73,3,FALSE),"NA")</f>
        <v>1North Puget Sound</v>
      </c>
      <c r="M3305" s="72" t="s">
        <v>18</v>
      </c>
      <c r="N3305" t="str">
        <f>VLOOKUP(M3305,LUTs!E$2:H$14,3,)</f>
        <v>06King</v>
      </c>
      <c r="O3305" t="str">
        <f>VLOOKUP(M3305,LUTs!E$2:H$14,4,)</f>
        <v>02South Puget Sound</v>
      </c>
      <c r="P3305" s="73">
        <v>21.6</v>
      </c>
      <c r="Q3305" s="74">
        <f>VLOOKUP(B3305,Readme!A$40:C$51,2,)*P3305</f>
        <v>74.304000000000002</v>
      </c>
    </row>
    <row r="3306" spans="1:17" ht="12" customHeight="1" x14ac:dyDescent="0.35">
      <c r="A3306" s="75">
        <v>3305</v>
      </c>
      <c r="B3306" s="64">
        <v>2019</v>
      </c>
      <c r="C3306" s="64">
        <v>11</v>
      </c>
      <c r="D3306" s="80">
        <f t="shared" si="105"/>
        <v>2019</v>
      </c>
      <c r="E3306" t="s">
        <v>38</v>
      </c>
      <c r="F3306" t="s">
        <v>143</v>
      </c>
      <c r="G3306" t="s">
        <v>10</v>
      </c>
      <c r="H3306" s="72">
        <v>884</v>
      </c>
      <c r="I3306" s="72" t="s">
        <v>66</v>
      </c>
      <c r="J3306" t="str">
        <f t="shared" si="106"/>
        <v>Whatcom Creek</v>
      </c>
      <c r="K3306" t="str">
        <f>IFERROR(VLOOKUP(J3306,LUTs!$A$1:$C$73,2,FALSE),"NA")</f>
        <v>Whatcom</v>
      </c>
      <c r="L3306" t="str">
        <f>IFERROR(VLOOKUP(J3306,LUTs!$A$1:$C$73,3,FALSE),"NA")</f>
        <v>1North Puget Sound</v>
      </c>
      <c r="M3306" s="72" t="s">
        <v>15</v>
      </c>
      <c r="N3306" t="str">
        <f>VLOOKUP(M3306,LUTs!E$2:H$14,3,)</f>
        <v>02Skagit</v>
      </c>
      <c r="O3306" t="str">
        <f>VLOOKUP(M3306,LUTs!E$2:H$14,4,)</f>
        <v>01North Puget Sound</v>
      </c>
      <c r="P3306" s="73">
        <v>75.599999999999994</v>
      </c>
      <c r="Q3306" s="74">
        <f>VLOOKUP(B3306,Readme!A$40:C$51,2,)*P3306</f>
        <v>260.06399999999996</v>
      </c>
    </row>
    <row r="3307" spans="1:17" ht="12" customHeight="1" x14ac:dyDescent="0.35">
      <c r="A3307" s="75">
        <v>3306</v>
      </c>
      <c r="B3307" s="64">
        <v>2019</v>
      </c>
      <c r="C3307" s="64">
        <v>11</v>
      </c>
      <c r="D3307" s="80">
        <f t="shared" si="105"/>
        <v>2019</v>
      </c>
      <c r="E3307" t="s">
        <v>38</v>
      </c>
      <c r="F3307" t="s">
        <v>143</v>
      </c>
      <c r="G3307" t="s">
        <v>10</v>
      </c>
      <c r="H3307" s="72">
        <v>884</v>
      </c>
      <c r="I3307" s="72" t="s">
        <v>66</v>
      </c>
      <c r="J3307" t="str">
        <f t="shared" si="106"/>
        <v>Whatcom Creek</v>
      </c>
      <c r="K3307" t="str">
        <f>IFERROR(VLOOKUP(J3307,LUTs!$A$1:$C$73,2,FALSE),"NA")</f>
        <v>Whatcom</v>
      </c>
      <c r="L3307" t="str">
        <f>IFERROR(VLOOKUP(J3307,LUTs!$A$1:$C$73,3,FALSE),"NA")</f>
        <v>1North Puget Sound</v>
      </c>
      <c r="M3307" s="72" t="s">
        <v>16</v>
      </c>
      <c r="N3307" t="str">
        <f>VLOOKUP(M3307,LUTs!E$2:H$14,3,)</f>
        <v>03Snohomish</v>
      </c>
      <c r="O3307" t="str">
        <f>VLOOKUP(M3307,LUTs!E$2:H$14,4,)</f>
        <v>01North Puget Sound</v>
      </c>
      <c r="P3307" s="73">
        <v>21.6</v>
      </c>
      <c r="Q3307" s="74">
        <f>VLOOKUP(B3307,Readme!A$40:C$51,2,)*P3307</f>
        <v>74.304000000000002</v>
      </c>
    </row>
    <row r="3308" spans="1:17" ht="12" customHeight="1" x14ac:dyDescent="0.35">
      <c r="A3308" s="75">
        <v>3307</v>
      </c>
      <c r="B3308" s="64">
        <v>2019</v>
      </c>
      <c r="C3308" s="64">
        <v>11</v>
      </c>
      <c r="D3308" s="80">
        <f t="shared" si="105"/>
        <v>2019</v>
      </c>
      <c r="E3308" t="s">
        <v>38</v>
      </c>
      <c r="F3308" t="s">
        <v>143</v>
      </c>
      <c r="G3308" t="s">
        <v>10</v>
      </c>
      <c r="H3308" s="72">
        <v>884</v>
      </c>
      <c r="I3308" s="72" t="s">
        <v>66</v>
      </c>
      <c r="J3308" t="str">
        <f t="shared" si="106"/>
        <v>Whatcom Creek</v>
      </c>
      <c r="K3308" t="str">
        <f>IFERROR(VLOOKUP(J3308,LUTs!$A$1:$C$73,2,FALSE),"NA")</f>
        <v>Whatcom</v>
      </c>
      <c r="L3308" t="str">
        <f>IFERROR(VLOOKUP(J3308,LUTs!$A$1:$C$73,3,FALSE),"NA")</f>
        <v>1North Puget Sound</v>
      </c>
      <c r="M3308" s="72" t="s">
        <v>13</v>
      </c>
      <c r="N3308" t="str">
        <f>VLOOKUP(M3308,LUTs!E$2:H$14,3,)</f>
        <v>01Whatcom</v>
      </c>
      <c r="O3308" t="str">
        <f>VLOOKUP(M3308,LUTs!E$2:H$14,4,)</f>
        <v>01North Puget Sound</v>
      </c>
      <c r="P3308" s="73">
        <v>151.19999999999999</v>
      </c>
      <c r="Q3308" s="74">
        <f>VLOOKUP(B3308,Readme!A$40:C$51,2,)*P3308</f>
        <v>520.12799999999993</v>
      </c>
    </row>
    <row r="3309" spans="1:17" ht="12" customHeight="1" x14ac:dyDescent="0.35">
      <c r="A3309" s="75">
        <v>3308</v>
      </c>
      <c r="B3309" s="64">
        <v>2020</v>
      </c>
      <c r="C3309" s="64">
        <v>8</v>
      </c>
      <c r="D3309" s="80">
        <f t="shared" si="105"/>
        <v>2020</v>
      </c>
      <c r="E3309" t="s">
        <v>38</v>
      </c>
      <c r="F3309" t="s">
        <v>143</v>
      </c>
      <c r="G3309" t="s">
        <v>10</v>
      </c>
      <c r="H3309" s="72">
        <v>714</v>
      </c>
      <c r="I3309" s="72" t="s">
        <v>39</v>
      </c>
      <c r="J3309" t="str">
        <f t="shared" si="106"/>
        <v>Chambers Creek</v>
      </c>
      <c r="K3309" t="str">
        <f>IFERROR(VLOOKUP(J3309,LUTs!$A$1:$C$73,2,FALSE),"NA")</f>
        <v>Pierce</v>
      </c>
      <c r="L3309" t="str">
        <f>IFERROR(VLOOKUP(J3309,LUTs!$A$1:$C$73,3,FALSE),"NA")</f>
        <v>3South Puget Sound</v>
      </c>
      <c r="M3309" s="72" t="s">
        <v>26</v>
      </c>
      <c r="N3309" t="str">
        <f>VLOOKUP(M3309,LUTs!E$2:H$14,3,)</f>
        <v>20Other</v>
      </c>
      <c r="O3309" t="str">
        <f>VLOOKUP(M3309,LUTs!E$2:H$14,4,)</f>
        <v>07Non Puget Sound</v>
      </c>
      <c r="P3309" s="73">
        <v>7</v>
      </c>
      <c r="Q3309" s="74">
        <f>VLOOKUP(B3309,Readme!A$40:C$51,2,)*P3309</f>
        <v>60.550000000000004</v>
      </c>
    </row>
    <row r="3310" spans="1:17" ht="12" customHeight="1" x14ac:dyDescent="0.35">
      <c r="A3310" s="75">
        <v>3309</v>
      </c>
      <c r="B3310" s="64">
        <v>2020</v>
      </c>
      <c r="C3310" s="64">
        <v>9</v>
      </c>
      <c r="D3310" s="80">
        <f t="shared" si="105"/>
        <v>2020</v>
      </c>
      <c r="E3310" t="s">
        <v>38</v>
      </c>
      <c r="F3310" t="s">
        <v>143</v>
      </c>
      <c r="G3310" t="s">
        <v>10</v>
      </c>
      <c r="H3310" s="72">
        <v>714</v>
      </c>
      <c r="I3310" s="72" t="s">
        <v>39</v>
      </c>
      <c r="J3310" t="str">
        <f t="shared" si="106"/>
        <v>Chambers Creek</v>
      </c>
      <c r="K3310" t="str">
        <f>IFERROR(VLOOKUP(J3310,LUTs!$A$1:$C$73,2,FALSE),"NA")</f>
        <v>Pierce</v>
      </c>
      <c r="L3310" t="str">
        <f>IFERROR(VLOOKUP(J3310,LUTs!$A$1:$C$73,3,FALSE),"NA")</f>
        <v>3South Puget Sound</v>
      </c>
      <c r="M3310" s="72" t="s">
        <v>20</v>
      </c>
      <c r="N3310" t="str">
        <f>VLOOKUP(M3310,LUTs!E$2:H$14,3,)</f>
        <v>07Pierce</v>
      </c>
      <c r="O3310" t="str">
        <f>VLOOKUP(M3310,LUTs!E$2:H$14,4,)</f>
        <v>02South Puget Sound</v>
      </c>
      <c r="P3310" s="73">
        <v>7</v>
      </c>
      <c r="Q3310" s="74">
        <f>VLOOKUP(B3310,Readme!A$40:C$51,2,)*P3310</f>
        <v>60.550000000000004</v>
      </c>
    </row>
    <row r="3311" spans="1:17" ht="12" customHeight="1" x14ac:dyDescent="0.35">
      <c r="A3311" s="75">
        <v>3310</v>
      </c>
      <c r="B3311" s="64">
        <v>2020</v>
      </c>
      <c r="C3311" s="64">
        <v>9</v>
      </c>
      <c r="D3311" s="80">
        <f t="shared" si="105"/>
        <v>2020</v>
      </c>
      <c r="E3311" t="s">
        <v>38</v>
      </c>
      <c r="F3311" t="s">
        <v>143</v>
      </c>
      <c r="G3311" t="s">
        <v>10</v>
      </c>
      <c r="H3311" s="72">
        <v>724</v>
      </c>
      <c r="I3311" s="72" t="s">
        <v>40</v>
      </c>
      <c r="J3311" t="str">
        <f t="shared" si="106"/>
        <v>Dakota Creek (Whatcom Co)</v>
      </c>
      <c r="K3311" t="str">
        <f>IFERROR(VLOOKUP(J3311,LUTs!$A$1:$C$73,2,FALSE),"NA")</f>
        <v>Whatcom</v>
      </c>
      <c r="L3311" t="str">
        <f>IFERROR(VLOOKUP(J3311,LUTs!$A$1:$C$73,3,FALSE),"NA")</f>
        <v>1North Puget Sound</v>
      </c>
      <c r="M3311" s="72" t="s">
        <v>20</v>
      </c>
      <c r="N3311" t="str">
        <f>VLOOKUP(M3311,LUTs!E$2:H$14,3,)</f>
        <v>07Pierce</v>
      </c>
      <c r="O3311" t="str">
        <f>VLOOKUP(M3311,LUTs!E$2:H$14,4,)</f>
        <v>02South Puget Sound</v>
      </c>
      <c r="P3311" s="73">
        <v>12</v>
      </c>
      <c r="Q3311" s="74">
        <f>VLOOKUP(B3311,Readme!A$40:C$51,2,)*P3311</f>
        <v>103.80000000000001</v>
      </c>
    </row>
    <row r="3312" spans="1:17" ht="12" customHeight="1" x14ac:dyDescent="0.35">
      <c r="A3312" s="75">
        <v>3311</v>
      </c>
      <c r="B3312" s="64">
        <v>2020</v>
      </c>
      <c r="C3312" s="64">
        <v>10</v>
      </c>
      <c r="D3312" s="80">
        <f t="shared" si="105"/>
        <v>2020</v>
      </c>
      <c r="E3312" t="s">
        <v>38</v>
      </c>
      <c r="F3312" t="s">
        <v>143</v>
      </c>
      <c r="G3312" t="s">
        <v>10</v>
      </c>
      <c r="H3312" s="72">
        <v>728</v>
      </c>
      <c r="I3312" s="72" t="s">
        <v>41</v>
      </c>
      <c r="J3312" t="str">
        <f t="shared" si="106"/>
        <v>Deschutes River</v>
      </c>
      <c r="K3312" t="str">
        <f>IFERROR(VLOOKUP(J3312,LUTs!$A$1:$C$73,2,FALSE),"NA")</f>
        <v>Thurston</v>
      </c>
      <c r="L3312" t="str">
        <f>IFERROR(VLOOKUP(J3312,LUTs!$A$1:$C$73,3,FALSE),"NA")</f>
        <v>3South Puget Sound</v>
      </c>
      <c r="M3312" s="72" t="s">
        <v>26</v>
      </c>
      <c r="N3312" t="str">
        <f>VLOOKUP(M3312,LUTs!E$2:H$14,3,)</f>
        <v>20Other</v>
      </c>
      <c r="O3312" t="str">
        <f>VLOOKUP(M3312,LUTs!E$2:H$14,4,)</f>
        <v>07Non Puget Sound</v>
      </c>
      <c r="P3312" s="73">
        <v>14</v>
      </c>
      <c r="Q3312" s="74">
        <f>VLOOKUP(B3312,Readme!A$40:C$51,2,)*P3312</f>
        <v>121.10000000000001</v>
      </c>
    </row>
    <row r="3313" spans="1:17" ht="12" customHeight="1" x14ac:dyDescent="0.35">
      <c r="A3313" s="75">
        <v>3312</v>
      </c>
      <c r="B3313" s="64">
        <v>2020</v>
      </c>
      <c r="C3313" s="64">
        <v>11</v>
      </c>
      <c r="D3313" s="80">
        <f t="shared" si="105"/>
        <v>2020</v>
      </c>
      <c r="E3313" t="s">
        <v>38</v>
      </c>
      <c r="F3313" t="s">
        <v>143</v>
      </c>
      <c r="G3313" t="s">
        <v>10</v>
      </c>
      <c r="H3313" s="72">
        <v>736</v>
      </c>
      <c r="I3313" s="72" t="s">
        <v>42</v>
      </c>
      <c r="J3313" t="str">
        <f t="shared" si="106"/>
        <v>Duckabush River</v>
      </c>
      <c r="K3313" t="str">
        <f>IFERROR(VLOOKUP(J3313,LUTs!$A$1:$C$73,2,FALSE),"NA")</f>
        <v>Jefferson</v>
      </c>
      <c r="L3313" t="str">
        <f>IFERROR(VLOOKUP(J3313,LUTs!$A$1:$C$73,3,FALSE),"NA")</f>
        <v>4 Hood Canal</v>
      </c>
      <c r="M3313" s="72" t="s">
        <v>25</v>
      </c>
      <c r="N3313" t="str">
        <f>VLOOKUP(M3313,LUTs!E$2:H$14,3,)</f>
        <v>12Jefferson</v>
      </c>
      <c r="O3313" t="str">
        <f>VLOOKUP(M3313,LUTs!E$2:H$14,4,)</f>
        <v>03Strait of Juan de Fuca</v>
      </c>
      <c r="P3313" s="73">
        <v>7</v>
      </c>
      <c r="Q3313" s="74">
        <f>VLOOKUP(B3313,Readme!A$40:C$51,2,)*P3313</f>
        <v>60.550000000000004</v>
      </c>
    </row>
    <row r="3314" spans="1:17" ht="12" customHeight="1" x14ac:dyDescent="0.35">
      <c r="A3314" s="75">
        <v>3313</v>
      </c>
      <c r="B3314" s="64">
        <v>2020</v>
      </c>
      <c r="C3314" s="64">
        <v>10</v>
      </c>
      <c r="D3314" s="80">
        <f t="shared" si="105"/>
        <v>2020</v>
      </c>
      <c r="E3314" t="s">
        <v>38</v>
      </c>
      <c r="F3314" t="s">
        <v>143</v>
      </c>
      <c r="G3314" t="s">
        <v>10</v>
      </c>
      <c r="H3314" s="72">
        <v>738</v>
      </c>
      <c r="I3314" s="72" t="s">
        <v>43</v>
      </c>
      <c r="J3314" t="str">
        <f t="shared" si="106"/>
        <v>Dungeness River</v>
      </c>
      <c r="K3314" t="str">
        <f>IFERROR(VLOOKUP(J3314,LUTs!$A$1:$C$73,2,FALSE),"NA")</f>
        <v>Clallam</v>
      </c>
      <c r="L3314" t="str">
        <f>IFERROR(VLOOKUP(J3314,LUTs!$A$1:$C$73,3,FALSE),"NA")</f>
        <v>0Strait of Juan de Fuca</v>
      </c>
      <c r="M3314" s="72" t="s">
        <v>24</v>
      </c>
      <c r="N3314" t="str">
        <f>VLOOKUP(M3314,LUTs!E$2:H$14,3,)</f>
        <v>11Clallam</v>
      </c>
      <c r="O3314" t="str">
        <f>VLOOKUP(M3314,LUTs!E$2:H$14,4,)</f>
        <v>03Strait of Juan de Fuca</v>
      </c>
      <c r="P3314" s="73">
        <v>96.380952380952394</v>
      </c>
      <c r="Q3314" s="74">
        <f>VLOOKUP(B3314,Readme!A$40:C$51,2,)*P3314</f>
        <v>833.69523809523821</v>
      </c>
    </row>
    <row r="3315" spans="1:17" ht="12" customHeight="1" x14ac:dyDescent="0.35">
      <c r="A3315" s="75">
        <v>3314</v>
      </c>
      <c r="B3315" s="64">
        <v>2020</v>
      </c>
      <c r="C3315" s="64">
        <v>10</v>
      </c>
      <c r="D3315" s="80">
        <f t="shared" si="105"/>
        <v>2020</v>
      </c>
      <c r="E3315" t="s">
        <v>38</v>
      </c>
      <c r="F3315" t="s">
        <v>143</v>
      </c>
      <c r="G3315" t="s">
        <v>10</v>
      </c>
      <c r="H3315" s="72">
        <v>738</v>
      </c>
      <c r="I3315" s="72" t="s">
        <v>43</v>
      </c>
      <c r="J3315" t="str">
        <f t="shared" si="106"/>
        <v>Dungeness River</v>
      </c>
      <c r="K3315" t="str">
        <f>IFERROR(VLOOKUP(J3315,LUTs!$A$1:$C$73,2,FALSE),"NA")</f>
        <v>Clallam</v>
      </c>
      <c r="L3315" t="str">
        <f>IFERROR(VLOOKUP(J3315,LUTs!$A$1:$C$73,3,FALSE),"NA")</f>
        <v>0Strait of Juan de Fuca</v>
      </c>
      <c r="M3315" s="72" t="s">
        <v>25</v>
      </c>
      <c r="N3315" t="str">
        <f>VLOOKUP(M3315,LUTs!E$2:H$14,3,)</f>
        <v>12Jefferson</v>
      </c>
      <c r="O3315" t="str">
        <f>VLOOKUP(M3315,LUTs!E$2:H$14,4,)</f>
        <v>03Strait of Juan de Fuca</v>
      </c>
      <c r="P3315" s="73">
        <v>48.190476190476197</v>
      </c>
      <c r="Q3315" s="74">
        <f>VLOOKUP(B3315,Readme!A$40:C$51,2,)*P3315</f>
        <v>416.84761904761911</v>
      </c>
    </row>
    <row r="3316" spans="1:17" ht="12" customHeight="1" x14ac:dyDescent="0.35">
      <c r="A3316" s="75">
        <v>3315</v>
      </c>
      <c r="B3316" s="64">
        <v>2020</v>
      </c>
      <c r="C3316" s="64">
        <v>10</v>
      </c>
      <c r="D3316" s="80">
        <f t="shared" si="105"/>
        <v>2020</v>
      </c>
      <c r="E3316" t="s">
        <v>38</v>
      </c>
      <c r="F3316" t="s">
        <v>143</v>
      </c>
      <c r="G3316" t="s">
        <v>10</v>
      </c>
      <c r="H3316" s="72">
        <v>738</v>
      </c>
      <c r="I3316" s="72" t="s">
        <v>43</v>
      </c>
      <c r="J3316" t="str">
        <f t="shared" si="106"/>
        <v>Dungeness River</v>
      </c>
      <c r="K3316" t="str">
        <f>IFERROR(VLOOKUP(J3316,LUTs!$A$1:$C$73,2,FALSE),"NA")</f>
        <v>Clallam</v>
      </c>
      <c r="L3316" t="str">
        <f>IFERROR(VLOOKUP(J3316,LUTs!$A$1:$C$73,3,FALSE),"NA")</f>
        <v>0Strait of Juan de Fuca</v>
      </c>
      <c r="M3316" s="72" t="s">
        <v>26</v>
      </c>
      <c r="N3316" t="str">
        <f>VLOOKUP(M3316,LUTs!E$2:H$14,3,)</f>
        <v>20Other</v>
      </c>
      <c r="O3316" t="str">
        <f>VLOOKUP(M3316,LUTs!E$2:H$14,4,)</f>
        <v>07Non Puget Sound</v>
      </c>
      <c r="P3316" s="73">
        <v>12.047619047619101</v>
      </c>
      <c r="Q3316" s="74">
        <f>VLOOKUP(B3316,Readme!A$40:C$51,2,)*P3316</f>
        <v>104.21190476190523</v>
      </c>
    </row>
    <row r="3317" spans="1:17" ht="12" customHeight="1" x14ac:dyDescent="0.35">
      <c r="A3317" s="75">
        <v>3316</v>
      </c>
      <c r="B3317" s="64">
        <v>2020</v>
      </c>
      <c r="C3317" s="64">
        <v>10</v>
      </c>
      <c r="D3317" s="80">
        <f t="shared" si="105"/>
        <v>2020</v>
      </c>
      <c r="E3317" t="s">
        <v>38</v>
      </c>
      <c r="F3317" t="s">
        <v>143</v>
      </c>
      <c r="G3317" t="s">
        <v>10</v>
      </c>
      <c r="H3317" s="72">
        <v>738</v>
      </c>
      <c r="I3317" s="72" t="s">
        <v>43</v>
      </c>
      <c r="J3317" t="str">
        <f t="shared" si="106"/>
        <v>Dungeness River</v>
      </c>
      <c r="K3317" t="str">
        <f>IFERROR(VLOOKUP(J3317,LUTs!$A$1:$C$73,2,FALSE),"NA")</f>
        <v>Clallam</v>
      </c>
      <c r="L3317" t="str">
        <f>IFERROR(VLOOKUP(J3317,LUTs!$A$1:$C$73,3,FALSE),"NA")</f>
        <v>0Strait of Juan de Fuca</v>
      </c>
      <c r="M3317" s="72" t="s">
        <v>20</v>
      </c>
      <c r="N3317" t="str">
        <f>VLOOKUP(M3317,LUTs!E$2:H$14,3,)</f>
        <v>07Pierce</v>
      </c>
      <c r="O3317" t="str">
        <f>VLOOKUP(M3317,LUTs!E$2:H$14,4,)</f>
        <v>02South Puget Sound</v>
      </c>
      <c r="P3317" s="73">
        <v>96.380952380952394</v>
      </c>
      <c r="Q3317" s="74">
        <f>VLOOKUP(B3317,Readme!A$40:C$51,2,)*P3317</f>
        <v>833.69523809523821</v>
      </c>
    </row>
    <row r="3318" spans="1:17" ht="12" customHeight="1" x14ac:dyDescent="0.35">
      <c r="A3318" s="75">
        <v>3317</v>
      </c>
      <c r="B3318" s="64">
        <v>2020</v>
      </c>
      <c r="C3318" s="64">
        <v>11</v>
      </c>
      <c r="D3318" s="80">
        <f t="shared" si="105"/>
        <v>2020</v>
      </c>
      <c r="E3318" t="s">
        <v>38</v>
      </c>
      <c r="F3318" t="s">
        <v>143</v>
      </c>
      <c r="G3318" t="s">
        <v>10</v>
      </c>
      <c r="H3318" s="72">
        <v>738</v>
      </c>
      <c r="I3318" s="72" t="s">
        <v>43</v>
      </c>
      <c r="J3318" t="str">
        <f t="shared" si="106"/>
        <v>Dungeness River</v>
      </c>
      <c r="K3318" t="str">
        <f>IFERROR(VLOOKUP(J3318,LUTs!$A$1:$C$73,2,FALSE),"NA")</f>
        <v>Clallam</v>
      </c>
      <c r="L3318" t="str">
        <f>IFERROR(VLOOKUP(J3318,LUTs!$A$1:$C$73,3,FALSE),"NA")</f>
        <v>0Strait of Juan de Fuca</v>
      </c>
      <c r="M3318" s="72" t="s">
        <v>24</v>
      </c>
      <c r="N3318" t="str">
        <f>VLOOKUP(M3318,LUTs!E$2:H$14,3,)</f>
        <v>11Clallam</v>
      </c>
      <c r="O3318" t="str">
        <f>VLOOKUP(M3318,LUTs!E$2:H$14,4,)</f>
        <v>03Strait of Juan de Fuca</v>
      </c>
      <c r="P3318" s="73">
        <v>36</v>
      </c>
      <c r="Q3318" s="74">
        <f>VLOOKUP(B3318,Readme!A$40:C$51,2,)*P3318</f>
        <v>311.40000000000003</v>
      </c>
    </row>
    <row r="3319" spans="1:17" ht="12" customHeight="1" x14ac:dyDescent="0.35">
      <c r="A3319" s="75">
        <v>3318</v>
      </c>
      <c r="B3319" s="64">
        <v>2020</v>
      </c>
      <c r="C3319" s="64">
        <v>11</v>
      </c>
      <c r="D3319" s="80">
        <f t="shared" si="105"/>
        <v>2020</v>
      </c>
      <c r="E3319" t="s">
        <v>38</v>
      </c>
      <c r="F3319" t="s">
        <v>143</v>
      </c>
      <c r="G3319" t="s">
        <v>10</v>
      </c>
      <c r="H3319" s="72">
        <v>738</v>
      </c>
      <c r="I3319" s="72" t="s">
        <v>43</v>
      </c>
      <c r="J3319" t="str">
        <f t="shared" si="106"/>
        <v>Dungeness River</v>
      </c>
      <c r="K3319" t="str">
        <f>IFERROR(VLOOKUP(J3319,LUTs!$A$1:$C$73,2,FALSE),"NA")</f>
        <v>Clallam</v>
      </c>
      <c r="L3319" t="str">
        <f>IFERROR(VLOOKUP(J3319,LUTs!$A$1:$C$73,3,FALSE),"NA")</f>
        <v>0Strait of Juan de Fuca</v>
      </c>
      <c r="M3319" s="72" t="s">
        <v>23</v>
      </c>
      <c r="N3319" t="str">
        <f>VLOOKUP(M3319,LUTs!E$2:H$14,3,)</f>
        <v>10Kitsap</v>
      </c>
      <c r="O3319" t="str">
        <f>VLOOKUP(M3319,LUTs!E$2:H$14,4,)</f>
        <v>02South Puget Sound</v>
      </c>
      <c r="P3319" s="73">
        <v>24</v>
      </c>
      <c r="Q3319" s="74">
        <f>VLOOKUP(B3319,Readme!A$40:C$51,2,)*P3319</f>
        <v>207.60000000000002</v>
      </c>
    </row>
    <row r="3320" spans="1:17" ht="12" customHeight="1" x14ac:dyDescent="0.35">
      <c r="A3320" s="75">
        <v>3319</v>
      </c>
      <c r="B3320" s="64">
        <v>2020</v>
      </c>
      <c r="C3320" s="64">
        <v>9</v>
      </c>
      <c r="D3320" s="80">
        <f t="shared" si="105"/>
        <v>2020</v>
      </c>
      <c r="E3320" t="s">
        <v>38</v>
      </c>
      <c r="F3320" t="s">
        <v>143</v>
      </c>
      <c r="G3320" t="s">
        <v>10</v>
      </c>
      <c r="H3320" s="72">
        <v>746</v>
      </c>
      <c r="I3320" s="72" t="s">
        <v>45</v>
      </c>
      <c r="J3320" t="str">
        <f t="shared" si="106"/>
        <v>Green - Duwamish River</v>
      </c>
      <c r="K3320" t="str">
        <f>IFERROR(VLOOKUP(J3320,LUTs!$A$1:$C$73,2,FALSE),"NA")</f>
        <v>King</v>
      </c>
      <c r="L3320" t="str">
        <f>IFERROR(VLOOKUP(J3320,LUTs!$A$1:$C$73,3,FALSE),"NA")</f>
        <v>3South Puget Sound</v>
      </c>
      <c r="M3320" s="72" t="s">
        <v>18</v>
      </c>
      <c r="N3320" t="str">
        <f>VLOOKUP(M3320,LUTs!E$2:H$14,3,)</f>
        <v>06King</v>
      </c>
      <c r="O3320" t="str">
        <f>VLOOKUP(M3320,LUTs!E$2:H$14,4,)</f>
        <v>02South Puget Sound</v>
      </c>
      <c r="P3320" s="73">
        <v>2278.1090909090899</v>
      </c>
      <c r="Q3320" s="74">
        <f>VLOOKUP(B3320,Readme!A$40:C$51,2,)*P3320</f>
        <v>19705.643636363628</v>
      </c>
    </row>
    <row r="3321" spans="1:17" ht="12" customHeight="1" x14ac:dyDescent="0.35">
      <c r="A3321" s="75">
        <v>3320</v>
      </c>
      <c r="B3321" s="64">
        <v>2020</v>
      </c>
      <c r="C3321" s="64">
        <v>9</v>
      </c>
      <c r="D3321" s="80">
        <f t="shared" si="105"/>
        <v>2020</v>
      </c>
      <c r="E3321" t="s">
        <v>38</v>
      </c>
      <c r="F3321" t="s">
        <v>143</v>
      </c>
      <c r="G3321" t="s">
        <v>10</v>
      </c>
      <c r="H3321" s="72">
        <v>746</v>
      </c>
      <c r="I3321" s="72" t="s">
        <v>45</v>
      </c>
      <c r="J3321" t="str">
        <f t="shared" si="106"/>
        <v>Green - Duwamish River</v>
      </c>
      <c r="K3321" t="str">
        <f>IFERROR(VLOOKUP(J3321,LUTs!$A$1:$C$73,2,FALSE),"NA")</f>
        <v>King</v>
      </c>
      <c r="L3321" t="str">
        <f>IFERROR(VLOOKUP(J3321,LUTs!$A$1:$C$73,3,FALSE),"NA")</f>
        <v>3South Puget Sound</v>
      </c>
      <c r="M3321" s="72" t="s">
        <v>20</v>
      </c>
      <c r="N3321" t="str">
        <f>VLOOKUP(M3321,LUTs!E$2:H$14,3,)</f>
        <v>07Pierce</v>
      </c>
      <c r="O3321" t="str">
        <f>VLOOKUP(M3321,LUTs!E$2:H$14,4,)</f>
        <v>02South Puget Sound</v>
      </c>
      <c r="P3321" s="73">
        <v>226.61818181818199</v>
      </c>
      <c r="Q3321" s="74">
        <f>VLOOKUP(B3321,Readme!A$40:C$51,2,)*P3321</f>
        <v>1960.2472727272743</v>
      </c>
    </row>
    <row r="3322" spans="1:17" ht="12" customHeight="1" x14ac:dyDescent="0.35">
      <c r="A3322" s="75">
        <v>3321</v>
      </c>
      <c r="B3322" s="64">
        <v>2020</v>
      </c>
      <c r="C3322" s="64">
        <v>9</v>
      </c>
      <c r="D3322" s="80">
        <f t="shared" ref="D3322:D3385" si="107">IF(C3322&gt;3,B3322,B3322-1)</f>
        <v>2020</v>
      </c>
      <c r="E3322" t="s">
        <v>38</v>
      </c>
      <c r="F3322" t="s">
        <v>143</v>
      </c>
      <c r="G3322" t="s">
        <v>10</v>
      </c>
      <c r="H3322" s="72">
        <v>746</v>
      </c>
      <c r="I3322" s="72" t="s">
        <v>45</v>
      </c>
      <c r="J3322" t="str">
        <f t="shared" si="106"/>
        <v>Green - Duwamish River</v>
      </c>
      <c r="K3322" t="str">
        <f>IFERROR(VLOOKUP(J3322,LUTs!$A$1:$C$73,2,FALSE),"NA")</f>
        <v>King</v>
      </c>
      <c r="L3322" t="str">
        <f>IFERROR(VLOOKUP(J3322,LUTs!$A$1:$C$73,3,FALSE),"NA")</f>
        <v>3South Puget Sound</v>
      </c>
      <c r="M3322" s="72" t="s">
        <v>16</v>
      </c>
      <c r="N3322" t="str">
        <f>VLOOKUP(M3322,LUTs!E$2:H$14,3,)</f>
        <v>03Snohomish</v>
      </c>
      <c r="O3322" t="str">
        <f>VLOOKUP(M3322,LUTs!E$2:H$14,4,)</f>
        <v>01North Puget Sound</v>
      </c>
      <c r="P3322" s="73">
        <v>107.345454545455</v>
      </c>
      <c r="Q3322" s="74">
        <f>VLOOKUP(B3322,Readme!A$40:C$51,2,)*P3322</f>
        <v>928.53818181818576</v>
      </c>
    </row>
    <row r="3323" spans="1:17" ht="12" customHeight="1" x14ac:dyDescent="0.35">
      <c r="A3323" s="75">
        <v>3322</v>
      </c>
      <c r="B3323" s="64">
        <v>2020</v>
      </c>
      <c r="C3323" s="64">
        <v>9</v>
      </c>
      <c r="D3323" s="80">
        <f t="shared" si="107"/>
        <v>2020</v>
      </c>
      <c r="E3323" t="s">
        <v>38</v>
      </c>
      <c r="F3323" t="s">
        <v>143</v>
      </c>
      <c r="G3323" t="s">
        <v>10</v>
      </c>
      <c r="H3323" s="72">
        <v>746</v>
      </c>
      <c r="I3323" s="72" t="s">
        <v>45</v>
      </c>
      <c r="J3323" t="str">
        <f t="shared" si="106"/>
        <v>Green - Duwamish River</v>
      </c>
      <c r="K3323" t="str">
        <f>IFERROR(VLOOKUP(J3323,LUTs!$A$1:$C$73,2,FALSE),"NA")</f>
        <v>King</v>
      </c>
      <c r="L3323" t="str">
        <f>IFERROR(VLOOKUP(J3323,LUTs!$A$1:$C$73,3,FALSE),"NA")</f>
        <v>3South Puget Sound</v>
      </c>
      <c r="M3323" s="72" t="s">
        <v>21</v>
      </c>
      <c r="N3323" t="str">
        <f>VLOOKUP(M3323,LUTs!E$2:H$14,3,)</f>
        <v>08Thurston</v>
      </c>
      <c r="O3323" t="str">
        <f>VLOOKUP(M3323,LUTs!E$2:H$14,4,)</f>
        <v>02South Puget Sound</v>
      </c>
      <c r="P3323" s="73">
        <v>11.927272727272699</v>
      </c>
      <c r="Q3323" s="74">
        <f>VLOOKUP(B3323,Readme!A$40:C$51,2,)*P3323</f>
        <v>103.17090909090885</v>
      </c>
    </row>
    <row r="3324" spans="1:17" ht="12" customHeight="1" x14ac:dyDescent="0.35">
      <c r="A3324" s="75">
        <v>3323</v>
      </c>
      <c r="B3324" s="64">
        <v>2020</v>
      </c>
      <c r="C3324" s="64">
        <v>10</v>
      </c>
      <c r="D3324" s="80">
        <f t="shared" si="107"/>
        <v>2020</v>
      </c>
      <c r="E3324" t="s">
        <v>38</v>
      </c>
      <c r="F3324" t="s">
        <v>143</v>
      </c>
      <c r="G3324" t="s">
        <v>10</v>
      </c>
      <c r="H3324" s="72">
        <v>746</v>
      </c>
      <c r="I3324" s="72" t="s">
        <v>45</v>
      </c>
      <c r="J3324" t="str">
        <f t="shared" si="106"/>
        <v>Green - Duwamish River</v>
      </c>
      <c r="K3324" t="str">
        <f>IFERROR(VLOOKUP(J3324,LUTs!$A$1:$C$73,2,FALSE),"NA")</f>
        <v>King</v>
      </c>
      <c r="L3324" t="str">
        <f>IFERROR(VLOOKUP(J3324,LUTs!$A$1:$C$73,3,FALSE),"NA")</f>
        <v>3South Puget Sound</v>
      </c>
      <c r="M3324" s="72" t="s">
        <v>24</v>
      </c>
      <c r="N3324" t="str">
        <f>VLOOKUP(M3324,LUTs!E$2:H$14,3,)</f>
        <v>11Clallam</v>
      </c>
      <c r="O3324" t="str">
        <f>VLOOKUP(M3324,LUTs!E$2:H$14,4,)</f>
        <v>03Strait of Juan de Fuca</v>
      </c>
      <c r="P3324" s="73">
        <v>119.125</v>
      </c>
      <c r="Q3324" s="74">
        <f>VLOOKUP(B3324,Readme!A$40:C$51,2,)*P3324</f>
        <v>1030.4312500000001</v>
      </c>
    </row>
    <row r="3325" spans="1:17" ht="12" customHeight="1" x14ac:dyDescent="0.35">
      <c r="A3325" s="75">
        <v>3324</v>
      </c>
      <c r="B3325" s="64">
        <v>2020</v>
      </c>
      <c r="C3325" s="64">
        <v>10</v>
      </c>
      <c r="D3325" s="80">
        <f t="shared" si="107"/>
        <v>2020</v>
      </c>
      <c r="E3325" t="s">
        <v>38</v>
      </c>
      <c r="F3325" t="s">
        <v>143</v>
      </c>
      <c r="G3325" t="s">
        <v>10</v>
      </c>
      <c r="H3325" s="72">
        <v>746</v>
      </c>
      <c r="I3325" s="72" t="s">
        <v>45</v>
      </c>
      <c r="J3325" t="str">
        <f t="shared" si="106"/>
        <v>Green - Duwamish River</v>
      </c>
      <c r="K3325" t="str">
        <f>IFERROR(VLOOKUP(J3325,LUTs!$A$1:$C$73,2,FALSE),"NA")</f>
        <v>King</v>
      </c>
      <c r="L3325" t="str">
        <f>IFERROR(VLOOKUP(J3325,LUTs!$A$1:$C$73,3,FALSE),"NA")</f>
        <v>3South Puget Sound</v>
      </c>
      <c r="M3325" s="72" t="s">
        <v>18</v>
      </c>
      <c r="N3325" t="str">
        <f>VLOOKUP(M3325,LUTs!E$2:H$14,3,)</f>
        <v>06King</v>
      </c>
      <c r="O3325" t="str">
        <f>VLOOKUP(M3325,LUTs!E$2:H$14,4,)</f>
        <v>02South Puget Sound</v>
      </c>
      <c r="P3325" s="73">
        <v>607.53750000000002</v>
      </c>
      <c r="Q3325" s="74">
        <f>VLOOKUP(B3325,Readme!A$40:C$51,2,)*P3325</f>
        <v>5255.1993750000001</v>
      </c>
    </row>
    <row r="3326" spans="1:17" ht="12" customHeight="1" x14ac:dyDescent="0.35">
      <c r="A3326" s="75">
        <v>3325</v>
      </c>
      <c r="B3326" s="64">
        <v>2020</v>
      </c>
      <c r="C3326" s="64">
        <v>10</v>
      </c>
      <c r="D3326" s="80">
        <f t="shared" si="107"/>
        <v>2020</v>
      </c>
      <c r="E3326" t="s">
        <v>38</v>
      </c>
      <c r="F3326" t="s">
        <v>143</v>
      </c>
      <c r="G3326" t="s">
        <v>10</v>
      </c>
      <c r="H3326" s="72">
        <v>746</v>
      </c>
      <c r="I3326" s="72" t="s">
        <v>45</v>
      </c>
      <c r="J3326" t="str">
        <f t="shared" si="106"/>
        <v>Green - Duwamish River</v>
      </c>
      <c r="K3326" t="str">
        <f>IFERROR(VLOOKUP(J3326,LUTs!$A$1:$C$73,2,FALSE),"NA")</f>
        <v>King</v>
      </c>
      <c r="L3326" t="str">
        <f>IFERROR(VLOOKUP(J3326,LUTs!$A$1:$C$73,3,FALSE),"NA")</f>
        <v>3South Puget Sound</v>
      </c>
      <c r="M3326" s="72" t="s">
        <v>20</v>
      </c>
      <c r="N3326" t="str">
        <f>VLOOKUP(M3326,LUTs!E$2:H$14,3,)</f>
        <v>07Pierce</v>
      </c>
      <c r="O3326" t="str">
        <f>VLOOKUP(M3326,LUTs!E$2:H$14,4,)</f>
        <v>02South Puget Sound</v>
      </c>
      <c r="P3326" s="73">
        <v>166.77500000000001</v>
      </c>
      <c r="Q3326" s="74">
        <f>VLOOKUP(B3326,Readme!A$40:C$51,2,)*P3326</f>
        <v>1442.6037500000002</v>
      </c>
    </row>
    <row r="3327" spans="1:17" ht="12" customHeight="1" x14ac:dyDescent="0.35">
      <c r="A3327" s="75">
        <v>3326</v>
      </c>
      <c r="B3327" s="64">
        <v>2020</v>
      </c>
      <c r="C3327" s="64">
        <v>10</v>
      </c>
      <c r="D3327" s="80">
        <f t="shared" si="107"/>
        <v>2020</v>
      </c>
      <c r="E3327" t="s">
        <v>38</v>
      </c>
      <c r="F3327" t="s">
        <v>143</v>
      </c>
      <c r="G3327" t="s">
        <v>10</v>
      </c>
      <c r="H3327" s="72">
        <v>746</v>
      </c>
      <c r="I3327" s="72" t="s">
        <v>45</v>
      </c>
      <c r="J3327" t="str">
        <f t="shared" si="106"/>
        <v>Green - Duwamish River</v>
      </c>
      <c r="K3327" t="str">
        <f>IFERROR(VLOOKUP(J3327,LUTs!$A$1:$C$73,2,FALSE),"NA")</f>
        <v>King</v>
      </c>
      <c r="L3327" t="str">
        <f>IFERROR(VLOOKUP(J3327,LUTs!$A$1:$C$73,3,FALSE),"NA")</f>
        <v>3South Puget Sound</v>
      </c>
      <c r="M3327" s="72" t="s">
        <v>15</v>
      </c>
      <c r="N3327" t="str">
        <f>VLOOKUP(M3327,LUTs!E$2:H$14,3,)</f>
        <v>02Skagit</v>
      </c>
      <c r="O3327" t="str">
        <f>VLOOKUP(M3327,LUTs!E$2:H$14,4,)</f>
        <v>01North Puget Sound</v>
      </c>
      <c r="P3327" s="73">
        <v>23.824999999999999</v>
      </c>
      <c r="Q3327" s="74">
        <f>VLOOKUP(B3327,Readme!A$40:C$51,2,)*P3327</f>
        <v>206.08625000000001</v>
      </c>
    </row>
    <row r="3328" spans="1:17" ht="12" customHeight="1" x14ac:dyDescent="0.35">
      <c r="A3328" s="75">
        <v>3327</v>
      </c>
      <c r="B3328" s="64">
        <v>2020</v>
      </c>
      <c r="C3328" s="64">
        <v>10</v>
      </c>
      <c r="D3328" s="80">
        <f t="shared" si="107"/>
        <v>2020</v>
      </c>
      <c r="E3328" t="s">
        <v>38</v>
      </c>
      <c r="F3328" t="s">
        <v>143</v>
      </c>
      <c r="G3328" t="s">
        <v>10</v>
      </c>
      <c r="H3328" s="72">
        <v>746</v>
      </c>
      <c r="I3328" s="72" t="s">
        <v>45</v>
      </c>
      <c r="J3328" t="str">
        <f t="shared" si="106"/>
        <v>Green - Duwamish River</v>
      </c>
      <c r="K3328" t="str">
        <f>IFERROR(VLOOKUP(J3328,LUTs!$A$1:$C$73,2,FALSE),"NA")</f>
        <v>King</v>
      </c>
      <c r="L3328" t="str">
        <f>IFERROR(VLOOKUP(J3328,LUTs!$A$1:$C$73,3,FALSE),"NA")</f>
        <v>3South Puget Sound</v>
      </c>
      <c r="M3328" s="72" t="s">
        <v>21</v>
      </c>
      <c r="N3328" t="str">
        <f>VLOOKUP(M3328,LUTs!E$2:H$14,3,)</f>
        <v>08Thurston</v>
      </c>
      <c r="O3328" t="str">
        <f>VLOOKUP(M3328,LUTs!E$2:H$14,4,)</f>
        <v>02South Puget Sound</v>
      </c>
      <c r="P3328" s="73">
        <v>35.737499999999997</v>
      </c>
      <c r="Q3328" s="74">
        <f>VLOOKUP(B3328,Readme!A$40:C$51,2,)*P3328</f>
        <v>309.12937499999998</v>
      </c>
    </row>
    <row r="3329" spans="1:17" ht="12" customHeight="1" x14ac:dyDescent="0.35">
      <c r="A3329" s="75">
        <v>3328</v>
      </c>
      <c r="B3329" s="64">
        <v>2020</v>
      </c>
      <c r="C3329" s="64">
        <v>11</v>
      </c>
      <c r="D3329" s="80">
        <f t="shared" si="107"/>
        <v>2020</v>
      </c>
      <c r="E3329" t="s">
        <v>38</v>
      </c>
      <c r="F3329" t="s">
        <v>143</v>
      </c>
      <c r="G3329" t="s">
        <v>10</v>
      </c>
      <c r="H3329" s="72">
        <v>746</v>
      </c>
      <c r="I3329" s="72" t="s">
        <v>45</v>
      </c>
      <c r="J3329" t="str">
        <f t="shared" si="106"/>
        <v>Green - Duwamish River</v>
      </c>
      <c r="K3329" t="str">
        <f>IFERROR(VLOOKUP(J3329,LUTs!$A$1:$C$73,2,FALSE),"NA")</f>
        <v>King</v>
      </c>
      <c r="L3329" t="str">
        <f>IFERROR(VLOOKUP(J3329,LUTs!$A$1:$C$73,3,FALSE),"NA")</f>
        <v>3South Puget Sound</v>
      </c>
      <c r="M3329" s="72" t="s">
        <v>24</v>
      </c>
      <c r="N3329" t="str">
        <f>VLOOKUP(M3329,LUTs!E$2:H$14,3,)</f>
        <v>11Clallam</v>
      </c>
      <c r="O3329" t="str">
        <f>VLOOKUP(M3329,LUTs!E$2:H$14,4,)</f>
        <v>03Strait of Juan de Fuca</v>
      </c>
      <c r="P3329" s="73">
        <v>178.11023622047199</v>
      </c>
      <c r="Q3329" s="74">
        <f>VLOOKUP(B3329,Readme!A$40:C$51,2,)*P3329</f>
        <v>1540.6535433070828</v>
      </c>
    </row>
    <row r="3330" spans="1:17" ht="12" customHeight="1" x14ac:dyDescent="0.35">
      <c r="A3330" s="75">
        <v>3329</v>
      </c>
      <c r="B3330" s="64">
        <v>2020</v>
      </c>
      <c r="C3330" s="64">
        <v>11</v>
      </c>
      <c r="D3330" s="80">
        <f t="shared" si="107"/>
        <v>2020</v>
      </c>
      <c r="E3330" t="s">
        <v>38</v>
      </c>
      <c r="F3330" t="s">
        <v>143</v>
      </c>
      <c r="G3330" t="s">
        <v>10</v>
      </c>
      <c r="H3330" s="72">
        <v>746</v>
      </c>
      <c r="I3330" s="72" t="s">
        <v>45</v>
      </c>
      <c r="J3330" t="str">
        <f t="shared" si="106"/>
        <v>Green - Duwamish River</v>
      </c>
      <c r="K3330" t="str">
        <f>IFERROR(VLOOKUP(J3330,LUTs!$A$1:$C$73,2,FALSE),"NA")</f>
        <v>King</v>
      </c>
      <c r="L3330" t="str">
        <f>IFERROR(VLOOKUP(J3330,LUTs!$A$1:$C$73,3,FALSE),"NA")</f>
        <v>3South Puget Sound</v>
      </c>
      <c r="M3330" s="72" t="s">
        <v>17</v>
      </c>
      <c r="N3330" t="str">
        <f>VLOOKUP(M3330,LUTs!E$2:H$14,3,)</f>
        <v>04Island</v>
      </c>
      <c r="O3330" t="str">
        <f>VLOOKUP(M3330,LUTs!E$2:H$14,4,)</f>
        <v>01North Puget Sound</v>
      </c>
      <c r="P3330" s="73">
        <v>35.622047244094503</v>
      </c>
      <c r="Q3330" s="74">
        <f>VLOOKUP(B3330,Readme!A$40:C$51,2,)*P3330</f>
        <v>308.13070866141749</v>
      </c>
    </row>
    <row r="3331" spans="1:17" ht="12" customHeight="1" x14ac:dyDescent="0.35">
      <c r="A3331" s="75">
        <v>3330</v>
      </c>
      <c r="B3331" s="64">
        <v>2020</v>
      </c>
      <c r="C3331" s="64">
        <v>11</v>
      </c>
      <c r="D3331" s="80">
        <f t="shared" si="107"/>
        <v>2020</v>
      </c>
      <c r="E3331" t="s">
        <v>38</v>
      </c>
      <c r="F3331" t="s">
        <v>143</v>
      </c>
      <c r="G3331" t="s">
        <v>10</v>
      </c>
      <c r="H3331" s="72">
        <v>746</v>
      </c>
      <c r="I3331" s="72" t="s">
        <v>45</v>
      </c>
      <c r="J3331" t="str">
        <f t="shared" ref="J3331:J3394" si="108">I3331</f>
        <v>Green - Duwamish River</v>
      </c>
      <c r="K3331" t="str">
        <f>IFERROR(VLOOKUP(J3331,LUTs!$A$1:$C$73,2,FALSE),"NA")</f>
        <v>King</v>
      </c>
      <c r="L3331" t="str">
        <f>IFERROR(VLOOKUP(J3331,LUTs!$A$1:$C$73,3,FALSE),"NA")</f>
        <v>3South Puget Sound</v>
      </c>
      <c r="M3331" s="72" t="s">
        <v>18</v>
      </c>
      <c r="N3331" t="str">
        <f>VLOOKUP(M3331,LUTs!E$2:H$14,3,)</f>
        <v>06King</v>
      </c>
      <c r="O3331" t="str">
        <f>VLOOKUP(M3331,LUTs!E$2:H$14,4,)</f>
        <v>02South Puget Sound</v>
      </c>
      <c r="P3331" s="73">
        <v>985.54330708661405</v>
      </c>
      <c r="Q3331" s="74">
        <f>VLOOKUP(B3331,Readme!A$40:C$51,2,)*P3331</f>
        <v>8524.9496062992112</v>
      </c>
    </row>
    <row r="3332" spans="1:17" ht="12" customHeight="1" x14ac:dyDescent="0.35">
      <c r="A3332" s="75">
        <v>3331</v>
      </c>
      <c r="B3332" s="64">
        <v>2020</v>
      </c>
      <c r="C3332" s="64">
        <v>11</v>
      </c>
      <c r="D3332" s="80">
        <f t="shared" si="107"/>
        <v>2020</v>
      </c>
      <c r="E3332" t="s">
        <v>38</v>
      </c>
      <c r="F3332" t="s">
        <v>143</v>
      </c>
      <c r="G3332" t="s">
        <v>10</v>
      </c>
      <c r="H3332" s="72">
        <v>746</v>
      </c>
      <c r="I3332" s="72" t="s">
        <v>45</v>
      </c>
      <c r="J3332" t="str">
        <f t="shared" si="108"/>
        <v>Green - Duwamish River</v>
      </c>
      <c r="K3332" t="str">
        <f>IFERROR(VLOOKUP(J3332,LUTs!$A$1:$C$73,2,FALSE),"NA")</f>
        <v>King</v>
      </c>
      <c r="L3332" t="str">
        <f>IFERROR(VLOOKUP(J3332,LUTs!$A$1:$C$73,3,FALSE),"NA")</f>
        <v>3South Puget Sound</v>
      </c>
      <c r="M3332" s="72" t="s">
        <v>20</v>
      </c>
      <c r="N3332" t="str">
        <f>VLOOKUP(M3332,LUTs!E$2:H$14,3,)</f>
        <v>07Pierce</v>
      </c>
      <c r="O3332" t="str">
        <f>VLOOKUP(M3332,LUTs!E$2:H$14,4,)</f>
        <v>02South Puget Sound</v>
      </c>
      <c r="P3332" s="73">
        <v>142.48818897637801</v>
      </c>
      <c r="Q3332" s="74">
        <f>VLOOKUP(B3332,Readme!A$40:C$51,2,)*P3332</f>
        <v>1232.5228346456699</v>
      </c>
    </row>
    <row r="3333" spans="1:17" ht="12" customHeight="1" x14ac:dyDescent="0.35">
      <c r="A3333" s="75">
        <v>3332</v>
      </c>
      <c r="B3333" s="64">
        <v>2020</v>
      </c>
      <c r="C3333" s="64">
        <v>11</v>
      </c>
      <c r="D3333" s="80">
        <f t="shared" si="107"/>
        <v>2020</v>
      </c>
      <c r="E3333" t="s">
        <v>38</v>
      </c>
      <c r="F3333" t="s">
        <v>143</v>
      </c>
      <c r="G3333" t="s">
        <v>10</v>
      </c>
      <c r="H3333" s="72">
        <v>746</v>
      </c>
      <c r="I3333" s="72" t="s">
        <v>45</v>
      </c>
      <c r="J3333" t="str">
        <f t="shared" si="108"/>
        <v>Green - Duwamish River</v>
      </c>
      <c r="K3333" t="str">
        <f>IFERROR(VLOOKUP(J3333,LUTs!$A$1:$C$73,2,FALSE),"NA")</f>
        <v>King</v>
      </c>
      <c r="L3333" t="str">
        <f>IFERROR(VLOOKUP(J3333,LUTs!$A$1:$C$73,3,FALSE),"NA")</f>
        <v>3South Puget Sound</v>
      </c>
      <c r="M3333" s="72" t="s">
        <v>16</v>
      </c>
      <c r="N3333" t="str">
        <f>VLOOKUP(M3333,LUTs!E$2:H$14,3,)</f>
        <v>03Snohomish</v>
      </c>
      <c r="O3333" t="str">
        <f>VLOOKUP(M3333,LUTs!E$2:H$14,4,)</f>
        <v>01North Puget Sound</v>
      </c>
      <c r="P3333" s="73">
        <v>154.362204724409</v>
      </c>
      <c r="Q3333" s="74">
        <f>VLOOKUP(B3333,Readme!A$40:C$51,2,)*P3333</f>
        <v>1335.233070866138</v>
      </c>
    </row>
    <row r="3334" spans="1:17" ht="12" customHeight="1" x14ac:dyDescent="0.35">
      <c r="A3334" s="75">
        <v>3333</v>
      </c>
      <c r="B3334" s="64">
        <v>2020</v>
      </c>
      <c r="C3334" s="64">
        <v>11</v>
      </c>
      <c r="D3334" s="80">
        <f t="shared" si="107"/>
        <v>2020</v>
      </c>
      <c r="E3334" t="s">
        <v>38</v>
      </c>
      <c r="F3334" t="s">
        <v>143</v>
      </c>
      <c r="G3334" t="s">
        <v>10</v>
      </c>
      <c r="H3334" s="72">
        <v>746</v>
      </c>
      <c r="I3334" s="72" t="s">
        <v>45</v>
      </c>
      <c r="J3334" t="str">
        <f t="shared" si="108"/>
        <v>Green - Duwamish River</v>
      </c>
      <c r="K3334" t="str">
        <f>IFERROR(VLOOKUP(J3334,LUTs!$A$1:$C$73,2,FALSE),"NA")</f>
        <v>King</v>
      </c>
      <c r="L3334" t="str">
        <f>IFERROR(VLOOKUP(J3334,LUTs!$A$1:$C$73,3,FALSE),"NA")</f>
        <v>3South Puget Sound</v>
      </c>
      <c r="M3334" s="72" t="s">
        <v>21</v>
      </c>
      <c r="N3334" t="str">
        <f>VLOOKUP(M3334,LUTs!E$2:H$14,3,)</f>
        <v>08Thurston</v>
      </c>
      <c r="O3334" t="str">
        <f>VLOOKUP(M3334,LUTs!E$2:H$14,4,)</f>
        <v>02South Puget Sound</v>
      </c>
      <c r="P3334" s="73">
        <v>11.8740157480315</v>
      </c>
      <c r="Q3334" s="74">
        <f>VLOOKUP(B3334,Readme!A$40:C$51,2,)*P3334</f>
        <v>102.71023622047248</v>
      </c>
    </row>
    <row r="3335" spans="1:17" ht="12" customHeight="1" x14ac:dyDescent="0.35">
      <c r="A3335" s="75">
        <v>3334</v>
      </c>
      <c r="B3335" s="64">
        <v>2020</v>
      </c>
      <c r="C3335" s="64">
        <v>12</v>
      </c>
      <c r="D3335" s="80">
        <f t="shared" si="107"/>
        <v>2020</v>
      </c>
      <c r="E3335" t="s">
        <v>38</v>
      </c>
      <c r="F3335" t="s">
        <v>143</v>
      </c>
      <c r="G3335" t="s">
        <v>10</v>
      </c>
      <c r="H3335" s="72">
        <v>746</v>
      </c>
      <c r="I3335" s="72" t="s">
        <v>45</v>
      </c>
      <c r="J3335" t="str">
        <f t="shared" si="108"/>
        <v>Green - Duwamish River</v>
      </c>
      <c r="K3335" t="str">
        <f>IFERROR(VLOOKUP(J3335,LUTs!$A$1:$C$73,2,FALSE),"NA")</f>
        <v>King</v>
      </c>
      <c r="L3335" t="str">
        <f>IFERROR(VLOOKUP(J3335,LUTs!$A$1:$C$73,3,FALSE),"NA")</f>
        <v>3South Puget Sound</v>
      </c>
      <c r="M3335" s="72" t="s">
        <v>16</v>
      </c>
      <c r="N3335" t="str">
        <f>VLOOKUP(M3335,LUTs!E$2:H$14,3,)</f>
        <v>03Snohomish</v>
      </c>
      <c r="O3335" t="str">
        <f>VLOOKUP(M3335,LUTs!E$2:H$14,4,)</f>
        <v>01North Puget Sound</v>
      </c>
      <c r="P3335" s="73">
        <v>24</v>
      </c>
      <c r="Q3335" s="74">
        <f>VLOOKUP(B3335,Readme!A$40:C$51,2,)*P3335</f>
        <v>207.60000000000002</v>
      </c>
    </row>
    <row r="3336" spans="1:17" ht="12" customHeight="1" x14ac:dyDescent="0.35">
      <c r="A3336" s="75">
        <v>3335</v>
      </c>
      <c r="B3336" s="64">
        <v>2020</v>
      </c>
      <c r="C3336" s="64">
        <v>10</v>
      </c>
      <c r="D3336" s="80">
        <f t="shared" si="107"/>
        <v>2020</v>
      </c>
      <c r="E3336" t="s">
        <v>38</v>
      </c>
      <c r="F3336" t="s">
        <v>143</v>
      </c>
      <c r="G3336" t="s">
        <v>10</v>
      </c>
      <c r="H3336" s="72">
        <v>754</v>
      </c>
      <c r="I3336" s="72" t="s">
        <v>47</v>
      </c>
      <c r="J3336" t="str">
        <f t="shared" si="108"/>
        <v>Kennedy Creek</v>
      </c>
      <c r="K3336" t="str">
        <f>IFERROR(VLOOKUP(J3336,LUTs!$A$1:$C$73,2,FALSE),"NA")</f>
        <v>Mason/Thurston</v>
      </c>
      <c r="L3336" t="str">
        <f>IFERROR(VLOOKUP(J3336,LUTs!$A$1:$C$73,3,FALSE),"NA")</f>
        <v>3South Puget Sound</v>
      </c>
      <c r="M3336" s="72" t="s">
        <v>18</v>
      </c>
      <c r="N3336" t="str">
        <f>VLOOKUP(M3336,LUTs!E$2:H$14,3,)</f>
        <v>06King</v>
      </c>
      <c r="O3336" t="str">
        <f>VLOOKUP(M3336,LUTs!E$2:H$14,4,)</f>
        <v>02South Puget Sound</v>
      </c>
      <c r="P3336" s="73">
        <v>11.9166666666667</v>
      </c>
      <c r="Q3336" s="74">
        <f>VLOOKUP(B3336,Readme!A$40:C$51,2,)*P3336</f>
        <v>103.07916666666696</v>
      </c>
    </row>
    <row r="3337" spans="1:17" ht="12" customHeight="1" x14ac:dyDescent="0.35">
      <c r="A3337" s="75">
        <v>3336</v>
      </c>
      <c r="B3337" s="64">
        <v>2020</v>
      </c>
      <c r="C3337" s="64">
        <v>10</v>
      </c>
      <c r="D3337" s="80">
        <f t="shared" si="107"/>
        <v>2020</v>
      </c>
      <c r="E3337" t="s">
        <v>38</v>
      </c>
      <c r="F3337" t="s">
        <v>143</v>
      </c>
      <c r="G3337" t="s">
        <v>10</v>
      </c>
      <c r="H3337" s="72">
        <v>754</v>
      </c>
      <c r="I3337" s="72" t="s">
        <v>47</v>
      </c>
      <c r="J3337" t="str">
        <f t="shared" si="108"/>
        <v>Kennedy Creek</v>
      </c>
      <c r="K3337" t="str">
        <f>IFERROR(VLOOKUP(J3337,LUTs!$A$1:$C$73,2,FALSE),"NA")</f>
        <v>Mason/Thurston</v>
      </c>
      <c r="L3337" t="str">
        <f>IFERROR(VLOOKUP(J3337,LUTs!$A$1:$C$73,3,FALSE),"NA")</f>
        <v>3South Puget Sound</v>
      </c>
      <c r="M3337" s="72" t="s">
        <v>22</v>
      </c>
      <c r="N3337" t="str">
        <f>VLOOKUP(M3337,LUTs!E$2:H$14,3,)</f>
        <v>09Mason</v>
      </c>
      <c r="O3337" t="str">
        <f>VLOOKUP(M3337,LUTs!E$2:H$14,4,)</f>
        <v>02South Puget Sound</v>
      </c>
      <c r="P3337" s="73">
        <v>23.8333333333333</v>
      </c>
      <c r="Q3337" s="74">
        <f>VLOOKUP(B3337,Readme!A$40:C$51,2,)*P3337</f>
        <v>206.15833333333305</v>
      </c>
    </row>
    <row r="3338" spans="1:17" ht="12" customHeight="1" x14ac:dyDescent="0.35">
      <c r="A3338" s="75">
        <v>3337</v>
      </c>
      <c r="B3338" s="64">
        <v>2020</v>
      </c>
      <c r="C3338" s="64">
        <v>10</v>
      </c>
      <c r="D3338" s="80">
        <f t="shared" si="107"/>
        <v>2020</v>
      </c>
      <c r="E3338" t="s">
        <v>38</v>
      </c>
      <c r="F3338" t="s">
        <v>143</v>
      </c>
      <c r="G3338" t="s">
        <v>10</v>
      </c>
      <c r="H3338" s="72">
        <v>754</v>
      </c>
      <c r="I3338" s="72" t="s">
        <v>47</v>
      </c>
      <c r="J3338" t="str">
        <f t="shared" si="108"/>
        <v>Kennedy Creek</v>
      </c>
      <c r="K3338" t="str">
        <f>IFERROR(VLOOKUP(J3338,LUTs!$A$1:$C$73,2,FALSE),"NA")</f>
        <v>Mason/Thurston</v>
      </c>
      <c r="L3338" t="str">
        <f>IFERROR(VLOOKUP(J3338,LUTs!$A$1:$C$73,3,FALSE),"NA")</f>
        <v>3South Puget Sound</v>
      </c>
      <c r="M3338" s="72" t="s">
        <v>20</v>
      </c>
      <c r="N3338" t="str">
        <f>VLOOKUP(M3338,LUTs!E$2:H$14,3,)</f>
        <v>07Pierce</v>
      </c>
      <c r="O3338" t="str">
        <f>VLOOKUP(M3338,LUTs!E$2:H$14,4,)</f>
        <v>02South Puget Sound</v>
      </c>
      <c r="P3338" s="73">
        <v>59.5833333333333</v>
      </c>
      <c r="Q3338" s="74">
        <f>VLOOKUP(B3338,Readme!A$40:C$51,2,)*P3338</f>
        <v>515.39583333333303</v>
      </c>
    </row>
    <row r="3339" spans="1:17" ht="12" customHeight="1" x14ac:dyDescent="0.35">
      <c r="A3339" s="75">
        <v>3338</v>
      </c>
      <c r="B3339" s="64">
        <v>2020</v>
      </c>
      <c r="C3339" s="64">
        <v>10</v>
      </c>
      <c r="D3339" s="80">
        <f t="shared" si="107"/>
        <v>2020</v>
      </c>
      <c r="E3339" t="s">
        <v>38</v>
      </c>
      <c r="F3339" t="s">
        <v>143</v>
      </c>
      <c r="G3339" t="s">
        <v>10</v>
      </c>
      <c r="H3339" s="72">
        <v>754</v>
      </c>
      <c r="I3339" s="72" t="s">
        <v>47</v>
      </c>
      <c r="J3339" t="str">
        <f t="shared" si="108"/>
        <v>Kennedy Creek</v>
      </c>
      <c r="K3339" t="str">
        <f>IFERROR(VLOOKUP(J3339,LUTs!$A$1:$C$73,2,FALSE),"NA")</f>
        <v>Mason/Thurston</v>
      </c>
      <c r="L3339" t="str">
        <f>IFERROR(VLOOKUP(J3339,LUTs!$A$1:$C$73,3,FALSE),"NA")</f>
        <v>3South Puget Sound</v>
      </c>
      <c r="M3339" s="72" t="s">
        <v>21</v>
      </c>
      <c r="N3339" t="str">
        <f>VLOOKUP(M3339,LUTs!E$2:H$14,3,)</f>
        <v>08Thurston</v>
      </c>
      <c r="O3339" t="str">
        <f>VLOOKUP(M3339,LUTs!E$2:H$14,4,)</f>
        <v>02South Puget Sound</v>
      </c>
      <c r="P3339" s="73">
        <v>47.6666666666667</v>
      </c>
      <c r="Q3339" s="74">
        <f>VLOOKUP(B3339,Readme!A$40:C$51,2,)*P3339</f>
        <v>412.31666666666695</v>
      </c>
    </row>
    <row r="3340" spans="1:17" ht="12" customHeight="1" x14ac:dyDescent="0.35">
      <c r="A3340" s="75">
        <v>3339</v>
      </c>
      <c r="B3340" s="64">
        <v>2020</v>
      </c>
      <c r="C3340" s="64">
        <v>11</v>
      </c>
      <c r="D3340" s="80">
        <f t="shared" si="107"/>
        <v>2020</v>
      </c>
      <c r="E3340" t="s">
        <v>38</v>
      </c>
      <c r="F3340" t="s">
        <v>143</v>
      </c>
      <c r="G3340" t="s">
        <v>10</v>
      </c>
      <c r="H3340" s="72">
        <v>754</v>
      </c>
      <c r="I3340" s="72" t="s">
        <v>47</v>
      </c>
      <c r="J3340" t="str">
        <f t="shared" si="108"/>
        <v>Kennedy Creek</v>
      </c>
      <c r="K3340" t="str">
        <f>IFERROR(VLOOKUP(J3340,LUTs!$A$1:$C$73,2,FALSE),"NA")</f>
        <v>Mason/Thurston</v>
      </c>
      <c r="L3340" t="str">
        <f>IFERROR(VLOOKUP(J3340,LUTs!$A$1:$C$73,3,FALSE),"NA")</f>
        <v>3South Puget Sound</v>
      </c>
      <c r="M3340" s="72" t="s">
        <v>26</v>
      </c>
      <c r="N3340" t="str">
        <f>VLOOKUP(M3340,LUTs!E$2:H$14,3,)</f>
        <v>20Other</v>
      </c>
      <c r="O3340" t="str">
        <f>VLOOKUP(M3340,LUTs!E$2:H$14,4,)</f>
        <v>07Non Puget Sound</v>
      </c>
      <c r="P3340" s="73">
        <v>35.8888888888889</v>
      </c>
      <c r="Q3340" s="74">
        <f>VLOOKUP(B3340,Readme!A$40:C$51,2,)*P3340</f>
        <v>310.43888888888898</v>
      </c>
    </row>
    <row r="3341" spans="1:17" ht="12" customHeight="1" x14ac:dyDescent="0.35">
      <c r="A3341" s="75">
        <v>3340</v>
      </c>
      <c r="B3341" s="64">
        <v>2020</v>
      </c>
      <c r="C3341" s="64">
        <v>11</v>
      </c>
      <c r="D3341" s="80">
        <f t="shared" si="107"/>
        <v>2020</v>
      </c>
      <c r="E3341" t="s">
        <v>38</v>
      </c>
      <c r="F3341" t="s">
        <v>143</v>
      </c>
      <c r="G3341" t="s">
        <v>10</v>
      </c>
      <c r="H3341" s="72">
        <v>754</v>
      </c>
      <c r="I3341" s="72" t="s">
        <v>47</v>
      </c>
      <c r="J3341" t="str">
        <f t="shared" si="108"/>
        <v>Kennedy Creek</v>
      </c>
      <c r="K3341" t="str">
        <f>IFERROR(VLOOKUP(J3341,LUTs!$A$1:$C$73,2,FALSE),"NA")</f>
        <v>Mason/Thurston</v>
      </c>
      <c r="L3341" t="str">
        <f>IFERROR(VLOOKUP(J3341,LUTs!$A$1:$C$73,3,FALSE),"NA")</f>
        <v>3South Puget Sound</v>
      </c>
      <c r="M3341" s="72" t="s">
        <v>20</v>
      </c>
      <c r="N3341" t="str">
        <f>VLOOKUP(M3341,LUTs!E$2:H$14,3,)</f>
        <v>07Pierce</v>
      </c>
      <c r="O3341" t="str">
        <f>VLOOKUP(M3341,LUTs!E$2:H$14,4,)</f>
        <v>02South Puget Sound</v>
      </c>
      <c r="P3341" s="73">
        <v>143.555555555556</v>
      </c>
      <c r="Q3341" s="74">
        <f>VLOOKUP(B3341,Readme!A$40:C$51,2,)*P3341</f>
        <v>1241.7555555555593</v>
      </c>
    </row>
    <row r="3342" spans="1:17" ht="12" customHeight="1" x14ac:dyDescent="0.35">
      <c r="A3342" s="75">
        <v>3341</v>
      </c>
      <c r="B3342" s="64">
        <v>2020</v>
      </c>
      <c r="C3342" s="64">
        <v>11</v>
      </c>
      <c r="D3342" s="80">
        <f t="shared" si="107"/>
        <v>2020</v>
      </c>
      <c r="E3342" t="s">
        <v>38</v>
      </c>
      <c r="F3342" t="s">
        <v>143</v>
      </c>
      <c r="G3342" t="s">
        <v>10</v>
      </c>
      <c r="H3342" s="72">
        <v>754</v>
      </c>
      <c r="I3342" s="72" t="s">
        <v>47</v>
      </c>
      <c r="J3342" t="str">
        <f t="shared" si="108"/>
        <v>Kennedy Creek</v>
      </c>
      <c r="K3342" t="str">
        <f>IFERROR(VLOOKUP(J3342,LUTs!$A$1:$C$73,2,FALSE),"NA")</f>
        <v>Mason/Thurston</v>
      </c>
      <c r="L3342" t="str">
        <f>IFERROR(VLOOKUP(J3342,LUTs!$A$1:$C$73,3,FALSE),"NA")</f>
        <v>3South Puget Sound</v>
      </c>
      <c r="M3342" s="72" t="s">
        <v>21</v>
      </c>
      <c r="N3342" t="str">
        <f>VLOOKUP(M3342,LUTs!E$2:H$14,3,)</f>
        <v>08Thurston</v>
      </c>
      <c r="O3342" t="str">
        <f>VLOOKUP(M3342,LUTs!E$2:H$14,4,)</f>
        <v>02South Puget Sound</v>
      </c>
      <c r="P3342" s="73">
        <v>143.555555555556</v>
      </c>
      <c r="Q3342" s="74">
        <f>VLOOKUP(B3342,Readme!A$40:C$51,2,)*P3342</f>
        <v>1241.7555555555593</v>
      </c>
    </row>
    <row r="3343" spans="1:17" ht="12" customHeight="1" x14ac:dyDescent="0.35">
      <c r="A3343" s="75">
        <v>3342</v>
      </c>
      <c r="B3343" s="64">
        <v>2020</v>
      </c>
      <c r="C3343" s="64">
        <v>9</v>
      </c>
      <c r="D3343" s="80">
        <f t="shared" si="107"/>
        <v>2020</v>
      </c>
      <c r="E3343" t="s">
        <v>38</v>
      </c>
      <c r="F3343" t="s">
        <v>143</v>
      </c>
      <c r="G3343" t="s">
        <v>10</v>
      </c>
      <c r="H3343" s="72">
        <v>762</v>
      </c>
      <c r="I3343" s="72" t="s">
        <v>48</v>
      </c>
      <c r="J3343" t="str">
        <f t="shared" si="108"/>
        <v>Lake Washington</v>
      </c>
      <c r="K3343" t="str">
        <f>IFERROR(VLOOKUP(J3343,LUTs!$A$1:$C$73,2,FALSE),"NA")</f>
        <v>King</v>
      </c>
      <c r="L3343" t="str">
        <f>IFERROR(VLOOKUP(J3343,LUTs!$A$1:$C$73,3,FALSE),"NA")</f>
        <v>2Central Puget Sound</v>
      </c>
      <c r="M3343" s="72" t="s">
        <v>18</v>
      </c>
      <c r="N3343" t="str">
        <f>VLOOKUP(M3343,LUTs!E$2:H$14,3,)</f>
        <v>06King</v>
      </c>
      <c r="O3343" t="str">
        <f>VLOOKUP(M3343,LUTs!E$2:H$14,4,)</f>
        <v>02South Puget Sound</v>
      </c>
      <c r="P3343" s="73">
        <v>108</v>
      </c>
      <c r="Q3343" s="74">
        <f>VLOOKUP(B3343,Readme!A$40:C$51,2,)*P3343</f>
        <v>934.2</v>
      </c>
    </row>
    <row r="3344" spans="1:17" ht="12" customHeight="1" x14ac:dyDescent="0.35">
      <c r="A3344" s="75">
        <v>3343</v>
      </c>
      <c r="B3344" s="64">
        <v>2020</v>
      </c>
      <c r="C3344" s="64">
        <v>10</v>
      </c>
      <c r="D3344" s="80">
        <f t="shared" si="107"/>
        <v>2020</v>
      </c>
      <c r="E3344" t="s">
        <v>38</v>
      </c>
      <c r="F3344" t="s">
        <v>143</v>
      </c>
      <c r="G3344" t="s">
        <v>10</v>
      </c>
      <c r="H3344" s="72">
        <v>762</v>
      </c>
      <c r="I3344" s="72" t="s">
        <v>48</v>
      </c>
      <c r="J3344" t="str">
        <f t="shared" si="108"/>
        <v>Lake Washington</v>
      </c>
      <c r="K3344" t="str">
        <f>IFERROR(VLOOKUP(J3344,LUTs!$A$1:$C$73,2,FALSE),"NA")</f>
        <v>King</v>
      </c>
      <c r="L3344" t="str">
        <f>IFERROR(VLOOKUP(J3344,LUTs!$A$1:$C$73,3,FALSE),"NA")</f>
        <v>2Central Puget Sound</v>
      </c>
      <c r="M3344" s="72" t="s">
        <v>16</v>
      </c>
      <c r="N3344" t="str">
        <f>VLOOKUP(M3344,LUTs!E$2:H$14,3,)</f>
        <v>03Snohomish</v>
      </c>
      <c r="O3344" t="str">
        <f>VLOOKUP(M3344,LUTs!E$2:H$14,4,)</f>
        <v>01North Puget Sound</v>
      </c>
      <c r="P3344" s="73">
        <v>15</v>
      </c>
      <c r="Q3344" s="74">
        <f>VLOOKUP(B3344,Readme!A$40:C$51,2,)*P3344</f>
        <v>129.75</v>
      </c>
    </row>
    <row r="3345" spans="1:17" ht="12" customHeight="1" x14ac:dyDescent="0.35">
      <c r="A3345" s="75">
        <v>3344</v>
      </c>
      <c r="B3345" s="64">
        <v>2020</v>
      </c>
      <c r="C3345" s="64">
        <v>10</v>
      </c>
      <c r="D3345" s="80">
        <f t="shared" si="107"/>
        <v>2020</v>
      </c>
      <c r="E3345" t="s">
        <v>38</v>
      </c>
      <c r="F3345" t="s">
        <v>143</v>
      </c>
      <c r="G3345" t="s">
        <v>10</v>
      </c>
      <c r="H3345" s="72">
        <v>764</v>
      </c>
      <c r="I3345" s="72" t="s">
        <v>49</v>
      </c>
      <c r="J3345" t="str">
        <f t="shared" si="108"/>
        <v>Lake Sammamish</v>
      </c>
      <c r="K3345" t="str">
        <f>IFERROR(VLOOKUP(J3345,LUTs!$A$1:$C$73,2,FALSE),"NA")</f>
        <v>King</v>
      </c>
      <c r="L3345" t="str">
        <f>IFERROR(VLOOKUP(J3345,LUTs!$A$1:$C$73,3,FALSE),"NA")</f>
        <v>2Central Puget Sound</v>
      </c>
      <c r="M3345" s="72" t="s">
        <v>20</v>
      </c>
      <c r="N3345" t="str">
        <f>VLOOKUP(M3345,LUTs!E$2:H$14,3,)</f>
        <v>07Pierce</v>
      </c>
      <c r="O3345" t="str">
        <f>VLOOKUP(M3345,LUTs!E$2:H$14,4,)</f>
        <v>02South Puget Sound</v>
      </c>
      <c r="P3345" s="73">
        <v>7</v>
      </c>
      <c r="Q3345" s="74">
        <f>VLOOKUP(B3345,Readme!A$40:C$51,2,)*P3345</f>
        <v>60.550000000000004</v>
      </c>
    </row>
    <row r="3346" spans="1:17" ht="12" customHeight="1" x14ac:dyDescent="0.35">
      <c r="A3346" s="75">
        <v>3345</v>
      </c>
      <c r="B3346" s="64">
        <v>2020</v>
      </c>
      <c r="C3346" s="64">
        <v>8</v>
      </c>
      <c r="D3346" s="80">
        <f t="shared" si="107"/>
        <v>2020</v>
      </c>
      <c r="E3346" t="s">
        <v>38</v>
      </c>
      <c r="F3346" t="s">
        <v>143</v>
      </c>
      <c r="G3346" t="s">
        <v>10</v>
      </c>
      <c r="H3346" s="72">
        <v>770</v>
      </c>
      <c r="I3346" s="72" t="s">
        <v>77</v>
      </c>
      <c r="J3346" t="str">
        <f t="shared" si="108"/>
        <v>McAllister Creek</v>
      </c>
      <c r="K3346" t="str">
        <f>IFERROR(VLOOKUP(J3346,LUTs!$A$1:$C$73,2,FALSE),"NA")</f>
        <v>Thurston</v>
      </c>
      <c r="L3346" t="str">
        <f>IFERROR(VLOOKUP(J3346,LUTs!$A$1:$C$73,3,FALSE),"NA")</f>
        <v>3South Puget Sound</v>
      </c>
      <c r="M3346" s="72" t="s">
        <v>20</v>
      </c>
      <c r="N3346" t="str">
        <f>VLOOKUP(M3346,LUTs!E$2:H$14,3,)</f>
        <v>07Pierce</v>
      </c>
      <c r="O3346" t="str">
        <f>VLOOKUP(M3346,LUTs!E$2:H$14,4,)</f>
        <v>02South Puget Sound</v>
      </c>
      <c r="P3346" s="73">
        <v>48</v>
      </c>
      <c r="Q3346" s="74">
        <f>VLOOKUP(B3346,Readme!A$40:C$51,2,)*P3346</f>
        <v>415.20000000000005</v>
      </c>
    </row>
    <row r="3347" spans="1:17" ht="12" customHeight="1" x14ac:dyDescent="0.35">
      <c r="A3347" s="75">
        <v>3346</v>
      </c>
      <c r="B3347" s="64">
        <v>2020</v>
      </c>
      <c r="C3347" s="64">
        <v>9</v>
      </c>
      <c r="D3347" s="80">
        <f t="shared" si="107"/>
        <v>2020</v>
      </c>
      <c r="E3347" t="s">
        <v>38</v>
      </c>
      <c r="F3347" t="s">
        <v>143</v>
      </c>
      <c r="G3347" t="s">
        <v>10</v>
      </c>
      <c r="H3347" s="72">
        <v>770</v>
      </c>
      <c r="I3347" s="72" t="s">
        <v>77</v>
      </c>
      <c r="J3347" t="str">
        <f t="shared" si="108"/>
        <v>McAllister Creek</v>
      </c>
      <c r="K3347" t="str">
        <f>IFERROR(VLOOKUP(J3347,LUTs!$A$1:$C$73,2,FALSE),"NA")</f>
        <v>Thurston</v>
      </c>
      <c r="L3347" t="str">
        <f>IFERROR(VLOOKUP(J3347,LUTs!$A$1:$C$73,3,FALSE),"NA")</f>
        <v>3South Puget Sound</v>
      </c>
      <c r="M3347" s="72" t="s">
        <v>20</v>
      </c>
      <c r="N3347" t="str">
        <f>VLOOKUP(M3347,LUTs!E$2:H$14,3,)</f>
        <v>07Pierce</v>
      </c>
      <c r="O3347" t="str">
        <f>VLOOKUP(M3347,LUTs!E$2:H$14,4,)</f>
        <v>02South Puget Sound</v>
      </c>
      <c r="P3347" s="73">
        <v>36</v>
      </c>
      <c r="Q3347" s="74">
        <f>VLOOKUP(B3347,Readme!A$40:C$51,2,)*P3347</f>
        <v>311.40000000000003</v>
      </c>
    </row>
    <row r="3348" spans="1:17" ht="12" customHeight="1" x14ac:dyDescent="0.35">
      <c r="A3348" s="75">
        <v>3347</v>
      </c>
      <c r="B3348" s="64">
        <v>2020</v>
      </c>
      <c r="C3348" s="64">
        <v>9</v>
      </c>
      <c r="D3348" s="80">
        <f t="shared" si="107"/>
        <v>2020</v>
      </c>
      <c r="E3348" t="s">
        <v>38</v>
      </c>
      <c r="F3348" t="s">
        <v>143</v>
      </c>
      <c r="G3348" t="s">
        <v>10</v>
      </c>
      <c r="H3348" s="72">
        <v>778</v>
      </c>
      <c r="I3348" s="72" t="s">
        <v>50</v>
      </c>
      <c r="J3348" t="str">
        <f t="shared" si="108"/>
        <v>Minter Creek</v>
      </c>
      <c r="K3348" t="str">
        <f>IFERROR(VLOOKUP(J3348,LUTs!$A$1:$C$73,2,FALSE),"NA")</f>
        <v>Kitsap/Pierce</v>
      </c>
      <c r="L3348" t="str">
        <f>IFERROR(VLOOKUP(J3348,LUTs!$A$1:$C$73,3,FALSE),"NA")</f>
        <v>3South Puget Sound</v>
      </c>
      <c r="M3348" s="72" t="s">
        <v>18</v>
      </c>
      <c r="N3348" t="str">
        <f>VLOOKUP(M3348,LUTs!E$2:H$14,3,)</f>
        <v>06King</v>
      </c>
      <c r="O3348" t="str">
        <f>VLOOKUP(M3348,LUTs!E$2:H$14,4,)</f>
        <v>02South Puget Sound</v>
      </c>
      <c r="P3348" s="73">
        <v>25.882352941176499</v>
      </c>
      <c r="Q3348" s="74">
        <f>VLOOKUP(B3348,Readme!A$40:C$51,2,)*P3348</f>
        <v>223.88235294117672</v>
      </c>
    </row>
    <row r="3349" spans="1:17" ht="12" customHeight="1" x14ac:dyDescent="0.35">
      <c r="A3349" s="75">
        <v>3348</v>
      </c>
      <c r="B3349" s="64">
        <v>2020</v>
      </c>
      <c r="C3349" s="64">
        <v>9</v>
      </c>
      <c r="D3349" s="80">
        <f t="shared" si="107"/>
        <v>2020</v>
      </c>
      <c r="E3349" t="s">
        <v>38</v>
      </c>
      <c r="F3349" t="s">
        <v>143</v>
      </c>
      <c r="G3349" t="s">
        <v>10</v>
      </c>
      <c r="H3349" s="72">
        <v>778</v>
      </c>
      <c r="I3349" s="72" t="s">
        <v>50</v>
      </c>
      <c r="J3349" t="str">
        <f t="shared" si="108"/>
        <v>Minter Creek</v>
      </c>
      <c r="K3349" t="str">
        <f>IFERROR(VLOOKUP(J3349,LUTs!$A$1:$C$73,2,FALSE),"NA")</f>
        <v>Kitsap/Pierce</v>
      </c>
      <c r="L3349" t="str">
        <f>IFERROR(VLOOKUP(J3349,LUTs!$A$1:$C$73,3,FALSE),"NA")</f>
        <v>3South Puget Sound</v>
      </c>
      <c r="M3349" s="72" t="s">
        <v>23</v>
      </c>
      <c r="N3349" t="str">
        <f>VLOOKUP(M3349,LUTs!E$2:H$14,3,)</f>
        <v>10Kitsap</v>
      </c>
      <c r="O3349" t="str">
        <f>VLOOKUP(M3349,LUTs!E$2:H$14,4,)</f>
        <v>02South Puget Sound</v>
      </c>
      <c r="P3349" s="73">
        <v>129.41176470588201</v>
      </c>
      <c r="Q3349" s="74">
        <f>VLOOKUP(B3349,Readme!A$40:C$51,2,)*P3349</f>
        <v>1119.4117647058795</v>
      </c>
    </row>
    <row r="3350" spans="1:17" ht="12" customHeight="1" x14ac:dyDescent="0.35">
      <c r="A3350" s="75">
        <v>3349</v>
      </c>
      <c r="B3350" s="64">
        <v>2020</v>
      </c>
      <c r="C3350" s="64">
        <v>9</v>
      </c>
      <c r="D3350" s="80">
        <f t="shared" si="107"/>
        <v>2020</v>
      </c>
      <c r="E3350" t="s">
        <v>38</v>
      </c>
      <c r="F3350" t="s">
        <v>143</v>
      </c>
      <c r="G3350" t="s">
        <v>10</v>
      </c>
      <c r="H3350" s="72">
        <v>778</v>
      </c>
      <c r="I3350" s="72" t="s">
        <v>50</v>
      </c>
      <c r="J3350" t="str">
        <f t="shared" si="108"/>
        <v>Minter Creek</v>
      </c>
      <c r="K3350" t="str">
        <f>IFERROR(VLOOKUP(J3350,LUTs!$A$1:$C$73,2,FALSE),"NA")</f>
        <v>Kitsap/Pierce</v>
      </c>
      <c r="L3350" t="str">
        <f>IFERROR(VLOOKUP(J3350,LUTs!$A$1:$C$73,3,FALSE),"NA")</f>
        <v>3South Puget Sound</v>
      </c>
      <c r="M3350" s="72" t="s">
        <v>22</v>
      </c>
      <c r="N3350" t="str">
        <f>VLOOKUP(M3350,LUTs!E$2:H$14,3,)</f>
        <v>09Mason</v>
      </c>
      <c r="O3350" t="str">
        <f>VLOOKUP(M3350,LUTs!E$2:H$14,4,)</f>
        <v>02South Puget Sound</v>
      </c>
      <c r="P3350" s="73">
        <v>12.9411764705882</v>
      </c>
      <c r="Q3350" s="74">
        <f>VLOOKUP(B3350,Readme!A$40:C$51,2,)*P3350</f>
        <v>111.94117647058793</v>
      </c>
    </row>
    <row r="3351" spans="1:17" ht="12" customHeight="1" x14ac:dyDescent="0.35">
      <c r="A3351" s="75">
        <v>3350</v>
      </c>
      <c r="B3351" s="64">
        <v>2020</v>
      </c>
      <c r="C3351" s="64">
        <v>9</v>
      </c>
      <c r="D3351" s="80">
        <f t="shared" si="107"/>
        <v>2020</v>
      </c>
      <c r="E3351" t="s">
        <v>38</v>
      </c>
      <c r="F3351" t="s">
        <v>143</v>
      </c>
      <c r="G3351" t="s">
        <v>10</v>
      </c>
      <c r="H3351" s="72">
        <v>778</v>
      </c>
      <c r="I3351" s="72" t="s">
        <v>50</v>
      </c>
      <c r="J3351" t="str">
        <f t="shared" si="108"/>
        <v>Minter Creek</v>
      </c>
      <c r="K3351" t="str">
        <f>IFERROR(VLOOKUP(J3351,LUTs!$A$1:$C$73,2,FALSE),"NA")</f>
        <v>Kitsap/Pierce</v>
      </c>
      <c r="L3351" t="str">
        <f>IFERROR(VLOOKUP(J3351,LUTs!$A$1:$C$73,3,FALSE),"NA")</f>
        <v>3South Puget Sound</v>
      </c>
      <c r="M3351" s="72" t="s">
        <v>20</v>
      </c>
      <c r="N3351" t="str">
        <f>VLOOKUP(M3351,LUTs!E$2:H$14,3,)</f>
        <v>07Pierce</v>
      </c>
      <c r="O3351" t="str">
        <f>VLOOKUP(M3351,LUTs!E$2:H$14,4,)</f>
        <v>02South Puget Sound</v>
      </c>
      <c r="P3351" s="73">
        <v>38.823529411764703</v>
      </c>
      <c r="Q3351" s="74">
        <f>VLOOKUP(B3351,Readme!A$40:C$51,2,)*P3351</f>
        <v>335.8235294117647</v>
      </c>
    </row>
    <row r="3352" spans="1:17" ht="12" customHeight="1" x14ac:dyDescent="0.35">
      <c r="A3352" s="75">
        <v>3351</v>
      </c>
      <c r="B3352" s="64">
        <v>2020</v>
      </c>
      <c r="C3352" s="64">
        <v>9</v>
      </c>
      <c r="D3352" s="80">
        <f t="shared" si="107"/>
        <v>2020</v>
      </c>
      <c r="E3352" t="s">
        <v>38</v>
      </c>
      <c r="F3352" t="s">
        <v>143</v>
      </c>
      <c r="G3352" t="s">
        <v>10</v>
      </c>
      <c r="H3352" s="72">
        <v>778</v>
      </c>
      <c r="I3352" s="72" t="s">
        <v>50</v>
      </c>
      <c r="J3352" t="str">
        <f t="shared" si="108"/>
        <v>Minter Creek</v>
      </c>
      <c r="K3352" t="str">
        <f>IFERROR(VLOOKUP(J3352,LUTs!$A$1:$C$73,2,FALSE),"NA")</f>
        <v>Kitsap/Pierce</v>
      </c>
      <c r="L3352" t="str">
        <f>IFERROR(VLOOKUP(J3352,LUTs!$A$1:$C$73,3,FALSE),"NA")</f>
        <v>3South Puget Sound</v>
      </c>
      <c r="M3352" s="72" t="s">
        <v>21</v>
      </c>
      <c r="N3352" t="str">
        <f>VLOOKUP(M3352,LUTs!E$2:H$14,3,)</f>
        <v>08Thurston</v>
      </c>
      <c r="O3352" t="str">
        <f>VLOOKUP(M3352,LUTs!E$2:H$14,4,)</f>
        <v>02South Puget Sound</v>
      </c>
      <c r="P3352" s="73">
        <v>12.9411764705882</v>
      </c>
      <c r="Q3352" s="74">
        <f>VLOOKUP(B3352,Readme!A$40:C$51,2,)*P3352</f>
        <v>111.94117647058793</v>
      </c>
    </row>
    <row r="3353" spans="1:17" ht="12" customHeight="1" x14ac:dyDescent="0.35">
      <c r="A3353" s="75">
        <v>3352</v>
      </c>
      <c r="B3353" s="64">
        <v>2020</v>
      </c>
      <c r="C3353" s="64">
        <v>10</v>
      </c>
      <c r="D3353" s="80">
        <f t="shared" si="107"/>
        <v>2020</v>
      </c>
      <c r="E3353" t="s">
        <v>38</v>
      </c>
      <c r="F3353" t="s">
        <v>143</v>
      </c>
      <c r="G3353" t="s">
        <v>10</v>
      </c>
      <c r="H3353" s="72">
        <v>778</v>
      </c>
      <c r="I3353" s="72" t="s">
        <v>50</v>
      </c>
      <c r="J3353" t="str">
        <f t="shared" si="108"/>
        <v>Minter Creek</v>
      </c>
      <c r="K3353" t="str">
        <f>IFERROR(VLOOKUP(J3353,LUTs!$A$1:$C$73,2,FALSE),"NA")</f>
        <v>Kitsap/Pierce</v>
      </c>
      <c r="L3353" t="str">
        <f>IFERROR(VLOOKUP(J3353,LUTs!$A$1:$C$73,3,FALSE),"NA")</f>
        <v>3South Puget Sound</v>
      </c>
      <c r="M3353" s="72" t="s">
        <v>18</v>
      </c>
      <c r="N3353" t="str">
        <f>VLOOKUP(M3353,LUTs!E$2:H$14,3,)</f>
        <v>06King</v>
      </c>
      <c r="O3353" t="str">
        <f>VLOOKUP(M3353,LUTs!E$2:H$14,4,)</f>
        <v>02South Puget Sound</v>
      </c>
      <c r="P3353" s="73">
        <v>130</v>
      </c>
      <c r="Q3353" s="74">
        <f>VLOOKUP(B3353,Readme!A$40:C$51,2,)*P3353</f>
        <v>1124.5</v>
      </c>
    </row>
    <row r="3354" spans="1:17" ht="12" customHeight="1" x14ac:dyDescent="0.35">
      <c r="A3354" s="75">
        <v>3353</v>
      </c>
      <c r="B3354" s="64">
        <v>2020</v>
      </c>
      <c r="C3354" s="64">
        <v>10</v>
      </c>
      <c r="D3354" s="80">
        <f t="shared" si="107"/>
        <v>2020</v>
      </c>
      <c r="E3354" t="s">
        <v>38</v>
      </c>
      <c r="F3354" t="s">
        <v>143</v>
      </c>
      <c r="G3354" t="s">
        <v>10</v>
      </c>
      <c r="H3354" s="72">
        <v>778</v>
      </c>
      <c r="I3354" s="72" t="s">
        <v>50</v>
      </c>
      <c r="J3354" t="str">
        <f t="shared" si="108"/>
        <v>Minter Creek</v>
      </c>
      <c r="K3354" t="str">
        <f>IFERROR(VLOOKUP(J3354,LUTs!$A$1:$C$73,2,FALSE),"NA")</f>
        <v>Kitsap/Pierce</v>
      </c>
      <c r="L3354" t="str">
        <f>IFERROR(VLOOKUP(J3354,LUTs!$A$1:$C$73,3,FALSE),"NA")</f>
        <v>3South Puget Sound</v>
      </c>
      <c r="M3354" s="72" t="s">
        <v>22</v>
      </c>
      <c r="N3354" t="str">
        <f>VLOOKUP(M3354,LUTs!E$2:H$14,3,)</f>
        <v>09Mason</v>
      </c>
      <c r="O3354" t="str">
        <f>VLOOKUP(M3354,LUTs!E$2:H$14,4,)</f>
        <v>02South Puget Sound</v>
      </c>
      <c r="P3354" s="73">
        <v>39</v>
      </c>
      <c r="Q3354" s="74">
        <f>VLOOKUP(B3354,Readme!A$40:C$51,2,)*P3354</f>
        <v>337.35</v>
      </c>
    </row>
    <row r="3355" spans="1:17" ht="12" customHeight="1" x14ac:dyDescent="0.35">
      <c r="A3355" s="75">
        <v>3354</v>
      </c>
      <c r="B3355" s="64">
        <v>2020</v>
      </c>
      <c r="C3355" s="64">
        <v>10</v>
      </c>
      <c r="D3355" s="80">
        <f t="shared" si="107"/>
        <v>2020</v>
      </c>
      <c r="E3355" t="s">
        <v>38</v>
      </c>
      <c r="F3355" t="s">
        <v>143</v>
      </c>
      <c r="G3355" t="s">
        <v>10</v>
      </c>
      <c r="H3355" s="72">
        <v>778</v>
      </c>
      <c r="I3355" s="72" t="s">
        <v>50</v>
      </c>
      <c r="J3355" t="str">
        <f t="shared" si="108"/>
        <v>Minter Creek</v>
      </c>
      <c r="K3355" t="str">
        <f>IFERROR(VLOOKUP(J3355,LUTs!$A$1:$C$73,2,FALSE),"NA")</f>
        <v>Kitsap/Pierce</v>
      </c>
      <c r="L3355" t="str">
        <f>IFERROR(VLOOKUP(J3355,LUTs!$A$1:$C$73,3,FALSE),"NA")</f>
        <v>3South Puget Sound</v>
      </c>
      <c r="M3355" s="72" t="s">
        <v>20</v>
      </c>
      <c r="N3355" t="str">
        <f>VLOOKUP(M3355,LUTs!E$2:H$14,3,)</f>
        <v>07Pierce</v>
      </c>
      <c r="O3355" t="str">
        <f>VLOOKUP(M3355,LUTs!E$2:H$14,4,)</f>
        <v>02South Puget Sound</v>
      </c>
      <c r="P3355" s="73">
        <v>39</v>
      </c>
      <c r="Q3355" s="74">
        <f>VLOOKUP(B3355,Readme!A$40:C$51,2,)*P3355</f>
        <v>337.35</v>
      </c>
    </row>
    <row r="3356" spans="1:17" ht="12" customHeight="1" x14ac:dyDescent="0.35">
      <c r="A3356" s="75">
        <v>3355</v>
      </c>
      <c r="B3356" s="64">
        <v>2020</v>
      </c>
      <c r="C3356" s="64">
        <v>11</v>
      </c>
      <c r="D3356" s="80">
        <f t="shared" si="107"/>
        <v>2020</v>
      </c>
      <c r="E3356" t="s">
        <v>38</v>
      </c>
      <c r="F3356" t="s">
        <v>143</v>
      </c>
      <c r="G3356" t="s">
        <v>10</v>
      </c>
      <c r="H3356" s="72">
        <v>778</v>
      </c>
      <c r="I3356" s="72" t="s">
        <v>50</v>
      </c>
      <c r="J3356" t="str">
        <f t="shared" si="108"/>
        <v>Minter Creek</v>
      </c>
      <c r="K3356" t="str">
        <f>IFERROR(VLOOKUP(J3356,LUTs!$A$1:$C$73,2,FALSE),"NA")</f>
        <v>Kitsap/Pierce</v>
      </c>
      <c r="L3356" t="str">
        <f>IFERROR(VLOOKUP(J3356,LUTs!$A$1:$C$73,3,FALSE),"NA")</f>
        <v>3South Puget Sound</v>
      </c>
      <c r="M3356" s="72" t="s">
        <v>18</v>
      </c>
      <c r="N3356" t="str">
        <f>VLOOKUP(M3356,LUTs!E$2:H$14,3,)</f>
        <v>06King</v>
      </c>
      <c r="O3356" t="str">
        <f>VLOOKUP(M3356,LUTs!E$2:H$14,4,)</f>
        <v>02South Puget Sound</v>
      </c>
      <c r="P3356" s="73">
        <v>545.16521739130405</v>
      </c>
      <c r="Q3356" s="74">
        <f>VLOOKUP(B3356,Readme!A$40:C$51,2,)*P3356</f>
        <v>4715.6791304347798</v>
      </c>
    </row>
    <row r="3357" spans="1:17" ht="12" customHeight="1" x14ac:dyDescent="0.35">
      <c r="A3357" s="75">
        <v>3356</v>
      </c>
      <c r="B3357" s="64">
        <v>2020</v>
      </c>
      <c r="C3357" s="64">
        <v>11</v>
      </c>
      <c r="D3357" s="80">
        <f t="shared" si="107"/>
        <v>2020</v>
      </c>
      <c r="E3357" t="s">
        <v>38</v>
      </c>
      <c r="F3357" t="s">
        <v>143</v>
      </c>
      <c r="G3357" t="s">
        <v>10</v>
      </c>
      <c r="H3357" s="72">
        <v>778</v>
      </c>
      <c r="I3357" s="72" t="s">
        <v>50</v>
      </c>
      <c r="J3357" t="str">
        <f t="shared" si="108"/>
        <v>Minter Creek</v>
      </c>
      <c r="K3357" t="str">
        <f>IFERROR(VLOOKUP(J3357,LUTs!$A$1:$C$73,2,FALSE),"NA")</f>
        <v>Kitsap/Pierce</v>
      </c>
      <c r="L3357" t="str">
        <f>IFERROR(VLOOKUP(J3357,LUTs!$A$1:$C$73,3,FALSE),"NA")</f>
        <v>3South Puget Sound</v>
      </c>
      <c r="M3357" s="72" t="s">
        <v>23</v>
      </c>
      <c r="N3357" t="str">
        <f>VLOOKUP(M3357,LUTs!E$2:H$14,3,)</f>
        <v>10Kitsap</v>
      </c>
      <c r="O3357" t="str">
        <f>VLOOKUP(M3357,LUTs!E$2:H$14,4,)</f>
        <v>02South Puget Sound</v>
      </c>
      <c r="P3357" s="73">
        <v>38.0347826086957</v>
      </c>
      <c r="Q3357" s="74">
        <f>VLOOKUP(B3357,Readme!A$40:C$51,2,)*P3357</f>
        <v>329.00086956521784</v>
      </c>
    </row>
    <row r="3358" spans="1:17" ht="12" customHeight="1" x14ac:dyDescent="0.35">
      <c r="A3358" s="75">
        <v>3357</v>
      </c>
      <c r="B3358" s="64">
        <v>2020</v>
      </c>
      <c r="C3358" s="64">
        <v>11</v>
      </c>
      <c r="D3358" s="80">
        <f t="shared" si="107"/>
        <v>2020</v>
      </c>
      <c r="E3358" t="s">
        <v>38</v>
      </c>
      <c r="F3358" t="s">
        <v>143</v>
      </c>
      <c r="G3358" t="s">
        <v>10</v>
      </c>
      <c r="H3358" s="72">
        <v>778</v>
      </c>
      <c r="I3358" s="72" t="s">
        <v>50</v>
      </c>
      <c r="J3358" t="str">
        <f t="shared" si="108"/>
        <v>Minter Creek</v>
      </c>
      <c r="K3358" t="str">
        <f>IFERROR(VLOOKUP(J3358,LUTs!$A$1:$C$73,2,FALSE),"NA")</f>
        <v>Kitsap/Pierce</v>
      </c>
      <c r="L3358" t="str">
        <f>IFERROR(VLOOKUP(J3358,LUTs!$A$1:$C$73,3,FALSE),"NA")</f>
        <v>3South Puget Sound</v>
      </c>
      <c r="M3358" s="72" t="s">
        <v>26</v>
      </c>
      <c r="N3358" t="str">
        <f>VLOOKUP(M3358,LUTs!E$2:H$14,3,)</f>
        <v>20Other</v>
      </c>
      <c r="O3358" t="str">
        <f>VLOOKUP(M3358,LUTs!E$2:H$14,4,)</f>
        <v>07Non Puget Sound</v>
      </c>
      <c r="P3358" s="73">
        <v>63.3913043478261</v>
      </c>
      <c r="Q3358" s="74">
        <f>VLOOKUP(B3358,Readme!A$40:C$51,2,)*P3358</f>
        <v>548.33478260869583</v>
      </c>
    </row>
    <row r="3359" spans="1:17" ht="12" customHeight="1" x14ac:dyDescent="0.35">
      <c r="A3359" s="75">
        <v>3358</v>
      </c>
      <c r="B3359" s="64">
        <v>2020</v>
      </c>
      <c r="C3359" s="64">
        <v>11</v>
      </c>
      <c r="D3359" s="80">
        <f t="shared" si="107"/>
        <v>2020</v>
      </c>
      <c r="E3359" t="s">
        <v>38</v>
      </c>
      <c r="F3359" t="s">
        <v>143</v>
      </c>
      <c r="G3359" t="s">
        <v>10</v>
      </c>
      <c r="H3359" s="72">
        <v>778</v>
      </c>
      <c r="I3359" s="72" t="s">
        <v>50</v>
      </c>
      <c r="J3359" t="str">
        <f t="shared" si="108"/>
        <v>Minter Creek</v>
      </c>
      <c r="K3359" t="str">
        <f>IFERROR(VLOOKUP(J3359,LUTs!$A$1:$C$73,2,FALSE),"NA")</f>
        <v>Kitsap/Pierce</v>
      </c>
      <c r="L3359" t="str">
        <f>IFERROR(VLOOKUP(J3359,LUTs!$A$1:$C$73,3,FALSE),"NA")</f>
        <v>3South Puget Sound</v>
      </c>
      <c r="M3359" s="72" t="s">
        <v>20</v>
      </c>
      <c r="N3359" t="str">
        <f>VLOOKUP(M3359,LUTs!E$2:H$14,3,)</f>
        <v>07Pierce</v>
      </c>
      <c r="O3359" t="str">
        <f>VLOOKUP(M3359,LUTs!E$2:H$14,4,)</f>
        <v>02South Puget Sound</v>
      </c>
      <c r="P3359" s="73">
        <v>481.77391304347799</v>
      </c>
      <c r="Q3359" s="74">
        <f>VLOOKUP(B3359,Readme!A$40:C$51,2,)*P3359</f>
        <v>4167.3443478260851</v>
      </c>
    </row>
    <row r="3360" spans="1:17" ht="12" customHeight="1" x14ac:dyDescent="0.35">
      <c r="A3360" s="75">
        <v>3359</v>
      </c>
      <c r="B3360" s="64">
        <v>2020</v>
      </c>
      <c r="C3360" s="64">
        <v>11</v>
      </c>
      <c r="D3360" s="80">
        <f t="shared" si="107"/>
        <v>2020</v>
      </c>
      <c r="E3360" t="s">
        <v>38</v>
      </c>
      <c r="F3360" t="s">
        <v>143</v>
      </c>
      <c r="G3360" t="s">
        <v>10</v>
      </c>
      <c r="H3360" s="72">
        <v>778</v>
      </c>
      <c r="I3360" s="72" t="s">
        <v>50</v>
      </c>
      <c r="J3360" t="str">
        <f t="shared" si="108"/>
        <v>Minter Creek</v>
      </c>
      <c r="K3360" t="str">
        <f>IFERROR(VLOOKUP(J3360,LUTs!$A$1:$C$73,2,FALSE),"NA")</f>
        <v>Kitsap/Pierce</v>
      </c>
      <c r="L3360" t="str">
        <f>IFERROR(VLOOKUP(J3360,LUTs!$A$1:$C$73,3,FALSE),"NA")</f>
        <v>3South Puget Sound</v>
      </c>
      <c r="M3360" s="72" t="s">
        <v>16</v>
      </c>
      <c r="N3360" t="str">
        <f>VLOOKUP(M3360,LUTs!E$2:H$14,3,)</f>
        <v>03Snohomish</v>
      </c>
      <c r="O3360" t="str">
        <f>VLOOKUP(M3360,LUTs!E$2:H$14,4,)</f>
        <v>01North Puget Sound</v>
      </c>
      <c r="P3360" s="73">
        <v>316.95652173913101</v>
      </c>
      <c r="Q3360" s="74">
        <f>VLOOKUP(B3360,Readme!A$40:C$51,2,)*P3360</f>
        <v>2741.6739130434835</v>
      </c>
    </row>
    <row r="3361" spans="1:17" ht="12" customHeight="1" x14ac:dyDescent="0.35">
      <c r="A3361" s="75">
        <v>3360</v>
      </c>
      <c r="B3361" s="64">
        <v>2020</v>
      </c>
      <c r="C3361" s="64">
        <v>11</v>
      </c>
      <c r="D3361" s="80">
        <f t="shared" si="107"/>
        <v>2020</v>
      </c>
      <c r="E3361" t="s">
        <v>38</v>
      </c>
      <c r="F3361" t="s">
        <v>143</v>
      </c>
      <c r="G3361" t="s">
        <v>10</v>
      </c>
      <c r="H3361" s="72">
        <v>778</v>
      </c>
      <c r="I3361" s="72" t="s">
        <v>50</v>
      </c>
      <c r="J3361" t="str">
        <f t="shared" si="108"/>
        <v>Minter Creek</v>
      </c>
      <c r="K3361" t="str">
        <f>IFERROR(VLOOKUP(J3361,LUTs!$A$1:$C$73,2,FALSE),"NA")</f>
        <v>Kitsap/Pierce</v>
      </c>
      <c r="L3361" t="str">
        <f>IFERROR(VLOOKUP(J3361,LUTs!$A$1:$C$73,3,FALSE),"NA")</f>
        <v>3South Puget Sound</v>
      </c>
      <c r="M3361" s="72" t="s">
        <v>21</v>
      </c>
      <c r="N3361" t="str">
        <f>VLOOKUP(M3361,LUTs!E$2:H$14,3,)</f>
        <v>08Thurston</v>
      </c>
      <c r="O3361" t="str">
        <f>VLOOKUP(M3361,LUTs!E$2:H$14,4,)</f>
        <v>02South Puget Sound</v>
      </c>
      <c r="P3361" s="73">
        <v>12.6782608695652</v>
      </c>
      <c r="Q3361" s="74">
        <f>VLOOKUP(B3361,Readme!A$40:C$51,2,)*P3361</f>
        <v>109.66695652173898</v>
      </c>
    </row>
    <row r="3362" spans="1:17" ht="12" customHeight="1" x14ac:dyDescent="0.35">
      <c r="A3362" s="75">
        <v>3361</v>
      </c>
      <c r="B3362" s="64">
        <v>2020</v>
      </c>
      <c r="C3362" s="64">
        <v>12</v>
      </c>
      <c r="D3362" s="80">
        <f t="shared" si="107"/>
        <v>2020</v>
      </c>
      <c r="E3362" t="s">
        <v>38</v>
      </c>
      <c r="F3362" t="s">
        <v>143</v>
      </c>
      <c r="G3362" t="s">
        <v>10</v>
      </c>
      <c r="H3362" s="72">
        <v>778</v>
      </c>
      <c r="I3362" s="72" t="s">
        <v>50</v>
      </c>
      <c r="J3362" t="str">
        <f t="shared" si="108"/>
        <v>Minter Creek</v>
      </c>
      <c r="K3362" t="str">
        <f>IFERROR(VLOOKUP(J3362,LUTs!$A$1:$C$73,2,FALSE),"NA")</f>
        <v>Kitsap/Pierce</v>
      </c>
      <c r="L3362" t="str">
        <f>IFERROR(VLOOKUP(J3362,LUTs!$A$1:$C$73,3,FALSE),"NA")</f>
        <v>3South Puget Sound</v>
      </c>
      <c r="M3362" s="72" t="s">
        <v>18</v>
      </c>
      <c r="N3362" t="str">
        <f>VLOOKUP(M3362,LUTs!E$2:H$14,3,)</f>
        <v>06King</v>
      </c>
      <c r="O3362" t="str">
        <f>VLOOKUP(M3362,LUTs!E$2:H$14,4,)</f>
        <v>02South Puget Sound</v>
      </c>
      <c r="P3362" s="73">
        <v>266.18918918918899</v>
      </c>
      <c r="Q3362" s="74">
        <f>VLOOKUP(B3362,Readme!A$40:C$51,2,)*P3362</f>
        <v>2302.536486486485</v>
      </c>
    </row>
    <row r="3363" spans="1:17" ht="12" customHeight="1" x14ac:dyDescent="0.35">
      <c r="A3363" s="75">
        <v>3362</v>
      </c>
      <c r="B3363" s="64">
        <v>2020</v>
      </c>
      <c r="C3363" s="64">
        <v>12</v>
      </c>
      <c r="D3363" s="80">
        <f t="shared" si="107"/>
        <v>2020</v>
      </c>
      <c r="E3363" t="s">
        <v>38</v>
      </c>
      <c r="F3363" t="s">
        <v>143</v>
      </c>
      <c r="G3363" t="s">
        <v>10</v>
      </c>
      <c r="H3363" s="72">
        <v>778</v>
      </c>
      <c r="I3363" s="72" t="s">
        <v>50</v>
      </c>
      <c r="J3363" t="str">
        <f t="shared" si="108"/>
        <v>Minter Creek</v>
      </c>
      <c r="K3363" t="str">
        <f>IFERROR(VLOOKUP(J3363,LUTs!$A$1:$C$73,2,FALSE),"NA")</f>
        <v>Kitsap/Pierce</v>
      </c>
      <c r="L3363" t="str">
        <f>IFERROR(VLOOKUP(J3363,LUTs!$A$1:$C$73,3,FALSE),"NA")</f>
        <v>3South Puget Sound</v>
      </c>
      <c r="M3363" s="72" t="s">
        <v>20</v>
      </c>
      <c r="N3363" t="str">
        <f>VLOOKUP(M3363,LUTs!E$2:H$14,3,)</f>
        <v>07Pierce</v>
      </c>
      <c r="O3363" t="str">
        <f>VLOOKUP(M3363,LUTs!E$2:H$14,4,)</f>
        <v>02South Puget Sound</v>
      </c>
      <c r="P3363" s="73">
        <v>114.081081081081</v>
      </c>
      <c r="Q3363" s="74">
        <f>VLOOKUP(B3363,Readme!A$40:C$51,2,)*P3363</f>
        <v>986.8013513513506</v>
      </c>
    </row>
    <row r="3364" spans="1:17" ht="12" customHeight="1" x14ac:dyDescent="0.35">
      <c r="A3364" s="75">
        <v>3363</v>
      </c>
      <c r="B3364" s="64">
        <v>2020</v>
      </c>
      <c r="C3364" s="64">
        <v>12</v>
      </c>
      <c r="D3364" s="80">
        <f t="shared" si="107"/>
        <v>2020</v>
      </c>
      <c r="E3364" t="s">
        <v>38</v>
      </c>
      <c r="F3364" t="s">
        <v>143</v>
      </c>
      <c r="G3364" t="s">
        <v>10</v>
      </c>
      <c r="H3364" s="72">
        <v>778</v>
      </c>
      <c r="I3364" s="72" t="s">
        <v>50</v>
      </c>
      <c r="J3364" t="str">
        <f t="shared" si="108"/>
        <v>Minter Creek</v>
      </c>
      <c r="K3364" t="str">
        <f>IFERROR(VLOOKUP(J3364,LUTs!$A$1:$C$73,2,FALSE),"NA")</f>
        <v>Kitsap/Pierce</v>
      </c>
      <c r="L3364" t="str">
        <f>IFERROR(VLOOKUP(J3364,LUTs!$A$1:$C$73,3,FALSE),"NA")</f>
        <v>3South Puget Sound</v>
      </c>
      <c r="M3364" s="72" t="s">
        <v>16</v>
      </c>
      <c r="N3364" t="str">
        <f>VLOOKUP(M3364,LUTs!E$2:H$14,3,)</f>
        <v>03Snohomish</v>
      </c>
      <c r="O3364" t="str">
        <f>VLOOKUP(M3364,LUTs!E$2:H$14,4,)</f>
        <v>01North Puget Sound</v>
      </c>
      <c r="P3364" s="73">
        <v>38.027027027027003</v>
      </c>
      <c r="Q3364" s="74">
        <f>VLOOKUP(B3364,Readme!A$40:C$51,2,)*P3364</f>
        <v>328.93378378378361</v>
      </c>
    </row>
    <row r="3365" spans="1:17" ht="12" customHeight="1" x14ac:dyDescent="0.35">
      <c r="A3365" s="75">
        <v>3364</v>
      </c>
      <c r="B3365" s="64">
        <v>2020</v>
      </c>
      <c r="C3365" s="64">
        <v>12</v>
      </c>
      <c r="D3365" s="80">
        <f t="shared" si="107"/>
        <v>2020</v>
      </c>
      <c r="E3365" t="s">
        <v>38</v>
      </c>
      <c r="F3365" t="s">
        <v>143</v>
      </c>
      <c r="G3365" t="s">
        <v>10</v>
      </c>
      <c r="H3365" s="72">
        <v>778</v>
      </c>
      <c r="I3365" s="72" t="s">
        <v>50</v>
      </c>
      <c r="J3365" t="str">
        <f t="shared" si="108"/>
        <v>Minter Creek</v>
      </c>
      <c r="K3365" t="str">
        <f>IFERROR(VLOOKUP(J3365,LUTs!$A$1:$C$73,2,FALSE),"NA")</f>
        <v>Kitsap/Pierce</v>
      </c>
      <c r="L3365" t="str">
        <f>IFERROR(VLOOKUP(J3365,LUTs!$A$1:$C$73,3,FALSE),"NA")</f>
        <v>3South Puget Sound</v>
      </c>
      <c r="M3365" s="72" t="s">
        <v>21</v>
      </c>
      <c r="N3365" t="str">
        <f>VLOOKUP(M3365,LUTs!E$2:H$14,3,)</f>
        <v>08Thurston</v>
      </c>
      <c r="O3365" t="str">
        <f>VLOOKUP(M3365,LUTs!E$2:H$14,4,)</f>
        <v>02South Puget Sound</v>
      </c>
      <c r="P3365" s="73">
        <v>50.702702702702702</v>
      </c>
      <c r="Q3365" s="74">
        <f>VLOOKUP(B3365,Readme!A$40:C$51,2,)*P3365</f>
        <v>438.57837837837837</v>
      </c>
    </row>
    <row r="3366" spans="1:17" ht="12" customHeight="1" x14ac:dyDescent="0.35">
      <c r="A3366" s="75">
        <v>3365</v>
      </c>
      <c r="B3366" s="64">
        <v>2020</v>
      </c>
      <c r="C3366" s="64">
        <v>7</v>
      </c>
      <c r="D3366" s="80">
        <f t="shared" si="107"/>
        <v>2020</v>
      </c>
      <c r="E3366" t="s">
        <v>38</v>
      </c>
      <c r="F3366" t="s">
        <v>143</v>
      </c>
      <c r="G3366" t="s">
        <v>10</v>
      </c>
      <c r="H3366" s="72">
        <v>786</v>
      </c>
      <c r="I3366" s="72" t="s">
        <v>51</v>
      </c>
      <c r="J3366" t="str">
        <f t="shared" si="108"/>
        <v>Nisqually River</v>
      </c>
      <c r="K3366" t="str">
        <f>IFERROR(VLOOKUP(J3366,LUTs!$A$1:$C$73,2,FALSE),"NA")</f>
        <v>Thurston/Pierce</v>
      </c>
      <c r="L3366" t="str">
        <f>IFERROR(VLOOKUP(J3366,LUTs!$A$1:$C$73,3,FALSE),"NA")</f>
        <v>3South Puget Sound</v>
      </c>
      <c r="M3366" s="72" t="s">
        <v>20</v>
      </c>
      <c r="N3366" t="str">
        <f>VLOOKUP(M3366,LUTs!E$2:H$14,3,)</f>
        <v>07Pierce</v>
      </c>
      <c r="O3366" t="str">
        <f>VLOOKUP(M3366,LUTs!E$2:H$14,4,)</f>
        <v>02South Puget Sound</v>
      </c>
      <c r="P3366" s="73">
        <v>12</v>
      </c>
      <c r="Q3366" s="74">
        <f>VLOOKUP(B3366,Readme!A$40:C$51,2,)*P3366</f>
        <v>103.80000000000001</v>
      </c>
    </row>
    <row r="3367" spans="1:17" ht="12" customHeight="1" x14ac:dyDescent="0.35">
      <c r="A3367" s="75">
        <v>3366</v>
      </c>
      <c r="B3367" s="64">
        <v>2020</v>
      </c>
      <c r="C3367" s="64">
        <v>8</v>
      </c>
      <c r="D3367" s="80">
        <f t="shared" si="107"/>
        <v>2020</v>
      </c>
      <c r="E3367" t="s">
        <v>38</v>
      </c>
      <c r="F3367" t="s">
        <v>143</v>
      </c>
      <c r="G3367" t="s">
        <v>10</v>
      </c>
      <c r="H3367" s="72">
        <v>786</v>
      </c>
      <c r="I3367" s="72" t="s">
        <v>51</v>
      </c>
      <c r="J3367" t="str">
        <f t="shared" si="108"/>
        <v>Nisqually River</v>
      </c>
      <c r="K3367" t="str">
        <f>IFERROR(VLOOKUP(J3367,LUTs!$A$1:$C$73,2,FALSE),"NA")</f>
        <v>Thurston/Pierce</v>
      </c>
      <c r="L3367" t="str">
        <f>IFERROR(VLOOKUP(J3367,LUTs!$A$1:$C$73,3,FALSE),"NA")</f>
        <v>3South Puget Sound</v>
      </c>
      <c r="M3367" s="72" t="s">
        <v>18</v>
      </c>
      <c r="N3367" t="str">
        <f>VLOOKUP(M3367,LUTs!E$2:H$14,3,)</f>
        <v>06King</v>
      </c>
      <c r="O3367" t="str">
        <f>VLOOKUP(M3367,LUTs!E$2:H$14,4,)</f>
        <v>02South Puget Sound</v>
      </c>
      <c r="P3367" s="73">
        <v>24</v>
      </c>
      <c r="Q3367" s="74">
        <f>VLOOKUP(B3367,Readme!A$40:C$51,2,)*P3367</f>
        <v>207.60000000000002</v>
      </c>
    </row>
    <row r="3368" spans="1:17" ht="12" customHeight="1" x14ac:dyDescent="0.35">
      <c r="A3368" s="75">
        <v>3367</v>
      </c>
      <c r="B3368" s="64">
        <v>2020</v>
      </c>
      <c r="C3368" s="64">
        <v>8</v>
      </c>
      <c r="D3368" s="80">
        <f t="shared" si="107"/>
        <v>2020</v>
      </c>
      <c r="E3368" t="s">
        <v>38</v>
      </c>
      <c r="F3368" t="s">
        <v>143</v>
      </c>
      <c r="G3368" t="s">
        <v>10</v>
      </c>
      <c r="H3368" s="72">
        <v>786</v>
      </c>
      <c r="I3368" s="72" t="s">
        <v>51</v>
      </c>
      <c r="J3368" t="str">
        <f t="shared" si="108"/>
        <v>Nisqually River</v>
      </c>
      <c r="K3368" t="str">
        <f>IFERROR(VLOOKUP(J3368,LUTs!$A$1:$C$73,2,FALSE),"NA")</f>
        <v>Thurston/Pierce</v>
      </c>
      <c r="L3368" t="str">
        <f>IFERROR(VLOOKUP(J3368,LUTs!$A$1:$C$73,3,FALSE),"NA")</f>
        <v>3South Puget Sound</v>
      </c>
      <c r="M3368" s="72" t="s">
        <v>26</v>
      </c>
      <c r="N3368" t="str">
        <f>VLOOKUP(M3368,LUTs!E$2:H$14,3,)</f>
        <v>20Other</v>
      </c>
      <c r="O3368" t="str">
        <f>VLOOKUP(M3368,LUTs!E$2:H$14,4,)</f>
        <v>07Non Puget Sound</v>
      </c>
      <c r="P3368" s="73">
        <v>48</v>
      </c>
      <c r="Q3368" s="74">
        <f>VLOOKUP(B3368,Readme!A$40:C$51,2,)*P3368</f>
        <v>415.20000000000005</v>
      </c>
    </row>
    <row r="3369" spans="1:17" ht="12" customHeight="1" x14ac:dyDescent="0.35">
      <c r="A3369" s="75">
        <v>3368</v>
      </c>
      <c r="B3369" s="64">
        <v>2020</v>
      </c>
      <c r="C3369" s="64">
        <v>8</v>
      </c>
      <c r="D3369" s="80">
        <f t="shared" si="107"/>
        <v>2020</v>
      </c>
      <c r="E3369" t="s">
        <v>38</v>
      </c>
      <c r="F3369" t="s">
        <v>143</v>
      </c>
      <c r="G3369" t="s">
        <v>10</v>
      </c>
      <c r="H3369" s="72">
        <v>786</v>
      </c>
      <c r="I3369" s="72" t="s">
        <v>51</v>
      </c>
      <c r="J3369" t="str">
        <f t="shared" si="108"/>
        <v>Nisqually River</v>
      </c>
      <c r="K3369" t="str">
        <f>IFERROR(VLOOKUP(J3369,LUTs!$A$1:$C$73,2,FALSE),"NA")</f>
        <v>Thurston/Pierce</v>
      </c>
      <c r="L3369" t="str">
        <f>IFERROR(VLOOKUP(J3369,LUTs!$A$1:$C$73,3,FALSE),"NA")</f>
        <v>3South Puget Sound</v>
      </c>
      <c r="M3369" s="72" t="s">
        <v>20</v>
      </c>
      <c r="N3369" t="str">
        <f>VLOOKUP(M3369,LUTs!E$2:H$14,3,)</f>
        <v>07Pierce</v>
      </c>
      <c r="O3369" t="str">
        <f>VLOOKUP(M3369,LUTs!E$2:H$14,4,)</f>
        <v>02South Puget Sound</v>
      </c>
      <c r="P3369" s="73">
        <v>276</v>
      </c>
      <c r="Q3369" s="74">
        <f>VLOOKUP(B3369,Readme!A$40:C$51,2,)*P3369</f>
        <v>2387.4</v>
      </c>
    </row>
    <row r="3370" spans="1:17" ht="12" customHeight="1" x14ac:dyDescent="0.35">
      <c r="A3370" s="75">
        <v>3369</v>
      </c>
      <c r="B3370" s="64">
        <v>2020</v>
      </c>
      <c r="C3370" s="64">
        <v>8</v>
      </c>
      <c r="D3370" s="80">
        <f t="shared" si="107"/>
        <v>2020</v>
      </c>
      <c r="E3370" t="s">
        <v>38</v>
      </c>
      <c r="F3370" t="s">
        <v>143</v>
      </c>
      <c r="G3370" t="s">
        <v>10</v>
      </c>
      <c r="H3370" s="72">
        <v>786</v>
      </c>
      <c r="I3370" s="72" t="s">
        <v>51</v>
      </c>
      <c r="J3370" t="str">
        <f t="shared" si="108"/>
        <v>Nisqually River</v>
      </c>
      <c r="K3370" t="str">
        <f>IFERROR(VLOOKUP(J3370,LUTs!$A$1:$C$73,2,FALSE),"NA")</f>
        <v>Thurston/Pierce</v>
      </c>
      <c r="L3370" t="str">
        <f>IFERROR(VLOOKUP(J3370,LUTs!$A$1:$C$73,3,FALSE),"NA")</f>
        <v>3South Puget Sound</v>
      </c>
      <c r="M3370" s="72" t="s">
        <v>21</v>
      </c>
      <c r="N3370" t="str">
        <f>VLOOKUP(M3370,LUTs!E$2:H$14,3,)</f>
        <v>08Thurston</v>
      </c>
      <c r="O3370" t="str">
        <f>VLOOKUP(M3370,LUTs!E$2:H$14,4,)</f>
        <v>02South Puget Sound</v>
      </c>
      <c r="P3370" s="73">
        <v>324</v>
      </c>
      <c r="Q3370" s="74">
        <f>VLOOKUP(B3370,Readme!A$40:C$51,2,)*P3370</f>
        <v>2802.6</v>
      </c>
    </row>
    <row r="3371" spans="1:17" ht="12" customHeight="1" x14ac:dyDescent="0.35">
      <c r="A3371" s="75">
        <v>3370</v>
      </c>
      <c r="B3371" s="64">
        <v>2020</v>
      </c>
      <c r="C3371" s="64">
        <v>9</v>
      </c>
      <c r="D3371" s="80">
        <f t="shared" si="107"/>
        <v>2020</v>
      </c>
      <c r="E3371" t="s">
        <v>38</v>
      </c>
      <c r="F3371" t="s">
        <v>143</v>
      </c>
      <c r="G3371" t="s">
        <v>10</v>
      </c>
      <c r="H3371" s="72">
        <v>786</v>
      </c>
      <c r="I3371" s="72" t="s">
        <v>51</v>
      </c>
      <c r="J3371" t="str">
        <f t="shared" si="108"/>
        <v>Nisqually River</v>
      </c>
      <c r="K3371" t="str">
        <f>IFERROR(VLOOKUP(J3371,LUTs!$A$1:$C$73,2,FALSE),"NA")</f>
        <v>Thurston/Pierce</v>
      </c>
      <c r="L3371" t="str">
        <f>IFERROR(VLOOKUP(J3371,LUTs!$A$1:$C$73,3,FALSE),"NA")</f>
        <v>3South Puget Sound</v>
      </c>
      <c r="M3371" s="72" t="s">
        <v>18</v>
      </c>
      <c r="N3371" t="str">
        <f>VLOOKUP(M3371,LUTs!E$2:H$14,3,)</f>
        <v>06King</v>
      </c>
      <c r="O3371" t="str">
        <f>VLOOKUP(M3371,LUTs!E$2:H$14,4,)</f>
        <v>02South Puget Sound</v>
      </c>
      <c r="P3371" s="73">
        <v>193.30994152046799</v>
      </c>
      <c r="Q3371" s="74">
        <f>VLOOKUP(B3371,Readme!A$40:C$51,2,)*P3371</f>
        <v>1672.1309941520481</v>
      </c>
    </row>
    <row r="3372" spans="1:17" ht="12" customHeight="1" x14ac:dyDescent="0.35">
      <c r="A3372" s="75">
        <v>3371</v>
      </c>
      <c r="B3372" s="64">
        <v>2020</v>
      </c>
      <c r="C3372" s="64">
        <v>9</v>
      </c>
      <c r="D3372" s="80">
        <f t="shared" si="107"/>
        <v>2020</v>
      </c>
      <c r="E3372" t="s">
        <v>38</v>
      </c>
      <c r="F3372" t="s">
        <v>143</v>
      </c>
      <c r="G3372" t="s">
        <v>10</v>
      </c>
      <c r="H3372" s="72">
        <v>786</v>
      </c>
      <c r="I3372" s="72" t="s">
        <v>51</v>
      </c>
      <c r="J3372" t="str">
        <f t="shared" si="108"/>
        <v>Nisqually River</v>
      </c>
      <c r="K3372" t="str">
        <f>IFERROR(VLOOKUP(J3372,LUTs!$A$1:$C$73,2,FALSE),"NA")</f>
        <v>Thurston/Pierce</v>
      </c>
      <c r="L3372" t="str">
        <f>IFERROR(VLOOKUP(J3372,LUTs!$A$1:$C$73,3,FALSE),"NA")</f>
        <v>3South Puget Sound</v>
      </c>
      <c r="M3372" s="72" t="s">
        <v>26</v>
      </c>
      <c r="N3372" t="str">
        <f>VLOOKUP(M3372,LUTs!E$2:H$14,3,)</f>
        <v>20Other</v>
      </c>
      <c r="O3372" t="str">
        <f>VLOOKUP(M3372,LUTs!E$2:H$14,4,)</f>
        <v>07Non Puget Sound</v>
      </c>
      <c r="P3372" s="73">
        <v>120.81871345029199</v>
      </c>
      <c r="Q3372" s="74">
        <f>VLOOKUP(B3372,Readme!A$40:C$51,2,)*P3372</f>
        <v>1045.0818713450258</v>
      </c>
    </row>
    <row r="3373" spans="1:17" ht="12" customHeight="1" x14ac:dyDescent="0.35">
      <c r="A3373" s="75">
        <v>3372</v>
      </c>
      <c r="B3373" s="64">
        <v>2020</v>
      </c>
      <c r="C3373" s="64">
        <v>9</v>
      </c>
      <c r="D3373" s="80">
        <f t="shared" si="107"/>
        <v>2020</v>
      </c>
      <c r="E3373" t="s">
        <v>38</v>
      </c>
      <c r="F3373" t="s">
        <v>143</v>
      </c>
      <c r="G3373" t="s">
        <v>10</v>
      </c>
      <c r="H3373" s="72">
        <v>786</v>
      </c>
      <c r="I3373" s="72" t="s">
        <v>51</v>
      </c>
      <c r="J3373" t="str">
        <f t="shared" si="108"/>
        <v>Nisqually River</v>
      </c>
      <c r="K3373" t="str">
        <f>IFERROR(VLOOKUP(J3373,LUTs!$A$1:$C$73,2,FALSE),"NA")</f>
        <v>Thurston/Pierce</v>
      </c>
      <c r="L3373" t="str">
        <f>IFERROR(VLOOKUP(J3373,LUTs!$A$1:$C$73,3,FALSE),"NA")</f>
        <v>3South Puget Sound</v>
      </c>
      <c r="M3373" s="72" t="s">
        <v>20</v>
      </c>
      <c r="N3373" t="str">
        <f>VLOOKUP(M3373,LUTs!E$2:H$14,3,)</f>
        <v>07Pierce</v>
      </c>
      <c r="O3373" t="str">
        <f>VLOOKUP(M3373,LUTs!E$2:H$14,4,)</f>
        <v>02South Puget Sound</v>
      </c>
      <c r="P3373" s="73">
        <v>821.56725146198801</v>
      </c>
      <c r="Q3373" s="74">
        <f>VLOOKUP(B3373,Readme!A$40:C$51,2,)*P3373</f>
        <v>7106.5567251461962</v>
      </c>
    </row>
    <row r="3374" spans="1:17" ht="12" customHeight="1" x14ac:dyDescent="0.35">
      <c r="A3374" s="75">
        <v>3373</v>
      </c>
      <c r="B3374" s="64">
        <v>2020</v>
      </c>
      <c r="C3374" s="64">
        <v>9</v>
      </c>
      <c r="D3374" s="80">
        <f t="shared" si="107"/>
        <v>2020</v>
      </c>
      <c r="E3374" t="s">
        <v>38</v>
      </c>
      <c r="F3374" t="s">
        <v>143</v>
      </c>
      <c r="G3374" t="s">
        <v>10</v>
      </c>
      <c r="H3374" s="72">
        <v>786</v>
      </c>
      <c r="I3374" s="72" t="s">
        <v>51</v>
      </c>
      <c r="J3374" t="str">
        <f t="shared" si="108"/>
        <v>Nisqually River</v>
      </c>
      <c r="K3374" t="str">
        <f>IFERROR(VLOOKUP(J3374,LUTs!$A$1:$C$73,2,FALSE),"NA")</f>
        <v>Thurston/Pierce</v>
      </c>
      <c r="L3374" t="str">
        <f>IFERROR(VLOOKUP(J3374,LUTs!$A$1:$C$73,3,FALSE),"NA")</f>
        <v>3South Puget Sound</v>
      </c>
      <c r="M3374" s="72" t="s">
        <v>21</v>
      </c>
      <c r="N3374" t="str">
        <f>VLOOKUP(M3374,LUTs!E$2:H$14,3,)</f>
        <v>08Thurston</v>
      </c>
      <c r="O3374" t="str">
        <f>VLOOKUP(M3374,LUTs!E$2:H$14,4,)</f>
        <v>02South Puget Sound</v>
      </c>
      <c r="P3374" s="73">
        <v>930.30409356725204</v>
      </c>
      <c r="Q3374" s="74">
        <f>VLOOKUP(B3374,Readme!A$40:C$51,2,)*P3374</f>
        <v>8047.1304093567305</v>
      </c>
    </row>
    <row r="3375" spans="1:17" ht="12" customHeight="1" x14ac:dyDescent="0.35">
      <c r="A3375" s="75">
        <v>3374</v>
      </c>
      <c r="B3375" s="64">
        <v>2020</v>
      </c>
      <c r="C3375" s="64">
        <v>10</v>
      </c>
      <c r="D3375" s="80">
        <f t="shared" si="107"/>
        <v>2020</v>
      </c>
      <c r="E3375" t="s">
        <v>38</v>
      </c>
      <c r="F3375" t="s">
        <v>143</v>
      </c>
      <c r="G3375" t="s">
        <v>10</v>
      </c>
      <c r="H3375" s="72">
        <v>786</v>
      </c>
      <c r="I3375" s="72" t="s">
        <v>51</v>
      </c>
      <c r="J3375" t="str">
        <f t="shared" si="108"/>
        <v>Nisqually River</v>
      </c>
      <c r="K3375" t="str">
        <f>IFERROR(VLOOKUP(J3375,LUTs!$A$1:$C$73,2,FALSE),"NA")</f>
        <v>Thurston/Pierce</v>
      </c>
      <c r="L3375" t="str">
        <f>IFERROR(VLOOKUP(J3375,LUTs!$A$1:$C$73,3,FALSE),"NA")</f>
        <v>3South Puget Sound</v>
      </c>
      <c r="M3375" s="72" t="s">
        <v>20</v>
      </c>
      <c r="N3375" t="str">
        <f>VLOOKUP(M3375,LUTs!E$2:H$14,3,)</f>
        <v>07Pierce</v>
      </c>
      <c r="O3375" t="str">
        <f>VLOOKUP(M3375,LUTs!E$2:H$14,4,)</f>
        <v>02South Puget Sound</v>
      </c>
      <c r="P3375" s="73">
        <v>72</v>
      </c>
      <c r="Q3375" s="74">
        <f>VLOOKUP(B3375,Readme!A$40:C$51,2,)*P3375</f>
        <v>622.80000000000007</v>
      </c>
    </row>
    <row r="3376" spans="1:17" ht="12" customHeight="1" x14ac:dyDescent="0.35">
      <c r="A3376" s="75">
        <v>3375</v>
      </c>
      <c r="B3376" s="64">
        <v>2020</v>
      </c>
      <c r="C3376" s="64">
        <v>10</v>
      </c>
      <c r="D3376" s="80">
        <f t="shared" si="107"/>
        <v>2020</v>
      </c>
      <c r="E3376" t="s">
        <v>38</v>
      </c>
      <c r="F3376" t="s">
        <v>143</v>
      </c>
      <c r="G3376" t="s">
        <v>10</v>
      </c>
      <c r="H3376" s="72">
        <v>786</v>
      </c>
      <c r="I3376" s="72" t="s">
        <v>51</v>
      </c>
      <c r="J3376" t="str">
        <f t="shared" si="108"/>
        <v>Nisqually River</v>
      </c>
      <c r="K3376" t="str">
        <f>IFERROR(VLOOKUP(J3376,LUTs!$A$1:$C$73,2,FALSE),"NA")</f>
        <v>Thurston/Pierce</v>
      </c>
      <c r="L3376" t="str">
        <f>IFERROR(VLOOKUP(J3376,LUTs!$A$1:$C$73,3,FALSE),"NA")</f>
        <v>3South Puget Sound</v>
      </c>
      <c r="M3376" s="72" t="s">
        <v>21</v>
      </c>
      <c r="N3376" t="str">
        <f>VLOOKUP(M3376,LUTs!E$2:H$14,3,)</f>
        <v>08Thurston</v>
      </c>
      <c r="O3376" t="str">
        <f>VLOOKUP(M3376,LUTs!E$2:H$14,4,)</f>
        <v>02South Puget Sound</v>
      </c>
      <c r="P3376" s="73">
        <v>132</v>
      </c>
      <c r="Q3376" s="74">
        <f>VLOOKUP(B3376,Readme!A$40:C$51,2,)*P3376</f>
        <v>1141.8</v>
      </c>
    </row>
    <row r="3377" spans="1:17" ht="12" customHeight="1" x14ac:dyDescent="0.35">
      <c r="A3377" s="75">
        <v>3376</v>
      </c>
      <c r="B3377" s="64">
        <v>2021</v>
      </c>
      <c r="C3377" s="64">
        <v>3</v>
      </c>
      <c r="D3377" s="80">
        <f t="shared" si="107"/>
        <v>2020</v>
      </c>
      <c r="E3377" t="s">
        <v>38</v>
      </c>
      <c r="F3377" t="s">
        <v>143</v>
      </c>
      <c r="G3377" t="s">
        <v>10</v>
      </c>
      <c r="H3377" s="72">
        <v>786</v>
      </c>
      <c r="I3377" s="72" t="s">
        <v>51</v>
      </c>
      <c r="J3377" t="str">
        <f t="shared" si="108"/>
        <v>Nisqually River</v>
      </c>
      <c r="K3377" t="str">
        <f>IFERROR(VLOOKUP(J3377,LUTs!$A$1:$C$73,2,FALSE),"NA")</f>
        <v>Thurston/Pierce</v>
      </c>
      <c r="L3377" t="str">
        <f>IFERROR(VLOOKUP(J3377,LUTs!$A$1:$C$73,3,FALSE),"NA")</f>
        <v>3South Puget Sound</v>
      </c>
      <c r="M3377" s="72" t="s">
        <v>26</v>
      </c>
      <c r="N3377" t="str">
        <f>VLOOKUP(M3377,LUTs!E$2:H$14,3,)</f>
        <v>20Other</v>
      </c>
      <c r="O3377" t="str">
        <f>VLOOKUP(M3377,LUTs!E$2:H$14,4,)</f>
        <v>07Non Puget Sound</v>
      </c>
      <c r="P3377" s="73">
        <v>12</v>
      </c>
      <c r="Q3377" s="74">
        <f>VLOOKUP(B3377,Readme!A$40:C$51,2,)*P3377</f>
        <v>41.28</v>
      </c>
    </row>
    <row r="3378" spans="1:17" ht="12" customHeight="1" x14ac:dyDescent="0.35">
      <c r="A3378" s="75">
        <v>3377</v>
      </c>
      <c r="B3378" s="64">
        <v>2020</v>
      </c>
      <c r="C3378" s="64">
        <v>10</v>
      </c>
      <c r="D3378" s="80">
        <f t="shared" si="107"/>
        <v>2020</v>
      </c>
      <c r="E3378" t="s">
        <v>38</v>
      </c>
      <c r="F3378" t="s">
        <v>143</v>
      </c>
      <c r="G3378" t="s">
        <v>10</v>
      </c>
      <c r="H3378" s="72">
        <v>788</v>
      </c>
      <c r="I3378" s="72" t="s">
        <v>80</v>
      </c>
      <c r="J3378" t="str">
        <f t="shared" si="108"/>
        <v>Nooksack River, Middle Fork</v>
      </c>
      <c r="K3378" t="str">
        <f>IFERROR(VLOOKUP(J3378,LUTs!$A$1:$C$73,2,FALSE),"NA")</f>
        <v>NA</v>
      </c>
      <c r="L3378" t="str">
        <f>IFERROR(VLOOKUP(J3378,LUTs!$A$1:$C$73,3,FALSE),"NA")</f>
        <v>NA</v>
      </c>
      <c r="M3378" s="72" t="s">
        <v>13</v>
      </c>
      <c r="N3378" t="str">
        <f>VLOOKUP(M3378,LUTs!E$2:H$14,3,)</f>
        <v>01Whatcom</v>
      </c>
      <c r="O3378" t="str">
        <f>VLOOKUP(M3378,LUTs!E$2:H$14,4,)</f>
        <v>01North Puget Sound</v>
      </c>
      <c r="P3378" s="73">
        <v>0</v>
      </c>
      <c r="Q3378" s="74">
        <f>VLOOKUP(B3378,Readme!A$40:C$51,2,)*P3378</f>
        <v>0</v>
      </c>
    </row>
    <row r="3379" spans="1:17" ht="12" customHeight="1" x14ac:dyDescent="0.35">
      <c r="A3379" s="75">
        <v>3378</v>
      </c>
      <c r="B3379" s="64">
        <v>2020</v>
      </c>
      <c r="C3379" s="64">
        <v>6</v>
      </c>
      <c r="D3379" s="80">
        <f t="shared" si="107"/>
        <v>2020</v>
      </c>
      <c r="E3379" t="s">
        <v>38</v>
      </c>
      <c r="F3379" t="s">
        <v>143</v>
      </c>
      <c r="G3379" t="s">
        <v>10</v>
      </c>
      <c r="H3379" s="72">
        <v>790</v>
      </c>
      <c r="I3379" s="72" t="s">
        <v>81</v>
      </c>
      <c r="J3379" t="str">
        <f t="shared" si="108"/>
        <v>Nooksack River, North Fork</v>
      </c>
      <c r="K3379" t="str">
        <f>IFERROR(VLOOKUP(J3379,LUTs!$A$1:$C$73,2,FALSE),"NA")</f>
        <v>NA</v>
      </c>
      <c r="L3379" t="str">
        <f>IFERROR(VLOOKUP(J3379,LUTs!$A$1:$C$73,3,FALSE),"NA")</f>
        <v>NA</v>
      </c>
      <c r="M3379" s="72" t="s">
        <v>16</v>
      </c>
      <c r="N3379" t="str">
        <f>VLOOKUP(M3379,LUTs!E$2:H$14,3,)</f>
        <v>03Snohomish</v>
      </c>
      <c r="O3379" t="str">
        <f>VLOOKUP(M3379,LUTs!E$2:H$14,4,)</f>
        <v>01North Puget Sound</v>
      </c>
      <c r="P3379" s="73">
        <v>118.857142857143</v>
      </c>
      <c r="Q3379" s="74">
        <f>VLOOKUP(B3379,Readme!A$40:C$51,2,)*P3379</f>
        <v>1028.114285714287</v>
      </c>
    </row>
    <row r="3380" spans="1:17" ht="12" customHeight="1" x14ac:dyDescent="0.35">
      <c r="A3380" s="75">
        <v>3379</v>
      </c>
      <c r="B3380" s="64">
        <v>2020</v>
      </c>
      <c r="C3380" s="64">
        <v>6</v>
      </c>
      <c r="D3380" s="80">
        <f t="shared" si="107"/>
        <v>2020</v>
      </c>
      <c r="E3380" t="s">
        <v>38</v>
      </c>
      <c r="F3380" t="s">
        <v>143</v>
      </c>
      <c r="G3380" t="s">
        <v>10</v>
      </c>
      <c r="H3380" s="72">
        <v>790</v>
      </c>
      <c r="I3380" s="72" t="s">
        <v>81</v>
      </c>
      <c r="J3380" t="str">
        <f t="shared" si="108"/>
        <v>Nooksack River, North Fork</v>
      </c>
      <c r="K3380" t="str">
        <f>IFERROR(VLOOKUP(J3380,LUTs!$A$1:$C$73,2,FALSE),"NA")</f>
        <v>NA</v>
      </c>
      <c r="L3380" t="str">
        <f>IFERROR(VLOOKUP(J3380,LUTs!$A$1:$C$73,3,FALSE),"NA")</f>
        <v>NA</v>
      </c>
      <c r="M3380" s="72" t="s">
        <v>13</v>
      </c>
      <c r="N3380" t="str">
        <f>VLOOKUP(M3380,LUTs!E$2:H$14,3,)</f>
        <v>01Whatcom</v>
      </c>
      <c r="O3380" t="str">
        <f>VLOOKUP(M3380,LUTs!E$2:H$14,4,)</f>
        <v>01North Puget Sound</v>
      </c>
      <c r="P3380" s="73">
        <v>89.142857142857196</v>
      </c>
      <c r="Q3380" s="74">
        <f>VLOOKUP(B3380,Readme!A$40:C$51,2,)*P3380</f>
        <v>771.08571428571474</v>
      </c>
    </row>
    <row r="3381" spans="1:17" ht="12" customHeight="1" x14ac:dyDescent="0.35">
      <c r="A3381" s="75">
        <v>3380</v>
      </c>
      <c r="B3381" s="64">
        <v>2020</v>
      </c>
      <c r="C3381" s="64">
        <v>10</v>
      </c>
      <c r="D3381" s="80">
        <f t="shared" si="107"/>
        <v>2020</v>
      </c>
      <c r="E3381" t="s">
        <v>38</v>
      </c>
      <c r="F3381" t="s">
        <v>143</v>
      </c>
      <c r="G3381" t="s">
        <v>10</v>
      </c>
      <c r="H3381" s="72">
        <v>790</v>
      </c>
      <c r="I3381" s="72" t="s">
        <v>81</v>
      </c>
      <c r="J3381" t="str">
        <f t="shared" si="108"/>
        <v>Nooksack River, North Fork</v>
      </c>
      <c r="K3381" t="str">
        <f>IFERROR(VLOOKUP(J3381,LUTs!$A$1:$C$73,2,FALSE),"NA")</f>
        <v>NA</v>
      </c>
      <c r="L3381" t="str">
        <f>IFERROR(VLOOKUP(J3381,LUTs!$A$1:$C$73,3,FALSE),"NA")</f>
        <v>NA</v>
      </c>
      <c r="M3381" s="72" t="s">
        <v>13</v>
      </c>
      <c r="N3381" t="str">
        <f>VLOOKUP(M3381,LUTs!E$2:H$14,3,)</f>
        <v>01Whatcom</v>
      </c>
      <c r="O3381" t="str">
        <f>VLOOKUP(M3381,LUTs!E$2:H$14,4,)</f>
        <v>01North Puget Sound</v>
      </c>
      <c r="P3381" s="73">
        <v>122</v>
      </c>
      <c r="Q3381" s="74">
        <f>VLOOKUP(B3381,Readme!A$40:C$51,2,)*P3381</f>
        <v>1055.3</v>
      </c>
    </row>
    <row r="3382" spans="1:17" ht="12" customHeight="1" x14ac:dyDescent="0.35">
      <c r="A3382" s="75">
        <v>3381</v>
      </c>
      <c r="B3382" s="64">
        <v>2020</v>
      </c>
      <c r="C3382" s="64">
        <v>11</v>
      </c>
      <c r="D3382" s="80">
        <f t="shared" si="107"/>
        <v>2020</v>
      </c>
      <c r="E3382" t="s">
        <v>38</v>
      </c>
      <c r="F3382" t="s">
        <v>143</v>
      </c>
      <c r="G3382" t="s">
        <v>10</v>
      </c>
      <c r="H3382" s="72">
        <v>790</v>
      </c>
      <c r="I3382" s="72" t="s">
        <v>81</v>
      </c>
      <c r="J3382" t="str">
        <f t="shared" si="108"/>
        <v>Nooksack River, North Fork</v>
      </c>
      <c r="K3382" t="str">
        <f>IFERROR(VLOOKUP(J3382,LUTs!$A$1:$C$73,2,FALSE),"NA")</f>
        <v>NA</v>
      </c>
      <c r="L3382" t="str">
        <f>IFERROR(VLOOKUP(J3382,LUTs!$A$1:$C$73,3,FALSE),"NA")</f>
        <v>NA</v>
      </c>
      <c r="M3382" s="72" t="s">
        <v>15</v>
      </c>
      <c r="N3382" t="str">
        <f>VLOOKUP(M3382,LUTs!E$2:H$14,3,)</f>
        <v>02Skagit</v>
      </c>
      <c r="O3382" t="str">
        <f>VLOOKUP(M3382,LUTs!E$2:H$14,4,)</f>
        <v>01North Puget Sound</v>
      </c>
      <c r="P3382" s="73">
        <v>12.1428571428571</v>
      </c>
      <c r="Q3382" s="74">
        <f>VLOOKUP(B3382,Readme!A$40:C$51,2,)*P3382</f>
        <v>105.03571428571392</v>
      </c>
    </row>
    <row r="3383" spans="1:17" ht="12" customHeight="1" x14ac:dyDescent="0.35">
      <c r="A3383" s="75">
        <v>3382</v>
      </c>
      <c r="B3383" s="64">
        <v>2020</v>
      </c>
      <c r="C3383" s="64">
        <v>11</v>
      </c>
      <c r="D3383" s="80">
        <f t="shared" si="107"/>
        <v>2020</v>
      </c>
      <c r="E3383" t="s">
        <v>38</v>
      </c>
      <c r="F3383" t="s">
        <v>143</v>
      </c>
      <c r="G3383" t="s">
        <v>10</v>
      </c>
      <c r="H3383" s="72">
        <v>790</v>
      </c>
      <c r="I3383" s="72" t="s">
        <v>81</v>
      </c>
      <c r="J3383" t="str">
        <f t="shared" si="108"/>
        <v>Nooksack River, North Fork</v>
      </c>
      <c r="K3383" t="str">
        <f>IFERROR(VLOOKUP(J3383,LUTs!$A$1:$C$73,2,FALSE),"NA")</f>
        <v>NA</v>
      </c>
      <c r="L3383" t="str">
        <f>IFERROR(VLOOKUP(J3383,LUTs!$A$1:$C$73,3,FALSE),"NA")</f>
        <v>NA</v>
      </c>
      <c r="M3383" s="72" t="s">
        <v>13</v>
      </c>
      <c r="N3383" t="str">
        <f>VLOOKUP(M3383,LUTs!E$2:H$14,3,)</f>
        <v>01Whatcom</v>
      </c>
      <c r="O3383" t="str">
        <f>VLOOKUP(M3383,LUTs!E$2:H$14,4,)</f>
        <v>01North Puget Sound</v>
      </c>
      <c r="P3383" s="73">
        <v>157.857142857143</v>
      </c>
      <c r="Q3383" s="74">
        <f>VLOOKUP(B3383,Readme!A$40:C$51,2,)*P3383</f>
        <v>1365.4642857142871</v>
      </c>
    </row>
    <row r="3384" spans="1:17" ht="12" customHeight="1" x14ac:dyDescent="0.35">
      <c r="A3384" s="75">
        <v>3383</v>
      </c>
      <c r="B3384" s="64">
        <v>2020</v>
      </c>
      <c r="C3384" s="64">
        <v>12</v>
      </c>
      <c r="D3384" s="80">
        <f t="shared" si="107"/>
        <v>2020</v>
      </c>
      <c r="E3384" t="s">
        <v>38</v>
      </c>
      <c r="F3384" t="s">
        <v>143</v>
      </c>
      <c r="G3384" t="s">
        <v>10</v>
      </c>
      <c r="H3384" s="72">
        <v>790</v>
      </c>
      <c r="I3384" s="72" t="s">
        <v>81</v>
      </c>
      <c r="J3384" t="str">
        <f t="shared" si="108"/>
        <v>Nooksack River, North Fork</v>
      </c>
      <c r="K3384" t="str">
        <f>IFERROR(VLOOKUP(J3384,LUTs!$A$1:$C$73,2,FALSE),"NA")</f>
        <v>NA</v>
      </c>
      <c r="L3384" t="str">
        <f>IFERROR(VLOOKUP(J3384,LUTs!$A$1:$C$73,3,FALSE),"NA")</f>
        <v>NA</v>
      </c>
      <c r="M3384" s="72" t="s">
        <v>15</v>
      </c>
      <c r="N3384" t="str">
        <f>VLOOKUP(M3384,LUTs!E$2:H$14,3,)</f>
        <v>02Skagit</v>
      </c>
      <c r="O3384" t="str">
        <f>VLOOKUP(M3384,LUTs!E$2:H$14,4,)</f>
        <v>01North Puget Sound</v>
      </c>
      <c r="P3384" s="73">
        <v>24.6666666666667</v>
      </c>
      <c r="Q3384" s="74">
        <f>VLOOKUP(B3384,Readme!A$40:C$51,2,)*P3384</f>
        <v>213.36666666666696</v>
      </c>
    </row>
    <row r="3385" spans="1:17" ht="12" customHeight="1" x14ac:dyDescent="0.35">
      <c r="A3385" s="75">
        <v>3384</v>
      </c>
      <c r="B3385" s="64">
        <v>2020</v>
      </c>
      <c r="C3385" s="64">
        <v>12</v>
      </c>
      <c r="D3385" s="80">
        <f t="shared" si="107"/>
        <v>2020</v>
      </c>
      <c r="E3385" t="s">
        <v>38</v>
      </c>
      <c r="F3385" t="s">
        <v>143</v>
      </c>
      <c r="G3385" t="s">
        <v>10</v>
      </c>
      <c r="H3385" s="72">
        <v>790</v>
      </c>
      <c r="I3385" s="72" t="s">
        <v>81</v>
      </c>
      <c r="J3385" t="str">
        <f t="shared" si="108"/>
        <v>Nooksack River, North Fork</v>
      </c>
      <c r="K3385" t="str">
        <f>IFERROR(VLOOKUP(J3385,LUTs!$A$1:$C$73,2,FALSE),"NA")</f>
        <v>NA</v>
      </c>
      <c r="L3385" t="str">
        <f>IFERROR(VLOOKUP(J3385,LUTs!$A$1:$C$73,3,FALSE),"NA")</f>
        <v>NA</v>
      </c>
      <c r="M3385" s="72" t="s">
        <v>16</v>
      </c>
      <c r="N3385" t="str">
        <f>VLOOKUP(M3385,LUTs!E$2:H$14,3,)</f>
        <v>03Snohomish</v>
      </c>
      <c r="O3385" t="str">
        <f>VLOOKUP(M3385,LUTs!E$2:H$14,4,)</f>
        <v>01North Puget Sound</v>
      </c>
      <c r="P3385" s="73">
        <v>12.3333333333333</v>
      </c>
      <c r="Q3385" s="74">
        <f>VLOOKUP(B3385,Readme!A$40:C$51,2,)*P3385</f>
        <v>106.68333333333305</v>
      </c>
    </row>
    <row r="3386" spans="1:17" ht="12" customHeight="1" x14ac:dyDescent="0.35">
      <c r="A3386" s="75">
        <v>3385</v>
      </c>
      <c r="B3386" s="64">
        <v>2020</v>
      </c>
      <c r="C3386" s="64">
        <v>10</v>
      </c>
      <c r="D3386" s="80">
        <f t="shared" ref="D3386:D3449" si="109">IF(C3386&gt;3,B3386,B3386-1)</f>
        <v>2020</v>
      </c>
      <c r="E3386" t="s">
        <v>38</v>
      </c>
      <c r="F3386" t="s">
        <v>143</v>
      </c>
      <c r="G3386" t="s">
        <v>10</v>
      </c>
      <c r="H3386" s="72">
        <v>792</v>
      </c>
      <c r="I3386" s="72" t="s">
        <v>82</v>
      </c>
      <c r="J3386" t="str">
        <f t="shared" si="108"/>
        <v>Nooksack River, South Fork</v>
      </c>
      <c r="K3386" t="str">
        <f>IFERROR(VLOOKUP(J3386,LUTs!$A$1:$C$73,2,FALSE),"NA")</f>
        <v>NA</v>
      </c>
      <c r="L3386" t="str">
        <f>IFERROR(VLOOKUP(J3386,LUTs!$A$1:$C$73,3,FALSE),"NA")</f>
        <v>NA</v>
      </c>
      <c r="M3386" s="72" t="s">
        <v>17</v>
      </c>
      <c r="N3386" t="str">
        <f>VLOOKUP(M3386,LUTs!E$2:H$14,3,)</f>
        <v>04Island</v>
      </c>
      <c r="O3386" t="str">
        <f>VLOOKUP(M3386,LUTs!E$2:H$14,4,)</f>
        <v>01North Puget Sound</v>
      </c>
      <c r="P3386" s="73">
        <v>36.5675675675676</v>
      </c>
      <c r="Q3386" s="74">
        <f>VLOOKUP(B3386,Readme!A$40:C$51,2,)*P3386</f>
        <v>316.30945945945973</v>
      </c>
    </row>
    <row r="3387" spans="1:17" ht="12" customHeight="1" x14ac:dyDescent="0.35">
      <c r="A3387" s="75">
        <v>3386</v>
      </c>
      <c r="B3387" s="64">
        <v>2020</v>
      </c>
      <c r="C3387" s="64">
        <v>10</v>
      </c>
      <c r="D3387" s="80">
        <f t="shared" si="109"/>
        <v>2020</v>
      </c>
      <c r="E3387" t="s">
        <v>38</v>
      </c>
      <c r="F3387" t="s">
        <v>143</v>
      </c>
      <c r="G3387" t="s">
        <v>10</v>
      </c>
      <c r="H3387" s="72">
        <v>792</v>
      </c>
      <c r="I3387" s="72" t="s">
        <v>82</v>
      </c>
      <c r="J3387" t="str">
        <f t="shared" si="108"/>
        <v>Nooksack River, South Fork</v>
      </c>
      <c r="K3387" t="str">
        <f>IFERROR(VLOOKUP(J3387,LUTs!$A$1:$C$73,2,FALSE),"NA")</f>
        <v>NA</v>
      </c>
      <c r="L3387" t="str">
        <f>IFERROR(VLOOKUP(J3387,LUTs!$A$1:$C$73,3,FALSE),"NA")</f>
        <v>NA</v>
      </c>
      <c r="M3387" s="72" t="s">
        <v>18</v>
      </c>
      <c r="N3387" t="str">
        <f>VLOOKUP(M3387,LUTs!E$2:H$14,3,)</f>
        <v>06King</v>
      </c>
      <c r="O3387" t="str">
        <f>VLOOKUP(M3387,LUTs!E$2:H$14,4,)</f>
        <v>02South Puget Sound</v>
      </c>
      <c r="P3387" s="73">
        <v>36.5675675675676</v>
      </c>
      <c r="Q3387" s="74">
        <f>VLOOKUP(B3387,Readme!A$40:C$51,2,)*P3387</f>
        <v>316.30945945945973</v>
      </c>
    </row>
    <row r="3388" spans="1:17" ht="12" customHeight="1" x14ac:dyDescent="0.35">
      <c r="A3388" s="75">
        <v>3387</v>
      </c>
      <c r="B3388" s="64">
        <v>2020</v>
      </c>
      <c r="C3388" s="64">
        <v>10</v>
      </c>
      <c r="D3388" s="80">
        <f t="shared" si="109"/>
        <v>2020</v>
      </c>
      <c r="E3388" t="s">
        <v>38</v>
      </c>
      <c r="F3388" t="s">
        <v>143</v>
      </c>
      <c r="G3388" t="s">
        <v>10</v>
      </c>
      <c r="H3388" s="72">
        <v>792</v>
      </c>
      <c r="I3388" s="72" t="s">
        <v>82</v>
      </c>
      <c r="J3388" t="str">
        <f t="shared" si="108"/>
        <v>Nooksack River, South Fork</v>
      </c>
      <c r="K3388" t="str">
        <f>IFERROR(VLOOKUP(J3388,LUTs!$A$1:$C$73,2,FALSE),"NA")</f>
        <v>NA</v>
      </c>
      <c r="L3388" t="str">
        <f>IFERROR(VLOOKUP(J3388,LUTs!$A$1:$C$73,3,FALSE),"NA")</f>
        <v>NA</v>
      </c>
      <c r="M3388" s="72" t="s">
        <v>15</v>
      </c>
      <c r="N3388" t="str">
        <f>VLOOKUP(M3388,LUTs!E$2:H$14,3,)</f>
        <v>02Skagit</v>
      </c>
      <c r="O3388" t="str">
        <f>VLOOKUP(M3388,LUTs!E$2:H$14,4,)</f>
        <v>01North Puget Sound</v>
      </c>
      <c r="P3388" s="73">
        <v>36.5675675675676</v>
      </c>
      <c r="Q3388" s="74">
        <f>VLOOKUP(B3388,Readme!A$40:C$51,2,)*P3388</f>
        <v>316.30945945945973</v>
      </c>
    </row>
    <row r="3389" spans="1:17" ht="12" customHeight="1" x14ac:dyDescent="0.35">
      <c r="A3389" s="75">
        <v>3388</v>
      </c>
      <c r="B3389" s="64">
        <v>2020</v>
      </c>
      <c r="C3389" s="64">
        <v>10</v>
      </c>
      <c r="D3389" s="80">
        <f t="shared" si="109"/>
        <v>2020</v>
      </c>
      <c r="E3389" t="s">
        <v>38</v>
      </c>
      <c r="F3389" t="s">
        <v>143</v>
      </c>
      <c r="G3389" t="s">
        <v>10</v>
      </c>
      <c r="H3389" s="72">
        <v>792</v>
      </c>
      <c r="I3389" s="72" t="s">
        <v>82</v>
      </c>
      <c r="J3389" t="str">
        <f t="shared" si="108"/>
        <v>Nooksack River, South Fork</v>
      </c>
      <c r="K3389" t="str">
        <f>IFERROR(VLOOKUP(J3389,LUTs!$A$1:$C$73,2,FALSE),"NA")</f>
        <v>NA</v>
      </c>
      <c r="L3389" t="str">
        <f>IFERROR(VLOOKUP(J3389,LUTs!$A$1:$C$73,3,FALSE),"NA")</f>
        <v>NA</v>
      </c>
      <c r="M3389" s="72" t="s">
        <v>16</v>
      </c>
      <c r="N3389" t="str">
        <f>VLOOKUP(M3389,LUTs!E$2:H$14,3,)</f>
        <v>03Snohomish</v>
      </c>
      <c r="O3389" t="str">
        <f>VLOOKUP(M3389,LUTs!E$2:H$14,4,)</f>
        <v>01North Puget Sound</v>
      </c>
      <c r="P3389" s="73">
        <v>48.756756756756801</v>
      </c>
      <c r="Q3389" s="74">
        <f>VLOOKUP(B3389,Readme!A$40:C$51,2,)*P3389</f>
        <v>421.74594594594635</v>
      </c>
    </row>
    <row r="3390" spans="1:17" ht="12" customHeight="1" x14ac:dyDescent="0.35">
      <c r="A3390" s="75">
        <v>3389</v>
      </c>
      <c r="B3390" s="64">
        <v>2020</v>
      </c>
      <c r="C3390" s="64">
        <v>10</v>
      </c>
      <c r="D3390" s="80">
        <f t="shared" si="109"/>
        <v>2020</v>
      </c>
      <c r="E3390" t="s">
        <v>38</v>
      </c>
      <c r="F3390" t="s">
        <v>143</v>
      </c>
      <c r="G3390" t="s">
        <v>10</v>
      </c>
      <c r="H3390" s="72">
        <v>792</v>
      </c>
      <c r="I3390" s="72" t="s">
        <v>82</v>
      </c>
      <c r="J3390" t="str">
        <f t="shared" si="108"/>
        <v>Nooksack River, South Fork</v>
      </c>
      <c r="K3390" t="str">
        <f>IFERROR(VLOOKUP(J3390,LUTs!$A$1:$C$73,2,FALSE),"NA")</f>
        <v>NA</v>
      </c>
      <c r="L3390" t="str">
        <f>IFERROR(VLOOKUP(J3390,LUTs!$A$1:$C$73,3,FALSE),"NA")</f>
        <v>NA</v>
      </c>
      <c r="M3390" s="72" t="s">
        <v>13</v>
      </c>
      <c r="N3390" t="str">
        <f>VLOOKUP(M3390,LUTs!E$2:H$14,3,)</f>
        <v>01Whatcom</v>
      </c>
      <c r="O3390" t="str">
        <f>VLOOKUP(M3390,LUTs!E$2:H$14,4,)</f>
        <v>01North Puget Sound</v>
      </c>
      <c r="P3390" s="73">
        <v>292.54054054054097</v>
      </c>
      <c r="Q3390" s="74">
        <f>VLOOKUP(B3390,Readme!A$40:C$51,2,)*P3390</f>
        <v>2530.4756756756797</v>
      </c>
    </row>
    <row r="3391" spans="1:17" ht="12" customHeight="1" x14ac:dyDescent="0.35">
      <c r="A3391" s="75">
        <v>3390</v>
      </c>
      <c r="B3391" s="64">
        <v>2020</v>
      </c>
      <c r="C3391" s="64">
        <v>11</v>
      </c>
      <c r="D3391" s="80">
        <f t="shared" si="109"/>
        <v>2020</v>
      </c>
      <c r="E3391" t="s">
        <v>38</v>
      </c>
      <c r="F3391" t="s">
        <v>143</v>
      </c>
      <c r="G3391" t="s">
        <v>10</v>
      </c>
      <c r="H3391" s="72">
        <v>792</v>
      </c>
      <c r="I3391" s="72" t="s">
        <v>82</v>
      </c>
      <c r="J3391" t="str">
        <f t="shared" si="108"/>
        <v>Nooksack River, South Fork</v>
      </c>
      <c r="K3391" t="str">
        <f>IFERROR(VLOOKUP(J3391,LUTs!$A$1:$C$73,2,FALSE),"NA")</f>
        <v>NA</v>
      </c>
      <c r="L3391" t="str">
        <f>IFERROR(VLOOKUP(J3391,LUTs!$A$1:$C$73,3,FALSE),"NA")</f>
        <v>NA</v>
      </c>
      <c r="M3391" s="72" t="s">
        <v>16</v>
      </c>
      <c r="N3391" t="str">
        <f>VLOOKUP(M3391,LUTs!E$2:H$14,3,)</f>
        <v>03Snohomish</v>
      </c>
      <c r="O3391" t="str">
        <f>VLOOKUP(M3391,LUTs!E$2:H$14,4,)</f>
        <v>01North Puget Sound</v>
      </c>
      <c r="P3391" s="73">
        <v>24</v>
      </c>
      <c r="Q3391" s="74">
        <f>VLOOKUP(B3391,Readme!A$40:C$51,2,)*P3391</f>
        <v>207.60000000000002</v>
      </c>
    </row>
    <row r="3392" spans="1:17" ht="12" customHeight="1" x14ac:dyDescent="0.35">
      <c r="A3392" s="75">
        <v>3391</v>
      </c>
      <c r="B3392" s="64">
        <v>2020</v>
      </c>
      <c r="C3392" s="64">
        <v>9</v>
      </c>
      <c r="D3392" s="80">
        <f t="shared" si="109"/>
        <v>2020</v>
      </c>
      <c r="E3392" t="s">
        <v>38</v>
      </c>
      <c r="F3392" t="s">
        <v>143</v>
      </c>
      <c r="G3392" t="s">
        <v>10</v>
      </c>
      <c r="H3392" s="72">
        <v>794</v>
      </c>
      <c r="I3392" s="72" t="s">
        <v>83</v>
      </c>
      <c r="J3392" t="str">
        <f t="shared" si="108"/>
        <v>Nooksack River, below North Fork</v>
      </c>
      <c r="K3392" t="str">
        <f>IFERROR(VLOOKUP(J3392,LUTs!$A$1:$C$73,2,FALSE),"NA")</f>
        <v>Whatcom</v>
      </c>
      <c r="L3392" t="str">
        <f>IFERROR(VLOOKUP(J3392,LUTs!$A$1:$C$73,3,FALSE),"NA")</f>
        <v>1North Puget Sound</v>
      </c>
      <c r="M3392" s="72" t="s">
        <v>13</v>
      </c>
      <c r="N3392" t="str">
        <f>VLOOKUP(M3392,LUTs!E$2:H$14,3,)</f>
        <v>01Whatcom</v>
      </c>
      <c r="O3392" t="str">
        <f>VLOOKUP(M3392,LUTs!E$2:H$14,4,)</f>
        <v>01North Puget Sound</v>
      </c>
      <c r="P3392" s="73">
        <v>171</v>
      </c>
      <c r="Q3392" s="74">
        <f>VLOOKUP(B3392,Readme!A$40:C$51,2,)*P3392</f>
        <v>1479.15</v>
      </c>
    </row>
    <row r="3393" spans="1:17" ht="12" customHeight="1" x14ac:dyDescent="0.35">
      <c r="A3393" s="75">
        <v>3392</v>
      </c>
      <c r="B3393" s="64">
        <v>2020</v>
      </c>
      <c r="C3393" s="64">
        <v>10</v>
      </c>
      <c r="D3393" s="80">
        <f t="shared" si="109"/>
        <v>2020</v>
      </c>
      <c r="E3393" t="s">
        <v>38</v>
      </c>
      <c r="F3393" t="s">
        <v>143</v>
      </c>
      <c r="G3393" t="s">
        <v>10</v>
      </c>
      <c r="H3393" s="72">
        <v>794</v>
      </c>
      <c r="I3393" s="72" t="s">
        <v>83</v>
      </c>
      <c r="J3393" t="str">
        <f t="shared" si="108"/>
        <v>Nooksack River, below North Fork</v>
      </c>
      <c r="K3393" t="str">
        <f>IFERROR(VLOOKUP(J3393,LUTs!$A$1:$C$73,2,FALSE),"NA")</f>
        <v>Whatcom</v>
      </c>
      <c r="L3393" t="str">
        <f>IFERROR(VLOOKUP(J3393,LUTs!$A$1:$C$73,3,FALSE),"NA")</f>
        <v>1North Puget Sound</v>
      </c>
      <c r="M3393" s="72" t="s">
        <v>13</v>
      </c>
      <c r="N3393" t="str">
        <f>VLOOKUP(M3393,LUTs!E$2:H$14,3,)</f>
        <v>01Whatcom</v>
      </c>
      <c r="O3393" t="str">
        <f>VLOOKUP(M3393,LUTs!E$2:H$14,4,)</f>
        <v>01North Puget Sound</v>
      </c>
      <c r="P3393" s="73">
        <v>340</v>
      </c>
      <c r="Q3393" s="74">
        <f>VLOOKUP(B3393,Readme!A$40:C$51,2,)*P3393</f>
        <v>2941</v>
      </c>
    </row>
    <row r="3394" spans="1:17" ht="12" customHeight="1" x14ac:dyDescent="0.35">
      <c r="A3394" s="75">
        <v>3393</v>
      </c>
      <c r="B3394" s="64">
        <v>2020</v>
      </c>
      <c r="C3394" s="64">
        <v>11</v>
      </c>
      <c r="D3394" s="80">
        <f t="shared" si="109"/>
        <v>2020</v>
      </c>
      <c r="E3394" t="s">
        <v>38</v>
      </c>
      <c r="F3394" t="s">
        <v>143</v>
      </c>
      <c r="G3394" t="s">
        <v>10</v>
      </c>
      <c r="H3394" s="72">
        <v>794</v>
      </c>
      <c r="I3394" s="72" t="s">
        <v>83</v>
      </c>
      <c r="J3394" t="str">
        <f t="shared" si="108"/>
        <v>Nooksack River, below North Fork</v>
      </c>
      <c r="K3394" t="str">
        <f>IFERROR(VLOOKUP(J3394,LUTs!$A$1:$C$73,2,FALSE),"NA")</f>
        <v>Whatcom</v>
      </c>
      <c r="L3394" t="str">
        <f>IFERROR(VLOOKUP(J3394,LUTs!$A$1:$C$73,3,FALSE),"NA")</f>
        <v>1North Puget Sound</v>
      </c>
      <c r="M3394" s="72" t="s">
        <v>13</v>
      </c>
      <c r="N3394" t="str">
        <f>VLOOKUP(M3394,LUTs!E$2:H$14,3,)</f>
        <v>01Whatcom</v>
      </c>
      <c r="O3394" t="str">
        <f>VLOOKUP(M3394,LUTs!E$2:H$14,4,)</f>
        <v>01North Puget Sound</v>
      </c>
      <c r="P3394" s="73">
        <v>110</v>
      </c>
      <c r="Q3394" s="74">
        <f>VLOOKUP(B3394,Readme!A$40:C$51,2,)*P3394</f>
        <v>951.5</v>
      </c>
    </row>
    <row r="3395" spans="1:17" ht="12" customHeight="1" x14ac:dyDescent="0.35">
      <c r="A3395" s="75">
        <v>3394</v>
      </c>
      <c r="B3395" s="64">
        <v>2020</v>
      </c>
      <c r="C3395" s="64">
        <v>12</v>
      </c>
      <c r="D3395" s="80">
        <f t="shared" si="109"/>
        <v>2020</v>
      </c>
      <c r="E3395" t="s">
        <v>38</v>
      </c>
      <c r="F3395" t="s">
        <v>143</v>
      </c>
      <c r="G3395" t="s">
        <v>10</v>
      </c>
      <c r="H3395" s="72">
        <v>794</v>
      </c>
      <c r="I3395" s="72" t="s">
        <v>83</v>
      </c>
      <c r="J3395" t="str">
        <f t="shared" ref="J3395:J3458" si="110">I3395</f>
        <v>Nooksack River, below North Fork</v>
      </c>
      <c r="K3395" t="str">
        <f>IFERROR(VLOOKUP(J3395,LUTs!$A$1:$C$73,2,FALSE),"NA")</f>
        <v>Whatcom</v>
      </c>
      <c r="L3395" t="str">
        <f>IFERROR(VLOOKUP(J3395,LUTs!$A$1:$C$73,3,FALSE),"NA")</f>
        <v>1North Puget Sound</v>
      </c>
      <c r="M3395" s="72" t="s">
        <v>13</v>
      </c>
      <c r="N3395" t="str">
        <f>VLOOKUP(M3395,LUTs!E$2:H$14,3,)</f>
        <v>01Whatcom</v>
      </c>
      <c r="O3395" t="str">
        <f>VLOOKUP(M3395,LUTs!E$2:H$14,4,)</f>
        <v>01North Puget Sound</v>
      </c>
      <c r="P3395" s="73">
        <v>49</v>
      </c>
      <c r="Q3395" s="74">
        <f>VLOOKUP(B3395,Readme!A$40:C$51,2,)*P3395</f>
        <v>423.85</v>
      </c>
    </row>
    <row r="3396" spans="1:17" ht="12" customHeight="1" x14ac:dyDescent="0.35">
      <c r="A3396" s="75">
        <v>3395</v>
      </c>
      <c r="B3396" s="64">
        <v>2020</v>
      </c>
      <c r="C3396" s="64">
        <v>8</v>
      </c>
      <c r="D3396" s="80">
        <f t="shared" si="109"/>
        <v>2020</v>
      </c>
      <c r="E3396" t="s">
        <v>38</v>
      </c>
      <c r="F3396" t="s">
        <v>143</v>
      </c>
      <c r="G3396" t="s">
        <v>10</v>
      </c>
      <c r="H3396" s="72">
        <v>802</v>
      </c>
      <c r="I3396" s="72" t="s">
        <v>53</v>
      </c>
      <c r="J3396" t="str">
        <f t="shared" si="110"/>
        <v>Carbon River</v>
      </c>
      <c r="K3396" t="str">
        <f>IFERROR(VLOOKUP(J3396,LUTs!$A$1:$C$73,2,FALSE),"NA")</f>
        <v>Pierce</v>
      </c>
      <c r="L3396" t="str">
        <f>IFERROR(VLOOKUP(J3396,LUTs!$A$1:$C$73,3,FALSE),"NA")</f>
        <v>3South Puget Sound</v>
      </c>
      <c r="M3396" s="72" t="s">
        <v>26</v>
      </c>
      <c r="N3396" t="str">
        <f>VLOOKUP(M3396,LUTs!E$2:H$14,3,)</f>
        <v>20Other</v>
      </c>
      <c r="O3396" t="str">
        <f>VLOOKUP(M3396,LUTs!E$2:H$14,4,)</f>
        <v>07Non Puget Sound</v>
      </c>
      <c r="P3396" s="73">
        <v>12</v>
      </c>
      <c r="Q3396" s="74">
        <f>VLOOKUP(B3396,Readme!A$40:C$51,2,)*P3396</f>
        <v>103.80000000000001</v>
      </c>
    </row>
    <row r="3397" spans="1:17" ht="12" customHeight="1" x14ac:dyDescent="0.35">
      <c r="A3397" s="75">
        <v>3396</v>
      </c>
      <c r="B3397" s="64">
        <v>2020</v>
      </c>
      <c r="C3397" s="64">
        <v>9</v>
      </c>
      <c r="D3397" s="80">
        <f t="shared" si="109"/>
        <v>2020</v>
      </c>
      <c r="E3397" t="s">
        <v>38</v>
      </c>
      <c r="F3397" t="s">
        <v>143</v>
      </c>
      <c r="G3397" t="s">
        <v>10</v>
      </c>
      <c r="H3397" s="72">
        <v>802</v>
      </c>
      <c r="I3397" s="72" t="s">
        <v>53</v>
      </c>
      <c r="J3397" t="str">
        <f t="shared" si="110"/>
        <v>Carbon River</v>
      </c>
      <c r="K3397" t="str">
        <f>IFERROR(VLOOKUP(J3397,LUTs!$A$1:$C$73,2,FALSE),"NA")</f>
        <v>Pierce</v>
      </c>
      <c r="L3397" t="str">
        <f>IFERROR(VLOOKUP(J3397,LUTs!$A$1:$C$73,3,FALSE),"NA")</f>
        <v>3South Puget Sound</v>
      </c>
      <c r="M3397" s="72" t="s">
        <v>18</v>
      </c>
      <c r="N3397" t="str">
        <f>VLOOKUP(M3397,LUTs!E$2:H$14,3,)</f>
        <v>06King</v>
      </c>
      <c r="O3397" t="str">
        <f>VLOOKUP(M3397,LUTs!E$2:H$14,4,)</f>
        <v>02South Puget Sound</v>
      </c>
      <c r="P3397" s="73">
        <v>346.81818181818198</v>
      </c>
      <c r="Q3397" s="74">
        <f>VLOOKUP(B3397,Readme!A$40:C$51,2,)*P3397</f>
        <v>2999.9772727272743</v>
      </c>
    </row>
    <row r="3398" spans="1:17" ht="12" customHeight="1" x14ac:dyDescent="0.35">
      <c r="A3398" s="75">
        <v>3397</v>
      </c>
      <c r="B3398" s="64">
        <v>2020</v>
      </c>
      <c r="C3398" s="64">
        <v>9</v>
      </c>
      <c r="D3398" s="80">
        <f t="shared" si="109"/>
        <v>2020</v>
      </c>
      <c r="E3398" t="s">
        <v>38</v>
      </c>
      <c r="F3398" t="s">
        <v>143</v>
      </c>
      <c r="G3398" t="s">
        <v>10</v>
      </c>
      <c r="H3398" s="72">
        <v>802</v>
      </c>
      <c r="I3398" s="72" t="s">
        <v>53</v>
      </c>
      <c r="J3398" t="str">
        <f t="shared" si="110"/>
        <v>Carbon River</v>
      </c>
      <c r="K3398" t="str">
        <f>IFERROR(VLOOKUP(J3398,LUTs!$A$1:$C$73,2,FALSE),"NA")</f>
        <v>Pierce</v>
      </c>
      <c r="L3398" t="str">
        <f>IFERROR(VLOOKUP(J3398,LUTs!$A$1:$C$73,3,FALSE),"NA")</f>
        <v>3South Puget Sound</v>
      </c>
      <c r="M3398" s="72" t="s">
        <v>26</v>
      </c>
      <c r="N3398" t="str">
        <f>VLOOKUP(M3398,LUTs!E$2:H$14,3,)</f>
        <v>20Other</v>
      </c>
      <c r="O3398" t="str">
        <f>VLOOKUP(M3398,LUTs!E$2:H$14,4,)</f>
        <v>07Non Puget Sound</v>
      </c>
      <c r="P3398" s="73">
        <v>61.931818181818201</v>
      </c>
      <c r="Q3398" s="74">
        <f>VLOOKUP(B3398,Readme!A$40:C$51,2,)*P3398</f>
        <v>535.71022727272748</v>
      </c>
    </row>
    <row r="3399" spans="1:17" ht="12" customHeight="1" x14ac:dyDescent="0.35">
      <c r="A3399" s="75">
        <v>3398</v>
      </c>
      <c r="B3399" s="64">
        <v>2020</v>
      </c>
      <c r="C3399" s="64">
        <v>9</v>
      </c>
      <c r="D3399" s="80">
        <f t="shared" si="109"/>
        <v>2020</v>
      </c>
      <c r="E3399" t="s">
        <v>38</v>
      </c>
      <c r="F3399" t="s">
        <v>143</v>
      </c>
      <c r="G3399" t="s">
        <v>10</v>
      </c>
      <c r="H3399" s="72">
        <v>802</v>
      </c>
      <c r="I3399" s="72" t="s">
        <v>53</v>
      </c>
      <c r="J3399" t="str">
        <f t="shared" si="110"/>
        <v>Carbon River</v>
      </c>
      <c r="K3399" t="str">
        <f>IFERROR(VLOOKUP(J3399,LUTs!$A$1:$C$73,2,FALSE),"NA")</f>
        <v>Pierce</v>
      </c>
      <c r="L3399" t="str">
        <f>IFERROR(VLOOKUP(J3399,LUTs!$A$1:$C$73,3,FALSE),"NA")</f>
        <v>3South Puget Sound</v>
      </c>
      <c r="M3399" s="72" t="s">
        <v>20</v>
      </c>
      <c r="N3399" t="str">
        <f>VLOOKUP(M3399,LUTs!E$2:H$14,3,)</f>
        <v>07Pierce</v>
      </c>
      <c r="O3399" t="str">
        <f>VLOOKUP(M3399,LUTs!E$2:H$14,4,)</f>
        <v>02South Puget Sound</v>
      </c>
      <c r="P3399" s="73">
        <v>681.25</v>
      </c>
      <c r="Q3399" s="74">
        <f>VLOOKUP(B3399,Readme!A$40:C$51,2,)*P3399</f>
        <v>5892.8125</v>
      </c>
    </row>
    <row r="3400" spans="1:17" ht="12" customHeight="1" x14ac:dyDescent="0.35">
      <c r="A3400" s="75">
        <v>3399</v>
      </c>
      <c r="B3400" s="64">
        <v>2020</v>
      </c>
      <c r="C3400" s="64">
        <v>10</v>
      </c>
      <c r="D3400" s="80">
        <f t="shared" si="109"/>
        <v>2020</v>
      </c>
      <c r="E3400" t="s">
        <v>38</v>
      </c>
      <c r="F3400" t="s">
        <v>143</v>
      </c>
      <c r="G3400" t="s">
        <v>10</v>
      </c>
      <c r="H3400" s="72">
        <v>802</v>
      </c>
      <c r="I3400" s="72" t="s">
        <v>53</v>
      </c>
      <c r="J3400" t="str">
        <f t="shared" si="110"/>
        <v>Carbon River</v>
      </c>
      <c r="K3400" t="str">
        <f>IFERROR(VLOOKUP(J3400,LUTs!$A$1:$C$73,2,FALSE),"NA")</f>
        <v>Pierce</v>
      </c>
      <c r="L3400" t="str">
        <f>IFERROR(VLOOKUP(J3400,LUTs!$A$1:$C$73,3,FALSE),"NA")</f>
        <v>3South Puget Sound</v>
      </c>
      <c r="M3400" s="72" t="s">
        <v>18</v>
      </c>
      <c r="N3400" t="str">
        <f>VLOOKUP(M3400,LUTs!E$2:H$14,3,)</f>
        <v>06King</v>
      </c>
      <c r="O3400" t="str">
        <f>VLOOKUP(M3400,LUTs!E$2:H$14,4,)</f>
        <v>02South Puget Sound</v>
      </c>
      <c r="P3400" s="73">
        <v>24.8</v>
      </c>
      <c r="Q3400" s="74">
        <f>VLOOKUP(B3400,Readme!A$40:C$51,2,)*P3400</f>
        <v>214.52</v>
      </c>
    </row>
    <row r="3401" spans="1:17" ht="12" customHeight="1" x14ac:dyDescent="0.35">
      <c r="A3401" s="75">
        <v>3400</v>
      </c>
      <c r="B3401" s="64">
        <v>2020</v>
      </c>
      <c r="C3401" s="64">
        <v>10</v>
      </c>
      <c r="D3401" s="80">
        <f t="shared" si="109"/>
        <v>2020</v>
      </c>
      <c r="E3401" t="s">
        <v>38</v>
      </c>
      <c r="F3401" t="s">
        <v>143</v>
      </c>
      <c r="G3401" t="s">
        <v>10</v>
      </c>
      <c r="H3401" s="72">
        <v>802</v>
      </c>
      <c r="I3401" s="72" t="s">
        <v>53</v>
      </c>
      <c r="J3401" t="str">
        <f t="shared" si="110"/>
        <v>Carbon River</v>
      </c>
      <c r="K3401" t="str">
        <f>IFERROR(VLOOKUP(J3401,LUTs!$A$1:$C$73,2,FALSE),"NA")</f>
        <v>Pierce</v>
      </c>
      <c r="L3401" t="str">
        <f>IFERROR(VLOOKUP(J3401,LUTs!$A$1:$C$73,3,FALSE),"NA")</f>
        <v>3South Puget Sound</v>
      </c>
      <c r="M3401" s="72" t="s">
        <v>22</v>
      </c>
      <c r="N3401" t="str">
        <f>VLOOKUP(M3401,LUTs!E$2:H$14,3,)</f>
        <v>09Mason</v>
      </c>
      <c r="O3401" t="str">
        <f>VLOOKUP(M3401,LUTs!E$2:H$14,4,)</f>
        <v>02South Puget Sound</v>
      </c>
      <c r="P3401" s="73">
        <v>49.6</v>
      </c>
      <c r="Q3401" s="74">
        <f>VLOOKUP(B3401,Readme!A$40:C$51,2,)*P3401</f>
        <v>429.04</v>
      </c>
    </row>
    <row r="3402" spans="1:17" ht="12" customHeight="1" x14ac:dyDescent="0.35">
      <c r="A3402" s="75">
        <v>3401</v>
      </c>
      <c r="B3402" s="64">
        <v>2020</v>
      </c>
      <c r="C3402" s="64">
        <v>10</v>
      </c>
      <c r="D3402" s="80">
        <f t="shared" si="109"/>
        <v>2020</v>
      </c>
      <c r="E3402" t="s">
        <v>38</v>
      </c>
      <c r="F3402" t="s">
        <v>143</v>
      </c>
      <c r="G3402" t="s">
        <v>10</v>
      </c>
      <c r="H3402" s="72">
        <v>802</v>
      </c>
      <c r="I3402" s="72" t="s">
        <v>53</v>
      </c>
      <c r="J3402" t="str">
        <f t="shared" si="110"/>
        <v>Carbon River</v>
      </c>
      <c r="K3402" t="str">
        <f>IFERROR(VLOOKUP(J3402,LUTs!$A$1:$C$73,2,FALSE),"NA")</f>
        <v>Pierce</v>
      </c>
      <c r="L3402" t="str">
        <f>IFERROR(VLOOKUP(J3402,LUTs!$A$1:$C$73,3,FALSE),"NA")</f>
        <v>3South Puget Sound</v>
      </c>
      <c r="M3402" s="72" t="s">
        <v>26</v>
      </c>
      <c r="N3402" t="str">
        <f>VLOOKUP(M3402,LUTs!E$2:H$14,3,)</f>
        <v>20Other</v>
      </c>
      <c r="O3402" t="str">
        <f>VLOOKUP(M3402,LUTs!E$2:H$14,4,)</f>
        <v>07Non Puget Sound</v>
      </c>
      <c r="P3402" s="73">
        <v>12.4</v>
      </c>
      <c r="Q3402" s="74">
        <f>VLOOKUP(B3402,Readme!A$40:C$51,2,)*P3402</f>
        <v>107.26</v>
      </c>
    </row>
    <row r="3403" spans="1:17" ht="12" customHeight="1" x14ac:dyDescent="0.35">
      <c r="A3403" s="75">
        <v>3402</v>
      </c>
      <c r="B3403" s="64">
        <v>2020</v>
      </c>
      <c r="C3403" s="64">
        <v>10</v>
      </c>
      <c r="D3403" s="80">
        <f t="shared" si="109"/>
        <v>2020</v>
      </c>
      <c r="E3403" t="s">
        <v>38</v>
      </c>
      <c r="F3403" t="s">
        <v>143</v>
      </c>
      <c r="G3403" t="s">
        <v>10</v>
      </c>
      <c r="H3403" s="72">
        <v>802</v>
      </c>
      <c r="I3403" s="72" t="s">
        <v>53</v>
      </c>
      <c r="J3403" t="str">
        <f t="shared" si="110"/>
        <v>Carbon River</v>
      </c>
      <c r="K3403" t="str">
        <f>IFERROR(VLOOKUP(J3403,LUTs!$A$1:$C$73,2,FALSE),"NA")</f>
        <v>Pierce</v>
      </c>
      <c r="L3403" t="str">
        <f>IFERROR(VLOOKUP(J3403,LUTs!$A$1:$C$73,3,FALSE),"NA")</f>
        <v>3South Puget Sound</v>
      </c>
      <c r="M3403" s="72" t="s">
        <v>20</v>
      </c>
      <c r="N3403" t="str">
        <f>VLOOKUP(M3403,LUTs!E$2:H$14,3,)</f>
        <v>07Pierce</v>
      </c>
      <c r="O3403" t="str">
        <f>VLOOKUP(M3403,LUTs!E$2:H$14,4,)</f>
        <v>02South Puget Sound</v>
      </c>
      <c r="P3403" s="73">
        <v>99.2</v>
      </c>
      <c r="Q3403" s="74">
        <f>VLOOKUP(B3403,Readme!A$40:C$51,2,)*P3403</f>
        <v>858.08</v>
      </c>
    </row>
    <row r="3404" spans="1:17" ht="12" customHeight="1" x14ac:dyDescent="0.35">
      <c r="A3404" s="75">
        <v>3403</v>
      </c>
      <c r="B3404" s="64">
        <v>2020</v>
      </c>
      <c r="C3404" s="64">
        <v>8</v>
      </c>
      <c r="D3404" s="80">
        <f t="shared" si="109"/>
        <v>2020</v>
      </c>
      <c r="E3404" t="s">
        <v>38</v>
      </c>
      <c r="F3404" t="s">
        <v>143</v>
      </c>
      <c r="G3404" t="s">
        <v>10</v>
      </c>
      <c r="H3404" s="72">
        <v>804</v>
      </c>
      <c r="I3404" s="72" t="s">
        <v>54</v>
      </c>
      <c r="J3404" t="str">
        <f t="shared" si="110"/>
        <v>Puyallup River</v>
      </c>
      <c r="K3404" t="str">
        <f>IFERROR(VLOOKUP(J3404,LUTs!$A$1:$C$73,2,FALSE),"NA")</f>
        <v>Pierce</v>
      </c>
      <c r="L3404" t="str">
        <f>IFERROR(VLOOKUP(J3404,LUTs!$A$1:$C$73,3,FALSE),"NA")</f>
        <v>3South Puget Sound</v>
      </c>
      <c r="M3404" s="72" t="s">
        <v>18</v>
      </c>
      <c r="N3404" t="str">
        <f>VLOOKUP(M3404,LUTs!E$2:H$14,3,)</f>
        <v>06King</v>
      </c>
      <c r="O3404" t="str">
        <f>VLOOKUP(M3404,LUTs!E$2:H$14,4,)</f>
        <v>02South Puget Sound</v>
      </c>
      <c r="P3404" s="73">
        <v>730.45806451612896</v>
      </c>
      <c r="Q3404" s="74">
        <f>VLOOKUP(B3404,Readme!A$40:C$51,2,)*P3404</f>
        <v>6318.4622580645155</v>
      </c>
    </row>
    <row r="3405" spans="1:17" ht="12" customHeight="1" x14ac:dyDescent="0.35">
      <c r="A3405" s="75">
        <v>3404</v>
      </c>
      <c r="B3405" s="64">
        <v>2020</v>
      </c>
      <c r="C3405" s="64">
        <v>8</v>
      </c>
      <c r="D3405" s="80">
        <f t="shared" si="109"/>
        <v>2020</v>
      </c>
      <c r="E3405" t="s">
        <v>38</v>
      </c>
      <c r="F3405" t="s">
        <v>143</v>
      </c>
      <c r="G3405" t="s">
        <v>10</v>
      </c>
      <c r="H3405" s="72">
        <v>804</v>
      </c>
      <c r="I3405" s="72" t="s">
        <v>54</v>
      </c>
      <c r="J3405" t="str">
        <f t="shared" si="110"/>
        <v>Puyallup River</v>
      </c>
      <c r="K3405" t="str">
        <f>IFERROR(VLOOKUP(J3405,LUTs!$A$1:$C$73,2,FALSE),"NA")</f>
        <v>Pierce</v>
      </c>
      <c r="L3405" t="str">
        <f>IFERROR(VLOOKUP(J3405,LUTs!$A$1:$C$73,3,FALSE),"NA")</f>
        <v>3South Puget Sound</v>
      </c>
      <c r="M3405" s="72" t="s">
        <v>22</v>
      </c>
      <c r="N3405" t="str">
        <f>VLOOKUP(M3405,LUTs!E$2:H$14,3,)</f>
        <v>09Mason</v>
      </c>
      <c r="O3405" t="str">
        <f>VLOOKUP(M3405,LUTs!E$2:H$14,4,)</f>
        <v>02South Puget Sound</v>
      </c>
      <c r="P3405" s="73">
        <v>12.3806451612903</v>
      </c>
      <c r="Q3405" s="74">
        <f>VLOOKUP(B3405,Readme!A$40:C$51,2,)*P3405</f>
        <v>107.09258064516109</v>
      </c>
    </row>
    <row r="3406" spans="1:17" ht="12" customHeight="1" x14ac:dyDescent="0.35">
      <c r="A3406" s="75">
        <v>3405</v>
      </c>
      <c r="B3406" s="64">
        <v>2020</v>
      </c>
      <c r="C3406" s="64">
        <v>8</v>
      </c>
      <c r="D3406" s="80">
        <f t="shared" si="109"/>
        <v>2020</v>
      </c>
      <c r="E3406" t="s">
        <v>38</v>
      </c>
      <c r="F3406" t="s">
        <v>143</v>
      </c>
      <c r="G3406" t="s">
        <v>10</v>
      </c>
      <c r="H3406" s="72">
        <v>804</v>
      </c>
      <c r="I3406" s="72" t="s">
        <v>54</v>
      </c>
      <c r="J3406" t="str">
        <f t="shared" si="110"/>
        <v>Puyallup River</v>
      </c>
      <c r="K3406" t="str">
        <f>IFERROR(VLOOKUP(J3406,LUTs!$A$1:$C$73,2,FALSE),"NA")</f>
        <v>Pierce</v>
      </c>
      <c r="L3406" t="str">
        <f>IFERROR(VLOOKUP(J3406,LUTs!$A$1:$C$73,3,FALSE),"NA")</f>
        <v>3South Puget Sound</v>
      </c>
      <c r="M3406" s="72" t="s">
        <v>26</v>
      </c>
      <c r="N3406" t="str">
        <f>VLOOKUP(M3406,LUTs!E$2:H$14,3,)</f>
        <v>20Other</v>
      </c>
      <c r="O3406" t="str">
        <f>VLOOKUP(M3406,LUTs!E$2:H$14,4,)</f>
        <v>07Non Puget Sound</v>
      </c>
      <c r="P3406" s="73">
        <v>74.283870967742004</v>
      </c>
      <c r="Q3406" s="74">
        <f>VLOOKUP(B3406,Readme!A$40:C$51,2,)*P3406</f>
        <v>642.55548387096837</v>
      </c>
    </row>
    <row r="3407" spans="1:17" ht="12" customHeight="1" x14ac:dyDescent="0.35">
      <c r="A3407" s="75">
        <v>3406</v>
      </c>
      <c r="B3407" s="64">
        <v>2020</v>
      </c>
      <c r="C3407" s="64">
        <v>8</v>
      </c>
      <c r="D3407" s="80">
        <f t="shared" si="109"/>
        <v>2020</v>
      </c>
      <c r="E3407" t="s">
        <v>38</v>
      </c>
      <c r="F3407" t="s">
        <v>143</v>
      </c>
      <c r="G3407" t="s">
        <v>10</v>
      </c>
      <c r="H3407" s="72">
        <v>804</v>
      </c>
      <c r="I3407" s="72" t="s">
        <v>54</v>
      </c>
      <c r="J3407" t="str">
        <f t="shared" si="110"/>
        <v>Puyallup River</v>
      </c>
      <c r="K3407" t="str">
        <f>IFERROR(VLOOKUP(J3407,LUTs!$A$1:$C$73,2,FALSE),"NA")</f>
        <v>Pierce</v>
      </c>
      <c r="L3407" t="str">
        <f>IFERROR(VLOOKUP(J3407,LUTs!$A$1:$C$73,3,FALSE),"NA")</f>
        <v>3South Puget Sound</v>
      </c>
      <c r="M3407" s="72" t="s">
        <v>20</v>
      </c>
      <c r="N3407" t="str">
        <f>VLOOKUP(M3407,LUTs!E$2:H$14,3,)</f>
        <v>07Pierce</v>
      </c>
      <c r="O3407" t="str">
        <f>VLOOKUP(M3407,LUTs!E$2:H$14,4,)</f>
        <v>02South Puget Sound</v>
      </c>
      <c r="P3407" s="73">
        <v>1015.21290322581</v>
      </c>
      <c r="Q3407" s="74">
        <f>VLOOKUP(B3407,Readme!A$40:C$51,2,)*P3407</f>
        <v>8781.5916129032576</v>
      </c>
    </row>
    <row r="3408" spans="1:17" ht="12" customHeight="1" x14ac:dyDescent="0.35">
      <c r="A3408" s="75">
        <v>3407</v>
      </c>
      <c r="B3408" s="64">
        <v>2020</v>
      </c>
      <c r="C3408" s="64">
        <v>8</v>
      </c>
      <c r="D3408" s="80">
        <f t="shared" si="109"/>
        <v>2020</v>
      </c>
      <c r="E3408" t="s">
        <v>38</v>
      </c>
      <c r="F3408" t="s">
        <v>143</v>
      </c>
      <c r="G3408" t="s">
        <v>10</v>
      </c>
      <c r="H3408" s="72">
        <v>804</v>
      </c>
      <c r="I3408" s="72" t="s">
        <v>54</v>
      </c>
      <c r="J3408" t="str">
        <f t="shared" si="110"/>
        <v>Puyallup River</v>
      </c>
      <c r="K3408" t="str">
        <f>IFERROR(VLOOKUP(J3408,LUTs!$A$1:$C$73,2,FALSE),"NA")</f>
        <v>Pierce</v>
      </c>
      <c r="L3408" t="str">
        <f>IFERROR(VLOOKUP(J3408,LUTs!$A$1:$C$73,3,FALSE),"NA")</f>
        <v>3South Puget Sound</v>
      </c>
      <c r="M3408" s="72" t="s">
        <v>16</v>
      </c>
      <c r="N3408" t="str">
        <f>VLOOKUP(M3408,LUTs!E$2:H$14,3,)</f>
        <v>03Snohomish</v>
      </c>
      <c r="O3408" t="str">
        <f>VLOOKUP(M3408,LUTs!E$2:H$14,4,)</f>
        <v>01North Puget Sound</v>
      </c>
      <c r="P3408" s="73">
        <v>37.141935483871002</v>
      </c>
      <c r="Q3408" s="74">
        <f>VLOOKUP(B3408,Readme!A$40:C$51,2,)*P3408</f>
        <v>321.27774193548419</v>
      </c>
    </row>
    <row r="3409" spans="1:17" ht="12" customHeight="1" x14ac:dyDescent="0.35">
      <c r="A3409" s="75">
        <v>3408</v>
      </c>
      <c r="B3409" s="64">
        <v>2020</v>
      </c>
      <c r="C3409" s="64">
        <v>8</v>
      </c>
      <c r="D3409" s="80">
        <f t="shared" si="109"/>
        <v>2020</v>
      </c>
      <c r="E3409" t="s">
        <v>38</v>
      </c>
      <c r="F3409" t="s">
        <v>143</v>
      </c>
      <c r="G3409" t="s">
        <v>10</v>
      </c>
      <c r="H3409" s="72">
        <v>804</v>
      </c>
      <c r="I3409" s="72" t="s">
        <v>54</v>
      </c>
      <c r="J3409" t="str">
        <f t="shared" si="110"/>
        <v>Puyallup River</v>
      </c>
      <c r="K3409" t="str">
        <f>IFERROR(VLOOKUP(J3409,LUTs!$A$1:$C$73,2,FALSE),"NA")</f>
        <v>Pierce</v>
      </c>
      <c r="L3409" t="str">
        <f>IFERROR(VLOOKUP(J3409,LUTs!$A$1:$C$73,3,FALSE),"NA")</f>
        <v>3South Puget Sound</v>
      </c>
      <c r="M3409" s="72" t="s">
        <v>21</v>
      </c>
      <c r="N3409" t="str">
        <f>VLOOKUP(M3409,LUTs!E$2:H$14,3,)</f>
        <v>08Thurston</v>
      </c>
      <c r="O3409" t="str">
        <f>VLOOKUP(M3409,LUTs!E$2:H$14,4,)</f>
        <v>02South Puget Sound</v>
      </c>
      <c r="P3409" s="73">
        <v>49.522580645161298</v>
      </c>
      <c r="Q3409" s="74">
        <f>VLOOKUP(B3409,Readme!A$40:C$51,2,)*P3409</f>
        <v>428.37032258064522</v>
      </c>
    </row>
    <row r="3410" spans="1:17" ht="12" customHeight="1" x14ac:dyDescent="0.35">
      <c r="A3410" s="75">
        <v>3409</v>
      </c>
      <c r="B3410" s="64">
        <v>2020</v>
      </c>
      <c r="C3410" s="64">
        <v>9</v>
      </c>
      <c r="D3410" s="80">
        <f t="shared" si="109"/>
        <v>2020</v>
      </c>
      <c r="E3410" t="s">
        <v>38</v>
      </c>
      <c r="F3410" t="s">
        <v>143</v>
      </c>
      <c r="G3410" t="s">
        <v>10</v>
      </c>
      <c r="H3410" s="72">
        <v>804</v>
      </c>
      <c r="I3410" s="72" t="s">
        <v>54</v>
      </c>
      <c r="J3410" t="str">
        <f t="shared" si="110"/>
        <v>Puyallup River</v>
      </c>
      <c r="K3410" t="str">
        <f>IFERROR(VLOOKUP(J3410,LUTs!$A$1:$C$73,2,FALSE),"NA")</f>
        <v>Pierce</v>
      </c>
      <c r="L3410" t="str">
        <f>IFERROR(VLOOKUP(J3410,LUTs!$A$1:$C$73,3,FALSE),"NA")</f>
        <v>3South Puget Sound</v>
      </c>
      <c r="M3410" s="72" t="s">
        <v>18</v>
      </c>
      <c r="N3410" t="str">
        <f>VLOOKUP(M3410,LUTs!E$2:H$14,3,)</f>
        <v>06King</v>
      </c>
      <c r="O3410" t="str">
        <f>VLOOKUP(M3410,LUTs!E$2:H$14,4,)</f>
        <v>02South Puget Sound</v>
      </c>
      <c r="P3410" s="73">
        <v>1225.26199261993</v>
      </c>
      <c r="Q3410" s="74">
        <f>VLOOKUP(B3410,Readme!A$40:C$51,2,)*P3410</f>
        <v>10598.516236162395</v>
      </c>
    </row>
    <row r="3411" spans="1:17" ht="12" customHeight="1" x14ac:dyDescent="0.35">
      <c r="A3411" s="75">
        <v>3410</v>
      </c>
      <c r="B3411" s="64">
        <v>2020</v>
      </c>
      <c r="C3411" s="64">
        <v>9</v>
      </c>
      <c r="D3411" s="80">
        <f t="shared" si="109"/>
        <v>2020</v>
      </c>
      <c r="E3411" t="s">
        <v>38</v>
      </c>
      <c r="F3411" t="s">
        <v>143</v>
      </c>
      <c r="G3411" t="s">
        <v>10</v>
      </c>
      <c r="H3411" s="72">
        <v>804</v>
      </c>
      <c r="I3411" s="72" t="s">
        <v>54</v>
      </c>
      <c r="J3411" t="str">
        <f t="shared" si="110"/>
        <v>Puyallup River</v>
      </c>
      <c r="K3411" t="str">
        <f>IFERROR(VLOOKUP(J3411,LUTs!$A$1:$C$73,2,FALSE),"NA")</f>
        <v>Pierce</v>
      </c>
      <c r="L3411" t="str">
        <f>IFERROR(VLOOKUP(J3411,LUTs!$A$1:$C$73,3,FALSE),"NA")</f>
        <v>3South Puget Sound</v>
      </c>
      <c r="M3411" s="72" t="s">
        <v>26</v>
      </c>
      <c r="N3411" t="str">
        <f>VLOOKUP(M3411,LUTs!E$2:H$14,3,)</f>
        <v>20Other</v>
      </c>
      <c r="O3411" t="str">
        <f>VLOOKUP(M3411,LUTs!E$2:H$14,4,)</f>
        <v>07Non Puget Sound</v>
      </c>
      <c r="P3411" s="73">
        <v>210.39852398523999</v>
      </c>
      <c r="Q3411" s="74">
        <f>VLOOKUP(B3411,Readme!A$40:C$51,2,)*P3411</f>
        <v>1819.947232472326</v>
      </c>
    </row>
    <row r="3412" spans="1:17" ht="12" customHeight="1" x14ac:dyDescent="0.35">
      <c r="A3412" s="75">
        <v>3411</v>
      </c>
      <c r="B3412" s="64">
        <v>2020</v>
      </c>
      <c r="C3412" s="64">
        <v>9</v>
      </c>
      <c r="D3412" s="80">
        <f t="shared" si="109"/>
        <v>2020</v>
      </c>
      <c r="E3412" t="s">
        <v>38</v>
      </c>
      <c r="F3412" t="s">
        <v>143</v>
      </c>
      <c r="G3412" t="s">
        <v>10</v>
      </c>
      <c r="H3412" s="72">
        <v>804</v>
      </c>
      <c r="I3412" s="72" t="s">
        <v>54</v>
      </c>
      <c r="J3412" t="str">
        <f t="shared" si="110"/>
        <v>Puyallup River</v>
      </c>
      <c r="K3412" t="str">
        <f>IFERROR(VLOOKUP(J3412,LUTs!$A$1:$C$73,2,FALSE),"NA")</f>
        <v>Pierce</v>
      </c>
      <c r="L3412" t="str">
        <f>IFERROR(VLOOKUP(J3412,LUTs!$A$1:$C$73,3,FALSE),"NA")</f>
        <v>3South Puget Sound</v>
      </c>
      <c r="M3412" s="72" t="s">
        <v>20</v>
      </c>
      <c r="N3412" t="str">
        <f>VLOOKUP(M3412,LUTs!E$2:H$14,3,)</f>
        <v>07Pierce</v>
      </c>
      <c r="O3412" t="str">
        <f>VLOOKUP(M3412,LUTs!E$2:H$14,4,)</f>
        <v>02South Puget Sound</v>
      </c>
      <c r="P3412" s="73">
        <v>1769.8228782287799</v>
      </c>
      <c r="Q3412" s="74">
        <f>VLOOKUP(B3412,Readme!A$40:C$51,2,)*P3412</f>
        <v>15308.967896678947</v>
      </c>
    </row>
    <row r="3413" spans="1:17" ht="12" customHeight="1" x14ac:dyDescent="0.35">
      <c r="A3413" s="75">
        <v>3412</v>
      </c>
      <c r="B3413" s="64">
        <v>2020</v>
      </c>
      <c r="C3413" s="64">
        <v>9</v>
      </c>
      <c r="D3413" s="80">
        <f t="shared" si="109"/>
        <v>2020</v>
      </c>
      <c r="E3413" t="s">
        <v>38</v>
      </c>
      <c r="F3413" t="s">
        <v>143</v>
      </c>
      <c r="G3413" t="s">
        <v>10</v>
      </c>
      <c r="H3413" s="72">
        <v>804</v>
      </c>
      <c r="I3413" s="72" t="s">
        <v>54</v>
      </c>
      <c r="J3413" t="str">
        <f t="shared" si="110"/>
        <v>Puyallup River</v>
      </c>
      <c r="K3413" t="str">
        <f>IFERROR(VLOOKUP(J3413,LUTs!$A$1:$C$73,2,FALSE),"NA")</f>
        <v>Pierce</v>
      </c>
      <c r="L3413" t="str">
        <f>IFERROR(VLOOKUP(J3413,LUTs!$A$1:$C$73,3,FALSE),"NA")</f>
        <v>3South Puget Sound</v>
      </c>
      <c r="M3413" s="72" t="s">
        <v>16</v>
      </c>
      <c r="N3413" t="str">
        <f>VLOOKUP(M3413,LUTs!E$2:H$14,3,)</f>
        <v>03Snohomish</v>
      </c>
      <c r="O3413" t="str">
        <f>VLOOKUP(M3413,LUTs!E$2:H$14,4,)</f>
        <v>01North Puget Sound</v>
      </c>
      <c r="P3413" s="73">
        <v>99.011070110701098</v>
      </c>
      <c r="Q3413" s="74">
        <f>VLOOKUP(B3413,Readme!A$40:C$51,2,)*P3413</f>
        <v>856.44575645756458</v>
      </c>
    </row>
    <row r="3414" spans="1:17" ht="12" customHeight="1" x14ac:dyDescent="0.35">
      <c r="A3414" s="75">
        <v>3413</v>
      </c>
      <c r="B3414" s="64">
        <v>2020</v>
      </c>
      <c r="C3414" s="64">
        <v>9</v>
      </c>
      <c r="D3414" s="80">
        <f t="shared" si="109"/>
        <v>2020</v>
      </c>
      <c r="E3414" t="s">
        <v>38</v>
      </c>
      <c r="F3414" t="s">
        <v>143</v>
      </c>
      <c r="G3414" t="s">
        <v>10</v>
      </c>
      <c r="H3414" s="72">
        <v>804</v>
      </c>
      <c r="I3414" s="72" t="s">
        <v>54</v>
      </c>
      <c r="J3414" t="str">
        <f t="shared" si="110"/>
        <v>Puyallup River</v>
      </c>
      <c r="K3414" t="str">
        <f>IFERROR(VLOOKUP(J3414,LUTs!$A$1:$C$73,2,FALSE),"NA")</f>
        <v>Pierce</v>
      </c>
      <c r="L3414" t="str">
        <f>IFERROR(VLOOKUP(J3414,LUTs!$A$1:$C$73,3,FALSE),"NA")</f>
        <v>3South Puget Sound</v>
      </c>
      <c r="M3414" s="72" t="s">
        <v>21</v>
      </c>
      <c r="N3414" t="str">
        <f>VLOOKUP(M3414,LUTs!E$2:H$14,3,)</f>
        <v>08Thurston</v>
      </c>
      <c r="O3414" t="str">
        <f>VLOOKUP(M3414,LUTs!E$2:H$14,4,)</f>
        <v>02South Puget Sound</v>
      </c>
      <c r="P3414" s="73">
        <v>49.505535055350599</v>
      </c>
      <c r="Q3414" s="74">
        <f>VLOOKUP(B3414,Readme!A$40:C$51,2,)*P3414</f>
        <v>428.22287822878269</v>
      </c>
    </row>
    <row r="3415" spans="1:17" ht="12" customHeight="1" x14ac:dyDescent="0.35">
      <c r="A3415" s="75">
        <v>3414</v>
      </c>
      <c r="B3415" s="64">
        <v>2020</v>
      </c>
      <c r="C3415" s="64">
        <v>10</v>
      </c>
      <c r="D3415" s="80">
        <f t="shared" si="109"/>
        <v>2020</v>
      </c>
      <c r="E3415" t="s">
        <v>38</v>
      </c>
      <c r="F3415" t="s">
        <v>143</v>
      </c>
      <c r="G3415" t="s">
        <v>10</v>
      </c>
      <c r="H3415" s="72">
        <v>804</v>
      </c>
      <c r="I3415" s="72" t="s">
        <v>54</v>
      </c>
      <c r="J3415" t="str">
        <f t="shared" si="110"/>
        <v>Puyallup River</v>
      </c>
      <c r="K3415" t="str">
        <f>IFERROR(VLOOKUP(J3415,LUTs!$A$1:$C$73,2,FALSE),"NA")</f>
        <v>Pierce</v>
      </c>
      <c r="L3415" t="str">
        <f>IFERROR(VLOOKUP(J3415,LUTs!$A$1:$C$73,3,FALSE),"NA")</f>
        <v>3South Puget Sound</v>
      </c>
      <c r="M3415" s="72" t="s">
        <v>26</v>
      </c>
      <c r="N3415" t="str">
        <f>VLOOKUP(M3415,LUTs!E$2:H$14,3,)</f>
        <v>20Other</v>
      </c>
      <c r="O3415" t="str">
        <f>VLOOKUP(M3415,LUTs!E$2:H$14,4,)</f>
        <v>07Non Puget Sound</v>
      </c>
      <c r="P3415" s="73">
        <v>12.2</v>
      </c>
      <c r="Q3415" s="74">
        <f>VLOOKUP(B3415,Readme!A$40:C$51,2,)*P3415</f>
        <v>105.53</v>
      </c>
    </row>
    <row r="3416" spans="1:17" ht="12" customHeight="1" x14ac:dyDescent="0.35">
      <c r="A3416" s="75">
        <v>3415</v>
      </c>
      <c r="B3416" s="64">
        <v>2020</v>
      </c>
      <c r="C3416" s="64">
        <v>10</v>
      </c>
      <c r="D3416" s="80">
        <f t="shared" si="109"/>
        <v>2020</v>
      </c>
      <c r="E3416" t="s">
        <v>38</v>
      </c>
      <c r="F3416" t="s">
        <v>143</v>
      </c>
      <c r="G3416" t="s">
        <v>10</v>
      </c>
      <c r="H3416" s="72">
        <v>804</v>
      </c>
      <c r="I3416" s="72" t="s">
        <v>54</v>
      </c>
      <c r="J3416" t="str">
        <f t="shared" si="110"/>
        <v>Puyallup River</v>
      </c>
      <c r="K3416" t="str">
        <f>IFERROR(VLOOKUP(J3416,LUTs!$A$1:$C$73,2,FALSE),"NA")</f>
        <v>Pierce</v>
      </c>
      <c r="L3416" t="str">
        <f>IFERROR(VLOOKUP(J3416,LUTs!$A$1:$C$73,3,FALSE),"NA")</f>
        <v>3South Puget Sound</v>
      </c>
      <c r="M3416" s="72" t="s">
        <v>20</v>
      </c>
      <c r="N3416" t="str">
        <f>VLOOKUP(M3416,LUTs!E$2:H$14,3,)</f>
        <v>07Pierce</v>
      </c>
      <c r="O3416" t="str">
        <f>VLOOKUP(M3416,LUTs!E$2:H$14,4,)</f>
        <v>02South Puget Sound</v>
      </c>
      <c r="P3416" s="73">
        <v>48.8</v>
      </c>
      <c r="Q3416" s="74">
        <f>VLOOKUP(B3416,Readme!A$40:C$51,2,)*P3416</f>
        <v>422.12</v>
      </c>
    </row>
    <row r="3417" spans="1:17" ht="12" customHeight="1" x14ac:dyDescent="0.35">
      <c r="A3417" s="75">
        <v>3416</v>
      </c>
      <c r="B3417" s="64">
        <v>2020</v>
      </c>
      <c r="C3417" s="64">
        <v>8</v>
      </c>
      <c r="D3417" s="80">
        <f t="shared" si="109"/>
        <v>2020</v>
      </c>
      <c r="E3417" t="s">
        <v>38</v>
      </c>
      <c r="F3417" t="s">
        <v>143</v>
      </c>
      <c r="G3417" t="s">
        <v>10</v>
      </c>
      <c r="H3417" s="72">
        <v>812</v>
      </c>
      <c r="I3417" s="72" t="s">
        <v>55</v>
      </c>
      <c r="J3417" t="str">
        <f t="shared" si="110"/>
        <v>Quilcene River</v>
      </c>
      <c r="K3417" t="str">
        <f>IFERROR(VLOOKUP(J3417,LUTs!$A$1:$C$73,2,FALSE),"NA")</f>
        <v>Jefferson</v>
      </c>
      <c r="L3417" t="str">
        <f>IFERROR(VLOOKUP(J3417,LUTs!$A$1:$C$73,3,FALSE),"NA")</f>
        <v>4 Hood Canal</v>
      </c>
      <c r="M3417" s="72" t="s">
        <v>24</v>
      </c>
      <c r="N3417" t="str">
        <f>VLOOKUP(M3417,LUTs!E$2:H$14,3,)</f>
        <v>11Clallam</v>
      </c>
      <c r="O3417" t="str">
        <f>VLOOKUP(M3417,LUTs!E$2:H$14,4,)</f>
        <v>03Strait of Juan de Fuca</v>
      </c>
      <c r="P3417" s="73">
        <v>518.48571428571404</v>
      </c>
      <c r="Q3417" s="74">
        <f>VLOOKUP(B3417,Readme!A$40:C$51,2,)*P3417</f>
        <v>4484.9014285714265</v>
      </c>
    </row>
    <row r="3418" spans="1:17" ht="12" customHeight="1" x14ac:dyDescent="0.35">
      <c r="A3418" s="75">
        <v>3417</v>
      </c>
      <c r="B3418" s="64">
        <v>2020</v>
      </c>
      <c r="C3418" s="64">
        <v>8</v>
      </c>
      <c r="D3418" s="80">
        <f t="shared" si="109"/>
        <v>2020</v>
      </c>
      <c r="E3418" t="s">
        <v>38</v>
      </c>
      <c r="F3418" t="s">
        <v>143</v>
      </c>
      <c r="G3418" t="s">
        <v>10</v>
      </c>
      <c r="H3418" s="72">
        <v>812</v>
      </c>
      <c r="I3418" s="72" t="s">
        <v>55</v>
      </c>
      <c r="J3418" t="str">
        <f t="shared" si="110"/>
        <v>Quilcene River</v>
      </c>
      <c r="K3418" t="str">
        <f>IFERROR(VLOOKUP(J3418,LUTs!$A$1:$C$73,2,FALSE),"NA")</f>
        <v>Jefferson</v>
      </c>
      <c r="L3418" t="str">
        <f>IFERROR(VLOOKUP(J3418,LUTs!$A$1:$C$73,3,FALSE),"NA")</f>
        <v>4 Hood Canal</v>
      </c>
      <c r="M3418" s="72" t="s">
        <v>25</v>
      </c>
      <c r="N3418" t="str">
        <f>VLOOKUP(M3418,LUTs!E$2:H$14,3,)</f>
        <v>12Jefferson</v>
      </c>
      <c r="O3418" t="str">
        <f>VLOOKUP(M3418,LUTs!E$2:H$14,4,)</f>
        <v>03Strait of Juan de Fuca</v>
      </c>
      <c r="P3418" s="73">
        <v>101.44285714285699</v>
      </c>
      <c r="Q3418" s="74">
        <f>VLOOKUP(B3418,Readme!A$40:C$51,2,)*P3418</f>
        <v>877.48071428571302</v>
      </c>
    </row>
    <row r="3419" spans="1:17" ht="12" customHeight="1" x14ac:dyDescent="0.35">
      <c r="A3419" s="75">
        <v>3418</v>
      </c>
      <c r="B3419" s="64">
        <v>2020</v>
      </c>
      <c r="C3419" s="64">
        <v>8</v>
      </c>
      <c r="D3419" s="80">
        <f t="shared" si="109"/>
        <v>2020</v>
      </c>
      <c r="E3419" t="s">
        <v>38</v>
      </c>
      <c r="F3419" t="s">
        <v>143</v>
      </c>
      <c r="G3419" t="s">
        <v>10</v>
      </c>
      <c r="H3419" s="72">
        <v>812</v>
      </c>
      <c r="I3419" s="72" t="s">
        <v>55</v>
      </c>
      <c r="J3419" t="str">
        <f t="shared" si="110"/>
        <v>Quilcene River</v>
      </c>
      <c r="K3419" t="str">
        <f>IFERROR(VLOOKUP(J3419,LUTs!$A$1:$C$73,2,FALSE),"NA")</f>
        <v>Jefferson</v>
      </c>
      <c r="L3419" t="str">
        <f>IFERROR(VLOOKUP(J3419,LUTs!$A$1:$C$73,3,FALSE),"NA")</f>
        <v>4 Hood Canal</v>
      </c>
      <c r="M3419" s="72" t="s">
        <v>18</v>
      </c>
      <c r="N3419" t="str">
        <f>VLOOKUP(M3419,LUTs!E$2:H$14,3,)</f>
        <v>06King</v>
      </c>
      <c r="O3419" t="str">
        <f>VLOOKUP(M3419,LUTs!E$2:H$14,4,)</f>
        <v>02South Puget Sound</v>
      </c>
      <c r="P3419" s="73">
        <v>56.357142857142897</v>
      </c>
      <c r="Q3419" s="74">
        <f>VLOOKUP(B3419,Readme!A$40:C$51,2,)*P3419</f>
        <v>487.4892857142861</v>
      </c>
    </row>
    <row r="3420" spans="1:17" ht="12" customHeight="1" x14ac:dyDescent="0.35">
      <c r="A3420" s="75">
        <v>3419</v>
      </c>
      <c r="B3420" s="64">
        <v>2020</v>
      </c>
      <c r="C3420" s="64">
        <v>8</v>
      </c>
      <c r="D3420" s="80">
        <f t="shared" si="109"/>
        <v>2020</v>
      </c>
      <c r="E3420" t="s">
        <v>38</v>
      </c>
      <c r="F3420" t="s">
        <v>143</v>
      </c>
      <c r="G3420" t="s">
        <v>10</v>
      </c>
      <c r="H3420" s="72">
        <v>812</v>
      </c>
      <c r="I3420" s="72" t="s">
        <v>55</v>
      </c>
      <c r="J3420" t="str">
        <f t="shared" si="110"/>
        <v>Quilcene River</v>
      </c>
      <c r="K3420" t="str">
        <f>IFERROR(VLOOKUP(J3420,LUTs!$A$1:$C$73,2,FALSE),"NA")</f>
        <v>Jefferson</v>
      </c>
      <c r="L3420" t="str">
        <f>IFERROR(VLOOKUP(J3420,LUTs!$A$1:$C$73,3,FALSE),"NA")</f>
        <v>4 Hood Canal</v>
      </c>
      <c r="M3420" s="72" t="s">
        <v>23</v>
      </c>
      <c r="N3420" t="str">
        <f>VLOOKUP(M3420,LUTs!E$2:H$14,3,)</f>
        <v>10Kitsap</v>
      </c>
      <c r="O3420" t="str">
        <f>VLOOKUP(M3420,LUTs!E$2:H$14,4,)</f>
        <v>02South Puget Sound</v>
      </c>
      <c r="P3420" s="73">
        <v>608.65714285714296</v>
      </c>
      <c r="Q3420" s="74">
        <f>VLOOKUP(B3420,Readme!A$40:C$51,2,)*P3420</f>
        <v>5264.8842857142872</v>
      </c>
    </row>
    <row r="3421" spans="1:17" ht="12" customHeight="1" x14ac:dyDescent="0.35">
      <c r="A3421" s="75">
        <v>3420</v>
      </c>
      <c r="B3421" s="64">
        <v>2020</v>
      </c>
      <c r="C3421" s="64">
        <v>8</v>
      </c>
      <c r="D3421" s="80">
        <f t="shared" si="109"/>
        <v>2020</v>
      </c>
      <c r="E3421" t="s">
        <v>38</v>
      </c>
      <c r="F3421" t="s">
        <v>143</v>
      </c>
      <c r="G3421" t="s">
        <v>10</v>
      </c>
      <c r="H3421" s="72">
        <v>812</v>
      </c>
      <c r="I3421" s="72" t="s">
        <v>55</v>
      </c>
      <c r="J3421" t="str">
        <f t="shared" si="110"/>
        <v>Quilcene River</v>
      </c>
      <c r="K3421" t="str">
        <f>IFERROR(VLOOKUP(J3421,LUTs!$A$1:$C$73,2,FALSE),"NA")</f>
        <v>Jefferson</v>
      </c>
      <c r="L3421" t="str">
        <f>IFERROR(VLOOKUP(J3421,LUTs!$A$1:$C$73,3,FALSE),"NA")</f>
        <v>4 Hood Canal</v>
      </c>
      <c r="M3421" s="72" t="s">
        <v>22</v>
      </c>
      <c r="N3421" t="str">
        <f>VLOOKUP(M3421,LUTs!E$2:H$14,3,)</f>
        <v>09Mason</v>
      </c>
      <c r="O3421" t="str">
        <f>VLOOKUP(M3421,LUTs!E$2:H$14,4,)</f>
        <v>02South Puget Sound</v>
      </c>
      <c r="P3421" s="73">
        <v>191.61428571428601</v>
      </c>
      <c r="Q3421" s="74">
        <f>VLOOKUP(B3421,Readme!A$40:C$51,2,)*P3421</f>
        <v>1657.4635714285741</v>
      </c>
    </row>
    <row r="3422" spans="1:17" ht="12" customHeight="1" x14ac:dyDescent="0.35">
      <c r="A3422" s="75">
        <v>3421</v>
      </c>
      <c r="B3422" s="64">
        <v>2020</v>
      </c>
      <c r="C3422" s="64">
        <v>8</v>
      </c>
      <c r="D3422" s="80">
        <f t="shared" si="109"/>
        <v>2020</v>
      </c>
      <c r="E3422" t="s">
        <v>38</v>
      </c>
      <c r="F3422" t="s">
        <v>143</v>
      </c>
      <c r="G3422" t="s">
        <v>10</v>
      </c>
      <c r="H3422" s="72">
        <v>812</v>
      </c>
      <c r="I3422" s="72" t="s">
        <v>55</v>
      </c>
      <c r="J3422" t="str">
        <f t="shared" si="110"/>
        <v>Quilcene River</v>
      </c>
      <c r="K3422" t="str">
        <f>IFERROR(VLOOKUP(J3422,LUTs!$A$1:$C$73,2,FALSE),"NA")</f>
        <v>Jefferson</v>
      </c>
      <c r="L3422" t="str">
        <f>IFERROR(VLOOKUP(J3422,LUTs!$A$1:$C$73,3,FALSE),"NA")</f>
        <v>4 Hood Canal</v>
      </c>
      <c r="M3422" s="72" t="s">
        <v>20</v>
      </c>
      <c r="N3422" t="str">
        <f>VLOOKUP(M3422,LUTs!E$2:H$14,3,)</f>
        <v>07Pierce</v>
      </c>
      <c r="O3422" t="str">
        <f>VLOOKUP(M3422,LUTs!E$2:H$14,4,)</f>
        <v>02South Puget Sound</v>
      </c>
      <c r="P3422" s="73">
        <v>56.357142857142897</v>
      </c>
      <c r="Q3422" s="74">
        <f>VLOOKUP(B3422,Readme!A$40:C$51,2,)*P3422</f>
        <v>487.4892857142861</v>
      </c>
    </row>
    <row r="3423" spans="1:17" ht="12" customHeight="1" x14ac:dyDescent="0.35">
      <c r="A3423" s="75">
        <v>3422</v>
      </c>
      <c r="B3423" s="64">
        <v>2020</v>
      </c>
      <c r="C3423" s="64">
        <v>8</v>
      </c>
      <c r="D3423" s="80">
        <f t="shared" si="109"/>
        <v>2020</v>
      </c>
      <c r="E3423" t="s">
        <v>38</v>
      </c>
      <c r="F3423" t="s">
        <v>143</v>
      </c>
      <c r="G3423" t="s">
        <v>10</v>
      </c>
      <c r="H3423" s="72">
        <v>812</v>
      </c>
      <c r="I3423" s="72" t="s">
        <v>55</v>
      </c>
      <c r="J3423" t="str">
        <f t="shared" si="110"/>
        <v>Quilcene River</v>
      </c>
      <c r="K3423" t="str">
        <f>IFERROR(VLOOKUP(J3423,LUTs!$A$1:$C$73,2,FALSE),"NA")</f>
        <v>Jefferson</v>
      </c>
      <c r="L3423" t="str">
        <f>IFERROR(VLOOKUP(J3423,LUTs!$A$1:$C$73,3,FALSE),"NA")</f>
        <v>4 Hood Canal</v>
      </c>
      <c r="M3423" s="72" t="s">
        <v>16</v>
      </c>
      <c r="N3423" t="str">
        <f>VLOOKUP(M3423,LUTs!E$2:H$14,3,)</f>
        <v>03Snohomish</v>
      </c>
      <c r="O3423" t="str">
        <f>VLOOKUP(M3423,LUTs!E$2:H$14,4,)</f>
        <v>01North Puget Sound</v>
      </c>
      <c r="P3423" s="73">
        <v>45.085714285714303</v>
      </c>
      <c r="Q3423" s="74">
        <f>VLOOKUP(B3423,Readme!A$40:C$51,2,)*P3423</f>
        <v>389.99142857142874</v>
      </c>
    </row>
    <row r="3424" spans="1:17" ht="12" customHeight="1" x14ac:dyDescent="0.35">
      <c r="A3424" s="75">
        <v>3423</v>
      </c>
      <c r="B3424" s="64">
        <v>2020</v>
      </c>
      <c r="C3424" s="64">
        <v>9</v>
      </c>
      <c r="D3424" s="80">
        <f t="shared" si="109"/>
        <v>2020</v>
      </c>
      <c r="E3424" t="s">
        <v>38</v>
      </c>
      <c r="F3424" t="s">
        <v>143</v>
      </c>
      <c r="G3424" t="s">
        <v>10</v>
      </c>
      <c r="H3424" s="72">
        <v>812</v>
      </c>
      <c r="I3424" s="72" t="s">
        <v>55</v>
      </c>
      <c r="J3424" t="str">
        <f t="shared" si="110"/>
        <v>Quilcene River</v>
      </c>
      <c r="K3424" t="str">
        <f>IFERROR(VLOOKUP(J3424,LUTs!$A$1:$C$73,2,FALSE),"NA")</f>
        <v>Jefferson</v>
      </c>
      <c r="L3424" t="str">
        <f>IFERROR(VLOOKUP(J3424,LUTs!$A$1:$C$73,3,FALSE),"NA")</f>
        <v>4 Hood Canal</v>
      </c>
      <c r="M3424" s="72" t="s">
        <v>24</v>
      </c>
      <c r="N3424" t="str">
        <f>VLOOKUP(M3424,LUTs!E$2:H$14,3,)</f>
        <v>11Clallam</v>
      </c>
      <c r="O3424" t="str">
        <f>VLOOKUP(M3424,LUTs!E$2:H$14,4,)</f>
        <v>03Strait of Juan de Fuca</v>
      </c>
      <c r="P3424" s="73">
        <v>214.11538461538501</v>
      </c>
      <c r="Q3424" s="74">
        <f>VLOOKUP(B3424,Readme!A$40:C$51,2,)*P3424</f>
        <v>1852.0980769230805</v>
      </c>
    </row>
    <row r="3425" spans="1:17" ht="12" customHeight="1" x14ac:dyDescent="0.35">
      <c r="A3425" s="75">
        <v>3424</v>
      </c>
      <c r="B3425" s="64">
        <v>2020</v>
      </c>
      <c r="C3425" s="64">
        <v>9</v>
      </c>
      <c r="D3425" s="80">
        <f t="shared" si="109"/>
        <v>2020</v>
      </c>
      <c r="E3425" t="s">
        <v>38</v>
      </c>
      <c r="F3425" t="s">
        <v>143</v>
      </c>
      <c r="G3425" t="s">
        <v>10</v>
      </c>
      <c r="H3425" s="72">
        <v>812</v>
      </c>
      <c r="I3425" s="72" t="s">
        <v>55</v>
      </c>
      <c r="J3425" t="str">
        <f t="shared" si="110"/>
        <v>Quilcene River</v>
      </c>
      <c r="K3425" t="str">
        <f>IFERROR(VLOOKUP(J3425,LUTs!$A$1:$C$73,2,FALSE),"NA")</f>
        <v>Jefferson</v>
      </c>
      <c r="L3425" t="str">
        <f>IFERROR(VLOOKUP(J3425,LUTs!$A$1:$C$73,3,FALSE),"NA")</f>
        <v>4 Hood Canal</v>
      </c>
      <c r="M3425" s="72" t="s">
        <v>25</v>
      </c>
      <c r="N3425" t="str">
        <f>VLOOKUP(M3425,LUTs!E$2:H$14,3,)</f>
        <v>12Jefferson</v>
      </c>
      <c r="O3425" t="str">
        <f>VLOOKUP(M3425,LUTs!E$2:H$14,4,)</f>
        <v>03Strait of Juan de Fuca</v>
      </c>
      <c r="P3425" s="73">
        <v>281.730769230769</v>
      </c>
      <c r="Q3425" s="74">
        <f>VLOOKUP(B3425,Readme!A$40:C$51,2,)*P3425</f>
        <v>2436.971153846152</v>
      </c>
    </row>
    <row r="3426" spans="1:17" ht="12" customHeight="1" x14ac:dyDescent="0.35">
      <c r="A3426" s="75">
        <v>3425</v>
      </c>
      <c r="B3426" s="64">
        <v>2020</v>
      </c>
      <c r="C3426" s="64">
        <v>9</v>
      </c>
      <c r="D3426" s="80">
        <f t="shared" si="109"/>
        <v>2020</v>
      </c>
      <c r="E3426" t="s">
        <v>38</v>
      </c>
      <c r="F3426" t="s">
        <v>143</v>
      </c>
      <c r="G3426" t="s">
        <v>10</v>
      </c>
      <c r="H3426" s="72">
        <v>812</v>
      </c>
      <c r="I3426" s="72" t="s">
        <v>55</v>
      </c>
      <c r="J3426" t="str">
        <f t="shared" si="110"/>
        <v>Quilcene River</v>
      </c>
      <c r="K3426" t="str">
        <f>IFERROR(VLOOKUP(J3426,LUTs!$A$1:$C$73,2,FALSE),"NA")</f>
        <v>Jefferson</v>
      </c>
      <c r="L3426" t="str">
        <f>IFERROR(VLOOKUP(J3426,LUTs!$A$1:$C$73,3,FALSE),"NA")</f>
        <v>4 Hood Canal</v>
      </c>
      <c r="M3426" s="72" t="s">
        <v>18</v>
      </c>
      <c r="N3426" t="str">
        <f>VLOOKUP(M3426,LUTs!E$2:H$14,3,)</f>
        <v>06King</v>
      </c>
      <c r="O3426" t="str">
        <f>VLOOKUP(M3426,LUTs!E$2:H$14,4,)</f>
        <v>02South Puget Sound</v>
      </c>
      <c r="P3426" s="73">
        <v>90.153846153846203</v>
      </c>
      <c r="Q3426" s="74">
        <f>VLOOKUP(B3426,Readme!A$40:C$51,2,)*P3426</f>
        <v>779.83076923076965</v>
      </c>
    </row>
    <row r="3427" spans="1:17" ht="12" customHeight="1" x14ac:dyDescent="0.35">
      <c r="A3427" s="75">
        <v>3426</v>
      </c>
      <c r="B3427" s="64">
        <v>2020</v>
      </c>
      <c r="C3427" s="64">
        <v>9</v>
      </c>
      <c r="D3427" s="80">
        <f t="shared" si="109"/>
        <v>2020</v>
      </c>
      <c r="E3427" t="s">
        <v>38</v>
      </c>
      <c r="F3427" t="s">
        <v>143</v>
      </c>
      <c r="G3427" t="s">
        <v>10</v>
      </c>
      <c r="H3427" s="72">
        <v>812</v>
      </c>
      <c r="I3427" s="72" t="s">
        <v>55</v>
      </c>
      <c r="J3427" t="str">
        <f t="shared" si="110"/>
        <v>Quilcene River</v>
      </c>
      <c r="K3427" t="str">
        <f>IFERROR(VLOOKUP(J3427,LUTs!$A$1:$C$73,2,FALSE),"NA")</f>
        <v>Jefferson</v>
      </c>
      <c r="L3427" t="str">
        <f>IFERROR(VLOOKUP(J3427,LUTs!$A$1:$C$73,3,FALSE),"NA")</f>
        <v>4 Hood Canal</v>
      </c>
      <c r="M3427" s="72" t="s">
        <v>23</v>
      </c>
      <c r="N3427" t="str">
        <f>VLOOKUP(M3427,LUTs!E$2:H$14,3,)</f>
        <v>10Kitsap</v>
      </c>
      <c r="O3427" t="str">
        <f>VLOOKUP(M3427,LUTs!E$2:H$14,4,)</f>
        <v>02South Puget Sound</v>
      </c>
      <c r="P3427" s="73">
        <v>146.5</v>
      </c>
      <c r="Q3427" s="74">
        <f>VLOOKUP(B3427,Readme!A$40:C$51,2,)*P3427</f>
        <v>1267.2250000000001</v>
      </c>
    </row>
    <row r="3428" spans="1:17" ht="12" customHeight="1" x14ac:dyDescent="0.35">
      <c r="A3428" s="75">
        <v>3427</v>
      </c>
      <c r="B3428" s="64">
        <v>2020</v>
      </c>
      <c r="C3428" s="64">
        <v>9</v>
      </c>
      <c r="D3428" s="80">
        <f t="shared" si="109"/>
        <v>2020</v>
      </c>
      <c r="E3428" t="s">
        <v>38</v>
      </c>
      <c r="F3428" t="s">
        <v>143</v>
      </c>
      <c r="G3428" t="s">
        <v>10</v>
      </c>
      <c r="H3428" s="72">
        <v>812</v>
      </c>
      <c r="I3428" s="72" t="s">
        <v>55</v>
      </c>
      <c r="J3428" t="str">
        <f t="shared" si="110"/>
        <v>Quilcene River</v>
      </c>
      <c r="K3428" t="str">
        <f>IFERROR(VLOOKUP(J3428,LUTs!$A$1:$C$73,2,FALSE),"NA")</f>
        <v>Jefferson</v>
      </c>
      <c r="L3428" t="str">
        <f>IFERROR(VLOOKUP(J3428,LUTs!$A$1:$C$73,3,FALSE),"NA")</f>
        <v>4 Hood Canal</v>
      </c>
      <c r="M3428" s="72" t="s">
        <v>22</v>
      </c>
      <c r="N3428" t="str">
        <f>VLOOKUP(M3428,LUTs!E$2:H$14,3,)</f>
        <v>09Mason</v>
      </c>
      <c r="O3428" t="str">
        <f>VLOOKUP(M3428,LUTs!E$2:H$14,4,)</f>
        <v>02South Puget Sound</v>
      </c>
      <c r="P3428" s="73">
        <v>360.61538461538498</v>
      </c>
      <c r="Q3428" s="74">
        <f>VLOOKUP(B3428,Readme!A$40:C$51,2,)*P3428</f>
        <v>3119.3230769230804</v>
      </c>
    </row>
    <row r="3429" spans="1:17" ht="12" customHeight="1" x14ac:dyDescent="0.35">
      <c r="A3429" s="75">
        <v>3428</v>
      </c>
      <c r="B3429" s="64">
        <v>2020</v>
      </c>
      <c r="C3429" s="64">
        <v>9</v>
      </c>
      <c r="D3429" s="80">
        <f t="shared" si="109"/>
        <v>2020</v>
      </c>
      <c r="E3429" t="s">
        <v>38</v>
      </c>
      <c r="F3429" t="s">
        <v>143</v>
      </c>
      <c r="G3429" t="s">
        <v>10</v>
      </c>
      <c r="H3429" s="72">
        <v>812</v>
      </c>
      <c r="I3429" s="72" t="s">
        <v>55</v>
      </c>
      <c r="J3429" t="str">
        <f t="shared" si="110"/>
        <v>Quilcene River</v>
      </c>
      <c r="K3429" t="str">
        <f>IFERROR(VLOOKUP(J3429,LUTs!$A$1:$C$73,2,FALSE),"NA")</f>
        <v>Jefferson</v>
      </c>
      <c r="L3429" t="str">
        <f>IFERROR(VLOOKUP(J3429,LUTs!$A$1:$C$73,3,FALSE),"NA")</f>
        <v>4 Hood Canal</v>
      </c>
      <c r="M3429" s="72" t="s">
        <v>26</v>
      </c>
      <c r="N3429" t="str">
        <f>VLOOKUP(M3429,LUTs!E$2:H$14,3,)</f>
        <v>20Other</v>
      </c>
      <c r="O3429" t="str">
        <f>VLOOKUP(M3429,LUTs!E$2:H$14,4,)</f>
        <v>07Non Puget Sound</v>
      </c>
      <c r="P3429" s="73">
        <v>22.538461538461501</v>
      </c>
      <c r="Q3429" s="74">
        <f>VLOOKUP(B3429,Readme!A$40:C$51,2,)*P3429</f>
        <v>194.95769230769199</v>
      </c>
    </row>
    <row r="3430" spans="1:17" ht="12" customHeight="1" x14ac:dyDescent="0.35">
      <c r="A3430" s="75">
        <v>3429</v>
      </c>
      <c r="B3430" s="64">
        <v>2020</v>
      </c>
      <c r="C3430" s="64">
        <v>9</v>
      </c>
      <c r="D3430" s="80">
        <f t="shared" si="109"/>
        <v>2020</v>
      </c>
      <c r="E3430" t="s">
        <v>38</v>
      </c>
      <c r="F3430" t="s">
        <v>143</v>
      </c>
      <c r="G3430" t="s">
        <v>10</v>
      </c>
      <c r="H3430" s="72">
        <v>812</v>
      </c>
      <c r="I3430" s="72" t="s">
        <v>55</v>
      </c>
      <c r="J3430" t="str">
        <f t="shared" si="110"/>
        <v>Quilcene River</v>
      </c>
      <c r="K3430" t="str">
        <f>IFERROR(VLOOKUP(J3430,LUTs!$A$1:$C$73,2,FALSE),"NA")</f>
        <v>Jefferson</v>
      </c>
      <c r="L3430" t="str">
        <f>IFERROR(VLOOKUP(J3430,LUTs!$A$1:$C$73,3,FALSE),"NA")</f>
        <v>4 Hood Canal</v>
      </c>
      <c r="M3430" s="72" t="s">
        <v>20</v>
      </c>
      <c r="N3430" t="str">
        <f>VLOOKUP(M3430,LUTs!E$2:H$14,3,)</f>
        <v>07Pierce</v>
      </c>
      <c r="O3430" t="str">
        <f>VLOOKUP(M3430,LUTs!E$2:H$14,4,)</f>
        <v>02South Puget Sound</v>
      </c>
      <c r="P3430" s="73">
        <v>45.076923076923102</v>
      </c>
      <c r="Q3430" s="74">
        <f>VLOOKUP(B3430,Readme!A$40:C$51,2,)*P3430</f>
        <v>389.91538461538482</v>
      </c>
    </row>
    <row r="3431" spans="1:17" ht="12" customHeight="1" x14ac:dyDescent="0.35">
      <c r="A3431" s="75">
        <v>3430</v>
      </c>
      <c r="B3431" s="64">
        <v>2020</v>
      </c>
      <c r="C3431" s="64">
        <v>9</v>
      </c>
      <c r="D3431" s="80">
        <f t="shared" si="109"/>
        <v>2020</v>
      </c>
      <c r="E3431" t="s">
        <v>38</v>
      </c>
      <c r="F3431" t="s">
        <v>143</v>
      </c>
      <c r="G3431" t="s">
        <v>10</v>
      </c>
      <c r="H3431" s="72">
        <v>812</v>
      </c>
      <c r="I3431" s="72" t="s">
        <v>55</v>
      </c>
      <c r="J3431" t="str">
        <f t="shared" si="110"/>
        <v>Quilcene River</v>
      </c>
      <c r="K3431" t="str">
        <f>IFERROR(VLOOKUP(J3431,LUTs!$A$1:$C$73,2,FALSE),"NA")</f>
        <v>Jefferson</v>
      </c>
      <c r="L3431" t="str">
        <f>IFERROR(VLOOKUP(J3431,LUTs!$A$1:$C$73,3,FALSE),"NA")</f>
        <v>4 Hood Canal</v>
      </c>
      <c r="M3431" s="72" t="s">
        <v>21</v>
      </c>
      <c r="N3431" t="str">
        <f>VLOOKUP(M3431,LUTs!E$2:H$14,3,)</f>
        <v>08Thurston</v>
      </c>
      <c r="O3431" t="str">
        <f>VLOOKUP(M3431,LUTs!E$2:H$14,4,)</f>
        <v>02South Puget Sound</v>
      </c>
      <c r="P3431" s="73">
        <v>11.2692307692308</v>
      </c>
      <c r="Q3431" s="74">
        <f>VLOOKUP(B3431,Readme!A$40:C$51,2,)*P3431</f>
        <v>97.478846153846433</v>
      </c>
    </row>
    <row r="3432" spans="1:17" ht="12" customHeight="1" x14ac:dyDescent="0.35">
      <c r="A3432" s="75">
        <v>3431</v>
      </c>
      <c r="B3432" s="64">
        <v>2020</v>
      </c>
      <c r="C3432" s="64">
        <v>10</v>
      </c>
      <c r="D3432" s="80">
        <f t="shared" si="109"/>
        <v>2020</v>
      </c>
      <c r="E3432" t="s">
        <v>38</v>
      </c>
      <c r="F3432" t="s">
        <v>143</v>
      </c>
      <c r="G3432" t="s">
        <v>10</v>
      </c>
      <c r="H3432" s="72">
        <v>812</v>
      </c>
      <c r="I3432" s="72" t="s">
        <v>55</v>
      </c>
      <c r="J3432" t="str">
        <f t="shared" si="110"/>
        <v>Quilcene River</v>
      </c>
      <c r="K3432" t="str">
        <f>IFERROR(VLOOKUP(J3432,LUTs!$A$1:$C$73,2,FALSE),"NA")</f>
        <v>Jefferson</v>
      </c>
      <c r="L3432" t="str">
        <f>IFERROR(VLOOKUP(J3432,LUTs!$A$1:$C$73,3,FALSE),"NA")</f>
        <v>4 Hood Canal</v>
      </c>
      <c r="M3432" s="72" t="s">
        <v>25</v>
      </c>
      <c r="N3432" t="str">
        <f>VLOOKUP(M3432,LUTs!E$2:H$14,3,)</f>
        <v>12Jefferson</v>
      </c>
      <c r="O3432" t="str">
        <f>VLOOKUP(M3432,LUTs!E$2:H$14,4,)</f>
        <v>03Strait of Juan de Fuca</v>
      </c>
      <c r="P3432" s="73">
        <v>11.25</v>
      </c>
      <c r="Q3432" s="74">
        <f>VLOOKUP(B3432,Readme!A$40:C$51,2,)*P3432</f>
        <v>97.3125</v>
      </c>
    </row>
    <row r="3433" spans="1:17" ht="12" customHeight="1" x14ac:dyDescent="0.35">
      <c r="A3433" s="75">
        <v>3432</v>
      </c>
      <c r="B3433" s="64">
        <v>2020</v>
      </c>
      <c r="C3433" s="64">
        <v>10</v>
      </c>
      <c r="D3433" s="80">
        <f t="shared" si="109"/>
        <v>2020</v>
      </c>
      <c r="E3433" t="s">
        <v>38</v>
      </c>
      <c r="F3433" t="s">
        <v>143</v>
      </c>
      <c r="G3433" t="s">
        <v>10</v>
      </c>
      <c r="H3433" s="72">
        <v>812</v>
      </c>
      <c r="I3433" s="72" t="s">
        <v>55</v>
      </c>
      <c r="J3433" t="str">
        <f t="shared" si="110"/>
        <v>Quilcene River</v>
      </c>
      <c r="K3433" t="str">
        <f>IFERROR(VLOOKUP(J3433,LUTs!$A$1:$C$73,2,FALSE),"NA")</f>
        <v>Jefferson</v>
      </c>
      <c r="L3433" t="str">
        <f>IFERROR(VLOOKUP(J3433,LUTs!$A$1:$C$73,3,FALSE),"NA")</f>
        <v>4 Hood Canal</v>
      </c>
      <c r="M3433" s="72" t="s">
        <v>23</v>
      </c>
      <c r="N3433" t="str">
        <f>VLOOKUP(M3433,LUTs!E$2:H$14,3,)</f>
        <v>10Kitsap</v>
      </c>
      <c r="O3433" t="str">
        <f>VLOOKUP(M3433,LUTs!E$2:H$14,4,)</f>
        <v>02South Puget Sound</v>
      </c>
      <c r="P3433" s="73">
        <v>78.75</v>
      </c>
      <c r="Q3433" s="74">
        <f>VLOOKUP(B3433,Readme!A$40:C$51,2,)*P3433</f>
        <v>681.1875</v>
      </c>
    </row>
    <row r="3434" spans="1:17" ht="12" customHeight="1" x14ac:dyDescent="0.35">
      <c r="A3434" s="75">
        <v>3433</v>
      </c>
      <c r="B3434" s="64">
        <v>2020</v>
      </c>
      <c r="C3434" s="64">
        <v>8</v>
      </c>
      <c r="D3434" s="80">
        <f t="shared" si="109"/>
        <v>2020</v>
      </c>
      <c r="E3434" t="s">
        <v>38</v>
      </c>
      <c r="F3434" t="s">
        <v>143</v>
      </c>
      <c r="G3434" t="s">
        <v>10</v>
      </c>
      <c r="H3434" s="72">
        <v>816</v>
      </c>
      <c r="I3434" s="72" t="s">
        <v>56</v>
      </c>
      <c r="J3434" t="str">
        <f t="shared" si="110"/>
        <v>Samish River</v>
      </c>
      <c r="K3434" t="str">
        <f>IFERROR(VLOOKUP(J3434,LUTs!$A$1:$C$73,2,FALSE),"NA")</f>
        <v>Skagit</v>
      </c>
      <c r="L3434" t="str">
        <f>IFERROR(VLOOKUP(J3434,LUTs!$A$1:$C$73,3,FALSE),"NA")</f>
        <v>1North Puget Sound</v>
      </c>
      <c r="M3434" s="72" t="s">
        <v>17</v>
      </c>
      <c r="N3434" t="str">
        <f>VLOOKUP(M3434,LUTs!E$2:H$14,3,)</f>
        <v>04Island</v>
      </c>
      <c r="O3434" t="str">
        <f>VLOOKUP(M3434,LUTs!E$2:H$14,4,)</f>
        <v>01North Puget Sound</v>
      </c>
      <c r="P3434" s="73">
        <v>146.355140186916</v>
      </c>
      <c r="Q3434" s="74">
        <f>VLOOKUP(B3434,Readme!A$40:C$51,2,)*P3434</f>
        <v>1265.9719626168235</v>
      </c>
    </row>
    <row r="3435" spans="1:17" ht="12" customHeight="1" x14ac:dyDescent="0.35">
      <c r="A3435" s="75">
        <v>3434</v>
      </c>
      <c r="B3435" s="64">
        <v>2020</v>
      </c>
      <c r="C3435" s="64">
        <v>8</v>
      </c>
      <c r="D3435" s="80">
        <f t="shared" si="109"/>
        <v>2020</v>
      </c>
      <c r="E3435" t="s">
        <v>38</v>
      </c>
      <c r="F3435" t="s">
        <v>143</v>
      </c>
      <c r="G3435" t="s">
        <v>10</v>
      </c>
      <c r="H3435" s="72">
        <v>816</v>
      </c>
      <c r="I3435" s="72" t="s">
        <v>56</v>
      </c>
      <c r="J3435" t="str">
        <f t="shared" si="110"/>
        <v>Samish River</v>
      </c>
      <c r="K3435" t="str">
        <f>IFERROR(VLOOKUP(J3435,LUTs!$A$1:$C$73,2,FALSE),"NA")</f>
        <v>Skagit</v>
      </c>
      <c r="L3435" t="str">
        <f>IFERROR(VLOOKUP(J3435,LUTs!$A$1:$C$73,3,FALSE),"NA")</f>
        <v>1North Puget Sound</v>
      </c>
      <c r="M3435" s="72" t="s">
        <v>18</v>
      </c>
      <c r="N3435" t="str">
        <f>VLOOKUP(M3435,LUTs!E$2:H$14,3,)</f>
        <v>06King</v>
      </c>
      <c r="O3435" t="str">
        <f>VLOOKUP(M3435,LUTs!E$2:H$14,4,)</f>
        <v>02South Puget Sound</v>
      </c>
      <c r="P3435" s="73">
        <v>341.49532710280403</v>
      </c>
      <c r="Q3435" s="74">
        <f>VLOOKUP(B3435,Readme!A$40:C$51,2,)*P3435</f>
        <v>2953.9345794392548</v>
      </c>
    </row>
    <row r="3436" spans="1:17" ht="12" customHeight="1" x14ac:dyDescent="0.35">
      <c r="A3436" s="75">
        <v>3435</v>
      </c>
      <c r="B3436" s="64">
        <v>2020</v>
      </c>
      <c r="C3436" s="64">
        <v>8</v>
      </c>
      <c r="D3436" s="80">
        <f t="shared" si="109"/>
        <v>2020</v>
      </c>
      <c r="E3436" t="s">
        <v>38</v>
      </c>
      <c r="F3436" t="s">
        <v>143</v>
      </c>
      <c r="G3436" t="s">
        <v>10</v>
      </c>
      <c r="H3436" s="72">
        <v>816</v>
      </c>
      <c r="I3436" s="72" t="s">
        <v>56</v>
      </c>
      <c r="J3436" t="str">
        <f t="shared" si="110"/>
        <v>Samish River</v>
      </c>
      <c r="K3436" t="str">
        <f>IFERROR(VLOOKUP(J3436,LUTs!$A$1:$C$73,2,FALSE),"NA")</f>
        <v>Skagit</v>
      </c>
      <c r="L3436" t="str">
        <f>IFERROR(VLOOKUP(J3436,LUTs!$A$1:$C$73,3,FALSE),"NA")</f>
        <v>1North Puget Sound</v>
      </c>
      <c r="M3436" s="72" t="s">
        <v>23</v>
      </c>
      <c r="N3436" t="str">
        <f>VLOOKUP(M3436,LUTs!E$2:H$14,3,)</f>
        <v>10Kitsap</v>
      </c>
      <c r="O3436" t="str">
        <f>VLOOKUP(M3436,LUTs!E$2:H$14,4,)</f>
        <v>02South Puget Sound</v>
      </c>
      <c r="P3436" s="73">
        <v>36.588785046729001</v>
      </c>
      <c r="Q3436" s="74">
        <f>VLOOKUP(B3436,Readme!A$40:C$51,2,)*P3436</f>
        <v>316.49299065420587</v>
      </c>
    </row>
    <row r="3437" spans="1:17" ht="12" customHeight="1" x14ac:dyDescent="0.35">
      <c r="A3437" s="75">
        <v>3436</v>
      </c>
      <c r="B3437" s="64">
        <v>2020</v>
      </c>
      <c r="C3437" s="64">
        <v>8</v>
      </c>
      <c r="D3437" s="80">
        <f t="shared" si="109"/>
        <v>2020</v>
      </c>
      <c r="E3437" t="s">
        <v>38</v>
      </c>
      <c r="F3437" t="s">
        <v>143</v>
      </c>
      <c r="G3437" t="s">
        <v>10</v>
      </c>
      <c r="H3437" s="72">
        <v>816</v>
      </c>
      <c r="I3437" s="72" t="s">
        <v>56</v>
      </c>
      <c r="J3437" t="str">
        <f t="shared" si="110"/>
        <v>Samish River</v>
      </c>
      <c r="K3437" t="str">
        <f>IFERROR(VLOOKUP(J3437,LUTs!$A$1:$C$73,2,FALSE),"NA")</f>
        <v>Skagit</v>
      </c>
      <c r="L3437" t="str">
        <f>IFERROR(VLOOKUP(J3437,LUTs!$A$1:$C$73,3,FALSE),"NA")</f>
        <v>1North Puget Sound</v>
      </c>
      <c r="M3437" s="72" t="s">
        <v>26</v>
      </c>
      <c r="N3437" t="str">
        <f>VLOOKUP(M3437,LUTs!E$2:H$14,3,)</f>
        <v>20Other</v>
      </c>
      <c r="O3437" t="str">
        <f>VLOOKUP(M3437,LUTs!E$2:H$14,4,)</f>
        <v>07Non Puget Sound</v>
      </c>
      <c r="P3437" s="73">
        <v>73.177570093458002</v>
      </c>
      <c r="Q3437" s="74">
        <f>VLOOKUP(B3437,Readme!A$40:C$51,2,)*P3437</f>
        <v>632.98598130841174</v>
      </c>
    </row>
    <row r="3438" spans="1:17" ht="12" customHeight="1" x14ac:dyDescent="0.35">
      <c r="A3438" s="75">
        <v>3437</v>
      </c>
      <c r="B3438" s="64">
        <v>2020</v>
      </c>
      <c r="C3438" s="64">
        <v>8</v>
      </c>
      <c r="D3438" s="80">
        <f t="shared" si="109"/>
        <v>2020</v>
      </c>
      <c r="E3438" t="s">
        <v>38</v>
      </c>
      <c r="F3438" t="s">
        <v>143</v>
      </c>
      <c r="G3438" t="s">
        <v>10</v>
      </c>
      <c r="H3438" s="72">
        <v>816</v>
      </c>
      <c r="I3438" s="72" t="s">
        <v>56</v>
      </c>
      <c r="J3438" t="str">
        <f t="shared" si="110"/>
        <v>Samish River</v>
      </c>
      <c r="K3438" t="str">
        <f>IFERROR(VLOOKUP(J3438,LUTs!$A$1:$C$73,2,FALSE),"NA")</f>
        <v>Skagit</v>
      </c>
      <c r="L3438" t="str">
        <f>IFERROR(VLOOKUP(J3438,LUTs!$A$1:$C$73,3,FALSE),"NA")</f>
        <v>1North Puget Sound</v>
      </c>
      <c r="M3438" s="72" t="s">
        <v>15</v>
      </c>
      <c r="N3438" t="str">
        <f>VLOOKUP(M3438,LUTs!E$2:H$14,3,)</f>
        <v>02Skagit</v>
      </c>
      <c r="O3438" t="str">
        <f>VLOOKUP(M3438,LUTs!E$2:H$14,4,)</f>
        <v>01North Puget Sound</v>
      </c>
      <c r="P3438" s="73">
        <v>561.028037383178</v>
      </c>
      <c r="Q3438" s="74">
        <f>VLOOKUP(B3438,Readme!A$40:C$51,2,)*P3438</f>
        <v>4852.8925233644895</v>
      </c>
    </row>
    <row r="3439" spans="1:17" ht="12" customHeight="1" x14ac:dyDescent="0.35">
      <c r="A3439" s="75">
        <v>3438</v>
      </c>
      <c r="B3439" s="64">
        <v>2020</v>
      </c>
      <c r="C3439" s="64">
        <v>8</v>
      </c>
      <c r="D3439" s="80">
        <f t="shared" si="109"/>
        <v>2020</v>
      </c>
      <c r="E3439" t="s">
        <v>38</v>
      </c>
      <c r="F3439" t="s">
        <v>143</v>
      </c>
      <c r="G3439" t="s">
        <v>10</v>
      </c>
      <c r="H3439" s="72">
        <v>816</v>
      </c>
      <c r="I3439" s="72" t="s">
        <v>56</v>
      </c>
      <c r="J3439" t="str">
        <f t="shared" si="110"/>
        <v>Samish River</v>
      </c>
      <c r="K3439" t="str">
        <f>IFERROR(VLOOKUP(J3439,LUTs!$A$1:$C$73,2,FALSE),"NA")</f>
        <v>Skagit</v>
      </c>
      <c r="L3439" t="str">
        <f>IFERROR(VLOOKUP(J3439,LUTs!$A$1:$C$73,3,FALSE),"NA")</f>
        <v>1North Puget Sound</v>
      </c>
      <c r="M3439" s="72" t="s">
        <v>16</v>
      </c>
      <c r="N3439" t="str">
        <f>VLOOKUP(M3439,LUTs!E$2:H$14,3,)</f>
        <v>03Snohomish</v>
      </c>
      <c r="O3439" t="str">
        <f>VLOOKUP(M3439,LUTs!E$2:H$14,4,)</f>
        <v>01North Puget Sound</v>
      </c>
      <c r="P3439" s="73">
        <v>1048.8785046728999</v>
      </c>
      <c r="Q3439" s="74">
        <f>VLOOKUP(B3439,Readme!A$40:C$51,2,)*P3439</f>
        <v>9072.7990654205842</v>
      </c>
    </row>
    <row r="3440" spans="1:17" ht="12" customHeight="1" x14ac:dyDescent="0.35">
      <c r="A3440" s="75">
        <v>3439</v>
      </c>
      <c r="B3440" s="64">
        <v>2020</v>
      </c>
      <c r="C3440" s="64">
        <v>8</v>
      </c>
      <c r="D3440" s="80">
        <f t="shared" si="109"/>
        <v>2020</v>
      </c>
      <c r="E3440" t="s">
        <v>38</v>
      </c>
      <c r="F3440" t="s">
        <v>143</v>
      </c>
      <c r="G3440" t="s">
        <v>10</v>
      </c>
      <c r="H3440" s="72">
        <v>816</v>
      </c>
      <c r="I3440" s="72" t="s">
        <v>56</v>
      </c>
      <c r="J3440" t="str">
        <f t="shared" si="110"/>
        <v>Samish River</v>
      </c>
      <c r="K3440" t="str">
        <f>IFERROR(VLOOKUP(J3440,LUTs!$A$1:$C$73,2,FALSE),"NA")</f>
        <v>Skagit</v>
      </c>
      <c r="L3440" t="str">
        <f>IFERROR(VLOOKUP(J3440,LUTs!$A$1:$C$73,3,FALSE),"NA")</f>
        <v>1North Puget Sound</v>
      </c>
      <c r="M3440" s="72" t="s">
        <v>13</v>
      </c>
      <c r="N3440" t="str">
        <f>VLOOKUP(M3440,LUTs!E$2:H$14,3,)</f>
        <v>01Whatcom</v>
      </c>
      <c r="O3440" t="str">
        <f>VLOOKUP(M3440,LUTs!E$2:H$14,4,)</f>
        <v>01North Puget Sound</v>
      </c>
      <c r="P3440" s="73">
        <v>402.47663551401899</v>
      </c>
      <c r="Q3440" s="74">
        <f>VLOOKUP(B3440,Readme!A$40:C$51,2,)*P3440</f>
        <v>3481.4228971962643</v>
      </c>
    </row>
    <row r="3441" spans="1:17" ht="12" customHeight="1" x14ac:dyDescent="0.35">
      <c r="A3441" s="75">
        <v>3440</v>
      </c>
      <c r="B3441" s="64">
        <v>2020</v>
      </c>
      <c r="C3441" s="64">
        <v>9</v>
      </c>
      <c r="D3441" s="80">
        <f t="shared" si="109"/>
        <v>2020</v>
      </c>
      <c r="E3441" t="s">
        <v>38</v>
      </c>
      <c r="F3441" t="s">
        <v>143</v>
      </c>
      <c r="G3441" t="s">
        <v>10</v>
      </c>
      <c r="H3441" s="72">
        <v>816</v>
      </c>
      <c r="I3441" s="72" t="s">
        <v>56</v>
      </c>
      <c r="J3441" t="str">
        <f t="shared" si="110"/>
        <v>Samish River</v>
      </c>
      <c r="K3441" t="str">
        <f>IFERROR(VLOOKUP(J3441,LUTs!$A$1:$C$73,2,FALSE),"NA")</f>
        <v>Skagit</v>
      </c>
      <c r="L3441" t="str">
        <f>IFERROR(VLOOKUP(J3441,LUTs!$A$1:$C$73,3,FALSE),"NA")</f>
        <v>1North Puget Sound</v>
      </c>
      <c r="M3441" s="72" t="s">
        <v>17</v>
      </c>
      <c r="N3441" t="str">
        <f>VLOOKUP(M3441,LUTs!E$2:H$14,3,)</f>
        <v>04Island</v>
      </c>
      <c r="O3441" t="str">
        <f>VLOOKUP(M3441,LUTs!E$2:H$14,4,)</f>
        <v>01North Puget Sound</v>
      </c>
      <c r="P3441" s="73">
        <v>146.394431554524</v>
      </c>
      <c r="Q3441" s="74">
        <f>VLOOKUP(B3441,Readme!A$40:C$51,2,)*P3441</f>
        <v>1266.3118329466326</v>
      </c>
    </row>
    <row r="3442" spans="1:17" ht="12" customHeight="1" x14ac:dyDescent="0.35">
      <c r="A3442" s="75">
        <v>3441</v>
      </c>
      <c r="B3442" s="64">
        <v>2020</v>
      </c>
      <c r="C3442" s="64">
        <v>9</v>
      </c>
      <c r="D3442" s="80">
        <f t="shared" si="109"/>
        <v>2020</v>
      </c>
      <c r="E3442" t="s">
        <v>38</v>
      </c>
      <c r="F3442" t="s">
        <v>143</v>
      </c>
      <c r="G3442" t="s">
        <v>10</v>
      </c>
      <c r="H3442" s="72">
        <v>816</v>
      </c>
      <c r="I3442" s="72" t="s">
        <v>56</v>
      </c>
      <c r="J3442" t="str">
        <f t="shared" si="110"/>
        <v>Samish River</v>
      </c>
      <c r="K3442" t="str">
        <f>IFERROR(VLOOKUP(J3442,LUTs!$A$1:$C$73,2,FALSE),"NA")</f>
        <v>Skagit</v>
      </c>
      <c r="L3442" t="str">
        <f>IFERROR(VLOOKUP(J3442,LUTs!$A$1:$C$73,3,FALSE),"NA")</f>
        <v>1North Puget Sound</v>
      </c>
      <c r="M3442" s="72" t="s">
        <v>18</v>
      </c>
      <c r="N3442" t="str">
        <f>VLOOKUP(M3442,LUTs!E$2:H$14,3,)</f>
        <v>06King</v>
      </c>
      <c r="O3442" t="str">
        <f>VLOOKUP(M3442,LUTs!E$2:H$14,4,)</f>
        <v>02South Puget Sound</v>
      </c>
      <c r="P3442" s="73">
        <v>756.37122969837606</v>
      </c>
      <c r="Q3442" s="74">
        <f>VLOOKUP(B3442,Readme!A$40:C$51,2,)*P3442</f>
        <v>6542.6111368909533</v>
      </c>
    </row>
    <row r="3443" spans="1:17" ht="12" customHeight="1" x14ac:dyDescent="0.35">
      <c r="A3443" s="75">
        <v>3442</v>
      </c>
      <c r="B3443" s="64">
        <v>2020</v>
      </c>
      <c r="C3443" s="64">
        <v>9</v>
      </c>
      <c r="D3443" s="80">
        <f t="shared" si="109"/>
        <v>2020</v>
      </c>
      <c r="E3443" t="s">
        <v>38</v>
      </c>
      <c r="F3443" t="s">
        <v>143</v>
      </c>
      <c r="G3443" t="s">
        <v>10</v>
      </c>
      <c r="H3443" s="72">
        <v>816</v>
      </c>
      <c r="I3443" s="72" t="s">
        <v>56</v>
      </c>
      <c r="J3443" t="str">
        <f t="shared" si="110"/>
        <v>Samish River</v>
      </c>
      <c r="K3443" t="str">
        <f>IFERROR(VLOOKUP(J3443,LUTs!$A$1:$C$73,2,FALSE),"NA")</f>
        <v>Skagit</v>
      </c>
      <c r="L3443" t="str">
        <f>IFERROR(VLOOKUP(J3443,LUTs!$A$1:$C$73,3,FALSE),"NA")</f>
        <v>1North Puget Sound</v>
      </c>
      <c r="M3443" s="72" t="s">
        <v>23</v>
      </c>
      <c r="N3443" t="str">
        <f>VLOOKUP(M3443,LUTs!E$2:H$14,3,)</f>
        <v>10Kitsap</v>
      </c>
      <c r="O3443" t="str">
        <f>VLOOKUP(M3443,LUTs!E$2:H$14,4,)</f>
        <v>02South Puget Sound</v>
      </c>
      <c r="P3443" s="73">
        <v>48.798143851508101</v>
      </c>
      <c r="Q3443" s="74">
        <f>VLOOKUP(B3443,Readme!A$40:C$51,2,)*P3443</f>
        <v>422.10394431554511</v>
      </c>
    </row>
    <row r="3444" spans="1:17" ht="12" customHeight="1" x14ac:dyDescent="0.35">
      <c r="A3444" s="75">
        <v>3443</v>
      </c>
      <c r="B3444" s="64">
        <v>2020</v>
      </c>
      <c r="C3444" s="64">
        <v>9</v>
      </c>
      <c r="D3444" s="80">
        <f t="shared" si="109"/>
        <v>2020</v>
      </c>
      <c r="E3444" t="s">
        <v>38</v>
      </c>
      <c r="F3444" t="s">
        <v>143</v>
      </c>
      <c r="G3444" t="s">
        <v>10</v>
      </c>
      <c r="H3444" s="72">
        <v>816</v>
      </c>
      <c r="I3444" s="72" t="s">
        <v>56</v>
      </c>
      <c r="J3444" t="str">
        <f t="shared" si="110"/>
        <v>Samish River</v>
      </c>
      <c r="K3444" t="str">
        <f>IFERROR(VLOOKUP(J3444,LUTs!$A$1:$C$73,2,FALSE),"NA")</f>
        <v>Skagit</v>
      </c>
      <c r="L3444" t="str">
        <f>IFERROR(VLOOKUP(J3444,LUTs!$A$1:$C$73,3,FALSE),"NA")</f>
        <v>1North Puget Sound</v>
      </c>
      <c r="M3444" s="72" t="s">
        <v>26</v>
      </c>
      <c r="N3444" t="str">
        <f>VLOOKUP(M3444,LUTs!E$2:H$14,3,)</f>
        <v>20Other</v>
      </c>
      <c r="O3444" t="str">
        <f>VLOOKUP(M3444,LUTs!E$2:H$14,4,)</f>
        <v>07Non Puget Sound</v>
      </c>
      <c r="P3444" s="73">
        <v>158.59396751740101</v>
      </c>
      <c r="Q3444" s="74">
        <f>VLOOKUP(B3444,Readme!A$40:C$51,2,)*P3444</f>
        <v>1371.8378190255189</v>
      </c>
    </row>
    <row r="3445" spans="1:17" ht="12" customHeight="1" x14ac:dyDescent="0.35">
      <c r="A3445" s="75">
        <v>3444</v>
      </c>
      <c r="B3445" s="64">
        <v>2020</v>
      </c>
      <c r="C3445" s="64">
        <v>9</v>
      </c>
      <c r="D3445" s="80">
        <f t="shared" si="109"/>
        <v>2020</v>
      </c>
      <c r="E3445" t="s">
        <v>38</v>
      </c>
      <c r="F3445" t="s">
        <v>143</v>
      </c>
      <c r="G3445" t="s">
        <v>10</v>
      </c>
      <c r="H3445" s="72">
        <v>816</v>
      </c>
      <c r="I3445" s="72" t="s">
        <v>56</v>
      </c>
      <c r="J3445" t="str">
        <f t="shared" si="110"/>
        <v>Samish River</v>
      </c>
      <c r="K3445" t="str">
        <f>IFERROR(VLOOKUP(J3445,LUTs!$A$1:$C$73,2,FALSE),"NA")</f>
        <v>Skagit</v>
      </c>
      <c r="L3445" t="str">
        <f>IFERROR(VLOOKUP(J3445,LUTs!$A$1:$C$73,3,FALSE),"NA")</f>
        <v>1North Puget Sound</v>
      </c>
      <c r="M3445" s="72" t="s">
        <v>15</v>
      </c>
      <c r="N3445" t="str">
        <f>VLOOKUP(M3445,LUTs!E$2:H$14,3,)</f>
        <v>02Skagit</v>
      </c>
      <c r="O3445" t="str">
        <f>VLOOKUP(M3445,LUTs!E$2:H$14,4,)</f>
        <v>01North Puget Sound</v>
      </c>
      <c r="P3445" s="73">
        <v>1085.75870069606</v>
      </c>
      <c r="Q3445" s="74">
        <f>VLOOKUP(B3445,Readme!A$40:C$51,2,)*P3445</f>
        <v>9391.8127610209194</v>
      </c>
    </row>
    <row r="3446" spans="1:17" ht="12" customHeight="1" x14ac:dyDescent="0.35">
      <c r="A3446" s="75">
        <v>3445</v>
      </c>
      <c r="B3446" s="64">
        <v>2020</v>
      </c>
      <c r="C3446" s="64">
        <v>9</v>
      </c>
      <c r="D3446" s="80">
        <f t="shared" si="109"/>
        <v>2020</v>
      </c>
      <c r="E3446" t="s">
        <v>38</v>
      </c>
      <c r="F3446" t="s">
        <v>143</v>
      </c>
      <c r="G3446" t="s">
        <v>10</v>
      </c>
      <c r="H3446" s="72">
        <v>816</v>
      </c>
      <c r="I3446" s="72" t="s">
        <v>56</v>
      </c>
      <c r="J3446" t="str">
        <f t="shared" si="110"/>
        <v>Samish River</v>
      </c>
      <c r="K3446" t="str">
        <f>IFERROR(VLOOKUP(J3446,LUTs!$A$1:$C$73,2,FALSE),"NA")</f>
        <v>Skagit</v>
      </c>
      <c r="L3446" t="str">
        <f>IFERROR(VLOOKUP(J3446,LUTs!$A$1:$C$73,3,FALSE),"NA")</f>
        <v>1North Puget Sound</v>
      </c>
      <c r="M3446" s="72" t="s">
        <v>16</v>
      </c>
      <c r="N3446" t="str">
        <f>VLOOKUP(M3446,LUTs!E$2:H$14,3,)</f>
        <v>03Snohomish</v>
      </c>
      <c r="O3446" t="str">
        <f>VLOOKUP(M3446,LUTs!E$2:H$14,4,)</f>
        <v>01North Puget Sound</v>
      </c>
      <c r="P3446" s="73">
        <v>2293.5127610208801</v>
      </c>
      <c r="Q3446" s="74">
        <f>VLOOKUP(B3446,Readme!A$40:C$51,2,)*P3446</f>
        <v>19838.885382830613</v>
      </c>
    </row>
    <row r="3447" spans="1:17" ht="12" customHeight="1" x14ac:dyDescent="0.35">
      <c r="A3447" s="75">
        <v>3446</v>
      </c>
      <c r="B3447" s="64">
        <v>2020</v>
      </c>
      <c r="C3447" s="64">
        <v>9</v>
      </c>
      <c r="D3447" s="80">
        <f t="shared" si="109"/>
        <v>2020</v>
      </c>
      <c r="E3447" t="s">
        <v>38</v>
      </c>
      <c r="F3447" t="s">
        <v>143</v>
      </c>
      <c r="G3447" t="s">
        <v>10</v>
      </c>
      <c r="H3447" s="72">
        <v>816</v>
      </c>
      <c r="I3447" s="72" t="s">
        <v>56</v>
      </c>
      <c r="J3447" t="str">
        <f t="shared" si="110"/>
        <v>Samish River</v>
      </c>
      <c r="K3447" t="str">
        <f>IFERROR(VLOOKUP(J3447,LUTs!$A$1:$C$73,2,FALSE),"NA")</f>
        <v>Skagit</v>
      </c>
      <c r="L3447" t="str">
        <f>IFERROR(VLOOKUP(J3447,LUTs!$A$1:$C$73,3,FALSE),"NA")</f>
        <v>1North Puget Sound</v>
      </c>
      <c r="M3447" s="72" t="s">
        <v>13</v>
      </c>
      <c r="N3447" t="str">
        <f>VLOOKUP(M3447,LUTs!E$2:H$14,3,)</f>
        <v>01Whatcom</v>
      </c>
      <c r="O3447" t="str">
        <f>VLOOKUP(M3447,LUTs!E$2:H$14,4,)</f>
        <v>01North Puget Sound</v>
      </c>
      <c r="P3447" s="73">
        <v>768.57076566125295</v>
      </c>
      <c r="Q3447" s="74">
        <f>VLOOKUP(B3447,Readme!A$40:C$51,2,)*P3447</f>
        <v>6648.1371229698379</v>
      </c>
    </row>
    <row r="3448" spans="1:17" ht="12" customHeight="1" x14ac:dyDescent="0.35">
      <c r="A3448" s="75">
        <v>3447</v>
      </c>
      <c r="B3448" s="64">
        <v>2020</v>
      </c>
      <c r="C3448" s="64">
        <v>7</v>
      </c>
      <c r="D3448" s="80">
        <f t="shared" si="109"/>
        <v>2020</v>
      </c>
      <c r="E3448" t="s">
        <v>38</v>
      </c>
      <c r="F3448" t="s">
        <v>143</v>
      </c>
      <c r="G3448" t="s">
        <v>10</v>
      </c>
      <c r="H3448" s="72">
        <v>825</v>
      </c>
      <c r="I3448" s="72" t="s">
        <v>58</v>
      </c>
      <c r="J3448" t="str">
        <f t="shared" si="110"/>
        <v>Baker Lake</v>
      </c>
      <c r="K3448" t="str">
        <f>IFERROR(VLOOKUP(J3448,LUTs!$A$1:$C$73,2,FALSE),"NA")</f>
        <v>Whatcom</v>
      </c>
      <c r="L3448" t="str">
        <f>IFERROR(VLOOKUP(J3448,LUTs!$A$1:$C$73,3,FALSE),"NA")</f>
        <v>1North Puget Sound</v>
      </c>
      <c r="M3448" s="72" t="s">
        <v>17</v>
      </c>
      <c r="N3448" t="str">
        <f>VLOOKUP(M3448,LUTs!E$2:H$14,3,)</f>
        <v>04Island</v>
      </c>
      <c r="O3448" t="str">
        <f>VLOOKUP(M3448,LUTs!E$2:H$14,4,)</f>
        <v>01North Puget Sound</v>
      </c>
      <c r="P3448" s="73">
        <v>107.10299003322299</v>
      </c>
      <c r="Q3448" s="74">
        <f>VLOOKUP(B3448,Readme!A$40:C$51,2,)*P3448</f>
        <v>926.44086378737893</v>
      </c>
    </row>
    <row r="3449" spans="1:17" ht="12" customHeight="1" x14ac:dyDescent="0.35">
      <c r="A3449" s="75">
        <v>3448</v>
      </c>
      <c r="B3449" s="64">
        <v>2020</v>
      </c>
      <c r="C3449" s="64">
        <v>7</v>
      </c>
      <c r="D3449" s="80">
        <f t="shared" si="109"/>
        <v>2020</v>
      </c>
      <c r="E3449" t="s">
        <v>38</v>
      </c>
      <c r="F3449" t="s">
        <v>143</v>
      </c>
      <c r="G3449" t="s">
        <v>10</v>
      </c>
      <c r="H3449" s="72">
        <v>825</v>
      </c>
      <c r="I3449" s="72" t="s">
        <v>58</v>
      </c>
      <c r="J3449" t="str">
        <f t="shared" si="110"/>
        <v>Baker Lake</v>
      </c>
      <c r="K3449" t="str">
        <f>IFERROR(VLOOKUP(J3449,LUTs!$A$1:$C$73,2,FALSE),"NA")</f>
        <v>Whatcom</v>
      </c>
      <c r="L3449" t="str">
        <f>IFERROR(VLOOKUP(J3449,LUTs!$A$1:$C$73,3,FALSE),"NA")</f>
        <v>1North Puget Sound</v>
      </c>
      <c r="M3449" s="72" t="s">
        <v>18</v>
      </c>
      <c r="N3449" t="str">
        <f>VLOOKUP(M3449,LUTs!E$2:H$14,3,)</f>
        <v>06King</v>
      </c>
      <c r="O3449" t="str">
        <f>VLOOKUP(M3449,LUTs!E$2:H$14,4,)</f>
        <v>02South Puget Sound</v>
      </c>
      <c r="P3449" s="73">
        <v>1053.17940199336</v>
      </c>
      <c r="Q3449" s="74">
        <f>VLOOKUP(B3449,Readme!A$40:C$51,2,)*P3449</f>
        <v>9110.0018272425641</v>
      </c>
    </row>
    <row r="3450" spans="1:17" ht="12" customHeight="1" x14ac:dyDescent="0.35">
      <c r="A3450" s="75">
        <v>3449</v>
      </c>
      <c r="B3450" s="64">
        <v>2020</v>
      </c>
      <c r="C3450" s="64">
        <v>7</v>
      </c>
      <c r="D3450" s="80">
        <f t="shared" ref="D3450:D3513" si="111">IF(C3450&gt;3,B3450,B3450-1)</f>
        <v>2020</v>
      </c>
      <c r="E3450" t="s">
        <v>38</v>
      </c>
      <c r="F3450" t="s">
        <v>143</v>
      </c>
      <c r="G3450" t="s">
        <v>10</v>
      </c>
      <c r="H3450" s="72">
        <v>825</v>
      </c>
      <c r="I3450" s="72" t="s">
        <v>58</v>
      </c>
      <c r="J3450" t="str">
        <f t="shared" si="110"/>
        <v>Baker Lake</v>
      </c>
      <c r="K3450" t="str">
        <f>IFERROR(VLOOKUP(J3450,LUTs!$A$1:$C$73,2,FALSE),"NA")</f>
        <v>Whatcom</v>
      </c>
      <c r="L3450" t="str">
        <f>IFERROR(VLOOKUP(J3450,LUTs!$A$1:$C$73,3,FALSE),"NA")</f>
        <v>1North Puget Sound</v>
      </c>
      <c r="M3450" s="72" t="s">
        <v>23</v>
      </c>
      <c r="N3450" t="str">
        <f>VLOOKUP(M3450,LUTs!E$2:H$14,3,)</f>
        <v>10Kitsap</v>
      </c>
      <c r="O3450" t="str">
        <f>VLOOKUP(M3450,LUTs!E$2:H$14,4,)</f>
        <v>02South Puget Sound</v>
      </c>
      <c r="P3450" s="73">
        <v>35.700996677740903</v>
      </c>
      <c r="Q3450" s="74">
        <f>VLOOKUP(B3450,Readme!A$40:C$51,2,)*P3450</f>
        <v>308.81362126245881</v>
      </c>
    </row>
    <row r="3451" spans="1:17" ht="12" customHeight="1" x14ac:dyDescent="0.35">
      <c r="A3451" s="75">
        <v>3450</v>
      </c>
      <c r="B3451" s="64">
        <v>2020</v>
      </c>
      <c r="C3451" s="64">
        <v>7</v>
      </c>
      <c r="D3451" s="80">
        <f t="shared" si="111"/>
        <v>2020</v>
      </c>
      <c r="E3451" t="s">
        <v>38</v>
      </c>
      <c r="F3451" t="s">
        <v>143</v>
      </c>
      <c r="G3451" t="s">
        <v>10</v>
      </c>
      <c r="H3451" s="72">
        <v>825</v>
      </c>
      <c r="I3451" s="72" t="s">
        <v>58</v>
      </c>
      <c r="J3451" t="str">
        <f t="shared" si="110"/>
        <v>Baker Lake</v>
      </c>
      <c r="K3451" t="str">
        <f>IFERROR(VLOOKUP(J3451,LUTs!$A$1:$C$73,2,FALSE),"NA")</f>
        <v>Whatcom</v>
      </c>
      <c r="L3451" t="str">
        <f>IFERROR(VLOOKUP(J3451,LUTs!$A$1:$C$73,3,FALSE),"NA")</f>
        <v>1North Puget Sound</v>
      </c>
      <c r="M3451" s="72" t="s">
        <v>26</v>
      </c>
      <c r="N3451" t="str">
        <f>VLOOKUP(M3451,LUTs!E$2:H$14,3,)</f>
        <v>20Other</v>
      </c>
      <c r="O3451" t="str">
        <f>VLOOKUP(M3451,LUTs!E$2:H$14,4,)</f>
        <v>07Non Puget Sound</v>
      </c>
      <c r="P3451" s="73">
        <v>232.056478405316</v>
      </c>
      <c r="Q3451" s="74">
        <f>VLOOKUP(B3451,Readme!A$40:C$51,2,)*P3451</f>
        <v>2007.2885382059835</v>
      </c>
    </row>
    <row r="3452" spans="1:17" ht="12" customHeight="1" x14ac:dyDescent="0.35">
      <c r="A3452" s="75">
        <v>3451</v>
      </c>
      <c r="B3452" s="64">
        <v>2020</v>
      </c>
      <c r="C3452" s="64">
        <v>7</v>
      </c>
      <c r="D3452" s="80">
        <f t="shared" si="111"/>
        <v>2020</v>
      </c>
      <c r="E3452" t="s">
        <v>38</v>
      </c>
      <c r="F3452" t="s">
        <v>143</v>
      </c>
      <c r="G3452" t="s">
        <v>10</v>
      </c>
      <c r="H3452" s="72">
        <v>825</v>
      </c>
      <c r="I3452" s="72" t="s">
        <v>58</v>
      </c>
      <c r="J3452" t="str">
        <f t="shared" si="110"/>
        <v>Baker Lake</v>
      </c>
      <c r="K3452" t="str">
        <f>IFERROR(VLOOKUP(J3452,LUTs!$A$1:$C$73,2,FALSE),"NA")</f>
        <v>Whatcom</v>
      </c>
      <c r="L3452" t="str">
        <f>IFERROR(VLOOKUP(J3452,LUTs!$A$1:$C$73,3,FALSE),"NA")</f>
        <v>1North Puget Sound</v>
      </c>
      <c r="M3452" s="72" t="s">
        <v>20</v>
      </c>
      <c r="N3452" t="str">
        <f>VLOOKUP(M3452,LUTs!E$2:H$14,3,)</f>
        <v>07Pierce</v>
      </c>
      <c r="O3452" t="str">
        <f>VLOOKUP(M3452,LUTs!E$2:H$14,4,)</f>
        <v>02South Puget Sound</v>
      </c>
      <c r="P3452" s="73">
        <v>35.700996677740903</v>
      </c>
      <c r="Q3452" s="74">
        <f>VLOOKUP(B3452,Readme!A$40:C$51,2,)*P3452</f>
        <v>308.81362126245881</v>
      </c>
    </row>
    <row r="3453" spans="1:17" ht="12" customHeight="1" x14ac:dyDescent="0.35">
      <c r="A3453" s="75">
        <v>3452</v>
      </c>
      <c r="B3453" s="64">
        <v>2020</v>
      </c>
      <c r="C3453" s="64">
        <v>7</v>
      </c>
      <c r="D3453" s="80">
        <f t="shared" si="111"/>
        <v>2020</v>
      </c>
      <c r="E3453" t="s">
        <v>38</v>
      </c>
      <c r="F3453" t="s">
        <v>143</v>
      </c>
      <c r="G3453" t="s">
        <v>10</v>
      </c>
      <c r="H3453" s="72">
        <v>825</v>
      </c>
      <c r="I3453" s="72" t="s">
        <v>58</v>
      </c>
      <c r="J3453" t="str">
        <f t="shared" si="110"/>
        <v>Baker Lake</v>
      </c>
      <c r="K3453" t="str">
        <f>IFERROR(VLOOKUP(J3453,LUTs!$A$1:$C$73,2,FALSE),"NA")</f>
        <v>Whatcom</v>
      </c>
      <c r="L3453" t="str">
        <f>IFERROR(VLOOKUP(J3453,LUTs!$A$1:$C$73,3,FALSE),"NA")</f>
        <v>1North Puget Sound</v>
      </c>
      <c r="M3453" s="72" t="s">
        <v>15</v>
      </c>
      <c r="N3453" t="str">
        <f>VLOOKUP(M3453,LUTs!E$2:H$14,3,)</f>
        <v>02Skagit</v>
      </c>
      <c r="O3453" t="str">
        <f>VLOOKUP(M3453,LUTs!E$2:H$14,4,)</f>
        <v>01North Puget Sound</v>
      </c>
      <c r="P3453" s="73">
        <v>1535.1428571428601</v>
      </c>
      <c r="Q3453" s="74">
        <f>VLOOKUP(B3453,Readme!A$40:C$51,2,)*P3453</f>
        <v>13278.98571428574</v>
      </c>
    </row>
    <row r="3454" spans="1:17" ht="12" customHeight="1" x14ac:dyDescent="0.35">
      <c r="A3454" s="75">
        <v>3453</v>
      </c>
      <c r="B3454" s="64">
        <v>2020</v>
      </c>
      <c r="C3454" s="64">
        <v>7</v>
      </c>
      <c r="D3454" s="80">
        <f t="shared" si="111"/>
        <v>2020</v>
      </c>
      <c r="E3454" t="s">
        <v>38</v>
      </c>
      <c r="F3454" t="s">
        <v>143</v>
      </c>
      <c r="G3454" t="s">
        <v>10</v>
      </c>
      <c r="H3454" s="72">
        <v>825</v>
      </c>
      <c r="I3454" s="72" t="s">
        <v>58</v>
      </c>
      <c r="J3454" t="str">
        <f t="shared" si="110"/>
        <v>Baker Lake</v>
      </c>
      <c r="K3454" t="str">
        <f>IFERROR(VLOOKUP(J3454,LUTs!$A$1:$C$73,2,FALSE),"NA")</f>
        <v>Whatcom</v>
      </c>
      <c r="L3454" t="str">
        <f>IFERROR(VLOOKUP(J3454,LUTs!$A$1:$C$73,3,FALSE),"NA")</f>
        <v>1North Puget Sound</v>
      </c>
      <c r="M3454" s="72" t="s">
        <v>16</v>
      </c>
      <c r="N3454" t="str">
        <f>VLOOKUP(M3454,LUTs!E$2:H$14,3,)</f>
        <v>03Snohomish</v>
      </c>
      <c r="O3454" t="str">
        <f>VLOOKUP(M3454,LUTs!E$2:H$14,4,)</f>
        <v>01North Puget Sound</v>
      </c>
      <c r="P3454" s="73">
        <v>1517.2923588039901</v>
      </c>
      <c r="Q3454" s="74">
        <f>VLOOKUP(B3454,Readme!A$40:C$51,2,)*P3454</f>
        <v>13124.578903654514</v>
      </c>
    </row>
    <row r="3455" spans="1:17" ht="12" customHeight="1" x14ac:dyDescent="0.35">
      <c r="A3455" s="75">
        <v>3454</v>
      </c>
      <c r="B3455" s="64">
        <v>2020</v>
      </c>
      <c r="C3455" s="64">
        <v>7</v>
      </c>
      <c r="D3455" s="80">
        <f t="shared" si="111"/>
        <v>2020</v>
      </c>
      <c r="E3455" t="s">
        <v>38</v>
      </c>
      <c r="F3455" t="s">
        <v>143</v>
      </c>
      <c r="G3455" t="s">
        <v>10</v>
      </c>
      <c r="H3455" s="72">
        <v>825</v>
      </c>
      <c r="I3455" s="72" t="s">
        <v>58</v>
      </c>
      <c r="J3455" t="str">
        <f t="shared" si="110"/>
        <v>Baker Lake</v>
      </c>
      <c r="K3455" t="str">
        <f>IFERROR(VLOOKUP(J3455,LUTs!$A$1:$C$73,2,FALSE),"NA")</f>
        <v>Whatcom</v>
      </c>
      <c r="L3455" t="str">
        <f>IFERROR(VLOOKUP(J3455,LUTs!$A$1:$C$73,3,FALSE),"NA")</f>
        <v>1North Puget Sound</v>
      </c>
      <c r="M3455" s="72" t="s">
        <v>13</v>
      </c>
      <c r="N3455" t="str">
        <f>VLOOKUP(M3455,LUTs!E$2:H$14,3,)</f>
        <v>01Whatcom</v>
      </c>
      <c r="O3455" t="str">
        <f>VLOOKUP(M3455,LUTs!E$2:H$14,4,)</f>
        <v>01North Puget Sound</v>
      </c>
      <c r="P3455" s="73">
        <v>856.823920265781</v>
      </c>
      <c r="Q3455" s="74">
        <f>VLOOKUP(B3455,Readme!A$40:C$51,2,)*P3455</f>
        <v>7411.526910299006</v>
      </c>
    </row>
    <row r="3456" spans="1:17" ht="12" customHeight="1" x14ac:dyDescent="0.35">
      <c r="A3456" s="75">
        <v>3455</v>
      </c>
      <c r="B3456" s="64">
        <v>2020</v>
      </c>
      <c r="C3456" s="64">
        <v>8</v>
      </c>
      <c r="D3456" s="80">
        <f t="shared" si="111"/>
        <v>2020</v>
      </c>
      <c r="E3456" t="s">
        <v>38</v>
      </c>
      <c r="F3456" t="s">
        <v>143</v>
      </c>
      <c r="G3456" t="s">
        <v>10</v>
      </c>
      <c r="H3456" s="72">
        <v>825</v>
      </c>
      <c r="I3456" s="72" t="s">
        <v>58</v>
      </c>
      <c r="J3456" t="str">
        <f t="shared" si="110"/>
        <v>Baker Lake</v>
      </c>
      <c r="K3456" t="str">
        <f>IFERROR(VLOOKUP(J3456,LUTs!$A$1:$C$73,2,FALSE),"NA")</f>
        <v>Whatcom</v>
      </c>
      <c r="L3456" t="str">
        <f>IFERROR(VLOOKUP(J3456,LUTs!$A$1:$C$73,3,FALSE),"NA")</f>
        <v>1North Puget Sound</v>
      </c>
      <c r="M3456" s="72" t="s">
        <v>15</v>
      </c>
      <c r="N3456" t="str">
        <f>VLOOKUP(M3456,LUTs!E$2:H$14,3,)</f>
        <v>02Skagit</v>
      </c>
      <c r="O3456" t="str">
        <f>VLOOKUP(M3456,LUTs!E$2:H$14,4,)</f>
        <v>01North Puget Sound</v>
      </c>
      <c r="P3456" s="73">
        <v>103.5</v>
      </c>
      <c r="Q3456" s="74">
        <f>VLOOKUP(B3456,Readme!A$40:C$51,2,)*P3456</f>
        <v>895.27500000000009</v>
      </c>
    </row>
    <row r="3457" spans="1:17" ht="12" customHeight="1" x14ac:dyDescent="0.35">
      <c r="A3457" s="75">
        <v>3456</v>
      </c>
      <c r="B3457" s="64">
        <v>2020</v>
      </c>
      <c r="C3457" s="64">
        <v>8</v>
      </c>
      <c r="D3457" s="80">
        <f t="shared" si="111"/>
        <v>2020</v>
      </c>
      <c r="E3457" t="s">
        <v>38</v>
      </c>
      <c r="F3457" t="s">
        <v>143</v>
      </c>
      <c r="G3457" t="s">
        <v>10</v>
      </c>
      <c r="H3457" s="72">
        <v>825</v>
      </c>
      <c r="I3457" s="72" t="s">
        <v>58</v>
      </c>
      <c r="J3457" t="str">
        <f t="shared" si="110"/>
        <v>Baker Lake</v>
      </c>
      <c r="K3457" t="str">
        <f>IFERROR(VLOOKUP(J3457,LUTs!$A$1:$C$73,2,FALSE),"NA")</f>
        <v>Whatcom</v>
      </c>
      <c r="L3457" t="str">
        <f>IFERROR(VLOOKUP(J3457,LUTs!$A$1:$C$73,3,FALSE),"NA")</f>
        <v>1North Puget Sound</v>
      </c>
      <c r="M3457" s="72" t="s">
        <v>16</v>
      </c>
      <c r="N3457" t="str">
        <f>VLOOKUP(M3457,LUTs!E$2:H$14,3,)</f>
        <v>03Snohomish</v>
      </c>
      <c r="O3457" t="str">
        <f>VLOOKUP(M3457,LUTs!E$2:H$14,4,)</f>
        <v>01North Puget Sound</v>
      </c>
      <c r="P3457" s="73">
        <v>86.25</v>
      </c>
      <c r="Q3457" s="74">
        <f>VLOOKUP(B3457,Readme!A$40:C$51,2,)*P3457</f>
        <v>746.0625</v>
      </c>
    </row>
    <row r="3458" spans="1:17" ht="12" customHeight="1" x14ac:dyDescent="0.35">
      <c r="A3458" s="75">
        <v>3457</v>
      </c>
      <c r="B3458" s="64">
        <v>2020</v>
      </c>
      <c r="C3458" s="64">
        <v>8</v>
      </c>
      <c r="D3458" s="80">
        <f t="shared" si="111"/>
        <v>2020</v>
      </c>
      <c r="E3458" t="s">
        <v>38</v>
      </c>
      <c r="F3458" t="s">
        <v>143</v>
      </c>
      <c r="G3458" t="s">
        <v>10</v>
      </c>
      <c r="H3458" s="72">
        <v>825</v>
      </c>
      <c r="I3458" s="72" t="s">
        <v>58</v>
      </c>
      <c r="J3458" t="str">
        <f t="shared" si="110"/>
        <v>Baker Lake</v>
      </c>
      <c r="K3458" t="str">
        <f>IFERROR(VLOOKUP(J3458,LUTs!$A$1:$C$73,2,FALSE),"NA")</f>
        <v>Whatcom</v>
      </c>
      <c r="L3458" t="str">
        <f>IFERROR(VLOOKUP(J3458,LUTs!$A$1:$C$73,3,FALSE),"NA")</f>
        <v>1North Puget Sound</v>
      </c>
      <c r="M3458" s="72" t="s">
        <v>13</v>
      </c>
      <c r="N3458" t="str">
        <f>VLOOKUP(M3458,LUTs!E$2:H$14,3,)</f>
        <v>01Whatcom</v>
      </c>
      <c r="O3458" t="str">
        <f>VLOOKUP(M3458,LUTs!E$2:H$14,4,)</f>
        <v>01North Puget Sound</v>
      </c>
      <c r="P3458" s="73">
        <v>17.25</v>
      </c>
      <c r="Q3458" s="74">
        <f>VLOOKUP(B3458,Readme!A$40:C$51,2,)*P3458</f>
        <v>149.21250000000001</v>
      </c>
    </row>
    <row r="3459" spans="1:17" ht="12" customHeight="1" x14ac:dyDescent="0.35">
      <c r="A3459" s="75">
        <v>3458</v>
      </c>
      <c r="B3459" s="64">
        <v>2020</v>
      </c>
      <c r="C3459" s="64">
        <v>6</v>
      </c>
      <c r="D3459" s="80">
        <f t="shared" si="111"/>
        <v>2020</v>
      </c>
      <c r="E3459" t="s">
        <v>38</v>
      </c>
      <c r="F3459" t="s">
        <v>143</v>
      </c>
      <c r="G3459" t="s">
        <v>10</v>
      </c>
      <c r="H3459" s="72">
        <v>826</v>
      </c>
      <c r="I3459" s="72" t="s">
        <v>59</v>
      </c>
      <c r="J3459" t="str">
        <f t="shared" ref="J3459:J3522" si="112">I3459</f>
        <v>Cascade River</v>
      </c>
      <c r="K3459" t="str">
        <f>IFERROR(VLOOKUP(J3459,LUTs!$A$1:$C$73,2,FALSE),"NA")</f>
        <v>Skagit</v>
      </c>
      <c r="L3459" t="str">
        <f>IFERROR(VLOOKUP(J3459,LUTs!$A$1:$C$73,3,FALSE),"NA")</f>
        <v>1North Puget Sound</v>
      </c>
      <c r="M3459" s="72" t="s">
        <v>16</v>
      </c>
      <c r="N3459" t="str">
        <f>VLOOKUP(M3459,LUTs!E$2:H$14,3,)</f>
        <v>03Snohomish</v>
      </c>
      <c r="O3459" t="str">
        <f>VLOOKUP(M3459,LUTs!E$2:H$14,4,)</f>
        <v>01North Puget Sound</v>
      </c>
      <c r="P3459" s="73">
        <v>12</v>
      </c>
      <c r="Q3459" s="74">
        <f>VLOOKUP(B3459,Readme!A$40:C$51,2,)*P3459</f>
        <v>103.80000000000001</v>
      </c>
    </row>
    <row r="3460" spans="1:17" ht="12" customHeight="1" x14ac:dyDescent="0.35">
      <c r="A3460" s="75">
        <v>3459</v>
      </c>
      <c r="B3460" s="64">
        <v>2020</v>
      </c>
      <c r="C3460" s="64">
        <v>7</v>
      </c>
      <c r="D3460" s="80">
        <f t="shared" si="111"/>
        <v>2020</v>
      </c>
      <c r="E3460" t="s">
        <v>38</v>
      </c>
      <c r="F3460" t="s">
        <v>143</v>
      </c>
      <c r="G3460" t="s">
        <v>10</v>
      </c>
      <c r="H3460" s="72">
        <v>826</v>
      </c>
      <c r="I3460" s="72" t="s">
        <v>59</v>
      </c>
      <c r="J3460" t="str">
        <f t="shared" si="112"/>
        <v>Cascade River</v>
      </c>
      <c r="K3460" t="str">
        <f>IFERROR(VLOOKUP(J3460,LUTs!$A$1:$C$73,2,FALSE),"NA")</f>
        <v>Skagit</v>
      </c>
      <c r="L3460" t="str">
        <f>IFERROR(VLOOKUP(J3460,LUTs!$A$1:$C$73,3,FALSE),"NA")</f>
        <v>1North Puget Sound</v>
      </c>
      <c r="M3460" s="72" t="s">
        <v>16</v>
      </c>
      <c r="N3460" t="str">
        <f>VLOOKUP(M3460,LUTs!E$2:H$14,3,)</f>
        <v>03Snohomish</v>
      </c>
      <c r="O3460" t="str">
        <f>VLOOKUP(M3460,LUTs!E$2:H$14,4,)</f>
        <v>01North Puget Sound</v>
      </c>
      <c r="P3460" s="73">
        <v>24</v>
      </c>
      <c r="Q3460" s="74">
        <f>VLOOKUP(B3460,Readme!A$40:C$51,2,)*P3460</f>
        <v>207.60000000000002</v>
      </c>
    </row>
    <row r="3461" spans="1:17" ht="12" customHeight="1" x14ac:dyDescent="0.35">
      <c r="A3461" s="75">
        <v>3460</v>
      </c>
      <c r="B3461" s="64">
        <v>2020</v>
      </c>
      <c r="C3461" s="64">
        <v>9</v>
      </c>
      <c r="D3461" s="80">
        <f t="shared" si="111"/>
        <v>2020</v>
      </c>
      <c r="E3461" t="s">
        <v>38</v>
      </c>
      <c r="F3461" t="s">
        <v>143</v>
      </c>
      <c r="G3461" t="s">
        <v>10</v>
      </c>
      <c r="H3461" s="72">
        <v>826</v>
      </c>
      <c r="I3461" s="72" t="s">
        <v>59</v>
      </c>
      <c r="J3461" t="str">
        <f t="shared" si="112"/>
        <v>Cascade River</v>
      </c>
      <c r="K3461" t="str">
        <f>IFERROR(VLOOKUP(J3461,LUTs!$A$1:$C$73,2,FALSE),"NA")</f>
        <v>Skagit</v>
      </c>
      <c r="L3461" t="str">
        <f>IFERROR(VLOOKUP(J3461,LUTs!$A$1:$C$73,3,FALSE),"NA")</f>
        <v>1North Puget Sound</v>
      </c>
      <c r="M3461" s="72" t="s">
        <v>17</v>
      </c>
      <c r="N3461" t="str">
        <f>VLOOKUP(M3461,LUTs!E$2:H$14,3,)</f>
        <v>04Island</v>
      </c>
      <c r="O3461" t="str">
        <f>VLOOKUP(M3461,LUTs!E$2:H$14,4,)</f>
        <v>01North Puget Sound</v>
      </c>
      <c r="P3461" s="73">
        <v>120.756302521008</v>
      </c>
      <c r="Q3461" s="74">
        <f>VLOOKUP(B3461,Readme!A$40:C$51,2,)*P3461</f>
        <v>1044.5420168067192</v>
      </c>
    </row>
    <row r="3462" spans="1:17" ht="12" customHeight="1" x14ac:dyDescent="0.35">
      <c r="A3462" s="75">
        <v>3461</v>
      </c>
      <c r="B3462" s="64">
        <v>2020</v>
      </c>
      <c r="C3462" s="64">
        <v>9</v>
      </c>
      <c r="D3462" s="80">
        <f t="shared" si="111"/>
        <v>2020</v>
      </c>
      <c r="E3462" t="s">
        <v>38</v>
      </c>
      <c r="F3462" t="s">
        <v>143</v>
      </c>
      <c r="G3462" t="s">
        <v>10</v>
      </c>
      <c r="H3462" s="72">
        <v>826</v>
      </c>
      <c r="I3462" s="72" t="s">
        <v>59</v>
      </c>
      <c r="J3462" t="str">
        <f t="shared" si="112"/>
        <v>Cascade River</v>
      </c>
      <c r="K3462" t="str">
        <f>IFERROR(VLOOKUP(J3462,LUTs!$A$1:$C$73,2,FALSE),"NA")</f>
        <v>Skagit</v>
      </c>
      <c r="L3462" t="str">
        <f>IFERROR(VLOOKUP(J3462,LUTs!$A$1:$C$73,3,FALSE),"NA")</f>
        <v>1North Puget Sound</v>
      </c>
      <c r="M3462" s="72" t="s">
        <v>18</v>
      </c>
      <c r="N3462" t="str">
        <f>VLOOKUP(M3462,LUTs!E$2:H$14,3,)</f>
        <v>06King</v>
      </c>
      <c r="O3462" t="str">
        <f>VLOOKUP(M3462,LUTs!E$2:H$14,4,)</f>
        <v>02South Puget Sound</v>
      </c>
      <c r="P3462" s="73">
        <v>313.96638655462198</v>
      </c>
      <c r="Q3462" s="74">
        <f>VLOOKUP(B3462,Readme!A$40:C$51,2,)*P3462</f>
        <v>2715.8092436974803</v>
      </c>
    </row>
    <row r="3463" spans="1:17" ht="12" customHeight="1" x14ac:dyDescent="0.35">
      <c r="A3463" s="75">
        <v>3462</v>
      </c>
      <c r="B3463" s="64">
        <v>2020</v>
      </c>
      <c r="C3463" s="64">
        <v>9</v>
      </c>
      <c r="D3463" s="80">
        <f t="shared" si="111"/>
        <v>2020</v>
      </c>
      <c r="E3463" t="s">
        <v>38</v>
      </c>
      <c r="F3463" t="s">
        <v>143</v>
      </c>
      <c r="G3463" t="s">
        <v>10</v>
      </c>
      <c r="H3463" s="72">
        <v>826</v>
      </c>
      <c r="I3463" s="72" t="s">
        <v>59</v>
      </c>
      <c r="J3463" t="str">
        <f t="shared" si="112"/>
        <v>Cascade River</v>
      </c>
      <c r="K3463" t="str">
        <f>IFERROR(VLOOKUP(J3463,LUTs!$A$1:$C$73,2,FALSE),"NA")</f>
        <v>Skagit</v>
      </c>
      <c r="L3463" t="str">
        <f>IFERROR(VLOOKUP(J3463,LUTs!$A$1:$C$73,3,FALSE),"NA")</f>
        <v>1North Puget Sound</v>
      </c>
      <c r="M3463" s="72" t="s">
        <v>20</v>
      </c>
      <c r="N3463" t="str">
        <f>VLOOKUP(M3463,LUTs!E$2:H$14,3,)</f>
        <v>07Pierce</v>
      </c>
      <c r="O3463" t="str">
        <f>VLOOKUP(M3463,LUTs!E$2:H$14,4,)</f>
        <v>02South Puget Sound</v>
      </c>
      <c r="P3463" s="73">
        <v>12.075630252100799</v>
      </c>
      <c r="Q3463" s="74">
        <f>VLOOKUP(B3463,Readme!A$40:C$51,2,)*P3463</f>
        <v>104.45420168067191</v>
      </c>
    </row>
    <row r="3464" spans="1:17" ht="12" customHeight="1" x14ac:dyDescent="0.35">
      <c r="A3464" s="75">
        <v>3463</v>
      </c>
      <c r="B3464" s="64">
        <v>2020</v>
      </c>
      <c r="C3464" s="64">
        <v>9</v>
      </c>
      <c r="D3464" s="80">
        <f t="shared" si="111"/>
        <v>2020</v>
      </c>
      <c r="E3464" t="s">
        <v>38</v>
      </c>
      <c r="F3464" t="s">
        <v>143</v>
      </c>
      <c r="G3464" t="s">
        <v>10</v>
      </c>
      <c r="H3464" s="72">
        <v>826</v>
      </c>
      <c r="I3464" s="72" t="s">
        <v>59</v>
      </c>
      <c r="J3464" t="str">
        <f t="shared" si="112"/>
        <v>Cascade River</v>
      </c>
      <c r="K3464" t="str">
        <f>IFERROR(VLOOKUP(J3464,LUTs!$A$1:$C$73,2,FALSE),"NA")</f>
        <v>Skagit</v>
      </c>
      <c r="L3464" t="str">
        <f>IFERROR(VLOOKUP(J3464,LUTs!$A$1:$C$73,3,FALSE),"NA")</f>
        <v>1North Puget Sound</v>
      </c>
      <c r="M3464" s="72" t="s">
        <v>15</v>
      </c>
      <c r="N3464" t="str">
        <f>VLOOKUP(M3464,LUTs!E$2:H$14,3,)</f>
        <v>02Skagit</v>
      </c>
      <c r="O3464" t="str">
        <f>VLOOKUP(M3464,LUTs!E$2:H$14,4,)</f>
        <v>01North Puget Sound</v>
      </c>
      <c r="P3464" s="73">
        <v>156.98319327731099</v>
      </c>
      <c r="Q3464" s="74">
        <f>VLOOKUP(B3464,Readme!A$40:C$51,2,)*P3464</f>
        <v>1357.9046218487401</v>
      </c>
    </row>
    <row r="3465" spans="1:17" ht="12" customHeight="1" x14ac:dyDescent="0.35">
      <c r="A3465" s="75">
        <v>3464</v>
      </c>
      <c r="B3465" s="64">
        <v>2020</v>
      </c>
      <c r="C3465" s="64">
        <v>9</v>
      </c>
      <c r="D3465" s="80">
        <f t="shared" si="111"/>
        <v>2020</v>
      </c>
      <c r="E3465" t="s">
        <v>38</v>
      </c>
      <c r="F3465" t="s">
        <v>143</v>
      </c>
      <c r="G3465" t="s">
        <v>10</v>
      </c>
      <c r="H3465" s="72">
        <v>826</v>
      </c>
      <c r="I3465" s="72" t="s">
        <v>59</v>
      </c>
      <c r="J3465" t="str">
        <f t="shared" si="112"/>
        <v>Cascade River</v>
      </c>
      <c r="K3465" t="str">
        <f>IFERROR(VLOOKUP(J3465,LUTs!$A$1:$C$73,2,FALSE),"NA")</f>
        <v>Skagit</v>
      </c>
      <c r="L3465" t="str">
        <f>IFERROR(VLOOKUP(J3465,LUTs!$A$1:$C$73,3,FALSE),"NA")</f>
        <v>1North Puget Sound</v>
      </c>
      <c r="M3465" s="72" t="s">
        <v>16</v>
      </c>
      <c r="N3465" t="str">
        <f>VLOOKUP(M3465,LUTs!E$2:H$14,3,)</f>
        <v>03Snohomish</v>
      </c>
      <c r="O3465" t="str">
        <f>VLOOKUP(M3465,LUTs!E$2:H$14,4,)</f>
        <v>01North Puget Sound</v>
      </c>
      <c r="P3465" s="73">
        <v>821.142857142857</v>
      </c>
      <c r="Q3465" s="74">
        <f>VLOOKUP(B3465,Readme!A$40:C$51,2,)*P3465</f>
        <v>7102.8857142857132</v>
      </c>
    </row>
    <row r="3466" spans="1:17" ht="12" customHeight="1" x14ac:dyDescent="0.35">
      <c r="A3466" s="75">
        <v>3465</v>
      </c>
      <c r="B3466" s="64">
        <v>2020</v>
      </c>
      <c r="C3466" s="64">
        <v>9</v>
      </c>
      <c r="D3466" s="80">
        <f t="shared" si="111"/>
        <v>2020</v>
      </c>
      <c r="E3466" t="s">
        <v>38</v>
      </c>
      <c r="F3466" t="s">
        <v>143</v>
      </c>
      <c r="G3466" t="s">
        <v>10</v>
      </c>
      <c r="H3466" s="72">
        <v>826</v>
      </c>
      <c r="I3466" s="72" t="s">
        <v>59</v>
      </c>
      <c r="J3466" t="str">
        <f t="shared" si="112"/>
        <v>Cascade River</v>
      </c>
      <c r="K3466" t="str">
        <f>IFERROR(VLOOKUP(J3466,LUTs!$A$1:$C$73,2,FALSE),"NA")</f>
        <v>Skagit</v>
      </c>
      <c r="L3466" t="str">
        <f>IFERROR(VLOOKUP(J3466,LUTs!$A$1:$C$73,3,FALSE),"NA")</f>
        <v>1North Puget Sound</v>
      </c>
      <c r="M3466" s="72" t="s">
        <v>13</v>
      </c>
      <c r="N3466" t="str">
        <f>VLOOKUP(M3466,LUTs!E$2:H$14,3,)</f>
        <v>01Whatcom</v>
      </c>
      <c r="O3466" t="str">
        <f>VLOOKUP(M3466,LUTs!E$2:H$14,4,)</f>
        <v>01North Puget Sound</v>
      </c>
      <c r="P3466" s="73">
        <v>12.075630252100799</v>
      </c>
      <c r="Q3466" s="74">
        <f>VLOOKUP(B3466,Readme!A$40:C$51,2,)*P3466</f>
        <v>104.45420168067191</v>
      </c>
    </row>
    <row r="3467" spans="1:17" ht="12" customHeight="1" x14ac:dyDescent="0.35">
      <c r="A3467" s="75">
        <v>3466</v>
      </c>
      <c r="B3467" s="64">
        <v>2020</v>
      </c>
      <c r="C3467" s="64">
        <v>10</v>
      </c>
      <c r="D3467" s="80">
        <f t="shared" si="111"/>
        <v>2020</v>
      </c>
      <c r="E3467" t="s">
        <v>38</v>
      </c>
      <c r="F3467" t="s">
        <v>143</v>
      </c>
      <c r="G3467" t="s">
        <v>10</v>
      </c>
      <c r="H3467" s="72">
        <v>826</v>
      </c>
      <c r="I3467" s="72" t="s">
        <v>59</v>
      </c>
      <c r="J3467" t="str">
        <f t="shared" si="112"/>
        <v>Cascade River</v>
      </c>
      <c r="K3467" t="str">
        <f>IFERROR(VLOOKUP(J3467,LUTs!$A$1:$C$73,2,FALSE),"NA")</f>
        <v>Skagit</v>
      </c>
      <c r="L3467" t="str">
        <f>IFERROR(VLOOKUP(J3467,LUTs!$A$1:$C$73,3,FALSE),"NA")</f>
        <v>1North Puget Sound</v>
      </c>
      <c r="M3467" s="72" t="s">
        <v>17</v>
      </c>
      <c r="N3467" t="str">
        <f>VLOOKUP(M3467,LUTs!E$2:H$14,3,)</f>
        <v>04Island</v>
      </c>
      <c r="O3467" t="str">
        <f>VLOOKUP(M3467,LUTs!E$2:H$14,4,)</f>
        <v>01North Puget Sound</v>
      </c>
      <c r="P3467" s="73">
        <v>253.59649122806999</v>
      </c>
      <c r="Q3467" s="74">
        <f>VLOOKUP(B3467,Readme!A$40:C$51,2,)*P3467</f>
        <v>2193.6096491228054</v>
      </c>
    </row>
    <row r="3468" spans="1:17" ht="12" customHeight="1" x14ac:dyDescent="0.35">
      <c r="A3468" s="75">
        <v>3467</v>
      </c>
      <c r="B3468" s="64">
        <v>2020</v>
      </c>
      <c r="C3468" s="64">
        <v>10</v>
      </c>
      <c r="D3468" s="80">
        <f t="shared" si="111"/>
        <v>2020</v>
      </c>
      <c r="E3468" t="s">
        <v>38</v>
      </c>
      <c r="F3468" t="s">
        <v>143</v>
      </c>
      <c r="G3468" t="s">
        <v>10</v>
      </c>
      <c r="H3468" s="72">
        <v>826</v>
      </c>
      <c r="I3468" s="72" t="s">
        <v>59</v>
      </c>
      <c r="J3468" t="str">
        <f t="shared" si="112"/>
        <v>Cascade River</v>
      </c>
      <c r="K3468" t="str">
        <f>IFERROR(VLOOKUP(J3468,LUTs!$A$1:$C$73,2,FALSE),"NA")</f>
        <v>Skagit</v>
      </c>
      <c r="L3468" t="str">
        <f>IFERROR(VLOOKUP(J3468,LUTs!$A$1:$C$73,3,FALSE),"NA")</f>
        <v>1North Puget Sound</v>
      </c>
      <c r="M3468" s="72" t="s">
        <v>18</v>
      </c>
      <c r="N3468" t="str">
        <f>VLOOKUP(M3468,LUTs!E$2:H$14,3,)</f>
        <v>06King</v>
      </c>
      <c r="O3468" t="str">
        <f>VLOOKUP(M3468,LUTs!E$2:H$14,4,)</f>
        <v>02South Puget Sound</v>
      </c>
      <c r="P3468" s="73">
        <v>410.58479532163801</v>
      </c>
      <c r="Q3468" s="74">
        <f>VLOOKUP(B3468,Readme!A$40:C$51,2,)*P3468</f>
        <v>3551.5584795321688</v>
      </c>
    </row>
    <row r="3469" spans="1:17" ht="12" customHeight="1" x14ac:dyDescent="0.35">
      <c r="A3469" s="75">
        <v>3468</v>
      </c>
      <c r="B3469" s="64">
        <v>2020</v>
      </c>
      <c r="C3469" s="64">
        <v>10</v>
      </c>
      <c r="D3469" s="80">
        <f t="shared" si="111"/>
        <v>2020</v>
      </c>
      <c r="E3469" t="s">
        <v>38</v>
      </c>
      <c r="F3469" t="s">
        <v>143</v>
      </c>
      <c r="G3469" t="s">
        <v>10</v>
      </c>
      <c r="H3469" s="72">
        <v>826</v>
      </c>
      <c r="I3469" s="72" t="s">
        <v>59</v>
      </c>
      <c r="J3469" t="str">
        <f t="shared" si="112"/>
        <v>Cascade River</v>
      </c>
      <c r="K3469" t="str">
        <f>IFERROR(VLOOKUP(J3469,LUTs!$A$1:$C$73,2,FALSE),"NA")</f>
        <v>Skagit</v>
      </c>
      <c r="L3469" t="str">
        <f>IFERROR(VLOOKUP(J3469,LUTs!$A$1:$C$73,3,FALSE),"NA")</f>
        <v>1North Puget Sound</v>
      </c>
      <c r="M3469" s="72" t="s">
        <v>26</v>
      </c>
      <c r="N3469" t="str">
        <f>VLOOKUP(M3469,LUTs!E$2:H$14,3,)</f>
        <v>20Other</v>
      </c>
      <c r="O3469" t="str">
        <f>VLOOKUP(M3469,LUTs!E$2:H$14,4,)</f>
        <v>07Non Puget Sound</v>
      </c>
      <c r="P3469" s="73">
        <v>12.0760233918129</v>
      </c>
      <c r="Q3469" s="74">
        <f>VLOOKUP(B3469,Readme!A$40:C$51,2,)*P3469</f>
        <v>104.45760233918159</v>
      </c>
    </row>
    <row r="3470" spans="1:17" ht="12" customHeight="1" x14ac:dyDescent="0.35">
      <c r="A3470" s="75">
        <v>3469</v>
      </c>
      <c r="B3470" s="64">
        <v>2020</v>
      </c>
      <c r="C3470" s="64">
        <v>10</v>
      </c>
      <c r="D3470" s="80">
        <f t="shared" si="111"/>
        <v>2020</v>
      </c>
      <c r="E3470" t="s">
        <v>38</v>
      </c>
      <c r="F3470" t="s">
        <v>143</v>
      </c>
      <c r="G3470" t="s">
        <v>10</v>
      </c>
      <c r="H3470" s="72">
        <v>826</v>
      </c>
      <c r="I3470" s="72" t="s">
        <v>59</v>
      </c>
      <c r="J3470" t="str">
        <f t="shared" si="112"/>
        <v>Cascade River</v>
      </c>
      <c r="K3470" t="str">
        <f>IFERROR(VLOOKUP(J3470,LUTs!$A$1:$C$73,2,FALSE),"NA")</f>
        <v>Skagit</v>
      </c>
      <c r="L3470" t="str">
        <f>IFERROR(VLOOKUP(J3470,LUTs!$A$1:$C$73,3,FALSE),"NA")</f>
        <v>1North Puget Sound</v>
      </c>
      <c r="M3470" s="72" t="s">
        <v>15</v>
      </c>
      <c r="N3470" t="str">
        <f>VLOOKUP(M3470,LUTs!E$2:H$14,3,)</f>
        <v>02Skagit</v>
      </c>
      <c r="O3470" t="str">
        <f>VLOOKUP(M3470,LUTs!E$2:H$14,4,)</f>
        <v>01North Puget Sound</v>
      </c>
      <c r="P3470" s="73">
        <v>265.67251461988297</v>
      </c>
      <c r="Q3470" s="74">
        <f>VLOOKUP(B3470,Readme!A$40:C$51,2,)*P3470</f>
        <v>2298.0672514619878</v>
      </c>
    </row>
    <row r="3471" spans="1:17" ht="12" customHeight="1" x14ac:dyDescent="0.35">
      <c r="A3471" s="75">
        <v>3470</v>
      </c>
      <c r="B3471" s="64">
        <v>2020</v>
      </c>
      <c r="C3471" s="64">
        <v>10</v>
      </c>
      <c r="D3471" s="80">
        <f t="shared" si="111"/>
        <v>2020</v>
      </c>
      <c r="E3471" t="s">
        <v>38</v>
      </c>
      <c r="F3471" t="s">
        <v>143</v>
      </c>
      <c r="G3471" t="s">
        <v>10</v>
      </c>
      <c r="H3471" s="72">
        <v>826</v>
      </c>
      <c r="I3471" s="72" t="s">
        <v>59</v>
      </c>
      <c r="J3471" t="str">
        <f t="shared" si="112"/>
        <v>Cascade River</v>
      </c>
      <c r="K3471" t="str">
        <f>IFERROR(VLOOKUP(J3471,LUTs!$A$1:$C$73,2,FALSE),"NA")</f>
        <v>Skagit</v>
      </c>
      <c r="L3471" t="str">
        <f>IFERROR(VLOOKUP(J3471,LUTs!$A$1:$C$73,3,FALSE),"NA")</f>
        <v>1North Puget Sound</v>
      </c>
      <c r="M3471" s="72" t="s">
        <v>16</v>
      </c>
      <c r="N3471" t="str">
        <f>VLOOKUP(M3471,LUTs!E$2:H$14,3,)</f>
        <v>03Snohomish</v>
      </c>
      <c r="O3471" t="str">
        <f>VLOOKUP(M3471,LUTs!E$2:H$14,4,)</f>
        <v>01North Puget Sound</v>
      </c>
      <c r="P3471" s="73">
        <v>1002.30994152047</v>
      </c>
      <c r="Q3471" s="74">
        <f>VLOOKUP(B3471,Readme!A$40:C$51,2,)*P3471</f>
        <v>8669.9809941520653</v>
      </c>
    </row>
    <row r="3472" spans="1:17" ht="12" customHeight="1" x14ac:dyDescent="0.35">
      <c r="A3472" s="75">
        <v>3471</v>
      </c>
      <c r="B3472" s="64">
        <v>2020</v>
      </c>
      <c r="C3472" s="64">
        <v>10</v>
      </c>
      <c r="D3472" s="80">
        <f t="shared" si="111"/>
        <v>2020</v>
      </c>
      <c r="E3472" t="s">
        <v>38</v>
      </c>
      <c r="F3472" t="s">
        <v>143</v>
      </c>
      <c r="G3472" t="s">
        <v>10</v>
      </c>
      <c r="H3472" s="72">
        <v>826</v>
      </c>
      <c r="I3472" s="72" t="s">
        <v>59</v>
      </c>
      <c r="J3472" t="str">
        <f t="shared" si="112"/>
        <v>Cascade River</v>
      </c>
      <c r="K3472" t="str">
        <f>IFERROR(VLOOKUP(J3472,LUTs!$A$1:$C$73,2,FALSE),"NA")</f>
        <v>Skagit</v>
      </c>
      <c r="L3472" t="str">
        <f>IFERROR(VLOOKUP(J3472,LUTs!$A$1:$C$73,3,FALSE),"NA")</f>
        <v>1North Puget Sound</v>
      </c>
      <c r="M3472" s="72" t="s">
        <v>13</v>
      </c>
      <c r="N3472" t="str">
        <f>VLOOKUP(M3472,LUTs!E$2:H$14,3,)</f>
        <v>01Whatcom</v>
      </c>
      <c r="O3472" t="str">
        <f>VLOOKUP(M3472,LUTs!E$2:H$14,4,)</f>
        <v>01North Puget Sound</v>
      </c>
      <c r="P3472" s="73">
        <v>120.760233918129</v>
      </c>
      <c r="Q3472" s="74">
        <f>VLOOKUP(B3472,Readme!A$40:C$51,2,)*P3472</f>
        <v>1044.5760233918159</v>
      </c>
    </row>
    <row r="3473" spans="1:17" ht="12" customHeight="1" x14ac:dyDescent="0.35">
      <c r="A3473" s="75">
        <v>3472</v>
      </c>
      <c r="B3473" s="64">
        <v>2020</v>
      </c>
      <c r="C3473" s="64">
        <v>11</v>
      </c>
      <c r="D3473" s="80">
        <f t="shared" si="111"/>
        <v>2020</v>
      </c>
      <c r="E3473" t="s">
        <v>38</v>
      </c>
      <c r="F3473" t="s">
        <v>143</v>
      </c>
      <c r="G3473" t="s">
        <v>10</v>
      </c>
      <c r="H3473" s="72">
        <v>826</v>
      </c>
      <c r="I3473" s="72" t="s">
        <v>59</v>
      </c>
      <c r="J3473" t="str">
        <f t="shared" si="112"/>
        <v>Cascade River</v>
      </c>
      <c r="K3473" t="str">
        <f>IFERROR(VLOOKUP(J3473,LUTs!$A$1:$C$73,2,FALSE),"NA")</f>
        <v>Skagit</v>
      </c>
      <c r="L3473" t="str">
        <f>IFERROR(VLOOKUP(J3473,LUTs!$A$1:$C$73,3,FALSE),"NA")</f>
        <v>1North Puget Sound</v>
      </c>
      <c r="M3473" s="72" t="s">
        <v>18</v>
      </c>
      <c r="N3473" t="str">
        <f>VLOOKUP(M3473,LUTs!E$2:H$14,3,)</f>
        <v>06King</v>
      </c>
      <c r="O3473" t="str">
        <f>VLOOKUP(M3473,LUTs!E$2:H$14,4,)</f>
        <v>02South Puget Sound</v>
      </c>
      <c r="P3473" s="73">
        <v>12</v>
      </c>
      <c r="Q3473" s="74">
        <f>VLOOKUP(B3473,Readme!A$40:C$51,2,)*P3473</f>
        <v>103.80000000000001</v>
      </c>
    </row>
    <row r="3474" spans="1:17" ht="12" customHeight="1" x14ac:dyDescent="0.35">
      <c r="A3474" s="75">
        <v>3473</v>
      </c>
      <c r="B3474" s="64">
        <v>2020</v>
      </c>
      <c r="C3474" s="64">
        <v>11</v>
      </c>
      <c r="D3474" s="80">
        <f t="shared" si="111"/>
        <v>2020</v>
      </c>
      <c r="E3474" t="s">
        <v>38</v>
      </c>
      <c r="F3474" t="s">
        <v>143</v>
      </c>
      <c r="G3474" t="s">
        <v>10</v>
      </c>
      <c r="H3474" s="72">
        <v>826</v>
      </c>
      <c r="I3474" s="72" t="s">
        <v>59</v>
      </c>
      <c r="J3474" t="str">
        <f t="shared" si="112"/>
        <v>Cascade River</v>
      </c>
      <c r="K3474" t="str">
        <f>IFERROR(VLOOKUP(J3474,LUTs!$A$1:$C$73,2,FALSE),"NA")</f>
        <v>Skagit</v>
      </c>
      <c r="L3474" t="str">
        <f>IFERROR(VLOOKUP(J3474,LUTs!$A$1:$C$73,3,FALSE),"NA")</f>
        <v>1North Puget Sound</v>
      </c>
      <c r="M3474" s="72" t="s">
        <v>16</v>
      </c>
      <c r="N3474" t="str">
        <f>VLOOKUP(M3474,LUTs!E$2:H$14,3,)</f>
        <v>03Snohomish</v>
      </c>
      <c r="O3474" t="str">
        <f>VLOOKUP(M3474,LUTs!E$2:H$14,4,)</f>
        <v>01North Puget Sound</v>
      </c>
      <c r="P3474" s="73">
        <v>24</v>
      </c>
      <c r="Q3474" s="74">
        <f>VLOOKUP(B3474,Readme!A$40:C$51,2,)*P3474</f>
        <v>207.60000000000002</v>
      </c>
    </row>
    <row r="3475" spans="1:17" ht="12" customHeight="1" x14ac:dyDescent="0.35">
      <c r="A3475" s="75">
        <v>3474</v>
      </c>
      <c r="B3475" s="64">
        <v>2020</v>
      </c>
      <c r="C3475" s="64">
        <v>6</v>
      </c>
      <c r="D3475" s="80">
        <f t="shared" si="111"/>
        <v>2020</v>
      </c>
      <c r="E3475" t="s">
        <v>38</v>
      </c>
      <c r="F3475" t="s">
        <v>143</v>
      </c>
      <c r="G3475" t="s">
        <v>10</v>
      </c>
      <c r="H3475" s="72">
        <v>830</v>
      </c>
      <c r="I3475" s="72" t="s">
        <v>60</v>
      </c>
      <c r="J3475" t="str">
        <f t="shared" si="112"/>
        <v>Skagit River</v>
      </c>
      <c r="K3475" t="str">
        <f>IFERROR(VLOOKUP(J3475,LUTs!$A$1:$C$73,2,FALSE),"NA")</f>
        <v>Skagit/Whatcom</v>
      </c>
      <c r="L3475" t="str">
        <f>IFERROR(VLOOKUP(J3475,LUTs!$A$1:$C$73,3,FALSE),"NA")</f>
        <v>2Central Puget Sound</v>
      </c>
      <c r="M3475" s="72" t="s">
        <v>15</v>
      </c>
      <c r="N3475" t="str">
        <f>VLOOKUP(M3475,LUTs!E$2:H$14,3,)</f>
        <v>02Skagit</v>
      </c>
      <c r="O3475" t="str">
        <f>VLOOKUP(M3475,LUTs!E$2:H$14,4,)</f>
        <v>01North Puget Sound</v>
      </c>
      <c r="P3475" s="73">
        <v>12</v>
      </c>
      <c r="Q3475" s="74">
        <f>VLOOKUP(B3475,Readme!A$40:C$51,2,)*P3475</f>
        <v>103.80000000000001</v>
      </c>
    </row>
    <row r="3476" spans="1:17" ht="12" customHeight="1" x14ac:dyDescent="0.35">
      <c r="A3476" s="75">
        <v>3475</v>
      </c>
      <c r="B3476" s="64">
        <v>2020</v>
      </c>
      <c r="C3476" s="64">
        <v>9</v>
      </c>
      <c r="D3476" s="80">
        <f t="shared" si="111"/>
        <v>2020</v>
      </c>
      <c r="E3476" t="s">
        <v>38</v>
      </c>
      <c r="F3476" t="s">
        <v>143</v>
      </c>
      <c r="G3476" t="s">
        <v>10</v>
      </c>
      <c r="H3476" s="72">
        <v>830</v>
      </c>
      <c r="I3476" s="72" t="s">
        <v>60</v>
      </c>
      <c r="J3476" t="str">
        <f t="shared" si="112"/>
        <v>Skagit River</v>
      </c>
      <c r="K3476" t="str">
        <f>IFERROR(VLOOKUP(J3476,LUTs!$A$1:$C$73,2,FALSE),"NA")</f>
        <v>Skagit/Whatcom</v>
      </c>
      <c r="L3476" t="str">
        <f>IFERROR(VLOOKUP(J3476,LUTs!$A$1:$C$73,3,FALSE),"NA")</f>
        <v>2Central Puget Sound</v>
      </c>
      <c r="M3476" s="72" t="s">
        <v>18</v>
      </c>
      <c r="N3476" t="str">
        <f>VLOOKUP(M3476,LUTs!E$2:H$14,3,)</f>
        <v>06King</v>
      </c>
      <c r="O3476" t="str">
        <f>VLOOKUP(M3476,LUTs!E$2:H$14,4,)</f>
        <v>02South Puget Sound</v>
      </c>
      <c r="P3476" s="73">
        <v>157.40540540540499</v>
      </c>
      <c r="Q3476" s="74">
        <f>VLOOKUP(B3476,Readme!A$40:C$51,2,)*P3476</f>
        <v>1361.5567567567532</v>
      </c>
    </row>
    <row r="3477" spans="1:17" ht="12" customHeight="1" x14ac:dyDescent="0.35">
      <c r="A3477" s="75">
        <v>3476</v>
      </c>
      <c r="B3477" s="64">
        <v>2020</v>
      </c>
      <c r="C3477" s="64">
        <v>9</v>
      </c>
      <c r="D3477" s="80">
        <f t="shared" si="111"/>
        <v>2020</v>
      </c>
      <c r="E3477" t="s">
        <v>38</v>
      </c>
      <c r="F3477" t="s">
        <v>143</v>
      </c>
      <c r="G3477" t="s">
        <v>10</v>
      </c>
      <c r="H3477" s="72">
        <v>830</v>
      </c>
      <c r="I3477" s="72" t="s">
        <v>60</v>
      </c>
      <c r="J3477" t="str">
        <f t="shared" si="112"/>
        <v>Skagit River</v>
      </c>
      <c r="K3477" t="str">
        <f>IFERROR(VLOOKUP(J3477,LUTs!$A$1:$C$73,2,FALSE),"NA")</f>
        <v>Skagit/Whatcom</v>
      </c>
      <c r="L3477" t="str">
        <f>IFERROR(VLOOKUP(J3477,LUTs!$A$1:$C$73,3,FALSE),"NA")</f>
        <v>2Central Puget Sound</v>
      </c>
      <c r="M3477" s="72" t="s">
        <v>23</v>
      </c>
      <c r="N3477" t="str">
        <f>VLOOKUP(M3477,LUTs!E$2:H$14,3,)</f>
        <v>10Kitsap</v>
      </c>
      <c r="O3477" t="str">
        <f>VLOOKUP(M3477,LUTs!E$2:H$14,4,)</f>
        <v>02South Puget Sound</v>
      </c>
      <c r="P3477" s="73">
        <v>24.2162162162162</v>
      </c>
      <c r="Q3477" s="74">
        <f>VLOOKUP(B3477,Readme!A$40:C$51,2,)*P3477</f>
        <v>209.47027027027013</v>
      </c>
    </row>
    <row r="3478" spans="1:17" ht="12" customHeight="1" x14ac:dyDescent="0.35">
      <c r="A3478" s="75">
        <v>3477</v>
      </c>
      <c r="B3478" s="64">
        <v>2020</v>
      </c>
      <c r="C3478" s="64">
        <v>9</v>
      </c>
      <c r="D3478" s="80">
        <f t="shared" si="111"/>
        <v>2020</v>
      </c>
      <c r="E3478" t="s">
        <v>38</v>
      </c>
      <c r="F3478" t="s">
        <v>143</v>
      </c>
      <c r="G3478" t="s">
        <v>10</v>
      </c>
      <c r="H3478" s="72">
        <v>830</v>
      </c>
      <c r="I3478" s="72" t="s">
        <v>60</v>
      </c>
      <c r="J3478" t="str">
        <f t="shared" si="112"/>
        <v>Skagit River</v>
      </c>
      <c r="K3478" t="str">
        <f>IFERROR(VLOOKUP(J3478,LUTs!$A$1:$C$73,2,FALSE),"NA")</f>
        <v>Skagit/Whatcom</v>
      </c>
      <c r="L3478" t="str">
        <f>IFERROR(VLOOKUP(J3478,LUTs!$A$1:$C$73,3,FALSE),"NA")</f>
        <v>2Central Puget Sound</v>
      </c>
      <c r="M3478" s="72" t="s">
        <v>26</v>
      </c>
      <c r="N3478" t="str">
        <f>VLOOKUP(M3478,LUTs!E$2:H$14,3,)</f>
        <v>20Other</v>
      </c>
      <c r="O3478" t="str">
        <f>VLOOKUP(M3478,LUTs!E$2:H$14,4,)</f>
        <v>07Non Puget Sound</v>
      </c>
      <c r="P3478" s="73">
        <v>133.18918918918899</v>
      </c>
      <c r="Q3478" s="74">
        <f>VLOOKUP(B3478,Readme!A$40:C$51,2,)*P3478</f>
        <v>1152.0864864864848</v>
      </c>
    </row>
    <row r="3479" spans="1:17" ht="12" customHeight="1" x14ac:dyDescent="0.35">
      <c r="A3479" s="75">
        <v>3478</v>
      </c>
      <c r="B3479" s="64">
        <v>2020</v>
      </c>
      <c r="C3479" s="64">
        <v>9</v>
      </c>
      <c r="D3479" s="80">
        <f t="shared" si="111"/>
        <v>2020</v>
      </c>
      <c r="E3479" t="s">
        <v>38</v>
      </c>
      <c r="F3479" t="s">
        <v>143</v>
      </c>
      <c r="G3479" t="s">
        <v>10</v>
      </c>
      <c r="H3479" s="72">
        <v>830</v>
      </c>
      <c r="I3479" s="72" t="s">
        <v>60</v>
      </c>
      <c r="J3479" t="str">
        <f t="shared" si="112"/>
        <v>Skagit River</v>
      </c>
      <c r="K3479" t="str">
        <f>IFERROR(VLOOKUP(J3479,LUTs!$A$1:$C$73,2,FALSE),"NA")</f>
        <v>Skagit/Whatcom</v>
      </c>
      <c r="L3479" t="str">
        <f>IFERROR(VLOOKUP(J3479,LUTs!$A$1:$C$73,3,FALSE),"NA")</f>
        <v>2Central Puget Sound</v>
      </c>
      <c r="M3479" s="72" t="s">
        <v>20</v>
      </c>
      <c r="N3479" t="str">
        <f>VLOOKUP(M3479,LUTs!E$2:H$14,3,)</f>
        <v>07Pierce</v>
      </c>
      <c r="O3479" t="str">
        <f>VLOOKUP(M3479,LUTs!E$2:H$14,4,)</f>
        <v>02South Puget Sound</v>
      </c>
      <c r="P3479" s="73">
        <v>24.2162162162162</v>
      </c>
      <c r="Q3479" s="74">
        <f>VLOOKUP(B3479,Readme!A$40:C$51,2,)*P3479</f>
        <v>209.47027027027013</v>
      </c>
    </row>
    <row r="3480" spans="1:17" ht="12" customHeight="1" x14ac:dyDescent="0.35">
      <c r="A3480" s="75">
        <v>3479</v>
      </c>
      <c r="B3480" s="64">
        <v>2020</v>
      </c>
      <c r="C3480" s="64">
        <v>9</v>
      </c>
      <c r="D3480" s="80">
        <f t="shared" si="111"/>
        <v>2020</v>
      </c>
      <c r="E3480" t="s">
        <v>38</v>
      </c>
      <c r="F3480" t="s">
        <v>143</v>
      </c>
      <c r="G3480" t="s">
        <v>10</v>
      </c>
      <c r="H3480" s="72">
        <v>830</v>
      </c>
      <c r="I3480" s="72" t="s">
        <v>60</v>
      </c>
      <c r="J3480" t="str">
        <f t="shared" si="112"/>
        <v>Skagit River</v>
      </c>
      <c r="K3480" t="str">
        <f>IFERROR(VLOOKUP(J3480,LUTs!$A$1:$C$73,2,FALSE),"NA")</f>
        <v>Skagit/Whatcom</v>
      </c>
      <c r="L3480" t="str">
        <f>IFERROR(VLOOKUP(J3480,LUTs!$A$1:$C$73,3,FALSE),"NA")</f>
        <v>2Central Puget Sound</v>
      </c>
      <c r="M3480" s="72" t="s">
        <v>15</v>
      </c>
      <c r="N3480" t="str">
        <f>VLOOKUP(M3480,LUTs!E$2:H$14,3,)</f>
        <v>02Skagit</v>
      </c>
      <c r="O3480" t="str">
        <f>VLOOKUP(M3480,LUTs!E$2:H$14,4,)</f>
        <v>01North Puget Sound</v>
      </c>
      <c r="P3480" s="73">
        <v>1574.0540540540501</v>
      </c>
      <c r="Q3480" s="74">
        <f>VLOOKUP(B3480,Readme!A$40:C$51,2,)*P3480</f>
        <v>13615.567567567534</v>
      </c>
    </row>
    <row r="3481" spans="1:17" ht="12" customHeight="1" x14ac:dyDescent="0.35">
      <c r="A3481" s="75">
        <v>3480</v>
      </c>
      <c r="B3481" s="64">
        <v>2020</v>
      </c>
      <c r="C3481" s="64">
        <v>9</v>
      </c>
      <c r="D3481" s="80">
        <f t="shared" si="111"/>
        <v>2020</v>
      </c>
      <c r="E3481" t="s">
        <v>38</v>
      </c>
      <c r="F3481" t="s">
        <v>143</v>
      </c>
      <c r="G3481" t="s">
        <v>10</v>
      </c>
      <c r="H3481" s="72">
        <v>830</v>
      </c>
      <c r="I3481" s="72" t="s">
        <v>60</v>
      </c>
      <c r="J3481" t="str">
        <f t="shared" si="112"/>
        <v>Skagit River</v>
      </c>
      <c r="K3481" t="str">
        <f>IFERROR(VLOOKUP(J3481,LUTs!$A$1:$C$73,2,FALSE),"NA")</f>
        <v>Skagit/Whatcom</v>
      </c>
      <c r="L3481" t="str">
        <f>IFERROR(VLOOKUP(J3481,LUTs!$A$1:$C$73,3,FALSE),"NA")</f>
        <v>2Central Puget Sound</v>
      </c>
      <c r="M3481" s="72" t="s">
        <v>16</v>
      </c>
      <c r="N3481" t="str">
        <f>VLOOKUP(M3481,LUTs!E$2:H$14,3,)</f>
        <v>03Snohomish</v>
      </c>
      <c r="O3481" t="str">
        <f>VLOOKUP(M3481,LUTs!E$2:H$14,4,)</f>
        <v>01North Puget Sound</v>
      </c>
      <c r="P3481" s="73">
        <v>157.40540540540499</v>
      </c>
      <c r="Q3481" s="74">
        <f>VLOOKUP(B3481,Readme!A$40:C$51,2,)*P3481</f>
        <v>1361.5567567567532</v>
      </c>
    </row>
    <row r="3482" spans="1:17" ht="12" customHeight="1" x14ac:dyDescent="0.35">
      <c r="A3482" s="75">
        <v>3481</v>
      </c>
      <c r="B3482" s="64">
        <v>2020</v>
      </c>
      <c r="C3482" s="64">
        <v>9</v>
      </c>
      <c r="D3482" s="80">
        <f t="shared" si="111"/>
        <v>2020</v>
      </c>
      <c r="E3482" t="s">
        <v>38</v>
      </c>
      <c r="F3482" t="s">
        <v>143</v>
      </c>
      <c r="G3482" t="s">
        <v>10</v>
      </c>
      <c r="H3482" s="72">
        <v>830</v>
      </c>
      <c r="I3482" s="72" t="s">
        <v>60</v>
      </c>
      <c r="J3482" t="str">
        <f t="shared" si="112"/>
        <v>Skagit River</v>
      </c>
      <c r="K3482" t="str">
        <f>IFERROR(VLOOKUP(J3482,LUTs!$A$1:$C$73,2,FALSE),"NA")</f>
        <v>Skagit/Whatcom</v>
      </c>
      <c r="L3482" t="str">
        <f>IFERROR(VLOOKUP(J3482,LUTs!$A$1:$C$73,3,FALSE),"NA")</f>
        <v>2Central Puget Sound</v>
      </c>
      <c r="M3482" s="72" t="s">
        <v>13</v>
      </c>
      <c r="N3482" t="str">
        <f>VLOOKUP(M3482,LUTs!E$2:H$14,3,)</f>
        <v>01Whatcom</v>
      </c>
      <c r="O3482" t="str">
        <f>VLOOKUP(M3482,LUTs!E$2:H$14,4,)</f>
        <v>01North Puget Sound</v>
      </c>
      <c r="P3482" s="73">
        <v>169.513513513514</v>
      </c>
      <c r="Q3482" s="74">
        <f>VLOOKUP(B3482,Readme!A$40:C$51,2,)*P3482</f>
        <v>1466.2918918918961</v>
      </c>
    </row>
    <row r="3483" spans="1:17" ht="12" customHeight="1" x14ac:dyDescent="0.35">
      <c r="A3483" s="75">
        <v>3482</v>
      </c>
      <c r="B3483" s="64">
        <v>2020</v>
      </c>
      <c r="C3483" s="64">
        <v>10</v>
      </c>
      <c r="D3483" s="80">
        <f t="shared" si="111"/>
        <v>2020</v>
      </c>
      <c r="E3483" t="s">
        <v>38</v>
      </c>
      <c r="F3483" t="s">
        <v>143</v>
      </c>
      <c r="G3483" t="s">
        <v>10</v>
      </c>
      <c r="H3483" s="72">
        <v>830</v>
      </c>
      <c r="I3483" s="72" t="s">
        <v>60</v>
      </c>
      <c r="J3483" t="str">
        <f t="shared" si="112"/>
        <v>Skagit River</v>
      </c>
      <c r="K3483" t="str">
        <f>IFERROR(VLOOKUP(J3483,LUTs!$A$1:$C$73,2,FALSE),"NA")</f>
        <v>Skagit/Whatcom</v>
      </c>
      <c r="L3483" t="str">
        <f>IFERROR(VLOOKUP(J3483,LUTs!$A$1:$C$73,3,FALSE),"NA")</f>
        <v>2Central Puget Sound</v>
      </c>
      <c r="M3483" s="72" t="s">
        <v>24</v>
      </c>
      <c r="N3483" t="str">
        <f>VLOOKUP(M3483,LUTs!E$2:H$14,3,)</f>
        <v>11Clallam</v>
      </c>
      <c r="O3483" t="str">
        <f>VLOOKUP(M3483,LUTs!E$2:H$14,4,)</f>
        <v>03Strait of Juan de Fuca</v>
      </c>
      <c r="P3483" s="73">
        <v>12.0746268656716</v>
      </c>
      <c r="Q3483" s="74">
        <f>VLOOKUP(B3483,Readme!A$40:C$51,2,)*P3483</f>
        <v>104.44552238805935</v>
      </c>
    </row>
    <row r="3484" spans="1:17" ht="12" customHeight="1" x14ac:dyDescent="0.35">
      <c r="A3484" s="75">
        <v>3483</v>
      </c>
      <c r="B3484" s="64">
        <v>2020</v>
      </c>
      <c r="C3484" s="64">
        <v>10</v>
      </c>
      <c r="D3484" s="80">
        <f t="shared" si="111"/>
        <v>2020</v>
      </c>
      <c r="E3484" t="s">
        <v>38</v>
      </c>
      <c r="F3484" t="s">
        <v>143</v>
      </c>
      <c r="G3484" t="s">
        <v>10</v>
      </c>
      <c r="H3484" s="72">
        <v>830</v>
      </c>
      <c r="I3484" s="72" t="s">
        <v>60</v>
      </c>
      <c r="J3484" t="str">
        <f t="shared" si="112"/>
        <v>Skagit River</v>
      </c>
      <c r="K3484" t="str">
        <f>IFERROR(VLOOKUP(J3484,LUTs!$A$1:$C$73,2,FALSE),"NA")</f>
        <v>Skagit/Whatcom</v>
      </c>
      <c r="L3484" t="str">
        <f>IFERROR(VLOOKUP(J3484,LUTs!$A$1:$C$73,3,FALSE),"NA")</f>
        <v>2Central Puget Sound</v>
      </c>
      <c r="M3484" s="72" t="s">
        <v>17</v>
      </c>
      <c r="N3484" t="str">
        <f>VLOOKUP(M3484,LUTs!E$2:H$14,3,)</f>
        <v>04Island</v>
      </c>
      <c r="O3484" t="str">
        <f>VLOOKUP(M3484,LUTs!E$2:H$14,4,)</f>
        <v>01North Puget Sound</v>
      </c>
      <c r="P3484" s="73">
        <v>12.0746268656716</v>
      </c>
      <c r="Q3484" s="74">
        <f>VLOOKUP(B3484,Readme!A$40:C$51,2,)*P3484</f>
        <v>104.44552238805935</v>
      </c>
    </row>
    <row r="3485" spans="1:17" ht="12" customHeight="1" x14ac:dyDescent="0.35">
      <c r="A3485" s="75">
        <v>3484</v>
      </c>
      <c r="B3485" s="64">
        <v>2020</v>
      </c>
      <c r="C3485" s="64">
        <v>10</v>
      </c>
      <c r="D3485" s="80">
        <f t="shared" si="111"/>
        <v>2020</v>
      </c>
      <c r="E3485" t="s">
        <v>38</v>
      </c>
      <c r="F3485" t="s">
        <v>143</v>
      </c>
      <c r="G3485" t="s">
        <v>10</v>
      </c>
      <c r="H3485" s="72">
        <v>830</v>
      </c>
      <c r="I3485" s="72" t="s">
        <v>60</v>
      </c>
      <c r="J3485" t="str">
        <f t="shared" si="112"/>
        <v>Skagit River</v>
      </c>
      <c r="K3485" t="str">
        <f>IFERROR(VLOOKUP(J3485,LUTs!$A$1:$C$73,2,FALSE),"NA")</f>
        <v>Skagit/Whatcom</v>
      </c>
      <c r="L3485" t="str">
        <f>IFERROR(VLOOKUP(J3485,LUTs!$A$1:$C$73,3,FALSE),"NA")</f>
        <v>2Central Puget Sound</v>
      </c>
      <c r="M3485" s="72" t="s">
        <v>25</v>
      </c>
      <c r="N3485" t="str">
        <f>VLOOKUP(M3485,LUTs!E$2:H$14,3,)</f>
        <v>12Jefferson</v>
      </c>
      <c r="O3485" t="str">
        <f>VLOOKUP(M3485,LUTs!E$2:H$14,4,)</f>
        <v>03Strait of Juan de Fuca</v>
      </c>
      <c r="P3485" s="73">
        <v>24.1492537313433</v>
      </c>
      <c r="Q3485" s="74">
        <f>VLOOKUP(B3485,Readme!A$40:C$51,2,)*P3485</f>
        <v>208.89104477611957</v>
      </c>
    </row>
    <row r="3486" spans="1:17" ht="12" customHeight="1" x14ac:dyDescent="0.35">
      <c r="A3486" s="75">
        <v>3485</v>
      </c>
      <c r="B3486" s="64">
        <v>2020</v>
      </c>
      <c r="C3486" s="64">
        <v>10</v>
      </c>
      <c r="D3486" s="80">
        <f t="shared" si="111"/>
        <v>2020</v>
      </c>
      <c r="E3486" t="s">
        <v>38</v>
      </c>
      <c r="F3486" t="s">
        <v>143</v>
      </c>
      <c r="G3486" t="s">
        <v>10</v>
      </c>
      <c r="H3486" s="72">
        <v>830</v>
      </c>
      <c r="I3486" s="72" t="s">
        <v>60</v>
      </c>
      <c r="J3486" t="str">
        <f t="shared" si="112"/>
        <v>Skagit River</v>
      </c>
      <c r="K3486" t="str">
        <f>IFERROR(VLOOKUP(J3486,LUTs!$A$1:$C$73,2,FALSE),"NA")</f>
        <v>Skagit/Whatcom</v>
      </c>
      <c r="L3486" t="str">
        <f>IFERROR(VLOOKUP(J3486,LUTs!$A$1:$C$73,3,FALSE),"NA")</f>
        <v>2Central Puget Sound</v>
      </c>
      <c r="M3486" s="72" t="s">
        <v>18</v>
      </c>
      <c r="N3486" t="str">
        <f>VLOOKUP(M3486,LUTs!E$2:H$14,3,)</f>
        <v>06King</v>
      </c>
      <c r="O3486" t="str">
        <f>VLOOKUP(M3486,LUTs!E$2:H$14,4,)</f>
        <v>02South Puget Sound</v>
      </c>
      <c r="P3486" s="73">
        <v>386.38805970149298</v>
      </c>
      <c r="Q3486" s="74">
        <f>VLOOKUP(B3486,Readme!A$40:C$51,2,)*P3486</f>
        <v>3342.2567164179145</v>
      </c>
    </row>
    <row r="3487" spans="1:17" ht="12" customHeight="1" x14ac:dyDescent="0.35">
      <c r="A3487" s="75">
        <v>3486</v>
      </c>
      <c r="B3487" s="64">
        <v>2020</v>
      </c>
      <c r="C3487" s="64">
        <v>10</v>
      </c>
      <c r="D3487" s="80">
        <f t="shared" si="111"/>
        <v>2020</v>
      </c>
      <c r="E3487" t="s">
        <v>38</v>
      </c>
      <c r="F3487" t="s">
        <v>143</v>
      </c>
      <c r="G3487" t="s">
        <v>10</v>
      </c>
      <c r="H3487" s="72">
        <v>830</v>
      </c>
      <c r="I3487" s="72" t="s">
        <v>60</v>
      </c>
      <c r="J3487" t="str">
        <f t="shared" si="112"/>
        <v>Skagit River</v>
      </c>
      <c r="K3487" t="str">
        <f>IFERROR(VLOOKUP(J3487,LUTs!$A$1:$C$73,2,FALSE),"NA")</f>
        <v>Skagit/Whatcom</v>
      </c>
      <c r="L3487" t="str">
        <f>IFERROR(VLOOKUP(J3487,LUTs!$A$1:$C$73,3,FALSE),"NA")</f>
        <v>2Central Puget Sound</v>
      </c>
      <c r="M3487" s="72" t="s">
        <v>23</v>
      </c>
      <c r="N3487" t="str">
        <f>VLOOKUP(M3487,LUTs!E$2:H$14,3,)</f>
        <v>10Kitsap</v>
      </c>
      <c r="O3487" t="str">
        <f>VLOOKUP(M3487,LUTs!E$2:H$14,4,)</f>
        <v>02South Puget Sound</v>
      </c>
      <c r="P3487" s="73">
        <v>48.298507462686601</v>
      </c>
      <c r="Q3487" s="74">
        <f>VLOOKUP(B3487,Readme!A$40:C$51,2,)*P3487</f>
        <v>417.78208955223914</v>
      </c>
    </row>
    <row r="3488" spans="1:17" ht="12" customHeight="1" x14ac:dyDescent="0.35">
      <c r="A3488" s="75">
        <v>3487</v>
      </c>
      <c r="B3488" s="64">
        <v>2020</v>
      </c>
      <c r="C3488" s="64">
        <v>10</v>
      </c>
      <c r="D3488" s="80">
        <f t="shared" si="111"/>
        <v>2020</v>
      </c>
      <c r="E3488" t="s">
        <v>38</v>
      </c>
      <c r="F3488" t="s">
        <v>143</v>
      </c>
      <c r="G3488" t="s">
        <v>10</v>
      </c>
      <c r="H3488" s="72">
        <v>830</v>
      </c>
      <c r="I3488" s="72" t="s">
        <v>60</v>
      </c>
      <c r="J3488" t="str">
        <f t="shared" si="112"/>
        <v>Skagit River</v>
      </c>
      <c r="K3488" t="str">
        <f>IFERROR(VLOOKUP(J3488,LUTs!$A$1:$C$73,2,FALSE),"NA")</f>
        <v>Skagit/Whatcom</v>
      </c>
      <c r="L3488" t="str">
        <f>IFERROR(VLOOKUP(J3488,LUTs!$A$1:$C$73,3,FALSE),"NA")</f>
        <v>2Central Puget Sound</v>
      </c>
      <c r="M3488" s="72" t="s">
        <v>26</v>
      </c>
      <c r="N3488" t="str">
        <f>VLOOKUP(M3488,LUTs!E$2:H$14,3,)</f>
        <v>20Other</v>
      </c>
      <c r="O3488" t="str">
        <f>VLOOKUP(M3488,LUTs!E$2:H$14,4,)</f>
        <v>07Non Puget Sound</v>
      </c>
      <c r="P3488" s="73">
        <v>60.373134328358198</v>
      </c>
      <c r="Q3488" s="74">
        <f>VLOOKUP(B3488,Readme!A$40:C$51,2,)*P3488</f>
        <v>522.2276119402984</v>
      </c>
    </row>
    <row r="3489" spans="1:17" ht="12" customHeight="1" x14ac:dyDescent="0.35">
      <c r="A3489" s="75">
        <v>3488</v>
      </c>
      <c r="B3489" s="64">
        <v>2020</v>
      </c>
      <c r="C3489" s="64">
        <v>10</v>
      </c>
      <c r="D3489" s="80">
        <f t="shared" si="111"/>
        <v>2020</v>
      </c>
      <c r="E3489" t="s">
        <v>38</v>
      </c>
      <c r="F3489" t="s">
        <v>143</v>
      </c>
      <c r="G3489" t="s">
        <v>10</v>
      </c>
      <c r="H3489" s="72">
        <v>830</v>
      </c>
      <c r="I3489" s="72" t="s">
        <v>60</v>
      </c>
      <c r="J3489" t="str">
        <f t="shared" si="112"/>
        <v>Skagit River</v>
      </c>
      <c r="K3489" t="str">
        <f>IFERROR(VLOOKUP(J3489,LUTs!$A$1:$C$73,2,FALSE),"NA")</f>
        <v>Skagit/Whatcom</v>
      </c>
      <c r="L3489" t="str">
        <f>IFERROR(VLOOKUP(J3489,LUTs!$A$1:$C$73,3,FALSE),"NA")</f>
        <v>2Central Puget Sound</v>
      </c>
      <c r="M3489" s="72" t="s">
        <v>20</v>
      </c>
      <c r="N3489" t="str">
        <f>VLOOKUP(M3489,LUTs!E$2:H$14,3,)</f>
        <v>07Pierce</v>
      </c>
      <c r="O3489" t="str">
        <f>VLOOKUP(M3489,LUTs!E$2:H$14,4,)</f>
        <v>02South Puget Sound</v>
      </c>
      <c r="P3489" s="73">
        <v>36.223880597014897</v>
      </c>
      <c r="Q3489" s="74">
        <f>VLOOKUP(B3489,Readme!A$40:C$51,2,)*P3489</f>
        <v>313.33656716417886</v>
      </c>
    </row>
    <row r="3490" spans="1:17" ht="12" customHeight="1" x14ac:dyDescent="0.35">
      <c r="A3490" s="75">
        <v>3489</v>
      </c>
      <c r="B3490" s="64">
        <v>2020</v>
      </c>
      <c r="C3490" s="64">
        <v>10</v>
      </c>
      <c r="D3490" s="80">
        <f t="shared" si="111"/>
        <v>2020</v>
      </c>
      <c r="E3490" t="s">
        <v>38</v>
      </c>
      <c r="F3490" t="s">
        <v>143</v>
      </c>
      <c r="G3490" t="s">
        <v>10</v>
      </c>
      <c r="H3490" s="72">
        <v>830</v>
      </c>
      <c r="I3490" s="72" t="s">
        <v>60</v>
      </c>
      <c r="J3490" t="str">
        <f t="shared" si="112"/>
        <v>Skagit River</v>
      </c>
      <c r="K3490" t="str">
        <f>IFERROR(VLOOKUP(J3490,LUTs!$A$1:$C$73,2,FALSE),"NA")</f>
        <v>Skagit/Whatcom</v>
      </c>
      <c r="L3490" t="str">
        <f>IFERROR(VLOOKUP(J3490,LUTs!$A$1:$C$73,3,FALSE),"NA")</f>
        <v>2Central Puget Sound</v>
      </c>
      <c r="M3490" s="72" t="s">
        <v>15</v>
      </c>
      <c r="N3490" t="str">
        <f>VLOOKUP(M3490,LUTs!E$2:H$14,3,)</f>
        <v>02Skagit</v>
      </c>
      <c r="O3490" t="str">
        <f>VLOOKUP(M3490,LUTs!E$2:H$14,4,)</f>
        <v>01North Puget Sound</v>
      </c>
      <c r="P3490" s="73">
        <v>1956.08955223881</v>
      </c>
      <c r="Q3490" s="74">
        <f>VLOOKUP(B3490,Readme!A$40:C$51,2,)*P3490</f>
        <v>16920.174626865708</v>
      </c>
    </row>
    <row r="3491" spans="1:17" ht="12" customHeight="1" x14ac:dyDescent="0.35">
      <c r="A3491" s="75">
        <v>3490</v>
      </c>
      <c r="B3491" s="64">
        <v>2020</v>
      </c>
      <c r="C3491" s="64">
        <v>10</v>
      </c>
      <c r="D3491" s="80">
        <f t="shared" si="111"/>
        <v>2020</v>
      </c>
      <c r="E3491" t="s">
        <v>38</v>
      </c>
      <c r="F3491" t="s">
        <v>143</v>
      </c>
      <c r="G3491" t="s">
        <v>10</v>
      </c>
      <c r="H3491" s="72">
        <v>830</v>
      </c>
      <c r="I3491" s="72" t="s">
        <v>60</v>
      </c>
      <c r="J3491" t="str">
        <f t="shared" si="112"/>
        <v>Skagit River</v>
      </c>
      <c r="K3491" t="str">
        <f>IFERROR(VLOOKUP(J3491,LUTs!$A$1:$C$73,2,FALSE),"NA")</f>
        <v>Skagit/Whatcom</v>
      </c>
      <c r="L3491" t="str">
        <f>IFERROR(VLOOKUP(J3491,LUTs!$A$1:$C$73,3,FALSE),"NA")</f>
        <v>2Central Puget Sound</v>
      </c>
      <c r="M3491" s="72" t="s">
        <v>16</v>
      </c>
      <c r="N3491" t="str">
        <f>VLOOKUP(M3491,LUTs!E$2:H$14,3,)</f>
        <v>03Snohomish</v>
      </c>
      <c r="O3491" t="str">
        <f>VLOOKUP(M3491,LUTs!E$2:H$14,4,)</f>
        <v>01North Puget Sound</v>
      </c>
      <c r="P3491" s="73">
        <v>326.01492537313402</v>
      </c>
      <c r="Q3491" s="74">
        <f>VLOOKUP(B3491,Readme!A$40:C$51,2,)*P3491</f>
        <v>2820.0291044776095</v>
      </c>
    </row>
    <row r="3492" spans="1:17" ht="12" customHeight="1" x14ac:dyDescent="0.35">
      <c r="A3492" s="75">
        <v>3491</v>
      </c>
      <c r="B3492" s="64">
        <v>2020</v>
      </c>
      <c r="C3492" s="64">
        <v>10</v>
      </c>
      <c r="D3492" s="80">
        <f t="shared" si="111"/>
        <v>2020</v>
      </c>
      <c r="E3492" t="s">
        <v>38</v>
      </c>
      <c r="F3492" t="s">
        <v>143</v>
      </c>
      <c r="G3492" t="s">
        <v>10</v>
      </c>
      <c r="H3492" s="72">
        <v>830</v>
      </c>
      <c r="I3492" s="72" t="s">
        <v>60</v>
      </c>
      <c r="J3492" t="str">
        <f t="shared" si="112"/>
        <v>Skagit River</v>
      </c>
      <c r="K3492" t="str">
        <f>IFERROR(VLOOKUP(J3492,LUTs!$A$1:$C$73,2,FALSE),"NA")</f>
        <v>Skagit/Whatcom</v>
      </c>
      <c r="L3492" t="str">
        <f>IFERROR(VLOOKUP(J3492,LUTs!$A$1:$C$73,3,FALSE),"NA")</f>
        <v>2Central Puget Sound</v>
      </c>
      <c r="M3492" s="72" t="s">
        <v>13</v>
      </c>
      <c r="N3492" t="str">
        <f>VLOOKUP(M3492,LUTs!E$2:H$14,3,)</f>
        <v>01Whatcom</v>
      </c>
      <c r="O3492" t="str">
        <f>VLOOKUP(M3492,LUTs!E$2:H$14,4,)</f>
        <v>01North Puget Sound</v>
      </c>
      <c r="P3492" s="73">
        <v>374.313432835821</v>
      </c>
      <c r="Q3492" s="74">
        <f>VLOOKUP(B3492,Readme!A$40:C$51,2,)*P3492</f>
        <v>3237.8111940298518</v>
      </c>
    </row>
    <row r="3493" spans="1:17" ht="12" customHeight="1" x14ac:dyDescent="0.35">
      <c r="A3493" s="75">
        <v>3492</v>
      </c>
      <c r="B3493" s="64">
        <v>2020</v>
      </c>
      <c r="C3493" s="64">
        <v>11</v>
      </c>
      <c r="D3493" s="80">
        <f t="shared" si="111"/>
        <v>2020</v>
      </c>
      <c r="E3493" t="s">
        <v>38</v>
      </c>
      <c r="F3493" t="s">
        <v>143</v>
      </c>
      <c r="G3493" t="s">
        <v>10</v>
      </c>
      <c r="H3493" s="72">
        <v>830</v>
      </c>
      <c r="I3493" s="72" t="s">
        <v>60</v>
      </c>
      <c r="J3493" t="str">
        <f t="shared" si="112"/>
        <v>Skagit River</v>
      </c>
      <c r="K3493" t="str">
        <f>IFERROR(VLOOKUP(J3493,LUTs!$A$1:$C$73,2,FALSE),"NA")</f>
        <v>Skagit/Whatcom</v>
      </c>
      <c r="L3493" t="str">
        <f>IFERROR(VLOOKUP(J3493,LUTs!$A$1:$C$73,3,FALSE),"NA")</f>
        <v>2Central Puget Sound</v>
      </c>
      <c r="M3493" s="72" t="s">
        <v>18</v>
      </c>
      <c r="N3493" t="str">
        <f>VLOOKUP(M3493,LUTs!E$2:H$14,3,)</f>
        <v>06King</v>
      </c>
      <c r="O3493" t="str">
        <f>VLOOKUP(M3493,LUTs!E$2:H$14,4,)</f>
        <v>02South Puget Sound</v>
      </c>
      <c r="P3493" s="73">
        <v>120.833333333333</v>
      </c>
      <c r="Q3493" s="74">
        <f>VLOOKUP(B3493,Readme!A$40:C$51,2,)*P3493</f>
        <v>1045.2083333333305</v>
      </c>
    </row>
    <row r="3494" spans="1:17" ht="12" customHeight="1" x14ac:dyDescent="0.35">
      <c r="A3494" s="75">
        <v>3493</v>
      </c>
      <c r="B3494" s="64">
        <v>2020</v>
      </c>
      <c r="C3494" s="64">
        <v>11</v>
      </c>
      <c r="D3494" s="80">
        <f t="shared" si="111"/>
        <v>2020</v>
      </c>
      <c r="E3494" t="s">
        <v>38</v>
      </c>
      <c r="F3494" t="s">
        <v>143</v>
      </c>
      <c r="G3494" t="s">
        <v>10</v>
      </c>
      <c r="H3494" s="72">
        <v>830</v>
      </c>
      <c r="I3494" s="72" t="s">
        <v>60</v>
      </c>
      <c r="J3494" t="str">
        <f t="shared" si="112"/>
        <v>Skagit River</v>
      </c>
      <c r="K3494" t="str">
        <f>IFERROR(VLOOKUP(J3494,LUTs!$A$1:$C$73,2,FALSE),"NA")</f>
        <v>Skagit/Whatcom</v>
      </c>
      <c r="L3494" t="str">
        <f>IFERROR(VLOOKUP(J3494,LUTs!$A$1:$C$73,3,FALSE),"NA")</f>
        <v>2Central Puget Sound</v>
      </c>
      <c r="M3494" s="72" t="s">
        <v>15</v>
      </c>
      <c r="N3494" t="str">
        <f>VLOOKUP(M3494,LUTs!E$2:H$14,3,)</f>
        <v>02Skagit</v>
      </c>
      <c r="O3494" t="str">
        <f>VLOOKUP(M3494,LUTs!E$2:H$14,4,)</f>
        <v>01North Puget Sound</v>
      </c>
      <c r="P3494" s="73">
        <v>265.83333333333297</v>
      </c>
      <c r="Q3494" s="74">
        <f>VLOOKUP(B3494,Readme!A$40:C$51,2,)*P3494</f>
        <v>2299.4583333333303</v>
      </c>
    </row>
    <row r="3495" spans="1:17" ht="12" customHeight="1" x14ac:dyDescent="0.35">
      <c r="A3495" s="75">
        <v>3494</v>
      </c>
      <c r="B3495" s="64">
        <v>2020</v>
      </c>
      <c r="C3495" s="64">
        <v>11</v>
      </c>
      <c r="D3495" s="80">
        <f t="shared" si="111"/>
        <v>2020</v>
      </c>
      <c r="E3495" t="s">
        <v>38</v>
      </c>
      <c r="F3495" t="s">
        <v>143</v>
      </c>
      <c r="G3495" t="s">
        <v>10</v>
      </c>
      <c r="H3495" s="72">
        <v>830</v>
      </c>
      <c r="I3495" s="72" t="s">
        <v>60</v>
      </c>
      <c r="J3495" t="str">
        <f t="shared" si="112"/>
        <v>Skagit River</v>
      </c>
      <c r="K3495" t="str">
        <f>IFERROR(VLOOKUP(J3495,LUTs!$A$1:$C$73,2,FALSE),"NA")</f>
        <v>Skagit/Whatcom</v>
      </c>
      <c r="L3495" t="str">
        <f>IFERROR(VLOOKUP(J3495,LUTs!$A$1:$C$73,3,FALSE),"NA")</f>
        <v>2Central Puget Sound</v>
      </c>
      <c r="M3495" s="72" t="s">
        <v>13</v>
      </c>
      <c r="N3495" t="str">
        <f>VLOOKUP(M3495,LUTs!E$2:H$14,3,)</f>
        <v>01Whatcom</v>
      </c>
      <c r="O3495" t="str">
        <f>VLOOKUP(M3495,LUTs!E$2:H$14,4,)</f>
        <v>01North Puget Sound</v>
      </c>
      <c r="P3495" s="73">
        <v>48.3333333333333</v>
      </c>
      <c r="Q3495" s="74">
        <f>VLOOKUP(B3495,Readme!A$40:C$51,2,)*P3495</f>
        <v>418.08333333333309</v>
      </c>
    </row>
    <row r="3496" spans="1:17" ht="12" customHeight="1" x14ac:dyDescent="0.35">
      <c r="A3496" s="75">
        <v>3495</v>
      </c>
      <c r="B3496" s="64">
        <v>2020</v>
      </c>
      <c r="C3496" s="64">
        <v>5</v>
      </c>
      <c r="D3496" s="80">
        <f t="shared" si="111"/>
        <v>2020</v>
      </c>
      <c r="E3496" t="s">
        <v>38</v>
      </c>
      <c r="F3496" t="s">
        <v>143</v>
      </c>
      <c r="G3496" t="s">
        <v>10</v>
      </c>
      <c r="H3496" s="72">
        <v>844</v>
      </c>
      <c r="I3496" s="72" t="s">
        <v>62</v>
      </c>
      <c r="J3496" t="str">
        <f t="shared" si="112"/>
        <v>Skykomish River</v>
      </c>
      <c r="K3496" t="str">
        <f>IFERROR(VLOOKUP(J3496,LUTs!$A$1:$C$73,2,FALSE),"NA")</f>
        <v>Snohomish</v>
      </c>
      <c r="L3496" t="str">
        <f>IFERROR(VLOOKUP(J3496,LUTs!$A$1:$C$73,3,FALSE),"NA")</f>
        <v>2Central Puget Sound</v>
      </c>
      <c r="M3496" s="72" t="s">
        <v>18</v>
      </c>
      <c r="N3496" t="str">
        <f>VLOOKUP(M3496,LUTs!E$2:H$14,3,)</f>
        <v>06King</v>
      </c>
      <c r="O3496" t="str">
        <f>VLOOKUP(M3496,LUTs!E$2:H$14,4,)</f>
        <v>02South Puget Sound</v>
      </c>
      <c r="P3496" s="73">
        <v>20</v>
      </c>
      <c r="Q3496" s="74">
        <f>VLOOKUP(B3496,Readme!A$40:C$51,2,)*P3496</f>
        <v>173</v>
      </c>
    </row>
    <row r="3497" spans="1:17" ht="12" customHeight="1" x14ac:dyDescent="0.35">
      <c r="A3497" s="75">
        <v>3496</v>
      </c>
      <c r="B3497" s="64">
        <v>2020</v>
      </c>
      <c r="C3497" s="64">
        <v>5</v>
      </c>
      <c r="D3497" s="80">
        <f t="shared" si="111"/>
        <v>2020</v>
      </c>
      <c r="E3497" t="s">
        <v>38</v>
      </c>
      <c r="F3497" t="s">
        <v>143</v>
      </c>
      <c r="G3497" t="s">
        <v>10</v>
      </c>
      <c r="H3497" s="72">
        <v>844</v>
      </c>
      <c r="I3497" s="72" t="s">
        <v>62</v>
      </c>
      <c r="J3497" t="str">
        <f t="shared" si="112"/>
        <v>Skykomish River</v>
      </c>
      <c r="K3497" t="str">
        <f>IFERROR(VLOOKUP(J3497,LUTs!$A$1:$C$73,2,FALSE),"NA")</f>
        <v>Snohomish</v>
      </c>
      <c r="L3497" t="str">
        <f>IFERROR(VLOOKUP(J3497,LUTs!$A$1:$C$73,3,FALSE),"NA")</f>
        <v>2Central Puget Sound</v>
      </c>
      <c r="M3497" s="72" t="s">
        <v>16</v>
      </c>
      <c r="N3497" t="str">
        <f>VLOOKUP(M3497,LUTs!E$2:H$14,3,)</f>
        <v>03Snohomish</v>
      </c>
      <c r="O3497" t="str">
        <f>VLOOKUP(M3497,LUTs!E$2:H$14,4,)</f>
        <v>01North Puget Sound</v>
      </c>
      <c r="P3497" s="73">
        <v>20</v>
      </c>
      <c r="Q3497" s="74">
        <f>VLOOKUP(B3497,Readme!A$40:C$51,2,)*P3497</f>
        <v>173</v>
      </c>
    </row>
    <row r="3498" spans="1:17" ht="12" customHeight="1" x14ac:dyDescent="0.35">
      <c r="A3498" s="75">
        <v>3497</v>
      </c>
      <c r="B3498" s="64">
        <v>2020</v>
      </c>
      <c r="C3498" s="64">
        <v>6</v>
      </c>
      <c r="D3498" s="80">
        <f t="shared" si="111"/>
        <v>2020</v>
      </c>
      <c r="E3498" t="s">
        <v>38</v>
      </c>
      <c r="F3498" t="s">
        <v>143</v>
      </c>
      <c r="G3498" t="s">
        <v>10</v>
      </c>
      <c r="H3498" s="72">
        <v>844</v>
      </c>
      <c r="I3498" s="72" t="s">
        <v>62</v>
      </c>
      <c r="J3498" t="str">
        <f t="shared" si="112"/>
        <v>Skykomish River</v>
      </c>
      <c r="K3498" t="str">
        <f>IFERROR(VLOOKUP(J3498,LUTs!$A$1:$C$73,2,FALSE),"NA")</f>
        <v>Snohomish</v>
      </c>
      <c r="L3498" t="str">
        <f>IFERROR(VLOOKUP(J3498,LUTs!$A$1:$C$73,3,FALSE),"NA")</f>
        <v>2Central Puget Sound</v>
      </c>
      <c r="M3498" s="72" t="s">
        <v>18</v>
      </c>
      <c r="N3498" t="str">
        <f>VLOOKUP(M3498,LUTs!E$2:H$14,3,)</f>
        <v>06King</v>
      </c>
      <c r="O3498" t="str">
        <f>VLOOKUP(M3498,LUTs!E$2:H$14,4,)</f>
        <v>02South Puget Sound</v>
      </c>
      <c r="P3498" s="73">
        <v>99.857142857142904</v>
      </c>
      <c r="Q3498" s="74">
        <f>VLOOKUP(B3498,Readme!A$40:C$51,2,)*P3498</f>
        <v>863.76428571428619</v>
      </c>
    </row>
    <row r="3499" spans="1:17" ht="12" customHeight="1" x14ac:dyDescent="0.35">
      <c r="A3499" s="75">
        <v>3498</v>
      </c>
      <c r="B3499" s="64">
        <v>2020</v>
      </c>
      <c r="C3499" s="64">
        <v>6</v>
      </c>
      <c r="D3499" s="80">
        <f t="shared" si="111"/>
        <v>2020</v>
      </c>
      <c r="E3499" t="s">
        <v>38</v>
      </c>
      <c r="F3499" t="s">
        <v>143</v>
      </c>
      <c r="G3499" t="s">
        <v>10</v>
      </c>
      <c r="H3499" s="72">
        <v>844</v>
      </c>
      <c r="I3499" s="72" t="s">
        <v>62</v>
      </c>
      <c r="J3499" t="str">
        <f t="shared" si="112"/>
        <v>Skykomish River</v>
      </c>
      <c r="K3499" t="str">
        <f>IFERROR(VLOOKUP(J3499,LUTs!$A$1:$C$73,2,FALSE),"NA")</f>
        <v>Snohomish</v>
      </c>
      <c r="L3499" t="str">
        <f>IFERROR(VLOOKUP(J3499,LUTs!$A$1:$C$73,3,FALSE),"NA")</f>
        <v>2Central Puget Sound</v>
      </c>
      <c r="M3499" s="72" t="s">
        <v>26</v>
      </c>
      <c r="N3499" t="str">
        <f>VLOOKUP(M3499,LUTs!E$2:H$14,3,)</f>
        <v>20Other</v>
      </c>
      <c r="O3499" t="str">
        <f>VLOOKUP(M3499,LUTs!E$2:H$14,4,)</f>
        <v>07Non Puget Sound</v>
      </c>
      <c r="P3499" s="73">
        <v>33.285714285714299</v>
      </c>
      <c r="Q3499" s="74">
        <f>VLOOKUP(B3499,Readme!A$40:C$51,2,)*P3499</f>
        <v>287.92142857142869</v>
      </c>
    </row>
    <row r="3500" spans="1:17" ht="12" customHeight="1" x14ac:dyDescent="0.35">
      <c r="A3500" s="75">
        <v>3499</v>
      </c>
      <c r="B3500" s="64">
        <v>2020</v>
      </c>
      <c r="C3500" s="64">
        <v>6</v>
      </c>
      <c r="D3500" s="80">
        <f t="shared" si="111"/>
        <v>2020</v>
      </c>
      <c r="E3500" t="s">
        <v>38</v>
      </c>
      <c r="F3500" t="s">
        <v>143</v>
      </c>
      <c r="G3500" t="s">
        <v>10</v>
      </c>
      <c r="H3500" s="72">
        <v>844</v>
      </c>
      <c r="I3500" s="72" t="s">
        <v>62</v>
      </c>
      <c r="J3500" t="str">
        <f t="shared" si="112"/>
        <v>Skykomish River</v>
      </c>
      <c r="K3500" t="str">
        <f>IFERROR(VLOOKUP(J3500,LUTs!$A$1:$C$73,2,FALSE),"NA")</f>
        <v>Snohomish</v>
      </c>
      <c r="L3500" t="str">
        <f>IFERROR(VLOOKUP(J3500,LUTs!$A$1:$C$73,3,FALSE),"NA")</f>
        <v>2Central Puget Sound</v>
      </c>
      <c r="M3500" s="72" t="s">
        <v>16</v>
      </c>
      <c r="N3500" t="str">
        <f>VLOOKUP(M3500,LUTs!E$2:H$14,3,)</f>
        <v>03Snohomish</v>
      </c>
      <c r="O3500" t="str">
        <f>VLOOKUP(M3500,LUTs!E$2:H$14,4,)</f>
        <v>01North Puget Sound</v>
      </c>
      <c r="P3500" s="73">
        <v>299.57142857142901</v>
      </c>
      <c r="Q3500" s="74">
        <f>VLOOKUP(B3500,Readme!A$40:C$51,2,)*P3500</f>
        <v>2591.2928571428611</v>
      </c>
    </row>
    <row r="3501" spans="1:17" ht="12" customHeight="1" x14ac:dyDescent="0.35">
      <c r="A3501" s="75">
        <v>3500</v>
      </c>
      <c r="B3501" s="64">
        <v>2020</v>
      </c>
      <c r="C3501" s="64">
        <v>6</v>
      </c>
      <c r="D3501" s="80">
        <f t="shared" si="111"/>
        <v>2020</v>
      </c>
      <c r="E3501" t="s">
        <v>38</v>
      </c>
      <c r="F3501" t="s">
        <v>143</v>
      </c>
      <c r="G3501" t="s">
        <v>10</v>
      </c>
      <c r="H3501" s="72">
        <v>844</v>
      </c>
      <c r="I3501" s="72" t="s">
        <v>62</v>
      </c>
      <c r="J3501" t="str">
        <f t="shared" si="112"/>
        <v>Skykomish River</v>
      </c>
      <c r="K3501" t="str">
        <f>IFERROR(VLOOKUP(J3501,LUTs!$A$1:$C$73,2,FALSE),"NA")</f>
        <v>Snohomish</v>
      </c>
      <c r="L3501" t="str">
        <f>IFERROR(VLOOKUP(J3501,LUTs!$A$1:$C$73,3,FALSE),"NA")</f>
        <v>2Central Puget Sound</v>
      </c>
      <c r="M3501" s="72" t="s">
        <v>21</v>
      </c>
      <c r="N3501" t="str">
        <f>VLOOKUP(M3501,LUTs!E$2:H$14,3,)</f>
        <v>08Thurston</v>
      </c>
      <c r="O3501" t="str">
        <f>VLOOKUP(M3501,LUTs!E$2:H$14,4,)</f>
        <v>02South Puget Sound</v>
      </c>
      <c r="P3501" s="73">
        <v>33.285714285714299</v>
      </c>
      <c r="Q3501" s="74">
        <f>VLOOKUP(B3501,Readme!A$40:C$51,2,)*P3501</f>
        <v>287.92142857142869</v>
      </c>
    </row>
    <row r="3502" spans="1:17" ht="12" customHeight="1" x14ac:dyDescent="0.35">
      <c r="A3502" s="75">
        <v>3501</v>
      </c>
      <c r="B3502" s="64">
        <v>2020</v>
      </c>
      <c r="C3502" s="64">
        <v>7</v>
      </c>
      <c r="D3502" s="80">
        <f t="shared" si="111"/>
        <v>2020</v>
      </c>
      <c r="E3502" t="s">
        <v>38</v>
      </c>
      <c r="F3502" t="s">
        <v>143</v>
      </c>
      <c r="G3502" t="s">
        <v>10</v>
      </c>
      <c r="H3502" s="72">
        <v>844</v>
      </c>
      <c r="I3502" s="72" t="s">
        <v>62</v>
      </c>
      <c r="J3502" t="str">
        <f t="shared" si="112"/>
        <v>Skykomish River</v>
      </c>
      <c r="K3502" t="str">
        <f>IFERROR(VLOOKUP(J3502,LUTs!$A$1:$C$73,2,FALSE),"NA")</f>
        <v>Snohomish</v>
      </c>
      <c r="L3502" t="str">
        <f>IFERROR(VLOOKUP(J3502,LUTs!$A$1:$C$73,3,FALSE),"NA")</f>
        <v>2Central Puget Sound</v>
      </c>
      <c r="M3502" s="72" t="s">
        <v>18</v>
      </c>
      <c r="N3502" t="str">
        <f>VLOOKUP(M3502,LUTs!E$2:H$14,3,)</f>
        <v>06King</v>
      </c>
      <c r="O3502" t="str">
        <f>VLOOKUP(M3502,LUTs!E$2:H$14,4,)</f>
        <v>02South Puget Sound</v>
      </c>
      <c r="P3502" s="73">
        <v>361.08108108108098</v>
      </c>
      <c r="Q3502" s="74">
        <f>VLOOKUP(B3502,Readme!A$40:C$51,2,)*P3502</f>
        <v>3123.3513513513508</v>
      </c>
    </row>
    <row r="3503" spans="1:17" ht="12" customHeight="1" x14ac:dyDescent="0.35">
      <c r="A3503" s="75">
        <v>3502</v>
      </c>
      <c r="B3503" s="64">
        <v>2020</v>
      </c>
      <c r="C3503" s="64">
        <v>7</v>
      </c>
      <c r="D3503" s="80">
        <f t="shared" si="111"/>
        <v>2020</v>
      </c>
      <c r="E3503" t="s">
        <v>38</v>
      </c>
      <c r="F3503" t="s">
        <v>143</v>
      </c>
      <c r="G3503" t="s">
        <v>10</v>
      </c>
      <c r="H3503" s="72">
        <v>844</v>
      </c>
      <c r="I3503" s="72" t="s">
        <v>62</v>
      </c>
      <c r="J3503" t="str">
        <f t="shared" si="112"/>
        <v>Skykomish River</v>
      </c>
      <c r="K3503" t="str">
        <f>IFERROR(VLOOKUP(J3503,LUTs!$A$1:$C$73,2,FALSE),"NA")</f>
        <v>Snohomish</v>
      </c>
      <c r="L3503" t="str">
        <f>IFERROR(VLOOKUP(J3503,LUTs!$A$1:$C$73,3,FALSE),"NA")</f>
        <v>2Central Puget Sound</v>
      </c>
      <c r="M3503" s="72" t="s">
        <v>20</v>
      </c>
      <c r="N3503" t="str">
        <f>VLOOKUP(M3503,LUTs!E$2:H$14,3,)</f>
        <v>07Pierce</v>
      </c>
      <c r="O3503" t="str">
        <f>VLOOKUP(M3503,LUTs!E$2:H$14,4,)</f>
        <v>02South Puget Sound</v>
      </c>
      <c r="P3503" s="73">
        <v>72.216216216216196</v>
      </c>
      <c r="Q3503" s="74">
        <f>VLOOKUP(B3503,Readme!A$40:C$51,2,)*P3503</f>
        <v>624.67027027027018</v>
      </c>
    </row>
    <row r="3504" spans="1:17" ht="12" customHeight="1" x14ac:dyDescent="0.35">
      <c r="A3504" s="75">
        <v>3503</v>
      </c>
      <c r="B3504" s="64">
        <v>2020</v>
      </c>
      <c r="C3504" s="64">
        <v>7</v>
      </c>
      <c r="D3504" s="80">
        <f t="shared" si="111"/>
        <v>2020</v>
      </c>
      <c r="E3504" t="s">
        <v>38</v>
      </c>
      <c r="F3504" t="s">
        <v>143</v>
      </c>
      <c r="G3504" t="s">
        <v>10</v>
      </c>
      <c r="H3504" s="72">
        <v>844</v>
      </c>
      <c r="I3504" s="72" t="s">
        <v>62</v>
      </c>
      <c r="J3504" t="str">
        <f t="shared" si="112"/>
        <v>Skykomish River</v>
      </c>
      <c r="K3504" t="str">
        <f>IFERROR(VLOOKUP(J3504,LUTs!$A$1:$C$73,2,FALSE),"NA")</f>
        <v>Snohomish</v>
      </c>
      <c r="L3504" t="str">
        <f>IFERROR(VLOOKUP(J3504,LUTs!$A$1:$C$73,3,FALSE),"NA")</f>
        <v>2Central Puget Sound</v>
      </c>
      <c r="M3504" s="72" t="s">
        <v>15</v>
      </c>
      <c r="N3504" t="str">
        <f>VLOOKUP(M3504,LUTs!E$2:H$14,3,)</f>
        <v>02Skagit</v>
      </c>
      <c r="O3504" t="str">
        <f>VLOOKUP(M3504,LUTs!E$2:H$14,4,)</f>
        <v>01North Puget Sound</v>
      </c>
      <c r="P3504" s="73">
        <v>18.054054054054099</v>
      </c>
      <c r="Q3504" s="74">
        <f>VLOOKUP(B3504,Readme!A$40:C$51,2,)*P3504</f>
        <v>156.16756756756797</v>
      </c>
    </row>
    <row r="3505" spans="1:17" ht="12" customHeight="1" x14ac:dyDescent="0.35">
      <c r="A3505" s="75">
        <v>3504</v>
      </c>
      <c r="B3505" s="64">
        <v>2020</v>
      </c>
      <c r="C3505" s="64">
        <v>7</v>
      </c>
      <c r="D3505" s="80">
        <f t="shared" si="111"/>
        <v>2020</v>
      </c>
      <c r="E3505" t="s">
        <v>38</v>
      </c>
      <c r="F3505" t="s">
        <v>143</v>
      </c>
      <c r="G3505" t="s">
        <v>10</v>
      </c>
      <c r="H3505" s="72">
        <v>844</v>
      </c>
      <c r="I3505" s="72" t="s">
        <v>62</v>
      </c>
      <c r="J3505" t="str">
        <f t="shared" si="112"/>
        <v>Skykomish River</v>
      </c>
      <c r="K3505" t="str">
        <f>IFERROR(VLOOKUP(J3505,LUTs!$A$1:$C$73,2,FALSE),"NA")</f>
        <v>Snohomish</v>
      </c>
      <c r="L3505" t="str">
        <f>IFERROR(VLOOKUP(J3505,LUTs!$A$1:$C$73,3,FALSE),"NA")</f>
        <v>2Central Puget Sound</v>
      </c>
      <c r="M3505" s="72" t="s">
        <v>16</v>
      </c>
      <c r="N3505" t="str">
        <f>VLOOKUP(M3505,LUTs!E$2:H$14,3,)</f>
        <v>03Snohomish</v>
      </c>
      <c r="O3505" t="str">
        <f>VLOOKUP(M3505,LUTs!E$2:H$14,4,)</f>
        <v>01North Puget Sound</v>
      </c>
      <c r="P3505" s="73">
        <v>216.64864864864899</v>
      </c>
      <c r="Q3505" s="74">
        <f>VLOOKUP(B3505,Readme!A$40:C$51,2,)*P3505</f>
        <v>1874.0108108108138</v>
      </c>
    </row>
    <row r="3506" spans="1:17" ht="12" customHeight="1" x14ac:dyDescent="0.35">
      <c r="A3506" s="75">
        <v>3505</v>
      </c>
      <c r="B3506" s="64">
        <v>2020</v>
      </c>
      <c r="C3506" s="64">
        <v>9</v>
      </c>
      <c r="D3506" s="80">
        <f t="shared" si="111"/>
        <v>2020</v>
      </c>
      <c r="E3506" t="s">
        <v>38</v>
      </c>
      <c r="F3506" t="s">
        <v>143</v>
      </c>
      <c r="G3506" t="s">
        <v>10</v>
      </c>
      <c r="H3506" s="72">
        <v>860</v>
      </c>
      <c r="I3506" s="72" t="s">
        <v>76</v>
      </c>
      <c r="J3506" t="str">
        <f t="shared" si="112"/>
        <v>Wallace River</v>
      </c>
      <c r="K3506" t="str">
        <f>IFERROR(VLOOKUP(J3506,LUTs!$A$1:$C$73,2,FALSE),"NA")</f>
        <v>Snohomish</v>
      </c>
      <c r="L3506" t="str">
        <f>IFERROR(VLOOKUP(J3506,LUTs!$A$1:$C$73,3,FALSE),"NA")</f>
        <v>2Central Puget Sound</v>
      </c>
      <c r="M3506" s="72" t="s">
        <v>18</v>
      </c>
      <c r="N3506" t="str">
        <f>VLOOKUP(M3506,LUTs!E$2:H$14,3,)</f>
        <v>06King</v>
      </c>
      <c r="O3506" t="str">
        <f>VLOOKUP(M3506,LUTs!E$2:H$14,4,)</f>
        <v>02South Puget Sound</v>
      </c>
      <c r="P3506" s="73">
        <v>25</v>
      </c>
      <c r="Q3506" s="74">
        <f>VLOOKUP(B3506,Readme!A$40:C$51,2,)*P3506</f>
        <v>216.25</v>
      </c>
    </row>
    <row r="3507" spans="1:17" ht="12" customHeight="1" x14ac:dyDescent="0.35">
      <c r="A3507" s="75">
        <v>3506</v>
      </c>
      <c r="B3507" s="64">
        <v>2020</v>
      </c>
      <c r="C3507" s="64">
        <v>10</v>
      </c>
      <c r="D3507" s="80">
        <f t="shared" si="111"/>
        <v>2020</v>
      </c>
      <c r="E3507" t="s">
        <v>38</v>
      </c>
      <c r="F3507" t="s">
        <v>143</v>
      </c>
      <c r="G3507" t="s">
        <v>10</v>
      </c>
      <c r="H3507" s="72">
        <v>860</v>
      </c>
      <c r="I3507" s="72" t="s">
        <v>76</v>
      </c>
      <c r="J3507" t="str">
        <f t="shared" si="112"/>
        <v>Wallace River</v>
      </c>
      <c r="K3507" t="str">
        <f>IFERROR(VLOOKUP(J3507,LUTs!$A$1:$C$73,2,FALSE),"NA")</f>
        <v>Snohomish</v>
      </c>
      <c r="L3507" t="str">
        <f>IFERROR(VLOOKUP(J3507,LUTs!$A$1:$C$73,3,FALSE),"NA")</f>
        <v>2Central Puget Sound</v>
      </c>
      <c r="M3507" s="72" t="s">
        <v>18</v>
      </c>
      <c r="N3507" t="str">
        <f>VLOOKUP(M3507,LUTs!E$2:H$14,3,)</f>
        <v>06King</v>
      </c>
      <c r="O3507" t="str">
        <f>VLOOKUP(M3507,LUTs!E$2:H$14,4,)</f>
        <v>02South Puget Sound</v>
      </c>
      <c r="P3507" s="73">
        <v>99.428571428571502</v>
      </c>
      <c r="Q3507" s="74">
        <f>VLOOKUP(B3507,Readme!A$40:C$51,2,)*P3507</f>
        <v>860.0571428571435</v>
      </c>
    </row>
    <row r="3508" spans="1:17" ht="12" customHeight="1" x14ac:dyDescent="0.35">
      <c r="A3508" s="75">
        <v>3507</v>
      </c>
      <c r="B3508" s="64">
        <v>2020</v>
      </c>
      <c r="C3508" s="64">
        <v>10</v>
      </c>
      <c r="D3508" s="80">
        <f t="shared" si="111"/>
        <v>2020</v>
      </c>
      <c r="E3508" t="s">
        <v>38</v>
      </c>
      <c r="F3508" t="s">
        <v>143</v>
      </c>
      <c r="G3508" t="s">
        <v>10</v>
      </c>
      <c r="H3508" s="72">
        <v>860</v>
      </c>
      <c r="I3508" s="72" t="s">
        <v>76</v>
      </c>
      <c r="J3508" t="str">
        <f t="shared" si="112"/>
        <v>Wallace River</v>
      </c>
      <c r="K3508" t="str">
        <f>IFERROR(VLOOKUP(J3508,LUTs!$A$1:$C$73,2,FALSE),"NA")</f>
        <v>Snohomish</v>
      </c>
      <c r="L3508" t="str">
        <f>IFERROR(VLOOKUP(J3508,LUTs!$A$1:$C$73,3,FALSE),"NA")</f>
        <v>2Central Puget Sound</v>
      </c>
      <c r="M3508" s="72" t="s">
        <v>16</v>
      </c>
      <c r="N3508" t="str">
        <f>VLOOKUP(M3508,LUTs!E$2:H$14,3,)</f>
        <v>03Snohomish</v>
      </c>
      <c r="O3508" t="str">
        <f>VLOOKUP(M3508,LUTs!E$2:H$14,4,)</f>
        <v>01North Puget Sound</v>
      </c>
      <c r="P3508" s="73">
        <v>248.57142857142901</v>
      </c>
      <c r="Q3508" s="74">
        <f>VLOOKUP(B3508,Readme!A$40:C$51,2,)*P3508</f>
        <v>2150.142857142861</v>
      </c>
    </row>
    <row r="3509" spans="1:17" ht="12" customHeight="1" x14ac:dyDescent="0.35">
      <c r="A3509" s="75">
        <v>3508</v>
      </c>
      <c r="B3509" s="64">
        <v>2020</v>
      </c>
      <c r="C3509" s="64">
        <v>11</v>
      </c>
      <c r="D3509" s="80">
        <f t="shared" si="111"/>
        <v>2020</v>
      </c>
      <c r="E3509" t="s">
        <v>38</v>
      </c>
      <c r="F3509" t="s">
        <v>143</v>
      </c>
      <c r="G3509" t="s">
        <v>10</v>
      </c>
      <c r="H3509" s="72">
        <v>860</v>
      </c>
      <c r="I3509" s="72" t="s">
        <v>76</v>
      </c>
      <c r="J3509" t="str">
        <f t="shared" si="112"/>
        <v>Wallace River</v>
      </c>
      <c r="K3509" t="str">
        <f>IFERROR(VLOOKUP(J3509,LUTs!$A$1:$C$73,2,FALSE),"NA")</f>
        <v>Snohomish</v>
      </c>
      <c r="L3509" t="str">
        <f>IFERROR(VLOOKUP(J3509,LUTs!$A$1:$C$73,3,FALSE),"NA")</f>
        <v>2Central Puget Sound</v>
      </c>
      <c r="M3509" s="72" t="s">
        <v>18</v>
      </c>
      <c r="N3509" t="str">
        <f>VLOOKUP(M3509,LUTs!E$2:H$14,3,)</f>
        <v>06King</v>
      </c>
      <c r="O3509" t="str">
        <f>VLOOKUP(M3509,LUTs!E$2:H$14,4,)</f>
        <v>02South Puget Sound</v>
      </c>
      <c r="P3509" s="73">
        <v>49.5</v>
      </c>
      <c r="Q3509" s="74">
        <f>VLOOKUP(B3509,Readme!A$40:C$51,2,)*P3509</f>
        <v>428.17500000000001</v>
      </c>
    </row>
    <row r="3510" spans="1:17" ht="12" customHeight="1" x14ac:dyDescent="0.35">
      <c r="A3510" s="75">
        <v>3509</v>
      </c>
      <c r="B3510" s="64">
        <v>2020</v>
      </c>
      <c r="C3510" s="64">
        <v>11</v>
      </c>
      <c r="D3510" s="80">
        <f t="shared" si="111"/>
        <v>2020</v>
      </c>
      <c r="E3510" t="s">
        <v>38</v>
      </c>
      <c r="F3510" t="s">
        <v>143</v>
      </c>
      <c r="G3510" t="s">
        <v>10</v>
      </c>
      <c r="H3510" s="72">
        <v>860</v>
      </c>
      <c r="I3510" s="72" t="s">
        <v>76</v>
      </c>
      <c r="J3510" t="str">
        <f t="shared" si="112"/>
        <v>Wallace River</v>
      </c>
      <c r="K3510" t="str">
        <f>IFERROR(VLOOKUP(J3510,LUTs!$A$1:$C$73,2,FALSE),"NA")</f>
        <v>Snohomish</v>
      </c>
      <c r="L3510" t="str">
        <f>IFERROR(VLOOKUP(J3510,LUTs!$A$1:$C$73,3,FALSE),"NA")</f>
        <v>2Central Puget Sound</v>
      </c>
      <c r="M3510" s="72" t="s">
        <v>16</v>
      </c>
      <c r="N3510" t="str">
        <f>VLOOKUP(M3510,LUTs!E$2:H$14,3,)</f>
        <v>03Snohomish</v>
      </c>
      <c r="O3510" t="str">
        <f>VLOOKUP(M3510,LUTs!E$2:H$14,4,)</f>
        <v>01North Puget Sound</v>
      </c>
      <c r="P3510" s="73">
        <v>49.5</v>
      </c>
      <c r="Q3510" s="74">
        <f>VLOOKUP(B3510,Readme!A$40:C$51,2,)*P3510</f>
        <v>428.17500000000001</v>
      </c>
    </row>
    <row r="3511" spans="1:17" ht="12" customHeight="1" x14ac:dyDescent="0.35">
      <c r="A3511" s="75">
        <v>3510</v>
      </c>
      <c r="B3511" s="64">
        <v>2020</v>
      </c>
      <c r="C3511" s="64">
        <v>9</v>
      </c>
      <c r="D3511" s="80">
        <f t="shared" si="111"/>
        <v>2020</v>
      </c>
      <c r="E3511" t="s">
        <v>38</v>
      </c>
      <c r="F3511" t="s">
        <v>143</v>
      </c>
      <c r="G3511" t="s">
        <v>10</v>
      </c>
      <c r="H3511" s="72">
        <v>872</v>
      </c>
      <c r="I3511" s="72" t="s">
        <v>65</v>
      </c>
      <c r="J3511" t="str">
        <f t="shared" si="112"/>
        <v>Stillaguamish River</v>
      </c>
      <c r="K3511" t="str">
        <f>IFERROR(VLOOKUP(J3511,LUTs!$A$1:$C$73,2,FALSE),"NA")</f>
        <v>Snohomish</v>
      </c>
      <c r="L3511" t="str">
        <f>IFERROR(VLOOKUP(J3511,LUTs!$A$1:$C$73,3,FALSE),"NA")</f>
        <v>2Central Puget Sound</v>
      </c>
      <c r="M3511" s="72" t="s">
        <v>16</v>
      </c>
      <c r="N3511" t="str">
        <f>VLOOKUP(M3511,LUTs!E$2:H$14,3,)</f>
        <v>03Snohomish</v>
      </c>
      <c r="O3511" t="str">
        <f>VLOOKUP(M3511,LUTs!E$2:H$14,4,)</f>
        <v>01North Puget Sound</v>
      </c>
      <c r="P3511" s="73">
        <v>75</v>
      </c>
      <c r="Q3511" s="74">
        <f>VLOOKUP(B3511,Readme!A$40:C$51,2,)*P3511</f>
        <v>648.75</v>
      </c>
    </row>
    <row r="3512" spans="1:17" ht="12" customHeight="1" x14ac:dyDescent="0.35">
      <c r="A3512" s="75">
        <v>3511</v>
      </c>
      <c r="B3512" s="64">
        <v>2020</v>
      </c>
      <c r="C3512" s="64">
        <v>10</v>
      </c>
      <c r="D3512" s="80">
        <f t="shared" si="111"/>
        <v>2020</v>
      </c>
      <c r="E3512" t="s">
        <v>38</v>
      </c>
      <c r="F3512" t="s">
        <v>143</v>
      </c>
      <c r="G3512" t="s">
        <v>10</v>
      </c>
      <c r="H3512" s="72">
        <v>872</v>
      </c>
      <c r="I3512" s="72" t="s">
        <v>65</v>
      </c>
      <c r="J3512" t="str">
        <f t="shared" si="112"/>
        <v>Stillaguamish River</v>
      </c>
      <c r="K3512" t="str">
        <f>IFERROR(VLOOKUP(J3512,LUTs!$A$1:$C$73,2,FALSE),"NA")</f>
        <v>Snohomish</v>
      </c>
      <c r="L3512" t="str">
        <f>IFERROR(VLOOKUP(J3512,LUTs!$A$1:$C$73,3,FALSE),"NA")</f>
        <v>2Central Puget Sound</v>
      </c>
      <c r="M3512" s="72" t="s">
        <v>17</v>
      </c>
      <c r="N3512" t="str">
        <f>VLOOKUP(M3512,LUTs!E$2:H$14,3,)</f>
        <v>04Island</v>
      </c>
      <c r="O3512" t="str">
        <f>VLOOKUP(M3512,LUTs!E$2:H$14,4,)</f>
        <v>01North Puget Sound</v>
      </c>
      <c r="P3512" s="73">
        <v>12.461538461538501</v>
      </c>
      <c r="Q3512" s="74">
        <f>VLOOKUP(B3512,Readme!A$40:C$51,2,)*P3512</f>
        <v>107.79230769230804</v>
      </c>
    </row>
    <row r="3513" spans="1:17" ht="12" customHeight="1" x14ac:dyDescent="0.35">
      <c r="A3513" s="75">
        <v>3512</v>
      </c>
      <c r="B3513" s="64">
        <v>2020</v>
      </c>
      <c r="C3513" s="64">
        <v>10</v>
      </c>
      <c r="D3513" s="80">
        <f t="shared" si="111"/>
        <v>2020</v>
      </c>
      <c r="E3513" t="s">
        <v>38</v>
      </c>
      <c r="F3513" t="s">
        <v>143</v>
      </c>
      <c r="G3513" t="s">
        <v>10</v>
      </c>
      <c r="H3513" s="72">
        <v>872</v>
      </c>
      <c r="I3513" s="72" t="s">
        <v>65</v>
      </c>
      <c r="J3513" t="str">
        <f t="shared" si="112"/>
        <v>Stillaguamish River</v>
      </c>
      <c r="K3513" t="str">
        <f>IFERROR(VLOOKUP(J3513,LUTs!$A$1:$C$73,2,FALSE),"NA")</f>
        <v>Snohomish</v>
      </c>
      <c r="L3513" t="str">
        <f>IFERROR(VLOOKUP(J3513,LUTs!$A$1:$C$73,3,FALSE),"NA")</f>
        <v>2Central Puget Sound</v>
      </c>
      <c r="M3513" s="72" t="s">
        <v>18</v>
      </c>
      <c r="N3513" t="str">
        <f>VLOOKUP(M3513,LUTs!E$2:H$14,3,)</f>
        <v>06King</v>
      </c>
      <c r="O3513" t="str">
        <f>VLOOKUP(M3513,LUTs!E$2:H$14,4,)</f>
        <v>02South Puget Sound</v>
      </c>
      <c r="P3513" s="73">
        <v>37.384615384615401</v>
      </c>
      <c r="Q3513" s="74">
        <f>VLOOKUP(B3513,Readme!A$40:C$51,2,)*P3513</f>
        <v>323.37692307692322</v>
      </c>
    </row>
    <row r="3514" spans="1:17" ht="12" customHeight="1" x14ac:dyDescent="0.35">
      <c r="A3514" s="75">
        <v>3513</v>
      </c>
      <c r="B3514" s="64">
        <v>2020</v>
      </c>
      <c r="C3514" s="64">
        <v>10</v>
      </c>
      <c r="D3514" s="80">
        <f t="shared" ref="D3514:D3577" si="113">IF(C3514&gt;3,B3514,B3514-1)</f>
        <v>2020</v>
      </c>
      <c r="E3514" t="s">
        <v>38</v>
      </c>
      <c r="F3514" t="s">
        <v>143</v>
      </c>
      <c r="G3514" t="s">
        <v>10</v>
      </c>
      <c r="H3514" s="72">
        <v>872</v>
      </c>
      <c r="I3514" s="72" t="s">
        <v>65</v>
      </c>
      <c r="J3514" t="str">
        <f t="shared" si="112"/>
        <v>Stillaguamish River</v>
      </c>
      <c r="K3514" t="str">
        <f>IFERROR(VLOOKUP(J3514,LUTs!$A$1:$C$73,2,FALSE),"NA")</f>
        <v>Snohomish</v>
      </c>
      <c r="L3514" t="str">
        <f>IFERROR(VLOOKUP(J3514,LUTs!$A$1:$C$73,3,FALSE),"NA")</f>
        <v>2Central Puget Sound</v>
      </c>
      <c r="M3514" s="72" t="s">
        <v>16</v>
      </c>
      <c r="N3514" t="str">
        <f>VLOOKUP(M3514,LUTs!E$2:H$14,3,)</f>
        <v>03Snohomish</v>
      </c>
      <c r="O3514" t="str">
        <f>VLOOKUP(M3514,LUTs!E$2:H$14,4,)</f>
        <v>01North Puget Sound</v>
      </c>
      <c r="P3514" s="73">
        <v>274.15384615384602</v>
      </c>
      <c r="Q3514" s="74">
        <f>VLOOKUP(B3514,Readme!A$40:C$51,2,)*P3514</f>
        <v>2371.430769230768</v>
      </c>
    </row>
    <row r="3515" spans="1:17" ht="12" customHeight="1" x14ac:dyDescent="0.35">
      <c r="A3515" s="75">
        <v>3514</v>
      </c>
      <c r="B3515" s="64">
        <v>2020</v>
      </c>
      <c r="C3515" s="64">
        <v>11</v>
      </c>
      <c r="D3515" s="80">
        <f t="shared" si="113"/>
        <v>2020</v>
      </c>
      <c r="E3515" t="s">
        <v>38</v>
      </c>
      <c r="F3515" t="s">
        <v>143</v>
      </c>
      <c r="G3515" t="s">
        <v>10</v>
      </c>
      <c r="H3515" s="72">
        <v>872</v>
      </c>
      <c r="I3515" s="72" t="s">
        <v>65</v>
      </c>
      <c r="J3515" t="str">
        <f t="shared" si="112"/>
        <v>Stillaguamish River</v>
      </c>
      <c r="K3515" t="str">
        <f>IFERROR(VLOOKUP(J3515,LUTs!$A$1:$C$73,2,FALSE),"NA")</f>
        <v>Snohomish</v>
      </c>
      <c r="L3515" t="str">
        <f>IFERROR(VLOOKUP(J3515,LUTs!$A$1:$C$73,3,FALSE),"NA")</f>
        <v>2Central Puget Sound</v>
      </c>
      <c r="M3515" s="72" t="s">
        <v>16</v>
      </c>
      <c r="N3515" t="str">
        <f>VLOOKUP(M3515,LUTs!E$2:H$14,3,)</f>
        <v>03Snohomish</v>
      </c>
      <c r="O3515" t="str">
        <f>VLOOKUP(M3515,LUTs!E$2:H$14,4,)</f>
        <v>01North Puget Sound</v>
      </c>
      <c r="P3515" s="73">
        <v>75</v>
      </c>
      <c r="Q3515" s="74">
        <f>VLOOKUP(B3515,Readme!A$40:C$51,2,)*P3515</f>
        <v>648.75</v>
      </c>
    </row>
    <row r="3516" spans="1:17" ht="12" customHeight="1" x14ac:dyDescent="0.35">
      <c r="A3516" s="75">
        <v>3515</v>
      </c>
      <c r="B3516" s="64">
        <v>2020</v>
      </c>
      <c r="C3516" s="64">
        <v>8</v>
      </c>
      <c r="D3516" s="80">
        <f t="shared" si="113"/>
        <v>2020</v>
      </c>
      <c r="E3516" t="s">
        <v>38</v>
      </c>
      <c r="F3516" t="s">
        <v>143</v>
      </c>
      <c r="G3516" t="s">
        <v>10</v>
      </c>
      <c r="H3516" s="72">
        <v>884</v>
      </c>
      <c r="I3516" s="72" t="s">
        <v>66</v>
      </c>
      <c r="J3516" t="str">
        <f t="shared" si="112"/>
        <v>Whatcom Creek</v>
      </c>
      <c r="K3516" t="str">
        <f>IFERROR(VLOOKUP(J3516,LUTs!$A$1:$C$73,2,FALSE),"NA")</f>
        <v>Whatcom</v>
      </c>
      <c r="L3516" t="str">
        <f>IFERROR(VLOOKUP(J3516,LUTs!$A$1:$C$73,3,FALSE),"NA")</f>
        <v>1North Puget Sound</v>
      </c>
      <c r="M3516" s="72" t="s">
        <v>13</v>
      </c>
      <c r="N3516" t="str">
        <f>VLOOKUP(M3516,LUTs!E$2:H$14,3,)</f>
        <v>01Whatcom</v>
      </c>
      <c r="O3516" t="str">
        <f>VLOOKUP(M3516,LUTs!E$2:H$14,4,)</f>
        <v>01North Puget Sound</v>
      </c>
      <c r="P3516" s="73">
        <v>12</v>
      </c>
      <c r="Q3516" s="74">
        <f>VLOOKUP(B3516,Readme!A$40:C$51,2,)*P3516</f>
        <v>103.80000000000001</v>
      </c>
    </row>
    <row r="3517" spans="1:17" ht="12" customHeight="1" x14ac:dyDescent="0.35">
      <c r="A3517" s="75">
        <v>3516</v>
      </c>
      <c r="B3517" s="64">
        <v>2021</v>
      </c>
      <c r="C3517" s="64">
        <v>8</v>
      </c>
      <c r="D3517" s="80">
        <f t="shared" si="113"/>
        <v>2021</v>
      </c>
      <c r="E3517" t="s">
        <v>38</v>
      </c>
      <c r="F3517" t="s">
        <v>143</v>
      </c>
      <c r="G3517" t="s">
        <v>10</v>
      </c>
      <c r="H3517" s="72">
        <v>728</v>
      </c>
      <c r="I3517" s="72" t="s">
        <v>41</v>
      </c>
      <c r="J3517" t="str">
        <f t="shared" si="112"/>
        <v>Deschutes River</v>
      </c>
      <c r="K3517" t="str">
        <f>IFERROR(VLOOKUP(J3517,LUTs!$A$1:$C$73,2,FALSE),"NA")</f>
        <v>Thurston</v>
      </c>
      <c r="L3517" t="str">
        <f>IFERROR(VLOOKUP(J3517,LUTs!$A$1:$C$73,3,FALSE),"NA")</f>
        <v>3South Puget Sound</v>
      </c>
      <c r="M3517" s="72" t="s">
        <v>26</v>
      </c>
      <c r="N3517" t="str">
        <f>VLOOKUP(M3517,LUTs!E$2:H$14,3,)</f>
        <v>20Other</v>
      </c>
      <c r="O3517" t="str">
        <f>VLOOKUP(M3517,LUTs!E$2:H$14,4,)</f>
        <v>07Non Puget Sound</v>
      </c>
      <c r="P3517" s="73">
        <v>8</v>
      </c>
      <c r="Q3517" s="74">
        <f>VLOOKUP(B3517,Readme!A$40:C$51,2,)*P3517</f>
        <v>27.52</v>
      </c>
    </row>
    <row r="3518" spans="1:17" ht="12" customHeight="1" x14ac:dyDescent="0.35">
      <c r="A3518" s="75">
        <v>3517</v>
      </c>
      <c r="B3518" s="64">
        <v>2021</v>
      </c>
      <c r="C3518" s="64">
        <v>10</v>
      </c>
      <c r="D3518" s="80">
        <f t="shared" si="113"/>
        <v>2021</v>
      </c>
      <c r="E3518" t="s">
        <v>38</v>
      </c>
      <c r="F3518" t="s">
        <v>143</v>
      </c>
      <c r="G3518" t="s">
        <v>10</v>
      </c>
      <c r="H3518" s="72">
        <v>738</v>
      </c>
      <c r="I3518" s="72" t="s">
        <v>43</v>
      </c>
      <c r="J3518" t="str">
        <f t="shared" si="112"/>
        <v>Dungeness River</v>
      </c>
      <c r="K3518" t="str">
        <f>IFERROR(VLOOKUP(J3518,LUTs!$A$1:$C$73,2,FALSE),"NA")</f>
        <v>Clallam</v>
      </c>
      <c r="L3518" t="str">
        <f>IFERROR(VLOOKUP(J3518,LUTs!$A$1:$C$73,3,FALSE),"NA")</f>
        <v>0Strait of Juan de Fuca</v>
      </c>
      <c r="M3518" s="72" t="s">
        <v>24</v>
      </c>
      <c r="N3518" t="str">
        <f>VLOOKUP(M3518,LUTs!E$2:H$14,3,)</f>
        <v>11Clallam</v>
      </c>
      <c r="O3518" t="str">
        <f>VLOOKUP(M3518,LUTs!E$2:H$14,4,)</f>
        <v>03Strait of Juan de Fuca</v>
      </c>
      <c r="P3518" s="73">
        <v>678.10169491525403</v>
      </c>
      <c r="Q3518" s="74">
        <f>VLOOKUP(B3518,Readme!A$40:C$51,2,)*P3518</f>
        <v>2332.6698305084738</v>
      </c>
    </row>
    <row r="3519" spans="1:17" ht="12" customHeight="1" x14ac:dyDescent="0.35">
      <c r="A3519" s="75">
        <v>3518</v>
      </c>
      <c r="B3519" s="64">
        <v>2021</v>
      </c>
      <c r="C3519" s="64">
        <v>10</v>
      </c>
      <c r="D3519" s="80">
        <f t="shared" si="113"/>
        <v>2021</v>
      </c>
      <c r="E3519" t="s">
        <v>38</v>
      </c>
      <c r="F3519" t="s">
        <v>143</v>
      </c>
      <c r="G3519" t="s">
        <v>10</v>
      </c>
      <c r="H3519" s="72">
        <v>738</v>
      </c>
      <c r="I3519" s="72" t="s">
        <v>43</v>
      </c>
      <c r="J3519" t="str">
        <f t="shared" si="112"/>
        <v>Dungeness River</v>
      </c>
      <c r="K3519" t="str">
        <f>IFERROR(VLOOKUP(J3519,LUTs!$A$1:$C$73,2,FALSE),"NA")</f>
        <v>Clallam</v>
      </c>
      <c r="L3519" t="str">
        <f>IFERROR(VLOOKUP(J3519,LUTs!$A$1:$C$73,3,FALSE),"NA")</f>
        <v>0Strait of Juan de Fuca</v>
      </c>
      <c r="M3519" s="72" t="s">
        <v>25</v>
      </c>
      <c r="N3519" t="str">
        <f>VLOOKUP(M3519,LUTs!E$2:H$14,3,)</f>
        <v>12Jefferson</v>
      </c>
      <c r="O3519" t="str">
        <f>VLOOKUP(M3519,LUTs!E$2:H$14,4,)</f>
        <v>03Strait of Juan de Fuca</v>
      </c>
      <c r="P3519" s="73">
        <v>56.508474576271198</v>
      </c>
      <c r="Q3519" s="74">
        <f>VLOOKUP(B3519,Readme!A$40:C$51,2,)*P3519</f>
        <v>194.38915254237293</v>
      </c>
    </row>
    <row r="3520" spans="1:17" ht="12" customHeight="1" x14ac:dyDescent="0.35">
      <c r="A3520" s="75">
        <v>3519</v>
      </c>
      <c r="B3520" s="64">
        <v>2021</v>
      </c>
      <c r="C3520" s="64">
        <v>10</v>
      </c>
      <c r="D3520" s="80">
        <f t="shared" si="113"/>
        <v>2021</v>
      </c>
      <c r="E3520" t="s">
        <v>38</v>
      </c>
      <c r="F3520" t="s">
        <v>143</v>
      </c>
      <c r="G3520" t="s">
        <v>10</v>
      </c>
      <c r="H3520" s="72">
        <v>738</v>
      </c>
      <c r="I3520" s="72" t="s">
        <v>43</v>
      </c>
      <c r="J3520" t="str">
        <f t="shared" si="112"/>
        <v>Dungeness River</v>
      </c>
      <c r="K3520" t="str">
        <f>IFERROR(VLOOKUP(J3520,LUTs!$A$1:$C$73,2,FALSE),"NA")</f>
        <v>Clallam</v>
      </c>
      <c r="L3520" t="str">
        <f>IFERROR(VLOOKUP(J3520,LUTs!$A$1:$C$73,3,FALSE),"NA")</f>
        <v>0Strait of Juan de Fuca</v>
      </c>
      <c r="M3520" s="72" t="s">
        <v>18</v>
      </c>
      <c r="N3520" t="str">
        <f>VLOOKUP(M3520,LUTs!E$2:H$14,3,)</f>
        <v>06King</v>
      </c>
      <c r="O3520" t="str">
        <f>VLOOKUP(M3520,LUTs!E$2:H$14,4,)</f>
        <v>02South Puget Sound</v>
      </c>
      <c r="P3520" s="73">
        <v>211.906779661017</v>
      </c>
      <c r="Q3520" s="74">
        <f>VLOOKUP(B3520,Readme!A$40:C$51,2,)*P3520</f>
        <v>728.9593220338985</v>
      </c>
    </row>
    <row r="3521" spans="1:17" ht="12" customHeight="1" x14ac:dyDescent="0.35">
      <c r="A3521" s="75">
        <v>3520</v>
      </c>
      <c r="B3521" s="64">
        <v>2021</v>
      </c>
      <c r="C3521" s="64">
        <v>10</v>
      </c>
      <c r="D3521" s="80">
        <f t="shared" si="113"/>
        <v>2021</v>
      </c>
      <c r="E3521" t="s">
        <v>38</v>
      </c>
      <c r="F3521" t="s">
        <v>143</v>
      </c>
      <c r="G3521" t="s">
        <v>10</v>
      </c>
      <c r="H3521" s="72">
        <v>738</v>
      </c>
      <c r="I3521" s="72" t="s">
        <v>43</v>
      </c>
      <c r="J3521" t="str">
        <f t="shared" si="112"/>
        <v>Dungeness River</v>
      </c>
      <c r="K3521" t="str">
        <f>IFERROR(VLOOKUP(J3521,LUTs!$A$1:$C$73,2,FALSE),"NA")</f>
        <v>Clallam</v>
      </c>
      <c r="L3521" t="str">
        <f>IFERROR(VLOOKUP(J3521,LUTs!$A$1:$C$73,3,FALSE),"NA")</f>
        <v>0Strait of Juan de Fuca</v>
      </c>
      <c r="M3521" s="72" t="s">
        <v>23</v>
      </c>
      <c r="N3521" t="str">
        <f>VLOOKUP(M3521,LUTs!E$2:H$14,3,)</f>
        <v>10Kitsap</v>
      </c>
      <c r="O3521" t="str">
        <f>VLOOKUP(M3521,LUTs!E$2:H$14,4,)</f>
        <v>02South Puget Sound</v>
      </c>
      <c r="P3521" s="73">
        <v>593.33898305084801</v>
      </c>
      <c r="Q3521" s="74">
        <f>VLOOKUP(B3521,Readme!A$40:C$51,2,)*P3521</f>
        <v>2041.086101694917</v>
      </c>
    </row>
    <row r="3522" spans="1:17" ht="12" customHeight="1" x14ac:dyDescent="0.35">
      <c r="A3522" s="75">
        <v>3521</v>
      </c>
      <c r="B3522" s="64">
        <v>2021</v>
      </c>
      <c r="C3522" s="64">
        <v>10</v>
      </c>
      <c r="D3522" s="80">
        <f t="shared" si="113"/>
        <v>2021</v>
      </c>
      <c r="E3522" t="s">
        <v>38</v>
      </c>
      <c r="F3522" t="s">
        <v>143</v>
      </c>
      <c r="G3522" t="s">
        <v>10</v>
      </c>
      <c r="H3522" s="72">
        <v>738</v>
      </c>
      <c r="I3522" s="72" t="s">
        <v>43</v>
      </c>
      <c r="J3522" t="str">
        <f t="shared" si="112"/>
        <v>Dungeness River</v>
      </c>
      <c r="K3522" t="str">
        <f>IFERROR(VLOOKUP(J3522,LUTs!$A$1:$C$73,2,FALSE),"NA")</f>
        <v>Clallam</v>
      </c>
      <c r="L3522" t="str">
        <f>IFERROR(VLOOKUP(J3522,LUTs!$A$1:$C$73,3,FALSE),"NA")</f>
        <v>0Strait of Juan de Fuca</v>
      </c>
      <c r="M3522" s="72" t="s">
        <v>22</v>
      </c>
      <c r="N3522" t="str">
        <f>VLOOKUP(M3522,LUTs!E$2:H$14,3,)</f>
        <v>09Mason</v>
      </c>
      <c r="O3522" t="str">
        <f>VLOOKUP(M3522,LUTs!E$2:H$14,4,)</f>
        <v>02South Puget Sound</v>
      </c>
      <c r="P3522" s="73">
        <v>56.508474576271198</v>
      </c>
      <c r="Q3522" s="74">
        <f>VLOOKUP(B3522,Readme!A$40:C$51,2,)*P3522</f>
        <v>194.38915254237293</v>
      </c>
    </row>
    <row r="3523" spans="1:17" ht="12" customHeight="1" x14ac:dyDescent="0.35">
      <c r="A3523" s="75">
        <v>3522</v>
      </c>
      <c r="B3523" s="64">
        <v>2021</v>
      </c>
      <c r="C3523" s="64">
        <v>10</v>
      </c>
      <c r="D3523" s="80">
        <f t="shared" si="113"/>
        <v>2021</v>
      </c>
      <c r="E3523" t="s">
        <v>38</v>
      </c>
      <c r="F3523" t="s">
        <v>143</v>
      </c>
      <c r="G3523" t="s">
        <v>10</v>
      </c>
      <c r="H3523" s="72">
        <v>738</v>
      </c>
      <c r="I3523" s="72" t="s">
        <v>43</v>
      </c>
      <c r="J3523" t="str">
        <f t="shared" ref="J3523:J3586" si="114">I3523</f>
        <v>Dungeness River</v>
      </c>
      <c r="K3523" t="str">
        <f>IFERROR(VLOOKUP(J3523,LUTs!$A$1:$C$73,2,FALSE),"NA")</f>
        <v>Clallam</v>
      </c>
      <c r="L3523" t="str">
        <f>IFERROR(VLOOKUP(J3523,LUTs!$A$1:$C$73,3,FALSE),"NA")</f>
        <v>0Strait of Juan de Fuca</v>
      </c>
      <c r="M3523" s="72" t="s">
        <v>26</v>
      </c>
      <c r="N3523" t="str">
        <f>VLOOKUP(M3523,LUTs!E$2:H$14,3,)</f>
        <v>20Other</v>
      </c>
      <c r="O3523" t="str">
        <f>VLOOKUP(M3523,LUTs!E$2:H$14,4,)</f>
        <v>07Non Puget Sound</v>
      </c>
      <c r="P3523" s="73">
        <v>70.635593220339004</v>
      </c>
      <c r="Q3523" s="74">
        <f>VLOOKUP(B3523,Readme!A$40:C$51,2,)*P3523</f>
        <v>242.98644067796616</v>
      </c>
    </row>
    <row r="3524" spans="1:17" ht="12" customHeight="1" x14ac:dyDescent="0.35">
      <c r="A3524" s="75">
        <v>3523</v>
      </c>
      <c r="B3524" s="64">
        <v>2021</v>
      </c>
      <c r="C3524" s="64">
        <v>11</v>
      </c>
      <c r="D3524" s="80">
        <f t="shared" si="113"/>
        <v>2021</v>
      </c>
      <c r="E3524" t="s">
        <v>38</v>
      </c>
      <c r="F3524" t="s">
        <v>143</v>
      </c>
      <c r="G3524" t="s">
        <v>10</v>
      </c>
      <c r="H3524" s="72">
        <v>738</v>
      </c>
      <c r="I3524" s="72" t="s">
        <v>43</v>
      </c>
      <c r="J3524" t="str">
        <f t="shared" si="114"/>
        <v>Dungeness River</v>
      </c>
      <c r="K3524" t="str">
        <f>IFERROR(VLOOKUP(J3524,LUTs!$A$1:$C$73,2,FALSE),"NA")</f>
        <v>Clallam</v>
      </c>
      <c r="L3524" t="str">
        <f>IFERROR(VLOOKUP(J3524,LUTs!$A$1:$C$73,3,FALSE),"NA")</f>
        <v>0Strait of Juan de Fuca</v>
      </c>
      <c r="M3524" s="72" t="s">
        <v>24</v>
      </c>
      <c r="N3524" t="str">
        <f>VLOOKUP(M3524,LUTs!E$2:H$14,3,)</f>
        <v>11Clallam</v>
      </c>
      <c r="O3524" t="str">
        <f>VLOOKUP(M3524,LUTs!E$2:H$14,4,)</f>
        <v>03Strait of Juan de Fuca</v>
      </c>
      <c r="P3524" s="73">
        <v>197.555555555556</v>
      </c>
      <c r="Q3524" s="74">
        <f>VLOOKUP(B3524,Readme!A$40:C$51,2,)*P3524</f>
        <v>679.59111111111258</v>
      </c>
    </row>
    <row r="3525" spans="1:17" ht="12" customHeight="1" x14ac:dyDescent="0.35">
      <c r="A3525" s="75">
        <v>3524</v>
      </c>
      <c r="B3525" s="64">
        <v>2021</v>
      </c>
      <c r="C3525" s="64">
        <v>11</v>
      </c>
      <c r="D3525" s="80">
        <f t="shared" si="113"/>
        <v>2021</v>
      </c>
      <c r="E3525" t="s">
        <v>38</v>
      </c>
      <c r="F3525" t="s">
        <v>143</v>
      </c>
      <c r="G3525" t="s">
        <v>10</v>
      </c>
      <c r="H3525" s="72">
        <v>738</v>
      </c>
      <c r="I3525" s="72" t="s">
        <v>43</v>
      </c>
      <c r="J3525" t="str">
        <f t="shared" si="114"/>
        <v>Dungeness River</v>
      </c>
      <c r="K3525" t="str">
        <f>IFERROR(VLOOKUP(J3525,LUTs!$A$1:$C$73,2,FALSE),"NA")</f>
        <v>Clallam</v>
      </c>
      <c r="L3525" t="str">
        <f>IFERROR(VLOOKUP(J3525,LUTs!$A$1:$C$73,3,FALSE),"NA")</f>
        <v>0Strait of Juan de Fuca</v>
      </c>
      <c r="M3525" s="72" t="s">
        <v>25</v>
      </c>
      <c r="N3525" t="str">
        <f>VLOOKUP(M3525,LUTs!E$2:H$14,3,)</f>
        <v>12Jefferson</v>
      </c>
      <c r="O3525" t="str">
        <f>VLOOKUP(M3525,LUTs!E$2:H$14,4,)</f>
        <v>03Strait of Juan de Fuca</v>
      </c>
      <c r="P3525" s="73">
        <v>28.2222222222222</v>
      </c>
      <c r="Q3525" s="74">
        <f>VLOOKUP(B3525,Readme!A$40:C$51,2,)*P3525</f>
        <v>97.084444444444372</v>
      </c>
    </row>
    <row r="3526" spans="1:17" ht="12" customHeight="1" x14ac:dyDescent="0.35">
      <c r="A3526" s="75">
        <v>3525</v>
      </c>
      <c r="B3526" s="64">
        <v>2021</v>
      </c>
      <c r="C3526" s="64">
        <v>11</v>
      </c>
      <c r="D3526" s="80">
        <f t="shared" si="113"/>
        <v>2021</v>
      </c>
      <c r="E3526" t="s">
        <v>38</v>
      </c>
      <c r="F3526" t="s">
        <v>143</v>
      </c>
      <c r="G3526" t="s">
        <v>10</v>
      </c>
      <c r="H3526" s="72">
        <v>738</v>
      </c>
      <c r="I3526" s="72" t="s">
        <v>43</v>
      </c>
      <c r="J3526" t="str">
        <f t="shared" si="114"/>
        <v>Dungeness River</v>
      </c>
      <c r="K3526" t="str">
        <f>IFERROR(VLOOKUP(J3526,LUTs!$A$1:$C$73,2,FALSE),"NA")</f>
        <v>Clallam</v>
      </c>
      <c r="L3526" t="str">
        <f>IFERROR(VLOOKUP(J3526,LUTs!$A$1:$C$73,3,FALSE),"NA")</f>
        <v>0Strait of Juan de Fuca</v>
      </c>
      <c r="M3526" s="72" t="s">
        <v>18</v>
      </c>
      <c r="N3526" t="str">
        <f>VLOOKUP(M3526,LUTs!E$2:H$14,3,)</f>
        <v>06King</v>
      </c>
      <c r="O3526" t="str">
        <f>VLOOKUP(M3526,LUTs!E$2:H$14,4,)</f>
        <v>02South Puget Sound</v>
      </c>
      <c r="P3526" s="73">
        <v>84.6666666666667</v>
      </c>
      <c r="Q3526" s="74">
        <f>VLOOKUP(B3526,Readme!A$40:C$51,2,)*P3526</f>
        <v>291.25333333333344</v>
      </c>
    </row>
    <row r="3527" spans="1:17" ht="12" customHeight="1" x14ac:dyDescent="0.35">
      <c r="A3527" s="75">
        <v>3526</v>
      </c>
      <c r="B3527" s="64">
        <v>2021</v>
      </c>
      <c r="C3527" s="64">
        <v>11</v>
      </c>
      <c r="D3527" s="80">
        <f t="shared" si="113"/>
        <v>2021</v>
      </c>
      <c r="E3527" t="s">
        <v>38</v>
      </c>
      <c r="F3527" t="s">
        <v>143</v>
      </c>
      <c r="G3527" t="s">
        <v>10</v>
      </c>
      <c r="H3527" s="72">
        <v>738</v>
      </c>
      <c r="I3527" s="72" t="s">
        <v>43</v>
      </c>
      <c r="J3527" t="str">
        <f t="shared" si="114"/>
        <v>Dungeness River</v>
      </c>
      <c r="K3527" t="str">
        <f>IFERROR(VLOOKUP(J3527,LUTs!$A$1:$C$73,2,FALSE),"NA")</f>
        <v>Clallam</v>
      </c>
      <c r="L3527" t="str">
        <f>IFERROR(VLOOKUP(J3527,LUTs!$A$1:$C$73,3,FALSE),"NA")</f>
        <v>0Strait of Juan de Fuca</v>
      </c>
      <c r="M3527" s="72" t="s">
        <v>23</v>
      </c>
      <c r="N3527" t="str">
        <f>VLOOKUP(M3527,LUTs!E$2:H$14,3,)</f>
        <v>10Kitsap</v>
      </c>
      <c r="O3527" t="str">
        <f>VLOOKUP(M3527,LUTs!E$2:H$14,4,)</f>
        <v>02South Puget Sound</v>
      </c>
      <c r="P3527" s="73">
        <v>14.1111111111111</v>
      </c>
      <c r="Q3527" s="74">
        <f>VLOOKUP(B3527,Readme!A$40:C$51,2,)*P3527</f>
        <v>48.542222222222186</v>
      </c>
    </row>
    <row r="3528" spans="1:17" ht="12" customHeight="1" x14ac:dyDescent="0.35">
      <c r="A3528" s="75">
        <v>3527</v>
      </c>
      <c r="B3528" s="64">
        <v>2021</v>
      </c>
      <c r="C3528" s="64">
        <v>11</v>
      </c>
      <c r="D3528" s="80">
        <f t="shared" si="113"/>
        <v>2021</v>
      </c>
      <c r="E3528" t="s">
        <v>38</v>
      </c>
      <c r="F3528" t="s">
        <v>143</v>
      </c>
      <c r="G3528" t="s">
        <v>10</v>
      </c>
      <c r="H3528" s="72">
        <v>738</v>
      </c>
      <c r="I3528" s="72" t="s">
        <v>43</v>
      </c>
      <c r="J3528" t="str">
        <f t="shared" si="114"/>
        <v>Dungeness River</v>
      </c>
      <c r="K3528" t="str">
        <f>IFERROR(VLOOKUP(J3528,LUTs!$A$1:$C$73,2,FALSE),"NA")</f>
        <v>Clallam</v>
      </c>
      <c r="L3528" t="str">
        <f>IFERROR(VLOOKUP(J3528,LUTs!$A$1:$C$73,3,FALSE),"NA")</f>
        <v>0Strait of Juan de Fuca</v>
      </c>
      <c r="M3528" s="72" t="s">
        <v>22</v>
      </c>
      <c r="N3528" t="str">
        <f>VLOOKUP(M3528,LUTs!E$2:H$14,3,)</f>
        <v>09Mason</v>
      </c>
      <c r="O3528" t="str">
        <f>VLOOKUP(M3528,LUTs!E$2:H$14,4,)</f>
        <v>02South Puget Sound</v>
      </c>
      <c r="P3528" s="73">
        <v>14.1111111111111</v>
      </c>
      <c r="Q3528" s="74">
        <f>VLOOKUP(B3528,Readme!A$40:C$51,2,)*P3528</f>
        <v>48.542222222222186</v>
      </c>
    </row>
    <row r="3529" spans="1:17" ht="12" customHeight="1" x14ac:dyDescent="0.35">
      <c r="A3529" s="75">
        <v>3528</v>
      </c>
      <c r="B3529" s="64">
        <v>2021</v>
      </c>
      <c r="C3529" s="64">
        <v>11</v>
      </c>
      <c r="D3529" s="80">
        <f t="shared" si="113"/>
        <v>2021</v>
      </c>
      <c r="E3529" t="s">
        <v>38</v>
      </c>
      <c r="F3529" t="s">
        <v>143</v>
      </c>
      <c r="G3529" t="s">
        <v>10</v>
      </c>
      <c r="H3529" s="72">
        <v>738</v>
      </c>
      <c r="I3529" s="72" t="s">
        <v>43</v>
      </c>
      <c r="J3529" t="str">
        <f t="shared" si="114"/>
        <v>Dungeness River</v>
      </c>
      <c r="K3529" t="str">
        <f>IFERROR(VLOOKUP(J3529,LUTs!$A$1:$C$73,2,FALSE),"NA")</f>
        <v>Clallam</v>
      </c>
      <c r="L3529" t="str">
        <f>IFERROR(VLOOKUP(J3529,LUTs!$A$1:$C$73,3,FALSE),"NA")</f>
        <v>0Strait of Juan de Fuca</v>
      </c>
      <c r="M3529" s="72" t="s">
        <v>20</v>
      </c>
      <c r="N3529" t="str">
        <f>VLOOKUP(M3529,LUTs!E$2:H$14,3,)</f>
        <v>07Pierce</v>
      </c>
      <c r="O3529" t="str">
        <f>VLOOKUP(M3529,LUTs!E$2:H$14,4,)</f>
        <v>02South Puget Sound</v>
      </c>
      <c r="P3529" s="73">
        <v>42.3333333333333</v>
      </c>
      <c r="Q3529" s="74">
        <f>VLOOKUP(B3529,Readme!A$40:C$51,2,)*P3529</f>
        <v>145.62666666666655</v>
      </c>
    </row>
    <row r="3530" spans="1:17" ht="12" customHeight="1" x14ac:dyDescent="0.35">
      <c r="A3530" s="75">
        <v>3529</v>
      </c>
      <c r="B3530" s="64">
        <v>2021</v>
      </c>
      <c r="C3530" s="64">
        <v>8</v>
      </c>
      <c r="D3530" s="80">
        <f t="shared" si="113"/>
        <v>2021</v>
      </c>
      <c r="E3530" t="s">
        <v>38</v>
      </c>
      <c r="F3530" t="s">
        <v>143</v>
      </c>
      <c r="G3530" t="s">
        <v>10</v>
      </c>
      <c r="H3530" s="72">
        <v>746</v>
      </c>
      <c r="I3530" s="72" t="s">
        <v>45</v>
      </c>
      <c r="J3530" t="str">
        <f t="shared" si="114"/>
        <v>Green - Duwamish River</v>
      </c>
      <c r="K3530" t="str">
        <f>IFERROR(VLOOKUP(J3530,LUTs!$A$1:$C$73,2,FALSE),"NA")</f>
        <v>King</v>
      </c>
      <c r="L3530" t="str">
        <f>IFERROR(VLOOKUP(J3530,LUTs!$A$1:$C$73,3,FALSE),"NA")</f>
        <v>3South Puget Sound</v>
      </c>
      <c r="M3530" s="72" t="s">
        <v>18</v>
      </c>
      <c r="N3530" t="str">
        <f>VLOOKUP(M3530,LUTs!E$2:H$14,3,)</f>
        <v>06King</v>
      </c>
      <c r="O3530" t="str">
        <f>VLOOKUP(M3530,LUTs!E$2:H$14,4,)</f>
        <v>02South Puget Sound</v>
      </c>
      <c r="P3530" s="73">
        <v>3689.40199335548</v>
      </c>
      <c r="Q3530" s="74">
        <f>VLOOKUP(B3530,Readme!A$40:C$51,2,)*P3530</f>
        <v>12691.542857142851</v>
      </c>
    </row>
    <row r="3531" spans="1:17" ht="12" customHeight="1" x14ac:dyDescent="0.35">
      <c r="A3531" s="75">
        <v>3530</v>
      </c>
      <c r="B3531" s="64">
        <v>2021</v>
      </c>
      <c r="C3531" s="64">
        <v>8</v>
      </c>
      <c r="D3531" s="80">
        <f t="shared" si="113"/>
        <v>2021</v>
      </c>
      <c r="E3531" t="s">
        <v>38</v>
      </c>
      <c r="F3531" t="s">
        <v>143</v>
      </c>
      <c r="G3531" t="s">
        <v>10</v>
      </c>
      <c r="H3531" s="72">
        <v>746</v>
      </c>
      <c r="I3531" s="72" t="s">
        <v>45</v>
      </c>
      <c r="J3531" t="str">
        <f t="shared" si="114"/>
        <v>Green - Duwamish River</v>
      </c>
      <c r="K3531" t="str">
        <f>IFERROR(VLOOKUP(J3531,LUTs!$A$1:$C$73,2,FALSE),"NA")</f>
        <v>King</v>
      </c>
      <c r="L3531" t="str">
        <f>IFERROR(VLOOKUP(J3531,LUTs!$A$1:$C$73,3,FALSE),"NA")</f>
        <v>3South Puget Sound</v>
      </c>
      <c r="M3531" s="72" t="s">
        <v>26</v>
      </c>
      <c r="N3531" t="str">
        <f>VLOOKUP(M3531,LUTs!E$2:H$14,3,)</f>
        <v>20Other</v>
      </c>
      <c r="O3531" t="str">
        <f>VLOOKUP(M3531,LUTs!E$2:H$14,4,)</f>
        <v>07Non Puget Sound</v>
      </c>
      <c r="P3531" s="73">
        <v>136.64451827242499</v>
      </c>
      <c r="Q3531" s="74">
        <f>VLOOKUP(B3531,Readme!A$40:C$51,2,)*P3531</f>
        <v>470.05714285714197</v>
      </c>
    </row>
    <row r="3532" spans="1:17" ht="12" customHeight="1" x14ac:dyDescent="0.35">
      <c r="A3532" s="75">
        <v>3531</v>
      </c>
      <c r="B3532" s="64">
        <v>2021</v>
      </c>
      <c r="C3532" s="64">
        <v>8</v>
      </c>
      <c r="D3532" s="80">
        <f t="shared" si="113"/>
        <v>2021</v>
      </c>
      <c r="E3532" t="s">
        <v>38</v>
      </c>
      <c r="F3532" t="s">
        <v>143</v>
      </c>
      <c r="G3532" t="s">
        <v>10</v>
      </c>
      <c r="H3532" s="72">
        <v>746</v>
      </c>
      <c r="I3532" s="72" t="s">
        <v>45</v>
      </c>
      <c r="J3532" t="str">
        <f t="shared" si="114"/>
        <v>Green - Duwamish River</v>
      </c>
      <c r="K3532" t="str">
        <f>IFERROR(VLOOKUP(J3532,LUTs!$A$1:$C$73,2,FALSE),"NA")</f>
        <v>King</v>
      </c>
      <c r="L3532" t="str">
        <f>IFERROR(VLOOKUP(J3532,LUTs!$A$1:$C$73,3,FALSE),"NA")</f>
        <v>3South Puget Sound</v>
      </c>
      <c r="M3532" s="72" t="s">
        <v>20</v>
      </c>
      <c r="N3532" t="str">
        <f>VLOOKUP(M3532,LUTs!E$2:H$14,3,)</f>
        <v>07Pierce</v>
      </c>
      <c r="O3532" t="str">
        <f>VLOOKUP(M3532,LUTs!E$2:H$14,4,)</f>
        <v>02South Puget Sound</v>
      </c>
      <c r="P3532" s="73">
        <v>122.980066445183</v>
      </c>
      <c r="Q3532" s="74">
        <f>VLOOKUP(B3532,Readme!A$40:C$51,2,)*P3532</f>
        <v>423.05142857142948</v>
      </c>
    </row>
    <row r="3533" spans="1:17" ht="12" customHeight="1" x14ac:dyDescent="0.35">
      <c r="A3533" s="75">
        <v>3532</v>
      </c>
      <c r="B3533" s="64">
        <v>2021</v>
      </c>
      <c r="C3533" s="64">
        <v>8</v>
      </c>
      <c r="D3533" s="80">
        <f t="shared" si="113"/>
        <v>2021</v>
      </c>
      <c r="E3533" t="s">
        <v>38</v>
      </c>
      <c r="F3533" t="s">
        <v>143</v>
      </c>
      <c r="G3533" t="s">
        <v>10</v>
      </c>
      <c r="H3533" s="72">
        <v>746</v>
      </c>
      <c r="I3533" s="72" t="s">
        <v>45</v>
      </c>
      <c r="J3533" t="str">
        <f t="shared" si="114"/>
        <v>Green - Duwamish River</v>
      </c>
      <c r="K3533" t="str">
        <f>IFERROR(VLOOKUP(J3533,LUTs!$A$1:$C$73,2,FALSE),"NA")</f>
        <v>King</v>
      </c>
      <c r="L3533" t="str">
        <f>IFERROR(VLOOKUP(J3533,LUTs!$A$1:$C$73,3,FALSE),"NA")</f>
        <v>3South Puget Sound</v>
      </c>
      <c r="M3533" s="72" t="s">
        <v>16</v>
      </c>
      <c r="N3533" t="str">
        <f>VLOOKUP(M3533,LUTs!E$2:H$14,3,)</f>
        <v>03Snohomish</v>
      </c>
      <c r="O3533" t="str">
        <f>VLOOKUP(M3533,LUTs!E$2:H$14,4,)</f>
        <v>01North Puget Sound</v>
      </c>
      <c r="P3533" s="73">
        <v>136.64451827242499</v>
      </c>
      <c r="Q3533" s="74">
        <f>VLOOKUP(B3533,Readme!A$40:C$51,2,)*P3533</f>
        <v>470.05714285714197</v>
      </c>
    </row>
    <row r="3534" spans="1:17" ht="12" customHeight="1" x14ac:dyDescent="0.35">
      <c r="A3534" s="75">
        <v>3533</v>
      </c>
      <c r="B3534" s="64">
        <v>2021</v>
      </c>
      <c r="C3534" s="64">
        <v>8</v>
      </c>
      <c r="D3534" s="80">
        <f t="shared" si="113"/>
        <v>2021</v>
      </c>
      <c r="E3534" t="s">
        <v>38</v>
      </c>
      <c r="F3534" t="s">
        <v>143</v>
      </c>
      <c r="G3534" t="s">
        <v>10</v>
      </c>
      <c r="H3534" s="72">
        <v>746</v>
      </c>
      <c r="I3534" s="72" t="s">
        <v>45</v>
      </c>
      <c r="J3534" t="str">
        <f t="shared" si="114"/>
        <v>Green - Duwamish River</v>
      </c>
      <c r="K3534" t="str">
        <f>IFERROR(VLOOKUP(J3534,LUTs!$A$1:$C$73,2,FALSE),"NA")</f>
        <v>King</v>
      </c>
      <c r="L3534" t="str">
        <f>IFERROR(VLOOKUP(J3534,LUTs!$A$1:$C$73,3,FALSE),"NA")</f>
        <v>3South Puget Sound</v>
      </c>
      <c r="M3534" s="72" t="s">
        <v>21</v>
      </c>
      <c r="N3534" t="str">
        <f>VLOOKUP(M3534,LUTs!E$2:H$14,3,)</f>
        <v>08Thurston</v>
      </c>
      <c r="O3534" t="str">
        <f>VLOOKUP(M3534,LUTs!E$2:H$14,4,)</f>
        <v>02South Puget Sound</v>
      </c>
      <c r="P3534" s="73">
        <v>27.328903654485099</v>
      </c>
      <c r="Q3534" s="74">
        <f>VLOOKUP(B3534,Readme!A$40:C$51,2,)*P3534</f>
        <v>94.011428571428738</v>
      </c>
    </row>
    <row r="3535" spans="1:17" ht="12" customHeight="1" x14ac:dyDescent="0.35">
      <c r="A3535" s="75">
        <v>3534</v>
      </c>
      <c r="B3535" s="64">
        <v>2021</v>
      </c>
      <c r="C3535" s="64">
        <v>9</v>
      </c>
      <c r="D3535" s="80">
        <f t="shared" si="113"/>
        <v>2021</v>
      </c>
      <c r="E3535" t="s">
        <v>38</v>
      </c>
      <c r="F3535" t="s">
        <v>143</v>
      </c>
      <c r="G3535" t="s">
        <v>10</v>
      </c>
      <c r="H3535" s="72">
        <v>746</v>
      </c>
      <c r="I3535" s="72" t="s">
        <v>45</v>
      </c>
      <c r="J3535" t="str">
        <f t="shared" si="114"/>
        <v>Green - Duwamish River</v>
      </c>
      <c r="K3535" t="str">
        <f>IFERROR(VLOOKUP(J3535,LUTs!$A$1:$C$73,2,FALSE),"NA")</f>
        <v>King</v>
      </c>
      <c r="L3535" t="str">
        <f>IFERROR(VLOOKUP(J3535,LUTs!$A$1:$C$73,3,FALSE),"NA")</f>
        <v>3South Puget Sound</v>
      </c>
      <c r="M3535" s="72" t="s">
        <v>18</v>
      </c>
      <c r="N3535" t="str">
        <f>VLOOKUP(M3535,LUTs!E$2:H$14,3,)</f>
        <v>06King</v>
      </c>
      <c r="O3535" t="str">
        <f>VLOOKUP(M3535,LUTs!E$2:H$14,4,)</f>
        <v>02South Puget Sound</v>
      </c>
      <c r="P3535" s="73">
        <v>11431.8935516888</v>
      </c>
      <c r="Q3535" s="74">
        <f>VLOOKUP(B3535,Readme!A$40:C$51,2,)*P3535</f>
        <v>39325.713817809468</v>
      </c>
    </row>
    <row r="3536" spans="1:17" ht="12" customHeight="1" x14ac:dyDescent="0.35">
      <c r="A3536" s="75">
        <v>3535</v>
      </c>
      <c r="B3536" s="64">
        <v>2021</v>
      </c>
      <c r="C3536" s="64">
        <v>9</v>
      </c>
      <c r="D3536" s="80">
        <f t="shared" si="113"/>
        <v>2021</v>
      </c>
      <c r="E3536" t="s">
        <v>38</v>
      </c>
      <c r="F3536" t="s">
        <v>143</v>
      </c>
      <c r="G3536" t="s">
        <v>10</v>
      </c>
      <c r="H3536" s="72">
        <v>746</v>
      </c>
      <c r="I3536" s="72" t="s">
        <v>45</v>
      </c>
      <c r="J3536" t="str">
        <f t="shared" si="114"/>
        <v>Green - Duwamish River</v>
      </c>
      <c r="K3536" t="str">
        <f>IFERROR(VLOOKUP(J3536,LUTs!$A$1:$C$73,2,FALSE),"NA")</f>
        <v>King</v>
      </c>
      <c r="L3536" t="str">
        <f>IFERROR(VLOOKUP(J3536,LUTs!$A$1:$C$73,3,FALSE),"NA")</f>
        <v>3South Puget Sound</v>
      </c>
      <c r="M3536" s="72" t="s">
        <v>26</v>
      </c>
      <c r="N3536" t="str">
        <f>VLOOKUP(M3536,LUTs!E$2:H$14,3,)</f>
        <v>20Other</v>
      </c>
      <c r="O3536" t="str">
        <f>VLOOKUP(M3536,LUTs!E$2:H$14,4,)</f>
        <v>07Non Puget Sound</v>
      </c>
      <c r="P3536" s="73">
        <v>369.65404298874103</v>
      </c>
      <c r="Q3536" s="74">
        <f>VLOOKUP(B3536,Readme!A$40:C$51,2,)*P3536</f>
        <v>1271.609907881269</v>
      </c>
    </row>
    <row r="3537" spans="1:17" ht="12" customHeight="1" x14ac:dyDescent="0.35">
      <c r="A3537" s="75">
        <v>3536</v>
      </c>
      <c r="B3537" s="64">
        <v>2021</v>
      </c>
      <c r="C3537" s="64">
        <v>9</v>
      </c>
      <c r="D3537" s="80">
        <f t="shared" si="113"/>
        <v>2021</v>
      </c>
      <c r="E3537" t="s">
        <v>38</v>
      </c>
      <c r="F3537" t="s">
        <v>143</v>
      </c>
      <c r="G3537" t="s">
        <v>10</v>
      </c>
      <c r="H3537" s="72">
        <v>746</v>
      </c>
      <c r="I3537" s="72" t="s">
        <v>45</v>
      </c>
      <c r="J3537" t="str">
        <f t="shared" si="114"/>
        <v>Green - Duwamish River</v>
      </c>
      <c r="K3537" t="str">
        <f>IFERROR(VLOOKUP(J3537,LUTs!$A$1:$C$73,2,FALSE),"NA")</f>
        <v>King</v>
      </c>
      <c r="L3537" t="str">
        <f>IFERROR(VLOOKUP(J3537,LUTs!$A$1:$C$73,3,FALSE),"NA")</f>
        <v>3South Puget Sound</v>
      </c>
      <c r="M3537" s="72" t="s">
        <v>20</v>
      </c>
      <c r="N3537" t="str">
        <f>VLOOKUP(M3537,LUTs!E$2:H$14,3,)</f>
        <v>07Pierce</v>
      </c>
      <c r="O3537" t="str">
        <f>VLOOKUP(M3537,LUTs!E$2:H$14,4,)</f>
        <v>02South Puget Sound</v>
      </c>
      <c r="P3537" s="73">
        <v>1177.4165813715499</v>
      </c>
      <c r="Q3537" s="74">
        <f>VLOOKUP(B3537,Readme!A$40:C$51,2,)*P3537</f>
        <v>4050.3130399181318</v>
      </c>
    </row>
    <row r="3538" spans="1:17" ht="12" customHeight="1" x14ac:dyDescent="0.35">
      <c r="A3538" s="75">
        <v>3537</v>
      </c>
      <c r="B3538" s="64">
        <v>2021</v>
      </c>
      <c r="C3538" s="64">
        <v>9</v>
      </c>
      <c r="D3538" s="80">
        <f t="shared" si="113"/>
        <v>2021</v>
      </c>
      <c r="E3538" t="s">
        <v>38</v>
      </c>
      <c r="F3538" t="s">
        <v>143</v>
      </c>
      <c r="G3538" t="s">
        <v>10</v>
      </c>
      <c r="H3538" s="72">
        <v>746</v>
      </c>
      <c r="I3538" s="72" t="s">
        <v>45</v>
      </c>
      <c r="J3538" t="str">
        <f t="shared" si="114"/>
        <v>Green - Duwamish River</v>
      </c>
      <c r="K3538" t="str">
        <f>IFERROR(VLOOKUP(J3538,LUTs!$A$1:$C$73,2,FALSE),"NA")</f>
        <v>King</v>
      </c>
      <c r="L3538" t="str">
        <f>IFERROR(VLOOKUP(J3538,LUTs!$A$1:$C$73,3,FALSE),"NA")</f>
        <v>3South Puget Sound</v>
      </c>
      <c r="M3538" s="72" t="s">
        <v>15</v>
      </c>
      <c r="N3538" t="str">
        <f>VLOOKUP(M3538,LUTs!E$2:H$14,3,)</f>
        <v>02Skagit</v>
      </c>
      <c r="O3538" t="str">
        <f>VLOOKUP(M3538,LUTs!E$2:H$14,4,)</f>
        <v>01North Puget Sound</v>
      </c>
      <c r="P3538" s="73">
        <v>54.7635619242579</v>
      </c>
      <c r="Q3538" s="74">
        <f>VLOOKUP(B3538,Readme!A$40:C$51,2,)*P3538</f>
        <v>188.38665301944718</v>
      </c>
    </row>
    <row r="3539" spans="1:17" ht="12" customHeight="1" x14ac:dyDescent="0.35">
      <c r="A3539" s="75">
        <v>3538</v>
      </c>
      <c r="B3539" s="64">
        <v>2021</v>
      </c>
      <c r="C3539" s="64">
        <v>9</v>
      </c>
      <c r="D3539" s="80">
        <f t="shared" si="113"/>
        <v>2021</v>
      </c>
      <c r="E3539" t="s">
        <v>38</v>
      </c>
      <c r="F3539" t="s">
        <v>143</v>
      </c>
      <c r="G3539" t="s">
        <v>10</v>
      </c>
      <c r="H3539" s="72">
        <v>746</v>
      </c>
      <c r="I3539" s="72" t="s">
        <v>45</v>
      </c>
      <c r="J3539" t="str">
        <f t="shared" si="114"/>
        <v>Green - Duwamish River</v>
      </c>
      <c r="K3539" t="str">
        <f>IFERROR(VLOOKUP(J3539,LUTs!$A$1:$C$73,2,FALSE),"NA")</f>
        <v>King</v>
      </c>
      <c r="L3539" t="str">
        <f>IFERROR(VLOOKUP(J3539,LUTs!$A$1:$C$73,3,FALSE),"NA")</f>
        <v>3South Puget Sound</v>
      </c>
      <c r="M3539" s="72" t="s">
        <v>16</v>
      </c>
      <c r="N3539" t="str">
        <f>VLOOKUP(M3539,LUTs!E$2:H$14,3,)</f>
        <v>03Snohomish</v>
      </c>
      <c r="O3539" t="str">
        <f>VLOOKUP(M3539,LUTs!E$2:H$14,4,)</f>
        <v>01North Puget Sound</v>
      </c>
      <c r="P3539" s="73">
        <v>246.436028659161</v>
      </c>
      <c r="Q3539" s="74">
        <f>VLOOKUP(B3539,Readme!A$40:C$51,2,)*P3539</f>
        <v>847.73993858751385</v>
      </c>
    </row>
    <row r="3540" spans="1:17" ht="12" customHeight="1" x14ac:dyDescent="0.35">
      <c r="A3540" s="75">
        <v>3539</v>
      </c>
      <c r="B3540" s="64">
        <v>2021</v>
      </c>
      <c r="C3540" s="64">
        <v>9</v>
      </c>
      <c r="D3540" s="80">
        <f t="shared" si="113"/>
        <v>2021</v>
      </c>
      <c r="E3540" t="s">
        <v>38</v>
      </c>
      <c r="F3540" t="s">
        <v>143</v>
      </c>
      <c r="G3540" t="s">
        <v>10</v>
      </c>
      <c r="H3540" s="72">
        <v>746</v>
      </c>
      <c r="I3540" s="72" t="s">
        <v>45</v>
      </c>
      <c r="J3540" t="str">
        <f t="shared" si="114"/>
        <v>Green - Duwamish River</v>
      </c>
      <c r="K3540" t="str">
        <f>IFERROR(VLOOKUP(J3540,LUTs!$A$1:$C$73,2,FALSE),"NA")</f>
        <v>King</v>
      </c>
      <c r="L3540" t="str">
        <f>IFERROR(VLOOKUP(J3540,LUTs!$A$1:$C$73,3,FALSE),"NA")</f>
        <v>3South Puget Sound</v>
      </c>
      <c r="M3540" s="72" t="s">
        <v>21</v>
      </c>
      <c r="N3540" t="str">
        <f>VLOOKUP(M3540,LUTs!E$2:H$14,3,)</f>
        <v>08Thurston</v>
      </c>
      <c r="O3540" t="str">
        <f>VLOOKUP(M3540,LUTs!E$2:H$14,4,)</f>
        <v>02South Puget Sound</v>
      </c>
      <c r="P3540" s="73">
        <v>13.6908904810645</v>
      </c>
      <c r="Q3540" s="74">
        <f>VLOOKUP(B3540,Readme!A$40:C$51,2,)*P3540</f>
        <v>47.09666325486188</v>
      </c>
    </row>
    <row r="3541" spans="1:17" ht="12" customHeight="1" x14ac:dyDescent="0.35">
      <c r="A3541" s="75">
        <v>3540</v>
      </c>
      <c r="B3541" s="64">
        <v>2021</v>
      </c>
      <c r="C3541" s="64">
        <v>9</v>
      </c>
      <c r="D3541" s="80">
        <f t="shared" si="113"/>
        <v>2021</v>
      </c>
      <c r="E3541" t="s">
        <v>38</v>
      </c>
      <c r="F3541" t="s">
        <v>143</v>
      </c>
      <c r="G3541" t="s">
        <v>10</v>
      </c>
      <c r="H3541" s="72">
        <v>746</v>
      </c>
      <c r="I3541" s="72" t="s">
        <v>45</v>
      </c>
      <c r="J3541" t="str">
        <f t="shared" si="114"/>
        <v>Green - Duwamish River</v>
      </c>
      <c r="K3541" t="str">
        <f>IFERROR(VLOOKUP(J3541,LUTs!$A$1:$C$73,2,FALSE),"NA")</f>
        <v>King</v>
      </c>
      <c r="L3541" t="str">
        <f>IFERROR(VLOOKUP(J3541,LUTs!$A$1:$C$73,3,FALSE),"NA")</f>
        <v>3South Puget Sound</v>
      </c>
      <c r="M3541" s="72" t="s">
        <v>13</v>
      </c>
      <c r="N3541" t="str">
        <f>VLOOKUP(M3541,LUTs!E$2:H$14,3,)</f>
        <v>01Whatcom</v>
      </c>
      <c r="O3541" t="str">
        <f>VLOOKUP(M3541,LUTs!E$2:H$14,4,)</f>
        <v>01North Puget Sound</v>
      </c>
      <c r="P3541" s="73">
        <v>82.145342886386899</v>
      </c>
      <c r="Q3541" s="74">
        <f>VLOOKUP(B3541,Readme!A$40:C$51,2,)*P3541</f>
        <v>282.57997952917094</v>
      </c>
    </row>
    <row r="3542" spans="1:17" ht="12" customHeight="1" x14ac:dyDescent="0.35">
      <c r="A3542" s="75">
        <v>3541</v>
      </c>
      <c r="B3542" s="64">
        <v>2021</v>
      </c>
      <c r="C3542" s="64">
        <v>10</v>
      </c>
      <c r="D3542" s="80">
        <f t="shared" si="113"/>
        <v>2021</v>
      </c>
      <c r="E3542" t="s">
        <v>38</v>
      </c>
      <c r="F3542" t="s">
        <v>143</v>
      </c>
      <c r="G3542" t="s">
        <v>10</v>
      </c>
      <c r="H3542" s="72">
        <v>746</v>
      </c>
      <c r="I3542" s="72" t="s">
        <v>45</v>
      </c>
      <c r="J3542" t="str">
        <f t="shared" si="114"/>
        <v>Green - Duwamish River</v>
      </c>
      <c r="K3542" t="str">
        <f>IFERROR(VLOOKUP(J3542,LUTs!$A$1:$C$73,2,FALSE),"NA")</f>
        <v>King</v>
      </c>
      <c r="L3542" t="str">
        <f>IFERROR(VLOOKUP(J3542,LUTs!$A$1:$C$73,3,FALSE),"NA")</f>
        <v>3South Puget Sound</v>
      </c>
      <c r="M3542" s="72" t="s">
        <v>18</v>
      </c>
      <c r="N3542" t="str">
        <f>VLOOKUP(M3542,LUTs!E$2:H$14,3,)</f>
        <v>06King</v>
      </c>
      <c r="O3542" t="str">
        <f>VLOOKUP(M3542,LUTs!E$2:H$14,4,)</f>
        <v>02South Puget Sound</v>
      </c>
      <c r="P3542" s="73">
        <v>6049.0693739424696</v>
      </c>
      <c r="Q3542" s="74">
        <f>VLOOKUP(B3542,Readme!A$40:C$51,2,)*P3542</f>
        <v>20808.798646362095</v>
      </c>
    </row>
    <row r="3543" spans="1:17" ht="12" customHeight="1" x14ac:dyDescent="0.35">
      <c r="A3543" s="75">
        <v>3542</v>
      </c>
      <c r="B3543" s="64">
        <v>2021</v>
      </c>
      <c r="C3543" s="64">
        <v>10</v>
      </c>
      <c r="D3543" s="80">
        <f t="shared" si="113"/>
        <v>2021</v>
      </c>
      <c r="E3543" t="s">
        <v>38</v>
      </c>
      <c r="F3543" t="s">
        <v>143</v>
      </c>
      <c r="G3543" t="s">
        <v>10</v>
      </c>
      <c r="H3543" s="72">
        <v>746</v>
      </c>
      <c r="I3543" s="72" t="s">
        <v>45</v>
      </c>
      <c r="J3543" t="str">
        <f t="shared" si="114"/>
        <v>Green - Duwamish River</v>
      </c>
      <c r="K3543" t="str">
        <f>IFERROR(VLOOKUP(J3543,LUTs!$A$1:$C$73,2,FALSE),"NA")</f>
        <v>King</v>
      </c>
      <c r="L3543" t="str">
        <f>IFERROR(VLOOKUP(J3543,LUTs!$A$1:$C$73,3,FALSE),"NA")</f>
        <v>3South Puget Sound</v>
      </c>
      <c r="M3543" s="72" t="s">
        <v>23</v>
      </c>
      <c r="N3543" t="str">
        <f>VLOOKUP(M3543,LUTs!E$2:H$14,3,)</f>
        <v>10Kitsap</v>
      </c>
      <c r="O3543" t="str">
        <f>VLOOKUP(M3543,LUTs!E$2:H$14,4,)</f>
        <v>02South Puget Sound</v>
      </c>
      <c r="P3543" s="73">
        <v>27.495769881556701</v>
      </c>
      <c r="Q3543" s="74">
        <f>VLOOKUP(B3543,Readme!A$40:C$51,2,)*P3543</f>
        <v>94.585448392555051</v>
      </c>
    </row>
    <row r="3544" spans="1:17" ht="12" customHeight="1" x14ac:dyDescent="0.35">
      <c r="A3544" s="75">
        <v>3543</v>
      </c>
      <c r="B3544" s="64">
        <v>2021</v>
      </c>
      <c r="C3544" s="64">
        <v>10</v>
      </c>
      <c r="D3544" s="80">
        <f t="shared" si="113"/>
        <v>2021</v>
      </c>
      <c r="E3544" t="s">
        <v>38</v>
      </c>
      <c r="F3544" t="s">
        <v>143</v>
      </c>
      <c r="G3544" t="s">
        <v>10</v>
      </c>
      <c r="H3544" s="72">
        <v>746</v>
      </c>
      <c r="I3544" s="72" t="s">
        <v>45</v>
      </c>
      <c r="J3544" t="str">
        <f t="shared" si="114"/>
        <v>Green - Duwamish River</v>
      </c>
      <c r="K3544" t="str">
        <f>IFERROR(VLOOKUP(J3544,LUTs!$A$1:$C$73,2,FALSE),"NA")</f>
        <v>King</v>
      </c>
      <c r="L3544" t="str">
        <f>IFERROR(VLOOKUP(J3544,LUTs!$A$1:$C$73,3,FALSE),"NA")</f>
        <v>3South Puget Sound</v>
      </c>
      <c r="M3544" s="72" t="s">
        <v>20</v>
      </c>
      <c r="N3544" t="str">
        <f>VLOOKUP(M3544,LUTs!E$2:H$14,3,)</f>
        <v>07Pierce</v>
      </c>
      <c r="O3544" t="str">
        <f>VLOOKUP(M3544,LUTs!E$2:H$14,4,)</f>
        <v>02South Puget Sound</v>
      </c>
      <c r="P3544" s="73">
        <v>1938.4517766497499</v>
      </c>
      <c r="Q3544" s="74">
        <f>VLOOKUP(B3544,Readme!A$40:C$51,2,)*P3544</f>
        <v>6668.2741116751395</v>
      </c>
    </row>
    <row r="3545" spans="1:17" ht="12" customHeight="1" x14ac:dyDescent="0.35">
      <c r="A3545" s="75">
        <v>3544</v>
      </c>
      <c r="B3545" s="64">
        <v>2021</v>
      </c>
      <c r="C3545" s="64">
        <v>10</v>
      </c>
      <c r="D3545" s="80">
        <f t="shared" si="113"/>
        <v>2021</v>
      </c>
      <c r="E3545" t="s">
        <v>38</v>
      </c>
      <c r="F3545" t="s">
        <v>143</v>
      </c>
      <c r="G3545" t="s">
        <v>10</v>
      </c>
      <c r="H3545" s="72">
        <v>746</v>
      </c>
      <c r="I3545" s="72" t="s">
        <v>45</v>
      </c>
      <c r="J3545" t="str">
        <f t="shared" si="114"/>
        <v>Green - Duwamish River</v>
      </c>
      <c r="K3545" t="str">
        <f>IFERROR(VLOOKUP(J3545,LUTs!$A$1:$C$73,2,FALSE),"NA")</f>
        <v>King</v>
      </c>
      <c r="L3545" t="str">
        <f>IFERROR(VLOOKUP(J3545,LUTs!$A$1:$C$73,3,FALSE),"NA")</f>
        <v>3South Puget Sound</v>
      </c>
      <c r="M3545" s="72" t="s">
        <v>16</v>
      </c>
      <c r="N3545" t="str">
        <f>VLOOKUP(M3545,LUTs!E$2:H$14,3,)</f>
        <v>03Snohomish</v>
      </c>
      <c r="O3545" t="str">
        <f>VLOOKUP(M3545,LUTs!E$2:H$14,4,)</f>
        <v>01North Puget Sound</v>
      </c>
      <c r="P3545" s="73">
        <v>82.487309644670106</v>
      </c>
      <c r="Q3545" s="74">
        <f>VLOOKUP(B3545,Readme!A$40:C$51,2,)*P3545</f>
        <v>283.75634517766514</v>
      </c>
    </row>
    <row r="3546" spans="1:17" ht="12" customHeight="1" x14ac:dyDescent="0.35">
      <c r="A3546" s="75">
        <v>3545</v>
      </c>
      <c r="B3546" s="64">
        <v>2021</v>
      </c>
      <c r="C3546" s="64">
        <v>10</v>
      </c>
      <c r="D3546" s="80">
        <f t="shared" si="113"/>
        <v>2021</v>
      </c>
      <c r="E3546" t="s">
        <v>38</v>
      </c>
      <c r="F3546" t="s">
        <v>143</v>
      </c>
      <c r="G3546" t="s">
        <v>10</v>
      </c>
      <c r="H3546" s="72">
        <v>746</v>
      </c>
      <c r="I3546" s="72" t="s">
        <v>45</v>
      </c>
      <c r="J3546" t="str">
        <f t="shared" si="114"/>
        <v>Green - Duwamish River</v>
      </c>
      <c r="K3546" t="str">
        <f>IFERROR(VLOOKUP(J3546,LUTs!$A$1:$C$73,2,FALSE),"NA")</f>
        <v>King</v>
      </c>
      <c r="L3546" t="str">
        <f>IFERROR(VLOOKUP(J3546,LUTs!$A$1:$C$73,3,FALSE),"NA")</f>
        <v>3South Puget Sound</v>
      </c>
      <c r="M3546" s="72" t="s">
        <v>21</v>
      </c>
      <c r="N3546" t="str">
        <f>VLOOKUP(M3546,LUTs!E$2:H$14,3,)</f>
        <v>08Thurston</v>
      </c>
      <c r="O3546" t="str">
        <f>VLOOKUP(M3546,LUTs!E$2:H$14,4,)</f>
        <v>02South Puget Sound</v>
      </c>
      <c r="P3546" s="73">
        <v>13.747884940778301</v>
      </c>
      <c r="Q3546" s="74">
        <f>VLOOKUP(B3546,Readme!A$40:C$51,2,)*P3546</f>
        <v>47.292724196277355</v>
      </c>
    </row>
    <row r="3547" spans="1:17" ht="12" customHeight="1" x14ac:dyDescent="0.35">
      <c r="A3547" s="75">
        <v>3546</v>
      </c>
      <c r="B3547" s="64">
        <v>2021</v>
      </c>
      <c r="C3547" s="64">
        <v>10</v>
      </c>
      <c r="D3547" s="80">
        <f t="shared" si="113"/>
        <v>2021</v>
      </c>
      <c r="E3547" t="s">
        <v>38</v>
      </c>
      <c r="F3547" t="s">
        <v>143</v>
      </c>
      <c r="G3547" t="s">
        <v>10</v>
      </c>
      <c r="H3547" s="72">
        <v>746</v>
      </c>
      <c r="I3547" s="72" t="s">
        <v>45</v>
      </c>
      <c r="J3547" t="str">
        <f t="shared" si="114"/>
        <v>Green - Duwamish River</v>
      </c>
      <c r="K3547" t="str">
        <f>IFERROR(VLOOKUP(J3547,LUTs!$A$1:$C$73,2,FALSE),"NA")</f>
        <v>King</v>
      </c>
      <c r="L3547" t="str">
        <f>IFERROR(VLOOKUP(J3547,LUTs!$A$1:$C$73,3,FALSE),"NA")</f>
        <v>3South Puget Sound</v>
      </c>
      <c r="M3547" s="72" t="s">
        <v>13</v>
      </c>
      <c r="N3547" t="str">
        <f>VLOOKUP(M3547,LUTs!E$2:H$14,3,)</f>
        <v>01Whatcom</v>
      </c>
      <c r="O3547" t="str">
        <f>VLOOKUP(M3547,LUTs!E$2:H$14,4,)</f>
        <v>01North Puget Sound</v>
      </c>
      <c r="P3547" s="73">
        <v>13.747884940778301</v>
      </c>
      <c r="Q3547" s="74">
        <f>VLOOKUP(B3547,Readme!A$40:C$51,2,)*P3547</f>
        <v>47.292724196277355</v>
      </c>
    </row>
    <row r="3548" spans="1:17" ht="12" customHeight="1" x14ac:dyDescent="0.35">
      <c r="A3548" s="75">
        <v>3547</v>
      </c>
      <c r="B3548" s="64">
        <v>2021</v>
      </c>
      <c r="C3548" s="64">
        <v>11</v>
      </c>
      <c r="D3548" s="80">
        <f t="shared" si="113"/>
        <v>2021</v>
      </c>
      <c r="E3548" t="s">
        <v>38</v>
      </c>
      <c r="F3548" t="s">
        <v>143</v>
      </c>
      <c r="G3548" t="s">
        <v>10</v>
      </c>
      <c r="H3548" s="72">
        <v>746</v>
      </c>
      <c r="I3548" s="72" t="s">
        <v>45</v>
      </c>
      <c r="J3548" t="str">
        <f t="shared" si="114"/>
        <v>Green - Duwamish River</v>
      </c>
      <c r="K3548" t="str">
        <f>IFERROR(VLOOKUP(J3548,LUTs!$A$1:$C$73,2,FALSE),"NA")</f>
        <v>King</v>
      </c>
      <c r="L3548" t="str">
        <f>IFERROR(VLOOKUP(J3548,LUTs!$A$1:$C$73,3,FALSE),"NA")</f>
        <v>3South Puget Sound</v>
      </c>
      <c r="M3548" s="72" t="s">
        <v>18</v>
      </c>
      <c r="N3548" t="str">
        <f>VLOOKUP(M3548,LUTs!E$2:H$14,3,)</f>
        <v>06King</v>
      </c>
      <c r="O3548" t="str">
        <f>VLOOKUP(M3548,LUTs!E$2:H$14,4,)</f>
        <v>02South Puget Sound</v>
      </c>
      <c r="P3548" s="73">
        <v>866.25</v>
      </c>
      <c r="Q3548" s="74">
        <f>VLOOKUP(B3548,Readme!A$40:C$51,2,)*P3548</f>
        <v>2979.9</v>
      </c>
    </row>
    <row r="3549" spans="1:17" ht="12" customHeight="1" x14ac:dyDescent="0.35">
      <c r="A3549" s="75">
        <v>3548</v>
      </c>
      <c r="B3549" s="64">
        <v>2021</v>
      </c>
      <c r="C3549" s="64">
        <v>11</v>
      </c>
      <c r="D3549" s="80">
        <f t="shared" si="113"/>
        <v>2021</v>
      </c>
      <c r="E3549" t="s">
        <v>38</v>
      </c>
      <c r="F3549" t="s">
        <v>143</v>
      </c>
      <c r="G3549" t="s">
        <v>10</v>
      </c>
      <c r="H3549" s="72">
        <v>746</v>
      </c>
      <c r="I3549" s="72" t="s">
        <v>45</v>
      </c>
      <c r="J3549" t="str">
        <f t="shared" si="114"/>
        <v>Green - Duwamish River</v>
      </c>
      <c r="K3549" t="str">
        <f>IFERROR(VLOOKUP(J3549,LUTs!$A$1:$C$73,2,FALSE),"NA")</f>
        <v>King</v>
      </c>
      <c r="L3549" t="str">
        <f>IFERROR(VLOOKUP(J3549,LUTs!$A$1:$C$73,3,FALSE),"NA")</f>
        <v>3South Puget Sound</v>
      </c>
      <c r="M3549" s="72" t="s">
        <v>26</v>
      </c>
      <c r="N3549" t="str">
        <f>VLOOKUP(M3549,LUTs!E$2:H$14,3,)</f>
        <v>20Other</v>
      </c>
      <c r="O3549" t="str">
        <f>VLOOKUP(M3549,LUTs!E$2:H$14,4,)</f>
        <v>07Non Puget Sound</v>
      </c>
      <c r="P3549" s="73">
        <v>82.5</v>
      </c>
      <c r="Q3549" s="74">
        <f>VLOOKUP(B3549,Readme!A$40:C$51,2,)*P3549</f>
        <v>283.8</v>
      </c>
    </row>
    <row r="3550" spans="1:17" ht="12" customHeight="1" x14ac:dyDescent="0.35">
      <c r="A3550" s="75">
        <v>3549</v>
      </c>
      <c r="B3550" s="64">
        <v>2021</v>
      </c>
      <c r="C3550" s="64">
        <v>11</v>
      </c>
      <c r="D3550" s="80">
        <f t="shared" si="113"/>
        <v>2021</v>
      </c>
      <c r="E3550" t="s">
        <v>38</v>
      </c>
      <c r="F3550" t="s">
        <v>143</v>
      </c>
      <c r="G3550" t="s">
        <v>10</v>
      </c>
      <c r="H3550" s="72">
        <v>746</v>
      </c>
      <c r="I3550" s="72" t="s">
        <v>45</v>
      </c>
      <c r="J3550" t="str">
        <f t="shared" si="114"/>
        <v>Green - Duwamish River</v>
      </c>
      <c r="K3550" t="str">
        <f>IFERROR(VLOOKUP(J3550,LUTs!$A$1:$C$73,2,FALSE),"NA")</f>
        <v>King</v>
      </c>
      <c r="L3550" t="str">
        <f>IFERROR(VLOOKUP(J3550,LUTs!$A$1:$C$73,3,FALSE),"NA")</f>
        <v>3South Puget Sound</v>
      </c>
      <c r="M3550" s="72" t="s">
        <v>20</v>
      </c>
      <c r="N3550" t="str">
        <f>VLOOKUP(M3550,LUTs!E$2:H$14,3,)</f>
        <v>07Pierce</v>
      </c>
      <c r="O3550" t="str">
        <f>VLOOKUP(M3550,LUTs!E$2:H$14,4,)</f>
        <v>02South Puget Sound</v>
      </c>
      <c r="P3550" s="73">
        <v>110</v>
      </c>
      <c r="Q3550" s="74">
        <f>VLOOKUP(B3550,Readme!A$40:C$51,2,)*P3550</f>
        <v>378.4</v>
      </c>
    </row>
    <row r="3551" spans="1:17" ht="12" customHeight="1" x14ac:dyDescent="0.35">
      <c r="A3551" s="75">
        <v>3550</v>
      </c>
      <c r="B3551" s="64">
        <v>2021</v>
      </c>
      <c r="C3551" s="64">
        <v>11</v>
      </c>
      <c r="D3551" s="80">
        <f t="shared" si="113"/>
        <v>2021</v>
      </c>
      <c r="E3551" t="s">
        <v>38</v>
      </c>
      <c r="F3551" t="s">
        <v>143</v>
      </c>
      <c r="G3551" t="s">
        <v>10</v>
      </c>
      <c r="H3551" s="72">
        <v>746</v>
      </c>
      <c r="I3551" s="72" t="s">
        <v>45</v>
      </c>
      <c r="J3551" t="str">
        <f t="shared" si="114"/>
        <v>Green - Duwamish River</v>
      </c>
      <c r="K3551" t="str">
        <f>IFERROR(VLOOKUP(J3551,LUTs!$A$1:$C$73,2,FALSE),"NA")</f>
        <v>King</v>
      </c>
      <c r="L3551" t="str">
        <f>IFERROR(VLOOKUP(J3551,LUTs!$A$1:$C$73,3,FALSE),"NA")</f>
        <v>3South Puget Sound</v>
      </c>
      <c r="M3551" s="72" t="s">
        <v>16</v>
      </c>
      <c r="N3551" t="str">
        <f>VLOOKUP(M3551,LUTs!E$2:H$14,3,)</f>
        <v>03Snohomish</v>
      </c>
      <c r="O3551" t="str">
        <f>VLOOKUP(M3551,LUTs!E$2:H$14,4,)</f>
        <v>01North Puget Sound</v>
      </c>
      <c r="P3551" s="73">
        <v>96.25</v>
      </c>
      <c r="Q3551" s="74">
        <f>VLOOKUP(B3551,Readme!A$40:C$51,2,)*P3551</f>
        <v>331.1</v>
      </c>
    </row>
    <row r="3552" spans="1:17" ht="12" customHeight="1" x14ac:dyDescent="0.35">
      <c r="A3552" s="75">
        <v>3551</v>
      </c>
      <c r="B3552" s="64">
        <v>2021</v>
      </c>
      <c r="C3552" s="64">
        <v>12</v>
      </c>
      <c r="D3552" s="80">
        <f t="shared" si="113"/>
        <v>2021</v>
      </c>
      <c r="E3552" t="s">
        <v>38</v>
      </c>
      <c r="F3552" t="s">
        <v>143</v>
      </c>
      <c r="G3552" t="s">
        <v>10</v>
      </c>
      <c r="H3552" s="72">
        <v>746</v>
      </c>
      <c r="I3552" s="72" t="s">
        <v>45</v>
      </c>
      <c r="J3552" t="str">
        <f t="shared" si="114"/>
        <v>Green - Duwamish River</v>
      </c>
      <c r="K3552" t="str">
        <f>IFERROR(VLOOKUP(J3552,LUTs!$A$1:$C$73,2,FALSE),"NA")</f>
        <v>King</v>
      </c>
      <c r="L3552" t="str">
        <f>IFERROR(VLOOKUP(J3552,LUTs!$A$1:$C$73,3,FALSE),"NA")</f>
        <v>3South Puget Sound</v>
      </c>
      <c r="M3552" s="72" t="s">
        <v>18</v>
      </c>
      <c r="N3552" t="str">
        <f>VLOOKUP(M3552,LUTs!E$2:H$14,3,)</f>
        <v>06King</v>
      </c>
      <c r="O3552" t="str">
        <f>VLOOKUP(M3552,LUTs!E$2:H$14,4,)</f>
        <v>02South Puget Sound</v>
      </c>
      <c r="P3552" s="73">
        <v>14</v>
      </c>
      <c r="Q3552" s="74">
        <f>VLOOKUP(B3552,Readme!A$40:C$51,2,)*P3552</f>
        <v>48.16</v>
      </c>
    </row>
    <row r="3553" spans="1:17" ht="12" customHeight="1" x14ac:dyDescent="0.35">
      <c r="A3553" s="75">
        <v>3552</v>
      </c>
      <c r="B3553" s="64">
        <v>2021</v>
      </c>
      <c r="C3553" s="64">
        <v>9</v>
      </c>
      <c r="D3553" s="80">
        <f t="shared" si="113"/>
        <v>2021</v>
      </c>
      <c r="E3553" t="s">
        <v>38</v>
      </c>
      <c r="F3553" t="s">
        <v>143</v>
      </c>
      <c r="G3553" t="s">
        <v>10</v>
      </c>
      <c r="H3553" s="72">
        <v>762</v>
      </c>
      <c r="I3553" s="72" t="s">
        <v>48</v>
      </c>
      <c r="J3553" t="str">
        <f t="shared" si="114"/>
        <v>Lake Washington</v>
      </c>
      <c r="K3553" t="str">
        <f>IFERROR(VLOOKUP(J3553,LUTs!$A$1:$C$73,2,FALSE),"NA")</f>
        <v>King</v>
      </c>
      <c r="L3553" t="str">
        <f>IFERROR(VLOOKUP(J3553,LUTs!$A$1:$C$73,3,FALSE),"NA")</f>
        <v>2Central Puget Sound</v>
      </c>
      <c r="M3553" s="72" t="s">
        <v>17</v>
      </c>
      <c r="N3553" t="str">
        <f>VLOOKUP(M3553,LUTs!E$2:H$14,3,)</f>
        <v>04Island</v>
      </c>
      <c r="O3553" t="str">
        <f>VLOOKUP(M3553,LUTs!E$2:H$14,4,)</f>
        <v>01North Puget Sound</v>
      </c>
      <c r="P3553" s="73">
        <v>40.875</v>
      </c>
      <c r="Q3553" s="74">
        <f>VLOOKUP(B3553,Readme!A$40:C$51,2,)*P3553</f>
        <v>140.60999999999999</v>
      </c>
    </row>
    <row r="3554" spans="1:17" ht="12" customHeight="1" x14ac:dyDescent="0.35">
      <c r="A3554" s="75">
        <v>3553</v>
      </c>
      <c r="B3554" s="64">
        <v>2021</v>
      </c>
      <c r="C3554" s="64">
        <v>9</v>
      </c>
      <c r="D3554" s="80">
        <f t="shared" si="113"/>
        <v>2021</v>
      </c>
      <c r="E3554" t="s">
        <v>38</v>
      </c>
      <c r="F3554" t="s">
        <v>143</v>
      </c>
      <c r="G3554" t="s">
        <v>10</v>
      </c>
      <c r="H3554" s="72">
        <v>762</v>
      </c>
      <c r="I3554" s="72" t="s">
        <v>48</v>
      </c>
      <c r="J3554" t="str">
        <f t="shared" si="114"/>
        <v>Lake Washington</v>
      </c>
      <c r="K3554" t="str">
        <f>IFERROR(VLOOKUP(J3554,LUTs!$A$1:$C$73,2,FALSE),"NA")</f>
        <v>King</v>
      </c>
      <c r="L3554" t="str">
        <f>IFERROR(VLOOKUP(J3554,LUTs!$A$1:$C$73,3,FALSE),"NA")</f>
        <v>2Central Puget Sound</v>
      </c>
      <c r="M3554" s="72" t="s">
        <v>18</v>
      </c>
      <c r="N3554" t="str">
        <f>VLOOKUP(M3554,LUTs!E$2:H$14,3,)</f>
        <v>06King</v>
      </c>
      <c r="O3554" t="str">
        <f>VLOOKUP(M3554,LUTs!E$2:H$14,4,)</f>
        <v>02South Puget Sound</v>
      </c>
      <c r="P3554" s="73">
        <v>367.875</v>
      </c>
      <c r="Q3554" s="74">
        <f>VLOOKUP(B3554,Readme!A$40:C$51,2,)*P3554</f>
        <v>1265.49</v>
      </c>
    </row>
    <row r="3555" spans="1:17" ht="12" customHeight="1" x14ac:dyDescent="0.35">
      <c r="A3555" s="75">
        <v>3554</v>
      </c>
      <c r="B3555" s="64">
        <v>2021</v>
      </c>
      <c r="C3555" s="64">
        <v>9</v>
      </c>
      <c r="D3555" s="80">
        <f t="shared" si="113"/>
        <v>2021</v>
      </c>
      <c r="E3555" t="s">
        <v>38</v>
      </c>
      <c r="F3555" t="s">
        <v>143</v>
      </c>
      <c r="G3555" t="s">
        <v>10</v>
      </c>
      <c r="H3555" s="72">
        <v>762</v>
      </c>
      <c r="I3555" s="72" t="s">
        <v>48</v>
      </c>
      <c r="J3555" t="str">
        <f t="shared" si="114"/>
        <v>Lake Washington</v>
      </c>
      <c r="K3555" t="str">
        <f>IFERROR(VLOOKUP(J3555,LUTs!$A$1:$C$73,2,FALSE),"NA")</f>
        <v>King</v>
      </c>
      <c r="L3555" t="str">
        <f>IFERROR(VLOOKUP(J3555,LUTs!$A$1:$C$73,3,FALSE),"NA")</f>
        <v>2Central Puget Sound</v>
      </c>
      <c r="M3555" s="72" t="s">
        <v>20</v>
      </c>
      <c r="N3555" t="str">
        <f>VLOOKUP(M3555,LUTs!E$2:H$14,3,)</f>
        <v>07Pierce</v>
      </c>
      <c r="O3555" t="str">
        <f>VLOOKUP(M3555,LUTs!E$2:H$14,4,)</f>
        <v>02South Puget Sound</v>
      </c>
      <c r="P3555" s="73">
        <v>13.625</v>
      </c>
      <c r="Q3555" s="74">
        <f>VLOOKUP(B3555,Readme!A$40:C$51,2,)*P3555</f>
        <v>46.87</v>
      </c>
    </row>
    <row r="3556" spans="1:17" ht="12" customHeight="1" x14ac:dyDescent="0.35">
      <c r="A3556" s="75">
        <v>3555</v>
      </c>
      <c r="B3556" s="64">
        <v>2021</v>
      </c>
      <c r="C3556" s="64">
        <v>9</v>
      </c>
      <c r="D3556" s="80">
        <f t="shared" si="113"/>
        <v>2021</v>
      </c>
      <c r="E3556" t="s">
        <v>38</v>
      </c>
      <c r="F3556" t="s">
        <v>143</v>
      </c>
      <c r="G3556" t="s">
        <v>10</v>
      </c>
      <c r="H3556" s="72">
        <v>762</v>
      </c>
      <c r="I3556" s="72" t="s">
        <v>48</v>
      </c>
      <c r="J3556" t="str">
        <f t="shared" si="114"/>
        <v>Lake Washington</v>
      </c>
      <c r="K3556" t="str">
        <f>IFERROR(VLOOKUP(J3556,LUTs!$A$1:$C$73,2,FALSE),"NA")</f>
        <v>King</v>
      </c>
      <c r="L3556" t="str">
        <f>IFERROR(VLOOKUP(J3556,LUTs!$A$1:$C$73,3,FALSE),"NA")</f>
        <v>2Central Puget Sound</v>
      </c>
      <c r="M3556" s="72" t="s">
        <v>16</v>
      </c>
      <c r="N3556" t="str">
        <f>VLOOKUP(M3556,LUTs!E$2:H$14,3,)</f>
        <v>03Snohomish</v>
      </c>
      <c r="O3556" t="str">
        <f>VLOOKUP(M3556,LUTs!E$2:H$14,4,)</f>
        <v>01North Puget Sound</v>
      </c>
      <c r="P3556" s="73">
        <v>13.625</v>
      </c>
      <c r="Q3556" s="74">
        <f>VLOOKUP(B3556,Readme!A$40:C$51,2,)*P3556</f>
        <v>46.87</v>
      </c>
    </row>
    <row r="3557" spans="1:17" ht="12" customHeight="1" x14ac:dyDescent="0.35">
      <c r="A3557" s="75">
        <v>3556</v>
      </c>
      <c r="B3557" s="64">
        <v>2021</v>
      </c>
      <c r="C3557" s="64">
        <v>10</v>
      </c>
      <c r="D3557" s="80">
        <f t="shared" si="113"/>
        <v>2021</v>
      </c>
      <c r="E3557" t="s">
        <v>38</v>
      </c>
      <c r="F3557" t="s">
        <v>143</v>
      </c>
      <c r="G3557" t="s">
        <v>10</v>
      </c>
      <c r="H3557" s="72">
        <v>762</v>
      </c>
      <c r="I3557" s="72" t="s">
        <v>48</v>
      </c>
      <c r="J3557" t="str">
        <f t="shared" si="114"/>
        <v>Lake Washington</v>
      </c>
      <c r="K3557" t="str">
        <f>IFERROR(VLOOKUP(J3557,LUTs!$A$1:$C$73,2,FALSE),"NA")</f>
        <v>King</v>
      </c>
      <c r="L3557" t="str">
        <f>IFERROR(VLOOKUP(J3557,LUTs!$A$1:$C$73,3,FALSE),"NA")</f>
        <v>2Central Puget Sound</v>
      </c>
      <c r="M3557" s="72" t="s">
        <v>18</v>
      </c>
      <c r="N3557" t="str">
        <f>VLOOKUP(M3557,LUTs!E$2:H$14,3,)</f>
        <v>06King</v>
      </c>
      <c r="O3557" t="str">
        <f>VLOOKUP(M3557,LUTs!E$2:H$14,4,)</f>
        <v>02South Puget Sound</v>
      </c>
      <c r="P3557" s="73">
        <v>258.875</v>
      </c>
      <c r="Q3557" s="74">
        <f>VLOOKUP(B3557,Readme!A$40:C$51,2,)*P3557</f>
        <v>890.53</v>
      </c>
    </row>
    <row r="3558" spans="1:17" ht="12" customHeight="1" x14ac:dyDescent="0.35">
      <c r="A3558" s="75">
        <v>3557</v>
      </c>
      <c r="B3558" s="64">
        <v>2021</v>
      </c>
      <c r="C3558" s="64">
        <v>10</v>
      </c>
      <c r="D3558" s="80">
        <f t="shared" si="113"/>
        <v>2021</v>
      </c>
      <c r="E3558" t="s">
        <v>38</v>
      </c>
      <c r="F3558" t="s">
        <v>143</v>
      </c>
      <c r="G3558" t="s">
        <v>10</v>
      </c>
      <c r="H3558" s="72">
        <v>762</v>
      </c>
      <c r="I3558" s="72" t="s">
        <v>48</v>
      </c>
      <c r="J3558" t="str">
        <f t="shared" si="114"/>
        <v>Lake Washington</v>
      </c>
      <c r="K3558" t="str">
        <f>IFERROR(VLOOKUP(J3558,LUTs!$A$1:$C$73,2,FALSE),"NA")</f>
        <v>King</v>
      </c>
      <c r="L3558" t="str">
        <f>IFERROR(VLOOKUP(J3558,LUTs!$A$1:$C$73,3,FALSE),"NA")</f>
        <v>2Central Puget Sound</v>
      </c>
      <c r="M3558" s="72" t="s">
        <v>16</v>
      </c>
      <c r="N3558" t="str">
        <f>VLOOKUP(M3558,LUTs!E$2:H$14,3,)</f>
        <v>03Snohomish</v>
      </c>
      <c r="O3558" t="str">
        <f>VLOOKUP(M3558,LUTs!E$2:H$14,4,)</f>
        <v>01North Puget Sound</v>
      </c>
      <c r="P3558" s="73">
        <v>68.125</v>
      </c>
      <c r="Q3558" s="74">
        <f>VLOOKUP(B3558,Readme!A$40:C$51,2,)*P3558</f>
        <v>234.35</v>
      </c>
    </row>
    <row r="3559" spans="1:17" ht="12" customHeight="1" x14ac:dyDescent="0.35">
      <c r="A3559" s="75">
        <v>3558</v>
      </c>
      <c r="B3559" s="64">
        <v>2021</v>
      </c>
      <c r="C3559" s="64">
        <v>10</v>
      </c>
      <c r="D3559" s="80">
        <f t="shared" si="113"/>
        <v>2021</v>
      </c>
      <c r="E3559" t="s">
        <v>38</v>
      </c>
      <c r="F3559" t="s">
        <v>143</v>
      </c>
      <c r="G3559" t="s">
        <v>10</v>
      </c>
      <c r="H3559" s="72">
        <v>764</v>
      </c>
      <c r="I3559" s="72" t="s">
        <v>49</v>
      </c>
      <c r="J3559" t="str">
        <f t="shared" si="114"/>
        <v>Lake Sammamish</v>
      </c>
      <c r="K3559" t="str">
        <f>IFERROR(VLOOKUP(J3559,LUTs!$A$1:$C$73,2,FALSE),"NA")</f>
        <v>King</v>
      </c>
      <c r="L3559" t="str">
        <f>IFERROR(VLOOKUP(J3559,LUTs!$A$1:$C$73,3,FALSE),"NA")</f>
        <v>2Central Puget Sound</v>
      </c>
      <c r="M3559" s="72" t="s">
        <v>18</v>
      </c>
      <c r="N3559" t="str">
        <f>VLOOKUP(M3559,LUTs!E$2:H$14,3,)</f>
        <v>06King</v>
      </c>
      <c r="O3559" t="str">
        <f>VLOOKUP(M3559,LUTs!E$2:H$14,4,)</f>
        <v>02South Puget Sound</v>
      </c>
      <c r="P3559" s="73">
        <v>13.6666666666667</v>
      </c>
      <c r="Q3559" s="74">
        <f>VLOOKUP(B3559,Readme!A$40:C$51,2,)*P3559</f>
        <v>47.013333333333449</v>
      </c>
    </row>
    <row r="3560" spans="1:17" ht="12" customHeight="1" x14ac:dyDescent="0.35">
      <c r="A3560" s="75">
        <v>3559</v>
      </c>
      <c r="B3560" s="64">
        <v>2021</v>
      </c>
      <c r="C3560" s="64">
        <v>10</v>
      </c>
      <c r="D3560" s="80">
        <f t="shared" si="113"/>
        <v>2021</v>
      </c>
      <c r="E3560" t="s">
        <v>38</v>
      </c>
      <c r="F3560" t="s">
        <v>143</v>
      </c>
      <c r="G3560" t="s">
        <v>10</v>
      </c>
      <c r="H3560" s="72">
        <v>764</v>
      </c>
      <c r="I3560" s="72" t="s">
        <v>49</v>
      </c>
      <c r="J3560" t="str">
        <f t="shared" si="114"/>
        <v>Lake Sammamish</v>
      </c>
      <c r="K3560" t="str">
        <f>IFERROR(VLOOKUP(J3560,LUTs!$A$1:$C$73,2,FALSE),"NA")</f>
        <v>King</v>
      </c>
      <c r="L3560" t="str">
        <f>IFERROR(VLOOKUP(J3560,LUTs!$A$1:$C$73,3,FALSE),"NA")</f>
        <v>2Central Puget Sound</v>
      </c>
      <c r="M3560" s="72" t="s">
        <v>20</v>
      </c>
      <c r="N3560" t="str">
        <f>VLOOKUP(M3560,LUTs!E$2:H$14,3,)</f>
        <v>07Pierce</v>
      </c>
      <c r="O3560" t="str">
        <f>VLOOKUP(M3560,LUTs!E$2:H$14,4,)</f>
        <v>02South Puget Sound</v>
      </c>
      <c r="P3560" s="73">
        <v>27.3333333333333</v>
      </c>
      <c r="Q3560" s="74">
        <f>VLOOKUP(B3560,Readme!A$40:C$51,2,)*P3560</f>
        <v>94.026666666666557</v>
      </c>
    </row>
    <row r="3561" spans="1:17" ht="12" customHeight="1" x14ac:dyDescent="0.35">
      <c r="A3561" s="75">
        <v>3560</v>
      </c>
      <c r="B3561" s="64">
        <v>2021</v>
      </c>
      <c r="C3561" s="64">
        <v>11</v>
      </c>
      <c r="D3561" s="80">
        <f t="shared" si="113"/>
        <v>2021</v>
      </c>
      <c r="E3561" t="s">
        <v>38</v>
      </c>
      <c r="F3561" t="s">
        <v>143</v>
      </c>
      <c r="G3561" t="s">
        <v>10</v>
      </c>
      <c r="H3561" s="72">
        <v>774</v>
      </c>
      <c r="I3561" s="72" t="s">
        <v>84</v>
      </c>
      <c r="J3561" t="str">
        <f t="shared" si="114"/>
        <v>McLane Creek</v>
      </c>
      <c r="K3561" t="str">
        <f>IFERROR(VLOOKUP(J3561,LUTs!$A$1:$C$73,2,FALSE),"NA")</f>
        <v>Thurston</v>
      </c>
      <c r="L3561" t="str">
        <f>IFERROR(VLOOKUP(J3561,LUTs!$A$1:$C$73,3,FALSE),"NA")</f>
        <v>3South Puget Sound</v>
      </c>
      <c r="M3561" s="72" t="s">
        <v>20</v>
      </c>
      <c r="N3561" t="str">
        <f>VLOOKUP(M3561,LUTs!E$2:H$14,3,)</f>
        <v>07Pierce</v>
      </c>
      <c r="O3561" t="str">
        <f>VLOOKUP(M3561,LUTs!E$2:H$14,4,)</f>
        <v>02South Puget Sound</v>
      </c>
      <c r="P3561" s="73">
        <v>25</v>
      </c>
      <c r="Q3561" s="74">
        <f>VLOOKUP(B3561,Readme!A$40:C$51,2,)*P3561</f>
        <v>86</v>
      </c>
    </row>
    <row r="3562" spans="1:17" ht="12" customHeight="1" x14ac:dyDescent="0.35">
      <c r="A3562" s="75">
        <v>3561</v>
      </c>
      <c r="B3562" s="64">
        <v>2021</v>
      </c>
      <c r="C3562" s="64">
        <v>9</v>
      </c>
      <c r="D3562" s="80">
        <f t="shared" si="113"/>
        <v>2021</v>
      </c>
      <c r="E3562" t="s">
        <v>38</v>
      </c>
      <c r="F3562" t="s">
        <v>143</v>
      </c>
      <c r="G3562" t="s">
        <v>10</v>
      </c>
      <c r="H3562" s="72">
        <v>778</v>
      </c>
      <c r="I3562" s="72" t="s">
        <v>50</v>
      </c>
      <c r="J3562" t="str">
        <f t="shared" si="114"/>
        <v>Minter Creek</v>
      </c>
      <c r="K3562" t="str">
        <f>IFERROR(VLOOKUP(J3562,LUTs!$A$1:$C$73,2,FALSE),"NA")</f>
        <v>Kitsap/Pierce</v>
      </c>
      <c r="L3562" t="str">
        <f>IFERROR(VLOOKUP(J3562,LUTs!$A$1:$C$73,3,FALSE),"NA")</f>
        <v>3South Puget Sound</v>
      </c>
      <c r="M3562" s="72" t="s">
        <v>18</v>
      </c>
      <c r="N3562" t="str">
        <f>VLOOKUP(M3562,LUTs!E$2:H$14,3,)</f>
        <v>06King</v>
      </c>
      <c r="O3562" t="str">
        <f>VLOOKUP(M3562,LUTs!E$2:H$14,4,)</f>
        <v>02South Puget Sound</v>
      </c>
      <c r="P3562" s="73">
        <v>12.8214285714286</v>
      </c>
      <c r="Q3562" s="74">
        <f>VLOOKUP(B3562,Readme!A$40:C$51,2,)*P3562</f>
        <v>44.105714285714384</v>
      </c>
    </row>
    <row r="3563" spans="1:17" ht="12" customHeight="1" x14ac:dyDescent="0.35">
      <c r="A3563" s="75">
        <v>3562</v>
      </c>
      <c r="B3563" s="64">
        <v>2021</v>
      </c>
      <c r="C3563" s="64">
        <v>9</v>
      </c>
      <c r="D3563" s="80">
        <f t="shared" si="113"/>
        <v>2021</v>
      </c>
      <c r="E3563" t="s">
        <v>38</v>
      </c>
      <c r="F3563" t="s">
        <v>143</v>
      </c>
      <c r="G3563" t="s">
        <v>10</v>
      </c>
      <c r="H3563" s="72">
        <v>778</v>
      </c>
      <c r="I3563" s="72" t="s">
        <v>50</v>
      </c>
      <c r="J3563" t="str">
        <f t="shared" si="114"/>
        <v>Minter Creek</v>
      </c>
      <c r="K3563" t="str">
        <f>IFERROR(VLOOKUP(J3563,LUTs!$A$1:$C$73,2,FALSE),"NA")</f>
        <v>Kitsap/Pierce</v>
      </c>
      <c r="L3563" t="str">
        <f>IFERROR(VLOOKUP(J3563,LUTs!$A$1:$C$73,3,FALSE),"NA")</f>
        <v>3South Puget Sound</v>
      </c>
      <c r="M3563" s="72" t="s">
        <v>23</v>
      </c>
      <c r="N3563" t="str">
        <f>VLOOKUP(M3563,LUTs!E$2:H$14,3,)</f>
        <v>10Kitsap</v>
      </c>
      <c r="O3563" t="str">
        <f>VLOOKUP(M3563,LUTs!E$2:H$14,4,)</f>
        <v>02South Puget Sound</v>
      </c>
      <c r="P3563" s="73">
        <v>294.892857142857</v>
      </c>
      <c r="Q3563" s="74">
        <f>VLOOKUP(B3563,Readme!A$40:C$51,2,)*P3563</f>
        <v>1014.431428571428</v>
      </c>
    </row>
    <row r="3564" spans="1:17" ht="12" customHeight="1" x14ac:dyDescent="0.35">
      <c r="A3564" s="75">
        <v>3563</v>
      </c>
      <c r="B3564" s="64">
        <v>2021</v>
      </c>
      <c r="C3564" s="64">
        <v>9</v>
      </c>
      <c r="D3564" s="80">
        <f t="shared" si="113"/>
        <v>2021</v>
      </c>
      <c r="E3564" t="s">
        <v>38</v>
      </c>
      <c r="F3564" t="s">
        <v>143</v>
      </c>
      <c r="G3564" t="s">
        <v>10</v>
      </c>
      <c r="H3564" s="72">
        <v>778</v>
      </c>
      <c r="I3564" s="72" t="s">
        <v>50</v>
      </c>
      <c r="J3564" t="str">
        <f t="shared" si="114"/>
        <v>Minter Creek</v>
      </c>
      <c r="K3564" t="str">
        <f>IFERROR(VLOOKUP(J3564,LUTs!$A$1:$C$73,2,FALSE),"NA")</f>
        <v>Kitsap/Pierce</v>
      </c>
      <c r="L3564" t="str">
        <f>IFERROR(VLOOKUP(J3564,LUTs!$A$1:$C$73,3,FALSE),"NA")</f>
        <v>3South Puget Sound</v>
      </c>
      <c r="M3564" s="72" t="s">
        <v>22</v>
      </c>
      <c r="N3564" t="str">
        <f>VLOOKUP(M3564,LUTs!E$2:H$14,3,)</f>
        <v>09Mason</v>
      </c>
      <c r="O3564" t="str">
        <f>VLOOKUP(M3564,LUTs!E$2:H$14,4,)</f>
        <v>02South Puget Sound</v>
      </c>
      <c r="P3564" s="73">
        <v>115.392857142857</v>
      </c>
      <c r="Q3564" s="74">
        <f>VLOOKUP(B3564,Readme!A$40:C$51,2,)*P3564</f>
        <v>396.95142857142804</v>
      </c>
    </row>
    <row r="3565" spans="1:17" ht="12" customHeight="1" x14ac:dyDescent="0.35">
      <c r="A3565" s="75">
        <v>3564</v>
      </c>
      <c r="B3565" s="64">
        <v>2021</v>
      </c>
      <c r="C3565" s="64">
        <v>9</v>
      </c>
      <c r="D3565" s="80">
        <f t="shared" si="113"/>
        <v>2021</v>
      </c>
      <c r="E3565" t="s">
        <v>38</v>
      </c>
      <c r="F3565" t="s">
        <v>143</v>
      </c>
      <c r="G3565" t="s">
        <v>10</v>
      </c>
      <c r="H3565" s="72">
        <v>778</v>
      </c>
      <c r="I3565" s="72" t="s">
        <v>50</v>
      </c>
      <c r="J3565" t="str">
        <f t="shared" si="114"/>
        <v>Minter Creek</v>
      </c>
      <c r="K3565" t="str">
        <f>IFERROR(VLOOKUP(J3565,LUTs!$A$1:$C$73,2,FALSE),"NA")</f>
        <v>Kitsap/Pierce</v>
      </c>
      <c r="L3565" t="str">
        <f>IFERROR(VLOOKUP(J3565,LUTs!$A$1:$C$73,3,FALSE),"NA")</f>
        <v>3South Puget Sound</v>
      </c>
      <c r="M3565" s="72" t="s">
        <v>20</v>
      </c>
      <c r="N3565" t="str">
        <f>VLOOKUP(M3565,LUTs!E$2:H$14,3,)</f>
        <v>07Pierce</v>
      </c>
      <c r="O3565" t="str">
        <f>VLOOKUP(M3565,LUTs!E$2:H$14,4,)</f>
        <v>02South Puget Sound</v>
      </c>
      <c r="P3565" s="73">
        <v>294.892857142857</v>
      </c>
      <c r="Q3565" s="74">
        <f>VLOOKUP(B3565,Readme!A$40:C$51,2,)*P3565</f>
        <v>1014.431428571428</v>
      </c>
    </row>
    <row r="3566" spans="1:17" ht="12" customHeight="1" x14ac:dyDescent="0.35">
      <c r="A3566" s="75">
        <v>3565</v>
      </c>
      <c r="B3566" s="64">
        <v>2021</v>
      </c>
      <c r="C3566" s="64">
        <v>10</v>
      </c>
      <c r="D3566" s="80">
        <f t="shared" si="113"/>
        <v>2021</v>
      </c>
      <c r="E3566" t="s">
        <v>38</v>
      </c>
      <c r="F3566" t="s">
        <v>143</v>
      </c>
      <c r="G3566" t="s">
        <v>10</v>
      </c>
      <c r="H3566" s="72">
        <v>778</v>
      </c>
      <c r="I3566" s="72" t="s">
        <v>50</v>
      </c>
      <c r="J3566" t="str">
        <f t="shared" si="114"/>
        <v>Minter Creek</v>
      </c>
      <c r="K3566" t="str">
        <f>IFERROR(VLOOKUP(J3566,LUTs!$A$1:$C$73,2,FALSE),"NA")</f>
        <v>Kitsap/Pierce</v>
      </c>
      <c r="L3566" t="str">
        <f>IFERROR(VLOOKUP(J3566,LUTs!$A$1:$C$73,3,FALSE),"NA")</f>
        <v>3South Puget Sound</v>
      </c>
      <c r="M3566" s="72" t="s">
        <v>18</v>
      </c>
      <c r="N3566" t="str">
        <f>VLOOKUP(M3566,LUTs!E$2:H$14,3,)</f>
        <v>06King</v>
      </c>
      <c r="O3566" t="str">
        <f>VLOOKUP(M3566,LUTs!E$2:H$14,4,)</f>
        <v>02South Puget Sound</v>
      </c>
      <c r="P3566" s="73">
        <v>362.75438596491199</v>
      </c>
      <c r="Q3566" s="74">
        <f>VLOOKUP(B3566,Readme!A$40:C$51,2,)*P3566</f>
        <v>1247.8750877192972</v>
      </c>
    </row>
    <row r="3567" spans="1:17" ht="12" customHeight="1" x14ac:dyDescent="0.35">
      <c r="A3567" s="75">
        <v>3566</v>
      </c>
      <c r="B3567" s="64">
        <v>2021</v>
      </c>
      <c r="C3567" s="64">
        <v>10</v>
      </c>
      <c r="D3567" s="80">
        <f t="shared" si="113"/>
        <v>2021</v>
      </c>
      <c r="E3567" t="s">
        <v>38</v>
      </c>
      <c r="F3567" t="s">
        <v>143</v>
      </c>
      <c r="G3567" t="s">
        <v>10</v>
      </c>
      <c r="H3567" s="72">
        <v>778</v>
      </c>
      <c r="I3567" s="72" t="s">
        <v>50</v>
      </c>
      <c r="J3567" t="str">
        <f t="shared" si="114"/>
        <v>Minter Creek</v>
      </c>
      <c r="K3567" t="str">
        <f>IFERROR(VLOOKUP(J3567,LUTs!$A$1:$C$73,2,FALSE),"NA")</f>
        <v>Kitsap/Pierce</v>
      </c>
      <c r="L3567" t="str">
        <f>IFERROR(VLOOKUP(J3567,LUTs!$A$1:$C$73,3,FALSE),"NA")</f>
        <v>3South Puget Sound</v>
      </c>
      <c r="M3567" s="72" t="s">
        <v>23</v>
      </c>
      <c r="N3567" t="str">
        <f>VLOOKUP(M3567,LUTs!E$2:H$14,3,)</f>
        <v>10Kitsap</v>
      </c>
      <c r="O3567" t="str">
        <f>VLOOKUP(M3567,LUTs!E$2:H$14,4,)</f>
        <v>02South Puget Sound</v>
      </c>
      <c r="P3567" s="73">
        <v>437.80701754386001</v>
      </c>
      <c r="Q3567" s="74">
        <f>VLOOKUP(B3567,Readme!A$40:C$51,2,)*P3567</f>
        <v>1506.0561403508784</v>
      </c>
    </row>
    <row r="3568" spans="1:17" ht="12" customHeight="1" x14ac:dyDescent="0.35">
      <c r="A3568" s="75">
        <v>3567</v>
      </c>
      <c r="B3568" s="64">
        <v>2021</v>
      </c>
      <c r="C3568" s="64">
        <v>10</v>
      </c>
      <c r="D3568" s="80">
        <f t="shared" si="113"/>
        <v>2021</v>
      </c>
      <c r="E3568" t="s">
        <v>38</v>
      </c>
      <c r="F3568" t="s">
        <v>143</v>
      </c>
      <c r="G3568" t="s">
        <v>10</v>
      </c>
      <c r="H3568" s="72">
        <v>778</v>
      </c>
      <c r="I3568" s="72" t="s">
        <v>50</v>
      </c>
      <c r="J3568" t="str">
        <f t="shared" si="114"/>
        <v>Minter Creek</v>
      </c>
      <c r="K3568" t="str">
        <f>IFERROR(VLOOKUP(J3568,LUTs!$A$1:$C$73,2,FALSE),"NA")</f>
        <v>Kitsap/Pierce</v>
      </c>
      <c r="L3568" t="str">
        <f>IFERROR(VLOOKUP(J3568,LUTs!$A$1:$C$73,3,FALSE),"NA")</f>
        <v>3South Puget Sound</v>
      </c>
      <c r="M3568" s="72" t="s">
        <v>22</v>
      </c>
      <c r="N3568" t="str">
        <f>VLOOKUP(M3568,LUTs!E$2:H$14,3,)</f>
        <v>09Mason</v>
      </c>
      <c r="O3568" t="str">
        <f>VLOOKUP(M3568,LUTs!E$2:H$14,4,)</f>
        <v>02South Puget Sound</v>
      </c>
      <c r="P3568" s="73">
        <v>62.543859649122801</v>
      </c>
      <c r="Q3568" s="74">
        <f>VLOOKUP(B3568,Readme!A$40:C$51,2,)*P3568</f>
        <v>215.15087719298242</v>
      </c>
    </row>
    <row r="3569" spans="1:17" ht="12" customHeight="1" x14ac:dyDescent="0.35">
      <c r="A3569" s="75">
        <v>3568</v>
      </c>
      <c r="B3569" s="64">
        <v>2021</v>
      </c>
      <c r="C3569" s="64">
        <v>10</v>
      </c>
      <c r="D3569" s="80">
        <f t="shared" si="113"/>
        <v>2021</v>
      </c>
      <c r="E3569" t="s">
        <v>38</v>
      </c>
      <c r="F3569" t="s">
        <v>143</v>
      </c>
      <c r="G3569" t="s">
        <v>10</v>
      </c>
      <c r="H3569" s="72">
        <v>778</v>
      </c>
      <c r="I3569" s="72" t="s">
        <v>50</v>
      </c>
      <c r="J3569" t="str">
        <f t="shared" si="114"/>
        <v>Minter Creek</v>
      </c>
      <c r="K3569" t="str">
        <f>IFERROR(VLOOKUP(J3569,LUTs!$A$1:$C$73,2,FALSE),"NA")</f>
        <v>Kitsap/Pierce</v>
      </c>
      <c r="L3569" t="str">
        <f>IFERROR(VLOOKUP(J3569,LUTs!$A$1:$C$73,3,FALSE),"NA")</f>
        <v>3South Puget Sound</v>
      </c>
      <c r="M3569" s="72" t="s">
        <v>20</v>
      </c>
      <c r="N3569" t="str">
        <f>VLOOKUP(M3569,LUTs!E$2:H$14,3,)</f>
        <v>07Pierce</v>
      </c>
      <c r="O3569" t="str">
        <f>VLOOKUP(M3569,LUTs!E$2:H$14,4,)</f>
        <v>02South Puget Sound</v>
      </c>
      <c r="P3569" s="73">
        <v>550.385964912281</v>
      </c>
      <c r="Q3569" s="74">
        <f>VLOOKUP(B3569,Readme!A$40:C$51,2,)*P3569</f>
        <v>1893.3277192982466</v>
      </c>
    </row>
    <row r="3570" spans="1:17" ht="12" customHeight="1" x14ac:dyDescent="0.35">
      <c r="A3570" s="75">
        <v>3569</v>
      </c>
      <c r="B3570" s="64">
        <v>2021</v>
      </c>
      <c r="C3570" s="64">
        <v>10</v>
      </c>
      <c r="D3570" s="80">
        <f t="shared" si="113"/>
        <v>2021</v>
      </c>
      <c r="E3570" t="s">
        <v>38</v>
      </c>
      <c r="F3570" t="s">
        <v>143</v>
      </c>
      <c r="G3570" t="s">
        <v>10</v>
      </c>
      <c r="H3570" s="72">
        <v>778</v>
      </c>
      <c r="I3570" s="72" t="s">
        <v>50</v>
      </c>
      <c r="J3570" t="str">
        <f t="shared" si="114"/>
        <v>Minter Creek</v>
      </c>
      <c r="K3570" t="str">
        <f>IFERROR(VLOOKUP(J3570,LUTs!$A$1:$C$73,2,FALSE),"NA")</f>
        <v>Kitsap/Pierce</v>
      </c>
      <c r="L3570" t="str">
        <f>IFERROR(VLOOKUP(J3570,LUTs!$A$1:$C$73,3,FALSE),"NA")</f>
        <v>3South Puget Sound</v>
      </c>
      <c r="M3570" s="72" t="s">
        <v>21</v>
      </c>
      <c r="N3570" t="str">
        <f>VLOOKUP(M3570,LUTs!E$2:H$14,3,)</f>
        <v>08Thurston</v>
      </c>
      <c r="O3570" t="str">
        <f>VLOOKUP(M3570,LUTs!E$2:H$14,4,)</f>
        <v>02South Puget Sound</v>
      </c>
      <c r="P3570" s="73">
        <v>12.508771929824601</v>
      </c>
      <c r="Q3570" s="74">
        <f>VLOOKUP(B3570,Readme!A$40:C$51,2,)*P3570</f>
        <v>43.030175438596629</v>
      </c>
    </row>
    <row r="3571" spans="1:17" ht="12" customHeight="1" x14ac:dyDescent="0.35">
      <c r="A3571" s="75">
        <v>3570</v>
      </c>
      <c r="B3571" s="64">
        <v>2021</v>
      </c>
      <c r="C3571" s="64">
        <v>11</v>
      </c>
      <c r="D3571" s="80">
        <f t="shared" si="113"/>
        <v>2021</v>
      </c>
      <c r="E3571" t="s">
        <v>38</v>
      </c>
      <c r="F3571" t="s">
        <v>143</v>
      </c>
      <c r="G3571" t="s">
        <v>10</v>
      </c>
      <c r="H3571" s="72">
        <v>778</v>
      </c>
      <c r="I3571" s="72" t="s">
        <v>50</v>
      </c>
      <c r="J3571" t="str">
        <f t="shared" si="114"/>
        <v>Minter Creek</v>
      </c>
      <c r="K3571" t="str">
        <f>IFERROR(VLOOKUP(J3571,LUTs!$A$1:$C$73,2,FALSE),"NA")</f>
        <v>Kitsap/Pierce</v>
      </c>
      <c r="L3571" t="str">
        <f>IFERROR(VLOOKUP(J3571,LUTs!$A$1:$C$73,3,FALSE),"NA")</f>
        <v>3South Puget Sound</v>
      </c>
      <c r="M3571" s="72" t="s">
        <v>18</v>
      </c>
      <c r="N3571" t="str">
        <f>VLOOKUP(M3571,LUTs!E$2:H$14,3,)</f>
        <v>06King</v>
      </c>
      <c r="O3571" t="str">
        <f>VLOOKUP(M3571,LUTs!E$2:H$14,4,)</f>
        <v>02South Puget Sound</v>
      </c>
      <c r="P3571" s="73">
        <v>1935.1175059952</v>
      </c>
      <c r="Q3571" s="74">
        <f>VLOOKUP(B3571,Readme!A$40:C$51,2,)*P3571</f>
        <v>6656.8042206234877</v>
      </c>
    </row>
    <row r="3572" spans="1:17" ht="12" customHeight="1" x14ac:dyDescent="0.35">
      <c r="A3572" s="75">
        <v>3571</v>
      </c>
      <c r="B3572" s="64">
        <v>2021</v>
      </c>
      <c r="C3572" s="64">
        <v>11</v>
      </c>
      <c r="D3572" s="80">
        <f t="shared" si="113"/>
        <v>2021</v>
      </c>
      <c r="E3572" t="s">
        <v>38</v>
      </c>
      <c r="F3572" t="s">
        <v>143</v>
      </c>
      <c r="G3572" t="s">
        <v>10</v>
      </c>
      <c r="H3572" s="72">
        <v>778</v>
      </c>
      <c r="I3572" s="72" t="s">
        <v>50</v>
      </c>
      <c r="J3572" t="str">
        <f t="shared" si="114"/>
        <v>Minter Creek</v>
      </c>
      <c r="K3572" t="str">
        <f>IFERROR(VLOOKUP(J3572,LUTs!$A$1:$C$73,2,FALSE),"NA")</f>
        <v>Kitsap/Pierce</v>
      </c>
      <c r="L3572" t="str">
        <f>IFERROR(VLOOKUP(J3572,LUTs!$A$1:$C$73,3,FALSE),"NA")</f>
        <v>3South Puget Sound</v>
      </c>
      <c r="M3572" s="72" t="s">
        <v>23</v>
      </c>
      <c r="N3572" t="str">
        <f>VLOOKUP(M3572,LUTs!E$2:H$14,3,)</f>
        <v>10Kitsap</v>
      </c>
      <c r="O3572" t="str">
        <f>VLOOKUP(M3572,LUTs!E$2:H$14,4,)</f>
        <v>02South Puget Sound</v>
      </c>
      <c r="P3572" s="73">
        <v>281.93764988009599</v>
      </c>
      <c r="Q3572" s="74">
        <f>VLOOKUP(B3572,Readme!A$40:C$51,2,)*P3572</f>
        <v>969.86551558753024</v>
      </c>
    </row>
    <row r="3573" spans="1:17" ht="12" customHeight="1" x14ac:dyDescent="0.35">
      <c r="A3573" s="75">
        <v>3572</v>
      </c>
      <c r="B3573" s="64">
        <v>2021</v>
      </c>
      <c r="C3573" s="64">
        <v>11</v>
      </c>
      <c r="D3573" s="80">
        <f t="shared" si="113"/>
        <v>2021</v>
      </c>
      <c r="E3573" t="s">
        <v>38</v>
      </c>
      <c r="F3573" t="s">
        <v>143</v>
      </c>
      <c r="G3573" t="s">
        <v>10</v>
      </c>
      <c r="H3573" s="72">
        <v>778</v>
      </c>
      <c r="I3573" s="72" t="s">
        <v>50</v>
      </c>
      <c r="J3573" t="str">
        <f t="shared" si="114"/>
        <v>Minter Creek</v>
      </c>
      <c r="K3573" t="str">
        <f>IFERROR(VLOOKUP(J3573,LUTs!$A$1:$C$73,2,FALSE),"NA")</f>
        <v>Kitsap/Pierce</v>
      </c>
      <c r="L3573" t="str">
        <f>IFERROR(VLOOKUP(J3573,LUTs!$A$1:$C$73,3,FALSE),"NA")</f>
        <v>3South Puget Sound</v>
      </c>
      <c r="M3573" s="72" t="s">
        <v>22</v>
      </c>
      <c r="N3573" t="str">
        <f>VLOOKUP(M3573,LUTs!E$2:H$14,3,)</f>
        <v>09Mason</v>
      </c>
      <c r="O3573" t="str">
        <f>VLOOKUP(M3573,LUTs!E$2:H$14,4,)</f>
        <v>02South Puget Sound</v>
      </c>
      <c r="P3573" s="73">
        <v>51.261390887290197</v>
      </c>
      <c r="Q3573" s="74">
        <f>VLOOKUP(B3573,Readme!A$40:C$51,2,)*P3573</f>
        <v>176.33918465227828</v>
      </c>
    </row>
    <row r="3574" spans="1:17" ht="12" customHeight="1" x14ac:dyDescent="0.35">
      <c r="A3574" s="75">
        <v>3573</v>
      </c>
      <c r="B3574" s="64">
        <v>2021</v>
      </c>
      <c r="C3574" s="64">
        <v>11</v>
      </c>
      <c r="D3574" s="80">
        <f t="shared" si="113"/>
        <v>2021</v>
      </c>
      <c r="E3574" t="s">
        <v>38</v>
      </c>
      <c r="F3574" t="s">
        <v>143</v>
      </c>
      <c r="G3574" t="s">
        <v>10</v>
      </c>
      <c r="H3574" s="72">
        <v>778</v>
      </c>
      <c r="I3574" s="72" t="s">
        <v>50</v>
      </c>
      <c r="J3574" t="str">
        <f t="shared" si="114"/>
        <v>Minter Creek</v>
      </c>
      <c r="K3574" t="str">
        <f>IFERROR(VLOOKUP(J3574,LUTs!$A$1:$C$73,2,FALSE),"NA")</f>
        <v>Kitsap/Pierce</v>
      </c>
      <c r="L3574" t="str">
        <f>IFERROR(VLOOKUP(J3574,LUTs!$A$1:$C$73,3,FALSE),"NA")</f>
        <v>3South Puget Sound</v>
      </c>
      <c r="M3574" s="72" t="s">
        <v>26</v>
      </c>
      <c r="N3574" t="str">
        <f>VLOOKUP(M3574,LUTs!E$2:H$14,3,)</f>
        <v>20Other</v>
      </c>
      <c r="O3574" t="str">
        <f>VLOOKUP(M3574,LUTs!E$2:H$14,4,)</f>
        <v>07Non Puget Sound</v>
      </c>
      <c r="P3574" s="73">
        <v>384.46043165467597</v>
      </c>
      <c r="Q3574" s="74">
        <f>VLOOKUP(B3574,Readme!A$40:C$51,2,)*P3574</f>
        <v>1322.5438848920853</v>
      </c>
    </row>
    <row r="3575" spans="1:17" ht="12" customHeight="1" x14ac:dyDescent="0.35">
      <c r="A3575" s="75">
        <v>3574</v>
      </c>
      <c r="B3575" s="64">
        <v>2021</v>
      </c>
      <c r="C3575" s="64">
        <v>11</v>
      </c>
      <c r="D3575" s="80">
        <f t="shared" si="113"/>
        <v>2021</v>
      </c>
      <c r="E3575" t="s">
        <v>38</v>
      </c>
      <c r="F3575" t="s">
        <v>143</v>
      </c>
      <c r="G3575" t="s">
        <v>10</v>
      </c>
      <c r="H3575" s="72">
        <v>778</v>
      </c>
      <c r="I3575" s="72" t="s">
        <v>50</v>
      </c>
      <c r="J3575" t="str">
        <f t="shared" si="114"/>
        <v>Minter Creek</v>
      </c>
      <c r="K3575" t="str">
        <f>IFERROR(VLOOKUP(J3575,LUTs!$A$1:$C$73,2,FALSE),"NA")</f>
        <v>Kitsap/Pierce</v>
      </c>
      <c r="L3575" t="str">
        <f>IFERROR(VLOOKUP(J3575,LUTs!$A$1:$C$73,3,FALSE),"NA")</f>
        <v>3South Puget Sound</v>
      </c>
      <c r="M3575" s="72" t="s">
        <v>20</v>
      </c>
      <c r="N3575" t="str">
        <f>VLOOKUP(M3575,LUTs!E$2:H$14,3,)</f>
        <v>07Pierce</v>
      </c>
      <c r="O3575" t="str">
        <f>VLOOKUP(M3575,LUTs!E$2:H$14,4,)</f>
        <v>02South Puget Sound</v>
      </c>
      <c r="P3575" s="73">
        <v>2101.7170263788998</v>
      </c>
      <c r="Q3575" s="74">
        <f>VLOOKUP(B3575,Readme!A$40:C$51,2,)*P3575</f>
        <v>7229.9065707434156</v>
      </c>
    </row>
    <row r="3576" spans="1:17" ht="12" customHeight="1" x14ac:dyDescent="0.35">
      <c r="A3576" s="75">
        <v>3575</v>
      </c>
      <c r="B3576" s="64">
        <v>2021</v>
      </c>
      <c r="C3576" s="64">
        <v>11</v>
      </c>
      <c r="D3576" s="80">
        <f t="shared" si="113"/>
        <v>2021</v>
      </c>
      <c r="E3576" t="s">
        <v>38</v>
      </c>
      <c r="F3576" t="s">
        <v>143</v>
      </c>
      <c r="G3576" t="s">
        <v>10</v>
      </c>
      <c r="H3576" s="72">
        <v>778</v>
      </c>
      <c r="I3576" s="72" t="s">
        <v>50</v>
      </c>
      <c r="J3576" t="str">
        <f t="shared" si="114"/>
        <v>Minter Creek</v>
      </c>
      <c r="K3576" t="str">
        <f>IFERROR(VLOOKUP(J3576,LUTs!$A$1:$C$73,2,FALSE),"NA")</f>
        <v>Kitsap/Pierce</v>
      </c>
      <c r="L3576" t="str">
        <f>IFERROR(VLOOKUP(J3576,LUTs!$A$1:$C$73,3,FALSE),"NA")</f>
        <v>3South Puget Sound</v>
      </c>
      <c r="M3576" s="72" t="s">
        <v>16</v>
      </c>
      <c r="N3576" t="str">
        <f>VLOOKUP(M3576,LUTs!E$2:H$14,3,)</f>
        <v>03Snohomish</v>
      </c>
      <c r="O3576" t="str">
        <f>VLOOKUP(M3576,LUTs!E$2:H$14,4,)</f>
        <v>01North Puget Sound</v>
      </c>
      <c r="P3576" s="73">
        <v>576.69064748201401</v>
      </c>
      <c r="Q3576" s="74">
        <f>VLOOKUP(B3576,Readme!A$40:C$51,2,)*P3576</f>
        <v>1983.8158273381282</v>
      </c>
    </row>
    <row r="3577" spans="1:17" ht="12" customHeight="1" x14ac:dyDescent="0.35">
      <c r="A3577" s="75">
        <v>3576</v>
      </c>
      <c r="B3577" s="64">
        <v>2021</v>
      </c>
      <c r="C3577" s="64">
        <v>11</v>
      </c>
      <c r="D3577" s="80">
        <f t="shared" si="113"/>
        <v>2021</v>
      </c>
      <c r="E3577" t="s">
        <v>38</v>
      </c>
      <c r="F3577" t="s">
        <v>143</v>
      </c>
      <c r="G3577" t="s">
        <v>10</v>
      </c>
      <c r="H3577" s="72">
        <v>778</v>
      </c>
      <c r="I3577" s="72" t="s">
        <v>50</v>
      </c>
      <c r="J3577" t="str">
        <f t="shared" si="114"/>
        <v>Minter Creek</v>
      </c>
      <c r="K3577" t="str">
        <f>IFERROR(VLOOKUP(J3577,LUTs!$A$1:$C$73,2,FALSE),"NA")</f>
        <v>Kitsap/Pierce</v>
      </c>
      <c r="L3577" t="str">
        <f>IFERROR(VLOOKUP(J3577,LUTs!$A$1:$C$73,3,FALSE),"NA")</f>
        <v>3South Puget Sound</v>
      </c>
      <c r="M3577" s="72" t="s">
        <v>21</v>
      </c>
      <c r="N3577" t="str">
        <f>VLOOKUP(M3577,LUTs!E$2:H$14,3,)</f>
        <v>08Thurston</v>
      </c>
      <c r="O3577" t="str">
        <f>VLOOKUP(M3577,LUTs!E$2:H$14,4,)</f>
        <v>02South Puget Sound</v>
      </c>
      <c r="P3577" s="73">
        <v>12.8153477218225</v>
      </c>
      <c r="Q3577" s="74">
        <f>VLOOKUP(B3577,Readme!A$40:C$51,2,)*P3577</f>
        <v>44.084796163069399</v>
      </c>
    </row>
    <row r="3578" spans="1:17" ht="12" customHeight="1" x14ac:dyDescent="0.35">
      <c r="A3578" s="75">
        <v>3577</v>
      </c>
      <c r="B3578" s="64">
        <v>2021</v>
      </c>
      <c r="C3578" s="64">
        <v>12</v>
      </c>
      <c r="D3578" s="80">
        <f t="shared" ref="D3578:D3641" si="115">IF(C3578&gt;3,B3578,B3578-1)</f>
        <v>2021</v>
      </c>
      <c r="E3578" t="s">
        <v>38</v>
      </c>
      <c r="F3578" t="s">
        <v>143</v>
      </c>
      <c r="G3578" t="s">
        <v>10</v>
      </c>
      <c r="H3578" s="72">
        <v>778</v>
      </c>
      <c r="I3578" s="72" t="s">
        <v>50</v>
      </c>
      <c r="J3578" t="str">
        <f t="shared" si="114"/>
        <v>Minter Creek</v>
      </c>
      <c r="K3578" t="str">
        <f>IFERROR(VLOOKUP(J3578,LUTs!$A$1:$C$73,2,FALSE),"NA")</f>
        <v>Kitsap/Pierce</v>
      </c>
      <c r="L3578" t="str">
        <f>IFERROR(VLOOKUP(J3578,LUTs!$A$1:$C$73,3,FALSE),"NA")</f>
        <v>3South Puget Sound</v>
      </c>
      <c r="M3578" s="72" t="s">
        <v>18</v>
      </c>
      <c r="N3578" t="str">
        <f>VLOOKUP(M3578,LUTs!E$2:H$14,3,)</f>
        <v>06King</v>
      </c>
      <c r="O3578" t="str">
        <f>VLOOKUP(M3578,LUTs!E$2:H$14,4,)</f>
        <v>02South Puget Sound</v>
      </c>
      <c r="P3578" s="73">
        <v>38.423076923076898</v>
      </c>
      <c r="Q3578" s="74">
        <f>VLOOKUP(B3578,Readme!A$40:C$51,2,)*P3578</f>
        <v>132.17538461538453</v>
      </c>
    </row>
    <row r="3579" spans="1:17" ht="12" customHeight="1" x14ac:dyDescent="0.35">
      <c r="A3579" s="75">
        <v>3578</v>
      </c>
      <c r="B3579" s="64">
        <v>2021</v>
      </c>
      <c r="C3579" s="64">
        <v>12</v>
      </c>
      <c r="D3579" s="80">
        <f t="shared" si="115"/>
        <v>2021</v>
      </c>
      <c r="E3579" t="s">
        <v>38</v>
      </c>
      <c r="F3579" t="s">
        <v>143</v>
      </c>
      <c r="G3579" t="s">
        <v>10</v>
      </c>
      <c r="H3579" s="72">
        <v>778</v>
      </c>
      <c r="I3579" s="72" t="s">
        <v>50</v>
      </c>
      <c r="J3579" t="str">
        <f t="shared" si="114"/>
        <v>Minter Creek</v>
      </c>
      <c r="K3579" t="str">
        <f>IFERROR(VLOOKUP(J3579,LUTs!$A$1:$C$73,2,FALSE),"NA")</f>
        <v>Kitsap/Pierce</v>
      </c>
      <c r="L3579" t="str">
        <f>IFERROR(VLOOKUP(J3579,LUTs!$A$1:$C$73,3,FALSE),"NA")</f>
        <v>3South Puget Sound</v>
      </c>
      <c r="M3579" s="72" t="s">
        <v>26</v>
      </c>
      <c r="N3579" t="str">
        <f>VLOOKUP(M3579,LUTs!E$2:H$14,3,)</f>
        <v>20Other</v>
      </c>
      <c r="O3579" t="str">
        <f>VLOOKUP(M3579,LUTs!E$2:H$14,4,)</f>
        <v>07Non Puget Sound</v>
      </c>
      <c r="P3579" s="73">
        <v>51.230769230769198</v>
      </c>
      <c r="Q3579" s="74">
        <f>VLOOKUP(B3579,Readme!A$40:C$51,2,)*P3579</f>
        <v>176.23384615384603</v>
      </c>
    </row>
    <row r="3580" spans="1:17" ht="12" customHeight="1" x14ac:dyDescent="0.35">
      <c r="A3580" s="75">
        <v>3579</v>
      </c>
      <c r="B3580" s="64">
        <v>2021</v>
      </c>
      <c r="C3580" s="64">
        <v>12</v>
      </c>
      <c r="D3580" s="80">
        <f t="shared" si="115"/>
        <v>2021</v>
      </c>
      <c r="E3580" t="s">
        <v>38</v>
      </c>
      <c r="F3580" t="s">
        <v>143</v>
      </c>
      <c r="G3580" t="s">
        <v>10</v>
      </c>
      <c r="H3580" s="72">
        <v>778</v>
      </c>
      <c r="I3580" s="72" t="s">
        <v>50</v>
      </c>
      <c r="J3580" t="str">
        <f t="shared" si="114"/>
        <v>Minter Creek</v>
      </c>
      <c r="K3580" t="str">
        <f>IFERROR(VLOOKUP(J3580,LUTs!$A$1:$C$73,2,FALSE),"NA")</f>
        <v>Kitsap/Pierce</v>
      </c>
      <c r="L3580" t="str">
        <f>IFERROR(VLOOKUP(J3580,LUTs!$A$1:$C$73,3,FALSE),"NA")</f>
        <v>3South Puget Sound</v>
      </c>
      <c r="M3580" s="72" t="s">
        <v>20</v>
      </c>
      <c r="N3580" t="str">
        <f>VLOOKUP(M3580,LUTs!E$2:H$14,3,)</f>
        <v>07Pierce</v>
      </c>
      <c r="O3580" t="str">
        <f>VLOOKUP(M3580,LUTs!E$2:H$14,4,)</f>
        <v>02South Puget Sound</v>
      </c>
      <c r="P3580" s="73">
        <v>204.92307692307699</v>
      </c>
      <c r="Q3580" s="74">
        <f>VLOOKUP(B3580,Readme!A$40:C$51,2,)*P3580</f>
        <v>704.93538461538481</v>
      </c>
    </row>
    <row r="3581" spans="1:17" ht="12" customHeight="1" x14ac:dyDescent="0.35">
      <c r="A3581" s="75">
        <v>3580</v>
      </c>
      <c r="B3581" s="64">
        <v>2021</v>
      </c>
      <c r="C3581" s="64">
        <v>12</v>
      </c>
      <c r="D3581" s="80">
        <f t="shared" si="115"/>
        <v>2021</v>
      </c>
      <c r="E3581" t="s">
        <v>38</v>
      </c>
      <c r="F3581" t="s">
        <v>143</v>
      </c>
      <c r="G3581" t="s">
        <v>10</v>
      </c>
      <c r="H3581" s="72">
        <v>778</v>
      </c>
      <c r="I3581" s="72" t="s">
        <v>50</v>
      </c>
      <c r="J3581" t="str">
        <f t="shared" si="114"/>
        <v>Minter Creek</v>
      </c>
      <c r="K3581" t="str">
        <f>IFERROR(VLOOKUP(J3581,LUTs!$A$1:$C$73,2,FALSE),"NA")</f>
        <v>Kitsap/Pierce</v>
      </c>
      <c r="L3581" t="str">
        <f>IFERROR(VLOOKUP(J3581,LUTs!$A$1:$C$73,3,FALSE),"NA")</f>
        <v>3South Puget Sound</v>
      </c>
      <c r="M3581" s="72" t="s">
        <v>16</v>
      </c>
      <c r="N3581" t="str">
        <f>VLOOKUP(M3581,LUTs!E$2:H$14,3,)</f>
        <v>03Snohomish</v>
      </c>
      <c r="O3581" t="str">
        <f>VLOOKUP(M3581,LUTs!E$2:H$14,4,)</f>
        <v>01North Puget Sound</v>
      </c>
      <c r="P3581" s="73">
        <v>38.423076923076898</v>
      </c>
      <c r="Q3581" s="74">
        <f>VLOOKUP(B3581,Readme!A$40:C$51,2,)*P3581</f>
        <v>132.17538461538453</v>
      </c>
    </row>
    <row r="3582" spans="1:17" ht="12" customHeight="1" x14ac:dyDescent="0.35">
      <c r="A3582" s="75">
        <v>3581</v>
      </c>
      <c r="B3582" s="64">
        <v>2021</v>
      </c>
      <c r="C3582" s="64">
        <v>8</v>
      </c>
      <c r="D3582" s="80">
        <f t="shared" si="115"/>
        <v>2021</v>
      </c>
      <c r="E3582" t="s">
        <v>38</v>
      </c>
      <c r="F3582" t="s">
        <v>143</v>
      </c>
      <c r="G3582" t="s">
        <v>10</v>
      </c>
      <c r="H3582" s="72">
        <v>786</v>
      </c>
      <c r="I3582" s="72" t="s">
        <v>51</v>
      </c>
      <c r="J3582" t="str">
        <f t="shared" si="114"/>
        <v>Nisqually River</v>
      </c>
      <c r="K3582" t="str">
        <f>IFERROR(VLOOKUP(J3582,LUTs!$A$1:$C$73,2,FALSE),"NA")</f>
        <v>Thurston/Pierce</v>
      </c>
      <c r="L3582" t="str">
        <f>IFERROR(VLOOKUP(J3582,LUTs!$A$1:$C$73,3,FALSE),"NA")</f>
        <v>3South Puget Sound</v>
      </c>
      <c r="M3582" s="72" t="s">
        <v>18</v>
      </c>
      <c r="N3582" t="str">
        <f>VLOOKUP(M3582,LUTs!E$2:H$14,3,)</f>
        <v>06King</v>
      </c>
      <c r="O3582" t="str">
        <f>VLOOKUP(M3582,LUTs!E$2:H$14,4,)</f>
        <v>02South Puget Sound</v>
      </c>
      <c r="P3582" s="73">
        <v>197.895833333333</v>
      </c>
      <c r="Q3582" s="74">
        <f>VLOOKUP(B3582,Readme!A$40:C$51,2,)*P3582</f>
        <v>680.76166666666552</v>
      </c>
    </row>
    <row r="3583" spans="1:17" ht="12" customHeight="1" x14ac:dyDescent="0.35">
      <c r="A3583" s="75">
        <v>3582</v>
      </c>
      <c r="B3583" s="64">
        <v>2021</v>
      </c>
      <c r="C3583" s="64">
        <v>8</v>
      </c>
      <c r="D3583" s="80">
        <f t="shared" si="115"/>
        <v>2021</v>
      </c>
      <c r="E3583" t="s">
        <v>38</v>
      </c>
      <c r="F3583" t="s">
        <v>143</v>
      </c>
      <c r="G3583" t="s">
        <v>10</v>
      </c>
      <c r="H3583" s="72">
        <v>786</v>
      </c>
      <c r="I3583" s="72" t="s">
        <v>51</v>
      </c>
      <c r="J3583" t="str">
        <f t="shared" si="114"/>
        <v>Nisqually River</v>
      </c>
      <c r="K3583" t="str">
        <f>IFERROR(VLOOKUP(J3583,LUTs!$A$1:$C$73,2,FALSE),"NA")</f>
        <v>Thurston/Pierce</v>
      </c>
      <c r="L3583" t="str">
        <f>IFERROR(VLOOKUP(J3583,LUTs!$A$1:$C$73,3,FALSE),"NA")</f>
        <v>3South Puget Sound</v>
      </c>
      <c r="M3583" s="72" t="s">
        <v>26</v>
      </c>
      <c r="N3583" t="str">
        <f>VLOOKUP(M3583,LUTs!E$2:H$14,3,)</f>
        <v>20Other</v>
      </c>
      <c r="O3583" t="str">
        <f>VLOOKUP(M3583,LUTs!E$2:H$14,4,)</f>
        <v>07Non Puget Sound</v>
      </c>
      <c r="P3583" s="73">
        <v>127.21875</v>
      </c>
      <c r="Q3583" s="74">
        <f>VLOOKUP(B3583,Readme!A$40:C$51,2,)*P3583</f>
        <v>437.63249999999999</v>
      </c>
    </row>
    <row r="3584" spans="1:17" ht="12" customHeight="1" x14ac:dyDescent="0.35">
      <c r="A3584" s="75">
        <v>3583</v>
      </c>
      <c r="B3584" s="64">
        <v>2021</v>
      </c>
      <c r="C3584" s="64">
        <v>8</v>
      </c>
      <c r="D3584" s="80">
        <f t="shared" si="115"/>
        <v>2021</v>
      </c>
      <c r="E3584" t="s">
        <v>38</v>
      </c>
      <c r="F3584" t="s">
        <v>143</v>
      </c>
      <c r="G3584" t="s">
        <v>10</v>
      </c>
      <c r="H3584" s="72">
        <v>786</v>
      </c>
      <c r="I3584" s="72" t="s">
        <v>51</v>
      </c>
      <c r="J3584" t="str">
        <f t="shared" si="114"/>
        <v>Nisqually River</v>
      </c>
      <c r="K3584" t="str">
        <f>IFERROR(VLOOKUP(J3584,LUTs!$A$1:$C$73,2,FALSE),"NA")</f>
        <v>Thurston/Pierce</v>
      </c>
      <c r="L3584" t="str">
        <f>IFERROR(VLOOKUP(J3584,LUTs!$A$1:$C$73,3,FALSE),"NA")</f>
        <v>3South Puget Sound</v>
      </c>
      <c r="M3584" s="72" t="s">
        <v>20</v>
      </c>
      <c r="N3584" t="str">
        <f>VLOOKUP(M3584,LUTs!E$2:H$14,3,)</f>
        <v>07Pierce</v>
      </c>
      <c r="O3584" t="str">
        <f>VLOOKUP(M3584,LUTs!E$2:H$14,4,)</f>
        <v>02South Puget Sound</v>
      </c>
      <c r="P3584" s="73">
        <v>438.19791666666703</v>
      </c>
      <c r="Q3584" s="74">
        <f>VLOOKUP(B3584,Readme!A$40:C$51,2,)*P3584</f>
        <v>1507.4008333333345</v>
      </c>
    </row>
    <row r="3585" spans="1:17" ht="12" customHeight="1" x14ac:dyDescent="0.35">
      <c r="A3585" s="75">
        <v>3584</v>
      </c>
      <c r="B3585" s="64">
        <v>2021</v>
      </c>
      <c r="C3585" s="64">
        <v>8</v>
      </c>
      <c r="D3585" s="80">
        <f t="shared" si="115"/>
        <v>2021</v>
      </c>
      <c r="E3585" t="s">
        <v>38</v>
      </c>
      <c r="F3585" t="s">
        <v>143</v>
      </c>
      <c r="G3585" t="s">
        <v>10</v>
      </c>
      <c r="H3585" s="72">
        <v>786</v>
      </c>
      <c r="I3585" s="72" t="s">
        <v>51</v>
      </c>
      <c r="J3585" t="str">
        <f t="shared" si="114"/>
        <v>Nisqually River</v>
      </c>
      <c r="K3585" t="str">
        <f>IFERROR(VLOOKUP(J3585,LUTs!$A$1:$C$73,2,FALSE),"NA")</f>
        <v>Thurston/Pierce</v>
      </c>
      <c r="L3585" t="str">
        <f>IFERROR(VLOOKUP(J3585,LUTs!$A$1:$C$73,3,FALSE),"NA")</f>
        <v>3South Puget Sound</v>
      </c>
      <c r="M3585" s="72" t="s">
        <v>21</v>
      </c>
      <c r="N3585" t="str">
        <f>VLOOKUP(M3585,LUTs!E$2:H$14,3,)</f>
        <v>08Thurston</v>
      </c>
      <c r="O3585" t="str">
        <f>VLOOKUP(M3585,LUTs!E$2:H$14,4,)</f>
        <v>02South Puget Sound</v>
      </c>
      <c r="P3585" s="73">
        <v>593.6875</v>
      </c>
      <c r="Q3585" s="74">
        <f>VLOOKUP(B3585,Readme!A$40:C$51,2,)*P3585</f>
        <v>2042.2850000000001</v>
      </c>
    </row>
    <row r="3586" spans="1:17" ht="12" customHeight="1" x14ac:dyDescent="0.35">
      <c r="A3586" s="75">
        <v>3585</v>
      </c>
      <c r="B3586" s="64">
        <v>2021</v>
      </c>
      <c r="C3586" s="64">
        <v>9</v>
      </c>
      <c r="D3586" s="80">
        <f t="shared" si="115"/>
        <v>2021</v>
      </c>
      <c r="E3586" t="s">
        <v>38</v>
      </c>
      <c r="F3586" t="s">
        <v>143</v>
      </c>
      <c r="G3586" t="s">
        <v>10</v>
      </c>
      <c r="H3586" s="72">
        <v>786</v>
      </c>
      <c r="I3586" s="72" t="s">
        <v>51</v>
      </c>
      <c r="J3586" t="str">
        <f t="shared" si="114"/>
        <v>Nisqually River</v>
      </c>
      <c r="K3586" t="str">
        <f>IFERROR(VLOOKUP(J3586,LUTs!$A$1:$C$73,2,FALSE),"NA")</f>
        <v>Thurston/Pierce</v>
      </c>
      <c r="L3586" t="str">
        <f>IFERROR(VLOOKUP(J3586,LUTs!$A$1:$C$73,3,FALSE),"NA")</f>
        <v>3South Puget Sound</v>
      </c>
      <c r="M3586" s="72" t="s">
        <v>18</v>
      </c>
      <c r="N3586" t="str">
        <f>VLOOKUP(M3586,LUTs!E$2:H$14,3,)</f>
        <v>06King</v>
      </c>
      <c r="O3586" t="str">
        <f>VLOOKUP(M3586,LUTs!E$2:H$14,4,)</f>
        <v>02South Puget Sound</v>
      </c>
      <c r="P3586" s="73">
        <v>646.05459057072005</v>
      </c>
      <c r="Q3586" s="74">
        <f>VLOOKUP(B3586,Readme!A$40:C$51,2,)*P3586</f>
        <v>2222.427791563277</v>
      </c>
    </row>
    <row r="3587" spans="1:17" ht="12" customHeight="1" x14ac:dyDescent="0.35">
      <c r="A3587" s="75">
        <v>3586</v>
      </c>
      <c r="B3587" s="64">
        <v>2021</v>
      </c>
      <c r="C3587" s="64">
        <v>9</v>
      </c>
      <c r="D3587" s="80">
        <f t="shared" si="115"/>
        <v>2021</v>
      </c>
      <c r="E3587" t="s">
        <v>38</v>
      </c>
      <c r="F3587" t="s">
        <v>143</v>
      </c>
      <c r="G3587" t="s">
        <v>10</v>
      </c>
      <c r="H3587" s="72">
        <v>786</v>
      </c>
      <c r="I3587" s="72" t="s">
        <v>51</v>
      </c>
      <c r="J3587" t="str">
        <f t="shared" ref="J3587:J3650" si="116">I3587</f>
        <v>Nisqually River</v>
      </c>
      <c r="K3587" t="str">
        <f>IFERROR(VLOOKUP(J3587,LUTs!$A$1:$C$73,2,FALSE),"NA")</f>
        <v>Thurston/Pierce</v>
      </c>
      <c r="L3587" t="str">
        <f>IFERROR(VLOOKUP(J3587,LUTs!$A$1:$C$73,3,FALSE),"NA")</f>
        <v>3South Puget Sound</v>
      </c>
      <c r="M3587" s="72" t="s">
        <v>26</v>
      </c>
      <c r="N3587" t="str">
        <f>VLOOKUP(M3587,LUTs!E$2:H$14,3,)</f>
        <v>20Other</v>
      </c>
      <c r="O3587" t="str">
        <f>VLOOKUP(M3587,LUTs!E$2:H$14,4,)</f>
        <v>07Non Puget Sound</v>
      </c>
      <c r="P3587" s="73">
        <v>308.98263027295297</v>
      </c>
      <c r="Q3587" s="74">
        <f>VLOOKUP(B3587,Readme!A$40:C$51,2,)*P3587</f>
        <v>1062.9002481389582</v>
      </c>
    </row>
    <row r="3588" spans="1:17" ht="12" customHeight="1" x14ac:dyDescent="0.35">
      <c r="A3588" s="75">
        <v>3587</v>
      </c>
      <c r="B3588" s="64">
        <v>2021</v>
      </c>
      <c r="C3588" s="64">
        <v>9</v>
      </c>
      <c r="D3588" s="80">
        <f t="shared" si="115"/>
        <v>2021</v>
      </c>
      <c r="E3588" t="s">
        <v>38</v>
      </c>
      <c r="F3588" t="s">
        <v>143</v>
      </c>
      <c r="G3588" t="s">
        <v>10</v>
      </c>
      <c r="H3588" s="72">
        <v>786</v>
      </c>
      <c r="I3588" s="72" t="s">
        <v>51</v>
      </c>
      <c r="J3588" t="str">
        <f t="shared" si="116"/>
        <v>Nisqually River</v>
      </c>
      <c r="K3588" t="str">
        <f>IFERROR(VLOOKUP(J3588,LUTs!$A$1:$C$73,2,FALSE),"NA")</f>
        <v>Thurston/Pierce</v>
      </c>
      <c r="L3588" t="str">
        <f>IFERROR(VLOOKUP(J3588,LUTs!$A$1:$C$73,3,FALSE),"NA")</f>
        <v>3South Puget Sound</v>
      </c>
      <c r="M3588" s="72" t="s">
        <v>20</v>
      </c>
      <c r="N3588" t="str">
        <f>VLOOKUP(M3588,LUTs!E$2:H$14,3,)</f>
        <v>07Pierce</v>
      </c>
      <c r="O3588" t="str">
        <f>VLOOKUP(M3588,LUTs!E$2:H$14,4,)</f>
        <v>02South Puget Sound</v>
      </c>
      <c r="P3588" s="73">
        <v>2148.83374689826</v>
      </c>
      <c r="Q3588" s="74">
        <f>VLOOKUP(B3588,Readme!A$40:C$51,2,)*P3588</f>
        <v>7391.9880893300142</v>
      </c>
    </row>
    <row r="3589" spans="1:17" ht="12" customHeight="1" x14ac:dyDescent="0.35">
      <c r="A3589" s="75">
        <v>3588</v>
      </c>
      <c r="B3589" s="64">
        <v>2021</v>
      </c>
      <c r="C3589" s="64">
        <v>9</v>
      </c>
      <c r="D3589" s="80">
        <f t="shared" si="115"/>
        <v>2021</v>
      </c>
      <c r="E3589" t="s">
        <v>38</v>
      </c>
      <c r="F3589" t="s">
        <v>143</v>
      </c>
      <c r="G3589" t="s">
        <v>10</v>
      </c>
      <c r="H3589" s="72">
        <v>786</v>
      </c>
      <c r="I3589" s="72" t="s">
        <v>51</v>
      </c>
      <c r="J3589" t="str">
        <f t="shared" si="116"/>
        <v>Nisqually River</v>
      </c>
      <c r="K3589" t="str">
        <f>IFERROR(VLOOKUP(J3589,LUTs!$A$1:$C$73,2,FALSE),"NA")</f>
        <v>Thurston/Pierce</v>
      </c>
      <c r="L3589" t="str">
        <f>IFERROR(VLOOKUP(J3589,LUTs!$A$1:$C$73,3,FALSE),"NA")</f>
        <v>3South Puget Sound</v>
      </c>
      <c r="M3589" s="72" t="s">
        <v>21</v>
      </c>
      <c r="N3589" t="str">
        <f>VLOOKUP(M3589,LUTs!E$2:H$14,3,)</f>
        <v>08Thurston</v>
      </c>
      <c r="O3589" t="str">
        <f>VLOOKUP(M3589,LUTs!E$2:H$14,4,)</f>
        <v>02South Puget Sound</v>
      </c>
      <c r="P3589" s="73">
        <v>2556.1290322580599</v>
      </c>
      <c r="Q3589" s="74">
        <f>VLOOKUP(B3589,Readme!A$40:C$51,2,)*P3589</f>
        <v>8793.0838709677264</v>
      </c>
    </row>
    <row r="3590" spans="1:17" ht="12" customHeight="1" x14ac:dyDescent="0.35">
      <c r="A3590" s="75">
        <v>3589</v>
      </c>
      <c r="B3590" s="64">
        <v>2021</v>
      </c>
      <c r="C3590" s="64">
        <v>10</v>
      </c>
      <c r="D3590" s="80">
        <f t="shared" si="115"/>
        <v>2021</v>
      </c>
      <c r="E3590" t="s">
        <v>38</v>
      </c>
      <c r="F3590" t="s">
        <v>143</v>
      </c>
      <c r="G3590" t="s">
        <v>10</v>
      </c>
      <c r="H3590" s="72">
        <v>786</v>
      </c>
      <c r="I3590" s="72" t="s">
        <v>51</v>
      </c>
      <c r="J3590" t="str">
        <f t="shared" si="116"/>
        <v>Nisqually River</v>
      </c>
      <c r="K3590" t="str">
        <f>IFERROR(VLOOKUP(J3590,LUTs!$A$1:$C$73,2,FALSE),"NA")</f>
        <v>Thurston/Pierce</v>
      </c>
      <c r="L3590" t="str">
        <f>IFERROR(VLOOKUP(J3590,LUTs!$A$1:$C$73,3,FALSE),"NA")</f>
        <v>3South Puget Sound</v>
      </c>
      <c r="M3590" s="72" t="s">
        <v>18</v>
      </c>
      <c r="N3590" t="str">
        <f>VLOOKUP(M3590,LUTs!E$2:H$14,3,)</f>
        <v>06King</v>
      </c>
      <c r="O3590" t="str">
        <f>VLOOKUP(M3590,LUTs!E$2:H$14,4,)</f>
        <v>02South Puget Sound</v>
      </c>
      <c r="P3590" s="73">
        <v>55.692307692307701</v>
      </c>
      <c r="Q3590" s="74">
        <f>VLOOKUP(B3590,Readme!A$40:C$51,2,)*P3590</f>
        <v>191.58153846153849</v>
      </c>
    </row>
    <row r="3591" spans="1:17" ht="12" customHeight="1" x14ac:dyDescent="0.35">
      <c r="A3591" s="75">
        <v>3590</v>
      </c>
      <c r="B3591" s="64">
        <v>2021</v>
      </c>
      <c r="C3591" s="64">
        <v>10</v>
      </c>
      <c r="D3591" s="80">
        <f t="shared" si="115"/>
        <v>2021</v>
      </c>
      <c r="E3591" t="s">
        <v>38</v>
      </c>
      <c r="F3591" t="s">
        <v>143</v>
      </c>
      <c r="G3591" t="s">
        <v>10</v>
      </c>
      <c r="H3591" s="72">
        <v>786</v>
      </c>
      <c r="I3591" s="72" t="s">
        <v>51</v>
      </c>
      <c r="J3591" t="str">
        <f t="shared" si="116"/>
        <v>Nisqually River</v>
      </c>
      <c r="K3591" t="str">
        <f>IFERROR(VLOOKUP(J3591,LUTs!$A$1:$C$73,2,FALSE),"NA")</f>
        <v>Thurston/Pierce</v>
      </c>
      <c r="L3591" t="str">
        <f>IFERROR(VLOOKUP(J3591,LUTs!$A$1:$C$73,3,FALSE),"NA")</f>
        <v>3South Puget Sound</v>
      </c>
      <c r="M3591" s="72" t="s">
        <v>26</v>
      </c>
      <c r="N3591" t="str">
        <f>VLOOKUP(M3591,LUTs!E$2:H$14,3,)</f>
        <v>20Other</v>
      </c>
      <c r="O3591" t="str">
        <f>VLOOKUP(M3591,LUTs!E$2:H$14,4,)</f>
        <v>07Non Puget Sound</v>
      </c>
      <c r="P3591" s="73">
        <v>13.9230769230769</v>
      </c>
      <c r="Q3591" s="74">
        <f>VLOOKUP(B3591,Readme!A$40:C$51,2,)*P3591</f>
        <v>47.895384615384536</v>
      </c>
    </row>
    <row r="3592" spans="1:17" ht="12" customHeight="1" x14ac:dyDescent="0.35">
      <c r="A3592" s="75">
        <v>3591</v>
      </c>
      <c r="B3592" s="64">
        <v>2021</v>
      </c>
      <c r="C3592" s="64">
        <v>10</v>
      </c>
      <c r="D3592" s="80">
        <f t="shared" si="115"/>
        <v>2021</v>
      </c>
      <c r="E3592" t="s">
        <v>38</v>
      </c>
      <c r="F3592" t="s">
        <v>143</v>
      </c>
      <c r="G3592" t="s">
        <v>10</v>
      </c>
      <c r="H3592" s="72">
        <v>786</v>
      </c>
      <c r="I3592" s="72" t="s">
        <v>51</v>
      </c>
      <c r="J3592" t="str">
        <f t="shared" si="116"/>
        <v>Nisqually River</v>
      </c>
      <c r="K3592" t="str">
        <f>IFERROR(VLOOKUP(J3592,LUTs!$A$1:$C$73,2,FALSE),"NA")</f>
        <v>Thurston/Pierce</v>
      </c>
      <c r="L3592" t="str">
        <f>IFERROR(VLOOKUP(J3592,LUTs!$A$1:$C$73,3,FALSE),"NA")</f>
        <v>3South Puget Sound</v>
      </c>
      <c r="M3592" s="72" t="s">
        <v>20</v>
      </c>
      <c r="N3592" t="str">
        <f>VLOOKUP(M3592,LUTs!E$2:H$14,3,)</f>
        <v>07Pierce</v>
      </c>
      <c r="O3592" t="str">
        <f>VLOOKUP(M3592,LUTs!E$2:H$14,4,)</f>
        <v>02South Puget Sound</v>
      </c>
      <c r="P3592" s="73">
        <v>543</v>
      </c>
      <c r="Q3592" s="74">
        <f>VLOOKUP(B3592,Readme!A$40:C$51,2,)*P3592</f>
        <v>1867.92</v>
      </c>
    </row>
    <row r="3593" spans="1:17" ht="12" customHeight="1" x14ac:dyDescent="0.35">
      <c r="A3593" s="75">
        <v>3592</v>
      </c>
      <c r="B3593" s="64">
        <v>2021</v>
      </c>
      <c r="C3593" s="64">
        <v>10</v>
      </c>
      <c r="D3593" s="80">
        <f t="shared" si="115"/>
        <v>2021</v>
      </c>
      <c r="E3593" t="s">
        <v>38</v>
      </c>
      <c r="F3593" t="s">
        <v>143</v>
      </c>
      <c r="G3593" t="s">
        <v>10</v>
      </c>
      <c r="H3593" s="72">
        <v>786</v>
      </c>
      <c r="I3593" s="72" t="s">
        <v>51</v>
      </c>
      <c r="J3593" t="str">
        <f t="shared" si="116"/>
        <v>Nisqually River</v>
      </c>
      <c r="K3593" t="str">
        <f>IFERROR(VLOOKUP(J3593,LUTs!$A$1:$C$73,2,FALSE),"NA")</f>
        <v>Thurston/Pierce</v>
      </c>
      <c r="L3593" t="str">
        <f>IFERROR(VLOOKUP(J3593,LUTs!$A$1:$C$73,3,FALSE),"NA")</f>
        <v>3South Puget Sound</v>
      </c>
      <c r="M3593" s="72" t="s">
        <v>21</v>
      </c>
      <c r="N3593" t="str">
        <f>VLOOKUP(M3593,LUTs!E$2:H$14,3,)</f>
        <v>08Thurston</v>
      </c>
      <c r="O3593" t="str">
        <f>VLOOKUP(M3593,LUTs!E$2:H$14,4,)</f>
        <v>02South Puget Sound</v>
      </c>
      <c r="P3593" s="73">
        <v>292.38461538461502</v>
      </c>
      <c r="Q3593" s="74">
        <f>VLOOKUP(B3593,Readme!A$40:C$51,2,)*P3593</f>
        <v>1005.8030769230757</v>
      </c>
    </row>
    <row r="3594" spans="1:17" ht="12" customHeight="1" x14ac:dyDescent="0.35">
      <c r="A3594" s="75">
        <v>3593</v>
      </c>
      <c r="B3594" s="64">
        <v>2021</v>
      </c>
      <c r="C3594" s="64">
        <v>9</v>
      </c>
      <c r="D3594" s="80">
        <f t="shared" si="115"/>
        <v>2021</v>
      </c>
      <c r="E3594" t="s">
        <v>38</v>
      </c>
      <c r="F3594" t="s">
        <v>143</v>
      </c>
      <c r="G3594" t="s">
        <v>10</v>
      </c>
      <c r="H3594" s="72">
        <v>788</v>
      </c>
      <c r="I3594" s="72" t="s">
        <v>80</v>
      </c>
      <c r="J3594" t="str">
        <f t="shared" si="116"/>
        <v>Nooksack River, Middle Fork</v>
      </c>
      <c r="K3594" t="str">
        <f>IFERROR(VLOOKUP(J3594,LUTs!$A$1:$C$73,2,FALSE),"NA")</f>
        <v>NA</v>
      </c>
      <c r="L3594" t="str">
        <f>IFERROR(VLOOKUP(J3594,LUTs!$A$1:$C$73,3,FALSE),"NA")</f>
        <v>NA</v>
      </c>
      <c r="M3594" s="72" t="s">
        <v>13</v>
      </c>
      <c r="N3594" t="str">
        <f>VLOOKUP(M3594,LUTs!E$2:H$14,3,)</f>
        <v>01Whatcom</v>
      </c>
      <c r="O3594" t="str">
        <f>VLOOKUP(M3594,LUTs!E$2:H$14,4,)</f>
        <v>01North Puget Sound</v>
      </c>
      <c r="P3594" s="73">
        <v>14</v>
      </c>
      <c r="Q3594" s="74">
        <f>VLOOKUP(B3594,Readme!A$40:C$51,2,)*P3594</f>
        <v>48.16</v>
      </c>
    </row>
    <row r="3595" spans="1:17" ht="12" customHeight="1" x14ac:dyDescent="0.35">
      <c r="A3595" s="75">
        <v>3594</v>
      </c>
      <c r="B3595" s="64">
        <v>2021</v>
      </c>
      <c r="C3595" s="64">
        <v>6</v>
      </c>
      <c r="D3595" s="80">
        <f t="shared" si="115"/>
        <v>2021</v>
      </c>
      <c r="E3595" t="s">
        <v>38</v>
      </c>
      <c r="F3595" t="s">
        <v>143</v>
      </c>
      <c r="G3595" t="s">
        <v>10</v>
      </c>
      <c r="H3595" s="72">
        <v>790</v>
      </c>
      <c r="I3595" s="72" t="s">
        <v>81</v>
      </c>
      <c r="J3595" t="str">
        <f t="shared" si="116"/>
        <v>Nooksack River, North Fork</v>
      </c>
      <c r="K3595" t="str">
        <f>IFERROR(VLOOKUP(J3595,LUTs!$A$1:$C$73,2,FALSE),"NA")</f>
        <v>NA</v>
      </c>
      <c r="L3595" t="str">
        <f>IFERROR(VLOOKUP(J3595,LUTs!$A$1:$C$73,3,FALSE),"NA")</f>
        <v>NA</v>
      </c>
      <c r="M3595" s="72" t="s">
        <v>17</v>
      </c>
      <c r="N3595" t="str">
        <f>VLOOKUP(M3595,LUTs!E$2:H$14,3,)</f>
        <v>04Island</v>
      </c>
      <c r="O3595" t="str">
        <f>VLOOKUP(M3595,LUTs!E$2:H$14,4,)</f>
        <v>01North Puget Sound</v>
      </c>
      <c r="P3595" s="73">
        <v>17.2222222222222</v>
      </c>
      <c r="Q3595" s="74">
        <f>VLOOKUP(B3595,Readme!A$40:C$51,2,)*P3595</f>
        <v>59.244444444444369</v>
      </c>
    </row>
    <row r="3596" spans="1:17" ht="12" customHeight="1" x14ac:dyDescent="0.35">
      <c r="A3596" s="75">
        <v>3595</v>
      </c>
      <c r="B3596" s="64">
        <v>2021</v>
      </c>
      <c r="C3596" s="64">
        <v>6</v>
      </c>
      <c r="D3596" s="80">
        <f t="shared" si="115"/>
        <v>2021</v>
      </c>
      <c r="E3596" t="s">
        <v>38</v>
      </c>
      <c r="F3596" t="s">
        <v>143</v>
      </c>
      <c r="G3596" t="s">
        <v>10</v>
      </c>
      <c r="H3596" s="72">
        <v>790</v>
      </c>
      <c r="I3596" s="72" t="s">
        <v>81</v>
      </c>
      <c r="J3596" t="str">
        <f t="shared" si="116"/>
        <v>Nooksack River, North Fork</v>
      </c>
      <c r="K3596" t="str">
        <f>IFERROR(VLOOKUP(J3596,LUTs!$A$1:$C$73,2,FALSE),"NA")</f>
        <v>NA</v>
      </c>
      <c r="L3596" t="str">
        <f>IFERROR(VLOOKUP(J3596,LUTs!$A$1:$C$73,3,FALSE),"NA")</f>
        <v>NA</v>
      </c>
      <c r="M3596" s="72" t="s">
        <v>13</v>
      </c>
      <c r="N3596" t="str">
        <f>VLOOKUP(M3596,LUTs!E$2:H$14,3,)</f>
        <v>01Whatcom</v>
      </c>
      <c r="O3596" t="str">
        <f>VLOOKUP(M3596,LUTs!E$2:H$14,4,)</f>
        <v>01North Puget Sound</v>
      </c>
      <c r="P3596" s="73">
        <v>137.777777777778</v>
      </c>
      <c r="Q3596" s="74">
        <f>VLOOKUP(B3596,Readme!A$40:C$51,2,)*P3596</f>
        <v>473.95555555555632</v>
      </c>
    </row>
    <row r="3597" spans="1:17" ht="12" customHeight="1" x14ac:dyDescent="0.35">
      <c r="A3597" s="75">
        <v>3596</v>
      </c>
      <c r="B3597" s="64">
        <v>2021</v>
      </c>
      <c r="C3597" s="64">
        <v>7</v>
      </c>
      <c r="D3597" s="80">
        <f t="shared" si="115"/>
        <v>2021</v>
      </c>
      <c r="E3597" t="s">
        <v>38</v>
      </c>
      <c r="F3597" t="s">
        <v>143</v>
      </c>
      <c r="G3597" t="s">
        <v>10</v>
      </c>
      <c r="H3597" s="72">
        <v>790</v>
      </c>
      <c r="I3597" s="72" t="s">
        <v>81</v>
      </c>
      <c r="J3597" t="str">
        <f t="shared" si="116"/>
        <v>Nooksack River, North Fork</v>
      </c>
      <c r="K3597" t="str">
        <f>IFERROR(VLOOKUP(J3597,LUTs!$A$1:$C$73,2,FALSE),"NA")</f>
        <v>NA</v>
      </c>
      <c r="L3597" t="str">
        <f>IFERROR(VLOOKUP(J3597,LUTs!$A$1:$C$73,3,FALSE),"NA")</f>
        <v>NA</v>
      </c>
      <c r="M3597" s="72" t="s">
        <v>13</v>
      </c>
      <c r="N3597" t="str">
        <f>VLOOKUP(M3597,LUTs!E$2:H$14,3,)</f>
        <v>01Whatcom</v>
      </c>
      <c r="O3597" t="str">
        <f>VLOOKUP(M3597,LUTs!E$2:H$14,4,)</f>
        <v>01North Puget Sound</v>
      </c>
      <c r="P3597" s="73">
        <v>31</v>
      </c>
      <c r="Q3597" s="74">
        <f>VLOOKUP(B3597,Readme!A$40:C$51,2,)*P3597</f>
        <v>106.64</v>
      </c>
    </row>
    <row r="3598" spans="1:17" ht="12" customHeight="1" x14ac:dyDescent="0.35">
      <c r="A3598" s="75">
        <v>3597</v>
      </c>
      <c r="B3598" s="64">
        <v>2021</v>
      </c>
      <c r="C3598" s="64">
        <v>8</v>
      </c>
      <c r="D3598" s="80">
        <f t="shared" si="115"/>
        <v>2021</v>
      </c>
      <c r="E3598" t="s">
        <v>38</v>
      </c>
      <c r="F3598" t="s">
        <v>143</v>
      </c>
      <c r="G3598" t="s">
        <v>10</v>
      </c>
      <c r="H3598" s="72">
        <v>790</v>
      </c>
      <c r="I3598" s="72" t="s">
        <v>81</v>
      </c>
      <c r="J3598" t="str">
        <f t="shared" si="116"/>
        <v>Nooksack River, North Fork</v>
      </c>
      <c r="K3598" t="str">
        <f>IFERROR(VLOOKUP(J3598,LUTs!$A$1:$C$73,2,FALSE),"NA")</f>
        <v>NA</v>
      </c>
      <c r="L3598" t="str">
        <f>IFERROR(VLOOKUP(J3598,LUTs!$A$1:$C$73,3,FALSE),"NA")</f>
        <v>NA</v>
      </c>
      <c r="M3598" s="72" t="s">
        <v>18</v>
      </c>
      <c r="N3598" t="str">
        <f>VLOOKUP(M3598,LUTs!E$2:H$14,3,)</f>
        <v>06King</v>
      </c>
      <c r="O3598" t="str">
        <f>VLOOKUP(M3598,LUTs!E$2:H$14,4,)</f>
        <v>02South Puget Sound</v>
      </c>
      <c r="P3598" s="73">
        <v>27</v>
      </c>
      <c r="Q3598" s="74">
        <f>VLOOKUP(B3598,Readme!A$40:C$51,2,)*P3598</f>
        <v>92.88</v>
      </c>
    </row>
    <row r="3599" spans="1:17" ht="12" customHeight="1" x14ac:dyDescent="0.35">
      <c r="A3599" s="75">
        <v>3598</v>
      </c>
      <c r="B3599" s="64">
        <v>2021</v>
      </c>
      <c r="C3599" s="64">
        <v>10</v>
      </c>
      <c r="D3599" s="80">
        <f t="shared" si="115"/>
        <v>2021</v>
      </c>
      <c r="E3599" t="s">
        <v>38</v>
      </c>
      <c r="F3599" t="s">
        <v>143</v>
      </c>
      <c r="G3599" t="s">
        <v>10</v>
      </c>
      <c r="H3599" s="72">
        <v>790</v>
      </c>
      <c r="I3599" s="72" t="s">
        <v>81</v>
      </c>
      <c r="J3599" t="str">
        <f t="shared" si="116"/>
        <v>Nooksack River, North Fork</v>
      </c>
      <c r="K3599" t="str">
        <f>IFERROR(VLOOKUP(J3599,LUTs!$A$1:$C$73,2,FALSE),"NA")</f>
        <v>NA</v>
      </c>
      <c r="L3599" t="str">
        <f>IFERROR(VLOOKUP(J3599,LUTs!$A$1:$C$73,3,FALSE),"NA")</f>
        <v>NA</v>
      </c>
      <c r="M3599" s="72" t="s">
        <v>13</v>
      </c>
      <c r="N3599" t="str">
        <f>VLOOKUP(M3599,LUTs!E$2:H$14,3,)</f>
        <v>01Whatcom</v>
      </c>
      <c r="O3599" t="str">
        <f>VLOOKUP(M3599,LUTs!E$2:H$14,4,)</f>
        <v>01North Puget Sound</v>
      </c>
      <c r="P3599" s="73">
        <v>68</v>
      </c>
      <c r="Q3599" s="74">
        <f>VLOOKUP(B3599,Readme!A$40:C$51,2,)*P3599</f>
        <v>233.92</v>
      </c>
    </row>
    <row r="3600" spans="1:17" ht="12" customHeight="1" x14ac:dyDescent="0.35">
      <c r="A3600" s="75">
        <v>3599</v>
      </c>
      <c r="B3600" s="64">
        <v>2021</v>
      </c>
      <c r="C3600" s="64">
        <v>10</v>
      </c>
      <c r="D3600" s="80">
        <f t="shared" si="115"/>
        <v>2021</v>
      </c>
      <c r="E3600" t="s">
        <v>38</v>
      </c>
      <c r="F3600" t="s">
        <v>143</v>
      </c>
      <c r="G3600" t="s">
        <v>10</v>
      </c>
      <c r="H3600" s="72">
        <v>792</v>
      </c>
      <c r="I3600" s="72" t="s">
        <v>82</v>
      </c>
      <c r="J3600" t="str">
        <f t="shared" si="116"/>
        <v>Nooksack River, South Fork</v>
      </c>
      <c r="K3600" t="str">
        <f>IFERROR(VLOOKUP(J3600,LUTs!$A$1:$C$73,2,FALSE),"NA")</f>
        <v>NA</v>
      </c>
      <c r="L3600" t="str">
        <f>IFERROR(VLOOKUP(J3600,LUTs!$A$1:$C$73,3,FALSE),"NA")</f>
        <v>NA</v>
      </c>
      <c r="M3600" s="72" t="s">
        <v>17</v>
      </c>
      <c r="N3600" t="str">
        <f>VLOOKUP(M3600,LUTs!E$2:H$14,3,)</f>
        <v>04Island</v>
      </c>
      <c r="O3600" t="str">
        <f>VLOOKUP(M3600,LUTs!E$2:H$14,4,)</f>
        <v>01North Puget Sound</v>
      </c>
      <c r="P3600" s="73">
        <v>81.75</v>
      </c>
      <c r="Q3600" s="74">
        <f>VLOOKUP(B3600,Readme!A$40:C$51,2,)*P3600</f>
        <v>281.21999999999997</v>
      </c>
    </row>
    <row r="3601" spans="1:17" ht="12" customHeight="1" x14ac:dyDescent="0.35">
      <c r="A3601" s="75">
        <v>3600</v>
      </c>
      <c r="B3601" s="64">
        <v>2021</v>
      </c>
      <c r="C3601" s="64">
        <v>10</v>
      </c>
      <c r="D3601" s="80">
        <f t="shared" si="115"/>
        <v>2021</v>
      </c>
      <c r="E3601" t="s">
        <v>38</v>
      </c>
      <c r="F3601" t="s">
        <v>143</v>
      </c>
      <c r="G3601" t="s">
        <v>10</v>
      </c>
      <c r="H3601" s="72">
        <v>792</v>
      </c>
      <c r="I3601" s="72" t="s">
        <v>82</v>
      </c>
      <c r="J3601" t="str">
        <f t="shared" si="116"/>
        <v>Nooksack River, South Fork</v>
      </c>
      <c r="K3601" t="str">
        <f>IFERROR(VLOOKUP(J3601,LUTs!$A$1:$C$73,2,FALSE),"NA")</f>
        <v>NA</v>
      </c>
      <c r="L3601" t="str">
        <f>IFERROR(VLOOKUP(J3601,LUTs!$A$1:$C$73,3,FALSE),"NA")</f>
        <v>NA</v>
      </c>
      <c r="M3601" s="72" t="s">
        <v>18</v>
      </c>
      <c r="N3601" t="str">
        <f>VLOOKUP(M3601,LUTs!E$2:H$14,3,)</f>
        <v>06King</v>
      </c>
      <c r="O3601" t="str">
        <f>VLOOKUP(M3601,LUTs!E$2:H$14,4,)</f>
        <v>02South Puget Sound</v>
      </c>
      <c r="P3601" s="73">
        <v>81.75</v>
      </c>
      <c r="Q3601" s="74">
        <f>VLOOKUP(B3601,Readme!A$40:C$51,2,)*P3601</f>
        <v>281.21999999999997</v>
      </c>
    </row>
    <row r="3602" spans="1:17" ht="12" customHeight="1" x14ac:dyDescent="0.35">
      <c r="A3602" s="75">
        <v>3601</v>
      </c>
      <c r="B3602" s="64">
        <v>2021</v>
      </c>
      <c r="C3602" s="64">
        <v>10</v>
      </c>
      <c r="D3602" s="80">
        <f t="shared" si="115"/>
        <v>2021</v>
      </c>
      <c r="E3602" t="s">
        <v>38</v>
      </c>
      <c r="F3602" t="s">
        <v>143</v>
      </c>
      <c r="G3602" t="s">
        <v>10</v>
      </c>
      <c r="H3602" s="72">
        <v>792</v>
      </c>
      <c r="I3602" s="72" t="s">
        <v>82</v>
      </c>
      <c r="J3602" t="str">
        <f t="shared" si="116"/>
        <v>Nooksack River, South Fork</v>
      </c>
      <c r="K3602" t="str">
        <f>IFERROR(VLOOKUP(J3602,LUTs!$A$1:$C$73,2,FALSE),"NA")</f>
        <v>NA</v>
      </c>
      <c r="L3602" t="str">
        <f>IFERROR(VLOOKUP(J3602,LUTs!$A$1:$C$73,3,FALSE),"NA")</f>
        <v>NA</v>
      </c>
      <c r="M3602" s="72" t="s">
        <v>15</v>
      </c>
      <c r="N3602" t="str">
        <f>VLOOKUP(M3602,LUTs!E$2:H$14,3,)</f>
        <v>02Skagit</v>
      </c>
      <c r="O3602" t="str">
        <f>VLOOKUP(M3602,LUTs!E$2:H$14,4,)</f>
        <v>01North Puget Sound</v>
      </c>
      <c r="P3602" s="73">
        <v>177.125</v>
      </c>
      <c r="Q3602" s="74">
        <f>VLOOKUP(B3602,Readme!A$40:C$51,2,)*P3602</f>
        <v>609.30999999999995</v>
      </c>
    </row>
    <row r="3603" spans="1:17" ht="12" customHeight="1" x14ac:dyDescent="0.35">
      <c r="A3603" s="75">
        <v>3602</v>
      </c>
      <c r="B3603" s="64">
        <v>2021</v>
      </c>
      <c r="C3603" s="64">
        <v>10</v>
      </c>
      <c r="D3603" s="80">
        <f t="shared" si="115"/>
        <v>2021</v>
      </c>
      <c r="E3603" t="s">
        <v>38</v>
      </c>
      <c r="F3603" t="s">
        <v>143</v>
      </c>
      <c r="G3603" t="s">
        <v>10</v>
      </c>
      <c r="H3603" s="72">
        <v>792</v>
      </c>
      <c r="I3603" s="72" t="s">
        <v>82</v>
      </c>
      <c r="J3603" t="str">
        <f t="shared" si="116"/>
        <v>Nooksack River, South Fork</v>
      </c>
      <c r="K3603" t="str">
        <f>IFERROR(VLOOKUP(J3603,LUTs!$A$1:$C$73,2,FALSE),"NA")</f>
        <v>NA</v>
      </c>
      <c r="L3603" t="str">
        <f>IFERROR(VLOOKUP(J3603,LUTs!$A$1:$C$73,3,FALSE),"NA")</f>
        <v>NA</v>
      </c>
      <c r="M3603" s="72" t="s">
        <v>13</v>
      </c>
      <c r="N3603" t="str">
        <f>VLOOKUP(M3603,LUTs!E$2:H$14,3,)</f>
        <v>01Whatcom</v>
      </c>
      <c r="O3603" t="str">
        <f>VLOOKUP(M3603,LUTs!E$2:H$14,4,)</f>
        <v>01North Puget Sound</v>
      </c>
      <c r="P3603" s="73">
        <v>422.375</v>
      </c>
      <c r="Q3603" s="74">
        <f>VLOOKUP(B3603,Readme!A$40:C$51,2,)*P3603</f>
        <v>1452.97</v>
      </c>
    </row>
    <row r="3604" spans="1:17" ht="12" customHeight="1" x14ac:dyDescent="0.35">
      <c r="A3604" s="75">
        <v>3603</v>
      </c>
      <c r="B3604" s="64">
        <v>2021</v>
      </c>
      <c r="C3604" s="64">
        <v>8</v>
      </c>
      <c r="D3604" s="80">
        <f t="shared" si="115"/>
        <v>2021</v>
      </c>
      <c r="E3604" t="s">
        <v>38</v>
      </c>
      <c r="F3604" t="s">
        <v>143</v>
      </c>
      <c r="G3604" t="s">
        <v>10</v>
      </c>
      <c r="H3604" s="72">
        <v>794</v>
      </c>
      <c r="I3604" s="72" t="s">
        <v>83</v>
      </c>
      <c r="J3604" t="str">
        <f t="shared" si="116"/>
        <v>Nooksack River, below North Fork</v>
      </c>
      <c r="K3604" t="str">
        <f>IFERROR(VLOOKUP(J3604,LUTs!$A$1:$C$73,2,FALSE),"NA")</f>
        <v>Whatcom</v>
      </c>
      <c r="L3604" t="str">
        <f>IFERROR(VLOOKUP(J3604,LUTs!$A$1:$C$73,3,FALSE),"NA")</f>
        <v>1North Puget Sound</v>
      </c>
      <c r="M3604" s="72" t="s">
        <v>13</v>
      </c>
      <c r="N3604" t="str">
        <f>VLOOKUP(M3604,LUTs!E$2:H$14,3,)</f>
        <v>01Whatcom</v>
      </c>
      <c r="O3604" t="str">
        <f>VLOOKUP(M3604,LUTs!E$2:H$14,4,)</f>
        <v>01North Puget Sound</v>
      </c>
      <c r="P3604" s="73">
        <v>818</v>
      </c>
      <c r="Q3604" s="74">
        <f>VLOOKUP(B3604,Readme!A$40:C$51,2,)*P3604</f>
        <v>2813.92</v>
      </c>
    </row>
    <row r="3605" spans="1:17" ht="12" customHeight="1" x14ac:dyDescent="0.35">
      <c r="A3605" s="75">
        <v>3604</v>
      </c>
      <c r="B3605" s="64">
        <v>2021</v>
      </c>
      <c r="C3605" s="64">
        <v>9</v>
      </c>
      <c r="D3605" s="80">
        <f t="shared" si="115"/>
        <v>2021</v>
      </c>
      <c r="E3605" t="s">
        <v>38</v>
      </c>
      <c r="F3605" t="s">
        <v>143</v>
      </c>
      <c r="G3605" t="s">
        <v>10</v>
      </c>
      <c r="H3605" s="72">
        <v>794</v>
      </c>
      <c r="I3605" s="72" t="s">
        <v>83</v>
      </c>
      <c r="J3605" t="str">
        <f t="shared" si="116"/>
        <v>Nooksack River, below North Fork</v>
      </c>
      <c r="K3605" t="str">
        <f>IFERROR(VLOOKUP(J3605,LUTs!$A$1:$C$73,2,FALSE),"NA")</f>
        <v>Whatcom</v>
      </c>
      <c r="L3605" t="str">
        <f>IFERROR(VLOOKUP(J3605,LUTs!$A$1:$C$73,3,FALSE),"NA")</f>
        <v>1North Puget Sound</v>
      </c>
      <c r="M3605" s="72" t="s">
        <v>26</v>
      </c>
      <c r="N3605" t="str">
        <f>VLOOKUP(M3605,LUTs!E$2:H$14,3,)</f>
        <v>20Other</v>
      </c>
      <c r="O3605" t="str">
        <f>VLOOKUP(M3605,LUTs!E$2:H$14,4,)</f>
        <v>07Non Puget Sound</v>
      </c>
      <c r="P3605" s="73">
        <v>13.838983050847499</v>
      </c>
      <c r="Q3605" s="74">
        <f>VLOOKUP(B3605,Readme!A$40:C$51,2,)*P3605</f>
        <v>47.606101694915395</v>
      </c>
    </row>
    <row r="3606" spans="1:17" ht="12" customHeight="1" x14ac:dyDescent="0.35">
      <c r="A3606" s="75">
        <v>3605</v>
      </c>
      <c r="B3606" s="64">
        <v>2021</v>
      </c>
      <c r="C3606" s="64">
        <v>9</v>
      </c>
      <c r="D3606" s="80">
        <f t="shared" si="115"/>
        <v>2021</v>
      </c>
      <c r="E3606" t="s">
        <v>38</v>
      </c>
      <c r="F3606" t="s">
        <v>143</v>
      </c>
      <c r="G3606" t="s">
        <v>10</v>
      </c>
      <c r="H3606" s="72">
        <v>794</v>
      </c>
      <c r="I3606" s="72" t="s">
        <v>83</v>
      </c>
      <c r="J3606" t="str">
        <f t="shared" si="116"/>
        <v>Nooksack River, below North Fork</v>
      </c>
      <c r="K3606" t="str">
        <f>IFERROR(VLOOKUP(J3606,LUTs!$A$1:$C$73,2,FALSE),"NA")</f>
        <v>Whatcom</v>
      </c>
      <c r="L3606" t="str">
        <f>IFERROR(VLOOKUP(J3606,LUTs!$A$1:$C$73,3,FALSE),"NA")</f>
        <v>1North Puget Sound</v>
      </c>
      <c r="M3606" s="72" t="s">
        <v>20</v>
      </c>
      <c r="N3606" t="str">
        <f>VLOOKUP(M3606,LUTs!E$2:H$14,3,)</f>
        <v>07Pierce</v>
      </c>
      <c r="O3606" t="str">
        <f>VLOOKUP(M3606,LUTs!E$2:H$14,4,)</f>
        <v>02South Puget Sound</v>
      </c>
      <c r="P3606" s="73">
        <v>13.838983050847499</v>
      </c>
      <c r="Q3606" s="74">
        <f>VLOOKUP(B3606,Readme!A$40:C$51,2,)*P3606</f>
        <v>47.606101694915395</v>
      </c>
    </row>
    <row r="3607" spans="1:17" ht="12" customHeight="1" x14ac:dyDescent="0.35">
      <c r="A3607" s="75">
        <v>3606</v>
      </c>
      <c r="B3607" s="64">
        <v>2021</v>
      </c>
      <c r="C3607" s="64">
        <v>9</v>
      </c>
      <c r="D3607" s="80">
        <f t="shared" si="115"/>
        <v>2021</v>
      </c>
      <c r="E3607" t="s">
        <v>38</v>
      </c>
      <c r="F3607" t="s">
        <v>143</v>
      </c>
      <c r="G3607" t="s">
        <v>10</v>
      </c>
      <c r="H3607" s="72">
        <v>794</v>
      </c>
      <c r="I3607" s="72" t="s">
        <v>83</v>
      </c>
      <c r="J3607" t="str">
        <f t="shared" si="116"/>
        <v>Nooksack River, below North Fork</v>
      </c>
      <c r="K3607" t="str">
        <f>IFERROR(VLOOKUP(J3607,LUTs!$A$1:$C$73,2,FALSE),"NA")</f>
        <v>Whatcom</v>
      </c>
      <c r="L3607" t="str">
        <f>IFERROR(VLOOKUP(J3607,LUTs!$A$1:$C$73,3,FALSE),"NA")</f>
        <v>1North Puget Sound</v>
      </c>
      <c r="M3607" s="72" t="s">
        <v>15</v>
      </c>
      <c r="N3607" t="str">
        <f>VLOOKUP(M3607,LUTs!E$2:H$14,3,)</f>
        <v>02Skagit</v>
      </c>
      <c r="O3607" t="str">
        <f>VLOOKUP(M3607,LUTs!E$2:H$14,4,)</f>
        <v>01North Puget Sound</v>
      </c>
      <c r="P3607" s="73">
        <v>69.194915254237301</v>
      </c>
      <c r="Q3607" s="74">
        <f>VLOOKUP(B3607,Readme!A$40:C$51,2,)*P3607</f>
        <v>238.03050847457632</v>
      </c>
    </row>
    <row r="3608" spans="1:17" ht="12" customHeight="1" x14ac:dyDescent="0.35">
      <c r="A3608" s="75">
        <v>3607</v>
      </c>
      <c r="B3608" s="64">
        <v>2021</v>
      </c>
      <c r="C3608" s="64">
        <v>9</v>
      </c>
      <c r="D3608" s="80">
        <f t="shared" si="115"/>
        <v>2021</v>
      </c>
      <c r="E3608" t="s">
        <v>38</v>
      </c>
      <c r="F3608" t="s">
        <v>143</v>
      </c>
      <c r="G3608" t="s">
        <v>10</v>
      </c>
      <c r="H3608" s="72">
        <v>794</v>
      </c>
      <c r="I3608" s="72" t="s">
        <v>83</v>
      </c>
      <c r="J3608" t="str">
        <f t="shared" si="116"/>
        <v>Nooksack River, below North Fork</v>
      </c>
      <c r="K3608" t="str">
        <f>IFERROR(VLOOKUP(J3608,LUTs!$A$1:$C$73,2,FALSE),"NA")</f>
        <v>Whatcom</v>
      </c>
      <c r="L3608" t="str">
        <f>IFERROR(VLOOKUP(J3608,LUTs!$A$1:$C$73,3,FALSE),"NA")</f>
        <v>1North Puget Sound</v>
      </c>
      <c r="M3608" s="72" t="s">
        <v>13</v>
      </c>
      <c r="N3608" t="str">
        <f>VLOOKUP(M3608,LUTs!E$2:H$14,3,)</f>
        <v>01Whatcom</v>
      </c>
      <c r="O3608" t="str">
        <f>VLOOKUP(M3608,LUTs!E$2:H$14,4,)</f>
        <v>01North Puget Sound</v>
      </c>
      <c r="P3608" s="73">
        <v>1536.1271186440699</v>
      </c>
      <c r="Q3608" s="74">
        <f>VLOOKUP(B3608,Readme!A$40:C$51,2,)*P3608</f>
        <v>5284.2772881356004</v>
      </c>
    </row>
    <row r="3609" spans="1:17" ht="12" customHeight="1" x14ac:dyDescent="0.35">
      <c r="A3609" s="75">
        <v>3608</v>
      </c>
      <c r="B3609" s="64">
        <v>2021</v>
      </c>
      <c r="C3609" s="64">
        <v>10</v>
      </c>
      <c r="D3609" s="80">
        <f t="shared" si="115"/>
        <v>2021</v>
      </c>
      <c r="E3609" t="s">
        <v>38</v>
      </c>
      <c r="F3609" t="s">
        <v>143</v>
      </c>
      <c r="G3609" t="s">
        <v>10</v>
      </c>
      <c r="H3609" s="72">
        <v>794</v>
      </c>
      <c r="I3609" s="72" t="s">
        <v>83</v>
      </c>
      <c r="J3609" t="str">
        <f t="shared" si="116"/>
        <v>Nooksack River, below North Fork</v>
      </c>
      <c r="K3609" t="str">
        <f>IFERROR(VLOOKUP(J3609,LUTs!$A$1:$C$73,2,FALSE),"NA")</f>
        <v>Whatcom</v>
      </c>
      <c r="L3609" t="str">
        <f>IFERROR(VLOOKUP(J3609,LUTs!$A$1:$C$73,3,FALSE),"NA")</f>
        <v>1North Puget Sound</v>
      </c>
      <c r="M3609" s="72" t="s">
        <v>13</v>
      </c>
      <c r="N3609" t="str">
        <f>VLOOKUP(M3609,LUTs!E$2:H$14,3,)</f>
        <v>01Whatcom</v>
      </c>
      <c r="O3609" t="str">
        <f>VLOOKUP(M3609,LUTs!E$2:H$14,4,)</f>
        <v>01North Puget Sound</v>
      </c>
      <c r="P3609" s="73">
        <v>547</v>
      </c>
      <c r="Q3609" s="74">
        <f>VLOOKUP(B3609,Readme!A$40:C$51,2,)*P3609</f>
        <v>1881.68</v>
      </c>
    </row>
    <row r="3610" spans="1:17" ht="12" customHeight="1" x14ac:dyDescent="0.35">
      <c r="A3610" s="75">
        <v>3609</v>
      </c>
      <c r="B3610" s="64">
        <v>2021</v>
      </c>
      <c r="C3610" s="64">
        <v>9</v>
      </c>
      <c r="D3610" s="80">
        <f t="shared" si="115"/>
        <v>2021</v>
      </c>
      <c r="E3610" t="s">
        <v>38</v>
      </c>
      <c r="F3610" t="s">
        <v>143</v>
      </c>
      <c r="G3610" t="s">
        <v>10</v>
      </c>
      <c r="H3610" s="72">
        <v>802</v>
      </c>
      <c r="I3610" s="72" t="s">
        <v>53</v>
      </c>
      <c r="J3610" t="str">
        <f t="shared" si="116"/>
        <v>Carbon River</v>
      </c>
      <c r="K3610" t="str">
        <f>IFERROR(VLOOKUP(J3610,LUTs!$A$1:$C$73,2,FALSE),"NA")</f>
        <v>Pierce</v>
      </c>
      <c r="L3610" t="str">
        <f>IFERROR(VLOOKUP(J3610,LUTs!$A$1:$C$73,3,FALSE),"NA")</f>
        <v>3South Puget Sound</v>
      </c>
      <c r="M3610" s="72" t="s">
        <v>18</v>
      </c>
      <c r="N3610" t="str">
        <f>VLOOKUP(M3610,LUTs!E$2:H$14,3,)</f>
        <v>06King</v>
      </c>
      <c r="O3610" t="str">
        <f>VLOOKUP(M3610,LUTs!E$2:H$14,4,)</f>
        <v>02South Puget Sound</v>
      </c>
      <c r="P3610" s="73">
        <v>607</v>
      </c>
      <c r="Q3610" s="74">
        <f>VLOOKUP(B3610,Readme!A$40:C$51,2,)*P3610</f>
        <v>2088.08</v>
      </c>
    </row>
    <row r="3611" spans="1:17" ht="12" customHeight="1" x14ac:dyDescent="0.35">
      <c r="A3611" s="75">
        <v>3610</v>
      </c>
      <c r="B3611" s="64">
        <v>2021</v>
      </c>
      <c r="C3611" s="64">
        <v>9</v>
      </c>
      <c r="D3611" s="80">
        <f t="shared" si="115"/>
        <v>2021</v>
      </c>
      <c r="E3611" t="s">
        <v>38</v>
      </c>
      <c r="F3611" t="s">
        <v>143</v>
      </c>
      <c r="G3611" t="s">
        <v>10</v>
      </c>
      <c r="H3611" s="72">
        <v>802</v>
      </c>
      <c r="I3611" s="72" t="s">
        <v>53</v>
      </c>
      <c r="J3611" t="str">
        <f t="shared" si="116"/>
        <v>Carbon River</v>
      </c>
      <c r="K3611" t="str">
        <f>IFERROR(VLOOKUP(J3611,LUTs!$A$1:$C$73,2,FALSE),"NA")</f>
        <v>Pierce</v>
      </c>
      <c r="L3611" t="str">
        <f>IFERROR(VLOOKUP(J3611,LUTs!$A$1:$C$73,3,FALSE),"NA")</f>
        <v>3South Puget Sound</v>
      </c>
      <c r="M3611" s="72" t="s">
        <v>26</v>
      </c>
      <c r="N3611" t="str">
        <f>VLOOKUP(M3611,LUTs!E$2:H$14,3,)</f>
        <v>20Other</v>
      </c>
      <c r="O3611" t="str">
        <f>VLOOKUP(M3611,LUTs!E$2:H$14,4,)</f>
        <v>07Non Puget Sound</v>
      </c>
      <c r="P3611" s="73">
        <v>124.15909090909101</v>
      </c>
      <c r="Q3611" s="74">
        <f>VLOOKUP(B3611,Readme!A$40:C$51,2,)*P3611</f>
        <v>427.10727272727303</v>
      </c>
    </row>
    <row r="3612" spans="1:17" ht="12" customHeight="1" x14ac:dyDescent="0.35">
      <c r="A3612" s="75">
        <v>3611</v>
      </c>
      <c r="B3612" s="64">
        <v>2021</v>
      </c>
      <c r="C3612" s="64">
        <v>9</v>
      </c>
      <c r="D3612" s="80">
        <f t="shared" si="115"/>
        <v>2021</v>
      </c>
      <c r="E3612" t="s">
        <v>38</v>
      </c>
      <c r="F3612" t="s">
        <v>143</v>
      </c>
      <c r="G3612" t="s">
        <v>10</v>
      </c>
      <c r="H3612" s="72">
        <v>802</v>
      </c>
      <c r="I3612" s="72" t="s">
        <v>53</v>
      </c>
      <c r="J3612" t="str">
        <f t="shared" si="116"/>
        <v>Carbon River</v>
      </c>
      <c r="K3612" t="str">
        <f>IFERROR(VLOOKUP(J3612,LUTs!$A$1:$C$73,2,FALSE),"NA")</f>
        <v>Pierce</v>
      </c>
      <c r="L3612" t="str">
        <f>IFERROR(VLOOKUP(J3612,LUTs!$A$1:$C$73,3,FALSE),"NA")</f>
        <v>3South Puget Sound</v>
      </c>
      <c r="M3612" s="72" t="s">
        <v>20</v>
      </c>
      <c r="N3612" t="str">
        <f>VLOOKUP(M3612,LUTs!E$2:H$14,3,)</f>
        <v>07Pierce</v>
      </c>
      <c r="O3612" t="str">
        <f>VLOOKUP(M3612,LUTs!E$2:H$14,4,)</f>
        <v>02South Puget Sound</v>
      </c>
      <c r="P3612" s="73">
        <v>1614.0681818181799</v>
      </c>
      <c r="Q3612" s="74">
        <f>VLOOKUP(B3612,Readme!A$40:C$51,2,)*P3612</f>
        <v>5552.3945454545392</v>
      </c>
    </row>
    <row r="3613" spans="1:17" ht="12" customHeight="1" x14ac:dyDescent="0.35">
      <c r="A3613" s="75">
        <v>3612</v>
      </c>
      <c r="B3613" s="64">
        <v>2021</v>
      </c>
      <c r="C3613" s="64">
        <v>9</v>
      </c>
      <c r="D3613" s="80">
        <f t="shared" si="115"/>
        <v>2021</v>
      </c>
      <c r="E3613" t="s">
        <v>38</v>
      </c>
      <c r="F3613" t="s">
        <v>143</v>
      </c>
      <c r="G3613" t="s">
        <v>10</v>
      </c>
      <c r="H3613" s="72">
        <v>802</v>
      </c>
      <c r="I3613" s="72" t="s">
        <v>53</v>
      </c>
      <c r="J3613" t="str">
        <f t="shared" si="116"/>
        <v>Carbon River</v>
      </c>
      <c r="K3613" t="str">
        <f>IFERROR(VLOOKUP(J3613,LUTs!$A$1:$C$73,2,FALSE),"NA")</f>
        <v>Pierce</v>
      </c>
      <c r="L3613" t="str">
        <f>IFERROR(VLOOKUP(J3613,LUTs!$A$1:$C$73,3,FALSE),"NA")</f>
        <v>3South Puget Sound</v>
      </c>
      <c r="M3613" s="72" t="s">
        <v>16</v>
      </c>
      <c r="N3613" t="str">
        <f>VLOOKUP(M3613,LUTs!E$2:H$14,3,)</f>
        <v>03Snohomish</v>
      </c>
      <c r="O3613" t="str">
        <f>VLOOKUP(M3613,LUTs!E$2:H$14,4,)</f>
        <v>01North Puget Sound</v>
      </c>
      <c r="P3613" s="73">
        <v>27.590909090909101</v>
      </c>
      <c r="Q3613" s="74">
        <f>VLOOKUP(B3613,Readme!A$40:C$51,2,)*P3613</f>
        <v>94.912727272727309</v>
      </c>
    </row>
    <row r="3614" spans="1:17" ht="12" customHeight="1" x14ac:dyDescent="0.35">
      <c r="A3614" s="75">
        <v>3613</v>
      </c>
      <c r="B3614" s="64">
        <v>2021</v>
      </c>
      <c r="C3614" s="64">
        <v>9</v>
      </c>
      <c r="D3614" s="80">
        <f t="shared" si="115"/>
        <v>2021</v>
      </c>
      <c r="E3614" t="s">
        <v>38</v>
      </c>
      <c r="F3614" t="s">
        <v>143</v>
      </c>
      <c r="G3614" t="s">
        <v>10</v>
      </c>
      <c r="H3614" s="72">
        <v>802</v>
      </c>
      <c r="I3614" s="72" t="s">
        <v>53</v>
      </c>
      <c r="J3614" t="str">
        <f t="shared" si="116"/>
        <v>Carbon River</v>
      </c>
      <c r="K3614" t="str">
        <f>IFERROR(VLOOKUP(J3614,LUTs!$A$1:$C$73,2,FALSE),"NA")</f>
        <v>Pierce</v>
      </c>
      <c r="L3614" t="str">
        <f>IFERROR(VLOOKUP(J3614,LUTs!$A$1:$C$73,3,FALSE),"NA")</f>
        <v>3South Puget Sound</v>
      </c>
      <c r="M3614" s="72" t="s">
        <v>13</v>
      </c>
      <c r="N3614" t="str">
        <f>VLOOKUP(M3614,LUTs!E$2:H$14,3,)</f>
        <v>01Whatcom</v>
      </c>
      <c r="O3614" t="str">
        <f>VLOOKUP(M3614,LUTs!E$2:H$14,4,)</f>
        <v>01North Puget Sound</v>
      </c>
      <c r="P3614" s="73">
        <v>55.181818181818201</v>
      </c>
      <c r="Q3614" s="74">
        <f>VLOOKUP(B3614,Readme!A$40:C$51,2,)*P3614</f>
        <v>189.82545454545462</v>
      </c>
    </row>
    <row r="3615" spans="1:17" ht="12" customHeight="1" x14ac:dyDescent="0.35">
      <c r="A3615" s="75">
        <v>3614</v>
      </c>
      <c r="B3615" s="64">
        <v>2021</v>
      </c>
      <c r="C3615" s="64">
        <v>10</v>
      </c>
      <c r="D3615" s="80">
        <f t="shared" si="115"/>
        <v>2021</v>
      </c>
      <c r="E3615" t="s">
        <v>38</v>
      </c>
      <c r="F3615" t="s">
        <v>143</v>
      </c>
      <c r="G3615" t="s">
        <v>10</v>
      </c>
      <c r="H3615" s="72">
        <v>802</v>
      </c>
      <c r="I3615" s="72" t="s">
        <v>53</v>
      </c>
      <c r="J3615" t="str">
        <f t="shared" si="116"/>
        <v>Carbon River</v>
      </c>
      <c r="K3615" t="str">
        <f>IFERROR(VLOOKUP(J3615,LUTs!$A$1:$C$73,2,FALSE),"NA")</f>
        <v>Pierce</v>
      </c>
      <c r="L3615" t="str">
        <f>IFERROR(VLOOKUP(J3615,LUTs!$A$1:$C$73,3,FALSE),"NA")</f>
        <v>3South Puget Sound</v>
      </c>
      <c r="M3615" s="72" t="s">
        <v>18</v>
      </c>
      <c r="N3615" t="str">
        <f>VLOOKUP(M3615,LUTs!E$2:H$14,3,)</f>
        <v>06King</v>
      </c>
      <c r="O3615" t="str">
        <f>VLOOKUP(M3615,LUTs!E$2:H$14,4,)</f>
        <v>02South Puget Sound</v>
      </c>
      <c r="P3615" s="73">
        <v>41.25</v>
      </c>
      <c r="Q3615" s="74">
        <f>VLOOKUP(B3615,Readme!A$40:C$51,2,)*P3615</f>
        <v>141.9</v>
      </c>
    </row>
    <row r="3616" spans="1:17" ht="12" customHeight="1" x14ac:dyDescent="0.35">
      <c r="A3616" s="75">
        <v>3615</v>
      </c>
      <c r="B3616" s="64">
        <v>2021</v>
      </c>
      <c r="C3616" s="64">
        <v>10</v>
      </c>
      <c r="D3616" s="80">
        <f t="shared" si="115"/>
        <v>2021</v>
      </c>
      <c r="E3616" t="s">
        <v>38</v>
      </c>
      <c r="F3616" t="s">
        <v>143</v>
      </c>
      <c r="G3616" t="s">
        <v>10</v>
      </c>
      <c r="H3616" s="72">
        <v>802</v>
      </c>
      <c r="I3616" s="72" t="s">
        <v>53</v>
      </c>
      <c r="J3616" t="str">
        <f t="shared" si="116"/>
        <v>Carbon River</v>
      </c>
      <c r="K3616" t="str">
        <f>IFERROR(VLOOKUP(J3616,LUTs!$A$1:$C$73,2,FALSE),"NA")</f>
        <v>Pierce</v>
      </c>
      <c r="L3616" t="str">
        <f>IFERROR(VLOOKUP(J3616,LUTs!$A$1:$C$73,3,FALSE),"NA")</f>
        <v>3South Puget Sound</v>
      </c>
      <c r="M3616" s="72" t="s">
        <v>20</v>
      </c>
      <c r="N3616" t="str">
        <f>VLOOKUP(M3616,LUTs!E$2:H$14,3,)</f>
        <v>07Pierce</v>
      </c>
      <c r="O3616" t="str">
        <f>VLOOKUP(M3616,LUTs!E$2:H$14,4,)</f>
        <v>02South Puget Sound</v>
      </c>
      <c r="P3616" s="73">
        <v>123.75</v>
      </c>
      <c r="Q3616" s="74">
        <f>VLOOKUP(B3616,Readme!A$40:C$51,2,)*P3616</f>
        <v>425.7</v>
      </c>
    </row>
    <row r="3617" spans="1:17" ht="12" customHeight="1" x14ac:dyDescent="0.35">
      <c r="A3617" s="75">
        <v>3616</v>
      </c>
      <c r="B3617" s="64">
        <v>2021</v>
      </c>
      <c r="C3617" s="64">
        <v>11</v>
      </c>
      <c r="D3617" s="80">
        <f t="shared" si="115"/>
        <v>2021</v>
      </c>
      <c r="E3617" t="s">
        <v>38</v>
      </c>
      <c r="F3617" t="s">
        <v>143</v>
      </c>
      <c r="G3617" t="s">
        <v>10</v>
      </c>
      <c r="H3617" s="72">
        <v>802</v>
      </c>
      <c r="I3617" s="72" t="s">
        <v>53</v>
      </c>
      <c r="J3617" t="str">
        <f t="shared" si="116"/>
        <v>Carbon River</v>
      </c>
      <c r="K3617" t="str">
        <f>IFERROR(VLOOKUP(J3617,LUTs!$A$1:$C$73,2,FALSE),"NA")</f>
        <v>Pierce</v>
      </c>
      <c r="L3617" t="str">
        <f>IFERROR(VLOOKUP(J3617,LUTs!$A$1:$C$73,3,FALSE),"NA")</f>
        <v>3South Puget Sound</v>
      </c>
      <c r="M3617" s="72" t="s">
        <v>26</v>
      </c>
      <c r="N3617" t="str">
        <f>VLOOKUP(M3617,LUTs!E$2:H$14,3,)</f>
        <v>20Other</v>
      </c>
      <c r="O3617" t="str">
        <f>VLOOKUP(M3617,LUTs!E$2:H$14,4,)</f>
        <v>07Non Puget Sound</v>
      </c>
      <c r="P3617" s="73">
        <v>48</v>
      </c>
      <c r="Q3617" s="74">
        <f>VLOOKUP(B3617,Readme!A$40:C$51,2,)*P3617</f>
        <v>165.12</v>
      </c>
    </row>
    <row r="3618" spans="1:17" ht="12" customHeight="1" x14ac:dyDescent="0.35">
      <c r="A3618" s="75">
        <v>3617</v>
      </c>
      <c r="B3618" s="64">
        <v>2021</v>
      </c>
      <c r="C3618" s="64">
        <v>11</v>
      </c>
      <c r="D3618" s="80">
        <f t="shared" si="115"/>
        <v>2021</v>
      </c>
      <c r="E3618" t="s">
        <v>38</v>
      </c>
      <c r="F3618" t="s">
        <v>143</v>
      </c>
      <c r="G3618" t="s">
        <v>10</v>
      </c>
      <c r="H3618" s="72">
        <v>802</v>
      </c>
      <c r="I3618" s="72" t="s">
        <v>53</v>
      </c>
      <c r="J3618" t="str">
        <f t="shared" si="116"/>
        <v>Carbon River</v>
      </c>
      <c r="K3618" t="str">
        <f>IFERROR(VLOOKUP(J3618,LUTs!$A$1:$C$73,2,FALSE),"NA")</f>
        <v>Pierce</v>
      </c>
      <c r="L3618" t="str">
        <f>IFERROR(VLOOKUP(J3618,LUTs!$A$1:$C$73,3,FALSE),"NA")</f>
        <v>3South Puget Sound</v>
      </c>
      <c r="M3618" s="72" t="s">
        <v>20</v>
      </c>
      <c r="N3618" t="str">
        <f>VLOOKUP(M3618,LUTs!E$2:H$14,3,)</f>
        <v>07Pierce</v>
      </c>
      <c r="O3618" t="str">
        <f>VLOOKUP(M3618,LUTs!E$2:H$14,4,)</f>
        <v>02South Puget Sound</v>
      </c>
      <c r="P3618" s="73">
        <v>48</v>
      </c>
      <c r="Q3618" s="74">
        <f>VLOOKUP(B3618,Readme!A$40:C$51,2,)*P3618</f>
        <v>165.12</v>
      </c>
    </row>
    <row r="3619" spans="1:17" ht="12" customHeight="1" x14ac:dyDescent="0.35">
      <c r="A3619" s="75">
        <v>3618</v>
      </c>
      <c r="B3619" s="64">
        <v>2021</v>
      </c>
      <c r="C3619" s="64">
        <v>7</v>
      </c>
      <c r="D3619" s="80">
        <f t="shared" si="115"/>
        <v>2021</v>
      </c>
      <c r="E3619" t="s">
        <v>38</v>
      </c>
      <c r="F3619" t="s">
        <v>143</v>
      </c>
      <c r="G3619" t="s">
        <v>10</v>
      </c>
      <c r="H3619" s="72">
        <v>804</v>
      </c>
      <c r="I3619" s="72" t="s">
        <v>54</v>
      </c>
      <c r="J3619" t="str">
        <f t="shared" si="116"/>
        <v>Puyallup River</v>
      </c>
      <c r="K3619" t="str">
        <f>IFERROR(VLOOKUP(J3619,LUTs!$A$1:$C$73,2,FALSE),"NA")</f>
        <v>Pierce</v>
      </c>
      <c r="L3619" t="str">
        <f>IFERROR(VLOOKUP(J3619,LUTs!$A$1:$C$73,3,FALSE),"NA")</f>
        <v>3South Puget Sound</v>
      </c>
      <c r="M3619" s="72" t="s">
        <v>18</v>
      </c>
      <c r="N3619" t="str">
        <f>VLOOKUP(M3619,LUTs!E$2:H$14,3,)</f>
        <v>06King</v>
      </c>
      <c r="O3619" t="str">
        <f>VLOOKUP(M3619,LUTs!E$2:H$14,4,)</f>
        <v>02South Puget Sound</v>
      </c>
      <c r="P3619" s="73">
        <v>13.6666666666667</v>
      </c>
      <c r="Q3619" s="74">
        <f>VLOOKUP(B3619,Readme!A$40:C$51,2,)*P3619</f>
        <v>47.013333333333449</v>
      </c>
    </row>
    <row r="3620" spans="1:17" ht="12" customHeight="1" x14ac:dyDescent="0.35">
      <c r="A3620" s="75">
        <v>3619</v>
      </c>
      <c r="B3620" s="64">
        <v>2021</v>
      </c>
      <c r="C3620" s="64">
        <v>7</v>
      </c>
      <c r="D3620" s="80">
        <f t="shared" si="115"/>
        <v>2021</v>
      </c>
      <c r="E3620" t="s">
        <v>38</v>
      </c>
      <c r="F3620" t="s">
        <v>143</v>
      </c>
      <c r="G3620" t="s">
        <v>10</v>
      </c>
      <c r="H3620" s="72">
        <v>804</v>
      </c>
      <c r="I3620" s="72" t="s">
        <v>54</v>
      </c>
      <c r="J3620" t="str">
        <f t="shared" si="116"/>
        <v>Puyallup River</v>
      </c>
      <c r="K3620" t="str">
        <f>IFERROR(VLOOKUP(J3620,LUTs!$A$1:$C$73,2,FALSE),"NA")</f>
        <v>Pierce</v>
      </c>
      <c r="L3620" t="str">
        <f>IFERROR(VLOOKUP(J3620,LUTs!$A$1:$C$73,3,FALSE),"NA")</f>
        <v>3South Puget Sound</v>
      </c>
      <c r="M3620" s="72" t="s">
        <v>20</v>
      </c>
      <c r="N3620" t="str">
        <f>VLOOKUP(M3620,LUTs!E$2:H$14,3,)</f>
        <v>07Pierce</v>
      </c>
      <c r="O3620" t="str">
        <f>VLOOKUP(M3620,LUTs!E$2:H$14,4,)</f>
        <v>02South Puget Sound</v>
      </c>
      <c r="P3620" s="73">
        <v>27.3333333333333</v>
      </c>
      <c r="Q3620" s="74">
        <f>VLOOKUP(B3620,Readme!A$40:C$51,2,)*P3620</f>
        <v>94.026666666666557</v>
      </c>
    </row>
    <row r="3621" spans="1:17" ht="12" customHeight="1" x14ac:dyDescent="0.35">
      <c r="A3621" s="75">
        <v>3620</v>
      </c>
      <c r="B3621" s="64">
        <v>2021</v>
      </c>
      <c r="C3621" s="64">
        <v>8</v>
      </c>
      <c r="D3621" s="80">
        <f t="shared" si="115"/>
        <v>2021</v>
      </c>
      <c r="E3621" t="s">
        <v>38</v>
      </c>
      <c r="F3621" t="s">
        <v>143</v>
      </c>
      <c r="G3621" t="s">
        <v>10</v>
      </c>
      <c r="H3621" s="72">
        <v>804</v>
      </c>
      <c r="I3621" s="72" t="s">
        <v>54</v>
      </c>
      <c r="J3621" t="str">
        <f t="shared" si="116"/>
        <v>Puyallup River</v>
      </c>
      <c r="K3621" t="str">
        <f>IFERROR(VLOOKUP(J3621,LUTs!$A$1:$C$73,2,FALSE),"NA")</f>
        <v>Pierce</v>
      </c>
      <c r="L3621" t="str">
        <f>IFERROR(VLOOKUP(J3621,LUTs!$A$1:$C$73,3,FALSE),"NA")</f>
        <v>3South Puget Sound</v>
      </c>
      <c r="M3621" s="72" t="s">
        <v>18</v>
      </c>
      <c r="N3621" t="str">
        <f>VLOOKUP(M3621,LUTs!E$2:H$14,3,)</f>
        <v>06King</v>
      </c>
      <c r="O3621" t="str">
        <f>VLOOKUP(M3621,LUTs!E$2:H$14,4,)</f>
        <v>02South Puget Sound</v>
      </c>
      <c r="P3621" s="73">
        <v>9180.5813953488396</v>
      </c>
      <c r="Q3621" s="74">
        <f>VLOOKUP(B3621,Readme!A$40:C$51,2,)*P3621</f>
        <v>31581.200000000008</v>
      </c>
    </row>
    <row r="3622" spans="1:17" ht="12" customHeight="1" x14ac:dyDescent="0.35">
      <c r="A3622" s="75">
        <v>3621</v>
      </c>
      <c r="B3622" s="64">
        <v>2021</v>
      </c>
      <c r="C3622" s="64">
        <v>8</v>
      </c>
      <c r="D3622" s="80">
        <f t="shared" si="115"/>
        <v>2021</v>
      </c>
      <c r="E3622" t="s">
        <v>38</v>
      </c>
      <c r="F3622" t="s">
        <v>143</v>
      </c>
      <c r="G3622" t="s">
        <v>10</v>
      </c>
      <c r="H3622" s="72">
        <v>804</v>
      </c>
      <c r="I3622" s="72" t="s">
        <v>54</v>
      </c>
      <c r="J3622" t="str">
        <f t="shared" si="116"/>
        <v>Puyallup River</v>
      </c>
      <c r="K3622" t="str">
        <f>IFERROR(VLOOKUP(J3622,LUTs!$A$1:$C$73,2,FALSE),"NA")</f>
        <v>Pierce</v>
      </c>
      <c r="L3622" t="str">
        <f>IFERROR(VLOOKUP(J3622,LUTs!$A$1:$C$73,3,FALSE),"NA")</f>
        <v>3South Puget Sound</v>
      </c>
      <c r="M3622" s="72" t="s">
        <v>23</v>
      </c>
      <c r="N3622" t="str">
        <f>VLOOKUP(M3622,LUTs!E$2:H$14,3,)</f>
        <v>10Kitsap</v>
      </c>
      <c r="O3622" t="str">
        <f>VLOOKUP(M3622,LUTs!E$2:H$14,4,)</f>
        <v>02South Puget Sound</v>
      </c>
      <c r="P3622" s="73">
        <v>27.610771113831099</v>
      </c>
      <c r="Q3622" s="74">
        <f>VLOOKUP(B3622,Readme!A$40:C$51,2,)*P3622</f>
        <v>94.981052631578976</v>
      </c>
    </row>
    <row r="3623" spans="1:17" ht="12" customHeight="1" x14ac:dyDescent="0.35">
      <c r="A3623" s="75">
        <v>3622</v>
      </c>
      <c r="B3623" s="64">
        <v>2021</v>
      </c>
      <c r="C3623" s="64">
        <v>8</v>
      </c>
      <c r="D3623" s="80">
        <f t="shared" si="115"/>
        <v>2021</v>
      </c>
      <c r="E3623" t="s">
        <v>38</v>
      </c>
      <c r="F3623" t="s">
        <v>143</v>
      </c>
      <c r="G3623" t="s">
        <v>10</v>
      </c>
      <c r="H3623" s="72">
        <v>804</v>
      </c>
      <c r="I3623" s="72" t="s">
        <v>54</v>
      </c>
      <c r="J3623" t="str">
        <f t="shared" si="116"/>
        <v>Puyallup River</v>
      </c>
      <c r="K3623" t="str">
        <f>IFERROR(VLOOKUP(J3623,LUTs!$A$1:$C$73,2,FALSE),"NA")</f>
        <v>Pierce</v>
      </c>
      <c r="L3623" t="str">
        <f>IFERROR(VLOOKUP(J3623,LUTs!$A$1:$C$73,3,FALSE),"NA")</f>
        <v>3South Puget Sound</v>
      </c>
      <c r="M3623" s="72" t="s">
        <v>26</v>
      </c>
      <c r="N3623" t="str">
        <f>VLOOKUP(M3623,LUTs!E$2:H$14,3,)</f>
        <v>20Other</v>
      </c>
      <c r="O3623" t="str">
        <f>VLOOKUP(M3623,LUTs!E$2:H$14,4,)</f>
        <v>07Non Puget Sound</v>
      </c>
      <c r="P3623" s="73">
        <v>1090.6254589963301</v>
      </c>
      <c r="Q3623" s="74">
        <f>VLOOKUP(B3623,Readme!A$40:C$51,2,)*P3623</f>
        <v>3751.7515789473755</v>
      </c>
    </row>
    <row r="3624" spans="1:17" ht="12" customHeight="1" x14ac:dyDescent="0.35">
      <c r="A3624" s="75">
        <v>3623</v>
      </c>
      <c r="B3624" s="64">
        <v>2021</v>
      </c>
      <c r="C3624" s="64">
        <v>8</v>
      </c>
      <c r="D3624" s="80">
        <f t="shared" si="115"/>
        <v>2021</v>
      </c>
      <c r="E3624" t="s">
        <v>38</v>
      </c>
      <c r="F3624" t="s">
        <v>143</v>
      </c>
      <c r="G3624" t="s">
        <v>10</v>
      </c>
      <c r="H3624" s="72">
        <v>804</v>
      </c>
      <c r="I3624" s="72" t="s">
        <v>54</v>
      </c>
      <c r="J3624" t="str">
        <f t="shared" si="116"/>
        <v>Puyallup River</v>
      </c>
      <c r="K3624" t="str">
        <f>IFERROR(VLOOKUP(J3624,LUTs!$A$1:$C$73,2,FALSE),"NA")</f>
        <v>Pierce</v>
      </c>
      <c r="L3624" t="str">
        <f>IFERROR(VLOOKUP(J3624,LUTs!$A$1:$C$73,3,FALSE),"NA")</f>
        <v>3South Puget Sound</v>
      </c>
      <c r="M3624" s="72" t="s">
        <v>20</v>
      </c>
      <c r="N3624" t="str">
        <f>VLOOKUP(M3624,LUTs!E$2:H$14,3,)</f>
        <v>07Pierce</v>
      </c>
      <c r="O3624" t="str">
        <f>VLOOKUP(M3624,LUTs!E$2:H$14,4,)</f>
        <v>02South Puget Sound</v>
      </c>
      <c r="P3624" s="73">
        <v>10602.536107711099</v>
      </c>
      <c r="Q3624" s="74">
        <f>VLOOKUP(B3624,Readme!A$40:C$51,2,)*P3624</f>
        <v>36472.724210526183</v>
      </c>
    </row>
    <row r="3625" spans="1:17" ht="12" customHeight="1" x14ac:dyDescent="0.35">
      <c r="A3625" s="75">
        <v>3624</v>
      </c>
      <c r="B3625" s="64">
        <v>2021</v>
      </c>
      <c r="C3625" s="64">
        <v>8</v>
      </c>
      <c r="D3625" s="80">
        <f t="shared" si="115"/>
        <v>2021</v>
      </c>
      <c r="E3625" t="s">
        <v>38</v>
      </c>
      <c r="F3625" t="s">
        <v>143</v>
      </c>
      <c r="G3625" t="s">
        <v>10</v>
      </c>
      <c r="H3625" s="72">
        <v>804</v>
      </c>
      <c r="I3625" s="72" t="s">
        <v>54</v>
      </c>
      <c r="J3625" t="str">
        <f t="shared" si="116"/>
        <v>Puyallup River</v>
      </c>
      <c r="K3625" t="str">
        <f>IFERROR(VLOOKUP(J3625,LUTs!$A$1:$C$73,2,FALSE),"NA")</f>
        <v>Pierce</v>
      </c>
      <c r="L3625" t="str">
        <f>IFERROR(VLOOKUP(J3625,LUTs!$A$1:$C$73,3,FALSE),"NA")</f>
        <v>3South Puget Sound</v>
      </c>
      <c r="M3625" s="72" t="s">
        <v>16</v>
      </c>
      <c r="N3625" t="str">
        <f>VLOOKUP(M3625,LUTs!E$2:H$14,3,)</f>
        <v>03Snohomish</v>
      </c>
      <c r="O3625" t="str">
        <f>VLOOKUP(M3625,LUTs!E$2:H$14,4,)</f>
        <v>01North Puget Sound</v>
      </c>
      <c r="P3625" s="73">
        <v>690.26927784577697</v>
      </c>
      <c r="Q3625" s="74">
        <f>VLOOKUP(B3625,Readme!A$40:C$51,2,)*P3625</f>
        <v>2374.5263157894728</v>
      </c>
    </row>
    <row r="3626" spans="1:17" ht="12" customHeight="1" x14ac:dyDescent="0.35">
      <c r="A3626" s="75">
        <v>3625</v>
      </c>
      <c r="B3626" s="64">
        <v>2021</v>
      </c>
      <c r="C3626" s="64">
        <v>8</v>
      </c>
      <c r="D3626" s="80">
        <f t="shared" si="115"/>
        <v>2021</v>
      </c>
      <c r="E3626" t="s">
        <v>38</v>
      </c>
      <c r="F3626" t="s">
        <v>143</v>
      </c>
      <c r="G3626" t="s">
        <v>10</v>
      </c>
      <c r="H3626" s="72">
        <v>804</v>
      </c>
      <c r="I3626" s="72" t="s">
        <v>54</v>
      </c>
      <c r="J3626" t="str">
        <f t="shared" si="116"/>
        <v>Puyallup River</v>
      </c>
      <c r="K3626" t="str">
        <f>IFERROR(VLOOKUP(J3626,LUTs!$A$1:$C$73,2,FALSE),"NA")</f>
        <v>Pierce</v>
      </c>
      <c r="L3626" t="str">
        <f>IFERROR(VLOOKUP(J3626,LUTs!$A$1:$C$73,3,FALSE),"NA")</f>
        <v>3South Puget Sound</v>
      </c>
      <c r="M3626" s="72" t="s">
        <v>21</v>
      </c>
      <c r="N3626" t="str">
        <f>VLOOKUP(M3626,LUTs!E$2:H$14,3,)</f>
        <v>08Thurston</v>
      </c>
      <c r="O3626" t="str">
        <f>VLOOKUP(M3626,LUTs!E$2:H$14,4,)</f>
        <v>02South Puget Sound</v>
      </c>
      <c r="P3626" s="73">
        <v>966.37698898408803</v>
      </c>
      <c r="Q3626" s="74">
        <f>VLOOKUP(B3626,Readme!A$40:C$51,2,)*P3626</f>
        <v>3324.3368421052628</v>
      </c>
    </row>
    <row r="3627" spans="1:17" ht="12" customHeight="1" x14ac:dyDescent="0.35">
      <c r="A3627" s="75">
        <v>3626</v>
      </c>
      <c r="B3627" s="64">
        <v>2021</v>
      </c>
      <c r="C3627" s="64">
        <v>9</v>
      </c>
      <c r="D3627" s="80">
        <f t="shared" si="115"/>
        <v>2021</v>
      </c>
      <c r="E3627" t="s">
        <v>38</v>
      </c>
      <c r="F3627" t="s">
        <v>143</v>
      </c>
      <c r="G3627" t="s">
        <v>10</v>
      </c>
      <c r="H3627" s="72">
        <v>804</v>
      </c>
      <c r="I3627" s="72" t="s">
        <v>54</v>
      </c>
      <c r="J3627" t="str">
        <f t="shared" si="116"/>
        <v>Puyallup River</v>
      </c>
      <c r="K3627" t="str">
        <f>IFERROR(VLOOKUP(J3627,LUTs!$A$1:$C$73,2,FALSE),"NA")</f>
        <v>Pierce</v>
      </c>
      <c r="L3627" t="str">
        <f>IFERROR(VLOOKUP(J3627,LUTs!$A$1:$C$73,3,FALSE),"NA")</f>
        <v>3South Puget Sound</v>
      </c>
      <c r="M3627" s="72" t="s">
        <v>18</v>
      </c>
      <c r="N3627" t="str">
        <f>VLOOKUP(M3627,LUTs!E$2:H$14,3,)</f>
        <v>06King</v>
      </c>
      <c r="O3627" t="str">
        <f>VLOOKUP(M3627,LUTs!E$2:H$14,4,)</f>
        <v>02South Puget Sound</v>
      </c>
      <c r="P3627" s="73">
        <v>7825.5213776722103</v>
      </c>
      <c r="Q3627" s="74">
        <f>VLOOKUP(B3627,Readme!A$40:C$51,2,)*P3627</f>
        <v>26919.793539192404</v>
      </c>
    </row>
    <row r="3628" spans="1:17" ht="12" customHeight="1" x14ac:dyDescent="0.35">
      <c r="A3628" s="75">
        <v>3627</v>
      </c>
      <c r="B3628" s="64">
        <v>2021</v>
      </c>
      <c r="C3628" s="64">
        <v>9</v>
      </c>
      <c r="D3628" s="80">
        <f t="shared" si="115"/>
        <v>2021</v>
      </c>
      <c r="E3628" t="s">
        <v>38</v>
      </c>
      <c r="F3628" t="s">
        <v>143</v>
      </c>
      <c r="G3628" t="s">
        <v>10</v>
      </c>
      <c r="H3628" s="72">
        <v>804</v>
      </c>
      <c r="I3628" s="72" t="s">
        <v>54</v>
      </c>
      <c r="J3628" t="str">
        <f t="shared" si="116"/>
        <v>Puyallup River</v>
      </c>
      <c r="K3628" t="str">
        <f>IFERROR(VLOOKUP(J3628,LUTs!$A$1:$C$73,2,FALSE),"NA")</f>
        <v>Pierce</v>
      </c>
      <c r="L3628" t="str">
        <f>IFERROR(VLOOKUP(J3628,LUTs!$A$1:$C$73,3,FALSE),"NA")</f>
        <v>3South Puget Sound</v>
      </c>
      <c r="M3628" s="72" t="s">
        <v>23</v>
      </c>
      <c r="N3628" t="str">
        <f>VLOOKUP(M3628,LUTs!E$2:H$14,3,)</f>
        <v>10Kitsap</v>
      </c>
      <c r="O3628" t="str">
        <f>VLOOKUP(M3628,LUTs!E$2:H$14,4,)</f>
        <v>02South Puget Sound</v>
      </c>
      <c r="P3628" s="73">
        <v>331.82422802850402</v>
      </c>
      <c r="Q3628" s="74">
        <f>VLOOKUP(B3628,Readme!A$40:C$51,2,)*P3628</f>
        <v>1141.4753444180537</v>
      </c>
    </row>
    <row r="3629" spans="1:17" ht="12" customHeight="1" x14ac:dyDescent="0.35">
      <c r="A3629" s="75">
        <v>3628</v>
      </c>
      <c r="B3629" s="64">
        <v>2021</v>
      </c>
      <c r="C3629" s="64">
        <v>9</v>
      </c>
      <c r="D3629" s="80">
        <f t="shared" si="115"/>
        <v>2021</v>
      </c>
      <c r="E3629" t="s">
        <v>38</v>
      </c>
      <c r="F3629" t="s">
        <v>143</v>
      </c>
      <c r="G3629" t="s">
        <v>10</v>
      </c>
      <c r="H3629" s="72">
        <v>804</v>
      </c>
      <c r="I3629" s="72" t="s">
        <v>54</v>
      </c>
      <c r="J3629" t="str">
        <f t="shared" si="116"/>
        <v>Puyallup River</v>
      </c>
      <c r="K3629" t="str">
        <f>IFERROR(VLOOKUP(J3629,LUTs!$A$1:$C$73,2,FALSE),"NA")</f>
        <v>Pierce</v>
      </c>
      <c r="L3629" t="str">
        <f>IFERROR(VLOOKUP(J3629,LUTs!$A$1:$C$73,3,FALSE),"NA")</f>
        <v>3South Puget Sound</v>
      </c>
      <c r="M3629" s="72" t="s">
        <v>22</v>
      </c>
      <c r="N3629" t="str">
        <f>VLOOKUP(M3629,LUTs!E$2:H$14,3,)</f>
        <v>09Mason</v>
      </c>
      <c r="O3629" t="str">
        <f>VLOOKUP(M3629,LUTs!E$2:H$14,4,)</f>
        <v>02South Puget Sound</v>
      </c>
      <c r="P3629" s="73">
        <v>55.304038004750602</v>
      </c>
      <c r="Q3629" s="74">
        <f>VLOOKUP(B3629,Readme!A$40:C$51,2,)*P3629</f>
        <v>190.24589073634206</v>
      </c>
    </row>
    <row r="3630" spans="1:17" ht="12" customHeight="1" x14ac:dyDescent="0.35">
      <c r="A3630" s="75">
        <v>3629</v>
      </c>
      <c r="B3630" s="64">
        <v>2021</v>
      </c>
      <c r="C3630" s="64">
        <v>9</v>
      </c>
      <c r="D3630" s="80">
        <f t="shared" si="115"/>
        <v>2021</v>
      </c>
      <c r="E3630" t="s">
        <v>38</v>
      </c>
      <c r="F3630" t="s">
        <v>143</v>
      </c>
      <c r="G3630" t="s">
        <v>10</v>
      </c>
      <c r="H3630" s="72">
        <v>804</v>
      </c>
      <c r="I3630" s="72" t="s">
        <v>54</v>
      </c>
      <c r="J3630" t="str">
        <f t="shared" si="116"/>
        <v>Puyallup River</v>
      </c>
      <c r="K3630" t="str">
        <f>IFERROR(VLOOKUP(J3630,LUTs!$A$1:$C$73,2,FALSE),"NA")</f>
        <v>Pierce</v>
      </c>
      <c r="L3630" t="str">
        <f>IFERROR(VLOOKUP(J3630,LUTs!$A$1:$C$73,3,FALSE),"NA")</f>
        <v>3South Puget Sound</v>
      </c>
      <c r="M3630" s="72" t="s">
        <v>26</v>
      </c>
      <c r="N3630" t="str">
        <f>VLOOKUP(M3630,LUTs!E$2:H$14,3,)</f>
        <v>20Other</v>
      </c>
      <c r="O3630" t="str">
        <f>VLOOKUP(M3630,LUTs!E$2:H$14,4,)</f>
        <v>07Non Puget Sound</v>
      </c>
      <c r="P3630" s="73">
        <v>1036.95071258907</v>
      </c>
      <c r="Q3630" s="74">
        <f>VLOOKUP(B3630,Readme!A$40:C$51,2,)*P3630</f>
        <v>3567.1104513064006</v>
      </c>
    </row>
    <row r="3631" spans="1:17" ht="12" customHeight="1" x14ac:dyDescent="0.35">
      <c r="A3631" s="75">
        <v>3630</v>
      </c>
      <c r="B3631" s="64">
        <v>2021</v>
      </c>
      <c r="C3631" s="64">
        <v>9</v>
      </c>
      <c r="D3631" s="80">
        <f t="shared" si="115"/>
        <v>2021</v>
      </c>
      <c r="E3631" t="s">
        <v>38</v>
      </c>
      <c r="F3631" t="s">
        <v>143</v>
      </c>
      <c r="G3631" t="s">
        <v>10</v>
      </c>
      <c r="H3631" s="72">
        <v>804</v>
      </c>
      <c r="I3631" s="72" t="s">
        <v>54</v>
      </c>
      <c r="J3631" t="str">
        <f t="shared" si="116"/>
        <v>Puyallup River</v>
      </c>
      <c r="K3631" t="str">
        <f>IFERROR(VLOOKUP(J3631,LUTs!$A$1:$C$73,2,FALSE),"NA")</f>
        <v>Pierce</v>
      </c>
      <c r="L3631" t="str">
        <f>IFERROR(VLOOKUP(J3631,LUTs!$A$1:$C$73,3,FALSE),"NA")</f>
        <v>3South Puget Sound</v>
      </c>
      <c r="M3631" s="72" t="s">
        <v>20</v>
      </c>
      <c r="N3631" t="str">
        <f>VLOOKUP(M3631,LUTs!E$2:H$14,3,)</f>
        <v>07Pierce</v>
      </c>
      <c r="O3631" t="str">
        <f>VLOOKUP(M3631,LUTs!E$2:H$14,4,)</f>
        <v>02South Puget Sound</v>
      </c>
      <c r="P3631" s="73">
        <v>12609.3206650831</v>
      </c>
      <c r="Q3631" s="74">
        <f>VLOOKUP(B3631,Readme!A$40:C$51,2,)*P3631</f>
        <v>43376.063087885865</v>
      </c>
    </row>
    <row r="3632" spans="1:17" ht="12" customHeight="1" x14ac:dyDescent="0.35">
      <c r="A3632" s="75">
        <v>3631</v>
      </c>
      <c r="B3632" s="64">
        <v>2021</v>
      </c>
      <c r="C3632" s="64">
        <v>9</v>
      </c>
      <c r="D3632" s="80">
        <f t="shared" si="115"/>
        <v>2021</v>
      </c>
      <c r="E3632" t="s">
        <v>38</v>
      </c>
      <c r="F3632" t="s">
        <v>143</v>
      </c>
      <c r="G3632" t="s">
        <v>10</v>
      </c>
      <c r="H3632" s="72">
        <v>804</v>
      </c>
      <c r="I3632" s="72" t="s">
        <v>54</v>
      </c>
      <c r="J3632" t="str">
        <f t="shared" si="116"/>
        <v>Puyallup River</v>
      </c>
      <c r="K3632" t="str">
        <f>IFERROR(VLOOKUP(J3632,LUTs!$A$1:$C$73,2,FALSE),"NA")</f>
        <v>Pierce</v>
      </c>
      <c r="L3632" t="str">
        <f>IFERROR(VLOOKUP(J3632,LUTs!$A$1:$C$73,3,FALSE),"NA")</f>
        <v>3South Puget Sound</v>
      </c>
      <c r="M3632" s="72" t="s">
        <v>16</v>
      </c>
      <c r="N3632" t="str">
        <f>VLOOKUP(M3632,LUTs!E$2:H$14,3,)</f>
        <v>03Snohomish</v>
      </c>
      <c r="O3632" t="str">
        <f>VLOOKUP(M3632,LUTs!E$2:H$14,4,)</f>
        <v>01North Puget Sound</v>
      </c>
      <c r="P3632" s="73">
        <v>262.69418052256498</v>
      </c>
      <c r="Q3632" s="74">
        <f>VLOOKUP(B3632,Readme!A$40:C$51,2,)*P3632</f>
        <v>903.66798099762354</v>
      </c>
    </row>
    <row r="3633" spans="1:17" ht="12" customHeight="1" x14ac:dyDescent="0.35">
      <c r="A3633" s="75">
        <v>3632</v>
      </c>
      <c r="B3633" s="64">
        <v>2021</v>
      </c>
      <c r="C3633" s="64">
        <v>9</v>
      </c>
      <c r="D3633" s="80">
        <f t="shared" si="115"/>
        <v>2021</v>
      </c>
      <c r="E3633" t="s">
        <v>38</v>
      </c>
      <c r="F3633" t="s">
        <v>143</v>
      </c>
      <c r="G3633" t="s">
        <v>10</v>
      </c>
      <c r="H3633" s="72">
        <v>804</v>
      </c>
      <c r="I3633" s="72" t="s">
        <v>54</v>
      </c>
      <c r="J3633" t="str">
        <f t="shared" si="116"/>
        <v>Puyallup River</v>
      </c>
      <c r="K3633" t="str">
        <f>IFERROR(VLOOKUP(J3633,LUTs!$A$1:$C$73,2,FALSE),"NA")</f>
        <v>Pierce</v>
      </c>
      <c r="L3633" t="str">
        <f>IFERROR(VLOOKUP(J3633,LUTs!$A$1:$C$73,3,FALSE),"NA")</f>
        <v>3South Puget Sound</v>
      </c>
      <c r="M3633" s="72" t="s">
        <v>21</v>
      </c>
      <c r="N3633" t="str">
        <f>VLOOKUP(M3633,LUTs!E$2:H$14,3,)</f>
        <v>08Thurston</v>
      </c>
      <c r="O3633" t="str">
        <f>VLOOKUP(M3633,LUTs!E$2:H$14,4,)</f>
        <v>02South Puget Sound</v>
      </c>
      <c r="P3633" s="73">
        <v>1161.38479809976</v>
      </c>
      <c r="Q3633" s="74">
        <f>VLOOKUP(B3633,Readme!A$40:C$51,2,)*P3633</f>
        <v>3995.1637054631742</v>
      </c>
    </row>
    <row r="3634" spans="1:17" ht="12" customHeight="1" x14ac:dyDescent="0.35">
      <c r="A3634" s="75">
        <v>3633</v>
      </c>
      <c r="B3634" s="64">
        <v>2021</v>
      </c>
      <c r="C3634" s="64">
        <v>10</v>
      </c>
      <c r="D3634" s="80">
        <f t="shared" si="115"/>
        <v>2021</v>
      </c>
      <c r="E3634" t="s">
        <v>38</v>
      </c>
      <c r="F3634" t="s">
        <v>143</v>
      </c>
      <c r="G3634" t="s">
        <v>10</v>
      </c>
      <c r="H3634" s="72">
        <v>804</v>
      </c>
      <c r="I3634" s="72" t="s">
        <v>54</v>
      </c>
      <c r="J3634" t="str">
        <f t="shared" si="116"/>
        <v>Puyallup River</v>
      </c>
      <c r="K3634" t="str">
        <f>IFERROR(VLOOKUP(J3634,LUTs!$A$1:$C$73,2,FALSE),"NA")</f>
        <v>Pierce</v>
      </c>
      <c r="L3634" t="str">
        <f>IFERROR(VLOOKUP(J3634,LUTs!$A$1:$C$73,3,FALSE),"NA")</f>
        <v>3South Puget Sound</v>
      </c>
      <c r="M3634" s="72" t="s">
        <v>18</v>
      </c>
      <c r="N3634" t="str">
        <f>VLOOKUP(M3634,LUTs!E$2:H$14,3,)</f>
        <v>06King</v>
      </c>
      <c r="O3634" t="str">
        <f>VLOOKUP(M3634,LUTs!E$2:H$14,4,)</f>
        <v>02South Puget Sound</v>
      </c>
      <c r="P3634" s="73">
        <v>111.304347826087</v>
      </c>
      <c r="Q3634" s="74">
        <f>VLOOKUP(B3634,Readme!A$40:C$51,2,)*P3634</f>
        <v>382.88695652173925</v>
      </c>
    </row>
    <row r="3635" spans="1:17" ht="12" customHeight="1" x14ac:dyDescent="0.35">
      <c r="A3635" s="75">
        <v>3634</v>
      </c>
      <c r="B3635" s="64">
        <v>2021</v>
      </c>
      <c r="C3635" s="64">
        <v>10</v>
      </c>
      <c r="D3635" s="80">
        <f t="shared" si="115"/>
        <v>2021</v>
      </c>
      <c r="E3635" t="s">
        <v>38</v>
      </c>
      <c r="F3635" t="s">
        <v>143</v>
      </c>
      <c r="G3635" t="s">
        <v>10</v>
      </c>
      <c r="H3635" s="72">
        <v>804</v>
      </c>
      <c r="I3635" s="72" t="s">
        <v>54</v>
      </c>
      <c r="J3635" t="str">
        <f t="shared" si="116"/>
        <v>Puyallup River</v>
      </c>
      <c r="K3635" t="str">
        <f>IFERROR(VLOOKUP(J3635,LUTs!$A$1:$C$73,2,FALSE),"NA")</f>
        <v>Pierce</v>
      </c>
      <c r="L3635" t="str">
        <f>IFERROR(VLOOKUP(J3635,LUTs!$A$1:$C$73,3,FALSE),"NA")</f>
        <v>3South Puget Sound</v>
      </c>
      <c r="M3635" s="72" t="s">
        <v>23</v>
      </c>
      <c r="N3635" t="str">
        <f>VLOOKUP(M3635,LUTs!E$2:H$14,3,)</f>
        <v>10Kitsap</v>
      </c>
      <c r="O3635" t="str">
        <f>VLOOKUP(M3635,LUTs!E$2:H$14,4,)</f>
        <v>02South Puget Sound</v>
      </c>
      <c r="P3635" s="73">
        <v>41.739130434782602</v>
      </c>
      <c r="Q3635" s="74">
        <f>VLOOKUP(B3635,Readme!A$40:C$51,2,)*P3635</f>
        <v>143.58260869565214</v>
      </c>
    </row>
    <row r="3636" spans="1:17" ht="12" customHeight="1" x14ac:dyDescent="0.35">
      <c r="A3636" s="75">
        <v>3635</v>
      </c>
      <c r="B3636" s="64">
        <v>2021</v>
      </c>
      <c r="C3636" s="64">
        <v>10</v>
      </c>
      <c r="D3636" s="80">
        <f t="shared" si="115"/>
        <v>2021</v>
      </c>
      <c r="E3636" t="s">
        <v>38</v>
      </c>
      <c r="F3636" t="s">
        <v>143</v>
      </c>
      <c r="G3636" t="s">
        <v>10</v>
      </c>
      <c r="H3636" s="72">
        <v>804</v>
      </c>
      <c r="I3636" s="72" t="s">
        <v>54</v>
      </c>
      <c r="J3636" t="str">
        <f t="shared" si="116"/>
        <v>Puyallup River</v>
      </c>
      <c r="K3636" t="str">
        <f>IFERROR(VLOOKUP(J3636,LUTs!$A$1:$C$73,2,FALSE),"NA")</f>
        <v>Pierce</v>
      </c>
      <c r="L3636" t="str">
        <f>IFERROR(VLOOKUP(J3636,LUTs!$A$1:$C$73,3,FALSE),"NA")</f>
        <v>3South Puget Sound</v>
      </c>
      <c r="M3636" s="72" t="s">
        <v>26</v>
      </c>
      <c r="N3636" t="str">
        <f>VLOOKUP(M3636,LUTs!E$2:H$14,3,)</f>
        <v>20Other</v>
      </c>
      <c r="O3636" t="str">
        <f>VLOOKUP(M3636,LUTs!E$2:H$14,4,)</f>
        <v>07Non Puget Sound</v>
      </c>
      <c r="P3636" s="73">
        <v>41.739130434782602</v>
      </c>
      <c r="Q3636" s="74">
        <f>VLOOKUP(B3636,Readme!A$40:C$51,2,)*P3636</f>
        <v>143.58260869565214</v>
      </c>
    </row>
    <row r="3637" spans="1:17" ht="12" customHeight="1" x14ac:dyDescent="0.35">
      <c r="A3637" s="75">
        <v>3636</v>
      </c>
      <c r="B3637" s="64">
        <v>2021</v>
      </c>
      <c r="C3637" s="64">
        <v>10</v>
      </c>
      <c r="D3637" s="80">
        <f t="shared" si="115"/>
        <v>2021</v>
      </c>
      <c r="E3637" t="s">
        <v>38</v>
      </c>
      <c r="F3637" t="s">
        <v>143</v>
      </c>
      <c r="G3637" t="s">
        <v>10</v>
      </c>
      <c r="H3637" s="72">
        <v>804</v>
      </c>
      <c r="I3637" s="72" t="s">
        <v>54</v>
      </c>
      <c r="J3637" t="str">
        <f t="shared" si="116"/>
        <v>Puyallup River</v>
      </c>
      <c r="K3637" t="str">
        <f>IFERROR(VLOOKUP(J3637,LUTs!$A$1:$C$73,2,FALSE),"NA")</f>
        <v>Pierce</v>
      </c>
      <c r="L3637" t="str">
        <f>IFERROR(VLOOKUP(J3637,LUTs!$A$1:$C$73,3,FALSE),"NA")</f>
        <v>3South Puget Sound</v>
      </c>
      <c r="M3637" s="72" t="s">
        <v>20</v>
      </c>
      <c r="N3637" t="str">
        <f>VLOOKUP(M3637,LUTs!E$2:H$14,3,)</f>
        <v>07Pierce</v>
      </c>
      <c r="O3637" t="str">
        <f>VLOOKUP(M3637,LUTs!E$2:H$14,4,)</f>
        <v>02South Puget Sound</v>
      </c>
      <c r="P3637" s="73">
        <v>445.21739130434798</v>
      </c>
      <c r="Q3637" s="74">
        <f>VLOOKUP(B3637,Readme!A$40:C$51,2,)*P3637</f>
        <v>1531.547826086957</v>
      </c>
    </row>
    <row r="3638" spans="1:17" ht="12" customHeight="1" x14ac:dyDescent="0.35">
      <c r="A3638" s="75">
        <v>3637</v>
      </c>
      <c r="B3638" s="64">
        <v>2021</v>
      </c>
      <c r="C3638" s="64">
        <v>11</v>
      </c>
      <c r="D3638" s="80">
        <f t="shared" si="115"/>
        <v>2021</v>
      </c>
      <c r="E3638" t="s">
        <v>38</v>
      </c>
      <c r="F3638" t="s">
        <v>143</v>
      </c>
      <c r="G3638" t="s">
        <v>10</v>
      </c>
      <c r="H3638" s="72">
        <v>804</v>
      </c>
      <c r="I3638" s="72" t="s">
        <v>54</v>
      </c>
      <c r="J3638" t="str">
        <f t="shared" si="116"/>
        <v>Puyallup River</v>
      </c>
      <c r="K3638" t="str">
        <f>IFERROR(VLOOKUP(J3638,LUTs!$A$1:$C$73,2,FALSE),"NA")</f>
        <v>Pierce</v>
      </c>
      <c r="L3638" t="str">
        <f>IFERROR(VLOOKUP(J3638,LUTs!$A$1:$C$73,3,FALSE),"NA")</f>
        <v>3South Puget Sound</v>
      </c>
      <c r="M3638" s="72" t="s">
        <v>20</v>
      </c>
      <c r="N3638" t="str">
        <f>VLOOKUP(M3638,LUTs!E$2:H$14,3,)</f>
        <v>07Pierce</v>
      </c>
      <c r="O3638" t="str">
        <f>VLOOKUP(M3638,LUTs!E$2:H$14,4,)</f>
        <v>02South Puget Sound</v>
      </c>
      <c r="P3638" s="73">
        <v>14</v>
      </c>
      <c r="Q3638" s="74">
        <f>VLOOKUP(B3638,Readme!A$40:C$51,2,)*P3638</f>
        <v>48.16</v>
      </c>
    </row>
    <row r="3639" spans="1:17" ht="12" customHeight="1" x14ac:dyDescent="0.35">
      <c r="A3639" s="75">
        <v>3638</v>
      </c>
      <c r="B3639" s="64">
        <v>2021</v>
      </c>
      <c r="C3639" s="64">
        <v>9</v>
      </c>
      <c r="D3639" s="80">
        <f t="shared" si="115"/>
        <v>2021</v>
      </c>
      <c r="E3639" t="s">
        <v>38</v>
      </c>
      <c r="F3639" t="s">
        <v>143</v>
      </c>
      <c r="G3639" t="s">
        <v>10</v>
      </c>
      <c r="H3639" s="72">
        <v>808</v>
      </c>
      <c r="I3639" s="72" t="s">
        <v>85</v>
      </c>
      <c r="J3639" t="str">
        <f t="shared" si="116"/>
        <v>White (Stuck) River</v>
      </c>
      <c r="K3639" t="str">
        <f>IFERROR(VLOOKUP(J3639,LUTs!$A$1:$C$73,2,FALSE),"NA")</f>
        <v>Pierce</v>
      </c>
      <c r="L3639" t="str">
        <f>IFERROR(VLOOKUP(J3639,LUTs!$A$1:$C$73,3,FALSE),"NA")</f>
        <v>3South Puget Sound</v>
      </c>
      <c r="M3639" s="72" t="s">
        <v>18</v>
      </c>
      <c r="N3639" t="str">
        <f>VLOOKUP(M3639,LUTs!E$2:H$14,3,)</f>
        <v>06King</v>
      </c>
      <c r="O3639" t="str">
        <f>VLOOKUP(M3639,LUTs!E$2:H$14,4,)</f>
        <v>02South Puget Sound</v>
      </c>
      <c r="P3639" s="73">
        <v>3</v>
      </c>
      <c r="Q3639" s="74">
        <f>VLOOKUP(B3639,Readme!A$40:C$51,2,)*P3639</f>
        <v>10.32</v>
      </c>
    </row>
    <row r="3640" spans="1:17" ht="12" customHeight="1" x14ac:dyDescent="0.35">
      <c r="A3640" s="75">
        <v>3639</v>
      </c>
      <c r="B3640" s="64">
        <v>2021</v>
      </c>
      <c r="C3640" s="64">
        <v>8</v>
      </c>
      <c r="D3640" s="80">
        <f t="shared" si="115"/>
        <v>2021</v>
      </c>
      <c r="E3640" t="s">
        <v>38</v>
      </c>
      <c r="F3640" t="s">
        <v>143</v>
      </c>
      <c r="G3640" t="s">
        <v>10</v>
      </c>
      <c r="H3640" s="72">
        <v>812</v>
      </c>
      <c r="I3640" s="72" t="s">
        <v>55</v>
      </c>
      <c r="J3640" t="str">
        <f t="shared" si="116"/>
        <v>Quilcene River</v>
      </c>
      <c r="K3640" t="str">
        <f>IFERROR(VLOOKUP(J3640,LUTs!$A$1:$C$73,2,FALSE),"NA")</f>
        <v>Jefferson</v>
      </c>
      <c r="L3640" t="str">
        <f>IFERROR(VLOOKUP(J3640,LUTs!$A$1:$C$73,3,FALSE),"NA")</f>
        <v>4 Hood Canal</v>
      </c>
      <c r="M3640" s="72" t="s">
        <v>24</v>
      </c>
      <c r="N3640" t="str">
        <f>VLOOKUP(M3640,LUTs!E$2:H$14,3,)</f>
        <v>11Clallam</v>
      </c>
      <c r="O3640" t="str">
        <f>VLOOKUP(M3640,LUTs!E$2:H$14,4,)</f>
        <v>03Strait of Juan de Fuca</v>
      </c>
      <c r="P3640" s="73">
        <v>190.24864864864901</v>
      </c>
      <c r="Q3640" s="74">
        <f>VLOOKUP(B3640,Readme!A$40:C$51,2,)*P3640</f>
        <v>654.45535135135253</v>
      </c>
    </row>
    <row r="3641" spans="1:17" ht="12" customHeight="1" x14ac:dyDescent="0.35">
      <c r="A3641" s="75">
        <v>3640</v>
      </c>
      <c r="B3641" s="64">
        <v>2021</v>
      </c>
      <c r="C3641" s="64">
        <v>8</v>
      </c>
      <c r="D3641" s="80">
        <f t="shared" si="115"/>
        <v>2021</v>
      </c>
      <c r="E3641" t="s">
        <v>38</v>
      </c>
      <c r="F3641" t="s">
        <v>143</v>
      </c>
      <c r="G3641" t="s">
        <v>10</v>
      </c>
      <c r="H3641" s="72">
        <v>812</v>
      </c>
      <c r="I3641" s="72" t="s">
        <v>55</v>
      </c>
      <c r="J3641" t="str">
        <f t="shared" si="116"/>
        <v>Quilcene River</v>
      </c>
      <c r="K3641" t="str">
        <f>IFERROR(VLOOKUP(J3641,LUTs!$A$1:$C$73,2,FALSE),"NA")</f>
        <v>Jefferson</v>
      </c>
      <c r="L3641" t="str">
        <f>IFERROR(VLOOKUP(J3641,LUTs!$A$1:$C$73,3,FALSE),"NA")</f>
        <v>4 Hood Canal</v>
      </c>
      <c r="M3641" s="72" t="s">
        <v>25</v>
      </c>
      <c r="N3641" t="str">
        <f>VLOOKUP(M3641,LUTs!E$2:H$14,3,)</f>
        <v>12Jefferson</v>
      </c>
      <c r="O3641" t="str">
        <f>VLOOKUP(M3641,LUTs!E$2:H$14,4,)</f>
        <v>03Strait of Juan de Fuca</v>
      </c>
      <c r="P3641" s="73">
        <v>489.21081081081098</v>
      </c>
      <c r="Q3641" s="74">
        <f>VLOOKUP(B3641,Readme!A$40:C$51,2,)*P3641</f>
        <v>1682.8851891891898</v>
      </c>
    </row>
    <row r="3642" spans="1:17" ht="12" customHeight="1" x14ac:dyDescent="0.35">
      <c r="A3642" s="75">
        <v>3641</v>
      </c>
      <c r="B3642" s="64">
        <v>2021</v>
      </c>
      <c r="C3642" s="64">
        <v>8</v>
      </c>
      <c r="D3642" s="80">
        <f t="shared" ref="D3642:D3705" si="117">IF(C3642&gt;3,B3642,B3642-1)</f>
        <v>2021</v>
      </c>
      <c r="E3642" t="s">
        <v>38</v>
      </c>
      <c r="F3642" t="s">
        <v>143</v>
      </c>
      <c r="G3642" t="s">
        <v>10</v>
      </c>
      <c r="H3642" s="72">
        <v>812</v>
      </c>
      <c r="I3642" s="72" t="s">
        <v>55</v>
      </c>
      <c r="J3642" t="str">
        <f t="shared" si="116"/>
        <v>Quilcene River</v>
      </c>
      <c r="K3642" t="str">
        <f>IFERROR(VLOOKUP(J3642,LUTs!$A$1:$C$73,2,FALSE),"NA")</f>
        <v>Jefferson</v>
      </c>
      <c r="L3642" t="str">
        <f>IFERROR(VLOOKUP(J3642,LUTs!$A$1:$C$73,3,FALSE),"NA")</f>
        <v>4 Hood Canal</v>
      </c>
      <c r="M3642" s="72" t="s">
        <v>18</v>
      </c>
      <c r="N3642" t="str">
        <f>VLOOKUP(M3642,LUTs!E$2:H$14,3,)</f>
        <v>06King</v>
      </c>
      <c r="O3642" t="str">
        <f>VLOOKUP(M3642,LUTs!E$2:H$14,4,)</f>
        <v>02South Puget Sound</v>
      </c>
      <c r="P3642" s="73">
        <v>108.713513513514</v>
      </c>
      <c r="Q3642" s="74">
        <f>VLOOKUP(B3642,Readme!A$40:C$51,2,)*P3642</f>
        <v>373.97448648648816</v>
      </c>
    </row>
    <row r="3643" spans="1:17" ht="12" customHeight="1" x14ac:dyDescent="0.35">
      <c r="A3643" s="75">
        <v>3642</v>
      </c>
      <c r="B3643" s="64">
        <v>2021</v>
      </c>
      <c r="C3643" s="64">
        <v>8</v>
      </c>
      <c r="D3643" s="80">
        <f t="shared" si="117"/>
        <v>2021</v>
      </c>
      <c r="E3643" t="s">
        <v>38</v>
      </c>
      <c r="F3643" t="s">
        <v>143</v>
      </c>
      <c r="G3643" t="s">
        <v>10</v>
      </c>
      <c r="H3643" s="72">
        <v>812</v>
      </c>
      <c r="I3643" s="72" t="s">
        <v>55</v>
      </c>
      <c r="J3643" t="str">
        <f t="shared" si="116"/>
        <v>Quilcene River</v>
      </c>
      <c r="K3643" t="str">
        <f>IFERROR(VLOOKUP(J3643,LUTs!$A$1:$C$73,2,FALSE),"NA")</f>
        <v>Jefferson</v>
      </c>
      <c r="L3643" t="str">
        <f>IFERROR(VLOOKUP(J3643,LUTs!$A$1:$C$73,3,FALSE),"NA")</f>
        <v>4 Hood Canal</v>
      </c>
      <c r="M3643" s="72" t="s">
        <v>23</v>
      </c>
      <c r="N3643" t="str">
        <f>VLOOKUP(M3643,LUTs!E$2:H$14,3,)</f>
        <v>10Kitsap</v>
      </c>
      <c r="O3643" t="str">
        <f>VLOOKUP(M3643,LUTs!E$2:H$14,4,)</f>
        <v>02South Puget Sound</v>
      </c>
      <c r="P3643" s="73">
        <v>285.372972972973</v>
      </c>
      <c r="Q3643" s="74">
        <f>VLOOKUP(B3643,Readme!A$40:C$51,2,)*P3643</f>
        <v>981.68302702702715</v>
      </c>
    </row>
    <row r="3644" spans="1:17" ht="12" customHeight="1" x14ac:dyDescent="0.35">
      <c r="A3644" s="75">
        <v>3643</v>
      </c>
      <c r="B3644" s="64">
        <v>2021</v>
      </c>
      <c r="C3644" s="64">
        <v>8</v>
      </c>
      <c r="D3644" s="80">
        <f t="shared" si="117"/>
        <v>2021</v>
      </c>
      <c r="E3644" t="s">
        <v>38</v>
      </c>
      <c r="F3644" t="s">
        <v>143</v>
      </c>
      <c r="G3644" t="s">
        <v>10</v>
      </c>
      <c r="H3644" s="72">
        <v>812</v>
      </c>
      <c r="I3644" s="72" t="s">
        <v>55</v>
      </c>
      <c r="J3644" t="str">
        <f t="shared" si="116"/>
        <v>Quilcene River</v>
      </c>
      <c r="K3644" t="str">
        <f>IFERROR(VLOOKUP(J3644,LUTs!$A$1:$C$73,2,FALSE),"NA")</f>
        <v>Jefferson</v>
      </c>
      <c r="L3644" t="str">
        <f>IFERROR(VLOOKUP(J3644,LUTs!$A$1:$C$73,3,FALSE),"NA")</f>
        <v>4 Hood Canal</v>
      </c>
      <c r="M3644" s="72" t="s">
        <v>22</v>
      </c>
      <c r="N3644" t="str">
        <f>VLOOKUP(M3644,LUTs!E$2:H$14,3,)</f>
        <v>09Mason</v>
      </c>
      <c r="O3644" t="str">
        <f>VLOOKUP(M3644,LUTs!E$2:H$14,4,)</f>
        <v>02South Puget Sound</v>
      </c>
      <c r="P3644" s="73">
        <v>163.07027027026999</v>
      </c>
      <c r="Q3644" s="74">
        <f>VLOOKUP(B3644,Readme!A$40:C$51,2,)*P3644</f>
        <v>560.96172972972875</v>
      </c>
    </row>
    <row r="3645" spans="1:17" ht="12" customHeight="1" x14ac:dyDescent="0.35">
      <c r="A3645" s="75">
        <v>3644</v>
      </c>
      <c r="B3645" s="64">
        <v>2021</v>
      </c>
      <c r="C3645" s="64">
        <v>8</v>
      </c>
      <c r="D3645" s="80">
        <f t="shared" si="117"/>
        <v>2021</v>
      </c>
      <c r="E3645" t="s">
        <v>38</v>
      </c>
      <c r="F3645" t="s">
        <v>143</v>
      </c>
      <c r="G3645" t="s">
        <v>10</v>
      </c>
      <c r="H3645" s="72">
        <v>812</v>
      </c>
      <c r="I3645" s="72" t="s">
        <v>55</v>
      </c>
      <c r="J3645" t="str">
        <f t="shared" si="116"/>
        <v>Quilcene River</v>
      </c>
      <c r="K3645" t="str">
        <f>IFERROR(VLOOKUP(J3645,LUTs!$A$1:$C$73,2,FALSE),"NA")</f>
        <v>Jefferson</v>
      </c>
      <c r="L3645" t="str">
        <f>IFERROR(VLOOKUP(J3645,LUTs!$A$1:$C$73,3,FALSE),"NA")</f>
        <v>4 Hood Canal</v>
      </c>
      <c r="M3645" s="72" t="s">
        <v>26</v>
      </c>
      <c r="N3645" t="str">
        <f>VLOOKUP(M3645,LUTs!E$2:H$14,3,)</f>
        <v>20Other</v>
      </c>
      <c r="O3645" t="str">
        <f>VLOOKUP(M3645,LUTs!E$2:H$14,4,)</f>
        <v>07Non Puget Sound</v>
      </c>
      <c r="P3645" s="73">
        <v>529.97837837837801</v>
      </c>
      <c r="Q3645" s="74">
        <f>VLOOKUP(B3645,Readme!A$40:C$51,2,)*P3645</f>
        <v>1823.1256216216204</v>
      </c>
    </row>
    <row r="3646" spans="1:17" ht="12" customHeight="1" x14ac:dyDescent="0.35">
      <c r="A3646" s="75">
        <v>3645</v>
      </c>
      <c r="B3646" s="64">
        <v>2021</v>
      </c>
      <c r="C3646" s="64">
        <v>8</v>
      </c>
      <c r="D3646" s="80">
        <f t="shared" si="117"/>
        <v>2021</v>
      </c>
      <c r="E3646" t="s">
        <v>38</v>
      </c>
      <c r="F3646" t="s">
        <v>143</v>
      </c>
      <c r="G3646" t="s">
        <v>10</v>
      </c>
      <c r="H3646" s="72">
        <v>812</v>
      </c>
      <c r="I3646" s="72" t="s">
        <v>55</v>
      </c>
      <c r="J3646" t="str">
        <f t="shared" si="116"/>
        <v>Quilcene River</v>
      </c>
      <c r="K3646" t="str">
        <f>IFERROR(VLOOKUP(J3646,LUTs!$A$1:$C$73,2,FALSE),"NA")</f>
        <v>Jefferson</v>
      </c>
      <c r="L3646" t="str">
        <f>IFERROR(VLOOKUP(J3646,LUTs!$A$1:$C$73,3,FALSE),"NA")</f>
        <v>4 Hood Canal</v>
      </c>
      <c r="M3646" s="72" t="s">
        <v>20</v>
      </c>
      <c r="N3646" t="str">
        <f>VLOOKUP(M3646,LUTs!E$2:H$14,3,)</f>
        <v>07Pierce</v>
      </c>
      <c r="O3646" t="str">
        <f>VLOOKUP(M3646,LUTs!E$2:H$14,4,)</f>
        <v>02South Puget Sound</v>
      </c>
      <c r="P3646" s="73">
        <v>693.04864864864896</v>
      </c>
      <c r="Q3646" s="74">
        <f>VLOOKUP(B3646,Readme!A$40:C$51,2,)*P3646</f>
        <v>2384.0873513513525</v>
      </c>
    </row>
    <row r="3647" spans="1:17" ht="12" customHeight="1" x14ac:dyDescent="0.35">
      <c r="A3647" s="75">
        <v>3646</v>
      </c>
      <c r="B3647" s="64">
        <v>2021</v>
      </c>
      <c r="C3647" s="64">
        <v>8</v>
      </c>
      <c r="D3647" s="80">
        <f t="shared" si="117"/>
        <v>2021</v>
      </c>
      <c r="E3647" t="s">
        <v>38</v>
      </c>
      <c r="F3647" t="s">
        <v>143</v>
      </c>
      <c r="G3647" t="s">
        <v>10</v>
      </c>
      <c r="H3647" s="72">
        <v>812</v>
      </c>
      <c r="I3647" s="72" t="s">
        <v>55</v>
      </c>
      <c r="J3647" t="str">
        <f t="shared" si="116"/>
        <v>Quilcene River</v>
      </c>
      <c r="K3647" t="str">
        <f>IFERROR(VLOOKUP(J3647,LUTs!$A$1:$C$73,2,FALSE),"NA")</f>
        <v>Jefferson</v>
      </c>
      <c r="L3647" t="str">
        <f>IFERROR(VLOOKUP(J3647,LUTs!$A$1:$C$73,3,FALSE),"NA")</f>
        <v>4 Hood Canal</v>
      </c>
      <c r="M3647" s="72" t="s">
        <v>21</v>
      </c>
      <c r="N3647" t="str">
        <f>VLOOKUP(M3647,LUTs!E$2:H$14,3,)</f>
        <v>08Thurston</v>
      </c>
      <c r="O3647" t="str">
        <f>VLOOKUP(M3647,LUTs!E$2:H$14,4,)</f>
        <v>02South Puget Sound</v>
      </c>
      <c r="P3647" s="73">
        <v>54.356756756756802</v>
      </c>
      <c r="Q3647" s="74">
        <f>VLOOKUP(B3647,Readme!A$40:C$51,2,)*P3647</f>
        <v>186.9872432432434</v>
      </c>
    </row>
    <row r="3648" spans="1:17" ht="12" customHeight="1" x14ac:dyDescent="0.35">
      <c r="A3648" s="75">
        <v>3647</v>
      </c>
      <c r="B3648" s="64">
        <v>2021</v>
      </c>
      <c r="C3648" s="64">
        <v>9</v>
      </c>
      <c r="D3648" s="80">
        <f t="shared" si="117"/>
        <v>2021</v>
      </c>
      <c r="E3648" t="s">
        <v>38</v>
      </c>
      <c r="F3648" t="s">
        <v>143</v>
      </c>
      <c r="G3648" t="s">
        <v>10</v>
      </c>
      <c r="H3648" s="72">
        <v>812</v>
      </c>
      <c r="I3648" s="72" t="s">
        <v>55</v>
      </c>
      <c r="J3648" t="str">
        <f t="shared" si="116"/>
        <v>Quilcene River</v>
      </c>
      <c r="K3648" t="str">
        <f>IFERROR(VLOOKUP(J3648,LUTs!$A$1:$C$73,2,FALSE),"NA")</f>
        <v>Jefferson</v>
      </c>
      <c r="L3648" t="str">
        <f>IFERROR(VLOOKUP(J3648,LUTs!$A$1:$C$73,3,FALSE),"NA")</f>
        <v>4 Hood Canal</v>
      </c>
      <c r="M3648" s="72" t="s">
        <v>24</v>
      </c>
      <c r="N3648" t="str">
        <f>VLOOKUP(M3648,LUTs!E$2:H$14,3,)</f>
        <v>11Clallam</v>
      </c>
      <c r="O3648" t="str">
        <f>VLOOKUP(M3648,LUTs!E$2:H$14,4,)</f>
        <v>03Strait of Juan de Fuca</v>
      </c>
      <c r="P3648" s="73">
        <v>571.23134328358196</v>
      </c>
      <c r="Q3648" s="74">
        <f>VLOOKUP(B3648,Readme!A$40:C$51,2,)*P3648</f>
        <v>1965.035820895522</v>
      </c>
    </row>
    <row r="3649" spans="1:17" ht="12" customHeight="1" x14ac:dyDescent="0.35">
      <c r="A3649" s="75">
        <v>3648</v>
      </c>
      <c r="B3649" s="64">
        <v>2021</v>
      </c>
      <c r="C3649" s="64">
        <v>9</v>
      </c>
      <c r="D3649" s="80">
        <f t="shared" si="117"/>
        <v>2021</v>
      </c>
      <c r="E3649" t="s">
        <v>38</v>
      </c>
      <c r="F3649" t="s">
        <v>143</v>
      </c>
      <c r="G3649" t="s">
        <v>10</v>
      </c>
      <c r="H3649" s="72">
        <v>812</v>
      </c>
      <c r="I3649" s="72" t="s">
        <v>55</v>
      </c>
      <c r="J3649" t="str">
        <f t="shared" si="116"/>
        <v>Quilcene River</v>
      </c>
      <c r="K3649" t="str">
        <f>IFERROR(VLOOKUP(J3649,LUTs!$A$1:$C$73,2,FALSE),"NA")</f>
        <v>Jefferson</v>
      </c>
      <c r="L3649" t="str">
        <f>IFERROR(VLOOKUP(J3649,LUTs!$A$1:$C$73,3,FALSE),"NA")</f>
        <v>4 Hood Canal</v>
      </c>
      <c r="M3649" s="72" t="s">
        <v>25</v>
      </c>
      <c r="N3649" t="str">
        <f>VLOOKUP(M3649,LUTs!E$2:H$14,3,)</f>
        <v>12Jefferson</v>
      </c>
      <c r="O3649" t="str">
        <f>VLOOKUP(M3649,LUTs!E$2:H$14,4,)</f>
        <v>03Strait of Juan de Fuca</v>
      </c>
      <c r="P3649" s="73">
        <v>816.04477611940297</v>
      </c>
      <c r="Q3649" s="74">
        <f>VLOOKUP(B3649,Readme!A$40:C$51,2,)*P3649</f>
        <v>2807.1940298507461</v>
      </c>
    </row>
    <row r="3650" spans="1:17" ht="12" customHeight="1" x14ac:dyDescent="0.35">
      <c r="A3650" s="75">
        <v>3649</v>
      </c>
      <c r="B3650" s="64">
        <v>2021</v>
      </c>
      <c r="C3650" s="64">
        <v>9</v>
      </c>
      <c r="D3650" s="80">
        <f t="shared" si="117"/>
        <v>2021</v>
      </c>
      <c r="E3650" t="s">
        <v>38</v>
      </c>
      <c r="F3650" t="s">
        <v>143</v>
      </c>
      <c r="G3650" t="s">
        <v>10</v>
      </c>
      <c r="H3650" s="72">
        <v>812</v>
      </c>
      <c r="I3650" s="72" t="s">
        <v>55</v>
      </c>
      <c r="J3650" t="str">
        <f t="shared" si="116"/>
        <v>Quilcene River</v>
      </c>
      <c r="K3650" t="str">
        <f>IFERROR(VLOOKUP(J3650,LUTs!$A$1:$C$73,2,FALSE),"NA")</f>
        <v>Jefferson</v>
      </c>
      <c r="L3650" t="str">
        <f>IFERROR(VLOOKUP(J3650,LUTs!$A$1:$C$73,3,FALSE),"NA")</f>
        <v>4 Hood Canal</v>
      </c>
      <c r="M3650" s="72" t="s">
        <v>18</v>
      </c>
      <c r="N3650" t="str">
        <f>VLOOKUP(M3650,LUTs!E$2:H$14,3,)</f>
        <v>06King</v>
      </c>
      <c r="O3650" t="str">
        <f>VLOOKUP(M3650,LUTs!E$2:H$14,4,)</f>
        <v>02South Puget Sound</v>
      </c>
      <c r="P3650" s="73">
        <v>272.01492537313402</v>
      </c>
      <c r="Q3650" s="74">
        <f>VLOOKUP(B3650,Readme!A$40:C$51,2,)*P3650</f>
        <v>935.73134328358105</v>
      </c>
    </row>
    <row r="3651" spans="1:17" ht="12" customHeight="1" x14ac:dyDescent="0.35">
      <c r="A3651" s="75">
        <v>3650</v>
      </c>
      <c r="B3651" s="64">
        <v>2021</v>
      </c>
      <c r="C3651" s="64">
        <v>9</v>
      </c>
      <c r="D3651" s="80">
        <f t="shared" si="117"/>
        <v>2021</v>
      </c>
      <c r="E3651" t="s">
        <v>38</v>
      </c>
      <c r="F3651" t="s">
        <v>143</v>
      </c>
      <c r="G3651" t="s">
        <v>10</v>
      </c>
      <c r="H3651" s="72">
        <v>812</v>
      </c>
      <c r="I3651" s="72" t="s">
        <v>55</v>
      </c>
      <c r="J3651" t="str">
        <f t="shared" ref="J3651:J3714" si="118">I3651</f>
        <v>Quilcene River</v>
      </c>
      <c r="K3651" t="str">
        <f>IFERROR(VLOOKUP(J3651,LUTs!$A$1:$C$73,2,FALSE),"NA")</f>
        <v>Jefferson</v>
      </c>
      <c r="L3651" t="str">
        <f>IFERROR(VLOOKUP(J3651,LUTs!$A$1:$C$73,3,FALSE),"NA")</f>
        <v>4 Hood Canal</v>
      </c>
      <c r="M3651" s="72" t="s">
        <v>23</v>
      </c>
      <c r="N3651" t="str">
        <f>VLOOKUP(M3651,LUTs!E$2:H$14,3,)</f>
        <v>10Kitsap</v>
      </c>
      <c r="O3651" t="str">
        <f>VLOOKUP(M3651,LUTs!E$2:H$14,4,)</f>
        <v>02South Puget Sound</v>
      </c>
      <c r="P3651" s="73">
        <v>938.45149253731404</v>
      </c>
      <c r="Q3651" s="74">
        <f>VLOOKUP(B3651,Readme!A$40:C$51,2,)*P3651</f>
        <v>3228.2731343283604</v>
      </c>
    </row>
    <row r="3652" spans="1:17" ht="12" customHeight="1" x14ac:dyDescent="0.35">
      <c r="A3652" s="75">
        <v>3651</v>
      </c>
      <c r="B3652" s="64">
        <v>2021</v>
      </c>
      <c r="C3652" s="64">
        <v>9</v>
      </c>
      <c r="D3652" s="80">
        <f t="shared" si="117"/>
        <v>2021</v>
      </c>
      <c r="E3652" t="s">
        <v>38</v>
      </c>
      <c r="F3652" t="s">
        <v>143</v>
      </c>
      <c r="G3652" t="s">
        <v>10</v>
      </c>
      <c r="H3652" s="72">
        <v>812</v>
      </c>
      <c r="I3652" s="72" t="s">
        <v>55</v>
      </c>
      <c r="J3652" t="str">
        <f t="shared" si="118"/>
        <v>Quilcene River</v>
      </c>
      <c r="K3652" t="str">
        <f>IFERROR(VLOOKUP(J3652,LUTs!$A$1:$C$73,2,FALSE),"NA")</f>
        <v>Jefferson</v>
      </c>
      <c r="L3652" t="str">
        <f>IFERROR(VLOOKUP(J3652,LUTs!$A$1:$C$73,3,FALSE),"NA")</f>
        <v>4 Hood Canal</v>
      </c>
      <c r="M3652" s="72" t="s">
        <v>22</v>
      </c>
      <c r="N3652" t="str">
        <f>VLOOKUP(M3652,LUTs!E$2:H$14,3,)</f>
        <v>09Mason</v>
      </c>
      <c r="O3652" t="str">
        <f>VLOOKUP(M3652,LUTs!E$2:H$14,4,)</f>
        <v>02South Puget Sound</v>
      </c>
      <c r="P3652" s="73">
        <v>285.61567164179098</v>
      </c>
      <c r="Q3652" s="74">
        <f>VLOOKUP(B3652,Readme!A$40:C$51,2,)*P3652</f>
        <v>982.51791044776098</v>
      </c>
    </row>
    <row r="3653" spans="1:17" ht="12" customHeight="1" x14ac:dyDescent="0.35">
      <c r="A3653" s="75">
        <v>3652</v>
      </c>
      <c r="B3653" s="64">
        <v>2021</v>
      </c>
      <c r="C3653" s="64">
        <v>9</v>
      </c>
      <c r="D3653" s="80">
        <f t="shared" si="117"/>
        <v>2021</v>
      </c>
      <c r="E3653" t="s">
        <v>38</v>
      </c>
      <c r="F3653" t="s">
        <v>143</v>
      </c>
      <c r="G3653" t="s">
        <v>10</v>
      </c>
      <c r="H3653" s="72">
        <v>812</v>
      </c>
      <c r="I3653" s="72" t="s">
        <v>55</v>
      </c>
      <c r="J3653" t="str">
        <f t="shared" si="118"/>
        <v>Quilcene River</v>
      </c>
      <c r="K3653" t="str">
        <f>IFERROR(VLOOKUP(J3653,LUTs!$A$1:$C$73,2,FALSE),"NA")</f>
        <v>Jefferson</v>
      </c>
      <c r="L3653" t="str">
        <f>IFERROR(VLOOKUP(J3653,LUTs!$A$1:$C$73,3,FALSE),"NA")</f>
        <v>4 Hood Canal</v>
      </c>
      <c r="M3653" s="72" t="s">
        <v>26</v>
      </c>
      <c r="N3653" t="str">
        <f>VLOOKUP(M3653,LUTs!E$2:H$14,3,)</f>
        <v>20Other</v>
      </c>
      <c r="O3653" t="str">
        <f>VLOOKUP(M3653,LUTs!E$2:H$14,4,)</f>
        <v>07Non Puget Sound</v>
      </c>
      <c r="P3653" s="73">
        <v>40.802238805970198</v>
      </c>
      <c r="Q3653" s="74">
        <f>VLOOKUP(B3653,Readme!A$40:C$51,2,)*P3653</f>
        <v>140.35970149253748</v>
      </c>
    </row>
    <row r="3654" spans="1:17" ht="12" customHeight="1" x14ac:dyDescent="0.35">
      <c r="A3654" s="75">
        <v>3653</v>
      </c>
      <c r="B3654" s="64">
        <v>2021</v>
      </c>
      <c r="C3654" s="64">
        <v>9</v>
      </c>
      <c r="D3654" s="80">
        <f t="shared" si="117"/>
        <v>2021</v>
      </c>
      <c r="E3654" t="s">
        <v>38</v>
      </c>
      <c r="F3654" t="s">
        <v>143</v>
      </c>
      <c r="G3654" t="s">
        <v>10</v>
      </c>
      <c r="H3654" s="72">
        <v>812</v>
      </c>
      <c r="I3654" s="72" t="s">
        <v>55</v>
      </c>
      <c r="J3654" t="str">
        <f t="shared" si="118"/>
        <v>Quilcene River</v>
      </c>
      <c r="K3654" t="str">
        <f>IFERROR(VLOOKUP(J3654,LUTs!$A$1:$C$73,2,FALSE),"NA")</f>
        <v>Jefferson</v>
      </c>
      <c r="L3654" t="str">
        <f>IFERROR(VLOOKUP(J3654,LUTs!$A$1:$C$73,3,FALSE),"NA")</f>
        <v>4 Hood Canal</v>
      </c>
      <c r="M3654" s="72" t="s">
        <v>20</v>
      </c>
      <c r="N3654" t="str">
        <f>VLOOKUP(M3654,LUTs!E$2:H$14,3,)</f>
        <v>07Pierce</v>
      </c>
      <c r="O3654" t="str">
        <f>VLOOKUP(M3654,LUTs!E$2:H$14,4,)</f>
        <v>02South Puget Sound</v>
      </c>
      <c r="P3654" s="73">
        <v>598.432835820896</v>
      </c>
      <c r="Q3654" s="74">
        <f>VLOOKUP(B3654,Readme!A$40:C$51,2,)*P3654</f>
        <v>2058.6089552238823</v>
      </c>
    </row>
    <row r="3655" spans="1:17" ht="12" customHeight="1" x14ac:dyDescent="0.35">
      <c r="A3655" s="75">
        <v>3654</v>
      </c>
      <c r="B3655" s="64">
        <v>2021</v>
      </c>
      <c r="C3655" s="64">
        <v>9</v>
      </c>
      <c r="D3655" s="80">
        <f t="shared" si="117"/>
        <v>2021</v>
      </c>
      <c r="E3655" t="s">
        <v>38</v>
      </c>
      <c r="F3655" t="s">
        <v>143</v>
      </c>
      <c r="G3655" t="s">
        <v>10</v>
      </c>
      <c r="H3655" s="72">
        <v>812</v>
      </c>
      <c r="I3655" s="72" t="s">
        <v>55</v>
      </c>
      <c r="J3655" t="str">
        <f t="shared" si="118"/>
        <v>Quilcene River</v>
      </c>
      <c r="K3655" t="str">
        <f>IFERROR(VLOOKUP(J3655,LUTs!$A$1:$C$73,2,FALSE),"NA")</f>
        <v>Jefferson</v>
      </c>
      <c r="L3655" t="str">
        <f>IFERROR(VLOOKUP(J3655,LUTs!$A$1:$C$73,3,FALSE),"NA")</f>
        <v>4 Hood Canal</v>
      </c>
      <c r="M3655" s="72" t="s">
        <v>21</v>
      </c>
      <c r="N3655" t="str">
        <f>VLOOKUP(M3655,LUTs!E$2:H$14,3,)</f>
        <v>08Thurston</v>
      </c>
      <c r="O3655" t="str">
        <f>VLOOKUP(M3655,LUTs!E$2:H$14,4,)</f>
        <v>02South Puget Sound</v>
      </c>
      <c r="P3655" s="73">
        <v>122.40671641791</v>
      </c>
      <c r="Q3655" s="74">
        <f>VLOOKUP(B3655,Readme!A$40:C$51,2,)*P3655</f>
        <v>421.07910447761043</v>
      </c>
    </row>
    <row r="3656" spans="1:17" ht="12" customHeight="1" x14ac:dyDescent="0.35">
      <c r="A3656" s="75">
        <v>3655</v>
      </c>
      <c r="B3656" s="64">
        <v>2021</v>
      </c>
      <c r="C3656" s="64">
        <v>10</v>
      </c>
      <c r="D3656" s="80">
        <f t="shared" si="117"/>
        <v>2021</v>
      </c>
      <c r="E3656" t="s">
        <v>38</v>
      </c>
      <c r="F3656" t="s">
        <v>143</v>
      </c>
      <c r="G3656" t="s">
        <v>10</v>
      </c>
      <c r="H3656" s="72">
        <v>812</v>
      </c>
      <c r="I3656" s="72" t="s">
        <v>55</v>
      </c>
      <c r="J3656" t="str">
        <f t="shared" si="118"/>
        <v>Quilcene River</v>
      </c>
      <c r="K3656" t="str">
        <f>IFERROR(VLOOKUP(J3656,LUTs!$A$1:$C$73,2,FALSE),"NA")</f>
        <v>Jefferson</v>
      </c>
      <c r="L3656" t="str">
        <f>IFERROR(VLOOKUP(J3656,LUTs!$A$1:$C$73,3,FALSE),"NA")</f>
        <v>4 Hood Canal</v>
      </c>
      <c r="M3656" s="72" t="s">
        <v>24</v>
      </c>
      <c r="N3656" t="str">
        <f>VLOOKUP(M3656,LUTs!E$2:H$14,3,)</f>
        <v>11Clallam</v>
      </c>
      <c r="O3656" t="str">
        <f>VLOOKUP(M3656,LUTs!E$2:H$14,4,)</f>
        <v>03Strait of Juan de Fuca</v>
      </c>
      <c r="P3656" s="73">
        <v>13.5945945945946</v>
      </c>
      <c r="Q3656" s="74">
        <f>VLOOKUP(B3656,Readme!A$40:C$51,2,)*P3656</f>
        <v>46.765405405405424</v>
      </c>
    </row>
    <row r="3657" spans="1:17" ht="12" customHeight="1" x14ac:dyDescent="0.35">
      <c r="A3657" s="75">
        <v>3656</v>
      </c>
      <c r="B3657" s="64">
        <v>2021</v>
      </c>
      <c r="C3657" s="64">
        <v>10</v>
      </c>
      <c r="D3657" s="80">
        <f t="shared" si="117"/>
        <v>2021</v>
      </c>
      <c r="E3657" t="s">
        <v>38</v>
      </c>
      <c r="F3657" t="s">
        <v>143</v>
      </c>
      <c r="G3657" t="s">
        <v>10</v>
      </c>
      <c r="H3657" s="72">
        <v>812</v>
      </c>
      <c r="I3657" s="72" t="s">
        <v>55</v>
      </c>
      <c r="J3657" t="str">
        <f t="shared" si="118"/>
        <v>Quilcene River</v>
      </c>
      <c r="K3657" t="str">
        <f>IFERROR(VLOOKUP(J3657,LUTs!$A$1:$C$73,2,FALSE),"NA")</f>
        <v>Jefferson</v>
      </c>
      <c r="L3657" t="str">
        <f>IFERROR(VLOOKUP(J3657,LUTs!$A$1:$C$73,3,FALSE),"NA")</f>
        <v>4 Hood Canal</v>
      </c>
      <c r="M3657" s="72" t="s">
        <v>25</v>
      </c>
      <c r="N3657" t="str">
        <f>VLOOKUP(M3657,LUTs!E$2:H$14,3,)</f>
        <v>12Jefferson</v>
      </c>
      <c r="O3657" t="str">
        <f>VLOOKUP(M3657,LUTs!E$2:H$14,4,)</f>
        <v>03Strait of Juan de Fuca</v>
      </c>
      <c r="P3657" s="73">
        <v>258.29729729729701</v>
      </c>
      <c r="Q3657" s="74">
        <f>VLOOKUP(B3657,Readme!A$40:C$51,2,)*P3657</f>
        <v>888.54270270270172</v>
      </c>
    </row>
    <row r="3658" spans="1:17" ht="12" customHeight="1" x14ac:dyDescent="0.35">
      <c r="A3658" s="75">
        <v>3657</v>
      </c>
      <c r="B3658" s="64">
        <v>2021</v>
      </c>
      <c r="C3658" s="64">
        <v>10</v>
      </c>
      <c r="D3658" s="80">
        <f t="shared" si="117"/>
        <v>2021</v>
      </c>
      <c r="E3658" t="s">
        <v>38</v>
      </c>
      <c r="F3658" t="s">
        <v>143</v>
      </c>
      <c r="G3658" t="s">
        <v>10</v>
      </c>
      <c r="H3658" s="72">
        <v>812</v>
      </c>
      <c r="I3658" s="72" t="s">
        <v>55</v>
      </c>
      <c r="J3658" t="str">
        <f t="shared" si="118"/>
        <v>Quilcene River</v>
      </c>
      <c r="K3658" t="str">
        <f>IFERROR(VLOOKUP(J3658,LUTs!$A$1:$C$73,2,FALSE),"NA")</f>
        <v>Jefferson</v>
      </c>
      <c r="L3658" t="str">
        <f>IFERROR(VLOOKUP(J3658,LUTs!$A$1:$C$73,3,FALSE),"NA")</f>
        <v>4 Hood Canal</v>
      </c>
      <c r="M3658" s="72" t="s">
        <v>18</v>
      </c>
      <c r="N3658" t="str">
        <f>VLOOKUP(M3658,LUTs!E$2:H$14,3,)</f>
        <v>06King</v>
      </c>
      <c r="O3658" t="str">
        <f>VLOOKUP(M3658,LUTs!E$2:H$14,4,)</f>
        <v>02South Puget Sound</v>
      </c>
      <c r="P3658" s="73">
        <v>67.972972972972997</v>
      </c>
      <c r="Q3658" s="74">
        <f>VLOOKUP(B3658,Readme!A$40:C$51,2,)*P3658</f>
        <v>233.8270270270271</v>
      </c>
    </row>
    <row r="3659" spans="1:17" ht="12" customHeight="1" x14ac:dyDescent="0.35">
      <c r="A3659" s="75">
        <v>3658</v>
      </c>
      <c r="B3659" s="64">
        <v>2021</v>
      </c>
      <c r="C3659" s="64">
        <v>10</v>
      </c>
      <c r="D3659" s="80">
        <f t="shared" si="117"/>
        <v>2021</v>
      </c>
      <c r="E3659" t="s">
        <v>38</v>
      </c>
      <c r="F3659" t="s">
        <v>143</v>
      </c>
      <c r="G3659" t="s">
        <v>10</v>
      </c>
      <c r="H3659" s="72">
        <v>812</v>
      </c>
      <c r="I3659" s="72" t="s">
        <v>55</v>
      </c>
      <c r="J3659" t="str">
        <f t="shared" si="118"/>
        <v>Quilcene River</v>
      </c>
      <c r="K3659" t="str">
        <f>IFERROR(VLOOKUP(J3659,LUTs!$A$1:$C$73,2,FALSE),"NA")</f>
        <v>Jefferson</v>
      </c>
      <c r="L3659" t="str">
        <f>IFERROR(VLOOKUP(J3659,LUTs!$A$1:$C$73,3,FALSE),"NA")</f>
        <v>4 Hood Canal</v>
      </c>
      <c r="M3659" s="72" t="s">
        <v>23</v>
      </c>
      <c r="N3659" t="str">
        <f>VLOOKUP(M3659,LUTs!E$2:H$14,3,)</f>
        <v>10Kitsap</v>
      </c>
      <c r="O3659" t="str">
        <f>VLOOKUP(M3659,LUTs!E$2:H$14,4,)</f>
        <v>02South Puget Sound</v>
      </c>
      <c r="P3659" s="73">
        <v>13.5945945945946</v>
      </c>
      <c r="Q3659" s="74">
        <f>VLOOKUP(B3659,Readme!A$40:C$51,2,)*P3659</f>
        <v>46.765405405405424</v>
      </c>
    </row>
    <row r="3660" spans="1:17" ht="12" customHeight="1" x14ac:dyDescent="0.35">
      <c r="A3660" s="75">
        <v>3659</v>
      </c>
      <c r="B3660" s="64">
        <v>2021</v>
      </c>
      <c r="C3660" s="64">
        <v>10</v>
      </c>
      <c r="D3660" s="80">
        <f t="shared" si="117"/>
        <v>2021</v>
      </c>
      <c r="E3660" t="s">
        <v>38</v>
      </c>
      <c r="F3660" t="s">
        <v>143</v>
      </c>
      <c r="G3660" t="s">
        <v>10</v>
      </c>
      <c r="H3660" s="72">
        <v>812</v>
      </c>
      <c r="I3660" s="72" t="s">
        <v>55</v>
      </c>
      <c r="J3660" t="str">
        <f t="shared" si="118"/>
        <v>Quilcene River</v>
      </c>
      <c r="K3660" t="str">
        <f>IFERROR(VLOOKUP(J3660,LUTs!$A$1:$C$73,2,FALSE),"NA")</f>
        <v>Jefferson</v>
      </c>
      <c r="L3660" t="str">
        <f>IFERROR(VLOOKUP(J3660,LUTs!$A$1:$C$73,3,FALSE),"NA")</f>
        <v>4 Hood Canal</v>
      </c>
      <c r="M3660" s="72" t="s">
        <v>22</v>
      </c>
      <c r="N3660" t="str">
        <f>VLOOKUP(M3660,LUTs!E$2:H$14,3,)</f>
        <v>09Mason</v>
      </c>
      <c r="O3660" t="str">
        <f>VLOOKUP(M3660,LUTs!E$2:H$14,4,)</f>
        <v>02South Puget Sound</v>
      </c>
      <c r="P3660" s="73">
        <v>13.5945945945946</v>
      </c>
      <c r="Q3660" s="74">
        <f>VLOOKUP(B3660,Readme!A$40:C$51,2,)*P3660</f>
        <v>46.765405405405424</v>
      </c>
    </row>
    <row r="3661" spans="1:17" ht="12" customHeight="1" x14ac:dyDescent="0.35">
      <c r="A3661" s="75">
        <v>3660</v>
      </c>
      <c r="B3661" s="64">
        <v>2021</v>
      </c>
      <c r="C3661" s="64">
        <v>10</v>
      </c>
      <c r="D3661" s="80">
        <f t="shared" si="117"/>
        <v>2021</v>
      </c>
      <c r="E3661" t="s">
        <v>38</v>
      </c>
      <c r="F3661" t="s">
        <v>143</v>
      </c>
      <c r="G3661" t="s">
        <v>10</v>
      </c>
      <c r="H3661" s="72">
        <v>812</v>
      </c>
      <c r="I3661" s="72" t="s">
        <v>55</v>
      </c>
      <c r="J3661" t="str">
        <f t="shared" si="118"/>
        <v>Quilcene River</v>
      </c>
      <c r="K3661" t="str">
        <f>IFERROR(VLOOKUP(J3661,LUTs!$A$1:$C$73,2,FALSE),"NA")</f>
        <v>Jefferson</v>
      </c>
      <c r="L3661" t="str">
        <f>IFERROR(VLOOKUP(J3661,LUTs!$A$1:$C$73,3,FALSE),"NA")</f>
        <v>4 Hood Canal</v>
      </c>
      <c r="M3661" s="72" t="s">
        <v>20</v>
      </c>
      <c r="N3661" t="str">
        <f>VLOOKUP(M3661,LUTs!E$2:H$14,3,)</f>
        <v>07Pierce</v>
      </c>
      <c r="O3661" t="str">
        <f>VLOOKUP(M3661,LUTs!E$2:H$14,4,)</f>
        <v>02South Puget Sound</v>
      </c>
      <c r="P3661" s="73">
        <v>135.94594594594599</v>
      </c>
      <c r="Q3661" s="74">
        <f>VLOOKUP(B3661,Readme!A$40:C$51,2,)*P3661</f>
        <v>467.6540540540542</v>
      </c>
    </row>
    <row r="3662" spans="1:17" ht="12" customHeight="1" x14ac:dyDescent="0.35">
      <c r="A3662" s="75">
        <v>3661</v>
      </c>
      <c r="B3662" s="64">
        <v>2021</v>
      </c>
      <c r="C3662" s="64">
        <v>7</v>
      </c>
      <c r="D3662" s="80">
        <f t="shared" si="117"/>
        <v>2021</v>
      </c>
      <c r="E3662" t="s">
        <v>38</v>
      </c>
      <c r="F3662" t="s">
        <v>143</v>
      </c>
      <c r="G3662" t="s">
        <v>10</v>
      </c>
      <c r="H3662" s="72">
        <v>816</v>
      </c>
      <c r="I3662" s="72" t="s">
        <v>56</v>
      </c>
      <c r="J3662" t="str">
        <f t="shared" si="118"/>
        <v>Samish River</v>
      </c>
      <c r="K3662" t="str">
        <f>IFERROR(VLOOKUP(J3662,LUTs!$A$1:$C$73,2,FALSE),"NA")</f>
        <v>Skagit</v>
      </c>
      <c r="L3662" t="str">
        <f>IFERROR(VLOOKUP(J3662,LUTs!$A$1:$C$73,3,FALSE),"NA")</f>
        <v>1North Puget Sound</v>
      </c>
      <c r="M3662" s="72" t="s">
        <v>26</v>
      </c>
      <c r="N3662" t="str">
        <f>VLOOKUP(M3662,LUTs!E$2:H$14,3,)</f>
        <v>20Other</v>
      </c>
      <c r="O3662" t="str">
        <f>VLOOKUP(M3662,LUTs!E$2:H$14,4,)</f>
        <v>07Non Puget Sound</v>
      </c>
      <c r="P3662" s="73">
        <v>13.6666666666667</v>
      </c>
      <c r="Q3662" s="74">
        <f>VLOOKUP(B3662,Readme!A$40:C$51,2,)*P3662</f>
        <v>47.013333333333449</v>
      </c>
    </row>
    <row r="3663" spans="1:17" ht="12" customHeight="1" x14ac:dyDescent="0.35">
      <c r="A3663" s="75">
        <v>3662</v>
      </c>
      <c r="B3663" s="64">
        <v>2021</v>
      </c>
      <c r="C3663" s="64">
        <v>7</v>
      </c>
      <c r="D3663" s="80">
        <f t="shared" si="117"/>
        <v>2021</v>
      </c>
      <c r="E3663" t="s">
        <v>38</v>
      </c>
      <c r="F3663" t="s">
        <v>143</v>
      </c>
      <c r="G3663" t="s">
        <v>10</v>
      </c>
      <c r="H3663" s="72">
        <v>816</v>
      </c>
      <c r="I3663" s="72" t="s">
        <v>56</v>
      </c>
      <c r="J3663" t="str">
        <f t="shared" si="118"/>
        <v>Samish River</v>
      </c>
      <c r="K3663" t="str">
        <f>IFERROR(VLOOKUP(J3663,LUTs!$A$1:$C$73,2,FALSE),"NA")</f>
        <v>Skagit</v>
      </c>
      <c r="L3663" t="str">
        <f>IFERROR(VLOOKUP(J3663,LUTs!$A$1:$C$73,3,FALSE),"NA")</f>
        <v>1North Puget Sound</v>
      </c>
      <c r="M3663" s="72" t="s">
        <v>16</v>
      </c>
      <c r="N3663" t="str">
        <f>VLOOKUP(M3663,LUTs!E$2:H$14,3,)</f>
        <v>03Snohomish</v>
      </c>
      <c r="O3663" t="str">
        <f>VLOOKUP(M3663,LUTs!E$2:H$14,4,)</f>
        <v>01North Puget Sound</v>
      </c>
      <c r="P3663" s="73">
        <v>27.3333333333333</v>
      </c>
      <c r="Q3663" s="74">
        <f>VLOOKUP(B3663,Readme!A$40:C$51,2,)*P3663</f>
        <v>94.026666666666557</v>
      </c>
    </row>
    <row r="3664" spans="1:17" ht="12" customHeight="1" x14ac:dyDescent="0.35">
      <c r="A3664" s="75">
        <v>3663</v>
      </c>
      <c r="B3664" s="64">
        <v>2021</v>
      </c>
      <c r="C3664" s="64">
        <v>8</v>
      </c>
      <c r="D3664" s="80">
        <f t="shared" si="117"/>
        <v>2021</v>
      </c>
      <c r="E3664" t="s">
        <v>38</v>
      </c>
      <c r="F3664" t="s">
        <v>143</v>
      </c>
      <c r="G3664" t="s">
        <v>10</v>
      </c>
      <c r="H3664" s="72">
        <v>816</v>
      </c>
      <c r="I3664" s="72" t="s">
        <v>56</v>
      </c>
      <c r="J3664" t="str">
        <f t="shared" si="118"/>
        <v>Samish River</v>
      </c>
      <c r="K3664" t="str">
        <f>IFERROR(VLOOKUP(J3664,LUTs!$A$1:$C$73,2,FALSE),"NA")</f>
        <v>Skagit</v>
      </c>
      <c r="L3664" t="str">
        <f>IFERROR(VLOOKUP(J3664,LUTs!$A$1:$C$73,3,FALSE),"NA")</f>
        <v>1North Puget Sound</v>
      </c>
      <c r="M3664" s="72" t="s">
        <v>17</v>
      </c>
      <c r="N3664" t="str">
        <f>VLOOKUP(M3664,LUTs!E$2:H$14,3,)</f>
        <v>04Island</v>
      </c>
      <c r="O3664" t="str">
        <f>VLOOKUP(M3664,LUTs!E$2:H$14,4,)</f>
        <v>01North Puget Sound</v>
      </c>
      <c r="P3664" s="73">
        <v>259.41666666666703</v>
      </c>
      <c r="Q3664" s="74">
        <f>VLOOKUP(B3664,Readme!A$40:C$51,2,)*P3664</f>
        <v>892.39333333333457</v>
      </c>
    </row>
    <row r="3665" spans="1:17" ht="12" customHeight="1" x14ac:dyDescent="0.35">
      <c r="A3665" s="75">
        <v>3664</v>
      </c>
      <c r="B3665" s="64">
        <v>2021</v>
      </c>
      <c r="C3665" s="64">
        <v>8</v>
      </c>
      <c r="D3665" s="80">
        <f t="shared" si="117"/>
        <v>2021</v>
      </c>
      <c r="E3665" t="s">
        <v>38</v>
      </c>
      <c r="F3665" t="s">
        <v>143</v>
      </c>
      <c r="G3665" t="s">
        <v>10</v>
      </c>
      <c r="H3665" s="72">
        <v>816</v>
      </c>
      <c r="I3665" s="72" t="s">
        <v>56</v>
      </c>
      <c r="J3665" t="str">
        <f t="shared" si="118"/>
        <v>Samish River</v>
      </c>
      <c r="K3665" t="str">
        <f>IFERROR(VLOOKUP(J3665,LUTs!$A$1:$C$73,2,FALSE),"NA")</f>
        <v>Skagit</v>
      </c>
      <c r="L3665" t="str">
        <f>IFERROR(VLOOKUP(J3665,LUTs!$A$1:$C$73,3,FALSE),"NA")</f>
        <v>1North Puget Sound</v>
      </c>
      <c r="M3665" s="72" t="s">
        <v>18</v>
      </c>
      <c r="N3665" t="str">
        <f>VLOOKUP(M3665,LUTs!E$2:H$14,3,)</f>
        <v>06King</v>
      </c>
      <c r="O3665" t="str">
        <f>VLOOKUP(M3665,LUTs!E$2:H$14,4,)</f>
        <v>02South Puget Sound</v>
      </c>
      <c r="P3665" s="73">
        <v>191.14912280701799</v>
      </c>
      <c r="Q3665" s="74">
        <f>VLOOKUP(B3665,Readme!A$40:C$51,2,)*P3665</f>
        <v>657.55298245614188</v>
      </c>
    </row>
    <row r="3666" spans="1:17" ht="12" customHeight="1" x14ac:dyDescent="0.35">
      <c r="A3666" s="75">
        <v>3665</v>
      </c>
      <c r="B3666" s="64">
        <v>2021</v>
      </c>
      <c r="C3666" s="64">
        <v>8</v>
      </c>
      <c r="D3666" s="80">
        <f t="shared" si="117"/>
        <v>2021</v>
      </c>
      <c r="E3666" t="s">
        <v>38</v>
      </c>
      <c r="F3666" t="s">
        <v>143</v>
      </c>
      <c r="G3666" t="s">
        <v>10</v>
      </c>
      <c r="H3666" s="72">
        <v>816</v>
      </c>
      <c r="I3666" s="72" t="s">
        <v>56</v>
      </c>
      <c r="J3666" t="str">
        <f t="shared" si="118"/>
        <v>Samish River</v>
      </c>
      <c r="K3666" t="str">
        <f>IFERROR(VLOOKUP(J3666,LUTs!$A$1:$C$73,2,FALSE),"NA")</f>
        <v>Skagit</v>
      </c>
      <c r="L3666" t="str">
        <f>IFERROR(VLOOKUP(J3666,LUTs!$A$1:$C$73,3,FALSE),"NA")</f>
        <v>1North Puget Sound</v>
      </c>
      <c r="M3666" s="72" t="s">
        <v>26</v>
      </c>
      <c r="N3666" t="str">
        <f>VLOOKUP(M3666,LUTs!E$2:H$14,3,)</f>
        <v>20Other</v>
      </c>
      <c r="O3666" t="str">
        <f>VLOOKUP(M3666,LUTs!E$2:H$14,4,)</f>
        <v>07Non Puget Sound</v>
      </c>
      <c r="P3666" s="73">
        <v>232.10964912280701</v>
      </c>
      <c r="Q3666" s="74">
        <f>VLOOKUP(B3666,Readme!A$40:C$51,2,)*P3666</f>
        <v>798.45719298245615</v>
      </c>
    </row>
    <row r="3667" spans="1:17" ht="12" customHeight="1" x14ac:dyDescent="0.35">
      <c r="A3667" s="75">
        <v>3666</v>
      </c>
      <c r="B3667" s="64">
        <v>2021</v>
      </c>
      <c r="C3667" s="64">
        <v>8</v>
      </c>
      <c r="D3667" s="80">
        <f t="shared" si="117"/>
        <v>2021</v>
      </c>
      <c r="E3667" t="s">
        <v>38</v>
      </c>
      <c r="F3667" t="s">
        <v>143</v>
      </c>
      <c r="G3667" t="s">
        <v>10</v>
      </c>
      <c r="H3667" s="72">
        <v>816</v>
      </c>
      <c r="I3667" s="72" t="s">
        <v>56</v>
      </c>
      <c r="J3667" t="str">
        <f t="shared" si="118"/>
        <v>Samish River</v>
      </c>
      <c r="K3667" t="str">
        <f>IFERROR(VLOOKUP(J3667,LUTs!$A$1:$C$73,2,FALSE),"NA")</f>
        <v>Skagit</v>
      </c>
      <c r="L3667" t="str">
        <f>IFERROR(VLOOKUP(J3667,LUTs!$A$1:$C$73,3,FALSE),"NA")</f>
        <v>1North Puget Sound</v>
      </c>
      <c r="M3667" s="72" t="s">
        <v>20</v>
      </c>
      <c r="N3667" t="str">
        <f>VLOOKUP(M3667,LUTs!E$2:H$14,3,)</f>
        <v>07Pierce</v>
      </c>
      <c r="O3667" t="str">
        <f>VLOOKUP(M3667,LUTs!E$2:H$14,4,)</f>
        <v>02South Puget Sound</v>
      </c>
      <c r="P3667" s="73">
        <v>81.921052631579002</v>
      </c>
      <c r="Q3667" s="74">
        <f>VLOOKUP(B3667,Readme!A$40:C$51,2,)*P3667</f>
        <v>281.80842105263179</v>
      </c>
    </row>
    <row r="3668" spans="1:17" ht="12" customHeight="1" x14ac:dyDescent="0.35">
      <c r="A3668" s="75">
        <v>3667</v>
      </c>
      <c r="B3668" s="64">
        <v>2021</v>
      </c>
      <c r="C3668" s="64">
        <v>8</v>
      </c>
      <c r="D3668" s="80">
        <f t="shared" si="117"/>
        <v>2021</v>
      </c>
      <c r="E3668" t="s">
        <v>38</v>
      </c>
      <c r="F3668" t="s">
        <v>143</v>
      </c>
      <c r="G3668" t="s">
        <v>10</v>
      </c>
      <c r="H3668" s="72">
        <v>816</v>
      </c>
      <c r="I3668" s="72" t="s">
        <v>56</v>
      </c>
      <c r="J3668" t="str">
        <f t="shared" si="118"/>
        <v>Samish River</v>
      </c>
      <c r="K3668" t="str">
        <f>IFERROR(VLOOKUP(J3668,LUTs!$A$1:$C$73,2,FALSE),"NA")</f>
        <v>Skagit</v>
      </c>
      <c r="L3668" t="str">
        <f>IFERROR(VLOOKUP(J3668,LUTs!$A$1:$C$73,3,FALSE),"NA")</f>
        <v>1North Puget Sound</v>
      </c>
      <c r="M3668" s="72" t="s">
        <v>15</v>
      </c>
      <c r="N3668" t="str">
        <f>VLOOKUP(M3668,LUTs!E$2:H$14,3,)</f>
        <v>02Skagit</v>
      </c>
      <c r="O3668" t="str">
        <f>VLOOKUP(M3668,LUTs!E$2:H$14,4,)</f>
        <v>01North Puget Sound</v>
      </c>
      <c r="P3668" s="73">
        <v>709.98245614035102</v>
      </c>
      <c r="Q3668" s="74">
        <f>VLOOKUP(B3668,Readme!A$40:C$51,2,)*P3668</f>
        <v>2442.3396491228073</v>
      </c>
    </row>
    <row r="3669" spans="1:17" ht="12" customHeight="1" x14ac:dyDescent="0.35">
      <c r="A3669" s="75">
        <v>3668</v>
      </c>
      <c r="B3669" s="64">
        <v>2021</v>
      </c>
      <c r="C3669" s="64">
        <v>8</v>
      </c>
      <c r="D3669" s="80">
        <f t="shared" si="117"/>
        <v>2021</v>
      </c>
      <c r="E3669" t="s">
        <v>38</v>
      </c>
      <c r="F3669" t="s">
        <v>143</v>
      </c>
      <c r="G3669" t="s">
        <v>10</v>
      </c>
      <c r="H3669" s="72">
        <v>816</v>
      </c>
      <c r="I3669" s="72" t="s">
        <v>56</v>
      </c>
      <c r="J3669" t="str">
        <f t="shared" si="118"/>
        <v>Samish River</v>
      </c>
      <c r="K3669" t="str">
        <f>IFERROR(VLOOKUP(J3669,LUTs!$A$1:$C$73,2,FALSE),"NA")</f>
        <v>Skagit</v>
      </c>
      <c r="L3669" t="str">
        <f>IFERROR(VLOOKUP(J3669,LUTs!$A$1:$C$73,3,FALSE),"NA")</f>
        <v>1North Puget Sound</v>
      </c>
      <c r="M3669" s="72" t="s">
        <v>16</v>
      </c>
      <c r="N3669" t="str">
        <f>VLOOKUP(M3669,LUTs!E$2:H$14,3,)</f>
        <v>03Snohomish</v>
      </c>
      <c r="O3669" t="str">
        <f>VLOOKUP(M3669,LUTs!E$2:H$14,4,)</f>
        <v>01North Puget Sound</v>
      </c>
      <c r="P3669" s="73">
        <v>1419.9649122807</v>
      </c>
      <c r="Q3669" s="74">
        <f>VLOOKUP(B3669,Readme!A$40:C$51,2,)*P3669</f>
        <v>4884.6792982456082</v>
      </c>
    </row>
    <row r="3670" spans="1:17" ht="12" customHeight="1" x14ac:dyDescent="0.35">
      <c r="A3670" s="75">
        <v>3669</v>
      </c>
      <c r="B3670" s="64">
        <v>2021</v>
      </c>
      <c r="C3670" s="64">
        <v>8</v>
      </c>
      <c r="D3670" s="80">
        <f t="shared" si="117"/>
        <v>2021</v>
      </c>
      <c r="E3670" t="s">
        <v>38</v>
      </c>
      <c r="F3670" t="s">
        <v>143</v>
      </c>
      <c r="G3670" t="s">
        <v>10</v>
      </c>
      <c r="H3670" s="72">
        <v>816</v>
      </c>
      <c r="I3670" s="72" t="s">
        <v>56</v>
      </c>
      <c r="J3670" t="str">
        <f t="shared" si="118"/>
        <v>Samish River</v>
      </c>
      <c r="K3670" t="str">
        <f>IFERROR(VLOOKUP(J3670,LUTs!$A$1:$C$73,2,FALSE),"NA")</f>
        <v>Skagit</v>
      </c>
      <c r="L3670" t="str">
        <f>IFERROR(VLOOKUP(J3670,LUTs!$A$1:$C$73,3,FALSE),"NA")</f>
        <v>1North Puget Sound</v>
      </c>
      <c r="M3670" s="72" t="s">
        <v>13</v>
      </c>
      <c r="N3670" t="str">
        <f>VLOOKUP(M3670,LUTs!E$2:H$14,3,)</f>
        <v>01Whatcom</v>
      </c>
      <c r="O3670" t="str">
        <f>VLOOKUP(M3670,LUTs!E$2:H$14,4,)</f>
        <v>01North Puget Sound</v>
      </c>
      <c r="P3670" s="73">
        <v>218.45614035087701</v>
      </c>
      <c r="Q3670" s="74">
        <f>VLOOKUP(B3670,Readme!A$40:C$51,2,)*P3670</f>
        <v>751.48912280701688</v>
      </c>
    </row>
    <row r="3671" spans="1:17" ht="12" customHeight="1" x14ac:dyDescent="0.35">
      <c r="A3671" s="75">
        <v>3670</v>
      </c>
      <c r="B3671" s="64">
        <v>2021</v>
      </c>
      <c r="C3671" s="64">
        <v>9</v>
      </c>
      <c r="D3671" s="80">
        <f t="shared" si="117"/>
        <v>2021</v>
      </c>
      <c r="E3671" t="s">
        <v>38</v>
      </c>
      <c r="F3671" t="s">
        <v>143</v>
      </c>
      <c r="G3671" t="s">
        <v>10</v>
      </c>
      <c r="H3671" s="72">
        <v>816</v>
      </c>
      <c r="I3671" s="72" t="s">
        <v>56</v>
      </c>
      <c r="J3671" t="str">
        <f t="shared" si="118"/>
        <v>Samish River</v>
      </c>
      <c r="K3671" t="str">
        <f>IFERROR(VLOOKUP(J3671,LUTs!$A$1:$C$73,2,FALSE),"NA")</f>
        <v>Skagit</v>
      </c>
      <c r="L3671" t="str">
        <f>IFERROR(VLOOKUP(J3671,LUTs!$A$1:$C$73,3,FALSE),"NA")</f>
        <v>1North Puget Sound</v>
      </c>
      <c r="M3671" s="72" t="s">
        <v>17</v>
      </c>
      <c r="N3671" t="str">
        <f>VLOOKUP(M3671,LUTs!E$2:H$14,3,)</f>
        <v>04Island</v>
      </c>
      <c r="O3671" t="str">
        <f>VLOOKUP(M3671,LUTs!E$2:H$14,4,)</f>
        <v>01North Puget Sound</v>
      </c>
      <c r="P3671" s="73">
        <v>446.17576791808898</v>
      </c>
      <c r="Q3671" s="74">
        <f>VLOOKUP(B3671,Readme!A$40:C$51,2,)*P3671</f>
        <v>1534.844641638226</v>
      </c>
    </row>
    <row r="3672" spans="1:17" ht="12" customHeight="1" x14ac:dyDescent="0.35">
      <c r="A3672" s="75">
        <v>3671</v>
      </c>
      <c r="B3672" s="64">
        <v>2021</v>
      </c>
      <c r="C3672" s="64">
        <v>9</v>
      </c>
      <c r="D3672" s="80">
        <f t="shared" si="117"/>
        <v>2021</v>
      </c>
      <c r="E3672" t="s">
        <v>38</v>
      </c>
      <c r="F3672" t="s">
        <v>143</v>
      </c>
      <c r="G3672" t="s">
        <v>10</v>
      </c>
      <c r="H3672" s="72">
        <v>816</v>
      </c>
      <c r="I3672" s="72" t="s">
        <v>56</v>
      </c>
      <c r="J3672" t="str">
        <f t="shared" si="118"/>
        <v>Samish River</v>
      </c>
      <c r="K3672" t="str">
        <f>IFERROR(VLOOKUP(J3672,LUTs!$A$1:$C$73,2,FALSE),"NA")</f>
        <v>Skagit</v>
      </c>
      <c r="L3672" t="str">
        <f>IFERROR(VLOOKUP(J3672,LUTs!$A$1:$C$73,3,FALSE),"NA")</f>
        <v>1North Puget Sound</v>
      </c>
      <c r="M3672" s="72" t="s">
        <v>18</v>
      </c>
      <c r="N3672" t="str">
        <f>VLOOKUP(M3672,LUTs!E$2:H$14,3,)</f>
        <v>06King</v>
      </c>
      <c r="O3672" t="str">
        <f>VLOOKUP(M3672,LUTs!E$2:H$14,4,)</f>
        <v>02South Puget Sound</v>
      </c>
      <c r="P3672" s="73">
        <v>757.14675767918095</v>
      </c>
      <c r="Q3672" s="74">
        <f>VLOOKUP(B3672,Readme!A$40:C$51,2,)*P3672</f>
        <v>2604.5848464163823</v>
      </c>
    </row>
    <row r="3673" spans="1:17" ht="12" customHeight="1" x14ac:dyDescent="0.35">
      <c r="A3673" s="75">
        <v>3672</v>
      </c>
      <c r="B3673" s="64">
        <v>2021</v>
      </c>
      <c r="C3673" s="64">
        <v>9</v>
      </c>
      <c r="D3673" s="80">
        <f t="shared" si="117"/>
        <v>2021</v>
      </c>
      <c r="E3673" t="s">
        <v>38</v>
      </c>
      <c r="F3673" t="s">
        <v>143</v>
      </c>
      <c r="G3673" t="s">
        <v>10</v>
      </c>
      <c r="H3673" s="72">
        <v>816</v>
      </c>
      <c r="I3673" s="72" t="s">
        <v>56</v>
      </c>
      <c r="J3673" t="str">
        <f t="shared" si="118"/>
        <v>Samish River</v>
      </c>
      <c r="K3673" t="str">
        <f>IFERROR(VLOOKUP(J3673,LUTs!$A$1:$C$73,2,FALSE),"NA")</f>
        <v>Skagit</v>
      </c>
      <c r="L3673" t="str">
        <f>IFERROR(VLOOKUP(J3673,LUTs!$A$1:$C$73,3,FALSE),"NA")</f>
        <v>1North Puget Sound</v>
      </c>
      <c r="M3673" s="72" t="s">
        <v>26</v>
      </c>
      <c r="N3673" t="str">
        <f>VLOOKUP(M3673,LUTs!E$2:H$14,3,)</f>
        <v>20Other</v>
      </c>
      <c r="O3673" t="str">
        <f>VLOOKUP(M3673,LUTs!E$2:H$14,4,)</f>
        <v>07Non Puget Sound</v>
      </c>
      <c r="P3673" s="73">
        <v>567.86006825938603</v>
      </c>
      <c r="Q3673" s="74">
        <f>VLOOKUP(B3673,Readme!A$40:C$51,2,)*P3673</f>
        <v>1953.438634812288</v>
      </c>
    </row>
    <row r="3674" spans="1:17" ht="12" customHeight="1" x14ac:dyDescent="0.35">
      <c r="A3674" s="75">
        <v>3673</v>
      </c>
      <c r="B3674" s="64">
        <v>2021</v>
      </c>
      <c r="C3674" s="64">
        <v>9</v>
      </c>
      <c r="D3674" s="80">
        <f t="shared" si="117"/>
        <v>2021</v>
      </c>
      <c r="E3674" t="s">
        <v>38</v>
      </c>
      <c r="F3674" t="s">
        <v>143</v>
      </c>
      <c r="G3674" t="s">
        <v>10</v>
      </c>
      <c r="H3674" s="72">
        <v>816</v>
      </c>
      <c r="I3674" s="72" t="s">
        <v>56</v>
      </c>
      <c r="J3674" t="str">
        <f t="shared" si="118"/>
        <v>Samish River</v>
      </c>
      <c r="K3674" t="str">
        <f>IFERROR(VLOOKUP(J3674,LUTs!$A$1:$C$73,2,FALSE),"NA")</f>
        <v>Skagit</v>
      </c>
      <c r="L3674" t="str">
        <f>IFERROR(VLOOKUP(J3674,LUTs!$A$1:$C$73,3,FALSE),"NA")</f>
        <v>1North Puget Sound</v>
      </c>
      <c r="M3674" s="72" t="s">
        <v>20</v>
      </c>
      <c r="N3674" t="str">
        <f>VLOOKUP(M3674,LUTs!E$2:H$14,3,)</f>
        <v>07Pierce</v>
      </c>
      <c r="O3674" t="str">
        <f>VLOOKUP(M3674,LUTs!E$2:H$14,4,)</f>
        <v>02South Puget Sound</v>
      </c>
      <c r="P3674" s="73">
        <v>175.76621160409599</v>
      </c>
      <c r="Q3674" s="74">
        <f>VLOOKUP(B3674,Readme!A$40:C$51,2,)*P3674</f>
        <v>604.63576791809021</v>
      </c>
    </row>
    <row r="3675" spans="1:17" ht="12" customHeight="1" x14ac:dyDescent="0.35">
      <c r="A3675" s="75">
        <v>3674</v>
      </c>
      <c r="B3675" s="64">
        <v>2021</v>
      </c>
      <c r="C3675" s="64">
        <v>9</v>
      </c>
      <c r="D3675" s="80">
        <f t="shared" si="117"/>
        <v>2021</v>
      </c>
      <c r="E3675" t="s">
        <v>38</v>
      </c>
      <c r="F3675" t="s">
        <v>143</v>
      </c>
      <c r="G3675" t="s">
        <v>10</v>
      </c>
      <c r="H3675" s="72">
        <v>816</v>
      </c>
      <c r="I3675" s="72" t="s">
        <v>56</v>
      </c>
      <c r="J3675" t="str">
        <f t="shared" si="118"/>
        <v>Samish River</v>
      </c>
      <c r="K3675" t="str">
        <f>IFERROR(VLOOKUP(J3675,LUTs!$A$1:$C$73,2,FALSE),"NA")</f>
        <v>Skagit</v>
      </c>
      <c r="L3675" t="str">
        <f>IFERROR(VLOOKUP(J3675,LUTs!$A$1:$C$73,3,FALSE),"NA")</f>
        <v>1North Puget Sound</v>
      </c>
      <c r="M3675" s="72" t="s">
        <v>15</v>
      </c>
      <c r="N3675" t="str">
        <f>VLOOKUP(M3675,LUTs!E$2:H$14,3,)</f>
        <v>02Skagit</v>
      </c>
      <c r="O3675" t="str">
        <f>VLOOKUP(M3675,LUTs!E$2:H$14,4,)</f>
        <v>01North Puget Sound</v>
      </c>
      <c r="P3675" s="73">
        <v>1568.3754266211599</v>
      </c>
      <c r="Q3675" s="74">
        <f>VLOOKUP(B3675,Readme!A$40:C$51,2,)*P3675</f>
        <v>5395.2114675767898</v>
      </c>
    </row>
    <row r="3676" spans="1:17" ht="12" customHeight="1" x14ac:dyDescent="0.35">
      <c r="A3676" s="75">
        <v>3675</v>
      </c>
      <c r="B3676" s="64">
        <v>2021</v>
      </c>
      <c r="C3676" s="64">
        <v>9</v>
      </c>
      <c r="D3676" s="80">
        <f t="shared" si="117"/>
        <v>2021</v>
      </c>
      <c r="E3676" t="s">
        <v>38</v>
      </c>
      <c r="F3676" t="s">
        <v>143</v>
      </c>
      <c r="G3676" t="s">
        <v>10</v>
      </c>
      <c r="H3676" s="72">
        <v>816</v>
      </c>
      <c r="I3676" s="72" t="s">
        <v>56</v>
      </c>
      <c r="J3676" t="str">
        <f t="shared" si="118"/>
        <v>Samish River</v>
      </c>
      <c r="K3676" t="str">
        <f>IFERROR(VLOOKUP(J3676,LUTs!$A$1:$C$73,2,FALSE),"NA")</f>
        <v>Skagit</v>
      </c>
      <c r="L3676" t="str">
        <f>IFERROR(VLOOKUP(J3676,LUTs!$A$1:$C$73,3,FALSE),"NA")</f>
        <v>1North Puget Sound</v>
      </c>
      <c r="M3676" s="72" t="s">
        <v>16</v>
      </c>
      <c r="N3676" t="str">
        <f>VLOOKUP(M3676,LUTs!E$2:H$14,3,)</f>
        <v>03Snohomish</v>
      </c>
      <c r="O3676" t="str">
        <f>VLOOKUP(M3676,LUTs!E$2:H$14,4,)</f>
        <v>01North Puget Sound</v>
      </c>
      <c r="P3676" s="73">
        <v>3799.2542662116002</v>
      </c>
      <c r="Q3676" s="74">
        <f>VLOOKUP(B3676,Readme!A$40:C$51,2,)*P3676</f>
        <v>13069.434675767905</v>
      </c>
    </row>
    <row r="3677" spans="1:17" ht="12" customHeight="1" x14ac:dyDescent="0.35">
      <c r="A3677" s="75">
        <v>3676</v>
      </c>
      <c r="B3677" s="64">
        <v>2021</v>
      </c>
      <c r="C3677" s="64">
        <v>9</v>
      </c>
      <c r="D3677" s="80">
        <f t="shared" si="117"/>
        <v>2021</v>
      </c>
      <c r="E3677" t="s">
        <v>38</v>
      </c>
      <c r="F3677" t="s">
        <v>143</v>
      </c>
      <c r="G3677" t="s">
        <v>10</v>
      </c>
      <c r="H3677" s="72">
        <v>816</v>
      </c>
      <c r="I3677" s="72" t="s">
        <v>56</v>
      </c>
      <c r="J3677" t="str">
        <f t="shared" si="118"/>
        <v>Samish River</v>
      </c>
      <c r="K3677" t="str">
        <f>IFERROR(VLOOKUP(J3677,LUTs!$A$1:$C$73,2,FALSE),"NA")</f>
        <v>Skagit</v>
      </c>
      <c r="L3677" t="str">
        <f>IFERROR(VLOOKUP(J3677,LUTs!$A$1:$C$73,3,FALSE),"NA")</f>
        <v>1North Puget Sound</v>
      </c>
      <c r="M3677" s="72" t="s">
        <v>13</v>
      </c>
      <c r="N3677" t="str">
        <f>VLOOKUP(M3677,LUTs!E$2:H$14,3,)</f>
        <v>01Whatcom</v>
      </c>
      <c r="O3677" t="str">
        <f>VLOOKUP(M3677,LUTs!E$2:H$14,4,)</f>
        <v>01North Puget Sound</v>
      </c>
      <c r="P3677" s="73">
        <v>608.42150170648495</v>
      </c>
      <c r="Q3677" s="74">
        <f>VLOOKUP(B3677,Readme!A$40:C$51,2,)*P3677</f>
        <v>2092.969965870308</v>
      </c>
    </row>
    <row r="3678" spans="1:17" ht="12" customHeight="1" x14ac:dyDescent="0.35">
      <c r="A3678" s="75">
        <v>3677</v>
      </c>
      <c r="B3678" s="64">
        <v>2021</v>
      </c>
      <c r="C3678" s="64">
        <v>10</v>
      </c>
      <c r="D3678" s="80">
        <f t="shared" si="117"/>
        <v>2021</v>
      </c>
      <c r="E3678" t="s">
        <v>38</v>
      </c>
      <c r="F3678" t="s">
        <v>143</v>
      </c>
      <c r="G3678" t="s">
        <v>10</v>
      </c>
      <c r="H3678" s="72">
        <v>816</v>
      </c>
      <c r="I3678" s="72" t="s">
        <v>56</v>
      </c>
      <c r="J3678" t="str">
        <f t="shared" si="118"/>
        <v>Samish River</v>
      </c>
      <c r="K3678" t="str">
        <f>IFERROR(VLOOKUP(J3678,LUTs!$A$1:$C$73,2,FALSE),"NA")</f>
        <v>Skagit</v>
      </c>
      <c r="L3678" t="str">
        <f>IFERROR(VLOOKUP(J3678,LUTs!$A$1:$C$73,3,FALSE),"NA")</f>
        <v>1North Puget Sound</v>
      </c>
      <c r="M3678" s="72" t="s">
        <v>15</v>
      </c>
      <c r="N3678" t="str">
        <f>VLOOKUP(M3678,LUTs!E$2:H$14,3,)</f>
        <v>02Skagit</v>
      </c>
      <c r="O3678" t="str">
        <f>VLOOKUP(M3678,LUTs!E$2:H$14,4,)</f>
        <v>01North Puget Sound</v>
      </c>
      <c r="P3678" s="73">
        <v>0</v>
      </c>
      <c r="Q3678" s="74">
        <f>VLOOKUP(B3678,Readme!A$40:C$51,2,)*P3678</f>
        <v>0</v>
      </c>
    </row>
    <row r="3679" spans="1:17" ht="12" customHeight="1" x14ac:dyDescent="0.35">
      <c r="A3679" s="75">
        <v>3678</v>
      </c>
      <c r="B3679" s="64">
        <v>2021</v>
      </c>
      <c r="C3679" s="64">
        <v>11</v>
      </c>
      <c r="D3679" s="80">
        <f t="shared" si="117"/>
        <v>2021</v>
      </c>
      <c r="E3679" t="s">
        <v>38</v>
      </c>
      <c r="F3679" t="s">
        <v>143</v>
      </c>
      <c r="G3679" t="s">
        <v>10</v>
      </c>
      <c r="H3679" s="72">
        <v>816</v>
      </c>
      <c r="I3679" s="72" t="s">
        <v>56</v>
      </c>
      <c r="J3679" t="str">
        <f t="shared" si="118"/>
        <v>Samish River</v>
      </c>
      <c r="K3679" t="str">
        <f>IFERROR(VLOOKUP(J3679,LUTs!$A$1:$C$73,2,FALSE),"NA")</f>
        <v>Skagit</v>
      </c>
      <c r="L3679" t="str">
        <f>IFERROR(VLOOKUP(J3679,LUTs!$A$1:$C$73,3,FALSE),"NA")</f>
        <v>1North Puget Sound</v>
      </c>
      <c r="M3679" s="72" t="s">
        <v>20</v>
      </c>
      <c r="N3679" t="str">
        <f>VLOOKUP(M3679,LUTs!E$2:H$14,3,)</f>
        <v>07Pierce</v>
      </c>
      <c r="O3679" t="str">
        <f>VLOOKUP(M3679,LUTs!E$2:H$14,4,)</f>
        <v>02South Puget Sound</v>
      </c>
      <c r="P3679" s="73">
        <v>0</v>
      </c>
      <c r="Q3679" s="74">
        <f>VLOOKUP(B3679,Readme!A$40:C$51,2,)*P3679</f>
        <v>0</v>
      </c>
    </row>
    <row r="3680" spans="1:17" ht="12" customHeight="1" x14ac:dyDescent="0.35">
      <c r="A3680" s="75">
        <v>3679</v>
      </c>
      <c r="B3680" s="64">
        <v>2021</v>
      </c>
      <c r="C3680" s="64">
        <v>7</v>
      </c>
      <c r="D3680" s="80">
        <f t="shared" si="117"/>
        <v>2021</v>
      </c>
      <c r="E3680" t="s">
        <v>38</v>
      </c>
      <c r="F3680" t="s">
        <v>143</v>
      </c>
      <c r="G3680" t="s">
        <v>10</v>
      </c>
      <c r="H3680" s="72">
        <v>825</v>
      </c>
      <c r="I3680" s="72" t="s">
        <v>58</v>
      </c>
      <c r="J3680" t="str">
        <f t="shared" si="118"/>
        <v>Baker Lake</v>
      </c>
      <c r="K3680" t="str">
        <f>IFERROR(VLOOKUP(J3680,LUTs!$A$1:$C$73,2,FALSE),"NA")</f>
        <v>Whatcom</v>
      </c>
      <c r="L3680" t="str">
        <f>IFERROR(VLOOKUP(J3680,LUTs!$A$1:$C$73,3,FALSE),"NA")</f>
        <v>1North Puget Sound</v>
      </c>
      <c r="M3680" s="72" t="s">
        <v>17</v>
      </c>
      <c r="N3680" t="str">
        <f>VLOOKUP(M3680,LUTs!E$2:H$14,3,)</f>
        <v>04Island</v>
      </c>
      <c r="O3680" t="str">
        <f>VLOOKUP(M3680,LUTs!E$2:H$14,4,)</f>
        <v>01North Puget Sound</v>
      </c>
      <c r="P3680" s="73">
        <v>436.10140845070401</v>
      </c>
      <c r="Q3680" s="74">
        <f>VLOOKUP(B3680,Readme!A$40:C$51,2,)*P3680</f>
        <v>1500.1888450704218</v>
      </c>
    </row>
    <row r="3681" spans="1:17" ht="12" customHeight="1" x14ac:dyDescent="0.35">
      <c r="A3681" s="75">
        <v>3680</v>
      </c>
      <c r="B3681" s="64">
        <v>2021</v>
      </c>
      <c r="C3681" s="64">
        <v>7</v>
      </c>
      <c r="D3681" s="80">
        <f t="shared" si="117"/>
        <v>2021</v>
      </c>
      <c r="E3681" t="s">
        <v>38</v>
      </c>
      <c r="F3681" t="s">
        <v>143</v>
      </c>
      <c r="G3681" t="s">
        <v>10</v>
      </c>
      <c r="H3681" s="72">
        <v>825</v>
      </c>
      <c r="I3681" s="72" t="s">
        <v>58</v>
      </c>
      <c r="J3681" t="str">
        <f t="shared" si="118"/>
        <v>Baker Lake</v>
      </c>
      <c r="K3681" t="str">
        <f>IFERROR(VLOOKUP(J3681,LUTs!$A$1:$C$73,2,FALSE),"NA")</f>
        <v>Whatcom</v>
      </c>
      <c r="L3681" t="str">
        <f>IFERROR(VLOOKUP(J3681,LUTs!$A$1:$C$73,3,FALSE),"NA")</f>
        <v>1North Puget Sound</v>
      </c>
      <c r="M3681" s="72" t="s">
        <v>18</v>
      </c>
      <c r="N3681" t="str">
        <f>VLOOKUP(M3681,LUTs!E$2:H$14,3,)</f>
        <v>06King</v>
      </c>
      <c r="O3681" t="str">
        <f>VLOOKUP(M3681,LUTs!E$2:H$14,4,)</f>
        <v>02South Puget Sound</v>
      </c>
      <c r="P3681" s="73">
        <v>504.242253521127</v>
      </c>
      <c r="Q3681" s="74">
        <f>VLOOKUP(B3681,Readme!A$40:C$51,2,)*P3681</f>
        <v>1734.5933521126769</v>
      </c>
    </row>
    <row r="3682" spans="1:17" ht="12" customHeight="1" x14ac:dyDescent="0.35">
      <c r="A3682" s="75">
        <v>3681</v>
      </c>
      <c r="B3682" s="64">
        <v>2021</v>
      </c>
      <c r="C3682" s="64">
        <v>7</v>
      </c>
      <c r="D3682" s="80">
        <f t="shared" si="117"/>
        <v>2021</v>
      </c>
      <c r="E3682" t="s">
        <v>38</v>
      </c>
      <c r="F3682" t="s">
        <v>143</v>
      </c>
      <c r="G3682" t="s">
        <v>10</v>
      </c>
      <c r="H3682" s="72">
        <v>825</v>
      </c>
      <c r="I3682" s="72" t="s">
        <v>58</v>
      </c>
      <c r="J3682" t="str">
        <f t="shared" si="118"/>
        <v>Baker Lake</v>
      </c>
      <c r="K3682" t="str">
        <f>IFERROR(VLOOKUP(J3682,LUTs!$A$1:$C$73,2,FALSE),"NA")</f>
        <v>Whatcom</v>
      </c>
      <c r="L3682" t="str">
        <f>IFERROR(VLOOKUP(J3682,LUTs!$A$1:$C$73,3,FALSE),"NA")</f>
        <v>1North Puget Sound</v>
      </c>
      <c r="M3682" s="72" t="s">
        <v>26</v>
      </c>
      <c r="N3682" t="str">
        <f>VLOOKUP(M3682,LUTs!E$2:H$14,3,)</f>
        <v>20Other</v>
      </c>
      <c r="O3682" t="str">
        <f>VLOOKUP(M3682,LUTs!E$2:H$14,4,)</f>
        <v>07Non Puget Sound</v>
      </c>
      <c r="P3682" s="73">
        <v>476.98591549295799</v>
      </c>
      <c r="Q3682" s="74">
        <f>VLOOKUP(B3682,Readme!A$40:C$51,2,)*P3682</f>
        <v>1640.8315492957754</v>
      </c>
    </row>
    <row r="3683" spans="1:17" ht="12" customHeight="1" x14ac:dyDescent="0.35">
      <c r="A3683" s="75">
        <v>3682</v>
      </c>
      <c r="B3683" s="64">
        <v>2021</v>
      </c>
      <c r="C3683" s="64">
        <v>7</v>
      </c>
      <c r="D3683" s="80">
        <f t="shared" si="117"/>
        <v>2021</v>
      </c>
      <c r="E3683" t="s">
        <v>38</v>
      </c>
      <c r="F3683" t="s">
        <v>143</v>
      </c>
      <c r="G3683" t="s">
        <v>10</v>
      </c>
      <c r="H3683" s="72">
        <v>825</v>
      </c>
      <c r="I3683" s="72" t="s">
        <v>58</v>
      </c>
      <c r="J3683" t="str">
        <f t="shared" si="118"/>
        <v>Baker Lake</v>
      </c>
      <c r="K3683" t="str">
        <f>IFERROR(VLOOKUP(J3683,LUTs!$A$1:$C$73,2,FALSE),"NA")</f>
        <v>Whatcom</v>
      </c>
      <c r="L3683" t="str">
        <f>IFERROR(VLOOKUP(J3683,LUTs!$A$1:$C$73,3,FALSE),"NA")</f>
        <v>1North Puget Sound</v>
      </c>
      <c r="M3683" s="72" t="s">
        <v>20</v>
      </c>
      <c r="N3683" t="str">
        <f>VLOOKUP(M3683,LUTs!E$2:H$14,3,)</f>
        <v>07Pierce</v>
      </c>
      <c r="O3683" t="str">
        <f>VLOOKUP(M3683,LUTs!E$2:H$14,4,)</f>
        <v>02South Puget Sound</v>
      </c>
      <c r="P3683" s="73">
        <v>27.256338028169001</v>
      </c>
      <c r="Q3683" s="74">
        <f>VLOOKUP(B3683,Readme!A$40:C$51,2,)*P3683</f>
        <v>93.761802816901366</v>
      </c>
    </row>
    <row r="3684" spans="1:17" ht="12" customHeight="1" x14ac:dyDescent="0.35">
      <c r="A3684" s="75">
        <v>3683</v>
      </c>
      <c r="B3684" s="64">
        <v>2021</v>
      </c>
      <c r="C3684" s="64">
        <v>7</v>
      </c>
      <c r="D3684" s="80">
        <f t="shared" si="117"/>
        <v>2021</v>
      </c>
      <c r="E3684" t="s">
        <v>38</v>
      </c>
      <c r="F3684" t="s">
        <v>143</v>
      </c>
      <c r="G3684" t="s">
        <v>10</v>
      </c>
      <c r="H3684" s="72">
        <v>825</v>
      </c>
      <c r="I3684" s="72" t="s">
        <v>58</v>
      </c>
      <c r="J3684" t="str">
        <f t="shared" si="118"/>
        <v>Baker Lake</v>
      </c>
      <c r="K3684" t="str">
        <f>IFERROR(VLOOKUP(J3684,LUTs!$A$1:$C$73,2,FALSE),"NA")</f>
        <v>Whatcom</v>
      </c>
      <c r="L3684" t="str">
        <f>IFERROR(VLOOKUP(J3684,LUTs!$A$1:$C$73,3,FALSE),"NA")</f>
        <v>1North Puget Sound</v>
      </c>
      <c r="M3684" s="72" t="s">
        <v>30</v>
      </c>
      <c r="N3684" t="str">
        <f>VLOOKUP(M3684,LUTs!E$2:H$14,3,)</f>
        <v>05San Juan</v>
      </c>
      <c r="O3684" t="str">
        <f>VLOOKUP(M3684,LUTs!E$2:H$14,4,)</f>
        <v>01North Puget Sound</v>
      </c>
      <c r="P3684" s="73">
        <v>68.1408450704226</v>
      </c>
      <c r="Q3684" s="74">
        <f>VLOOKUP(B3684,Readme!A$40:C$51,2,)*P3684</f>
        <v>234.40450704225373</v>
      </c>
    </row>
    <row r="3685" spans="1:17" ht="12" customHeight="1" x14ac:dyDescent="0.35">
      <c r="A3685" s="75">
        <v>3684</v>
      </c>
      <c r="B3685" s="64">
        <v>2021</v>
      </c>
      <c r="C3685" s="64">
        <v>7</v>
      </c>
      <c r="D3685" s="80">
        <f t="shared" si="117"/>
        <v>2021</v>
      </c>
      <c r="E3685" t="s">
        <v>38</v>
      </c>
      <c r="F3685" t="s">
        <v>143</v>
      </c>
      <c r="G3685" t="s">
        <v>10</v>
      </c>
      <c r="H3685" s="72">
        <v>825</v>
      </c>
      <c r="I3685" s="72" t="s">
        <v>58</v>
      </c>
      <c r="J3685" t="str">
        <f t="shared" si="118"/>
        <v>Baker Lake</v>
      </c>
      <c r="K3685" t="str">
        <f>IFERROR(VLOOKUP(J3685,LUTs!$A$1:$C$73,2,FALSE),"NA")</f>
        <v>Whatcom</v>
      </c>
      <c r="L3685" t="str">
        <f>IFERROR(VLOOKUP(J3685,LUTs!$A$1:$C$73,3,FALSE),"NA")</f>
        <v>1North Puget Sound</v>
      </c>
      <c r="M3685" s="72" t="s">
        <v>15</v>
      </c>
      <c r="N3685" t="str">
        <f>VLOOKUP(M3685,LUTs!E$2:H$14,3,)</f>
        <v>02Skagit</v>
      </c>
      <c r="O3685" t="str">
        <f>VLOOKUP(M3685,LUTs!E$2:H$14,4,)</f>
        <v>01North Puget Sound</v>
      </c>
      <c r="P3685" s="73">
        <v>1349.1887323943699</v>
      </c>
      <c r="Q3685" s="74">
        <f>VLOOKUP(B3685,Readme!A$40:C$51,2,)*P3685</f>
        <v>4641.2092394366327</v>
      </c>
    </row>
    <row r="3686" spans="1:17" ht="12" customHeight="1" x14ac:dyDescent="0.35">
      <c r="A3686" s="75">
        <v>3685</v>
      </c>
      <c r="B3686" s="64">
        <v>2021</v>
      </c>
      <c r="C3686" s="64">
        <v>7</v>
      </c>
      <c r="D3686" s="80">
        <f t="shared" si="117"/>
        <v>2021</v>
      </c>
      <c r="E3686" t="s">
        <v>38</v>
      </c>
      <c r="F3686" t="s">
        <v>143</v>
      </c>
      <c r="G3686" t="s">
        <v>10</v>
      </c>
      <c r="H3686" s="72">
        <v>825</v>
      </c>
      <c r="I3686" s="72" t="s">
        <v>58</v>
      </c>
      <c r="J3686" t="str">
        <f t="shared" si="118"/>
        <v>Baker Lake</v>
      </c>
      <c r="K3686" t="str">
        <f>IFERROR(VLOOKUP(J3686,LUTs!$A$1:$C$73,2,FALSE),"NA")</f>
        <v>Whatcom</v>
      </c>
      <c r="L3686" t="str">
        <f>IFERROR(VLOOKUP(J3686,LUTs!$A$1:$C$73,3,FALSE),"NA")</f>
        <v>1North Puget Sound</v>
      </c>
      <c r="M3686" s="72" t="s">
        <v>16</v>
      </c>
      <c r="N3686" t="str">
        <f>VLOOKUP(M3686,LUTs!E$2:H$14,3,)</f>
        <v>03Snohomish</v>
      </c>
      <c r="O3686" t="str">
        <f>VLOOKUP(M3686,LUTs!E$2:H$14,4,)</f>
        <v>01North Puget Sound</v>
      </c>
      <c r="P3686" s="73">
        <v>1417.32957746479</v>
      </c>
      <c r="Q3686" s="74">
        <f>VLOOKUP(B3686,Readme!A$40:C$51,2,)*P3686</f>
        <v>4875.6137464788771</v>
      </c>
    </row>
    <row r="3687" spans="1:17" ht="12" customHeight="1" x14ac:dyDescent="0.35">
      <c r="A3687" s="75">
        <v>3686</v>
      </c>
      <c r="B3687" s="64">
        <v>2021</v>
      </c>
      <c r="C3687" s="64">
        <v>7</v>
      </c>
      <c r="D3687" s="80">
        <f t="shared" si="117"/>
        <v>2021</v>
      </c>
      <c r="E3687" t="s">
        <v>38</v>
      </c>
      <c r="F3687" t="s">
        <v>143</v>
      </c>
      <c r="G3687" t="s">
        <v>10</v>
      </c>
      <c r="H3687" s="72">
        <v>825</v>
      </c>
      <c r="I3687" s="72" t="s">
        <v>58</v>
      </c>
      <c r="J3687" t="str">
        <f t="shared" si="118"/>
        <v>Baker Lake</v>
      </c>
      <c r="K3687" t="str">
        <f>IFERROR(VLOOKUP(J3687,LUTs!$A$1:$C$73,2,FALSE),"NA")</f>
        <v>Whatcom</v>
      </c>
      <c r="L3687" t="str">
        <f>IFERROR(VLOOKUP(J3687,LUTs!$A$1:$C$73,3,FALSE),"NA")</f>
        <v>1North Puget Sound</v>
      </c>
      <c r="M3687" s="72" t="s">
        <v>13</v>
      </c>
      <c r="N3687" t="str">
        <f>VLOOKUP(M3687,LUTs!E$2:H$14,3,)</f>
        <v>01Whatcom</v>
      </c>
      <c r="O3687" t="str">
        <f>VLOOKUP(M3687,LUTs!E$2:H$14,4,)</f>
        <v>01North Puget Sound</v>
      </c>
      <c r="P3687" s="73">
        <v>558.75492957746496</v>
      </c>
      <c r="Q3687" s="74">
        <f>VLOOKUP(B3687,Readme!A$40:C$51,2,)*P3687</f>
        <v>1922.1169577464796</v>
      </c>
    </row>
    <row r="3688" spans="1:17" ht="12" customHeight="1" x14ac:dyDescent="0.35">
      <c r="A3688" s="75">
        <v>3687</v>
      </c>
      <c r="B3688" s="64">
        <v>2021</v>
      </c>
      <c r="C3688" s="64">
        <v>8</v>
      </c>
      <c r="D3688" s="80">
        <f t="shared" si="117"/>
        <v>2021</v>
      </c>
      <c r="E3688" t="s">
        <v>38</v>
      </c>
      <c r="F3688" t="s">
        <v>143</v>
      </c>
      <c r="G3688" t="s">
        <v>10</v>
      </c>
      <c r="H3688" s="72">
        <v>825</v>
      </c>
      <c r="I3688" s="72" t="s">
        <v>58</v>
      </c>
      <c r="J3688" t="str">
        <f t="shared" si="118"/>
        <v>Baker Lake</v>
      </c>
      <c r="K3688" t="str">
        <f>IFERROR(VLOOKUP(J3688,LUTs!$A$1:$C$73,2,FALSE),"NA")</f>
        <v>Whatcom</v>
      </c>
      <c r="L3688" t="str">
        <f>IFERROR(VLOOKUP(J3688,LUTs!$A$1:$C$73,3,FALSE),"NA")</f>
        <v>1North Puget Sound</v>
      </c>
      <c r="M3688" s="72" t="s">
        <v>18</v>
      </c>
      <c r="N3688" t="str">
        <f>VLOOKUP(M3688,LUTs!E$2:H$14,3,)</f>
        <v>06King</v>
      </c>
      <c r="O3688" t="str">
        <f>VLOOKUP(M3688,LUTs!E$2:H$14,4,)</f>
        <v>02South Puget Sound</v>
      </c>
      <c r="P3688" s="73">
        <v>122.637362637363</v>
      </c>
      <c r="Q3688" s="74">
        <f>VLOOKUP(B3688,Readme!A$40:C$51,2,)*P3688</f>
        <v>421.8725274725287</v>
      </c>
    </row>
    <row r="3689" spans="1:17" ht="12" customHeight="1" x14ac:dyDescent="0.35">
      <c r="A3689" s="75">
        <v>3688</v>
      </c>
      <c r="B3689" s="64">
        <v>2021</v>
      </c>
      <c r="C3689" s="64">
        <v>8</v>
      </c>
      <c r="D3689" s="80">
        <f t="shared" si="117"/>
        <v>2021</v>
      </c>
      <c r="E3689" t="s">
        <v>38</v>
      </c>
      <c r="F3689" t="s">
        <v>143</v>
      </c>
      <c r="G3689" t="s">
        <v>10</v>
      </c>
      <c r="H3689" s="72">
        <v>825</v>
      </c>
      <c r="I3689" s="72" t="s">
        <v>58</v>
      </c>
      <c r="J3689" t="str">
        <f t="shared" si="118"/>
        <v>Baker Lake</v>
      </c>
      <c r="K3689" t="str">
        <f>IFERROR(VLOOKUP(J3689,LUTs!$A$1:$C$73,2,FALSE),"NA")</f>
        <v>Whatcom</v>
      </c>
      <c r="L3689" t="str">
        <f>IFERROR(VLOOKUP(J3689,LUTs!$A$1:$C$73,3,FALSE),"NA")</f>
        <v>1North Puget Sound</v>
      </c>
      <c r="M3689" s="72" t="s">
        <v>26</v>
      </c>
      <c r="N3689" t="str">
        <f>VLOOKUP(M3689,LUTs!E$2:H$14,3,)</f>
        <v>20Other</v>
      </c>
      <c r="O3689" t="str">
        <f>VLOOKUP(M3689,LUTs!E$2:H$14,4,)</f>
        <v>07Non Puget Sound</v>
      </c>
      <c r="P3689" s="73">
        <v>27.252747252747302</v>
      </c>
      <c r="Q3689" s="74">
        <f>VLOOKUP(B3689,Readme!A$40:C$51,2,)*P3689</f>
        <v>93.749450549450714</v>
      </c>
    </row>
    <row r="3690" spans="1:17" ht="12" customHeight="1" x14ac:dyDescent="0.35">
      <c r="A3690" s="75">
        <v>3689</v>
      </c>
      <c r="B3690" s="64">
        <v>2021</v>
      </c>
      <c r="C3690" s="64">
        <v>8</v>
      </c>
      <c r="D3690" s="80">
        <f t="shared" si="117"/>
        <v>2021</v>
      </c>
      <c r="E3690" t="s">
        <v>38</v>
      </c>
      <c r="F3690" t="s">
        <v>143</v>
      </c>
      <c r="G3690" t="s">
        <v>10</v>
      </c>
      <c r="H3690" s="72">
        <v>825</v>
      </c>
      <c r="I3690" s="72" t="s">
        <v>58</v>
      </c>
      <c r="J3690" t="str">
        <f t="shared" si="118"/>
        <v>Baker Lake</v>
      </c>
      <c r="K3690" t="str">
        <f>IFERROR(VLOOKUP(J3690,LUTs!$A$1:$C$73,2,FALSE),"NA")</f>
        <v>Whatcom</v>
      </c>
      <c r="L3690" t="str">
        <f>IFERROR(VLOOKUP(J3690,LUTs!$A$1:$C$73,3,FALSE),"NA")</f>
        <v>1North Puget Sound</v>
      </c>
      <c r="M3690" s="72" t="s">
        <v>20</v>
      </c>
      <c r="N3690" t="str">
        <f>VLOOKUP(M3690,LUTs!E$2:H$14,3,)</f>
        <v>07Pierce</v>
      </c>
      <c r="O3690" t="str">
        <f>VLOOKUP(M3690,LUTs!E$2:H$14,4,)</f>
        <v>02South Puget Sound</v>
      </c>
      <c r="P3690" s="73">
        <v>27.252747252747302</v>
      </c>
      <c r="Q3690" s="74">
        <f>VLOOKUP(B3690,Readme!A$40:C$51,2,)*P3690</f>
        <v>93.749450549450714</v>
      </c>
    </row>
    <row r="3691" spans="1:17" ht="12" customHeight="1" x14ac:dyDescent="0.35">
      <c r="A3691" s="75">
        <v>3690</v>
      </c>
      <c r="B3691" s="64">
        <v>2021</v>
      </c>
      <c r="C3691" s="64">
        <v>8</v>
      </c>
      <c r="D3691" s="80">
        <f t="shared" si="117"/>
        <v>2021</v>
      </c>
      <c r="E3691" t="s">
        <v>38</v>
      </c>
      <c r="F3691" t="s">
        <v>143</v>
      </c>
      <c r="G3691" t="s">
        <v>10</v>
      </c>
      <c r="H3691" s="72">
        <v>825</v>
      </c>
      <c r="I3691" s="72" t="s">
        <v>58</v>
      </c>
      <c r="J3691" t="str">
        <f t="shared" si="118"/>
        <v>Baker Lake</v>
      </c>
      <c r="K3691" t="str">
        <f>IFERROR(VLOOKUP(J3691,LUTs!$A$1:$C$73,2,FALSE),"NA")</f>
        <v>Whatcom</v>
      </c>
      <c r="L3691" t="str">
        <f>IFERROR(VLOOKUP(J3691,LUTs!$A$1:$C$73,3,FALSE),"NA")</f>
        <v>1North Puget Sound</v>
      </c>
      <c r="M3691" s="72" t="s">
        <v>15</v>
      </c>
      <c r="N3691" t="str">
        <f>VLOOKUP(M3691,LUTs!E$2:H$14,3,)</f>
        <v>02Skagit</v>
      </c>
      <c r="O3691" t="str">
        <f>VLOOKUP(M3691,LUTs!E$2:H$14,4,)</f>
        <v>01North Puget Sound</v>
      </c>
      <c r="P3691" s="73">
        <v>749.45054945054903</v>
      </c>
      <c r="Q3691" s="74">
        <f>VLOOKUP(B3691,Readme!A$40:C$51,2,)*P3691</f>
        <v>2578.1098901098885</v>
      </c>
    </row>
    <row r="3692" spans="1:17" ht="12" customHeight="1" x14ac:dyDescent="0.35">
      <c r="A3692" s="75">
        <v>3691</v>
      </c>
      <c r="B3692" s="64">
        <v>2021</v>
      </c>
      <c r="C3692" s="64">
        <v>8</v>
      </c>
      <c r="D3692" s="80">
        <f t="shared" si="117"/>
        <v>2021</v>
      </c>
      <c r="E3692" t="s">
        <v>38</v>
      </c>
      <c r="F3692" t="s">
        <v>143</v>
      </c>
      <c r="G3692" t="s">
        <v>10</v>
      </c>
      <c r="H3692" s="72">
        <v>825</v>
      </c>
      <c r="I3692" s="72" t="s">
        <v>58</v>
      </c>
      <c r="J3692" t="str">
        <f t="shared" si="118"/>
        <v>Baker Lake</v>
      </c>
      <c r="K3692" t="str">
        <f>IFERROR(VLOOKUP(J3692,LUTs!$A$1:$C$73,2,FALSE),"NA")</f>
        <v>Whatcom</v>
      </c>
      <c r="L3692" t="str">
        <f>IFERROR(VLOOKUP(J3692,LUTs!$A$1:$C$73,3,FALSE),"NA")</f>
        <v>1North Puget Sound</v>
      </c>
      <c r="M3692" s="72" t="s">
        <v>16</v>
      </c>
      <c r="N3692" t="str">
        <f>VLOOKUP(M3692,LUTs!E$2:H$14,3,)</f>
        <v>03Snohomish</v>
      </c>
      <c r="O3692" t="str">
        <f>VLOOKUP(M3692,LUTs!E$2:H$14,4,)</f>
        <v>01North Puget Sound</v>
      </c>
      <c r="P3692" s="73">
        <v>218.02197802197799</v>
      </c>
      <c r="Q3692" s="74">
        <f>VLOOKUP(B3692,Readme!A$40:C$51,2,)*P3692</f>
        <v>749.99560439560423</v>
      </c>
    </row>
    <row r="3693" spans="1:17" ht="12" customHeight="1" x14ac:dyDescent="0.35">
      <c r="A3693" s="75">
        <v>3692</v>
      </c>
      <c r="B3693" s="64">
        <v>2021</v>
      </c>
      <c r="C3693" s="64">
        <v>8</v>
      </c>
      <c r="D3693" s="80">
        <f t="shared" si="117"/>
        <v>2021</v>
      </c>
      <c r="E3693" t="s">
        <v>38</v>
      </c>
      <c r="F3693" t="s">
        <v>143</v>
      </c>
      <c r="G3693" t="s">
        <v>10</v>
      </c>
      <c r="H3693" s="72">
        <v>825</v>
      </c>
      <c r="I3693" s="72" t="s">
        <v>58</v>
      </c>
      <c r="J3693" t="str">
        <f t="shared" si="118"/>
        <v>Baker Lake</v>
      </c>
      <c r="K3693" t="str">
        <f>IFERROR(VLOOKUP(J3693,LUTs!$A$1:$C$73,2,FALSE),"NA")</f>
        <v>Whatcom</v>
      </c>
      <c r="L3693" t="str">
        <f>IFERROR(VLOOKUP(J3693,LUTs!$A$1:$C$73,3,FALSE),"NA")</f>
        <v>1North Puget Sound</v>
      </c>
      <c r="M3693" s="72" t="s">
        <v>21</v>
      </c>
      <c r="N3693" t="str">
        <f>VLOOKUP(M3693,LUTs!E$2:H$14,3,)</f>
        <v>08Thurston</v>
      </c>
      <c r="O3693" t="str">
        <f>VLOOKUP(M3693,LUTs!E$2:H$14,4,)</f>
        <v>02South Puget Sound</v>
      </c>
      <c r="P3693" s="73">
        <v>13.626373626373599</v>
      </c>
      <c r="Q3693" s="74">
        <f>VLOOKUP(B3693,Readme!A$40:C$51,2,)*P3693</f>
        <v>46.874725274725179</v>
      </c>
    </row>
    <row r="3694" spans="1:17" ht="12" customHeight="1" x14ac:dyDescent="0.35">
      <c r="A3694" s="75">
        <v>3693</v>
      </c>
      <c r="B3694" s="64">
        <v>2021</v>
      </c>
      <c r="C3694" s="64">
        <v>8</v>
      </c>
      <c r="D3694" s="80">
        <f t="shared" si="117"/>
        <v>2021</v>
      </c>
      <c r="E3694" t="s">
        <v>38</v>
      </c>
      <c r="F3694" t="s">
        <v>143</v>
      </c>
      <c r="G3694" t="s">
        <v>10</v>
      </c>
      <c r="H3694" s="72">
        <v>825</v>
      </c>
      <c r="I3694" s="72" t="s">
        <v>58</v>
      </c>
      <c r="J3694" t="str">
        <f t="shared" si="118"/>
        <v>Baker Lake</v>
      </c>
      <c r="K3694" t="str">
        <f>IFERROR(VLOOKUP(J3694,LUTs!$A$1:$C$73,2,FALSE),"NA")</f>
        <v>Whatcom</v>
      </c>
      <c r="L3694" t="str">
        <f>IFERROR(VLOOKUP(J3694,LUTs!$A$1:$C$73,3,FALSE),"NA")</f>
        <v>1North Puget Sound</v>
      </c>
      <c r="M3694" s="72" t="s">
        <v>13</v>
      </c>
      <c r="N3694" t="str">
        <f>VLOOKUP(M3694,LUTs!E$2:H$14,3,)</f>
        <v>01Whatcom</v>
      </c>
      <c r="O3694" t="str">
        <f>VLOOKUP(M3694,LUTs!E$2:H$14,4,)</f>
        <v>01North Puget Sound</v>
      </c>
      <c r="P3694" s="73">
        <v>81.758241758241795</v>
      </c>
      <c r="Q3694" s="74">
        <f>VLOOKUP(B3694,Readme!A$40:C$51,2,)*P3694</f>
        <v>281.24835164835179</v>
      </c>
    </row>
    <row r="3695" spans="1:17" ht="12" customHeight="1" x14ac:dyDescent="0.35">
      <c r="A3695" s="75">
        <v>3694</v>
      </c>
      <c r="B3695" s="64">
        <v>2021</v>
      </c>
      <c r="C3695" s="64">
        <v>9</v>
      </c>
      <c r="D3695" s="80">
        <f t="shared" si="117"/>
        <v>2021</v>
      </c>
      <c r="E3695" t="s">
        <v>38</v>
      </c>
      <c r="F3695" t="s">
        <v>143</v>
      </c>
      <c r="G3695" t="s">
        <v>10</v>
      </c>
      <c r="H3695" s="72">
        <v>825</v>
      </c>
      <c r="I3695" s="72" t="s">
        <v>58</v>
      </c>
      <c r="J3695" t="str">
        <f t="shared" si="118"/>
        <v>Baker Lake</v>
      </c>
      <c r="K3695" t="str">
        <f>IFERROR(VLOOKUP(J3695,LUTs!$A$1:$C$73,2,FALSE),"NA")</f>
        <v>Whatcom</v>
      </c>
      <c r="L3695" t="str">
        <f>IFERROR(VLOOKUP(J3695,LUTs!$A$1:$C$73,3,FALSE),"NA")</f>
        <v>1North Puget Sound</v>
      </c>
      <c r="M3695" s="72" t="s">
        <v>15</v>
      </c>
      <c r="N3695" t="str">
        <f>VLOOKUP(M3695,LUTs!E$2:H$14,3,)</f>
        <v>02Skagit</v>
      </c>
      <c r="O3695" t="str">
        <f>VLOOKUP(M3695,LUTs!E$2:H$14,4,)</f>
        <v>01North Puget Sound</v>
      </c>
      <c r="P3695" s="73">
        <v>14</v>
      </c>
      <c r="Q3695" s="74">
        <f>VLOOKUP(B3695,Readme!A$40:C$51,2,)*P3695</f>
        <v>48.16</v>
      </c>
    </row>
    <row r="3696" spans="1:17" ht="12" customHeight="1" x14ac:dyDescent="0.35">
      <c r="A3696" s="75">
        <v>3695</v>
      </c>
      <c r="B3696" s="64">
        <v>2021</v>
      </c>
      <c r="C3696" s="64">
        <v>6</v>
      </c>
      <c r="D3696" s="80">
        <f t="shared" si="117"/>
        <v>2021</v>
      </c>
      <c r="E3696" t="s">
        <v>38</v>
      </c>
      <c r="F3696" t="s">
        <v>143</v>
      </c>
      <c r="G3696" t="s">
        <v>10</v>
      </c>
      <c r="H3696" s="72">
        <v>826</v>
      </c>
      <c r="I3696" s="72" t="s">
        <v>59</v>
      </c>
      <c r="J3696" t="str">
        <f t="shared" si="118"/>
        <v>Cascade River</v>
      </c>
      <c r="K3696" t="str">
        <f>IFERROR(VLOOKUP(J3696,LUTs!$A$1:$C$73,2,FALSE),"NA")</f>
        <v>Skagit</v>
      </c>
      <c r="L3696" t="str">
        <f>IFERROR(VLOOKUP(J3696,LUTs!$A$1:$C$73,3,FALSE),"NA")</f>
        <v>1North Puget Sound</v>
      </c>
      <c r="M3696" s="72" t="s">
        <v>16</v>
      </c>
      <c r="N3696" t="str">
        <f>VLOOKUP(M3696,LUTs!E$2:H$14,3,)</f>
        <v>03Snohomish</v>
      </c>
      <c r="O3696" t="str">
        <f>VLOOKUP(M3696,LUTs!E$2:H$14,4,)</f>
        <v>01North Puget Sound</v>
      </c>
      <c r="P3696" s="73">
        <v>76</v>
      </c>
      <c r="Q3696" s="74">
        <f>VLOOKUP(B3696,Readme!A$40:C$51,2,)*P3696</f>
        <v>261.44</v>
      </c>
    </row>
    <row r="3697" spans="1:17" ht="12" customHeight="1" x14ac:dyDescent="0.35">
      <c r="A3697" s="75">
        <v>3696</v>
      </c>
      <c r="B3697" s="64">
        <v>2021</v>
      </c>
      <c r="C3697" s="64">
        <v>9</v>
      </c>
      <c r="D3697" s="80">
        <f t="shared" si="117"/>
        <v>2021</v>
      </c>
      <c r="E3697" t="s">
        <v>38</v>
      </c>
      <c r="F3697" t="s">
        <v>143</v>
      </c>
      <c r="G3697" t="s">
        <v>10</v>
      </c>
      <c r="H3697" s="72">
        <v>826</v>
      </c>
      <c r="I3697" s="72" t="s">
        <v>59</v>
      </c>
      <c r="J3697" t="str">
        <f t="shared" si="118"/>
        <v>Cascade River</v>
      </c>
      <c r="K3697" t="str">
        <f>IFERROR(VLOOKUP(J3697,LUTs!$A$1:$C$73,2,FALSE),"NA")</f>
        <v>Skagit</v>
      </c>
      <c r="L3697" t="str">
        <f>IFERROR(VLOOKUP(J3697,LUTs!$A$1:$C$73,3,FALSE),"NA")</f>
        <v>1North Puget Sound</v>
      </c>
      <c r="M3697" s="72" t="s">
        <v>17</v>
      </c>
      <c r="N3697" t="str">
        <f>VLOOKUP(M3697,LUTs!E$2:H$14,3,)</f>
        <v>04Island</v>
      </c>
      <c r="O3697" t="str">
        <f>VLOOKUP(M3697,LUTs!E$2:H$14,4,)</f>
        <v>01North Puget Sound</v>
      </c>
      <c r="P3697" s="73">
        <v>135.60975609756099</v>
      </c>
      <c r="Q3697" s="74">
        <f>VLOOKUP(B3697,Readme!A$40:C$51,2,)*P3697</f>
        <v>466.49756097560982</v>
      </c>
    </row>
    <row r="3698" spans="1:17" ht="12" customHeight="1" x14ac:dyDescent="0.35">
      <c r="A3698" s="75">
        <v>3697</v>
      </c>
      <c r="B3698" s="64">
        <v>2021</v>
      </c>
      <c r="C3698" s="64">
        <v>9</v>
      </c>
      <c r="D3698" s="80">
        <f t="shared" si="117"/>
        <v>2021</v>
      </c>
      <c r="E3698" t="s">
        <v>38</v>
      </c>
      <c r="F3698" t="s">
        <v>143</v>
      </c>
      <c r="G3698" t="s">
        <v>10</v>
      </c>
      <c r="H3698" s="72">
        <v>826</v>
      </c>
      <c r="I3698" s="72" t="s">
        <v>59</v>
      </c>
      <c r="J3698" t="str">
        <f t="shared" si="118"/>
        <v>Cascade River</v>
      </c>
      <c r="K3698" t="str">
        <f>IFERROR(VLOOKUP(J3698,LUTs!$A$1:$C$73,2,FALSE),"NA")</f>
        <v>Skagit</v>
      </c>
      <c r="L3698" t="str">
        <f>IFERROR(VLOOKUP(J3698,LUTs!$A$1:$C$73,3,FALSE),"NA")</f>
        <v>1North Puget Sound</v>
      </c>
      <c r="M3698" s="72" t="s">
        <v>18</v>
      </c>
      <c r="N3698" t="str">
        <f>VLOOKUP(M3698,LUTs!E$2:H$14,3,)</f>
        <v>06King</v>
      </c>
      <c r="O3698" t="str">
        <f>VLOOKUP(M3698,LUTs!E$2:H$14,4,)</f>
        <v>02South Puget Sound</v>
      </c>
      <c r="P3698" s="73">
        <v>94.926829268292707</v>
      </c>
      <c r="Q3698" s="74">
        <f>VLOOKUP(B3698,Readme!A$40:C$51,2,)*P3698</f>
        <v>326.5482926829269</v>
      </c>
    </row>
    <row r="3699" spans="1:17" ht="12" customHeight="1" x14ac:dyDescent="0.35">
      <c r="A3699" s="75">
        <v>3698</v>
      </c>
      <c r="B3699" s="64">
        <v>2021</v>
      </c>
      <c r="C3699" s="64">
        <v>9</v>
      </c>
      <c r="D3699" s="80">
        <f t="shared" si="117"/>
        <v>2021</v>
      </c>
      <c r="E3699" t="s">
        <v>38</v>
      </c>
      <c r="F3699" t="s">
        <v>143</v>
      </c>
      <c r="G3699" t="s">
        <v>10</v>
      </c>
      <c r="H3699" s="72">
        <v>826</v>
      </c>
      <c r="I3699" s="72" t="s">
        <v>59</v>
      </c>
      <c r="J3699" t="str">
        <f t="shared" si="118"/>
        <v>Cascade River</v>
      </c>
      <c r="K3699" t="str">
        <f>IFERROR(VLOOKUP(J3699,LUTs!$A$1:$C$73,2,FALSE),"NA")</f>
        <v>Skagit</v>
      </c>
      <c r="L3699" t="str">
        <f>IFERROR(VLOOKUP(J3699,LUTs!$A$1:$C$73,3,FALSE),"NA")</f>
        <v>1North Puget Sound</v>
      </c>
      <c r="M3699" s="72" t="s">
        <v>15</v>
      </c>
      <c r="N3699" t="str">
        <f>VLOOKUP(M3699,LUTs!E$2:H$14,3,)</f>
        <v>02Skagit</v>
      </c>
      <c r="O3699" t="str">
        <f>VLOOKUP(M3699,LUTs!E$2:H$14,4,)</f>
        <v>01North Puget Sound</v>
      </c>
      <c r="P3699" s="73">
        <v>135.60975609756099</v>
      </c>
      <c r="Q3699" s="74">
        <f>VLOOKUP(B3699,Readme!A$40:C$51,2,)*P3699</f>
        <v>466.49756097560982</v>
      </c>
    </row>
    <row r="3700" spans="1:17" ht="12" customHeight="1" x14ac:dyDescent="0.35">
      <c r="A3700" s="75">
        <v>3699</v>
      </c>
      <c r="B3700" s="64">
        <v>2021</v>
      </c>
      <c r="C3700" s="64">
        <v>9</v>
      </c>
      <c r="D3700" s="80">
        <f t="shared" si="117"/>
        <v>2021</v>
      </c>
      <c r="E3700" t="s">
        <v>38</v>
      </c>
      <c r="F3700" t="s">
        <v>143</v>
      </c>
      <c r="G3700" t="s">
        <v>10</v>
      </c>
      <c r="H3700" s="72">
        <v>826</v>
      </c>
      <c r="I3700" s="72" t="s">
        <v>59</v>
      </c>
      <c r="J3700" t="str">
        <f t="shared" si="118"/>
        <v>Cascade River</v>
      </c>
      <c r="K3700" t="str">
        <f>IFERROR(VLOOKUP(J3700,LUTs!$A$1:$C$73,2,FALSE),"NA")</f>
        <v>Skagit</v>
      </c>
      <c r="L3700" t="str">
        <f>IFERROR(VLOOKUP(J3700,LUTs!$A$1:$C$73,3,FALSE),"NA")</f>
        <v>1North Puget Sound</v>
      </c>
      <c r="M3700" s="72" t="s">
        <v>16</v>
      </c>
      <c r="N3700" t="str">
        <f>VLOOKUP(M3700,LUTs!E$2:H$14,3,)</f>
        <v>03Snohomish</v>
      </c>
      <c r="O3700" t="str">
        <f>VLOOKUP(M3700,LUTs!E$2:H$14,4,)</f>
        <v>01North Puget Sound</v>
      </c>
      <c r="P3700" s="73">
        <v>189.85365853658499</v>
      </c>
      <c r="Q3700" s="74">
        <f>VLOOKUP(B3700,Readme!A$40:C$51,2,)*P3700</f>
        <v>653.09658536585232</v>
      </c>
    </row>
    <row r="3701" spans="1:17" ht="12" customHeight="1" x14ac:dyDescent="0.35">
      <c r="A3701" s="75">
        <v>3700</v>
      </c>
      <c r="B3701" s="64">
        <v>2021</v>
      </c>
      <c r="C3701" s="64">
        <v>10</v>
      </c>
      <c r="D3701" s="80">
        <f t="shared" si="117"/>
        <v>2021</v>
      </c>
      <c r="E3701" t="s">
        <v>38</v>
      </c>
      <c r="F3701" t="s">
        <v>143</v>
      </c>
      <c r="G3701" t="s">
        <v>10</v>
      </c>
      <c r="H3701" s="72">
        <v>826</v>
      </c>
      <c r="I3701" s="72" t="s">
        <v>59</v>
      </c>
      <c r="J3701" t="str">
        <f t="shared" si="118"/>
        <v>Cascade River</v>
      </c>
      <c r="K3701" t="str">
        <f>IFERROR(VLOOKUP(J3701,LUTs!$A$1:$C$73,2,FALSE),"NA")</f>
        <v>Skagit</v>
      </c>
      <c r="L3701" t="str">
        <f>IFERROR(VLOOKUP(J3701,LUTs!$A$1:$C$73,3,FALSE),"NA")</f>
        <v>1North Puget Sound</v>
      </c>
      <c r="M3701" s="72" t="s">
        <v>17</v>
      </c>
      <c r="N3701" t="str">
        <f>VLOOKUP(M3701,LUTs!E$2:H$14,3,)</f>
        <v>04Island</v>
      </c>
      <c r="O3701" t="str">
        <f>VLOOKUP(M3701,LUTs!E$2:H$14,4,)</f>
        <v>01North Puget Sound</v>
      </c>
      <c r="P3701" s="73">
        <v>393.46354166666703</v>
      </c>
      <c r="Q3701" s="74">
        <f>VLOOKUP(B3701,Readme!A$40:C$51,2,)*P3701</f>
        <v>1353.5145833333345</v>
      </c>
    </row>
    <row r="3702" spans="1:17" ht="12" customHeight="1" x14ac:dyDescent="0.35">
      <c r="A3702" s="75">
        <v>3701</v>
      </c>
      <c r="B3702" s="64">
        <v>2021</v>
      </c>
      <c r="C3702" s="64">
        <v>10</v>
      </c>
      <c r="D3702" s="80">
        <f t="shared" si="117"/>
        <v>2021</v>
      </c>
      <c r="E3702" t="s">
        <v>38</v>
      </c>
      <c r="F3702" t="s">
        <v>143</v>
      </c>
      <c r="G3702" t="s">
        <v>10</v>
      </c>
      <c r="H3702" s="72">
        <v>826</v>
      </c>
      <c r="I3702" s="72" t="s">
        <v>59</v>
      </c>
      <c r="J3702" t="str">
        <f t="shared" si="118"/>
        <v>Cascade River</v>
      </c>
      <c r="K3702" t="str">
        <f>IFERROR(VLOOKUP(J3702,LUTs!$A$1:$C$73,2,FALSE),"NA")</f>
        <v>Skagit</v>
      </c>
      <c r="L3702" t="str">
        <f>IFERROR(VLOOKUP(J3702,LUTs!$A$1:$C$73,3,FALSE),"NA")</f>
        <v>1North Puget Sound</v>
      </c>
      <c r="M3702" s="72" t="s">
        <v>18</v>
      </c>
      <c r="N3702" t="str">
        <f>VLOOKUP(M3702,LUTs!E$2:H$14,3,)</f>
        <v>06King</v>
      </c>
      <c r="O3702" t="str">
        <f>VLOOKUP(M3702,LUTs!E$2:H$14,4,)</f>
        <v>02South Puget Sound</v>
      </c>
      <c r="P3702" s="73">
        <v>298.48958333333297</v>
      </c>
      <c r="Q3702" s="74">
        <f>VLOOKUP(B3702,Readme!A$40:C$51,2,)*P3702</f>
        <v>1026.8041666666654</v>
      </c>
    </row>
    <row r="3703" spans="1:17" ht="12" customHeight="1" x14ac:dyDescent="0.35">
      <c r="A3703" s="75">
        <v>3702</v>
      </c>
      <c r="B3703" s="64">
        <v>2021</v>
      </c>
      <c r="C3703" s="64">
        <v>10</v>
      </c>
      <c r="D3703" s="80">
        <f t="shared" si="117"/>
        <v>2021</v>
      </c>
      <c r="E3703" t="s">
        <v>38</v>
      </c>
      <c r="F3703" t="s">
        <v>143</v>
      </c>
      <c r="G3703" t="s">
        <v>10</v>
      </c>
      <c r="H3703" s="72">
        <v>826</v>
      </c>
      <c r="I3703" s="72" t="s">
        <v>59</v>
      </c>
      <c r="J3703" t="str">
        <f t="shared" si="118"/>
        <v>Cascade River</v>
      </c>
      <c r="K3703" t="str">
        <f>IFERROR(VLOOKUP(J3703,LUTs!$A$1:$C$73,2,FALSE),"NA")</f>
        <v>Skagit</v>
      </c>
      <c r="L3703" t="str">
        <f>IFERROR(VLOOKUP(J3703,LUTs!$A$1:$C$73,3,FALSE),"NA")</f>
        <v>1North Puget Sound</v>
      </c>
      <c r="M3703" s="72" t="s">
        <v>26</v>
      </c>
      <c r="N3703" t="str">
        <f>VLOOKUP(M3703,LUTs!E$2:H$14,3,)</f>
        <v>20Other</v>
      </c>
      <c r="O3703" t="str">
        <f>VLOOKUP(M3703,LUTs!E$2:H$14,4,)</f>
        <v>07Non Puget Sound</v>
      </c>
      <c r="P3703" s="73">
        <v>325.625</v>
      </c>
      <c r="Q3703" s="74">
        <f>VLOOKUP(B3703,Readme!A$40:C$51,2,)*P3703</f>
        <v>1120.1500000000001</v>
      </c>
    </row>
    <row r="3704" spans="1:17" ht="12" customHeight="1" x14ac:dyDescent="0.35">
      <c r="A3704" s="75">
        <v>3703</v>
      </c>
      <c r="B3704" s="64">
        <v>2021</v>
      </c>
      <c r="C3704" s="64">
        <v>10</v>
      </c>
      <c r="D3704" s="80">
        <f t="shared" si="117"/>
        <v>2021</v>
      </c>
      <c r="E3704" t="s">
        <v>38</v>
      </c>
      <c r="F3704" t="s">
        <v>143</v>
      </c>
      <c r="G3704" t="s">
        <v>10</v>
      </c>
      <c r="H3704" s="72">
        <v>826</v>
      </c>
      <c r="I3704" s="72" t="s">
        <v>59</v>
      </c>
      <c r="J3704" t="str">
        <f t="shared" si="118"/>
        <v>Cascade River</v>
      </c>
      <c r="K3704" t="str">
        <f>IFERROR(VLOOKUP(J3704,LUTs!$A$1:$C$73,2,FALSE),"NA")</f>
        <v>Skagit</v>
      </c>
      <c r="L3704" t="str">
        <f>IFERROR(VLOOKUP(J3704,LUTs!$A$1:$C$73,3,FALSE),"NA")</f>
        <v>1North Puget Sound</v>
      </c>
      <c r="M3704" s="72" t="s">
        <v>15</v>
      </c>
      <c r="N3704" t="str">
        <f>VLOOKUP(M3704,LUTs!E$2:H$14,3,)</f>
        <v>02Skagit</v>
      </c>
      <c r="O3704" t="str">
        <f>VLOOKUP(M3704,LUTs!E$2:H$14,4,)</f>
        <v>01North Puget Sound</v>
      </c>
      <c r="P3704" s="73">
        <v>800.49479166666697</v>
      </c>
      <c r="Q3704" s="74">
        <f>VLOOKUP(B3704,Readme!A$40:C$51,2,)*P3704</f>
        <v>2753.7020833333345</v>
      </c>
    </row>
    <row r="3705" spans="1:17" ht="12" customHeight="1" x14ac:dyDescent="0.35">
      <c r="A3705" s="75">
        <v>3704</v>
      </c>
      <c r="B3705" s="64">
        <v>2021</v>
      </c>
      <c r="C3705" s="64">
        <v>10</v>
      </c>
      <c r="D3705" s="80">
        <f t="shared" si="117"/>
        <v>2021</v>
      </c>
      <c r="E3705" t="s">
        <v>38</v>
      </c>
      <c r="F3705" t="s">
        <v>143</v>
      </c>
      <c r="G3705" t="s">
        <v>10</v>
      </c>
      <c r="H3705" s="72">
        <v>826</v>
      </c>
      <c r="I3705" s="72" t="s">
        <v>59</v>
      </c>
      <c r="J3705" t="str">
        <f t="shared" si="118"/>
        <v>Cascade River</v>
      </c>
      <c r="K3705" t="str">
        <f>IFERROR(VLOOKUP(J3705,LUTs!$A$1:$C$73,2,FALSE),"NA")</f>
        <v>Skagit</v>
      </c>
      <c r="L3705" t="str">
        <f>IFERROR(VLOOKUP(J3705,LUTs!$A$1:$C$73,3,FALSE),"NA")</f>
        <v>1North Puget Sound</v>
      </c>
      <c r="M3705" s="72" t="s">
        <v>16</v>
      </c>
      <c r="N3705" t="str">
        <f>VLOOKUP(M3705,LUTs!E$2:H$14,3,)</f>
        <v>03Snohomish</v>
      </c>
      <c r="O3705" t="str">
        <f>VLOOKUP(M3705,LUTs!E$2:H$14,4,)</f>
        <v>01North Puget Sound</v>
      </c>
      <c r="P3705" s="73">
        <v>624.11458333333303</v>
      </c>
      <c r="Q3705" s="74">
        <f>VLOOKUP(B3705,Readme!A$40:C$51,2,)*P3705</f>
        <v>2146.9541666666655</v>
      </c>
    </row>
    <row r="3706" spans="1:17" ht="12" customHeight="1" x14ac:dyDescent="0.35">
      <c r="A3706" s="75">
        <v>3705</v>
      </c>
      <c r="B3706" s="64">
        <v>2021</v>
      </c>
      <c r="C3706" s="64">
        <v>10</v>
      </c>
      <c r="D3706" s="80">
        <f t="shared" ref="D3706:D3769" si="119">IF(C3706&gt;3,B3706,B3706-1)</f>
        <v>2021</v>
      </c>
      <c r="E3706" t="s">
        <v>38</v>
      </c>
      <c r="F3706" t="s">
        <v>143</v>
      </c>
      <c r="G3706" t="s">
        <v>10</v>
      </c>
      <c r="H3706" s="72">
        <v>826</v>
      </c>
      <c r="I3706" s="72" t="s">
        <v>59</v>
      </c>
      <c r="J3706" t="str">
        <f t="shared" si="118"/>
        <v>Cascade River</v>
      </c>
      <c r="K3706" t="str">
        <f>IFERROR(VLOOKUP(J3706,LUTs!$A$1:$C$73,2,FALSE),"NA")</f>
        <v>Skagit</v>
      </c>
      <c r="L3706" t="str">
        <f>IFERROR(VLOOKUP(J3706,LUTs!$A$1:$C$73,3,FALSE),"NA")</f>
        <v>1North Puget Sound</v>
      </c>
      <c r="M3706" s="72" t="s">
        <v>13</v>
      </c>
      <c r="N3706" t="str">
        <f>VLOOKUP(M3706,LUTs!E$2:H$14,3,)</f>
        <v>01Whatcom</v>
      </c>
      <c r="O3706" t="str">
        <f>VLOOKUP(M3706,LUTs!E$2:H$14,4,)</f>
        <v>01North Puget Sound</v>
      </c>
      <c r="P3706" s="73">
        <v>162.8125</v>
      </c>
      <c r="Q3706" s="74">
        <f>VLOOKUP(B3706,Readme!A$40:C$51,2,)*P3706</f>
        <v>560.07500000000005</v>
      </c>
    </row>
    <row r="3707" spans="1:17" ht="12" customHeight="1" x14ac:dyDescent="0.35">
      <c r="A3707" s="75">
        <v>3706</v>
      </c>
      <c r="B3707" s="64">
        <v>2021</v>
      </c>
      <c r="C3707" s="64">
        <v>11</v>
      </c>
      <c r="D3707" s="80">
        <f t="shared" si="119"/>
        <v>2021</v>
      </c>
      <c r="E3707" t="s">
        <v>38</v>
      </c>
      <c r="F3707" t="s">
        <v>143</v>
      </c>
      <c r="G3707" t="s">
        <v>10</v>
      </c>
      <c r="H3707" s="72">
        <v>826</v>
      </c>
      <c r="I3707" s="72" t="s">
        <v>59</v>
      </c>
      <c r="J3707" t="str">
        <f t="shared" si="118"/>
        <v>Cascade River</v>
      </c>
      <c r="K3707" t="str">
        <f>IFERROR(VLOOKUP(J3707,LUTs!$A$1:$C$73,2,FALSE),"NA")</f>
        <v>Skagit</v>
      </c>
      <c r="L3707" t="str">
        <f>IFERROR(VLOOKUP(J3707,LUTs!$A$1:$C$73,3,FALSE),"NA")</f>
        <v>1North Puget Sound</v>
      </c>
      <c r="M3707" s="72" t="s">
        <v>16</v>
      </c>
      <c r="N3707" t="str">
        <f>VLOOKUP(M3707,LUTs!E$2:H$14,3,)</f>
        <v>03Snohomish</v>
      </c>
      <c r="O3707" t="str">
        <f>VLOOKUP(M3707,LUTs!E$2:H$14,4,)</f>
        <v>01North Puget Sound</v>
      </c>
      <c r="P3707" s="73">
        <v>13.5</v>
      </c>
      <c r="Q3707" s="74">
        <f>VLOOKUP(B3707,Readme!A$40:C$51,2,)*P3707</f>
        <v>46.44</v>
      </c>
    </row>
    <row r="3708" spans="1:17" ht="12" customHeight="1" x14ac:dyDescent="0.35">
      <c r="A3708" s="75">
        <v>3707</v>
      </c>
      <c r="B3708" s="64">
        <v>2021</v>
      </c>
      <c r="C3708" s="64">
        <v>11</v>
      </c>
      <c r="D3708" s="80">
        <f t="shared" si="119"/>
        <v>2021</v>
      </c>
      <c r="E3708" t="s">
        <v>38</v>
      </c>
      <c r="F3708" t="s">
        <v>143</v>
      </c>
      <c r="G3708" t="s">
        <v>10</v>
      </c>
      <c r="H3708" s="72">
        <v>826</v>
      </c>
      <c r="I3708" s="72" t="s">
        <v>59</v>
      </c>
      <c r="J3708" t="str">
        <f t="shared" si="118"/>
        <v>Cascade River</v>
      </c>
      <c r="K3708" t="str">
        <f>IFERROR(VLOOKUP(J3708,LUTs!$A$1:$C$73,2,FALSE),"NA")</f>
        <v>Skagit</v>
      </c>
      <c r="L3708" t="str">
        <f>IFERROR(VLOOKUP(J3708,LUTs!$A$1:$C$73,3,FALSE),"NA")</f>
        <v>1North Puget Sound</v>
      </c>
      <c r="M3708" s="72" t="s">
        <v>13</v>
      </c>
      <c r="N3708" t="str">
        <f>VLOOKUP(M3708,LUTs!E$2:H$14,3,)</f>
        <v>01Whatcom</v>
      </c>
      <c r="O3708" t="str">
        <f>VLOOKUP(M3708,LUTs!E$2:H$14,4,)</f>
        <v>01North Puget Sound</v>
      </c>
      <c r="P3708" s="73">
        <v>13.5</v>
      </c>
      <c r="Q3708" s="74">
        <f>VLOOKUP(B3708,Readme!A$40:C$51,2,)*P3708</f>
        <v>46.44</v>
      </c>
    </row>
    <row r="3709" spans="1:17" ht="12" customHeight="1" x14ac:dyDescent="0.35">
      <c r="A3709" s="75">
        <v>3708</v>
      </c>
      <c r="B3709" s="64">
        <v>2021</v>
      </c>
      <c r="C3709" s="64">
        <v>6</v>
      </c>
      <c r="D3709" s="80">
        <f t="shared" si="119"/>
        <v>2021</v>
      </c>
      <c r="E3709" t="s">
        <v>38</v>
      </c>
      <c r="F3709" t="s">
        <v>143</v>
      </c>
      <c r="G3709" t="s">
        <v>10</v>
      </c>
      <c r="H3709" s="72">
        <v>830</v>
      </c>
      <c r="I3709" s="72" t="s">
        <v>60</v>
      </c>
      <c r="J3709" t="str">
        <f t="shared" si="118"/>
        <v>Skagit River</v>
      </c>
      <c r="K3709" t="str">
        <f>IFERROR(VLOOKUP(J3709,LUTs!$A$1:$C$73,2,FALSE),"NA")</f>
        <v>Skagit/Whatcom</v>
      </c>
      <c r="L3709" t="str">
        <f>IFERROR(VLOOKUP(J3709,LUTs!$A$1:$C$73,3,FALSE),"NA")</f>
        <v>2Central Puget Sound</v>
      </c>
      <c r="M3709" s="72" t="s">
        <v>15</v>
      </c>
      <c r="N3709" t="str">
        <f>VLOOKUP(M3709,LUTs!E$2:H$14,3,)</f>
        <v>02Skagit</v>
      </c>
      <c r="O3709" t="str">
        <f>VLOOKUP(M3709,LUTs!E$2:H$14,4,)</f>
        <v>01North Puget Sound</v>
      </c>
      <c r="P3709" s="73">
        <v>57</v>
      </c>
      <c r="Q3709" s="74">
        <f>VLOOKUP(B3709,Readme!A$40:C$51,2,)*P3709</f>
        <v>196.07999999999998</v>
      </c>
    </row>
    <row r="3710" spans="1:17" ht="12" customHeight="1" x14ac:dyDescent="0.35">
      <c r="A3710" s="75">
        <v>3709</v>
      </c>
      <c r="B3710" s="64">
        <v>2021</v>
      </c>
      <c r="C3710" s="64">
        <v>7</v>
      </c>
      <c r="D3710" s="80">
        <f t="shared" si="119"/>
        <v>2021</v>
      </c>
      <c r="E3710" t="s">
        <v>38</v>
      </c>
      <c r="F3710" t="s">
        <v>143</v>
      </c>
      <c r="G3710" t="s">
        <v>10</v>
      </c>
      <c r="H3710" s="72">
        <v>830</v>
      </c>
      <c r="I3710" s="72" t="s">
        <v>60</v>
      </c>
      <c r="J3710" t="str">
        <f t="shared" si="118"/>
        <v>Skagit River</v>
      </c>
      <c r="K3710" t="str">
        <f>IFERROR(VLOOKUP(J3710,LUTs!$A$1:$C$73,2,FALSE),"NA")</f>
        <v>Skagit/Whatcom</v>
      </c>
      <c r="L3710" t="str">
        <f>IFERROR(VLOOKUP(J3710,LUTs!$A$1:$C$73,3,FALSE),"NA")</f>
        <v>2Central Puget Sound</v>
      </c>
      <c r="M3710" s="72" t="s">
        <v>15</v>
      </c>
      <c r="N3710" t="str">
        <f>VLOOKUP(M3710,LUTs!E$2:H$14,3,)</f>
        <v>02Skagit</v>
      </c>
      <c r="O3710" t="str">
        <f>VLOOKUP(M3710,LUTs!E$2:H$14,4,)</f>
        <v>01North Puget Sound</v>
      </c>
      <c r="P3710" s="73">
        <v>0</v>
      </c>
      <c r="Q3710" s="74">
        <f>VLOOKUP(B3710,Readme!A$40:C$51,2,)*P3710</f>
        <v>0</v>
      </c>
    </row>
    <row r="3711" spans="1:17" ht="12" customHeight="1" x14ac:dyDescent="0.35">
      <c r="A3711" s="75">
        <v>3710</v>
      </c>
      <c r="B3711" s="64">
        <v>2021</v>
      </c>
      <c r="C3711" s="64">
        <v>7</v>
      </c>
      <c r="D3711" s="80">
        <f t="shared" si="119"/>
        <v>2021</v>
      </c>
      <c r="E3711" t="s">
        <v>38</v>
      </c>
      <c r="F3711" t="s">
        <v>143</v>
      </c>
      <c r="G3711" t="s">
        <v>10</v>
      </c>
      <c r="H3711" s="72">
        <v>830</v>
      </c>
      <c r="I3711" s="72" t="s">
        <v>60</v>
      </c>
      <c r="J3711" t="str">
        <f t="shared" si="118"/>
        <v>Skagit River</v>
      </c>
      <c r="K3711" t="str">
        <f>IFERROR(VLOOKUP(J3711,LUTs!$A$1:$C$73,2,FALSE),"NA")</f>
        <v>Skagit/Whatcom</v>
      </c>
      <c r="L3711" t="str">
        <f>IFERROR(VLOOKUP(J3711,LUTs!$A$1:$C$73,3,FALSE),"NA")</f>
        <v>2Central Puget Sound</v>
      </c>
      <c r="M3711" s="72" t="s">
        <v>16</v>
      </c>
      <c r="N3711" t="str">
        <f>VLOOKUP(M3711,LUTs!E$2:H$14,3,)</f>
        <v>03Snohomish</v>
      </c>
      <c r="O3711" t="str">
        <f>VLOOKUP(M3711,LUTs!E$2:H$14,4,)</f>
        <v>01North Puget Sound</v>
      </c>
      <c r="P3711" s="73">
        <v>0</v>
      </c>
      <c r="Q3711" s="74">
        <f>VLOOKUP(B3711,Readme!A$40:C$51,2,)*P3711</f>
        <v>0</v>
      </c>
    </row>
    <row r="3712" spans="1:17" ht="12" customHeight="1" x14ac:dyDescent="0.35">
      <c r="A3712" s="75">
        <v>3711</v>
      </c>
      <c r="B3712" s="64">
        <v>2021</v>
      </c>
      <c r="C3712" s="64">
        <v>7</v>
      </c>
      <c r="D3712" s="80">
        <f t="shared" si="119"/>
        <v>2021</v>
      </c>
      <c r="E3712" t="s">
        <v>38</v>
      </c>
      <c r="F3712" t="s">
        <v>143</v>
      </c>
      <c r="G3712" t="s">
        <v>10</v>
      </c>
      <c r="H3712" s="72">
        <v>830</v>
      </c>
      <c r="I3712" s="72" t="s">
        <v>60</v>
      </c>
      <c r="J3712" t="str">
        <f t="shared" si="118"/>
        <v>Skagit River</v>
      </c>
      <c r="K3712" t="str">
        <f>IFERROR(VLOOKUP(J3712,LUTs!$A$1:$C$73,2,FALSE),"NA")</f>
        <v>Skagit/Whatcom</v>
      </c>
      <c r="L3712" t="str">
        <f>IFERROR(VLOOKUP(J3712,LUTs!$A$1:$C$73,3,FALSE),"NA")</f>
        <v>2Central Puget Sound</v>
      </c>
      <c r="M3712" s="72" t="s">
        <v>13</v>
      </c>
      <c r="N3712" t="str">
        <f>VLOOKUP(M3712,LUTs!E$2:H$14,3,)</f>
        <v>01Whatcom</v>
      </c>
      <c r="O3712" t="str">
        <f>VLOOKUP(M3712,LUTs!E$2:H$14,4,)</f>
        <v>01North Puget Sound</v>
      </c>
      <c r="P3712" s="73">
        <v>0</v>
      </c>
      <c r="Q3712" s="74">
        <f>VLOOKUP(B3712,Readme!A$40:C$51,2,)*P3712</f>
        <v>0</v>
      </c>
    </row>
    <row r="3713" spans="1:17" ht="12" customHeight="1" x14ac:dyDescent="0.35">
      <c r="A3713" s="75">
        <v>3712</v>
      </c>
      <c r="B3713" s="64">
        <v>2021</v>
      </c>
      <c r="C3713" s="64">
        <v>8</v>
      </c>
      <c r="D3713" s="80">
        <f t="shared" si="119"/>
        <v>2021</v>
      </c>
      <c r="E3713" t="s">
        <v>38</v>
      </c>
      <c r="F3713" t="s">
        <v>143</v>
      </c>
      <c r="G3713" t="s">
        <v>10</v>
      </c>
      <c r="H3713" s="72">
        <v>830</v>
      </c>
      <c r="I3713" s="72" t="s">
        <v>60</v>
      </c>
      <c r="J3713" t="str">
        <f t="shared" si="118"/>
        <v>Skagit River</v>
      </c>
      <c r="K3713" t="str">
        <f>IFERROR(VLOOKUP(J3713,LUTs!$A$1:$C$73,2,FALSE),"NA")</f>
        <v>Skagit/Whatcom</v>
      </c>
      <c r="L3713" t="str">
        <f>IFERROR(VLOOKUP(J3713,LUTs!$A$1:$C$73,3,FALSE),"NA")</f>
        <v>2Central Puget Sound</v>
      </c>
      <c r="M3713" s="72" t="s">
        <v>17</v>
      </c>
      <c r="N3713" t="str">
        <f>VLOOKUP(M3713,LUTs!E$2:H$14,3,)</f>
        <v>04Island</v>
      </c>
      <c r="O3713" t="str">
        <f>VLOOKUP(M3713,LUTs!E$2:H$14,4,)</f>
        <v>01North Puget Sound</v>
      </c>
      <c r="P3713" s="73">
        <v>282.83703071672397</v>
      </c>
      <c r="Q3713" s="74">
        <f>VLOOKUP(B3713,Readme!A$40:C$51,2,)*P3713</f>
        <v>972.95938566553048</v>
      </c>
    </row>
    <row r="3714" spans="1:17" ht="12" customHeight="1" x14ac:dyDescent="0.35">
      <c r="A3714" s="75">
        <v>3713</v>
      </c>
      <c r="B3714" s="64">
        <v>2021</v>
      </c>
      <c r="C3714" s="64">
        <v>8</v>
      </c>
      <c r="D3714" s="80">
        <f t="shared" si="119"/>
        <v>2021</v>
      </c>
      <c r="E3714" t="s">
        <v>38</v>
      </c>
      <c r="F3714" t="s">
        <v>143</v>
      </c>
      <c r="G3714" t="s">
        <v>10</v>
      </c>
      <c r="H3714" s="72">
        <v>830</v>
      </c>
      <c r="I3714" s="72" t="s">
        <v>60</v>
      </c>
      <c r="J3714" t="str">
        <f t="shared" si="118"/>
        <v>Skagit River</v>
      </c>
      <c r="K3714" t="str">
        <f>IFERROR(VLOOKUP(J3714,LUTs!$A$1:$C$73,2,FALSE),"NA")</f>
        <v>Skagit/Whatcom</v>
      </c>
      <c r="L3714" t="str">
        <f>IFERROR(VLOOKUP(J3714,LUTs!$A$1:$C$73,3,FALSE),"NA")</f>
        <v>2Central Puget Sound</v>
      </c>
      <c r="M3714" s="72" t="s">
        <v>18</v>
      </c>
      <c r="N3714" t="str">
        <f>VLOOKUP(M3714,LUTs!E$2:H$14,3,)</f>
        <v>06King</v>
      </c>
      <c r="O3714" t="str">
        <f>VLOOKUP(M3714,LUTs!E$2:H$14,4,)</f>
        <v>02South Puget Sound</v>
      </c>
      <c r="P3714" s="73">
        <v>205.699658703072</v>
      </c>
      <c r="Q3714" s="74">
        <f>VLOOKUP(B3714,Readme!A$40:C$51,2,)*P3714</f>
        <v>707.60682593856768</v>
      </c>
    </row>
    <row r="3715" spans="1:17" ht="12" customHeight="1" x14ac:dyDescent="0.35">
      <c r="A3715" s="75">
        <v>3714</v>
      </c>
      <c r="B3715" s="64">
        <v>2021</v>
      </c>
      <c r="C3715" s="64">
        <v>8</v>
      </c>
      <c r="D3715" s="80">
        <f t="shared" si="119"/>
        <v>2021</v>
      </c>
      <c r="E3715" t="s">
        <v>38</v>
      </c>
      <c r="F3715" t="s">
        <v>143</v>
      </c>
      <c r="G3715" t="s">
        <v>10</v>
      </c>
      <c r="H3715" s="72">
        <v>830</v>
      </c>
      <c r="I3715" s="72" t="s">
        <v>60</v>
      </c>
      <c r="J3715" t="str">
        <f t="shared" ref="J3715:J3778" si="120">I3715</f>
        <v>Skagit River</v>
      </c>
      <c r="K3715" t="str">
        <f>IFERROR(VLOOKUP(J3715,LUTs!$A$1:$C$73,2,FALSE),"NA")</f>
        <v>Skagit/Whatcom</v>
      </c>
      <c r="L3715" t="str">
        <f>IFERROR(VLOOKUP(J3715,LUTs!$A$1:$C$73,3,FALSE),"NA")</f>
        <v>2Central Puget Sound</v>
      </c>
      <c r="M3715" s="72" t="s">
        <v>23</v>
      </c>
      <c r="N3715" t="str">
        <f>VLOOKUP(M3715,LUTs!E$2:H$14,3,)</f>
        <v>10Kitsap</v>
      </c>
      <c r="O3715" t="str">
        <f>VLOOKUP(M3715,LUTs!E$2:H$14,4,)</f>
        <v>02South Puget Sound</v>
      </c>
      <c r="P3715" s="73">
        <v>68.566552901023897</v>
      </c>
      <c r="Q3715" s="74">
        <f>VLOOKUP(B3715,Readme!A$40:C$51,2,)*P3715</f>
        <v>235.86894197952219</v>
      </c>
    </row>
    <row r="3716" spans="1:17" ht="12" customHeight="1" x14ac:dyDescent="0.35">
      <c r="A3716" s="75">
        <v>3715</v>
      </c>
      <c r="B3716" s="64">
        <v>2021</v>
      </c>
      <c r="C3716" s="64">
        <v>8</v>
      </c>
      <c r="D3716" s="80">
        <f t="shared" si="119"/>
        <v>2021</v>
      </c>
      <c r="E3716" t="s">
        <v>38</v>
      </c>
      <c r="F3716" t="s">
        <v>143</v>
      </c>
      <c r="G3716" t="s">
        <v>10</v>
      </c>
      <c r="H3716" s="72">
        <v>830</v>
      </c>
      <c r="I3716" s="72" t="s">
        <v>60</v>
      </c>
      <c r="J3716" t="str">
        <f t="shared" si="120"/>
        <v>Skagit River</v>
      </c>
      <c r="K3716" t="str">
        <f>IFERROR(VLOOKUP(J3716,LUTs!$A$1:$C$73,2,FALSE),"NA")</f>
        <v>Skagit/Whatcom</v>
      </c>
      <c r="L3716" t="str">
        <f>IFERROR(VLOOKUP(J3716,LUTs!$A$1:$C$73,3,FALSE),"NA")</f>
        <v>2Central Puget Sound</v>
      </c>
      <c r="M3716" s="72" t="s">
        <v>26</v>
      </c>
      <c r="N3716" t="str">
        <f>VLOOKUP(M3716,LUTs!E$2:H$14,3,)</f>
        <v>20Other</v>
      </c>
      <c r="O3716" t="str">
        <f>VLOOKUP(M3716,LUTs!E$2:H$14,4,)</f>
        <v>07Non Puget Sound</v>
      </c>
      <c r="P3716" s="73">
        <v>814.227815699659</v>
      </c>
      <c r="Q3716" s="74">
        <f>VLOOKUP(B3716,Readme!A$40:C$51,2,)*P3716</f>
        <v>2800.9436860068267</v>
      </c>
    </row>
    <row r="3717" spans="1:17" ht="12" customHeight="1" x14ac:dyDescent="0.35">
      <c r="A3717" s="75">
        <v>3716</v>
      </c>
      <c r="B3717" s="64">
        <v>2021</v>
      </c>
      <c r="C3717" s="64">
        <v>8</v>
      </c>
      <c r="D3717" s="80">
        <f t="shared" si="119"/>
        <v>2021</v>
      </c>
      <c r="E3717" t="s">
        <v>38</v>
      </c>
      <c r="F3717" t="s">
        <v>143</v>
      </c>
      <c r="G3717" t="s">
        <v>10</v>
      </c>
      <c r="H3717" s="72">
        <v>830</v>
      </c>
      <c r="I3717" s="72" t="s">
        <v>60</v>
      </c>
      <c r="J3717" t="str">
        <f t="shared" si="120"/>
        <v>Skagit River</v>
      </c>
      <c r="K3717" t="str">
        <f>IFERROR(VLOOKUP(J3717,LUTs!$A$1:$C$73,2,FALSE),"NA")</f>
        <v>Skagit/Whatcom</v>
      </c>
      <c r="L3717" t="str">
        <f>IFERROR(VLOOKUP(J3717,LUTs!$A$1:$C$73,3,FALSE),"NA")</f>
        <v>2Central Puget Sound</v>
      </c>
      <c r="M3717" s="72" t="s">
        <v>20</v>
      </c>
      <c r="N3717" t="str">
        <f>VLOOKUP(M3717,LUTs!E$2:H$14,3,)</f>
        <v>07Pierce</v>
      </c>
      <c r="O3717" t="str">
        <f>VLOOKUP(M3717,LUTs!E$2:H$14,4,)</f>
        <v>02South Puget Sound</v>
      </c>
      <c r="P3717" s="73">
        <v>34.283276450511998</v>
      </c>
      <c r="Q3717" s="74">
        <f>VLOOKUP(B3717,Readme!A$40:C$51,2,)*P3717</f>
        <v>117.93447098976127</v>
      </c>
    </row>
    <row r="3718" spans="1:17" ht="12" customHeight="1" x14ac:dyDescent="0.35">
      <c r="A3718" s="75">
        <v>3717</v>
      </c>
      <c r="B3718" s="64">
        <v>2021</v>
      </c>
      <c r="C3718" s="64">
        <v>8</v>
      </c>
      <c r="D3718" s="80">
        <f t="shared" si="119"/>
        <v>2021</v>
      </c>
      <c r="E3718" t="s">
        <v>38</v>
      </c>
      <c r="F3718" t="s">
        <v>143</v>
      </c>
      <c r="G3718" t="s">
        <v>10</v>
      </c>
      <c r="H3718" s="72">
        <v>830</v>
      </c>
      <c r="I3718" s="72" t="s">
        <v>60</v>
      </c>
      <c r="J3718" t="str">
        <f t="shared" si="120"/>
        <v>Skagit River</v>
      </c>
      <c r="K3718" t="str">
        <f>IFERROR(VLOOKUP(J3718,LUTs!$A$1:$C$73,2,FALSE),"NA")</f>
        <v>Skagit/Whatcom</v>
      </c>
      <c r="L3718" t="str">
        <f>IFERROR(VLOOKUP(J3718,LUTs!$A$1:$C$73,3,FALSE),"NA")</f>
        <v>2Central Puget Sound</v>
      </c>
      <c r="M3718" s="72" t="s">
        <v>15</v>
      </c>
      <c r="N3718" t="str">
        <f>VLOOKUP(M3718,LUTs!E$2:H$14,3,)</f>
        <v>02Skagit</v>
      </c>
      <c r="O3718" t="str">
        <f>VLOOKUP(M3718,LUTs!E$2:H$14,4,)</f>
        <v>01North Puget Sound</v>
      </c>
      <c r="P3718" s="73">
        <v>5391.045221843</v>
      </c>
      <c r="Q3718" s="74">
        <f>VLOOKUP(B3718,Readme!A$40:C$51,2,)*P3718</f>
        <v>18545.195563139921</v>
      </c>
    </row>
    <row r="3719" spans="1:17" ht="12" customHeight="1" x14ac:dyDescent="0.35">
      <c r="A3719" s="75">
        <v>3718</v>
      </c>
      <c r="B3719" s="64">
        <v>2021</v>
      </c>
      <c r="C3719" s="64">
        <v>8</v>
      </c>
      <c r="D3719" s="80">
        <f t="shared" si="119"/>
        <v>2021</v>
      </c>
      <c r="E3719" t="s">
        <v>38</v>
      </c>
      <c r="F3719" t="s">
        <v>143</v>
      </c>
      <c r="G3719" t="s">
        <v>10</v>
      </c>
      <c r="H3719" s="72">
        <v>830</v>
      </c>
      <c r="I3719" s="72" t="s">
        <v>60</v>
      </c>
      <c r="J3719" t="str">
        <f t="shared" si="120"/>
        <v>Skagit River</v>
      </c>
      <c r="K3719" t="str">
        <f>IFERROR(VLOOKUP(J3719,LUTs!$A$1:$C$73,2,FALSE),"NA")</f>
        <v>Skagit/Whatcom</v>
      </c>
      <c r="L3719" t="str">
        <f>IFERROR(VLOOKUP(J3719,LUTs!$A$1:$C$73,3,FALSE),"NA")</f>
        <v>2Central Puget Sound</v>
      </c>
      <c r="M3719" s="72" t="s">
        <v>16</v>
      </c>
      <c r="N3719" t="str">
        <f>VLOOKUP(M3719,LUTs!E$2:H$14,3,)</f>
        <v>03Snohomish</v>
      </c>
      <c r="O3719" t="str">
        <f>VLOOKUP(M3719,LUTs!E$2:H$14,4,)</f>
        <v>01North Puget Sound</v>
      </c>
      <c r="P3719" s="73">
        <v>1568.4598976109201</v>
      </c>
      <c r="Q3719" s="74">
        <f>VLOOKUP(B3719,Readme!A$40:C$51,2,)*P3719</f>
        <v>5395.5020477815651</v>
      </c>
    </row>
    <row r="3720" spans="1:17" ht="12" customHeight="1" x14ac:dyDescent="0.35">
      <c r="A3720" s="75">
        <v>3719</v>
      </c>
      <c r="B3720" s="64">
        <v>2021</v>
      </c>
      <c r="C3720" s="64">
        <v>8</v>
      </c>
      <c r="D3720" s="80">
        <f t="shared" si="119"/>
        <v>2021</v>
      </c>
      <c r="E3720" t="s">
        <v>38</v>
      </c>
      <c r="F3720" t="s">
        <v>143</v>
      </c>
      <c r="G3720" t="s">
        <v>10</v>
      </c>
      <c r="H3720" s="72">
        <v>830</v>
      </c>
      <c r="I3720" s="72" t="s">
        <v>60</v>
      </c>
      <c r="J3720" t="str">
        <f t="shared" si="120"/>
        <v>Skagit River</v>
      </c>
      <c r="K3720" t="str">
        <f>IFERROR(VLOOKUP(J3720,LUTs!$A$1:$C$73,2,FALSE),"NA")</f>
        <v>Skagit/Whatcom</v>
      </c>
      <c r="L3720" t="str">
        <f>IFERROR(VLOOKUP(J3720,LUTs!$A$1:$C$73,3,FALSE),"NA")</f>
        <v>2Central Puget Sound</v>
      </c>
      <c r="M3720" s="72" t="s">
        <v>21</v>
      </c>
      <c r="N3720" t="str">
        <f>VLOOKUP(M3720,LUTs!E$2:H$14,3,)</f>
        <v>08Thurston</v>
      </c>
      <c r="O3720" t="str">
        <f>VLOOKUP(M3720,LUTs!E$2:H$14,4,)</f>
        <v>02South Puget Sound</v>
      </c>
      <c r="P3720" s="73">
        <v>51.424914675767901</v>
      </c>
      <c r="Q3720" s="74">
        <f>VLOOKUP(B3720,Readme!A$40:C$51,2,)*P3720</f>
        <v>176.90170648464158</v>
      </c>
    </row>
    <row r="3721" spans="1:17" ht="12" customHeight="1" x14ac:dyDescent="0.35">
      <c r="A3721" s="75">
        <v>3720</v>
      </c>
      <c r="B3721" s="64">
        <v>2021</v>
      </c>
      <c r="C3721" s="64">
        <v>8</v>
      </c>
      <c r="D3721" s="80">
        <f t="shared" si="119"/>
        <v>2021</v>
      </c>
      <c r="E3721" t="s">
        <v>38</v>
      </c>
      <c r="F3721" t="s">
        <v>143</v>
      </c>
      <c r="G3721" t="s">
        <v>10</v>
      </c>
      <c r="H3721" s="72">
        <v>830</v>
      </c>
      <c r="I3721" s="72" t="s">
        <v>60</v>
      </c>
      <c r="J3721" t="str">
        <f t="shared" si="120"/>
        <v>Skagit River</v>
      </c>
      <c r="K3721" t="str">
        <f>IFERROR(VLOOKUP(J3721,LUTs!$A$1:$C$73,2,FALSE),"NA")</f>
        <v>Skagit/Whatcom</v>
      </c>
      <c r="L3721" t="str">
        <f>IFERROR(VLOOKUP(J3721,LUTs!$A$1:$C$73,3,FALSE),"NA")</f>
        <v>2Central Puget Sound</v>
      </c>
      <c r="M3721" s="72" t="s">
        <v>13</v>
      </c>
      <c r="N3721" t="str">
        <f>VLOOKUP(M3721,LUTs!E$2:H$14,3,)</f>
        <v>01Whatcom</v>
      </c>
      <c r="O3721" t="str">
        <f>VLOOKUP(M3721,LUTs!E$2:H$14,4,)</f>
        <v>01North Puget Sound</v>
      </c>
      <c r="P3721" s="73">
        <v>1628.4556313993201</v>
      </c>
      <c r="Q3721" s="74">
        <f>VLOOKUP(B3721,Readme!A$40:C$51,2,)*P3721</f>
        <v>5601.8873720136608</v>
      </c>
    </row>
    <row r="3722" spans="1:17" ht="12" customHeight="1" x14ac:dyDescent="0.35">
      <c r="A3722" s="75">
        <v>3721</v>
      </c>
      <c r="B3722" s="64">
        <v>2021</v>
      </c>
      <c r="C3722" s="64">
        <v>9</v>
      </c>
      <c r="D3722" s="80">
        <f t="shared" si="119"/>
        <v>2021</v>
      </c>
      <c r="E3722" t="s">
        <v>38</v>
      </c>
      <c r="F3722" t="s">
        <v>143</v>
      </c>
      <c r="G3722" t="s">
        <v>10</v>
      </c>
      <c r="H3722" s="72">
        <v>830</v>
      </c>
      <c r="I3722" s="72" t="s">
        <v>60</v>
      </c>
      <c r="J3722" t="str">
        <f t="shared" si="120"/>
        <v>Skagit River</v>
      </c>
      <c r="K3722" t="str">
        <f>IFERROR(VLOOKUP(J3722,LUTs!$A$1:$C$73,2,FALSE),"NA")</f>
        <v>Skagit/Whatcom</v>
      </c>
      <c r="L3722" t="str">
        <f>IFERROR(VLOOKUP(J3722,LUTs!$A$1:$C$73,3,FALSE),"NA")</f>
        <v>2Central Puget Sound</v>
      </c>
      <c r="M3722" s="72" t="s">
        <v>17</v>
      </c>
      <c r="N3722" t="str">
        <f>VLOOKUP(M3722,LUTs!E$2:H$14,3,)</f>
        <v>04Island</v>
      </c>
      <c r="O3722" t="str">
        <f>VLOOKUP(M3722,LUTs!E$2:H$14,4,)</f>
        <v>01North Puget Sound</v>
      </c>
      <c r="P3722" s="73">
        <v>1349.57345971564</v>
      </c>
      <c r="Q3722" s="74">
        <f>VLOOKUP(B3722,Readme!A$40:C$51,2,)*P3722</f>
        <v>4642.532701421801</v>
      </c>
    </row>
    <row r="3723" spans="1:17" ht="12" customHeight="1" x14ac:dyDescent="0.35">
      <c r="A3723" s="75">
        <v>3722</v>
      </c>
      <c r="B3723" s="64">
        <v>2021</v>
      </c>
      <c r="C3723" s="64">
        <v>9</v>
      </c>
      <c r="D3723" s="80">
        <f t="shared" si="119"/>
        <v>2021</v>
      </c>
      <c r="E3723" t="s">
        <v>38</v>
      </c>
      <c r="F3723" t="s">
        <v>143</v>
      </c>
      <c r="G3723" t="s">
        <v>10</v>
      </c>
      <c r="H3723" s="72">
        <v>830</v>
      </c>
      <c r="I3723" s="72" t="s">
        <v>60</v>
      </c>
      <c r="J3723" t="str">
        <f t="shared" si="120"/>
        <v>Skagit River</v>
      </c>
      <c r="K3723" t="str">
        <f>IFERROR(VLOOKUP(J3723,LUTs!$A$1:$C$73,2,FALSE),"NA")</f>
        <v>Skagit/Whatcom</v>
      </c>
      <c r="L3723" t="str">
        <f>IFERROR(VLOOKUP(J3723,LUTs!$A$1:$C$73,3,FALSE),"NA")</f>
        <v>2Central Puget Sound</v>
      </c>
      <c r="M3723" s="72" t="s">
        <v>18</v>
      </c>
      <c r="N3723" t="str">
        <f>VLOOKUP(M3723,LUTs!E$2:H$14,3,)</f>
        <v>06King</v>
      </c>
      <c r="O3723" t="str">
        <f>VLOOKUP(M3723,LUTs!E$2:H$14,4,)</f>
        <v>02South Puget Sound</v>
      </c>
      <c r="P3723" s="73">
        <v>2144.3222748815201</v>
      </c>
      <c r="Q3723" s="74">
        <f>VLOOKUP(B3723,Readme!A$40:C$51,2,)*P3723</f>
        <v>7376.4686255924289</v>
      </c>
    </row>
    <row r="3724" spans="1:17" ht="12" customHeight="1" x14ac:dyDescent="0.35">
      <c r="A3724" s="75">
        <v>3723</v>
      </c>
      <c r="B3724" s="64">
        <v>2021</v>
      </c>
      <c r="C3724" s="64">
        <v>9</v>
      </c>
      <c r="D3724" s="80">
        <f t="shared" si="119"/>
        <v>2021</v>
      </c>
      <c r="E3724" t="s">
        <v>38</v>
      </c>
      <c r="F3724" t="s">
        <v>143</v>
      </c>
      <c r="G3724" t="s">
        <v>10</v>
      </c>
      <c r="H3724" s="72">
        <v>830</v>
      </c>
      <c r="I3724" s="72" t="s">
        <v>60</v>
      </c>
      <c r="J3724" t="str">
        <f t="shared" si="120"/>
        <v>Skagit River</v>
      </c>
      <c r="K3724" t="str">
        <f>IFERROR(VLOOKUP(J3724,LUTs!$A$1:$C$73,2,FALSE),"NA")</f>
        <v>Skagit/Whatcom</v>
      </c>
      <c r="L3724" t="str">
        <f>IFERROR(VLOOKUP(J3724,LUTs!$A$1:$C$73,3,FALSE),"NA")</f>
        <v>2Central Puget Sound</v>
      </c>
      <c r="M3724" s="72" t="s">
        <v>23</v>
      </c>
      <c r="N3724" t="str">
        <f>VLOOKUP(M3724,LUTs!E$2:H$14,3,)</f>
        <v>10Kitsap</v>
      </c>
      <c r="O3724" t="str">
        <f>VLOOKUP(M3724,LUTs!E$2:H$14,4,)</f>
        <v>02South Puget Sound</v>
      </c>
      <c r="P3724" s="73">
        <v>89.971563981042706</v>
      </c>
      <c r="Q3724" s="74">
        <f>VLOOKUP(B3724,Readme!A$40:C$51,2,)*P3724</f>
        <v>309.50218009478692</v>
      </c>
    </row>
    <row r="3725" spans="1:17" ht="12" customHeight="1" x14ac:dyDescent="0.35">
      <c r="A3725" s="75">
        <v>3724</v>
      </c>
      <c r="B3725" s="64">
        <v>2021</v>
      </c>
      <c r="C3725" s="64">
        <v>9</v>
      </c>
      <c r="D3725" s="80">
        <f t="shared" si="119"/>
        <v>2021</v>
      </c>
      <c r="E3725" t="s">
        <v>38</v>
      </c>
      <c r="F3725" t="s">
        <v>143</v>
      </c>
      <c r="G3725" t="s">
        <v>10</v>
      </c>
      <c r="H3725" s="72">
        <v>830</v>
      </c>
      <c r="I3725" s="72" t="s">
        <v>60</v>
      </c>
      <c r="J3725" t="str">
        <f t="shared" si="120"/>
        <v>Skagit River</v>
      </c>
      <c r="K3725" t="str">
        <f>IFERROR(VLOOKUP(J3725,LUTs!$A$1:$C$73,2,FALSE),"NA")</f>
        <v>Skagit/Whatcom</v>
      </c>
      <c r="L3725" t="str">
        <f>IFERROR(VLOOKUP(J3725,LUTs!$A$1:$C$73,3,FALSE),"NA")</f>
        <v>2Central Puget Sound</v>
      </c>
      <c r="M3725" s="72" t="s">
        <v>26</v>
      </c>
      <c r="N3725" t="str">
        <f>VLOOKUP(M3725,LUTs!E$2:H$14,3,)</f>
        <v>20Other</v>
      </c>
      <c r="O3725" t="str">
        <f>VLOOKUP(M3725,LUTs!E$2:H$14,4,)</f>
        <v>07Non Puget Sound</v>
      </c>
      <c r="P3725" s="73">
        <v>2879.0900473933698</v>
      </c>
      <c r="Q3725" s="74">
        <f>VLOOKUP(B3725,Readme!A$40:C$51,2,)*P3725</f>
        <v>9904.0697630331924</v>
      </c>
    </row>
    <row r="3726" spans="1:17" ht="12" customHeight="1" x14ac:dyDescent="0.35">
      <c r="A3726" s="75">
        <v>3725</v>
      </c>
      <c r="B3726" s="64">
        <v>2021</v>
      </c>
      <c r="C3726" s="64">
        <v>9</v>
      </c>
      <c r="D3726" s="80">
        <f t="shared" si="119"/>
        <v>2021</v>
      </c>
      <c r="E3726" t="s">
        <v>38</v>
      </c>
      <c r="F3726" t="s">
        <v>143</v>
      </c>
      <c r="G3726" t="s">
        <v>10</v>
      </c>
      <c r="H3726" s="72">
        <v>830</v>
      </c>
      <c r="I3726" s="72" t="s">
        <v>60</v>
      </c>
      <c r="J3726" t="str">
        <f t="shared" si="120"/>
        <v>Skagit River</v>
      </c>
      <c r="K3726" t="str">
        <f>IFERROR(VLOOKUP(J3726,LUTs!$A$1:$C$73,2,FALSE),"NA")</f>
        <v>Skagit/Whatcom</v>
      </c>
      <c r="L3726" t="str">
        <f>IFERROR(VLOOKUP(J3726,LUTs!$A$1:$C$73,3,FALSE),"NA")</f>
        <v>2Central Puget Sound</v>
      </c>
      <c r="M3726" s="72" t="s">
        <v>20</v>
      </c>
      <c r="N3726" t="str">
        <f>VLOOKUP(M3726,LUTs!E$2:H$14,3,)</f>
        <v>07Pierce</v>
      </c>
      <c r="O3726" t="str">
        <f>VLOOKUP(M3726,LUTs!E$2:H$14,4,)</f>
        <v>02South Puget Sound</v>
      </c>
      <c r="P3726" s="73">
        <v>239.924170616114</v>
      </c>
      <c r="Q3726" s="74">
        <f>VLOOKUP(B3726,Readme!A$40:C$51,2,)*P3726</f>
        <v>825.3391469194321</v>
      </c>
    </row>
    <row r="3727" spans="1:17" ht="12" customHeight="1" x14ac:dyDescent="0.35">
      <c r="A3727" s="75">
        <v>3726</v>
      </c>
      <c r="B3727" s="64">
        <v>2021</v>
      </c>
      <c r="C3727" s="64">
        <v>9</v>
      </c>
      <c r="D3727" s="80">
        <f t="shared" si="119"/>
        <v>2021</v>
      </c>
      <c r="E3727" t="s">
        <v>38</v>
      </c>
      <c r="F3727" t="s">
        <v>143</v>
      </c>
      <c r="G3727" t="s">
        <v>10</v>
      </c>
      <c r="H3727" s="72">
        <v>830</v>
      </c>
      <c r="I3727" s="72" t="s">
        <v>60</v>
      </c>
      <c r="J3727" t="str">
        <f t="shared" si="120"/>
        <v>Skagit River</v>
      </c>
      <c r="K3727" t="str">
        <f>IFERROR(VLOOKUP(J3727,LUTs!$A$1:$C$73,2,FALSE),"NA")</f>
        <v>Skagit/Whatcom</v>
      </c>
      <c r="L3727" t="str">
        <f>IFERROR(VLOOKUP(J3727,LUTs!$A$1:$C$73,3,FALSE),"NA")</f>
        <v>2Central Puget Sound</v>
      </c>
      <c r="M3727" s="72" t="s">
        <v>30</v>
      </c>
      <c r="N3727" t="str">
        <f>VLOOKUP(M3727,LUTs!E$2:H$14,3,)</f>
        <v>05San Juan</v>
      </c>
      <c r="O3727" t="str">
        <f>VLOOKUP(M3727,LUTs!E$2:H$14,4,)</f>
        <v>01North Puget Sound</v>
      </c>
      <c r="P3727" s="73">
        <v>29.9905213270142</v>
      </c>
      <c r="Q3727" s="74">
        <f>VLOOKUP(B3727,Readme!A$40:C$51,2,)*P3727</f>
        <v>103.16739336492884</v>
      </c>
    </row>
    <row r="3728" spans="1:17" ht="12" customHeight="1" x14ac:dyDescent="0.35">
      <c r="A3728" s="75">
        <v>3727</v>
      </c>
      <c r="B3728" s="64">
        <v>2021</v>
      </c>
      <c r="C3728" s="64">
        <v>9</v>
      </c>
      <c r="D3728" s="80">
        <f t="shared" si="119"/>
        <v>2021</v>
      </c>
      <c r="E3728" t="s">
        <v>38</v>
      </c>
      <c r="F3728" t="s">
        <v>143</v>
      </c>
      <c r="G3728" t="s">
        <v>10</v>
      </c>
      <c r="H3728" s="72">
        <v>830</v>
      </c>
      <c r="I3728" s="72" t="s">
        <v>60</v>
      </c>
      <c r="J3728" t="str">
        <f t="shared" si="120"/>
        <v>Skagit River</v>
      </c>
      <c r="K3728" t="str">
        <f>IFERROR(VLOOKUP(J3728,LUTs!$A$1:$C$73,2,FALSE),"NA")</f>
        <v>Skagit/Whatcom</v>
      </c>
      <c r="L3728" t="str">
        <f>IFERROR(VLOOKUP(J3728,LUTs!$A$1:$C$73,3,FALSE),"NA")</f>
        <v>2Central Puget Sound</v>
      </c>
      <c r="M3728" s="72" t="s">
        <v>15</v>
      </c>
      <c r="N3728" t="str">
        <f>VLOOKUP(M3728,LUTs!E$2:H$14,3,)</f>
        <v>02Skagit</v>
      </c>
      <c r="O3728" t="str">
        <f>VLOOKUP(M3728,LUTs!E$2:H$14,4,)</f>
        <v>01North Puget Sound</v>
      </c>
      <c r="P3728" s="73">
        <v>18294.2180094787</v>
      </c>
      <c r="Q3728" s="74">
        <f>VLOOKUP(B3728,Readme!A$40:C$51,2,)*P3728</f>
        <v>62932.109952606726</v>
      </c>
    </row>
    <row r="3729" spans="1:17" ht="12" customHeight="1" x14ac:dyDescent="0.35">
      <c r="A3729" s="75">
        <v>3728</v>
      </c>
      <c r="B3729" s="64">
        <v>2021</v>
      </c>
      <c r="C3729" s="64">
        <v>9</v>
      </c>
      <c r="D3729" s="80">
        <f t="shared" si="119"/>
        <v>2021</v>
      </c>
      <c r="E3729" t="s">
        <v>38</v>
      </c>
      <c r="F3729" t="s">
        <v>143</v>
      </c>
      <c r="G3729" t="s">
        <v>10</v>
      </c>
      <c r="H3729" s="72">
        <v>830</v>
      </c>
      <c r="I3729" s="72" t="s">
        <v>60</v>
      </c>
      <c r="J3729" t="str">
        <f t="shared" si="120"/>
        <v>Skagit River</v>
      </c>
      <c r="K3729" t="str">
        <f>IFERROR(VLOOKUP(J3729,LUTs!$A$1:$C$73,2,FALSE),"NA")</f>
        <v>Skagit/Whatcom</v>
      </c>
      <c r="L3729" t="str">
        <f>IFERROR(VLOOKUP(J3729,LUTs!$A$1:$C$73,3,FALSE),"NA")</f>
        <v>2Central Puget Sound</v>
      </c>
      <c r="M3729" s="72" t="s">
        <v>16</v>
      </c>
      <c r="N3729" t="str">
        <f>VLOOKUP(M3729,LUTs!E$2:H$14,3,)</f>
        <v>03Snohomish</v>
      </c>
      <c r="O3729" t="str">
        <f>VLOOKUP(M3729,LUTs!E$2:H$14,4,)</f>
        <v>01North Puget Sound</v>
      </c>
      <c r="P3729" s="73">
        <v>5788.1706161137399</v>
      </c>
      <c r="Q3729" s="74">
        <f>VLOOKUP(B3729,Readme!A$40:C$51,2,)*P3729</f>
        <v>19911.306919431267</v>
      </c>
    </row>
    <row r="3730" spans="1:17" ht="12" customHeight="1" x14ac:dyDescent="0.35">
      <c r="A3730" s="75">
        <v>3729</v>
      </c>
      <c r="B3730" s="64">
        <v>2021</v>
      </c>
      <c r="C3730" s="64">
        <v>9</v>
      </c>
      <c r="D3730" s="80">
        <f t="shared" si="119"/>
        <v>2021</v>
      </c>
      <c r="E3730" t="s">
        <v>38</v>
      </c>
      <c r="F3730" t="s">
        <v>143</v>
      </c>
      <c r="G3730" t="s">
        <v>10</v>
      </c>
      <c r="H3730" s="72">
        <v>830</v>
      </c>
      <c r="I3730" s="72" t="s">
        <v>60</v>
      </c>
      <c r="J3730" t="str">
        <f t="shared" si="120"/>
        <v>Skagit River</v>
      </c>
      <c r="K3730" t="str">
        <f>IFERROR(VLOOKUP(J3730,LUTs!$A$1:$C$73,2,FALSE),"NA")</f>
        <v>Skagit/Whatcom</v>
      </c>
      <c r="L3730" t="str">
        <f>IFERROR(VLOOKUP(J3730,LUTs!$A$1:$C$73,3,FALSE),"NA")</f>
        <v>2Central Puget Sound</v>
      </c>
      <c r="M3730" s="72" t="s">
        <v>21</v>
      </c>
      <c r="N3730" t="str">
        <f>VLOOKUP(M3730,LUTs!E$2:H$14,3,)</f>
        <v>08Thurston</v>
      </c>
      <c r="O3730" t="str">
        <f>VLOOKUP(M3730,LUTs!E$2:H$14,4,)</f>
        <v>02South Puget Sound</v>
      </c>
      <c r="P3730" s="73">
        <v>239.924170616114</v>
      </c>
      <c r="Q3730" s="74">
        <f>VLOOKUP(B3730,Readme!A$40:C$51,2,)*P3730</f>
        <v>825.3391469194321</v>
      </c>
    </row>
    <row r="3731" spans="1:17" ht="12" customHeight="1" x14ac:dyDescent="0.35">
      <c r="A3731" s="75">
        <v>3730</v>
      </c>
      <c r="B3731" s="64">
        <v>2021</v>
      </c>
      <c r="C3731" s="64">
        <v>9</v>
      </c>
      <c r="D3731" s="80">
        <f t="shared" si="119"/>
        <v>2021</v>
      </c>
      <c r="E3731" t="s">
        <v>38</v>
      </c>
      <c r="F3731" t="s">
        <v>143</v>
      </c>
      <c r="G3731" t="s">
        <v>10</v>
      </c>
      <c r="H3731" s="72">
        <v>830</v>
      </c>
      <c r="I3731" s="72" t="s">
        <v>60</v>
      </c>
      <c r="J3731" t="str">
        <f t="shared" si="120"/>
        <v>Skagit River</v>
      </c>
      <c r="K3731" t="str">
        <f>IFERROR(VLOOKUP(J3731,LUTs!$A$1:$C$73,2,FALSE),"NA")</f>
        <v>Skagit/Whatcom</v>
      </c>
      <c r="L3731" t="str">
        <f>IFERROR(VLOOKUP(J3731,LUTs!$A$1:$C$73,3,FALSE),"NA")</f>
        <v>2Central Puget Sound</v>
      </c>
      <c r="M3731" s="72" t="s">
        <v>13</v>
      </c>
      <c r="N3731" t="str">
        <f>VLOOKUP(M3731,LUTs!E$2:H$14,3,)</f>
        <v>01Whatcom</v>
      </c>
      <c r="O3731" t="str">
        <f>VLOOKUP(M3731,LUTs!E$2:H$14,4,)</f>
        <v>01North Puget Sound</v>
      </c>
      <c r="P3731" s="73">
        <v>6912.8151658767802</v>
      </c>
      <c r="Q3731" s="74">
        <f>VLOOKUP(B3731,Readme!A$40:C$51,2,)*P3731</f>
        <v>23780.084170616123</v>
      </c>
    </row>
    <row r="3732" spans="1:17" ht="12" customHeight="1" x14ac:dyDescent="0.35">
      <c r="A3732" s="75">
        <v>3731</v>
      </c>
      <c r="B3732" s="64">
        <v>2021</v>
      </c>
      <c r="C3732" s="64">
        <v>10</v>
      </c>
      <c r="D3732" s="80">
        <f t="shared" si="119"/>
        <v>2021</v>
      </c>
      <c r="E3732" t="s">
        <v>38</v>
      </c>
      <c r="F3732" t="s">
        <v>143</v>
      </c>
      <c r="G3732" t="s">
        <v>10</v>
      </c>
      <c r="H3732" s="72">
        <v>830</v>
      </c>
      <c r="I3732" s="72" t="s">
        <v>60</v>
      </c>
      <c r="J3732" t="str">
        <f t="shared" si="120"/>
        <v>Skagit River</v>
      </c>
      <c r="K3732" t="str">
        <f>IFERROR(VLOOKUP(J3732,LUTs!$A$1:$C$73,2,FALSE),"NA")</f>
        <v>Skagit/Whatcom</v>
      </c>
      <c r="L3732" t="str">
        <f>IFERROR(VLOOKUP(J3732,LUTs!$A$1:$C$73,3,FALSE),"NA")</f>
        <v>2Central Puget Sound</v>
      </c>
      <c r="M3732" s="72" t="s">
        <v>17</v>
      </c>
      <c r="N3732" t="str">
        <f>VLOOKUP(M3732,LUTs!E$2:H$14,3,)</f>
        <v>04Island</v>
      </c>
      <c r="O3732" t="str">
        <f>VLOOKUP(M3732,LUTs!E$2:H$14,4,)</f>
        <v>01North Puget Sound</v>
      </c>
      <c r="P3732" s="73">
        <v>252.55813953488399</v>
      </c>
      <c r="Q3732" s="74">
        <f>VLOOKUP(B3732,Readme!A$40:C$51,2,)*P3732</f>
        <v>868.80000000000086</v>
      </c>
    </row>
    <row r="3733" spans="1:17" ht="12" customHeight="1" x14ac:dyDescent="0.35">
      <c r="A3733" s="75">
        <v>3732</v>
      </c>
      <c r="B3733" s="64">
        <v>2021</v>
      </c>
      <c r="C3733" s="64">
        <v>10</v>
      </c>
      <c r="D3733" s="80">
        <f t="shared" si="119"/>
        <v>2021</v>
      </c>
      <c r="E3733" t="s">
        <v>38</v>
      </c>
      <c r="F3733" t="s">
        <v>143</v>
      </c>
      <c r="G3733" t="s">
        <v>10</v>
      </c>
      <c r="H3733" s="72">
        <v>830</v>
      </c>
      <c r="I3733" s="72" t="s">
        <v>60</v>
      </c>
      <c r="J3733" t="str">
        <f t="shared" si="120"/>
        <v>Skagit River</v>
      </c>
      <c r="K3733" t="str">
        <f>IFERROR(VLOOKUP(J3733,LUTs!$A$1:$C$73,2,FALSE),"NA")</f>
        <v>Skagit/Whatcom</v>
      </c>
      <c r="L3733" t="str">
        <f>IFERROR(VLOOKUP(J3733,LUTs!$A$1:$C$73,3,FALSE),"NA")</f>
        <v>2Central Puget Sound</v>
      </c>
      <c r="M3733" s="72" t="s">
        <v>18</v>
      </c>
      <c r="N3733" t="str">
        <f>VLOOKUP(M3733,LUTs!E$2:H$14,3,)</f>
        <v>06King</v>
      </c>
      <c r="O3733" t="str">
        <f>VLOOKUP(M3733,LUTs!E$2:H$14,4,)</f>
        <v>02South Puget Sound</v>
      </c>
      <c r="P3733" s="73">
        <v>463.02325581395399</v>
      </c>
      <c r="Q3733" s="74">
        <f>VLOOKUP(B3733,Readme!A$40:C$51,2,)*P3733</f>
        <v>1592.8000000000018</v>
      </c>
    </row>
    <row r="3734" spans="1:17" ht="12" customHeight="1" x14ac:dyDescent="0.35">
      <c r="A3734" s="75">
        <v>3733</v>
      </c>
      <c r="B3734" s="64">
        <v>2021</v>
      </c>
      <c r="C3734" s="64">
        <v>10</v>
      </c>
      <c r="D3734" s="80">
        <f t="shared" si="119"/>
        <v>2021</v>
      </c>
      <c r="E3734" t="s">
        <v>38</v>
      </c>
      <c r="F3734" t="s">
        <v>143</v>
      </c>
      <c r="G3734" t="s">
        <v>10</v>
      </c>
      <c r="H3734" s="72">
        <v>830</v>
      </c>
      <c r="I3734" s="72" t="s">
        <v>60</v>
      </c>
      <c r="J3734" t="str">
        <f t="shared" si="120"/>
        <v>Skagit River</v>
      </c>
      <c r="K3734" t="str">
        <f>IFERROR(VLOOKUP(J3734,LUTs!$A$1:$C$73,2,FALSE),"NA")</f>
        <v>Skagit/Whatcom</v>
      </c>
      <c r="L3734" t="str">
        <f>IFERROR(VLOOKUP(J3734,LUTs!$A$1:$C$73,3,FALSE),"NA")</f>
        <v>2Central Puget Sound</v>
      </c>
      <c r="M3734" s="72" t="s">
        <v>26</v>
      </c>
      <c r="N3734" t="str">
        <f>VLOOKUP(M3734,LUTs!E$2:H$14,3,)</f>
        <v>20Other</v>
      </c>
      <c r="O3734" t="str">
        <f>VLOOKUP(M3734,LUTs!E$2:H$14,4,)</f>
        <v>07Non Puget Sound</v>
      </c>
      <c r="P3734" s="73">
        <v>231.511627906977</v>
      </c>
      <c r="Q3734" s="74">
        <f>VLOOKUP(B3734,Readme!A$40:C$51,2,)*P3734</f>
        <v>796.40000000000089</v>
      </c>
    </row>
    <row r="3735" spans="1:17" ht="12" customHeight="1" x14ac:dyDescent="0.35">
      <c r="A3735" s="75">
        <v>3734</v>
      </c>
      <c r="B3735" s="64">
        <v>2021</v>
      </c>
      <c r="C3735" s="64">
        <v>10</v>
      </c>
      <c r="D3735" s="80">
        <f t="shared" si="119"/>
        <v>2021</v>
      </c>
      <c r="E3735" t="s">
        <v>38</v>
      </c>
      <c r="F3735" t="s">
        <v>143</v>
      </c>
      <c r="G3735" t="s">
        <v>10</v>
      </c>
      <c r="H3735" s="72">
        <v>830</v>
      </c>
      <c r="I3735" s="72" t="s">
        <v>60</v>
      </c>
      <c r="J3735" t="str">
        <f t="shared" si="120"/>
        <v>Skagit River</v>
      </c>
      <c r="K3735" t="str">
        <f>IFERROR(VLOOKUP(J3735,LUTs!$A$1:$C$73,2,FALSE),"NA")</f>
        <v>Skagit/Whatcom</v>
      </c>
      <c r="L3735" t="str">
        <f>IFERROR(VLOOKUP(J3735,LUTs!$A$1:$C$73,3,FALSE),"NA")</f>
        <v>2Central Puget Sound</v>
      </c>
      <c r="M3735" s="72" t="s">
        <v>20</v>
      </c>
      <c r="N3735" t="str">
        <f>VLOOKUP(M3735,LUTs!E$2:H$14,3,)</f>
        <v>07Pierce</v>
      </c>
      <c r="O3735" t="str">
        <f>VLOOKUP(M3735,LUTs!E$2:H$14,4,)</f>
        <v>02South Puget Sound</v>
      </c>
      <c r="P3735" s="73">
        <v>63.139534883720899</v>
      </c>
      <c r="Q3735" s="74">
        <f>VLOOKUP(B3735,Readme!A$40:C$51,2,)*P3735</f>
        <v>217.19999999999987</v>
      </c>
    </row>
    <row r="3736" spans="1:17" ht="12" customHeight="1" x14ac:dyDescent="0.35">
      <c r="A3736" s="75">
        <v>3735</v>
      </c>
      <c r="B3736" s="64">
        <v>2021</v>
      </c>
      <c r="C3736" s="64">
        <v>10</v>
      </c>
      <c r="D3736" s="80">
        <f t="shared" si="119"/>
        <v>2021</v>
      </c>
      <c r="E3736" t="s">
        <v>38</v>
      </c>
      <c r="F3736" t="s">
        <v>143</v>
      </c>
      <c r="G3736" t="s">
        <v>10</v>
      </c>
      <c r="H3736" s="72">
        <v>830</v>
      </c>
      <c r="I3736" s="72" t="s">
        <v>60</v>
      </c>
      <c r="J3736" t="str">
        <f t="shared" si="120"/>
        <v>Skagit River</v>
      </c>
      <c r="K3736" t="str">
        <f>IFERROR(VLOOKUP(J3736,LUTs!$A$1:$C$73,2,FALSE),"NA")</f>
        <v>Skagit/Whatcom</v>
      </c>
      <c r="L3736" t="str">
        <f>IFERROR(VLOOKUP(J3736,LUTs!$A$1:$C$73,3,FALSE),"NA")</f>
        <v>2Central Puget Sound</v>
      </c>
      <c r="M3736" s="72" t="s">
        <v>15</v>
      </c>
      <c r="N3736" t="str">
        <f>VLOOKUP(M3736,LUTs!E$2:H$14,3,)</f>
        <v>02Skagit</v>
      </c>
      <c r="O3736" t="str">
        <f>VLOOKUP(M3736,LUTs!E$2:H$14,4,)</f>
        <v>01North Puget Sound</v>
      </c>
      <c r="P3736" s="73">
        <v>2715</v>
      </c>
      <c r="Q3736" s="74">
        <f>VLOOKUP(B3736,Readme!A$40:C$51,2,)*P3736</f>
        <v>9339.6</v>
      </c>
    </row>
    <row r="3737" spans="1:17" ht="12" customHeight="1" x14ac:dyDescent="0.35">
      <c r="A3737" s="75">
        <v>3736</v>
      </c>
      <c r="B3737" s="64">
        <v>2021</v>
      </c>
      <c r="C3737" s="64">
        <v>10</v>
      </c>
      <c r="D3737" s="80">
        <f t="shared" si="119"/>
        <v>2021</v>
      </c>
      <c r="E3737" t="s">
        <v>38</v>
      </c>
      <c r="F3737" t="s">
        <v>143</v>
      </c>
      <c r="G3737" t="s">
        <v>10</v>
      </c>
      <c r="H3737" s="72">
        <v>830</v>
      </c>
      <c r="I3737" s="72" t="s">
        <v>60</v>
      </c>
      <c r="J3737" t="str">
        <f t="shared" si="120"/>
        <v>Skagit River</v>
      </c>
      <c r="K3737" t="str">
        <f>IFERROR(VLOOKUP(J3737,LUTs!$A$1:$C$73,2,FALSE),"NA")</f>
        <v>Skagit/Whatcom</v>
      </c>
      <c r="L3737" t="str">
        <f>IFERROR(VLOOKUP(J3737,LUTs!$A$1:$C$73,3,FALSE),"NA")</f>
        <v>2Central Puget Sound</v>
      </c>
      <c r="M3737" s="72" t="s">
        <v>16</v>
      </c>
      <c r="N3737" t="str">
        <f>VLOOKUP(M3737,LUTs!E$2:H$14,3,)</f>
        <v>03Snohomish</v>
      </c>
      <c r="O3737" t="str">
        <f>VLOOKUP(M3737,LUTs!E$2:H$14,4,)</f>
        <v>01North Puget Sound</v>
      </c>
      <c r="P3737" s="73">
        <v>705.05813953488405</v>
      </c>
      <c r="Q3737" s="74">
        <f>VLOOKUP(B3737,Readme!A$40:C$51,2,)*P3737</f>
        <v>2425.400000000001</v>
      </c>
    </row>
    <row r="3738" spans="1:17" ht="12" customHeight="1" x14ac:dyDescent="0.35">
      <c r="A3738" s="75">
        <v>3737</v>
      </c>
      <c r="B3738" s="64">
        <v>2021</v>
      </c>
      <c r="C3738" s="64">
        <v>10</v>
      </c>
      <c r="D3738" s="80">
        <f t="shared" si="119"/>
        <v>2021</v>
      </c>
      <c r="E3738" t="s">
        <v>38</v>
      </c>
      <c r="F3738" t="s">
        <v>143</v>
      </c>
      <c r="G3738" t="s">
        <v>10</v>
      </c>
      <c r="H3738" s="72">
        <v>830</v>
      </c>
      <c r="I3738" s="72" t="s">
        <v>60</v>
      </c>
      <c r="J3738" t="str">
        <f t="shared" si="120"/>
        <v>Skagit River</v>
      </c>
      <c r="K3738" t="str">
        <f>IFERROR(VLOOKUP(J3738,LUTs!$A$1:$C$73,2,FALSE),"NA")</f>
        <v>Skagit/Whatcom</v>
      </c>
      <c r="L3738" t="str">
        <f>IFERROR(VLOOKUP(J3738,LUTs!$A$1:$C$73,3,FALSE),"NA")</f>
        <v>2Central Puget Sound</v>
      </c>
      <c r="M3738" s="72" t="s">
        <v>13</v>
      </c>
      <c r="N3738" t="str">
        <f>VLOOKUP(M3738,LUTs!E$2:H$14,3,)</f>
        <v>01Whatcom</v>
      </c>
      <c r="O3738" t="str">
        <f>VLOOKUP(M3738,LUTs!E$2:H$14,4,)</f>
        <v>01North Puget Sound</v>
      </c>
      <c r="P3738" s="73">
        <v>999.70930232558203</v>
      </c>
      <c r="Q3738" s="74">
        <f>VLOOKUP(B3738,Readme!A$40:C$51,2,)*P3738</f>
        <v>3439.0000000000023</v>
      </c>
    </row>
    <row r="3739" spans="1:17" ht="12" customHeight="1" x14ac:dyDescent="0.35">
      <c r="A3739" s="75">
        <v>3738</v>
      </c>
      <c r="B3739" s="64">
        <v>2021</v>
      </c>
      <c r="C3739" s="64">
        <v>11</v>
      </c>
      <c r="D3739" s="80">
        <f t="shared" si="119"/>
        <v>2021</v>
      </c>
      <c r="E3739" t="s">
        <v>38</v>
      </c>
      <c r="F3739" t="s">
        <v>143</v>
      </c>
      <c r="G3739" t="s">
        <v>10</v>
      </c>
      <c r="H3739" s="72">
        <v>830</v>
      </c>
      <c r="I3739" s="72" t="s">
        <v>60</v>
      </c>
      <c r="J3739" t="str">
        <f t="shared" si="120"/>
        <v>Skagit River</v>
      </c>
      <c r="K3739" t="str">
        <f>IFERROR(VLOOKUP(J3739,LUTs!$A$1:$C$73,2,FALSE),"NA")</f>
        <v>Skagit/Whatcom</v>
      </c>
      <c r="L3739" t="str">
        <f>IFERROR(VLOOKUP(J3739,LUTs!$A$1:$C$73,3,FALSE),"NA")</f>
        <v>2Central Puget Sound</v>
      </c>
      <c r="M3739" s="72" t="s">
        <v>17</v>
      </c>
      <c r="N3739" t="str">
        <f>VLOOKUP(M3739,LUTs!E$2:H$14,3,)</f>
        <v>04Island</v>
      </c>
      <c r="O3739" t="str">
        <f>VLOOKUP(M3739,LUTs!E$2:H$14,4,)</f>
        <v>01North Puget Sound</v>
      </c>
      <c r="P3739" s="73">
        <v>22.9</v>
      </c>
      <c r="Q3739" s="74">
        <f>VLOOKUP(B3739,Readme!A$40:C$51,2,)*P3739</f>
        <v>78.775999999999996</v>
      </c>
    </row>
    <row r="3740" spans="1:17" ht="12" customHeight="1" x14ac:dyDescent="0.35">
      <c r="A3740" s="75">
        <v>3739</v>
      </c>
      <c r="B3740" s="64">
        <v>2021</v>
      </c>
      <c r="C3740" s="64">
        <v>11</v>
      </c>
      <c r="D3740" s="80">
        <f t="shared" si="119"/>
        <v>2021</v>
      </c>
      <c r="E3740" t="s">
        <v>38</v>
      </c>
      <c r="F3740" t="s">
        <v>143</v>
      </c>
      <c r="G3740" t="s">
        <v>10</v>
      </c>
      <c r="H3740" s="72">
        <v>830</v>
      </c>
      <c r="I3740" s="72" t="s">
        <v>60</v>
      </c>
      <c r="J3740" t="str">
        <f t="shared" si="120"/>
        <v>Skagit River</v>
      </c>
      <c r="K3740" t="str">
        <f>IFERROR(VLOOKUP(J3740,LUTs!$A$1:$C$73,2,FALSE),"NA")</f>
        <v>Skagit/Whatcom</v>
      </c>
      <c r="L3740" t="str">
        <f>IFERROR(VLOOKUP(J3740,LUTs!$A$1:$C$73,3,FALSE),"NA")</f>
        <v>2Central Puget Sound</v>
      </c>
      <c r="M3740" s="72" t="s">
        <v>18</v>
      </c>
      <c r="N3740" t="str">
        <f>VLOOKUP(M3740,LUTs!E$2:H$14,3,)</f>
        <v>06King</v>
      </c>
      <c r="O3740" t="str">
        <f>VLOOKUP(M3740,LUTs!E$2:H$14,4,)</f>
        <v>02South Puget Sound</v>
      </c>
      <c r="P3740" s="73">
        <v>30.533333333333299</v>
      </c>
      <c r="Q3740" s="74">
        <f>VLOOKUP(B3740,Readme!A$40:C$51,2,)*P3740</f>
        <v>105.03466666666655</v>
      </c>
    </row>
    <row r="3741" spans="1:17" ht="12" customHeight="1" x14ac:dyDescent="0.35">
      <c r="A3741" s="75">
        <v>3740</v>
      </c>
      <c r="B3741" s="64">
        <v>2021</v>
      </c>
      <c r="C3741" s="64">
        <v>11</v>
      </c>
      <c r="D3741" s="80">
        <f t="shared" si="119"/>
        <v>2021</v>
      </c>
      <c r="E3741" t="s">
        <v>38</v>
      </c>
      <c r="F3741" t="s">
        <v>143</v>
      </c>
      <c r="G3741" t="s">
        <v>10</v>
      </c>
      <c r="H3741" s="72">
        <v>830</v>
      </c>
      <c r="I3741" s="72" t="s">
        <v>60</v>
      </c>
      <c r="J3741" t="str">
        <f t="shared" si="120"/>
        <v>Skagit River</v>
      </c>
      <c r="K3741" t="str">
        <f>IFERROR(VLOOKUP(J3741,LUTs!$A$1:$C$73,2,FALSE),"NA")</f>
        <v>Skagit/Whatcom</v>
      </c>
      <c r="L3741" t="str">
        <f>IFERROR(VLOOKUP(J3741,LUTs!$A$1:$C$73,3,FALSE),"NA")</f>
        <v>2Central Puget Sound</v>
      </c>
      <c r="M3741" s="72" t="s">
        <v>26</v>
      </c>
      <c r="N3741" t="str">
        <f>VLOOKUP(M3741,LUTs!E$2:H$14,3,)</f>
        <v>20Other</v>
      </c>
      <c r="O3741" t="str">
        <f>VLOOKUP(M3741,LUTs!E$2:H$14,4,)</f>
        <v>07Non Puget Sound</v>
      </c>
      <c r="P3741" s="73">
        <v>7.6333333333333302</v>
      </c>
      <c r="Q3741" s="74">
        <f>VLOOKUP(B3741,Readme!A$40:C$51,2,)*P3741</f>
        <v>26.258666666666656</v>
      </c>
    </row>
    <row r="3742" spans="1:17" ht="12" customHeight="1" x14ac:dyDescent="0.35">
      <c r="A3742" s="75">
        <v>3741</v>
      </c>
      <c r="B3742" s="64">
        <v>2021</v>
      </c>
      <c r="C3742" s="64">
        <v>11</v>
      </c>
      <c r="D3742" s="80">
        <f t="shared" si="119"/>
        <v>2021</v>
      </c>
      <c r="E3742" t="s">
        <v>38</v>
      </c>
      <c r="F3742" t="s">
        <v>143</v>
      </c>
      <c r="G3742" t="s">
        <v>10</v>
      </c>
      <c r="H3742" s="72">
        <v>830</v>
      </c>
      <c r="I3742" s="72" t="s">
        <v>60</v>
      </c>
      <c r="J3742" t="str">
        <f t="shared" si="120"/>
        <v>Skagit River</v>
      </c>
      <c r="K3742" t="str">
        <f>IFERROR(VLOOKUP(J3742,LUTs!$A$1:$C$73,2,FALSE),"NA")</f>
        <v>Skagit/Whatcom</v>
      </c>
      <c r="L3742" t="str">
        <f>IFERROR(VLOOKUP(J3742,LUTs!$A$1:$C$73,3,FALSE),"NA")</f>
        <v>2Central Puget Sound</v>
      </c>
      <c r="M3742" s="72" t="s">
        <v>15</v>
      </c>
      <c r="N3742" t="str">
        <f>VLOOKUP(M3742,LUTs!E$2:H$14,3,)</f>
        <v>02Skagit</v>
      </c>
      <c r="O3742" t="str">
        <f>VLOOKUP(M3742,LUTs!E$2:H$14,4,)</f>
        <v>01North Puget Sound</v>
      </c>
      <c r="P3742" s="73">
        <v>91.6</v>
      </c>
      <c r="Q3742" s="74">
        <f>VLOOKUP(B3742,Readme!A$40:C$51,2,)*P3742</f>
        <v>315.10399999999998</v>
      </c>
    </row>
    <row r="3743" spans="1:17" ht="12" customHeight="1" x14ac:dyDescent="0.35">
      <c r="A3743" s="75">
        <v>3742</v>
      </c>
      <c r="B3743" s="64">
        <v>2021</v>
      </c>
      <c r="C3743" s="64">
        <v>11</v>
      </c>
      <c r="D3743" s="80">
        <f t="shared" si="119"/>
        <v>2021</v>
      </c>
      <c r="E3743" t="s">
        <v>38</v>
      </c>
      <c r="F3743" t="s">
        <v>143</v>
      </c>
      <c r="G3743" t="s">
        <v>10</v>
      </c>
      <c r="H3743" s="72">
        <v>830</v>
      </c>
      <c r="I3743" s="72" t="s">
        <v>60</v>
      </c>
      <c r="J3743" t="str">
        <f t="shared" si="120"/>
        <v>Skagit River</v>
      </c>
      <c r="K3743" t="str">
        <f>IFERROR(VLOOKUP(J3743,LUTs!$A$1:$C$73,2,FALSE),"NA")</f>
        <v>Skagit/Whatcom</v>
      </c>
      <c r="L3743" t="str">
        <f>IFERROR(VLOOKUP(J3743,LUTs!$A$1:$C$73,3,FALSE),"NA")</f>
        <v>2Central Puget Sound</v>
      </c>
      <c r="M3743" s="72" t="s">
        <v>16</v>
      </c>
      <c r="N3743" t="str">
        <f>VLOOKUP(M3743,LUTs!E$2:H$14,3,)</f>
        <v>03Snohomish</v>
      </c>
      <c r="O3743" t="str">
        <f>VLOOKUP(M3743,LUTs!E$2:H$14,4,)</f>
        <v>01North Puget Sound</v>
      </c>
      <c r="P3743" s="73">
        <v>15.266666666666699</v>
      </c>
      <c r="Q3743" s="74">
        <f>VLOOKUP(B3743,Readme!A$40:C$51,2,)*P3743</f>
        <v>52.517333333333447</v>
      </c>
    </row>
    <row r="3744" spans="1:17" ht="12" customHeight="1" x14ac:dyDescent="0.35">
      <c r="A3744" s="75">
        <v>3743</v>
      </c>
      <c r="B3744" s="64">
        <v>2021</v>
      </c>
      <c r="C3744" s="64">
        <v>11</v>
      </c>
      <c r="D3744" s="80">
        <f t="shared" si="119"/>
        <v>2021</v>
      </c>
      <c r="E3744" t="s">
        <v>38</v>
      </c>
      <c r="F3744" t="s">
        <v>143</v>
      </c>
      <c r="G3744" t="s">
        <v>10</v>
      </c>
      <c r="H3744" s="72">
        <v>830</v>
      </c>
      <c r="I3744" s="72" t="s">
        <v>60</v>
      </c>
      <c r="J3744" t="str">
        <f t="shared" si="120"/>
        <v>Skagit River</v>
      </c>
      <c r="K3744" t="str">
        <f>IFERROR(VLOOKUP(J3744,LUTs!$A$1:$C$73,2,FALSE),"NA")</f>
        <v>Skagit/Whatcom</v>
      </c>
      <c r="L3744" t="str">
        <f>IFERROR(VLOOKUP(J3744,LUTs!$A$1:$C$73,3,FALSE),"NA")</f>
        <v>2Central Puget Sound</v>
      </c>
      <c r="M3744" s="72" t="s">
        <v>13</v>
      </c>
      <c r="N3744" t="str">
        <f>VLOOKUP(M3744,LUTs!E$2:H$14,3,)</f>
        <v>01Whatcom</v>
      </c>
      <c r="O3744" t="str">
        <f>VLOOKUP(M3744,LUTs!E$2:H$14,4,)</f>
        <v>01North Puget Sound</v>
      </c>
      <c r="P3744" s="73">
        <v>61.066666666666698</v>
      </c>
      <c r="Q3744" s="74">
        <f>VLOOKUP(B3744,Readme!A$40:C$51,2,)*P3744</f>
        <v>210.06933333333345</v>
      </c>
    </row>
    <row r="3745" spans="1:17" ht="12" customHeight="1" x14ac:dyDescent="0.35">
      <c r="A3745" s="75">
        <v>3744</v>
      </c>
      <c r="B3745" s="64">
        <v>2021</v>
      </c>
      <c r="C3745" s="64">
        <v>12</v>
      </c>
      <c r="D3745" s="80">
        <f t="shared" si="119"/>
        <v>2021</v>
      </c>
      <c r="E3745" t="s">
        <v>38</v>
      </c>
      <c r="F3745" t="s">
        <v>143</v>
      </c>
      <c r="G3745" t="s">
        <v>10</v>
      </c>
      <c r="H3745" s="72">
        <v>830</v>
      </c>
      <c r="I3745" s="72" t="s">
        <v>60</v>
      </c>
      <c r="J3745" t="str">
        <f t="shared" si="120"/>
        <v>Skagit River</v>
      </c>
      <c r="K3745" t="str">
        <f>IFERROR(VLOOKUP(J3745,LUTs!$A$1:$C$73,2,FALSE),"NA")</f>
        <v>Skagit/Whatcom</v>
      </c>
      <c r="L3745" t="str">
        <f>IFERROR(VLOOKUP(J3745,LUTs!$A$1:$C$73,3,FALSE),"NA")</f>
        <v>2Central Puget Sound</v>
      </c>
      <c r="M3745" s="72" t="s">
        <v>18</v>
      </c>
      <c r="N3745" t="str">
        <f>VLOOKUP(M3745,LUTs!E$2:H$14,3,)</f>
        <v>06King</v>
      </c>
      <c r="O3745" t="str">
        <f>VLOOKUP(M3745,LUTs!E$2:H$14,4,)</f>
        <v>02South Puget Sound</v>
      </c>
      <c r="P3745" s="73">
        <v>199.2</v>
      </c>
      <c r="Q3745" s="74">
        <f>VLOOKUP(B3745,Readme!A$40:C$51,2,)*P3745</f>
        <v>685.24799999999993</v>
      </c>
    </row>
    <row r="3746" spans="1:17" ht="12" customHeight="1" x14ac:dyDescent="0.35">
      <c r="A3746" s="75">
        <v>3745</v>
      </c>
      <c r="B3746" s="64">
        <v>2021</v>
      </c>
      <c r="C3746" s="64">
        <v>12</v>
      </c>
      <c r="D3746" s="80">
        <f t="shared" si="119"/>
        <v>2021</v>
      </c>
      <c r="E3746" t="s">
        <v>38</v>
      </c>
      <c r="F3746" t="s">
        <v>143</v>
      </c>
      <c r="G3746" t="s">
        <v>10</v>
      </c>
      <c r="H3746" s="72">
        <v>830</v>
      </c>
      <c r="I3746" s="72" t="s">
        <v>60</v>
      </c>
      <c r="J3746" t="str">
        <f t="shared" si="120"/>
        <v>Skagit River</v>
      </c>
      <c r="K3746" t="str">
        <f>IFERROR(VLOOKUP(J3746,LUTs!$A$1:$C$73,2,FALSE),"NA")</f>
        <v>Skagit/Whatcom</v>
      </c>
      <c r="L3746" t="str">
        <f>IFERROR(VLOOKUP(J3746,LUTs!$A$1:$C$73,3,FALSE),"NA")</f>
        <v>2Central Puget Sound</v>
      </c>
      <c r="M3746" s="72" t="s">
        <v>16</v>
      </c>
      <c r="N3746" t="str">
        <f>VLOOKUP(M3746,LUTs!E$2:H$14,3,)</f>
        <v>03Snohomish</v>
      </c>
      <c r="O3746" t="str">
        <f>VLOOKUP(M3746,LUTs!E$2:H$14,4,)</f>
        <v>01North Puget Sound</v>
      </c>
      <c r="P3746" s="73">
        <v>66.400000000000006</v>
      </c>
      <c r="Q3746" s="74">
        <f>VLOOKUP(B3746,Readme!A$40:C$51,2,)*P3746</f>
        <v>228.41600000000003</v>
      </c>
    </row>
    <row r="3747" spans="1:17" ht="12" customHeight="1" x14ac:dyDescent="0.35">
      <c r="A3747" s="75">
        <v>3746</v>
      </c>
      <c r="B3747" s="64">
        <v>2021</v>
      </c>
      <c r="C3747" s="64">
        <v>12</v>
      </c>
      <c r="D3747" s="80">
        <f t="shared" si="119"/>
        <v>2021</v>
      </c>
      <c r="E3747" t="s">
        <v>38</v>
      </c>
      <c r="F3747" t="s">
        <v>143</v>
      </c>
      <c r="G3747" t="s">
        <v>10</v>
      </c>
      <c r="H3747" s="72">
        <v>830</v>
      </c>
      <c r="I3747" s="72" t="s">
        <v>60</v>
      </c>
      <c r="J3747" t="str">
        <f t="shared" si="120"/>
        <v>Skagit River</v>
      </c>
      <c r="K3747" t="str">
        <f>IFERROR(VLOOKUP(J3747,LUTs!$A$1:$C$73,2,FALSE),"NA")</f>
        <v>Skagit/Whatcom</v>
      </c>
      <c r="L3747" t="str">
        <f>IFERROR(VLOOKUP(J3747,LUTs!$A$1:$C$73,3,FALSE),"NA")</f>
        <v>2Central Puget Sound</v>
      </c>
      <c r="M3747" s="72" t="s">
        <v>13</v>
      </c>
      <c r="N3747" t="str">
        <f>VLOOKUP(M3747,LUTs!E$2:H$14,3,)</f>
        <v>01Whatcom</v>
      </c>
      <c r="O3747" t="str">
        <f>VLOOKUP(M3747,LUTs!E$2:H$14,4,)</f>
        <v>01North Puget Sound</v>
      </c>
      <c r="P3747" s="73">
        <v>66.400000000000006</v>
      </c>
      <c r="Q3747" s="74">
        <f>VLOOKUP(B3747,Readme!A$40:C$51,2,)*P3747</f>
        <v>228.41600000000003</v>
      </c>
    </row>
    <row r="3748" spans="1:17" ht="12" customHeight="1" x14ac:dyDescent="0.35">
      <c r="A3748" s="75">
        <v>3747</v>
      </c>
      <c r="B3748" s="64">
        <v>2021</v>
      </c>
      <c r="C3748" s="64">
        <v>10</v>
      </c>
      <c r="D3748" s="80">
        <f t="shared" si="119"/>
        <v>2021</v>
      </c>
      <c r="E3748" t="s">
        <v>38</v>
      </c>
      <c r="F3748" t="s">
        <v>143</v>
      </c>
      <c r="G3748" t="s">
        <v>10</v>
      </c>
      <c r="H3748" s="72">
        <v>834</v>
      </c>
      <c r="I3748" s="72" t="s">
        <v>61</v>
      </c>
      <c r="J3748" t="str">
        <f t="shared" si="120"/>
        <v>Skokomish River</v>
      </c>
      <c r="K3748" t="str">
        <f>IFERROR(VLOOKUP(J3748,LUTs!$A$1:$C$73,2,FALSE),"NA")</f>
        <v>Mason</v>
      </c>
      <c r="L3748" t="str">
        <f>IFERROR(VLOOKUP(J3748,LUTs!$A$1:$C$73,3,FALSE),"NA")</f>
        <v>4 Hood Canal</v>
      </c>
      <c r="M3748" s="72" t="s">
        <v>21</v>
      </c>
      <c r="N3748" t="str">
        <f>VLOOKUP(M3748,LUTs!E$2:H$14,3,)</f>
        <v>08Thurston</v>
      </c>
      <c r="O3748" t="str">
        <f>VLOOKUP(M3748,LUTs!E$2:H$14,4,)</f>
        <v>02South Puget Sound</v>
      </c>
      <c r="P3748" s="73">
        <v>1</v>
      </c>
      <c r="Q3748" s="74">
        <f>VLOOKUP(B3748,Readme!A$40:C$51,2,)*P3748</f>
        <v>3.44</v>
      </c>
    </row>
    <row r="3749" spans="1:17" ht="12" customHeight="1" x14ac:dyDescent="0.35">
      <c r="A3749" s="75">
        <v>3748</v>
      </c>
      <c r="B3749" s="64">
        <v>2021</v>
      </c>
      <c r="C3749" s="64">
        <v>5</v>
      </c>
      <c r="D3749" s="80">
        <f t="shared" si="119"/>
        <v>2021</v>
      </c>
      <c r="E3749" t="s">
        <v>38</v>
      </c>
      <c r="F3749" t="s">
        <v>143</v>
      </c>
      <c r="G3749" t="s">
        <v>10</v>
      </c>
      <c r="H3749" s="72">
        <v>844</v>
      </c>
      <c r="I3749" s="72" t="s">
        <v>62</v>
      </c>
      <c r="J3749" t="str">
        <f t="shared" si="120"/>
        <v>Skykomish River</v>
      </c>
      <c r="K3749" t="str">
        <f>IFERROR(VLOOKUP(J3749,LUTs!$A$1:$C$73,2,FALSE),"NA")</f>
        <v>Snohomish</v>
      </c>
      <c r="L3749" t="str">
        <f>IFERROR(VLOOKUP(J3749,LUTs!$A$1:$C$73,3,FALSE),"NA")</f>
        <v>2Central Puget Sound</v>
      </c>
      <c r="M3749" s="72" t="s">
        <v>18</v>
      </c>
      <c r="N3749" t="str">
        <f>VLOOKUP(M3749,LUTs!E$2:H$14,3,)</f>
        <v>06King</v>
      </c>
      <c r="O3749" t="str">
        <f>VLOOKUP(M3749,LUTs!E$2:H$14,4,)</f>
        <v>02South Puget Sound</v>
      </c>
      <c r="P3749" s="73">
        <v>13.5</v>
      </c>
      <c r="Q3749" s="74">
        <f>VLOOKUP(B3749,Readme!A$40:C$51,2,)*P3749</f>
        <v>46.44</v>
      </c>
    </row>
    <row r="3750" spans="1:17" ht="12" customHeight="1" x14ac:dyDescent="0.35">
      <c r="A3750" s="75">
        <v>3749</v>
      </c>
      <c r="B3750" s="64">
        <v>2021</v>
      </c>
      <c r="C3750" s="64">
        <v>5</v>
      </c>
      <c r="D3750" s="80">
        <f t="shared" si="119"/>
        <v>2021</v>
      </c>
      <c r="E3750" t="s">
        <v>38</v>
      </c>
      <c r="F3750" t="s">
        <v>143</v>
      </c>
      <c r="G3750" t="s">
        <v>10</v>
      </c>
      <c r="H3750" s="72">
        <v>844</v>
      </c>
      <c r="I3750" s="72" t="s">
        <v>62</v>
      </c>
      <c r="J3750" t="str">
        <f t="shared" si="120"/>
        <v>Skykomish River</v>
      </c>
      <c r="K3750" t="str">
        <f>IFERROR(VLOOKUP(J3750,LUTs!$A$1:$C$73,2,FALSE),"NA")</f>
        <v>Snohomish</v>
      </c>
      <c r="L3750" t="str">
        <f>IFERROR(VLOOKUP(J3750,LUTs!$A$1:$C$73,3,FALSE),"NA")</f>
        <v>2Central Puget Sound</v>
      </c>
      <c r="M3750" s="72" t="s">
        <v>16</v>
      </c>
      <c r="N3750" t="str">
        <f>VLOOKUP(M3750,LUTs!E$2:H$14,3,)</f>
        <v>03Snohomish</v>
      </c>
      <c r="O3750" t="str">
        <f>VLOOKUP(M3750,LUTs!E$2:H$14,4,)</f>
        <v>01North Puget Sound</v>
      </c>
      <c r="P3750" s="73">
        <v>13.5</v>
      </c>
      <c r="Q3750" s="74">
        <f>VLOOKUP(B3750,Readme!A$40:C$51,2,)*P3750</f>
        <v>46.44</v>
      </c>
    </row>
    <row r="3751" spans="1:17" ht="12" customHeight="1" x14ac:dyDescent="0.35">
      <c r="A3751" s="75">
        <v>3750</v>
      </c>
      <c r="B3751" s="64">
        <v>2021</v>
      </c>
      <c r="C3751" s="64">
        <v>6</v>
      </c>
      <c r="D3751" s="80">
        <f t="shared" si="119"/>
        <v>2021</v>
      </c>
      <c r="E3751" t="s">
        <v>38</v>
      </c>
      <c r="F3751" t="s">
        <v>143</v>
      </c>
      <c r="G3751" t="s">
        <v>10</v>
      </c>
      <c r="H3751" s="72">
        <v>844</v>
      </c>
      <c r="I3751" s="72" t="s">
        <v>62</v>
      </c>
      <c r="J3751" t="str">
        <f t="shared" si="120"/>
        <v>Skykomish River</v>
      </c>
      <c r="K3751" t="str">
        <f>IFERROR(VLOOKUP(J3751,LUTs!$A$1:$C$73,2,FALSE),"NA")</f>
        <v>Snohomish</v>
      </c>
      <c r="L3751" t="str">
        <f>IFERROR(VLOOKUP(J3751,LUTs!$A$1:$C$73,3,FALSE),"NA")</f>
        <v>2Central Puget Sound</v>
      </c>
      <c r="M3751" s="72" t="s">
        <v>24</v>
      </c>
      <c r="N3751" t="str">
        <f>VLOOKUP(M3751,LUTs!E$2:H$14,3,)</f>
        <v>11Clallam</v>
      </c>
      <c r="O3751" t="str">
        <f>VLOOKUP(M3751,LUTs!E$2:H$14,4,)</f>
        <v>03Strait of Juan de Fuca</v>
      </c>
      <c r="P3751" s="73">
        <v>35.133333333333297</v>
      </c>
      <c r="Q3751" s="74">
        <f>VLOOKUP(B3751,Readme!A$40:C$51,2,)*P3751</f>
        <v>120.85866666666654</v>
      </c>
    </row>
    <row r="3752" spans="1:17" ht="12" customHeight="1" x14ac:dyDescent="0.35">
      <c r="A3752" s="75">
        <v>3751</v>
      </c>
      <c r="B3752" s="64">
        <v>2021</v>
      </c>
      <c r="C3752" s="64">
        <v>6</v>
      </c>
      <c r="D3752" s="80">
        <f t="shared" si="119"/>
        <v>2021</v>
      </c>
      <c r="E3752" t="s">
        <v>38</v>
      </c>
      <c r="F3752" t="s">
        <v>143</v>
      </c>
      <c r="G3752" t="s">
        <v>10</v>
      </c>
      <c r="H3752" s="72">
        <v>844</v>
      </c>
      <c r="I3752" s="72" t="s">
        <v>62</v>
      </c>
      <c r="J3752" t="str">
        <f t="shared" si="120"/>
        <v>Skykomish River</v>
      </c>
      <c r="K3752" t="str">
        <f>IFERROR(VLOOKUP(J3752,LUTs!$A$1:$C$73,2,FALSE),"NA")</f>
        <v>Snohomish</v>
      </c>
      <c r="L3752" t="str">
        <f>IFERROR(VLOOKUP(J3752,LUTs!$A$1:$C$73,3,FALSE),"NA")</f>
        <v>2Central Puget Sound</v>
      </c>
      <c r="M3752" s="72" t="s">
        <v>17</v>
      </c>
      <c r="N3752" t="str">
        <f>VLOOKUP(M3752,LUTs!E$2:H$14,3,)</f>
        <v>04Island</v>
      </c>
      <c r="O3752" t="str">
        <f>VLOOKUP(M3752,LUTs!E$2:H$14,4,)</f>
        <v>01North Puget Sound</v>
      </c>
      <c r="P3752" s="73">
        <v>35.133333333333297</v>
      </c>
      <c r="Q3752" s="74">
        <f>VLOOKUP(B3752,Readme!A$40:C$51,2,)*P3752</f>
        <v>120.85866666666654</v>
      </c>
    </row>
    <row r="3753" spans="1:17" ht="12" customHeight="1" x14ac:dyDescent="0.35">
      <c r="A3753" s="75">
        <v>3752</v>
      </c>
      <c r="B3753" s="64">
        <v>2021</v>
      </c>
      <c r="C3753" s="64">
        <v>6</v>
      </c>
      <c r="D3753" s="80">
        <f t="shared" si="119"/>
        <v>2021</v>
      </c>
      <c r="E3753" t="s">
        <v>38</v>
      </c>
      <c r="F3753" t="s">
        <v>143</v>
      </c>
      <c r="G3753" t="s">
        <v>10</v>
      </c>
      <c r="H3753" s="72">
        <v>844</v>
      </c>
      <c r="I3753" s="72" t="s">
        <v>62</v>
      </c>
      <c r="J3753" t="str">
        <f t="shared" si="120"/>
        <v>Skykomish River</v>
      </c>
      <c r="K3753" t="str">
        <f>IFERROR(VLOOKUP(J3753,LUTs!$A$1:$C$73,2,FALSE),"NA")</f>
        <v>Snohomish</v>
      </c>
      <c r="L3753" t="str">
        <f>IFERROR(VLOOKUP(J3753,LUTs!$A$1:$C$73,3,FALSE),"NA")</f>
        <v>2Central Puget Sound</v>
      </c>
      <c r="M3753" s="72" t="s">
        <v>18</v>
      </c>
      <c r="N3753" t="str">
        <f>VLOOKUP(M3753,LUTs!E$2:H$14,3,)</f>
        <v>06King</v>
      </c>
      <c r="O3753" t="str">
        <f>VLOOKUP(M3753,LUTs!E$2:H$14,4,)</f>
        <v>02South Puget Sound</v>
      </c>
      <c r="P3753" s="73">
        <v>210.8</v>
      </c>
      <c r="Q3753" s="74">
        <f>VLOOKUP(B3753,Readme!A$40:C$51,2,)*P3753</f>
        <v>725.15200000000004</v>
      </c>
    </row>
    <row r="3754" spans="1:17" ht="12" customHeight="1" x14ac:dyDescent="0.35">
      <c r="A3754" s="75">
        <v>3753</v>
      </c>
      <c r="B3754" s="64">
        <v>2021</v>
      </c>
      <c r="C3754" s="64">
        <v>6</v>
      </c>
      <c r="D3754" s="80">
        <f t="shared" si="119"/>
        <v>2021</v>
      </c>
      <c r="E3754" t="s">
        <v>38</v>
      </c>
      <c r="F3754" t="s">
        <v>143</v>
      </c>
      <c r="G3754" t="s">
        <v>10</v>
      </c>
      <c r="H3754" s="72">
        <v>844</v>
      </c>
      <c r="I3754" s="72" t="s">
        <v>62</v>
      </c>
      <c r="J3754" t="str">
        <f t="shared" si="120"/>
        <v>Skykomish River</v>
      </c>
      <c r="K3754" t="str">
        <f>IFERROR(VLOOKUP(J3754,LUTs!$A$1:$C$73,2,FALSE),"NA")</f>
        <v>Snohomish</v>
      </c>
      <c r="L3754" t="str">
        <f>IFERROR(VLOOKUP(J3754,LUTs!$A$1:$C$73,3,FALSE),"NA")</f>
        <v>2Central Puget Sound</v>
      </c>
      <c r="M3754" s="72" t="s">
        <v>20</v>
      </c>
      <c r="N3754" t="str">
        <f>VLOOKUP(M3754,LUTs!E$2:H$14,3,)</f>
        <v>07Pierce</v>
      </c>
      <c r="O3754" t="str">
        <f>VLOOKUP(M3754,LUTs!E$2:H$14,4,)</f>
        <v>02South Puget Sound</v>
      </c>
      <c r="P3754" s="73">
        <v>70.266666666666694</v>
      </c>
      <c r="Q3754" s="74">
        <f>VLOOKUP(B3754,Readme!A$40:C$51,2,)*P3754</f>
        <v>241.71733333333341</v>
      </c>
    </row>
    <row r="3755" spans="1:17" ht="12" customHeight="1" x14ac:dyDescent="0.35">
      <c r="A3755" s="75">
        <v>3754</v>
      </c>
      <c r="B3755" s="64">
        <v>2021</v>
      </c>
      <c r="C3755" s="64">
        <v>6</v>
      </c>
      <c r="D3755" s="80">
        <f t="shared" si="119"/>
        <v>2021</v>
      </c>
      <c r="E3755" t="s">
        <v>38</v>
      </c>
      <c r="F3755" t="s">
        <v>143</v>
      </c>
      <c r="G3755" t="s">
        <v>10</v>
      </c>
      <c r="H3755" s="72">
        <v>844</v>
      </c>
      <c r="I3755" s="72" t="s">
        <v>62</v>
      </c>
      <c r="J3755" t="str">
        <f t="shared" si="120"/>
        <v>Skykomish River</v>
      </c>
      <c r="K3755" t="str">
        <f>IFERROR(VLOOKUP(J3755,LUTs!$A$1:$C$73,2,FALSE),"NA")</f>
        <v>Snohomish</v>
      </c>
      <c r="L3755" t="str">
        <f>IFERROR(VLOOKUP(J3755,LUTs!$A$1:$C$73,3,FALSE),"NA")</f>
        <v>2Central Puget Sound</v>
      </c>
      <c r="M3755" s="72" t="s">
        <v>16</v>
      </c>
      <c r="N3755" t="str">
        <f>VLOOKUP(M3755,LUTs!E$2:H$14,3,)</f>
        <v>03Snohomish</v>
      </c>
      <c r="O3755" t="str">
        <f>VLOOKUP(M3755,LUTs!E$2:H$14,4,)</f>
        <v>01North Puget Sound</v>
      </c>
      <c r="P3755" s="73">
        <v>175.666666666667</v>
      </c>
      <c r="Q3755" s="74">
        <f>VLOOKUP(B3755,Readme!A$40:C$51,2,)*P3755</f>
        <v>604.29333333333443</v>
      </c>
    </row>
    <row r="3756" spans="1:17" ht="12" customHeight="1" x14ac:dyDescent="0.35">
      <c r="A3756" s="75">
        <v>3755</v>
      </c>
      <c r="B3756" s="64">
        <v>2021</v>
      </c>
      <c r="C3756" s="64">
        <v>7</v>
      </c>
      <c r="D3756" s="80">
        <f t="shared" si="119"/>
        <v>2021</v>
      </c>
      <c r="E3756" t="s">
        <v>38</v>
      </c>
      <c r="F3756" t="s">
        <v>143</v>
      </c>
      <c r="G3756" t="s">
        <v>10</v>
      </c>
      <c r="H3756" s="72">
        <v>844</v>
      </c>
      <c r="I3756" s="72" t="s">
        <v>62</v>
      </c>
      <c r="J3756" t="str">
        <f t="shared" si="120"/>
        <v>Skykomish River</v>
      </c>
      <c r="K3756" t="str">
        <f>IFERROR(VLOOKUP(J3756,LUTs!$A$1:$C$73,2,FALSE),"NA")</f>
        <v>Snohomish</v>
      </c>
      <c r="L3756" t="str">
        <f>IFERROR(VLOOKUP(J3756,LUTs!$A$1:$C$73,3,FALSE),"NA")</f>
        <v>2Central Puget Sound</v>
      </c>
      <c r="M3756" s="72" t="s">
        <v>18</v>
      </c>
      <c r="N3756" t="str">
        <f>VLOOKUP(M3756,LUTs!E$2:H$14,3,)</f>
        <v>06King</v>
      </c>
      <c r="O3756" t="str">
        <f>VLOOKUP(M3756,LUTs!E$2:H$14,4,)</f>
        <v>02South Puget Sound</v>
      </c>
      <c r="P3756" s="73">
        <v>179.35135135135101</v>
      </c>
      <c r="Q3756" s="74">
        <f>VLOOKUP(B3756,Readme!A$40:C$51,2,)*P3756</f>
        <v>616.96864864864745</v>
      </c>
    </row>
    <row r="3757" spans="1:17" ht="12" customHeight="1" x14ac:dyDescent="0.35">
      <c r="A3757" s="75">
        <v>3756</v>
      </c>
      <c r="B3757" s="64">
        <v>2021</v>
      </c>
      <c r="C3757" s="64">
        <v>7</v>
      </c>
      <c r="D3757" s="80">
        <f t="shared" si="119"/>
        <v>2021</v>
      </c>
      <c r="E3757" t="s">
        <v>38</v>
      </c>
      <c r="F3757" t="s">
        <v>143</v>
      </c>
      <c r="G3757" t="s">
        <v>10</v>
      </c>
      <c r="H3757" s="72">
        <v>844</v>
      </c>
      <c r="I3757" s="72" t="s">
        <v>62</v>
      </c>
      <c r="J3757" t="str">
        <f t="shared" si="120"/>
        <v>Skykomish River</v>
      </c>
      <c r="K3757" t="str">
        <f>IFERROR(VLOOKUP(J3757,LUTs!$A$1:$C$73,2,FALSE),"NA")</f>
        <v>Snohomish</v>
      </c>
      <c r="L3757" t="str">
        <f>IFERROR(VLOOKUP(J3757,LUTs!$A$1:$C$73,3,FALSE),"NA")</f>
        <v>2Central Puget Sound</v>
      </c>
      <c r="M3757" s="72" t="s">
        <v>26</v>
      </c>
      <c r="N3757" t="str">
        <f>VLOOKUP(M3757,LUTs!E$2:H$14,3,)</f>
        <v>20Other</v>
      </c>
      <c r="O3757" t="str">
        <f>VLOOKUP(M3757,LUTs!E$2:H$14,4,)</f>
        <v>07Non Puget Sound</v>
      </c>
      <c r="P3757" s="73">
        <v>44.837837837837803</v>
      </c>
      <c r="Q3757" s="74">
        <f>VLOOKUP(B3757,Readme!A$40:C$51,2,)*P3757</f>
        <v>154.24216216216203</v>
      </c>
    </row>
    <row r="3758" spans="1:17" ht="12" customHeight="1" x14ac:dyDescent="0.35">
      <c r="A3758" s="75">
        <v>3757</v>
      </c>
      <c r="B3758" s="64">
        <v>2021</v>
      </c>
      <c r="C3758" s="64">
        <v>7</v>
      </c>
      <c r="D3758" s="80">
        <f t="shared" si="119"/>
        <v>2021</v>
      </c>
      <c r="E3758" t="s">
        <v>38</v>
      </c>
      <c r="F3758" t="s">
        <v>143</v>
      </c>
      <c r="G3758" t="s">
        <v>10</v>
      </c>
      <c r="H3758" s="72">
        <v>844</v>
      </c>
      <c r="I3758" s="72" t="s">
        <v>62</v>
      </c>
      <c r="J3758" t="str">
        <f t="shared" si="120"/>
        <v>Skykomish River</v>
      </c>
      <c r="K3758" t="str">
        <f>IFERROR(VLOOKUP(J3758,LUTs!$A$1:$C$73,2,FALSE),"NA")</f>
        <v>Snohomish</v>
      </c>
      <c r="L3758" t="str">
        <f>IFERROR(VLOOKUP(J3758,LUTs!$A$1:$C$73,3,FALSE),"NA")</f>
        <v>2Central Puget Sound</v>
      </c>
      <c r="M3758" s="72" t="s">
        <v>20</v>
      </c>
      <c r="N3758" t="str">
        <f>VLOOKUP(M3758,LUTs!E$2:H$14,3,)</f>
        <v>07Pierce</v>
      </c>
      <c r="O3758" t="str">
        <f>VLOOKUP(M3758,LUTs!E$2:H$14,4,)</f>
        <v>02South Puget Sound</v>
      </c>
      <c r="P3758" s="73">
        <v>14.945945945946001</v>
      </c>
      <c r="Q3758" s="74">
        <f>VLOOKUP(B3758,Readme!A$40:C$51,2,)*P3758</f>
        <v>51.41405405405424</v>
      </c>
    </row>
    <row r="3759" spans="1:17" ht="12" customHeight="1" x14ac:dyDescent="0.35">
      <c r="A3759" s="75">
        <v>3758</v>
      </c>
      <c r="B3759" s="64">
        <v>2021</v>
      </c>
      <c r="C3759" s="64">
        <v>7</v>
      </c>
      <c r="D3759" s="80">
        <f t="shared" si="119"/>
        <v>2021</v>
      </c>
      <c r="E3759" t="s">
        <v>38</v>
      </c>
      <c r="F3759" t="s">
        <v>143</v>
      </c>
      <c r="G3759" t="s">
        <v>10</v>
      </c>
      <c r="H3759" s="72">
        <v>844</v>
      </c>
      <c r="I3759" s="72" t="s">
        <v>62</v>
      </c>
      <c r="J3759" t="str">
        <f t="shared" si="120"/>
        <v>Skykomish River</v>
      </c>
      <c r="K3759" t="str">
        <f>IFERROR(VLOOKUP(J3759,LUTs!$A$1:$C$73,2,FALSE),"NA")</f>
        <v>Snohomish</v>
      </c>
      <c r="L3759" t="str">
        <f>IFERROR(VLOOKUP(J3759,LUTs!$A$1:$C$73,3,FALSE),"NA")</f>
        <v>2Central Puget Sound</v>
      </c>
      <c r="M3759" s="72" t="s">
        <v>16</v>
      </c>
      <c r="N3759" t="str">
        <f>VLOOKUP(M3759,LUTs!E$2:H$14,3,)</f>
        <v>03Snohomish</v>
      </c>
      <c r="O3759" t="str">
        <f>VLOOKUP(M3759,LUTs!E$2:H$14,4,)</f>
        <v>01North Puget Sound</v>
      </c>
      <c r="P3759" s="73">
        <v>283.97297297297303</v>
      </c>
      <c r="Q3759" s="74">
        <f>VLOOKUP(B3759,Readme!A$40:C$51,2,)*P3759</f>
        <v>976.86702702702723</v>
      </c>
    </row>
    <row r="3760" spans="1:17" ht="12" customHeight="1" x14ac:dyDescent="0.35">
      <c r="A3760" s="75">
        <v>3759</v>
      </c>
      <c r="B3760" s="64">
        <v>2021</v>
      </c>
      <c r="C3760" s="64">
        <v>7</v>
      </c>
      <c r="D3760" s="80">
        <f t="shared" si="119"/>
        <v>2021</v>
      </c>
      <c r="E3760" t="s">
        <v>38</v>
      </c>
      <c r="F3760" t="s">
        <v>143</v>
      </c>
      <c r="G3760" t="s">
        <v>10</v>
      </c>
      <c r="H3760" s="72">
        <v>844</v>
      </c>
      <c r="I3760" s="72" t="s">
        <v>62</v>
      </c>
      <c r="J3760" t="str">
        <f t="shared" si="120"/>
        <v>Skykomish River</v>
      </c>
      <c r="K3760" t="str">
        <f>IFERROR(VLOOKUP(J3760,LUTs!$A$1:$C$73,2,FALSE),"NA")</f>
        <v>Snohomish</v>
      </c>
      <c r="L3760" t="str">
        <f>IFERROR(VLOOKUP(J3760,LUTs!$A$1:$C$73,3,FALSE),"NA")</f>
        <v>2Central Puget Sound</v>
      </c>
      <c r="M3760" s="72" t="s">
        <v>21</v>
      </c>
      <c r="N3760" t="str">
        <f>VLOOKUP(M3760,LUTs!E$2:H$14,3,)</f>
        <v>08Thurston</v>
      </c>
      <c r="O3760" t="str">
        <f>VLOOKUP(M3760,LUTs!E$2:H$14,4,)</f>
        <v>02South Puget Sound</v>
      </c>
      <c r="P3760" s="73">
        <v>29.891891891891898</v>
      </c>
      <c r="Q3760" s="74">
        <f>VLOOKUP(B3760,Readme!A$40:C$51,2,)*P3760</f>
        <v>102.82810810810813</v>
      </c>
    </row>
    <row r="3761" spans="1:17" ht="12" customHeight="1" x14ac:dyDescent="0.35">
      <c r="A3761" s="75">
        <v>3760</v>
      </c>
      <c r="B3761" s="64">
        <v>2021</v>
      </c>
      <c r="C3761" s="64">
        <v>8</v>
      </c>
      <c r="D3761" s="80">
        <f t="shared" si="119"/>
        <v>2021</v>
      </c>
      <c r="E3761" t="s">
        <v>38</v>
      </c>
      <c r="F3761" t="s">
        <v>143</v>
      </c>
      <c r="G3761" t="s">
        <v>10</v>
      </c>
      <c r="H3761" s="72">
        <v>844</v>
      </c>
      <c r="I3761" s="72" t="s">
        <v>62</v>
      </c>
      <c r="J3761" t="str">
        <f t="shared" si="120"/>
        <v>Skykomish River</v>
      </c>
      <c r="K3761" t="str">
        <f>IFERROR(VLOOKUP(J3761,LUTs!$A$1:$C$73,2,FALSE),"NA")</f>
        <v>Snohomish</v>
      </c>
      <c r="L3761" t="str">
        <f>IFERROR(VLOOKUP(J3761,LUTs!$A$1:$C$73,3,FALSE),"NA")</f>
        <v>2Central Puget Sound</v>
      </c>
      <c r="M3761" s="72" t="s">
        <v>17</v>
      </c>
      <c r="N3761" t="str">
        <f>VLOOKUP(M3761,LUTs!E$2:H$14,3,)</f>
        <v>04Island</v>
      </c>
      <c r="O3761" t="str">
        <f>VLOOKUP(M3761,LUTs!E$2:H$14,4,)</f>
        <v>01North Puget Sound</v>
      </c>
      <c r="P3761" s="73">
        <v>81.785714285714306</v>
      </c>
      <c r="Q3761" s="74">
        <f>VLOOKUP(B3761,Readme!A$40:C$51,2,)*P3761</f>
        <v>281.34285714285721</v>
      </c>
    </row>
    <row r="3762" spans="1:17" ht="12" customHeight="1" x14ac:dyDescent="0.35">
      <c r="A3762" s="75">
        <v>3761</v>
      </c>
      <c r="B3762" s="64">
        <v>2021</v>
      </c>
      <c r="C3762" s="64">
        <v>8</v>
      </c>
      <c r="D3762" s="80">
        <f t="shared" si="119"/>
        <v>2021</v>
      </c>
      <c r="E3762" t="s">
        <v>38</v>
      </c>
      <c r="F3762" t="s">
        <v>143</v>
      </c>
      <c r="G3762" t="s">
        <v>10</v>
      </c>
      <c r="H3762" s="72">
        <v>844</v>
      </c>
      <c r="I3762" s="72" t="s">
        <v>62</v>
      </c>
      <c r="J3762" t="str">
        <f t="shared" si="120"/>
        <v>Skykomish River</v>
      </c>
      <c r="K3762" t="str">
        <f>IFERROR(VLOOKUP(J3762,LUTs!$A$1:$C$73,2,FALSE),"NA")</f>
        <v>Snohomish</v>
      </c>
      <c r="L3762" t="str">
        <f>IFERROR(VLOOKUP(J3762,LUTs!$A$1:$C$73,3,FALSE),"NA")</f>
        <v>2Central Puget Sound</v>
      </c>
      <c r="M3762" s="72" t="s">
        <v>18</v>
      </c>
      <c r="N3762" t="str">
        <f>VLOOKUP(M3762,LUTs!E$2:H$14,3,)</f>
        <v>06King</v>
      </c>
      <c r="O3762" t="str">
        <f>VLOOKUP(M3762,LUTs!E$2:H$14,4,)</f>
        <v>02South Puget Sound</v>
      </c>
      <c r="P3762" s="73">
        <v>49.071428571428598</v>
      </c>
      <c r="Q3762" s="74">
        <f>VLOOKUP(B3762,Readme!A$40:C$51,2,)*P3762</f>
        <v>168.80571428571437</v>
      </c>
    </row>
    <row r="3763" spans="1:17" ht="12" customHeight="1" x14ac:dyDescent="0.35">
      <c r="A3763" s="75">
        <v>3762</v>
      </c>
      <c r="B3763" s="64">
        <v>2021</v>
      </c>
      <c r="C3763" s="64">
        <v>8</v>
      </c>
      <c r="D3763" s="80">
        <f t="shared" si="119"/>
        <v>2021</v>
      </c>
      <c r="E3763" t="s">
        <v>38</v>
      </c>
      <c r="F3763" t="s">
        <v>143</v>
      </c>
      <c r="G3763" t="s">
        <v>10</v>
      </c>
      <c r="H3763" s="72">
        <v>844</v>
      </c>
      <c r="I3763" s="72" t="s">
        <v>62</v>
      </c>
      <c r="J3763" t="str">
        <f t="shared" si="120"/>
        <v>Skykomish River</v>
      </c>
      <c r="K3763" t="str">
        <f>IFERROR(VLOOKUP(J3763,LUTs!$A$1:$C$73,2,FALSE),"NA")</f>
        <v>Snohomish</v>
      </c>
      <c r="L3763" t="str">
        <f>IFERROR(VLOOKUP(J3763,LUTs!$A$1:$C$73,3,FALSE),"NA")</f>
        <v>2Central Puget Sound</v>
      </c>
      <c r="M3763" s="72" t="s">
        <v>16</v>
      </c>
      <c r="N3763" t="str">
        <f>VLOOKUP(M3763,LUTs!E$2:H$14,3,)</f>
        <v>03Snohomish</v>
      </c>
      <c r="O3763" t="str">
        <f>VLOOKUP(M3763,LUTs!E$2:H$14,4,)</f>
        <v>01North Puget Sound</v>
      </c>
      <c r="P3763" s="73">
        <v>98.142857142857196</v>
      </c>
      <c r="Q3763" s="74">
        <f>VLOOKUP(B3763,Readme!A$40:C$51,2,)*P3763</f>
        <v>337.61142857142875</v>
      </c>
    </row>
    <row r="3764" spans="1:17" ht="12" customHeight="1" x14ac:dyDescent="0.35">
      <c r="A3764" s="75">
        <v>3763</v>
      </c>
      <c r="B3764" s="64">
        <v>2021</v>
      </c>
      <c r="C3764" s="64">
        <v>9</v>
      </c>
      <c r="D3764" s="80">
        <f t="shared" si="119"/>
        <v>2021</v>
      </c>
      <c r="E3764" t="s">
        <v>38</v>
      </c>
      <c r="F3764" t="s">
        <v>143</v>
      </c>
      <c r="G3764" t="s">
        <v>10</v>
      </c>
      <c r="H3764" s="72">
        <v>844</v>
      </c>
      <c r="I3764" s="72" t="s">
        <v>62</v>
      </c>
      <c r="J3764" t="str">
        <f t="shared" si="120"/>
        <v>Skykomish River</v>
      </c>
      <c r="K3764" t="str">
        <f>IFERROR(VLOOKUP(J3764,LUTs!$A$1:$C$73,2,FALSE),"NA")</f>
        <v>Snohomish</v>
      </c>
      <c r="L3764" t="str">
        <f>IFERROR(VLOOKUP(J3764,LUTs!$A$1:$C$73,3,FALSE),"NA")</f>
        <v>2Central Puget Sound</v>
      </c>
      <c r="M3764" s="72" t="s">
        <v>17</v>
      </c>
      <c r="N3764" t="str">
        <f>VLOOKUP(M3764,LUTs!E$2:H$14,3,)</f>
        <v>04Island</v>
      </c>
      <c r="O3764" t="str">
        <f>VLOOKUP(M3764,LUTs!E$2:H$14,4,)</f>
        <v>01North Puget Sound</v>
      </c>
      <c r="P3764" s="73">
        <v>38.278145695364302</v>
      </c>
      <c r="Q3764" s="74">
        <f>VLOOKUP(B3764,Readme!A$40:C$51,2,)*P3764</f>
        <v>131.67682119205318</v>
      </c>
    </row>
    <row r="3765" spans="1:17" ht="12" customHeight="1" x14ac:dyDescent="0.35">
      <c r="A3765" s="75">
        <v>3764</v>
      </c>
      <c r="B3765" s="64">
        <v>2021</v>
      </c>
      <c r="C3765" s="64">
        <v>9</v>
      </c>
      <c r="D3765" s="80">
        <f t="shared" si="119"/>
        <v>2021</v>
      </c>
      <c r="E3765" t="s">
        <v>38</v>
      </c>
      <c r="F3765" t="s">
        <v>143</v>
      </c>
      <c r="G3765" t="s">
        <v>10</v>
      </c>
      <c r="H3765" s="72">
        <v>844</v>
      </c>
      <c r="I3765" s="72" t="s">
        <v>62</v>
      </c>
      <c r="J3765" t="str">
        <f t="shared" si="120"/>
        <v>Skykomish River</v>
      </c>
      <c r="K3765" t="str">
        <f>IFERROR(VLOOKUP(J3765,LUTs!$A$1:$C$73,2,FALSE),"NA")</f>
        <v>Snohomish</v>
      </c>
      <c r="L3765" t="str">
        <f>IFERROR(VLOOKUP(J3765,LUTs!$A$1:$C$73,3,FALSE),"NA")</f>
        <v>2Central Puget Sound</v>
      </c>
      <c r="M3765" s="72" t="s">
        <v>18</v>
      </c>
      <c r="N3765" t="str">
        <f>VLOOKUP(M3765,LUTs!E$2:H$14,3,)</f>
        <v>06King</v>
      </c>
      <c r="O3765" t="str">
        <f>VLOOKUP(M3765,LUTs!E$2:H$14,4,)</f>
        <v>02South Puget Sound</v>
      </c>
      <c r="P3765" s="73">
        <v>558.86092715231803</v>
      </c>
      <c r="Q3765" s="74">
        <f>VLOOKUP(B3765,Readme!A$40:C$51,2,)*P3765</f>
        <v>1922.4815894039739</v>
      </c>
    </row>
    <row r="3766" spans="1:17" ht="12" customHeight="1" x14ac:dyDescent="0.35">
      <c r="A3766" s="75">
        <v>3765</v>
      </c>
      <c r="B3766" s="64">
        <v>2021</v>
      </c>
      <c r="C3766" s="64">
        <v>9</v>
      </c>
      <c r="D3766" s="80">
        <f t="shared" si="119"/>
        <v>2021</v>
      </c>
      <c r="E3766" t="s">
        <v>38</v>
      </c>
      <c r="F3766" t="s">
        <v>143</v>
      </c>
      <c r="G3766" t="s">
        <v>10</v>
      </c>
      <c r="H3766" s="72">
        <v>844</v>
      </c>
      <c r="I3766" s="72" t="s">
        <v>62</v>
      </c>
      <c r="J3766" t="str">
        <f t="shared" si="120"/>
        <v>Skykomish River</v>
      </c>
      <c r="K3766" t="str">
        <f>IFERROR(VLOOKUP(J3766,LUTs!$A$1:$C$73,2,FALSE),"NA")</f>
        <v>Snohomish</v>
      </c>
      <c r="L3766" t="str">
        <f>IFERROR(VLOOKUP(J3766,LUTs!$A$1:$C$73,3,FALSE),"NA")</f>
        <v>2Central Puget Sound</v>
      </c>
      <c r="M3766" s="72" t="s">
        <v>26</v>
      </c>
      <c r="N3766" t="str">
        <f>VLOOKUP(M3766,LUTs!E$2:H$14,3,)</f>
        <v>20Other</v>
      </c>
      <c r="O3766" t="str">
        <f>VLOOKUP(M3766,LUTs!E$2:H$14,4,)</f>
        <v>07Non Puget Sound</v>
      </c>
      <c r="P3766" s="73">
        <v>436.37086092715202</v>
      </c>
      <c r="Q3766" s="74">
        <f>VLOOKUP(B3766,Readme!A$40:C$51,2,)*P3766</f>
        <v>1501.1157615894028</v>
      </c>
    </row>
    <row r="3767" spans="1:17" ht="12" customHeight="1" x14ac:dyDescent="0.35">
      <c r="A3767" s="75">
        <v>3766</v>
      </c>
      <c r="B3767" s="64">
        <v>2021</v>
      </c>
      <c r="C3767" s="64">
        <v>9</v>
      </c>
      <c r="D3767" s="80">
        <f t="shared" si="119"/>
        <v>2021</v>
      </c>
      <c r="E3767" t="s">
        <v>38</v>
      </c>
      <c r="F3767" t="s">
        <v>143</v>
      </c>
      <c r="G3767" t="s">
        <v>10</v>
      </c>
      <c r="H3767" s="72">
        <v>844</v>
      </c>
      <c r="I3767" s="72" t="s">
        <v>62</v>
      </c>
      <c r="J3767" t="str">
        <f t="shared" si="120"/>
        <v>Skykomish River</v>
      </c>
      <c r="K3767" t="str">
        <f>IFERROR(VLOOKUP(J3767,LUTs!$A$1:$C$73,2,FALSE),"NA")</f>
        <v>Snohomish</v>
      </c>
      <c r="L3767" t="str">
        <f>IFERROR(VLOOKUP(J3767,LUTs!$A$1:$C$73,3,FALSE),"NA")</f>
        <v>2Central Puget Sound</v>
      </c>
      <c r="M3767" s="72" t="s">
        <v>20</v>
      </c>
      <c r="N3767" t="str">
        <f>VLOOKUP(M3767,LUTs!E$2:H$14,3,)</f>
        <v>07Pierce</v>
      </c>
      <c r="O3767" t="str">
        <f>VLOOKUP(M3767,LUTs!E$2:H$14,4,)</f>
        <v>02South Puget Sound</v>
      </c>
      <c r="P3767" s="73">
        <v>15.311258278145701</v>
      </c>
      <c r="Q3767" s="74">
        <f>VLOOKUP(B3767,Readme!A$40:C$51,2,)*P3767</f>
        <v>52.670728476821211</v>
      </c>
    </row>
    <row r="3768" spans="1:17" ht="12" customHeight="1" x14ac:dyDescent="0.35">
      <c r="A3768" s="75">
        <v>3767</v>
      </c>
      <c r="B3768" s="64">
        <v>2021</v>
      </c>
      <c r="C3768" s="64">
        <v>9</v>
      </c>
      <c r="D3768" s="80">
        <f t="shared" si="119"/>
        <v>2021</v>
      </c>
      <c r="E3768" t="s">
        <v>38</v>
      </c>
      <c r="F3768" t="s">
        <v>143</v>
      </c>
      <c r="G3768" t="s">
        <v>10</v>
      </c>
      <c r="H3768" s="72">
        <v>844</v>
      </c>
      <c r="I3768" s="72" t="s">
        <v>62</v>
      </c>
      <c r="J3768" t="str">
        <f t="shared" si="120"/>
        <v>Skykomish River</v>
      </c>
      <c r="K3768" t="str">
        <f>IFERROR(VLOOKUP(J3768,LUTs!$A$1:$C$73,2,FALSE),"NA")</f>
        <v>Snohomish</v>
      </c>
      <c r="L3768" t="str">
        <f>IFERROR(VLOOKUP(J3768,LUTs!$A$1:$C$73,3,FALSE),"NA")</f>
        <v>2Central Puget Sound</v>
      </c>
      <c r="M3768" s="72" t="s">
        <v>15</v>
      </c>
      <c r="N3768" t="str">
        <f>VLOOKUP(M3768,LUTs!E$2:H$14,3,)</f>
        <v>02Skagit</v>
      </c>
      <c r="O3768" t="str">
        <f>VLOOKUP(M3768,LUTs!E$2:H$14,4,)</f>
        <v>01North Puget Sound</v>
      </c>
      <c r="P3768" s="73">
        <v>15.311258278145701</v>
      </c>
      <c r="Q3768" s="74">
        <f>VLOOKUP(B3768,Readme!A$40:C$51,2,)*P3768</f>
        <v>52.670728476821211</v>
      </c>
    </row>
    <row r="3769" spans="1:17" ht="12" customHeight="1" x14ac:dyDescent="0.35">
      <c r="A3769" s="75">
        <v>3768</v>
      </c>
      <c r="B3769" s="64">
        <v>2021</v>
      </c>
      <c r="C3769" s="64">
        <v>9</v>
      </c>
      <c r="D3769" s="80">
        <f t="shared" si="119"/>
        <v>2021</v>
      </c>
      <c r="E3769" t="s">
        <v>38</v>
      </c>
      <c r="F3769" t="s">
        <v>143</v>
      </c>
      <c r="G3769" t="s">
        <v>10</v>
      </c>
      <c r="H3769" s="72">
        <v>844</v>
      </c>
      <c r="I3769" s="72" t="s">
        <v>62</v>
      </c>
      <c r="J3769" t="str">
        <f t="shared" si="120"/>
        <v>Skykomish River</v>
      </c>
      <c r="K3769" t="str">
        <f>IFERROR(VLOOKUP(J3769,LUTs!$A$1:$C$73,2,FALSE),"NA")</f>
        <v>Snohomish</v>
      </c>
      <c r="L3769" t="str">
        <f>IFERROR(VLOOKUP(J3769,LUTs!$A$1:$C$73,3,FALSE),"NA")</f>
        <v>2Central Puget Sound</v>
      </c>
      <c r="M3769" s="72" t="s">
        <v>16</v>
      </c>
      <c r="N3769" t="str">
        <f>VLOOKUP(M3769,LUTs!E$2:H$14,3,)</f>
        <v>03Snohomish</v>
      </c>
      <c r="O3769" t="str">
        <f>VLOOKUP(M3769,LUTs!E$2:H$14,4,)</f>
        <v>01North Puget Sound</v>
      </c>
      <c r="P3769" s="73">
        <v>1217.2450331125799</v>
      </c>
      <c r="Q3769" s="74">
        <f>VLOOKUP(B3769,Readme!A$40:C$51,2,)*P3769</f>
        <v>4187.3229139072746</v>
      </c>
    </row>
    <row r="3770" spans="1:17" ht="12" customHeight="1" x14ac:dyDescent="0.35">
      <c r="A3770" s="75">
        <v>3769</v>
      </c>
      <c r="B3770" s="64">
        <v>2021</v>
      </c>
      <c r="C3770" s="64">
        <v>9</v>
      </c>
      <c r="D3770" s="80">
        <f t="shared" ref="D3770:D3810" si="121">IF(C3770&gt;3,B3770,B3770-1)</f>
        <v>2021</v>
      </c>
      <c r="E3770" t="s">
        <v>38</v>
      </c>
      <c r="F3770" t="s">
        <v>143</v>
      </c>
      <c r="G3770" t="s">
        <v>10</v>
      </c>
      <c r="H3770" s="72">
        <v>844</v>
      </c>
      <c r="I3770" s="72" t="s">
        <v>62</v>
      </c>
      <c r="J3770" t="str">
        <f t="shared" si="120"/>
        <v>Skykomish River</v>
      </c>
      <c r="K3770" t="str">
        <f>IFERROR(VLOOKUP(J3770,LUTs!$A$1:$C$73,2,FALSE),"NA")</f>
        <v>Snohomish</v>
      </c>
      <c r="L3770" t="str">
        <f>IFERROR(VLOOKUP(J3770,LUTs!$A$1:$C$73,3,FALSE),"NA")</f>
        <v>2Central Puget Sound</v>
      </c>
      <c r="M3770" s="72" t="s">
        <v>13</v>
      </c>
      <c r="N3770" t="str">
        <f>VLOOKUP(M3770,LUTs!E$2:H$14,3,)</f>
        <v>01Whatcom</v>
      </c>
      <c r="O3770" t="str">
        <f>VLOOKUP(M3770,LUTs!E$2:H$14,4,)</f>
        <v>01North Puget Sound</v>
      </c>
      <c r="P3770" s="73">
        <v>30.622516556291401</v>
      </c>
      <c r="Q3770" s="74">
        <f>VLOOKUP(B3770,Readme!A$40:C$51,2,)*P3770</f>
        <v>105.34145695364242</v>
      </c>
    </row>
    <row r="3771" spans="1:17" ht="12" customHeight="1" x14ac:dyDescent="0.35">
      <c r="A3771" s="75">
        <v>3770</v>
      </c>
      <c r="B3771" s="64">
        <v>2021</v>
      </c>
      <c r="C3771" s="64">
        <v>10</v>
      </c>
      <c r="D3771" s="80">
        <f t="shared" si="121"/>
        <v>2021</v>
      </c>
      <c r="E3771" t="s">
        <v>38</v>
      </c>
      <c r="F3771" t="s">
        <v>143</v>
      </c>
      <c r="G3771" t="s">
        <v>10</v>
      </c>
      <c r="H3771" s="72">
        <v>844</v>
      </c>
      <c r="I3771" s="72" t="s">
        <v>62</v>
      </c>
      <c r="J3771" t="str">
        <f t="shared" si="120"/>
        <v>Skykomish River</v>
      </c>
      <c r="K3771" t="str">
        <f>IFERROR(VLOOKUP(J3771,LUTs!$A$1:$C$73,2,FALSE),"NA")</f>
        <v>Snohomish</v>
      </c>
      <c r="L3771" t="str">
        <f>IFERROR(VLOOKUP(J3771,LUTs!$A$1:$C$73,3,FALSE),"NA")</f>
        <v>2Central Puget Sound</v>
      </c>
      <c r="M3771" s="72" t="s">
        <v>18</v>
      </c>
      <c r="N3771" t="str">
        <f>VLOOKUP(M3771,LUTs!E$2:H$14,3,)</f>
        <v>06King</v>
      </c>
      <c r="O3771" t="str">
        <f>VLOOKUP(M3771,LUTs!E$2:H$14,4,)</f>
        <v>02South Puget Sound</v>
      </c>
      <c r="P3771" s="73">
        <v>62.3333333333333</v>
      </c>
      <c r="Q3771" s="74">
        <f>VLOOKUP(B3771,Readme!A$40:C$51,2,)*P3771</f>
        <v>214.42666666666656</v>
      </c>
    </row>
    <row r="3772" spans="1:17" ht="12" customHeight="1" x14ac:dyDescent="0.35">
      <c r="A3772" s="75">
        <v>3771</v>
      </c>
      <c r="B3772" s="64">
        <v>2021</v>
      </c>
      <c r="C3772" s="64">
        <v>10</v>
      </c>
      <c r="D3772" s="80">
        <f t="shared" si="121"/>
        <v>2021</v>
      </c>
      <c r="E3772" t="s">
        <v>38</v>
      </c>
      <c r="F3772" t="s">
        <v>143</v>
      </c>
      <c r="G3772" t="s">
        <v>10</v>
      </c>
      <c r="H3772" s="72">
        <v>844</v>
      </c>
      <c r="I3772" s="72" t="s">
        <v>62</v>
      </c>
      <c r="J3772" t="str">
        <f t="shared" si="120"/>
        <v>Skykomish River</v>
      </c>
      <c r="K3772" t="str">
        <f>IFERROR(VLOOKUP(J3772,LUTs!$A$1:$C$73,2,FALSE),"NA")</f>
        <v>Snohomish</v>
      </c>
      <c r="L3772" t="str">
        <f>IFERROR(VLOOKUP(J3772,LUTs!$A$1:$C$73,3,FALSE),"NA")</f>
        <v>2Central Puget Sound</v>
      </c>
      <c r="M3772" s="72" t="s">
        <v>26</v>
      </c>
      <c r="N3772" t="str">
        <f>VLOOKUP(M3772,LUTs!E$2:H$14,3,)</f>
        <v>20Other</v>
      </c>
      <c r="O3772" t="str">
        <f>VLOOKUP(M3772,LUTs!E$2:H$14,4,)</f>
        <v>07Non Puget Sound</v>
      </c>
      <c r="P3772" s="73">
        <v>17</v>
      </c>
      <c r="Q3772" s="74">
        <f>VLOOKUP(B3772,Readme!A$40:C$51,2,)*P3772</f>
        <v>58.48</v>
      </c>
    </row>
    <row r="3773" spans="1:17" ht="12" customHeight="1" x14ac:dyDescent="0.35">
      <c r="A3773" s="75">
        <v>3772</v>
      </c>
      <c r="B3773" s="64">
        <v>2021</v>
      </c>
      <c r="C3773" s="64">
        <v>10</v>
      </c>
      <c r="D3773" s="80">
        <f t="shared" si="121"/>
        <v>2021</v>
      </c>
      <c r="E3773" t="s">
        <v>38</v>
      </c>
      <c r="F3773" t="s">
        <v>143</v>
      </c>
      <c r="G3773" t="s">
        <v>10</v>
      </c>
      <c r="H3773" s="72">
        <v>844</v>
      </c>
      <c r="I3773" s="72" t="s">
        <v>62</v>
      </c>
      <c r="J3773" t="str">
        <f t="shared" si="120"/>
        <v>Skykomish River</v>
      </c>
      <c r="K3773" t="str">
        <f>IFERROR(VLOOKUP(J3773,LUTs!$A$1:$C$73,2,FALSE),"NA")</f>
        <v>Snohomish</v>
      </c>
      <c r="L3773" t="str">
        <f>IFERROR(VLOOKUP(J3773,LUTs!$A$1:$C$73,3,FALSE),"NA")</f>
        <v>2Central Puget Sound</v>
      </c>
      <c r="M3773" s="72" t="s">
        <v>20</v>
      </c>
      <c r="N3773" t="str">
        <f>VLOOKUP(M3773,LUTs!E$2:H$14,3,)</f>
        <v>07Pierce</v>
      </c>
      <c r="O3773" t="str">
        <f>VLOOKUP(M3773,LUTs!E$2:H$14,4,)</f>
        <v>02South Puget Sound</v>
      </c>
      <c r="P3773" s="73">
        <v>5.6666666666666696</v>
      </c>
      <c r="Q3773" s="74">
        <f>VLOOKUP(B3773,Readme!A$40:C$51,2,)*P3773</f>
        <v>19.493333333333343</v>
      </c>
    </row>
    <row r="3774" spans="1:17" ht="12" customHeight="1" x14ac:dyDescent="0.35">
      <c r="A3774" s="75">
        <v>3773</v>
      </c>
      <c r="B3774" s="64">
        <v>2021</v>
      </c>
      <c r="C3774" s="64">
        <v>10</v>
      </c>
      <c r="D3774" s="80">
        <f t="shared" si="121"/>
        <v>2021</v>
      </c>
      <c r="E3774" t="s">
        <v>38</v>
      </c>
      <c r="F3774" t="s">
        <v>143</v>
      </c>
      <c r="G3774" t="s">
        <v>10</v>
      </c>
      <c r="H3774" s="72">
        <v>844</v>
      </c>
      <c r="I3774" s="72" t="s">
        <v>62</v>
      </c>
      <c r="J3774" t="str">
        <f t="shared" si="120"/>
        <v>Skykomish River</v>
      </c>
      <c r="K3774" t="str">
        <f>IFERROR(VLOOKUP(J3774,LUTs!$A$1:$C$73,2,FALSE),"NA")</f>
        <v>Snohomish</v>
      </c>
      <c r="L3774" t="str">
        <f>IFERROR(VLOOKUP(J3774,LUTs!$A$1:$C$73,3,FALSE),"NA")</f>
        <v>2Central Puget Sound</v>
      </c>
      <c r="M3774" s="72" t="s">
        <v>16</v>
      </c>
      <c r="N3774" t="str">
        <f>VLOOKUP(M3774,LUTs!E$2:H$14,3,)</f>
        <v>03Snohomish</v>
      </c>
      <c r="O3774" t="str">
        <f>VLOOKUP(M3774,LUTs!E$2:H$14,4,)</f>
        <v>01North Puget Sound</v>
      </c>
      <c r="P3774" s="73">
        <v>62.3333333333333</v>
      </c>
      <c r="Q3774" s="74">
        <f>VLOOKUP(B3774,Readme!A$40:C$51,2,)*P3774</f>
        <v>214.42666666666656</v>
      </c>
    </row>
    <row r="3775" spans="1:17" ht="12" customHeight="1" x14ac:dyDescent="0.35">
      <c r="A3775" s="75">
        <v>3774</v>
      </c>
      <c r="B3775" s="64">
        <v>2021</v>
      </c>
      <c r="C3775" s="64">
        <v>10</v>
      </c>
      <c r="D3775" s="80">
        <f t="shared" si="121"/>
        <v>2021</v>
      </c>
      <c r="E3775" t="s">
        <v>38</v>
      </c>
      <c r="F3775" t="s">
        <v>143</v>
      </c>
      <c r="G3775" t="s">
        <v>10</v>
      </c>
      <c r="H3775" s="72">
        <v>844</v>
      </c>
      <c r="I3775" s="72" t="s">
        <v>62</v>
      </c>
      <c r="J3775" t="str">
        <f t="shared" si="120"/>
        <v>Skykomish River</v>
      </c>
      <c r="K3775" t="str">
        <f>IFERROR(VLOOKUP(J3775,LUTs!$A$1:$C$73,2,FALSE),"NA")</f>
        <v>Snohomish</v>
      </c>
      <c r="L3775" t="str">
        <f>IFERROR(VLOOKUP(J3775,LUTs!$A$1:$C$73,3,FALSE),"NA")</f>
        <v>2Central Puget Sound</v>
      </c>
      <c r="M3775" s="72" t="s">
        <v>13</v>
      </c>
      <c r="N3775" t="str">
        <f>VLOOKUP(M3775,LUTs!E$2:H$14,3,)</f>
        <v>01Whatcom</v>
      </c>
      <c r="O3775" t="str">
        <f>VLOOKUP(M3775,LUTs!E$2:H$14,4,)</f>
        <v>01North Puget Sound</v>
      </c>
      <c r="P3775" s="73">
        <v>5.6666666666666696</v>
      </c>
      <c r="Q3775" s="74">
        <f>VLOOKUP(B3775,Readme!A$40:C$51,2,)*P3775</f>
        <v>19.493333333333343</v>
      </c>
    </row>
    <row r="3776" spans="1:17" ht="12" customHeight="1" x14ac:dyDescent="0.35">
      <c r="A3776" s="75">
        <v>3775</v>
      </c>
      <c r="B3776" s="64">
        <v>2021</v>
      </c>
      <c r="C3776" s="64">
        <v>8</v>
      </c>
      <c r="D3776" s="80">
        <f t="shared" si="121"/>
        <v>2021</v>
      </c>
      <c r="E3776" t="s">
        <v>38</v>
      </c>
      <c r="F3776" t="s">
        <v>143</v>
      </c>
      <c r="G3776" t="s">
        <v>10</v>
      </c>
      <c r="H3776" s="72">
        <v>850</v>
      </c>
      <c r="I3776" s="72" t="s">
        <v>63</v>
      </c>
      <c r="J3776" t="str">
        <f t="shared" si="120"/>
        <v>Snohomish River</v>
      </c>
      <c r="K3776" t="str">
        <f>IFERROR(VLOOKUP(J3776,LUTs!$A$1:$C$73,2,FALSE),"NA")</f>
        <v>Snohomish</v>
      </c>
      <c r="L3776" t="str">
        <f>IFERROR(VLOOKUP(J3776,LUTs!$A$1:$C$73,3,FALSE),"NA")</f>
        <v>2Central Puget Sound</v>
      </c>
      <c r="M3776" s="72" t="s">
        <v>17</v>
      </c>
      <c r="N3776" t="str">
        <f>VLOOKUP(M3776,LUTs!E$2:H$14,3,)</f>
        <v>04Island</v>
      </c>
      <c r="O3776" t="str">
        <f>VLOOKUP(M3776,LUTs!E$2:H$14,4,)</f>
        <v>01North Puget Sound</v>
      </c>
      <c r="P3776" s="73">
        <v>82.290801186943597</v>
      </c>
      <c r="Q3776" s="74">
        <f>VLOOKUP(B3776,Readme!A$40:C$51,2,)*P3776</f>
        <v>283.08035608308597</v>
      </c>
    </row>
    <row r="3777" spans="1:17" ht="12" customHeight="1" x14ac:dyDescent="0.35">
      <c r="A3777" s="75">
        <v>3776</v>
      </c>
      <c r="B3777" s="64">
        <v>2021</v>
      </c>
      <c r="C3777" s="64">
        <v>8</v>
      </c>
      <c r="D3777" s="80">
        <f t="shared" si="121"/>
        <v>2021</v>
      </c>
      <c r="E3777" t="s">
        <v>38</v>
      </c>
      <c r="F3777" t="s">
        <v>143</v>
      </c>
      <c r="G3777" t="s">
        <v>10</v>
      </c>
      <c r="H3777" s="72">
        <v>850</v>
      </c>
      <c r="I3777" s="72" t="s">
        <v>63</v>
      </c>
      <c r="J3777" t="str">
        <f t="shared" si="120"/>
        <v>Snohomish River</v>
      </c>
      <c r="K3777" t="str">
        <f>IFERROR(VLOOKUP(J3777,LUTs!$A$1:$C$73,2,FALSE),"NA")</f>
        <v>Snohomish</v>
      </c>
      <c r="L3777" t="str">
        <f>IFERROR(VLOOKUP(J3777,LUTs!$A$1:$C$73,3,FALSE),"NA")</f>
        <v>2Central Puget Sound</v>
      </c>
      <c r="M3777" s="72" t="s">
        <v>18</v>
      </c>
      <c r="N3777" t="str">
        <f>VLOOKUP(M3777,LUTs!E$2:H$14,3,)</f>
        <v>06King</v>
      </c>
      <c r="O3777" t="str">
        <f>VLOOKUP(M3777,LUTs!E$2:H$14,4,)</f>
        <v>02South Puget Sound</v>
      </c>
      <c r="P3777" s="73">
        <v>1974.9792284866501</v>
      </c>
      <c r="Q3777" s="74">
        <f>VLOOKUP(B3777,Readme!A$40:C$51,2,)*P3777</f>
        <v>6793.9285459940766</v>
      </c>
    </row>
    <row r="3778" spans="1:17" ht="12" customHeight="1" x14ac:dyDescent="0.35">
      <c r="A3778" s="75">
        <v>3777</v>
      </c>
      <c r="B3778" s="64">
        <v>2021</v>
      </c>
      <c r="C3778" s="64">
        <v>8</v>
      </c>
      <c r="D3778" s="80">
        <f t="shared" si="121"/>
        <v>2021</v>
      </c>
      <c r="E3778" t="s">
        <v>38</v>
      </c>
      <c r="F3778" t="s">
        <v>143</v>
      </c>
      <c r="G3778" t="s">
        <v>10</v>
      </c>
      <c r="H3778" s="72">
        <v>850</v>
      </c>
      <c r="I3778" s="72" t="s">
        <v>63</v>
      </c>
      <c r="J3778" t="str">
        <f t="shared" si="120"/>
        <v>Snohomish River</v>
      </c>
      <c r="K3778" t="str">
        <f>IFERROR(VLOOKUP(J3778,LUTs!$A$1:$C$73,2,FALSE),"NA")</f>
        <v>Snohomish</v>
      </c>
      <c r="L3778" t="str">
        <f>IFERROR(VLOOKUP(J3778,LUTs!$A$1:$C$73,3,FALSE),"NA")</f>
        <v>2Central Puget Sound</v>
      </c>
      <c r="M3778" s="72" t="s">
        <v>23</v>
      </c>
      <c r="N3778" t="str">
        <f>VLOOKUP(M3778,LUTs!E$2:H$14,3,)</f>
        <v>10Kitsap</v>
      </c>
      <c r="O3778" t="str">
        <f>VLOOKUP(M3778,LUTs!E$2:H$14,4,)</f>
        <v>02South Puget Sound</v>
      </c>
      <c r="P3778" s="73">
        <v>102.86350148368</v>
      </c>
      <c r="Q3778" s="74">
        <f>VLOOKUP(B3778,Readme!A$40:C$51,2,)*P3778</f>
        <v>353.85044510385916</v>
      </c>
    </row>
    <row r="3779" spans="1:17" ht="12" customHeight="1" x14ac:dyDescent="0.35">
      <c r="A3779" s="75">
        <v>3778</v>
      </c>
      <c r="B3779" s="64">
        <v>2021</v>
      </c>
      <c r="C3779" s="64">
        <v>8</v>
      </c>
      <c r="D3779" s="80">
        <f t="shared" si="121"/>
        <v>2021</v>
      </c>
      <c r="E3779" t="s">
        <v>38</v>
      </c>
      <c r="F3779" t="s">
        <v>143</v>
      </c>
      <c r="G3779" t="s">
        <v>10</v>
      </c>
      <c r="H3779" s="72">
        <v>850</v>
      </c>
      <c r="I3779" s="72" t="s">
        <v>63</v>
      </c>
      <c r="J3779" t="str">
        <f t="shared" ref="J3779:J3810" si="122">I3779</f>
        <v>Snohomish River</v>
      </c>
      <c r="K3779" t="str">
        <f>IFERROR(VLOOKUP(J3779,LUTs!$A$1:$C$73,2,FALSE),"NA")</f>
        <v>Snohomish</v>
      </c>
      <c r="L3779" t="str">
        <f>IFERROR(VLOOKUP(J3779,LUTs!$A$1:$C$73,3,FALSE),"NA")</f>
        <v>2Central Puget Sound</v>
      </c>
      <c r="M3779" s="72" t="s">
        <v>26</v>
      </c>
      <c r="N3779" t="str">
        <f>VLOOKUP(M3779,LUTs!E$2:H$14,3,)</f>
        <v>20Other</v>
      </c>
      <c r="O3779" t="str">
        <f>VLOOKUP(M3779,LUTs!E$2:H$14,4,)</f>
        <v>07Non Puget Sound</v>
      </c>
      <c r="P3779" s="73">
        <v>452.59940652819</v>
      </c>
      <c r="Q3779" s="74">
        <f>VLOOKUP(B3779,Readme!A$40:C$51,2,)*P3779</f>
        <v>1556.9419584569737</v>
      </c>
    </row>
    <row r="3780" spans="1:17" ht="12" customHeight="1" x14ac:dyDescent="0.35">
      <c r="A3780" s="75">
        <v>3779</v>
      </c>
      <c r="B3780" s="64">
        <v>2021</v>
      </c>
      <c r="C3780" s="64">
        <v>8</v>
      </c>
      <c r="D3780" s="80">
        <f t="shared" si="121"/>
        <v>2021</v>
      </c>
      <c r="E3780" t="s">
        <v>38</v>
      </c>
      <c r="F3780" t="s">
        <v>143</v>
      </c>
      <c r="G3780" t="s">
        <v>10</v>
      </c>
      <c r="H3780" s="72">
        <v>850</v>
      </c>
      <c r="I3780" s="72" t="s">
        <v>63</v>
      </c>
      <c r="J3780" t="str">
        <f t="shared" si="122"/>
        <v>Snohomish River</v>
      </c>
      <c r="K3780" t="str">
        <f>IFERROR(VLOOKUP(J3780,LUTs!$A$1:$C$73,2,FALSE),"NA")</f>
        <v>Snohomish</v>
      </c>
      <c r="L3780" t="str">
        <f>IFERROR(VLOOKUP(J3780,LUTs!$A$1:$C$73,3,FALSE),"NA")</f>
        <v>2Central Puget Sound</v>
      </c>
      <c r="M3780" s="72" t="s">
        <v>20</v>
      </c>
      <c r="N3780" t="str">
        <f>VLOOKUP(M3780,LUTs!E$2:H$14,3,)</f>
        <v>07Pierce</v>
      </c>
      <c r="O3780" t="str">
        <f>VLOOKUP(M3780,LUTs!E$2:H$14,4,)</f>
        <v>02South Puget Sound</v>
      </c>
      <c r="P3780" s="73">
        <v>164.58160237388699</v>
      </c>
      <c r="Q3780" s="74">
        <f>VLOOKUP(B3780,Readme!A$40:C$51,2,)*P3780</f>
        <v>566.16071216617127</v>
      </c>
    </row>
    <row r="3781" spans="1:17" ht="12" customHeight="1" x14ac:dyDescent="0.35">
      <c r="A3781" s="75">
        <v>3780</v>
      </c>
      <c r="B3781" s="64">
        <v>2021</v>
      </c>
      <c r="C3781" s="64">
        <v>8</v>
      </c>
      <c r="D3781" s="80">
        <f t="shared" si="121"/>
        <v>2021</v>
      </c>
      <c r="E3781" t="s">
        <v>38</v>
      </c>
      <c r="F3781" t="s">
        <v>143</v>
      </c>
      <c r="G3781" t="s">
        <v>10</v>
      </c>
      <c r="H3781" s="72">
        <v>850</v>
      </c>
      <c r="I3781" s="72" t="s">
        <v>63</v>
      </c>
      <c r="J3781" t="str">
        <f t="shared" si="122"/>
        <v>Snohomish River</v>
      </c>
      <c r="K3781" t="str">
        <f>IFERROR(VLOOKUP(J3781,LUTs!$A$1:$C$73,2,FALSE),"NA")</f>
        <v>Snohomish</v>
      </c>
      <c r="L3781" t="str">
        <f>IFERROR(VLOOKUP(J3781,LUTs!$A$1:$C$73,3,FALSE),"NA")</f>
        <v>2Central Puget Sound</v>
      </c>
      <c r="M3781" s="72" t="s">
        <v>15</v>
      </c>
      <c r="N3781" t="str">
        <f>VLOOKUP(M3781,LUTs!E$2:H$14,3,)</f>
        <v>02Skagit</v>
      </c>
      <c r="O3781" t="str">
        <f>VLOOKUP(M3781,LUTs!E$2:H$14,4,)</f>
        <v>01North Puget Sound</v>
      </c>
      <c r="P3781" s="73">
        <v>20.572700296735899</v>
      </c>
      <c r="Q3781" s="74">
        <f>VLOOKUP(B3781,Readme!A$40:C$51,2,)*P3781</f>
        <v>70.770089020771493</v>
      </c>
    </row>
    <row r="3782" spans="1:17" ht="12" customHeight="1" x14ac:dyDescent="0.35">
      <c r="A3782" s="75">
        <v>3781</v>
      </c>
      <c r="B3782" s="64">
        <v>2021</v>
      </c>
      <c r="C3782" s="64">
        <v>8</v>
      </c>
      <c r="D3782" s="80">
        <f t="shared" si="121"/>
        <v>2021</v>
      </c>
      <c r="E3782" t="s">
        <v>38</v>
      </c>
      <c r="F3782" t="s">
        <v>143</v>
      </c>
      <c r="G3782" t="s">
        <v>10</v>
      </c>
      <c r="H3782" s="72">
        <v>850</v>
      </c>
      <c r="I3782" s="72" t="s">
        <v>63</v>
      </c>
      <c r="J3782" t="str">
        <f t="shared" si="122"/>
        <v>Snohomish River</v>
      </c>
      <c r="K3782" t="str">
        <f>IFERROR(VLOOKUP(J3782,LUTs!$A$1:$C$73,2,FALSE),"NA")</f>
        <v>Snohomish</v>
      </c>
      <c r="L3782" t="str">
        <f>IFERROR(VLOOKUP(J3782,LUTs!$A$1:$C$73,3,FALSE),"NA")</f>
        <v>2Central Puget Sound</v>
      </c>
      <c r="M3782" s="72" t="s">
        <v>16</v>
      </c>
      <c r="N3782" t="str">
        <f>VLOOKUP(M3782,LUTs!E$2:H$14,3,)</f>
        <v>03Snohomish</v>
      </c>
      <c r="O3782" t="str">
        <f>VLOOKUP(M3782,LUTs!E$2:H$14,4,)</f>
        <v>01North Puget Sound</v>
      </c>
      <c r="P3782" s="73">
        <v>11047.5400593472</v>
      </c>
      <c r="Q3782" s="74">
        <f>VLOOKUP(B3782,Readme!A$40:C$51,2,)*P3782</f>
        <v>38003.537804154366</v>
      </c>
    </row>
    <row r="3783" spans="1:17" ht="12" customHeight="1" x14ac:dyDescent="0.35">
      <c r="A3783" s="75">
        <v>3782</v>
      </c>
      <c r="B3783" s="64">
        <v>2021</v>
      </c>
      <c r="C3783" s="64">
        <v>8</v>
      </c>
      <c r="D3783" s="80">
        <f t="shared" si="121"/>
        <v>2021</v>
      </c>
      <c r="E3783" t="s">
        <v>38</v>
      </c>
      <c r="F3783" t="s">
        <v>143</v>
      </c>
      <c r="G3783" t="s">
        <v>10</v>
      </c>
      <c r="H3783" s="72">
        <v>850</v>
      </c>
      <c r="I3783" s="72" t="s">
        <v>63</v>
      </c>
      <c r="J3783" t="str">
        <f t="shared" si="122"/>
        <v>Snohomish River</v>
      </c>
      <c r="K3783" t="str">
        <f>IFERROR(VLOOKUP(J3783,LUTs!$A$1:$C$73,2,FALSE),"NA")</f>
        <v>Snohomish</v>
      </c>
      <c r="L3783" t="str">
        <f>IFERROR(VLOOKUP(J3783,LUTs!$A$1:$C$73,3,FALSE),"NA")</f>
        <v>2Central Puget Sound</v>
      </c>
      <c r="M3783" s="72" t="s">
        <v>13</v>
      </c>
      <c r="N3783" t="str">
        <f>VLOOKUP(M3783,LUTs!E$2:H$14,3,)</f>
        <v>01Whatcom</v>
      </c>
      <c r="O3783" t="str">
        <f>VLOOKUP(M3783,LUTs!E$2:H$14,4,)</f>
        <v>01North Puget Sound</v>
      </c>
      <c r="P3783" s="73">
        <v>20.572700296735899</v>
      </c>
      <c r="Q3783" s="74">
        <f>VLOOKUP(B3783,Readme!A$40:C$51,2,)*P3783</f>
        <v>70.770089020771493</v>
      </c>
    </row>
    <row r="3784" spans="1:17" ht="12" customHeight="1" x14ac:dyDescent="0.35">
      <c r="A3784" s="75">
        <v>3783</v>
      </c>
      <c r="B3784" s="64">
        <v>2021</v>
      </c>
      <c r="C3784" s="64">
        <v>9</v>
      </c>
      <c r="D3784" s="80">
        <f t="shared" si="121"/>
        <v>2021</v>
      </c>
      <c r="E3784" t="s">
        <v>38</v>
      </c>
      <c r="F3784" t="s">
        <v>143</v>
      </c>
      <c r="G3784" t="s">
        <v>10</v>
      </c>
      <c r="H3784" s="72">
        <v>850</v>
      </c>
      <c r="I3784" s="72" t="s">
        <v>63</v>
      </c>
      <c r="J3784" t="str">
        <f t="shared" si="122"/>
        <v>Snohomish River</v>
      </c>
      <c r="K3784" t="str">
        <f>IFERROR(VLOOKUP(J3784,LUTs!$A$1:$C$73,2,FALSE),"NA")</f>
        <v>Snohomish</v>
      </c>
      <c r="L3784" t="str">
        <f>IFERROR(VLOOKUP(J3784,LUTs!$A$1:$C$73,3,FALSE),"NA")</f>
        <v>2Central Puget Sound</v>
      </c>
      <c r="M3784" s="72" t="s">
        <v>17</v>
      </c>
      <c r="N3784" t="str">
        <f>VLOOKUP(M3784,LUTs!E$2:H$14,3,)</f>
        <v>04Island</v>
      </c>
      <c r="O3784" t="str">
        <f>VLOOKUP(M3784,LUTs!E$2:H$14,4,)</f>
        <v>01North Puget Sound</v>
      </c>
      <c r="P3784" s="73">
        <v>103.06338028169</v>
      </c>
      <c r="Q3784" s="74">
        <f>VLOOKUP(B3784,Readme!A$40:C$51,2,)*P3784</f>
        <v>354.53802816901361</v>
      </c>
    </row>
    <row r="3785" spans="1:17" ht="12" customHeight="1" x14ac:dyDescent="0.35">
      <c r="A3785" s="75">
        <v>3784</v>
      </c>
      <c r="B3785" s="64">
        <v>2021</v>
      </c>
      <c r="C3785" s="64">
        <v>9</v>
      </c>
      <c r="D3785" s="80">
        <f t="shared" si="121"/>
        <v>2021</v>
      </c>
      <c r="E3785" t="s">
        <v>38</v>
      </c>
      <c r="F3785" t="s">
        <v>143</v>
      </c>
      <c r="G3785" t="s">
        <v>10</v>
      </c>
      <c r="H3785" s="72">
        <v>850</v>
      </c>
      <c r="I3785" s="72" t="s">
        <v>63</v>
      </c>
      <c r="J3785" t="str">
        <f t="shared" si="122"/>
        <v>Snohomish River</v>
      </c>
      <c r="K3785" t="str">
        <f>IFERROR(VLOOKUP(J3785,LUTs!$A$1:$C$73,2,FALSE),"NA")</f>
        <v>Snohomish</v>
      </c>
      <c r="L3785" t="str">
        <f>IFERROR(VLOOKUP(J3785,LUTs!$A$1:$C$73,3,FALSE),"NA")</f>
        <v>2Central Puget Sound</v>
      </c>
      <c r="M3785" s="72" t="s">
        <v>18</v>
      </c>
      <c r="N3785" t="str">
        <f>VLOOKUP(M3785,LUTs!E$2:H$14,3,)</f>
        <v>06King</v>
      </c>
      <c r="O3785" t="str">
        <f>VLOOKUP(M3785,LUTs!E$2:H$14,4,)</f>
        <v>02South Puget Sound</v>
      </c>
      <c r="P3785" s="73">
        <v>10388.7887323944</v>
      </c>
      <c r="Q3785" s="74">
        <f>VLOOKUP(B3785,Readme!A$40:C$51,2,)*P3785</f>
        <v>35737.433239436737</v>
      </c>
    </row>
    <row r="3786" spans="1:17" ht="12" customHeight="1" x14ac:dyDescent="0.35">
      <c r="A3786" s="75">
        <v>3785</v>
      </c>
      <c r="B3786" s="64">
        <v>2021</v>
      </c>
      <c r="C3786" s="64">
        <v>9</v>
      </c>
      <c r="D3786" s="80">
        <f t="shared" si="121"/>
        <v>2021</v>
      </c>
      <c r="E3786" t="s">
        <v>38</v>
      </c>
      <c r="F3786" t="s">
        <v>143</v>
      </c>
      <c r="G3786" t="s">
        <v>10</v>
      </c>
      <c r="H3786" s="72">
        <v>850</v>
      </c>
      <c r="I3786" s="72" t="s">
        <v>63</v>
      </c>
      <c r="J3786" t="str">
        <f t="shared" si="122"/>
        <v>Snohomish River</v>
      </c>
      <c r="K3786" t="str">
        <f>IFERROR(VLOOKUP(J3786,LUTs!$A$1:$C$73,2,FALSE),"NA")</f>
        <v>Snohomish</v>
      </c>
      <c r="L3786" t="str">
        <f>IFERROR(VLOOKUP(J3786,LUTs!$A$1:$C$73,3,FALSE),"NA")</f>
        <v>2Central Puget Sound</v>
      </c>
      <c r="M3786" s="72" t="s">
        <v>23</v>
      </c>
      <c r="N3786" t="str">
        <f>VLOOKUP(M3786,LUTs!E$2:H$14,3,)</f>
        <v>10Kitsap</v>
      </c>
      <c r="O3786" t="str">
        <f>VLOOKUP(M3786,LUTs!E$2:H$14,4,)</f>
        <v>02South Puget Sound</v>
      </c>
      <c r="P3786" s="73">
        <v>185.51408450704201</v>
      </c>
      <c r="Q3786" s="74">
        <f>VLOOKUP(B3786,Readme!A$40:C$51,2,)*P3786</f>
        <v>638.16845070422448</v>
      </c>
    </row>
    <row r="3787" spans="1:17" ht="12" customHeight="1" x14ac:dyDescent="0.35">
      <c r="A3787" s="75">
        <v>3786</v>
      </c>
      <c r="B3787" s="64">
        <v>2021</v>
      </c>
      <c r="C3787" s="64">
        <v>9</v>
      </c>
      <c r="D3787" s="80">
        <f t="shared" si="121"/>
        <v>2021</v>
      </c>
      <c r="E3787" t="s">
        <v>38</v>
      </c>
      <c r="F3787" t="s">
        <v>143</v>
      </c>
      <c r="G3787" t="s">
        <v>10</v>
      </c>
      <c r="H3787" s="72">
        <v>850</v>
      </c>
      <c r="I3787" s="72" t="s">
        <v>63</v>
      </c>
      <c r="J3787" t="str">
        <f t="shared" si="122"/>
        <v>Snohomish River</v>
      </c>
      <c r="K3787" t="str">
        <f>IFERROR(VLOOKUP(J3787,LUTs!$A$1:$C$73,2,FALSE),"NA")</f>
        <v>Snohomish</v>
      </c>
      <c r="L3787" t="str">
        <f>IFERROR(VLOOKUP(J3787,LUTs!$A$1:$C$73,3,FALSE),"NA")</f>
        <v>2Central Puget Sound</v>
      </c>
      <c r="M3787" s="72" t="s">
        <v>22</v>
      </c>
      <c r="N3787" t="str">
        <f>VLOOKUP(M3787,LUTs!E$2:H$14,3,)</f>
        <v>09Mason</v>
      </c>
      <c r="O3787" t="str">
        <f>VLOOKUP(M3787,LUTs!E$2:H$14,4,)</f>
        <v>02South Puget Sound</v>
      </c>
      <c r="P3787" s="73">
        <v>164.901408450704</v>
      </c>
      <c r="Q3787" s="74">
        <f>VLOOKUP(B3787,Readme!A$40:C$51,2,)*P3787</f>
        <v>567.26084507042174</v>
      </c>
    </row>
    <row r="3788" spans="1:17" ht="12" customHeight="1" x14ac:dyDescent="0.35">
      <c r="A3788" s="75">
        <v>3787</v>
      </c>
      <c r="B3788" s="64">
        <v>2021</v>
      </c>
      <c r="C3788" s="64">
        <v>9</v>
      </c>
      <c r="D3788" s="80">
        <f t="shared" si="121"/>
        <v>2021</v>
      </c>
      <c r="E3788" t="s">
        <v>38</v>
      </c>
      <c r="F3788" t="s">
        <v>143</v>
      </c>
      <c r="G3788" t="s">
        <v>10</v>
      </c>
      <c r="H3788" s="72">
        <v>850</v>
      </c>
      <c r="I3788" s="72" t="s">
        <v>63</v>
      </c>
      <c r="J3788" t="str">
        <f t="shared" si="122"/>
        <v>Snohomish River</v>
      </c>
      <c r="K3788" t="str">
        <f>IFERROR(VLOOKUP(J3788,LUTs!$A$1:$C$73,2,FALSE),"NA")</f>
        <v>Snohomish</v>
      </c>
      <c r="L3788" t="str">
        <f>IFERROR(VLOOKUP(J3788,LUTs!$A$1:$C$73,3,FALSE),"NA")</f>
        <v>2Central Puget Sound</v>
      </c>
      <c r="M3788" s="72" t="s">
        <v>26</v>
      </c>
      <c r="N3788" t="str">
        <f>VLOOKUP(M3788,LUTs!E$2:H$14,3,)</f>
        <v>20Other</v>
      </c>
      <c r="O3788" t="str">
        <f>VLOOKUP(M3788,LUTs!E$2:H$14,4,)</f>
        <v>07Non Puget Sound</v>
      </c>
      <c r="P3788" s="73">
        <v>2452.9084507042298</v>
      </c>
      <c r="Q3788" s="74">
        <f>VLOOKUP(B3788,Readme!A$40:C$51,2,)*P3788</f>
        <v>8438.0050704225505</v>
      </c>
    </row>
    <row r="3789" spans="1:17" ht="12" customHeight="1" x14ac:dyDescent="0.35">
      <c r="A3789" s="75">
        <v>3788</v>
      </c>
      <c r="B3789" s="64">
        <v>2021</v>
      </c>
      <c r="C3789" s="64">
        <v>9</v>
      </c>
      <c r="D3789" s="80">
        <f t="shared" si="121"/>
        <v>2021</v>
      </c>
      <c r="E3789" t="s">
        <v>38</v>
      </c>
      <c r="F3789" t="s">
        <v>143</v>
      </c>
      <c r="G3789" t="s">
        <v>10</v>
      </c>
      <c r="H3789" s="72">
        <v>850</v>
      </c>
      <c r="I3789" s="72" t="s">
        <v>63</v>
      </c>
      <c r="J3789" t="str">
        <f t="shared" si="122"/>
        <v>Snohomish River</v>
      </c>
      <c r="K3789" t="str">
        <f>IFERROR(VLOOKUP(J3789,LUTs!$A$1:$C$73,2,FALSE),"NA")</f>
        <v>Snohomish</v>
      </c>
      <c r="L3789" t="str">
        <f>IFERROR(VLOOKUP(J3789,LUTs!$A$1:$C$73,3,FALSE),"NA")</f>
        <v>2Central Puget Sound</v>
      </c>
      <c r="M3789" s="72" t="s">
        <v>20</v>
      </c>
      <c r="N3789" t="str">
        <f>VLOOKUP(M3789,LUTs!E$2:H$14,3,)</f>
        <v>07Pierce</v>
      </c>
      <c r="O3789" t="str">
        <f>VLOOKUP(M3789,LUTs!E$2:H$14,4,)</f>
        <v>02South Puget Sound</v>
      </c>
      <c r="P3789" s="73">
        <v>82.450704225352098</v>
      </c>
      <c r="Q3789" s="74">
        <f>VLOOKUP(B3789,Readme!A$40:C$51,2,)*P3789</f>
        <v>283.63042253521121</v>
      </c>
    </row>
    <row r="3790" spans="1:17" ht="12" customHeight="1" x14ac:dyDescent="0.35">
      <c r="A3790" s="75">
        <v>3789</v>
      </c>
      <c r="B3790" s="64">
        <v>2021</v>
      </c>
      <c r="C3790" s="64">
        <v>9</v>
      </c>
      <c r="D3790" s="80">
        <f t="shared" si="121"/>
        <v>2021</v>
      </c>
      <c r="E3790" t="s">
        <v>38</v>
      </c>
      <c r="F3790" t="s">
        <v>143</v>
      </c>
      <c r="G3790" t="s">
        <v>10</v>
      </c>
      <c r="H3790" s="72">
        <v>850</v>
      </c>
      <c r="I3790" s="72" t="s">
        <v>63</v>
      </c>
      <c r="J3790" t="str">
        <f t="shared" si="122"/>
        <v>Snohomish River</v>
      </c>
      <c r="K3790" t="str">
        <f>IFERROR(VLOOKUP(J3790,LUTs!$A$1:$C$73,2,FALSE),"NA")</f>
        <v>Snohomish</v>
      </c>
      <c r="L3790" t="str">
        <f>IFERROR(VLOOKUP(J3790,LUTs!$A$1:$C$73,3,FALSE),"NA")</f>
        <v>2Central Puget Sound</v>
      </c>
      <c r="M3790" s="72" t="s">
        <v>15</v>
      </c>
      <c r="N3790" t="str">
        <f>VLOOKUP(M3790,LUTs!E$2:H$14,3,)</f>
        <v>02Skagit</v>
      </c>
      <c r="O3790" t="str">
        <f>VLOOKUP(M3790,LUTs!E$2:H$14,4,)</f>
        <v>01North Puget Sound</v>
      </c>
      <c r="P3790" s="73">
        <v>350.41549295774701</v>
      </c>
      <c r="Q3790" s="74">
        <f>VLOOKUP(B3790,Readme!A$40:C$51,2,)*P3790</f>
        <v>1205.4292957746497</v>
      </c>
    </row>
    <row r="3791" spans="1:17" ht="12" customHeight="1" x14ac:dyDescent="0.35">
      <c r="A3791" s="75">
        <v>3790</v>
      </c>
      <c r="B3791" s="64">
        <v>2021</v>
      </c>
      <c r="C3791" s="64">
        <v>9</v>
      </c>
      <c r="D3791" s="80">
        <f t="shared" si="121"/>
        <v>2021</v>
      </c>
      <c r="E3791" t="s">
        <v>38</v>
      </c>
      <c r="F3791" t="s">
        <v>143</v>
      </c>
      <c r="G3791" t="s">
        <v>10</v>
      </c>
      <c r="H3791" s="72">
        <v>850</v>
      </c>
      <c r="I3791" s="72" t="s">
        <v>63</v>
      </c>
      <c r="J3791" t="str">
        <f t="shared" si="122"/>
        <v>Snohomish River</v>
      </c>
      <c r="K3791" t="str">
        <f>IFERROR(VLOOKUP(J3791,LUTs!$A$1:$C$73,2,FALSE),"NA")</f>
        <v>Snohomish</v>
      </c>
      <c r="L3791" t="str">
        <f>IFERROR(VLOOKUP(J3791,LUTs!$A$1:$C$73,3,FALSE),"NA")</f>
        <v>2Central Puget Sound</v>
      </c>
      <c r="M3791" s="72" t="s">
        <v>16</v>
      </c>
      <c r="N3791" t="str">
        <f>VLOOKUP(M3791,LUTs!E$2:H$14,3,)</f>
        <v>03Snohomish</v>
      </c>
      <c r="O3791" t="str">
        <f>VLOOKUP(M3791,LUTs!E$2:H$14,4,)</f>
        <v>01North Puget Sound</v>
      </c>
      <c r="P3791" s="73">
        <v>30115.119718309899</v>
      </c>
      <c r="Q3791" s="74">
        <f>VLOOKUP(B3791,Readme!A$40:C$51,2,)*P3791</f>
        <v>103596.01183098606</v>
      </c>
    </row>
    <row r="3792" spans="1:17" ht="12" customHeight="1" x14ac:dyDescent="0.35">
      <c r="A3792" s="75">
        <v>3791</v>
      </c>
      <c r="B3792" s="64">
        <v>2021</v>
      </c>
      <c r="C3792" s="64">
        <v>9</v>
      </c>
      <c r="D3792" s="80">
        <f t="shared" si="121"/>
        <v>2021</v>
      </c>
      <c r="E3792" t="s">
        <v>38</v>
      </c>
      <c r="F3792" t="s">
        <v>143</v>
      </c>
      <c r="G3792" t="s">
        <v>10</v>
      </c>
      <c r="H3792" s="72">
        <v>850</v>
      </c>
      <c r="I3792" s="72" t="s">
        <v>63</v>
      </c>
      <c r="J3792" t="str">
        <f t="shared" si="122"/>
        <v>Snohomish River</v>
      </c>
      <c r="K3792" t="str">
        <f>IFERROR(VLOOKUP(J3792,LUTs!$A$1:$C$73,2,FALSE),"NA")</f>
        <v>Snohomish</v>
      </c>
      <c r="L3792" t="str">
        <f>IFERROR(VLOOKUP(J3792,LUTs!$A$1:$C$73,3,FALSE),"NA")</f>
        <v>2Central Puget Sound</v>
      </c>
      <c r="M3792" s="72" t="s">
        <v>21</v>
      </c>
      <c r="N3792" t="str">
        <f>VLOOKUP(M3792,LUTs!E$2:H$14,3,)</f>
        <v>08Thurston</v>
      </c>
      <c r="O3792" t="str">
        <f>VLOOKUP(M3792,LUTs!E$2:H$14,4,)</f>
        <v>02South Puget Sound</v>
      </c>
      <c r="P3792" s="73">
        <v>41.225352112676099</v>
      </c>
      <c r="Q3792" s="74">
        <f>VLOOKUP(B3792,Readme!A$40:C$51,2,)*P3792</f>
        <v>141.81521126760578</v>
      </c>
    </row>
    <row r="3793" spans="1:17" ht="12" customHeight="1" x14ac:dyDescent="0.35">
      <c r="A3793" s="75">
        <v>3792</v>
      </c>
      <c r="B3793" s="64">
        <v>2021</v>
      </c>
      <c r="C3793" s="64">
        <v>9</v>
      </c>
      <c r="D3793" s="80">
        <f t="shared" si="121"/>
        <v>2021</v>
      </c>
      <c r="E3793" t="s">
        <v>38</v>
      </c>
      <c r="F3793" t="s">
        <v>143</v>
      </c>
      <c r="G3793" t="s">
        <v>10</v>
      </c>
      <c r="H3793" s="72">
        <v>850</v>
      </c>
      <c r="I3793" s="72" t="s">
        <v>63</v>
      </c>
      <c r="J3793" t="str">
        <f t="shared" si="122"/>
        <v>Snohomish River</v>
      </c>
      <c r="K3793" t="str">
        <f>IFERROR(VLOOKUP(J3793,LUTs!$A$1:$C$73,2,FALSE),"NA")</f>
        <v>Snohomish</v>
      </c>
      <c r="L3793" t="str">
        <f>IFERROR(VLOOKUP(J3793,LUTs!$A$1:$C$73,3,FALSE),"NA")</f>
        <v>2Central Puget Sound</v>
      </c>
      <c r="M3793" s="72" t="s">
        <v>13</v>
      </c>
      <c r="N3793" t="str">
        <f>VLOOKUP(M3793,LUTs!E$2:H$14,3,)</f>
        <v>01Whatcom</v>
      </c>
      <c r="O3793" t="str">
        <f>VLOOKUP(M3793,LUTs!E$2:H$14,4,)</f>
        <v>01North Puget Sound</v>
      </c>
      <c r="P3793" s="73">
        <v>20.612676056338</v>
      </c>
      <c r="Q3793" s="74">
        <f>VLOOKUP(B3793,Readme!A$40:C$51,2,)*P3793</f>
        <v>70.907605633802717</v>
      </c>
    </row>
    <row r="3794" spans="1:17" ht="12" customHeight="1" x14ac:dyDescent="0.35">
      <c r="A3794" s="75">
        <v>3793</v>
      </c>
      <c r="B3794" s="64">
        <v>2021</v>
      </c>
      <c r="C3794" s="64">
        <v>10</v>
      </c>
      <c r="D3794" s="80">
        <f t="shared" si="121"/>
        <v>2021</v>
      </c>
      <c r="E3794" t="s">
        <v>38</v>
      </c>
      <c r="F3794" t="s">
        <v>143</v>
      </c>
      <c r="G3794" t="s">
        <v>10</v>
      </c>
      <c r="H3794" s="72">
        <v>850</v>
      </c>
      <c r="I3794" s="72" t="s">
        <v>63</v>
      </c>
      <c r="J3794" t="str">
        <f t="shared" si="122"/>
        <v>Snohomish River</v>
      </c>
      <c r="K3794" t="str">
        <f>IFERROR(VLOOKUP(J3794,LUTs!$A$1:$C$73,2,FALSE),"NA")</f>
        <v>Snohomish</v>
      </c>
      <c r="L3794" t="str">
        <f>IFERROR(VLOOKUP(J3794,LUTs!$A$1:$C$73,3,FALSE),"NA")</f>
        <v>2Central Puget Sound</v>
      </c>
      <c r="M3794" s="72" t="s">
        <v>17</v>
      </c>
      <c r="N3794" t="str">
        <f>VLOOKUP(M3794,LUTs!E$2:H$14,3,)</f>
        <v>04Island</v>
      </c>
      <c r="O3794" t="str">
        <f>VLOOKUP(M3794,LUTs!E$2:H$14,4,)</f>
        <v>01North Puget Sound</v>
      </c>
      <c r="P3794" s="73">
        <v>21.6568047337278</v>
      </c>
      <c r="Q3794" s="74">
        <f>VLOOKUP(B3794,Readme!A$40:C$51,2,)*P3794</f>
        <v>74.49940828402363</v>
      </c>
    </row>
    <row r="3795" spans="1:17" ht="12" customHeight="1" x14ac:dyDescent="0.35">
      <c r="A3795" s="75">
        <v>3794</v>
      </c>
      <c r="B3795" s="64">
        <v>2021</v>
      </c>
      <c r="C3795" s="64">
        <v>10</v>
      </c>
      <c r="D3795" s="80">
        <f t="shared" si="121"/>
        <v>2021</v>
      </c>
      <c r="E3795" t="s">
        <v>38</v>
      </c>
      <c r="F3795" t="s">
        <v>143</v>
      </c>
      <c r="G3795" t="s">
        <v>10</v>
      </c>
      <c r="H3795" s="72">
        <v>850</v>
      </c>
      <c r="I3795" s="72" t="s">
        <v>63</v>
      </c>
      <c r="J3795" t="str">
        <f t="shared" si="122"/>
        <v>Snohomish River</v>
      </c>
      <c r="K3795" t="str">
        <f>IFERROR(VLOOKUP(J3795,LUTs!$A$1:$C$73,2,FALSE),"NA")</f>
        <v>Snohomish</v>
      </c>
      <c r="L3795" t="str">
        <f>IFERROR(VLOOKUP(J3795,LUTs!$A$1:$C$73,3,FALSE),"NA")</f>
        <v>2Central Puget Sound</v>
      </c>
      <c r="M3795" s="72" t="s">
        <v>18</v>
      </c>
      <c r="N3795" t="str">
        <f>VLOOKUP(M3795,LUTs!E$2:H$14,3,)</f>
        <v>06King</v>
      </c>
      <c r="O3795" t="str">
        <f>VLOOKUP(M3795,LUTs!E$2:H$14,4,)</f>
        <v>02South Puget Sound</v>
      </c>
      <c r="P3795" s="73">
        <v>584.73372781065098</v>
      </c>
      <c r="Q3795" s="74">
        <f>VLOOKUP(B3795,Readme!A$40:C$51,2,)*P3795</f>
        <v>2011.4840236686393</v>
      </c>
    </row>
    <row r="3796" spans="1:17" ht="12" customHeight="1" x14ac:dyDescent="0.35">
      <c r="A3796" s="75">
        <v>3795</v>
      </c>
      <c r="B3796" s="64">
        <v>2021</v>
      </c>
      <c r="C3796" s="64">
        <v>10</v>
      </c>
      <c r="D3796" s="80">
        <f t="shared" si="121"/>
        <v>2021</v>
      </c>
      <c r="E3796" t="s">
        <v>38</v>
      </c>
      <c r="F3796" t="s">
        <v>143</v>
      </c>
      <c r="G3796" t="s">
        <v>10</v>
      </c>
      <c r="H3796" s="72">
        <v>850</v>
      </c>
      <c r="I3796" s="72" t="s">
        <v>63</v>
      </c>
      <c r="J3796" t="str">
        <f t="shared" si="122"/>
        <v>Snohomish River</v>
      </c>
      <c r="K3796" t="str">
        <f>IFERROR(VLOOKUP(J3796,LUTs!$A$1:$C$73,2,FALSE),"NA")</f>
        <v>Snohomish</v>
      </c>
      <c r="L3796" t="str">
        <f>IFERROR(VLOOKUP(J3796,LUTs!$A$1:$C$73,3,FALSE),"NA")</f>
        <v>2Central Puget Sound</v>
      </c>
      <c r="M3796" s="72" t="s">
        <v>26</v>
      </c>
      <c r="N3796" t="str">
        <f>VLOOKUP(M3796,LUTs!E$2:H$14,3,)</f>
        <v>20Other</v>
      </c>
      <c r="O3796" t="str">
        <f>VLOOKUP(M3796,LUTs!E$2:H$14,4,)</f>
        <v>07Non Puget Sound</v>
      </c>
      <c r="P3796" s="73">
        <v>75.7988165680474</v>
      </c>
      <c r="Q3796" s="74">
        <f>VLOOKUP(B3796,Readme!A$40:C$51,2,)*P3796</f>
        <v>260.74792899408305</v>
      </c>
    </row>
    <row r="3797" spans="1:17" ht="12" customHeight="1" x14ac:dyDescent="0.35">
      <c r="A3797" s="75">
        <v>3796</v>
      </c>
      <c r="B3797" s="64">
        <v>2021</v>
      </c>
      <c r="C3797" s="64">
        <v>10</v>
      </c>
      <c r="D3797" s="80">
        <f t="shared" si="121"/>
        <v>2021</v>
      </c>
      <c r="E3797" t="s">
        <v>38</v>
      </c>
      <c r="F3797" t="s">
        <v>143</v>
      </c>
      <c r="G3797" t="s">
        <v>10</v>
      </c>
      <c r="H3797" s="72">
        <v>850</v>
      </c>
      <c r="I3797" s="72" t="s">
        <v>63</v>
      </c>
      <c r="J3797" t="str">
        <f t="shared" si="122"/>
        <v>Snohomish River</v>
      </c>
      <c r="K3797" t="str">
        <f>IFERROR(VLOOKUP(J3797,LUTs!$A$1:$C$73,2,FALSE),"NA")</f>
        <v>Snohomish</v>
      </c>
      <c r="L3797" t="str">
        <f>IFERROR(VLOOKUP(J3797,LUTs!$A$1:$C$73,3,FALSE),"NA")</f>
        <v>2Central Puget Sound</v>
      </c>
      <c r="M3797" s="72" t="s">
        <v>20</v>
      </c>
      <c r="N3797" t="str">
        <f>VLOOKUP(M3797,LUTs!E$2:H$14,3,)</f>
        <v>07Pierce</v>
      </c>
      <c r="O3797" t="str">
        <f>VLOOKUP(M3797,LUTs!E$2:H$14,4,)</f>
        <v>02South Puget Sound</v>
      </c>
      <c r="P3797" s="73">
        <v>32.485207100591701</v>
      </c>
      <c r="Q3797" s="74">
        <f>VLOOKUP(B3797,Readme!A$40:C$51,2,)*P3797</f>
        <v>111.74911242603545</v>
      </c>
    </row>
    <row r="3798" spans="1:17" ht="12" customHeight="1" x14ac:dyDescent="0.35">
      <c r="A3798" s="75">
        <v>3797</v>
      </c>
      <c r="B3798" s="64">
        <v>2021</v>
      </c>
      <c r="C3798" s="64">
        <v>10</v>
      </c>
      <c r="D3798" s="80">
        <f t="shared" si="121"/>
        <v>2021</v>
      </c>
      <c r="E3798" t="s">
        <v>38</v>
      </c>
      <c r="F3798" t="s">
        <v>143</v>
      </c>
      <c r="G3798" t="s">
        <v>10</v>
      </c>
      <c r="H3798" s="72">
        <v>850</v>
      </c>
      <c r="I3798" s="72" t="s">
        <v>63</v>
      </c>
      <c r="J3798" t="str">
        <f t="shared" si="122"/>
        <v>Snohomish River</v>
      </c>
      <c r="K3798" t="str">
        <f>IFERROR(VLOOKUP(J3798,LUTs!$A$1:$C$73,2,FALSE),"NA")</f>
        <v>Snohomish</v>
      </c>
      <c r="L3798" t="str">
        <f>IFERROR(VLOOKUP(J3798,LUTs!$A$1:$C$73,3,FALSE),"NA")</f>
        <v>2Central Puget Sound</v>
      </c>
      <c r="M3798" s="72" t="s">
        <v>16</v>
      </c>
      <c r="N3798" t="str">
        <f>VLOOKUP(M3798,LUTs!E$2:H$14,3,)</f>
        <v>03Snohomish</v>
      </c>
      <c r="O3798" t="str">
        <f>VLOOKUP(M3798,LUTs!E$2:H$14,4,)</f>
        <v>01North Puget Sound</v>
      </c>
      <c r="P3798" s="73">
        <v>1104.49704142012</v>
      </c>
      <c r="Q3798" s="74">
        <f>VLOOKUP(B3798,Readme!A$40:C$51,2,)*P3798</f>
        <v>3799.4698224852127</v>
      </c>
    </row>
    <row r="3799" spans="1:17" ht="12" customHeight="1" x14ac:dyDescent="0.35">
      <c r="A3799" s="75">
        <v>3798</v>
      </c>
      <c r="B3799" s="64">
        <v>2021</v>
      </c>
      <c r="C3799" s="64">
        <v>10</v>
      </c>
      <c r="D3799" s="80">
        <f t="shared" si="121"/>
        <v>2021</v>
      </c>
      <c r="E3799" t="s">
        <v>38</v>
      </c>
      <c r="F3799" t="s">
        <v>143</v>
      </c>
      <c r="G3799" t="s">
        <v>10</v>
      </c>
      <c r="H3799" s="72">
        <v>850</v>
      </c>
      <c r="I3799" s="72" t="s">
        <v>63</v>
      </c>
      <c r="J3799" t="str">
        <f t="shared" si="122"/>
        <v>Snohomish River</v>
      </c>
      <c r="K3799" t="str">
        <f>IFERROR(VLOOKUP(J3799,LUTs!$A$1:$C$73,2,FALSE),"NA")</f>
        <v>Snohomish</v>
      </c>
      <c r="L3799" t="str">
        <f>IFERROR(VLOOKUP(J3799,LUTs!$A$1:$C$73,3,FALSE),"NA")</f>
        <v>2Central Puget Sound</v>
      </c>
      <c r="M3799" s="72" t="s">
        <v>21</v>
      </c>
      <c r="N3799" t="str">
        <f>VLOOKUP(M3799,LUTs!E$2:H$14,3,)</f>
        <v>08Thurston</v>
      </c>
      <c r="O3799" t="str">
        <f>VLOOKUP(M3799,LUTs!E$2:H$14,4,)</f>
        <v>02South Puget Sound</v>
      </c>
      <c r="P3799" s="73">
        <v>10.8284023668639</v>
      </c>
      <c r="Q3799" s="74">
        <f>VLOOKUP(B3799,Readme!A$40:C$51,2,)*P3799</f>
        <v>37.249704142011815</v>
      </c>
    </row>
    <row r="3800" spans="1:17" ht="12" customHeight="1" x14ac:dyDescent="0.35">
      <c r="A3800" s="75">
        <v>3799</v>
      </c>
      <c r="B3800" s="64">
        <v>2021</v>
      </c>
      <c r="C3800" s="64">
        <v>10</v>
      </c>
      <c r="D3800" s="80">
        <f t="shared" si="121"/>
        <v>2021</v>
      </c>
      <c r="E3800" t="s">
        <v>38</v>
      </c>
      <c r="F3800" t="s">
        <v>143</v>
      </c>
      <c r="G3800" t="s">
        <v>10</v>
      </c>
      <c r="H3800" s="72">
        <v>852</v>
      </c>
      <c r="I3800" s="72" t="s">
        <v>64</v>
      </c>
      <c r="J3800" t="str">
        <f t="shared" si="122"/>
        <v>Snoqualmie River</v>
      </c>
      <c r="K3800" t="str">
        <f>IFERROR(VLOOKUP(J3800,LUTs!$A$1:$C$73,2,FALSE),"NA")</f>
        <v>Snohomish/King</v>
      </c>
      <c r="L3800" t="str">
        <f>IFERROR(VLOOKUP(J3800,LUTs!$A$1:$C$73,3,FALSE),"NA")</f>
        <v>2Central Puget Sound</v>
      </c>
      <c r="M3800" s="72" t="s">
        <v>18</v>
      </c>
      <c r="N3800" t="str">
        <f>VLOOKUP(M3800,LUTs!E$2:H$14,3,)</f>
        <v>06King</v>
      </c>
      <c r="O3800" t="str">
        <f>VLOOKUP(M3800,LUTs!E$2:H$14,4,)</f>
        <v>02South Puget Sound</v>
      </c>
      <c r="P3800" s="73">
        <v>4</v>
      </c>
      <c r="Q3800" s="74">
        <f>VLOOKUP(B3800,Readme!A$40:C$51,2,)*P3800</f>
        <v>13.76</v>
      </c>
    </row>
    <row r="3801" spans="1:17" ht="12" customHeight="1" x14ac:dyDescent="0.35">
      <c r="A3801" s="75">
        <v>3800</v>
      </c>
      <c r="B3801" s="64">
        <v>2021</v>
      </c>
      <c r="C3801" s="64">
        <v>10</v>
      </c>
      <c r="D3801" s="80">
        <f t="shared" si="121"/>
        <v>2021</v>
      </c>
      <c r="E3801" t="s">
        <v>38</v>
      </c>
      <c r="F3801" t="s">
        <v>143</v>
      </c>
      <c r="G3801" t="s">
        <v>10</v>
      </c>
      <c r="H3801" s="72">
        <v>860</v>
      </c>
      <c r="I3801" s="72" t="s">
        <v>76</v>
      </c>
      <c r="J3801" t="str">
        <f t="shared" si="122"/>
        <v>Wallace River</v>
      </c>
      <c r="K3801" t="str">
        <f>IFERROR(VLOOKUP(J3801,LUTs!$A$1:$C$73,2,FALSE),"NA")</f>
        <v>Snohomish</v>
      </c>
      <c r="L3801" t="str">
        <f>IFERROR(VLOOKUP(J3801,LUTs!$A$1:$C$73,3,FALSE),"NA")</f>
        <v>2Central Puget Sound</v>
      </c>
      <c r="M3801" s="72" t="s">
        <v>18</v>
      </c>
      <c r="N3801" t="str">
        <f>VLOOKUP(M3801,LUTs!E$2:H$14,3,)</f>
        <v>06King</v>
      </c>
      <c r="O3801" t="str">
        <f>VLOOKUP(M3801,LUTs!E$2:H$14,4,)</f>
        <v>02South Puget Sound</v>
      </c>
      <c r="P3801" s="73">
        <v>449.286885245902</v>
      </c>
      <c r="Q3801" s="74">
        <f>VLOOKUP(B3801,Readme!A$40:C$51,2,)*P3801</f>
        <v>1545.5468852459028</v>
      </c>
    </row>
    <row r="3802" spans="1:17" ht="12" customHeight="1" x14ac:dyDescent="0.35">
      <c r="A3802" s="75">
        <v>3801</v>
      </c>
      <c r="B3802" s="64">
        <v>2021</v>
      </c>
      <c r="C3802" s="64">
        <v>10</v>
      </c>
      <c r="D3802" s="80">
        <f t="shared" si="121"/>
        <v>2021</v>
      </c>
      <c r="E3802" t="s">
        <v>38</v>
      </c>
      <c r="F3802" t="s">
        <v>143</v>
      </c>
      <c r="G3802" t="s">
        <v>10</v>
      </c>
      <c r="H3802" s="72">
        <v>860</v>
      </c>
      <c r="I3802" s="72" t="s">
        <v>76</v>
      </c>
      <c r="J3802" t="str">
        <f t="shared" si="122"/>
        <v>Wallace River</v>
      </c>
      <c r="K3802" t="str">
        <f>IFERROR(VLOOKUP(J3802,LUTs!$A$1:$C$73,2,FALSE),"NA")</f>
        <v>Snohomish</v>
      </c>
      <c r="L3802" t="str">
        <f>IFERROR(VLOOKUP(J3802,LUTs!$A$1:$C$73,3,FALSE),"NA")</f>
        <v>2Central Puget Sound</v>
      </c>
      <c r="M3802" s="72" t="s">
        <v>26</v>
      </c>
      <c r="N3802" t="str">
        <f>VLOOKUP(M3802,LUTs!E$2:H$14,3,)</f>
        <v>20Other</v>
      </c>
      <c r="O3802" t="str">
        <f>VLOOKUP(M3802,LUTs!E$2:H$14,4,)</f>
        <v>07Non Puget Sound</v>
      </c>
      <c r="P3802" s="73">
        <v>13.6147540983607</v>
      </c>
      <c r="Q3802" s="74">
        <f>VLOOKUP(B3802,Readme!A$40:C$51,2,)*P3802</f>
        <v>46.834754098360811</v>
      </c>
    </row>
    <row r="3803" spans="1:17" ht="12" customHeight="1" x14ac:dyDescent="0.35">
      <c r="A3803" s="75">
        <v>3802</v>
      </c>
      <c r="B3803" s="64">
        <v>2021</v>
      </c>
      <c r="C3803" s="64">
        <v>10</v>
      </c>
      <c r="D3803" s="80">
        <f t="shared" si="121"/>
        <v>2021</v>
      </c>
      <c r="E3803" t="s">
        <v>38</v>
      </c>
      <c r="F3803" t="s">
        <v>143</v>
      </c>
      <c r="G3803" t="s">
        <v>10</v>
      </c>
      <c r="H3803" s="72">
        <v>860</v>
      </c>
      <c r="I3803" s="72" t="s">
        <v>76</v>
      </c>
      <c r="J3803" t="str">
        <f t="shared" si="122"/>
        <v>Wallace River</v>
      </c>
      <c r="K3803" t="str">
        <f>IFERROR(VLOOKUP(J3803,LUTs!$A$1:$C$73,2,FALSE),"NA")</f>
        <v>Snohomish</v>
      </c>
      <c r="L3803" t="str">
        <f>IFERROR(VLOOKUP(J3803,LUTs!$A$1:$C$73,3,FALSE),"NA")</f>
        <v>2Central Puget Sound</v>
      </c>
      <c r="M3803" s="72" t="s">
        <v>20</v>
      </c>
      <c r="N3803" t="str">
        <f>VLOOKUP(M3803,LUTs!E$2:H$14,3,)</f>
        <v>07Pierce</v>
      </c>
      <c r="O3803" t="str">
        <f>VLOOKUP(M3803,LUTs!E$2:H$14,4,)</f>
        <v>02South Puget Sound</v>
      </c>
      <c r="P3803" s="73">
        <v>40.844262295081997</v>
      </c>
      <c r="Q3803" s="74">
        <f>VLOOKUP(B3803,Readme!A$40:C$51,2,)*P3803</f>
        <v>140.50426229508207</v>
      </c>
    </row>
    <row r="3804" spans="1:17" ht="12" customHeight="1" x14ac:dyDescent="0.35">
      <c r="A3804" s="75">
        <v>3803</v>
      </c>
      <c r="B3804" s="64">
        <v>2021</v>
      </c>
      <c r="C3804" s="64">
        <v>10</v>
      </c>
      <c r="D3804" s="80">
        <f t="shared" si="121"/>
        <v>2021</v>
      </c>
      <c r="E3804" t="s">
        <v>38</v>
      </c>
      <c r="F3804" t="s">
        <v>143</v>
      </c>
      <c r="G3804" t="s">
        <v>10</v>
      </c>
      <c r="H3804" s="72">
        <v>860</v>
      </c>
      <c r="I3804" s="72" t="s">
        <v>76</v>
      </c>
      <c r="J3804" t="str">
        <f t="shared" si="122"/>
        <v>Wallace River</v>
      </c>
      <c r="K3804" t="str">
        <f>IFERROR(VLOOKUP(J3804,LUTs!$A$1:$C$73,2,FALSE),"NA")</f>
        <v>Snohomish</v>
      </c>
      <c r="L3804" t="str">
        <f>IFERROR(VLOOKUP(J3804,LUTs!$A$1:$C$73,3,FALSE),"NA")</f>
        <v>2Central Puget Sound</v>
      </c>
      <c r="M3804" s="72" t="s">
        <v>16</v>
      </c>
      <c r="N3804" t="str">
        <f>VLOOKUP(M3804,LUTs!E$2:H$14,3,)</f>
        <v>03Snohomish</v>
      </c>
      <c r="O3804" t="str">
        <f>VLOOKUP(M3804,LUTs!E$2:H$14,4,)</f>
        <v>01North Puget Sound</v>
      </c>
      <c r="P3804" s="73">
        <v>1130.02459016393</v>
      </c>
      <c r="Q3804" s="74">
        <f>VLOOKUP(B3804,Readme!A$40:C$51,2,)*P3804</f>
        <v>3887.2845901639193</v>
      </c>
    </row>
    <row r="3805" spans="1:17" ht="12" customHeight="1" x14ac:dyDescent="0.35">
      <c r="A3805" s="75">
        <v>3804</v>
      </c>
      <c r="B3805" s="64">
        <v>2021</v>
      </c>
      <c r="C3805" s="64">
        <v>10</v>
      </c>
      <c r="D3805" s="80">
        <f t="shared" si="121"/>
        <v>2021</v>
      </c>
      <c r="E3805" t="s">
        <v>38</v>
      </c>
      <c r="F3805" t="s">
        <v>143</v>
      </c>
      <c r="G3805" t="s">
        <v>10</v>
      </c>
      <c r="H3805" s="72">
        <v>860</v>
      </c>
      <c r="I3805" s="72" t="s">
        <v>76</v>
      </c>
      <c r="J3805" t="str">
        <f t="shared" si="122"/>
        <v>Wallace River</v>
      </c>
      <c r="K3805" t="str">
        <f>IFERROR(VLOOKUP(J3805,LUTs!$A$1:$C$73,2,FALSE),"NA")</f>
        <v>Snohomish</v>
      </c>
      <c r="L3805" t="str">
        <f>IFERROR(VLOOKUP(J3805,LUTs!$A$1:$C$73,3,FALSE),"NA")</f>
        <v>2Central Puget Sound</v>
      </c>
      <c r="M3805" s="72" t="s">
        <v>21</v>
      </c>
      <c r="N3805" t="str">
        <f>VLOOKUP(M3805,LUTs!E$2:H$14,3,)</f>
        <v>08Thurston</v>
      </c>
      <c r="O3805" t="str">
        <f>VLOOKUP(M3805,LUTs!E$2:H$14,4,)</f>
        <v>02South Puget Sound</v>
      </c>
      <c r="P3805" s="73">
        <v>27.229508196721302</v>
      </c>
      <c r="Q3805" s="74">
        <f>VLOOKUP(B3805,Readme!A$40:C$51,2,)*P3805</f>
        <v>93.669508196721281</v>
      </c>
    </row>
    <row r="3806" spans="1:17" ht="12" customHeight="1" x14ac:dyDescent="0.35">
      <c r="A3806" s="75">
        <v>3805</v>
      </c>
      <c r="B3806" s="64">
        <v>2021</v>
      </c>
      <c r="C3806" s="64">
        <v>11</v>
      </c>
      <c r="D3806" s="80">
        <f t="shared" si="121"/>
        <v>2021</v>
      </c>
      <c r="E3806" t="s">
        <v>38</v>
      </c>
      <c r="F3806" t="s">
        <v>143</v>
      </c>
      <c r="G3806" t="s">
        <v>10</v>
      </c>
      <c r="H3806" s="72">
        <v>860</v>
      </c>
      <c r="I3806" s="72" t="s">
        <v>76</v>
      </c>
      <c r="J3806" t="str">
        <f t="shared" si="122"/>
        <v>Wallace River</v>
      </c>
      <c r="K3806" t="str">
        <f>IFERROR(VLOOKUP(J3806,LUTs!$A$1:$C$73,2,FALSE),"NA")</f>
        <v>Snohomish</v>
      </c>
      <c r="L3806" t="str">
        <f>IFERROR(VLOOKUP(J3806,LUTs!$A$1:$C$73,3,FALSE),"NA")</f>
        <v>2Central Puget Sound</v>
      </c>
      <c r="M3806" s="72" t="s">
        <v>18</v>
      </c>
      <c r="N3806" t="str">
        <f>VLOOKUP(M3806,LUTs!E$2:H$14,3,)</f>
        <v>06King</v>
      </c>
      <c r="O3806" t="str">
        <f>VLOOKUP(M3806,LUTs!E$2:H$14,4,)</f>
        <v>02South Puget Sound</v>
      </c>
      <c r="P3806" s="73">
        <v>128</v>
      </c>
      <c r="Q3806" s="74">
        <f>VLOOKUP(B3806,Readme!A$40:C$51,2,)*P3806</f>
        <v>440.32</v>
      </c>
    </row>
    <row r="3807" spans="1:17" ht="12" customHeight="1" x14ac:dyDescent="0.35">
      <c r="A3807" s="75">
        <v>3806</v>
      </c>
      <c r="B3807" s="64">
        <v>2021</v>
      </c>
      <c r="C3807" s="64">
        <v>11</v>
      </c>
      <c r="D3807" s="80">
        <f t="shared" si="121"/>
        <v>2021</v>
      </c>
      <c r="E3807" t="s">
        <v>38</v>
      </c>
      <c r="F3807" t="s">
        <v>143</v>
      </c>
      <c r="G3807" t="s">
        <v>10</v>
      </c>
      <c r="H3807" s="72">
        <v>860</v>
      </c>
      <c r="I3807" s="72" t="s">
        <v>76</v>
      </c>
      <c r="J3807" t="str">
        <f t="shared" si="122"/>
        <v>Wallace River</v>
      </c>
      <c r="K3807" t="str">
        <f>IFERROR(VLOOKUP(J3807,LUTs!$A$1:$C$73,2,FALSE),"NA")</f>
        <v>Snohomish</v>
      </c>
      <c r="L3807" t="str">
        <f>IFERROR(VLOOKUP(J3807,LUTs!$A$1:$C$73,3,FALSE),"NA")</f>
        <v>2Central Puget Sound</v>
      </c>
      <c r="M3807" s="72" t="s">
        <v>16</v>
      </c>
      <c r="N3807" t="str">
        <f>VLOOKUP(M3807,LUTs!E$2:H$14,3,)</f>
        <v>03Snohomish</v>
      </c>
      <c r="O3807" t="str">
        <f>VLOOKUP(M3807,LUTs!E$2:H$14,4,)</f>
        <v>01North Puget Sound</v>
      </c>
      <c r="P3807" s="73">
        <v>192</v>
      </c>
      <c r="Q3807" s="74">
        <f>VLOOKUP(B3807,Readme!A$40:C$51,2,)*P3807</f>
        <v>660.48</v>
      </c>
    </row>
    <row r="3808" spans="1:17" ht="12" customHeight="1" x14ac:dyDescent="0.35">
      <c r="A3808" s="75">
        <v>3807</v>
      </c>
      <c r="B3808" s="64">
        <v>2021</v>
      </c>
      <c r="C3808" s="64">
        <v>8</v>
      </c>
      <c r="D3808" s="80">
        <f t="shared" si="121"/>
        <v>2021</v>
      </c>
      <c r="E3808" t="s">
        <v>38</v>
      </c>
      <c r="F3808" t="s">
        <v>143</v>
      </c>
      <c r="G3808" t="s">
        <v>10</v>
      </c>
      <c r="H3808" s="72">
        <v>872</v>
      </c>
      <c r="I3808" s="72" t="s">
        <v>65</v>
      </c>
      <c r="J3808" t="str">
        <f t="shared" si="122"/>
        <v>Stillaguamish River</v>
      </c>
      <c r="K3808" t="str">
        <f>IFERROR(VLOOKUP(J3808,LUTs!$A$1:$C$73,2,FALSE),"NA")</f>
        <v>Snohomish</v>
      </c>
      <c r="L3808" t="str">
        <f>IFERROR(VLOOKUP(J3808,LUTs!$A$1:$C$73,3,FALSE),"NA")</f>
        <v>2Central Puget Sound</v>
      </c>
      <c r="M3808" s="72" t="s">
        <v>16</v>
      </c>
      <c r="N3808" t="str">
        <f>VLOOKUP(M3808,LUTs!E$2:H$14,3,)</f>
        <v>03Snohomish</v>
      </c>
      <c r="O3808" t="str">
        <f>VLOOKUP(M3808,LUTs!E$2:H$14,4,)</f>
        <v>01North Puget Sound</v>
      </c>
      <c r="P3808" s="73">
        <v>6</v>
      </c>
      <c r="Q3808" s="74">
        <f>VLOOKUP(B3808,Readme!A$40:C$51,2,)*P3808</f>
        <v>20.64</v>
      </c>
    </row>
    <row r="3809" spans="1:17" ht="12" customHeight="1" x14ac:dyDescent="0.35">
      <c r="A3809" s="75">
        <v>3808</v>
      </c>
      <c r="B3809" s="64">
        <v>2021</v>
      </c>
      <c r="C3809" s="64">
        <v>9</v>
      </c>
      <c r="D3809" s="80">
        <f t="shared" si="121"/>
        <v>2021</v>
      </c>
      <c r="E3809" t="s">
        <v>38</v>
      </c>
      <c r="F3809" t="s">
        <v>143</v>
      </c>
      <c r="G3809" t="s">
        <v>10</v>
      </c>
      <c r="H3809" s="72">
        <v>872</v>
      </c>
      <c r="I3809" s="72" t="s">
        <v>65</v>
      </c>
      <c r="J3809" t="str">
        <f t="shared" si="122"/>
        <v>Stillaguamish River</v>
      </c>
      <c r="K3809" t="str">
        <f>IFERROR(VLOOKUP(J3809,LUTs!$A$1:$C$73,2,FALSE),"NA")</f>
        <v>Snohomish</v>
      </c>
      <c r="L3809" t="str">
        <f>IFERROR(VLOOKUP(J3809,LUTs!$A$1:$C$73,3,FALSE),"NA")</f>
        <v>2Central Puget Sound</v>
      </c>
      <c r="M3809" s="72" t="s">
        <v>16</v>
      </c>
      <c r="N3809" t="str">
        <f>VLOOKUP(M3809,LUTs!E$2:H$14,3,)</f>
        <v>03Snohomish</v>
      </c>
      <c r="O3809" t="str">
        <f>VLOOKUP(M3809,LUTs!E$2:H$14,4,)</f>
        <v>01North Puget Sound</v>
      </c>
      <c r="P3809" s="73">
        <v>4</v>
      </c>
      <c r="Q3809" s="74">
        <f>VLOOKUP(B3809,Readme!A$40:C$51,2,)*P3809</f>
        <v>13.76</v>
      </c>
    </row>
    <row r="3810" spans="1:17" ht="12" customHeight="1" x14ac:dyDescent="0.35">
      <c r="A3810" s="75">
        <v>3809</v>
      </c>
      <c r="B3810" s="64">
        <v>2021</v>
      </c>
      <c r="C3810" s="64">
        <v>9</v>
      </c>
      <c r="D3810" s="80">
        <f t="shared" si="121"/>
        <v>2021</v>
      </c>
      <c r="E3810" t="s">
        <v>38</v>
      </c>
      <c r="F3810" t="s">
        <v>143</v>
      </c>
      <c r="G3810" t="s">
        <v>10</v>
      </c>
      <c r="H3810" s="72">
        <v>884</v>
      </c>
      <c r="I3810" s="72" t="s">
        <v>66</v>
      </c>
      <c r="J3810" t="str">
        <f t="shared" si="122"/>
        <v>Whatcom Creek</v>
      </c>
      <c r="K3810" t="str">
        <f>IFERROR(VLOOKUP(J3810,LUTs!$A$1:$C$73,2,FALSE),"NA")</f>
        <v>Whatcom</v>
      </c>
      <c r="L3810" t="str">
        <f>IFERROR(VLOOKUP(J3810,LUTs!$A$1:$C$73,3,FALSE),"NA")</f>
        <v>1North Puget Sound</v>
      </c>
      <c r="M3810" s="72" t="s">
        <v>13</v>
      </c>
      <c r="N3810" t="str">
        <f>VLOOKUP(M3810,LUTs!E$2:H$14,3,)</f>
        <v>01Whatcom</v>
      </c>
      <c r="O3810" t="str">
        <f>VLOOKUP(M3810,LUTs!E$2:H$14,4,)</f>
        <v>01North Puget Sound</v>
      </c>
      <c r="P3810" s="73">
        <v>28</v>
      </c>
      <c r="Q3810" s="74">
        <f>VLOOKUP(B3810,Readme!A$40:C$51,2,)*P3810</f>
        <v>96.32</v>
      </c>
    </row>
    <row r="3816" spans="1:17" ht="12" customHeight="1" x14ac:dyDescent="0.35">
      <c r="M3816" s="76"/>
    </row>
  </sheetData>
  <pageMargins left="0.05" right="0.05" top="0.5" bottom="0.5" header="0" footer="0"/>
  <pageSetup orientation="portrait" horizontalDpi="300" verticalDpi="300"/>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20160-5DF5-487A-965D-CE3A3EFB9921}">
  <sheetPr>
    <tabColor theme="8" tint="0.59999389629810485"/>
  </sheetPr>
  <dimension ref="A1:O12"/>
  <sheetViews>
    <sheetView workbookViewId="0">
      <selection activeCell="P32" sqref="P32"/>
    </sheetView>
  </sheetViews>
  <sheetFormatPr defaultRowHeight="14.5" x14ac:dyDescent="0.35"/>
  <cols>
    <col min="1" max="1" width="24.36328125" bestFit="1" customWidth="1"/>
    <col min="2" max="2" width="15.6328125" bestFit="1" customWidth="1"/>
    <col min="3" max="3" width="4.81640625" bestFit="1" customWidth="1"/>
    <col min="4" max="4" width="5.81640625" bestFit="1" customWidth="1"/>
    <col min="5" max="14" width="4.81640625" bestFit="1" customWidth="1"/>
    <col min="15" max="15" width="10.7265625" customWidth="1"/>
  </cols>
  <sheetData>
    <row r="1" spans="1:15" x14ac:dyDescent="0.35">
      <c r="A1" s="45" t="s">
        <v>2</v>
      </c>
      <c r="B1" t="s">
        <v>277</v>
      </c>
    </row>
    <row r="3" spans="1:15" x14ac:dyDescent="0.35">
      <c r="A3" s="45" t="s">
        <v>291</v>
      </c>
      <c r="B3" s="45" t="s">
        <v>275</v>
      </c>
    </row>
    <row r="4" spans="1:15" x14ac:dyDescent="0.35">
      <c r="A4" s="45" t="s">
        <v>274</v>
      </c>
      <c r="B4" s="99">
        <v>2010</v>
      </c>
      <c r="C4" s="99">
        <v>2011</v>
      </c>
      <c r="D4" s="99">
        <v>2012</v>
      </c>
      <c r="E4" s="99">
        <v>2013</v>
      </c>
      <c r="F4" s="99">
        <v>2014</v>
      </c>
      <c r="G4" s="99">
        <v>2015</v>
      </c>
      <c r="H4" s="99">
        <v>2016</v>
      </c>
      <c r="I4" s="99">
        <v>2017</v>
      </c>
      <c r="J4" s="99">
        <v>2018</v>
      </c>
      <c r="K4" s="99">
        <v>2019</v>
      </c>
      <c r="L4" s="99">
        <v>2020</v>
      </c>
      <c r="M4" s="99">
        <v>2021</v>
      </c>
      <c r="N4" s="99">
        <v>2022</v>
      </c>
      <c r="O4" s="99" t="s">
        <v>157</v>
      </c>
    </row>
    <row r="5" spans="1:15" x14ac:dyDescent="0.35">
      <c r="A5" s="59" t="s">
        <v>143</v>
      </c>
      <c r="B5">
        <v>6644.0000000000018</v>
      </c>
      <c r="C5">
        <v>8684.0000000000018</v>
      </c>
      <c r="D5">
        <v>11332</v>
      </c>
      <c r="E5">
        <v>9410.0000000000018</v>
      </c>
      <c r="F5">
        <v>7399.0000000000009</v>
      </c>
      <c r="G5">
        <v>6153.9999999999982</v>
      </c>
      <c r="H5">
        <v>3681.0000000000018</v>
      </c>
      <c r="I5">
        <v>4388.0000000000009</v>
      </c>
      <c r="J5">
        <v>4567.0000000000027</v>
      </c>
      <c r="K5">
        <v>866</v>
      </c>
      <c r="L5">
        <v>730.00000000000023</v>
      </c>
      <c r="M5">
        <v>1920.0000000000005</v>
      </c>
      <c r="N5">
        <v>447.00000000000011</v>
      </c>
      <c r="O5">
        <v>66222.000000000015</v>
      </c>
    </row>
    <row r="6" spans="1:15" x14ac:dyDescent="0.35">
      <c r="A6" s="128" t="s">
        <v>133</v>
      </c>
      <c r="B6">
        <v>605</v>
      </c>
      <c r="C6">
        <v>565.00000000000011</v>
      </c>
      <c r="D6">
        <v>323</v>
      </c>
      <c r="E6">
        <v>222.00000000000006</v>
      </c>
      <c r="F6">
        <v>326.00000000000017</v>
      </c>
      <c r="G6">
        <v>299.99999999999994</v>
      </c>
      <c r="H6">
        <v>204.00000000000006</v>
      </c>
      <c r="I6">
        <v>150.99999999999991</v>
      </c>
      <c r="J6">
        <v>133</v>
      </c>
      <c r="K6">
        <v>44</v>
      </c>
      <c r="L6">
        <v>17</v>
      </c>
      <c r="M6">
        <v>18</v>
      </c>
      <c r="N6">
        <v>12</v>
      </c>
      <c r="O6">
        <v>2920</v>
      </c>
    </row>
    <row r="7" spans="1:15" x14ac:dyDescent="0.35">
      <c r="A7" s="128" t="s">
        <v>135</v>
      </c>
      <c r="B7">
        <v>641</v>
      </c>
      <c r="C7">
        <v>804.00000000000045</v>
      </c>
      <c r="D7">
        <v>662.99999999999977</v>
      </c>
      <c r="E7">
        <v>366.99999999999983</v>
      </c>
      <c r="F7">
        <v>394.99999999999994</v>
      </c>
      <c r="G7">
        <v>341.0000000000004</v>
      </c>
      <c r="H7">
        <v>73</v>
      </c>
      <c r="I7">
        <v>43</v>
      </c>
      <c r="J7">
        <v>157</v>
      </c>
      <c r="K7">
        <v>40</v>
      </c>
      <c r="L7">
        <v>12</v>
      </c>
      <c r="M7">
        <v>6</v>
      </c>
      <c r="O7">
        <v>3542.0000000000005</v>
      </c>
    </row>
    <row r="8" spans="1:15" x14ac:dyDescent="0.35">
      <c r="A8" s="128" t="s">
        <v>137</v>
      </c>
      <c r="B8">
        <v>4841.0000000000009</v>
      </c>
      <c r="C8">
        <v>6707.0000000000018</v>
      </c>
      <c r="D8">
        <v>9588</v>
      </c>
      <c r="E8">
        <v>7933.0000000000027</v>
      </c>
      <c r="F8">
        <v>6433.0000000000009</v>
      </c>
      <c r="G8">
        <v>5349.9999999999982</v>
      </c>
      <c r="H8">
        <v>3234.0000000000018</v>
      </c>
      <c r="I8">
        <v>3829.0000000000009</v>
      </c>
      <c r="J8">
        <v>4272.0000000000027</v>
      </c>
      <c r="K8">
        <v>442</v>
      </c>
      <c r="L8">
        <v>663.00000000000023</v>
      </c>
      <c r="M8">
        <v>1817.0000000000005</v>
      </c>
      <c r="N8">
        <v>435.00000000000011</v>
      </c>
      <c r="O8">
        <v>55544.000000000007</v>
      </c>
    </row>
    <row r="9" spans="1:15" x14ac:dyDescent="0.35">
      <c r="A9" s="128" t="s">
        <v>139</v>
      </c>
      <c r="B9">
        <v>557.00000000000045</v>
      </c>
      <c r="C9">
        <v>608.00000000000011</v>
      </c>
      <c r="D9">
        <v>758.00000000000034</v>
      </c>
      <c r="E9">
        <v>888.00000000000011</v>
      </c>
      <c r="F9">
        <v>244.99999999999997</v>
      </c>
      <c r="G9">
        <v>163.00000000000006</v>
      </c>
      <c r="H9">
        <v>170</v>
      </c>
      <c r="I9">
        <v>365.00000000000017</v>
      </c>
      <c r="J9">
        <v>5</v>
      </c>
      <c r="K9">
        <v>340</v>
      </c>
      <c r="L9">
        <v>38</v>
      </c>
      <c r="M9">
        <v>79</v>
      </c>
      <c r="O9">
        <v>4216.0000000000009</v>
      </c>
    </row>
    <row r="10" spans="1:15" x14ac:dyDescent="0.35">
      <c r="A10" s="128" t="s">
        <v>141</v>
      </c>
      <c r="C10">
        <v>0</v>
      </c>
      <c r="D10">
        <v>0</v>
      </c>
      <c r="E10">
        <v>0</v>
      </c>
      <c r="O10">
        <v>0</v>
      </c>
    </row>
    <row r="11" spans="1:15" x14ac:dyDescent="0.35">
      <c r="A11" s="128" t="s">
        <v>74</v>
      </c>
      <c r="J11">
        <v>0</v>
      </c>
      <c r="O11">
        <v>0</v>
      </c>
    </row>
    <row r="12" spans="1:15" x14ac:dyDescent="0.35">
      <c r="A12" s="59" t="s">
        <v>157</v>
      </c>
      <c r="B12">
        <v>6644.0000000000018</v>
      </c>
      <c r="C12">
        <v>8684.0000000000018</v>
      </c>
      <c r="D12">
        <v>11332</v>
      </c>
      <c r="E12">
        <v>9410.0000000000018</v>
      </c>
      <c r="F12">
        <v>7399.0000000000009</v>
      </c>
      <c r="G12">
        <v>6153.9999999999982</v>
      </c>
      <c r="H12">
        <v>3681.0000000000018</v>
      </c>
      <c r="I12">
        <v>4388.0000000000009</v>
      </c>
      <c r="J12">
        <v>4567.0000000000027</v>
      </c>
      <c r="K12">
        <v>866</v>
      </c>
      <c r="L12">
        <v>730.00000000000023</v>
      </c>
      <c r="M12">
        <v>1920.0000000000005</v>
      </c>
      <c r="N12">
        <v>447.00000000000011</v>
      </c>
      <c r="O12">
        <v>66222.000000000015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D22C-A0D3-4EC1-89DA-79C5C4A7B716}">
  <sheetPr>
    <tabColor theme="8" tint="0.59999389629810485"/>
  </sheetPr>
  <dimension ref="A1:FO3810"/>
  <sheetViews>
    <sheetView showGridLines="0" zoomScale="75" zoomScaleNormal="75" workbookViewId="0">
      <pane ySplit="1" topLeftCell="A2" activePane="bottomLeft" state="frozen"/>
      <selection activeCell="J3815" sqref="J3815"/>
      <selection pane="bottomLeft" activeCell="Q1" sqref="Q1"/>
    </sheetView>
  </sheetViews>
  <sheetFormatPr defaultColWidth="11.453125" defaultRowHeight="12" customHeight="1" x14ac:dyDescent="0.35"/>
  <cols>
    <col min="1" max="1" width="5.54296875" style="71" bestFit="1" customWidth="1"/>
    <col min="2" max="2" width="7.26953125" style="71" bestFit="1" customWidth="1"/>
    <col min="3" max="3" width="7.7265625" style="81" bestFit="1" customWidth="1"/>
    <col min="4" max="4" width="15.36328125" style="81" customWidth="1"/>
    <col min="5" max="5" width="11.1796875" style="81" bestFit="1" customWidth="1"/>
    <col min="6" max="6" width="12.08984375" style="81" customWidth="1"/>
    <col min="7" max="7" width="9.54296875" style="81" bestFit="1" customWidth="1"/>
    <col min="8" max="8" width="14" style="71" bestFit="1" customWidth="1"/>
    <col min="9" max="9" width="36.7265625" style="71" bestFit="1" customWidth="1"/>
    <col min="10" max="10" width="33.6328125" style="71" bestFit="1" customWidth="1"/>
    <col min="11" max="11" width="17" style="71" bestFit="1" customWidth="1"/>
    <col min="12" max="12" width="19.90625" style="71" bestFit="1" customWidth="1"/>
    <col min="13" max="13" width="19.6328125" style="71" bestFit="1" customWidth="1"/>
    <col min="14" max="14" width="23.81640625" bestFit="1" customWidth="1"/>
    <col min="15" max="15" width="29.54296875" bestFit="1" customWidth="1"/>
    <col min="16" max="16" width="13.08984375" style="81" bestFit="1" customWidth="1"/>
    <col min="17" max="17" width="17.7265625" style="81" bestFit="1" customWidth="1"/>
    <col min="18" max="18" width="13.26953125" style="71" customWidth="1"/>
    <col min="19" max="19" width="11.453125" style="71"/>
    <col min="20" max="20" width="20.7265625" style="71" bestFit="1" customWidth="1"/>
    <col min="21" max="21" width="18.08984375" style="71" bestFit="1" customWidth="1"/>
    <col min="22" max="23" width="8.26953125" style="71" bestFit="1" customWidth="1"/>
    <col min="24" max="25" width="7.6328125" style="71" bestFit="1" customWidth="1"/>
    <col min="26" max="26" width="9.36328125" style="71" bestFit="1" customWidth="1"/>
    <col min="27" max="30" width="8.26953125" style="71" bestFit="1" customWidth="1"/>
    <col min="31" max="31" width="10.90625" style="71" bestFit="1" customWidth="1"/>
    <col min="32" max="32" width="9.36328125" style="71" bestFit="1" customWidth="1"/>
    <col min="33" max="33" width="20.7265625" style="71" bestFit="1" customWidth="1"/>
    <col min="34" max="34" width="16.453125" style="71" bestFit="1" customWidth="1"/>
    <col min="35" max="37" width="9.36328125" style="71" bestFit="1" customWidth="1"/>
    <col min="38" max="43" width="8.26953125" style="71" bestFit="1" customWidth="1"/>
    <col min="44" max="44" width="10.90625" style="71" bestFit="1" customWidth="1"/>
    <col min="45" max="45" width="7.1796875" style="71" bestFit="1" customWidth="1"/>
    <col min="46" max="46" width="10.08984375" style="71" bestFit="1" customWidth="1"/>
    <col min="47" max="47" width="7.1796875" style="71" bestFit="1" customWidth="1"/>
    <col min="48" max="48" width="5.54296875" style="71" bestFit="1" customWidth="1"/>
    <col min="49" max="50" width="4.453125" style="71" bestFit="1" customWidth="1"/>
    <col min="51" max="51" width="5" style="71" bestFit="1" customWidth="1"/>
    <col min="52" max="53" width="7.1796875" style="71" bestFit="1" customWidth="1"/>
    <col min="54" max="57" width="5.54296875" style="71" bestFit="1" customWidth="1"/>
    <col min="58" max="58" width="7.1796875" style="71" bestFit="1" customWidth="1"/>
    <col min="59" max="59" width="10.08984375" style="71" bestFit="1" customWidth="1"/>
    <col min="60" max="60" width="7.1796875" style="71" bestFit="1" customWidth="1"/>
    <col min="61" max="61" width="5.54296875" style="71" bestFit="1" customWidth="1"/>
    <col min="62" max="63" width="4.453125" style="71" bestFit="1" customWidth="1"/>
    <col min="64" max="67" width="7.1796875" style="71" bestFit="1" customWidth="1"/>
    <col min="68" max="69" width="5.54296875" style="71" bestFit="1" customWidth="1"/>
    <col min="70" max="70" width="7.1796875" style="71" bestFit="1" customWidth="1"/>
    <col min="71" max="71" width="10.08984375" style="71" bestFit="1" customWidth="1"/>
    <col min="72" max="72" width="7.1796875" style="71" bestFit="1" customWidth="1"/>
    <col min="73" max="73" width="5.54296875" style="71" bestFit="1" customWidth="1"/>
    <col min="74" max="74" width="4.453125" style="71" bestFit="1" customWidth="1"/>
    <col min="75" max="76" width="3.36328125" style="71" bestFit="1" customWidth="1"/>
    <col min="77" max="77" width="7.1796875" style="71" bestFit="1" customWidth="1"/>
    <col min="78" max="82" width="5.54296875" style="71" bestFit="1" customWidth="1"/>
    <col min="83" max="83" width="7.1796875" style="71" bestFit="1" customWidth="1"/>
    <col min="84" max="84" width="10.08984375" style="71" bestFit="1" customWidth="1"/>
    <col min="85" max="85" width="7.1796875" style="71" bestFit="1" customWidth="1"/>
    <col min="86" max="86" width="5.54296875" style="71" bestFit="1" customWidth="1"/>
    <col min="87" max="87" width="4.453125" style="71" bestFit="1" customWidth="1"/>
    <col min="88" max="88" width="5.54296875" style="71" bestFit="1" customWidth="1"/>
    <col min="89" max="89" width="4.453125" style="71" bestFit="1" customWidth="1"/>
    <col min="90" max="95" width="5.54296875" style="71" bestFit="1" customWidth="1"/>
    <col min="96" max="96" width="7.1796875" style="71" bestFit="1" customWidth="1"/>
    <col min="97" max="97" width="10.08984375" style="71" bestFit="1" customWidth="1"/>
    <col min="98" max="98" width="6.90625" style="71" bestFit="1" customWidth="1"/>
    <col min="99" max="100" width="4.453125" style="71" bestFit="1" customWidth="1"/>
    <col min="101" max="101" width="3.36328125" style="71" bestFit="1" customWidth="1"/>
    <col min="102" max="102" width="5.54296875" style="71" bestFit="1" customWidth="1"/>
    <col min="103" max="103" width="7.1796875" style="71" bestFit="1" customWidth="1"/>
    <col min="104" max="107" width="5.54296875" style="71" bestFit="1" customWidth="1"/>
    <col min="108" max="108" width="7.1796875" style="71" bestFit="1" customWidth="1"/>
    <col min="109" max="109" width="10.08984375" style="71" bestFit="1" customWidth="1"/>
    <col min="110" max="110" width="7.1796875" style="71" bestFit="1" customWidth="1"/>
    <col min="111" max="112" width="5.54296875" style="71" bestFit="1" customWidth="1"/>
    <col min="113" max="113" width="4.453125" style="71" bestFit="1" customWidth="1"/>
    <col min="114" max="115" width="7.1796875" style="71" bestFit="1" customWidth="1"/>
    <col min="116" max="119" width="5.54296875" style="71" bestFit="1" customWidth="1"/>
    <col min="120" max="120" width="7.1796875" style="71" bestFit="1" customWidth="1"/>
    <col min="121" max="121" width="10.08984375" style="71" bestFit="1" customWidth="1"/>
    <col min="122" max="122" width="6.90625" style="71" bestFit="1" customWidth="1"/>
    <col min="123" max="126" width="4.453125" style="71" bestFit="1" customWidth="1"/>
    <col min="127" max="127" width="7.1796875" style="71" bestFit="1" customWidth="1"/>
    <col min="128" max="133" width="5.54296875" style="71" bestFit="1" customWidth="1"/>
    <col min="134" max="134" width="10.08984375" style="71" bestFit="1" customWidth="1"/>
    <col min="135" max="135" width="6.90625" style="71" bestFit="1" customWidth="1"/>
    <col min="136" max="137" width="4.453125" style="71" bestFit="1" customWidth="1"/>
    <col min="138" max="138" width="3.36328125" style="71" bestFit="1" customWidth="1"/>
    <col min="139" max="141" width="5.54296875" style="71" bestFit="1" customWidth="1"/>
    <col min="142" max="142" width="4.453125" style="71" bestFit="1" customWidth="1"/>
    <col min="143" max="144" width="5.54296875" style="71" bestFit="1" customWidth="1"/>
    <col min="145" max="146" width="5" style="71" bestFit="1" customWidth="1"/>
    <col min="147" max="147" width="10.08984375" style="71" bestFit="1" customWidth="1"/>
    <col min="148" max="148" width="10.90625" style="71" bestFit="1" customWidth="1"/>
    <col min="149" max="150" width="4.453125" style="71" bestFit="1" customWidth="1"/>
    <col min="151" max="152" width="5.54296875" style="71" bestFit="1" customWidth="1"/>
    <col min="153" max="153" width="4.453125" style="71" bestFit="1" customWidth="1"/>
    <col min="154" max="154" width="5.54296875" style="71" bestFit="1" customWidth="1"/>
    <col min="155" max="156" width="4.453125" style="71" bestFit="1" customWidth="1"/>
    <col min="157" max="157" width="5.54296875" style="71" bestFit="1" customWidth="1"/>
    <col min="158" max="158" width="10.08984375" style="71" bestFit="1" customWidth="1"/>
    <col min="159" max="159" width="7.1796875" style="71" bestFit="1" customWidth="1"/>
    <col min="160" max="160" width="5.54296875" style="71" bestFit="1" customWidth="1"/>
    <col min="161" max="162" width="4.453125" style="71" bestFit="1" customWidth="1"/>
    <col min="163" max="168" width="5.54296875" style="71" bestFit="1" customWidth="1"/>
    <col min="169" max="169" width="7.1796875" style="71" bestFit="1" customWidth="1"/>
    <col min="170" max="170" width="10.08984375" style="71" bestFit="1" customWidth="1"/>
    <col min="171" max="171" width="10.90625" style="71" bestFit="1" customWidth="1"/>
    <col min="172" max="16384" width="11.453125" style="71"/>
  </cols>
  <sheetData>
    <row r="1" spans="1:171" ht="14.15" customHeight="1" x14ac:dyDescent="0.35">
      <c r="A1" s="50" t="s">
        <v>110</v>
      </c>
      <c r="B1" s="78" t="s">
        <v>0</v>
      </c>
      <c r="C1" s="79" t="s">
        <v>196</v>
      </c>
      <c r="D1" s="98" t="s">
        <v>287</v>
      </c>
      <c r="E1" t="s">
        <v>1</v>
      </c>
      <c r="F1" s="47" t="s">
        <v>174</v>
      </c>
      <c r="G1" t="s">
        <v>2</v>
      </c>
      <c r="H1" t="s">
        <v>3</v>
      </c>
      <c r="I1" t="s">
        <v>4</v>
      </c>
      <c r="J1" s="47" t="s">
        <v>173</v>
      </c>
      <c r="K1" s="62" t="s">
        <v>159</v>
      </c>
      <c r="L1" s="51" t="s">
        <v>5</v>
      </c>
      <c r="M1" t="s">
        <v>171</v>
      </c>
      <c r="N1" s="62" t="s">
        <v>178</v>
      </c>
      <c r="O1" s="68" t="s">
        <v>270</v>
      </c>
      <c r="P1" s="79" t="s">
        <v>289</v>
      </c>
      <c r="Q1" s="98" t="s">
        <v>290</v>
      </c>
      <c r="R1" s="104" t="s">
        <v>273</v>
      </c>
      <c r="T1"/>
      <c r="U1"/>
    </row>
    <row r="2" spans="1:171" ht="14.15" customHeight="1" x14ac:dyDescent="0.35">
      <c r="A2" s="75">
        <v>333</v>
      </c>
      <c r="B2" s="80">
        <v>2010</v>
      </c>
      <c r="C2" s="80">
        <v>4</v>
      </c>
      <c r="D2" s="80">
        <f t="shared" ref="D2:D65" si="0">IF(C2&gt;3,B2,B2-1)</f>
        <v>2010</v>
      </c>
      <c r="E2" t="s">
        <v>38</v>
      </c>
      <c r="F2" t="s">
        <v>143</v>
      </c>
      <c r="G2" t="s">
        <v>86</v>
      </c>
      <c r="H2" s="72" t="s">
        <v>254</v>
      </c>
      <c r="I2" s="72" t="s">
        <v>33</v>
      </c>
      <c r="J2" t="str">
        <f>I2</f>
        <v>Area 9: Admiralty Inlet</v>
      </c>
      <c r="K2" t="str">
        <f>IFERROR(VLOOKUP(J2,LUTs!$A$1:$C$73,2,FALSE),"NA")</f>
        <v>NA</v>
      </c>
      <c r="L2" t="str">
        <f>IFERROR(VLOOKUP(J2,LUTs!$A$1:$C$73,3,FALSE),"NA")</f>
        <v>2Central Puget Sound</v>
      </c>
      <c r="M2" s="72" t="s">
        <v>16</v>
      </c>
      <c r="N2" t="str">
        <f>VLOOKUP(M2,LUTs!E$2:H$14,3,)</f>
        <v>03Snohomish</v>
      </c>
      <c r="O2" t="str">
        <f>VLOOKUP(M2,LUTs!E$2:H$14,4,)</f>
        <v>01North Puget Sound</v>
      </c>
      <c r="P2" s="80">
        <v>7</v>
      </c>
      <c r="Q2" s="102">
        <v>7</v>
      </c>
      <c r="R2" s="74">
        <f>VLOOKUP(B2,Readme!A$40:C$52,3,)*Q2</f>
        <v>59.779999999999994</v>
      </c>
      <c r="T2" s="85" t="s">
        <v>286</v>
      </c>
      <c r="AE2" s="85" t="s">
        <v>293</v>
      </c>
    </row>
    <row r="3" spans="1:171" ht="14.15" customHeight="1" x14ac:dyDescent="0.35">
      <c r="A3" s="75">
        <v>334</v>
      </c>
      <c r="B3" s="80">
        <v>2010</v>
      </c>
      <c r="C3" s="80">
        <v>5</v>
      </c>
      <c r="D3" s="80">
        <f t="shared" si="0"/>
        <v>2010</v>
      </c>
      <c r="E3" t="s">
        <v>38</v>
      </c>
      <c r="F3" t="s">
        <v>143</v>
      </c>
      <c r="G3" t="s">
        <v>86</v>
      </c>
      <c r="H3" s="72" t="s">
        <v>254</v>
      </c>
      <c r="I3" s="72" t="s">
        <v>33</v>
      </c>
      <c r="J3" t="str">
        <f>I3</f>
        <v>Area 9: Admiralty Inlet</v>
      </c>
      <c r="K3" t="str">
        <f>IFERROR(VLOOKUP(J3,LUTs!$A$1:$C$73,2,FALSE),"NA")</f>
        <v>NA</v>
      </c>
      <c r="L3" t="str">
        <f>IFERROR(VLOOKUP(J3,LUTs!$A$1:$C$73,3,FALSE),"NA")</f>
        <v>2Central Puget Sound</v>
      </c>
      <c r="M3" s="72" t="s">
        <v>17</v>
      </c>
      <c r="N3" t="str">
        <f>VLOOKUP(M3,LUTs!E$2:H$14,3,)</f>
        <v>04Island</v>
      </c>
      <c r="O3" t="str">
        <f>VLOOKUP(M3,LUTs!E$2:H$14,4,)</f>
        <v>01North Puget Sound</v>
      </c>
      <c r="P3" s="80">
        <v>2</v>
      </c>
      <c r="Q3" s="102">
        <v>2</v>
      </c>
      <c r="R3" s="74">
        <f>VLOOKUP(B3,Readme!A$40:C$52,3,)*Q3</f>
        <v>17.079999999999998</v>
      </c>
      <c r="T3" s="87" t="s">
        <v>169</v>
      </c>
      <c r="U3" s="87"/>
      <c r="V3" s="87"/>
      <c r="W3" s="87"/>
      <c r="X3" s="87"/>
      <c r="Y3" s="87"/>
      <c r="Z3" s="87"/>
      <c r="AA3" s="87"/>
      <c r="AB3" s="87"/>
      <c r="AC3" s="87"/>
      <c r="AD3" s="87"/>
      <c r="AE3" s="87"/>
    </row>
    <row r="4" spans="1:171" ht="14.15" customHeight="1" x14ac:dyDescent="0.35">
      <c r="A4" s="75">
        <v>335</v>
      </c>
      <c r="B4" s="80">
        <v>2010</v>
      </c>
      <c r="C4" s="80">
        <v>5</v>
      </c>
      <c r="D4" s="80">
        <f t="shared" si="0"/>
        <v>2010</v>
      </c>
      <c r="E4" t="s">
        <v>38</v>
      </c>
      <c r="F4" t="s">
        <v>143</v>
      </c>
      <c r="G4" t="s">
        <v>86</v>
      </c>
      <c r="H4" s="72" t="s">
        <v>254</v>
      </c>
      <c r="I4" s="72" t="s">
        <v>33</v>
      </c>
      <c r="J4" t="str">
        <f>I4</f>
        <v>Area 9: Admiralty Inlet</v>
      </c>
      <c r="K4" t="str">
        <f>IFERROR(VLOOKUP(J4,LUTs!$A$1:$C$73,2,FALSE),"NA")</f>
        <v>NA</v>
      </c>
      <c r="L4" t="str">
        <f>IFERROR(VLOOKUP(J4,LUTs!$A$1:$C$73,3,FALSE),"NA")</f>
        <v>2Central Puget Sound</v>
      </c>
      <c r="M4" s="72" t="s">
        <v>16</v>
      </c>
      <c r="N4" t="str">
        <f>VLOOKUP(M4,LUTs!E$2:H$14,3,)</f>
        <v>03Snohomish</v>
      </c>
      <c r="O4" t="str">
        <f>VLOOKUP(M4,LUTs!E$2:H$14,4,)</f>
        <v>01North Puget Sound</v>
      </c>
      <c r="P4" s="80">
        <v>2</v>
      </c>
      <c r="Q4" s="102">
        <v>2</v>
      </c>
      <c r="R4" s="74">
        <f>VLOOKUP(B4,Readme!A$40:C$52,3,)*Q4</f>
        <v>17.079999999999998</v>
      </c>
      <c r="T4" s="88" t="s">
        <v>274</v>
      </c>
      <c r="U4" s="88">
        <v>2010</v>
      </c>
      <c r="V4" s="88">
        <v>2011</v>
      </c>
      <c r="W4" s="88">
        <v>2012</v>
      </c>
      <c r="X4" s="88">
        <v>2013</v>
      </c>
      <c r="Y4" s="88">
        <v>2014</v>
      </c>
      <c r="Z4" s="88">
        <v>2015</v>
      </c>
      <c r="AA4" s="88">
        <v>2016</v>
      </c>
      <c r="AB4" s="88">
        <v>2017</v>
      </c>
      <c r="AC4" s="88">
        <v>2018</v>
      </c>
      <c r="AD4" s="88">
        <v>2019</v>
      </c>
      <c r="AE4" s="89" t="s">
        <v>157</v>
      </c>
    </row>
    <row r="5" spans="1:171" ht="14.15" customHeight="1" x14ac:dyDescent="0.35">
      <c r="A5" s="75">
        <v>311</v>
      </c>
      <c r="B5" s="80">
        <v>2010</v>
      </c>
      <c r="C5" s="80">
        <v>6</v>
      </c>
      <c r="D5" s="80">
        <f t="shared" si="0"/>
        <v>2010</v>
      </c>
      <c r="E5" t="s">
        <v>38</v>
      </c>
      <c r="F5" t="s">
        <v>143</v>
      </c>
      <c r="G5" t="s">
        <v>86</v>
      </c>
      <c r="H5" s="72" t="s">
        <v>251</v>
      </c>
      <c r="I5" s="72" t="s">
        <v>102</v>
      </c>
      <c r="J5" t="str">
        <f>I5</f>
        <v>Canyon Creek</v>
      </c>
      <c r="K5" t="str">
        <f>IFERROR(VLOOKUP(J5,LUTs!$A$1:$C$73,2,FALSE),"NA")</f>
        <v>Snohomish</v>
      </c>
      <c r="L5" t="str">
        <f>IFERROR(VLOOKUP(J5,LUTs!$A$1:$C$73,3,FALSE),"NA")</f>
        <v>2Central Puget Sound</v>
      </c>
      <c r="M5" s="72" t="s">
        <v>16</v>
      </c>
      <c r="N5" t="str">
        <f>VLOOKUP(M5,LUTs!E$2:H$14,3,)</f>
        <v>03Snohomish</v>
      </c>
      <c r="O5" t="str">
        <f>VLOOKUP(M5,LUTs!E$2:H$14,4,)</f>
        <v>01North Puget Sound</v>
      </c>
      <c r="P5" s="80">
        <v>3</v>
      </c>
      <c r="Q5" s="102">
        <v>3</v>
      </c>
      <c r="R5" s="74">
        <f>VLOOKUP(B5,Readme!A$40:C$52,3,)*Q5</f>
        <v>25.619999999999997</v>
      </c>
      <c r="T5" s="90" t="s">
        <v>133</v>
      </c>
      <c r="U5" s="91">
        <f>Existing_Conditions!AB28</f>
        <v>604.99999999999989</v>
      </c>
      <c r="V5" s="91">
        <f>Existing_Conditions!AC28</f>
        <v>552.19047619047637</v>
      </c>
      <c r="W5" s="91">
        <f>Existing_Conditions!AD28</f>
        <v>293.13888888888891</v>
      </c>
      <c r="X5" s="91">
        <f>Existing_Conditions!AE28</f>
        <v>198.18333333333337</v>
      </c>
      <c r="Y5" s="91">
        <f>Existing_Conditions!AF28</f>
        <v>316.09090909090924</v>
      </c>
      <c r="Z5" s="91">
        <f>Existing_Conditions!AG28</f>
        <v>151.12535612535603</v>
      </c>
      <c r="AA5" s="91">
        <f>Existing_Conditions!AH28</f>
        <v>187.50000000000006</v>
      </c>
      <c r="AB5" s="91">
        <f>Existing_Conditions!AI28</f>
        <v>145.99999999999991</v>
      </c>
      <c r="AC5" s="91">
        <f>Existing_Conditions!AJ28</f>
        <v>127.5</v>
      </c>
      <c r="AD5" s="91">
        <f>Existing_Conditions!AK28</f>
        <v>16</v>
      </c>
      <c r="AE5" s="92">
        <f>SUM(U5:AD5)</f>
        <v>2592.7289636289638</v>
      </c>
    </row>
    <row r="6" spans="1:171" ht="14.15" customHeight="1" x14ac:dyDescent="0.35">
      <c r="A6" s="75">
        <v>109</v>
      </c>
      <c r="B6" s="80">
        <v>2010</v>
      </c>
      <c r="C6" s="80">
        <v>6</v>
      </c>
      <c r="D6" s="80">
        <f t="shared" si="0"/>
        <v>2010</v>
      </c>
      <c r="E6" t="s">
        <v>38</v>
      </c>
      <c r="F6" t="s">
        <v>143</v>
      </c>
      <c r="G6" t="s">
        <v>86</v>
      </c>
      <c r="H6" s="72" t="s">
        <v>217</v>
      </c>
      <c r="I6" s="72" t="s">
        <v>59</v>
      </c>
      <c r="J6" t="str">
        <f>I6</f>
        <v>Cascade River</v>
      </c>
      <c r="K6" t="str">
        <f>IFERROR(VLOOKUP(J6,LUTs!$A$1:$C$73,2,FALSE),"NA")</f>
        <v>Skagit</v>
      </c>
      <c r="L6" t="str">
        <f>IFERROR(VLOOKUP(J6,LUTs!$A$1:$C$73,3,FALSE),"NA")</f>
        <v>1North Puget Sound</v>
      </c>
      <c r="M6" s="72" t="s">
        <v>20</v>
      </c>
      <c r="N6" t="str">
        <f>VLOOKUP(M6,LUTs!E$2:H$14,3,)</f>
        <v>07Pierce</v>
      </c>
      <c r="O6" t="str">
        <f>VLOOKUP(M6,LUTs!E$2:H$14,4,)</f>
        <v>02South Puget Sound</v>
      </c>
      <c r="P6" s="80">
        <v>2</v>
      </c>
      <c r="Q6" s="102">
        <v>2</v>
      </c>
      <c r="R6" s="74">
        <f>VLOOKUP(B6,Readme!A$40:C$52,3,)*Q6</f>
        <v>17.079999999999998</v>
      </c>
      <c r="T6" s="90" t="s">
        <v>135</v>
      </c>
      <c r="U6" s="91">
        <f>Existing_Conditions!AB29</f>
        <v>640.99999999999989</v>
      </c>
      <c r="V6" s="91">
        <f>Existing_Conditions!AC29</f>
        <v>797.00000000000034</v>
      </c>
      <c r="W6" s="91">
        <f>Existing_Conditions!AD29</f>
        <v>648.22222222222194</v>
      </c>
      <c r="X6" s="91">
        <f>Existing_Conditions!AE29</f>
        <v>349.66687306501547</v>
      </c>
      <c r="Y6" s="91">
        <f>Existing_Conditions!AF29</f>
        <v>395</v>
      </c>
      <c r="Z6" s="91">
        <f>Existing_Conditions!AG29</f>
        <v>237.79432624113514</v>
      </c>
      <c r="AA6" s="91">
        <f>Existing_Conditions!AH29</f>
        <v>5</v>
      </c>
      <c r="AB6" s="91">
        <f>Existing_Conditions!AI29</f>
        <v>43</v>
      </c>
      <c r="AC6" s="91">
        <f>Existing_Conditions!AJ29</f>
        <v>141</v>
      </c>
      <c r="AD6" s="91">
        <f>Existing_Conditions!AK29</f>
        <v>13</v>
      </c>
      <c r="AE6" s="92">
        <f t="shared" ref="AE6:AE10" si="1">SUM(U6:AD6)</f>
        <v>3270.6834215283725</v>
      </c>
    </row>
    <row r="7" spans="1:171" ht="14.15" customHeight="1" x14ac:dyDescent="0.35">
      <c r="A7" s="75">
        <v>17</v>
      </c>
      <c r="B7" s="80">
        <v>2010</v>
      </c>
      <c r="C7" s="80">
        <v>6</v>
      </c>
      <c r="D7" s="80">
        <f t="shared" si="0"/>
        <v>2010</v>
      </c>
      <c r="E7" t="s">
        <v>38</v>
      </c>
      <c r="F7" t="s">
        <v>143</v>
      </c>
      <c r="G7" t="s">
        <v>86</v>
      </c>
      <c r="H7" s="72" t="s">
        <v>203</v>
      </c>
      <c r="I7" s="72" t="s">
        <v>89</v>
      </c>
      <c r="J7" s="84" t="s">
        <v>45</v>
      </c>
      <c r="K7" t="str">
        <f>IFERROR(VLOOKUP(J7,LUTs!$A$1:$C$73,2,FALSE),"NA")</f>
        <v>King</v>
      </c>
      <c r="L7" t="str">
        <f>IFERROR(VLOOKUP(J7,LUTs!$A$1:$C$73,3,FALSE),"NA")</f>
        <v>3South Puget Sound</v>
      </c>
      <c r="M7" s="72" t="s">
        <v>18</v>
      </c>
      <c r="N7" t="str">
        <f>VLOOKUP(M7,LUTs!E$2:H$14,3,)</f>
        <v>06King</v>
      </c>
      <c r="O7" t="str">
        <f>VLOOKUP(M7,LUTs!E$2:H$14,4,)</f>
        <v>02South Puget Sound</v>
      </c>
      <c r="P7" s="80">
        <v>61.285714285714299</v>
      </c>
      <c r="Q7" s="102">
        <v>61.285714285714299</v>
      </c>
      <c r="R7" s="74">
        <f>VLOOKUP(B7,Readme!A$40:C$52,3,)*Q7</f>
        <v>523.38000000000011</v>
      </c>
      <c r="T7" s="90" t="s">
        <v>137</v>
      </c>
      <c r="U7" s="91">
        <f>Existing_Conditions!AB30</f>
        <v>4790.0000000000018</v>
      </c>
      <c r="V7" s="91">
        <f>Existing_Conditions!AC30</f>
        <v>6568.0999999999995</v>
      </c>
      <c r="W7" s="91">
        <f>Existing_Conditions!AD30</f>
        <v>9468.8482645131917</v>
      </c>
      <c r="X7" s="91">
        <f>Existing_Conditions!AE30</f>
        <v>7870.6118721461216</v>
      </c>
      <c r="Y7" s="91">
        <f>Existing_Conditions!AF30</f>
        <v>6386.8183268983294</v>
      </c>
      <c r="Z7" s="91">
        <f>Existing_Conditions!AG30</f>
        <v>4915.1642634367254</v>
      </c>
      <c r="AA7" s="91">
        <f>Existing_Conditions!AH30</f>
        <v>3024.1722222222234</v>
      </c>
      <c r="AB7" s="91">
        <f>Existing_Conditions!AI30</f>
        <v>3772.8333333333339</v>
      </c>
      <c r="AC7" s="91">
        <f>Existing_Conditions!AJ30</f>
        <v>4152.6465677179976</v>
      </c>
      <c r="AD7" s="91">
        <f>Existing_Conditions!AK30</f>
        <v>400</v>
      </c>
      <c r="AE7" s="92">
        <f t="shared" si="1"/>
        <v>51349.194850267922</v>
      </c>
    </row>
    <row r="8" spans="1:171" ht="14.15" customHeight="1" x14ac:dyDescent="0.35">
      <c r="A8" s="75">
        <v>18</v>
      </c>
      <c r="B8" s="80">
        <v>2010</v>
      </c>
      <c r="C8" s="80">
        <v>6</v>
      </c>
      <c r="D8" s="80">
        <f t="shared" si="0"/>
        <v>2010</v>
      </c>
      <c r="E8" t="s">
        <v>38</v>
      </c>
      <c r="F8" t="s">
        <v>143</v>
      </c>
      <c r="G8" t="s">
        <v>86</v>
      </c>
      <c r="H8" s="72" t="s">
        <v>203</v>
      </c>
      <c r="I8" s="72" t="s">
        <v>89</v>
      </c>
      <c r="J8" s="84" t="s">
        <v>45</v>
      </c>
      <c r="K8" t="str">
        <f>IFERROR(VLOOKUP(J8,LUTs!$A$1:$C$73,2,FALSE),"NA")</f>
        <v>King</v>
      </c>
      <c r="L8" t="str">
        <f>IFERROR(VLOOKUP(J8,LUTs!$A$1:$C$73,3,FALSE),"NA")</f>
        <v>3South Puget Sound</v>
      </c>
      <c r="M8" s="72" t="s">
        <v>20</v>
      </c>
      <c r="N8" t="str">
        <f>VLOOKUP(M8,LUTs!E$2:H$14,3,)</f>
        <v>07Pierce</v>
      </c>
      <c r="O8" t="str">
        <f>VLOOKUP(M8,LUTs!E$2:H$14,4,)</f>
        <v>02South Puget Sound</v>
      </c>
      <c r="P8" s="80">
        <v>3.71428571428571</v>
      </c>
      <c r="Q8" s="102">
        <v>3.71428571428571</v>
      </c>
      <c r="R8" s="74">
        <f>VLOOKUP(B8,Readme!A$40:C$52,3,)*Q8</f>
        <v>31.71999999999996</v>
      </c>
      <c r="T8" s="90" t="s">
        <v>139</v>
      </c>
      <c r="U8" s="91">
        <f>Existing_Conditions!AB31</f>
        <v>522.00000000000045</v>
      </c>
      <c r="V8" s="91">
        <f>Existing_Conditions!AC31</f>
        <v>583.00000000000011</v>
      </c>
      <c r="W8" s="91">
        <f>Existing_Conditions!AD31</f>
        <v>733.00000000000023</v>
      </c>
      <c r="X8" s="91">
        <f>Existing_Conditions!AE31</f>
        <v>867</v>
      </c>
      <c r="Y8" s="91">
        <f>Existing_Conditions!AF31</f>
        <v>242.49999999999997</v>
      </c>
      <c r="Z8" s="91">
        <f>Existing_Conditions!AG31</f>
        <v>152.07692307692315</v>
      </c>
      <c r="AA8" s="91">
        <f>Existing_Conditions!AH31</f>
        <v>167</v>
      </c>
      <c r="AB8" s="91">
        <f>Existing_Conditions!AI31</f>
        <v>360.00000000000023</v>
      </c>
      <c r="AC8" s="91">
        <f>Existing_Conditions!AJ31</f>
        <v>5</v>
      </c>
      <c r="AD8" s="91">
        <f>Existing_Conditions!AK31</f>
        <v>340</v>
      </c>
      <c r="AE8" s="92">
        <f t="shared" si="1"/>
        <v>3971.5769230769247</v>
      </c>
    </row>
    <row r="9" spans="1:171" ht="14.15" customHeight="1" x14ac:dyDescent="0.35">
      <c r="A9" s="75">
        <v>60</v>
      </c>
      <c r="B9" s="80">
        <v>2010</v>
      </c>
      <c r="C9" s="80">
        <v>6</v>
      </c>
      <c r="D9" s="80">
        <f t="shared" si="0"/>
        <v>2010</v>
      </c>
      <c r="E9" t="s">
        <v>38</v>
      </c>
      <c r="F9" t="s">
        <v>143</v>
      </c>
      <c r="G9" t="s">
        <v>86</v>
      </c>
      <c r="H9" s="72" t="s">
        <v>237</v>
      </c>
      <c r="I9" s="72" t="s">
        <v>79</v>
      </c>
      <c r="J9" t="str">
        <f t="shared" ref="J9:J29" si="2">I9</f>
        <v>Lyre River</v>
      </c>
      <c r="K9" t="str">
        <f>IFERROR(VLOOKUP(J9,LUTs!$A$1:$C$73,2,FALSE),"NA")</f>
        <v>Clallam</v>
      </c>
      <c r="L9" t="str">
        <f>IFERROR(VLOOKUP(J9,LUTs!$A$1:$C$73,3,FALSE),"NA")</f>
        <v>0Strait of Juan de Fuca</v>
      </c>
      <c r="M9" s="72" t="s">
        <v>24</v>
      </c>
      <c r="N9" t="str">
        <f>VLOOKUP(M9,LUTs!E$2:H$14,3,)</f>
        <v>11Clallam</v>
      </c>
      <c r="O9" t="str">
        <f>VLOOKUP(M9,LUTs!E$2:H$14,4,)</f>
        <v>03Strait of Juan de Fuca</v>
      </c>
      <c r="P9" s="80">
        <v>12</v>
      </c>
      <c r="Q9" s="102">
        <v>12</v>
      </c>
      <c r="R9" s="74">
        <f>VLOOKUP(B9,Readme!A$40:C$52,3,)*Q9</f>
        <v>102.47999999999999</v>
      </c>
      <c r="T9" s="90" t="s">
        <v>141</v>
      </c>
      <c r="U9" s="91">
        <f>Existing_Conditions!AB32</f>
        <v>0</v>
      </c>
      <c r="V9" s="91">
        <f>Existing_Conditions!AC32</f>
        <v>0</v>
      </c>
      <c r="W9" s="91">
        <f>Existing_Conditions!AD32</f>
        <v>0</v>
      </c>
      <c r="X9" s="91">
        <f>Existing_Conditions!AE32</f>
        <v>0</v>
      </c>
      <c r="Y9" s="91">
        <f>Existing_Conditions!AF32</f>
        <v>0</v>
      </c>
      <c r="Z9" s="91">
        <f>Existing_Conditions!AG32</f>
        <v>0</v>
      </c>
      <c r="AA9" s="91">
        <f>Existing_Conditions!AH32</f>
        <v>0</v>
      </c>
      <c r="AB9" s="91">
        <f>Existing_Conditions!AI32</f>
        <v>0</v>
      </c>
      <c r="AC9" s="91">
        <f>Existing_Conditions!AJ32</f>
        <v>0</v>
      </c>
      <c r="AD9" s="91">
        <f>Existing_Conditions!AK32</f>
        <v>0</v>
      </c>
      <c r="AE9" s="92">
        <f t="shared" ref="AE9" si="3">SUM(U9:AD9)</f>
        <v>0</v>
      </c>
    </row>
    <row r="10" spans="1:171" ht="14.15" customHeight="1" x14ac:dyDescent="0.35">
      <c r="A10" s="75">
        <v>169</v>
      </c>
      <c r="B10" s="80">
        <v>2010</v>
      </c>
      <c r="C10" s="80">
        <v>6</v>
      </c>
      <c r="D10" s="80">
        <f t="shared" si="0"/>
        <v>2010</v>
      </c>
      <c r="E10" t="s">
        <v>38</v>
      </c>
      <c r="F10" t="s">
        <v>143</v>
      </c>
      <c r="G10" t="s">
        <v>86</v>
      </c>
      <c r="H10" s="72" t="s">
        <v>246</v>
      </c>
      <c r="I10" s="72" t="s">
        <v>97</v>
      </c>
      <c r="J10" t="str">
        <f t="shared" si="2"/>
        <v>Raging River</v>
      </c>
      <c r="K10" t="str">
        <f>IFERROR(VLOOKUP(J10,LUTs!$A$1:$C$73,2,FALSE),"NA")</f>
        <v>King</v>
      </c>
      <c r="L10" t="str">
        <f>IFERROR(VLOOKUP(J10,LUTs!$A$1:$C$73,3,FALSE),"NA")</f>
        <v>2Central Puget Sound</v>
      </c>
      <c r="M10" s="72" t="s">
        <v>18</v>
      </c>
      <c r="N10" t="str">
        <f>VLOOKUP(M10,LUTs!E$2:H$14,3,)</f>
        <v>06King</v>
      </c>
      <c r="O10" t="str">
        <f>VLOOKUP(M10,LUTs!E$2:H$14,4,)</f>
        <v>02South Puget Sound</v>
      </c>
      <c r="P10" s="80">
        <v>3</v>
      </c>
      <c r="Q10" s="102">
        <v>3</v>
      </c>
      <c r="R10" s="74">
        <f>VLOOKUP(B10,Readme!A$40:C$52,3,)*Q10</f>
        <v>25.619999999999997</v>
      </c>
      <c r="T10" s="93" t="s">
        <v>157</v>
      </c>
      <c r="U10" s="94">
        <f>SUM(U5:U9)</f>
        <v>6558.0000000000018</v>
      </c>
      <c r="V10" s="94">
        <f t="shared" ref="V10:AD10" si="4">SUM(V5:V9)</f>
        <v>8500.2904761904756</v>
      </c>
      <c r="W10" s="94">
        <f t="shared" si="4"/>
        <v>11143.209375624303</v>
      </c>
      <c r="X10" s="94">
        <f t="shared" si="4"/>
        <v>9285.4620785444713</v>
      </c>
      <c r="Y10" s="94">
        <f t="shared" si="4"/>
        <v>7340.4092359892384</v>
      </c>
      <c r="Z10" s="94">
        <f t="shared" si="4"/>
        <v>5456.1608688801398</v>
      </c>
      <c r="AA10" s="94">
        <f t="shared" si="4"/>
        <v>3383.6722222222234</v>
      </c>
      <c r="AB10" s="94">
        <f t="shared" si="4"/>
        <v>4321.8333333333339</v>
      </c>
      <c r="AC10" s="94">
        <f t="shared" si="4"/>
        <v>4426.1465677179976</v>
      </c>
      <c r="AD10" s="94">
        <f t="shared" si="4"/>
        <v>769</v>
      </c>
      <c r="AE10" s="94">
        <f t="shared" si="1"/>
        <v>61184.184158502183</v>
      </c>
    </row>
    <row r="11" spans="1:171" ht="14.15" customHeight="1" x14ac:dyDescent="0.35">
      <c r="A11" s="75">
        <v>170</v>
      </c>
      <c r="B11" s="80">
        <v>2010</v>
      </c>
      <c r="C11" s="80">
        <v>6</v>
      </c>
      <c r="D11" s="80">
        <f t="shared" si="0"/>
        <v>2010</v>
      </c>
      <c r="E11" t="s">
        <v>38</v>
      </c>
      <c r="F11" t="s">
        <v>143</v>
      </c>
      <c r="G11" t="s">
        <v>86</v>
      </c>
      <c r="H11" s="72" t="s">
        <v>246</v>
      </c>
      <c r="I11" s="72" t="s">
        <v>97</v>
      </c>
      <c r="J11" t="str">
        <f t="shared" si="2"/>
        <v>Raging River</v>
      </c>
      <c r="K11" t="str">
        <f>IFERROR(VLOOKUP(J11,LUTs!$A$1:$C$73,2,FALSE),"NA")</f>
        <v>King</v>
      </c>
      <c r="L11" t="str">
        <f>IFERROR(VLOOKUP(J11,LUTs!$A$1:$C$73,3,FALSE),"NA")</f>
        <v>2Central Puget Sound</v>
      </c>
      <c r="M11" s="72" t="s">
        <v>16</v>
      </c>
      <c r="N11" t="str">
        <f>VLOOKUP(M11,LUTs!E$2:H$14,3,)</f>
        <v>03Snohomish</v>
      </c>
      <c r="O11" t="str">
        <f>VLOOKUP(M11,LUTs!E$2:H$14,4,)</f>
        <v>01North Puget Sound</v>
      </c>
      <c r="P11" s="80">
        <v>3</v>
      </c>
      <c r="Q11" s="102">
        <v>3</v>
      </c>
      <c r="R11" s="74">
        <f>VLOOKUP(B11,Readme!A$40:C$52,3,)*Q11</f>
        <v>25.619999999999997</v>
      </c>
    </row>
    <row r="12" spans="1:171" ht="14.15" customHeight="1" x14ac:dyDescent="0.35">
      <c r="A12" s="75">
        <v>142</v>
      </c>
      <c r="B12" s="80">
        <v>2010</v>
      </c>
      <c r="C12" s="80">
        <v>6</v>
      </c>
      <c r="D12" s="80">
        <f t="shared" si="0"/>
        <v>2010</v>
      </c>
      <c r="E12" t="s">
        <v>38</v>
      </c>
      <c r="F12" t="s">
        <v>143</v>
      </c>
      <c r="G12" t="s">
        <v>86</v>
      </c>
      <c r="H12" s="72" t="s">
        <v>245</v>
      </c>
      <c r="I12" s="72" t="s">
        <v>96</v>
      </c>
      <c r="J12" t="str">
        <f t="shared" si="2"/>
        <v>Sauk River</v>
      </c>
      <c r="K12" t="str">
        <f>IFERROR(VLOOKUP(J12,LUTs!$A$1:$C$73,2,FALSE),"NA")</f>
        <v>Skagit/Snohomish</v>
      </c>
      <c r="L12" t="str">
        <f>IFERROR(VLOOKUP(J12,LUTs!$A$1:$C$73,3,FALSE),"NA")</f>
        <v>2Central Puget Sound</v>
      </c>
      <c r="M12" s="72" t="s">
        <v>16</v>
      </c>
      <c r="N12" t="str">
        <f>VLOOKUP(M12,LUTs!E$2:H$14,3,)</f>
        <v>03Snohomish</v>
      </c>
      <c r="O12" t="str">
        <f>VLOOKUP(M12,LUTs!E$2:H$14,4,)</f>
        <v>01North Puget Sound</v>
      </c>
      <c r="P12" s="80">
        <v>2</v>
      </c>
      <c r="Q12" s="102">
        <v>2</v>
      </c>
      <c r="R12" s="74">
        <f>VLOOKUP(B12,Readme!A$40:C$52,3,)*Q12</f>
        <v>17.079999999999998</v>
      </c>
      <c r="T12" s="85" t="s">
        <v>296</v>
      </c>
      <c r="U12"/>
      <c r="AG12" s="85" t="s">
        <v>296</v>
      </c>
    </row>
    <row r="13" spans="1:171" ht="14.15" customHeight="1" x14ac:dyDescent="0.35">
      <c r="A13" s="75">
        <v>178</v>
      </c>
      <c r="B13" s="80">
        <v>2010</v>
      </c>
      <c r="C13" s="80">
        <v>6</v>
      </c>
      <c r="D13" s="80">
        <f t="shared" si="0"/>
        <v>2010</v>
      </c>
      <c r="E13" t="s">
        <v>38</v>
      </c>
      <c r="F13" t="s">
        <v>143</v>
      </c>
      <c r="G13" t="s">
        <v>86</v>
      </c>
      <c r="H13" s="72" t="s">
        <v>220</v>
      </c>
      <c r="I13" s="72" t="s">
        <v>62</v>
      </c>
      <c r="J13" t="str">
        <f t="shared" si="2"/>
        <v>Skykomish River</v>
      </c>
      <c r="K13" t="str">
        <f>IFERROR(VLOOKUP(J13,LUTs!$A$1:$C$73,2,FALSE),"NA")</f>
        <v>Snohomish</v>
      </c>
      <c r="L13" t="str">
        <f>IFERROR(VLOOKUP(J13,LUTs!$A$1:$C$73,3,FALSE),"NA")</f>
        <v>2Central Puget Sound</v>
      </c>
      <c r="M13" s="72" t="s">
        <v>17</v>
      </c>
      <c r="N13" t="str">
        <f>VLOOKUP(M13,LUTs!E$2:H$14,3,)</f>
        <v>04Island</v>
      </c>
      <c r="O13" t="str">
        <f>VLOOKUP(M13,LUTs!E$2:H$14,4,)</f>
        <v>01North Puget Sound</v>
      </c>
      <c r="P13" s="80">
        <v>2.8467966573816201</v>
      </c>
      <c r="Q13" s="102">
        <v>2.8467966573816201</v>
      </c>
      <c r="R13" s="74">
        <f>VLOOKUP(B13,Readme!A$40:C$52,3,)*Q13</f>
        <v>24.311643454039032</v>
      </c>
      <c r="T13" s="15" t="s">
        <v>292</v>
      </c>
      <c r="U13"/>
      <c r="V13"/>
      <c r="AG13" s="15" t="s">
        <v>297</v>
      </c>
      <c r="AH13"/>
      <c r="AI13"/>
      <c r="AR13" s="85"/>
    </row>
    <row r="14" spans="1:171" ht="14.15" customHeight="1" x14ac:dyDescent="0.35">
      <c r="A14" s="75">
        <v>179</v>
      </c>
      <c r="B14" s="80">
        <v>2010</v>
      </c>
      <c r="C14" s="80">
        <v>6</v>
      </c>
      <c r="D14" s="80">
        <f t="shared" si="0"/>
        <v>2010</v>
      </c>
      <c r="E14" t="s">
        <v>38</v>
      </c>
      <c r="F14" t="s">
        <v>143</v>
      </c>
      <c r="G14" t="s">
        <v>86</v>
      </c>
      <c r="H14" s="72" t="s">
        <v>220</v>
      </c>
      <c r="I14" s="72" t="s">
        <v>62</v>
      </c>
      <c r="J14" t="str">
        <f t="shared" si="2"/>
        <v>Skykomish River</v>
      </c>
      <c r="K14" t="str">
        <f>IFERROR(VLOOKUP(J14,LUTs!$A$1:$C$73,2,FALSE),"NA")</f>
        <v>Snohomish</v>
      </c>
      <c r="L14" t="str">
        <f>IFERROR(VLOOKUP(J14,LUTs!$A$1:$C$73,3,FALSE),"NA")</f>
        <v>2Central Puget Sound</v>
      </c>
      <c r="M14" s="72" t="s">
        <v>18</v>
      </c>
      <c r="N14" t="str">
        <f>VLOOKUP(M14,LUTs!E$2:H$14,3,)</f>
        <v>06King</v>
      </c>
      <c r="O14" t="str">
        <f>VLOOKUP(M14,LUTs!E$2:H$14,4,)</f>
        <v>02South Puget Sound</v>
      </c>
      <c r="P14" s="80">
        <v>412.78551532033401</v>
      </c>
      <c r="Q14" s="102">
        <v>412.78551532033401</v>
      </c>
      <c r="R14" s="74">
        <f>VLOOKUP(B14,Readme!A$40:C$52,3,)*Q14</f>
        <v>3525.1883008356522</v>
      </c>
      <c r="T14" s="45" t="s">
        <v>291</v>
      </c>
      <c r="U14" s="45" t="s">
        <v>275</v>
      </c>
      <c r="V14"/>
      <c r="W14"/>
      <c r="X14"/>
      <c r="Y14"/>
      <c r="Z14"/>
      <c r="AA14"/>
      <c r="AB14"/>
      <c r="AC14"/>
      <c r="AD14"/>
      <c r="AE14"/>
      <c r="AF14"/>
      <c r="AG14" s="45" t="s">
        <v>278</v>
      </c>
      <c r="AH14" s="45" t="s">
        <v>275</v>
      </c>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row>
    <row r="15" spans="1:171" ht="14.5" x14ac:dyDescent="0.35">
      <c r="A15" s="75">
        <v>180</v>
      </c>
      <c r="B15" s="80">
        <v>2010</v>
      </c>
      <c r="C15" s="80">
        <v>6</v>
      </c>
      <c r="D15" s="80">
        <f t="shared" si="0"/>
        <v>2010</v>
      </c>
      <c r="E15" t="s">
        <v>38</v>
      </c>
      <c r="F15" t="s">
        <v>143</v>
      </c>
      <c r="G15" t="s">
        <v>86</v>
      </c>
      <c r="H15" s="72" t="s">
        <v>220</v>
      </c>
      <c r="I15" s="72" t="s">
        <v>62</v>
      </c>
      <c r="J15" t="str">
        <f t="shared" si="2"/>
        <v>Skykomish River</v>
      </c>
      <c r="K15" t="str">
        <f>IFERROR(VLOOKUP(J15,LUTs!$A$1:$C$73,2,FALSE),"NA")</f>
        <v>Snohomish</v>
      </c>
      <c r="L15" t="str">
        <f>IFERROR(VLOOKUP(J15,LUTs!$A$1:$C$73,3,FALSE),"NA")</f>
        <v>2Central Puget Sound</v>
      </c>
      <c r="M15" s="72" t="s">
        <v>26</v>
      </c>
      <c r="N15" t="str">
        <f>VLOOKUP(M15,LUTs!E$2:H$14,3,)</f>
        <v>20Other</v>
      </c>
      <c r="O15" t="str">
        <f>VLOOKUP(M15,LUTs!E$2:H$14,4,)</f>
        <v>07Non Puget Sound</v>
      </c>
      <c r="P15" s="80">
        <v>28.467966573816199</v>
      </c>
      <c r="Q15" s="102">
        <v>28.467966573816199</v>
      </c>
      <c r="R15" s="74">
        <f>VLOOKUP(B15,Readme!A$40:C$52,3,)*Q15</f>
        <v>243.11643454039032</v>
      </c>
      <c r="T15" s="45" t="s">
        <v>274</v>
      </c>
      <c r="U15" s="99">
        <v>2010</v>
      </c>
      <c r="V15" s="99">
        <v>2011</v>
      </c>
      <c r="W15" s="99">
        <v>2012</v>
      </c>
      <c r="X15" s="99">
        <v>2013</v>
      </c>
      <c r="Y15" s="99">
        <v>2014</v>
      </c>
      <c r="Z15" s="99">
        <v>2015</v>
      </c>
      <c r="AA15" s="99">
        <v>2016</v>
      </c>
      <c r="AB15" s="99">
        <v>2017</v>
      </c>
      <c r="AC15" s="99">
        <v>2018</v>
      </c>
      <c r="AD15" s="99">
        <v>2019</v>
      </c>
      <c r="AE15" s="100" t="s">
        <v>157</v>
      </c>
      <c r="AF15"/>
      <c r="AG15" s="45" t="s">
        <v>274</v>
      </c>
      <c r="AH15" s="99">
        <v>2010</v>
      </c>
      <c r="AI15" s="99">
        <v>2011</v>
      </c>
      <c r="AJ15" s="99">
        <v>2012</v>
      </c>
      <c r="AK15" s="99">
        <v>2013</v>
      </c>
      <c r="AL15" s="99">
        <v>2014</v>
      </c>
      <c r="AM15" s="99">
        <v>2015</v>
      </c>
      <c r="AN15" s="99">
        <v>2016</v>
      </c>
      <c r="AO15" s="99">
        <v>2017</v>
      </c>
      <c r="AP15" s="99">
        <v>2018</v>
      </c>
      <c r="AQ15" s="99">
        <v>2019</v>
      </c>
      <c r="AR15" s="100" t="s">
        <v>157</v>
      </c>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row>
    <row r="16" spans="1:171" ht="14.5" x14ac:dyDescent="0.35">
      <c r="A16" s="75">
        <v>181</v>
      </c>
      <c r="B16" s="80">
        <v>2010</v>
      </c>
      <c r="C16" s="80">
        <v>6</v>
      </c>
      <c r="D16" s="80">
        <f t="shared" si="0"/>
        <v>2010</v>
      </c>
      <c r="E16" t="s">
        <v>38</v>
      </c>
      <c r="F16" t="s">
        <v>143</v>
      </c>
      <c r="G16" t="s">
        <v>86</v>
      </c>
      <c r="H16" s="72" t="s">
        <v>220</v>
      </c>
      <c r="I16" s="72" t="s">
        <v>62</v>
      </c>
      <c r="J16" t="str">
        <f t="shared" si="2"/>
        <v>Skykomish River</v>
      </c>
      <c r="K16" t="str">
        <f>IFERROR(VLOOKUP(J16,LUTs!$A$1:$C$73,2,FALSE),"NA")</f>
        <v>Snohomish</v>
      </c>
      <c r="L16" t="str">
        <f>IFERROR(VLOOKUP(J16,LUTs!$A$1:$C$73,3,FALSE),"NA")</f>
        <v>2Central Puget Sound</v>
      </c>
      <c r="M16" s="72" t="s">
        <v>20</v>
      </c>
      <c r="N16" t="str">
        <f>VLOOKUP(M16,LUTs!E$2:H$14,3,)</f>
        <v>07Pierce</v>
      </c>
      <c r="O16" t="str">
        <f>VLOOKUP(M16,LUTs!E$2:H$14,4,)</f>
        <v>02South Puget Sound</v>
      </c>
      <c r="P16" s="80">
        <v>17.080779944289699</v>
      </c>
      <c r="Q16" s="102">
        <v>17.080779944289699</v>
      </c>
      <c r="R16" s="74">
        <f>VLOOKUP(B16,Readme!A$40:C$52,3,)*Q16</f>
        <v>145.869860724234</v>
      </c>
      <c r="T16" s="59" t="s">
        <v>133</v>
      </c>
      <c r="U16" s="53">
        <v>737</v>
      </c>
      <c r="V16" s="53">
        <v>548.00000000000011</v>
      </c>
      <c r="W16" s="53">
        <v>365</v>
      </c>
      <c r="X16" s="53">
        <v>171.00000000000003</v>
      </c>
      <c r="Y16" s="53">
        <v>387.00000000000017</v>
      </c>
      <c r="Z16" s="53">
        <v>181.99999999999989</v>
      </c>
      <c r="AA16" s="53">
        <v>175.00000000000003</v>
      </c>
      <c r="AB16" s="53">
        <v>212.99999999999991</v>
      </c>
      <c r="AC16" s="53">
        <v>86</v>
      </c>
      <c r="AD16" s="53">
        <v>9</v>
      </c>
      <c r="AE16" s="53">
        <v>2873</v>
      </c>
      <c r="AF16"/>
      <c r="AG16" s="59" t="s">
        <v>133</v>
      </c>
      <c r="AH16" s="53">
        <v>7615.3000000000011</v>
      </c>
      <c r="AI16" s="53">
        <v>9014.2500000000055</v>
      </c>
      <c r="AJ16" s="53">
        <v>4688.6700000000019</v>
      </c>
      <c r="AK16" s="53">
        <v>2110.9899999999998</v>
      </c>
      <c r="AL16" s="53">
        <v>4976.6499999999996</v>
      </c>
      <c r="AM16" s="53">
        <v>2885.6099999999979</v>
      </c>
      <c r="AN16" s="53">
        <v>1694.7</v>
      </c>
      <c r="AO16" s="53">
        <v>3130.3299999999981</v>
      </c>
      <c r="AP16" s="53">
        <v>1084.79</v>
      </c>
      <c r="AQ16" s="53">
        <v>166.95</v>
      </c>
      <c r="AR16" s="53">
        <v>37368.239999999998</v>
      </c>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row>
    <row r="17" spans="1:171" ht="14.5" x14ac:dyDescent="0.35">
      <c r="A17" s="75">
        <v>182</v>
      </c>
      <c r="B17" s="80">
        <v>2010</v>
      </c>
      <c r="C17" s="80">
        <v>6</v>
      </c>
      <c r="D17" s="80">
        <f t="shared" si="0"/>
        <v>2010</v>
      </c>
      <c r="E17" t="s">
        <v>38</v>
      </c>
      <c r="F17" t="s">
        <v>143</v>
      </c>
      <c r="G17" t="s">
        <v>86</v>
      </c>
      <c r="H17" s="72" t="s">
        <v>220</v>
      </c>
      <c r="I17" s="72" t="s">
        <v>62</v>
      </c>
      <c r="J17" t="str">
        <f t="shared" si="2"/>
        <v>Skykomish River</v>
      </c>
      <c r="K17" t="str">
        <f>IFERROR(VLOOKUP(J17,LUTs!$A$1:$C$73,2,FALSE),"NA")</f>
        <v>Snohomish</v>
      </c>
      <c r="L17" t="str">
        <f>IFERROR(VLOOKUP(J17,LUTs!$A$1:$C$73,3,FALSE),"NA")</f>
        <v>2Central Puget Sound</v>
      </c>
      <c r="M17" s="72" t="s">
        <v>15</v>
      </c>
      <c r="N17" t="str">
        <f>VLOOKUP(M17,LUTs!E$2:H$14,3,)</f>
        <v>02Skagit</v>
      </c>
      <c r="O17" t="str">
        <f>VLOOKUP(M17,LUTs!E$2:H$14,4,)</f>
        <v>01North Puget Sound</v>
      </c>
      <c r="P17" s="80">
        <v>5.6935933147632296</v>
      </c>
      <c r="Q17" s="102">
        <v>5.6935933147632296</v>
      </c>
      <c r="R17" s="74">
        <f>VLOOKUP(B17,Readme!A$40:C$52,3,)*Q17</f>
        <v>48.623286908077979</v>
      </c>
      <c r="T17" s="59" t="s">
        <v>135</v>
      </c>
      <c r="U17" s="53">
        <v>781</v>
      </c>
      <c r="V17" s="53">
        <v>1094.0000000000002</v>
      </c>
      <c r="W17" s="53">
        <v>454.99999999999994</v>
      </c>
      <c r="X17" s="53">
        <v>329.99999999999994</v>
      </c>
      <c r="Y17" s="53">
        <v>490.0000000000004</v>
      </c>
      <c r="Z17" s="53">
        <v>129.00000000000006</v>
      </c>
      <c r="AA17" s="53">
        <v>5</v>
      </c>
      <c r="AB17" s="53">
        <v>179</v>
      </c>
      <c r="AC17" s="53">
        <v>48</v>
      </c>
      <c r="AD17" s="53">
        <v>13</v>
      </c>
      <c r="AE17" s="53">
        <v>3524.0000000000005</v>
      </c>
      <c r="AF17"/>
      <c r="AG17" s="59" t="s">
        <v>135</v>
      </c>
      <c r="AH17" s="53">
        <v>8071.1400000000012</v>
      </c>
      <c r="AI17" s="53">
        <v>15989.400000000005</v>
      </c>
      <c r="AJ17" s="53">
        <v>6107.9199999999983</v>
      </c>
      <c r="AK17" s="53">
        <v>4269.6499999999996</v>
      </c>
      <c r="AL17" s="53">
        <v>6987.400000000006</v>
      </c>
      <c r="AM17" s="53">
        <v>1712.2700000000009</v>
      </c>
      <c r="AN17" s="53">
        <v>42.699999999999996</v>
      </c>
      <c r="AO17" s="53">
        <v>1959.0900000000001</v>
      </c>
      <c r="AP17" s="53">
        <v>680.18999999999994</v>
      </c>
      <c r="AQ17" s="53">
        <v>241.15000000000003</v>
      </c>
      <c r="AR17" s="53">
        <v>46060.910000000025</v>
      </c>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row>
    <row r="18" spans="1:171" ht="14.5" x14ac:dyDescent="0.35">
      <c r="A18" s="75">
        <v>183</v>
      </c>
      <c r="B18" s="80">
        <v>2010</v>
      </c>
      <c r="C18" s="80">
        <v>6</v>
      </c>
      <c r="D18" s="80">
        <f t="shared" si="0"/>
        <v>2010</v>
      </c>
      <c r="E18" t="s">
        <v>38</v>
      </c>
      <c r="F18" t="s">
        <v>143</v>
      </c>
      <c r="G18" t="s">
        <v>86</v>
      </c>
      <c r="H18" s="72" t="s">
        <v>220</v>
      </c>
      <c r="I18" s="72" t="s">
        <v>62</v>
      </c>
      <c r="J18" t="str">
        <f t="shared" si="2"/>
        <v>Skykomish River</v>
      </c>
      <c r="K18" t="str">
        <f>IFERROR(VLOOKUP(J18,LUTs!$A$1:$C$73,2,FALSE),"NA")</f>
        <v>Snohomish</v>
      </c>
      <c r="L18" t="str">
        <f>IFERROR(VLOOKUP(J18,LUTs!$A$1:$C$73,3,FALSE),"NA")</f>
        <v>2Central Puget Sound</v>
      </c>
      <c r="M18" s="72" t="s">
        <v>16</v>
      </c>
      <c r="N18" t="str">
        <f>VLOOKUP(M18,LUTs!E$2:H$14,3,)</f>
        <v>03Snohomish</v>
      </c>
      <c r="O18" t="str">
        <f>VLOOKUP(M18,LUTs!E$2:H$14,4,)</f>
        <v>01North Puget Sound</v>
      </c>
      <c r="P18" s="80">
        <v>552.27855153203302</v>
      </c>
      <c r="Q18" s="102">
        <v>552.27855153203302</v>
      </c>
      <c r="R18" s="74">
        <f>VLOOKUP(B18,Readme!A$40:C$52,3,)*Q18</f>
        <v>4716.4588300835612</v>
      </c>
      <c r="T18" s="59" t="s">
        <v>137</v>
      </c>
      <c r="U18" s="53">
        <v>5618.0000000000036</v>
      </c>
      <c r="V18" s="53">
        <v>8094.0000000000009</v>
      </c>
      <c r="W18" s="53">
        <v>8929</v>
      </c>
      <c r="X18" s="53">
        <v>7773.0000000000036</v>
      </c>
      <c r="Y18" s="53">
        <v>7076.9999999999982</v>
      </c>
      <c r="Z18" s="53">
        <v>4670.0000000000018</v>
      </c>
      <c r="AA18" s="53">
        <v>2144</v>
      </c>
      <c r="AB18" s="53">
        <v>4891.0000000000009</v>
      </c>
      <c r="AC18" s="53">
        <v>3137.0000000000018</v>
      </c>
      <c r="AD18" s="53">
        <v>329</v>
      </c>
      <c r="AE18" s="53">
        <v>52662.000000000007</v>
      </c>
      <c r="AF18"/>
      <c r="AG18" s="59" t="s">
        <v>137</v>
      </c>
      <c r="AH18" s="53">
        <v>55755.49000000002</v>
      </c>
      <c r="AI18" s="53">
        <v>128482.0600000001</v>
      </c>
      <c r="AJ18" s="53">
        <v>91318.709999999948</v>
      </c>
      <c r="AK18" s="53">
        <v>130725.70000000003</v>
      </c>
      <c r="AL18" s="53">
        <v>80347.47</v>
      </c>
      <c r="AM18" s="53">
        <v>73525.410000000018</v>
      </c>
      <c r="AN18" s="53">
        <v>20501.95</v>
      </c>
      <c r="AO18" s="53">
        <v>77905.240000000063</v>
      </c>
      <c r="AP18" s="53">
        <v>28251.439999999995</v>
      </c>
      <c r="AQ18" s="53">
        <v>5772.62</v>
      </c>
      <c r="AR18" s="53">
        <v>692586.09000000008</v>
      </c>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row>
    <row r="19" spans="1:171" ht="14.5" x14ac:dyDescent="0.35">
      <c r="A19" s="75">
        <v>184</v>
      </c>
      <c r="B19" s="80">
        <v>2010</v>
      </c>
      <c r="C19" s="80">
        <v>6</v>
      </c>
      <c r="D19" s="80">
        <f t="shared" si="0"/>
        <v>2010</v>
      </c>
      <c r="E19" t="s">
        <v>38</v>
      </c>
      <c r="F19" t="s">
        <v>143</v>
      </c>
      <c r="G19" t="s">
        <v>86</v>
      </c>
      <c r="H19" s="72" t="s">
        <v>220</v>
      </c>
      <c r="I19" s="72" t="s">
        <v>62</v>
      </c>
      <c r="J19" t="str">
        <f t="shared" si="2"/>
        <v>Skykomish River</v>
      </c>
      <c r="K19" t="str">
        <f>IFERROR(VLOOKUP(J19,LUTs!$A$1:$C$73,2,FALSE),"NA")</f>
        <v>Snohomish</v>
      </c>
      <c r="L19" t="str">
        <f>IFERROR(VLOOKUP(J19,LUTs!$A$1:$C$73,3,FALSE),"NA")</f>
        <v>2Central Puget Sound</v>
      </c>
      <c r="M19" s="72" t="s">
        <v>21</v>
      </c>
      <c r="N19" t="str">
        <f>VLOOKUP(M19,LUTs!E$2:H$14,3,)</f>
        <v>08Thurston</v>
      </c>
      <c r="O19" t="str">
        <f>VLOOKUP(M19,LUTs!E$2:H$14,4,)</f>
        <v>02South Puget Sound</v>
      </c>
      <c r="P19" s="80">
        <v>2.8467966573816201</v>
      </c>
      <c r="Q19" s="102">
        <v>2.8467966573816201</v>
      </c>
      <c r="R19" s="74">
        <f>VLOOKUP(B19,Readme!A$40:C$52,3,)*Q19</f>
        <v>24.311643454039032</v>
      </c>
      <c r="T19" s="59" t="s">
        <v>139</v>
      </c>
      <c r="U19" s="53">
        <v>619.00000000000045</v>
      </c>
      <c r="V19" s="53">
        <v>594.00000000000011</v>
      </c>
      <c r="W19" s="53">
        <v>756.00000000000023</v>
      </c>
      <c r="X19" s="53">
        <v>866</v>
      </c>
      <c r="Y19" s="53">
        <v>275</v>
      </c>
      <c r="Z19" s="53">
        <v>163.00000000000003</v>
      </c>
      <c r="AA19" s="53">
        <v>126</v>
      </c>
      <c r="AB19" s="53">
        <v>355.00000000000023</v>
      </c>
      <c r="AC19" s="53">
        <v>5</v>
      </c>
      <c r="AD19" s="53">
        <v>340</v>
      </c>
      <c r="AE19" s="53">
        <v>4099.0000000000009</v>
      </c>
      <c r="AF19"/>
      <c r="AG19" s="59" t="s">
        <v>139</v>
      </c>
      <c r="AH19" s="53">
        <v>5906.8800000000056</v>
      </c>
      <c r="AI19" s="53">
        <v>10538.22</v>
      </c>
      <c r="AJ19" s="53">
        <v>6916.7000000000016</v>
      </c>
      <c r="AK19" s="53">
        <v>15824.060000000007</v>
      </c>
      <c r="AL19" s="53">
        <v>2889.0400000000009</v>
      </c>
      <c r="AM19" s="53">
        <v>2483.1100000000006</v>
      </c>
      <c r="AN19" s="53">
        <v>1176.1399999999999</v>
      </c>
      <c r="AO19" s="53">
        <v>6585.2500000000036</v>
      </c>
      <c r="AP19" s="53">
        <v>42.699999999999996</v>
      </c>
      <c r="AQ19" s="53">
        <v>6307</v>
      </c>
      <c r="AR19" s="53">
        <v>58669.10000000002</v>
      </c>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row>
    <row r="20" spans="1:171" ht="14.5" x14ac:dyDescent="0.35">
      <c r="A20" s="75">
        <v>218</v>
      </c>
      <c r="B20" s="80">
        <v>2010</v>
      </c>
      <c r="C20" s="80">
        <v>6</v>
      </c>
      <c r="D20" s="80">
        <f t="shared" si="0"/>
        <v>2010</v>
      </c>
      <c r="E20" t="s">
        <v>38</v>
      </c>
      <c r="F20" t="s">
        <v>143</v>
      </c>
      <c r="G20" t="s">
        <v>86</v>
      </c>
      <c r="H20" s="72" t="s">
        <v>247</v>
      </c>
      <c r="I20" s="72" t="s">
        <v>98</v>
      </c>
      <c r="J20" t="str">
        <f t="shared" si="2"/>
        <v>Skykomish River, No. Fork</v>
      </c>
      <c r="K20" t="str">
        <f>IFERROR(VLOOKUP(J20,LUTs!$A$1:$C$73,2,FALSE),"NA")</f>
        <v>Snohomish</v>
      </c>
      <c r="L20" t="str">
        <f>IFERROR(VLOOKUP(J20,LUTs!$A$1:$C$73,3,FALSE),"NA")</f>
        <v>2Central Puget Sound</v>
      </c>
      <c r="M20" s="72" t="s">
        <v>26</v>
      </c>
      <c r="N20" t="str">
        <f>VLOOKUP(M20,LUTs!E$2:H$14,3,)</f>
        <v>20Other</v>
      </c>
      <c r="O20" t="str">
        <f>VLOOKUP(M20,LUTs!E$2:H$14,4,)</f>
        <v>07Non Puget Sound</v>
      </c>
      <c r="P20" s="80">
        <v>3</v>
      </c>
      <c r="Q20" s="102">
        <v>3</v>
      </c>
      <c r="R20" s="74">
        <f>VLOOKUP(B20,Readme!A$40:C$52,3,)*Q20</f>
        <v>25.619999999999997</v>
      </c>
      <c r="T20" s="59" t="s">
        <v>141</v>
      </c>
      <c r="U20" s="53"/>
      <c r="V20" s="53">
        <v>0</v>
      </c>
      <c r="W20" s="53">
        <v>0</v>
      </c>
      <c r="X20" s="53">
        <v>0</v>
      </c>
      <c r="Y20" s="53"/>
      <c r="Z20" s="53"/>
      <c r="AA20" s="53"/>
      <c r="AB20" s="53"/>
      <c r="AC20" s="53"/>
      <c r="AD20" s="53"/>
      <c r="AE20" s="53">
        <v>0</v>
      </c>
      <c r="AF20"/>
      <c r="AG20" s="59" t="s">
        <v>141</v>
      </c>
      <c r="AH20" s="53"/>
      <c r="AI20" s="53">
        <v>0</v>
      </c>
      <c r="AJ20" s="53">
        <v>0</v>
      </c>
      <c r="AK20" s="53">
        <v>0</v>
      </c>
      <c r="AL20" s="53"/>
      <c r="AM20" s="53"/>
      <c r="AN20" s="53"/>
      <c r="AO20" s="53"/>
      <c r="AP20" s="53"/>
      <c r="AQ20" s="53"/>
      <c r="AR20" s="53">
        <v>0</v>
      </c>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row>
    <row r="21" spans="1:171" ht="14.5" x14ac:dyDescent="0.35">
      <c r="A21" s="75">
        <v>232</v>
      </c>
      <c r="B21" s="80">
        <v>2010</v>
      </c>
      <c r="C21" s="80">
        <v>6</v>
      </c>
      <c r="D21" s="80">
        <f t="shared" si="0"/>
        <v>2010</v>
      </c>
      <c r="E21" t="s">
        <v>38</v>
      </c>
      <c r="F21" t="s">
        <v>143</v>
      </c>
      <c r="G21" t="s">
        <v>86</v>
      </c>
      <c r="H21" s="72" t="s">
        <v>248</v>
      </c>
      <c r="I21" s="72" t="s">
        <v>99</v>
      </c>
      <c r="J21" t="str">
        <f t="shared" si="2"/>
        <v>Skykomish River, So. Fork</v>
      </c>
      <c r="K21" t="str">
        <f>IFERROR(VLOOKUP(J21,LUTs!$A$1:$C$73,2,FALSE),"NA")</f>
        <v>Snohomish/King</v>
      </c>
      <c r="L21" t="str">
        <f>IFERROR(VLOOKUP(J21,LUTs!$A$1:$C$73,3,FALSE),"NA")</f>
        <v>2Central Puget Sound</v>
      </c>
      <c r="M21" s="72" t="s">
        <v>20</v>
      </c>
      <c r="N21" t="str">
        <f>VLOOKUP(M21,LUTs!E$2:H$14,3,)</f>
        <v>07Pierce</v>
      </c>
      <c r="O21" t="str">
        <f>VLOOKUP(M21,LUTs!E$2:H$14,4,)</f>
        <v>02South Puget Sound</v>
      </c>
      <c r="P21" s="80">
        <v>3</v>
      </c>
      <c r="Q21" s="102">
        <v>3</v>
      </c>
      <c r="R21" s="74">
        <f>VLOOKUP(B21,Readme!A$40:C$52,3,)*Q21</f>
        <v>25.619999999999997</v>
      </c>
      <c r="T21" s="59" t="s">
        <v>157</v>
      </c>
      <c r="U21" s="53">
        <v>7755.0000000000036</v>
      </c>
      <c r="V21" s="53">
        <v>10330.000000000002</v>
      </c>
      <c r="W21" s="53">
        <v>10505</v>
      </c>
      <c r="X21" s="53">
        <v>9140.0000000000036</v>
      </c>
      <c r="Y21" s="53">
        <v>8229</v>
      </c>
      <c r="Z21" s="53">
        <v>5144.0000000000018</v>
      </c>
      <c r="AA21" s="53">
        <v>2450</v>
      </c>
      <c r="AB21" s="53">
        <v>5638.0000000000009</v>
      </c>
      <c r="AC21" s="53">
        <v>3276.0000000000018</v>
      </c>
      <c r="AD21" s="53">
        <v>691</v>
      </c>
      <c r="AE21" s="53">
        <v>63158.000000000007</v>
      </c>
      <c r="AF21"/>
      <c r="AG21" s="59" t="s">
        <v>157</v>
      </c>
      <c r="AH21" s="53">
        <v>77348.810000000027</v>
      </c>
      <c r="AI21" s="53">
        <v>164023.93000000011</v>
      </c>
      <c r="AJ21" s="53">
        <v>109031.99999999994</v>
      </c>
      <c r="AK21" s="53">
        <v>152930.40000000002</v>
      </c>
      <c r="AL21" s="53">
        <v>95200.56</v>
      </c>
      <c r="AM21" s="53">
        <v>80606.400000000023</v>
      </c>
      <c r="AN21" s="53">
        <v>23415.49</v>
      </c>
      <c r="AO21" s="53">
        <v>89579.910000000062</v>
      </c>
      <c r="AP21" s="53">
        <v>30059.119999999995</v>
      </c>
      <c r="AQ21" s="53">
        <v>12487.720000000001</v>
      </c>
      <c r="AR21" s="53">
        <v>834684.34000000008</v>
      </c>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row>
    <row r="22" spans="1:171" ht="14.5" x14ac:dyDescent="0.35">
      <c r="A22" s="75">
        <v>240</v>
      </c>
      <c r="B22" s="80">
        <v>2010</v>
      </c>
      <c r="C22" s="80">
        <v>6</v>
      </c>
      <c r="D22" s="80">
        <f t="shared" si="0"/>
        <v>2010</v>
      </c>
      <c r="E22" t="s">
        <v>38</v>
      </c>
      <c r="F22" t="s">
        <v>143</v>
      </c>
      <c r="G22" t="s">
        <v>86</v>
      </c>
      <c r="H22" s="72" t="s">
        <v>221</v>
      </c>
      <c r="I22" s="72" t="s">
        <v>63</v>
      </c>
      <c r="J22" t="str">
        <f t="shared" si="2"/>
        <v>Snohomish River</v>
      </c>
      <c r="K22" t="str">
        <f>IFERROR(VLOOKUP(J22,LUTs!$A$1:$C$73,2,FALSE),"NA")</f>
        <v>Snohomish</v>
      </c>
      <c r="L22" t="str">
        <f>IFERROR(VLOOKUP(J22,LUTs!$A$1:$C$73,3,FALSE),"NA")</f>
        <v>2Central Puget Sound</v>
      </c>
      <c r="M22" s="72" t="s">
        <v>18</v>
      </c>
      <c r="N22" t="str">
        <f>VLOOKUP(M22,LUTs!E$2:H$14,3,)</f>
        <v>06King</v>
      </c>
      <c r="O22" t="str">
        <f>VLOOKUP(M22,LUTs!E$2:H$14,4,)</f>
        <v>02South Puget Sound</v>
      </c>
      <c r="P22" s="80">
        <v>11.6543209876543</v>
      </c>
      <c r="Q22" s="102">
        <v>11.6543209876543</v>
      </c>
      <c r="R22" s="74">
        <f>VLOOKUP(B22,Readme!A$40:C$52,3,)*Q22</f>
        <v>99.527901234567707</v>
      </c>
      <c r="T22"/>
      <c r="U22" s="86">
        <f t="shared" ref="U22:W22" si="5">U21/U10</f>
        <v>1.1825251601097897</v>
      </c>
      <c r="V22" s="86">
        <f t="shared" si="5"/>
        <v>1.2152525880067968</v>
      </c>
      <c r="W22" s="86">
        <f t="shared" si="5"/>
        <v>0.94272661007156688</v>
      </c>
      <c r="X22" s="101">
        <f>X21/X10</f>
        <v>0.98433442759078404</v>
      </c>
      <c r="Y22" s="101">
        <f t="shared" ref="Y22:AE22" si="6">Y21/Y10</f>
        <v>1.1210546626820337</v>
      </c>
      <c r="Z22" s="101">
        <f t="shared" si="6"/>
        <v>0.94278745140001563</v>
      </c>
      <c r="AA22" s="101">
        <f t="shared" si="6"/>
        <v>0.72406540559976729</v>
      </c>
      <c r="AB22" s="86">
        <f t="shared" si="6"/>
        <v>1.3045389688018203</v>
      </c>
      <c r="AC22" s="86">
        <f t="shared" si="6"/>
        <v>0.74014720251096866</v>
      </c>
      <c r="AD22" s="86">
        <f t="shared" si="6"/>
        <v>0.89856957087126132</v>
      </c>
      <c r="AE22" s="86">
        <f t="shared" si="6"/>
        <v>1.0322602298068486</v>
      </c>
      <c r="AF22"/>
      <c r="AG22"/>
      <c r="AH22" s="86"/>
      <c r="AI22" s="86"/>
      <c r="AJ22" s="86"/>
      <c r="AK22" s="101"/>
      <c r="AL22" s="101"/>
      <c r="AM22" s="101"/>
      <c r="AN22" s="101"/>
      <c r="AO22" s="86"/>
      <c r="AP22" s="86"/>
      <c r="AQ22" s="86"/>
      <c r="AR22" s="86"/>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row>
    <row r="23" spans="1:171" ht="14.15" customHeight="1" x14ac:dyDescent="0.35">
      <c r="A23" s="75">
        <v>241</v>
      </c>
      <c r="B23" s="80">
        <v>2010</v>
      </c>
      <c r="C23" s="80">
        <v>6</v>
      </c>
      <c r="D23" s="80">
        <f t="shared" si="0"/>
        <v>2010</v>
      </c>
      <c r="E23" t="s">
        <v>38</v>
      </c>
      <c r="F23" t="s">
        <v>143</v>
      </c>
      <c r="G23" t="s">
        <v>86</v>
      </c>
      <c r="H23" s="72" t="s">
        <v>221</v>
      </c>
      <c r="I23" s="72" t="s">
        <v>63</v>
      </c>
      <c r="J23" t="str">
        <f t="shared" si="2"/>
        <v>Snohomish River</v>
      </c>
      <c r="K23" t="str">
        <f>IFERROR(VLOOKUP(J23,LUTs!$A$1:$C$73,2,FALSE),"NA")</f>
        <v>Snohomish</v>
      </c>
      <c r="L23" t="str">
        <f>IFERROR(VLOOKUP(J23,LUTs!$A$1:$C$73,3,FALSE),"NA")</f>
        <v>2Central Puget Sound</v>
      </c>
      <c r="M23" s="72" t="s">
        <v>26</v>
      </c>
      <c r="N23" t="str">
        <f>VLOOKUP(M23,LUTs!E$2:H$14,3,)</f>
        <v>20Other</v>
      </c>
      <c r="O23" t="str">
        <f>VLOOKUP(M23,LUTs!E$2:H$14,4,)</f>
        <v>07Non Puget Sound</v>
      </c>
      <c r="P23" s="80">
        <v>8.7407407407407405</v>
      </c>
      <c r="Q23" s="102">
        <v>8.7407407407407405</v>
      </c>
      <c r="R23" s="74">
        <f>VLOOKUP(B23,Readme!A$40:C$52,3,)*Q23</f>
        <v>74.645925925925923</v>
      </c>
    </row>
    <row r="24" spans="1:171" ht="14.15" customHeight="1" x14ac:dyDescent="0.35">
      <c r="A24" s="75">
        <v>242</v>
      </c>
      <c r="B24" s="80">
        <v>2010</v>
      </c>
      <c r="C24" s="80">
        <v>6</v>
      </c>
      <c r="D24" s="80">
        <f t="shared" si="0"/>
        <v>2010</v>
      </c>
      <c r="E24" t="s">
        <v>38</v>
      </c>
      <c r="F24" t="s">
        <v>143</v>
      </c>
      <c r="G24" t="s">
        <v>86</v>
      </c>
      <c r="H24" s="72" t="s">
        <v>221</v>
      </c>
      <c r="I24" s="72" t="s">
        <v>63</v>
      </c>
      <c r="J24" t="str">
        <f t="shared" si="2"/>
        <v>Snohomish River</v>
      </c>
      <c r="K24" t="str">
        <f>IFERROR(VLOOKUP(J24,LUTs!$A$1:$C$73,2,FALSE),"NA")</f>
        <v>Snohomish</v>
      </c>
      <c r="L24" t="str">
        <f>IFERROR(VLOOKUP(J24,LUTs!$A$1:$C$73,3,FALSE),"NA")</f>
        <v>2Central Puget Sound</v>
      </c>
      <c r="M24" s="72" t="s">
        <v>16</v>
      </c>
      <c r="N24" t="str">
        <f>VLOOKUP(M24,LUTs!E$2:H$14,3,)</f>
        <v>03Snohomish</v>
      </c>
      <c r="O24" t="str">
        <f>VLOOKUP(M24,LUTs!E$2:H$14,4,)</f>
        <v>01North Puget Sound</v>
      </c>
      <c r="P24" s="80">
        <v>215.60493827160499</v>
      </c>
      <c r="Q24" s="102">
        <v>215.60493827160499</v>
      </c>
      <c r="R24" s="74">
        <f>VLOOKUP(B24,Readme!A$40:C$52,3,)*Q24</f>
        <v>1841.2661728395065</v>
      </c>
      <c r="T24" s="15" t="s">
        <v>294</v>
      </c>
      <c r="U24"/>
      <c r="V24"/>
    </row>
    <row r="25" spans="1:171" ht="14.15" customHeight="1" x14ac:dyDescent="0.35">
      <c r="A25" s="75">
        <v>254</v>
      </c>
      <c r="B25" s="80">
        <v>2010</v>
      </c>
      <c r="C25" s="80">
        <v>6</v>
      </c>
      <c r="D25" s="80">
        <f t="shared" si="0"/>
        <v>2010</v>
      </c>
      <c r="E25" t="s">
        <v>38</v>
      </c>
      <c r="F25" t="s">
        <v>143</v>
      </c>
      <c r="G25" t="s">
        <v>86</v>
      </c>
      <c r="H25" s="72" t="s">
        <v>222</v>
      </c>
      <c r="I25" s="72" t="s">
        <v>64</v>
      </c>
      <c r="J25" t="str">
        <f t="shared" si="2"/>
        <v>Snoqualmie River</v>
      </c>
      <c r="K25" t="str">
        <f>IFERROR(VLOOKUP(J25,LUTs!$A$1:$C$73,2,FALSE),"NA")</f>
        <v>Snohomish/King</v>
      </c>
      <c r="L25" t="str">
        <f>IFERROR(VLOOKUP(J25,LUTs!$A$1:$C$73,3,FALSE),"NA")</f>
        <v>2Central Puget Sound</v>
      </c>
      <c r="M25" s="72" t="s">
        <v>18</v>
      </c>
      <c r="N25" t="str">
        <f>VLOOKUP(M25,LUTs!E$2:H$14,3,)</f>
        <v>06King</v>
      </c>
      <c r="O25" t="str">
        <f>VLOOKUP(M25,LUTs!E$2:H$14,4,)</f>
        <v>02South Puget Sound</v>
      </c>
      <c r="P25" s="80">
        <v>166</v>
      </c>
      <c r="Q25" s="102">
        <v>166</v>
      </c>
      <c r="R25" s="74">
        <f>VLOOKUP(B25,Readme!A$40:C$52,3,)*Q25</f>
        <v>1417.6399999999999</v>
      </c>
      <c r="T25" s="45" t="s">
        <v>0</v>
      </c>
      <c r="U25" t="s">
        <v>175</v>
      </c>
    </row>
    <row r="26" spans="1:171" ht="14.15" customHeight="1" x14ac:dyDescent="0.35">
      <c r="A26" s="75">
        <v>314</v>
      </c>
      <c r="B26" s="80">
        <v>2010</v>
      </c>
      <c r="C26" s="80">
        <v>6</v>
      </c>
      <c r="D26" s="80">
        <f t="shared" si="0"/>
        <v>2010</v>
      </c>
      <c r="E26" t="s">
        <v>38</v>
      </c>
      <c r="F26" t="s">
        <v>143</v>
      </c>
      <c r="G26" t="s">
        <v>86</v>
      </c>
      <c r="H26" s="72" t="s">
        <v>223</v>
      </c>
      <c r="I26" s="72" t="s">
        <v>103</v>
      </c>
      <c r="J26" t="str">
        <f t="shared" si="2"/>
        <v>Stillaguamish R, No. Fork</v>
      </c>
      <c r="K26" t="str">
        <f>IFERROR(VLOOKUP(J26,LUTs!$A$1:$C$73,2,FALSE),"NA")</f>
        <v>Snohomish</v>
      </c>
      <c r="L26" t="str">
        <f>IFERROR(VLOOKUP(J26,LUTs!$A$1:$C$73,3,FALSE),"NA")</f>
        <v>2Central Puget Sound</v>
      </c>
      <c r="M26" s="72" t="s">
        <v>16</v>
      </c>
      <c r="N26" t="str">
        <f>VLOOKUP(M26,LUTs!E$2:H$14,3,)</f>
        <v>03Snohomish</v>
      </c>
      <c r="O26" t="str">
        <f>VLOOKUP(M26,LUTs!E$2:H$14,4,)</f>
        <v>01North Puget Sound</v>
      </c>
      <c r="P26" s="80">
        <v>12</v>
      </c>
      <c r="Q26" s="102">
        <v>12</v>
      </c>
      <c r="R26" s="74">
        <f>VLOOKUP(B26,Readme!A$40:C$52,3,)*Q26</f>
        <v>102.47999999999999</v>
      </c>
      <c r="T26"/>
      <c r="U26"/>
      <c r="V26"/>
    </row>
    <row r="27" spans="1:171" ht="14.15" customHeight="1" x14ac:dyDescent="0.35">
      <c r="A27" s="75">
        <v>276</v>
      </c>
      <c r="B27" s="80">
        <v>2010</v>
      </c>
      <c r="C27" s="80">
        <v>6</v>
      </c>
      <c r="D27" s="80">
        <f t="shared" si="0"/>
        <v>2010</v>
      </c>
      <c r="E27" t="s">
        <v>38</v>
      </c>
      <c r="F27" t="s">
        <v>143</v>
      </c>
      <c r="G27" t="s">
        <v>86</v>
      </c>
      <c r="H27" s="72" t="s">
        <v>249</v>
      </c>
      <c r="I27" s="72" t="s">
        <v>100</v>
      </c>
      <c r="J27" t="str">
        <f t="shared" si="2"/>
        <v>Sultan River</v>
      </c>
      <c r="K27" t="str">
        <f>IFERROR(VLOOKUP(J27,LUTs!$A$1:$C$73,2,FALSE),"NA")</f>
        <v>Snohomish</v>
      </c>
      <c r="L27" t="str">
        <f>IFERROR(VLOOKUP(J27,LUTs!$A$1:$C$73,3,FALSE),"NA")</f>
        <v>2Central Puget Sound</v>
      </c>
      <c r="M27" s="72" t="s">
        <v>16</v>
      </c>
      <c r="N27" t="str">
        <f>VLOOKUP(M27,LUTs!E$2:H$14,3,)</f>
        <v>03Snohomish</v>
      </c>
      <c r="O27" t="str">
        <f>VLOOKUP(M27,LUTs!E$2:H$14,4,)</f>
        <v>01North Puget Sound</v>
      </c>
      <c r="P27" s="80">
        <v>3</v>
      </c>
      <c r="Q27" s="102">
        <v>3</v>
      </c>
      <c r="R27" s="74">
        <f>VLOOKUP(B27,Readme!A$40:C$52,3,)*Q27</f>
        <v>25.619999999999997</v>
      </c>
      <c r="T27" s="45" t="s">
        <v>291</v>
      </c>
      <c r="U27" s="45" t="s">
        <v>275</v>
      </c>
      <c r="V27"/>
      <c r="W27"/>
      <c r="X27"/>
      <c r="Y27"/>
      <c r="Z27"/>
      <c r="AA27"/>
      <c r="AB27"/>
      <c r="AC27"/>
      <c r="AD27"/>
      <c r="AE27"/>
      <c r="AF27"/>
      <c r="AG27"/>
    </row>
    <row r="28" spans="1:171" ht="14.15" customHeight="1" x14ac:dyDescent="0.35">
      <c r="A28" s="75">
        <v>336</v>
      </c>
      <c r="B28" s="80">
        <v>2010</v>
      </c>
      <c r="C28" s="80">
        <v>7</v>
      </c>
      <c r="D28" s="80">
        <f t="shared" si="0"/>
        <v>2010</v>
      </c>
      <c r="E28" t="s">
        <v>38</v>
      </c>
      <c r="F28" t="s">
        <v>143</v>
      </c>
      <c r="G28" t="s">
        <v>86</v>
      </c>
      <c r="H28" s="72" t="s">
        <v>254</v>
      </c>
      <c r="I28" s="72" t="s">
        <v>33</v>
      </c>
      <c r="J28" t="str">
        <f t="shared" si="2"/>
        <v>Area 9: Admiralty Inlet</v>
      </c>
      <c r="K28" t="str">
        <f>IFERROR(VLOOKUP(J28,LUTs!$A$1:$C$73,2,FALSE),"NA")</f>
        <v>NA</v>
      </c>
      <c r="L28" t="str">
        <f>IFERROR(VLOOKUP(J28,LUTs!$A$1:$C$73,3,FALSE),"NA")</f>
        <v>2Central Puget Sound</v>
      </c>
      <c r="M28" s="72" t="s">
        <v>18</v>
      </c>
      <c r="N28" t="str">
        <f>VLOOKUP(M28,LUTs!E$2:H$14,3,)</f>
        <v>06King</v>
      </c>
      <c r="O28" t="str">
        <f>VLOOKUP(M28,LUTs!E$2:H$14,4,)</f>
        <v>02South Puget Sound</v>
      </c>
      <c r="P28" s="80">
        <v>4</v>
      </c>
      <c r="Q28" s="102">
        <v>4</v>
      </c>
      <c r="R28" s="74">
        <f>VLOOKUP(B28,Readme!A$40:C$52,3,)*Q28</f>
        <v>34.159999999999997</v>
      </c>
      <c r="T28" s="45" t="s">
        <v>274</v>
      </c>
      <c r="U28">
        <v>1</v>
      </c>
      <c r="V28">
        <v>2</v>
      </c>
      <c r="W28">
        <v>3</v>
      </c>
      <c r="X28">
        <v>4</v>
      </c>
      <c r="Y28">
        <v>5</v>
      </c>
      <c r="Z28">
        <v>6</v>
      </c>
      <c r="AA28">
        <v>7</v>
      </c>
      <c r="AB28">
        <v>8</v>
      </c>
      <c r="AC28">
        <v>9</v>
      </c>
      <c r="AD28">
        <v>10</v>
      </c>
      <c r="AE28">
        <v>11</v>
      </c>
      <c r="AF28">
        <v>12</v>
      </c>
      <c r="AG28" t="s">
        <v>157</v>
      </c>
    </row>
    <row r="29" spans="1:171" ht="14.15" customHeight="1" x14ac:dyDescent="0.35">
      <c r="A29" s="75">
        <v>337</v>
      </c>
      <c r="B29" s="80">
        <v>2010</v>
      </c>
      <c r="C29" s="80">
        <v>7</v>
      </c>
      <c r="D29" s="80">
        <f t="shared" si="0"/>
        <v>2010</v>
      </c>
      <c r="E29" t="s">
        <v>38</v>
      </c>
      <c r="F29" t="s">
        <v>143</v>
      </c>
      <c r="G29" t="s">
        <v>86</v>
      </c>
      <c r="H29" s="72" t="s">
        <v>254</v>
      </c>
      <c r="I29" s="72" t="s">
        <v>33</v>
      </c>
      <c r="J29" t="str">
        <f t="shared" si="2"/>
        <v>Area 9: Admiralty Inlet</v>
      </c>
      <c r="K29" t="str">
        <f>IFERROR(VLOOKUP(J29,LUTs!$A$1:$C$73,2,FALSE),"NA")</f>
        <v>NA</v>
      </c>
      <c r="L29" t="str">
        <f>IFERROR(VLOOKUP(J29,LUTs!$A$1:$C$73,3,FALSE),"NA")</f>
        <v>2Central Puget Sound</v>
      </c>
      <c r="M29" s="72" t="s">
        <v>16</v>
      </c>
      <c r="N29" t="str">
        <f>VLOOKUP(M29,LUTs!E$2:H$14,3,)</f>
        <v>03Snohomish</v>
      </c>
      <c r="O29" t="str">
        <f>VLOOKUP(M29,LUTs!E$2:H$14,4,)</f>
        <v>01North Puget Sound</v>
      </c>
      <c r="P29" s="80">
        <v>6</v>
      </c>
      <c r="Q29" s="102">
        <v>6</v>
      </c>
      <c r="R29" s="74">
        <f>VLOOKUP(B29,Readme!A$40:C$52,3,)*Q29</f>
        <v>51.239999999999995</v>
      </c>
      <c r="T29" s="59" t="s">
        <v>133</v>
      </c>
      <c r="U29">
        <v>681</v>
      </c>
      <c r="V29">
        <v>118.99999999999994</v>
      </c>
      <c r="W29">
        <v>63</v>
      </c>
      <c r="X29"/>
      <c r="Y29"/>
      <c r="Z29">
        <v>21</v>
      </c>
      <c r="AA29">
        <v>36</v>
      </c>
      <c r="AB29">
        <v>86</v>
      </c>
      <c r="AC29">
        <v>55</v>
      </c>
      <c r="AD29">
        <v>46</v>
      </c>
      <c r="AE29">
        <v>448.00000000000006</v>
      </c>
      <c r="AF29">
        <v>1317.9999999999998</v>
      </c>
      <c r="AG29">
        <v>2873</v>
      </c>
    </row>
    <row r="30" spans="1:171" ht="14.15" customHeight="1" x14ac:dyDescent="0.35">
      <c r="A30" s="75">
        <v>19</v>
      </c>
      <c r="B30" s="80">
        <v>2010</v>
      </c>
      <c r="C30" s="80">
        <v>7</v>
      </c>
      <c r="D30" s="80">
        <f t="shared" si="0"/>
        <v>2010</v>
      </c>
      <c r="E30" t="s">
        <v>38</v>
      </c>
      <c r="F30" t="s">
        <v>143</v>
      </c>
      <c r="G30" t="s">
        <v>86</v>
      </c>
      <c r="H30" s="72" t="s">
        <v>203</v>
      </c>
      <c r="I30" s="72" t="s">
        <v>89</v>
      </c>
      <c r="J30" s="84" t="s">
        <v>45</v>
      </c>
      <c r="K30" t="str">
        <f>IFERROR(VLOOKUP(J30,LUTs!$A$1:$C$73,2,FALSE),"NA")</f>
        <v>King</v>
      </c>
      <c r="L30" t="str">
        <f>IFERROR(VLOOKUP(J30,LUTs!$A$1:$C$73,3,FALSE),"NA")</f>
        <v>3South Puget Sound</v>
      </c>
      <c r="M30" s="72" t="s">
        <v>18</v>
      </c>
      <c r="N30" t="str">
        <f>VLOOKUP(M30,LUTs!E$2:H$14,3,)</f>
        <v>06King</v>
      </c>
      <c r="O30" t="str">
        <f>VLOOKUP(M30,LUTs!E$2:H$14,4,)</f>
        <v>02South Puget Sound</v>
      </c>
      <c r="P30" s="80">
        <v>26.173913043478301</v>
      </c>
      <c r="Q30" s="102">
        <v>26.173913043478301</v>
      </c>
      <c r="R30" s="74">
        <f>VLOOKUP(B30,Readme!A$40:C$52,3,)*Q30</f>
        <v>223.52521739130466</v>
      </c>
      <c r="T30" s="59" t="s">
        <v>135</v>
      </c>
      <c r="U30">
        <v>1210</v>
      </c>
      <c r="V30">
        <v>278</v>
      </c>
      <c r="W30"/>
      <c r="X30"/>
      <c r="Y30"/>
      <c r="Z30">
        <v>6</v>
      </c>
      <c r="AA30">
        <v>3</v>
      </c>
      <c r="AB30">
        <v>0</v>
      </c>
      <c r="AC30">
        <v>51.999999999999972</v>
      </c>
      <c r="AD30">
        <v>58.00000000000005</v>
      </c>
      <c r="AE30">
        <v>488.00000000000006</v>
      </c>
      <c r="AF30">
        <v>1429.0000000000002</v>
      </c>
      <c r="AG30">
        <v>3524</v>
      </c>
    </row>
    <row r="31" spans="1:171" ht="14.15" customHeight="1" x14ac:dyDescent="0.35">
      <c r="A31" s="75">
        <v>20</v>
      </c>
      <c r="B31" s="80">
        <v>2010</v>
      </c>
      <c r="C31" s="80">
        <v>7</v>
      </c>
      <c r="D31" s="80">
        <f t="shared" si="0"/>
        <v>2010</v>
      </c>
      <c r="E31" t="s">
        <v>38</v>
      </c>
      <c r="F31" t="s">
        <v>143</v>
      </c>
      <c r="G31" t="s">
        <v>86</v>
      </c>
      <c r="H31" s="72" t="s">
        <v>203</v>
      </c>
      <c r="I31" s="72" t="s">
        <v>89</v>
      </c>
      <c r="J31" s="84" t="s">
        <v>45</v>
      </c>
      <c r="K31" t="str">
        <f>IFERROR(VLOOKUP(J31,LUTs!$A$1:$C$73,2,FALSE),"NA")</f>
        <v>King</v>
      </c>
      <c r="L31" t="str">
        <f>IFERROR(VLOOKUP(J31,LUTs!$A$1:$C$73,3,FALSE),"NA")</f>
        <v>3South Puget Sound</v>
      </c>
      <c r="M31" s="72" t="s">
        <v>23</v>
      </c>
      <c r="N31" t="str">
        <f>VLOOKUP(M31,LUTs!E$2:H$14,3,)</f>
        <v>10Kitsap</v>
      </c>
      <c r="O31" t="str">
        <f>VLOOKUP(M31,LUTs!E$2:H$14,4,)</f>
        <v>02South Puget Sound</v>
      </c>
      <c r="P31" s="80">
        <v>1.8695652173913</v>
      </c>
      <c r="Q31" s="102">
        <v>1.8695652173913</v>
      </c>
      <c r="R31" s="74">
        <f>VLOOKUP(B31,Readme!A$40:C$52,3,)*Q31</f>
        <v>15.9660869565217</v>
      </c>
      <c r="T31" s="59" t="s">
        <v>137</v>
      </c>
      <c r="U31">
        <v>9429.0000000000036</v>
      </c>
      <c r="V31">
        <v>1232.9999999999998</v>
      </c>
      <c r="W31">
        <v>73</v>
      </c>
      <c r="X31">
        <v>138</v>
      </c>
      <c r="Y31">
        <v>127</v>
      </c>
      <c r="Z31">
        <v>11799.999999999998</v>
      </c>
      <c r="AA31">
        <v>6299</v>
      </c>
      <c r="AB31">
        <v>2675.9999999999991</v>
      </c>
      <c r="AC31">
        <v>2071</v>
      </c>
      <c r="AD31">
        <v>1830.0000000000009</v>
      </c>
      <c r="AE31">
        <v>2708.0000000000005</v>
      </c>
      <c r="AF31">
        <v>14245.000000000011</v>
      </c>
      <c r="AG31">
        <v>52629.000000000015</v>
      </c>
    </row>
    <row r="32" spans="1:171" ht="14.15" customHeight="1" x14ac:dyDescent="0.35">
      <c r="A32" s="75">
        <v>21</v>
      </c>
      <c r="B32" s="80">
        <v>2010</v>
      </c>
      <c r="C32" s="80">
        <v>7</v>
      </c>
      <c r="D32" s="80">
        <f t="shared" si="0"/>
        <v>2010</v>
      </c>
      <c r="E32" t="s">
        <v>38</v>
      </c>
      <c r="F32" t="s">
        <v>143</v>
      </c>
      <c r="G32" t="s">
        <v>86</v>
      </c>
      <c r="H32" s="72" t="s">
        <v>203</v>
      </c>
      <c r="I32" s="72" t="s">
        <v>89</v>
      </c>
      <c r="J32" s="84" t="s">
        <v>45</v>
      </c>
      <c r="K32" t="str">
        <f>IFERROR(VLOOKUP(J32,LUTs!$A$1:$C$73,2,FALSE),"NA")</f>
        <v>King</v>
      </c>
      <c r="L32" t="str">
        <f>IFERROR(VLOOKUP(J32,LUTs!$A$1:$C$73,3,FALSE),"NA")</f>
        <v>3South Puget Sound</v>
      </c>
      <c r="M32" s="72" t="s">
        <v>26</v>
      </c>
      <c r="N32" t="str">
        <f>VLOOKUP(M32,LUTs!E$2:H$14,3,)</f>
        <v>20Other</v>
      </c>
      <c r="O32" t="str">
        <f>VLOOKUP(M32,LUTs!E$2:H$14,4,)</f>
        <v>07Non Puget Sound</v>
      </c>
      <c r="P32" s="80">
        <v>1.8695652173913</v>
      </c>
      <c r="Q32" s="102">
        <v>1.8695652173913</v>
      </c>
      <c r="R32" s="74">
        <f>VLOOKUP(B32,Readme!A$40:C$52,3,)*Q32</f>
        <v>15.9660869565217</v>
      </c>
      <c r="T32" s="59" t="s">
        <v>139</v>
      </c>
      <c r="U32">
        <v>296.00000000000006</v>
      </c>
      <c r="V32">
        <v>2</v>
      </c>
      <c r="W32"/>
      <c r="X32">
        <v>2</v>
      </c>
      <c r="Y32">
        <v>6</v>
      </c>
      <c r="Z32">
        <v>720.00000000000011</v>
      </c>
      <c r="AA32">
        <v>722.00000000000045</v>
      </c>
      <c r="AB32">
        <v>483.00000000000017</v>
      </c>
      <c r="AC32">
        <v>613.00000000000023</v>
      </c>
      <c r="AD32">
        <v>442</v>
      </c>
      <c r="AE32">
        <v>226.00000000000006</v>
      </c>
      <c r="AF32">
        <v>587.00000000000034</v>
      </c>
      <c r="AG32">
        <v>4099.0000000000009</v>
      </c>
    </row>
    <row r="33" spans="1:33" ht="14.15" customHeight="1" x14ac:dyDescent="0.35">
      <c r="A33" s="75">
        <v>22</v>
      </c>
      <c r="B33" s="80">
        <v>2010</v>
      </c>
      <c r="C33" s="80">
        <v>7</v>
      </c>
      <c r="D33" s="80">
        <f t="shared" si="0"/>
        <v>2010</v>
      </c>
      <c r="E33" t="s">
        <v>38</v>
      </c>
      <c r="F33" t="s">
        <v>143</v>
      </c>
      <c r="G33" t="s">
        <v>86</v>
      </c>
      <c r="H33" s="72" t="s">
        <v>203</v>
      </c>
      <c r="I33" s="72" t="s">
        <v>89</v>
      </c>
      <c r="J33" s="84" t="s">
        <v>45</v>
      </c>
      <c r="K33" t="str">
        <f>IFERROR(VLOOKUP(J33,LUTs!$A$1:$C$73,2,FALSE),"NA")</f>
        <v>King</v>
      </c>
      <c r="L33" t="str">
        <f>IFERROR(VLOOKUP(J33,LUTs!$A$1:$C$73,3,FALSE),"NA")</f>
        <v>3South Puget Sound</v>
      </c>
      <c r="M33" s="72" t="s">
        <v>20</v>
      </c>
      <c r="N33" t="str">
        <f>VLOOKUP(M33,LUTs!E$2:H$14,3,)</f>
        <v>07Pierce</v>
      </c>
      <c r="O33" t="str">
        <f>VLOOKUP(M33,LUTs!E$2:H$14,4,)</f>
        <v>02South Puget Sound</v>
      </c>
      <c r="P33" s="80">
        <v>11.2173913043478</v>
      </c>
      <c r="Q33" s="102">
        <v>11.2173913043478</v>
      </c>
      <c r="R33" s="74">
        <f>VLOOKUP(B33,Readme!A$40:C$52,3,)*Q33</f>
        <v>95.796521739130199</v>
      </c>
      <c r="T33" s="59" t="s">
        <v>141</v>
      </c>
      <c r="U33"/>
      <c r="V33"/>
      <c r="W33"/>
      <c r="X33"/>
      <c r="Y33"/>
      <c r="Z33">
        <v>0</v>
      </c>
      <c r="AA33"/>
      <c r="AB33">
        <v>0</v>
      </c>
      <c r="AC33">
        <v>0</v>
      </c>
      <c r="AD33"/>
      <c r="AE33">
        <v>0</v>
      </c>
      <c r="AF33"/>
      <c r="AG33">
        <v>0</v>
      </c>
    </row>
    <row r="34" spans="1:33" ht="14.15" customHeight="1" x14ac:dyDescent="0.35">
      <c r="A34" s="75">
        <v>23</v>
      </c>
      <c r="B34" s="80">
        <v>2010</v>
      </c>
      <c r="C34" s="80">
        <v>7</v>
      </c>
      <c r="D34" s="80">
        <f t="shared" si="0"/>
        <v>2010</v>
      </c>
      <c r="E34" t="s">
        <v>38</v>
      </c>
      <c r="F34" t="s">
        <v>143</v>
      </c>
      <c r="G34" t="s">
        <v>86</v>
      </c>
      <c r="H34" s="72" t="s">
        <v>203</v>
      </c>
      <c r="I34" s="72" t="s">
        <v>89</v>
      </c>
      <c r="J34" s="84" t="s">
        <v>45</v>
      </c>
      <c r="K34" t="str">
        <f>IFERROR(VLOOKUP(J34,LUTs!$A$1:$C$73,2,FALSE),"NA")</f>
        <v>King</v>
      </c>
      <c r="L34" t="str">
        <f>IFERROR(VLOOKUP(J34,LUTs!$A$1:$C$73,3,FALSE),"NA")</f>
        <v>3South Puget Sound</v>
      </c>
      <c r="M34" s="72" t="s">
        <v>16</v>
      </c>
      <c r="N34" t="str">
        <f>VLOOKUP(M34,LUTs!E$2:H$14,3,)</f>
        <v>03Snohomish</v>
      </c>
      <c r="O34" t="str">
        <f>VLOOKUP(M34,LUTs!E$2:H$14,4,)</f>
        <v>01North Puget Sound</v>
      </c>
      <c r="P34" s="80">
        <v>1.8695652173913</v>
      </c>
      <c r="Q34" s="102">
        <v>1.8695652173913</v>
      </c>
      <c r="R34" s="74">
        <f>VLOOKUP(B34,Readme!A$40:C$52,3,)*Q34</f>
        <v>15.9660869565217</v>
      </c>
      <c r="T34" s="59" t="s">
        <v>157</v>
      </c>
      <c r="U34">
        <v>11616.000000000004</v>
      </c>
      <c r="V34">
        <v>1631.9999999999998</v>
      </c>
      <c r="W34">
        <v>136</v>
      </c>
      <c r="X34">
        <v>140</v>
      </c>
      <c r="Y34">
        <v>133</v>
      </c>
      <c r="Z34">
        <v>12546.999999999998</v>
      </c>
      <c r="AA34">
        <v>7060</v>
      </c>
      <c r="AB34">
        <v>3244.9999999999991</v>
      </c>
      <c r="AC34">
        <v>2791</v>
      </c>
      <c r="AD34">
        <v>2376.0000000000009</v>
      </c>
      <c r="AE34">
        <v>3870.0000000000005</v>
      </c>
      <c r="AF34">
        <v>17579.000000000011</v>
      </c>
      <c r="AG34">
        <v>63125.000000000015</v>
      </c>
    </row>
    <row r="35" spans="1:33" ht="14.15" customHeight="1" x14ac:dyDescent="0.35">
      <c r="A35" s="75">
        <v>61</v>
      </c>
      <c r="B35" s="80">
        <v>2010</v>
      </c>
      <c r="C35" s="80">
        <v>7</v>
      </c>
      <c r="D35" s="80">
        <f t="shared" si="0"/>
        <v>2010</v>
      </c>
      <c r="E35" t="s">
        <v>38</v>
      </c>
      <c r="F35" t="s">
        <v>143</v>
      </c>
      <c r="G35" t="s">
        <v>86</v>
      </c>
      <c r="H35" s="72" t="s">
        <v>237</v>
      </c>
      <c r="I35" s="72" t="s">
        <v>79</v>
      </c>
      <c r="J35" t="str">
        <f t="shared" ref="J35:J52" si="7">I35</f>
        <v>Lyre River</v>
      </c>
      <c r="K35" t="str">
        <f>IFERROR(VLOOKUP(J35,LUTs!$A$1:$C$73,2,FALSE),"NA")</f>
        <v>Clallam</v>
      </c>
      <c r="L35" t="str">
        <f>IFERROR(VLOOKUP(J35,LUTs!$A$1:$C$73,3,FALSE),"NA")</f>
        <v>0Strait of Juan de Fuca</v>
      </c>
      <c r="M35" s="72" t="s">
        <v>24</v>
      </c>
      <c r="N35" t="str">
        <f>VLOOKUP(M35,LUTs!E$2:H$14,3,)</f>
        <v>11Clallam</v>
      </c>
      <c r="O35" t="str">
        <f>VLOOKUP(M35,LUTs!E$2:H$14,4,)</f>
        <v>03Strait of Juan de Fuca</v>
      </c>
      <c r="P35" s="80">
        <v>8</v>
      </c>
      <c r="Q35" s="102">
        <v>8</v>
      </c>
      <c r="R35" s="74">
        <f>VLOOKUP(B35,Readme!A$40:C$52,3,)*Q35</f>
        <v>68.319999999999993</v>
      </c>
    </row>
    <row r="36" spans="1:33" ht="14.15" customHeight="1" x14ac:dyDescent="0.35">
      <c r="A36" s="75">
        <v>62</v>
      </c>
      <c r="B36" s="80">
        <v>2010</v>
      </c>
      <c r="C36" s="80">
        <v>7</v>
      </c>
      <c r="D36" s="80">
        <f t="shared" si="0"/>
        <v>2010</v>
      </c>
      <c r="E36" t="s">
        <v>38</v>
      </c>
      <c r="F36" t="s">
        <v>143</v>
      </c>
      <c r="G36" t="s">
        <v>86</v>
      </c>
      <c r="H36" s="72" t="s">
        <v>237</v>
      </c>
      <c r="I36" s="72" t="s">
        <v>79</v>
      </c>
      <c r="J36" t="str">
        <f t="shared" si="7"/>
        <v>Lyre River</v>
      </c>
      <c r="K36" t="str">
        <f>IFERROR(VLOOKUP(J36,LUTs!$A$1:$C$73,2,FALSE),"NA")</f>
        <v>Clallam</v>
      </c>
      <c r="L36" t="str">
        <f>IFERROR(VLOOKUP(J36,LUTs!$A$1:$C$73,3,FALSE),"NA")</f>
        <v>0Strait of Juan de Fuca</v>
      </c>
      <c r="M36" s="72" t="s">
        <v>23</v>
      </c>
      <c r="N36" t="str">
        <f>VLOOKUP(M36,LUTs!E$2:H$14,3,)</f>
        <v>10Kitsap</v>
      </c>
      <c r="O36" t="str">
        <f>VLOOKUP(M36,LUTs!E$2:H$14,4,)</f>
        <v>02South Puget Sound</v>
      </c>
      <c r="P36" s="80">
        <v>2.6666666666666701</v>
      </c>
      <c r="Q36" s="102">
        <v>2.6666666666666701</v>
      </c>
      <c r="R36" s="74">
        <f>VLOOKUP(B36,Readme!A$40:C$52,3,)*Q36</f>
        <v>22.773333333333362</v>
      </c>
    </row>
    <row r="37" spans="1:33" ht="14.15" customHeight="1" x14ac:dyDescent="0.35">
      <c r="A37" s="75">
        <v>63</v>
      </c>
      <c r="B37" s="80">
        <v>2010</v>
      </c>
      <c r="C37" s="80">
        <v>7</v>
      </c>
      <c r="D37" s="80">
        <f t="shared" si="0"/>
        <v>2010</v>
      </c>
      <c r="E37" t="s">
        <v>38</v>
      </c>
      <c r="F37" t="s">
        <v>143</v>
      </c>
      <c r="G37" t="s">
        <v>86</v>
      </c>
      <c r="H37" s="72" t="s">
        <v>237</v>
      </c>
      <c r="I37" s="72" t="s">
        <v>79</v>
      </c>
      <c r="J37" t="str">
        <f t="shared" si="7"/>
        <v>Lyre River</v>
      </c>
      <c r="K37" t="str">
        <f>IFERROR(VLOOKUP(J37,LUTs!$A$1:$C$73,2,FALSE),"NA")</f>
        <v>Clallam</v>
      </c>
      <c r="L37" t="str">
        <f>IFERROR(VLOOKUP(J37,LUTs!$A$1:$C$73,3,FALSE),"NA")</f>
        <v>0Strait of Juan de Fuca</v>
      </c>
      <c r="M37" s="72" t="s">
        <v>26</v>
      </c>
      <c r="N37" t="str">
        <f>VLOOKUP(M37,LUTs!E$2:H$14,3,)</f>
        <v>20Other</v>
      </c>
      <c r="O37" t="str">
        <f>VLOOKUP(M37,LUTs!E$2:H$14,4,)</f>
        <v>07Non Puget Sound</v>
      </c>
      <c r="P37" s="80">
        <v>1.3333333333333299</v>
      </c>
      <c r="Q37" s="102">
        <v>1.3333333333333299</v>
      </c>
      <c r="R37" s="74">
        <f>VLOOKUP(B37,Readme!A$40:C$52,3,)*Q37</f>
        <v>11.386666666666637</v>
      </c>
      <c r="T37" s="15" t="s">
        <v>295</v>
      </c>
      <c r="U37"/>
      <c r="V37"/>
    </row>
    <row r="38" spans="1:33" ht="14.15" customHeight="1" x14ac:dyDescent="0.35">
      <c r="A38" s="75">
        <v>143</v>
      </c>
      <c r="B38" s="80">
        <v>2010</v>
      </c>
      <c r="C38" s="80">
        <v>7</v>
      </c>
      <c r="D38" s="80">
        <f t="shared" si="0"/>
        <v>2010</v>
      </c>
      <c r="E38" t="s">
        <v>38</v>
      </c>
      <c r="F38" t="s">
        <v>143</v>
      </c>
      <c r="G38" t="s">
        <v>86</v>
      </c>
      <c r="H38" s="72" t="s">
        <v>245</v>
      </c>
      <c r="I38" s="72" t="s">
        <v>96</v>
      </c>
      <c r="J38" t="str">
        <f t="shared" si="7"/>
        <v>Sauk River</v>
      </c>
      <c r="K38" t="str">
        <f>IFERROR(VLOOKUP(J38,LUTs!$A$1:$C$73,2,FALSE),"NA")</f>
        <v>Skagit/Snohomish</v>
      </c>
      <c r="L38" t="str">
        <f>IFERROR(VLOOKUP(J38,LUTs!$A$1:$C$73,3,FALSE),"NA")</f>
        <v>2Central Puget Sound</v>
      </c>
      <c r="M38" s="72" t="s">
        <v>16</v>
      </c>
      <c r="N38" t="str">
        <f>VLOOKUP(M38,LUTs!E$2:H$14,3,)</f>
        <v>03Snohomish</v>
      </c>
      <c r="O38" t="str">
        <f>VLOOKUP(M38,LUTs!E$2:H$14,4,)</f>
        <v>01North Puget Sound</v>
      </c>
      <c r="P38" s="80">
        <v>2</v>
      </c>
      <c r="Q38" s="102">
        <v>2</v>
      </c>
      <c r="R38" s="74">
        <f>VLOOKUP(B38,Readme!A$40:C$52,3,)*Q38</f>
        <v>17.079999999999998</v>
      </c>
      <c r="T38" s="45" t="s">
        <v>0</v>
      </c>
      <c r="U38" t="s">
        <v>175</v>
      </c>
    </row>
    <row r="39" spans="1:33" ht="14.15" customHeight="1" x14ac:dyDescent="0.35">
      <c r="A39" s="75">
        <v>185</v>
      </c>
      <c r="B39" s="80">
        <v>2010</v>
      </c>
      <c r="C39" s="80">
        <v>7</v>
      </c>
      <c r="D39" s="80">
        <f t="shared" si="0"/>
        <v>2010</v>
      </c>
      <c r="E39" t="s">
        <v>38</v>
      </c>
      <c r="F39" t="s">
        <v>143</v>
      </c>
      <c r="G39" t="s">
        <v>86</v>
      </c>
      <c r="H39" s="72" t="s">
        <v>220</v>
      </c>
      <c r="I39" s="72" t="s">
        <v>62</v>
      </c>
      <c r="J39" t="str">
        <f t="shared" si="7"/>
        <v>Skykomish River</v>
      </c>
      <c r="K39" t="str">
        <f>IFERROR(VLOOKUP(J39,LUTs!$A$1:$C$73,2,FALSE),"NA")</f>
        <v>Snohomish</v>
      </c>
      <c r="L39" t="str">
        <f>IFERROR(VLOOKUP(J39,LUTs!$A$1:$C$73,3,FALSE),"NA")</f>
        <v>2Central Puget Sound</v>
      </c>
      <c r="M39" s="72" t="s">
        <v>18</v>
      </c>
      <c r="N39" t="str">
        <f>VLOOKUP(M39,LUTs!E$2:H$14,3,)</f>
        <v>06King</v>
      </c>
      <c r="O39" t="str">
        <f>VLOOKUP(M39,LUTs!E$2:H$14,4,)</f>
        <v>02South Puget Sound</v>
      </c>
      <c r="P39" s="80">
        <v>217.37967914438499</v>
      </c>
      <c r="Q39" s="102">
        <v>217.37967914438499</v>
      </c>
      <c r="R39" s="74">
        <f>VLOOKUP(B39,Readme!A$40:C$52,3,)*Q39</f>
        <v>1856.4224598930477</v>
      </c>
      <c r="T39"/>
      <c r="U39"/>
      <c r="V39"/>
    </row>
    <row r="40" spans="1:33" ht="14.15" customHeight="1" x14ac:dyDescent="0.35">
      <c r="A40" s="75">
        <v>186</v>
      </c>
      <c r="B40" s="80">
        <v>2010</v>
      </c>
      <c r="C40" s="80">
        <v>7</v>
      </c>
      <c r="D40" s="80">
        <f t="shared" si="0"/>
        <v>2010</v>
      </c>
      <c r="E40" t="s">
        <v>38</v>
      </c>
      <c r="F40" t="s">
        <v>143</v>
      </c>
      <c r="G40" t="s">
        <v>86</v>
      </c>
      <c r="H40" s="72" t="s">
        <v>220</v>
      </c>
      <c r="I40" s="72" t="s">
        <v>62</v>
      </c>
      <c r="J40" t="str">
        <f t="shared" si="7"/>
        <v>Skykomish River</v>
      </c>
      <c r="K40" t="str">
        <f>IFERROR(VLOOKUP(J40,LUTs!$A$1:$C$73,2,FALSE),"NA")</f>
        <v>Snohomish</v>
      </c>
      <c r="L40" t="str">
        <f>IFERROR(VLOOKUP(J40,LUTs!$A$1:$C$73,3,FALSE),"NA")</f>
        <v>2Central Puget Sound</v>
      </c>
      <c r="M40" s="72" t="s">
        <v>26</v>
      </c>
      <c r="N40" t="str">
        <f>VLOOKUP(M40,LUTs!E$2:H$14,3,)</f>
        <v>20Other</v>
      </c>
      <c r="O40" t="str">
        <f>VLOOKUP(M40,LUTs!E$2:H$14,4,)</f>
        <v>07Non Puget Sound</v>
      </c>
      <c r="P40" s="80">
        <v>11.593582887700499</v>
      </c>
      <c r="Q40" s="102">
        <v>11.593582887700499</v>
      </c>
      <c r="R40" s="74">
        <f>VLOOKUP(B40,Readme!A$40:C$52,3,)*Q40</f>
        <v>99.00919786096226</v>
      </c>
      <c r="T40" s="45" t="s">
        <v>291</v>
      </c>
      <c r="U40" s="45" t="s">
        <v>275</v>
      </c>
      <c r="V40"/>
      <c r="W40"/>
      <c r="X40"/>
      <c r="Y40"/>
      <c r="Z40"/>
      <c r="AA40"/>
      <c r="AB40"/>
      <c r="AC40"/>
      <c r="AD40"/>
      <c r="AE40"/>
      <c r="AF40"/>
      <c r="AG40"/>
    </row>
    <row r="41" spans="1:33" ht="14.15" customHeight="1" x14ac:dyDescent="0.35">
      <c r="A41" s="75">
        <v>187</v>
      </c>
      <c r="B41" s="80">
        <v>2010</v>
      </c>
      <c r="C41" s="80">
        <v>7</v>
      </c>
      <c r="D41" s="80">
        <f t="shared" si="0"/>
        <v>2010</v>
      </c>
      <c r="E41" t="s">
        <v>38</v>
      </c>
      <c r="F41" t="s">
        <v>143</v>
      </c>
      <c r="G41" t="s">
        <v>86</v>
      </c>
      <c r="H41" s="72" t="s">
        <v>220</v>
      </c>
      <c r="I41" s="72" t="s">
        <v>62</v>
      </c>
      <c r="J41" t="str">
        <f t="shared" si="7"/>
        <v>Skykomish River</v>
      </c>
      <c r="K41" t="str">
        <f>IFERROR(VLOOKUP(J41,LUTs!$A$1:$C$73,2,FALSE),"NA")</f>
        <v>Snohomish</v>
      </c>
      <c r="L41" t="str">
        <f>IFERROR(VLOOKUP(J41,LUTs!$A$1:$C$73,3,FALSE),"NA")</f>
        <v>2Central Puget Sound</v>
      </c>
      <c r="M41" s="72" t="s">
        <v>20</v>
      </c>
      <c r="N41" t="str">
        <f>VLOOKUP(M41,LUTs!E$2:H$14,3,)</f>
        <v>07Pierce</v>
      </c>
      <c r="O41" t="str">
        <f>VLOOKUP(M41,LUTs!E$2:H$14,4,)</f>
        <v>02South Puget Sound</v>
      </c>
      <c r="P41" s="80">
        <v>2.8983957219251302</v>
      </c>
      <c r="Q41" s="102">
        <v>2.8983957219251302</v>
      </c>
      <c r="R41" s="74">
        <f>VLOOKUP(B41,Readme!A$40:C$52,3,)*Q41</f>
        <v>24.752299465240608</v>
      </c>
      <c r="T41" s="45" t="s">
        <v>274</v>
      </c>
      <c r="U41">
        <v>1</v>
      </c>
      <c r="V41">
        <v>2</v>
      </c>
      <c r="W41">
        <v>3</v>
      </c>
      <c r="X41">
        <v>4</v>
      </c>
      <c r="Y41">
        <v>5</v>
      </c>
      <c r="Z41">
        <v>6</v>
      </c>
      <c r="AA41">
        <v>7</v>
      </c>
      <c r="AB41">
        <v>8</v>
      </c>
      <c r="AC41">
        <v>9</v>
      </c>
      <c r="AD41">
        <v>10</v>
      </c>
      <c r="AE41">
        <v>11</v>
      </c>
      <c r="AF41">
        <v>12</v>
      </c>
      <c r="AG41" t="s">
        <v>157</v>
      </c>
    </row>
    <row r="42" spans="1:33" ht="14.15" customHeight="1" x14ac:dyDescent="0.35">
      <c r="A42" s="75">
        <v>188</v>
      </c>
      <c r="B42" s="80">
        <v>2010</v>
      </c>
      <c r="C42" s="80">
        <v>7</v>
      </c>
      <c r="D42" s="80">
        <f t="shared" si="0"/>
        <v>2010</v>
      </c>
      <c r="E42" t="s">
        <v>38</v>
      </c>
      <c r="F42" t="s">
        <v>143</v>
      </c>
      <c r="G42" t="s">
        <v>86</v>
      </c>
      <c r="H42" s="72" t="s">
        <v>220</v>
      </c>
      <c r="I42" s="72" t="s">
        <v>62</v>
      </c>
      <c r="J42" t="str">
        <f t="shared" si="7"/>
        <v>Skykomish River</v>
      </c>
      <c r="K42" t="str">
        <f>IFERROR(VLOOKUP(J42,LUTs!$A$1:$C$73,2,FALSE),"NA")</f>
        <v>Snohomish</v>
      </c>
      <c r="L42" t="str">
        <f>IFERROR(VLOOKUP(J42,LUTs!$A$1:$C$73,3,FALSE),"NA")</f>
        <v>2Central Puget Sound</v>
      </c>
      <c r="M42" s="72" t="s">
        <v>15</v>
      </c>
      <c r="N42" t="str">
        <f>VLOOKUP(M42,LUTs!E$2:H$14,3,)</f>
        <v>02Skagit</v>
      </c>
      <c r="O42" t="str">
        <f>VLOOKUP(M42,LUTs!E$2:H$14,4,)</f>
        <v>01North Puget Sound</v>
      </c>
      <c r="P42" s="80">
        <v>5.7967914438502701</v>
      </c>
      <c r="Q42" s="102">
        <v>5.7967914438502701</v>
      </c>
      <c r="R42" s="74">
        <f>VLOOKUP(B42,Readme!A$40:C$52,3,)*Q42</f>
        <v>49.504598930481301</v>
      </c>
      <c r="T42" s="59" t="s">
        <v>133</v>
      </c>
      <c r="U42" s="106">
        <v>0.23703445875391577</v>
      </c>
      <c r="V42" s="106">
        <v>4.1420118343195249E-2</v>
      </c>
      <c r="W42" s="106">
        <v>2.1928297946397494E-2</v>
      </c>
      <c r="X42" s="106">
        <v>0</v>
      </c>
      <c r="Y42" s="106">
        <v>0</v>
      </c>
      <c r="Z42" s="106">
        <v>7.3094326487991648E-3</v>
      </c>
      <c r="AA42" s="106">
        <v>1.2530455969369997E-2</v>
      </c>
      <c r="AB42" s="106">
        <v>2.9933867037939436E-2</v>
      </c>
      <c r="AC42" s="106">
        <v>1.9143752175426385E-2</v>
      </c>
      <c r="AD42" s="106">
        <v>1.6011138183083886E-2</v>
      </c>
      <c r="AE42" s="106">
        <v>0.1559345631743822</v>
      </c>
      <c r="AF42" s="106">
        <v>0.45875391576749036</v>
      </c>
      <c r="AG42" s="106">
        <v>1</v>
      </c>
    </row>
    <row r="43" spans="1:33" ht="14.15" customHeight="1" x14ac:dyDescent="0.35">
      <c r="A43" s="75">
        <v>189</v>
      </c>
      <c r="B43" s="80">
        <v>2010</v>
      </c>
      <c r="C43" s="80">
        <v>7</v>
      </c>
      <c r="D43" s="80">
        <f t="shared" si="0"/>
        <v>2010</v>
      </c>
      <c r="E43" t="s">
        <v>38</v>
      </c>
      <c r="F43" t="s">
        <v>143</v>
      </c>
      <c r="G43" t="s">
        <v>86</v>
      </c>
      <c r="H43" s="72" t="s">
        <v>220</v>
      </c>
      <c r="I43" s="72" t="s">
        <v>62</v>
      </c>
      <c r="J43" t="str">
        <f t="shared" si="7"/>
        <v>Skykomish River</v>
      </c>
      <c r="K43" t="str">
        <f>IFERROR(VLOOKUP(J43,LUTs!$A$1:$C$73,2,FALSE),"NA")</f>
        <v>Snohomish</v>
      </c>
      <c r="L43" t="str">
        <f>IFERROR(VLOOKUP(J43,LUTs!$A$1:$C$73,3,FALSE),"NA")</f>
        <v>2Central Puget Sound</v>
      </c>
      <c r="M43" s="72" t="s">
        <v>16</v>
      </c>
      <c r="N43" t="str">
        <f>VLOOKUP(M43,LUTs!E$2:H$14,3,)</f>
        <v>03Snohomish</v>
      </c>
      <c r="O43" t="str">
        <f>VLOOKUP(M43,LUTs!E$2:H$14,4,)</f>
        <v>01North Puget Sound</v>
      </c>
      <c r="P43" s="80">
        <v>304.33155080213902</v>
      </c>
      <c r="Q43" s="102">
        <v>304.33155080213902</v>
      </c>
      <c r="R43" s="74">
        <f>VLOOKUP(B43,Readme!A$40:C$52,3,)*Q43</f>
        <v>2598.9914438502669</v>
      </c>
      <c r="T43" s="59" t="s">
        <v>135</v>
      </c>
      <c r="U43" s="106">
        <v>0.34335981838819524</v>
      </c>
      <c r="V43" s="106">
        <v>7.8887627695800225E-2</v>
      </c>
      <c r="W43" s="106">
        <v>0</v>
      </c>
      <c r="X43" s="106">
        <v>0</v>
      </c>
      <c r="Y43" s="106">
        <v>0</v>
      </c>
      <c r="Z43" s="106">
        <v>1.70261066969353E-3</v>
      </c>
      <c r="AA43" s="106">
        <v>8.5130533484676502E-4</v>
      </c>
      <c r="AB43" s="106">
        <v>0</v>
      </c>
      <c r="AC43" s="106">
        <v>1.475595913734392E-2</v>
      </c>
      <c r="AD43" s="106">
        <v>1.6458569807037471E-2</v>
      </c>
      <c r="AE43" s="106">
        <v>0.1384790011350738</v>
      </c>
      <c r="AF43" s="106">
        <v>0.40550510783200916</v>
      </c>
      <c r="AG43" s="106">
        <v>1</v>
      </c>
    </row>
    <row r="44" spans="1:33" ht="14.15" customHeight="1" x14ac:dyDescent="0.35">
      <c r="A44" s="75">
        <v>219</v>
      </c>
      <c r="B44" s="80">
        <v>2010</v>
      </c>
      <c r="C44" s="80">
        <v>7</v>
      </c>
      <c r="D44" s="80">
        <f t="shared" si="0"/>
        <v>2010</v>
      </c>
      <c r="E44" t="s">
        <v>38</v>
      </c>
      <c r="F44" t="s">
        <v>143</v>
      </c>
      <c r="G44" t="s">
        <v>86</v>
      </c>
      <c r="H44" s="72" t="s">
        <v>247</v>
      </c>
      <c r="I44" s="72" t="s">
        <v>98</v>
      </c>
      <c r="J44" t="str">
        <f t="shared" si="7"/>
        <v>Skykomish River, No. Fork</v>
      </c>
      <c r="K44" t="str">
        <f>IFERROR(VLOOKUP(J44,LUTs!$A$1:$C$73,2,FALSE),"NA")</f>
        <v>Snohomish</v>
      </c>
      <c r="L44" t="str">
        <f>IFERROR(VLOOKUP(J44,LUTs!$A$1:$C$73,3,FALSE),"NA")</f>
        <v>2Central Puget Sound</v>
      </c>
      <c r="M44" s="72" t="s">
        <v>18</v>
      </c>
      <c r="N44" t="str">
        <f>VLOOKUP(M44,LUTs!E$2:H$14,3,)</f>
        <v>06King</v>
      </c>
      <c r="O44" t="str">
        <f>VLOOKUP(M44,LUTs!E$2:H$14,4,)</f>
        <v>02South Puget Sound</v>
      </c>
      <c r="P44" s="80">
        <v>6</v>
      </c>
      <c r="Q44" s="102">
        <v>6</v>
      </c>
      <c r="R44" s="74">
        <f>VLOOKUP(B44,Readme!A$40:C$52,3,)*Q44</f>
        <v>51.239999999999995</v>
      </c>
      <c r="T44" s="59" t="s">
        <v>137</v>
      </c>
      <c r="U44" s="106">
        <v>0.17915977882916265</v>
      </c>
      <c r="V44" s="106">
        <v>2.3428147979250972E-2</v>
      </c>
      <c r="W44" s="106">
        <v>1.3870679663303498E-3</v>
      </c>
      <c r="X44" s="106">
        <v>2.6221284842957299E-3</v>
      </c>
      <c r="Y44" s="106">
        <v>2.4131182427938962E-3</v>
      </c>
      <c r="Z44" s="106">
        <v>0.22421098633833048</v>
      </c>
      <c r="AA44" s="106">
        <v>0.11968686465636813</v>
      </c>
      <c r="AB44" s="106">
        <v>5.0846491478082394E-2</v>
      </c>
      <c r="AC44" s="106">
        <v>3.9350928195481569E-2</v>
      </c>
      <c r="AD44" s="106">
        <v>3.4771703813486869E-2</v>
      </c>
      <c r="AE44" s="106">
        <v>5.1454521271542299E-2</v>
      </c>
      <c r="AF44" s="106">
        <v>0.27066826274487465</v>
      </c>
      <c r="AG44" s="106">
        <v>1</v>
      </c>
    </row>
    <row r="45" spans="1:33" ht="14.15" customHeight="1" x14ac:dyDescent="0.35">
      <c r="A45" s="75">
        <v>243</v>
      </c>
      <c r="B45" s="80">
        <v>2010</v>
      </c>
      <c r="C45" s="80">
        <v>7</v>
      </c>
      <c r="D45" s="80">
        <f t="shared" si="0"/>
        <v>2010</v>
      </c>
      <c r="E45" t="s">
        <v>38</v>
      </c>
      <c r="F45" t="s">
        <v>143</v>
      </c>
      <c r="G45" t="s">
        <v>86</v>
      </c>
      <c r="H45" s="72" t="s">
        <v>221</v>
      </c>
      <c r="I45" s="72" t="s">
        <v>63</v>
      </c>
      <c r="J45" t="str">
        <f t="shared" si="7"/>
        <v>Snohomish River</v>
      </c>
      <c r="K45" t="str">
        <f>IFERROR(VLOOKUP(J45,LUTs!$A$1:$C$73,2,FALSE),"NA")</f>
        <v>Snohomish</v>
      </c>
      <c r="L45" t="str">
        <f>IFERROR(VLOOKUP(J45,LUTs!$A$1:$C$73,3,FALSE),"NA")</f>
        <v>2Central Puget Sound</v>
      </c>
      <c r="M45" s="72" t="s">
        <v>17</v>
      </c>
      <c r="N45" t="str">
        <f>VLOOKUP(M45,LUTs!E$2:H$14,3,)</f>
        <v>04Island</v>
      </c>
      <c r="O45" t="str">
        <f>VLOOKUP(M45,LUTs!E$2:H$14,4,)</f>
        <v>01North Puget Sound</v>
      </c>
      <c r="P45" s="80">
        <v>2.8571428571428599</v>
      </c>
      <c r="Q45" s="102">
        <v>2.8571428571428599</v>
      </c>
      <c r="R45" s="74">
        <f>VLOOKUP(B45,Readme!A$40:C$52,3,)*Q45</f>
        <v>24.40000000000002</v>
      </c>
      <c r="T45" s="59" t="s">
        <v>139</v>
      </c>
      <c r="U45" s="106">
        <v>7.2212734813369109E-2</v>
      </c>
      <c r="V45" s="106">
        <v>4.8792388387411552E-4</v>
      </c>
      <c r="W45" s="106">
        <v>0</v>
      </c>
      <c r="X45" s="106">
        <v>4.8792388387411552E-4</v>
      </c>
      <c r="Y45" s="106">
        <v>1.4637716516223466E-3</v>
      </c>
      <c r="Z45" s="106">
        <v>0.17565259819468163</v>
      </c>
      <c r="AA45" s="106">
        <v>0.17614052207855582</v>
      </c>
      <c r="AB45" s="106">
        <v>0.11783361795559895</v>
      </c>
      <c r="AC45" s="106">
        <v>0.14954867040741646</v>
      </c>
      <c r="AD45" s="106">
        <v>0.10783117833617953</v>
      </c>
      <c r="AE45" s="106">
        <v>5.513539887777507E-2</v>
      </c>
      <c r="AF45" s="106">
        <v>0.143205659917053</v>
      </c>
      <c r="AG45" s="106">
        <v>1</v>
      </c>
    </row>
    <row r="46" spans="1:33" ht="14.15" customHeight="1" x14ac:dyDescent="0.35">
      <c r="A46" s="75">
        <v>244</v>
      </c>
      <c r="B46" s="80">
        <v>2010</v>
      </c>
      <c r="C46" s="80">
        <v>7</v>
      </c>
      <c r="D46" s="80">
        <f t="shared" si="0"/>
        <v>2010</v>
      </c>
      <c r="E46" t="s">
        <v>38</v>
      </c>
      <c r="F46" t="s">
        <v>143</v>
      </c>
      <c r="G46" t="s">
        <v>86</v>
      </c>
      <c r="H46" s="72" t="s">
        <v>221</v>
      </c>
      <c r="I46" s="72" t="s">
        <v>63</v>
      </c>
      <c r="J46" t="str">
        <f t="shared" si="7"/>
        <v>Snohomish River</v>
      </c>
      <c r="K46" t="str">
        <f>IFERROR(VLOOKUP(J46,LUTs!$A$1:$C$73,2,FALSE),"NA")</f>
        <v>Snohomish</v>
      </c>
      <c r="L46" t="str">
        <f>IFERROR(VLOOKUP(J46,LUTs!$A$1:$C$73,3,FALSE),"NA")</f>
        <v>2Central Puget Sound</v>
      </c>
      <c r="M46" s="72" t="s">
        <v>16</v>
      </c>
      <c r="N46" t="str">
        <f>VLOOKUP(M46,LUTs!E$2:H$14,3,)</f>
        <v>03Snohomish</v>
      </c>
      <c r="O46" t="str">
        <f>VLOOKUP(M46,LUTs!E$2:H$14,4,)</f>
        <v>01North Puget Sound</v>
      </c>
      <c r="P46" s="80">
        <v>17.1428571428571</v>
      </c>
      <c r="Q46" s="102">
        <v>17.1428571428571</v>
      </c>
      <c r="R46" s="74">
        <f>VLOOKUP(B46,Readme!A$40:C$52,3,)*Q46</f>
        <v>146.39999999999961</v>
      </c>
      <c r="T46" s="59" t="s">
        <v>141</v>
      </c>
      <c r="U46" s="106" t="e">
        <v>#DIV/0!</v>
      </c>
      <c r="V46" s="106" t="e">
        <v>#DIV/0!</v>
      </c>
      <c r="W46" s="106" t="e">
        <v>#DIV/0!</v>
      </c>
      <c r="X46" s="106" t="e">
        <v>#DIV/0!</v>
      </c>
      <c r="Y46" s="106" t="e">
        <v>#DIV/0!</v>
      </c>
      <c r="Z46" s="106" t="e">
        <v>#DIV/0!</v>
      </c>
      <c r="AA46" s="106" t="e">
        <v>#DIV/0!</v>
      </c>
      <c r="AB46" s="106" t="e">
        <v>#DIV/0!</v>
      </c>
      <c r="AC46" s="106" t="e">
        <v>#DIV/0!</v>
      </c>
      <c r="AD46" s="106" t="e">
        <v>#DIV/0!</v>
      </c>
      <c r="AE46" s="106" t="e">
        <v>#DIV/0!</v>
      </c>
      <c r="AF46" s="106" t="e">
        <v>#DIV/0!</v>
      </c>
      <c r="AG46" s="106" t="e">
        <v>#DIV/0!</v>
      </c>
    </row>
    <row r="47" spans="1:33" ht="14.15" customHeight="1" x14ac:dyDescent="0.35">
      <c r="A47" s="75">
        <v>255</v>
      </c>
      <c r="B47" s="80">
        <v>2010</v>
      </c>
      <c r="C47" s="80">
        <v>7</v>
      </c>
      <c r="D47" s="80">
        <f t="shared" si="0"/>
        <v>2010</v>
      </c>
      <c r="E47" t="s">
        <v>38</v>
      </c>
      <c r="F47" t="s">
        <v>143</v>
      </c>
      <c r="G47" t="s">
        <v>86</v>
      </c>
      <c r="H47" s="72" t="s">
        <v>222</v>
      </c>
      <c r="I47" s="72" t="s">
        <v>64</v>
      </c>
      <c r="J47" t="str">
        <f t="shared" si="7"/>
        <v>Snoqualmie River</v>
      </c>
      <c r="K47" t="str">
        <f>IFERROR(VLOOKUP(J47,LUTs!$A$1:$C$73,2,FALSE),"NA")</f>
        <v>Snohomish/King</v>
      </c>
      <c r="L47" t="str">
        <f>IFERROR(VLOOKUP(J47,LUTs!$A$1:$C$73,3,FALSE),"NA")</f>
        <v>2Central Puget Sound</v>
      </c>
      <c r="M47" s="72" t="s">
        <v>18</v>
      </c>
      <c r="N47" t="str">
        <f>VLOOKUP(M47,LUTs!E$2:H$14,3,)</f>
        <v>06King</v>
      </c>
      <c r="O47" t="str">
        <f>VLOOKUP(M47,LUTs!E$2:H$14,4,)</f>
        <v>02South Puget Sound</v>
      </c>
      <c r="P47" s="80">
        <v>105.71428571428601</v>
      </c>
      <c r="Q47" s="102">
        <v>105.71428571428601</v>
      </c>
      <c r="R47" s="74">
        <f>VLOOKUP(B47,Readme!A$40:C$52,3,)*Q47</f>
        <v>902.80000000000246</v>
      </c>
      <c r="T47" s="59" t="s">
        <v>157</v>
      </c>
      <c r="U47" s="106">
        <v>0.18401584158415843</v>
      </c>
      <c r="V47" s="106">
        <v>2.5853465346534644E-2</v>
      </c>
      <c r="W47" s="106">
        <v>2.1544554455445539E-3</v>
      </c>
      <c r="X47" s="106">
        <v>2.2178217821782172E-3</v>
      </c>
      <c r="Y47" s="106">
        <v>2.1069306930693063E-3</v>
      </c>
      <c r="Z47" s="106">
        <v>0.1987643564356435</v>
      </c>
      <c r="AA47" s="106">
        <v>0.11184158415841582</v>
      </c>
      <c r="AB47" s="106">
        <v>5.1405940594059382E-2</v>
      </c>
      <c r="AC47" s="106">
        <v>4.42138613861386E-2</v>
      </c>
      <c r="AD47" s="106">
        <v>3.7639603960396048E-2</v>
      </c>
      <c r="AE47" s="106">
        <v>6.1306930693069299E-2</v>
      </c>
      <c r="AF47" s="106">
        <v>0.27847920792079217</v>
      </c>
      <c r="AG47" s="106">
        <v>1</v>
      </c>
    </row>
    <row r="48" spans="1:33" ht="14.15" customHeight="1" x14ac:dyDescent="0.35">
      <c r="A48" s="75">
        <v>256</v>
      </c>
      <c r="B48" s="80">
        <v>2010</v>
      </c>
      <c r="C48" s="80">
        <v>7</v>
      </c>
      <c r="D48" s="80">
        <f t="shared" si="0"/>
        <v>2010</v>
      </c>
      <c r="E48" t="s">
        <v>38</v>
      </c>
      <c r="F48" t="s">
        <v>143</v>
      </c>
      <c r="G48" t="s">
        <v>86</v>
      </c>
      <c r="H48" s="72" t="s">
        <v>222</v>
      </c>
      <c r="I48" s="72" t="s">
        <v>64</v>
      </c>
      <c r="J48" t="str">
        <f t="shared" si="7"/>
        <v>Snoqualmie River</v>
      </c>
      <c r="K48" t="str">
        <f>IFERROR(VLOOKUP(J48,LUTs!$A$1:$C$73,2,FALSE),"NA")</f>
        <v>Snohomish/King</v>
      </c>
      <c r="L48" t="str">
        <f>IFERROR(VLOOKUP(J48,LUTs!$A$1:$C$73,3,FALSE),"NA")</f>
        <v>2Central Puget Sound</v>
      </c>
      <c r="M48" s="72" t="s">
        <v>26</v>
      </c>
      <c r="N48" t="str">
        <f>VLOOKUP(M48,LUTs!E$2:H$14,3,)</f>
        <v>20Other</v>
      </c>
      <c r="O48" t="str">
        <f>VLOOKUP(M48,LUTs!E$2:H$14,4,)</f>
        <v>07Non Puget Sound</v>
      </c>
      <c r="P48" s="80">
        <v>2.6428571428571401</v>
      </c>
      <c r="Q48" s="102">
        <v>2.6428571428571401</v>
      </c>
      <c r="R48" s="74">
        <f>VLOOKUP(B48,Readme!A$40:C$52,3,)*Q48</f>
        <v>22.569999999999975</v>
      </c>
    </row>
    <row r="49" spans="1:33" ht="14.15" customHeight="1" x14ac:dyDescent="0.35">
      <c r="A49" s="75">
        <v>257</v>
      </c>
      <c r="B49" s="80">
        <v>2010</v>
      </c>
      <c r="C49" s="80">
        <v>7</v>
      </c>
      <c r="D49" s="80">
        <f t="shared" si="0"/>
        <v>2010</v>
      </c>
      <c r="E49" t="s">
        <v>38</v>
      </c>
      <c r="F49" t="s">
        <v>143</v>
      </c>
      <c r="G49" t="s">
        <v>86</v>
      </c>
      <c r="H49" s="72" t="s">
        <v>222</v>
      </c>
      <c r="I49" s="72" t="s">
        <v>64</v>
      </c>
      <c r="J49" t="str">
        <f t="shared" si="7"/>
        <v>Snoqualmie River</v>
      </c>
      <c r="K49" t="str">
        <f>IFERROR(VLOOKUP(J49,LUTs!$A$1:$C$73,2,FALSE),"NA")</f>
        <v>Snohomish/King</v>
      </c>
      <c r="L49" t="str">
        <f>IFERROR(VLOOKUP(J49,LUTs!$A$1:$C$73,3,FALSE),"NA")</f>
        <v>2Central Puget Sound</v>
      </c>
      <c r="M49" s="72" t="s">
        <v>16</v>
      </c>
      <c r="N49" t="str">
        <f>VLOOKUP(M49,LUTs!E$2:H$14,3,)</f>
        <v>03Snohomish</v>
      </c>
      <c r="O49" t="str">
        <f>VLOOKUP(M49,LUTs!E$2:H$14,4,)</f>
        <v>01North Puget Sound</v>
      </c>
      <c r="P49" s="80">
        <v>2.6428571428571401</v>
      </c>
      <c r="Q49" s="102">
        <v>2.6428571428571401</v>
      </c>
      <c r="R49" s="74">
        <f>VLOOKUP(B49,Readme!A$40:C$52,3,)*Q49</f>
        <v>22.569999999999975</v>
      </c>
    </row>
    <row r="50" spans="1:33" ht="14.15" customHeight="1" x14ac:dyDescent="0.35">
      <c r="A50" s="75">
        <v>44</v>
      </c>
      <c r="B50" s="80">
        <v>2010</v>
      </c>
      <c r="C50" s="80">
        <v>7</v>
      </c>
      <c r="D50" s="80">
        <f t="shared" si="0"/>
        <v>2010</v>
      </c>
      <c r="E50" t="s">
        <v>38</v>
      </c>
      <c r="F50" t="s">
        <v>143</v>
      </c>
      <c r="G50" t="s">
        <v>86</v>
      </c>
      <c r="H50" s="72" t="s">
        <v>236</v>
      </c>
      <c r="I50" s="72" t="s">
        <v>90</v>
      </c>
      <c r="J50" t="str">
        <f t="shared" si="7"/>
        <v>Soos Creek</v>
      </c>
      <c r="K50" t="str">
        <f>IFERROR(VLOOKUP(J50,LUTs!$A$1:$C$73,2,FALSE),"NA")</f>
        <v>King</v>
      </c>
      <c r="L50" t="str">
        <f>IFERROR(VLOOKUP(J50,LUTs!$A$1:$C$73,3,FALSE),"NA")</f>
        <v>3South Puget Sound</v>
      </c>
      <c r="M50" s="72" t="s">
        <v>18</v>
      </c>
      <c r="N50" t="str">
        <f>VLOOKUP(M50,LUTs!E$2:H$14,3,)</f>
        <v>06King</v>
      </c>
      <c r="O50" t="str">
        <f>VLOOKUP(M50,LUTs!E$2:H$14,4,)</f>
        <v>02South Puget Sound</v>
      </c>
      <c r="P50" s="80">
        <v>4</v>
      </c>
      <c r="Q50" s="102">
        <v>4</v>
      </c>
      <c r="R50" s="74">
        <f>VLOOKUP(B50,Readme!A$40:C$52,3,)*Q50</f>
        <v>34.159999999999997</v>
      </c>
    </row>
    <row r="51" spans="1:33" ht="14.15" customHeight="1" x14ac:dyDescent="0.35">
      <c r="A51" s="75">
        <v>338</v>
      </c>
      <c r="B51" s="80">
        <v>2010</v>
      </c>
      <c r="C51" s="80">
        <v>8</v>
      </c>
      <c r="D51" s="80">
        <f t="shared" si="0"/>
        <v>2010</v>
      </c>
      <c r="E51" t="s">
        <v>38</v>
      </c>
      <c r="F51" t="s">
        <v>143</v>
      </c>
      <c r="G51" t="s">
        <v>86</v>
      </c>
      <c r="H51" s="72" t="s">
        <v>254</v>
      </c>
      <c r="I51" s="72" t="s">
        <v>33</v>
      </c>
      <c r="J51" t="str">
        <f t="shared" si="7"/>
        <v>Area 9: Admiralty Inlet</v>
      </c>
      <c r="K51" t="str">
        <f>IFERROR(VLOOKUP(J51,LUTs!$A$1:$C$73,2,FALSE),"NA")</f>
        <v>NA</v>
      </c>
      <c r="L51" t="str">
        <f>IFERROR(VLOOKUP(J51,LUTs!$A$1:$C$73,3,FALSE),"NA")</f>
        <v>2Central Puget Sound</v>
      </c>
      <c r="M51" s="72" t="s">
        <v>18</v>
      </c>
      <c r="N51" t="str">
        <f>VLOOKUP(M51,LUTs!E$2:H$14,3,)</f>
        <v>06King</v>
      </c>
      <c r="O51" t="str">
        <f>VLOOKUP(M51,LUTs!E$2:H$14,4,)</f>
        <v>02South Puget Sound</v>
      </c>
      <c r="P51" s="80">
        <v>4</v>
      </c>
      <c r="Q51" s="102">
        <v>4</v>
      </c>
      <c r="R51" s="74">
        <f>VLOOKUP(B51,Readme!A$40:C$52,3,)*Q51</f>
        <v>34.159999999999997</v>
      </c>
      <c r="T51" s="15" t="s">
        <v>283</v>
      </c>
      <c r="U51"/>
      <c r="V51"/>
    </row>
    <row r="52" spans="1:33" ht="14.15" customHeight="1" x14ac:dyDescent="0.35">
      <c r="A52" s="75">
        <v>339</v>
      </c>
      <c r="B52" s="80">
        <v>2010</v>
      </c>
      <c r="C52" s="80">
        <v>8</v>
      </c>
      <c r="D52" s="80">
        <f t="shared" si="0"/>
        <v>2010</v>
      </c>
      <c r="E52" t="s">
        <v>38</v>
      </c>
      <c r="F52" t="s">
        <v>143</v>
      </c>
      <c r="G52" t="s">
        <v>86</v>
      </c>
      <c r="H52" s="72" t="s">
        <v>254</v>
      </c>
      <c r="I52" s="72" t="s">
        <v>33</v>
      </c>
      <c r="J52" t="str">
        <f t="shared" si="7"/>
        <v>Area 9: Admiralty Inlet</v>
      </c>
      <c r="K52" t="str">
        <f>IFERROR(VLOOKUP(J52,LUTs!$A$1:$C$73,2,FALSE),"NA")</f>
        <v>NA</v>
      </c>
      <c r="L52" t="str">
        <f>IFERROR(VLOOKUP(J52,LUTs!$A$1:$C$73,3,FALSE),"NA")</f>
        <v>2Central Puget Sound</v>
      </c>
      <c r="M52" s="72" t="s">
        <v>16</v>
      </c>
      <c r="N52" t="str">
        <f>VLOOKUP(M52,LUTs!E$2:H$14,3,)</f>
        <v>03Snohomish</v>
      </c>
      <c r="O52" t="str">
        <f>VLOOKUP(M52,LUTs!E$2:H$14,4,)</f>
        <v>01North Puget Sound</v>
      </c>
      <c r="P52" s="80">
        <v>2</v>
      </c>
      <c r="Q52" s="102">
        <v>2</v>
      </c>
      <c r="R52" s="74">
        <f>VLOOKUP(B52,Readme!A$40:C$52,3,)*Q52</f>
        <v>17.079999999999998</v>
      </c>
      <c r="T52" s="45" t="s">
        <v>0</v>
      </c>
      <c r="U52" t="s">
        <v>175</v>
      </c>
    </row>
    <row r="53" spans="1:33" ht="14.15" customHeight="1" x14ac:dyDescent="0.35">
      <c r="A53" s="75">
        <v>24</v>
      </c>
      <c r="B53" s="80">
        <v>2010</v>
      </c>
      <c r="C53" s="80">
        <v>8</v>
      </c>
      <c r="D53" s="80">
        <f t="shared" si="0"/>
        <v>2010</v>
      </c>
      <c r="E53" t="s">
        <v>38</v>
      </c>
      <c r="F53" t="s">
        <v>143</v>
      </c>
      <c r="G53" t="s">
        <v>86</v>
      </c>
      <c r="H53" s="72" t="s">
        <v>203</v>
      </c>
      <c r="I53" s="72" t="s">
        <v>89</v>
      </c>
      <c r="J53" s="84" t="s">
        <v>45</v>
      </c>
      <c r="K53" t="str">
        <f>IFERROR(VLOOKUP(J53,LUTs!$A$1:$C$73,2,FALSE),"NA")</f>
        <v>King</v>
      </c>
      <c r="L53" t="str">
        <f>IFERROR(VLOOKUP(J53,LUTs!$A$1:$C$73,3,FALSE),"NA")</f>
        <v>3South Puget Sound</v>
      </c>
      <c r="M53" s="72" t="s">
        <v>18</v>
      </c>
      <c r="N53" t="str">
        <f>VLOOKUP(M53,LUTs!E$2:H$14,3,)</f>
        <v>06King</v>
      </c>
      <c r="O53" t="str">
        <f>VLOOKUP(M53,LUTs!E$2:H$14,4,)</f>
        <v>02South Puget Sound</v>
      </c>
      <c r="P53" s="80">
        <v>18.5</v>
      </c>
      <c r="Q53" s="102">
        <v>18.5</v>
      </c>
      <c r="R53" s="74">
        <f>VLOOKUP(B53,Readme!A$40:C$52,3,)*Q53</f>
        <v>157.98999999999998</v>
      </c>
      <c r="T53"/>
      <c r="U53"/>
      <c r="V53"/>
    </row>
    <row r="54" spans="1:33" ht="14.15" customHeight="1" x14ac:dyDescent="0.35">
      <c r="A54" s="75">
        <v>25</v>
      </c>
      <c r="B54" s="80">
        <v>2010</v>
      </c>
      <c r="C54" s="80">
        <v>8</v>
      </c>
      <c r="D54" s="80">
        <f t="shared" si="0"/>
        <v>2010</v>
      </c>
      <c r="E54" t="s">
        <v>38</v>
      </c>
      <c r="F54" t="s">
        <v>143</v>
      </c>
      <c r="G54" t="s">
        <v>86</v>
      </c>
      <c r="H54" s="72" t="s">
        <v>203</v>
      </c>
      <c r="I54" s="72" t="s">
        <v>89</v>
      </c>
      <c r="J54" s="84" t="s">
        <v>45</v>
      </c>
      <c r="K54" t="str">
        <f>IFERROR(VLOOKUP(J54,LUTs!$A$1:$C$73,2,FALSE),"NA")</f>
        <v>King</v>
      </c>
      <c r="L54" t="str">
        <f>IFERROR(VLOOKUP(J54,LUTs!$A$1:$C$73,3,FALSE),"NA")</f>
        <v>3South Puget Sound</v>
      </c>
      <c r="M54" s="72" t="s">
        <v>23</v>
      </c>
      <c r="N54" t="str">
        <f>VLOOKUP(M54,LUTs!E$2:H$14,3,)</f>
        <v>10Kitsap</v>
      </c>
      <c r="O54" t="str">
        <f>VLOOKUP(M54,LUTs!E$2:H$14,4,)</f>
        <v>02South Puget Sound</v>
      </c>
      <c r="P54" s="80">
        <v>1.85</v>
      </c>
      <c r="Q54" s="102">
        <v>1.85</v>
      </c>
      <c r="R54" s="74">
        <f>VLOOKUP(B54,Readme!A$40:C$52,3,)*Q54</f>
        <v>15.798999999999999</v>
      </c>
      <c r="T54" s="45" t="s">
        <v>278</v>
      </c>
      <c r="U54" s="45" t="s">
        <v>275</v>
      </c>
      <c r="V54"/>
      <c r="W54"/>
      <c r="X54"/>
      <c r="Y54"/>
      <c r="Z54"/>
      <c r="AA54"/>
      <c r="AB54"/>
      <c r="AC54"/>
      <c r="AD54"/>
      <c r="AE54"/>
      <c r="AF54"/>
      <c r="AG54"/>
    </row>
    <row r="55" spans="1:33" ht="14.15" customHeight="1" x14ac:dyDescent="0.35">
      <c r="A55" s="75">
        <v>26</v>
      </c>
      <c r="B55" s="80">
        <v>2010</v>
      </c>
      <c r="C55" s="80">
        <v>8</v>
      </c>
      <c r="D55" s="80">
        <f t="shared" si="0"/>
        <v>2010</v>
      </c>
      <c r="E55" t="s">
        <v>38</v>
      </c>
      <c r="F55" t="s">
        <v>143</v>
      </c>
      <c r="G55" t="s">
        <v>86</v>
      </c>
      <c r="H55" s="72" t="s">
        <v>203</v>
      </c>
      <c r="I55" s="72" t="s">
        <v>89</v>
      </c>
      <c r="J55" s="84" t="s">
        <v>45</v>
      </c>
      <c r="K55" t="str">
        <f>IFERROR(VLOOKUP(J55,LUTs!$A$1:$C$73,2,FALSE),"NA")</f>
        <v>King</v>
      </c>
      <c r="L55" t="str">
        <f>IFERROR(VLOOKUP(J55,LUTs!$A$1:$C$73,3,FALSE),"NA")</f>
        <v>3South Puget Sound</v>
      </c>
      <c r="M55" s="72" t="s">
        <v>20</v>
      </c>
      <c r="N55" t="str">
        <f>VLOOKUP(M55,LUTs!E$2:H$14,3,)</f>
        <v>07Pierce</v>
      </c>
      <c r="O55" t="str">
        <f>VLOOKUP(M55,LUTs!E$2:H$14,4,)</f>
        <v>02South Puget Sound</v>
      </c>
      <c r="P55" s="80">
        <v>16.649999999999999</v>
      </c>
      <c r="Q55" s="102">
        <v>16.649999999999999</v>
      </c>
      <c r="R55" s="74">
        <f>VLOOKUP(B55,Readme!A$40:C$52,3,)*Q55</f>
        <v>142.19099999999997</v>
      </c>
      <c r="T55" s="45" t="s">
        <v>274</v>
      </c>
      <c r="U55">
        <v>1</v>
      </c>
      <c r="V55">
        <v>2</v>
      </c>
      <c r="W55">
        <v>3</v>
      </c>
      <c r="X55">
        <v>4</v>
      </c>
      <c r="Y55">
        <v>5</v>
      </c>
      <c r="Z55">
        <v>6</v>
      </c>
      <c r="AA55">
        <v>7</v>
      </c>
      <c r="AB55">
        <v>8</v>
      </c>
      <c r="AC55">
        <v>9</v>
      </c>
      <c r="AD55">
        <v>10</v>
      </c>
      <c r="AE55">
        <v>11</v>
      </c>
      <c r="AF55">
        <v>12</v>
      </c>
      <c r="AG55" t="s">
        <v>157</v>
      </c>
    </row>
    <row r="56" spans="1:33" ht="14.15" customHeight="1" x14ac:dyDescent="0.35">
      <c r="A56" s="75">
        <v>64</v>
      </c>
      <c r="B56" s="80">
        <v>2010</v>
      </c>
      <c r="C56" s="80">
        <v>8</v>
      </c>
      <c r="D56" s="80">
        <f t="shared" si="0"/>
        <v>2010</v>
      </c>
      <c r="E56" t="s">
        <v>38</v>
      </c>
      <c r="F56" t="s">
        <v>143</v>
      </c>
      <c r="G56" t="s">
        <v>86</v>
      </c>
      <c r="H56" s="72" t="s">
        <v>237</v>
      </c>
      <c r="I56" s="72" t="s">
        <v>79</v>
      </c>
      <c r="J56" t="str">
        <f t="shared" ref="J56:J85" si="8">I56</f>
        <v>Lyre River</v>
      </c>
      <c r="K56" t="str">
        <f>IFERROR(VLOOKUP(J56,LUTs!$A$1:$C$73,2,FALSE),"NA")</f>
        <v>Clallam</v>
      </c>
      <c r="L56" t="str">
        <f>IFERROR(VLOOKUP(J56,LUTs!$A$1:$C$73,3,FALSE),"NA")</f>
        <v>0Strait of Juan de Fuca</v>
      </c>
      <c r="M56" s="72" t="s">
        <v>24</v>
      </c>
      <c r="N56" t="str">
        <f>VLOOKUP(M56,LUTs!E$2:H$14,3,)</f>
        <v>11Clallam</v>
      </c>
      <c r="O56" t="str">
        <f>VLOOKUP(M56,LUTs!E$2:H$14,4,)</f>
        <v>03Strait of Juan de Fuca</v>
      </c>
      <c r="P56" s="80">
        <v>29.04</v>
      </c>
      <c r="Q56" s="102">
        <v>29.04</v>
      </c>
      <c r="R56" s="74">
        <f>VLOOKUP(B56,Readme!A$40:C$52,3,)*Q56</f>
        <v>248.00159999999997</v>
      </c>
      <c r="T56" s="59" t="s">
        <v>133</v>
      </c>
      <c r="U56" s="53">
        <v>9909.83</v>
      </c>
      <c r="V56" s="53">
        <v>1847.089999999999</v>
      </c>
      <c r="W56" s="53">
        <v>728.21</v>
      </c>
      <c r="X56" s="53"/>
      <c r="Y56" s="53"/>
      <c r="Z56" s="53">
        <v>269.43</v>
      </c>
      <c r="AA56" s="53">
        <v>547.68000000000006</v>
      </c>
      <c r="AB56" s="53">
        <v>1214.92</v>
      </c>
      <c r="AC56" s="53">
        <v>589.81999999999994</v>
      </c>
      <c r="AD56" s="53">
        <v>703.15</v>
      </c>
      <c r="AE56" s="53">
        <v>5447.5399999999991</v>
      </c>
      <c r="AF56" s="53">
        <v>16110.570000000002</v>
      </c>
      <c r="AG56" s="53">
        <v>37368.239999999998</v>
      </c>
    </row>
    <row r="57" spans="1:33" ht="14.15" customHeight="1" x14ac:dyDescent="0.35">
      <c r="A57" s="75">
        <v>65</v>
      </c>
      <c r="B57" s="80">
        <v>2010</v>
      </c>
      <c r="C57" s="80">
        <v>8</v>
      </c>
      <c r="D57" s="80">
        <f t="shared" si="0"/>
        <v>2010</v>
      </c>
      <c r="E57" t="s">
        <v>38</v>
      </c>
      <c r="F57" t="s">
        <v>143</v>
      </c>
      <c r="G57" t="s">
        <v>86</v>
      </c>
      <c r="H57" s="72" t="s">
        <v>237</v>
      </c>
      <c r="I57" s="72" t="s">
        <v>79</v>
      </c>
      <c r="J57" t="str">
        <f t="shared" si="8"/>
        <v>Lyre River</v>
      </c>
      <c r="K57" t="str">
        <f>IFERROR(VLOOKUP(J57,LUTs!$A$1:$C$73,2,FALSE),"NA")</f>
        <v>Clallam</v>
      </c>
      <c r="L57" t="str">
        <f>IFERROR(VLOOKUP(J57,LUTs!$A$1:$C$73,3,FALSE),"NA")</f>
        <v>0Strait of Juan de Fuca</v>
      </c>
      <c r="M57" s="72" t="s">
        <v>22</v>
      </c>
      <c r="N57" t="str">
        <f>VLOOKUP(M57,LUTs!E$2:H$14,3,)</f>
        <v>09Mason</v>
      </c>
      <c r="O57" t="str">
        <f>VLOOKUP(M57,LUTs!E$2:H$14,4,)</f>
        <v>02South Puget Sound</v>
      </c>
      <c r="P57" s="80">
        <v>3.96</v>
      </c>
      <c r="Q57" s="102">
        <v>3.96</v>
      </c>
      <c r="R57" s="74">
        <f>VLOOKUP(B57,Readme!A$40:C$52,3,)*Q57</f>
        <v>33.818399999999997</v>
      </c>
      <c r="T57" s="59" t="s">
        <v>135</v>
      </c>
      <c r="U57" s="53">
        <v>15858.919999999998</v>
      </c>
      <c r="V57" s="53">
        <v>3545.2900000000004</v>
      </c>
      <c r="W57" s="53"/>
      <c r="X57" s="53"/>
      <c r="Y57" s="53"/>
      <c r="Z57" s="53">
        <v>81.27000000000001</v>
      </c>
      <c r="AA57" s="53">
        <v>55.650000000000006</v>
      </c>
      <c r="AB57" s="53">
        <v>0</v>
      </c>
      <c r="AC57" s="53">
        <v>514.14999999999975</v>
      </c>
      <c r="AD57" s="53">
        <v>605.43000000000052</v>
      </c>
      <c r="AE57" s="53">
        <v>6549.9</v>
      </c>
      <c r="AF57" s="53">
        <v>18850.300000000007</v>
      </c>
      <c r="AG57" s="53">
        <v>46060.91</v>
      </c>
    </row>
    <row r="58" spans="1:33" ht="14.15" customHeight="1" x14ac:dyDescent="0.35">
      <c r="A58" s="75">
        <v>144</v>
      </c>
      <c r="B58" s="80">
        <v>2010</v>
      </c>
      <c r="C58" s="80">
        <v>8</v>
      </c>
      <c r="D58" s="80">
        <f t="shared" si="0"/>
        <v>2010</v>
      </c>
      <c r="E58" t="s">
        <v>38</v>
      </c>
      <c r="F58" t="s">
        <v>143</v>
      </c>
      <c r="G58" t="s">
        <v>86</v>
      </c>
      <c r="H58" s="72" t="s">
        <v>245</v>
      </c>
      <c r="I58" s="72" t="s">
        <v>96</v>
      </c>
      <c r="J58" t="str">
        <f t="shared" si="8"/>
        <v>Sauk River</v>
      </c>
      <c r="K58" t="str">
        <f>IFERROR(VLOOKUP(J58,LUTs!$A$1:$C$73,2,FALSE),"NA")</f>
        <v>Skagit/Snohomish</v>
      </c>
      <c r="L58" t="str">
        <f>IFERROR(VLOOKUP(J58,LUTs!$A$1:$C$73,3,FALSE),"NA")</f>
        <v>2Central Puget Sound</v>
      </c>
      <c r="M58" s="72" t="s">
        <v>26</v>
      </c>
      <c r="N58" t="str">
        <f>VLOOKUP(M58,LUTs!E$2:H$14,3,)</f>
        <v>20Other</v>
      </c>
      <c r="O58" t="str">
        <f>VLOOKUP(M58,LUTs!E$2:H$14,4,)</f>
        <v>07Non Puget Sound</v>
      </c>
      <c r="P58" s="80">
        <v>3</v>
      </c>
      <c r="Q58" s="102">
        <v>3</v>
      </c>
      <c r="R58" s="74">
        <f>VLOOKUP(B58,Readme!A$40:C$52,3,)*Q58</f>
        <v>25.619999999999997</v>
      </c>
      <c r="T58" s="59" t="s">
        <v>137</v>
      </c>
      <c r="U58" s="53">
        <v>121204.30000000009</v>
      </c>
      <c r="V58" s="53">
        <v>16025.309999999998</v>
      </c>
      <c r="W58" s="53">
        <v>853.65</v>
      </c>
      <c r="X58" s="53">
        <v>1979.3200000000002</v>
      </c>
      <c r="Y58" s="53">
        <v>2005.5000000000002</v>
      </c>
      <c r="Z58" s="53">
        <v>145736.92000000001</v>
      </c>
      <c r="AA58" s="53">
        <v>81751.390000000043</v>
      </c>
      <c r="AB58" s="53">
        <v>39129.299999999981</v>
      </c>
      <c r="AC58" s="53">
        <v>31410.049999999996</v>
      </c>
      <c r="AD58" s="53">
        <v>25247.810000000019</v>
      </c>
      <c r="AE58" s="53">
        <v>37060.239999999991</v>
      </c>
      <c r="AF58" s="53">
        <v>189900.47999999995</v>
      </c>
      <c r="AG58" s="53">
        <v>692304.27</v>
      </c>
    </row>
    <row r="59" spans="1:33" ht="14.15" customHeight="1" x14ac:dyDescent="0.35">
      <c r="A59" s="75">
        <v>147</v>
      </c>
      <c r="B59" s="80">
        <v>2010</v>
      </c>
      <c r="C59" s="80">
        <v>8</v>
      </c>
      <c r="D59" s="80">
        <f t="shared" si="0"/>
        <v>2010</v>
      </c>
      <c r="E59" t="s">
        <v>38</v>
      </c>
      <c r="F59" t="s">
        <v>143</v>
      </c>
      <c r="G59" t="s">
        <v>86</v>
      </c>
      <c r="H59" s="72" t="s">
        <v>218</v>
      </c>
      <c r="I59" s="72" t="s">
        <v>60</v>
      </c>
      <c r="J59" t="str">
        <f t="shared" si="8"/>
        <v>Skagit River</v>
      </c>
      <c r="K59" t="str">
        <f>IFERROR(VLOOKUP(J59,LUTs!$A$1:$C$73,2,FALSE),"NA")</f>
        <v>Skagit/Whatcom</v>
      </c>
      <c r="L59" t="str">
        <f>IFERROR(VLOOKUP(J59,LUTs!$A$1:$C$73,3,FALSE),"NA")</f>
        <v>2Central Puget Sound</v>
      </c>
      <c r="M59" s="72" t="s">
        <v>26</v>
      </c>
      <c r="N59" t="str">
        <f>VLOOKUP(M59,LUTs!E$2:H$14,3,)</f>
        <v>20Other</v>
      </c>
      <c r="O59" t="str">
        <f>VLOOKUP(M59,LUTs!E$2:H$14,4,)</f>
        <v>07Non Puget Sound</v>
      </c>
      <c r="P59" s="80">
        <v>1.5</v>
      </c>
      <c r="Q59" s="102">
        <v>1.5</v>
      </c>
      <c r="R59" s="74">
        <f>VLOOKUP(B59,Readme!A$40:C$52,3,)*Q59</f>
        <v>12.809999999999999</v>
      </c>
      <c r="T59" s="59" t="s">
        <v>139</v>
      </c>
      <c r="U59" s="53">
        <v>4229.5400000000009</v>
      </c>
      <c r="V59" s="53">
        <v>37.1</v>
      </c>
      <c r="W59" s="53"/>
      <c r="X59" s="53">
        <v>37.1</v>
      </c>
      <c r="Y59" s="53">
        <v>111.30000000000001</v>
      </c>
      <c r="Z59" s="53">
        <v>10072.719999999999</v>
      </c>
      <c r="AA59" s="53">
        <v>10490.200000000015</v>
      </c>
      <c r="AB59" s="53">
        <v>6967.6600000000017</v>
      </c>
      <c r="AC59" s="53">
        <v>9619.3999999999978</v>
      </c>
      <c r="AD59" s="53">
        <v>7057.9600000000009</v>
      </c>
      <c r="AE59" s="53">
        <v>3031.14</v>
      </c>
      <c r="AF59" s="53">
        <v>7014.9800000000041</v>
      </c>
      <c r="AG59" s="53">
        <v>58669.10000000002</v>
      </c>
    </row>
    <row r="60" spans="1:33" ht="14.15" customHeight="1" x14ac:dyDescent="0.35">
      <c r="A60" s="75">
        <v>148</v>
      </c>
      <c r="B60" s="80">
        <v>2010</v>
      </c>
      <c r="C60" s="80">
        <v>8</v>
      </c>
      <c r="D60" s="80">
        <f t="shared" si="0"/>
        <v>2010</v>
      </c>
      <c r="E60" t="s">
        <v>38</v>
      </c>
      <c r="F60" t="s">
        <v>143</v>
      </c>
      <c r="G60" t="s">
        <v>86</v>
      </c>
      <c r="H60" s="72" t="s">
        <v>218</v>
      </c>
      <c r="I60" s="72" t="s">
        <v>60</v>
      </c>
      <c r="J60" t="str">
        <f t="shared" si="8"/>
        <v>Skagit River</v>
      </c>
      <c r="K60" t="str">
        <f>IFERROR(VLOOKUP(J60,LUTs!$A$1:$C$73,2,FALSE),"NA")</f>
        <v>Skagit/Whatcom</v>
      </c>
      <c r="L60" t="str">
        <f>IFERROR(VLOOKUP(J60,LUTs!$A$1:$C$73,3,FALSE),"NA")</f>
        <v>2Central Puget Sound</v>
      </c>
      <c r="M60" s="72" t="s">
        <v>15</v>
      </c>
      <c r="N60" t="str">
        <f>VLOOKUP(M60,LUTs!E$2:H$14,3,)</f>
        <v>02Skagit</v>
      </c>
      <c r="O60" t="str">
        <f>VLOOKUP(M60,LUTs!E$2:H$14,4,)</f>
        <v>01North Puget Sound</v>
      </c>
      <c r="P60" s="80">
        <v>1.5</v>
      </c>
      <c r="Q60" s="102">
        <v>1.5</v>
      </c>
      <c r="R60" s="74">
        <f>VLOOKUP(B60,Readme!A$40:C$52,3,)*Q60</f>
        <v>12.809999999999999</v>
      </c>
      <c r="T60" s="59" t="s">
        <v>141</v>
      </c>
      <c r="U60" s="53"/>
      <c r="V60" s="53"/>
      <c r="W60" s="53"/>
      <c r="X60" s="53"/>
      <c r="Y60" s="53"/>
      <c r="Z60" s="53">
        <v>0</v>
      </c>
      <c r="AA60" s="53"/>
      <c r="AB60" s="53">
        <v>0</v>
      </c>
      <c r="AC60" s="53">
        <v>0</v>
      </c>
      <c r="AD60" s="53"/>
      <c r="AE60" s="53">
        <v>0</v>
      </c>
      <c r="AF60" s="53"/>
      <c r="AG60" s="53">
        <v>0</v>
      </c>
    </row>
    <row r="61" spans="1:33" ht="14.15" customHeight="1" x14ac:dyDescent="0.35">
      <c r="A61" s="75">
        <v>190</v>
      </c>
      <c r="B61" s="80">
        <v>2010</v>
      </c>
      <c r="C61" s="80">
        <v>8</v>
      </c>
      <c r="D61" s="80">
        <f t="shared" si="0"/>
        <v>2010</v>
      </c>
      <c r="E61" t="s">
        <v>38</v>
      </c>
      <c r="F61" t="s">
        <v>143</v>
      </c>
      <c r="G61" t="s">
        <v>86</v>
      </c>
      <c r="H61" s="72" t="s">
        <v>220</v>
      </c>
      <c r="I61" s="72" t="s">
        <v>62</v>
      </c>
      <c r="J61" t="str">
        <f t="shared" si="8"/>
        <v>Skykomish River</v>
      </c>
      <c r="K61" t="str">
        <f>IFERROR(VLOOKUP(J61,LUTs!$A$1:$C$73,2,FALSE),"NA")</f>
        <v>Snohomish</v>
      </c>
      <c r="L61" t="str">
        <f>IFERROR(VLOOKUP(J61,LUTs!$A$1:$C$73,3,FALSE),"NA")</f>
        <v>2Central Puget Sound</v>
      </c>
      <c r="M61" s="72" t="s">
        <v>18</v>
      </c>
      <c r="N61" t="str">
        <f>VLOOKUP(M61,LUTs!E$2:H$14,3,)</f>
        <v>06King</v>
      </c>
      <c r="O61" t="str">
        <f>VLOOKUP(M61,LUTs!E$2:H$14,4,)</f>
        <v>02South Puget Sound</v>
      </c>
      <c r="P61" s="80">
        <v>40.6875</v>
      </c>
      <c r="Q61" s="102">
        <v>40.6875</v>
      </c>
      <c r="R61" s="74">
        <f>VLOOKUP(B61,Readme!A$40:C$52,3,)*Q61</f>
        <v>347.47124999999994</v>
      </c>
      <c r="T61" s="59" t="s">
        <v>157</v>
      </c>
      <c r="U61" s="53">
        <v>151202.59000000011</v>
      </c>
      <c r="V61" s="53">
        <v>21454.789999999994</v>
      </c>
      <c r="W61" s="53">
        <v>1581.8600000000001</v>
      </c>
      <c r="X61" s="53">
        <v>2016.42</v>
      </c>
      <c r="Y61" s="53">
        <v>2116.8000000000002</v>
      </c>
      <c r="Z61" s="53">
        <v>156160.34000000003</v>
      </c>
      <c r="AA61" s="53">
        <v>92844.920000000056</v>
      </c>
      <c r="AB61" s="53">
        <v>47311.879999999983</v>
      </c>
      <c r="AC61" s="53">
        <v>42133.42</v>
      </c>
      <c r="AD61" s="53">
        <v>33614.35000000002</v>
      </c>
      <c r="AE61" s="53">
        <v>52088.819999999992</v>
      </c>
      <c r="AF61" s="53">
        <v>231876.33</v>
      </c>
      <c r="AG61" s="53">
        <v>834402.52</v>
      </c>
    </row>
    <row r="62" spans="1:33" ht="14.15" customHeight="1" x14ac:dyDescent="0.35">
      <c r="A62" s="75">
        <v>191</v>
      </c>
      <c r="B62" s="80">
        <v>2010</v>
      </c>
      <c r="C62" s="80">
        <v>8</v>
      </c>
      <c r="D62" s="80">
        <f t="shared" si="0"/>
        <v>2010</v>
      </c>
      <c r="E62" t="s">
        <v>38</v>
      </c>
      <c r="F62" t="s">
        <v>143</v>
      </c>
      <c r="G62" t="s">
        <v>86</v>
      </c>
      <c r="H62" s="72" t="s">
        <v>220</v>
      </c>
      <c r="I62" s="72" t="s">
        <v>62</v>
      </c>
      <c r="J62" t="str">
        <f t="shared" si="8"/>
        <v>Skykomish River</v>
      </c>
      <c r="K62" t="str">
        <f>IFERROR(VLOOKUP(J62,LUTs!$A$1:$C$73,2,FALSE),"NA")</f>
        <v>Snohomish</v>
      </c>
      <c r="L62" t="str">
        <f>IFERROR(VLOOKUP(J62,LUTs!$A$1:$C$73,3,FALSE),"NA")</f>
        <v>2Central Puget Sound</v>
      </c>
      <c r="M62" s="72" t="s">
        <v>26</v>
      </c>
      <c r="N62" t="str">
        <f>VLOOKUP(M62,LUTs!E$2:H$14,3,)</f>
        <v>20Other</v>
      </c>
      <c r="O62" t="str">
        <f>VLOOKUP(M62,LUTs!E$2:H$14,4,)</f>
        <v>07Non Puget Sound</v>
      </c>
      <c r="P62" s="80">
        <v>5.8125</v>
      </c>
      <c r="Q62" s="102">
        <v>5.8125</v>
      </c>
      <c r="R62" s="74">
        <f>VLOOKUP(B62,Readme!A$40:C$52,3,)*Q62</f>
        <v>49.638749999999995</v>
      </c>
    </row>
    <row r="63" spans="1:33" ht="14.15" customHeight="1" x14ac:dyDescent="0.35">
      <c r="A63" s="75">
        <v>192</v>
      </c>
      <c r="B63" s="80">
        <v>2010</v>
      </c>
      <c r="C63" s="80">
        <v>8</v>
      </c>
      <c r="D63" s="80">
        <f t="shared" si="0"/>
        <v>2010</v>
      </c>
      <c r="E63" t="s">
        <v>38</v>
      </c>
      <c r="F63" t="s">
        <v>143</v>
      </c>
      <c r="G63" t="s">
        <v>86</v>
      </c>
      <c r="H63" s="72" t="s">
        <v>220</v>
      </c>
      <c r="I63" s="72" t="s">
        <v>62</v>
      </c>
      <c r="J63" t="str">
        <f t="shared" si="8"/>
        <v>Skykomish River</v>
      </c>
      <c r="K63" t="str">
        <f>IFERROR(VLOOKUP(J63,LUTs!$A$1:$C$73,2,FALSE),"NA")</f>
        <v>Snohomish</v>
      </c>
      <c r="L63" t="str">
        <f>IFERROR(VLOOKUP(J63,LUTs!$A$1:$C$73,3,FALSE),"NA")</f>
        <v>2Central Puget Sound</v>
      </c>
      <c r="M63" s="72" t="s">
        <v>16</v>
      </c>
      <c r="N63" t="str">
        <f>VLOOKUP(M63,LUTs!E$2:H$14,3,)</f>
        <v>03Snohomish</v>
      </c>
      <c r="O63" t="str">
        <f>VLOOKUP(M63,LUTs!E$2:H$14,4,)</f>
        <v>01North Puget Sound</v>
      </c>
      <c r="P63" s="80">
        <v>43.59375</v>
      </c>
      <c r="Q63" s="102">
        <v>43.59375</v>
      </c>
      <c r="R63" s="74">
        <f>VLOOKUP(B63,Readme!A$40:C$52,3,)*Q63</f>
        <v>372.29062499999998</v>
      </c>
    </row>
    <row r="64" spans="1:33" ht="14.15" customHeight="1" x14ac:dyDescent="0.35">
      <c r="A64" s="75">
        <v>193</v>
      </c>
      <c r="B64" s="80">
        <v>2010</v>
      </c>
      <c r="C64" s="80">
        <v>8</v>
      </c>
      <c r="D64" s="80">
        <f t="shared" si="0"/>
        <v>2010</v>
      </c>
      <c r="E64" t="s">
        <v>38</v>
      </c>
      <c r="F64" t="s">
        <v>143</v>
      </c>
      <c r="G64" t="s">
        <v>86</v>
      </c>
      <c r="H64" s="72" t="s">
        <v>220</v>
      </c>
      <c r="I64" s="72" t="s">
        <v>62</v>
      </c>
      <c r="J64" t="str">
        <f t="shared" si="8"/>
        <v>Skykomish River</v>
      </c>
      <c r="K64" t="str">
        <f>IFERROR(VLOOKUP(J64,LUTs!$A$1:$C$73,2,FALSE),"NA")</f>
        <v>Snohomish</v>
      </c>
      <c r="L64" t="str">
        <f>IFERROR(VLOOKUP(J64,LUTs!$A$1:$C$73,3,FALSE),"NA")</f>
        <v>2Central Puget Sound</v>
      </c>
      <c r="M64" s="72" t="s">
        <v>13</v>
      </c>
      <c r="N64" t="str">
        <f>VLOOKUP(M64,LUTs!E$2:H$14,3,)</f>
        <v>01Whatcom</v>
      </c>
      <c r="O64" t="str">
        <f>VLOOKUP(M64,LUTs!E$2:H$14,4,)</f>
        <v>01North Puget Sound</v>
      </c>
      <c r="P64" s="80">
        <v>2.90625</v>
      </c>
      <c r="Q64" s="102">
        <v>2.90625</v>
      </c>
      <c r="R64" s="74">
        <f>VLOOKUP(B64,Readme!A$40:C$52,3,)*Q64</f>
        <v>24.819374999999997</v>
      </c>
      <c r="T64" s="15" t="s">
        <v>284</v>
      </c>
      <c r="U64"/>
      <c r="V64"/>
    </row>
    <row r="65" spans="1:33" ht="14.15" customHeight="1" x14ac:dyDescent="0.35">
      <c r="A65" s="75">
        <v>220</v>
      </c>
      <c r="B65" s="80">
        <v>2010</v>
      </c>
      <c r="C65" s="80">
        <v>8</v>
      </c>
      <c r="D65" s="80">
        <f t="shared" si="0"/>
        <v>2010</v>
      </c>
      <c r="E65" t="s">
        <v>38</v>
      </c>
      <c r="F65" t="s">
        <v>143</v>
      </c>
      <c r="G65" t="s">
        <v>86</v>
      </c>
      <c r="H65" s="72" t="s">
        <v>247</v>
      </c>
      <c r="I65" s="72" t="s">
        <v>98</v>
      </c>
      <c r="J65" t="str">
        <f t="shared" si="8"/>
        <v>Skykomish River, No. Fork</v>
      </c>
      <c r="K65" t="str">
        <f>IFERROR(VLOOKUP(J65,LUTs!$A$1:$C$73,2,FALSE),"NA")</f>
        <v>Snohomish</v>
      </c>
      <c r="L65" t="str">
        <f>IFERROR(VLOOKUP(J65,LUTs!$A$1:$C$73,3,FALSE),"NA")</f>
        <v>2Central Puget Sound</v>
      </c>
      <c r="M65" s="72" t="s">
        <v>18</v>
      </c>
      <c r="N65" t="str">
        <f>VLOOKUP(M65,LUTs!E$2:H$14,3,)</f>
        <v>06King</v>
      </c>
      <c r="O65" t="str">
        <f>VLOOKUP(M65,LUTs!E$2:H$14,4,)</f>
        <v>02South Puget Sound</v>
      </c>
      <c r="P65" s="80">
        <v>9</v>
      </c>
      <c r="Q65" s="102">
        <v>9</v>
      </c>
      <c r="R65" s="74">
        <f>VLOOKUP(B65,Readme!A$40:C$52,3,)*Q65</f>
        <v>76.859999999999985</v>
      </c>
      <c r="T65" s="45" t="s">
        <v>0</v>
      </c>
      <c r="U65" t="s">
        <v>175</v>
      </c>
    </row>
    <row r="66" spans="1:33" ht="14.15" customHeight="1" x14ac:dyDescent="0.35">
      <c r="A66" s="75">
        <v>221</v>
      </c>
      <c r="B66" s="80">
        <v>2010</v>
      </c>
      <c r="C66" s="80">
        <v>8</v>
      </c>
      <c r="D66" s="80">
        <f t="shared" ref="D66:D129" si="9">IF(C66&gt;3,B66,B66-1)</f>
        <v>2010</v>
      </c>
      <c r="E66" t="s">
        <v>38</v>
      </c>
      <c r="F66" t="s">
        <v>143</v>
      </c>
      <c r="G66" t="s">
        <v>86</v>
      </c>
      <c r="H66" s="72" t="s">
        <v>247</v>
      </c>
      <c r="I66" s="72" t="s">
        <v>98</v>
      </c>
      <c r="J66" t="str">
        <f t="shared" si="8"/>
        <v>Skykomish River, No. Fork</v>
      </c>
      <c r="K66" t="str">
        <f>IFERROR(VLOOKUP(J66,LUTs!$A$1:$C$73,2,FALSE),"NA")</f>
        <v>Snohomish</v>
      </c>
      <c r="L66" t="str">
        <f>IFERROR(VLOOKUP(J66,LUTs!$A$1:$C$73,3,FALSE),"NA")</f>
        <v>2Central Puget Sound</v>
      </c>
      <c r="M66" s="72" t="s">
        <v>16</v>
      </c>
      <c r="N66" t="str">
        <f>VLOOKUP(M66,LUTs!E$2:H$14,3,)</f>
        <v>03Snohomish</v>
      </c>
      <c r="O66" t="str">
        <f>VLOOKUP(M66,LUTs!E$2:H$14,4,)</f>
        <v>01North Puget Sound</v>
      </c>
      <c r="P66" s="80">
        <v>3</v>
      </c>
      <c r="Q66" s="102">
        <v>3</v>
      </c>
      <c r="R66" s="74">
        <f>VLOOKUP(B66,Readme!A$40:C$52,3,)*Q66</f>
        <v>25.619999999999997</v>
      </c>
      <c r="T66"/>
      <c r="U66"/>
      <c r="V66"/>
    </row>
    <row r="67" spans="1:33" ht="14.15" customHeight="1" x14ac:dyDescent="0.35">
      <c r="A67" s="75">
        <v>233</v>
      </c>
      <c r="B67" s="80">
        <v>2010</v>
      </c>
      <c r="C67" s="80">
        <v>8</v>
      </c>
      <c r="D67" s="80">
        <f t="shared" si="9"/>
        <v>2010</v>
      </c>
      <c r="E67" t="s">
        <v>38</v>
      </c>
      <c r="F67" t="s">
        <v>143</v>
      </c>
      <c r="G67" t="s">
        <v>86</v>
      </c>
      <c r="H67" s="72" t="s">
        <v>248</v>
      </c>
      <c r="I67" s="72" t="s">
        <v>99</v>
      </c>
      <c r="J67" t="str">
        <f t="shared" si="8"/>
        <v>Skykomish River, So. Fork</v>
      </c>
      <c r="K67" t="str">
        <f>IFERROR(VLOOKUP(J67,LUTs!$A$1:$C$73,2,FALSE),"NA")</f>
        <v>Snohomish/King</v>
      </c>
      <c r="L67" t="str">
        <f>IFERROR(VLOOKUP(J67,LUTs!$A$1:$C$73,3,FALSE),"NA")</f>
        <v>2Central Puget Sound</v>
      </c>
      <c r="M67" s="72" t="s">
        <v>18</v>
      </c>
      <c r="N67" t="str">
        <f>VLOOKUP(M67,LUTs!E$2:H$14,3,)</f>
        <v>06King</v>
      </c>
      <c r="O67" t="str">
        <f>VLOOKUP(M67,LUTs!E$2:H$14,4,)</f>
        <v>02South Puget Sound</v>
      </c>
      <c r="P67" s="80">
        <v>3</v>
      </c>
      <c r="Q67" s="102">
        <v>3</v>
      </c>
      <c r="R67" s="74">
        <f>VLOOKUP(B67,Readme!A$40:C$52,3,)*Q67</f>
        <v>25.619999999999997</v>
      </c>
      <c r="T67" s="45" t="s">
        <v>278</v>
      </c>
      <c r="U67" s="45" t="s">
        <v>275</v>
      </c>
      <c r="V67"/>
      <c r="W67"/>
      <c r="X67"/>
      <c r="Y67"/>
      <c r="Z67"/>
      <c r="AA67"/>
      <c r="AB67"/>
      <c r="AC67"/>
      <c r="AD67"/>
      <c r="AE67"/>
      <c r="AF67"/>
      <c r="AG67"/>
    </row>
    <row r="68" spans="1:33" ht="14.15" customHeight="1" x14ac:dyDescent="0.35">
      <c r="A68" s="75">
        <v>234</v>
      </c>
      <c r="B68" s="80">
        <v>2010</v>
      </c>
      <c r="C68" s="80">
        <v>8</v>
      </c>
      <c r="D68" s="80">
        <f t="shared" si="9"/>
        <v>2010</v>
      </c>
      <c r="E68" t="s">
        <v>38</v>
      </c>
      <c r="F68" t="s">
        <v>143</v>
      </c>
      <c r="G68" t="s">
        <v>86</v>
      </c>
      <c r="H68" s="72" t="s">
        <v>248</v>
      </c>
      <c r="I68" s="72" t="s">
        <v>99</v>
      </c>
      <c r="J68" t="str">
        <f t="shared" si="8"/>
        <v>Skykomish River, So. Fork</v>
      </c>
      <c r="K68" t="str">
        <f>IFERROR(VLOOKUP(J68,LUTs!$A$1:$C$73,2,FALSE),"NA")</f>
        <v>Snohomish/King</v>
      </c>
      <c r="L68" t="str">
        <f>IFERROR(VLOOKUP(J68,LUTs!$A$1:$C$73,3,FALSE),"NA")</f>
        <v>2Central Puget Sound</v>
      </c>
      <c r="M68" s="72" t="s">
        <v>20</v>
      </c>
      <c r="N68" t="str">
        <f>VLOOKUP(M68,LUTs!E$2:H$14,3,)</f>
        <v>07Pierce</v>
      </c>
      <c r="O68" t="str">
        <f>VLOOKUP(M68,LUTs!E$2:H$14,4,)</f>
        <v>02South Puget Sound</v>
      </c>
      <c r="P68" s="80">
        <v>3</v>
      </c>
      <c r="Q68" s="102">
        <v>3</v>
      </c>
      <c r="R68" s="74">
        <f>VLOOKUP(B68,Readme!A$40:C$52,3,)*Q68</f>
        <v>25.619999999999997</v>
      </c>
      <c r="T68" s="45" t="s">
        <v>274</v>
      </c>
      <c r="U68">
        <v>1</v>
      </c>
      <c r="V68">
        <v>2</v>
      </c>
      <c r="W68">
        <v>3</v>
      </c>
      <c r="X68">
        <v>4</v>
      </c>
      <c r="Y68">
        <v>5</v>
      </c>
      <c r="Z68">
        <v>6</v>
      </c>
      <c r="AA68">
        <v>7</v>
      </c>
      <c r="AB68">
        <v>8</v>
      </c>
      <c r="AC68">
        <v>9</v>
      </c>
      <c r="AD68">
        <v>10</v>
      </c>
      <c r="AE68">
        <v>11</v>
      </c>
      <c r="AF68">
        <v>12</v>
      </c>
      <c r="AG68" t="s">
        <v>157</v>
      </c>
    </row>
    <row r="69" spans="1:33" ht="14.15" customHeight="1" x14ac:dyDescent="0.35">
      <c r="A69" s="75">
        <v>258</v>
      </c>
      <c r="B69" s="80">
        <v>2010</v>
      </c>
      <c r="C69" s="80">
        <v>8</v>
      </c>
      <c r="D69" s="80">
        <f t="shared" si="9"/>
        <v>2010</v>
      </c>
      <c r="E69" t="s">
        <v>38</v>
      </c>
      <c r="F69" t="s">
        <v>143</v>
      </c>
      <c r="G69" t="s">
        <v>86</v>
      </c>
      <c r="H69" s="72" t="s">
        <v>222</v>
      </c>
      <c r="I69" s="72" t="s">
        <v>64</v>
      </c>
      <c r="J69" t="str">
        <f t="shared" si="8"/>
        <v>Snoqualmie River</v>
      </c>
      <c r="K69" t="str">
        <f>IFERROR(VLOOKUP(J69,LUTs!$A$1:$C$73,2,FALSE),"NA")</f>
        <v>Snohomish/King</v>
      </c>
      <c r="L69" t="str">
        <f>IFERROR(VLOOKUP(J69,LUTs!$A$1:$C$73,3,FALSE),"NA")</f>
        <v>2Central Puget Sound</v>
      </c>
      <c r="M69" s="72" t="s">
        <v>18</v>
      </c>
      <c r="N69" t="str">
        <f>VLOOKUP(M69,LUTs!E$2:H$14,3,)</f>
        <v>06King</v>
      </c>
      <c r="O69" t="str">
        <f>VLOOKUP(M69,LUTs!E$2:H$14,4,)</f>
        <v>02South Puget Sound</v>
      </c>
      <c r="P69" s="80">
        <v>64.307692307692307</v>
      </c>
      <c r="Q69" s="102">
        <v>64.307692307692307</v>
      </c>
      <c r="R69" s="74">
        <f>VLOOKUP(B69,Readme!A$40:C$52,3,)*Q69</f>
        <v>549.18769230769226</v>
      </c>
      <c r="T69" s="59" t="s">
        <v>133</v>
      </c>
      <c r="U69" s="106">
        <v>0.2651939186860286</v>
      </c>
      <c r="V69" s="106">
        <v>4.9429408503049624E-2</v>
      </c>
      <c r="W69" s="106">
        <v>1.9487404277001005E-2</v>
      </c>
      <c r="X69" s="106">
        <v>0</v>
      </c>
      <c r="Y69" s="106">
        <v>0</v>
      </c>
      <c r="Z69" s="106">
        <v>7.2101335251539816E-3</v>
      </c>
      <c r="AA69" s="106">
        <v>1.465629636290069E-2</v>
      </c>
      <c r="AB69" s="106">
        <v>3.2512101185391662E-2</v>
      </c>
      <c r="AC69" s="106">
        <v>1.5783991967510378E-2</v>
      </c>
      <c r="AD69" s="106">
        <v>1.8816781309475641E-2</v>
      </c>
      <c r="AE69" s="106">
        <v>0.14577994575072306</v>
      </c>
      <c r="AF69" s="106">
        <v>0.43113001843276544</v>
      </c>
      <c r="AG69" s="106">
        <v>1</v>
      </c>
    </row>
    <row r="70" spans="1:33" ht="14.15" customHeight="1" x14ac:dyDescent="0.35">
      <c r="A70" s="75">
        <v>259</v>
      </c>
      <c r="B70" s="80">
        <v>2010</v>
      </c>
      <c r="C70" s="80">
        <v>8</v>
      </c>
      <c r="D70" s="80">
        <f t="shared" si="9"/>
        <v>2010</v>
      </c>
      <c r="E70" t="s">
        <v>38</v>
      </c>
      <c r="F70" t="s">
        <v>143</v>
      </c>
      <c r="G70" t="s">
        <v>86</v>
      </c>
      <c r="H70" s="72" t="s">
        <v>222</v>
      </c>
      <c r="I70" s="72" t="s">
        <v>64</v>
      </c>
      <c r="J70" t="str">
        <f t="shared" si="8"/>
        <v>Snoqualmie River</v>
      </c>
      <c r="K70" t="str">
        <f>IFERROR(VLOOKUP(J70,LUTs!$A$1:$C$73,2,FALSE),"NA")</f>
        <v>Snohomish/King</v>
      </c>
      <c r="L70" t="str">
        <f>IFERROR(VLOOKUP(J70,LUTs!$A$1:$C$73,3,FALSE),"NA")</f>
        <v>2Central Puget Sound</v>
      </c>
      <c r="M70" s="72" t="s">
        <v>26</v>
      </c>
      <c r="N70" t="str">
        <f>VLOOKUP(M70,LUTs!E$2:H$14,3,)</f>
        <v>20Other</v>
      </c>
      <c r="O70" t="str">
        <f>VLOOKUP(M70,LUTs!E$2:H$14,4,)</f>
        <v>07Non Puget Sound</v>
      </c>
      <c r="P70" s="80">
        <v>2.9230769230769198</v>
      </c>
      <c r="Q70" s="102">
        <v>2.9230769230769198</v>
      </c>
      <c r="R70" s="74">
        <f>VLOOKUP(B70,Readme!A$40:C$52,3,)*Q70</f>
        <v>24.963076923076894</v>
      </c>
      <c r="T70" s="59" t="s">
        <v>135</v>
      </c>
      <c r="U70" s="106">
        <v>0.34430322805172536</v>
      </c>
      <c r="V70" s="106">
        <v>7.6969603943995032E-2</v>
      </c>
      <c r="W70" s="106">
        <v>0</v>
      </c>
      <c r="X70" s="106">
        <v>0</v>
      </c>
      <c r="Y70" s="106">
        <v>0</v>
      </c>
      <c r="Z70" s="106">
        <v>1.7644028309471091E-3</v>
      </c>
      <c r="AA70" s="106">
        <v>1.2081828170568058E-3</v>
      </c>
      <c r="AB70" s="106">
        <v>0</v>
      </c>
      <c r="AC70" s="106">
        <v>1.1162393448153753E-2</v>
      </c>
      <c r="AD70" s="106">
        <v>1.3144117213489714E-2</v>
      </c>
      <c r="AE70" s="106">
        <v>0.14220083797736516</v>
      </c>
      <c r="AF70" s="106">
        <v>0.40924723371726712</v>
      </c>
      <c r="AG70" s="106">
        <v>1</v>
      </c>
    </row>
    <row r="71" spans="1:33" ht="14.15" customHeight="1" x14ac:dyDescent="0.35">
      <c r="A71" s="75">
        <v>260</v>
      </c>
      <c r="B71" s="80">
        <v>2010</v>
      </c>
      <c r="C71" s="80">
        <v>8</v>
      </c>
      <c r="D71" s="80">
        <f t="shared" si="9"/>
        <v>2010</v>
      </c>
      <c r="E71" t="s">
        <v>38</v>
      </c>
      <c r="F71" t="s">
        <v>143</v>
      </c>
      <c r="G71" t="s">
        <v>86</v>
      </c>
      <c r="H71" s="72" t="s">
        <v>222</v>
      </c>
      <c r="I71" s="72" t="s">
        <v>64</v>
      </c>
      <c r="J71" t="str">
        <f t="shared" si="8"/>
        <v>Snoqualmie River</v>
      </c>
      <c r="K71" t="str">
        <f>IFERROR(VLOOKUP(J71,LUTs!$A$1:$C$73,2,FALSE),"NA")</f>
        <v>Snohomish/King</v>
      </c>
      <c r="L71" t="str">
        <f>IFERROR(VLOOKUP(J71,LUTs!$A$1:$C$73,3,FALSE),"NA")</f>
        <v>2Central Puget Sound</v>
      </c>
      <c r="M71" s="72" t="s">
        <v>16</v>
      </c>
      <c r="N71" t="str">
        <f>VLOOKUP(M71,LUTs!E$2:H$14,3,)</f>
        <v>03Snohomish</v>
      </c>
      <c r="O71" t="str">
        <f>VLOOKUP(M71,LUTs!E$2:H$14,4,)</f>
        <v>01North Puget Sound</v>
      </c>
      <c r="P71" s="80">
        <v>8.7692307692307701</v>
      </c>
      <c r="Q71" s="102">
        <v>8.7692307692307701</v>
      </c>
      <c r="R71" s="74">
        <f>VLOOKUP(B71,Readme!A$40:C$52,3,)*Q71</f>
        <v>74.889230769230764</v>
      </c>
      <c r="T71" s="59" t="s">
        <v>137</v>
      </c>
      <c r="U71" s="106">
        <v>0.17507374322564859</v>
      </c>
      <c r="V71" s="106">
        <v>2.3147784427214348E-2</v>
      </c>
      <c r="W71" s="106">
        <v>1.2330560954072983E-3</v>
      </c>
      <c r="X71" s="106">
        <v>2.8590319109255244E-3</v>
      </c>
      <c r="Y71" s="106">
        <v>2.8968476534169002E-3</v>
      </c>
      <c r="Z71" s="106">
        <v>0.21050992506517402</v>
      </c>
      <c r="AA71" s="106">
        <v>0.11808592484919968</v>
      </c>
      <c r="AB71" s="106">
        <v>5.652037939907547E-2</v>
      </c>
      <c r="AC71" s="106">
        <v>4.5370296502721258E-2</v>
      </c>
      <c r="AD71" s="106">
        <v>3.6469239168494538E-2</v>
      </c>
      <c r="AE71" s="106">
        <v>5.3531722402925509E-2</v>
      </c>
      <c r="AF71" s="106">
        <v>0.27430204929979696</v>
      </c>
      <c r="AG71" s="106">
        <v>1</v>
      </c>
    </row>
    <row r="72" spans="1:33" ht="14.15" customHeight="1" x14ac:dyDescent="0.35">
      <c r="A72" s="75">
        <v>315</v>
      </c>
      <c r="B72" s="80">
        <v>2010</v>
      </c>
      <c r="C72" s="80">
        <v>8</v>
      </c>
      <c r="D72" s="80">
        <f t="shared" si="9"/>
        <v>2010</v>
      </c>
      <c r="E72" t="s">
        <v>38</v>
      </c>
      <c r="F72" t="s">
        <v>143</v>
      </c>
      <c r="G72" t="s">
        <v>86</v>
      </c>
      <c r="H72" s="72" t="s">
        <v>223</v>
      </c>
      <c r="I72" s="72" t="s">
        <v>103</v>
      </c>
      <c r="J72" t="str">
        <f t="shared" si="8"/>
        <v>Stillaguamish R, No. Fork</v>
      </c>
      <c r="K72" t="str">
        <f>IFERROR(VLOOKUP(J72,LUTs!$A$1:$C$73,2,FALSE),"NA")</f>
        <v>Snohomish</v>
      </c>
      <c r="L72" t="str">
        <f>IFERROR(VLOOKUP(J72,LUTs!$A$1:$C$73,3,FALSE),"NA")</f>
        <v>2Central Puget Sound</v>
      </c>
      <c r="M72" s="72" t="s">
        <v>15</v>
      </c>
      <c r="N72" t="str">
        <f>VLOOKUP(M72,LUTs!E$2:H$14,3,)</f>
        <v>02Skagit</v>
      </c>
      <c r="O72" t="str">
        <f>VLOOKUP(M72,LUTs!E$2:H$14,4,)</f>
        <v>01North Puget Sound</v>
      </c>
      <c r="P72" s="80">
        <v>3</v>
      </c>
      <c r="Q72" s="102">
        <v>3</v>
      </c>
      <c r="R72" s="74">
        <f>VLOOKUP(B72,Readme!A$40:C$52,3,)*Q72</f>
        <v>25.619999999999997</v>
      </c>
      <c r="T72" s="59" t="s">
        <v>139</v>
      </c>
      <c r="U72" s="106">
        <v>7.2091441661794695E-2</v>
      </c>
      <c r="V72" s="106">
        <v>6.3236013506257961E-4</v>
      </c>
      <c r="W72" s="106">
        <v>0</v>
      </c>
      <c r="X72" s="106">
        <v>6.3236013506257961E-4</v>
      </c>
      <c r="Y72" s="106">
        <v>1.8970804051877388E-3</v>
      </c>
      <c r="Z72" s="106">
        <v>0.17168696980182066</v>
      </c>
      <c r="AA72" s="106">
        <v>0.17880281101977041</v>
      </c>
      <c r="AB72" s="106">
        <v>0.11876200589407369</v>
      </c>
      <c r="AC72" s="106">
        <v>0.16396024483075408</v>
      </c>
      <c r="AD72" s="106">
        <v>0.1203011466001694</v>
      </c>
      <c r="AE72" s="106">
        <v>5.1665016166943058E-2</v>
      </c>
      <c r="AF72" s="106">
        <v>0.11956856334936111</v>
      </c>
      <c r="AG72" s="106">
        <v>1</v>
      </c>
    </row>
    <row r="73" spans="1:33" ht="14.15" customHeight="1" x14ac:dyDescent="0.35">
      <c r="A73" s="75">
        <v>316</v>
      </c>
      <c r="B73" s="80">
        <v>2010</v>
      </c>
      <c r="C73" s="80">
        <v>8</v>
      </c>
      <c r="D73" s="80">
        <f t="shared" si="9"/>
        <v>2010</v>
      </c>
      <c r="E73" t="s">
        <v>38</v>
      </c>
      <c r="F73" t="s">
        <v>143</v>
      </c>
      <c r="G73" t="s">
        <v>86</v>
      </c>
      <c r="H73" s="72" t="s">
        <v>223</v>
      </c>
      <c r="I73" s="72" t="s">
        <v>103</v>
      </c>
      <c r="J73" t="str">
        <f t="shared" si="8"/>
        <v>Stillaguamish R, No. Fork</v>
      </c>
      <c r="K73" t="str">
        <f>IFERROR(VLOOKUP(J73,LUTs!$A$1:$C$73,2,FALSE),"NA")</f>
        <v>Snohomish</v>
      </c>
      <c r="L73" t="str">
        <f>IFERROR(VLOOKUP(J73,LUTs!$A$1:$C$73,3,FALSE),"NA")</f>
        <v>2Central Puget Sound</v>
      </c>
      <c r="M73" s="72" t="s">
        <v>16</v>
      </c>
      <c r="N73" t="str">
        <f>VLOOKUP(M73,LUTs!E$2:H$14,3,)</f>
        <v>03Snohomish</v>
      </c>
      <c r="O73" t="str">
        <f>VLOOKUP(M73,LUTs!E$2:H$14,4,)</f>
        <v>01North Puget Sound</v>
      </c>
      <c r="P73" s="80">
        <v>12</v>
      </c>
      <c r="Q73" s="102">
        <v>12</v>
      </c>
      <c r="R73" s="74">
        <f>VLOOKUP(B73,Readme!A$40:C$52,3,)*Q73</f>
        <v>102.47999999999999</v>
      </c>
      <c r="T73" s="59" t="s">
        <v>141</v>
      </c>
      <c r="U73" s="106" t="e">
        <v>#DIV/0!</v>
      </c>
      <c r="V73" s="106" t="e">
        <v>#DIV/0!</v>
      </c>
      <c r="W73" s="106" t="e">
        <v>#DIV/0!</v>
      </c>
      <c r="X73" s="106" t="e">
        <v>#DIV/0!</v>
      </c>
      <c r="Y73" s="106" t="e">
        <v>#DIV/0!</v>
      </c>
      <c r="Z73" s="106" t="e">
        <v>#DIV/0!</v>
      </c>
      <c r="AA73" s="106" t="e">
        <v>#DIV/0!</v>
      </c>
      <c r="AB73" s="106" t="e">
        <v>#DIV/0!</v>
      </c>
      <c r="AC73" s="106" t="e">
        <v>#DIV/0!</v>
      </c>
      <c r="AD73" s="106" t="e">
        <v>#DIV/0!</v>
      </c>
      <c r="AE73" s="106" t="e">
        <v>#DIV/0!</v>
      </c>
      <c r="AF73" s="106" t="e">
        <v>#DIV/0!</v>
      </c>
      <c r="AG73" s="106" t="e">
        <v>#DIV/0!</v>
      </c>
    </row>
    <row r="74" spans="1:33" ht="14.15" customHeight="1" x14ac:dyDescent="0.35">
      <c r="A74" s="75">
        <v>329</v>
      </c>
      <c r="B74" s="80">
        <v>2010</v>
      </c>
      <c r="C74" s="80">
        <v>8</v>
      </c>
      <c r="D74" s="80">
        <f t="shared" si="9"/>
        <v>2010</v>
      </c>
      <c r="E74" t="s">
        <v>38</v>
      </c>
      <c r="F74" t="s">
        <v>143</v>
      </c>
      <c r="G74" t="s">
        <v>86</v>
      </c>
      <c r="H74" s="72" t="s">
        <v>253</v>
      </c>
      <c r="I74" s="72" t="s">
        <v>65</v>
      </c>
      <c r="J74" t="str">
        <f t="shared" si="8"/>
        <v>Stillaguamish River</v>
      </c>
      <c r="K74" t="str">
        <f>IFERROR(VLOOKUP(J74,LUTs!$A$1:$C$73,2,FALSE),"NA")</f>
        <v>Snohomish</v>
      </c>
      <c r="L74" t="str">
        <f>IFERROR(VLOOKUP(J74,LUTs!$A$1:$C$73,3,FALSE),"NA")</f>
        <v>2Central Puget Sound</v>
      </c>
      <c r="M74" s="72" t="s">
        <v>16</v>
      </c>
      <c r="N74" t="str">
        <f>VLOOKUP(M74,LUTs!E$2:H$14,3,)</f>
        <v>03Snohomish</v>
      </c>
      <c r="O74" t="str">
        <f>VLOOKUP(M74,LUTs!E$2:H$14,4,)</f>
        <v>01North Puget Sound</v>
      </c>
      <c r="P74" s="80">
        <v>3</v>
      </c>
      <c r="Q74" s="102">
        <v>3</v>
      </c>
      <c r="R74" s="74">
        <f>VLOOKUP(B74,Readme!A$40:C$52,3,)*Q74</f>
        <v>25.619999999999997</v>
      </c>
      <c r="T74" s="59" t="s">
        <v>157</v>
      </c>
      <c r="U74" s="12">
        <v>0.18121061043775386</v>
      </c>
      <c r="V74" s="12">
        <v>2.5712757914489511E-2</v>
      </c>
      <c r="W74" s="12">
        <v>1.8957996435581236E-3</v>
      </c>
      <c r="X74" s="12">
        <v>2.416603439788269E-3</v>
      </c>
      <c r="Y74" s="12">
        <v>2.5369050898839569E-3</v>
      </c>
      <c r="Z74" s="12">
        <v>0.18715228712396509</v>
      </c>
      <c r="AA74" s="12">
        <v>0.11127114045628728</v>
      </c>
      <c r="AB74" s="12">
        <v>5.6701506606188078E-2</v>
      </c>
      <c r="AC74" s="12">
        <v>5.0495317296021587E-2</v>
      </c>
      <c r="AD74" s="12">
        <v>4.0285532694699942E-2</v>
      </c>
      <c r="AE74" s="12">
        <v>6.2426489315971855E-2</v>
      </c>
      <c r="AF74" s="12">
        <v>0.27789504998139264</v>
      </c>
      <c r="AG74" s="12">
        <v>1</v>
      </c>
    </row>
    <row r="75" spans="1:33" ht="14.15" customHeight="1" x14ac:dyDescent="0.35">
      <c r="A75" s="75">
        <v>277</v>
      </c>
      <c r="B75" s="80">
        <v>2010</v>
      </c>
      <c r="C75" s="80">
        <v>8</v>
      </c>
      <c r="D75" s="80">
        <f t="shared" si="9"/>
        <v>2010</v>
      </c>
      <c r="E75" t="s">
        <v>38</v>
      </c>
      <c r="F75" t="s">
        <v>143</v>
      </c>
      <c r="G75" t="s">
        <v>86</v>
      </c>
      <c r="H75" s="72" t="s">
        <v>249</v>
      </c>
      <c r="I75" s="72" t="s">
        <v>100</v>
      </c>
      <c r="J75" t="str">
        <f t="shared" si="8"/>
        <v>Sultan River</v>
      </c>
      <c r="K75" t="str">
        <f>IFERROR(VLOOKUP(J75,LUTs!$A$1:$C$73,2,FALSE),"NA")</f>
        <v>Snohomish</v>
      </c>
      <c r="L75" t="str">
        <f>IFERROR(VLOOKUP(J75,LUTs!$A$1:$C$73,3,FALSE),"NA")</f>
        <v>2Central Puget Sound</v>
      </c>
      <c r="M75" s="72" t="s">
        <v>18</v>
      </c>
      <c r="N75" t="str">
        <f>VLOOKUP(M75,LUTs!E$2:H$14,3,)</f>
        <v>06King</v>
      </c>
      <c r="O75" t="str">
        <f>VLOOKUP(M75,LUTs!E$2:H$14,4,)</f>
        <v>02South Puget Sound</v>
      </c>
      <c r="P75" s="80">
        <v>3</v>
      </c>
      <c r="Q75" s="102">
        <v>3</v>
      </c>
      <c r="R75" s="74">
        <f>VLOOKUP(B75,Readme!A$40:C$52,3,)*Q75</f>
        <v>25.619999999999997</v>
      </c>
    </row>
    <row r="76" spans="1:33" ht="14.15" customHeight="1" x14ac:dyDescent="0.35">
      <c r="A76" s="75">
        <v>293</v>
      </c>
      <c r="B76" s="80">
        <v>2010</v>
      </c>
      <c r="C76" s="80">
        <v>8</v>
      </c>
      <c r="D76" s="80">
        <f t="shared" si="9"/>
        <v>2010</v>
      </c>
      <c r="E76" t="s">
        <v>38</v>
      </c>
      <c r="F76" t="s">
        <v>143</v>
      </c>
      <c r="G76" t="s">
        <v>86</v>
      </c>
      <c r="H76" s="72" t="s">
        <v>229</v>
      </c>
      <c r="I76" s="72" t="s">
        <v>71</v>
      </c>
      <c r="J76" t="str">
        <f t="shared" si="8"/>
        <v>Tolt River</v>
      </c>
      <c r="K76" t="str">
        <f>IFERROR(VLOOKUP(J76,LUTs!$A$1:$C$73,2,FALSE),"NA")</f>
        <v>King</v>
      </c>
      <c r="L76" t="str">
        <f>IFERROR(VLOOKUP(J76,LUTs!$A$1:$C$73,3,FALSE),"NA")</f>
        <v>2Central Puget Sound</v>
      </c>
      <c r="M76" s="72" t="s">
        <v>18</v>
      </c>
      <c r="N76" t="str">
        <f>VLOOKUP(M76,LUTs!E$2:H$14,3,)</f>
        <v>06King</v>
      </c>
      <c r="O76" t="str">
        <f>VLOOKUP(M76,LUTs!E$2:H$14,4,)</f>
        <v>02South Puget Sound</v>
      </c>
      <c r="P76" s="80">
        <v>6</v>
      </c>
      <c r="Q76" s="102">
        <v>6</v>
      </c>
      <c r="R76" s="74">
        <f>VLOOKUP(B76,Readme!A$40:C$52,3,)*Q76</f>
        <v>51.239999999999995</v>
      </c>
    </row>
    <row r="77" spans="1:33" ht="14.15" customHeight="1" x14ac:dyDescent="0.35">
      <c r="A77" s="75">
        <v>99</v>
      </c>
      <c r="B77" s="80">
        <v>2010</v>
      </c>
      <c r="C77" s="80">
        <v>8</v>
      </c>
      <c r="D77" s="80">
        <f t="shared" si="9"/>
        <v>2010</v>
      </c>
      <c r="E77" t="s">
        <v>38</v>
      </c>
      <c r="F77" t="s">
        <v>143</v>
      </c>
      <c r="G77" t="s">
        <v>86</v>
      </c>
      <c r="H77" s="72" t="s">
        <v>242</v>
      </c>
      <c r="I77" s="72" t="s">
        <v>85</v>
      </c>
      <c r="J77" t="str">
        <f t="shared" si="8"/>
        <v>White (Stuck) River</v>
      </c>
      <c r="K77" t="str">
        <f>IFERROR(VLOOKUP(J77,LUTs!$A$1:$C$73,2,FALSE),"NA")</f>
        <v>Pierce</v>
      </c>
      <c r="L77" t="str">
        <f>IFERROR(VLOOKUP(J77,LUTs!$A$1:$C$73,3,FALSE),"NA")</f>
        <v>3South Puget Sound</v>
      </c>
      <c r="M77" s="72" t="s">
        <v>26</v>
      </c>
      <c r="N77" t="str">
        <f>VLOOKUP(M77,LUTs!E$2:H$14,3,)</f>
        <v>20Other</v>
      </c>
      <c r="O77" t="str">
        <f>VLOOKUP(M77,LUTs!E$2:H$14,4,)</f>
        <v>07Non Puget Sound</v>
      </c>
      <c r="P77" s="80">
        <v>8</v>
      </c>
      <c r="Q77" s="102">
        <v>8</v>
      </c>
      <c r="R77" s="74">
        <f>VLOOKUP(B77,Readme!A$40:C$52,3,)*Q77</f>
        <v>68.319999999999993</v>
      </c>
    </row>
    <row r="78" spans="1:33" ht="14.15" customHeight="1" x14ac:dyDescent="0.35">
      <c r="A78" s="75">
        <v>340</v>
      </c>
      <c r="B78" s="80">
        <v>2010</v>
      </c>
      <c r="C78" s="80">
        <v>9</v>
      </c>
      <c r="D78" s="80">
        <f t="shared" si="9"/>
        <v>2010</v>
      </c>
      <c r="E78" t="s">
        <v>38</v>
      </c>
      <c r="F78" t="s">
        <v>143</v>
      </c>
      <c r="G78" t="s">
        <v>86</v>
      </c>
      <c r="H78" s="72" t="s">
        <v>254</v>
      </c>
      <c r="I78" s="72" t="s">
        <v>33</v>
      </c>
      <c r="J78" t="str">
        <f t="shared" si="8"/>
        <v>Area 9: Admiralty Inlet</v>
      </c>
      <c r="K78" t="str">
        <f>IFERROR(VLOOKUP(J78,LUTs!$A$1:$C$73,2,FALSE),"NA")</f>
        <v>NA</v>
      </c>
      <c r="L78" t="str">
        <f>IFERROR(VLOOKUP(J78,LUTs!$A$1:$C$73,3,FALSE),"NA")</f>
        <v>2Central Puget Sound</v>
      </c>
      <c r="M78" s="72" t="s">
        <v>16</v>
      </c>
      <c r="N78" t="str">
        <f>VLOOKUP(M78,LUTs!E$2:H$14,3,)</f>
        <v>03Snohomish</v>
      </c>
      <c r="O78" t="str">
        <f>VLOOKUP(M78,LUTs!E$2:H$14,4,)</f>
        <v>01North Puget Sound</v>
      </c>
      <c r="P78" s="80">
        <v>4</v>
      </c>
      <c r="Q78" s="102">
        <v>4</v>
      </c>
      <c r="R78" s="74">
        <f>VLOOKUP(B78,Readme!A$40:C$52,3,)*Q78</f>
        <v>34.159999999999997</v>
      </c>
    </row>
    <row r="79" spans="1:33" ht="14.15" customHeight="1" x14ac:dyDescent="0.35">
      <c r="A79" s="75">
        <v>110</v>
      </c>
      <c r="B79" s="80">
        <v>2010</v>
      </c>
      <c r="C79" s="80">
        <v>9</v>
      </c>
      <c r="D79" s="80">
        <f t="shared" si="9"/>
        <v>2010</v>
      </c>
      <c r="E79" t="s">
        <v>38</v>
      </c>
      <c r="F79" t="s">
        <v>143</v>
      </c>
      <c r="G79" t="s">
        <v>86</v>
      </c>
      <c r="H79" s="72" t="s">
        <v>217</v>
      </c>
      <c r="I79" s="72" t="s">
        <v>59</v>
      </c>
      <c r="J79" t="str">
        <f t="shared" si="8"/>
        <v>Cascade River</v>
      </c>
      <c r="K79" t="str">
        <f>IFERROR(VLOOKUP(J79,LUTs!$A$1:$C$73,2,FALSE),"NA")</f>
        <v>Skagit</v>
      </c>
      <c r="L79" t="str">
        <f>IFERROR(VLOOKUP(J79,LUTs!$A$1:$C$73,3,FALSE),"NA")</f>
        <v>1North Puget Sound</v>
      </c>
      <c r="M79" s="72" t="s">
        <v>17</v>
      </c>
      <c r="N79" t="str">
        <f>VLOOKUP(M79,LUTs!E$2:H$14,3,)</f>
        <v>04Island</v>
      </c>
      <c r="O79" t="str">
        <f>VLOOKUP(M79,LUTs!E$2:H$14,4,)</f>
        <v>01North Puget Sound</v>
      </c>
      <c r="P79" s="80">
        <v>1.71428571428571</v>
      </c>
      <c r="Q79" s="102">
        <v>1.71428571428571</v>
      </c>
      <c r="R79" s="74">
        <f>VLOOKUP(B79,Readme!A$40:C$52,3,)*Q79</f>
        <v>14.639999999999961</v>
      </c>
    </row>
    <row r="80" spans="1:33" ht="14.15" customHeight="1" x14ac:dyDescent="0.35">
      <c r="A80" s="75">
        <v>111</v>
      </c>
      <c r="B80" s="80">
        <v>2010</v>
      </c>
      <c r="C80" s="80">
        <v>9</v>
      </c>
      <c r="D80" s="80">
        <f t="shared" si="9"/>
        <v>2010</v>
      </c>
      <c r="E80" t="s">
        <v>38</v>
      </c>
      <c r="F80" t="s">
        <v>143</v>
      </c>
      <c r="G80" t="s">
        <v>86</v>
      </c>
      <c r="H80" s="72" t="s">
        <v>217</v>
      </c>
      <c r="I80" s="72" t="s">
        <v>59</v>
      </c>
      <c r="J80" t="str">
        <f t="shared" si="8"/>
        <v>Cascade River</v>
      </c>
      <c r="K80" t="str">
        <f>IFERROR(VLOOKUP(J80,LUTs!$A$1:$C$73,2,FALSE),"NA")</f>
        <v>Skagit</v>
      </c>
      <c r="L80" t="str">
        <f>IFERROR(VLOOKUP(J80,LUTs!$A$1:$C$73,3,FALSE),"NA")</f>
        <v>1North Puget Sound</v>
      </c>
      <c r="M80" s="72" t="s">
        <v>18</v>
      </c>
      <c r="N80" t="str">
        <f>VLOOKUP(M80,LUTs!E$2:H$14,3,)</f>
        <v>06King</v>
      </c>
      <c r="O80" t="str">
        <f>VLOOKUP(M80,LUTs!E$2:H$14,4,)</f>
        <v>02South Puget Sound</v>
      </c>
      <c r="P80" s="80">
        <v>1.71428571428571</v>
      </c>
      <c r="Q80" s="102">
        <v>1.71428571428571</v>
      </c>
      <c r="R80" s="74">
        <f>VLOOKUP(B80,Readme!A$40:C$52,3,)*Q80</f>
        <v>14.639999999999961</v>
      </c>
    </row>
    <row r="81" spans="1:18" ht="14.15" customHeight="1" x14ac:dyDescent="0.35">
      <c r="A81" s="75">
        <v>112</v>
      </c>
      <c r="B81" s="80">
        <v>2010</v>
      </c>
      <c r="C81" s="80">
        <v>9</v>
      </c>
      <c r="D81" s="80">
        <f t="shared" si="9"/>
        <v>2010</v>
      </c>
      <c r="E81" t="s">
        <v>38</v>
      </c>
      <c r="F81" t="s">
        <v>143</v>
      </c>
      <c r="G81" t="s">
        <v>86</v>
      </c>
      <c r="H81" s="72" t="s">
        <v>217</v>
      </c>
      <c r="I81" s="72" t="s">
        <v>59</v>
      </c>
      <c r="J81" t="str">
        <f t="shared" si="8"/>
        <v>Cascade River</v>
      </c>
      <c r="K81" t="str">
        <f>IFERROR(VLOOKUP(J81,LUTs!$A$1:$C$73,2,FALSE),"NA")</f>
        <v>Skagit</v>
      </c>
      <c r="L81" t="str">
        <f>IFERROR(VLOOKUP(J81,LUTs!$A$1:$C$73,3,FALSE),"NA")</f>
        <v>1North Puget Sound</v>
      </c>
      <c r="M81" s="72" t="s">
        <v>20</v>
      </c>
      <c r="N81" t="str">
        <f>VLOOKUP(M81,LUTs!E$2:H$14,3,)</f>
        <v>07Pierce</v>
      </c>
      <c r="O81" t="str">
        <f>VLOOKUP(M81,LUTs!E$2:H$14,4,)</f>
        <v>02South Puget Sound</v>
      </c>
      <c r="P81" s="80">
        <v>1.71428571428571</v>
      </c>
      <c r="Q81" s="102">
        <v>1.71428571428571</v>
      </c>
      <c r="R81" s="74">
        <f>VLOOKUP(B81,Readme!A$40:C$52,3,)*Q81</f>
        <v>14.639999999999961</v>
      </c>
    </row>
    <row r="82" spans="1:18" ht="14.15" customHeight="1" x14ac:dyDescent="0.35">
      <c r="A82" s="75">
        <v>113</v>
      </c>
      <c r="B82" s="80">
        <v>2010</v>
      </c>
      <c r="C82" s="80">
        <v>9</v>
      </c>
      <c r="D82" s="80">
        <f t="shared" si="9"/>
        <v>2010</v>
      </c>
      <c r="E82" t="s">
        <v>38</v>
      </c>
      <c r="F82" t="s">
        <v>143</v>
      </c>
      <c r="G82" t="s">
        <v>86</v>
      </c>
      <c r="H82" s="72" t="s">
        <v>217</v>
      </c>
      <c r="I82" s="72" t="s">
        <v>59</v>
      </c>
      <c r="J82" t="str">
        <f t="shared" si="8"/>
        <v>Cascade River</v>
      </c>
      <c r="K82" t="str">
        <f>IFERROR(VLOOKUP(J82,LUTs!$A$1:$C$73,2,FALSE),"NA")</f>
        <v>Skagit</v>
      </c>
      <c r="L82" t="str">
        <f>IFERROR(VLOOKUP(J82,LUTs!$A$1:$C$73,3,FALSE),"NA")</f>
        <v>1North Puget Sound</v>
      </c>
      <c r="M82" s="72" t="s">
        <v>30</v>
      </c>
      <c r="N82" t="str">
        <f>VLOOKUP(M82,LUTs!E$2:H$14,3,)</f>
        <v>05San Juan</v>
      </c>
      <c r="O82" t="str">
        <f>VLOOKUP(M82,LUTs!E$2:H$14,4,)</f>
        <v>01North Puget Sound</v>
      </c>
      <c r="P82" s="80">
        <v>3.4285714285714302</v>
      </c>
      <c r="Q82" s="102">
        <v>3.4285714285714302</v>
      </c>
      <c r="R82" s="74">
        <f>VLOOKUP(B82,Readme!A$40:C$52,3,)*Q82</f>
        <v>29.280000000000012</v>
      </c>
    </row>
    <row r="83" spans="1:18" ht="14.15" customHeight="1" x14ac:dyDescent="0.35">
      <c r="A83" s="75">
        <v>114</v>
      </c>
      <c r="B83" s="80">
        <v>2010</v>
      </c>
      <c r="C83" s="80">
        <v>9</v>
      </c>
      <c r="D83" s="80">
        <f t="shared" si="9"/>
        <v>2010</v>
      </c>
      <c r="E83" t="s">
        <v>38</v>
      </c>
      <c r="F83" t="s">
        <v>143</v>
      </c>
      <c r="G83" t="s">
        <v>86</v>
      </c>
      <c r="H83" s="72" t="s">
        <v>217</v>
      </c>
      <c r="I83" s="72" t="s">
        <v>59</v>
      </c>
      <c r="J83" t="str">
        <f t="shared" si="8"/>
        <v>Cascade River</v>
      </c>
      <c r="K83" t="str">
        <f>IFERROR(VLOOKUP(J83,LUTs!$A$1:$C$73,2,FALSE),"NA")</f>
        <v>Skagit</v>
      </c>
      <c r="L83" t="str">
        <f>IFERROR(VLOOKUP(J83,LUTs!$A$1:$C$73,3,FALSE),"NA")</f>
        <v>1North Puget Sound</v>
      </c>
      <c r="M83" s="72" t="s">
        <v>15</v>
      </c>
      <c r="N83" t="str">
        <f>VLOOKUP(M83,LUTs!E$2:H$14,3,)</f>
        <v>02Skagit</v>
      </c>
      <c r="O83" t="str">
        <f>VLOOKUP(M83,LUTs!E$2:H$14,4,)</f>
        <v>01North Puget Sound</v>
      </c>
      <c r="P83" s="80">
        <v>1.71428571428571</v>
      </c>
      <c r="Q83" s="102">
        <v>1.71428571428571</v>
      </c>
      <c r="R83" s="74">
        <f>VLOOKUP(B83,Readme!A$40:C$52,3,)*Q83</f>
        <v>14.639999999999961</v>
      </c>
    </row>
    <row r="84" spans="1:18" ht="14.15" customHeight="1" x14ac:dyDescent="0.35">
      <c r="A84" s="75">
        <v>115</v>
      </c>
      <c r="B84" s="80">
        <v>2010</v>
      </c>
      <c r="C84" s="80">
        <v>9</v>
      </c>
      <c r="D84" s="80">
        <f t="shared" si="9"/>
        <v>2010</v>
      </c>
      <c r="E84" t="s">
        <v>38</v>
      </c>
      <c r="F84" t="s">
        <v>143</v>
      </c>
      <c r="G84" t="s">
        <v>86</v>
      </c>
      <c r="H84" s="72" t="s">
        <v>217</v>
      </c>
      <c r="I84" s="72" t="s">
        <v>59</v>
      </c>
      <c r="J84" t="str">
        <f t="shared" si="8"/>
        <v>Cascade River</v>
      </c>
      <c r="K84" t="str">
        <f>IFERROR(VLOOKUP(J84,LUTs!$A$1:$C$73,2,FALSE),"NA")</f>
        <v>Skagit</v>
      </c>
      <c r="L84" t="str">
        <f>IFERROR(VLOOKUP(J84,LUTs!$A$1:$C$73,3,FALSE),"NA")</f>
        <v>1North Puget Sound</v>
      </c>
      <c r="M84" s="72" t="s">
        <v>16</v>
      </c>
      <c r="N84" t="str">
        <f>VLOOKUP(M84,LUTs!E$2:H$14,3,)</f>
        <v>03Snohomish</v>
      </c>
      <c r="O84" t="str">
        <f>VLOOKUP(M84,LUTs!E$2:H$14,4,)</f>
        <v>01North Puget Sound</v>
      </c>
      <c r="P84" s="80">
        <v>12</v>
      </c>
      <c r="Q84" s="102">
        <v>12</v>
      </c>
      <c r="R84" s="74">
        <f>VLOOKUP(B84,Readme!A$40:C$52,3,)*Q84</f>
        <v>102.47999999999999</v>
      </c>
    </row>
    <row r="85" spans="1:18" ht="14.15" customHeight="1" x14ac:dyDescent="0.35">
      <c r="A85" s="75">
        <v>116</v>
      </c>
      <c r="B85" s="80">
        <v>2010</v>
      </c>
      <c r="C85" s="80">
        <v>9</v>
      </c>
      <c r="D85" s="80">
        <f t="shared" si="9"/>
        <v>2010</v>
      </c>
      <c r="E85" t="s">
        <v>38</v>
      </c>
      <c r="F85" t="s">
        <v>143</v>
      </c>
      <c r="G85" t="s">
        <v>86</v>
      </c>
      <c r="H85" s="72" t="s">
        <v>217</v>
      </c>
      <c r="I85" s="72" t="s">
        <v>59</v>
      </c>
      <c r="J85" t="str">
        <f t="shared" si="8"/>
        <v>Cascade River</v>
      </c>
      <c r="K85" t="str">
        <f>IFERROR(VLOOKUP(J85,LUTs!$A$1:$C$73,2,FALSE),"NA")</f>
        <v>Skagit</v>
      </c>
      <c r="L85" t="str">
        <f>IFERROR(VLOOKUP(J85,LUTs!$A$1:$C$73,3,FALSE),"NA")</f>
        <v>1North Puget Sound</v>
      </c>
      <c r="M85" s="72" t="s">
        <v>13</v>
      </c>
      <c r="N85" t="str">
        <f>VLOOKUP(M85,LUTs!E$2:H$14,3,)</f>
        <v>01Whatcom</v>
      </c>
      <c r="O85" t="str">
        <f>VLOOKUP(M85,LUTs!E$2:H$14,4,)</f>
        <v>01North Puget Sound</v>
      </c>
      <c r="P85" s="80">
        <v>13.714285714285699</v>
      </c>
      <c r="Q85" s="102">
        <v>13.714285714285699</v>
      </c>
      <c r="R85" s="74">
        <f>VLOOKUP(B85,Readme!A$40:C$52,3,)*Q85</f>
        <v>117.11999999999986</v>
      </c>
    </row>
    <row r="86" spans="1:18" ht="14.15" customHeight="1" x14ac:dyDescent="0.35">
      <c r="A86" s="75">
        <v>27</v>
      </c>
      <c r="B86" s="80">
        <v>2010</v>
      </c>
      <c r="C86" s="80">
        <v>9</v>
      </c>
      <c r="D86" s="80">
        <f t="shared" si="9"/>
        <v>2010</v>
      </c>
      <c r="E86" t="s">
        <v>38</v>
      </c>
      <c r="F86" t="s">
        <v>143</v>
      </c>
      <c r="G86" t="s">
        <v>86</v>
      </c>
      <c r="H86" s="72" t="s">
        <v>203</v>
      </c>
      <c r="I86" s="72" t="s">
        <v>89</v>
      </c>
      <c r="J86" s="84" t="s">
        <v>45</v>
      </c>
      <c r="K86" t="str">
        <f>IFERROR(VLOOKUP(J86,LUTs!$A$1:$C$73,2,FALSE),"NA")</f>
        <v>King</v>
      </c>
      <c r="L86" t="str">
        <f>IFERROR(VLOOKUP(J86,LUTs!$A$1:$C$73,3,FALSE),"NA")</f>
        <v>3South Puget Sound</v>
      </c>
      <c r="M86" s="72" t="s">
        <v>18</v>
      </c>
      <c r="N86" t="str">
        <f>VLOOKUP(M86,LUTs!E$2:H$14,3,)</f>
        <v>06King</v>
      </c>
      <c r="O86" t="str">
        <f>VLOOKUP(M86,LUTs!E$2:H$14,4,)</f>
        <v>02South Puget Sound</v>
      </c>
      <c r="P86" s="80">
        <v>35.862068965517302</v>
      </c>
      <c r="Q86" s="102">
        <v>35.862068965517302</v>
      </c>
      <c r="R86" s="74">
        <f>VLOOKUP(B86,Readme!A$40:C$52,3,)*Q86</f>
        <v>306.26206896551776</v>
      </c>
    </row>
    <row r="87" spans="1:18" ht="14.15" customHeight="1" x14ac:dyDescent="0.35">
      <c r="A87" s="75">
        <v>28</v>
      </c>
      <c r="B87" s="80">
        <v>2010</v>
      </c>
      <c r="C87" s="80">
        <v>9</v>
      </c>
      <c r="D87" s="80">
        <f t="shared" si="9"/>
        <v>2010</v>
      </c>
      <c r="E87" t="s">
        <v>38</v>
      </c>
      <c r="F87" t="s">
        <v>143</v>
      </c>
      <c r="G87" t="s">
        <v>86</v>
      </c>
      <c r="H87" s="72" t="s">
        <v>203</v>
      </c>
      <c r="I87" s="72" t="s">
        <v>89</v>
      </c>
      <c r="J87" s="84" t="s">
        <v>45</v>
      </c>
      <c r="K87" t="str">
        <f>IFERROR(VLOOKUP(J87,LUTs!$A$1:$C$73,2,FALSE),"NA")</f>
        <v>King</v>
      </c>
      <c r="L87" t="str">
        <f>IFERROR(VLOOKUP(J87,LUTs!$A$1:$C$73,3,FALSE),"NA")</f>
        <v>3South Puget Sound</v>
      </c>
      <c r="M87" s="72" t="s">
        <v>26</v>
      </c>
      <c r="N87" t="str">
        <f>VLOOKUP(M87,LUTs!E$2:H$14,3,)</f>
        <v>20Other</v>
      </c>
      <c r="O87" t="str">
        <f>VLOOKUP(M87,LUTs!E$2:H$14,4,)</f>
        <v>07Non Puget Sound</v>
      </c>
      <c r="P87" s="80">
        <v>1.7931034482758601</v>
      </c>
      <c r="Q87" s="102">
        <v>1.7931034482758601</v>
      </c>
      <c r="R87" s="74">
        <f>VLOOKUP(B87,Readme!A$40:C$52,3,)*Q87</f>
        <v>15.313103448275843</v>
      </c>
    </row>
    <row r="88" spans="1:18" ht="14.15" customHeight="1" x14ac:dyDescent="0.35">
      <c r="A88" s="75">
        <v>29</v>
      </c>
      <c r="B88" s="80">
        <v>2010</v>
      </c>
      <c r="C88" s="80">
        <v>9</v>
      </c>
      <c r="D88" s="80">
        <f t="shared" si="9"/>
        <v>2010</v>
      </c>
      <c r="E88" t="s">
        <v>38</v>
      </c>
      <c r="F88" t="s">
        <v>143</v>
      </c>
      <c r="G88" t="s">
        <v>86</v>
      </c>
      <c r="H88" s="72" t="s">
        <v>203</v>
      </c>
      <c r="I88" s="72" t="s">
        <v>89</v>
      </c>
      <c r="J88" s="84" t="s">
        <v>45</v>
      </c>
      <c r="K88" t="str">
        <f>IFERROR(VLOOKUP(J88,LUTs!$A$1:$C$73,2,FALSE),"NA")</f>
        <v>King</v>
      </c>
      <c r="L88" t="str">
        <f>IFERROR(VLOOKUP(J88,LUTs!$A$1:$C$73,3,FALSE),"NA")</f>
        <v>3South Puget Sound</v>
      </c>
      <c r="M88" s="72" t="s">
        <v>20</v>
      </c>
      <c r="N88" t="str">
        <f>VLOOKUP(M88,LUTs!E$2:H$14,3,)</f>
        <v>07Pierce</v>
      </c>
      <c r="O88" t="str">
        <f>VLOOKUP(M88,LUTs!E$2:H$14,4,)</f>
        <v>02South Puget Sound</v>
      </c>
      <c r="P88" s="80">
        <v>14.3448275862069</v>
      </c>
      <c r="Q88" s="102">
        <v>14.3448275862069</v>
      </c>
      <c r="R88" s="74">
        <f>VLOOKUP(B88,Readme!A$40:C$52,3,)*Q88</f>
        <v>122.50482758620691</v>
      </c>
    </row>
    <row r="89" spans="1:18" ht="14.15" customHeight="1" x14ac:dyDescent="0.35">
      <c r="A89" s="75">
        <v>66</v>
      </c>
      <c r="B89" s="80">
        <v>2010</v>
      </c>
      <c r="C89" s="80">
        <v>9</v>
      </c>
      <c r="D89" s="80">
        <f t="shared" si="9"/>
        <v>2010</v>
      </c>
      <c r="E89" t="s">
        <v>38</v>
      </c>
      <c r="F89" t="s">
        <v>143</v>
      </c>
      <c r="G89" t="s">
        <v>86</v>
      </c>
      <c r="H89" s="72" t="s">
        <v>237</v>
      </c>
      <c r="I89" s="72" t="s">
        <v>79</v>
      </c>
      <c r="J89" t="str">
        <f t="shared" ref="J89:J118" si="10">I89</f>
        <v>Lyre River</v>
      </c>
      <c r="K89" t="str">
        <f>IFERROR(VLOOKUP(J89,LUTs!$A$1:$C$73,2,FALSE),"NA")</f>
        <v>Clallam</v>
      </c>
      <c r="L89" t="str">
        <f>IFERROR(VLOOKUP(J89,LUTs!$A$1:$C$73,3,FALSE),"NA")</f>
        <v>0Strait of Juan de Fuca</v>
      </c>
      <c r="M89" s="72" t="s">
        <v>24</v>
      </c>
      <c r="N89" t="str">
        <f>VLOOKUP(M89,LUTs!E$2:H$14,3,)</f>
        <v>11Clallam</v>
      </c>
      <c r="O89" t="str">
        <f>VLOOKUP(M89,LUTs!E$2:H$14,4,)</f>
        <v>03Strait of Juan de Fuca</v>
      </c>
      <c r="P89" s="80">
        <v>34.9375</v>
      </c>
      <c r="Q89" s="102">
        <v>34.9375</v>
      </c>
      <c r="R89" s="74">
        <f>VLOOKUP(B89,Readme!A$40:C$52,3,)*Q89</f>
        <v>298.36624999999998</v>
      </c>
    </row>
    <row r="90" spans="1:18" ht="14.15" customHeight="1" x14ac:dyDescent="0.35">
      <c r="A90" s="75">
        <v>67</v>
      </c>
      <c r="B90" s="80">
        <v>2010</v>
      </c>
      <c r="C90" s="80">
        <v>9</v>
      </c>
      <c r="D90" s="80">
        <f t="shared" si="9"/>
        <v>2010</v>
      </c>
      <c r="E90" t="s">
        <v>38</v>
      </c>
      <c r="F90" t="s">
        <v>143</v>
      </c>
      <c r="G90" t="s">
        <v>86</v>
      </c>
      <c r="H90" s="72" t="s">
        <v>237</v>
      </c>
      <c r="I90" s="72" t="s">
        <v>79</v>
      </c>
      <c r="J90" t="str">
        <f t="shared" si="10"/>
        <v>Lyre River</v>
      </c>
      <c r="K90" t="str">
        <f>IFERROR(VLOOKUP(J90,LUTs!$A$1:$C$73,2,FALSE),"NA")</f>
        <v>Clallam</v>
      </c>
      <c r="L90" t="str">
        <f>IFERROR(VLOOKUP(J90,LUTs!$A$1:$C$73,3,FALSE),"NA")</f>
        <v>0Strait of Juan de Fuca</v>
      </c>
      <c r="M90" s="72" t="s">
        <v>17</v>
      </c>
      <c r="N90" t="str">
        <f>VLOOKUP(M90,LUTs!E$2:H$14,3,)</f>
        <v>04Island</v>
      </c>
      <c r="O90" t="str">
        <f>VLOOKUP(M90,LUTs!E$2:H$14,4,)</f>
        <v>01North Puget Sound</v>
      </c>
      <c r="P90" s="80">
        <v>8.0625</v>
      </c>
      <c r="Q90" s="102">
        <v>8.0625</v>
      </c>
      <c r="R90" s="74">
        <f>VLOOKUP(B90,Readme!A$40:C$52,3,)*Q90</f>
        <v>68.853749999999991</v>
      </c>
    </row>
    <row r="91" spans="1:18" ht="14.15" customHeight="1" x14ac:dyDescent="0.35">
      <c r="A91" s="75">
        <v>84</v>
      </c>
      <c r="B91" s="80">
        <v>2010</v>
      </c>
      <c r="C91" s="80">
        <v>9</v>
      </c>
      <c r="D91" s="80">
        <f t="shared" si="9"/>
        <v>2010</v>
      </c>
      <c r="E91" t="s">
        <v>38</v>
      </c>
      <c r="F91" t="s">
        <v>143</v>
      </c>
      <c r="G91" t="s">
        <v>86</v>
      </c>
      <c r="H91" s="72" t="s">
        <v>209</v>
      </c>
      <c r="I91" s="72" t="s">
        <v>51</v>
      </c>
      <c r="J91" t="str">
        <f t="shared" si="10"/>
        <v>Nisqually River</v>
      </c>
      <c r="K91" t="str">
        <f>IFERROR(VLOOKUP(J91,LUTs!$A$1:$C$73,2,FALSE),"NA")</f>
        <v>Thurston/Pierce</v>
      </c>
      <c r="L91" t="str">
        <f>IFERROR(VLOOKUP(J91,LUTs!$A$1:$C$73,3,FALSE),"NA")</f>
        <v>3South Puget Sound</v>
      </c>
      <c r="M91" s="72" t="s">
        <v>18</v>
      </c>
      <c r="N91" t="str">
        <f>VLOOKUP(M91,LUTs!E$2:H$14,3,)</f>
        <v>06King</v>
      </c>
      <c r="O91" t="str">
        <f>VLOOKUP(M91,LUTs!E$2:H$14,4,)</f>
        <v>02South Puget Sound</v>
      </c>
      <c r="P91" s="80">
        <v>0</v>
      </c>
      <c r="Q91" s="102">
        <v>0</v>
      </c>
      <c r="R91" s="74">
        <f>VLOOKUP(B91,Readme!A$40:C$52,3,)*Q91</f>
        <v>0</v>
      </c>
    </row>
    <row r="92" spans="1:18" ht="14.15" customHeight="1" x14ac:dyDescent="0.35">
      <c r="A92" s="75">
        <v>97</v>
      </c>
      <c r="B92" s="80">
        <v>2010</v>
      </c>
      <c r="C92" s="80">
        <v>9</v>
      </c>
      <c r="D92" s="80">
        <f t="shared" si="9"/>
        <v>2010</v>
      </c>
      <c r="E92" t="s">
        <v>38</v>
      </c>
      <c r="F92" t="s">
        <v>143</v>
      </c>
      <c r="G92" t="s">
        <v>86</v>
      </c>
      <c r="H92" s="72" t="s">
        <v>212</v>
      </c>
      <c r="I92" s="72" t="s">
        <v>54</v>
      </c>
      <c r="J92" t="str">
        <f t="shared" si="10"/>
        <v>Puyallup River</v>
      </c>
      <c r="K92" t="str">
        <f>IFERROR(VLOOKUP(J92,LUTs!$A$1:$C$73,2,FALSE),"NA")</f>
        <v>Pierce</v>
      </c>
      <c r="L92" t="str">
        <f>IFERROR(VLOOKUP(J92,LUTs!$A$1:$C$73,3,FALSE),"NA")</f>
        <v>3South Puget Sound</v>
      </c>
      <c r="M92" s="72" t="s">
        <v>20</v>
      </c>
      <c r="N92" t="str">
        <f>VLOOKUP(M92,LUTs!E$2:H$14,3,)</f>
        <v>07Pierce</v>
      </c>
      <c r="O92" t="str">
        <f>VLOOKUP(M92,LUTs!E$2:H$14,4,)</f>
        <v>02South Puget Sound</v>
      </c>
      <c r="P92" s="80">
        <v>11</v>
      </c>
      <c r="Q92" s="102">
        <v>11</v>
      </c>
      <c r="R92" s="74">
        <f>VLOOKUP(B92,Readme!A$40:C$52,3,)*Q92</f>
        <v>93.94</v>
      </c>
    </row>
    <row r="93" spans="1:18" ht="14.15" customHeight="1" x14ac:dyDescent="0.35">
      <c r="A93" s="75">
        <v>171</v>
      </c>
      <c r="B93" s="80">
        <v>2010</v>
      </c>
      <c r="C93" s="80">
        <v>9</v>
      </c>
      <c r="D93" s="80">
        <f t="shared" si="9"/>
        <v>2010</v>
      </c>
      <c r="E93" t="s">
        <v>38</v>
      </c>
      <c r="F93" t="s">
        <v>143</v>
      </c>
      <c r="G93" t="s">
        <v>86</v>
      </c>
      <c r="H93" s="72" t="s">
        <v>246</v>
      </c>
      <c r="I93" s="72" t="s">
        <v>97</v>
      </c>
      <c r="J93" t="str">
        <f t="shared" si="10"/>
        <v>Raging River</v>
      </c>
      <c r="K93" t="str">
        <f>IFERROR(VLOOKUP(J93,LUTs!$A$1:$C$73,2,FALSE),"NA")</f>
        <v>King</v>
      </c>
      <c r="L93" t="str">
        <f>IFERROR(VLOOKUP(J93,LUTs!$A$1:$C$73,3,FALSE),"NA")</f>
        <v>2Central Puget Sound</v>
      </c>
      <c r="M93" s="72" t="s">
        <v>18</v>
      </c>
      <c r="N93" t="str">
        <f>VLOOKUP(M93,LUTs!E$2:H$14,3,)</f>
        <v>06King</v>
      </c>
      <c r="O93" t="str">
        <f>VLOOKUP(M93,LUTs!E$2:H$14,4,)</f>
        <v>02South Puget Sound</v>
      </c>
      <c r="P93" s="80">
        <v>6</v>
      </c>
      <c r="Q93" s="102">
        <v>6</v>
      </c>
      <c r="R93" s="74">
        <f>VLOOKUP(B93,Readme!A$40:C$52,3,)*Q93</f>
        <v>51.239999999999995</v>
      </c>
    </row>
    <row r="94" spans="1:18" ht="14.15" customHeight="1" x14ac:dyDescent="0.35">
      <c r="A94" s="75">
        <v>172</v>
      </c>
      <c r="B94" s="80">
        <v>2010</v>
      </c>
      <c r="C94" s="80">
        <v>9</v>
      </c>
      <c r="D94" s="80">
        <f t="shared" si="9"/>
        <v>2010</v>
      </c>
      <c r="E94" t="s">
        <v>38</v>
      </c>
      <c r="F94" t="s">
        <v>143</v>
      </c>
      <c r="G94" t="s">
        <v>86</v>
      </c>
      <c r="H94" s="72" t="s">
        <v>246</v>
      </c>
      <c r="I94" s="72" t="s">
        <v>97</v>
      </c>
      <c r="J94" t="str">
        <f t="shared" si="10"/>
        <v>Raging River</v>
      </c>
      <c r="K94" t="str">
        <f>IFERROR(VLOOKUP(J94,LUTs!$A$1:$C$73,2,FALSE),"NA")</f>
        <v>King</v>
      </c>
      <c r="L94" t="str">
        <f>IFERROR(VLOOKUP(J94,LUTs!$A$1:$C$73,3,FALSE),"NA")</f>
        <v>2Central Puget Sound</v>
      </c>
      <c r="M94" s="72" t="s">
        <v>16</v>
      </c>
      <c r="N94" t="str">
        <f>VLOOKUP(M94,LUTs!E$2:H$14,3,)</f>
        <v>03Snohomish</v>
      </c>
      <c r="O94" t="str">
        <f>VLOOKUP(M94,LUTs!E$2:H$14,4,)</f>
        <v>01North Puget Sound</v>
      </c>
      <c r="P94" s="80">
        <v>3</v>
      </c>
      <c r="Q94" s="102">
        <v>3</v>
      </c>
      <c r="R94" s="74">
        <f>VLOOKUP(B94,Readme!A$40:C$52,3,)*Q94</f>
        <v>25.619999999999997</v>
      </c>
    </row>
    <row r="95" spans="1:18" ht="14.15" customHeight="1" x14ac:dyDescent="0.35">
      <c r="A95" s="75">
        <v>145</v>
      </c>
      <c r="B95" s="80">
        <v>2010</v>
      </c>
      <c r="C95" s="80">
        <v>9</v>
      </c>
      <c r="D95" s="80">
        <f t="shared" si="9"/>
        <v>2010</v>
      </c>
      <c r="E95" t="s">
        <v>38</v>
      </c>
      <c r="F95" t="s">
        <v>143</v>
      </c>
      <c r="G95" t="s">
        <v>86</v>
      </c>
      <c r="H95" s="72" t="s">
        <v>245</v>
      </c>
      <c r="I95" s="72" t="s">
        <v>96</v>
      </c>
      <c r="J95" t="str">
        <f t="shared" si="10"/>
        <v>Sauk River</v>
      </c>
      <c r="K95" t="str">
        <f>IFERROR(VLOOKUP(J95,LUTs!$A$1:$C$73,2,FALSE),"NA")</f>
        <v>Skagit/Snohomish</v>
      </c>
      <c r="L95" t="str">
        <f>IFERROR(VLOOKUP(J95,LUTs!$A$1:$C$73,3,FALSE),"NA")</f>
        <v>2Central Puget Sound</v>
      </c>
      <c r="M95" s="72" t="s">
        <v>16</v>
      </c>
      <c r="N95" t="str">
        <f>VLOOKUP(M95,LUTs!E$2:H$14,3,)</f>
        <v>03Snohomish</v>
      </c>
      <c r="O95" t="str">
        <f>VLOOKUP(M95,LUTs!E$2:H$14,4,)</f>
        <v>01North Puget Sound</v>
      </c>
      <c r="P95" s="80">
        <v>2</v>
      </c>
      <c r="Q95" s="102">
        <v>2</v>
      </c>
      <c r="R95" s="74">
        <f>VLOOKUP(B95,Readme!A$40:C$52,3,)*Q95</f>
        <v>17.079999999999998</v>
      </c>
    </row>
    <row r="96" spans="1:18" ht="14.15" customHeight="1" x14ac:dyDescent="0.35">
      <c r="A96" s="75">
        <v>149</v>
      </c>
      <c r="B96" s="80">
        <v>2010</v>
      </c>
      <c r="C96" s="80">
        <v>9</v>
      </c>
      <c r="D96" s="80">
        <f t="shared" si="9"/>
        <v>2010</v>
      </c>
      <c r="E96" t="s">
        <v>38</v>
      </c>
      <c r="F96" t="s">
        <v>143</v>
      </c>
      <c r="G96" t="s">
        <v>86</v>
      </c>
      <c r="H96" s="72" t="s">
        <v>218</v>
      </c>
      <c r="I96" s="72" t="s">
        <v>60</v>
      </c>
      <c r="J96" t="str">
        <f t="shared" si="10"/>
        <v>Skagit River</v>
      </c>
      <c r="K96" t="str">
        <f>IFERROR(VLOOKUP(J96,LUTs!$A$1:$C$73,2,FALSE),"NA")</f>
        <v>Skagit/Whatcom</v>
      </c>
      <c r="L96" t="str">
        <f>IFERROR(VLOOKUP(J96,LUTs!$A$1:$C$73,3,FALSE),"NA")</f>
        <v>2Central Puget Sound</v>
      </c>
      <c r="M96" s="72" t="s">
        <v>15</v>
      </c>
      <c r="N96" t="str">
        <f>VLOOKUP(M96,LUTs!E$2:H$14,3,)</f>
        <v>02Skagit</v>
      </c>
      <c r="O96" t="str">
        <f>VLOOKUP(M96,LUTs!E$2:H$14,4,)</f>
        <v>01North Puget Sound</v>
      </c>
      <c r="P96" s="80">
        <v>3.3333333333333299</v>
      </c>
      <c r="Q96" s="102">
        <v>3.3333333333333299</v>
      </c>
      <c r="R96" s="74">
        <f>VLOOKUP(B96,Readme!A$40:C$52,3,)*Q96</f>
        <v>28.466666666666633</v>
      </c>
    </row>
    <row r="97" spans="1:18" ht="14.15" customHeight="1" x14ac:dyDescent="0.35">
      <c r="A97" s="75">
        <v>150</v>
      </c>
      <c r="B97" s="80">
        <v>2010</v>
      </c>
      <c r="C97" s="80">
        <v>9</v>
      </c>
      <c r="D97" s="80">
        <f t="shared" si="9"/>
        <v>2010</v>
      </c>
      <c r="E97" t="s">
        <v>38</v>
      </c>
      <c r="F97" t="s">
        <v>143</v>
      </c>
      <c r="G97" t="s">
        <v>86</v>
      </c>
      <c r="H97" s="72" t="s">
        <v>218</v>
      </c>
      <c r="I97" s="72" t="s">
        <v>60</v>
      </c>
      <c r="J97" t="str">
        <f t="shared" si="10"/>
        <v>Skagit River</v>
      </c>
      <c r="K97" t="str">
        <f>IFERROR(VLOOKUP(J97,LUTs!$A$1:$C$73,2,FALSE),"NA")</f>
        <v>Skagit/Whatcom</v>
      </c>
      <c r="L97" t="str">
        <f>IFERROR(VLOOKUP(J97,LUTs!$A$1:$C$73,3,FALSE),"NA")</f>
        <v>2Central Puget Sound</v>
      </c>
      <c r="M97" s="72" t="s">
        <v>16</v>
      </c>
      <c r="N97" t="str">
        <f>VLOOKUP(M97,LUTs!E$2:H$14,3,)</f>
        <v>03Snohomish</v>
      </c>
      <c r="O97" t="str">
        <f>VLOOKUP(M97,LUTs!E$2:H$14,4,)</f>
        <v>01North Puget Sound</v>
      </c>
      <c r="P97" s="80">
        <v>1.6666666666666701</v>
      </c>
      <c r="Q97" s="102">
        <v>1.6666666666666701</v>
      </c>
      <c r="R97" s="74">
        <f>VLOOKUP(B97,Readme!A$40:C$52,3,)*Q97</f>
        <v>14.233333333333361</v>
      </c>
    </row>
    <row r="98" spans="1:18" ht="14.15" customHeight="1" x14ac:dyDescent="0.35">
      <c r="A98" s="75">
        <v>194</v>
      </c>
      <c r="B98" s="80">
        <v>2010</v>
      </c>
      <c r="C98" s="80">
        <v>9</v>
      </c>
      <c r="D98" s="80">
        <f t="shared" si="9"/>
        <v>2010</v>
      </c>
      <c r="E98" t="s">
        <v>38</v>
      </c>
      <c r="F98" t="s">
        <v>143</v>
      </c>
      <c r="G98" t="s">
        <v>86</v>
      </c>
      <c r="H98" s="72" t="s">
        <v>220</v>
      </c>
      <c r="I98" s="72" t="s">
        <v>62</v>
      </c>
      <c r="J98" t="str">
        <f t="shared" si="10"/>
        <v>Skykomish River</v>
      </c>
      <c r="K98" t="str">
        <f>IFERROR(VLOOKUP(J98,LUTs!$A$1:$C$73,2,FALSE),"NA")</f>
        <v>Snohomish</v>
      </c>
      <c r="L98" t="str">
        <f>IFERROR(VLOOKUP(J98,LUTs!$A$1:$C$73,3,FALSE),"NA")</f>
        <v>2Central Puget Sound</v>
      </c>
      <c r="M98" s="72" t="s">
        <v>18</v>
      </c>
      <c r="N98" t="str">
        <f>VLOOKUP(M98,LUTs!E$2:H$14,3,)</f>
        <v>06King</v>
      </c>
      <c r="O98" t="str">
        <f>VLOOKUP(M98,LUTs!E$2:H$14,4,)</f>
        <v>02South Puget Sound</v>
      </c>
      <c r="P98" s="80">
        <v>32.131578947368403</v>
      </c>
      <c r="Q98" s="102">
        <v>32.131578947368403</v>
      </c>
      <c r="R98" s="74">
        <f>VLOOKUP(B98,Readme!A$40:C$52,3,)*Q98</f>
        <v>274.40368421052614</v>
      </c>
    </row>
    <row r="99" spans="1:18" ht="14.15" customHeight="1" x14ac:dyDescent="0.35">
      <c r="A99" s="75">
        <v>195</v>
      </c>
      <c r="B99" s="80">
        <v>2010</v>
      </c>
      <c r="C99" s="80">
        <v>9</v>
      </c>
      <c r="D99" s="80">
        <f t="shared" si="9"/>
        <v>2010</v>
      </c>
      <c r="E99" t="s">
        <v>38</v>
      </c>
      <c r="F99" t="s">
        <v>143</v>
      </c>
      <c r="G99" t="s">
        <v>86</v>
      </c>
      <c r="H99" s="72" t="s">
        <v>220</v>
      </c>
      <c r="I99" s="72" t="s">
        <v>62</v>
      </c>
      <c r="J99" t="str">
        <f t="shared" si="10"/>
        <v>Skykomish River</v>
      </c>
      <c r="K99" t="str">
        <f>IFERROR(VLOOKUP(J99,LUTs!$A$1:$C$73,2,FALSE),"NA")</f>
        <v>Snohomish</v>
      </c>
      <c r="L99" t="str">
        <f>IFERROR(VLOOKUP(J99,LUTs!$A$1:$C$73,3,FALSE),"NA")</f>
        <v>2Central Puget Sound</v>
      </c>
      <c r="M99" s="72" t="s">
        <v>16</v>
      </c>
      <c r="N99" t="str">
        <f>VLOOKUP(M99,LUTs!E$2:H$14,3,)</f>
        <v>03Snohomish</v>
      </c>
      <c r="O99" t="str">
        <f>VLOOKUP(M99,LUTs!E$2:H$14,4,)</f>
        <v>01North Puget Sound</v>
      </c>
      <c r="P99" s="80">
        <v>75.947368421052701</v>
      </c>
      <c r="Q99" s="102">
        <v>75.947368421052701</v>
      </c>
      <c r="R99" s="74">
        <f>VLOOKUP(B99,Readme!A$40:C$52,3,)*Q99</f>
        <v>648.59052631579004</v>
      </c>
    </row>
    <row r="100" spans="1:18" ht="14.15" customHeight="1" x14ac:dyDescent="0.35">
      <c r="A100" s="75">
        <v>196</v>
      </c>
      <c r="B100" s="80">
        <v>2010</v>
      </c>
      <c r="C100" s="80">
        <v>9</v>
      </c>
      <c r="D100" s="80">
        <f t="shared" si="9"/>
        <v>2010</v>
      </c>
      <c r="E100" t="s">
        <v>38</v>
      </c>
      <c r="F100" t="s">
        <v>143</v>
      </c>
      <c r="G100" t="s">
        <v>86</v>
      </c>
      <c r="H100" s="72" t="s">
        <v>220</v>
      </c>
      <c r="I100" s="72" t="s">
        <v>62</v>
      </c>
      <c r="J100" t="str">
        <f t="shared" si="10"/>
        <v>Skykomish River</v>
      </c>
      <c r="K100" t="str">
        <f>IFERROR(VLOOKUP(J100,LUTs!$A$1:$C$73,2,FALSE),"NA")</f>
        <v>Snohomish</v>
      </c>
      <c r="L100" t="str">
        <f>IFERROR(VLOOKUP(J100,LUTs!$A$1:$C$73,3,FALSE),"NA")</f>
        <v>2Central Puget Sound</v>
      </c>
      <c r="M100" s="72" t="s">
        <v>13</v>
      </c>
      <c r="N100" t="str">
        <f>VLOOKUP(M100,LUTs!E$2:H$14,3,)</f>
        <v>01Whatcom</v>
      </c>
      <c r="O100" t="str">
        <f>VLOOKUP(M100,LUTs!E$2:H$14,4,)</f>
        <v>01North Puget Sound</v>
      </c>
      <c r="P100" s="80">
        <v>2.92105263157895</v>
      </c>
      <c r="Q100" s="102">
        <v>2.92105263157895</v>
      </c>
      <c r="R100" s="74">
        <f>VLOOKUP(B100,Readme!A$40:C$52,3,)*Q100</f>
        <v>24.945789473684229</v>
      </c>
    </row>
    <row r="101" spans="1:18" ht="14.15" customHeight="1" x14ac:dyDescent="0.35">
      <c r="A101" s="75">
        <v>222</v>
      </c>
      <c r="B101" s="80">
        <v>2010</v>
      </c>
      <c r="C101" s="80">
        <v>9</v>
      </c>
      <c r="D101" s="80">
        <f t="shared" si="9"/>
        <v>2010</v>
      </c>
      <c r="E101" t="s">
        <v>38</v>
      </c>
      <c r="F101" t="s">
        <v>143</v>
      </c>
      <c r="G101" t="s">
        <v>86</v>
      </c>
      <c r="H101" s="72" t="s">
        <v>247</v>
      </c>
      <c r="I101" s="72" t="s">
        <v>98</v>
      </c>
      <c r="J101" t="str">
        <f t="shared" si="10"/>
        <v>Skykomish River, No. Fork</v>
      </c>
      <c r="K101" t="str">
        <f>IFERROR(VLOOKUP(J101,LUTs!$A$1:$C$73,2,FALSE),"NA")</f>
        <v>Snohomish</v>
      </c>
      <c r="L101" t="str">
        <f>IFERROR(VLOOKUP(J101,LUTs!$A$1:$C$73,3,FALSE),"NA")</f>
        <v>2Central Puget Sound</v>
      </c>
      <c r="M101" s="72" t="s">
        <v>16</v>
      </c>
      <c r="N101" t="str">
        <f>VLOOKUP(M101,LUTs!E$2:H$14,3,)</f>
        <v>03Snohomish</v>
      </c>
      <c r="O101" t="str">
        <f>VLOOKUP(M101,LUTs!E$2:H$14,4,)</f>
        <v>01North Puget Sound</v>
      </c>
      <c r="P101" s="80">
        <v>12</v>
      </c>
      <c r="Q101" s="102">
        <v>12</v>
      </c>
      <c r="R101" s="74">
        <f>VLOOKUP(B101,Readme!A$40:C$52,3,)*Q101</f>
        <v>102.47999999999999</v>
      </c>
    </row>
    <row r="102" spans="1:18" ht="14.15" customHeight="1" x14ac:dyDescent="0.35">
      <c r="A102" s="75">
        <v>235</v>
      </c>
      <c r="B102" s="80">
        <v>2010</v>
      </c>
      <c r="C102" s="80">
        <v>9</v>
      </c>
      <c r="D102" s="80">
        <f t="shared" si="9"/>
        <v>2010</v>
      </c>
      <c r="E102" t="s">
        <v>38</v>
      </c>
      <c r="F102" t="s">
        <v>143</v>
      </c>
      <c r="G102" t="s">
        <v>86</v>
      </c>
      <c r="H102" s="72" t="s">
        <v>248</v>
      </c>
      <c r="I102" s="72" t="s">
        <v>99</v>
      </c>
      <c r="J102" t="str">
        <f t="shared" si="10"/>
        <v>Skykomish River, So. Fork</v>
      </c>
      <c r="K102" t="str">
        <f>IFERROR(VLOOKUP(J102,LUTs!$A$1:$C$73,2,FALSE),"NA")</f>
        <v>Snohomish/King</v>
      </c>
      <c r="L102" t="str">
        <f>IFERROR(VLOOKUP(J102,LUTs!$A$1:$C$73,3,FALSE),"NA")</f>
        <v>2Central Puget Sound</v>
      </c>
      <c r="M102" s="72" t="s">
        <v>18</v>
      </c>
      <c r="N102" t="str">
        <f>VLOOKUP(M102,LUTs!E$2:H$14,3,)</f>
        <v>06King</v>
      </c>
      <c r="O102" t="str">
        <f>VLOOKUP(M102,LUTs!E$2:H$14,4,)</f>
        <v>02South Puget Sound</v>
      </c>
      <c r="P102" s="80">
        <v>3</v>
      </c>
      <c r="Q102" s="102">
        <v>3</v>
      </c>
      <c r="R102" s="74">
        <f>VLOOKUP(B102,Readme!A$40:C$52,3,)*Q102</f>
        <v>25.619999999999997</v>
      </c>
    </row>
    <row r="103" spans="1:18" ht="14.15" customHeight="1" x14ac:dyDescent="0.35">
      <c r="A103" s="75">
        <v>245</v>
      </c>
      <c r="B103" s="80">
        <v>2010</v>
      </c>
      <c r="C103" s="80">
        <v>9</v>
      </c>
      <c r="D103" s="80">
        <f t="shared" si="9"/>
        <v>2010</v>
      </c>
      <c r="E103" t="s">
        <v>38</v>
      </c>
      <c r="F103" t="s">
        <v>143</v>
      </c>
      <c r="G103" t="s">
        <v>86</v>
      </c>
      <c r="H103" s="72" t="s">
        <v>221</v>
      </c>
      <c r="I103" s="72" t="s">
        <v>63</v>
      </c>
      <c r="J103" t="str">
        <f t="shared" si="10"/>
        <v>Snohomish River</v>
      </c>
      <c r="K103" t="str">
        <f>IFERROR(VLOOKUP(J103,LUTs!$A$1:$C$73,2,FALSE),"NA")</f>
        <v>Snohomish</v>
      </c>
      <c r="L103" t="str">
        <f>IFERROR(VLOOKUP(J103,LUTs!$A$1:$C$73,3,FALSE),"NA")</f>
        <v>2Central Puget Sound</v>
      </c>
      <c r="M103" s="72" t="s">
        <v>18</v>
      </c>
      <c r="N103" t="str">
        <f>VLOOKUP(M103,LUTs!E$2:H$14,3,)</f>
        <v>06King</v>
      </c>
      <c r="O103" t="str">
        <f>VLOOKUP(M103,LUTs!E$2:H$14,4,)</f>
        <v>02South Puget Sound</v>
      </c>
      <c r="P103" s="80">
        <v>3</v>
      </c>
      <c r="Q103" s="102">
        <v>3</v>
      </c>
      <c r="R103" s="74">
        <f>VLOOKUP(B103,Readme!A$40:C$52,3,)*Q103</f>
        <v>25.619999999999997</v>
      </c>
    </row>
    <row r="104" spans="1:18" ht="14.15" customHeight="1" x14ac:dyDescent="0.35">
      <c r="A104" s="75">
        <v>246</v>
      </c>
      <c r="B104" s="80">
        <v>2010</v>
      </c>
      <c r="C104" s="80">
        <v>9</v>
      </c>
      <c r="D104" s="80">
        <f t="shared" si="9"/>
        <v>2010</v>
      </c>
      <c r="E104" t="s">
        <v>38</v>
      </c>
      <c r="F104" t="s">
        <v>143</v>
      </c>
      <c r="G104" t="s">
        <v>86</v>
      </c>
      <c r="H104" s="72" t="s">
        <v>221</v>
      </c>
      <c r="I104" s="72" t="s">
        <v>63</v>
      </c>
      <c r="J104" t="str">
        <f t="shared" si="10"/>
        <v>Snohomish River</v>
      </c>
      <c r="K104" t="str">
        <f>IFERROR(VLOOKUP(J104,LUTs!$A$1:$C$73,2,FALSE),"NA")</f>
        <v>Snohomish</v>
      </c>
      <c r="L104" t="str">
        <f>IFERROR(VLOOKUP(J104,LUTs!$A$1:$C$73,3,FALSE),"NA")</f>
        <v>2Central Puget Sound</v>
      </c>
      <c r="M104" s="72" t="s">
        <v>16</v>
      </c>
      <c r="N104" t="str">
        <f>VLOOKUP(M104,LUTs!E$2:H$14,3,)</f>
        <v>03Snohomish</v>
      </c>
      <c r="O104" t="str">
        <f>VLOOKUP(M104,LUTs!E$2:H$14,4,)</f>
        <v>01North Puget Sound</v>
      </c>
      <c r="P104" s="80">
        <v>3</v>
      </c>
      <c r="Q104" s="102">
        <v>3</v>
      </c>
      <c r="R104" s="74">
        <f>VLOOKUP(B104,Readme!A$40:C$52,3,)*Q104</f>
        <v>25.619999999999997</v>
      </c>
    </row>
    <row r="105" spans="1:18" ht="14.15" customHeight="1" x14ac:dyDescent="0.35">
      <c r="A105" s="75">
        <v>261</v>
      </c>
      <c r="B105" s="80">
        <v>2010</v>
      </c>
      <c r="C105" s="80">
        <v>9</v>
      </c>
      <c r="D105" s="80">
        <f t="shared" si="9"/>
        <v>2010</v>
      </c>
      <c r="E105" t="s">
        <v>38</v>
      </c>
      <c r="F105" t="s">
        <v>143</v>
      </c>
      <c r="G105" t="s">
        <v>86</v>
      </c>
      <c r="H105" s="72" t="s">
        <v>222</v>
      </c>
      <c r="I105" s="72" t="s">
        <v>64</v>
      </c>
      <c r="J105" t="str">
        <f t="shared" si="10"/>
        <v>Snoqualmie River</v>
      </c>
      <c r="K105" t="str">
        <f>IFERROR(VLOOKUP(J105,LUTs!$A$1:$C$73,2,FALSE),"NA")</f>
        <v>Snohomish/King</v>
      </c>
      <c r="L105" t="str">
        <f>IFERROR(VLOOKUP(J105,LUTs!$A$1:$C$73,3,FALSE),"NA")</f>
        <v>2Central Puget Sound</v>
      </c>
      <c r="M105" s="72" t="s">
        <v>18</v>
      </c>
      <c r="N105" t="str">
        <f>VLOOKUP(M105,LUTs!E$2:H$14,3,)</f>
        <v>06King</v>
      </c>
      <c r="O105" t="str">
        <f>VLOOKUP(M105,LUTs!E$2:H$14,4,)</f>
        <v>02South Puget Sound</v>
      </c>
      <c r="P105" s="80">
        <v>6</v>
      </c>
      <c r="Q105" s="102">
        <v>6</v>
      </c>
      <c r="R105" s="74">
        <f>VLOOKUP(B105,Readme!A$40:C$52,3,)*Q105</f>
        <v>51.239999999999995</v>
      </c>
    </row>
    <row r="106" spans="1:18" ht="14.15" customHeight="1" x14ac:dyDescent="0.35">
      <c r="A106" s="75">
        <v>317</v>
      </c>
      <c r="B106" s="80">
        <v>2010</v>
      </c>
      <c r="C106" s="80">
        <v>9</v>
      </c>
      <c r="D106" s="80">
        <f t="shared" si="9"/>
        <v>2010</v>
      </c>
      <c r="E106" t="s">
        <v>38</v>
      </c>
      <c r="F106" t="s">
        <v>143</v>
      </c>
      <c r="G106" t="s">
        <v>86</v>
      </c>
      <c r="H106" s="72" t="s">
        <v>223</v>
      </c>
      <c r="I106" s="72" t="s">
        <v>103</v>
      </c>
      <c r="J106" t="str">
        <f t="shared" si="10"/>
        <v>Stillaguamish R, No. Fork</v>
      </c>
      <c r="K106" t="str">
        <f>IFERROR(VLOOKUP(J106,LUTs!$A$1:$C$73,2,FALSE),"NA")</f>
        <v>Snohomish</v>
      </c>
      <c r="L106" t="str">
        <f>IFERROR(VLOOKUP(J106,LUTs!$A$1:$C$73,3,FALSE),"NA")</f>
        <v>2Central Puget Sound</v>
      </c>
      <c r="M106" s="72" t="s">
        <v>18</v>
      </c>
      <c r="N106" t="str">
        <f>VLOOKUP(M106,LUTs!E$2:H$14,3,)</f>
        <v>06King</v>
      </c>
      <c r="O106" t="str">
        <f>VLOOKUP(M106,LUTs!E$2:H$14,4,)</f>
        <v>02South Puget Sound</v>
      </c>
      <c r="P106" s="80">
        <v>3</v>
      </c>
      <c r="Q106" s="102">
        <v>3</v>
      </c>
      <c r="R106" s="74">
        <f>VLOOKUP(B106,Readme!A$40:C$52,3,)*Q106</f>
        <v>25.619999999999997</v>
      </c>
    </row>
    <row r="107" spans="1:18" ht="14.15" customHeight="1" x14ac:dyDescent="0.35">
      <c r="A107" s="75">
        <v>318</v>
      </c>
      <c r="B107" s="80">
        <v>2010</v>
      </c>
      <c r="C107" s="80">
        <v>9</v>
      </c>
      <c r="D107" s="80">
        <f t="shared" si="9"/>
        <v>2010</v>
      </c>
      <c r="E107" t="s">
        <v>38</v>
      </c>
      <c r="F107" t="s">
        <v>143</v>
      </c>
      <c r="G107" t="s">
        <v>86</v>
      </c>
      <c r="H107" s="72" t="s">
        <v>223</v>
      </c>
      <c r="I107" s="72" t="s">
        <v>103</v>
      </c>
      <c r="J107" t="str">
        <f t="shared" si="10"/>
        <v>Stillaguamish R, No. Fork</v>
      </c>
      <c r="K107" t="str">
        <f>IFERROR(VLOOKUP(J107,LUTs!$A$1:$C$73,2,FALSE),"NA")</f>
        <v>Snohomish</v>
      </c>
      <c r="L107" t="str">
        <f>IFERROR(VLOOKUP(J107,LUTs!$A$1:$C$73,3,FALSE),"NA")</f>
        <v>2Central Puget Sound</v>
      </c>
      <c r="M107" s="72" t="s">
        <v>16</v>
      </c>
      <c r="N107" t="str">
        <f>VLOOKUP(M107,LUTs!E$2:H$14,3,)</f>
        <v>03Snohomish</v>
      </c>
      <c r="O107" t="str">
        <f>VLOOKUP(M107,LUTs!E$2:H$14,4,)</f>
        <v>01North Puget Sound</v>
      </c>
      <c r="P107" s="80">
        <v>3</v>
      </c>
      <c r="Q107" s="102">
        <v>3</v>
      </c>
      <c r="R107" s="74">
        <f>VLOOKUP(B107,Readme!A$40:C$52,3,)*Q107</f>
        <v>25.619999999999997</v>
      </c>
    </row>
    <row r="108" spans="1:18" ht="14.15" customHeight="1" x14ac:dyDescent="0.35">
      <c r="A108" s="75">
        <v>278</v>
      </c>
      <c r="B108" s="80">
        <v>2010</v>
      </c>
      <c r="C108" s="80">
        <v>9</v>
      </c>
      <c r="D108" s="80">
        <f t="shared" si="9"/>
        <v>2010</v>
      </c>
      <c r="E108" t="s">
        <v>38</v>
      </c>
      <c r="F108" t="s">
        <v>143</v>
      </c>
      <c r="G108" t="s">
        <v>86</v>
      </c>
      <c r="H108" s="72" t="s">
        <v>249</v>
      </c>
      <c r="I108" s="72" t="s">
        <v>100</v>
      </c>
      <c r="J108" t="str">
        <f t="shared" si="10"/>
        <v>Sultan River</v>
      </c>
      <c r="K108" t="str">
        <f>IFERROR(VLOOKUP(J108,LUTs!$A$1:$C$73,2,FALSE),"NA")</f>
        <v>Snohomish</v>
      </c>
      <c r="L108" t="str">
        <f>IFERROR(VLOOKUP(J108,LUTs!$A$1:$C$73,3,FALSE),"NA")</f>
        <v>2Central Puget Sound</v>
      </c>
      <c r="M108" s="72" t="s">
        <v>26</v>
      </c>
      <c r="N108" t="str">
        <f>VLOOKUP(M108,LUTs!E$2:H$14,3,)</f>
        <v>20Other</v>
      </c>
      <c r="O108" t="str">
        <f>VLOOKUP(M108,LUTs!E$2:H$14,4,)</f>
        <v>07Non Puget Sound</v>
      </c>
      <c r="P108" s="80">
        <v>3</v>
      </c>
      <c r="Q108" s="102">
        <v>3</v>
      </c>
      <c r="R108" s="74">
        <f>VLOOKUP(B108,Readme!A$40:C$52,3,)*Q108</f>
        <v>25.619999999999997</v>
      </c>
    </row>
    <row r="109" spans="1:18" ht="14.15" customHeight="1" x14ac:dyDescent="0.35">
      <c r="A109" s="75">
        <v>294</v>
      </c>
      <c r="B109" s="80">
        <v>2010</v>
      </c>
      <c r="C109" s="80">
        <v>9</v>
      </c>
      <c r="D109" s="80">
        <f t="shared" si="9"/>
        <v>2010</v>
      </c>
      <c r="E109" t="s">
        <v>38</v>
      </c>
      <c r="F109" t="s">
        <v>143</v>
      </c>
      <c r="G109" t="s">
        <v>86</v>
      </c>
      <c r="H109" s="72" t="s">
        <v>229</v>
      </c>
      <c r="I109" s="72" t="s">
        <v>71</v>
      </c>
      <c r="J109" t="str">
        <f t="shared" si="10"/>
        <v>Tolt River</v>
      </c>
      <c r="K109" t="str">
        <f>IFERROR(VLOOKUP(J109,LUTs!$A$1:$C$73,2,FALSE),"NA")</f>
        <v>King</v>
      </c>
      <c r="L109" t="str">
        <f>IFERROR(VLOOKUP(J109,LUTs!$A$1:$C$73,3,FALSE),"NA")</f>
        <v>2Central Puget Sound</v>
      </c>
      <c r="M109" s="72" t="s">
        <v>18</v>
      </c>
      <c r="N109" t="str">
        <f>VLOOKUP(M109,LUTs!E$2:H$14,3,)</f>
        <v>06King</v>
      </c>
      <c r="O109" t="str">
        <f>VLOOKUP(M109,LUTs!E$2:H$14,4,)</f>
        <v>02South Puget Sound</v>
      </c>
      <c r="P109" s="80">
        <v>3</v>
      </c>
      <c r="Q109" s="102">
        <v>3</v>
      </c>
      <c r="R109" s="74">
        <f>VLOOKUP(B109,Readme!A$40:C$52,3,)*Q109</f>
        <v>25.619999999999997</v>
      </c>
    </row>
    <row r="110" spans="1:18" ht="14.15" customHeight="1" x14ac:dyDescent="0.35">
      <c r="A110" s="75">
        <v>297</v>
      </c>
      <c r="B110" s="80">
        <v>2010</v>
      </c>
      <c r="C110" s="80">
        <v>9</v>
      </c>
      <c r="D110" s="80">
        <f t="shared" si="9"/>
        <v>2010</v>
      </c>
      <c r="E110" t="s">
        <v>38</v>
      </c>
      <c r="F110" t="s">
        <v>143</v>
      </c>
      <c r="G110" t="s">
        <v>86</v>
      </c>
      <c r="H110" s="72" t="s">
        <v>233</v>
      </c>
      <c r="I110" s="72" t="s">
        <v>76</v>
      </c>
      <c r="J110" t="str">
        <f t="shared" si="10"/>
        <v>Wallace River</v>
      </c>
      <c r="K110" t="str">
        <f>IFERROR(VLOOKUP(J110,LUTs!$A$1:$C$73,2,FALSE),"NA")</f>
        <v>Snohomish</v>
      </c>
      <c r="L110" t="str">
        <f>IFERROR(VLOOKUP(J110,LUTs!$A$1:$C$73,3,FALSE),"NA")</f>
        <v>2Central Puget Sound</v>
      </c>
      <c r="M110" s="72" t="s">
        <v>18</v>
      </c>
      <c r="N110" t="str">
        <f>VLOOKUP(M110,LUTs!E$2:H$14,3,)</f>
        <v>06King</v>
      </c>
      <c r="O110" t="str">
        <f>VLOOKUP(M110,LUTs!E$2:H$14,4,)</f>
        <v>02South Puget Sound</v>
      </c>
      <c r="P110" s="80">
        <v>3</v>
      </c>
      <c r="Q110" s="102">
        <v>3</v>
      </c>
      <c r="R110" s="74">
        <f>VLOOKUP(B110,Readme!A$40:C$52,3,)*Q110</f>
        <v>25.619999999999997</v>
      </c>
    </row>
    <row r="111" spans="1:18" ht="14.15" customHeight="1" x14ac:dyDescent="0.35">
      <c r="A111" s="75">
        <v>341</v>
      </c>
      <c r="B111" s="80">
        <v>2010</v>
      </c>
      <c r="C111" s="80">
        <v>10</v>
      </c>
      <c r="D111" s="80">
        <f t="shared" si="9"/>
        <v>2010</v>
      </c>
      <c r="E111" t="s">
        <v>38</v>
      </c>
      <c r="F111" t="s">
        <v>143</v>
      </c>
      <c r="G111" t="s">
        <v>86</v>
      </c>
      <c r="H111" s="72" t="s">
        <v>254</v>
      </c>
      <c r="I111" s="72" t="s">
        <v>33</v>
      </c>
      <c r="J111" t="str">
        <f t="shared" si="10"/>
        <v>Area 9: Admiralty Inlet</v>
      </c>
      <c r="K111" t="str">
        <f>IFERROR(VLOOKUP(J111,LUTs!$A$1:$C$73,2,FALSE),"NA")</f>
        <v>NA</v>
      </c>
      <c r="L111" t="str">
        <f>IFERROR(VLOOKUP(J111,LUTs!$A$1:$C$73,3,FALSE),"NA")</f>
        <v>2Central Puget Sound</v>
      </c>
      <c r="M111" s="72" t="s">
        <v>26</v>
      </c>
      <c r="N111" t="str">
        <f>VLOOKUP(M111,LUTs!E$2:H$14,3,)</f>
        <v>20Other</v>
      </c>
      <c r="O111" t="str">
        <f>VLOOKUP(M111,LUTs!E$2:H$14,4,)</f>
        <v>07Non Puget Sound</v>
      </c>
      <c r="P111" s="80">
        <v>2</v>
      </c>
      <c r="Q111" s="102">
        <v>2</v>
      </c>
      <c r="R111" s="74">
        <f>VLOOKUP(B111,Readme!A$40:C$52,3,)*Q111</f>
        <v>17.079999999999998</v>
      </c>
    </row>
    <row r="112" spans="1:18" ht="14.15" customHeight="1" x14ac:dyDescent="0.35">
      <c r="A112" s="75">
        <v>312</v>
      </c>
      <c r="B112" s="80">
        <v>2010</v>
      </c>
      <c r="C112" s="80">
        <v>10</v>
      </c>
      <c r="D112" s="80">
        <f t="shared" si="9"/>
        <v>2010</v>
      </c>
      <c r="E112" t="s">
        <v>38</v>
      </c>
      <c r="F112" t="s">
        <v>143</v>
      </c>
      <c r="G112" t="s">
        <v>86</v>
      </c>
      <c r="H112" s="72" t="s">
        <v>251</v>
      </c>
      <c r="I112" s="72" t="s">
        <v>102</v>
      </c>
      <c r="J112" t="str">
        <f t="shared" si="10"/>
        <v>Canyon Creek</v>
      </c>
      <c r="K112" t="str">
        <f>IFERROR(VLOOKUP(J112,LUTs!$A$1:$C$73,2,FALSE),"NA")</f>
        <v>Snohomish</v>
      </c>
      <c r="L112" t="str">
        <f>IFERROR(VLOOKUP(J112,LUTs!$A$1:$C$73,3,FALSE),"NA")</f>
        <v>2Central Puget Sound</v>
      </c>
      <c r="M112" s="72" t="s">
        <v>16</v>
      </c>
      <c r="N112" t="str">
        <f>VLOOKUP(M112,LUTs!E$2:H$14,3,)</f>
        <v>03Snohomish</v>
      </c>
      <c r="O112" t="str">
        <f>VLOOKUP(M112,LUTs!E$2:H$14,4,)</f>
        <v>01North Puget Sound</v>
      </c>
      <c r="P112" s="80">
        <v>3</v>
      </c>
      <c r="Q112" s="102">
        <v>3</v>
      </c>
      <c r="R112" s="74">
        <f>VLOOKUP(B112,Readme!A$40:C$52,3,)*Q112</f>
        <v>25.619999999999997</v>
      </c>
    </row>
    <row r="113" spans="1:18" ht="14.15" customHeight="1" x14ac:dyDescent="0.35">
      <c r="A113" s="75">
        <v>117</v>
      </c>
      <c r="B113" s="80">
        <v>2010</v>
      </c>
      <c r="C113" s="80">
        <v>10</v>
      </c>
      <c r="D113" s="80">
        <f t="shared" si="9"/>
        <v>2010</v>
      </c>
      <c r="E113" t="s">
        <v>38</v>
      </c>
      <c r="F113" t="s">
        <v>143</v>
      </c>
      <c r="G113" t="s">
        <v>86</v>
      </c>
      <c r="H113" s="72" t="s">
        <v>217</v>
      </c>
      <c r="I113" s="72" t="s">
        <v>59</v>
      </c>
      <c r="J113" t="str">
        <f t="shared" si="10"/>
        <v>Cascade River</v>
      </c>
      <c r="K113" t="str">
        <f>IFERROR(VLOOKUP(J113,LUTs!$A$1:$C$73,2,FALSE),"NA")</f>
        <v>Skagit</v>
      </c>
      <c r="L113" t="str">
        <f>IFERROR(VLOOKUP(J113,LUTs!$A$1:$C$73,3,FALSE),"NA")</f>
        <v>1North Puget Sound</v>
      </c>
      <c r="M113" s="72" t="s">
        <v>18</v>
      </c>
      <c r="N113" t="str">
        <f>VLOOKUP(M113,LUTs!E$2:H$14,3,)</f>
        <v>06King</v>
      </c>
      <c r="O113" t="str">
        <f>VLOOKUP(M113,LUTs!E$2:H$14,4,)</f>
        <v>02South Puget Sound</v>
      </c>
      <c r="P113" s="80">
        <v>1.7333333333333301</v>
      </c>
      <c r="Q113" s="102">
        <v>1.7333333333333301</v>
      </c>
      <c r="R113" s="74">
        <f>VLOOKUP(B113,Readme!A$40:C$52,3,)*Q113</f>
        <v>14.802666666666637</v>
      </c>
    </row>
    <row r="114" spans="1:18" ht="14.15" customHeight="1" x14ac:dyDescent="0.35">
      <c r="A114" s="75">
        <v>118</v>
      </c>
      <c r="B114" s="80">
        <v>2010</v>
      </c>
      <c r="C114" s="80">
        <v>10</v>
      </c>
      <c r="D114" s="80">
        <f t="shared" si="9"/>
        <v>2010</v>
      </c>
      <c r="E114" t="s">
        <v>38</v>
      </c>
      <c r="F114" t="s">
        <v>143</v>
      </c>
      <c r="G114" t="s">
        <v>86</v>
      </c>
      <c r="H114" s="72" t="s">
        <v>217</v>
      </c>
      <c r="I114" s="72" t="s">
        <v>59</v>
      </c>
      <c r="J114" t="str">
        <f t="shared" si="10"/>
        <v>Cascade River</v>
      </c>
      <c r="K114" t="str">
        <f>IFERROR(VLOOKUP(J114,LUTs!$A$1:$C$73,2,FALSE),"NA")</f>
        <v>Skagit</v>
      </c>
      <c r="L114" t="str">
        <f>IFERROR(VLOOKUP(J114,LUTs!$A$1:$C$73,3,FALSE),"NA")</f>
        <v>1North Puget Sound</v>
      </c>
      <c r="M114" s="72" t="s">
        <v>30</v>
      </c>
      <c r="N114" t="str">
        <f>VLOOKUP(M114,LUTs!E$2:H$14,3,)</f>
        <v>05San Juan</v>
      </c>
      <c r="O114" t="str">
        <f>VLOOKUP(M114,LUTs!E$2:H$14,4,)</f>
        <v>01North Puget Sound</v>
      </c>
      <c r="P114" s="80">
        <v>6.9333333333333398</v>
      </c>
      <c r="Q114" s="102">
        <v>6.9333333333333398</v>
      </c>
      <c r="R114" s="74">
        <f>VLOOKUP(B114,Readme!A$40:C$52,3,)*Q114</f>
        <v>59.210666666666718</v>
      </c>
    </row>
    <row r="115" spans="1:18" ht="14.15" customHeight="1" x14ac:dyDescent="0.35">
      <c r="A115" s="75">
        <v>119</v>
      </c>
      <c r="B115" s="80">
        <v>2010</v>
      </c>
      <c r="C115" s="80">
        <v>10</v>
      </c>
      <c r="D115" s="80">
        <f t="shared" si="9"/>
        <v>2010</v>
      </c>
      <c r="E115" t="s">
        <v>38</v>
      </c>
      <c r="F115" t="s">
        <v>143</v>
      </c>
      <c r="G115" t="s">
        <v>86</v>
      </c>
      <c r="H115" s="72" t="s">
        <v>217</v>
      </c>
      <c r="I115" s="72" t="s">
        <v>59</v>
      </c>
      <c r="J115" t="str">
        <f t="shared" si="10"/>
        <v>Cascade River</v>
      </c>
      <c r="K115" t="str">
        <f>IFERROR(VLOOKUP(J115,LUTs!$A$1:$C$73,2,FALSE),"NA")</f>
        <v>Skagit</v>
      </c>
      <c r="L115" t="str">
        <f>IFERROR(VLOOKUP(J115,LUTs!$A$1:$C$73,3,FALSE),"NA")</f>
        <v>1North Puget Sound</v>
      </c>
      <c r="M115" s="72" t="s">
        <v>15</v>
      </c>
      <c r="N115" t="str">
        <f>VLOOKUP(M115,LUTs!E$2:H$14,3,)</f>
        <v>02Skagit</v>
      </c>
      <c r="O115" t="str">
        <f>VLOOKUP(M115,LUTs!E$2:H$14,4,)</f>
        <v>01North Puget Sound</v>
      </c>
      <c r="P115" s="80">
        <v>1.7333333333333301</v>
      </c>
      <c r="Q115" s="102">
        <v>1.7333333333333301</v>
      </c>
      <c r="R115" s="74">
        <f>VLOOKUP(B115,Readme!A$40:C$52,3,)*Q115</f>
        <v>14.802666666666637</v>
      </c>
    </row>
    <row r="116" spans="1:18" ht="14.15" customHeight="1" x14ac:dyDescent="0.35">
      <c r="A116" s="75">
        <v>120</v>
      </c>
      <c r="B116" s="80">
        <v>2010</v>
      </c>
      <c r="C116" s="80">
        <v>10</v>
      </c>
      <c r="D116" s="80">
        <f t="shared" si="9"/>
        <v>2010</v>
      </c>
      <c r="E116" t="s">
        <v>38</v>
      </c>
      <c r="F116" t="s">
        <v>143</v>
      </c>
      <c r="G116" t="s">
        <v>86</v>
      </c>
      <c r="H116" s="72" t="s">
        <v>217</v>
      </c>
      <c r="I116" s="72" t="s">
        <v>59</v>
      </c>
      <c r="J116" t="str">
        <f t="shared" si="10"/>
        <v>Cascade River</v>
      </c>
      <c r="K116" t="str">
        <f>IFERROR(VLOOKUP(J116,LUTs!$A$1:$C$73,2,FALSE),"NA")</f>
        <v>Skagit</v>
      </c>
      <c r="L116" t="str">
        <f>IFERROR(VLOOKUP(J116,LUTs!$A$1:$C$73,3,FALSE),"NA")</f>
        <v>1North Puget Sound</v>
      </c>
      <c r="M116" s="72" t="s">
        <v>16</v>
      </c>
      <c r="N116" t="str">
        <f>VLOOKUP(M116,LUTs!E$2:H$14,3,)</f>
        <v>03Snohomish</v>
      </c>
      <c r="O116" t="str">
        <f>VLOOKUP(M116,LUTs!E$2:H$14,4,)</f>
        <v>01North Puget Sound</v>
      </c>
      <c r="P116" s="80">
        <v>13.866666666666699</v>
      </c>
      <c r="Q116" s="102">
        <v>13.866666666666699</v>
      </c>
      <c r="R116" s="74">
        <f>VLOOKUP(B116,Readme!A$40:C$52,3,)*Q116</f>
        <v>118.42133333333359</v>
      </c>
    </row>
    <row r="117" spans="1:18" ht="14.15" customHeight="1" x14ac:dyDescent="0.35">
      <c r="A117" s="75">
        <v>121</v>
      </c>
      <c r="B117" s="80">
        <v>2010</v>
      </c>
      <c r="C117" s="80">
        <v>10</v>
      </c>
      <c r="D117" s="80">
        <f t="shared" si="9"/>
        <v>2010</v>
      </c>
      <c r="E117" t="s">
        <v>38</v>
      </c>
      <c r="F117" t="s">
        <v>143</v>
      </c>
      <c r="G117" t="s">
        <v>86</v>
      </c>
      <c r="H117" s="72" t="s">
        <v>217</v>
      </c>
      <c r="I117" s="72" t="s">
        <v>59</v>
      </c>
      <c r="J117" t="str">
        <f t="shared" si="10"/>
        <v>Cascade River</v>
      </c>
      <c r="K117" t="str">
        <f>IFERROR(VLOOKUP(J117,LUTs!$A$1:$C$73,2,FALSE),"NA")</f>
        <v>Skagit</v>
      </c>
      <c r="L117" t="str">
        <f>IFERROR(VLOOKUP(J117,LUTs!$A$1:$C$73,3,FALSE),"NA")</f>
        <v>1North Puget Sound</v>
      </c>
      <c r="M117" s="72" t="s">
        <v>13</v>
      </c>
      <c r="N117" t="str">
        <f>VLOOKUP(M117,LUTs!E$2:H$14,3,)</f>
        <v>01Whatcom</v>
      </c>
      <c r="O117" t="str">
        <f>VLOOKUP(M117,LUTs!E$2:H$14,4,)</f>
        <v>01North Puget Sound</v>
      </c>
      <c r="P117" s="80">
        <v>1.7333333333333301</v>
      </c>
      <c r="Q117" s="102">
        <v>1.7333333333333301</v>
      </c>
      <c r="R117" s="74">
        <f>VLOOKUP(B117,Readme!A$40:C$52,3,)*Q117</f>
        <v>14.802666666666637</v>
      </c>
    </row>
    <row r="118" spans="1:18" ht="14.15" customHeight="1" x14ac:dyDescent="0.35">
      <c r="A118" s="75">
        <v>11</v>
      </c>
      <c r="B118" s="80">
        <v>2010</v>
      </c>
      <c r="C118" s="80">
        <v>10</v>
      </c>
      <c r="D118" s="80">
        <f t="shared" si="9"/>
        <v>2010</v>
      </c>
      <c r="E118" t="s">
        <v>38</v>
      </c>
      <c r="F118" t="s">
        <v>143</v>
      </c>
      <c r="G118" t="s">
        <v>86</v>
      </c>
      <c r="H118" s="72" t="s">
        <v>202</v>
      </c>
      <c r="I118" s="72" t="s">
        <v>44</v>
      </c>
      <c r="J118" t="str">
        <f t="shared" si="10"/>
        <v>Elwha River</v>
      </c>
      <c r="K118" t="str">
        <f>IFERROR(VLOOKUP(J118,LUTs!$A$1:$C$73,2,FALSE),"NA")</f>
        <v>Clallam</v>
      </c>
      <c r="L118" t="str">
        <f>IFERROR(VLOOKUP(J118,LUTs!$A$1:$C$73,3,FALSE),"NA")</f>
        <v>0Strait of Juan de Fuca</v>
      </c>
      <c r="M118" s="72" t="s">
        <v>24</v>
      </c>
      <c r="N118" t="str">
        <f>VLOOKUP(M118,LUTs!E$2:H$14,3,)</f>
        <v>11Clallam</v>
      </c>
      <c r="O118" t="str">
        <f>VLOOKUP(M118,LUTs!E$2:H$14,4,)</f>
        <v>03Strait of Juan de Fuca</v>
      </c>
      <c r="P118" s="80">
        <v>8</v>
      </c>
      <c r="Q118" s="102">
        <v>8</v>
      </c>
      <c r="R118" s="74">
        <f>VLOOKUP(B118,Readme!A$40:C$52,3,)*Q118</f>
        <v>68.319999999999993</v>
      </c>
    </row>
    <row r="119" spans="1:18" ht="14.15" customHeight="1" x14ac:dyDescent="0.35">
      <c r="A119" s="75">
        <v>30</v>
      </c>
      <c r="B119" s="80">
        <v>2010</v>
      </c>
      <c r="C119" s="80">
        <v>10</v>
      </c>
      <c r="D119" s="80">
        <f t="shared" si="9"/>
        <v>2010</v>
      </c>
      <c r="E119" t="s">
        <v>38</v>
      </c>
      <c r="F119" t="s">
        <v>143</v>
      </c>
      <c r="G119" t="s">
        <v>86</v>
      </c>
      <c r="H119" s="72" t="s">
        <v>203</v>
      </c>
      <c r="I119" s="72" t="s">
        <v>89</v>
      </c>
      <c r="J119" s="84" t="s">
        <v>45</v>
      </c>
      <c r="K119" t="str">
        <f>IFERROR(VLOOKUP(J119,LUTs!$A$1:$C$73,2,FALSE),"NA")</f>
        <v>King</v>
      </c>
      <c r="L119" t="str">
        <f>IFERROR(VLOOKUP(J119,LUTs!$A$1:$C$73,3,FALSE),"NA")</f>
        <v>3South Puget Sound</v>
      </c>
      <c r="M119" s="72" t="s">
        <v>18</v>
      </c>
      <c r="N119" t="str">
        <f>VLOOKUP(M119,LUTs!E$2:H$14,3,)</f>
        <v>06King</v>
      </c>
      <c r="O119" t="str">
        <f>VLOOKUP(M119,LUTs!E$2:H$14,4,)</f>
        <v>02South Puget Sound</v>
      </c>
      <c r="P119" s="80">
        <v>21.6666666666667</v>
      </c>
      <c r="Q119" s="102">
        <v>21.6666666666667</v>
      </c>
      <c r="R119" s="74">
        <f>VLOOKUP(B119,Readme!A$40:C$52,3,)*Q119</f>
        <v>185.03333333333359</v>
      </c>
    </row>
    <row r="120" spans="1:18" ht="14.15" customHeight="1" x14ac:dyDescent="0.35">
      <c r="A120" s="75">
        <v>31</v>
      </c>
      <c r="B120" s="80">
        <v>2010</v>
      </c>
      <c r="C120" s="80">
        <v>10</v>
      </c>
      <c r="D120" s="80">
        <f t="shared" si="9"/>
        <v>2010</v>
      </c>
      <c r="E120" t="s">
        <v>38</v>
      </c>
      <c r="F120" t="s">
        <v>143</v>
      </c>
      <c r="G120" t="s">
        <v>86</v>
      </c>
      <c r="H120" s="72" t="s">
        <v>203</v>
      </c>
      <c r="I120" s="72" t="s">
        <v>89</v>
      </c>
      <c r="J120" s="84" t="s">
        <v>45</v>
      </c>
      <c r="K120" t="str">
        <f>IFERROR(VLOOKUP(J120,LUTs!$A$1:$C$73,2,FALSE),"NA")</f>
        <v>King</v>
      </c>
      <c r="L120" t="str">
        <f>IFERROR(VLOOKUP(J120,LUTs!$A$1:$C$73,3,FALSE),"NA")</f>
        <v>3South Puget Sound</v>
      </c>
      <c r="M120" s="72" t="s">
        <v>26</v>
      </c>
      <c r="N120" t="str">
        <f>VLOOKUP(M120,LUTs!E$2:H$14,3,)</f>
        <v>20Other</v>
      </c>
      <c r="O120" t="str">
        <f>VLOOKUP(M120,LUTs!E$2:H$14,4,)</f>
        <v>07Non Puget Sound</v>
      </c>
      <c r="P120" s="80">
        <v>3.3333333333333299</v>
      </c>
      <c r="Q120" s="102">
        <v>3.3333333333333299</v>
      </c>
      <c r="R120" s="74">
        <f>VLOOKUP(B120,Readme!A$40:C$52,3,)*Q120</f>
        <v>28.466666666666633</v>
      </c>
    </row>
    <row r="121" spans="1:18" ht="14.15" customHeight="1" x14ac:dyDescent="0.35">
      <c r="A121" s="75">
        <v>32</v>
      </c>
      <c r="B121" s="80">
        <v>2010</v>
      </c>
      <c r="C121" s="80">
        <v>10</v>
      </c>
      <c r="D121" s="80">
        <f t="shared" si="9"/>
        <v>2010</v>
      </c>
      <c r="E121" t="s">
        <v>38</v>
      </c>
      <c r="F121" t="s">
        <v>143</v>
      </c>
      <c r="G121" t="s">
        <v>86</v>
      </c>
      <c r="H121" s="72" t="s">
        <v>203</v>
      </c>
      <c r="I121" s="72" t="s">
        <v>89</v>
      </c>
      <c r="J121" s="84" t="s">
        <v>45</v>
      </c>
      <c r="K121" t="str">
        <f>IFERROR(VLOOKUP(J121,LUTs!$A$1:$C$73,2,FALSE),"NA")</f>
        <v>King</v>
      </c>
      <c r="L121" t="str">
        <f>IFERROR(VLOOKUP(J121,LUTs!$A$1:$C$73,3,FALSE),"NA")</f>
        <v>3South Puget Sound</v>
      </c>
      <c r="M121" s="72" t="s">
        <v>20</v>
      </c>
      <c r="N121" t="str">
        <f>VLOOKUP(M121,LUTs!E$2:H$14,3,)</f>
        <v>07Pierce</v>
      </c>
      <c r="O121" t="str">
        <f>VLOOKUP(M121,LUTs!E$2:H$14,4,)</f>
        <v>02South Puget Sound</v>
      </c>
      <c r="P121" s="80">
        <v>5</v>
      </c>
      <c r="Q121" s="102">
        <v>5</v>
      </c>
      <c r="R121" s="74">
        <f>VLOOKUP(B121,Readme!A$40:C$52,3,)*Q121</f>
        <v>42.699999999999996</v>
      </c>
    </row>
    <row r="122" spans="1:18" ht="14.15" customHeight="1" x14ac:dyDescent="0.35">
      <c r="A122" s="75">
        <v>68</v>
      </c>
      <c r="B122" s="80">
        <v>2010</v>
      </c>
      <c r="C122" s="80">
        <v>10</v>
      </c>
      <c r="D122" s="80">
        <f t="shared" si="9"/>
        <v>2010</v>
      </c>
      <c r="E122" t="s">
        <v>38</v>
      </c>
      <c r="F122" t="s">
        <v>143</v>
      </c>
      <c r="G122" t="s">
        <v>86</v>
      </c>
      <c r="H122" s="72" t="s">
        <v>237</v>
      </c>
      <c r="I122" s="72" t="s">
        <v>79</v>
      </c>
      <c r="J122" t="str">
        <f t="shared" ref="J122:J157" si="11">I122</f>
        <v>Lyre River</v>
      </c>
      <c r="K122" t="str">
        <f>IFERROR(VLOOKUP(J122,LUTs!$A$1:$C$73,2,FALSE),"NA")</f>
        <v>Clallam</v>
      </c>
      <c r="L122" t="str">
        <f>IFERROR(VLOOKUP(J122,LUTs!$A$1:$C$73,3,FALSE),"NA")</f>
        <v>0Strait of Juan de Fuca</v>
      </c>
      <c r="M122" s="72" t="s">
        <v>24</v>
      </c>
      <c r="N122" t="str">
        <f>VLOOKUP(M122,LUTs!E$2:H$14,3,)</f>
        <v>11Clallam</v>
      </c>
      <c r="O122" t="str">
        <f>VLOOKUP(M122,LUTs!E$2:H$14,4,)</f>
        <v>03Strait of Juan de Fuca</v>
      </c>
      <c r="P122" s="80">
        <v>2.6666666666666701</v>
      </c>
      <c r="Q122" s="102">
        <v>2.6666666666666701</v>
      </c>
      <c r="R122" s="74">
        <f>VLOOKUP(B122,Readme!A$40:C$52,3,)*Q122</f>
        <v>22.773333333333362</v>
      </c>
    </row>
    <row r="123" spans="1:18" ht="14.15" customHeight="1" x14ac:dyDescent="0.35">
      <c r="A123" s="75">
        <v>69</v>
      </c>
      <c r="B123" s="80">
        <v>2010</v>
      </c>
      <c r="C123" s="80">
        <v>10</v>
      </c>
      <c r="D123" s="80">
        <f t="shared" si="9"/>
        <v>2010</v>
      </c>
      <c r="E123" t="s">
        <v>38</v>
      </c>
      <c r="F123" t="s">
        <v>143</v>
      </c>
      <c r="G123" t="s">
        <v>86</v>
      </c>
      <c r="H123" s="72" t="s">
        <v>237</v>
      </c>
      <c r="I123" s="72" t="s">
        <v>79</v>
      </c>
      <c r="J123" t="str">
        <f t="shared" si="11"/>
        <v>Lyre River</v>
      </c>
      <c r="K123" t="str">
        <f>IFERROR(VLOOKUP(J123,LUTs!$A$1:$C$73,2,FALSE),"NA")</f>
        <v>Clallam</v>
      </c>
      <c r="L123" t="str">
        <f>IFERROR(VLOOKUP(J123,LUTs!$A$1:$C$73,3,FALSE),"NA")</f>
        <v>0Strait of Juan de Fuca</v>
      </c>
      <c r="M123" s="72" t="s">
        <v>26</v>
      </c>
      <c r="N123" t="str">
        <f>VLOOKUP(M123,LUTs!E$2:H$14,3,)</f>
        <v>20Other</v>
      </c>
      <c r="O123" t="str">
        <f>VLOOKUP(M123,LUTs!E$2:H$14,4,)</f>
        <v>07Non Puget Sound</v>
      </c>
      <c r="P123" s="80">
        <v>1.3333333333333299</v>
      </c>
      <c r="Q123" s="102">
        <v>1.3333333333333299</v>
      </c>
      <c r="R123" s="74">
        <f>VLOOKUP(B123,Readme!A$40:C$52,3,)*Q123</f>
        <v>11.386666666666637</v>
      </c>
    </row>
    <row r="124" spans="1:18" ht="14.15" customHeight="1" x14ac:dyDescent="0.35">
      <c r="A124" s="75">
        <v>85</v>
      </c>
      <c r="B124" s="80">
        <v>2010</v>
      </c>
      <c r="C124" s="80">
        <v>10</v>
      </c>
      <c r="D124" s="80">
        <f t="shared" si="9"/>
        <v>2010</v>
      </c>
      <c r="E124" t="s">
        <v>38</v>
      </c>
      <c r="F124" t="s">
        <v>143</v>
      </c>
      <c r="G124" t="s">
        <v>86</v>
      </c>
      <c r="H124" s="72" t="s">
        <v>209</v>
      </c>
      <c r="I124" s="72" t="s">
        <v>51</v>
      </c>
      <c r="J124" t="str">
        <f t="shared" si="11"/>
        <v>Nisqually River</v>
      </c>
      <c r="K124" t="str">
        <f>IFERROR(VLOOKUP(J124,LUTs!$A$1:$C$73,2,FALSE),"NA")</f>
        <v>Thurston/Pierce</v>
      </c>
      <c r="L124" t="str">
        <f>IFERROR(VLOOKUP(J124,LUTs!$A$1:$C$73,3,FALSE),"NA")</f>
        <v>3South Puget Sound</v>
      </c>
      <c r="M124" s="72" t="s">
        <v>20</v>
      </c>
      <c r="N124" t="str">
        <f>VLOOKUP(M124,LUTs!E$2:H$14,3,)</f>
        <v>07Pierce</v>
      </c>
      <c r="O124" t="str">
        <f>VLOOKUP(M124,LUTs!E$2:H$14,4,)</f>
        <v>02South Puget Sound</v>
      </c>
      <c r="P124" s="80">
        <v>0</v>
      </c>
      <c r="Q124" s="102">
        <v>0</v>
      </c>
      <c r="R124" s="74">
        <f>VLOOKUP(B124,Readme!A$40:C$52,3,)*Q124</f>
        <v>0</v>
      </c>
    </row>
    <row r="125" spans="1:18" ht="14.15" customHeight="1" x14ac:dyDescent="0.35">
      <c r="A125" s="75">
        <v>86</v>
      </c>
      <c r="B125" s="80">
        <v>2010</v>
      </c>
      <c r="C125" s="80">
        <v>10</v>
      </c>
      <c r="D125" s="80">
        <f t="shared" si="9"/>
        <v>2010</v>
      </c>
      <c r="E125" t="s">
        <v>38</v>
      </c>
      <c r="F125" t="s">
        <v>143</v>
      </c>
      <c r="G125" t="s">
        <v>86</v>
      </c>
      <c r="H125" s="72" t="s">
        <v>239</v>
      </c>
      <c r="I125" s="72" t="s">
        <v>92</v>
      </c>
      <c r="J125" t="str">
        <f t="shared" si="11"/>
        <v>Nooksack River, No. Fork</v>
      </c>
      <c r="K125" t="str">
        <f>IFERROR(VLOOKUP(J125,LUTs!$A$1:$C$73,2,FALSE),"NA")</f>
        <v>Whatcom</v>
      </c>
      <c r="L125" t="str">
        <f>IFERROR(VLOOKUP(J125,LUTs!$A$1:$C$73,3,FALSE),"NA")</f>
        <v>1North Puget Sound</v>
      </c>
      <c r="M125" s="72" t="s">
        <v>13</v>
      </c>
      <c r="N125" t="str">
        <f>VLOOKUP(M125,LUTs!E$2:H$14,3,)</f>
        <v>01Whatcom</v>
      </c>
      <c r="O125" t="str">
        <f>VLOOKUP(M125,LUTs!E$2:H$14,4,)</f>
        <v>01North Puget Sound</v>
      </c>
      <c r="P125" s="80">
        <v>4</v>
      </c>
      <c r="Q125" s="102">
        <v>4</v>
      </c>
      <c r="R125" s="74">
        <f>VLOOKUP(B125,Readme!A$40:C$52,3,)*Q125</f>
        <v>34.159999999999997</v>
      </c>
    </row>
    <row r="126" spans="1:18" ht="14.15" customHeight="1" x14ac:dyDescent="0.35">
      <c r="A126" s="75">
        <v>173</v>
      </c>
      <c r="B126" s="80">
        <v>2010</v>
      </c>
      <c r="C126" s="80">
        <v>10</v>
      </c>
      <c r="D126" s="80">
        <f t="shared" si="9"/>
        <v>2010</v>
      </c>
      <c r="E126" t="s">
        <v>38</v>
      </c>
      <c r="F126" t="s">
        <v>143</v>
      </c>
      <c r="G126" t="s">
        <v>86</v>
      </c>
      <c r="H126" s="72" t="s">
        <v>246</v>
      </c>
      <c r="I126" s="72" t="s">
        <v>97</v>
      </c>
      <c r="J126" t="str">
        <f t="shared" si="11"/>
        <v>Raging River</v>
      </c>
      <c r="K126" t="str">
        <f>IFERROR(VLOOKUP(J126,LUTs!$A$1:$C$73,2,FALSE),"NA")</f>
        <v>King</v>
      </c>
      <c r="L126" t="str">
        <f>IFERROR(VLOOKUP(J126,LUTs!$A$1:$C$73,3,FALSE),"NA")</f>
        <v>2Central Puget Sound</v>
      </c>
      <c r="M126" s="72" t="s">
        <v>18</v>
      </c>
      <c r="N126" t="str">
        <f>VLOOKUP(M126,LUTs!E$2:H$14,3,)</f>
        <v>06King</v>
      </c>
      <c r="O126" t="str">
        <f>VLOOKUP(M126,LUTs!E$2:H$14,4,)</f>
        <v>02South Puget Sound</v>
      </c>
      <c r="P126" s="80">
        <v>3</v>
      </c>
      <c r="Q126" s="102">
        <v>3</v>
      </c>
      <c r="R126" s="74">
        <f>VLOOKUP(B126,Readme!A$40:C$52,3,)*Q126</f>
        <v>25.619999999999997</v>
      </c>
    </row>
    <row r="127" spans="1:18" ht="14.15" customHeight="1" x14ac:dyDescent="0.35">
      <c r="A127" s="75">
        <v>146</v>
      </c>
      <c r="B127" s="80">
        <v>2010</v>
      </c>
      <c r="C127" s="80">
        <v>10</v>
      </c>
      <c r="D127" s="80">
        <f t="shared" si="9"/>
        <v>2010</v>
      </c>
      <c r="E127" t="s">
        <v>38</v>
      </c>
      <c r="F127" t="s">
        <v>143</v>
      </c>
      <c r="G127" t="s">
        <v>86</v>
      </c>
      <c r="H127" s="72" t="s">
        <v>245</v>
      </c>
      <c r="I127" s="72" t="s">
        <v>96</v>
      </c>
      <c r="J127" t="str">
        <f t="shared" si="11"/>
        <v>Sauk River</v>
      </c>
      <c r="K127" t="str">
        <f>IFERROR(VLOOKUP(J127,LUTs!$A$1:$C$73,2,FALSE),"NA")</f>
        <v>Skagit/Snohomish</v>
      </c>
      <c r="L127" t="str">
        <f>IFERROR(VLOOKUP(J127,LUTs!$A$1:$C$73,3,FALSE),"NA")</f>
        <v>2Central Puget Sound</v>
      </c>
      <c r="M127" s="72" t="s">
        <v>16</v>
      </c>
      <c r="N127" t="str">
        <f>VLOOKUP(M127,LUTs!E$2:H$14,3,)</f>
        <v>03Snohomish</v>
      </c>
      <c r="O127" t="str">
        <f>VLOOKUP(M127,LUTs!E$2:H$14,4,)</f>
        <v>01North Puget Sound</v>
      </c>
      <c r="P127" s="80">
        <v>2</v>
      </c>
      <c r="Q127" s="102">
        <v>2</v>
      </c>
      <c r="R127" s="74">
        <f>VLOOKUP(B127,Readme!A$40:C$52,3,)*Q127</f>
        <v>17.079999999999998</v>
      </c>
    </row>
    <row r="128" spans="1:18" ht="14.15" customHeight="1" x14ac:dyDescent="0.35">
      <c r="A128" s="75">
        <v>151</v>
      </c>
      <c r="B128" s="80">
        <v>2010</v>
      </c>
      <c r="C128" s="80">
        <v>10</v>
      </c>
      <c r="D128" s="80">
        <f t="shared" si="9"/>
        <v>2010</v>
      </c>
      <c r="E128" t="s">
        <v>38</v>
      </c>
      <c r="F128" t="s">
        <v>143</v>
      </c>
      <c r="G128" t="s">
        <v>86</v>
      </c>
      <c r="H128" s="72" t="s">
        <v>218</v>
      </c>
      <c r="I128" s="72" t="s">
        <v>60</v>
      </c>
      <c r="J128" t="str">
        <f t="shared" si="11"/>
        <v>Skagit River</v>
      </c>
      <c r="K128" t="str">
        <f>IFERROR(VLOOKUP(J128,LUTs!$A$1:$C$73,2,FALSE),"NA")</f>
        <v>Skagit/Whatcom</v>
      </c>
      <c r="L128" t="str">
        <f>IFERROR(VLOOKUP(J128,LUTs!$A$1:$C$73,3,FALSE),"NA")</f>
        <v>2Central Puget Sound</v>
      </c>
      <c r="M128" s="72" t="s">
        <v>26</v>
      </c>
      <c r="N128" t="str">
        <f>VLOOKUP(M128,LUTs!E$2:H$14,3,)</f>
        <v>20Other</v>
      </c>
      <c r="O128" t="str">
        <f>VLOOKUP(M128,LUTs!E$2:H$14,4,)</f>
        <v>07Non Puget Sound</v>
      </c>
      <c r="P128" s="80">
        <v>1.75</v>
      </c>
      <c r="Q128" s="102">
        <v>1.75</v>
      </c>
      <c r="R128" s="74">
        <f>VLOOKUP(B128,Readme!A$40:C$52,3,)*Q128</f>
        <v>14.944999999999999</v>
      </c>
    </row>
    <row r="129" spans="1:18" ht="14.15" customHeight="1" x14ac:dyDescent="0.35">
      <c r="A129" s="75">
        <v>152</v>
      </c>
      <c r="B129" s="80">
        <v>2010</v>
      </c>
      <c r="C129" s="80">
        <v>10</v>
      </c>
      <c r="D129" s="80">
        <f t="shared" si="9"/>
        <v>2010</v>
      </c>
      <c r="E129" t="s">
        <v>38</v>
      </c>
      <c r="F129" t="s">
        <v>143</v>
      </c>
      <c r="G129" t="s">
        <v>86</v>
      </c>
      <c r="H129" s="72" t="s">
        <v>218</v>
      </c>
      <c r="I129" s="72" t="s">
        <v>60</v>
      </c>
      <c r="J129" t="str">
        <f t="shared" si="11"/>
        <v>Skagit River</v>
      </c>
      <c r="K129" t="str">
        <f>IFERROR(VLOOKUP(J129,LUTs!$A$1:$C$73,2,FALSE),"NA")</f>
        <v>Skagit/Whatcom</v>
      </c>
      <c r="L129" t="str">
        <f>IFERROR(VLOOKUP(J129,LUTs!$A$1:$C$73,3,FALSE),"NA")</f>
        <v>2Central Puget Sound</v>
      </c>
      <c r="M129" s="72" t="s">
        <v>15</v>
      </c>
      <c r="N129" t="str">
        <f>VLOOKUP(M129,LUTs!E$2:H$14,3,)</f>
        <v>02Skagit</v>
      </c>
      <c r="O129" t="str">
        <f>VLOOKUP(M129,LUTs!E$2:H$14,4,)</f>
        <v>01North Puget Sound</v>
      </c>
      <c r="P129" s="80">
        <v>3.5</v>
      </c>
      <c r="Q129" s="102">
        <v>3.5</v>
      </c>
      <c r="R129" s="74">
        <f>VLOOKUP(B129,Readme!A$40:C$52,3,)*Q129</f>
        <v>29.889999999999997</v>
      </c>
    </row>
    <row r="130" spans="1:18" ht="14.15" customHeight="1" x14ac:dyDescent="0.35">
      <c r="A130" s="75">
        <v>153</v>
      </c>
      <c r="B130" s="80">
        <v>2010</v>
      </c>
      <c r="C130" s="80">
        <v>10</v>
      </c>
      <c r="D130" s="80">
        <f t="shared" ref="D130:D193" si="12">IF(C130&gt;3,B130,B130-1)</f>
        <v>2010</v>
      </c>
      <c r="E130" t="s">
        <v>38</v>
      </c>
      <c r="F130" t="s">
        <v>143</v>
      </c>
      <c r="G130" t="s">
        <v>86</v>
      </c>
      <c r="H130" s="72" t="s">
        <v>218</v>
      </c>
      <c r="I130" s="72" t="s">
        <v>60</v>
      </c>
      <c r="J130" t="str">
        <f t="shared" si="11"/>
        <v>Skagit River</v>
      </c>
      <c r="K130" t="str">
        <f>IFERROR(VLOOKUP(J130,LUTs!$A$1:$C$73,2,FALSE),"NA")</f>
        <v>Skagit/Whatcom</v>
      </c>
      <c r="L130" t="str">
        <f>IFERROR(VLOOKUP(J130,LUTs!$A$1:$C$73,3,FALSE),"NA")</f>
        <v>2Central Puget Sound</v>
      </c>
      <c r="M130" s="72" t="s">
        <v>16</v>
      </c>
      <c r="N130" t="str">
        <f>VLOOKUP(M130,LUTs!E$2:H$14,3,)</f>
        <v>03Snohomish</v>
      </c>
      <c r="O130" t="str">
        <f>VLOOKUP(M130,LUTs!E$2:H$14,4,)</f>
        <v>01North Puget Sound</v>
      </c>
      <c r="P130" s="80">
        <v>1.75</v>
      </c>
      <c r="Q130" s="102">
        <v>1.75</v>
      </c>
      <c r="R130" s="74">
        <f>VLOOKUP(B130,Readme!A$40:C$52,3,)*Q130</f>
        <v>14.944999999999999</v>
      </c>
    </row>
    <row r="131" spans="1:18" ht="14.15" customHeight="1" x14ac:dyDescent="0.35">
      <c r="A131" s="75">
        <v>197</v>
      </c>
      <c r="B131" s="80">
        <v>2010</v>
      </c>
      <c r="C131" s="80">
        <v>10</v>
      </c>
      <c r="D131" s="80">
        <f t="shared" si="12"/>
        <v>2010</v>
      </c>
      <c r="E131" t="s">
        <v>38</v>
      </c>
      <c r="F131" t="s">
        <v>143</v>
      </c>
      <c r="G131" t="s">
        <v>86</v>
      </c>
      <c r="H131" s="72" t="s">
        <v>220</v>
      </c>
      <c r="I131" s="72" t="s">
        <v>62</v>
      </c>
      <c r="J131" t="str">
        <f t="shared" si="11"/>
        <v>Skykomish River</v>
      </c>
      <c r="K131" t="str">
        <f>IFERROR(VLOOKUP(J131,LUTs!$A$1:$C$73,2,FALSE),"NA")</f>
        <v>Snohomish</v>
      </c>
      <c r="L131" t="str">
        <f>IFERROR(VLOOKUP(J131,LUTs!$A$1:$C$73,3,FALSE),"NA")</f>
        <v>2Central Puget Sound</v>
      </c>
      <c r="M131" s="72" t="s">
        <v>18</v>
      </c>
      <c r="N131" t="str">
        <f>VLOOKUP(M131,LUTs!E$2:H$14,3,)</f>
        <v>06King</v>
      </c>
      <c r="O131" t="str">
        <f>VLOOKUP(M131,LUTs!E$2:H$14,4,)</f>
        <v>02South Puget Sound</v>
      </c>
      <c r="P131" s="80">
        <v>8.7692307692307701</v>
      </c>
      <c r="Q131" s="102">
        <v>8.7692307692307701</v>
      </c>
      <c r="R131" s="74">
        <f>VLOOKUP(B131,Readme!A$40:C$52,3,)*Q131</f>
        <v>74.889230769230764</v>
      </c>
    </row>
    <row r="132" spans="1:18" ht="14.15" customHeight="1" x14ac:dyDescent="0.35">
      <c r="A132" s="75">
        <v>198</v>
      </c>
      <c r="B132" s="80">
        <v>2010</v>
      </c>
      <c r="C132" s="80">
        <v>10</v>
      </c>
      <c r="D132" s="80">
        <f t="shared" si="12"/>
        <v>2010</v>
      </c>
      <c r="E132" t="s">
        <v>38</v>
      </c>
      <c r="F132" t="s">
        <v>143</v>
      </c>
      <c r="G132" t="s">
        <v>86</v>
      </c>
      <c r="H132" s="72" t="s">
        <v>220</v>
      </c>
      <c r="I132" s="72" t="s">
        <v>62</v>
      </c>
      <c r="J132" t="str">
        <f t="shared" si="11"/>
        <v>Skykomish River</v>
      </c>
      <c r="K132" t="str">
        <f>IFERROR(VLOOKUP(J132,LUTs!$A$1:$C$73,2,FALSE),"NA")</f>
        <v>Snohomish</v>
      </c>
      <c r="L132" t="str">
        <f>IFERROR(VLOOKUP(J132,LUTs!$A$1:$C$73,3,FALSE),"NA")</f>
        <v>2Central Puget Sound</v>
      </c>
      <c r="M132" s="72" t="s">
        <v>16</v>
      </c>
      <c r="N132" t="str">
        <f>VLOOKUP(M132,LUTs!E$2:H$14,3,)</f>
        <v>03Snohomish</v>
      </c>
      <c r="O132" t="str">
        <f>VLOOKUP(M132,LUTs!E$2:H$14,4,)</f>
        <v>01North Puget Sound</v>
      </c>
      <c r="P132" s="80">
        <v>64.307692307692307</v>
      </c>
      <c r="Q132" s="102">
        <v>64.307692307692307</v>
      </c>
      <c r="R132" s="74">
        <f>VLOOKUP(B132,Readme!A$40:C$52,3,)*Q132</f>
        <v>549.18769230769226</v>
      </c>
    </row>
    <row r="133" spans="1:18" ht="14.15" customHeight="1" x14ac:dyDescent="0.35">
      <c r="A133" s="75">
        <v>199</v>
      </c>
      <c r="B133" s="80">
        <v>2010</v>
      </c>
      <c r="C133" s="80">
        <v>10</v>
      </c>
      <c r="D133" s="80">
        <f t="shared" si="12"/>
        <v>2010</v>
      </c>
      <c r="E133" t="s">
        <v>38</v>
      </c>
      <c r="F133" t="s">
        <v>143</v>
      </c>
      <c r="G133" t="s">
        <v>86</v>
      </c>
      <c r="H133" s="72" t="s">
        <v>220</v>
      </c>
      <c r="I133" s="72" t="s">
        <v>62</v>
      </c>
      <c r="J133" t="str">
        <f t="shared" si="11"/>
        <v>Skykomish River</v>
      </c>
      <c r="K133" t="str">
        <f>IFERROR(VLOOKUP(J133,LUTs!$A$1:$C$73,2,FALSE),"NA")</f>
        <v>Snohomish</v>
      </c>
      <c r="L133" t="str">
        <f>IFERROR(VLOOKUP(J133,LUTs!$A$1:$C$73,3,FALSE),"NA")</f>
        <v>2Central Puget Sound</v>
      </c>
      <c r="M133" s="72" t="s">
        <v>21</v>
      </c>
      <c r="N133" t="str">
        <f>VLOOKUP(M133,LUTs!E$2:H$14,3,)</f>
        <v>08Thurston</v>
      </c>
      <c r="O133" t="str">
        <f>VLOOKUP(M133,LUTs!E$2:H$14,4,)</f>
        <v>02South Puget Sound</v>
      </c>
      <c r="P133" s="80">
        <v>2.9230769230769198</v>
      </c>
      <c r="Q133" s="102">
        <v>2.9230769230769198</v>
      </c>
      <c r="R133" s="74">
        <f>VLOOKUP(B133,Readme!A$40:C$52,3,)*Q133</f>
        <v>24.963076923076894</v>
      </c>
    </row>
    <row r="134" spans="1:18" ht="14.15" customHeight="1" x14ac:dyDescent="0.35">
      <c r="A134" s="75">
        <v>223</v>
      </c>
      <c r="B134" s="80">
        <v>2010</v>
      </c>
      <c r="C134" s="80">
        <v>10</v>
      </c>
      <c r="D134" s="80">
        <f t="shared" si="12"/>
        <v>2010</v>
      </c>
      <c r="E134" t="s">
        <v>38</v>
      </c>
      <c r="F134" t="s">
        <v>143</v>
      </c>
      <c r="G134" t="s">
        <v>86</v>
      </c>
      <c r="H134" s="72" t="s">
        <v>247</v>
      </c>
      <c r="I134" s="72" t="s">
        <v>98</v>
      </c>
      <c r="J134" t="str">
        <f t="shared" si="11"/>
        <v>Skykomish River, No. Fork</v>
      </c>
      <c r="K134" t="str">
        <f>IFERROR(VLOOKUP(J134,LUTs!$A$1:$C$73,2,FALSE),"NA")</f>
        <v>Snohomish</v>
      </c>
      <c r="L134" t="str">
        <f>IFERROR(VLOOKUP(J134,LUTs!$A$1:$C$73,3,FALSE),"NA")</f>
        <v>2Central Puget Sound</v>
      </c>
      <c r="M134" s="72" t="s">
        <v>18</v>
      </c>
      <c r="N134" t="str">
        <f>VLOOKUP(M134,LUTs!E$2:H$14,3,)</f>
        <v>06King</v>
      </c>
      <c r="O134" t="str">
        <f>VLOOKUP(M134,LUTs!E$2:H$14,4,)</f>
        <v>02South Puget Sound</v>
      </c>
      <c r="P134" s="80">
        <v>3</v>
      </c>
      <c r="Q134" s="102">
        <v>3</v>
      </c>
      <c r="R134" s="74">
        <f>VLOOKUP(B134,Readme!A$40:C$52,3,)*Q134</f>
        <v>25.619999999999997</v>
      </c>
    </row>
    <row r="135" spans="1:18" ht="14.15" customHeight="1" x14ac:dyDescent="0.35">
      <c r="A135" s="75">
        <v>224</v>
      </c>
      <c r="B135" s="80">
        <v>2010</v>
      </c>
      <c r="C135" s="80">
        <v>10</v>
      </c>
      <c r="D135" s="80">
        <f t="shared" si="12"/>
        <v>2010</v>
      </c>
      <c r="E135" t="s">
        <v>38</v>
      </c>
      <c r="F135" t="s">
        <v>143</v>
      </c>
      <c r="G135" t="s">
        <v>86</v>
      </c>
      <c r="H135" s="72" t="s">
        <v>247</v>
      </c>
      <c r="I135" s="72" t="s">
        <v>98</v>
      </c>
      <c r="J135" t="str">
        <f t="shared" si="11"/>
        <v>Skykomish River, No. Fork</v>
      </c>
      <c r="K135" t="str">
        <f>IFERROR(VLOOKUP(J135,LUTs!$A$1:$C$73,2,FALSE),"NA")</f>
        <v>Snohomish</v>
      </c>
      <c r="L135" t="str">
        <f>IFERROR(VLOOKUP(J135,LUTs!$A$1:$C$73,3,FALSE),"NA")</f>
        <v>2Central Puget Sound</v>
      </c>
      <c r="M135" s="72" t="s">
        <v>20</v>
      </c>
      <c r="N135" t="str">
        <f>VLOOKUP(M135,LUTs!E$2:H$14,3,)</f>
        <v>07Pierce</v>
      </c>
      <c r="O135" t="str">
        <f>VLOOKUP(M135,LUTs!E$2:H$14,4,)</f>
        <v>02South Puget Sound</v>
      </c>
      <c r="P135" s="80">
        <v>3</v>
      </c>
      <c r="Q135" s="102">
        <v>3</v>
      </c>
      <c r="R135" s="74">
        <f>VLOOKUP(B135,Readme!A$40:C$52,3,)*Q135</f>
        <v>25.619999999999997</v>
      </c>
    </row>
    <row r="136" spans="1:18" ht="14.15" customHeight="1" x14ac:dyDescent="0.35">
      <c r="A136" s="75">
        <v>225</v>
      </c>
      <c r="B136" s="80">
        <v>2010</v>
      </c>
      <c r="C136" s="80">
        <v>10</v>
      </c>
      <c r="D136" s="80">
        <f t="shared" si="12"/>
        <v>2010</v>
      </c>
      <c r="E136" t="s">
        <v>38</v>
      </c>
      <c r="F136" t="s">
        <v>143</v>
      </c>
      <c r="G136" t="s">
        <v>86</v>
      </c>
      <c r="H136" s="72" t="s">
        <v>247</v>
      </c>
      <c r="I136" s="72" t="s">
        <v>98</v>
      </c>
      <c r="J136" t="str">
        <f t="shared" si="11"/>
        <v>Skykomish River, No. Fork</v>
      </c>
      <c r="K136" t="str">
        <f>IFERROR(VLOOKUP(J136,LUTs!$A$1:$C$73,2,FALSE),"NA")</f>
        <v>Snohomish</v>
      </c>
      <c r="L136" t="str">
        <f>IFERROR(VLOOKUP(J136,LUTs!$A$1:$C$73,3,FALSE),"NA")</f>
        <v>2Central Puget Sound</v>
      </c>
      <c r="M136" s="72" t="s">
        <v>16</v>
      </c>
      <c r="N136" t="str">
        <f>VLOOKUP(M136,LUTs!E$2:H$14,3,)</f>
        <v>03Snohomish</v>
      </c>
      <c r="O136" t="str">
        <f>VLOOKUP(M136,LUTs!E$2:H$14,4,)</f>
        <v>01North Puget Sound</v>
      </c>
      <c r="P136" s="80">
        <v>6</v>
      </c>
      <c r="Q136" s="102">
        <v>6</v>
      </c>
      <c r="R136" s="74">
        <f>VLOOKUP(B136,Readme!A$40:C$52,3,)*Q136</f>
        <v>51.239999999999995</v>
      </c>
    </row>
    <row r="137" spans="1:18" ht="14.15" customHeight="1" x14ac:dyDescent="0.35">
      <c r="A137" s="75">
        <v>236</v>
      </c>
      <c r="B137" s="80">
        <v>2010</v>
      </c>
      <c r="C137" s="80">
        <v>10</v>
      </c>
      <c r="D137" s="80">
        <f t="shared" si="12"/>
        <v>2010</v>
      </c>
      <c r="E137" t="s">
        <v>38</v>
      </c>
      <c r="F137" t="s">
        <v>143</v>
      </c>
      <c r="G137" t="s">
        <v>86</v>
      </c>
      <c r="H137" s="72" t="s">
        <v>248</v>
      </c>
      <c r="I137" s="72" t="s">
        <v>99</v>
      </c>
      <c r="J137" t="str">
        <f t="shared" si="11"/>
        <v>Skykomish River, So. Fork</v>
      </c>
      <c r="K137" t="str">
        <f>IFERROR(VLOOKUP(J137,LUTs!$A$1:$C$73,2,FALSE),"NA")</f>
        <v>Snohomish/King</v>
      </c>
      <c r="L137" t="str">
        <f>IFERROR(VLOOKUP(J137,LUTs!$A$1:$C$73,3,FALSE),"NA")</f>
        <v>2Central Puget Sound</v>
      </c>
      <c r="M137" s="72" t="s">
        <v>16</v>
      </c>
      <c r="N137" t="str">
        <f>VLOOKUP(M137,LUTs!E$2:H$14,3,)</f>
        <v>03Snohomish</v>
      </c>
      <c r="O137" t="str">
        <f>VLOOKUP(M137,LUTs!E$2:H$14,4,)</f>
        <v>01North Puget Sound</v>
      </c>
      <c r="P137" s="80">
        <v>3</v>
      </c>
      <c r="Q137" s="102">
        <v>3</v>
      </c>
      <c r="R137" s="74">
        <f>VLOOKUP(B137,Readme!A$40:C$52,3,)*Q137</f>
        <v>25.619999999999997</v>
      </c>
    </row>
    <row r="138" spans="1:18" ht="14.15" customHeight="1" x14ac:dyDescent="0.35">
      <c r="A138" s="75">
        <v>247</v>
      </c>
      <c r="B138" s="80">
        <v>2010</v>
      </c>
      <c r="C138" s="80">
        <v>10</v>
      </c>
      <c r="D138" s="80">
        <f t="shared" si="12"/>
        <v>2010</v>
      </c>
      <c r="E138" t="s">
        <v>38</v>
      </c>
      <c r="F138" t="s">
        <v>143</v>
      </c>
      <c r="G138" t="s">
        <v>86</v>
      </c>
      <c r="H138" s="72" t="s">
        <v>221</v>
      </c>
      <c r="I138" s="72" t="s">
        <v>63</v>
      </c>
      <c r="J138" t="str">
        <f t="shared" si="11"/>
        <v>Snohomish River</v>
      </c>
      <c r="K138" t="str">
        <f>IFERROR(VLOOKUP(J138,LUTs!$A$1:$C$73,2,FALSE),"NA")</f>
        <v>Snohomish</v>
      </c>
      <c r="L138" t="str">
        <f>IFERROR(VLOOKUP(J138,LUTs!$A$1:$C$73,3,FALSE),"NA")</f>
        <v>2Central Puget Sound</v>
      </c>
      <c r="M138" s="72" t="s">
        <v>16</v>
      </c>
      <c r="N138" t="str">
        <f>VLOOKUP(M138,LUTs!E$2:H$14,3,)</f>
        <v>03Snohomish</v>
      </c>
      <c r="O138" t="str">
        <f>VLOOKUP(M138,LUTs!E$2:H$14,4,)</f>
        <v>01North Puget Sound</v>
      </c>
      <c r="P138" s="80">
        <v>6</v>
      </c>
      <c r="Q138" s="102">
        <v>6</v>
      </c>
      <c r="R138" s="74">
        <f>VLOOKUP(B138,Readme!A$40:C$52,3,)*Q138</f>
        <v>51.239999999999995</v>
      </c>
    </row>
    <row r="139" spans="1:18" ht="14.15" customHeight="1" x14ac:dyDescent="0.35">
      <c r="A139" s="75">
        <v>262</v>
      </c>
      <c r="B139" s="80">
        <v>2010</v>
      </c>
      <c r="C139" s="80">
        <v>10</v>
      </c>
      <c r="D139" s="80">
        <f t="shared" si="12"/>
        <v>2010</v>
      </c>
      <c r="E139" t="s">
        <v>38</v>
      </c>
      <c r="F139" t="s">
        <v>143</v>
      </c>
      <c r="G139" t="s">
        <v>86</v>
      </c>
      <c r="H139" s="72" t="s">
        <v>222</v>
      </c>
      <c r="I139" s="72" t="s">
        <v>64</v>
      </c>
      <c r="J139" t="str">
        <f t="shared" si="11"/>
        <v>Snoqualmie River</v>
      </c>
      <c r="K139" t="str">
        <f>IFERROR(VLOOKUP(J139,LUTs!$A$1:$C$73,2,FALSE),"NA")</f>
        <v>Snohomish/King</v>
      </c>
      <c r="L139" t="str">
        <f>IFERROR(VLOOKUP(J139,LUTs!$A$1:$C$73,3,FALSE),"NA")</f>
        <v>2Central Puget Sound</v>
      </c>
      <c r="M139" s="72" t="s">
        <v>18</v>
      </c>
      <c r="N139" t="str">
        <f>VLOOKUP(M139,LUTs!E$2:H$14,3,)</f>
        <v>06King</v>
      </c>
      <c r="O139" t="str">
        <f>VLOOKUP(M139,LUTs!E$2:H$14,4,)</f>
        <v>02South Puget Sound</v>
      </c>
      <c r="P139" s="80">
        <v>6</v>
      </c>
      <c r="Q139" s="102">
        <v>6</v>
      </c>
      <c r="R139" s="74">
        <f>VLOOKUP(B139,Readme!A$40:C$52,3,)*Q139</f>
        <v>51.239999999999995</v>
      </c>
    </row>
    <row r="140" spans="1:18" ht="14.15" customHeight="1" x14ac:dyDescent="0.35">
      <c r="A140" s="75">
        <v>263</v>
      </c>
      <c r="B140" s="80">
        <v>2010</v>
      </c>
      <c r="C140" s="80">
        <v>10</v>
      </c>
      <c r="D140" s="80">
        <f t="shared" si="12"/>
        <v>2010</v>
      </c>
      <c r="E140" t="s">
        <v>38</v>
      </c>
      <c r="F140" t="s">
        <v>143</v>
      </c>
      <c r="G140" t="s">
        <v>86</v>
      </c>
      <c r="H140" s="72" t="s">
        <v>222</v>
      </c>
      <c r="I140" s="72" t="s">
        <v>64</v>
      </c>
      <c r="J140" t="str">
        <f t="shared" si="11"/>
        <v>Snoqualmie River</v>
      </c>
      <c r="K140" t="str">
        <f>IFERROR(VLOOKUP(J140,LUTs!$A$1:$C$73,2,FALSE),"NA")</f>
        <v>Snohomish/King</v>
      </c>
      <c r="L140" t="str">
        <f>IFERROR(VLOOKUP(J140,LUTs!$A$1:$C$73,3,FALSE),"NA")</f>
        <v>2Central Puget Sound</v>
      </c>
      <c r="M140" s="72" t="s">
        <v>16</v>
      </c>
      <c r="N140" t="str">
        <f>VLOOKUP(M140,LUTs!E$2:H$14,3,)</f>
        <v>03Snohomish</v>
      </c>
      <c r="O140" t="str">
        <f>VLOOKUP(M140,LUTs!E$2:H$14,4,)</f>
        <v>01North Puget Sound</v>
      </c>
      <c r="P140" s="80">
        <v>3</v>
      </c>
      <c r="Q140" s="102">
        <v>3</v>
      </c>
      <c r="R140" s="74">
        <f>VLOOKUP(B140,Readme!A$40:C$52,3,)*Q140</f>
        <v>25.619999999999997</v>
      </c>
    </row>
    <row r="141" spans="1:18" ht="14.15" customHeight="1" x14ac:dyDescent="0.35">
      <c r="A141" s="75">
        <v>319</v>
      </c>
      <c r="B141" s="80">
        <v>2010</v>
      </c>
      <c r="C141" s="80">
        <v>10</v>
      </c>
      <c r="D141" s="80">
        <f t="shared" si="12"/>
        <v>2010</v>
      </c>
      <c r="E141" t="s">
        <v>38</v>
      </c>
      <c r="F141" t="s">
        <v>143</v>
      </c>
      <c r="G141" t="s">
        <v>86</v>
      </c>
      <c r="H141" s="72" t="s">
        <v>223</v>
      </c>
      <c r="I141" s="72" t="s">
        <v>103</v>
      </c>
      <c r="J141" t="str">
        <f t="shared" si="11"/>
        <v>Stillaguamish R, No. Fork</v>
      </c>
      <c r="K141" t="str">
        <f>IFERROR(VLOOKUP(J141,LUTs!$A$1:$C$73,2,FALSE),"NA")</f>
        <v>Snohomish</v>
      </c>
      <c r="L141" t="str">
        <f>IFERROR(VLOOKUP(J141,LUTs!$A$1:$C$73,3,FALSE),"NA")</f>
        <v>2Central Puget Sound</v>
      </c>
      <c r="M141" s="72" t="s">
        <v>18</v>
      </c>
      <c r="N141" t="str">
        <f>VLOOKUP(M141,LUTs!E$2:H$14,3,)</f>
        <v>06King</v>
      </c>
      <c r="O141" t="str">
        <f>VLOOKUP(M141,LUTs!E$2:H$14,4,)</f>
        <v>02South Puget Sound</v>
      </c>
      <c r="P141" s="80">
        <v>6</v>
      </c>
      <c r="Q141" s="102">
        <v>6</v>
      </c>
      <c r="R141" s="74">
        <f>VLOOKUP(B141,Readme!A$40:C$52,3,)*Q141</f>
        <v>51.239999999999995</v>
      </c>
    </row>
    <row r="142" spans="1:18" ht="14.15" customHeight="1" x14ac:dyDescent="0.35">
      <c r="A142" s="75">
        <v>320</v>
      </c>
      <c r="B142" s="80">
        <v>2010</v>
      </c>
      <c r="C142" s="80">
        <v>10</v>
      </c>
      <c r="D142" s="80">
        <f t="shared" si="12"/>
        <v>2010</v>
      </c>
      <c r="E142" t="s">
        <v>38</v>
      </c>
      <c r="F142" t="s">
        <v>143</v>
      </c>
      <c r="G142" t="s">
        <v>86</v>
      </c>
      <c r="H142" s="72" t="s">
        <v>223</v>
      </c>
      <c r="I142" s="72" t="s">
        <v>103</v>
      </c>
      <c r="J142" t="str">
        <f t="shared" si="11"/>
        <v>Stillaguamish R, No. Fork</v>
      </c>
      <c r="K142" t="str">
        <f>IFERROR(VLOOKUP(J142,LUTs!$A$1:$C$73,2,FALSE),"NA")</f>
        <v>Snohomish</v>
      </c>
      <c r="L142" t="str">
        <f>IFERROR(VLOOKUP(J142,LUTs!$A$1:$C$73,3,FALSE),"NA")</f>
        <v>2Central Puget Sound</v>
      </c>
      <c r="M142" s="72" t="s">
        <v>16</v>
      </c>
      <c r="N142" t="str">
        <f>VLOOKUP(M142,LUTs!E$2:H$14,3,)</f>
        <v>03Snohomish</v>
      </c>
      <c r="O142" t="str">
        <f>VLOOKUP(M142,LUTs!E$2:H$14,4,)</f>
        <v>01North Puget Sound</v>
      </c>
      <c r="P142" s="80">
        <v>6</v>
      </c>
      <c r="Q142" s="102">
        <v>6</v>
      </c>
      <c r="R142" s="74">
        <f>VLOOKUP(B142,Readme!A$40:C$52,3,)*Q142</f>
        <v>51.239999999999995</v>
      </c>
    </row>
    <row r="143" spans="1:18" ht="14.15" customHeight="1" x14ac:dyDescent="0.35">
      <c r="A143" s="75">
        <v>328</v>
      </c>
      <c r="B143" s="80">
        <v>2010</v>
      </c>
      <c r="C143" s="80">
        <v>10</v>
      </c>
      <c r="D143" s="80">
        <f t="shared" si="12"/>
        <v>2010</v>
      </c>
      <c r="E143" t="s">
        <v>38</v>
      </c>
      <c r="F143" t="s">
        <v>143</v>
      </c>
      <c r="G143" t="s">
        <v>86</v>
      </c>
      <c r="H143" s="72" t="s">
        <v>252</v>
      </c>
      <c r="I143" s="72" t="s">
        <v>104</v>
      </c>
      <c r="J143" t="str">
        <f t="shared" si="11"/>
        <v>Stillaguamish R, So. Fork</v>
      </c>
      <c r="K143" t="str">
        <f>IFERROR(VLOOKUP(J143,LUTs!$A$1:$C$73,2,FALSE),"NA")</f>
        <v>Snohomish</v>
      </c>
      <c r="L143" t="str">
        <f>IFERROR(VLOOKUP(J143,LUTs!$A$1:$C$73,3,FALSE),"NA")</f>
        <v>2Central Puget Sound</v>
      </c>
      <c r="M143" s="72" t="s">
        <v>16</v>
      </c>
      <c r="N143" t="str">
        <f>VLOOKUP(M143,LUTs!E$2:H$14,3,)</f>
        <v>03Snohomish</v>
      </c>
      <c r="O143" t="str">
        <f>VLOOKUP(M143,LUTs!E$2:H$14,4,)</f>
        <v>01North Puget Sound</v>
      </c>
      <c r="P143" s="80">
        <v>3</v>
      </c>
      <c r="Q143" s="102">
        <v>3</v>
      </c>
      <c r="R143" s="74">
        <f>VLOOKUP(B143,Readme!A$40:C$52,3,)*Q143</f>
        <v>25.619999999999997</v>
      </c>
    </row>
    <row r="144" spans="1:18" ht="14.15" customHeight="1" x14ac:dyDescent="0.35">
      <c r="A144" s="75">
        <v>330</v>
      </c>
      <c r="B144" s="80">
        <v>2010</v>
      </c>
      <c r="C144" s="80">
        <v>10</v>
      </c>
      <c r="D144" s="80">
        <f t="shared" si="12"/>
        <v>2010</v>
      </c>
      <c r="E144" t="s">
        <v>38</v>
      </c>
      <c r="F144" t="s">
        <v>143</v>
      </c>
      <c r="G144" t="s">
        <v>86</v>
      </c>
      <c r="H144" s="72" t="s">
        <v>253</v>
      </c>
      <c r="I144" s="72" t="s">
        <v>65</v>
      </c>
      <c r="J144" t="str">
        <f t="shared" si="11"/>
        <v>Stillaguamish River</v>
      </c>
      <c r="K144" t="str">
        <f>IFERROR(VLOOKUP(J144,LUTs!$A$1:$C$73,2,FALSE),"NA")</f>
        <v>Snohomish</v>
      </c>
      <c r="L144" t="str">
        <f>IFERROR(VLOOKUP(J144,LUTs!$A$1:$C$73,3,FALSE),"NA")</f>
        <v>2Central Puget Sound</v>
      </c>
      <c r="M144" s="72" t="s">
        <v>17</v>
      </c>
      <c r="N144" t="str">
        <f>VLOOKUP(M144,LUTs!E$2:H$14,3,)</f>
        <v>04Island</v>
      </c>
      <c r="O144" t="str">
        <f>VLOOKUP(M144,LUTs!E$2:H$14,4,)</f>
        <v>01North Puget Sound</v>
      </c>
      <c r="P144" s="80">
        <v>3</v>
      </c>
      <c r="Q144" s="102">
        <v>3</v>
      </c>
      <c r="R144" s="74">
        <f>VLOOKUP(B144,Readme!A$40:C$52,3,)*Q144</f>
        <v>25.619999999999997</v>
      </c>
    </row>
    <row r="145" spans="1:18" ht="14.15" customHeight="1" x14ac:dyDescent="0.35">
      <c r="A145" s="75">
        <v>279</v>
      </c>
      <c r="B145" s="80">
        <v>2010</v>
      </c>
      <c r="C145" s="80">
        <v>10</v>
      </c>
      <c r="D145" s="80">
        <f t="shared" si="12"/>
        <v>2010</v>
      </c>
      <c r="E145" t="s">
        <v>38</v>
      </c>
      <c r="F145" t="s">
        <v>143</v>
      </c>
      <c r="G145" t="s">
        <v>86</v>
      </c>
      <c r="H145" s="72" t="s">
        <v>249</v>
      </c>
      <c r="I145" s="72" t="s">
        <v>100</v>
      </c>
      <c r="J145" t="str">
        <f t="shared" si="11"/>
        <v>Sultan River</v>
      </c>
      <c r="K145" t="str">
        <f>IFERROR(VLOOKUP(J145,LUTs!$A$1:$C$73,2,FALSE),"NA")</f>
        <v>Snohomish</v>
      </c>
      <c r="L145" t="str">
        <f>IFERROR(VLOOKUP(J145,LUTs!$A$1:$C$73,3,FALSE),"NA")</f>
        <v>2Central Puget Sound</v>
      </c>
      <c r="M145" s="72" t="s">
        <v>26</v>
      </c>
      <c r="N145" t="str">
        <f>VLOOKUP(M145,LUTs!E$2:H$14,3,)</f>
        <v>20Other</v>
      </c>
      <c r="O145" t="str">
        <f>VLOOKUP(M145,LUTs!E$2:H$14,4,)</f>
        <v>07Non Puget Sound</v>
      </c>
      <c r="P145" s="80">
        <v>2</v>
      </c>
      <c r="Q145" s="102">
        <v>2</v>
      </c>
      <c r="R145" s="74">
        <f>VLOOKUP(B145,Readme!A$40:C$52,3,)*Q145</f>
        <v>17.079999999999998</v>
      </c>
    </row>
    <row r="146" spans="1:18" ht="14.15" customHeight="1" x14ac:dyDescent="0.35">
      <c r="A146" s="75">
        <v>280</v>
      </c>
      <c r="B146" s="80">
        <v>2010</v>
      </c>
      <c r="C146" s="80">
        <v>10</v>
      </c>
      <c r="D146" s="80">
        <f t="shared" si="12"/>
        <v>2010</v>
      </c>
      <c r="E146" t="s">
        <v>38</v>
      </c>
      <c r="F146" t="s">
        <v>143</v>
      </c>
      <c r="G146" t="s">
        <v>86</v>
      </c>
      <c r="H146" s="72" t="s">
        <v>249</v>
      </c>
      <c r="I146" s="72" t="s">
        <v>100</v>
      </c>
      <c r="J146" t="str">
        <f t="shared" si="11"/>
        <v>Sultan River</v>
      </c>
      <c r="K146" t="str">
        <f>IFERROR(VLOOKUP(J146,LUTs!$A$1:$C$73,2,FALSE),"NA")</f>
        <v>Snohomish</v>
      </c>
      <c r="L146" t="str">
        <f>IFERROR(VLOOKUP(J146,LUTs!$A$1:$C$73,3,FALSE),"NA")</f>
        <v>2Central Puget Sound</v>
      </c>
      <c r="M146" s="72" t="s">
        <v>16</v>
      </c>
      <c r="N146" t="str">
        <f>VLOOKUP(M146,LUTs!E$2:H$14,3,)</f>
        <v>03Snohomish</v>
      </c>
      <c r="O146" t="str">
        <f>VLOOKUP(M146,LUTs!E$2:H$14,4,)</f>
        <v>01North Puget Sound</v>
      </c>
      <c r="P146" s="80">
        <v>4</v>
      </c>
      <c r="Q146" s="102">
        <v>4</v>
      </c>
      <c r="R146" s="74">
        <f>VLOOKUP(B146,Readme!A$40:C$52,3,)*Q146</f>
        <v>34.159999999999997</v>
      </c>
    </row>
    <row r="147" spans="1:18" ht="14.15" customHeight="1" x14ac:dyDescent="0.35">
      <c r="A147" s="75">
        <v>298</v>
      </c>
      <c r="B147" s="80">
        <v>2010</v>
      </c>
      <c r="C147" s="80">
        <v>10</v>
      </c>
      <c r="D147" s="80">
        <f t="shared" si="12"/>
        <v>2010</v>
      </c>
      <c r="E147" t="s">
        <v>38</v>
      </c>
      <c r="F147" t="s">
        <v>143</v>
      </c>
      <c r="G147" t="s">
        <v>86</v>
      </c>
      <c r="H147" s="72" t="s">
        <v>233</v>
      </c>
      <c r="I147" s="72" t="s">
        <v>76</v>
      </c>
      <c r="J147" t="str">
        <f t="shared" si="11"/>
        <v>Wallace River</v>
      </c>
      <c r="K147" t="str">
        <f>IFERROR(VLOOKUP(J147,LUTs!$A$1:$C$73,2,FALSE),"NA")</f>
        <v>Snohomish</v>
      </c>
      <c r="L147" t="str">
        <f>IFERROR(VLOOKUP(J147,LUTs!$A$1:$C$73,3,FALSE),"NA")</f>
        <v>2Central Puget Sound</v>
      </c>
      <c r="M147" s="72" t="s">
        <v>18</v>
      </c>
      <c r="N147" t="str">
        <f>VLOOKUP(M147,LUTs!E$2:H$14,3,)</f>
        <v>06King</v>
      </c>
      <c r="O147" t="str">
        <f>VLOOKUP(M147,LUTs!E$2:H$14,4,)</f>
        <v>02South Puget Sound</v>
      </c>
      <c r="P147" s="80">
        <v>6</v>
      </c>
      <c r="Q147" s="102">
        <v>6</v>
      </c>
      <c r="R147" s="74">
        <f>VLOOKUP(B147,Readme!A$40:C$52,3,)*Q147</f>
        <v>51.239999999999995</v>
      </c>
    </row>
    <row r="148" spans="1:18" ht="14.15" customHeight="1" x14ac:dyDescent="0.35">
      <c r="A148" s="75">
        <v>299</v>
      </c>
      <c r="B148" s="80">
        <v>2010</v>
      </c>
      <c r="C148" s="80">
        <v>10</v>
      </c>
      <c r="D148" s="80">
        <f t="shared" si="12"/>
        <v>2010</v>
      </c>
      <c r="E148" t="s">
        <v>38</v>
      </c>
      <c r="F148" t="s">
        <v>143</v>
      </c>
      <c r="G148" t="s">
        <v>86</v>
      </c>
      <c r="H148" s="72" t="s">
        <v>233</v>
      </c>
      <c r="I148" s="72" t="s">
        <v>76</v>
      </c>
      <c r="J148" t="str">
        <f t="shared" si="11"/>
        <v>Wallace River</v>
      </c>
      <c r="K148" t="str">
        <f>IFERROR(VLOOKUP(J148,LUTs!$A$1:$C$73,2,FALSE),"NA")</f>
        <v>Snohomish</v>
      </c>
      <c r="L148" t="str">
        <f>IFERROR(VLOOKUP(J148,LUTs!$A$1:$C$73,3,FALSE),"NA")</f>
        <v>2Central Puget Sound</v>
      </c>
      <c r="M148" s="72" t="s">
        <v>16</v>
      </c>
      <c r="N148" t="str">
        <f>VLOOKUP(M148,LUTs!E$2:H$14,3,)</f>
        <v>03Snohomish</v>
      </c>
      <c r="O148" t="str">
        <f>VLOOKUP(M148,LUTs!E$2:H$14,4,)</f>
        <v>01North Puget Sound</v>
      </c>
      <c r="P148" s="80">
        <v>6</v>
      </c>
      <c r="Q148" s="102">
        <v>6</v>
      </c>
      <c r="R148" s="74">
        <f>VLOOKUP(B148,Readme!A$40:C$52,3,)*Q148</f>
        <v>51.239999999999995</v>
      </c>
    </row>
    <row r="149" spans="1:18" ht="14.15" customHeight="1" x14ac:dyDescent="0.35">
      <c r="A149" s="75">
        <v>342</v>
      </c>
      <c r="B149" s="80">
        <v>2010</v>
      </c>
      <c r="C149" s="80">
        <v>11</v>
      </c>
      <c r="D149" s="80">
        <f t="shared" si="12"/>
        <v>2010</v>
      </c>
      <c r="E149" t="s">
        <v>38</v>
      </c>
      <c r="F149" t="s">
        <v>143</v>
      </c>
      <c r="G149" t="s">
        <v>86</v>
      </c>
      <c r="H149" s="72" t="s">
        <v>254</v>
      </c>
      <c r="I149" s="72" t="s">
        <v>33</v>
      </c>
      <c r="J149" t="str">
        <f t="shared" si="11"/>
        <v>Area 9: Admiralty Inlet</v>
      </c>
      <c r="K149" t="str">
        <f>IFERROR(VLOOKUP(J149,LUTs!$A$1:$C$73,2,FALSE),"NA")</f>
        <v>NA</v>
      </c>
      <c r="L149" t="str">
        <f>IFERROR(VLOOKUP(J149,LUTs!$A$1:$C$73,3,FALSE),"NA")</f>
        <v>2Central Puget Sound</v>
      </c>
      <c r="M149" s="72" t="s">
        <v>17</v>
      </c>
      <c r="N149" t="str">
        <f>VLOOKUP(M149,LUTs!E$2:H$14,3,)</f>
        <v>04Island</v>
      </c>
      <c r="O149" t="str">
        <f>VLOOKUP(M149,LUTs!E$2:H$14,4,)</f>
        <v>01North Puget Sound</v>
      </c>
      <c r="P149" s="80">
        <v>3</v>
      </c>
      <c r="Q149" s="102">
        <v>3</v>
      </c>
      <c r="R149" s="74">
        <f>VLOOKUP(B149,Readme!A$40:C$52,3,)*Q149</f>
        <v>25.619999999999997</v>
      </c>
    </row>
    <row r="150" spans="1:18" ht="14.15" customHeight="1" x14ac:dyDescent="0.35">
      <c r="A150" s="75">
        <v>122</v>
      </c>
      <c r="B150" s="80">
        <v>2010</v>
      </c>
      <c r="C150" s="80">
        <v>11</v>
      </c>
      <c r="D150" s="80">
        <f t="shared" si="12"/>
        <v>2010</v>
      </c>
      <c r="E150" t="s">
        <v>38</v>
      </c>
      <c r="F150" t="s">
        <v>143</v>
      </c>
      <c r="G150" t="s">
        <v>86</v>
      </c>
      <c r="H150" s="72" t="s">
        <v>217</v>
      </c>
      <c r="I150" s="72" t="s">
        <v>59</v>
      </c>
      <c r="J150" t="str">
        <f t="shared" si="11"/>
        <v>Cascade River</v>
      </c>
      <c r="K150" t="str">
        <f>IFERROR(VLOOKUP(J150,LUTs!$A$1:$C$73,2,FALSE),"NA")</f>
        <v>Skagit</v>
      </c>
      <c r="L150" t="str">
        <f>IFERROR(VLOOKUP(J150,LUTs!$A$1:$C$73,3,FALSE),"NA")</f>
        <v>1North Puget Sound</v>
      </c>
      <c r="M150" s="72" t="s">
        <v>17</v>
      </c>
      <c r="N150" t="str">
        <f>VLOOKUP(M150,LUTs!E$2:H$14,3,)</f>
        <v>04Island</v>
      </c>
      <c r="O150" t="str">
        <f>VLOOKUP(M150,LUTs!E$2:H$14,4,)</f>
        <v>01North Puget Sound</v>
      </c>
      <c r="P150" s="80">
        <v>5.68</v>
      </c>
      <c r="Q150" s="102">
        <v>5.68</v>
      </c>
      <c r="R150" s="74">
        <f>VLOOKUP(B150,Readme!A$40:C$52,3,)*Q150</f>
        <v>48.50719999999999</v>
      </c>
    </row>
    <row r="151" spans="1:18" ht="14.15" customHeight="1" x14ac:dyDescent="0.35">
      <c r="A151" s="75">
        <v>123</v>
      </c>
      <c r="B151" s="80">
        <v>2010</v>
      </c>
      <c r="C151" s="80">
        <v>11</v>
      </c>
      <c r="D151" s="80">
        <f t="shared" si="12"/>
        <v>2010</v>
      </c>
      <c r="E151" t="s">
        <v>38</v>
      </c>
      <c r="F151" t="s">
        <v>143</v>
      </c>
      <c r="G151" t="s">
        <v>86</v>
      </c>
      <c r="H151" s="72" t="s">
        <v>217</v>
      </c>
      <c r="I151" s="72" t="s">
        <v>59</v>
      </c>
      <c r="J151" t="str">
        <f t="shared" si="11"/>
        <v>Cascade River</v>
      </c>
      <c r="K151" t="str">
        <f>IFERROR(VLOOKUP(J151,LUTs!$A$1:$C$73,2,FALSE),"NA")</f>
        <v>Skagit</v>
      </c>
      <c r="L151" t="str">
        <f>IFERROR(VLOOKUP(J151,LUTs!$A$1:$C$73,3,FALSE),"NA")</f>
        <v>1North Puget Sound</v>
      </c>
      <c r="M151" s="72" t="s">
        <v>30</v>
      </c>
      <c r="N151" t="str">
        <f>VLOOKUP(M151,LUTs!E$2:H$14,3,)</f>
        <v>05San Juan</v>
      </c>
      <c r="O151" t="str">
        <f>VLOOKUP(M151,LUTs!E$2:H$14,4,)</f>
        <v>01North Puget Sound</v>
      </c>
      <c r="P151" s="80">
        <v>11.36</v>
      </c>
      <c r="Q151" s="102">
        <v>11.36</v>
      </c>
      <c r="R151" s="74">
        <f>VLOOKUP(B151,Readme!A$40:C$52,3,)*Q151</f>
        <v>97.014399999999981</v>
      </c>
    </row>
    <row r="152" spans="1:18" ht="14.15" customHeight="1" x14ac:dyDescent="0.35">
      <c r="A152" s="75">
        <v>124</v>
      </c>
      <c r="B152" s="80">
        <v>2010</v>
      </c>
      <c r="C152" s="80">
        <v>11</v>
      </c>
      <c r="D152" s="80">
        <f t="shared" si="12"/>
        <v>2010</v>
      </c>
      <c r="E152" t="s">
        <v>38</v>
      </c>
      <c r="F152" t="s">
        <v>143</v>
      </c>
      <c r="G152" t="s">
        <v>86</v>
      </c>
      <c r="H152" s="72" t="s">
        <v>217</v>
      </c>
      <c r="I152" s="72" t="s">
        <v>59</v>
      </c>
      <c r="J152" t="str">
        <f t="shared" si="11"/>
        <v>Cascade River</v>
      </c>
      <c r="K152" t="str">
        <f>IFERROR(VLOOKUP(J152,LUTs!$A$1:$C$73,2,FALSE),"NA")</f>
        <v>Skagit</v>
      </c>
      <c r="L152" t="str">
        <f>IFERROR(VLOOKUP(J152,LUTs!$A$1:$C$73,3,FALSE),"NA")</f>
        <v>1North Puget Sound</v>
      </c>
      <c r="M152" s="72" t="s">
        <v>15</v>
      </c>
      <c r="N152" t="str">
        <f>VLOOKUP(M152,LUTs!E$2:H$14,3,)</f>
        <v>02Skagit</v>
      </c>
      <c r="O152" t="str">
        <f>VLOOKUP(M152,LUTs!E$2:H$14,4,)</f>
        <v>01North Puget Sound</v>
      </c>
      <c r="P152" s="80">
        <v>56.8</v>
      </c>
      <c r="Q152" s="102">
        <v>56.8</v>
      </c>
      <c r="R152" s="74">
        <f>VLOOKUP(B152,Readme!A$40:C$52,3,)*Q152</f>
        <v>485.07199999999995</v>
      </c>
    </row>
    <row r="153" spans="1:18" ht="14.15" customHeight="1" x14ac:dyDescent="0.35">
      <c r="A153" s="75">
        <v>125</v>
      </c>
      <c r="B153" s="80">
        <v>2010</v>
      </c>
      <c r="C153" s="80">
        <v>11</v>
      </c>
      <c r="D153" s="80">
        <f t="shared" si="12"/>
        <v>2010</v>
      </c>
      <c r="E153" t="s">
        <v>38</v>
      </c>
      <c r="F153" t="s">
        <v>143</v>
      </c>
      <c r="G153" t="s">
        <v>86</v>
      </c>
      <c r="H153" s="72" t="s">
        <v>217</v>
      </c>
      <c r="I153" s="72" t="s">
        <v>59</v>
      </c>
      <c r="J153" t="str">
        <f t="shared" si="11"/>
        <v>Cascade River</v>
      </c>
      <c r="K153" t="str">
        <f>IFERROR(VLOOKUP(J153,LUTs!$A$1:$C$73,2,FALSE),"NA")</f>
        <v>Skagit</v>
      </c>
      <c r="L153" t="str">
        <f>IFERROR(VLOOKUP(J153,LUTs!$A$1:$C$73,3,FALSE),"NA")</f>
        <v>1North Puget Sound</v>
      </c>
      <c r="M153" s="72" t="s">
        <v>16</v>
      </c>
      <c r="N153" t="str">
        <f>VLOOKUP(M153,LUTs!E$2:H$14,3,)</f>
        <v>03Snohomish</v>
      </c>
      <c r="O153" t="str">
        <f>VLOOKUP(M153,LUTs!E$2:H$14,4,)</f>
        <v>01North Puget Sound</v>
      </c>
      <c r="P153" s="80">
        <v>59.64</v>
      </c>
      <c r="Q153" s="102">
        <v>59.64</v>
      </c>
      <c r="R153" s="74">
        <f>VLOOKUP(B153,Readme!A$40:C$52,3,)*Q153</f>
        <v>509.32559999999995</v>
      </c>
    </row>
    <row r="154" spans="1:18" ht="14.15" customHeight="1" x14ac:dyDescent="0.35">
      <c r="A154" s="75">
        <v>126</v>
      </c>
      <c r="B154" s="80">
        <v>2010</v>
      </c>
      <c r="C154" s="80">
        <v>11</v>
      </c>
      <c r="D154" s="80">
        <f t="shared" si="12"/>
        <v>2010</v>
      </c>
      <c r="E154" t="s">
        <v>38</v>
      </c>
      <c r="F154" t="s">
        <v>143</v>
      </c>
      <c r="G154" t="s">
        <v>86</v>
      </c>
      <c r="H154" s="72" t="s">
        <v>217</v>
      </c>
      <c r="I154" s="72" t="s">
        <v>59</v>
      </c>
      <c r="J154" t="str">
        <f t="shared" si="11"/>
        <v>Cascade River</v>
      </c>
      <c r="K154" t="str">
        <f>IFERROR(VLOOKUP(J154,LUTs!$A$1:$C$73,2,FALSE),"NA")</f>
        <v>Skagit</v>
      </c>
      <c r="L154" t="str">
        <f>IFERROR(VLOOKUP(J154,LUTs!$A$1:$C$73,3,FALSE),"NA")</f>
        <v>1North Puget Sound</v>
      </c>
      <c r="M154" s="72" t="s">
        <v>13</v>
      </c>
      <c r="N154" t="str">
        <f>VLOOKUP(M154,LUTs!E$2:H$14,3,)</f>
        <v>01Whatcom</v>
      </c>
      <c r="O154" t="str">
        <f>VLOOKUP(M154,LUTs!E$2:H$14,4,)</f>
        <v>01North Puget Sound</v>
      </c>
      <c r="P154" s="80">
        <v>8.52</v>
      </c>
      <c r="Q154" s="102">
        <v>8.52</v>
      </c>
      <c r="R154" s="74">
        <f>VLOOKUP(B154,Readme!A$40:C$52,3,)*Q154</f>
        <v>72.760799999999989</v>
      </c>
    </row>
    <row r="155" spans="1:18" ht="14.15" customHeight="1" x14ac:dyDescent="0.35">
      <c r="A155" s="75">
        <v>8</v>
      </c>
      <c r="B155" s="80">
        <v>2010</v>
      </c>
      <c r="C155" s="80">
        <v>11</v>
      </c>
      <c r="D155" s="80">
        <f t="shared" si="12"/>
        <v>2010</v>
      </c>
      <c r="E155" t="s">
        <v>38</v>
      </c>
      <c r="F155" t="s">
        <v>143</v>
      </c>
      <c r="G155" t="s">
        <v>86</v>
      </c>
      <c r="H155" s="72" t="s">
        <v>201</v>
      </c>
      <c r="I155" s="72" t="s">
        <v>43</v>
      </c>
      <c r="J155" t="str">
        <f t="shared" si="11"/>
        <v>Dungeness River</v>
      </c>
      <c r="K155" t="str">
        <f>IFERROR(VLOOKUP(J155,LUTs!$A$1:$C$73,2,FALSE),"NA")</f>
        <v>Clallam</v>
      </c>
      <c r="L155" t="str">
        <f>IFERROR(VLOOKUP(J155,LUTs!$A$1:$C$73,3,FALSE),"NA")</f>
        <v>0Strait of Juan de Fuca</v>
      </c>
      <c r="M155" s="72" t="s">
        <v>24</v>
      </c>
      <c r="N155" t="str">
        <f>VLOOKUP(M155,LUTs!E$2:H$14,3,)</f>
        <v>11Clallam</v>
      </c>
      <c r="O155" t="str">
        <f>VLOOKUP(M155,LUTs!E$2:H$14,4,)</f>
        <v>03Strait of Juan de Fuca</v>
      </c>
      <c r="P155" s="80">
        <v>14</v>
      </c>
      <c r="Q155" s="102">
        <v>14</v>
      </c>
      <c r="R155" s="74">
        <f>VLOOKUP(B155,Readme!A$40:C$52,3,)*Q155</f>
        <v>119.55999999999999</v>
      </c>
    </row>
    <row r="156" spans="1:18" ht="14.15" customHeight="1" x14ac:dyDescent="0.35">
      <c r="A156" s="75">
        <v>12</v>
      </c>
      <c r="B156" s="80">
        <v>2010</v>
      </c>
      <c r="C156" s="80">
        <v>11</v>
      </c>
      <c r="D156" s="80">
        <f t="shared" si="12"/>
        <v>2010</v>
      </c>
      <c r="E156" t="s">
        <v>38</v>
      </c>
      <c r="F156" t="s">
        <v>143</v>
      </c>
      <c r="G156" t="s">
        <v>86</v>
      </c>
      <c r="H156" s="72" t="s">
        <v>202</v>
      </c>
      <c r="I156" s="72" t="s">
        <v>44</v>
      </c>
      <c r="J156" t="str">
        <f t="shared" si="11"/>
        <v>Elwha River</v>
      </c>
      <c r="K156" t="str">
        <f>IFERROR(VLOOKUP(J156,LUTs!$A$1:$C$73,2,FALSE),"NA")</f>
        <v>Clallam</v>
      </c>
      <c r="L156" t="str">
        <f>IFERROR(VLOOKUP(J156,LUTs!$A$1:$C$73,3,FALSE),"NA")</f>
        <v>0Strait of Juan de Fuca</v>
      </c>
      <c r="M156" s="72" t="s">
        <v>24</v>
      </c>
      <c r="N156" t="str">
        <f>VLOOKUP(M156,LUTs!E$2:H$14,3,)</f>
        <v>11Clallam</v>
      </c>
      <c r="O156" t="str">
        <f>VLOOKUP(M156,LUTs!E$2:H$14,4,)</f>
        <v>03Strait of Juan de Fuca</v>
      </c>
      <c r="P156" s="80">
        <v>73.852941176470594</v>
      </c>
      <c r="Q156" s="102">
        <v>73.852941176470594</v>
      </c>
      <c r="R156" s="74">
        <f>VLOOKUP(B156,Readme!A$40:C$52,3,)*Q156</f>
        <v>630.70411764705887</v>
      </c>
    </row>
    <row r="157" spans="1:18" ht="14.15" customHeight="1" x14ac:dyDescent="0.35">
      <c r="A157" s="75">
        <v>13</v>
      </c>
      <c r="B157" s="80">
        <v>2010</v>
      </c>
      <c r="C157" s="80">
        <v>11</v>
      </c>
      <c r="D157" s="80">
        <f t="shared" si="12"/>
        <v>2010</v>
      </c>
      <c r="E157" t="s">
        <v>38</v>
      </c>
      <c r="F157" t="s">
        <v>143</v>
      </c>
      <c r="G157" t="s">
        <v>86</v>
      </c>
      <c r="H157" s="72" t="s">
        <v>202</v>
      </c>
      <c r="I157" s="72" t="s">
        <v>44</v>
      </c>
      <c r="J157" t="str">
        <f t="shared" si="11"/>
        <v>Elwha River</v>
      </c>
      <c r="K157" t="str">
        <f>IFERROR(VLOOKUP(J157,LUTs!$A$1:$C$73,2,FALSE),"NA")</f>
        <v>Clallam</v>
      </c>
      <c r="L157" t="str">
        <f>IFERROR(VLOOKUP(J157,LUTs!$A$1:$C$73,3,FALSE),"NA")</f>
        <v>0Strait of Juan de Fuca</v>
      </c>
      <c r="M157" s="72" t="s">
        <v>18</v>
      </c>
      <c r="N157" t="str">
        <f>VLOOKUP(M157,LUTs!E$2:H$14,3,)</f>
        <v>06King</v>
      </c>
      <c r="O157" t="str">
        <f>VLOOKUP(M157,LUTs!E$2:H$14,4,)</f>
        <v>02South Puget Sound</v>
      </c>
      <c r="P157" s="80">
        <v>7.1470588235294104</v>
      </c>
      <c r="Q157" s="102">
        <v>7.1470588235294104</v>
      </c>
      <c r="R157" s="74">
        <f>VLOOKUP(B157,Readme!A$40:C$52,3,)*Q157</f>
        <v>61.035882352941158</v>
      </c>
    </row>
    <row r="158" spans="1:18" ht="14.15" customHeight="1" x14ac:dyDescent="0.35">
      <c r="A158" s="75">
        <v>33</v>
      </c>
      <c r="B158" s="80">
        <v>2010</v>
      </c>
      <c r="C158" s="80">
        <v>11</v>
      </c>
      <c r="D158" s="80">
        <f t="shared" si="12"/>
        <v>2010</v>
      </c>
      <c r="E158" t="s">
        <v>38</v>
      </c>
      <c r="F158" t="s">
        <v>143</v>
      </c>
      <c r="G158" t="s">
        <v>86</v>
      </c>
      <c r="H158" s="72" t="s">
        <v>203</v>
      </c>
      <c r="I158" s="72" t="s">
        <v>89</v>
      </c>
      <c r="J158" s="84" t="s">
        <v>45</v>
      </c>
      <c r="K158" t="str">
        <f>IFERROR(VLOOKUP(J158,LUTs!$A$1:$C$73,2,FALSE),"NA")</f>
        <v>King</v>
      </c>
      <c r="L158" t="str">
        <f>IFERROR(VLOOKUP(J158,LUTs!$A$1:$C$73,3,FALSE),"NA")</f>
        <v>3South Puget Sound</v>
      </c>
      <c r="M158" s="72" t="s">
        <v>18</v>
      </c>
      <c r="N158" t="str">
        <f>VLOOKUP(M158,LUTs!E$2:H$14,3,)</f>
        <v>06King</v>
      </c>
      <c r="O158" t="str">
        <f>VLOOKUP(M158,LUTs!E$2:H$14,4,)</f>
        <v>02South Puget Sound</v>
      </c>
      <c r="P158" s="80">
        <v>23.571428571428601</v>
      </c>
      <c r="Q158" s="102">
        <v>23.571428571428601</v>
      </c>
      <c r="R158" s="74">
        <f>VLOOKUP(B158,Readme!A$40:C$52,3,)*Q158</f>
        <v>201.30000000000024</v>
      </c>
    </row>
    <row r="159" spans="1:18" ht="14.15" customHeight="1" x14ac:dyDescent="0.35">
      <c r="A159" s="75">
        <v>34</v>
      </c>
      <c r="B159" s="80">
        <v>2010</v>
      </c>
      <c r="C159" s="80">
        <v>11</v>
      </c>
      <c r="D159" s="80">
        <f t="shared" si="12"/>
        <v>2010</v>
      </c>
      <c r="E159" t="s">
        <v>38</v>
      </c>
      <c r="F159" t="s">
        <v>143</v>
      </c>
      <c r="G159" t="s">
        <v>86</v>
      </c>
      <c r="H159" s="72" t="s">
        <v>203</v>
      </c>
      <c r="I159" s="72" t="s">
        <v>89</v>
      </c>
      <c r="J159" s="84" t="s">
        <v>45</v>
      </c>
      <c r="K159" t="str">
        <f>IFERROR(VLOOKUP(J159,LUTs!$A$1:$C$73,2,FALSE),"NA")</f>
        <v>King</v>
      </c>
      <c r="L159" t="str">
        <f>IFERROR(VLOOKUP(J159,LUTs!$A$1:$C$73,3,FALSE),"NA")</f>
        <v>3South Puget Sound</v>
      </c>
      <c r="M159" s="72" t="s">
        <v>20</v>
      </c>
      <c r="N159" t="str">
        <f>VLOOKUP(M159,LUTs!E$2:H$14,3,)</f>
        <v>07Pierce</v>
      </c>
      <c r="O159" t="str">
        <f>VLOOKUP(M159,LUTs!E$2:H$14,4,)</f>
        <v>02South Puget Sound</v>
      </c>
      <c r="P159" s="80">
        <v>19.285714285714299</v>
      </c>
      <c r="Q159" s="102">
        <v>19.285714285714299</v>
      </c>
      <c r="R159" s="74">
        <f>VLOOKUP(B159,Readme!A$40:C$52,3,)*Q159</f>
        <v>164.7000000000001</v>
      </c>
    </row>
    <row r="160" spans="1:18" ht="14.15" customHeight="1" x14ac:dyDescent="0.35">
      <c r="A160" s="75">
        <v>35</v>
      </c>
      <c r="B160" s="80">
        <v>2010</v>
      </c>
      <c r="C160" s="80">
        <v>11</v>
      </c>
      <c r="D160" s="80">
        <f t="shared" si="12"/>
        <v>2010</v>
      </c>
      <c r="E160" t="s">
        <v>38</v>
      </c>
      <c r="F160" t="s">
        <v>143</v>
      </c>
      <c r="G160" t="s">
        <v>86</v>
      </c>
      <c r="H160" s="72" t="s">
        <v>203</v>
      </c>
      <c r="I160" s="72" t="s">
        <v>89</v>
      </c>
      <c r="J160" s="84" t="s">
        <v>45</v>
      </c>
      <c r="K160" t="str">
        <f>IFERROR(VLOOKUP(J160,LUTs!$A$1:$C$73,2,FALSE),"NA")</f>
        <v>King</v>
      </c>
      <c r="L160" t="str">
        <f>IFERROR(VLOOKUP(J160,LUTs!$A$1:$C$73,3,FALSE),"NA")</f>
        <v>3South Puget Sound</v>
      </c>
      <c r="M160" s="72" t="s">
        <v>16</v>
      </c>
      <c r="N160" t="str">
        <f>VLOOKUP(M160,LUTs!E$2:H$14,3,)</f>
        <v>03Snohomish</v>
      </c>
      <c r="O160" t="str">
        <f>VLOOKUP(M160,LUTs!E$2:H$14,4,)</f>
        <v>01North Puget Sound</v>
      </c>
      <c r="P160" s="80">
        <v>2.1428571428571401</v>
      </c>
      <c r="Q160" s="102">
        <v>2.1428571428571401</v>
      </c>
      <c r="R160" s="74">
        <f>VLOOKUP(B160,Readme!A$40:C$52,3,)*Q160</f>
        <v>18.299999999999976</v>
      </c>
    </row>
    <row r="161" spans="1:18" ht="14.15" customHeight="1" x14ac:dyDescent="0.35">
      <c r="A161" s="75">
        <v>45</v>
      </c>
      <c r="B161" s="80">
        <v>2010</v>
      </c>
      <c r="C161" s="80">
        <v>11</v>
      </c>
      <c r="D161" s="80">
        <f t="shared" si="12"/>
        <v>2010</v>
      </c>
      <c r="E161" t="s">
        <v>38</v>
      </c>
      <c r="F161" t="s">
        <v>143</v>
      </c>
      <c r="G161" t="s">
        <v>86</v>
      </c>
      <c r="H161" s="72" t="s">
        <v>204</v>
      </c>
      <c r="I161" s="72" t="s">
        <v>46</v>
      </c>
      <c r="J161" t="str">
        <f t="shared" ref="J161:J207" si="13">I161</f>
        <v>Hoko River</v>
      </c>
      <c r="K161" t="str">
        <f>IFERROR(VLOOKUP(J161,LUTs!$A$1:$C$73,2,FALSE),"NA")</f>
        <v>Clallam</v>
      </c>
      <c r="L161" t="str">
        <f>IFERROR(VLOOKUP(J161,LUTs!$A$1:$C$73,3,FALSE),"NA")</f>
        <v>0Strait of Juan de Fuca</v>
      </c>
      <c r="M161" s="72" t="s">
        <v>24</v>
      </c>
      <c r="N161" t="str">
        <f>VLOOKUP(M161,LUTs!E$2:H$14,3,)</f>
        <v>11Clallam</v>
      </c>
      <c r="O161" t="str">
        <f>VLOOKUP(M161,LUTs!E$2:H$14,4,)</f>
        <v>03Strait of Juan de Fuca</v>
      </c>
      <c r="P161" s="80">
        <v>28.2</v>
      </c>
      <c r="Q161" s="102">
        <v>28.2</v>
      </c>
      <c r="R161" s="74">
        <f>VLOOKUP(B161,Readme!A$40:C$52,3,)*Q161</f>
        <v>240.82799999999997</v>
      </c>
    </row>
    <row r="162" spans="1:18" ht="14.15" customHeight="1" x14ac:dyDescent="0.35">
      <c r="A162" s="75">
        <v>46</v>
      </c>
      <c r="B162" s="80">
        <v>2010</v>
      </c>
      <c r="C162" s="80">
        <v>11</v>
      </c>
      <c r="D162" s="80">
        <f t="shared" si="12"/>
        <v>2010</v>
      </c>
      <c r="E162" t="s">
        <v>38</v>
      </c>
      <c r="F162" t="s">
        <v>143</v>
      </c>
      <c r="G162" t="s">
        <v>86</v>
      </c>
      <c r="H162" s="72" t="s">
        <v>204</v>
      </c>
      <c r="I162" s="72" t="s">
        <v>46</v>
      </c>
      <c r="J162" t="str">
        <f t="shared" si="13"/>
        <v>Hoko River</v>
      </c>
      <c r="K162" t="str">
        <f>IFERROR(VLOOKUP(J162,LUTs!$A$1:$C$73,2,FALSE),"NA")</f>
        <v>Clallam</v>
      </c>
      <c r="L162" t="str">
        <f>IFERROR(VLOOKUP(J162,LUTs!$A$1:$C$73,3,FALSE),"NA")</f>
        <v>0Strait of Juan de Fuca</v>
      </c>
      <c r="M162" s="72" t="s">
        <v>18</v>
      </c>
      <c r="N162" t="str">
        <f>VLOOKUP(M162,LUTs!E$2:H$14,3,)</f>
        <v>06King</v>
      </c>
      <c r="O162" t="str">
        <f>VLOOKUP(M162,LUTs!E$2:H$14,4,)</f>
        <v>02South Puget Sound</v>
      </c>
      <c r="P162" s="80">
        <v>9.4</v>
      </c>
      <c r="Q162" s="102">
        <v>9.4</v>
      </c>
      <c r="R162" s="74">
        <f>VLOOKUP(B162,Readme!A$40:C$52,3,)*Q162</f>
        <v>80.275999999999996</v>
      </c>
    </row>
    <row r="163" spans="1:18" ht="14.15" customHeight="1" x14ac:dyDescent="0.35">
      <c r="A163" s="75">
        <v>47</v>
      </c>
      <c r="B163" s="80">
        <v>2010</v>
      </c>
      <c r="C163" s="80">
        <v>11</v>
      </c>
      <c r="D163" s="80">
        <f t="shared" si="12"/>
        <v>2010</v>
      </c>
      <c r="E163" t="s">
        <v>38</v>
      </c>
      <c r="F163" t="s">
        <v>143</v>
      </c>
      <c r="G163" t="s">
        <v>86</v>
      </c>
      <c r="H163" s="72" t="s">
        <v>204</v>
      </c>
      <c r="I163" s="72" t="s">
        <v>46</v>
      </c>
      <c r="J163" t="str">
        <f t="shared" si="13"/>
        <v>Hoko River</v>
      </c>
      <c r="K163" t="str">
        <f>IFERROR(VLOOKUP(J163,LUTs!$A$1:$C$73,2,FALSE),"NA")</f>
        <v>Clallam</v>
      </c>
      <c r="L163" t="str">
        <f>IFERROR(VLOOKUP(J163,LUTs!$A$1:$C$73,3,FALSE),"NA")</f>
        <v>0Strait of Juan de Fuca</v>
      </c>
      <c r="M163" s="72" t="s">
        <v>26</v>
      </c>
      <c r="N163" t="str">
        <f>VLOOKUP(M163,LUTs!E$2:H$14,3,)</f>
        <v>20Other</v>
      </c>
      <c r="O163" t="str">
        <f>VLOOKUP(M163,LUTs!E$2:H$14,4,)</f>
        <v>07Non Puget Sound</v>
      </c>
      <c r="P163" s="80">
        <v>4.7</v>
      </c>
      <c r="Q163" s="102">
        <v>4.7</v>
      </c>
      <c r="R163" s="74">
        <f>VLOOKUP(B163,Readme!A$40:C$52,3,)*Q163</f>
        <v>40.137999999999998</v>
      </c>
    </row>
    <row r="164" spans="1:18" ht="14.15" customHeight="1" x14ac:dyDescent="0.35">
      <c r="A164" s="75">
        <v>48</v>
      </c>
      <c r="B164" s="80">
        <v>2010</v>
      </c>
      <c r="C164" s="80">
        <v>11</v>
      </c>
      <c r="D164" s="80">
        <f t="shared" si="12"/>
        <v>2010</v>
      </c>
      <c r="E164" t="s">
        <v>38</v>
      </c>
      <c r="F164" t="s">
        <v>143</v>
      </c>
      <c r="G164" t="s">
        <v>86</v>
      </c>
      <c r="H164" s="72" t="s">
        <v>204</v>
      </c>
      <c r="I164" s="72" t="s">
        <v>46</v>
      </c>
      <c r="J164" t="str">
        <f t="shared" si="13"/>
        <v>Hoko River</v>
      </c>
      <c r="K164" t="str">
        <f>IFERROR(VLOOKUP(J164,LUTs!$A$1:$C$73,2,FALSE),"NA")</f>
        <v>Clallam</v>
      </c>
      <c r="L164" t="str">
        <f>IFERROR(VLOOKUP(J164,LUTs!$A$1:$C$73,3,FALSE),"NA")</f>
        <v>0Strait of Juan de Fuca</v>
      </c>
      <c r="M164" s="72" t="s">
        <v>20</v>
      </c>
      <c r="N164" t="str">
        <f>VLOOKUP(M164,LUTs!E$2:H$14,3,)</f>
        <v>07Pierce</v>
      </c>
      <c r="O164" t="str">
        <f>VLOOKUP(M164,LUTs!E$2:H$14,4,)</f>
        <v>02South Puget Sound</v>
      </c>
      <c r="P164" s="80">
        <v>2.35</v>
      </c>
      <c r="Q164" s="102">
        <v>2.35</v>
      </c>
      <c r="R164" s="74">
        <f>VLOOKUP(B164,Readme!A$40:C$52,3,)*Q164</f>
        <v>20.068999999999999</v>
      </c>
    </row>
    <row r="165" spans="1:18" ht="14.15" customHeight="1" x14ac:dyDescent="0.35">
      <c r="A165" s="75">
        <v>49</v>
      </c>
      <c r="B165" s="80">
        <v>2010</v>
      </c>
      <c r="C165" s="80">
        <v>11</v>
      </c>
      <c r="D165" s="80">
        <f t="shared" si="12"/>
        <v>2010</v>
      </c>
      <c r="E165" t="s">
        <v>38</v>
      </c>
      <c r="F165" t="s">
        <v>143</v>
      </c>
      <c r="G165" t="s">
        <v>86</v>
      </c>
      <c r="H165" s="72" t="s">
        <v>204</v>
      </c>
      <c r="I165" s="72" t="s">
        <v>46</v>
      </c>
      <c r="J165" t="str">
        <f t="shared" si="13"/>
        <v>Hoko River</v>
      </c>
      <c r="K165" t="str">
        <f>IFERROR(VLOOKUP(J165,LUTs!$A$1:$C$73,2,FALSE),"NA")</f>
        <v>Clallam</v>
      </c>
      <c r="L165" t="str">
        <f>IFERROR(VLOOKUP(J165,LUTs!$A$1:$C$73,3,FALSE),"NA")</f>
        <v>0Strait of Juan de Fuca</v>
      </c>
      <c r="M165" s="72" t="s">
        <v>21</v>
      </c>
      <c r="N165" t="str">
        <f>VLOOKUP(M165,LUTs!E$2:H$14,3,)</f>
        <v>08Thurston</v>
      </c>
      <c r="O165" t="str">
        <f>VLOOKUP(M165,LUTs!E$2:H$14,4,)</f>
        <v>02South Puget Sound</v>
      </c>
      <c r="P165" s="80">
        <v>2.35</v>
      </c>
      <c r="Q165" s="102">
        <v>2.35</v>
      </c>
      <c r="R165" s="74">
        <f>VLOOKUP(B165,Readme!A$40:C$52,3,)*Q165</f>
        <v>20.068999999999999</v>
      </c>
    </row>
    <row r="166" spans="1:18" ht="14.15" customHeight="1" x14ac:dyDescent="0.35">
      <c r="A166" s="75">
        <v>70</v>
      </c>
      <c r="B166" s="80">
        <v>2010</v>
      </c>
      <c r="C166" s="80">
        <v>11</v>
      </c>
      <c r="D166" s="80">
        <f t="shared" si="12"/>
        <v>2010</v>
      </c>
      <c r="E166" t="s">
        <v>38</v>
      </c>
      <c r="F166" t="s">
        <v>143</v>
      </c>
      <c r="G166" t="s">
        <v>86</v>
      </c>
      <c r="H166" s="72" t="s">
        <v>237</v>
      </c>
      <c r="I166" s="72" t="s">
        <v>79</v>
      </c>
      <c r="J166" t="str">
        <f t="shared" si="13"/>
        <v>Lyre River</v>
      </c>
      <c r="K166" t="str">
        <f>IFERROR(VLOOKUP(J166,LUTs!$A$1:$C$73,2,FALSE),"NA")</f>
        <v>Clallam</v>
      </c>
      <c r="L166" t="str">
        <f>IFERROR(VLOOKUP(J166,LUTs!$A$1:$C$73,3,FALSE),"NA")</f>
        <v>0Strait of Juan de Fuca</v>
      </c>
      <c r="M166" s="72" t="s">
        <v>24</v>
      </c>
      <c r="N166" t="str">
        <f>VLOOKUP(M166,LUTs!E$2:H$14,3,)</f>
        <v>11Clallam</v>
      </c>
      <c r="O166" t="str">
        <f>VLOOKUP(M166,LUTs!E$2:H$14,4,)</f>
        <v>03Strait of Juan de Fuca</v>
      </c>
      <c r="P166" s="80">
        <v>49.756097560975597</v>
      </c>
      <c r="Q166" s="102">
        <v>49.756097560975597</v>
      </c>
      <c r="R166" s="74">
        <f>VLOOKUP(B166,Readme!A$40:C$52,3,)*Q166</f>
        <v>424.91707317073156</v>
      </c>
    </row>
    <row r="167" spans="1:18" ht="14.15" customHeight="1" x14ac:dyDescent="0.35">
      <c r="A167" s="75">
        <v>71</v>
      </c>
      <c r="B167" s="80">
        <v>2010</v>
      </c>
      <c r="C167" s="80">
        <v>11</v>
      </c>
      <c r="D167" s="80">
        <f t="shared" si="12"/>
        <v>2010</v>
      </c>
      <c r="E167" t="s">
        <v>38</v>
      </c>
      <c r="F167" t="s">
        <v>143</v>
      </c>
      <c r="G167" t="s">
        <v>86</v>
      </c>
      <c r="H167" s="72" t="s">
        <v>237</v>
      </c>
      <c r="I167" s="72" t="s">
        <v>79</v>
      </c>
      <c r="J167" t="str">
        <f t="shared" si="13"/>
        <v>Lyre River</v>
      </c>
      <c r="K167" t="str">
        <f>IFERROR(VLOOKUP(J167,LUTs!$A$1:$C$73,2,FALSE),"NA")</f>
        <v>Clallam</v>
      </c>
      <c r="L167" t="str">
        <f>IFERROR(VLOOKUP(J167,LUTs!$A$1:$C$73,3,FALSE),"NA")</f>
        <v>0Strait of Juan de Fuca</v>
      </c>
      <c r="M167" s="72" t="s">
        <v>26</v>
      </c>
      <c r="N167" t="str">
        <f>VLOOKUP(M167,LUTs!E$2:H$14,3,)</f>
        <v>20Other</v>
      </c>
      <c r="O167" t="str">
        <f>VLOOKUP(M167,LUTs!E$2:H$14,4,)</f>
        <v>07Non Puget Sound</v>
      </c>
      <c r="P167" s="80">
        <v>18.243902439024399</v>
      </c>
      <c r="Q167" s="102">
        <v>18.243902439024399</v>
      </c>
      <c r="R167" s="74">
        <f>VLOOKUP(B167,Readme!A$40:C$52,3,)*Q167</f>
        <v>155.80292682926836</v>
      </c>
    </row>
    <row r="168" spans="1:18" ht="14.15" customHeight="1" x14ac:dyDescent="0.35">
      <c r="A168" s="75">
        <v>174</v>
      </c>
      <c r="B168" s="80">
        <v>2010</v>
      </c>
      <c r="C168" s="80">
        <v>11</v>
      </c>
      <c r="D168" s="80">
        <f t="shared" si="12"/>
        <v>2010</v>
      </c>
      <c r="E168" t="s">
        <v>38</v>
      </c>
      <c r="F168" t="s">
        <v>143</v>
      </c>
      <c r="G168" t="s">
        <v>86</v>
      </c>
      <c r="H168" s="72" t="s">
        <v>246</v>
      </c>
      <c r="I168" s="72" t="s">
        <v>97</v>
      </c>
      <c r="J168" t="str">
        <f t="shared" si="13"/>
        <v>Raging River</v>
      </c>
      <c r="K168" t="str">
        <f>IFERROR(VLOOKUP(J168,LUTs!$A$1:$C$73,2,FALSE),"NA")</f>
        <v>King</v>
      </c>
      <c r="L168" t="str">
        <f>IFERROR(VLOOKUP(J168,LUTs!$A$1:$C$73,3,FALSE),"NA")</f>
        <v>2Central Puget Sound</v>
      </c>
      <c r="M168" s="72" t="s">
        <v>18</v>
      </c>
      <c r="N168" t="str">
        <f>VLOOKUP(M168,LUTs!E$2:H$14,3,)</f>
        <v>06King</v>
      </c>
      <c r="O168" t="str">
        <f>VLOOKUP(M168,LUTs!E$2:H$14,4,)</f>
        <v>02South Puget Sound</v>
      </c>
      <c r="P168" s="80">
        <v>5</v>
      </c>
      <c r="Q168" s="102">
        <v>5</v>
      </c>
      <c r="R168" s="74">
        <f>VLOOKUP(B168,Readme!A$40:C$52,3,)*Q168</f>
        <v>42.699999999999996</v>
      </c>
    </row>
    <row r="169" spans="1:18" ht="14.15" customHeight="1" x14ac:dyDescent="0.35">
      <c r="A169" s="75">
        <v>154</v>
      </c>
      <c r="B169" s="80">
        <v>2010</v>
      </c>
      <c r="C169" s="80">
        <v>11</v>
      </c>
      <c r="D169" s="80">
        <f t="shared" si="12"/>
        <v>2010</v>
      </c>
      <c r="E169" t="s">
        <v>38</v>
      </c>
      <c r="F169" t="s">
        <v>143</v>
      </c>
      <c r="G169" t="s">
        <v>86</v>
      </c>
      <c r="H169" s="72" t="s">
        <v>218</v>
      </c>
      <c r="I169" s="72" t="s">
        <v>60</v>
      </c>
      <c r="J169" t="str">
        <f t="shared" si="13"/>
        <v>Skagit River</v>
      </c>
      <c r="K169" t="str">
        <f>IFERROR(VLOOKUP(J169,LUTs!$A$1:$C$73,2,FALSE),"NA")</f>
        <v>Skagit/Whatcom</v>
      </c>
      <c r="L169" t="str">
        <f>IFERROR(VLOOKUP(J169,LUTs!$A$1:$C$73,3,FALSE),"NA")</f>
        <v>2Central Puget Sound</v>
      </c>
      <c r="M169" s="72" t="s">
        <v>26</v>
      </c>
      <c r="N169" t="str">
        <f>VLOOKUP(M169,LUTs!E$2:H$14,3,)</f>
        <v>20Other</v>
      </c>
      <c r="O169" t="str">
        <f>VLOOKUP(M169,LUTs!E$2:H$14,4,)</f>
        <v>07Non Puget Sound</v>
      </c>
      <c r="P169" s="80">
        <v>3</v>
      </c>
      <c r="Q169" s="102">
        <v>3</v>
      </c>
      <c r="R169" s="74">
        <f>VLOOKUP(B169,Readme!A$40:C$52,3,)*Q169</f>
        <v>25.619999999999997</v>
      </c>
    </row>
    <row r="170" spans="1:18" ht="14.15" customHeight="1" x14ac:dyDescent="0.35">
      <c r="A170" s="75">
        <v>155</v>
      </c>
      <c r="B170" s="80">
        <v>2010</v>
      </c>
      <c r="C170" s="80">
        <v>11</v>
      </c>
      <c r="D170" s="80">
        <f t="shared" si="12"/>
        <v>2010</v>
      </c>
      <c r="E170" t="s">
        <v>38</v>
      </c>
      <c r="F170" t="s">
        <v>143</v>
      </c>
      <c r="G170" t="s">
        <v>86</v>
      </c>
      <c r="H170" s="72" t="s">
        <v>218</v>
      </c>
      <c r="I170" s="72" t="s">
        <v>60</v>
      </c>
      <c r="J170" t="str">
        <f t="shared" si="13"/>
        <v>Skagit River</v>
      </c>
      <c r="K170" t="str">
        <f>IFERROR(VLOOKUP(J170,LUTs!$A$1:$C$73,2,FALSE),"NA")</f>
        <v>Skagit/Whatcom</v>
      </c>
      <c r="L170" t="str">
        <f>IFERROR(VLOOKUP(J170,LUTs!$A$1:$C$73,3,FALSE),"NA")</f>
        <v>2Central Puget Sound</v>
      </c>
      <c r="M170" s="72" t="s">
        <v>15</v>
      </c>
      <c r="N170" t="str">
        <f>VLOOKUP(M170,LUTs!E$2:H$14,3,)</f>
        <v>02Skagit</v>
      </c>
      <c r="O170" t="str">
        <f>VLOOKUP(M170,LUTs!E$2:H$14,4,)</f>
        <v>01North Puget Sound</v>
      </c>
      <c r="P170" s="80">
        <v>36</v>
      </c>
      <c r="Q170" s="102">
        <v>36</v>
      </c>
      <c r="R170" s="74">
        <f>VLOOKUP(B170,Readme!A$40:C$52,3,)*Q170</f>
        <v>307.43999999999994</v>
      </c>
    </row>
    <row r="171" spans="1:18" ht="14.15" customHeight="1" x14ac:dyDescent="0.35">
      <c r="A171" s="75">
        <v>156</v>
      </c>
      <c r="B171" s="80">
        <v>2010</v>
      </c>
      <c r="C171" s="80">
        <v>11</v>
      </c>
      <c r="D171" s="80">
        <f t="shared" si="12"/>
        <v>2010</v>
      </c>
      <c r="E171" t="s">
        <v>38</v>
      </c>
      <c r="F171" t="s">
        <v>143</v>
      </c>
      <c r="G171" t="s">
        <v>86</v>
      </c>
      <c r="H171" s="72" t="s">
        <v>218</v>
      </c>
      <c r="I171" s="72" t="s">
        <v>60</v>
      </c>
      <c r="J171" t="str">
        <f t="shared" si="13"/>
        <v>Skagit River</v>
      </c>
      <c r="K171" t="str">
        <f>IFERROR(VLOOKUP(J171,LUTs!$A$1:$C$73,2,FALSE),"NA")</f>
        <v>Skagit/Whatcom</v>
      </c>
      <c r="L171" t="str">
        <f>IFERROR(VLOOKUP(J171,LUTs!$A$1:$C$73,3,FALSE),"NA")</f>
        <v>2Central Puget Sound</v>
      </c>
      <c r="M171" s="72" t="s">
        <v>13</v>
      </c>
      <c r="N171" t="str">
        <f>VLOOKUP(M171,LUTs!E$2:H$14,3,)</f>
        <v>01Whatcom</v>
      </c>
      <c r="O171" t="str">
        <f>VLOOKUP(M171,LUTs!E$2:H$14,4,)</f>
        <v>01North Puget Sound</v>
      </c>
      <c r="P171" s="80">
        <v>3</v>
      </c>
      <c r="Q171" s="102">
        <v>3</v>
      </c>
      <c r="R171" s="74">
        <f>VLOOKUP(B171,Readme!A$40:C$52,3,)*Q171</f>
        <v>25.619999999999997</v>
      </c>
    </row>
    <row r="172" spans="1:18" ht="14.15" customHeight="1" x14ac:dyDescent="0.35">
      <c r="A172" s="75">
        <v>200</v>
      </c>
      <c r="B172" s="80">
        <v>2010</v>
      </c>
      <c r="C172" s="80">
        <v>11</v>
      </c>
      <c r="D172" s="80">
        <f t="shared" si="12"/>
        <v>2010</v>
      </c>
      <c r="E172" t="s">
        <v>38</v>
      </c>
      <c r="F172" t="s">
        <v>143</v>
      </c>
      <c r="G172" t="s">
        <v>86</v>
      </c>
      <c r="H172" s="72" t="s">
        <v>220</v>
      </c>
      <c r="I172" s="72" t="s">
        <v>62</v>
      </c>
      <c r="J172" t="str">
        <f t="shared" si="13"/>
        <v>Skykomish River</v>
      </c>
      <c r="K172" t="str">
        <f>IFERROR(VLOOKUP(J172,LUTs!$A$1:$C$73,2,FALSE),"NA")</f>
        <v>Snohomish</v>
      </c>
      <c r="L172" t="str">
        <f>IFERROR(VLOOKUP(J172,LUTs!$A$1:$C$73,3,FALSE),"NA")</f>
        <v>2Central Puget Sound</v>
      </c>
      <c r="M172" s="72" t="s">
        <v>17</v>
      </c>
      <c r="N172" t="str">
        <f>VLOOKUP(M172,LUTs!E$2:H$14,3,)</f>
        <v>04Island</v>
      </c>
      <c r="O172" t="str">
        <f>VLOOKUP(M172,LUTs!E$2:H$14,4,)</f>
        <v>01North Puget Sound</v>
      </c>
      <c r="P172" s="80">
        <v>4.6388888888888902</v>
      </c>
      <c r="Q172" s="102">
        <v>4.6388888888888902</v>
      </c>
      <c r="R172" s="74">
        <f>VLOOKUP(B172,Readme!A$40:C$52,3,)*Q172</f>
        <v>39.616111111111117</v>
      </c>
    </row>
    <row r="173" spans="1:18" ht="14.15" customHeight="1" x14ac:dyDescent="0.35">
      <c r="A173" s="75">
        <v>201</v>
      </c>
      <c r="B173" s="80">
        <v>2010</v>
      </c>
      <c r="C173" s="80">
        <v>11</v>
      </c>
      <c r="D173" s="80">
        <f t="shared" si="12"/>
        <v>2010</v>
      </c>
      <c r="E173" t="s">
        <v>38</v>
      </c>
      <c r="F173" t="s">
        <v>143</v>
      </c>
      <c r="G173" t="s">
        <v>86</v>
      </c>
      <c r="H173" s="72" t="s">
        <v>220</v>
      </c>
      <c r="I173" s="72" t="s">
        <v>62</v>
      </c>
      <c r="J173" t="str">
        <f t="shared" si="13"/>
        <v>Skykomish River</v>
      </c>
      <c r="K173" t="str">
        <f>IFERROR(VLOOKUP(J173,LUTs!$A$1:$C$73,2,FALSE),"NA")</f>
        <v>Snohomish</v>
      </c>
      <c r="L173" t="str">
        <f>IFERROR(VLOOKUP(J173,LUTs!$A$1:$C$73,3,FALSE),"NA")</f>
        <v>2Central Puget Sound</v>
      </c>
      <c r="M173" s="72" t="s">
        <v>18</v>
      </c>
      <c r="N173" t="str">
        <f>VLOOKUP(M173,LUTs!E$2:H$14,3,)</f>
        <v>06King</v>
      </c>
      <c r="O173" t="str">
        <f>VLOOKUP(M173,LUTs!E$2:H$14,4,)</f>
        <v>02South Puget Sound</v>
      </c>
      <c r="P173" s="80">
        <v>74.2222222222222</v>
      </c>
      <c r="Q173" s="102">
        <v>74.2222222222222</v>
      </c>
      <c r="R173" s="74">
        <f>VLOOKUP(B173,Readme!A$40:C$52,3,)*Q173</f>
        <v>633.85777777777753</v>
      </c>
    </row>
    <row r="174" spans="1:18" ht="14.15" customHeight="1" x14ac:dyDescent="0.35">
      <c r="A174" s="75">
        <v>202</v>
      </c>
      <c r="B174" s="80">
        <v>2010</v>
      </c>
      <c r="C174" s="80">
        <v>11</v>
      </c>
      <c r="D174" s="80">
        <f t="shared" si="12"/>
        <v>2010</v>
      </c>
      <c r="E174" t="s">
        <v>38</v>
      </c>
      <c r="F174" t="s">
        <v>143</v>
      </c>
      <c r="G174" t="s">
        <v>86</v>
      </c>
      <c r="H174" s="72" t="s">
        <v>220</v>
      </c>
      <c r="I174" s="72" t="s">
        <v>62</v>
      </c>
      <c r="J174" t="str">
        <f t="shared" si="13"/>
        <v>Skykomish River</v>
      </c>
      <c r="K174" t="str">
        <f>IFERROR(VLOOKUP(J174,LUTs!$A$1:$C$73,2,FALSE),"NA")</f>
        <v>Snohomish</v>
      </c>
      <c r="L174" t="str">
        <f>IFERROR(VLOOKUP(J174,LUTs!$A$1:$C$73,3,FALSE),"NA")</f>
        <v>2Central Puget Sound</v>
      </c>
      <c r="M174" s="72" t="s">
        <v>16</v>
      </c>
      <c r="N174" t="str">
        <f>VLOOKUP(M174,LUTs!E$2:H$14,3,)</f>
        <v>03Snohomish</v>
      </c>
      <c r="O174" t="str">
        <f>VLOOKUP(M174,LUTs!E$2:H$14,4,)</f>
        <v>01North Puget Sound</v>
      </c>
      <c r="P174" s="80">
        <v>88.1388888888889</v>
      </c>
      <c r="Q174" s="102">
        <v>88.1388888888889</v>
      </c>
      <c r="R174" s="74">
        <f>VLOOKUP(B174,Readme!A$40:C$52,3,)*Q174</f>
        <v>752.70611111111111</v>
      </c>
    </row>
    <row r="175" spans="1:18" ht="14.15" customHeight="1" x14ac:dyDescent="0.35">
      <c r="A175" s="75">
        <v>226</v>
      </c>
      <c r="B175" s="80">
        <v>2010</v>
      </c>
      <c r="C175" s="80">
        <v>11</v>
      </c>
      <c r="D175" s="80">
        <f t="shared" si="12"/>
        <v>2010</v>
      </c>
      <c r="E175" t="s">
        <v>38</v>
      </c>
      <c r="F175" t="s">
        <v>143</v>
      </c>
      <c r="G175" t="s">
        <v>86</v>
      </c>
      <c r="H175" s="72" t="s">
        <v>247</v>
      </c>
      <c r="I175" s="72" t="s">
        <v>98</v>
      </c>
      <c r="J175" t="str">
        <f t="shared" si="13"/>
        <v>Skykomish River, No. Fork</v>
      </c>
      <c r="K175" t="str">
        <f>IFERROR(VLOOKUP(J175,LUTs!$A$1:$C$73,2,FALSE),"NA")</f>
        <v>Snohomish</v>
      </c>
      <c r="L175" t="str">
        <f>IFERROR(VLOOKUP(J175,LUTs!$A$1:$C$73,3,FALSE),"NA")</f>
        <v>2Central Puget Sound</v>
      </c>
      <c r="M175" s="72" t="s">
        <v>18</v>
      </c>
      <c r="N175" t="str">
        <f>VLOOKUP(M175,LUTs!E$2:H$14,3,)</f>
        <v>06King</v>
      </c>
      <c r="O175" t="str">
        <f>VLOOKUP(M175,LUTs!E$2:H$14,4,)</f>
        <v>02South Puget Sound</v>
      </c>
      <c r="P175" s="80">
        <v>2.5</v>
      </c>
      <c r="Q175" s="102">
        <v>2.5</v>
      </c>
      <c r="R175" s="74">
        <f>VLOOKUP(B175,Readme!A$40:C$52,3,)*Q175</f>
        <v>21.349999999999998</v>
      </c>
    </row>
    <row r="176" spans="1:18" ht="14.15" customHeight="1" x14ac:dyDescent="0.35">
      <c r="A176" s="75">
        <v>227</v>
      </c>
      <c r="B176" s="80">
        <v>2010</v>
      </c>
      <c r="C176" s="80">
        <v>11</v>
      </c>
      <c r="D176" s="80">
        <f t="shared" si="12"/>
        <v>2010</v>
      </c>
      <c r="E176" t="s">
        <v>38</v>
      </c>
      <c r="F176" t="s">
        <v>143</v>
      </c>
      <c r="G176" t="s">
        <v>86</v>
      </c>
      <c r="H176" s="72" t="s">
        <v>247</v>
      </c>
      <c r="I176" s="72" t="s">
        <v>98</v>
      </c>
      <c r="J176" t="str">
        <f t="shared" si="13"/>
        <v>Skykomish River, No. Fork</v>
      </c>
      <c r="K176" t="str">
        <f>IFERROR(VLOOKUP(J176,LUTs!$A$1:$C$73,2,FALSE),"NA")</f>
        <v>Snohomish</v>
      </c>
      <c r="L176" t="str">
        <f>IFERROR(VLOOKUP(J176,LUTs!$A$1:$C$73,3,FALSE),"NA")</f>
        <v>2Central Puget Sound</v>
      </c>
      <c r="M176" s="72" t="s">
        <v>16</v>
      </c>
      <c r="N176" t="str">
        <f>VLOOKUP(M176,LUTs!E$2:H$14,3,)</f>
        <v>03Snohomish</v>
      </c>
      <c r="O176" t="str">
        <f>VLOOKUP(M176,LUTs!E$2:H$14,4,)</f>
        <v>01North Puget Sound</v>
      </c>
      <c r="P176" s="80">
        <v>2.5</v>
      </c>
      <c r="Q176" s="102">
        <v>2.5</v>
      </c>
      <c r="R176" s="74">
        <f>VLOOKUP(B176,Readme!A$40:C$52,3,)*Q176</f>
        <v>21.349999999999998</v>
      </c>
    </row>
    <row r="177" spans="1:18" ht="14.15" customHeight="1" x14ac:dyDescent="0.35">
      <c r="A177" s="75">
        <v>248</v>
      </c>
      <c r="B177" s="80">
        <v>2010</v>
      </c>
      <c r="C177" s="80">
        <v>11</v>
      </c>
      <c r="D177" s="80">
        <f t="shared" si="12"/>
        <v>2010</v>
      </c>
      <c r="E177" t="s">
        <v>38</v>
      </c>
      <c r="F177" t="s">
        <v>143</v>
      </c>
      <c r="G177" t="s">
        <v>86</v>
      </c>
      <c r="H177" s="72" t="s">
        <v>221</v>
      </c>
      <c r="I177" s="72" t="s">
        <v>63</v>
      </c>
      <c r="J177" t="str">
        <f t="shared" si="13"/>
        <v>Snohomish River</v>
      </c>
      <c r="K177" t="str">
        <f>IFERROR(VLOOKUP(J177,LUTs!$A$1:$C$73,2,FALSE),"NA")</f>
        <v>Snohomish</v>
      </c>
      <c r="L177" t="str">
        <f>IFERROR(VLOOKUP(J177,LUTs!$A$1:$C$73,3,FALSE),"NA")</f>
        <v>2Central Puget Sound</v>
      </c>
      <c r="M177" s="72" t="s">
        <v>16</v>
      </c>
      <c r="N177" t="str">
        <f>VLOOKUP(M177,LUTs!E$2:H$14,3,)</f>
        <v>03Snohomish</v>
      </c>
      <c r="O177" t="str">
        <f>VLOOKUP(M177,LUTs!E$2:H$14,4,)</f>
        <v>01North Puget Sound</v>
      </c>
      <c r="P177" s="80">
        <v>63</v>
      </c>
      <c r="Q177" s="102">
        <v>63</v>
      </c>
      <c r="R177" s="74">
        <f>VLOOKUP(B177,Readme!A$40:C$52,3,)*Q177</f>
        <v>538.02</v>
      </c>
    </row>
    <row r="178" spans="1:18" ht="14.15" customHeight="1" x14ac:dyDescent="0.35">
      <c r="A178" s="75">
        <v>264</v>
      </c>
      <c r="B178" s="80">
        <v>2010</v>
      </c>
      <c r="C178" s="80">
        <v>11</v>
      </c>
      <c r="D178" s="80">
        <f t="shared" si="12"/>
        <v>2010</v>
      </c>
      <c r="E178" t="s">
        <v>38</v>
      </c>
      <c r="F178" t="s">
        <v>143</v>
      </c>
      <c r="G178" t="s">
        <v>86</v>
      </c>
      <c r="H178" s="72" t="s">
        <v>222</v>
      </c>
      <c r="I178" s="72" t="s">
        <v>64</v>
      </c>
      <c r="J178" t="str">
        <f t="shared" si="13"/>
        <v>Snoqualmie River</v>
      </c>
      <c r="K178" t="str">
        <f>IFERROR(VLOOKUP(J178,LUTs!$A$1:$C$73,2,FALSE),"NA")</f>
        <v>Snohomish/King</v>
      </c>
      <c r="L178" t="str">
        <f>IFERROR(VLOOKUP(J178,LUTs!$A$1:$C$73,3,FALSE),"NA")</f>
        <v>2Central Puget Sound</v>
      </c>
      <c r="M178" s="72" t="s">
        <v>18</v>
      </c>
      <c r="N178" t="str">
        <f>VLOOKUP(M178,LUTs!E$2:H$14,3,)</f>
        <v>06King</v>
      </c>
      <c r="O178" t="str">
        <f>VLOOKUP(M178,LUTs!E$2:H$14,4,)</f>
        <v>02South Puget Sound</v>
      </c>
      <c r="P178" s="80">
        <v>48.72</v>
      </c>
      <c r="Q178" s="102">
        <v>48.72</v>
      </c>
      <c r="R178" s="74">
        <f>VLOOKUP(B178,Readme!A$40:C$52,3,)*Q178</f>
        <v>416.06879999999995</v>
      </c>
    </row>
    <row r="179" spans="1:18" ht="14.15" customHeight="1" x14ac:dyDescent="0.35">
      <c r="A179" s="75">
        <v>265</v>
      </c>
      <c r="B179" s="80">
        <v>2010</v>
      </c>
      <c r="C179" s="80">
        <v>11</v>
      </c>
      <c r="D179" s="80">
        <f t="shared" si="12"/>
        <v>2010</v>
      </c>
      <c r="E179" t="s">
        <v>38</v>
      </c>
      <c r="F179" t="s">
        <v>143</v>
      </c>
      <c r="G179" t="s">
        <v>86</v>
      </c>
      <c r="H179" s="72" t="s">
        <v>222</v>
      </c>
      <c r="I179" s="72" t="s">
        <v>64</v>
      </c>
      <c r="J179" t="str">
        <f t="shared" si="13"/>
        <v>Snoqualmie River</v>
      </c>
      <c r="K179" t="str">
        <f>IFERROR(VLOOKUP(J179,LUTs!$A$1:$C$73,2,FALSE),"NA")</f>
        <v>Snohomish/King</v>
      </c>
      <c r="L179" t="str">
        <f>IFERROR(VLOOKUP(J179,LUTs!$A$1:$C$73,3,FALSE),"NA")</f>
        <v>2Central Puget Sound</v>
      </c>
      <c r="M179" s="72" t="s">
        <v>26</v>
      </c>
      <c r="N179" t="str">
        <f>VLOOKUP(M179,LUTs!E$2:H$14,3,)</f>
        <v>20Other</v>
      </c>
      <c r="O179" t="str">
        <f>VLOOKUP(M179,LUTs!E$2:H$14,4,)</f>
        <v>07Non Puget Sound</v>
      </c>
      <c r="P179" s="80">
        <v>2.3199999999999998</v>
      </c>
      <c r="Q179" s="102">
        <v>2.3199999999999998</v>
      </c>
      <c r="R179" s="74">
        <f>VLOOKUP(B179,Readme!A$40:C$52,3,)*Q179</f>
        <v>19.812799999999996</v>
      </c>
    </row>
    <row r="180" spans="1:18" ht="14.15" customHeight="1" x14ac:dyDescent="0.35">
      <c r="A180" s="75">
        <v>266</v>
      </c>
      <c r="B180" s="80">
        <v>2010</v>
      </c>
      <c r="C180" s="80">
        <v>11</v>
      </c>
      <c r="D180" s="80">
        <f t="shared" si="12"/>
        <v>2010</v>
      </c>
      <c r="E180" t="s">
        <v>38</v>
      </c>
      <c r="F180" t="s">
        <v>143</v>
      </c>
      <c r="G180" t="s">
        <v>86</v>
      </c>
      <c r="H180" s="72" t="s">
        <v>222</v>
      </c>
      <c r="I180" s="72" t="s">
        <v>64</v>
      </c>
      <c r="J180" t="str">
        <f t="shared" si="13"/>
        <v>Snoqualmie River</v>
      </c>
      <c r="K180" t="str">
        <f>IFERROR(VLOOKUP(J180,LUTs!$A$1:$C$73,2,FALSE),"NA")</f>
        <v>Snohomish/King</v>
      </c>
      <c r="L180" t="str">
        <f>IFERROR(VLOOKUP(J180,LUTs!$A$1:$C$73,3,FALSE),"NA")</f>
        <v>2Central Puget Sound</v>
      </c>
      <c r="M180" s="72" t="s">
        <v>20</v>
      </c>
      <c r="N180" t="str">
        <f>VLOOKUP(M180,LUTs!E$2:H$14,3,)</f>
        <v>07Pierce</v>
      </c>
      <c r="O180" t="str">
        <f>VLOOKUP(M180,LUTs!E$2:H$14,4,)</f>
        <v>02South Puget Sound</v>
      </c>
      <c r="P180" s="80">
        <v>6.96</v>
      </c>
      <c r="Q180" s="102">
        <v>6.96</v>
      </c>
      <c r="R180" s="74">
        <f>VLOOKUP(B180,Readme!A$40:C$52,3,)*Q180</f>
        <v>59.438399999999994</v>
      </c>
    </row>
    <row r="181" spans="1:18" ht="14.15" customHeight="1" x14ac:dyDescent="0.35">
      <c r="A181" s="75">
        <v>321</v>
      </c>
      <c r="B181" s="80">
        <v>2010</v>
      </c>
      <c r="C181" s="80">
        <v>11</v>
      </c>
      <c r="D181" s="80">
        <f t="shared" si="12"/>
        <v>2010</v>
      </c>
      <c r="E181" t="s">
        <v>38</v>
      </c>
      <c r="F181" t="s">
        <v>143</v>
      </c>
      <c r="G181" t="s">
        <v>86</v>
      </c>
      <c r="H181" s="72" t="s">
        <v>223</v>
      </c>
      <c r="I181" s="72" t="s">
        <v>103</v>
      </c>
      <c r="J181" t="str">
        <f t="shared" si="13"/>
        <v>Stillaguamish R, No. Fork</v>
      </c>
      <c r="K181" t="str">
        <f>IFERROR(VLOOKUP(J181,LUTs!$A$1:$C$73,2,FALSE),"NA")</f>
        <v>Snohomish</v>
      </c>
      <c r="L181" t="str">
        <f>IFERROR(VLOOKUP(J181,LUTs!$A$1:$C$73,3,FALSE),"NA")</f>
        <v>2Central Puget Sound</v>
      </c>
      <c r="M181" s="72" t="s">
        <v>18</v>
      </c>
      <c r="N181" t="str">
        <f>VLOOKUP(M181,LUTs!E$2:H$14,3,)</f>
        <v>06King</v>
      </c>
      <c r="O181" t="str">
        <f>VLOOKUP(M181,LUTs!E$2:H$14,4,)</f>
        <v>02South Puget Sound</v>
      </c>
      <c r="P181" s="80">
        <v>7.28571428571429</v>
      </c>
      <c r="Q181" s="102">
        <v>7.28571428571429</v>
      </c>
      <c r="R181" s="74">
        <f>VLOOKUP(B181,Readme!A$40:C$52,3,)*Q181</f>
        <v>62.220000000000027</v>
      </c>
    </row>
    <row r="182" spans="1:18" ht="14.15" customHeight="1" x14ac:dyDescent="0.35">
      <c r="A182" s="75">
        <v>322</v>
      </c>
      <c r="B182" s="80">
        <v>2010</v>
      </c>
      <c r="C182" s="80">
        <v>11</v>
      </c>
      <c r="D182" s="80">
        <f t="shared" si="12"/>
        <v>2010</v>
      </c>
      <c r="E182" t="s">
        <v>38</v>
      </c>
      <c r="F182" t="s">
        <v>143</v>
      </c>
      <c r="G182" t="s">
        <v>86</v>
      </c>
      <c r="H182" s="72" t="s">
        <v>223</v>
      </c>
      <c r="I182" s="72" t="s">
        <v>103</v>
      </c>
      <c r="J182" t="str">
        <f t="shared" si="13"/>
        <v>Stillaguamish R, No. Fork</v>
      </c>
      <c r="K182" t="str">
        <f>IFERROR(VLOOKUP(J182,LUTs!$A$1:$C$73,2,FALSE),"NA")</f>
        <v>Snohomish</v>
      </c>
      <c r="L182" t="str">
        <f>IFERROR(VLOOKUP(J182,LUTs!$A$1:$C$73,3,FALSE),"NA")</f>
        <v>2Central Puget Sound</v>
      </c>
      <c r="M182" s="72" t="s">
        <v>26</v>
      </c>
      <c r="N182" t="str">
        <f>VLOOKUP(M182,LUTs!E$2:H$14,3,)</f>
        <v>20Other</v>
      </c>
      <c r="O182" t="str">
        <f>VLOOKUP(M182,LUTs!E$2:H$14,4,)</f>
        <v>07Non Puget Sound</v>
      </c>
      <c r="P182" s="80">
        <v>2.4285714285714302</v>
      </c>
      <c r="Q182" s="102">
        <v>2.4285714285714302</v>
      </c>
      <c r="R182" s="74">
        <f>VLOOKUP(B182,Readme!A$40:C$52,3,)*Q182</f>
        <v>20.740000000000013</v>
      </c>
    </row>
    <row r="183" spans="1:18" ht="14.15" customHeight="1" x14ac:dyDescent="0.35">
      <c r="A183" s="75">
        <v>323</v>
      </c>
      <c r="B183" s="80">
        <v>2010</v>
      </c>
      <c r="C183" s="80">
        <v>11</v>
      </c>
      <c r="D183" s="80">
        <f t="shared" si="12"/>
        <v>2010</v>
      </c>
      <c r="E183" t="s">
        <v>38</v>
      </c>
      <c r="F183" t="s">
        <v>143</v>
      </c>
      <c r="G183" t="s">
        <v>86</v>
      </c>
      <c r="H183" s="72" t="s">
        <v>223</v>
      </c>
      <c r="I183" s="72" t="s">
        <v>103</v>
      </c>
      <c r="J183" t="str">
        <f t="shared" si="13"/>
        <v>Stillaguamish R, No. Fork</v>
      </c>
      <c r="K183" t="str">
        <f>IFERROR(VLOOKUP(J183,LUTs!$A$1:$C$73,2,FALSE),"NA")</f>
        <v>Snohomish</v>
      </c>
      <c r="L183" t="str">
        <f>IFERROR(VLOOKUP(J183,LUTs!$A$1:$C$73,3,FALSE),"NA")</f>
        <v>2Central Puget Sound</v>
      </c>
      <c r="M183" s="72" t="s">
        <v>15</v>
      </c>
      <c r="N183" t="str">
        <f>VLOOKUP(M183,LUTs!E$2:H$14,3,)</f>
        <v>02Skagit</v>
      </c>
      <c r="O183" t="str">
        <f>VLOOKUP(M183,LUTs!E$2:H$14,4,)</f>
        <v>01North Puget Sound</v>
      </c>
      <c r="P183" s="80">
        <v>2.4285714285714302</v>
      </c>
      <c r="Q183" s="102">
        <v>2.4285714285714302</v>
      </c>
      <c r="R183" s="74">
        <f>VLOOKUP(B183,Readme!A$40:C$52,3,)*Q183</f>
        <v>20.740000000000013</v>
      </c>
    </row>
    <row r="184" spans="1:18" ht="14.15" customHeight="1" x14ac:dyDescent="0.35">
      <c r="A184" s="75">
        <v>324</v>
      </c>
      <c r="B184" s="80">
        <v>2010</v>
      </c>
      <c r="C184" s="80">
        <v>11</v>
      </c>
      <c r="D184" s="80">
        <f t="shared" si="12"/>
        <v>2010</v>
      </c>
      <c r="E184" t="s">
        <v>38</v>
      </c>
      <c r="F184" t="s">
        <v>143</v>
      </c>
      <c r="G184" t="s">
        <v>86</v>
      </c>
      <c r="H184" s="72" t="s">
        <v>223</v>
      </c>
      <c r="I184" s="72" t="s">
        <v>103</v>
      </c>
      <c r="J184" t="str">
        <f t="shared" si="13"/>
        <v>Stillaguamish R, No. Fork</v>
      </c>
      <c r="K184" t="str">
        <f>IFERROR(VLOOKUP(J184,LUTs!$A$1:$C$73,2,FALSE),"NA")</f>
        <v>Snohomish</v>
      </c>
      <c r="L184" t="str">
        <f>IFERROR(VLOOKUP(J184,LUTs!$A$1:$C$73,3,FALSE),"NA")</f>
        <v>2Central Puget Sound</v>
      </c>
      <c r="M184" s="72" t="s">
        <v>16</v>
      </c>
      <c r="N184" t="str">
        <f>VLOOKUP(M184,LUTs!E$2:H$14,3,)</f>
        <v>03Snohomish</v>
      </c>
      <c r="O184" t="str">
        <f>VLOOKUP(M184,LUTs!E$2:H$14,4,)</f>
        <v>01North Puget Sound</v>
      </c>
      <c r="P184" s="80">
        <v>4.8571428571428603</v>
      </c>
      <c r="Q184" s="102">
        <v>4.8571428571428603</v>
      </c>
      <c r="R184" s="74">
        <f>VLOOKUP(B184,Readme!A$40:C$52,3,)*Q184</f>
        <v>41.480000000000025</v>
      </c>
    </row>
    <row r="185" spans="1:18" ht="14.15" customHeight="1" x14ac:dyDescent="0.35">
      <c r="A185" s="75">
        <v>281</v>
      </c>
      <c r="B185" s="80">
        <v>2010</v>
      </c>
      <c r="C185" s="80">
        <v>11</v>
      </c>
      <c r="D185" s="80">
        <f t="shared" si="12"/>
        <v>2010</v>
      </c>
      <c r="E185" t="s">
        <v>38</v>
      </c>
      <c r="F185" t="s">
        <v>143</v>
      </c>
      <c r="G185" t="s">
        <v>86</v>
      </c>
      <c r="H185" s="72" t="s">
        <v>249</v>
      </c>
      <c r="I185" s="72" t="s">
        <v>100</v>
      </c>
      <c r="J185" t="str">
        <f t="shared" si="13"/>
        <v>Sultan River</v>
      </c>
      <c r="K185" t="str">
        <f>IFERROR(VLOOKUP(J185,LUTs!$A$1:$C$73,2,FALSE),"NA")</f>
        <v>Snohomish</v>
      </c>
      <c r="L185" t="str">
        <f>IFERROR(VLOOKUP(J185,LUTs!$A$1:$C$73,3,FALSE),"NA")</f>
        <v>2Central Puget Sound</v>
      </c>
      <c r="M185" s="72" t="s">
        <v>18</v>
      </c>
      <c r="N185" t="str">
        <f>VLOOKUP(M185,LUTs!E$2:H$14,3,)</f>
        <v>06King</v>
      </c>
      <c r="O185" t="str">
        <f>VLOOKUP(M185,LUTs!E$2:H$14,4,)</f>
        <v>02South Puget Sound</v>
      </c>
      <c r="P185" s="80">
        <v>2</v>
      </c>
      <c r="Q185" s="102">
        <v>2</v>
      </c>
      <c r="R185" s="74">
        <f>VLOOKUP(B185,Readme!A$40:C$52,3,)*Q185</f>
        <v>17.079999999999998</v>
      </c>
    </row>
    <row r="186" spans="1:18" ht="14.15" customHeight="1" x14ac:dyDescent="0.35">
      <c r="A186" s="75">
        <v>300</v>
      </c>
      <c r="B186" s="80">
        <v>2010</v>
      </c>
      <c r="C186" s="80">
        <v>11</v>
      </c>
      <c r="D186" s="80">
        <f t="shared" si="12"/>
        <v>2010</v>
      </c>
      <c r="E186" t="s">
        <v>38</v>
      </c>
      <c r="F186" t="s">
        <v>143</v>
      </c>
      <c r="G186" t="s">
        <v>86</v>
      </c>
      <c r="H186" s="72" t="s">
        <v>233</v>
      </c>
      <c r="I186" s="72" t="s">
        <v>76</v>
      </c>
      <c r="J186" t="str">
        <f t="shared" si="13"/>
        <v>Wallace River</v>
      </c>
      <c r="K186" t="str">
        <f>IFERROR(VLOOKUP(J186,LUTs!$A$1:$C$73,2,FALSE),"NA")</f>
        <v>Snohomish</v>
      </c>
      <c r="L186" t="str">
        <f>IFERROR(VLOOKUP(J186,LUTs!$A$1:$C$73,3,FALSE),"NA")</f>
        <v>2Central Puget Sound</v>
      </c>
      <c r="M186" s="72" t="s">
        <v>18</v>
      </c>
      <c r="N186" t="str">
        <f>VLOOKUP(M186,LUTs!E$2:H$14,3,)</f>
        <v>06King</v>
      </c>
      <c r="O186" t="str">
        <f>VLOOKUP(M186,LUTs!E$2:H$14,4,)</f>
        <v>02South Puget Sound</v>
      </c>
      <c r="P186" s="80">
        <v>6</v>
      </c>
      <c r="Q186" s="102">
        <v>6</v>
      </c>
      <c r="R186" s="74">
        <f>VLOOKUP(B186,Readme!A$40:C$52,3,)*Q186</f>
        <v>51.239999999999995</v>
      </c>
    </row>
    <row r="187" spans="1:18" ht="14.15" customHeight="1" x14ac:dyDescent="0.35">
      <c r="A187" s="75">
        <v>301</v>
      </c>
      <c r="B187" s="80">
        <v>2010</v>
      </c>
      <c r="C187" s="80">
        <v>11</v>
      </c>
      <c r="D187" s="80">
        <f t="shared" si="12"/>
        <v>2010</v>
      </c>
      <c r="E187" t="s">
        <v>38</v>
      </c>
      <c r="F187" t="s">
        <v>143</v>
      </c>
      <c r="G187" t="s">
        <v>86</v>
      </c>
      <c r="H187" s="72" t="s">
        <v>233</v>
      </c>
      <c r="I187" s="72" t="s">
        <v>76</v>
      </c>
      <c r="J187" t="str">
        <f t="shared" si="13"/>
        <v>Wallace River</v>
      </c>
      <c r="K187" t="str">
        <f>IFERROR(VLOOKUP(J187,LUTs!$A$1:$C$73,2,FALSE),"NA")</f>
        <v>Snohomish</v>
      </c>
      <c r="L187" t="str">
        <f>IFERROR(VLOOKUP(J187,LUTs!$A$1:$C$73,3,FALSE),"NA")</f>
        <v>2Central Puget Sound</v>
      </c>
      <c r="M187" s="72" t="s">
        <v>16</v>
      </c>
      <c r="N187" t="str">
        <f>VLOOKUP(M187,LUTs!E$2:H$14,3,)</f>
        <v>03Snohomish</v>
      </c>
      <c r="O187" t="str">
        <f>VLOOKUP(M187,LUTs!E$2:H$14,4,)</f>
        <v>01North Puget Sound</v>
      </c>
      <c r="P187" s="80">
        <v>8</v>
      </c>
      <c r="Q187" s="102">
        <v>8</v>
      </c>
      <c r="R187" s="74">
        <f>VLOOKUP(B187,Readme!A$40:C$52,3,)*Q187</f>
        <v>68.319999999999993</v>
      </c>
    </row>
    <row r="188" spans="1:18" ht="14.15" customHeight="1" x14ac:dyDescent="0.35">
      <c r="A188" s="75">
        <v>343</v>
      </c>
      <c r="B188" s="80">
        <v>2010</v>
      </c>
      <c r="C188" s="80">
        <v>12</v>
      </c>
      <c r="D188" s="80">
        <f t="shared" si="12"/>
        <v>2010</v>
      </c>
      <c r="E188" t="s">
        <v>38</v>
      </c>
      <c r="F188" t="s">
        <v>143</v>
      </c>
      <c r="G188" t="s">
        <v>86</v>
      </c>
      <c r="H188" s="72" t="s">
        <v>254</v>
      </c>
      <c r="I188" s="72" t="s">
        <v>33</v>
      </c>
      <c r="J188" t="str">
        <f t="shared" si="13"/>
        <v>Area 9: Admiralty Inlet</v>
      </c>
      <c r="K188" t="str">
        <f>IFERROR(VLOOKUP(J188,LUTs!$A$1:$C$73,2,FALSE),"NA")</f>
        <v>NA</v>
      </c>
      <c r="L188" t="str">
        <f>IFERROR(VLOOKUP(J188,LUTs!$A$1:$C$73,3,FALSE),"NA")</f>
        <v>2Central Puget Sound</v>
      </c>
      <c r="M188" s="72" t="s">
        <v>17</v>
      </c>
      <c r="N188" t="str">
        <f>VLOOKUP(M188,LUTs!E$2:H$14,3,)</f>
        <v>04Island</v>
      </c>
      <c r="O188" t="str">
        <f>VLOOKUP(M188,LUTs!E$2:H$14,4,)</f>
        <v>01North Puget Sound</v>
      </c>
      <c r="P188" s="80">
        <v>33.3333333333333</v>
      </c>
      <c r="Q188" s="102">
        <v>33.3333333333333</v>
      </c>
      <c r="R188" s="74">
        <f>VLOOKUP(B188,Readme!A$40:C$52,3,)*Q188</f>
        <v>284.66666666666634</v>
      </c>
    </row>
    <row r="189" spans="1:18" ht="14.15" customHeight="1" x14ac:dyDescent="0.35">
      <c r="A189" s="75">
        <v>344</v>
      </c>
      <c r="B189" s="80">
        <v>2010</v>
      </c>
      <c r="C189" s="80">
        <v>12</v>
      </c>
      <c r="D189" s="80">
        <f t="shared" si="12"/>
        <v>2010</v>
      </c>
      <c r="E189" t="s">
        <v>38</v>
      </c>
      <c r="F189" t="s">
        <v>143</v>
      </c>
      <c r="G189" t="s">
        <v>86</v>
      </c>
      <c r="H189" s="72" t="s">
        <v>254</v>
      </c>
      <c r="I189" s="72" t="s">
        <v>33</v>
      </c>
      <c r="J189" t="str">
        <f t="shared" si="13"/>
        <v>Area 9: Admiralty Inlet</v>
      </c>
      <c r="K189" t="str">
        <f>IFERROR(VLOOKUP(J189,LUTs!$A$1:$C$73,2,FALSE),"NA")</f>
        <v>NA</v>
      </c>
      <c r="L189" t="str">
        <f>IFERROR(VLOOKUP(J189,LUTs!$A$1:$C$73,3,FALSE),"NA")</f>
        <v>2Central Puget Sound</v>
      </c>
      <c r="M189" s="72" t="s">
        <v>16</v>
      </c>
      <c r="N189" t="str">
        <f>VLOOKUP(M189,LUTs!E$2:H$14,3,)</f>
        <v>03Snohomish</v>
      </c>
      <c r="O189" t="str">
        <f>VLOOKUP(M189,LUTs!E$2:H$14,4,)</f>
        <v>01North Puget Sound</v>
      </c>
      <c r="P189" s="80">
        <v>16.6666666666667</v>
      </c>
      <c r="Q189" s="102">
        <v>16.6666666666667</v>
      </c>
      <c r="R189" s="74">
        <f>VLOOKUP(B189,Readme!A$40:C$52,3,)*Q189</f>
        <v>142.3333333333336</v>
      </c>
    </row>
    <row r="190" spans="1:18" ht="14.15" customHeight="1" x14ac:dyDescent="0.35">
      <c r="A190" s="75">
        <v>313</v>
      </c>
      <c r="B190" s="80">
        <v>2010</v>
      </c>
      <c r="C190" s="80">
        <v>12</v>
      </c>
      <c r="D190" s="80">
        <f t="shared" si="12"/>
        <v>2010</v>
      </c>
      <c r="E190" t="s">
        <v>38</v>
      </c>
      <c r="F190" t="s">
        <v>143</v>
      </c>
      <c r="G190" t="s">
        <v>86</v>
      </c>
      <c r="H190" s="72" t="s">
        <v>251</v>
      </c>
      <c r="I190" s="72" t="s">
        <v>102</v>
      </c>
      <c r="J190" t="str">
        <f t="shared" si="13"/>
        <v>Canyon Creek</v>
      </c>
      <c r="K190" t="str">
        <f>IFERROR(VLOOKUP(J190,LUTs!$A$1:$C$73,2,FALSE),"NA")</f>
        <v>Snohomish</v>
      </c>
      <c r="L190" t="str">
        <f>IFERROR(VLOOKUP(J190,LUTs!$A$1:$C$73,3,FALSE),"NA")</f>
        <v>2Central Puget Sound</v>
      </c>
      <c r="M190" s="72" t="s">
        <v>16</v>
      </c>
      <c r="N190" t="str">
        <f>VLOOKUP(M190,LUTs!E$2:H$14,3,)</f>
        <v>03Snohomish</v>
      </c>
      <c r="O190" t="str">
        <f>VLOOKUP(M190,LUTs!E$2:H$14,4,)</f>
        <v>01North Puget Sound</v>
      </c>
      <c r="P190" s="80">
        <v>5</v>
      </c>
      <c r="Q190" s="102">
        <v>5</v>
      </c>
      <c r="R190" s="74">
        <f>VLOOKUP(B190,Readme!A$40:C$52,3,)*Q190</f>
        <v>42.699999999999996</v>
      </c>
    </row>
    <row r="191" spans="1:18" ht="14.15" customHeight="1" x14ac:dyDescent="0.35">
      <c r="A191" s="75">
        <v>95</v>
      </c>
      <c r="B191" s="80">
        <v>2010</v>
      </c>
      <c r="C191" s="80">
        <v>12</v>
      </c>
      <c r="D191" s="80">
        <f t="shared" si="12"/>
        <v>2010</v>
      </c>
      <c r="E191" t="s">
        <v>38</v>
      </c>
      <c r="F191" t="s">
        <v>143</v>
      </c>
      <c r="G191" t="s">
        <v>86</v>
      </c>
      <c r="H191" s="72" t="s">
        <v>211</v>
      </c>
      <c r="I191" s="72" t="s">
        <v>53</v>
      </c>
      <c r="J191" t="str">
        <f t="shared" si="13"/>
        <v>Carbon River</v>
      </c>
      <c r="K191" t="str">
        <f>IFERROR(VLOOKUP(J191,LUTs!$A$1:$C$73,2,FALSE),"NA")</f>
        <v>Pierce</v>
      </c>
      <c r="L191" t="str">
        <f>IFERROR(VLOOKUP(J191,LUTs!$A$1:$C$73,3,FALSE),"NA")</f>
        <v>3South Puget Sound</v>
      </c>
      <c r="M191" s="72" t="s">
        <v>26</v>
      </c>
      <c r="N191" t="str">
        <f>VLOOKUP(M191,LUTs!E$2:H$14,3,)</f>
        <v>20Other</v>
      </c>
      <c r="O191" t="str">
        <f>VLOOKUP(M191,LUTs!E$2:H$14,4,)</f>
        <v>07Non Puget Sound</v>
      </c>
      <c r="P191" s="80">
        <v>2.3333333333333299</v>
      </c>
      <c r="Q191" s="102">
        <v>2.3333333333333299</v>
      </c>
      <c r="R191" s="74">
        <f>VLOOKUP(B191,Readme!A$40:C$52,3,)*Q191</f>
        <v>19.926666666666634</v>
      </c>
    </row>
    <row r="192" spans="1:18" ht="14.15" customHeight="1" x14ac:dyDescent="0.35">
      <c r="A192" s="75">
        <v>96</v>
      </c>
      <c r="B192" s="80">
        <v>2010</v>
      </c>
      <c r="C192" s="80">
        <v>12</v>
      </c>
      <c r="D192" s="80">
        <f t="shared" si="12"/>
        <v>2010</v>
      </c>
      <c r="E192" t="s">
        <v>38</v>
      </c>
      <c r="F192" t="s">
        <v>143</v>
      </c>
      <c r="G192" t="s">
        <v>86</v>
      </c>
      <c r="H192" s="72" t="s">
        <v>211</v>
      </c>
      <c r="I192" s="72" t="s">
        <v>53</v>
      </c>
      <c r="J192" t="str">
        <f t="shared" si="13"/>
        <v>Carbon River</v>
      </c>
      <c r="K192" t="str">
        <f>IFERROR(VLOOKUP(J192,LUTs!$A$1:$C$73,2,FALSE),"NA")</f>
        <v>Pierce</v>
      </c>
      <c r="L192" t="str">
        <f>IFERROR(VLOOKUP(J192,LUTs!$A$1:$C$73,3,FALSE),"NA")</f>
        <v>3South Puget Sound</v>
      </c>
      <c r="M192" s="72" t="s">
        <v>20</v>
      </c>
      <c r="N192" t="str">
        <f>VLOOKUP(M192,LUTs!E$2:H$14,3,)</f>
        <v>07Pierce</v>
      </c>
      <c r="O192" t="str">
        <f>VLOOKUP(M192,LUTs!E$2:H$14,4,)</f>
        <v>02South Puget Sound</v>
      </c>
      <c r="P192" s="80">
        <v>4.6666666666666696</v>
      </c>
      <c r="Q192" s="102">
        <v>4.6666666666666696</v>
      </c>
      <c r="R192" s="74">
        <f>VLOOKUP(B192,Readme!A$40:C$52,3,)*Q192</f>
        <v>39.853333333333353</v>
      </c>
    </row>
    <row r="193" spans="1:18" ht="14.15" customHeight="1" x14ac:dyDescent="0.35">
      <c r="A193" s="75">
        <v>127</v>
      </c>
      <c r="B193" s="80">
        <v>2010</v>
      </c>
      <c r="C193" s="80">
        <v>12</v>
      </c>
      <c r="D193" s="80">
        <f t="shared" si="12"/>
        <v>2010</v>
      </c>
      <c r="E193" t="s">
        <v>38</v>
      </c>
      <c r="F193" t="s">
        <v>143</v>
      </c>
      <c r="G193" t="s">
        <v>86</v>
      </c>
      <c r="H193" s="72" t="s">
        <v>217</v>
      </c>
      <c r="I193" s="72" t="s">
        <v>59</v>
      </c>
      <c r="J193" t="str">
        <f t="shared" si="13"/>
        <v>Cascade River</v>
      </c>
      <c r="K193" t="str">
        <f>IFERROR(VLOOKUP(J193,LUTs!$A$1:$C$73,2,FALSE),"NA")</f>
        <v>Skagit</v>
      </c>
      <c r="L193" t="str">
        <f>IFERROR(VLOOKUP(J193,LUTs!$A$1:$C$73,3,FALSE),"NA")</f>
        <v>1North Puget Sound</v>
      </c>
      <c r="M193" s="72" t="s">
        <v>17</v>
      </c>
      <c r="N193" t="str">
        <f>VLOOKUP(M193,LUTs!E$2:H$14,3,)</f>
        <v>04Island</v>
      </c>
      <c r="O193" t="str">
        <f>VLOOKUP(M193,LUTs!E$2:H$14,4,)</f>
        <v>01North Puget Sound</v>
      </c>
      <c r="P193" s="80">
        <v>21.114754098360699</v>
      </c>
      <c r="Q193" s="102">
        <v>21.114754098360699</v>
      </c>
      <c r="R193" s="74">
        <f>VLOOKUP(B193,Readme!A$40:C$52,3,)*Q193</f>
        <v>180.32000000000036</v>
      </c>
    </row>
    <row r="194" spans="1:18" ht="14.15" customHeight="1" x14ac:dyDescent="0.35">
      <c r="A194" s="75">
        <v>128</v>
      </c>
      <c r="B194" s="80">
        <v>2010</v>
      </c>
      <c r="C194" s="80">
        <v>12</v>
      </c>
      <c r="D194" s="80">
        <f t="shared" ref="D194:D257" si="14">IF(C194&gt;3,B194,B194-1)</f>
        <v>2010</v>
      </c>
      <c r="E194" t="s">
        <v>38</v>
      </c>
      <c r="F194" t="s">
        <v>143</v>
      </c>
      <c r="G194" t="s">
        <v>86</v>
      </c>
      <c r="H194" s="72" t="s">
        <v>217</v>
      </c>
      <c r="I194" s="72" t="s">
        <v>59</v>
      </c>
      <c r="J194" t="str">
        <f t="shared" si="13"/>
        <v>Cascade River</v>
      </c>
      <c r="K194" t="str">
        <f>IFERROR(VLOOKUP(J194,LUTs!$A$1:$C$73,2,FALSE),"NA")</f>
        <v>Skagit</v>
      </c>
      <c r="L194" t="str">
        <f>IFERROR(VLOOKUP(J194,LUTs!$A$1:$C$73,3,FALSE),"NA")</f>
        <v>1North Puget Sound</v>
      </c>
      <c r="M194" s="72" t="s">
        <v>18</v>
      </c>
      <c r="N194" t="str">
        <f>VLOOKUP(M194,LUTs!E$2:H$14,3,)</f>
        <v>06King</v>
      </c>
      <c r="O194" t="str">
        <f>VLOOKUP(M194,LUTs!E$2:H$14,4,)</f>
        <v>02South Puget Sound</v>
      </c>
      <c r="P194" s="80">
        <v>9.0491803278688501</v>
      </c>
      <c r="Q194" s="102">
        <v>9.0491803278688501</v>
      </c>
      <c r="R194" s="74">
        <f>VLOOKUP(B194,Readme!A$40:C$52,3,)*Q194</f>
        <v>77.279999999999973</v>
      </c>
    </row>
    <row r="195" spans="1:18" ht="14.15" customHeight="1" x14ac:dyDescent="0.35">
      <c r="A195" s="75">
        <v>129</v>
      </c>
      <c r="B195" s="80">
        <v>2010</v>
      </c>
      <c r="C195" s="80">
        <v>12</v>
      </c>
      <c r="D195" s="80">
        <f t="shared" si="14"/>
        <v>2010</v>
      </c>
      <c r="E195" t="s">
        <v>38</v>
      </c>
      <c r="F195" t="s">
        <v>143</v>
      </c>
      <c r="G195" t="s">
        <v>86</v>
      </c>
      <c r="H195" s="72" t="s">
        <v>217</v>
      </c>
      <c r="I195" s="72" t="s">
        <v>59</v>
      </c>
      <c r="J195" t="str">
        <f t="shared" si="13"/>
        <v>Cascade River</v>
      </c>
      <c r="K195" t="str">
        <f>IFERROR(VLOOKUP(J195,LUTs!$A$1:$C$73,2,FALSE),"NA")</f>
        <v>Skagit</v>
      </c>
      <c r="L195" t="str">
        <f>IFERROR(VLOOKUP(J195,LUTs!$A$1:$C$73,3,FALSE),"NA")</f>
        <v>1North Puget Sound</v>
      </c>
      <c r="M195" s="72" t="s">
        <v>26</v>
      </c>
      <c r="N195" t="str">
        <f>VLOOKUP(M195,LUTs!E$2:H$14,3,)</f>
        <v>20Other</v>
      </c>
      <c r="O195" t="str">
        <f>VLOOKUP(M195,LUTs!E$2:H$14,4,)</f>
        <v>07Non Puget Sound</v>
      </c>
      <c r="P195" s="80">
        <v>12.065573770491801</v>
      </c>
      <c r="Q195" s="102">
        <v>12.065573770491801</v>
      </c>
      <c r="R195" s="74">
        <f>VLOOKUP(B195,Readme!A$40:C$52,3,)*Q195</f>
        <v>103.03999999999996</v>
      </c>
    </row>
    <row r="196" spans="1:18" ht="14.15" customHeight="1" x14ac:dyDescent="0.35">
      <c r="A196" s="75">
        <v>130</v>
      </c>
      <c r="B196" s="80">
        <v>2010</v>
      </c>
      <c r="C196" s="80">
        <v>12</v>
      </c>
      <c r="D196" s="80">
        <f t="shared" si="14"/>
        <v>2010</v>
      </c>
      <c r="E196" t="s">
        <v>38</v>
      </c>
      <c r="F196" t="s">
        <v>143</v>
      </c>
      <c r="G196" t="s">
        <v>86</v>
      </c>
      <c r="H196" s="72" t="s">
        <v>217</v>
      </c>
      <c r="I196" s="72" t="s">
        <v>59</v>
      </c>
      <c r="J196" t="str">
        <f t="shared" si="13"/>
        <v>Cascade River</v>
      </c>
      <c r="K196" t="str">
        <f>IFERROR(VLOOKUP(J196,LUTs!$A$1:$C$73,2,FALSE),"NA")</f>
        <v>Skagit</v>
      </c>
      <c r="L196" t="str">
        <f>IFERROR(VLOOKUP(J196,LUTs!$A$1:$C$73,3,FALSE),"NA")</f>
        <v>1North Puget Sound</v>
      </c>
      <c r="M196" s="72" t="s">
        <v>20</v>
      </c>
      <c r="N196" t="str">
        <f>VLOOKUP(M196,LUTs!E$2:H$14,3,)</f>
        <v>07Pierce</v>
      </c>
      <c r="O196" t="str">
        <f>VLOOKUP(M196,LUTs!E$2:H$14,4,)</f>
        <v>02South Puget Sound</v>
      </c>
      <c r="P196" s="80">
        <v>3.0163934426229502</v>
      </c>
      <c r="Q196" s="102">
        <v>3.0163934426229502</v>
      </c>
      <c r="R196" s="74">
        <f>VLOOKUP(B196,Readme!A$40:C$52,3,)*Q196</f>
        <v>25.759999999999991</v>
      </c>
    </row>
    <row r="197" spans="1:18" ht="14.15" customHeight="1" x14ac:dyDescent="0.35">
      <c r="A197" s="75">
        <v>131</v>
      </c>
      <c r="B197" s="80">
        <v>2010</v>
      </c>
      <c r="C197" s="80">
        <v>12</v>
      </c>
      <c r="D197" s="80">
        <f t="shared" si="14"/>
        <v>2010</v>
      </c>
      <c r="E197" t="s">
        <v>38</v>
      </c>
      <c r="F197" t="s">
        <v>143</v>
      </c>
      <c r="G197" t="s">
        <v>86</v>
      </c>
      <c r="H197" s="72" t="s">
        <v>217</v>
      </c>
      <c r="I197" s="72" t="s">
        <v>59</v>
      </c>
      <c r="J197" t="str">
        <f t="shared" si="13"/>
        <v>Cascade River</v>
      </c>
      <c r="K197" t="str">
        <f>IFERROR(VLOOKUP(J197,LUTs!$A$1:$C$73,2,FALSE),"NA")</f>
        <v>Skagit</v>
      </c>
      <c r="L197" t="str">
        <f>IFERROR(VLOOKUP(J197,LUTs!$A$1:$C$73,3,FALSE),"NA")</f>
        <v>1North Puget Sound</v>
      </c>
      <c r="M197" s="72" t="s">
        <v>30</v>
      </c>
      <c r="N197" t="str">
        <f>VLOOKUP(M197,LUTs!E$2:H$14,3,)</f>
        <v>05San Juan</v>
      </c>
      <c r="O197" t="str">
        <f>VLOOKUP(M197,LUTs!E$2:H$14,4,)</f>
        <v>01North Puget Sound</v>
      </c>
      <c r="P197" s="80">
        <v>3.0163934426229502</v>
      </c>
      <c r="Q197" s="102">
        <v>3.0163934426229502</v>
      </c>
      <c r="R197" s="74">
        <f>VLOOKUP(B197,Readme!A$40:C$52,3,)*Q197</f>
        <v>25.759999999999991</v>
      </c>
    </row>
    <row r="198" spans="1:18" ht="14.15" customHeight="1" x14ac:dyDescent="0.35">
      <c r="A198" s="75">
        <v>132</v>
      </c>
      <c r="B198" s="80">
        <v>2010</v>
      </c>
      <c r="C198" s="80">
        <v>12</v>
      </c>
      <c r="D198" s="80">
        <f t="shared" si="14"/>
        <v>2010</v>
      </c>
      <c r="E198" t="s">
        <v>38</v>
      </c>
      <c r="F198" t="s">
        <v>143</v>
      </c>
      <c r="G198" t="s">
        <v>86</v>
      </c>
      <c r="H198" s="72" t="s">
        <v>217</v>
      </c>
      <c r="I198" s="72" t="s">
        <v>59</v>
      </c>
      <c r="J198" t="str">
        <f t="shared" si="13"/>
        <v>Cascade River</v>
      </c>
      <c r="K198" t="str">
        <f>IFERROR(VLOOKUP(J198,LUTs!$A$1:$C$73,2,FALSE),"NA")</f>
        <v>Skagit</v>
      </c>
      <c r="L198" t="str">
        <f>IFERROR(VLOOKUP(J198,LUTs!$A$1:$C$73,3,FALSE),"NA")</f>
        <v>1North Puget Sound</v>
      </c>
      <c r="M198" s="72" t="s">
        <v>15</v>
      </c>
      <c r="N198" t="str">
        <f>VLOOKUP(M198,LUTs!E$2:H$14,3,)</f>
        <v>02Skagit</v>
      </c>
      <c r="O198" t="str">
        <f>VLOOKUP(M198,LUTs!E$2:H$14,4,)</f>
        <v>01North Puget Sound</v>
      </c>
      <c r="P198" s="80">
        <v>174.95081967213099</v>
      </c>
      <c r="Q198" s="102">
        <v>174.95081967213099</v>
      </c>
      <c r="R198" s="74">
        <f>VLOOKUP(B198,Readme!A$40:C$52,3,)*Q198</f>
        <v>1494.0799999999986</v>
      </c>
    </row>
    <row r="199" spans="1:18" ht="14.15" customHeight="1" x14ac:dyDescent="0.35">
      <c r="A199" s="75">
        <v>133</v>
      </c>
      <c r="B199" s="80">
        <v>2010</v>
      </c>
      <c r="C199" s="80">
        <v>12</v>
      </c>
      <c r="D199" s="80">
        <f t="shared" si="14"/>
        <v>2010</v>
      </c>
      <c r="E199" t="s">
        <v>38</v>
      </c>
      <c r="F199" t="s">
        <v>143</v>
      </c>
      <c r="G199" t="s">
        <v>86</v>
      </c>
      <c r="H199" s="72" t="s">
        <v>217</v>
      </c>
      <c r="I199" s="72" t="s">
        <v>59</v>
      </c>
      <c r="J199" t="str">
        <f t="shared" si="13"/>
        <v>Cascade River</v>
      </c>
      <c r="K199" t="str">
        <f>IFERROR(VLOOKUP(J199,LUTs!$A$1:$C$73,2,FALSE),"NA")</f>
        <v>Skagit</v>
      </c>
      <c r="L199" t="str">
        <f>IFERROR(VLOOKUP(J199,LUTs!$A$1:$C$73,3,FALSE),"NA")</f>
        <v>1North Puget Sound</v>
      </c>
      <c r="M199" s="72" t="s">
        <v>16</v>
      </c>
      <c r="N199" t="str">
        <f>VLOOKUP(M199,LUTs!E$2:H$14,3,)</f>
        <v>03Snohomish</v>
      </c>
      <c r="O199" t="str">
        <f>VLOOKUP(M199,LUTs!E$2:H$14,4,)</f>
        <v>01North Puget Sound</v>
      </c>
      <c r="P199" s="80">
        <v>87.475409836065595</v>
      </c>
      <c r="Q199" s="102">
        <v>87.475409836065595</v>
      </c>
      <c r="R199" s="74">
        <f>VLOOKUP(B199,Readme!A$40:C$52,3,)*Q199</f>
        <v>747.04000000000008</v>
      </c>
    </row>
    <row r="200" spans="1:18" ht="14.15" customHeight="1" x14ac:dyDescent="0.35">
      <c r="A200" s="75">
        <v>134</v>
      </c>
      <c r="B200" s="80">
        <v>2010</v>
      </c>
      <c r="C200" s="80">
        <v>12</v>
      </c>
      <c r="D200" s="80">
        <f t="shared" si="14"/>
        <v>2010</v>
      </c>
      <c r="E200" t="s">
        <v>38</v>
      </c>
      <c r="F200" t="s">
        <v>143</v>
      </c>
      <c r="G200" t="s">
        <v>86</v>
      </c>
      <c r="H200" s="72" t="s">
        <v>217</v>
      </c>
      <c r="I200" s="72" t="s">
        <v>59</v>
      </c>
      <c r="J200" t="str">
        <f t="shared" si="13"/>
        <v>Cascade River</v>
      </c>
      <c r="K200" t="str">
        <f>IFERROR(VLOOKUP(J200,LUTs!$A$1:$C$73,2,FALSE),"NA")</f>
        <v>Skagit</v>
      </c>
      <c r="L200" t="str">
        <f>IFERROR(VLOOKUP(J200,LUTs!$A$1:$C$73,3,FALSE),"NA")</f>
        <v>1North Puget Sound</v>
      </c>
      <c r="M200" s="72" t="s">
        <v>13</v>
      </c>
      <c r="N200" t="str">
        <f>VLOOKUP(M200,LUTs!E$2:H$14,3,)</f>
        <v>01Whatcom</v>
      </c>
      <c r="O200" t="str">
        <f>VLOOKUP(M200,LUTs!E$2:H$14,4,)</f>
        <v>01North Puget Sound</v>
      </c>
      <c r="P200" s="80">
        <v>57.311475409836099</v>
      </c>
      <c r="Q200" s="102">
        <v>57.311475409836099</v>
      </c>
      <c r="R200" s="74">
        <f>VLOOKUP(B200,Readme!A$40:C$52,3,)*Q200</f>
        <v>489.44000000000023</v>
      </c>
    </row>
    <row r="201" spans="1:18" ht="14.15" customHeight="1" x14ac:dyDescent="0.35">
      <c r="A201" s="75">
        <v>1</v>
      </c>
      <c r="B201" s="80">
        <v>2010</v>
      </c>
      <c r="C201" s="80">
        <v>12</v>
      </c>
      <c r="D201" s="80">
        <f t="shared" si="14"/>
        <v>2010</v>
      </c>
      <c r="E201" t="s">
        <v>38</v>
      </c>
      <c r="F201" t="s">
        <v>143</v>
      </c>
      <c r="G201" t="s">
        <v>86</v>
      </c>
      <c r="H201" s="72" t="s">
        <v>234</v>
      </c>
      <c r="I201" s="72" t="s">
        <v>87</v>
      </c>
      <c r="J201" t="str">
        <f t="shared" si="13"/>
        <v>Clallam River</v>
      </c>
      <c r="K201" t="str">
        <f>IFERROR(VLOOKUP(J201,LUTs!$A$1:$C$73,2,FALSE),"NA")</f>
        <v>Clallam</v>
      </c>
      <c r="L201" t="str">
        <f>IFERROR(VLOOKUP(J201,LUTs!$A$1:$C$73,3,FALSE),"NA")</f>
        <v>0Strait of Juan de Fuca</v>
      </c>
      <c r="M201" s="72" t="s">
        <v>24</v>
      </c>
      <c r="N201" t="str">
        <f>VLOOKUP(M201,LUTs!E$2:H$14,3,)</f>
        <v>11Clallam</v>
      </c>
      <c r="O201" t="str">
        <f>VLOOKUP(M201,LUTs!E$2:H$14,4,)</f>
        <v>03Strait of Juan de Fuca</v>
      </c>
      <c r="P201" s="80">
        <v>4.6666666666666696</v>
      </c>
      <c r="Q201" s="102">
        <v>4.6666666666666696</v>
      </c>
      <c r="R201" s="74">
        <f>VLOOKUP(B201,Readme!A$40:C$52,3,)*Q201</f>
        <v>39.853333333333353</v>
      </c>
    </row>
    <row r="202" spans="1:18" ht="14.15" customHeight="1" x14ac:dyDescent="0.35">
      <c r="A202" s="75">
        <v>2</v>
      </c>
      <c r="B202" s="80">
        <v>2010</v>
      </c>
      <c r="C202" s="80">
        <v>12</v>
      </c>
      <c r="D202" s="80">
        <f t="shared" si="14"/>
        <v>2010</v>
      </c>
      <c r="E202" t="s">
        <v>38</v>
      </c>
      <c r="F202" t="s">
        <v>143</v>
      </c>
      <c r="G202" t="s">
        <v>86</v>
      </c>
      <c r="H202" s="72" t="s">
        <v>234</v>
      </c>
      <c r="I202" s="72" t="s">
        <v>87</v>
      </c>
      <c r="J202" t="str">
        <f t="shared" si="13"/>
        <v>Clallam River</v>
      </c>
      <c r="K202" t="str">
        <f>IFERROR(VLOOKUP(J202,LUTs!$A$1:$C$73,2,FALSE),"NA")</f>
        <v>Clallam</v>
      </c>
      <c r="L202" t="str">
        <f>IFERROR(VLOOKUP(J202,LUTs!$A$1:$C$73,3,FALSE),"NA")</f>
        <v>0Strait of Juan de Fuca</v>
      </c>
      <c r="M202" s="72" t="s">
        <v>26</v>
      </c>
      <c r="N202" t="str">
        <f>VLOOKUP(M202,LUTs!E$2:H$14,3,)</f>
        <v>20Other</v>
      </c>
      <c r="O202" t="str">
        <f>VLOOKUP(M202,LUTs!E$2:H$14,4,)</f>
        <v>07Non Puget Sound</v>
      </c>
      <c r="P202" s="80">
        <v>2.3333333333333299</v>
      </c>
      <c r="Q202" s="102">
        <v>2.3333333333333299</v>
      </c>
      <c r="R202" s="74">
        <f>VLOOKUP(B202,Readme!A$40:C$52,3,)*Q202</f>
        <v>19.926666666666634</v>
      </c>
    </row>
    <row r="203" spans="1:18" ht="14.15" customHeight="1" x14ac:dyDescent="0.35">
      <c r="A203" s="75">
        <v>3</v>
      </c>
      <c r="B203" s="80">
        <v>2010</v>
      </c>
      <c r="C203" s="80">
        <v>12</v>
      </c>
      <c r="D203" s="80">
        <f t="shared" si="14"/>
        <v>2010</v>
      </c>
      <c r="E203" t="s">
        <v>38</v>
      </c>
      <c r="F203" t="s">
        <v>143</v>
      </c>
      <c r="G203" t="s">
        <v>86</v>
      </c>
      <c r="H203" s="72" t="s">
        <v>234</v>
      </c>
      <c r="I203" s="72" t="s">
        <v>87</v>
      </c>
      <c r="J203" t="str">
        <f t="shared" si="13"/>
        <v>Clallam River</v>
      </c>
      <c r="K203" t="str">
        <f>IFERROR(VLOOKUP(J203,LUTs!$A$1:$C$73,2,FALSE),"NA")</f>
        <v>Clallam</v>
      </c>
      <c r="L203" t="str">
        <f>IFERROR(VLOOKUP(J203,LUTs!$A$1:$C$73,3,FALSE),"NA")</f>
        <v>0Strait of Juan de Fuca</v>
      </c>
      <c r="M203" s="72" t="s">
        <v>20</v>
      </c>
      <c r="N203" t="str">
        <f>VLOOKUP(M203,LUTs!E$2:H$14,3,)</f>
        <v>07Pierce</v>
      </c>
      <c r="O203" t="str">
        <f>VLOOKUP(M203,LUTs!E$2:H$14,4,)</f>
        <v>02South Puget Sound</v>
      </c>
      <c r="P203" s="80">
        <v>14</v>
      </c>
      <c r="Q203" s="102">
        <v>14</v>
      </c>
      <c r="R203" s="74">
        <f>VLOOKUP(B203,Readme!A$40:C$52,3,)*Q203</f>
        <v>119.55999999999999</v>
      </c>
    </row>
    <row r="204" spans="1:18" ht="14.15" customHeight="1" x14ac:dyDescent="0.35">
      <c r="A204" s="75">
        <v>4</v>
      </c>
      <c r="B204" s="80">
        <v>2010</v>
      </c>
      <c r="C204" s="80">
        <v>12</v>
      </c>
      <c r="D204" s="80">
        <f t="shared" si="14"/>
        <v>2010</v>
      </c>
      <c r="E204" t="s">
        <v>38</v>
      </c>
      <c r="F204" t="s">
        <v>143</v>
      </c>
      <c r="G204" t="s">
        <v>86</v>
      </c>
      <c r="H204" s="72" t="s">
        <v>234</v>
      </c>
      <c r="I204" s="72" t="s">
        <v>87</v>
      </c>
      <c r="J204" t="str">
        <f t="shared" si="13"/>
        <v>Clallam River</v>
      </c>
      <c r="K204" t="str">
        <f>IFERROR(VLOOKUP(J204,LUTs!$A$1:$C$73,2,FALSE),"NA")</f>
        <v>Clallam</v>
      </c>
      <c r="L204" t="str">
        <f>IFERROR(VLOOKUP(J204,LUTs!$A$1:$C$73,3,FALSE),"NA")</f>
        <v>0Strait of Juan de Fuca</v>
      </c>
      <c r="M204" s="72" t="s">
        <v>13</v>
      </c>
      <c r="N204" t="str">
        <f>VLOOKUP(M204,LUTs!E$2:H$14,3,)</f>
        <v>01Whatcom</v>
      </c>
      <c r="O204" t="str">
        <f>VLOOKUP(M204,LUTs!E$2:H$14,4,)</f>
        <v>01North Puget Sound</v>
      </c>
      <c r="P204" s="80">
        <v>7</v>
      </c>
      <c r="Q204" s="102">
        <v>7</v>
      </c>
      <c r="R204" s="74">
        <f>VLOOKUP(B204,Readme!A$40:C$52,3,)*Q204</f>
        <v>59.779999999999994</v>
      </c>
    </row>
    <row r="205" spans="1:18" ht="14.15" customHeight="1" x14ac:dyDescent="0.35">
      <c r="A205" s="75">
        <v>9</v>
      </c>
      <c r="B205" s="80">
        <v>2010</v>
      </c>
      <c r="C205" s="80">
        <v>12</v>
      </c>
      <c r="D205" s="80">
        <f t="shared" si="14"/>
        <v>2010</v>
      </c>
      <c r="E205" t="s">
        <v>38</v>
      </c>
      <c r="F205" t="s">
        <v>143</v>
      </c>
      <c r="G205" t="s">
        <v>86</v>
      </c>
      <c r="H205" s="72" t="s">
        <v>201</v>
      </c>
      <c r="I205" s="72" t="s">
        <v>43</v>
      </c>
      <c r="J205" t="str">
        <f t="shared" si="13"/>
        <v>Dungeness River</v>
      </c>
      <c r="K205" t="str">
        <f>IFERROR(VLOOKUP(J205,LUTs!$A$1:$C$73,2,FALSE),"NA")</f>
        <v>Clallam</v>
      </c>
      <c r="L205" t="str">
        <f>IFERROR(VLOOKUP(J205,LUTs!$A$1:$C$73,3,FALSE),"NA")</f>
        <v>0Strait of Juan de Fuca</v>
      </c>
      <c r="M205" s="72" t="s">
        <v>24</v>
      </c>
      <c r="N205" t="str">
        <f>VLOOKUP(M205,LUTs!E$2:H$14,3,)</f>
        <v>11Clallam</v>
      </c>
      <c r="O205" t="str">
        <f>VLOOKUP(M205,LUTs!E$2:H$14,4,)</f>
        <v>03Strait of Juan de Fuca</v>
      </c>
      <c r="P205" s="80">
        <v>5</v>
      </c>
      <c r="Q205" s="102">
        <v>5</v>
      </c>
      <c r="R205" s="74">
        <f>VLOOKUP(B205,Readme!A$40:C$52,3,)*Q205</f>
        <v>42.699999999999996</v>
      </c>
    </row>
    <row r="206" spans="1:18" ht="14.15" customHeight="1" x14ac:dyDescent="0.35">
      <c r="A206" s="75">
        <v>14</v>
      </c>
      <c r="B206" s="80">
        <v>2010</v>
      </c>
      <c r="C206" s="80">
        <v>12</v>
      </c>
      <c r="D206" s="80">
        <f t="shared" si="14"/>
        <v>2010</v>
      </c>
      <c r="E206" t="s">
        <v>38</v>
      </c>
      <c r="F206" t="s">
        <v>143</v>
      </c>
      <c r="G206" t="s">
        <v>86</v>
      </c>
      <c r="H206" s="72" t="s">
        <v>202</v>
      </c>
      <c r="I206" s="72" t="s">
        <v>44</v>
      </c>
      <c r="J206" t="str">
        <f t="shared" si="13"/>
        <v>Elwha River</v>
      </c>
      <c r="K206" t="str">
        <f>IFERROR(VLOOKUP(J206,LUTs!$A$1:$C$73,2,FALSE),"NA")</f>
        <v>Clallam</v>
      </c>
      <c r="L206" t="str">
        <f>IFERROR(VLOOKUP(J206,LUTs!$A$1:$C$73,3,FALSE),"NA")</f>
        <v>0Strait of Juan de Fuca</v>
      </c>
      <c r="M206" s="72" t="s">
        <v>24</v>
      </c>
      <c r="N206" t="str">
        <f>VLOOKUP(M206,LUTs!E$2:H$14,3,)</f>
        <v>11Clallam</v>
      </c>
      <c r="O206" t="str">
        <f>VLOOKUP(M206,LUTs!E$2:H$14,4,)</f>
        <v>03Strait of Juan de Fuca</v>
      </c>
      <c r="P206" s="80">
        <v>52.6086956521739</v>
      </c>
      <c r="Q206" s="102">
        <v>52.6086956521739</v>
      </c>
      <c r="R206" s="74">
        <f>VLOOKUP(B206,Readme!A$40:C$52,3,)*Q206</f>
        <v>449.27826086956503</v>
      </c>
    </row>
    <row r="207" spans="1:18" ht="14.15" customHeight="1" x14ac:dyDescent="0.35">
      <c r="A207" s="75">
        <v>15</v>
      </c>
      <c r="B207" s="80">
        <v>2010</v>
      </c>
      <c r="C207" s="80">
        <v>12</v>
      </c>
      <c r="D207" s="80">
        <f t="shared" si="14"/>
        <v>2010</v>
      </c>
      <c r="E207" t="s">
        <v>38</v>
      </c>
      <c r="F207" t="s">
        <v>143</v>
      </c>
      <c r="G207" t="s">
        <v>86</v>
      </c>
      <c r="H207" s="72" t="s">
        <v>202</v>
      </c>
      <c r="I207" s="72" t="s">
        <v>44</v>
      </c>
      <c r="J207" t="str">
        <f t="shared" si="13"/>
        <v>Elwha River</v>
      </c>
      <c r="K207" t="str">
        <f>IFERROR(VLOOKUP(J207,LUTs!$A$1:$C$73,2,FALSE),"NA")</f>
        <v>Clallam</v>
      </c>
      <c r="L207" t="str">
        <f>IFERROR(VLOOKUP(J207,LUTs!$A$1:$C$73,3,FALSE),"NA")</f>
        <v>0Strait of Juan de Fuca</v>
      </c>
      <c r="M207" s="72" t="s">
        <v>16</v>
      </c>
      <c r="N207" t="str">
        <f>VLOOKUP(M207,LUTs!E$2:H$14,3,)</f>
        <v>03Snohomish</v>
      </c>
      <c r="O207" t="str">
        <f>VLOOKUP(M207,LUTs!E$2:H$14,4,)</f>
        <v>01North Puget Sound</v>
      </c>
      <c r="P207" s="80">
        <v>2.39130434782609</v>
      </c>
      <c r="Q207" s="102">
        <v>2.39130434782609</v>
      </c>
      <c r="R207" s="74">
        <f>VLOOKUP(B207,Readme!A$40:C$52,3,)*Q207</f>
        <v>20.421739130434808</v>
      </c>
    </row>
    <row r="208" spans="1:18" ht="14.15" customHeight="1" x14ac:dyDescent="0.35">
      <c r="A208" s="75">
        <v>36</v>
      </c>
      <c r="B208" s="80">
        <v>2010</v>
      </c>
      <c r="C208" s="80">
        <v>12</v>
      </c>
      <c r="D208" s="80">
        <f t="shared" si="14"/>
        <v>2010</v>
      </c>
      <c r="E208" t="s">
        <v>38</v>
      </c>
      <c r="F208" t="s">
        <v>143</v>
      </c>
      <c r="G208" t="s">
        <v>86</v>
      </c>
      <c r="H208" s="72" t="s">
        <v>203</v>
      </c>
      <c r="I208" s="72" t="s">
        <v>89</v>
      </c>
      <c r="J208" s="84" t="s">
        <v>45</v>
      </c>
      <c r="K208" t="str">
        <f>IFERROR(VLOOKUP(J208,LUTs!$A$1:$C$73,2,FALSE),"NA")</f>
        <v>King</v>
      </c>
      <c r="L208" t="str">
        <f>IFERROR(VLOOKUP(J208,LUTs!$A$1:$C$73,3,FALSE),"NA")</f>
        <v>3South Puget Sound</v>
      </c>
      <c r="M208" s="72" t="s">
        <v>18</v>
      </c>
      <c r="N208" t="str">
        <f>VLOOKUP(M208,LUTs!E$2:H$14,3,)</f>
        <v>06King</v>
      </c>
      <c r="O208" t="str">
        <f>VLOOKUP(M208,LUTs!E$2:H$14,4,)</f>
        <v>02South Puget Sound</v>
      </c>
      <c r="P208" s="80">
        <v>164.47959183673501</v>
      </c>
      <c r="Q208" s="102">
        <v>164.47959183673501</v>
      </c>
      <c r="R208" s="74">
        <f>VLOOKUP(B208,Readme!A$40:C$52,3,)*Q208</f>
        <v>1404.6557142857168</v>
      </c>
    </row>
    <row r="209" spans="1:18" ht="14.15" customHeight="1" x14ac:dyDescent="0.35">
      <c r="A209" s="75">
        <v>37</v>
      </c>
      <c r="B209" s="80">
        <v>2010</v>
      </c>
      <c r="C209" s="80">
        <v>12</v>
      </c>
      <c r="D209" s="80">
        <f t="shared" si="14"/>
        <v>2010</v>
      </c>
      <c r="E209" t="s">
        <v>38</v>
      </c>
      <c r="F209" t="s">
        <v>143</v>
      </c>
      <c r="G209" t="s">
        <v>86</v>
      </c>
      <c r="H209" s="72" t="s">
        <v>203</v>
      </c>
      <c r="I209" s="72" t="s">
        <v>89</v>
      </c>
      <c r="J209" s="84" t="s">
        <v>45</v>
      </c>
      <c r="K209" t="str">
        <f>IFERROR(VLOOKUP(J209,LUTs!$A$1:$C$73,2,FALSE),"NA")</f>
        <v>King</v>
      </c>
      <c r="L209" t="str">
        <f>IFERROR(VLOOKUP(J209,LUTs!$A$1:$C$73,3,FALSE),"NA")</f>
        <v>3South Puget Sound</v>
      </c>
      <c r="M209" s="72" t="s">
        <v>26</v>
      </c>
      <c r="N209" t="str">
        <f>VLOOKUP(M209,LUTs!E$2:H$14,3,)</f>
        <v>20Other</v>
      </c>
      <c r="O209" t="str">
        <f>VLOOKUP(M209,LUTs!E$2:H$14,4,)</f>
        <v>07Non Puget Sound</v>
      </c>
      <c r="P209" s="80">
        <v>2.0306122448979602</v>
      </c>
      <c r="Q209" s="102">
        <v>2.0306122448979602</v>
      </c>
      <c r="R209" s="74">
        <f>VLOOKUP(B209,Readme!A$40:C$52,3,)*Q209</f>
        <v>17.34142857142858</v>
      </c>
    </row>
    <row r="210" spans="1:18" ht="14.15" customHeight="1" x14ac:dyDescent="0.35">
      <c r="A210" s="75">
        <v>38</v>
      </c>
      <c r="B210" s="80">
        <v>2010</v>
      </c>
      <c r="C210" s="80">
        <v>12</v>
      </c>
      <c r="D210" s="80">
        <f t="shared" si="14"/>
        <v>2010</v>
      </c>
      <c r="E210" t="s">
        <v>38</v>
      </c>
      <c r="F210" t="s">
        <v>143</v>
      </c>
      <c r="G210" t="s">
        <v>86</v>
      </c>
      <c r="H210" s="72" t="s">
        <v>203</v>
      </c>
      <c r="I210" s="72" t="s">
        <v>89</v>
      </c>
      <c r="J210" s="84" t="s">
        <v>45</v>
      </c>
      <c r="K210" t="str">
        <f>IFERROR(VLOOKUP(J210,LUTs!$A$1:$C$73,2,FALSE),"NA")</f>
        <v>King</v>
      </c>
      <c r="L210" t="str">
        <f>IFERROR(VLOOKUP(J210,LUTs!$A$1:$C$73,3,FALSE),"NA")</f>
        <v>3South Puget Sound</v>
      </c>
      <c r="M210" s="72" t="s">
        <v>20</v>
      </c>
      <c r="N210" t="str">
        <f>VLOOKUP(M210,LUTs!E$2:H$14,3,)</f>
        <v>07Pierce</v>
      </c>
      <c r="O210" t="str">
        <f>VLOOKUP(M210,LUTs!E$2:H$14,4,)</f>
        <v>02South Puget Sound</v>
      </c>
      <c r="P210" s="80">
        <v>26.3979591836735</v>
      </c>
      <c r="Q210" s="102">
        <v>26.3979591836735</v>
      </c>
      <c r="R210" s="74">
        <f>VLOOKUP(B210,Readme!A$40:C$52,3,)*Q210</f>
        <v>225.43857142857166</v>
      </c>
    </row>
    <row r="211" spans="1:18" ht="14.15" customHeight="1" x14ac:dyDescent="0.35">
      <c r="A211" s="75">
        <v>39</v>
      </c>
      <c r="B211" s="80">
        <v>2010</v>
      </c>
      <c r="C211" s="80">
        <v>12</v>
      </c>
      <c r="D211" s="80">
        <f t="shared" si="14"/>
        <v>2010</v>
      </c>
      <c r="E211" t="s">
        <v>38</v>
      </c>
      <c r="F211" t="s">
        <v>143</v>
      </c>
      <c r="G211" t="s">
        <v>86</v>
      </c>
      <c r="H211" s="72" t="s">
        <v>203</v>
      </c>
      <c r="I211" s="72" t="s">
        <v>89</v>
      </c>
      <c r="J211" s="84" t="s">
        <v>45</v>
      </c>
      <c r="K211" t="str">
        <f>IFERROR(VLOOKUP(J211,LUTs!$A$1:$C$73,2,FALSE),"NA")</f>
        <v>King</v>
      </c>
      <c r="L211" t="str">
        <f>IFERROR(VLOOKUP(J211,LUTs!$A$1:$C$73,3,FALSE),"NA")</f>
        <v>3South Puget Sound</v>
      </c>
      <c r="M211" s="72" t="s">
        <v>16</v>
      </c>
      <c r="N211" t="str">
        <f>VLOOKUP(M211,LUTs!E$2:H$14,3,)</f>
        <v>03Snohomish</v>
      </c>
      <c r="O211" t="str">
        <f>VLOOKUP(M211,LUTs!E$2:H$14,4,)</f>
        <v>01North Puget Sound</v>
      </c>
      <c r="P211" s="80">
        <v>2.0306122448979602</v>
      </c>
      <c r="Q211" s="102">
        <v>2.0306122448979602</v>
      </c>
      <c r="R211" s="74">
        <f>VLOOKUP(B211,Readme!A$40:C$52,3,)*Q211</f>
        <v>17.34142857142858</v>
      </c>
    </row>
    <row r="212" spans="1:18" ht="14.15" customHeight="1" x14ac:dyDescent="0.35">
      <c r="A212" s="75">
        <v>40</v>
      </c>
      <c r="B212" s="80">
        <v>2010</v>
      </c>
      <c r="C212" s="80">
        <v>12</v>
      </c>
      <c r="D212" s="80">
        <f t="shared" si="14"/>
        <v>2010</v>
      </c>
      <c r="E212" t="s">
        <v>38</v>
      </c>
      <c r="F212" t="s">
        <v>143</v>
      </c>
      <c r="G212" t="s">
        <v>86</v>
      </c>
      <c r="H212" s="72" t="s">
        <v>203</v>
      </c>
      <c r="I212" s="72" t="s">
        <v>89</v>
      </c>
      <c r="J212" s="84" t="s">
        <v>45</v>
      </c>
      <c r="K212" t="str">
        <f>IFERROR(VLOOKUP(J212,LUTs!$A$1:$C$73,2,FALSE),"NA")</f>
        <v>King</v>
      </c>
      <c r="L212" t="str">
        <f>IFERROR(VLOOKUP(J212,LUTs!$A$1:$C$73,3,FALSE),"NA")</f>
        <v>3South Puget Sound</v>
      </c>
      <c r="M212" s="72" t="s">
        <v>13</v>
      </c>
      <c r="N212" t="str">
        <f>VLOOKUP(M212,LUTs!E$2:H$14,3,)</f>
        <v>01Whatcom</v>
      </c>
      <c r="O212" t="str">
        <f>VLOOKUP(M212,LUTs!E$2:H$14,4,)</f>
        <v>01North Puget Sound</v>
      </c>
      <c r="P212" s="80">
        <v>4.0612244897959204</v>
      </c>
      <c r="Q212" s="102">
        <v>4.0612244897959204</v>
      </c>
      <c r="R212" s="74">
        <f>VLOOKUP(B212,Readme!A$40:C$52,3,)*Q212</f>
        <v>34.682857142857159</v>
      </c>
    </row>
    <row r="213" spans="1:18" ht="14.15" customHeight="1" x14ac:dyDescent="0.35">
      <c r="A213" s="75">
        <v>50</v>
      </c>
      <c r="B213" s="80">
        <v>2010</v>
      </c>
      <c r="C213" s="80">
        <v>12</v>
      </c>
      <c r="D213" s="80">
        <f t="shared" si="14"/>
        <v>2010</v>
      </c>
      <c r="E213" t="s">
        <v>38</v>
      </c>
      <c r="F213" t="s">
        <v>143</v>
      </c>
      <c r="G213" t="s">
        <v>86</v>
      </c>
      <c r="H213" s="72" t="s">
        <v>204</v>
      </c>
      <c r="I213" s="72" t="s">
        <v>46</v>
      </c>
      <c r="J213" t="str">
        <f t="shared" ref="J213:J244" si="15">I213</f>
        <v>Hoko River</v>
      </c>
      <c r="K213" t="str">
        <f>IFERROR(VLOOKUP(J213,LUTs!$A$1:$C$73,2,FALSE),"NA")</f>
        <v>Clallam</v>
      </c>
      <c r="L213" t="str">
        <f>IFERROR(VLOOKUP(J213,LUTs!$A$1:$C$73,3,FALSE),"NA")</f>
        <v>0Strait of Juan de Fuca</v>
      </c>
      <c r="M213" s="72" t="s">
        <v>24</v>
      </c>
      <c r="N213" t="str">
        <f>VLOOKUP(M213,LUTs!E$2:H$14,3,)</f>
        <v>11Clallam</v>
      </c>
      <c r="O213" t="str">
        <f>VLOOKUP(M213,LUTs!E$2:H$14,4,)</f>
        <v>03Strait of Juan de Fuca</v>
      </c>
      <c r="P213" s="80">
        <v>21.130434782608699</v>
      </c>
      <c r="Q213" s="102">
        <v>21.130434782608699</v>
      </c>
      <c r="R213" s="74">
        <f>VLOOKUP(B213,Readme!A$40:C$52,3,)*Q213</f>
        <v>180.45391304347828</v>
      </c>
    </row>
    <row r="214" spans="1:18" ht="14.15" customHeight="1" x14ac:dyDescent="0.35">
      <c r="A214" s="75">
        <v>51</v>
      </c>
      <c r="B214" s="80">
        <v>2010</v>
      </c>
      <c r="C214" s="80">
        <v>12</v>
      </c>
      <c r="D214" s="80">
        <f t="shared" si="14"/>
        <v>2010</v>
      </c>
      <c r="E214" t="s">
        <v>38</v>
      </c>
      <c r="F214" t="s">
        <v>143</v>
      </c>
      <c r="G214" t="s">
        <v>86</v>
      </c>
      <c r="H214" s="72" t="s">
        <v>204</v>
      </c>
      <c r="I214" s="72" t="s">
        <v>46</v>
      </c>
      <c r="J214" t="str">
        <f t="shared" si="15"/>
        <v>Hoko River</v>
      </c>
      <c r="K214" t="str">
        <f>IFERROR(VLOOKUP(J214,LUTs!$A$1:$C$73,2,FALSE),"NA")</f>
        <v>Clallam</v>
      </c>
      <c r="L214" t="str">
        <f>IFERROR(VLOOKUP(J214,LUTs!$A$1:$C$73,3,FALSE),"NA")</f>
        <v>0Strait of Juan de Fuca</v>
      </c>
      <c r="M214" s="72" t="s">
        <v>17</v>
      </c>
      <c r="N214" t="str">
        <f>VLOOKUP(M214,LUTs!E$2:H$14,3,)</f>
        <v>04Island</v>
      </c>
      <c r="O214" t="str">
        <f>VLOOKUP(M214,LUTs!E$2:H$14,4,)</f>
        <v>01North Puget Sound</v>
      </c>
      <c r="P214" s="80">
        <v>14.086956521739101</v>
      </c>
      <c r="Q214" s="102">
        <v>14.086956521739101</v>
      </c>
      <c r="R214" s="74">
        <f>VLOOKUP(B214,Readme!A$40:C$52,3,)*Q214</f>
        <v>120.30260869565191</v>
      </c>
    </row>
    <row r="215" spans="1:18" ht="14.15" customHeight="1" x14ac:dyDescent="0.35">
      <c r="A215" s="75">
        <v>52</v>
      </c>
      <c r="B215" s="80">
        <v>2010</v>
      </c>
      <c r="C215" s="80">
        <v>12</v>
      </c>
      <c r="D215" s="80">
        <f t="shared" si="14"/>
        <v>2010</v>
      </c>
      <c r="E215" t="s">
        <v>38</v>
      </c>
      <c r="F215" t="s">
        <v>143</v>
      </c>
      <c r="G215" t="s">
        <v>86</v>
      </c>
      <c r="H215" s="72" t="s">
        <v>204</v>
      </c>
      <c r="I215" s="72" t="s">
        <v>46</v>
      </c>
      <c r="J215" t="str">
        <f t="shared" si="15"/>
        <v>Hoko River</v>
      </c>
      <c r="K215" t="str">
        <f>IFERROR(VLOOKUP(J215,LUTs!$A$1:$C$73,2,FALSE),"NA")</f>
        <v>Clallam</v>
      </c>
      <c r="L215" t="str">
        <f>IFERROR(VLOOKUP(J215,LUTs!$A$1:$C$73,3,FALSE),"NA")</f>
        <v>0Strait of Juan de Fuca</v>
      </c>
      <c r="M215" s="72" t="s">
        <v>25</v>
      </c>
      <c r="N215" t="str">
        <f>VLOOKUP(M215,LUTs!E$2:H$14,3,)</f>
        <v>12Jefferson</v>
      </c>
      <c r="O215" t="str">
        <f>VLOOKUP(M215,LUTs!E$2:H$14,4,)</f>
        <v>03Strait of Juan de Fuca</v>
      </c>
      <c r="P215" s="80">
        <v>2.3478260869565202</v>
      </c>
      <c r="Q215" s="102">
        <v>2.3478260869565202</v>
      </c>
      <c r="R215" s="74">
        <f>VLOOKUP(B215,Readme!A$40:C$52,3,)*Q215</f>
        <v>20.050434782608679</v>
      </c>
    </row>
    <row r="216" spans="1:18" ht="14.15" customHeight="1" x14ac:dyDescent="0.35">
      <c r="A216" s="75">
        <v>53</v>
      </c>
      <c r="B216" s="80">
        <v>2010</v>
      </c>
      <c r="C216" s="80">
        <v>12</v>
      </c>
      <c r="D216" s="80">
        <f t="shared" si="14"/>
        <v>2010</v>
      </c>
      <c r="E216" t="s">
        <v>38</v>
      </c>
      <c r="F216" t="s">
        <v>143</v>
      </c>
      <c r="G216" t="s">
        <v>86</v>
      </c>
      <c r="H216" s="72" t="s">
        <v>204</v>
      </c>
      <c r="I216" s="72" t="s">
        <v>46</v>
      </c>
      <c r="J216" t="str">
        <f t="shared" si="15"/>
        <v>Hoko River</v>
      </c>
      <c r="K216" t="str">
        <f>IFERROR(VLOOKUP(J216,LUTs!$A$1:$C$73,2,FALSE),"NA")</f>
        <v>Clallam</v>
      </c>
      <c r="L216" t="str">
        <f>IFERROR(VLOOKUP(J216,LUTs!$A$1:$C$73,3,FALSE),"NA")</f>
        <v>0Strait of Juan de Fuca</v>
      </c>
      <c r="M216" s="72" t="s">
        <v>18</v>
      </c>
      <c r="N216" t="str">
        <f>VLOOKUP(M216,LUTs!E$2:H$14,3,)</f>
        <v>06King</v>
      </c>
      <c r="O216" t="str">
        <f>VLOOKUP(M216,LUTs!E$2:H$14,4,)</f>
        <v>02South Puget Sound</v>
      </c>
      <c r="P216" s="80">
        <v>4.6956521739130404</v>
      </c>
      <c r="Q216" s="102">
        <v>4.6956521739130404</v>
      </c>
      <c r="R216" s="74">
        <f>VLOOKUP(B216,Readme!A$40:C$52,3,)*Q216</f>
        <v>40.100869565217359</v>
      </c>
    </row>
    <row r="217" spans="1:18" ht="14.15" customHeight="1" x14ac:dyDescent="0.35">
      <c r="A217" s="75">
        <v>54</v>
      </c>
      <c r="B217" s="80">
        <v>2010</v>
      </c>
      <c r="C217" s="80">
        <v>12</v>
      </c>
      <c r="D217" s="80">
        <f t="shared" si="14"/>
        <v>2010</v>
      </c>
      <c r="E217" t="s">
        <v>38</v>
      </c>
      <c r="F217" t="s">
        <v>143</v>
      </c>
      <c r="G217" t="s">
        <v>86</v>
      </c>
      <c r="H217" s="72" t="s">
        <v>204</v>
      </c>
      <c r="I217" s="72" t="s">
        <v>46</v>
      </c>
      <c r="J217" t="str">
        <f t="shared" si="15"/>
        <v>Hoko River</v>
      </c>
      <c r="K217" t="str">
        <f>IFERROR(VLOOKUP(J217,LUTs!$A$1:$C$73,2,FALSE),"NA")</f>
        <v>Clallam</v>
      </c>
      <c r="L217" t="str">
        <f>IFERROR(VLOOKUP(J217,LUTs!$A$1:$C$73,3,FALSE),"NA")</f>
        <v>0Strait of Juan de Fuca</v>
      </c>
      <c r="M217" s="72" t="s">
        <v>23</v>
      </c>
      <c r="N217" t="str">
        <f>VLOOKUP(M217,LUTs!E$2:H$14,3,)</f>
        <v>10Kitsap</v>
      </c>
      <c r="O217" t="str">
        <f>VLOOKUP(M217,LUTs!E$2:H$14,4,)</f>
        <v>02South Puget Sound</v>
      </c>
      <c r="P217" s="80">
        <v>2.3478260869565202</v>
      </c>
      <c r="Q217" s="102">
        <v>2.3478260869565202</v>
      </c>
      <c r="R217" s="74">
        <f>VLOOKUP(B217,Readme!A$40:C$52,3,)*Q217</f>
        <v>20.050434782608679</v>
      </c>
    </row>
    <row r="218" spans="1:18" ht="14.15" customHeight="1" x14ac:dyDescent="0.35">
      <c r="A218" s="75">
        <v>55</v>
      </c>
      <c r="B218" s="80">
        <v>2010</v>
      </c>
      <c r="C218" s="80">
        <v>12</v>
      </c>
      <c r="D218" s="80">
        <f t="shared" si="14"/>
        <v>2010</v>
      </c>
      <c r="E218" t="s">
        <v>38</v>
      </c>
      <c r="F218" t="s">
        <v>143</v>
      </c>
      <c r="G218" t="s">
        <v>86</v>
      </c>
      <c r="H218" s="72" t="s">
        <v>204</v>
      </c>
      <c r="I218" s="72" t="s">
        <v>46</v>
      </c>
      <c r="J218" t="str">
        <f t="shared" si="15"/>
        <v>Hoko River</v>
      </c>
      <c r="K218" t="str">
        <f>IFERROR(VLOOKUP(J218,LUTs!$A$1:$C$73,2,FALSE),"NA")</f>
        <v>Clallam</v>
      </c>
      <c r="L218" t="str">
        <f>IFERROR(VLOOKUP(J218,LUTs!$A$1:$C$73,3,FALSE),"NA")</f>
        <v>0Strait of Juan de Fuca</v>
      </c>
      <c r="M218" s="72" t="s">
        <v>20</v>
      </c>
      <c r="N218" t="str">
        <f>VLOOKUP(M218,LUTs!E$2:H$14,3,)</f>
        <v>07Pierce</v>
      </c>
      <c r="O218" t="str">
        <f>VLOOKUP(M218,LUTs!E$2:H$14,4,)</f>
        <v>02South Puget Sound</v>
      </c>
      <c r="P218" s="80">
        <v>4.6956521739130404</v>
      </c>
      <c r="Q218" s="102">
        <v>4.6956521739130404</v>
      </c>
      <c r="R218" s="74">
        <f>VLOOKUP(B218,Readme!A$40:C$52,3,)*Q218</f>
        <v>40.100869565217359</v>
      </c>
    </row>
    <row r="219" spans="1:18" ht="14.15" customHeight="1" x14ac:dyDescent="0.35">
      <c r="A219" s="75">
        <v>56</v>
      </c>
      <c r="B219" s="80">
        <v>2010</v>
      </c>
      <c r="C219" s="80">
        <v>12</v>
      </c>
      <c r="D219" s="80">
        <f t="shared" si="14"/>
        <v>2010</v>
      </c>
      <c r="E219" t="s">
        <v>38</v>
      </c>
      <c r="F219" t="s">
        <v>143</v>
      </c>
      <c r="G219" t="s">
        <v>86</v>
      </c>
      <c r="H219" s="72" t="s">
        <v>204</v>
      </c>
      <c r="I219" s="72" t="s">
        <v>46</v>
      </c>
      <c r="J219" t="str">
        <f t="shared" si="15"/>
        <v>Hoko River</v>
      </c>
      <c r="K219" t="str">
        <f>IFERROR(VLOOKUP(J219,LUTs!$A$1:$C$73,2,FALSE),"NA")</f>
        <v>Clallam</v>
      </c>
      <c r="L219" t="str">
        <f>IFERROR(VLOOKUP(J219,LUTs!$A$1:$C$73,3,FALSE),"NA")</f>
        <v>0Strait of Juan de Fuca</v>
      </c>
      <c r="M219" s="72" t="s">
        <v>15</v>
      </c>
      <c r="N219" t="str">
        <f>VLOOKUP(M219,LUTs!E$2:H$14,3,)</f>
        <v>02Skagit</v>
      </c>
      <c r="O219" t="str">
        <f>VLOOKUP(M219,LUTs!E$2:H$14,4,)</f>
        <v>01North Puget Sound</v>
      </c>
      <c r="P219" s="80">
        <v>4.6956521739130404</v>
      </c>
      <c r="Q219" s="102">
        <v>4.6956521739130404</v>
      </c>
      <c r="R219" s="74">
        <f>VLOOKUP(B219,Readme!A$40:C$52,3,)*Q219</f>
        <v>40.100869565217359</v>
      </c>
    </row>
    <row r="220" spans="1:18" ht="14.15" customHeight="1" x14ac:dyDescent="0.35">
      <c r="A220" s="75">
        <v>72</v>
      </c>
      <c r="B220" s="80">
        <v>2010</v>
      </c>
      <c r="C220" s="80">
        <v>12</v>
      </c>
      <c r="D220" s="80">
        <f t="shared" si="14"/>
        <v>2010</v>
      </c>
      <c r="E220" t="s">
        <v>38</v>
      </c>
      <c r="F220" t="s">
        <v>143</v>
      </c>
      <c r="G220" t="s">
        <v>86</v>
      </c>
      <c r="H220" s="72" t="s">
        <v>237</v>
      </c>
      <c r="I220" s="72" t="s">
        <v>79</v>
      </c>
      <c r="J220" t="str">
        <f t="shared" si="15"/>
        <v>Lyre River</v>
      </c>
      <c r="K220" t="str">
        <f>IFERROR(VLOOKUP(J220,LUTs!$A$1:$C$73,2,FALSE),"NA")</f>
        <v>Clallam</v>
      </c>
      <c r="L220" t="str">
        <f>IFERROR(VLOOKUP(J220,LUTs!$A$1:$C$73,3,FALSE),"NA")</f>
        <v>0Strait of Juan de Fuca</v>
      </c>
      <c r="M220" s="72" t="s">
        <v>24</v>
      </c>
      <c r="N220" t="str">
        <f>VLOOKUP(M220,LUTs!E$2:H$14,3,)</f>
        <v>11Clallam</v>
      </c>
      <c r="O220" t="str">
        <f>VLOOKUP(M220,LUTs!E$2:H$14,4,)</f>
        <v>03Strait of Juan de Fuca</v>
      </c>
      <c r="P220" s="80">
        <v>86.125</v>
      </c>
      <c r="Q220" s="102">
        <v>86.125</v>
      </c>
      <c r="R220" s="74">
        <f>VLOOKUP(B220,Readme!A$40:C$52,3,)*Q220</f>
        <v>735.50749999999994</v>
      </c>
    </row>
    <row r="221" spans="1:18" ht="14.15" customHeight="1" x14ac:dyDescent="0.35">
      <c r="A221" s="75">
        <v>73</v>
      </c>
      <c r="B221" s="80">
        <v>2010</v>
      </c>
      <c r="C221" s="80">
        <v>12</v>
      </c>
      <c r="D221" s="80">
        <f t="shared" si="14"/>
        <v>2010</v>
      </c>
      <c r="E221" t="s">
        <v>38</v>
      </c>
      <c r="F221" t="s">
        <v>143</v>
      </c>
      <c r="G221" t="s">
        <v>86</v>
      </c>
      <c r="H221" s="72" t="s">
        <v>237</v>
      </c>
      <c r="I221" s="72" t="s">
        <v>79</v>
      </c>
      <c r="J221" t="str">
        <f t="shared" si="15"/>
        <v>Lyre River</v>
      </c>
      <c r="K221" t="str">
        <f>IFERROR(VLOOKUP(J221,LUTs!$A$1:$C$73,2,FALSE),"NA")</f>
        <v>Clallam</v>
      </c>
      <c r="L221" t="str">
        <f>IFERROR(VLOOKUP(J221,LUTs!$A$1:$C$73,3,FALSE),"NA")</f>
        <v>0Strait of Juan de Fuca</v>
      </c>
      <c r="M221" s="72" t="s">
        <v>25</v>
      </c>
      <c r="N221" t="str">
        <f>VLOOKUP(M221,LUTs!E$2:H$14,3,)</f>
        <v>12Jefferson</v>
      </c>
      <c r="O221" t="str">
        <f>VLOOKUP(M221,LUTs!E$2:H$14,4,)</f>
        <v>03Strait of Juan de Fuca</v>
      </c>
      <c r="P221" s="80">
        <v>11.59375</v>
      </c>
      <c r="Q221" s="102">
        <v>11.59375</v>
      </c>
      <c r="R221" s="74">
        <f>VLOOKUP(B221,Readme!A$40:C$52,3,)*Q221</f>
        <v>99.01062499999999</v>
      </c>
    </row>
    <row r="222" spans="1:18" ht="14.15" customHeight="1" x14ac:dyDescent="0.35">
      <c r="A222" s="75">
        <v>74</v>
      </c>
      <c r="B222" s="80">
        <v>2010</v>
      </c>
      <c r="C222" s="80">
        <v>12</v>
      </c>
      <c r="D222" s="80">
        <f t="shared" si="14"/>
        <v>2010</v>
      </c>
      <c r="E222" t="s">
        <v>38</v>
      </c>
      <c r="F222" t="s">
        <v>143</v>
      </c>
      <c r="G222" t="s">
        <v>86</v>
      </c>
      <c r="H222" s="72" t="s">
        <v>237</v>
      </c>
      <c r="I222" s="72" t="s">
        <v>79</v>
      </c>
      <c r="J222" t="str">
        <f t="shared" si="15"/>
        <v>Lyre River</v>
      </c>
      <c r="K222" t="str">
        <f>IFERROR(VLOOKUP(J222,LUTs!$A$1:$C$73,2,FALSE),"NA")</f>
        <v>Clallam</v>
      </c>
      <c r="L222" t="str">
        <f>IFERROR(VLOOKUP(J222,LUTs!$A$1:$C$73,3,FALSE),"NA")</f>
        <v>0Strait of Juan de Fuca</v>
      </c>
      <c r="M222" s="72" t="s">
        <v>18</v>
      </c>
      <c r="N222" t="str">
        <f>VLOOKUP(M222,LUTs!E$2:H$14,3,)</f>
        <v>06King</v>
      </c>
      <c r="O222" t="str">
        <f>VLOOKUP(M222,LUTs!E$2:H$14,4,)</f>
        <v>02South Puget Sound</v>
      </c>
      <c r="P222" s="80">
        <v>6.625</v>
      </c>
      <c r="Q222" s="102">
        <v>6.625</v>
      </c>
      <c r="R222" s="74">
        <f>VLOOKUP(B222,Readme!A$40:C$52,3,)*Q222</f>
        <v>56.577499999999993</v>
      </c>
    </row>
    <row r="223" spans="1:18" ht="14.15" customHeight="1" x14ac:dyDescent="0.35">
      <c r="A223" s="75">
        <v>75</v>
      </c>
      <c r="B223" s="80">
        <v>2010</v>
      </c>
      <c r="C223" s="80">
        <v>12</v>
      </c>
      <c r="D223" s="80">
        <f t="shared" si="14"/>
        <v>2010</v>
      </c>
      <c r="E223" t="s">
        <v>38</v>
      </c>
      <c r="F223" t="s">
        <v>143</v>
      </c>
      <c r="G223" t="s">
        <v>86</v>
      </c>
      <c r="H223" s="72" t="s">
        <v>237</v>
      </c>
      <c r="I223" s="72" t="s">
        <v>79</v>
      </c>
      <c r="J223" t="str">
        <f t="shared" si="15"/>
        <v>Lyre River</v>
      </c>
      <c r="K223" t="str">
        <f>IFERROR(VLOOKUP(J223,LUTs!$A$1:$C$73,2,FALSE),"NA")</f>
        <v>Clallam</v>
      </c>
      <c r="L223" t="str">
        <f>IFERROR(VLOOKUP(J223,LUTs!$A$1:$C$73,3,FALSE),"NA")</f>
        <v>0Strait of Juan de Fuca</v>
      </c>
      <c r="M223" s="72" t="s">
        <v>26</v>
      </c>
      <c r="N223" t="str">
        <f>VLOOKUP(M223,LUTs!E$2:H$14,3,)</f>
        <v>20Other</v>
      </c>
      <c r="O223" t="str">
        <f>VLOOKUP(M223,LUTs!E$2:H$14,4,)</f>
        <v>07Non Puget Sound</v>
      </c>
      <c r="P223" s="80">
        <v>1.65625</v>
      </c>
      <c r="Q223" s="102">
        <v>1.65625</v>
      </c>
      <c r="R223" s="74">
        <f>VLOOKUP(B223,Readme!A$40:C$52,3,)*Q223</f>
        <v>14.144374999999998</v>
      </c>
    </row>
    <row r="224" spans="1:18" ht="14.15" customHeight="1" x14ac:dyDescent="0.35">
      <c r="A224" s="75">
        <v>82</v>
      </c>
      <c r="B224" s="80">
        <v>2010</v>
      </c>
      <c r="C224" s="80">
        <v>12</v>
      </c>
      <c r="D224" s="80">
        <f t="shared" si="14"/>
        <v>2010</v>
      </c>
      <c r="E224" t="s">
        <v>38</v>
      </c>
      <c r="F224" t="s">
        <v>143</v>
      </c>
      <c r="G224" t="s">
        <v>86</v>
      </c>
      <c r="H224" s="72" t="s">
        <v>238</v>
      </c>
      <c r="I224" s="72" t="s">
        <v>91</v>
      </c>
      <c r="J224" t="str">
        <f t="shared" si="15"/>
        <v>Morse Creek (Clallam Co.)</v>
      </c>
      <c r="K224" t="str">
        <f>IFERROR(VLOOKUP(J224,LUTs!$A$1:$C$73,2,FALSE),"NA")</f>
        <v>Clallam</v>
      </c>
      <c r="L224" t="str">
        <f>IFERROR(VLOOKUP(J224,LUTs!$A$1:$C$73,3,FALSE),"NA")</f>
        <v>0Strait of Juan de Fuca</v>
      </c>
      <c r="M224" s="72" t="s">
        <v>24</v>
      </c>
      <c r="N224" t="str">
        <f>VLOOKUP(M224,LUTs!E$2:H$14,3,)</f>
        <v>11Clallam</v>
      </c>
      <c r="O224" t="str">
        <f>VLOOKUP(M224,LUTs!E$2:H$14,4,)</f>
        <v>03Strait of Juan de Fuca</v>
      </c>
      <c r="P224" s="80">
        <v>9</v>
      </c>
      <c r="Q224" s="102">
        <v>9</v>
      </c>
      <c r="R224" s="74">
        <f>VLOOKUP(B224,Readme!A$40:C$52,3,)*Q224</f>
        <v>76.859999999999985</v>
      </c>
    </row>
    <row r="225" spans="1:18" ht="14.15" customHeight="1" x14ac:dyDescent="0.35">
      <c r="A225" s="75">
        <v>93</v>
      </c>
      <c r="B225" s="80">
        <v>2010</v>
      </c>
      <c r="C225" s="80">
        <v>12</v>
      </c>
      <c r="D225" s="80">
        <f t="shared" si="14"/>
        <v>2010</v>
      </c>
      <c r="E225" t="s">
        <v>38</v>
      </c>
      <c r="F225" t="s">
        <v>143</v>
      </c>
      <c r="G225" t="s">
        <v>86</v>
      </c>
      <c r="H225" s="72" t="s">
        <v>241</v>
      </c>
      <c r="I225" s="72" t="s">
        <v>83</v>
      </c>
      <c r="J225" t="str">
        <f t="shared" si="15"/>
        <v>Nooksack River, below North Fork</v>
      </c>
      <c r="K225" t="str">
        <f>IFERROR(VLOOKUP(J225,LUTs!$A$1:$C$73,2,FALSE),"NA")</f>
        <v>Whatcom</v>
      </c>
      <c r="L225" t="str">
        <f>IFERROR(VLOOKUP(J225,LUTs!$A$1:$C$73,3,FALSE),"NA")</f>
        <v>1North Puget Sound</v>
      </c>
      <c r="M225" s="72" t="s">
        <v>13</v>
      </c>
      <c r="N225" t="str">
        <f>VLOOKUP(M225,LUTs!E$2:H$14,3,)</f>
        <v>01Whatcom</v>
      </c>
      <c r="O225" t="str">
        <f>VLOOKUP(M225,LUTs!E$2:H$14,4,)</f>
        <v>01North Puget Sound</v>
      </c>
      <c r="P225" s="80">
        <v>14</v>
      </c>
      <c r="Q225" s="102">
        <v>14</v>
      </c>
      <c r="R225" s="74">
        <f>VLOOKUP(B225,Readme!A$40:C$52,3,)*Q225</f>
        <v>119.55999999999999</v>
      </c>
    </row>
    <row r="226" spans="1:18" ht="14.15" customHeight="1" x14ac:dyDescent="0.35">
      <c r="A226" s="75">
        <v>87</v>
      </c>
      <c r="B226" s="80">
        <v>2010</v>
      </c>
      <c r="C226" s="80">
        <v>12</v>
      </c>
      <c r="D226" s="80">
        <f t="shared" si="14"/>
        <v>2010</v>
      </c>
      <c r="E226" t="s">
        <v>38</v>
      </c>
      <c r="F226" t="s">
        <v>143</v>
      </c>
      <c r="G226" t="s">
        <v>86</v>
      </c>
      <c r="H226" s="72" t="s">
        <v>239</v>
      </c>
      <c r="I226" s="72" t="s">
        <v>92</v>
      </c>
      <c r="J226" t="str">
        <f t="shared" si="15"/>
        <v>Nooksack River, No. Fork</v>
      </c>
      <c r="K226" t="str">
        <f>IFERROR(VLOOKUP(J226,LUTs!$A$1:$C$73,2,FALSE),"NA")</f>
        <v>Whatcom</v>
      </c>
      <c r="L226" t="str">
        <f>IFERROR(VLOOKUP(J226,LUTs!$A$1:$C$73,3,FALSE),"NA")</f>
        <v>1North Puget Sound</v>
      </c>
      <c r="M226" s="72" t="s">
        <v>13</v>
      </c>
      <c r="N226" t="str">
        <f>VLOOKUP(M226,LUTs!E$2:H$14,3,)</f>
        <v>01Whatcom</v>
      </c>
      <c r="O226" t="str">
        <f>VLOOKUP(M226,LUTs!E$2:H$14,4,)</f>
        <v>01North Puget Sound</v>
      </c>
      <c r="P226" s="80">
        <v>37</v>
      </c>
      <c r="Q226" s="102">
        <v>37</v>
      </c>
      <c r="R226" s="74">
        <f>VLOOKUP(B226,Readme!A$40:C$52,3,)*Q226</f>
        <v>315.97999999999996</v>
      </c>
    </row>
    <row r="227" spans="1:18" ht="14.15" customHeight="1" x14ac:dyDescent="0.35">
      <c r="A227" s="75">
        <v>90</v>
      </c>
      <c r="B227" s="80">
        <v>2010</v>
      </c>
      <c r="C227" s="80">
        <v>12</v>
      </c>
      <c r="D227" s="80">
        <f t="shared" si="14"/>
        <v>2010</v>
      </c>
      <c r="E227" t="s">
        <v>38</v>
      </c>
      <c r="F227" t="s">
        <v>143</v>
      </c>
      <c r="G227" t="s">
        <v>86</v>
      </c>
      <c r="H227" s="72" t="s">
        <v>240</v>
      </c>
      <c r="I227" s="72" t="s">
        <v>93</v>
      </c>
      <c r="J227" t="str">
        <f t="shared" si="15"/>
        <v>Nooksack River, So. Fork</v>
      </c>
      <c r="K227" t="str">
        <f>IFERROR(VLOOKUP(J227,LUTs!$A$1:$C$73,2,FALSE),"NA")</f>
        <v>Whatcom</v>
      </c>
      <c r="L227" t="str">
        <f>IFERROR(VLOOKUP(J227,LUTs!$A$1:$C$73,3,FALSE),"NA")</f>
        <v>1North Puget Sound</v>
      </c>
      <c r="M227" s="72" t="s">
        <v>24</v>
      </c>
      <c r="N227" t="str">
        <f>VLOOKUP(M227,LUTs!E$2:H$14,3,)</f>
        <v>11Clallam</v>
      </c>
      <c r="O227" t="str">
        <f>VLOOKUP(M227,LUTs!E$2:H$14,4,)</f>
        <v>03Strait of Juan de Fuca</v>
      </c>
      <c r="P227" s="80">
        <v>2.4</v>
      </c>
      <c r="Q227" s="102">
        <v>2.4</v>
      </c>
      <c r="R227" s="74">
        <f>VLOOKUP(B227,Readme!A$40:C$52,3,)*Q227</f>
        <v>20.495999999999999</v>
      </c>
    </row>
    <row r="228" spans="1:18" ht="14.15" customHeight="1" x14ac:dyDescent="0.35">
      <c r="A228" s="75">
        <v>91</v>
      </c>
      <c r="B228" s="80">
        <v>2010</v>
      </c>
      <c r="C228" s="80">
        <v>12</v>
      </c>
      <c r="D228" s="80">
        <f t="shared" si="14"/>
        <v>2010</v>
      </c>
      <c r="E228" t="s">
        <v>38</v>
      </c>
      <c r="F228" t="s">
        <v>143</v>
      </c>
      <c r="G228" t="s">
        <v>86</v>
      </c>
      <c r="H228" s="72" t="s">
        <v>240</v>
      </c>
      <c r="I228" s="72" t="s">
        <v>93</v>
      </c>
      <c r="J228" t="str">
        <f t="shared" si="15"/>
        <v>Nooksack River, So. Fork</v>
      </c>
      <c r="K228" t="str">
        <f>IFERROR(VLOOKUP(J228,LUTs!$A$1:$C$73,2,FALSE),"NA")</f>
        <v>Whatcom</v>
      </c>
      <c r="L228" t="str">
        <f>IFERROR(VLOOKUP(J228,LUTs!$A$1:$C$73,3,FALSE),"NA")</f>
        <v>1North Puget Sound</v>
      </c>
      <c r="M228" s="72" t="s">
        <v>13</v>
      </c>
      <c r="N228" t="str">
        <f>VLOOKUP(M228,LUTs!E$2:H$14,3,)</f>
        <v>01Whatcom</v>
      </c>
      <c r="O228" t="str">
        <f>VLOOKUP(M228,LUTs!E$2:H$14,4,)</f>
        <v>01North Puget Sound</v>
      </c>
      <c r="P228" s="80">
        <v>9.6</v>
      </c>
      <c r="Q228" s="102">
        <v>9.6</v>
      </c>
      <c r="R228" s="74">
        <f>VLOOKUP(B228,Readme!A$40:C$52,3,)*Q228</f>
        <v>81.983999999999995</v>
      </c>
    </row>
    <row r="229" spans="1:18" ht="14.15" customHeight="1" x14ac:dyDescent="0.35">
      <c r="A229" s="75">
        <v>165</v>
      </c>
      <c r="B229" s="80">
        <v>2010</v>
      </c>
      <c r="C229" s="80">
        <v>12</v>
      </c>
      <c r="D229" s="80">
        <f t="shared" si="14"/>
        <v>2010</v>
      </c>
      <c r="E229" t="s">
        <v>38</v>
      </c>
      <c r="F229" t="s">
        <v>143</v>
      </c>
      <c r="G229" t="s">
        <v>86</v>
      </c>
      <c r="H229" s="72" t="s">
        <v>228</v>
      </c>
      <c r="I229" s="72" t="s">
        <v>70</v>
      </c>
      <c r="J229" t="str">
        <f t="shared" si="15"/>
        <v>Pilchuck River (Snohomish System)</v>
      </c>
      <c r="K229" t="str">
        <f>IFERROR(VLOOKUP(J229,LUTs!$A$1:$C$73,2,FALSE),"NA")</f>
        <v>Snohomish</v>
      </c>
      <c r="L229" t="str">
        <f>IFERROR(VLOOKUP(J229,LUTs!$A$1:$C$73,3,FALSE),"NA")</f>
        <v>2Central Puget Sound</v>
      </c>
      <c r="M229" s="72" t="s">
        <v>20</v>
      </c>
      <c r="N229" t="str">
        <f>VLOOKUP(M229,LUTs!E$2:H$14,3,)</f>
        <v>07Pierce</v>
      </c>
      <c r="O229" t="str">
        <f>VLOOKUP(M229,LUTs!E$2:H$14,4,)</f>
        <v>02South Puget Sound</v>
      </c>
      <c r="P229" s="80">
        <v>2.3333333333333299</v>
      </c>
      <c r="Q229" s="102">
        <v>2.3333333333333299</v>
      </c>
      <c r="R229" s="74">
        <f>VLOOKUP(B229,Readme!A$40:C$52,3,)*Q229</f>
        <v>19.926666666666634</v>
      </c>
    </row>
    <row r="230" spans="1:18" ht="14.15" customHeight="1" x14ac:dyDescent="0.35">
      <c r="A230" s="75">
        <v>166</v>
      </c>
      <c r="B230" s="80">
        <v>2010</v>
      </c>
      <c r="C230" s="80">
        <v>12</v>
      </c>
      <c r="D230" s="80">
        <f t="shared" si="14"/>
        <v>2010</v>
      </c>
      <c r="E230" t="s">
        <v>38</v>
      </c>
      <c r="F230" t="s">
        <v>143</v>
      </c>
      <c r="G230" t="s">
        <v>86</v>
      </c>
      <c r="H230" s="72" t="s">
        <v>228</v>
      </c>
      <c r="I230" s="72" t="s">
        <v>70</v>
      </c>
      <c r="J230" t="str">
        <f t="shared" si="15"/>
        <v>Pilchuck River (Snohomish System)</v>
      </c>
      <c r="K230" t="str">
        <f>IFERROR(VLOOKUP(J230,LUTs!$A$1:$C$73,2,FALSE),"NA")</f>
        <v>Snohomish</v>
      </c>
      <c r="L230" t="str">
        <f>IFERROR(VLOOKUP(J230,LUTs!$A$1:$C$73,3,FALSE),"NA")</f>
        <v>2Central Puget Sound</v>
      </c>
      <c r="M230" s="72" t="s">
        <v>16</v>
      </c>
      <c r="N230" t="str">
        <f>VLOOKUP(M230,LUTs!E$2:H$14,3,)</f>
        <v>03Snohomish</v>
      </c>
      <c r="O230" t="str">
        <f>VLOOKUP(M230,LUTs!E$2:H$14,4,)</f>
        <v>01North Puget Sound</v>
      </c>
      <c r="P230" s="80">
        <v>46.6666666666667</v>
      </c>
      <c r="Q230" s="102">
        <v>46.6666666666667</v>
      </c>
      <c r="R230" s="74">
        <f>VLOOKUP(B230,Readme!A$40:C$52,3,)*Q230</f>
        <v>398.53333333333359</v>
      </c>
    </row>
    <row r="231" spans="1:18" ht="14.15" customHeight="1" x14ac:dyDescent="0.35">
      <c r="A231" s="75">
        <v>98</v>
      </c>
      <c r="B231" s="80">
        <v>2010</v>
      </c>
      <c r="C231" s="80">
        <v>12</v>
      </c>
      <c r="D231" s="80">
        <f t="shared" si="14"/>
        <v>2010</v>
      </c>
      <c r="E231" t="s">
        <v>38</v>
      </c>
      <c r="F231" t="s">
        <v>143</v>
      </c>
      <c r="G231" t="s">
        <v>86</v>
      </c>
      <c r="H231" s="72" t="s">
        <v>212</v>
      </c>
      <c r="I231" s="72" t="s">
        <v>54</v>
      </c>
      <c r="J231" t="str">
        <f t="shared" si="15"/>
        <v>Puyallup River</v>
      </c>
      <c r="K231" t="str">
        <f>IFERROR(VLOOKUP(J231,LUTs!$A$1:$C$73,2,FALSE),"NA")</f>
        <v>Pierce</v>
      </c>
      <c r="L231" t="str">
        <f>IFERROR(VLOOKUP(J231,LUTs!$A$1:$C$73,3,FALSE),"NA")</f>
        <v>3South Puget Sound</v>
      </c>
      <c r="M231" s="72" t="s">
        <v>20</v>
      </c>
      <c r="N231" t="str">
        <f>VLOOKUP(M231,LUTs!E$2:H$14,3,)</f>
        <v>07Pierce</v>
      </c>
      <c r="O231" t="str">
        <f>VLOOKUP(M231,LUTs!E$2:H$14,4,)</f>
        <v>02South Puget Sound</v>
      </c>
      <c r="P231" s="80">
        <v>5</v>
      </c>
      <c r="Q231" s="102">
        <v>5</v>
      </c>
      <c r="R231" s="74">
        <f>VLOOKUP(B231,Readme!A$40:C$52,3,)*Q231</f>
        <v>42.699999999999996</v>
      </c>
    </row>
    <row r="232" spans="1:18" ht="14.15" customHeight="1" x14ac:dyDescent="0.35">
      <c r="A232" s="75">
        <v>101</v>
      </c>
      <c r="B232" s="80">
        <v>2010</v>
      </c>
      <c r="C232" s="80">
        <v>12</v>
      </c>
      <c r="D232" s="80">
        <f t="shared" si="14"/>
        <v>2010</v>
      </c>
      <c r="E232" t="s">
        <v>38</v>
      </c>
      <c r="F232" t="s">
        <v>143</v>
      </c>
      <c r="G232" t="s">
        <v>86</v>
      </c>
      <c r="H232" s="72" t="s">
        <v>227</v>
      </c>
      <c r="I232" s="72" t="s">
        <v>69</v>
      </c>
      <c r="J232" t="str">
        <f t="shared" si="15"/>
        <v>Pysht River</v>
      </c>
      <c r="K232" t="str">
        <f>IFERROR(VLOOKUP(J232,LUTs!$A$1:$C$73,2,FALSE),"NA")</f>
        <v>Clallam</v>
      </c>
      <c r="L232" t="str">
        <f>IFERROR(VLOOKUP(J232,LUTs!$A$1:$C$73,3,FALSE),"NA")</f>
        <v>0Strait of Juan de Fuca</v>
      </c>
      <c r="M232" s="72" t="s">
        <v>24</v>
      </c>
      <c r="N232" t="str">
        <f>VLOOKUP(M232,LUTs!E$2:H$14,3,)</f>
        <v>11Clallam</v>
      </c>
      <c r="O232" t="str">
        <f>VLOOKUP(M232,LUTs!E$2:H$14,4,)</f>
        <v>03Strait of Juan de Fuca</v>
      </c>
      <c r="P232" s="80">
        <v>9.6</v>
      </c>
      <c r="Q232" s="102">
        <v>9.6</v>
      </c>
      <c r="R232" s="74">
        <f>VLOOKUP(B232,Readme!A$40:C$52,3,)*Q232</f>
        <v>81.983999999999995</v>
      </c>
    </row>
    <row r="233" spans="1:18" ht="14.15" customHeight="1" x14ac:dyDescent="0.35">
      <c r="A233" s="75">
        <v>102</v>
      </c>
      <c r="B233" s="80">
        <v>2010</v>
      </c>
      <c r="C233" s="80">
        <v>12</v>
      </c>
      <c r="D233" s="80">
        <f t="shared" si="14"/>
        <v>2010</v>
      </c>
      <c r="E233" t="s">
        <v>38</v>
      </c>
      <c r="F233" t="s">
        <v>143</v>
      </c>
      <c r="G233" t="s">
        <v>86</v>
      </c>
      <c r="H233" s="72" t="s">
        <v>227</v>
      </c>
      <c r="I233" s="72" t="s">
        <v>69</v>
      </c>
      <c r="J233" t="str">
        <f t="shared" si="15"/>
        <v>Pysht River</v>
      </c>
      <c r="K233" t="str">
        <f>IFERROR(VLOOKUP(J233,LUTs!$A$1:$C$73,2,FALSE),"NA")</f>
        <v>Clallam</v>
      </c>
      <c r="L233" t="str">
        <f>IFERROR(VLOOKUP(J233,LUTs!$A$1:$C$73,3,FALSE),"NA")</f>
        <v>0Strait of Juan de Fuca</v>
      </c>
      <c r="M233" s="72" t="s">
        <v>17</v>
      </c>
      <c r="N233" t="str">
        <f>VLOOKUP(M233,LUTs!E$2:H$14,3,)</f>
        <v>04Island</v>
      </c>
      <c r="O233" t="str">
        <f>VLOOKUP(M233,LUTs!E$2:H$14,4,)</f>
        <v>01North Puget Sound</v>
      </c>
      <c r="P233" s="80">
        <v>2.4</v>
      </c>
      <c r="Q233" s="102">
        <v>2.4</v>
      </c>
      <c r="R233" s="74">
        <f>VLOOKUP(B233,Readme!A$40:C$52,3,)*Q233</f>
        <v>20.495999999999999</v>
      </c>
    </row>
    <row r="234" spans="1:18" ht="14.15" customHeight="1" x14ac:dyDescent="0.35">
      <c r="A234" s="75">
        <v>175</v>
      </c>
      <c r="B234" s="80">
        <v>2010</v>
      </c>
      <c r="C234" s="80">
        <v>12</v>
      </c>
      <c r="D234" s="80">
        <f t="shared" si="14"/>
        <v>2010</v>
      </c>
      <c r="E234" t="s">
        <v>38</v>
      </c>
      <c r="F234" t="s">
        <v>143</v>
      </c>
      <c r="G234" t="s">
        <v>86</v>
      </c>
      <c r="H234" s="72" t="s">
        <v>246</v>
      </c>
      <c r="I234" s="72" t="s">
        <v>97</v>
      </c>
      <c r="J234" t="str">
        <f t="shared" si="15"/>
        <v>Raging River</v>
      </c>
      <c r="K234" t="str">
        <f>IFERROR(VLOOKUP(J234,LUTs!$A$1:$C$73,2,FALSE),"NA")</f>
        <v>King</v>
      </c>
      <c r="L234" t="str">
        <f>IFERROR(VLOOKUP(J234,LUTs!$A$1:$C$73,3,FALSE),"NA")</f>
        <v>2Central Puget Sound</v>
      </c>
      <c r="M234" s="72" t="s">
        <v>18</v>
      </c>
      <c r="N234" t="str">
        <f>VLOOKUP(M234,LUTs!E$2:H$14,3,)</f>
        <v>06King</v>
      </c>
      <c r="O234" t="str">
        <f>VLOOKUP(M234,LUTs!E$2:H$14,4,)</f>
        <v>02South Puget Sound</v>
      </c>
      <c r="P234" s="80">
        <v>9.6</v>
      </c>
      <c r="Q234" s="102">
        <v>9.6</v>
      </c>
      <c r="R234" s="74">
        <f>VLOOKUP(B234,Readme!A$40:C$52,3,)*Q234</f>
        <v>81.983999999999995</v>
      </c>
    </row>
    <row r="235" spans="1:18" ht="14.15" customHeight="1" x14ac:dyDescent="0.35">
      <c r="A235" s="75">
        <v>176</v>
      </c>
      <c r="B235" s="80">
        <v>2010</v>
      </c>
      <c r="C235" s="80">
        <v>12</v>
      </c>
      <c r="D235" s="80">
        <f t="shared" si="14"/>
        <v>2010</v>
      </c>
      <c r="E235" t="s">
        <v>38</v>
      </c>
      <c r="F235" t="s">
        <v>143</v>
      </c>
      <c r="G235" t="s">
        <v>86</v>
      </c>
      <c r="H235" s="72" t="s">
        <v>246</v>
      </c>
      <c r="I235" s="72" t="s">
        <v>97</v>
      </c>
      <c r="J235" t="str">
        <f t="shared" si="15"/>
        <v>Raging River</v>
      </c>
      <c r="K235" t="str">
        <f>IFERROR(VLOOKUP(J235,LUTs!$A$1:$C$73,2,FALSE),"NA")</f>
        <v>King</v>
      </c>
      <c r="L235" t="str">
        <f>IFERROR(VLOOKUP(J235,LUTs!$A$1:$C$73,3,FALSE),"NA")</f>
        <v>2Central Puget Sound</v>
      </c>
      <c r="M235" s="72" t="s">
        <v>20</v>
      </c>
      <c r="N235" t="str">
        <f>VLOOKUP(M235,LUTs!E$2:H$14,3,)</f>
        <v>07Pierce</v>
      </c>
      <c r="O235" t="str">
        <f>VLOOKUP(M235,LUTs!E$2:H$14,4,)</f>
        <v>02South Puget Sound</v>
      </c>
      <c r="P235" s="80">
        <v>2.4</v>
      </c>
      <c r="Q235" s="102">
        <v>2.4</v>
      </c>
      <c r="R235" s="74">
        <f>VLOOKUP(B235,Readme!A$40:C$52,3,)*Q235</f>
        <v>20.495999999999999</v>
      </c>
    </row>
    <row r="236" spans="1:18" ht="14.15" customHeight="1" x14ac:dyDescent="0.35">
      <c r="A236" s="75">
        <v>106</v>
      </c>
      <c r="B236" s="80">
        <v>2010</v>
      </c>
      <c r="C236" s="80">
        <v>12</v>
      </c>
      <c r="D236" s="80">
        <f t="shared" si="14"/>
        <v>2010</v>
      </c>
      <c r="E236" t="s">
        <v>38</v>
      </c>
      <c r="F236" t="s">
        <v>143</v>
      </c>
      <c r="G236" t="s">
        <v>86</v>
      </c>
      <c r="H236" s="72" t="s">
        <v>244</v>
      </c>
      <c r="I236" s="72" t="s">
        <v>95</v>
      </c>
      <c r="J236" t="str">
        <f t="shared" si="15"/>
        <v>Sekiu River</v>
      </c>
      <c r="K236" t="str">
        <f>IFERROR(VLOOKUP(J236,LUTs!$A$1:$C$73,2,FALSE),"NA")</f>
        <v>Clallam</v>
      </c>
      <c r="L236" t="str">
        <f>IFERROR(VLOOKUP(J236,LUTs!$A$1:$C$73,3,FALSE),"NA")</f>
        <v>0Strait of Juan de Fuca</v>
      </c>
      <c r="M236" s="72" t="s">
        <v>24</v>
      </c>
      <c r="N236" t="str">
        <f>VLOOKUP(M236,LUTs!E$2:H$14,3,)</f>
        <v>11Clallam</v>
      </c>
      <c r="O236" t="str">
        <f>VLOOKUP(M236,LUTs!E$2:H$14,4,)</f>
        <v>03Strait of Juan de Fuca</v>
      </c>
      <c r="P236" s="80">
        <v>14</v>
      </c>
      <c r="Q236" s="102">
        <v>14</v>
      </c>
      <c r="R236" s="74">
        <f>VLOOKUP(B236,Readme!A$40:C$52,3,)*Q236</f>
        <v>119.55999999999999</v>
      </c>
    </row>
    <row r="237" spans="1:18" ht="14.15" customHeight="1" x14ac:dyDescent="0.35">
      <c r="A237" s="75">
        <v>157</v>
      </c>
      <c r="B237" s="80">
        <v>2010</v>
      </c>
      <c r="C237" s="80">
        <v>12</v>
      </c>
      <c r="D237" s="80">
        <f t="shared" si="14"/>
        <v>2010</v>
      </c>
      <c r="E237" t="s">
        <v>38</v>
      </c>
      <c r="F237" t="s">
        <v>143</v>
      </c>
      <c r="G237" t="s">
        <v>86</v>
      </c>
      <c r="H237" s="72" t="s">
        <v>218</v>
      </c>
      <c r="I237" s="72" t="s">
        <v>60</v>
      </c>
      <c r="J237" t="str">
        <f t="shared" si="15"/>
        <v>Skagit River</v>
      </c>
      <c r="K237" t="str">
        <f>IFERROR(VLOOKUP(J237,LUTs!$A$1:$C$73,2,FALSE),"NA")</f>
        <v>Skagit/Whatcom</v>
      </c>
      <c r="L237" t="str">
        <f>IFERROR(VLOOKUP(J237,LUTs!$A$1:$C$73,3,FALSE),"NA")</f>
        <v>2Central Puget Sound</v>
      </c>
      <c r="M237" s="72" t="s">
        <v>18</v>
      </c>
      <c r="N237" t="str">
        <f>VLOOKUP(M237,LUTs!E$2:H$14,3,)</f>
        <v>06King</v>
      </c>
      <c r="O237" t="str">
        <f>VLOOKUP(M237,LUTs!E$2:H$14,4,)</f>
        <v>02South Puget Sound</v>
      </c>
      <c r="P237" s="80">
        <v>5.5714285714285703</v>
      </c>
      <c r="Q237" s="102">
        <v>5.5714285714285703</v>
      </c>
      <c r="R237" s="74">
        <f>VLOOKUP(B237,Readme!A$40:C$52,3,)*Q237</f>
        <v>47.579999999999984</v>
      </c>
    </row>
    <row r="238" spans="1:18" ht="14.15" customHeight="1" x14ac:dyDescent="0.35">
      <c r="A238" s="75">
        <v>158</v>
      </c>
      <c r="B238" s="80">
        <v>2010</v>
      </c>
      <c r="C238" s="80">
        <v>12</v>
      </c>
      <c r="D238" s="80">
        <f t="shared" si="14"/>
        <v>2010</v>
      </c>
      <c r="E238" t="s">
        <v>38</v>
      </c>
      <c r="F238" t="s">
        <v>143</v>
      </c>
      <c r="G238" t="s">
        <v>86</v>
      </c>
      <c r="H238" s="72" t="s">
        <v>218</v>
      </c>
      <c r="I238" s="72" t="s">
        <v>60</v>
      </c>
      <c r="J238" t="str">
        <f t="shared" si="15"/>
        <v>Skagit River</v>
      </c>
      <c r="K238" t="str">
        <f>IFERROR(VLOOKUP(J238,LUTs!$A$1:$C$73,2,FALSE),"NA")</f>
        <v>Skagit/Whatcom</v>
      </c>
      <c r="L238" t="str">
        <f>IFERROR(VLOOKUP(J238,LUTs!$A$1:$C$73,3,FALSE),"NA")</f>
        <v>2Central Puget Sound</v>
      </c>
      <c r="M238" s="72" t="s">
        <v>26</v>
      </c>
      <c r="N238" t="str">
        <f>VLOOKUP(M238,LUTs!E$2:H$14,3,)</f>
        <v>20Other</v>
      </c>
      <c r="O238" t="str">
        <f>VLOOKUP(M238,LUTs!E$2:H$14,4,)</f>
        <v>07Non Puget Sound</v>
      </c>
      <c r="P238" s="80">
        <v>5.5714285714285703</v>
      </c>
      <c r="Q238" s="102">
        <v>5.5714285714285703</v>
      </c>
      <c r="R238" s="74">
        <f>VLOOKUP(B238,Readme!A$40:C$52,3,)*Q238</f>
        <v>47.579999999999984</v>
      </c>
    </row>
    <row r="239" spans="1:18" ht="14.15" customHeight="1" x14ac:dyDescent="0.35">
      <c r="A239" s="75">
        <v>159</v>
      </c>
      <c r="B239" s="80">
        <v>2010</v>
      </c>
      <c r="C239" s="80">
        <v>12</v>
      </c>
      <c r="D239" s="80">
        <f t="shared" si="14"/>
        <v>2010</v>
      </c>
      <c r="E239" t="s">
        <v>38</v>
      </c>
      <c r="F239" t="s">
        <v>143</v>
      </c>
      <c r="G239" t="s">
        <v>86</v>
      </c>
      <c r="H239" s="72" t="s">
        <v>218</v>
      </c>
      <c r="I239" s="72" t="s">
        <v>60</v>
      </c>
      <c r="J239" t="str">
        <f t="shared" si="15"/>
        <v>Skagit River</v>
      </c>
      <c r="K239" t="str">
        <f>IFERROR(VLOOKUP(J239,LUTs!$A$1:$C$73,2,FALSE),"NA")</f>
        <v>Skagit/Whatcom</v>
      </c>
      <c r="L239" t="str">
        <f>IFERROR(VLOOKUP(J239,LUTs!$A$1:$C$73,3,FALSE),"NA")</f>
        <v>2Central Puget Sound</v>
      </c>
      <c r="M239" s="72" t="s">
        <v>15</v>
      </c>
      <c r="N239" t="str">
        <f>VLOOKUP(M239,LUTs!E$2:H$14,3,)</f>
        <v>02Skagit</v>
      </c>
      <c r="O239" t="str">
        <f>VLOOKUP(M239,LUTs!E$2:H$14,4,)</f>
        <v>01North Puget Sound</v>
      </c>
      <c r="P239" s="80">
        <v>16.714285714285701</v>
      </c>
      <c r="Q239" s="102">
        <v>16.714285714285701</v>
      </c>
      <c r="R239" s="74">
        <f>VLOOKUP(B239,Readme!A$40:C$52,3,)*Q239</f>
        <v>142.73999999999987</v>
      </c>
    </row>
    <row r="240" spans="1:18" ht="14.15" customHeight="1" x14ac:dyDescent="0.35">
      <c r="A240" s="75">
        <v>160</v>
      </c>
      <c r="B240" s="80">
        <v>2010</v>
      </c>
      <c r="C240" s="80">
        <v>12</v>
      </c>
      <c r="D240" s="80">
        <f t="shared" si="14"/>
        <v>2010</v>
      </c>
      <c r="E240" t="s">
        <v>38</v>
      </c>
      <c r="F240" t="s">
        <v>143</v>
      </c>
      <c r="G240" t="s">
        <v>86</v>
      </c>
      <c r="H240" s="72" t="s">
        <v>218</v>
      </c>
      <c r="I240" s="72" t="s">
        <v>60</v>
      </c>
      <c r="J240" t="str">
        <f t="shared" si="15"/>
        <v>Skagit River</v>
      </c>
      <c r="K240" t="str">
        <f>IFERROR(VLOOKUP(J240,LUTs!$A$1:$C$73,2,FALSE),"NA")</f>
        <v>Skagit/Whatcom</v>
      </c>
      <c r="L240" t="str">
        <f>IFERROR(VLOOKUP(J240,LUTs!$A$1:$C$73,3,FALSE),"NA")</f>
        <v>2Central Puget Sound</v>
      </c>
      <c r="M240" s="72" t="s">
        <v>16</v>
      </c>
      <c r="N240" t="str">
        <f>VLOOKUP(M240,LUTs!E$2:H$14,3,)</f>
        <v>03Snohomish</v>
      </c>
      <c r="O240" t="str">
        <f>VLOOKUP(M240,LUTs!E$2:H$14,4,)</f>
        <v>01North Puget Sound</v>
      </c>
      <c r="P240" s="80">
        <v>11.1428571428571</v>
      </c>
      <c r="Q240" s="102">
        <v>11.1428571428571</v>
      </c>
      <c r="R240" s="74">
        <f>VLOOKUP(B240,Readme!A$40:C$52,3,)*Q240</f>
        <v>95.159999999999627</v>
      </c>
    </row>
    <row r="241" spans="1:18" ht="14.15" customHeight="1" x14ac:dyDescent="0.35">
      <c r="A241" s="75">
        <v>203</v>
      </c>
      <c r="B241" s="80">
        <v>2010</v>
      </c>
      <c r="C241" s="80">
        <v>12</v>
      </c>
      <c r="D241" s="80">
        <f t="shared" si="14"/>
        <v>2010</v>
      </c>
      <c r="E241" t="s">
        <v>38</v>
      </c>
      <c r="F241" t="s">
        <v>143</v>
      </c>
      <c r="G241" t="s">
        <v>86</v>
      </c>
      <c r="H241" s="72" t="s">
        <v>220</v>
      </c>
      <c r="I241" s="72" t="s">
        <v>62</v>
      </c>
      <c r="J241" t="str">
        <f t="shared" si="15"/>
        <v>Skykomish River</v>
      </c>
      <c r="K241" t="str">
        <f>IFERROR(VLOOKUP(J241,LUTs!$A$1:$C$73,2,FALSE),"NA")</f>
        <v>Snohomish</v>
      </c>
      <c r="L241" t="str">
        <f>IFERROR(VLOOKUP(J241,LUTs!$A$1:$C$73,3,FALSE),"NA")</f>
        <v>2Central Puget Sound</v>
      </c>
      <c r="M241" s="72" t="s">
        <v>17</v>
      </c>
      <c r="N241" t="str">
        <f>VLOOKUP(M241,LUTs!E$2:H$14,3,)</f>
        <v>04Island</v>
      </c>
      <c r="O241" t="str">
        <f>VLOOKUP(M241,LUTs!E$2:H$14,4,)</f>
        <v>01North Puget Sound</v>
      </c>
      <c r="P241" s="80">
        <v>2.2971576227390198</v>
      </c>
      <c r="Q241" s="102">
        <v>2.2971576227390198</v>
      </c>
      <c r="R241" s="74">
        <f>VLOOKUP(B241,Readme!A$40:C$52,3,)*Q241</f>
        <v>19.617726098191227</v>
      </c>
    </row>
    <row r="242" spans="1:18" ht="14.15" customHeight="1" x14ac:dyDescent="0.35">
      <c r="A242" s="75">
        <v>204</v>
      </c>
      <c r="B242" s="80">
        <v>2010</v>
      </c>
      <c r="C242" s="80">
        <v>12</v>
      </c>
      <c r="D242" s="80">
        <f t="shared" si="14"/>
        <v>2010</v>
      </c>
      <c r="E242" t="s">
        <v>38</v>
      </c>
      <c r="F242" t="s">
        <v>143</v>
      </c>
      <c r="G242" t="s">
        <v>86</v>
      </c>
      <c r="H242" s="72" t="s">
        <v>220</v>
      </c>
      <c r="I242" s="72" t="s">
        <v>62</v>
      </c>
      <c r="J242" t="str">
        <f t="shared" si="15"/>
        <v>Skykomish River</v>
      </c>
      <c r="K242" t="str">
        <f>IFERROR(VLOOKUP(J242,LUTs!$A$1:$C$73,2,FALSE),"NA")</f>
        <v>Snohomish</v>
      </c>
      <c r="L242" t="str">
        <f>IFERROR(VLOOKUP(J242,LUTs!$A$1:$C$73,3,FALSE),"NA")</f>
        <v>2Central Puget Sound</v>
      </c>
      <c r="M242" s="72" t="s">
        <v>18</v>
      </c>
      <c r="N242" t="str">
        <f>VLOOKUP(M242,LUTs!E$2:H$14,3,)</f>
        <v>06King</v>
      </c>
      <c r="O242" t="str">
        <f>VLOOKUP(M242,LUTs!E$2:H$14,4,)</f>
        <v>02South Puget Sound</v>
      </c>
      <c r="P242" s="80">
        <v>280.25322997415998</v>
      </c>
      <c r="Q242" s="102">
        <v>280.25322997415998</v>
      </c>
      <c r="R242" s="74">
        <f>VLOOKUP(B242,Readme!A$40:C$52,3,)*Q242</f>
        <v>2393.3625839793258</v>
      </c>
    </row>
    <row r="243" spans="1:18" ht="14.15" customHeight="1" x14ac:dyDescent="0.35">
      <c r="A243" s="75">
        <v>205</v>
      </c>
      <c r="B243" s="80">
        <v>2010</v>
      </c>
      <c r="C243" s="80">
        <v>12</v>
      </c>
      <c r="D243" s="80">
        <f t="shared" si="14"/>
        <v>2010</v>
      </c>
      <c r="E243" t="s">
        <v>38</v>
      </c>
      <c r="F243" t="s">
        <v>143</v>
      </c>
      <c r="G243" t="s">
        <v>86</v>
      </c>
      <c r="H243" s="72" t="s">
        <v>220</v>
      </c>
      <c r="I243" s="72" t="s">
        <v>62</v>
      </c>
      <c r="J243" t="str">
        <f t="shared" si="15"/>
        <v>Skykomish River</v>
      </c>
      <c r="K243" t="str">
        <f>IFERROR(VLOOKUP(J243,LUTs!$A$1:$C$73,2,FALSE),"NA")</f>
        <v>Snohomish</v>
      </c>
      <c r="L243" t="str">
        <f>IFERROR(VLOOKUP(J243,LUTs!$A$1:$C$73,3,FALSE),"NA")</f>
        <v>2Central Puget Sound</v>
      </c>
      <c r="M243" s="72" t="s">
        <v>26</v>
      </c>
      <c r="N243" t="str">
        <f>VLOOKUP(M243,LUTs!E$2:H$14,3,)</f>
        <v>20Other</v>
      </c>
      <c r="O243" t="str">
        <f>VLOOKUP(M243,LUTs!E$2:H$14,4,)</f>
        <v>07Non Puget Sound</v>
      </c>
      <c r="P243" s="80">
        <v>2.2971576227390198</v>
      </c>
      <c r="Q243" s="102">
        <v>2.2971576227390198</v>
      </c>
      <c r="R243" s="74">
        <f>VLOOKUP(B243,Readme!A$40:C$52,3,)*Q243</f>
        <v>19.617726098191227</v>
      </c>
    </row>
    <row r="244" spans="1:18" ht="14.15" customHeight="1" x14ac:dyDescent="0.35">
      <c r="A244" s="75">
        <v>206</v>
      </c>
      <c r="B244" s="80">
        <v>2010</v>
      </c>
      <c r="C244" s="80">
        <v>12</v>
      </c>
      <c r="D244" s="80">
        <f t="shared" si="14"/>
        <v>2010</v>
      </c>
      <c r="E244" t="s">
        <v>38</v>
      </c>
      <c r="F244" t="s">
        <v>143</v>
      </c>
      <c r="G244" t="s">
        <v>86</v>
      </c>
      <c r="H244" s="72" t="s">
        <v>220</v>
      </c>
      <c r="I244" s="72" t="s">
        <v>62</v>
      </c>
      <c r="J244" t="str">
        <f t="shared" si="15"/>
        <v>Skykomish River</v>
      </c>
      <c r="K244" t="str">
        <f>IFERROR(VLOOKUP(J244,LUTs!$A$1:$C$73,2,FALSE),"NA")</f>
        <v>Snohomish</v>
      </c>
      <c r="L244" t="str">
        <f>IFERROR(VLOOKUP(J244,LUTs!$A$1:$C$73,3,FALSE),"NA")</f>
        <v>2Central Puget Sound</v>
      </c>
      <c r="M244" s="72" t="s">
        <v>20</v>
      </c>
      <c r="N244" t="str">
        <f>VLOOKUP(M244,LUTs!E$2:H$14,3,)</f>
        <v>07Pierce</v>
      </c>
      <c r="O244" t="str">
        <f>VLOOKUP(M244,LUTs!E$2:H$14,4,)</f>
        <v>02South Puget Sound</v>
      </c>
      <c r="P244" s="80">
        <v>4.5943152454780396</v>
      </c>
      <c r="Q244" s="102">
        <v>4.5943152454780396</v>
      </c>
      <c r="R244" s="74">
        <f>VLOOKUP(B244,Readme!A$40:C$52,3,)*Q244</f>
        <v>39.235452196382454</v>
      </c>
    </row>
    <row r="245" spans="1:18" ht="14.15" customHeight="1" x14ac:dyDescent="0.35">
      <c r="A245" s="75">
        <v>207</v>
      </c>
      <c r="B245" s="80">
        <v>2010</v>
      </c>
      <c r="C245" s="80">
        <v>12</v>
      </c>
      <c r="D245" s="80">
        <f t="shared" si="14"/>
        <v>2010</v>
      </c>
      <c r="E245" t="s">
        <v>38</v>
      </c>
      <c r="F245" t="s">
        <v>143</v>
      </c>
      <c r="G245" t="s">
        <v>86</v>
      </c>
      <c r="H245" s="72" t="s">
        <v>220</v>
      </c>
      <c r="I245" s="72" t="s">
        <v>62</v>
      </c>
      <c r="J245" t="str">
        <f t="shared" ref="J245:J276" si="16">I245</f>
        <v>Skykomish River</v>
      </c>
      <c r="K245" t="str">
        <f>IFERROR(VLOOKUP(J245,LUTs!$A$1:$C$73,2,FALSE),"NA")</f>
        <v>Snohomish</v>
      </c>
      <c r="L245" t="str">
        <f>IFERROR(VLOOKUP(J245,LUTs!$A$1:$C$73,3,FALSE),"NA")</f>
        <v>2Central Puget Sound</v>
      </c>
      <c r="M245" s="72" t="s">
        <v>15</v>
      </c>
      <c r="N245" t="str">
        <f>VLOOKUP(M245,LUTs!E$2:H$14,3,)</f>
        <v>02Skagit</v>
      </c>
      <c r="O245" t="str">
        <f>VLOOKUP(M245,LUTs!E$2:H$14,4,)</f>
        <v>01North Puget Sound</v>
      </c>
      <c r="P245" s="80">
        <v>6.8914728682170603</v>
      </c>
      <c r="Q245" s="102">
        <v>6.8914728682170603</v>
      </c>
      <c r="R245" s="74">
        <f>VLOOKUP(B245,Readme!A$40:C$52,3,)*Q245</f>
        <v>58.853178294573688</v>
      </c>
    </row>
    <row r="246" spans="1:18" ht="14.15" customHeight="1" x14ac:dyDescent="0.35">
      <c r="A246" s="75">
        <v>208</v>
      </c>
      <c r="B246" s="80">
        <v>2010</v>
      </c>
      <c r="C246" s="80">
        <v>12</v>
      </c>
      <c r="D246" s="80">
        <f t="shared" si="14"/>
        <v>2010</v>
      </c>
      <c r="E246" t="s">
        <v>38</v>
      </c>
      <c r="F246" t="s">
        <v>143</v>
      </c>
      <c r="G246" t="s">
        <v>86</v>
      </c>
      <c r="H246" s="72" t="s">
        <v>220</v>
      </c>
      <c r="I246" s="72" t="s">
        <v>62</v>
      </c>
      <c r="J246" t="str">
        <f t="shared" si="16"/>
        <v>Skykomish River</v>
      </c>
      <c r="K246" t="str">
        <f>IFERROR(VLOOKUP(J246,LUTs!$A$1:$C$73,2,FALSE),"NA")</f>
        <v>Snohomish</v>
      </c>
      <c r="L246" t="str">
        <f>IFERROR(VLOOKUP(J246,LUTs!$A$1:$C$73,3,FALSE),"NA")</f>
        <v>2Central Puget Sound</v>
      </c>
      <c r="M246" s="72" t="s">
        <v>16</v>
      </c>
      <c r="N246" t="str">
        <f>VLOOKUP(M246,LUTs!E$2:H$14,3,)</f>
        <v>03Snohomish</v>
      </c>
      <c r="O246" t="str">
        <f>VLOOKUP(M246,LUTs!E$2:H$14,4,)</f>
        <v>01North Puget Sound</v>
      </c>
      <c r="P246" s="80">
        <v>592.66666666666697</v>
      </c>
      <c r="Q246" s="102">
        <v>592.66666666666697</v>
      </c>
      <c r="R246" s="74">
        <f>VLOOKUP(B246,Readme!A$40:C$52,3,)*Q246</f>
        <v>5061.3733333333357</v>
      </c>
    </row>
    <row r="247" spans="1:18" ht="14.15" customHeight="1" x14ac:dyDescent="0.35">
      <c r="A247" s="75">
        <v>228</v>
      </c>
      <c r="B247" s="80">
        <v>2010</v>
      </c>
      <c r="C247" s="80">
        <v>12</v>
      </c>
      <c r="D247" s="80">
        <f t="shared" si="14"/>
        <v>2010</v>
      </c>
      <c r="E247" t="s">
        <v>38</v>
      </c>
      <c r="F247" t="s">
        <v>143</v>
      </c>
      <c r="G247" t="s">
        <v>86</v>
      </c>
      <c r="H247" s="72" t="s">
        <v>247</v>
      </c>
      <c r="I247" s="72" t="s">
        <v>98</v>
      </c>
      <c r="J247" t="str">
        <f t="shared" si="16"/>
        <v>Skykomish River, No. Fork</v>
      </c>
      <c r="K247" t="str">
        <f>IFERROR(VLOOKUP(J247,LUTs!$A$1:$C$73,2,FALSE),"NA")</f>
        <v>Snohomish</v>
      </c>
      <c r="L247" t="str">
        <f>IFERROR(VLOOKUP(J247,LUTs!$A$1:$C$73,3,FALSE),"NA")</f>
        <v>2Central Puget Sound</v>
      </c>
      <c r="M247" s="72" t="s">
        <v>18</v>
      </c>
      <c r="N247" t="str">
        <f>VLOOKUP(M247,LUTs!E$2:H$14,3,)</f>
        <v>06King</v>
      </c>
      <c r="O247" t="str">
        <f>VLOOKUP(M247,LUTs!E$2:H$14,4,)</f>
        <v>02South Puget Sound</v>
      </c>
      <c r="P247" s="80">
        <v>2.375</v>
      </c>
      <c r="Q247" s="102">
        <v>2.375</v>
      </c>
      <c r="R247" s="74">
        <f>VLOOKUP(B247,Readme!A$40:C$52,3,)*Q247</f>
        <v>20.282499999999999</v>
      </c>
    </row>
    <row r="248" spans="1:18" ht="14.15" customHeight="1" x14ac:dyDescent="0.35">
      <c r="A248" s="75">
        <v>229</v>
      </c>
      <c r="B248" s="80">
        <v>2010</v>
      </c>
      <c r="C248" s="80">
        <v>12</v>
      </c>
      <c r="D248" s="80">
        <f t="shared" si="14"/>
        <v>2010</v>
      </c>
      <c r="E248" t="s">
        <v>38</v>
      </c>
      <c r="F248" t="s">
        <v>143</v>
      </c>
      <c r="G248" t="s">
        <v>86</v>
      </c>
      <c r="H248" s="72" t="s">
        <v>247</v>
      </c>
      <c r="I248" s="72" t="s">
        <v>98</v>
      </c>
      <c r="J248" t="str">
        <f t="shared" si="16"/>
        <v>Skykomish River, No. Fork</v>
      </c>
      <c r="K248" t="str">
        <f>IFERROR(VLOOKUP(J248,LUTs!$A$1:$C$73,2,FALSE),"NA")</f>
        <v>Snohomish</v>
      </c>
      <c r="L248" t="str">
        <f>IFERROR(VLOOKUP(J248,LUTs!$A$1:$C$73,3,FALSE),"NA")</f>
        <v>2Central Puget Sound</v>
      </c>
      <c r="M248" s="72" t="s">
        <v>26</v>
      </c>
      <c r="N248" t="str">
        <f>VLOOKUP(M248,LUTs!E$2:H$14,3,)</f>
        <v>20Other</v>
      </c>
      <c r="O248" t="str">
        <f>VLOOKUP(M248,LUTs!E$2:H$14,4,)</f>
        <v>07Non Puget Sound</v>
      </c>
      <c r="P248" s="80">
        <v>2.375</v>
      </c>
      <c r="Q248" s="102">
        <v>2.375</v>
      </c>
      <c r="R248" s="74">
        <f>VLOOKUP(B248,Readme!A$40:C$52,3,)*Q248</f>
        <v>20.282499999999999</v>
      </c>
    </row>
    <row r="249" spans="1:18" ht="14.15" customHeight="1" x14ac:dyDescent="0.35">
      <c r="A249" s="75">
        <v>230</v>
      </c>
      <c r="B249" s="80">
        <v>2010</v>
      </c>
      <c r="C249" s="80">
        <v>12</v>
      </c>
      <c r="D249" s="80">
        <f t="shared" si="14"/>
        <v>2010</v>
      </c>
      <c r="E249" t="s">
        <v>38</v>
      </c>
      <c r="F249" t="s">
        <v>143</v>
      </c>
      <c r="G249" t="s">
        <v>86</v>
      </c>
      <c r="H249" s="72" t="s">
        <v>247</v>
      </c>
      <c r="I249" s="72" t="s">
        <v>98</v>
      </c>
      <c r="J249" t="str">
        <f t="shared" si="16"/>
        <v>Skykomish River, No. Fork</v>
      </c>
      <c r="K249" t="str">
        <f>IFERROR(VLOOKUP(J249,LUTs!$A$1:$C$73,2,FALSE),"NA")</f>
        <v>Snohomish</v>
      </c>
      <c r="L249" t="str">
        <f>IFERROR(VLOOKUP(J249,LUTs!$A$1:$C$73,3,FALSE),"NA")</f>
        <v>2Central Puget Sound</v>
      </c>
      <c r="M249" s="72" t="s">
        <v>16</v>
      </c>
      <c r="N249" t="str">
        <f>VLOOKUP(M249,LUTs!E$2:H$14,3,)</f>
        <v>03Snohomish</v>
      </c>
      <c r="O249" t="str">
        <f>VLOOKUP(M249,LUTs!E$2:H$14,4,)</f>
        <v>01North Puget Sound</v>
      </c>
      <c r="P249" s="80">
        <v>14.25</v>
      </c>
      <c r="Q249" s="102">
        <v>14.25</v>
      </c>
      <c r="R249" s="74">
        <f>VLOOKUP(B249,Readme!A$40:C$52,3,)*Q249</f>
        <v>121.69499999999999</v>
      </c>
    </row>
    <row r="250" spans="1:18" ht="14.15" customHeight="1" x14ac:dyDescent="0.35">
      <c r="A250" s="75">
        <v>237</v>
      </c>
      <c r="B250" s="80">
        <v>2010</v>
      </c>
      <c r="C250" s="80">
        <v>12</v>
      </c>
      <c r="D250" s="80">
        <f t="shared" si="14"/>
        <v>2010</v>
      </c>
      <c r="E250" t="s">
        <v>38</v>
      </c>
      <c r="F250" t="s">
        <v>143</v>
      </c>
      <c r="G250" t="s">
        <v>86</v>
      </c>
      <c r="H250" s="72" t="s">
        <v>248</v>
      </c>
      <c r="I250" s="72" t="s">
        <v>99</v>
      </c>
      <c r="J250" t="str">
        <f t="shared" si="16"/>
        <v>Skykomish River, So. Fork</v>
      </c>
      <c r="K250" t="str">
        <f>IFERROR(VLOOKUP(J250,LUTs!$A$1:$C$73,2,FALSE),"NA")</f>
        <v>Snohomish/King</v>
      </c>
      <c r="L250" t="str">
        <f>IFERROR(VLOOKUP(J250,LUTs!$A$1:$C$73,3,FALSE),"NA")</f>
        <v>2Central Puget Sound</v>
      </c>
      <c r="M250" s="72" t="s">
        <v>26</v>
      </c>
      <c r="N250" t="str">
        <f>VLOOKUP(M250,LUTs!E$2:H$14,3,)</f>
        <v>20Other</v>
      </c>
      <c r="O250" t="str">
        <f>VLOOKUP(M250,LUTs!E$2:H$14,4,)</f>
        <v>07Non Puget Sound</v>
      </c>
      <c r="P250" s="80">
        <v>2.3333333333333299</v>
      </c>
      <c r="Q250" s="102">
        <v>2.3333333333333299</v>
      </c>
      <c r="R250" s="74">
        <f>VLOOKUP(B250,Readme!A$40:C$52,3,)*Q250</f>
        <v>19.926666666666634</v>
      </c>
    </row>
    <row r="251" spans="1:18" ht="14.15" customHeight="1" x14ac:dyDescent="0.35">
      <c r="A251" s="75">
        <v>238</v>
      </c>
      <c r="B251" s="80">
        <v>2010</v>
      </c>
      <c r="C251" s="80">
        <v>12</v>
      </c>
      <c r="D251" s="80">
        <f t="shared" si="14"/>
        <v>2010</v>
      </c>
      <c r="E251" t="s">
        <v>38</v>
      </c>
      <c r="F251" t="s">
        <v>143</v>
      </c>
      <c r="G251" t="s">
        <v>86</v>
      </c>
      <c r="H251" s="72" t="s">
        <v>248</v>
      </c>
      <c r="I251" s="72" t="s">
        <v>99</v>
      </c>
      <c r="J251" t="str">
        <f t="shared" si="16"/>
        <v>Skykomish River, So. Fork</v>
      </c>
      <c r="K251" t="str">
        <f>IFERROR(VLOOKUP(J251,LUTs!$A$1:$C$73,2,FALSE),"NA")</f>
        <v>Snohomish/King</v>
      </c>
      <c r="L251" t="str">
        <f>IFERROR(VLOOKUP(J251,LUTs!$A$1:$C$73,3,FALSE),"NA")</f>
        <v>2Central Puget Sound</v>
      </c>
      <c r="M251" s="72" t="s">
        <v>16</v>
      </c>
      <c r="N251" t="str">
        <f>VLOOKUP(M251,LUTs!E$2:H$14,3,)</f>
        <v>03Snohomish</v>
      </c>
      <c r="O251" t="str">
        <f>VLOOKUP(M251,LUTs!E$2:H$14,4,)</f>
        <v>01North Puget Sound</v>
      </c>
      <c r="P251" s="80">
        <v>4.6666666666666696</v>
      </c>
      <c r="Q251" s="102">
        <v>4.6666666666666696</v>
      </c>
      <c r="R251" s="74">
        <f>VLOOKUP(B251,Readme!A$40:C$52,3,)*Q251</f>
        <v>39.853333333333353</v>
      </c>
    </row>
    <row r="252" spans="1:18" ht="14.15" customHeight="1" x14ac:dyDescent="0.35">
      <c r="A252" s="75">
        <v>249</v>
      </c>
      <c r="B252" s="80">
        <v>2010</v>
      </c>
      <c r="C252" s="80">
        <v>12</v>
      </c>
      <c r="D252" s="80">
        <f t="shared" si="14"/>
        <v>2010</v>
      </c>
      <c r="E252" t="s">
        <v>38</v>
      </c>
      <c r="F252" t="s">
        <v>143</v>
      </c>
      <c r="G252" t="s">
        <v>86</v>
      </c>
      <c r="H252" s="72" t="s">
        <v>221</v>
      </c>
      <c r="I252" s="72" t="s">
        <v>63</v>
      </c>
      <c r="J252" t="str">
        <f t="shared" si="16"/>
        <v>Snohomish River</v>
      </c>
      <c r="K252" t="str">
        <f>IFERROR(VLOOKUP(J252,LUTs!$A$1:$C$73,2,FALSE),"NA")</f>
        <v>Snohomish</v>
      </c>
      <c r="L252" t="str">
        <f>IFERROR(VLOOKUP(J252,LUTs!$A$1:$C$73,3,FALSE),"NA")</f>
        <v>2Central Puget Sound</v>
      </c>
      <c r="M252" s="72" t="s">
        <v>18</v>
      </c>
      <c r="N252" t="str">
        <f>VLOOKUP(M252,LUTs!E$2:H$14,3,)</f>
        <v>06King</v>
      </c>
      <c r="O252" t="str">
        <f>VLOOKUP(M252,LUTs!E$2:H$14,4,)</f>
        <v>02South Puget Sound</v>
      </c>
      <c r="P252" s="80">
        <v>2.3199999999999998</v>
      </c>
      <c r="Q252" s="102">
        <v>2.3199999999999998</v>
      </c>
      <c r="R252" s="74">
        <f>VLOOKUP(B252,Readme!A$40:C$52,3,)*Q252</f>
        <v>19.812799999999996</v>
      </c>
    </row>
    <row r="253" spans="1:18" ht="14.15" customHeight="1" x14ac:dyDescent="0.35">
      <c r="A253" s="75">
        <v>250</v>
      </c>
      <c r="B253" s="80">
        <v>2010</v>
      </c>
      <c r="C253" s="80">
        <v>12</v>
      </c>
      <c r="D253" s="80">
        <f t="shared" si="14"/>
        <v>2010</v>
      </c>
      <c r="E253" t="s">
        <v>38</v>
      </c>
      <c r="F253" t="s">
        <v>143</v>
      </c>
      <c r="G253" t="s">
        <v>86</v>
      </c>
      <c r="H253" s="72" t="s">
        <v>221</v>
      </c>
      <c r="I253" s="72" t="s">
        <v>63</v>
      </c>
      <c r="J253" t="str">
        <f t="shared" si="16"/>
        <v>Snohomish River</v>
      </c>
      <c r="K253" t="str">
        <f>IFERROR(VLOOKUP(J253,LUTs!$A$1:$C$73,2,FALSE),"NA")</f>
        <v>Snohomish</v>
      </c>
      <c r="L253" t="str">
        <f>IFERROR(VLOOKUP(J253,LUTs!$A$1:$C$73,3,FALSE),"NA")</f>
        <v>2Central Puget Sound</v>
      </c>
      <c r="M253" s="72" t="s">
        <v>16</v>
      </c>
      <c r="N253" t="str">
        <f>VLOOKUP(M253,LUTs!E$2:H$14,3,)</f>
        <v>03Snohomish</v>
      </c>
      <c r="O253" t="str">
        <f>VLOOKUP(M253,LUTs!E$2:H$14,4,)</f>
        <v>01North Puget Sound</v>
      </c>
      <c r="P253" s="80">
        <v>55.68</v>
      </c>
      <c r="Q253" s="102">
        <v>55.68</v>
      </c>
      <c r="R253" s="74">
        <f>VLOOKUP(B253,Readme!A$40:C$52,3,)*Q253</f>
        <v>475.50719999999995</v>
      </c>
    </row>
    <row r="254" spans="1:18" ht="14.15" customHeight="1" x14ac:dyDescent="0.35">
      <c r="A254" s="75">
        <v>267</v>
      </c>
      <c r="B254" s="80">
        <v>2010</v>
      </c>
      <c r="C254" s="80">
        <v>12</v>
      </c>
      <c r="D254" s="80">
        <f t="shared" si="14"/>
        <v>2010</v>
      </c>
      <c r="E254" t="s">
        <v>38</v>
      </c>
      <c r="F254" t="s">
        <v>143</v>
      </c>
      <c r="G254" t="s">
        <v>86</v>
      </c>
      <c r="H254" s="72" t="s">
        <v>222</v>
      </c>
      <c r="I254" s="72" t="s">
        <v>64</v>
      </c>
      <c r="J254" t="str">
        <f t="shared" si="16"/>
        <v>Snoqualmie River</v>
      </c>
      <c r="K254" t="str">
        <f>IFERROR(VLOOKUP(J254,LUTs!$A$1:$C$73,2,FALSE),"NA")</f>
        <v>Snohomish/King</v>
      </c>
      <c r="L254" t="str">
        <f>IFERROR(VLOOKUP(J254,LUTs!$A$1:$C$73,3,FALSE),"NA")</f>
        <v>2Central Puget Sound</v>
      </c>
      <c r="M254" s="72" t="s">
        <v>17</v>
      </c>
      <c r="N254" t="str">
        <f>VLOOKUP(M254,LUTs!E$2:H$14,3,)</f>
        <v>04Island</v>
      </c>
      <c r="O254" t="str">
        <f>VLOOKUP(M254,LUTs!E$2:H$14,4,)</f>
        <v>01North Puget Sound</v>
      </c>
      <c r="P254" s="80">
        <v>2.3172043010752699</v>
      </c>
      <c r="Q254" s="102">
        <v>2.3172043010752699</v>
      </c>
      <c r="R254" s="74">
        <f>VLOOKUP(B254,Readme!A$40:C$52,3,)*Q254</f>
        <v>19.788924731182803</v>
      </c>
    </row>
    <row r="255" spans="1:18" ht="14.15" customHeight="1" x14ac:dyDescent="0.35">
      <c r="A255" s="75">
        <v>268</v>
      </c>
      <c r="B255" s="80">
        <v>2010</v>
      </c>
      <c r="C255" s="80">
        <v>12</v>
      </c>
      <c r="D255" s="80">
        <f t="shared" si="14"/>
        <v>2010</v>
      </c>
      <c r="E255" t="s">
        <v>38</v>
      </c>
      <c r="F255" t="s">
        <v>143</v>
      </c>
      <c r="G255" t="s">
        <v>86</v>
      </c>
      <c r="H255" s="72" t="s">
        <v>222</v>
      </c>
      <c r="I255" s="72" t="s">
        <v>64</v>
      </c>
      <c r="J255" t="str">
        <f t="shared" si="16"/>
        <v>Snoqualmie River</v>
      </c>
      <c r="K255" t="str">
        <f>IFERROR(VLOOKUP(J255,LUTs!$A$1:$C$73,2,FALSE),"NA")</f>
        <v>Snohomish/King</v>
      </c>
      <c r="L255" t="str">
        <f>IFERROR(VLOOKUP(J255,LUTs!$A$1:$C$73,3,FALSE),"NA")</f>
        <v>2Central Puget Sound</v>
      </c>
      <c r="M255" s="72" t="s">
        <v>18</v>
      </c>
      <c r="N255" t="str">
        <f>VLOOKUP(M255,LUTs!E$2:H$14,3,)</f>
        <v>06King</v>
      </c>
      <c r="O255" t="str">
        <f>VLOOKUP(M255,LUTs!E$2:H$14,4,)</f>
        <v>02South Puget Sound</v>
      </c>
      <c r="P255" s="80">
        <v>384.65591397849499</v>
      </c>
      <c r="Q255" s="102">
        <v>384.65591397849499</v>
      </c>
      <c r="R255" s="74">
        <f>VLOOKUP(B255,Readme!A$40:C$52,3,)*Q255</f>
        <v>3284.9615053763468</v>
      </c>
    </row>
    <row r="256" spans="1:18" ht="14.15" customHeight="1" x14ac:dyDescent="0.35">
      <c r="A256" s="75">
        <v>269</v>
      </c>
      <c r="B256" s="80">
        <v>2010</v>
      </c>
      <c r="C256" s="80">
        <v>12</v>
      </c>
      <c r="D256" s="80">
        <f t="shared" si="14"/>
        <v>2010</v>
      </c>
      <c r="E256" t="s">
        <v>38</v>
      </c>
      <c r="F256" t="s">
        <v>143</v>
      </c>
      <c r="G256" t="s">
        <v>86</v>
      </c>
      <c r="H256" s="72" t="s">
        <v>222</v>
      </c>
      <c r="I256" s="72" t="s">
        <v>64</v>
      </c>
      <c r="J256" t="str">
        <f t="shared" si="16"/>
        <v>Snoqualmie River</v>
      </c>
      <c r="K256" t="str">
        <f>IFERROR(VLOOKUP(J256,LUTs!$A$1:$C$73,2,FALSE),"NA")</f>
        <v>Snohomish/King</v>
      </c>
      <c r="L256" t="str">
        <f>IFERROR(VLOOKUP(J256,LUTs!$A$1:$C$73,3,FALSE),"NA")</f>
        <v>2Central Puget Sound</v>
      </c>
      <c r="M256" s="72" t="s">
        <v>26</v>
      </c>
      <c r="N256" t="str">
        <f>VLOOKUP(M256,LUTs!E$2:H$14,3,)</f>
        <v>20Other</v>
      </c>
      <c r="O256" t="str">
        <f>VLOOKUP(M256,LUTs!E$2:H$14,4,)</f>
        <v>07Non Puget Sound</v>
      </c>
      <c r="P256" s="80">
        <v>9.2688172043010795</v>
      </c>
      <c r="Q256" s="102">
        <v>9.2688172043010795</v>
      </c>
      <c r="R256" s="74">
        <f>VLOOKUP(B256,Readme!A$40:C$52,3,)*Q256</f>
        <v>79.155698924731212</v>
      </c>
    </row>
    <row r="257" spans="1:18" ht="14.15" customHeight="1" x14ac:dyDescent="0.35">
      <c r="A257" s="75">
        <v>270</v>
      </c>
      <c r="B257" s="80">
        <v>2010</v>
      </c>
      <c r="C257" s="80">
        <v>12</v>
      </c>
      <c r="D257" s="80">
        <f t="shared" si="14"/>
        <v>2010</v>
      </c>
      <c r="E257" t="s">
        <v>38</v>
      </c>
      <c r="F257" t="s">
        <v>143</v>
      </c>
      <c r="G257" t="s">
        <v>86</v>
      </c>
      <c r="H257" s="72" t="s">
        <v>222</v>
      </c>
      <c r="I257" s="72" t="s">
        <v>64</v>
      </c>
      <c r="J257" t="str">
        <f t="shared" si="16"/>
        <v>Snoqualmie River</v>
      </c>
      <c r="K257" t="str">
        <f>IFERROR(VLOOKUP(J257,LUTs!$A$1:$C$73,2,FALSE),"NA")</f>
        <v>Snohomish/King</v>
      </c>
      <c r="L257" t="str">
        <f>IFERROR(VLOOKUP(J257,LUTs!$A$1:$C$73,3,FALSE),"NA")</f>
        <v>2Central Puget Sound</v>
      </c>
      <c r="M257" s="72" t="s">
        <v>20</v>
      </c>
      <c r="N257" t="str">
        <f>VLOOKUP(M257,LUTs!E$2:H$14,3,)</f>
        <v>07Pierce</v>
      </c>
      <c r="O257" t="str">
        <f>VLOOKUP(M257,LUTs!E$2:H$14,4,)</f>
        <v>02South Puget Sound</v>
      </c>
      <c r="P257" s="80">
        <v>11.5860215053763</v>
      </c>
      <c r="Q257" s="102">
        <v>11.5860215053763</v>
      </c>
      <c r="R257" s="74">
        <f>VLOOKUP(B257,Readme!A$40:C$52,3,)*Q257</f>
        <v>98.944623655913588</v>
      </c>
    </row>
    <row r="258" spans="1:18" ht="14.15" customHeight="1" x14ac:dyDescent="0.35">
      <c r="A258" s="75">
        <v>271</v>
      </c>
      <c r="B258" s="80">
        <v>2010</v>
      </c>
      <c r="C258" s="80">
        <v>12</v>
      </c>
      <c r="D258" s="80">
        <f t="shared" ref="D258:D321" si="17">IF(C258&gt;3,B258,B258-1)</f>
        <v>2010</v>
      </c>
      <c r="E258" t="s">
        <v>38</v>
      </c>
      <c r="F258" t="s">
        <v>143</v>
      </c>
      <c r="G258" t="s">
        <v>86</v>
      </c>
      <c r="H258" s="72" t="s">
        <v>222</v>
      </c>
      <c r="I258" s="72" t="s">
        <v>64</v>
      </c>
      <c r="J258" t="str">
        <f t="shared" si="16"/>
        <v>Snoqualmie River</v>
      </c>
      <c r="K258" t="str">
        <f>IFERROR(VLOOKUP(J258,LUTs!$A$1:$C$73,2,FALSE),"NA")</f>
        <v>Snohomish/King</v>
      </c>
      <c r="L258" t="str">
        <f>IFERROR(VLOOKUP(J258,LUTs!$A$1:$C$73,3,FALSE),"NA")</f>
        <v>2Central Puget Sound</v>
      </c>
      <c r="M258" s="72" t="s">
        <v>16</v>
      </c>
      <c r="N258" t="str">
        <f>VLOOKUP(M258,LUTs!E$2:H$14,3,)</f>
        <v>03Snohomish</v>
      </c>
      <c r="O258" t="str">
        <f>VLOOKUP(M258,LUTs!E$2:H$14,4,)</f>
        <v>01North Puget Sound</v>
      </c>
      <c r="P258" s="80">
        <v>18.537634408602202</v>
      </c>
      <c r="Q258" s="102">
        <v>18.537634408602202</v>
      </c>
      <c r="R258" s="74">
        <f>VLOOKUP(B258,Readme!A$40:C$52,3,)*Q258</f>
        <v>158.31139784946279</v>
      </c>
    </row>
    <row r="259" spans="1:18" ht="14.15" customHeight="1" x14ac:dyDescent="0.35">
      <c r="A259" s="75">
        <v>272</v>
      </c>
      <c r="B259" s="80">
        <v>2010</v>
      </c>
      <c r="C259" s="80">
        <v>12</v>
      </c>
      <c r="D259" s="80">
        <f t="shared" si="17"/>
        <v>2010</v>
      </c>
      <c r="E259" t="s">
        <v>38</v>
      </c>
      <c r="F259" t="s">
        <v>143</v>
      </c>
      <c r="G259" t="s">
        <v>86</v>
      </c>
      <c r="H259" s="72" t="s">
        <v>222</v>
      </c>
      <c r="I259" s="72" t="s">
        <v>64</v>
      </c>
      <c r="J259" t="str">
        <f t="shared" si="16"/>
        <v>Snoqualmie River</v>
      </c>
      <c r="K259" t="str">
        <f>IFERROR(VLOOKUP(J259,LUTs!$A$1:$C$73,2,FALSE),"NA")</f>
        <v>Snohomish/King</v>
      </c>
      <c r="L259" t="str">
        <f>IFERROR(VLOOKUP(J259,LUTs!$A$1:$C$73,3,FALSE),"NA")</f>
        <v>2Central Puget Sound</v>
      </c>
      <c r="M259" s="72" t="s">
        <v>21</v>
      </c>
      <c r="N259" t="str">
        <f>VLOOKUP(M259,LUTs!E$2:H$14,3,)</f>
        <v>08Thurston</v>
      </c>
      <c r="O259" t="str">
        <f>VLOOKUP(M259,LUTs!E$2:H$14,4,)</f>
        <v>02South Puget Sound</v>
      </c>
      <c r="P259" s="80">
        <v>4.6344086021505397</v>
      </c>
      <c r="Q259" s="102">
        <v>4.6344086021505397</v>
      </c>
      <c r="R259" s="74">
        <f>VLOOKUP(B259,Readme!A$40:C$52,3,)*Q259</f>
        <v>39.577849462365606</v>
      </c>
    </row>
    <row r="260" spans="1:18" ht="14.15" customHeight="1" x14ac:dyDescent="0.35">
      <c r="A260" s="75">
        <v>325</v>
      </c>
      <c r="B260" s="80">
        <v>2010</v>
      </c>
      <c r="C260" s="80">
        <v>12</v>
      </c>
      <c r="D260" s="80">
        <f t="shared" si="17"/>
        <v>2010</v>
      </c>
      <c r="E260" t="s">
        <v>38</v>
      </c>
      <c r="F260" t="s">
        <v>143</v>
      </c>
      <c r="G260" t="s">
        <v>86</v>
      </c>
      <c r="H260" s="72" t="s">
        <v>223</v>
      </c>
      <c r="I260" s="72" t="s">
        <v>103</v>
      </c>
      <c r="J260" t="str">
        <f t="shared" si="16"/>
        <v>Stillaguamish R, No. Fork</v>
      </c>
      <c r="K260" t="str">
        <f>IFERROR(VLOOKUP(J260,LUTs!$A$1:$C$73,2,FALSE),"NA")</f>
        <v>Snohomish</v>
      </c>
      <c r="L260" t="str">
        <f>IFERROR(VLOOKUP(J260,LUTs!$A$1:$C$73,3,FALSE),"NA")</f>
        <v>2Central Puget Sound</v>
      </c>
      <c r="M260" s="72" t="s">
        <v>16</v>
      </c>
      <c r="N260" t="str">
        <f>VLOOKUP(M260,LUTs!E$2:H$14,3,)</f>
        <v>03Snohomish</v>
      </c>
      <c r="O260" t="str">
        <f>VLOOKUP(M260,LUTs!E$2:H$14,4,)</f>
        <v>01North Puget Sound</v>
      </c>
      <c r="P260" s="80">
        <v>68</v>
      </c>
      <c r="Q260" s="102">
        <v>68</v>
      </c>
      <c r="R260" s="74">
        <f>VLOOKUP(B260,Readme!A$40:C$52,3,)*Q260</f>
        <v>580.71999999999991</v>
      </c>
    </row>
    <row r="261" spans="1:18" ht="14.15" customHeight="1" x14ac:dyDescent="0.35">
      <c r="A261" s="75">
        <v>282</v>
      </c>
      <c r="B261" s="80">
        <v>2010</v>
      </c>
      <c r="C261" s="80">
        <v>12</v>
      </c>
      <c r="D261" s="80">
        <f t="shared" si="17"/>
        <v>2010</v>
      </c>
      <c r="E261" t="s">
        <v>38</v>
      </c>
      <c r="F261" t="s">
        <v>143</v>
      </c>
      <c r="G261" t="s">
        <v>86</v>
      </c>
      <c r="H261" s="72" t="s">
        <v>249</v>
      </c>
      <c r="I261" s="72" t="s">
        <v>100</v>
      </c>
      <c r="J261" t="str">
        <f t="shared" si="16"/>
        <v>Sultan River</v>
      </c>
      <c r="K261" t="str">
        <f>IFERROR(VLOOKUP(J261,LUTs!$A$1:$C$73,2,FALSE),"NA")</f>
        <v>Snohomish</v>
      </c>
      <c r="L261" t="str">
        <f>IFERROR(VLOOKUP(J261,LUTs!$A$1:$C$73,3,FALSE),"NA")</f>
        <v>2Central Puget Sound</v>
      </c>
      <c r="M261" s="72" t="s">
        <v>18</v>
      </c>
      <c r="N261" t="str">
        <f>VLOOKUP(M261,LUTs!E$2:H$14,3,)</f>
        <v>06King</v>
      </c>
      <c r="O261" t="str">
        <f>VLOOKUP(M261,LUTs!E$2:H$14,4,)</f>
        <v>02South Puget Sound</v>
      </c>
      <c r="P261" s="80">
        <v>2</v>
      </c>
      <c r="Q261" s="102">
        <v>2</v>
      </c>
      <c r="R261" s="74">
        <f>VLOOKUP(B261,Readme!A$40:C$52,3,)*Q261</f>
        <v>17.079999999999998</v>
      </c>
    </row>
    <row r="262" spans="1:18" ht="14.15" customHeight="1" x14ac:dyDescent="0.35">
      <c r="A262" s="75">
        <v>284</v>
      </c>
      <c r="B262" s="80">
        <v>2010</v>
      </c>
      <c r="C262" s="80">
        <v>12</v>
      </c>
      <c r="D262" s="80">
        <f t="shared" si="17"/>
        <v>2010</v>
      </c>
      <c r="E262" t="s">
        <v>38</v>
      </c>
      <c r="F262" t="s">
        <v>143</v>
      </c>
      <c r="G262" t="s">
        <v>86</v>
      </c>
      <c r="H262" s="72" t="s">
        <v>250</v>
      </c>
      <c r="I262" s="72" t="s">
        <v>101</v>
      </c>
      <c r="J262" t="str">
        <f t="shared" si="16"/>
        <v>Tokul Creek</v>
      </c>
      <c r="K262" t="str">
        <f>IFERROR(VLOOKUP(J262,LUTs!$A$1:$C$73,2,FALSE),"NA")</f>
        <v>King</v>
      </c>
      <c r="L262" t="str">
        <f>IFERROR(VLOOKUP(J262,LUTs!$A$1:$C$73,3,FALSE),"NA")</f>
        <v>2Central Puget Sound</v>
      </c>
      <c r="M262" s="72" t="s">
        <v>18</v>
      </c>
      <c r="N262" t="str">
        <f>VLOOKUP(M262,LUTs!E$2:H$14,3,)</f>
        <v>06King</v>
      </c>
      <c r="O262" t="str">
        <f>VLOOKUP(M262,LUTs!E$2:H$14,4,)</f>
        <v>02South Puget Sound</v>
      </c>
      <c r="P262" s="80">
        <v>67.0625</v>
      </c>
      <c r="Q262" s="102">
        <v>67.0625</v>
      </c>
      <c r="R262" s="74">
        <f>VLOOKUP(B262,Readme!A$40:C$52,3,)*Q262</f>
        <v>572.71374999999989</v>
      </c>
    </row>
    <row r="263" spans="1:18" ht="14.15" customHeight="1" x14ac:dyDescent="0.35">
      <c r="A263" s="75">
        <v>285</v>
      </c>
      <c r="B263" s="80">
        <v>2010</v>
      </c>
      <c r="C263" s="80">
        <v>12</v>
      </c>
      <c r="D263" s="80">
        <f t="shared" si="17"/>
        <v>2010</v>
      </c>
      <c r="E263" t="s">
        <v>38</v>
      </c>
      <c r="F263" t="s">
        <v>143</v>
      </c>
      <c r="G263" t="s">
        <v>86</v>
      </c>
      <c r="H263" s="72" t="s">
        <v>250</v>
      </c>
      <c r="I263" s="72" t="s">
        <v>101</v>
      </c>
      <c r="J263" t="str">
        <f t="shared" si="16"/>
        <v>Tokul Creek</v>
      </c>
      <c r="K263" t="str">
        <f>IFERROR(VLOOKUP(J263,LUTs!$A$1:$C$73,2,FALSE),"NA")</f>
        <v>King</v>
      </c>
      <c r="L263" t="str">
        <f>IFERROR(VLOOKUP(J263,LUTs!$A$1:$C$73,3,FALSE),"NA")</f>
        <v>2Central Puget Sound</v>
      </c>
      <c r="M263" s="72" t="s">
        <v>26</v>
      </c>
      <c r="N263" t="str">
        <f>VLOOKUP(M263,LUTs!E$2:H$14,3,)</f>
        <v>20Other</v>
      </c>
      <c r="O263" t="str">
        <f>VLOOKUP(M263,LUTs!E$2:H$14,4,)</f>
        <v>07Non Puget Sound</v>
      </c>
      <c r="P263" s="80">
        <v>2.3125</v>
      </c>
      <c r="Q263" s="102">
        <v>2.3125</v>
      </c>
      <c r="R263" s="74">
        <f>VLOOKUP(B263,Readme!A$40:C$52,3,)*Q263</f>
        <v>19.748749999999998</v>
      </c>
    </row>
    <row r="264" spans="1:18" ht="14.15" customHeight="1" x14ac:dyDescent="0.35">
      <c r="A264" s="75">
        <v>286</v>
      </c>
      <c r="B264" s="80">
        <v>2010</v>
      </c>
      <c r="C264" s="80">
        <v>12</v>
      </c>
      <c r="D264" s="80">
        <f t="shared" si="17"/>
        <v>2010</v>
      </c>
      <c r="E264" t="s">
        <v>38</v>
      </c>
      <c r="F264" t="s">
        <v>143</v>
      </c>
      <c r="G264" t="s">
        <v>86</v>
      </c>
      <c r="H264" s="72" t="s">
        <v>250</v>
      </c>
      <c r="I264" s="72" t="s">
        <v>101</v>
      </c>
      <c r="J264" t="str">
        <f t="shared" si="16"/>
        <v>Tokul Creek</v>
      </c>
      <c r="K264" t="str">
        <f>IFERROR(VLOOKUP(J264,LUTs!$A$1:$C$73,2,FALSE),"NA")</f>
        <v>King</v>
      </c>
      <c r="L264" t="str">
        <f>IFERROR(VLOOKUP(J264,LUTs!$A$1:$C$73,3,FALSE),"NA")</f>
        <v>2Central Puget Sound</v>
      </c>
      <c r="M264" s="72" t="s">
        <v>21</v>
      </c>
      <c r="N264" t="str">
        <f>VLOOKUP(M264,LUTs!E$2:H$14,3,)</f>
        <v>08Thurston</v>
      </c>
      <c r="O264" t="str">
        <f>VLOOKUP(M264,LUTs!E$2:H$14,4,)</f>
        <v>02South Puget Sound</v>
      </c>
      <c r="P264" s="80">
        <v>4.625</v>
      </c>
      <c r="Q264" s="102">
        <v>4.625</v>
      </c>
      <c r="R264" s="74">
        <f>VLOOKUP(B264,Readme!A$40:C$52,3,)*Q264</f>
        <v>39.497499999999995</v>
      </c>
    </row>
    <row r="265" spans="1:18" ht="14.15" customHeight="1" x14ac:dyDescent="0.35">
      <c r="A265" s="75">
        <v>295</v>
      </c>
      <c r="B265" s="80">
        <v>2010</v>
      </c>
      <c r="C265" s="80">
        <v>12</v>
      </c>
      <c r="D265" s="80">
        <f t="shared" si="17"/>
        <v>2010</v>
      </c>
      <c r="E265" t="s">
        <v>38</v>
      </c>
      <c r="F265" t="s">
        <v>143</v>
      </c>
      <c r="G265" t="s">
        <v>86</v>
      </c>
      <c r="H265" s="72" t="s">
        <v>229</v>
      </c>
      <c r="I265" s="72" t="s">
        <v>71</v>
      </c>
      <c r="J265" t="str">
        <f t="shared" si="16"/>
        <v>Tolt River</v>
      </c>
      <c r="K265" t="str">
        <f>IFERROR(VLOOKUP(J265,LUTs!$A$1:$C$73,2,FALSE),"NA")</f>
        <v>King</v>
      </c>
      <c r="L265" t="str">
        <f>IFERROR(VLOOKUP(J265,LUTs!$A$1:$C$73,3,FALSE),"NA")</f>
        <v>2Central Puget Sound</v>
      </c>
      <c r="M265" s="72" t="s">
        <v>18</v>
      </c>
      <c r="N265" t="str">
        <f>VLOOKUP(M265,LUTs!E$2:H$14,3,)</f>
        <v>06King</v>
      </c>
      <c r="O265" t="str">
        <f>VLOOKUP(M265,LUTs!E$2:H$14,4,)</f>
        <v>02South Puget Sound</v>
      </c>
      <c r="P265" s="80">
        <v>2</v>
      </c>
      <c r="Q265" s="102">
        <v>2</v>
      </c>
      <c r="R265" s="74">
        <f>VLOOKUP(B265,Readme!A$40:C$52,3,)*Q265</f>
        <v>17.079999999999998</v>
      </c>
    </row>
    <row r="266" spans="1:18" ht="14.15" customHeight="1" x14ac:dyDescent="0.35">
      <c r="A266" s="75">
        <v>302</v>
      </c>
      <c r="B266" s="80">
        <v>2010</v>
      </c>
      <c r="C266" s="80">
        <v>12</v>
      </c>
      <c r="D266" s="80">
        <f t="shared" si="17"/>
        <v>2010</v>
      </c>
      <c r="E266" t="s">
        <v>38</v>
      </c>
      <c r="F266" t="s">
        <v>143</v>
      </c>
      <c r="G266" t="s">
        <v>86</v>
      </c>
      <c r="H266" s="72" t="s">
        <v>233</v>
      </c>
      <c r="I266" s="72" t="s">
        <v>76</v>
      </c>
      <c r="J266" t="str">
        <f t="shared" si="16"/>
        <v>Wallace River</v>
      </c>
      <c r="K266" t="str">
        <f>IFERROR(VLOOKUP(J266,LUTs!$A$1:$C$73,2,FALSE),"NA")</f>
        <v>Snohomish</v>
      </c>
      <c r="L266" t="str">
        <f>IFERROR(VLOOKUP(J266,LUTs!$A$1:$C$73,3,FALSE),"NA")</f>
        <v>2Central Puget Sound</v>
      </c>
      <c r="M266" s="72" t="s">
        <v>18</v>
      </c>
      <c r="N266" t="str">
        <f>VLOOKUP(M266,LUTs!E$2:H$14,3,)</f>
        <v>06King</v>
      </c>
      <c r="O266" t="str">
        <f>VLOOKUP(M266,LUTs!E$2:H$14,4,)</f>
        <v>02South Puget Sound</v>
      </c>
      <c r="P266" s="80">
        <v>29.342857142857198</v>
      </c>
      <c r="Q266" s="102">
        <v>29.342857142857198</v>
      </c>
      <c r="R266" s="74">
        <f>VLOOKUP(B266,Readme!A$40:C$52,3,)*Q266</f>
        <v>250.58800000000045</v>
      </c>
    </row>
    <row r="267" spans="1:18" ht="14.15" customHeight="1" x14ac:dyDescent="0.35">
      <c r="A267" s="75">
        <v>303</v>
      </c>
      <c r="B267" s="80">
        <v>2010</v>
      </c>
      <c r="C267" s="80">
        <v>12</v>
      </c>
      <c r="D267" s="80">
        <f t="shared" si="17"/>
        <v>2010</v>
      </c>
      <c r="E267" t="s">
        <v>38</v>
      </c>
      <c r="F267" t="s">
        <v>143</v>
      </c>
      <c r="G267" t="s">
        <v>86</v>
      </c>
      <c r="H267" s="72" t="s">
        <v>233</v>
      </c>
      <c r="I267" s="72" t="s">
        <v>76</v>
      </c>
      <c r="J267" t="str">
        <f t="shared" si="16"/>
        <v>Wallace River</v>
      </c>
      <c r="K267" t="str">
        <f>IFERROR(VLOOKUP(J267,LUTs!$A$1:$C$73,2,FALSE),"NA")</f>
        <v>Snohomish</v>
      </c>
      <c r="L267" t="str">
        <f>IFERROR(VLOOKUP(J267,LUTs!$A$1:$C$73,3,FALSE),"NA")</f>
        <v>2Central Puget Sound</v>
      </c>
      <c r="M267" s="72" t="s">
        <v>20</v>
      </c>
      <c r="N267" t="str">
        <f>VLOOKUP(M267,LUTs!E$2:H$14,3,)</f>
        <v>07Pierce</v>
      </c>
      <c r="O267" t="str">
        <f>VLOOKUP(M267,LUTs!E$2:H$14,4,)</f>
        <v>02South Puget Sound</v>
      </c>
      <c r="P267" s="80">
        <v>4.5142857142857196</v>
      </c>
      <c r="Q267" s="102">
        <v>4.5142857142857196</v>
      </c>
      <c r="R267" s="74">
        <f>VLOOKUP(B267,Readme!A$40:C$52,3,)*Q267</f>
        <v>38.552000000000042</v>
      </c>
    </row>
    <row r="268" spans="1:18" ht="14.15" customHeight="1" x14ac:dyDescent="0.35">
      <c r="A268" s="75">
        <v>304</v>
      </c>
      <c r="B268" s="80">
        <v>2010</v>
      </c>
      <c r="C268" s="80">
        <v>12</v>
      </c>
      <c r="D268" s="80">
        <f t="shared" si="17"/>
        <v>2010</v>
      </c>
      <c r="E268" t="s">
        <v>38</v>
      </c>
      <c r="F268" t="s">
        <v>143</v>
      </c>
      <c r="G268" t="s">
        <v>86</v>
      </c>
      <c r="H268" s="72" t="s">
        <v>233</v>
      </c>
      <c r="I268" s="72" t="s">
        <v>76</v>
      </c>
      <c r="J268" t="str">
        <f t="shared" si="16"/>
        <v>Wallace River</v>
      </c>
      <c r="K268" t="str">
        <f>IFERROR(VLOOKUP(J268,LUTs!$A$1:$C$73,2,FALSE),"NA")</f>
        <v>Snohomish</v>
      </c>
      <c r="L268" t="str">
        <f>IFERROR(VLOOKUP(J268,LUTs!$A$1:$C$73,3,FALSE),"NA")</f>
        <v>2Central Puget Sound</v>
      </c>
      <c r="M268" s="72" t="s">
        <v>16</v>
      </c>
      <c r="N268" t="str">
        <f>VLOOKUP(M268,LUTs!E$2:H$14,3,)</f>
        <v>03Snohomish</v>
      </c>
      <c r="O268" t="str">
        <f>VLOOKUP(M268,LUTs!E$2:H$14,4,)</f>
        <v>01North Puget Sound</v>
      </c>
      <c r="P268" s="80">
        <v>45.142857142857103</v>
      </c>
      <c r="Q268" s="102">
        <v>45.142857142857103</v>
      </c>
      <c r="R268" s="74">
        <f>VLOOKUP(B268,Readme!A$40:C$52,3,)*Q268</f>
        <v>385.51999999999964</v>
      </c>
    </row>
    <row r="269" spans="1:18" ht="14.15" customHeight="1" x14ac:dyDescent="0.35">
      <c r="A269" s="75">
        <v>100</v>
      </c>
      <c r="B269" s="80">
        <v>2010</v>
      </c>
      <c r="C269" s="80">
        <v>12</v>
      </c>
      <c r="D269" s="80">
        <f t="shared" si="17"/>
        <v>2010</v>
      </c>
      <c r="E269" t="s">
        <v>38</v>
      </c>
      <c r="F269" t="s">
        <v>143</v>
      </c>
      <c r="G269" t="s">
        <v>86</v>
      </c>
      <c r="H269" s="72" t="s">
        <v>242</v>
      </c>
      <c r="I269" s="72" t="s">
        <v>85</v>
      </c>
      <c r="J269" t="str">
        <f t="shared" si="16"/>
        <v>White (Stuck) River</v>
      </c>
      <c r="K269" t="str">
        <f>IFERROR(VLOOKUP(J269,LUTs!$A$1:$C$73,2,FALSE),"NA")</f>
        <v>Pierce</v>
      </c>
      <c r="L269" t="str">
        <f>IFERROR(VLOOKUP(J269,LUTs!$A$1:$C$73,3,FALSE),"NA")</f>
        <v>3South Puget Sound</v>
      </c>
      <c r="M269" s="72" t="s">
        <v>26</v>
      </c>
      <c r="N269" t="str">
        <f>VLOOKUP(M269,LUTs!E$2:H$14,3,)</f>
        <v>20Other</v>
      </c>
      <c r="O269" t="str">
        <f>VLOOKUP(M269,LUTs!E$2:H$14,4,)</f>
        <v>07Non Puget Sound</v>
      </c>
      <c r="P269" s="80">
        <v>16</v>
      </c>
      <c r="Q269" s="102">
        <v>16</v>
      </c>
      <c r="R269" s="74">
        <f>VLOOKUP(B269,Readme!A$40:C$52,3,)*Q269</f>
        <v>136.63999999999999</v>
      </c>
    </row>
    <row r="270" spans="1:18" ht="14.15" customHeight="1" x14ac:dyDescent="0.35">
      <c r="A270" s="75">
        <v>345</v>
      </c>
      <c r="B270" s="80">
        <v>2011</v>
      </c>
      <c r="C270" s="80">
        <v>1</v>
      </c>
      <c r="D270" s="80">
        <f t="shared" si="17"/>
        <v>2010</v>
      </c>
      <c r="E270" t="s">
        <v>38</v>
      </c>
      <c r="F270" t="s">
        <v>143</v>
      </c>
      <c r="G270" t="s">
        <v>86</v>
      </c>
      <c r="H270" s="72" t="s">
        <v>254</v>
      </c>
      <c r="I270" s="72" t="s">
        <v>33</v>
      </c>
      <c r="J270" t="str">
        <f t="shared" si="16"/>
        <v>Area 9: Admiralty Inlet</v>
      </c>
      <c r="K270" t="str">
        <f>IFERROR(VLOOKUP(J270,LUTs!$A$1:$C$73,2,FALSE),"NA")</f>
        <v>NA</v>
      </c>
      <c r="L270" t="str">
        <f>IFERROR(VLOOKUP(J270,LUTs!$A$1:$C$73,3,FALSE),"NA")</f>
        <v>2Central Puget Sound</v>
      </c>
      <c r="M270" s="72" t="s">
        <v>17</v>
      </c>
      <c r="N270" t="str">
        <f>VLOOKUP(M270,LUTs!E$2:H$14,3,)</f>
        <v>04Island</v>
      </c>
      <c r="O270" t="str">
        <f>VLOOKUP(M270,LUTs!E$2:H$14,4,)</f>
        <v>01North Puget Sound</v>
      </c>
      <c r="P270" s="80">
        <v>17</v>
      </c>
      <c r="Q270" s="102">
        <v>17</v>
      </c>
      <c r="R270" s="74">
        <f>VLOOKUP(B270,Readme!A$40:C$52,3,)*Q270</f>
        <v>315.35000000000002</v>
      </c>
    </row>
    <row r="271" spans="1:18" ht="14.15" customHeight="1" x14ac:dyDescent="0.35">
      <c r="A271" s="75">
        <v>135</v>
      </c>
      <c r="B271" s="80">
        <v>2011</v>
      </c>
      <c r="C271" s="80">
        <v>1</v>
      </c>
      <c r="D271" s="80">
        <f t="shared" si="17"/>
        <v>2010</v>
      </c>
      <c r="E271" t="s">
        <v>38</v>
      </c>
      <c r="F271" t="s">
        <v>143</v>
      </c>
      <c r="G271" t="s">
        <v>86</v>
      </c>
      <c r="H271" s="72" t="s">
        <v>217</v>
      </c>
      <c r="I271" s="72" t="s">
        <v>59</v>
      </c>
      <c r="J271" t="str">
        <f t="shared" si="16"/>
        <v>Cascade River</v>
      </c>
      <c r="K271" t="str">
        <f>IFERROR(VLOOKUP(J271,LUTs!$A$1:$C$73,2,FALSE),"NA")</f>
        <v>Skagit</v>
      </c>
      <c r="L271" t="str">
        <f>IFERROR(VLOOKUP(J271,LUTs!$A$1:$C$73,3,FALSE),"NA")</f>
        <v>1North Puget Sound</v>
      </c>
      <c r="M271" s="72" t="s">
        <v>18</v>
      </c>
      <c r="N271" t="str">
        <f>VLOOKUP(M271,LUTs!E$2:H$14,3,)</f>
        <v>06King</v>
      </c>
      <c r="O271" t="str">
        <f>VLOOKUP(M271,LUTs!E$2:H$14,4,)</f>
        <v>02South Puget Sound</v>
      </c>
      <c r="P271" s="80">
        <v>6</v>
      </c>
      <c r="Q271" s="102">
        <v>6</v>
      </c>
      <c r="R271" s="74">
        <f>VLOOKUP(B271,Readme!A$40:C$52,3,)*Q271</f>
        <v>111.30000000000001</v>
      </c>
    </row>
    <row r="272" spans="1:18" ht="14.15" customHeight="1" x14ac:dyDescent="0.35">
      <c r="A272" s="75">
        <v>136</v>
      </c>
      <c r="B272" s="80">
        <v>2011</v>
      </c>
      <c r="C272" s="80">
        <v>1</v>
      </c>
      <c r="D272" s="80">
        <f t="shared" si="17"/>
        <v>2010</v>
      </c>
      <c r="E272" t="s">
        <v>38</v>
      </c>
      <c r="F272" t="s">
        <v>143</v>
      </c>
      <c r="G272" t="s">
        <v>86</v>
      </c>
      <c r="H272" s="72" t="s">
        <v>217</v>
      </c>
      <c r="I272" s="72" t="s">
        <v>59</v>
      </c>
      <c r="J272" t="str">
        <f t="shared" si="16"/>
        <v>Cascade River</v>
      </c>
      <c r="K272" t="str">
        <f>IFERROR(VLOOKUP(J272,LUTs!$A$1:$C$73,2,FALSE),"NA")</f>
        <v>Skagit</v>
      </c>
      <c r="L272" t="str">
        <f>IFERROR(VLOOKUP(J272,LUTs!$A$1:$C$73,3,FALSE),"NA")</f>
        <v>1North Puget Sound</v>
      </c>
      <c r="M272" s="72" t="s">
        <v>15</v>
      </c>
      <c r="N272" t="str">
        <f>VLOOKUP(M272,LUTs!E$2:H$14,3,)</f>
        <v>02Skagit</v>
      </c>
      <c r="O272" t="str">
        <f>VLOOKUP(M272,LUTs!E$2:H$14,4,)</f>
        <v>01North Puget Sound</v>
      </c>
      <c r="P272" s="80">
        <v>27</v>
      </c>
      <c r="Q272" s="102">
        <v>27</v>
      </c>
      <c r="R272" s="74">
        <f>VLOOKUP(B272,Readme!A$40:C$52,3,)*Q272</f>
        <v>500.85</v>
      </c>
    </row>
    <row r="273" spans="1:18" ht="14.15" customHeight="1" x14ac:dyDescent="0.35">
      <c r="A273" s="75">
        <v>137</v>
      </c>
      <c r="B273" s="80">
        <v>2011</v>
      </c>
      <c r="C273" s="80">
        <v>1</v>
      </c>
      <c r="D273" s="80">
        <f t="shared" si="17"/>
        <v>2010</v>
      </c>
      <c r="E273" t="s">
        <v>38</v>
      </c>
      <c r="F273" t="s">
        <v>143</v>
      </c>
      <c r="G273" t="s">
        <v>86</v>
      </c>
      <c r="H273" s="72" t="s">
        <v>217</v>
      </c>
      <c r="I273" s="72" t="s">
        <v>59</v>
      </c>
      <c r="J273" t="str">
        <f t="shared" si="16"/>
        <v>Cascade River</v>
      </c>
      <c r="K273" t="str">
        <f>IFERROR(VLOOKUP(J273,LUTs!$A$1:$C$73,2,FALSE),"NA")</f>
        <v>Skagit</v>
      </c>
      <c r="L273" t="str">
        <f>IFERROR(VLOOKUP(J273,LUTs!$A$1:$C$73,3,FALSE),"NA")</f>
        <v>1North Puget Sound</v>
      </c>
      <c r="M273" s="72" t="s">
        <v>16</v>
      </c>
      <c r="N273" t="str">
        <f>VLOOKUP(M273,LUTs!E$2:H$14,3,)</f>
        <v>03Snohomish</v>
      </c>
      <c r="O273" t="str">
        <f>VLOOKUP(M273,LUTs!E$2:H$14,4,)</f>
        <v>01North Puget Sound</v>
      </c>
      <c r="P273" s="80">
        <v>12</v>
      </c>
      <c r="Q273" s="102">
        <v>12</v>
      </c>
      <c r="R273" s="74">
        <f>VLOOKUP(B273,Readme!A$40:C$52,3,)*Q273</f>
        <v>222.60000000000002</v>
      </c>
    </row>
    <row r="274" spans="1:18" ht="14.15" customHeight="1" x14ac:dyDescent="0.35">
      <c r="A274" s="75">
        <v>138</v>
      </c>
      <c r="B274" s="80">
        <v>2011</v>
      </c>
      <c r="C274" s="80">
        <v>1</v>
      </c>
      <c r="D274" s="80">
        <f t="shared" si="17"/>
        <v>2010</v>
      </c>
      <c r="E274" t="s">
        <v>38</v>
      </c>
      <c r="F274" t="s">
        <v>143</v>
      </c>
      <c r="G274" t="s">
        <v>86</v>
      </c>
      <c r="H274" s="72" t="s">
        <v>217</v>
      </c>
      <c r="I274" s="72" t="s">
        <v>59</v>
      </c>
      <c r="J274" t="str">
        <f t="shared" si="16"/>
        <v>Cascade River</v>
      </c>
      <c r="K274" t="str">
        <f>IFERROR(VLOOKUP(J274,LUTs!$A$1:$C$73,2,FALSE),"NA")</f>
        <v>Skagit</v>
      </c>
      <c r="L274" t="str">
        <f>IFERROR(VLOOKUP(J274,LUTs!$A$1:$C$73,3,FALSE),"NA")</f>
        <v>1North Puget Sound</v>
      </c>
      <c r="M274" s="72" t="s">
        <v>13</v>
      </c>
      <c r="N274" t="str">
        <f>VLOOKUP(M274,LUTs!E$2:H$14,3,)</f>
        <v>01Whatcom</v>
      </c>
      <c r="O274" t="str">
        <f>VLOOKUP(M274,LUTs!E$2:H$14,4,)</f>
        <v>01North Puget Sound</v>
      </c>
      <c r="P274" s="80">
        <v>18</v>
      </c>
      <c r="Q274" s="102">
        <v>18</v>
      </c>
      <c r="R274" s="74">
        <f>VLOOKUP(B274,Readme!A$40:C$52,3,)*Q274</f>
        <v>333.90000000000003</v>
      </c>
    </row>
    <row r="275" spans="1:18" ht="14.15" customHeight="1" x14ac:dyDescent="0.35">
      <c r="A275" s="75">
        <v>5</v>
      </c>
      <c r="B275" s="80">
        <v>2011</v>
      </c>
      <c r="C275" s="80">
        <v>1</v>
      </c>
      <c r="D275" s="80">
        <f t="shared" si="17"/>
        <v>2010</v>
      </c>
      <c r="E275" t="s">
        <v>38</v>
      </c>
      <c r="F275" t="s">
        <v>143</v>
      </c>
      <c r="G275" t="s">
        <v>86</v>
      </c>
      <c r="H275" s="72" t="s">
        <v>234</v>
      </c>
      <c r="I275" s="72" t="s">
        <v>87</v>
      </c>
      <c r="J275" t="str">
        <f t="shared" si="16"/>
        <v>Clallam River</v>
      </c>
      <c r="K275" t="str">
        <f>IFERROR(VLOOKUP(J275,LUTs!$A$1:$C$73,2,FALSE),"NA")</f>
        <v>Clallam</v>
      </c>
      <c r="L275" t="str">
        <f>IFERROR(VLOOKUP(J275,LUTs!$A$1:$C$73,3,FALSE),"NA")</f>
        <v>0Strait of Juan de Fuca</v>
      </c>
      <c r="M275" s="72" t="s">
        <v>24</v>
      </c>
      <c r="N275" t="str">
        <f>VLOOKUP(M275,LUTs!E$2:H$14,3,)</f>
        <v>11Clallam</v>
      </c>
      <c r="O275" t="str">
        <f>VLOOKUP(M275,LUTs!E$2:H$14,4,)</f>
        <v>03Strait of Juan de Fuca</v>
      </c>
      <c r="P275" s="80">
        <v>11.4285714285714</v>
      </c>
      <c r="Q275" s="102">
        <v>11.4285714285714</v>
      </c>
      <c r="R275" s="74">
        <f>VLOOKUP(B275,Readme!A$40:C$52,3,)*Q275</f>
        <v>211.99999999999949</v>
      </c>
    </row>
    <row r="276" spans="1:18" ht="14.15" customHeight="1" x14ac:dyDescent="0.35">
      <c r="A276" s="75">
        <v>6</v>
      </c>
      <c r="B276" s="80">
        <v>2011</v>
      </c>
      <c r="C276" s="80">
        <v>1</v>
      </c>
      <c r="D276" s="80">
        <f t="shared" si="17"/>
        <v>2010</v>
      </c>
      <c r="E276" t="s">
        <v>38</v>
      </c>
      <c r="F276" t="s">
        <v>143</v>
      </c>
      <c r="G276" t="s">
        <v>86</v>
      </c>
      <c r="H276" s="72" t="s">
        <v>234</v>
      </c>
      <c r="I276" s="72" t="s">
        <v>87</v>
      </c>
      <c r="J276" t="str">
        <f t="shared" si="16"/>
        <v>Clallam River</v>
      </c>
      <c r="K276" t="str">
        <f>IFERROR(VLOOKUP(J276,LUTs!$A$1:$C$73,2,FALSE),"NA")</f>
        <v>Clallam</v>
      </c>
      <c r="L276" t="str">
        <f>IFERROR(VLOOKUP(J276,LUTs!$A$1:$C$73,3,FALSE),"NA")</f>
        <v>0Strait of Juan de Fuca</v>
      </c>
      <c r="M276" s="72" t="s">
        <v>20</v>
      </c>
      <c r="N276" t="str">
        <f>VLOOKUP(M276,LUTs!E$2:H$14,3,)</f>
        <v>07Pierce</v>
      </c>
      <c r="O276" t="str">
        <f>VLOOKUP(M276,LUTs!E$2:H$14,4,)</f>
        <v>02South Puget Sound</v>
      </c>
      <c r="P276" s="80">
        <v>4.5714285714285703</v>
      </c>
      <c r="Q276" s="102">
        <v>4.5714285714285703</v>
      </c>
      <c r="R276" s="74">
        <f>VLOOKUP(B276,Readme!A$40:C$52,3,)*Q276</f>
        <v>84.799999999999983</v>
      </c>
    </row>
    <row r="277" spans="1:18" ht="14.15" customHeight="1" x14ac:dyDescent="0.35">
      <c r="A277" s="75">
        <v>7</v>
      </c>
      <c r="B277" s="80">
        <v>2011</v>
      </c>
      <c r="C277" s="80">
        <v>1</v>
      </c>
      <c r="D277" s="80">
        <f t="shared" si="17"/>
        <v>2010</v>
      </c>
      <c r="E277" t="s">
        <v>38</v>
      </c>
      <c r="F277" t="s">
        <v>143</v>
      </c>
      <c r="G277" t="s">
        <v>86</v>
      </c>
      <c r="H277" s="72" t="s">
        <v>235</v>
      </c>
      <c r="I277" s="72" t="s">
        <v>88</v>
      </c>
      <c r="J277" t="str">
        <f t="shared" ref="J277:J279" si="18">I277</f>
        <v>Deep Creek (Clallam Co.)</v>
      </c>
      <c r="K277" t="str">
        <f>IFERROR(VLOOKUP(J277,LUTs!$A$1:$C$73,2,FALSE),"NA")</f>
        <v>Clallam</v>
      </c>
      <c r="L277" t="str">
        <f>IFERROR(VLOOKUP(J277,LUTs!$A$1:$C$73,3,FALSE),"NA")</f>
        <v>0Strait of Juan de Fuca</v>
      </c>
      <c r="M277" s="72" t="s">
        <v>24</v>
      </c>
      <c r="N277" t="str">
        <f>VLOOKUP(M277,LUTs!E$2:H$14,3,)</f>
        <v>11Clallam</v>
      </c>
      <c r="O277" t="str">
        <f>VLOOKUP(M277,LUTs!E$2:H$14,4,)</f>
        <v>03Strait of Juan de Fuca</v>
      </c>
      <c r="P277" s="80">
        <v>2</v>
      </c>
      <c r="Q277" s="102">
        <v>2</v>
      </c>
      <c r="R277" s="74">
        <f>VLOOKUP(B277,Readme!A$40:C$52,3,)*Q277</f>
        <v>37.1</v>
      </c>
    </row>
    <row r="278" spans="1:18" ht="14.15" customHeight="1" x14ac:dyDescent="0.35">
      <c r="A278" s="75">
        <v>10</v>
      </c>
      <c r="B278" s="80">
        <v>2011</v>
      </c>
      <c r="C278" s="80">
        <v>1</v>
      </c>
      <c r="D278" s="80">
        <f t="shared" si="17"/>
        <v>2010</v>
      </c>
      <c r="E278" t="s">
        <v>38</v>
      </c>
      <c r="F278" t="s">
        <v>143</v>
      </c>
      <c r="G278" t="s">
        <v>86</v>
      </c>
      <c r="H278" s="72" t="s">
        <v>201</v>
      </c>
      <c r="I278" s="72" t="s">
        <v>43</v>
      </c>
      <c r="J278" t="str">
        <f t="shared" si="18"/>
        <v>Dungeness River</v>
      </c>
      <c r="K278" t="str">
        <f>IFERROR(VLOOKUP(J278,LUTs!$A$1:$C$73,2,FALSE),"NA")</f>
        <v>Clallam</v>
      </c>
      <c r="L278" t="str">
        <f>IFERROR(VLOOKUP(J278,LUTs!$A$1:$C$73,3,FALSE),"NA")</f>
        <v>0Strait of Juan de Fuca</v>
      </c>
      <c r="M278" s="72" t="s">
        <v>24</v>
      </c>
      <c r="N278" t="str">
        <f>VLOOKUP(M278,LUTs!E$2:H$14,3,)</f>
        <v>11Clallam</v>
      </c>
      <c r="O278" t="str">
        <f>VLOOKUP(M278,LUTs!E$2:H$14,4,)</f>
        <v>03Strait of Juan de Fuca</v>
      </c>
      <c r="P278" s="80">
        <v>7</v>
      </c>
      <c r="Q278" s="102">
        <v>7</v>
      </c>
      <c r="R278" s="74">
        <f>VLOOKUP(B278,Readme!A$40:C$52,3,)*Q278</f>
        <v>129.85</v>
      </c>
    </row>
    <row r="279" spans="1:18" ht="14.15" customHeight="1" x14ac:dyDescent="0.35">
      <c r="A279" s="75">
        <v>16</v>
      </c>
      <c r="B279" s="80">
        <v>2011</v>
      </c>
      <c r="C279" s="80">
        <v>1</v>
      </c>
      <c r="D279" s="80">
        <f t="shared" si="17"/>
        <v>2010</v>
      </c>
      <c r="E279" t="s">
        <v>38</v>
      </c>
      <c r="F279" t="s">
        <v>143</v>
      </c>
      <c r="G279" t="s">
        <v>86</v>
      </c>
      <c r="H279" s="72" t="s">
        <v>202</v>
      </c>
      <c r="I279" s="72" t="s">
        <v>44</v>
      </c>
      <c r="J279" t="str">
        <f t="shared" si="18"/>
        <v>Elwha River</v>
      </c>
      <c r="K279" t="str">
        <f>IFERROR(VLOOKUP(J279,LUTs!$A$1:$C$73,2,FALSE),"NA")</f>
        <v>Clallam</v>
      </c>
      <c r="L279" t="str">
        <f>IFERROR(VLOOKUP(J279,LUTs!$A$1:$C$73,3,FALSE),"NA")</f>
        <v>0Strait of Juan de Fuca</v>
      </c>
      <c r="M279" s="72" t="s">
        <v>24</v>
      </c>
      <c r="N279" t="str">
        <f>VLOOKUP(M279,LUTs!E$2:H$14,3,)</f>
        <v>11Clallam</v>
      </c>
      <c r="O279" t="str">
        <f>VLOOKUP(M279,LUTs!E$2:H$14,4,)</f>
        <v>03Strait of Juan de Fuca</v>
      </c>
      <c r="P279" s="80">
        <v>26</v>
      </c>
      <c r="Q279" s="102">
        <v>26</v>
      </c>
      <c r="R279" s="74">
        <f>VLOOKUP(B279,Readme!A$40:C$52,3,)*Q279</f>
        <v>482.3</v>
      </c>
    </row>
    <row r="280" spans="1:18" ht="14.15" customHeight="1" x14ac:dyDescent="0.35">
      <c r="A280" s="75">
        <v>41</v>
      </c>
      <c r="B280" s="80">
        <v>2011</v>
      </c>
      <c r="C280" s="80">
        <v>1</v>
      </c>
      <c r="D280" s="80">
        <f t="shared" si="17"/>
        <v>2010</v>
      </c>
      <c r="E280" t="s">
        <v>38</v>
      </c>
      <c r="F280" t="s">
        <v>143</v>
      </c>
      <c r="G280" t="s">
        <v>86</v>
      </c>
      <c r="H280" s="72" t="s">
        <v>203</v>
      </c>
      <c r="I280" s="72" t="s">
        <v>89</v>
      </c>
      <c r="J280" s="84" t="s">
        <v>45</v>
      </c>
      <c r="K280" t="str">
        <f>IFERROR(VLOOKUP(J280,LUTs!$A$1:$C$73,2,FALSE),"NA")</f>
        <v>King</v>
      </c>
      <c r="L280" t="str">
        <f>IFERROR(VLOOKUP(J280,LUTs!$A$1:$C$73,3,FALSE),"NA")</f>
        <v>3South Puget Sound</v>
      </c>
      <c r="M280" s="72" t="s">
        <v>18</v>
      </c>
      <c r="N280" t="str">
        <f>VLOOKUP(M280,LUTs!E$2:H$14,3,)</f>
        <v>06King</v>
      </c>
      <c r="O280" t="str">
        <f>VLOOKUP(M280,LUTs!E$2:H$14,4,)</f>
        <v>02South Puget Sound</v>
      </c>
      <c r="P280" s="80">
        <v>42.962962962962997</v>
      </c>
      <c r="Q280" s="102">
        <v>42.962962962962997</v>
      </c>
      <c r="R280" s="74">
        <f>VLOOKUP(B280,Readme!A$40:C$52,3,)*Q280</f>
        <v>796.96296296296362</v>
      </c>
    </row>
    <row r="281" spans="1:18" ht="14.15" customHeight="1" x14ac:dyDescent="0.35">
      <c r="A281" s="75">
        <v>42</v>
      </c>
      <c r="B281" s="80">
        <v>2011</v>
      </c>
      <c r="C281" s="80">
        <v>1</v>
      </c>
      <c r="D281" s="80">
        <f t="shared" si="17"/>
        <v>2010</v>
      </c>
      <c r="E281" t="s">
        <v>38</v>
      </c>
      <c r="F281" t="s">
        <v>143</v>
      </c>
      <c r="G281" t="s">
        <v>86</v>
      </c>
      <c r="H281" s="72" t="s">
        <v>203</v>
      </c>
      <c r="I281" s="72" t="s">
        <v>89</v>
      </c>
      <c r="J281" s="84" t="s">
        <v>45</v>
      </c>
      <c r="K281" t="str">
        <f>IFERROR(VLOOKUP(J281,LUTs!$A$1:$C$73,2,FALSE),"NA")</f>
        <v>King</v>
      </c>
      <c r="L281" t="str">
        <f>IFERROR(VLOOKUP(J281,LUTs!$A$1:$C$73,3,FALSE),"NA")</f>
        <v>3South Puget Sound</v>
      </c>
      <c r="M281" s="72" t="s">
        <v>20</v>
      </c>
      <c r="N281" t="str">
        <f>VLOOKUP(M281,LUTs!E$2:H$14,3,)</f>
        <v>07Pierce</v>
      </c>
      <c r="O281" t="str">
        <f>VLOOKUP(M281,LUTs!E$2:H$14,4,)</f>
        <v>02South Puget Sound</v>
      </c>
      <c r="P281" s="80">
        <v>15.037037037037001</v>
      </c>
      <c r="Q281" s="102">
        <v>15.037037037037001</v>
      </c>
      <c r="R281" s="74">
        <f>VLOOKUP(B281,Readme!A$40:C$52,3,)*Q281</f>
        <v>278.93703703703636</v>
      </c>
    </row>
    <row r="282" spans="1:18" ht="14.15" customHeight="1" x14ac:dyDescent="0.35">
      <c r="A282" s="75">
        <v>57</v>
      </c>
      <c r="B282" s="80">
        <v>2011</v>
      </c>
      <c r="C282" s="80">
        <v>1</v>
      </c>
      <c r="D282" s="80">
        <f t="shared" si="17"/>
        <v>2010</v>
      </c>
      <c r="E282" t="s">
        <v>38</v>
      </c>
      <c r="F282" t="s">
        <v>143</v>
      </c>
      <c r="G282" t="s">
        <v>86</v>
      </c>
      <c r="H282" s="72" t="s">
        <v>204</v>
      </c>
      <c r="I282" s="72" t="s">
        <v>46</v>
      </c>
      <c r="J282" t="str">
        <f t="shared" ref="J282:J326" si="19">I282</f>
        <v>Hoko River</v>
      </c>
      <c r="K282" t="str">
        <f>IFERROR(VLOOKUP(J282,LUTs!$A$1:$C$73,2,FALSE),"NA")</f>
        <v>Clallam</v>
      </c>
      <c r="L282" t="str">
        <f>IFERROR(VLOOKUP(J282,LUTs!$A$1:$C$73,3,FALSE),"NA")</f>
        <v>0Strait of Juan de Fuca</v>
      </c>
      <c r="M282" s="72" t="s">
        <v>24</v>
      </c>
      <c r="N282" t="str">
        <f>VLOOKUP(M282,LUTs!E$2:H$14,3,)</f>
        <v>11Clallam</v>
      </c>
      <c r="O282" t="str">
        <f>VLOOKUP(M282,LUTs!E$2:H$14,4,)</f>
        <v>03Strait of Juan de Fuca</v>
      </c>
      <c r="P282" s="80">
        <v>14</v>
      </c>
      <c r="Q282" s="102">
        <v>14</v>
      </c>
      <c r="R282" s="74">
        <f>VLOOKUP(B282,Readme!A$40:C$52,3,)*Q282</f>
        <v>259.7</v>
      </c>
    </row>
    <row r="283" spans="1:18" ht="14.15" customHeight="1" x14ac:dyDescent="0.35">
      <c r="A283" s="75">
        <v>76</v>
      </c>
      <c r="B283" s="80">
        <v>2011</v>
      </c>
      <c r="C283" s="80">
        <v>1</v>
      </c>
      <c r="D283" s="80">
        <f t="shared" si="17"/>
        <v>2010</v>
      </c>
      <c r="E283" t="s">
        <v>38</v>
      </c>
      <c r="F283" t="s">
        <v>143</v>
      </c>
      <c r="G283" t="s">
        <v>86</v>
      </c>
      <c r="H283" s="72" t="s">
        <v>237</v>
      </c>
      <c r="I283" s="72" t="s">
        <v>79</v>
      </c>
      <c r="J283" t="str">
        <f t="shared" si="19"/>
        <v>Lyre River</v>
      </c>
      <c r="K283" t="str">
        <f>IFERROR(VLOOKUP(J283,LUTs!$A$1:$C$73,2,FALSE),"NA")</f>
        <v>Clallam</v>
      </c>
      <c r="L283" t="str">
        <f>IFERROR(VLOOKUP(J283,LUTs!$A$1:$C$73,3,FALSE),"NA")</f>
        <v>0Strait of Juan de Fuca</v>
      </c>
      <c r="M283" s="72" t="s">
        <v>24</v>
      </c>
      <c r="N283" t="str">
        <f>VLOOKUP(M283,LUTs!E$2:H$14,3,)</f>
        <v>11Clallam</v>
      </c>
      <c r="O283" t="str">
        <f>VLOOKUP(M283,LUTs!E$2:H$14,4,)</f>
        <v>03Strait of Juan de Fuca</v>
      </c>
      <c r="P283" s="80">
        <v>16.6666666666667</v>
      </c>
      <c r="Q283" s="102">
        <v>16.6666666666667</v>
      </c>
      <c r="R283" s="74">
        <f>VLOOKUP(B283,Readme!A$40:C$52,3,)*Q283</f>
        <v>309.16666666666731</v>
      </c>
    </row>
    <row r="284" spans="1:18" ht="14.15" customHeight="1" x14ac:dyDescent="0.35">
      <c r="A284" s="75">
        <v>77</v>
      </c>
      <c r="B284" s="80">
        <v>2011</v>
      </c>
      <c r="C284" s="80">
        <v>1</v>
      </c>
      <c r="D284" s="80">
        <f t="shared" si="17"/>
        <v>2010</v>
      </c>
      <c r="E284" t="s">
        <v>38</v>
      </c>
      <c r="F284" t="s">
        <v>143</v>
      </c>
      <c r="G284" t="s">
        <v>86</v>
      </c>
      <c r="H284" s="72" t="s">
        <v>237</v>
      </c>
      <c r="I284" s="72" t="s">
        <v>79</v>
      </c>
      <c r="J284" t="str">
        <f t="shared" si="19"/>
        <v>Lyre River</v>
      </c>
      <c r="K284" t="str">
        <f>IFERROR(VLOOKUP(J284,LUTs!$A$1:$C$73,2,FALSE),"NA")</f>
        <v>Clallam</v>
      </c>
      <c r="L284" t="str">
        <f>IFERROR(VLOOKUP(J284,LUTs!$A$1:$C$73,3,FALSE),"NA")</f>
        <v>0Strait of Juan de Fuca</v>
      </c>
      <c r="M284" s="72" t="s">
        <v>26</v>
      </c>
      <c r="N284" t="str">
        <f>VLOOKUP(M284,LUTs!E$2:H$14,3,)</f>
        <v>20Other</v>
      </c>
      <c r="O284" t="str">
        <f>VLOOKUP(M284,LUTs!E$2:H$14,4,)</f>
        <v>07Non Puget Sound</v>
      </c>
      <c r="P284" s="80">
        <v>1.6666666666666701</v>
      </c>
      <c r="Q284" s="102">
        <v>1.6666666666666701</v>
      </c>
      <c r="R284" s="74">
        <f>VLOOKUP(B284,Readme!A$40:C$52,3,)*Q284</f>
        <v>30.916666666666732</v>
      </c>
    </row>
    <row r="285" spans="1:18" ht="14.15" customHeight="1" x14ac:dyDescent="0.35">
      <c r="A285" s="75">
        <v>78</v>
      </c>
      <c r="B285" s="80">
        <v>2011</v>
      </c>
      <c r="C285" s="80">
        <v>1</v>
      </c>
      <c r="D285" s="80">
        <f t="shared" si="17"/>
        <v>2010</v>
      </c>
      <c r="E285" t="s">
        <v>38</v>
      </c>
      <c r="F285" t="s">
        <v>143</v>
      </c>
      <c r="G285" t="s">
        <v>86</v>
      </c>
      <c r="H285" s="72" t="s">
        <v>237</v>
      </c>
      <c r="I285" s="72" t="s">
        <v>79</v>
      </c>
      <c r="J285" t="str">
        <f t="shared" si="19"/>
        <v>Lyre River</v>
      </c>
      <c r="K285" t="str">
        <f>IFERROR(VLOOKUP(J285,LUTs!$A$1:$C$73,2,FALSE),"NA")</f>
        <v>Clallam</v>
      </c>
      <c r="L285" t="str">
        <f>IFERROR(VLOOKUP(J285,LUTs!$A$1:$C$73,3,FALSE),"NA")</f>
        <v>0Strait of Juan de Fuca</v>
      </c>
      <c r="M285" s="72" t="s">
        <v>13</v>
      </c>
      <c r="N285" t="str">
        <f>VLOOKUP(M285,LUTs!E$2:H$14,3,)</f>
        <v>01Whatcom</v>
      </c>
      <c r="O285" t="str">
        <f>VLOOKUP(M285,LUTs!E$2:H$14,4,)</f>
        <v>01North Puget Sound</v>
      </c>
      <c r="P285" s="80">
        <v>1.6666666666666701</v>
      </c>
      <c r="Q285" s="102">
        <v>1.6666666666666701</v>
      </c>
      <c r="R285" s="74">
        <f>VLOOKUP(B285,Readme!A$40:C$52,3,)*Q285</f>
        <v>30.916666666666732</v>
      </c>
    </row>
    <row r="286" spans="1:18" ht="14.15" customHeight="1" x14ac:dyDescent="0.35">
      <c r="A286" s="75">
        <v>83</v>
      </c>
      <c r="B286" s="80">
        <v>2011</v>
      </c>
      <c r="C286" s="80">
        <v>1</v>
      </c>
      <c r="D286" s="80">
        <f t="shared" si="17"/>
        <v>2010</v>
      </c>
      <c r="E286" t="s">
        <v>38</v>
      </c>
      <c r="F286" t="s">
        <v>143</v>
      </c>
      <c r="G286" t="s">
        <v>86</v>
      </c>
      <c r="H286" s="72" t="s">
        <v>238</v>
      </c>
      <c r="I286" s="72" t="s">
        <v>91</v>
      </c>
      <c r="J286" t="str">
        <f t="shared" si="19"/>
        <v>Morse Creek (Clallam Co.)</v>
      </c>
      <c r="K286" t="str">
        <f>IFERROR(VLOOKUP(J286,LUTs!$A$1:$C$73,2,FALSE),"NA")</f>
        <v>Clallam</v>
      </c>
      <c r="L286" t="str">
        <f>IFERROR(VLOOKUP(J286,LUTs!$A$1:$C$73,3,FALSE),"NA")</f>
        <v>0Strait of Juan de Fuca</v>
      </c>
      <c r="M286" s="72" t="s">
        <v>24</v>
      </c>
      <c r="N286" t="str">
        <f>VLOOKUP(M286,LUTs!E$2:H$14,3,)</f>
        <v>11Clallam</v>
      </c>
      <c r="O286" t="str">
        <f>VLOOKUP(M286,LUTs!E$2:H$14,4,)</f>
        <v>03Strait of Juan de Fuca</v>
      </c>
      <c r="P286" s="80">
        <v>5</v>
      </c>
      <c r="Q286" s="102">
        <v>5</v>
      </c>
      <c r="R286" s="74">
        <f>VLOOKUP(B286,Readme!A$40:C$52,3,)*Q286</f>
        <v>92.75</v>
      </c>
    </row>
    <row r="287" spans="1:18" ht="14.15" customHeight="1" x14ac:dyDescent="0.35">
      <c r="A287" s="75">
        <v>94</v>
      </c>
      <c r="B287" s="80">
        <v>2011</v>
      </c>
      <c r="C287" s="80">
        <v>1</v>
      </c>
      <c r="D287" s="80">
        <f t="shared" si="17"/>
        <v>2010</v>
      </c>
      <c r="E287" t="s">
        <v>38</v>
      </c>
      <c r="F287" t="s">
        <v>143</v>
      </c>
      <c r="G287" t="s">
        <v>86</v>
      </c>
      <c r="H287" s="72" t="s">
        <v>241</v>
      </c>
      <c r="I287" s="72" t="s">
        <v>83</v>
      </c>
      <c r="J287" t="str">
        <f t="shared" si="19"/>
        <v>Nooksack River, below North Fork</v>
      </c>
      <c r="K287" t="str">
        <f>IFERROR(VLOOKUP(J287,LUTs!$A$1:$C$73,2,FALSE),"NA")</f>
        <v>Whatcom</v>
      </c>
      <c r="L287" t="str">
        <f>IFERROR(VLOOKUP(J287,LUTs!$A$1:$C$73,3,FALSE),"NA")</f>
        <v>1North Puget Sound</v>
      </c>
      <c r="M287" s="72" t="s">
        <v>13</v>
      </c>
      <c r="N287" t="str">
        <f>VLOOKUP(M287,LUTs!E$2:H$14,3,)</f>
        <v>01Whatcom</v>
      </c>
      <c r="O287" t="str">
        <f>VLOOKUP(M287,LUTs!E$2:H$14,4,)</f>
        <v>01North Puget Sound</v>
      </c>
      <c r="P287" s="80">
        <v>5</v>
      </c>
      <c r="Q287" s="102">
        <v>5</v>
      </c>
      <c r="R287" s="74">
        <f>VLOOKUP(B287,Readme!A$40:C$52,3,)*Q287</f>
        <v>92.75</v>
      </c>
    </row>
    <row r="288" spans="1:18" ht="14.15" customHeight="1" x14ac:dyDescent="0.35">
      <c r="A288" s="75">
        <v>88</v>
      </c>
      <c r="B288" s="80">
        <v>2011</v>
      </c>
      <c r="C288" s="80">
        <v>1</v>
      </c>
      <c r="D288" s="80">
        <f t="shared" si="17"/>
        <v>2010</v>
      </c>
      <c r="E288" t="s">
        <v>38</v>
      </c>
      <c r="F288" t="s">
        <v>143</v>
      </c>
      <c r="G288" t="s">
        <v>86</v>
      </c>
      <c r="H288" s="72" t="s">
        <v>239</v>
      </c>
      <c r="I288" s="72" t="s">
        <v>92</v>
      </c>
      <c r="J288" t="str">
        <f t="shared" si="19"/>
        <v>Nooksack River, No. Fork</v>
      </c>
      <c r="K288" t="str">
        <f>IFERROR(VLOOKUP(J288,LUTs!$A$1:$C$73,2,FALSE),"NA")</f>
        <v>Whatcom</v>
      </c>
      <c r="L288" t="str">
        <f>IFERROR(VLOOKUP(J288,LUTs!$A$1:$C$73,3,FALSE),"NA")</f>
        <v>1North Puget Sound</v>
      </c>
      <c r="M288" s="72" t="s">
        <v>13</v>
      </c>
      <c r="N288" t="str">
        <f>VLOOKUP(M288,LUTs!E$2:H$14,3,)</f>
        <v>01Whatcom</v>
      </c>
      <c r="O288" t="str">
        <f>VLOOKUP(M288,LUTs!E$2:H$14,4,)</f>
        <v>01North Puget Sound</v>
      </c>
      <c r="P288" s="80">
        <v>26</v>
      </c>
      <c r="Q288" s="102">
        <v>26</v>
      </c>
      <c r="R288" s="74">
        <f>VLOOKUP(B288,Readme!A$40:C$52,3,)*Q288</f>
        <v>482.3</v>
      </c>
    </row>
    <row r="289" spans="1:18" ht="14.15" customHeight="1" x14ac:dyDescent="0.35">
      <c r="A289" s="75">
        <v>92</v>
      </c>
      <c r="B289" s="80">
        <v>2011</v>
      </c>
      <c r="C289" s="80">
        <v>1</v>
      </c>
      <c r="D289" s="80">
        <f t="shared" si="17"/>
        <v>2010</v>
      </c>
      <c r="E289" t="s">
        <v>38</v>
      </c>
      <c r="F289" t="s">
        <v>143</v>
      </c>
      <c r="G289" t="s">
        <v>86</v>
      </c>
      <c r="H289" s="72" t="s">
        <v>240</v>
      </c>
      <c r="I289" s="72" t="s">
        <v>93</v>
      </c>
      <c r="J289" t="str">
        <f t="shared" si="19"/>
        <v>Nooksack River, So. Fork</v>
      </c>
      <c r="K289" t="str">
        <f>IFERROR(VLOOKUP(J289,LUTs!$A$1:$C$73,2,FALSE),"NA")</f>
        <v>Whatcom</v>
      </c>
      <c r="L289" t="str">
        <f>IFERROR(VLOOKUP(J289,LUTs!$A$1:$C$73,3,FALSE),"NA")</f>
        <v>1North Puget Sound</v>
      </c>
      <c r="M289" s="72" t="s">
        <v>13</v>
      </c>
      <c r="N289" t="str">
        <f>VLOOKUP(M289,LUTs!E$2:H$14,3,)</f>
        <v>01Whatcom</v>
      </c>
      <c r="O289" t="str">
        <f>VLOOKUP(M289,LUTs!E$2:H$14,4,)</f>
        <v>01North Puget Sound</v>
      </c>
      <c r="P289" s="80">
        <v>5</v>
      </c>
      <c r="Q289" s="102">
        <v>5</v>
      </c>
      <c r="R289" s="74">
        <f>VLOOKUP(B289,Readme!A$40:C$52,3,)*Q289</f>
        <v>92.75</v>
      </c>
    </row>
    <row r="290" spans="1:18" ht="14.15" customHeight="1" x14ac:dyDescent="0.35">
      <c r="A290" s="75">
        <v>167</v>
      </c>
      <c r="B290" s="80">
        <v>2011</v>
      </c>
      <c r="C290" s="80">
        <v>1</v>
      </c>
      <c r="D290" s="80">
        <f t="shared" si="17"/>
        <v>2010</v>
      </c>
      <c r="E290" t="s">
        <v>38</v>
      </c>
      <c r="F290" t="s">
        <v>143</v>
      </c>
      <c r="G290" t="s">
        <v>86</v>
      </c>
      <c r="H290" s="72" t="s">
        <v>228</v>
      </c>
      <c r="I290" s="72" t="s">
        <v>70</v>
      </c>
      <c r="J290" t="str">
        <f t="shared" si="19"/>
        <v>Pilchuck River (Snohomish System)</v>
      </c>
      <c r="K290" t="str">
        <f>IFERROR(VLOOKUP(J290,LUTs!$A$1:$C$73,2,FALSE),"NA")</f>
        <v>Snohomish</v>
      </c>
      <c r="L290" t="str">
        <f>IFERROR(VLOOKUP(J290,LUTs!$A$1:$C$73,3,FALSE),"NA")</f>
        <v>2Central Puget Sound</v>
      </c>
      <c r="M290" s="72" t="s">
        <v>18</v>
      </c>
      <c r="N290" t="str">
        <f>VLOOKUP(M290,LUTs!E$2:H$14,3,)</f>
        <v>06King</v>
      </c>
      <c r="O290" t="str">
        <f>VLOOKUP(M290,LUTs!E$2:H$14,4,)</f>
        <v>02South Puget Sound</v>
      </c>
      <c r="P290" s="80">
        <v>1.9</v>
      </c>
      <c r="Q290" s="102">
        <v>1.9</v>
      </c>
      <c r="R290" s="74">
        <f>VLOOKUP(B290,Readme!A$40:C$52,3,)*Q290</f>
        <v>35.244999999999997</v>
      </c>
    </row>
    <row r="291" spans="1:18" ht="14.15" customHeight="1" x14ac:dyDescent="0.35">
      <c r="A291" s="75">
        <v>168</v>
      </c>
      <c r="B291" s="80">
        <v>2011</v>
      </c>
      <c r="C291" s="80">
        <v>1</v>
      </c>
      <c r="D291" s="80">
        <f t="shared" si="17"/>
        <v>2010</v>
      </c>
      <c r="E291" t="s">
        <v>38</v>
      </c>
      <c r="F291" t="s">
        <v>143</v>
      </c>
      <c r="G291" t="s">
        <v>86</v>
      </c>
      <c r="H291" s="72" t="s">
        <v>228</v>
      </c>
      <c r="I291" s="72" t="s">
        <v>70</v>
      </c>
      <c r="J291" t="str">
        <f t="shared" si="19"/>
        <v>Pilchuck River (Snohomish System)</v>
      </c>
      <c r="K291" t="str">
        <f>IFERROR(VLOOKUP(J291,LUTs!$A$1:$C$73,2,FALSE),"NA")</f>
        <v>Snohomish</v>
      </c>
      <c r="L291" t="str">
        <f>IFERROR(VLOOKUP(J291,LUTs!$A$1:$C$73,3,FALSE),"NA")</f>
        <v>2Central Puget Sound</v>
      </c>
      <c r="M291" s="72" t="s">
        <v>16</v>
      </c>
      <c r="N291" t="str">
        <f>VLOOKUP(M291,LUTs!E$2:H$14,3,)</f>
        <v>03Snohomish</v>
      </c>
      <c r="O291" t="str">
        <f>VLOOKUP(M291,LUTs!E$2:H$14,4,)</f>
        <v>01North Puget Sound</v>
      </c>
      <c r="P291" s="80">
        <v>17.100000000000001</v>
      </c>
      <c r="Q291" s="102">
        <v>17.100000000000001</v>
      </c>
      <c r="R291" s="74">
        <f>VLOOKUP(B291,Readme!A$40:C$52,3,)*Q291</f>
        <v>317.20500000000004</v>
      </c>
    </row>
    <row r="292" spans="1:18" ht="14.15" customHeight="1" x14ac:dyDescent="0.35">
      <c r="A292" s="75">
        <v>103</v>
      </c>
      <c r="B292" s="80">
        <v>2011</v>
      </c>
      <c r="C292" s="80">
        <v>1</v>
      </c>
      <c r="D292" s="80">
        <f t="shared" si="17"/>
        <v>2010</v>
      </c>
      <c r="E292" t="s">
        <v>38</v>
      </c>
      <c r="F292" t="s">
        <v>143</v>
      </c>
      <c r="G292" t="s">
        <v>86</v>
      </c>
      <c r="H292" s="72" t="s">
        <v>227</v>
      </c>
      <c r="I292" s="72" t="s">
        <v>69</v>
      </c>
      <c r="J292" t="str">
        <f t="shared" si="19"/>
        <v>Pysht River</v>
      </c>
      <c r="K292" t="str">
        <f>IFERROR(VLOOKUP(J292,LUTs!$A$1:$C$73,2,FALSE),"NA")</f>
        <v>Clallam</v>
      </c>
      <c r="L292" t="str">
        <f>IFERROR(VLOOKUP(J292,LUTs!$A$1:$C$73,3,FALSE),"NA")</f>
        <v>0Strait of Juan de Fuca</v>
      </c>
      <c r="M292" s="72" t="s">
        <v>24</v>
      </c>
      <c r="N292" t="str">
        <f>VLOOKUP(M292,LUTs!E$2:H$14,3,)</f>
        <v>11Clallam</v>
      </c>
      <c r="O292" t="str">
        <f>VLOOKUP(M292,LUTs!E$2:H$14,4,)</f>
        <v>03Strait of Juan de Fuca</v>
      </c>
      <c r="P292" s="80">
        <v>7</v>
      </c>
      <c r="Q292" s="102">
        <v>7</v>
      </c>
      <c r="R292" s="74">
        <f>VLOOKUP(B292,Readme!A$40:C$52,3,)*Q292</f>
        <v>129.85</v>
      </c>
    </row>
    <row r="293" spans="1:18" ht="14.15" customHeight="1" x14ac:dyDescent="0.35">
      <c r="A293" s="75">
        <v>177</v>
      </c>
      <c r="B293" s="80">
        <v>2011</v>
      </c>
      <c r="C293" s="80">
        <v>1</v>
      </c>
      <c r="D293" s="80">
        <f t="shared" si="17"/>
        <v>2010</v>
      </c>
      <c r="E293" t="s">
        <v>38</v>
      </c>
      <c r="F293" t="s">
        <v>143</v>
      </c>
      <c r="G293" t="s">
        <v>86</v>
      </c>
      <c r="H293" s="72" t="s">
        <v>246</v>
      </c>
      <c r="I293" s="72" t="s">
        <v>97</v>
      </c>
      <c r="J293" t="str">
        <f t="shared" si="19"/>
        <v>Raging River</v>
      </c>
      <c r="K293" t="str">
        <f>IFERROR(VLOOKUP(J293,LUTs!$A$1:$C$73,2,FALSE),"NA")</f>
        <v>King</v>
      </c>
      <c r="L293" t="str">
        <f>IFERROR(VLOOKUP(J293,LUTs!$A$1:$C$73,3,FALSE),"NA")</f>
        <v>2Central Puget Sound</v>
      </c>
      <c r="M293" s="72" t="s">
        <v>20</v>
      </c>
      <c r="N293" t="str">
        <f>VLOOKUP(M293,LUTs!E$2:H$14,3,)</f>
        <v>07Pierce</v>
      </c>
      <c r="O293" t="str">
        <f>VLOOKUP(M293,LUTs!E$2:H$14,4,)</f>
        <v>02South Puget Sound</v>
      </c>
      <c r="P293" s="80">
        <v>2</v>
      </c>
      <c r="Q293" s="102">
        <v>2</v>
      </c>
      <c r="R293" s="74">
        <f>VLOOKUP(B293,Readme!A$40:C$52,3,)*Q293</f>
        <v>37.1</v>
      </c>
    </row>
    <row r="294" spans="1:18" ht="14.15" customHeight="1" x14ac:dyDescent="0.35">
      <c r="A294" s="75">
        <v>104</v>
      </c>
      <c r="B294" s="80">
        <v>2011</v>
      </c>
      <c r="C294" s="80">
        <v>1</v>
      </c>
      <c r="D294" s="80">
        <f t="shared" si="17"/>
        <v>2010</v>
      </c>
      <c r="E294" t="s">
        <v>38</v>
      </c>
      <c r="F294" t="s">
        <v>143</v>
      </c>
      <c r="G294" t="s">
        <v>86</v>
      </c>
      <c r="H294" s="72" t="s">
        <v>243</v>
      </c>
      <c r="I294" s="72" t="s">
        <v>94</v>
      </c>
      <c r="J294" t="str">
        <f t="shared" si="19"/>
        <v>Salt Creek (Clallam Co.)</v>
      </c>
      <c r="K294" t="str">
        <f>IFERROR(VLOOKUP(J294,LUTs!$A$1:$C$73,2,FALSE),"NA")</f>
        <v>Clallam</v>
      </c>
      <c r="L294" t="str">
        <f>IFERROR(VLOOKUP(J294,LUTs!$A$1:$C$73,3,FALSE),"NA")</f>
        <v>0Strait of Juan de Fuca</v>
      </c>
      <c r="M294" s="72" t="s">
        <v>24</v>
      </c>
      <c r="N294" t="str">
        <f>VLOOKUP(M294,LUTs!E$2:H$14,3,)</f>
        <v>11Clallam</v>
      </c>
      <c r="O294" t="str">
        <f>VLOOKUP(M294,LUTs!E$2:H$14,4,)</f>
        <v>03Strait of Juan de Fuca</v>
      </c>
      <c r="P294" s="80">
        <v>2</v>
      </c>
      <c r="Q294" s="102">
        <v>2</v>
      </c>
      <c r="R294" s="74">
        <f>VLOOKUP(B294,Readme!A$40:C$52,3,)*Q294</f>
        <v>37.1</v>
      </c>
    </row>
    <row r="295" spans="1:18" ht="14.15" customHeight="1" x14ac:dyDescent="0.35">
      <c r="A295" s="75">
        <v>107</v>
      </c>
      <c r="B295" s="80">
        <v>2011</v>
      </c>
      <c r="C295" s="80">
        <v>1</v>
      </c>
      <c r="D295" s="80">
        <f t="shared" si="17"/>
        <v>2010</v>
      </c>
      <c r="E295" t="s">
        <v>38</v>
      </c>
      <c r="F295" t="s">
        <v>143</v>
      </c>
      <c r="G295" t="s">
        <v>86</v>
      </c>
      <c r="H295" s="72" t="s">
        <v>244</v>
      </c>
      <c r="I295" s="72" t="s">
        <v>95</v>
      </c>
      <c r="J295" t="str">
        <f t="shared" si="19"/>
        <v>Sekiu River</v>
      </c>
      <c r="K295" t="str">
        <f>IFERROR(VLOOKUP(J295,LUTs!$A$1:$C$73,2,FALSE),"NA")</f>
        <v>Clallam</v>
      </c>
      <c r="L295" t="str">
        <f>IFERROR(VLOOKUP(J295,LUTs!$A$1:$C$73,3,FALSE),"NA")</f>
        <v>0Strait of Juan de Fuca</v>
      </c>
      <c r="M295" s="72" t="s">
        <v>24</v>
      </c>
      <c r="N295" t="str">
        <f>VLOOKUP(M295,LUTs!E$2:H$14,3,)</f>
        <v>11Clallam</v>
      </c>
      <c r="O295" t="str">
        <f>VLOOKUP(M295,LUTs!E$2:H$14,4,)</f>
        <v>03Strait of Juan de Fuca</v>
      </c>
      <c r="P295" s="80">
        <v>2</v>
      </c>
      <c r="Q295" s="102">
        <v>2</v>
      </c>
      <c r="R295" s="74">
        <f>VLOOKUP(B295,Readme!A$40:C$52,3,)*Q295</f>
        <v>37.1</v>
      </c>
    </row>
    <row r="296" spans="1:18" ht="14.15" customHeight="1" x14ac:dyDescent="0.35">
      <c r="A296" s="75">
        <v>161</v>
      </c>
      <c r="B296" s="80">
        <v>2011</v>
      </c>
      <c r="C296" s="80">
        <v>1</v>
      </c>
      <c r="D296" s="80">
        <f t="shared" si="17"/>
        <v>2010</v>
      </c>
      <c r="E296" t="s">
        <v>38</v>
      </c>
      <c r="F296" t="s">
        <v>143</v>
      </c>
      <c r="G296" t="s">
        <v>86</v>
      </c>
      <c r="H296" s="72" t="s">
        <v>218</v>
      </c>
      <c r="I296" s="72" t="s">
        <v>60</v>
      </c>
      <c r="J296" t="str">
        <f t="shared" si="19"/>
        <v>Skagit River</v>
      </c>
      <c r="K296" t="str">
        <f>IFERROR(VLOOKUP(J296,LUTs!$A$1:$C$73,2,FALSE),"NA")</f>
        <v>Skagit/Whatcom</v>
      </c>
      <c r="L296" t="str">
        <f>IFERROR(VLOOKUP(J296,LUTs!$A$1:$C$73,3,FALSE),"NA")</f>
        <v>2Central Puget Sound</v>
      </c>
      <c r="M296" s="72" t="s">
        <v>18</v>
      </c>
      <c r="N296" t="str">
        <f>VLOOKUP(M296,LUTs!E$2:H$14,3,)</f>
        <v>06King</v>
      </c>
      <c r="O296" t="str">
        <f>VLOOKUP(M296,LUTs!E$2:H$14,4,)</f>
        <v>02South Puget Sound</v>
      </c>
      <c r="P296" s="80">
        <v>3</v>
      </c>
      <c r="Q296" s="102">
        <v>3</v>
      </c>
      <c r="R296" s="74">
        <f>VLOOKUP(B296,Readme!A$40:C$52,3,)*Q296</f>
        <v>55.650000000000006</v>
      </c>
    </row>
    <row r="297" spans="1:18" ht="14.15" customHeight="1" x14ac:dyDescent="0.35">
      <c r="A297" s="75">
        <v>162</v>
      </c>
      <c r="B297" s="80">
        <v>2011</v>
      </c>
      <c r="C297" s="80">
        <v>1</v>
      </c>
      <c r="D297" s="80">
        <f t="shared" si="17"/>
        <v>2010</v>
      </c>
      <c r="E297" t="s">
        <v>38</v>
      </c>
      <c r="F297" t="s">
        <v>143</v>
      </c>
      <c r="G297" t="s">
        <v>86</v>
      </c>
      <c r="H297" s="72" t="s">
        <v>218</v>
      </c>
      <c r="I297" s="72" t="s">
        <v>60</v>
      </c>
      <c r="J297" t="str">
        <f t="shared" si="19"/>
        <v>Skagit River</v>
      </c>
      <c r="K297" t="str">
        <f>IFERROR(VLOOKUP(J297,LUTs!$A$1:$C$73,2,FALSE),"NA")</f>
        <v>Skagit/Whatcom</v>
      </c>
      <c r="L297" t="str">
        <f>IFERROR(VLOOKUP(J297,LUTs!$A$1:$C$73,3,FALSE),"NA")</f>
        <v>2Central Puget Sound</v>
      </c>
      <c r="M297" s="72" t="s">
        <v>15</v>
      </c>
      <c r="N297" t="str">
        <f>VLOOKUP(M297,LUTs!E$2:H$14,3,)</f>
        <v>02Skagit</v>
      </c>
      <c r="O297" t="str">
        <f>VLOOKUP(M297,LUTs!E$2:H$14,4,)</f>
        <v>01North Puget Sound</v>
      </c>
      <c r="P297" s="80">
        <v>3</v>
      </c>
      <c r="Q297" s="102">
        <v>3</v>
      </c>
      <c r="R297" s="74">
        <f>VLOOKUP(B297,Readme!A$40:C$52,3,)*Q297</f>
        <v>55.650000000000006</v>
      </c>
    </row>
    <row r="298" spans="1:18" ht="14.15" customHeight="1" x14ac:dyDescent="0.35">
      <c r="A298" s="75">
        <v>163</v>
      </c>
      <c r="B298" s="80">
        <v>2011</v>
      </c>
      <c r="C298" s="80">
        <v>1</v>
      </c>
      <c r="D298" s="80">
        <f t="shared" si="17"/>
        <v>2010</v>
      </c>
      <c r="E298" t="s">
        <v>38</v>
      </c>
      <c r="F298" t="s">
        <v>143</v>
      </c>
      <c r="G298" t="s">
        <v>86</v>
      </c>
      <c r="H298" s="72" t="s">
        <v>218</v>
      </c>
      <c r="I298" s="72" t="s">
        <v>60</v>
      </c>
      <c r="J298" t="str">
        <f t="shared" si="19"/>
        <v>Skagit River</v>
      </c>
      <c r="K298" t="str">
        <f>IFERROR(VLOOKUP(J298,LUTs!$A$1:$C$73,2,FALSE),"NA")</f>
        <v>Skagit/Whatcom</v>
      </c>
      <c r="L298" t="str">
        <f>IFERROR(VLOOKUP(J298,LUTs!$A$1:$C$73,3,FALSE),"NA")</f>
        <v>2Central Puget Sound</v>
      </c>
      <c r="M298" s="72" t="s">
        <v>16</v>
      </c>
      <c r="N298" t="str">
        <f>VLOOKUP(M298,LUTs!E$2:H$14,3,)</f>
        <v>03Snohomish</v>
      </c>
      <c r="O298" t="str">
        <f>VLOOKUP(M298,LUTs!E$2:H$14,4,)</f>
        <v>01North Puget Sound</v>
      </c>
      <c r="P298" s="80">
        <v>3</v>
      </c>
      <c r="Q298" s="102">
        <v>3</v>
      </c>
      <c r="R298" s="74">
        <f>VLOOKUP(B298,Readme!A$40:C$52,3,)*Q298</f>
        <v>55.650000000000006</v>
      </c>
    </row>
    <row r="299" spans="1:18" ht="14.15" customHeight="1" x14ac:dyDescent="0.35">
      <c r="A299" s="75">
        <v>164</v>
      </c>
      <c r="B299" s="80">
        <v>2011</v>
      </c>
      <c r="C299" s="80">
        <v>1</v>
      </c>
      <c r="D299" s="80">
        <f t="shared" si="17"/>
        <v>2010</v>
      </c>
      <c r="E299" t="s">
        <v>38</v>
      </c>
      <c r="F299" t="s">
        <v>143</v>
      </c>
      <c r="G299" t="s">
        <v>86</v>
      </c>
      <c r="H299" s="72" t="s">
        <v>218</v>
      </c>
      <c r="I299" s="72" t="s">
        <v>60</v>
      </c>
      <c r="J299" t="str">
        <f t="shared" si="19"/>
        <v>Skagit River</v>
      </c>
      <c r="K299" t="str">
        <f>IFERROR(VLOOKUP(J299,LUTs!$A$1:$C$73,2,FALSE),"NA")</f>
        <v>Skagit/Whatcom</v>
      </c>
      <c r="L299" t="str">
        <f>IFERROR(VLOOKUP(J299,LUTs!$A$1:$C$73,3,FALSE),"NA")</f>
        <v>2Central Puget Sound</v>
      </c>
      <c r="M299" s="72" t="s">
        <v>13</v>
      </c>
      <c r="N299" t="str">
        <f>VLOOKUP(M299,LUTs!E$2:H$14,3,)</f>
        <v>01Whatcom</v>
      </c>
      <c r="O299" t="str">
        <f>VLOOKUP(M299,LUTs!E$2:H$14,4,)</f>
        <v>01North Puget Sound</v>
      </c>
      <c r="P299" s="80">
        <v>3</v>
      </c>
      <c r="Q299" s="102">
        <v>3</v>
      </c>
      <c r="R299" s="74">
        <f>VLOOKUP(B299,Readme!A$40:C$52,3,)*Q299</f>
        <v>55.650000000000006</v>
      </c>
    </row>
    <row r="300" spans="1:18" ht="14.15" customHeight="1" x14ac:dyDescent="0.35">
      <c r="A300" s="75">
        <v>209</v>
      </c>
      <c r="B300" s="80">
        <v>2011</v>
      </c>
      <c r="C300" s="80">
        <v>1</v>
      </c>
      <c r="D300" s="80">
        <f t="shared" si="17"/>
        <v>2010</v>
      </c>
      <c r="E300" t="s">
        <v>38</v>
      </c>
      <c r="F300" t="s">
        <v>143</v>
      </c>
      <c r="G300" t="s">
        <v>86</v>
      </c>
      <c r="H300" s="72" t="s">
        <v>220</v>
      </c>
      <c r="I300" s="72" t="s">
        <v>62</v>
      </c>
      <c r="J300" t="str">
        <f t="shared" si="19"/>
        <v>Skykomish River</v>
      </c>
      <c r="K300" t="str">
        <f>IFERROR(VLOOKUP(J300,LUTs!$A$1:$C$73,2,FALSE),"NA")</f>
        <v>Snohomish</v>
      </c>
      <c r="L300" t="str">
        <f>IFERROR(VLOOKUP(J300,LUTs!$A$1:$C$73,3,FALSE),"NA")</f>
        <v>2Central Puget Sound</v>
      </c>
      <c r="M300" s="72" t="s">
        <v>18</v>
      </c>
      <c r="N300" t="str">
        <f>VLOOKUP(M300,LUTs!E$2:H$14,3,)</f>
        <v>06King</v>
      </c>
      <c r="O300" t="str">
        <f>VLOOKUP(M300,LUTs!E$2:H$14,4,)</f>
        <v>02South Puget Sound</v>
      </c>
      <c r="P300" s="80">
        <v>109.161290322581</v>
      </c>
      <c r="Q300" s="102">
        <v>109.161290322581</v>
      </c>
      <c r="R300" s="74">
        <f>VLOOKUP(B300,Readme!A$40:C$52,3,)*Q300</f>
        <v>2024.9419354838776</v>
      </c>
    </row>
    <row r="301" spans="1:18" ht="14.15" customHeight="1" x14ac:dyDescent="0.35">
      <c r="A301" s="75">
        <v>210</v>
      </c>
      <c r="B301" s="80">
        <v>2011</v>
      </c>
      <c r="C301" s="80">
        <v>1</v>
      </c>
      <c r="D301" s="80">
        <f t="shared" si="17"/>
        <v>2010</v>
      </c>
      <c r="E301" t="s">
        <v>38</v>
      </c>
      <c r="F301" t="s">
        <v>143</v>
      </c>
      <c r="G301" t="s">
        <v>86</v>
      </c>
      <c r="H301" s="72" t="s">
        <v>220</v>
      </c>
      <c r="I301" s="72" t="s">
        <v>62</v>
      </c>
      <c r="J301" t="str">
        <f t="shared" si="19"/>
        <v>Skykomish River</v>
      </c>
      <c r="K301" t="str">
        <f>IFERROR(VLOOKUP(J301,LUTs!$A$1:$C$73,2,FALSE),"NA")</f>
        <v>Snohomish</v>
      </c>
      <c r="L301" t="str">
        <f>IFERROR(VLOOKUP(J301,LUTs!$A$1:$C$73,3,FALSE),"NA")</f>
        <v>2Central Puget Sound</v>
      </c>
      <c r="M301" s="72" t="s">
        <v>26</v>
      </c>
      <c r="N301" t="str">
        <f>VLOOKUP(M301,LUTs!E$2:H$14,3,)</f>
        <v>20Other</v>
      </c>
      <c r="O301" t="str">
        <f>VLOOKUP(M301,LUTs!E$2:H$14,4,)</f>
        <v>07Non Puget Sound</v>
      </c>
      <c r="P301" s="80">
        <v>2.2741935483871001</v>
      </c>
      <c r="Q301" s="102">
        <v>2.2741935483871001</v>
      </c>
      <c r="R301" s="74">
        <f>VLOOKUP(B301,Readme!A$40:C$52,3,)*Q301</f>
        <v>42.18629032258071</v>
      </c>
    </row>
    <row r="302" spans="1:18" ht="14.15" customHeight="1" x14ac:dyDescent="0.35">
      <c r="A302" s="75">
        <v>211</v>
      </c>
      <c r="B302" s="80">
        <v>2011</v>
      </c>
      <c r="C302" s="80">
        <v>1</v>
      </c>
      <c r="D302" s="80">
        <f t="shared" si="17"/>
        <v>2010</v>
      </c>
      <c r="E302" t="s">
        <v>38</v>
      </c>
      <c r="F302" t="s">
        <v>143</v>
      </c>
      <c r="G302" t="s">
        <v>86</v>
      </c>
      <c r="H302" s="72" t="s">
        <v>220</v>
      </c>
      <c r="I302" s="72" t="s">
        <v>62</v>
      </c>
      <c r="J302" t="str">
        <f t="shared" si="19"/>
        <v>Skykomish River</v>
      </c>
      <c r="K302" t="str">
        <f>IFERROR(VLOOKUP(J302,LUTs!$A$1:$C$73,2,FALSE),"NA")</f>
        <v>Snohomish</v>
      </c>
      <c r="L302" t="str">
        <f>IFERROR(VLOOKUP(J302,LUTs!$A$1:$C$73,3,FALSE),"NA")</f>
        <v>2Central Puget Sound</v>
      </c>
      <c r="M302" s="72" t="s">
        <v>20</v>
      </c>
      <c r="N302" t="str">
        <f>VLOOKUP(M302,LUTs!E$2:H$14,3,)</f>
        <v>07Pierce</v>
      </c>
      <c r="O302" t="str">
        <f>VLOOKUP(M302,LUTs!E$2:H$14,4,)</f>
        <v>02South Puget Sound</v>
      </c>
      <c r="P302" s="80">
        <v>2.2741935483871001</v>
      </c>
      <c r="Q302" s="102">
        <v>2.2741935483871001</v>
      </c>
      <c r="R302" s="74">
        <f>VLOOKUP(B302,Readme!A$40:C$52,3,)*Q302</f>
        <v>42.18629032258071</v>
      </c>
    </row>
    <row r="303" spans="1:18" ht="14.15" customHeight="1" x14ac:dyDescent="0.35">
      <c r="A303" s="75">
        <v>212</v>
      </c>
      <c r="B303" s="80">
        <v>2011</v>
      </c>
      <c r="C303" s="80">
        <v>1</v>
      </c>
      <c r="D303" s="80">
        <f t="shared" si="17"/>
        <v>2010</v>
      </c>
      <c r="E303" t="s">
        <v>38</v>
      </c>
      <c r="F303" t="s">
        <v>143</v>
      </c>
      <c r="G303" t="s">
        <v>86</v>
      </c>
      <c r="H303" s="72" t="s">
        <v>220</v>
      </c>
      <c r="I303" s="72" t="s">
        <v>62</v>
      </c>
      <c r="J303" t="str">
        <f t="shared" si="19"/>
        <v>Skykomish River</v>
      </c>
      <c r="K303" t="str">
        <f>IFERROR(VLOOKUP(J303,LUTs!$A$1:$C$73,2,FALSE),"NA")</f>
        <v>Snohomish</v>
      </c>
      <c r="L303" t="str">
        <f>IFERROR(VLOOKUP(J303,LUTs!$A$1:$C$73,3,FALSE),"NA")</f>
        <v>2Central Puget Sound</v>
      </c>
      <c r="M303" s="72" t="s">
        <v>16</v>
      </c>
      <c r="N303" t="str">
        <f>VLOOKUP(M303,LUTs!E$2:H$14,3,)</f>
        <v>03Snohomish</v>
      </c>
      <c r="O303" t="str">
        <f>VLOOKUP(M303,LUTs!E$2:H$14,4,)</f>
        <v>01North Puget Sound</v>
      </c>
      <c r="P303" s="80">
        <v>168.29032258064501</v>
      </c>
      <c r="Q303" s="102">
        <v>168.29032258064501</v>
      </c>
      <c r="R303" s="74">
        <f>VLOOKUP(B303,Readme!A$40:C$52,3,)*Q303</f>
        <v>3121.785483870965</v>
      </c>
    </row>
    <row r="304" spans="1:18" ht="14.15" customHeight="1" x14ac:dyDescent="0.35">
      <c r="A304" s="75">
        <v>231</v>
      </c>
      <c r="B304" s="80">
        <v>2011</v>
      </c>
      <c r="C304" s="80">
        <v>1</v>
      </c>
      <c r="D304" s="80">
        <f t="shared" si="17"/>
        <v>2010</v>
      </c>
      <c r="E304" t="s">
        <v>38</v>
      </c>
      <c r="F304" t="s">
        <v>143</v>
      </c>
      <c r="G304" t="s">
        <v>86</v>
      </c>
      <c r="H304" s="72" t="s">
        <v>247</v>
      </c>
      <c r="I304" s="72" t="s">
        <v>98</v>
      </c>
      <c r="J304" t="str">
        <f t="shared" si="19"/>
        <v>Skykomish River, No. Fork</v>
      </c>
      <c r="K304" t="str">
        <f>IFERROR(VLOOKUP(J304,LUTs!$A$1:$C$73,2,FALSE),"NA")</f>
        <v>Snohomish</v>
      </c>
      <c r="L304" t="str">
        <f>IFERROR(VLOOKUP(J304,LUTs!$A$1:$C$73,3,FALSE),"NA")</f>
        <v>2Central Puget Sound</v>
      </c>
      <c r="M304" s="72" t="s">
        <v>16</v>
      </c>
      <c r="N304" t="str">
        <f>VLOOKUP(M304,LUTs!E$2:H$14,3,)</f>
        <v>03Snohomish</v>
      </c>
      <c r="O304" t="str">
        <f>VLOOKUP(M304,LUTs!E$2:H$14,4,)</f>
        <v>01North Puget Sound</v>
      </c>
      <c r="P304" s="80">
        <v>2</v>
      </c>
      <c r="Q304" s="102">
        <v>2</v>
      </c>
      <c r="R304" s="74">
        <f>VLOOKUP(B304,Readme!A$40:C$52,3,)*Q304</f>
        <v>37.1</v>
      </c>
    </row>
    <row r="305" spans="1:18" ht="14.15" customHeight="1" x14ac:dyDescent="0.35">
      <c r="A305" s="75">
        <v>239</v>
      </c>
      <c r="B305" s="80">
        <v>2011</v>
      </c>
      <c r="C305" s="80">
        <v>1</v>
      </c>
      <c r="D305" s="80">
        <f t="shared" si="17"/>
        <v>2010</v>
      </c>
      <c r="E305" t="s">
        <v>38</v>
      </c>
      <c r="F305" t="s">
        <v>143</v>
      </c>
      <c r="G305" t="s">
        <v>86</v>
      </c>
      <c r="H305" s="72" t="s">
        <v>248</v>
      </c>
      <c r="I305" s="72" t="s">
        <v>99</v>
      </c>
      <c r="J305" t="str">
        <f t="shared" si="19"/>
        <v>Skykomish River, So. Fork</v>
      </c>
      <c r="K305" t="str">
        <f>IFERROR(VLOOKUP(J305,LUTs!$A$1:$C$73,2,FALSE),"NA")</f>
        <v>Snohomish/King</v>
      </c>
      <c r="L305" t="str">
        <f>IFERROR(VLOOKUP(J305,LUTs!$A$1:$C$73,3,FALSE),"NA")</f>
        <v>2Central Puget Sound</v>
      </c>
      <c r="M305" s="72" t="s">
        <v>16</v>
      </c>
      <c r="N305" t="str">
        <f>VLOOKUP(M305,LUTs!E$2:H$14,3,)</f>
        <v>03Snohomish</v>
      </c>
      <c r="O305" t="str">
        <f>VLOOKUP(M305,LUTs!E$2:H$14,4,)</f>
        <v>01North Puget Sound</v>
      </c>
      <c r="P305" s="80">
        <v>2</v>
      </c>
      <c r="Q305" s="102">
        <v>2</v>
      </c>
      <c r="R305" s="74">
        <f>VLOOKUP(B305,Readme!A$40:C$52,3,)*Q305</f>
        <v>37.1</v>
      </c>
    </row>
    <row r="306" spans="1:18" ht="14.15" customHeight="1" x14ac:dyDescent="0.35">
      <c r="A306" s="75">
        <v>251</v>
      </c>
      <c r="B306" s="80">
        <v>2011</v>
      </c>
      <c r="C306" s="80">
        <v>1</v>
      </c>
      <c r="D306" s="80">
        <f t="shared" si="17"/>
        <v>2010</v>
      </c>
      <c r="E306" t="s">
        <v>38</v>
      </c>
      <c r="F306" t="s">
        <v>143</v>
      </c>
      <c r="G306" t="s">
        <v>86</v>
      </c>
      <c r="H306" s="72" t="s">
        <v>221</v>
      </c>
      <c r="I306" s="72" t="s">
        <v>63</v>
      </c>
      <c r="J306" t="str">
        <f t="shared" si="19"/>
        <v>Snohomish River</v>
      </c>
      <c r="K306" t="str">
        <f>IFERROR(VLOOKUP(J306,LUTs!$A$1:$C$73,2,FALSE),"NA")</f>
        <v>Snohomish</v>
      </c>
      <c r="L306" t="str">
        <f>IFERROR(VLOOKUP(J306,LUTs!$A$1:$C$73,3,FALSE),"NA")</f>
        <v>2Central Puget Sound</v>
      </c>
      <c r="M306" s="72" t="s">
        <v>18</v>
      </c>
      <c r="N306" t="str">
        <f>VLOOKUP(M306,LUTs!E$2:H$14,3,)</f>
        <v>06King</v>
      </c>
      <c r="O306" t="str">
        <f>VLOOKUP(M306,LUTs!E$2:H$14,4,)</f>
        <v>02South Puget Sound</v>
      </c>
      <c r="P306" s="80">
        <v>4.5454545454545503</v>
      </c>
      <c r="Q306" s="102">
        <v>4.5454545454545503</v>
      </c>
      <c r="R306" s="74">
        <f>VLOOKUP(B306,Readme!A$40:C$52,3,)*Q306</f>
        <v>84.318181818181912</v>
      </c>
    </row>
    <row r="307" spans="1:18" ht="14.15" customHeight="1" x14ac:dyDescent="0.35">
      <c r="A307" s="75">
        <v>252</v>
      </c>
      <c r="B307" s="80">
        <v>2011</v>
      </c>
      <c r="C307" s="80">
        <v>1</v>
      </c>
      <c r="D307" s="80">
        <f t="shared" si="17"/>
        <v>2010</v>
      </c>
      <c r="E307" t="s">
        <v>38</v>
      </c>
      <c r="F307" t="s">
        <v>143</v>
      </c>
      <c r="G307" t="s">
        <v>86</v>
      </c>
      <c r="H307" s="72" t="s">
        <v>221</v>
      </c>
      <c r="I307" s="72" t="s">
        <v>63</v>
      </c>
      <c r="J307" t="str">
        <f t="shared" si="19"/>
        <v>Snohomish River</v>
      </c>
      <c r="K307" t="str">
        <f>IFERROR(VLOOKUP(J307,LUTs!$A$1:$C$73,2,FALSE),"NA")</f>
        <v>Snohomish</v>
      </c>
      <c r="L307" t="str">
        <f>IFERROR(VLOOKUP(J307,LUTs!$A$1:$C$73,3,FALSE),"NA")</f>
        <v>2Central Puget Sound</v>
      </c>
      <c r="M307" s="72" t="s">
        <v>16</v>
      </c>
      <c r="N307" t="str">
        <f>VLOOKUP(M307,LUTs!E$2:H$14,3,)</f>
        <v>03Snohomish</v>
      </c>
      <c r="O307" t="str">
        <f>VLOOKUP(M307,LUTs!E$2:H$14,4,)</f>
        <v>01North Puget Sound</v>
      </c>
      <c r="P307" s="80">
        <v>20.454545454545499</v>
      </c>
      <c r="Q307" s="102">
        <v>20.454545454545499</v>
      </c>
      <c r="R307" s="74">
        <f>VLOOKUP(B307,Readme!A$40:C$52,3,)*Q307</f>
        <v>379.43181818181904</v>
      </c>
    </row>
    <row r="308" spans="1:18" ht="14.15" customHeight="1" x14ac:dyDescent="0.35">
      <c r="A308" s="75">
        <v>273</v>
      </c>
      <c r="B308" s="80">
        <v>2011</v>
      </c>
      <c r="C308" s="80">
        <v>1</v>
      </c>
      <c r="D308" s="80">
        <f t="shared" si="17"/>
        <v>2010</v>
      </c>
      <c r="E308" t="s">
        <v>38</v>
      </c>
      <c r="F308" t="s">
        <v>143</v>
      </c>
      <c r="G308" t="s">
        <v>86</v>
      </c>
      <c r="H308" s="72" t="s">
        <v>222</v>
      </c>
      <c r="I308" s="72" t="s">
        <v>64</v>
      </c>
      <c r="J308" t="str">
        <f t="shared" si="19"/>
        <v>Snoqualmie River</v>
      </c>
      <c r="K308" t="str">
        <f>IFERROR(VLOOKUP(J308,LUTs!$A$1:$C$73,2,FALSE),"NA")</f>
        <v>Snohomish/King</v>
      </c>
      <c r="L308" t="str">
        <f>IFERROR(VLOOKUP(J308,LUTs!$A$1:$C$73,3,FALSE),"NA")</f>
        <v>2Central Puget Sound</v>
      </c>
      <c r="M308" s="72" t="s">
        <v>18</v>
      </c>
      <c r="N308" t="str">
        <f>VLOOKUP(M308,LUTs!E$2:H$14,3,)</f>
        <v>06King</v>
      </c>
      <c r="O308" t="str">
        <f>VLOOKUP(M308,LUTs!E$2:H$14,4,)</f>
        <v>02South Puget Sound</v>
      </c>
      <c r="P308" s="80">
        <v>60.827586206896598</v>
      </c>
      <c r="Q308" s="102">
        <v>60.827586206896598</v>
      </c>
      <c r="R308" s="74">
        <f>VLOOKUP(B308,Readme!A$40:C$52,3,)*Q308</f>
        <v>1128.351724137932</v>
      </c>
    </row>
    <row r="309" spans="1:18" ht="14.15" customHeight="1" x14ac:dyDescent="0.35">
      <c r="A309" s="75">
        <v>274</v>
      </c>
      <c r="B309" s="80">
        <v>2011</v>
      </c>
      <c r="C309" s="80">
        <v>1</v>
      </c>
      <c r="D309" s="80">
        <f t="shared" si="17"/>
        <v>2010</v>
      </c>
      <c r="E309" t="s">
        <v>38</v>
      </c>
      <c r="F309" t="s">
        <v>143</v>
      </c>
      <c r="G309" t="s">
        <v>86</v>
      </c>
      <c r="H309" s="72" t="s">
        <v>222</v>
      </c>
      <c r="I309" s="72" t="s">
        <v>64</v>
      </c>
      <c r="J309" t="str">
        <f t="shared" si="19"/>
        <v>Snoqualmie River</v>
      </c>
      <c r="K309" t="str">
        <f>IFERROR(VLOOKUP(J309,LUTs!$A$1:$C$73,2,FALSE),"NA")</f>
        <v>Snohomish/King</v>
      </c>
      <c r="L309" t="str">
        <f>IFERROR(VLOOKUP(J309,LUTs!$A$1:$C$73,3,FALSE),"NA")</f>
        <v>2Central Puget Sound</v>
      </c>
      <c r="M309" s="72" t="s">
        <v>23</v>
      </c>
      <c r="N309" t="str">
        <f>VLOOKUP(M309,LUTs!E$2:H$14,3,)</f>
        <v>10Kitsap</v>
      </c>
      <c r="O309" t="str">
        <f>VLOOKUP(M309,LUTs!E$2:H$14,4,)</f>
        <v>02South Puget Sound</v>
      </c>
      <c r="P309" s="80">
        <v>2.1724137931034502</v>
      </c>
      <c r="Q309" s="102">
        <v>2.1724137931034502</v>
      </c>
      <c r="R309" s="74">
        <f>VLOOKUP(B309,Readme!A$40:C$52,3,)*Q309</f>
        <v>40.298275862069005</v>
      </c>
    </row>
    <row r="310" spans="1:18" ht="14.15" customHeight="1" x14ac:dyDescent="0.35">
      <c r="A310" s="75">
        <v>326</v>
      </c>
      <c r="B310" s="80">
        <v>2011</v>
      </c>
      <c r="C310" s="80">
        <v>1</v>
      </c>
      <c r="D310" s="80">
        <f t="shared" si="17"/>
        <v>2010</v>
      </c>
      <c r="E310" t="s">
        <v>38</v>
      </c>
      <c r="F310" t="s">
        <v>143</v>
      </c>
      <c r="G310" t="s">
        <v>86</v>
      </c>
      <c r="H310" s="72" t="s">
        <v>223</v>
      </c>
      <c r="I310" s="72" t="s">
        <v>103</v>
      </c>
      <c r="J310" t="str">
        <f t="shared" si="19"/>
        <v>Stillaguamish R, No. Fork</v>
      </c>
      <c r="K310" t="str">
        <f>IFERROR(VLOOKUP(J310,LUTs!$A$1:$C$73,2,FALSE),"NA")</f>
        <v>Snohomish</v>
      </c>
      <c r="L310" t="str">
        <f>IFERROR(VLOOKUP(J310,LUTs!$A$1:$C$73,3,FALSE),"NA")</f>
        <v>2Central Puget Sound</v>
      </c>
      <c r="M310" s="72" t="s">
        <v>30</v>
      </c>
      <c r="N310" t="str">
        <f>VLOOKUP(M310,LUTs!E$2:H$14,3,)</f>
        <v>05San Juan</v>
      </c>
      <c r="O310" t="str">
        <f>VLOOKUP(M310,LUTs!E$2:H$14,4,)</f>
        <v>01North Puget Sound</v>
      </c>
      <c r="P310" s="80">
        <v>2.5</v>
      </c>
      <c r="Q310" s="102">
        <v>2.5</v>
      </c>
      <c r="R310" s="74">
        <f>VLOOKUP(B310,Readme!A$40:C$52,3,)*Q310</f>
        <v>46.375</v>
      </c>
    </row>
    <row r="311" spans="1:18" ht="14.15" customHeight="1" x14ac:dyDescent="0.35">
      <c r="A311" s="75">
        <v>327</v>
      </c>
      <c r="B311" s="80">
        <v>2011</v>
      </c>
      <c r="C311" s="80">
        <v>1</v>
      </c>
      <c r="D311" s="80">
        <f t="shared" si="17"/>
        <v>2010</v>
      </c>
      <c r="E311" t="s">
        <v>38</v>
      </c>
      <c r="F311" t="s">
        <v>143</v>
      </c>
      <c r="G311" t="s">
        <v>86</v>
      </c>
      <c r="H311" s="72" t="s">
        <v>223</v>
      </c>
      <c r="I311" s="72" t="s">
        <v>103</v>
      </c>
      <c r="J311" t="str">
        <f t="shared" si="19"/>
        <v>Stillaguamish R, No. Fork</v>
      </c>
      <c r="K311" t="str">
        <f>IFERROR(VLOOKUP(J311,LUTs!$A$1:$C$73,2,FALSE),"NA")</f>
        <v>Snohomish</v>
      </c>
      <c r="L311" t="str">
        <f>IFERROR(VLOOKUP(J311,LUTs!$A$1:$C$73,3,FALSE),"NA")</f>
        <v>2Central Puget Sound</v>
      </c>
      <c r="M311" s="72" t="s">
        <v>16</v>
      </c>
      <c r="N311" t="str">
        <f>VLOOKUP(M311,LUTs!E$2:H$14,3,)</f>
        <v>03Snohomish</v>
      </c>
      <c r="O311" t="str">
        <f>VLOOKUP(M311,LUTs!E$2:H$14,4,)</f>
        <v>01North Puget Sound</v>
      </c>
      <c r="P311" s="80">
        <v>12.5</v>
      </c>
      <c r="Q311" s="102">
        <v>12.5</v>
      </c>
      <c r="R311" s="74">
        <f>VLOOKUP(B311,Readme!A$40:C$52,3,)*Q311</f>
        <v>231.875</v>
      </c>
    </row>
    <row r="312" spans="1:18" ht="14.15" customHeight="1" x14ac:dyDescent="0.35">
      <c r="A312" s="75">
        <v>283</v>
      </c>
      <c r="B312" s="80">
        <v>2011</v>
      </c>
      <c r="C312" s="80">
        <v>1</v>
      </c>
      <c r="D312" s="80">
        <f t="shared" si="17"/>
        <v>2010</v>
      </c>
      <c r="E312" t="s">
        <v>38</v>
      </c>
      <c r="F312" t="s">
        <v>143</v>
      </c>
      <c r="G312" t="s">
        <v>86</v>
      </c>
      <c r="H312" s="72" t="s">
        <v>249</v>
      </c>
      <c r="I312" s="72" t="s">
        <v>100</v>
      </c>
      <c r="J312" t="str">
        <f t="shared" si="19"/>
        <v>Sultan River</v>
      </c>
      <c r="K312" t="str">
        <f>IFERROR(VLOOKUP(J312,LUTs!$A$1:$C$73,2,FALSE),"NA")</f>
        <v>Snohomish</v>
      </c>
      <c r="L312" t="str">
        <f>IFERROR(VLOOKUP(J312,LUTs!$A$1:$C$73,3,FALSE),"NA")</f>
        <v>2Central Puget Sound</v>
      </c>
      <c r="M312" s="72" t="s">
        <v>18</v>
      </c>
      <c r="N312" t="str">
        <f>VLOOKUP(M312,LUTs!E$2:H$14,3,)</f>
        <v>06King</v>
      </c>
      <c r="O312" t="str">
        <f>VLOOKUP(M312,LUTs!E$2:H$14,4,)</f>
        <v>02South Puget Sound</v>
      </c>
      <c r="P312" s="80">
        <v>2</v>
      </c>
      <c r="Q312" s="102">
        <v>2</v>
      </c>
      <c r="R312" s="74">
        <f>VLOOKUP(B312,Readme!A$40:C$52,3,)*Q312</f>
        <v>37.1</v>
      </c>
    </row>
    <row r="313" spans="1:18" ht="14.15" customHeight="1" x14ac:dyDescent="0.35">
      <c r="A313" s="75">
        <v>287</v>
      </c>
      <c r="B313" s="80">
        <v>2011</v>
      </c>
      <c r="C313" s="80">
        <v>1</v>
      </c>
      <c r="D313" s="80">
        <f t="shared" si="17"/>
        <v>2010</v>
      </c>
      <c r="E313" t="s">
        <v>38</v>
      </c>
      <c r="F313" t="s">
        <v>143</v>
      </c>
      <c r="G313" t="s">
        <v>86</v>
      </c>
      <c r="H313" s="72" t="s">
        <v>250</v>
      </c>
      <c r="I313" s="72" t="s">
        <v>101</v>
      </c>
      <c r="J313" t="str">
        <f t="shared" si="19"/>
        <v>Tokul Creek</v>
      </c>
      <c r="K313" t="str">
        <f>IFERROR(VLOOKUP(J313,LUTs!$A$1:$C$73,2,FALSE),"NA")</f>
        <v>King</v>
      </c>
      <c r="L313" t="str">
        <f>IFERROR(VLOOKUP(J313,LUTs!$A$1:$C$73,3,FALSE),"NA")</f>
        <v>2Central Puget Sound</v>
      </c>
      <c r="M313" s="72" t="s">
        <v>18</v>
      </c>
      <c r="N313" t="str">
        <f>VLOOKUP(M313,LUTs!E$2:H$14,3,)</f>
        <v>06King</v>
      </c>
      <c r="O313" t="str">
        <f>VLOOKUP(M313,LUTs!E$2:H$14,4,)</f>
        <v>02South Puget Sound</v>
      </c>
      <c r="P313" s="80">
        <v>141.10843373494001</v>
      </c>
      <c r="Q313" s="102">
        <v>141.10843373494001</v>
      </c>
      <c r="R313" s="74">
        <f>VLOOKUP(B313,Readme!A$40:C$52,3,)*Q313</f>
        <v>2617.5614457831371</v>
      </c>
    </row>
    <row r="314" spans="1:18" ht="14.15" customHeight="1" x14ac:dyDescent="0.35">
      <c r="A314" s="75">
        <v>288</v>
      </c>
      <c r="B314" s="80">
        <v>2011</v>
      </c>
      <c r="C314" s="80">
        <v>1</v>
      </c>
      <c r="D314" s="80">
        <f t="shared" si="17"/>
        <v>2010</v>
      </c>
      <c r="E314" t="s">
        <v>38</v>
      </c>
      <c r="F314" t="s">
        <v>143</v>
      </c>
      <c r="G314" t="s">
        <v>86</v>
      </c>
      <c r="H314" s="72" t="s">
        <v>250</v>
      </c>
      <c r="I314" s="72" t="s">
        <v>101</v>
      </c>
      <c r="J314" t="str">
        <f t="shared" si="19"/>
        <v>Tokul Creek</v>
      </c>
      <c r="K314" t="str">
        <f>IFERROR(VLOOKUP(J314,LUTs!$A$1:$C$73,2,FALSE),"NA")</f>
        <v>King</v>
      </c>
      <c r="L314" t="str">
        <f>IFERROR(VLOOKUP(J314,LUTs!$A$1:$C$73,3,FALSE),"NA")</f>
        <v>2Central Puget Sound</v>
      </c>
      <c r="M314" s="72" t="s">
        <v>26</v>
      </c>
      <c r="N314" t="str">
        <f>VLOOKUP(M314,LUTs!E$2:H$14,3,)</f>
        <v>20Other</v>
      </c>
      <c r="O314" t="str">
        <f>VLOOKUP(M314,LUTs!E$2:H$14,4,)</f>
        <v>07Non Puget Sound</v>
      </c>
      <c r="P314" s="80">
        <v>2.2048192771084301</v>
      </c>
      <c r="Q314" s="102">
        <v>2.2048192771084301</v>
      </c>
      <c r="R314" s="74">
        <f>VLOOKUP(B314,Readme!A$40:C$52,3,)*Q314</f>
        <v>40.899397590361382</v>
      </c>
    </row>
    <row r="315" spans="1:18" ht="14.15" customHeight="1" x14ac:dyDescent="0.35">
      <c r="A315" s="75">
        <v>289</v>
      </c>
      <c r="B315" s="80">
        <v>2011</v>
      </c>
      <c r="C315" s="80">
        <v>1</v>
      </c>
      <c r="D315" s="80">
        <f t="shared" si="17"/>
        <v>2010</v>
      </c>
      <c r="E315" t="s">
        <v>38</v>
      </c>
      <c r="F315" t="s">
        <v>143</v>
      </c>
      <c r="G315" t="s">
        <v>86</v>
      </c>
      <c r="H315" s="72" t="s">
        <v>250</v>
      </c>
      <c r="I315" s="72" t="s">
        <v>101</v>
      </c>
      <c r="J315" t="str">
        <f t="shared" si="19"/>
        <v>Tokul Creek</v>
      </c>
      <c r="K315" t="str">
        <f>IFERROR(VLOOKUP(J315,LUTs!$A$1:$C$73,2,FALSE),"NA")</f>
        <v>King</v>
      </c>
      <c r="L315" t="str">
        <f>IFERROR(VLOOKUP(J315,LUTs!$A$1:$C$73,3,FALSE),"NA")</f>
        <v>2Central Puget Sound</v>
      </c>
      <c r="M315" s="72" t="s">
        <v>20</v>
      </c>
      <c r="N315" t="str">
        <f>VLOOKUP(M315,LUTs!E$2:H$14,3,)</f>
        <v>07Pierce</v>
      </c>
      <c r="O315" t="str">
        <f>VLOOKUP(M315,LUTs!E$2:H$14,4,)</f>
        <v>02South Puget Sound</v>
      </c>
      <c r="P315" s="80">
        <v>4.4096385542168699</v>
      </c>
      <c r="Q315" s="102">
        <v>4.4096385542168699</v>
      </c>
      <c r="R315" s="74">
        <f>VLOOKUP(B315,Readme!A$40:C$52,3,)*Q315</f>
        <v>81.798795180722934</v>
      </c>
    </row>
    <row r="316" spans="1:18" ht="14.15" customHeight="1" x14ac:dyDescent="0.35">
      <c r="A316" s="75">
        <v>290</v>
      </c>
      <c r="B316" s="80">
        <v>2011</v>
      </c>
      <c r="C316" s="80">
        <v>1</v>
      </c>
      <c r="D316" s="80">
        <f t="shared" si="17"/>
        <v>2010</v>
      </c>
      <c r="E316" t="s">
        <v>38</v>
      </c>
      <c r="F316" t="s">
        <v>143</v>
      </c>
      <c r="G316" t="s">
        <v>86</v>
      </c>
      <c r="H316" s="72" t="s">
        <v>250</v>
      </c>
      <c r="I316" s="72" t="s">
        <v>101</v>
      </c>
      <c r="J316" t="str">
        <f t="shared" si="19"/>
        <v>Tokul Creek</v>
      </c>
      <c r="K316" t="str">
        <f>IFERROR(VLOOKUP(J316,LUTs!$A$1:$C$73,2,FALSE),"NA")</f>
        <v>King</v>
      </c>
      <c r="L316" t="str">
        <f>IFERROR(VLOOKUP(J316,LUTs!$A$1:$C$73,3,FALSE),"NA")</f>
        <v>2Central Puget Sound</v>
      </c>
      <c r="M316" s="72" t="s">
        <v>16</v>
      </c>
      <c r="N316" t="str">
        <f>VLOOKUP(M316,LUTs!E$2:H$14,3,)</f>
        <v>03Snohomish</v>
      </c>
      <c r="O316" t="str">
        <f>VLOOKUP(M316,LUTs!E$2:H$14,4,)</f>
        <v>01North Puget Sound</v>
      </c>
      <c r="P316" s="80">
        <v>35.277108433735002</v>
      </c>
      <c r="Q316" s="102">
        <v>35.277108433735002</v>
      </c>
      <c r="R316" s="74">
        <f>VLOOKUP(B316,Readme!A$40:C$52,3,)*Q316</f>
        <v>654.39036144578427</v>
      </c>
    </row>
    <row r="317" spans="1:18" ht="14.15" customHeight="1" x14ac:dyDescent="0.35">
      <c r="A317" s="75">
        <v>296</v>
      </c>
      <c r="B317" s="80">
        <v>2011</v>
      </c>
      <c r="C317" s="80">
        <v>1</v>
      </c>
      <c r="D317" s="80">
        <f t="shared" si="17"/>
        <v>2010</v>
      </c>
      <c r="E317" t="s">
        <v>38</v>
      </c>
      <c r="F317" t="s">
        <v>143</v>
      </c>
      <c r="G317" t="s">
        <v>86</v>
      </c>
      <c r="H317" s="72" t="s">
        <v>229</v>
      </c>
      <c r="I317" s="72" t="s">
        <v>71</v>
      </c>
      <c r="J317" t="str">
        <f t="shared" si="19"/>
        <v>Tolt River</v>
      </c>
      <c r="K317" t="str">
        <f>IFERROR(VLOOKUP(J317,LUTs!$A$1:$C$73,2,FALSE),"NA")</f>
        <v>King</v>
      </c>
      <c r="L317" t="str">
        <f>IFERROR(VLOOKUP(J317,LUTs!$A$1:$C$73,3,FALSE),"NA")</f>
        <v>2Central Puget Sound</v>
      </c>
      <c r="M317" s="72" t="s">
        <v>18</v>
      </c>
      <c r="N317" t="str">
        <f>VLOOKUP(M317,LUTs!E$2:H$14,3,)</f>
        <v>06King</v>
      </c>
      <c r="O317" t="str">
        <f>VLOOKUP(M317,LUTs!E$2:H$14,4,)</f>
        <v>02South Puget Sound</v>
      </c>
      <c r="P317" s="80">
        <v>5</v>
      </c>
      <c r="Q317" s="102">
        <v>5</v>
      </c>
      <c r="R317" s="74">
        <f>VLOOKUP(B317,Readme!A$40:C$52,3,)*Q317</f>
        <v>92.75</v>
      </c>
    </row>
    <row r="318" spans="1:18" ht="14.15" customHeight="1" x14ac:dyDescent="0.35">
      <c r="A318" s="75">
        <v>305</v>
      </c>
      <c r="B318" s="80">
        <v>2011</v>
      </c>
      <c r="C318" s="80">
        <v>1</v>
      </c>
      <c r="D318" s="80">
        <f t="shared" si="17"/>
        <v>2010</v>
      </c>
      <c r="E318" t="s">
        <v>38</v>
      </c>
      <c r="F318" t="s">
        <v>143</v>
      </c>
      <c r="G318" t="s">
        <v>86</v>
      </c>
      <c r="H318" s="72" t="s">
        <v>233</v>
      </c>
      <c r="I318" s="72" t="s">
        <v>76</v>
      </c>
      <c r="J318" t="str">
        <f t="shared" si="19"/>
        <v>Wallace River</v>
      </c>
      <c r="K318" t="str">
        <f>IFERROR(VLOOKUP(J318,LUTs!$A$1:$C$73,2,FALSE),"NA")</f>
        <v>Snohomish</v>
      </c>
      <c r="L318" t="str">
        <f>IFERROR(VLOOKUP(J318,LUTs!$A$1:$C$73,3,FALSE),"NA")</f>
        <v>2Central Puget Sound</v>
      </c>
      <c r="M318" s="72" t="s">
        <v>18</v>
      </c>
      <c r="N318" t="str">
        <f>VLOOKUP(M318,LUTs!E$2:H$14,3,)</f>
        <v>06King</v>
      </c>
      <c r="O318" t="str">
        <f>VLOOKUP(M318,LUTs!E$2:H$14,4,)</f>
        <v>02South Puget Sound</v>
      </c>
      <c r="P318" s="80">
        <v>14</v>
      </c>
      <c r="Q318" s="102">
        <v>14</v>
      </c>
      <c r="R318" s="74">
        <f>VLOOKUP(B318,Readme!A$40:C$52,3,)*Q318</f>
        <v>259.7</v>
      </c>
    </row>
    <row r="319" spans="1:18" ht="14.15" customHeight="1" x14ac:dyDescent="0.35">
      <c r="A319" s="75">
        <v>306</v>
      </c>
      <c r="B319" s="80">
        <v>2011</v>
      </c>
      <c r="C319" s="80">
        <v>1</v>
      </c>
      <c r="D319" s="80">
        <f t="shared" si="17"/>
        <v>2010</v>
      </c>
      <c r="E319" t="s">
        <v>38</v>
      </c>
      <c r="F319" t="s">
        <v>143</v>
      </c>
      <c r="G319" t="s">
        <v>86</v>
      </c>
      <c r="H319" s="72" t="s">
        <v>233</v>
      </c>
      <c r="I319" s="72" t="s">
        <v>76</v>
      </c>
      <c r="J319" t="str">
        <f t="shared" si="19"/>
        <v>Wallace River</v>
      </c>
      <c r="K319" t="str">
        <f>IFERROR(VLOOKUP(J319,LUTs!$A$1:$C$73,2,FALSE),"NA")</f>
        <v>Snohomish</v>
      </c>
      <c r="L319" t="str">
        <f>IFERROR(VLOOKUP(J319,LUTs!$A$1:$C$73,3,FALSE),"NA")</f>
        <v>2Central Puget Sound</v>
      </c>
      <c r="M319" s="72" t="s">
        <v>26</v>
      </c>
      <c r="N319" t="str">
        <f>VLOOKUP(M319,LUTs!E$2:H$14,3,)</f>
        <v>20Other</v>
      </c>
      <c r="O319" t="str">
        <f>VLOOKUP(M319,LUTs!E$2:H$14,4,)</f>
        <v>07Non Puget Sound</v>
      </c>
      <c r="P319" s="80">
        <v>2.3333333333333299</v>
      </c>
      <c r="Q319" s="102">
        <v>2.3333333333333299</v>
      </c>
      <c r="R319" s="74">
        <f>VLOOKUP(B319,Readme!A$40:C$52,3,)*Q319</f>
        <v>43.283333333333275</v>
      </c>
    </row>
    <row r="320" spans="1:18" ht="14.15" customHeight="1" x14ac:dyDescent="0.35">
      <c r="A320" s="75">
        <v>307</v>
      </c>
      <c r="B320" s="80">
        <v>2011</v>
      </c>
      <c r="C320" s="80">
        <v>1</v>
      </c>
      <c r="D320" s="80">
        <f t="shared" si="17"/>
        <v>2010</v>
      </c>
      <c r="E320" t="s">
        <v>38</v>
      </c>
      <c r="F320" t="s">
        <v>143</v>
      </c>
      <c r="G320" t="s">
        <v>86</v>
      </c>
      <c r="H320" s="72" t="s">
        <v>233</v>
      </c>
      <c r="I320" s="72" t="s">
        <v>76</v>
      </c>
      <c r="J320" t="str">
        <f t="shared" si="19"/>
        <v>Wallace River</v>
      </c>
      <c r="K320" t="str">
        <f>IFERROR(VLOOKUP(J320,LUTs!$A$1:$C$73,2,FALSE),"NA")</f>
        <v>Snohomish</v>
      </c>
      <c r="L320" t="str">
        <f>IFERROR(VLOOKUP(J320,LUTs!$A$1:$C$73,3,FALSE),"NA")</f>
        <v>2Central Puget Sound</v>
      </c>
      <c r="M320" s="72" t="s">
        <v>20</v>
      </c>
      <c r="N320" t="str">
        <f>VLOOKUP(M320,LUTs!E$2:H$14,3,)</f>
        <v>07Pierce</v>
      </c>
      <c r="O320" t="str">
        <f>VLOOKUP(M320,LUTs!E$2:H$14,4,)</f>
        <v>02South Puget Sound</v>
      </c>
      <c r="P320" s="80">
        <v>4.6666666666666696</v>
      </c>
      <c r="Q320" s="102">
        <v>4.6666666666666696</v>
      </c>
      <c r="R320" s="74">
        <f>VLOOKUP(B320,Readme!A$40:C$52,3,)*Q320</f>
        <v>86.56666666666672</v>
      </c>
    </row>
    <row r="321" spans="1:18" ht="14.15" customHeight="1" x14ac:dyDescent="0.35">
      <c r="A321" s="75">
        <v>308</v>
      </c>
      <c r="B321" s="80">
        <v>2011</v>
      </c>
      <c r="C321" s="80">
        <v>1</v>
      </c>
      <c r="D321" s="80">
        <f t="shared" si="17"/>
        <v>2010</v>
      </c>
      <c r="E321" t="s">
        <v>38</v>
      </c>
      <c r="F321" t="s">
        <v>143</v>
      </c>
      <c r="G321" t="s">
        <v>86</v>
      </c>
      <c r="H321" s="72" t="s">
        <v>233</v>
      </c>
      <c r="I321" s="72" t="s">
        <v>76</v>
      </c>
      <c r="J321" t="str">
        <f t="shared" si="19"/>
        <v>Wallace River</v>
      </c>
      <c r="K321" t="str">
        <f>IFERROR(VLOOKUP(J321,LUTs!$A$1:$C$73,2,FALSE),"NA")</f>
        <v>Snohomish</v>
      </c>
      <c r="L321" t="str">
        <f>IFERROR(VLOOKUP(J321,LUTs!$A$1:$C$73,3,FALSE),"NA")</f>
        <v>2Central Puget Sound</v>
      </c>
      <c r="M321" s="72" t="s">
        <v>16</v>
      </c>
      <c r="N321" t="str">
        <f>VLOOKUP(M321,LUTs!E$2:H$14,3,)</f>
        <v>03Snohomish</v>
      </c>
      <c r="O321" t="str">
        <f>VLOOKUP(M321,LUTs!E$2:H$14,4,)</f>
        <v>01North Puget Sound</v>
      </c>
      <c r="P321" s="80">
        <v>14</v>
      </c>
      <c r="Q321" s="102">
        <v>14</v>
      </c>
      <c r="R321" s="74">
        <f>VLOOKUP(B321,Readme!A$40:C$52,3,)*Q321</f>
        <v>259.7</v>
      </c>
    </row>
    <row r="322" spans="1:18" ht="14.15" customHeight="1" x14ac:dyDescent="0.35">
      <c r="A322" s="75">
        <v>331</v>
      </c>
      <c r="B322" s="80">
        <v>2011</v>
      </c>
      <c r="C322" s="80">
        <v>1</v>
      </c>
      <c r="D322" s="80">
        <f t="shared" ref="D322:D385" si="20">IF(C322&gt;3,B322,B322-1)</f>
        <v>2010</v>
      </c>
      <c r="E322" t="s">
        <v>38</v>
      </c>
      <c r="F322" t="s">
        <v>143</v>
      </c>
      <c r="G322" t="s">
        <v>86</v>
      </c>
      <c r="H322" s="72" t="s">
        <v>224</v>
      </c>
      <c r="I322" s="72" t="s">
        <v>66</v>
      </c>
      <c r="J322" t="str">
        <f t="shared" si="19"/>
        <v>Whatcom Creek</v>
      </c>
      <c r="K322" t="str">
        <f>IFERROR(VLOOKUP(J322,LUTs!$A$1:$C$73,2,FALSE),"NA")</f>
        <v>Whatcom</v>
      </c>
      <c r="L322" t="str">
        <f>IFERROR(VLOOKUP(J322,LUTs!$A$1:$C$73,3,FALSE),"NA")</f>
        <v>1North Puget Sound</v>
      </c>
      <c r="M322" s="72" t="s">
        <v>13</v>
      </c>
      <c r="N322" t="str">
        <f>VLOOKUP(M322,LUTs!E$2:H$14,3,)</f>
        <v>01Whatcom</v>
      </c>
      <c r="O322" t="str">
        <f>VLOOKUP(M322,LUTs!E$2:H$14,4,)</f>
        <v>01North Puget Sound</v>
      </c>
      <c r="P322" s="80">
        <v>21</v>
      </c>
      <c r="Q322" s="102">
        <v>21</v>
      </c>
      <c r="R322" s="74">
        <f>VLOOKUP(B322,Readme!A$40:C$52,3,)*Q322</f>
        <v>389.55</v>
      </c>
    </row>
    <row r="323" spans="1:18" ht="14.15" customHeight="1" x14ac:dyDescent="0.35">
      <c r="A323" s="75">
        <v>346</v>
      </c>
      <c r="B323" s="80">
        <v>2011</v>
      </c>
      <c r="C323" s="80">
        <v>2</v>
      </c>
      <c r="D323" s="80">
        <f t="shared" si="20"/>
        <v>2010</v>
      </c>
      <c r="E323" t="s">
        <v>38</v>
      </c>
      <c r="F323" t="s">
        <v>143</v>
      </c>
      <c r="G323" t="s">
        <v>86</v>
      </c>
      <c r="H323" s="72" t="s">
        <v>254</v>
      </c>
      <c r="I323" s="72" t="s">
        <v>33</v>
      </c>
      <c r="J323" t="str">
        <f t="shared" si="19"/>
        <v>Area 9: Admiralty Inlet</v>
      </c>
      <c r="K323" t="str">
        <f>IFERROR(VLOOKUP(J323,LUTs!$A$1:$C$73,2,FALSE),"NA")</f>
        <v>NA</v>
      </c>
      <c r="L323" t="str">
        <f>IFERROR(VLOOKUP(J323,LUTs!$A$1:$C$73,3,FALSE),"NA")</f>
        <v>2Central Puget Sound</v>
      </c>
      <c r="M323" s="72" t="s">
        <v>25</v>
      </c>
      <c r="N323" t="str">
        <f>VLOOKUP(M323,LUTs!E$2:H$14,3,)</f>
        <v>12Jefferson</v>
      </c>
      <c r="O323" t="str">
        <f>VLOOKUP(M323,LUTs!E$2:H$14,4,)</f>
        <v>03Strait of Juan de Fuca</v>
      </c>
      <c r="P323" s="80">
        <v>7</v>
      </c>
      <c r="Q323" s="102">
        <v>7</v>
      </c>
      <c r="R323" s="74">
        <f>VLOOKUP(B323,Readme!A$40:C$52,3,)*Q323</f>
        <v>129.85</v>
      </c>
    </row>
    <row r="324" spans="1:18" ht="14.15" customHeight="1" x14ac:dyDescent="0.35">
      <c r="A324" s="75">
        <v>139</v>
      </c>
      <c r="B324" s="80">
        <v>2011</v>
      </c>
      <c r="C324" s="80">
        <v>2</v>
      </c>
      <c r="D324" s="80">
        <f t="shared" si="20"/>
        <v>2010</v>
      </c>
      <c r="E324" t="s">
        <v>38</v>
      </c>
      <c r="F324" t="s">
        <v>143</v>
      </c>
      <c r="G324" t="s">
        <v>86</v>
      </c>
      <c r="H324" s="72" t="s">
        <v>217</v>
      </c>
      <c r="I324" s="72" t="s">
        <v>59</v>
      </c>
      <c r="J324" t="str">
        <f t="shared" si="19"/>
        <v>Cascade River</v>
      </c>
      <c r="K324" t="str">
        <f>IFERROR(VLOOKUP(J324,LUTs!$A$1:$C$73,2,FALSE),"NA")</f>
        <v>Skagit</v>
      </c>
      <c r="L324" t="str">
        <f>IFERROR(VLOOKUP(J324,LUTs!$A$1:$C$73,3,FALSE),"NA")</f>
        <v>1North Puget Sound</v>
      </c>
      <c r="M324" s="72" t="s">
        <v>15</v>
      </c>
      <c r="N324" t="str">
        <f>VLOOKUP(M324,LUTs!E$2:H$14,3,)</f>
        <v>02Skagit</v>
      </c>
      <c r="O324" t="str">
        <f>VLOOKUP(M324,LUTs!E$2:H$14,4,)</f>
        <v>01North Puget Sound</v>
      </c>
      <c r="P324" s="80">
        <v>3</v>
      </c>
      <c r="Q324" s="102">
        <v>3</v>
      </c>
      <c r="R324" s="74">
        <f>VLOOKUP(B324,Readme!A$40:C$52,3,)*Q324</f>
        <v>55.650000000000006</v>
      </c>
    </row>
    <row r="325" spans="1:18" ht="14.15" customHeight="1" x14ac:dyDescent="0.35">
      <c r="A325" s="75">
        <v>140</v>
      </c>
      <c r="B325" s="80">
        <v>2011</v>
      </c>
      <c r="C325" s="80">
        <v>2</v>
      </c>
      <c r="D325" s="80">
        <f t="shared" si="20"/>
        <v>2010</v>
      </c>
      <c r="E325" t="s">
        <v>38</v>
      </c>
      <c r="F325" t="s">
        <v>143</v>
      </c>
      <c r="G325" t="s">
        <v>86</v>
      </c>
      <c r="H325" s="72" t="s">
        <v>217</v>
      </c>
      <c r="I325" s="72" t="s">
        <v>59</v>
      </c>
      <c r="J325" t="str">
        <f t="shared" si="19"/>
        <v>Cascade River</v>
      </c>
      <c r="K325" t="str">
        <f>IFERROR(VLOOKUP(J325,LUTs!$A$1:$C$73,2,FALSE),"NA")</f>
        <v>Skagit</v>
      </c>
      <c r="L325" t="str">
        <f>IFERROR(VLOOKUP(J325,LUTs!$A$1:$C$73,3,FALSE),"NA")</f>
        <v>1North Puget Sound</v>
      </c>
      <c r="M325" s="72" t="s">
        <v>16</v>
      </c>
      <c r="N325" t="str">
        <f>VLOOKUP(M325,LUTs!E$2:H$14,3,)</f>
        <v>03Snohomish</v>
      </c>
      <c r="O325" t="str">
        <f>VLOOKUP(M325,LUTs!E$2:H$14,4,)</f>
        <v>01North Puget Sound</v>
      </c>
      <c r="P325" s="80">
        <v>3</v>
      </c>
      <c r="Q325" s="102">
        <v>3</v>
      </c>
      <c r="R325" s="74">
        <f>VLOOKUP(B325,Readme!A$40:C$52,3,)*Q325</f>
        <v>55.650000000000006</v>
      </c>
    </row>
    <row r="326" spans="1:18" ht="14.15" customHeight="1" x14ac:dyDescent="0.35">
      <c r="A326" s="75">
        <v>141</v>
      </c>
      <c r="B326" s="80">
        <v>2011</v>
      </c>
      <c r="C326" s="80">
        <v>2</v>
      </c>
      <c r="D326" s="80">
        <f t="shared" si="20"/>
        <v>2010</v>
      </c>
      <c r="E326" t="s">
        <v>38</v>
      </c>
      <c r="F326" t="s">
        <v>143</v>
      </c>
      <c r="G326" t="s">
        <v>86</v>
      </c>
      <c r="H326" s="72" t="s">
        <v>217</v>
      </c>
      <c r="I326" s="72" t="s">
        <v>59</v>
      </c>
      <c r="J326" t="str">
        <f t="shared" si="19"/>
        <v>Cascade River</v>
      </c>
      <c r="K326" t="str">
        <f>IFERROR(VLOOKUP(J326,LUTs!$A$1:$C$73,2,FALSE),"NA")</f>
        <v>Skagit</v>
      </c>
      <c r="L326" t="str">
        <f>IFERROR(VLOOKUP(J326,LUTs!$A$1:$C$73,3,FALSE),"NA")</f>
        <v>1North Puget Sound</v>
      </c>
      <c r="M326" s="72" t="s">
        <v>13</v>
      </c>
      <c r="N326" t="str">
        <f>VLOOKUP(M326,LUTs!E$2:H$14,3,)</f>
        <v>01Whatcom</v>
      </c>
      <c r="O326" t="str">
        <f>VLOOKUP(M326,LUTs!E$2:H$14,4,)</f>
        <v>01North Puget Sound</v>
      </c>
      <c r="P326" s="80">
        <v>3</v>
      </c>
      <c r="Q326" s="102">
        <v>3</v>
      </c>
      <c r="R326" s="74">
        <f>VLOOKUP(B326,Readme!A$40:C$52,3,)*Q326</f>
        <v>55.650000000000006</v>
      </c>
    </row>
    <row r="327" spans="1:18" ht="14.15" customHeight="1" x14ac:dyDescent="0.35">
      <c r="A327" s="75">
        <v>43</v>
      </c>
      <c r="B327" s="80">
        <v>2011</v>
      </c>
      <c r="C327" s="80">
        <v>2</v>
      </c>
      <c r="D327" s="80">
        <f t="shared" si="20"/>
        <v>2010</v>
      </c>
      <c r="E327" t="s">
        <v>38</v>
      </c>
      <c r="F327" t="s">
        <v>143</v>
      </c>
      <c r="G327" t="s">
        <v>86</v>
      </c>
      <c r="H327" s="72" t="s">
        <v>203</v>
      </c>
      <c r="I327" s="72" t="s">
        <v>89</v>
      </c>
      <c r="J327" s="84" t="s">
        <v>45</v>
      </c>
      <c r="K327" t="str">
        <f>IFERROR(VLOOKUP(J327,LUTs!$A$1:$C$73,2,FALSE),"NA")</f>
        <v>King</v>
      </c>
      <c r="L327" t="str">
        <f>IFERROR(VLOOKUP(J327,LUTs!$A$1:$C$73,3,FALSE),"NA")</f>
        <v>3South Puget Sound</v>
      </c>
      <c r="M327" s="72" t="s">
        <v>18</v>
      </c>
      <c r="N327" t="str">
        <f>VLOOKUP(M327,LUTs!E$2:H$14,3,)</f>
        <v>06King</v>
      </c>
      <c r="O327" t="str">
        <f>VLOOKUP(M327,LUTs!E$2:H$14,4,)</f>
        <v>02South Puget Sound</v>
      </c>
      <c r="P327" s="80">
        <v>2</v>
      </c>
      <c r="Q327" s="102">
        <v>2</v>
      </c>
      <c r="R327" s="74">
        <f>VLOOKUP(B327,Readme!A$40:C$52,3,)*Q327</f>
        <v>37.1</v>
      </c>
    </row>
    <row r="328" spans="1:18" ht="14.15" customHeight="1" x14ac:dyDescent="0.35">
      <c r="A328" s="75">
        <v>58</v>
      </c>
      <c r="B328" s="80">
        <v>2011</v>
      </c>
      <c r="C328" s="80">
        <v>2</v>
      </c>
      <c r="D328" s="80">
        <f t="shared" si="20"/>
        <v>2010</v>
      </c>
      <c r="E328" t="s">
        <v>38</v>
      </c>
      <c r="F328" t="s">
        <v>143</v>
      </c>
      <c r="G328" t="s">
        <v>86</v>
      </c>
      <c r="H328" s="72" t="s">
        <v>204</v>
      </c>
      <c r="I328" s="72" t="s">
        <v>46</v>
      </c>
      <c r="J328" t="str">
        <f t="shared" ref="J328:J349" si="21">I328</f>
        <v>Hoko River</v>
      </c>
      <c r="K328" t="str">
        <f>IFERROR(VLOOKUP(J328,LUTs!$A$1:$C$73,2,FALSE),"NA")</f>
        <v>Clallam</v>
      </c>
      <c r="L328" t="str">
        <f>IFERROR(VLOOKUP(J328,LUTs!$A$1:$C$73,3,FALSE),"NA")</f>
        <v>0Strait of Juan de Fuca</v>
      </c>
      <c r="M328" s="72" t="s">
        <v>24</v>
      </c>
      <c r="N328" t="str">
        <f>VLOOKUP(M328,LUTs!E$2:H$14,3,)</f>
        <v>11Clallam</v>
      </c>
      <c r="O328" t="str">
        <f>VLOOKUP(M328,LUTs!E$2:H$14,4,)</f>
        <v>03Strait of Juan de Fuca</v>
      </c>
      <c r="P328" s="80">
        <v>11.4285714285714</v>
      </c>
      <c r="Q328" s="102">
        <v>11.4285714285714</v>
      </c>
      <c r="R328" s="74">
        <f>VLOOKUP(B328,Readme!A$40:C$52,3,)*Q328</f>
        <v>211.99999999999949</v>
      </c>
    </row>
    <row r="329" spans="1:18" ht="14.15" customHeight="1" x14ac:dyDescent="0.35">
      <c r="A329" s="75">
        <v>59</v>
      </c>
      <c r="B329" s="80">
        <v>2011</v>
      </c>
      <c r="C329" s="80">
        <v>2</v>
      </c>
      <c r="D329" s="80">
        <f t="shared" si="20"/>
        <v>2010</v>
      </c>
      <c r="E329" t="s">
        <v>38</v>
      </c>
      <c r="F329" t="s">
        <v>143</v>
      </c>
      <c r="G329" t="s">
        <v>86</v>
      </c>
      <c r="H329" s="72" t="s">
        <v>204</v>
      </c>
      <c r="I329" s="72" t="s">
        <v>46</v>
      </c>
      <c r="J329" t="str">
        <f t="shared" si="21"/>
        <v>Hoko River</v>
      </c>
      <c r="K329" t="str">
        <f>IFERROR(VLOOKUP(J329,LUTs!$A$1:$C$73,2,FALSE),"NA")</f>
        <v>Clallam</v>
      </c>
      <c r="L329" t="str">
        <f>IFERROR(VLOOKUP(J329,LUTs!$A$1:$C$73,3,FALSE),"NA")</f>
        <v>0Strait of Juan de Fuca</v>
      </c>
      <c r="M329" s="72" t="s">
        <v>15</v>
      </c>
      <c r="N329" t="str">
        <f>VLOOKUP(M329,LUTs!E$2:H$14,3,)</f>
        <v>02Skagit</v>
      </c>
      <c r="O329" t="str">
        <f>VLOOKUP(M329,LUTs!E$2:H$14,4,)</f>
        <v>01North Puget Sound</v>
      </c>
      <c r="P329" s="80">
        <v>4.5714285714285703</v>
      </c>
      <c r="Q329" s="102">
        <v>4.5714285714285703</v>
      </c>
      <c r="R329" s="74">
        <f>VLOOKUP(B329,Readme!A$40:C$52,3,)*Q329</f>
        <v>84.799999999999983</v>
      </c>
    </row>
    <row r="330" spans="1:18" ht="14.15" customHeight="1" x14ac:dyDescent="0.35">
      <c r="A330" s="75">
        <v>79</v>
      </c>
      <c r="B330" s="80">
        <v>2011</v>
      </c>
      <c r="C330" s="80">
        <v>2</v>
      </c>
      <c r="D330" s="80">
        <f t="shared" si="20"/>
        <v>2010</v>
      </c>
      <c r="E330" t="s">
        <v>38</v>
      </c>
      <c r="F330" t="s">
        <v>143</v>
      </c>
      <c r="G330" t="s">
        <v>86</v>
      </c>
      <c r="H330" s="72" t="s">
        <v>237</v>
      </c>
      <c r="I330" s="72" t="s">
        <v>79</v>
      </c>
      <c r="J330" t="str">
        <f t="shared" si="21"/>
        <v>Lyre River</v>
      </c>
      <c r="K330" t="str">
        <f>IFERROR(VLOOKUP(J330,LUTs!$A$1:$C$73,2,FALSE),"NA")</f>
        <v>Clallam</v>
      </c>
      <c r="L330" t="str">
        <f>IFERROR(VLOOKUP(J330,LUTs!$A$1:$C$73,3,FALSE),"NA")</f>
        <v>0Strait of Juan de Fuca</v>
      </c>
      <c r="M330" s="72" t="s">
        <v>24</v>
      </c>
      <c r="N330" t="str">
        <f>VLOOKUP(M330,LUTs!E$2:H$14,3,)</f>
        <v>11Clallam</v>
      </c>
      <c r="O330" t="str">
        <f>VLOOKUP(M330,LUTs!E$2:H$14,4,)</f>
        <v>03Strait of Juan de Fuca</v>
      </c>
      <c r="P330" s="80">
        <v>4.875</v>
      </c>
      <c r="Q330" s="102">
        <v>4.875</v>
      </c>
      <c r="R330" s="74">
        <f>VLOOKUP(B330,Readme!A$40:C$52,3,)*Q330</f>
        <v>90.431250000000006</v>
      </c>
    </row>
    <row r="331" spans="1:18" ht="14.15" customHeight="1" x14ac:dyDescent="0.35">
      <c r="A331" s="75">
        <v>80</v>
      </c>
      <c r="B331" s="80">
        <v>2011</v>
      </c>
      <c r="C331" s="80">
        <v>2</v>
      </c>
      <c r="D331" s="80">
        <f t="shared" si="20"/>
        <v>2010</v>
      </c>
      <c r="E331" t="s">
        <v>38</v>
      </c>
      <c r="F331" t="s">
        <v>143</v>
      </c>
      <c r="G331" t="s">
        <v>86</v>
      </c>
      <c r="H331" s="72" t="s">
        <v>237</v>
      </c>
      <c r="I331" s="72" t="s">
        <v>79</v>
      </c>
      <c r="J331" t="str">
        <f t="shared" si="21"/>
        <v>Lyre River</v>
      </c>
      <c r="K331" t="str">
        <f>IFERROR(VLOOKUP(J331,LUTs!$A$1:$C$73,2,FALSE),"NA")</f>
        <v>Clallam</v>
      </c>
      <c r="L331" t="str">
        <f>IFERROR(VLOOKUP(J331,LUTs!$A$1:$C$73,3,FALSE),"NA")</f>
        <v>0Strait of Juan de Fuca</v>
      </c>
      <c r="M331" s="72" t="s">
        <v>25</v>
      </c>
      <c r="N331" t="str">
        <f>VLOOKUP(M331,LUTs!E$2:H$14,3,)</f>
        <v>12Jefferson</v>
      </c>
      <c r="O331" t="str">
        <f>VLOOKUP(M331,LUTs!E$2:H$14,4,)</f>
        <v>03Strait of Juan de Fuca</v>
      </c>
      <c r="P331" s="80">
        <v>6.5</v>
      </c>
      <c r="Q331" s="102">
        <v>6.5</v>
      </c>
      <c r="R331" s="74">
        <f>VLOOKUP(B331,Readme!A$40:C$52,3,)*Q331</f>
        <v>120.575</v>
      </c>
    </row>
    <row r="332" spans="1:18" ht="14.15" customHeight="1" x14ac:dyDescent="0.35">
      <c r="A332" s="75">
        <v>81</v>
      </c>
      <c r="B332" s="80">
        <v>2011</v>
      </c>
      <c r="C332" s="80">
        <v>2</v>
      </c>
      <c r="D332" s="80">
        <f t="shared" si="20"/>
        <v>2010</v>
      </c>
      <c r="E332" t="s">
        <v>38</v>
      </c>
      <c r="F332" t="s">
        <v>143</v>
      </c>
      <c r="G332" t="s">
        <v>86</v>
      </c>
      <c r="H332" s="72" t="s">
        <v>237</v>
      </c>
      <c r="I332" s="72" t="s">
        <v>79</v>
      </c>
      <c r="J332" t="str">
        <f t="shared" si="21"/>
        <v>Lyre River</v>
      </c>
      <c r="K332" t="str">
        <f>IFERROR(VLOOKUP(J332,LUTs!$A$1:$C$73,2,FALSE),"NA")</f>
        <v>Clallam</v>
      </c>
      <c r="L332" t="str">
        <f>IFERROR(VLOOKUP(J332,LUTs!$A$1:$C$73,3,FALSE),"NA")</f>
        <v>0Strait of Juan de Fuca</v>
      </c>
      <c r="M332" s="72" t="s">
        <v>23</v>
      </c>
      <c r="N332" t="str">
        <f>VLOOKUP(M332,LUTs!E$2:H$14,3,)</f>
        <v>10Kitsap</v>
      </c>
      <c r="O332" t="str">
        <f>VLOOKUP(M332,LUTs!E$2:H$14,4,)</f>
        <v>02South Puget Sound</v>
      </c>
      <c r="P332" s="80">
        <v>1.625</v>
      </c>
      <c r="Q332" s="102">
        <v>1.625</v>
      </c>
      <c r="R332" s="74">
        <f>VLOOKUP(B332,Readme!A$40:C$52,3,)*Q332</f>
        <v>30.143750000000001</v>
      </c>
    </row>
    <row r="333" spans="1:18" ht="14.15" customHeight="1" x14ac:dyDescent="0.35">
      <c r="A333" s="75">
        <v>89</v>
      </c>
      <c r="B333" s="80">
        <v>2011</v>
      </c>
      <c r="C333" s="80">
        <v>2</v>
      </c>
      <c r="D333" s="80">
        <f t="shared" si="20"/>
        <v>2010</v>
      </c>
      <c r="E333" t="s">
        <v>38</v>
      </c>
      <c r="F333" t="s">
        <v>143</v>
      </c>
      <c r="G333" t="s">
        <v>86</v>
      </c>
      <c r="H333" s="72" t="s">
        <v>239</v>
      </c>
      <c r="I333" s="72" t="s">
        <v>92</v>
      </c>
      <c r="J333" t="str">
        <f t="shared" si="21"/>
        <v>Nooksack River, No. Fork</v>
      </c>
      <c r="K333" t="str">
        <f>IFERROR(VLOOKUP(J333,LUTs!$A$1:$C$73,2,FALSE),"NA")</f>
        <v>Whatcom</v>
      </c>
      <c r="L333" t="str">
        <f>IFERROR(VLOOKUP(J333,LUTs!$A$1:$C$73,3,FALSE),"NA")</f>
        <v>1North Puget Sound</v>
      </c>
      <c r="M333" s="72" t="s">
        <v>13</v>
      </c>
      <c r="N333" t="str">
        <f>VLOOKUP(M333,LUTs!E$2:H$14,3,)</f>
        <v>01Whatcom</v>
      </c>
      <c r="O333" t="str">
        <f>VLOOKUP(M333,LUTs!E$2:H$14,4,)</f>
        <v>01North Puget Sound</v>
      </c>
      <c r="P333" s="80">
        <v>7</v>
      </c>
      <c r="Q333" s="102">
        <v>7</v>
      </c>
      <c r="R333" s="74">
        <f>VLOOKUP(B333,Readme!A$40:C$52,3,)*Q333</f>
        <v>129.85</v>
      </c>
    </row>
    <row r="334" spans="1:18" ht="14.15" customHeight="1" x14ac:dyDescent="0.35">
      <c r="A334" s="75">
        <v>105</v>
      </c>
      <c r="B334" s="80">
        <v>2011</v>
      </c>
      <c r="C334" s="80">
        <v>2</v>
      </c>
      <c r="D334" s="80">
        <f t="shared" si="20"/>
        <v>2010</v>
      </c>
      <c r="E334" t="s">
        <v>38</v>
      </c>
      <c r="F334" t="s">
        <v>143</v>
      </c>
      <c r="G334" t="s">
        <v>86</v>
      </c>
      <c r="H334" s="72" t="s">
        <v>214</v>
      </c>
      <c r="I334" s="72" t="s">
        <v>56</v>
      </c>
      <c r="J334" t="str">
        <f t="shared" si="21"/>
        <v>Samish River</v>
      </c>
      <c r="K334" t="str">
        <f>IFERROR(VLOOKUP(J334,LUTs!$A$1:$C$73,2,FALSE),"NA")</f>
        <v>Skagit</v>
      </c>
      <c r="L334" t="str">
        <f>IFERROR(VLOOKUP(J334,LUTs!$A$1:$C$73,3,FALSE),"NA")</f>
        <v>1North Puget Sound</v>
      </c>
      <c r="M334" s="72" t="s">
        <v>18</v>
      </c>
      <c r="N334" t="str">
        <f>VLOOKUP(M334,LUTs!E$2:H$14,3,)</f>
        <v>06King</v>
      </c>
      <c r="O334" t="str">
        <f>VLOOKUP(M334,LUTs!E$2:H$14,4,)</f>
        <v>02South Puget Sound</v>
      </c>
      <c r="P334" s="80">
        <v>2</v>
      </c>
      <c r="Q334" s="102">
        <v>2</v>
      </c>
      <c r="R334" s="74">
        <f>VLOOKUP(B334,Readme!A$40:C$52,3,)*Q334</f>
        <v>37.1</v>
      </c>
    </row>
    <row r="335" spans="1:18" ht="14.15" customHeight="1" x14ac:dyDescent="0.35">
      <c r="A335" s="75">
        <v>108</v>
      </c>
      <c r="B335" s="80">
        <v>2011</v>
      </c>
      <c r="C335" s="80">
        <v>2</v>
      </c>
      <c r="D335" s="80">
        <f t="shared" si="20"/>
        <v>2010</v>
      </c>
      <c r="E335" t="s">
        <v>38</v>
      </c>
      <c r="F335" t="s">
        <v>143</v>
      </c>
      <c r="G335" t="s">
        <v>86</v>
      </c>
      <c r="H335" s="72" t="s">
        <v>244</v>
      </c>
      <c r="I335" s="72" t="s">
        <v>95</v>
      </c>
      <c r="J335" t="str">
        <f t="shared" si="21"/>
        <v>Sekiu River</v>
      </c>
      <c r="K335" t="str">
        <f>IFERROR(VLOOKUP(J335,LUTs!$A$1:$C$73,2,FALSE),"NA")</f>
        <v>Clallam</v>
      </c>
      <c r="L335" t="str">
        <f>IFERROR(VLOOKUP(J335,LUTs!$A$1:$C$73,3,FALSE),"NA")</f>
        <v>0Strait of Juan de Fuca</v>
      </c>
      <c r="M335" s="72" t="s">
        <v>18</v>
      </c>
      <c r="N335" t="str">
        <f>VLOOKUP(M335,LUTs!E$2:H$14,3,)</f>
        <v>06King</v>
      </c>
      <c r="O335" t="str">
        <f>VLOOKUP(M335,LUTs!E$2:H$14,4,)</f>
        <v>02South Puget Sound</v>
      </c>
      <c r="P335" s="80">
        <v>2</v>
      </c>
      <c r="Q335" s="102">
        <v>2</v>
      </c>
      <c r="R335" s="74">
        <f>VLOOKUP(B335,Readme!A$40:C$52,3,)*Q335</f>
        <v>37.1</v>
      </c>
    </row>
    <row r="336" spans="1:18" ht="14.15" customHeight="1" x14ac:dyDescent="0.35">
      <c r="A336" s="75">
        <v>213</v>
      </c>
      <c r="B336" s="80">
        <v>2011</v>
      </c>
      <c r="C336" s="80">
        <v>2</v>
      </c>
      <c r="D336" s="80">
        <f t="shared" si="20"/>
        <v>2010</v>
      </c>
      <c r="E336" t="s">
        <v>38</v>
      </c>
      <c r="F336" t="s">
        <v>143</v>
      </c>
      <c r="G336" t="s">
        <v>86</v>
      </c>
      <c r="H336" s="72" t="s">
        <v>220</v>
      </c>
      <c r="I336" s="72" t="s">
        <v>62</v>
      </c>
      <c r="J336" t="str">
        <f t="shared" si="21"/>
        <v>Skykomish River</v>
      </c>
      <c r="K336" t="str">
        <f>IFERROR(VLOOKUP(J336,LUTs!$A$1:$C$73,2,FALSE),"NA")</f>
        <v>Snohomish</v>
      </c>
      <c r="L336" t="str">
        <f>IFERROR(VLOOKUP(J336,LUTs!$A$1:$C$73,3,FALSE),"NA")</f>
        <v>2Central Puget Sound</v>
      </c>
      <c r="M336" s="72" t="s">
        <v>17</v>
      </c>
      <c r="N336" t="str">
        <f>VLOOKUP(M336,LUTs!E$2:H$14,3,)</f>
        <v>04Island</v>
      </c>
      <c r="O336" t="str">
        <f>VLOOKUP(M336,LUTs!E$2:H$14,4,)</f>
        <v>01North Puget Sound</v>
      </c>
      <c r="P336" s="80">
        <v>2.2272727272727302</v>
      </c>
      <c r="Q336" s="102">
        <v>2.2272727272727302</v>
      </c>
      <c r="R336" s="74">
        <f>VLOOKUP(B336,Readme!A$40:C$52,3,)*Q336</f>
        <v>41.315909090909145</v>
      </c>
    </row>
    <row r="337" spans="1:18" ht="14.15" customHeight="1" x14ac:dyDescent="0.35">
      <c r="A337" s="75">
        <v>214</v>
      </c>
      <c r="B337" s="80">
        <v>2011</v>
      </c>
      <c r="C337" s="80">
        <v>2</v>
      </c>
      <c r="D337" s="80">
        <f t="shared" si="20"/>
        <v>2010</v>
      </c>
      <c r="E337" t="s">
        <v>38</v>
      </c>
      <c r="F337" t="s">
        <v>143</v>
      </c>
      <c r="G337" t="s">
        <v>86</v>
      </c>
      <c r="H337" s="72" t="s">
        <v>220</v>
      </c>
      <c r="I337" s="72" t="s">
        <v>62</v>
      </c>
      <c r="J337" t="str">
        <f t="shared" si="21"/>
        <v>Skykomish River</v>
      </c>
      <c r="K337" t="str">
        <f>IFERROR(VLOOKUP(J337,LUTs!$A$1:$C$73,2,FALSE),"NA")</f>
        <v>Snohomish</v>
      </c>
      <c r="L337" t="str">
        <f>IFERROR(VLOOKUP(J337,LUTs!$A$1:$C$73,3,FALSE),"NA")</f>
        <v>2Central Puget Sound</v>
      </c>
      <c r="M337" s="72" t="s">
        <v>18</v>
      </c>
      <c r="N337" t="str">
        <f>VLOOKUP(M337,LUTs!E$2:H$14,3,)</f>
        <v>06King</v>
      </c>
      <c r="O337" t="str">
        <f>VLOOKUP(M337,LUTs!E$2:H$14,4,)</f>
        <v>02South Puget Sound</v>
      </c>
      <c r="P337" s="80">
        <v>11.136363636363599</v>
      </c>
      <c r="Q337" s="102">
        <v>11.136363636363599</v>
      </c>
      <c r="R337" s="74">
        <f>VLOOKUP(B337,Readme!A$40:C$52,3,)*Q337</f>
        <v>206.57954545454479</v>
      </c>
    </row>
    <row r="338" spans="1:18" ht="14.15" customHeight="1" x14ac:dyDescent="0.35">
      <c r="A338" s="75">
        <v>215</v>
      </c>
      <c r="B338" s="80">
        <v>2011</v>
      </c>
      <c r="C338" s="80">
        <v>2</v>
      </c>
      <c r="D338" s="80">
        <f t="shared" si="20"/>
        <v>2010</v>
      </c>
      <c r="E338" t="s">
        <v>38</v>
      </c>
      <c r="F338" t="s">
        <v>143</v>
      </c>
      <c r="G338" t="s">
        <v>86</v>
      </c>
      <c r="H338" s="72" t="s">
        <v>220</v>
      </c>
      <c r="I338" s="72" t="s">
        <v>62</v>
      </c>
      <c r="J338" t="str">
        <f t="shared" si="21"/>
        <v>Skykomish River</v>
      </c>
      <c r="K338" t="str">
        <f>IFERROR(VLOOKUP(J338,LUTs!$A$1:$C$73,2,FALSE),"NA")</f>
        <v>Snohomish</v>
      </c>
      <c r="L338" t="str">
        <f>IFERROR(VLOOKUP(J338,LUTs!$A$1:$C$73,3,FALSE),"NA")</f>
        <v>2Central Puget Sound</v>
      </c>
      <c r="M338" s="72" t="s">
        <v>26</v>
      </c>
      <c r="N338" t="str">
        <f>VLOOKUP(M338,LUTs!E$2:H$14,3,)</f>
        <v>20Other</v>
      </c>
      <c r="O338" t="str">
        <f>VLOOKUP(M338,LUTs!E$2:H$14,4,)</f>
        <v>07Non Puget Sound</v>
      </c>
      <c r="P338" s="80">
        <v>4.4545454545454604</v>
      </c>
      <c r="Q338" s="102">
        <v>4.4545454545454604</v>
      </c>
      <c r="R338" s="74">
        <f>VLOOKUP(B338,Readme!A$40:C$52,3,)*Q338</f>
        <v>82.631818181818289</v>
      </c>
    </row>
    <row r="339" spans="1:18" ht="14.15" customHeight="1" x14ac:dyDescent="0.35">
      <c r="A339" s="75">
        <v>216</v>
      </c>
      <c r="B339" s="80">
        <v>2011</v>
      </c>
      <c r="C339" s="80">
        <v>2</v>
      </c>
      <c r="D339" s="80">
        <f t="shared" si="20"/>
        <v>2010</v>
      </c>
      <c r="E339" t="s">
        <v>38</v>
      </c>
      <c r="F339" t="s">
        <v>143</v>
      </c>
      <c r="G339" t="s">
        <v>86</v>
      </c>
      <c r="H339" s="72" t="s">
        <v>220</v>
      </c>
      <c r="I339" s="72" t="s">
        <v>62</v>
      </c>
      <c r="J339" t="str">
        <f t="shared" si="21"/>
        <v>Skykomish River</v>
      </c>
      <c r="K339" t="str">
        <f>IFERROR(VLOOKUP(J339,LUTs!$A$1:$C$73,2,FALSE),"NA")</f>
        <v>Snohomish</v>
      </c>
      <c r="L339" t="str">
        <f>IFERROR(VLOOKUP(J339,LUTs!$A$1:$C$73,3,FALSE),"NA")</f>
        <v>2Central Puget Sound</v>
      </c>
      <c r="M339" s="72" t="s">
        <v>20</v>
      </c>
      <c r="N339" t="str">
        <f>VLOOKUP(M339,LUTs!E$2:H$14,3,)</f>
        <v>07Pierce</v>
      </c>
      <c r="O339" t="str">
        <f>VLOOKUP(M339,LUTs!E$2:H$14,4,)</f>
        <v>02South Puget Sound</v>
      </c>
      <c r="P339" s="80">
        <v>2.2272727272727302</v>
      </c>
      <c r="Q339" s="102">
        <v>2.2272727272727302</v>
      </c>
      <c r="R339" s="74">
        <f>VLOOKUP(B339,Readme!A$40:C$52,3,)*Q339</f>
        <v>41.315909090909145</v>
      </c>
    </row>
    <row r="340" spans="1:18" ht="14.15" customHeight="1" x14ac:dyDescent="0.35">
      <c r="A340" s="75">
        <v>217</v>
      </c>
      <c r="B340" s="80">
        <v>2011</v>
      </c>
      <c r="C340" s="80">
        <v>2</v>
      </c>
      <c r="D340" s="80">
        <f t="shared" si="20"/>
        <v>2010</v>
      </c>
      <c r="E340" t="s">
        <v>38</v>
      </c>
      <c r="F340" t="s">
        <v>143</v>
      </c>
      <c r="G340" t="s">
        <v>86</v>
      </c>
      <c r="H340" s="72" t="s">
        <v>220</v>
      </c>
      <c r="I340" s="72" t="s">
        <v>62</v>
      </c>
      <c r="J340" t="str">
        <f t="shared" si="21"/>
        <v>Skykomish River</v>
      </c>
      <c r="K340" t="str">
        <f>IFERROR(VLOOKUP(J340,LUTs!$A$1:$C$73,2,FALSE),"NA")</f>
        <v>Snohomish</v>
      </c>
      <c r="L340" t="str">
        <f>IFERROR(VLOOKUP(J340,LUTs!$A$1:$C$73,3,FALSE),"NA")</f>
        <v>2Central Puget Sound</v>
      </c>
      <c r="M340" s="72" t="s">
        <v>16</v>
      </c>
      <c r="N340" t="str">
        <f>VLOOKUP(M340,LUTs!E$2:H$14,3,)</f>
        <v>03Snohomish</v>
      </c>
      <c r="O340" t="str">
        <f>VLOOKUP(M340,LUTs!E$2:H$14,4,)</f>
        <v>01North Puget Sound</v>
      </c>
      <c r="P340" s="80">
        <v>28.954545454545499</v>
      </c>
      <c r="Q340" s="102">
        <v>28.954545454545499</v>
      </c>
      <c r="R340" s="74">
        <f>VLOOKUP(B340,Readme!A$40:C$52,3,)*Q340</f>
        <v>537.10681818181899</v>
      </c>
    </row>
    <row r="341" spans="1:18" ht="14.15" customHeight="1" x14ac:dyDescent="0.35">
      <c r="A341" s="75">
        <v>275</v>
      </c>
      <c r="B341" s="80">
        <v>2011</v>
      </c>
      <c r="C341" s="80">
        <v>2</v>
      </c>
      <c r="D341" s="80">
        <f t="shared" si="20"/>
        <v>2010</v>
      </c>
      <c r="E341" t="s">
        <v>38</v>
      </c>
      <c r="F341" t="s">
        <v>143</v>
      </c>
      <c r="G341" t="s">
        <v>86</v>
      </c>
      <c r="H341" s="72" t="s">
        <v>222</v>
      </c>
      <c r="I341" s="72" t="s">
        <v>64</v>
      </c>
      <c r="J341" t="str">
        <f t="shared" si="21"/>
        <v>Snoqualmie River</v>
      </c>
      <c r="K341" t="str">
        <f>IFERROR(VLOOKUP(J341,LUTs!$A$1:$C$73,2,FALSE),"NA")</f>
        <v>Snohomish/King</v>
      </c>
      <c r="L341" t="str">
        <f>IFERROR(VLOOKUP(J341,LUTs!$A$1:$C$73,3,FALSE),"NA")</f>
        <v>2Central Puget Sound</v>
      </c>
      <c r="M341" s="72" t="s">
        <v>18</v>
      </c>
      <c r="N341" t="str">
        <f>VLOOKUP(M341,LUTs!E$2:H$14,3,)</f>
        <v>06King</v>
      </c>
      <c r="O341" t="str">
        <f>VLOOKUP(M341,LUTs!E$2:H$14,4,)</f>
        <v>02South Puget Sound</v>
      </c>
      <c r="P341" s="80">
        <v>2</v>
      </c>
      <c r="Q341" s="102">
        <v>2</v>
      </c>
      <c r="R341" s="74">
        <f>VLOOKUP(B341,Readme!A$40:C$52,3,)*Q341</f>
        <v>37.1</v>
      </c>
    </row>
    <row r="342" spans="1:18" ht="14.15" customHeight="1" x14ac:dyDescent="0.35">
      <c r="A342" s="75">
        <v>291</v>
      </c>
      <c r="B342" s="80">
        <v>2011</v>
      </c>
      <c r="C342" s="80">
        <v>2</v>
      </c>
      <c r="D342" s="80">
        <f t="shared" si="20"/>
        <v>2010</v>
      </c>
      <c r="E342" t="s">
        <v>38</v>
      </c>
      <c r="F342" t="s">
        <v>143</v>
      </c>
      <c r="G342" t="s">
        <v>86</v>
      </c>
      <c r="H342" s="72" t="s">
        <v>250</v>
      </c>
      <c r="I342" s="72" t="s">
        <v>101</v>
      </c>
      <c r="J342" t="str">
        <f t="shared" si="21"/>
        <v>Tokul Creek</v>
      </c>
      <c r="K342" t="str">
        <f>IFERROR(VLOOKUP(J342,LUTs!$A$1:$C$73,2,FALSE),"NA")</f>
        <v>King</v>
      </c>
      <c r="L342" t="str">
        <f>IFERROR(VLOOKUP(J342,LUTs!$A$1:$C$73,3,FALSE),"NA")</f>
        <v>2Central Puget Sound</v>
      </c>
      <c r="M342" s="72" t="s">
        <v>18</v>
      </c>
      <c r="N342" t="str">
        <f>VLOOKUP(M342,LUTs!E$2:H$14,3,)</f>
        <v>06King</v>
      </c>
      <c r="O342" t="str">
        <f>VLOOKUP(M342,LUTs!E$2:H$14,4,)</f>
        <v>02South Puget Sound</v>
      </c>
      <c r="P342" s="80">
        <v>14</v>
      </c>
      <c r="Q342" s="102">
        <v>14</v>
      </c>
      <c r="R342" s="74">
        <f>VLOOKUP(B342,Readme!A$40:C$52,3,)*Q342</f>
        <v>259.7</v>
      </c>
    </row>
    <row r="343" spans="1:18" ht="14.15" customHeight="1" x14ac:dyDescent="0.35">
      <c r="A343" s="75">
        <v>292</v>
      </c>
      <c r="B343" s="80">
        <v>2011</v>
      </c>
      <c r="C343" s="80">
        <v>2</v>
      </c>
      <c r="D343" s="80">
        <f t="shared" si="20"/>
        <v>2010</v>
      </c>
      <c r="E343" t="s">
        <v>38</v>
      </c>
      <c r="F343" t="s">
        <v>143</v>
      </c>
      <c r="G343" t="s">
        <v>86</v>
      </c>
      <c r="H343" s="72" t="s">
        <v>250</v>
      </c>
      <c r="I343" s="72" t="s">
        <v>101</v>
      </c>
      <c r="J343" t="str">
        <f t="shared" si="21"/>
        <v>Tokul Creek</v>
      </c>
      <c r="K343" t="str">
        <f>IFERROR(VLOOKUP(J343,LUTs!$A$1:$C$73,2,FALSE),"NA")</f>
        <v>King</v>
      </c>
      <c r="L343" t="str">
        <f>IFERROR(VLOOKUP(J343,LUTs!$A$1:$C$73,3,FALSE),"NA")</f>
        <v>2Central Puget Sound</v>
      </c>
      <c r="M343" s="72" t="s">
        <v>16</v>
      </c>
      <c r="N343" t="str">
        <f>VLOOKUP(M343,LUTs!E$2:H$14,3,)</f>
        <v>03Snohomish</v>
      </c>
      <c r="O343" t="str">
        <f>VLOOKUP(M343,LUTs!E$2:H$14,4,)</f>
        <v>01North Puget Sound</v>
      </c>
      <c r="P343" s="80">
        <v>28</v>
      </c>
      <c r="Q343" s="102">
        <v>28</v>
      </c>
      <c r="R343" s="74">
        <f>VLOOKUP(B343,Readme!A$40:C$52,3,)*Q343</f>
        <v>519.4</v>
      </c>
    </row>
    <row r="344" spans="1:18" ht="14.15" customHeight="1" x14ac:dyDescent="0.35">
      <c r="A344" s="75">
        <v>309</v>
      </c>
      <c r="B344" s="80">
        <v>2011</v>
      </c>
      <c r="C344" s="80">
        <v>2</v>
      </c>
      <c r="D344" s="80">
        <f t="shared" si="20"/>
        <v>2010</v>
      </c>
      <c r="E344" t="s">
        <v>38</v>
      </c>
      <c r="F344" t="s">
        <v>143</v>
      </c>
      <c r="G344" t="s">
        <v>86</v>
      </c>
      <c r="H344" s="72" t="s">
        <v>233</v>
      </c>
      <c r="I344" s="72" t="s">
        <v>76</v>
      </c>
      <c r="J344" t="str">
        <f t="shared" si="21"/>
        <v>Wallace River</v>
      </c>
      <c r="K344" t="str">
        <f>IFERROR(VLOOKUP(J344,LUTs!$A$1:$C$73,2,FALSE),"NA")</f>
        <v>Snohomish</v>
      </c>
      <c r="L344" t="str">
        <f>IFERROR(VLOOKUP(J344,LUTs!$A$1:$C$73,3,FALSE),"NA")</f>
        <v>2Central Puget Sound</v>
      </c>
      <c r="M344" s="72" t="s">
        <v>18</v>
      </c>
      <c r="N344" t="str">
        <f>VLOOKUP(M344,LUTs!E$2:H$14,3,)</f>
        <v>06King</v>
      </c>
      <c r="O344" t="str">
        <f>VLOOKUP(M344,LUTs!E$2:H$14,4,)</f>
        <v>02South Puget Sound</v>
      </c>
      <c r="P344" s="80">
        <v>4.6666666666666696</v>
      </c>
      <c r="Q344" s="102">
        <v>4.6666666666666696</v>
      </c>
      <c r="R344" s="74">
        <f>VLOOKUP(B344,Readme!A$40:C$52,3,)*Q344</f>
        <v>86.56666666666672</v>
      </c>
    </row>
    <row r="345" spans="1:18" ht="14.15" customHeight="1" x14ac:dyDescent="0.35">
      <c r="A345" s="75">
        <v>310</v>
      </c>
      <c r="B345" s="80">
        <v>2011</v>
      </c>
      <c r="C345" s="80">
        <v>2</v>
      </c>
      <c r="D345" s="80">
        <f t="shared" si="20"/>
        <v>2010</v>
      </c>
      <c r="E345" t="s">
        <v>38</v>
      </c>
      <c r="F345" t="s">
        <v>143</v>
      </c>
      <c r="G345" t="s">
        <v>86</v>
      </c>
      <c r="H345" s="72" t="s">
        <v>233</v>
      </c>
      <c r="I345" s="72" t="s">
        <v>76</v>
      </c>
      <c r="J345" t="str">
        <f t="shared" si="21"/>
        <v>Wallace River</v>
      </c>
      <c r="K345" t="str">
        <f>IFERROR(VLOOKUP(J345,LUTs!$A$1:$C$73,2,FALSE),"NA")</f>
        <v>Snohomish</v>
      </c>
      <c r="L345" t="str">
        <f>IFERROR(VLOOKUP(J345,LUTs!$A$1:$C$73,3,FALSE),"NA")</f>
        <v>2Central Puget Sound</v>
      </c>
      <c r="M345" s="72" t="s">
        <v>16</v>
      </c>
      <c r="N345" t="str">
        <f>VLOOKUP(M345,LUTs!E$2:H$14,3,)</f>
        <v>03Snohomish</v>
      </c>
      <c r="O345" t="str">
        <f>VLOOKUP(M345,LUTs!E$2:H$14,4,)</f>
        <v>01North Puget Sound</v>
      </c>
      <c r="P345" s="80">
        <v>2.3333333333333299</v>
      </c>
      <c r="Q345" s="102">
        <v>2.3333333333333299</v>
      </c>
      <c r="R345" s="74">
        <f>VLOOKUP(B345,Readme!A$40:C$52,3,)*Q345</f>
        <v>43.283333333333275</v>
      </c>
    </row>
    <row r="346" spans="1:18" ht="14.15" customHeight="1" x14ac:dyDescent="0.35">
      <c r="A346" s="75">
        <v>332</v>
      </c>
      <c r="B346" s="80">
        <v>2011</v>
      </c>
      <c r="C346" s="80">
        <v>2</v>
      </c>
      <c r="D346" s="80">
        <f t="shared" si="20"/>
        <v>2010</v>
      </c>
      <c r="E346" t="s">
        <v>38</v>
      </c>
      <c r="F346" t="s">
        <v>143</v>
      </c>
      <c r="G346" t="s">
        <v>86</v>
      </c>
      <c r="H346" s="72" t="s">
        <v>224</v>
      </c>
      <c r="I346" s="72" t="s">
        <v>66</v>
      </c>
      <c r="J346" t="str">
        <f t="shared" si="21"/>
        <v>Whatcom Creek</v>
      </c>
      <c r="K346" t="str">
        <f>IFERROR(VLOOKUP(J346,LUTs!$A$1:$C$73,2,FALSE),"NA")</f>
        <v>Whatcom</v>
      </c>
      <c r="L346" t="str">
        <f>IFERROR(VLOOKUP(J346,LUTs!$A$1:$C$73,3,FALSE),"NA")</f>
        <v>1North Puget Sound</v>
      </c>
      <c r="M346" s="72" t="s">
        <v>13</v>
      </c>
      <c r="N346" t="str">
        <f>VLOOKUP(M346,LUTs!E$2:H$14,3,)</f>
        <v>01Whatcom</v>
      </c>
      <c r="O346" t="str">
        <f>VLOOKUP(M346,LUTs!E$2:H$14,4,)</f>
        <v>01North Puget Sound</v>
      </c>
      <c r="P346" s="80">
        <v>2</v>
      </c>
      <c r="Q346" s="102">
        <v>2</v>
      </c>
      <c r="R346" s="74">
        <f>VLOOKUP(B346,Readme!A$40:C$52,3,)*Q346</f>
        <v>37.1</v>
      </c>
    </row>
    <row r="347" spans="1:18" ht="14.15" customHeight="1" x14ac:dyDescent="0.35">
      <c r="A347" s="75">
        <v>347</v>
      </c>
      <c r="B347" s="80">
        <v>2011</v>
      </c>
      <c r="C347" s="80">
        <v>3</v>
      </c>
      <c r="D347" s="80">
        <f t="shared" si="20"/>
        <v>2010</v>
      </c>
      <c r="E347" t="s">
        <v>38</v>
      </c>
      <c r="F347" t="s">
        <v>143</v>
      </c>
      <c r="G347" t="s">
        <v>86</v>
      </c>
      <c r="H347" s="72" t="s">
        <v>254</v>
      </c>
      <c r="I347" s="72" t="s">
        <v>33</v>
      </c>
      <c r="J347" t="str">
        <f t="shared" si="21"/>
        <v>Area 9: Admiralty Inlet</v>
      </c>
      <c r="K347" t="str">
        <f>IFERROR(VLOOKUP(J347,LUTs!$A$1:$C$73,2,FALSE),"NA")</f>
        <v>NA</v>
      </c>
      <c r="L347" t="str">
        <f>IFERROR(VLOOKUP(J347,LUTs!$A$1:$C$73,3,FALSE),"NA")</f>
        <v>2Central Puget Sound</v>
      </c>
      <c r="M347" s="72" t="s">
        <v>16</v>
      </c>
      <c r="N347" t="str">
        <f>VLOOKUP(M347,LUTs!E$2:H$14,3,)</f>
        <v>03Snohomish</v>
      </c>
      <c r="O347" t="str">
        <f>VLOOKUP(M347,LUTs!E$2:H$14,4,)</f>
        <v>01North Puget Sound</v>
      </c>
      <c r="P347" s="80">
        <v>3</v>
      </c>
      <c r="Q347" s="102">
        <v>3</v>
      </c>
      <c r="R347" s="74">
        <f>VLOOKUP(B347,Readme!A$40:C$52,3,)*Q347</f>
        <v>55.650000000000006</v>
      </c>
    </row>
    <row r="348" spans="1:18" ht="14.15" customHeight="1" x14ac:dyDescent="0.35">
      <c r="A348" s="75">
        <v>253</v>
      </c>
      <c r="B348" s="80">
        <v>2011</v>
      </c>
      <c r="C348" s="80">
        <v>3</v>
      </c>
      <c r="D348" s="80">
        <f t="shared" si="20"/>
        <v>2010</v>
      </c>
      <c r="E348" t="s">
        <v>38</v>
      </c>
      <c r="F348" t="s">
        <v>143</v>
      </c>
      <c r="G348" t="s">
        <v>86</v>
      </c>
      <c r="H348" s="72" t="s">
        <v>221</v>
      </c>
      <c r="I348" s="72" t="s">
        <v>63</v>
      </c>
      <c r="J348" t="str">
        <f t="shared" si="21"/>
        <v>Snohomish River</v>
      </c>
      <c r="K348" t="str">
        <f>IFERROR(VLOOKUP(J348,LUTs!$A$1:$C$73,2,FALSE),"NA")</f>
        <v>Snohomish</v>
      </c>
      <c r="L348" t="str">
        <f>IFERROR(VLOOKUP(J348,LUTs!$A$1:$C$73,3,FALSE),"NA")</f>
        <v>2Central Puget Sound</v>
      </c>
      <c r="M348" s="72" t="s">
        <v>16</v>
      </c>
      <c r="N348" t="str">
        <f>VLOOKUP(M348,LUTs!E$2:H$14,3,)</f>
        <v>03Snohomish</v>
      </c>
      <c r="O348" t="str">
        <f>VLOOKUP(M348,LUTs!E$2:H$14,4,)</f>
        <v>01North Puget Sound</v>
      </c>
      <c r="P348" s="80">
        <v>5</v>
      </c>
      <c r="Q348" s="102">
        <v>5</v>
      </c>
      <c r="R348" s="74">
        <f>VLOOKUP(B348,Readme!A$40:C$52,3,)*Q348</f>
        <v>92.75</v>
      </c>
    </row>
    <row r="349" spans="1:18" ht="12" customHeight="1" x14ac:dyDescent="0.35">
      <c r="A349" s="75">
        <v>715</v>
      </c>
      <c r="B349" s="80">
        <v>2011</v>
      </c>
      <c r="C349" s="80">
        <v>4</v>
      </c>
      <c r="D349" s="80">
        <f t="shared" si="20"/>
        <v>2011</v>
      </c>
      <c r="E349" t="s">
        <v>38</v>
      </c>
      <c r="F349" t="s">
        <v>143</v>
      </c>
      <c r="G349" t="s">
        <v>86</v>
      </c>
      <c r="H349" s="72" t="s">
        <v>254</v>
      </c>
      <c r="I349" s="72" t="s">
        <v>33</v>
      </c>
      <c r="J349" t="str">
        <f t="shared" si="21"/>
        <v>Area 9: Admiralty Inlet</v>
      </c>
      <c r="K349" t="str">
        <f>IFERROR(VLOOKUP(J349,LUTs!$A$1:$C$73,2,FALSE),"NA")</f>
        <v>NA</v>
      </c>
      <c r="L349" t="str">
        <f>IFERROR(VLOOKUP(J349,LUTs!$A$1:$C$73,3,FALSE),"NA")</f>
        <v>2Central Puget Sound</v>
      </c>
      <c r="M349" s="72" t="s">
        <v>17</v>
      </c>
      <c r="N349" t="str">
        <f>VLOOKUP(M349,LUTs!E$2:H$14,3,)</f>
        <v>04Island</v>
      </c>
      <c r="O349" t="str">
        <f>VLOOKUP(M349,LUTs!E$2:H$14,4,)</f>
        <v>01North Puget Sound</v>
      </c>
      <c r="P349" s="80">
        <v>9</v>
      </c>
      <c r="Q349" s="102">
        <v>9</v>
      </c>
      <c r="R349" s="74">
        <f>VLOOKUP(B349,Readme!A$40:C$52,3,)*Q349</f>
        <v>166.95000000000002</v>
      </c>
    </row>
    <row r="350" spans="1:18" ht="12" customHeight="1" x14ac:dyDescent="0.35">
      <c r="A350" s="75">
        <v>358</v>
      </c>
      <c r="B350" s="80">
        <v>2011</v>
      </c>
      <c r="C350" s="80">
        <v>4</v>
      </c>
      <c r="D350" s="80">
        <f t="shared" si="20"/>
        <v>2011</v>
      </c>
      <c r="E350" t="s">
        <v>38</v>
      </c>
      <c r="F350" t="s">
        <v>143</v>
      </c>
      <c r="G350" t="s">
        <v>86</v>
      </c>
      <c r="H350" s="72" t="s">
        <v>203</v>
      </c>
      <c r="I350" s="72" t="s">
        <v>89</v>
      </c>
      <c r="J350" s="84" t="s">
        <v>45</v>
      </c>
      <c r="K350" t="str">
        <f>IFERROR(VLOOKUP(J350,LUTs!$A$1:$C$73,2,FALSE),"NA")</f>
        <v>King</v>
      </c>
      <c r="L350" t="str">
        <f>IFERROR(VLOOKUP(J350,LUTs!$A$1:$C$73,3,FALSE),"NA")</f>
        <v>3South Puget Sound</v>
      </c>
      <c r="M350" s="72" t="s">
        <v>20</v>
      </c>
      <c r="N350" t="str">
        <f>VLOOKUP(M350,LUTs!E$2:H$14,3,)</f>
        <v>07Pierce</v>
      </c>
      <c r="O350" t="str">
        <f>VLOOKUP(M350,LUTs!E$2:H$14,4,)</f>
        <v>02South Puget Sound</v>
      </c>
      <c r="P350" s="80">
        <v>2</v>
      </c>
      <c r="Q350" s="102">
        <v>2</v>
      </c>
      <c r="R350" s="74">
        <f>VLOOKUP(B350,Readme!A$40:C$52,3,)*Q350</f>
        <v>37.1</v>
      </c>
    </row>
    <row r="351" spans="1:18" ht="12" customHeight="1" x14ac:dyDescent="0.35">
      <c r="A351" s="75">
        <v>716</v>
      </c>
      <c r="B351" s="80">
        <v>2011</v>
      </c>
      <c r="C351" s="80">
        <v>5</v>
      </c>
      <c r="D351" s="80">
        <f t="shared" si="20"/>
        <v>2011</v>
      </c>
      <c r="E351" t="s">
        <v>38</v>
      </c>
      <c r="F351" t="s">
        <v>143</v>
      </c>
      <c r="G351" t="s">
        <v>86</v>
      </c>
      <c r="H351" s="72" t="s">
        <v>254</v>
      </c>
      <c r="I351" s="72" t="s">
        <v>33</v>
      </c>
      <c r="J351" t="str">
        <f>I351</f>
        <v>Area 9: Admiralty Inlet</v>
      </c>
      <c r="K351" t="str">
        <f>IFERROR(VLOOKUP(J351,LUTs!$A$1:$C$73,2,FALSE),"NA")</f>
        <v>NA</v>
      </c>
      <c r="L351" t="str">
        <f>IFERROR(VLOOKUP(J351,LUTs!$A$1:$C$73,3,FALSE),"NA")</f>
        <v>2Central Puget Sound</v>
      </c>
      <c r="M351" s="72" t="s">
        <v>17</v>
      </c>
      <c r="N351" t="str">
        <f>VLOOKUP(M351,LUTs!E$2:H$14,3,)</f>
        <v>04Island</v>
      </c>
      <c r="O351" t="str">
        <f>VLOOKUP(M351,LUTs!E$2:H$14,4,)</f>
        <v>01North Puget Sound</v>
      </c>
      <c r="P351" s="80">
        <v>2</v>
      </c>
      <c r="Q351" s="102">
        <v>2</v>
      </c>
      <c r="R351" s="74">
        <f>VLOOKUP(B351,Readme!A$40:C$52,3,)*Q351</f>
        <v>37.1</v>
      </c>
    </row>
    <row r="352" spans="1:18" ht="12" customHeight="1" x14ac:dyDescent="0.35">
      <c r="A352" s="75">
        <v>471</v>
      </c>
      <c r="B352" s="80">
        <v>2011</v>
      </c>
      <c r="C352" s="80">
        <v>6</v>
      </c>
      <c r="D352" s="80">
        <f t="shared" si="20"/>
        <v>2011</v>
      </c>
      <c r="E352" t="s">
        <v>38</v>
      </c>
      <c r="F352" t="s">
        <v>143</v>
      </c>
      <c r="G352" t="s">
        <v>86</v>
      </c>
      <c r="H352" s="72" t="s">
        <v>217</v>
      </c>
      <c r="I352" s="72" t="s">
        <v>59</v>
      </c>
      <c r="J352" t="str">
        <f>I352</f>
        <v>Cascade River</v>
      </c>
      <c r="K352" t="str">
        <f>IFERROR(VLOOKUP(J352,LUTs!$A$1:$C$73,2,FALSE),"NA")</f>
        <v>Skagit</v>
      </c>
      <c r="L352" t="str">
        <f>IFERROR(VLOOKUP(J352,LUTs!$A$1:$C$73,3,FALSE),"NA")</f>
        <v>1North Puget Sound</v>
      </c>
      <c r="M352" s="72" t="s">
        <v>15</v>
      </c>
      <c r="N352" t="str">
        <f>VLOOKUP(M352,LUTs!E$2:H$14,3,)</f>
        <v>02Skagit</v>
      </c>
      <c r="O352" t="str">
        <f>VLOOKUP(M352,LUTs!E$2:H$14,4,)</f>
        <v>01North Puget Sound</v>
      </c>
      <c r="P352" s="80">
        <v>3</v>
      </c>
      <c r="Q352" s="102">
        <v>3</v>
      </c>
      <c r="R352" s="74">
        <f>VLOOKUP(B352,Readme!A$40:C$52,3,)*Q352</f>
        <v>55.650000000000006</v>
      </c>
    </row>
    <row r="353" spans="1:18" ht="12" customHeight="1" x14ac:dyDescent="0.35">
      <c r="A353" s="75">
        <v>359</v>
      </c>
      <c r="B353" s="80">
        <v>2011</v>
      </c>
      <c r="C353" s="80">
        <v>6</v>
      </c>
      <c r="D353" s="80">
        <f t="shared" si="20"/>
        <v>2011</v>
      </c>
      <c r="E353" t="s">
        <v>38</v>
      </c>
      <c r="F353" t="s">
        <v>143</v>
      </c>
      <c r="G353" t="s">
        <v>86</v>
      </c>
      <c r="H353" s="72" t="s">
        <v>203</v>
      </c>
      <c r="I353" s="72" t="s">
        <v>89</v>
      </c>
      <c r="J353" s="84" t="s">
        <v>45</v>
      </c>
      <c r="K353" t="str">
        <f>IFERROR(VLOOKUP(J353,LUTs!$A$1:$C$73,2,FALSE),"NA")</f>
        <v>King</v>
      </c>
      <c r="L353" t="str">
        <f>IFERROR(VLOOKUP(J353,LUTs!$A$1:$C$73,3,FALSE),"NA")</f>
        <v>3South Puget Sound</v>
      </c>
      <c r="M353" s="72" t="s">
        <v>18</v>
      </c>
      <c r="N353" t="str">
        <f>VLOOKUP(M353,LUTs!E$2:H$14,3,)</f>
        <v>06King</v>
      </c>
      <c r="O353" t="str">
        <f>VLOOKUP(M353,LUTs!E$2:H$14,4,)</f>
        <v>02South Puget Sound</v>
      </c>
      <c r="P353" s="80">
        <v>62.857142857142897</v>
      </c>
      <c r="Q353" s="102">
        <v>62.857142857142897</v>
      </c>
      <c r="R353" s="74">
        <f>VLOOKUP(B353,Readme!A$40:C$52,3,)*Q353</f>
        <v>1166.0000000000007</v>
      </c>
    </row>
    <row r="354" spans="1:18" ht="12" customHeight="1" x14ac:dyDescent="0.35">
      <c r="A354" s="75">
        <v>360</v>
      </c>
      <c r="B354" s="80">
        <v>2011</v>
      </c>
      <c r="C354" s="80">
        <v>6</v>
      </c>
      <c r="D354" s="80">
        <f t="shared" si="20"/>
        <v>2011</v>
      </c>
      <c r="E354" t="s">
        <v>38</v>
      </c>
      <c r="F354" t="s">
        <v>143</v>
      </c>
      <c r="G354" t="s">
        <v>86</v>
      </c>
      <c r="H354" s="72" t="s">
        <v>203</v>
      </c>
      <c r="I354" s="72" t="s">
        <v>89</v>
      </c>
      <c r="J354" s="84" t="s">
        <v>45</v>
      </c>
      <c r="K354" t="str">
        <f>IFERROR(VLOOKUP(J354,LUTs!$A$1:$C$73,2,FALSE),"NA")</f>
        <v>King</v>
      </c>
      <c r="L354" t="str">
        <f>IFERROR(VLOOKUP(J354,LUTs!$A$1:$C$73,3,FALSE),"NA")</f>
        <v>3South Puget Sound</v>
      </c>
      <c r="M354" s="72" t="s">
        <v>26</v>
      </c>
      <c r="N354" t="str">
        <f>VLOOKUP(M354,LUTs!E$2:H$14,3,)</f>
        <v>20Other</v>
      </c>
      <c r="O354" t="str">
        <f>VLOOKUP(M354,LUTs!E$2:H$14,4,)</f>
        <v>07Non Puget Sound</v>
      </c>
      <c r="P354" s="80">
        <v>6.28571428571429</v>
      </c>
      <c r="Q354" s="102">
        <v>6.28571428571429</v>
      </c>
      <c r="R354" s="74">
        <f>VLOOKUP(B354,Readme!A$40:C$52,3,)*Q354</f>
        <v>116.60000000000008</v>
      </c>
    </row>
    <row r="355" spans="1:18" ht="12" customHeight="1" x14ac:dyDescent="0.35">
      <c r="A355" s="75">
        <v>361</v>
      </c>
      <c r="B355" s="80">
        <v>2011</v>
      </c>
      <c r="C355" s="80">
        <v>6</v>
      </c>
      <c r="D355" s="80">
        <f t="shared" si="20"/>
        <v>2011</v>
      </c>
      <c r="E355" t="s">
        <v>38</v>
      </c>
      <c r="F355" t="s">
        <v>143</v>
      </c>
      <c r="G355" t="s">
        <v>86</v>
      </c>
      <c r="H355" s="72" t="s">
        <v>203</v>
      </c>
      <c r="I355" s="72" t="s">
        <v>89</v>
      </c>
      <c r="J355" s="84" t="s">
        <v>45</v>
      </c>
      <c r="K355" t="str">
        <f>IFERROR(VLOOKUP(J355,LUTs!$A$1:$C$73,2,FALSE),"NA")</f>
        <v>King</v>
      </c>
      <c r="L355" t="str">
        <f>IFERROR(VLOOKUP(J355,LUTs!$A$1:$C$73,3,FALSE),"NA")</f>
        <v>3South Puget Sound</v>
      </c>
      <c r="M355" s="72" t="s">
        <v>20</v>
      </c>
      <c r="N355" t="str">
        <f>VLOOKUP(M355,LUTs!E$2:H$14,3,)</f>
        <v>07Pierce</v>
      </c>
      <c r="O355" t="str">
        <f>VLOOKUP(M355,LUTs!E$2:H$14,4,)</f>
        <v>02South Puget Sound</v>
      </c>
      <c r="P355" s="80">
        <v>18.8571428571429</v>
      </c>
      <c r="Q355" s="102">
        <v>18.8571428571429</v>
      </c>
      <c r="R355" s="74">
        <f>VLOOKUP(B355,Readme!A$40:C$52,3,)*Q355</f>
        <v>349.80000000000081</v>
      </c>
    </row>
    <row r="356" spans="1:18" ht="12" customHeight="1" x14ac:dyDescent="0.35">
      <c r="A356" s="75">
        <v>397</v>
      </c>
      <c r="B356" s="80">
        <v>2011</v>
      </c>
      <c r="C356" s="80">
        <v>6</v>
      </c>
      <c r="D356" s="80">
        <f t="shared" si="20"/>
        <v>2011</v>
      </c>
      <c r="E356" t="s">
        <v>38</v>
      </c>
      <c r="F356" t="s">
        <v>143</v>
      </c>
      <c r="G356" t="s">
        <v>86</v>
      </c>
      <c r="H356" s="72" t="s">
        <v>237</v>
      </c>
      <c r="I356" s="72" t="s">
        <v>79</v>
      </c>
      <c r="J356" t="str">
        <f t="shared" ref="J356:J380" si="22">I356</f>
        <v>Lyre River</v>
      </c>
      <c r="K356" t="str">
        <f>IFERROR(VLOOKUP(J356,LUTs!$A$1:$C$73,2,FALSE),"NA")</f>
        <v>Clallam</v>
      </c>
      <c r="L356" t="str">
        <f>IFERROR(VLOOKUP(J356,LUTs!$A$1:$C$73,3,FALSE),"NA")</f>
        <v>0Strait of Juan de Fuca</v>
      </c>
      <c r="M356" s="72" t="s">
        <v>24</v>
      </c>
      <c r="N356" t="str">
        <f>VLOOKUP(M356,LUTs!E$2:H$14,3,)</f>
        <v>11Clallam</v>
      </c>
      <c r="O356" t="str">
        <f>VLOOKUP(M356,LUTs!E$2:H$14,4,)</f>
        <v>03Strait of Juan de Fuca</v>
      </c>
      <c r="P356" s="80">
        <v>9</v>
      </c>
      <c r="Q356" s="102">
        <v>9</v>
      </c>
      <c r="R356" s="74">
        <f>VLOOKUP(B356,Readme!A$40:C$52,3,)*Q356</f>
        <v>166.95000000000002</v>
      </c>
    </row>
    <row r="357" spans="1:18" ht="12" customHeight="1" x14ac:dyDescent="0.35">
      <c r="A357" s="75">
        <v>441</v>
      </c>
      <c r="B357" s="80">
        <v>2011</v>
      </c>
      <c r="C357" s="80">
        <v>6</v>
      </c>
      <c r="D357" s="80">
        <f t="shared" si="20"/>
        <v>2011</v>
      </c>
      <c r="E357" t="s">
        <v>38</v>
      </c>
      <c r="F357" t="s">
        <v>143</v>
      </c>
      <c r="G357" t="s">
        <v>86</v>
      </c>
      <c r="H357" s="72" t="s">
        <v>212</v>
      </c>
      <c r="I357" s="72" t="s">
        <v>54</v>
      </c>
      <c r="J357" t="str">
        <f t="shared" si="22"/>
        <v>Puyallup River</v>
      </c>
      <c r="K357" t="str">
        <f>IFERROR(VLOOKUP(J357,LUTs!$A$1:$C$73,2,FALSE),"NA")</f>
        <v>Pierce</v>
      </c>
      <c r="L357" t="str">
        <f>IFERROR(VLOOKUP(J357,LUTs!$A$1:$C$73,3,FALSE),"NA")</f>
        <v>3South Puget Sound</v>
      </c>
      <c r="M357" s="72" t="s">
        <v>26</v>
      </c>
      <c r="N357" t="str">
        <f>VLOOKUP(M357,LUTs!E$2:H$14,3,)</f>
        <v>20Other</v>
      </c>
      <c r="O357" t="str">
        <f>VLOOKUP(M357,LUTs!E$2:H$14,4,)</f>
        <v>07Non Puget Sound</v>
      </c>
      <c r="P357" s="80">
        <v>8</v>
      </c>
      <c r="Q357" s="102">
        <v>8</v>
      </c>
      <c r="R357" s="74">
        <f>VLOOKUP(B357,Readme!A$40:C$52,3,)*Q357</f>
        <v>148.4</v>
      </c>
    </row>
    <row r="358" spans="1:18" ht="12" customHeight="1" x14ac:dyDescent="0.35">
      <c r="A358" s="75">
        <v>499</v>
      </c>
      <c r="B358" s="80">
        <v>2011</v>
      </c>
      <c r="C358" s="80">
        <v>6</v>
      </c>
      <c r="D358" s="80">
        <f t="shared" si="20"/>
        <v>2011</v>
      </c>
      <c r="E358" t="s">
        <v>38</v>
      </c>
      <c r="F358" t="s">
        <v>143</v>
      </c>
      <c r="G358" t="s">
        <v>86</v>
      </c>
      <c r="H358" s="72" t="s">
        <v>218</v>
      </c>
      <c r="I358" s="72" t="s">
        <v>60</v>
      </c>
      <c r="J358" t="str">
        <f t="shared" si="22"/>
        <v>Skagit River</v>
      </c>
      <c r="K358" t="str">
        <f>IFERROR(VLOOKUP(J358,LUTs!$A$1:$C$73,2,FALSE),"NA")</f>
        <v>Skagit/Whatcom</v>
      </c>
      <c r="L358" t="str">
        <f>IFERROR(VLOOKUP(J358,LUTs!$A$1:$C$73,3,FALSE),"NA")</f>
        <v>2Central Puget Sound</v>
      </c>
      <c r="M358" s="72" t="s">
        <v>15</v>
      </c>
      <c r="N358" t="str">
        <f>VLOOKUP(M358,LUTs!E$2:H$14,3,)</f>
        <v>02Skagit</v>
      </c>
      <c r="O358" t="str">
        <f>VLOOKUP(M358,LUTs!E$2:H$14,4,)</f>
        <v>01North Puget Sound</v>
      </c>
      <c r="P358" s="80">
        <v>4</v>
      </c>
      <c r="Q358" s="102">
        <v>4</v>
      </c>
      <c r="R358" s="74">
        <f>VLOOKUP(B358,Readme!A$40:C$52,3,)*Q358</f>
        <v>74.2</v>
      </c>
    </row>
    <row r="359" spans="1:18" ht="12" customHeight="1" x14ac:dyDescent="0.35">
      <c r="A359" s="75">
        <v>537</v>
      </c>
      <c r="B359" s="80">
        <v>2011</v>
      </c>
      <c r="C359" s="80">
        <v>6</v>
      </c>
      <c r="D359" s="80">
        <f t="shared" si="20"/>
        <v>2011</v>
      </c>
      <c r="E359" t="s">
        <v>38</v>
      </c>
      <c r="F359" t="s">
        <v>143</v>
      </c>
      <c r="G359" t="s">
        <v>86</v>
      </c>
      <c r="H359" s="72" t="s">
        <v>220</v>
      </c>
      <c r="I359" s="72" t="s">
        <v>62</v>
      </c>
      <c r="J359" t="str">
        <f t="shared" si="22"/>
        <v>Skykomish River</v>
      </c>
      <c r="K359" t="str">
        <f>IFERROR(VLOOKUP(J359,LUTs!$A$1:$C$73,2,FALSE),"NA")</f>
        <v>Snohomish</v>
      </c>
      <c r="L359" t="str">
        <f>IFERROR(VLOOKUP(J359,LUTs!$A$1:$C$73,3,FALSE),"NA")</f>
        <v>2Central Puget Sound</v>
      </c>
      <c r="M359" s="72" t="s">
        <v>17</v>
      </c>
      <c r="N359" t="str">
        <f>VLOOKUP(M359,LUTs!E$2:H$14,3,)</f>
        <v>04Island</v>
      </c>
      <c r="O359" t="str">
        <f>VLOOKUP(M359,LUTs!E$2:H$14,4,)</f>
        <v>01North Puget Sound</v>
      </c>
      <c r="P359" s="80">
        <v>2.81860465116279</v>
      </c>
      <c r="Q359" s="102">
        <v>2.81860465116279</v>
      </c>
      <c r="R359" s="74">
        <f>VLOOKUP(B359,Readme!A$40:C$52,3,)*Q359</f>
        <v>52.285116279069754</v>
      </c>
    </row>
    <row r="360" spans="1:18" ht="12" customHeight="1" x14ac:dyDescent="0.35">
      <c r="A360" s="75">
        <v>538</v>
      </c>
      <c r="B360" s="80">
        <v>2011</v>
      </c>
      <c r="C360" s="80">
        <v>6</v>
      </c>
      <c r="D360" s="80">
        <f t="shared" si="20"/>
        <v>2011</v>
      </c>
      <c r="E360" t="s">
        <v>38</v>
      </c>
      <c r="F360" t="s">
        <v>143</v>
      </c>
      <c r="G360" t="s">
        <v>86</v>
      </c>
      <c r="H360" s="72" t="s">
        <v>220</v>
      </c>
      <c r="I360" s="72" t="s">
        <v>62</v>
      </c>
      <c r="J360" t="str">
        <f t="shared" si="22"/>
        <v>Skykomish River</v>
      </c>
      <c r="K360" t="str">
        <f>IFERROR(VLOOKUP(J360,LUTs!$A$1:$C$73,2,FALSE),"NA")</f>
        <v>Snohomish</v>
      </c>
      <c r="L360" t="str">
        <f>IFERROR(VLOOKUP(J360,LUTs!$A$1:$C$73,3,FALSE),"NA")</f>
        <v>2Central Puget Sound</v>
      </c>
      <c r="M360" s="72" t="s">
        <v>18</v>
      </c>
      <c r="N360" t="str">
        <f>VLOOKUP(M360,LUTs!E$2:H$14,3,)</f>
        <v>06King</v>
      </c>
      <c r="O360" t="str">
        <f>VLOOKUP(M360,LUTs!E$2:H$14,4,)</f>
        <v>02South Puget Sound</v>
      </c>
      <c r="P360" s="80">
        <v>231.125581395349</v>
      </c>
      <c r="Q360" s="102">
        <v>231.125581395349</v>
      </c>
      <c r="R360" s="74">
        <f>VLOOKUP(B360,Readme!A$40:C$52,3,)*Q360</f>
        <v>4287.3795348837239</v>
      </c>
    </row>
    <row r="361" spans="1:18" ht="12" customHeight="1" x14ac:dyDescent="0.35">
      <c r="A361" s="75">
        <v>539</v>
      </c>
      <c r="B361" s="80">
        <v>2011</v>
      </c>
      <c r="C361" s="80">
        <v>6</v>
      </c>
      <c r="D361" s="80">
        <f t="shared" si="20"/>
        <v>2011</v>
      </c>
      <c r="E361" t="s">
        <v>38</v>
      </c>
      <c r="F361" t="s">
        <v>143</v>
      </c>
      <c r="G361" t="s">
        <v>86</v>
      </c>
      <c r="H361" s="72" t="s">
        <v>220</v>
      </c>
      <c r="I361" s="72" t="s">
        <v>62</v>
      </c>
      <c r="J361" t="str">
        <f t="shared" si="22"/>
        <v>Skykomish River</v>
      </c>
      <c r="K361" t="str">
        <f>IFERROR(VLOOKUP(J361,LUTs!$A$1:$C$73,2,FALSE),"NA")</f>
        <v>Snohomish</v>
      </c>
      <c r="L361" t="str">
        <f>IFERROR(VLOOKUP(J361,LUTs!$A$1:$C$73,3,FALSE),"NA")</f>
        <v>2Central Puget Sound</v>
      </c>
      <c r="M361" s="72" t="s">
        <v>26</v>
      </c>
      <c r="N361" t="str">
        <f>VLOOKUP(M361,LUTs!E$2:H$14,3,)</f>
        <v>20Other</v>
      </c>
      <c r="O361" t="str">
        <f>VLOOKUP(M361,LUTs!E$2:H$14,4,)</f>
        <v>07Non Puget Sound</v>
      </c>
      <c r="P361" s="80">
        <v>31.004651162790701</v>
      </c>
      <c r="Q361" s="102">
        <v>31.004651162790701</v>
      </c>
      <c r="R361" s="74">
        <f>VLOOKUP(B361,Readme!A$40:C$52,3,)*Q361</f>
        <v>575.13627906976751</v>
      </c>
    </row>
    <row r="362" spans="1:18" ht="12" customHeight="1" x14ac:dyDescent="0.35">
      <c r="A362" s="75">
        <v>540</v>
      </c>
      <c r="B362" s="80">
        <v>2011</v>
      </c>
      <c r="C362" s="80">
        <v>6</v>
      </c>
      <c r="D362" s="80">
        <f t="shared" si="20"/>
        <v>2011</v>
      </c>
      <c r="E362" t="s">
        <v>38</v>
      </c>
      <c r="F362" t="s">
        <v>143</v>
      </c>
      <c r="G362" t="s">
        <v>86</v>
      </c>
      <c r="H362" s="72" t="s">
        <v>220</v>
      </c>
      <c r="I362" s="72" t="s">
        <v>62</v>
      </c>
      <c r="J362" t="str">
        <f t="shared" si="22"/>
        <v>Skykomish River</v>
      </c>
      <c r="K362" t="str">
        <f>IFERROR(VLOOKUP(J362,LUTs!$A$1:$C$73,2,FALSE),"NA")</f>
        <v>Snohomish</v>
      </c>
      <c r="L362" t="str">
        <f>IFERROR(VLOOKUP(J362,LUTs!$A$1:$C$73,3,FALSE),"NA")</f>
        <v>2Central Puget Sound</v>
      </c>
      <c r="M362" s="72" t="s">
        <v>20</v>
      </c>
      <c r="N362" t="str">
        <f>VLOOKUP(M362,LUTs!E$2:H$14,3,)</f>
        <v>07Pierce</v>
      </c>
      <c r="O362" t="str">
        <f>VLOOKUP(M362,LUTs!E$2:H$14,4,)</f>
        <v>02South Puget Sound</v>
      </c>
      <c r="P362" s="80">
        <v>14.093023255814</v>
      </c>
      <c r="Q362" s="102">
        <v>14.093023255814</v>
      </c>
      <c r="R362" s="74">
        <f>VLOOKUP(B362,Readme!A$40:C$52,3,)*Q362</f>
        <v>261.4255813953497</v>
      </c>
    </row>
    <row r="363" spans="1:18" ht="12" customHeight="1" x14ac:dyDescent="0.35">
      <c r="A363" s="75">
        <v>541</v>
      </c>
      <c r="B363" s="80">
        <v>2011</v>
      </c>
      <c r="C363" s="80">
        <v>6</v>
      </c>
      <c r="D363" s="80">
        <f t="shared" si="20"/>
        <v>2011</v>
      </c>
      <c r="E363" t="s">
        <v>38</v>
      </c>
      <c r="F363" t="s">
        <v>143</v>
      </c>
      <c r="G363" t="s">
        <v>86</v>
      </c>
      <c r="H363" s="72" t="s">
        <v>220</v>
      </c>
      <c r="I363" s="72" t="s">
        <v>62</v>
      </c>
      <c r="J363" t="str">
        <f t="shared" si="22"/>
        <v>Skykomish River</v>
      </c>
      <c r="K363" t="str">
        <f>IFERROR(VLOOKUP(J363,LUTs!$A$1:$C$73,2,FALSE),"NA")</f>
        <v>Snohomish</v>
      </c>
      <c r="L363" t="str">
        <f>IFERROR(VLOOKUP(J363,LUTs!$A$1:$C$73,3,FALSE),"NA")</f>
        <v>2Central Puget Sound</v>
      </c>
      <c r="M363" s="72" t="s">
        <v>15</v>
      </c>
      <c r="N363" t="str">
        <f>VLOOKUP(M363,LUTs!E$2:H$14,3,)</f>
        <v>02Skagit</v>
      </c>
      <c r="O363" t="str">
        <f>VLOOKUP(M363,LUTs!E$2:H$14,4,)</f>
        <v>01North Puget Sound</v>
      </c>
      <c r="P363" s="80">
        <v>5.63720930232558</v>
      </c>
      <c r="Q363" s="102">
        <v>5.63720930232558</v>
      </c>
      <c r="R363" s="74">
        <f>VLOOKUP(B363,Readme!A$40:C$52,3,)*Q363</f>
        <v>104.57023255813951</v>
      </c>
    </row>
    <row r="364" spans="1:18" ht="12" customHeight="1" x14ac:dyDescent="0.35">
      <c r="A364" s="75">
        <v>542</v>
      </c>
      <c r="B364" s="80">
        <v>2011</v>
      </c>
      <c r="C364" s="80">
        <v>6</v>
      </c>
      <c r="D364" s="80">
        <f t="shared" si="20"/>
        <v>2011</v>
      </c>
      <c r="E364" t="s">
        <v>38</v>
      </c>
      <c r="F364" t="s">
        <v>143</v>
      </c>
      <c r="G364" t="s">
        <v>86</v>
      </c>
      <c r="H364" s="72" t="s">
        <v>220</v>
      </c>
      <c r="I364" s="72" t="s">
        <v>62</v>
      </c>
      <c r="J364" t="str">
        <f t="shared" si="22"/>
        <v>Skykomish River</v>
      </c>
      <c r="K364" t="str">
        <f>IFERROR(VLOOKUP(J364,LUTs!$A$1:$C$73,2,FALSE),"NA")</f>
        <v>Snohomish</v>
      </c>
      <c r="L364" t="str">
        <f>IFERROR(VLOOKUP(J364,LUTs!$A$1:$C$73,3,FALSE),"NA")</f>
        <v>2Central Puget Sound</v>
      </c>
      <c r="M364" s="72" t="s">
        <v>16</v>
      </c>
      <c r="N364" t="str">
        <f>VLOOKUP(M364,LUTs!E$2:H$14,3,)</f>
        <v>03Snohomish</v>
      </c>
      <c r="O364" t="str">
        <f>VLOOKUP(M364,LUTs!E$2:H$14,4,)</f>
        <v>01North Puget Sound</v>
      </c>
      <c r="P364" s="80">
        <v>310.04651162790702</v>
      </c>
      <c r="Q364" s="102">
        <v>310.04651162790702</v>
      </c>
      <c r="R364" s="74">
        <f>VLOOKUP(B364,Readme!A$40:C$52,3,)*Q364</f>
        <v>5751.3627906976753</v>
      </c>
    </row>
    <row r="365" spans="1:18" ht="12" customHeight="1" x14ac:dyDescent="0.35">
      <c r="A365" s="75">
        <v>543</v>
      </c>
      <c r="B365" s="80">
        <v>2011</v>
      </c>
      <c r="C365" s="80">
        <v>6</v>
      </c>
      <c r="D365" s="80">
        <f t="shared" si="20"/>
        <v>2011</v>
      </c>
      <c r="E365" t="s">
        <v>38</v>
      </c>
      <c r="F365" t="s">
        <v>143</v>
      </c>
      <c r="G365" t="s">
        <v>86</v>
      </c>
      <c r="H365" s="72" t="s">
        <v>220</v>
      </c>
      <c r="I365" s="72" t="s">
        <v>62</v>
      </c>
      <c r="J365" t="str">
        <f t="shared" si="22"/>
        <v>Skykomish River</v>
      </c>
      <c r="K365" t="str">
        <f>IFERROR(VLOOKUP(J365,LUTs!$A$1:$C$73,2,FALSE),"NA")</f>
        <v>Snohomish</v>
      </c>
      <c r="L365" t="str">
        <f>IFERROR(VLOOKUP(J365,LUTs!$A$1:$C$73,3,FALSE),"NA")</f>
        <v>2Central Puget Sound</v>
      </c>
      <c r="M365" s="72" t="s">
        <v>21</v>
      </c>
      <c r="N365" t="str">
        <f>VLOOKUP(M365,LUTs!E$2:H$14,3,)</f>
        <v>08Thurston</v>
      </c>
      <c r="O365" t="str">
        <f>VLOOKUP(M365,LUTs!E$2:H$14,4,)</f>
        <v>02South Puget Sound</v>
      </c>
      <c r="P365" s="80">
        <v>5.63720930232558</v>
      </c>
      <c r="Q365" s="102">
        <v>5.63720930232558</v>
      </c>
      <c r="R365" s="74">
        <f>VLOOKUP(B365,Readme!A$40:C$52,3,)*Q365</f>
        <v>104.57023255813951</v>
      </c>
    </row>
    <row r="366" spans="1:18" ht="12" customHeight="1" x14ac:dyDescent="0.35">
      <c r="A366" s="75">
        <v>544</v>
      </c>
      <c r="B366" s="80">
        <v>2011</v>
      </c>
      <c r="C366" s="80">
        <v>6</v>
      </c>
      <c r="D366" s="80">
        <f t="shared" si="20"/>
        <v>2011</v>
      </c>
      <c r="E366" t="s">
        <v>38</v>
      </c>
      <c r="F366" t="s">
        <v>143</v>
      </c>
      <c r="G366" t="s">
        <v>86</v>
      </c>
      <c r="H366" s="72" t="s">
        <v>220</v>
      </c>
      <c r="I366" s="72" t="s">
        <v>62</v>
      </c>
      <c r="J366" t="str">
        <f t="shared" si="22"/>
        <v>Skykomish River</v>
      </c>
      <c r="K366" t="str">
        <f>IFERROR(VLOOKUP(J366,LUTs!$A$1:$C$73,2,FALSE),"NA")</f>
        <v>Snohomish</v>
      </c>
      <c r="L366" t="str">
        <f>IFERROR(VLOOKUP(J366,LUTs!$A$1:$C$73,3,FALSE),"NA")</f>
        <v>2Central Puget Sound</v>
      </c>
      <c r="M366" s="72" t="s">
        <v>13</v>
      </c>
      <c r="N366" t="str">
        <f>VLOOKUP(M366,LUTs!E$2:H$14,3,)</f>
        <v>01Whatcom</v>
      </c>
      <c r="O366" t="str">
        <f>VLOOKUP(M366,LUTs!E$2:H$14,4,)</f>
        <v>01North Puget Sound</v>
      </c>
      <c r="P366" s="80">
        <v>5.63720930232558</v>
      </c>
      <c r="Q366" s="102">
        <v>5.63720930232558</v>
      </c>
      <c r="R366" s="74">
        <f>VLOOKUP(B366,Readme!A$40:C$52,3,)*Q366</f>
        <v>104.57023255813951</v>
      </c>
    </row>
    <row r="367" spans="1:18" ht="12" customHeight="1" x14ac:dyDescent="0.35">
      <c r="A367" s="75">
        <v>584</v>
      </c>
      <c r="B367" s="80">
        <v>2011</v>
      </c>
      <c r="C367" s="80">
        <v>6</v>
      </c>
      <c r="D367" s="80">
        <f t="shared" si="20"/>
        <v>2011</v>
      </c>
      <c r="E367" t="s">
        <v>38</v>
      </c>
      <c r="F367" t="s">
        <v>143</v>
      </c>
      <c r="G367" t="s">
        <v>86</v>
      </c>
      <c r="H367" s="72" t="s">
        <v>247</v>
      </c>
      <c r="I367" s="72" t="s">
        <v>98</v>
      </c>
      <c r="J367" t="str">
        <f t="shared" si="22"/>
        <v>Skykomish River, No. Fork</v>
      </c>
      <c r="K367" t="str">
        <f>IFERROR(VLOOKUP(J367,LUTs!$A$1:$C$73,2,FALSE),"NA")</f>
        <v>Snohomish</v>
      </c>
      <c r="L367" t="str">
        <f>IFERROR(VLOOKUP(J367,LUTs!$A$1:$C$73,3,FALSE),"NA")</f>
        <v>2Central Puget Sound</v>
      </c>
      <c r="M367" s="72" t="s">
        <v>16</v>
      </c>
      <c r="N367" t="str">
        <f>VLOOKUP(M367,LUTs!E$2:H$14,3,)</f>
        <v>03Snohomish</v>
      </c>
      <c r="O367" t="str">
        <f>VLOOKUP(M367,LUTs!E$2:H$14,4,)</f>
        <v>01North Puget Sound</v>
      </c>
      <c r="P367" s="80">
        <v>3</v>
      </c>
      <c r="Q367" s="102">
        <v>3</v>
      </c>
      <c r="R367" s="74">
        <f>VLOOKUP(B367,Readme!A$40:C$52,3,)*Q367</f>
        <v>55.650000000000006</v>
      </c>
    </row>
    <row r="368" spans="1:18" ht="12" customHeight="1" x14ac:dyDescent="0.35">
      <c r="A368" s="75">
        <v>598</v>
      </c>
      <c r="B368" s="80">
        <v>2011</v>
      </c>
      <c r="C368" s="80">
        <v>6</v>
      </c>
      <c r="D368" s="80">
        <f t="shared" si="20"/>
        <v>2011</v>
      </c>
      <c r="E368" t="s">
        <v>38</v>
      </c>
      <c r="F368" t="s">
        <v>143</v>
      </c>
      <c r="G368" t="s">
        <v>86</v>
      </c>
      <c r="H368" s="72" t="s">
        <v>221</v>
      </c>
      <c r="I368" s="72" t="s">
        <v>63</v>
      </c>
      <c r="J368" t="str">
        <f t="shared" si="22"/>
        <v>Snohomish River</v>
      </c>
      <c r="K368" t="str">
        <f>IFERROR(VLOOKUP(J368,LUTs!$A$1:$C$73,2,FALSE),"NA")</f>
        <v>Snohomish</v>
      </c>
      <c r="L368" t="str">
        <f>IFERROR(VLOOKUP(J368,LUTs!$A$1:$C$73,3,FALSE),"NA")</f>
        <v>2Central Puget Sound</v>
      </c>
      <c r="M368" s="72" t="s">
        <v>16</v>
      </c>
      <c r="N368" t="str">
        <f>VLOOKUP(M368,LUTs!E$2:H$14,3,)</f>
        <v>03Snohomish</v>
      </c>
      <c r="O368" t="str">
        <f>VLOOKUP(M368,LUTs!E$2:H$14,4,)</f>
        <v>01North Puget Sound</v>
      </c>
      <c r="P368" s="80">
        <v>121</v>
      </c>
      <c r="Q368" s="102">
        <v>121</v>
      </c>
      <c r="R368" s="74">
        <f>VLOOKUP(B368,Readme!A$40:C$52,3,)*Q368</f>
        <v>2244.5500000000002</v>
      </c>
    </row>
    <row r="369" spans="1:18" ht="12" customHeight="1" x14ac:dyDescent="0.35">
      <c r="A369" s="75">
        <v>619</v>
      </c>
      <c r="B369" s="80">
        <v>2011</v>
      </c>
      <c r="C369" s="80">
        <v>6</v>
      </c>
      <c r="D369" s="80">
        <f t="shared" si="20"/>
        <v>2011</v>
      </c>
      <c r="E369" t="s">
        <v>38</v>
      </c>
      <c r="F369" t="s">
        <v>143</v>
      </c>
      <c r="G369" t="s">
        <v>86</v>
      </c>
      <c r="H369" s="72" t="s">
        <v>222</v>
      </c>
      <c r="I369" s="72" t="s">
        <v>64</v>
      </c>
      <c r="J369" t="str">
        <f t="shared" si="22"/>
        <v>Snoqualmie River</v>
      </c>
      <c r="K369" t="str">
        <f>IFERROR(VLOOKUP(J369,LUTs!$A$1:$C$73,2,FALSE),"NA")</f>
        <v>Snohomish/King</v>
      </c>
      <c r="L369" t="str">
        <f>IFERROR(VLOOKUP(J369,LUTs!$A$1:$C$73,3,FALSE),"NA")</f>
        <v>2Central Puget Sound</v>
      </c>
      <c r="M369" s="72" t="s">
        <v>18</v>
      </c>
      <c r="N369" t="str">
        <f>VLOOKUP(M369,LUTs!E$2:H$14,3,)</f>
        <v>06King</v>
      </c>
      <c r="O369" t="str">
        <f>VLOOKUP(M369,LUTs!E$2:H$14,4,)</f>
        <v>02South Puget Sound</v>
      </c>
      <c r="P369" s="80">
        <v>28</v>
      </c>
      <c r="Q369" s="102">
        <v>28</v>
      </c>
      <c r="R369" s="74">
        <f>VLOOKUP(B369,Readme!A$40:C$52,3,)*Q369</f>
        <v>519.4</v>
      </c>
    </row>
    <row r="370" spans="1:18" ht="12" customHeight="1" x14ac:dyDescent="0.35">
      <c r="A370" s="75">
        <v>678</v>
      </c>
      <c r="B370" s="80">
        <v>2011</v>
      </c>
      <c r="C370" s="80">
        <v>6</v>
      </c>
      <c r="D370" s="80">
        <f t="shared" si="20"/>
        <v>2011</v>
      </c>
      <c r="E370" t="s">
        <v>38</v>
      </c>
      <c r="F370" t="s">
        <v>143</v>
      </c>
      <c r="G370" t="s">
        <v>86</v>
      </c>
      <c r="H370" s="72" t="s">
        <v>223</v>
      </c>
      <c r="I370" s="72" t="s">
        <v>103</v>
      </c>
      <c r="J370" t="str">
        <f t="shared" si="22"/>
        <v>Stillaguamish R, No. Fork</v>
      </c>
      <c r="K370" t="str">
        <f>IFERROR(VLOOKUP(J370,LUTs!$A$1:$C$73,2,FALSE),"NA")</f>
        <v>Snohomish</v>
      </c>
      <c r="L370" t="str">
        <f>IFERROR(VLOOKUP(J370,LUTs!$A$1:$C$73,3,FALSE),"NA")</f>
        <v>2Central Puget Sound</v>
      </c>
      <c r="M370" s="72" t="s">
        <v>17</v>
      </c>
      <c r="N370" t="str">
        <f>VLOOKUP(M370,LUTs!E$2:H$14,3,)</f>
        <v>04Island</v>
      </c>
      <c r="O370" t="str">
        <f>VLOOKUP(M370,LUTs!E$2:H$14,4,)</f>
        <v>01North Puget Sound</v>
      </c>
      <c r="P370" s="80">
        <v>3.6666666666666701</v>
      </c>
      <c r="Q370" s="102">
        <v>3.6666666666666701</v>
      </c>
      <c r="R370" s="74">
        <f>VLOOKUP(B370,Readme!A$40:C$52,3,)*Q370</f>
        <v>68.016666666666737</v>
      </c>
    </row>
    <row r="371" spans="1:18" ht="12" customHeight="1" x14ac:dyDescent="0.35">
      <c r="A371" s="75">
        <v>679</v>
      </c>
      <c r="B371" s="80">
        <v>2011</v>
      </c>
      <c r="C371" s="80">
        <v>6</v>
      </c>
      <c r="D371" s="80">
        <f t="shared" si="20"/>
        <v>2011</v>
      </c>
      <c r="E371" t="s">
        <v>38</v>
      </c>
      <c r="F371" t="s">
        <v>143</v>
      </c>
      <c r="G371" t="s">
        <v>86</v>
      </c>
      <c r="H371" s="72" t="s">
        <v>223</v>
      </c>
      <c r="I371" s="72" t="s">
        <v>103</v>
      </c>
      <c r="J371" t="str">
        <f t="shared" si="22"/>
        <v>Stillaguamish R, No. Fork</v>
      </c>
      <c r="K371" t="str">
        <f>IFERROR(VLOOKUP(J371,LUTs!$A$1:$C$73,2,FALSE),"NA")</f>
        <v>Snohomish</v>
      </c>
      <c r="L371" t="str">
        <f>IFERROR(VLOOKUP(J371,LUTs!$A$1:$C$73,3,FALSE),"NA")</f>
        <v>2Central Puget Sound</v>
      </c>
      <c r="M371" s="72" t="s">
        <v>16</v>
      </c>
      <c r="N371" t="str">
        <f>VLOOKUP(M371,LUTs!E$2:H$14,3,)</f>
        <v>03Snohomish</v>
      </c>
      <c r="O371" t="str">
        <f>VLOOKUP(M371,LUTs!E$2:H$14,4,)</f>
        <v>01North Puget Sound</v>
      </c>
      <c r="P371" s="80">
        <v>18.3333333333333</v>
      </c>
      <c r="Q371" s="102">
        <v>18.3333333333333</v>
      </c>
      <c r="R371" s="74">
        <f>VLOOKUP(B371,Readme!A$40:C$52,3,)*Q371</f>
        <v>340.08333333333275</v>
      </c>
    </row>
    <row r="372" spans="1:18" ht="12" customHeight="1" x14ac:dyDescent="0.35">
      <c r="A372" s="75">
        <v>639</v>
      </c>
      <c r="B372" s="80">
        <v>2011</v>
      </c>
      <c r="C372" s="80">
        <v>6</v>
      </c>
      <c r="D372" s="80">
        <f t="shared" si="20"/>
        <v>2011</v>
      </c>
      <c r="E372" t="s">
        <v>38</v>
      </c>
      <c r="F372" t="s">
        <v>143</v>
      </c>
      <c r="G372" t="s">
        <v>86</v>
      </c>
      <c r="H372" s="72" t="s">
        <v>249</v>
      </c>
      <c r="I372" s="72" t="s">
        <v>100</v>
      </c>
      <c r="J372" t="str">
        <f t="shared" si="22"/>
        <v>Sultan River</v>
      </c>
      <c r="K372" t="str">
        <f>IFERROR(VLOOKUP(J372,LUTs!$A$1:$C$73,2,FALSE),"NA")</f>
        <v>Snohomish</v>
      </c>
      <c r="L372" t="str">
        <f>IFERROR(VLOOKUP(J372,LUTs!$A$1:$C$73,3,FALSE),"NA")</f>
        <v>2Central Puget Sound</v>
      </c>
      <c r="M372" s="72" t="s">
        <v>18</v>
      </c>
      <c r="N372" t="str">
        <f>VLOOKUP(M372,LUTs!E$2:H$14,3,)</f>
        <v>06King</v>
      </c>
      <c r="O372" t="str">
        <f>VLOOKUP(M372,LUTs!E$2:H$14,4,)</f>
        <v>02South Puget Sound</v>
      </c>
      <c r="P372" s="80">
        <v>8.3333333333333304</v>
      </c>
      <c r="Q372" s="102">
        <v>8.3333333333333304</v>
      </c>
      <c r="R372" s="74">
        <f>VLOOKUP(B372,Readme!A$40:C$52,3,)*Q372</f>
        <v>154.58333333333329</v>
      </c>
    </row>
    <row r="373" spans="1:18" ht="12" customHeight="1" x14ac:dyDescent="0.35">
      <c r="A373" s="75">
        <v>640</v>
      </c>
      <c r="B373" s="80">
        <v>2011</v>
      </c>
      <c r="C373" s="80">
        <v>6</v>
      </c>
      <c r="D373" s="80">
        <f t="shared" si="20"/>
        <v>2011</v>
      </c>
      <c r="E373" t="s">
        <v>38</v>
      </c>
      <c r="F373" t="s">
        <v>143</v>
      </c>
      <c r="G373" t="s">
        <v>86</v>
      </c>
      <c r="H373" s="72" t="s">
        <v>249</v>
      </c>
      <c r="I373" s="72" t="s">
        <v>100</v>
      </c>
      <c r="J373" t="str">
        <f t="shared" si="22"/>
        <v>Sultan River</v>
      </c>
      <c r="K373" t="str">
        <f>IFERROR(VLOOKUP(J373,LUTs!$A$1:$C$73,2,FALSE),"NA")</f>
        <v>Snohomish</v>
      </c>
      <c r="L373" t="str">
        <f>IFERROR(VLOOKUP(J373,LUTs!$A$1:$C$73,3,FALSE),"NA")</f>
        <v>2Central Puget Sound</v>
      </c>
      <c r="M373" s="72" t="s">
        <v>26</v>
      </c>
      <c r="N373" t="str">
        <f>VLOOKUP(M373,LUTs!E$2:H$14,3,)</f>
        <v>20Other</v>
      </c>
      <c r="O373" t="str">
        <f>VLOOKUP(M373,LUTs!E$2:H$14,4,)</f>
        <v>07Non Puget Sound</v>
      </c>
      <c r="P373" s="80">
        <v>5.5555555555555598</v>
      </c>
      <c r="Q373" s="102">
        <v>5.5555555555555598</v>
      </c>
      <c r="R373" s="74">
        <f>VLOOKUP(B373,Readme!A$40:C$52,3,)*Q373</f>
        <v>103.05555555555564</v>
      </c>
    </row>
    <row r="374" spans="1:18" ht="12" customHeight="1" x14ac:dyDescent="0.35">
      <c r="A374" s="75">
        <v>641</v>
      </c>
      <c r="B374" s="80">
        <v>2011</v>
      </c>
      <c r="C374" s="80">
        <v>6</v>
      </c>
      <c r="D374" s="80">
        <f t="shared" si="20"/>
        <v>2011</v>
      </c>
      <c r="E374" t="s">
        <v>38</v>
      </c>
      <c r="F374" t="s">
        <v>143</v>
      </c>
      <c r="G374" t="s">
        <v>86</v>
      </c>
      <c r="H374" s="72" t="s">
        <v>249</v>
      </c>
      <c r="I374" s="72" t="s">
        <v>100</v>
      </c>
      <c r="J374" t="str">
        <f t="shared" si="22"/>
        <v>Sultan River</v>
      </c>
      <c r="K374" t="str">
        <f>IFERROR(VLOOKUP(J374,LUTs!$A$1:$C$73,2,FALSE),"NA")</f>
        <v>Snohomish</v>
      </c>
      <c r="L374" t="str">
        <f>IFERROR(VLOOKUP(J374,LUTs!$A$1:$C$73,3,FALSE),"NA")</f>
        <v>2Central Puget Sound</v>
      </c>
      <c r="M374" s="72" t="s">
        <v>16</v>
      </c>
      <c r="N374" t="str">
        <f>VLOOKUP(M374,LUTs!E$2:H$14,3,)</f>
        <v>03Snohomish</v>
      </c>
      <c r="O374" t="str">
        <f>VLOOKUP(M374,LUTs!E$2:H$14,4,)</f>
        <v>01North Puget Sound</v>
      </c>
      <c r="P374" s="80">
        <v>11.1111111111111</v>
      </c>
      <c r="Q374" s="102">
        <v>11.1111111111111</v>
      </c>
      <c r="R374" s="74">
        <f>VLOOKUP(B374,Readme!A$40:C$52,3,)*Q374</f>
        <v>206.11111111111092</v>
      </c>
    </row>
    <row r="375" spans="1:18" ht="12" customHeight="1" x14ac:dyDescent="0.35">
      <c r="A375" s="75">
        <v>658</v>
      </c>
      <c r="B375" s="80">
        <v>2011</v>
      </c>
      <c r="C375" s="80">
        <v>6</v>
      </c>
      <c r="D375" s="80">
        <f t="shared" si="20"/>
        <v>2011</v>
      </c>
      <c r="E375" t="s">
        <v>38</v>
      </c>
      <c r="F375" t="s">
        <v>143</v>
      </c>
      <c r="G375" t="s">
        <v>86</v>
      </c>
      <c r="H375" s="72" t="s">
        <v>233</v>
      </c>
      <c r="I375" s="72" t="s">
        <v>76</v>
      </c>
      <c r="J375" t="str">
        <f t="shared" si="22"/>
        <v>Wallace River</v>
      </c>
      <c r="K375" t="str">
        <f>IFERROR(VLOOKUP(J375,LUTs!$A$1:$C$73,2,FALSE),"NA")</f>
        <v>Snohomish</v>
      </c>
      <c r="L375" t="str">
        <f>IFERROR(VLOOKUP(J375,LUTs!$A$1:$C$73,3,FALSE),"NA")</f>
        <v>2Central Puget Sound</v>
      </c>
      <c r="M375" s="72" t="s">
        <v>18</v>
      </c>
      <c r="N375" t="str">
        <f>VLOOKUP(M375,LUTs!E$2:H$14,3,)</f>
        <v>06King</v>
      </c>
      <c r="O375" t="str">
        <f>VLOOKUP(M375,LUTs!E$2:H$14,4,)</f>
        <v>02South Puget Sound</v>
      </c>
      <c r="P375" s="80">
        <v>3</v>
      </c>
      <c r="Q375" s="102">
        <v>3</v>
      </c>
      <c r="R375" s="74">
        <f>VLOOKUP(B375,Readme!A$40:C$52,3,)*Q375</f>
        <v>55.650000000000006</v>
      </c>
    </row>
    <row r="376" spans="1:18" ht="12" customHeight="1" x14ac:dyDescent="0.35">
      <c r="A376" s="75">
        <v>659</v>
      </c>
      <c r="B376" s="80">
        <v>2011</v>
      </c>
      <c r="C376" s="80">
        <v>6</v>
      </c>
      <c r="D376" s="80">
        <f t="shared" si="20"/>
        <v>2011</v>
      </c>
      <c r="E376" t="s">
        <v>38</v>
      </c>
      <c r="F376" t="s">
        <v>143</v>
      </c>
      <c r="G376" t="s">
        <v>86</v>
      </c>
      <c r="H376" s="72" t="s">
        <v>233</v>
      </c>
      <c r="I376" s="72" t="s">
        <v>76</v>
      </c>
      <c r="J376" t="str">
        <f t="shared" si="22"/>
        <v>Wallace River</v>
      </c>
      <c r="K376" t="str">
        <f>IFERROR(VLOOKUP(J376,LUTs!$A$1:$C$73,2,FALSE),"NA")</f>
        <v>Snohomish</v>
      </c>
      <c r="L376" t="str">
        <f>IFERROR(VLOOKUP(J376,LUTs!$A$1:$C$73,3,FALSE),"NA")</f>
        <v>2Central Puget Sound</v>
      </c>
      <c r="M376" s="72" t="s">
        <v>16</v>
      </c>
      <c r="N376" t="str">
        <f>VLOOKUP(M376,LUTs!E$2:H$14,3,)</f>
        <v>03Snohomish</v>
      </c>
      <c r="O376" t="str">
        <f>VLOOKUP(M376,LUTs!E$2:H$14,4,)</f>
        <v>01North Puget Sound</v>
      </c>
      <c r="P376" s="80">
        <v>3</v>
      </c>
      <c r="Q376" s="102">
        <v>3</v>
      </c>
      <c r="R376" s="74">
        <f>VLOOKUP(B376,Readme!A$40:C$52,3,)*Q376</f>
        <v>55.650000000000006</v>
      </c>
    </row>
    <row r="377" spans="1:18" ht="12" customHeight="1" x14ac:dyDescent="0.35">
      <c r="A377" s="75">
        <v>717</v>
      </c>
      <c r="B377" s="80">
        <v>2011</v>
      </c>
      <c r="C377" s="80">
        <v>7</v>
      </c>
      <c r="D377" s="80">
        <f t="shared" si="20"/>
        <v>2011</v>
      </c>
      <c r="E377" t="s">
        <v>38</v>
      </c>
      <c r="F377" t="s">
        <v>143</v>
      </c>
      <c r="G377" t="s">
        <v>86</v>
      </c>
      <c r="H377" s="72" t="s">
        <v>254</v>
      </c>
      <c r="I377" s="72" t="s">
        <v>33</v>
      </c>
      <c r="J377" t="str">
        <f t="shared" si="22"/>
        <v>Area 9: Admiralty Inlet</v>
      </c>
      <c r="K377" t="str">
        <f>IFERROR(VLOOKUP(J377,LUTs!$A$1:$C$73,2,FALSE),"NA")</f>
        <v>NA</v>
      </c>
      <c r="L377" t="str">
        <f>IFERROR(VLOOKUP(J377,LUTs!$A$1:$C$73,3,FALSE),"NA")</f>
        <v>2Central Puget Sound</v>
      </c>
      <c r="M377" s="72" t="s">
        <v>17</v>
      </c>
      <c r="N377" t="str">
        <f>VLOOKUP(M377,LUTs!E$2:H$14,3,)</f>
        <v>04Island</v>
      </c>
      <c r="O377" t="str">
        <f>VLOOKUP(M377,LUTs!E$2:H$14,4,)</f>
        <v>01North Puget Sound</v>
      </c>
      <c r="P377" s="80">
        <v>1</v>
      </c>
      <c r="Q377" s="102">
        <v>1</v>
      </c>
      <c r="R377" s="74">
        <f>VLOOKUP(B377,Readme!A$40:C$52,3,)*Q377</f>
        <v>18.55</v>
      </c>
    </row>
    <row r="378" spans="1:18" ht="12" customHeight="1" x14ac:dyDescent="0.35">
      <c r="A378" s="75">
        <v>718</v>
      </c>
      <c r="B378" s="80">
        <v>2011</v>
      </c>
      <c r="C378" s="80">
        <v>7</v>
      </c>
      <c r="D378" s="80">
        <f t="shared" si="20"/>
        <v>2011</v>
      </c>
      <c r="E378" t="s">
        <v>38</v>
      </c>
      <c r="F378" t="s">
        <v>143</v>
      </c>
      <c r="G378" t="s">
        <v>86</v>
      </c>
      <c r="H378" s="72" t="s">
        <v>254</v>
      </c>
      <c r="I378" s="72" t="s">
        <v>33</v>
      </c>
      <c r="J378" t="str">
        <f t="shared" si="22"/>
        <v>Area 9: Admiralty Inlet</v>
      </c>
      <c r="K378" t="str">
        <f>IFERROR(VLOOKUP(J378,LUTs!$A$1:$C$73,2,FALSE),"NA")</f>
        <v>NA</v>
      </c>
      <c r="L378" t="str">
        <f>IFERROR(VLOOKUP(J378,LUTs!$A$1:$C$73,3,FALSE),"NA")</f>
        <v>2Central Puget Sound</v>
      </c>
      <c r="M378" s="72" t="s">
        <v>18</v>
      </c>
      <c r="N378" t="str">
        <f>VLOOKUP(M378,LUTs!E$2:H$14,3,)</f>
        <v>06King</v>
      </c>
      <c r="O378" t="str">
        <f>VLOOKUP(M378,LUTs!E$2:H$14,4,)</f>
        <v>02South Puget Sound</v>
      </c>
      <c r="P378" s="80">
        <v>0</v>
      </c>
      <c r="Q378" s="102">
        <v>0</v>
      </c>
      <c r="R378" s="74">
        <f>VLOOKUP(B378,Readme!A$40:C$52,3,)*Q378</f>
        <v>0</v>
      </c>
    </row>
    <row r="379" spans="1:18" ht="12" customHeight="1" x14ac:dyDescent="0.35">
      <c r="A379" s="75">
        <v>719</v>
      </c>
      <c r="B379" s="80">
        <v>2011</v>
      </c>
      <c r="C379" s="80">
        <v>7</v>
      </c>
      <c r="D379" s="80">
        <f t="shared" si="20"/>
        <v>2011</v>
      </c>
      <c r="E379" t="s">
        <v>38</v>
      </c>
      <c r="F379" t="s">
        <v>143</v>
      </c>
      <c r="G379" t="s">
        <v>86</v>
      </c>
      <c r="H379" s="72" t="s">
        <v>254</v>
      </c>
      <c r="I379" s="72" t="s">
        <v>33</v>
      </c>
      <c r="J379" t="str">
        <f t="shared" si="22"/>
        <v>Area 9: Admiralty Inlet</v>
      </c>
      <c r="K379" t="str">
        <f>IFERROR(VLOOKUP(J379,LUTs!$A$1:$C$73,2,FALSE),"NA")</f>
        <v>NA</v>
      </c>
      <c r="L379" t="str">
        <f>IFERROR(VLOOKUP(J379,LUTs!$A$1:$C$73,3,FALSE),"NA")</f>
        <v>2Central Puget Sound</v>
      </c>
      <c r="M379" s="72" t="s">
        <v>16</v>
      </c>
      <c r="N379" t="str">
        <f>VLOOKUP(M379,LUTs!E$2:H$14,3,)</f>
        <v>03Snohomish</v>
      </c>
      <c r="O379" t="str">
        <f>VLOOKUP(M379,LUTs!E$2:H$14,4,)</f>
        <v>01North Puget Sound</v>
      </c>
      <c r="P379" s="80">
        <v>0</v>
      </c>
      <c r="Q379" s="102">
        <v>0</v>
      </c>
      <c r="R379" s="74">
        <f>VLOOKUP(B379,Readme!A$40:C$52,3,)*Q379</f>
        <v>0</v>
      </c>
    </row>
    <row r="380" spans="1:18" ht="12" customHeight="1" x14ac:dyDescent="0.35">
      <c r="A380" s="75">
        <v>472</v>
      </c>
      <c r="B380" s="80">
        <v>2011</v>
      </c>
      <c r="C380" s="80">
        <v>7</v>
      </c>
      <c r="D380" s="80">
        <f t="shared" si="20"/>
        <v>2011</v>
      </c>
      <c r="E380" t="s">
        <v>38</v>
      </c>
      <c r="F380" t="s">
        <v>143</v>
      </c>
      <c r="G380" t="s">
        <v>86</v>
      </c>
      <c r="H380" s="72" t="s">
        <v>217</v>
      </c>
      <c r="I380" s="72" t="s">
        <v>59</v>
      </c>
      <c r="J380" t="str">
        <f t="shared" si="22"/>
        <v>Cascade River</v>
      </c>
      <c r="K380" t="str">
        <f>IFERROR(VLOOKUP(J380,LUTs!$A$1:$C$73,2,FALSE),"NA")</f>
        <v>Skagit</v>
      </c>
      <c r="L380" t="str">
        <f>IFERROR(VLOOKUP(J380,LUTs!$A$1:$C$73,3,FALSE),"NA")</f>
        <v>1North Puget Sound</v>
      </c>
      <c r="M380" s="72" t="s">
        <v>18</v>
      </c>
      <c r="N380" t="str">
        <f>VLOOKUP(M380,LUTs!E$2:H$14,3,)</f>
        <v>06King</v>
      </c>
      <c r="O380" t="str">
        <f>VLOOKUP(M380,LUTs!E$2:H$14,4,)</f>
        <v>02South Puget Sound</v>
      </c>
      <c r="P380" s="80">
        <v>3</v>
      </c>
      <c r="Q380" s="102">
        <v>3</v>
      </c>
      <c r="R380" s="74">
        <f>VLOOKUP(B380,Readme!A$40:C$52,3,)*Q380</f>
        <v>55.650000000000006</v>
      </c>
    </row>
    <row r="381" spans="1:18" ht="12" customHeight="1" x14ac:dyDescent="0.35">
      <c r="A381" s="75">
        <v>362</v>
      </c>
      <c r="B381" s="80">
        <v>2011</v>
      </c>
      <c r="C381" s="80">
        <v>7</v>
      </c>
      <c r="D381" s="80">
        <f t="shared" si="20"/>
        <v>2011</v>
      </c>
      <c r="E381" t="s">
        <v>38</v>
      </c>
      <c r="F381" t="s">
        <v>143</v>
      </c>
      <c r="G381" t="s">
        <v>86</v>
      </c>
      <c r="H381" s="72" t="s">
        <v>203</v>
      </c>
      <c r="I381" s="72" t="s">
        <v>89</v>
      </c>
      <c r="J381" s="84" t="s">
        <v>45</v>
      </c>
      <c r="K381" t="str">
        <f>IFERROR(VLOOKUP(J381,LUTs!$A$1:$C$73,2,FALSE),"NA")</f>
        <v>King</v>
      </c>
      <c r="L381" t="str">
        <f>IFERROR(VLOOKUP(J381,LUTs!$A$1:$C$73,3,FALSE),"NA")</f>
        <v>3South Puget Sound</v>
      </c>
      <c r="M381" s="72" t="s">
        <v>18</v>
      </c>
      <c r="N381" t="str">
        <f>VLOOKUP(M381,LUTs!E$2:H$14,3,)</f>
        <v>06King</v>
      </c>
      <c r="O381" t="str">
        <f>VLOOKUP(M381,LUTs!E$2:H$14,4,)</f>
        <v>02South Puget Sound</v>
      </c>
      <c r="P381" s="80">
        <v>56.7</v>
      </c>
      <c r="Q381" s="102">
        <v>56.7</v>
      </c>
      <c r="R381" s="74">
        <f>VLOOKUP(B381,Readme!A$40:C$52,3,)*Q381</f>
        <v>1051.7850000000001</v>
      </c>
    </row>
    <row r="382" spans="1:18" ht="12" customHeight="1" x14ac:dyDescent="0.35">
      <c r="A382" s="75">
        <v>363</v>
      </c>
      <c r="B382" s="80">
        <v>2011</v>
      </c>
      <c r="C382" s="80">
        <v>7</v>
      </c>
      <c r="D382" s="80">
        <f t="shared" si="20"/>
        <v>2011</v>
      </c>
      <c r="E382" t="s">
        <v>38</v>
      </c>
      <c r="F382" t="s">
        <v>143</v>
      </c>
      <c r="G382" t="s">
        <v>86</v>
      </c>
      <c r="H382" s="72" t="s">
        <v>203</v>
      </c>
      <c r="I382" s="72" t="s">
        <v>89</v>
      </c>
      <c r="J382" s="84" t="s">
        <v>45</v>
      </c>
      <c r="K382" t="str">
        <f>IFERROR(VLOOKUP(J382,LUTs!$A$1:$C$73,2,FALSE),"NA")</f>
        <v>King</v>
      </c>
      <c r="L382" t="str">
        <f>IFERROR(VLOOKUP(J382,LUTs!$A$1:$C$73,3,FALSE),"NA")</f>
        <v>3South Puget Sound</v>
      </c>
      <c r="M382" s="72" t="s">
        <v>26</v>
      </c>
      <c r="N382" t="str">
        <f>VLOOKUP(M382,LUTs!E$2:H$14,3,)</f>
        <v>20Other</v>
      </c>
      <c r="O382" t="str">
        <f>VLOOKUP(M382,LUTs!E$2:H$14,4,)</f>
        <v>07Non Puget Sound</v>
      </c>
      <c r="P382" s="80">
        <v>3.15</v>
      </c>
      <c r="Q382" s="102">
        <v>3.15</v>
      </c>
      <c r="R382" s="74">
        <f>VLOOKUP(B382,Readme!A$40:C$52,3,)*Q382</f>
        <v>58.432499999999997</v>
      </c>
    </row>
    <row r="383" spans="1:18" ht="12" customHeight="1" x14ac:dyDescent="0.35">
      <c r="A383" s="75">
        <v>364</v>
      </c>
      <c r="B383" s="80">
        <v>2011</v>
      </c>
      <c r="C383" s="80">
        <v>7</v>
      </c>
      <c r="D383" s="80">
        <f t="shared" si="20"/>
        <v>2011</v>
      </c>
      <c r="E383" t="s">
        <v>38</v>
      </c>
      <c r="F383" t="s">
        <v>143</v>
      </c>
      <c r="G383" t="s">
        <v>86</v>
      </c>
      <c r="H383" s="72" t="s">
        <v>203</v>
      </c>
      <c r="I383" s="72" t="s">
        <v>89</v>
      </c>
      <c r="J383" s="84" t="s">
        <v>45</v>
      </c>
      <c r="K383" t="str">
        <f>IFERROR(VLOOKUP(J383,LUTs!$A$1:$C$73,2,FALSE),"NA")</f>
        <v>King</v>
      </c>
      <c r="L383" t="str">
        <f>IFERROR(VLOOKUP(J383,LUTs!$A$1:$C$73,3,FALSE),"NA")</f>
        <v>3South Puget Sound</v>
      </c>
      <c r="M383" s="72" t="s">
        <v>20</v>
      </c>
      <c r="N383" t="str">
        <f>VLOOKUP(M383,LUTs!E$2:H$14,3,)</f>
        <v>07Pierce</v>
      </c>
      <c r="O383" t="str">
        <f>VLOOKUP(M383,LUTs!E$2:H$14,4,)</f>
        <v>02South Puget Sound</v>
      </c>
      <c r="P383" s="80">
        <v>3.15</v>
      </c>
      <c r="Q383" s="102">
        <v>3.15</v>
      </c>
      <c r="R383" s="74">
        <f>VLOOKUP(B383,Readme!A$40:C$52,3,)*Q383</f>
        <v>58.432499999999997</v>
      </c>
    </row>
    <row r="384" spans="1:18" ht="12" customHeight="1" x14ac:dyDescent="0.35">
      <c r="A384" s="75">
        <v>398</v>
      </c>
      <c r="B384" s="80">
        <v>2011</v>
      </c>
      <c r="C384" s="80">
        <v>7</v>
      </c>
      <c r="D384" s="80">
        <f t="shared" si="20"/>
        <v>2011</v>
      </c>
      <c r="E384" t="s">
        <v>38</v>
      </c>
      <c r="F384" t="s">
        <v>143</v>
      </c>
      <c r="G384" t="s">
        <v>86</v>
      </c>
      <c r="H384" s="72" t="s">
        <v>237</v>
      </c>
      <c r="I384" s="72" t="s">
        <v>79</v>
      </c>
      <c r="J384" t="str">
        <f t="shared" ref="J384:J413" si="23">I384</f>
        <v>Lyre River</v>
      </c>
      <c r="K384" t="str">
        <f>IFERROR(VLOOKUP(J384,LUTs!$A$1:$C$73,2,FALSE),"NA")</f>
        <v>Clallam</v>
      </c>
      <c r="L384" t="str">
        <f>IFERROR(VLOOKUP(J384,LUTs!$A$1:$C$73,3,FALSE),"NA")</f>
        <v>0Strait of Juan de Fuca</v>
      </c>
      <c r="M384" s="72" t="s">
        <v>24</v>
      </c>
      <c r="N384" t="str">
        <f>VLOOKUP(M384,LUTs!E$2:H$14,3,)</f>
        <v>11Clallam</v>
      </c>
      <c r="O384" t="str">
        <f>VLOOKUP(M384,LUTs!E$2:H$14,4,)</f>
        <v>03Strait of Juan de Fuca</v>
      </c>
      <c r="P384" s="80">
        <v>21</v>
      </c>
      <c r="Q384" s="102">
        <v>21</v>
      </c>
      <c r="R384" s="74">
        <f>VLOOKUP(B384,Readme!A$40:C$52,3,)*Q384</f>
        <v>389.55</v>
      </c>
    </row>
    <row r="385" spans="1:18" ht="12" customHeight="1" x14ac:dyDescent="0.35">
      <c r="A385" s="75">
        <v>545</v>
      </c>
      <c r="B385" s="80">
        <v>2011</v>
      </c>
      <c r="C385" s="80">
        <v>7</v>
      </c>
      <c r="D385" s="80">
        <f t="shared" si="20"/>
        <v>2011</v>
      </c>
      <c r="E385" t="s">
        <v>38</v>
      </c>
      <c r="F385" t="s">
        <v>143</v>
      </c>
      <c r="G385" t="s">
        <v>86</v>
      </c>
      <c r="H385" s="72" t="s">
        <v>220</v>
      </c>
      <c r="I385" s="72" t="s">
        <v>62</v>
      </c>
      <c r="J385" t="str">
        <f t="shared" si="23"/>
        <v>Skykomish River</v>
      </c>
      <c r="K385" t="str">
        <f>IFERROR(VLOOKUP(J385,LUTs!$A$1:$C$73,2,FALSE),"NA")</f>
        <v>Snohomish</v>
      </c>
      <c r="L385" t="str">
        <f>IFERROR(VLOOKUP(J385,LUTs!$A$1:$C$73,3,FALSE),"NA")</f>
        <v>2Central Puget Sound</v>
      </c>
      <c r="M385" s="72" t="s">
        <v>18</v>
      </c>
      <c r="N385" t="str">
        <f>VLOOKUP(M385,LUTs!E$2:H$14,3,)</f>
        <v>06King</v>
      </c>
      <c r="O385" t="str">
        <f>VLOOKUP(M385,LUTs!E$2:H$14,4,)</f>
        <v>02South Puget Sound</v>
      </c>
      <c r="P385" s="80">
        <v>301.31200000000001</v>
      </c>
      <c r="Q385" s="102">
        <v>301.31200000000001</v>
      </c>
      <c r="R385" s="74">
        <f>VLOOKUP(B385,Readme!A$40:C$52,3,)*Q385</f>
        <v>5589.3376000000007</v>
      </c>
    </row>
    <row r="386" spans="1:18" ht="12" customHeight="1" x14ac:dyDescent="0.35">
      <c r="A386" s="75">
        <v>546</v>
      </c>
      <c r="B386" s="80">
        <v>2011</v>
      </c>
      <c r="C386" s="80">
        <v>7</v>
      </c>
      <c r="D386" s="80">
        <f t="shared" ref="D386:D449" si="24">IF(C386&gt;3,B386,B386-1)</f>
        <v>2011</v>
      </c>
      <c r="E386" t="s">
        <v>38</v>
      </c>
      <c r="F386" t="s">
        <v>143</v>
      </c>
      <c r="G386" t="s">
        <v>86</v>
      </c>
      <c r="H386" s="72" t="s">
        <v>220</v>
      </c>
      <c r="I386" s="72" t="s">
        <v>62</v>
      </c>
      <c r="J386" t="str">
        <f t="shared" si="23"/>
        <v>Skykomish River</v>
      </c>
      <c r="K386" t="str">
        <f>IFERROR(VLOOKUP(J386,LUTs!$A$1:$C$73,2,FALSE),"NA")</f>
        <v>Snohomish</v>
      </c>
      <c r="L386" t="str">
        <f>IFERROR(VLOOKUP(J386,LUTs!$A$1:$C$73,3,FALSE),"NA")</f>
        <v>2Central Puget Sound</v>
      </c>
      <c r="M386" s="72" t="s">
        <v>22</v>
      </c>
      <c r="N386" t="str">
        <f>VLOOKUP(M386,LUTs!E$2:H$14,3,)</f>
        <v>09Mason</v>
      </c>
      <c r="O386" t="str">
        <f>VLOOKUP(M386,LUTs!E$2:H$14,4,)</f>
        <v>02South Puget Sound</v>
      </c>
      <c r="P386" s="80">
        <v>2.8159999999999998</v>
      </c>
      <c r="Q386" s="102">
        <v>2.8159999999999998</v>
      </c>
      <c r="R386" s="74">
        <f>VLOOKUP(B386,Readme!A$40:C$52,3,)*Q386</f>
        <v>52.236800000000002</v>
      </c>
    </row>
    <row r="387" spans="1:18" ht="12" customHeight="1" x14ac:dyDescent="0.35">
      <c r="A387" s="75">
        <v>547</v>
      </c>
      <c r="B387" s="80">
        <v>2011</v>
      </c>
      <c r="C387" s="80">
        <v>7</v>
      </c>
      <c r="D387" s="80">
        <f t="shared" si="24"/>
        <v>2011</v>
      </c>
      <c r="E387" t="s">
        <v>38</v>
      </c>
      <c r="F387" t="s">
        <v>143</v>
      </c>
      <c r="G387" t="s">
        <v>86</v>
      </c>
      <c r="H387" s="72" t="s">
        <v>220</v>
      </c>
      <c r="I387" s="72" t="s">
        <v>62</v>
      </c>
      <c r="J387" t="str">
        <f t="shared" si="23"/>
        <v>Skykomish River</v>
      </c>
      <c r="K387" t="str">
        <f>IFERROR(VLOOKUP(J387,LUTs!$A$1:$C$73,2,FALSE),"NA")</f>
        <v>Snohomish</v>
      </c>
      <c r="L387" t="str">
        <f>IFERROR(VLOOKUP(J387,LUTs!$A$1:$C$73,3,FALSE),"NA")</f>
        <v>2Central Puget Sound</v>
      </c>
      <c r="M387" s="72" t="s">
        <v>26</v>
      </c>
      <c r="N387" t="str">
        <f>VLOOKUP(M387,LUTs!E$2:H$14,3,)</f>
        <v>20Other</v>
      </c>
      <c r="O387" t="str">
        <f>VLOOKUP(M387,LUTs!E$2:H$14,4,)</f>
        <v>07Non Puget Sound</v>
      </c>
      <c r="P387" s="80">
        <v>22.527999999999999</v>
      </c>
      <c r="Q387" s="102">
        <v>22.527999999999999</v>
      </c>
      <c r="R387" s="74">
        <f>VLOOKUP(B387,Readme!A$40:C$52,3,)*Q387</f>
        <v>417.89440000000002</v>
      </c>
    </row>
    <row r="388" spans="1:18" ht="12" customHeight="1" x14ac:dyDescent="0.35">
      <c r="A388" s="75">
        <v>548</v>
      </c>
      <c r="B388" s="80">
        <v>2011</v>
      </c>
      <c r="C388" s="80">
        <v>7</v>
      </c>
      <c r="D388" s="80">
        <f t="shared" si="24"/>
        <v>2011</v>
      </c>
      <c r="E388" t="s">
        <v>38</v>
      </c>
      <c r="F388" t="s">
        <v>143</v>
      </c>
      <c r="G388" t="s">
        <v>86</v>
      </c>
      <c r="H388" s="72" t="s">
        <v>220</v>
      </c>
      <c r="I388" s="72" t="s">
        <v>62</v>
      </c>
      <c r="J388" t="str">
        <f t="shared" si="23"/>
        <v>Skykomish River</v>
      </c>
      <c r="K388" t="str">
        <f>IFERROR(VLOOKUP(J388,LUTs!$A$1:$C$73,2,FALSE),"NA")</f>
        <v>Snohomish</v>
      </c>
      <c r="L388" t="str">
        <f>IFERROR(VLOOKUP(J388,LUTs!$A$1:$C$73,3,FALSE),"NA")</f>
        <v>2Central Puget Sound</v>
      </c>
      <c r="M388" s="72" t="s">
        <v>15</v>
      </c>
      <c r="N388" t="str">
        <f>VLOOKUP(M388,LUTs!E$2:H$14,3,)</f>
        <v>02Skagit</v>
      </c>
      <c r="O388" t="str">
        <f>VLOOKUP(M388,LUTs!E$2:H$14,4,)</f>
        <v>01North Puget Sound</v>
      </c>
      <c r="P388" s="80">
        <v>2.8159999999999998</v>
      </c>
      <c r="Q388" s="102">
        <v>2.8159999999999998</v>
      </c>
      <c r="R388" s="74">
        <f>VLOOKUP(B388,Readme!A$40:C$52,3,)*Q388</f>
        <v>52.236800000000002</v>
      </c>
    </row>
    <row r="389" spans="1:18" ht="12" customHeight="1" x14ac:dyDescent="0.35">
      <c r="A389" s="75">
        <v>549</v>
      </c>
      <c r="B389" s="80">
        <v>2011</v>
      </c>
      <c r="C389" s="80">
        <v>7</v>
      </c>
      <c r="D389" s="80">
        <f t="shared" si="24"/>
        <v>2011</v>
      </c>
      <c r="E389" t="s">
        <v>38</v>
      </c>
      <c r="F389" t="s">
        <v>143</v>
      </c>
      <c r="G389" t="s">
        <v>86</v>
      </c>
      <c r="H389" s="72" t="s">
        <v>220</v>
      </c>
      <c r="I389" s="72" t="s">
        <v>62</v>
      </c>
      <c r="J389" t="str">
        <f t="shared" si="23"/>
        <v>Skykomish River</v>
      </c>
      <c r="K389" t="str">
        <f>IFERROR(VLOOKUP(J389,LUTs!$A$1:$C$73,2,FALSE),"NA")</f>
        <v>Snohomish</v>
      </c>
      <c r="L389" t="str">
        <f>IFERROR(VLOOKUP(J389,LUTs!$A$1:$C$73,3,FALSE),"NA")</f>
        <v>2Central Puget Sound</v>
      </c>
      <c r="M389" s="72" t="s">
        <v>16</v>
      </c>
      <c r="N389" t="str">
        <f>VLOOKUP(M389,LUTs!E$2:H$14,3,)</f>
        <v>03Snohomish</v>
      </c>
      <c r="O389" t="str">
        <f>VLOOKUP(M389,LUTs!E$2:H$14,4,)</f>
        <v>01North Puget Sound</v>
      </c>
      <c r="P389" s="80">
        <v>357.63200000000001</v>
      </c>
      <c r="Q389" s="102">
        <v>357.63200000000001</v>
      </c>
      <c r="R389" s="74">
        <f>VLOOKUP(B389,Readme!A$40:C$52,3,)*Q389</f>
        <v>6634.0736000000006</v>
      </c>
    </row>
    <row r="390" spans="1:18" ht="12" customHeight="1" x14ac:dyDescent="0.35">
      <c r="A390" s="75">
        <v>550</v>
      </c>
      <c r="B390" s="80">
        <v>2011</v>
      </c>
      <c r="C390" s="80">
        <v>7</v>
      </c>
      <c r="D390" s="80">
        <f t="shared" si="24"/>
        <v>2011</v>
      </c>
      <c r="E390" t="s">
        <v>38</v>
      </c>
      <c r="F390" t="s">
        <v>143</v>
      </c>
      <c r="G390" t="s">
        <v>86</v>
      </c>
      <c r="H390" s="72" t="s">
        <v>220</v>
      </c>
      <c r="I390" s="72" t="s">
        <v>62</v>
      </c>
      <c r="J390" t="str">
        <f t="shared" si="23"/>
        <v>Skykomish River</v>
      </c>
      <c r="K390" t="str">
        <f>IFERROR(VLOOKUP(J390,LUTs!$A$1:$C$73,2,FALSE),"NA")</f>
        <v>Snohomish</v>
      </c>
      <c r="L390" t="str">
        <f>IFERROR(VLOOKUP(J390,LUTs!$A$1:$C$73,3,FALSE),"NA")</f>
        <v>2Central Puget Sound</v>
      </c>
      <c r="M390" s="72" t="s">
        <v>21</v>
      </c>
      <c r="N390" t="str">
        <f>VLOOKUP(M390,LUTs!E$2:H$14,3,)</f>
        <v>08Thurston</v>
      </c>
      <c r="O390" t="str">
        <f>VLOOKUP(M390,LUTs!E$2:H$14,4,)</f>
        <v>02South Puget Sound</v>
      </c>
      <c r="P390" s="80">
        <v>2.8159999999999998</v>
      </c>
      <c r="Q390" s="102">
        <v>2.8159999999999998</v>
      </c>
      <c r="R390" s="74">
        <f>VLOOKUP(B390,Readme!A$40:C$52,3,)*Q390</f>
        <v>52.236800000000002</v>
      </c>
    </row>
    <row r="391" spans="1:18" ht="12" customHeight="1" x14ac:dyDescent="0.35">
      <c r="A391" s="75">
        <v>551</v>
      </c>
      <c r="B391" s="80">
        <v>2011</v>
      </c>
      <c r="C391" s="80">
        <v>7</v>
      </c>
      <c r="D391" s="80">
        <f t="shared" si="24"/>
        <v>2011</v>
      </c>
      <c r="E391" t="s">
        <v>38</v>
      </c>
      <c r="F391" t="s">
        <v>143</v>
      </c>
      <c r="G391" t="s">
        <v>86</v>
      </c>
      <c r="H391" s="72" t="s">
        <v>220</v>
      </c>
      <c r="I391" s="72" t="s">
        <v>62</v>
      </c>
      <c r="J391" t="str">
        <f t="shared" si="23"/>
        <v>Skykomish River</v>
      </c>
      <c r="K391" t="str">
        <f>IFERROR(VLOOKUP(J391,LUTs!$A$1:$C$73,2,FALSE),"NA")</f>
        <v>Snohomish</v>
      </c>
      <c r="L391" t="str">
        <f>IFERROR(VLOOKUP(J391,LUTs!$A$1:$C$73,3,FALSE),"NA")</f>
        <v>2Central Puget Sound</v>
      </c>
      <c r="M391" s="72" t="s">
        <v>13</v>
      </c>
      <c r="N391" t="str">
        <f>VLOOKUP(M391,LUTs!E$2:H$14,3,)</f>
        <v>01Whatcom</v>
      </c>
      <c r="O391" t="str">
        <f>VLOOKUP(M391,LUTs!E$2:H$14,4,)</f>
        <v>01North Puget Sound</v>
      </c>
      <c r="P391" s="80">
        <v>14.08</v>
      </c>
      <c r="Q391" s="102">
        <v>14.08</v>
      </c>
      <c r="R391" s="74">
        <f>VLOOKUP(B391,Readme!A$40:C$52,3,)*Q391</f>
        <v>261.18400000000003</v>
      </c>
    </row>
    <row r="392" spans="1:18" ht="12" customHeight="1" x14ac:dyDescent="0.35">
      <c r="A392" s="75">
        <v>585</v>
      </c>
      <c r="B392" s="80">
        <v>2011</v>
      </c>
      <c r="C392" s="80">
        <v>7</v>
      </c>
      <c r="D392" s="80">
        <f t="shared" si="24"/>
        <v>2011</v>
      </c>
      <c r="E392" t="s">
        <v>38</v>
      </c>
      <c r="F392" t="s">
        <v>143</v>
      </c>
      <c r="G392" t="s">
        <v>86</v>
      </c>
      <c r="H392" s="72" t="s">
        <v>247</v>
      </c>
      <c r="I392" s="72" t="s">
        <v>98</v>
      </c>
      <c r="J392" t="str">
        <f t="shared" si="23"/>
        <v>Skykomish River, No. Fork</v>
      </c>
      <c r="K392" t="str">
        <f>IFERROR(VLOOKUP(J392,LUTs!$A$1:$C$73,2,FALSE),"NA")</f>
        <v>Snohomish</v>
      </c>
      <c r="L392" t="str">
        <f>IFERROR(VLOOKUP(J392,LUTs!$A$1:$C$73,3,FALSE),"NA")</f>
        <v>2Central Puget Sound</v>
      </c>
      <c r="M392" s="72" t="s">
        <v>18</v>
      </c>
      <c r="N392" t="str">
        <f>VLOOKUP(M392,LUTs!E$2:H$14,3,)</f>
        <v>06King</v>
      </c>
      <c r="O392" t="str">
        <f>VLOOKUP(M392,LUTs!E$2:H$14,4,)</f>
        <v>02South Puget Sound</v>
      </c>
      <c r="P392" s="80">
        <v>2.75</v>
      </c>
      <c r="Q392" s="102">
        <v>2.75</v>
      </c>
      <c r="R392" s="74">
        <f>VLOOKUP(B392,Readme!A$40:C$52,3,)*Q392</f>
        <v>51.012500000000003</v>
      </c>
    </row>
    <row r="393" spans="1:18" ht="12" customHeight="1" x14ac:dyDescent="0.35">
      <c r="A393" s="75">
        <v>586</v>
      </c>
      <c r="B393" s="80">
        <v>2011</v>
      </c>
      <c r="C393" s="80">
        <v>7</v>
      </c>
      <c r="D393" s="80">
        <f t="shared" si="24"/>
        <v>2011</v>
      </c>
      <c r="E393" t="s">
        <v>38</v>
      </c>
      <c r="F393" t="s">
        <v>143</v>
      </c>
      <c r="G393" t="s">
        <v>86</v>
      </c>
      <c r="H393" s="72" t="s">
        <v>247</v>
      </c>
      <c r="I393" s="72" t="s">
        <v>98</v>
      </c>
      <c r="J393" t="str">
        <f t="shared" si="23"/>
        <v>Skykomish River, No. Fork</v>
      </c>
      <c r="K393" t="str">
        <f>IFERROR(VLOOKUP(J393,LUTs!$A$1:$C$73,2,FALSE),"NA")</f>
        <v>Snohomish</v>
      </c>
      <c r="L393" t="str">
        <f>IFERROR(VLOOKUP(J393,LUTs!$A$1:$C$73,3,FALSE),"NA")</f>
        <v>2Central Puget Sound</v>
      </c>
      <c r="M393" s="72" t="s">
        <v>16</v>
      </c>
      <c r="N393" t="str">
        <f>VLOOKUP(M393,LUTs!E$2:H$14,3,)</f>
        <v>03Snohomish</v>
      </c>
      <c r="O393" t="str">
        <f>VLOOKUP(M393,LUTs!E$2:H$14,4,)</f>
        <v>01North Puget Sound</v>
      </c>
      <c r="P393" s="80">
        <v>8.25</v>
      </c>
      <c r="Q393" s="102">
        <v>8.25</v>
      </c>
      <c r="R393" s="74">
        <f>VLOOKUP(B393,Readme!A$40:C$52,3,)*Q393</f>
        <v>153.03749999999999</v>
      </c>
    </row>
    <row r="394" spans="1:18" ht="12" customHeight="1" x14ac:dyDescent="0.35">
      <c r="A394" s="75">
        <v>595</v>
      </c>
      <c r="B394" s="80">
        <v>2011</v>
      </c>
      <c r="C394" s="80">
        <v>7</v>
      </c>
      <c r="D394" s="80">
        <f t="shared" si="24"/>
        <v>2011</v>
      </c>
      <c r="E394" t="s">
        <v>38</v>
      </c>
      <c r="F394" t="s">
        <v>143</v>
      </c>
      <c r="G394" t="s">
        <v>86</v>
      </c>
      <c r="H394" s="72" t="s">
        <v>248</v>
      </c>
      <c r="I394" s="72" t="s">
        <v>99</v>
      </c>
      <c r="J394" t="str">
        <f t="shared" si="23"/>
        <v>Skykomish River, So. Fork</v>
      </c>
      <c r="K394" t="str">
        <f>IFERROR(VLOOKUP(J394,LUTs!$A$1:$C$73,2,FALSE),"NA")</f>
        <v>Snohomish/King</v>
      </c>
      <c r="L394" t="str">
        <f>IFERROR(VLOOKUP(J394,LUTs!$A$1:$C$73,3,FALSE),"NA")</f>
        <v>2Central Puget Sound</v>
      </c>
      <c r="M394" s="72" t="s">
        <v>20</v>
      </c>
      <c r="N394" t="str">
        <f>VLOOKUP(M394,LUTs!E$2:H$14,3,)</f>
        <v>07Pierce</v>
      </c>
      <c r="O394" t="str">
        <f>VLOOKUP(M394,LUTs!E$2:H$14,4,)</f>
        <v>02South Puget Sound</v>
      </c>
      <c r="P394" s="80">
        <v>3</v>
      </c>
      <c r="Q394" s="102">
        <v>3</v>
      </c>
      <c r="R394" s="74">
        <f>VLOOKUP(B394,Readme!A$40:C$52,3,)*Q394</f>
        <v>55.650000000000006</v>
      </c>
    </row>
    <row r="395" spans="1:18" ht="12" customHeight="1" x14ac:dyDescent="0.35">
      <c r="A395" s="75">
        <v>599</v>
      </c>
      <c r="B395" s="80">
        <v>2011</v>
      </c>
      <c r="C395" s="80">
        <v>7</v>
      </c>
      <c r="D395" s="80">
        <f t="shared" si="24"/>
        <v>2011</v>
      </c>
      <c r="E395" t="s">
        <v>38</v>
      </c>
      <c r="F395" t="s">
        <v>143</v>
      </c>
      <c r="G395" t="s">
        <v>86</v>
      </c>
      <c r="H395" s="72" t="s">
        <v>221</v>
      </c>
      <c r="I395" s="72" t="s">
        <v>63</v>
      </c>
      <c r="J395" t="str">
        <f t="shared" si="23"/>
        <v>Snohomish River</v>
      </c>
      <c r="K395" t="str">
        <f>IFERROR(VLOOKUP(J395,LUTs!$A$1:$C$73,2,FALSE),"NA")</f>
        <v>Snohomish</v>
      </c>
      <c r="L395" t="str">
        <f>IFERROR(VLOOKUP(J395,LUTs!$A$1:$C$73,3,FALSE),"NA")</f>
        <v>2Central Puget Sound</v>
      </c>
      <c r="M395" s="72" t="s">
        <v>26</v>
      </c>
      <c r="N395" t="str">
        <f>VLOOKUP(M395,LUTs!E$2:H$14,3,)</f>
        <v>20Other</v>
      </c>
      <c r="O395" t="str">
        <f>VLOOKUP(M395,LUTs!E$2:H$14,4,)</f>
        <v>07Non Puget Sound</v>
      </c>
      <c r="P395" s="80">
        <v>2.8965517241379302</v>
      </c>
      <c r="Q395" s="102">
        <v>2.8965517241379302</v>
      </c>
      <c r="R395" s="74">
        <f>VLOOKUP(B395,Readme!A$40:C$52,3,)*Q395</f>
        <v>53.731034482758609</v>
      </c>
    </row>
    <row r="396" spans="1:18" ht="12" customHeight="1" x14ac:dyDescent="0.35">
      <c r="A396" s="75">
        <v>600</v>
      </c>
      <c r="B396" s="80">
        <v>2011</v>
      </c>
      <c r="C396" s="80">
        <v>7</v>
      </c>
      <c r="D396" s="80">
        <f t="shared" si="24"/>
        <v>2011</v>
      </c>
      <c r="E396" t="s">
        <v>38</v>
      </c>
      <c r="F396" t="s">
        <v>143</v>
      </c>
      <c r="G396" t="s">
        <v>86</v>
      </c>
      <c r="H396" s="72" t="s">
        <v>221</v>
      </c>
      <c r="I396" s="72" t="s">
        <v>63</v>
      </c>
      <c r="J396" t="str">
        <f t="shared" si="23"/>
        <v>Snohomish River</v>
      </c>
      <c r="K396" t="str">
        <f>IFERROR(VLOOKUP(J396,LUTs!$A$1:$C$73,2,FALSE),"NA")</f>
        <v>Snohomish</v>
      </c>
      <c r="L396" t="str">
        <f>IFERROR(VLOOKUP(J396,LUTs!$A$1:$C$73,3,FALSE),"NA")</f>
        <v>2Central Puget Sound</v>
      </c>
      <c r="M396" s="72" t="s">
        <v>16</v>
      </c>
      <c r="N396" t="str">
        <f>VLOOKUP(M396,LUTs!E$2:H$14,3,)</f>
        <v>03Snohomish</v>
      </c>
      <c r="O396" t="str">
        <f>VLOOKUP(M396,LUTs!E$2:H$14,4,)</f>
        <v>01North Puget Sound</v>
      </c>
      <c r="P396" s="80">
        <v>81.103448275862107</v>
      </c>
      <c r="Q396" s="102">
        <v>81.103448275862107</v>
      </c>
      <c r="R396" s="74">
        <f>VLOOKUP(B396,Readme!A$40:C$52,3,)*Q396</f>
        <v>1504.4689655172422</v>
      </c>
    </row>
    <row r="397" spans="1:18" ht="12" customHeight="1" x14ac:dyDescent="0.35">
      <c r="A397" s="75">
        <v>620</v>
      </c>
      <c r="B397" s="80">
        <v>2011</v>
      </c>
      <c r="C397" s="80">
        <v>7</v>
      </c>
      <c r="D397" s="80">
        <f t="shared" si="24"/>
        <v>2011</v>
      </c>
      <c r="E397" t="s">
        <v>38</v>
      </c>
      <c r="F397" t="s">
        <v>143</v>
      </c>
      <c r="G397" t="s">
        <v>86</v>
      </c>
      <c r="H397" s="72" t="s">
        <v>222</v>
      </c>
      <c r="I397" s="72" t="s">
        <v>64</v>
      </c>
      <c r="J397" t="str">
        <f t="shared" si="23"/>
        <v>Snoqualmie River</v>
      </c>
      <c r="K397" t="str">
        <f>IFERROR(VLOOKUP(J397,LUTs!$A$1:$C$73,2,FALSE),"NA")</f>
        <v>Snohomish/King</v>
      </c>
      <c r="L397" t="str">
        <f>IFERROR(VLOOKUP(J397,LUTs!$A$1:$C$73,3,FALSE),"NA")</f>
        <v>2Central Puget Sound</v>
      </c>
      <c r="M397" s="72" t="s">
        <v>18</v>
      </c>
      <c r="N397" t="str">
        <f>VLOOKUP(M397,LUTs!E$2:H$14,3,)</f>
        <v>06King</v>
      </c>
      <c r="O397" t="str">
        <f>VLOOKUP(M397,LUTs!E$2:H$14,4,)</f>
        <v>02South Puget Sound</v>
      </c>
      <c r="P397" s="80">
        <v>17</v>
      </c>
      <c r="Q397" s="102">
        <v>17</v>
      </c>
      <c r="R397" s="74">
        <f>VLOOKUP(B397,Readme!A$40:C$52,3,)*Q397</f>
        <v>315.35000000000002</v>
      </c>
    </row>
    <row r="398" spans="1:18" ht="12" customHeight="1" x14ac:dyDescent="0.35">
      <c r="A398" s="75">
        <v>380</v>
      </c>
      <c r="B398" s="80">
        <v>2011</v>
      </c>
      <c r="C398" s="80">
        <v>7</v>
      </c>
      <c r="D398" s="80">
        <f t="shared" si="24"/>
        <v>2011</v>
      </c>
      <c r="E398" t="s">
        <v>38</v>
      </c>
      <c r="F398" t="s">
        <v>143</v>
      </c>
      <c r="G398" t="s">
        <v>86</v>
      </c>
      <c r="H398" s="72" t="s">
        <v>236</v>
      </c>
      <c r="I398" s="72" t="s">
        <v>90</v>
      </c>
      <c r="J398" t="str">
        <f t="shared" si="23"/>
        <v>Soos Creek</v>
      </c>
      <c r="K398" t="str">
        <f>IFERROR(VLOOKUP(J398,LUTs!$A$1:$C$73,2,FALSE),"NA")</f>
        <v>King</v>
      </c>
      <c r="L398" t="str">
        <f>IFERROR(VLOOKUP(J398,LUTs!$A$1:$C$73,3,FALSE),"NA")</f>
        <v>3South Puget Sound</v>
      </c>
      <c r="M398" s="72" t="s">
        <v>18</v>
      </c>
      <c r="N398" t="str">
        <f>VLOOKUP(M398,LUTs!E$2:H$14,3,)</f>
        <v>06King</v>
      </c>
      <c r="O398" t="str">
        <f>VLOOKUP(M398,LUTs!E$2:H$14,4,)</f>
        <v>02South Puget Sound</v>
      </c>
      <c r="P398" s="80">
        <v>3</v>
      </c>
      <c r="Q398" s="102">
        <v>3</v>
      </c>
      <c r="R398" s="74">
        <f>VLOOKUP(B398,Readme!A$40:C$52,3,)*Q398</f>
        <v>55.650000000000006</v>
      </c>
    </row>
    <row r="399" spans="1:18" ht="12" customHeight="1" x14ac:dyDescent="0.35">
      <c r="A399" s="75">
        <v>680</v>
      </c>
      <c r="B399" s="80">
        <v>2011</v>
      </c>
      <c r="C399" s="80">
        <v>7</v>
      </c>
      <c r="D399" s="80">
        <f t="shared" si="24"/>
        <v>2011</v>
      </c>
      <c r="E399" t="s">
        <v>38</v>
      </c>
      <c r="F399" t="s">
        <v>143</v>
      </c>
      <c r="G399" t="s">
        <v>86</v>
      </c>
      <c r="H399" s="72" t="s">
        <v>223</v>
      </c>
      <c r="I399" s="72" t="s">
        <v>103</v>
      </c>
      <c r="J399" t="str">
        <f t="shared" si="23"/>
        <v>Stillaguamish R, No. Fork</v>
      </c>
      <c r="K399" t="str">
        <f>IFERROR(VLOOKUP(J399,LUTs!$A$1:$C$73,2,FALSE),"NA")</f>
        <v>Snohomish</v>
      </c>
      <c r="L399" t="str">
        <f>IFERROR(VLOOKUP(J399,LUTs!$A$1:$C$73,3,FALSE),"NA")</f>
        <v>2Central Puget Sound</v>
      </c>
      <c r="M399" s="72" t="s">
        <v>26</v>
      </c>
      <c r="N399" t="str">
        <f>VLOOKUP(M399,LUTs!E$2:H$14,3,)</f>
        <v>20Other</v>
      </c>
      <c r="O399" t="str">
        <f>VLOOKUP(M399,LUTs!E$2:H$14,4,)</f>
        <v>07Non Puget Sound</v>
      </c>
      <c r="P399" s="80">
        <v>3.71428571428571</v>
      </c>
      <c r="Q399" s="102">
        <v>3.71428571428571</v>
      </c>
      <c r="R399" s="74">
        <f>VLOOKUP(B399,Readme!A$40:C$52,3,)*Q399</f>
        <v>68.89999999999992</v>
      </c>
    </row>
    <row r="400" spans="1:18" ht="12" customHeight="1" x14ac:dyDescent="0.35">
      <c r="A400" s="75">
        <v>681</v>
      </c>
      <c r="B400" s="80">
        <v>2011</v>
      </c>
      <c r="C400" s="80">
        <v>7</v>
      </c>
      <c r="D400" s="80">
        <f t="shared" si="24"/>
        <v>2011</v>
      </c>
      <c r="E400" t="s">
        <v>38</v>
      </c>
      <c r="F400" t="s">
        <v>143</v>
      </c>
      <c r="G400" t="s">
        <v>86</v>
      </c>
      <c r="H400" s="72" t="s">
        <v>223</v>
      </c>
      <c r="I400" s="72" t="s">
        <v>103</v>
      </c>
      <c r="J400" t="str">
        <f t="shared" si="23"/>
        <v>Stillaguamish R, No. Fork</v>
      </c>
      <c r="K400" t="str">
        <f>IFERROR(VLOOKUP(J400,LUTs!$A$1:$C$73,2,FALSE),"NA")</f>
        <v>Snohomish</v>
      </c>
      <c r="L400" t="str">
        <f>IFERROR(VLOOKUP(J400,LUTs!$A$1:$C$73,3,FALSE),"NA")</f>
        <v>2Central Puget Sound</v>
      </c>
      <c r="M400" s="72" t="s">
        <v>30</v>
      </c>
      <c r="N400" t="str">
        <f>VLOOKUP(M400,LUTs!E$2:H$14,3,)</f>
        <v>05San Juan</v>
      </c>
      <c r="O400" t="str">
        <f>VLOOKUP(M400,LUTs!E$2:H$14,4,)</f>
        <v>01North Puget Sound</v>
      </c>
      <c r="P400" s="80">
        <v>3.71428571428571</v>
      </c>
      <c r="Q400" s="102">
        <v>3.71428571428571</v>
      </c>
      <c r="R400" s="74">
        <f>VLOOKUP(B400,Readme!A$40:C$52,3,)*Q400</f>
        <v>68.89999999999992</v>
      </c>
    </row>
    <row r="401" spans="1:18" ht="12" customHeight="1" x14ac:dyDescent="0.35">
      <c r="A401" s="75">
        <v>682</v>
      </c>
      <c r="B401" s="80">
        <v>2011</v>
      </c>
      <c r="C401" s="80">
        <v>7</v>
      </c>
      <c r="D401" s="80">
        <f t="shared" si="24"/>
        <v>2011</v>
      </c>
      <c r="E401" t="s">
        <v>38</v>
      </c>
      <c r="F401" t="s">
        <v>143</v>
      </c>
      <c r="G401" t="s">
        <v>86</v>
      </c>
      <c r="H401" s="72" t="s">
        <v>223</v>
      </c>
      <c r="I401" s="72" t="s">
        <v>103</v>
      </c>
      <c r="J401" t="str">
        <f t="shared" si="23"/>
        <v>Stillaguamish R, No. Fork</v>
      </c>
      <c r="K401" t="str">
        <f>IFERROR(VLOOKUP(J401,LUTs!$A$1:$C$73,2,FALSE),"NA")</f>
        <v>Snohomish</v>
      </c>
      <c r="L401" t="str">
        <f>IFERROR(VLOOKUP(J401,LUTs!$A$1:$C$73,3,FALSE),"NA")</f>
        <v>2Central Puget Sound</v>
      </c>
      <c r="M401" s="72" t="s">
        <v>15</v>
      </c>
      <c r="N401" t="str">
        <f>VLOOKUP(M401,LUTs!E$2:H$14,3,)</f>
        <v>02Skagit</v>
      </c>
      <c r="O401" t="str">
        <f>VLOOKUP(M401,LUTs!E$2:H$14,4,)</f>
        <v>01North Puget Sound</v>
      </c>
      <c r="P401" s="80">
        <v>11.1428571428571</v>
      </c>
      <c r="Q401" s="102">
        <v>11.1428571428571</v>
      </c>
      <c r="R401" s="74">
        <f>VLOOKUP(B401,Readme!A$40:C$52,3,)*Q401</f>
        <v>206.69999999999922</v>
      </c>
    </row>
    <row r="402" spans="1:18" ht="12" customHeight="1" x14ac:dyDescent="0.35">
      <c r="A402" s="75">
        <v>683</v>
      </c>
      <c r="B402" s="80">
        <v>2011</v>
      </c>
      <c r="C402" s="80">
        <v>7</v>
      </c>
      <c r="D402" s="80">
        <f t="shared" si="24"/>
        <v>2011</v>
      </c>
      <c r="E402" t="s">
        <v>38</v>
      </c>
      <c r="F402" t="s">
        <v>143</v>
      </c>
      <c r="G402" t="s">
        <v>86</v>
      </c>
      <c r="H402" s="72" t="s">
        <v>223</v>
      </c>
      <c r="I402" s="72" t="s">
        <v>103</v>
      </c>
      <c r="J402" t="str">
        <f t="shared" si="23"/>
        <v>Stillaguamish R, No. Fork</v>
      </c>
      <c r="K402" t="str">
        <f>IFERROR(VLOOKUP(J402,LUTs!$A$1:$C$73,2,FALSE),"NA")</f>
        <v>Snohomish</v>
      </c>
      <c r="L402" t="str">
        <f>IFERROR(VLOOKUP(J402,LUTs!$A$1:$C$73,3,FALSE),"NA")</f>
        <v>2Central Puget Sound</v>
      </c>
      <c r="M402" s="72" t="s">
        <v>16</v>
      </c>
      <c r="N402" t="str">
        <f>VLOOKUP(M402,LUTs!E$2:H$14,3,)</f>
        <v>03Snohomish</v>
      </c>
      <c r="O402" t="str">
        <f>VLOOKUP(M402,LUTs!E$2:H$14,4,)</f>
        <v>01North Puget Sound</v>
      </c>
      <c r="P402" s="80">
        <v>7.4285714285714297</v>
      </c>
      <c r="Q402" s="102">
        <v>7.4285714285714297</v>
      </c>
      <c r="R402" s="74">
        <f>VLOOKUP(B402,Readme!A$40:C$52,3,)*Q402</f>
        <v>137.80000000000004</v>
      </c>
    </row>
    <row r="403" spans="1:18" ht="12" customHeight="1" x14ac:dyDescent="0.35">
      <c r="A403" s="75">
        <v>702</v>
      </c>
      <c r="B403" s="80">
        <v>2011</v>
      </c>
      <c r="C403" s="80">
        <v>7</v>
      </c>
      <c r="D403" s="80">
        <f t="shared" si="24"/>
        <v>2011</v>
      </c>
      <c r="E403" t="s">
        <v>38</v>
      </c>
      <c r="F403" t="s">
        <v>143</v>
      </c>
      <c r="G403" t="s">
        <v>86</v>
      </c>
      <c r="H403" s="72" t="s">
        <v>252</v>
      </c>
      <c r="I403" s="72" t="s">
        <v>104</v>
      </c>
      <c r="J403" t="str">
        <f t="shared" si="23"/>
        <v>Stillaguamish R, So. Fork</v>
      </c>
      <c r="K403" t="str">
        <f>IFERROR(VLOOKUP(J403,LUTs!$A$1:$C$73,2,FALSE),"NA")</f>
        <v>Snohomish</v>
      </c>
      <c r="L403" t="str">
        <f>IFERROR(VLOOKUP(J403,LUTs!$A$1:$C$73,3,FALSE),"NA")</f>
        <v>2Central Puget Sound</v>
      </c>
      <c r="M403" s="72" t="s">
        <v>16</v>
      </c>
      <c r="N403" t="str">
        <f>VLOOKUP(M403,LUTs!E$2:H$14,3,)</f>
        <v>03Snohomish</v>
      </c>
      <c r="O403" t="str">
        <f>VLOOKUP(M403,LUTs!E$2:H$14,4,)</f>
        <v>01North Puget Sound</v>
      </c>
      <c r="P403" s="80">
        <v>7</v>
      </c>
      <c r="Q403" s="102">
        <v>7</v>
      </c>
      <c r="R403" s="74">
        <f>VLOOKUP(B403,Readme!A$40:C$52,3,)*Q403</f>
        <v>129.85</v>
      </c>
    </row>
    <row r="404" spans="1:18" ht="12" customHeight="1" x14ac:dyDescent="0.35">
      <c r="A404" s="75">
        <v>642</v>
      </c>
      <c r="B404" s="80">
        <v>2011</v>
      </c>
      <c r="C404" s="80">
        <v>7</v>
      </c>
      <c r="D404" s="80">
        <f t="shared" si="24"/>
        <v>2011</v>
      </c>
      <c r="E404" t="s">
        <v>38</v>
      </c>
      <c r="F404" t="s">
        <v>143</v>
      </c>
      <c r="G404" t="s">
        <v>86</v>
      </c>
      <c r="H404" s="72" t="s">
        <v>249</v>
      </c>
      <c r="I404" s="72" t="s">
        <v>100</v>
      </c>
      <c r="J404" t="str">
        <f t="shared" si="23"/>
        <v>Sultan River</v>
      </c>
      <c r="K404" t="str">
        <f>IFERROR(VLOOKUP(J404,LUTs!$A$1:$C$73,2,FALSE),"NA")</f>
        <v>Snohomish</v>
      </c>
      <c r="L404" t="str">
        <f>IFERROR(VLOOKUP(J404,LUTs!$A$1:$C$73,3,FALSE),"NA")</f>
        <v>2Central Puget Sound</v>
      </c>
      <c r="M404" s="72" t="s">
        <v>16</v>
      </c>
      <c r="N404" t="str">
        <f>VLOOKUP(M404,LUTs!E$2:H$14,3,)</f>
        <v>03Snohomish</v>
      </c>
      <c r="O404" t="str">
        <f>VLOOKUP(M404,LUTs!E$2:H$14,4,)</f>
        <v>01North Puget Sound</v>
      </c>
      <c r="P404" s="80">
        <v>8</v>
      </c>
      <c r="Q404" s="102">
        <v>8</v>
      </c>
      <c r="R404" s="74">
        <f>VLOOKUP(B404,Readme!A$40:C$52,3,)*Q404</f>
        <v>148.4</v>
      </c>
    </row>
    <row r="405" spans="1:18" ht="12" customHeight="1" x14ac:dyDescent="0.35">
      <c r="A405" s="75">
        <v>452</v>
      </c>
      <c r="B405" s="80">
        <v>2011</v>
      </c>
      <c r="C405" s="80">
        <v>8</v>
      </c>
      <c r="D405" s="80">
        <f t="shared" si="24"/>
        <v>2011</v>
      </c>
      <c r="E405" t="s">
        <v>38</v>
      </c>
      <c r="F405" t="s">
        <v>143</v>
      </c>
      <c r="G405" t="s">
        <v>86</v>
      </c>
      <c r="H405" s="72" t="s">
        <v>257</v>
      </c>
      <c r="I405" s="72" t="s">
        <v>31</v>
      </c>
      <c r="J405" t="str">
        <f t="shared" si="23"/>
        <v>Area 8-1: Skagit Bay-Saratoga Psg.</v>
      </c>
      <c r="K405" t="str">
        <f>IFERROR(VLOOKUP(J405,LUTs!$A$1:$C$73,2,FALSE),"NA")</f>
        <v>NA</v>
      </c>
      <c r="L405" t="str">
        <f>IFERROR(VLOOKUP(J405,LUTs!$A$1:$C$73,3,FALSE),"NA")</f>
        <v>2Central Puget Sound</v>
      </c>
      <c r="M405" s="72" t="s">
        <v>17</v>
      </c>
      <c r="N405" t="str">
        <f>VLOOKUP(M405,LUTs!E$2:H$14,3,)</f>
        <v>04Island</v>
      </c>
      <c r="O405" t="str">
        <f>VLOOKUP(M405,LUTs!E$2:H$14,4,)</f>
        <v>01North Puget Sound</v>
      </c>
      <c r="P405" s="80">
        <v>0</v>
      </c>
      <c r="Q405" s="102">
        <v>0</v>
      </c>
      <c r="R405" s="74">
        <f>VLOOKUP(B405,Readme!A$40:C$52,3,)*Q405</f>
        <v>0</v>
      </c>
    </row>
    <row r="406" spans="1:18" ht="12" customHeight="1" x14ac:dyDescent="0.35">
      <c r="A406" s="75">
        <v>453</v>
      </c>
      <c r="B406" s="80">
        <v>2011</v>
      </c>
      <c r="C406" s="80">
        <v>8</v>
      </c>
      <c r="D406" s="80">
        <f t="shared" si="24"/>
        <v>2011</v>
      </c>
      <c r="E406" t="s">
        <v>38</v>
      </c>
      <c r="F406" t="s">
        <v>143</v>
      </c>
      <c r="G406" t="s">
        <v>86</v>
      </c>
      <c r="H406" s="72" t="s">
        <v>257</v>
      </c>
      <c r="I406" s="72" t="s">
        <v>31</v>
      </c>
      <c r="J406" t="str">
        <f t="shared" si="23"/>
        <v>Area 8-1: Skagit Bay-Saratoga Psg.</v>
      </c>
      <c r="K406" t="str">
        <f>IFERROR(VLOOKUP(J406,LUTs!$A$1:$C$73,2,FALSE),"NA")</f>
        <v>NA</v>
      </c>
      <c r="L406" t="str">
        <f>IFERROR(VLOOKUP(J406,LUTs!$A$1:$C$73,3,FALSE),"NA")</f>
        <v>2Central Puget Sound</v>
      </c>
      <c r="M406" s="72" t="s">
        <v>16</v>
      </c>
      <c r="N406" t="str">
        <f>VLOOKUP(M406,LUTs!E$2:H$14,3,)</f>
        <v>03Snohomish</v>
      </c>
      <c r="O406" t="str">
        <f>VLOOKUP(M406,LUTs!E$2:H$14,4,)</f>
        <v>01North Puget Sound</v>
      </c>
      <c r="P406" s="80">
        <v>0</v>
      </c>
      <c r="Q406" s="102">
        <v>0</v>
      </c>
      <c r="R406" s="74">
        <f>VLOOKUP(B406,Readme!A$40:C$52,3,)*Q406</f>
        <v>0</v>
      </c>
    </row>
    <row r="407" spans="1:18" ht="12" customHeight="1" x14ac:dyDescent="0.35">
      <c r="A407" s="75">
        <v>467</v>
      </c>
      <c r="B407" s="80">
        <v>2011</v>
      </c>
      <c r="C407" s="80">
        <v>8</v>
      </c>
      <c r="D407" s="80">
        <f t="shared" si="24"/>
        <v>2011</v>
      </c>
      <c r="E407" t="s">
        <v>38</v>
      </c>
      <c r="F407" t="s">
        <v>143</v>
      </c>
      <c r="G407" t="s">
        <v>86</v>
      </c>
      <c r="H407" s="72" t="s">
        <v>258</v>
      </c>
      <c r="I407" s="72" t="s">
        <v>32</v>
      </c>
      <c r="J407" t="str">
        <f t="shared" si="23"/>
        <v>Area 8-2: Port Susan-Port Gardner</v>
      </c>
      <c r="K407" t="str">
        <f>IFERROR(VLOOKUP(J407,LUTs!$A$1:$C$73,2,FALSE),"NA")</f>
        <v>NA</v>
      </c>
      <c r="L407" t="str">
        <f>IFERROR(VLOOKUP(J407,LUTs!$A$1:$C$73,3,FALSE),"NA")</f>
        <v>2Central Puget Sound</v>
      </c>
      <c r="M407" s="72" t="s">
        <v>16</v>
      </c>
      <c r="N407" t="str">
        <f>VLOOKUP(M407,LUTs!E$2:H$14,3,)</f>
        <v>03Snohomish</v>
      </c>
      <c r="O407" t="str">
        <f>VLOOKUP(M407,LUTs!E$2:H$14,4,)</f>
        <v>01North Puget Sound</v>
      </c>
      <c r="P407" s="80">
        <v>0</v>
      </c>
      <c r="Q407" s="102">
        <v>0</v>
      </c>
      <c r="R407" s="74">
        <f>VLOOKUP(B407,Readme!A$40:C$52,3,)*Q407</f>
        <v>0</v>
      </c>
    </row>
    <row r="408" spans="1:18" ht="12" customHeight="1" x14ac:dyDescent="0.35">
      <c r="A408" s="75">
        <v>720</v>
      </c>
      <c r="B408" s="80">
        <v>2011</v>
      </c>
      <c r="C408" s="80">
        <v>8</v>
      </c>
      <c r="D408" s="80">
        <f t="shared" si="24"/>
        <v>2011</v>
      </c>
      <c r="E408" t="s">
        <v>38</v>
      </c>
      <c r="F408" t="s">
        <v>143</v>
      </c>
      <c r="G408" t="s">
        <v>86</v>
      </c>
      <c r="H408" s="72" t="s">
        <v>254</v>
      </c>
      <c r="I408" s="72" t="s">
        <v>33</v>
      </c>
      <c r="J408" t="str">
        <f t="shared" si="23"/>
        <v>Area 9: Admiralty Inlet</v>
      </c>
      <c r="K408" t="str">
        <f>IFERROR(VLOOKUP(J408,LUTs!$A$1:$C$73,2,FALSE),"NA")</f>
        <v>NA</v>
      </c>
      <c r="L408" t="str">
        <f>IFERROR(VLOOKUP(J408,LUTs!$A$1:$C$73,3,FALSE),"NA")</f>
        <v>2Central Puget Sound</v>
      </c>
      <c r="M408" s="72" t="s">
        <v>17</v>
      </c>
      <c r="N408" t="str">
        <f>VLOOKUP(M408,LUTs!E$2:H$14,3,)</f>
        <v>04Island</v>
      </c>
      <c r="O408" t="str">
        <f>VLOOKUP(M408,LUTs!E$2:H$14,4,)</f>
        <v>01North Puget Sound</v>
      </c>
      <c r="P408" s="80">
        <v>0</v>
      </c>
      <c r="Q408" s="102">
        <v>0</v>
      </c>
      <c r="R408" s="74">
        <f>VLOOKUP(B408,Readme!A$40:C$52,3,)*Q408</f>
        <v>0</v>
      </c>
    </row>
    <row r="409" spans="1:18" ht="12" customHeight="1" x14ac:dyDescent="0.35">
      <c r="A409" s="75">
        <v>721</v>
      </c>
      <c r="B409" s="80">
        <v>2011</v>
      </c>
      <c r="C409" s="80">
        <v>8</v>
      </c>
      <c r="D409" s="80">
        <f t="shared" si="24"/>
        <v>2011</v>
      </c>
      <c r="E409" t="s">
        <v>38</v>
      </c>
      <c r="F409" t="s">
        <v>143</v>
      </c>
      <c r="G409" t="s">
        <v>86</v>
      </c>
      <c r="H409" s="72" t="s">
        <v>254</v>
      </c>
      <c r="I409" s="72" t="s">
        <v>33</v>
      </c>
      <c r="J409" t="str">
        <f t="shared" si="23"/>
        <v>Area 9: Admiralty Inlet</v>
      </c>
      <c r="K409" t="str">
        <f>IFERROR(VLOOKUP(J409,LUTs!$A$1:$C$73,2,FALSE),"NA")</f>
        <v>NA</v>
      </c>
      <c r="L409" t="str">
        <f>IFERROR(VLOOKUP(J409,LUTs!$A$1:$C$73,3,FALSE),"NA")</f>
        <v>2Central Puget Sound</v>
      </c>
      <c r="M409" s="72" t="s">
        <v>18</v>
      </c>
      <c r="N409" t="str">
        <f>VLOOKUP(M409,LUTs!E$2:H$14,3,)</f>
        <v>06King</v>
      </c>
      <c r="O409" t="str">
        <f>VLOOKUP(M409,LUTs!E$2:H$14,4,)</f>
        <v>02South Puget Sound</v>
      </c>
      <c r="P409" s="80">
        <v>0</v>
      </c>
      <c r="Q409" s="102">
        <v>0</v>
      </c>
      <c r="R409" s="74">
        <f>VLOOKUP(B409,Readme!A$40:C$52,3,)*Q409</f>
        <v>0</v>
      </c>
    </row>
    <row r="410" spans="1:18" ht="12" customHeight="1" x14ac:dyDescent="0.35">
      <c r="A410" s="75">
        <v>722</v>
      </c>
      <c r="B410" s="80">
        <v>2011</v>
      </c>
      <c r="C410" s="80">
        <v>8</v>
      </c>
      <c r="D410" s="80">
        <f t="shared" si="24"/>
        <v>2011</v>
      </c>
      <c r="E410" t="s">
        <v>38</v>
      </c>
      <c r="F410" t="s">
        <v>143</v>
      </c>
      <c r="G410" t="s">
        <v>86</v>
      </c>
      <c r="H410" s="72" t="s">
        <v>254</v>
      </c>
      <c r="I410" s="72" t="s">
        <v>33</v>
      </c>
      <c r="J410" t="str">
        <f t="shared" si="23"/>
        <v>Area 9: Admiralty Inlet</v>
      </c>
      <c r="K410" t="str">
        <f>IFERROR(VLOOKUP(J410,LUTs!$A$1:$C$73,2,FALSE),"NA")</f>
        <v>NA</v>
      </c>
      <c r="L410" t="str">
        <f>IFERROR(VLOOKUP(J410,LUTs!$A$1:$C$73,3,FALSE),"NA")</f>
        <v>2Central Puget Sound</v>
      </c>
      <c r="M410" s="72" t="s">
        <v>26</v>
      </c>
      <c r="N410" t="str">
        <f>VLOOKUP(M410,LUTs!E$2:H$14,3,)</f>
        <v>20Other</v>
      </c>
      <c r="O410" t="str">
        <f>VLOOKUP(M410,LUTs!E$2:H$14,4,)</f>
        <v>07Non Puget Sound</v>
      </c>
      <c r="P410" s="80">
        <v>0</v>
      </c>
      <c r="Q410" s="102">
        <v>0</v>
      </c>
      <c r="R410" s="74">
        <f>VLOOKUP(B410,Readme!A$40:C$52,3,)*Q410</f>
        <v>0</v>
      </c>
    </row>
    <row r="411" spans="1:18" ht="12" customHeight="1" x14ac:dyDescent="0.35">
      <c r="A411" s="75">
        <v>723</v>
      </c>
      <c r="B411" s="80">
        <v>2011</v>
      </c>
      <c r="C411" s="80">
        <v>8</v>
      </c>
      <c r="D411" s="80">
        <f t="shared" si="24"/>
        <v>2011</v>
      </c>
      <c r="E411" t="s">
        <v>38</v>
      </c>
      <c r="F411" t="s">
        <v>143</v>
      </c>
      <c r="G411" t="s">
        <v>86</v>
      </c>
      <c r="H411" s="72" t="s">
        <v>254</v>
      </c>
      <c r="I411" s="72" t="s">
        <v>33</v>
      </c>
      <c r="J411" t="str">
        <f t="shared" si="23"/>
        <v>Area 9: Admiralty Inlet</v>
      </c>
      <c r="K411" t="str">
        <f>IFERROR(VLOOKUP(J411,LUTs!$A$1:$C$73,2,FALSE),"NA")</f>
        <v>NA</v>
      </c>
      <c r="L411" t="str">
        <f>IFERROR(VLOOKUP(J411,LUTs!$A$1:$C$73,3,FALSE),"NA")</f>
        <v>2Central Puget Sound</v>
      </c>
      <c r="M411" s="72" t="s">
        <v>15</v>
      </c>
      <c r="N411" t="str">
        <f>VLOOKUP(M411,LUTs!E$2:H$14,3,)</f>
        <v>02Skagit</v>
      </c>
      <c r="O411" t="str">
        <f>VLOOKUP(M411,LUTs!E$2:H$14,4,)</f>
        <v>01North Puget Sound</v>
      </c>
      <c r="P411" s="80">
        <v>0</v>
      </c>
      <c r="Q411" s="102">
        <v>0</v>
      </c>
      <c r="R411" s="74">
        <f>VLOOKUP(B411,Readme!A$40:C$52,3,)*Q411</f>
        <v>0</v>
      </c>
    </row>
    <row r="412" spans="1:18" ht="12" customHeight="1" x14ac:dyDescent="0.35">
      <c r="A412" s="75">
        <v>724</v>
      </c>
      <c r="B412" s="80">
        <v>2011</v>
      </c>
      <c r="C412" s="80">
        <v>8</v>
      </c>
      <c r="D412" s="80">
        <f t="shared" si="24"/>
        <v>2011</v>
      </c>
      <c r="E412" t="s">
        <v>38</v>
      </c>
      <c r="F412" t="s">
        <v>143</v>
      </c>
      <c r="G412" t="s">
        <v>86</v>
      </c>
      <c r="H412" s="72" t="s">
        <v>254</v>
      </c>
      <c r="I412" s="72" t="s">
        <v>33</v>
      </c>
      <c r="J412" t="str">
        <f t="shared" si="23"/>
        <v>Area 9: Admiralty Inlet</v>
      </c>
      <c r="K412" t="str">
        <f>IFERROR(VLOOKUP(J412,LUTs!$A$1:$C$73,2,FALSE),"NA")</f>
        <v>NA</v>
      </c>
      <c r="L412" t="str">
        <f>IFERROR(VLOOKUP(J412,LUTs!$A$1:$C$73,3,FALSE),"NA")</f>
        <v>2Central Puget Sound</v>
      </c>
      <c r="M412" s="72" t="s">
        <v>16</v>
      </c>
      <c r="N412" t="str">
        <f>VLOOKUP(M412,LUTs!E$2:H$14,3,)</f>
        <v>03Snohomish</v>
      </c>
      <c r="O412" t="str">
        <f>VLOOKUP(M412,LUTs!E$2:H$14,4,)</f>
        <v>01North Puget Sound</v>
      </c>
      <c r="P412" s="80">
        <v>1</v>
      </c>
      <c r="Q412" s="102">
        <v>1</v>
      </c>
      <c r="R412" s="74">
        <f>VLOOKUP(B412,Readme!A$40:C$52,3,)*Q412</f>
        <v>18.55</v>
      </c>
    </row>
    <row r="413" spans="1:18" ht="12" customHeight="1" x14ac:dyDescent="0.35">
      <c r="A413" s="75">
        <v>470</v>
      </c>
      <c r="B413" s="80">
        <v>2011</v>
      </c>
      <c r="C413" s="80">
        <v>8</v>
      </c>
      <c r="D413" s="80">
        <f t="shared" si="24"/>
        <v>2011</v>
      </c>
      <c r="E413" t="s">
        <v>38</v>
      </c>
      <c r="F413" t="s">
        <v>143</v>
      </c>
      <c r="G413" t="s">
        <v>86</v>
      </c>
      <c r="H413" s="72" t="s">
        <v>216</v>
      </c>
      <c r="I413" s="72" t="s">
        <v>58</v>
      </c>
      <c r="J413" t="str">
        <f t="shared" si="23"/>
        <v>Baker Lake</v>
      </c>
      <c r="K413" t="str">
        <f>IFERROR(VLOOKUP(J413,LUTs!$A$1:$C$73,2,FALSE),"NA")</f>
        <v>Whatcom</v>
      </c>
      <c r="L413" t="str">
        <f>IFERROR(VLOOKUP(J413,LUTs!$A$1:$C$73,3,FALSE),"NA")</f>
        <v>1North Puget Sound</v>
      </c>
      <c r="M413" s="72" t="s">
        <v>16</v>
      </c>
      <c r="N413" t="str">
        <f>VLOOKUP(M413,LUTs!E$2:H$14,3,)</f>
        <v>03Snohomish</v>
      </c>
      <c r="O413" t="str">
        <f>VLOOKUP(M413,LUTs!E$2:H$14,4,)</f>
        <v>01North Puget Sound</v>
      </c>
      <c r="P413" s="80">
        <v>0</v>
      </c>
      <c r="Q413" s="102">
        <v>0</v>
      </c>
      <c r="R413" s="74">
        <f>VLOOKUP(B413,Readme!A$40:C$52,3,)*Q413</f>
        <v>0</v>
      </c>
    </row>
    <row r="414" spans="1:18" ht="12" customHeight="1" x14ac:dyDescent="0.35">
      <c r="A414" s="75">
        <v>365</v>
      </c>
      <c r="B414" s="80">
        <v>2011</v>
      </c>
      <c r="C414" s="80">
        <v>8</v>
      </c>
      <c r="D414" s="80">
        <f t="shared" si="24"/>
        <v>2011</v>
      </c>
      <c r="E414" t="s">
        <v>38</v>
      </c>
      <c r="F414" t="s">
        <v>143</v>
      </c>
      <c r="G414" t="s">
        <v>86</v>
      </c>
      <c r="H414" s="72" t="s">
        <v>203</v>
      </c>
      <c r="I414" s="72" t="s">
        <v>89</v>
      </c>
      <c r="J414" s="84" t="s">
        <v>45</v>
      </c>
      <c r="K414" t="str">
        <f>IFERROR(VLOOKUP(J414,LUTs!$A$1:$C$73,2,FALSE),"NA")</f>
        <v>King</v>
      </c>
      <c r="L414" t="str">
        <f>IFERROR(VLOOKUP(J414,LUTs!$A$1:$C$73,3,FALSE),"NA")</f>
        <v>3South Puget Sound</v>
      </c>
      <c r="M414" s="72" t="s">
        <v>18</v>
      </c>
      <c r="N414" t="str">
        <f>VLOOKUP(M414,LUTs!E$2:H$14,3,)</f>
        <v>06King</v>
      </c>
      <c r="O414" t="str">
        <f>VLOOKUP(M414,LUTs!E$2:H$14,4,)</f>
        <v>02South Puget Sound</v>
      </c>
      <c r="P414" s="80">
        <v>28.285714285714299</v>
      </c>
      <c r="Q414" s="102">
        <v>28.285714285714299</v>
      </c>
      <c r="R414" s="74">
        <f>VLOOKUP(B414,Readme!A$40:C$52,3,)*Q414</f>
        <v>524.70000000000027</v>
      </c>
    </row>
    <row r="415" spans="1:18" ht="12" customHeight="1" x14ac:dyDescent="0.35">
      <c r="A415" s="75">
        <v>366</v>
      </c>
      <c r="B415" s="80">
        <v>2011</v>
      </c>
      <c r="C415" s="80">
        <v>8</v>
      </c>
      <c r="D415" s="80">
        <f t="shared" si="24"/>
        <v>2011</v>
      </c>
      <c r="E415" t="s">
        <v>38</v>
      </c>
      <c r="F415" t="s">
        <v>143</v>
      </c>
      <c r="G415" t="s">
        <v>86</v>
      </c>
      <c r="H415" s="72" t="s">
        <v>203</v>
      </c>
      <c r="I415" s="72" t="s">
        <v>89</v>
      </c>
      <c r="J415" s="84" t="s">
        <v>45</v>
      </c>
      <c r="K415" t="str">
        <f>IFERROR(VLOOKUP(J415,LUTs!$A$1:$C$73,2,FALSE),"NA")</f>
        <v>King</v>
      </c>
      <c r="L415" t="str">
        <f>IFERROR(VLOOKUP(J415,LUTs!$A$1:$C$73,3,FALSE),"NA")</f>
        <v>3South Puget Sound</v>
      </c>
      <c r="M415" s="72" t="s">
        <v>26</v>
      </c>
      <c r="N415" t="str">
        <f>VLOOKUP(M415,LUTs!E$2:H$14,3,)</f>
        <v>20Other</v>
      </c>
      <c r="O415" t="str">
        <f>VLOOKUP(M415,LUTs!E$2:H$14,4,)</f>
        <v>07Non Puget Sound</v>
      </c>
      <c r="P415" s="80">
        <v>3.1428571428571401</v>
      </c>
      <c r="Q415" s="102">
        <v>3.1428571428571401</v>
      </c>
      <c r="R415" s="74">
        <f>VLOOKUP(B415,Readme!A$40:C$52,3,)*Q415</f>
        <v>58.299999999999955</v>
      </c>
    </row>
    <row r="416" spans="1:18" ht="12" customHeight="1" x14ac:dyDescent="0.35">
      <c r="A416" s="75">
        <v>367</v>
      </c>
      <c r="B416" s="80">
        <v>2011</v>
      </c>
      <c r="C416" s="80">
        <v>8</v>
      </c>
      <c r="D416" s="80">
        <f t="shared" si="24"/>
        <v>2011</v>
      </c>
      <c r="E416" t="s">
        <v>38</v>
      </c>
      <c r="F416" t="s">
        <v>143</v>
      </c>
      <c r="G416" t="s">
        <v>86</v>
      </c>
      <c r="H416" s="72" t="s">
        <v>203</v>
      </c>
      <c r="I416" s="72" t="s">
        <v>89</v>
      </c>
      <c r="J416" s="84" t="s">
        <v>45</v>
      </c>
      <c r="K416" t="str">
        <f>IFERROR(VLOOKUP(J416,LUTs!$A$1:$C$73,2,FALSE),"NA")</f>
        <v>King</v>
      </c>
      <c r="L416" t="str">
        <f>IFERROR(VLOOKUP(J416,LUTs!$A$1:$C$73,3,FALSE),"NA")</f>
        <v>3South Puget Sound</v>
      </c>
      <c r="M416" s="72" t="s">
        <v>20</v>
      </c>
      <c r="N416" t="str">
        <f>VLOOKUP(M416,LUTs!E$2:H$14,3,)</f>
        <v>07Pierce</v>
      </c>
      <c r="O416" t="str">
        <f>VLOOKUP(M416,LUTs!E$2:H$14,4,)</f>
        <v>02South Puget Sound</v>
      </c>
      <c r="P416" s="80">
        <v>28.285714285714299</v>
      </c>
      <c r="Q416" s="102">
        <v>28.285714285714299</v>
      </c>
      <c r="R416" s="74">
        <f>VLOOKUP(B416,Readme!A$40:C$52,3,)*Q416</f>
        <v>524.70000000000027</v>
      </c>
    </row>
    <row r="417" spans="1:18" ht="12" customHeight="1" x14ac:dyDescent="0.35">
      <c r="A417" s="75">
        <v>368</v>
      </c>
      <c r="B417" s="80">
        <v>2011</v>
      </c>
      <c r="C417" s="80">
        <v>8</v>
      </c>
      <c r="D417" s="80">
        <f t="shared" si="24"/>
        <v>2011</v>
      </c>
      <c r="E417" t="s">
        <v>38</v>
      </c>
      <c r="F417" t="s">
        <v>143</v>
      </c>
      <c r="G417" t="s">
        <v>86</v>
      </c>
      <c r="H417" s="72" t="s">
        <v>203</v>
      </c>
      <c r="I417" s="72" t="s">
        <v>89</v>
      </c>
      <c r="J417" s="84" t="s">
        <v>45</v>
      </c>
      <c r="K417" t="str">
        <f>IFERROR(VLOOKUP(J417,LUTs!$A$1:$C$73,2,FALSE),"NA")</f>
        <v>King</v>
      </c>
      <c r="L417" t="str">
        <f>IFERROR(VLOOKUP(J417,LUTs!$A$1:$C$73,3,FALSE),"NA")</f>
        <v>3South Puget Sound</v>
      </c>
      <c r="M417" s="72" t="s">
        <v>16</v>
      </c>
      <c r="N417" t="str">
        <f>VLOOKUP(M417,LUTs!E$2:H$14,3,)</f>
        <v>03Snohomish</v>
      </c>
      <c r="O417" t="str">
        <f>VLOOKUP(M417,LUTs!E$2:H$14,4,)</f>
        <v>01North Puget Sound</v>
      </c>
      <c r="P417" s="80">
        <v>6.28571428571429</v>
      </c>
      <c r="Q417" s="102">
        <v>6.28571428571429</v>
      </c>
      <c r="R417" s="74">
        <f>VLOOKUP(B417,Readme!A$40:C$52,3,)*Q417</f>
        <v>116.60000000000008</v>
      </c>
    </row>
    <row r="418" spans="1:18" ht="12" customHeight="1" x14ac:dyDescent="0.35">
      <c r="A418" s="75">
        <v>399</v>
      </c>
      <c r="B418" s="80">
        <v>2011</v>
      </c>
      <c r="C418" s="80">
        <v>8</v>
      </c>
      <c r="D418" s="80">
        <f t="shared" si="24"/>
        <v>2011</v>
      </c>
      <c r="E418" t="s">
        <v>38</v>
      </c>
      <c r="F418" t="s">
        <v>143</v>
      </c>
      <c r="G418" t="s">
        <v>86</v>
      </c>
      <c r="H418" s="72" t="s">
        <v>237</v>
      </c>
      <c r="I418" s="72" t="s">
        <v>79</v>
      </c>
      <c r="J418" t="str">
        <f t="shared" ref="J418:J428" si="25">I418</f>
        <v>Lyre River</v>
      </c>
      <c r="K418" t="str">
        <f>IFERROR(VLOOKUP(J418,LUTs!$A$1:$C$73,2,FALSE),"NA")</f>
        <v>Clallam</v>
      </c>
      <c r="L418" t="str">
        <f>IFERROR(VLOOKUP(J418,LUTs!$A$1:$C$73,3,FALSE),"NA")</f>
        <v>0Strait of Juan de Fuca</v>
      </c>
      <c r="M418" s="72" t="s">
        <v>24</v>
      </c>
      <c r="N418" t="str">
        <f>VLOOKUP(M418,LUTs!E$2:H$14,3,)</f>
        <v>11Clallam</v>
      </c>
      <c r="O418" t="str">
        <f>VLOOKUP(M418,LUTs!E$2:H$14,4,)</f>
        <v>03Strait of Juan de Fuca</v>
      </c>
      <c r="P418" s="80">
        <v>42</v>
      </c>
      <c r="Q418" s="102">
        <v>42</v>
      </c>
      <c r="R418" s="74">
        <f>VLOOKUP(B418,Readme!A$40:C$52,3,)*Q418</f>
        <v>779.1</v>
      </c>
    </row>
    <row r="419" spans="1:18" ht="12" customHeight="1" x14ac:dyDescent="0.35">
      <c r="A419" s="75">
        <v>400</v>
      </c>
      <c r="B419" s="80">
        <v>2011</v>
      </c>
      <c r="C419" s="80">
        <v>8</v>
      </c>
      <c r="D419" s="80">
        <f t="shared" si="24"/>
        <v>2011</v>
      </c>
      <c r="E419" t="s">
        <v>38</v>
      </c>
      <c r="F419" t="s">
        <v>143</v>
      </c>
      <c r="G419" t="s">
        <v>86</v>
      </c>
      <c r="H419" s="72" t="s">
        <v>237</v>
      </c>
      <c r="I419" s="72" t="s">
        <v>79</v>
      </c>
      <c r="J419" t="str">
        <f t="shared" si="25"/>
        <v>Lyre River</v>
      </c>
      <c r="K419" t="str">
        <f>IFERROR(VLOOKUP(J419,LUTs!$A$1:$C$73,2,FALSE),"NA")</f>
        <v>Clallam</v>
      </c>
      <c r="L419" t="str">
        <f>IFERROR(VLOOKUP(J419,LUTs!$A$1:$C$73,3,FALSE),"NA")</f>
        <v>0Strait of Juan de Fuca</v>
      </c>
      <c r="M419" s="72" t="s">
        <v>17</v>
      </c>
      <c r="N419" t="str">
        <f>VLOOKUP(M419,LUTs!E$2:H$14,3,)</f>
        <v>04Island</v>
      </c>
      <c r="O419" t="str">
        <f>VLOOKUP(M419,LUTs!E$2:H$14,4,)</f>
        <v>01North Puget Sound</v>
      </c>
      <c r="P419" s="80">
        <v>6</v>
      </c>
      <c r="Q419" s="102">
        <v>6</v>
      </c>
      <c r="R419" s="74">
        <f>VLOOKUP(B419,Readme!A$40:C$52,3,)*Q419</f>
        <v>111.30000000000001</v>
      </c>
    </row>
    <row r="420" spans="1:18" ht="12" customHeight="1" x14ac:dyDescent="0.35">
      <c r="A420" s="75">
        <v>422</v>
      </c>
      <c r="B420" s="80">
        <v>2011</v>
      </c>
      <c r="C420" s="80">
        <v>8</v>
      </c>
      <c r="D420" s="80">
        <f t="shared" si="24"/>
        <v>2011</v>
      </c>
      <c r="E420" t="s">
        <v>38</v>
      </c>
      <c r="F420" t="s">
        <v>143</v>
      </c>
      <c r="G420" t="s">
        <v>86</v>
      </c>
      <c r="H420" s="72" t="s">
        <v>209</v>
      </c>
      <c r="I420" s="72" t="s">
        <v>51</v>
      </c>
      <c r="J420" t="str">
        <f t="shared" si="25"/>
        <v>Nisqually River</v>
      </c>
      <c r="K420" t="str">
        <f>IFERROR(VLOOKUP(J420,LUTs!$A$1:$C$73,2,FALSE),"NA")</f>
        <v>Thurston/Pierce</v>
      </c>
      <c r="L420" t="str">
        <f>IFERROR(VLOOKUP(J420,LUTs!$A$1:$C$73,3,FALSE),"NA")</f>
        <v>3South Puget Sound</v>
      </c>
      <c r="M420" s="72" t="s">
        <v>20</v>
      </c>
      <c r="N420" t="str">
        <f>VLOOKUP(M420,LUTs!E$2:H$14,3,)</f>
        <v>07Pierce</v>
      </c>
      <c r="O420" t="str">
        <f>VLOOKUP(M420,LUTs!E$2:H$14,4,)</f>
        <v>02South Puget Sound</v>
      </c>
      <c r="P420" s="80">
        <v>0</v>
      </c>
      <c r="Q420" s="102">
        <v>0</v>
      </c>
      <c r="R420" s="74">
        <f>VLOOKUP(B420,Readme!A$40:C$52,3,)*Q420</f>
        <v>0</v>
      </c>
    </row>
    <row r="421" spans="1:18" ht="12" customHeight="1" x14ac:dyDescent="0.35">
      <c r="A421" s="75">
        <v>442</v>
      </c>
      <c r="B421" s="80">
        <v>2011</v>
      </c>
      <c r="C421" s="80">
        <v>8</v>
      </c>
      <c r="D421" s="80">
        <f t="shared" si="24"/>
        <v>2011</v>
      </c>
      <c r="E421" t="s">
        <v>38</v>
      </c>
      <c r="F421" t="s">
        <v>143</v>
      </c>
      <c r="G421" t="s">
        <v>86</v>
      </c>
      <c r="H421" s="72" t="s">
        <v>212</v>
      </c>
      <c r="I421" s="72" t="s">
        <v>54</v>
      </c>
      <c r="J421" t="str">
        <f t="shared" si="25"/>
        <v>Puyallup River</v>
      </c>
      <c r="K421" t="str">
        <f>IFERROR(VLOOKUP(J421,LUTs!$A$1:$C$73,2,FALSE),"NA")</f>
        <v>Pierce</v>
      </c>
      <c r="L421" t="str">
        <f>IFERROR(VLOOKUP(J421,LUTs!$A$1:$C$73,3,FALSE),"NA")</f>
        <v>3South Puget Sound</v>
      </c>
      <c r="M421" s="72" t="s">
        <v>18</v>
      </c>
      <c r="N421" t="str">
        <f>VLOOKUP(M421,LUTs!E$2:H$14,3,)</f>
        <v>06King</v>
      </c>
      <c r="O421" t="str">
        <f>VLOOKUP(M421,LUTs!E$2:H$14,4,)</f>
        <v>02South Puget Sound</v>
      </c>
      <c r="P421" s="80">
        <v>0</v>
      </c>
      <c r="Q421" s="102">
        <v>0</v>
      </c>
      <c r="R421" s="74">
        <f>VLOOKUP(B421,Readme!A$40:C$52,3,)*Q421</f>
        <v>0</v>
      </c>
    </row>
    <row r="422" spans="1:18" ht="12" customHeight="1" x14ac:dyDescent="0.35">
      <c r="A422" s="75">
        <v>443</v>
      </c>
      <c r="B422" s="80">
        <v>2011</v>
      </c>
      <c r="C422" s="80">
        <v>8</v>
      </c>
      <c r="D422" s="80">
        <f t="shared" si="24"/>
        <v>2011</v>
      </c>
      <c r="E422" t="s">
        <v>38</v>
      </c>
      <c r="F422" t="s">
        <v>143</v>
      </c>
      <c r="G422" t="s">
        <v>86</v>
      </c>
      <c r="H422" s="72" t="s">
        <v>212</v>
      </c>
      <c r="I422" s="72" t="s">
        <v>54</v>
      </c>
      <c r="J422" t="str">
        <f t="shared" si="25"/>
        <v>Puyallup River</v>
      </c>
      <c r="K422" t="str">
        <f>IFERROR(VLOOKUP(J422,LUTs!$A$1:$C$73,2,FALSE),"NA")</f>
        <v>Pierce</v>
      </c>
      <c r="L422" t="str">
        <f>IFERROR(VLOOKUP(J422,LUTs!$A$1:$C$73,3,FALSE),"NA")</f>
        <v>3South Puget Sound</v>
      </c>
      <c r="M422" s="72" t="s">
        <v>20</v>
      </c>
      <c r="N422" t="str">
        <f>VLOOKUP(M422,LUTs!E$2:H$14,3,)</f>
        <v>07Pierce</v>
      </c>
      <c r="O422" t="str">
        <f>VLOOKUP(M422,LUTs!E$2:H$14,4,)</f>
        <v>02South Puget Sound</v>
      </c>
      <c r="P422" s="80">
        <v>8</v>
      </c>
      <c r="Q422" s="102">
        <v>8</v>
      </c>
      <c r="R422" s="74">
        <f>VLOOKUP(B422,Readme!A$40:C$52,3,)*Q422</f>
        <v>148.4</v>
      </c>
    </row>
    <row r="423" spans="1:18" ht="12" customHeight="1" x14ac:dyDescent="0.35">
      <c r="A423" s="75">
        <v>462</v>
      </c>
      <c r="B423" s="80">
        <v>2011</v>
      </c>
      <c r="C423" s="80">
        <v>8</v>
      </c>
      <c r="D423" s="80">
        <f t="shared" si="24"/>
        <v>2011</v>
      </c>
      <c r="E423" t="s">
        <v>38</v>
      </c>
      <c r="F423" t="s">
        <v>143</v>
      </c>
      <c r="G423" t="s">
        <v>86</v>
      </c>
      <c r="H423" s="72" t="s">
        <v>214</v>
      </c>
      <c r="I423" s="72" t="s">
        <v>56</v>
      </c>
      <c r="J423" t="str">
        <f t="shared" si="25"/>
        <v>Samish River</v>
      </c>
      <c r="K423" t="str">
        <f>IFERROR(VLOOKUP(J423,LUTs!$A$1:$C$73,2,FALSE),"NA")</f>
        <v>Skagit</v>
      </c>
      <c r="L423" t="str">
        <f>IFERROR(VLOOKUP(J423,LUTs!$A$1:$C$73,3,FALSE),"NA")</f>
        <v>1North Puget Sound</v>
      </c>
      <c r="M423" s="72" t="s">
        <v>20</v>
      </c>
      <c r="N423" t="str">
        <f>VLOOKUP(M423,LUTs!E$2:H$14,3,)</f>
        <v>07Pierce</v>
      </c>
      <c r="O423" t="str">
        <f>VLOOKUP(M423,LUTs!E$2:H$14,4,)</f>
        <v>02South Puget Sound</v>
      </c>
      <c r="P423" s="80">
        <v>0</v>
      </c>
      <c r="Q423" s="102">
        <v>0</v>
      </c>
      <c r="R423" s="74">
        <f>VLOOKUP(B423,Readme!A$40:C$52,3,)*Q423</f>
        <v>0</v>
      </c>
    </row>
    <row r="424" spans="1:18" ht="12" customHeight="1" x14ac:dyDescent="0.35">
      <c r="A424" s="75">
        <v>500</v>
      </c>
      <c r="B424" s="80">
        <v>2011</v>
      </c>
      <c r="C424" s="80">
        <v>8</v>
      </c>
      <c r="D424" s="80">
        <f t="shared" si="24"/>
        <v>2011</v>
      </c>
      <c r="E424" t="s">
        <v>38</v>
      </c>
      <c r="F424" t="s">
        <v>143</v>
      </c>
      <c r="G424" t="s">
        <v>86</v>
      </c>
      <c r="H424" s="72" t="s">
        <v>218</v>
      </c>
      <c r="I424" s="72" t="s">
        <v>60</v>
      </c>
      <c r="J424" t="str">
        <f t="shared" si="25"/>
        <v>Skagit River</v>
      </c>
      <c r="K424" t="str">
        <f>IFERROR(VLOOKUP(J424,LUTs!$A$1:$C$73,2,FALSE),"NA")</f>
        <v>Skagit/Whatcom</v>
      </c>
      <c r="L424" t="str">
        <f>IFERROR(VLOOKUP(J424,LUTs!$A$1:$C$73,3,FALSE),"NA")</f>
        <v>2Central Puget Sound</v>
      </c>
      <c r="M424" s="72" t="s">
        <v>18</v>
      </c>
      <c r="N424" t="str">
        <f>VLOOKUP(M424,LUTs!E$2:H$14,3,)</f>
        <v>06King</v>
      </c>
      <c r="O424" t="str">
        <f>VLOOKUP(M424,LUTs!E$2:H$14,4,)</f>
        <v>02South Puget Sound</v>
      </c>
      <c r="P424" s="80">
        <v>0</v>
      </c>
      <c r="Q424" s="102">
        <v>0</v>
      </c>
      <c r="R424" s="74">
        <f>VLOOKUP(B424,Readme!A$40:C$52,3,)*Q424</f>
        <v>0</v>
      </c>
    </row>
    <row r="425" spans="1:18" ht="12" customHeight="1" x14ac:dyDescent="0.35">
      <c r="A425" s="75">
        <v>501</v>
      </c>
      <c r="B425" s="80">
        <v>2011</v>
      </c>
      <c r="C425" s="80">
        <v>8</v>
      </c>
      <c r="D425" s="80">
        <f t="shared" si="24"/>
        <v>2011</v>
      </c>
      <c r="E425" t="s">
        <v>38</v>
      </c>
      <c r="F425" t="s">
        <v>143</v>
      </c>
      <c r="G425" t="s">
        <v>86</v>
      </c>
      <c r="H425" s="72" t="s">
        <v>218</v>
      </c>
      <c r="I425" s="72" t="s">
        <v>60</v>
      </c>
      <c r="J425" t="str">
        <f t="shared" si="25"/>
        <v>Skagit River</v>
      </c>
      <c r="K425" t="str">
        <f>IFERROR(VLOOKUP(J425,LUTs!$A$1:$C$73,2,FALSE),"NA")</f>
        <v>Skagit/Whatcom</v>
      </c>
      <c r="L425" t="str">
        <f>IFERROR(VLOOKUP(J425,LUTs!$A$1:$C$73,3,FALSE),"NA")</f>
        <v>2Central Puget Sound</v>
      </c>
      <c r="M425" s="72" t="s">
        <v>26</v>
      </c>
      <c r="N425" t="str">
        <f>VLOOKUP(M425,LUTs!E$2:H$14,3,)</f>
        <v>20Other</v>
      </c>
      <c r="O425" t="str">
        <f>VLOOKUP(M425,LUTs!E$2:H$14,4,)</f>
        <v>07Non Puget Sound</v>
      </c>
      <c r="P425" s="80">
        <v>3.5714285714285698</v>
      </c>
      <c r="Q425" s="102">
        <v>3.5714285714285698</v>
      </c>
      <c r="R425" s="74">
        <f>VLOOKUP(B425,Readme!A$40:C$52,3,)*Q425</f>
        <v>66.249999999999972</v>
      </c>
    </row>
    <row r="426" spans="1:18" ht="12" customHeight="1" x14ac:dyDescent="0.35">
      <c r="A426" s="75">
        <v>502</v>
      </c>
      <c r="B426" s="80">
        <v>2011</v>
      </c>
      <c r="C426" s="80">
        <v>8</v>
      </c>
      <c r="D426" s="80">
        <f t="shared" si="24"/>
        <v>2011</v>
      </c>
      <c r="E426" t="s">
        <v>38</v>
      </c>
      <c r="F426" t="s">
        <v>143</v>
      </c>
      <c r="G426" t="s">
        <v>86</v>
      </c>
      <c r="H426" s="72" t="s">
        <v>218</v>
      </c>
      <c r="I426" s="72" t="s">
        <v>60</v>
      </c>
      <c r="J426" t="str">
        <f t="shared" si="25"/>
        <v>Skagit River</v>
      </c>
      <c r="K426" t="str">
        <f>IFERROR(VLOOKUP(J426,LUTs!$A$1:$C$73,2,FALSE),"NA")</f>
        <v>Skagit/Whatcom</v>
      </c>
      <c r="L426" t="str">
        <f>IFERROR(VLOOKUP(J426,LUTs!$A$1:$C$73,3,FALSE),"NA")</f>
        <v>2Central Puget Sound</v>
      </c>
      <c r="M426" s="72" t="s">
        <v>15</v>
      </c>
      <c r="N426" t="str">
        <f>VLOOKUP(M426,LUTs!E$2:H$14,3,)</f>
        <v>02Skagit</v>
      </c>
      <c r="O426" t="str">
        <f>VLOOKUP(M426,LUTs!E$2:H$14,4,)</f>
        <v>01North Puget Sound</v>
      </c>
      <c r="P426" s="80">
        <v>21.428571428571399</v>
      </c>
      <c r="Q426" s="102">
        <v>21.428571428571399</v>
      </c>
      <c r="R426" s="74">
        <f>VLOOKUP(B426,Readme!A$40:C$52,3,)*Q426</f>
        <v>397.49999999999943</v>
      </c>
    </row>
    <row r="427" spans="1:18" ht="12" customHeight="1" x14ac:dyDescent="0.35">
      <c r="A427" s="75">
        <v>503</v>
      </c>
      <c r="B427" s="80">
        <v>2011</v>
      </c>
      <c r="C427" s="80">
        <v>8</v>
      </c>
      <c r="D427" s="80">
        <f t="shared" si="24"/>
        <v>2011</v>
      </c>
      <c r="E427" t="s">
        <v>38</v>
      </c>
      <c r="F427" t="s">
        <v>143</v>
      </c>
      <c r="G427" t="s">
        <v>86</v>
      </c>
      <c r="H427" s="72" t="s">
        <v>218</v>
      </c>
      <c r="I427" s="72" t="s">
        <v>60</v>
      </c>
      <c r="J427" t="str">
        <f t="shared" si="25"/>
        <v>Skagit River</v>
      </c>
      <c r="K427" t="str">
        <f>IFERROR(VLOOKUP(J427,LUTs!$A$1:$C$73,2,FALSE),"NA")</f>
        <v>Skagit/Whatcom</v>
      </c>
      <c r="L427" t="str">
        <f>IFERROR(VLOOKUP(J427,LUTs!$A$1:$C$73,3,FALSE),"NA")</f>
        <v>2Central Puget Sound</v>
      </c>
      <c r="M427" s="72" t="s">
        <v>16</v>
      </c>
      <c r="N427" t="str">
        <f>VLOOKUP(M427,LUTs!E$2:H$14,3,)</f>
        <v>03Snohomish</v>
      </c>
      <c r="O427" t="str">
        <f>VLOOKUP(M427,LUTs!E$2:H$14,4,)</f>
        <v>01North Puget Sound</v>
      </c>
      <c r="P427" s="80">
        <v>0</v>
      </c>
      <c r="Q427" s="102">
        <v>0</v>
      </c>
      <c r="R427" s="74">
        <f>VLOOKUP(B427,Readme!A$40:C$52,3,)*Q427</f>
        <v>0</v>
      </c>
    </row>
    <row r="428" spans="1:18" ht="12" customHeight="1" x14ac:dyDescent="0.35">
      <c r="A428" s="75">
        <v>504</v>
      </c>
      <c r="B428" s="80">
        <v>2011</v>
      </c>
      <c r="C428" s="80">
        <v>8</v>
      </c>
      <c r="D428" s="80">
        <f t="shared" si="24"/>
        <v>2011</v>
      </c>
      <c r="E428" t="s">
        <v>38</v>
      </c>
      <c r="F428" t="s">
        <v>143</v>
      </c>
      <c r="G428" t="s">
        <v>86</v>
      </c>
      <c r="H428" s="72" t="s">
        <v>218</v>
      </c>
      <c r="I428" s="72" t="s">
        <v>60</v>
      </c>
      <c r="J428" t="str">
        <f t="shared" si="25"/>
        <v>Skagit River</v>
      </c>
      <c r="K428" t="str">
        <f>IFERROR(VLOOKUP(J428,LUTs!$A$1:$C$73,2,FALSE),"NA")</f>
        <v>Skagit/Whatcom</v>
      </c>
      <c r="L428" t="str">
        <f>IFERROR(VLOOKUP(J428,LUTs!$A$1:$C$73,3,FALSE),"NA")</f>
        <v>2Central Puget Sound</v>
      </c>
      <c r="M428" s="72" t="s">
        <v>13</v>
      </c>
      <c r="N428" t="str">
        <f>VLOOKUP(M428,LUTs!E$2:H$14,3,)</f>
        <v>01Whatcom</v>
      </c>
      <c r="O428" t="str">
        <f>VLOOKUP(M428,LUTs!E$2:H$14,4,)</f>
        <v>01North Puget Sound</v>
      </c>
      <c r="P428" s="80">
        <v>0</v>
      </c>
      <c r="Q428" s="102">
        <v>0</v>
      </c>
      <c r="R428" s="74">
        <f>VLOOKUP(B428,Readme!A$40:C$52,3,)*Q428</f>
        <v>0</v>
      </c>
    </row>
    <row r="429" spans="1:18" ht="12" customHeight="1" x14ac:dyDescent="0.35">
      <c r="A429" s="75">
        <v>522</v>
      </c>
      <c r="B429" s="80">
        <v>2011</v>
      </c>
      <c r="C429" s="80">
        <v>8</v>
      </c>
      <c r="D429" s="80">
        <f t="shared" si="24"/>
        <v>2011</v>
      </c>
      <c r="E429" t="s">
        <v>38</v>
      </c>
      <c r="F429" t="s">
        <v>143</v>
      </c>
      <c r="G429" t="s">
        <v>86</v>
      </c>
      <c r="H429" s="72" t="s">
        <v>219</v>
      </c>
      <c r="I429" s="72" t="s">
        <v>259</v>
      </c>
      <c r="J429" s="84" t="s">
        <v>61</v>
      </c>
      <c r="K429" t="str">
        <f>IFERROR(VLOOKUP(J429,LUTs!$A$1:$C$73,2,FALSE),"NA")</f>
        <v>Mason</v>
      </c>
      <c r="L429" t="str">
        <f>IFERROR(VLOOKUP(J429,LUTs!$A$1:$C$73,3,FALSE),"NA")</f>
        <v>4 Hood Canal</v>
      </c>
      <c r="M429" s="72" t="s">
        <v>18</v>
      </c>
      <c r="N429" t="str">
        <f>VLOOKUP(M429,LUTs!E$2:H$14,3,)</f>
        <v>06King</v>
      </c>
      <c r="O429" t="str">
        <f>VLOOKUP(M429,LUTs!E$2:H$14,4,)</f>
        <v>02South Puget Sound</v>
      </c>
      <c r="P429" s="80">
        <v>0</v>
      </c>
      <c r="Q429" s="102">
        <v>0</v>
      </c>
      <c r="R429" s="74">
        <f>VLOOKUP(B429,Readme!A$40:C$52,3,)*Q429</f>
        <v>0</v>
      </c>
    </row>
    <row r="430" spans="1:18" ht="12" customHeight="1" x14ac:dyDescent="0.35">
      <c r="A430" s="75">
        <v>523</v>
      </c>
      <c r="B430" s="80">
        <v>2011</v>
      </c>
      <c r="C430" s="80">
        <v>8</v>
      </c>
      <c r="D430" s="80">
        <f t="shared" si="24"/>
        <v>2011</v>
      </c>
      <c r="E430" t="s">
        <v>38</v>
      </c>
      <c r="F430" t="s">
        <v>143</v>
      </c>
      <c r="G430" t="s">
        <v>86</v>
      </c>
      <c r="H430" s="72" t="s">
        <v>219</v>
      </c>
      <c r="I430" s="72" t="s">
        <v>259</v>
      </c>
      <c r="J430" s="84" t="s">
        <v>61</v>
      </c>
      <c r="K430" t="str">
        <f>IFERROR(VLOOKUP(J430,LUTs!$A$1:$C$73,2,FALSE),"NA")</f>
        <v>Mason</v>
      </c>
      <c r="L430" t="str">
        <f>IFERROR(VLOOKUP(J430,LUTs!$A$1:$C$73,3,FALSE),"NA")</f>
        <v>4 Hood Canal</v>
      </c>
      <c r="M430" s="72" t="s">
        <v>23</v>
      </c>
      <c r="N430" t="str">
        <f>VLOOKUP(M430,LUTs!E$2:H$14,3,)</f>
        <v>10Kitsap</v>
      </c>
      <c r="O430" t="str">
        <f>VLOOKUP(M430,LUTs!E$2:H$14,4,)</f>
        <v>02South Puget Sound</v>
      </c>
      <c r="P430" s="80">
        <v>0</v>
      </c>
      <c r="Q430" s="102">
        <v>0</v>
      </c>
      <c r="R430" s="74">
        <f>VLOOKUP(B430,Readme!A$40:C$52,3,)*Q430</f>
        <v>0</v>
      </c>
    </row>
    <row r="431" spans="1:18" ht="12" customHeight="1" x14ac:dyDescent="0.35">
      <c r="A431" s="75">
        <v>524</v>
      </c>
      <c r="B431" s="80">
        <v>2011</v>
      </c>
      <c r="C431" s="80">
        <v>8</v>
      </c>
      <c r="D431" s="80">
        <f t="shared" si="24"/>
        <v>2011</v>
      </c>
      <c r="E431" t="s">
        <v>38</v>
      </c>
      <c r="F431" t="s">
        <v>143</v>
      </c>
      <c r="G431" t="s">
        <v>86</v>
      </c>
      <c r="H431" s="72" t="s">
        <v>219</v>
      </c>
      <c r="I431" s="72" t="s">
        <v>259</v>
      </c>
      <c r="J431" s="84" t="s">
        <v>61</v>
      </c>
      <c r="K431" t="str">
        <f>IFERROR(VLOOKUP(J431,LUTs!$A$1:$C$73,2,FALSE),"NA")</f>
        <v>Mason</v>
      </c>
      <c r="L431" t="str">
        <f>IFERROR(VLOOKUP(J431,LUTs!$A$1:$C$73,3,FALSE),"NA")</f>
        <v>4 Hood Canal</v>
      </c>
      <c r="M431" s="72" t="s">
        <v>22</v>
      </c>
      <c r="N431" t="str">
        <f>VLOOKUP(M431,LUTs!E$2:H$14,3,)</f>
        <v>09Mason</v>
      </c>
      <c r="O431" t="str">
        <f>VLOOKUP(M431,LUTs!E$2:H$14,4,)</f>
        <v>02South Puget Sound</v>
      </c>
      <c r="P431" s="80">
        <v>0</v>
      </c>
      <c r="Q431" s="102">
        <v>0</v>
      </c>
      <c r="R431" s="74">
        <f>VLOOKUP(B431,Readme!A$40:C$52,3,)*Q431</f>
        <v>0</v>
      </c>
    </row>
    <row r="432" spans="1:18" ht="12" customHeight="1" x14ac:dyDescent="0.35">
      <c r="A432" s="75">
        <v>525</v>
      </c>
      <c r="B432" s="80">
        <v>2011</v>
      </c>
      <c r="C432" s="80">
        <v>8</v>
      </c>
      <c r="D432" s="80">
        <f t="shared" si="24"/>
        <v>2011</v>
      </c>
      <c r="E432" t="s">
        <v>38</v>
      </c>
      <c r="F432" t="s">
        <v>143</v>
      </c>
      <c r="G432" t="s">
        <v>86</v>
      </c>
      <c r="H432" s="72" t="s">
        <v>219</v>
      </c>
      <c r="I432" s="72" t="s">
        <v>259</v>
      </c>
      <c r="J432" s="84" t="s">
        <v>61</v>
      </c>
      <c r="K432" t="str">
        <f>IFERROR(VLOOKUP(J432,LUTs!$A$1:$C$73,2,FALSE),"NA")</f>
        <v>Mason</v>
      </c>
      <c r="L432" t="str">
        <f>IFERROR(VLOOKUP(J432,LUTs!$A$1:$C$73,3,FALSE),"NA")</f>
        <v>4 Hood Canal</v>
      </c>
      <c r="M432" s="72" t="s">
        <v>26</v>
      </c>
      <c r="N432" t="str">
        <f>VLOOKUP(M432,LUTs!E$2:H$14,3,)</f>
        <v>20Other</v>
      </c>
      <c r="O432" t="str">
        <f>VLOOKUP(M432,LUTs!E$2:H$14,4,)</f>
        <v>07Non Puget Sound</v>
      </c>
      <c r="P432" s="80">
        <v>0</v>
      </c>
      <c r="Q432" s="102">
        <v>0</v>
      </c>
      <c r="R432" s="74">
        <f>VLOOKUP(B432,Readme!A$40:C$52,3,)*Q432</f>
        <v>0</v>
      </c>
    </row>
    <row r="433" spans="1:18" ht="12" customHeight="1" x14ac:dyDescent="0.35">
      <c r="A433" s="75">
        <v>526</v>
      </c>
      <c r="B433" s="80">
        <v>2011</v>
      </c>
      <c r="C433" s="80">
        <v>8</v>
      </c>
      <c r="D433" s="80">
        <f t="shared" si="24"/>
        <v>2011</v>
      </c>
      <c r="E433" t="s">
        <v>38</v>
      </c>
      <c r="F433" t="s">
        <v>143</v>
      </c>
      <c r="G433" t="s">
        <v>86</v>
      </c>
      <c r="H433" s="72" t="s">
        <v>219</v>
      </c>
      <c r="I433" s="72" t="s">
        <v>259</v>
      </c>
      <c r="J433" s="84" t="s">
        <v>61</v>
      </c>
      <c r="K433" t="str">
        <f>IFERROR(VLOOKUP(J433,LUTs!$A$1:$C$73,2,FALSE),"NA")</f>
        <v>Mason</v>
      </c>
      <c r="L433" t="str">
        <f>IFERROR(VLOOKUP(J433,LUTs!$A$1:$C$73,3,FALSE),"NA")</f>
        <v>4 Hood Canal</v>
      </c>
      <c r="M433" s="72" t="s">
        <v>20</v>
      </c>
      <c r="N433" t="str">
        <f>VLOOKUP(M433,LUTs!E$2:H$14,3,)</f>
        <v>07Pierce</v>
      </c>
      <c r="O433" t="str">
        <f>VLOOKUP(M433,LUTs!E$2:H$14,4,)</f>
        <v>02South Puget Sound</v>
      </c>
      <c r="P433" s="80">
        <v>0</v>
      </c>
      <c r="Q433" s="102">
        <v>0</v>
      </c>
      <c r="R433" s="74">
        <f>VLOOKUP(B433,Readme!A$40:C$52,3,)*Q433</f>
        <v>0</v>
      </c>
    </row>
    <row r="434" spans="1:18" ht="12" customHeight="1" x14ac:dyDescent="0.35">
      <c r="A434" s="75">
        <v>527</v>
      </c>
      <c r="B434" s="80">
        <v>2011</v>
      </c>
      <c r="C434" s="80">
        <v>8</v>
      </c>
      <c r="D434" s="80">
        <f t="shared" si="24"/>
        <v>2011</v>
      </c>
      <c r="E434" t="s">
        <v>38</v>
      </c>
      <c r="F434" t="s">
        <v>143</v>
      </c>
      <c r="G434" t="s">
        <v>86</v>
      </c>
      <c r="H434" s="72" t="s">
        <v>219</v>
      </c>
      <c r="I434" s="72" t="s">
        <v>259</v>
      </c>
      <c r="J434" s="84" t="s">
        <v>61</v>
      </c>
      <c r="K434" t="str">
        <f>IFERROR(VLOOKUP(J434,LUTs!$A$1:$C$73,2,FALSE),"NA")</f>
        <v>Mason</v>
      </c>
      <c r="L434" t="str">
        <f>IFERROR(VLOOKUP(J434,LUTs!$A$1:$C$73,3,FALSE),"NA")</f>
        <v>4 Hood Canal</v>
      </c>
      <c r="M434" s="72" t="s">
        <v>21</v>
      </c>
      <c r="N434" t="str">
        <f>VLOOKUP(M434,LUTs!E$2:H$14,3,)</f>
        <v>08Thurston</v>
      </c>
      <c r="O434" t="str">
        <f>VLOOKUP(M434,LUTs!E$2:H$14,4,)</f>
        <v>02South Puget Sound</v>
      </c>
      <c r="P434" s="80">
        <v>0</v>
      </c>
      <c r="Q434" s="102">
        <v>0</v>
      </c>
      <c r="R434" s="74">
        <f>VLOOKUP(B434,Readme!A$40:C$52,3,)*Q434</f>
        <v>0</v>
      </c>
    </row>
    <row r="435" spans="1:18" ht="12" customHeight="1" x14ac:dyDescent="0.35">
      <c r="A435" s="75">
        <v>552</v>
      </c>
      <c r="B435" s="80">
        <v>2011</v>
      </c>
      <c r="C435" s="80">
        <v>8</v>
      </c>
      <c r="D435" s="80">
        <f t="shared" si="24"/>
        <v>2011</v>
      </c>
      <c r="E435" t="s">
        <v>38</v>
      </c>
      <c r="F435" t="s">
        <v>143</v>
      </c>
      <c r="G435" t="s">
        <v>86</v>
      </c>
      <c r="H435" s="72" t="s">
        <v>220</v>
      </c>
      <c r="I435" s="72" t="s">
        <v>62</v>
      </c>
      <c r="J435" t="str">
        <f t="shared" ref="J435:J457" si="26">I435</f>
        <v>Skykomish River</v>
      </c>
      <c r="K435" t="str">
        <f>IFERROR(VLOOKUP(J435,LUTs!$A$1:$C$73,2,FALSE),"NA")</f>
        <v>Snohomish</v>
      </c>
      <c r="L435" t="str">
        <f>IFERROR(VLOOKUP(J435,LUTs!$A$1:$C$73,3,FALSE),"NA")</f>
        <v>2Central Puget Sound</v>
      </c>
      <c r="M435" s="72" t="s">
        <v>18</v>
      </c>
      <c r="N435" t="str">
        <f>VLOOKUP(M435,LUTs!E$2:H$14,3,)</f>
        <v>06King</v>
      </c>
      <c r="O435" t="str">
        <f>VLOOKUP(M435,LUTs!E$2:H$14,4,)</f>
        <v>02South Puget Sound</v>
      </c>
      <c r="P435" s="80">
        <v>166.15675675675701</v>
      </c>
      <c r="Q435" s="102">
        <v>166.15675675675701</v>
      </c>
      <c r="R435" s="74">
        <f>VLOOKUP(B435,Readme!A$40:C$52,3,)*Q435</f>
        <v>3082.2078378378424</v>
      </c>
    </row>
    <row r="436" spans="1:18" ht="12" customHeight="1" x14ac:dyDescent="0.35">
      <c r="A436" s="75">
        <v>553</v>
      </c>
      <c r="B436" s="80">
        <v>2011</v>
      </c>
      <c r="C436" s="80">
        <v>8</v>
      </c>
      <c r="D436" s="80">
        <f t="shared" si="24"/>
        <v>2011</v>
      </c>
      <c r="E436" t="s">
        <v>38</v>
      </c>
      <c r="F436" t="s">
        <v>143</v>
      </c>
      <c r="G436" t="s">
        <v>86</v>
      </c>
      <c r="H436" s="72" t="s">
        <v>220</v>
      </c>
      <c r="I436" s="72" t="s">
        <v>62</v>
      </c>
      <c r="J436" t="str">
        <f t="shared" si="26"/>
        <v>Skykomish River</v>
      </c>
      <c r="K436" t="str">
        <f>IFERROR(VLOOKUP(J436,LUTs!$A$1:$C$73,2,FALSE),"NA")</f>
        <v>Snohomish</v>
      </c>
      <c r="L436" t="str">
        <f>IFERROR(VLOOKUP(J436,LUTs!$A$1:$C$73,3,FALSE),"NA")</f>
        <v>2Central Puget Sound</v>
      </c>
      <c r="M436" s="72" t="s">
        <v>26</v>
      </c>
      <c r="N436" t="str">
        <f>VLOOKUP(M436,LUTs!E$2:H$14,3,)</f>
        <v>20Other</v>
      </c>
      <c r="O436" t="str">
        <f>VLOOKUP(M436,LUTs!E$2:H$14,4,)</f>
        <v>07Non Puget Sound</v>
      </c>
      <c r="P436" s="80">
        <v>50.691891891891899</v>
      </c>
      <c r="Q436" s="102">
        <v>50.691891891891899</v>
      </c>
      <c r="R436" s="74">
        <f>VLOOKUP(B436,Readme!A$40:C$52,3,)*Q436</f>
        <v>940.33459459459482</v>
      </c>
    </row>
    <row r="437" spans="1:18" ht="12" customHeight="1" x14ac:dyDescent="0.35">
      <c r="A437" s="75">
        <v>554</v>
      </c>
      <c r="B437" s="80">
        <v>2011</v>
      </c>
      <c r="C437" s="80">
        <v>8</v>
      </c>
      <c r="D437" s="80">
        <f t="shared" si="24"/>
        <v>2011</v>
      </c>
      <c r="E437" t="s">
        <v>38</v>
      </c>
      <c r="F437" t="s">
        <v>143</v>
      </c>
      <c r="G437" t="s">
        <v>86</v>
      </c>
      <c r="H437" s="72" t="s">
        <v>220</v>
      </c>
      <c r="I437" s="72" t="s">
        <v>62</v>
      </c>
      <c r="J437" t="str">
        <f t="shared" si="26"/>
        <v>Skykomish River</v>
      </c>
      <c r="K437" t="str">
        <f>IFERROR(VLOOKUP(J437,LUTs!$A$1:$C$73,2,FALSE),"NA")</f>
        <v>Snohomish</v>
      </c>
      <c r="L437" t="str">
        <f>IFERROR(VLOOKUP(J437,LUTs!$A$1:$C$73,3,FALSE),"NA")</f>
        <v>2Central Puget Sound</v>
      </c>
      <c r="M437" s="72" t="s">
        <v>15</v>
      </c>
      <c r="N437" t="str">
        <f>VLOOKUP(M437,LUTs!E$2:H$14,3,)</f>
        <v>02Skagit</v>
      </c>
      <c r="O437" t="str">
        <f>VLOOKUP(M437,LUTs!E$2:H$14,4,)</f>
        <v>01North Puget Sound</v>
      </c>
      <c r="P437" s="80">
        <v>2.8162162162162199</v>
      </c>
      <c r="Q437" s="102">
        <v>2.8162162162162199</v>
      </c>
      <c r="R437" s="74">
        <f>VLOOKUP(B437,Readme!A$40:C$52,3,)*Q437</f>
        <v>52.240810810810878</v>
      </c>
    </row>
    <row r="438" spans="1:18" ht="12" customHeight="1" x14ac:dyDescent="0.35">
      <c r="A438" s="75">
        <v>555</v>
      </c>
      <c r="B438" s="80">
        <v>2011</v>
      </c>
      <c r="C438" s="80">
        <v>8</v>
      </c>
      <c r="D438" s="80">
        <f t="shared" si="24"/>
        <v>2011</v>
      </c>
      <c r="E438" t="s">
        <v>38</v>
      </c>
      <c r="F438" t="s">
        <v>143</v>
      </c>
      <c r="G438" t="s">
        <v>86</v>
      </c>
      <c r="H438" s="72" t="s">
        <v>220</v>
      </c>
      <c r="I438" s="72" t="s">
        <v>62</v>
      </c>
      <c r="J438" t="str">
        <f t="shared" si="26"/>
        <v>Skykomish River</v>
      </c>
      <c r="K438" t="str">
        <f>IFERROR(VLOOKUP(J438,LUTs!$A$1:$C$73,2,FALSE),"NA")</f>
        <v>Snohomish</v>
      </c>
      <c r="L438" t="str">
        <f>IFERROR(VLOOKUP(J438,LUTs!$A$1:$C$73,3,FALSE),"NA")</f>
        <v>2Central Puget Sound</v>
      </c>
      <c r="M438" s="72" t="s">
        <v>16</v>
      </c>
      <c r="N438" t="str">
        <f>VLOOKUP(M438,LUTs!E$2:H$14,3,)</f>
        <v>03Snohomish</v>
      </c>
      <c r="O438" t="str">
        <f>VLOOKUP(M438,LUTs!E$2:H$14,4,)</f>
        <v>01North Puget Sound</v>
      </c>
      <c r="P438" s="80">
        <v>298.51891891891898</v>
      </c>
      <c r="Q438" s="102">
        <v>298.51891891891898</v>
      </c>
      <c r="R438" s="74">
        <f>VLOOKUP(B438,Readme!A$40:C$52,3,)*Q438</f>
        <v>5537.5259459459476</v>
      </c>
    </row>
    <row r="439" spans="1:18" ht="12" customHeight="1" x14ac:dyDescent="0.35">
      <c r="A439" s="75">
        <v>556</v>
      </c>
      <c r="B439" s="80">
        <v>2011</v>
      </c>
      <c r="C439" s="80">
        <v>8</v>
      </c>
      <c r="D439" s="80">
        <f t="shared" si="24"/>
        <v>2011</v>
      </c>
      <c r="E439" t="s">
        <v>38</v>
      </c>
      <c r="F439" t="s">
        <v>143</v>
      </c>
      <c r="G439" t="s">
        <v>86</v>
      </c>
      <c r="H439" s="72" t="s">
        <v>220</v>
      </c>
      <c r="I439" s="72" t="s">
        <v>62</v>
      </c>
      <c r="J439" t="str">
        <f t="shared" si="26"/>
        <v>Skykomish River</v>
      </c>
      <c r="K439" t="str">
        <f>IFERROR(VLOOKUP(J439,LUTs!$A$1:$C$73,2,FALSE),"NA")</f>
        <v>Snohomish</v>
      </c>
      <c r="L439" t="str">
        <f>IFERROR(VLOOKUP(J439,LUTs!$A$1:$C$73,3,FALSE),"NA")</f>
        <v>2Central Puget Sound</v>
      </c>
      <c r="M439" s="72" t="s">
        <v>21</v>
      </c>
      <c r="N439" t="str">
        <f>VLOOKUP(M439,LUTs!E$2:H$14,3,)</f>
        <v>08Thurston</v>
      </c>
      <c r="O439" t="str">
        <f>VLOOKUP(M439,LUTs!E$2:H$14,4,)</f>
        <v>02South Puget Sound</v>
      </c>
      <c r="P439" s="80">
        <v>2.8162162162162199</v>
      </c>
      <c r="Q439" s="102">
        <v>2.8162162162162199</v>
      </c>
      <c r="R439" s="74">
        <f>VLOOKUP(B439,Readme!A$40:C$52,3,)*Q439</f>
        <v>52.240810810810878</v>
      </c>
    </row>
    <row r="440" spans="1:18" ht="12" customHeight="1" x14ac:dyDescent="0.35">
      <c r="A440" s="75">
        <v>587</v>
      </c>
      <c r="B440" s="80">
        <v>2011</v>
      </c>
      <c r="C440" s="80">
        <v>8</v>
      </c>
      <c r="D440" s="80">
        <f t="shared" si="24"/>
        <v>2011</v>
      </c>
      <c r="E440" t="s">
        <v>38</v>
      </c>
      <c r="F440" t="s">
        <v>143</v>
      </c>
      <c r="G440" t="s">
        <v>86</v>
      </c>
      <c r="H440" s="72" t="s">
        <v>247</v>
      </c>
      <c r="I440" s="72" t="s">
        <v>98</v>
      </c>
      <c r="J440" t="str">
        <f t="shared" si="26"/>
        <v>Skykomish River, No. Fork</v>
      </c>
      <c r="K440" t="str">
        <f>IFERROR(VLOOKUP(J440,LUTs!$A$1:$C$73,2,FALSE),"NA")</f>
        <v>Snohomish</v>
      </c>
      <c r="L440" t="str">
        <f>IFERROR(VLOOKUP(J440,LUTs!$A$1:$C$73,3,FALSE),"NA")</f>
        <v>2Central Puget Sound</v>
      </c>
      <c r="M440" s="72" t="s">
        <v>18</v>
      </c>
      <c r="N440" t="str">
        <f>VLOOKUP(M440,LUTs!E$2:H$14,3,)</f>
        <v>06King</v>
      </c>
      <c r="O440" t="str">
        <f>VLOOKUP(M440,LUTs!E$2:H$14,4,)</f>
        <v>02South Puget Sound</v>
      </c>
      <c r="P440" s="80">
        <v>3</v>
      </c>
      <c r="Q440" s="102">
        <v>3</v>
      </c>
      <c r="R440" s="74">
        <f>VLOOKUP(B440,Readme!A$40:C$52,3,)*Q440</f>
        <v>55.650000000000006</v>
      </c>
    </row>
    <row r="441" spans="1:18" ht="12" customHeight="1" x14ac:dyDescent="0.35">
      <c r="A441" s="75">
        <v>588</v>
      </c>
      <c r="B441" s="80">
        <v>2011</v>
      </c>
      <c r="C441" s="80">
        <v>8</v>
      </c>
      <c r="D441" s="80">
        <f t="shared" si="24"/>
        <v>2011</v>
      </c>
      <c r="E441" t="s">
        <v>38</v>
      </c>
      <c r="F441" t="s">
        <v>143</v>
      </c>
      <c r="G441" t="s">
        <v>86</v>
      </c>
      <c r="H441" s="72" t="s">
        <v>247</v>
      </c>
      <c r="I441" s="72" t="s">
        <v>98</v>
      </c>
      <c r="J441" t="str">
        <f t="shared" si="26"/>
        <v>Skykomish River, No. Fork</v>
      </c>
      <c r="K441" t="str">
        <f>IFERROR(VLOOKUP(J441,LUTs!$A$1:$C$73,2,FALSE),"NA")</f>
        <v>Snohomish</v>
      </c>
      <c r="L441" t="str">
        <f>IFERROR(VLOOKUP(J441,LUTs!$A$1:$C$73,3,FALSE),"NA")</f>
        <v>2Central Puget Sound</v>
      </c>
      <c r="M441" s="72" t="s">
        <v>13</v>
      </c>
      <c r="N441" t="str">
        <f>VLOOKUP(M441,LUTs!E$2:H$14,3,)</f>
        <v>01Whatcom</v>
      </c>
      <c r="O441" t="str">
        <f>VLOOKUP(M441,LUTs!E$2:H$14,4,)</f>
        <v>01North Puget Sound</v>
      </c>
      <c r="P441" s="80">
        <v>3</v>
      </c>
      <c r="Q441" s="102">
        <v>3</v>
      </c>
      <c r="R441" s="74">
        <f>VLOOKUP(B441,Readme!A$40:C$52,3,)*Q441</f>
        <v>55.650000000000006</v>
      </c>
    </row>
    <row r="442" spans="1:18" ht="12" customHeight="1" x14ac:dyDescent="0.35">
      <c r="A442" s="75">
        <v>596</v>
      </c>
      <c r="B442" s="80">
        <v>2011</v>
      </c>
      <c r="C442" s="80">
        <v>8</v>
      </c>
      <c r="D442" s="80">
        <f t="shared" si="24"/>
        <v>2011</v>
      </c>
      <c r="E442" t="s">
        <v>38</v>
      </c>
      <c r="F442" t="s">
        <v>143</v>
      </c>
      <c r="G442" t="s">
        <v>86</v>
      </c>
      <c r="H442" s="72" t="s">
        <v>248</v>
      </c>
      <c r="I442" s="72" t="s">
        <v>99</v>
      </c>
      <c r="J442" t="str">
        <f t="shared" si="26"/>
        <v>Skykomish River, So. Fork</v>
      </c>
      <c r="K442" t="str">
        <f>IFERROR(VLOOKUP(J442,LUTs!$A$1:$C$73,2,FALSE),"NA")</f>
        <v>Snohomish/King</v>
      </c>
      <c r="L442" t="str">
        <f>IFERROR(VLOOKUP(J442,LUTs!$A$1:$C$73,3,FALSE),"NA")</f>
        <v>2Central Puget Sound</v>
      </c>
      <c r="M442" s="72" t="s">
        <v>18</v>
      </c>
      <c r="N442" t="str">
        <f>VLOOKUP(M442,LUTs!E$2:H$14,3,)</f>
        <v>06King</v>
      </c>
      <c r="O442" t="str">
        <f>VLOOKUP(M442,LUTs!E$2:H$14,4,)</f>
        <v>02South Puget Sound</v>
      </c>
      <c r="P442" s="80">
        <v>3</v>
      </c>
      <c r="Q442" s="102">
        <v>3</v>
      </c>
      <c r="R442" s="74">
        <f>VLOOKUP(B442,Readme!A$40:C$52,3,)*Q442</f>
        <v>55.650000000000006</v>
      </c>
    </row>
    <row r="443" spans="1:18" ht="12" customHeight="1" x14ac:dyDescent="0.35">
      <c r="A443" s="75">
        <v>601</v>
      </c>
      <c r="B443" s="80">
        <v>2011</v>
      </c>
      <c r="C443" s="80">
        <v>8</v>
      </c>
      <c r="D443" s="80">
        <f t="shared" si="24"/>
        <v>2011</v>
      </c>
      <c r="E443" t="s">
        <v>38</v>
      </c>
      <c r="F443" t="s">
        <v>143</v>
      </c>
      <c r="G443" t="s">
        <v>86</v>
      </c>
      <c r="H443" s="72" t="s">
        <v>221</v>
      </c>
      <c r="I443" s="72" t="s">
        <v>63</v>
      </c>
      <c r="J443" t="str">
        <f t="shared" si="26"/>
        <v>Snohomish River</v>
      </c>
      <c r="K443" t="str">
        <f>IFERROR(VLOOKUP(J443,LUTs!$A$1:$C$73,2,FALSE),"NA")</f>
        <v>Snohomish</v>
      </c>
      <c r="L443" t="str">
        <f>IFERROR(VLOOKUP(J443,LUTs!$A$1:$C$73,3,FALSE),"NA")</f>
        <v>2Central Puget Sound</v>
      </c>
      <c r="M443" s="72" t="s">
        <v>18</v>
      </c>
      <c r="N443" t="str">
        <f>VLOOKUP(M443,LUTs!E$2:H$14,3,)</f>
        <v>06King</v>
      </c>
      <c r="O443" t="str">
        <f>VLOOKUP(M443,LUTs!E$2:H$14,4,)</f>
        <v>02South Puget Sound</v>
      </c>
      <c r="P443" s="80">
        <v>28</v>
      </c>
      <c r="Q443" s="102">
        <v>28</v>
      </c>
      <c r="R443" s="74">
        <f>VLOOKUP(B443,Readme!A$40:C$52,3,)*Q443</f>
        <v>519.4</v>
      </c>
    </row>
    <row r="444" spans="1:18" ht="12" customHeight="1" x14ac:dyDescent="0.35">
      <c r="A444" s="75">
        <v>602</v>
      </c>
      <c r="B444" s="80">
        <v>2011</v>
      </c>
      <c r="C444" s="80">
        <v>8</v>
      </c>
      <c r="D444" s="80">
        <f t="shared" si="24"/>
        <v>2011</v>
      </c>
      <c r="E444" t="s">
        <v>38</v>
      </c>
      <c r="F444" t="s">
        <v>143</v>
      </c>
      <c r="G444" t="s">
        <v>86</v>
      </c>
      <c r="H444" s="72" t="s">
        <v>221</v>
      </c>
      <c r="I444" s="72" t="s">
        <v>63</v>
      </c>
      <c r="J444" t="str">
        <f t="shared" si="26"/>
        <v>Snohomish River</v>
      </c>
      <c r="K444" t="str">
        <f>IFERROR(VLOOKUP(J444,LUTs!$A$1:$C$73,2,FALSE),"NA")</f>
        <v>Snohomish</v>
      </c>
      <c r="L444" t="str">
        <f>IFERROR(VLOOKUP(J444,LUTs!$A$1:$C$73,3,FALSE),"NA")</f>
        <v>2Central Puget Sound</v>
      </c>
      <c r="M444" s="72" t="s">
        <v>26</v>
      </c>
      <c r="N444" t="str">
        <f>VLOOKUP(M444,LUTs!E$2:H$14,3,)</f>
        <v>20Other</v>
      </c>
      <c r="O444" t="str">
        <f>VLOOKUP(M444,LUTs!E$2:H$14,4,)</f>
        <v>07Non Puget Sound</v>
      </c>
      <c r="P444" s="80">
        <v>2.8</v>
      </c>
      <c r="Q444" s="102">
        <v>2.8</v>
      </c>
      <c r="R444" s="74">
        <f>VLOOKUP(B444,Readme!A$40:C$52,3,)*Q444</f>
        <v>51.94</v>
      </c>
    </row>
    <row r="445" spans="1:18" ht="12" customHeight="1" x14ac:dyDescent="0.35">
      <c r="A445" s="75">
        <v>603</v>
      </c>
      <c r="B445" s="80">
        <v>2011</v>
      </c>
      <c r="C445" s="80">
        <v>8</v>
      </c>
      <c r="D445" s="80">
        <f t="shared" si="24"/>
        <v>2011</v>
      </c>
      <c r="E445" t="s">
        <v>38</v>
      </c>
      <c r="F445" t="s">
        <v>143</v>
      </c>
      <c r="G445" t="s">
        <v>86</v>
      </c>
      <c r="H445" s="72" t="s">
        <v>221</v>
      </c>
      <c r="I445" s="72" t="s">
        <v>63</v>
      </c>
      <c r="J445" t="str">
        <f t="shared" si="26"/>
        <v>Snohomish River</v>
      </c>
      <c r="K445" t="str">
        <f>IFERROR(VLOOKUP(J445,LUTs!$A$1:$C$73,2,FALSE),"NA")</f>
        <v>Snohomish</v>
      </c>
      <c r="L445" t="str">
        <f>IFERROR(VLOOKUP(J445,LUTs!$A$1:$C$73,3,FALSE),"NA")</f>
        <v>2Central Puget Sound</v>
      </c>
      <c r="M445" s="72" t="s">
        <v>16</v>
      </c>
      <c r="N445" t="str">
        <f>VLOOKUP(M445,LUTs!E$2:H$14,3,)</f>
        <v>03Snohomish</v>
      </c>
      <c r="O445" t="str">
        <f>VLOOKUP(M445,LUTs!E$2:H$14,4,)</f>
        <v>01North Puget Sound</v>
      </c>
      <c r="P445" s="80">
        <v>67.2</v>
      </c>
      <c r="Q445" s="102">
        <v>67.2</v>
      </c>
      <c r="R445" s="74">
        <f>VLOOKUP(B445,Readme!A$40:C$52,3,)*Q445</f>
        <v>1246.5600000000002</v>
      </c>
    </row>
    <row r="446" spans="1:18" ht="12" customHeight="1" x14ac:dyDescent="0.35">
      <c r="A446" s="75">
        <v>621</v>
      </c>
      <c r="B446" s="80">
        <v>2011</v>
      </c>
      <c r="C446" s="80">
        <v>8</v>
      </c>
      <c r="D446" s="80">
        <f t="shared" si="24"/>
        <v>2011</v>
      </c>
      <c r="E446" t="s">
        <v>38</v>
      </c>
      <c r="F446" t="s">
        <v>143</v>
      </c>
      <c r="G446" t="s">
        <v>86</v>
      </c>
      <c r="H446" s="72" t="s">
        <v>222</v>
      </c>
      <c r="I446" s="72" t="s">
        <v>64</v>
      </c>
      <c r="J446" t="str">
        <f t="shared" si="26"/>
        <v>Snoqualmie River</v>
      </c>
      <c r="K446" t="str">
        <f>IFERROR(VLOOKUP(J446,LUTs!$A$1:$C$73,2,FALSE),"NA")</f>
        <v>Snohomish/King</v>
      </c>
      <c r="L446" t="str">
        <f>IFERROR(VLOOKUP(J446,LUTs!$A$1:$C$73,3,FALSE),"NA")</f>
        <v>2Central Puget Sound</v>
      </c>
      <c r="M446" s="72" t="s">
        <v>18</v>
      </c>
      <c r="N446" t="str">
        <f>VLOOKUP(M446,LUTs!E$2:H$14,3,)</f>
        <v>06King</v>
      </c>
      <c r="O446" t="str">
        <f>VLOOKUP(M446,LUTs!E$2:H$14,4,)</f>
        <v>02South Puget Sound</v>
      </c>
      <c r="P446" s="80">
        <v>11</v>
      </c>
      <c r="Q446" s="102">
        <v>11</v>
      </c>
      <c r="R446" s="74">
        <f>VLOOKUP(B446,Readme!A$40:C$52,3,)*Q446</f>
        <v>204.05</v>
      </c>
    </row>
    <row r="447" spans="1:18" ht="12" customHeight="1" x14ac:dyDescent="0.35">
      <c r="A447" s="75">
        <v>684</v>
      </c>
      <c r="B447" s="80">
        <v>2011</v>
      </c>
      <c r="C447" s="80">
        <v>8</v>
      </c>
      <c r="D447" s="80">
        <f t="shared" si="24"/>
        <v>2011</v>
      </c>
      <c r="E447" t="s">
        <v>38</v>
      </c>
      <c r="F447" t="s">
        <v>143</v>
      </c>
      <c r="G447" t="s">
        <v>86</v>
      </c>
      <c r="H447" s="72" t="s">
        <v>223</v>
      </c>
      <c r="I447" s="72" t="s">
        <v>103</v>
      </c>
      <c r="J447" t="str">
        <f t="shared" si="26"/>
        <v>Stillaguamish R, No. Fork</v>
      </c>
      <c r="K447" t="str">
        <f>IFERROR(VLOOKUP(J447,LUTs!$A$1:$C$73,2,FALSE),"NA")</f>
        <v>Snohomish</v>
      </c>
      <c r="L447" t="str">
        <f>IFERROR(VLOOKUP(J447,LUTs!$A$1:$C$73,3,FALSE),"NA")</f>
        <v>2Central Puget Sound</v>
      </c>
      <c r="M447" s="72" t="s">
        <v>18</v>
      </c>
      <c r="N447" t="str">
        <f>VLOOKUP(M447,LUTs!E$2:H$14,3,)</f>
        <v>06King</v>
      </c>
      <c r="O447" t="str">
        <f>VLOOKUP(M447,LUTs!E$2:H$14,4,)</f>
        <v>02South Puget Sound</v>
      </c>
      <c r="P447" s="80">
        <v>7.4285714285714297</v>
      </c>
      <c r="Q447" s="102">
        <v>7.4285714285714297</v>
      </c>
      <c r="R447" s="74">
        <f>VLOOKUP(B447,Readme!A$40:C$52,3,)*Q447</f>
        <v>137.80000000000004</v>
      </c>
    </row>
    <row r="448" spans="1:18" ht="12" customHeight="1" x14ac:dyDescent="0.35">
      <c r="A448" s="75">
        <v>685</v>
      </c>
      <c r="B448" s="80">
        <v>2011</v>
      </c>
      <c r="C448" s="80">
        <v>8</v>
      </c>
      <c r="D448" s="80">
        <f t="shared" si="24"/>
        <v>2011</v>
      </c>
      <c r="E448" t="s">
        <v>38</v>
      </c>
      <c r="F448" t="s">
        <v>143</v>
      </c>
      <c r="G448" t="s">
        <v>86</v>
      </c>
      <c r="H448" s="72" t="s">
        <v>223</v>
      </c>
      <c r="I448" s="72" t="s">
        <v>103</v>
      </c>
      <c r="J448" t="str">
        <f t="shared" si="26"/>
        <v>Stillaguamish R, No. Fork</v>
      </c>
      <c r="K448" t="str">
        <f>IFERROR(VLOOKUP(J448,LUTs!$A$1:$C$73,2,FALSE),"NA")</f>
        <v>Snohomish</v>
      </c>
      <c r="L448" t="str">
        <f>IFERROR(VLOOKUP(J448,LUTs!$A$1:$C$73,3,FALSE),"NA")</f>
        <v>2Central Puget Sound</v>
      </c>
      <c r="M448" s="72" t="s">
        <v>16</v>
      </c>
      <c r="N448" t="str">
        <f>VLOOKUP(M448,LUTs!E$2:H$14,3,)</f>
        <v>03Snohomish</v>
      </c>
      <c r="O448" t="str">
        <f>VLOOKUP(M448,LUTs!E$2:H$14,4,)</f>
        <v>01North Puget Sound</v>
      </c>
      <c r="P448" s="80">
        <v>18.571428571428601</v>
      </c>
      <c r="Q448" s="102">
        <v>18.571428571428601</v>
      </c>
      <c r="R448" s="74">
        <f>VLOOKUP(B448,Readme!A$40:C$52,3,)*Q448</f>
        <v>344.50000000000057</v>
      </c>
    </row>
    <row r="449" spans="1:18" ht="12" customHeight="1" x14ac:dyDescent="0.35">
      <c r="A449" s="75">
        <v>643</v>
      </c>
      <c r="B449" s="80">
        <v>2011</v>
      </c>
      <c r="C449" s="80">
        <v>8</v>
      </c>
      <c r="D449" s="80">
        <f t="shared" si="24"/>
        <v>2011</v>
      </c>
      <c r="E449" t="s">
        <v>38</v>
      </c>
      <c r="F449" t="s">
        <v>143</v>
      </c>
      <c r="G449" t="s">
        <v>86</v>
      </c>
      <c r="H449" s="72" t="s">
        <v>249</v>
      </c>
      <c r="I449" s="72" t="s">
        <v>100</v>
      </c>
      <c r="J449" t="str">
        <f t="shared" si="26"/>
        <v>Sultan River</v>
      </c>
      <c r="K449" t="str">
        <f>IFERROR(VLOOKUP(J449,LUTs!$A$1:$C$73,2,FALSE),"NA")</f>
        <v>Snohomish</v>
      </c>
      <c r="L449" t="str">
        <f>IFERROR(VLOOKUP(J449,LUTs!$A$1:$C$73,3,FALSE),"NA")</f>
        <v>2Central Puget Sound</v>
      </c>
      <c r="M449" s="72" t="s">
        <v>16</v>
      </c>
      <c r="N449" t="str">
        <f>VLOOKUP(M449,LUTs!E$2:H$14,3,)</f>
        <v>03Snohomish</v>
      </c>
      <c r="O449" t="str">
        <f>VLOOKUP(M449,LUTs!E$2:H$14,4,)</f>
        <v>01North Puget Sound</v>
      </c>
      <c r="P449" s="80">
        <v>6</v>
      </c>
      <c r="Q449" s="102">
        <v>6</v>
      </c>
      <c r="R449" s="74">
        <f>VLOOKUP(B449,Readme!A$40:C$52,3,)*Q449</f>
        <v>111.30000000000001</v>
      </c>
    </row>
    <row r="450" spans="1:18" ht="12" customHeight="1" x14ac:dyDescent="0.35">
      <c r="A450" s="75">
        <v>454</v>
      </c>
      <c r="B450" s="80">
        <v>2011</v>
      </c>
      <c r="C450" s="80">
        <v>9</v>
      </c>
      <c r="D450" s="80">
        <f t="shared" ref="D450:D513" si="27">IF(C450&gt;3,B450,B450-1)</f>
        <v>2011</v>
      </c>
      <c r="E450" t="s">
        <v>38</v>
      </c>
      <c r="F450" t="s">
        <v>143</v>
      </c>
      <c r="G450" t="s">
        <v>86</v>
      </c>
      <c r="H450" s="72" t="s">
        <v>257</v>
      </c>
      <c r="I450" s="72" t="s">
        <v>31</v>
      </c>
      <c r="J450" t="str">
        <f t="shared" si="26"/>
        <v>Area 8-1: Skagit Bay-Saratoga Psg.</v>
      </c>
      <c r="K450" t="str">
        <f>IFERROR(VLOOKUP(J450,LUTs!$A$1:$C$73,2,FALSE),"NA")</f>
        <v>NA</v>
      </c>
      <c r="L450" t="str">
        <f>IFERROR(VLOOKUP(J450,LUTs!$A$1:$C$73,3,FALSE),"NA")</f>
        <v>2Central Puget Sound</v>
      </c>
      <c r="M450" s="72" t="s">
        <v>26</v>
      </c>
      <c r="N450" t="str">
        <f>VLOOKUP(M450,LUTs!E$2:H$14,3,)</f>
        <v>20Other</v>
      </c>
      <c r="O450" t="str">
        <f>VLOOKUP(M450,LUTs!E$2:H$14,4,)</f>
        <v>07Non Puget Sound</v>
      </c>
      <c r="P450" s="80">
        <v>0</v>
      </c>
      <c r="Q450" s="102">
        <v>0</v>
      </c>
      <c r="R450" s="74">
        <f>VLOOKUP(B450,Readme!A$40:C$52,3,)*Q450</f>
        <v>0</v>
      </c>
    </row>
    <row r="451" spans="1:18" ht="12" customHeight="1" x14ac:dyDescent="0.35">
      <c r="A451" s="75">
        <v>725</v>
      </c>
      <c r="B451" s="80">
        <v>2011</v>
      </c>
      <c r="C451" s="80">
        <v>9</v>
      </c>
      <c r="D451" s="80">
        <f t="shared" si="27"/>
        <v>2011</v>
      </c>
      <c r="E451" t="s">
        <v>38</v>
      </c>
      <c r="F451" t="s">
        <v>143</v>
      </c>
      <c r="G451" t="s">
        <v>86</v>
      </c>
      <c r="H451" s="72" t="s">
        <v>254</v>
      </c>
      <c r="I451" s="72" t="s">
        <v>33</v>
      </c>
      <c r="J451" t="str">
        <f t="shared" si="26"/>
        <v>Area 9: Admiralty Inlet</v>
      </c>
      <c r="K451" t="str">
        <f>IFERROR(VLOOKUP(J451,LUTs!$A$1:$C$73,2,FALSE),"NA")</f>
        <v>NA</v>
      </c>
      <c r="L451" t="str">
        <f>IFERROR(VLOOKUP(J451,LUTs!$A$1:$C$73,3,FALSE),"NA")</f>
        <v>2Central Puget Sound</v>
      </c>
      <c r="M451" s="72" t="s">
        <v>17</v>
      </c>
      <c r="N451" t="str">
        <f>VLOOKUP(M451,LUTs!E$2:H$14,3,)</f>
        <v>04Island</v>
      </c>
      <c r="O451" t="str">
        <f>VLOOKUP(M451,LUTs!E$2:H$14,4,)</f>
        <v>01North Puget Sound</v>
      </c>
      <c r="P451" s="80">
        <v>0</v>
      </c>
      <c r="Q451" s="102">
        <v>0</v>
      </c>
      <c r="R451" s="74">
        <f>VLOOKUP(B451,Readme!A$40:C$52,3,)*Q451</f>
        <v>0</v>
      </c>
    </row>
    <row r="452" spans="1:18" ht="12" customHeight="1" x14ac:dyDescent="0.35">
      <c r="A452" s="75">
        <v>726</v>
      </c>
      <c r="B452" s="80">
        <v>2011</v>
      </c>
      <c r="C452" s="80">
        <v>9</v>
      </c>
      <c r="D452" s="80">
        <f t="shared" si="27"/>
        <v>2011</v>
      </c>
      <c r="E452" t="s">
        <v>38</v>
      </c>
      <c r="F452" t="s">
        <v>143</v>
      </c>
      <c r="G452" t="s">
        <v>86</v>
      </c>
      <c r="H452" s="72" t="s">
        <v>254</v>
      </c>
      <c r="I452" s="72" t="s">
        <v>33</v>
      </c>
      <c r="J452" t="str">
        <f t="shared" si="26"/>
        <v>Area 9: Admiralty Inlet</v>
      </c>
      <c r="K452" t="str">
        <f>IFERROR(VLOOKUP(J452,LUTs!$A$1:$C$73,2,FALSE),"NA")</f>
        <v>NA</v>
      </c>
      <c r="L452" t="str">
        <f>IFERROR(VLOOKUP(J452,LUTs!$A$1:$C$73,3,FALSE),"NA")</f>
        <v>2Central Puget Sound</v>
      </c>
      <c r="M452" s="72" t="s">
        <v>15</v>
      </c>
      <c r="N452" t="str">
        <f>VLOOKUP(M452,LUTs!E$2:H$14,3,)</f>
        <v>02Skagit</v>
      </c>
      <c r="O452" t="str">
        <f>VLOOKUP(M452,LUTs!E$2:H$14,4,)</f>
        <v>01North Puget Sound</v>
      </c>
      <c r="P452" s="80">
        <v>1</v>
      </c>
      <c r="Q452" s="102">
        <v>1</v>
      </c>
      <c r="R452" s="74">
        <f>VLOOKUP(B452,Readme!A$40:C$52,3,)*Q452</f>
        <v>18.55</v>
      </c>
    </row>
    <row r="453" spans="1:18" ht="12" customHeight="1" x14ac:dyDescent="0.35">
      <c r="A453" s="75">
        <v>727</v>
      </c>
      <c r="B453" s="80">
        <v>2011</v>
      </c>
      <c r="C453" s="80">
        <v>9</v>
      </c>
      <c r="D453" s="80">
        <f t="shared" si="27"/>
        <v>2011</v>
      </c>
      <c r="E453" t="s">
        <v>38</v>
      </c>
      <c r="F453" t="s">
        <v>143</v>
      </c>
      <c r="G453" t="s">
        <v>86</v>
      </c>
      <c r="H453" s="72" t="s">
        <v>254</v>
      </c>
      <c r="I453" s="72" t="s">
        <v>33</v>
      </c>
      <c r="J453" t="str">
        <f t="shared" si="26"/>
        <v>Area 9: Admiralty Inlet</v>
      </c>
      <c r="K453" t="str">
        <f>IFERROR(VLOOKUP(J453,LUTs!$A$1:$C$73,2,FALSE),"NA")</f>
        <v>NA</v>
      </c>
      <c r="L453" t="str">
        <f>IFERROR(VLOOKUP(J453,LUTs!$A$1:$C$73,3,FALSE),"NA")</f>
        <v>2Central Puget Sound</v>
      </c>
      <c r="M453" s="72" t="s">
        <v>16</v>
      </c>
      <c r="N453" t="str">
        <f>VLOOKUP(M453,LUTs!E$2:H$14,3,)</f>
        <v>03Snohomish</v>
      </c>
      <c r="O453" t="str">
        <f>VLOOKUP(M453,LUTs!E$2:H$14,4,)</f>
        <v>01North Puget Sound</v>
      </c>
      <c r="P453" s="80">
        <v>0</v>
      </c>
      <c r="Q453" s="102">
        <v>0</v>
      </c>
      <c r="R453" s="74">
        <f>VLOOKUP(B453,Readme!A$40:C$52,3,)*Q453</f>
        <v>0</v>
      </c>
    </row>
    <row r="454" spans="1:18" ht="12" customHeight="1" x14ac:dyDescent="0.35">
      <c r="A454" s="75">
        <v>439</v>
      </c>
      <c r="B454" s="80">
        <v>2011</v>
      </c>
      <c r="C454" s="80">
        <v>9</v>
      </c>
      <c r="D454" s="80">
        <f t="shared" si="27"/>
        <v>2011</v>
      </c>
      <c r="E454" t="s">
        <v>38</v>
      </c>
      <c r="F454" t="s">
        <v>143</v>
      </c>
      <c r="G454" t="s">
        <v>86</v>
      </c>
      <c r="H454" s="72" t="s">
        <v>211</v>
      </c>
      <c r="I454" s="72" t="s">
        <v>53</v>
      </c>
      <c r="J454" t="str">
        <f t="shared" si="26"/>
        <v>Carbon River</v>
      </c>
      <c r="K454" t="str">
        <f>IFERROR(VLOOKUP(J454,LUTs!$A$1:$C$73,2,FALSE),"NA")</f>
        <v>Pierce</v>
      </c>
      <c r="L454" t="str">
        <f>IFERROR(VLOOKUP(J454,LUTs!$A$1:$C$73,3,FALSE),"NA")</f>
        <v>3South Puget Sound</v>
      </c>
      <c r="M454" s="72" t="s">
        <v>18</v>
      </c>
      <c r="N454" t="str">
        <f>VLOOKUP(M454,LUTs!E$2:H$14,3,)</f>
        <v>06King</v>
      </c>
      <c r="O454" t="str">
        <f>VLOOKUP(M454,LUTs!E$2:H$14,4,)</f>
        <v>02South Puget Sound</v>
      </c>
      <c r="P454" s="80">
        <v>0</v>
      </c>
      <c r="Q454" s="102">
        <v>0</v>
      </c>
      <c r="R454" s="74">
        <f>VLOOKUP(B454,Readme!A$40:C$52,3,)*Q454</f>
        <v>0</v>
      </c>
    </row>
    <row r="455" spans="1:18" ht="12" customHeight="1" x14ac:dyDescent="0.35">
      <c r="A455" s="75">
        <v>440</v>
      </c>
      <c r="B455" s="80">
        <v>2011</v>
      </c>
      <c r="C455" s="80">
        <v>9</v>
      </c>
      <c r="D455" s="80">
        <f t="shared" si="27"/>
        <v>2011</v>
      </c>
      <c r="E455" t="s">
        <v>38</v>
      </c>
      <c r="F455" t="s">
        <v>143</v>
      </c>
      <c r="G455" t="s">
        <v>86</v>
      </c>
      <c r="H455" s="72" t="s">
        <v>211</v>
      </c>
      <c r="I455" s="72" t="s">
        <v>53</v>
      </c>
      <c r="J455" t="str">
        <f t="shared" si="26"/>
        <v>Carbon River</v>
      </c>
      <c r="K455" t="str">
        <f>IFERROR(VLOOKUP(J455,LUTs!$A$1:$C$73,2,FALSE),"NA")</f>
        <v>Pierce</v>
      </c>
      <c r="L455" t="str">
        <f>IFERROR(VLOOKUP(J455,LUTs!$A$1:$C$73,3,FALSE),"NA")</f>
        <v>3South Puget Sound</v>
      </c>
      <c r="M455" s="72" t="s">
        <v>20</v>
      </c>
      <c r="N455" t="str">
        <f>VLOOKUP(M455,LUTs!E$2:H$14,3,)</f>
        <v>07Pierce</v>
      </c>
      <c r="O455" t="str">
        <f>VLOOKUP(M455,LUTs!E$2:H$14,4,)</f>
        <v>02South Puget Sound</v>
      </c>
      <c r="P455" s="80">
        <v>0</v>
      </c>
      <c r="Q455" s="102">
        <v>0</v>
      </c>
      <c r="R455" s="74">
        <f>VLOOKUP(B455,Readme!A$40:C$52,3,)*Q455</f>
        <v>0</v>
      </c>
    </row>
    <row r="456" spans="1:18" ht="12" customHeight="1" x14ac:dyDescent="0.35">
      <c r="A456" s="75">
        <v>473</v>
      </c>
      <c r="B456" s="80">
        <v>2011</v>
      </c>
      <c r="C456" s="80">
        <v>9</v>
      </c>
      <c r="D456" s="80">
        <f t="shared" si="27"/>
        <v>2011</v>
      </c>
      <c r="E456" t="s">
        <v>38</v>
      </c>
      <c r="F456" t="s">
        <v>143</v>
      </c>
      <c r="G456" t="s">
        <v>86</v>
      </c>
      <c r="H456" s="72" t="s">
        <v>217</v>
      </c>
      <c r="I456" s="72" t="s">
        <v>59</v>
      </c>
      <c r="J456" t="str">
        <f t="shared" si="26"/>
        <v>Cascade River</v>
      </c>
      <c r="K456" t="str">
        <f>IFERROR(VLOOKUP(J456,LUTs!$A$1:$C$73,2,FALSE),"NA")</f>
        <v>Skagit</v>
      </c>
      <c r="L456" t="str">
        <f>IFERROR(VLOOKUP(J456,LUTs!$A$1:$C$73,3,FALSE),"NA")</f>
        <v>1North Puget Sound</v>
      </c>
      <c r="M456" s="72" t="s">
        <v>18</v>
      </c>
      <c r="N456" t="str">
        <f>VLOOKUP(M456,LUTs!E$2:H$14,3,)</f>
        <v>06King</v>
      </c>
      <c r="O456" t="str">
        <f>VLOOKUP(M456,LUTs!E$2:H$14,4,)</f>
        <v>02South Puget Sound</v>
      </c>
      <c r="P456" s="80">
        <v>3.5</v>
      </c>
      <c r="Q456" s="102">
        <v>3.5</v>
      </c>
      <c r="R456" s="74">
        <f>VLOOKUP(B456,Readme!A$40:C$52,3,)*Q456</f>
        <v>64.924999999999997</v>
      </c>
    </row>
    <row r="457" spans="1:18" ht="12" customHeight="1" x14ac:dyDescent="0.35">
      <c r="A457" s="75">
        <v>474</v>
      </c>
      <c r="B457" s="80">
        <v>2011</v>
      </c>
      <c r="C457" s="80">
        <v>9</v>
      </c>
      <c r="D457" s="80">
        <f t="shared" si="27"/>
        <v>2011</v>
      </c>
      <c r="E457" t="s">
        <v>38</v>
      </c>
      <c r="F457" t="s">
        <v>143</v>
      </c>
      <c r="G457" t="s">
        <v>86</v>
      </c>
      <c r="H457" s="72" t="s">
        <v>217</v>
      </c>
      <c r="I457" s="72" t="s">
        <v>59</v>
      </c>
      <c r="J457" t="str">
        <f t="shared" si="26"/>
        <v>Cascade River</v>
      </c>
      <c r="K457" t="str">
        <f>IFERROR(VLOOKUP(J457,LUTs!$A$1:$C$73,2,FALSE),"NA")</f>
        <v>Skagit</v>
      </c>
      <c r="L457" t="str">
        <f>IFERROR(VLOOKUP(J457,LUTs!$A$1:$C$73,3,FALSE),"NA")</f>
        <v>1North Puget Sound</v>
      </c>
      <c r="M457" s="72" t="s">
        <v>16</v>
      </c>
      <c r="N457" t="str">
        <f>VLOOKUP(M457,LUTs!E$2:H$14,3,)</f>
        <v>03Snohomish</v>
      </c>
      <c r="O457" t="str">
        <f>VLOOKUP(M457,LUTs!E$2:H$14,4,)</f>
        <v>01North Puget Sound</v>
      </c>
      <c r="P457" s="80">
        <v>3.5</v>
      </c>
      <c r="Q457" s="102">
        <v>3.5</v>
      </c>
      <c r="R457" s="74">
        <f>VLOOKUP(B457,Readme!A$40:C$52,3,)*Q457</f>
        <v>64.924999999999997</v>
      </c>
    </row>
    <row r="458" spans="1:18" ht="12" customHeight="1" x14ac:dyDescent="0.35">
      <c r="A458" s="75">
        <v>369</v>
      </c>
      <c r="B458" s="80">
        <v>2011</v>
      </c>
      <c r="C458" s="80">
        <v>9</v>
      </c>
      <c r="D458" s="80">
        <f t="shared" si="27"/>
        <v>2011</v>
      </c>
      <c r="E458" t="s">
        <v>38</v>
      </c>
      <c r="F458" t="s">
        <v>143</v>
      </c>
      <c r="G458" t="s">
        <v>86</v>
      </c>
      <c r="H458" s="72" t="s">
        <v>203</v>
      </c>
      <c r="I458" s="72" t="s">
        <v>89</v>
      </c>
      <c r="J458" s="84" t="s">
        <v>45</v>
      </c>
      <c r="K458" t="str">
        <f>IFERROR(VLOOKUP(J458,LUTs!$A$1:$C$73,2,FALSE),"NA")</f>
        <v>King</v>
      </c>
      <c r="L458" t="str">
        <f>IFERROR(VLOOKUP(J458,LUTs!$A$1:$C$73,3,FALSE),"NA")</f>
        <v>3South Puget Sound</v>
      </c>
      <c r="M458" s="72" t="s">
        <v>18</v>
      </c>
      <c r="N458" t="str">
        <f>VLOOKUP(M458,LUTs!E$2:H$14,3,)</f>
        <v>06King</v>
      </c>
      <c r="O458" t="str">
        <f>VLOOKUP(M458,LUTs!E$2:H$14,4,)</f>
        <v>02South Puget Sound</v>
      </c>
      <c r="P458" s="80">
        <v>91.702702702702695</v>
      </c>
      <c r="Q458" s="102">
        <v>91.702702702702695</v>
      </c>
      <c r="R458" s="74">
        <f>VLOOKUP(B458,Readme!A$40:C$52,3,)*Q458</f>
        <v>1701.085135135135</v>
      </c>
    </row>
    <row r="459" spans="1:18" ht="12" customHeight="1" x14ac:dyDescent="0.35">
      <c r="A459" s="75">
        <v>370</v>
      </c>
      <c r="B459" s="80">
        <v>2011</v>
      </c>
      <c r="C459" s="80">
        <v>9</v>
      </c>
      <c r="D459" s="80">
        <f t="shared" si="27"/>
        <v>2011</v>
      </c>
      <c r="E459" t="s">
        <v>38</v>
      </c>
      <c r="F459" t="s">
        <v>143</v>
      </c>
      <c r="G459" t="s">
        <v>86</v>
      </c>
      <c r="H459" s="72" t="s">
        <v>203</v>
      </c>
      <c r="I459" s="72" t="s">
        <v>89</v>
      </c>
      <c r="J459" s="84" t="s">
        <v>45</v>
      </c>
      <c r="K459" t="str">
        <f>IFERROR(VLOOKUP(J459,LUTs!$A$1:$C$73,2,FALSE),"NA")</f>
        <v>King</v>
      </c>
      <c r="L459" t="str">
        <f>IFERROR(VLOOKUP(J459,LUTs!$A$1:$C$73,3,FALSE),"NA")</f>
        <v>3South Puget Sound</v>
      </c>
      <c r="M459" s="72" t="s">
        <v>20</v>
      </c>
      <c r="N459" t="str">
        <f>VLOOKUP(M459,LUTs!E$2:H$14,3,)</f>
        <v>07Pierce</v>
      </c>
      <c r="O459" t="str">
        <f>VLOOKUP(M459,LUTs!E$2:H$14,4,)</f>
        <v>02South Puget Sound</v>
      </c>
      <c r="P459" s="80">
        <v>9.4864864864864895</v>
      </c>
      <c r="Q459" s="102">
        <v>9.4864864864864895</v>
      </c>
      <c r="R459" s="74">
        <f>VLOOKUP(B459,Readme!A$40:C$52,3,)*Q459</f>
        <v>175.97432432432439</v>
      </c>
    </row>
    <row r="460" spans="1:18" ht="12" customHeight="1" x14ac:dyDescent="0.35">
      <c r="A460" s="75">
        <v>371</v>
      </c>
      <c r="B460" s="80">
        <v>2011</v>
      </c>
      <c r="C460" s="80">
        <v>9</v>
      </c>
      <c r="D460" s="80">
        <f t="shared" si="27"/>
        <v>2011</v>
      </c>
      <c r="E460" t="s">
        <v>38</v>
      </c>
      <c r="F460" t="s">
        <v>143</v>
      </c>
      <c r="G460" t="s">
        <v>86</v>
      </c>
      <c r="H460" s="72" t="s">
        <v>203</v>
      </c>
      <c r="I460" s="72" t="s">
        <v>89</v>
      </c>
      <c r="J460" s="84" t="s">
        <v>45</v>
      </c>
      <c r="K460" t="str">
        <f>IFERROR(VLOOKUP(J460,LUTs!$A$1:$C$73,2,FALSE),"NA")</f>
        <v>King</v>
      </c>
      <c r="L460" t="str">
        <f>IFERROR(VLOOKUP(J460,LUTs!$A$1:$C$73,3,FALSE),"NA")</f>
        <v>3South Puget Sound</v>
      </c>
      <c r="M460" s="72" t="s">
        <v>16</v>
      </c>
      <c r="N460" t="str">
        <f>VLOOKUP(M460,LUTs!E$2:H$14,3,)</f>
        <v>03Snohomish</v>
      </c>
      <c r="O460" t="str">
        <f>VLOOKUP(M460,LUTs!E$2:H$14,4,)</f>
        <v>01North Puget Sound</v>
      </c>
      <c r="P460" s="80">
        <v>6.3243243243243299</v>
      </c>
      <c r="Q460" s="102">
        <v>6.3243243243243299</v>
      </c>
      <c r="R460" s="74">
        <f>VLOOKUP(B460,Readme!A$40:C$52,3,)*Q460</f>
        <v>117.31621621621632</v>
      </c>
    </row>
    <row r="461" spans="1:18" ht="12" customHeight="1" x14ac:dyDescent="0.35">
      <c r="A461" s="75">
        <v>372</v>
      </c>
      <c r="B461" s="80">
        <v>2011</v>
      </c>
      <c r="C461" s="80">
        <v>9</v>
      </c>
      <c r="D461" s="80">
        <f t="shared" si="27"/>
        <v>2011</v>
      </c>
      <c r="E461" t="s">
        <v>38</v>
      </c>
      <c r="F461" t="s">
        <v>143</v>
      </c>
      <c r="G461" t="s">
        <v>86</v>
      </c>
      <c r="H461" s="72" t="s">
        <v>203</v>
      </c>
      <c r="I461" s="72" t="s">
        <v>89</v>
      </c>
      <c r="J461" s="84" t="s">
        <v>45</v>
      </c>
      <c r="K461" t="str">
        <f>IFERROR(VLOOKUP(J461,LUTs!$A$1:$C$73,2,FALSE),"NA")</f>
        <v>King</v>
      </c>
      <c r="L461" t="str">
        <f>IFERROR(VLOOKUP(J461,LUTs!$A$1:$C$73,3,FALSE),"NA")</f>
        <v>3South Puget Sound</v>
      </c>
      <c r="M461" s="72" t="s">
        <v>21</v>
      </c>
      <c r="N461" t="str">
        <f>VLOOKUP(M461,LUTs!E$2:H$14,3,)</f>
        <v>08Thurston</v>
      </c>
      <c r="O461" t="str">
        <f>VLOOKUP(M461,LUTs!E$2:H$14,4,)</f>
        <v>02South Puget Sound</v>
      </c>
      <c r="P461" s="80">
        <v>9.4864864864864895</v>
      </c>
      <c r="Q461" s="102">
        <v>9.4864864864864895</v>
      </c>
      <c r="R461" s="74">
        <f>VLOOKUP(B461,Readme!A$40:C$52,3,)*Q461</f>
        <v>175.97432432432439</v>
      </c>
    </row>
    <row r="462" spans="1:18" ht="12" customHeight="1" x14ac:dyDescent="0.35">
      <c r="A462" s="75">
        <v>401</v>
      </c>
      <c r="B462" s="80">
        <v>2011</v>
      </c>
      <c r="C462" s="80">
        <v>9</v>
      </c>
      <c r="D462" s="80">
        <f t="shared" si="27"/>
        <v>2011</v>
      </c>
      <c r="E462" t="s">
        <v>38</v>
      </c>
      <c r="F462" t="s">
        <v>143</v>
      </c>
      <c r="G462" t="s">
        <v>86</v>
      </c>
      <c r="H462" s="72" t="s">
        <v>237</v>
      </c>
      <c r="I462" s="72" t="s">
        <v>79</v>
      </c>
      <c r="J462" t="str">
        <f t="shared" ref="J462:J479" si="28">I462</f>
        <v>Lyre River</v>
      </c>
      <c r="K462" t="str">
        <f>IFERROR(VLOOKUP(J462,LUTs!$A$1:$C$73,2,FALSE),"NA")</f>
        <v>Clallam</v>
      </c>
      <c r="L462" t="str">
        <f>IFERROR(VLOOKUP(J462,LUTs!$A$1:$C$73,3,FALSE),"NA")</f>
        <v>0Strait of Juan de Fuca</v>
      </c>
      <c r="M462" s="72" t="s">
        <v>24</v>
      </c>
      <c r="N462" t="str">
        <f>VLOOKUP(M462,LUTs!E$2:H$14,3,)</f>
        <v>11Clallam</v>
      </c>
      <c r="O462" t="str">
        <f>VLOOKUP(M462,LUTs!E$2:H$14,4,)</f>
        <v>03Strait of Juan de Fuca</v>
      </c>
      <c r="P462" s="80">
        <v>9</v>
      </c>
      <c r="Q462" s="102">
        <v>9</v>
      </c>
      <c r="R462" s="74">
        <f>VLOOKUP(B462,Readme!A$40:C$52,3,)*Q462</f>
        <v>166.95000000000002</v>
      </c>
    </row>
    <row r="463" spans="1:18" ht="12" customHeight="1" x14ac:dyDescent="0.35">
      <c r="A463" s="75">
        <v>402</v>
      </c>
      <c r="B463" s="80">
        <v>2011</v>
      </c>
      <c r="C463" s="80">
        <v>9</v>
      </c>
      <c r="D463" s="80">
        <f t="shared" si="27"/>
        <v>2011</v>
      </c>
      <c r="E463" t="s">
        <v>38</v>
      </c>
      <c r="F463" t="s">
        <v>143</v>
      </c>
      <c r="G463" t="s">
        <v>86</v>
      </c>
      <c r="H463" s="72" t="s">
        <v>237</v>
      </c>
      <c r="I463" s="72" t="s">
        <v>79</v>
      </c>
      <c r="J463" t="str">
        <f t="shared" si="28"/>
        <v>Lyre River</v>
      </c>
      <c r="K463" t="str">
        <f>IFERROR(VLOOKUP(J463,LUTs!$A$1:$C$73,2,FALSE),"NA")</f>
        <v>Clallam</v>
      </c>
      <c r="L463" t="str">
        <f>IFERROR(VLOOKUP(J463,LUTs!$A$1:$C$73,3,FALSE),"NA")</f>
        <v>0Strait of Juan de Fuca</v>
      </c>
      <c r="M463" s="72" t="s">
        <v>25</v>
      </c>
      <c r="N463" t="str">
        <f>VLOOKUP(M463,LUTs!E$2:H$14,3,)</f>
        <v>12Jefferson</v>
      </c>
      <c r="O463" t="str">
        <f>VLOOKUP(M463,LUTs!E$2:H$14,4,)</f>
        <v>03Strait of Juan de Fuca</v>
      </c>
      <c r="P463" s="80">
        <v>3</v>
      </c>
      <c r="Q463" s="102">
        <v>3</v>
      </c>
      <c r="R463" s="74">
        <f>VLOOKUP(B463,Readme!A$40:C$52,3,)*Q463</f>
        <v>55.650000000000006</v>
      </c>
    </row>
    <row r="464" spans="1:18" ht="12" customHeight="1" x14ac:dyDescent="0.35">
      <c r="A464" s="75">
        <v>423</v>
      </c>
      <c r="B464" s="80">
        <v>2011</v>
      </c>
      <c r="C464" s="80">
        <v>9</v>
      </c>
      <c r="D464" s="80">
        <f t="shared" si="27"/>
        <v>2011</v>
      </c>
      <c r="E464" t="s">
        <v>38</v>
      </c>
      <c r="F464" t="s">
        <v>143</v>
      </c>
      <c r="G464" t="s">
        <v>86</v>
      </c>
      <c r="H464" s="72" t="s">
        <v>209</v>
      </c>
      <c r="I464" s="72" t="s">
        <v>51</v>
      </c>
      <c r="J464" t="str">
        <f t="shared" si="28"/>
        <v>Nisqually River</v>
      </c>
      <c r="K464" t="str">
        <f>IFERROR(VLOOKUP(J464,LUTs!$A$1:$C$73,2,FALSE),"NA")</f>
        <v>Thurston/Pierce</v>
      </c>
      <c r="L464" t="str">
        <f>IFERROR(VLOOKUP(J464,LUTs!$A$1:$C$73,3,FALSE),"NA")</f>
        <v>3South Puget Sound</v>
      </c>
      <c r="M464" s="72" t="s">
        <v>18</v>
      </c>
      <c r="N464" t="str">
        <f>VLOOKUP(M464,LUTs!E$2:H$14,3,)</f>
        <v>06King</v>
      </c>
      <c r="O464" t="str">
        <f>VLOOKUP(M464,LUTs!E$2:H$14,4,)</f>
        <v>02South Puget Sound</v>
      </c>
      <c r="P464" s="80">
        <v>0</v>
      </c>
      <c r="Q464" s="102">
        <v>0</v>
      </c>
      <c r="R464" s="74">
        <f>VLOOKUP(B464,Readme!A$40:C$52,3,)*Q464</f>
        <v>0</v>
      </c>
    </row>
    <row r="465" spans="1:18" ht="12" customHeight="1" x14ac:dyDescent="0.35">
      <c r="A465" s="75">
        <v>424</v>
      </c>
      <c r="B465" s="80">
        <v>2011</v>
      </c>
      <c r="C465" s="80">
        <v>9</v>
      </c>
      <c r="D465" s="80">
        <f t="shared" si="27"/>
        <v>2011</v>
      </c>
      <c r="E465" t="s">
        <v>38</v>
      </c>
      <c r="F465" t="s">
        <v>143</v>
      </c>
      <c r="G465" t="s">
        <v>86</v>
      </c>
      <c r="H465" s="72" t="s">
        <v>209</v>
      </c>
      <c r="I465" s="72" t="s">
        <v>51</v>
      </c>
      <c r="J465" t="str">
        <f t="shared" si="28"/>
        <v>Nisqually River</v>
      </c>
      <c r="K465" t="str">
        <f>IFERROR(VLOOKUP(J465,LUTs!$A$1:$C$73,2,FALSE),"NA")</f>
        <v>Thurston/Pierce</v>
      </c>
      <c r="L465" t="str">
        <f>IFERROR(VLOOKUP(J465,LUTs!$A$1:$C$73,3,FALSE),"NA")</f>
        <v>3South Puget Sound</v>
      </c>
      <c r="M465" s="72" t="s">
        <v>20</v>
      </c>
      <c r="N465" t="str">
        <f>VLOOKUP(M465,LUTs!E$2:H$14,3,)</f>
        <v>07Pierce</v>
      </c>
      <c r="O465" t="str">
        <f>VLOOKUP(M465,LUTs!E$2:H$14,4,)</f>
        <v>02South Puget Sound</v>
      </c>
      <c r="P465" s="80">
        <v>0</v>
      </c>
      <c r="Q465" s="102">
        <v>0</v>
      </c>
      <c r="R465" s="74">
        <f>VLOOKUP(B465,Readme!A$40:C$52,3,)*Q465</f>
        <v>0</v>
      </c>
    </row>
    <row r="466" spans="1:18" ht="12" customHeight="1" x14ac:dyDescent="0.35">
      <c r="A466" s="75">
        <v>425</v>
      </c>
      <c r="B466" s="80">
        <v>2011</v>
      </c>
      <c r="C466" s="80">
        <v>9</v>
      </c>
      <c r="D466" s="80">
        <f t="shared" si="27"/>
        <v>2011</v>
      </c>
      <c r="E466" t="s">
        <v>38</v>
      </c>
      <c r="F466" t="s">
        <v>143</v>
      </c>
      <c r="G466" t="s">
        <v>86</v>
      </c>
      <c r="H466" s="72" t="s">
        <v>209</v>
      </c>
      <c r="I466" s="72" t="s">
        <v>51</v>
      </c>
      <c r="J466" t="str">
        <f t="shared" si="28"/>
        <v>Nisqually River</v>
      </c>
      <c r="K466" t="str">
        <f>IFERROR(VLOOKUP(J466,LUTs!$A$1:$C$73,2,FALSE),"NA")</f>
        <v>Thurston/Pierce</v>
      </c>
      <c r="L466" t="str">
        <f>IFERROR(VLOOKUP(J466,LUTs!$A$1:$C$73,3,FALSE),"NA")</f>
        <v>3South Puget Sound</v>
      </c>
      <c r="M466" s="72" t="s">
        <v>21</v>
      </c>
      <c r="N466" t="str">
        <f>VLOOKUP(M466,LUTs!E$2:H$14,3,)</f>
        <v>08Thurston</v>
      </c>
      <c r="O466" t="str">
        <f>VLOOKUP(M466,LUTs!E$2:H$14,4,)</f>
        <v>02South Puget Sound</v>
      </c>
      <c r="P466" s="80">
        <v>0</v>
      </c>
      <c r="Q466" s="102">
        <v>0</v>
      </c>
      <c r="R466" s="74">
        <f>VLOOKUP(B466,Readme!A$40:C$52,3,)*Q466</f>
        <v>0</v>
      </c>
    </row>
    <row r="467" spans="1:18" ht="12" customHeight="1" x14ac:dyDescent="0.35">
      <c r="A467" s="75">
        <v>435</v>
      </c>
      <c r="B467" s="80">
        <v>2011</v>
      </c>
      <c r="C467" s="80">
        <v>9</v>
      </c>
      <c r="D467" s="80">
        <f t="shared" si="27"/>
        <v>2011</v>
      </c>
      <c r="E467" t="s">
        <v>38</v>
      </c>
      <c r="F467" t="s">
        <v>143</v>
      </c>
      <c r="G467" t="s">
        <v>86</v>
      </c>
      <c r="H467" s="72" t="s">
        <v>241</v>
      </c>
      <c r="I467" s="72" t="s">
        <v>83</v>
      </c>
      <c r="J467" t="str">
        <f t="shared" si="28"/>
        <v>Nooksack River, below North Fork</v>
      </c>
      <c r="K467" t="str">
        <f>IFERROR(VLOOKUP(J467,LUTs!$A$1:$C$73,2,FALSE),"NA")</f>
        <v>Whatcom</v>
      </c>
      <c r="L467" t="str">
        <f>IFERROR(VLOOKUP(J467,LUTs!$A$1:$C$73,3,FALSE),"NA")</f>
        <v>1North Puget Sound</v>
      </c>
      <c r="M467" s="72" t="s">
        <v>13</v>
      </c>
      <c r="N467" t="str">
        <f>VLOOKUP(M467,LUTs!E$2:H$14,3,)</f>
        <v>01Whatcom</v>
      </c>
      <c r="O467" t="str">
        <f>VLOOKUP(M467,LUTs!E$2:H$14,4,)</f>
        <v>01North Puget Sound</v>
      </c>
      <c r="P467" s="80">
        <v>0</v>
      </c>
      <c r="Q467" s="102">
        <v>0</v>
      </c>
      <c r="R467" s="74">
        <f>VLOOKUP(B467,Readme!A$40:C$52,3,)*Q467</f>
        <v>0</v>
      </c>
    </row>
    <row r="468" spans="1:18" ht="12" customHeight="1" x14ac:dyDescent="0.35">
      <c r="A468" s="75">
        <v>444</v>
      </c>
      <c r="B468" s="80">
        <v>2011</v>
      </c>
      <c r="C468" s="80">
        <v>9</v>
      </c>
      <c r="D468" s="80">
        <f t="shared" si="27"/>
        <v>2011</v>
      </c>
      <c r="E468" t="s">
        <v>38</v>
      </c>
      <c r="F468" t="s">
        <v>143</v>
      </c>
      <c r="G468" t="s">
        <v>86</v>
      </c>
      <c r="H468" s="72" t="s">
        <v>212</v>
      </c>
      <c r="I468" s="72" t="s">
        <v>54</v>
      </c>
      <c r="J468" t="str">
        <f t="shared" si="28"/>
        <v>Puyallup River</v>
      </c>
      <c r="K468" t="str">
        <f>IFERROR(VLOOKUP(J468,LUTs!$A$1:$C$73,2,FALSE),"NA")</f>
        <v>Pierce</v>
      </c>
      <c r="L468" t="str">
        <f>IFERROR(VLOOKUP(J468,LUTs!$A$1:$C$73,3,FALSE),"NA")</f>
        <v>3South Puget Sound</v>
      </c>
      <c r="M468" s="72" t="s">
        <v>25</v>
      </c>
      <c r="N468" t="str">
        <f>VLOOKUP(M468,LUTs!E$2:H$14,3,)</f>
        <v>12Jefferson</v>
      </c>
      <c r="O468" t="str">
        <f>VLOOKUP(M468,LUTs!E$2:H$14,4,)</f>
        <v>03Strait of Juan de Fuca</v>
      </c>
      <c r="P468" s="80">
        <v>0</v>
      </c>
      <c r="Q468" s="102">
        <v>0</v>
      </c>
      <c r="R468" s="74">
        <f>VLOOKUP(B468,Readme!A$40:C$52,3,)*Q468</f>
        <v>0</v>
      </c>
    </row>
    <row r="469" spans="1:18" ht="12" customHeight="1" x14ac:dyDescent="0.35">
      <c r="A469" s="75">
        <v>445</v>
      </c>
      <c r="B469" s="80">
        <v>2011</v>
      </c>
      <c r="C469" s="80">
        <v>9</v>
      </c>
      <c r="D469" s="80">
        <f t="shared" si="27"/>
        <v>2011</v>
      </c>
      <c r="E469" t="s">
        <v>38</v>
      </c>
      <c r="F469" t="s">
        <v>143</v>
      </c>
      <c r="G469" t="s">
        <v>86</v>
      </c>
      <c r="H469" s="72" t="s">
        <v>212</v>
      </c>
      <c r="I469" s="72" t="s">
        <v>54</v>
      </c>
      <c r="J469" t="str">
        <f t="shared" si="28"/>
        <v>Puyallup River</v>
      </c>
      <c r="K469" t="str">
        <f>IFERROR(VLOOKUP(J469,LUTs!$A$1:$C$73,2,FALSE),"NA")</f>
        <v>Pierce</v>
      </c>
      <c r="L469" t="str">
        <f>IFERROR(VLOOKUP(J469,LUTs!$A$1:$C$73,3,FALSE),"NA")</f>
        <v>3South Puget Sound</v>
      </c>
      <c r="M469" s="72" t="s">
        <v>18</v>
      </c>
      <c r="N469" t="str">
        <f>VLOOKUP(M469,LUTs!E$2:H$14,3,)</f>
        <v>06King</v>
      </c>
      <c r="O469" t="str">
        <f>VLOOKUP(M469,LUTs!E$2:H$14,4,)</f>
        <v>02South Puget Sound</v>
      </c>
      <c r="P469" s="80">
        <v>0</v>
      </c>
      <c r="Q469" s="102">
        <v>0</v>
      </c>
      <c r="R469" s="74">
        <f>VLOOKUP(B469,Readme!A$40:C$52,3,)*Q469</f>
        <v>0</v>
      </c>
    </row>
    <row r="470" spans="1:18" ht="12" customHeight="1" x14ac:dyDescent="0.35">
      <c r="A470" s="75">
        <v>446</v>
      </c>
      <c r="B470" s="80">
        <v>2011</v>
      </c>
      <c r="C470" s="80">
        <v>9</v>
      </c>
      <c r="D470" s="80">
        <f t="shared" si="27"/>
        <v>2011</v>
      </c>
      <c r="E470" t="s">
        <v>38</v>
      </c>
      <c r="F470" t="s">
        <v>143</v>
      </c>
      <c r="G470" t="s">
        <v>86</v>
      </c>
      <c r="H470" s="72" t="s">
        <v>212</v>
      </c>
      <c r="I470" s="72" t="s">
        <v>54</v>
      </c>
      <c r="J470" t="str">
        <f t="shared" si="28"/>
        <v>Puyallup River</v>
      </c>
      <c r="K470" t="str">
        <f>IFERROR(VLOOKUP(J470,LUTs!$A$1:$C$73,2,FALSE),"NA")</f>
        <v>Pierce</v>
      </c>
      <c r="L470" t="str">
        <f>IFERROR(VLOOKUP(J470,LUTs!$A$1:$C$73,3,FALSE),"NA")</f>
        <v>3South Puget Sound</v>
      </c>
      <c r="M470" s="72" t="s">
        <v>26</v>
      </c>
      <c r="N470" t="str">
        <f>VLOOKUP(M470,LUTs!E$2:H$14,3,)</f>
        <v>20Other</v>
      </c>
      <c r="O470" t="str">
        <f>VLOOKUP(M470,LUTs!E$2:H$14,4,)</f>
        <v>07Non Puget Sound</v>
      </c>
      <c r="P470" s="80">
        <v>0</v>
      </c>
      <c r="Q470" s="102">
        <v>0</v>
      </c>
      <c r="R470" s="74">
        <f>VLOOKUP(B470,Readme!A$40:C$52,3,)*Q470</f>
        <v>0</v>
      </c>
    </row>
    <row r="471" spans="1:18" ht="12" customHeight="1" x14ac:dyDescent="0.35">
      <c r="A471" s="75">
        <v>447</v>
      </c>
      <c r="B471" s="80">
        <v>2011</v>
      </c>
      <c r="C471" s="80">
        <v>9</v>
      </c>
      <c r="D471" s="80">
        <f t="shared" si="27"/>
        <v>2011</v>
      </c>
      <c r="E471" t="s">
        <v>38</v>
      </c>
      <c r="F471" t="s">
        <v>143</v>
      </c>
      <c r="G471" t="s">
        <v>86</v>
      </c>
      <c r="H471" s="72" t="s">
        <v>212</v>
      </c>
      <c r="I471" s="72" t="s">
        <v>54</v>
      </c>
      <c r="J471" t="str">
        <f t="shared" si="28"/>
        <v>Puyallup River</v>
      </c>
      <c r="K471" t="str">
        <f>IFERROR(VLOOKUP(J471,LUTs!$A$1:$C$73,2,FALSE),"NA")</f>
        <v>Pierce</v>
      </c>
      <c r="L471" t="str">
        <f>IFERROR(VLOOKUP(J471,LUTs!$A$1:$C$73,3,FALSE),"NA")</f>
        <v>3South Puget Sound</v>
      </c>
      <c r="M471" s="72" t="s">
        <v>20</v>
      </c>
      <c r="N471" t="str">
        <f>VLOOKUP(M471,LUTs!E$2:H$14,3,)</f>
        <v>07Pierce</v>
      </c>
      <c r="O471" t="str">
        <f>VLOOKUP(M471,LUTs!E$2:H$14,4,)</f>
        <v>02South Puget Sound</v>
      </c>
      <c r="P471" s="80">
        <v>8</v>
      </c>
      <c r="Q471" s="102">
        <v>8</v>
      </c>
      <c r="R471" s="74">
        <f>VLOOKUP(B471,Readme!A$40:C$52,3,)*Q471</f>
        <v>148.4</v>
      </c>
    </row>
    <row r="472" spans="1:18" ht="12" customHeight="1" x14ac:dyDescent="0.35">
      <c r="A472" s="75">
        <v>448</v>
      </c>
      <c r="B472" s="80">
        <v>2011</v>
      </c>
      <c r="C472" s="80">
        <v>9</v>
      </c>
      <c r="D472" s="80">
        <f t="shared" si="27"/>
        <v>2011</v>
      </c>
      <c r="E472" t="s">
        <v>38</v>
      </c>
      <c r="F472" t="s">
        <v>143</v>
      </c>
      <c r="G472" t="s">
        <v>86</v>
      </c>
      <c r="H472" s="72" t="s">
        <v>212</v>
      </c>
      <c r="I472" s="72" t="s">
        <v>54</v>
      </c>
      <c r="J472" t="str">
        <f t="shared" si="28"/>
        <v>Puyallup River</v>
      </c>
      <c r="K472" t="str">
        <f>IFERROR(VLOOKUP(J472,LUTs!$A$1:$C$73,2,FALSE),"NA")</f>
        <v>Pierce</v>
      </c>
      <c r="L472" t="str">
        <f>IFERROR(VLOOKUP(J472,LUTs!$A$1:$C$73,3,FALSE),"NA")</f>
        <v>3South Puget Sound</v>
      </c>
      <c r="M472" s="72" t="s">
        <v>16</v>
      </c>
      <c r="N472" t="str">
        <f>VLOOKUP(M472,LUTs!E$2:H$14,3,)</f>
        <v>03Snohomish</v>
      </c>
      <c r="O472" t="str">
        <f>VLOOKUP(M472,LUTs!E$2:H$14,4,)</f>
        <v>01North Puget Sound</v>
      </c>
      <c r="P472" s="80">
        <v>0</v>
      </c>
      <c r="Q472" s="102">
        <v>0</v>
      </c>
      <c r="R472" s="74">
        <f>VLOOKUP(B472,Readme!A$40:C$52,3,)*Q472</f>
        <v>0</v>
      </c>
    </row>
    <row r="473" spans="1:18" ht="12" customHeight="1" x14ac:dyDescent="0.35">
      <c r="A473" s="75">
        <v>449</v>
      </c>
      <c r="B473" s="80">
        <v>2011</v>
      </c>
      <c r="C473" s="80">
        <v>9</v>
      </c>
      <c r="D473" s="80">
        <f t="shared" si="27"/>
        <v>2011</v>
      </c>
      <c r="E473" t="s">
        <v>38</v>
      </c>
      <c r="F473" t="s">
        <v>143</v>
      </c>
      <c r="G473" t="s">
        <v>86</v>
      </c>
      <c r="H473" s="72" t="s">
        <v>212</v>
      </c>
      <c r="I473" s="72" t="s">
        <v>54</v>
      </c>
      <c r="J473" t="str">
        <f t="shared" si="28"/>
        <v>Puyallup River</v>
      </c>
      <c r="K473" t="str">
        <f>IFERROR(VLOOKUP(J473,LUTs!$A$1:$C$73,2,FALSE),"NA")</f>
        <v>Pierce</v>
      </c>
      <c r="L473" t="str">
        <f>IFERROR(VLOOKUP(J473,LUTs!$A$1:$C$73,3,FALSE),"NA")</f>
        <v>3South Puget Sound</v>
      </c>
      <c r="M473" s="72" t="s">
        <v>21</v>
      </c>
      <c r="N473" t="str">
        <f>VLOOKUP(M473,LUTs!E$2:H$14,3,)</f>
        <v>08Thurston</v>
      </c>
      <c r="O473" t="str">
        <f>VLOOKUP(M473,LUTs!E$2:H$14,4,)</f>
        <v>02South Puget Sound</v>
      </c>
      <c r="P473" s="80">
        <v>0</v>
      </c>
      <c r="Q473" s="102">
        <v>0</v>
      </c>
      <c r="R473" s="74">
        <f>VLOOKUP(B473,Readme!A$40:C$52,3,)*Q473</f>
        <v>0</v>
      </c>
    </row>
    <row r="474" spans="1:18" ht="12" customHeight="1" x14ac:dyDescent="0.35">
      <c r="A474" s="75">
        <v>461</v>
      </c>
      <c r="B474" s="80">
        <v>2011</v>
      </c>
      <c r="C474" s="80">
        <v>9</v>
      </c>
      <c r="D474" s="80">
        <f t="shared" si="27"/>
        <v>2011</v>
      </c>
      <c r="E474" t="s">
        <v>38</v>
      </c>
      <c r="F474" t="s">
        <v>143</v>
      </c>
      <c r="G474" t="s">
        <v>86</v>
      </c>
      <c r="H474" s="72" t="s">
        <v>213</v>
      </c>
      <c r="I474" s="72" t="s">
        <v>55</v>
      </c>
      <c r="J474" t="str">
        <f t="shared" si="28"/>
        <v>Quilcene River</v>
      </c>
      <c r="K474" t="str">
        <f>IFERROR(VLOOKUP(J474,LUTs!$A$1:$C$73,2,FALSE),"NA")</f>
        <v>Jefferson</v>
      </c>
      <c r="L474" t="str">
        <f>IFERROR(VLOOKUP(J474,LUTs!$A$1:$C$73,3,FALSE),"NA")</f>
        <v>4 Hood Canal</v>
      </c>
      <c r="M474" s="72" t="s">
        <v>26</v>
      </c>
      <c r="N474" t="str">
        <f>VLOOKUP(M474,LUTs!E$2:H$14,3,)</f>
        <v>20Other</v>
      </c>
      <c r="O474" t="str">
        <f>VLOOKUP(M474,LUTs!E$2:H$14,4,)</f>
        <v>07Non Puget Sound</v>
      </c>
      <c r="P474" s="80">
        <v>0</v>
      </c>
      <c r="Q474" s="102">
        <v>0</v>
      </c>
      <c r="R474" s="74">
        <f>VLOOKUP(B474,Readme!A$40:C$52,3,)*Q474</f>
        <v>0</v>
      </c>
    </row>
    <row r="475" spans="1:18" ht="12" customHeight="1" x14ac:dyDescent="0.35">
      <c r="A475" s="75">
        <v>463</v>
      </c>
      <c r="B475" s="80">
        <v>2011</v>
      </c>
      <c r="C475" s="80">
        <v>9</v>
      </c>
      <c r="D475" s="80">
        <f t="shared" si="27"/>
        <v>2011</v>
      </c>
      <c r="E475" t="s">
        <v>38</v>
      </c>
      <c r="F475" t="s">
        <v>143</v>
      </c>
      <c r="G475" t="s">
        <v>86</v>
      </c>
      <c r="H475" s="72" t="s">
        <v>214</v>
      </c>
      <c r="I475" s="72" t="s">
        <v>56</v>
      </c>
      <c r="J475" t="str">
        <f t="shared" si="28"/>
        <v>Samish River</v>
      </c>
      <c r="K475" t="str">
        <f>IFERROR(VLOOKUP(J475,LUTs!$A$1:$C$73,2,FALSE),"NA")</f>
        <v>Skagit</v>
      </c>
      <c r="L475" t="str">
        <f>IFERROR(VLOOKUP(J475,LUTs!$A$1:$C$73,3,FALSE),"NA")</f>
        <v>1North Puget Sound</v>
      </c>
      <c r="M475" s="72" t="s">
        <v>16</v>
      </c>
      <c r="N475" t="str">
        <f>VLOOKUP(M475,LUTs!E$2:H$14,3,)</f>
        <v>03Snohomish</v>
      </c>
      <c r="O475" t="str">
        <f>VLOOKUP(M475,LUTs!E$2:H$14,4,)</f>
        <v>01North Puget Sound</v>
      </c>
      <c r="P475" s="80">
        <v>0</v>
      </c>
      <c r="Q475" s="102">
        <v>0</v>
      </c>
      <c r="R475" s="74">
        <f>VLOOKUP(B475,Readme!A$40:C$52,3,)*Q475</f>
        <v>0</v>
      </c>
    </row>
    <row r="476" spans="1:18" ht="12" customHeight="1" x14ac:dyDescent="0.35">
      <c r="A476" s="75">
        <v>505</v>
      </c>
      <c r="B476" s="80">
        <v>2011</v>
      </c>
      <c r="C476" s="80">
        <v>9</v>
      </c>
      <c r="D476" s="80">
        <f t="shared" si="27"/>
        <v>2011</v>
      </c>
      <c r="E476" t="s">
        <v>38</v>
      </c>
      <c r="F476" t="s">
        <v>143</v>
      </c>
      <c r="G476" t="s">
        <v>86</v>
      </c>
      <c r="H476" s="72" t="s">
        <v>218</v>
      </c>
      <c r="I476" s="72" t="s">
        <v>60</v>
      </c>
      <c r="J476" t="str">
        <f t="shared" si="28"/>
        <v>Skagit River</v>
      </c>
      <c r="K476" t="str">
        <f>IFERROR(VLOOKUP(J476,LUTs!$A$1:$C$73,2,FALSE),"NA")</f>
        <v>Skagit/Whatcom</v>
      </c>
      <c r="L476" t="str">
        <f>IFERROR(VLOOKUP(J476,LUTs!$A$1:$C$73,3,FALSE),"NA")</f>
        <v>2Central Puget Sound</v>
      </c>
      <c r="M476" s="72" t="s">
        <v>26</v>
      </c>
      <c r="N476" t="str">
        <f>VLOOKUP(M476,LUTs!E$2:H$14,3,)</f>
        <v>20Other</v>
      </c>
      <c r="O476" t="str">
        <f>VLOOKUP(M476,LUTs!E$2:H$14,4,)</f>
        <v>07Non Puget Sound</v>
      </c>
      <c r="P476" s="80">
        <v>0</v>
      </c>
      <c r="Q476" s="102">
        <v>0</v>
      </c>
      <c r="R476" s="74">
        <f>VLOOKUP(B476,Readme!A$40:C$52,3,)*Q476</f>
        <v>0</v>
      </c>
    </row>
    <row r="477" spans="1:18" ht="12" customHeight="1" x14ac:dyDescent="0.35">
      <c r="A477" s="75">
        <v>506</v>
      </c>
      <c r="B477" s="80">
        <v>2011</v>
      </c>
      <c r="C477" s="80">
        <v>9</v>
      </c>
      <c r="D477" s="80">
        <f t="shared" si="27"/>
        <v>2011</v>
      </c>
      <c r="E477" t="s">
        <v>38</v>
      </c>
      <c r="F477" t="s">
        <v>143</v>
      </c>
      <c r="G477" t="s">
        <v>86</v>
      </c>
      <c r="H477" s="72" t="s">
        <v>218</v>
      </c>
      <c r="I477" s="72" t="s">
        <v>60</v>
      </c>
      <c r="J477" t="str">
        <f t="shared" si="28"/>
        <v>Skagit River</v>
      </c>
      <c r="K477" t="str">
        <f>IFERROR(VLOOKUP(J477,LUTs!$A$1:$C$73,2,FALSE),"NA")</f>
        <v>Skagit/Whatcom</v>
      </c>
      <c r="L477" t="str">
        <f>IFERROR(VLOOKUP(J477,LUTs!$A$1:$C$73,3,FALSE),"NA")</f>
        <v>2Central Puget Sound</v>
      </c>
      <c r="M477" s="72" t="s">
        <v>20</v>
      </c>
      <c r="N477" t="str">
        <f>VLOOKUP(M477,LUTs!E$2:H$14,3,)</f>
        <v>07Pierce</v>
      </c>
      <c r="O477" t="str">
        <f>VLOOKUP(M477,LUTs!E$2:H$14,4,)</f>
        <v>02South Puget Sound</v>
      </c>
      <c r="P477" s="80">
        <v>0</v>
      </c>
      <c r="Q477" s="102">
        <v>0</v>
      </c>
      <c r="R477" s="74">
        <f>VLOOKUP(B477,Readme!A$40:C$52,3,)*Q477</f>
        <v>0</v>
      </c>
    </row>
    <row r="478" spans="1:18" ht="12" customHeight="1" x14ac:dyDescent="0.35">
      <c r="A478" s="75">
        <v>507</v>
      </c>
      <c r="B478" s="80">
        <v>2011</v>
      </c>
      <c r="C478" s="80">
        <v>9</v>
      </c>
      <c r="D478" s="80">
        <f t="shared" si="27"/>
        <v>2011</v>
      </c>
      <c r="E478" t="s">
        <v>38</v>
      </c>
      <c r="F478" t="s">
        <v>143</v>
      </c>
      <c r="G478" t="s">
        <v>86</v>
      </c>
      <c r="H478" s="72" t="s">
        <v>218</v>
      </c>
      <c r="I478" s="72" t="s">
        <v>60</v>
      </c>
      <c r="J478" t="str">
        <f t="shared" si="28"/>
        <v>Skagit River</v>
      </c>
      <c r="K478" t="str">
        <f>IFERROR(VLOOKUP(J478,LUTs!$A$1:$C$73,2,FALSE),"NA")</f>
        <v>Skagit/Whatcom</v>
      </c>
      <c r="L478" t="str">
        <f>IFERROR(VLOOKUP(J478,LUTs!$A$1:$C$73,3,FALSE),"NA")</f>
        <v>2Central Puget Sound</v>
      </c>
      <c r="M478" s="72" t="s">
        <v>15</v>
      </c>
      <c r="N478" t="str">
        <f>VLOOKUP(M478,LUTs!E$2:H$14,3,)</f>
        <v>02Skagit</v>
      </c>
      <c r="O478" t="str">
        <f>VLOOKUP(M478,LUTs!E$2:H$14,4,)</f>
        <v>01North Puget Sound</v>
      </c>
      <c r="P478" s="80">
        <v>4</v>
      </c>
      <c r="Q478" s="102">
        <v>4</v>
      </c>
      <c r="R478" s="74">
        <f>VLOOKUP(B478,Readme!A$40:C$52,3,)*Q478</f>
        <v>74.2</v>
      </c>
    </row>
    <row r="479" spans="1:18" ht="12" customHeight="1" x14ac:dyDescent="0.35">
      <c r="A479" s="75">
        <v>508</v>
      </c>
      <c r="B479" s="80">
        <v>2011</v>
      </c>
      <c r="C479" s="80">
        <v>9</v>
      </c>
      <c r="D479" s="80">
        <f t="shared" si="27"/>
        <v>2011</v>
      </c>
      <c r="E479" t="s">
        <v>38</v>
      </c>
      <c r="F479" t="s">
        <v>143</v>
      </c>
      <c r="G479" t="s">
        <v>86</v>
      </c>
      <c r="H479" s="72" t="s">
        <v>218</v>
      </c>
      <c r="I479" s="72" t="s">
        <v>60</v>
      </c>
      <c r="J479" t="str">
        <f t="shared" si="28"/>
        <v>Skagit River</v>
      </c>
      <c r="K479" t="str">
        <f>IFERROR(VLOOKUP(J479,LUTs!$A$1:$C$73,2,FALSE),"NA")</f>
        <v>Skagit/Whatcom</v>
      </c>
      <c r="L479" t="str">
        <f>IFERROR(VLOOKUP(J479,LUTs!$A$1:$C$73,3,FALSE),"NA")</f>
        <v>2Central Puget Sound</v>
      </c>
      <c r="M479" s="72" t="s">
        <v>16</v>
      </c>
      <c r="N479" t="str">
        <f>VLOOKUP(M479,LUTs!E$2:H$14,3,)</f>
        <v>03Snohomish</v>
      </c>
      <c r="O479" t="str">
        <f>VLOOKUP(M479,LUTs!E$2:H$14,4,)</f>
        <v>01North Puget Sound</v>
      </c>
      <c r="P479" s="80">
        <v>0</v>
      </c>
      <c r="Q479" s="102">
        <v>0</v>
      </c>
      <c r="R479" s="74">
        <f>VLOOKUP(B479,Readme!A$40:C$52,3,)*Q479</f>
        <v>0</v>
      </c>
    </row>
    <row r="480" spans="1:18" ht="12" customHeight="1" x14ac:dyDescent="0.35">
      <c r="A480" s="75">
        <v>528</v>
      </c>
      <c r="B480" s="80">
        <v>2011</v>
      </c>
      <c r="C480" s="80">
        <v>9</v>
      </c>
      <c r="D480" s="80">
        <f t="shared" si="27"/>
        <v>2011</v>
      </c>
      <c r="E480" t="s">
        <v>38</v>
      </c>
      <c r="F480" t="s">
        <v>143</v>
      </c>
      <c r="G480" t="s">
        <v>86</v>
      </c>
      <c r="H480" s="72" t="s">
        <v>219</v>
      </c>
      <c r="I480" s="72" t="s">
        <v>259</v>
      </c>
      <c r="J480" s="84" t="s">
        <v>61</v>
      </c>
      <c r="K480" t="str">
        <f>IFERROR(VLOOKUP(J480,LUTs!$A$1:$C$73,2,FALSE),"NA")</f>
        <v>Mason</v>
      </c>
      <c r="L480" t="str">
        <f>IFERROR(VLOOKUP(J480,LUTs!$A$1:$C$73,3,FALSE),"NA")</f>
        <v>4 Hood Canal</v>
      </c>
      <c r="M480" s="72" t="s">
        <v>20</v>
      </c>
      <c r="N480" t="str">
        <f>VLOOKUP(M480,LUTs!E$2:H$14,3,)</f>
        <v>07Pierce</v>
      </c>
      <c r="O480" t="str">
        <f>VLOOKUP(M480,LUTs!E$2:H$14,4,)</f>
        <v>02South Puget Sound</v>
      </c>
      <c r="P480" s="80">
        <v>0</v>
      </c>
      <c r="Q480" s="102">
        <v>0</v>
      </c>
      <c r="R480" s="74">
        <f>VLOOKUP(B480,Readme!A$40:C$52,3,)*Q480</f>
        <v>0</v>
      </c>
    </row>
    <row r="481" spans="1:18" ht="12" customHeight="1" x14ac:dyDescent="0.35">
      <c r="A481" s="75">
        <v>557</v>
      </c>
      <c r="B481" s="80">
        <v>2011</v>
      </c>
      <c r="C481" s="80">
        <v>9</v>
      </c>
      <c r="D481" s="80">
        <f t="shared" si="27"/>
        <v>2011</v>
      </c>
      <c r="E481" t="s">
        <v>38</v>
      </c>
      <c r="F481" t="s">
        <v>143</v>
      </c>
      <c r="G481" t="s">
        <v>86</v>
      </c>
      <c r="H481" s="72" t="s">
        <v>220</v>
      </c>
      <c r="I481" s="72" t="s">
        <v>62</v>
      </c>
      <c r="J481" t="str">
        <f t="shared" ref="J481:J499" si="29">I481</f>
        <v>Skykomish River</v>
      </c>
      <c r="K481" t="str">
        <f>IFERROR(VLOOKUP(J481,LUTs!$A$1:$C$73,2,FALSE),"NA")</f>
        <v>Snohomish</v>
      </c>
      <c r="L481" t="str">
        <f>IFERROR(VLOOKUP(J481,LUTs!$A$1:$C$73,3,FALSE),"NA")</f>
        <v>2Central Puget Sound</v>
      </c>
      <c r="M481" s="72" t="s">
        <v>18</v>
      </c>
      <c r="N481" t="str">
        <f>VLOOKUP(M481,LUTs!E$2:H$14,3,)</f>
        <v>06King</v>
      </c>
      <c r="O481" t="str">
        <f>VLOOKUP(M481,LUTs!E$2:H$14,4,)</f>
        <v>02South Puget Sound</v>
      </c>
      <c r="P481" s="80">
        <v>59.142857142857203</v>
      </c>
      <c r="Q481" s="102">
        <v>59.142857142857203</v>
      </c>
      <c r="R481" s="74">
        <f>VLOOKUP(B481,Readme!A$40:C$52,3,)*Q481</f>
        <v>1097.100000000001</v>
      </c>
    </row>
    <row r="482" spans="1:18" ht="12" customHeight="1" x14ac:dyDescent="0.35">
      <c r="A482" s="75">
        <v>558</v>
      </c>
      <c r="B482" s="80">
        <v>2011</v>
      </c>
      <c r="C482" s="80">
        <v>9</v>
      </c>
      <c r="D482" s="80">
        <f t="shared" si="27"/>
        <v>2011</v>
      </c>
      <c r="E482" t="s">
        <v>38</v>
      </c>
      <c r="F482" t="s">
        <v>143</v>
      </c>
      <c r="G482" t="s">
        <v>86</v>
      </c>
      <c r="H482" s="72" t="s">
        <v>220</v>
      </c>
      <c r="I482" s="72" t="s">
        <v>62</v>
      </c>
      <c r="J482" t="str">
        <f t="shared" si="29"/>
        <v>Skykomish River</v>
      </c>
      <c r="K482" t="str">
        <f>IFERROR(VLOOKUP(J482,LUTs!$A$1:$C$73,2,FALSE),"NA")</f>
        <v>Snohomish</v>
      </c>
      <c r="L482" t="str">
        <f>IFERROR(VLOOKUP(J482,LUTs!$A$1:$C$73,3,FALSE),"NA")</f>
        <v>2Central Puget Sound</v>
      </c>
      <c r="M482" s="72" t="s">
        <v>26</v>
      </c>
      <c r="N482" t="str">
        <f>VLOOKUP(M482,LUTs!E$2:H$14,3,)</f>
        <v>20Other</v>
      </c>
      <c r="O482" t="str">
        <f>VLOOKUP(M482,LUTs!E$2:H$14,4,)</f>
        <v>07Non Puget Sound</v>
      </c>
      <c r="P482" s="80">
        <v>11.265306122448999</v>
      </c>
      <c r="Q482" s="102">
        <v>11.265306122448999</v>
      </c>
      <c r="R482" s="74">
        <f>VLOOKUP(B482,Readme!A$40:C$52,3,)*Q482</f>
        <v>208.97142857142893</v>
      </c>
    </row>
    <row r="483" spans="1:18" ht="12" customHeight="1" x14ac:dyDescent="0.35">
      <c r="A483" s="75">
        <v>559</v>
      </c>
      <c r="B483" s="80">
        <v>2011</v>
      </c>
      <c r="C483" s="80">
        <v>9</v>
      </c>
      <c r="D483" s="80">
        <f t="shared" si="27"/>
        <v>2011</v>
      </c>
      <c r="E483" t="s">
        <v>38</v>
      </c>
      <c r="F483" t="s">
        <v>143</v>
      </c>
      <c r="G483" t="s">
        <v>86</v>
      </c>
      <c r="H483" s="72" t="s">
        <v>220</v>
      </c>
      <c r="I483" s="72" t="s">
        <v>62</v>
      </c>
      <c r="J483" t="str">
        <f t="shared" si="29"/>
        <v>Skykomish River</v>
      </c>
      <c r="K483" t="str">
        <f>IFERROR(VLOOKUP(J483,LUTs!$A$1:$C$73,2,FALSE),"NA")</f>
        <v>Snohomish</v>
      </c>
      <c r="L483" t="str">
        <f>IFERROR(VLOOKUP(J483,LUTs!$A$1:$C$73,3,FALSE),"NA")</f>
        <v>2Central Puget Sound</v>
      </c>
      <c r="M483" s="72" t="s">
        <v>16</v>
      </c>
      <c r="N483" t="str">
        <f>VLOOKUP(M483,LUTs!E$2:H$14,3,)</f>
        <v>03Snohomish</v>
      </c>
      <c r="O483" t="str">
        <f>VLOOKUP(M483,LUTs!E$2:H$14,4,)</f>
        <v>01North Puget Sound</v>
      </c>
      <c r="P483" s="80">
        <v>67.591836734693899</v>
      </c>
      <c r="Q483" s="102">
        <v>67.591836734693899</v>
      </c>
      <c r="R483" s="74">
        <f>VLOOKUP(B483,Readme!A$40:C$52,3,)*Q483</f>
        <v>1253.8285714285719</v>
      </c>
    </row>
    <row r="484" spans="1:18" ht="12" customHeight="1" x14ac:dyDescent="0.35">
      <c r="A484" s="75">
        <v>589</v>
      </c>
      <c r="B484" s="80">
        <v>2011</v>
      </c>
      <c r="C484" s="80">
        <v>9</v>
      </c>
      <c r="D484" s="80">
        <f t="shared" si="27"/>
        <v>2011</v>
      </c>
      <c r="E484" t="s">
        <v>38</v>
      </c>
      <c r="F484" t="s">
        <v>143</v>
      </c>
      <c r="G484" t="s">
        <v>86</v>
      </c>
      <c r="H484" s="72" t="s">
        <v>247</v>
      </c>
      <c r="I484" s="72" t="s">
        <v>98</v>
      </c>
      <c r="J484" t="str">
        <f t="shared" si="29"/>
        <v>Skykomish River, No. Fork</v>
      </c>
      <c r="K484" t="str">
        <f>IFERROR(VLOOKUP(J484,LUTs!$A$1:$C$73,2,FALSE),"NA")</f>
        <v>Snohomish</v>
      </c>
      <c r="L484" t="str">
        <f>IFERROR(VLOOKUP(J484,LUTs!$A$1:$C$73,3,FALSE),"NA")</f>
        <v>2Central Puget Sound</v>
      </c>
      <c r="M484" s="72" t="s">
        <v>16</v>
      </c>
      <c r="N484" t="str">
        <f>VLOOKUP(M484,LUTs!E$2:H$14,3,)</f>
        <v>03Snohomish</v>
      </c>
      <c r="O484" t="str">
        <f>VLOOKUP(M484,LUTs!E$2:H$14,4,)</f>
        <v>01North Puget Sound</v>
      </c>
      <c r="P484" s="80">
        <v>6</v>
      </c>
      <c r="Q484" s="102">
        <v>6</v>
      </c>
      <c r="R484" s="74">
        <f>VLOOKUP(B484,Readme!A$40:C$52,3,)*Q484</f>
        <v>111.30000000000001</v>
      </c>
    </row>
    <row r="485" spans="1:18" ht="12" customHeight="1" x14ac:dyDescent="0.35">
      <c r="A485" s="75">
        <v>604</v>
      </c>
      <c r="B485" s="80">
        <v>2011</v>
      </c>
      <c r="C485" s="80">
        <v>9</v>
      </c>
      <c r="D485" s="80">
        <f t="shared" si="27"/>
        <v>2011</v>
      </c>
      <c r="E485" t="s">
        <v>38</v>
      </c>
      <c r="F485" t="s">
        <v>143</v>
      </c>
      <c r="G485" t="s">
        <v>86</v>
      </c>
      <c r="H485" s="72" t="s">
        <v>221</v>
      </c>
      <c r="I485" s="72" t="s">
        <v>63</v>
      </c>
      <c r="J485" t="str">
        <f t="shared" si="29"/>
        <v>Snohomish River</v>
      </c>
      <c r="K485" t="str">
        <f>IFERROR(VLOOKUP(J485,LUTs!$A$1:$C$73,2,FALSE),"NA")</f>
        <v>Snohomish</v>
      </c>
      <c r="L485" t="str">
        <f>IFERROR(VLOOKUP(J485,LUTs!$A$1:$C$73,3,FALSE),"NA")</f>
        <v>2Central Puget Sound</v>
      </c>
      <c r="M485" s="72" t="s">
        <v>24</v>
      </c>
      <c r="N485" t="str">
        <f>VLOOKUP(M485,LUTs!E$2:H$14,3,)</f>
        <v>11Clallam</v>
      </c>
      <c r="O485" t="str">
        <f>VLOOKUP(M485,LUTs!E$2:H$14,4,)</f>
        <v>03Strait of Juan de Fuca</v>
      </c>
      <c r="P485" s="80">
        <v>14</v>
      </c>
      <c r="Q485" s="102">
        <v>14</v>
      </c>
      <c r="R485" s="74">
        <f>VLOOKUP(B485,Readme!A$40:C$52,3,)*Q485</f>
        <v>259.7</v>
      </c>
    </row>
    <row r="486" spans="1:18" ht="12" customHeight="1" x14ac:dyDescent="0.35">
      <c r="A486" s="75">
        <v>605</v>
      </c>
      <c r="B486" s="80">
        <v>2011</v>
      </c>
      <c r="C486" s="80">
        <v>9</v>
      </c>
      <c r="D486" s="80">
        <f t="shared" si="27"/>
        <v>2011</v>
      </c>
      <c r="E486" t="s">
        <v>38</v>
      </c>
      <c r="F486" t="s">
        <v>143</v>
      </c>
      <c r="G486" t="s">
        <v>86</v>
      </c>
      <c r="H486" s="72" t="s">
        <v>221</v>
      </c>
      <c r="I486" s="72" t="s">
        <v>63</v>
      </c>
      <c r="J486" t="str">
        <f t="shared" si="29"/>
        <v>Snohomish River</v>
      </c>
      <c r="K486" t="str">
        <f>IFERROR(VLOOKUP(J486,LUTs!$A$1:$C$73,2,FALSE),"NA")</f>
        <v>Snohomish</v>
      </c>
      <c r="L486" t="str">
        <f>IFERROR(VLOOKUP(J486,LUTs!$A$1:$C$73,3,FALSE),"NA")</f>
        <v>2Central Puget Sound</v>
      </c>
      <c r="M486" s="72" t="s">
        <v>18</v>
      </c>
      <c r="N486" t="str">
        <f>VLOOKUP(M486,LUTs!E$2:H$14,3,)</f>
        <v>06King</v>
      </c>
      <c r="O486" t="str">
        <f>VLOOKUP(M486,LUTs!E$2:H$14,4,)</f>
        <v>02South Puget Sound</v>
      </c>
      <c r="P486" s="80">
        <v>8.4</v>
      </c>
      <c r="Q486" s="102">
        <v>8.4</v>
      </c>
      <c r="R486" s="74">
        <f>VLOOKUP(B486,Readme!A$40:C$52,3,)*Q486</f>
        <v>155.82000000000002</v>
      </c>
    </row>
    <row r="487" spans="1:18" ht="12" customHeight="1" x14ac:dyDescent="0.35">
      <c r="A487" s="75">
        <v>606</v>
      </c>
      <c r="B487" s="80">
        <v>2011</v>
      </c>
      <c r="C487" s="80">
        <v>9</v>
      </c>
      <c r="D487" s="80">
        <f t="shared" si="27"/>
        <v>2011</v>
      </c>
      <c r="E487" t="s">
        <v>38</v>
      </c>
      <c r="F487" t="s">
        <v>143</v>
      </c>
      <c r="G487" t="s">
        <v>86</v>
      </c>
      <c r="H487" s="72" t="s">
        <v>221</v>
      </c>
      <c r="I487" s="72" t="s">
        <v>63</v>
      </c>
      <c r="J487" t="str">
        <f t="shared" si="29"/>
        <v>Snohomish River</v>
      </c>
      <c r="K487" t="str">
        <f>IFERROR(VLOOKUP(J487,LUTs!$A$1:$C$73,2,FALSE),"NA")</f>
        <v>Snohomish</v>
      </c>
      <c r="L487" t="str">
        <f>IFERROR(VLOOKUP(J487,LUTs!$A$1:$C$73,3,FALSE),"NA")</f>
        <v>2Central Puget Sound</v>
      </c>
      <c r="M487" s="72" t="s">
        <v>26</v>
      </c>
      <c r="N487" t="str">
        <f>VLOOKUP(M487,LUTs!E$2:H$14,3,)</f>
        <v>20Other</v>
      </c>
      <c r="O487" t="str">
        <f>VLOOKUP(M487,LUTs!E$2:H$14,4,)</f>
        <v>07Non Puget Sound</v>
      </c>
      <c r="P487" s="80">
        <v>5.6</v>
      </c>
      <c r="Q487" s="102">
        <v>5.6</v>
      </c>
      <c r="R487" s="74">
        <f>VLOOKUP(B487,Readme!A$40:C$52,3,)*Q487</f>
        <v>103.88</v>
      </c>
    </row>
    <row r="488" spans="1:18" ht="12" customHeight="1" x14ac:dyDescent="0.35">
      <c r="A488" s="75">
        <v>607</v>
      </c>
      <c r="B488" s="80">
        <v>2011</v>
      </c>
      <c r="C488" s="80">
        <v>9</v>
      </c>
      <c r="D488" s="80">
        <f t="shared" si="27"/>
        <v>2011</v>
      </c>
      <c r="E488" t="s">
        <v>38</v>
      </c>
      <c r="F488" t="s">
        <v>143</v>
      </c>
      <c r="G488" t="s">
        <v>86</v>
      </c>
      <c r="H488" s="72" t="s">
        <v>221</v>
      </c>
      <c r="I488" s="72" t="s">
        <v>63</v>
      </c>
      <c r="J488" t="str">
        <f t="shared" si="29"/>
        <v>Snohomish River</v>
      </c>
      <c r="K488" t="str">
        <f>IFERROR(VLOOKUP(J488,LUTs!$A$1:$C$73,2,FALSE),"NA")</f>
        <v>Snohomish</v>
      </c>
      <c r="L488" t="str">
        <f>IFERROR(VLOOKUP(J488,LUTs!$A$1:$C$73,3,FALSE),"NA")</f>
        <v>2Central Puget Sound</v>
      </c>
      <c r="M488" s="72" t="s">
        <v>16</v>
      </c>
      <c r="N488" t="str">
        <f>VLOOKUP(M488,LUTs!E$2:H$14,3,)</f>
        <v>03Snohomish</v>
      </c>
      <c r="O488" t="str">
        <f>VLOOKUP(M488,LUTs!E$2:H$14,4,)</f>
        <v>01North Puget Sound</v>
      </c>
      <c r="P488" s="80">
        <v>56</v>
      </c>
      <c r="Q488" s="102">
        <v>56</v>
      </c>
      <c r="R488" s="74">
        <f>VLOOKUP(B488,Readme!A$40:C$52,3,)*Q488</f>
        <v>1038.8</v>
      </c>
    </row>
    <row r="489" spans="1:18" ht="12" customHeight="1" x14ac:dyDescent="0.35">
      <c r="A489" s="75">
        <v>622</v>
      </c>
      <c r="B489" s="80">
        <v>2011</v>
      </c>
      <c r="C489" s="80">
        <v>9</v>
      </c>
      <c r="D489" s="80">
        <f t="shared" si="27"/>
        <v>2011</v>
      </c>
      <c r="E489" t="s">
        <v>38</v>
      </c>
      <c r="F489" t="s">
        <v>143</v>
      </c>
      <c r="G489" t="s">
        <v>86</v>
      </c>
      <c r="H489" s="72" t="s">
        <v>222</v>
      </c>
      <c r="I489" s="72" t="s">
        <v>64</v>
      </c>
      <c r="J489" t="str">
        <f t="shared" si="29"/>
        <v>Snoqualmie River</v>
      </c>
      <c r="K489" t="str">
        <f>IFERROR(VLOOKUP(J489,LUTs!$A$1:$C$73,2,FALSE),"NA")</f>
        <v>Snohomish/King</v>
      </c>
      <c r="L489" t="str">
        <f>IFERROR(VLOOKUP(J489,LUTs!$A$1:$C$73,3,FALSE),"NA")</f>
        <v>2Central Puget Sound</v>
      </c>
      <c r="M489" s="72" t="s">
        <v>18</v>
      </c>
      <c r="N489" t="str">
        <f>VLOOKUP(M489,LUTs!E$2:H$14,3,)</f>
        <v>06King</v>
      </c>
      <c r="O489" t="str">
        <f>VLOOKUP(M489,LUTs!E$2:H$14,4,)</f>
        <v>02South Puget Sound</v>
      </c>
      <c r="P489" s="80">
        <v>11</v>
      </c>
      <c r="Q489" s="102">
        <v>11</v>
      </c>
      <c r="R489" s="74">
        <f>VLOOKUP(B489,Readme!A$40:C$52,3,)*Q489</f>
        <v>204.05</v>
      </c>
    </row>
    <row r="490" spans="1:18" ht="12" customHeight="1" x14ac:dyDescent="0.35">
      <c r="A490" s="75">
        <v>686</v>
      </c>
      <c r="B490" s="80">
        <v>2011</v>
      </c>
      <c r="C490" s="80">
        <v>9</v>
      </c>
      <c r="D490" s="80">
        <f t="shared" si="27"/>
        <v>2011</v>
      </c>
      <c r="E490" t="s">
        <v>38</v>
      </c>
      <c r="F490" t="s">
        <v>143</v>
      </c>
      <c r="G490" t="s">
        <v>86</v>
      </c>
      <c r="H490" s="72" t="s">
        <v>223</v>
      </c>
      <c r="I490" s="72" t="s">
        <v>103</v>
      </c>
      <c r="J490" t="str">
        <f t="shared" si="29"/>
        <v>Stillaguamish R, No. Fork</v>
      </c>
      <c r="K490" t="str">
        <f>IFERROR(VLOOKUP(J490,LUTs!$A$1:$C$73,2,FALSE),"NA")</f>
        <v>Snohomish</v>
      </c>
      <c r="L490" t="str">
        <f>IFERROR(VLOOKUP(J490,LUTs!$A$1:$C$73,3,FALSE),"NA")</f>
        <v>2Central Puget Sound</v>
      </c>
      <c r="M490" s="72" t="s">
        <v>16</v>
      </c>
      <c r="N490" t="str">
        <f>VLOOKUP(M490,LUTs!E$2:H$14,3,)</f>
        <v>03Snohomish</v>
      </c>
      <c r="O490" t="str">
        <f>VLOOKUP(M490,LUTs!E$2:H$14,4,)</f>
        <v>01North Puget Sound</v>
      </c>
      <c r="P490" s="80">
        <v>11</v>
      </c>
      <c r="Q490" s="102">
        <v>11</v>
      </c>
      <c r="R490" s="74">
        <f>VLOOKUP(B490,Readme!A$40:C$52,3,)*Q490</f>
        <v>204.05</v>
      </c>
    </row>
    <row r="491" spans="1:18" ht="12" customHeight="1" x14ac:dyDescent="0.35">
      <c r="A491" s="75">
        <v>703</v>
      </c>
      <c r="B491" s="80">
        <v>2011</v>
      </c>
      <c r="C491" s="80">
        <v>9</v>
      </c>
      <c r="D491" s="80">
        <f t="shared" si="27"/>
        <v>2011</v>
      </c>
      <c r="E491" t="s">
        <v>38</v>
      </c>
      <c r="F491" t="s">
        <v>143</v>
      </c>
      <c r="G491" t="s">
        <v>86</v>
      </c>
      <c r="H491" s="72" t="s">
        <v>252</v>
      </c>
      <c r="I491" s="72" t="s">
        <v>104</v>
      </c>
      <c r="J491" t="str">
        <f t="shared" si="29"/>
        <v>Stillaguamish R, So. Fork</v>
      </c>
      <c r="K491" t="str">
        <f>IFERROR(VLOOKUP(J491,LUTs!$A$1:$C$73,2,FALSE),"NA")</f>
        <v>Snohomish</v>
      </c>
      <c r="L491" t="str">
        <f>IFERROR(VLOOKUP(J491,LUTs!$A$1:$C$73,3,FALSE),"NA")</f>
        <v>2Central Puget Sound</v>
      </c>
      <c r="M491" s="72" t="s">
        <v>16</v>
      </c>
      <c r="N491" t="str">
        <f>VLOOKUP(M491,LUTs!E$2:H$14,3,)</f>
        <v>03Snohomish</v>
      </c>
      <c r="O491" t="str">
        <f>VLOOKUP(M491,LUTs!E$2:H$14,4,)</f>
        <v>01North Puget Sound</v>
      </c>
      <c r="P491" s="80">
        <v>4</v>
      </c>
      <c r="Q491" s="102">
        <v>4</v>
      </c>
      <c r="R491" s="74">
        <f>VLOOKUP(B491,Readme!A$40:C$52,3,)*Q491</f>
        <v>74.2</v>
      </c>
    </row>
    <row r="492" spans="1:18" ht="12" customHeight="1" x14ac:dyDescent="0.35">
      <c r="A492" s="75">
        <v>704</v>
      </c>
      <c r="B492" s="80">
        <v>2011</v>
      </c>
      <c r="C492" s="80">
        <v>9</v>
      </c>
      <c r="D492" s="80">
        <f t="shared" si="27"/>
        <v>2011</v>
      </c>
      <c r="E492" t="s">
        <v>38</v>
      </c>
      <c r="F492" t="s">
        <v>143</v>
      </c>
      <c r="G492" t="s">
        <v>86</v>
      </c>
      <c r="H492" s="72" t="s">
        <v>253</v>
      </c>
      <c r="I492" s="72" t="s">
        <v>65</v>
      </c>
      <c r="J492" t="str">
        <f t="shared" si="29"/>
        <v>Stillaguamish River</v>
      </c>
      <c r="K492" t="str">
        <f>IFERROR(VLOOKUP(J492,LUTs!$A$1:$C$73,2,FALSE),"NA")</f>
        <v>Snohomish</v>
      </c>
      <c r="L492" t="str">
        <f>IFERROR(VLOOKUP(J492,LUTs!$A$1:$C$73,3,FALSE),"NA")</f>
        <v>2Central Puget Sound</v>
      </c>
      <c r="M492" s="72" t="s">
        <v>18</v>
      </c>
      <c r="N492" t="str">
        <f>VLOOKUP(M492,LUTs!E$2:H$14,3,)</f>
        <v>06King</v>
      </c>
      <c r="O492" t="str">
        <f>VLOOKUP(M492,LUTs!E$2:H$14,4,)</f>
        <v>02South Puget Sound</v>
      </c>
      <c r="P492" s="80">
        <v>7.3333333333333401</v>
      </c>
      <c r="Q492" s="102">
        <v>7.3333333333333401</v>
      </c>
      <c r="R492" s="74">
        <f>VLOOKUP(B492,Readme!A$40:C$52,3,)*Q492</f>
        <v>136.03333333333347</v>
      </c>
    </row>
    <row r="493" spans="1:18" ht="12" customHeight="1" x14ac:dyDescent="0.35">
      <c r="A493" s="75">
        <v>705</v>
      </c>
      <c r="B493" s="80">
        <v>2011</v>
      </c>
      <c r="C493" s="80">
        <v>9</v>
      </c>
      <c r="D493" s="80">
        <f t="shared" si="27"/>
        <v>2011</v>
      </c>
      <c r="E493" t="s">
        <v>38</v>
      </c>
      <c r="F493" t="s">
        <v>143</v>
      </c>
      <c r="G493" t="s">
        <v>86</v>
      </c>
      <c r="H493" s="72" t="s">
        <v>253</v>
      </c>
      <c r="I493" s="72" t="s">
        <v>65</v>
      </c>
      <c r="J493" t="str">
        <f t="shared" si="29"/>
        <v>Stillaguamish River</v>
      </c>
      <c r="K493" t="str">
        <f>IFERROR(VLOOKUP(J493,LUTs!$A$1:$C$73,2,FALSE),"NA")</f>
        <v>Snohomish</v>
      </c>
      <c r="L493" t="str">
        <f>IFERROR(VLOOKUP(J493,LUTs!$A$1:$C$73,3,FALSE),"NA")</f>
        <v>2Central Puget Sound</v>
      </c>
      <c r="M493" s="72" t="s">
        <v>26</v>
      </c>
      <c r="N493" t="str">
        <f>VLOOKUP(M493,LUTs!E$2:H$14,3,)</f>
        <v>20Other</v>
      </c>
      <c r="O493" t="str">
        <f>VLOOKUP(M493,LUTs!E$2:H$14,4,)</f>
        <v>07Non Puget Sound</v>
      </c>
      <c r="P493" s="80">
        <v>3.6666666666666701</v>
      </c>
      <c r="Q493" s="102">
        <v>3.6666666666666701</v>
      </c>
      <c r="R493" s="74">
        <f>VLOOKUP(B493,Readme!A$40:C$52,3,)*Q493</f>
        <v>68.016666666666737</v>
      </c>
    </row>
    <row r="494" spans="1:18" ht="12" customHeight="1" x14ac:dyDescent="0.35">
      <c r="A494" s="75">
        <v>706</v>
      </c>
      <c r="B494" s="80">
        <v>2011</v>
      </c>
      <c r="C494" s="80">
        <v>9</v>
      </c>
      <c r="D494" s="80">
        <f t="shared" si="27"/>
        <v>2011</v>
      </c>
      <c r="E494" t="s">
        <v>38</v>
      </c>
      <c r="F494" t="s">
        <v>143</v>
      </c>
      <c r="G494" t="s">
        <v>86</v>
      </c>
      <c r="H494" s="72" t="s">
        <v>253</v>
      </c>
      <c r="I494" s="72" t="s">
        <v>65</v>
      </c>
      <c r="J494" t="str">
        <f t="shared" si="29"/>
        <v>Stillaguamish River</v>
      </c>
      <c r="K494" t="str">
        <f>IFERROR(VLOOKUP(J494,LUTs!$A$1:$C$73,2,FALSE),"NA")</f>
        <v>Snohomish</v>
      </c>
      <c r="L494" t="str">
        <f>IFERROR(VLOOKUP(J494,LUTs!$A$1:$C$73,3,FALSE),"NA")</f>
        <v>2Central Puget Sound</v>
      </c>
      <c r="M494" s="72" t="s">
        <v>16</v>
      </c>
      <c r="N494" t="str">
        <f>VLOOKUP(M494,LUTs!E$2:H$14,3,)</f>
        <v>03Snohomish</v>
      </c>
      <c r="O494" t="str">
        <f>VLOOKUP(M494,LUTs!E$2:H$14,4,)</f>
        <v>01North Puget Sound</v>
      </c>
      <c r="P494" s="80">
        <v>33</v>
      </c>
      <c r="Q494" s="102">
        <v>33</v>
      </c>
      <c r="R494" s="74">
        <f>VLOOKUP(B494,Readme!A$40:C$52,3,)*Q494</f>
        <v>612.15</v>
      </c>
    </row>
    <row r="495" spans="1:18" ht="12" customHeight="1" x14ac:dyDescent="0.35">
      <c r="A495" s="75">
        <v>644</v>
      </c>
      <c r="B495" s="80">
        <v>2011</v>
      </c>
      <c r="C495" s="80">
        <v>9</v>
      </c>
      <c r="D495" s="80">
        <f t="shared" si="27"/>
        <v>2011</v>
      </c>
      <c r="E495" t="s">
        <v>38</v>
      </c>
      <c r="F495" t="s">
        <v>143</v>
      </c>
      <c r="G495" t="s">
        <v>86</v>
      </c>
      <c r="H495" s="72" t="s">
        <v>249</v>
      </c>
      <c r="I495" s="72" t="s">
        <v>100</v>
      </c>
      <c r="J495" t="str">
        <f t="shared" si="29"/>
        <v>Sultan River</v>
      </c>
      <c r="K495" t="str">
        <f>IFERROR(VLOOKUP(J495,LUTs!$A$1:$C$73,2,FALSE),"NA")</f>
        <v>Snohomish</v>
      </c>
      <c r="L495" t="str">
        <f>IFERROR(VLOOKUP(J495,LUTs!$A$1:$C$73,3,FALSE),"NA")</f>
        <v>2Central Puget Sound</v>
      </c>
      <c r="M495" s="72" t="s">
        <v>18</v>
      </c>
      <c r="N495" t="str">
        <f>VLOOKUP(M495,LUTs!E$2:H$14,3,)</f>
        <v>06King</v>
      </c>
      <c r="O495" t="str">
        <f>VLOOKUP(M495,LUTs!E$2:H$14,4,)</f>
        <v>02South Puget Sound</v>
      </c>
      <c r="P495" s="80">
        <v>3</v>
      </c>
      <c r="Q495" s="102">
        <v>3</v>
      </c>
      <c r="R495" s="74">
        <f>VLOOKUP(B495,Readme!A$40:C$52,3,)*Q495</f>
        <v>55.650000000000006</v>
      </c>
    </row>
    <row r="496" spans="1:18" ht="12" customHeight="1" x14ac:dyDescent="0.35">
      <c r="A496" s="75">
        <v>728</v>
      </c>
      <c r="B496" s="80">
        <v>2011</v>
      </c>
      <c r="C496" s="80">
        <v>10</v>
      </c>
      <c r="D496" s="80">
        <f t="shared" si="27"/>
        <v>2011</v>
      </c>
      <c r="E496" t="s">
        <v>38</v>
      </c>
      <c r="F496" t="s">
        <v>143</v>
      </c>
      <c r="G496" t="s">
        <v>86</v>
      </c>
      <c r="H496" s="72" t="s">
        <v>254</v>
      </c>
      <c r="I496" s="72" t="s">
        <v>33</v>
      </c>
      <c r="J496" t="str">
        <f t="shared" si="29"/>
        <v>Area 9: Admiralty Inlet</v>
      </c>
      <c r="K496" t="str">
        <f>IFERROR(VLOOKUP(J496,LUTs!$A$1:$C$73,2,FALSE),"NA")</f>
        <v>NA</v>
      </c>
      <c r="L496" t="str">
        <f>IFERROR(VLOOKUP(J496,LUTs!$A$1:$C$73,3,FALSE),"NA")</f>
        <v>2Central Puget Sound</v>
      </c>
      <c r="M496" s="72" t="s">
        <v>26</v>
      </c>
      <c r="N496" t="str">
        <f>VLOOKUP(M496,LUTs!E$2:H$14,3,)</f>
        <v>20Other</v>
      </c>
      <c r="O496" t="str">
        <f>VLOOKUP(M496,LUTs!E$2:H$14,4,)</f>
        <v>07Non Puget Sound</v>
      </c>
      <c r="P496" s="80">
        <v>0</v>
      </c>
      <c r="Q496" s="102">
        <v>0</v>
      </c>
      <c r="R496" s="74">
        <f>VLOOKUP(B496,Readme!A$40:C$52,3,)*Q496</f>
        <v>0</v>
      </c>
    </row>
    <row r="497" spans="1:18" ht="12" customHeight="1" x14ac:dyDescent="0.35">
      <c r="A497" s="75">
        <v>729</v>
      </c>
      <c r="B497" s="80">
        <v>2011</v>
      </c>
      <c r="C497" s="80">
        <v>10</v>
      </c>
      <c r="D497" s="80">
        <f t="shared" si="27"/>
        <v>2011</v>
      </c>
      <c r="E497" t="s">
        <v>38</v>
      </c>
      <c r="F497" t="s">
        <v>143</v>
      </c>
      <c r="G497" t="s">
        <v>86</v>
      </c>
      <c r="H497" s="72" t="s">
        <v>254</v>
      </c>
      <c r="I497" s="72" t="s">
        <v>33</v>
      </c>
      <c r="J497" t="str">
        <f t="shared" si="29"/>
        <v>Area 9: Admiralty Inlet</v>
      </c>
      <c r="K497" t="str">
        <f>IFERROR(VLOOKUP(J497,LUTs!$A$1:$C$73,2,FALSE),"NA")</f>
        <v>NA</v>
      </c>
      <c r="L497" t="str">
        <f>IFERROR(VLOOKUP(J497,LUTs!$A$1:$C$73,3,FALSE),"NA")</f>
        <v>2Central Puget Sound</v>
      </c>
      <c r="M497" s="72" t="s">
        <v>16</v>
      </c>
      <c r="N497" t="str">
        <f>VLOOKUP(M497,LUTs!E$2:H$14,3,)</f>
        <v>03Snohomish</v>
      </c>
      <c r="O497" t="str">
        <f>VLOOKUP(M497,LUTs!E$2:H$14,4,)</f>
        <v>01North Puget Sound</v>
      </c>
      <c r="P497" s="80">
        <v>1</v>
      </c>
      <c r="Q497" s="102">
        <v>1</v>
      </c>
      <c r="R497" s="74">
        <f>VLOOKUP(B497,Readme!A$40:C$52,3,)*Q497</f>
        <v>18.55</v>
      </c>
    </row>
    <row r="498" spans="1:18" ht="12" customHeight="1" x14ac:dyDescent="0.35">
      <c r="A498" s="75">
        <v>351</v>
      </c>
      <c r="B498" s="80">
        <v>2011</v>
      </c>
      <c r="C498" s="80">
        <v>10</v>
      </c>
      <c r="D498" s="80">
        <f t="shared" si="27"/>
        <v>2011</v>
      </c>
      <c r="E498" t="s">
        <v>38</v>
      </c>
      <c r="F498" t="s">
        <v>143</v>
      </c>
      <c r="G498" t="s">
        <v>86</v>
      </c>
      <c r="H498" s="72" t="s">
        <v>201</v>
      </c>
      <c r="I498" s="72" t="s">
        <v>43</v>
      </c>
      <c r="J498" t="str">
        <f t="shared" si="29"/>
        <v>Dungeness River</v>
      </c>
      <c r="K498" t="str">
        <f>IFERROR(VLOOKUP(J498,LUTs!$A$1:$C$73,2,FALSE),"NA")</f>
        <v>Clallam</v>
      </c>
      <c r="L498" t="str">
        <f>IFERROR(VLOOKUP(J498,LUTs!$A$1:$C$73,3,FALSE),"NA")</f>
        <v>0Strait of Juan de Fuca</v>
      </c>
      <c r="M498" s="72" t="s">
        <v>16</v>
      </c>
      <c r="N498" t="str">
        <f>VLOOKUP(M498,LUTs!E$2:H$14,3,)</f>
        <v>03Snohomish</v>
      </c>
      <c r="O498" t="str">
        <f>VLOOKUP(M498,LUTs!E$2:H$14,4,)</f>
        <v>01North Puget Sound</v>
      </c>
      <c r="P498" s="80">
        <v>4</v>
      </c>
      <c r="Q498" s="102">
        <v>4</v>
      </c>
      <c r="R498" s="74">
        <f>VLOOKUP(B498,Readme!A$40:C$52,3,)*Q498</f>
        <v>74.2</v>
      </c>
    </row>
    <row r="499" spans="1:18" ht="12" customHeight="1" x14ac:dyDescent="0.35">
      <c r="A499" s="75">
        <v>356</v>
      </c>
      <c r="B499" s="80">
        <v>2011</v>
      </c>
      <c r="C499" s="80">
        <v>10</v>
      </c>
      <c r="D499" s="80">
        <f t="shared" si="27"/>
        <v>2011</v>
      </c>
      <c r="E499" t="s">
        <v>38</v>
      </c>
      <c r="F499" t="s">
        <v>143</v>
      </c>
      <c r="G499" t="s">
        <v>86</v>
      </c>
      <c r="H499" s="72" t="s">
        <v>202</v>
      </c>
      <c r="I499" s="72" t="s">
        <v>44</v>
      </c>
      <c r="J499" t="str">
        <f t="shared" si="29"/>
        <v>Elwha River</v>
      </c>
      <c r="K499" t="str">
        <f>IFERROR(VLOOKUP(J499,LUTs!$A$1:$C$73,2,FALSE),"NA")</f>
        <v>Clallam</v>
      </c>
      <c r="L499" t="str">
        <f>IFERROR(VLOOKUP(J499,LUTs!$A$1:$C$73,3,FALSE),"NA")</f>
        <v>0Strait of Juan de Fuca</v>
      </c>
      <c r="M499" s="72" t="s">
        <v>24</v>
      </c>
      <c r="N499" t="str">
        <f>VLOOKUP(M499,LUTs!E$2:H$14,3,)</f>
        <v>11Clallam</v>
      </c>
      <c r="O499" t="str">
        <f>VLOOKUP(M499,LUTs!E$2:H$14,4,)</f>
        <v>03Strait of Juan de Fuca</v>
      </c>
      <c r="P499" s="80">
        <v>4</v>
      </c>
      <c r="Q499" s="102">
        <v>4</v>
      </c>
      <c r="R499" s="74">
        <f>VLOOKUP(B499,Readme!A$40:C$52,3,)*Q499</f>
        <v>74.2</v>
      </c>
    </row>
    <row r="500" spans="1:18" ht="12" customHeight="1" x14ac:dyDescent="0.35">
      <c r="A500" s="75">
        <v>373</v>
      </c>
      <c r="B500" s="80">
        <v>2011</v>
      </c>
      <c r="C500" s="80">
        <v>10</v>
      </c>
      <c r="D500" s="80">
        <f t="shared" si="27"/>
        <v>2011</v>
      </c>
      <c r="E500" t="s">
        <v>38</v>
      </c>
      <c r="F500" t="s">
        <v>143</v>
      </c>
      <c r="G500" t="s">
        <v>86</v>
      </c>
      <c r="H500" s="72" t="s">
        <v>203</v>
      </c>
      <c r="I500" s="72" t="s">
        <v>89</v>
      </c>
      <c r="J500" s="84" t="s">
        <v>45</v>
      </c>
      <c r="K500" t="str">
        <f>IFERROR(VLOOKUP(J500,LUTs!$A$1:$C$73,2,FALSE),"NA")</f>
        <v>King</v>
      </c>
      <c r="L500" t="str">
        <f>IFERROR(VLOOKUP(J500,LUTs!$A$1:$C$73,3,FALSE),"NA")</f>
        <v>3South Puget Sound</v>
      </c>
      <c r="M500" s="72" t="s">
        <v>18</v>
      </c>
      <c r="N500" t="str">
        <f>VLOOKUP(M500,LUTs!E$2:H$14,3,)</f>
        <v>06King</v>
      </c>
      <c r="O500" t="str">
        <f>VLOOKUP(M500,LUTs!E$2:H$14,4,)</f>
        <v>02South Puget Sound</v>
      </c>
      <c r="P500" s="80">
        <v>38</v>
      </c>
      <c r="Q500" s="102">
        <v>38</v>
      </c>
      <c r="R500" s="74">
        <f>VLOOKUP(B500,Readme!A$40:C$52,3,)*Q500</f>
        <v>704.9</v>
      </c>
    </row>
    <row r="501" spans="1:18" ht="12" customHeight="1" x14ac:dyDescent="0.35">
      <c r="A501" s="75">
        <v>374</v>
      </c>
      <c r="B501" s="80">
        <v>2011</v>
      </c>
      <c r="C501" s="80">
        <v>10</v>
      </c>
      <c r="D501" s="80">
        <f t="shared" si="27"/>
        <v>2011</v>
      </c>
      <c r="E501" t="s">
        <v>38</v>
      </c>
      <c r="F501" t="s">
        <v>143</v>
      </c>
      <c r="G501" t="s">
        <v>86</v>
      </c>
      <c r="H501" s="72" t="s">
        <v>203</v>
      </c>
      <c r="I501" s="72" t="s">
        <v>89</v>
      </c>
      <c r="J501" s="84" t="s">
        <v>45</v>
      </c>
      <c r="K501" t="str">
        <f>IFERROR(VLOOKUP(J501,LUTs!$A$1:$C$73,2,FALSE),"NA")</f>
        <v>King</v>
      </c>
      <c r="L501" t="str">
        <f>IFERROR(VLOOKUP(J501,LUTs!$A$1:$C$73,3,FALSE),"NA")</f>
        <v>3South Puget Sound</v>
      </c>
      <c r="M501" s="72" t="s">
        <v>20</v>
      </c>
      <c r="N501" t="str">
        <f>VLOOKUP(M501,LUTs!E$2:H$14,3,)</f>
        <v>07Pierce</v>
      </c>
      <c r="O501" t="str">
        <f>VLOOKUP(M501,LUTs!E$2:H$14,4,)</f>
        <v>02South Puget Sound</v>
      </c>
      <c r="P501" s="80">
        <v>19</v>
      </c>
      <c r="Q501" s="102">
        <v>19</v>
      </c>
      <c r="R501" s="74">
        <f>VLOOKUP(B501,Readme!A$40:C$52,3,)*Q501</f>
        <v>352.45</v>
      </c>
    </row>
    <row r="502" spans="1:18" ht="12" customHeight="1" x14ac:dyDescent="0.35">
      <c r="A502" s="75">
        <v>403</v>
      </c>
      <c r="B502" s="80">
        <v>2011</v>
      </c>
      <c r="C502" s="80">
        <v>10</v>
      </c>
      <c r="D502" s="80">
        <f t="shared" si="27"/>
        <v>2011</v>
      </c>
      <c r="E502" t="s">
        <v>38</v>
      </c>
      <c r="F502" t="s">
        <v>143</v>
      </c>
      <c r="G502" t="s">
        <v>86</v>
      </c>
      <c r="H502" s="72" t="s">
        <v>237</v>
      </c>
      <c r="I502" s="72" t="s">
        <v>79</v>
      </c>
      <c r="J502" t="str">
        <f t="shared" ref="J502:J531" si="30">I502</f>
        <v>Lyre River</v>
      </c>
      <c r="K502" t="str">
        <f>IFERROR(VLOOKUP(J502,LUTs!$A$1:$C$73,2,FALSE),"NA")</f>
        <v>Clallam</v>
      </c>
      <c r="L502" t="str">
        <f>IFERROR(VLOOKUP(J502,LUTs!$A$1:$C$73,3,FALSE),"NA")</f>
        <v>0Strait of Juan de Fuca</v>
      </c>
      <c r="M502" s="72" t="s">
        <v>24</v>
      </c>
      <c r="N502" t="str">
        <f>VLOOKUP(M502,LUTs!E$2:H$14,3,)</f>
        <v>11Clallam</v>
      </c>
      <c r="O502" t="str">
        <f>VLOOKUP(M502,LUTs!E$2:H$14,4,)</f>
        <v>03Strait of Juan de Fuca</v>
      </c>
      <c r="P502" s="80">
        <v>3</v>
      </c>
      <c r="Q502" s="102">
        <v>3</v>
      </c>
      <c r="R502" s="74">
        <f>VLOOKUP(B502,Readme!A$40:C$52,3,)*Q502</f>
        <v>55.650000000000006</v>
      </c>
    </row>
    <row r="503" spans="1:18" ht="12" customHeight="1" x14ac:dyDescent="0.35">
      <c r="A503" s="75">
        <v>404</v>
      </c>
      <c r="B503" s="80">
        <v>2011</v>
      </c>
      <c r="C503" s="80">
        <v>10</v>
      </c>
      <c r="D503" s="80">
        <f t="shared" si="27"/>
        <v>2011</v>
      </c>
      <c r="E503" t="s">
        <v>38</v>
      </c>
      <c r="F503" t="s">
        <v>143</v>
      </c>
      <c r="G503" t="s">
        <v>86</v>
      </c>
      <c r="H503" s="72" t="s">
        <v>237</v>
      </c>
      <c r="I503" s="72" t="s">
        <v>79</v>
      </c>
      <c r="J503" t="str">
        <f t="shared" si="30"/>
        <v>Lyre River</v>
      </c>
      <c r="K503" t="str">
        <f>IFERROR(VLOOKUP(J503,LUTs!$A$1:$C$73,2,FALSE),"NA")</f>
        <v>Clallam</v>
      </c>
      <c r="L503" t="str">
        <f>IFERROR(VLOOKUP(J503,LUTs!$A$1:$C$73,3,FALSE),"NA")</f>
        <v>0Strait of Juan de Fuca</v>
      </c>
      <c r="M503" s="72" t="s">
        <v>25</v>
      </c>
      <c r="N503" t="str">
        <f>VLOOKUP(M503,LUTs!E$2:H$14,3,)</f>
        <v>12Jefferson</v>
      </c>
      <c r="O503" t="str">
        <f>VLOOKUP(M503,LUTs!E$2:H$14,4,)</f>
        <v>03Strait of Juan de Fuca</v>
      </c>
      <c r="P503" s="80">
        <v>6</v>
      </c>
      <c r="Q503" s="102">
        <v>6</v>
      </c>
      <c r="R503" s="74">
        <f>VLOOKUP(B503,Readme!A$40:C$52,3,)*Q503</f>
        <v>111.30000000000001</v>
      </c>
    </row>
    <row r="504" spans="1:18" ht="12" customHeight="1" x14ac:dyDescent="0.35">
      <c r="A504" s="75">
        <v>405</v>
      </c>
      <c r="B504" s="80">
        <v>2011</v>
      </c>
      <c r="C504" s="80">
        <v>10</v>
      </c>
      <c r="D504" s="80">
        <f t="shared" si="27"/>
        <v>2011</v>
      </c>
      <c r="E504" t="s">
        <v>38</v>
      </c>
      <c r="F504" t="s">
        <v>143</v>
      </c>
      <c r="G504" t="s">
        <v>86</v>
      </c>
      <c r="H504" s="72" t="s">
        <v>237</v>
      </c>
      <c r="I504" s="72" t="s">
        <v>79</v>
      </c>
      <c r="J504" t="str">
        <f t="shared" si="30"/>
        <v>Lyre River</v>
      </c>
      <c r="K504" t="str">
        <f>IFERROR(VLOOKUP(J504,LUTs!$A$1:$C$73,2,FALSE),"NA")</f>
        <v>Clallam</v>
      </c>
      <c r="L504" t="str">
        <f>IFERROR(VLOOKUP(J504,LUTs!$A$1:$C$73,3,FALSE),"NA")</f>
        <v>0Strait of Juan de Fuca</v>
      </c>
      <c r="M504" s="72" t="s">
        <v>18</v>
      </c>
      <c r="N504" t="str">
        <f>VLOOKUP(M504,LUTs!E$2:H$14,3,)</f>
        <v>06King</v>
      </c>
      <c r="O504" t="str">
        <f>VLOOKUP(M504,LUTs!E$2:H$14,4,)</f>
        <v>02South Puget Sound</v>
      </c>
      <c r="P504" s="80">
        <v>6</v>
      </c>
      <c r="Q504" s="102">
        <v>6</v>
      </c>
      <c r="R504" s="74">
        <f>VLOOKUP(B504,Readme!A$40:C$52,3,)*Q504</f>
        <v>111.30000000000001</v>
      </c>
    </row>
    <row r="505" spans="1:18" ht="12" customHeight="1" x14ac:dyDescent="0.35">
      <c r="A505" s="75">
        <v>406</v>
      </c>
      <c r="B505" s="80">
        <v>2011</v>
      </c>
      <c r="C505" s="80">
        <v>10</v>
      </c>
      <c r="D505" s="80">
        <f t="shared" si="27"/>
        <v>2011</v>
      </c>
      <c r="E505" t="s">
        <v>38</v>
      </c>
      <c r="F505" t="s">
        <v>143</v>
      </c>
      <c r="G505" t="s">
        <v>86</v>
      </c>
      <c r="H505" s="72" t="s">
        <v>237</v>
      </c>
      <c r="I505" s="72" t="s">
        <v>79</v>
      </c>
      <c r="J505" t="str">
        <f t="shared" si="30"/>
        <v>Lyre River</v>
      </c>
      <c r="K505" t="str">
        <f>IFERROR(VLOOKUP(J505,LUTs!$A$1:$C$73,2,FALSE),"NA")</f>
        <v>Clallam</v>
      </c>
      <c r="L505" t="str">
        <f>IFERROR(VLOOKUP(J505,LUTs!$A$1:$C$73,3,FALSE),"NA")</f>
        <v>0Strait of Juan de Fuca</v>
      </c>
      <c r="M505" s="72" t="s">
        <v>22</v>
      </c>
      <c r="N505" t="str">
        <f>VLOOKUP(M505,LUTs!E$2:H$14,3,)</f>
        <v>09Mason</v>
      </c>
      <c r="O505" t="str">
        <f>VLOOKUP(M505,LUTs!E$2:H$14,4,)</f>
        <v>02South Puget Sound</v>
      </c>
      <c r="P505" s="80">
        <v>3</v>
      </c>
      <c r="Q505" s="102">
        <v>3</v>
      </c>
      <c r="R505" s="74">
        <f>VLOOKUP(B505,Readme!A$40:C$52,3,)*Q505</f>
        <v>55.650000000000006</v>
      </c>
    </row>
    <row r="506" spans="1:18" ht="12" customHeight="1" x14ac:dyDescent="0.35">
      <c r="A506" s="75">
        <v>532</v>
      </c>
      <c r="B506" s="80">
        <v>2011</v>
      </c>
      <c r="C506" s="80">
        <v>10</v>
      </c>
      <c r="D506" s="80">
        <f t="shared" si="27"/>
        <v>2011</v>
      </c>
      <c r="E506" t="s">
        <v>38</v>
      </c>
      <c r="F506" t="s">
        <v>143</v>
      </c>
      <c r="G506" t="s">
        <v>86</v>
      </c>
      <c r="H506" s="72" t="s">
        <v>246</v>
      </c>
      <c r="I506" s="72" t="s">
        <v>97</v>
      </c>
      <c r="J506" t="str">
        <f t="shared" si="30"/>
        <v>Raging River</v>
      </c>
      <c r="K506" t="str">
        <f>IFERROR(VLOOKUP(J506,LUTs!$A$1:$C$73,2,FALSE),"NA")</f>
        <v>King</v>
      </c>
      <c r="L506" t="str">
        <f>IFERROR(VLOOKUP(J506,LUTs!$A$1:$C$73,3,FALSE),"NA")</f>
        <v>2Central Puget Sound</v>
      </c>
      <c r="M506" s="72" t="s">
        <v>18</v>
      </c>
      <c r="N506" t="str">
        <f>VLOOKUP(M506,LUTs!E$2:H$14,3,)</f>
        <v>06King</v>
      </c>
      <c r="O506" t="str">
        <f>VLOOKUP(M506,LUTs!E$2:H$14,4,)</f>
        <v>02South Puget Sound</v>
      </c>
      <c r="P506" s="80">
        <v>3</v>
      </c>
      <c r="Q506" s="102">
        <v>3</v>
      </c>
      <c r="R506" s="74">
        <f>VLOOKUP(B506,Readme!A$40:C$52,3,)*Q506</f>
        <v>55.650000000000006</v>
      </c>
    </row>
    <row r="507" spans="1:18" ht="12" customHeight="1" x14ac:dyDescent="0.35">
      <c r="A507" s="75">
        <v>560</v>
      </c>
      <c r="B507" s="80">
        <v>2011</v>
      </c>
      <c r="C507" s="80">
        <v>10</v>
      </c>
      <c r="D507" s="80">
        <f t="shared" si="27"/>
        <v>2011</v>
      </c>
      <c r="E507" t="s">
        <v>38</v>
      </c>
      <c r="F507" t="s">
        <v>143</v>
      </c>
      <c r="G507" t="s">
        <v>86</v>
      </c>
      <c r="H507" s="72" t="s">
        <v>220</v>
      </c>
      <c r="I507" s="72" t="s">
        <v>62</v>
      </c>
      <c r="J507" t="str">
        <f t="shared" si="30"/>
        <v>Skykomish River</v>
      </c>
      <c r="K507" t="str">
        <f>IFERROR(VLOOKUP(J507,LUTs!$A$1:$C$73,2,FALSE),"NA")</f>
        <v>Snohomish</v>
      </c>
      <c r="L507" t="str">
        <f>IFERROR(VLOOKUP(J507,LUTs!$A$1:$C$73,3,FALSE),"NA")</f>
        <v>2Central Puget Sound</v>
      </c>
      <c r="M507" s="72" t="s">
        <v>18</v>
      </c>
      <c r="N507" t="str">
        <f>VLOOKUP(M507,LUTs!E$2:H$14,3,)</f>
        <v>06King</v>
      </c>
      <c r="O507" t="str">
        <f>VLOOKUP(M507,LUTs!E$2:H$14,4,)</f>
        <v>02South Puget Sound</v>
      </c>
      <c r="P507" s="80">
        <v>22.514285714285698</v>
      </c>
      <c r="Q507" s="102">
        <v>22.514285714285698</v>
      </c>
      <c r="R507" s="74">
        <f>VLOOKUP(B507,Readme!A$40:C$52,3,)*Q507</f>
        <v>417.6399999999997</v>
      </c>
    </row>
    <row r="508" spans="1:18" ht="12" customHeight="1" x14ac:dyDescent="0.35">
      <c r="A508" s="75">
        <v>561</v>
      </c>
      <c r="B508" s="80">
        <v>2011</v>
      </c>
      <c r="C508" s="80">
        <v>10</v>
      </c>
      <c r="D508" s="80">
        <f t="shared" si="27"/>
        <v>2011</v>
      </c>
      <c r="E508" t="s">
        <v>38</v>
      </c>
      <c r="F508" t="s">
        <v>143</v>
      </c>
      <c r="G508" t="s">
        <v>86</v>
      </c>
      <c r="H508" s="72" t="s">
        <v>220</v>
      </c>
      <c r="I508" s="72" t="s">
        <v>62</v>
      </c>
      <c r="J508" t="str">
        <f t="shared" si="30"/>
        <v>Skykomish River</v>
      </c>
      <c r="K508" t="str">
        <f>IFERROR(VLOOKUP(J508,LUTs!$A$1:$C$73,2,FALSE),"NA")</f>
        <v>Snohomish</v>
      </c>
      <c r="L508" t="str">
        <f>IFERROR(VLOOKUP(J508,LUTs!$A$1:$C$73,3,FALSE),"NA")</f>
        <v>2Central Puget Sound</v>
      </c>
      <c r="M508" s="72" t="s">
        <v>26</v>
      </c>
      <c r="N508" t="str">
        <f>VLOOKUP(M508,LUTs!E$2:H$14,3,)</f>
        <v>20Other</v>
      </c>
      <c r="O508" t="str">
        <f>VLOOKUP(M508,LUTs!E$2:H$14,4,)</f>
        <v>07Non Puget Sound</v>
      </c>
      <c r="P508" s="80">
        <v>2.8142857142857101</v>
      </c>
      <c r="Q508" s="102">
        <v>2.8142857142857101</v>
      </c>
      <c r="R508" s="74">
        <f>VLOOKUP(B508,Readme!A$40:C$52,3,)*Q508</f>
        <v>52.20499999999992</v>
      </c>
    </row>
    <row r="509" spans="1:18" ht="12" customHeight="1" x14ac:dyDescent="0.35">
      <c r="A509" s="75">
        <v>562</v>
      </c>
      <c r="B509" s="80">
        <v>2011</v>
      </c>
      <c r="C509" s="80">
        <v>10</v>
      </c>
      <c r="D509" s="80">
        <f t="shared" si="27"/>
        <v>2011</v>
      </c>
      <c r="E509" t="s">
        <v>38</v>
      </c>
      <c r="F509" t="s">
        <v>143</v>
      </c>
      <c r="G509" t="s">
        <v>86</v>
      </c>
      <c r="H509" s="72" t="s">
        <v>220</v>
      </c>
      <c r="I509" s="72" t="s">
        <v>62</v>
      </c>
      <c r="J509" t="str">
        <f t="shared" si="30"/>
        <v>Skykomish River</v>
      </c>
      <c r="K509" t="str">
        <f>IFERROR(VLOOKUP(J509,LUTs!$A$1:$C$73,2,FALSE),"NA")</f>
        <v>Snohomish</v>
      </c>
      <c r="L509" t="str">
        <f>IFERROR(VLOOKUP(J509,LUTs!$A$1:$C$73,3,FALSE),"NA")</f>
        <v>2Central Puget Sound</v>
      </c>
      <c r="M509" s="72" t="s">
        <v>16</v>
      </c>
      <c r="N509" t="str">
        <f>VLOOKUP(M509,LUTs!E$2:H$14,3,)</f>
        <v>03Snohomish</v>
      </c>
      <c r="O509" t="str">
        <f>VLOOKUP(M509,LUTs!E$2:H$14,4,)</f>
        <v>01North Puget Sound</v>
      </c>
      <c r="P509" s="80">
        <v>171.671428571429</v>
      </c>
      <c r="Q509" s="102">
        <v>171.671428571429</v>
      </c>
      <c r="R509" s="74">
        <f>VLOOKUP(B509,Readme!A$40:C$52,3,)*Q509</f>
        <v>3184.5050000000083</v>
      </c>
    </row>
    <row r="510" spans="1:18" ht="12" customHeight="1" x14ac:dyDescent="0.35">
      <c r="A510" s="75">
        <v>608</v>
      </c>
      <c r="B510" s="80">
        <v>2011</v>
      </c>
      <c r="C510" s="80">
        <v>10</v>
      </c>
      <c r="D510" s="80">
        <f t="shared" si="27"/>
        <v>2011</v>
      </c>
      <c r="E510" t="s">
        <v>38</v>
      </c>
      <c r="F510" t="s">
        <v>143</v>
      </c>
      <c r="G510" t="s">
        <v>86</v>
      </c>
      <c r="H510" s="72" t="s">
        <v>221</v>
      </c>
      <c r="I510" s="72" t="s">
        <v>63</v>
      </c>
      <c r="J510" t="str">
        <f t="shared" si="30"/>
        <v>Snohomish River</v>
      </c>
      <c r="K510" t="str">
        <f>IFERROR(VLOOKUP(J510,LUTs!$A$1:$C$73,2,FALSE),"NA")</f>
        <v>Snohomish</v>
      </c>
      <c r="L510" t="str">
        <f>IFERROR(VLOOKUP(J510,LUTs!$A$1:$C$73,3,FALSE),"NA")</f>
        <v>2Central Puget Sound</v>
      </c>
      <c r="M510" s="72" t="s">
        <v>18</v>
      </c>
      <c r="N510" t="str">
        <f>VLOOKUP(M510,LUTs!E$2:H$14,3,)</f>
        <v>06King</v>
      </c>
      <c r="O510" t="str">
        <f>VLOOKUP(M510,LUTs!E$2:H$14,4,)</f>
        <v>02South Puget Sound</v>
      </c>
      <c r="P510" s="80">
        <v>14.1666666666667</v>
      </c>
      <c r="Q510" s="102">
        <v>14.1666666666667</v>
      </c>
      <c r="R510" s="74">
        <f>VLOOKUP(B510,Readme!A$40:C$52,3,)*Q510</f>
        <v>262.79166666666731</v>
      </c>
    </row>
    <row r="511" spans="1:18" ht="12" customHeight="1" x14ac:dyDescent="0.35">
      <c r="A511" s="75">
        <v>609</v>
      </c>
      <c r="B511" s="80">
        <v>2011</v>
      </c>
      <c r="C511" s="80">
        <v>10</v>
      </c>
      <c r="D511" s="80">
        <f t="shared" si="27"/>
        <v>2011</v>
      </c>
      <c r="E511" t="s">
        <v>38</v>
      </c>
      <c r="F511" t="s">
        <v>143</v>
      </c>
      <c r="G511" t="s">
        <v>86</v>
      </c>
      <c r="H511" s="72" t="s">
        <v>221</v>
      </c>
      <c r="I511" s="72" t="s">
        <v>63</v>
      </c>
      <c r="J511" t="str">
        <f t="shared" si="30"/>
        <v>Snohomish River</v>
      </c>
      <c r="K511" t="str">
        <f>IFERROR(VLOOKUP(J511,LUTs!$A$1:$C$73,2,FALSE),"NA")</f>
        <v>Snohomish</v>
      </c>
      <c r="L511" t="str">
        <f>IFERROR(VLOOKUP(J511,LUTs!$A$1:$C$73,3,FALSE),"NA")</f>
        <v>2Central Puget Sound</v>
      </c>
      <c r="M511" s="72" t="s">
        <v>26</v>
      </c>
      <c r="N511" t="str">
        <f>VLOOKUP(M511,LUTs!E$2:H$14,3,)</f>
        <v>20Other</v>
      </c>
      <c r="O511" t="str">
        <f>VLOOKUP(M511,LUTs!E$2:H$14,4,)</f>
        <v>07Non Puget Sound</v>
      </c>
      <c r="P511" s="80">
        <v>2.8333333333333299</v>
      </c>
      <c r="Q511" s="102">
        <v>2.8333333333333299</v>
      </c>
      <c r="R511" s="74">
        <f>VLOOKUP(B511,Readme!A$40:C$52,3,)*Q511</f>
        <v>52.558333333333273</v>
      </c>
    </row>
    <row r="512" spans="1:18" ht="12" customHeight="1" x14ac:dyDescent="0.35">
      <c r="A512" s="75">
        <v>623</v>
      </c>
      <c r="B512" s="80">
        <v>2011</v>
      </c>
      <c r="C512" s="80">
        <v>10</v>
      </c>
      <c r="D512" s="80">
        <f t="shared" si="27"/>
        <v>2011</v>
      </c>
      <c r="E512" t="s">
        <v>38</v>
      </c>
      <c r="F512" t="s">
        <v>143</v>
      </c>
      <c r="G512" t="s">
        <v>86</v>
      </c>
      <c r="H512" s="72" t="s">
        <v>222</v>
      </c>
      <c r="I512" s="72" t="s">
        <v>64</v>
      </c>
      <c r="J512" t="str">
        <f t="shared" si="30"/>
        <v>Snoqualmie River</v>
      </c>
      <c r="K512" t="str">
        <f>IFERROR(VLOOKUP(J512,LUTs!$A$1:$C$73,2,FALSE),"NA")</f>
        <v>Snohomish/King</v>
      </c>
      <c r="L512" t="str">
        <f>IFERROR(VLOOKUP(J512,LUTs!$A$1:$C$73,3,FALSE),"NA")</f>
        <v>2Central Puget Sound</v>
      </c>
      <c r="M512" s="72" t="s">
        <v>18</v>
      </c>
      <c r="N512" t="str">
        <f>VLOOKUP(M512,LUTs!E$2:H$14,3,)</f>
        <v>06King</v>
      </c>
      <c r="O512" t="str">
        <f>VLOOKUP(M512,LUTs!E$2:H$14,4,)</f>
        <v>02South Puget Sound</v>
      </c>
      <c r="P512" s="80">
        <v>5.6</v>
      </c>
      <c r="Q512" s="102">
        <v>5.6</v>
      </c>
      <c r="R512" s="74">
        <f>VLOOKUP(B512,Readme!A$40:C$52,3,)*Q512</f>
        <v>103.88</v>
      </c>
    </row>
    <row r="513" spans="1:18" ht="12" customHeight="1" x14ac:dyDescent="0.35">
      <c r="A513" s="75">
        <v>624</v>
      </c>
      <c r="B513" s="80">
        <v>2011</v>
      </c>
      <c r="C513" s="80">
        <v>10</v>
      </c>
      <c r="D513" s="80">
        <f t="shared" si="27"/>
        <v>2011</v>
      </c>
      <c r="E513" t="s">
        <v>38</v>
      </c>
      <c r="F513" t="s">
        <v>143</v>
      </c>
      <c r="G513" t="s">
        <v>86</v>
      </c>
      <c r="H513" s="72" t="s">
        <v>222</v>
      </c>
      <c r="I513" s="72" t="s">
        <v>64</v>
      </c>
      <c r="J513" t="str">
        <f t="shared" si="30"/>
        <v>Snoqualmie River</v>
      </c>
      <c r="K513" t="str">
        <f>IFERROR(VLOOKUP(J513,LUTs!$A$1:$C$73,2,FALSE),"NA")</f>
        <v>Snohomish/King</v>
      </c>
      <c r="L513" t="str">
        <f>IFERROR(VLOOKUP(J513,LUTs!$A$1:$C$73,3,FALSE),"NA")</f>
        <v>2Central Puget Sound</v>
      </c>
      <c r="M513" s="72" t="s">
        <v>26</v>
      </c>
      <c r="N513" t="str">
        <f>VLOOKUP(M513,LUTs!E$2:H$14,3,)</f>
        <v>20Other</v>
      </c>
      <c r="O513" t="str">
        <f>VLOOKUP(M513,LUTs!E$2:H$14,4,)</f>
        <v>07Non Puget Sound</v>
      </c>
      <c r="P513" s="80">
        <v>5.6</v>
      </c>
      <c r="Q513" s="102">
        <v>5.6</v>
      </c>
      <c r="R513" s="74">
        <f>VLOOKUP(B513,Readme!A$40:C$52,3,)*Q513</f>
        <v>103.88</v>
      </c>
    </row>
    <row r="514" spans="1:18" ht="12" customHeight="1" x14ac:dyDescent="0.35">
      <c r="A514" s="75">
        <v>625</v>
      </c>
      <c r="B514" s="80">
        <v>2011</v>
      </c>
      <c r="C514" s="80">
        <v>10</v>
      </c>
      <c r="D514" s="80">
        <f t="shared" ref="D514:D577" si="31">IF(C514&gt;3,B514,B514-1)</f>
        <v>2011</v>
      </c>
      <c r="E514" t="s">
        <v>38</v>
      </c>
      <c r="F514" t="s">
        <v>143</v>
      </c>
      <c r="G514" t="s">
        <v>86</v>
      </c>
      <c r="H514" s="72" t="s">
        <v>222</v>
      </c>
      <c r="I514" s="72" t="s">
        <v>64</v>
      </c>
      <c r="J514" t="str">
        <f t="shared" si="30"/>
        <v>Snoqualmie River</v>
      </c>
      <c r="K514" t="str">
        <f>IFERROR(VLOOKUP(J514,LUTs!$A$1:$C$73,2,FALSE),"NA")</f>
        <v>Snohomish/King</v>
      </c>
      <c r="L514" t="str">
        <f>IFERROR(VLOOKUP(J514,LUTs!$A$1:$C$73,3,FALSE),"NA")</f>
        <v>2Central Puget Sound</v>
      </c>
      <c r="M514" s="72" t="s">
        <v>20</v>
      </c>
      <c r="N514" t="str">
        <f>VLOOKUP(M514,LUTs!E$2:H$14,3,)</f>
        <v>07Pierce</v>
      </c>
      <c r="O514" t="str">
        <f>VLOOKUP(M514,LUTs!E$2:H$14,4,)</f>
        <v>02South Puget Sound</v>
      </c>
      <c r="P514" s="80">
        <v>2.8</v>
      </c>
      <c r="Q514" s="102">
        <v>2.8</v>
      </c>
      <c r="R514" s="74">
        <f>VLOOKUP(B514,Readme!A$40:C$52,3,)*Q514</f>
        <v>51.94</v>
      </c>
    </row>
    <row r="515" spans="1:18" ht="12" customHeight="1" x14ac:dyDescent="0.35">
      <c r="A515" s="75">
        <v>687</v>
      </c>
      <c r="B515" s="80">
        <v>2011</v>
      </c>
      <c r="C515" s="80">
        <v>10</v>
      </c>
      <c r="D515" s="80">
        <f t="shared" si="31"/>
        <v>2011</v>
      </c>
      <c r="E515" t="s">
        <v>38</v>
      </c>
      <c r="F515" t="s">
        <v>143</v>
      </c>
      <c r="G515" t="s">
        <v>86</v>
      </c>
      <c r="H515" s="72" t="s">
        <v>223</v>
      </c>
      <c r="I515" s="72" t="s">
        <v>103</v>
      </c>
      <c r="J515" t="str">
        <f t="shared" si="30"/>
        <v>Stillaguamish R, No. Fork</v>
      </c>
      <c r="K515" t="str">
        <f>IFERROR(VLOOKUP(J515,LUTs!$A$1:$C$73,2,FALSE),"NA")</f>
        <v>Snohomish</v>
      </c>
      <c r="L515" t="str">
        <f>IFERROR(VLOOKUP(J515,LUTs!$A$1:$C$73,3,FALSE),"NA")</f>
        <v>2Central Puget Sound</v>
      </c>
      <c r="M515" s="72" t="s">
        <v>18</v>
      </c>
      <c r="N515" t="str">
        <f>VLOOKUP(M515,LUTs!E$2:H$14,3,)</f>
        <v>06King</v>
      </c>
      <c r="O515" t="str">
        <f>VLOOKUP(M515,LUTs!E$2:H$14,4,)</f>
        <v>02South Puget Sound</v>
      </c>
      <c r="P515" s="80">
        <v>7.2</v>
      </c>
      <c r="Q515" s="102">
        <v>7.2</v>
      </c>
      <c r="R515" s="74">
        <f>VLOOKUP(B515,Readme!A$40:C$52,3,)*Q515</f>
        <v>133.56</v>
      </c>
    </row>
    <row r="516" spans="1:18" ht="12" customHeight="1" x14ac:dyDescent="0.35">
      <c r="A516" s="75">
        <v>688</v>
      </c>
      <c r="B516" s="80">
        <v>2011</v>
      </c>
      <c r="C516" s="80">
        <v>10</v>
      </c>
      <c r="D516" s="80">
        <f t="shared" si="31"/>
        <v>2011</v>
      </c>
      <c r="E516" t="s">
        <v>38</v>
      </c>
      <c r="F516" t="s">
        <v>143</v>
      </c>
      <c r="G516" t="s">
        <v>86</v>
      </c>
      <c r="H516" s="72" t="s">
        <v>223</v>
      </c>
      <c r="I516" s="72" t="s">
        <v>103</v>
      </c>
      <c r="J516" t="str">
        <f t="shared" si="30"/>
        <v>Stillaguamish R, No. Fork</v>
      </c>
      <c r="K516" t="str">
        <f>IFERROR(VLOOKUP(J516,LUTs!$A$1:$C$73,2,FALSE),"NA")</f>
        <v>Snohomish</v>
      </c>
      <c r="L516" t="str">
        <f>IFERROR(VLOOKUP(J516,LUTs!$A$1:$C$73,3,FALSE),"NA")</f>
        <v>2Central Puget Sound</v>
      </c>
      <c r="M516" s="72" t="s">
        <v>15</v>
      </c>
      <c r="N516" t="str">
        <f>VLOOKUP(M516,LUTs!E$2:H$14,3,)</f>
        <v>02Skagit</v>
      </c>
      <c r="O516" t="str">
        <f>VLOOKUP(M516,LUTs!E$2:H$14,4,)</f>
        <v>01North Puget Sound</v>
      </c>
      <c r="P516" s="80">
        <v>3.6</v>
      </c>
      <c r="Q516" s="102">
        <v>3.6</v>
      </c>
      <c r="R516" s="74">
        <f>VLOOKUP(B516,Readme!A$40:C$52,3,)*Q516</f>
        <v>66.78</v>
      </c>
    </row>
    <row r="517" spans="1:18" ht="12" customHeight="1" x14ac:dyDescent="0.35">
      <c r="A517" s="75">
        <v>689</v>
      </c>
      <c r="B517" s="80">
        <v>2011</v>
      </c>
      <c r="C517" s="80">
        <v>10</v>
      </c>
      <c r="D517" s="80">
        <f t="shared" si="31"/>
        <v>2011</v>
      </c>
      <c r="E517" t="s">
        <v>38</v>
      </c>
      <c r="F517" t="s">
        <v>143</v>
      </c>
      <c r="G517" t="s">
        <v>86</v>
      </c>
      <c r="H517" s="72" t="s">
        <v>223</v>
      </c>
      <c r="I517" s="72" t="s">
        <v>103</v>
      </c>
      <c r="J517" t="str">
        <f t="shared" si="30"/>
        <v>Stillaguamish R, No. Fork</v>
      </c>
      <c r="K517" t="str">
        <f>IFERROR(VLOOKUP(J517,LUTs!$A$1:$C$73,2,FALSE),"NA")</f>
        <v>Snohomish</v>
      </c>
      <c r="L517" t="str">
        <f>IFERROR(VLOOKUP(J517,LUTs!$A$1:$C$73,3,FALSE),"NA")</f>
        <v>2Central Puget Sound</v>
      </c>
      <c r="M517" s="72" t="s">
        <v>16</v>
      </c>
      <c r="N517" t="str">
        <f>VLOOKUP(M517,LUTs!E$2:H$14,3,)</f>
        <v>03Snohomish</v>
      </c>
      <c r="O517" t="str">
        <f>VLOOKUP(M517,LUTs!E$2:H$14,4,)</f>
        <v>01North Puget Sound</v>
      </c>
      <c r="P517" s="80">
        <v>7.2</v>
      </c>
      <c r="Q517" s="102">
        <v>7.2</v>
      </c>
      <c r="R517" s="74">
        <f>VLOOKUP(B517,Readme!A$40:C$52,3,)*Q517</f>
        <v>133.56</v>
      </c>
    </row>
    <row r="518" spans="1:18" ht="12" customHeight="1" x14ac:dyDescent="0.35">
      <c r="A518" s="75">
        <v>707</v>
      </c>
      <c r="B518" s="80">
        <v>2011</v>
      </c>
      <c r="C518" s="80">
        <v>10</v>
      </c>
      <c r="D518" s="80">
        <f t="shared" si="31"/>
        <v>2011</v>
      </c>
      <c r="E518" t="s">
        <v>38</v>
      </c>
      <c r="F518" t="s">
        <v>143</v>
      </c>
      <c r="G518" t="s">
        <v>86</v>
      </c>
      <c r="H518" s="72" t="s">
        <v>253</v>
      </c>
      <c r="I518" s="72" t="s">
        <v>65</v>
      </c>
      <c r="J518" t="str">
        <f t="shared" si="30"/>
        <v>Stillaguamish River</v>
      </c>
      <c r="K518" t="str">
        <f>IFERROR(VLOOKUP(J518,LUTs!$A$1:$C$73,2,FALSE),"NA")</f>
        <v>Snohomish</v>
      </c>
      <c r="L518" t="str">
        <f>IFERROR(VLOOKUP(J518,LUTs!$A$1:$C$73,3,FALSE),"NA")</f>
        <v>2Central Puget Sound</v>
      </c>
      <c r="M518" s="72" t="s">
        <v>16</v>
      </c>
      <c r="N518" t="str">
        <f>VLOOKUP(M518,LUTs!E$2:H$14,3,)</f>
        <v>03Snohomish</v>
      </c>
      <c r="O518" t="str">
        <f>VLOOKUP(M518,LUTs!E$2:H$14,4,)</f>
        <v>01North Puget Sound</v>
      </c>
      <c r="P518" s="80">
        <v>4</v>
      </c>
      <c r="Q518" s="102">
        <v>4</v>
      </c>
      <c r="R518" s="74">
        <f>VLOOKUP(B518,Readme!A$40:C$52,3,)*Q518</f>
        <v>74.2</v>
      </c>
    </row>
    <row r="519" spans="1:18" ht="12" customHeight="1" x14ac:dyDescent="0.35">
      <c r="A519" s="75">
        <v>645</v>
      </c>
      <c r="B519" s="80">
        <v>2011</v>
      </c>
      <c r="C519" s="80">
        <v>10</v>
      </c>
      <c r="D519" s="80">
        <f t="shared" si="31"/>
        <v>2011</v>
      </c>
      <c r="E519" t="s">
        <v>38</v>
      </c>
      <c r="F519" t="s">
        <v>143</v>
      </c>
      <c r="G519" t="s">
        <v>86</v>
      </c>
      <c r="H519" s="72" t="s">
        <v>249</v>
      </c>
      <c r="I519" s="72" t="s">
        <v>100</v>
      </c>
      <c r="J519" t="str">
        <f t="shared" si="30"/>
        <v>Sultan River</v>
      </c>
      <c r="K519" t="str">
        <f>IFERROR(VLOOKUP(J519,LUTs!$A$1:$C$73,2,FALSE),"NA")</f>
        <v>Snohomish</v>
      </c>
      <c r="L519" t="str">
        <f>IFERROR(VLOOKUP(J519,LUTs!$A$1:$C$73,3,FALSE),"NA")</f>
        <v>2Central Puget Sound</v>
      </c>
      <c r="M519" s="72" t="s">
        <v>16</v>
      </c>
      <c r="N519" t="str">
        <f>VLOOKUP(M519,LUTs!E$2:H$14,3,)</f>
        <v>03Snohomish</v>
      </c>
      <c r="O519" t="str">
        <f>VLOOKUP(M519,LUTs!E$2:H$14,4,)</f>
        <v>01North Puget Sound</v>
      </c>
      <c r="P519" s="80">
        <v>3</v>
      </c>
      <c r="Q519" s="102">
        <v>3</v>
      </c>
      <c r="R519" s="74">
        <f>VLOOKUP(B519,Readme!A$40:C$52,3,)*Q519</f>
        <v>55.650000000000006</v>
      </c>
    </row>
    <row r="520" spans="1:18" ht="12" customHeight="1" x14ac:dyDescent="0.35">
      <c r="A520" s="75">
        <v>660</v>
      </c>
      <c r="B520" s="80">
        <v>2011</v>
      </c>
      <c r="C520" s="80">
        <v>10</v>
      </c>
      <c r="D520" s="80">
        <f t="shared" si="31"/>
        <v>2011</v>
      </c>
      <c r="E520" t="s">
        <v>38</v>
      </c>
      <c r="F520" t="s">
        <v>143</v>
      </c>
      <c r="G520" t="s">
        <v>86</v>
      </c>
      <c r="H520" s="72" t="s">
        <v>233</v>
      </c>
      <c r="I520" s="72" t="s">
        <v>76</v>
      </c>
      <c r="J520" t="str">
        <f t="shared" si="30"/>
        <v>Wallace River</v>
      </c>
      <c r="K520" t="str">
        <f>IFERROR(VLOOKUP(J520,LUTs!$A$1:$C$73,2,FALSE),"NA")</f>
        <v>Snohomish</v>
      </c>
      <c r="L520" t="str">
        <f>IFERROR(VLOOKUP(J520,LUTs!$A$1:$C$73,3,FALSE),"NA")</f>
        <v>2Central Puget Sound</v>
      </c>
      <c r="M520" s="72" t="s">
        <v>18</v>
      </c>
      <c r="N520" t="str">
        <f>VLOOKUP(M520,LUTs!E$2:H$14,3,)</f>
        <v>06King</v>
      </c>
      <c r="O520" t="str">
        <f>VLOOKUP(M520,LUTs!E$2:H$14,4,)</f>
        <v>02South Puget Sound</v>
      </c>
      <c r="P520" s="80">
        <v>8.25</v>
      </c>
      <c r="Q520" s="102">
        <v>8.25</v>
      </c>
      <c r="R520" s="74">
        <f>VLOOKUP(B520,Readme!A$40:C$52,3,)*Q520</f>
        <v>153.03749999999999</v>
      </c>
    </row>
    <row r="521" spans="1:18" ht="12" customHeight="1" x14ac:dyDescent="0.35">
      <c r="A521" s="75">
        <v>661</v>
      </c>
      <c r="B521" s="80">
        <v>2011</v>
      </c>
      <c r="C521" s="80">
        <v>10</v>
      </c>
      <c r="D521" s="80">
        <f t="shared" si="31"/>
        <v>2011</v>
      </c>
      <c r="E521" t="s">
        <v>38</v>
      </c>
      <c r="F521" t="s">
        <v>143</v>
      </c>
      <c r="G521" t="s">
        <v>86</v>
      </c>
      <c r="H521" s="72" t="s">
        <v>233</v>
      </c>
      <c r="I521" s="72" t="s">
        <v>76</v>
      </c>
      <c r="J521" t="str">
        <f t="shared" si="30"/>
        <v>Wallace River</v>
      </c>
      <c r="K521" t="str">
        <f>IFERROR(VLOOKUP(J521,LUTs!$A$1:$C$73,2,FALSE),"NA")</f>
        <v>Snohomish</v>
      </c>
      <c r="L521" t="str">
        <f>IFERROR(VLOOKUP(J521,LUTs!$A$1:$C$73,3,FALSE),"NA")</f>
        <v>2Central Puget Sound</v>
      </c>
      <c r="M521" s="72" t="s">
        <v>26</v>
      </c>
      <c r="N521" t="str">
        <f>VLOOKUP(M521,LUTs!E$2:H$14,3,)</f>
        <v>20Other</v>
      </c>
      <c r="O521" t="str">
        <f>VLOOKUP(M521,LUTs!E$2:H$14,4,)</f>
        <v>07Non Puget Sound</v>
      </c>
      <c r="P521" s="80">
        <v>2.75</v>
      </c>
      <c r="Q521" s="102">
        <v>2.75</v>
      </c>
      <c r="R521" s="74">
        <f>VLOOKUP(B521,Readme!A$40:C$52,3,)*Q521</f>
        <v>51.012500000000003</v>
      </c>
    </row>
    <row r="522" spans="1:18" ht="12" customHeight="1" x14ac:dyDescent="0.35">
      <c r="A522" s="75">
        <v>455</v>
      </c>
      <c r="B522" s="80">
        <v>2011</v>
      </c>
      <c r="C522" s="80">
        <v>11</v>
      </c>
      <c r="D522" s="80">
        <f t="shared" si="31"/>
        <v>2011</v>
      </c>
      <c r="E522" t="s">
        <v>38</v>
      </c>
      <c r="F522" t="s">
        <v>143</v>
      </c>
      <c r="G522" t="s">
        <v>86</v>
      </c>
      <c r="H522" s="72" t="s">
        <v>257</v>
      </c>
      <c r="I522" s="72" t="s">
        <v>31</v>
      </c>
      <c r="J522" t="str">
        <f t="shared" si="30"/>
        <v>Area 8-1: Skagit Bay-Saratoga Psg.</v>
      </c>
      <c r="K522" t="str">
        <f>IFERROR(VLOOKUP(J522,LUTs!$A$1:$C$73,2,FALSE),"NA")</f>
        <v>NA</v>
      </c>
      <c r="L522" t="str">
        <f>IFERROR(VLOOKUP(J522,LUTs!$A$1:$C$73,3,FALSE),"NA")</f>
        <v>2Central Puget Sound</v>
      </c>
      <c r="M522" s="72" t="s">
        <v>17</v>
      </c>
      <c r="N522" t="str">
        <f>VLOOKUP(M522,LUTs!E$2:H$14,3,)</f>
        <v>04Island</v>
      </c>
      <c r="O522" t="str">
        <f>VLOOKUP(M522,LUTs!E$2:H$14,4,)</f>
        <v>01North Puget Sound</v>
      </c>
      <c r="P522" s="80">
        <v>4.5</v>
      </c>
      <c r="Q522" s="102">
        <v>4.5</v>
      </c>
      <c r="R522" s="74">
        <f>VLOOKUP(B522,Readme!A$40:C$52,3,)*Q522</f>
        <v>83.475000000000009</v>
      </c>
    </row>
    <row r="523" spans="1:18" ht="12" customHeight="1" x14ac:dyDescent="0.35">
      <c r="A523" s="75">
        <v>456</v>
      </c>
      <c r="B523" s="80">
        <v>2011</v>
      </c>
      <c r="C523" s="80">
        <v>11</v>
      </c>
      <c r="D523" s="80">
        <f t="shared" si="31"/>
        <v>2011</v>
      </c>
      <c r="E523" t="s">
        <v>38</v>
      </c>
      <c r="F523" t="s">
        <v>143</v>
      </c>
      <c r="G523" t="s">
        <v>86</v>
      </c>
      <c r="H523" s="72" t="s">
        <v>257</v>
      </c>
      <c r="I523" s="72" t="s">
        <v>31</v>
      </c>
      <c r="J523" t="str">
        <f t="shared" si="30"/>
        <v>Area 8-1: Skagit Bay-Saratoga Psg.</v>
      </c>
      <c r="K523" t="str">
        <f>IFERROR(VLOOKUP(J523,LUTs!$A$1:$C$73,2,FALSE),"NA")</f>
        <v>NA</v>
      </c>
      <c r="L523" t="str">
        <f>IFERROR(VLOOKUP(J523,LUTs!$A$1:$C$73,3,FALSE),"NA")</f>
        <v>2Central Puget Sound</v>
      </c>
      <c r="M523" s="72" t="s">
        <v>16</v>
      </c>
      <c r="N523" t="str">
        <f>VLOOKUP(M523,LUTs!E$2:H$14,3,)</f>
        <v>03Snohomish</v>
      </c>
      <c r="O523" t="str">
        <f>VLOOKUP(M523,LUTs!E$2:H$14,4,)</f>
        <v>01North Puget Sound</v>
      </c>
      <c r="P523" s="80">
        <v>4.5</v>
      </c>
      <c r="Q523" s="102">
        <v>4.5</v>
      </c>
      <c r="R523" s="74">
        <f>VLOOKUP(B523,Readme!A$40:C$52,3,)*Q523</f>
        <v>83.475000000000009</v>
      </c>
    </row>
    <row r="524" spans="1:18" ht="12" customHeight="1" x14ac:dyDescent="0.35">
      <c r="A524" s="75">
        <v>730</v>
      </c>
      <c r="B524" s="80">
        <v>2011</v>
      </c>
      <c r="C524" s="80">
        <v>11</v>
      </c>
      <c r="D524" s="80">
        <f t="shared" si="31"/>
        <v>2011</v>
      </c>
      <c r="E524" t="s">
        <v>38</v>
      </c>
      <c r="F524" t="s">
        <v>143</v>
      </c>
      <c r="G524" t="s">
        <v>86</v>
      </c>
      <c r="H524" s="72" t="s">
        <v>254</v>
      </c>
      <c r="I524" s="72" t="s">
        <v>33</v>
      </c>
      <c r="J524" t="str">
        <f t="shared" si="30"/>
        <v>Area 9: Admiralty Inlet</v>
      </c>
      <c r="K524" t="str">
        <f>IFERROR(VLOOKUP(J524,LUTs!$A$1:$C$73,2,FALSE),"NA")</f>
        <v>NA</v>
      </c>
      <c r="L524" t="str">
        <f>IFERROR(VLOOKUP(J524,LUTs!$A$1:$C$73,3,FALSE),"NA")</f>
        <v>2Central Puget Sound</v>
      </c>
      <c r="M524" s="72" t="s">
        <v>17</v>
      </c>
      <c r="N524" t="str">
        <f>VLOOKUP(M524,LUTs!E$2:H$14,3,)</f>
        <v>04Island</v>
      </c>
      <c r="O524" t="str">
        <f>VLOOKUP(M524,LUTs!E$2:H$14,4,)</f>
        <v>01North Puget Sound</v>
      </c>
      <c r="P524" s="80">
        <v>17</v>
      </c>
      <c r="Q524" s="102">
        <v>17</v>
      </c>
      <c r="R524" s="74">
        <f>VLOOKUP(B524,Readme!A$40:C$52,3,)*Q524</f>
        <v>315.35000000000002</v>
      </c>
    </row>
    <row r="525" spans="1:18" ht="12" customHeight="1" x14ac:dyDescent="0.35">
      <c r="A525" s="75">
        <v>475</v>
      </c>
      <c r="B525" s="80">
        <v>2011</v>
      </c>
      <c r="C525" s="80">
        <v>11</v>
      </c>
      <c r="D525" s="80">
        <f t="shared" si="31"/>
        <v>2011</v>
      </c>
      <c r="E525" t="s">
        <v>38</v>
      </c>
      <c r="F525" t="s">
        <v>143</v>
      </c>
      <c r="G525" t="s">
        <v>86</v>
      </c>
      <c r="H525" s="72" t="s">
        <v>217</v>
      </c>
      <c r="I525" s="72" t="s">
        <v>59</v>
      </c>
      <c r="J525" t="str">
        <f t="shared" si="30"/>
        <v>Cascade River</v>
      </c>
      <c r="K525" t="str">
        <f>IFERROR(VLOOKUP(J525,LUTs!$A$1:$C$73,2,FALSE),"NA")</f>
        <v>Skagit</v>
      </c>
      <c r="L525" t="str">
        <f>IFERROR(VLOOKUP(J525,LUTs!$A$1:$C$73,3,FALSE),"NA")</f>
        <v>1North Puget Sound</v>
      </c>
      <c r="M525" s="72" t="s">
        <v>18</v>
      </c>
      <c r="N525" t="str">
        <f>VLOOKUP(M525,LUTs!E$2:H$14,3,)</f>
        <v>06King</v>
      </c>
      <c r="O525" t="str">
        <f>VLOOKUP(M525,LUTs!E$2:H$14,4,)</f>
        <v>02South Puget Sound</v>
      </c>
      <c r="P525" s="80">
        <v>8.8928571428571406</v>
      </c>
      <c r="Q525" s="102">
        <v>8.8928571428571406</v>
      </c>
      <c r="R525" s="74">
        <f>VLOOKUP(B525,Readme!A$40:C$52,3,)*Q525</f>
        <v>164.96249999999998</v>
      </c>
    </row>
    <row r="526" spans="1:18" ht="12" customHeight="1" x14ac:dyDescent="0.35">
      <c r="A526" s="75">
        <v>476</v>
      </c>
      <c r="B526" s="80">
        <v>2011</v>
      </c>
      <c r="C526" s="80">
        <v>11</v>
      </c>
      <c r="D526" s="80">
        <f t="shared" si="31"/>
        <v>2011</v>
      </c>
      <c r="E526" t="s">
        <v>38</v>
      </c>
      <c r="F526" t="s">
        <v>143</v>
      </c>
      <c r="G526" t="s">
        <v>86</v>
      </c>
      <c r="H526" s="72" t="s">
        <v>217</v>
      </c>
      <c r="I526" s="72" t="s">
        <v>59</v>
      </c>
      <c r="J526" t="str">
        <f t="shared" si="30"/>
        <v>Cascade River</v>
      </c>
      <c r="K526" t="str">
        <f>IFERROR(VLOOKUP(J526,LUTs!$A$1:$C$73,2,FALSE),"NA")</f>
        <v>Skagit</v>
      </c>
      <c r="L526" t="str">
        <f>IFERROR(VLOOKUP(J526,LUTs!$A$1:$C$73,3,FALSE),"NA")</f>
        <v>1North Puget Sound</v>
      </c>
      <c r="M526" s="72" t="s">
        <v>30</v>
      </c>
      <c r="N526" t="str">
        <f>VLOOKUP(M526,LUTs!E$2:H$14,3,)</f>
        <v>05San Juan</v>
      </c>
      <c r="O526" t="str">
        <f>VLOOKUP(M526,LUTs!E$2:H$14,4,)</f>
        <v>01North Puget Sound</v>
      </c>
      <c r="P526" s="80">
        <v>2.96428571428571</v>
      </c>
      <c r="Q526" s="102">
        <v>2.96428571428571</v>
      </c>
      <c r="R526" s="74">
        <f>VLOOKUP(B526,Readme!A$40:C$52,3,)*Q526</f>
        <v>54.987499999999919</v>
      </c>
    </row>
    <row r="527" spans="1:18" ht="12" customHeight="1" x14ac:dyDescent="0.35">
      <c r="A527" s="75">
        <v>477</v>
      </c>
      <c r="B527" s="80">
        <v>2011</v>
      </c>
      <c r="C527" s="80">
        <v>11</v>
      </c>
      <c r="D527" s="80">
        <f t="shared" si="31"/>
        <v>2011</v>
      </c>
      <c r="E527" t="s">
        <v>38</v>
      </c>
      <c r="F527" t="s">
        <v>143</v>
      </c>
      <c r="G527" t="s">
        <v>86</v>
      </c>
      <c r="H527" s="72" t="s">
        <v>217</v>
      </c>
      <c r="I527" s="72" t="s">
        <v>59</v>
      </c>
      <c r="J527" t="str">
        <f t="shared" si="30"/>
        <v>Cascade River</v>
      </c>
      <c r="K527" t="str">
        <f>IFERROR(VLOOKUP(J527,LUTs!$A$1:$C$73,2,FALSE),"NA")</f>
        <v>Skagit</v>
      </c>
      <c r="L527" t="str">
        <f>IFERROR(VLOOKUP(J527,LUTs!$A$1:$C$73,3,FALSE),"NA")</f>
        <v>1North Puget Sound</v>
      </c>
      <c r="M527" s="72" t="s">
        <v>15</v>
      </c>
      <c r="N527" t="str">
        <f>VLOOKUP(M527,LUTs!E$2:H$14,3,)</f>
        <v>02Skagit</v>
      </c>
      <c r="O527" t="str">
        <f>VLOOKUP(M527,LUTs!E$2:H$14,4,)</f>
        <v>01North Puget Sound</v>
      </c>
      <c r="P527" s="80">
        <v>53.357142857142897</v>
      </c>
      <c r="Q527" s="102">
        <v>53.357142857142897</v>
      </c>
      <c r="R527" s="74">
        <f>VLOOKUP(B527,Readme!A$40:C$52,3,)*Q527</f>
        <v>989.77500000000077</v>
      </c>
    </row>
    <row r="528" spans="1:18" ht="12" customHeight="1" x14ac:dyDescent="0.35">
      <c r="A528" s="75">
        <v>478</v>
      </c>
      <c r="B528" s="80">
        <v>2011</v>
      </c>
      <c r="C528" s="80">
        <v>11</v>
      </c>
      <c r="D528" s="80">
        <f t="shared" si="31"/>
        <v>2011</v>
      </c>
      <c r="E528" t="s">
        <v>38</v>
      </c>
      <c r="F528" t="s">
        <v>143</v>
      </c>
      <c r="G528" t="s">
        <v>86</v>
      </c>
      <c r="H528" s="72" t="s">
        <v>217</v>
      </c>
      <c r="I528" s="72" t="s">
        <v>59</v>
      </c>
      <c r="J528" t="str">
        <f t="shared" si="30"/>
        <v>Cascade River</v>
      </c>
      <c r="K528" t="str">
        <f>IFERROR(VLOOKUP(J528,LUTs!$A$1:$C$73,2,FALSE),"NA")</f>
        <v>Skagit</v>
      </c>
      <c r="L528" t="str">
        <f>IFERROR(VLOOKUP(J528,LUTs!$A$1:$C$73,3,FALSE),"NA")</f>
        <v>1North Puget Sound</v>
      </c>
      <c r="M528" s="72" t="s">
        <v>16</v>
      </c>
      <c r="N528" t="str">
        <f>VLOOKUP(M528,LUTs!E$2:H$14,3,)</f>
        <v>03Snohomish</v>
      </c>
      <c r="O528" t="str">
        <f>VLOOKUP(M528,LUTs!E$2:H$14,4,)</f>
        <v>01North Puget Sound</v>
      </c>
      <c r="P528" s="80">
        <v>29.6428571428571</v>
      </c>
      <c r="Q528" s="102">
        <v>29.6428571428571</v>
      </c>
      <c r="R528" s="74">
        <f>VLOOKUP(B528,Readme!A$40:C$52,3,)*Q528</f>
        <v>549.8749999999992</v>
      </c>
    </row>
    <row r="529" spans="1:18" ht="12" customHeight="1" x14ac:dyDescent="0.35">
      <c r="A529" s="75">
        <v>479</v>
      </c>
      <c r="B529" s="80">
        <v>2011</v>
      </c>
      <c r="C529" s="80">
        <v>11</v>
      </c>
      <c r="D529" s="80">
        <f t="shared" si="31"/>
        <v>2011</v>
      </c>
      <c r="E529" t="s">
        <v>38</v>
      </c>
      <c r="F529" t="s">
        <v>143</v>
      </c>
      <c r="G529" t="s">
        <v>86</v>
      </c>
      <c r="H529" s="72" t="s">
        <v>217</v>
      </c>
      <c r="I529" s="72" t="s">
        <v>59</v>
      </c>
      <c r="J529" t="str">
        <f t="shared" si="30"/>
        <v>Cascade River</v>
      </c>
      <c r="K529" t="str">
        <f>IFERROR(VLOOKUP(J529,LUTs!$A$1:$C$73,2,FALSE),"NA")</f>
        <v>Skagit</v>
      </c>
      <c r="L529" t="str">
        <f>IFERROR(VLOOKUP(J529,LUTs!$A$1:$C$73,3,FALSE),"NA")</f>
        <v>1North Puget Sound</v>
      </c>
      <c r="M529" s="72" t="s">
        <v>13</v>
      </c>
      <c r="N529" t="str">
        <f>VLOOKUP(M529,LUTs!E$2:H$14,3,)</f>
        <v>01Whatcom</v>
      </c>
      <c r="O529" t="str">
        <f>VLOOKUP(M529,LUTs!E$2:H$14,4,)</f>
        <v>01North Puget Sound</v>
      </c>
      <c r="P529" s="80">
        <v>71.142857142857196</v>
      </c>
      <c r="Q529" s="102">
        <v>71.142857142857196</v>
      </c>
      <c r="R529" s="74">
        <f>VLOOKUP(B529,Readme!A$40:C$52,3,)*Q529</f>
        <v>1319.700000000001</v>
      </c>
    </row>
    <row r="530" spans="1:18" ht="12" customHeight="1" x14ac:dyDescent="0.35">
      <c r="A530" s="75">
        <v>352</v>
      </c>
      <c r="B530" s="80">
        <v>2011</v>
      </c>
      <c r="C530" s="80">
        <v>11</v>
      </c>
      <c r="D530" s="80">
        <f t="shared" si="31"/>
        <v>2011</v>
      </c>
      <c r="E530" t="s">
        <v>38</v>
      </c>
      <c r="F530" t="s">
        <v>143</v>
      </c>
      <c r="G530" t="s">
        <v>86</v>
      </c>
      <c r="H530" s="72" t="s">
        <v>201</v>
      </c>
      <c r="I530" s="72" t="s">
        <v>43</v>
      </c>
      <c r="J530" t="str">
        <f t="shared" si="30"/>
        <v>Dungeness River</v>
      </c>
      <c r="K530" t="str">
        <f>IFERROR(VLOOKUP(J530,LUTs!$A$1:$C$73,2,FALSE),"NA")</f>
        <v>Clallam</v>
      </c>
      <c r="L530" t="str">
        <f>IFERROR(VLOOKUP(J530,LUTs!$A$1:$C$73,3,FALSE),"NA")</f>
        <v>0Strait of Juan de Fuca</v>
      </c>
      <c r="M530" s="72" t="s">
        <v>24</v>
      </c>
      <c r="N530" t="str">
        <f>VLOOKUP(M530,LUTs!E$2:H$14,3,)</f>
        <v>11Clallam</v>
      </c>
      <c r="O530" t="str">
        <f>VLOOKUP(M530,LUTs!E$2:H$14,4,)</f>
        <v>03Strait of Juan de Fuca</v>
      </c>
      <c r="P530" s="80">
        <v>4.6666666666666696</v>
      </c>
      <c r="Q530" s="102">
        <v>4.6666666666666696</v>
      </c>
      <c r="R530" s="74">
        <f>VLOOKUP(B530,Readme!A$40:C$52,3,)*Q530</f>
        <v>86.56666666666672</v>
      </c>
    </row>
    <row r="531" spans="1:18" ht="12" customHeight="1" x14ac:dyDescent="0.35">
      <c r="A531" s="75">
        <v>353</v>
      </c>
      <c r="B531" s="80">
        <v>2011</v>
      </c>
      <c r="C531" s="80">
        <v>11</v>
      </c>
      <c r="D531" s="80">
        <f t="shared" si="31"/>
        <v>2011</v>
      </c>
      <c r="E531" t="s">
        <v>38</v>
      </c>
      <c r="F531" t="s">
        <v>143</v>
      </c>
      <c r="G531" t="s">
        <v>86</v>
      </c>
      <c r="H531" s="72" t="s">
        <v>201</v>
      </c>
      <c r="I531" s="72" t="s">
        <v>43</v>
      </c>
      <c r="J531" t="str">
        <f t="shared" si="30"/>
        <v>Dungeness River</v>
      </c>
      <c r="K531" t="str">
        <f>IFERROR(VLOOKUP(J531,LUTs!$A$1:$C$73,2,FALSE),"NA")</f>
        <v>Clallam</v>
      </c>
      <c r="L531" t="str">
        <f>IFERROR(VLOOKUP(J531,LUTs!$A$1:$C$73,3,FALSE),"NA")</f>
        <v>0Strait of Juan de Fuca</v>
      </c>
      <c r="M531" s="72" t="s">
        <v>15</v>
      </c>
      <c r="N531" t="str">
        <f>VLOOKUP(M531,LUTs!E$2:H$14,3,)</f>
        <v>02Skagit</v>
      </c>
      <c r="O531" t="str">
        <f>VLOOKUP(M531,LUTs!E$2:H$14,4,)</f>
        <v>01North Puget Sound</v>
      </c>
      <c r="P531" s="80">
        <v>2.3333333333333299</v>
      </c>
      <c r="Q531" s="102">
        <v>2.3333333333333299</v>
      </c>
      <c r="R531" s="74">
        <f>VLOOKUP(B531,Readme!A$40:C$52,3,)*Q531</f>
        <v>43.283333333333275</v>
      </c>
    </row>
    <row r="532" spans="1:18" ht="12" customHeight="1" x14ac:dyDescent="0.35">
      <c r="A532" s="75">
        <v>375</v>
      </c>
      <c r="B532" s="80">
        <v>2011</v>
      </c>
      <c r="C532" s="80">
        <v>11</v>
      </c>
      <c r="D532" s="80">
        <f t="shared" si="31"/>
        <v>2011</v>
      </c>
      <c r="E532" t="s">
        <v>38</v>
      </c>
      <c r="F532" t="s">
        <v>143</v>
      </c>
      <c r="G532" t="s">
        <v>86</v>
      </c>
      <c r="H532" s="72" t="s">
        <v>203</v>
      </c>
      <c r="I532" s="72" t="s">
        <v>89</v>
      </c>
      <c r="J532" s="84" t="s">
        <v>45</v>
      </c>
      <c r="K532" t="str">
        <f>IFERROR(VLOOKUP(J532,LUTs!$A$1:$C$73,2,FALSE),"NA")</f>
        <v>King</v>
      </c>
      <c r="L532" t="str">
        <f>IFERROR(VLOOKUP(J532,LUTs!$A$1:$C$73,3,FALSE),"NA")</f>
        <v>3South Puget Sound</v>
      </c>
      <c r="M532" s="72" t="s">
        <v>18</v>
      </c>
      <c r="N532" t="str">
        <f>VLOOKUP(M532,LUTs!E$2:H$14,3,)</f>
        <v>06King</v>
      </c>
      <c r="O532" t="str">
        <f>VLOOKUP(M532,LUTs!E$2:H$14,4,)</f>
        <v>02South Puget Sound</v>
      </c>
      <c r="P532" s="80">
        <v>19</v>
      </c>
      <c r="Q532" s="102">
        <v>19</v>
      </c>
      <c r="R532" s="74">
        <f>VLOOKUP(B532,Readme!A$40:C$52,3,)*Q532</f>
        <v>352.45</v>
      </c>
    </row>
    <row r="533" spans="1:18" ht="12" customHeight="1" x14ac:dyDescent="0.35">
      <c r="A533" s="75">
        <v>381</v>
      </c>
      <c r="B533" s="80">
        <v>2011</v>
      </c>
      <c r="C533" s="80">
        <v>11</v>
      </c>
      <c r="D533" s="80">
        <f t="shared" si="31"/>
        <v>2011</v>
      </c>
      <c r="E533" t="s">
        <v>38</v>
      </c>
      <c r="F533" t="s">
        <v>143</v>
      </c>
      <c r="G533" t="s">
        <v>86</v>
      </c>
      <c r="H533" s="72" t="s">
        <v>204</v>
      </c>
      <c r="I533" s="72" t="s">
        <v>46</v>
      </c>
      <c r="J533" t="str">
        <f t="shared" ref="J533:J540" si="32">I533</f>
        <v>Hoko River</v>
      </c>
      <c r="K533" t="str">
        <f>IFERROR(VLOOKUP(J533,LUTs!$A$1:$C$73,2,FALSE),"NA")</f>
        <v>Clallam</v>
      </c>
      <c r="L533" t="str">
        <f>IFERROR(VLOOKUP(J533,LUTs!$A$1:$C$73,3,FALSE),"NA")</f>
        <v>0Strait of Juan de Fuca</v>
      </c>
      <c r="M533" s="72" t="s">
        <v>24</v>
      </c>
      <c r="N533" t="str">
        <f>VLOOKUP(M533,LUTs!E$2:H$14,3,)</f>
        <v>11Clallam</v>
      </c>
      <c r="O533" t="str">
        <f>VLOOKUP(M533,LUTs!E$2:H$14,4,)</f>
        <v>03Strait of Juan de Fuca</v>
      </c>
      <c r="P533" s="80">
        <v>9.3333333333333304</v>
      </c>
      <c r="Q533" s="102">
        <v>9.3333333333333304</v>
      </c>
      <c r="R533" s="74">
        <f>VLOOKUP(B533,Readme!A$40:C$52,3,)*Q533</f>
        <v>173.1333333333333</v>
      </c>
    </row>
    <row r="534" spans="1:18" ht="12" customHeight="1" x14ac:dyDescent="0.35">
      <c r="A534" s="75">
        <v>382</v>
      </c>
      <c r="B534" s="80">
        <v>2011</v>
      </c>
      <c r="C534" s="80">
        <v>11</v>
      </c>
      <c r="D534" s="80">
        <f t="shared" si="31"/>
        <v>2011</v>
      </c>
      <c r="E534" t="s">
        <v>38</v>
      </c>
      <c r="F534" t="s">
        <v>143</v>
      </c>
      <c r="G534" t="s">
        <v>86</v>
      </c>
      <c r="H534" s="72" t="s">
        <v>204</v>
      </c>
      <c r="I534" s="72" t="s">
        <v>46</v>
      </c>
      <c r="J534" t="str">
        <f t="shared" si="32"/>
        <v>Hoko River</v>
      </c>
      <c r="K534" t="str">
        <f>IFERROR(VLOOKUP(J534,LUTs!$A$1:$C$73,2,FALSE),"NA")</f>
        <v>Clallam</v>
      </c>
      <c r="L534" t="str">
        <f>IFERROR(VLOOKUP(J534,LUTs!$A$1:$C$73,3,FALSE),"NA")</f>
        <v>0Strait of Juan de Fuca</v>
      </c>
      <c r="M534" s="72" t="s">
        <v>18</v>
      </c>
      <c r="N534" t="str">
        <f>VLOOKUP(M534,LUTs!E$2:H$14,3,)</f>
        <v>06King</v>
      </c>
      <c r="O534" t="str">
        <f>VLOOKUP(M534,LUTs!E$2:H$14,4,)</f>
        <v>02South Puget Sound</v>
      </c>
      <c r="P534" s="80">
        <v>4.6666666666666696</v>
      </c>
      <c r="Q534" s="102">
        <v>4.6666666666666696</v>
      </c>
      <c r="R534" s="74">
        <f>VLOOKUP(B534,Readme!A$40:C$52,3,)*Q534</f>
        <v>86.56666666666672</v>
      </c>
    </row>
    <row r="535" spans="1:18" ht="12" customHeight="1" x14ac:dyDescent="0.35">
      <c r="A535" s="75">
        <v>396</v>
      </c>
      <c r="B535" s="80">
        <v>2011</v>
      </c>
      <c r="C535" s="80">
        <v>11</v>
      </c>
      <c r="D535" s="80">
        <f t="shared" si="31"/>
        <v>2011</v>
      </c>
      <c r="E535" t="s">
        <v>38</v>
      </c>
      <c r="F535" t="s">
        <v>143</v>
      </c>
      <c r="G535" t="s">
        <v>86</v>
      </c>
      <c r="H535" s="72" t="s">
        <v>255</v>
      </c>
      <c r="I535" s="72" t="s">
        <v>49</v>
      </c>
      <c r="J535" t="str">
        <f t="shared" si="32"/>
        <v>Lake Sammamish</v>
      </c>
      <c r="K535" t="str">
        <f>IFERROR(VLOOKUP(J535,LUTs!$A$1:$C$73,2,FALSE),"NA")</f>
        <v>King</v>
      </c>
      <c r="L535" t="str">
        <f>IFERROR(VLOOKUP(J535,LUTs!$A$1:$C$73,3,FALSE),"NA")</f>
        <v>2Central Puget Sound</v>
      </c>
      <c r="M535" s="72" t="s">
        <v>24</v>
      </c>
      <c r="N535" t="str">
        <f>VLOOKUP(M535,LUTs!E$2:H$14,3,)</f>
        <v>11Clallam</v>
      </c>
      <c r="O535" t="str">
        <f>VLOOKUP(M535,LUTs!E$2:H$14,4,)</f>
        <v>03Strait of Juan de Fuca</v>
      </c>
      <c r="P535" s="80">
        <v>2</v>
      </c>
      <c r="Q535" s="102">
        <v>2</v>
      </c>
      <c r="R535" s="74">
        <f>VLOOKUP(B535,Readme!A$40:C$52,3,)*Q535</f>
        <v>37.1</v>
      </c>
    </row>
    <row r="536" spans="1:18" ht="12" customHeight="1" x14ac:dyDescent="0.35">
      <c r="A536" s="75">
        <v>395</v>
      </c>
      <c r="B536" s="80">
        <v>2011</v>
      </c>
      <c r="C536" s="80">
        <v>11</v>
      </c>
      <c r="D536" s="80">
        <f t="shared" si="31"/>
        <v>2011</v>
      </c>
      <c r="E536" t="s">
        <v>38</v>
      </c>
      <c r="F536" t="s">
        <v>143</v>
      </c>
      <c r="G536" t="s">
        <v>86</v>
      </c>
      <c r="H536" s="72" t="s">
        <v>206</v>
      </c>
      <c r="I536" s="72" t="s">
        <v>48</v>
      </c>
      <c r="J536" t="str">
        <f t="shared" si="32"/>
        <v>Lake Washington</v>
      </c>
      <c r="K536" t="str">
        <f>IFERROR(VLOOKUP(J536,LUTs!$A$1:$C$73,2,FALSE),"NA")</f>
        <v>King</v>
      </c>
      <c r="L536" t="str">
        <f>IFERROR(VLOOKUP(J536,LUTs!$A$1:$C$73,3,FALSE),"NA")</f>
        <v>2Central Puget Sound</v>
      </c>
      <c r="M536" s="72" t="s">
        <v>24</v>
      </c>
      <c r="N536" t="str">
        <f>VLOOKUP(M536,LUTs!E$2:H$14,3,)</f>
        <v>11Clallam</v>
      </c>
      <c r="O536" t="str">
        <f>VLOOKUP(M536,LUTs!E$2:H$14,4,)</f>
        <v>03Strait of Juan de Fuca</v>
      </c>
      <c r="P536" s="80">
        <v>7</v>
      </c>
      <c r="Q536" s="102">
        <v>7</v>
      </c>
      <c r="R536" s="74">
        <f>VLOOKUP(B536,Readme!A$40:C$52,3,)*Q536</f>
        <v>129.85</v>
      </c>
    </row>
    <row r="537" spans="1:18" ht="12" customHeight="1" x14ac:dyDescent="0.35">
      <c r="A537" s="75">
        <v>407</v>
      </c>
      <c r="B537" s="80">
        <v>2011</v>
      </c>
      <c r="C537" s="80">
        <v>11</v>
      </c>
      <c r="D537" s="80">
        <f t="shared" si="31"/>
        <v>2011</v>
      </c>
      <c r="E537" t="s">
        <v>38</v>
      </c>
      <c r="F537" t="s">
        <v>143</v>
      </c>
      <c r="G537" t="s">
        <v>86</v>
      </c>
      <c r="H537" s="72" t="s">
        <v>237</v>
      </c>
      <c r="I537" s="72" t="s">
        <v>79</v>
      </c>
      <c r="J537" t="str">
        <f t="shared" si="32"/>
        <v>Lyre River</v>
      </c>
      <c r="K537" t="str">
        <f>IFERROR(VLOOKUP(J537,LUTs!$A$1:$C$73,2,FALSE),"NA")</f>
        <v>Clallam</v>
      </c>
      <c r="L537" t="str">
        <f>IFERROR(VLOOKUP(J537,LUTs!$A$1:$C$73,3,FALSE),"NA")</f>
        <v>0Strait of Juan de Fuca</v>
      </c>
      <c r="M537" s="72" t="s">
        <v>24</v>
      </c>
      <c r="N537" t="str">
        <f>VLOOKUP(M537,LUTs!E$2:H$14,3,)</f>
        <v>11Clallam</v>
      </c>
      <c r="O537" t="str">
        <f>VLOOKUP(M537,LUTs!E$2:H$14,4,)</f>
        <v>03Strait of Juan de Fuca</v>
      </c>
      <c r="P537" s="80">
        <v>66.454545454545496</v>
      </c>
      <c r="Q537" s="102">
        <v>66.454545454545496</v>
      </c>
      <c r="R537" s="74">
        <f>VLOOKUP(B537,Readme!A$40:C$52,3,)*Q537</f>
        <v>1232.7318181818191</v>
      </c>
    </row>
    <row r="538" spans="1:18" ht="12" customHeight="1" x14ac:dyDescent="0.35">
      <c r="A538" s="75">
        <v>408</v>
      </c>
      <c r="B538" s="80">
        <v>2011</v>
      </c>
      <c r="C538" s="80">
        <v>11</v>
      </c>
      <c r="D538" s="80">
        <f t="shared" si="31"/>
        <v>2011</v>
      </c>
      <c r="E538" t="s">
        <v>38</v>
      </c>
      <c r="F538" t="s">
        <v>143</v>
      </c>
      <c r="G538" t="s">
        <v>86</v>
      </c>
      <c r="H538" s="72" t="s">
        <v>237</v>
      </c>
      <c r="I538" s="72" t="s">
        <v>79</v>
      </c>
      <c r="J538" t="str">
        <f t="shared" si="32"/>
        <v>Lyre River</v>
      </c>
      <c r="K538" t="str">
        <f>IFERROR(VLOOKUP(J538,LUTs!$A$1:$C$73,2,FALSE),"NA")</f>
        <v>Clallam</v>
      </c>
      <c r="L538" t="str">
        <f>IFERROR(VLOOKUP(J538,LUTs!$A$1:$C$73,3,FALSE),"NA")</f>
        <v>0Strait of Juan de Fuca</v>
      </c>
      <c r="M538" s="72" t="s">
        <v>25</v>
      </c>
      <c r="N538" t="str">
        <f>VLOOKUP(M538,LUTs!E$2:H$14,3,)</f>
        <v>12Jefferson</v>
      </c>
      <c r="O538" t="str">
        <f>VLOOKUP(M538,LUTs!E$2:H$14,4,)</f>
        <v>03Strait of Juan de Fuca</v>
      </c>
      <c r="P538" s="80">
        <v>3.9090909090909101</v>
      </c>
      <c r="Q538" s="102">
        <v>3.9090909090909101</v>
      </c>
      <c r="R538" s="74">
        <f>VLOOKUP(B538,Readme!A$40:C$52,3,)*Q538</f>
        <v>72.51363636363638</v>
      </c>
    </row>
    <row r="539" spans="1:18" ht="12" customHeight="1" x14ac:dyDescent="0.35">
      <c r="A539" s="75">
        <v>409</v>
      </c>
      <c r="B539" s="80">
        <v>2011</v>
      </c>
      <c r="C539" s="80">
        <v>11</v>
      </c>
      <c r="D539" s="80">
        <f t="shared" si="31"/>
        <v>2011</v>
      </c>
      <c r="E539" t="s">
        <v>38</v>
      </c>
      <c r="F539" t="s">
        <v>143</v>
      </c>
      <c r="G539" t="s">
        <v>86</v>
      </c>
      <c r="H539" s="72" t="s">
        <v>237</v>
      </c>
      <c r="I539" s="72" t="s">
        <v>79</v>
      </c>
      <c r="J539" t="str">
        <f t="shared" si="32"/>
        <v>Lyre River</v>
      </c>
      <c r="K539" t="str">
        <f>IFERROR(VLOOKUP(J539,LUTs!$A$1:$C$73,2,FALSE),"NA")</f>
        <v>Clallam</v>
      </c>
      <c r="L539" t="str">
        <f>IFERROR(VLOOKUP(J539,LUTs!$A$1:$C$73,3,FALSE),"NA")</f>
        <v>0Strait of Juan de Fuca</v>
      </c>
      <c r="M539" s="72" t="s">
        <v>22</v>
      </c>
      <c r="N539" t="str">
        <f>VLOOKUP(M539,LUTs!E$2:H$14,3,)</f>
        <v>09Mason</v>
      </c>
      <c r="O539" t="str">
        <f>VLOOKUP(M539,LUTs!E$2:H$14,4,)</f>
        <v>02South Puget Sound</v>
      </c>
      <c r="P539" s="80">
        <v>7.8181818181818201</v>
      </c>
      <c r="Q539" s="102">
        <v>7.8181818181818201</v>
      </c>
      <c r="R539" s="74">
        <f>VLOOKUP(B539,Readme!A$40:C$52,3,)*Q539</f>
        <v>145.02727272727276</v>
      </c>
    </row>
    <row r="540" spans="1:18" ht="12" customHeight="1" x14ac:dyDescent="0.35">
      <c r="A540" s="75">
        <v>410</v>
      </c>
      <c r="B540" s="80">
        <v>2011</v>
      </c>
      <c r="C540" s="80">
        <v>11</v>
      </c>
      <c r="D540" s="80">
        <f t="shared" si="31"/>
        <v>2011</v>
      </c>
      <c r="E540" t="s">
        <v>38</v>
      </c>
      <c r="F540" t="s">
        <v>143</v>
      </c>
      <c r="G540" t="s">
        <v>86</v>
      </c>
      <c r="H540" s="72" t="s">
        <v>237</v>
      </c>
      <c r="I540" s="72" t="s">
        <v>79</v>
      </c>
      <c r="J540" t="str">
        <f t="shared" si="32"/>
        <v>Lyre River</v>
      </c>
      <c r="K540" t="str">
        <f>IFERROR(VLOOKUP(J540,LUTs!$A$1:$C$73,2,FALSE),"NA")</f>
        <v>Clallam</v>
      </c>
      <c r="L540" t="str">
        <f>IFERROR(VLOOKUP(J540,LUTs!$A$1:$C$73,3,FALSE),"NA")</f>
        <v>0Strait of Juan de Fuca</v>
      </c>
      <c r="M540" s="72" t="s">
        <v>26</v>
      </c>
      <c r="N540" t="str">
        <f>VLOOKUP(M540,LUTs!E$2:H$14,3,)</f>
        <v>20Other</v>
      </c>
      <c r="O540" t="str">
        <f>VLOOKUP(M540,LUTs!E$2:H$14,4,)</f>
        <v>07Non Puget Sound</v>
      </c>
      <c r="P540" s="80">
        <v>7.8181818181818201</v>
      </c>
      <c r="Q540" s="102">
        <v>7.8181818181818201</v>
      </c>
      <c r="R540" s="74">
        <f>VLOOKUP(B540,Readme!A$40:C$52,3,)*Q540</f>
        <v>145.02727272727276</v>
      </c>
    </row>
    <row r="541" spans="1:18" ht="12" customHeight="1" x14ac:dyDescent="0.35">
      <c r="A541" s="75">
        <v>417</v>
      </c>
      <c r="B541" s="80">
        <v>2011</v>
      </c>
      <c r="C541" s="80">
        <v>11</v>
      </c>
      <c r="D541" s="80">
        <f t="shared" si="31"/>
        <v>2011</v>
      </c>
      <c r="E541" t="s">
        <v>38</v>
      </c>
      <c r="F541" t="s">
        <v>143</v>
      </c>
      <c r="G541" t="s">
        <v>86</v>
      </c>
      <c r="H541" s="72" t="s">
        <v>208</v>
      </c>
      <c r="I541" s="72" t="s">
        <v>256</v>
      </c>
      <c r="J541" s="84" t="s">
        <v>50</v>
      </c>
      <c r="K541" t="str">
        <f>IFERROR(VLOOKUP(J541,LUTs!$A$1:$C$73,2,FALSE),"NA")</f>
        <v>Kitsap/Pierce</v>
      </c>
      <c r="L541" t="str">
        <f>IFERROR(VLOOKUP(J541,LUTs!$A$1:$C$73,3,FALSE),"NA")</f>
        <v>3South Puget Sound</v>
      </c>
      <c r="M541" s="72" t="s">
        <v>20</v>
      </c>
      <c r="N541" t="str">
        <f>VLOOKUP(M541,LUTs!E$2:H$14,3,)</f>
        <v>07Pierce</v>
      </c>
      <c r="O541" t="str">
        <f>VLOOKUP(M541,LUTs!E$2:H$14,4,)</f>
        <v>02South Puget Sound</v>
      </c>
      <c r="P541" s="80">
        <v>0</v>
      </c>
      <c r="Q541" s="102">
        <v>0</v>
      </c>
      <c r="R541" s="74">
        <f>VLOOKUP(B541,Readme!A$40:C$52,3,)*Q541</f>
        <v>0</v>
      </c>
    </row>
    <row r="542" spans="1:18" ht="12" customHeight="1" x14ac:dyDescent="0.35">
      <c r="A542" s="75">
        <v>426</v>
      </c>
      <c r="B542" s="80">
        <v>2011</v>
      </c>
      <c r="C542" s="80">
        <v>11</v>
      </c>
      <c r="D542" s="80">
        <f t="shared" si="31"/>
        <v>2011</v>
      </c>
      <c r="E542" t="s">
        <v>38</v>
      </c>
      <c r="F542" t="s">
        <v>143</v>
      </c>
      <c r="G542" t="s">
        <v>86</v>
      </c>
      <c r="H542" s="72" t="s">
        <v>209</v>
      </c>
      <c r="I542" s="72" t="s">
        <v>51</v>
      </c>
      <c r="J542" t="str">
        <f>I542</f>
        <v>Nisqually River</v>
      </c>
      <c r="K542" t="str">
        <f>IFERROR(VLOOKUP(J542,LUTs!$A$1:$C$73,2,FALSE),"NA")</f>
        <v>Thurston/Pierce</v>
      </c>
      <c r="L542" t="str">
        <f>IFERROR(VLOOKUP(J542,LUTs!$A$1:$C$73,3,FALSE),"NA")</f>
        <v>3South Puget Sound</v>
      </c>
      <c r="M542" s="72" t="s">
        <v>20</v>
      </c>
      <c r="N542" t="str">
        <f>VLOOKUP(M542,LUTs!E$2:H$14,3,)</f>
        <v>07Pierce</v>
      </c>
      <c r="O542" t="str">
        <f>VLOOKUP(M542,LUTs!E$2:H$14,4,)</f>
        <v>02South Puget Sound</v>
      </c>
      <c r="P542" s="80">
        <v>0</v>
      </c>
      <c r="Q542" s="102">
        <v>0</v>
      </c>
      <c r="R542" s="74">
        <f>VLOOKUP(B542,Readme!A$40:C$52,3,)*Q542</f>
        <v>0</v>
      </c>
    </row>
    <row r="543" spans="1:18" ht="12" customHeight="1" x14ac:dyDescent="0.35">
      <c r="A543" s="75">
        <v>429</v>
      </c>
      <c r="B543" s="80">
        <v>2011</v>
      </c>
      <c r="C543" s="80">
        <v>11</v>
      </c>
      <c r="D543" s="80">
        <f t="shared" si="31"/>
        <v>2011</v>
      </c>
      <c r="E543" t="s">
        <v>38</v>
      </c>
      <c r="F543" t="s">
        <v>143</v>
      </c>
      <c r="G543" t="s">
        <v>86</v>
      </c>
      <c r="H543" s="72" t="s">
        <v>239</v>
      </c>
      <c r="I543" s="72" t="s">
        <v>92</v>
      </c>
      <c r="J543" t="str">
        <f>I543</f>
        <v>Nooksack River, No. Fork</v>
      </c>
      <c r="K543" t="str">
        <f>IFERROR(VLOOKUP(J543,LUTs!$A$1:$C$73,2,FALSE),"NA")</f>
        <v>Whatcom</v>
      </c>
      <c r="L543" t="str">
        <f>IFERROR(VLOOKUP(J543,LUTs!$A$1:$C$73,3,FALSE),"NA")</f>
        <v>1North Puget Sound</v>
      </c>
      <c r="M543" s="72" t="s">
        <v>13</v>
      </c>
      <c r="N543" t="str">
        <f>VLOOKUP(M543,LUTs!E$2:H$14,3,)</f>
        <v>01Whatcom</v>
      </c>
      <c r="O543" t="str">
        <f>VLOOKUP(M543,LUTs!E$2:H$14,4,)</f>
        <v>01North Puget Sound</v>
      </c>
      <c r="P543" s="80">
        <v>2</v>
      </c>
      <c r="Q543" s="102">
        <v>2</v>
      </c>
      <c r="R543" s="74">
        <f>VLOOKUP(B543,Readme!A$40:C$52,3,)*Q543</f>
        <v>37.1</v>
      </c>
    </row>
    <row r="544" spans="1:18" ht="12" customHeight="1" x14ac:dyDescent="0.35">
      <c r="A544" s="75">
        <v>533</v>
      </c>
      <c r="B544" s="80">
        <v>2011</v>
      </c>
      <c r="C544" s="80">
        <v>11</v>
      </c>
      <c r="D544" s="80">
        <f t="shared" si="31"/>
        <v>2011</v>
      </c>
      <c r="E544" t="s">
        <v>38</v>
      </c>
      <c r="F544" t="s">
        <v>143</v>
      </c>
      <c r="G544" t="s">
        <v>86</v>
      </c>
      <c r="H544" s="72" t="s">
        <v>246</v>
      </c>
      <c r="I544" s="72" t="s">
        <v>97</v>
      </c>
      <c r="J544" t="str">
        <f>I544</f>
        <v>Raging River</v>
      </c>
      <c r="K544" t="str">
        <f>IFERROR(VLOOKUP(J544,LUTs!$A$1:$C$73,2,FALSE),"NA")</f>
        <v>King</v>
      </c>
      <c r="L544" t="str">
        <f>IFERROR(VLOOKUP(J544,LUTs!$A$1:$C$73,3,FALSE),"NA")</f>
        <v>2Central Puget Sound</v>
      </c>
      <c r="M544" s="72" t="s">
        <v>18</v>
      </c>
      <c r="N544" t="str">
        <f>VLOOKUP(M544,LUTs!E$2:H$14,3,)</f>
        <v>06King</v>
      </c>
      <c r="O544" t="str">
        <f>VLOOKUP(M544,LUTs!E$2:H$14,4,)</f>
        <v>02South Puget Sound</v>
      </c>
      <c r="P544" s="80">
        <v>8</v>
      </c>
      <c r="Q544" s="102">
        <v>8</v>
      </c>
      <c r="R544" s="74">
        <f>VLOOKUP(B544,Readme!A$40:C$52,3,)*Q544</f>
        <v>148.4</v>
      </c>
    </row>
    <row r="545" spans="1:18" ht="12" customHeight="1" x14ac:dyDescent="0.35">
      <c r="A545" s="75">
        <v>509</v>
      </c>
      <c r="B545" s="80">
        <v>2011</v>
      </c>
      <c r="C545" s="80">
        <v>11</v>
      </c>
      <c r="D545" s="80">
        <f t="shared" si="31"/>
        <v>2011</v>
      </c>
      <c r="E545" t="s">
        <v>38</v>
      </c>
      <c r="F545" t="s">
        <v>143</v>
      </c>
      <c r="G545" t="s">
        <v>86</v>
      </c>
      <c r="H545" s="72" t="s">
        <v>218</v>
      </c>
      <c r="I545" s="72" t="s">
        <v>60</v>
      </c>
      <c r="J545" t="str">
        <f>I545</f>
        <v>Skagit River</v>
      </c>
      <c r="K545" t="str">
        <f>IFERROR(VLOOKUP(J545,LUTs!$A$1:$C$73,2,FALSE),"NA")</f>
        <v>Skagit/Whatcom</v>
      </c>
      <c r="L545" t="str">
        <f>IFERROR(VLOOKUP(J545,LUTs!$A$1:$C$73,3,FALSE),"NA")</f>
        <v>2Central Puget Sound</v>
      </c>
      <c r="M545" s="72" t="s">
        <v>15</v>
      </c>
      <c r="N545" t="str">
        <f>VLOOKUP(M545,LUTs!E$2:H$14,3,)</f>
        <v>02Skagit</v>
      </c>
      <c r="O545" t="str">
        <f>VLOOKUP(M545,LUTs!E$2:H$14,4,)</f>
        <v>01North Puget Sound</v>
      </c>
      <c r="P545" s="80">
        <v>15</v>
      </c>
      <c r="Q545" s="102">
        <v>15</v>
      </c>
      <c r="R545" s="74">
        <f>VLOOKUP(B545,Readme!A$40:C$52,3,)*Q545</f>
        <v>278.25</v>
      </c>
    </row>
    <row r="546" spans="1:18" ht="12" customHeight="1" x14ac:dyDescent="0.35">
      <c r="A546" s="75">
        <v>510</v>
      </c>
      <c r="B546" s="80">
        <v>2011</v>
      </c>
      <c r="C546" s="80">
        <v>11</v>
      </c>
      <c r="D546" s="80">
        <f t="shared" si="31"/>
        <v>2011</v>
      </c>
      <c r="E546" t="s">
        <v>38</v>
      </c>
      <c r="F546" t="s">
        <v>143</v>
      </c>
      <c r="G546" t="s">
        <v>86</v>
      </c>
      <c r="H546" s="72" t="s">
        <v>218</v>
      </c>
      <c r="I546" s="72" t="s">
        <v>60</v>
      </c>
      <c r="J546" t="str">
        <f>I546</f>
        <v>Skagit River</v>
      </c>
      <c r="K546" t="str">
        <f>IFERROR(VLOOKUP(J546,LUTs!$A$1:$C$73,2,FALSE),"NA")</f>
        <v>Skagit/Whatcom</v>
      </c>
      <c r="L546" t="str">
        <f>IFERROR(VLOOKUP(J546,LUTs!$A$1:$C$73,3,FALSE),"NA")</f>
        <v>2Central Puget Sound</v>
      </c>
      <c r="M546" s="72" t="s">
        <v>16</v>
      </c>
      <c r="N546" t="str">
        <f>VLOOKUP(M546,LUTs!E$2:H$14,3,)</f>
        <v>03Snohomish</v>
      </c>
      <c r="O546" t="str">
        <f>VLOOKUP(M546,LUTs!E$2:H$14,4,)</f>
        <v>01North Puget Sound</v>
      </c>
      <c r="P546" s="80">
        <v>3</v>
      </c>
      <c r="Q546" s="102">
        <v>3</v>
      </c>
      <c r="R546" s="74">
        <f>VLOOKUP(B546,Readme!A$40:C$52,3,)*Q546</f>
        <v>55.650000000000006</v>
      </c>
    </row>
    <row r="547" spans="1:18" ht="12" customHeight="1" x14ac:dyDescent="0.35">
      <c r="A547" s="75">
        <v>529</v>
      </c>
      <c r="B547" s="80">
        <v>2011</v>
      </c>
      <c r="C547" s="80">
        <v>11</v>
      </c>
      <c r="D547" s="80">
        <f t="shared" si="31"/>
        <v>2011</v>
      </c>
      <c r="E547" t="s">
        <v>38</v>
      </c>
      <c r="F547" t="s">
        <v>143</v>
      </c>
      <c r="G547" t="s">
        <v>86</v>
      </c>
      <c r="H547" s="72" t="s">
        <v>219</v>
      </c>
      <c r="I547" s="72" t="s">
        <v>259</v>
      </c>
      <c r="J547" s="84" t="s">
        <v>61</v>
      </c>
      <c r="K547" t="str">
        <f>IFERROR(VLOOKUP(J547,LUTs!$A$1:$C$73,2,FALSE),"NA")</f>
        <v>Mason</v>
      </c>
      <c r="L547" t="str">
        <f>IFERROR(VLOOKUP(J547,LUTs!$A$1:$C$73,3,FALSE),"NA")</f>
        <v>4 Hood Canal</v>
      </c>
      <c r="M547" s="72" t="s">
        <v>20</v>
      </c>
      <c r="N547" t="str">
        <f>VLOOKUP(M547,LUTs!E$2:H$14,3,)</f>
        <v>07Pierce</v>
      </c>
      <c r="O547" t="str">
        <f>VLOOKUP(M547,LUTs!E$2:H$14,4,)</f>
        <v>02South Puget Sound</v>
      </c>
      <c r="P547" s="80">
        <v>0</v>
      </c>
      <c r="Q547" s="102">
        <v>0</v>
      </c>
      <c r="R547" s="74">
        <f>VLOOKUP(B547,Readme!A$40:C$52,3,)*Q547</f>
        <v>0</v>
      </c>
    </row>
    <row r="548" spans="1:18" ht="12" customHeight="1" x14ac:dyDescent="0.35">
      <c r="A548" s="75">
        <v>563</v>
      </c>
      <c r="B548" s="80">
        <v>2011</v>
      </c>
      <c r="C548" s="80">
        <v>11</v>
      </c>
      <c r="D548" s="80">
        <f t="shared" si="31"/>
        <v>2011</v>
      </c>
      <c r="E548" t="s">
        <v>38</v>
      </c>
      <c r="F548" t="s">
        <v>143</v>
      </c>
      <c r="G548" t="s">
        <v>86</v>
      </c>
      <c r="H548" s="72" t="s">
        <v>220</v>
      </c>
      <c r="I548" s="72" t="s">
        <v>62</v>
      </c>
      <c r="J548" t="str">
        <f t="shared" ref="J548:J581" si="33">I548</f>
        <v>Skykomish River</v>
      </c>
      <c r="K548" t="str">
        <f>IFERROR(VLOOKUP(J548,LUTs!$A$1:$C$73,2,FALSE),"NA")</f>
        <v>Snohomish</v>
      </c>
      <c r="L548" t="str">
        <f>IFERROR(VLOOKUP(J548,LUTs!$A$1:$C$73,3,FALSE),"NA")</f>
        <v>2Central Puget Sound</v>
      </c>
      <c r="M548" s="72" t="s">
        <v>18</v>
      </c>
      <c r="N548" t="str">
        <f>VLOOKUP(M548,LUTs!E$2:H$14,3,)</f>
        <v>06King</v>
      </c>
      <c r="O548" t="str">
        <f>VLOOKUP(M548,LUTs!E$2:H$14,4,)</f>
        <v>02South Puget Sound</v>
      </c>
      <c r="P548" s="80">
        <v>94</v>
      </c>
      <c r="Q548" s="102">
        <v>94</v>
      </c>
      <c r="R548" s="74">
        <f>VLOOKUP(B548,Readme!A$40:C$52,3,)*Q548</f>
        <v>1743.7</v>
      </c>
    </row>
    <row r="549" spans="1:18" ht="12" customHeight="1" x14ac:dyDescent="0.35">
      <c r="A549" s="75">
        <v>564</v>
      </c>
      <c r="B549" s="80">
        <v>2011</v>
      </c>
      <c r="C549" s="80">
        <v>11</v>
      </c>
      <c r="D549" s="80">
        <f t="shared" si="31"/>
        <v>2011</v>
      </c>
      <c r="E549" t="s">
        <v>38</v>
      </c>
      <c r="F549" t="s">
        <v>143</v>
      </c>
      <c r="G549" t="s">
        <v>86</v>
      </c>
      <c r="H549" s="72" t="s">
        <v>220</v>
      </c>
      <c r="I549" s="72" t="s">
        <v>62</v>
      </c>
      <c r="J549" t="str">
        <f t="shared" si="33"/>
        <v>Skykomish River</v>
      </c>
      <c r="K549" t="str">
        <f>IFERROR(VLOOKUP(J549,LUTs!$A$1:$C$73,2,FALSE),"NA")</f>
        <v>Snohomish</v>
      </c>
      <c r="L549" t="str">
        <f>IFERROR(VLOOKUP(J549,LUTs!$A$1:$C$73,3,FALSE),"NA")</f>
        <v>2Central Puget Sound</v>
      </c>
      <c r="M549" s="72" t="s">
        <v>26</v>
      </c>
      <c r="N549" t="str">
        <f>VLOOKUP(M549,LUTs!E$2:H$14,3,)</f>
        <v>20Other</v>
      </c>
      <c r="O549" t="str">
        <f>VLOOKUP(M549,LUTs!E$2:H$14,4,)</f>
        <v>07Non Puget Sound</v>
      </c>
      <c r="P549" s="80">
        <v>5.0810810810810798</v>
      </c>
      <c r="Q549" s="102">
        <v>5.0810810810810798</v>
      </c>
      <c r="R549" s="74">
        <f>VLOOKUP(B549,Readme!A$40:C$52,3,)*Q549</f>
        <v>94.254054054054038</v>
      </c>
    </row>
    <row r="550" spans="1:18" ht="12" customHeight="1" x14ac:dyDescent="0.35">
      <c r="A550" s="75">
        <v>565</v>
      </c>
      <c r="B550" s="80">
        <v>2011</v>
      </c>
      <c r="C550" s="80">
        <v>11</v>
      </c>
      <c r="D550" s="80">
        <f t="shared" si="31"/>
        <v>2011</v>
      </c>
      <c r="E550" t="s">
        <v>38</v>
      </c>
      <c r="F550" t="s">
        <v>143</v>
      </c>
      <c r="G550" t="s">
        <v>86</v>
      </c>
      <c r="H550" s="72" t="s">
        <v>220</v>
      </c>
      <c r="I550" s="72" t="s">
        <v>62</v>
      </c>
      <c r="J550" t="str">
        <f t="shared" si="33"/>
        <v>Skykomish River</v>
      </c>
      <c r="K550" t="str">
        <f>IFERROR(VLOOKUP(J550,LUTs!$A$1:$C$73,2,FALSE),"NA")</f>
        <v>Snohomish</v>
      </c>
      <c r="L550" t="str">
        <f>IFERROR(VLOOKUP(J550,LUTs!$A$1:$C$73,3,FALSE),"NA")</f>
        <v>2Central Puget Sound</v>
      </c>
      <c r="M550" s="72" t="s">
        <v>15</v>
      </c>
      <c r="N550" t="str">
        <f>VLOOKUP(M550,LUTs!E$2:H$14,3,)</f>
        <v>02Skagit</v>
      </c>
      <c r="O550" t="str">
        <f>VLOOKUP(M550,LUTs!E$2:H$14,4,)</f>
        <v>01North Puget Sound</v>
      </c>
      <c r="P550" s="80">
        <v>2.5405405405405399</v>
      </c>
      <c r="Q550" s="102">
        <v>2.5405405405405399</v>
      </c>
      <c r="R550" s="74">
        <f>VLOOKUP(B550,Readme!A$40:C$52,3,)*Q550</f>
        <v>47.127027027027019</v>
      </c>
    </row>
    <row r="551" spans="1:18" ht="12" customHeight="1" x14ac:dyDescent="0.35">
      <c r="A551" s="75">
        <v>566</v>
      </c>
      <c r="B551" s="80">
        <v>2011</v>
      </c>
      <c r="C551" s="80">
        <v>11</v>
      </c>
      <c r="D551" s="80">
        <f t="shared" si="31"/>
        <v>2011</v>
      </c>
      <c r="E551" t="s">
        <v>38</v>
      </c>
      <c r="F551" t="s">
        <v>143</v>
      </c>
      <c r="G551" t="s">
        <v>86</v>
      </c>
      <c r="H551" s="72" t="s">
        <v>220</v>
      </c>
      <c r="I551" s="72" t="s">
        <v>62</v>
      </c>
      <c r="J551" t="str">
        <f t="shared" si="33"/>
        <v>Skykomish River</v>
      </c>
      <c r="K551" t="str">
        <f>IFERROR(VLOOKUP(J551,LUTs!$A$1:$C$73,2,FALSE),"NA")</f>
        <v>Snohomish</v>
      </c>
      <c r="L551" t="str">
        <f>IFERROR(VLOOKUP(J551,LUTs!$A$1:$C$73,3,FALSE),"NA")</f>
        <v>2Central Puget Sound</v>
      </c>
      <c r="M551" s="72" t="s">
        <v>16</v>
      </c>
      <c r="N551" t="str">
        <f>VLOOKUP(M551,LUTs!E$2:H$14,3,)</f>
        <v>03Snohomish</v>
      </c>
      <c r="O551" t="str">
        <f>VLOOKUP(M551,LUTs!E$2:H$14,4,)</f>
        <v>01North Puget Sound</v>
      </c>
      <c r="P551" s="80">
        <v>180.37837837837799</v>
      </c>
      <c r="Q551" s="102">
        <v>180.37837837837799</v>
      </c>
      <c r="R551" s="74">
        <f>VLOOKUP(B551,Readme!A$40:C$52,3,)*Q551</f>
        <v>3346.0189189189118</v>
      </c>
    </row>
    <row r="552" spans="1:18" ht="12" customHeight="1" x14ac:dyDescent="0.35">
      <c r="A552" s="75">
        <v>590</v>
      </c>
      <c r="B552" s="80">
        <v>2011</v>
      </c>
      <c r="C552" s="80">
        <v>11</v>
      </c>
      <c r="D552" s="80">
        <f t="shared" si="31"/>
        <v>2011</v>
      </c>
      <c r="E552" t="s">
        <v>38</v>
      </c>
      <c r="F552" t="s">
        <v>143</v>
      </c>
      <c r="G552" t="s">
        <v>86</v>
      </c>
      <c r="H552" s="72" t="s">
        <v>247</v>
      </c>
      <c r="I552" s="72" t="s">
        <v>98</v>
      </c>
      <c r="J552" t="str">
        <f t="shared" si="33"/>
        <v>Skykomish River, No. Fork</v>
      </c>
      <c r="K552" t="str">
        <f>IFERROR(VLOOKUP(J552,LUTs!$A$1:$C$73,2,FALSE),"NA")</f>
        <v>Snohomish</v>
      </c>
      <c r="L552" t="str">
        <f>IFERROR(VLOOKUP(J552,LUTs!$A$1:$C$73,3,FALSE),"NA")</f>
        <v>2Central Puget Sound</v>
      </c>
      <c r="M552" s="72" t="s">
        <v>18</v>
      </c>
      <c r="N552" t="str">
        <f>VLOOKUP(M552,LUTs!E$2:H$14,3,)</f>
        <v>06King</v>
      </c>
      <c r="O552" t="str">
        <f>VLOOKUP(M552,LUTs!E$2:H$14,4,)</f>
        <v>02South Puget Sound</v>
      </c>
      <c r="P552" s="80">
        <v>3</v>
      </c>
      <c r="Q552" s="102">
        <v>3</v>
      </c>
      <c r="R552" s="74">
        <f>VLOOKUP(B552,Readme!A$40:C$52,3,)*Q552</f>
        <v>55.650000000000006</v>
      </c>
    </row>
    <row r="553" spans="1:18" ht="12" customHeight="1" x14ac:dyDescent="0.35">
      <c r="A553" s="75">
        <v>610</v>
      </c>
      <c r="B553" s="80">
        <v>2011</v>
      </c>
      <c r="C553" s="80">
        <v>11</v>
      </c>
      <c r="D553" s="80">
        <f t="shared" si="31"/>
        <v>2011</v>
      </c>
      <c r="E553" t="s">
        <v>38</v>
      </c>
      <c r="F553" t="s">
        <v>143</v>
      </c>
      <c r="G553" t="s">
        <v>86</v>
      </c>
      <c r="H553" s="72" t="s">
        <v>221</v>
      </c>
      <c r="I553" s="72" t="s">
        <v>63</v>
      </c>
      <c r="J553" t="str">
        <f t="shared" si="33"/>
        <v>Snohomish River</v>
      </c>
      <c r="K553" t="str">
        <f>IFERROR(VLOOKUP(J553,LUTs!$A$1:$C$73,2,FALSE),"NA")</f>
        <v>Snohomish</v>
      </c>
      <c r="L553" t="str">
        <f>IFERROR(VLOOKUP(J553,LUTs!$A$1:$C$73,3,FALSE),"NA")</f>
        <v>2Central Puget Sound</v>
      </c>
      <c r="M553" s="72" t="s">
        <v>26</v>
      </c>
      <c r="N553" t="str">
        <f>VLOOKUP(M553,LUTs!E$2:H$14,3,)</f>
        <v>20Other</v>
      </c>
      <c r="O553" t="str">
        <f>VLOOKUP(M553,LUTs!E$2:H$14,4,)</f>
        <v>07Non Puget Sound</v>
      </c>
      <c r="P553" s="80">
        <v>7.6153846153846203</v>
      </c>
      <c r="Q553" s="102">
        <v>7.6153846153846203</v>
      </c>
      <c r="R553" s="74">
        <f>VLOOKUP(B553,Readme!A$40:C$52,3,)*Q553</f>
        <v>141.2653846153847</v>
      </c>
    </row>
    <row r="554" spans="1:18" ht="12" customHeight="1" x14ac:dyDescent="0.35">
      <c r="A554" s="75">
        <v>611</v>
      </c>
      <c r="B554" s="80">
        <v>2011</v>
      </c>
      <c r="C554" s="80">
        <v>11</v>
      </c>
      <c r="D554" s="80">
        <f t="shared" si="31"/>
        <v>2011</v>
      </c>
      <c r="E554" t="s">
        <v>38</v>
      </c>
      <c r="F554" t="s">
        <v>143</v>
      </c>
      <c r="G554" t="s">
        <v>86</v>
      </c>
      <c r="H554" s="72" t="s">
        <v>221</v>
      </c>
      <c r="I554" s="72" t="s">
        <v>63</v>
      </c>
      <c r="J554" t="str">
        <f t="shared" si="33"/>
        <v>Snohomish River</v>
      </c>
      <c r="K554" t="str">
        <f>IFERROR(VLOOKUP(J554,LUTs!$A$1:$C$73,2,FALSE),"NA")</f>
        <v>Snohomish</v>
      </c>
      <c r="L554" t="str">
        <f>IFERROR(VLOOKUP(J554,LUTs!$A$1:$C$73,3,FALSE),"NA")</f>
        <v>2Central Puget Sound</v>
      </c>
      <c r="M554" s="72" t="s">
        <v>16</v>
      </c>
      <c r="N554" t="str">
        <f>VLOOKUP(M554,LUTs!E$2:H$14,3,)</f>
        <v>03Snohomish</v>
      </c>
      <c r="O554" t="str">
        <f>VLOOKUP(M554,LUTs!E$2:H$14,4,)</f>
        <v>01North Puget Sound</v>
      </c>
      <c r="P554" s="80">
        <v>58.384615384615401</v>
      </c>
      <c r="Q554" s="102">
        <v>58.384615384615401</v>
      </c>
      <c r="R554" s="74">
        <f>VLOOKUP(B554,Readme!A$40:C$52,3,)*Q554</f>
        <v>1083.0346153846158</v>
      </c>
    </row>
    <row r="555" spans="1:18" ht="12" customHeight="1" x14ac:dyDescent="0.35">
      <c r="A555" s="75">
        <v>626</v>
      </c>
      <c r="B555" s="80">
        <v>2011</v>
      </c>
      <c r="C555" s="80">
        <v>11</v>
      </c>
      <c r="D555" s="80">
        <f t="shared" si="31"/>
        <v>2011</v>
      </c>
      <c r="E555" t="s">
        <v>38</v>
      </c>
      <c r="F555" t="s">
        <v>143</v>
      </c>
      <c r="G555" t="s">
        <v>86</v>
      </c>
      <c r="H555" s="72" t="s">
        <v>222</v>
      </c>
      <c r="I555" s="72" t="s">
        <v>64</v>
      </c>
      <c r="J555" t="str">
        <f t="shared" si="33"/>
        <v>Snoqualmie River</v>
      </c>
      <c r="K555" t="str">
        <f>IFERROR(VLOOKUP(J555,LUTs!$A$1:$C$73,2,FALSE),"NA")</f>
        <v>Snohomish/King</v>
      </c>
      <c r="L555" t="str">
        <f>IFERROR(VLOOKUP(J555,LUTs!$A$1:$C$73,3,FALSE),"NA")</f>
        <v>2Central Puget Sound</v>
      </c>
      <c r="M555" s="72" t="s">
        <v>18</v>
      </c>
      <c r="N555" t="str">
        <f>VLOOKUP(M555,LUTs!E$2:H$14,3,)</f>
        <v>06King</v>
      </c>
      <c r="O555" t="str">
        <f>VLOOKUP(M555,LUTs!E$2:H$14,4,)</f>
        <v>02South Puget Sound</v>
      </c>
      <c r="P555" s="80">
        <v>56</v>
      </c>
      <c r="Q555" s="102">
        <v>56</v>
      </c>
      <c r="R555" s="74">
        <f>VLOOKUP(B555,Readme!A$40:C$52,3,)*Q555</f>
        <v>1038.8</v>
      </c>
    </row>
    <row r="556" spans="1:18" ht="12" customHeight="1" x14ac:dyDescent="0.35">
      <c r="A556" s="75">
        <v>690</v>
      </c>
      <c r="B556" s="80">
        <v>2011</v>
      </c>
      <c r="C556" s="80">
        <v>11</v>
      </c>
      <c r="D556" s="80">
        <f t="shared" si="31"/>
        <v>2011</v>
      </c>
      <c r="E556" t="s">
        <v>38</v>
      </c>
      <c r="F556" t="s">
        <v>143</v>
      </c>
      <c r="G556" t="s">
        <v>86</v>
      </c>
      <c r="H556" s="72" t="s">
        <v>223</v>
      </c>
      <c r="I556" s="72" t="s">
        <v>103</v>
      </c>
      <c r="J556" t="str">
        <f t="shared" si="33"/>
        <v>Stillaguamish R, No. Fork</v>
      </c>
      <c r="K556" t="str">
        <f>IFERROR(VLOOKUP(J556,LUTs!$A$1:$C$73,2,FALSE),"NA")</f>
        <v>Snohomish</v>
      </c>
      <c r="L556" t="str">
        <f>IFERROR(VLOOKUP(J556,LUTs!$A$1:$C$73,3,FALSE),"NA")</f>
        <v>2Central Puget Sound</v>
      </c>
      <c r="M556" s="72" t="s">
        <v>18</v>
      </c>
      <c r="N556" t="str">
        <f>VLOOKUP(M556,LUTs!E$2:H$14,3,)</f>
        <v>06King</v>
      </c>
      <c r="O556" t="str">
        <f>VLOOKUP(M556,LUTs!E$2:H$14,4,)</f>
        <v>02South Puget Sound</v>
      </c>
      <c r="P556" s="80">
        <v>4.9411764705882399</v>
      </c>
      <c r="Q556" s="102">
        <v>4.9411764705882399</v>
      </c>
      <c r="R556" s="74">
        <f>VLOOKUP(B556,Readme!A$40:C$52,3,)*Q556</f>
        <v>91.658823529411848</v>
      </c>
    </row>
    <row r="557" spans="1:18" ht="12" customHeight="1" x14ac:dyDescent="0.35">
      <c r="A557" s="75">
        <v>691</v>
      </c>
      <c r="B557" s="80">
        <v>2011</v>
      </c>
      <c r="C557" s="80">
        <v>11</v>
      </c>
      <c r="D557" s="80">
        <f t="shared" si="31"/>
        <v>2011</v>
      </c>
      <c r="E557" t="s">
        <v>38</v>
      </c>
      <c r="F557" t="s">
        <v>143</v>
      </c>
      <c r="G557" t="s">
        <v>86</v>
      </c>
      <c r="H557" s="72" t="s">
        <v>223</v>
      </c>
      <c r="I557" s="72" t="s">
        <v>103</v>
      </c>
      <c r="J557" t="str">
        <f t="shared" si="33"/>
        <v>Stillaguamish R, No. Fork</v>
      </c>
      <c r="K557" t="str">
        <f>IFERROR(VLOOKUP(J557,LUTs!$A$1:$C$73,2,FALSE),"NA")</f>
        <v>Snohomish</v>
      </c>
      <c r="L557" t="str">
        <f>IFERROR(VLOOKUP(J557,LUTs!$A$1:$C$73,3,FALSE),"NA")</f>
        <v>2Central Puget Sound</v>
      </c>
      <c r="M557" s="72" t="s">
        <v>15</v>
      </c>
      <c r="N557" t="str">
        <f>VLOOKUP(M557,LUTs!E$2:H$14,3,)</f>
        <v>02Skagit</v>
      </c>
      <c r="O557" t="str">
        <f>VLOOKUP(M557,LUTs!E$2:H$14,4,)</f>
        <v>01North Puget Sound</v>
      </c>
      <c r="P557" s="80">
        <v>4.9411764705882399</v>
      </c>
      <c r="Q557" s="102">
        <v>4.9411764705882399</v>
      </c>
      <c r="R557" s="74">
        <f>VLOOKUP(B557,Readme!A$40:C$52,3,)*Q557</f>
        <v>91.658823529411848</v>
      </c>
    </row>
    <row r="558" spans="1:18" ht="12" customHeight="1" x14ac:dyDescent="0.35">
      <c r="A558" s="75">
        <v>692</v>
      </c>
      <c r="B558" s="80">
        <v>2011</v>
      </c>
      <c r="C558" s="80">
        <v>11</v>
      </c>
      <c r="D558" s="80">
        <f t="shared" si="31"/>
        <v>2011</v>
      </c>
      <c r="E558" t="s">
        <v>38</v>
      </c>
      <c r="F558" t="s">
        <v>143</v>
      </c>
      <c r="G558" t="s">
        <v>86</v>
      </c>
      <c r="H558" s="72" t="s">
        <v>223</v>
      </c>
      <c r="I558" s="72" t="s">
        <v>103</v>
      </c>
      <c r="J558" t="str">
        <f t="shared" si="33"/>
        <v>Stillaguamish R, No. Fork</v>
      </c>
      <c r="K558" t="str">
        <f>IFERROR(VLOOKUP(J558,LUTs!$A$1:$C$73,2,FALSE),"NA")</f>
        <v>Snohomish</v>
      </c>
      <c r="L558" t="str">
        <f>IFERROR(VLOOKUP(J558,LUTs!$A$1:$C$73,3,FALSE),"NA")</f>
        <v>2Central Puget Sound</v>
      </c>
      <c r="M558" s="72" t="s">
        <v>16</v>
      </c>
      <c r="N558" t="str">
        <f>VLOOKUP(M558,LUTs!E$2:H$14,3,)</f>
        <v>03Snohomish</v>
      </c>
      <c r="O558" t="str">
        <f>VLOOKUP(M558,LUTs!E$2:H$14,4,)</f>
        <v>01North Puget Sound</v>
      </c>
      <c r="P558" s="80">
        <v>27.176470588235301</v>
      </c>
      <c r="Q558" s="102">
        <v>27.176470588235301</v>
      </c>
      <c r="R558" s="74">
        <f>VLOOKUP(B558,Readme!A$40:C$52,3,)*Q558</f>
        <v>504.12352941176482</v>
      </c>
    </row>
    <row r="559" spans="1:18" ht="12" customHeight="1" x14ac:dyDescent="0.35">
      <c r="A559" s="75">
        <v>693</v>
      </c>
      <c r="B559" s="80">
        <v>2011</v>
      </c>
      <c r="C559" s="80">
        <v>11</v>
      </c>
      <c r="D559" s="80">
        <f t="shared" si="31"/>
        <v>2011</v>
      </c>
      <c r="E559" t="s">
        <v>38</v>
      </c>
      <c r="F559" t="s">
        <v>143</v>
      </c>
      <c r="G559" t="s">
        <v>86</v>
      </c>
      <c r="H559" s="72" t="s">
        <v>223</v>
      </c>
      <c r="I559" s="72" t="s">
        <v>103</v>
      </c>
      <c r="J559" t="str">
        <f t="shared" si="33"/>
        <v>Stillaguamish R, No. Fork</v>
      </c>
      <c r="K559" t="str">
        <f>IFERROR(VLOOKUP(J559,LUTs!$A$1:$C$73,2,FALSE),"NA")</f>
        <v>Snohomish</v>
      </c>
      <c r="L559" t="str">
        <f>IFERROR(VLOOKUP(J559,LUTs!$A$1:$C$73,3,FALSE),"NA")</f>
        <v>2Central Puget Sound</v>
      </c>
      <c r="M559" s="72" t="s">
        <v>13</v>
      </c>
      <c r="N559" t="str">
        <f>VLOOKUP(M559,LUTs!E$2:H$14,3,)</f>
        <v>01Whatcom</v>
      </c>
      <c r="O559" t="str">
        <f>VLOOKUP(M559,LUTs!E$2:H$14,4,)</f>
        <v>01North Puget Sound</v>
      </c>
      <c r="P559" s="80">
        <v>4.9411764705882399</v>
      </c>
      <c r="Q559" s="102">
        <v>4.9411764705882399</v>
      </c>
      <c r="R559" s="74">
        <f>VLOOKUP(B559,Readme!A$40:C$52,3,)*Q559</f>
        <v>91.658823529411848</v>
      </c>
    </row>
    <row r="560" spans="1:18" ht="12" customHeight="1" x14ac:dyDescent="0.35">
      <c r="A560" s="75">
        <v>708</v>
      </c>
      <c r="B560" s="80">
        <v>2011</v>
      </c>
      <c r="C560" s="80">
        <v>11</v>
      </c>
      <c r="D560" s="80">
        <f t="shared" si="31"/>
        <v>2011</v>
      </c>
      <c r="E560" t="s">
        <v>38</v>
      </c>
      <c r="F560" t="s">
        <v>143</v>
      </c>
      <c r="G560" t="s">
        <v>86</v>
      </c>
      <c r="H560" s="72" t="s">
        <v>253</v>
      </c>
      <c r="I560" s="72" t="s">
        <v>65</v>
      </c>
      <c r="J560" t="str">
        <f t="shared" si="33"/>
        <v>Stillaguamish River</v>
      </c>
      <c r="K560" t="str">
        <f>IFERROR(VLOOKUP(J560,LUTs!$A$1:$C$73,2,FALSE),"NA")</f>
        <v>Snohomish</v>
      </c>
      <c r="L560" t="str">
        <f>IFERROR(VLOOKUP(J560,LUTs!$A$1:$C$73,3,FALSE),"NA")</f>
        <v>2Central Puget Sound</v>
      </c>
      <c r="M560" s="72" t="s">
        <v>16</v>
      </c>
      <c r="N560" t="str">
        <f>VLOOKUP(M560,LUTs!E$2:H$14,3,)</f>
        <v>03Snohomish</v>
      </c>
      <c r="O560" t="str">
        <f>VLOOKUP(M560,LUTs!E$2:H$14,4,)</f>
        <v>01North Puget Sound</v>
      </c>
      <c r="P560" s="80">
        <v>2</v>
      </c>
      <c r="Q560" s="102">
        <v>2</v>
      </c>
      <c r="R560" s="74">
        <f>VLOOKUP(B560,Readme!A$40:C$52,3,)*Q560</f>
        <v>37.1</v>
      </c>
    </row>
    <row r="561" spans="1:18" ht="12" customHeight="1" x14ac:dyDescent="0.35">
      <c r="A561" s="75">
        <v>662</v>
      </c>
      <c r="B561" s="80">
        <v>2011</v>
      </c>
      <c r="C561" s="80">
        <v>11</v>
      </c>
      <c r="D561" s="80">
        <f t="shared" si="31"/>
        <v>2011</v>
      </c>
      <c r="E561" t="s">
        <v>38</v>
      </c>
      <c r="F561" t="s">
        <v>143</v>
      </c>
      <c r="G561" t="s">
        <v>86</v>
      </c>
      <c r="H561" s="72" t="s">
        <v>233</v>
      </c>
      <c r="I561" s="72" t="s">
        <v>76</v>
      </c>
      <c r="J561" t="str">
        <f t="shared" si="33"/>
        <v>Wallace River</v>
      </c>
      <c r="K561" t="str">
        <f>IFERROR(VLOOKUP(J561,LUTs!$A$1:$C$73,2,FALSE),"NA")</f>
        <v>Snohomish</v>
      </c>
      <c r="L561" t="str">
        <f>IFERROR(VLOOKUP(J561,LUTs!$A$1:$C$73,3,FALSE),"NA")</f>
        <v>2Central Puget Sound</v>
      </c>
      <c r="M561" s="72" t="s">
        <v>17</v>
      </c>
      <c r="N561" t="str">
        <f>VLOOKUP(M561,LUTs!E$2:H$14,3,)</f>
        <v>04Island</v>
      </c>
      <c r="O561" t="str">
        <f>VLOOKUP(M561,LUTs!E$2:H$14,4,)</f>
        <v>01North Puget Sound</v>
      </c>
      <c r="P561" s="80">
        <v>2.5625</v>
      </c>
      <c r="Q561" s="102">
        <v>2.5625</v>
      </c>
      <c r="R561" s="74">
        <f>VLOOKUP(B561,Readme!A$40:C$52,3,)*Q561</f>
        <v>47.534375000000004</v>
      </c>
    </row>
    <row r="562" spans="1:18" ht="12" customHeight="1" x14ac:dyDescent="0.35">
      <c r="A562" s="75">
        <v>663</v>
      </c>
      <c r="B562" s="80">
        <v>2011</v>
      </c>
      <c r="C562" s="80">
        <v>11</v>
      </c>
      <c r="D562" s="80">
        <f t="shared" si="31"/>
        <v>2011</v>
      </c>
      <c r="E562" t="s">
        <v>38</v>
      </c>
      <c r="F562" t="s">
        <v>143</v>
      </c>
      <c r="G562" t="s">
        <v>86</v>
      </c>
      <c r="H562" s="72" t="s">
        <v>233</v>
      </c>
      <c r="I562" s="72" t="s">
        <v>76</v>
      </c>
      <c r="J562" t="str">
        <f t="shared" si="33"/>
        <v>Wallace River</v>
      </c>
      <c r="K562" t="str">
        <f>IFERROR(VLOOKUP(J562,LUTs!$A$1:$C$73,2,FALSE),"NA")</f>
        <v>Snohomish</v>
      </c>
      <c r="L562" t="str">
        <f>IFERROR(VLOOKUP(J562,LUTs!$A$1:$C$73,3,FALSE),"NA")</f>
        <v>2Central Puget Sound</v>
      </c>
      <c r="M562" s="72" t="s">
        <v>18</v>
      </c>
      <c r="N562" t="str">
        <f>VLOOKUP(M562,LUTs!E$2:H$14,3,)</f>
        <v>06King</v>
      </c>
      <c r="O562" t="str">
        <f>VLOOKUP(M562,LUTs!E$2:H$14,4,)</f>
        <v>02South Puget Sound</v>
      </c>
      <c r="P562" s="80">
        <v>20.5</v>
      </c>
      <c r="Q562" s="102">
        <v>20.5</v>
      </c>
      <c r="R562" s="74">
        <f>VLOOKUP(B562,Readme!A$40:C$52,3,)*Q562</f>
        <v>380.27500000000003</v>
      </c>
    </row>
    <row r="563" spans="1:18" ht="12" customHeight="1" x14ac:dyDescent="0.35">
      <c r="A563" s="75">
        <v>664</v>
      </c>
      <c r="B563" s="80">
        <v>2011</v>
      </c>
      <c r="C563" s="80">
        <v>11</v>
      </c>
      <c r="D563" s="80">
        <f t="shared" si="31"/>
        <v>2011</v>
      </c>
      <c r="E563" t="s">
        <v>38</v>
      </c>
      <c r="F563" t="s">
        <v>143</v>
      </c>
      <c r="G563" t="s">
        <v>86</v>
      </c>
      <c r="H563" s="72" t="s">
        <v>233</v>
      </c>
      <c r="I563" s="72" t="s">
        <v>76</v>
      </c>
      <c r="J563" t="str">
        <f t="shared" si="33"/>
        <v>Wallace River</v>
      </c>
      <c r="K563" t="str">
        <f>IFERROR(VLOOKUP(J563,LUTs!$A$1:$C$73,2,FALSE),"NA")</f>
        <v>Snohomish</v>
      </c>
      <c r="L563" t="str">
        <f>IFERROR(VLOOKUP(J563,LUTs!$A$1:$C$73,3,FALSE),"NA")</f>
        <v>2Central Puget Sound</v>
      </c>
      <c r="M563" s="72" t="s">
        <v>20</v>
      </c>
      <c r="N563" t="str">
        <f>VLOOKUP(M563,LUTs!E$2:H$14,3,)</f>
        <v>07Pierce</v>
      </c>
      <c r="O563" t="str">
        <f>VLOOKUP(M563,LUTs!E$2:H$14,4,)</f>
        <v>02South Puget Sound</v>
      </c>
      <c r="P563" s="80">
        <v>5.125</v>
      </c>
      <c r="Q563" s="102">
        <v>5.125</v>
      </c>
      <c r="R563" s="74">
        <f>VLOOKUP(B563,Readme!A$40:C$52,3,)*Q563</f>
        <v>95.068750000000009</v>
      </c>
    </row>
    <row r="564" spans="1:18" ht="12" customHeight="1" x14ac:dyDescent="0.35">
      <c r="A564" s="75">
        <v>665</v>
      </c>
      <c r="B564" s="80">
        <v>2011</v>
      </c>
      <c r="C564" s="80">
        <v>11</v>
      </c>
      <c r="D564" s="80">
        <f t="shared" si="31"/>
        <v>2011</v>
      </c>
      <c r="E564" t="s">
        <v>38</v>
      </c>
      <c r="F564" t="s">
        <v>143</v>
      </c>
      <c r="G564" t="s">
        <v>86</v>
      </c>
      <c r="H564" s="72" t="s">
        <v>233</v>
      </c>
      <c r="I564" s="72" t="s">
        <v>76</v>
      </c>
      <c r="J564" t="str">
        <f t="shared" si="33"/>
        <v>Wallace River</v>
      </c>
      <c r="K564" t="str">
        <f>IFERROR(VLOOKUP(J564,LUTs!$A$1:$C$73,2,FALSE),"NA")</f>
        <v>Snohomish</v>
      </c>
      <c r="L564" t="str">
        <f>IFERROR(VLOOKUP(J564,LUTs!$A$1:$C$73,3,FALSE),"NA")</f>
        <v>2Central Puget Sound</v>
      </c>
      <c r="M564" s="72" t="s">
        <v>15</v>
      </c>
      <c r="N564" t="str">
        <f>VLOOKUP(M564,LUTs!E$2:H$14,3,)</f>
        <v>02Skagit</v>
      </c>
      <c r="O564" t="str">
        <f>VLOOKUP(M564,LUTs!E$2:H$14,4,)</f>
        <v>01North Puget Sound</v>
      </c>
      <c r="P564" s="80">
        <v>2.5625</v>
      </c>
      <c r="Q564" s="102">
        <v>2.5625</v>
      </c>
      <c r="R564" s="74">
        <f>VLOOKUP(B564,Readme!A$40:C$52,3,)*Q564</f>
        <v>47.534375000000004</v>
      </c>
    </row>
    <row r="565" spans="1:18" ht="12" customHeight="1" x14ac:dyDescent="0.35">
      <c r="A565" s="75">
        <v>666</v>
      </c>
      <c r="B565" s="80">
        <v>2011</v>
      </c>
      <c r="C565" s="80">
        <v>11</v>
      </c>
      <c r="D565" s="80">
        <f t="shared" si="31"/>
        <v>2011</v>
      </c>
      <c r="E565" t="s">
        <v>38</v>
      </c>
      <c r="F565" t="s">
        <v>143</v>
      </c>
      <c r="G565" t="s">
        <v>86</v>
      </c>
      <c r="H565" s="72" t="s">
        <v>233</v>
      </c>
      <c r="I565" s="72" t="s">
        <v>76</v>
      </c>
      <c r="J565" t="str">
        <f t="shared" si="33"/>
        <v>Wallace River</v>
      </c>
      <c r="K565" t="str">
        <f>IFERROR(VLOOKUP(J565,LUTs!$A$1:$C$73,2,FALSE),"NA")</f>
        <v>Snohomish</v>
      </c>
      <c r="L565" t="str">
        <f>IFERROR(VLOOKUP(J565,LUTs!$A$1:$C$73,3,FALSE),"NA")</f>
        <v>2Central Puget Sound</v>
      </c>
      <c r="M565" s="72" t="s">
        <v>16</v>
      </c>
      <c r="N565" t="str">
        <f>VLOOKUP(M565,LUTs!E$2:H$14,3,)</f>
        <v>03Snohomish</v>
      </c>
      <c r="O565" t="str">
        <f>VLOOKUP(M565,LUTs!E$2:H$14,4,)</f>
        <v>01North Puget Sound</v>
      </c>
      <c r="P565" s="80">
        <v>10.25</v>
      </c>
      <c r="Q565" s="102">
        <v>10.25</v>
      </c>
      <c r="R565" s="74">
        <f>VLOOKUP(B565,Readme!A$40:C$52,3,)*Q565</f>
        <v>190.13750000000002</v>
      </c>
    </row>
    <row r="566" spans="1:18" ht="12" customHeight="1" x14ac:dyDescent="0.35">
      <c r="A566" s="75">
        <v>713</v>
      </c>
      <c r="B566" s="80">
        <v>2011</v>
      </c>
      <c r="C566" s="80">
        <v>11</v>
      </c>
      <c r="D566" s="80">
        <f t="shared" si="31"/>
        <v>2011</v>
      </c>
      <c r="E566" t="s">
        <v>38</v>
      </c>
      <c r="F566" t="s">
        <v>143</v>
      </c>
      <c r="G566" t="s">
        <v>86</v>
      </c>
      <c r="H566" s="72" t="s">
        <v>224</v>
      </c>
      <c r="I566" s="72" t="s">
        <v>66</v>
      </c>
      <c r="J566" t="str">
        <f t="shared" si="33"/>
        <v>Whatcom Creek</v>
      </c>
      <c r="K566" t="str">
        <f>IFERROR(VLOOKUP(J566,LUTs!$A$1:$C$73,2,FALSE),"NA")</f>
        <v>Whatcom</v>
      </c>
      <c r="L566" t="str">
        <f>IFERROR(VLOOKUP(J566,LUTs!$A$1:$C$73,3,FALSE),"NA")</f>
        <v>1North Puget Sound</v>
      </c>
      <c r="M566" s="72" t="s">
        <v>13</v>
      </c>
      <c r="N566" t="str">
        <f>VLOOKUP(M566,LUTs!E$2:H$14,3,)</f>
        <v>01Whatcom</v>
      </c>
      <c r="O566" t="str">
        <f>VLOOKUP(M566,LUTs!E$2:H$14,4,)</f>
        <v>01North Puget Sound</v>
      </c>
      <c r="P566" s="80">
        <v>2</v>
      </c>
      <c r="Q566" s="102">
        <v>2</v>
      </c>
      <c r="R566" s="74">
        <f>VLOOKUP(B566,Readme!A$40:C$52,3,)*Q566</f>
        <v>37.1</v>
      </c>
    </row>
    <row r="567" spans="1:18" ht="12" customHeight="1" x14ac:dyDescent="0.35">
      <c r="A567" s="75">
        <v>731</v>
      </c>
      <c r="B567" s="80">
        <v>2011</v>
      </c>
      <c r="C567" s="80">
        <v>12</v>
      </c>
      <c r="D567" s="80">
        <f t="shared" si="31"/>
        <v>2011</v>
      </c>
      <c r="E567" t="s">
        <v>38</v>
      </c>
      <c r="F567" t="s">
        <v>143</v>
      </c>
      <c r="G567" t="s">
        <v>86</v>
      </c>
      <c r="H567" s="72" t="s">
        <v>254</v>
      </c>
      <c r="I567" s="72" t="s">
        <v>33</v>
      </c>
      <c r="J567" t="str">
        <f t="shared" si="33"/>
        <v>Area 9: Admiralty Inlet</v>
      </c>
      <c r="K567" t="str">
        <f>IFERROR(VLOOKUP(J567,LUTs!$A$1:$C$73,2,FALSE),"NA")</f>
        <v>NA</v>
      </c>
      <c r="L567" t="str">
        <f>IFERROR(VLOOKUP(J567,LUTs!$A$1:$C$73,3,FALSE),"NA")</f>
        <v>2Central Puget Sound</v>
      </c>
      <c r="M567" s="72" t="s">
        <v>17</v>
      </c>
      <c r="N567" t="str">
        <f>VLOOKUP(M567,LUTs!E$2:H$14,3,)</f>
        <v>04Island</v>
      </c>
      <c r="O567" t="str">
        <f>VLOOKUP(M567,LUTs!E$2:H$14,4,)</f>
        <v>01North Puget Sound</v>
      </c>
      <c r="P567" s="80">
        <v>78.857142857142904</v>
      </c>
      <c r="Q567" s="102">
        <v>78.857142857142904</v>
      </c>
      <c r="R567" s="74">
        <f>VLOOKUP(B567,Readme!A$40:C$52,3,)*Q567</f>
        <v>1462.8000000000009</v>
      </c>
    </row>
    <row r="568" spans="1:18" ht="12" customHeight="1" x14ac:dyDescent="0.35">
      <c r="A568" s="75">
        <v>732</v>
      </c>
      <c r="B568" s="80">
        <v>2011</v>
      </c>
      <c r="C568" s="80">
        <v>12</v>
      </c>
      <c r="D568" s="80">
        <f t="shared" si="31"/>
        <v>2011</v>
      </c>
      <c r="E568" t="s">
        <v>38</v>
      </c>
      <c r="F568" t="s">
        <v>143</v>
      </c>
      <c r="G568" t="s">
        <v>86</v>
      </c>
      <c r="H568" s="72" t="s">
        <v>254</v>
      </c>
      <c r="I568" s="72" t="s">
        <v>33</v>
      </c>
      <c r="J568" t="str">
        <f t="shared" si="33"/>
        <v>Area 9: Admiralty Inlet</v>
      </c>
      <c r="K568" t="str">
        <f>IFERROR(VLOOKUP(J568,LUTs!$A$1:$C$73,2,FALSE),"NA")</f>
        <v>NA</v>
      </c>
      <c r="L568" t="str">
        <f>IFERROR(VLOOKUP(J568,LUTs!$A$1:$C$73,3,FALSE),"NA")</f>
        <v>2Central Puget Sound</v>
      </c>
      <c r="M568" s="72" t="s">
        <v>18</v>
      </c>
      <c r="N568" t="str">
        <f>VLOOKUP(M568,LUTs!E$2:H$14,3,)</f>
        <v>06King</v>
      </c>
      <c r="O568" t="str">
        <f>VLOOKUP(M568,LUTs!E$2:H$14,4,)</f>
        <v>02South Puget Sound</v>
      </c>
      <c r="P568" s="80">
        <v>4.3809523809523796</v>
      </c>
      <c r="Q568" s="102">
        <v>4.3809523809523796</v>
      </c>
      <c r="R568" s="74">
        <f>VLOOKUP(B568,Readme!A$40:C$52,3,)*Q568</f>
        <v>81.266666666666652</v>
      </c>
    </row>
    <row r="569" spans="1:18" ht="12" customHeight="1" x14ac:dyDescent="0.35">
      <c r="A569" s="75">
        <v>733</v>
      </c>
      <c r="B569" s="80">
        <v>2011</v>
      </c>
      <c r="C569" s="80">
        <v>12</v>
      </c>
      <c r="D569" s="80">
        <f t="shared" si="31"/>
        <v>2011</v>
      </c>
      <c r="E569" t="s">
        <v>38</v>
      </c>
      <c r="F569" t="s">
        <v>143</v>
      </c>
      <c r="G569" t="s">
        <v>86</v>
      </c>
      <c r="H569" s="72" t="s">
        <v>254</v>
      </c>
      <c r="I569" s="72" t="s">
        <v>33</v>
      </c>
      <c r="J569" t="str">
        <f t="shared" si="33"/>
        <v>Area 9: Admiralty Inlet</v>
      </c>
      <c r="K569" t="str">
        <f>IFERROR(VLOOKUP(J569,LUTs!$A$1:$C$73,2,FALSE),"NA")</f>
        <v>NA</v>
      </c>
      <c r="L569" t="str">
        <f>IFERROR(VLOOKUP(J569,LUTs!$A$1:$C$73,3,FALSE),"NA")</f>
        <v>2Central Puget Sound</v>
      </c>
      <c r="M569" s="72" t="s">
        <v>16</v>
      </c>
      <c r="N569" t="str">
        <f>VLOOKUP(M569,LUTs!E$2:H$14,3,)</f>
        <v>03Snohomish</v>
      </c>
      <c r="O569" t="str">
        <f>VLOOKUP(M569,LUTs!E$2:H$14,4,)</f>
        <v>01North Puget Sound</v>
      </c>
      <c r="P569" s="80">
        <v>8.7619047619047592</v>
      </c>
      <c r="Q569" s="102">
        <v>8.7619047619047592</v>
      </c>
      <c r="R569" s="74">
        <f>VLOOKUP(B569,Readme!A$40:C$52,3,)*Q569</f>
        <v>162.5333333333333</v>
      </c>
    </row>
    <row r="570" spans="1:18" ht="12" customHeight="1" x14ac:dyDescent="0.35">
      <c r="A570" s="75">
        <v>480</v>
      </c>
      <c r="B570" s="80">
        <v>2011</v>
      </c>
      <c r="C570" s="80">
        <v>12</v>
      </c>
      <c r="D570" s="80">
        <f t="shared" si="31"/>
        <v>2011</v>
      </c>
      <c r="E570" t="s">
        <v>38</v>
      </c>
      <c r="F570" t="s">
        <v>143</v>
      </c>
      <c r="G570" t="s">
        <v>86</v>
      </c>
      <c r="H570" s="72" t="s">
        <v>217</v>
      </c>
      <c r="I570" s="72" t="s">
        <v>59</v>
      </c>
      <c r="J570" t="str">
        <f t="shared" si="33"/>
        <v>Cascade River</v>
      </c>
      <c r="K570" t="str">
        <f>IFERROR(VLOOKUP(J570,LUTs!$A$1:$C$73,2,FALSE),"NA")</f>
        <v>Skagit</v>
      </c>
      <c r="L570" t="str">
        <f>IFERROR(VLOOKUP(J570,LUTs!$A$1:$C$73,3,FALSE),"NA")</f>
        <v>1North Puget Sound</v>
      </c>
      <c r="M570" s="72" t="s">
        <v>17</v>
      </c>
      <c r="N570" t="str">
        <f>VLOOKUP(M570,LUTs!E$2:H$14,3,)</f>
        <v>04Island</v>
      </c>
      <c r="O570" t="str">
        <f>VLOOKUP(M570,LUTs!E$2:H$14,4,)</f>
        <v>01North Puget Sound</v>
      </c>
      <c r="P570" s="80">
        <v>26.649350649350701</v>
      </c>
      <c r="Q570" s="102">
        <v>26.649350649350701</v>
      </c>
      <c r="R570" s="74">
        <f>VLOOKUP(B570,Readme!A$40:C$52,3,)*Q570</f>
        <v>494.34545454545554</v>
      </c>
    </row>
    <row r="571" spans="1:18" ht="12" customHeight="1" x14ac:dyDescent="0.35">
      <c r="A571" s="75">
        <v>481</v>
      </c>
      <c r="B571" s="80">
        <v>2011</v>
      </c>
      <c r="C571" s="80">
        <v>12</v>
      </c>
      <c r="D571" s="80">
        <f t="shared" si="31"/>
        <v>2011</v>
      </c>
      <c r="E571" t="s">
        <v>38</v>
      </c>
      <c r="F571" t="s">
        <v>143</v>
      </c>
      <c r="G571" t="s">
        <v>86</v>
      </c>
      <c r="H571" s="72" t="s">
        <v>217</v>
      </c>
      <c r="I571" s="72" t="s">
        <v>59</v>
      </c>
      <c r="J571" t="str">
        <f t="shared" si="33"/>
        <v>Cascade River</v>
      </c>
      <c r="K571" t="str">
        <f>IFERROR(VLOOKUP(J571,LUTs!$A$1:$C$73,2,FALSE),"NA")</f>
        <v>Skagit</v>
      </c>
      <c r="L571" t="str">
        <f>IFERROR(VLOOKUP(J571,LUTs!$A$1:$C$73,3,FALSE),"NA")</f>
        <v>1North Puget Sound</v>
      </c>
      <c r="M571" s="72" t="s">
        <v>18</v>
      </c>
      <c r="N571" t="str">
        <f>VLOOKUP(M571,LUTs!E$2:H$14,3,)</f>
        <v>06King</v>
      </c>
      <c r="O571" t="str">
        <f>VLOOKUP(M571,LUTs!E$2:H$14,4,)</f>
        <v>02South Puget Sound</v>
      </c>
      <c r="P571" s="80">
        <v>29.6103896103896</v>
      </c>
      <c r="Q571" s="102">
        <v>29.6103896103896</v>
      </c>
      <c r="R571" s="74">
        <f>VLOOKUP(B571,Readme!A$40:C$52,3,)*Q571</f>
        <v>549.27272727272714</v>
      </c>
    </row>
    <row r="572" spans="1:18" ht="12" customHeight="1" x14ac:dyDescent="0.35">
      <c r="A572" s="75">
        <v>482</v>
      </c>
      <c r="B572" s="80">
        <v>2011</v>
      </c>
      <c r="C572" s="80">
        <v>12</v>
      </c>
      <c r="D572" s="80">
        <f t="shared" si="31"/>
        <v>2011</v>
      </c>
      <c r="E572" t="s">
        <v>38</v>
      </c>
      <c r="F572" t="s">
        <v>143</v>
      </c>
      <c r="G572" t="s">
        <v>86</v>
      </c>
      <c r="H572" s="72" t="s">
        <v>217</v>
      </c>
      <c r="I572" s="72" t="s">
        <v>59</v>
      </c>
      <c r="J572" t="str">
        <f t="shared" si="33"/>
        <v>Cascade River</v>
      </c>
      <c r="K572" t="str">
        <f>IFERROR(VLOOKUP(J572,LUTs!$A$1:$C$73,2,FALSE),"NA")</f>
        <v>Skagit</v>
      </c>
      <c r="L572" t="str">
        <f>IFERROR(VLOOKUP(J572,LUTs!$A$1:$C$73,3,FALSE),"NA")</f>
        <v>1North Puget Sound</v>
      </c>
      <c r="M572" s="72" t="s">
        <v>23</v>
      </c>
      <c r="N572" t="str">
        <f>VLOOKUP(M572,LUTs!E$2:H$14,3,)</f>
        <v>10Kitsap</v>
      </c>
      <c r="O572" t="str">
        <f>VLOOKUP(M572,LUTs!E$2:H$14,4,)</f>
        <v>02South Puget Sound</v>
      </c>
      <c r="P572" s="80">
        <v>2.9610389610389598</v>
      </c>
      <c r="Q572" s="102">
        <v>2.9610389610389598</v>
      </c>
      <c r="R572" s="74">
        <f>VLOOKUP(B572,Readme!A$40:C$52,3,)*Q572</f>
        <v>54.927272727272708</v>
      </c>
    </row>
    <row r="573" spans="1:18" ht="12" customHeight="1" x14ac:dyDescent="0.35">
      <c r="A573" s="75">
        <v>483</v>
      </c>
      <c r="B573" s="80">
        <v>2011</v>
      </c>
      <c r="C573" s="80">
        <v>12</v>
      </c>
      <c r="D573" s="80">
        <f t="shared" si="31"/>
        <v>2011</v>
      </c>
      <c r="E573" t="s">
        <v>38</v>
      </c>
      <c r="F573" t="s">
        <v>143</v>
      </c>
      <c r="G573" t="s">
        <v>86</v>
      </c>
      <c r="H573" s="72" t="s">
        <v>217</v>
      </c>
      <c r="I573" s="72" t="s">
        <v>59</v>
      </c>
      <c r="J573" t="str">
        <f t="shared" si="33"/>
        <v>Cascade River</v>
      </c>
      <c r="K573" t="str">
        <f>IFERROR(VLOOKUP(J573,LUTs!$A$1:$C$73,2,FALSE),"NA")</f>
        <v>Skagit</v>
      </c>
      <c r="L573" t="str">
        <f>IFERROR(VLOOKUP(J573,LUTs!$A$1:$C$73,3,FALSE),"NA")</f>
        <v>1North Puget Sound</v>
      </c>
      <c r="M573" s="72" t="s">
        <v>26</v>
      </c>
      <c r="N573" t="str">
        <f>VLOOKUP(M573,LUTs!E$2:H$14,3,)</f>
        <v>20Other</v>
      </c>
      <c r="O573" t="str">
        <f>VLOOKUP(M573,LUTs!E$2:H$14,4,)</f>
        <v>07Non Puget Sound</v>
      </c>
      <c r="P573" s="80">
        <v>2.9610389610389598</v>
      </c>
      <c r="Q573" s="102">
        <v>2.9610389610389598</v>
      </c>
      <c r="R573" s="74">
        <f>VLOOKUP(B573,Readme!A$40:C$52,3,)*Q573</f>
        <v>54.927272727272708</v>
      </c>
    </row>
    <row r="574" spans="1:18" ht="12" customHeight="1" x14ac:dyDescent="0.35">
      <c r="A574" s="75">
        <v>484</v>
      </c>
      <c r="B574" s="80">
        <v>2011</v>
      </c>
      <c r="C574" s="80">
        <v>12</v>
      </c>
      <c r="D574" s="80">
        <f t="shared" si="31"/>
        <v>2011</v>
      </c>
      <c r="E574" t="s">
        <v>38</v>
      </c>
      <c r="F574" t="s">
        <v>143</v>
      </c>
      <c r="G574" t="s">
        <v>86</v>
      </c>
      <c r="H574" s="72" t="s">
        <v>217</v>
      </c>
      <c r="I574" s="72" t="s">
        <v>59</v>
      </c>
      <c r="J574" t="str">
        <f t="shared" si="33"/>
        <v>Cascade River</v>
      </c>
      <c r="K574" t="str">
        <f>IFERROR(VLOOKUP(J574,LUTs!$A$1:$C$73,2,FALSE),"NA")</f>
        <v>Skagit</v>
      </c>
      <c r="L574" t="str">
        <f>IFERROR(VLOOKUP(J574,LUTs!$A$1:$C$73,3,FALSE),"NA")</f>
        <v>1North Puget Sound</v>
      </c>
      <c r="M574" s="72" t="s">
        <v>30</v>
      </c>
      <c r="N574" t="str">
        <f>VLOOKUP(M574,LUTs!E$2:H$14,3,)</f>
        <v>05San Juan</v>
      </c>
      <c r="O574" t="str">
        <f>VLOOKUP(M574,LUTs!E$2:H$14,4,)</f>
        <v>01North Puget Sound</v>
      </c>
      <c r="P574" s="80">
        <v>8.8831168831168803</v>
      </c>
      <c r="Q574" s="102">
        <v>8.8831168831168803</v>
      </c>
      <c r="R574" s="74">
        <f>VLOOKUP(B574,Readme!A$40:C$52,3,)*Q574</f>
        <v>164.78181818181812</v>
      </c>
    </row>
    <row r="575" spans="1:18" ht="12" customHeight="1" x14ac:dyDescent="0.35">
      <c r="A575" s="75">
        <v>485</v>
      </c>
      <c r="B575" s="80">
        <v>2011</v>
      </c>
      <c r="C575" s="80">
        <v>12</v>
      </c>
      <c r="D575" s="80">
        <f t="shared" si="31"/>
        <v>2011</v>
      </c>
      <c r="E575" t="s">
        <v>38</v>
      </c>
      <c r="F575" t="s">
        <v>143</v>
      </c>
      <c r="G575" t="s">
        <v>86</v>
      </c>
      <c r="H575" s="72" t="s">
        <v>217</v>
      </c>
      <c r="I575" s="72" t="s">
        <v>59</v>
      </c>
      <c r="J575" t="str">
        <f t="shared" si="33"/>
        <v>Cascade River</v>
      </c>
      <c r="K575" t="str">
        <f>IFERROR(VLOOKUP(J575,LUTs!$A$1:$C$73,2,FALSE),"NA")</f>
        <v>Skagit</v>
      </c>
      <c r="L575" t="str">
        <f>IFERROR(VLOOKUP(J575,LUTs!$A$1:$C$73,3,FALSE),"NA")</f>
        <v>1North Puget Sound</v>
      </c>
      <c r="M575" s="72" t="s">
        <v>15</v>
      </c>
      <c r="N575" t="str">
        <f>VLOOKUP(M575,LUTs!E$2:H$14,3,)</f>
        <v>02Skagit</v>
      </c>
      <c r="O575" t="str">
        <f>VLOOKUP(M575,LUTs!E$2:H$14,4,)</f>
        <v>01North Puget Sound</v>
      </c>
      <c r="P575" s="80">
        <v>186.54545454545499</v>
      </c>
      <c r="Q575" s="102">
        <v>186.54545454545499</v>
      </c>
      <c r="R575" s="74">
        <f>VLOOKUP(B575,Readme!A$40:C$52,3,)*Q575</f>
        <v>3460.4181818181901</v>
      </c>
    </row>
    <row r="576" spans="1:18" ht="12" customHeight="1" x14ac:dyDescent="0.35">
      <c r="A576" s="75">
        <v>486</v>
      </c>
      <c r="B576" s="80">
        <v>2011</v>
      </c>
      <c r="C576" s="80">
        <v>12</v>
      </c>
      <c r="D576" s="80">
        <f t="shared" si="31"/>
        <v>2011</v>
      </c>
      <c r="E576" t="s">
        <v>38</v>
      </c>
      <c r="F576" t="s">
        <v>143</v>
      </c>
      <c r="G576" t="s">
        <v>86</v>
      </c>
      <c r="H576" s="72" t="s">
        <v>217</v>
      </c>
      <c r="I576" s="72" t="s">
        <v>59</v>
      </c>
      <c r="J576" t="str">
        <f t="shared" si="33"/>
        <v>Cascade River</v>
      </c>
      <c r="K576" t="str">
        <f>IFERROR(VLOOKUP(J576,LUTs!$A$1:$C$73,2,FALSE),"NA")</f>
        <v>Skagit</v>
      </c>
      <c r="L576" t="str">
        <f>IFERROR(VLOOKUP(J576,LUTs!$A$1:$C$73,3,FALSE),"NA")</f>
        <v>1North Puget Sound</v>
      </c>
      <c r="M576" s="72" t="s">
        <v>16</v>
      </c>
      <c r="N576" t="str">
        <f>VLOOKUP(M576,LUTs!E$2:H$14,3,)</f>
        <v>03Snohomish</v>
      </c>
      <c r="O576" t="str">
        <f>VLOOKUP(M576,LUTs!E$2:H$14,4,)</f>
        <v>01North Puget Sound</v>
      </c>
      <c r="P576" s="80">
        <v>62.181818181818201</v>
      </c>
      <c r="Q576" s="102">
        <v>62.181818181818201</v>
      </c>
      <c r="R576" s="74">
        <f>VLOOKUP(B576,Readme!A$40:C$52,3,)*Q576</f>
        <v>1153.4727272727278</v>
      </c>
    </row>
    <row r="577" spans="1:18" ht="12" customHeight="1" x14ac:dyDescent="0.35">
      <c r="A577" s="75">
        <v>487</v>
      </c>
      <c r="B577" s="80">
        <v>2011</v>
      </c>
      <c r="C577" s="80">
        <v>12</v>
      </c>
      <c r="D577" s="80">
        <f t="shared" si="31"/>
        <v>2011</v>
      </c>
      <c r="E577" t="s">
        <v>38</v>
      </c>
      <c r="F577" t="s">
        <v>143</v>
      </c>
      <c r="G577" t="s">
        <v>86</v>
      </c>
      <c r="H577" s="72" t="s">
        <v>217</v>
      </c>
      <c r="I577" s="72" t="s">
        <v>59</v>
      </c>
      <c r="J577" t="str">
        <f t="shared" si="33"/>
        <v>Cascade River</v>
      </c>
      <c r="K577" t="str">
        <f>IFERROR(VLOOKUP(J577,LUTs!$A$1:$C$73,2,FALSE),"NA")</f>
        <v>Skagit</v>
      </c>
      <c r="L577" t="str">
        <f>IFERROR(VLOOKUP(J577,LUTs!$A$1:$C$73,3,FALSE),"NA")</f>
        <v>1North Puget Sound</v>
      </c>
      <c r="M577" s="72" t="s">
        <v>13</v>
      </c>
      <c r="N577" t="str">
        <f>VLOOKUP(M577,LUTs!E$2:H$14,3,)</f>
        <v>01Whatcom</v>
      </c>
      <c r="O577" t="str">
        <f>VLOOKUP(M577,LUTs!E$2:H$14,4,)</f>
        <v>01North Puget Sound</v>
      </c>
      <c r="P577" s="80">
        <v>136.20779220779201</v>
      </c>
      <c r="Q577" s="102">
        <v>136.20779220779201</v>
      </c>
      <c r="R577" s="74">
        <f>VLOOKUP(B577,Readme!A$40:C$52,3,)*Q577</f>
        <v>2526.6545454545417</v>
      </c>
    </row>
    <row r="578" spans="1:18" ht="12" customHeight="1" x14ac:dyDescent="0.35">
      <c r="A578" s="75">
        <v>348</v>
      </c>
      <c r="B578" s="80">
        <v>2011</v>
      </c>
      <c r="C578" s="80">
        <v>12</v>
      </c>
      <c r="D578" s="80">
        <f t="shared" ref="D578:D641" si="34">IF(C578&gt;3,B578,B578-1)</f>
        <v>2011</v>
      </c>
      <c r="E578" t="s">
        <v>38</v>
      </c>
      <c r="F578" t="s">
        <v>143</v>
      </c>
      <c r="G578" t="s">
        <v>86</v>
      </c>
      <c r="H578" s="72" t="s">
        <v>234</v>
      </c>
      <c r="I578" s="72" t="s">
        <v>87</v>
      </c>
      <c r="J578" t="str">
        <f t="shared" si="33"/>
        <v>Clallam River</v>
      </c>
      <c r="K578" t="str">
        <f>IFERROR(VLOOKUP(J578,LUTs!$A$1:$C$73,2,FALSE),"NA")</f>
        <v>Clallam</v>
      </c>
      <c r="L578" t="str">
        <f>IFERROR(VLOOKUP(J578,LUTs!$A$1:$C$73,3,FALSE),"NA")</f>
        <v>0Strait of Juan de Fuca</v>
      </c>
      <c r="M578" s="72" t="s">
        <v>24</v>
      </c>
      <c r="N578" t="str">
        <f>VLOOKUP(M578,LUTs!E$2:H$14,3,)</f>
        <v>11Clallam</v>
      </c>
      <c r="O578" t="str">
        <f>VLOOKUP(M578,LUTs!E$2:H$14,4,)</f>
        <v>03Strait of Juan de Fuca</v>
      </c>
      <c r="P578" s="80">
        <v>2</v>
      </c>
      <c r="Q578" s="102">
        <v>2</v>
      </c>
      <c r="R578" s="74">
        <f>VLOOKUP(B578,Readme!A$40:C$52,3,)*Q578</f>
        <v>37.1</v>
      </c>
    </row>
    <row r="579" spans="1:18" ht="12" customHeight="1" x14ac:dyDescent="0.35">
      <c r="A579" s="75">
        <v>350</v>
      </c>
      <c r="B579" s="80">
        <v>2011</v>
      </c>
      <c r="C579" s="80">
        <v>12</v>
      </c>
      <c r="D579" s="80">
        <f t="shared" si="34"/>
        <v>2011</v>
      </c>
      <c r="E579" t="s">
        <v>38</v>
      </c>
      <c r="F579" t="s">
        <v>143</v>
      </c>
      <c r="G579" t="s">
        <v>86</v>
      </c>
      <c r="H579" s="72" t="s">
        <v>235</v>
      </c>
      <c r="I579" s="72" t="s">
        <v>88</v>
      </c>
      <c r="J579" t="str">
        <f t="shared" si="33"/>
        <v>Deep Creek (Clallam Co.)</v>
      </c>
      <c r="K579" t="str">
        <f>IFERROR(VLOOKUP(J579,LUTs!$A$1:$C$73,2,FALSE),"NA")</f>
        <v>Clallam</v>
      </c>
      <c r="L579" t="str">
        <f>IFERROR(VLOOKUP(J579,LUTs!$A$1:$C$73,3,FALSE),"NA")</f>
        <v>0Strait of Juan de Fuca</v>
      </c>
      <c r="M579" s="72" t="s">
        <v>24</v>
      </c>
      <c r="N579" t="str">
        <f>VLOOKUP(M579,LUTs!E$2:H$14,3,)</f>
        <v>11Clallam</v>
      </c>
      <c r="O579" t="str">
        <f>VLOOKUP(M579,LUTs!E$2:H$14,4,)</f>
        <v>03Strait of Juan de Fuca</v>
      </c>
      <c r="P579" s="80">
        <v>2</v>
      </c>
      <c r="Q579" s="102">
        <v>2</v>
      </c>
      <c r="R579" s="74">
        <f>VLOOKUP(B579,Readme!A$40:C$52,3,)*Q579</f>
        <v>37.1</v>
      </c>
    </row>
    <row r="580" spans="1:18" ht="12" customHeight="1" x14ac:dyDescent="0.35">
      <c r="A580" s="75">
        <v>354</v>
      </c>
      <c r="B580" s="80">
        <v>2011</v>
      </c>
      <c r="C580" s="80">
        <v>12</v>
      </c>
      <c r="D580" s="80">
        <f t="shared" si="34"/>
        <v>2011</v>
      </c>
      <c r="E580" t="s">
        <v>38</v>
      </c>
      <c r="F580" t="s">
        <v>143</v>
      </c>
      <c r="G580" t="s">
        <v>86</v>
      </c>
      <c r="H580" s="72" t="s">
        <v>201</v>
      </c>
      <c r="I580" s="72" t="s">
        <v>43</v>
      </c>
      <c r="J580" t="str">
        <f t="shared" si="33"/>
        <v>Dungeness River</v>
      </c>
      <c r="K580" t="str">
        <f>IFERROR(VLOOKUP(J580,LUTs!$A$1:$C$73,2,FALSE),"NA")</f>
        <v>Clallam</v>
      </c>
      <c r="L580" t="str">
        <f>IFERROR(VLOOKUP(J580,LUTs!$A$1:$C$73,3,FALSE),"NA")</f>
        <v>0Strait of Juan de Fuca</v>
      </c>
      <c r="M580" s="72" t="s">
        <v>24</v>
      </c>
      <c r="N580" t="str">
        <f>VLOOKUP(M580,LUTs!E$2:H$14,3,)</f>
        <v>11Clallam</v>
      </c>
      <c r="O580" t="str">
        <f>VLOOKUP(M580,LUTs!E$2:H$14,4,)</f>
        <v>03Strait of Juan de Fuca</v>
      </c>
      <c r="P580" s="80">
        <v>32</v>
      </c>
      <c r="Q580" s="102">
        <v>32</v>
      </c>
      <c r="R580" s="74">
        <f>VLOOKUP(B580,Readme!A$40:C$52,3,)*Q580</f>
        <v>593.6</v>
      </c>
    </row>
    <row r="581" spans="1:18" ht="12" customHeight="1" x14ac:dyDescent="0.35">
      <c r="A581" s="75">
        <v>357</v>
      </c>
      <c r="B581" s="80">
        <v>2011</v>
      </c>
      <c r="C581" s="80">
        <v>12</v>
      </c>
      <c r="D581" s="80">
        <f t="shared" si="34"/>
        <v>2011</v>
      </c>
      <c r="E581" t="s">
        <v>38</v>
      </c>
      <c r="F581" t="s">
        <v>143</v>
      </c>
      <c r="G581" t="s">
        <v>86</v>
      </c>
      <c r="H581" s="72" t="s">
        <v>202</v>
      </c>
      <c r="I581" s="72" t="s">
        <v>44</v>
      </c>
      <c r="J581" t="str">
        <f t="shared" si="33"/>
        <v>Elwha River</v>
      </c>
      <c r="K581" t="str">
        <f>IFERROR(VLOOKUP(J581,LUTs!$A$1:$C$73,2,FALSE),"NA")</f>
        <v>Clallam</v>
      </c>
      <c r="L581" t="str">
        <f>IFERROR(VLOOKUP(J581,LUTs!$A$1:$C$73,3,FALSE),"NA")</f>
        <v>0Strait of Juan de Fuca</v>
      </c>
      <c r="M581" s="72" t="s">
        <v>24</v>
      </c>
      <c r="N581" t="str">
        <f>VLOOKUP(M581,LUTs!E$2:H$14,3,)</f>
        <v>11Clallam</v>
      </c>
      <c r="O581" t="str">
        <f>VLOOKUP(M581,LUTs!E$2:H$14,4,)</f>
        <v>03Strait of Juan de Fuca</v>
      </c>
      <c r="P581" s="80">
        <v>9</v>
      </c>
      <c r="Q581" s="102">
        <v>9</v>
      </c>
      <c r="R581" s="74">
        <f>VLOOKUP(B581,Readme!A$40:C$52,3,)*Q581</f>
        <v>166.95000000000002</v>
      </c>
    </row>
    <row r="582" spans="1:18" ht="12" customHeight="1" x14ac:dyDescent="0.35">
      <c r="A582" s="75">
        <v>376</v>
      </c>
      <c r="B582" s="80">
        <v>2011</v>
      </c>
      <c r="C582" s="80">
        <v>12</v>
      </c>
      <c r="D582" s="80">
        <f t="shared" si="34"/>
        <v>2011</v>
      </c>
      <c r="E582" t="s">
        <v>38</v>
      </c>
      <c r="F582" t="s">
        <v>143</v>
      </c>
      <c r="G582" t="s">
        <v>86</v>
      </c>
      <c r="H582" s="72" t="s">
        <v>203</v>
      </c>
      <c r="I582" s="72" t="s">
        <v>89</v>
      </c>
      <c r="J582" s="84" t="s">
        <v>45</v>
      </c>
      <c r="K582" t="str">
        <f>IFERROR(VLOOKUP(J582,LUTs!$A$1:$C$73,2,FALSE),"NA")</f>
        <v>King</v>
      </c>
      <c r="L582" t="str">
        <f>IFERROR(VLOOKUP(J582,LUTs!$A$1:$C$73,3,FALSE),"NA")</f>
        <v>3South Puget Sound</v>
      </c>
      <c r="M582" s="72" t="s">
        <v>18</v>
      </c>
      <c r="N582" t="str">
        <f>VLOOKUP(M582,LUTs!E$2:H$14,3,)</f>
        <v>06King</v>
      </c>
      <c r="O582" t="str">
        <f>VLOOKUP(M582,LUTs!E$2:H$14,4,)</f>
        <v>02South Puget Sound</v>
      </c>
      <c r="P582" s="80">
        <v>62.739130434782602</v>
      </c>
      <c r="Q582" s="102">
        <v>62.739130434782602</v>
      </c>
      <c r="R582" s="74">
        <f>VLOOKUP(B582,Readme!A$40:C$52,3,)*Q582</f>
        <v>1163.8108695652172</v>
      </c>
    </row>
    <row r="583" spans="1:18" ht="12" customHeight="1" x14ac:dyDescent="0.35">
      <c r="A583" s="75">
        <v>377</v>
      </c>
      <c r="B583" s="80">
        <v>2011</v>
      </c>
      <c r="C583" s="80">
        <v>12</v>
      </c>
      <c r="D583" s="80">
        <f t="shared" si="34"/>
        <v>2011</v>
      </c>
      <c r="E583" t="s">
        <v>38</v>
      </c>
      <c r="F583" t="s">
        <v>143</v>
      </c>
      <c r="G583" t="s">
        <v>86</v>
      </c>
      <c r="H583" s="72" t="s">
        <v>203</v>
      </c>
      <c r="I583" s="72" t="s">
        <v>89</v>
      </c>
      <c r="J583" s="84" t="s">
        <v>45</v>
      </c>
      <c r="K583" t="str">
        <f>IFERROR(VLOOKUP(J583,LUTs!$A$1:$C$73,2,FALSE),"NA")</f>
        <v>King</v>
      </c>
      <c r="L583" t="str">
        <f>IFERROR(VLOOKUP(J583,LUTs!$A$1:$C$73,3,FALSE),"NA")</f>
        <v>3South Puget Sound</v>
      </c>
      <c r="M583" s="72" t="s">
        <v>20</v>
      </c>
      <c r="N583" t="str">
        <f>VLOOKUP(M583,LUTs!E$2:H$14,3,)</f>
        <v>07Pierce</v>
      </c>
      <c r="O583" t="str">
        <f>VLOOKUP(M583,LUTs!E$2:H$14,4,)</f>
        <v>02South Puget Sound</v>
      </c>
      <c r="P583" s="80">
        <v>11.2608695652174</v>
      </c>
      <c r="Q583" s="102">
        <v>11.2608695652174</v>
      </c>
      <c r="R583" s="74">
        <f>VLOOKUP(B583,Readme!A$40:C$52,3,)*Q583</f>
        <v>208.88913043478277</v>
      </c>
    </row>
    <row r="584" spans="1:18" ht="12" customHeight="1" x14ac:dyDescent="0.35">
      <c r="A584" s="75">
        <v>383</v>
      </c>
      <c r="B584" s="80">
        <v>2011</v>
      </c>
      <c r="C584" s="80">
        <v>12</v>
      </c>
      <c r="D584" s="80">
        <f t="shared" si="34"/>
        <v>2011</v>
      </c>
      <c r="E584" t="s">
        <v>38</v>
      </c>
      <c r="F584" t="s">
        <v>143</v>
      </c>
      <c r="G584" t="s">
        <v>86</v>
      </c>
      <c r="H584" s="72" t="s">
        <v>204</v>
      </c>
      <c r="I584" s="72" t="s">
        <v>46</v>
      </c>
      <c r="J584" t="str">
        <f t="shared" ref="J584:J591" si="35">I584</f>
        <v>Hoko River</v>
      </c>
      <c r="K584" t="str">
        <f>IFERROR(VLOOKUP(J584,LUTs!$A$1:$C$73,2,FALSE),"NA")</f>
        <v>Clallam</v>
      </c>
      <c r="L584" t="str">
        <f>IFERROR(VLOOKUP(J584,LUTs!$A$1:$C$73,3,FALSE),"NA")</f>
        <v>0Strait of Juan de Fuca</v>
      </c>
      <c r="M584" s="72" t="s">
        <v>24</v>
      </c>
      <c r="N584" t="str">
        <f>VLOOKUP(M584,LUTs!E$2:H$14,3,)</f>
        <v>11Clallam</v>
      </c>
      <c r="O584" t="str">
        <f>VLOOKUP(M584,LUTs!E$2:H$14,4,)</f>
        <v>03Strait of Juan de Fuca</v>
      </c>
      <c r="P584" s="80">
        <v>22.8571428571429</v>
      </c>
      <c r="Q584" s="102">
        <v>22.8571428571429</v>
      </c>
      <c r="R584" s="74">
        <f>VLOOKUP(B584,Readme!A$40:C$52,3,)*Q584</f>
        <v>424.0000000000008</v>
      </c>
    </row>
    <row r="585" spans="1:18" ht="12" customHeight="1" x14ac:dyDescent="0.35">
      <c r="A585" s="75">
        <v>384</v>
      </c>
      <c r="B585" s="80">
        <v>2011</v>
      </c>
      <c r="C585" s="80">
        <v>12</v>
      </c>
      <c r="D585" s="80">
        <f t="shared" si="34"/>
        <v>2011</v>
      </c>
      <c r="E585" t="s">
        <v>38</v>
      </c>
      <c r="F585" t="s">
        <v>143</v>
      </c>
      <c r="G585" t="s">
        <v>86</v>
      </c>
      <c r="H585" s="72" t="s">
        <v>204</v>
      </c>
      <c r="I585" s="72" t="s">
        <v>46</v>
      </c>
      <c r="J585" t="str">
        <f t="shared" si="35"/>
        <v>Hoko River</v>
      </c>
      <c r="K585" t="str">
        <f>IFERROR(VLOOKUP(J585,LUTs!$A$1:$C$73,2,FALSE),"NA")</f>
        <v>Clallam</v>
      </c>
      <c r="L585" t="str">
        <f>IFERROR(VLOOKUP(J585,LUTs!$A$1:$C$73,3,FALSE),"NA")</f>
        <v>0Strait of Juan de Fuca</v>
      </c>
      <c r="M585" s="72" t="s">
        <v>18</v>
      </c>
      <c r="N585" t="str">
        <f>VLOOKUP(M585,LUTs!E$2:H$14,3,)</f>
        <v>06King</v>
      </c>
      <c r="O585" t="str">
        <f>VLOOKUP(M585,LUTs!E$2:H$14,4,)</f>
        <v>02South Puget Sound</v>
      </c>
      <c r="P585" s="80">
        <v>2.28571428571429</v>
      </c>
      <c r="Q585" s="102">
        <v>2.28571428571429</v>
      </c>
      <c r="R585" s="74">
        <f>VLOOKUP(B585,Readme!A$40:C$52,3,)*Q585</f>
        <v>42.400000000000084</v>
      </c>
    </row>
    <row r="586" spans="1:18" ht="12" customHeight="1" x14ac:dyDescent="0.35">
      <c r="A586" s="75">
        <v>385</v>
      </c>
      <c r="B586" s="80">
        <v>2011</v>
      </c>
      <c r="C586" s="80">
        <v>12</v>
      </c>
      <c r="D586" s="80">
        <f t="shared" si="34"/>
        <v>2011</v>
      </c>
      <c r="E586" t="s">
        <v>38</v>
      </c>
      <c r="F586" t="s">
        <v>143</v>
      </c>
      <c r="G586" t="s">
        <v>86</v>
      </c>
      <c r="H586" s="72" t="s">
        <v>204</v>
      </c>
      <c r="I586" s="72" t="s">
        <v>46</v>
      </c>
      <c r="J586" t="str">
        <f t="shared" si="35"/>
        <v>Hoko River</v>
      </c>
      <c r="K586" t="str">
        <f>IFERROR(VLOOKUP(J586,LUTs!$A$1:$C$73,2,FALSE),"NA")</f>
        <v>Clallam</v>
      </c>
      <c r="L586" t="str">
        <f>IFERROR(VLOOKUP(J586,LUTs!$A$1:$C$73,3,FALSE),"NA")</f>
        <v>0Strait of Juan de Fuca</v>
      </c>
      <c r="M586" s="72" t="s">
        <v>26</v>
      </c>
      <c r="N586" t="str">
        <f>VLOOKUP(M586,LUTs!E$2:H$14,3,)</f>
        <v>20Other</v>
      </c>
      <c r="O586" t="str">
        <f>VLOOKUP(M586,LUTs!E$2:H$14,4,)</f>
        <v>07Non Puget Sound</v>
      </c>
      <c r="P586" s="80">
        <v>2.28571428571429</v>
      </c>
      <c r="Q586" s="102">
        <v>2.28571428571429</v>
      </c>
      <c r="R586" s="74">
        <f>VLOOKUP(B586,Readme!A$40:C$52,3,)*Q586</f>
        <v>42.400000000000084</v>
      </c>
    </row>
    <row r="587" spans="1:18" ht="12" customHeight="1" x14ac:dyDescent="0.35">
      <c r="A587" s="75">
        <v>386</v>
      </c>
      <c r="B587" s="80">
        <v>2011</v>
      </c>
      <c r="C587" s="80">
        <v>12</v>
      </c>
      <c r="D587" s="80">
        <f t="shared" si="34"/>
        <v>2011</v>
      </c>
      <c r="E587" t="s">
        <v>38</v>
      </c>
      <c r="F587" t="s">
        <v>143</v>
      </c>
      <c r="G587" t="s">
        <v>86</v>
      </c>
      <c r="H587" s="72" t="s">
        <v>204</v>
      </c>
      <c r="I587" s="72" t="s">
        <v>46</v>
      </c>
      <c r="J587" t="str">
        <f t="shared" si="35"/>
        <v>Hoko River</v>
      </c>
      <c r="K587" t="str">
        <f>IFERROR(VLOOKUP(J587,LUTs!$A$1:$C$73,2,FALSE),"NA")</f>
        <v>Clallam</v>
      </c>
      <c r="L587" t="str">
        <f>IFERROR(VLOOKUP(J587,LUTs!$A$1:$C$73,3,FALSE),"NA")</f>
        <v>0Strait of Juan de Fuca</v>
      </c>
      <c r="M587" s="72" t="s">
        <v>20</v>
      </c>
      <c r="N587" t="str">
        <f>VLOOKUP(M587,LUTs!E$2:H$14,3,)</f>
        <v>07Pierce</v>
      </c>
      <c r="O587" t="str">
        <f>VLOOKUP(M587,LUTs!E$2:H$14,4,)</f>
        <v>02South Puget Sound</v>
      </c>
      <c r="P587" s="80">
        <v>4.5714285714285703</v>
      </c>
      <c r="Q587" s="102">
        <v>4.5714285714285703</v>
      </c>
      <c r="R587" s="74">
        <f>VLOOKUP(B587,Readme!A$40:C$52,3,)*Q587</f>
        <v>84.799999999999983</v>
      </c>
    </row>
    <row r="588" spans="1:18" ht="12" customHeight="1" x14ac:dyDescent="0.35">
      <c r="A588" s="75">
        <v>411</v>
      </c>
      <c r="B588" s="80">
        <v>2011</v>
      </c>
      <c r="C588" s="80">
        <v>12</v>
      </c>
      <c r="D588" s="80">
        <f t="shared" si="34"/>
        <v>2011</v>
      </c>
      <c r="E588" t="s">
        <v>38</v>
      </c>
      <c r="F588" t="s">
        <v>143</v>
      </c>
      <c r="G588" t="s">
        <v>86</v>
      </c>
      <c r="H588" s="72" t="s">
        <v>237</v>
      </c>
      <c r="I588" s="72" t="s">
        <v>79</v>
      </c>
      <c r="J588" t="str">
        <f t="shared" si="35"/>
        <v>Lyre River</v>
      </c>
      <c r="K588" t="str">
        <f>IFERROR(VLOOKUP(J588,LUTs!$A$1:$C$73,2,FALSE),"NA")</f>
        <v>Clallam</v>
      </c>
      <c r="L588" t="str">
        <f>IFERROR(VLOOKUP(J588,LUTs!$A$1:$C$73,3,FALSE),"NA")</f>
        <v>0Strait of Juan de Fuca</v>
      </c>
      <c r="M588" s="72" t="s">
        <v>24</v>
      </c>
      <c r="N588" t="str">
        <f>VLOOKUP(M588,LUTs!E$2:H$14,3,)</f>
        <v>11Clallam</v>
      </c>
      <c r="O588" t="str">
        <f>VLOOKUP(M588,LUTs!E$2:H$14,4,)</f>
        <v>03Strait of Juan de Fuca</v>
      </c>
      <c r="P588" s="80">
        <v>93.3333333333333</v>
      </c>
      <c r="Q588" s="102">
        <v>93.3333333333333</v>
      </c>
      <c r="R588" s="74">
        <f>VLOOKUP(B588,Readme!A$40:C$52,3,)*Q588</f>
        <v>1731.3333333333328</v>
      </c>
    </row>
    <row r="589" spans="1:18" ht="12" customHeight="1" x14ac:dyDescent="0.35">
      <c r="A589" s="75">
        <v>412</v>
      </c>
      <c r="B589" s="80">
        <v>2011</v>
      </c>
      <c r="C589" s="80">
        <v>12</v>
      </c>
      <c r="D589" s="80">
        <f t="shared" si="34"/>
        <v>2011</v>
      </c>
      <c r="E589" t="s">
        <v>38</v>
      </c>
      <c r="F589" t="s">
        <v>143</v>
      </c>
      <c r="G589" t="s">
        <v>86</v>
      </c>
      <c r="H589" s="72" t="s">
        <v>237</v>
      </c>
      <c r="I589" s="72" t="s">
        <v>79</v>
      </c>
      <c r="J589" t="str">
        <f t="shared" si="35"/>
        <v>Lyre River</v>
      </c>
      <c r="K589" t="str">
        <f>IFERROR(VLOOKUP(J589,LUTs!$A$1:$C$73,2,FALSE),"NA")</f>
        <v>Clallam</v>
      </c>
      <c r="L589" t="str">
        <f>IFERROR(VLOOKUP(J589,LUTs!$A$1:$C$73,3,FALSE),"NA")</f>
        <v>0Strait of Juan de Fuca</v>
      </c>
      <c r="M589" s="72" t="s">
        <v>25</v>
      </c>
      <c r="N589" t="str">
        <f>VLOOKUP(M589,LUTs!E$2:H$14,3,)</f>
        <v>12Jefferson</v>
      </c>
      <c r="O589" t="str">
        <f>VLOOKUP(M589,LUTs!E$2:H$14,4,)</f>
        <v>03Strait of Juan de Fuca</v>
      </c>
      <c r="P589" s="80">
        <v>3.8888888888888902</v>
      </c>
      <c r="Q589" s="102">
        <v>3.8888888888888902</v>
      </c>
      <c r="R589" s="74">
        <f>VLOOKUP(B589,Readme!A$40:C$52,3,)*Q589</f>
        <v>72.138888888888914</v>
      </c>
    </row>
    <row r="590" spans="1:18" ht="12" customHeight="1" x14ac:dyDescent="0.35">
      <c r="A590" s="75">
        <v>413</v>
      </c>
      <c r="B590" s="80">
        <v>2011</v>
      </c>
      <c r="C590" s="80">
        <v>12</v>
      </c>
      <c r="D590" s="80">
        <f t="shared" si="34"/>
        <v>2011</v>
      </c>
      <c r="E590" t="s">
        <v>38</v>
      </c>
      <c r="F590" t="s">
        <v>143</v>
      </c>
      <c r="G590" t="s">
        <v>86</v>
      </c>
      <c r="H590" s="72" t="s">
        <v>237</v>
      </c>
      <c r="I590" s="72" t="s">
        <v>79</v>
      </c>
      <c r="J590" t="str">
        <f t="shared" si="35"/>
        <v>Lyre River</v>
      </c>
      <c r="K590" t="str">
        <f>IFERROR(VLOOKUP(J590,LUTs!$A$1:$C$73,2,FALSE),"NA")</f>
        <v>Clallam</v>
      </c>
      <c r="L590" t="str">
        <f>IFERROR(VLOOKUP(J590,LUTs!$A$1:$C$73,3,FALSE),"NA")</f>
        <v>0Strait of Juan de Fuca</v>
      </c>
      <c r="M590" s="72" t="s">
        <v>18</v>
      </c>
      <c r="N590" t="str">
        <f>VLOOKUP(M590,LUTs!E$2:H$14,3,)</f>
        <v>06King</v>
      </c>
      <c r="O590" t="str">
        <f>VLOOKUP(M590,LUTs!E$2:H$14,4,)</f>
        <v>02South Puget Sound</v>
      </c>
      <c r="P590" s="80">
        <v>3.8888888888888902</v>
      </c>
      <c r="Q590" s="102">
        <v>3.8888888888888902</v>
      </c>
      <c r="R590" s="74">
        <f>VLOOKUP(B590,Readme!A$40:C$52,3,)*Q590</f>
        <v>72.138888888888914</v>
      </c>
    </row>
    <row r="591" spans="1:18" ht="12" customHeight="1" x14ac:dyDescent="0.35">
      <c r="A591" s="75">
        <v>414</v>
      </c>
      <c r="B591" s="80">
        <v>2011</v>
      </c>
      <c r="C591" s="80">
        <v>12</v>
      </c>
      <c r="D591" s="80">
        <f t="shared" si="34"/>
        <v>2011</v>
      </c>
      <c r="E591" t="s">
        <v>38</v>
      </c>
      <c r="F591" t="s">
        <v>143</v>
      </c>
      <c r="G591" t="s">
        <v>86</v>
      </c>
      <c r="H591" s="72" t="s">
        <v>237</v>
      </c>
      <c r="I591" s="72" t="s">
        <v>79</v>
      </c>
      <c r="J591" t="str">
        <f t="shared" si="35"/>
        <v>Lyre River</v>
      </c>
      <c r="K591" t="str">
        <f>IFERROR(VLOOKUP(J591,LUTs!$A$1:$C$73,2,FALSE),"NA")</f>
        <v>Clallam</v>
      </c>
      <c r="L591" t="str">
        <f>IFERROR(VLOOKUP(J591,LUTs!$A$1:$C$73,3,FALSE),"NA")</f>
        <v>0Strait of Juan de Fuca</v>
      </c>
      <c r="M591" s="72" t="s">
        <v>23</v>
      </c>
      <c r="N591" t="str">
        <f>VLOOKUP(M591,LUTs!E$2:H$14,3,)</f>
        <v>10Kitsap</v>
      </c>
      <c r="O591" t="str">
        <f>VLOOKUP(M591,LUTs!E$2:H$14,4,)</f>
        <v>02South Puget Sound</v>
      </c>
      <c r="P591" s="80">
        <v>3.8888888888888902</v>
      </c>
      <c r="Q591" s="102">
        <v>3.8888888888888902</v>
      </c>
      <c r="R591" s="74">
        <f>VLOOKUP(B591,Readme!A$40:C$52,3,)*Q591</f>
        <v>72.138888888888914</v>
      </c>
    </row>
    <row r="592" spans="1:18" ht="12" customHeight="1" x14ac:dyDescent="0.35">
      <c r="A592" s="75">
        <v>418</v>
      </c>
      <c r="B592" s="80">
        <v>2011</v>
      </c>
      <c r="C592" s="80">
        <v>12</v>
      </c>
      <c r="D592" s="80">
        <f t="shared" si="34"/>
        <v>2011</v>
      </c>
      <c r="E592" t="s">
        <v>38</v>
      </c>
      <c r="F592" t="s">
        <v>143</v>
      </c>
      <c r="G592" t="s">
        <v>86</v>
      </c>
      <c r="H592" s="72" t="s">
        <v>208</v>
      </c>
      <c r="I592" s="72" t="s">
        <v>256</v>
      </c>
      <c r="J592" s="84" t="s">
        <v>50</v>
      </c>
      <c r="K592" t="str">
        <f>IFERROR(VLOOKUP(J592,LUTs!$A$1:$C$73,2,FALSE),"NA")</f>
        <v>Kitsap/Pierce</v>
      </c>
      <c r="L592" t="str">
        <f>IFERROR(VLOOKUP(J592,LUTs!$A$1:$C$73,3,FALSE),"NA")</f>
        <v>3South Puget Sound</v>
      </c>
      <c r="M592" s="72" t="s">
        <v>20</v>
      </c>
      <c r="N592" t="str">
        <f>VLOOKUP(M592,LUTs!E$2:H$14,3,)</f>
        <v>07Pierce</v>
      </c>
      <c r="O592" t="str">
        <f>VLOOKUP(M592,LUTs!E$2:H$14,4,)</f>
        <v>02South Puget Sound</v>
      </c>
      <c r="P592" s="80">
        <v>0</v>
      </c>
      <c r="Q592" s="102">
        <v>0</v>
      </c>
      <c r="R592" s="74">
        <f>VLOOKUP(B592,Readme!A$40:C$52,3,)*Q592</f>
        <v>0</v>
      </c>
    </row>
    <row r="593" spans="1:18" ht="12" customHeight="1" x14ac:dyDescent="0.35">
      <c r="A593" s="75">
        <v>419</v>
      </c>
      <c r="B593" s="80">
        <v>2011</v>
      </c>
      <c r="C593" s="80">
        <v>12</v>
      </c>
      <c r="D593" s="80">
        <f t="shared" si="34"/>
        <v>2011</v>
      </c>
      <c r="E593" t="s">
        <v>38</v>
      </c>
      <c r="F593" t="s">
        <v>143</v>
      </c>
      <c r="G593" t="s">
        <v>86</v>
      </c>
      <c r="H593" s="72" t="s">
        <v>238</v>
      </c>
      <c r="I593" s="72" t="s">
        <v>91</v>
      </c>
      <c r="J593" t="str">
        <f t="shared" ref="J593:J624" si="36">I593</f>
        <v>Morse Creek (Clallam Co.)</v>
      </c>
      <c r="K593" t="str">
        <f>IFERROR(VLOOKUP(J593,LUTs!$A$1:$C$73,2,FALSE),"NA")</f>
        <v>Clallam</v>
      </c>
      <c r="L593" t="str">
        <f>IFERROR(VLOOKUP(J593,LUTs!$A$1:$C$73,3,FALSE),"NA")</f>
        <v>0Strait of Juan de Fuca</v>
      </c>
      <c r="M593" s="72" t="s">
        <v>24</v>
      </c>
      <c r="N593" t="str">
        <f>VLOOKUP(M593,LUTs!E$2:H$14,3,)</f>
        <v>11Clallam</v>
      </c>
      <c r="O593" t="str">
        <f>VLOOKUP(M593,LUTs!E$2:H$14,4,)</f>
        <v>03Strait of Juan de Fuca</v>
      </c>
      <c r="P593" s="80">
        <v>13.714285714285699</v>
      </c>
      <c r="Q593" s="102">
        <v>13.714285714285699</v>
      </c>
      <c r="R593" s="74">
        <f>VLOOKUP(B593,Readme!A$40:C$52,3,)*Q593</f>
        <v>254.39999999999972</v>
      </c>
    </row>
    <row r="594" spans="1:18" ht="12" customHeight="1" x14ac:dyDescent="0.35">
      <c r="A594" s="75">
        <v>420</v>
      </c>
      <c r="B594" s="80">
        <v>2011</v>
      </c>
      <c r="C594" s="80">
        <v>12</v>
      </c>
      <c r="D594" s="80">
        <f t="shared" si="34"/>
        <v>2011</v>
      </c>
      <c r="E594" t="s">
        <v>38</v>
      </c>
      <c r="F594" t="s">
        <v>143</v>
      </c>
      <c r="G594" t="s">
        <v>86</v>
      </c>
      <c r="H594" s="72" t="s">
        <v>238</v>
      </c>
      <c r="I594" s="72" t="s">
        <v>91</v>
      </c>
      <c r="J594" t="str">
        <f t="shared" si="36"/>
        <v>Morse Creek (Clallam Co.)</v>
      </c>
      <c r="K594" t="str">
        <f>IFERROR(VLOOKUP(J594,LUTs!$A$1:$C$73,2,FALSE),"NA")</f>
        <v>Clallam</v>
      </c>
      <c r="L594" t="str">
        <f>IFERROR(VLOOKUP(J594,LUTs!$A$1:$C$73,3,FALSE),"NA")</f>
        <v>0Strait of Juan de Fuca</v>
      </c>
      <c r="M594" s="72" t="s">
        <v>26</v>
      </c>
      <c r="N594" t="str">
        <f>VLOOKUP(M594,LUTs!E$2:H$14,3,)</f>
        <v>20Other</v>
      </c>
      <c r="O594" t="str">
        <f>VLOOKUP(M594,LUTs!E$2:H$14,4,)</f>
        <v>07Non Puget Sound</v>
      </c>
      <c r="P594" s="80">
        <v>2.28571428571429</v>
      </c>
      <c r="Q594" s="102">
        <v>2.28571428571429</v>
      </c>
      <c r="R594" s="74">
        <f>VLOOKUP(B594,Readme!A$40:C$52,3,)*Q594</f>
        <v>42.400000000000084</v>
      </c>
    </row>
    <row r="595" spans="1:18" ht="12" customHeight="1" x14ac:dyDescent="0.35">
      <c r="A595" s="75">
        <v>427</v>
      </c>
      <c r="B595" s="80">
        <v>2011</v>
      </c>
      <c r="C595" s="80">
        <v>12</v>
      </c>
      <c r="D595" s="80">
        <f t="shared" si="34"/>
        <v>2011</v>
      </c>
      <c r="E595" t="s">
        <v>38</v>
      </c>
      <c r="F595" t="s">
        <v>143</v>
      </c>
      <c r="G595" t="s">
        <v>86</v>
      </c>
      <c r="H595" s="72" t="s">
        <v>209</v>
      </c>
      <c r="I595" s="72" t="s">
        <v>51</v>
      </c>
      <c r="J595" t="str">
        <f t="shared" si="36"/>
        <v>Nisqually River</v>
      </c>
      <c r="K595" t="str">
        <f>IFERROR(VLOOKUP(J595,LUTs!$A$1:$C$73,2,FALSE),"NA")</f>
        <v>Thurston/Pierce</v>
      </c>
      <c r="L595" t="str">
        <f>IFERROR(VLOOKUP(J595,LUTs!$A$1:$C$73,3,FALSE),"NA")</f>
        <v>3South Puget Sound</v>
      </c>
      <c r="M595" s="72" t="s">
        <v>20</v>
      </c>
      <c r="N595" t="str">
        <f>VLOOKUP(M595,LUTs!E$2:H$14,3,)</f>
        <v>07Pierce</v>
      </c>
      <c r="O595" t="str">
        <f>VLOOKUP(M595,LUTs!E$2:H$14,4,)</f>
        <v>02South Puget Sound</v>
      </c>
      <c r="P595" s="80">
        <v>0</v>
      </c>
      <c r="Q595" s="102">
        <v>0</v>
      </c>
      <c r="R595" s="74">
        <f>VLOOKUP(B595,Readme!A$40:C$52,3,)*Q595</f>
        <v>0</v>
      </c>
    </row>
    <row r="596" spans="1:18" ht="12" customHeight="1" x14ac:dyDescent="0.35">
      <c r="A596" s="75">
        <v>436</v>
      </c>
      <c r="B596" s="80">
        <v>2011</v>
      </c>
      <c r="C596" s="80">
        <v>12</v>
      </c>
      <c r="D596" s="80">
        <f t="shared" si="34"/>
        <v>2011</v>
      </c>
      <c r="E596" t="s">
        <v>38</v>
      </c>
      <c r="F596" t="s">
        <v>143</v>
      </c>
      <c r="G596" t="s">
        <v>86</v>
      </c>
      <c r="H596" s="72" t="s">
        <v>241</v>
      </c>
      <c r="I596" s="72" t="s">
        <v>83</v>
      </c>
      <c r="J596" t="str">
        <f t="shared" si="36"/>
        <v>Nooksack River, below North Fork</v>
      </c>
      <c r="K596" t="str">
        <f>IFERROR(VLOOKUP(J596,LUTs!$A$1:$C$73,2,FALSE),"NA")</f>
        <v>Whatcom</v>
      </c>
      <c r="L596" t="str">
        <f>IFERROR(VLOOKUP(J596,LUTs!$A$1:$C$73,3,FALSE),"NA")</f>
        <v>1North Puget Sound</v>
      </c>
      <c r="M596" s="72" t="s">
        <v>13</v>
      </c>
      <c r="N596" t="str">
        <f>VLOOKUP(M596,LUTs!E$2:H$14,3,)</f>
        <v>01Whatcom</v>
      </c>
      <c r="O596" t="str">
        <f>VLOOKUP(M596,LUTs!E$2:H$14,4,)</f>
        <v>01North Puget Sound</v>
      </c>
      <c r="P596" s="80">
        <v>16</v>
      </c>
      <c r="Q596" s="102">
        <v>16</v>
      </c>
      <c r="R596" s="74">
        <f>VLOOKUP(B596,Readme!A$40:C$52,3,)*Q596</f>
        <v>296.8</v>
      </c>
    </row>
    <row r="597" spans="1:18" ht="12" customHeight="1" x14ac:dyDescent="0.35">
      <c r="A597" s="75">
        <v>430</v>
      </c>
      <c r="B597" s="80">
        <v>2011</v>
      </c>
      <c r="C597" s="80">
        <v>12</v>
      </c>
      <c r="D597" s="80">
        <f t="shared" si="34"/>
        <v>2011</v>
      </c>
      <c r="E597" t="s">
        <v>38</v>
      </c>
      <c r="F597" t="s">
        <v>143</v>
      </c>
      <c r="G597" t="s">
        <v>86</v>
      </c>
      <c r="H597" s="72" t="s">
        <v>239</v>
      </c>
      <c r="I597" s="72" t="s">
        <v>92</v>
      </c>
      <c r="J597" t="str">
        <f t="shared" si="36"/>
        <v>Nooksack River, No. Fork</v>
      </c>
      <c r="K597" t="str">
        <f>IFERROR(VLOOKUP(J597,LUTs!$A$1:$C$73,2,FALSE),"NA")</f>
        <v>Whatcom</v>
      </c>
      <c r="L597" t="str">
        <f>IFERROR(VLOOKUP(J597,LUTs!$A$1:$C$73,3,FALSE),"NA")</f>
        <v>1North Puget Sound</v>
      </c>
      <c r="M597" s="72" t="s">
        <v>13</v>
      </c>
      <c r="N597" t="str">
        <f>VLOOKUP(M597,LUTs!E$2:H$14,3,)</f>
        <v>01Whatcom</v>
      </c>
      <c r="O597" t="str">
        <f>VLOOKUP(M597,LUTs!E$2:H$14,4,)</f>
        <v>01North Puget Sound</v>
      </c>
      <c r="P597" s="80">
        <v>9</v>
      </c>
      <c r="Q597" s="102">
        <v>9</v>
      </c>
      <c r="R597" s="74">
        <f>VLOOKUP(B597,Readme!A$40:C$52,3,)*Q597</f>
        <v>166.95000000000002</v>
      </c>
    </row>
    <row r="598" spans="1:18" ht="12" customHeight="1" x14ac:dyDescent="0.35">
      <c r="A598" s="75">
        <v>530</v>
      </c>
      <c r="B598" s="80">
        <v>2011</v>
      </c>
      <c r="C598" s="80">
        <v>12</v>
      </c>
      <c r="D598" s="80">
        <f t="shared" si="34"/>
        <v>2011</v>
      </c>
      <c r="E598" t="s">
        <v>38</v>
      </c>
      <c r="F598" t="s">
        <v>143</v>
      </c>
      <c r="G598" t="s">
        <v>86</v>
      </c>
      <c r="H598" s="72" t="s">
        <v>228</v>
      </c>
      <c r="I598" s="72" t="s">
        <v>70</v>
      </c>
      <c r="J598" t="str">
        <f t="shared" si="36"/>
        <v>Pilchuck River (Snohomish System)</v>
      </c>
      <c r="K598" t="str">
        <f>IFERROR(VLOOKUP(J598,LUTs!$A$1:$C$73,2,FALSE),"NA")</f>
        <v>Snohomish</v>
      </c>
      <c r="L598" t="str">
        <f>IFERROR(VLOOKUP(J598,LUTs!$A$1:$C$73,3,FALSE),"NA")</f>
        <v>2Central Puget Sound</v>
      </c>
      <c r="M598" s="72" t="s">
        <v>16</v>
      </c>
      <c r="N598" t="str">
        <f>VLOOKUP(M598,LUTs!E$2:H$14,3,)</f>
        <v>03Snohomish</v>
      </c>
      <c r="O598" t="str">
        <f>VLOOKUP(M598,LUTs!E$2:H$14,4,)</f>
        <v>01North Puget Sound</v>
      </c>
      <c r="P598" s="80">
        <v>5</v>
      </c>
      <c r="Q598" s="102">
        <v>5</v>
      </c>
      <c r="R598" s="74">
        <f>VLOOKUP(B598,Readme!A$40:C$52,3,)*Q598</f>
        <v>92.75</v>
      </c>
    </row>
    <row r="599" spans="1:18" ht="12" customHeight="1" x14ac:dyDescent="0.35">
      <c r="A599" s="75">
        <v>450</v>
      </c>
      <c r="B599" s="80">
        <v>2011</v>
      </c>
      <c r="C599" s="80">
        <v>12</v>
      </c>
      <c r="D599" s="80">
        <f t="shared" si="34"/>
        <v>2011</v>
      </c>
      <c r="E599" t="s">
        <v>38</v>
      </c>
      <c r="F599" t="s">
        <v>143</v>
      </c>
      <c r="G599" t="s">
        <v>86</v>
      </c>
      <c r="H599" s="72" t="s">
        <v>212</v>
      </c>
      <c r="I599" s="72" t="s">
        <v>54</v>
      </c>
      <c r="J599" t="str">
        <f t="shared" si="36"/>
        <v>Puyallup River</v>
      </c>
      <c r="K599" t="str">
        <f>IFERROR(VLOOKUP(J599,LUTs!$A$1:$C$73,2,FALSE),"NA")</f>
        <v>Pierce</v>
      </c>
      <c r="L599" t="str">
        <f>IFERROR(VLOOKUP(J599,LUTs!$A$1:$C$73,3,FALSE),"NA")</f>
        <v>3South Puget Sound</v>
      </c>
      <c r="M599" s="72" t="s">
        <v>20</v>
      </c>
      <c r="N599" t="str">
        <f>VLOOKUP(M599,LUTs!E$2:H$14,3,)</f>
        <v>07Pierce</v>
      </c>
      <c r="O599" t="str">
        <f>VLOOKUP(M599,LUTs!E$2:H$14,4,)</f>
        <v>02South Puget Sound</v>
      </c>
      <c r="P599" s="80">
        <v>5</v>
      </c>
      <c r="Q599" s="102">
        <v>5</v>
      </c>
      <c r="R599" s="74">
        <f>VLOOKUP(B599,Readme!A$40:C$52,3,)*Q599</f>
        <v>92.75</v>
      </c>
    </row>
    <row r="600" spans="1:18" ht="12" customHeight="1" x14ac:dyDescent="0.35">
      <c r="A600" s="75">
        <v>451</v>
      </c>
      <c r="B600" s="80">
        <v>2011</v>
      </c>
      <c r="C600" s="80">
        <v>12</v>
      </c>
      <c r="D600" s="80">
        <f t="shared" si="34"/>
        <v>2011</v>
      </c>
      <c r="E600" t="s">
        <v>38</v>
      </c>
      <c r="F600" t="s">
        <v>143</v>
      </c>
      <c r="G600" t="s">
        <v>86</v>
      </c>
      <c r="H600" s="72" t="s">
        <v>212</v>
      </c>
      <c r="I600" s="72" t="s">
        <v>54</v>
      </c>
      <c r="J600" t="str">
        <f t="shared" si="36"/>
        <v>Puyallup River</v>
      </c>
      <c r="K600" t="str">
        <f>IFERROR(VLOOKUP(J600,LUTs!$A$1:$C$73,2,FALSE),"NA")</f>
        <v>Pierce</v>
      </c>
      <c r="L600" t="str">
        <f>IFERROR(VLOOKUP(J600,LUTs!$A$1:$C$73,3,FALSE),"NA")</f>
        <v>3South Puget Sound</v>
      </c>
      <c r="M600" s="72" t="s">
        <v>16</v>
      </c>
      <c r="N600" t="str">
        <f>VLOOKUP(M600,LUTs!E$2:H$14,3,)</f>
        <v>03Snohomish</v>
      </c>
      <c r="O600" t="str">
        <f>VLOOKUP(M600,LUTs!E$2:H$14,4,)</f>
        <v>01North Puget Sound</v>
      </c>
      <c r="P600" s="80">
        <v>5</v>
      </c>
      <c r="Q600" s="102">
        <v>5</v>
      </c>
      <c r="R600" s="74">
        <f>VLOOKUP(B600,Readme!A$40:C$52,3,)*Q600</f>
        <v>92.75</v>
      </c>
    </row>
    <row r="601" spans="1:18" ht="12" customHeight="1" x14ac:dyDescent="0.35">
      <c r="A601" s="75">
        <v>458</v>
      </c>
      <c r="B601" s="80">
        <v>2011</v>
      </c>
      <c r="C601" s="80">
        <v>12</v>
      </c>
      <c r="D601" s="80">
        <f t="shared" si="34"/>
        <v>2011</v>
      </c>
      <c r="E601" t="s">
        <v>38</v>
      </c>
      <c r="F601" t="s">
        <v>143</v>
      </c>
      <c r="G601" t="s">
        <v>86</v>
      </c>
      <c r="H601" s="72" t="s">
        <v>227</v>
      </c>
      <c r="I601" s="72" t="s">
        <v>69</v>
      </c>
      <c r="J601" t="str">
        <f t="shared" si="36"/>
        <v>Pysht River</v>
      </c>
      <c r="K601" t="str">
        <f>IFERROR(VLOOKUP(J601,LUTs!$A$1:$C$73,2,FALSE),"NA")</f>
        <v>Clallam</v>
      </c>
      <c r="L601" t="str">
        <f>IFERROR(VLOOKUP(J601,LUTs!$A$1:$C$73,3,FALSE),"NA")</f>
        <v>0Strait of Juan de Fuca</v>
      </c>
      <c r="M601" s="72" t="s">
        <v>24</v>
      </c>
      <c r="N601" t="str">
        <f>VLOOKUP(M601,LUTs!E$2:H$14,3,)</f>
        <v>11Clallam</v>
      </c>
      <c r="O601" t="str">
        <f>VLOOKUP(M601,LUTs!E$2:H$14,4,)</f>
        <v>03Strait of Juan de Fuca</v>
      </c>
      <c r="P601" s="80">
        <v>2.5</v>
      </c>
      <c r="Q601" s="102">
        <v>2.5</v>
      </c>
      <c r="R601" s="74">
        <f>VLOOKUP(B601,Readme!A$40:C$52,3,)*Q601</f>
        <v>46.375</v>
      </c>
    </row>
    <row r="602" spans="1:18" ht="12" customHeight="1" x14ac:dyDescent="0.35">
      <c r="A602" s="75">
        <v>459</v>
      </c>
      <c r="B602" s="80">
        <v>2011</v>
      </c>
      <c r="C602" s="80">
        <v>12</v>
      </c>
      <c r="D602" s="80">
        <f t="shared" si="34"/>
        <v>2011</v>
      </c>
      <c r="E602" t="s">
        <v>38</v>
      </c>
      <c r="F602" t="s">
        <v>143</v>
      </c>
      <c r="G602" t="s">
        <v>86</v>
      </c>
      <c r="H602" s="72" t="s">
        <v>227</v>
      </c>
      <c r="I602" s="72" t="s">
        <v>69</v>
      </c>
      <c r="J602" t="str">
        <f t="shared" si="36"/>
        <v>Pysht River</v>
      </c>
      <c r="K602" t="str">
        <f>IFERROR(VLOOKUP(J602,LUTs!$A$1:$C$73,2,FALSE),"NA")</f>
        <v>Clallam</v>
      </c>
      <c r="L602" t="str">
        <f>IFERROR(VLOOKUP(J602,LUTs!$A$1:$C$73,3,FALSE),"NA")</f>
        <v>0Strait of Juan de Fuca</v>
      </c>
      <c r="M602" s="72" t="s">
        <v>23</v>
      </c>
      <c r="N602" t="str">
        <f>VLOOKUP(M602,LUTs!E$2:H$14,3,)</f>
        <v>10Kitsap</v>
      </c>
      <c r="O602" t="str">
        <f>VLOOKUP(M602,LUTs!E$2:H$14,4,)</f>
        <v>02South Puget Sound</v>
      </c>
      <c r="P602" s="80">
        <v>2.5</v>
      </c>
      <c r="Q602" s="102">
        <v>2.5</v>
      </c>
      <c r="R602" s="74">
        <f>VLOOKUP(B602,Readme!A$40:C$52,3,)*Q602</f>
        <v>46.375</v>
      </c>
    </row>
    <row r="603" spans="1:18" ht="12" customHeight="1" x14ac:dyDescent="0.35">
      <c r="A603" s="75">
        <v>534</v>
      </c>
      <c r="B603" s="80">
        <v>2011</v>
      </c>
      <c r="C603" s="80">
        <v>12</v>
      </c>
      <c r="D603" s="80">
        <f t="shared" si="34"/>
        <v>2011</v>
      </c>
      <c r="E603" t="s">
        <v>38</v>
      </c>
      <c r="F603" t="s">
        <v>143</v>
      </c>
      <c r="G603" t="s">
        <v>86</v>
      </c>
      <c r="H603" s="72" t="s">
        <v>246</v>
      </c>
      <c r="I603" s="72" t="s">
        <v>97</v>
      </c>
      <c r="J603" t="str">
        <f t="shared" si="36"/>
        <v>Raging River</v>
      </c>
      <c r="K603" t="str">
        <f>IFERROR(VLOOKUP(J603,LUTs!$A$1:$C$73,2,FALSE),"NA")</f>
        <v>King</v>
      </c>
      <c r="L603" t="str">
        <f>IFERROR(VLOOKUP(J603,LUTs!$A$1:$C$73,3,FALSE),"NA")</f>
        <v>2Central Puget Sound</v>
      </c>
      <c r="M603" s="72" t="s">
        <v>18</v>
      </c>
      <c r="N603" t="str">
        <f>VLOOKUP(M603,LUTs!E$2:H$14,3,)</f>
        <v>06King</v>
      </c>
      <c r="O603" t="str">
        <f>VLOOKUP(M603,LUTs!E$2:H$14,4,)</f>
        <v>02South Puget Sound</v>
      </c>
      <c r="P603" s="80">
        <v>3</v>
      </c>
      <c r="Q603" s="102">
        <v>3</v>
      </c>
      <c r="R603" s="74">
        <f>VLOOKUP(B603,Readme!A$40:C$52,3,)*Q603</f>
        <v>55.650000000000006</v>
      </c>
    </row>
    <row r="604" spans="1:18" ht="12" customHeight="1" x14ac:dyDescent="0.35">
      <c r="A604" s="75">
        <v>464</v>
      </c>
      <c r="B604" s="80">
        <v>2011</v>
      </c>
      <c r="C604" s="80">
        <v>12</v>
      </c>
      <c r="D604" s="80">
        <f t="shared" si="34"/>
        <v>2011</v>
      </c>
      <c r="E604" t="s">
        <v>38</v>
      </c>
      <c r="F604" t="s">
        <v>143</v>
      </c>
      <c r="G604" t="s">
        <v>86</v>
      </c>
      <c r="H604" s="72" t="s">
        <v>244</v>
      </c>
      <c r="I604" s="72" t="s">
        <v>95</v>
      </c>
      <c r="J604" t="str">
        <f t="shared" si="36"/>
        <v>Sekiu River</v>
      </c>
      <c r="K604" t="str">
        <f>IFERROR(VLOOKUP(J604,LUTs!$A$1:$C$73,2,FALSE),"NA")</f>
        <v>Clallam</v>
      </c>
      <c r="L604" t="str">
        <f>IFERROR(VLOOKUP(J604,LUTs!$A$1:$C$73,3,FALSE),"NA")</f>
        <v>0Strait of Juan de Fuca</v>
      </c>
      <c r="M604" s="72" t="s">
        <v>24</v>
      </c>
      <c r="N604" t="str">
        <f>VLOOKUP(M604,LUTs!E$2:H$14,3,)</f>
        <v>11Clallam</v>
      </c>
      <c r="O604" t="str">
        <f>VLOOKUP(M604,LUTs!E$2:H$14,4,)</f>
        <v>03Strait of Juan de Fuca</v>
      </c>
      <c r="P604" s="80">
        <v>7</v>
      </c>
      <c r="Q604" s="102">
        <v>7</v>
      </c>
      <c r="R604" s="74">
        <f>VLOOKUP(B604,Readme!A$40:C$52,3,)*Q604</f>
        <v>129.85</v>
      </c>
    </row>
    <row r="605" spans="1:18" ht="12" customHeight="1" x14ac:dyDescent="0.35">
      <c r="A605" s="75">
        <v>511</v>
      </c>
      <c r="B605" s="80">
        <v>2011</v>
      </c>
      <c r="C605" s="80">
        <v>12</v>
      </c>
      <c r="D605" s="80">
        <f t="shared" si="34"/>
        <v>2011</v>
      </c>
      <c r="E605" t="s">
        <v>38</v>
      </c>
      <c r="F605" t="s">
        <v>143</v>
      </c>
      <c r="G605" t="s">
        <v>86</v>
      </c>
      <c r="H605" s="72" t="s">
        <v>218</v>
      </c>
      <c r="I605" s="72" t="s">
        <v>60</v>
      </c>
      <c r="J605" t="str">
        <f t="shared" si="36"/>
        <v>Skagit River</v>
      </c>
      <c r="K605" t="str">
        <f>IFERROR(VLOOKUP(J605,LUTs!$A$1:$C$73,2,FALSE),"NA")</f>
        <v>Skagit/Whatcom</v>
      </c>
      <c r="L605" t="str">
        <f>IFERROR(VLOOKUP(J605,LUTs!$A$1:$C$73,3,FALSE),"NA")</f>
        <v>2Central Puget Sound</v>
      </c>
      <c r="M605" s="72" t="s">
        <v>18</v>
      </c>
      <c r="N605" t="str">
        <f>VLOOKUP(M605,LUTs!E$2:H$14,3,)</f>
        <v>06King</v>
      </c>
      <c r="O605" t="str">
        <f>VLOOKUP(M605,LUTs!E$2:H$14,4,)</f>
        <v>02South Puget Sound</v>
      </c>
      <c r="P605" s="80">
        <v>3.0769230769230802</v>
      </c>
      <c r="Q605" s="102">
        <v>3.0769230769230802</v>
      </c>
      <c r="R605" s="74">
        <f>VLOOKUP(B605,Readme!A$40:C$52,3,)*Q605</f>
        <v>57.076923076923137</v>
      </c>
    </row>
    <row r="606" spans="1:18" ht="12" customHeight="1" x14ac:dyDescent="0.35">
      <c r="A606" s="75">
        <v>512</v>
      </c>
      <c r="B606" s="80">
        <v>2011</v>
      </c>
      <c r="C606" s="80">
        <v>12</v>
      </c>
      <c r="D606" s="80">
        <f t="shared" si="34"/>
        <v>2011</v>
      </c>
      <c r="E606" t="s">
        <v>38</v>
      </c>
      <c r="F606" t="s">
        <v>143</v>
      </c>
      <c r="G606" t="s">
        <v>86</v>
      </c>
      <c r="H606" s="72" t="s">
        <v>218</v>
      </c>
      <c r="I606" s="72" t="s">
        <v>60</v>
      </c>
      <c r="J606" t="str">
        <f t="shared" si="36"/>
        <v>Skagit River</v>
      </c>
      <c r="K606" t="str">
        <f>IFERROR(VLOOKUP(J606,LUTs!$A$1:$C$73,2,FALSE),"NA")</f>
        <v>Skagit/Whatcom</v>
      </c>
      <c r="L606" t="str">
        <f>IFERROR(VLOOKUP(J606,LUTs!$A$1:$C$73,3,FALSE),"NA")</f>
        <v>2Central Puget Sound</v>
      </c>
      <c r="M606" s="72" t="s">
        <v>26</v>
      </c>
      <c r="N606" t="str">
        <f>VLOOKUP(M606,LUTs!E$2:H$14,3,)</f>
        <v>20Other</v>
      </c>
      <c r="O606" t="str">
        <f>VLOOKUP(M606,LUTs!E$2:H$14,4,)</f>
        <v>07Non Puget Sound</v>
      </c>
      <c r="P606" s="80">
        <v>6.1538461538461604</v>
      </c>
      <c r="Q606" s="102">
        <v>6.1538461538461604</v>
      </c>
      <c r="R606" s="74">
        <f>VLOOKUP(B606,Readme!A$40:C$52,3,)*Q606</f>
        <v>114.15384615384627</v>
      </c>
    </row>
    <row r="607" spans="1:18" ht="12" customHeight="1" x14ac:dyDescent="0.35">
      <c r="A607" s="75">
        <v>513</v>
      </c>
      <c r="B607" s="80">
        <v>2011</v>
      </c>
      <c r="C607" s="80">
        <v>12</v>
      </c>
      <c r="D607" s="80">
        <f t="shared" si="34"/>
        <v>2011</v>
      </c>
      <c r="E607" t="s">
        <v>38</v>
      </c>
      <c r="F607" t="s">
        <v>143</v>
      </c>
      <c r="G607" t="s">
        <v>86</v>
      </c>
      <c r="H607" s="72" t="s">
        <v>218</v>
      </c>
      <c r="I607" s="72" t="s">
        <v>60</v>
      </c>
      <c r="J607" t="str">
        <f t="shared" si="36"/>
        <v>Skagit River</v>
      </c>
      <c r="K607" t="str">
        <f>IFERROR(VLOOKUP(J607,LUTs!$A$1:$C$73,2,FALSE),"NA")</f>
        <v>Skagit/Whatcom</v>
      </c>
      <c r="L607" t="str">
        <f>IFERROR(VLOOKUP(J607,LUTs!$A$1:$C$73,3,FALSE),"NA")</f>
        <v>2Central Puget Sound</v>
      </c>
      <c r="M607" s="72" t="s">
        <v>20</v>
      </c>
      <c r="N607" t="str">
        <f>VLOOKUP(M607,LUTs!E$2:H$14,3,)</f>
        <v>07Pierce</v>
      </c>
      <c r="O607" t="str">
        <f>VLOOKUP(M607,LUTs!E$2:H$14,4,)</f>
        <v>02South Puget Sound</v>
      </c>
      <c r="P607" s="80">
        <v>3.0769230769230802</v>
      </c>
      <c r="Q607" s="102">
        <v>3.0769230769230802</v>
      </c>
      <c r="R607" s="74">
        <f>VLOOKUP(B607,Readme!A$40:C$52,3,)*Q607</f>
        <v>57.076923076923137</v>
      </c>
    </row>
    <row r="608" spans="1:18" ht="12" customHeight="1" x14ac:dyDescent="0.35">
      <c r="A608" s="75">
        <v>514</v>
      </c>
      <c r="B608" s="80">
        <v>2011</v>
      </c>
      <c r="C608" s="80">
        <v>12</v>
      </c>
      <c r="D608" s="80">
        <f t="shared" si="34"/>
        <v>2011</v>
      </c>
      <c r="E608" t="s">
        <v>38</v>
      </c>
      <c r="F608" t="s">
        <v>143</v>
      </c>
      <c r="G608" t="s">
        <v>86</v>
      </c>
      <c r="H608" s="72" t="s">
        <v>218</v>
      </c>
      <c r="I608" s="72" t="s">
        <v>60</v>
      </c>
      <c r="J608" t="str">
        <f t="shared" si="36"/>
        <v>Skagit River</v>
      </c>
      <c r="K608" t="str">
        <f>IFERROR(VLOOKUP(J608,LUTs!$A$1:$C$73,2,FALSE),"NA")</f>
        <v>Skagit/Whatcom</v>
      </c>
      <c r="L608" t="str">
        <f>IFERROR(VLOOKUP(J608,LUTs!$A$1:$C$73,3,FALSE),"NA")</f>
        <v>2Central Puget Sound</v>
      </c>
      <c r="M608" s="72" t="s">
        <v>15</v>
      </c>
      <c r="N608" t="str">
        <f>VLOOKUP(M608,LUTs!E$2:H$14,3,)</f>
        <v>02Skagit</v>
      </c>
      <c r="O608" t="str">
        <f>VLOOKUP(M608,LUTs!E$2:H$14,4,)</f>
        <v>01North Puget Sound</v>
      </c>
      <c r="P608" s="80">
        <v>46.153846153846203</v>
      </c>
      <c r="Q608" s="102">
        <v>46.153846153846203</v>
      </c>
      <c r="R608" s="74">
        <f>VLOOKUP(B608,Readme!A$40:C$52,3,)*Q608</f>
        <v>856.1538461538471</v>
      </c>
    </row>
    <row r="609" spans="1:18" ht="12" customHeight="1" x14ac:dyDescent="0.35">
      <c r="A609" s="75">
        <v>515</v>
      </c>
      <c r="B609" s="80">
        <v>2011</v>
      </c>
      <c r="C609" s="80">
        <v>12</v>
      </c>
      <c r="D609" s="80">
        <f t="shared" si="34"/>
        <v>2011</v>
      </c>
      <c r="E609" t="s">
        <v>38</v>
      </c>
      <c r="F609" t="s">
        <v>143</v>
      </c>
      <c r="G609" t="s">
        <v>86</v>
      </c>
      <c r="H609" s="72" t="s">
        <v>218</v>
      </c>
      <c r="I609" s="72" t="s">
        <v>60</v>
      </c>
      <c r="J609" t="str">
        <f t="shared" si="36"/>
        <v>Skagit River</v>
      </c>
      <c r="K609" t="str">
        <f>IFERROR(VLOOKUP(J609,LUTs!$A$1:$C$73,2,FALSE),"NA")</f>
        <v>Skagit/Whatcom</v>
      </c>
      <c r="L609" t="str">
        <f>IFERROR(VLOOKUP(J609,LUTs!$A$1:$C$73,3,FALSE),"NA")</f>
        <v>2Central Puget Sound</v>
      </c>
      <c r="M609" s="72" t="s">
        <v>16</v>
      </c>
      <c r="N609" t="str">
        <f>VLOOKUP(M609,LUTs!E$2:H$14,3,)</f>
        <v>03Snohomish</v>
      </c>
      <c r="O609" t="str">
        <f>VLOOKUP(M609,LUTs!E$2:H$14,4,)</f>
        <v>01North Puget Sound</v>
      </c>
      <c r="P609" s="80">
        <v>9.2307692307692299</v>
      </c>
      <c r="Q609" s="102">
        <v>9.2307692307692299</v>
      </c>
      <c r="R609" s="74">
        <f>VLOOKUP(B609,Readme!A$40:C$52,3,)*Q609</f>
        <v>171.23076923076923</v>
      </c>
    </row>
    <row r="610" spans="1:18" ht="12" customHeight="1" x14ac:dyDescent="0.35">
      <c r="A610" s="75">
        <v>516</v>
      </c>
      <c r="B610" s="80">
        <v>2011</v>
      </c>
      <c r="C610" s="80">
        <v>12</v>
      </c>
      <c r="D610" s="80">
        <f t="shared" si="34"/>
        <v>2011</v>
      </c>
      <c r="E610" t="s">
        <v>38</v>
      </c>
      <c r="F610" t="s">
        <v>143</v>
      </c>
      <c r="G610" t="s">
        <v>86</v>
      </c>
      <c r="H610" s="72" t="s">
        <v>218</v>
      </c>
      <c r="I610" s="72" t="s">
        <v>60</v>
      </c>
      <c r="J610" t="str">
        <f t="shared" si="36"/>
        <v>Skagit River</v>
      </c>
      <c r="K610" t="str">
        <f>IFERROR(VLOOKUP(J610,LUTs!$A$1:$C$73,2,FALSE),"NA")</f>
        <v>Skagit/Whatcom</v>
      </c>
      <c r="L610" t="str">
        <f>IFERROR(VLOOKUP(J610,LUTs!$A$1:$C$73,3,FALSE),"NA")</f>
        <v>2Central Puget Sound</v>
      </c>
      <c r="M610" s="72" t="s">
        <v>13</v>
      </c>
      <c r="N610" t="str">
        <f>VLOOKUP(M610,LUTs!E$2:H$14,3,)</f>
        <v>01Whatcom</v>
      </c>
      <c r="O610" t="str">
        <f>VLOOKUP(M610,LUTs!E$2:H$14,4,)</f>
        <v>01North Puget Sound</v>
      </c>
      <c r="P610" s="80">
        <v>12.307692307692299</v>
      </c>
      <c r="Q610" s="102">
        <v>12.307692307692299</v>
      </c>
      <c r="R610" s="74">
        <f>VLOOKUP(B610,Readme!A$40:C$52,3,)*Q610</f>
        <v>228.30769230769215</v>
      </c>
    </row>
    <row r="611" spans="1:18" ht="12" customHeight="1" x14ac:dyDescent="0.35">
      <c r="A611" s="75">
        <v>567</v>
      </c>
      <c r="B611" s="80">
        <v>2011</v>
      </c>
      <c r="C611" s="80">
        <v>12</v>
      </c>
      <c r="D611" s="80">
        <f t="shared" si="34"/>
        <v>2011</v>
      </c>
      <c r="E611" t="s">
        <v>38</v>
      </c>
      <c r="F611" t="s">
        <v>143</v>
      </c>
      <c r="G611" t="s">
        <v>86</v>
      </c>
      <c r="H611" s="72" t="s">
        <v>220</v>
      </c>
      <c r="I611" s="72" t="s">
        <v>62</v>
      </c>
      <c r="J611" t="str">
        <f t="shared" si="36"/>
        <v>Skykomish River</v>
      </c>
      <c r="K611" t="str">
        <f>IFERROR(VLOOKUP(J611,LUTs!$A$1:$C$73,2,FALSE),"NA")</f>
        <v>Snohomish</v>
      </c>
      <c r="L611" t="str">
        <f>IFERROR(VLOOKUP(J611,LUTs!$A$1:$C$73,3,FALSE),"NA")</f>
        <v>2Central Puget Sound</v>
      </c>
      <c r="M611" s="72" t="s">
        <v>17</v>
      </c>
      <c r="N611" t="str">
        <f>VLOOKUP(M611,LUTs!E$2:H$14,3,)</f>
        <v>04Island</v>
      </c>
      <c r="O611" t="str">
        <f>VLOOKUP(M611,LUTs!E$2:H$14,4,)</f>
        <v>01North Puget Sound</v>
      </c>
      <c r="P611" s="80">
        <v>5.0753246753246799</v>
      </c>
      <c r="Q611" s="102">
        <v>5.0753246753246799</v>
      </c>
      <c r="R611" s="74">
        <f>VLOOKUP(B611,Readme!A$40:C$52,3,)*Q611</f>
        <v>94.147272727272821</v>
      </c>
    </row>
    <row r="612" spans="1:18" ht="12" customHeight="1" x14ac:dyDescent="0.35">
      <c r="A612" s="75">
        <v>568</v>
      </c>
      <c r="B612" s="80">
        <v>2011</v>
      </c>
      <c r="C612" s="80">
        <v>12</v>
      </c>
      <c r="D612" s="80">
        <f t="shared" si="34"/>
        <v>2011</v>
      </c>
      <c r="E612" t="s">
        <v>38</v>
      </c>
      <c r="F612" t="s">
        <v>143</v>
      </c>
      <c r="G612" t="s">
        <v>86</v>
      </c>
      <c r="H612" s="72" t="s">
        <v>220</v>
      </c>
      <c r="I612" s="72" t="s">
        <v>62</v>
      </c>
      <c r="J612" t="str">
        <f t="shared" si="36"/>
        <v>Skykomish River</v>
      </c>
      <c r="K612" t="str">
        <f>IFERROR(VLOOKUP(J612,LUTs!$A$1:$C$73,2,FALSE),"NA")</f>
        <v>Snohomish</v>
      </c>
      <c r="L612" t="str">
        <f>IFERROR(VLOOKUP(J612,LUTs!$A$1:$C$73,3,FALSE),"NA")</f>
        <v>2Central Puget Sound</v>
      </c>
      <c r="M612" s="72" t="s">
        <v>18</v>
      </c>
      <c r="N612" t="str">
        <f>VLOOKUP(M612,LUTs!E$2:H$14,3,)</f>
        <v>06King</v>
      </c>
      <c r="O612" t="str">
        <f>VLOOKUP(M612,LUTs!E$2:H$14,4,)</f>
        <v>02South Puget Sound</v>
      </c>
      <c r="P612" s="80">
        <v>398.412987012987</v>
      </c>
      <c r="Q612" s="102">
        <v>398.412987012987</v>
      </c>
      <c r="R612" s="74">
        <f>VLOOKUP(B612,Readme!A$40:C$52,3,)*Q612</f>
        <v>7390.5609090909093</v>
      </c>
    </row>
    <row r="613" spans="1:18" ht="12" customHeight="1" x14ac:dyDescent="0.35">
      <c r="A613" s="75">
        <v>569</v>
      </c>
      <c r="B613" s="80">
        <v>2011</v>
      </c>
      <c r="C613" s="80">
        <v>12</v>
      </c>
      <c r="D613" s="80">
        <f t="shared" si="34"/>
        <v>2011</v>
      </c>
      <c r="E613" t="s">
        <v>38</v>
      </c>
      <c r="F613" t="s">
        <v>143</v>
      </c>
      <c r="G613" t="s">
        <v>86</v>
      </c>
      <c r="H613" s="72" t="s">
        <v>220</v>
      </c>
      <c r="I613" s="72" t="s">
        <v>62</v>
      </c>
      <c r="J613" t="str">
        <f t="shared" si="36"/>
        <v>Skykomish River</v>
      </c>
      <c r="K613" t="str">
        <f>IFERROR(VLOOKUP(J613,LUTs!$A$1:$C$73,2,FALSE),"NA")</f>
        <v>Snohomish</v>
      </c>
      <c r="L613" t="str">
        <f>IFERROR(VLOOKUP(J613,LUTs!$A$1:$C$73,3,FALSE),"NA")</f>
        <v>2Central Puget Sound</v>
      </c>
      <c r="M613" s="72" t="s">
        <v>23</v>
      </c>
      <c r="N613" t="str">
        <f>VLOOKUP(M613,LUTs!E$2:H$14,3,)</f>
        <v>10Kitsap</v>
      </c>
      <c r="O613" t="str">
        <f>VLOOKUP(M613,LUTs!E$2:H$14,4,)</f>
        <v>02South Puget Sound</v>
      </c>
      <c r="P613" s="80">
        <v>2.53766233766234</v>
      </c>
      <c r="Q613" s="102">
        <v>2.53766233766234</v>
      </c>
      <c r="R613" s="74">
        <f>VLOOKUP(B613,Readme!A$40:C$52,3,)*Q613</f>
        <v>47.07363636363641</v>
      </c>
    </row>
    <row r="614" spans="1:18" ht="12" customHeight="1" x14ac:dyDescent="0.35">
      <c r="A614" s="75">
        <v>570</v>
      </c>
      <c r="B614" s="80">
        <v>2011</v>
      </c>
      <c r="C614" s="80">
        <v>12</v>
      </c>
      <c r="D614" s="80">
        <f t="shared" si="34"/>
        <v>2011</v>
      </c>
      <c r="E614" t="s">
        <v>38</v>
      </c>
      <c r="F614" t="s">
        <v>143</v>
      </c>
      <c r="G614" t="s">
        <v>86</v>
      </c>
      <c r="H614" s="72" t="s">
        <v>220</v>
      </c>
      <c r="I614" s="72" t="s">
        <v>62</v>
      </c>
      <c r="J614" t="str">
        <f t="shared" si="36"/>
        <v>Skykomish River</v>
      </c>
      <c r="K614" t="str">
        <f>IFERROR(VLOOKUP(J614,LUTs!$A$1:$C$73,2,FALSE),"NA")</f>
        <v>Snohomish</v>
      </c>
      <c r="L614" t="str">
        <f>IFERROR(VLOOKUP(J614,LUTs!$A$1:$C$73,3,FALSE),"NA")</f>
        <v>2Central Puget Sound</v>
      </c>
      <c r="M614" s="72" t="s">
        <v>26</v>
      </c>
      <c r="N614" t="str">
        <f>VLOOKUP(M614,LUTs!E$2:H$14,3,)</f>
        <v>20Other</v>
      </c>
      <c r="O614" t="str">
        <f>VLOOKUP(M614,LUTs!E$2:H$14,4,)</f>
        <v>07Non Puget Sound</v>
      </c>
      <c r="P614" s="80">
        <v>15.225974025974001</v>
      </c>
      <c r="Q614" s="102">
        <v>15.225974025974001</v>
      </c>
      <c r="R614" s="74">
        <f>VLOOKUP(B614,Readme!A$40:C$52,3,)*Q614</f>
        <v>282.44181818181772</v>
      </c>
    </row>
    <row r="615" spans="1:18" ht="12" customHeight="1" x14ac:dyDescent="0.35">
      <c r="A615" s="75">
        <v>571</v>
      </c>
      <c r="B615" s="80">
        <v>2011</v>
      </c>
      <c r="C615" s="80">
        <v>12</v>
      </c>
      <c r="D615" s="80">
        <f t="shared" si="34"/>
        <v>2011</v>
      </c>
      <c r="E615" t="s">
        <v>38</v>
      </c>
      <c r="F615" t="s">
        <v>143</v>
      </c>
      <c r="G615" t="s">
        <v>86</v>
      </c>
      <c r="H615" s="72" t="s">
        <v>220</v>
      </c>
      <c r="I615" s="72" t="s">
        <v>62</v>
      </c>
      <c r="J615" t="str">
        <f t="shared" si="36"/>
        <v>Skykomish River</v>
      </c>
      <c r="K615" t="str">
        <f>IFERROR(VLOOKUP(J615,LUTs!$A$1:$C$73,2,FALSE),"NA")</f>
        <v>Snohomish</v>
      </c>
      <c r="L615" t="str">
        <f>IFERROR(VLOOKUP(J615,LUTs!$A$1:$C$73,3,FALSE),"NA")</f>
        <v>2Central Puget Sound</v>
      </c>
      <c r="M615" s="72" t="s">
        <v>20</v>
      </c>
      <c r="N615" t="str">
        <f>VLOOKUP(M615,LUTs!E$2:H$14,3,)</f>
        <v>07Pierce</v>
      </c>
      <c r="O615" t="str">
        <f>VLOOKUP(M615,LUTs!E$2:H$14,4,)</f>
        <v>02South Puget Sound</v>
      </c>
      <c r="P615" s="80">
        <v>2.53766233766234</v>
      </c>
      <c r="Q615" s="102">
        <v>2.53766233766234</v>
      </c>
      <c r="R615" s="74">
        <f>VLOOKUP(B615,Readme!A$40:C$52,3,)*Q615</f>
        <v>47.07363636363641</v>
      </c>
    </row>
    <row r="616" spans="1:18" ht="12" customHeight="1" x14ac:dyDescent="0.35">
      <c r="A616" s="75">
        <v>572</v>
      </c>
      <c r="B616" s="80">
        <v>2011</v>
      </c>
      <c r="C616" s="80">
        <v>12</v>
      </c>
      <c r="D616" s="80">
        <f t="shared" si="34"/>
        <v>2011</v>
      </c>
      <c r="E616" t="s">
        <v>38</v>
      </c>
      <c r="F616" t="s">
        <v>143</v>
      </c>
      <c r="G616" t="s">
        <v>86</v>
      </c>
      <c r="H616" s="72" t="s">
        <v>220</v>
      </c>
      <c r="I616" s="72" t="s">
        <v>62</v>
      </c>
      <c r="J616" t="str">
        <f t="shared" si="36"/>
        <v>Skykomish River</v>
      </c>
      <c r="K616" t="str">
        <f>IFERROR(VLOOKUP(J616,LUTs!$A$1:$C$73,2,FALSE),"NA")</f>
        <v>Snohomish</v>
      </c>
      <c r="L616" t="str">
        <f>IFERROR(VLOOKUP(J616,LUTs!$A$1:$C$73,3,FALSE),"NA")</f>
        <v>2Central Puget Sound</v>
      </c>
      <c r="M616" s="72" t="s">
        <v>15</v>
      </c>
      <c r="N616" t="str">
        <f>VLOOKUP(M616,LUTs!E$2:H$14,3,)</f>
        <v>02Skagit</v>
      </c>
      <c r="O616" t="str">
        <f>VLOOKUP(M616,LUTs!E$2:H$14,4,)</f>
        <v>01North Puget Sound</v>
      </c>
      <c r="P616" s="80">
        <v>10.150649350649401</v>
      </c>
      <c r="Q616" s="102">
        <v>10.150649350649401</v>
      </c>
      <c r="R616" s="74">
        <f>VLOOKUP(B616,Readme!A$40:C$52,3,)*Q616</f>
        <v>188.29454545454638</v>
      </c>
    </row>
    <row r="617" spans="1:18" ht="12" customHeight="1" x14ac:dyDescent="0.35">
      <c r="A617" s="75">
        <v>573</v>
      </c>
      <c r="B617" s="80">
        <v>2011</v>
      </c>
      <c r="C617" s="80">
        <v>12</v>
      </c>
      <c r="D617" s="80">
        <f t="shared" si="34"/>
        <v>2011</v>
      </c>
      <c r="E617" t="s">
        <v>38</v>
      </c>
      <c r="F617" t="s">
        <v>143</v>
      </c>
      <c r="G617" t="s">
        <v>86</v>
      </c>
      <c r="H617" s="72" t="s">
        <v>220</v>
      </c>
      <c r="I617" s="72" t="s">
        <v>62</v>
      </c>
      <c r="J617" t="str">
        <f t="shared" si="36"/>
        <v>Skykomish River</v>
      </c>
      <c r="K617" t="str">
        <f>IFERROR(VLOOKUP(J617,LUTs!$A$1:$C$73,2,FALSE),"NA")</f>
        <v>Snohomish</v>
      </c>
      <c r="L617" t="str">
        <f>IFERROR(VLOOKUP(J617,LUTs!$A$1:$C$73,3,FALSE),"NA")</f>
        <v>2Central Puget Sound</v>
      </c>
      <c r="M617" s="72" t="s">
        <v>16</v>
      </c>
      <c r="N617" t="str">
        <f>VLOOKUP(M617,LUTs!E$2:H$14,3,)</f>
        <v>03Snohomish</v>
      </c>
      <c r="O617" t="str">
        <f>VLOOKUP(M617,LUTs!E$2:H$14,4,)</f>
        <v>01North Puget Sound</v>
      </c>
      <c r="P617" s="80">
        <v>537.98441558441596</v>
      </c>
      <c r="Q617" s="102">
        <v>537.98441558441596</v>
      </c>
      <c r="R617" s="74">
        <f>VLOOKUP(B617,Readme!A$40:C$52,3,)*Q617</f>
        <v>9979.6109090909158</v>
      </c>
    </row>
    <row r="618" spans="1:18" ht="12" customHeight="1" x14ac:dyDescent="0.35">
      <c r="A618" s="75">
        <v>574</v>
      </c>
      <c r="B618" s="80">
        <v>2011</v>
      </c>
      <c r="C618" s="80">
        <v>12</v>
      </c>
      <c r="D618" s="80">
        <f t="shared" si="34"/>
        <v>2011</v>
      </c>
      <c r="E618" t="s">
        <v>38</v>
      </c>
      <c r="F618" t="s">
        <v>143</v>
      </c>
      <c r="G618" t="s">
        <v>86</v>
      </c>
      <c r="H618" s="72" t="s">
        <v>220</v>
      </c>
      <c r="I618" s="72" t="s">
        <v>62</v>
      </c>
      <c r="J618" t="str">
        <f t="shared" si="36"/>
        <v>Skykomish River</v>
      </c>
      <c r="K618" t="str">
        <f>IFERROR(VLOOKUP(J618,LUTs!$A$1:$C$73,2,FALSE),"NA")</f>
        <v>Snohomish</v>
      </c>
      <c r="L618" t="str">
        <f>IFERROR(VLOOKUP(J618,LUTs!$A$1:$C$73,3,FALSE),"NA")</f>
        <v>2Central Puget Sound</v>
      </c>
      <c r="M618" s="72" t="s">
        <v>21</v>
      </c>
      <c r="N618" t="str">
        <f>VLOOKUP(M618,LUTs!E$2:H$14,3,)</f>
        <v>08Thurston</v>
      </c>
      <c r="O618" t="str">
        <f>VLOOKUP(M618,LUTs!E$2:H$14,4,)</f>
        <v>02South Puget Sound</v>
      </c>
      <c r="P618" s="80">
        <v>5.0753246753246799</v>
      </c>
      <c r="Q618" s="102">
        <v>5.0753246753246799</v>
      </c>
      <c r="R618" s="74">
        <f>VLOOKUP(B618,Readme!A$40:C$52,3,)*Q618</f>
        <v>94.147272727272821</v>
      </c>
    </row>
    <row r="619" spans="1:18" ht="12" customHeight="1" x14ac:dyDescent="0.35">
      <c r="A619" s="75">
        <v>591</v>
      </c>
      <c r="B619" s="80">
        <v>2011</v>
      </c>
      <c r="C619" s="80">
        <v>12</v>
      </c>
      <c r="D619" s="80">
        <f t="shared" si="34"/>
        <v>2011</v>
      </c>
      <c r="E619" t="s">
        <v>38</v>
      </c>
      <c r="F619" t="s">
        <v>143</v>
      </c>
      <c r="G619" t="s">
        <v>86</v>
      </c>
      <c r="H619" s="72" t="s">
        <v>247</v>
      </c>
      <c r="I619" s="72" t="s">
        <v>98</v>
      </c>
      <c r="J619" t="str">
        <f t="shared" si="36"/>
        <v>Skykomish River, No. Fork</v>
      </c>
      <c r="K619" t="str">
        <f>IFERROR(VLOOKUP(J619,LUTs!$A$1:$C$73,2,FALSE),"NA")</f>
        <v>Snohomish</v>
      </c>
      <c r="L619" t="str">
        <f>IFERROR(VLOOKUP(J619,LUTs!$A$1:$C$73,3,FALSE),"NA")</f>
        <v>2Central Puget Sound</v>
      </c>
      <c r="M619" s="72" t="s">
        <v>18</v>
      </c>
      <c r="N619" t="str">
        <f>VLOOKUP(M619,LUTs!E$2:H$14,3,)</f>
        <v>06King</v>
      </c>
      <c r="O619" t="str">
        <f>VLOOKUP(M619,LUTs!E$2:H$14,4,)</f>
        <v>02South Puget Sound</v>
      </c>
      <c r="P619" s="80">
        <v>5.2</v>
      </c>
      <c r="Q619" s="102">
        <v>5.2</v>
      </c>
      <c r="R619" s="74">
        <f>VLOOKUP(B619,Readme!A$40:C$52,3,)*Q619</f>
        <v>96.460000000000008</v>
      </c>
    </row>
    <row r="620" spans="1:18" ht="12" customHeight="1" x14ac:dyDescent="0.35">
      <c r="A620" s="75">
        <v>592</v>
      </c>
      <c r="B620" s="80">
        <v>2011</v>
      </c>
      <c r="C620" s="80">
        <v>12</v>
      </c>
      <c r="D620" s="80">
        <f t="shared" si="34"/>
        <v>2011</v>
      </c>
      <c r="E620" t="s">
        <v>38</v>
      </c>
      <c r="F620" t="s">
        <v>143</v>
      </c>
      <c r="G620" t="s">
        <v>86</v>
      </c>
      <c r="H620" s="72" t="s">
        <v>247</v>
      </c>
      <c r="I620" s="72" t="s">
        <v>98</v>
      </c>
      <c r="J620" t="str">
        <f t="shared" si="36"/>
        <v>Skykomish River, No. Fork</v>
      </c>
      <c r="K620" t="str">
        <f>IFERROR(VLOOKUP(J620,LUTs!$A$1:$C$73,2,FALSE),"NA")</f>
        <v>Snohomish</v>
      </c>
      <c r="L620" t="str">
        <f>IFERROR(VLOOKUP(J620,LUTs!$A$1:$C$73,3,FALSE),"NA")</f>
        <v>2Central Puget Sound</v>
      </c>
      <c r="M620" s="72" t="s">
        <v>16</v>
      </c>
      <c r="N620" t="str">
        <f>VLOOKUP(M620,LUTs!E$2:H$14,3,)</f>
        <v>03Snohomish</v>
      </c>
      <c r="O620" t="str">
        <f>VLOOKUP(M620,LUTs!E$2:H$14,4,)</f>
        <v>01North Puget Sound</v>
      </c>
      <c r="P620" s="80">
        <v>7.8</v>
      </c>
      <c r="Q620" s="102">
        <v>7.8</v>
      </c>
      <c r="R620" s="74">
        <f>VLOOKUP(B620,Readme!A$40:C$52,3,)*Q620</f>
        <v>144.69</v>
      </c>
    </row>
    <row r="621" spans="1:18" ht="12" customHeight="1" x14ac:dyDescent="0.35">
      <c r="A621" s="75">
        <v>612</v>
      </c>
      <c r="B621" s="80">
        <v>2011</v>
      </c>
      <c r="C621" s="80">
        <v>12</v>
      </c>
      <c r="D621" s="80">
        <f t="shared" si="34"/>
        <v>2011</v>
      </c>
      <c r="E621" t="s">
        <v>38</v>
      </c>
      <c r="F621" t="s">
        <v>143</v>
      </c>
      <c r="G621" t="s">
        <v>86</v>
      </c>
      <c r="H621" s="72" t="s">
        <v>221</v>
      </c>
      <c r="I621" s="72" t="s">
        <v>63</v>
      </c>
      <c r="J621" t="str">
        <f t="shared" si="36"/>
        <v>Snohomish River</v>
      </c>
      <c r="K621" t="str">
        <f>IFERROR(VLOOKUP(J621,LUTs!$A$1:$C$73,2,FALSE),"NA")</f>
        <v>Snohomish</v>
      </c>
      <c r="L621" t="str">
        <f>IFERROR(VLOOKUP(J621,LUTs!$A$1:$C$73,3,FALSE),"NA")</f>
        <v>2Central Puget Sound</v>
      </c>
      <c r="M621" s="72" t="s">
        <v>24</v>
      </c>
      <c r="N621" t="str">
        <f>VLOOKUP(M621,LUTs!E$2:H$14,3,)</f>
        <v>11Clallam</v>
      </c>
      <c r="O621" t="str">
        <f>VLOOKUP(M621,LUTs!E$2:H$14,4,)</f>
        <v>03Strait of Juan de Fuca</v>
      </c>
      <c r="P621" s="80">
        <v>10.1290322580645</v>
      </c>
      <c r="Q621" s="102">
        <v>10.1290322580645</v>
      </c>
      <c r="R621" s="74">
        <f>VLOOKUP(B621,Readme!A$40:C$52,3,)*Q621</f>
        <v>187.89354838709647</v>
      </c>
    </row>
    <row r="622" spans="1:18" ht="12" customHeight="1" x14ac:dyDescent="0.35">
      <c r="A622" s="75">
        <v>613</v>
      </c>
      <c r="B622" s="80">
        <v>2011</v>
      </c>
      <c r="C622" s="80">
        <v>12</v>
      </c>
      <c r="D622" s="80">
        <f t="shared" si="34"/>
        <v>2011</v>
      </c>
      <c r="E622" t="s">
        <v>38</v>
      </c>
      <c r="F622" t="s">
        <v>143</v>
      </c>
      <c r="G622" t="s">
        <v>86</v>
      </c>
      <c r="H622" s="72" t="s">
        <v>221</v>
      </c>
      <c r="I622" s="72" t="s">
        <v>63</v>
      </c>
      <c r="J622" t="str">
        <f t="shared" si="36"/>
        <v>Snohomish River</v>
      </c>
      <c r="K622" t="str">
        <f>IFERROR(VLOOKUP(J622,LUTs!$A$1:$C$73,2,FALSE),"NA")</f>
        <v>Snohomish</v>
      </c>
      <c r="L622" t="str">
        <f>IFERROR(VLOOKUP(J622,LUTs!$A$1:$C$73,3,FALSE),"NA")</f>
        <v>2Central Puget Sound</v>
      </c>
      <c r="M622" s="72" t="s">
        <v>18</v>
      </c>
      <c r="N622" t="str">
        <f>VLOOKUP(M622,LUTs!E$2:H$14,3,)</f>
        <v>06King</v>
      </c>
      <c r="O622" t="str">
        <f>VLOOKUP(M622,LUTs!E$2:H$14,4,)</f>
        <v>02South Puget Sound</v>
      </c>
      <c r="P622" s="80">
        <v>5.0645161290322598</v>
      </c>
      <c r="Q622" s="102">
        <v>5.0645161290322598</v>
      </c>
      <c r="R622" s="74">
        <f>VLOOKUP(B622,Readme!A$40:C$52,3,)*Q622</f>
        <v>93.946774193548421</v>
      </c>
    </row>
    <row r="623" spans="1:18" ht="12" customHeight="1" x14ac:dyDescent="0.35">
      <c r="A623" s="75">
        <v>614</v>
      </c>
      <c r="B623" s="80">
        <v>2011</v>
      </c>
      <c r="C623" s="80">
        <v>12</v>
      </c>
      <c r="D623" s="80">
        <f t="shared" si="34"/>
        <v>2011</v>
      </c>
      <c r="E623" t="s">
        <v>38</v>
      </c>
      <c r="F623" t="s">
        <v>143</v>
      </c>
      <c r="G623" t="s">
        <v>86</v>
      </c>
      <c r="H623" s="72" t="s">
        <v>221</v>
      </c>
      <c r="I623" s="72" t="s">
        <v>63</v>
      </c>
      <c r="J623" t="str">
        <f t="shared" si="36"/>
        <v>Snohomish River</v>
      </c>
      <c r="K623" t="str">
        <f>IFERROR(VLOOKUP(J623,LUTs!$A$1:$C$73,2,FALSE),"NA")</f>
        <v>Snohomish</v>
      </c>
      <c r="L623" t="str">
        <f>IFERROR(VLOOKUP(J623,LUTs!$A$1:$C$73,3,FALSE),"NA")</f>
        <v>2Central Puget Sound</v>
      </c>
      <c r="M623" s="72" t="s">
        <v>26</v>
      </c>
      <c r="N623" t="str">
        <f>VLOOKUP(M623,LUTs!E$2:H$14,3,)</f>
        <v>20Other</v>
      </c>
      <c r="O623" t="str">
        <f>VLOOKUP(M623,LUTs!E$2:H$14,4,)</f>
        <v>07Non Puget Sound</v>
      </c>
      <c r="P623" s="80">
        <v>2.5322580645161299</v>
      </c>
      <c r="Q623" s="102">
        <v>2.5322580645161299</v>
      </c>
      <c r="R623" s="74">
        <f>VLOOKUP(B623,Readme!A$40:C$52,3,)*Q623</f>
        <v>46.973387096774211</v>
      </c>
    </row>
    <row r="624" spans="1:18" ht="12" customHeight="1" x14ac:dyDescent="0.35">
      <c r="A624" s="75">
        <v>615</v>
      </c>
      <c r="B624" s="80">
        <v>2011</v>
      </c>
      <c r="C624" s="80">
        <v>12</v>
      </c>
      <c r="D624" s="80">
        <f t="shared" si="34"/>
        <v>2011</v>
      </c>
      <c r="E624" t="s">
        <v>38</v>
      </c>
      <c r="F624" t="s">
        <v>143</v>
      </c>
      <c r="G624" t="s">
        <v>86</v>
      </c>
      <c r="H624" s="72" t="s">
        <v>221</v>
      </c>
      <c r="I624" s="72" t="s">
        <v>63</v>
      </c>
      <c r="J624" t="str">
        <f t="shared" si="36"/>
        <v>Snohomish River</v>
      </c>
      <c r="K624" t="str">
        <f>IFERROR(VLOOKUP(J624,LUTs!$A$1:$C$73,2,FALSE),"NA")</f>
        <v>Snohomish</v>
      </c>
      <c r="L624" t="str">
        <f>IFERROR(VLOOKUP(J624,LUTs!$A$1:$C$73,3,FALSE),"NA")</f>
        <v>2Central Puget Sound</v>
      </c>
      <c r="M624" s="72" t="s">
        <v>16</v>
      </c>
      <c r="N624" t="str">
        <f>VLOOKUP(M624,LUTs!E$2:H$14,3,)</f>
        <v>03Snohomish</v>
      </c>
      <c r="O624" t="str">
        <f>VLOOKUP(M624,LUTs!E$2:H$14,4,)</f>
        <v>01North Puget Sound</v>
      </c>
      <c r="P624" s="80">
        <v>139.27419354838699</v>
      </c>
      <c r="Q624" s="102">
        <v>139.27419354838699</v>
      </c>
      <c r="R624" s="74">
        <f>VLOOKUP(B624,Readme!A$40:C$52,3,)*Q624</f>
        <v>2583.5362903225787</v>
      </c>
    </row>
    <row r="625" spans="1:18" ht="12" customHeight="1" x14ac:dyDescent="0.35">
      <c r="A625" s="75">
        <v>627</v>
      </c>
      <c r="B625" s="80">
        <v>2011</v>
      </c>
      <c r="C625" s="80">
        <v>12</v>
      </c>
      <c r="D625" s="80">
        <f t="shared" si="34"/>
        <v>2011</v>
      </c>
      <c r="E625" t="s">
        <v>38</v>
      </c>
      <c r="F625" t="s">
        <v>143</v>
      </c>
      <c r="G625" t="s">
        <v>86</v>
      </c>
      <c r="H625" s="72" t="s">
        <v>222</v>
      </c>
      <c r="I625" s="72" t="s">
        <v>64</v>
      </c>
      <c r="J625" t="str">
        <f t="shared" ref="J625:J654" si="37">I625</f>
        <v>Snoqualmie River</v>
      </c>
      <c r="K625" t="str">
        <f>IFERROR(VLOOKUP(J625,LUTs!$A$1:$C$73,2,FALSE),"NA")</f>
        <v>Snohomish/King</v>
      </c>
      <c r="L625" t="str">
        <f>IFERROR(VLOOKUP(J625,LUTs!$A$1:$C$73,3,FALSE),"NA")</f>
        <v>2Central Puget Sound</v>
      </c>
      <c r="M625" s="72" t="s">
        <v>18</v>
      </c>
      <c r="N625" t="str">
        <f>VLOOKUP(M625,LUTs!E$2:H$14,3,)</f>
        <v>06King</v>
      </c>
      <c r="O625" t="str">
        <f>VLOOKUP(M625,LUTs!E$2:H$14,4,)</f>
        <v>02South Puget Sound</v>
      </c>
      <c r="P625" s="80">
        <v>822.979228486647</v>
      </c>
      <c r="Q625" s="102">
        <v>822.979228486647</v>
      </c>
      <c r="R625" s="74">
        <f>VLOOKUP(B625,Readme!A$40:C$52,3,)*Q625</f>
        <v>15266.264688427302</v>
      </c>
    </row>
    <row r="626" spans="1:18" ht="12" customHeight="1" x14ac:dyDescent="0.35">
      <c r="A626" s="75">
        <v>628</v>
      </c>
      <c r="B626" s="80">
        <v>2011</v>
      </c>
      <c r="C626" s="80">
        <v>12</v>
      </c>
      <c r="D626" s="80">
        <f t="shared" si="34"/>
        <v>2011</v>
      </c>
      <c r="E626" t="s">
        <v>38</v>
      </c>
      <c r="F626" t="s">
        <v>143</v>
      </c>
      <c r="G626" t="s">
        <v>86</v>
      </c>
      <c r="H626" s="72" t="s">
        <v>222</v>
      </c>
      <c r="I626" s="72" t="s">
        <v>64</v>
      </c>
      <c r="J626" t="str">
        <f t="shared" si="37"/>
        <v>Snoqualmie River</v>
      </c>
      <c r="K626" t="str">
        <f>IFERROR(VLOOKUP(J626,LUTs!$A$1:$C$73,2,FALSE),"NA")</f>
        <v>Snohomish/King</v>
      </c>
      <c r="L626" t="str">
        <f>IFERROR(VLOOKUP(J626,LUTs!$A$1:$C$73,3,FALSE),"NA")</f>
        <v>2Central Puget Sound</v>
      </c>
      <c r="M626" s="72" t="s">
        <v>23</v>
      </c>
      <c r="N626" t="str">
        <f>VLOOKUP(M626,LUTs!E$2:H$14,3,)</f>
        <v>10Kitsap</v>
      </c>
      <c r="O626" t="str">
        <f>VLOOKUP(M626,LUTs!E$2:H$14,4,)</f>
        <v>02South Puget Sound</v>
      </c>
      <c r="P626" s="80">
        <v>2.54005934718101</v>
      </c>
      <c r="Q626" s="102">
        <v>2.54005934718101</v>
      </c>
      <c r="R626" s="74">
        <f>VLOOKUP(B626,Readme!A$40:C$52,3,)*Q626</f>
        <v>47.118100890207735</v>
      </c>
    </row>
    <row r="627" spans="1:18" ht="12" customHeight="1" x14ac:dyDescent="0.35">
      <c r="A627" s="75">
        <v>629</v>
      </c>
      <c r="B627" s="80">
        <v>2011</v>
      </c>
      <c r="C627" s="80">
        <v>12</v>
      </c>
      <c r="D627" s="80">
        <f t="shared" si="34"/>
        <v>2011</v>
      </c>
      <c r="E627" t="s">
        <v>38</v>
      </c>
      <c r="F627" t="s">
        <v>143</v>
      </c>
      <c r="G627" t="s">
        <v>86</v>
      </c>
      <c r="H627" s="72" t="s">
        <v>222</v>
      </c>
      <c r="I627" s="72" t="s">
        <v>64</v>
      </c>
      <c r="J627" t="str">
        <f t="shared" si="37"/>
        <v>Snoqualmie River</v>
      </c>
      <c r="K627" t="str">
        <f>IFERROR(VLOOKUP(J627,LUTs!$A$1:$C$73,2,FALSE),"NA")</f>
        <v>Snohomish/King</v>
      </c>
      <c r="L627" t="str">
        <f>IFERROR(VLOOKUP(J627,LUTs!$A$1:$C$73,3,FALSE),"NA")</f>
        <v>2Central Puget Sound</v>
      </c>
      <c r="M627" s="72" t="s">
        <v>26</v>
      </c>
      <c r="N627" t="str">
        <f>VLOOKUP(M627,LUTs!E$2:H$14,3,)</f>
        <v>20Other</v>
      </c>
      <c r="O627" t="str">
        <f>VLOOKUP(M627,LUTs!E$2:H$14,4,)</f>
        <v>07Non Puget Sound</v>
      </c>
      <c r="P627" s="80">
        <v>7.6201780415430296</v>
      </c>
      <c r="Q627" s="102">
        <v>7.6201780415430296</v>
      </c>
      <c r="R627" s="74">
        <f>VLOOKUP(B627,Readme!A$40:C$52,3,)*Q627</f>
        <v>141.35430267062321</v>
      </c>
    </row>
    <row r="628" spans="1:18" ht="12" customHeight="1" x14ac:dyDescent="0.35">
      <c r="A628" s="75">
        <v>630</v>
      </c>
      <c r="B628" s="80">
        <v>2011</v>
      </c>
      <c r="C628" s="80">
        <v>12</v>
      </c>
      <c r="D628" s="80">
        <f t="shared" si="34"/>
        <v>2011</v>
      </c>
      <c r="E628" t="s">
        <v>38</v>
      </c>
      <c r="F628" t="s">
        <v>143</v>
      </c>
      <c r="G628" t="s">
        <v>86</v>
      </c>
      <c r="H628" s="72" t="s">
        <v>222</v>
      </c>
      <c r="I628" s="72" t="s">
        <v>64</v>
      </c>
      <c r="J628" t="str">
        <f t="shared" si="37"/>
        <v>Snoqualmie River</v>
      </c>
      <c r="K628" t="str">
        <f>IFERROR(VLOOKUP(J628,LUTs!$A$1:$C$73,2,FALSE),"NA")</f>
        <v>Snohomish/King</v>
      </c>
      <c r="L628" t="str">
        <f>IFERROR(VLOOKUP(J628,LUTs!$A$1:$C$73,3,FALSE),"NA")</f>
        <v>2Central Puget Sound</v>
      </c>
      <c r="M628" s="72" t="s">
        <v>20</v>
      </c>
      <c r="N628" t="str">
        <f>VLOOKUP(M628,LUTs!E$2:H$14,3,)</f>
        <v>07Pierce</v>
      </c>
      <c r="O628" t="str">
        <f>VLOOKUP(M628,LUTs!E$2:H$14,4,)</f>
        <v>02South Puget Sound</v>
      </c>
      <c r="P628" s="80">
        <v>15.2403560830861</v>
      </c>
      <c r="Q628" s="102">
        <v>15.2403560830861</v>
      </c>
      <c r="R628" s="74">
        <f>VLOOKUP(B628,Readme!A$40:C$52,3,)*Q628</f>
        <v>282.70860534124716</v>
      </c>
    </row>
    <row r="629" spans="1:18" ht="12" customHeight="1" x14ac:dyDescent="0.35">
      <c r="A629" s="75">
        <v>631</v>
      </c>
      <c r="B629" s="80">
        <v>2011</v>
      </c>
      <c r="C629" s="80">
        <v>12</v>
      </c>
      <c r="D629" s="80">
        <f t="shared" si="34"/>
        <v>2011</v>
      </c>
      <c r="E629" t="s">
        <v>38</v>
      </c>
      <c r="F629" t="s">
        <v>143</v>
      </c>
      <c r="G629" t="s">
        <v>86</v>
      </c>
      <c r="H629" s="72" t="s">
        <v>222</v>
      </c>
      <c r="I629" s="72" t="s">
        <v>64</v>
      </c>
      <c r="J629" t="str">
        <f t="shared" si="37"/>
        <v>Snoqualmie River</v>
      </c>
      <c r="K629" t="str">
        <f>IFERROR(VLOOKUP(J629,LUTs!$A$1:$C$73,2,FALSE),"NA")</f>
        <v>Snohomish/King</v>
      </c>
      <c r="L629" t="str">
        <f>IFERROR(VLOOKUP(J629,LUTs!$A$1:$C$73,3,FALSE),"NA")</f>
        <v>2Central Puget Sound</v>
      </c>
      <c r="M629" s="72" t="s">
        <v>16</v>
      </c>
      <c r="N629" t="str">
        <f>VLOOKUP(M629,LUTs!E$2:H$14,3,)</f>
        <v>03Snohomish</v>
      </c>
      <c r="O629" t="str">
        <f>VLOOKUP(M629,LUTs!E$2:H$14,4,)</f>
        <v>01North Puget Sound</v>
      </c>
      <c r="P629" s="80">
        <v>7.6201780415430296</v>
      </c>
      <c r="Q629" s="102">
        <v>7.6201780415430296</v>
      </c>
      <c r="R629" s="74">
        <f>VLOOKUP(B629,Readme!A$40:C$52,3,)*Q629</f>
        <v>141.35430267062321</v>
      </c>
    </row>
    <row r="630" spans="1:18" ht="12" customHeight="1" x14ac:dyDescent="0.35">
      <c r="A630" s="75">
        <v>694</v>
      </c>
      <c r="B630" s="80">
        <v>2011</v>
      </c>
      <c r="C630" s="80">
        <v>12</v>
      </c>
      <c r="D630" s="80">
        <f t="shared" si="34"/>
        <v>2011</v>
      </c>
      <c r="E630" t="s">
        <v>38</v>
      </c>
      <c r="F630" t="s">
        <v>143</v>
      </c>
      <c r="G630" t="s">
        <v>86</v>
      </c>
      <c r="H630" s="72" t="s">
        <v>223</v>
      </c>
      <c r="I630" s="72" t="s">
        <v>103</v>
      </c>
      <c r="J630" t="str">
        <f t="shared" si="37"/>
        <v>Stillaguamish R, No. Fork</v>
      </c>
      <c r="K630" t="str">
        <f>IFERROR(VLOOKUP(J630,LUTs!$A$1:$C$73,2,FALSE),"NA")</f>
        <v>Snohomish</v>
      </c>
      <c r="L630" t="str">
        <f>IFERROR(VLOOKUP(J630,LUTs!$A$1:$C$73,3,FALSE),"NA")</f>
        <v>2Central Puget Sound</v>
      </c>
      <c r="M630" s="72" t="s">
        <v>17</v>
      </c>
      <c r="N630" t="str">
        <f>VLOOKUP(M630,LUTs!E$2:H$14,3,)</f>
        <v>04Island</v>
      </c>
      <c r="O630" t="str">
        <f>VLOOKUP(M630,LUTs!E$2:H$14,4,)</f>
        <v>01North Puget Sound</v>
      </c>
      <c r="P630" s="80">
        <v>4.9756097560975601</v>
      </c>
      <c r="Q630" s="102">
        <v>4.9756097560975601</v>
      </c>
      <c r="R630" s="74">
        <f>VLOOKUP(B630,Readme!A$40:C$52,3,)*Q630</f>
        <v>92.297560975609741</v>
      </c>
    </row>
    <row r="631" spans="1:18" ht="12" customHeight="1" x14ac:dyDescent="0.35">
      <c r="A631" s="75">
        <v>695</v>
      </c>
      <c r="B631" s="80">
        <v>2011</v>
      </c>
      <c r="C631" s="80">
        <v>12</v>
      </c>
      <c r="D631" s="80">
        <f t="shared" si="34"/>
        <v>2011</v>
      </c>
      <c r="E631" t="s">
        <v>38</v>
      </c>
      <c r="F631" t="s">
        <v>143</v>
      </c>
      <c r="G631" t="s">
        <v>86</v>
      </c>
      <c r="H631" s="72" t="s">
        <v>223</v>
      </c>
      <c r="I631" s="72" t="s">
        <v>103</v>
      </c>
      <c r="J631" t="str">
        <f t="shared" si="37"/>
        <v>Stillaguamish R, No. Fork</v>
      </c>
      <c r="K631" t="str">
        <f>IFERROR(VLOOKUP(J631,LUTs!$A$1:$C$73,2,FALSE),"NA")</f>
        <v>Snohomish</v>
      </c>
      <c r="L631" t="str">
        <f>IFERROR(VLOOKUP(J631,LUTs!$A$1:$C$73,3,FALSE),"NA")</f>
        <v>2Central Puget Sound</v>
      </c>
      <c r="M631" s="72" t="s">
        <v>18</v>
      </c>
      <c r="N631" t="str">
        <f>VLOOKUP(M631,LUTs!E$2:H$14,3,)</f>
        <v>06King</v>
      </c>
      <c r="O631" t="str">
        <f>VLOOKUP(M631,LUTs!E$2:H$14,4,)</f>
        <v>02South Puget Sound</v>
      </c>
      <c r="P631" s="80">
        <v>2.48780487804878</v>
      </c>
      <c r="Q631" s="102">
        <v>2.48780487804878</v>
      </c>
      <c r="R631" s="74">
        <f>VLOOKUP(B631,Readme!A$40:C$52,3,)*Q631</f>
        <v>46.148780487804871</v>
      </c>
    </row>
    <row r="632" spans="1:18" ht="12" customHeight="1" x14ac:dyDescent="0.35">
      <c r="A632" s="75">
        <v>696</v>
      </c>
      <c r="B632" s="80">
        <v>2011</v>
      </c>
      <c r="C632" s="80">
        <v>12</v>
      </c>
      <c r="D632" s="80">
        <f t="shared" si="34"/>
        <v>2011</v>
      </c>
      <c r="E632" t="s">
        <v>38</v>
      </c>
      <c r="F632" t="s">
        <v>143</v>
      </c>
      <c r="G632" t="s">
        <v>86</v>
      </c>
      <c r="H632" s="72" t="s">
        <v>223</v>
      </c>
      <c r="I632" s="72" t="s">
        <v>103</v>
      </c>
      <c r="J632" t="str">
        <f t="shared" si="37"/>
        <v>Stillaguamish R, No. Fork</v>
      </c>
      <c r="K632" t="str">
        <f>IFERROR(VLOOKUP(J632,LUTs!$A$1:$C$73,2,FALSE),"NA")</f>
        <v>Snohomish</v>
      </c>
      <c r="L632" t="str">
        <f>IFERROR(VLOOKUP(J632,LUTs!$A$1:$C$73,3,FALSE),"NA")</f>
        <v>2Central Puget Sound</v>
      </c>
      <c r="M632" s="72" t="s">
        <v>30</v>
      </c>
      <c r="N632" t="str">
        <f>VLOOKUP(M632,LUTs!E$2:H$14,3,)</f>
        <v>05San Juan</v>
      </c>
      <c r="O632" t="str">
        <f>VLOOKUP(M632,LUTs!E$2:H$14,4,)</f>
        <v>01North Puget Sound</v>
      </c>
      <c r="P632" s="80">
        <v>17.414634146341498</v>
      </c>
      <c r="Q632" s="102">
        <v>17.414634146341498</v>
      </c>
      <c r="R632" s="74">
        <f>VLOOKUP(B632,Readme!A$40:C$52,3,)*Q632</f>
        <v>323.04146341463479</v>
      </c>
    </row>
    <row r="633" spans="1:18" ht="12" customHeight="1" x14ac:dyDescent="0.35">
      <c r="A633" s="75">
        <v>697</v>
      </c>
      <c r="B633" s="80">
        <v>2011</v>
      </c>
      <c r="C633" s="80">
        <v>12</v>
      </c>
      <c r="D633" s="80">
        <f t="shared" si="34"/>
        <v>2011</v>
      </c>
      <c r="E633" t="s">
        <v>38</v>
      </c>
      <c r="F633" t="s">
        <v>143</v>
      </c>
      <c r="G633" t="s">
        <v>86</v>
      </c>
      <c r="H633" s="72" t="s">
        <v>223</v>
      </c>
      <c r="I633" s="72" t="s">
        <v>103</v>
      </c>
      <c r="J633" t="str">
        <f t="shared" si="37"/>
        <v>Stillaguamish R, No. Fork</v>
      </c>
      <c r="K633" t="str">
        <f>IFERROR(VLOOKUP(J633,LUTs!$A$1:$C$73,2,FALSE),"NA")</f>
        <v>Snohomish</v>
      </c>
      <c r="L633" t="str">
        <f>IFERROR(VLOOKUP(J633,LUTs!$A$1:$C$73,3,FALSE),"NA")</f>
        <v>2Central Puget Sound</v>
      </c>
      <c r="M633" s="72" t="s">
        <v>16</v>
      </c>
      <c r="N633" t="str">
        <f>VLOOKUP(M633,LUTs!E$2:H$14,3,)</f>
        <v>03Snohomish</v>
      </c>
      <c r="O633" t="str">
        <f>VLOOKUP(M633,LUTs!E$2:H$14,4,)</f>
        <v>01North Puget Sound</v>
      </c>
      <c r="P633" s="80">
        <v>77.121951219512198</v>
      </c>
      <c r="Q633" s="102">
        <v>77.121951219512198</v>
      </c>
      <c r="R633" s="74">
        <f>VLOOKUP(B633,Readme!A$40:C$52,3,)*Q633</f>
        <v>1430.6121951219513</v>
      </c>
    </row>
    <row r="634" spans="1:18" ht="12" customHeight="1" x14ac:dyDescent="0.35">
      <c r="A634" s="75">
        <v>709</v>
      </c>
      <c r="B634" s="80">
        <v>2011</v>
      </c>
      <c r="C634" s="80">
        <v>12</v>
      </c>
      <c r="D634" s="80">
        <f t="shared" si="34"/>
        <v>2011</v>
      </c>
      <c r="E634" t="s">
        <v>38</v>
      </c>
      <c r="F634" t="s">
        <v>143</v>
      </c>
      <c r="G634" t="s">
        <v>86</v>
      </c>
      <c r="H634" s="72" t="s">
        <v>253</v>
      </c>
      <c r="I634" s="72" t="s">
        <v>65</v>
      </c>
      <c r="J634" t="str">
        <f t="shared" si="37"/>
        <v>Stillaguamish River</v>
      </c>
      <c r="K634" t="str">
        <f>IFERROR(VLOOKUP(J634,LUTs!$A$1:$C$73,2,FALSE),"NA")</f>
        <v>Snohomish</v>
      </c>
      <c r="L634" t="str">
        <f>IFERROR(VLOOKUP(J634,LUTs!$A$1:$C$73,3,FALSE),"NA")</f>
        <v>2Central Puget Sound</v>
      </c>
      <c r="M634" s="72" t="s">
        <v>18</v>
      </c>
      <c r="N634" t="str">
        <f>VLOOKUP(M634,LUTs!E$2:H$14,3,)</f>
        <v>06King</v>
      </c>
      <c r="O634" t="str">
        <f>VLOOKUP(M634,LUTs!E$2:H$14,4,)</f>
        <v>02South Puget Sound</v>
      </c>
      <c r="P634" s="80">
        <v>2.4285714285714302</v>
      </c>
      <c r="Q634" s="102">
        <v>2.4285714285714302</v>
      </c>
      <c r="R634" s="74">
        <f>VLOOKUP(B634,Readme!A$40:C$52,3,)*Q634</f>
        <v>45.050000000000033</v>
      </c>
    </row>
    <row r="635" spans="1:18" ht="12" customHeight="1" x14ac:dyDescent="0.35">
      <c r="A635" s="75">
        <v>710</v>
      </c>
      <c r="B635" s="80">
        <v>2011</v>
      </c>
      <c r="C635" s="80">
        <v>12</v>
      </c>
      <c r="D635" s="80">
        <f t="shared" si="34"/>
        <v>2011</v>
      </c>
      <c r="E635" t="s">
        <v>38</v>
      </c>
      <c r="F635" t="s">
        <v>143</v>
      </c>
      <c r="G635" t="s">
        <v>86</v>
      </c>
      <c r="H635" s="72" t="s">
        <v>253</v>
      </c>
      <c r="I635" s="72" t="s">
        <v>65</v>
      </c>
      <c r="J635" t="str">
        <f t="shared" si="37"/>
        <v>Stillaguamish River</v>
      </c>
      <c r="K635" t="str">
        <f>IFERROR(VLOOKUP(J635,LUTs!$A$1:$C$73,2,FALSE),"NA")</f>
        <v>Snohomish</v>
      </c>
      <c r="L635" t="str">
        <f>IFERROR(VLOOKUP(J635,LUTs!$A$1:$C$73,3,FALSE),"NA")</f>
        <v>2Central Puget Sound</v>
      </c>
      <c r="M635" s="72" t="s">
        <v>16</v>
      </c>
      <c r="N635" t="str">
        <f>VLOOKUP(M635,LUTs!E$2:H$14,3,)</f>
        <v>03Snohomish</v>
      </c>
      <c r="O635" t="str">
        <f>VLOOKUP(M635,LUTs!E$2:H$14,4,)</f>
        <v>01North Puget Sound</v>
      </c>
      <c r="P635" s="80">
        <v>14.5714285714286</v>
      </c>
      <c r="Q635" s="102">
        <v>14.5714285714286</v>
      </c>
      <c r="R635" s="74">
        <f>VLOOKUP(B635,Readme!A$40:C$52,3,)*Q635</f>
        <v>270.30000000000052</v>
      </c>
    </row>
    <row r="636" spans="1:18" ht="12" customHeight="1" x14ac:dyDescent="0.35">
      <c r="A636" s="75">
        <v>647</v>
      </c>
      <c r="B636" s="80">
        <v>2011</v>
      </c>
      <c r="C636" s="80">
        <v>12</v>
      </c>
      <c r="D636" s="80">
        <f t="shared" si="34"/>
        <v>2011</v>
      </c>
      <c r="E636" t="s">
        <v>38</v>
      </c>
      <c r="F636" t="s">
        <v>143</v>
      </c>
      <c r="G636" t="s">
        <v>86</v>
      </c>
      <c r="H636" s="72" t="s">
        <v>250</v>
      </c>
      <c r="I636" s="72" t="s">
        <v>101</v>
      </c>
      <c r="J636" t="str">
        <f t="shared" si="37"/>
        <v>Tokul Creek</v>
      </c>
      <c r="K636" t="str">
        <f>IFERROR(VLOOKUP(J636,LUTs!$A$1:$C$73,2,FALSE),"NA")</f>
        <v>King</v>
      </c>
      <c r="L636" t="str">
        <f>IFERROR(VLOOKUP(J636,LUTs!$A$1:$C$73,3,FALSE),"NA")</f>
        <v>2Central Puget Sound</v>
      </c>
      <c r="M636" s="72" t="s">
        <v>18</v>
      </c>
      <c r="N636" t="str">
        <f>VLOOKUP(M636,LUTs!E$2:H$14,3,)</f>
        <v>06King</v>
      </c>
      <c r="O636" t="str">
        <f>VLOOKUP(M636,LUTs!E$2:H$14,4,)</f>
        <v>02South Puget Sound</v>
      </c>
      <c r="P636" s="80">
        <v>42.947368421052602</v>
      </c>
      <c r="Q636" s="102">
        <v>42.947368421052602</v>
      </c>
      <c r="R636" s="74">
        <f>VLOOKUP(B636,Readme!A$40:C$52,3,)*Q636</f>
        <v>796.67368421052583</v>
      </c>
    </row>
    <row r="637" spans="1:18" ht="12" customHeight="1" x14ac:dyDescent="0.35">
      <c r="A637" s="75">
        <v>648</v>
      </c>
      <c r="B637" s="80">
        <v>2011</v>
      </c>
      <c r="C637" s="80">
        <v>12</v>
      </c>
      <c r="D637" s="80">
        <f t="shared" si="34"/>
        <v>2011</v>
      </c>
      <c r="E637" t="s">
        <v>38</v>
      </c>
      <c r="F637" t="s">
        <v>143</v>
      </c>
      <c r="G637" t="s">
        <v>86</v>
      </c>
      <c r="H637" s="72" t="s">
        <v>250</v>
      </c>
      <c r="I637" s="72" t="s">
        <v>101</v>
      </c>
      <c r="J637" t="str">
        <f t="shared" si="37"/>
        <v>Tokul Creek</v>
      </c>
      <c r="K637" t="str">
        <f>IFERROR(VLOOKUP(J637,LUTs!$A$1:$C$73,2,FALSE),"NA")</f>
        <v>King</v>
      </c>
      <c r="L637" t="str">
        <f>IFERROR(VLOOKUP(J637,LUTs!$A$1:$C$73,3,FALSE),"NA")</f>
        <v>2Central Puget Sound</v>
      </c>
      <c r="M637" s="72" t="s">
        <v>20</v>
      </c>
      <c r="N637" t="str">
        <f>VLOOKUP(M637,LUTs!E$2:H$14,3,)</f>
        <v>07Pierce</v>
      </c>
      <c r="O637" t="str">
        <f>VLOOKUP(M637,LUTs!E$2:H$14,4,)</f>
        <v>02South Puget Sound</v>
      </c>
      <c r="P637" s="80">
        <v>5.0526315789473699</v>
      </c>
      <c r="Q637" s="102">
        <v>5.0526315789473699</v>
      </c>
      <c r="R637" s="74">
        <f>VLOOKUP(B637,Readme!A$40:C$52,3,)*Q637</f>
        <v>93.726315789473716</v>
      </c>
    </row>
    <row r="638" spans="1:18" ht="12" customHeight="1" x14ac:dyDescent="0.35">
      <c r="A638" s="75">
        <v>657</v>
      </c>
      <c r="B638" s="80">
        <v>2011</v>
      </c>
      <c r="C638" s="80">
        <v>12</v>
      </c>
      <c r="D638" s="80">
        <f t="shared" si="34"/>
        <v>2011</v>
      </c>
      <c r="E638" t="s">
        <v>38</v>
      </c>
      <c r="F638" t="s">
        <v>143</v>
      </c>
      <c r="G638" t="s">
        <v>86</v>
      </c>
      <c r="H638" s="72" t="s">
        <v>229</v>
      </c>
      <c r="I638" s="72" t="s">
        <v>71</v>
      </c>
      <c r="J638" t="str">
        <f t="shared" si="37"/>
        <v>Tolt River</v>
      </c>
      <c r="K638" t="str">
        <f>IFERROR(VLOOKUP(J638,LUTs!$A$1:$C$73,2,FALSE),"NA")</f>
        <v>King</v>
      </c>
      <c r="L638" t="str">
        <f>IFERROR(VLOOKUP(J638,LUTs!$A$1:$C$73,3,FALSE),"NA")</f>
        <v>2Central Puget Sound</v>
      </c>
      <c r="M638" s="72" t="s">
        <v>18</v>
      </c>
      <c r="N638" t="str">
        <f>VLOOKUP(M638,LUTs!E$2:H$14,3,)</f>
        <v>06King</v>
      </c>
      <c r="O638" t="str">
        <f>VLOOKUP(M638,LUTs!E$2:H$14,4,)</f>
        <v>02South Puget Sound</v>
      </c>
      <c r="P638" s="80">
        <v>3</v>
      </c>
      <c r="Q638" s="102">
        <v>3</v>
      </c>
      <c r="R638" s="74">
        <f>VLOOKUP(B638,Readme!A$40:C$52,3,)*Q638</f>
        <v>55.650000000000006</v>
      </c>
    </row>
    <row r="639" spans="1:18" ht="12" customHeight="1" x14ac:dyDescent="0.35">
      <c r="A639" s="75">
        <v>667</v>
      </c>
      <c r="B639" s="80">
        <v>2011</v>
      </c>
      <c r="C639" s="80">
        <v>12</v>
      </c>
      <c r="D639" s="80">
        <f t="shared" si="34"/>
        <v>2011</v>
      </c>
      <c r="E639" t="s">
        <v>38</v>
      </c>
      <c r="F639" t="s">
        <v>143</v>
      </c>
      <c r="G639" t="s">
        <v>86</v>
      </c>
      <c r="H639" s="72" t="s">
        <v>233</v>
      </c>
      <c r="I639" s="72" t="s">
        <v>76</v>
      </c>
      <c r="J639" t="str">
        <f t="shared" si="37"/>
        <v>Wallace River</v>
      </c>
      <c r="K639" t="str">
        <f>IFERROR(VLOOKUP(J639,LUTs!$A$1:$C$73,2,FALSE),"NA")</f>
        <v>Snohomish</v>
      </c>
      <c r="L639" t="str">
        <f>IFERROR(VLOOKUP(J639,LUTs!$A$1:$C$73,3,FALSE),"NA")</f>
        <v>2Central Puget Sound</v>
      </c>
      <c r="M639" s="72" t="s">
        <v>18</v>
      </c>
      <c r="N639" t="str">
        <f>VLOOKUP(M639,LUTs!E$2:H$14,3,)</f>
        <v>06King</v>
      </c>
      <c r="O639" t="str">
        <f>VLOOKUP(M639,LUTs!E$2:H$14,4,)</f>
        <v>02South Puget Sound</v>
      </c>
      <c r="P639" s="80">
        <v>10.171428571428599</v>
      </c>
      <c r="Q639" s="102">
        <v>10.171428571428599</v>
      </c>
      <c r="R639" s="74">
        <f>VLOOKUP(B639,Readme!A$40:C$52,3,)*Q639</f>
        <v>188.68000000000052</v>
      </c>
    </row>
    <row r="640" spans="1:18" ht="12" customHeight="1" x14ac:dyDescent="0.35">
      <c r="A640" s="75">
        <v>668</v>
      </c>
      <c r="B640" s="80">
        <v>2011</v>
      </c>
      <c r="C640" s="80">
        <v>12</v>
      </c>
      <c r="D640" s="80">
        <f t="shared" si="34"/>
        <v>2011</v>
      </c>
      <c r="E640" t="s">
        <v>38</v>
      </c>
      <c r="F640" t="s">
        <v>143</v>
      </c>
      <c r="G640" t="s">
        <v>86</v>
      </c>
      <c r="H640" s="72" t="s">
        <v>233</v>
      </c>
      <c r="I640" s="72" t="s">
        <v>76</v>
      </c>
      <c r="J640" t="str">
        <f t="shared" si="37"/>
        <v>Wallace River</v>
      </c>
      <c r="K640" t="str">
        <f>IFERROR(VLOOKUP(J640,LUTs!$A$1:$C$73,2,FALSE),"NA")</f>
        <v>Snohomish</v>
      </c>
      <c r="L640" t="str">
        <f>IFERROR(VLOOKUP(J640,LUTs!$A$1:$C$73,3,FALSE),"NA")</f>
        <v>2Central Puget Sound</v>
      </c>
      <c r="M640" s="72" t="s">
        <v>20</v>
      </c>
      <c r="N640" t="str">
        <f>VLOOKUP(M640,LUTs!E$2:H$14,3,)</f>
        <v>07Pierce</v>
      </c>
      <c r="O640" t="str">
        <f>VLOOKUP(M640,LUTs!E$2:H$14,4,)</f>
        <v>02South Puget Sound</v>
      </c>
      <c r="P640" s="80">
        <v>2.54285714285714</v>
      </c>
      <c r="Q640" s="102">
        <v>2.54285714285714</v>
      </c>
      <c r="R640" s="74">
        <f>VLOOKUP(B640,Readme!A$40:C$52,3,)*Q640</f>
        <v>47.169999999999952</v>
      </c>
    </row>
    <row r="641" spans="1:18" ht="12" customHeight="1" x14ac:dyDescent="0.35">
      <c r="A641" s="75">
        <v>669</v>
      </c>
      <c r="B641" s="80">
        <v>2011</v>
      </c>
      <c r="C641" s="80">
        <v>12</v>
      </c>
      <c r="D641" s="80">
        <f t="shared" si="34"/>
        <v>2011</v>
      </c>
      <c r="E641" t="s">
        <v>38</v>
      </c>
      <c r="F641" t="s">
        <v>143</v>
      </c>
      <c r="G641" t="s">
        <v>86</v>
      </c>
      <c r="H641" s="72" t="s">
        <v>233</v>
      </c>
      <c r="I641" s="72" t="s">
        <v>76</v>
      </c>
      <c r="J641" t="str">
        <f t="shared" si="37"/>
        <v>Wallace River</v>
      </c>
      <c r="K641" t="str">
        <f>IFERROR(VLOOKUP(J641,LUTs!$A$1:$C$73,2,FALSE),"NA")</f>
        <v>Snohomish</v>
      </c>
      <c r="L641" t="str">
        <f>IFERROR(VLOOKUP(J641,LUTs!$A$1:$C$73,3,FALSE),"NA")</f>
        <v>2Central Puget Sound</v>
      </c>
      <c r="M641" s="72" t="s">
        <v>15</v>
      </c>
      <c r="N641" t="str">
        <f>VLOOKUP(M641,LUTs!E$2:H$14,3,)</f>
        <v>02Skagit</v>
      </c>
      <c r="O641" t="str">
        <f>VLOOKUP(M641,LUTs!E$2:H$14,4,)</f>
        <v>01North Puget Sound</v>
      </c>
      <c r="P641" s="80">
        <v>5.0857142857142899</v>
      </c>
      <c r="Q641" s="102">
        <v>5.0857142857142899</v>
      </c>
      <c r="R641" s="74">
        <f>VLOOKUP(B641,Readme!A$40:C$52,3,)*Q641</f>
        <v>94.340000000000074</v>
      </c>
    </row>
    <row r="642" spans="1:18" ht="12" customHeight="1" x14ac:dyDescent="0.35">
      <c r="A642" s="75">
        <v>670</v>
      </c>
      <c r="B642" s="80">
        <v>2011</v>
      </c>
      <c r="C642" s="80">
        <v>12</v>
      </c>
      <c r="D642" s="80">
        <f t="shared" ref="D642:D705" si="38">IF(C642&gt;3,B642,B642-1)</f>
        <v>2011</v>
      </c>
      <c r="E642" t="s">
        <v>38</v>
      </c>
      <c r="F642" t="s">
        <v>143</v>
      </c>
      <c r="G642" t="s">
        <v>86</v>
      </c>
      <c r="H642" s="72" t="s">
        <v>233</v>
      </c>
      <c r="I642" s="72" t="s">
        <v>76</v>
      </c>
      <c r="J642" t="str">
        <f t="shared" si="37"/>
        <v>Wallace River</v>
      </c>
      <c r="K642" t="str">
        <f>IFERROR(VLOOKUP(J642,LUTs!$A$1:$C$73,2,FALSE),"NA")</f>
        <v>Snohomish</v>
      </c>
      <c r="L642" t="str">
        <f>IFERROR(VLOOKUP(J642,LUTs!$A$1:$C$73,3,FALSE),"NA")</f>
        <v>2Central Puget Sound</v>
      </c>
      <c r="M642" s="72" t="s">
        <v>16</v>
      </c>
      <c r="N642" t="str">
        <f>VLOOKUP(M642,LUTs!E$2:H$14,3,)</f>
        <v>03Snohomish</v>
      </c>
      <c r="O642" t="str">
        <f>VLOOKUP(M642,LUTs!E$2:H$14,4,)</f>
        <v>01North Puget Sound</v>
      </c>
      <c r="P642" s="80">
        <v>58.485714285714302</v>
      </c>
      <c r="Q642" s="102">
        <v>58.485714285714302</v>
      </c>
      <c r="R642" s="74">
        <f>VLOOKUP(B642,Readme!A$40:C$52,3,)*Q642</f>
        <v>1084.9100000000003</v>
      </c>
    </row>
    <row r="643" spans="1:18" ht="12" customHeight="1" x14ac:dyDescent="0.35">
      <c r="A643" s="75">
        <v>671</v>
      </c>
      <c r="B643" s="80">
        <v>2011</v>
      </c>
      <c r="C643" s="80">
        <v>12</v>
      </c>
      <c r="D643" s="80">
        <f t="shared" si="38"/>
        <v>2011</v>
      </c>
      <c r="E643" t="s">
        <v>38</v>
      </c>
      <c r="F643" t="s">
        <v>143</v>
      </c>
      <c r="G643" t="s">
        <v>86</v>
      </c>
      <c r="H643" s="72" t="s">
        <v>233</v>
      </c>
      <c r="I643" s="72" t="s">
        <v>76</v>
      </c>
      <c r="J643" t="str">
        <f t="shared" si="37"/>
        <v>Wallace River</v>
      </c>
      <c r="K643" t="str">
        <f>IFERROR(VLOOKUP(J643,LUTs!$A$1:$C$73,2,FALSE),"NA")</f>
        <v>Snohomish</v>
      </c>
      <c r="L643" t="str">
        <f>IFERROR(VLOOKUP(J643,LUTs!$A$1:$C$73,3,FALSE),"NA")</f>
        <v>2Central Puget Sound</v>
      </c>
      <c r="M643" s="72" t="s">
        <v>13</v>
      </c>
      <c r="N643" t="str">
        <f>VLOOKUP(M643,LUTs!E$2:H$14,3,)</f>
        <v>01Whatcom</v>
      </c>
      <c r="O643" t="str">
        <f>VLOOKUP(M643,LUTs!E$2:H$14,4,)</f>
        <v>01North Puget Sound</v>
      </c>
      <c r="P643" s="80">
        <v>12.714285714285699</v>
      </c>
      <c r="Q643" s="102">
        <v>12.714285714285699</v>
      </c>
      <c r="R643" s="74">
        <f>VLOOKUP(B643,Readme!A$40:C$52,3,)*Q643</f>
        <v>235.84999999999974</v>
      </c>
    </row>
    <row r="644" spans="1:18" ht="12" customHeight="1" x14ac:dyDescent="0.35">
      <c r="A644" s="75">
        <v>734</v>
      </c>
      <c r="B644" s="80">
        <v>2012</v>
      </c>
      <c r="C644" s="80">
        <v>1</v>
      </c>
      <c r="D644" s="80">
        <f t="shared" si="38"/>
        <v>2011</v>
      </c>
      <c r="E644" t="s">
        <v>38</v>
      </c>
      <c r="F644" t="s">
        <v>143</v>
      </c>
      <c r="G644" t="s">
        <v>86</v>
      </c>
      <c r="H644" s="72" t="s">
        <v>254</v>
      </c>
      <c r="I644" s="72" t="s">
        <v>33</v>
      </c>
      <c r="J644" t="str">
        <f t="shared" si="37"/>
        <v>Area 9: Admiralty Inlet</v>
      </c>
      <c r="K644" t="str">
        <f>IFERROR(VLOOKUP(J644,LUTs!$A$1:$C$73,2,FALSE),"NA")</f>
        <v>NA</v>
      </c>
      <c r="L644" t="str">
        <f>IFERROR(VLOOKUP(J644,LUTs!$A$1:$C$73,3,FALSE),"NA")</f>
        <v>2Central Puget Sound</v>
      </c>
      <c r="M644" s="72" t="s">
        <v>17</v>
      </c>
      <c r="N644" t="str">
        <f>VLOOKUP(M644,LUTs!E$2:H$14,3,)</f>
        <v>04Island</v>
      </c>
      <c r="O644" t="str">
        <f>VLOOKUP(M644,LUTs!E$2:H$14,4,)</f>
        <v>01North Puget Sound</v>
      </c>
      <c r="P644" s="80">
        <v>22</v>
      </c>
      <c r="Q644" s="102">
        <v>22</v>
      </c>
      <c r="R644" s="74">
        <f>VLOOKUP(B644,Readme!A$40:C$52,3,)*Q644</f>
        <v>187.88</v>
      </c>
    </row>
    <row r="645" spans="1:18" ht="12" customHeight="1" x14ac:dyDescent="0.35">
      <c r="A645" s="75">
        <v>469</v>
      </c>
      <c r="B645" s="80">
        <v>2012</v>
      </c>
      <c r="C645" s="80">
        <v>1</v>
      </c>
      <c r="D645" s="80">
        <f t="shared" si="38"/>
        <v>2011</v>
      </c>
      <c r="E645" t="s">
        <v>38</v>
      </c>
      <c r="F645" t="s">
        <v>143</v>
      </c>
      <c r="G645" t="s">
        <v>86</v>
      </c>
      <c r="H645" s="72" t="s">
        <v>215</v>
      </c>
      <c r="I645" s="72" t="s">
        <v>57</v>
      </c>
      <c r="J645" t="str">
        <f t="shared" si="37"/>
        <v>Baker River</v>
      </c>
      <c r="K645" t="str">
        <f>IFERROR(VLOOKUP(J645,LUTs!$A$1:$C$73,2,FALSE),"NA")</f>
        <v>Skagit/Whatcom</v>
      </c>
      <c r="L645" t="str">
        <f>IFERROR(VLOOKUP(J645,LUTs!$A$1:$C$73,3,FALSE),"NA")</f>
        <v>1North Puget Sound</v>
      </c>
      <c r="M645" s="72" t="s">
        <v>26</v>
      </c>
      <c r="N645" t="str">
        <f>VLOOKUP(M645,LUTs!E$2:H$14,3,)</f>
        <v>20Other</v>
      </c>
      <c r="O645" t="str">
        <f>VLOOKUP(M645,LUTs!E$2:H$14,4,)</f>
        <v>07Non Puget Sound</v>
      </c>
      <c r="P645" s="80">
        <v>6</v>
      </c>
      <c r="Q645" s="102">
        <v>6</v>
      </c>
      <c r="R645" s="74">
        <f>VLOOKUP(B645,Readme!A$40:C$52,3,)*Q645</f>
        <v>51.239999999999995</v>
      </c>
    </row>
    <row r="646" spans="1:18" ht="12" customHeight="1" x14ac:dyDescent="0.35">
      <c r="A646" s="75">
        <v>488</v>
      </c>
      <c r="B646" s="80">
        <v>2012</v>
      </c>
      <c r="C646" s="80">
        <v>1</v>
      </c>
      <c r="D646" s="80">
        <f t="shared" si="38"/>
        <v>2011</v>
      </c>
      <c r="E646" t="s">
        <v>38</v>
      </c>
      <c r="F646" t="s">
        <v>143</v>
      </c>
      <c r="G646" t="s">
        <v>86</v>
      </c>
      <c r="H646" s="72" t="s">
        <v>217</v>
      </c>
      <c r="I646" s="72" t="s">
        <v>59</v>
      </c>
      <c r="J646" t="str">
        <f t="shared" si="37"/>
        <v>Cascade River</v>
      </c>
      <c r="K646" t="str">
        <f>IFERROR(VLOOKUP(J646,LUTs!$A$1:$C$73,2,FALSE),"NA")</f>
        <v>Skagit</v>
      </c>
      <c r="L646" t="str">
        <f>IFERROR(VLOOKUP(J646,LUTs!$A$1:$C$73,3,FALSE),"NA")</f>
        <v>1North Puget Sound</v>
      </c>
      <c r="M646" s="72" t="s">
        <v>17</v>
      </c>
      <c r="N646" t="str">
        <f>VLOOKUP(M646,LUTs!E$2:H$14,3,)</f>
        <v>04Island</v>
      </c>
      <c r="O646" t="str">
        <f>VLOOKUP(M646,LUTs!E$2:H$14,4,)</f>
        <v>01North Puget Sound</v>
      </c>
      <c r="P646" s="80">
        <v>14.8039215686275</v>
      </c>
      <c r="Q646" s="102">
        <v>14.8039215686275</v>
      </c>
      <c r="R646" s="74">
        <f>VLOOKUP(B646,Readme!A$40:C$52,3,)*Q646</f>
        <v>126.42549019607884</v>
      </c>
    </row>
    <row r="647" spans="1:18" ht="12" customHeight="1" x14ac:dyDescent="0.35">
      <c r="A647" s="75">
        <v>489</v>
      </c>
      <c r="B647" s="80">
        <v>2012</v>
      </c>
      <c r="C647" s="80">
        <v>1</v>
      </c>
      <c r="D647" s="80">
        <f t="shared" si="38"/>
        <v>2011</v>
      </c>
      <c r="E647" t="s">
        <v>38</v>
      </c>
      <c r="F647" t="s">
        <v>143</v>
      </c>
      <c r="G647" t="s">
        <v>86</v>
      </c>
      <c r="H647" s="72" t="s">
        <v>217</v>
      </c>
      <c r="I647" s="72" t="s">
        <v>59</v>
      </c>
      <c r="J647" t="str">
        <f t="shared" si="37"/>
        <v>Cascade River</v>
      </c>
      <c r="K647" t="str">
        <f>IFERROR(VLOOKUP(J647,LUTs!$A$1:$C$73,2,FALSE),"NA")</f>
        <v>Skagit</v>
      </c>
      <c r="L647" t="str">
        <f>IFERROR(VLOOKUP(J647,LUTs!$A$1:$C$73,3,FALSE),"NA")</f>
        <v>1North Puget Sound</v>
      </c>
      <c r="M647" s="72" t="s">
        <v>18</v>
      </c>
      <c r="N647" t="str">
        <f>VLOOKUP(M647,LUTs!E$2:H$14,3,)</f>
        <v>06King</v>
      </c>
      <c r="O647" t="str">
        <f>VLOOKUP(M647,LUTs!E$2:H$14,4,)</f>
        <v>02South Puget Sound</v>
      </c>
      <c r="P647" s="80">
        <v>2.9607843137254899</v>
      </c>
      <c r="Q647" s="102">
        <v>2.9607843137254899</v>
      </c>
      <c r="R647" s="74">
        <f>VLOOKUP(B647,Readme!A$40:C$52,3,)*Q647</f>
        <v>25.285098039215683</v>
      </c>
    </row>
    <row r="648" spans="1:18" ht="12" customHeight="1" x14ac:dyDescent="0.35">
      <c r="A648" s="75">
        <v>490</v>
      </c>
      <c r="B648" s="80">
        <v>2012</v>
      </c>
      <c r="C648" s="80">
        <v>1</v>
      </c>
      <c r="D648" s="80">
        <f t="shared" si="38"/>
        <v>2011</v>
      </c>
      <c r="E648" t="s">
        <v>38</v>
      </c>
      <c r="F648" t="s">
        <v>143</v>
      </c>
      <c r="G648" t="s">
        <v>86</v>
      </c>
      <c r="H648" s="72" t="s">
        <v>217</v>
      </c>
      <c r="I648" s="72" t="s">
        <v>59</v>
      </c>
      <c r="J648" t="str">
        <f t="shared" si="37"/>
        <v>Cascade River</v>
      </c>
      <c r="K648" t="str">
        <f>IFERROR(VLOOKUP(J648,LUTs!$A$1:$C$73,2,FALSE),"NA")</f>
        <v>Skagit</v>
      </c>
      <c r="L648" t="str">
        <f>IFERROR(VLOOKUP(J648,LUTs!$A$1:$C$73,3,FALSE),"NA")</f>
        <v>1North Puget Sound</v>
      </c>
      <c r="M648" s="72" t="s">
        <v>23</v>
      </c>
      <c r="N648" t="str">
        <f>VLOOKUP(M648,LUTs!E$2:H$14,3,)</f>
        <v>10Kitsap</v>
      </c>
      <c r="O648" t="str">
        <f>VLOOKUP(M648,LUTs!E$2:H$14,4,)</f>
        <v>02South Puget Sound</v>
      </c>
      <c r="P648" s="80">
        <v>5.9215686274509798</v>
      </c>
      <c r="Q648" s="102">
        <v>5.9215686274509798</v>
      </c>
      <c r="R648" s="74">
        <f>VLOOKUP(B648,Readme!A$40:C$52,3,)*Q648</f>
        <v>50.570196078431366</v>
      </c>
    </row>
    <row r="649" spans="1:18" ht="12" customHeight="1" x14ac:dyDescent="0.35">
      <c r="A649" s="75">
        <v>491</v>
      </c>
      <c r="B649" s="80">
        <v>2012</v>
      </c>
      <c r="C649" s="80">
        <v>1</v>
      </c>
      <c r="D649" s="80">
        <f t="shared" si="38"/>
        <v>2011</v>
      </c>
      <c r="E649" t="s">
        <v>38</v>
      </c>
      <c r="F649" t="s">
        <v>143</v>
      </c>
      <c r="G649" t="s">
        <v>86</v>
      </c>
      <c r="H649" s="72" t="s">
        <v>217</v>
      </c>
      <c r="I649" s="72" t="s">
        <v>59</v>
      </c>
      <c r="J649" t="str">
        <f t="shared" si="37"/>
        <v>Cascade River</v>
      </c>
      <c r="K649" t="str">
        <f>IFERROR(VLOOKUP(J649,LUTs!$A$1:$C$73,2,FALSE),"NA")</f>
        <v>Skagit</v>
      </c>
      <c r="L649" t="str">
        <f>IFERROR(VLOOKUP(J649,LUTs!$A$1:$C$73,3,FALSE),"NA")</f>
        <v>1North Puget Sound</v>
      </c>
      <c r="M649" s="72" t="s">
        <v>26</v>
      </c>
      <c r="N649" t="str">
        <f>VLOOKUP(M649,LUTs!E$2:H$14,3,)</f>
        <v>20Other</v>
      </c>
      <c r="O649" t="str">
        <f>VLOOKUP(M649,LUTs!E$2:H$14,4,)</f>
        <v>07Non Puget Sound</v>
      </c>
      <c r="P649" s="80">
        <v>8.8823529411764692</v>
      </c>
      <c r="Q649" s="102">
        <v>8.8823529411764692</v>
      </c>
      <c r="R649" s="74">
        <f>VLOOKUP(B649,Readme!A$40:C$52,3,)*Q649</f>
        <v>75.855294117647034</v>
      </c>
    </row>
    <row r="650" spans="1:18" ht="12" customHeight="1" x14ac:dyDescent="0.35">
      <c r="A650" s="75">
        <v>492</v>
      </c>
      <c r="B650" s="80">
        <v>2012</v>
      </c>
      <c r="C650" s="80">
        <v>1</v>
      </c>
      <c r="D650" s="80">
        <f t="shared" si="38"/>
        <v>2011</v>
      </c>
      <c r="E650" t="s">
        <v>38</v>
      </c>
      <c r="F650" t="s">
        <v>143</v>
      </c>
      <c r="G650" t="s">
        <v>86</v>
      </c>
      <c r="H650" s="72" t="s">
        <v>217</v>
      </c>
      <c r="I650" s="72" t="s">
        <v>59</v>
      </c>
      <c r="J650" t="str">
        <f t="shared" si="37"/>
        <v>Cascade River</v>
      </c>
      <c r="K650" t="str">
        <f>IFERROR(VLOOKUP(J650,LUTs!$A$1:$C$73,2,FALSE),"NA")</f>
        <v>Skagit</v>
      </c>
      <c r="L650" t="str">
        <f>IFERROR(VLOOKUP(J650,LUTs!$A$1:$C$73,3,FALSE),"NA")</f>
        <v>1North Puget Sound</v>
      </c>
      <c r="M650" s="72" t="s">
        <v>15</v>
      </c>
      <c r="N650" t="str">
        <f>VLOOKUP(M650,LUTs!E$2:H$14,3,)</f>
        <v>02Skagit</v>
      </c>
      <c r="O650" t="str">
        <f>VLOOKUP(M650,LUTs!E$2:H$14,4,)</f>
        <v>01North Puget Sound</v>
      </c>
      <c r="P650" s="80">
        <v>171.725490196078</v>
      </c>
      <c r="Q650" s="102">
        <v>171.725490196078</v>
      </c>
      <c r="R650" s="74">
        <f>VLOOKUP(B650,Readme!A$40:C$52,3,)*Q650</f>
        <v>1466.5356862745059</v>
      </c>
    </row>
    <row r="651" spans="1:18" ht="12" customHeight="1" x14ac:dyDescent="0.35">
      <c r="A651" s="75">
        <v>493</v>
      </c>
      <c r="B651" s="80">
        <v>2012</v>
      </c>
      <c r="C651" s="80">
        <v>1</v>
      </c>
      <c r="D651" s="80">
        <f t="shared" si="38"/>
        <v>2011</v>
      </c>
      <c r="E651" t="s">
        <v>38</v>
      </c>
      <c r="F651" t="s">
        <v>143</v>
      </c>
      <c r="G651" t="s">
        <v>86</v>
      </c>
      <c r="H651" s="72" t="s">
        <v>217</v>
      </c>
      <c r="I651" s="72" t="s">
        <v>59</v>
      </c>
      <c r="J651" t="str">
        <f t="shared" si="37"/>
        <v>Cascade River</v>
      </c>
      <c r="K651" t="str">
        <f>IFERROR(VLOOKUP(J651,LUTs!$A$1:$C$73,2,FALSE),"NA")</f>
        <v>Skagit</v>
      </c>
      <c r="L651" t="str">
        <f>IFERROR(VLOOKUP(J651,LUTs!$A$1:$C$73,3,FALSE),"NA")</f>
        <v>1North Puget Sound</v>
      </c>
      <c r="M651" s="72" t="s">
        <v>16</v>
      </c>
      <c r="N651" t="str">
        <f>VLOOKUP(M651,LUTs!E$2:H$14,3,)</f>
        <v>03Snohomish</v>
      </c>
      <c r="O651" t="str">
        <f>VLOOKUP(M651,LUTs!E$2:H$14,4,)</f>
        <v>01North Puget Sound</v>
      </c>
      <c r="P651" s="80">
        <v>41.4509803921569</v>
      </c>
      <c r="Q651" s="102">
        <v>41.4509803921569</v>
      </c>
      <c r="R651" s="74">
        <f>VLOOKUP(B651,Readme!A$40:C$52,3,)*Q651</f>
        <v>353.9913725490199</v>
      </c>
    </row>
    <row r="652" spans="1:18" ht="12" customHeight="1" x14ac:dyDescent="0.35">
      <c r="A652" s="75">
        <v>494</v>
      </c>
      <c r="B652" s="80">
        <v>2012</v>
      </c>
      <c r="C652" s="80">
        <v>1</v>
      </c>
      <c r="D652" s="80">
        <f t="shared" si="38"/>
        <v>2011</v>
      </c>
      <c r="E652" t="s">
        <v>38</v>
      </c>
      <c r="F652" t="s">
        <v>143</v>
      </c>
      <c r="G652" t="s">
        <v>86</v>
      </c>
      <c r="H652" s="72" t="s">
        <v>217</v>
      </c>
      <c r="I652" s="72" t="s">
        <v>59</v>
      </c>
      <c r="J652" t="str">
        <f t="shared" si="37"/>
        <v>Cascade River</v>
      </c>
      <c r="K652" t="str">
        <f>IFERROR(VLOOKUP(J652,LUTs!$A$1:$C$73,2,FALSE),"NA")</f>
        <v>Skagit</v>
      </c>
      <c r="L652" t="str">
        <f>IFERROR(VLOOKUP(J652,LUTs!$A$1:$C$73,3,FALSE),"NA")</f>
        <v>1North Puget Sound</v>
      </c>
      <c r="M652" s="72" t="s">
        <v>13</v>
      </c>
      <c r="N652" t="str">
        <f>VLOOKUP(M652,LUTs!E$2:H$14,3,)</f>
        <v>01Whatcom</v>
      </c>
      <c r="O652" t="str">
        <f>VLOOKUP(M652,LUTs!E$2:H$14,4,)</f>
        <v>01North Puget Sound</v>
      </c>
      <c r="P652" s="80">
        <v>56.254901960784302</v>
      </c>
      <c r="Q652" s="102">
        <v>56.254901960784302</v>
      </c>
      <c r="R652" s="74">
        <f>VLOOKUP(B652,Readme!A$40:C$52,3,)*Q652</f>
        <v>480.41686274509789</v>
      </c>
    </row>
    <row r="653" spans="1:18" ht="12" customHeight="1" x14ac:dyDescent="0.35">
      <c r="A653" s="75">
        <v>349</v>
      </c>
      <c r="B653" s="80">
        <v>2012</v>
      </c>
      <c r="C653" s="80">
        <v>1</v>
      </c>
      <c r="D653" s="80">
        <f t="shared" si="38"/>
        <v>2011</v>
      </c>
      <c r="E653" t="s">
        <v>38</v>
      </c>
      <c r="F653" t="s">
        <v>143</v>
      </c>
      <c r="G653" t="s">
        <v>86</v>
      </c>
      <c r="H653" s="72" t="s">
        <v>234</v>
      </c>
      <c r="I653" s="72" t="s">
        <v>87</v>
      </c>
      <c r="J653" t="str">
        <f t="shared" si="37"/>
        <v>Clallam River</v>
      </c>
      <c r="K653" t="str">
        <f>IFERROR(VLOOKUP(J653,LUTs!$A$1:$C$73,2,FALSE),"NA")</f>
        <v>Clallam</v>
      </c>
      <c r="L653" t="str">
        <f>IFERROR(VLOOKUP(J653,LUTs!$A$1:$C$73,3,FALSE),"NA")</f>
        <v>0Strait of Juan de Fuca</v>
      </c>
      <c r="M653" s="72" t="s">
        <v>24</v>
      </c>
      <c r="N653" t="str">
        <f>VLOOKUP(M653,LUTs!E$2:H$14,3,)</f>
        <v>11Clallam</v>
      </c>
      <c r="O653" t="str">
        <f>VLOOKUP(M653,LUTs!E$2:H$14,4,)</f>
        <v>03Strait of Juan de Fuca</v>
      </c>
      <c r="P653" s="80">
        <v>7</v>
      </c>
      <c r="Q653" s="102">
        <v>7</v>
      </c>
      <c r="R653" s="74">
        <f>VLOOKUP(B653,Readme!A$40:C$52,3,)*Q653</f>
        <v>59.779999999999994</v>
      </c>
    </row>
    <row r="654" spans="1:18" ht="12" customHeight="1" x14ac:dyDescent="0.35">
      <c r="A654" s="75">
        <v>355</v>
      </c>
      <c r="B654" s="80">
        <v>2012</v>
      </c>
      <c r="C654" s="80">
        <v>1</v>
      </c>
      <c r="D654" s="80">
        <f t="shared" si="38"/>
        <v>2011</v>
      </c>
      <c r="E654" t="s">
        <v>38</v>
      </c>
      <c r="F654" t="s">
        <v>143</v>
      </c>
      <c r="G654" t="s">
        <v>86</v>
      </c>
      <c r="H654" s="72" t="s">
        <v>201</v>
      </c>
      <c r="I654" s="72" t="s">
        <v>43</v>
      </c>
      <c r="J654" t="str">
        <f t="shared" si="37"/>
        <v>Dungeness River</v>
      </c>
      <c r="K654" t="str">
        <f>IFERROR(VLOOKUP(J654,LUTs!$A$1:$C$73,2,FALSE),"NA")</f>
        <v>Clallam</v>
      </c>
      <c r="L654" t="str">
        <f>IFERROR(VLOOKUP(J654,LUTs!$A$1:$C$73,3,FALSE),"NA")</f>
        <v>0Strait of Juan de Fuca</v>
      </c>
      <c r="M654" s="72" t="s">
        <v>24</v>
      </c>
      <c r="N654" t="str">
        <f>VLOOKUP(M654,LUTs!E$2:H$14,3,)</f>
        <v>11Clallam</v>
      </c>
      <c r="O654" t="str">
        <f>VLOOKUP(M654,LUTs!E$2:H$14,4,)</f>
        <v>03Strait of Juan de Fuca</v>
      </c>
      <c r="P654" s="80">
        <v>18</v>
      </c>
      <c r="Q654" s="102">
        <v>18</v>
      </c>
      <c r="R654" s="74">
        <f>VLOOKUP(B654,Readme!A$40:C$52,3,)*Q654</f>
        <v>153.71999999999997</v>
      </c>
    </row>
    <row r="655" spans="1:18" ht="12" customHeight="1" x14ac:dyDescent="0.35">
      <c r="A655" s="75">
        <v>378</v>
      </c>
      <c r="B655" s="80">
        <v>2012</v>
      </c>
      <c r="C655" s="80">
        <v>1</v>
      </c>
      <c r="D655" s="80">
        <f t="shared" si="38"/>
        <v>2011</v>
      </c>
      <c r="E655" t="s">
        <v>38</v>
      </c>
      <c r="F655" t="s">
        <v>143</v>
      </c>
      <c r="G655" t="s">
        <v>86</v>
      </c>
      <c r="H655" s="72" t="s">
        <v>203</v>
      </c>
      <c r="I655" s="72" t="s">
        <v>89</v>
      </c>
      <c r="J655" s="84" t="s">
        <v>45</v>
      </c>
      <c r="K655" t="str">
        <f>IFERROR(VLOOKUP(J655,LUTs!$A$1:$C$73,2,FALSE),"NA")</f>
        <v>King</v>
      </c>
      <c r="L655" t="str">
        <f>IFERROR(VLOOKUP(J655,LUTs!$A$1:$C$73,3,FALSE),"NA")</f>
        <v>3South Puget Sound</v>
      </c>
      <c r="M655" s="72" t="s">
        <v>18</v>
      </c>
      <c r="N655" t="str">
        <f>VLOOKUP(M655,LUTs!E$2:H$14,3,)</f>
        <v>06King</v>
      </c>
      <c r="O655" t="str">
        <f>VLOOKUP(M655,LUTs!E$2:H$14,4,)</f>
        <v>02South Puget Sound</v>
      </c>
      <c r="P655" s="80">
        <v>28.5</v>
      </c>
      <c r="Q655" s="102">
        <v>28.5</v>
      </c>
      <c r="R655" s="74">
        <f>VLOOKUP(B655,Readme!A$40:C$52,3,)*Q655</f>
        <v>243.39</v>
      </c>
    </row>
    <row r="656" spans="1:18" ht="12" customHeight="1" x14ac:dyDescent="0.35">
      <c r="A656" s="75">
        <v>379</v>
      </c>
      <c r="B656" s="80">
        <v>2012</v>
      </c>
      <c r="C656" s="80">
        <v>1</v>
      </c>
      <c r="D656" s="80">
        <f t="shared" si="38"/>
        <v>2011</v>
      </c>
      <c r="E656" t="s">
        <v>38</v>
      </c>
      <c r="F656" t="s">
        <v>143</v>
      </c>
      <c r="G656" t="s">
        <v>86</v>
      </c>
      <c r="H656" s="72" t="s">
        <v>203</v>
      </c>
      <c r="I656" s="72" t="s">
        <v>89</v>
      </c>
      <c r="J656" s="84" t="s">
        <v>45</v>
      </c>
      <c r="K656" t="str">
        <f>IFERROR(VLOOKUP(J656,LUTs!$A$1:$C$73,2,FALSE),"NA")</f>
        <v>King</v>
      </c>
      <c r="L656" t="str">
        <f>IFERROR(VLOOKUP(J656,LUTs!$A$1:$C$73,3,FALSE),"NA")</f>
        <v>3South Puget Sound</v>
      </c>
      <c r="M656" s="72" t="s">
        <v>20</v>
      </c>
      <c r="N656" t="str">
        <f>VLOOKUP(M656,LUTs!E$2:H$14,3,)</f>
        <v>07Pierce</v>
      </c>
      <c r="O656" t="str">
        <f>VLOOKUP(M656,LUTs!E$2:H$14,4,)</f>
        <v>02South Puget Sound</v>
      </c>
      <c r="P656" s="80">
        <v>9.5</v>
      </c>
      <c r="Q656" s="102">
        <v>9.5</v>
      </c>
      <c r="R656" s="74">
        <f>VLOOKUP(B656,Readme!A$40:C$52,3,)*Q656</f>
        <v>81.13</v>
      </c>
    </row>
    <row r="657" spans="1:18" ht="12" customHeight="1" x14ac:dyDescent="0.35">
      <c r="A657" s="75">
        <v>387</v>
      </c>
      <c r="B657" s="80">
        <v>2012</v>
      </c>
      <c r="C657" s="80">
        <v>1</v>
      </c>
      <c r="D657" s="80">
        <f t="shared" si="38"/>
        <v>2011</v>
      </c>
      <c r="E657" t="s">
        <v>38</v>
      </c>
      <c r="F657" t="s">
        <v>143</v>
      </c>
      <c r="G657" t="s">
        <v>86</v>
      </c>
      <c r="H657" s="72" t="s">
        <v>204</v>
      </c>
      <c r="I657" s="72" t="s">
        <v>46</v>
      </c>
      <c r="J657" t="str">
        <f t="shared" ref="J657:J688" si="39">I657</f>
        <v>Hoko River</v>
      </c>
      <c r="K657" t="str">
        <f>IFERROR(VLOOKUP(J657,LUTs!$A$1:$C$73,2,FALSE),"NA")</f>
        <v>Clallam</v>
      </c>
      <c r="L657" t="str">
        <f>IFERROR(VLOOKUP(J657,LUTs!$A$1:$C$73,3,FALSE),"NA")</f>
        <v>0Strait of Juan de Fuca</v>
      </c>
      <c r="M657" s="72" t="s">
        <v>24</v>
      </c>
      <c r="N657" t="str">
        <f>VLOOKUP(M657,LUTs!E$2:H$14,3,)</f>
        <v>11Clallam</v>
      </c>
      <c r="O657" t="str">
        <f>VLOOKUP(M657,LUTs!E$2:H$14,4,)</f>
        <v>03Strait of Juan de Fuca</v>
      </c>
      <c r="P657" s="80">
        <v>6.75</v>
      </c>
      <c r="Q657" s="102">
        <v>6.75</v>
      </c>
      <c r="R657" s="74">
        <f>VLOOKUP(B657,Readme!A$40:C$52,3,)*Q657</f>
        <v>57.644999999999996</v>
      </c>
    </row>
    <row r="658" spans="1:18" ht="12" customHeight="1" x14ac:dyDescent="0.35">
      <c r="A658" s="75">
        <v>388</v>
      </c>
      <c r="B658" s="80">
        <v>2012</v>
      </c>
      <c r="C658" s="80">
        <v>1</v>
      </c>
      <c r="D658" s="80">
        <f t="shared" si="38"/>
        <v>2011</v>
      </c>
      <c r="E658" t="s">
        <v>38</v>
      </c>
      <c r="F658" t="s">
        <v>143</v>
      </c>
      <c r="G658" t="s">
        <v>86</v>
      </c>
      <c r="H658" s="72" t="s">
        <v>204</v>
      </c>
      <c r="I658" s="72" t="s">
        <v>46</v>
      </c>
      <c r="J658" t="str">
        <f t="shared" si="39"/>
        <v>Hoko River</v>
      </c>
      <c r="K658" t="str">
        <f>IFERROR(VLOOKUP(J658,LUTs!$A$1:$C$73,2,FALSE),"NA")</f>
        <v>Clallam</v>
      </c>
      <c r="L658" t="str">
        <f>IFERROR(VLOOKUP(J658,LUTs!$A$1:$C$73,3,FALSE),"NA")</f>
        <v>0Strait of Juan de Fuca</v>
      </c>
      <c r="M658" s="72" t="s">
        <v>18</v>
      </c>
      <c r="N658" t="str">
        <f>VLOOKUP(M658,LUTs!E$2:H$14,3,)</f>
        <v>06King</v>
      </c>
      <c r="O658" t="str">
        <f>VLOOKUP(M658,LUTs!E$2:H$14,4,)</f>
        <v>02South Puget Sound</v>
      </c>
      <c r="P658" s="80">
        <v>2.25</v>
      </c>
      <c r="Q658" s="102">
        <v>2.25</v>
      </c>
      <c r="R658" s="74">
        <f>VLOOKUP(B658,Readme!A$40:C$52,3,)*Q658</f>
        <v>19.214999999999996</v>
      </c>
    </row>
    <row r="659" spans="1:18" ht="12" customHeight="1" x14ac:dyDescent="0.35">
      <c r="A659" s="75">
        <v>389</v>
      </c>
      <c r="B659" s="80">
        <v>2012</v>
      </c>
      <c r="C659" s="80">
        <v>1</v>
      </c>
      <c r="D659" s="80">
        <f t="shared" si="38"/>
        <v>2011</v>
      </c>
      <c r="E659" t="s">
        <v>38</v>
      </c>
      <c r="F659" t="s">
        <v>143</v>
      </c>
      <c r="G659" t="s">
        <v>86</v>
      </c>
      <c r="H659" s="72" t="s">
        <v>204</v>
      </c>
      <c r="I659" s="72" t="s">
        <v>46</v>
      </c>
      <c r="J659" t="str">
        <f t="shared" si="39"/>
        <v>Hoko River</v>
      </c>
      <c r="K659" t="str">
        <f>IFERROR(VLOOKUP(J659,LUTs!$A$1:$C$73,2,FALSE),"NA")</f>
        <v>Clallam</v>
      </c>
      <c r="L659" t="str">
        <f>IFERROR(VLOOKUP(J659,LUTs!$A$1:$C$73,3,FALSE),"NA")</f>
        <v>0Strait of Juan de Fuca</v>
      </c>
      <c r="M659" s="72" t="s">
        <v>23</v>
      </c>
      <c r="N659" t="str">
        <f>VLOOKUP(M659,LUTs!E$2:H$14,3,)</f>
        <v>10Kitsap</v>
      </c>
      <c r="O659" t="str">
        <f>VLOOKUP(M659,LUTs!E$2:H$14,4,)</f>
        <v>02South Puget Sound</v>
      </c>
      <c r="P659" s="80">
        <v>11.25</v>
      </c>
      <c r="Q659" s="102">
        <v>11.25</v>
      </c>
      <c r="R659" s="74">
        <f>VLOOKUP(B659,Readme!A$40:C$52,3,)*Q659</f>
        <v>96.074999999999989</v>
      </c>
    </row>
    <row r="660" spans="1:18" ht="12" customHeight="1" x14ac:dyDescent="0.35">
      <c r="A660" s="75">
        <v>390</v>
      </c>
      <c r="B660" s="80">
        <v>2012</v>
      </c>
      <c r="C660" s="80">
        <v>1</v>
      </c>
      <c r="D660" s="80">
        <f t="shared" si="38"/>
        <v>2011</v>
      </c>
      <c r="E660" t="s">
        <v>38</v>
      </c>
      <c r="F660" t="s">
        <v>143</v>
      </c>
      <c r="G660" t="s">
        <v>86</v>
      </c>
      <c r="H660" s="72" t="s">
        <v>204</v>
      </c>
      <c r="I660" s="72" t="s">
        <v>46</v>
      </c>
      <c r="J660" t="str">
        <f t="shared" si="39"/>
        <v>Hoko River</v>
      </c>
      <c r="K660" t="str">
        <f>IFERROR(VLOOKUP(J660,LUTs!$A$1:$C$73,2,FALSE),"NA")</f>
        <v>Clallam</v>
      </c>
      <c r="L660" t="str">
        <f>IFERROR(VLOOKUP(J660,LUTs!$A$1:$C$73,3,FALSE),"NA")</f>
        <v>0Strait of Juan de Fuca</v>
      </c>
      <c r="M660" s="72" t="s">
        <v>20</v>
      </c>
      <c r="N660" t="str">
        <f>VLOOKUP(M660,LUTs!E$2:H$14,3,)</f>
        <v>07Pierce</v>
      </c>
      <c r="O660" t="str">
        <f>VLOOKUP(M660,LUTs!E$2:H$14,4,)</f>
        <v>02South Puget Sound</v>
      </c>
      <c r="P660" s="80">
        <v>4.5</v>
      </c>
      <c r="Q660" s="102">
        <v>4.5</v>
      </c>
      <c r="R660" s="74">
        <f>VLOOKUP(B660,Readme!A$40:C$52,3,)*Q660</f>
        <v>38.429999999999993</v>
      </c>
    </row>
    <row r="661" spans="1:18" ht="12" customHeight="1" x14ac:dyDescent="0.35">
      <c r="A661" s="75">
        <v>391</v>
      </c>
      <c r="B661" s="80">
        <v>2012</v>
      </c>
      <c r="C661" s="80">
        <v>1</v>
      </c>
      <c r="D661" s="80">
        <f t="shared" si="38"/>
        <v>2011</v>
      </c>
      <c r="E661" t="s">
        <v>38</v>
      </c>
      <c r="F661" t="s">
        <v>143</v>
      </c>
      <c r="G661" t="s">
        <v>86</v>
      </c>
      <c r="H661" s="72" t="s">
        <v>204</v>
      </c>
      <c r="I661" s="72" t="s">
        <v>46</v>
      </c>
      <c r="J661" t="str">
        <f t="shared" si="39"/>
        <v>Hoko River</v>
      </c>
      <c r="K661" t="str">
        <f>IFERROR(VLOOKUP(J661,LUTs!$A$1:$C$73,2,FALSE),"NA")</f>
        <v>Clallam</v>
      </c>
      <c r="L661" t="str">
        <f>IFERROR(VLOOKUP(J661,LUTs!$A$1:$C$73,3,FALSE),"NA")</f>
        <v>0Strait of Juan de Fuca</v>
      </c>
      <c r="M661" s="72" t="s">
        <v>16</v>
      </c>
      <c r="N661" t="str">
        <f>VLOOKUP(M661,LUTs!E$2:H$14,3,)</f>
        <v>03Snohomish</v>
      </c>
      <c r="O661" t="str">
        <f>VLOOKUP(M661,LUTs!E$2:H$14,4,)</f>
        <v>01North Puget Sound</v>
      </c>
      <c r="P661" s="80">
        <v>2.25</v>
      </c>
      <c r="Q661" s="102">
        <v>2.25</v>
      </c>
      <c r="R661" s="74">
        <f>VLOOKUP(B661,Readme!A$40:C$52,3,)*Q661</f>
        <v>19.214999999999996</v>
      </c>
    </row>
    <row r="662" spans="1:18" ht="12" customHeight="1" x14ac:dyDescent="0.35">
      <c r="A662" s="75">
        <v>415</v>
      </c>
      <c r="B662" s="80">
        <v>2012</v>
      </c>
      <c r="C662" s="80">
        <v>1</v>
      </c>
      <c r="D662" s="80">
        <f t="shared" si="38"/>
        <v>2011</v>
      </c>
      <c r="E662" t="s">
        <v>38</v>
      </c>
      <c r="F662" t="s">
        <v>143</v>
      </c>
      <c r="G662" t="s">
        <v>86</v>
      </c>
      <c r="H662" s="72" t="s">
        <v>237</v>
      </c>
      <c r="I662" s="72" t="s">
        <v>79</v>
      </c>
      <c r="J662" t="str">
        <f t="shared" si="39"/>
        <v>Lyre River</v>
      </c>
      <c r="K662" t="str">
        <f>IFERROR(VLOOKUP(J662,LUTs!$A$1:$C$73,2,FALSE),"NA")</f>
        <v>Clallam</v>
      </c>
      <c r="L662" t="str">
        <f>IFERROR(VLOOKUP(J662,LUTs!$A$1:$C$73,3,FALSE),"NA")</f>
        <v>0Strait of Juan de Fuca</v>
      </c>
      <c r="M662" s="72" t="s">
        <v>24</v>
      </c>
      <c r="N662" t="str">
        <f>VLOOKUP(M662,LUTs!E$2:H$14,3,)</f>
        <v>11Clallam</v>
      </c>
      <c r="O662" t="str">
        <f>VLOOKUP(M662,LUTs!E$2:H$14,4,)</f>
        <v>03Strait of Juan de Fuca</v>
      </c>
      <c r="P662" s="80">
        <v>15.3333333333333</v>
      </c>
      <c r="Q662" s="102">
        <v>15.3333333333333</v>
      </c>
      <c r="R662" s="74">
        <f>VLOOKUP(B662,Readme!A$40:C$52,3,)*Q662</f>
        <v>130.94666666666637</v>
      </c>
    </row>
    <row r="663" spans="1:18" ht="12" customHeight="1" x14ac:dyDescent="0.35">
      <c r="A663" s="75">
        <v>416</v>
      </c>
      <c r="B663" s="80">
        <v>2012</v>
      </c>
      <c r="C663" s="80">
        <v>1</v>
      </c>
      <c r="D663" s="80">
        <f t="shared" si="38"/>
        <v>2011</v>
      </c>
      <c r="E663" t="s">
        <v>38</v>
      </c>
      <c r="F663" t="s">
        <v>143</v>
      </c>
      <c r="G663" t="s">
        <v>86</v>
      </c>
      <c r="H663" s="72" t="s">
        <v>237</v>
      </c>
      <c r="I663" s="72" t="s">
        <v>79</v>
      </c>
      <c r="J663" t="str">
        <f t="shared" si="39"/>
        <v>Lyre River</v>
      </c>
      <c r="K663" t="str">
        <f>IFERROR(VLOOKUP(J663,LUTs!$A$1:$C$73,2,FALSE),"NA")</f>
        <v>Clallam</v>
      </c>
      <c r="L663" t="str">
        <f>IFERROR(VLOOKUP(J663,LUTs!$A$1:$C$73,3,FALSE),"NA")</f>
        <v>0Strait of Juan de Fuca</v>
      </c>
      <c r="M663" s="72" t="s">
        <v>25</v>
      </c>
      <c r="N663" t="str">
        <f>VLOOKUP(M663,LUTs!E$2:H$14,3,)</f>
        <v>12Jefferson</v>
      </c>
      <c r="O663" t="str">
        <f>VLOOKUP(M663,LUTs!E$2:H$14,4,)</f>
        <v>03Strait of Juan de Fuca</v>
      </c>
      <c r="P663" s="80">
        <v>7.6666666666666696</v>
      </c>
      <c r="Q663" s="102">
        <v>7.6666666666666696</v>
      </c>
      <c r="R663" s="74">
        <f>VLOOKUP(B663,Readme!A$40:C$52,3,)*Q663</f>
        <v>65.473333333333358</v>
      </c>
    </row>
    <row r="664" spans="1:18" ht="12" customHeight="1" x14ac:dyDescent="0.35">
      <c r="A664" s="75">
        <v>421</v>
      </c>
      <c r="B664" s="80">
        <v>2012</v>
      </c>
      <c r="C664" s="80">
        <v>1</v>
      </c>
      <c r="D664" s="80">
        <f t="shared" si="38"/>
        <v>2011</v>
      </c>
      <c r="E664" t="s">
        <v>38</v>
      </c>
      <c r="F664" t="s">
        <v>143</v>
      </c>
      <c r="G664" t="s">
        <v>86</v>
      </c>
      <c r="H664" s="72" t="s">
        <v>238</v>
      </c>
      <c r="I664" s="72" t="s">
        <v>91</v>
      </c>
      <c r="J664" t="str">
        <f t="shared" si="39"/>
        <v>Morse Creek (Clallam Co.)</v>
      </c>
      <c r="K664" t="str">
        <f>IFERROR(VLOOKUP(J664,LUTs!$A$1:$C$73,2,FALSE),"NA")</f>
        <v>Clallam</v>
      </c>
      <c r="L664" t="str">
        <f>IFERROR(VLOOKUP(J664,LUTs!$A$1:$C$73,3,FALSE),"NA")</f>
        <v>0Strait of Juan de Fuca</v>
      </c>
      <c r="M664" s="72" t="s">
        <v>24</v>
      </c>
      <c r="N664" t="str">
        <f>VLOOKUP(M664,LUTs!E$2:H$14,3,)</f>
        <v>11Clallam</v>
      </c>
      <c r="O664" t="str">
        <f>VLOOKUP(M664,LUTs!E$2:H$14,4,)</f>
        <v>03Strait of Juan de Fuca</v>
      </c>
      <c r="P664" s="80">
        <v>9</v>
      </c>
      <c r="Q664" s="102">
        <v>9</v>
      </c>
      <c r="R664" s="74">
        <f>VLOOKUP(B664,Readme!A$40:C$52,3,)*Q664</f>
        <v>76.859999999999985</v>
      </c>
    </row>
    <row r="665" spans="1:18" ht="12" customHeight="1" x14ac:dyDescent="0.35">
      <c r="A665" s="75">
        <v>428</v>
      </c>
      <c r="B665" s="80">
        <v>2012</v>
      </c>
      <c r="C665" s="80">
        <v>1</v>
      </c>
      <c r="D665" s="80">
        <f t="shared" si="38"/>
        <v>2011</v>
      </c>
      <c r="E665" t="s">
        <v>38</v>
      </c>
      <c r="F665" t="s">
        <v>143</v>
      </c>
      <c r="G665" t="s">
        <v>86</v>
      </c>
      <c r="H665" s="72" t="s">
        <v>209</v>
      </c>
      <c r="I665" s="72" t="s">
        <v>51</v>
      </c>
      <c r="J665" t="str">
        <f t="shared" si="39"/>
        <v>Nisqually River</v>
      </c>
      <c r="K665" t="str">
        <f>IFERROR(VLOOKUP(J665,LUTs!$A$1:$C$73,2,FALSE),"NA")</f>
        <v>Thurston/Pierce</v>
      </c>
      <c r="L665" t="str">
        <f>IFERROR(VLOOKUP(J665,LUTs!$A$1:$C$73,3,FALSE),"NA")</f>
        <v>3South Puget Sound</v>
      </c>
      <c r="M665" s="72" t="s">
        <v>21</v>
      </c>
      <c r="N665" t="str">
        <f>VLOOKUP(M665,LUTs!E$2:H$14,3,)</f>
        <v>08Thurston</v>
      </c>
      <c r="O665" t="str">
        <f>VLOOKUP(M665,LUTs!E$2:H$14,4,)</f>
        <v>02South Puget Sound</v>
      </c>
      <c r="P665" s="80">
        <v>0</v>
      </c>
      <c r="Q665" s="102">
        <v>0</v>
      </c>
      <c r="R665" s="74">
        <f>VLOOKUP(B665,Readme!A$40:C$52,3,)*Q665</f>
        <v>0</v>
      </c>
    </row>
    <row r="666" spans="1:18" ht="12" customHeight="1" x14ac:dyDescent="0.35">
      <c r="A666" s="75">
        <v>437</v>
      </c>
      <c r="B666" s="80">
        <v>2012</v>
      </c>
      <c r="C666" s="80">
        <v>1</v>
      </c>
      <c r="D666" s="80">
        <f t="shared" si="38"/>
        <v>2011</v>
      </c>
      <c r="E666" t="s">
        <v>38</v>
      </c>
      <c r="F666" t="s">
        <v>143</v>
      </c>
      <c r="G666" t="s">
        <v>86</v>
      </c>
      <c r="H666" s="72" t="s">
        <v>241</v>
      </c>
      <c r="I666" s="72" t="s">
        <v>83</v>
      </c>
      <c r="J666" t="str">
        <f t="shared" si="39"/>
        <v>Nooksack River, below North Fork</v>
      </c>
      <c r="K666" t="str">
        <f>IFERROR(VLOOKUP(J666,LUTs!$A$1:$C$73,2,FALSE),"NA")</f>
        <v>Whatcom</v>
      </c>
      <c r="L666" t="str">
        <f>IFERROR(VLOOKUP(J666,LUTs!$A$1:$C$73,3,FALSE),"NA")</f>
        <v>1North Puget Sound</v>
      </c>
      <c r="M666" s="72" t="s">
        <v>13</v>
      </c>
      <c r="N666" t="str">
        <f>VLOOKUP(M666,LUTs!E$2:H$14,3,)</f>
        <v>01Whatcom</v>
      </c>
      <c r="O666" t="str">
        <f>VLOOKUP(M666,LUTs!E$2:H$14,4,)</f>
        <v>01North Puget Sound</v>
      </c>
      <c r="P666" s="80">
        <v>14</v>
      </c>
      <c r="Q666" s="102">
        <v>14</v>
      </c>
      <c r="R666" s="74">
        <f>VLOOKUP(B666,Readme!A$40:C$52,3,)*Q666</f>
        <v>119.55999999999999</v>
      </c>
    </row>
    <row r="667" spans="1:18" ht="12" customHeight="1" x14ac:dyDescent="0.35">
      <c r="A667" s="75">
        <v>431</v>
      </c>
      <c r="B667" s="80">
        <v>2012</v>
      </c>
      <c r="C667" s="80">
        <v>1</v>
      </c>
      <c r="D667" s="80">
        <f t="shared" si="38"/>
        <v>2011</v>
      </c>
      <c r="E667" t="s">
        <v>38</v>
      </c>
      <c r="F667" t="s">
        <v>143</v>
      </c>
      <c r="G667" t="s">
        <v>86</v>
      </c>
      <c r="H667" s="72" t="s">
        <v>239</v>
      </c>
      <c r="I667" s="72" t="s">
        <v>92</v>
      </c>
      <c r="J667" t="str">
        <f t="shared" si="39"/>
        <v>Nooksack River, No. Fork</v>
      </c>
      <c r="K667" t="str">
        <f>IFERROR(VLOOKUP(J667,LUTs!$A$1:$C$73,2,FALSE),"NA")</f>
        <v>Whatcom</v>
      </c>
      <c r="L667" t="str">
        <f>IFERROR(VLOOKUP(J667,LUTs!$A$1:$C$73,3,FALSE),"NA")</f>
        <v>1North Puget Sound</v>
      </c>
      <c r="M667" s="72" t="s">
        <v>26</v>
      </c>
      <c r="N667" t="str">
        <f>VLOOKUP(M667,LUTs!E$2:H$14,3,)</f>
        <v>20Other</v>
      </c>
      <c r="O667" t="str">
        <f>VLOOKUP(M667,LUTs!E$2:H$14,4,)</f>
        <v>07Non Puget Sound</v>
      </c>
      <c r="P667" s="80">
        <v>4.44444444444445</v>
      </c>
      <c r="Q667" s="102">
        <v>4.44444444444445</v>
      </c>
      <c r="R667" s="74">
        <f>VLOOKUP(B667,Readme!A$40:C$52,3,)*Q667</f>
        <v>37.955555555555598</v>
      </c>
    </row>
    <row r="668" spans="1:18" ht="12" customHeight="1" x14ac:dyDescent="0.35">
      <c r="A668" s="75">
        <v>432</v>
      </c>
      <c r="B668" s="80">
        <v>2012</v>
      </c>
      <c r="C668" s="80">
        <v>1</v>
      </c>
      <c r="D668" s="80">
        <f t="shared" si="38"/>
        <v>2011</v>
      </c>
      <c r="E668" t="s">
        <v>38</v>
      </c>
      <c r="F668" t="s">
        <v>143</v>
      </c>
      <c r="G668" t="s">
        <v>86</v>
      </c>
      <c r="H668" s="72" t="s">
        <v>239</v>
      </c>
      <c r="I668" s="72" t="s">
        <v>92</v>
      </c>
      <c r="J668" t="str">
        <f t="shared" si="39"/>
        <v>Nooksack River, No. Fork</v>
      </c>
      <c r="K668" t="str">
        <f>IFERROR(VLOOKUP(J668,LUTs!$A$1:$C$73,2,FALSE),"NA")</f>
        <v>Whatcom</v>
      </c>
      <c r="L668" t="str">
        <f>IFERROR(VLOOKUP(J668,LUTs!$A$1:$C$73,3,FALSE),"NA")</f>
        <v>1North Puget Sound</v>
      </c>
      <c r="M668" s="72" t="s">
        <v>13</v>
      </c>
      <c r="N668" t="str">
        <f>VLOOKUP(M668,LUTs!E$2:H$14,3,)</f>
        <v>01Whatcom</v>
      </c>
      <c r="O668" t="str">
        <f>VLOOKUP(M668,LUTs!E$2:H$14,4,)</f>
        <v>01North Puget Sound</v>
      </c>
      <c r="P668" s="80">
        <v>15.5555555555556</v>
      </c>
      <c r="Q668" s="102">
        <v>15.5555555555556</v>
      </c>
      <c r="R668" s="74">
        <f>VLOOKUP(B668,Readme!A$40:C$52,3,)*Q668</f>
        <v>132.8444444444448</v>
      </c>
    </row>
    <row r="669" spans="1:18" ht="12" customHeight="1" x14ac:dyDescent="0.35">
      <c r="A669" s="75">
        <v>531</v>
      </c>
      <c r="B669" s="80">
        <v>2012</v>
      </c>
      <c r="C669" s="80">
        <v>1</v>
      </c>
      <c r="D669" s="80">
        <f t="shared" si="38"/>
        <v>2011</v>
      </c>
      <c r="E669" t="s">
        <v>38</v>
      </c>
      <c r="F669" t="s">
        <v>143</v>
      </c>
      <c r="G669" t="s">
        <v>86</v>
      </c>
      <c r="H669" s="72" t="s">
        <v>228</v>
      </c>
      <c r="I669" s="72" t="s">
        <v>70</v>
      </c>
      <c r="J669" t="str">
        <f t="shared" si="39"/>
        <v>Pilchuck River (Snohomish System)</v>
      </c>
      <c r="K669" t="str">
        <f>IFERROR(VLOOKUP(J669,LUTs!$A$1:$C$73,2,FALSE),"NA")</f>
        <v>Snohomish</v>
      </c>
      <c r="L669" t="str">
        <f>IFERROR(VLOOKUP(J669,LUTs!$A$1:$C$73,3,FALSE),"NA")</f>
        <v>2Central Puget Sound</v>
      </c>
      <c r="M669" s="72" t="s">
        <v>16</v>
      </c>
      <c r="N669" t="str">
        <f>VLOOKUP(M669,LUTs!E$2:H$14,3,)</f>
        <v>03Snohomish</v>
      </c>
      <c r="O669" t="str">
        <f>VLOOKUP(M669,LUTs!E$2:H$14,4,)</f>
        <v>01North Puget Sound</v>
      </c>
      <c r="P669" s="80">
        <v>10</v>
      </c>
      <c r="Q669" s="102">
        <v>10</v>
      </c>
      <c r="R669" s="74">
        <f>VLOOKUP(B669,Readme!A$40:C$52,3,)*Q669</f>
        <v>85.399999999999991</v>
      </c>
    </row>
    <row r="670" spans="1:18" ht="12" customHeight="1" x14ac:dyDescent="0.35">
      <c r="A670" s="75">
        <v>460</v>
      </c>
      <c r="B670" s="80">
        <v>2012</v>
      </c>
      <c r="C670" s="80">
        <v>1</v>
      </c>
      <c r="D670" s="80">
        <f t="shared" si="38"/>
        <v>2011</v>
      </c>
      <c r="E670" t="s">
        <v>38</v>
      </c>
      <c r="F670" t="s">
        <v>143</v>
      </c>
      <c r="G670" t="s">
        <v>86</v>
      </c>
      <c r="H670" s="72" t="s">
        <v>227</v>
      </c>
      <c r="I670" s="72" t="s">
        <v>69</v>
      </c>
      <c r="J670" t="str">
        <f t="shared" si="39"/>
        <v>Pysht River</v>
      </c>
      <c r="K670" t="str">
        <f>IFERROR(VLOOKUP(J670,LUTs!$A$1:$C$73,2,FALSE),"NA")</f>
        <v>Clallam</v>
      </c>
      <c r="L670" t="str">
        <f>IFERROR(VLOOKUP(J670,LUTs!$A$1:$C$73,3,FALSE),"NA")</f>
        <v>0Strait of Juan de Fuca</v>
      </c>
      <c r="M670" s="72" t="s">
        <v>23</v>
      </c>
      <c r="N670" t="str">
        <f>VLOOKUP(M670,LUTs!E$2:H$14,3,)</f>
        <v>10Kitsap</v>
      </c>
      <c r="O670" t="str">
        <f>VLOOKUP(M670,LUTs!E$2:H$14,4,)</f>
        <v>02South Puget Sound</v>
      </c>
      <c r="P670" s="80">
        <v>2</v>
      </c>
      <c r="Q670" s="102">
        <v>2</v>
      </c>
      <c r="R670" s="74">
        <f>VLOOKUP(B670,Readme!A$40:C$52,3,)*Q670</f>
        <v>17.079999999999998</v>
      </c>
    </row>
    <row r="671" spans="1:18" ht="12" customHeight="1" x14ac:dyDescent="0.35">
      <c r="A671" s="75">
        <v>535</v>
      </c>
      <c r="B671" s="80">
        <v>2012</v>
      </c>
      <c r="C671" s="80">
        <v>1</v>
      </c>
      <c r="D671" s="80">
        <f t="shared" si="38"/>
        <v>2011</v>
      </c>
      <c r="E671" t="s">
        <v>38</v>
      </c>
      <c r="F671" t="s">
        <v>143</v>
      </c>
      <c r="G671" t="s">
        <v>86</v>
      </c>
      <c r="H671" s="72" t="s">
        <v>246</v>
      </c>
      <c r="I671" s="72" t="s">
        <v>97</v>
      </c>
      <c r="J671" t="str">
        <f t="shared" si="39"/>
        <v>Raging River</v>
      </c>
      <c r="K671" t="str">
        <f>IFERROR(VLOOKUP(J671,LUTs!$A$1:$C$73,2,FALSE),"NA")</f>
        <v>King</v>
      </c>
      <c r="L671" t="str">
        <f>IFERROR(VLOOKUP(J671,LUTs!$A$1:$C$73,3,FALSE),"NA")</f>
        <v>2Central Puget Sound</v>
      </c>
      <c r="M671" s="72" t="s">
        <v>18</v>
      </c>
      <c r="N671" t="str">
        <f>VLOOKUP(M671,LUTs!E$2:H$14,3,)</f>
        <v>06King</v>
      </c>
      <c r="O671" t="str">
        <f>VLOOKUP(M671,LUTs!E$2:H$14,4,)</f>
        <v>02South Puget Sound</v>
      </c>
      <c r="P671" s="80">
        <v>7.5</v>
      </c>
      <c r="Q671" s="102">
        <v>7.5</v>
      </c>
      <c r="R671" s="74">
        <f>VLOOKUP(B671,Readme!A$40:C$52,3,)*Q671</f>
        <v>64.05</v>
      </c>
    </row>
    <row r="672" spans="1:18" ht="12" customHeight="1" x14ac:dyDescent="0.35">
      <c r="A672" s="75">
        <v>536</v>
      </c>
      <c r="B672" s="80">
        <v>2012</v>
      </c>
      <c r="C672" s="80">
        <v>1</v>
      </c>
      <c r="D672" s="80">
        <f t="shared" si="38"/>
        <v>2011</v>
      </c>
      <c r="E672" t="s">
        <v>38</v>
      </c>
      <c r="F672" t="s">
        <v>143</v>
      </c>
      <c r="G672" t="s">
        <v>86</v>
      </c>
      <c r="H672" s="72" t="s">
        <v>246</v>
      </c>
      <c r="I672" s="72" t="s">
        <v>97</v>
      </c>
      <c r="J672" t="str">
        <f t="shared" si="39"/>
        <v>Raging River</v>
      </c>
      <c r="K672" t="str">
        <f>IFERROR(VLOOKUP(J672,LUTs!$A$1:$C$73,2,FALSE),"NA")</f>
        <v>King</v>
      </c>
      <c r="L672" t="str">
        <f>IFERROR(VLOOKUP(J672,LUTs!$A$1:$C$73,3,FALSE),"NA")</f>
        <v>2Central Puget Sound</v>
      </c>
      <c r="M672" s="72" t="s">
        <v>16</v>
      </c>
      <c r="N672" t="str">
        <f>VLOOKUP(M672,LUTs!E$2:H$14,3,)</f>
        <v>03Snohomish</v>
      </c>
      <c r="O672" t="str">
        <f>VLOOKUP(M672,LUTs!E$2:H$14,4,)</f>
        <v>01North Puget Sound</v>
      </c>
      <c r="P672" s="80">
        <v>2.5</v>
      </c>
      <c r="Q672" s="102">
        <v>2.5</v>
      </c>
      <c r="R672" s="74">
        <f>VLOOKUP(B672,Readme!A$40:C$52,3,)*Q672</f>
        <v>21.349999999999998</v>
      </c>
    </row>
    <row r="673" spans="1:18" ht="12" customHeight="1" x14ac:dyDescent="0.35">
      <c r="A673" s="75">
        <v>465</v>
      </c>
      <c r="B673" s="80">
        <v>2012</v>
      </c>
      <c r="C673" s="80">
        <v>1</v>
      </c>
      <c r="D673" s="80">
        <f t="shared" si="38"/>
        <v>2011</v>
      </c>
      <c r="E673" t="s">
        <v>38</v>
      </c>
      <c r="F673" t="s">
        <v>143</v>
      </c>
      <c r="G673" t="s">
        <v>86</v>
      </c>
      <c r="H673" s="72" t="s">
        <v>244</v>
      </c>
      <c r="I673" s="72" t="s">
        <v>95</v>
      </c>
      <c r="J673" t="str">
        <f t="shared" si="39"/>
        <v>Sekiu River</v>
      </c>
      <c r="K673" t="str">
        <f>IFERROR(VLOOKUP(J673,LUTs!$A$1:$C$73,2,FALSE),"NA")</f>
        <v>Clallam</v>
      </c>
      <c r="L673" t="str">
        <f>IFERROR(VLOOKUP(J673,LUTs!$A$1:$C$73,3,FALSE),"NA")</f>
        <v>0Strait of Juan de Fuca</v>
      </c>
      <c r="M673" s="72" t="s">
        <v>24</v>
      </c>
      <c r="N673" t="str">
        <f>VLOOKUP(M673,LUTs!E$2:H$14,3,)</f>
        <v>11Clallam</v>
      </c>
      <c r="O673" t="str">
        <f>VLOOKUP(M673,LUTs!E$2:H$14,4,)</f>
        <v>03Strait of Juan de Fuca</v>
      </c>
      <c r="P673" s="80">
        <v>15.5555555555556</v>
      </c>
      <c r="Q673" s="102">
        <v>15.5555555555556</v>
      </c>
      <c r="R673" s="74">
        <f>VLOOKUP(B673,Readme!A$40:C$52,3,)*Q673</f>
        <v>132.8444444444448</v>
      </c>
    </row>
    <row r="674" spans="1:18" ht="12" customHeight="1" x14ac:dyDescent="0.35">
      <c r="A674" s="75">
        <v>466</v>
      </c>
      <c r="B674" s="80">
        <v>2012</v>
      </c>
      <c r="C674" s="80">
        <v>1</v>
      </c>
      <c r="D674" s="80">
        <f t="shared" si="38"/>
        <v>2011</v>
      </c>
      <c r="E674" t="s">
        <v>38</v>
      </c>
      <c r="F674" t="s">
        <v>143</v>
      </c>
      <c r="G674" t="s">
        <v>86</v>
      </c>
      <c r="H674" s="72" t="s">
        <v>244</v>
      </c>
      <c r="I674" s="72" t="s">
        <v>95</v>
      </c>
      <c r="J674" t="str">
        <f t="shared" si="39"/>
        <v>Sekiu River</v>
      </c>
      <c r="K674" t="str">
        <f>IFERROR(VLOOKUP(J674,LUTs!$A$1:$C$73,2,FALSE),"NA")</f>
        <v>Clallam</v>
      </c>
      <c r="L674" t="str">
        <f>IFERROR(VLOOKUP(J674,LUTs!$A$1:$C$73,3,FALSE),"NA")</f>
        <v>0Strait of Juan de Fuca</v>
      </c>
      <c r="M674" s="72" t="s">
        <v>18</v>
      </c>
      <c r="N674" t="str">
        <f>VLOOKUP(M674,LUTs!E$2:H$14,3,)</f>
        <v>06King</v>
      </c>
      <c r="O674" t="str">
        <f>VLOOKUP(M674,LUTs!E$2:H$14,4,)</f>
        <v>02South Puget Sound</v>
      </c>
      <c r="P674" s="80">
        <v>4.44444444444445</v>
      </c>
      <c r="Q674" s="102">
        <v>4.44444444444445</v>
      </c>
      <c r="R674" s="74">
        <f>VLOOKUP(B674,Readme!A$40:C$52,3,)*Q674</f>
        <v>37.955555555555598</v>
      </c>
    </row>
    <row r="675" spans="1:18" ht="12" customHeight="1" x14ac:dyDescent="0.35">
      <c r="A675" s="75">
        <v>517</v>
      </c>
      <c r="B675" s="80">
        <v>2012</v>
      </c>
      <c r="C675" s="80">
        <v>1</v>
      </c>
      <c r="D675" s="80">
        <f t="shared" si="38"/>
        <v>2011</v>
      </c>
      <c r="E675" t="s">
        <v>38</v>
      </c>
      <c r="F675" t="s">
        <v>143</v>
      </c>
      <c r="G675" t="s">
        <v>86</v>
      </c>
      <c r="H675" s="72" t="s">
        <v>218</v>
      </c>
      <c r="I675" s="72" t="s">
        <v>60</v>
      </c>
      <c r="J675" t="str">
        <f t="shared" si="39"/>
        <v>Skagit River</v>
      </c>
      <c r="K675" t="str">
        <f>IFERROR(VLOOKUP(J675,LUTs!$A$1:$C$73,2,FALSE),"NA")</f>
        <v>Skagit/Whatcom</v>
      </c>
      <c r="L675" t="str">
        <f>IFERROR(VLOOKUP(J675,LUTs!$A$1:$C$73,3,FALSE),"NA")</f>
        <v>2Central Puget Sound</v>
      </c>
      <c r="M675" s="72" t="s">
        <v>18</v>
      </c>
      <c r="N675" t="str">
        <f>VLOOKUP(M675,LUTs!E$2:H$14,3,)</f>
        <v>06King</v>
      </c>
      <c r="O675" t="str">
        <f>VLOOKUP(M675,LUTs!E$2:H$14,4,)</f>
        <v>02South Puget Sound</v>
      </c>
      <c r="P675" s="80">
        <v>6.1111111111111098</v>
      </c>
      <c r="Q675" s="102">
        <v>6.1111111111111098</v>
      </c>
      <c r="R675" s="74">
        <f>VLOOKUP(B675,Readme!A$40:C$52,3,)*Q675</f>
        <v>52.188888888888876</v>
      </c>
    </row>
    <row r="676" spans="1:18" ht="12" customHeight="1" x14ac:dyDescent="0.35">
      <c r="A676" s="75">
        <v>518</v>
      </c>
      <c r="B676" s="80">
        <v>2012</v>
      </c>
      <c r="C676" s="80">
        <v>1</v>
      </c>
      <c r="D676" s="80">
        <f t="shared" si="38"/>
        <v>2011</v>
      </c>
      <c r="E676" t="s">
        <v>38</v>
      </c>
      <c r="F676" t="s">
        <v>143</v>
      </c>
      <c r="G676" t="s">
        <v>86</v>
      </c>
      <c r="H676" s="72" t="s">
        <v>218</v>
      </c>
      <c r="I676" s="72" t="s">
        <v>60</v>
      </c>
      <c r="J676" t="str">
        <f t="shared" si="39"/>
        <v>Skagit River</v>
      </c>
      <c r="K676" t="str">
        <f>IFERROR(VLOOKUP(J676,LUTs!$A$1:$C$73,2,FALSE),"NA")</f>
        <v>Skagit/Whatcom</v>
      </c>
      <c r="L676" t="str">
        <f>IFERROR(VLOOKUP(J676,LUTs!$A$1:$C$73,3,FALSE),"NA")</f>
        <v>2Central Puget Sound</v>
      </c>
      <c r="M676" s="72" t="s">
        <v>26</v>
      </c>
      <c r="N676" t="str">
        <f>VLOOKUP(M676,LUTs!E$2:H$14,3,)</f>
        <v>20Other</v>
      </c>
      <c r="O676" t="str">
        <f>VLOOKUP(M676,LUTs!E$2:H$14,4,)</f>
        <v>07Non Puget Sound</v>
      </c>
      <c r="P676" s="80">
        <v>3.0555555555555598</v>
      </c>
      <c r="Q676" s="102">
        <v>3.0555555555555598</v>
      </c>
      <c r="R676" s="74">
        <f>VLOOKUP(B676,Readme!A$40:C$52,3,)*Q676</f>
        <v>26.094444444444477</v>
      </c>
    </row>
    <row r="677" spans="1:18" ht="12" customHeight="1" x14ac:dyDescent="0.35">
      <c r="A677" s="75">
        <v>519</v>
      </c>
      <c r="B677" s="80">
        <v>2012</v>
      </c>
      <c r="C677" s="80">
        <v>1</v>
      </c>
      <c r="D677" s="80">
        <f t="shared" si="38"/>
        <v>2011</v>
      </c>
      <c r="E677" t="s">
        <v>38</v>
      </c>
      <c r="F677" t="s">
        <v>143</v>
      </c>
      <c r="G677" t="s">
        <v>86</v>
      </c>
      <c r="H677" s="72" t="s">
        <v>218</v>
      </c>
      <c r="I677" s="72" t="s">
        <v>60</v>
      </c>
      <c r="J677" t="str">
        <f t="shared" si="39"/>
        <v>Skagit River</v>
      </c>
      <c r="K677" t="str">
        <f>IFERROR(VLOOKUP(J677,LUTs!$A$1:$C$73,2,FALSE),"NA")</f>
        <v>Skagit/Whatcom</v>
      </c>
      <c r="L677" t="str">
        <f>IFERROR(VLOOKUP(J677,LUTs!$A$1:$C$73,3,FALSE),"NA")</f>
        <v>2Central Puget Sound</v>
      </c>
      <c r="M677" s="72" t="s">
        <v>20</v>
      </c>
      <c r="N677" t="str">
        <f>VLOOKUP(M677,LUTs!E$2:H$14,3,)</f>
        <v>07Pierce</v>
      </c>
      <c r="O677" t="str">
        <f>VLOOKUP(M677,LUTs!E$2:H$14,4,)</f>
        <v>02South Puget Sound</v>
      </c>
      <c r="P677" s="80">
        <v>3.0555555555555598</v>
      </c>
      <c r="Q677" s="102">
        <v>3.0555555555555598</v>
      </c>
      <c r="R677" s="74">
        <f>VLOOKUP(B677,Readme!A$40:C$52,3,)*Q677</f>
        <v>26.094444444444477</v>
      </c>
    </row>
    <row r="678" spans="1:18" ht="12" customHeight="1" x14ac:dyDescent="0.35">
      <c r="A678" s="75">
        <v>520</v>
      </c>
      <c r="B678" s="80">
        <v>2012</v>
      </c>
      <c r="C678" s="80">
        <v>1</v>
      </c>
      <c r="D678" s="80">
        <f t="shared" si="38"/>
        <v>2011</v>
      </c>
      <c r="E678" t="s">
        <v>38</v>
      </c>
      <c r="F678" t="s">
        <v>143</v>
      </c>
      <c r="G678" t="s">
        <v>86</v>
      </c>
      <c r="H678" s="72" t="s">
        <v>218</v>
      </c>
      <c r="I678" s="72" t="s">
        <v>60</v>
      </c>
      <c r="J678" t="str">
        <f t="shared" si="39"/>
        <v>Skagit River</v>
      </c>
      <c r="K678" t="str">
        <f>IFERROR(VLOOKUP(J678,LUTs!$A$1:$C$73,2,FALSE),"NA")</f>
        <v>Skagit/Whatcom</v>
      </c>
      <c r="L678" t="str">
        <f>IFERROR(VLOOKUP(J678,LUTs!$A$1:$C$73,3,FALSE),"NA")</f>
        <v>2Central Puget Sound</v>
      </c>
      <c r="M678" s="72" t="s">
        <v>15</v>
      </c>
      <c r="N678" t="str">
        <f>VLOOKUP(M678,LUTs!E$2:H$14,3,)</f>
        <v>02Skagit</v>
      </c>
      <c r="O678" t="str">
        <f>VLOOKUP(M678,LUTs!E$2:H$14,4,)</f>
        <v>01North Puget Sound</v>
      </c>
      <c r="P678" s="80">
        <v>33.6111111111111</v>
      </c>
      <c r="Q678" s="102">
        <v>33.6111111111111</v>
      </c>
      <c r="R678" s="74">
        <f>VLOOKUP(B678,Readme!A$40:C$52,3,)*Q678</f>
        <v>287.03888888888878</v>
      </c>
    </row>
    <row r="679" spans="1:18" ht="12" customHeight="1" x14ac:dyDescent="0.35">
      <c r="A679" s="75">
        <v>521</v>
      </c>
      <c r="B679" s="80">
        <v>2012</v>
      </c>
      <c r="C679" s="80">
        <v>1</v>
      </c>
      <c r="D679" s="80">
        <f t="shared" si="38"/>
        <v>2011</v>
      </c>
      <c r="E679" t="s">
        <v>38</v>
      </c>
      <c r="F679" t="s">
        <v>143</v>
      </c>
      <c r="G679" t="s">
        <v>86</v>
      </c>
      <c r="H679" s="72" t="s">
        <v>218</v>
      </c>
      <c r="I679" s="72" t="s">
        <v>60</v>
      </c>
      <c r="J679" t="str">
        <f t="shared" si="39"/>
        <v>Skagit River</v>
      </c>
      <c r="K679" t="str">
        <f>IFERROR(VLOOKUP(J679,LUTs!$A$1:$C$73,2,FALSE),"NA")</f>
        <v>Skagit/Whatcom</v>
      </c>
      <c r="L679" t="str">
        <f>IFERROR(VLOOKUP(J679,LUTs!$A$1:$C$73,3,FALSE),"NA")</f>
        <v>2Central Puget Sound</v>
      </c>
      <c r="M679" s="72" t="s">
        <v>16</v>
      </c>
      <c r="N679" t="str">
        <f>VLOOKUP(M679,LUTs!E$2:H$14,3,)</f>
        <v>03Snohomish</v>
      </c>
      <c r="O679" t="str">
        <f>VLOOKUP(M679,LUTs!E$2:H$14,4,)</f>
        <v>01North Puget Sound</v>
      </c>
      <c r="P679" s="80">
        <v>9.1666666666666696</v>
      </c>
      <c r="Q679" s="102">
        <v>9.1666666666666696</v>
      </c>
      <c r="R679" s="74">
        <f>VLOOKUP(B679,Readme!A$40:C$52,3,)*Q679</f>
        <v>78.283333333333346</v>
      </c>
    </row>
    <row r="680" spans="1:18" ht="12" customHeight="1" x14ac:dyDescent="0.35">
      <c r="A680" s="75">
        <v>575</v>
      </c>
      <c r="B680" s="80">
        <v>2012</v>
      </c>
      <c r="C680" s="80">
        <v>1</v>
      </c>
      <c r="D680" s="80">
        <f t="shared" si="38"/>
        <v>2011</v>
      </c>
      <c r="E680" t="s">
        <v>38</v>
      </c>
      <c r="F680" t="s">
        <v>143</v>
      </c>
      <c r="G680" t="s">
        <v>86</v>
      </c>
      <c r="H680" s="72" t="s">
        <v>220</v>
      </c>
      <c r="I680" s="72" t="s">
        <v>62</v>
      </c>
      <c r="J680" t="str">
        <f t="shared" si="39"/>
        <v>Skykomish River</v>
      </c>
      <c r="K680" t="str">
        <f>IFERROR(VLOOKUP(J680,LUTs!$A$1:$C$73,2,FALSE),"NA")</f>
        <v>Snohomish</v>
      </c>
      <c r="L680" t="str">
        <f>IFERROR(VLOOKUP(J680,LUTs!$A$1:$C$73,3,FALSE),"NA")</f>
        <v>2Central Puget Sound</v>
      </c>
      <c r="M680" s="72" t="s">
        <v>17</v>
      </c>
      <c r="N680" t="str">
        <f>VLOOKUP(M680,LUTs!E$2:H$14,3,)</f>
        <v>04Island</v>
      </c>
      <c r="O680" t="str">
        <f>VLOOKUP(M680,LUTs!E$2:H$14,4,)</f>
        <v>01North Puget Sound</v>
      </c>
      <c r="P680" s="80">
        <v>7.6216216216216202</v>
      </c>
      <c r="Q680" s="102">
        <v>7.6216216216216202</v>
      </c>
      <c r="R680" s="74">
        <f>VLOOKUP(B680,Readme!A$40:C$52,3,)*Q680</f>
        <v>65.088648648648629</v>
      </c>
    </row>
    <row r="681" spans="1:18" ht="12" customHeight="1" x14ac:dyDescent="0.35">
      <c r="A681" s="75">
        <v>576</v>
      </c>
      <c r="B681" s="80">
        <v>2012</v>
      </c>
      <c r="C681" s="80">
        <v>1</v>
      </c>
      <c r="D681" s="80">
        <f t="shared" si="38"/>
        <v>2011</v>
      </c>
      <c r="E681" t="s">
        <v>38</v>
      </c>
      <c r="F681" t="s">
        <v>143</v>
      </c>
      <c r="G681" t="s">
        <v>86</v>
      </c>
      <c r="H681" s="72" t="s">
        <v>220</v>
      </c>
      <c r="I681" s="72" t="s">
        <v>62</v>
      </c>
      <c r="J681" t="str">
        <f t="shared" si="39"/>
        <v>Skykomish River</v>
      </c>
      <c r="K681" t="str">
        <f>IFERROR(VLOOKUP(J681,LUTs!$A$1:$C$73,2,FALSE),"NA")</f>
        <v>Snohomish</v>
      </c>
      <c r="L681" t="str">
        <f>IFERROR(VLOOKUP(J681,LUTs!$A$1:$C$73,3,FALSE),"NA")</f>
        <v>2Central Puget Sound</v>
      </c>
      <c r="M681" s="72" t="s">
        <v>18</v>
      </c>
      <c r="N681" t="str">
        <f>VLOOKUP(M681,LUTs!E$2:H$14,3,)</f>
        <v>06King</v>
      </c>
      <c r="O681" t="str">
        <f>VLOOKUP(M681,LUTs!E$2:H$14,4,)</f>
        <v>02South Puget Sound</v>
      </c>
      <c r="P681" s="80">
        <v>276.91891891891902</v>
      </c>
      <c r="Q681" s="102">
        <v>276.91891891891902</v>
      </c>
      <c r="R681" s="74">
        <f>VLOOKUP(B681,Readme!A$40:C$52,3,)*Q681</f>
        <v>2364.8875675675681</v>
      </c>
    </row>
    <row r="682" spans="1:18" ht="12" customHeight="1" x14ac:dyDescent="0.35">
      <c r="A682" s="75">
        <v>577</v>
      </c>
      <c r="B682" s="80">
        <v>2012</v>
      </c>
      <c r="C682" s="80">
        <v>1</v>
      </c>
      <c r="D682" s="80">
        <f t="shared" si="38"/>
        <v>2011</v>
      </c>
      <c r="E682" t="s">
        <v>38</v>
      </c>
      <c r="F682" t="s">
        <v>143</v>
      </c>
      <c r="G682" t="s">
        <v>86</v>
      </c>
      <c r="H682" s="72" t="s">
        <v>220</v>
      </c>
      <c r="I682" s="72" t="s">
        <v>62</v>
      </c>
      <c r="J682" t="str">
        <f t="shared" si="39"/>
        <v>Skykomish River</v>
      </c>
      <c r="K682" t="str">
        <f>IFERROR(VLOOKUP(J682,LUTs!$A$1:$C$73,2,FALSE),"NA")</f>
        <v>Snohomish</v>
      </c>
      <c r="L682" t="str">
        <f>IFERROR(VLOOKUP(J682,LUTs!$A$1:$C$73,3,FALSE),"NA")</f>
        <v>2Central Puget Sound</v>
      </c>
      <c r="M682" s="72" t="s">
        <v>23</v>
      </c>
      <c r="N682" t="str">
        <f>VLOOKUP(M682,LUTs!E$2:H$14,3,)</f>
        <v>10Kitsap</v>
      </c>
      <c r="O682" t="str">
        <f>VLOOKUP(M682,LUTs!E$2:H$14,4,)</f>
        <v>02South Puget Sound</v>
      </c>
      <c r="P682" s="80">
        <v>5.0810810810810798</v>
      </c>
      <c r="Q682" s="102">
        <v>5.0810810810810798</v>
      </c>
      <c r="R682" s="74">
        <f>VLOOKUP(B682,Readme!A$40:C$52,3,)*Q682</f>
        <v>43.392432432432415</v>
      </c>
    </row>
    <row r="683" spans="1:18" ht="12" customHeight="1" x14ac:dyDescent="0.35">
      <c r="A683" s="75">
        <v>578</v>
      </c>
      <c r="B683" s="80">
        <v>2012</v>
      </c>
      <c r="C683" s="80">
        <v>1</v>
      </c>
      <c r="D683" s="80">
        <f t="shared" si="38"/>
        <v>2011</v>
      </c>
      <c r="E683" t="s">
        <v>38</v>
      </c>
      <c r="F683" t="s">
        <v>143</v>
      </c>
      <c r="G683" t="s">
        <v>86</v>
      </c>
      <c r="H683" s="72" t="s">
        <v>220</v>
      </c>
      <c r="I683" s="72" t="s">
        <v>62</v>
      </c>
      <c r="J683" t="str">
        <f t="shared" si="39"/>
        <v>Skykomish River</v>
      </c>
      <c r="K683" t="str">
        <f>IFERROR(VLOOKUP(J683,LUTs!$A$1:$C$73,2,FALSE),"NA")</f>
        <v>Snohomish</v>
      </c>
      <c r="L683" t="str">
        <f>IFERROR(VLOOKUP(J683,LUTs!$A$1:$C$73,3,FALSE),"NA")</f>
        <v>2Central Puget Sound</v>
      </c>
      <c r="M683" s="72" t="s">
        <v>26</v>
      </c>
      <c r="N683" t="str">
        <f>VLOOKUP(M683,LUTs!E$2:H$14,3,)</f>
        <v>20Other</v>
      </c>
      <c r="O683" t="str">
        <f>VLOOKUP(M683,LUTs!E$2:H$14,4,)</f>
        <v>07Non Puget Sound</v>
      </c>
      <c r="P683" s="80">
        <v>5.0810810810810798</v>
      </c>
      <c r="Q683" s="102">
        <v>5.0810810810810798</v>
      </c>
      <c r="R683" s="74">
        <f>VLOOKUP(B683,Readme!A$40:C$52,3,)*Q683</f>
        <v>43.392432432432415</v>
      </c>
    </row>
    <row r="684" spans="1:18" ht="12" customHeight="1" x14ac:dyDescent="0.35">
      <c r="A684" s="75">
        <v>579</v>
      </c>
      <c r="B684" s="80">
        <v>2012</v>
      </c>
      <c r="C684" s="80">
        <v>1</v>
      </c>
      <c r="D684" s="80">
        <f t="shared" si="38"/>
        <v>2011</v>
      </c>
      <c r="E684" t="s">
        <v>38</v>
      </c>
      <c r="F684" t="s">
        <v>143</v>
      </c>
      <c r="G684" t="s">
        <v>86</v>
      </c>
      <c r="H684" s="72" t="s">
        <v>220</v>
      </c>
      <c r="I684" s="72" t="s">
        <v>62</v>
      </c>
      <c r="J684" t="str">
        <f t="shared" si="39"/>
        <v>Skykomish River</v>
      </c>
      <c r="K684" t="str">
        <f>IFERROR(VLOOKUP(J684,LUTs!$A$1:$C$73,2,FALSE),"NA")</f>
        <v>Snohomish</v>
      </c>
      <c r="L684" t="str">
        <f>IFERROR(VLOOKUP(J684,LUTs!$A$1:$C$73,3,FALSE),"NA")</f>
        <v>2Central Puget Sound</v>
      </c>
      <c r="M684" s="72" t="s">
        <v>16</v>
      </c>
      <c r="N684" t="str">
        <f>VLOOKUP(M684,LUTs!E$2:H$14,3,)</f>
        <v>03Snohomish</v>
      </c>
      <c r="O684" t="str">
        <f>VLOOKUP(M684,LUTs!E$2:H$14,4,)</f>
        <v>01North Puget Sound</v>
      </c>
      <c r="P684" s="80">
        <v>363.29729729729701</v>
      </c>
      <c r="Q684" s="102">
        <v>363.29729729729701</v>
      </c>
      <c r="R684" s="74">
        <f>VLOOKUP(B684,Readme!A$40:C$52,3,)*Q684</f>
        <v>3102.5589189189163</v>
      </c>
    </row>
    <row r="685" spans="1:18" ht="12" customHeight="1" x14ac:dyDescent="0.35">
      <c r="A685" s="75">
        <v>593</v>
      </c>
      <c r="B685" s="80">
        <v>2012</v>
      </c>
      <c r="C685" s="80">
        <v>1</v>
      </c>
      <c r="D685" s="80">
        <f t="shared" si="38"/>
        <v>2011</v>
      </c>
      <c r="E685" t="s">
        <v>38</v>
      </c>
      <c r="F685" t="s">
        <v>143</v>
      </c>
      <c r="G685" t="s">
        <v>86</v>
      </c>
      <c r="H685" s="72" t="s">
        <v>247</v>
      </c>
      <c r="I685" s="72" t="s">
        <v>98</v>
      </c>
      <c r="J685" t="str">
        <f t="shared" si="39"/>
        <v>Skykomish River, No. Fork</v>
      </c>
      <c r="K685" t="str">
        <f>IFERROR(VLOOKUP(J685,LUTs!$A$1:$C$73,2,FALSE),"NA")</f>
        <v>Snohomish</v>
      </c>
      <c r="L685" t="str">
        <f>IFERROR(VLOOKUP(J685,LUTs!$A$1:$C$73,3,FALSE),"NA")</f>
        <v>2Central Puget Sound</v>
      </c>
      <c r="M685" s="72" t="s">
        <v>18</v>
      </c>
      <c r="N685" t="str">
        <f>VLOOKUP(M685,LUTs!E$2:H$14,3,)</f>
        <v>06King</v>
      </c>
      <c r="O685" t="str">
        <f>VLOOKUP(M685,LUTs!E$2:H$14,4,)</f>
        <v>02South Puget Sound</v>
      </c>
      <c r="P685" s="80">
        <v>15.4285714285714</v>
      </c>
      <c r="Q685" s="102">
        <v>15.4285714285714</v>
      </c>
      <c r="R685" s="74">
        <f>VLOOKUP(B685,Readme!A$40:C$52,3,)*Q685</f>
        <v>131.75999999999974</v>
      </c>
    </row>
    <row r="686" spans="1:18" ht="12" customHeight="1" x14ac:dyDescent="0.35">
      <c r="A686" s="75">
        <v>594</v>
      </c>
      <c r="B686" s="80">
        <v>2012</v>
      </c>
      <c r="C686" s="80">
        <v>1</v>
      </c>
      <c r="D686" s="80">
        <f t="shared" si="38"/>
        <v>2011</v>
      </c>
      <c r="E686" t="s">
        <v>38</v>
      </c>
      <c r="F686" t="s">
        <v>143</v>
      </c>
      <c r="G686" t="s">
        <v>86</v>
      </c>
      <c r="H686" s="72" t="s">
        <v>247</v>
      </c>
      <c r="I686" s="72" t="s">
        <v>98</v>
      </c>
      <c r="J686" t="str">
        <f t="shared" si="39"/>
        <v>Skykomish River, No. Fork</v>
      </c>
      <c r="K686" t="str">
        <f>IFERROR(VLOOKUP(J686,LUTs!$A$1:$C$73,2,FALSE),"NA")</f>
        <v>Snohomish</v>
      </c>
      <c r="L686" t="str">
        <f>IFERROR(VLOOKUP(J686,LUTs!$A$1:$C$73,3,FALSE),"NA")</f>
        <v>2Central Puget Sound</v>
      </c>
      <c r="M686" s="72" t="s">
        <v>16</v>
      </c>
      <c r="N686" t="str">
        <f>VLOOKUP(M686,LUTs!E$2:H$14,3,)</f>
        <v>03Snohomish</v>
      </c>
      <c r="O686" t="str">
        <f>VLOOKUP(M686,LUTs!E$2:H$14,4,)</f>
        <v>01North Puget Sound</v>
      </c>
      <c r="P686" s="80">
        <v>2.5714285714285698</v>
      </c>
      <c r="Q686" s="102">
        <v>2.5714285714285698</v>
      </c>
      <c r="R686" s="74">
        <f>VLOOKUP(B686,Readme!A$40:C$52,3,)*Q686</f>
        <v>21.959999999999983</v>
      </c>
    </row>
    <row r="687" spans="1:18" ht="12" customHeight="1" x14ac:dyDescent="0.35">
      <c r="A687" s="75">
        <v>597</v>
      </c>
      <c r="B687" s="80">
        <v>2012</v>
      </c>
      <c r="C687" s="80">
        <v>1</v>
      </c>
      <c r="D687" s="80">
        <f t="shared" si="38"/>
        <v>2011</v>
      </c>
      <c r="E687" t="s">
        <v>38</v>
      </c>
      <c r="F687" t="s">
        <v>143</v>
      </c>
      <c r="G687" t="s">
        <v>86</v>
      </c>
      <c r="H687" s="72" t="s">
        <v>248</v>
      </c>
      <c r="I687" s="72" t="s">
        <v>99</v>
      </c>
      <c r="J687" t="str">
        <f t="shared" si="39"/>
        <v>Skykomish River, So. Fork</v>
      </c>
      <c r="K687" t="str">
        <f>IFERROR(VLOOKUP(J687,LUTs!$A$1:$C$73,2,FALSE),"NA")</f>
        <v>Snohomish/King</v>
      </c>
      <c r="L687" t="str">
        <f>IFERROR(VLOOKUP(J687,LUTs!$A$1:$C$73,3,FALSE),"NA")</f>
        <v>2Central Puget Sound</v>
      </c>
      <c r="M687" s="72" t="s">
        <v>16</v>
      </c>
      <c r="N687" t="str">
        <f>VLOOKUP(M687,LUTs!E$2:H$14,3,)</f>
        <v>03Snohomish</v>
      </c>
      <c r="O687" t="str">
        <f>VLOOKUP(M687,LUTs!E$2:H$14,4,)</f>
        <v>01North Puget Sound</v>
      </c>
      <c r="P687" s="80">
        <v>3</v>
      </c>
      <c r="Q687" s="102">
        <v>3</v>
      </c>
      <c r="R687" s="74">
        <f>VLOOKUP(B687,Readme!A$40:C$52,3,)*Q687</f>
        <v>25.619999999999997</v>
      </c>
    </row>
    <row r="688" spans="1:18" ht="12" customHeight="1" x14ac:dyDescent="0.35">
      <c r="A688" s="75">
        <v>616</v>
      </c>
      <c r="B688" s="80">
        <v>2012</v>
      </c>
      <c r="C688" s="80">
        <v>1</v>
      </c>
      <c r="D688" s="80">
        <f t="shared" si="38"/>
        <v>2011</v>
      </c>
      <c r="E688" t="s">
        <v>38</v>
      </c>
      <c r="F688" t="s">
        <v>143</v>
      </c>
      <c r="G688" t="s">
        <v>86</v>
      </c>
      <c r="H688" s="72" t="s">
        <v>221</v>
      </c>
      <c r="I688" s="72" t="s">
        <v>63</v>
      </c>
      <c r="J688" t="str">
        <f t="shared" si="39"/>
        <v>Snohomish River</v>
      </c>
      <c r="K688" t="str">
        <f>IFERROR(VLOOKUP(J688,LUTs!$A$1:$C$73,2,FALSE),"NA")</f>
        <v>Snohomish</v>
      </c>
      <c r="L688" t="str">
        <f>IFERROR(VLOOKUP(J688,LUTs!$A$1:$C$73,3,FALSE),"NA")</f>
        <v>2Central Puget Sound</v>
      </c>
      <c r="M688" s="72" t="s">
        <v>18</v>
      </c>
      <c r="N688" t="str">
        <f>VLOOKUP(M688,LUTs!E$2:H$14,3,)</f>
        <v>06King</v>
      </c>
      <c r="O688" t="str">
        <f>VLOOKUP(M688,LUTs!E$2:H$14,4,)</f>
        <v>02South Puget Sound</v>
      </c>
      <c r="P688" s="80">
        <v>2.53125</v>
      </c>
      <c r="Q688" s="102">
        <v>2.53125</v>
      </c>
      <c r="R688" s="74">
        <f>VLOOKUP(B688,Readme!A$40:C$52,3,)*Q688</f>
        <v>21.616874999999997</v>
      </c>
    </row>
    <row r="689" spans="1:18" ht="12" customHeight="1" x14ac:dyDescent="0.35">
      <c r="A689" s="75">
        <v>617</v>
      </c>
      <c r="B689" s="80">
        <v>2012</v>
      </c>
      <c r="C689" s="80">
        <v>1</v>
      </c>
      <c r="D689" s="80">
        <f t="shared" si="38"/>
        <v>2011</v>
      </c>
      <c r="E689" t="s">
        <v>38</v>
      </c>
      <c r="F689" t="s">
        <v>143</v>
      </c>
      <c r="G689" t="s">
        <v>86</v>
      </c>
      <c r="H689" s="72" t="s">
        <v>221</v>
      </c>
      <c r="I689" s="72" t="s">
        <v>63</v>
      </c>
      <c r="J689" t="str">
        <f t="shared" ref="J689:J720" si="40">I689</f>
        <v>Snohomish River</v>
      </c>
      <c r="K689" t="str">
        <f>IFERROR(VLOOKUP(J689,LUTs!$A$1:$C$73,2,FALSE),"NA")</f>
        <v>Snohomish</v>
      </c>
      <c r="L689" t="str">
        <f>IFERROR(VLOOKUP(J689,LUTs!$A$1:$C$73,3,FALSE),"NA")</f>
        <v>2Central Puget Sound</v>
      </c>
      <c r="M689" s="72" t="s">
        <v>16</v>
      </c>
      <c r="N689" t="str">
        <f>VLOOKUP(M689,LUTs!E$2:H$14,3,)</f>
        <v>03Snohomish</v>
      </c>
      <c r="O689" t="str">
        <f>VLOOKUP(M689,LUTs!E$2:H$14,4,)</f>
        <v>01North Puget Sound</v>
      </c>
      <c r="P689" s="80">
        <v>78.46875</v>
      </c>
      <c r="Q689" s="102">
        <v>78.46875</v>
      </c>
      <c r="R689" s="74">
        <f>VLOOKUP(B689,Readme!A$40:C$52,3,)*Q689</f>
        <v>670.12312499999996</v>
      </c>
    </row>
    <row r="690" spans="1:18" ht="12" customHeight="1" x14ac:dyDescent="0.35">
      <c r="A690" s="75">
        <v>632</v>
      </c>
      <c r="B690" s="80">
        <v>2012</v>
      </c>
      <c r="C690" s="80">
        <v>1</v>
      </c>
      <c r="D690" s="80">
        <f t="shared" si="38"/>
        <v>2011</v>
      </c>
      <c r="E690" t="s">
        <v>38</v>
      </c>
      <c r="F690" t="s">
        <v>143</v>
      </c>
      <c r="G690" t="s">
        <v>86</v>
      </c>
      <c r="H690" s="72" t="s">
        <v>222</v>
      </c>
      <c r="I690" s="72" t="s">
        <v>64</v>
      </c>
      <c r="J690" t="str">
        <f t="shared" si="40"/>
        <v>Snoqualmie River</v>
      </c>
      <c r="K690" t="str">
        <f>IFERROR(VLOOKUP(J690,LUTs!$A$1:$C$73,2,FALSE),"NA")</f>
        <v>Snohomish/King</v>
      </c>
      <c r="L690" t="str">
        <f>IFERROR(VLOOKUP(J690,LUTs!$A$1:$C$73,3,FALSE),"NA")</f>
        <v>2Central Puget Sound</v>
      </c>
      <c r="M690" s="72" t="s">
        <v>18</v>
      </c>
      <c r="N690" t="str">
        <f>VLOOKUP(M690,LUTs!E$2:H$14,3,)</f>
        <v>06King</v>
      </c>
      <c r="O690" t="str">
        <f>VLOOKUP(M690,LUTs!E$2:H$14,4,)</f>
        <v>02South Puget Sound</v>
      </c>
      <c r="P690" s="80">
        <v>314.84375</v>
      </c>
      <c r="Q690" s="102">
        <v>314.84375</v>
      </c>
      <c r="R690" s="74">
        <f>VLOOKUP(B690,Readme!A$40:C$52,3,)*Q690</f>
        <v>2688.7656249999995</v>
      </c>
    </row>
    <row r="691" spans="1:18" ht="12" customHeight="1" x14ac:dyDescent="0.35">
      <c r="A691" s="75">
        <v>633</v>
      </c>
      <c r="B691" s="80">
        <v>2012</v>
      </c>
      <c r="C691" s="80">
        <v>1</v>
      </c>
      <c r="D691" s="80">
        <f t="shared" si="38"/>
        <v>2011</v>
      </c>
      <c r="E691" t="s">
        <v>38</v>
      </c>
      <c r="F691" t="s">
        <v>143</v>
      </c>
      <c r="G691" t="s">
        <v>86</v>
      </c>
      <c r="H691" s="72" t="s">
        <v>222</v>
      </c>
      <c r="I691" s="72" t="s">
        <v>64</v>
      </c>
      <c r="J691" t="str">
        <f t="shared" si="40"/>
        <v>Snoqualmie River</v>
      </c>
      <c r="K691" t="str">
        <f>IFERROR(VLOOKUP(J691,LUTs!$A$1:$C$73,2,FALSE),"NA")</f>
        <v>Snohomish/King</v>
      </c>
      <c r="L691" t="str">
        <f>IFERROR(VLOOKUP(J691,LUTs!$A$1:$C$73,3,FALSE),"NA")</f>
        <v>2Central Puget Sound</v>
      </c>
      <c r="M691" s="72" t="s">
        <v>26</v>
      </c>
      <c r="N691" t="str">
        <f>VLOOKUP(M691,LUTs!E$2:H$14,3,)</f>
        <v>20Other</v>
      </c>
      <c r="O691" t="str">
        <f>VLOOKUP(M691,LUTs!E$2:H$14,4,)</f>
        <v>07Non Puget Sound</v>
      </c>
      <c r="P691" s="80">
        <v>2.5390625</v>
      </c>
      <c r="Q691" s="102">
        <v>2.5390625</v>
      </c>
      <c r="R691" s="74">
        <f>VLOOKUP(B691,Readme!A$40:C$52,3,)*Q691</f>
        <v>21.683593749999996</v>
      </c>
    </row>
    <row r="692" spans="1:18" ht="12" customHeight="1" x14ac:dyDescent="0.35">
      <c r="A692" s="75">
        <v>634</v>
      </c>
      <c r="B692" s="80">
        <v>2012</v>
      </c>
      <c r="C692" s="80">
        <v>1</v>
      </c>
      <c r="D692" s="80">
        <f t="shared" si="38"/>
        <v>2011</v>
      </c>
      <c r="E692" t="s">
        <v>38</v>
      </c>
      <c r="F692" t="s">
        <v>143</v>
      </c>
      <c r="G692" t="s">
        <v>86</v>
      </c>
      <c r="H692" s="72" t="s">
        <v>222</v>
      </c>
      <c r="I692" s="72" t="s">
        <v>64</v>
      </c>
      <c r="J692" t="str">
        <f t="shared" si="40"/>
        <v>Snoqualmie River</v>
      </c>
      <c r="K692" t="str">
        <f>IFERROR(VLOOKUP(J692,LUTs!$A$1:$C$73,2,FALSE),"NA")</f>
        <v>Snohomish/King</v>
      </c>
      <c r="L692" t="str">
        <f>IFERROR(VLOOKUP(J692,LUTs!$A$1:$C$73,3,FALSE),"NA")</f>
        <v>2Central Puget Sound</v>
      </c>
      <c r="M692" s="72" t="s">
        <v>20</v>
      </c>
      <c r="N692" t="str">
        <f>VLOOKUP(M692,LUTs!E$2:H$14,3,)</f>
        <v>07Pierce</v>
      </c>
      <c r="O692" t="str">
        <f>VLOOKUP(M692,LUTs!E$2:H$14,4,)</f>
        <v>02South Puget Sound</v>
      </c>
      <c r="P692" s="80">
        <v>2.5390625</v>
      </c>
      <c r="Q692" s="102">
        <v>2.5390625</v>
      </c>
      <c r="R692" s="74">
        <f>VLOOKUP(B692,Readme!A$40:C$52,3,)*Q692</f>
        <v>21.683593749999996</v>
      </c>
    </row>
    <row r="693" spans="1:18" ht="12" customHeight="1" x14ac:dyDescent="0.35">
      <c r="A693" s="75">
        <v>635</v>
      </c>
      <c r="B693" s="80">
        <v>2012</v>
      </c>
      <c r="C693" s="80">
        <v>1</v>
      </c>
      <c r="D693" s="80">
        <f t="shared" si="38"/>
        <v>2011</v>
      </c>
      <c r="E693" t="s">
        <v>38</v>
      </c>
      <c r="F693" t="s">
        <v>143</v>
      </c>
      <c r="G693" t="s">
        <v>86</v>
      </c>
      <c r="H693" s="72" t="s">
        <v>222</v>
      </c>
      <c r="I693" s="72" t="s">
        <v>64</v>
      </c>
      <c r="J693" t="str">
        <f t="shared" si="40"/>
        <v>Snoqualmie River</v>
      </c>
      <c r="K693" t="str">
        <f>IFERROR(VLOOKUP(J693,LUTs!$A$1:$C$73,2,FALSE),"NA")</f>
        <v>Snohomish/King</v>
      </c>
      <c r="L693" t="str">
        <f>IFERROR(VLOOKUP(J693,LUTs!$A$1:$C$73,3,FALSE),"NA")</f>
        <v>2Central Puget Sound</v>
      </c>
      <c r="M693" s="72" t="s">
        <v>16</v>
      </c>
      <c r="N693" t="str">
        <f>VLOOKUP(M693,LUTs!E$2:H$14,3,)</f>
        <v>03Snohomish</v>
      </c>
      <c r="O693" t="str">
        <f>VLOOKUP(M693,LUTs!E$2:H$14,4,)</f>
        <v>01North Puget Sound</v>
      </c>
      <c r="P693" s="80">
        <v>2.5390625</v>
      </c>
      <c r="Q693" s="102">
        <v>2.5390625</v>
      </c>
      <c r="R693" s="74">
        <f>VLOOKUP(B693,Readme!A$40:C$52,3,)*Q693</f>
        <v>21.683593749999996</v>
      </c>
    </row>
    <row r="694" spans="1:18" ht="12" customHeight="1" x14ac:dyDescent="0.35">
      <c r="A694" s="75">
        <v>636</v>
      </c>
      <c r="B694" s="80">
        <v>2012</v>
      </c>
      <c r="C694" s="80">
        <v>1</v>
      </c>
      <c r="D694" s="80">
        <f t="shared" si="38"/>
        <v>2011</v>
      </c>
      <c r="E694" t="s">
        <v>38</v>
      </c>
      <c r="F694" t="s">
        <v>143</v>
      </c>
      <c r="G694" t="s">
        <v>86</v>
      </c>
      <c r="H694" s="72" t="s">
        <v>222</v>
      </c>
      <c r="I694" s="72" t="s">
        <v>64</v>
      </c>
      <c r="J694" t="str">
        <f t="shared" si="40"/>
        <v>Snoqualmie River</v>
      </c>
      <c r="K694" t="str">
        <f>IFERROR(VLOOKUP(J694,LUTs!$A$1:$C$73,2,FALSE),"NA")</f>
        <v>Snohomish/King</v>
      </c>
      <c r="L694" t="str">
        <f>IFERROR(VLOOKUP(J694,LUTs!$A$1:$C$73,3,FALSE),"NA")</f>
        <v>2Central Puget Sound</v>
      </c>
      <c r="M694" s="72" t="s">
        <v>13</v>
      </c>
      <c r="N694" t="str">
        <f>VLOOKUP(M694,LUTs!E$2:H$14,3,)</f>
        <v>01Whatcom</v>
      </c>
      <c r="O694" t="str">
        <f>VLOOKUP(M694,LUTs!E$2:H$14,4,)</f>
        <v>01North Puget Sound</v>
      </c>
      <c r="P694" s="80">
        <v>2.5390625</v>
      </c>
      <c r="Q694" s="102">
        <v>2.5390625</v>
      </c>
      <c r="R694" s="74">
        <f>VLOOKUP(B694,Readme!A$40:C$52,3,)*Q694</f>
        <v>21.683593749999996</v>
      </c>
    </row>
    <row r="695" spans="1:18" ht="12" customHeight="1" x14ac:dyDescent="0.35">
      <c r="A695" s="75">
        <v>698</v>
      </c>
      <c r="B695" s="80">
        <v>2012</v>
      </c>
      <c r="C695" s="80">
        <v>1</v>
      </c>
      <c r="D695" s="80">
        <f t="shared" si="38"/>
        <v>2011</v>
      </c>
      <c r="E695" t="s">
        <v>38</v>
      </c>
      <c r="F695" t="s">
        <v>143</v>
      </c>
      <c r="G695" t="s">
        <v>86</v>
      </c>
      <c r="H695" s="72" t="s">
        <v>223</v>
      </c>
      <c r="I695" s="72" t="s">
        <v>103</v>
      </c>
      <c r="J695" t="str">
        <f t="shared" si="40"/>
        <v>Stillaguamish R, No. Fork</v>
      </c>
      <c r="K695" t="str">
        <f>IFERROR(VLOOKUP(J695,LUTs!$A$1:$C$73,2,FALSE),"NA")</f>
        <v>Snohomish</v>
      </c>
      <c r="L695" t="str">
        <f>IFERROR(VLOOKUP(J695,LUTs!$A$1:$C$73,3,FALSE),"NA")</f>
        <v>2Central Puget Sound</v>
      </c>
      <c r="M695" s="72" t="s">
        <v>18</v>
      </c>
      <c r="N695" t="str">
        <f>VLOOKUP(M695,LUTs!E$2:H$14,3,)</f>
        <v>06King</v>
      </c>
      <c r="O695" t="str">
        <f>VLOOKUP(M695,LUTs!E$2:H$14,4,)</f>
        <v>02South Puget Sound</v>
      </c>
      <c r="P695" s="80">
        <v>5</v>
      </c>
      <c r="Q695" s="102">
        <v>5</v>
      </c>
      <c r="R695" s="74">
        <f>VLOOKUP(B695,Readme!A$40:C$52,3,)*Q695</f>
        <v>42.699999999999996</v>
      </c>
    </row>
    <row r="696" spans="1:18" ht="12" customHeight="1" x14ac:dyDescent="0.35">
      <c r="A696" s="75">
        <v>699</v>
      </c>
      <c r="B696" s="80">
        <v>2012</v>
      </c>
      <c r="C696" s="80">
        <v>1</v>
      </c>
      <c r="D696" s="80">
        <f t="shared" si="38"/>
        <v>2011</v>
      </c>
      <c r="E696" t="s">
        <v>38</v>
      </c>
      <c r="F696" t="s">
        <v>143</v>
      </c>
      <c r="G696" t="s">
        <v>86</v>
      </c>
      <c r="H696" s="72" t="s">
        <v>223</v>
      </c>
      <c r="I696" s="72" t="s">
        <v>103</v>
      </c>
      <c r="J696" t="str">
        <f t="shared" si="40"/>
        <v>Stillaguamish R, No. Fork</v>
      </c>
      <c r="K696" t="str">
        <f>IFERROR(VLOOKUP(J696,LUTs!$A$1:$C$73,2,FALSE),"NA")</f>
        <v>Snohomish</v>
      </c>
      <c r="L696" t="str">
        <f>IFERROR(VLOOKUP(J696,LUTs!$A$1:$C$73,3,FALSE),"NA")</f>
        <v>2Central Puget Sound</v>
      </c>
      <c r="M696" s="72" t="s">
        <v>30</v>
      </c>
      <c r="N696" t="str">
        <f>VLOOKUP(M696,LUTs!E$2:H$14,3,)</f>
        <v>05San Juan</v>
      </c>
      <c r="O696" t="str">
        <f>VLOOKUP(M696,LUTs!E$2:H$14,4,)</f>
        <v>01North Puget Sound</v>
      </c>
      <c r="P696" s="80">
        <v>2.5</v>
      </c>
      <c r="Q696" s="102">
        <v>2.5</v>
      </c>
      <c r="R696" s="74">
        <f>VLOOKUP(B696,Readme!A$40:C$52,3,)*Q696</f>
        <v>21.349999999999998</v>
      </c>
    </row>
    <row r="697" spans="1:18" ht="12" customHeight="1" x14ac:dyDescent="0.35">
      <c r="A697" s="75">
        <v>700</v>
      </c>
      <c r="B697" s="80">
        <v>2012</v>
      </c>
      <c r="C697" s="80">
        <v>1</v>
      </c>
      <c r="D697" s="80">
        <f t="shared" si="38"/>
        <v>2011</v>
      </c>
      <c r="E697" t="s">
        <v>38</v>
      </c>
      <c r="F697" t="s">
        <v>143</v>
      </c>
      <c r="G697" t="s">
        <v>86</v>
      </c>
      <c r="H697" s="72" t="s">
        <v>223</v>
      </c>
      <c r="I697" s="72" t="s">
        <v>103</v>
      </c>
      <c r="J697" t="str">
        <f t="shared" si="40"/>
        <v>Stillaguamish R, No. Fork</v>
      </c>
      <c r="K697" t="str">
        <f>IFERROR(VLOOKUP(J697,LUTs!$A$1:$C$73,2,FALSE),"NA")</f>
        <v>Snohomish</v>
      </c>
      <c r="L697" t="str">
        <f>IFERROR(VLOOKUP(J697,LUTs!$A$1:$C$73,3,FALSE),"NA")</f>
        <v>2Central Puget Sound</v>
      </c>
      <c r="M697" s="72" t="s">
        <v>16</v>
      </c>
      <c r="N697" t="str">
        <f>VLOOKUP(M697,LUTs!E$2:H$14,3,)</f>
        <v>03Snohomish</v>
      </c>
      <c r="O697" t="str">
        <f>VLOOKUP(M697,LUTs!E$2:H$14,4,)</f>
        <v>01North Puget Sound</v>
      </c>
      <c r="P697" s="80">
        <v>77.5</v>
      </c>
      <c r="Q697" s="102">
        <v>77.5</v>
      </c>
      <c r="R697" s="74">
        <f>VLOOKUP(B697,Readme!A$40:C$52,3,)*Q697</f>
        <v>661.84999999999991</v>
      </c>
    </row>
    <row r="698" spans="1:18" ht="12" customHeight="1" x14ac:dyDescent="0.35">
      <c r="A698" s="75">
        <v>711</v>
      </c>
      <c r="B698" s="80">
        <v>2012</v>
      </c>
      <c r="C698" s="80">
        <v>1</v>
      </c>
      <c r="D698" s="80">
        <f t="shared" si="38"/>
        <v>2011</v>
      </c>
      <c r="E698" t="s">
        <v>38</v>
      </c>
      <c r="F698" t="s">
        <v>143</v>
      </c>
      <c r="G698" t="s">
        <v>86</v>
      </c>
      <c r="H698" s="72" t="s">
        <v>253</v>
      </c>
      <c r="I698" s="72" t="s">
        <v>65</v>
      </c>
      <c r="J698" t="str">
        <f t="shared" si="40"/>
        <v>Stillaguamish River</v>
      </c>
      <c r="K698" t="str">
        <f>IFERROR(VLOOKUP(J698,LUTs!$A$1:$C$73,2,FALSE),"NA")</f>
        <v>Snohomish</v>
      </c>
      <c r="L698" t="str">
        <f>IFERROR(VLOOKUP(J698,LUTs!$A$1:$C$73,3,FALSE),"NA")</f>
        <v>2Central Puget Sound</v>
      </c>
      <c r="M698" s="72" t="s">
        <v>16</v>
      </c>
      <c r="N698" t="str">
        <f>VLOOKUP(M698,LUTs!E$2:H$14,3,)</f>
        <v>03Snohomish</v>
      </c>
      <c r="O698" t="str">
        <f>VLOOKUP(M698,LUTs!E$2:H$14,4,)</f>
        <v>01North Puget Sound</v>
      </c>
      <c r="P698" s="80">
        <v>15</v>
      </c>
      <c r="Q698" s="102">
        <v>15</v>
      </c>
      <c r="R698" s="74">
        <f>VLOOKUP(B698,Readme!A$40:C$52,3,)*Q698</f>
        <v>128.1</v>
      </c>
    </row>
    <row r="699" spans="1:18" ht="12" customHeight="1" x14ac:dyDescent="0.35">
      <c r="A699" s="75">
        <v>646</v>
      </c>
      <c r="B699" s="80">
        <v>2012</v>
      </c>
      <c r="C699" s="80">
        <v>1</v>
      </c>
      <c r="D699" s="80">
        <f t="shared" si="38"/>
        <v>2011</v>
      </c>
      <c r="E699" t="s">
        <v>38</v>
      </c>
      <c r="F699" t="s">
        <v>143</v>
      </c>
      <c r="G699" t="s">
        <v>86</v>
      </c>
      <c r="H699" s="72" t="s">
        <v>249</v>
      </c>
      <c r="I699" s="72" t="s">
        <v>100</v>
      </c>
      <c r="J699" t="str">
        <f t="shared" si="40"/>
        <v>Sultan River</v>
      </c>
      <c r="K699" t="str">
        <f>IFERROR(VLOOKUP(J699,LUTs!$A$1:$C$73,2,FALSE),"NA")</f>
        <v>Snohomish</v>
      </c>
      <c r="L699" t="str">
        <f>IFERROR(VLOOKUP(J699,LUTs!$A$1:$C$73,3,FALSE),"NA")</f>
        <v>2Central Puget Sound</v>
      </c>
      <c r="M699" s="72" t="s">
        <v>16</v>
      </c>
      <c r="N699" t="str">
        <f>VLOOKUP(M699,LUTs!E$2:H$14,3,)</f>
        <v>03Snohomish</v>
      </c>
      <c r="O699" t="str">
        <f>VLOOKUP(M699,LUTs!E$2:H$14,4,)</f>
        <v>01North Puget Sound</v>
      </c>
      <c r="P699" s="80">
        <v>5</v>
      </c>
      <c r="Q699" s="102">
        <v>5</v>
      </c>
      <c r="R699" s="74">
        <f>VLOOKUP(B699,Readme!A$40:C$52,3,)*Q699</f>
        <v>42.699999999999996</v>
      </c>
    </row>
    <row r="700" spans="1:18" ht="12" customHeight="1" x14ac:dyDescent="0.35">
      <c r="A700" s="75">
        <v>649</v>
      </c>
      <c r="B700" s="80">
        <v>2012</v>
      </c>
      <c r="C700" s="80">
        <v>1</v>
      </c>
      <c r="D700" s="80">
        <f t="shared" si="38"/>
        <v>2011</v>
      </c>
      <c r="E700" t="s">
        <v>38</v>
      </c>
      <c r="F700" t="s">
        <v>143</v>
      </c>
      <c r="G700" t="s">
        <v>86</v>
      </c>
      <c r="H700" s="72" t="s">
        <v>250</v>
      </c>
      <c r="I700" s="72" t="s">
        <v>101</v>
      </c>
      <c r="J700" t="str">
        <f t="shared" si="40"/>
        <v>Tokul Creek</v>
      </c>
      <c r="K700" t="str">
        <f>IFERROR(VLOOKUP(J700,LUTs!$A$1:$C$73,2,FALSE),"NA")</f>
        <v>King</v>
      </c>
      <c r="L700" t="str">
        <f>IFERROR(VLOOKUP(J700,LUTs!$A$1:$C$73,3,FALSE),"NA")</f>
        <v>2Central Puget Sound</v>
      </c>
      <c r="M700" s="72" t="s">
        <v>18</v>
      </c>
      <c r="N700" t="str">
        <f>VLOOKUP(M700,LUTs!E$2:H$14,3,)</f>
        <v>06King</v>
      </c>
      <c r="O700" t="str">
        <f>VLOOKUP(M700,LUTs!E$2:H$14,4,)</f>
        <v>02South Puget Sound</v>
      </c>
      <c r="P700" s="80">
        <v>309.42028985507301</v>
      </c>
      <c r="Q700" s="102">
        <v>309.42028985507301</v>
      </c>
      <c r="R700" s="74">
        <f>VLOOKUP(B700,Readme!A$40:C$52,3,)*Q700</f>
        <v>2642.4492753623231</v>
      </c>
    </row>
    <row r="701" spans="1:18" ht="12" customHeight="1" x14ac:dyDescent="0.35">
      <c r="A701" s="75">
        <v>650</v>
      </c>
      <c r="B701" s="80">
        <v>2012</v>
      </c>
      <c r="C701" s="80">
        <v>1</v>
      </c>
      <c r="D701" s="80">
        <f t="shared" si="38"/>
        <v>2011</v>
      </c>
      <c r="E701" t="s">
        <v>38</v>
      </c>
      <c r="F701" t="s">
        <v>143</v>
      </c>
      <c r="G701" t="s">
        <v>86</v>
      </c>
      <c r="H701" s="72" t="s">
        <v>250</v>
      </c>
      <c r="I701" s="72" t="s">
        <v>101</v>
      </c>
      <c r="J701" t="str">
        <f t="shared" si="40"/>
        <v>Tokul Creek</v>
      </c>
      <c r="K701" t="str">
        <f>IFERROR(VLOOKUP(J701,LUTs!$A$1:$C$73,2,FALSE),"NA")</f>
        <v>King</v>
      </c>
      <c r="L701" t="str">
        <f>IFERROR(VLOOKUP(J701,LUTs!$A$1:$C$73,3,FALSE),"NA")</f>
        <v>2Central Puget Sound</v>
      </c>
      <c r="M701" s="72" t="s">
        <v>23</v>
      </c>
      <c r="N701" t="str">
        <f>VLOOKUP(M701,LUTs!E$2:H$14,3,)</f>
        <v>10Kitsap</v>
      </c>
      <c r="O701" t="str">
        <f>VLOOKUP(M701,LUTs!E$2:H$14,4,)</f>
        <v>02South Puget Sound</v>
      </c>
      <c r="P701" s="80">
        <v>2.5362318840579698</v>
      </c>
      <c r="Q701" s="102">
        <v>2.5362318840579698</v>
      </c>
      <c r="R701" s="74">
        <f>VLOOKUP(B701,Readme!A$40:C$52,3,)*Q701</f>
        <v>21.65942028985506</v>
      </c>
    </row>
    <row r="702" spans="1:18" ht="12" customHeight="1" x14ac:dyDescent="0.35">
      <c r="A702" s="75">
        <v>651</v>
      </c>
      <c r="B702" s="80">
        <v>2012</v>
      </c>
      <c r="C702" s="80">
        <v>1</v>
      </c>
      <c r="D702" s="80">
        <f t="shared" si="38"/>
        <v>2011</v>
      </c>
      <c r="E702" t="s">
        <v>38</v>
      </c>
      <c r="F702" t="s">
        <v>143</v>
      </c>
      <c r="G702" t="s">
        <v>86</v>
      </c>
      <c r="H702" s="72" t="s">
        <v>250</v>
      </c>
      <c r="I702" s="72" t="s">
        <v>101</v>
      </c>
      <c r="J702" t="str">
        <f t="shared" si="40"/>
        <v>Tokul Creek</v>
      </c>
      <c r="K702" t="str">
        <f>IFERROR(VLOOKUP(J702,LUTs!$A$1:$C$73,2,FALSE),"NA")</f>
        <v>King</v>
      </c>
      <c r="L702" t="str">
        <f>IFERROR(VLOOKUP(J702,LUTs!$A$1:$C$73,3,FALSE),"NA")</f>
        <v>2Central Puget Sound</v>
      </c>
      <c r="M702" s="72" t="s">
        <v>26</v>
      </c>
      <c r="N702" t="str">
        <f>VLOOKUP(M702,LUTs!E$2:H$14,3,)</f>
        <v>20Other</v>
      </c>
      <c r="O702" t="str">
        <f>VLOOKUP(M702,LUTs!E$2:H$14,4,)</f>
        <v>07Non Puget Sound</v>
      </c>
      <c r="P702" s="80">
        <v>10.144927536231901</v>
      </c>
      <c r="Q702" s="102">
        <v>10.144927536231901</v>
      </c>
      <c r="R702" s="74">
        <f>VLOOKUP(B702,Readme!A$40:C$52,3,)*Q702</f>
        <v>86.637681159420424</v>
      </c>
    </row>
    <row r="703" spans="1:18" ht="12" customHeight="1" x14ac:dyDescent="0.35">
      <c r="A703" s="75">
        <v>652</v>
      </c>
      <c r="B703" s="80">
        <v>2012</v>
      </c>
      <c r="C703" s="80">
        <v>1</v>
      </c>
      <c r="D703" s="80">
        <f t="shared" si="38"/>
        <v>2011</v>
      </c>
      <c r="E703" t="s">
        <v>38</v>
      </c>
      <c r="F703" t="s">
        <v>143</v>
      </c>
      <c r="G703" t="s">
        <v>86</v>
      </c>
      <c r="H703" s="72" t="s">
        <v>250</v>
      </c>
      <c r="I703" s="72" t="s">
        <v>101</v>
      </c>
      <c r="J703" t="str">
        <f t="shared" si="40"/>
        <v>Tokul Creek</v>
      </c>
      <c r="K703" t="str">
        <f>IFERROR(VLOOKUP(J703,LUTs!$A$1:$C$73,2,FALSE),"NA")</f>
        <v>King</v>
      </c>
      <c r="L703" t="str">
        <f>IFERROR(VLOOKUP(J703,LUTs!$A$1:$C$73,3,FALSE),"NA")</f>
        <v>2Central Puget Sound</v>
      </c>
      <c r="M703" s="72" t="s">
        <v>20</v>
      </c>
      <c r="N703" t="str">
        <f>VLOOKUP(M703,LUTs!E$2:H$14,3,)</f>
        <v>07Pierce</v>
      </c>
      <c r="O703" t="str">
        <f>VLOOKUP(M703,LUTs!E$2:H$14,4,)</f>
        <v>02South Puget Sound</v>
      </c>
      <c r="P703" s="80">
        <v>17.7536231884058</v>
      </c>
      <c r="Q703" s="102">
        <v>17.7536231884058</v>
      </c>
      <c r="R703" s="74">
        <f>VLOOKUP(B703,Readme!A$40:C$52,3,)*Q703</f>
        <v>151.61594202898553</v>
      </c>
    </row>
    <row r="704" spans="1:18" ht="12" customHeight="1" x14ac:dyDescent="0.35">
      <c r="A704" s="75">
        <v>653</v>
      </c>
      <c r="B704" s="80">
        <v>2012</v>
      </c>
      <c r="C704" s="80">
        <v>1</v>
      </c>
      <c r="D704" s="80">
        <f t="shared" si="38"/>
        <v>2011</v>
      </c>
      <c r="E704" t="s">
        <v>38</v>
      </c>
      <c r="F704" t="s">
        <v>143</v>
      </c>
      <c r="G704" t="s">
        <v>86</v>
      </c>
      <c r="H704" s="72" t="s">
        <v>250</v>
      </c>
      <c r="I704" s="72" t="s">
        <v>101</v>
      </c>
      <c r="J704" t="str">
        <f t="shared" si="40"/>
        <v>Tokul Creek</v>
      </c>
      <c r="K704" t="str">
        <f>IFERROR(VLOOKUP(J704,LUTs!$A$1:$C$73,2,FALSE),"NA")</f>
        <v>King</v>
      </c>
      <c r="L704" t="str">
        <f>IFERROR(VLOOKUP(J704,LUTs!$A$1:$C$73,3,FALSE),"NA")</f>
        <v>2Central Puget Sound</v>
      </c>
      <c r="M704" s="72" t="s">
        <v>16</v>
      </c>
      <c r="N704" t="str">
        <f>VLOOKUP(M704,LUTs!E$2:H$14,3,)</f>
        <v>03Snohomish</v>
      </c>
      <c r="O704" t="str">
        <f>VLOOKUP(M704,LUTs!E$2:H$14,4,)</f>
        <v>01North Puget Sound</v>
      </c>
      <c r="P704" s="80">
        <v>10.144927536231901</v>
      </c>
      <c r="Q704" s="102">
        <v>10.144927536231901</v>
      </c>
      <c r="R704" s="74">
        <f>VLOOKUP(B704,Readme!A$40:C$52,3,)*Q704</f>
        <v>86.637681159420424</v>
      </c>
    </row>
    <row r="705" spans="1:18" ht="12" customHeight="1" x14ac:dyDescent="0.35">
      <c r="A705" s="75">
        <v>672</v>
      </c>
      <c r="B705" s="80">
        <v>2012</v>
      </c>
      <c r="C705" s="80">
        <v>1</v>
      </c>
      <c r="D705" s="80">
        <f t="shared" si="38"/>
        <v>2011</v>
      </c>
      <c r="E705" t="s">
        <v>38</v>
      </c>
      <c r="F705" t="s">
        <v>143</v>
      </c>
      <c r="G705" t="s">
        <v>86</v>
      </c>
      <c r="H705" s="72" t="s">
        <v>233</v>
      </c>
      <c r="I705" s="72" t="s">
        <v>76</v>
      </c>
      <c r="J705" t="str">
        <f t="shared" si="40"/>
        <v>Wallace River</v>
      </c>
      <c r="K705" t="str">
        <f>IFERROR(VLOOKUP(J705,LUTs!$A$1:$C$73,2,FALSE),"NA")</f>
        <v>Snohomish</v>
      </c>
      <c r="L705" t="str">
        <f>IFERROR(VLOOKUP(J705,LUTs!$A$1:$C$73,3,FALSE),"NA")</f>
        <v>2Central Puget Sound</v>
      </c>
      <c r="M705" s="72" t="s">
        <v>18</v>
      </c>
      <c r="N705" t="str">
        <f>VLOOKUP(M705,LUTs!E$2:H$14,3,)</f>
        <v>06King</v>
      </c>
      <c r="O705" t="str">
        <f>VLOOKUP(M705,LUTs!E$2:H$14,4,)</f>
        <v>02South Puget Sound</v>
      </c>
      <c r="P705" s="80">
        <v>7.5789473684210504</v>
      </c>
      <c r="Q705" s="102">
        <v>7.5789473684210504</v>
      </c>
      <c r="R705" s="74">
        <f>VLOOKUP(B705,Readme!A$40:C$52,3,)*Q705</f>
        <v>64.724210526315758</v>
      </c>
    </row>
    <row r="706" spans="1:18" ht="12" customHeight="1" x14ac:dyDescent="0.35">
      <c r="A706" s="75">
        <v>673</v>
      </c>
      <c r="B706" s="80">
        <v>2012</v>
      </c>
      <c r="C706" s="80">
        <v>1</v>
      </c>
      <c r="D706" s="80">
        <f t="shared" ref="D706:D769" si="41">IF(C706&gt;3,B706,B706-1)</f>
        <v>2011</v>
      </c>
      <c r="E706" t="s">
        <v>38</v>
      </c>
      <c r="F706" t="s">
        <v>143</v>
      </c>
      <c r="G706" t="s">
        <v>86</v>
      </c>
      <c r="H706" s="72" t="s">
        <v>233</v>
      </c>
      <c r="I706" s="72" t="s">
        <v>76</v>
      </c>
      <c r="J706" t="str">
        <f t="shared" si="40"/>
        <v>Wallace River</v>
      </c>
      <c r="K706" t="str">
        <f>IFERROR(VLOOKUP(J706,LUTs!$A$1:$C$73,2,FALSE),"NA")</f>
        <v>Snohomish</v>
      </c>
      <c r="L706" t="str">
        <f>IFERROR(VLOOKUP(J706,LUTs!$A$1:$C$73,3,FALSE),"NA")</f>
        <v>2Central Puget Sound</v>
      </c>
      <c r="M706" s="72" t="s">
        <v>26</v>
      </c>
      <c r="N706" t="str">
        <f>VLOOKUP(M706,LUTs!E$2:H$14,3,)</f>
        <v>20Other</v>
      </c>
      <c r="O706" t="str">
        <f>VLOOKUP(M706,LUTs!E$2:H$14,4,)</f>
        <v>07Non Puget Sound</v>
      </c>
      <c r="P706" s="80">
        <v>5.0526315789473699</v>
      </c>
      <c r="Q706" s="102">
        <v>5.0526315789473699</v>
      </c>
      <c r="R706" s="74">
        <f>VLOOKUP(B706,Readme!A$40:C$52,3,)*Q706</f>
        <v>43.149473684210534</v>
      </c>
    </row>
    <row r="707" spans="1:18" ht="12" customHeight="1" x14ac:dyDescent="0.35">
      <c r="A707" s="75">
        <v>674</v>
      </c>
      <c r="B707" s="80">
        <v>2012</v>
      </c>
      <c r="C707" s="80">
        <v>1</v>
      </c>
      <c r="D707" s="80">
        <f t="shared" si="41"/>
        <v>2011</v>
      </c>
      <c r="E707" t="s">
        <v>38</v>
      </c>
      <c r="F707" t="s">
        <v>143</v>
      </c>
      <c r="G707" t="s">
        <v>86</v>
      </c>
      <c r="H707" s="72" t="s">
        <v>233</v>
      </c>
      <c r="I707" s="72" t="s">
        <v>76</v>
      </c>
      <c r="J707" t="str">
        <f t="shared" si="40"/>
        <v>Wallace River</v>
      </c>
      <c r="K707" t="str">
        <f>IFERROR(VLOOKUP(J707,LUTs!$A$1:$C$73,2,FALSE),"NA")</f>
        <v>Snohomish</v>
      </c>
      <c r="L707" t="str">
        <f>IFERROR(VLOOKUP(J707,LUTs!$A$1:$C$73,3,FALSE),"NA")</f>
        <v>2Central Puget Sound</v>
      </c>
      <c r="M707" s="72" t="s">
        <v>20</v>
      </c>
      <c r="N707" t="str">
        <f>VLOOKUP(M707,LUTs!E$2:H$14,3,)</f>
        <v>07Pierce</v>
      </c>
      <c r="O707" t="str">
        <f>VLOOKUP(M707,LUTs!E$2:H$14,4,)</f>
        <v>02South Puget Sound</v>
      </c>
      <c r="P707" s="80">
        <v>2.5263157894736801</v>
      </c>
      <c r="Q707" s="102">
        <v>2.5263157894736801</v>
      </c>
      <c r="R707" s="74">
        <f>VLOOKUP(B707,Readme!A$40:C$52,3,)*Q707</f>
        <v>21.574736842105224</v>
      </c>
    </row>
    <row r="708" spans="1:18" ht="12" customHeight="1" x14ac:dyDescent="0.35">
      <c r="A708" s="75">
        <v>675</v>
      </c>
      <c r="B708" s="80">
        <v>2012</v>
      </c>
      <c r="C708" s="80">
        <v>1</v>
      </c>
      <c r="D708" s="80">
        <f t="shared" si="41"/>
        <v>2011</v>
      </c>
      <c r="E708" t="s">
        <v>38</v>
      </c>
      <c r="F708" t="s">
        <v>143</v>
      </c>
      <c r="G708" t="s">
        <v>86</v>
      </c>
      <c r="H708" s="72" t="s">
        <v>233</v>
      </c>
      <c r="I708" s="72" t="s">
        <v>76</v>
      </c>
      <c r="J708" t="str">
        <f t="shared" si="40"/>
        <v>Wallace River</v>
      </c>
      <c r="K708" t="str">
        <f>IFERROR(VLOOKUP(J708,LUTs!$A$1:$C$73,2,FALSE),"NA")</f>
        <v>Snohomish</v>
      </c>
      <c r="L708" t="str">
        <f>IFERROR(VLOOKUP(J708,LUTs!$A$1:$C$73,3,FALSE),"NA")</f>
        <v>2Central Puget Sound</v>
      </c>
      <c r="M708" s="72" t="s">
        <v>15</v>
      </c>
      <c r="N708" t="str">
        <f>VLOOKUP(M708,LUTs!E$2:H$14,3,)</f>
        <v>02Skagit</v>
      </c>
      <c r="O708" t="str">
        <f>VLOOKUP(M708,LUTs!E$2:H$14,4,)</f>
        <v>01North Puget Sound</v>
      </c>
      <c r="P708" s="80">
        <v>2.5263157894736801</v>
      </c>
      <c r="Q708" s="102">
        <v>2.5263157894736801</v>
      </c>
      <c r="R708" s="74">
        <f>VLOOKUP(B708,Readme!A$40:C$52,3,)*Q708</f>
        <v>21.574736842105224</v>
      </c>
    </row>
    <row r="709" spans="1:18" ht="12" customHeight="1" x14ac:dyDescent="0.35">
      <c r="A709" s="75">
        <v>676</v>
      </c>
      <c r="B709" s="80">
        <v>2012</v>
      </c>
      <c r="C709" s="80">
        <v>1</v>
      </c>
      <c r="D709" s="80">
        <f t="shared" si="41"/>
        <v>2011</v>
      </c>
      <c r="E709" t="s">
        <v>38</v>
      </c>
      <c r="F709" t="s">
        <v>143</v>
      </c>
      <c r="G709" t="s">
        <v>86</v>
      </c>
      <c r="H709" s="72" t="s">
        <v>233</v>
      </c>
      <c r="I709" s="72" t="s">
        <v>76</v>
      </c>
      <c r="J709" t="str">
        <f t="shared" si="40"/>
        <v>Wallace River</v>
      </c>
      <c r="K709" t="str">
        <f>IFERROR(VLOOKUP(J709,LUTs!$A$1:$C$73,2,FALSE),"NA")</f>
        <v>Snohomish</v>
      </c>
      <c r="L709" t="str">
        <f>IFERROR(VLOOKUP(J709,LUTs!$A$1:$C$73,3,FALSE),"NA")</f>
        <v>2Central Puget Sound</v>
      </c>
      <c r="M709" s="72" t="s">
        <v>16</v>
      </c>
      <c r="N709" t="str">
        <f>VLOOKUP(M709,LUTs!E$2:H$14,3,)</f>
        <v>03Snohomish</v>
      </c>
      <c r="O709" t="str">
        <f>VLOOKUP(M709,LUTs!E$2:H$14,4,)</f>
        <v>01North Puget Sound</v>
      </c>
      <c r="P709" s="80">
        <v>78.315789473684205</v>
      </c>
      <c r="Q709" s="102">
        <v>78.315789473684205</v>
      </c>
      <c r="R709" s="74">
        <f>VLOOKUP(B709,Readme!A$40:C$52,3,)*Q709</f>
        <v>668.81684210526305</v>
      </c>
    </row>
    <row r="710" spans="1:18" ht="12" customHeight="1" x14ac:dyDescent="0.35">
      <c r="A710" s="75">
        <v>735</v>
      </c>
      <c r="B710" s="80">
        <v>2012</v>
      </c>
      <c r="C710" s="80">
        <v>2</v>
      </c>
      <c r="D710" s="80">
        <f t="shared" si="41"/>
        <v>2011</v>
      </c>
      <c r="E710" t="s">
        <v>38</v>
      </c>
      <c r="F710" t="s">
        <v>143</v>
      </c>
      <c r="G710" t="s">
        <v>86</v>
      </c>
      <c r="H710" s="72" t="s">
        <v>254</v>
      </c>
      <c r="I710" s="72" t="s">
        <v>33</v>
      </c>
      <c r="J710" t="str">
        <f t="shared" si="40"/>
        <v>Area 9: Admiralty Inlet</v>
      </c>
      <c r="K710" t="str">
        <f>IFERROR(VLOOKUP(J710,LUTs!$A$1:$C$73,2,FALSE),"NA")</f>
        <v>NA</v>
      </c>
      <c r="L710" t="str">
        <f>IFERROR(VLOOKUP(J710,LUTs!$A$1:$C$73,3,FALSE),"NA")</f>
        <v>2Central Puget Sound</v>
      </c>
      <c r="M710" s="72" t="s">
        <v>26</v>
      </c>
      <c r="N710" t="str">
        <f>VLOOKUP(M710,LUTs!E$2:H$14,3,)</f>
        <v>20Other</v>
      </c>
      <c r="O710" t="str">
        <f>VLOOKUP(M710,LUTs!E$2:H$14,4,)</f>
        <v>07Non Puget Sound</v>
      </c>
      <c r="P710" s="80">
        <v>4</v>
      </c>
      <c r="Q710" s="102">
        <v>4</v>
      </c>
      <c r="R710" s="74">
        <f>VLOOKUP(B710,Readme!A$40:C$52,3,)*Q710</f>
        <v>34.159999999999997</v>
      </c>
    </row>
    <row r="711" spans="1:18" ht="12" customHeight="1" x14ac:dyDescent="0.35">
      <c r="A711" s="75">
        <v>495</v>
      </c>
      <c r="B711" s="80">
        <v>2012</v>
      </c>
      <c r="C711" s="80">
        <v>2</v>
      </c>
      <c r="D711" s="80">
        <f t="shared" si="41"/>
        <v>2011</v>
      </c>
      <c r="E711" t="s">
        <v>38</v>
      </c>
      <c r="F711" t="s">
        <v>143</v>
      </c>
      <c r="G711" t="s">
        <v>86</v>
      </c>
      <c r="H711" s="72" t="s">
        <v>217</v>
      </c>
      <c r="I711" s="72" t="s">
        <v>59</v>
      </c>
      <c r="J711" t="str">
        <f t="shared" si="40"/>
        <v>Cascade River</v>
      </c>
      <c r="K711" t="str">
        <f>IFERROR(VLOOKUP(J711,LUTs!$A$1:$C$73,2,FALSE),"NA")</f>
        <v>Skagit</v>
      </c>
      <c r="L711" t="str">
        <f>IFERROR(VLOOKUP(J711,LUTs!$A$1:$C$73,3,FALSE),"NA")</f>
        <v>1North Puget Sound</v>
      </c>
      <c r="M711" s="72" t="s">
        <v>17</v>
      </c>
      <c r="N711" t="str">
        <f>VLOOKUP(M711,LUTs!E$2:H$14,3,)</f>
        <v>04Island</v>
      </c>
      <c r="O711" t="str">
        <f>VLOOKUP(M711,LUTs!E$2:H$14,4,)</f>
        <v>01North Puget Sound</v>
      </c>
      <c r="P711" s="80">
        <v>2.96</v>
      </c>
      <c r="Q711" s="102">
        <v>2.96</v>
      </c>
      <c r="R711" s="74">
        <f>VLOOKUP(B711,Readme!A$40:C$52,3,)*Q711</f>
        <v>25.278399999999998</v>
      </c>
    </row>
    <row r="712" spans="1:18" ht="12" customHeight="1" x14ac:dyDescent="0.35">
      <c r="A712" s="75">
        <v>496</v>
      </c>
      <c r="B712" s="80">
        <v>2012</v>
      </c>
      <c r="C712" s="80">
        <v>2</v>
      </c>
      <c r="D712" s="80">
        <f t="shared" si="41"/>
        <v>2011</v>
      </c>
      <c r="E712" t="s">
        <v>38</v>
      </c>
      <c r="F712" t="s">
        <v>143</v>
      </c>
      <c r="G712" t="s">
        <v>86</v>
      </c>
      <c r="H712" s="72" t="s">
        <v>217</v>
      </c>
      <c r="I712" s="72" t="s">
        <v>59</v>
      </c>
      <c r="J712" t="str">
        <f t="shared" si="40"/>
        <v>Cascade River</v>
      </c>
      <c r="K712" t="str">
        <f>IFERROR(VLOOKUP(J712,LUTs!$A$1:$C$73,2,FALSE),"NA")</f>
        <v>Skagit</v>
      </c>
      <c r="L712" t="str">
        <f>IFERROR(VLOOKUP(J712,LUTs!$A$1:$C$73,3,FALSE),"NA")</f>
        <v>1North Puget Sound</v>
      </c>
      <c r="M712" s="72" t="s">
        <v>26</v>
      </c>
      <c r="N712" t="str">
        <f>VLOOKUP(M712,LUTs!E$2:H$14,3,)</f>
        <v>20Other</v>
      </c>
      <c r="O712" t="str">
        <f>VLOOKUP(M712,LUTs!E$2:H$14,4,)</f>
        <v>07Non Puget Sound</v>
      </c>
      <c r="P712" s="80">
        <v>2.96</v>
      </c>
      <c r="Q712" s="102">
        <v>2.96</v>
      </c>
      <c r="R712" s="74">
        <f>VLOOKUP(B712,Readme!A$40:C$52,3,)*Q712</f>
        <v>25.278399999999998</v>
      </c>
    </row>
    <row r="713" spans="1:18" ht="12" customHeight="1" x14ac:dyDescent="0.35">
      <c r="A713" s="75">
        <v>497</v>
      </c>
      <c r="B713" s="80">
        <v>2012</v>
      </c>
      <c r="C713" s="80">
        <v>2</v>
      </c>
      <c r="D713" s="80">
        <f t="shared" si="41"/>
        <v>2011</v>
      </c>
      <c r="E713" t="s">
        <v>38</v>
      </c>
      <c r="F713" t="s">
        <v>143</v>
      </c>
      <c r="G713" t="s">
        <v>86</v>
      </c>
      <c r="H713" s="72" t="s">
        <v>217</v>
      </c>
      <c r="I713" s="72" t="s">
        <v>59</v>
      </c>
      <c r="J713" t="str">
        <f t="shared" si="40"/>
        <v>Cascade River</v>
      </c>
      <c r="K713" t="str">
        <f>IFERROR(VLOOKUP(J713,LUTs!$A$1:$C$73,2,FALSE),"NA")</f>
        <v>Skagit</v>
      </c>
      <c r="L713" t="str">
        <f>IFERROR(VLOOKUP(J713,LUTs!$A$1:$C$73,3,FALSE),"NA")</f>
        <v>1North Puget Sound</v>
      </c>
      <c r="M713" s="72" t="s">
        <v>15</v>
      </c>
      <c r="N713" t="str">
        <f>VLOOKUP(M713,LUTs!E$2:H$14,3,)</f>
        <v>02Skagit</v>
      </c>
      <c r="O713" t="str">
        <f>VLOOKUP(M713,LUTs!E$2:H$14,4,)</f>
        <v>01North Puget Sound</v>
      </c>
      <c r="P713" s="80">
        <v>59.2</v>
      </c>
      <c r="Q713" s="102">
        <v>59.2</v>
      </c>
      <c r="R713" s="74">
        <f>VLOOKUP(B713,Readme!A$40:C$52,3,)*Q713</f>
        <v>505.56799999999998</v>
      </c>
    </row>
    <row r="714" spans="1:18" ht="12" customHeight="1" x14ac:dyDescent="0.35">
      <c r="A714" s="75">
        <v>498</v>
      </c>
      <c r="B714" s="80">
        <v>2012</v>
      </c>
      <c r="C714" s="80">
        <v>2</v>
      </c>
      <c r="D714" s="80">
        <f t="shared" si="41"/>
        <v>2011</v>
      </c>
      <c r="E714" t="s">
        <v>38</v>
      </c>
      <c r="F714" t="s">
        <v>143</v>
      </c>
      <c r="G714" t="s">
        <v>86</v>
      </c>
      <c r="H714" s="72" t="s">
        <v>217</v>
      </c>
      <c r="I714" s="72" t="s">
        <v>59</v>
      </c>
      <c r="J714" t="str">
        <f t="shared" si="40"/>
        <v>Cascade River</v>
      </c>
      <c r="K714" t="str">
        <f>IFERROR(VLOOKUP(J714,LUTs!$A$1:$C$73,2,FALSE),"NA")</f>
        <v>Skagit</v>
      </c>
      <c r="L714" t="str">
        <f>IFERROR(VLOOKUP(J714,LUTs!$A$1:$C$73,3,FALSE),"NA")</f>
        <v>1North Puget Sound</v>
      </c>
      <c r="M714" s="72" t="s">
        <v>13</v>
      </c>
      <c r="N714" t="str">
        <f>VLOOKUP(M714,LUTs!E$2:H$14,3,)</f>
        <v>01Whatcom</v>
      </c>
      <c r="O714" t="str">
        <f>VLOOKUP(M714,LUTs!E$2:H$14,4,)</f>
        <v>01North Puget Sound</v>
      </c>
      <c r="P714" s="80">
        <v>8.8800000000000008</v>
      </c>
      <c r="Q714" s="102">
        <v>8.8800000000000008</v>
      </c>
      <c r="R714" s="74">
        <f>VLOOKUP(B714,Readme!A$40:C$52,3,)*Q714</f>
        <v>75.8352</v>
      </c>
    </row>
    <row r="715" spans="1:18" ht="12" customHeight="1" x14ac:dyDescent="0.35">
      <c r="A715" s="75">
        <v>392</v>
      </c>
      <c r="B715" s="80">
        <v>2012</v>
      </c>
      <c r="C715" s="80">
        <v>2</v>
      </c>
      <c r="D715" s="80">
        <f t="shared" si="41"/>
        <v>2011</v>
      </c>
      <c r="E715" t="s">
        <v>38</v>
      </c>
      <c r="F715" t="s">
        <v>143</v>
      </c>
      <c r="G715" t="s">
        <v>86</v>
      </c>
      <c r="H715" s="72" t="s">
        <v>204</v>
      </c>
      <c r="I715" s="72" t="s">
        <v>46</v>
      </c>
      <c r="J715" t="str">
        <f t="shared" si="40"/>
        <v>Hoko River</v>
      </c>
      <c r="K715" t="str">
        <f>IFERROR(VLOOKUP(J715,LUTs!$A$1:$C$73,2,FALSE),"NA")</f>
        <v>Clallam</v>
      </c>
      <c r="L715" t="str">
        <f>IFERROR(VLOOKUP(J715,LUTs!$A$1:$C$73,3,FALSE),"NA")</f>
        <v>0Strait of Juan de Fuca</v>
      </c>
      <c r="M715" s="72" t="s">
        <v>24</v>
      </c>
      <c r="N715" t="str">
        <f>VLOOKUP(M715,LUTs!E$2:H$14,3,)</f>
        <v>11Clallam</v>
      </c>
      <c r="O715" t="str">
        <f>VLOOKUP(M715,LUTs!E$2:H$14,4,)</f>
        <v>03Strait of Juan de Fuca</v>
      </c>
      <c r="P715" s="80">
        <v>2.25</v>
      </c>
      <c r="Q715" s="102">
        <v>2.25</v>
      </c>
      <c r="R715" s="74">
        <f>VLOOKUP(B715,Readme!A$40:C$52,3,)*Q715</f>
        <v>19.214999999999996</v>
      </c>
    </row>
    <row r="716" spans="1:18" ht="12" customHeight="1" x14ac:dyDescent="0.35">
      <c r="A716" s="75">
        <v>393</v>
      </c>
      <c r="B716" s="80">
        <v>2012</v>
      </c>
      <c r="C716" s="80">
        <v>2</v>
      </c>
      <c r="D716" s="80">
        <f t="shared" si="41"/>
        <v>2011</v>
      </c>
      <c r="E716" t="s">
        <v>38</v>
      </c>
      <c r="F716" t="s">
        <v>143</v>
      </c>
      <c r="G716" t="s">
        <v>86</v>
      </c>
      <c r="H716" s="72" t="s">
        <v>204</v>
      </c>
      <c r="I716" s="72" t="s">
        <v>46</v>
      </c>
      <c r="J716" t="str">
        <f t="shared" si="40"/>
        <v>Hoko River</v>
      </c>
      <c r="K716" t="str">
        <f>IFERROR(VLOOKUP(J716,LUTs!$A$1:$C$73,2,FALSE),"NA")</f>
        <v>Clallam</v>
      </c>
      <c r="L716" t="str">
        <f>IFERROR(VLOOKUP(J716,LUTs!$A$1:$C$73,3,FALSE),"NA")</f>
        <v>0Strait of Juan de Fuca</v>
      </c>
      <c r="M716" s="72" t="s">
        <v>18</v>
      </c>
      <c r="N716" t="str">
        <f>VLOOKUP(M716,LUTs!E$2:H$14,3,)</f>
        <v>06King</v>
      </c>
      <c r="O716" t="str">
        <f>VLOOKUP(M716,LUTs!E$2:H$14,4,)</f>
        <v>02South Puget Sound</v>
      </c>
      <c r="P716" s="80">
        <v>2.25</v>
      </c>
      <c r="Q716" s="102">
        <v>2.25</v>
      </c>
      <c r="R716" s="74">
        <f>VLOOKUP(B716,Readme!A$40:C$52,3,)*Q716</f>
        <v>19.214999999999996</v>
      </c>
    </row>
    <row r="717" spans="1:18" ht="12" customHeight="1" x14ac:dyDescent="0.35">
      <c r="A717" s="75">
        <v>394</v>
      </c>
      <c r="B717" s="80">
        <v>2012</v>
      </c>
      <c r="C717" s="80">
        <v>2</v>
      </c>
      <c r="D717" s="80">
        <f t="shared" si="41"/>
        <v>2011</v>
      </c>
      <c r="E717" t="s">
        <v>38</v>
      </c>
      <c r="F717" t="s">
        <v>143</v>
      </c>
      <c r="G717" t="s">
        <v>86</v>
      </c>
      <c r="H717" s="72" t="s">
        <v>204</v>
      </c>
      <c r="I717" s="72" t="s">
        <v>46</v>
      </c>
      <c r="J717" t="str">
        <f t="shared" si="40"/>
        <v>Hoko River</v>
      </c>
      <c r="K717" t="str">
        <f>IFERROR(VLOOKUP(J717,LUTs!$A$1:$C$73,2,FALSE),"NA")</f>
        <v>Clallam</v>
      </c>
      <c r="L717" t="str">
        <f>IFERROR(VLOOKUP(J717,LUTs!$A$1:$C$73,3,FALSE),"NA")</f>
        <v>0Strait of Juan de Fuca</v>
      </c>
      <c r="M717" s="72" t="s">
        <v>21</v>
      </c>
      <c r="N717" t="str">
        <f>VLOOKUP(M717,LUTs!E$2:H$14,3,)</f>
        <v>08Thurston</v>
      </c>
      <c r="O717" t="str">
        <f>VLOOKUP(M717,LUTs!E$2:H$14,4,)</f>
        <v>02South Puget Sound</v>
      </c>
      <c r="P717" s="80">
        <v>4.5</v>
      </c>
      <c r="Q717" s="102">
        <v>4.5</v>
      </c>
      <c r="R717" s="74">
        <f>VLOOKUP(B717,Readme!A$40:C$52,3,)*Q717</f>
        <v>38.429999999999993</v>
      </c>
    </row>
    <row r="718" spans="1:18" ht="12" customHeight="1" x14ac:dyDescent="0.35">
      <c r="A718" s="75">
        <v>438</v>
      </c>
      <c r="B718" s="80">
        <v>2012</v>
      </c>
      <c r="C718" s="80">
        <v>2</v>
      </c>
      <c r="D718" s="80">
        <f t="shared" si="41"/>
        <v>2011</v>
      </c>
      <c r="E718" t="s">
        <v>38</v>
      </c>
      <c r="F718" t="s">
        <v>143</v>
      </c>
      <c r="G718" t="s">
        <v>86</v>
      </c>
      <c r="H718" s="72" t="s">
        <v>241</v>
      </c>
      <c r="I718" s="72" t="s">
        <v>83</v>
      </c>
      <c r="J718" t="str">
        <f t="shared" si="40"/>
        <v>Nooksack River, below North Fork</v>
      </c>
      <c r="K718" t="str">
        <f>IFERROR(VLOOKUP(J718,LUTs!$A$1:$C$73,2,FALSE),"NA")</f>
        <v>Whatcom</v>
      </c>
      <c r="L718" t="str">
        <f>IFERROR(VLOOKUP(J718,LUTs!$A$1:$C$73,3,FALSE),"NA")</f>
        <v>1North Puget Sound</v>
      </c>
      <c r="M718" s="72" t="s">
        <v>13</v>
      </c>
      <c r="N718" t="str">
        <f>VLOOKUP(M718,LUTs!E$2:H$14,3,)</f>
        <v>01Whatcom</v>
      </c>
      <c r="O718" t="str">
        <f>VLOOKUP(M718,LUTs!E$2:H$14,4,)</f>
        <v>01North Puget Sound</v>
      </c>
      <c r="P718" s="80">
        <v>5</v>
      </c>
      <c r="Q718" s="102">
        <v>5</v>
      </c>
      <c r="R718" s="74">
        <f>VLOOKUP(B718,Readme!A$40:C$52,3,)*Q718</f>
        <v>42.699999999999996</v>
      </c>
    </row>
    <row r="719" spans="1:18" ht="12" customHeight="1" x14ac:dyDescent="0.35">
      <c r="A719" s="75">
        <v>433</v>
      </c>
      <c r="B719" s="80">
        <v>2012</v>
      </c>
      <c r="C719" s="80">
        <v>2</v>
      </c>
      <c r="D719" s="80">
        <f t="shared" si="41"/>
        <v>2011</v>
      </c>
      <c r="E719" t="s">
        <v>38</v>
      </c>
      <c r="F719" t="s">
        <v>143</v>
      </c>
      <c r="G719" t="s">
        <v>86</v>
      </c>
      <c r="H719" s="72" t="s">
        <v>239</v>
      </c>
      <c r="I719" s="72" t="s">
        <v>92</v>
      </c>
      <c r="J719" t="str">
        <f t="shared" si="40"/>
        <v>Nooksack River, No. Fork</v>
      </c>
      <c r="K719" t="str">
        <f>IFERROR(VLOOKUP(J719,LUTs!$A$1:$C$73,2,FALSE),"NA")</f>
        <v>Whatcom</v>
      </c>
      <c r="L719" t="str">
        <f>IFERROR(VLOOKUP(J719,LUTs!$A$1:$C$73,3,FALSE),"NA")</f>
        <v>1North Puget Sound</v>
      </c>
      <c r="M719" s="72" t="s">
        <v>26</v>
      </c>
      <c r="N719" t="str">
        <f>VLOOKUP(M719,LUTs!E$2:H$14,3,)</f>
        <v>20Other</v>
      </c>
      <c r="O719" t="str">
        <f>VLOOKUP(M719,LUTs!E$2:H$14,4,)</f>
        <v>07Non Puget Sound</v>
      </c>
      <c r="P719" s="80">
        <v>2.3333333333333299</v>
      </c>
      <c r="Q719" s="102">
        <v>2.3333333333333299</v>
      </c>
      <c r="R719" s="74">
        <f>VLOOKUP(B719,Readme!A$40:C$52,3,)*Q719</f>
        <v>19.926666666666634</v>
      </c>
    </row>
    <row r="720" spans="1:18" ht="12" customHeight="1" x14ac:dyDescent="0.35">
      <c r="A720" s="75">
        <v>434</v>
      </c>
      <c r="B720" s="80">
        <v>2012</v>
      </c>
      <c r="C720" s="80">
        <v>2</v>
      </c>
      <c r="D720" s="80">
        <f t="shared" si="41"/>
        <v>2011</v>
      </c>
      <c r="E720" t="s">
        <v>38</v>
      </c>
      <c r="F720" t="s">
        <v>143</v>
      </c>
      <c r="G720" t="s">
        <v>86</v>
      </c>
      <c r="H720" s="72" t="s">
        <v>239</v>
      </c>
      <c r="I720" s="72" t="s">
        <v>92</v>
      </c>
      <c r="J720" t="str">
        <f t="shared" si="40"/>
        <v>Nooksack River, No. Fork</v>
      </c>
      <c r="K720" t="str">
        <f>IFERROR(VLOOKUP(J720,LUTs!$A$1:$C$73,2,FALSE),"NA")</f>
        <v>Whatcom</v>
      </c>
      <c r="L720" t="str">
        <f>IFERROR(VLOOKUP(J720,LUTs!$A$1:$C$73,3,FALSE),"NA")</f>
        <v>1North Puget Sound</v>
      </c>
      <c r="M720" s="72" t="s">
        <v>13</v>
      </c>
      <c r="N720" t="str">
        <f>VLOOKUP(M720,LUTs!E$2:H$14,3,)</f>
        <v>01Whatcom</v>
      </c>
      <c r="O720" t="str">
        <f>VLOOKUP(M720,LUTs!E$2:H$14,4,)</f>
        <v>01North Puget Sound</v>
      </c>
      <c r="P720" s="80">
        <v>4.6666666666666696</v>
      </c>
      <c r="Q720" s="102">
        <v>4.6666666666666696</v>
      </c>
      <c r="R720" s="74">
        <f>VLOOKUP(B720,Readme!A$40:C$52,3,)*Q720</f>
        <v>39.853333333333353</v>
      </c>
    </row>
    <row r="721" spans="1:18" ht="12" customHeight="1" x14ac:dyDescent="0.35">
      <c r="A721" s="75">
        <v>580</v>
      </c>
      <c r="B721" s="80">
        <v>2012</v>
      </c>
      <c r="C721" s="80">
        <v>2</v>
      </c>
      <c r="D721" s="80">
        <f t="shared" si="41"/>
        <v>2011</v>
      </c>
      <c r="E721" t="s">
        <v>38</v>
      </c>
      <c r="F721" t="s">
        <v>143</v>
      </c>
      <c r="G721" t="s">
        <v>86</v>
      </c>
      <c r="H721" s="72" t="s">
        <v>220</v>
      </c>
      <c r="I721" s="72" t="s">
        <v>62</v>
      </c>
      <c r="J721" t="str">
        <f t="shared" ref="J721:J740" si="42">I721</f>
        <v>Skykomish River</v>
      </c>
      <c r="K721" t="str">
        <f>IFERROR(VLOOKUP(J721,LUTs!$A$1:$C$73,2,FALSE),"NA")</f>
        <v>Snohomish</v>
      </c>
      <c r="L721" t="str">
        <f>IFERROR(VLOOKUP(J721,LUTs!$A$1:$C$73,3,FALSE),"NA")</f>
        <v>2Central Puget Sound</v>
      </c>
      <c r="M721" s="72" t="s">
        <v>18</v>
      </c>
      <c r="N721" t="str">
        <f>VLOOKUP(M721,LUTs!E$2:H$14,3,)</f>
        <v>06King</v>
      </c>
      <c r="O721" t="str">
        <f>VLOOKUP(M721,LUTs!E$2:H$14,4,)</f>
        <v>02South Puget Sound</v>
      </c>
      <c r="P721" s="80">
        <v>109.118279569892</v>
      </c>
      <c r="Q721" s="102">
        <v>109.118279569892</v>
      </c>
      <c r="R721" s="74">
        <f>VLOOKUP(B721,Readme!A$40:C$52,3,)*Q721</f>
        <v>931.87010752687752</v>
      </c>
    </row>
    <row r="722" spans="1:18" ht="12" customHeight="1" x14ac:dyDescent="0.35">
      <c r="A722" s="75">
        <v>581</v>
      </c>
      <c r="B722" s="80">
        <v>2012</v>
      </c>
      <c r="C722" s="80">
        <v>2</v>
      </c>
      <c r="D722" s="80">
        <f t="shared" si="41"/>
        <v>2011</v>
      </c>
      <c r="E722" t="s">
        <v>38</v>
      </c>
      <c r="F722" t="s">
        <v>143</v>
      </c>
      <c r="G722" t="s">
        <v>86</v>
      </c>
      <c r="H722" s="72" t="s">
        <v>220</v>
      </c>
      <c r="I722" s="72" t="s">
        <v>62</v>
      </c>
      <c r="J722" t="str">
        <f t="shared" si="42"/>
        <v>Skykomish River</v>
      </c>
      <c r="K722" t="str">
        <f>IFERROR(VLOOKUP(J722,LUTs!$A$1:$C$73,2,FALSE),"NA")</f>
        <v>Snohomish</v>
      </c>
      <c r="L722" t="str">
        <f>IFERROR(VLOOKUP(J722,LUTs!$A$1:$C$73,3,FALSE),"NA")</f>
        <v>2Central Puget Sound</v>
      </c>
      <c r="M722" s="72" t="s">
        <v>23</v>
      </c>
      <c r="N722" t="str">
        <f>VLOOKUP(M722,LUTs!E$2:H$14,3,)</f>
        <v>10Kitsap</v>
      </c>
      <c r="O722" t="str">
        <f>VLOOKUP(M722,LUTs!E$2:H$14,4,)</f>
        <v>02South Puget Sound</v>
      </c>
      <c r="P722" s="80">
        <v>2.5376344086021501</v>
      </c>
      <c r="Q722" s="102">
        <v>2.5376344086021501</v>
      </c>
      <c r="R722" s="74">
        <f>VLOOKUP(B722,Readme!A$40:C$52,3,)*Q722</f>
        <v>21.671397849462359</v>
      </c>
    </row>
    <row r="723" spans="1:18" ht="12" customHeight="1" x14ac:dyDescent="0.35">
      <c r="A723" s="75">
        <v>582</v>
      </c>
      <c r="B723" s="80">
        <v>2012</v>
      </c>
      <c r="C723" s="80">
        <v>2</v>
      </c>
      <c r="D723" s="80">
        <f t="shared" si="41"/>
        <v>2011</v>
      </c>
      <c r="E723" t="s">
        <v>38</v>
      </c>
      <c r="F723" t="s">
        <v>143</v>
      </c>
      <c r="G723" t="s">
        <v>86</v>
      </c>
      <c r="H723" s="72" t="s">
        <v>220</v>
      </c>
      <c r="I723" s="72" t="s">
        <v>62</v>
      </c>
      <c r="J723" t="str">
        <f t="shared" si="42"/>
        <v>Skykomish River</v>
      </c>
      <c r="K723" t="str">
        <f>IFERROR(VLOOKUP(J723,LUTs!$A$1:$C$73,2,FALSE),"NA")</f>
        <v>Snohomish</v>
      </c>
      <c r="L723" t="str">
        <f>IFERROR(VLOOKUP(J723,LUTs!$A$1:$C$73,3,FALSE),"NA")</f>
        <v>2Central Puget Sound</v>
      </c>
      <c r="M723" s="72" t="s">
        <v>16</v>
      </c>
      <c r="N723" t="str">
        <f>VLOOKUP(M723,LUTs!E$2:H$14,3,)</f>
        <v>03Snohomish</v>
      </c>
      <c r="O723" t="str">
        <f>VLOOKUP(M723,LUTs!E$2:H$14,4,)</f>
        <v>01North Puget Sound</v>
      </c>
      <c r="P723" s="80">
        <v>121.806451612903</v>
      </c>
      <c r="Q723" s="102">
        <v>121.806451612903</v>
      </c>
      <c r="R723" s="74">
        <f>VLOOKUP(B723,Readme!A$40:C$52,3,)*Q723</f>
        <v>1040.2270967741915</v>
      </c>
    </row>
    <row r="724" spans="1:18" ht="12" customHeight="1" x14ac:dyDescent="0.35">
      <c r="A724" s="75">
        <v>583</v>
      </c>
      <c r="B724" s="80">
        <v>2012</v>
      </c>
      <c r="C724" s="80">
        <v>2</v>
      </c>
      <c r="D724" s="80">
        <f t="shared" si="41"/>
        <v>2011</v>
      </c>
      <c r="E724" t="s">
        <v>38</v>
      </c>
      <c r="F724" t="s">
        <v>143</v>
      </c>
      <c r="G724" t="s">
        <v>86</v>
      </c>
      <c r="H724" s="72" t="s">
        <v>220</v>
      </c>
      <c r="I724" s="72" t="s">
        <v>62</v>
      </c>
      <c r="J724" t="str">
        <f t="shared" si="42"/>
        <v>Skykomish River</v>
      </c>
      <c r="K724" t="str">
        <f>IFERROR(VLOOKUP(J724,LUTs!$A$1:$C$73,2,FALSE),"NA")</f>
        <v>Snohomish</v>
      </c>
      <c r="L724" t="str">
        <f>IFERROR(VLOOKUP(J724,LUTs!$A$1:$C$73,3,FALSE),"NA")</f>
        <v>2Central Puget Sound</v>
      </c>
      <c r="M724" s="72" t="s">
        <v>13</v>
      </c>
      <c r="N724" t="str">
        <f>VLOOKUP(M724,LUTs!E$2:H$14,3,)</f>
        <v>01Whatcom</v>
      </c>
      <c r="O724" t="str">
        <f>VLOOKUP(M724,LUTs!E$2:H$14,4,)</f>
        <v>01North Puget Sound</v>
      </c>
      <c r="P724" s="80">
        <v>2.5376344086021501</v>
      </c>
      <c r="Q724" s="102">
        <v>2.5376344086021501</v>
      </c>
      <c r="R724" s="74">
        <f>VLOOKUP(B724,Readme!A$40:C$52,3,)*Q724</f>
        <v>21.671397849462359</v>
      </c>
    </row>
    <row r="725" spans="1:18" ht="12" customHeight="1" x14ac:dyDescent="0.35">
      <c r="A725" s="75">
        <v>637</v>
      </c>
      <c r="B725" s="80">
        <v>2012</v>
      </c>
      <c r="C725" s="80">
        <v>2</v>
      </c>
      <c r="D725" s="80">
        <f t="shared" si="41"/>
        <v>2011</v>
      </c>
      <c r="E725" t="s">
        <v>38</v>
      </c>
      <c r="F725" t="s">
        <v>143</v>
      </c>
      <c r="G725" t="s">
        <v>86</v>
      </c>
      <c r="H725" s="72" t="s">
        <v>222</v>
      </c>
      <c r="I725" s="72" t="s">
        <v>64</v>
      </c>
      <c r="J725" t="str">
        <f t="shared" si="42"/>
        <v>Snoqualmie River</v>
      </c>
      <c r="K725" t="str">
        <f>IFERROR(VLOOKUP(J725,LUTs!$A$1:$C$73,2,FALSE),"NA")</f>
        <v>Snohomish/King</v>
      </c>
      <c r="L725" t="str">
        <f>IFERROR(VLOOKUP(J725,LUTs!$A$1:$C$73,3,FALSE),"NA")</f>
        <v>2Central Puget Sound</v>
      </c>
      <c r="M725" s="72" t="s">
        <v>18</v>
      </c>
      <c r="N725" t="str">
        <f>VLOOKUP(M725,LUTs!E$2:H$14,3,)</f>
        <v>06King</v>
      </c>
      <c r="O725" t="str">
        <f>VLOOKUP(M725,LUTs!E$2:H$14,4,)</f>
        <v>02South Puget Sound</v>
      </c>
      <c r="P725" s="80">
        <v>38.4375</v>
      </c>
      <c r="Q725" s="102">
        <v>38.4375</v>
      </c>
      <c r="R725" s="74">
        <f>VLOOKUP(B725,Readme!A$40:C$52,3,)*Q725</f>
        <v>328.25624999999997</v>
      </c>
    </row>
    <row r="726" spans="1:18" ht="12" customHeight="1" x14ac:dyDescent="0.35">
      <c r="A726" s="75">
        <v>638</v>
      </c>
      <c r="B726" s="80">
        <v>2012</v>
      </c>
      <c r="C726" s="80">
        <v>2</v>
      </c>
      <c r="D726" s="80">
        <f t="shared" si="41"/>
        <v>2011</v>
      </c>
      <c r="E726" t="s">
        <v>38</v>
      </c>
      <c r="F726" t="s">
        <v>143</v>
      </c>
      <c r="G726" t="s">
        <v>86</v>
      </c>
      <c r="H726" s="72" t="s">
        <v>222</v>
      </c>
      <c r="I726" s="72" t="s">
        <v>64</v>
      </c>
      <c r="J726" t="str">
        <f t="shared" si="42"/>
        <v>Snoqualmie River</v>
      </c>
      <c r="K726" t="str">
        <f>IFERROR(VLOOKUP(J726,LUTs!$A$1:$C$73,2,FALSE),"NA")</f>
        <v>Snohomish/King</v>
      </c>
      <c r="L726" t="str">
        <f>IFERROR(VLOOKUP(J726,LUTs!$A$1:$C$73,3,FALSE),"NA")</f>
        <v>2Central Puget Sound</v>
      </c>
      <c r="M726" s="72" t="s">
        <v>26</v>
      </c>
      <c r="N726" t="str">
        <f>VLOOKUP(M726,LUTs!E$2:H$14,3,)</f>
        <v>20Other</v>
      </c>
      <c r="O726" t="str">
        <f>VLOOKUP(M726,LUTs!E$2:H$14,4,)</f>
        <v>07Non Puget Sound</v>
      </c>
      <c r="P726" s="80">
        <v>2.5625</v>
      </c>
      <c r="Q726" s="102">
        <v>2.5625</v>
      </c>
      <c r="R726" s="74">
        <f>VLOOKUP(B726,Readme!A$40:C$52,3,)*Q726</f>
        <v>21.883749999999999</v>
      </c>
    </row>
    <row r="727" spans="1:18" ht="12" customHeight="1" x14ac:dyDescent="0.35">
      <c r="A727" s="75">
        <v>701</v>
      </c>
      <c r="B727" s="80">
        <v>2012</v>
      </c>
      <c r="C727" s="80">
        <v>2</v>
      </c>
      <c r="D727" s="80">
        <f t="shared" si="41"/>
        <v>2011</v>
      </c>
      <c r="E727" t="s">
        <v>38</v>
      </c>
      <c r="F727" t="s">
        <v>143</v>
      </c>
      <c r="G727" t="s">
        <v>86</v>
      </c>
      <c r="H727" s="72" t="s">
        <v>223</v>
      </c>
      <c r="I727" s="72" t="s">
        <v>103</v>
      </c>
      <c r="J727" t="str">
        <f t="shared" si="42"/>
        <v>Stillaguamish R, No. Fork</v>
      </c>
      <c r="K727" t="str">
        <f>IFERROR(VLOOKUP(J727,LUTs!$A$1:$C$73,2,FALSE),"NA")</f>
        <v>Snohomish</v>
      </c>
      <c r="L727" t="str">
        <f>IFERROR(VLOOKUP(J727,LUTs!$A$1:$C$73,3,FALSE),"NA")</f>
        <v>2Central Puget Sound</v>
      </c>
      <c r="M727" s="72" t="s">
        <v>16</v>
      </c>
      <c r="N727" t="str">
        <f>VLOOKUP(M727,LUTs!E$2:H$14,3,)</f>
        <v>03Snohomish</v>
      </c>
      <c r="O727" t="str">
        <f>VLOOKUP(M727,LUTs!E$2:H$14,4,)</f>
        <v>01North Puget Sound</v>
      </c>
      <c r="P727" s="80">
        <v>17</v>
      </c>
      <c r="Q727" s="102">
        <v>17</v>
      </c>
      <c r="R727" s="74">
        <f>VLOOKUP(B727,Readme!A$40:C$52,3,)*Q727</f>
        <v>145.17999999999998</v>
      </c>
    </row>
    <row r="728" spans="1:18" ht="12" customHeight="1" x14ac:dyDescent="0.35">
      <c r="A728" s="75">
        <v>654</v>
      </c>
      <c r="B728" s="80">
        <v>2012</v>
      </c>
      <c r="C728" s="80">
        <v>2</v>
      </c>
      <c r="D728" s="80">
        <f t="shared" si="41"/>
        <v>2011</v>
      </c>
      <c r="E728" t="s">
        <v>38</v>
      </c>
      <c r="F728" t="s">
        <v>143</v>
      </c>
      <c r="G728" t="s">
        <v>86</v>
      </c>
      <c r="H728" s="72" t="s">
        <v>250</v>
      </c>
      <c r="I728" s="72" t="s">
        <v>101</v>
      </c>
      <c r="J728" t="str">
        <f t="shared" si="42"/>
        <v>Tokul Creek</v>
      </c>
      <c r="K728" t="str">
        <f>IFERROR(VLOOKUP(J728,LUTs!$A$1:$C$73,2,FALSE),"NA")</f>
        <v>King</v>
      </c>
      <c r="L728" t="str">
        <f>IFERROR(VLOOKUP(J728,LUTs!$A$1:$C$73,3,FALSE),"NA")</f>
        <v>2Central Puget Sound</v>
      </c>
      <c r="M728" s="72" t="s">
        <v>18</v>
      </c>
      <c r="N728" t="str">
        <f>VLOOKUP(M728,LUTs!E$2:H$14,3,)</f>
        <v>06King</v>
      </c>
      <c r="O728" t="str">
        <f>VLOOKUP(M728,LUTs!E$2:H$14,4,)</f>
        <v>02South Puget Sound</v>
      </c>
      <c r="P728" s="80">
        <v>98.428571428571502</v>
      </c>
      <c r="Q728" s="102">
        <v>98.428571428571502</v>
      </c>
      <c r="R728" s="74">
        <f>VLOOKUP(B728,Readme!A$40:C$52,3,)*Q728</f>
        <v>840.5800000000005</v>
      </c>
    </row>
    <row r="729" spans="1:18" ht="12" customHeight="1" x14ac:dyDescent="0.35">
      <c r="A729" s="75">
        <v>655</v>
      </c>
      <c r="B729" s="80">
        <v>2012</v>
      </c>
      <c r="C729" s="80">
        <v>2</v>
      </c>
      <c r="D729" s="80">
        <f t="shared" si="41"/>
        <v>2011</v>
      </c>
      <c r="E729" t="s">
        <v>38</v>
      </c>
      <c r="F729" t="s">
        <v>143</v>
      </c>
      <c r="G729" t="s">
        <v>86</v>
      </c>
      <c r="H729" s="72" t="s">
        <v>250</v>
      </c>
      <c r="I729" s="72" t="s">
        <v>101</v>
      </c>
      <c r="J729" t="str">
        <f t="shared" si="42"/>
        <v>Tokul Creek</v>
      </c>
      <c r="K729" t="str">
        <f>IFERROR(VLOOKUP(J729,LUTs!$A$1:$C$73,2,FALSE),"NA")</f>
        <v>King</v>
      </c>
      <c r="L729" t="str">
        <f>IFERROR(VLOOKUP(J729,LUTs!$A$1:$C$73,3,FALSE),"NA")</f>
        <v>2Central Puget Sound</v>
      </c>
      <c r="M729" s="72" t="s">
        <v>23</v>
      </c>
      <c r="N729" t="str">
        <f>VLOOKUP(M729,LUTs!E$2:H$14,3,)</f>
        <v>10Kitsap</v>
      </c>
      <c r="O729" t="str">
        <f>VLOOKUP(M729,LUTs!E$2:H$14,4,)</f>
        <v>02South Puget Sound</v>
      </c>
      <c r="P729" s="80">
        <v>2.5238095238095202</v>
      </c>
      <c r="Q729" s="102">
        <v>2.5238095238095202</v>
      </c>
      <c r="R729" s="74">
        <f>VLOOKUP(B729,Readme!A$40:C$52,3,)*Q729</f>
        <v>21.553333333333299</v>
      </c>
    </row>
    <row r="730" spans="1:18" ht="12" customHeight="1" x14ac:dyDescent="0.35">
      <c r="A730" s="75">
        <v>656</v>
      </c>
      <c r="B730" s="80">
        <v>2012</v>
      </c>
      <c r="C730" s="80">
        <v>2</v>
      </c>
      <c r="D730" s="80">
        <f t="shared" si="41"/>
        <v>2011</v>
      </c>
      <c r="E730" t="s">
        <v>38</v>
      </c>
      <c r="F730" t="s">
        <v>143</v>
      </c>
      <c r="G730" t="s">
        <v>86</v>
      </c>
      <c r="H730" s="72" t="s">
        <v>250</v>
      </c>
      <c r="I730" s="72" t="s">
        <v>101</v>
      </c>
      <c r="J730" t="str">
        <f t="shared" si="42"/>
        <v>Tokul Creek</v>
      </c>
      <c r="K730" t="str">
        <f>IFERROR(VLOOKUP(J730,LUTs!$A$1:$C$73,2,FALSE),"NA")</f>
        <v>King</v>
      </c>
      <c r="L730" t="str">
        <f>IFERROR(VLOOKUP(J730,LUTs!$A$1:$C$73,3,FALSE),"NA")</f>
        <v>2Central Puget Sound</v>
      </c>
      <c r="M730" s="72" t="s">
        <v>16</v>
      </c>
      <c r="N730" t="str">
        <f>VLOOKUP(M730,LUTs!E$2:H$14,3,)</f>
        <v>03Snohomish</v>
      </c>
      <c r="O730" t="str">
        <f>VLOOKUP(M730,LUTs!E$2:H$14,4,)</f>
        <v>01North Puget Sound</v>
      </c>
      <c r="P730" s="80">
        <v>5.0476190476190501</v>
      </c>
      <c r="Q730" s="102">
        <v>5.0476190476190501</v>
      </c>
      <c r="R730" s="74">
        <f>VLOOKUP(B730,Readme!A$40:C$52,3,)*Q730</f>
        <v>43.106666666666683</v>
      </c>
    </row>
    <row r="731" spans="1:18" ht="12" customHeight="1" x14ac:dyDescent="0.35">
      <c r="A731" s="75">
        <v>677</v>
      </c>
      <c r="B731" s="80">
        <v>2012</v>
      </c>
      <c r="C731" s="80">
        <v>2</v>
      </c>
      <c r="D731" s="80">
        <f t="shared" si="41"/>
        <v>2011</v>
      </c>
      <c r="E731" t="s">
        <v>38</v>
      </c>
      <c r="F731" t="s">
        <v>143</v>
      </c>
      <c r="G731" t="s">
        <v>86</v>
      </c>
      <c r="H731" s="72" t="s">
        <v>233</v>
      </c>
      <c r="I731" s="72" t="s">
        <v>76</v>
      </c>
      <c r="J731" t="str">
        <f t="shared" si="42"/>
        <v>Wallace River</v>
      </c>
      <c r="K731" t="str">
        <f>IFERROR(VLOOKUP(J731,LUTs!$A$1:$C$73,2,FALSE),"NA")</f>
        <v>Snohomish</v>
      </c>
      <c r="L731" t="str">
        <f>IFERROR(VLOOKUP(J731,LUTs!$A$1:$C$73,3,FALSE),"NA")</f>
        <v>2Central Puget Sound</v>
      </c>
      <c r="M731" s="72" t="s">
        <v>16</v>
      </c>
      <c r="N731" t="str">
        <f>VLOOKUP(M731,LUTs!E$2:H$14,3,)</f>
        <v>03Snohomish</v>
      </c>
      <c r="O731" t="str">
        <f>VLOOKUP(M731,LUTs!E$2:H$14,4,)</f>
        <v>01North Puget Sound</v>
      </c>
      <c r="P731" s="80">
        <v>18</v>
      </c>
      <c r="Q731" s="102">
        <v>18</v>
      </c>
      <c r="R731" s="74">
        <f>VLOOKUP(B731,Readme!A$40:C$52,3,)*Q731</f>
        <v>153.71999999999997</v>
      </c>
    </row>
    <row r="732" spans="1:18" ht="12" customHeight="1" x14ac:dyDescent="0.35">
      <c r="A732" s="75">
        <v>714</v>
      </c>
      <c r="B732" s="80">
        <v>2012</v>
      </c>
      <c r="C732" s="80">
        <v>2</v>
      </c>
      <c r="D732" s="80">
        <f t="shared" si="41"/>
        <v>2011</v>
      </c>
      <c r="E732" t="s">
        <v>38</v>
      </c>
      <c r="F732" t="s">
        <v>143</v>
      </c>
      <c r="G732" t="s">
        <v>86</v>
      </c>
      <c r="H732" s="72" t="s">
        <v>224</v>
      </c>
      <c r="I732" s="72" t="s">
        <v>66</v>
      </c>
      <c r="J732" t="str">
        <f t="shared" si="42"/>
        <v>Whatcom Creek</v>
      </c>
      <c r="K732" t="str">
        <f>IFERROR(VLOOKUP(J732,LUTs!$A$1:$C$73,2,FALSE),"NA")</f>
        <v>Whatcom</v>
      </c>
      <c r="L732" t="str">
        <f>IFERROR(VLOOKUP(J732,LUTs!$A$1:$C$73,3,FALSE),"NA")</f>
        <v>1North Puget Sound</v>
      </c>
      <c r="M732" s="72" t="s">
        <v>13</v>
      </c>
      <c r="N732" t="str">
        <f>VLOOKUP(M732,LUTs!E$2:H$14,3,)</f>
        <v>01Whatcom</v>
      </c>
      <c r="O732" t="str">
        <f>VLOOKUP(M732,LUTs!E$2:H$14,4,)</f>
        <v>01North Puget Sound</v>
      </c>
      <c r="P732" s="80">
        <v>2</v>
      </c>
      <c r="Q732" s="102">
        <v>2</v>
      </c>
      <c r="R732" s="74">
        <f>VLOOKUP(B732,Readme!A$40:C$52,3,)*Q732</f>
        <v>17.079999999999998</v>
      </c>
    </row>
    <row r="733" spans="1:18" ht="12" customHeight="1" x14ac:dyDescent="0.35">
      <c r="A733" s="75">
        <v>457</v>
      </c>
      <c r="B733" s="80">
        <v>2012</v>
      </c>
      <c r="C733" s="80">
        <v>3</v>
      </c>
      <c r="D733" s="80">
        <f t="shared" si="41"/>
        <v>2011</v>
      </c>
      <c r="E733" t="s">
        <v>38</v>
      </c>
      <c r="F733" t="s">
        <v>143</v>
      </c>
      <c r="G733" t="s">
        <v>86</v>
      </c>
      <c r="H733" s="72" t="s">
        <v>257</v>
      </c>
      <c r="I733" s="72" t="s">
        <v>31</v>
      </c>
      <c r="J733" t="str">
        <f t="shared" si="42"/>
        <v>Area 8-1: Skagit Bay-Saratoga Psg.</v>
      </c>
      <c r="K733" t="str">
        <f>IFERROR(VLOOKUP(J733,LUTs!$A$1:$C$73,2,FALSE),"NA")</f>
        <v>NA</v>
      </c>
      <c r="L733" t="str">
        <f>IFERROR(VLOOKUP(J733,LUTs!$A$1:$C$73,3,FALSE),"NA")</f>
        <v>2Central Puget Sound</v>
      </c>
      <c r="M733" s="72" t="s">
        <v>20</v>
      </c>
      <c r="N733" t="str">
        <f>VLOOKUP(M733,LUTs!E$2:H$14,3,)</f>
        <v>07Pierce</v>
      </c>
      <c r="O733" t="str">
        <f>VLOOKUP(M733,LUTs!E$2:H$14,4,)</f>
        <v>02South Puget Sound</v>
      </c>
      <c r="P733" s="80">
        <v>9</v>
      </c>
      <c r="Q733" s="102">
        <v>9</v>
      </c>
      <c r="R733" s="74">
        <f>VLOOKUP(B733,Readme!A$40:C$52,3,)*Q733</f>
        <v>76.859999999999985</v>
      </c>
    </row>
    <row r="734" spans="1:18" ht="12" customHeight="1" x14ac:dyDescent="0.35">
      <c r="A734" s="75">
        <v>468</v>
      </c>
      <c r="B734" s="80">
        <v>2012</v>
      </c>
      <c r="C734" s="80">
        <v>3</v>
      </c>
      <c r="D734" s="80">
        <f t="shared" si="41"/>
        <v>2011</v>
      </c>
      <c r="E734" t="s">
        <v>38</v>
      </c>
      <c r="F734" t="s">
        <v>143</v>
      </c>
      <c r="G734" t="s">
        <v>86</v>
      </c>
      <c r="H734" s="72" t="s">
        <v>258</v>
      </c>
      <c r="I734" s="72" t="s">
        <v>32</v>
      </c>
      <c r="J734" t="str">
        <f t="shared" si="42"/>
        <v>Area 8-2: Port Susan-Port Gardner</v>
      </c>
      <c r="K734" t="str">
        <f>IFERROR(VLOOKUP(J734,LUTs!$A$1:$C$73,2,FALSE),"NA")</f>
        <v>NA</v>
      </c>
      <c r="L734" t="str">
        <f>IFERROR(VLOOKUP(J734,LUTs!$A$1:$C$73,3,FALSE),"NA")</f>
        <v>2Central Puget Sound</v>
      </c>
      <c r="M734" s="72" t="s">
        <v>16</v>
      </c>
      <c r="N734" t="str">
        <f>VLOOKUP(M734,LUTs!E$2:H$14,3,)</f>
        <v>03Snohomish</v>
      </c>
      <c r="O734" t="str">
        <f>VLOOKUP(M734,LUTs!E$2:H$14,4,)</f>
        <v>01North Puget Sound</v>
      </c>
      <c r="P734" s="80">
        <v>4</v>
      </c>
      <c r="Q734" s="102">
        <v>4</v>
      </c>
      <c r="R734" s="74">
        <f>VLOOKUP(B734,Readme!A$40:C$52,3,)*Q734</f>
        <v>34.159999999999997</v>
      </c>
    </row>
    <row r="735" spans="1:18" ht="12" customHeight="1" x14ac:dyDescent="0.35">
      <c r="A735" s="75">
        <v>736</v>
      </c>
      <c r="B735" s="80">
        <v>2012</v>
      </c>
      <c r="C735" s="80">
        <v>3</v>
      </c>
      <c r="D735" s="80">
        <f t="shared" si="41"/>
        <v>2011</v>
      </c>
      <c r="E735" t="s">
        <v>38</v>
      </c>
      <c r="F735" t="s">
        <v>143</v>
      </c>
      <c r="G735" t="s">
        <v>86</v>
      </c>
      <c r="H735" s="72" t="s">
        <v>254</v>
      </c>
      <c r="I735" s="72" t="s">
        <v>33</v>
      </c>
      <c r="J735" t="str">
        <f t="shared" si="42"/>
        <v>Area 9: Admiralty Inlet</v>
      </c>
      <c r="K735" t="str">
        <f>IFERROR(VLOOKUP(J735,LUTs!$A$1:$C$73,2,FALSE),"NA")</f>
        <v>NA</v>
      </c>
      <c r="L735" t="str">
        <f>IFERROR(VLOOKUP(J735,LUTs!$A$1:$C$73,3,FALSE),"NA")</f>
        <v>2Central Puget Sound</v>
      </c>
      <c r="M735" s="72" t="s">
        <v>17</v>
      </c>
      <c r="N735" t="str">
        <f>VLOOKUP(M735,LUTs!E$2:H$14,3,)</f>
        <v>04Island</v>
      </c>
      <c r="O735" t="str">
        <f>VLOOKUP(M735,LUTs!E$2:H$14,4,)</f>
        <v>01North Puget Sound</v>
      </c>
      <c r="P735" s="80">
        <v>4</v>
      </c>
      <c r="Q735" s="102">
        <v>4</v>
      </c>
      <c r="R735" s="74">
        <f>VLOOKUP(B735,Readme!A$40:C$52,3,)*Q735</f>
        <v>34.159999999999997</v>
      </c>
    </row>
    <row r="736" spans="1:18" ht="12" customHeight="1" x14ac:dyDescent="0.35">
      <c r="A736" s="75">
        <v>618</v>
      </c>
      <c r="B736" s="80">
        <v>2012</v>
      </c>
      <c r="C736" s="80">
        <v>3</v>
      </c>
      <c r="D736" s="80">
        <f t="shared" si="41"/>
        <v>2011</v>
      </c>
      <c r="E736" t="s">
        <v>38</v>
      </c>
      <c r="F736" t="s">
        <v>143</v>
      </c>
      <c r="G736" t="s">
        <v>86</v>
      </c>
      <c r="H736" s="72" t="s">
        <v>221</v>
      </c>
      <c r="I736" s="72" t="s">
        <v>63</v>
      </c>
      <c r="J736" t="str">
        <f t="shared" si="42"/>
        <v>Snohomish River</v>
      </c>
      <c r="K736" t="str">
        <f>IFERROR(VLOOKUP(J736,LUTs!$A$1:$C$73,2,FALSE),"NA")</f>
        <v>Snohomish</v>
      </c>
      <c r="L736" t="str">
        <f>IFERROR(VLOOKUP(J736,LUTs!$A$1:$C$73,3,FALSE),"NA")</f>
        <v>2Central Puget Sound</v>
      </c>
      <c r="M736" s="72" t="s">
        <v>16</v>
      </c>
      <c r="N736" t="str">
        <f>VLOOKUP(M736,LUTs!E$2:H$14,3,)</f>
        <v>03Snohomish</v>
      </c>
      <c r="O736" t="str">
        <f>VLOOKUP(M736,LUTs!E$2:H$14,4,)</f>
        <v>01North Puget Sound</v>
      </c>
      <c r="P736" s="80">
        <v>0</v>
      </c>
      <c r="Q736" s="102">
        <v>0</v>
      </c>
      <c r="R736" s="74">
        <f>VLOOKUP(B736,Readme!A$40:C$52,3,)*Q736</f>
        <v>0</v>
      </c>
    </row>
    <row r="737" spans="1:18" ht="12" customHeight="1" x14ac:dyDescent="0.35">
      <c r="A737" s="75">
        <v>712</v>
      </c>
      <c r="B737" s="80">
        <v>2012</v>
      </c>
      <c r="C737" s="80">
        <v>3</v>
      </c>
      <c r="D737" s="80">
        <f t="shared" si="41"/>
        <v>2011</v>
      </c>
      <c r="E737" t="s">
        <v>38</v>
      </c>
      <c r="F737" t="s">
        <v>143</v>
      </c>
      <c r="G737" t="s">
        <v>86</v>
      </c>
      <c r="H737" s="72" t="s">
        <v>253</v>
      </c>
      <c r="I737" s="72" t="s">
        <v>65</v>
      </c>
      <c r="J737" t="str">
        <f t="shared" si="42"/>
        <v>Stillaguamish River</v>
      </c>
      <c r="K737" t="str">
        <f>IFERROR(VLOOKUP(J737,LUTs!$A$1:$C$73,2,FALSE),"NA")</f>
        <v>Snohomish</v>
      </c>
      <c r="L737" t="str">
        <f>IFERROR(VLOOKUP(J737,LUTs!$A$1:$C$73,3,FALSE),"NA")</f>
        <v>2Central Puget Sound</v>
      </c>
      <c r="M737" s="72" t="s">
        <v>16</v>
      </c>
      <c r="N737" t="str">
        <f>VLOOKUP(M737,LUTs!E$2:H$14,3,)</f>
        <v>03Snohomish</v>
      </c>
      <c r="O737" t="str">
        <f>VLOOKUP(M737,LUTs!E$2:H$14,4,)</f>
        <v>01North Puget Sound</v>
      </c>
      <c r="P737" s="80">
        <v>2</v>
      </c>
      <c r="Q737" s="102">
        <v>2</v>
      </c>
      <c r="R737" s="74">
        <f>VLOOKUP(B737,Readme!A$40:C$52,3,)*Q737</f>
        <v>17.079999999999998</v>
      </c>
    </row>
    <row r="738" spans="1:18" ht="12" customHeight="1" x14ac:dyDescent="0.35">
      <c r="A738" s="75">
        <v>1031</v>
      </c>
      <c r="B738" s="80">
        <v>2012</v>
      </c>
      <c r="C738" s="80">
        <v>4</v>
      </c>
      <c r="D738" s="80">
        <f t="shared" si="41"/>
        <v>2012</v>
      </c>
      <c r="E738" t="s">
        <v>38</v>
      </c>
      <c r="F738" t="s">
        <v>143</v>
      </c>
      <c r="G738" t="s">
        <v>86</v>
      </c>
      <c r="H738" s="72" t="s">
        <v>254</v>
      </c>
      <c r="I738" s="72" t="s">
        <v>33</v>
      </c>
      <c r="J738" t="str">
        <f t="shared" si="42"/>
        <v>Area 9: Admiralty Inlet</v>
      </c>
      <c r="K738" t="str">
        <f>IFERROR(VLOOKUP(J738,LUTs!$A$1:$C$73,2,FALSE),"NA")</f>
        <v>NA</v>
      </c>
      <c r="L738" t="str">
        <f>IFERROR(VLOOKUP(J738,LUTs!$A$1:$C$73,3,FALSE),"NA")</f>
        <v>2Central Puget Sound</v>
      </c>
      <c r="M738" s="72" t="s">
        <v>17</v>
      </c>
      <c r="N738" t="str">
        <f>VLOOKUP(M738,LUTs!E$2:H$14,3,)</f>
        <v>04Island</v>
      </c>
      <c r="O738" t="str">
        <f>VLOOKUP(M738,LUTs!E$2:H$14,4,)</f>
        <v>01North Puget Sound</v>
      </c>
      <c r="P738" s="80">
        <v>12.75</v>
      </c>
      <c r="Q738" s="102">
        <v>12.75</v>
      </c>
      <c r="R738" s="74">
        <f>VLOOKUP(B738,Readme!A$40:C$52,3,)*Q738</f>
        <v>108.88499999999999</v>
      </c>
    </row>
    <row r="739" spans="1:18" ht="12" customHeight="1" x14ac:dyDescent="0.35">
      <c r="A739" s="75">
        <v>1032</v>
      </c>
      <c r="B739" s="80">
        <v>2012</v>
      </c>
      <c r="C739" s="80">
        <v>4</v>
      </c>
      <c r="D739" s="80">
        <f t="shared" si="41"/>
        <v>2012</v>
      </c>
      <c r="E739" t="s">
        <v>38</v>
      </c>
      <c r="F739" t="s">
        <v>143</v>
      </c>
      <c r="G739" t="s">
        <v>86</v>
      </c>
      <c r="H739" s="72" t="s">
        <v>254</v>
      </c>
      <c r="I739" s="72" t="s">
        <v>33</v>
      </c>
      <c r="J739" t="str">
        <f t="shared" si="42"/>
        <v>Area 9: Admiralty Inlet</v>
      </c>
      <c r="K739" t="str">
        <f>IFERROR(VLOOKUP(J739,LUTs!$A$1:$C$73,2,FALSE),"NA")</f>
        <v>NA</v>
      </c>
      <c r="L739" t="str">
        <f>IFERROR(VLOOKUP(J739,LUTs!$A$1:$C$73,3,FALSE),"NA")</f>
        <v>2Central Puget Sound</v>
      </c>
      <c r="M739" s="72" t="s">
        <v>21</v>
      </c>
      <c r="N739" t="str">
        <f>VLOOKUP(M739,LUTs!E$2:H$14,3,)</f>
        <v>08Thurston</v>
      </c>
      <c r="O739" t="str">
        <f>VLOOKUP(M739,LUTs!E$2:H$14,4,)</f>
        <v>02South Puget Sound</v>
      </c>
      <c r="P739" s="80">
        <v>4.25</v>
      </c>
      <c r="Q739" s="102">
        <v>4.25</v>
      </c>
      <c r="R739" s="74">
        <f>VLOOKUP(B739,Readme!A$40:C$52,3,)*Q739</f>
        <v>36.294999999999995</v>
      </c>
    </row>
    <row r="740" spans="1:18" ht="12" customHeight="1" x14ac:dyDescent="0.35">
      <c r="A740" s="75">
        <v>1033</v>
      </c>
      <c r="B740" s="80">
        <v>2012</v>
      </c>
      <c r="C740" s="80">
        <v>5</v>
      </c>
      <c r="D740" s="80">
        <f t="shared" si="41"/>
        <v>2012</v>
      </c>
      <c r="E740" t="s">
        <v>38</v>
      </c>
      <c r="F740" t="s">
        <v>143</v>
      </c>
      <c r="G740" t="s">
        <v>86</v>
      </c>
      <c r="H740" s="72" t="s">
        <v>254</v>
      </c>
      <c r="I740" s="72" t="s">
        <v>33</v>
      </c>
      <c r="J740" t="str">
        <f t="shared" si="42"/>
        <v>Area 9: Admiralty Inlet</v>
      </c>
      <c r="K740" t="str">
        <f>IFERROR(VLOOKUP(J740,LUTs!$A$1:$C$73,2,FALSE),"NA")</f>
        <v>NA</v>
      </c>
      <c r="L740" t="str">
        <f>IFERROR(VLOOKUP(J740,LUTs!$A$1:$C$73,3,FALSE),"NA")</f>
        <v>2Central Puget Sound</v>
      </c>
      <c r="M740" s="72" t="s">
        <v>17</v>
      </c>
      <c r="N740" t="str">
        <f>VLOOKUP(M740,LUTs!E$2:H$14,3,)</f>
        <v>04Island</v>
      </c>
      <c r="O740" t="str">
        <f>VLOOKUP(M740,LUTs!E$2:H$14,4,)</f>
        <v>01North Puget Sound</v>
      </c>
      <c r="P740" s="80">
        <v>10</v>
      </c>
      <c r="Q740" s="102">
        <v>10</v>
      </c>
      <c r="R740" s="74">
        <f>VLOOKUP(B740,Readme!A$40:C$52,3,)*Q740</f>
        <v>85.399999999999991</v>
      </c>
    </row>
    <row r="741" spans="1:18" ht="12" customHeight="1" x14ac:dyDescent="0.35">
      <c r="A741" s="75">
        <v>786</v>
      </c>
      <c r="B741" s="80">
        <v>2012</v>
      </c>
      <c r="C741" s="80">
        <v>5</v>
      </c>
      <c r="D741" s="80">
        <f t="shared" si="41"/>
        <v>2012</v>
      </c>
      <c r="E741" t="s">
        <v>38</v>
      </c>
      <c r="F741" t="s">
        <v>143</v>
      </c>
      <c r="G741" t="s">
        <v>86</v>
      </c>
      <c r="H741" s="72" t="s">
        <v>260</v>
      </c>
      <c r="I741" s="72" t="s">
        <v>261</v>
      </c>
      <c r="J741" s="84" t="s">
        <v>84</v>
      </c>
      <c r="K741" t="str">
        <f>IFERROR(VLOOKUP(J741,LUTs!$A$1:$C$73,2,FALSE),"NA")</f>
        <v>Thurston</v>
      </c>
      <c r="L741" t="str">
        <f>IFERROR(VLOOKUP(J741,LUTs!$A$1:$C$73,3,FALSE),"NA")</f>
        <v>3South Puget Sound</v>
      </c>
      <c r="M741" s="72" t="s">
        <v>26</v>
      </c>
      <c r="N741" t="str">
        <f>VLOOKUP(M741,LUTs!E$2:H$14,3,)</f>
        <v>20Other</v>
      </c>
      <c r="O741" t="str">
        <f>VLOOKUP(M741,LUTs!E$2:H$14,4,)</f>
        <v>07Non Puget Sound</v>
      </c>
      <c r="P741" s="80">
        <v>0</v>
      </c>
      <c r="Q741" s="102">
        <v>0</v>
      </c>
      <c r="R741" s="74">
        <f>VLOOKUP(B741,Readme!A$40:C$52,3,)*Q741</f>
        <v>0</v>
      </c>
    </row>
    <row r="742" spans="1:18" ht="12" customHeight="1" x14ac:dyDescent="0.35">
      <c r="A742" s="75">
        <v>797</v>
      </c>
      <c r="B742" s="80">
        <v>2012</v>
      </c>
      <c r="C742" s="80">
        <v>6</v>
      </c>
      <c r="D742" s="80">
        <f t="shared" si="41"/>
        <v>2012</v>
      </c>
      <c r="E742" t="s">
        <v>38</v>
      </c>
      <c r="F742" t="s">
        <v>143</v>
      </c>
      <c r="G742" t="s">
        <v>86</v>
      </c>
      <c r="H742" s="72" t="s">
        <v>257</v>
      </c>
      <c r="I742" s="72" t="s">
        <v>31</v>
      </c>
      <c r="J742" t="str">
        <f t="shared" ref="J742:J747" si="43">I742</f>
        <v>Area 8-1: Skagit Bay-Saratoga Psg.</v>
      </c>
      <c r="K742" t="str">
        <f>IFERROR(VLOOKUP(J742,LUTs!$A$1:$C$73,2,FALSE),"NA")</f>
        <v>NA</v>
      </c>
      <c r="L742" t="str">
        <f>IFERROR(VLOOKUP(J742,LUTs!$A$1:$C$73,3,FALSE),"NA")</f>
        <v>2Central Puget Sound</v>
      </c>
      <c r="M742" s="72" t="s">
        <v>18</v>
      </c>
      <c r="N742" t="str">
        <f>VLOOKUP(M742,LUTs!E$2:H$14,3,)</f>
        <v>06King</v>
      </c>
      <c r="O742" t="str">
        <f>VLOOKUP(M742,LUTs!E$2:H$14,4,)</f>
        <v>02South Puget Sound</v>
      </c>
      <c r="P742" s="80">
        <v>3</v>
      </c>
      <c r="Q742" s="102">
        <v>3</v>
      </c>
      <c r="R742" s="74">
        <f>VLOOKUP(B742,Readme!A$40:C$52,3,)*Q742</f>
        <v>25.619999999999997</v>
      </c>
    </row>
    <row r="743" spans="1:18" ht="12" customHeight="1" x14ac:dyDescent="0.35">
      <c r="A743" s="75">
        <v>1034</v>
      </c>
      <c r="B743" s="80">
        <v>2012</v>
      </c>
      <c r="C743" s="80">
        <v>6</v>
      </c>
      <c r="D743" s="80">
        <f t="shared" si="41"/>
        <v>2012</v>
      </c>
      <c r="E743" t="s">
        <v>38</v>
      </c>
      <c r="F743" t="s">
        <v>143</v>
      </c>
      <c r="G743" t="s">
        <v>86</v>
      </c>
      <c r="H743" s="72" t="s">
        <v>254</v>
      </c>
      <c r="I743" s="72" t="s">
        <v>33</v>
      </c>
      <c r="J743" t="str">
        <f t="shared" si="43"/>
        <v>Area 9: Admiralty Inlet</v>
      </c>
      <c r="K743" t="str">
        <f>IFERROR(VLOOKUP(J743,LUTs!$A$1:$C$73,2,FALSE),"NA")</f>
        <v>NA</v>
      </c>
      <c r="L743" t="str">
        <f>IFERROR(VLOOKUP(J743,LUTs!$A$1:$C$73,3,FALSE),"NA")</f>
        <v>2Central Puget Sound</v>
      </c>
      <c r="M743" s="72" t="s">
        <v>17</v>
      </c>
      <c r="N743" t="str">
        <f>VLOOKUP(M743,LUTs!E$2:H$14,3,)</f>
        <v>04Island</v>
      </c>
      <c r="O743" t="str">
        <f>VLOOKUP(M743,LUTs!E$2:H$14,4,)</f>
        <v>01North Puget Sound</v>
      </c>
      <c r="P743" s="80">
        <v>2.6666666666666701</v>
      </c>
      <c r="Q743" s="102">
        <v>2.6666666666666701</v>
      </c>
      <c r="R743" s="74">
        <f>VLOOKUP(B743,Readme!A$40:C$52,3,)*Q743</f>
        <v>22.773333333333362</v>
      </c>
    </row>
    <row r="744" spans="1:18" ht="12" customHeight="1" x14ac:dyDescent="0.35">
      <c r="A744" s="75">
        <v>1035</v>
      </c>
      <c r="B744" s="80">
        <v>2012</v>
      </c>
      <c r="C744" s="80">
        <v>6</v>
      </c>
      <c r="D744" s="80">
        <f t="shared" si="41"/>
        <v>2012</v>
      </c>
      <c r="E744" t="s">
        <v>38</v>
      </c>
      <c r="F744" t="s">
        <v>143</v>
      </c>
      <c r="G744" t="s">
        <v>86</v>
      </c>
      <c r="H744" s="72" t="s">
        <v>254</v>
      </c>
      <c r="I744" s="72" t="s">
        <v>33</v>
      </c>
      <c r="J744" t="str">
        <f t="shared" si="43"/>
        <v>Area 9: Admiralty Inlet</v>
      </c>
      <c r="K744" t="str">
        <f>IFERROR(VLOOKUP(J744,LUTs!$A$1:$C$73,2,FALSE),"NA")</f>
        <v>NA</v>
      </c>
      <c r="L744" t="str">
        <f>IFERROR(VLOOKUP(J744,LUTs!$A$1:$C$73,3,FALSE),"NA")</f>
        <v>2Central Puget Sound</v>
      </c>
      <c r="M744" s="72" t="s">
        <v>18</v>
      </c>
      <c r="N744" t="str">
        <f>VLOOKUP(M744,LUTs!E$2:H$14,3,)</f>
        <v>06King</v>
      </c>
      <c r="O744" t="str">
        <f>VLOOKUP(M744,LUTs!E$2:H$14,4,)</f>
        <v>02South Puget Sound</v>
      </c>
      <c r="P744" s="80">
        <v>2.6666666666666701</v>
      </c>
      <c r="Q744" s="102">
        <v>2.6666666666666701</v>
      </c>
      <c r="R744" s="74">
        <f>VLOOKUP(B744,Readme!A$40:C$52,3,)*Q744</f>
        <v>22.773333333333362</v>
      </c>
    </row>
    <row r="745" spans="1:18" ht="12" customHeight="1" x14ac:dyDescent="0.35">
      <c r="A745" s="75">
        <v>1036</v>
      </c>
      <c r="B745" s="80">
        <v>2012</v>
      </c>
      <c r="C745" s="80">
        <v>6</v>
      </c>
      <c r="D745" s="80">
        <f t="shared" si="41"/>
        <v>2012</v>
      </c>
      <c r="E745" t="s">
        <v>38</v>
      </c>
      <c r="F745" t="s">
        <v>143</v>
      </c>
      <c r="G745" t="s">
        <v>86</v>
      </c>
      <c r="H745" s="72" t="s">
        <v>254</v>
      </c>
      <c r="I745" s="72" t="s">
        <v>33</v>
      </c>
      <c r="J745" t="str">
        <f t="shared" si="43"/>
        <v>Area 9: Admiralty Inlet</v>
      </c>
      <c r="K745" t="str">
        <f>IFERROR(VLOOKUP(J745,LUTs!$A$1:$C$73,2,FALSE),"NA")</f>
        <v>NA</v>
      </c>
      <c r="L745" t="str">
        <f>IFERROR(VLOOKUP(J745,LUTs!$A$1:$C$73,3,FALSE),"NA")</f>
        <v>2Central Puget Sound</v>
      </c>
      <c r="M745" s="72" t="s">
        <v>26</v>
      </c>
      <c r="N745" t="str">
        <f>VLOOKUP(M745,LUTs!E$2:H$14,3,)</f>
        <v>20Other</v>
      </c>
      <c r="O745" t="str">
        <f>VLOOKUP(M745,LUTs!E$2:H$14,4,)</f>
        <v>07Non Puget Sound</v>
      </c>
      <c r="P745" s="80">
        <v>2.6666666666666701</v>
      </c>
      <c r="Q745" s="102">
        <v>2.6666666666666701</v>
      </c>
      <c r="R745" s="74">
        <f>VLOOKUP(B745,Readme!A$40:C$52,3,)*Q745</f>
        <v>22.773333333333362</v>
      </c>
    </row>
    <row r="746" spans="1:18" ht="12" customHeight="1" x14ac:dyDescent="0.35">
      <c r="A746" s="75">
        <v>988</v>
      </c>
      <c r="B746" s="80">
        <v>2012</v>
      </c>
      <c r="C746" s="80">
        <v>6</v>
      </c>
      <c r="D746" s="80">
        <f t="shared" si="41"/>
        <v>2012</v>
      </c>
      <c r="E746" t="s">
        <v>38</v>
      </c>
      <c r="F746" t="s">
        <v>143</v>
      </c>
      <c r="G746" t="s">
        <v>86</v>
      </c>
      <c r="H746" s="72" t="s">
        <v>251</v>
      </c>
      <c r="I746" s="72" t="s">
        <v>102</v>
      </c>
      <c r="J746" t="str">
        <f t="shared" si="43"/>
        <v>Canyon Creek</v>
      </c>
      <c r="K746" t="str">
        <f>IFERROR(VLOOKUP(J746,LUTs!$A$1:$C$73,2,FALSE),"NA")</f>
        <v>Snohomish</v>
      </c>
      <c r="L746" t="str">
        <f>IFERROR(VLOOKUP(J746,LUTs!$A$1:$C$73,3,FALSE),"NA")</f>
        <v>2Central Puget Sound</v>
      </c>
      <c r="M746" s="72" t="s">
        <v>16</v>
      </c>
      <c r="N746" t="str">
        <f>VLOOKUP(M746,LUTs!E$2:H$14,3,)</f>
        <v>03Snohomish</v>
      </c>
      <c r="O746" t="str">
        <f>VLOOKUP(M746,LUTs!E$2:H$14,4,)</f>
        <v>01North Puget Sound</v>
      </c>
      <c r="P746" s="80">
        <v>4</v>
      </c>
      <c r="Q746" s="102">
        <v>4</v>
      </c>
      <c r="R746" s="74">
        <f>VLOOKUP(B746,Readme!A$40:C$52,3,)*Q746</f>
        <v>34.159999999999997</v>
      </c>
    </row>
    <row r="747" spans="1:18" ht="12" customHeight="1" x14ac:dyDescent="0.35">
      <c r="A747" s="75">
        <v>806</v>
      </c>
      <c r="B747" s="80">
        <v>2012</v>
      </c>
      <c r="C747" s="80">
        <v>6</v>
      </c>
      <c r="D747" s="80">
        <f t="shared" si="41"/>
        <v>2012</v>
      </c>
      <c r="E747" t="s">
        <v>38</v>
      </c>
      <c r="F747" t="s">
        <v>143</v>
      </c>
      <c r="G747" t="s">
        <v>86</v>
      </c>
      <c r="H747" s="72" t="s">
        <v>217</v>
      </c>
      <c r="I747" s="72" t="s">
        <v>59</v>
      </c>
      <c r="J747" t="str">
        <f t="shared" si="43"/>
        <v>Cascade River</v>
      </c>
      <c r="K747" t="str">
        <f>IFERROR(VLOOKUP(J747,LUTs!$A$1:$C$73,2,FALSE),"NA")</f>
        <v>Skagit</v>
      </c>
      <c r="L747" t="str">
        <f>IFERROR(VLOOKUP(J747,LUTs!$A$1:$C$73,3,FALSE),"NA")</f>
        <v>1North Puget Sound</v>
      </c>
      <c r="M747" s="72" t="s">
        <v>16</v>
      </c>
      <c r="N747" t="str">
        <f>VLOOKUP(M747,LUTs!E$2:H$14,3,)</f>
        <v>03Snohomish</v>
      </c>
      <c r="O747" t="str">
        <f>VLOOKUP(M747,LUTs!E$2:H$14,4,)</f>
        <v>01North Puget Sound</v>
      </c>
      <c r="P747" s="80">
        <v>1</v>
      </c>
      <c r="Q747" s="102">
        <v>1</v>
      </c>
      <c r="R747" s="74">
        <f>VLOOKUP(B747,Readme!A$40:C$52,3,)*Q747</f>
        <v>8.5399999999999991</v>
      </c>
    </row>
    <row r="748" spans="1:18" ht="12" customHeight="1" x14ac:dyDescent="0.35">
      <c r="A748" s="75">
        <v>747</v>
      </c>
      <c r="B748" s="80">
        <v>2012</v>
      </c>
      <c r="C748" s="80">
        <v>6</v>
      </c>
      <c r="D748" s="80">
        <f t="shared" si="41"/>
        <v>2012</v>
      </c>
      <c r="E748" t="s">
        <v>38</v>
      </c>
      <c r="F748" t="s">
        <v>143</v>
      </c>
      <c r="G748" t="s">
        <v>86</v>
      </c>
      <c r="H748" s="72" t="s">
        <v>203</v>
      </c>
      <c r="I748" s="72" t="s">
        <v>89</v>
      </c>
      <c r="J748" s="84" t="s">
        <v>45</v>
      </c>
      <c r="K748" t="str">
        <f>IFERROR(VLOOKUP(J748,LUTs!$A$1:$C$73,2,FALSE),"NA")</f>
        <v>King</v>
      </c>
      <c r="L748" t="str">
        <f>IFERROR(VLOOKUP(J748,LUTs!$A$1:$C$73,3,FALSE),"NA")</f>
        <v>3South Puget Sound</v>
      </c>
      <c r="M748" s="72" t="s">
        <v>18</v>
      </c>
      <c r="N748" t="str">
        <f>VLOOKUP(M748,LUTs!E$2:H$14,3,)</f>
        <v>06King</v>
      </c>
      <c r="O748" t="str">
        <f>VLOOKUP(M748,LUTs!E$2:H$14,4,)</f>
        <v>02South Puget Sound</v>
      </c>
      <c r="P748" s="80">
        <v>131.3125</v>
      </c>
      <c r="Q748" s="102">
        <v>131.3125</v>
      </c>
      <c r="R748" s="74">
        <f>VLOOKUP(B748,Readme!A$40:C$52,3,)*Q748</f>
        <v>1121.4087499999998</v>
      </c>
    </row>
    <row r="749" spans="1:18" ht="12" customHeight="1" x14ac:dyDescent="0.35">
      <c r="A749" s="75">
        <v>748</v>
      </c>
      <c r="B749" s="80">
        <v>2012</v>
      </c>
      <c r="C749" s="80">
        <v>6</v>
      </c>
      <c r="D749" s="80">
        <f t="shared" si="41"/>
        <v>2012</v>
      </c>
      <c r="E749" t="s">
        <v>38</v>
      </c>
      <c r="F749" t="s">
        <v>143</v>
      </c>
      <c r="G749" t="s">
        <v>86</v>
      </c>
      <c r="H749" s="72" t="s">
        <v>203</v>
      </c>
      <c r="I749" s="72" t="s">
        <v>89</v>
      </c>
      <c r="J749" s="84" t="s">
        <v>45</v>
      </c>
      <c r="K749" t="str">
        <f>IFERROR(VLOOKUP(J749,LUTs!$A$1:$C$73,2,FALSE),"NA")</f>
        <v>King</v>
      </c>
      <c r="L749" t="str">
        <f>IFERROR(VLOOKUP(J749,LUTs!$A$1:$C$73,3,FALSE),"NA")</f>
        <v>3South Puget Sound</v>
      </c>
      <c r="M749" s="72" t="s">
        <v>20</v>
      </c>
      <c r="N749" t="str">
        <f>VLOOKUP(M749,LUTs!E$2:H$14,3,)</f>
        <v>07Pierce</v>
      </c>
      <c r="O749" t="str">
        <f>VLOOKUP(M749,LUTs!E$2:H$14,4,)</f>
        <v>02South Puget Sound</v>
      </c>
      <c r="P749" s="80">
        <v>59.6875</v>
      </c>
      <c r="Q749" s="102">
        <v>59.6875</v>
      </c>
      <c r="R749" s="74">
        <f>VLOOKUP(B749,Readme!A$40:C$52,3,)*Q749</f>
        <v>509.73124999999993</v>
      </c>
    </row>
    <row r="750" spans="1:18" ht="12" customHeight="1" x14ac:dyDescent="0.35">
      <c r="A750" s="75">
        <v>801</v>
      </c>
      <c r="B750" s="80">
        <v>2012</v>
      </c>
      <c r="C750" s="80">
        <v>6</v>
      </c>
      <c r="D750" s="80">
        <f t="shared" si="41"/>
        <v>2012</v>
      </c>
      <c r="E750" t="s">
        <v>38</v>
      </c>
      <c r="F750" t="s">
        <v>143</v>
      </c>
      <c r="G750" t="s">
        <v>86</v>
      </c>
      <c r="H750" s="72" t="s">
        <v>243</v>
      </c>
      <c r="I750" s="72" t="s">
        <v>94</v>
      </c>
      <c r="J750" t="str">
        <f t="shared" ref="J750:J774" si="44">I750</f>
        <v>Salt Creek (Clallam Co.)</v>
      </c>
      <c r="K750" t="str">
        <f>IFERROR(VLOOKUP(J750,LUTs!$A$1:$C$73,2,FALSE),"NA")</f>
        <v>Clallam</v>
      </c>
      <c r="L750" t="str">
        <f>IFERROR(VLOOKUP(J750,LUTs!$A$1:$C$73,3,FALSE),"NA")</f>
        <v>0Strait of Juan de Fuca</v>
      </c>
      <c r="M750" s="72" t="s">
        <v>16</v>
      </c>
      <c r="N750" t="str">
        <f>VLOOKUP(M750,LUTs!E$2:H$14,3,)</f>
        <v>03Snohomish</v>
      </c>
      <c r="O750" t="str">
        <f>VLOOKUP(M750,LUTs!E$2:H$14,4,)</f>
        <v>01North Puget Sound</v>
      </c>
      <c r="P750" s="80">
        <v>0</v>
      </c>
      <c r="Q750" s="102">
        <v>0</v>
      </c>
      <c r="R750" s="74">
        <f>VLOOKUP(B750,Readme!A$40:C$52,3,)*Q750</f>
        <v>0</v>
      </c>
    </row>
    <row r="751" spans="1:18" ht="12" customHeight="1" x14ac:dyDescent="0.35">
      <c r="A751" s="75">
        <v>833</v>
      </c>
      <c r="B751" s="80">
        <v>2012</v>
      </c>
      <c r="C751" s="80">
        <v>6</v>
      </c>
      <c r="D751" s="80">
        <f t="shared" si="41"/>
        <v>2012</v>
      </c>
      <c r="E751" t="s">
        <v>38</v>
      </c>
      <c r="F751" t="s">
        <v>143</v>
      </c>
      <c r="G751" t="s">
        <v>86</v>
      </c>
      <c r="H751" s="72" t="s">
        <v>218</v>
      </c>
      <c r="I751" s="72" t="s">
        <v>60</v>
      </c>
      <c r="J751" t="str">
        <f t="shared" si="44"/>
        <v>Skagit River</v>
      </c>
      <c r="K751" t="str">
        <f>IFERROR(VLOOKUP(J751,LUTs!$A$1:$C$73,2,FALSE),"NA")</f>
        <v>Skagit/Whatcom</v>
      </c>
      <c r="L751" t="str">
        <f>IFERROR(VLOOKUP(J751,LUTs!$A$1:$C$73,3,FALSE),"NA")</f>
        <v>2Central Puget Sound</v>
      </c>
      <c r="M751" s="72" t="s">
        <v>17</v>
      </c>
      <c r="N751" t="str">
        <f>VLOOKUP(M751,LUTs!E$2:H$14,3,)</f>
        <v>04Island</v>
      </c>
      <c r="O751" t="str">
        <f>VLOOKUP(M751,LUTs!E$2:H$14,4,)</f>
        <v>01North Puget Sound</v>
      </c>
      <c r="P751" s="80">
        <v>1.1818181818181801</v>
      </c>
      <c r="Q751" s="102">
        <v>1.1818181818181801</v>
      </c>
      <c r="R751" s="74">
        <f>VLOOKUP(B751,Readme!A$40:C$52,3,)*Q751</f>
        <v>10.092727272727258</v>
      </c>
    </row>
    <row r="752" spans="1:18" ht="12" customHeight="1" x14ac:dyDescent="0.35">
      <c r="A752" s="75">
        <v>834</v>
      </c>
      <c r="B752" s="80">
        <v>2012</v>
      </c>
      <c r="C752" s="80">
        <v>6</v>
      </c>
      <c r="D752" s="80">
        <f t="shared" si="41"/>
        <v>2012</v>
      </c>
      <c r="E752" t="s">
        <v>38</v>
      </c>
      <c r="F752" t="s">
        <v>143</v>
      </c>
      <c r="G752" t="s">
        <v>86</v>
      </c>
      <c r="H752" s="72" t="s">
        <v>218</v>
      </c>
      <c r="I752" s="72" t="s">
        <v>60</v>
      </c>
      <c r="J752" t="str">
        <f t="shared" si="44"/>
        <v>Skagit River</v>
      </c>
      <c r="K752" t="str">
        <f>IFERROR(VLOOKUP(J752,LUTs!$A$1:$C$73,2,FALSE),"NA")</f>
        <v>Skagit/Whatcom</v>
      </c>
      <c r="L752" t="str">
        <f>IFERROR(VLOOKUP(J752,LUTs!$A$1:$C$73,3,FALSE),"NA")</f>
        <v>2Central Puget Sound</v>
      </c>
      <c r="M752" s="72" t="s">
        <v>26</v>
      </c>
      <c r="N752" t="str">
        <f>VLOOKUP(M752,LUTs!E$2:H$14,3,)</f>
        <v>20Other</v>
      </c>
      <c r="O752" t="str">
        <f>VLOOKUP(M752,LUTs!E$2:H$14,4,)</f>
        <v>07Non Puget Sound</v>
      </c>
      <c r="P752" s="80">
        <v>1.1818181818181801</v>
      </c>
      <c r="Q752" s="102">
        <v>1.1818181818181801</v>
      </c>
      <c r="R752" s="74">
        <f>VLOOKUP(B752,Readme!A$40:C$52,3,)*Q752</f>
        <v>10.092727272727258</v>
      </c>
    </row>
    <row r="753" spans="1:18" ht="12" customHeight="1" x14ac:dyDescent="0.35">
      <c r="A753" s="75">
        <v>835</v>
      </c>
      <c r="B753" s="80">
        <v>2012</v>
      </c>
      <c r="C753" s="80">
        <v>6</v>
      </c>
      <c r="D753" s="80">
        <f t="shared" si="41"/>
        <v>2012</v>
      </c>
      <c r="E753" t="s">
        <v>38</v>
      </c>
      <c r="F753" t="s">
        <v>143</v>
      </c>
      <c r="G753" t="s">
        <v>86</v>
      </c>
      <c r="H753" s="72" t="s">
        <v>218</v>
      </c>
      <c r="I753" s="72" t="s">
        <v>60</v>
      </c>
      <c r="J753" t="str">
        <f t="shared" si="44"/>
        <v>Skagit River</v>
      </c>
      <c r="K753" t="str">
        <f>IFERROR(VLOOKUP(J753,LUTs!$A$1:$C$73,2,FALSE),"NA")</f>
        <v>Skagit/Whatcom</v>
      </c>
      <c r="L753" t="str">
        <f>IFERROR(VLOOKUP(J753,LUTs!$A$1:$C$73,3,FALSE),"NA")</f>
        <v>2Central Puget Sound</v>
      </c>
      <c r="M753" s="72" t="s">
        <v>15</v>
      </c>
      <c r="N753" t="str">
        <f>VLOOKUP(M753,LUTs!E$2:H$14,3,)</f>
        <v>02Skagit</v>
      </c>
      <c r="O753" t="str">
        <f>VLOOKUP(M753,LUTs!E$2:H$14,4,)</f>
        <v>01North Puget Sound</v>
      </c>
      <c r="P753" s="80">
        <v>9.4545454545454604</v>
      </c>
      <c r="Q753" s="102">
        <v>9.4545454545454604</v>
      </c>
      <c r="R753" s="74">
        <f>VLOOKUP(B753,Readme!A$40:C$52,3,)*Q753</f>
        <v>80.741818181818218</v>
      </c>
    </row>
    <row r="754" spans="1:18" ht="12" customHeight="1" x14ac:dyDescent="0.35">
      <c r="A754" s="75">
        <v>836</v>
      </c>
      <c r="B754" s="80">
        <v>2012</v>
      </c>
      <c r="C754" s="80">
        <v>6</v>
      </c>
      <c r="D754" s="80">
        <f t="shared" si="41"/>
        <v>2012</v>
      </c>
      <c r="E754" t="s">
        <v>38</v>
      </c>
      <c r="F754" t="s">
        <v>143</v>
      </c>
      <c r="G754" t="s">
        <v>86</v>
      </c>
      <c r="H754" s="72" t="s">
        <v>218</v>
      </c>
      <c r="I754" s="72" t="s">
        <v>60</v>
      </c>
      <c r="J754" t="str">
        <f t="shared" si="44"/>
        <v>Skagit River</v>
      </c>
      <c r="K754" t="str">
        <f>IFERROR(VLOOKUP(J754,LUTs!$A$1:$C$73,2,FALSE),"NA")</f>
        <v>Skagit/Whatcom</v>
      </c>
      <c r="L754" t="str">
        <f>IFERROR(VLOOKUP(J754,LUTs!$A$1:$C$73,3,FALSE),"NA")</f>
        <v>2Central Puget Sound</v>
      </c>
      <c r="M754" s="72" t="s">
        <v>16</v>
      </c>
      <c r="N754" t="str">
        <f>VLOOKUP(M754,LUTs!E$2:H$14,3,)</f>
        <v>03Snohomish</v>
      </c>
      <c r="O754" t="str">
        <f>VLOOKUP(M754,LUTs!E$2:H$14,4,)</f>
        <v>01North Puget Sound</v>
      </c>
      <c r="P754" s="80">
        <v>1.1818181818181801</v>
      </c>
      <c r="Q754" s="102">
        <v>1.1818181818181801</v>
      </c>
      <c r="R754" s="74">
        <f>VLOOKUP(B754,Readme!A$40:C$52,3,)*Q754</f>
        <v>10.092727272727258</v>
      </c>
    </row>
    <row r="755" spans="1:18" ht="12" customHeight="1" x14ac:dyDescent="0.35">
      <c r="A755" s="75">
        <v>858</v>
      </c>
      <c r="B755" s="80">
        <v>2012</v>
      </c>
      <c r="C755" s="80">
        <v>6</v>
      </c>
      <c r="D755" s="80">
        <f t="shared" si="41"/>
        <v>2012</v>
      </c>
      <c r="E755" t="s">
        <v>38</v>
      </c>
      <c r="F755" t="s">
        <v>143</v>
      </c>
      <c r="G755" t="s">
        <v>86</v>
      </c>
      <c r="H755" s="72" t="s">
        <v>220</v>
      </c>
      <c r="I755" s="72" t="s">
        <v>62</v>
      </c>
      <c r="J755" t="str">
        <f t="shared" si="44"/>
        <v>Skykomish River</v>
      </c>
      <c r="K755" t="str">
        <f>IFERROR(VLOOKUP(J755,LUTs!$A$1:$C$73,2,FALSE),"NA")</f>
        <v>Snohomish</v>
      </c>
      <c r="L755" t="str">
        <f>IFERROR(VLOOKUP(J755,LUTs!$A$1:$C$73,3,FALSE),"NA")</f>
        <v>2Central Puget Sound</v>
      </c>
      <c r="M755" s="72" t="s">
        <v>17</v>
      </c>
      <c r="N755" t="str">
        <f>VLOOKUP(M755,LUTs!E$2:H$14,3,)</f>
        <v>04Island</v>
      </c>
      <c r="O755" t="str">
        <f>VLOOKUP(M755,LUTs!E$2:H$14,4,)</f>
        <v>01North Puget Sound</v>
      </c>
      <c r="P755" s="80">
        <v>17.373549883990702</v>
      </c>
      <c r="Q755" s="102">
        <v>17.373549883990702</v>
      </c>
      <c r="R755" s="74">
        <f>VLOOKUP(B755,Readme!A$40:C$52,3,)*Q755</f>
        <v>148.37011600928057</v>
      </c>
    </row>
    <row r="756" spans="1:18" ht="12" customHeight="1" x14ac:dyDescent="0.35">
      <c r="A756" s="75">
        <v>859</v>
      </c>
      <c r="B756" s="80">
        <v>2012</v>
      </c>
      <c r="C756" s="80">
        <v>6</v>
      </c>
      <c r="D756" s="80">
        <f t="shared" si="41"/>
        <v>2012</v>
      </c>
      <c r="E756" t="s">
        <v>38</v>
      </c>
      <c r="F756" t="s">
        <v>143</v>
      </c>
      <c r="G756" t="s">
        <v>86</v>
      </c>
      <c r="H756" s="72" t="s">
        <v>220</v>
      </c>
      <c r="I756" s="72" t="s">
        <v>62</v>
      </c>
      <c r="J756" t="str">
        <f t="shared" si="44"/>
        <v>Skykomish River</v>
      </c>
      <c r="K756" t="str">
        <f>IFERROR(VLOOKUP(J756,LUTs!$A$1:$C$73,2,FALSE),"NA")</f>
        <v>Snohomish</v>
      </c>
      <c r="L756" t="str">
        <f>IFERROR(VLOOKUP(J756,LUTs!$A$1:$C$73,3,FALSE),"NA")</f>
        <v>2Central Puget Sound</v>
      </c>
      <c r="M756" s="72" t="s">
        <v>18</v>
      </c>
      <c r="N756" t="str">
        <f>VLOOKUP(M756,LUTs!E$2:H$14,3,)</f>
        <v>06King</v>
      </c>
      <c r="O756" t="str">
        <f>VLOOKUP(M756,LUTs!E$2:H$14,4,)</f>
        <v>02South Puget Sound</v>
      </c>
      <c r="P756" s="80">
        <v>463.29466357308598</v>
      </c>
      <c r="Q756" s="102">
        <v>463.29466357308598</v>
      </c>
      <c r="R756" s="74">
        <f>VLOOKUP(B756,Readme!A$40:C$52,3,)*Q756</f>
        <v>3956.5364269141537</v>
      </c>
    </row>
    <row r="757" spans="1:18" ht="12" customHeight="1" x14ac:dyDescent="0.35">
      <c r="A757" s="75">
        <v>860</v>
      </c>
      <c r="B757" s="80">
        <v>2012</v>
      </c>
      <c r="C757" s="80">
        <v>6</v>
      </c>
      <c r="D757" s="80">
        <f t="shared" si="41"/>
        <v>2012</v>
      </c>
      <c r="E757" t="s">
        <v>38</v>
      </c>
      <c r="F757" t="s">
        <v>143</v>
      </c>
      <c r="G757" t="s">
        <v>86</v>
      </c>
      <c r="H757" s="72" t="s">
        <v>220</v>
      </c>
      <c r="I757" s="72" t="s">
        <v>62</v>
      </c>
      <c r="J757" t="str">
        <f t="shared" si="44"/>
        <v>Skykomish River</v>
      </c>
      <c r="K757" t="str">
        <f>IFERROR(VLOOKUP(J757,LUTs!$A$1:$C$73,2,FALSE),"NA")</f>
        <v>Snohomish</v>
      </c>
      <c r="L757" t="str">
        <f>IFERROR(VLOOKUP(J757,LUTs!$A$1:$C$73,3,FALSE),"NA")</f>
        <v>2Central Puget Sound</v>
      </c>
      <c r="M757" s="72" t="s">
        <v>26</v>
      </c>
      <c r="N757" t="str">
        <f>VLOOKUP(M757,LUTs!E$2:H$14,3,)</f>
        <v>20Other</v>
      </c>
      <c r="O757" t="str">
        <f>VLOOKUP(M757,LUTs!E$2:H$14,4,)</f>
        <v>07Non Puget Sound</v>
      </c>
      <c r="P757" s="80">
        <v>49.225058004640402</v>
      </c>
      <c r="Q757" s="102">
        <v>49.225058004640402</v>
      </c>
      <c r="R757" s="74">
        <f>VLOOKUP(B757,Readme!A$40:C$52,3,)*Q757</f>
        <v>420.381995359629</v>
      </c>
    </row>
    <row r="758" spans="1:18" ht="12" customHeight="1" x14ac:dyDescent="0.35">
      <c r="A758" s="75">
        <v>861</v>
      </c>
      <c r="B758" s="80">
        <v>2012</v>
      </c>
      <c r="C758" s="80">
        <v>6</v>
      </c>
      <c r="D758" s="80">
        <f t="shared" si="41"/>
        <v>2012</v>
      </c>
      <c r="E758" t="s">
        <v>38</v>
      </c>
      <c r="F758" t="s">
        <v>143</v>
      </c>
      <c r="G758" t="s">
        <v>86</v>
      </c>
      <c r="H758" s="72" t="s">
        <v>220</v>
      </c>
      <c r="I758" s="72" t="s">
        <v>62</v>
      </c>
      <c r="J758" t="str">
        <f t="shared" si="44"/>
        <v>Skykomish River</v>
      </c>
      <c r="K758" t="str">
        <f>IFERROR(VLOOKUP(J758,LUTs!$A$1:$C$73,2,FALSE),"NA")</f>
        <v>Snohomish</v>
      </c>
      <c r="L758" t="str">
        <f>IFERROR(VLOOKUP(J758,LUTs!$A$1:$C$73,3,FALSE),"NA")</f>
        <v>2Central Puget Sound</v>
      </c>
      <c r="M758" s="72" t="s">
        <v>20</v>
      </c>
      <c r="N758" t="str">
        <f>VLOOKUP(M758,LUTs!E$2:H$14,3,)</f>
        <v>07Pierce</v>
      </c>
      <c r="O758" t="str">
        <f>VLOOKUP(M758,LUTs!E$2:H$14,4,)</f>
        <v>02South Puget Sound</v>
      </c>
      <c r="P758" s="80">
        <v>23.164733178654298</v>
      </c>
      <c r="Q758" s="102">
        <v>23.164733178654298</v>
      </c>
      <c r="R758" s="74">
        <f>VLOOKUP(B758,Readme!A$40:C$52,3,)*Q758</f>
        <v>197.82682134570769</v>
      </c>
    </row>
    <row r="759" spans="1:18" ht="12" customHeight="1" x14ac:dyDescent="0.35">
      <c r="A759" s="75">
        <v>862</v>
      </c>
      <c r="B759" s="80">
        <v>2012</v>
      </c>
      <c r="C759" s="80">
        <v>6</v>
      </c>
      <c r="D759" s="80">
        <f t="shared" si="41"/>
        <v>2012</v>
      </c>
      <c r="E759" t="s">
        <v>38</v>
      </c>
      <c r="F759" t="s">
        <v>143</v>
      </c>
      <c r="G759" t="s">
        <v>86</v>
      </c>
      <c r="H759" s="72" t="s">
        <v>220</v>
      </c>
      <c r="I759" s="72" t="s">
        <v>62</v>
      </c>
      <c r="J759" t="str">
        <f t="shared" si="44"/>
        <v>Skykomish River</v>
      </c>
      <c r="K759" t="str">
        <f>IFERROR(VLOOKUP(J759,LUTs!$A$1:$C$73,2,FALSE),"NA")</f>
        <v>Snohomish</v>
      </c>
      <c r="L759" t="str">
        <f>IFERROR(VLOOKUP(J759,LUTs!$A$1:$C$73,3,FALSE),"NA")</f>
        <v>2Central Puget Sound</v>
      </c>
      <c r="M759" s="72" t="s">
        <v>15</v>
      </c>
      <c r="N759" t="str">
        <f>VLOOKUP(M759,LUTs!E$2:H$14,3,)</f>
        <v>02Skagit</v>
      </c>
      <c r="O759" t="str">
        <f>VLOOKUP(M759,LUTs!E$2:H$14,4,)</f>
        <v>01North Puget Sound</v>
      </c>
      <c r="P759" s="80">
        <v>2.89559164733179</v>
      </c>
      <c r="Q759" s="102">
        <v>2.89559164733179</v>
      </c>
      <c r="R759" s="74">
        <f>VLOOKUP(B759,Readme!A$40:C$52,3,)*Q759</f>
        <v>24.728352668213486</v>
      </c>
    </row>
    <row r="760" spans="1:18" ht="12" customHeight="1" x14ac:dyDescent="0.35">
      <c r="A760" s="75">
        <v>863</v>
      </c>
      <c r="B760" s="80">
        <v>2012</v>
      </c>
      <c r="C760" s="80">
        <v>6</v>
      </c>
      <c r="D760" s="80">
        <f t="shared" si="41"/>
        <v>2012</v>
      </c>
      <c r="E760" t="s">
        <v>38</v>
      </c>
      <c r="F760" t="s">
        <v>143</v>
      </c>
      <c r="G760" t="s">
        <v>86</v>
      </c>
      <c r="H760" s="72" t="s">
        <v>220</v>
      </c>
      <c r="I760" s="72" t="s">
        <v>62</v>
      </c>
      <c r="J760" t="str">
        <f t="shared" si="44"/>
        <v>Skykomish River</v>
      </c>
      <c r="K760" t="str">
        <f>IFERROR(VLOOKUP(J760,LUTs!$A$1:$C$73,2,FALSE),"NA")</f>
        <v>Snohomish</v>
      </c>
      <c r="L760" t="str">
        <f>IFERROR(VLOOKUP(J760,LUTs!$A$1:$C$73,3,FALSE),"NA")</f>
        <v>2Central Puget Sound</v>
      </c>
      <c r="M760" s="72" t="s">
        <v>16</v>
      </c>
      <c r="N760" t="str">
        <f>VLOOKUP(M760,LUTs!E$2:H$14,3,)</f>
        <v>03Snohomish</v>
      </c>
      <c r="O760" t="str">
        <f>VLOOKUP(M760,LUTs!E$2:H$14,4,)</f>
        <v>01North Puget Sound</v>
      </c>
      <c r="P760" s="80">
        <v>689.15081206496495</v>
      </c>
      <c r="Q760" s="102">
        <v>689.15081206496495</v>
      </c>
      <c r="R760" s="74">
        <f>VLOOKUP(B760,Readme!A$40:C$52,3,)*Q760</f>
        <v>5885.3479350347998</v>
      </c>
    </row>
    <row r="761" spans="1:18" ht="12" customHeight="1" x14ac:dyDescent="0.35">
      <c r="A761" s="75">
        <v>864</v>
      </c>
      <c r="B761" s="80">
        <v>2012</v>
      </c>
      <c r="C761" s="80">
        <v>6</v>
      </c>
      <c r="D761" s="80">
        <f t="shared" si="41"/>
        <v>2012</v>
      </c>
      <c r="E761" t="s">
        <v>38</v>
      </c>
      <c r="F761" t="s">
        <v>143</v>
      </c>
      <c r="G761" t="s">
        <v>86</v>
      </c>
      <c r="H761" s="72" t="s">
        <v>220</v>
      </c>
      <c r="I761" s="72" t="s">
        <v>62</v>
      </c>
      <c r="J761" t="str">
        <f t="shared" si="44"/>
        <v>Skykomish River</v>
      </c>
      <c r="K761" t="str">
        <f>IFERROR(VLOOKUP(J761,LUTs!$A$1:$C$73,2,FALSE),"NA")</f>
        <v>Snohomish</v>
      </c>
      <c r="L761" t="str">
        <f>IFERROR(VLOOKUP(J761,LUTs!$A$1:$C$73,3,FALSE),"NA")</f>
        <v>2Central Puget Sound</v>
      </c>
      <c r="M761" s="72" t="s">
        <v>13</v>
      </c>
      <c r="N761" t="str">
        <f>VLOOKUP(M761,LUTs!E$2:H$14,3,)</f>
        <v>01Whatcom</v>
      </c>
      <c r="O761" t="str">
        <f>VLOOKUP(M761,LUTs!E$2:H$14,4,)</f>
        <v>01North Puget Sound</v>
      </c>
      <c r="P761" s="80">
        <v>2.89559164733179</v>
      </c>
      <c r="Q761" s="102">
        <v>2.89559164733179</v>
      </c>
      <c r="R761" s="74">
        <f>VLOOKUP(B761,Readme!A$40:C$52,3,)*Q761</f>
        <v>24.728352668213486</v>
      </c>
    </row>
    <row r="762" spans="1:18" ht="12" customHeight="1" x14ac:dyDescent="0.35">
      <c r="A762" s="75">
        <v>903</v>
      </c>
      <c r="B762" s="80">
        <v>2012</v>
      </c>
      <c r="C762" s="80">
        <v>6</v>
      </c>
      <c r="D762" s="80">
        <f t="shared" si="41"/>
        <v>2012</v>
      </c>
      <c r="E762" t="s">
        <v>38</v>
      </c>
      <c r="F762" t="s">
        <v>143</v>
      </c>
      <c r="G762" t="s">
        <v>86</v>
      </c>
      <c r="H762" s="72" t="s">
        <v>247</v>
      </c>
      <c r="I762" s="72" t="s">
        <v>98</v>
      </c>
      <c r="J762" t="str">
        <f t="shared" si="44"/>
        <v>Skykomish River, No. Fork</v>
      </c>
      <c r="K762" t="str">
        <f>IFERROR(VLOOKUP(J762,LUTs!$A$1:$C$73,2,FALSE),"NA")</f>
        <v>Snohomish</v>
      </c>
      <c r="L762" t="str">
        <f>IFERROR(VLOOKUP(J762,LUTs!$A$1:$C$73,3,FALSE),"NA")</f>
        <v>2Central Puget Sound</v>
      </c>
      <c r="M762" s="72" t="s">
        <v>17</v>
      </c>
      <c r="N762" t="str">
        <f>VLOOKUP(M762,LUTs!E$2:H$14,3,)</f>
        <v>04Island</v>
      </c>
      <c r="O762" t="str">
        <f>VLOOKUP(M762,LUTs!E$2:H$14,4,)</f>
        <v>01North Puget Sound</v>
      </c>
      <c r="P762" s="80">
        <v>9</v>
      </c>
      <c r="Q762" s="102">
        <v>9</v>
      </c>
      <c r="R762" s="74">
        <f>VLOOKUP(B762,Readme!A$40:C$52,3,)*Q762</f>
        <v>76.859999999999985</v>
      </c>
    </row>
    <row r="763" spans="1:18" ht="12" customHeight="1" x14ac:dyDescent="0.35">
      <c r="A763" s="75">
        <v>915</v>
      </c>
      <c r="B763" s="80">
        <v>2012</v>
      </c>
      <c r="C763" s="80">
        <v>6</v>
      </c>
      <c r="D763" s="80">
        <f t="shared" si="41"/>
        <v>2012</v>
      </c>
      <c r="E763" t="s">
        <v>38</v>
      </c>
      <c r="F763" t="s">
        <v>143</v>
      </c>
      <c r="G763" t="s">
        <v>86</v>
      </c>
      <c r="H763" s="72" t="s">
        <v>248</v>
      </c>
      <c r="I763" s="72" t="s">
        <v>99</v>
      </c>
      <c r="J763" t="str">
        <f t="shared" si="44"/>
        <v>Skykomish River, So. Fork</v>
      </c>
      <c r="K763" t="str">
        <f>IFERROR(VLOOKUP(J763,LUTs!$A$1:$C$73,2,FALSE),"NA")</f>
        <v>Snohomish/King</v>
      </c>
      <c r="L763" t="str">
        <f>IFERROR(VLOOKUP(J763,LUTs!$A$1:$C$73,3,FALSE),"NA")</f>
        <v>2Central Puget Sound</v>
      </c>
      <c r="M763" s="72" t="s">
        <v>16</v>
      </c>
      <c r="N763" t="str">
        <f>VLOOKUP(M763,LUTs!E$2:H$14,3,)</f>
        <v>03Snohomish</v>
      </c>
      <c r="O763" t="str">
        <f>VLOOKUP(M763,LUTs!E$2:H$14,4,)</f>
        <v>01North Puget Sound</v>
      </c>
      <c r="P763" s="80">
        <v>9</v>
      </c>
      <c r="Q763" s="102">
        <v>9</v>
      </c>
      <c r="R763" s="74">
        <f>VLOOKUP(B763,Readme!A$40:C$52,3,)*Q763</f>
        <v>76.859999999999985</v>
      </c>
    </row>
    <row r="764" spans="1:18" ht="12" customHeight="1" x14ac:dyDescent="0.35">
      <c r="A764" s="75">
        <v>922</v>
      </c>
      <c r="B764" s="80">
        <v>2012</v>
      </c>
      <c r="C764" s="80">
        <v>6</v>
      </c>
      <c r="D764" s="80">
        <f t="shared" si="41"/>
        <v>2012</v>
      </c>
      <c r="E764" t="s">
        <v>38</v>
      </c>
      <c r="F764" t="s">
        <v>143</v>
      </c>
      <c r="G764" t="s">
        <v>86</v>
      </c>
      <c r="H764" s="72" t="s">
        <v>221</v>
      </c>
      <c r="I764" s="72" t="s">
        <v>63</v>
      </c>
      <c r="J764" t="str">
        <f t="shared" si="44"/>
        <v>Snohomish River</v>
      </c>
      <c r="K764" t="str">
        <f>IFERROR(VLOOKUP(J764,LUTs!$A$1:$C$73,2,FALSE),"NA")</f>
        <v>Snohomish</v>
      </c>
      <c r="L764" t="str">
        <f>IFERROR(VLOOKUP(J764,LUTs!$A$1:$C$73,3,FALSE),"NA")</f>
        <v>2Central Puget Sound</v>
      </c>
      <c r="M764" s="72" t="s">
        <v>18</v>
      </c>
      <c r="N764" t="str">
        <f>VLOOKUP(M764,LUTs!E$2:H$14,3,)</f>
        <v>06King</v>
      </c>
      <c r="O764" t="str">
        <f>VLOOKUP(M764,LUTs!E$2:H$14,4,)</f>
        <v>02South Puget Sound</v>
      </c>
      <c r="P764" s="80">
        <v>20.4563106796117</v>
      </c>
      <c r="Q764" s="102">
        <v>20.4563106796117</v>
      </c>
      <c r="R764" s="74">
        <f>VLOOKUP(B764,Readme!A$40:C$52,3,)*Q764</f>
        <v>174.69689320388392</v>
      </c>
    </row>
    <row r="765" spans="1:18" ht="12" customHeight="1" x14ac:dyDescent="0.35">
      <c r="A765" s="75">
        <v>923</v>
      </c>
      <c r="B765" s="80">
        <v>2012</v>
      </c>
      <c r="C765" s="80">
        <v>6</v>
      </c>
      <c r="D765" s="80">
        <f t="shared" si="41"/>
        <v>2012</v>
      </c>
      <c r="E765" t="s">
        <v>38</v>
      </c>
      <c r="F765" t="s">
        <v>143</v>
      </c>
      <c r="G765" t="s">
        <v>86</v>
      </c>
      <c r="H765" s="72" t="s">
        <v>221</v>
      </c>
      <c r="I765" s="72" t="s">
        <v>63</v>
      </c>
      <c r="J765" t="str">
        <f t="shared" si="44"/>
        <v>Snohomish River</v>
      </c>
      <c r="K765" t="str">
        <f>IFERROR(VLOOKUP(J765,LUTs!$A$1:$C$73,2,FALSE),"NA")</f>
        <v>Snohomish</v>
      </c>
      <c r="L765" t="str">
        <f>IFERROR(VLOOKUP(J765,LUTs!$A$1:$C$73,3,FALSE),"NA")</f>
        <v>2Central Puget Sound</v>
      </c>
      <c r="M765" s="72" t="s">
        <v>16</v>
      </c>
      <c r="N765" t="str">
        <f>VLOOKUP(M765,LUTs!E$2:H$14,3,)</f>
        <v>03Snohomish</v>
      </c>
      <c r="O765" t="str">
        <f>VLOOKUP(M765,LUTs!E$2:H$14,4,)</f>
        <v>01North Puget Sound</v>
      </c>
      <c r="P765" s="80">
        <v>277.621359223301</v>
      </c>
      <c r="Q765" s="102">
        <v>277.621359223301</v>
      </c>
      <c r="R765" s="74">
        <f>VLOOKUP(B765,Readme!A$40:C$52,3,)*Q765</f>
        <v>2370.8864077669905</v>
      </c>
    </row>
    <row r="766" spans="1:18" ht="12" customHeight="1" x14ac:dyDescent="0.35">
      <c r="A766" s="75">
        <v>924</v>
      </c>
      <c r="B766" s="80">
        <v>2012</v>
      </c>
      <c r="C766" s="80">
        <v>6</v>
      </c>
      <c r="D766" s="80">
        <f t="shared" si="41"/>
        <v>2012</v>
      </c>
      <c r="E766" t="s">
        <v>38</v>
      </c>
      <c r="F766" t="s">
        <v>143</v>
      </c>
      <c r="G766" t="s">
        <v>86</v>
      </c>
      <c r="H766" s="72" t="s">
        <v>221</v>
      </c>
      <c r="I766" s="72" t="s">
        <v>63</v>
      </c>
      <c r="J766" t="str">
        <f t="shared" si="44"/>
        <v>Snohomish River</v>
      </c>
      <c r="K766" t="str">
        <f>IFERROR(VLOOKUP(J766,LUTs!$A$1:$C$73,2,FALSE),"NA")</f>
        <v>Snohomish</v>
      </c>
      <c r="L766" t="str">
        <f>IFERROR(VLOOKUP(J766,LUTs!$A$1:$C$73,3,FALSE),"NA")</f>
        <v>2Central Puget Sound</v>
      </c>
      <c r="M766" s="72" t="s">
        <v>21</v>
      </c>
      <c r="N766" t="str">
        <f>VLOOKUP(M766,LUTs!E$2:H$14,3,)</f>
        <v>08Thurston</v>
      </c>
      <c r="O766" t="str">
        <f>VLOOKUP(M766,LUTs!E$2:H$14,4,)</f>
        <v>02South Puget Sound</v>
      </c>
      <c r="P766" s="80">
        <v>2.92233009708738</v>
      </c>
      <c r="Q766" s="102">
        <v>2.92233009708738</v>
      </c>
      <c r="R766" s="74">
        <f>VLOOKUP(B766,Readme!A$40:C$52,3,)*Q766</f>
        <v>24.956699029126224</v>
      </c>
    </row>
    <row r="767" spans="1:18" ht="12" customHeight="1" x14ac:dyDescent="0.35">
      <c r="A767" s="75">
        <v>940</v>
      </c>
      <c r="B767" s="80">
        <v>2012</v>
      </c>
      <c r="C767" s="80">
        <v>6</v>
      </c>
      <c r="D767" s="80">
        <f t="shared" si="41"/>
        <v>2012</v>
      </c>
      <c r="E767" t="s">
        <v>38</v>
      </c>
      <c r="F767" t="s">
        <v>143</v>
      </c>
      <c r="G767" t="s">
        <v>86</v>
      </c>
      <c r="H767" s="72" t="s">
        <v>222</v>
      </c>
      <c r="I767" s="72" t="s">
        <v>64</v>
      </c>
      <c r="J767" t="str">
        <f t="shared" si="44"/>
        <v>Snoqualmie River</v>
      </c>
      <c r="K767" t="str">
        <f>IFERROR(VLOOKUP(J767,LUTs!$A$1:$C$73,2,FALSE),"NA")</f>
        <v>Snohomish/King</v>
      </c>
      <c r="L767" t="str">
        <f>IFERROR(VLOOKUP(J767,LUTs!$A$1:$C$73,3,FALSE),"NA")</f>
        <v>2Central Puget Sound</v>
      </c>
      <c r="M767" s="72" t="s">
        <v>18</v>
      </c>
      <c r="N767" t="str">
        <f>VLOOKUP(M767,LUTs!E$2:H$14,3,)</f>
        <v>06King</v>
      </c>
      <c r="O767" t="str">
        <f>VLOOKUP(M767,LUTs!E$2:H$14,4,)</f>
        <v>02South Puget Sound</v>
      </c>
      <c r="P767" s="80">
        <v>15</v>
      </c>
      <c r="Q767" s="102">
        <v>15</v>
      </c>
      <c r="R767" s="74">
        <f>VLOOKUP(B767,Readme!A$40:C$52,3,)*Q767</f>
        <v>128.1</v>
      </c>
    </row>
    <row r="768" spans="1:18" ht="12" customHeight="1" x14ac:dyDescent="0.35">
      <c r="A768" s="75">
        <v>993</v>
      </c>
      <c r="B768" s="80">
        <v>2012</v>
      </c>
      <c r="C768" s="80">
        <v>6</v>
      </c>
      <c r="D768" s="80">
        <f t="shared" si="41"/>
        <v>2012</v>
      </c>
      <c r="E768" t="s">
        <v>38</v>
      </c>
      <c r="F768" t="s">
        <v>143</v>
      </c>
      <c r="G768" t="s">
        <v>86</v>
      </c>
      <c r="H768" s="72" t="s">
        <v>223</v>
      </c>
      <c r="I768" s="72" t="s">
        <v>103</v>
      </c>
      <c r="J768" t="str">
        <f t="shared" si="44"/>
        <v>Stillaguamish R, No. Fork</v>
      </c>
      <c r="K768" t="str">
        <f>IFERROR(VLOOKUP(J768,LUTs!$A$1:$C$73,2,FALSE),"NA")</f>
        <v>Snohomish</v>
      </c>
      <c r="L768" t="str">
        <f>IFERROR(VLOOKUP(J768,LUTs!$A$1:$C$73,3,FALSE),"NA")</f>
        <v>2Central Puget Sound</v>
      </c>
      <c r="M768" s="72" t="s">
        <v>18</v>
      </c>
      <c r="N768" t="str">
        <f>VLOOKUP(M768,LUTs!E$2:H$14,3,)</f>
        <v>06King</v>
      </c>
      <c r="O768" t="str">
        <f>VLOOKUP(M768,LUTs!E$2:H$14,4,)</f>
        <v>02South Puget Sound</v>
      </c>
      <c r="P768" s="80">
        <v>8.5</v>
      </c>
      <c r="Q768" s="102">
        <v>8.5</v>
      </c>
      <c r="R768" s="74">
        <f>VLOOKUP(B768,Readme!A$40:C$52,3,)*Q768</f>
        <v>72.589999999999989</v>
      </c>
    </row>
    <row r="769" spans="1:18" ht="12" customHeight="1" x14ac:dyDescent="0.35">
      <c r="A769" s="75">
        <v>994</v>
      </c>
      <c r="B769" s="80">
        <v>2012</v>
      </c>
      <c r="C769" s="80">
        <v>6</v>
      </c>
      <c r="D769" s="80">
        <f t="shared" si="41"/>
        <v>2012</v>
      </c>
      <c r="E769" t="s">
        <v>38</v>
      </c>
      <c r="F769" t="s">
        <v>143</v>
      </c>
      <c r="G769" t="s">
        <v>86</v>
      </c>
      <c r="H769" s="72" t="s">
        <v>223</v>
      </c>
      <c r="I769" s="72" t="s">
        <v>103</v>
      </c>
      <c r="J769" t="str">
        <f t="shared" si="44"/>
        <v>Stillaguamish R, No. Fork</v>
      </c>
      <c r="K769" t="str">
        <f>IFERROR(VLOOKUP(J769,LUTs!$A$1:$C$73,2,FALSE),"NA")</f>
        <v>Snohomish</v>
      </c>
      <c r="L769" t="str">
        <f>IFERROR(VLOOKUP(J769,LUTs!$A$1:$C$73,3,FALSE),"NA")</f>
        <v>2Central Puget Sound</v>
      </c>
      <c r="M769" s="72" t="s">
        <v>16</v>
      </c>
      <c r="N769" t="str">
        <f>VLOOKUP(M769,LUTs!E$2:H$14,3,)</f>
        <v>03Snohomish</v>
      </c>
      <c r="O769" t="str">
        <f>VLOOKUP(M769,LUTs!E$2:H$14,4,)</f>
        <v>01North Puget Sound</v>
      </c>
      <c r="P769" s="80">
        <v>8.5</v>
      </c>
      <c r="Q769" s="102">
        <v>8.5</v>
      </c>
      <c r="R769" s="74">
        <f>VLOOKUP(B769,Readme!A$40:C$52,3,)*Q769</f>
        <v>72.589999999999989</v>
      </c>
    </row>
    <row r="770" spans="1:18" ht="12" customHeight="1" x14ac:dyDescent="0.35">
      <c r="A770" s="75">
        <v>973</v>
      </c>
      <c r="B770" s="80">
        <v>2012</v>
      </c>
      <c r="C770" s="80">
        <v>6</v>
      </c>
      <c r="D770" s="80">
        <f t="shared" ref="D770:D833" si="45">IF(C770&gt;3,B770,B770-1)</f>
        <v>2012</v>
      </c>
      <c r="E770" t="s">
        <v>38</v>
      </c>
      <c r="F770" t="s">
        <v>143</v>
      </c>
      <c r="G770" t="s">
        <v>86</v>
      </c>
      <c r="H770" s="72" t="s">
        <v>233</v>
      </c>
      <c r="I770" s="72" t="s">
        <v>76</v>
      </c>
      <c r="J770" t="str">
        <f t="shared" si="44"/>
        <v>Wallace River</v>
      </c>
      <c r="K770" t="str">
        <f>IFERROR(VLOOKUP(J770,LUTs!$A$1:$C$73,2,FALSE),"NA")</f>
        <v>Snohomish</v>
      </c>
      <c r="L770" t="str">
        <f>IFERROR(VLOOKUP(J770,LUTs!$A$1:$C$73,3,FALSE),"NA")</f>
        <v>2Central Puget Sound</v>
      </c>
      <c r="M770" s="72" t="s">
        <v>16</v>
      </c>
      <c r="N770" t="str">
        <f>VLOOKUP(M770,LUTs!E$2:H$14,3,)</f>
        <v>03Snohomish</v>
      </c>
      <c r="O770" t="str">
        <f>VLOOKUP(M770,LUTs!E$2:H$14,4,)</f>
        <v>01North Puget Sound</v>
      </c>
      <c r="P770" s="80">
        <v>3</v>
      </c>
      <c r="Q770" s="102">
        <v>3</v>
      </c>
      <c r="R770" s="74">
        <f>VLOOKUP(B770,Readme!A$40:C$52,3,)*Q770</f>
        <v>25.619999999999997</v>
      </c>
    </row>
    <row r="771" spans="1:18" ht="12" customHeight="1" x14ac:dyDescent="0.35">
      <c r="A771" s="75">
        <v>1037</v>
      </c>
      <c r="B771" s="80">
        <v>2012</v>
      </c>
      <c r="C771" s="80">
        <v>7</v>
      </c>
      <c r="D771" s="80">
        <f t="shared" si="45"/>
        <v>2012</v>
      </c>
      <c r="E771" t="s">
        <v>38</v>
      </c>
      <c r="F771" t="s">
        <v>143</v>
      </c>
      <c r="G771" t="s">
        <v>86</v>
      </c>
      <c r="H771" s="72" t="s">
        <v>254</v>
      </c>
      <c r="I771" s="72" t="s">
        <v>33</v>
      </c>
      <c r="J771" t="str">
        <f t="shared" si="44"/>
        <v>Area 9: Admiralty Inlet</v>
      </c>
      <c r="K771" t="str">
        <f>IFERROR(VLOOKUP(J771,LUTs!$A$1:$C$73,2,FALSE),"NA")</f>
        <v>NA</v>
      </c>
      <c r="L771" t="str">
        <f>IFERROR(VLOOKUP(J771,LUTs!$A$1:$C$73,3,FALSE),"NA")</f>
        <v>2Central Puget Sound</v>
      </c>
      <c r="M771" s="72" t="s">
        <v>23</v>
      </c>
      <c r="N771" t="str">
        <f>VLOOKUP(M771,LUTs!E$2:H$14,3,)</f>
        <v>10Kitsap</v>
      </c>
      <c r="O771" t="str">
        <f>VLOOKUP(M771,LUTs!E$2:H$14,4,)</f>
        <v>02South Puget Sound</v>
      </c>
      <c r="P771" s="80">
        <v>5</v>
      </c>
      <c r="Q771" s="102">
        <v>5</v>
      </c>
      <c r="R771" s="74">
        <f>VLOOKUP(B771,Readme!A$40:C$52,3,)*Q771</f>
        <v>42.699999999999996</v>
      </c>
    </row>
    <row r="772" spans="1:18" ht="12" customHeight="1" x14ac:dyDescent="0.35">
      <c r="A772" s="75">
        <v>1038</v>
      </c>
      <c r="B772" s="80">
        <v>2012</v>
      </c>
      <c r="C772" s="80">
        <v>7</v>
      </c>
      <c r="D772" s="80">
        <f t="shared" si="45"/>
        <v>2012</v>
      </c>
      <c r="E772" t="s">
        <v>38</v>
      </c>
      <c r="F772" t="s">
        <v>143</v>
      </c>
      <c r="G772" t="s">
        <v>86</v>
      </c>
      <c r="H772" s="72" t="s">
        <v>254</v>
      </c>
      <c r="I772" s="72" t="s">
        <v>33</v>
      </c>
      <c r="J772" t="str">
        <f t="shared" si="44"/>
        <v>Area 9: Admiralty Inlet</v>
      </c>
      <c r="K772" t="str">
        <f>IFERROR(VLOOKUP(J772,LUTs!$A$1:$C$73,2,FALSE),"NA")</f>
        <v>NA</v>
      </c>
      <c r="L772" t="str">
        <f>IFERROR(VLOOKUP(J772,LUTs!$A$1:$C$73,3,FALSE),"NA")</f>
        <v>2Central Puget Sound</v>
      </c>
      <c r="M772" s="72" t="s">
        <v>16</v>
      </c>
      <c r="N772" t="str">
        <f>VLOOKUP(M772,LUTs!E$2:H$14,3,)</f>
        <v>03Snohomish</v>
      </c>
      <c r="O772" t="str">
        <f>VLOOKUP(M772,LUTs!E$2:H$14,4,)</f>
        <v>01North Puget Sound</v>
      </c>
      <c r="P772" s="80">
        <v>5</v>
      </c>
      <c r="Q772" s="102">
        <v>5</v>
      </c>
      <c r="R772" s="74">
        <f>VLOOKUP(B772,Readme!A$40:C$52,3,)*Q772</f>
        <v>42.699999999999996</v>
      </c>
    </row>
    <row r="773" spans="1:18" ht="12" customHeight="1" x14ac:dyDescent="0.35">
      <c r="A773" s="75">
        <v>989</v>
      </c>
      <c r="B773" s="80">
        <v>2012</v>
      </c>
      <c r="C773" s="80">
        <v>7</v>
      </c>
      <c r="D773" s="80">
        <f t="shared" si="45"/>
        <v>2012</v>
      </c>
      <c r="E773" t="s">
        <v>38</v>
      </c>
      <c r="F773" t="s">
        <v>143</v>
      </c>
      <c r="G773" t="s">
        <v>86</v>
      </c>
      <c r="H773" s="72" t="s">
        <v>251</v>
      </c>
      <c r="I773" s="72" t="s">
        <v>102</v>
      </c>
      <c r="J773" t="str">
        <f t="shared" si="44"/>
        <v>Canyon Creek</v>
      </c>
      <c r="K773" t="str">
        <f>IFERROR(VLOOKUP(J773,LUTs!$A$1:$C$73,2,FALSE),"NA")</f>
        <v>Snohomish</v>
      </c>
      <c r="L773" t="str">
        <f>IFERROR(VLOOKUP(J773,LUTs!$A$1:$C$73,3,FALSE),"NA")</f>
        <v>2Central Puget Sound</v>
      </c>
      <c r="M773" s="72" t="s">
        <v>18</v>
      </c>
      <c r="N773" t="str">
        <f>VLOOKUP(M773,LUTs!E$2:H$14,3,)</f>
        <v>06King</v>
      </c>
      <c r="O773" t="str">
        <f>VLOOKUP(M773,LUTs!E$2:H$14,4,)</f>
        <v>02South Puget Sound</v>
      </c>
      <c r="P773" s="80">
        <v>4.5</v>
      </c>
      <c r="Q773" s="102">
        <v>4.5</v>
      </c>
      <c r="R773" s="74">
        <f>VLOOKUP(B773,Readme!A$40:C$52,3,)*Q773</f>
        <v>38.429999999999993</v>
      </c>
    </row>
    <row r="774" spans="1:18" ht="12" customHeight="1" x14ac:dyDescent="0.35">
      <c r="A774" s="75">
        <v>990</v>
      </c>
      <c r="B774" s="80">
        <v>2012</v>
      </c>
      <c r="C774" s="80">
        <v>7</v>
      </c>
      <c r="D774" s="80">
        <f t="shared" si="45"/>
        <v>2012</v>
      </c>
      <c r="E774" t="s">
        <v>38</v>
      </c>
      <c r="F774" t="s">
        <v>143</v>
      </c>
      <c r="G774" t="s">
        <v>86</v>
      </c>
      <c r="H774" s="72" t="s">
        <v>251</v>
      </c>
      <c r="I774" s="72" t="s">
        <v>102</v>
      </c>
      <c r="J774" t="str">
        <f t="shared" si="44"/>
        <v>Canyon Creek</v>
      </c>
      <c r="K774" t="str">
        <f>IFERROR(VLOOKUP(J774,LUTs!$A$1:$C$73,2,FALSE),"NA")</f>
        <v>Snohomish</v>
      </c>
      <c r="L774" t="str">
        <f>IFERROR(VLOOKUP(J774,LUTs!$A$1:$C$73,3,FALSE),"NA")</f>
        <v>2Central Puget Sound</v>
      </c>
      <c r="M774" s="72" t="s">
        <v>16</v>
      </c>
      <c r="N774" t="str">
        <f>VLOOKUP(M774,LUTs!E$2:H$14,3,)</f>
        <v>03Snohomish</v>
      </c>
      <c r="O774" t="str">
        <f>VLOOKUP(M774,LUTs!E$2:H$14,4,)</f>
        <v>01North Puget Sound</v>
      </c>
      <c r="P774" s="80">
        <v>4.5</v>
      </c>
      <c r="Q774" s="102">
        <v>4.5</v>
      </c>
      <c r="R774" s="74">
        <f>VLOOKUP(B774,Readme!A$40:C$52,3,)*Q774</f>
        <v>38.429999999999993</v>
      </c>
    </row>
    <row r="775" spans="1:18" ht="12" customHeight="1" x14ac:dyDescent="0.35">
      <c r="A775" s="75">
        <v>749</v>
      </c>
      <c r="B775" s="80">
        <v>2012</v>
      </c>
      <c r="C775" s="80">
        <v>7</v>
      </c>
      <c r="D775" s="80">
        <f t="shared" si="45"/>
        <v>2012</v>
      </c>
      <c r="E775" t="s">
        <v>38</v>
      </c>
      <c r="F775" t="s">
        <v>143</v>
      </c>
      <c r="G775" t="s">
        <v>86</v>
      </c>
      <c r="H775" s="72" t="s">
        <v>203</v>
      </c>
      <c r="I775" s="72" t="s">
        <v>89</v>
      </c>
      <c r="J775" s="84" t="s">
        <v>45</v>
      </c>
      <c r="K775" t="str">
        <f>IFERROR(VLOOKUP(J775,LUTs!$A$1:$C$73,2,FALSE),"NA")</f>
        <v>King</v>
      </c>
      <c r="L775" t="str">
        <f>IFERROR(VLOOKUP(J775,LUTs!$A$1:$C$73,3,FALSE),"NA")</f>
        <v>3South Puget Sound</v>
      </c>
      <c r="M775" s="72" t="s">
        <v>24</v>
      </c>
      <c r="N775" t="str">
        <f>VLOOKUP(M775,LUTs!E$2:H$14,3,)</f>
        <v>11Clallam</v>
      </c>
      <c r="O775" t="str">
        <f>VLOOKUP(M775,LUTs!E$2:H$14,4,)</f>
        <v>03Strait of Juan de Fuca</v>
      </c>
      <c r="P775" s="80">
        <v>3.9767441860465098</v>
      </c>
      <c r="Q775" s="102">
        <v>3.9767441860465098</v>
      </c>
      <c r="R775" s="74">
        <f>VLOOKUP(B775,Readme!A$40:C$52,3,)*Q775</f>
        <v>33.961395348837193</v>
      </c>
    </row>
    <row r="776" spans="1:18" ht="12" customHeight="1" x14ac:dyDescent="0.35">
      <c r="A776" s="75">
        <v>750</v>
      </c>
      <c r="B776" s="80">
        <v>2012</v>
      </c>
      <c r="C776" s="80">
        <v>7</v>
      </c>
      <c r="D776" s="80">
        <f t="shared" si="45"/>
        <v>2012</v>
      </c>
      <c r="E776" t="s">
        <v>38</v>
      </c>
      <c r="F776" t="s">
        <v>143</v>
      </c>
      <c r="G776" t="s">
        <v>86</v>
      </c>
      <c r="H776" s="72" t="s">
        <v>203</v>
      </c>
      <c r="I776" s="72" t="s">
        <v>89</v>
      </c>
      <c r="J776" s="84" t="s">
        <v>45</v>
      </c>
      <c r="K776" t="str">
        <f>IFERROR(VLOOKUP(J776,LUTs!$A$1:$C$73,2,FALSE),"NA")</f>
        <v>King</v>
      </c>
      <c r="L776" t="str">
        <f>IFERROR(VLOOKUP(J776,LUTs!$A$1:$C$73,3,FALSE),"NA")</f>
        <v>3South Puget Sound</v>
      </c>
      <c r="M776" s="72" t="s">
        <v>18</v>
      </c>
      <c r="N776" t="str">
        <f>VLOOKUP(M776,LUTs!E$2:H$14,3,)</f>
        <v>06King</v>
      </c>
      <c r="O776" t="str">
        <f>VLOOKUP(M776,LUTs!E$2:H$14,4,)</f>
        <v>02South Puget Sound</v>
      </c>
      <c r="P776" s="80">
        <v>123.279069767442</v>
      </c>
      <c r="Q776" s="102">
        <v>123.279069767442</v>
      </c>
      <c r="R776" s="74">
        <f>VLOOKUP(B776,Readme!A$40:C$52,3,)*Q776</f>
        <v>1052.8032558139546</v>
      </c>
    </row>
    <row r="777" spans="1:18" ht="12" customHeight="1" x14ac:dyDescent="0.35">
      <c r="A777" s="75">
        <v>751</v>
      </c>
      <c r="B777" s="80">
        <v>2012</v>
      </c>
      <c r="C777" s="80">
        <v>7</v>
      </c>
      <c r="D777" s="80">
        <f t="shared" si="45"/>
        <v>2012</v>
      </c>
      <c r="E777" t="s">
        <v>38</v>
      </c>
      <c r="F777" t="s">
        <v>143</v>
      </c>
      <c r="G777" t="s">
        <v>86</v>
      </c>
      <c r="H777" s="72" t="s">
        <v>203</v>
      </c>
      <c r="I777" s="72" t="s">
        <v>89</v>
      </c>
      <c r="J777" s="84" t="s">
        <v>45</v>
      </c>
      <c r="K777" t="str">
        <f>IFERROR(VLOOKUP(J777,LUTs!$A$1:$C$73,2,FALSE),"NA")</f>
        <v>King</v>
      </c>
      <c r="L777" t="str">
        <f>IFERROR(VLOOKUP(J777,LUTs!$A$1:$C$73,3,FALSE),"NA")</f>
        <v>3South Puget Sound</v>
      </c>
      <c r="M777" s="72" t="s">
        <v>20</v>
      </c>
      <c r="N777" t="str">
        <f>VLOOKUP(M777,LUTs!E$2:H$14,3,)</f>
        <v>07Pierce</v>
      </c>
      <c r="O777" t="str">
        <f>VLOOKUP(M777,LUTs!E$2:H$14,4,)</f>
        <v>02South Puget Sound</v>
      </c>
      <c r="P777" s="80">
        <v>39.767441860465098</v>
      </c>
      <c r="Q777" s="102">
        <v>39.767441860465098</v>
      </c>
      <c r="R777" s="74">
        <f>VLOOKUP(B777,Readme!A$40:C$52,3,)*Q777</f>
        <v>339.61395348837192</v>
      </c>
    </row>
    <row r="778" spans="1:18" ht="12" customHeight="1" x14ac:dyDescent="0.35">
      <c r="A778" s="75">
        <v>752</v>
      </c>
      <c r="B778" s="80">
        <v>2012</v>
      </c>
      <c r="C778" s="80">
        <v>7</v>
      </c>
      <c r="D778" s="80">
        <f t="shared" si="45"/>
        <v>2012</v>
      </c>
      <c r="E778" t="s">
        <v>38</v>
      </c>
      <c r="F778" t="s">
        <v>143</v>
      </c>
      <c r="G778" t="s">
        <v>86</v>
      </c>
      <c r="H778" s="72" t="s">
        <v>203</v>
      </c>
      <c r="I778" s="72" t="s">
        <v>89</v>
      </c>
      <c r="J778" s="84" t="s">
        <v>45</v>
      </c>
      <c r="K778" t="str">
        <f>IFERROR(VLOOKUP(J778,LUTs!$A$1:$C$73,2,FALSE),"NA")</f>
        <v>King</v>
      </c>
      <c r="L778" t="str">
        <f>IFERROR(VLOOKUP(J778,LUTs!$A$1:$C$73,3,FALSE),"NA")</f>
        <v>3South Puget Sound</v>
      </c>
      <c r="M778" s="72" t="s">
        <v>21</v>
      </c>
      <c r="N778" t="str">
        <f>VLOOKUP(M778,LUTs!E$2:H$14,3,)</f>
        <v>08Thurston</v>
      </c>
      <c r="O778" t="str">
        <f>VLOOKUP(M778,LUTs!E$2:H$14,4,)</f>
        <v>02South Puget Sound</v>
      </c>
      <c r="P778" s="80">
        <v>3.9767441860465098</v>
      </c>
      <c r="Q778" s="102">
        <v>3.9767441860465098</v>
      </c>
      <c r="R778" s="74">
        <f>VLOOKUP(B778,Readme!A$40:C$52,3,)*Q778</f>
        <v>33.961395348837193</v>
      </c>
    </row>
    <row r="779" spans="1:18" ht="12" customHeight="1" x14ac:dyDescent="0.35">
      <c r="A779" s="75">
        <v>837</v>
      </c>
      <c r="B779" s="80">
        <v>2012</v>
      </c>
      <c r="C779" s="80">
        <v>7</v>
      </c>
      <c r="D779" s="80">
        <f t="shared" si="45"/>
        <v>2012</v>
      </c>
      <c r="E779" t="s">
        <v>38</v>
      </c>
      <c r="F779" t="s">
        <v>143</v>
      </c>
      <c r="G779" t="s">
        <v>86</v>
      </c>
      <c r="H779" s="72" t="s">
        <v>218</v>
      </c>
      <c r="I779" s="72" t="s">
        <v>60</v>
      </c>
      <c r="J779" t="str">
        <f t="shared" ref="J779:J804" si="46">I779</f>
        <v>Skagit River</v>
      </c>
      <c r="K779" t="str">
        <f>IFERROR(VLOOKUP(J779,LUTs!$A$1:$C$73,2,FALSE),"NA")</f>
        <v>Skagit/Whatcom</v>
      </c>
      <c r="L779" t="str">
        <f>IFERROR(VLOOKUP(J779,LUTs!$A$1:$C$73,3,FALSE),"NA")</f>
        <v>2Central Puget Sound</v>
      </c>
      <c r="M779" s="72" t="s">
        <v>16</v>
      </c>
      <c r="N779" t="str">
        <f>VLOOKUP(M779,LUTs!E$2:H$14,3,)</f>
        <v>03Snohomish</v>
      </c>
      <c r="O779" t="str">
        <f>VLOOKUP(M779,LUTs!E$2:H$14,4,)</f>
        <v>01North Puget Sound</v>
      </c>
      <c r="P779" s="80">
        <v>1</v>
      </c>
      <c r="Q779" s="102">
        <v>1</v>
      </c>
      <c r="R779" s="74">
        <f>VLOOKUP(B779,Readme!A$40:C$52,3,)*Q779</f>
        <v>8.5399999999999991</v>
      </c>
    </row>
    <row r="780" spans="1:18" ht="12" customHeight="1" x14ac:dyDescent="0.35">
      <c r="A780" s="75">
        <v>865</v>
      </c>
      <c r="B780" s="80">
        <v>2012</v>
      </c>
      <c r="C780" s="80">
        <v>7</v>
      </c>
      <c r="D780" s="80">
        <f t="shared" si="45"/>
        <v>2012</v>
      </c>
      <c r="E780" t="s">
        <v>38</v>
      </c>
      <c r="F780" t="s">
        <v>143</v>
      </c>
      <c r="G780" t="s">
        <v>86</v>
      </c>
      <c r="H780" s="72" t="s">
        <v>220</v>
      </c>
      <c r="I780" s="72" t="s">
        <v>62</v>
      </c>
      <c r="J780" t="str">
        <f t="shared" si="46"/>
        <v>Skykomish River</v>
      </c>
      <c r="K780" t="str">
        <f>IFERROR(VLOOKUP(J780,LUTs!$A$1:$C$73,2,FALSE),"NA")</f>
        <v>Snohomish</v>
      </c>
      <c r="L780" t="str">
        <f>IFERROR(VLOOKUP(J780,LUTs!$A$1:$C$73,3,FALSE),"NA")</f>
        <v>2Central Puget Sound</v>
      </c>
      <c r="M780" s="72" t="s">
        <v>17</v>
      </c>
      <c r="N780" t="str">
        <f>VLOOKUP(M780,LUTs!E$2:H$14,3,)</f>
        <v>04Island</v>
      </c>
      <c r="O780" t="str">
        <f>VLOOKUP(M780,LUTs!E$2:H$14,4,)</f>
        <v>01North Puget Sound</v>
      </c>
      <c r="P780" s="80">
        <v>8.6879432624113502</v>
      </c>
      <c r="Q780" s="102">
        <v>8.6879432624113502</v>
      </c>
      <c r="R780" s="74">
        <f>VLOOKUP(B780,Readme!A$40:C$52,3,)*Q780</f>
        <v>74.195035460992926</v>
      </c>
    </row>
    <row r="781" spans="1:18" ht="12" customHeight="1" x14ac:dyDescent="0.35">
      <c r="A781" s="75">
        <v>866</v>
      </c>
      <c r="B781" s="80">
        <v>2012</v>
      </c>
      <c r="C781" s="80">
        <v>7</v>
      </c>
      <c r="D781" s="80">
        <f t="shared" si="45"/>
        <v>2012</v>
      </c>
      <c r="E781" t="s">
        <v>38</v>
      </c>
      <c r="F781" t="s">
        <v>143</v>
      </c>
      <c r="G781" t="s">
        <v>86</v>
      </c>
      <c r="H781" s="72" t="s">
        <v>220</v>
      </c>
      <c r="I781" s="72" t="s">
        <v>62</v>
      </c>
      <c r="J781" t="str">
        <f t="shared" si="46"/>
        <v>Skykomish River</v>
      </c>
      <c r="K781" t="str">
        <f>IFERROR(VLOOKUP(J781,LUTs!$A$1:$C$73,2,FALSE),"NA")</f>
        <v>Snohomish</v>
      </c>
      <c r="L781" t="str">
        <f>IFERROR(VLOOKUP(J781,LUTs!$A$1:$C$73,3,FALSE),"NA")</f>
        <v>2Central Puget Sound</v>
      </c>
      <c r="M781" s="72" t="s">
        <v>18</v>
      </c>
      <c r="N781" t="str">
        <f>VLOOKUP(M781,LUTs!E$2:H$14,3,)</f>
        <v>06King</v>
      </c>
      <c r="O781" t="str">
        <f>VLOOKUP(M781,LUTs!E$2:H$14,4,)</f>
        <v>02South Puget Sound</v>
      </c>
      <c r="P781" s="80">
        <v>590.78014184397205</v>
      </c>
      <c r="Q781" s="102">
        <v>590.78014184397205</v>
      </c>
      <c r="R781" s="74">
        <f>VLOOKUP(B781,Readme!A$40:C$52,3,)*Q781</f>
        <v>5045.2624113475204</v>
      </c>
    </row>
    <row r="782" spans="1:18" ht="12" customHeight="1" x14ac:dyDescent="0.35">
      <c r="A782" s="75">
        <v>867</v>
      </c>
      <c r="B782" s="80">
        <v>2012</v>
      </c>
      <c r="C782" s="80">
        <v>7</v>
      </c>
      <c r="D782" s="80">
        <f t="shared" si="45"/>
        <v>2012</v>
      </c>
      <c r="E782" t="s">
        <v>38</v>
      </c>
      <c r="F782" t="s">
        <v>143</v>
      </c>
      <c r="G782" t="s">
        <v>86</v>
      </c>
      <c r="H782" s="72" t="s">
        <v>220</v>
      </c>
      <c r="I782" s="72" t="s">
        <v>62</v>
      </c>
      <c r="J782" t="str">
        <f t="shared" si="46"/>
        <v>Skykomish River</v>
      </c>
      <c r="K782" t="str">
        <f>IFERROR(VLOOKUP(J782,LUTs!$A$1:$C$73,2,FALSE),"NA")</f>
        <v>Snohomish</v>
      </c>
      <c r="L782" t="str">
        <f>IFERROR(VLOOKUP(J782,LUTs!$A$1:$C$73,3,FALSE),"NA")</f>
        <v>2Central Puget Sound</v>
      </c>
      <c r="M782" s="72" t="s">
        <v>23</v>
      </c>
      <c r="N782" t="str">
        <f>VLOOKUP(M782,LUTs!E$2:H$14,3,)</f>
        <v>10Kitsap</v>
      </c>
      <c r="O782" t="str">
        <f>VLOOKUP(M782,LUTs!E$2:H$14,4,)</f>
        <v>02South Puget Sound</v>
      </c>
      <c r="P782" s="80">
        <v>2.8959810874704499</v>
      </c>
      <c r="Q782" s="102">
        <v>2.8959810874704499</v>
      </c>
      <c r="R782" s="74">
        <f>VLOOKUP(B782,Readme!A$40:C$52,3,)*Q782</f>
        <v>24.731678486997641</v>
      </c>
    </row>
    <row r="783" spans="1:18" ht="12" customHeight="1" x14ac:dyDescent="0.35">
      <c r="A783" s="75">
        <v>868</v>
      </c>
      <c r="B783" s="80">
        <v>2012</v>
      </c>
      <c r="C783" s="80">
        <v>7</v>
      </c>
      <c r="D783" s="80">
        <f t="shared" si="45"/>
        <v>2012</v>
      </c>
      <c r="E783" t="s">
        <v>38</v>
      </c>
      <c r="F783" t="s">
        <v>143</v>
      </c>
      <c r="G783" t="s">
        <v>86</v>
      </c>
      <c r="H783" s="72" t="s">
        <v>220</v>
      </c>
      <c r="I783" s="72" t="s">
        <v>62</v>
      </c>
      <c r="J783" t="str">
        <f t="shared" si="46"/>
        <v>Skykomish River</v>
      </c>
      <c r="K783" t="str">
        <f>IFERROR(VLOOKUP(J783,LUTs!$A$1:$C$73,2,FALSE),"NA")</f>
        <v>Snohomish</v>
      </c>
      <c r="L783" t="str">
        <f>IFERROR(VLOOKUP(J783,LUTs!$A$1:$C$73,3,FALSE),"NA")</f>
        <v>2Central Puget Sound</v>
      </c>
      <c r="M783" s="72" t="s">
        <v>26</v>
      </c>
      <c r="N783" t="str">
        <f>VLOOKUP(M783,LUTs!E$2:H$14,3,)</f>
        <v>20Other</v>
      </c>
      <c r="O783" t="str">
        <f>VLOOKUP(M783,LUTs!E$2:H$14,4,)</f>
        <v>07Non Puget Sound</v>
      </c>
      <c r="P783" s="80">
        <v>14.479905437352199</v>
      </c>
      <c r="Q783" s="102">
        <v>14.479905437352199</v>
      </c>
      <c r="R783" s="74">
        <f>VLOOKUP(B783,Readme!A$40:C$52,3,)*Q783</f>
        <v>123.65839243498777</v>
      </c>
    </row>
    <row r="784" spans="1:18" ht="12" customHeight="1" x14ac:dyDescent="0.35">
      <c r="A784" s="75">
        <v>869</v>
      </c>
      <c r="B784" s="80">
        <v>2012</v>
      </c>
      <c r="C784" s="80">
        <v>7</v>
      </c>
      <c r="D784" s="80">
        <f t="shared" si="45"/>
        <v>2012</v>
      </c>
      <c r="E784" t="s">
        <v>38</v>
      </c>
      <c r="F784" t="s">
        <v>143</v>
      </c>
      <c r="G784" t="s">
        <v>86</v>
      </c>
      <c r="H784" s="72" t="s">
        <v>220</v>
      </c>
      <c r="I784" s="72" t="s">
        <v>62</v>
      </c>
      <c r="J784" t="str">
        <f t="shared" si="46"/>
        <v>Skykomish River</v>
      </c>
      <c r="K784" t="str">
        <f>IFERROR(VLOOKUP(J784,LUTs!$A$1:$C$73,2,FALSE),"NA")</f>
        <v>Snohomish</v>
      </c>
      <c r="L784" t="str">
        <f>IFERROR(VLOOKUP(J784,LUTs!$A$1:$C$73,3,FALSE),"NA")</f>
        <v>2Central Puget Sound</v>
      </c>
      <c r="M784" s="72" t="s">
        <v>20</v>
      </c>
      <c r="N784" t="str">
        <f>VLOOKUP(M784,LUTs!E$2:H$14,3,)</f>
        <v>07Pierce</v>
      </c>
      <c r="O784" t="str">
        <f>VLOOKUP(M784,LUTs!E$2:H$14,4,)</f>
        <v>02South Puget Sound</v>
      </c>
      <c r="P784" s="80">
        <v>8.6879432624113502</v>
      </c>
      <c r="Q784" s="102">
        <v>8.6879432624113502</v>
      </c>
      <c r="R784" s="74">
        <f>VLOOKUP(B784,Readme!A$40:C$52,3,)*Q784</f>
        <v>74.195035460992926</v>
      </c>
    </row>
    <row r="785" spans="1:18" ht="12" customHeight="1" x14ac:dyDescent="0.35">
      <c r="A785" s="75">
        <v>870</v>
      </c>
      <c r="B785" s="80">
        <v>2012</v>
      </c>
      <c r="C785" s="80">
        <v>7</v>
      </c>
      <c r="D785" s="80">
        <f t="shared" si="45"/>
        <v>2012</v>
      </c>
      <c r="E785" t="s">
        <v>38</v>
      </c>
      <c r="F785" t="s">
        <v>143</v>
      </c>
      <c r="G785" t="s">
        <v>86</v>
      </c>
      <c r="H785" s="72" t="s">
        <v>220</v>
      </c>
      <c r="I785" s="72" t="s">
        <v>62</v>
      </c>
      <c r="J785" t="str">
        <f t="shared" si="46"/>
        <v>Skykomish River</v>
      </c>
      <c r="K785" t="str">
        <f>IFERROR(VLOOKUP(J785,LUTs!$A$1:$C$73,2,FALSE),"NA")</f>
        <v>Snohomish</v>
      </c>
      <c r="L785" t="str">
        <f>IFERROR(VLOOKUP(J785,LUTs!$A$1:$C$73,3,FALSE),"NA")</f>
        <v>2Central Puget Sound</v>
      </c>
      <c r="M785" s="72" t="s">
        <v>16</v>
      </c>
      <c r="N785" t="str">
        <f>VLOOKUP(M785,LUTs!E$2:H$14,3,)</f>
        <v>03Snohomish</v>
      </c>
      <c r="O785" t="str">
        <f>VLOOKUP(M785,LUTs!E$2:H$14,4,)</f>
        <v>01North Puget Sound</v>
      </c>
      <c r="P785" s="80">
        <v>576.30023640662</v>
      </c>
      <c r="Q785" s="102">
        <v>576.30023640662</v>
      </c>
      <c r="R785" s="74">
        <f>VLOOKUP(B785,Readme!A$40:C$52,3,)*Q785</f>
        <v>4921.6040189125342</v>
      </c>
    </row>
    <row r="786" spans="1:18" ht="12" customHeight="1" x14ac:dyDescent="0.35">
      <c r="A786" s="75">
        <v>871</v>
      </c>
      <c r="B786" s="80">
        <v>2012</v>
      </c>
      <c r="C786" s="80">
        <v>7</v>
      </c>
      <c r="D786" s="80">
        <f t="shared" si="45"/>
        <v>2012</v>
      </c>
      <c r="E786" t="s">
        <v>38</v>
      </c>
      <c r="F786" t="s">
        <v>143</v>
      </c>
      <c r="G786" t="s">
        <v>86</v>
      </c>
      <c r="H786" s="72" t="s">
        <v>220</v>
      </c>
      <c r="I786" s="72" t="s">
        <v>62</v>
      </c>
      <c r="J786" t="str">
        <f t="shared" si="46"/>
        <v>Skykomish River</v>
      </c>
      <c r="K786" t="str">
        <f>IFERROR(VLOOKUP(J786,LUTs!$A$1:$C$73,2,FALSE),"NA")</f>
        <v>Snohomish</v>
      </c>
      <c r="L786" t="str">
        <f>IFERROR(VLOOKUP(J786,LUTs!$A$1:$C$73,3,FALSE),"NA")</f>
        <v>2Central Puget Sound</v>
      </c>
      <c r="M786" s="72" t="s">
        <v>13</v>
      </c>
      <c r="N786" t="str">
        <f>VLOOKUP(M786,LUTs!E$2:H$14,3,)</f>
        <v>01Whatcom</v>
      </c>
      <c r="O786" t="str">
        <f>VLOOKUP(M786,LUTs!E$2:H$14,4,)</f>
        <v>01North Puget Sound</v>
      </c>
      <c r="P786" s="80">
        <v>23.167848699763599</v>
      </c>
      <c r="Q786" s="102">
        <v>23.167848699763599</v>
      </c>
      <c r="R786" s="74">
        <f>VLOOKUP(B786,Readme!A$40:C$52,3,)*Q786</f>
        <v>197.85342789598113</v>
      </c>
    </row>
    <row r="787" spans="1:18" ht="12" customHeight="1" x14ac:dyDescent="0.35">
      <c r="A787" s="75">
        <v>904</v>
      </c>
      <c r="B787" s="80">
        <v>2012</v>
      </c>
      <c r="C787" s="80">
        <v>7</v>
      </c>
      <c r="D787" s="80">
        <f t="shared" si="45"/>
        <v>2012</v>
      </c>
      <c r="E787" t="s">
        <v>38</v>
      </c>
      <c r="F787" t="s">
        <v>143</v>
      </c>
      <c r="G787" t="s">
        <v>86</v>
      </c>
      <c r="H787" s="72" t="s">
        <v>247</v>
      </c>
      <c r="I787" s="72" t="s">
        <v>98</v>
      </c>
      <c r="J787" t="str">
        <f t="shared" si="46"/>
        <v>Skykomish River, No. Fork</v>
      </c>
      <c r="K787" t="str">
        <f>IFERROR(VLOOKUP(J787,LUTs!$A$1:$C$73,2,FALSE),"NA")</f>
        <v>Snohomish</v>
      </c>
      <c r="L787" t="str">
        <f>IFERROR(VLOOKUP(J787,LUTs!$A$1:$C$73,3,FALSE),"NA")</f>
        <v>2Central Puget Sound</v>
      </c>
      <c r="M787" s="72" t="s">
        <v>18</v>
      </c>
      <c r="N787" t="str">
        <f>VLOOKUP(M787,LUTs!E$2:H$14,3,)</f>
        <v>06King</v>
      </c>
      <c r="O787" t="str">
        <f>VLOOKUP(M787,LUTs!E$2:H$14,4,)</f>
        <v>02South Puget Sound</v>
      </c>
      <c r="P787" s="80">
        <v>5.8571428571428603</v>
      </c>
      <c r="Q787" s="102">
        <v>5.8571428571428603</v>
      </c>
      <c r="R787" s="74">
        <f>VLOOKUP(B787,Readme!A$40:C$52,3,)*Q787</f>
        <v>50.020000000000024</v>
      </c>
    </row>
    <row r="788" spans="1:18" ht="12" customHeight="1" x14ac:dyDescent="0.35">
      <c r="A788" s="75">
        <v>905</v>
      </c>
      <c r="B788" s="80">
        <v>2012</v>
      </c>
      <c r="C788" s="80">
        <v>7</v>
      </c>
      <c r="D788" s="80">
        <f t="shared" si="45"/>
        <v>2012</v>
      </c>
      <c r="E788" t="s">
        <v>38</v>
      </c>
      <c r="F788" t="s">
        <v>143</v>
      </c>
      <c r="G788" t="s">
        <v>86</v>
      </c>
      <c r="H788" s="72" t="s">
        <v>247</v>
      </c>
      <c r="I788" s="72" t="s">
        <v>98</v>
      </c>
      <c r="J788" t="str">
        <f t="shared" si="46"/>
        <v>Skykomish River, No. Fork</v>
      </c>
      <c r="K788" t="str">
        <f>IFERROR(VLOOKUP(J788,LUTs!$A$1:$C$73,2,FALSE),"NA")</f>
        <v>Snohomish</v>
      </c>
      <c r="L788" t="str">
        <f>IFERROR(VLOOKUP(J788,LUTs!$A$1:$C$73,3,FALSE),"NA")</f>
        <v>2Central Puget Sound</v>
      </c>
      <c r="M788" s="72" t="s">
        <v>15</v>
      </c>
      <c r="N788" t="str">
        <f>VLOOKUP(M788,LUTs!E$2:H$14,3,)</f>
        <v>02Skagit</v>
      </c>
      <c r="O788" t="str">
        <f>VLOOKUP(M788,LUTs!E$2:H$14,4,)</f>
        <v>01North Puget Sound</v>
      </c>
      <c r="P788" s="80">
        <v>2.9285714285714302</v>
      </c>
      <c r="Q788" s="102">
        <v>2.9285714285714302</v>
      </c>
      <c r="R788" s="74">
        <f>VLOOKUP(B788,Readme!A$40:C$52,3,)*Q788</f>
        <v>25.010000000000012</v>
      </c>
    </row>
    <row r="789" spans="1:18" ht="12" customHeight="1" x14ac:dyDescent="0.35">
      <c r="A789" s="75">
        <v>906</v>
      </c>
      <c r="B789" s="80">
        <v>2012</v>
      </c>
      <c r="C789" s="80">
        <v>7</v>
      </c>
      <c r="D789" s="80">
        <f t="shared" si="45"/>
        <v>2012</v>
      </c>
      <c r="E789" t="s">
        <v>38</v>
      </c>
      <c r="F789" t="s">
        <v>143</v>
      </c>
      <c r="G789" t="s">
        <v>86</v>
      </c>
      <c r="H789" s="72" t="s">
        <v>247</v>
      </c>
      <c r="I789" s="72" t="s">
        <v>98</v>
      </c>
      <c r="J789" t="str">
        <f t="shared" si="46"/>
        <v>Skykomish River, No. Fork</v>
      </c>
      <c r="K789" t="str">
        <f>IFERROR(VLOOKUP(J789,LUTs!$A$1:$C$73,2,FALSE),"NA")</f>
        <v>Snohomish</v>
      </c>
      <c r="L789" t="str">
        <f>IFERROR(VLOOKUP(J789,LUTs!$A$1:$C$73,3,FALSE),"NA")</f>
        <v>2Central Puget Sound</v>
      </c>
      <c r="M789" s="72" t="s">
        <v>16</v>
      </c>
      <c r="N789" t="str">
        <f>VLOOKUP(M789,LUTs!E$2:H$14,3,)</f>
        <v>03Snohomish</v>
      </c>
      <c r="O789" t="str">
        <f>VLOOKUP(M789,LUTs!E$2:H$14,4,)</f>
        <v>01North Puget Sound</v>
      </c>
      <c r="P789" s="80">
        <v>32.214285714285701</v>
      </c>
      <c r="Q789" s="102">
        <v>32.214285714285701</v>
      </c>
      <c r="R789" s="74">
        <f>VLOOKUP(B789,Readme!A$40:C$52,3,)*Q789</f>
        <v>275.10999999999984</v>
      </c>
    </row>
    <row r="790" spans="1:18" ht="12" customHeight="1" x14ac:dyDescent="0.35">
      <c r="A790" s="75">
        <v>916</v>
      </c>
      <c r="B790" s="80">
        <v>2012</v>
      </c>
      <c r="C790" s="80">
        <v>7</v>
      </c>
      <c r="D790" s="80">
        <f t="shared" si="45"/>
        <v>2012</v>
      </c>
      <c r="E790" t="s">
        <v>38</v>
      </c>
      <c r="F790" t="s">
        <v>143</v>
      </c>
      <c r="G790" t="s">
        <v>86</v>
      </c>
      <c r="H790" s="72" t="s">
        <v>248</v>
      </c>
      <c r="I790" s="72" t="s">
        <v>99</v>
      </c>
      <c r="J790" t="str">
        <f t="shared" si="46"/>
        <v>Skykomish River, So. Fork</v>
      </c>
      <c r="K790" t="str">
        <f>IFERROR(VLOOKUP(J790,LUTs!$A$1:$C$73,2,FALSE),"NA")</f>
        <v>Snohomish/King</v>
      </c>
      <c r="L790" t="str">
        <f>IFERROR(VLOOKUP(J790,LUTs!$A$1:$C$73,3,FALSE),"NA")</f>
        <v>2Central Puget Sound</v>
      </c>
      <c r="M790" s="72" t="s">
        <v>18</v>
      </c>
      <c r="N790" t="str">
        <f>VLOOKUP(M790,LUTs!E$2:H$14,3,)</f>
        <v>06King</v>
      </c>
      <c r="O790" t="str">
        <f>VLOOKUP(M790,LUTs!E$2:H$14,4,)</f>
        <v>02South Puget Sound</v>
      </c>
      <c r="P790" s="80">
        <v>3</v>
      </c>
      <c r="Q790" s="102">
        <v>3</v>
      </c>
      <c r="R790" s="74">
        <f>VLOOKUP(B790,Readme!A$40:C$52,3,)*Q790</f>
        <v>25.619999999999997</v>
      </c>
    </row>
    <row r="791" spans="1:18" ht="12" customHeight="1" x14ac:dyDescent="0.35">
      <c r="A791" s="75">
        <v>917</v>
      </c>
      <c r="B791" s="80">
        <v>2012</v>
      </c>
      <c r="C791" s="80">
        <v>7</v>
      </c>
      <c r="D791" s="80">
        <f t="shared" si="45"/>
        <v>2012</v>
      </c>
      <c r="E791" t="s">
        <v>38</v>
      </c>
      <c r="F791" t="s">
        <v>143</v>
      </c>
      <c r="G791" t="s">
        <v>86</v>
      </c>
      <c r="H791" s="72" t="s">
        <v>248</v>
      </c>
      <c r="I791" s="72" t="s">
        <v>99</v>
      </c>
      <c r="J791" t="str">
        <f t="shared" si="46"/>
        <v>Skykomish River, So. Fork</v>
      </c>
      <c r="K791" t="str">
        <f>IFERROR(VLOOKUP(J791,LUTs!$A$1:$C$73,2,FALSE),"NA")</f>
        <v>Snohomish/King</v>
      </c>
      <c r="L791" t="str">
        <f>IFERROR(VLOOKUP(J791,LUTs!$A$1:$C$73,3,FALSE),"NA")</f>
        <v>2Central Puget Sound</v>
      </c>
      <c r="M791" s="72" t="s">
        <v>26</v>
      </c>
      <c r="N791" t="str">
        <f>VLOOKUP(M791,LUTs!E$2:H$14,3,)</f>
        <v>20Other</v>
      </c>
      <c r="O791" t="str">
        <f>VLOOKUP(M791,LUTs!E$2:H$14,4,)</f>
        <v>07Non Puget Sound</v>
      </c>
      <c r="P791" s="80">
        <v>3</v>
      </c>
      <c r="Q791" s="102">
        <v>3</v>
      </c>
      <c r="R791" s="74">
        <f>VLOOKUP(B791,Readme!A$40:C$52,3,)*Q791</f>
        <v>25.619999999999997</v>
      </c>
    </row>
    <row r="792" spans="1:18" ht="12" customHeight="1" x14ac:dyDescent="0.35">
      <c r="A792" s="75">
        <v>925</v>
      </c>
      <c r="B792" s="80">
        <v>2012</v>
      </c>
      <c r="C792" s="80">
        <v>7</v>
      </c>
      <c r="D792" s="80">
        <f t="shared" si="45"/>
        <v>2012</v>
      </c>
      <c r="E792" t="s">
        <v>38</v>
      </c>
      <c r="F792" t="s">
        <v>143</v>
      </c>
      <c r="G792" t="s">
        <v>86</v>
      </c>
      <c r="H792" s="72" t="s">
        <v>221</v>
      </c>
      <c r="I792" s="72" t="s">
        <v>63</v>
      </c>
      <c r="J792" t="str">
        <f t="shared" si="46"/>
        <v>Snohomish River</v>
      </c>
      <c r="K792" t="str">
        <f>IFERROR(VLOOKUP(J792,LUTs!$A$1:$C$73,2,FALSE),"NA")</f>
        <v>Snohomish</v>
      </c>
      <c r="L792" t="str">
        <f>IFERROR(VLOOKUP(J792,LUTs!$A$1:$C$73,3,FALSE),"NA")</f>
        <v>2Central Puget Sound</v>
      </c>
      <c r="M792" s="72" t="s">
        <v>18</v>
      </c>
      <c r="N792" t="str">
        <f>VLOOKUP(M792,LUTs!E$2:H$14,3,)</f>
        <v>06King</v>
      </c>
      <c r="O792" t="str">
        <f>VLOOKUP(M792,LUTs!E$2:H$14,4,)</f>
        <v>02South Puget Sound</v>
      </c>
      <c r="P792" s="80">
        <v>14.565217391304399</v>
      </c>
      <c r="Q792" s="102">
        <v>14.565217391304399</v>
      </c>
      <c r="R792" s="74">
        <f>VLOOKUP(B792,Readme!A$40:C$52,3,)*Q792</f>
        <v>124.38695652173956</v>
      </c>
    </row>
    <row r="793" spans="1:18" ht="12" customHeight="1" x14ac:dyDescent="0.35">
      <c r="A793" s="75">
        <v>926</v>
      </c>
      <c r="B793" s="80">
        <v>2012</v>
      </c>
      <c r="C793" s="80">
        <v>7</v>
      </c>
      <c r="D793" s="80">
        <f t="shared" si="45"/>
        <v>2012</v>
      </c>
      <c r="E793" t="s">
        <v>38</v>
      </c>
      <c r="F793" t="s">
        <v>143</v>
      </c>
      <c r="G793" t="s">
        <v>86</v>
      </c>
      <c r="H793" s="72" t="s">
        <v>221</v>
      </c>
      <c r="I793" s="72" t="s">
        <v>63</v>
      </c>
      <c r="J793" t="str">
        <f t="shared" si="46"/>
        <v>Snohomish River</v>
      </c>
      <c r="K793" t="str">
        <f>IFERROR(VLOOKUP(J793,LUTs!$A$1:$C$73,2,FALSE),"NA")</f>
        <v>Snohomish</v>
      </c>
      <c r="L793" t="str">
        <f>IFERROR(VLOOKUP(J793,LUTs!$A$1:$C$73,3,FALSE),"NA")</f>
        <v>2Central Puget Sound</v>
      </c>
      <c r="M793" s="72" t="s">
        <v>26</v>
      </c>
      <c r="N793" t="str">
        <f>VLOOKUP(M793,LUTs!E$2:H$14,3,)</f>
        <v>20Other</v>
      </c>
      <c r="O793" t="str">
        <f>VLOOKUP(M793,LUTs!E$2:H$14,4,)</f>
        <v>07Non Puget Sound</v>
      </c>
      <c r="P793" s="80">
        <v>2.9130434782608701</v>
      </c>
      <c r="Q793" s="102">
        <v>2.9130434782608701</v>
      </c>
      <c r="R793" s="74">
        <f>VLOOKUP(B793,Readme!A$40:C$52,3,)*Q793</f>
        <v>24.877391304347828</v>
      </c>
    </row>
    <row r="794" spans="1:18" ht="12" customHeight="1" x14ac:dyDescent="0.35">
      <c r="A794" s="75">
        <v>927</v>
      </c>
      <c r="B794" s="80">
        <v>2012</v>
      </c>
      <c r="C794" s="80">
        <v>7</v>
      </c>
      <c r="D794" s="80">
        <f t="shared" si="45"/>
        <v>2012</v>
      </c>
      <c r="E794" t="s">
        <v>38</v>
      </c>
      <c r="F794" t="s">
        <v>143</v>
      </c>
      <c r="G794" t="s">
        <v>86</v>
      </c>
      <c r="H794" s="72" t="s">
        <v>221</v>
      </c>
      <c r="I794" s="72" t="s">
        <v>63</v>
      </c>
      <c r="J794" t="str">
        <f t="shared" si="46"/>
        <v>Snohomish River</v>
      </c>
      <c r="K794" t="str">
        <f>IFERROR(VLOOKUP(J794,LUTs!$A$1:$C$73,2,FALSE),"NA")</f>
        <v>Snohomish</v>
      </c>
      <c r="L794" t="str">
        <f>IFERROR(VLOOKUP(J794,LUTs!$A$1:$C$73,3,FALSE),"NA")</f>
        <v>2Central Puget Sound</v>
      </c>
      <c r="M794" s="72" t="s">
        <v>16</v>
      </c>
      <c r="N794" t="str">
        <f>VLOOKUP(M794,LUTs!E$2:H$14,3,)</f>
        <v>03Snohomish</v>
      </c>
      <c r="O794" t="str">
        <f>VLOOKUP(M794,LUTs!E$2:H$14,4,)</f>
        <v>01North Puget Sound</v>
      </c>
      <c r="P794" s="80">
        <v>116.52173913043499</v>
      </c>
      <c r="Q794" s="102">
        <v>116.52173913043499</v>
      </c>
      <c r="R794" s="74">
        <f>VLOOKUP(B794,Readme!A$40:C$52,3,)*Q794</f>
        <v>995.0956521739148</v>
      </c>
    </row>
    <row r="795" spans="1:18" ht="12" customHeight="1" x14ac:dyDescent="0.35">
      <c r="A795" s="75">
        <v>941</v>
      </c>
      <c r="B795" s="80">
        <v>2012</v>
      </c>
      <c r="C795" s="80">
        <v>7</v>
      </c>
      <c r="D795" s="80">
        <f t="shared" si="45"/>
        <v>2012</v>
      </c>
      <c r="E795" t="s">
        <v>38</v>
      </c>
      <c r="F795" t="s">
        <v>143</v>
      </c>
      <c r="G795" t="s">
        <v>86</v>
      </c>
      <c r="H795" s="72" t="s">
        <v>222</v>
      </c>
      <c r="I795" s="72" t="s">
        <v>64</v>
      </c>
      <c r="J795" t="str">
        <f t="shared" si="46"/>
        <v>Snoqualmie River</v>
      </c>
      <c r="K795" t="str">
        <f>IFERROR(VLOOKUP(J795,LUTs!$A$1:$C$73,2,FALSE),"NA")</f>
        <v>Snohomish/King</v>
      </c>
      <c r="L795" t="str">
        <f>IFERROR(VLOOKUP(J795,LUTs!$A$1:$C$73,3,FALSE),"NA")</f>
        <v>2Central Puget Sound</v>
      </c>
      <c r="M795" s="72" t="s">
        <v>18</v>
      </c>
      <c r="N795" t="str">
        <f>VLOOKUP(M795,LUTs!E$2:H$14,3,)</f>
        <v>06King</v>
      </c>
      <c r="O795" t="str">
        <f>VLOOKUP(M795,LUTs!E$2:H$14,4,)</f>
        <v>02South Puget Sound</v>
      </c>
      <c r="P795" s="80">
        <v>9</v>
      </c>
      <c r="Q795" s="102">
        <v>9</v>
      </c>
      <c r="R795" s="74">
        <f>VLOOKUP(B795,Readme!A$40:C$52,3,)*Q795</f>
        <v>76.859999999999985</v>
      </c>
    </row>
    <row r="796" spans="1:18" ht="12" customHeight="1" x14ac:dyDescent="0.35">
      <c r="A796" s="75">
        <v>995</v>
      </c>
      <c r="B796" s="80">
        <v>2012</v>
      </c>
      <c r="C796" s="80">
        <v>7</v>
      </c>
      <c r="D796" s="80">
        <f t="shared" si="45"/>
        <v>2012</v>
      </c>
      <c r="E796" t="s">
        <v>38</v>
      </c>
      <c r="F796" t="s">
        <v>143</v>
      </c>
      <c r="G796" t="s">
        <v>86</v>
      </c>
      <c r="H796" s="72" t="s">
        <v>223</v>
      </c>
      <c r="I796" s="72" t="s">
        <v>103</v>
      </c>
      <c r="J796" t="str">
        <f t="shared" si="46"/>
        <v>Stillaguamish R, No. Fork</v>
      </c>
      <c r="K796" t="str">
        <f>IFERROR(VLOOKUP(J796,LUTs!$A$1:$C$73,2,FALSE),"NA")</f>
        <v>Snohomish</v>
      </c>
      <c r="L796" t="str">
        <f>IFERROR(VLOOKUP(J796,LUTs!$A$1:$C$73,3,FALSE),"NA")</f>
        <v>2Central Puget Sound</v>
      </c>
      <c r="M796" s="72" t="s">
        <v>17</v>
      </c>
      <c r="N796" t="str">
        <f>VLOOKUP(M796,LUTs!E$2:H$14,3,)</f>
        <v>04Island</v>
      </c>
      <c r="O796" t="str">
        <f>VLOOKUP(M796,LUTs!E$2:H$14,4,)</f>
        <v>01North Puget Sound</v>
      </c>
      <c r="P796" s="80">
        <v>21.551724137931</v>
      </c>
      <c r="Q796" s="102">
        <v>21.551724137931</v>
      </c>
      <c r="R796" s="74">
        <f>VLOOKUP(B796,Readme!A$40:C$52,3,)*Q796</f>
        <v>184.05172413793073</v>
      </c>
    </row>
    <row r="797" spans="1:18" ht="12" customHeight="1" x14ac:dyDescent="0.35">
      <c r="A797" s="75">
        <v>996</v>
      </c>
      <c r="B797" s="80">
        <v>2012</v>
      </c>
      <c r="C797" s="80">
        <v>7</v>
      </c>
      <c r="D797" s="80">
        <f t="shared" si="45"/>
        <v>2012</v>
      </c>
      <c r="E797" t="s">
        <v>38</v>
      </c>
      <c r="F797" t="s">
        <v>143</v>
      </c>
      <c r="G797" t="s">
        <v>86</v>
      </c>
      <c r="H797" s="72" t="s">
        <v>223</v>
      </c>
      <c r="I797" s="72" t="s">
        <v>103</v>
      </c>
      <c r="J797" t="str">
        <f t="shared" si="46"/>
        <v>Stillaguamish R, No. Fork</v>
      </c>
      <c r="K797" t="str">
        <f>IFERROR(VLOOKUP(J797,LUTs!$A$1:$C$73,2,FALSE),"NA")</f>
        <v>Snohomish</v>
      </c>
      <c r="L797" t="str">
        <f>IFERROR(VLOOKUP(J797,LUTs!$A$1:$C$73,3,FALSE),"NA")</f>
        <v>2Central Puget Sound</v>
      </c>
      <c r="M797" s="72" t="s">
        <v>18</v>
      </c>
      <c r="N797" t="str">
        <f>VLOOKUP(M797,LUTs!E$2:H$14,3,)</f>
        <v>06King</v>
      </c>
      <c r="O797" t="str">
        <f>VLOOKUP(M797,LUTs!E$2:H$14,4,)</f>
        <v>02South Puget Sound</v>
      </c>
      <c r="P797" s="80">
        <v>4.31034482758621</v>
      </c>
      <c r="Q797" s="102">
        <v>4.31034482758621</v>
      </c>
      <c r="R797" s="74">
        <f>VLOOKUP(B797,Readme!A$40:C$52,3,)*Q797</f>
        <v>36.810344827586228</v>
      </c>
    </row>
    <row r="798" spans="1:18" ht="12" customHeight="1" x14ac:dyDescent="0.35">
      <c r="A798" s="75">
        <v>997</v>
      </c>
      <c r="B798" s="80">
        <v>2012</v>
      </c>
      <c r="C798" s="80">
        <v>7</v>
      </c>
      <c r="D798" s="80">
        <f t="shared" si="45"/>
        <v>2012</v>
      </c>
      <c r="E798" t="s">
        <v>38</v>
      </c>
      <c r="F798" t="s">
        <v>143</v>
      </c>
      <c r="G798" t="s">
        <v>86</v>
      </c>
      <c r="H798" s="72" t="s">
        <v>223</v>
      </c>
      <c r="I798" s="72" t="s">
        <v>103</v>
      </c>
      <c r="J798" t="str">
        <f t="shared" si="46"/>
        <v>Stillaguamish R, No. Fork</v>
      </c>
      <c r="K798" t="str">
        <f>IFERROR(VLOOKUP(J798,LUTs!$A$1:$C$73,2,FALSE),"NA")</f>
        <v>Snohomish</v>
      </c>
      <c r="L798" t="str">
        <f>IFERROR(VLOOKUP(J798,LUTs!$A$1:$C$73,3,FALSE),"NA")</f>
        <v>2Central Puget Sound</v>
      </c>
      <c r="M798" s="72" t="s">
        <v>26</v>
      </c>
      <c r="N798" t="str">
        <f>VLOOKUP(M798,LUTs!E$2:H$14,3,)</f>
        <v>20Other</v>
      </c>
      <c r="O798" t="str">
        <f>VLOOKUP(M798,LUTs!E$2:H$14,4,)</f>
        <v>07Non Puget Sound</v>
      </c>
      <c r="P798" s="80">
        <v>4.31034482758621</v>
      </c>
      <c r="Q798" s="102">
        <v>4.31034482758621</v>
      </c>
      <c r="R798" s="74">
        <f>VLOOKUP(B798,Readme!A$40:C$52,3,)*Q798</f>
        <v>36.810344827586228</v>
      </c>
    </row>
    <row r="799" spans="1:18" ht="12" customHeight="1" x14ac:dyDescent="0.35">
      <c r="A799" s="75">
        <v>998</v>
      </c>
      <c r="B799" s="80">
        <v>2012</v>
      </c>
      <c r="C799" s="80">
        <v>7</v>
      </c>
      <c r="D799" s="80">
        <f t="shared" si="45"/>
        <v>2012</v>
      </c>
      <c r="E799" t="s">
        <v>38</v>
      </c>
      <c r="F799" t="s">
        <v>143</v>
      </c>
      <c r="G799" t="s">
        <v>86</v>
      </c>
      <c r="H799" s="72" t="s">
        <v>223</v>
      </c>
      <c r="I799" s="72" t="s">
        <v>103</v>
      </c>
      <c r="J799" t="str">
        <f t="shared" si="46"/>
        <v>Stillaguamish R, No. Fork</v>
      </c>
      <c r="K799" t="str">
        <f>IFERROR(VLOOKUP(J799,LUTs!$A$1:$C$73,2,FALSE),"NA")</f>
        <v>Snohomish</v>
      </c>
      <c r="L799" t="str">
        <f>IFERROR(VLOOKUP(J799,LUTs!$A$1:$C$73,3,FALSE),"NA")</f>
        <v>2Central Puget Sound</v>
      </c>
      <c r="M799" s="72" t="s">
        <v>20</v>
      </c>
      <c r="N799" t="str">
        <f>VLOOKUP(M799,LUTs!E$2:H$14,3,)</f>
        <v>07Pierce</v>
      </c>
      <c r="O799" t="str">
        <f>VLOOKUP(M799,LUTs!E$2:H$14,4,)</f>
        <v>02South Puget Sound</v>
      </c>
      <c r="P799" s="80">
        <v>4.31034482758621</v>
      </c>
      <c r="Q799" s="102">
        <v>4.31034482758621</v>
      </c>
      <c r="R799" s="74">
        <f>VLOOKUP(B799,Readme!A$40:C$52,3,)*Q799</f>
        <v>36.810344827586228</v>
      </c>
    </row>
    <row r="800" spans="1:18" ht="12" customHeight="1" x14ac:dyDescent="0.35">
      <c r="A800" s="75">
        <v>999</v>
      </c>
      <c r="B800" s="80">
        <v>2012</v>
      </c>
      <c r="C800" s="80">
        <v>7</v>
      </c>
      <c r="D800" s="80">
        <f t="shared" si="45"/>
        <v>2012</v>
      </c>
      <c r="E800" t="s">
        <v>38</v>
      </c>
      <c r="F800" t="s">
        <v>143</v>
      </c>
      <c r="G800" t="s">
        <v>86</v>
      </c>
      <c r="H800" s="72" t="s">
        <v>223</v>
      </c>
      <c r="I800" s="72" t="s">
        <v>103</v>
      </c>
      <c r="J800" t="str">
        <f t="shared" si="46"/>
        <v>Stillaguamish R, No. Fork</v>
      </c>
      <c r="K800" t="str">
        <f>IFERROR(VLOOKUP(J800,LUTs!$A$1:$C$73,2,FALSE),"NA")</f>
        <v>Snohomish</v>
      </c>
      <c r="L800" t="str">
        <f>IFERROR(VLOOKUP(J800,LUTs!$A$1:$C$73,3,FALSE),"NA")</f>
        <v>2Central Puget Sound</v>
      </c>
      <c r="M800" s="72" t="s">
        <v>15</v>
      </c>
      <c r="N800" t="str">
        <f>VLOOKUP(M800,LUTs!E$2:H$14,3,)</f>
        <v>02Skagit</v>
      </c>
      <c r="O800" t="str">
        <f>VLOOKUP(M800,LUTs!E$2:H$14,4,)</f>
        <v>01North Puget Sound</v>
      </c>
      <c r="P800" s="80">
        <v>4.31034482758621</v>
      </c>
      <c r="Q800" s="102">
        <v>4.31034482758621</v>
      </c>
      <c r="R800" s="74">
        <f>VLOOKUP(B800,Readme!A$40:C$52,3,)*Q800</f>
        <v>36.810344827586228</v>
      </c>
    </row>
    <row r="801" spans="1:18" ht="12" customHeight="1" x14ac:dyDescent="0.35">
      <c r="A801" s="75">
        <v>1000</v>
      </c>
      <c r="B801" s="80">
        <v>2012</v>
      </c>
      <c r="C801" s="80">
        <v>7</v>
      </c>
      <c r="D801" s="80">
        <f t="shared" si="45"/>
        <v>2012</v>
      </c>
      <c r="E801" t="s">
        <v>38</v>
      </c>
      <c r="F801" t="s">
        <v>143</v>
      </c>
      <c r="G801" t="s">
        <v>86</v>
      </c>
      <c r="H801" s="72" t="s">
        <v>223</v>
      </c>
      <c r="I801" s="72" t="s">
        <v>103</v>
      </c>
      <c r="J801" t="str">
        <f t="shared" si="46"/>
        <v>Stillaguamish R, No. Fork</v>
      </c>
      <c r="K801" t="str">
        <f>IFERROR(VLOOKUP(J801,LUTs!$A$1:$C$73,2,FALSE),"NA")</f>
        <v>Snohomish</v>
      </c>
      <c r="L801" t="str">
        <f>IFERROR(VLOOKUP(J801,LUTs!$A$1:$C$73,3,FALSE),"NA")</f>
        <v>2Central Puget Sound</v>
      </c>
      <c r="M801" s="72" t="s">
        <v>16</v>
      </c>
      <c r="N801" t="str">
        <f>VLOOKUP(M801,LUTs!E$2:H$14,3,)</f>
        <v>03Snohomish</v>
      </c>
      <c r="O801" t="str">
        <f>VLOOKUP(M801,LUTs!E$2:H$14,4,)</f>
        <v>01North Puget Sound</v>
      </c>
      <c r="P801" s="80">
        <v>68.965517241379303</v>
      </c>
      <c r="Q801" s="102">
        <v>68.965517241379303</v>
      </c>
      <c r="R801" s="74">
        <f>VLOOKUP(B801,Readme!A$40:C$52,3,)*Q801</f>
        <v>588.96551724137919</v>
      </c>
    </row>
    <row r="802" spans="1:18" ht="12" customHeight="1" x14ac:dyDescent="0.35">
      <c r="A802" s="75">
        <v>1001</v>
      </c>
      <c r="B802" s="80">
        <v>2012</v>
      </c>
      <c r="C802" s="80">
        <v>7</v>
      </c>
      <c r="D802" s="80">
        <f t="shared" si="45"/>
        <v>2012</v>
      </c>
      <c r="E802" t="s">
        <v>38</v>
      </c>
      <c r="F802" t="s">
        <v>143</v>
      </c>
      <c r="G802" t="s">
        <v>86</v>
      </c>
      <c r="H802" s="72" t="s">
        <v>223</v>
      </c>
      <c r="I802" s="72" t="s">
        <v>103</v>
      </c>
      <c r="J802" t="str">
        <f t="shared" si="46"/>
        <v>Stillaguamish R, No. Fork</v>
      </c>
      <c r="K802" t="str">
        <f>IFERROR(VLOOKUP(J802,LUTs!$A$1:$C$73,2,FALSE),"NA")</f>
        <v>Snohomish</v>
      </c>
      <c r="L802" t="str">
        <f>IFERROR(VLOOKUP(J802,LUTs!$A$1:$C$73,3,FALSE),"NA")</f>
        <v>2Central Puget Sound</v>
      </c>
      <c r="M802" s="72" t="s">
        <v>13</v>
      </c>
      <c r="N802" t="str">
        <f>VLOOKUP(M802,LUTs!E$2:H$14,3,)</f>
        <v>01Whatcom</v>
      </c>
      <c r="O802" t="str">
        <f>VLOOKUP(M802,LUTs!E$2:H$14,4,)</f>
        <v>01North Puget Sound</v>
      </c>
      <c r="P802" s="80">
        <v>17.241379310344801</v>
      </c>
      <c r="Q802" s="102">
        <v>17.241379310344801</v>
      </c>
      <c r="R802" s="74">
        <f>VLOOKUP(B802,Readme!A$40:C$52,3,)*Q802</f>
        <v>147.24137931034457</v>
      </c>
    </row>
    <row r="803" spans="1:18" ht="12" customHeight="1" x14ac:dyDescent="0.35">
      <c r="A803" s="75">
        <v>1018</v>
      </c>
      <c r="B803" s="80">
        <v>2012</v>
      </c>
      <c r="C803" s="80">
        <v>7</v>
      </c>
      <c r="D803" s="80">
        <f t="shared" si="45"/>
        <v>2012</v>
      </c>
      <c r="E803" t="s">
        <v>38</v>
      </c>
      <c r="F803" t="s">
        <v>143</v>
      </c>
      <c r="G803" t="s">
        <v>86</v>
      </c>
      <c r="H803" s="72" t="s">
        <v>252</v>
      </c>
      <c r="I803" s="72" t="s">
        <v>104</v>
      </c>
      <c r="J803" t="str">
        <f t="shared" si="46"/>
        <v>Stillaguamish R, So. Fork</v>
      </c>
      <c r="K803" t="str">
        <f>IFERROR(VLOOKUP(J803,LUTs!$A$1:$C$73,2,FALSE),"NA")</f>
        <v>Snohomish</v>
      </c>
      <c r="L803" t="str">
        <f>IFERROR(VLOOKUP(J803,LUTs!$A$1:$C$73,3,FALSE),"NA")</f>
        <v>2Central Puget Sound</v>
      </c>
      <c r="M803" s="72" t="s">
        <v>16</v>
      </c>
      <c r="N803" t="str">
        <f>VLOOKUP(M803,LUTs!E$2:H$14,3,)</f>
        <v>03Snohomish</v>
      </c>
      <c r="O803" t="str">
        <f>VLOOKUP(M803,LUTs!E$2:H$14,4,)</f>
        <v>01North Puget Sound</v>
      </c>
      <c r="P803" s="80">
        <v>4</v>
      </c>
      <c r="Q803" s="102">
        <v>4</v>
      </c>
      <c r="R803" s="74">
        <f>VLOOKUP(B803,Readme!A$40:C$52,3,)*Q803</f>
        <v>34.159999999999997</v>
      </c>
    </row>
    <row r="804" spans="1:18" ht="12" customHeight="1" x14ac:dyDescent="0.35">
      <c r="A804" s="75">
        <v>974</v>
      </c>
      <c r="B804" s="80">
        <v>2012</v>
      </c>
      <c r="C804" s="80">
        <v>7</v>
      </c>
      <c r="D804" s="80">
        <f t="shared" si="45"/>
        <v>2012</v>
      </c>
      <c r="E804" t="s">
        <v>38</v>
      </c>
      <c r="F804" t="s">
        <v>143</v>
      </c>
      <c r="G804" t="s">
        <v>86</v>
      </c>
      <c r="H804" s="72" t="s">
        <v>233</v>
      </c>
      <c r="I804" s="72" t="s">
        <v>76</v>
      </c>
      <c r="J804" t="str">
        <f t="shared" si="46"/>
        <v>Wallace River</v>
      </c>
      <c r="K804" t="str">
        <f>IFERROR(VLOOKUP(J804,LUTs!$A$1:$C$73,2,FALSE),"NA")</f>
        <v>Snohomish</v>
      </c>
      <c r="L804" t="str">
        <f>IFERROR(VLOOKUP(J804,LUTs!$A$1:$C$73,3,FALSE),"NA")</f>
        <v>2Central Puget Sound</v>
      </c>
      <c r="M804" s="72" t="s">
        <v>18</v>
      </c>
      <c r="N804" t="str">
        <f>VLOOKUP(M804,LUTs!E$2:H$14,3,)</f>
        <v>06King</v>
      </c>
      <c r="O804" t="str">
        <f>VLOOKUP(M804,LUTs!E$2:H$14,4,)</f>
        <v>02South Puget Sound</v>
      </c>
      <c r="P804" s="80">
        <v>6</v>
      </c>
      <c r="Q804" s="102">
        <v>6</v>
      </c>
      <c r="R804" s="74">
        <f>VLOOKUP(B804,Readme!A$40:C$52,3,)*Q804</f>
        <v>51.239999999999995</v>
      </c>
    </row>
    <row r="805" spans="1:18" ht="12" customHeight="1" x14ac:dyDescent="0.35">
      <c r="A805" s="75">
        <v>753</v>
      </c>
      <c r="B805" s="80">
        <v>2012</v>
      </c>
      <c r="C805" s="80">
        <v>8</v>
      </c>
      <c r="D805" s="80">
        <f t="shared" si="45"/>
        <v>2012</v>
      </c>
      <c r="E805" t="s">
        <v>38</v>
      </c>
      <c r="F805" t="s">
        <v>143</v>
      </c>
      <c r="G805" t="s">
        <v>86</v>
      </c>
      <c r="H805" s="72" t="s">
        <v>203</v>
      </c>
      <c r="I805" s="72" t="s">
        <v>89</v>
      </c>
      <c r="J805" s="84" t="s">
        <v>45</v>
      </c>
      <c r="K805" t="str">
        <f>IFERROR(VLOOKUP(J805,LUTs!$A$1:$C$73,2,FALSE),"NA")</f>
        <v>King</v>
      </c>
      <c r="L805" t="str">
        <f>IFERROR(VLOOKUP(J805,LUTs!$A$1:$C$73,3,FALSE),"NA")</f>
        <v>3South Puget Sound</v>
      </c>
      <c r="M805" s="72" t="s">
        <v>18</v>
      </c>
      <c r="N805" t="str">
        <f>VLOOKUP(M805,LUTs!E$2:H$14,3,)</f>
        <v>06King</v>
      </c>
      <c r="O805" t="str">
        <f>VLOOKUP(M805,LUTs!E$2:H$14,4,)</f>
        <v>02South Puget Sound</v>
      </c>
      <c r="P805" s="80">
        <v>39.565217391304401</v>
      </c>
      <c r="Q805" s="102">
        <v>39.565217391304401</v>
      </c>
      <c r="R805" s="74">
        <f>VLOOKUP(B805,Readme!A$40:C$52,3,)*Q805</f>
        <v>337.88695652173953</v>
      </c>
    </row>
    <row r="806" spans="1:18" ht="12" customHeight="1" x14ac:dyDescent="0.35">
      <c r="A806" s="75">
        <v>754</v>
      </c>
      <c r="B806" s="80">
        <v>2012</v>
      </c>
      <c r="C806" s="80">
        <v>8</v>
      </c>
      <c r="D806" s="80">
        <f t="shared" si="45"/>
        <v>2012</v>
      </c>
      <c r="E806" t="s">
        <v>38</v>
      </c>
      <c r="F806" t="s">
        <v>143</v>
      </c>
      <c r="G806" t="s">
        <v>86</v>
      </c>
      <c r="H806" s="72" t="s">
        <v>203</v>
      </c>
      <c r="I806" s="72" t="s">
        <v>89</v>
      </c>
      <c r="J806" s="84" t="s">
        <v>45</v>
      </c>
      <c r="K806" t="str">
        <f>IFERROR(VLOOKUP(J806,LUTs!$A$1:$C$73,2,FALSE),"NA")</f>
        <v>King</v>
      </c>
      <c r="L806" t="str">
        <f>IFERROR(VLOOKUP(J806,LUTs!$A$1:$C$73,3,FALSE),"NA")</f>
        <v>3South Puget Sound</v>
      </c>
      <c r="M806" s="72" t="s">
        <v>20</v>
      </c>
      <c r="N806" t="str">
        <f>VLOOKUP(M806,LUTs!E$2:H$14,3,)</f>
        <v>07Pierce</v>
      </c>
      <c r="O806" t="str">
        <f>VLOOKUP(M806,LUTs!E$2:H$14,4,)</f>
        <v>02South Puget Sound</v>
      </c>
      <c r="P806" s="80">
        <v>51.434782608695699</v>
      </c>
      <c r="Q806" s="102">
        <v>51.434782608695699</v>
      </c>
      <c r="R806" s="74">
        <f>VLOOKUP(B806,Readme!A$40:C$52,3,)*Q806</f>
        <v>439.25304347826125</v>
      </c>
    </row>
    <row r="807" spans="1:18" ht="12" customHeight="1" x14ac:dyDescent="0.35">
      <c r="A807" s="75">
        <v>992</v>
      </c>
      <c r="B807" s="80">
        <v>2012</v>
      </c>
      <c r="C807" s="80">
        <v>8</v>
      </c>
      <c r="D807" s="80">
        <f t="shared" si="45"/>
        <v>2012</v>
      </c>
      <c r="E807" t="s">
        <v>38</v>
      </c>
      <c r="F807" t="s">
        <v>143</v>
      </c>
      <c r="G807" t="s">
        <v>86</v>
      </c>
      <c r="H807" s="72" t="s">
        <v>262</v>
      </c>
      <c r="I807" s="72" t="s">
        <v>105</v>
      </c>
      <c r="J807" t="str">
        <f t="shared" ref="J807:J823" si="47">I807</f>
        <v>Pilchuck Creek (Stillaguamish System)</v>
      </c>
      <c r="K807" t="str">
        <f>IFERROR(VLOOKUP(J807,LUTs!$A$1:$C$73,2,FALSE),"NA")</f>
        <v>Skagit/Snohomish</v>
      </c>
      <c r="L807" t="str">
        <f>IFERROR(VLOOKUP(J807,LUTs!$A$1:$C$73,3,FALSE),"NA")</f>
        <v>2Central Puget Sound</v>
      </c>
      <c r="M807" s="72" t="s">
        <v>20</v>
      </c>
      <c r="N807" t="str">
        <f>VLOOKUP(M807,LUTs!E$2:H$14,3,)</f>
        <v>07Pierce</v>
      </c>
      <c r="O807" t="str">
        <f>VLOOKUP(M807,LUTs!E$2:H$14,4,)</f>
        <v>02South Puget Sound</v>
      </c>
      <c r="P807" s="80">
        <v>4</v>
      </c>
      <c r="Q807" s="102">
        <v>4</v>
      </c>
      <c r="R807" s="74">
        <f>VLOOKUP(B807,Readme!A$40:C$52,3,)*Q807</f>
        <v>34.159999999999997</v>
      </c>
    </row>
    <row r="808" spans="1:18" ht="12" customHeight="1" x14ac:dyDescent="0.35">
      <c r="A808" s="75">
        <v>872</v>
      </c>
      <c r="B808" s="80">
        <v>2012</v>
      </c>
      <c r="C808" s="80">
        <v>8</v>
      </c>
      <c r="D808" s="80">
        <f t="shared" si="45"/>
        <v>2012</v>
      </c>
      <c r="E808" t="s">
        <v>38</v>
      </c>
      <c r="F808" t="s">
        <v>143</v>
      </c>
      <c r="G808" t="s">
        <v>86</v>
      </c>
      <c r="H808" s="72" t="s">
        <v>220</v>
      </c>
      <c r="I808" s="72" t="s">
        <v>62</v>
      </c>
      <c r="J808" t="str">
        <f t="shared" si="47"/>
        <v>Skykomish River</v>
      </c>
      <c r="K808" t="str">
        <f>IFERROR(VLOOKUP(J808,LUTs!$A$1:$C$73,2,FALSE),"NA")</f>
        <v>Snohomish</v>
      </c>
      <c r="L808" t="str">
        <f>IFERROR(VLOOKUP(J808,LUTs!$A$1:$C$73,3,FALSE),"NA")</f>
        <v>2Central Puget Sound</v>
      </c>
      <c r="M808" s="72" t="s">
        <v>18</v>
      </c>
      <c r="N808" t="str">
        <f>VLOOKUP(M808,LUTs!E$2:H$14,3,)</f>
        <v>06King</v>
      </c>
      <c r="O808" t="str">
        <f>VLOOKUP(M808,LUTs!E$2:H$14,4,)</f>
        <v>02South Puget Sound</v>
      </c>
      <c r="P808" s="80">
        <v>168.161073825503</v>
      </c>
      <c r="Q808" s="102">
        <v>168.161073825503</v>
      </c>
      <c r="R808" s="74">
        <f>VLOOKUP(B808,Readme!A$40:C$52,3,)*Q808</f>
        <v>1436.0955704697953</v>
      </c>
    </row>
    <row r="809" spans="1:18" ht="12" customHeight="1" x14ac:dyDescent="0.35">
      <c r="A809" s="75">
        <v>873</v>
      </c>
      <c r="B809" s="80">
        <v>2012</v>
      </c>
      <c r="C809" s="80">
        <v>8</v>
      </c>
      <c r="D809" s="80">
        <f t="shared" si="45"/>
        <v>2012</v>
      </c>
      <c r="E809" t="s">
        <v>38</v>
      </c>
      <c r="F809" t="s">
        <v>143</v>
      </c>
      <c r="G809" t="s">
        <v>86</v>
      </c>
      <c r="H809" s="72" t="s">
        <v>220</v>
      </c>
      <c r="I809" s="72" t="s">
        <v>62</v>
      </c>
      <c r="J809" t="str">
        <f t="shared" si="47"/>
        <v>Skykomish River</v>
      </c>
      <c r="K809" t="str">
        <f>IFERROR(VLOOKUP(J809,LUTs!$A$1:$C$73,2,FALSE),"NA")</f>
        <v>Snohomish</v>
      </c>
      <c r="L809" t="str">
        <f>IFERROR(VLOOKUP(J809,LUTs!$A$1:$C$73,3,FALSE),"NA")</f>
        <v>2Central Puget Sound</v>
      </c>
      <c r="M809" s="72" t="s">
        <v>26</v>
      </c>
      <c r="N809" t="str">
        <f>VLOOKUP(M809,LUTs!E$2:H$14,3,)</f>
        <v>20Other</v>
      </c>
      <c r="O809" t="str">
        <f>VLOOKUP(M809,LUTs!E$2:H$14,4,)</f>
        <v>07Non Puget Sound</v>
      </c>
      <c r="P809" s="80">
        <v>2.8993288590603998</v>
      </c>
      <c r="Q809" s="102">
        <v>2.8993288590603998</v>
      </c>
      <c r="R809" s="74">
        <f>VLOOKUP(B809,Readme!A$40:C$52,3,)*Q809</f>
        <v>24.760268456375812</v>
      </c>
    </row>
    <row r="810" spans="1:18" ht="12" customHeight="1" x14ac:dyDescent="0.35">
      <c r="A810" s="75">
        <v>874</v>
      </c>
      <c r="B810" s="80">
        <v>2012</v>
      </c>
      <c r="C810" s="80">
        <v>8</v>
      </c>
      <c r="D810" s="80">
        <f t="shared" si="45"/>
        <v>2012</v>
      </c>
      <c r="E810" t="s">
        <v>38</v>
      </c>
      <c r="F810" t="s">
        <v>143</v>
      </c>
      <c r="G810" t="s">
        <v>86</v>
      </c>
      <c r="H810" s="72" t="s">
        <v>220</v>
      </c>
      <c r="I810" s="72" t="s">
        <v>62</v>
      </c>
      <c r="J810" t="str">
        <f t="shared" si="47"/>
        <v>Skykomish River</v>
      </c>
      <c r="K810" t="str">
        <f>IFERROR(VLOOKUP(J810,LUTs!$A$1:$C$73,2,FALSE),"NA")</f>
        <v>Snohomish</v>
      </c>
      <c r="L810" t="str">
        <f>IFERROR(VLOOKUP(J810,LUTs!$A$1:$C$73,3,FALSE),"NA")</f>
        <v>2Central Puget Sound</v>
      </c>
      <c r="M810" s="72" t="s">
        <v>20</v>
      </c>
      <c r="N810" t="str">
        <f>VLOOKUP(M810,LUTs!E$2:H$14,3,)</f>
        <v>07Pierce</v>
      </c>
      <c r="O810" t="str">
        <f>VLOOKUP(M810,LUTs!E$2:H$14,4,)</f>
        <v>02South Puget Sound</v>
      </c>
      <c r="P810" s="80">
        <v>14.496644295302</v>
      </c>
      <c r="Q810" s="102">
        <v>14.496644295302</v>
      </c>
      <c r="R810" s="74">
        <f>VLOOKUP(B810,Readme!A$40:C$52,3,)*Q810</f>
        <v>123.80134228187906</v>
      </c>
    </row>
    <row r="811" spans="1:18" ht="12" customHeight="1" x14ac:dyDescent="0.35">
      <c r="A811" s="75">
        <v>875</v>
      </c>
      <c r="B811" s="80">
        <v>2012</v>
      </c>
      <c r="C811" s="80">
        <v>8</v>
      </c>
      <c r="D811" s="80">
        <f t="shared" si="45"/>
        <v>2012</v>
      </c>
      <c r="E811" t="s">
        <v>38</v>
      </c>
      <c r="F811" t="s">
        <v>143</v>
      </c>
      <c r="G811" t="s">
        <v>86</v>
      </c>
      <c r="H811" s="72" t="s">
        <v>220</v>
      </c>
      <c r="I811" s="72" t="s">
        <v>62</v>
      </c>
      <c r="J811" t="str">
        <f t="shared" si="47"/>
        <v>Skykomish River</v>
      </c>
      <c r="K811" t="str">
        <f>IFERROR(VLOOKUP(J811,LUTs!$A$1:$C$73,2,FALSE),"NA")</f>
        <v>Snohomish</v>
      </c>
      <c r="L811" t="str">
        <f>IFERROR(VLOOKUP(J811,LUTs!$A$1:$C$73,3,FALSE),"NA")</f>
        <v>2Central Puget Sound</v>
      </c>
      <c r="M811" s="72" t="s">
        <v>16</v>
      </c>
      <c r="N811" t="str">
        <f>VLOOKUP(M811,LUTs!E$2:H$14,3,)</f>
        <v>03Snohomish</v>
      </c>
      <c r="O811" t="str">
        <f>VLOOKUP(M811,LUTs!E$2:H$14,4,)</f>
        <v>01North Puget Sound</v>
      </c>
      <c r="P811" s="80">
        <v>231.94630872483199</v>
      </c>
      <c r="Q811" s="102">
        <v>231.94630872483199</v>
      </c>
      <c r="R811" s="74">
        <f>VLOOKUP(B811,Readme!A$40:C$52,3,)*Q811</f>
        <v>1980.8214765100649</v>
      </c>
    </row>
    <row r="812" spans="1:18" ht="12" customHeight="1" x14ac:dyDescent="0.35">
      <c r="A812" s="75">
        <v>876</v>
      </c>
      <c r="B812" s="80">
        <v>2012</v>
      </c>
      <c r="C812" s="80">
        <v>8</v>
      </c>
      <c r="D812" s="80">
        <f t="shared" si="45"/>
        <v>2012</v>
      </c>
      <c r="E812" t="s">
        <v>38</v>
      </c>
      <c r="F812" t="s">
        <v>143</v>
      </c>
      <c r="G812" t="s">
        <v>86</v>
      </c>
      <c r="H812" s="72" t="s">
        <v>220</v>
      </c>
      <c r="I812" s="72" t="s">
        <v>62</v>
      </c>
      <c r="J812" t="str">
        <f t="shared" si="47"/>
        <v>Skykomish River</v>
      </c>
      <c r="K812" t="str">
        <f>IFERROR(VLOOKUP(J812,LUTs!$A$1:$C$73,2,FALSE),"NA")</f>
        <v>Snohomish</v>
      </c>
      <c r="L812" t="str">
        <f>IFERROR(VLOOKUP(J812,LUTs!$A$1:$C$73,3,FALSE),"NA")</f>
        <v>2Central Puget Sound</v>
      </c>
      <c r="M812" s="72" t="s">
        <v>13</v>
      </c>
      <c r="N812" t="str">
        <f>VLOOKUP(M812,LUTs!E$2:H$14,3,)</f>
        <v>01Whatcom</v>
      </c>
      <c r="O812" t="str">
        <f>VLOOKUP(M812,LUTs!E$2:H$14,4,)</f>
        <v>01North Puget Sound</v>
      </c>
      <c r="P812" s="80">
        <v>14.496644295302</v>
      </c>
      <c r="Q812" s="102">
        <v>14.496644295302</v>
      </c>
      <c r="R812" s="74">
        <f>VLOOKUP(B812,Readme!A$40:C$52,3,)*Q812</f>
        <v>123.80134228187906</v>
      </c>
    </row>
    <row r="813" spans="1:18" ht="12" customHeight="1" x14ac:dyDescent="0.35">
      <c r="A813" s="75">
        <v>907</v>
      </c>
      <c r="B813" s="80">
        <v>2012</v>
      </c>
      <c r="C813" s="80">
        <v>8</v>
      </c>
      <c r="D813" s="80">
        <f t="shared" si="45"/>
        <v>2012</v>
      </c>
      <c r="E813" t="s">
        <v>38</v>
      </c>
      <c r="F813" t="s">
        <v>143</v>
      </c>
      <c r="G813" t="s">
        <v>86</v>
      </c>
      <c r="H813" s="72" t="s">
        <v>247</v>
      </c>
      <c r="I813" s="72" t="s">
        <v>98</v>
      </c>
      <c r="J813" t="str">
        <f t="shared" si="47"/>
        <v>Skykomish River, No. Fork</v>
      </c>
      <c r="K813" t="str">
        <f>IFERROR(VLOOKUP(J813,LUTs!$A$1:$C$73,2,FALSE),"NA")</f>
        <v>Snohomish</v>
      </c>
      <c r="L813" t="str">
        <f>IFERROR(VLOOKUP(J813,LUTs!$A$1:$C$73,3,FALSE),"NA")</f>
        <v>2Central Puget Sound</v>
      </c>
      <c r="M813" s="72" t="s">
        <v>16</v>
      </c>
      <c r="N813" t="str">
        <f>VLOOKUP(M813,LUTs!E$2:H$14,3,)</f>
        <v>03Snohomish</v>
      </c>
      <c r="O813" t="str">
        <f>VLOOKUP(M813,LUTs!E$2:H$14,4,)</f>
        <v>01North Puget Sound</v>
      </c>
      <c r="P813" s="80">
        <v>6</v>
      </c>
      <c r="Q813" s="102">
        <v>6</v>
      </c>
      <c r="R813" s="74">
        <f>VLOOKUP(B813,Readme!A$40:C$52,3,)*Q813</f>
        <v>51.239999999999995</v>
      </c>
    </row>
    <row r="814" spans="1:18" ht="12" customHeight="1" x14ac:dyDescent="0.35">
      <c r="A814" s="75">
        <v>918</v>
      </c>
      <c r="B814" s="80">
        <v>2012</v>
      </c>
      <c r="C814" s="80">
        <v>8</v>
      </c>
      <c r="D814" s="80">
        <f t="shared" si="45"/>
        <v>2012</v>
      </c>
      <c r="E814" t="s">
        <v>38</v>
      </c>
      <c r="F814" t="s">
        <v>143</v>
      </c>
      <c r="G814" t="s">
        <v>86</v>
      </c>
      <c r="H814" s="72" t="s">
        <v>248</v>
      </c>
      <c r="I814" s="72" t="s">
        <v>99</v>
      </c>
      <c r="J814" t="str">
        <f t="shared" si="47"/>
        <v>Skykomish River, So. Fork</v>
      </c>
      <c r="K814" t="str">
        <f>IFERROR(VLOOKUP(J814,LUTs!$A$1:$C$73,2,FALSE),"NA")</f>
        <v>Snohomish/King</v>
      </c>
      <c r="L814" t="str">
        <f>IFERROR(VLOOKUP(J814,LUTs!$A$1:$C$73,3,FALSE),"NA")</f>
        <v>2Central Puget Sound</v>
      </c>
      <c r="M814" s="72" t="s">
        <v>18</v>
      </c>
      <c r="N814" t="str">
        <f>VLOOKUP(M814,LUTs!E$2:H$14,3,)</f>
        <v>06King</v>
      </c>
      <c r="O814" t="str">
        <f>VLOOKUP(M814,LUTs!E$2:H$14,4,)</f>
        <v>02South Puget Sound</v>
      </c>
      <c r="P814" s="80">
        <v>3</v>
      </c>
      <c r="Q814" s="102">
        <v>3</v>
      </c>
      <c r="R814" s="74">
        <f>VLOOKUP(B814,Readme!A$40:C$52,3,)*Q814</f>
        <v>25.619999999999997</v>
      </c>
    </row>
    <row r="815" spans="1:18" ht="12" customHeight="1" x14ac:dyDescent="0.35">
      <c r="A815" s="75">
        <v>928</v>
      </c>
      <c r="B815" s="80">
        <v>2012</v>
      </c>
      <c r="C815" s="80">
        <v>8</v>
      </c>
      <c r="D815" s="80">
        <f t="shared" si="45"/>
        <v>2012</v>
      </c>
      <c r="E815" t="s">
        <v>38</v>
      </c>
      <c r="F815" t="s">
        <v>143</v>
      </c>
      <c r="G815" t="s">
        <v>86</v>
      </c>
      <c r="H815" s="72" t="s">
        <v>221</v>
      </c>
      <c r="I815" s="72" t="s">
        <v>63</v>
      </c>
      <c r="J815" t="str">
        <f t="shared" si="47"/>
        <v>Snohomish River</v>
      </c>
      <c r="K815" t="str">
        <f>IFERROR(VLOOKUP(J815,LUTs!$A$1:$C$73,2,FALSE),"NA")</f>
        <v>Snohomish</v>
      </c>
      <c r="L815" t="str">
        <f>IFERROR(VLOOKUP(J815,LUTs!$A$1:$C$73,3,FALSE),"NA")</f>
        <v>2Central Puget Sound</v>
      </c>
      <c r="M815" s="72" t="s">
        <v>16</v>
      </c>
      <c r="N815" t="str">
        <f>VLOOKUP(M815,LUTs!E$2:H$14,3,)</f>
        <v>03Snohomish</v>
      </c>
      <c r="O815" t="str">
        <f>VLOOKUP(M815,LUTs!E$2:H$14,4,)</f>
        <v>01North Puget Sound</v>
      </c>
      <c r="P815" s="80">
        <v>9</v>
      </c>
      <c r="Q815" s="102">
        <v>9</v>
      </c>
      <c r="R815" s="74">
        <f>VLOOKUP(B815,Readme!A$40:C$52,3,)*Q815</f>
        <v>76.859999999999985</v>
      </c>
    </row>
    <row r="816" spans="1:18" ht="12" customHeight="1" x14ac:dyDescent="0.35">
      <c r="A816" s="75">
        <v>942</v>
      </c>
      <c r="B816" s="80">
        <v>2012</v>
      </c>
      <c r="C816" s="80">
        <v>8</v>
      </c>
      <c r="D816" s="80">
        <f t="shared" si="45"/>
        <v>2012</v>
      </c>
      <c r="E816" t="s">
        <v>38</v>
      </c>
      <c r="F816" t="s">
        <v>143</v>
      </c>
      <c r="G816" t="s">
        <v>86</v>
      </c>
      <c r="H816" s="72" t="s">
        <v>222</v>
      </c>
      <c r="I816" s="72" t="s">
        <v>64</v>
      </c>
      <c r="J816" t="str">
        <f t="shared" si="47"/>
        <v>Snoqualmie River</v>
      </c>
      <c r="K816" t="str">
        <f>IFERROR(VLOOKUP(J816,LUTs!$A$1:$C$73,2,FALSE),"NA")</f>
        <v>Snohomish/King</v>
      </c>
      <c r="L816" t="str">
        <f>IFERROR(VLOOKUP(J816,LUTs!$A$1:$C$73,3,FALSE),"NA")</f>
        <v>2Central Puget Sound</v>
      </c>
      <c r="M816" s="72" t="s">
        <v>18</v>
      </c>
      <c r="N816" t="str">
        <f>VLOOKUP(M816,LUTs!E$2:H$14,3,)</f>
        <v>06King</v>
      </c>
      <c r="O816" t="str">
        <f>VLOOKUP(M816,LUTs!E$2:H$14,4,)</f>
        <v>02South Puget Sound</v>
      </c>
      <c r="P816" s="80">
        <v>6</v>
      </c>
      <c r="Q816" s="102">
        <v>6</v>
      </c>
      <c r="R816" s="74">
        <f>VLOOKUP(B816,Readme!A$40:C$52,3,)*Q816</f>
        <v>51.239999999999995</v>
      </c>
    </row>
    <row r="817" spans="1:18" ht="12" customHeight="1" x14ac:dyDescent="0.35">
      <c r="A817" s="75">
        <v>1002</v>
      </c>
      <c r="B817" s="80">
        <v>2012</v>
      </c>
      <c r="C817" s="80">
        <v>8</v>
      </c>
      <c r="D817" s="80">
        <f t="shared" si="45"/>
        <v>2012</v>
      </c>
      <c r="E817" t="s">
        <v>38</v>
      </c>
      <c r="F817" t="s">
        <v>143</v>
      </c>
      <c r="G817" t="s">
        <v>86</v>
      </c>
      <c r="H817" s="72" t="s">
        <v>223</v>
      </c>
      <c r="I817" s="72" t="s">
        <v>103</v>
      </c>
      <c r="J817" t="str">
        <f t="shared" si="47"/>
        <v>Stillaguamish R, No. Fork</v>
      </c>
      <c r="K817" t="str">
        <f>IFERROR(VLOOKUP(J817,LUTs!$A$1:$C$73,2,FALSE),"NA")</f>
        <v>Snohomish</v>
      </c>
      <c r="L817" t="str">
        <f>IFERROR(VLOOKUP(J817,LUTs!$A$1:$C$73,3,FALSE),"NA")</f>
        <v>2Central Puget Sound</v>
      </c>
      <c r="M817" s="72" t="s">
        <v>18</v>
      </c>
      <c r="N817" t="str">
        <f>VLOOKUP(M817,LUTs!E$2:H$14,3,)</f>
        <v>06King</v>
      </c>
      <c r="O817" t="str">
        <f>VLOOKUP(M817,LUTs!E$2:H$14,4,)</f>
        <v>02South Puget Sound</v>
      </c>
      <c r="P817" s="80">
        <v>8.6</v>
      </c>
      <c r="Q817" s="102">
        <v>8.6</v>
      </c>
      <c r="R817" s="74">
        <f>VLOOKUP(B817,Readme!A$40:C$52,3,)*Q817</f>
        <v>73.443999999999988</v>
      </c>
    </row>
    <row r="818" spans="1:18" ht="12" customHeight="1" x14ac:dyDescent="0.35">
      <c r="A818" s="75">
        <v>1003</v>
      </c>
      <c r="B818" s="80">
        <v>2012</v>
      </c>
      <c r="C818" s="80">
        <v>8</v>
      </c>
      <c r="D818" s="80">
        <f t="shared" si="45"/>
        <v>2012</v>
      </c>
      <c r="E818" t="s">
        <v>38</v>
      </c>
      <c r="F818" t="s">
        <v>143</v>
      </c>
      <c r="G818" t="s">
        <v>86</v>
      </c>
      <c r="H818" s="72" t="s">
        <v>223</v>
      </c>
      <c r="I818" s="72" t="s">
        <v>103</v>
      </c>
      <c r="J818" t="str">
        <f t="shared" si="47"/>
        <v>Stillaguamish R, No. Fork</v>
      </c>
      <c r="K818" t="str">
        <f>IFERROR(VLOOKUP(J818,LUTs!$A$1:$C$73,2,FALSE),"NA")</f>
        <v>Snohomish</v>
      </c>
      <c r="L818" t="str">
        <f>IFERROR(VLOOKUP(J818,LUTs!$A$1:$C$73,3,FALSE),"NA")</f>
        <v>2Central Puget Sound</v>
      </c>
      <c r="M818" s="72" t="s">
        <v>16</v>
      </c>
      <c r="N818" t="str">
        <f>VLOOKUP(M818,LUTs!E$2:H$14,3,)</f>
        <v>03Snohomish</v>
      </c>
      <c r="O818" t="str">
        <f>VLOOKUP(M818,LUTs!E$2:H$14,4,)</f>
        <v>01North Puget Sound</v>
      </c>
      <c r="P818" s="80">
        <v>8.6</v>
      </c>
      <c r="Q818" s="102">
        <v>8.6</v>
      </c>
      <c r="R818" s="74">
        <f>VLOOKUP(B818,Readme!A$40:C$52,3,)*Q818</f>
        <v>73.443999999999988</v>
      </c>
    </row>
    <row r="819" spans="1:18" ht="12" customHeight="1" x14ac:dyDescent="0.35">
      <c r="A819" s="75">
        <v>1004</v>
      </c>
      <c r="B819" s="80">
        <v>2012</v>
      </c>
      <c r="C819" s="80">
        <v>8</v>
      </c>
      <c r="D819" s="80">
        <f t="shared" si="45"/>
        <v>2012</v>
      </c>
      <c r="E819" t="s">
        <v>38</v>
      </c>
      <c r="F819" t="s">
        <v>143</v>
      </c>
      <c r="G819" t="s">
        <v>86</v>
      </c>
      <c r="H819" s="72" t="s">
        <v>223</v>
      </c>
      <c r="I819" s="72" t="s">
        <v>103</v>
      </c>
      <c r="J819" t="str">
        <f t="shared" si="47"/>
        <v>Stillaguamish R, No. Fork</v>
      </c>
      <c r="K819" t="str">
        <f>IFERROR(VLOOKUP(J819,LUTs!$A$1:$C$73,2,FALSE),"NA")</f>
        <v>Snohomish</v>
      </c>
      <c r="L819" t="str">
        <f>IFERROR(VLOOKUP(J819,LUTs!$A$1:$C$73,3,FALSE),"NA")</f>
        <v>2Central Puget Sound</v>
      </c>
      <c r="M819" s="72" t="s">
        <v>13</v>
      </c>
      <c r="N819" t="str">
        <f>VLOOKUP(M819,LUTs!E$2:H$14,3,)</f>
        <v>01Whatcom</v>
      </c>
      <c r="O819" t="str">
        <f>VLOOKUP(M819,LUTs!E$2:H$14,4,)</f>
        <v>01North Puget Sound</v>
      </c>
      <c r="P819" s="80">
        <v>25.8</v>
      </c>
      <c r="Q819" s="102">
        <v>25.8</v>
      </c>
      <c r="R819" s="74">
        <f>VLOOKUP(B819,Readme!A$40:C$52,3,)*Q819</f>
        <v>220.33199999999999</v>
      </c>
    </row>
    <row r="820" spans="1:18" ht="12" customHeight="1" x14ac:dyDescent="0.35">
      <c r="A820" s="75">
        <v>1019</v>
      </c>
      <c r="B820" s="80">
        <v>2012</v>
      </c>
      <c r="C820" s="80">
        <v>8</v>
      </c>
      <c r="D820" s="80">
        <f t="shared" si="45"/>
        <v>2012</v>
      </c>
      <c r="E820" t="s">
        <v>38</v>
      </c>
      <c r="F820" t="s">
        <v>143</v>
      </c>
      <c r="G820" t="s">
        <v>86</v>
      </c>
      <c r="H820" s="72" t="s">
        <v>252</v>
      </c>
      <c r="I820" s="72" t="s">
        <v>104</v>
      </c>
      <c r="J820" t="str">
        <f t="shared" si="47"/>
        <v>Stillaguamish R, So. Fork</v>
      </c>
      <c r="K820" t="str">
        <f>IFERROR(VLOOKUP(J820,LUTs!$A$1:$C$73,2,FALSE),"NA")</f>
        <v>Snohomish</v>
      </c>
      <c r="L820" t="str">
        <f>IFERROR(VLOOKUP(J820,LUTs!$A$1:$C$73,3,FALSE),"NA")</f>
        <v>2Central Puget Sound</v>
      </c>
      <c r="M820" s="72" t="s">
        <v>16</v>
      </c>
      <c r="N820" t="str">
        <f>VLOOKUP(M820,LUTs!E$2:H$14,3,)</f>
        <v>03Snohomish</v>
      </c>
      <c r="O820" t="str">
        <f>VLOOKUP(M820,LUTs!E$2:H$14,4,)</f>
        <v>01North Puget Sound</v>
      </c>
      <c r="P820" s="80">
        <v>4</v>
      </c>
      <c r="Q820" s="102">
        <v>4</v>
      </c>
      <c r="R820" s="74">
        <f>VLOOKUP(B820,Readme!A$40:C$52,3,)*Q820</f>
        <v>34.159999999999997</v>
      </c>
    </row>
    <row r="821" spans="1:18" ht="12" customHeight="1" x14ac:dyDescent="0.35">
      <c r="A821" s="75">
        <v>955</v>
      </c>
      <c r="B821" s="80">
        <v>2012</v>
      </c>
      <c r="C821" s="80">
        <v>8</v>
      </c>
      <c r="D821" s="80">
        <f t="shared" si="45"/>
        <v>2012</v>
      </c>
      <c r="E821" t="s">
        <v>38</v>
      </c>
      <c r="F821" t="s">
        <v>143</v>
      </c>
      <c r="G821" t="s">
        <v>86</v>
      </c>
      <c r="H821" s="72" t="s">
        <v>249</v>
      </c>
      <c r="I821" s="72" t="s">
        <v>100</v>
      </c>
      <c r="J821" t="str">
        <f t="shared" si="47"/>
        <v>Sultan River</v>
      </c>
      <c r="K821" t="str">
        <f>IFERROR(VLOOKUP(J821,LUTs!$A$1:$C$73,2,FALSE),"NA")</f>
        <v>Snohomish</v>
      </c>
      <c r="L821" t="str">
        <f>IFERROR(VLOOKUP(J821,LUTs!$A$1:$C$73,3,FALSE),"NA")</f>
        <v>2Central Puget Sound</v>
      </c>
      <c r="M821" s="72" t="s">
        <v>16</v>
      </c>
      <c r="N821" t="str">
        <f>VLOOKUP(M821,LUTs!E$2:H$14,3,)</f>
        <v>03Snohomish</v>
      </c>
      <c r="O821" t="str">
        <f>VLOOKUP(M821,LUTs!E$2:H$14,4,)</f>
        <v>01North Puget Sound</v>
      </c>
      <c r="P821" s="80">
        <v>3</v>
      </c>
      <c r="Q821" s="102">
        <v>3</v>
      </c>
      <c r="R821" s="74">
        <f>VLOOKUP(B821,Readme!A$40:C$52,3,)*Q821</f>
        <v>25.619999999999997</v>
      </c>
    </row>
    <row r="822" spans="1:18" ht="12" customHeight="1" x14ac:dyDescent="0.35">
      <c r="A822" s="75">
        <v>1039</v>
      </c>
      <c r="B822" s="80">
        <v>2012</v>
      </c>
      <c r="C822" s="80">
        <v>9</v>
      </c>
      <c r="D822" s="80">
        <f t="shared" si="45"/>
        <v>2012</v>
      </c>
      <c r="E822" t="s">
        <v>38</v>
      </c>
      <c r="F822" t="s">
        <v>143</v>
      </c>
      <c r="G822" t="s">
        <v>86</v>
      </c>
      <c r="H822" s="72" t="s">
        <v>254</v>
      </c>
      <c r="I822" s="72" t="s">
        <v>33</v>
      </c>
      <c r="J822" t="str">
        <f t="shared" si="47"/>
        <v>Area 9: Admiralty Inlet</v>
      </c>
      <c r="K822" t="str">
        <f>IFERROR(VLOOKUP(J822,LUTs!$A$1:$C$73,2,FALSE),"NA")</f>
        <v>NA</v>
      </c>
      <c r="L822" t="str">
        <f>IFERROR(VLOOKUP(J822,LUTs!$A$1:$C$73,3,FALSE),"NA")</f>
        <v>2Central Puget Sound</v>
      </c>
      <c r="M822" s="72" t="s">
        <v>16</v>
      </c>
      <c r="N822" t="str">
        <f>VLOOKUP(M822,LUTs!E$2:H$14,3,)</f>
        <v>03Snohomish</v>
      </c>
      <c r="O822" t="str">
        <f>VLOOKUP(M822,LUTs!E$2:H$14,4,)</f>
        <v>01North Puget Sound</v>
      </c>
      <c r="P822" s="80">
        <v>3</v>
      </c>
      <c r="Q822" s="102">
        <v>3</v>
      </c>
      <c r="R822" s="74">
        <f>VLOOKUP(B822,Readme!A$40:C$52,3,)*Q822</f>
        <v>25.619999999999997</v>
      </c>
    </row>
    <row r="823" spans="1:18" ht="12" customHeight="1" x14ac:dyDescent="0.35">
      <c r="A823" s="75">
        <v>807</v>
      </c>
      <c r="B823" s="80">
        <v>2012</v>
      </c>
      <c r="C823" s="80">
        <v>9</v>
      </c>
      <c r="D823" s="80">
        <f t="shared" si="45"/>
        <v>2012</v>
      </c>
      <c r="E823" t="s">
        <v>38</v>
      </c>
      <c r="F823" t="s">
        <v>143</v>
      </c>
      <c r="G823" t="s">
        <v>86</v>
      </c>
      <c r="H823" s="72" t="s">
        <v>217</v>
      </c>
      <c r="I823" s="72" t="s">
        <v>59</v>
      </c>
      <c r="J823" t="str">
        <f t="shared" si="47"/>
        <v>Cascade River</v>
      </c>
      <c r="K823" t="str">
        <f>IFERROR(VLOOKUP(J823,LUTs!$A$1:$C$73,2,FALSE),"NA")</f>
        <v>Skagit</v>
      </c>
      <c r="L823" t="str">
        <f>IFERROR(VLOOKUP(J823,LUTs!$A$1:$C$73,3,FALSE),"NA")</f>
        <v>1North Puget Sound</v>
      </c>
      <c r="M823" s="72" t="s">
        <v>13</v>
      </c>
      <c r="N823" t="str">
        <f>VLOOKUP(M823,LUTs!E$2:H$14,3,)</f>
        <v>01Whatcom</v>
      </c>
      <c r="O823" t="str">
        <f>VLOOKUP(M823,LUTs!E$2:H$14,4,)</f>
        <v>01North Puget Sound</v>
      </c>
      <c r="P823" s="80">
        <v>1</v>
      </c>
      <c r="Q823" s="102">
        <v>1</v>
      </c>
      <c r="R823" s="74">
        <f>VLOOKUP(B823,Readme!A$40:C$52,3,)*Q823</f>
        <v>8.5399999999999991</v>
      </c>
    </row>
    <row r="824" spans="1:18" ht="12" customHeight="1" x14ac:dyDescent="0.35">
      <c r="A824" s="75">
        <v>755</v>
      </c>
      <c r="B824" s="80">
        <v>2012</v>
      </c>
      <c r="C824" s="80">
        <v>9</v>
      </c>
      <c r="D824" s="80">
        <f t="shared" si="45"/>
        <v>2012</v>
      </c>
      <c r="E824" t="s">
        <v>38</v>
      </c>
      <c r="F824" t="s">
        <v>143</v>
      </c>
      <c r="G824" t="s">
        <v>86</v>
      </c>
      <c r="H824" s="72" t="s">
        <v>203</v>
      </c>
      <c r="I824" s="72" t="s">
        <v>89</v>
      </c>
      <c r="J824" s="84" t="s">
        <v>45</v>
      </c>
      <c r="K824" t="str">
        <f>IFERROR(VLOOKUP(J824,LUTs!$A$1:$C$73,2,FALSE),"NA")</f>
        <v>King</v>
      </c>
      <c r="L824" t="str">
        <f>IFERROR(VLOOKUP(J824,LUTs!$A$1:$C$73,3,FALSE),"NA")</f>
        <v>3South Puget Sound</v>
      </c>
      <c r="M824" s="72" t="s">
        <v>18</v>
      </c>
      <c r="N824" t="str">
        <f>VLOOKUP(M824,LUTs!E$2:H$14,3,)</f>
        <v>06King</v>
      </c>
      <c r="O824" t="str">
        <f>VLOOKUP(M824,LUTs!E$2:H$14,4,)</f>
        <v>02South Puget Sound</v>
      </c>
      <c r="P824" s="80">
        <v>35.571428571428598</v>
      </c>
      <c r="Q824" s="102">
        <v>35.571428571428598</v>
      </c>
      <c r="R824" s="74">
        <f>VLOOKUP(B824,Readme!A$40:C$52,3,)*Q824</f>
        <v>303.7800000000002</v>
      </c>
    </row>
    <row r="825" spans="1:18" ht="12" customHeight="1" x14ac:dyDescent="0.35">
      <c r="A825" s="75">
        <v>756</v>
      </c>
      <c r="B825" s="80">
        <v>2012</v>
      </c>
      <c r="C825" s="80">
        <v>9</v>
      </c>
      <c r="D825" s="80">
        <f t="shared" si="45"/>
        <v>2012</v>
      </c>
      <c r="E825" t="s">
        <v>38</v>
      </c>
      <c r="F825" t="s">
        <v>143</v>
      </c>
      <c r="G825" t="s">
        <v>86</v>
      </c>
      <c r="H825" s="72" t="s">
        <v>203</v>
      </c>
      <c r="I825" s="72" t="s">
        <v>89</v>
      </c>
      <c r="J825" s="84" t="s">
        <v>45</v>
      </c>
      <c r="K825" t="str">
        <f>IFERROR(VLOOKUP(J825,LUTs!$A$1:$C$73,2,FALSE),"NA")</f>
        <v>King</v>
      </c>
      <c r="L825" t="str">
        <f>IFERROR(VLOOKUP(J825,LUTs!$A$1:$C$73,3,FALSE),"NA")</f>
        <v>3South Puget Sound</v>
      </c>
      <c r="M825" s="72" t="s">
        <v>20</v>
      </c>
      <c r="N825" t="str">
        <f>VLOOKUP(M825,LUTs!E$2:H$14,3,)</f>
        <v>07Pierce</v>
      </c>
      <c r="O825" t="str">
        <f>VLOOKUP(M825,LUTs!E$2:H$14,4,)</f>
        <v>02South Puget Sound</v>
      </c>
      <c r="P825" s="80">
        <v>47.428571428571402</v>
      </c>
      <c r="Q825" s="102">
        <v>47.428571428571402</v>
      </c>
      <c r="R825" s="74">
        <f>VLOOKUP(B825,Readme!A$40:C$52,3,)*Q825</f>
        <v>405.03999999999974</v>
      </c>
    </row>
    <row r="826" spans="1:18" ht="12" customHeight="1" x14ac:dyDescent="0.35">
      <c r="A826" s="75">
        <v>855</v>
      </c>
      <c r="B826" s="80">
        <v>2012</v>
      </c>
      <c r="C826" s="80">
        <v>9</v>
      </c>
      <c r="D826" s="80">
        <f t="shared" si="45"/>
        <v>2012</v>
      </c>
      <c r="E826" t="s">
        <v>38</v>
      </c>
      <c r="F826" t="s">
        <v>143</v>
      </c>
      <c r="G826" t="s">
        <v>86</v>
      </c>
      <c r="H826" s="72" t="s">
        <v>246</v>
      </c>
      <c r="I826" s="72" t="s">
        <v>97</v>
      </c>
      <c r="J826" t="str">
        <f t="shared" ref="J826:J846" si="48">I826</f>
        <v>Raging River</v>
      </c>
      <c r="K826" t="str">
        <f>IFERROR(VLOOKUP(J826,LUTs!$A$1:$C$73,2,FALSE),"NA")</f>
        <v>King</v>
      </c>
      <c r="L826" t="str">
        <f>IFERROR(VLOOKUP(J826,LUTs!$A$1:$C$73,3,FALSE),"NA")</f>
        <v>2Central Puget Sound</v>
      </c>
      <c r="M826" s="72" t="s">
        <v>18</v>
      </c>
      <c r="N826" t="str">
        <f>VLOOKUP(M826,LUTs!E$2:H$14,3,)</f>
        <v>06King</v>
      </c>
      <c r="O826" t="str">
        <f>VLOOKUP(M826,LUTs!E$2:H$14,4,)</f>
        <v>02South Puget Sound</v>
      </c>
      <c r="P826" s="80">
        <v>3</v>
      </c>
      <c r="Q826" s="102">
        <v>3</v>
      </c>
      <c r="R826" s="74">
        <f>VLOOKUP(B826,Readme!A$40:C$52,3,)*Q826</f>
        <v>25.619999999999997</v>
      </c>
    </row>
    <row r="827" spans="1:18" ht="12" customHeight="1" x14ac:dyDescent="0.35">
      <c r="A827" s="75">
        <v>838</v>
      </c>
      <c r="B827" s="80">
        <v>2012</v>
      </c>
      <c r="C827" s="80">
        <v>9</v>
      </c>
      <c r="D827" s="80">
        <f t="shared" si="45"/>
        <v>2012</v>
      </c>
      <c r="E827" t="s">
        <v>38</v>
      </c>
      <c r="F827" t="s">
        <v>143</v>
      </c>
      <c r="G827" t="s">
        <v>86</v>
      </c>
      <c r="H827" s="72" t="s">
        <v>218</v>
      </c>
      <c r="I827" s="72" t="s">
        <v>60</v>
      </c>
      <c r="J827" t="str">
        <f t="shared" si="48"/>
        <v>Skagit River</v>
      </c>
      <c r="K827" t="str">
        <f>IFERROR(VLOOKUP(J827,LUTs!$A$1:$C$73,2,FALSE),"NA")</f>
        <v>Skagit/Whatcom</v>
      </c>
      <c r="L827" t="str">
        <f>IFERROR(VLOOKUP(J827,LUTs!$A$1:$C$73,3,FALSE),"NA")</f>
        <v>2Central Puget Sound</v>
      </c>
      <c r="M827" s="72" t="s">
        <v>15</v>
      </c>
      <c r="N827" t="str">
        <f>VLOOKUP(M827,LUTs!E$2:H$14,3,)</f>
        <v>02Skagit</v>
      </c>
      <c r="O827" t="str">
        <f>VLOOKUP(M827,LUTs!E$2:H$14,4,)</f>
        <v>01North Puget Sound</v>
      </c>
      <c r="P827" s="80">
        <v>4</v>
      </c>
      <c r="Q827" s="102">
        <v>4</v>
      </c>
      <c r="R827" s="74">
        <f>VLOOKUP(B827,Readme!A$40:C$52,3,)*Q827</f>
        <v>34.159999999999997</v>
      </c>
    </row>
    <row r="828" spans="1:18" ht="12" customHeight="1" x14ac:dyDescent="0.35">
      <c r="A828" s="75">
        <v>877</v>
      </c>
      <c r="B828" s="80">
        <v>2012</v>
      </c>
      <c r="C828" s="80">
        <v>9</v>
      </c>
      <c r="D828" s="80">
        <f t="shared" si="45"/>
        <v>2012</v>
      </c>
      <c r="E828" t="s">
        <v>38</v>
      </c>
      <c r="F828" t="s">
        <v>143</v>
      </c>
      <c r="G828" t="s">
        <v>86</v>
      </c>
      <c r="H828" s="72" t="s">
        <v>220</v>
      </c>
      <c r="I828" s="72" t="s">
        <v>62</v>
      </c>
      <c r="J828" t="str">
        <f t="shared" si="48"/>
        <v>Skykomish River</v>
      </c>
      <c r="K828" t="str">
        <f>IFERROR(VLOOKUP(J828,LUTs!$A$1:$C$73,2,FALSE),"NA")</f>
        <v>Snohomish</v>
      </c>
      <c r="L828" t="str">
        <f>IFERROR(VLOOKUP(J828,LUTs!$A$1:$C$73,3,FALSE),"NA")</f>
        <v>2Central Puget Sound</v>
      </c>
      <c r="M828" s="72" t="s">
        <v>18</v>
      </c>
      <c r="N828" t="str">
        <f>VLOOKUP(M828,LUTs!E$2:H$14,3,)</f>
        <v>06King</v>
      </c>
      <c r="O828" t="str">
        <f>VLOOKUP(M828,LUTs!E$2:H$14,4,)</f>
        <v>02South Puget Sound</v>
      </c>
      <c r="P828" s="80">
        <v>75.310344827586206</v>
      </c>
      <c r="Q828" s="102">
        <v>75.310344827586206</v>
      </c>
      <c r="R828" s="74">
        <f>VLOOKUP(B828,Readme!A$40:C$52,3,)*Q828</f>
        <v>643.15034482758608</v>
      </c>
    </row>
    <row r="829" spans="1:18" ht="12" customHeight="1" x14ac:dyDescent="0.35">
      <c r="A829" s="75">
        <v>878</v>
      </c>
      <c r="B829" s="80">
        <v>2012</v>
      </c>
      <c r="C829" s="80">
        <v>9</v>
      </c>
      <c r="D829" s="80">
        <f t="shared" si="45"/>
        <v>2012</v>
      </c>
      <c r="E829" t="s">
        <v>38</v>
      </c>
      <c r="F829" t="s">
        <v>143</v>
      </c>
      <c r="G829" t="s">
        <v>86</v>
      </c>
      <c r="H829" s="72" t="s">
        <v>220</v>
      </c>
      <c r="I829" s="72" t="s">
        <v>62</v>
      </c>
      <c r="J829" t="str">
        <f t="shared" si="48"/>
        <v>Skykomish River</v>
      </c>
      <c r="K829" t="str">
        <f>IFERROR(VLOOKUP(J829,LUTs!$A$1:$C$73,2,FALSE),"NA")</f>
        <v>Snohomish</v>
      </c>
      <c r="L829" t="str">
        <f>IFERROR(VLOOKUP(J829,LUTs!$A$1:$C$73,3,FALSE),"NA")</f>
        <v>2Central Puget Sound</v>
      </c>
      <c r="M829" s="72" t="s">
        <v>20</v>
      </c>
      <c r="N829" t="str">
        <f>VLOOKUP(M829,LUTs!E$2:H$14,3,)</f>
        <v>07Pierce</v>
      </c>
      <c r="O829" t="str">
        <f>VLOOKUP(M829,LUTs!E$2:H$14,4,)</f>
        <v>02South Puget Sound</v>
      </c>
      <c r="P829" s="80">
        <v>2.8965517241379302</v>
      </c>
      <c r="Q829" s="102">
        <v>2.8965517241379302</v>
      </c>
      <c r="R829" s="74">
        <f>VLOOKUP(B829,Readme!A$40:C$52,3,)*Q829</f>
        <v>24.736551724137922</v>
      </c>
    </row>
    <row r="830" spans="1:18" ht="12" customHeight="1" x14ac:dyDescent="0.35">
      <c r="A830" s="75">
        <v>879</v>
      </c>
      <c r="B830" s="80">
        <v>2012</v>
      </c>
      <c r="C830" s="80">
        <v>9</v>
      </c>
      <c r="D830" s="80">
        <f t="shared" si="45"/>
        <v>2012</v>
      </c>
      <c r="E830" t="s">
        <v>38</v>
      </c>
      <c r="F830" t="s">
        <v>143</v>
      </c>
      <c r="G830" t="s">
        <v>86</v>
      </c>
      <c r="H830" s="72" t="s">
        <v>220</v>
      </c>
      <c r="I830" s="72" t="s">
        <v>62</v>
      </c>
      <c r="J830" t="str">
        <f t="shared" si="48"/>
        <v>Skykomish River</v>
      </c>
      <c r="K830" t="str">
        <f>IFERROR(VLOOKUP(J830,LUTs!$A$1:$C$73,2,FALSE),"NA")</f>
        <v>Snohomish</v>
      </c>
      <c r="L830" t="str">
        <f>IFERROR(VLOOKUP(J830,LUTs!$A$1:$C$73,3,FALSE),"NA")</f>
        <v>2Central Puget Sound</v>
      </c>
      <c r="M830" s="72" t="s">
        <v>16</v>
      </c>
      <c r="N830" t="str">
        <f>VLOOKUP(M830,LUTs!E$2:H$14,3,)</f>
        <v>03Snohomish</v>
      </c>
      <c r="O830" t="str">
        <f>VLOOKUP(M830,LUTs!E$2:H$14,4,)</f>
        <v>01North Puget Sound</v>
      </c>
      <c r="P830" s="80">
        <v>89.7931034482759</v>
      </c>
      <c r="Q830" s="102">
        <v>89.7931034482759</v>
      </c>
      <c r="R830" s="74">
        <f>VLOOKUP(B830,Readme!A$40:C$52,3,)*Q830</f>
        <v>766.83310344827612</v>
      </c>
    </row>
    <row r="831" spans="1:18" ht="12" customHeight="1" x14ac:dyDescent="0.35">
      <c r="A831" s="75">
        <v>908</v>
      </c>
      <c r="B831" s="80">
        <v>2012</v>
      </c>
      <c r="C831" s="80">
        <v>9</v>
      </c>
      <c r="D831" s="80">
        <f t="shared" si="45"/>
        <v>2012</v>
      </c>
      <c r="E831" t="s">
        <v>38</v>
      </c>
      <c r="F831" t="s">
        <v>143</v>
      </c>
      <c r="G831" t="s">
        <v>86</v>
      </c>
      <c r="H831" s="72" t="s">
        <v>247</v>
      </c>
      <c r="I831" s="72" t="s">
        <v>98</v>
      </c>
      <c r="J831" t="str">
        <f t="shared" si="48"/>
        <v>Skykomish River, No. Fork</v>
      </c>
      <c r="K831" t="str">
        <f>IFERROR(VLOOKUP(J831,LUTs!$A$1:$C$73,2,FALSE),"NA")</f>
        <v>Snohomish</v>
      </c>
      <c r="L831" t="str">
        <f>IFERROR(VLOOKUP(J831,LUTs!$A$1:$C$73,3,FALSE),"NA")</f>
        <v>2Central Puget Sound</v>
      </c>
      <c r="M831" s="72" t="s">
        <v>16</v>
      </c>
      <c r="N831" t="str">
        <f>VLOOKUP(M831,LUTs!E$2:H$14,3,)</f>
        <v>03Snohomish</v>
      </c>
      <c r="O831" t="str">
        <f>VLOOKUP(M831,LUTs!E$2:H$14,4,)</f>
        <v>01North Puget Sound</v>
      </c>
      <c r="P831" s="80">
        <v>9</v>
      </c>
      <c r="Q831" s="102">
        <v>9</v>
      </c>
      <c r="R831" s="74">
        <f>VLOOKUP(B831,Readme!A$40:C$52,3,)*Q831</f>
        <v>76.859999999999985</v>
      </c>
    </row>
    <row r="832" spans="1:18" ht="12" customHeight="1" x14ac:dyDescent="0.35">
      <c r="A832" s="75">
        <v>909</v>
      </c>
      <c r="B832" s="80">
        <v>2012</v>
      </c>
      <c r="C832" s="80">
        <v>9</v>
      </c>
      <c r="D832" s="80">
        <f t="shared" si="45"/>
        <v>2012</v>
      </c>
      <c r="E832" t="s">
        <v>38</v>
      </c>
      <c r="F832" t="s">
        <v>143</v>
      </c>
      <c r="G832" t="s">
        <v>86</v>
      </c>
      <c r="H832" s="72" t="s">
        <v>247</v>
      </c>
      <c r="I832" s="72" t="s">
        <v>98</v>
      </c>
      <c r="J832" t="str">
        <f t="shared" si="48"/>
        <v>Skykomish River, No. Fork</v>
      </c>
      <c r="K832" t="str">
        <f>IFERROR(VLOOKUP(J832,LUTs!$A$1:$C$73,2,FALSE),"NA")</f>
        <v>Snohomish</v>
      </c>
      <c r="L832" t="str">
        <f>IFERROR(VLOOKUP(J832,LUTs!$A$1:$C$73,3,FALSE),"NA")</f>
        <v>2Central Puget Sound</v>
      </c>
      <c r="M832" s="72" t="s">
        <v>13</v>
      </c>
      <c r="N832" t="str">
        <f>VLOOKUP(M832,LUTs!E$2:H$14,3,)</f>
        <v>01Whatcom</v>
      </c>
      <c r="O832" t="str">
        <f>VLOOKUP(M832,LUTs!E$2:H$14,4,)</f>
        <v>01North Puget Sound</v>
      </c>
      <c r="P832" s="80">
        <v>3</v>
      </c>
      <c r="Q832" s="102">
        <v>3</v>
      </c>
      <c r="R832" s="74">
        <f>VLOOKUP(B832,Readme!A$40:C$52,3,)*Q832</f>
        <v>25.619999999999997</v>
      </c>
    </row>
    <row r="833" spans="1:18" ht="12" customHeight="1" x14ac:dyDescent="0.35">
      <c r="A833" s="75">
        <v>929</v>
      </c>
      <c r="B833" s="80">
        <v>2012</v>
      </c>
      <c r="C833" s="80">
        <v>9</v>
      </c>
      <c r="D833" s="80">
        <f t="shared" si="45"/>
        <v>2012</v>
      </c>
      <c r="E833" t="s">
        <v>38</v>
      </c>
      <c r="F833" t="s">
        <v>143</v>
      </c>
      <c r="G833" t="s">
        <v>86</v>
      </c>
      <c r="H833" s="72" t="s">
        <v>221</v>
      </c>
      <c r="I833" s="72" t="s">
        <v>63</v>
      </c>
      <c r="J833" t="str">
        <f t="shared" si="48"/>
        <v>Snohomish River</v>
      </c>
      <c r="K833" t="str">
        <f>IFERROR(VLOOKUP(J833,LUTs!$A$1:$C$73,2,FALSE),"NA")</f>
        <v>Snohomish</v>
      </c>
      <c r="L833" t="str">
        <f>IFERROR(VLOOKUP(J833,LUTs!$A$1:$C$73,3,FALSE),"NA")</f>
        <v>2Central Puget Sound</v>
      </c>
      <c r="M833" s="72" t="s">
        <v>18</v>
      </c>
      <c r="N833" t="str">
        <f>VLOOKUP(M833,LUTs!E$2:H$14,3,)</f>
        <v>06King</v>
      </c>
      <c r="O833" t="str">
        <f>VLOOKUP(M833,LUTs!E$2:H$14,4,)</f>
        <v>02South Puget Sound</v>
      </c>
      <c r="P833" s="80">
        <v>3</v>
      </c>
      <c r="Q833" s="102">
        <v>3</v>
      </c>
      <c r="R833" s="74">
        <f>VLOOKUP(B833,Readme!A$40:C$52,3,)*Q833</f>
        <v>25.619999999999997</v>
      </c>
    </row>
    <row r="834" spans="1:18" ht="12" customHeight="1" x14ac:dyDescent="0.35">
      <c r="A834" s="75">
        <v>930</v>
      </c>
      <c r="B834" s="80">
        <v>2012</v>
      </c>
      <c r="C834" s="80">
        <v>9</v>
      </c>
      <c r="D834" s="80">
        <f t="shared" ref="D834:D897" si="49">IF(C834&gt;3,B834,B834-1)</f>
        <v>2012</v>
      </c>
      <c r="E834" t="s">
        <v>38</v>
      </c>
      <c r="F834" t="s">
        <v>143</v>
      </c>
      <c r="G834" t="s">
        <v>86</v>
      </c>
      <c r="H834" s="72" t="s">
        <v>221</v>
      </c>
      <c r="I834" s="72" t="s">
        <v>63</v>
      </c>
      <c r="J834" t="str">
        <f t="shared" si="48"/>
        <v>Snohomish River</v>
      </c>
      <c r="K834" t="str">
        <f>IFERROR(VLOOKUP(J834,LUTs!$A$1:$C$73,2,FALSE),"NA")</f>
        <v>Snohomish</v>
      </c>
      <c r="L834" t="str">
        <f>IFERROR(VLOOKUP(J834,LUTs!$A$1:$C$73,3,FALSE),"NA")</f>
        <v>2Central Puget Sound</v>
      </c>
      <c r="M834" s="72" t="s">
        <v>16</v>
      </c>
      <c r="N834" t="str">
        <f>VLOOKUP(M834,LUTs!E$2:H$14,3,)</f>
        <v>03Snohomish</v>
      </c>
      <c r="O834" t="str">
        <f>VLOOKUP(M834,LUTs!E$2:H$14,4,)</f>
        <v>01North Puget Sound</v>
      </c>
      <c r="P834" s="80">
        <v>9</v>
      </c>
      <c r="Q834" s="102">
        <v>9</v>
      </c>
      <c r="R834" s="74">
        <f>VLOOKUP(B834,Readme!A$40:C$52,3,)*Q834</f>
        <v>76.859999999999985</v>
      </c>
    </row>
    <row r="835" spans="1:18" ht="12" customHeight="1" x14ac:dyDescent="0.35">
      <c r="A835" s="75">
        <v>1005</v>
      </c>
      <c r="B835" s="80">
        <v>2012</v>
      </c>
      <c r="C835" s="80">
        <v>9</v>
      </c>
      <c r="D835" s="80">
        <f t="shared" si="49"/>
        <v>2012</v>
      </c>
      <c r="E835" t="s">
        <v>38</v>
      </c>
      <c r="F835" t="s">
        <v>143</v>
      </c>
      <c r="G835" t="s">
        <v>86</v>
      </c>
      <c r="H835" s="72" t="s">
        <v>223</v>
      </c>
      <c r="I835" s="72" t="s">
        <v>103</v>
      </c>
      <c r="J835" t="str">
        <f t="shared" si="48"/>
        <v>Stillaguamish R, No. Fork</v>
      </c>
      <c r="K835" t="str">
        <f>IFERROR(VLOOKUP(J835,LUTs!$A$1:$C$73,2,FALSE),"NA")</f>
        <v>Snohomish</v>
      </c>
      <c r="L835" t="str">
        <f>IFERROR(VLOOKUP(J835,LUTs!$A$1:$C$73,3,FALSE),"NA")</f>
        <v>2Central Puget Sound</v>
      </c>
      <c r="M835" s="72" t="s">
        <v>15</v>
      </c>
      <c r="N835" t="str">
        <f>VLOOKUP(M835,LUTs!E$2:H$14,3,)</f>
        <v>02Skagit</v>
      </c>
      <c r="O835" t="str">
        <f>VLOOKUP(M835,LUTs!E$2:H$14,4,)</f>
        <v>01North Puget Sound</v>
      </c>
      <c r="P835" s="80">
        <v>4.375</v>
      </c>
      <c r="Q835" s="102">
        <v>4.375</v>
      </c>
      <c r="R835" s="74">
        <f>VLOOKUP(B835,Readme!A$40:C$52,3,)*Q835</f>
        <v>37.362499999999997</v>
      </c>
    </row>
    <row r="836" spans="1:18" ht="12" customHeight="1" x14ac:dyDescent="0.35">
      <c r="A836" s="75">
        <v>1006</v>
      </c>
      <c r="B836" s="80">
        <v>2012</v>
      </c>
      <c r="C836" s="80">
        <v>9</v>
      </c>
      <c r="D836" s="80">
        <f t="shared" si="49"/>
        <v>2012</v>
      </c>
      <c r="E836" t="s">
        <v>38</v>
      </c>
      <c r="F836" t="s">
        <v>143</v>
      </c>
      <c r="G836" t="s">
        <v>86</v>
      </c>
      <c r="H836" s="72" t="s">
        <v>223</v>
      </c>
      <c r="I836" s="72" t="s">
        <v>103</v>
      </c>
      <c r="J836" t="str">
        <f t="shared" si="48"/>
        <v>Stillaguamish R, No. Fork</v>
      </c>
      <c r="K836" t="str">
        <f>IFERROR(VLOOKUP(J836,LUTs!$A$1:$C$73,2,FALSE),"NA")</f>
        <v>Snohomish</v>
      </c>
      <c r="L836" t="str">
        <f>IFERROR(VLOOKUP(J836,LUTs!$A$1:$C$73,3,FALSE),"NA")</f>
        <v>2Central Puget Sound</v>
      </c>
      <c r="M836" s="72" t="s">
        <v>16</v>
      </c>
      <c r="N836" t="str">
        <f>VLOOKUP(M836,LUTs!E$2:H$14,3,)</f>
        <v>03Snohomish</v>
      </c>
      <c r="O836" t="str">
        <f>VLOOKUP(M836,LUTs!E$2:H$14,4,)</f>
        <v>01North Puget Sound</v>
      </c>
      <c r="P836" s="80">
        <v>30.625</v>
      </c>
      <c r="Q836" s="102">
        <v>30.625</v>
      </c>
      <c r="R836" s="74">
        <f>VLOOKUP(B836,Readme!A$40:C$52,3,)*Q836</f>
        <v>261.53749999999997</v>
      </c>
    </row>
    <row r="837" spans="1:18" ht="12" customHeight="1" x14ac:dyDescent="0.35">
      <c r="A837" s="75">
        <v>1020</v>
      </c>
      <c r="B837" s="80">
        <v>2012</v>
      </c>
      <c r="C837" s="80">
        <v>9</v>
      </c>
      <c r="D837" s="80">
        <f t="shared" si="49"/>
        <v>2012</v>
      </c>
      <c r="E837" t="s">
        <v>38</v>
      </c>
      <c r="F837" t="s">
        <v>143</v>
      </c>
      <c r="G837" t="s">
        <v>86</v>
      </c>
      <c r="H837" s="72" t="s">
        <v>252</v>
      </c>
      <c r="I837" s="72" t="s">
        <v>104</v>
      </c>
      <c r="J837" t="str">
        <f t="shared" si="48"/>
        <v>Stillaguamish R, So. Fork</v>
      </c>
      <c r="K837" t="str">
        <f>IFERROR(VLOOKUP(J837,LUTs!$A$1:$C$73,2,FALSE),"NA")</f>
        <v>Snohomish</v>
      </c>
      <c r="L837" t="str">
        <f>IFERROR(VLOOKUP(J837,LUTs!$A$1:$C$73,3,FALSE),"NA")</f>
        <v>2Central Puget Sound</v>
      </c>
      <c r="M837" s="72" t="s">
        <v>16</v>
      </c>
      <c r="N837" t="str">
        <f>VLOOKUP(M837,LUTs!E$2:H$14,3,)</f>
        <v>03Snohomish</v>
      </c>
      <c r="O837" t="str">
        <f>VLOOKUP(M837,LUTs!E$2:H$14,4,)</f>
        <v>01North Puget Sound</v>
      </c>
      <c r="P837" s="80">
        <v>4</v>
      </c>
      <c r="Q837" s="102">
        <v>4</v>
      </c>
      <c r="R837" s="74">
        <f>VLOOKUP(B837,Readme!A$40:C$52,3,)*Q837</f>
        <v>34.159999999999997</v>
      </c>
    </row>
    <row r="838" spans="1:18" ht="12" customHeight="1" x14ac:dyDescent="0.35">
      <c r="A838" s="75">
        <v>1023</v>
      </c>
      <c r="B838" s="80">
        <v>2012</v>
      </c>
      <c r="C838" s="80">
        <v>9</v>
      </c>
      <c r="D838" s="80">
        <f t="shared" si="49"/>
        <v>2012</v>
      </c>
      <c r="E838" t="s">
        <v>38</v>
      </c>
      <c r="F838" t="s">
        <v>143</v>
      </c>
      <c r="G838" t="s">
        <v>86</v>
      </c>
      <c r="H838" s="72" t="s">
        <v>253</v>
      </c>
      <c r="I838" s="72" t="s">
        <v>65</v>
      </c>
      <c r="J838" t="str">
        <f t="shared" si="48"/>
        <v>Stillaguamish River</v>
      </c>
      <c r="K838" t="str">
        <f>IFERROR(VLOOKUP(J838,LUTs!$A$1:$C$73,2,FALSE),"NA")</f>
        <v>Snohomish</v>
      </c>
      <c r="L838" t="str">
        <f>IFERROR(VLOOKUP(J838,LUTs!$A$1:$C$73,3,FALSE),"NA")</f>
        <v>2Central Puget Sound</v>
      </c>
      <c r="M838" s="72" t="s">
        <v>26</v>
      </c>
      <c r="N838" t="str">
        <f>VLOOKUP(M838,LUTs!E$2:H$14,3,)</f>
        <v>20Other</v>
      </c>
      <c r="O838" t="str">
        <f>VLOOKUP(M838,LUTs!E$2:H$14,4,)</f>
        <v>07Non Puget Sound</v>
      </c>
      <c r="P838" s="80">
        <v>8.5</v>
      </c>
      <c r="Q838" s="102">
        <v>8.5</v>
      </c>
      <c r="R838" s="74">
        <f>VLOOKUP(B838,Readme!A$40:C$52,3,)*Q838</f>
        <v>72.589999999999989</v>
      </c>
    </row>
    <row r="839" spans="1:18" ht="12" customHeight="1" x14ac:dyDescent="0.35">
      <c r="A839" s="75">
        <v>1024</v>
      </c>
      <c r="B839" s="80">
        <v>2012</v>
      </c>
      <c r="C839" s="80">
        <v>9</v>
      </c>
      <c r="D839" s="80">
        <f t="shared" si="49"/>
        <v>2012</v>
      </c>
      <c r="E839" t="s">
        <v>38</v>
      </c>
      <c r="F839" t="s">
        <v>143</v>
      </c>
      <c r="G839" t="s">
        <v>86</v>
      </c>
      <c r="H839" s="72" t="s">
        <v>253</v>
      </c>
      <c r="I839" s="72" t="s">
        <v>65</v>
      </c>
      <c r="J839" t="str">
        <f t="shared" si="48"/>
        <v>Stillaguamish River</v>
      </c>
      <c r="K839" t="str">
        <f>IFERROR(VLOOKUP(J839,LUTs!$A$1:$C$73,2,FALSE),"NA")</f>
        <v>Snohomish</v>
      </c>
      <c r="L839" t="str">
        <f>IFERROR(VLOOKUP(J839,LUTs!$A$1:$C$73,3,FALSE),"NA")</f>
        <v>2Central Puget Sound</v>
      </c>
      <c r="M839" s="72" t="s">
        <v>16</v>
      </c>
      <c r="N839" t="str">
        <f>VLOOKUP(M839,LUTs!E$2:H$14,3,)</f>
        <v>03Snohomish</v>
      </c>
      <c r="O839" t="str">
        <f>VLOOKUP(M839,LUTs!E$2:H$14,4,)</f>
        <v>01North Puget Sound</v>
      </c>
      <c r="P839" s="80">
        <v>8.5</v>
      </c>
      <c r="Q839" s="102">
        <v>8.5</v>
      </c>
      <c r="R839" s="74">
        <f>VLOOKUP(B839,Readme!A$40:C$52,3,)*Q839</f>
        <v>72.589999999999989</v>
      </c>
    </row>
    <row r="840" spans="1:18" ht="12" customHeight="1" x14ac:dyDescent="0.35">
      <c r="A840" s="75">
        <v>975</v>
      </c>
      <c r="B840" s="80">
        <v>2012</v>
      </c>
      <c r="C840" s="80">
        <v>9</v>
      </c>
      <c r="D840" s="80">
        <f t="shared" si="49"/>
        <v>2012</v>
      </c>
      <c r="E840" t="s">
        <v>38</v>
      </c>
      <c r="F840" t="s">
        <v>143</v>
      </c>
      <c r="G840" t="s">
        <v>86</v>
      </c>
      <c r="H840" s="72" t="s">
        <v>233</v>
      </c>
      <c r="I840" s="72" t="s">
        <v>76</v>
      </c>
      <c r="J840" t="str">
        <f t="shared" si="48"/>
        <v>Wallace River</v>
      </c>
      <c r="K840" t="str">
        <f>IFERROR(VLOOKUP(J840,LUTs!$A$1:$C$73,2,FALSE),"NA")</f>
        <v>Snohomish</v>
      </c>
      <c r="L840" t="str">
        <f>IFERROR(VLOOKUP(J840,LUTs!$A$1:$C$73,3,FALSE),"NA")</f>
        <v>2Central Puget Sound</v>
      </c>
      <c r="M840" s="72" t="s">
        <v>16</v>
      </c>
      <c r="N840" t="str">
        <f>VLOOKUP(M840,LUTs!E$2:H$14,3,)</f>
        <v>03Snohomish</v>
      </c>
      <c r="O840" t="str">
        <f>VLOOKUP(M840,LUTs!E$2:H$14,4,)</f>
        <v>01North Puget Sound</v>
      </c>
      <c r="P840" s="80">
        <v>6</v>
      </c>
      <c r="Q840" s="102">
        <v>6</v>
      </c>
      <c r="R840" s="74">
        <f>VLOOKUP(B840,Readme!A$40:C$52,3,)*Q840</f>
        <v>51.239999999999995</v>
      </c>
    </row>
    <row r="841" spans="1:18" ht="12" customHeight="1" x14ac:dyDescent="0.35">
      <c r="A841" s="75">
        <v>1040</v>
      </c>
      <c r="B841" s="80">
        <v>2012</v>
      </c>
      <c r="C841" s="80">
        <v>10</v>
      </c>
      <c r="D841" s="80">
        <f t="shared" si="49"/>
        <v>2012</v>
      </c>
      <c r="E841" t="s">
        <v>38</v>
      </c>
      <c r="F841" t="s">
        <v>143</v>
      </c>
      <c r="G841" t="s">
        <v>86</v>
      </c>
      <c r="H841" s="72" t="s">
        <v>254</v>
      </c>
      <c r="I841" s="72" t="s">
        <v>33</v>
      </c>
      <c r="J841" t="str">
        <f t="shared" si="48"/>
        <v>Area 9: Admiralty Inlet</v>
      </c>
      <c r="K841" t="str">
        <f>IFERROR(VLOOKUP(J841,LUTs!$A$1:$C$73,2,FALSE),"NA")</f>
        <v>NA</v>
      </c>
      <c r="L841" t="str">
        <f>IFERROR(VLOOKUP(J841,LUTs!$A$1:$C$73,3,FALSE),"NA")</f>
        <v>2Central Puget Sound</v>
      </c>
      <c r="M841" s="72" t="s">
        <v>23</v>
      </c>
      <c r="N841" t="str">
        <f>VLOOKUP(M841,LUTs!E$2:H$14,3,)</f>
        <v>10Kitsap</v>
      </c>
      <c r="O841" t="str">
        <f>VLOOKUP(M841,LUTs!E$2:H$14,4,)</f>
        <v>02South Puget Sound</v>
      </c>
      <c r="P841" s="80">
        <v>5</v>
      </c>
      <c r="Q841" s="102">
        <v>5</v>
      </c>
      <c r="R841" s="74">
        <f>VLOOKUP(B841,Readme!A$40:C$52,3,)*Q841</f>
        <v>42.699999999999996</v>
      </c>
    </row>
    <row r="842" spans="1:18" ht="12" customHeight="1" x14ac:dyDescent="0.35">
      <c r="A842" s="75">
        <v>808</v>
      </c>
      <c r="B842" s="80">
        <v>2012</v>
      </c>
      <c r="C842" s="80">
        <v>10</v>
      </c>
      <c r="D842" s="80">
        <f t="shared" si="49"/>
        <v>2012</v>
      </c>
      <c r="E842" t="s">
        <v>38</v>
      </c>
      <c r="F842" t="s">
        <v>143</v>
      </c>
      <c r="G842" t="s">
        <v>86</v>
      </c>
      <c r="H842" s="72" t="s">
        <v>217</v>
      </c>
      <c r="I842" s="72" t="s">
        <v>59</v>
      </c>
      <c r="J842" t="str">
        <f t="shared" si="48"/>
        <v>Cascade River</v>
      </c>
      <c r="K842" t="str">
        <f>IFERROR(VLOOKUP(J842,LUTs!$A$1:$C$73,2,FALSE),"NA")</f>
        <v>Skagit</v>
      </c>
      <c r="L842" t="str">
        <f>IFERROR(VLOOKUP(J842,LUTs!$A$1:$C$73,3,FALSE),"NA")</f>
        <v>1North Puget Sound</v>
      </c>
      <c r="M842" s="72" t="s">
        <v>18</v>
      </c>
      <c r="N842" t="str">
        <f>VLOOKUP(M842,LUTs!E$2:H$14,3,)</f>
        <v>06King</v>
      </c>
      <c r="O842" t="str">
        <f>VLOOKUP(M842,LUTs!E$2:H$14,4,)</f>
        <v>02South Puget Sound</v>
      </c>
      <c r="P842" s="80">
        <v>1.1666666666666701</v>
      </c>
      <c r="Q842" s="102">
        <v>1.1666666666666701</v>
      </c>
      <c r="R842" s="74">
        <f>VLOOKUP(B842,Readme!A$40:C$52,3,)*Q842</f>
        <v>9.9633333333333614</v>
      </c>
    </row>
    <row r="843" spans="1:18" ht="12" customHeight="1" x14ac:dyDescent="0.35">
      <c r="A843" s="75">
        <v>809</v>
      </c>
      <c r="B843" s="80">
        <v>2012</v>
      </c>
      <c r="C843" s="80">
        <v>10</v>
      </c>
      <c r="D843" s="80">
        <f t="shared" si="49"/>
        <v>2012</v>
      </c>
      <c r="E843" t="s">
        <v>38</v>
      </c>
      <c r="F843" t="s">
        <v>143</v>
      </c>
      <c r="G843" t="s">
        <v>86</v>
      </c>
      <c r="H843" s="72" t="s">
        <v>217</v>
      </c>
      <c r="I843" s="72" t="s">
        <v>59</v>
      </c>
      <c r="J843" t="str">
        <f t="shared" si="48"/>
        <v>Cascade River</v>
      </c>
      <c r="K843" t="str">
        <f>IFERROR(VLOOKUP(J843,LUTs!$A$1:$C$73,2,FALSE),"NA")</f>
        <v>Skagit</v>
      </c>
      <c r="L843" t="str">
        <f>IFERROR(VLOOKUP(J843,LUTs!$A$1:$C$73,3,FALSE),"NA")</f>
        <v>1North Puget Sound</v>
      </c>
      <c r="M843" s="72" t="s">
        <v>15</v>
      </c>
      <c r="N843" t="str">
        <f>VLOOKUP(M843,LUTs!E$2:H$14,3,)</f>
        <v>02Skagit</v>
      </c>
      <c r="O843" t="str">
        <f>VLOOKUP(M843,LUTs!E$2:H$14,4,)</f>
        <v>01North Puget Sound</v>
      </c>
      <c r="P843" s="80">
        <v>2.3333333333333299</v>
      </c>
      <c r="Q843" s="102">
        <v>2.3333333333333299</v>
      </c>
      <c r="R843" s="74">
        <f>VLOOKUP(B843,Readme!A$40:C$52,3,)*Q843</f>
        <v>19.926666666666634</v>
      </c>
    </row>
    <row r="844" spans="1:18" ht="12" customHeight="1" x14ac:dyDescent="0.35">
      <c r="A844" s="75">
        <v>810</v>
      </c>
      <c r="B844" s="80">
        <v>2012</v>
      </c>
      <c r="C844" s="80">
        <v>10</v>
      </c>
      <c r="D844" s="80">
        <f t="shared" si="49"/>
        <v>2012</v>
      </c>
      <c r="E844" t="s">
        <v>38</v>
      </c>
      <c r="F844" t="s">
        <v>143</v>
      </c>
      <c r="G844" t="s">
        <v>86</v>
      </c>
      <c r="H844" s="72" t="s">
        <v>217</v>
      </c>
      <c r="I844" s="72" t="s">
        <v>59</v>
      </c>
      <c r="J844" t="str">
        <f t="shared" si="48"/>
        <v>Cascade River</v>
      </c>
      <c r="K844" t="str">
        <f>IFERROR(VLOOKUP(J844,LUTs!$A$1:$C$73,2,FALSE),"NA")</f>
        <v>Skagit</v>
      </c>
      <c r="L844" t="str">
        <f>IFERROR(VLOOKUP(J844,LUTs!$A$1:$C$73,3,FALSE),"NA")</f>
        <v>1North Puget Sound</v>
      </c>
      <c r="M844" s="72" t="s">
        <v>16</v>
      </c>
      <c r="N844" t="str">
        <f>VLOOKUP(M844,LUTs!E$2:H$14,3,)</f>
        <v>03Snohomish</v>
      </c>
      <c r="O844" t="str">
        <f>VLOOKUP(M844,LUTs!E$2:H$14,4,)</f>
        <v>01North Puget Sound</v>
      </c>
      <c r="P844" s="80">
        <v>9.3333333333333304</v>
      </c>
      <c r="Q844" s="102">
        <v>9.3333333333333304</v>
      </c>
      <c r="R844" s="74">
        <f>VLOOKUP(B844,Readme!A$40:C$52,3,)*Q844</f>
        <v>79.706666666666635</v>
      </c>
    </row>
    <row r="845" spans="1:18" ht="12" customHeight="1" x14ac:dyDescent="0.35">
      <c r="A845" s="75">
        <v>811</v>
      </c>
      <c r="B845" s="80">
        <v>2012</v>
      </c>
      <c r="C845" s="80">
        <v>10</v>
      </c>
      <c r="D845" s="80">
        <f t="shared" si="49"/>
        <v>2012</v>
      </c>
      <c r="E845" t="s">
        <v>38</v>
      </c>
      <c r="F845" t="s">
        <v>143</v>
      </c>
      <c r="G845" t="s">
        <v>86</v>
      </c>
      <c r="H845" s="72" t="s">
        <v>217</v>
      </c>
      <c r="I845" s="72" t="s">
        <v>59</v>
      </c>
      <c r="J845" t="str">
        <f t="shared" si="48"/>
        <v>Cascade River</v>
      </c>
      <c r="K845" t="str">
        <f>IFERROR(VLOOKUP(J845,LUTs!$A$1:$C$73,2,FALSE),"NA")</f>
        <v>Skagit</v>
      </c>
      <c r="L845" t="str">
        <f>IFERROR(VLOOKUP(J845,LUTs!$A$1:$C$73,3,FALSE),"NA")</f>
        <v>1North Puget Sound</v>
      </c>
      <c r="M845" s="72" t="s">
        <v>13</v>
      </c>
      <c r="N845" t="str">
        <f>VLOOKUP(M845,LUTs!E$2:H$14,3,)</f>
        <v>01Whatcom</v>
      </c>
      <c r="O845" t="str">
        <f>VLOOKUP(M845,LUTs!E$2:H$14,4,)</f>
        <v>01North Puget Sound</v>
      </c>
      <c r="P845" s="80">
        <v>1.1666666666666701</v>
      </c>
      <c r="Q845" s="102">
        <v>1.1666666666666701</v>
      </c>
      <c r="R845" s="74">
        <f>VLOOKUP(B845,Readme!A$40:C$52,3,)*Q845</f>
        <v>9.9633333333333614</v>
      </c>
    </row>
    <row r="846" spans="1:18" ht="12" customHeight="1" x14ac:dyDescent="0.35">
      <c r="A846" s="75">
        <v>739</v>
      </c>
      <c r="B846" s="80">
        <v>2012</v>
      </c>
      <c r="C846" s="80">
        <v>10</v>
      </c>
      <c r="D846" s="80">
        <f t="shared" si="49"/>
        <v>2012</v>
      </c>
      <c r="E846" t="s">
        <v>38</v>
      </c>
      <c r="F846" t="s">
        <v>143</v>
      </c>
      <c r="G846" t="s">
        <v>86</v>
      </c>
      <c r="H846" s="72" t="s">
        <v>201</v>
      </c>
      <c r="I846" s="72" t="s">
        <v>43</v>
      </c>
      <c r="J846" t="str">
        <f t="shared" si="48"/>
        <v>Dungeness River</v>
      </c>
      <c r="K846" t="str">
        <f>IFERROR(VLOOKUP(J846,LUTs!$A$1:$C$73,2,FALSE),"NA")</f>
        <v>Clallam</v>
      </c>
      <c r="L846" t="str">
        <f>IFERROR(VLOOKUP(J846,LUTs!$A$1:$C$73,3,FALSE),"NA")</f>
        <v>0Strait of Juan de Fuca</v>
      </c>
      <c r="M846" s="72" t="s">
        <v>24</v>
      </c>
      <c r="N846" t="str">
        <f>VLOOKUP(M846,LUTs!E$2:H$14,3,)</f>
        <v>11Clallam</v>
      </c>
      <c r="O846" t="str">
        <f>VLOOKUP(M846,LUTs!E$2:H$14,4,)</f>
        <v>03Strait of Juan de Fuca</v>
      </c>
      <c r="P846" s="80">
        <v>0</v>
      </c>
      <c r="Q846" s="102">
        <v>0</v>
      </c>
      <c r="R846" s="74">
        <f>VLOOKUP(B846,Readme!A$40:C$52,3,)*Q846</f>
        <v>0</v>
      </c>
    </row>
    <row r="847" spans="1:18" ht="12" customHeight="1" x14ac:dyDescent="0.35">
      <c r="A847" s="75">
        <v>757</v>
      </c>
      <c r="B847" s="80">
        <v>2012</v>
      </c>
      <c r="C847" s="80">
        <v>10</v>
      </c>
      <c r="D847" s="80">
        <f t="shared" si="49"/>
        <v>2012</v>
      </c>
      <c r="E847" t="s">
        <v>38</v>
      </c>
      <c r="F847" t="s">
        <v>143</v>
      </c>
      <c r="G847" t="s">
        <v>86</v>
      </c>
      <c r="H847" s="72" t="s">
        <v>203</v>
      </c>
      <c r="I847" s="72" t="s">
        <v>89</v>
      </c>
      <c r="J847" s="84" t="s">
        <v>45</v>
      </c>
      <c r="K847" t="str">
        <f>IFERROR(VLOOKUP(J847,LUTs!$A$1:$C$73,2,FALSE),"NA")</f>
        <v>King</v>
      </c>
      <c r="L847" t="str">
        <f>IFERROR(VLOOKUP(J847,LUTs!$A$1:$C$73,3,FALSE),"NA")</f>
        <v>3South Puget Sound</v>
      </c>
      <c r="M847" s="72" t="s">
        <v>18</v>
      </c>
      <c r="N847" t="str">
        <f>VLOOKUP(M847,LUTs!E$2:H$14,3,)</f>
        <v>06King</v>
      </c>
      <c r="O847" t="str">
        <f>VLOOKUP(M847,LUTs!E$2:H$14,4,)</f>
        <v>02South Puget Sound</v>
      </c>
      <c r="P847" s="80">
        <v>52</v>
      </c>
      <c r="Q847" s="102">
        <v>52</v>
      </c>
      <c r="R847" s="74">
        <f>VLOOKUP(B847,Readme!A$40:C$52,3,)*Q847</f>
        <v>444.07999999999993</v>
      </c>
    </row>
    <row r="848" spans="1:18" ht="12" customHeight="1" x14ac:dyDescent="0.35">
      <c r="A848" s="75">
        <v>758</v>
      </c>
      <c r="B848" s="80">
        <v>2012</v>
      </c>
      <c r="C848" s="80">
        <v>10</v>
      </c>
      <c r="D848" s="80">
        <f t="shared" si="49"/>
        <v>2012</v>
      </c>
      <c r="E848" t="s">
        <v>38</v>
      </c>
      <c r="F848" t="s">
        <v>143</v>
      </c>
      <c r="G848" t="s">
        <v>86</v>
      </c>
      <c r="H848" s="72" t="s">
        <v>203</v>
      </c>
      <c r="I848" s="72" t="s">
        <v>89</v>
      </c>
      <c r="J848" s="84" t="s">
        <v>45</v>
      </c>
      <c r="K848" t="str">
        <f>IFERROR(VLOOKUP(J848,LUTs!$A$1:$C$73,2,FALSE),"NA")</f>
        <v>King</v>
      </c>
      <c r="L848" t="str">
        <f>IFERROR(VLOOKUP(J848,LUTs!$A$1:$C$73,3,FALSE),"NA")</f>
        <v>3South Puget Sound</v>
      </c>
      <c r="M848" s="72" t="s">
        <v>21</v>
      </c>
      <c r="N848" t="str">
        <f>VLOOKUP(M848,LUTs!E$2:H$14,3,)</f>
        <v>08Thurston</v>
      </c>
      <c r="O848" t="str">
        <f>VLOOKUP(M848,LUTs!E$2:H$14,4,)</f>
        <v>02South Puget Sound</v>
      </c>
      <c r="P848" s="80">
        <v>4</v>
      </c>
      <c r="Q848" s="102">
        <v>4</v>
      </c>
      <c r="R848" s="74">
        <f>VLOOKUP(B848,Readme!A$40:C$52,3,)*Q848</f>
        <v>34.159999999999997</v>
      </c>
    </row>
    <row r="849" spans="1:18" ht="12" customHeight="1" x14ac:dyDescent="0.35">
      <c r="A849" s="75">
        <v>856</v>
      </c>
      <c r="B849" s="80">
        <v>2012</v>
      </c>
      <c r="C849" s="80">
        <v>10</v>
      </c>
      <c r="D849" s="80">
        <f t="shared" si="49"/>
        <v>2012</v>
      </c>
      <c r="E849" t="s">
        <v>38</v>
      </c>
      <c r="F849" t="s">
        <v>143</v>
      </c>
      <c r="G849" t="s">
        <v>86</v>
      </c>
      <c r="H849" s="72" t="s">
        <v>246</v>
      </c>
      <c r="I849" s="72" t="s">
        <v>97</v>
      </c>
      <c r="J849" t="str">
        <f t="shared" ref="J849:J878" si="50">I849</f>
        <v>Raging River</v>
      </c>
      <c r="K849" t="str">
        <f>IFERROR(VLOOKUP(J849,LUTs!$A$1:$C$73,2,FALSE),"NA")</f>
        <v>King</v>
      </c>
      <c r="L849" t="str">
        <f>IFERROR(VLOOKUP(J849,LUTs!$A$1:$C$73,3,FALSE),"NA")</f>
        <v>2Central Puget Sound</v>
      </c>
      <c r="M849" s="72" t="s">
        <v>18</v>
      </c>
      <c r="N849" t="str">
        <f>VLOOKUP(M849,LUTs!E$2:H$14,3,)</f>
        <v>06King</v>
      </c>
      <c r="O849" t="str">
        <f>VLOOKUP(M849,LUTs!E$2:H$14,4,)</f>
        <v>02South Puget Sound</v>
      </c>
      <c r="P849" s="80">
        <v>6</v>
      </c>
      <c r="Q849" s="102">
        <v>6</v>
      </c>
      <c r="R849" s="74">
        <f>VLOOKUP(B849,Readme!A$40:C$52,3,)*Q849</f>
        <v>51.239999999999995</v>
      </c>
    </row>
    <row r="850" spans="1:18" ht="12" customHeight="1" x14ac:dyDescent="0.35">
      <c r="A850" s="75">
        <v>857</v>
      </c>
      <c r="B850" s="80">
        <v>2012</v>
      </c>
      <c r="C850" s="80">
        <v>10</v>
      </c>
      <c r="D850" s="80">
        <f t="shared" si="49"/>
        <v>2012</v>
      </c>
      <c r="E850" t="s">
        <v>38</v>
      </c>
      <c r="F850" t="s">
        <v>143</v>
      </c>
      <c r="G850" t="s">
        <v>86</v>
      </c>
      <c r="H850" s="72" t="s">
        <v>246</v>
      </c>
      <c r="I850" s="72" t="s">
        <v>97</v>
      </c>
      <c r="J850" t="str">
        <f t="shared" si="50"/>
        <v>Raging River</v>
      </c>
      <c r="K850" t="str">
        <f>IFERROR(VLOOKUP(J850,LUTs!$A$1:$C$73,2,FALSE),"NA")</f>
        <v>King</v>
      </c>
      <c r="L850" t="str">
        <f>IFERROR(VLOOKUP(J850,LUTs!$A$1:$C$73,3,FALSE),"NA")</f>
        <v>2Central Puget Sound</v>
      </c>
      <c r="M850" s="72" t="s">
        <v>26</v>
      </c>
      <c r="N850" t="str">
        <f>VLOOKUP(M850,LUTs!E$2:H$14,3,)</f>
        <v>20Other</v>
      </c>
      <c r="O850" t="str">
        <f>VLOOKUP(M850,LUTs!E$2:H$14,4,)</f>
        <v>07Non Puget Sound</v>
      </c>
      <c r="P850" s="80">
        <v>6</v>
      </c>
      <c r="Q850" s="102">
        <v>6</v>
      </c>
      <c r="R850" s="74">
        <f>VLOOKUP(B850,Readme!A$40:C$52,3,)*Q850</f>
        <v>51.239999999999995</v>
      </c>
    </row>
    <row r="851" spans="1:18" ht="12" customHeight="1" x14ac:dyDescent="0.35">
      <c r="A851" s="75">
        <v>839</v>
      </c>
      <c r="B851" s="80">
        <v>2012</v>
      </c>
      <c r="C851" s="80">
        <v>10</v>
      </c>
      <c r="D851" s="80">
        <f t="shared" si="49"/>
        <v>2012</v>
      </c>
      <c r="E851" t="s">
        <v>38</v>
      </c>
      <c r="F851" t="s">
        <v>143</v>
      </c>
      <c r="G851" t="s">
        <v>86</v>
      </c>
      <c r="H851" s="72" t="s">
        <v>218</v>
      </c>
      <c r="I851" s="72" t="s">
        <v>60</v>
      </c>
      <c r="J851" t="str">
        <f t="shared" si="50"/>
        <v>Skagit River</v>
      </c>
      <c r="K851" t="str">
        <f>IFERROR(VLOOKUP(J851,LUTs!$A$1:$C$73,2,FALSE),"NA")</f>
        <v>Skagit/Whatcom</v>
      </c>
      <c r="L851" t="str">
        <f>IFERROR(VLOOKUP(J851,LUTs!$A$1:$C$73,3,FALSE),"NA")</f>
        <v>2Central Puget Sound</v>
      </c>
      <c r="M851" s="72" t="s">
        <v>15</v>
      </c>
      <c r="N851" t="str">
        <f>VLOOKUP(M851,LUTs!E$2:H$14,3,)</f>
        <v>02Skagit</v>
      </c>
      <c r="O851" t="str">
        <f>VLOOKUP(M851,LUTs!E$2:H$14,4,)</f>
        <v>01North Puget Sound</v>
      </c>
      <c r="P851" s="80">
        <v>1</v>
      </c>
      <c r="Q851" s="102">
        <v>1</v>
      </c>
      <c r="R851" s="74">
        <f>VLOOKUP(B851,Readme!A$40:C$52,3,)*Q851</f>
        <v>8.5399999999999991</v>
      </c>
    </row>
    <row r="852" spans="1:18" ht="12" customHeight="1" x14ac:dyDescent="0.35">
      <c r="A852" s="75">
        <v>880</v>
      </c>
      <c r="B852" s="80">
        <v>2012</v>
      </c>
      <c r="C852" s="80">
        <v>10</v>
      </c>
      <c r="D852" s="80">
        <f t="shared" si="49"/>
        <v>2012</v>
      </c>
      <c r="E852" t="s">
        <v>38</v>
      </c>
      <c r="F852" t="s">
        <v>143</v>
      </c>
      <c r="G852" t="s">
        <v>86</v>
      </c>
      <c r="H852" s="72" t="s">
        <v>220</v>
      </c>
      <c r="I852" s="72" t="s">
        <v>62</v>
      </c>
      <c r="J852" t="str">
        <f t="shared" si="50"/>
        <v>Skykomish River</v>
      </c>
      <c r="K852" t="str">
        <f>IFERROR(VLOOKUP(J852,LUTs!$A$1:$C$73,2,FALSE),"NA")</f>
        <v>Snohomish</v>
      </c>
      <c r="L852" t="str">
        <f>IFERROR(VLOOKUP(J852,LUTs!$A$1:$C$73,3,FALSE),"NA")</f>
        <v>2Central Puget Sound</v>
      </c>
      <c r="M852" s="72" t="s">
        <v>18</v>
      </c>
      <c r="N852" t="str">
        <f>VLOOKUP(M852,LUTs!E$2:H$14,3,)</f>
        <v>06King</v>
      </c>
      <c r="O852" t="str">
        <f>VLOOKUP(M852,LUTs!E$2:H$14,4,)</f>
        <v>02South Puget Sound</v>
      </c>
      <c r="P852" s="80">
        <v>112.965517241379</v>
      </c>
      <c r="Q852" s="102">
        <v>112.965517241379</v>
      </c>
      <c r="R852" s="74">
        <f>VLOOKUP(B852,Readme!A$40:C$52,3,)*Q852</f>
        <v>964.72551724137656</v>
      </c>
    </row>
    <row r="853" spans="1:18" ht="12" customHeight="1" x14ac:dyDescent="0.35">
      <c r="A853" s="75">
        <v>881</v>
      </c>
      <c r="B853" s="80">
        <v>2012</v>
      </c>
      <c r="C853" s="80">
        <v>10</v>
      </c>
      <c r="D853" s="80">
        <f t="shared" si="49"/>
        <v>2012</v>
      </c>
      <c r="E853" t="s">
        <v>38</v>
      </c>
      <c r="F853" t="s">
        <v>143</v>
      </c>
      <c r="G853" t="s">
        <v>86</v>
      </c>
      <c r="H853" s="72" t="s">
        <v>220</v>
      </c>
      <c r="I853" s="72" t="s">
        <v>62</v>
      </c>
      <c r="J853" t="str">
        <f t="shared" si="50"/>
        <v>Skykomish River</v>
      </c>
      <c r="K853" t="str">
        <f>IFERROR(VLOOKUP(J853,LUTs!$A$1:$C$73,2,FALSE),"NA")</f>
        <v>Snohomish</v>
      </c>
      <c r="L853" t="str">
        <f>IFERROR(VLOOKUP(J853,LUTs!$A$1:$C$73,3,FALSE),"NA")</f>
        <v>2Central Puget Sound</v>
      </c>
      <c r="M853" s="72" t="s">
        <v>20</v>
      </c>
      <c r="N853" t="str">
        <f>VLOOKUP(M853,LUTs!E$2:H$14,3,)</f>
        <v>07Pierce</v>
      </c>
      <c r="O853" t="str">
        <f>VLOOKUP(M853,LUTs!E$2:H$14,4,)</f>
        <v>02South Puget Sound</v>
      </c>
      <c r="P853" s="80">
        <v>2.8965517241379302</v>
      </c>
      <c r="Q853" s="102">
        <v>2.8965517241379302</v>
      </c>
      <c r="R853" s="74">
        <f>VLOOKUP(B853,Readme!A$40:C$52,3,)*Q853</f>
        <v>24.736551724137922</v>
      </c>
    </row>
    <row r="854" spans="1:18" ht="12" customHeight="1" x14ac:dyDescent="0.35">
      <c r="A854" s="75">
        <v>882</v>
      </c>
      <c r="B854" s="80">
        <v>2012</v>
      </c>
      <c r="C854" s="80">
        <v>10</v>
      </c>
      <c r="D854" s="80">
        <f t="shared" si="49"/>
        <v>2012</v>
      </c>
      <c r="E854" t="s">
        <v>38</v>
      </c>
      <c r="F854" t="s">
        <v>143</v>
      </c>
      <c r="G854" t="s">
        <v>86</v>
      </c>
      <c r="H854" s="72" t="s">
        <v>220</v>
      </c>
      <c r="I854" s="72" t="s">
        <v>62</v>
      </c>
      <c r="J854" t="str">
        <f t="shared" si="50"/>
        <v>Skykomish River</v>
      </c>
      <c r="K854" t="str">
        <f>IFERROR(VLOOKUP(J854,LUTs!$A$1:$C$73,2,FALSE),"NA")</f>
        <v>Snohomish</v>
      </c>
      <c r="L854" t="str">
        <f>IFERROR(VLOOKUP(J854,LUTs!$A$1:$C$73,3,FALSE),"NA")</f>
        <v>2Central Puget Sound</v>
      </c>
      <c r="M854" s="72" t="s">
        <v>16</v>
      </c>
      <c r="N854" t="str">
        <f>VLOOKUP(M854,LUTs!E$2:H$14,3,)</f>
        <v>03Snohomish</v>
      </c>
      <c r="O854" t="str">
        <f>VLOOKUP(M854,LUTs!E$2:H$14,4,)</f>
        <v>01North Puget Sound</v>
      </c>
      <c r="P854" s="80">
        <v>136.13793103448299</v>
      </c>
      <c r="Q854" s="102">
        <v>136.13793103448299</v>
      </c>
      <c r="R854" s="74">
        <f>VLOOKUP(B854,Readme!A$40:C$52,3,)*Q854</f>
        <v>1162.6179310344846</v>
      </c>
    </row>
    <row r="855" spans="1:18" ht="12" customHeight="1" x14ac:dyDescent="0.35">
      <c r="A855" s="75">
        <v>910</v>
      </c>
      <c r="B855" s="80">
        <v>2012</v>
      </c>
      <c r="C855" s="80">
        <v>10</v>
      </c>
      <c r="D855" s="80">
        <f t="shared" si="49"/>
        <v>2012</v>
      </c>
      <c r="E855" t="s">
        <v>38</v>
      </c>
      <c r="F855" t="s">
        <v>143</v>
      </c>
      <c r="G855" t="s">
        <v>86</v>
      </c>
      <c r="H855" s="72" t="s">
        <v>247</v>
      </c>
      <c r="I855" s="72" t="s">
        <v>98</v>
      </c>
      <c r="J855" t="str">
        <f t="shared" si="50"/>
        <v>Skykomish River, No. Fork</v>
      </c>
      <c r="K855" t="str">
        <f>IFERROR(VLOOKUP(J855,LUTs!$A$1:$C$73,2,FALSE),"NA")</f>
        <v>Snohomish</v>
      </c>
      <c r="L855" t="str">
        <f>IFERROR(VLOOKUP(J855,LUTs!$A$1:$C$73,3,FALSE),"NA")</f>
        <v>2Central Puget Sound</v>
      </c>
      <c r="M855" s="72" t="s">
        <v>18</v>
      </c>
      <c r="N855" t="str">
        <f>VLOOKUP(M855,LUTs!E$2:H$14,3,)</f>
        <v>06King</v>
      </c>
      <c r="O855" t="str">
        <f>VLOOKUP(M855,LUTs!E$2:H$14,4,)</f>
        <v>02South Puget Sound</v>
      </c>
      <c r="P855" s="80">
        <v>3</v>
      </c>
      <c r="Q855" s="102">
        <v>3</v>
      </c>
      <c r="R855" s="74">
        <f>VLOOKUP(B855,Readme!A$40:C$52,3,)*Q855</f>
        <v>25.619999999999997</v>
      </c>
    </row>
    <row r="856" spans="1:18" ht="12" customHeight="1" x14ac:dyDescent="0.35">
      <c r="A856" s="75">
        <v>919</v>
      </c>
      <c r="B856" s="80">
        <v>2012</v>
      </c>
      <c r="C856" s="80">
        <v>10</v>
      </c>
      <c r="D856" s="80">
        <f t="shared" si="49"/>
        <v>2012</v>
      </c>
      <c r="E856" t="s">
        <v>38</v>
      </c>
      <c r="F856" t="s">
        <v>143</v>
      </c>
      <c r="G856" t="s">
        <v>86</v>
      </c>
      <c r="H856" s="72" t="s">
        <v>248</v>
      </c>
      <c r="I856" s="72" t="s">
        <v>99</v>
      </c>
      <c r="J856" t="str">
        <f t="shared" si="50"/>
        <v>Skykomish River, So. Fork</v>
      </c>
      <c r="K856" t="str">
        <f>IFERROR(VLOOKUP(J856,LUTs!$A$1:$C$73,2,FALSE),"NA")</f>
        <v>Snohomish/King</v>
      </c>
      <c r="L856" t="str">
        <f>IFERROR(VLOOKUP(J856,LUTs!$A$1:$C$73,3,FALSE),"NA")</f>
        <v>2Central Puget Sound</v>
      </c>
      <c r="M856" s="72" t="s">
        <v>16</v>
      </c>
      <c r="N856" t="str">
        <f>VLOOKUP(M856,LUTs!E$2:H$14,3,)</f>
        <v>03Snohomish</v>
      </c>
      <c r="O856" t="str">
        <f>VLOOKUP(M856,LUTs!E$2:H$14,4,)</f>
        <v>01North Puget Sound</v>
      </c>
      <c r="P856" s="80">
        <v>6</v>
      </c>
      <c r="Q856" s="102">
        <v>6</v>
      </c>
      <c r="R856" s="74">
        <f>VLOOKUP(B856,Readme!A$40:C$52,3,)*Q856</f>
        <v>51.239999999999995</v>
      </c>
    </row>
    <row r="857" spans="1:18" ht="12" customHeight="1" x14ac:dyDescent="0.35">
      <c r="A857" s="75">
        <v>931</v>
      </c>
      <c r="B857" s="80">
        <v>2012</v>
      </c>
      <c r="C857" s="80">
        <v>10</v>
      </c>
      <c r="D857" s="80">
        <f t="shared" si="49"/>
        <v>2012</v>
      </c>
      <c r="E857" t="s">
        <v>38</v>
      </c>
      <c r="F857" t="s">
        <v>143</v>
      </c>
      <c r="G857" t="s">
        <v>86</v>
      </c>
      <c r="H857" s="72" t="s">
        <v>221</v>
      </c>
      <c r="I857" s="72" t="s">
        <v>63</v>
      </c>
      <c r="J857" t="str">
        <f t="shared" si="50"/>
        <v>Snohomish River</v>
      </c>
      <c r="K857" t="str">
        <f>IFERROR(VLOOKUP(J857,LUTs!$A$1:$C$73,2,FALSE),"NA")</f>
        <v>Snohomish</v>
      </c>
      <c r="L857" t="str">
        <f>IFERROR(VLOOKUP(J857,LUTs!$A$1:$C$73,3,FALSE),"NA")</f>
        <v>2Central Puget Sound</v>
      </c>
      <c r="M857" s="72" t="s">
        <v>18</v>
      </c>
      <c r="N857" t="str">
        <f>VLOOKUP(M857,LUTs!E$2:H$14,3,)</f>
        <v>06King</v>
      </c>
      <c r="O857" t="str">
        <f>VLOOKUP(M857,LUTs!E$2:H$14,4,)</f>
        <v>02South Puget Sound</v>
      </c>
      <c r="P857" s="80">
        <v>5.7777777777777803</v>
      </c>
      <c r="Q857" s="102">
        <v>5.7777777777777803</v>
      </c>
      <c r="R857" s="74">
        <f>VLOOKUP(B857,Readme!A$40:C$52,3,)*Q857</f>
        <v>49.34222222222224</v>
      </c>
    </row>
    <row r="858" spans="1:18" ht="12" customHeight="1" x14ac:dyDescent="0.35">
      <c r="A858" s="75">
        <v>932</v>
      </c>
      <c r="B858" s="80">
        <v>2012</v>
      </c>
      <c r="C858" s="80">
        <v>10</v>
      </c>
      <c r="D858" s="80">
        <f t="shared" si="49"/>
        <v>2012</v>
      </c>
      <c r="E858" t="s">
        <v>38</v>
      </c>
      <c r="F858" t="s">
        <v>143</v>
      </c>
      <c r="G858" t="s">
        <v>86</v>
      </c>
      <c r="H858" s="72" t="s">
        <v>221</v>
      </c>
      <c r="I858" s="72" t="s">
        <v>63</v>
      </c>
      <c r="J858" t="str">
        <f t="shared" si="50"/>
        <v>Snohomish River</v>
      </c>
      <c r="K858" t="str">
        <f>IFERROR(VLOOKUP(J858,LUTs!$A$1:$C$73,2,FALSE),"NA")</f>
        <v>Snohomish</v>
      </c>
      <c r="L858" t="str">
        <f>IFERROR(VLOOKUP(J858,LUTs!$A$1:$C$73,3,FALSE),"NA")</f>
        <v>2Central Puget Sound</v>
      </c>
      <c r="M858" s="72" t="s">
        <v>16</v>
      </c>
      <c r="N858" t="str">
        <f>VLOOKUP(M858,LUTs!E$2:H$14,3,)</f>
        <v>03Snohomish</v>
      </c>
      <c r="O858" t="str">
        <f>VLOOKUP(M858,LUTs!E$2:H$14,4,)</f>
        <v>01North Puget Sound</v>
      </c>
      <c r="P858" s="80">
        <v>20.2222222222222</v>
      </c>
      <c r="Q858" s="102">
        <v>20.2222222222222</v>
      </c>
      <c r="R858" s="74">
        <f>VLOOKUP(B858,Readme!A$40:C$52,3,)*Q858</f>
        <v>172.69777777777756</v>
      </c>
    </row>
    <row r="859" spans="1:18" ht="12" customHeight="1" x14ac:dyDescent="0.35">
      <c r="A859" s="75">
        <v>1007</v>
      </c>
      <c r="B859" s="80">
        <v>2012</v>
      </c>
      <c r="C859" s="80">
        <v>10</v>
      </c>
      <c r="D859" s="80">
        <f t="shared" si="49"/>
        <v>2012</v>
      </c>
      <c r="E859" t="s">
        <v>38</v>
      </c>
      <c r="F859" t="s">
        <v>143</v>
      </c>
      <c r="G859" t="s">
        <v>86</v>
      </c>
      <c r="H859" s="72" t="s">
        <v>223</v>
      </c>
      <c r="I859" s="72" t="s">
        <v>103</v>
      </c>
      <c r="J859" t="str">
        <f t="shared" si="50"/>
        <v>Stillaguamish R, No. Fork</v>
      </c>
      <c r="K859" t="str">
        <f>IFERROR(VLOOKUP(J859,LUTs!$A$1:$C$73,2,FALSE),"NA")</f>
        <v>Snohomish</v>
      </c>
      <c r="L859" t="str">
        <f>IFERROR(VLOOKUP(J859,LUTs!$A$1:$C$73,3,FALSE),"NA")</f>
        <v>2Central Puget Sound</v>
      </c>
      <c r="M859" s="72" t="s">
        <v>15</v>
      </c>
      <c r="N859" t="str">
        <f>VLOOKUP(M859,LUTs!E$2:H$14,3,)</f>
        <v>02Skagit</v>
      </c>
      <c r="O859" t="str">
        <f>VLOOKUP(M859,LUTs!E$2:H$14,4,)</f>
        <v>01North Puget Sound</v>
      </c>
      <c r="P859" s="80">
        <v>13</v>
      </c>
      <c r="Q859" s="102">
        <v>13</v>
      </c>
      <c r="R859" s="74">
        <f>VLOOKUP(B859,Readme!A$40:C$52,3,)*Q859</f>
        <v>111.01999999999998</v>
      </c>
    </row>
    <row r="860" spans="1:18" ht="12" customHeight="1" x14ac:dyDescent="0.35">
      <c r="A860" s="75">
        <v>1008</v>
      </c>
      <c r="B860" s="80">
        <v>2012</v>
      </c>
      <c r="C860" s="80">
        <v>10</v>
      </c>
      <c r="D860" s="80">
        <f t="shared" si="49"/>
        <v>2012</v>
      </c>
      <c r="E860" t="s">
        <v>38</v>
      </c>
      <c r="F860" t="s">
        <v>143</v>
      </c>
      <c r="G860" t="s">
        <v>86</v>
      </c>
      <c r="H860" s="72" t="s">
        <v>223</v>
      </c>
      <c r="I860" s="72" t="s">
        <v>103</v>
      </c>
      <c r="J860" t="str">
        <f t="shared" si="50"/>
        <v>Stillaguamish R, No. Fork</v>
      </c>
      <c r="K860" t="str">
        <f>IFERROR(VLOOKUP(J860,LUTs!$A$1:$C$73,2,FALSE),"NA")</f>
        <v>Snohomish</v>
      </c>
      <c r="L860" t="str">
        <f>IFERROR(VLOOKUP(J860,LUTs!$A$1:$C$73,3,FALSE),"NA")</f>
        <v>2Central Puget Sound</v>
      </c>
      <c r="M860" s="72" t="s">
        <v>16</v>
      </c>
      <c r="N860" t="str">
        <f>VLOOKUP(M860,LUTs!E$2:H$14,3,)</f>
        <v>03Snohomish</v>
      </c>
      <c r="O860" t="str">
        <f>VLOOKUP(M860,LUTs!E$2:H$14,4,)</f>
        <v>01North Puget Sound</v>
      </c>
      <c r="P860" s="80">
        <v>26</v>
      </c>
      <c r="Q860" s="102">
        <v>26</v>
      </c>
      <c r="R860" s="74">
        <f>VLOOKUP(B860,Readme!A$40:C$52,3,)*Q860</f>
        <v>222.03999999999996</v>
      </c>
    </row>
    <row r="861" spans="1:18" ht="12" customHeight="1" x14ac:dyDescent="0.35">
      <c r="A861" s="75">
        <v>1021</v>
      </c>
      <c r="B861" s="80">
        <v>2012</v>
      </c>
      <c r="C861" s="80">
        <v>10</v>
      </c>
      <c r="D861" s="80">
        <f t="shared" si="49"/>
        <v>2012</v>
      </c>
      <c r="E861" t="s">
        <v>38</v>
      </c>
      <c r="F861" t="s">
        <v>143</v>
      </c>
      <c r="G861" t="s">
        <v>86</v>
      </c>
      <c r="H861" s="72" t="s">
        <v>252</v>
      </c>
      <c r="I861" s="72" t="s">
        <v>104</v>
      </c>
      <c r="J861" t="str">
        <f t="shared" si="50"/>
        <v>Stillaguamish R, So. Fork</v>
      </c>
      <c r="K861" t="str">
        <f>IFERROR(VLOOKUP(J861,LUTs!$A$1:$C$73,2,FALSE),"NA")</f>
        <v>Snohomish</v>
      </c>
      <c r="L861" t="str">
        <f>IFERROR(VLOOKUP(J861,LUTs!$A$1:$C$73,3,FALSE),"NA")</f>
        <v>2Central Puget Sound</v>
      </c>
      <c r="M861" s="72" t="s">
        <v>16</v>
      </c>
      <c r="N861" t="str">
        <f>VLOOKUP(M861,LUTs!E$2:H$14,3,)</f>
        <v>03Snohomish</v>
      </c>
      <c r="O861" t="str">
        <f>VLOOKUP(M861,LUTs!E$2:H$14,4,)</f>
        <v>01North Puget Sound</v>
      </c>
      <c r="P861" s="80">
        <v>9</v>
      </c>
      <c r="Q861" s="102">
        <v>9</v>
      </c>
      <c r="R861" s="74">
        <f>VLOOKUP(B861,Readme!A$40:C$52,3,)*Q861</f>
        <v>76.859999999999985</v>
      </c>
    </row>
    <row r="862" spans="1:18" ht="12" customHeight="1" x14ac:dyDescent="0.35">
      <c r="A862" s="75">
        <v>1025</v>
      </c>
      <c r="B862" s="80">
        <v>2012</v>
      </c>
      <c r="C862" s="80">
        <v>10</v>
      </c>
      <c r="D862" s="80">
        <f t="shared" si="49"/>
        <v>2012</v>
      </c>
      <c r="E862" t="s">
        <v>38</v>
      </c>
      <c r="F862" t="s">
        <v>143</v>
      </c>
      <c r="G862" t="s">
        <v>86</v>
      </c>
      <c r="H862" s="72" t="s">
        <v>253</v>
      </c>
      <c r="I862" s="72" t="s">
        <v>65</v>
      </c>
      <c r="J862" t="str">
        <f t="shared" si="50"/>
        <v>Stillaguamish River</v>
      </c>
      <c r="K862" t="str">
        <f>IFERROR(VLOOKUP(J862,LUTs!$A$1:$C$73,2,FALSE),"NA")</f>
        <v>Snohomish</v>
      </c>
      <c r="L862" t="str">
        <f>IFERROR(VLOOKUP(J862,LUTs!$A$1:$C$73,3,FALSE),"NA")</f>
        <v>2Central Puget Sound</v>
      </c>
      <c r="M862" s="72" t="s">
        <v>17</v>
      </c>
      <c r="N862" t="str">
        <f>VLOOKUP(M862,LUTs!E$2:H$14,3,)</f>
        <v>04Island</v>
      </c>
      <c r="O862" t="str">
        <f>VLOOKUP(M862,LUTs!E$2:H$14,4,)</f>
        <v>01North Puget Sound</v>
      </c>
      <c r="P862" s="80">
        <v>4.3333333333333304</v>
      </c>
      <c r="Q862" s="102">
        <v>4.3333333333333304</v>
      </c>
      <c r="R862" s="74">
        <f>VLOOKUP(B862,Readme!A$40:C$52,3,)*Q862</f>
        <v>37.006666666666639</v>
      </c>
    </row>
    <row r="863" spans="1:18" ht="12" customHeight="1" x14ac:dyDescent="0.35">
      <c r="A863" s="75">
        <v>1026</v>
      </c>
      <c r="B863" s="80">
        <v>2012</v>
      </c>
      <c r="C863" s="80">
        <v>10</v>
      </c>
      <c r="D863" s="80">
        <f t="shared" si="49"/>
        <v>2012</v>
      </c>
      <c r="E863" t="s">
        <v>38</v>
      </c>
      <c r="F863" t="s">
        <v>143</v>
      </c>
      <c r="G863" t="s">
        <v>86</v>
      </c>
      <c r="H863" s="72" t="s">
        <v>253</v>
      </c>
      <c r="I863" s="72" t="s">
        <v>65</v>
      </c>
      <c r="J863" t="str">
        <f t="shared" si="50"/>
        <v>Stillaguamish River</v>
      </c>
      <c r="K863" t="str">
        <f>IFERROR(VLOOKUP(J863,LUTs!$A$1:$C$73,2,FALSE),"NA")</f>
        <v>Snohomish</v>
      </c>
      <c r="L863" t="str">
        <f>IFERROR(VLOOKUP(J863,LUTs!$A$1:$C$73,3,FALSE),"NA")</f>
        <v>2Central Puget Sound</v>
      </c>
      <c r="M863" s="72" t="s">
        <v>26</v>
      </c>
      <c r="N863" t="str">
        <f>VLOOKUP(M863,LUTs!E$2:H$14,3,)</f>
        <v>20Other</v>
      </c>
      <c r="O863" t="str">
        <f>VLOOKUP(M863,LUTs!E$2:H$14,4,)</f>
        <v>07Non Puget Sound</v>
      </c>
      <c r="P863" s="80">
        <v>4.3333333333333304</v>
      </c>
      <c r="Q863" s="102">
        <v>4.3333333333333304</v>
      </c>
      <c r="R863" s="74">
        <f>VLOOKUP(B863,Readme!A$40:C$52,3,)*Q863</f>
        <v>37.006666666666639</v>
      </c>
    </row>
    <row r="864" spans="1:18" ht="12" customHeight="1" x14ac:dyDescent="0.35">
      <c r="A864" s="75">
        <v>1027</v>
      </c>
      <c r="B864" s="80">
        <v>2012</v>
      </c>
      <c r="C864" s="80">
        <v>10</v>
      </c>
      <c r="D864" s="80">
        <f t="shared" si="49"/>
        <v>2012</v>
      </c>
      <c r="E864" t="s">
        <v>38</v>
      </c>
      <c r="F864" t="s">
        <v>143</v>
      </c>
      <c r="G864" t="s">
        <v>86</v>
      </c>
      <c r="H864" s="72" t="s">
        <v>253</v>
      </c>
      <c r="I864" s="72" t="s">
        <v>65</v>
      </c>
      <c r="J864" t="str">
        <f t="shared" si="50"/>
        <v>Stillaguamish River</v>
      </c>
      <c r="K864" t="str">
        <f>IFERROR(VLOOKUP(J864,LUTs!$A$1:$C$73,2,FALSE),"NA")</f>
        <v>Snohomish</v>
      </c>
      <c r="L864" t="str">
        <f>IFERROR(VLOOKUP(J864,LUTs!$A$1:$C$73,3,FALSE),"NA")</f>
        <v>2Central Puget Sound</v>
      </c>
      <c r="M864" s="72" t="s">
        <v>16</v>
      </c>
      <c r="N864" t="str">
        <f>VLOOKUP(M864,LUTs!E$2:H$14,3,)</f>
        <v>03Snohomish</v>
      </c>
      <c r="O864" t="str">
        <f>VLOOKUP(M864,LUTs!E$2:H$14,4,)</f>
        <v>01North Puget Sound</v>
      </c>
      <c r="P864" s="80">
        <v>17.3333333333333</v>
      </c>
      <c r="Q864" s="102">
        <v>17.3333333333333</v>
      </c>
      <c r="R864" s="74">
        <f>VLOOKUP(B864,Readme!A$40:C$52,3,)*Q864</f>
        <v>148.02666666666636</v>
      </c>
    </row>
    <row r="865" spans="1:18" ht="12" customHeight="1" x14ac:dyDescent="0.35">
      <c r="A865" s="75">
        <v>976</v>
      </c>
      <c r="B865" s="80">
        <v>2012</v>
      </c>
      <c r="C865" s="80">
        <v>10</v>
      </c>
      <c r="D865" s="80">
        <f t="shared" si="49"/>
        <v>2012</v>
      </c>
      <c r="E865" t="s">
        <v>38</v>
      </c>
      <c r="F865" t="s">
        <v>143</v>
      </c>
      <c r="G865" t="s">
        <v>86</v>
      </c>
      <c r="H865" s="72" t="s">
        <v>233</v>
      </c>
      <c r="I865" s="72" t="s">
        <v>76</v>
      </c>
      <c r="J865" t="str">
        <f t="shared" si="50"/>
        <v>Wallace River</v>
      </c>
      <c r="K865" t="str">
        <f>IFERROR(VLOOKUP(J865,LUTs!$A$1:$C$73,2,FALSE),"NA")</f>
        <v>Snohomish</v>
      </c>
      <c r="L865" t="str">
        <f>IFERROR(VLOOKUP(J865,LUTs!$A$1:$C$73,3,FALSE),"NA")</f>
        <v>2Central Puget Sound</v>
      </c>
      <c r="M865" s="72" t="s">
        <v>18</v>
      </c>
      <c r="N865" t="str">
        <f>VLOOKUP(M865,LUTs!E$2:H$14,3,)</f>
        <v>06King</v>
      </c>
      <c r="O865" t="str">
        <f>VLOOKUP(M865,LUTs!E$2:H$14,4,)</f>
        <v>02South Puget Sound</v>
      </c>
      <c r="P865" s="80">
        <v>5.6666666666666696</v>
      </c>
      <c r="Q865" s="102">
        <v>5.6666666666666696</v>
      </c>
      <c r="R865" s="74">
        <f>VLOOKUP(B865,Readme!A$40:C$52,3,)*Q865</f>
        <v>48.393333333333352</v>
      </c>
    </row>
    <row r="866" spans="1:18" ht="12" customHeight="1" x14ac:dyDescent="0.35">
      <c r="A866" s="75">
        <v>977</v>
      </c>
      <c r="B866" s="80">
        <v>2012</v>
      </c>
      <c r="C866" s="80">
        <v>10</v>
      </c>
      <c r="D866" s="80">
        <f t="shared" si="49"/>
        <v>2012</v>
      </c>
      <c r="E866" t="s">
        <v>38</v>
      </c>
      <c r="F866" t="s">
        <v>143</v>
      </c>
      <c r="G866" t="s">
        <v>86</v>
      </c>
      <c r="H866" s="72" t="s">
        <v>233</v>
      </c>
      <c r="I866" s="72" t="s">
        <v>76</v>
      </c>
      <c r="J866" t="str">
        <f t="shared" si="50"/>
        <v>Wallace River</v>
      </c>
      <c r="K866" t="str">
        <f>IFERROR(VLOOKUP(J866,LUTs!$A$1:$C$73,2,FALSE),"NA")</f>
        <v>Snohomish</v>
      </c>
      <c r="L866" t="str">
        <f>IFERROR(VLOOKUP(J866,LUTs!$A$1:$C$73,3,FALSE),"NA")</f>
        <v>2Central Puget Sound</v>
      </c>
      <c r="M866" s="72" t="s">
        <v>26</v>
      </c>
      <c r="N866" t="str">
        <f>VLOOKUP(M866,LUTs!E$2:H$14,3,)</f>
        <v>20Other</v>
      </c>
      <c r="O866" t="str">
        <f>VLOOKUP(M866,LUTs!E$2:H$14,4,)</f>
        <v>07Non Puget Sound</v>
      </c>
      <c r="P866" s="80">
        <v>2.8333333333333299</v>
      </c>
      <c r="Q866" s="102">
        <v>2.8333333333333299</v>
      </c>
      <c r="R866" s="74">
        <f>VLOOKUP(B866,Readme!A$40:C$52,3,)*Q866</f>
        <v>24.196666666666633</v>
      </c>
    </row>
    <row r="867" spans="1:18" ht="12" customHeight="1" x14ac:dyDescent="0.35">
      <c r="A867" s="75">
        <v>978</v>
      </c>
      <c r="B867" s="80">
        <v>2012</v>
      </c>
      <c r="C867" s="80">
        <v>10</v>
      </c>
      <c r="D867" s="80">
        <f t="shared" si="49"/>
        <v>2012</v>
      </c>
      <c r="E867" t="s">
        <v>38</v>
      </c>
      <c r="F867" t="s">
        <v>143</v>
      </c>
      <c r="G867" t="s">
        <v>86</v>
      </c>
      <c r="H867" s="72" t="s">
        <v>233</v>
      </c>
      <c r="I867" s="72" t="s">
        <v>76</v>
      </c>
      <c r="J867" t="str">
        <f t="shared" si="50"/>
        <v>Wallace River</v>
      </c>
      <c r="K867" t="str">
        <f>IFERROR(VLOOKUP(J867,LUTs!$A$1:$C$73,2,FALSE),"NA")</f>
        <v>Snohomish</v>
      </c>
      <c r="L867" t="str">
        <f>IFERROR(VLOOKUP(J867,LUTs!$A$1:$C$73,3,FALSE),"NA")</f>
        <v>2Central Puget Sound</v>
      </c>
      <c r="M867" s="72" t="s">
        <v>16</v>
      </c>
      <c r="N867" t="str">
        <f>VLOOKUP(M867,LUTs!E$2:H$14,3,)</f>
        <v>03Snohomish</v>
      </c>
      <c r="O867" t="str">
        <f>VLOOKUP(M867,LUTs!E$2:H$14,4,)</f>
        <v>01North Puget Sound</v>
      </c>
      <c r="P867" s="80">
        <v>8.5</v>
      </c>
      <c r="Q867" s="102">
        <v>8.5</v>
      </c>
      <c r="R867" s="74">
        <f>VLOOKUP(B867,Readme!A$40:C$52,3,)*Q867</f>
        <v>72.589999999999989</v>
      </c>
    </row>
    <row r="868" spans="1:18" ht="12" customHeight="1" x14ac:dyDescent="0.35">
      <c r="A868" s="75">
        <v>1041</v>
      </c>
      <c r="B868" s="80">
        <v>2012</v>
      </c>
      <c r="C868" s="80">
        <v>11</v>
      </c>
      <c r="D868" s="80">
        <f t="shared" si="49"/>
        <v>2012</v>
      </c>
      <c r="E868" t="s">
        <v>38</v>
      </c>
      <c r="F868" t="s">
        <v>143</v>
      </c>
      <c r="G868" t="s">
        <v>86</v>
      </c>
      <c r="H868" s="72" t="s">
        <v>254</v>
      </c>
      <c r="I868" s="72" t="s">
        <v>33</v>
      </c>
      <c r="J868" t="str">
        <f t="shared" si="50"/>
        <v>Area 9: Admiralty Inlet</v>
      </c>
      <c r="K868" t="str">
        <f>IFERROR(VLOOKUP(J868,LUTs!$A$1:$C$73,2,FALSE),"NA")</f>
        <v>NA</v>
      </c>
      <c r="L868" t="str">
        <f>IFERROR(VLOOKUP(J868,LUTs!$A$1:$C$73,3,FALSE),"NA")</f>
        <v>2Central Puget Sound</v>
      </c>
      <c r="M868" s="72" t="s">
        <v>16</v>
      </c>
      <c r="N868" t="str">
        <f>VLOOKUP(M868,LUTs!E$2:H$14,3,)</f>
        <v>03Snohomish</v>
      </c>
      <c r="O868" t="str">
        <f>VLOOKUP(M868,LUTs!E$2:H$14,4,)</f>
        <v>01North Puget Sound</v>
      </c>
      <c r="P868" s="80">
        <v>9</v>
      </c>
      <c r="Q868" s="102">
        <v>9</v>
      </c>
      <c r="R868" s="74">
        <f>VLOOKUP(B868,Readme!A$40:C$52,3,)*Q868</f>
        <v>76.859999999999985</v>
      </c>
    </row>
    <row r="869" spans="1:18" ht="12" customHeight="1" x14ac:dyDescent="0.35">
      <c r="A869" s="75">
        <v>812</v>
      </c>
      <c r="B869" s="80">
        <v>2012</v>
      </c>
      <c r="C869" s="80">
        <v>11</v>
      </c>
      <c r="D869" s="80">
        <f t="shared" si="49"/>
        <v>2012</v>
      </c>
      <c r="E869" t="s">
        <v>38</v>
      </c>
      <c r="F869" t="s">
        <v>143</v>
      </c>
      <c r="G869" t="s">
        <v>86</v>
      </c>
      <c r="H869" s="72" t="s">
        <v>217</v>
      </c>
      <c r="I869" s="72" t="s">
        <v>59</v>
      </c>
      <c r="J869" t="str">
        <f t="shared" si="50"/>
        <v>Cascade River</v>
      </c>
      <c r="K869" t="str">
        <f>IFERROR(VLOOKUP(J869,LUTs!$A$1:$C$73,2,FALSE),"NA")</f>
        <v>Skagit</v>
      </c>
      <c r="L869" t="str">
        <f>IFERROR(VLOOKUP(J869,LUTs!$A$1:$C$73,3,FALSE),"NA")</f>
        <v>1North Puget Sound</v>
      </c>
      <c r="M869" s="72" t="s">
        <v>18</v>
      </c>
      <c r="N869" t="str">
        <f>VLOOKUP(M869,LUTs!E$2:H$14,3,)</f>
        <v>06King</v>
      </c>
      <c r="O869" t="str">
        <f>VLOOKUP(M869,LUTs!E$2:H$14,4,)</f>
        <v>02South Puget Sound</v>
      </c>
      <c r="P869" s="80">
        <v>7.1111111111111098</v>
      </c>
      <c r="Q869" s="102">
        <v>7.1111111111111098</v>
      </c>
      <c r="R869" s="74">
        <f>VLOOKUP(B869,Readme!A$40:C$52,3,)*Q869</f>
        <v>60.728888888888875</v>
      </c>
    </row>
    <row r="870" spans="1:18" ht="12" customHeight="1" x14ac:dyDescent="0.35">
      <c r="A870" s="75">
        <v>813</v>
      </c>
      <c r="B870" s="80">
        <v>2012</v>
      </c>
      <c r="C870" s="80">
        <v>11</v>
      </c>
      <c r="D870" s="80">
        <f t="shared" si="49"/>
        <v>2012</v>
      </c>
      <c r="E870" t="s">
        <v>38</v>
      </c>
      <c r="F870" t="s">
        <v>143</v>
      </c>
      <c r="G870" t="s">
        <v>86</v>
      </c>
      <c r="H870" s="72" t="s">
        <v>217</v>
      </c>
      <c r="I870" s="72" t="s">
        <v>59</v>
      </c>
      <c r="J870" t="str">
        <f t="shared" si="50"/>
        <v>Cascade River</v>
      </c>
      <c r="K870" t="str">
        <f>IFERROR(VLOOKUP(J870,LUTs!$A$1:$C$73,2,FALSE),"NA")</f>
        <v>Skagit</v>
      </c>
      <c r="L870" t="str">
        <f>IFERROR(VLOOKUP(J870,LUTs!$A$1:$C$73,3,FALSE),"NA")</f>
        <v>1North Puget Sound</v>
      </c>
      <c r="M870" s="72" t="s">
        <v>23</v>
      </c>
      <c r="N870" t="str">
        <f>VLOOKUP(M870,LUTs!E$2:H$14,3,)</f>
        <v>10Kitsap</v>
      </c>
      <c r="O870" t="str">
        <f>VLOOKUP(M870,LUTs!E$2:H$14,4,)</f>
        <v>02South Puget Sound</v>
      </c>
      <c r="P870" s="80">
        <v>2.3703703703703698</v>
      </c>
      <c r="Q870" s="102">
        <v>2.3703703703703698</v>
      </c>
      <c r="R870" s="74">
        <f>VLOOKUP(B870,Readme!A$40:C$52,3,)*Q870</f>
        <v>20.242962962962956</v>
      </c>
    </row>
    <row r="871" spans="1:18" ht="12" customHeight="1" x14ac:dyDescent="0.35">
      <c r="A871" s="75">
        <v>814</v>
      </c>
      <c r="B871" s="80">
        <v>2012</v>
      </c>
      <c r="C871" s="80">
        <v>11</v>
      </c>
      <c r="D871" s="80">
        <f t="shared" si="49"/>
        <v>2012</v>
      </c>
      <c r="E871" t="s">
        <v>38</v>
      </c>
      <c r="F871" t="s">
        <v>143</v>
      </c>
      <c r="G871" t="s">
        <v>86</v>
      </c>
      <c r="H871" s="72" t="s">
        <v>217</v>
      </c>
      <c r="I871" s="72" t="s">
        <v>59</v>
      </c>
      <c r="J871" t="str">
        <f t="shared" si="50"/>
        <v>Cascade River</v>
      </c>
      <c r="K871" t="str">
        <f>IFERROR(VLOOKUP(J871,LUTs!$A$1:$C$73,2,FALSE),"NA")</f>
        <v>Skagit</v>
      </c>
      <c r="L871" t="str">
        <f>IFERROR(VLOOKUP(J871,LUTs!$A$1:$C$73,3,FALSE),"NA")</f>
        <v>1North Puget Sound</v>
      </c>
      <c r="M871" s="72" t="s">
        <v>26</v>
      </c>
      <c r="N871" t="str">
        <f>VLOOKUP(M871,LUTs!E$2:H$14,3,)</f>
        <v>20Other</v>
      </c>
      <c r="O871" t="str">
        <f>VLOOKUP(M871,LUTs!E$2:H$14,4,)</f>
        <v>07Non Puget Sound</v>
      </c>
      <c r="P871" s="80">
        <v>2.3703703703703698</v>
      </c>
      <c r="Q871" s="102">
        <v>2.3703703703703698</v>
      </c>
      <c r="R871" s="74">
        <f>VLOOKUP(B871,Readme!A$40:C$52,3,)*Q871</f>
        <v>20.242962962962956</v>
      </c>
    </row>
    <row r="872" spans="1:18" ht="12" customHeight="1" x14ac:dyDescent="0.35">
      <c r="A872" s="75">
        <v>815</v>
      </c>
      <c r="B872" s="80">
        <v>2012</v>
      </c>
      <c r="C872" s="80">
        <v>11</v>
      </c>
      <c r="D872" s="80">
        <f t="shared" si="49"/>
        <v>2012</v>
      </c>
      <c r="E872" t="s">
        <v>38</v>
      </c>
      <c r="F872" t="s">
        <v>143</v>
      </c>
      <c r="G872" t="s">
        <v>86</v>
      </c>
      <c r="H872" s="72" t="s">
        <v>217</v>
      </c>
      <c r="I872" s="72" t="s">
        <v>59</v>
      </c>
      <c r="J872" t="str">
        <f t="shared" si="50"/>
        <v>Cascade River</v>
      </c>
      <c r="K872" t="str">
        <f>IFERROR(VLOOKUP(J872,LUTs!$A$1:$C$73,2,FALSE),"NA")</f>
        <v>Skagit</v>
      </c>
      <c r="L872" t="str">
        <f>IFERROR(VLOOKUP(J872,LUTs!$A$1:$C$73,3,FALSE),"NA")</f>
        <v>1North Puget Sound</v>
      </c>
      <c r="M872" s="72" t="s">
        <v>30</v>
      </c>
      <c r="N872" t="str">
        <f>VLOOKUP(M872,LUTs!E$2:H$14,3,)</f>
        <v>05San Juan</v>
      </c>
      <c r="O872" t="str">
        <f>VLOOKUP(M872,LUTs!E$2:H$14,4,)</f>
        <v>01North Puget Sound</v>
      </c>
      <c r="P872" s="80">
        <v>4.7407407407407396</v>
      </c>
      <c r="Q872" s="102">
        <v>4.7407407407407396</v>
      </c>
      <c r="R872" s="74">
        <f>VLOOKUP(B872,Readme!A$40:C$52,3,)*Q872</f>
        <v>40.485925925925912</v>
      </c>
    </row>
    <row r="873" spans="1:18" ht="12" customHeight="1" x14ac:dyDescent="0.35">
      <c r="A873" s="75">
        <v>816</v>
      </c>
      <c r="B873" s="80">
        <v>2012</v>
      </c>
      <c r="C873" s="80">
        <v>11</v>
      </c>
      <c r="D873" s="80">
        <f t="shared" si="49"/>
        <v>2012</v>
      </c>
      <c r="E873" t="s">
        <v>38</v>
      </c>
      <c r="F873" t="s">
        <v>143</v>
      </c>
      <c r="G873" t="s">
        <v>86</v>
      </c>
      <c r="H873" s="72" t="s">
        <v>217</v>
      </c>
      <c r="I873" s="72" t="s">
        <v>59</v>
      </c>
      <c r="J873" t="str">
        <f t="shared" si="50"/>
        <v>Cascade River</v>
      </c>
      <c r="K873" t="str">
        <f>IFERROR(VLOOKUP(J873,LUTs!$A$1:$C$73,2,FALSE),"NA")</f>
        <v>Skagit</v>
      </c>
      <c r="L873" t="str">
        <f>IFERROR(VLOOKUP(J873,LUTs!$A$1:$C$73,3,FALSE),"NA")</f>
        <v>1North Puget Sound</v>
      </c>
      <c r="M873" s="72" t="s">
        <v>15</v>
      </c>
      <c r="N873" t="str">
        <f>VLOOKUP(M873,LUTs!E$2:H$14,3,)</f>
        <v>02Skagit</v>
      </c>
      <c r="O873" t="str">
        <f>VLOOKUP(M873,LUTs!E$2:H$14,4,)</f>
        <v>01North Puget Sound</v>
      </c>
      <c r="P873" s="80">
        <v>23.703703703703699</v>
      </c>
      <c r="Q873" s="102">
        <v>23.703703703703699</v>
      </c>
      <c r="R873" s="74">
        <f>VLOOKUP(B873,Readme!A$40:C$52,3,)*Q873</f>
        <v>202.42962962962957</v>
      </c>
    </row>
    <row r="874" spans="1:18" ht="12" customHeight="1" x14ac:dyDescent="0.35">
      <c r="A874" s="75">
        <v>817</v>
      </c>
      <c r="B874" s="80">
        <v>2012</v>
      </c>
      <c r="C874" s="80">
        <v>11</v>
      </c>
      <c r="D874" s="80">
        <f t="shared" si="49"/>
        <v>2012</v>
      </c>
      <c r="E874" t="s">
        <v>38</v>
      </c>
      <c r="F874" t="s">
        <v>143</v>
      </c>
      <c r="G874" t="s">
        <v>86</v>
      </c>
      <c r="H874" s="72" t="s">
        <v>217</v>
      </c>
      <c r="I874" s="72" t="s">
        <v>59</v>
      </c>
      <c r="J874" t="str">
        <f t="shared" si="50"/>
        <v>Cascade River</v>
      </c>
      <c r="K874" t="str">
        <f>IFERROR(VLOOKUP(J874,LUTs!$A$1:$C$73,2,FALSE),"NA")</f>
        <v>Skagit</v>
      </c>
      <c r="L874" t="str">
        <f>IFERROR(VLOOKUP(J874,LUTs!$A$1:$C$73,3,FALSE),"NA")</f>
        <v>1North Puget Sound</v>
      </c>
      <c r="M874" s="72" t="s">
        <v>16</v>
      </c>
      <c r="N874" t="str">
        <f>VLOOKUP(M874,LUTs!E$2:H$14,3,)</f>
        <v>03Snohomish</v>
      </c>
      <c r="O874" t="str">
        <f>VLOOKUP(M874,LUTs!E$2:H$14,4,)</f>
        <v>01North Puget Sound</v>
      </c>
      <c r="P874" s="80">
        <v>4.7407407407407396</v>
      </c>
      <c r="Q874" s="102">
        <v>4.7407407407407396</v>
      </c>
      <c r="R874" s="74">
        <f>VLOOKUP(B874,Readme!A$40:C$52,3,)*Q874</f>
        <v>40.485925925925912</v>
      </c>
    </row>
    <row r="875" spans="1:18" ht="12" customHeight="1" x14ac:dyDescent="0.35">
      <c r="A875" s="75">
        <v>818</v>
      </c>
      <c r="B875" s="80">
        <v>2012</v>
      </c>
      <c r="C875" s="80">
        <v>11</v>
      </c>
      <c r="D875" s="80">
        <f t="shared" si="49"/>
        <v>2012</v>
      </c>
      <c r="E875" t="s">
        <v>38</v>
      </c>
      <c r="F875" t="s">
        <v>143</v>
      </c>
      <c r="G875" t="s">
        <v>86</v>
      </c>
      <c r="H875" s="72" t="s">
        <v>217</v>
      </c>
      <c r="I875" s="72" t="s">
        <v>59</v>
      </c>
      <c r="J875" t="str">
        <f t="shared" si="50"/>
        <v>Cascade River</v>
      </c>
      <c r="K875" t="str">
        <f>IFERROR(VLOOKUP(J875,LUTs!$A$1:$C$73,2,FALSE),"NA")</f>
        <v>Skagit</v>
      </c>
      <c r="L875" t="str">
        <f>IFERROR(VLOOKUP(J875,LUTs!$A$1:$C$73,3,FALSE),"NA")</f>
        <v>1North Puget Sound</v>
      </c>
      <c r="M875" s="72" t="s">
        <v>13</v>
      </c>
      <c r="N875" t="str">
        <f>VLOOKUP(M875,LUTs!E$2:H$14,3,)</f>
        <v>01Whatcom</v>
      </c>
      <c r="O875" t="str">
        <f>VLOOKUP(M875,LUTs!E$2:H$14,4,)</f>
        <v>01North Puget Sound</v>
      </c>
      <c r="P875" s="80">
        <v>18.962962962963001</v>
      </c>
      <c r="Q875" s="102">
        <v>18.962962962963001</v>
      </c>
      <c r="R875" s="74">
        <f>VLOOKUP(B875,Readme!A$40:C$52,3,)*Q875</f>
        <v>161.94370370370402</v>
      </c>
    </row>
    <row r="876" spans="1:18" ht="12" customHeight="1" x14ac:dyDescent="0.35">
      <c r="A876" s="75">
        <v>737</v>
      </c>
      <c r="B876" s="80">
        <v>2012</v>
      </c>
      <c r="C876" s="80">
        <v>11</v>
      </c>
      <c r="D876" s="80">
        <f t="shared" si="49"/>
        <v>2012</v>
      </c>
      <c r="E876" t="s">
        <v>38</v>
      </c>
      <c r="F876" t="s">
        <v>143</v>
      </c>
      <c r="G876" t="s">
        <v>86</v>
      </c>
      <c r="H876" s="72" t="s">
        <v>234</v>
      </c>
      <c r="I876" s="72" t="s">
        <v>87</v>
      </c>
      <c r="J876" t="str">
        <f t="shared" si="50"/>
        <v>Clallam River</v>
      </c>
      <c r="K876" t="str">
        <f>IFERROR(VLOOKUP(J876,LUTs!$A$1:$C$73,2,FALSE),"NA")</f>
        <v>Clallam</v>
      </c>
      <c r="L876" t="str">
        <f>IFERROR(VLOOKUP(J876,LUTs!$A$1:$C$73,3,FALSE),"NA")</f>
        <v>0Strait of Juan de Fuca</v>
      </c>
      <c r="M876" s="72" t="s">
        <v>24</v>
      </c>
      <c r="N876" t="str">
        <f>VLOOKUP(M876,LUTs!E$2:H$14,3,)</f>
        <v>11Clallam</v>
      </c>
      <c r="O876" t="str">
        <f>VLOOKUP(M876,LUTs!E$2:H$14,4,)</f>
        <v>03Strait of Juan de Fuca</v>
      </c>
      <c r="P876" s="80">
        <v>3</v>
      </c>
      <c r="Q876" s="102">
        <v>3</v>
      </c>
      <c r="R876" s="74">
        <f>VLOOKUP(B876,Readme!A$40:C$52,3,)*Q876</f>
        <v>25.619999999999997</v>
      </c>
    </row>
    <row r="877" spans="1:18" ht="12" customHeight="1" x14ac:dyDescent="0.35">
      <c r="A877" s="75">
        <v>740</v>
      </c>
      <c r="B877" s="80">
        <v>2012</v>
      </c>
      <c r="C877" s="80">
        <v>11</v>
      </c>
      <c r="D877" s="80">
        <f t="shared" si="49"/>
        <v>2012</v>
      </c>
      <c r="E877" t="s">
        <v>38</v>
      </c>
      <c r="F877" t="s">
        <v>143</v>
      </c>
      <c r="G877" t="s">
        <v>86</v>
      </c>
      <c r="H877" s="72" t="s">
        <v>201</v>
      </c>
      <c r="I877" s="72" t="s">
        <v>43</v>
      </c>
      <c r="J877" t="str">
        <f t="shared" si="50"/>
        <v>Dungeness River</v>
      </c>
      <c r="K877" t="str">
        <f>IFERROR(VLOOKUP(J877,LUTs!$A$1:$C$73,2,FALSE),"NA")</f>
        <v>Clallam</v>
      </c>
      <c r="L877" t="str">
        <f>IFERROR(VLOOKUP(J877,LUTs!$A$1:$C$73,3,FALSE),"NA")</f>
        <v>0Strait of Juan de Fuca</v>
      </c>
      <c r="M877" s="72" t="s">
        <v>24</v>
      </c>
      <c r="N877" t="str">
        <f>VLOOKUP(M877,LUTs!E$2:H$14,3,)</f>
        <v>11Clallam</v>
      </c>
      <c r="O877" t="str">
        <f>VLOOKUP(M877,LUTs!E$2:H$14,4,)</f>
        <v>03Strait of Juan de Fuca</v>
      </c>
      <c r="P877" s="80">
        <v>9.75</v>
      </c>
      <c r="Q877" s="102">
        <v>9.75</v>
      </c>
      <c r="R877" s="74">
        <f>VLOOKUP(B877,Readme!A$40:C$52,3,)*Q877</f>
        <v>83.264999999999986</v>
      </c>
    </row>
    <row r="878" spans="1:18" ht="12" customHeight="1" x14ac:dyDescent="0.35">
      <c r="A878" s="75">
        <v>741</v>
      </c>
      <c r="B878" s="80">
        <v>2012</v>
      </c>
      <c r="C878" s="80">
        <v>11</v>
      </c>
      <c r="D878" s="80">
        <f t="shared" si="49"/>
        <v>2012</v>
      </c>
      <c r="E878" t="s">
        <v>38</v>
      </c>
      <c r="F878" t="s">
        <v>143</v>
      </c>
      <c r="G878" t="s">
        <v>86</v>
      </c>
      <c r="H878" s="72" t="s">
        <v>201</v>
      </c>
      <c r="I878" s="72" t="s">
        <v>43</v>
      </c>
      <c r="J878" t="str">
        <f t="shared" si="50"/>
        <v>Dungeness River</v>
      </c>
      <c r="K878" t="str">
        <f>IFERROR(VLOOKUP(J878,LUTs!$A$1:$C$73,2,FALSE),"NA")</f>
        <v>Clallam</v>
      </c>
      <c r="L878" t="str">
        <f>IFERROR(VLOOKUP(J878,LUTs!$A$1:$C$73,3,FALSE),"NA")</f>
        <v>0Strait of Juan de Fuca</v>
      </c>
      <c r="M878" s="72" t="s">
        <v>23</v>
      </c>
      <c r="N878" t="str">
        <f>VLOOKUP(M878,LUTs!E$2:H$14,3,)</f>
        <v>10Kitsap</v>
      </c>
      <c r="O878" t="str">
        <f>VLOOKUP(M878,LUTs!E$2:H$14,4,)</f>
        <v>02South Puget Sound</v>
      </c>
      <c r="P878" s="80">
        <v>3.25</v>
      </c>
      <c r="Q878" s="102">
        <v>3.25</v>
      </c>
      <c r="R878" s="74">
        <f>VLOOKUP(B878,Readme!A$40:C$52,3,)*Q878</f>
        <v>27.754999999999995</v>
      </c>
    </row>
    <row r="879" spans="1:18" ht="12" customHeight="1" x14ac:dyDescent="0.35">
      <c r="A879" s="75">
        <v>759</v>
      </c>
      <c r="B879" s="80">
        <v>2012</v>
      </c>
      <c r="C879" s="80">
        <v>11</v>
      </c>
      <c r="D879" s="80">
        <f t="shared" si="49"/>
        <v>2012</v>
      </c>
      <c r="E879" t="s">
        <v>38</v>
      </c>
      <c r="F879" t="s">
        <v>143</v>
      </c>
      <c r="G879" t="s">
        <v>86</v>
      </c>
      <c r="H879" s="72" t="s">
        <v>203</v>
      </c>
      <c r="I879" s="72" t="s">
        <v>89</v>
      </c>
      <c r="J879" s="84" t="s">
        <v>45</v>
      </c>
      <c r="K879" t="str">
        <f>IFERROR(VLOOKUP(J879,LUTs!$A$1:$C$73,2,FALSE),"NA")</f>
        <v>King</v>
      </c>
      <c r="L879" t="str">
        <f>IFERROR(VLOOKUP(J879,LUTs!$A$1:$C$73,3,FALSE),"NA")</f>
        <v>3South Puget Sound</v>
      </c>
      <c r="M879" s="72" t="s">
        <v>18</v>
      </c>
      <c r="N879" t="str">
        <f>VLOOKUP(M879,LUTs!E$2:H$14,3,)</f>
        <v>06King</v>
      </c>
      <c r="O879" t="str">
        <f>VLOOKUP(M879,LUTs!E$2:H$14,4,)</f>
        <v>02South Puget Sound</v>
      </c>
      <c r="P879" s="80">
        <v>17.7777777777778</v>
      </c>
      <c r="Q879" s="102">
        <v>17.7777777777778</v>
      </c>
      <c r="R879" s="74">
        <f>VLOOKUP(B879,Readme!A$40:C$52,3,)*Q879</f>
        <v>151.82222222222239</v>
      </c>
    </row>
    <row r="880" spans="1:18" ht="12" customHeight="1" x14ac:dyDescent="0.35">
      <c r="A880" s="75">
        <v>760</v>
      </c>
      <c r="B880" s="80">
        <v>2012</v>
      </c>
      <c r="C880" s="80">
        <v>11</v>
      </c>
      <c r="D880" s="80">
        <f t="shared" si="49"/>
        <v>2012</v>
      </c>
      <c r="E880" t="s">
        <v>38</v>
      </c>
      <c r="F880" t="s">
        <v>143</v>
      </c>
      <c r="G880" t="s">
        <v>86</v>
      </c>
      <c r="H880" s="72" t="s">
        <v>203</v>
      </c>
      <c r="I880" s="72" t="s">
        <v>89</v>
      </c>
      <c r="J880" s="84" t="s">
        <v>45</v>
      </c>
      <c r="K880" t="str">
        <f>IFERROR(VLOOKUP(J880,LUTs!$A$1:$C$73,2,FALSE),"NA")</f>
        <v>King</v>
      </c>
      <c r="L880" t="str">
        <f>IFERROR(VLOOKUP(J880,LUTs!$A$1:$C$73,3,FALSE),"NA")</f>
        <v>3South Puget Sound</v>
      </c>
      <c r="M880" s="72" t="s">
        <v>20</v>
      </c>
      <c r="N880" t="str">
        <f>VLOOKUP(M880,LUTs!E$2:H$14,3,)</f>
        <v>07Pierce</v>
      </c>
      <c r="O880" t="str">
        <f>VLOOKUP(M880,LUTs!E$2:H$14,4,)</f>
        <v>02South Puget Sound</v>
      </c>
      <c r="P880" s="80">
        <v>2.2222222222222201</v>
      </c>
      <c r="Q880" s="102">
        <v>2.2222222222222201</v>
      </c>
      <c r="R880" s="74">
        <f>VLOOKUP(B880,Readme!A$40:C$52,3,)*Q880</f>
        <v>18.977777777777757</v>
      </c>
    </row>
    <row r="881" spans="1:18" ht="12" customHeight="1" x14ac:dyDescent="0.35">
      <c r="A881" s="75">
        <v>766</v>
      </c>
      <c r="B881" s="80">
        <v>2012</v>
      </c>
      <c r="C881" s="80">
        <v>11</v>
      </c>
      <c r="D881" s="80">
        <f t="shared" si="49"/>
        <v>2012</v>
      </c>
      <c r="E881" t="s">
        <v>38</v>
      </c>
      <c r="F881" t="s">
        <v>143</v>
      </c>
      <c r="G881" t="s">
        <v>86</v>
      </c>
      <c r="H881" s="72" t="s">
        <v>204</v>
      </c>
      <c r="I881" s="72" t="s">
        <v>46</v>
      </c>
      <c r="J881" t="str">
        <f t="shared" ref="J881:J888" si="51">I881</f>
        <v>Hoko River</v>
      </c>
      <c r="K881" t="str">
        <f>IFERROR(VLOOKUP(J881,LUTs!$A$1:$C$73,2,FALSE),"NA")</f>
        <v>Clallam</v>
      </c>
      <c r="L881" t="str">
        <f>IFERROR(VLOOKUP(J881,LUTs!$A$1:$C$73,3,FALSE),"NA")</f>
        <v>0Strait of Juan de Fuca</v>
      </c>
      <c r="M881" s="72" t="s">
        <v>24</v>
      </c>
      <c r="N881" t="str">
        <f>VLOOKUP(M881,LUTs!E$2:H$14,3,)</f>
        <v>11Clallam</v>
      </c>
      <c r="O881" t="str">
        <f>VLOOKUP(M881,LUTs!E$2:H$14,4,)</f>
        <v>03Strait of Juan de Fuca</v>
      </c>
      <c r="P881" s="80">
        <v>9.3333333333333304</v>
      </c>
      <c r="Q881" s="102">
        <v>9.3333333333333304</v>
      </c>
      <c r="R881" s="74">
        <f>VLOOKUP(B881,Readme!A$40:C$52,3,)*Q881</f>
        <v>79.706666666666635</v>
      </c>
    </row>
    <row r="882" spans="1:18" ht="12" customHeight="1" x14ac:dyDescent="0.35">
      <c r="A882" s="75">
        <v>767</v>
      </c>
      <c r="B882" s="80">
        <v>2012</v>
      </c>
      <c r="C882" s="80">
        <v>11</v>
      </c>
      <c r="D882" s="80">
        <f t="shared" si="49"/>
        <v>2012</v>
      </c>
      <c r="E882" t="s">
        <v>38</v>
      </c>
      <c r="F882" t="s">
        <v>143</v>
      </c>
      <c r="G882" t="s">
        <v>86</v>
      </c>
      <c r="H882" s="72" t="s">
        <v>204</v>
      </c>
      <c r="I882" s="72" t="s">
        <v>46</v>
      </c>
      <c r="J882" t="str">
        <f t="shared" si="51"/>
        <v>Hoko River</v>
      </c>
      <c r="K882" t="str">
        <f>IFERROR(VLOOKUP(J882,LUTs!$A$1:$C$73,2,FALSE),"NA")</f>
        <v>Clallam</v>
      </c>
      <c r="L882" t="str">
        <f>IFERROR(VLOOKUP(J882,LUTs!$A$1:$C$73,3,FALSE),"NA")</f>
        <v>0Strait of Juan de Fuca</v>
      </c>
      <c r="M882" s="72" t="s">
        <v>20</v>
      </c>
      <c r="N882" t="str">
        <f>VLOOKUP(M882,LUTs!E$2:H$14,3,)</f>
        <v>07Pierce</v>
      </c>
      <c r="O882" t="str">
        <f>VLOOKUP(M882,LUTs!E$2:H$14,4,)</f>
        <v>02South Puget Sound</v>
      </c>
      <c r="P882" s="80">
        <v>4.6666666666666696</v>
      </c>
      <c r="Q882" s="102">
        <v>4.6666666666666696</v>
      </c>
      <c r="R882" s="74">
        <f>VLOOKUP(B882,Readme!A$40:C$52,3,)*Q882</f>
        <v>39.853333333333353</v>
      </c>
    </row>
    <row r="883" spans="1:18" ht="12" customHeight="1" x14ac:dyDescent="0.35">
      <c r="A883" s="75">
        <v>781</v>
      </c>
      <c r="B883" s="80">
        <v>2012</v>
      </c>
      <c r="C883" s="80">
        <v>11</v>
      </c>
      <c r="D883" s="80">
        <f t="shared" si="49"/>
        <v>2012</v>
      </c>
      <c r="E883" t="s">
        <v>38</v>
      </c>
      <c r="F883" t="s">
        <v>143</v>
      </c>
      <c r="G883" t="s">
        <v>86</v>
      </c>
      <c r="H883" s="72" t="s">
        <v>237</v>
      </c>
      <c r="I883" s="72" t="s">
        <v>79</v>
      </c>
      <c r="J883" t="str">
        <f t="shared" si="51"/>
        <v>Lyre River</v>
      </c>
      <c r="K883" t="str">
        <f>IFERROR(VLOOKUP(J883,LUTs!$A$1:$C$73,2,FALSE),"NA")</f>
        <v>Clallam</v>
      </c>
      <c r="L883" t="str">
        <f>IFERROR(VLOOKUP(J883,LUTs!$A$1:$C$73,3,FALSE),"NA")</f>
        <v>0Strait of Juan de Fuca</v>
      </c>
      <c r="M883" s="72" t="s">
        <v>24</v>
      </c>
      <c r="N883" t="str">
        <f>VLOOKUP(M883,LUTs!E$2:H$14,3,)</f>
        <v>11Clallam</v>
      </c>
      <c r="O883" t="str">
        <f>VLOOKUP(M883,LUTs!E$2:H$14,4,)</f>
        <v>03Strait of Juan de Fuca</v>
      </c>
      <c r="P883" s="80">
        <v>3</v>
      </c>
      <c r="Q883" s="102">
        <v>3</v>
      </c>
      <c r="R883" s="74">
        <f>VLOOKUP(B883,Readme!A$40:C$52,3,)*Q883</f>
        <v>25.619999999999997</v>
      </c>
    </row>
    <row r="884" spans="1:18" ht="12" customHeight="1" x14ac:dyDescent="0.35">
      <c r="A884" s="75">
        <v>782</v>
      </c>
      <c r="B884" s="80">
        <v>2012</v>
      </c>
      <c r="C884" s="80">
        <v>11</v>
      </c>
      <c r="D884" s="80">
        <f t="shared" si="49"/>
        <v>2012</v>
      </c>
      <c r="E884" t="s">
        <v>38</v>
      </c>
      <c r="F884" t="s">
        <v>143</v>
      </c>
      <c r="G884" t="s">
        <v>86</v>
      </c>
      <c r="H884" s="72" t="s">
        <v>237</v>
      </c>
      <c r="I884" s="72" t="s">
        <v>79</v>
      </c>
      <c r="J884" t="str">
        <f t="shared" si="51"/>
        <v>Lyre River</v>
      </c>
      <c r="K884" t="str">
        <f>IFERROR(VLOOKUP(J884,LUTs!$A$1:$C$73,2,FALSE),"NA")</f>
        <v>Clallam</v>
      </c>
      <c r="L884" t="str">
        <f>IFERROR(VLOOKUP(J884,LUTs!$A$1:$C$73,3,FALSE),"NA")</f>
        <v>0Strait of Juan de Fuca</v>
      </c>
      <c r="M884" s="72" t="s">
        <v>26</v>
      </c>
      <c r="N884" t="str">
        <f>VLOOKUP(M884,LUTs!E$2:H$14,3,)</f>
        <v>20Other</v>
      </c>
      <c r="O884" t="str">
        <f>VLOOKUP(M884,LUTs!E$2:H$14,4,)</f>
        <v>07Non Puget Sound</v>
      </c>
      <c r="P884" s="80">
        <v>3</v>
      </c>
      <c r="Q884" s="102">
        <v>3</v>
      </c>
      <c r="R884" s="74">
        <f>VLOOKUP(B884,Readme!A$40:C$52,3,)*Q884</f>
        <v>25.619999999999997</v>
      </c>
    </row>
    <row r="885" spans="1:18" ht="12" customHeight="1" x14ac:dyDescent="0.35">
      <c r="A885" s="75">
        <v>802</v>
      </c>
      <c r="B885" s="80">
        <v>2012</v>
      </c>
      <c r="C885" s="80">
        <v>11</v>
      </c>
      <c r="D885" s="80">
        <f t="shared" si="49"/>
        <v>2012</v>
      </c>
      <c r="E885" t="s">
        <v>38</v>
      </c>
      <c r="F885" t="s">
        <v>143</v>
      </c>
      <c r="G885" t="s">
        <v>86</v>
      </c>
      <c r="H885" s="72" t="s">
        <v>244</v>
      </c>
      <c r="I885" s="72" t="s">
        <v>95</v>
      </c>
      <c r="J885" t="str">
        <f t="shared" si="51"/>
        <v>Sekiu River</v>
      </c>
      <c r="K885" t="str">
        <f>IFERROR(VLOOKUP(J885,LUTs!$A$1:$C$73,2,FALSE),"NA")</f>
        <v>Clallam</v>
      </c>
      <c r="L885" t="str">
        <f>IFERROR(VLOOKUP(J885,LUTs!$A$1:$C$73,3,FALSE),"NA")</f>
        <v>0Strait of Juan de Fuca</v>
      </c>
      <c r="M885" s="72" t="s">
        <v>20</v>
      </c>
      <c r="N885" t="str">
        <f>VLOOKUP(M885,LUTs!E$2:H$14,3,)</f>
        <v>07Pierce</v>
      </c>
      <c r="O885" t="str">
        <f>VLOOKUP(M885,LUTs!E$2:H$14,4,)</f>
        <v>02South Puget Sound</v>
      </c>
      <c r="P885" s="80">
        <v>3</v>
      </c>
      <c r="Q885" s="102">
        <v>3</v>
      </c>
      <c r="R885" s="74">
        <f>VLOOKUP(B885,Readme!A$40:C$52,3,)*Q885</f>
        <v>25.619999999999997</v>
      </c>
    </row>
    <row r="886" spans="1:18" ht="12" customHeight="1" x14ac:dyDescent="0.35">
      <c r="A886" s="75">
        <v>840</v>
      </c>
      <c r="B886" s="80">
        <v>2012</v>
      </c>
      <c r="C886" s="80">
        <v>11</v>
      </c>
      <c r="D886" s="80">
        <f t="shared" si="49"/>
        <v>2012</v>
      </c>
      <c r="E886" t="s">
        <v>38</v>
      </c>
      <c r="F886" t="s">
        <v>143</v>
      </c>
      <c r="G886" t="s">
        <v>86</v>
      </c>
      <c r="H886" s="72" t="s">
        <v>218</v>
      </c>
      <c r="I886" s="72" t="s">
        <v>60</v>
      </c>
      <c r="J886" t="str">
        <f t="shared" si="51"/>
        <v>Skagit River</v>
      </c>
      <c r="K886" t="str">
        <f>IFERROR(VLOOKUP(J886,LUTs!$A$1:$C$73,2,FALSE),"NA")</f>
        <v>Skagit/Whatcom</v>
      </c>
      <c r="L886" t="str">
        <f>IFERROR(VLOOKUP(J886,LUTs!$A$1:$C$73,3,FALSE),"NA")</f>
        <v>2Central Puget Sound</v>
      </c>
      <c r="M886" s="72" t="s">
        <v>18</v>
      </c>
      <c r="N886" t="str">
        <f>VLOOKUP(M886,LUTs!E$2:H$14,3,)</f>
        <v>06King</v>
      </c>
      <c r="O886" t="str">
        <f>VLOOKUP(M886,LUTs!E$2:H$14,4,)</f>
        <v>02South Puget Sound</v>
      </c>
      <c r="P886" s="80">
        <v>2.3333333333333299</v>
      </c>
      <c r="Q886" s="102">
        <v>2.3333333333333299</v>
      </c>
      <c r="R886" s="74">
        <f>VLOOKUP(B886,Readme!A$40:C$52,3,)*Q886</f>
        <v>19.926666666666634</v>
      </c>
    </row>
    <row r="887" spans="1:18" ht="12" customHeight="1" x14ac:dyDescent="0.35">
      <c r="A887" s="75">
        <v>841</v>
      </c>
      <c r="B887" s="80">
        <v>2012</v>
      </c>
      <c r="C887" s="80">
        <v>11</v>
      </c>
      <c r="D887" s="80">
        <f t="shared" si="49"/>
        <v>2012</v>
      </c>
      <c r="E887" t="s">
        <v>38</v>
      </c>
      <c r="F887" t="s">
        <v>143</v>
      </c>
      <c r="G887" t="s">
        <v>86</v>
      </c>
      <c r="H887" s="72" t="s">
        <v>218</v>
      </c>
      <c r="I887" s="72" t="s">
        <v>60</v>
      </c>
      <c r="J887" t="str">
        <f t="shared" si="51"/>
        <v>Skagit River</v>
      </c>
      <c r="K887" t="str">
        <f>IFERROR(VLOOKUP(J887,LUTs!$A$1:$C$73,2,FALSE),"NA")</f>
        <v>Skagit/Whatcom</v>
      </c>
      <c r="L887" t="str">
        <f>IFERROR(VLOOKUP(J887,LUTs!$A$1:$C$73,3,FALSE),"NA")</f>
        <v>2Central Puget Sound</v>
      </c>
      <c r="M887" s="72" t="s">
        <v>15</v>
      </c>
      <c r="N887" t="str">
        <f>VLOOKUP(M887,LUTs!E$2:H$14,3,)</f>
        <v>02Skagit</v>
      </c>
      <c r="O887" t="str">
        <f>VLOOKUP(M887,LUTs!E$2:H$14,4,)</f>
        <v>01North Puget Sound</v>
      </c>
      <c r="P887" s="80">
        <v>9.3333333333333304</v>
      </c>
      <c r="Q887" s="102">
        <v>9.3333333333333304</v>
      </c>
      <c r="R887" s="74">
        <f>VLOOKUP(B887,Readme!A$40:C$52,3,)*Q887</f>
        <v>79.706666666666635</v>
      </c>
    </row>
    <row r="888" spans="1:18" ht="12" customHeight="1" x14ac:dyDescent="0.35">
      <c r="A888" s="75">
        <v>842</v>
      </c>
      <c r="B888" s="80">
        <v>2012</v>
      </c>
      <c r="C888" s="80">
        <v>11</v>
      </c>
      <c r="D888" s="80">
        <f t="shared" si="49"/>
        <v>2012</v>
      </c>
      <c r="E888" t="s">
        <v>38</v>
      </c>
      <c r="F888" t="s">
        <v>143</v>
      </c>
      <c r="G888" t="s">
        <v>86</v>
      </c>
      <c r="H888" s="72" t="s">
        <v>218</v>
      </c>
      <c r="I888" s="72" t="s">
        <v>60</v>
      </c>
      <c r="J888" t="str">
        <f t="shared" si="51"/>
        <v>Skagit River</v>
      </c>
      <c r="K888" t="str">
        <f>IFERROR(VLOOKUP(J888,LUTs!$A$1:$C$73,2,FALSE),"NA")</f>
        <v>Skagit/Whatcom</v>
      </c>
      <c r="L888" t="str">
        <f>IFERROR(VLOOKUP(J888,LUTs!$A$1:$C$73,3,FALSE),"NA")</f>
        <v>2Central Puget Sound</v>
      </c>
      <c r="M888" s="72" t="s">
        <v>16</v>
      </c>
      <c r="N888" t="str">
        <f>VLOOKUP(M888,LUTs!E$2:H$14,3,)</f>
        <v>03Snohomish</v>
      </c>
      <c r="O888" t="str">
        <f>VLOOKUP(M888,LUTs!E$2:H$14,4,)</f>
        <v>01North Puget Sound</v>
      </c>
      <c r="P888" s="80">
        <v>2.3333333333333299</v>
      </c>
      <c r="Q888" s="102">
        <v>2.3333333333333299</v>
      </c>
      <c r="R888" s="74">
        <f>VLOOKUP(B888,Readme!A$40:C$52,3,)*Q888</f>
        <v>19.926666666666634</v>
      </c>
    </row>
    <row r="889" spans="1:18" ht="12" customHeight="1" x14ac:dyDescent="0.35">
      <c r="A889" s="75">
        <v>851</v>
      </c>
      <c r="B889" s="80">
        <v>2012</v>
      </c>
      <c r="C889" s="80">
        <v>11</v>
      </c>
      <c r="D889" s="80">
        <f t="shared" si="49"/>
        <v>2012</v>
      </c>
      <c r="E889" t="s">
        <v>38</v>
      </c>
      <c r="F889" t="s">
        <v>143</v>
      </c>
      <c r="G889" t="s">
        <v>86</v>
      </c>
      <c r="H889" s="72" t="s">
        <v>219</v>
      </c>
      <c r="I889" s="72" t="s">
        <v>259</v>
      </c>
      <c r="J889" s="84" t="s">
        <v>61</v>
      </c>
      <c r="K889" t="str">
        <f>IFERROR(VLOOKUP(J889,LUTs!$A$1:$C$73,2,FALSE),"NA")</f>
        <v>Mason</v>
      </c>
      <c r="L889" t="str">
        <f>IFERROR(VLOOKUP(J889,LUTs!$A$1:$C$73,3,FALSE),"NA")</f>
        <v>4 Hood Canal</v>
      </c>
      <c r="M889" s="72" t="s">
        <v>26</v>
      </c>
      <c r="N889" t="str">
        <f>VLOOKUP(M889,LUTs!E$2:H$14,3,)</f>
        <v>20Other</v>
      </c>
      <c r="O889" t="str">
        <f>VLOOKUP(M889,LUTs!E$2:H$14,4,)</f>
        <v>07Non Puget Sound</v>
      </c>
      <c r="P889" s="80">
        <v>0</v>
      </c>
      <c r="Q889" s="102">
        <v>0</v>
      </c>
      <c r="R889" s="74">
        <f>VLOOKUP(B889,Readme!A$40:C$52,3,)*Q889</f>
        <v>0</v>
      </c>
    </row>
    <row r="890" spans="1:18" ht="12" customHeight="1" x14ac:dyDescent="0.35">
      <c r="A890" s="75">
        <v>883</v>
      </c>
      <c r="B890" s="80">
        <v>2012</v>
      </c>
      <c r="C890" s="80">
        <v>11</v>
      </c>
      <c r="D890" s="80">
        <f t="shared" si="49"/>
        <v>2012</v>
      </c>
      <c r="E890" t="s">
        <v>38</v>
      </c>
      <c r="F890" t="s">
        <v>143</v>
      </c>
      <c r="G890" t="s">
        <v>86</v>
      </c>
      <c r="H890" s="72" t="s">
        <v>220</v>
      </c>
      <c r="I890" s="72" t="s">
        <v>62</v>
      </c>
      <c r="J890" t="str">
        <f t="shared" ref="J890:J916" si="52">I890</f>
        <v>Skykomish River</v>
      </c>
      <c r="K890" t="str">
        <f>IFERROR(VLOOKUP(J890,LUTs!$A$1:$C$73,2,FALSE),"NA")</f>
        <v>Snohomish</v>
      </c>
      <c r="L890" t="str">
        <f>IFERROR(VLOOKUP(J890,LUTs!$A$1:$C$73,3,FALSE),"NA")</f>
        <v>2Central Puget Sound</v>
      </c>
      <c r="M890" s="72" t="s">
        <v>17</v>
      </c>
      <c r="N890" t="str">
        <f>VLOOKUP(M890,LUTs!E$2:H$14,3,)</f>
        <v>04Island</v>
      </c>
      <c r="O890" t="str">
        <f>VLOOKUP(M890,LUTs!E$2:H$14,4,)</f>
        <v>01North Puget Sound</v>
      </c>
      <c r="P890" s="80">
        <v>5.8931297709923696</v>
      </c>
      <c r="Q890" s="102">
        <v>5.8931297709923696</v>
      </c>
      <c r="R890" s="74">
        <f>VLOOKUP(B890,Readme!A$40:C$52,3,)*Q890</f>
        <v>50.327328244274831</v>
      </c>
    </row>
    <row r="891" spans="1:18" ht="12" customHeight="1" x14ac:dyDescent="0.35">
      <c r="A891" s="75">
        <v>884</v>
      </c>
      <c r="B891" s="80">
        <v>2012</v>
      </c>
      <c r="C891" s="80">
        <v>11</v>
      </c>
      <c r="D891" s="80">
        <f t="shared" si="49"/>
        <v>2012</v>
      </c>
      <c r="E891" t="s">
        <v>38</v>
      </c>
      <c r="F891" t="s">
        <v>143</v>
      </c>
      <c r="G891" t="s">
        <v>86</v>
      </c>
      <c r="H891" s="72" t="s">
        <v>220</v>
      </c>
      <c r="I891" s="72" t="s">
        <v>62</v>
      </c>
      <c r="J891" t="str">
        <f t="shared" si="52"/>
        <v>Skykomish River</v>
      </c>
      <c r="K891" t="str">
        <f>IFERROR(VLOOKUP(J891,LUTs!$A$1:$C$73,2,FALSE),"NA")</f>
        <v>Snohomish</v>
      </c>
      <c r="L891" t="str">
        <f>IFERROR(VLOOKUP(J891,LUTs!$A$1:$C$73,3,FALSE),"NA")</f>
        <v>2Central Puget Sound</v>
      </c>
      <c r="M891" s="72" t="s">
        <v>18</v>
      </c>
      <c r="N891" t="str">
        <f>VLOOKUP(M891,LUTs!E$2:H$14,3,)</f>
        <v>06King</v>
      </c>
      <c r="O891" t="str">
        <f>VLOOKUP(M891,LUTs!E$2:H$14,4,)</f>
        <v>02South Puget Sound</v>
      </c>
      <c r="P891" s="80">
        <v>120.80916030534399</v>
      </c>
      <c r="Q891" s="102">
        <v>120.80916030534399</v>
      </c>
      <c r="R891" s="74">
        <f>VLOOKUP(B891,Readme!A$40:C$52,3,)*Q891</f>
        <v>1031.7102290076375</v>
      </c>
    </row>
    <row r="892" spans="1:18" ht="12" customHeight="1" x14ac:dyDescent="0.35">
      <c r="A892" s="75">
        <v>885</v>
      </c>
      <c r="B892" s="80">
        <v>2012</v>
      </c>
      <c r="C892" s="80">
        <v>11</v>
      </c>
      <c r="D892" s="80">
        <f t="shared" si="49"/>
        <v>2012</v>
      </c>
      <c r="E892" t="s">
        <v>38</v>
      </c>
      <c r="F892" t="s">
        <v>143</v>
      </c>
      <c r="G892" t="s">
        <v>86</v>
      </c>
      <c r="H892" s="72" t="s">
        <v>220</v>
      </c>
      <c r="I892" s="72" t="s">
        <v>62</v>
      </c>
      <c r="J892" t="str">
        <f t="shared" si="52"/>
        <v>Skykomish River</v>
      </c>
      <c r="K892" t="str">
        <f>IFERROR(VLOOKUP(J892,LUTs!$A$1:$C$73,2,FALSE),"NA")</f>
        <v>Snohomish</v>
      </c>
      <c r="L892" t="str">
        <f>IFERROR(VLOOKUP(J892,LUTs!$A$1:$C$73,3,FALSE),"NA")</f>
        <v>2Central Puget Sound</v>
      </c>
      <c r="M892" s="72" t="s">
        <v>26</v>
      </c>
      <c r="N892" t="str">
        <f>VLOOKUP(M892,LUTs!E$2:H$14,3,)</f>
        <v>20Other</v>
      </c>
      <c r="O892" t="str">
        <f>VLOOKUP(M892,LUTs!E$2:H$14,4,)</f>
        <v>07Non Puget Sound</v>
      </c>
      <c r="P892" s="80">
        <v>2.9465648854961799</v>
      </c>
      <c r="Q892" s="102">
        <v>2.9465648854961799</v>
      </c>
      <c r="R892" s="74">
        <f>VLOOKUP(B892,Readme!A$40:C$52,3,)*Q892</f>
        <v>25.163664122137373</v>
      </c>
    </row>
    <row r="893" spans="1:18" ht="12" customHeight="1" x14ac:dyDescent="0.35">
      <c r="A893" s="75">
        <v>886</v>
      </c>
      <c r="B893" s="80">
        <v>2012</v>
      </c>
      <c r="C893" s="80">
        <v>11</v>
      </c>
      <c r="D893" s="80">
        <f t="shared" si="49"/>
        <v>2012</v>
      </c>
      <c r="E893" t="s">
        <v>38</v>
      </c>
      <c r="F893" t="s">
        <v>143</v>
      </c>
      <c r="G893" t="s">
        <v>86</v>
      </c>
      <c r="H893" s="72" t="s">
        <v>220</v>
      </c>
      <c r="I893" s="72" t="s">
        <v>62</v>
      </c>
      <c r="J893" t="str">
        <f t="shared" si="52"/>
        <v>Skykomish River</v>
      </c>
      <c r="K893" t="str">
        <f>IFERROR(VLOOKUP(J893,LUTs!$A$1:$C$73,2,FALSE),"NA")</f>
        <v>Snohomish</v>
      </c>
      <c r="L893" t="str">
        <f>IFERROR(VLOOKUP(J893,LUTs!$A$1:$C$73,3,FALSE),"NA")</f>
        <v>2Central Puget Sound</v>
      </c>
      <c r="M893" s="72" t="s">
        <v>20</v>
      </c>
      <c r="N893" t="str">
        <f>VLOOKUP(M893,LUTs!E$2:H$14,3,)</f>
        <v>07Pierce</v>
      </c>
      <c r="O893" t="str">
        <f>VLOOKUP(M893,LUTs!E$2:H$14,4,)</f>
        <v>02South Puget Sound</v>
      </c>
      <c r="P893" s="80">
        <v>2.9465648854961799</v>
      </c>
      <c r="Q893" s="102">
        <v>2.9465648854961799</v>
      </c>
      <c r="R893" s="74">
        <f>VLOOKUP(B893,Readme!A$40:C$52,3,)*Q893</f>
        <v>25.163664122137373</v>
      </c>
    </row>
    <row r="894" spans="1:18" ht="12" customHeight="1" x14ac:dyDescent="0.35">
      <c r="A894" s="75">
        <v>887</v>
      </c>
      <c r="B894" s="80">
        <v>2012</v>
      </c>
      <c r="C894" s="80">
        <v>11</v>
      </c>
      <c r="D894" s="80">
        <f t="shared" si="49"/>
        <v>2012</v>
      </c>
      <c r="E894" t="s">
        <v>38</v>
      </c>
      <c r="F894" t="s">
        <v>143</v>
      </c>
      <c r="G894" t="s">
        <v>86</v>
      </c>
      <c r="H894" s="72" t="s">
        <v>220</v>
      </c>
      <c r="I894" s="72" t="s">
        <v>62</v>
      </c>
      <c r="J894" t="str">
        <f t="shared" si="52"/>
        <v>Skykomish River</v>
      </c>
      <c r="K894" t="str">
        <f>IFERROR(VLOOKUP(J894,LUTs!$A$1:$C$73,2,FALSE),"NA")</f>
        <v>Snohomish</v>
      </c>
      <c r="L894" t="str">
        <f>IFERROR(VLOOKUP(J894,LUTs!$A$1:$C$73,3,FALSE),"NA")</f>
        <v>2Central Puget Sound</v>
      </c>
      <c r="M894" s="72" t="s">
        <v>16</v>
      </c>
      <c r="N894" t="str">
        <f>VLOOKUP(M894,LUTs!E$2:H$14,3,)</f>
        <v>03Snohomish</v>
      </c>
      <c r="O894" t="str">
        <f>VLOOKUP(M894,LUTs!E$2:H$14,4,)</f>
        <v>01North Puget Sound</v>
      </c>
      <c r="P894" s="80">
        <v>253.404580152672</v>
      </c>
      <c r="Q894" s="102">
        <v>253.404580152672</v>
      </c>
      <c r="R894" s="74">
        <f>VLOOKUP(B894,Readme!A$40:C$52,3,)*Q894</f>
        <v>2164.0751145038184</v>
      </c>
    </row>
    <row r="895" spans="1:18" ht="12" customHeight="1" x14ac:dyDescent="0.35">
      <c r="A895" s="75">
        <v>933</v>
      </c>
      <c r="B895" s="80">
        <v>2012</v>
      </c>
      <c r="C895" s="80">
        <v>11</v>
      </c>
      <c r="D895" s="80">
        <f t="shared" si="49"/>
        <v>2012</v>
      </c>
      <c r="E895" t="s">
        <v>38</v>
      </c>
      <c r="F895" t="s">
        <v>143</v>
      </c>
      <c r="G895" t="s">
        <v>86</v>
      </c>
      <c r="H895" s="72" t="s">
        <v>221</v>
      </c>
      <c r="I895" s="72" t="s">
        <v>63</v>
      </c>
      <c r="J895" t="str">
        <f t="shared" si="52"/>
        <v>Snohomish River</v>
      </c>
      <c r="K895" t="str">
        <f>IFERROR(VLOOKUP(J895,LUTs!$A$1:$C$73,2,FALSE),"NA")</f>
        <v>Snohomish</v>
      </c>
      <c r="L895" t="str">
        <f>IFERROR(VLOOKUP(J895,LUTs!$A$1:$C$73,3,FALSE),"NA")</f>
        <v>2Central Puget Sound</v>
      </c>
      <c r="M895" s="72" t="s">
        <v>16</v>
      </c>
      <c r="N895" t="str">
        <f>VLOOKUP(M895,LUTs!E$2:H$14,3,)</f>
        <v>03Snohomish</v>
      </c>
      <c r="O895" t="str">
        <f>VLOOKUP(M895,LUTs!E$2:H$14,4,)</f>
        <v>01North Puget Sound</v>
      </c>
      <c r="P895" s="80">
        <v>39</v>
      </c>
      <c r="Q895" s="102">
        <v>39</v>
      </c>
      <c r="R895" s="74">
        <f>VLOOKUP(B895,Readme!A$40:C$52,3,)*Q895</f>
        <v>333.05999999999995</v>
      </c>
    </row>
    <row r="896" spans="1:18" ht="12" customHeight="1" x14ac:dyDescent="0.35">
      <c r="A896" s="75">
        <v>943</v>
      </c>
      <c r="B896" s="80">
        <v>2012</v>
      </c>
      <c r="C896" s="80">
        <v>11</v>
      </c>
      <c r="D896" s="80">
        <f t="shared" si="49"/>
        <v>2012</v>
      </c>
      <c r="E896" t="s">
        <v>38</v>
      </c>
      <c r="F896" t="s">
        <v>143</v>
      </c>
      <c r="G896" t="s">
        <v>86</v>
      </c>
      <c r="H896" s="72" t="s">
        <v>222</v>
      </c>
      <c r="I896" s="72" t="s">
        <v>64</v>
      </c>
      <c r="J896" t="str">
        <f t="shared" si="52"/>
        <v>Snoqualmie River</v>
      </c>
      <c r="K896" t="str">
        <f>IFERROR(VLOOKUP(J896,LUTs!$A$1:$C$73,2,FALSE),"NA")</f>
        <v>Snohomish/King</v>
      </c>
      <c r="L896" t="str">
        <f>IFERROR(VLOOKUP(J896,LUTs!$A$1:$C$73,3,FALSE),"NA")</f>
        <v>2Central Puget Sound</v>
      </c>
      <c r="M896" s="72" t="s">
        <v>18</v>
      </c>
      <c r="N896" t="str">
        <f>VLOOKUP(M896,LUTs!E$2:H$14,3,)</f>
        <v>06King</v>
      </c>
      <c r="O896" t="str">
        <f>VLOOKUP(M896,LUTs!E$2:H$14,4,)</f>
        <v>02South Puget Sound</v>
      </c>
      <c r="P896" s="80">
        <v>83.034482758620697</v>
      </c>
      <c r="Q896" s="102">
        <v>83.034482758620697</v>
      </c>
      <c r="R896" s="74">
        <f>VLOOKUP(B896,Readme!A$40:C$52,3,)*Q896</f>
        <v>709.11448275862074</v>
      </c>
    </row>
    <row r="897" spans="1:18" ht="12" customHeight="1" x14ac:dyDescent="0.35">
      <c r="A897" s="75">
        <v>944</v>
      </c>
      <c r="B897" s="80">
        <v>2012</v>
      </c>
      <c r="C897" s="80">
        <v>11</v>
      </c>
      <c r="D897" s="80">
        <f t="shared" si="49"/>
        <v>2012</v>
      </c>
      <c r="E897" t="s">
        <v>38</v>
      </c>
      <c r="F897" t="s">
        <v>143</v>
      </c>
      <c r="G897" t="s">
        <v>86</v>
      </c>
      <c r="H897" s="72" t="s">
        <v>222</v>
      </c>
      <c r="I897" s="72" t="s">
        <v>64</v>
      </c>
      <c r="J897" t="str">
        <f t="shared" si="52"/>
        <v>Snoqualmie River</v>
      </c>
      <c r="K897" t="str">
        <f>IFERROR(VLOOKUP(J897,LUTs!$A$1:$C$73,2,FALSE),"NA")</f>
        <v>Snohomish/King</v>
      </c>
      <c r="L897" t="str">
        <f>IFERROR(VLOOKUP(J897,LUTs!$A$1:$C$73,3,FALSE),"NA")</f>
        <v>2Central Puget Sound</v>
      </c>
      <c r="M897" s="72" t="s">
        <v>16</v>
      </c>
      <c r="N897" t="str">
        <f>VLOOKUP(M897,LUTs!E$2:H$14,3,)</f>
        <v>03Snohomish</v>
      </c>
      <c r="O897" t="str">
        <f>VLOOKUP(M897,LUTs!E$2:H$14,4,)</f>
        <v>01North Puget Sound</v>
      </c>
      <c r="P897" s="80">
        <v>2.9655172413793101</v>
      </c>
      <c r="Q897" s="102">
        <v>2.9655172413793101</v>
      </c>
      <c r="R897" s="74">
        <f>VLOOKUP(B897,Readme!A$40:C$52,3,)*Q897</f>
        <v>25.325517241379305</v>
      </c>
    </row>
    <row r="898" spans="1:18" ht="12" customHeight="1" x14ac:dyDescent="0.35">
      <c r="A898" s="75">
        <v>1009</v>
      </c>
      <c r="B898" s="80">
        <v>2012</v>
      </c>
      <c r="C898" s="80">
        <v>11</v>
      </c>
      <c r="D898" s="80">
        <f t="shared" ref="D898:D961" si="53">IF(C898&gt;3,B898,B898-1)</f>
        <v>2012</v>
      </c>
      <c r="E898" t="s">
        <v>38</v>
      </c>
      <c r="F898" t="s">
        <v>143</v>
      </c>
      <c r="G898" t="s">
        <v>86</v>
      </c>
      <c r="H898" s="72" t="s">
        <v>223</v>
      </c>
      <c r="I898" s="72" t="s">
        <v>103</v>
      </c>
      <c r="J898" t="str">
        <f t="shared" si="52"/>
        <v>Stillaguamish R, No. Fork</v>
      </c>
      <c r="K898" t="str">
        <f>IFERROR(VLOOKUP(J898,LUTs!$A$1:$C$73,2,FALSE),"NA")</f>
        <v>Snohomish</v>
      </c>
      <c r="L898" t="str">
        <f>IFERROR(VLOOKUP(J898,LUTs!$A$1:$C$73,3,FALSE),"NA")</f>
        <v>2Central Puget Sound</v>
      </c>
      <c r="M898" s="72" t="s">
        <v>15</v>
      </c>
      <c r="N898" t="str">
        <f>VLOOKUP(M898,LUTs!E$2:H$14,3,)</f>
        <v>02Skagit</v>
      </c>
      <c r="O898" t="str">
        <f>VLOOKUP(M898,LUTs!E$2:H$14,4,)</f>
        <v>01North Puget Sound</v>
      </c>
      <c r="P898" s="80">
        <v>5.8947368421052602</v>
      </c>
      <c r="Q898" s="102">
        <v>5.8947368421052602</v>
      </c>
      <c r="R898" s="74">
        <f>VLOOKUP(B898,Readme!A$40:C$52,3,)*Q898</f>
        <v>50.341052631578918</v>
      </c>
    </row>
    <row r="899" spans="1:18" ht="12" customHeight="1" x14ac:dyDescent="0.35">
      <c r="A899" s="75">
        <v>1010</v>
      </c>
      <c r="B899" s="80">
        <v>2012</v>
      </c>
      <c r="C899" s="80">
        <v>11</v>
      </c>
      <c r="D899" s="80">
        <f t="shared" si="53"/>
        <v>2012</v>
      </c>
      <c r="E899" t="s">
        <v>38</v>
      </c>
      <c r="F899" t="s">
        <v>143</v>
      </c>
      <c r="G899" t="s">
        <v>86</v>
      </c>
      <c r="H899" s="72" t="s">
        <v>223</v>
      </c>
      <c r="I899" s="72" t="s">
        <v>103</v>
      </c>
      <c r="J899" t="str">
        <f t="shared" si="52"/>
        <v>Stillaguamish R, No. Fork</v>
      </c>
      <c r="K899" t="str">
        <f>IFERROR(VLOOKUP(J899,LUTs!$A$1:$C$73,2,FALSE),"NA")</f>
        <v>Snohomish</v>
      </c>
      <c r="L899" t="str">
        <f>IFERROR(VLOOKUP(J899,LUTs!$A$1:$C$73,3,FALSE),"NA")</f>
        <v>2Central Puget Sound</v>
      </c>
      <c r="M899" s="72" t="s">
        <v>16</v>
      </c>
      <c r="N899" t="str">
        <f>VLOOKUP(M899,LUTs!E$2:H$14,3,)</f>
        <v>03Snohomish</v>
      </c>
      <c r="O899" t="str">
        <f>VLOOKUP(M899,LUTs!E$2:H$14,4,)</f>
        <v>01North Puget Sound</v>
      </c>
      <c r="P899" s="80">
        <v>50.105263157894797</v>
      </c>
      <c r="Q899" s="102">
        <v>50.105263157894797</v>
      </c>
      <c r="R899" s="74">
        <f>VLOOKUP(B899,Readme!A$40:C$52,3,)*Q899</f>
        <v>427.89894736842155</v>
      </c>
    </row>
    <row r="900" spans="1:18" ht="12" customHeight="1" x14ac:dyDescent="0.35">
      <c r="A900" s="75">
        <v>1028</v>
      </c>
      <c r="B900" s="80">
        <v>2012</v>
      </c>
      <c r="C900" s="80">
        <v>11</v>
      </c>
      <c r="D900" s="80">
        <f t="shared" si="53"/>
        <v>2012</v>
      </c>
      <c r="E900" t="s">
        <v>38</v>
      </c>
      <c r="F900" t="s">
        <v>143</v>
      </c>
      <c r="G900" t="s">
        <v>86</v>
      </c>
      <c r="H900" s="72" t="s">
        <v>253</v>
      </c>
      <c r="I900" s="72" t="s">
        <v>65</v>
      </c>
      <c r="J900" t="str">
        <f t="shared" si="52"/>
        <v>Stillaguamish River</v>
      </c>
      <c r="K900" t="str">
        <f>IFERROR(VLOOKUP(J900,LUTs!$A$1:$C$73,2,FALSE),"NA")</f>
        <v>Snohomish</v>
      </c>
      <c r="L900" t="str">
        <f>IFERROR(VLOOKUP(J900,LUTs!$A$1:$C$73,3,FALSE),"NA")</f>
        <v>2Central Puget Sound</v>
      </c>
      <c r="M900" s="72" t="s">
        <v>15</v>
      </c>
      <c r="N900" t="str">
        <f>VLOOKUP(M900,LUTs!E$2:H$14,3,)</f>
        <v>02Skagit</v>
      </c>
      <c r="O900" t="str">
        <f>VLOOKUP(M900,LUTs!E$2:H$14,4,)</f>
        <v>01North Puget Sound</v>
      </c>
      <c r="P900" s="80">
        <v>3</v>
      </c>
      <c r="Q900" s="102">
        <v>3</v>
      </c>
      <c r="R900" s="74">
        <f>VLOOKUP(B900,Readme!A$40:C$52,3,)*Q900</f>
        <v>25.619999999999997</v>
      </c>
    </row>
    <row r="901" spans="1:18" ht="12" customHeight="1" x14ac:dyDescent="0.35">
      <c r="A901" s="75">
        <v>956</v>
      </c>
      <c r="B901" s="80">
        <v>2012</v>
      </c>
      <c r="C901" s="80">
        <v>11</v>
      </c>
      <c r="D901" s="80">
        <f t="shared" si="53"/>
        <v>2012</v>
      </c>
      <c r="E901" t="s">
        <v>38</v>
      </c>
      <c r="F901" t="s">
        <v>143</v>
      </c>
      <c r="G901" t="s">
        <v>86</v>
      </c>
      <c r="H901" s="72" t="s">
        <v>249</v>
      </c>
      <c r="I901" s="72" t="s">
        <v>100</v>
      </c>
      <c r="J901" t="str">
        <f t="shared" si="52"/>
        <v>Sultan River</v>
      </c>
      <c r="K901" t="str">
        <f>IFERROR(VLOOKUP(J901,LUTs!$A$1:$C$73,2,FALSE),"NA")</f>
        <v>Snohomish</v>
      </c>
      <c r="L901" t="str">
        <f>IFERROR(VLOOKUP(J901,LUTs!$A$1:$C$73,3,FALSE),"NA")</f>
        <v>2Central Puget Sound</v>
      </c>
      <c r="M901" s="72" t="s">
        <v>16</v>
      </c>
      <c r="N901" t="str">
        <f>VLOOKUP(M901,LUTs!E$2:H$14,3,)</f>
        <v>03Snohomish</v>
      </c>
      <c r="O901" t="str">
        <f>VLOOKUP(M901,LUTs!E$2:H$14,4,)</f>
        <v>01North Puget Sound</v>
      </c>
      <c r="P901" s="80">
        <v>3</v>
      </c>
      <c r="Q901" s="102">
        <v>3</v>
      </c>
      <c r="R901" s="74">
        <f>VLOOKUP(B901,Readme!A$40:C$52,3,)*Q901</f>
        <v>25.619999999999997</v>
      </c>
    </row>
    <row r="902" spans="1:18" ht="12" customHeight="1" x14ac:dyDescent="0.35">
      <c r="A902" s="75">
        <v>979</v>
      </c>
      <c r="B902" s="80">
        <v>2012</v>
      </c>
      <c r="C902" s="80">
        <v>11</v>
      </c>
      <c r="D902" s="80">
        <f t="shared" si="53"/>
        <v>2012</v>
      </c>
      <c r="E902" t="s">
        <v>38</v>
      </c>
      <c r="F902" t="s">
        <v>143</v>
      </c>
      <c r="G902" t="s">
        <v>86</v>
      </c>
      <c r="H902" s="72" t="s">
        <v>233</v>
      </c>
      <c r="I902" s="72" t="s">
        <v>76</v>
      </c>
      <c r="J902" t="str">
        <f t="shared" si="52"/>
        <v>Wallace River</v>
      </c>
      <c r="K902" t="str">
        <f>IFERROR(VLOOKUP(J902,LUTs!$A$1:$C$73,2,FALSE),"NA")</f>
        <v>Snohomish</v>
      </c>
      <c r="L902" t="str">
        <f>IFERROR(VLOOKUP(J902,LUTs!$A$1:$C$73,3,FALSE),"NA")</f>
        <v>2Central Puget Sound</v>
      </c>
      <c r="M902" s="72" t="s">
        <v>18</v>
      </c>
      <c r="N902" t="str">
        <f>VLOOKUP(M902,LUTs!E$2:H$14,3,)</f>
        <v>06King</v>
      </c>
      <c r="O902" t="str">
        <f>VLOOKUP(M902,LUTs!E$2:H$14,4,)</f>
        <v>02South Puget Sound</v>
      </c>
      <c r="P902" s="80">
        <v>2.9090909090909101</v>
      </c>
      <c r="Q902" s="102">
        <v>2.9090909090909101</v>
      </c>
      <c r="R902" s="74">
        <f>VLOOKUP(B902,Readme!A$40:C$52,3,)*Q902</f>
        <v>24.843636363636371</v>
      </c>
    </row>
    <row r="903" spans="1:18" ht="12" customHeight="1" x14ac:dyDescent="0.35">
      <c r="A903" s="75">
        <v>980</v>
      </c>
      <c r="B903" s="80">
        <v>2012</v>
      </c>
      <c r="C903" s="80">
        <v>11</v>
      </c>
      <c r="D903" s="80">
        <f t="shared" si="53"/>
        <v>2012</v>
      </c>
      <c r="E903" t="s">
        <v>38</v>
      </c>
      <c r="F903" t="s">
        <v>143</v>
      </c>
      <c r="G903" t="s">
        <v>86</v>
      </c>
      <c r="H903" s="72" t="s">
        <v>233</v>
      </c>
      <c r="I903" s="72" t="s">
        <v>76</v>
      </c>
      <c r="J903" t="str">
        <f t="shared" si="52"/>
        <v>Wallace River</v>
      </c>
      <c r="K903" t="str">
        <f>IFERROR(VLOOKUP(J903,LUTs!$A$1:$C$73,2,FALSE),"NA")</f>
        <v>Snohomish</v>
      </c>
      <c r="L903" t="str">
        <f>IFERROR(VLOOKUP(J903,LUTs!$A$1:$C$73,3,FALSE),"NA")</f>
        <v>2Central Puget Sound</v>
      </c>
      <c r="M903" s="72" t="s">
        <v>26</v>
      </c>
      <c r="N903" t="str">
        <f>VLOOKUP(M903,LUTs!E$2:H$14,3,)</f>
        <v>20Other</v>
      </c>
      <c r="O903" t="str">
        <f>VLOOKUP(M903,LUTs!E$2:H$14,4,)</f>
        <v>07Non Puget Sound</v>
      </c>
      <c r="P903" s="80">
        <v>2.9090909090909101</v>
      </c>
      <c r="Q903" s="102">
        <v>2.9090909090909101</v>
      </c>
      <c r="R903" s="74">
        <f>VLOOKUP(B903,Readme!A$40:C$52,3,)*Q903</f>
        <v>24.843636363636371</v>
      </c>
    </row>
    <row r="904" spans="1:18" ht="12" customHeight="1" x14ac:dyDescent="0.35">
      <c r="A904" s="75">
        <v>981</v>
      </c>
      <c r="B904" s="80">
        <v>2012</v>
      </c>
      <c r="C904" s="80">
        <v>11</v>
      </c>
      <c r="D904" s="80">
        <f t="shared" si="53"/>
        <v>2012</v>
      </c>
      <c r="E904" t="s">
        <v>38</v>
      </c>
      <c r="F904" t="s">
        <v>143</v>
      </c>
      <c r="G904" t="s">
        <v>86</v>
      </c>
      <c r="H904" s="72" t="s">
        <v>233</v>
      </c>
      <c r="I904" s="72" t="s">
        <v>76</v>
      </c>
      <c r="J904" t="str">
        <f t="shared" si="52"/>
        <v>Wallace River</v>
      </c>
      <c r="K904" t="str">
        <f>IFERROR(VLOOKUP(J904,LUTs!$A$1:$C$73,2,FALSE),"NA")</f>
        <v>Snohomish</v>
      </c>
      <c r="L904" t="str">
        <f>IFERROR(VLOOKUP(J904,LUTs!$A$1:$C$73,3,FALSE),"NA")</f>
        <v>2Central Puget Sound</v>
      </c>
      <c r="M904" s="72" t="s">
        <v>16</v>
      </c>
      <c r="N904" t="str">
        <f>VLOOKUP(M904,LUTs!E$2:H$14,3,)</f>
        <v>03Snohomish</v>
      </c>
      <c r="O904" t="str">
        <f>VLOOKUP(M904,LUTs!E$2:H$14,4,)</f>
        <v>01North Puget Sound</v>
      </c>
      <c r="P904" s="80">
        <v>26.181818181818201</v>
      </c>
      <c r="Q904" s="102">
        <v>26.181818181818201</v>
      </c>
      <c r="R904" s="74">
        <f>VLOOKUP(B904,Readme!A$40:C$52,3,)*Q904</f>
        <v>223.59272727272742</v>
      </c>
    </row>
    <row r="905" spans="1:18" ht="12" customHeight="1" x14ac:dyDescent="0.35">
      <c r="A905" s="75">
        <v>804</v>
      </c>
      <c r="B905" s="80">
        <v>2012</v>
      </c>
      <c r="C905" s="80">
        <v>12</v>
      </c>
      <c r="D905" s="80">
        <f t="shared" si="53"/>
        <v>2012</v>
      </c>
      <c r="E905" t="s">
        <v>38</v>
      </c>
      <c r="F905" t="s">
        <v>143</v>
      </c>
      <c r="G905" t="s">
        <v>86</v>
      </c>
      <c r="H905" s="72" t="s">
        <v>258</v>
      </c>
      <c r="I905" s="72" t="s">
        <v>32</v>
      </c>
      <c r="J905" t="str">
        <f t="shared" si="52"/>
        <v>Area 8-2: Port Susan-Port Gardner</v>
      </c>
      <c r="K905" t="str">
        <f>IFERROR(VLOOKUP(J905,LUTs!$A$1:$C$73,2,FALSE),"NA")</f>
        <v>NA</v>
      </c>
      <c r="L905" t="str">
        <f>IFERROR(VLOOKUP(J905,LUTs!$A$1:$C$73,3,FALSE),"NA")</f>
        <v>2Central Puget Sound</v>
      </c>
      <c r="M905" s="72" t="s">
        <v>16</v>
      </c>
      <c r="N905" t="str">
        <f>VLOOKUP(M905,LUTs!E$2:H$14,3,)</f>
        <v>03Snohomish</v>
      </c>
      <c r="O905" t="str">
        <f>VLOOKUP(M905,LUTs!E$2:H$14,4,)</f>
        <v>01North Puget Sound</v>
      </c>
      <c r="P905" s="80">
        <v>4</v>
      </c>
      <c r="Q905" s="102">
        <v>4</v>
      </c>
      <c r="R905" s="74">
        <f>VLOOKUP(B905,Readme!A$40:C$52,3,)*Q905</f>
        <v>34.159999999999997</v>
      </c>
    </row>
    <row r="906" spans="1:18" ht="12" customHeight="1" x14ac:dyDescent="0.35">
      <c r="A906" s="75">
        <v>1042</v>
      </c>
      <c r="B906" s="80">
        <v>2012</v>
      </c>
      <c r="C906" s="80">
        <v>12</v>
      </c>
      <c r="D906" s="80">
        <f t="shared" si="53"/>
        <v>2012</v>
      </c>
      <c r="E906" t="s">
        <v>38</v>
      </c>
      <c r="F906" t="s">
        <v>143</v>
      </c>
      <c r="G906" t="s">
        <v>86</v>
      </c>
      <c r="H906" s="72" t="s">
        <v>254</v>
      </c>
      <c r="I906" s="72" t="s">
        <v>33</v>
      </c>
      <c r="J906" t="str">
        <f t="shared" si="52"/>
        <v>Area 9: Admiralty Inlet</v>
      </c>
      <c r="K906" t="str">
        <f>IFERROR(VLOOKUP(J906,LUTs!$A$1:$C$73,2,FALSE),"NA")</f>
        <v>NA</v>
      </c>
      <c r="L906" t="str">
        <f>IFERROR(VLOOKUP(J906,LUTs!$A$1:$C$73,3,FALSE),"NA")</f>
        <v>2Central Puget Sound</v>
      </c>
      <c r="M906" s="72" t="s">
        <v>17</v>
      </c>
      <c r="N906" t="str">
        <f>VLOOKUP(M906,LUTs!E$2:H$14,3,)</f>
        <v>04Island</v>
      </c>
      <c r="O906" t="str">
        <f>VLOOKUP(M906,LUTs!E$2:H$14,4,)</f>
        <v>01North Puget Sound</v>
      </c>
      <c r="P906" s="80">
        <v>8.5</v>
      </c>
      <c r="Q906" s="102">
        <v>8.5</v>
      </c>
      <c r="R906" s="74">
        <f>VLOOKUP(B906,Readme!A$40:C$52,3,)*Q906</f>
        <v>72.589999999999989</v>
      </c>
    </row>
    <row r="907" spans="1:18" ht="12" customHeight="1" x14ac:dyDescent="0.35">
      <c r="A907" s="75">
        <v>1043</v>
      </c>
      <c r="B907" s="80">
        <v>2012</v>
      </c>
      <c r="C907" s="80">
        <v>12</v>
      </c>
      <c r="D907" s="80">
        <f t="shared" si="53"/>
        <v>2012</v>
      </c>
      <c r="E907" t="s">
        <v>38</v>
      </c>
      <c r="F907" t="s">
        <v>143</v>
      </c>
      <c r="G907" t="s">
        <v>86</v>
      </c>
      <c r="H907" s="72" t="s">
        <v>254</v>
      </c>
      <c r="I907" s="72" t="s">
        <v>33</v>
      </c>
      <c r="J907" t="str">
        <f t="shared" si="52"/>
        <v>Area 9: Admiralty Inlet</v>
      </c>
      <c r="K907" t="str">
        <f>IFERROR(VLOOKUP(J907,LUTs!$A$1:$C$73,2,FALSE),"NA")</f>
        <v>NA</v>
      </c>
      <c r="L907" t="str">
        <f>IFERROR(VLOOKUP(J907,LUTs!$A$1:$C$73,3,FALSE),"NA")</f>
        <v>2Central Puget Sound</v>
      </c>
      <c r="M907" s="72" t="s">
        <v>26</v>
      </c>
      <c r="N907" t="str">
        <f>VLOOKUP(M907,LUTs!E$2:H$14,3,)</f>
        <v>20Other</v>
      </c>
      <c r="O907" t="str">
        <f>VLOOKUP(M907,LUTs!E$2:H$14,4,)</f>
        <v>07Non Puget Sound</v>
      </c>
      <c r="P907" s="80">
        <v>4.25</v>
      </c>
      <c r="Q907" s="102">
        <v>4.25</v>
      </c>
      <c r="R907" s="74">
        <f>VLOOKUP(B907,Readme!A$40:C$52,3,)*Q907</f>
        <v>36.294999999999995</v>
      </c>
    </row>
    <row r="908" spans="1:18" ht="12" customHeight="1" x14ac:dyDescent="0.35">
      <c r="A908" s="75">
        <v>1044</v>
      </c>
      <c r="B908" s="80">
        <v>2012</v>
      </c>
      <c r="C908" s="80">
        <v>12</v>
      </c>
      <c r="D908" s="80">
        <f t="shared" si="53"/>
        <v>2012</v>
      </c>
      <c r="E908" t="s">
        <v>38</v>
      </c>
      <c r="F908" t="s">
        <v>143</v>
      </c>
      <c r="G908" t="s">
        <v>86</v>
      </c>
      <c r="H908" s="72" t="s">
        <v>254</v>
      </c>
      <c r="I908" s="72" t="s">
        <v>33</v>
      </c>
      <c r="J908" t="str">
        <f t="shared" si="52"/>
        <v>Area 9: Admiralty Inlet</v>
      </c>
      <c r="K908" t="str">
        <f>IFERROR(VLOOKUP(J908,LUTs!$A$1:$C$73,2,FALSE),"NA")</f>
        <v>NA</v>
      </c>
      <c r="L908" t="str">
        <f>IFERROR(VLOOKUP(J908,LUTs!$A$1:$C$73,3,FALSE),"NA")</f>
        <v>2Central Puget Sound</v>
      </c>
      <c r="M908" s="72" t="s">
        <v>16</v>
      </c>
      <c r="N908" t="str">
        <f>VLOOKUP(M908,LUTs!E$2:H$14,3,)</f>
        <v>03Snohomish</v>
      </c>
      <c r="O908" t="str">
        <f>VLOOKUP(M908,LUTs!E$2:H$14,4,)</f>
        <v>01North Puget Sound</v>
      </c>
      <c r="P908" s="80">
        <v>4.25</v>
      </c>
      <c r="Q908" s="102">
        <v>4.25</v>
      </c>
      <c r="R908" s="74">
        <f>VLOOKUP(B908,Readme!A$40:C$52,3,)*Q908</f>
        <v>36.294999999999995</v>
      </c>
    </row>
    <row r="909" spans="1:18" ht="12" customHeight="1" x14ac:dyDescent="0.35">
      <c r="A909" s="75">
        <v>819</v>
      </c>
      <c r="B909" s="80">
        <v>2012</v>
      </c>
      <c r="C909" s="80">
        <v>12</v>
      </c>
      <c r="D909" s="80">
        <f t="shared" si="53"/>
        <v>2012</v>
      </c>
      <c r="E909" t="s">
        <v>38</v>
      </c>
      <c r="F909" t="s">
        <v>143</v>
      </c>
      <c r="G909" t="s">
        <v>86</v>
      </c>
      <c r="H909" s="72" t="s">
        <v>217</v>
      </c>
      <c r="I909" s="72" t="s">
        <v>59</v>
      </c>
      <c r="J909" t="str">
        <f t="shared" si="52"/>
        <v>Cascade River</v>
      </c>
      <c r="K909" t="str">
        <f>IFERROR(VLOOKUP(J909,LUTs!$A$1:$C$73,2,FALSE),"NA")</f>
        <v>Skagit</v>
      </c>
      <c r="L909" t="str">
        <f>IFERROR(VLOOKUP(J909,LUTs!$A$1:$C$73,3,FALSE),"NA")</f>
        <v>1North Puget Sound</v>
      </c>
      <c r="M909" s="72" t="s">
        <v>17</v>
      </c>
      <c r="N909" t="str">
        <f>VLOOKUP(M909,LUTs!E$2:H$14,3,)</f>
        <v>04Island</v>
      </c>
      <c r="O909" t="str">
        <f>VLOOKUP(M909,LUTs!E$2:H$14,4,)</f>
        <v>01North Puget Sound</v>
      </c>
      <c r="P909" s="80">
        <v>2.3518518518518499</v>
      </c>
      <c r="Q909" s="102">
        <v>2.3518518518518499</v>
      </c>
      <c r="R909" s="74">
        <f>VLOOKUP(B909,Readme!A$40:C$52,3,)*Q909</f>
        <v>20.084814814814795</v>
      </c>
    </row>
    <row r="910" spans="1:18" ht="12" customHeight="1" x14ac:dyDescent="0.35">
      <c r="A910" s="75">
        <v>820</v>
      </c>
      <c r="B910" s="80">
        <v>2012</v>
      </c>
      <c r="C910" s="80">
        <v>12</v>
      </c>
      <c r="D910" s="80">
        <f t="shared" si="53"/>
        <v>2012</v>
      </c>
      <c r="E910" t="s">
        <v>38</v>
      </c>
      <c r="F910" t="s">
        <v>143</v>
      </c>
      <c r="G910" t="s">
        <v>86</v>
      </c>
      <c r="H910" s="72" t="s">
        <v>217</v>
      </c>
      <c r="I910" s="72" t="s">
        <v>59</v>
      </c>
      <c r="J910" t="str">
        <f t="shared" si="52"/>
        <v>Cascade River</v>
      </c>
      <c r="K910" t="str">
        <f>IFERROR(VLOOKUP(J910,LUTs!$A$1:$C$73,2,FALSE),"NA")</f>
        <v>Skagit</v>
      </c>
      <c r="L910" t="str">
        <f>IFERROR(VLOOKUP(J910,LUTs!$A$1:$C$73,3,FALSE),"NA")</f>
        <v>1North Puget Sound</v>
      </c>
      <c r="M910" s="72" t="s">
        <v>26</v>
      </c>
      <c r="N910" t="str">
        <f>VLOOKUP(M910,LUTs!E$2:H$14,3,)</f>
        <v>20Other</v>
      </c>
      <c r="O910" t="str">
        <f>VLOOKUP(M910,LUTs!E$2:H$14,4,)</f>
        <v>07Non Puget Sound</v>
      </c>
      <c r="P910" s="80">
        <v>7.0555555555555598</v>
      </c>
      <c r="Q910" s="102">
        <v>7.0555555555555598</v>
      </c>
      <c r="R910" s="74">
        <f>VLOOKUP(B910,Readme!A$40:C$52,3,)*Q910</f>
        <v>60.254444444444474</v>
      </c>
    </row>
    <row r="911" spans="1:18" ht="12" customHeight="1" x14ac:dyDescent="0.35">
      <c r="A911" s="75">
        <v>821</v>
      </c>
      <c r="B911" s="80">
        <v>2012</v>
      </c>
      <c r="C911" s="80">
        <v>12</v>
      </c>
      <c r="D911" s="80">
        <f t="shared" si="53"/>
        <v>2012</v>
      </c>
      <c r="E911" t="s">
        <v>38</v>
      </c>
      <c r="F911" t="s">
        <v>143</v>
      </c>
      <c r="G911" t="s">
        <v>86</v>
      </c>
      <c r="H911" s="72" t="s">
        <v>217</v>
      </c>
      <c r="I911" s="72" t="s">
        <v>59</v>
      </c>
      <c r="J911" t="str">
        <f t="shared" si="52"/>
        <v>Cascade River</v>
      </c>
      <c r="K911" t="str">
        <f>IFERROR(VLOOKUP(J911,LUTs!$A$1:$C$73,2,FALSE),"NA")</f>
        <v>Skagit</v>
      </c>
      <c r="L911" t="str">
        <f>IFERROR(VLOOKUP(J911,LUTs!$A$1:$C$73,3,FALSE),"NA")</f>
        <v>1North Puget Sound</v>
      </c>
      <c r="M911" s="72" t="s">
        <v>15</v>
      </c>
      <c r="N911" t="str">
        <f>VLOOKUP(M911,LUTs!E$2:H$14,3,)</f>
        <v>02Skagit</v>
      </c>
      <c r="O911" t="str">
        <f>VLOOKUP(M911,LUTs!E$2:H$14,4,)</f>
        <v>01North Puget Sound</v>
      </c>
      <c r="P911" s="80">
        <v>63.5</v>
      </c>
      <c r="Q911" s="102">
        <v>63.5</v>
      </c>
      <c r="R911" s="74">
        <f>VLOOKUP(B911,Readme!A$40:C$52,3,)*Q911</f>
        <v>542.29</v>
      </c>
    </row>
    <row r="912" spans="1:18" ht="12" customHeight="1" x14ac:dyDescent="0.35">
      <c r="A912" s="75">
        <v>822</v>
      </c>
      <c r="B912" s="80">
        <v>2012</v>
      </c>
      <c r="C912" s="80">
        <v>12</v>
      </c>
      <c r="D912" s="80">
        <f t="shared" si="53"/>
        <v>2012</v>
      </c>
      <c r="E912" t="s">
        <v>38</v>
      </c>
      <c r="F912" t="s">
        <v>143</v>
      </c>
      <c r="G912" t="s">
        <v>86</v>
      </c>
      <c r="H912" s="72" t="s">
        <v>217</v>
      </c>
      <c r="I912" s="72" t="s">
        <v>59</v>
      </c>
      <c r="J912" t="str">
        <f t="shared" si="52"/>
        <v>Cascade River</v>
      </c>
      <c r="K912" t="str">
        <f>IFERROR(VLOOKUP(J912,LUTs!$A$1:$C$73,2,FALSE),"NA")</f>
        <v>Skagit</v>
      </c>
      <c r="L912" t="str">
        <f>IFERROR(VLOOKUP(J912,LUTs!$A$1:$C$73,3,FALSE),"NA")</f>
        <v>1North Puget Sound</v>
      </c>
      <c r="M912" s="72" t="s">
        <v>16</v>
      </c>
      <c r="N912" t="str">
        <f>VLOOKUP(M912,LUTs!E$2:H$14,3,)</f>
        <v>03Snohomish</v>
      </c>
      <c r="O912" t="str">
        <f>VLOOKUP(M912,LUTs!E$2:H$14,4,)</f>
        <v>01North Puget Sound</v>
      </c>
      <c r="P912" s="80">
        <v>39.981481481481502</v>
      </c>
      <c r="Q912" s="102">
        <v>39.981481481481502</v>
      </c>
      <c r="R912" s="74">
        <f>VLOOKUP(B912,Readme!A$40:C$52,3,)*Q912</f>
        <v>341.44185185185199</v>
      </c>
    </row>
    <row r="913" spans="1:18" ht="12" customHeight="1" x14ac:dyDescent="0.35">
      <c r="A913" s="75">
        <v>823</v>
      </c>
      <c r="B913" s="80">
        <v>2012</v>
      </c>
      <c r="C913" s="80">
        <v>12</v>
      </c>
      <c r="D913" s="80">
        <f t="shared" si="53"/>
        <v>2012</v>
      </c>
      <c r="E913" t="s">
        <v>38</v>
      </c>
      <c r="F913" t="s">
        <v>143</v>
      </c>
      <c r="G913" t="s">
        <v>86</v>
      </c>
      <c r="H913" s="72" t="s">
        <v>217</v>
      </c>
      <c r="I913" s="72" t="s">
        <v>59</v>
      </c>
      <c r="J913" t="str">
        <f t="shared" si="52"/>
        <v>Cascade River</v>
      </c>
      <c r="K913" t="str">
        <f>IFERROR(VLOOKUP(J913,LUTs!$A$1:$C$73,2,FALSE),"NA")</f>
        <v>Skagit</v>
      </c>
      <c r="L913" t="str">
        <f>IFERROR(VLOOKUP(J913,LUTs!$A$1:$C$73,3,FALSE),"NA")</f>
        <v>1North Puget Sound</v>
      </c>
      <c r="M913" s="72" t="s">
        <v>13</v>
      </c>
      <c r="N913" t="str">
        <f>VLOOKUP(M913,LUTs!E$2:H$14,3,)</f>
        <v>01Whatcom</v>
      </c>
      <c r="O913" t="str">
        <f>VLOOKUP(M913,LUTs!E$2:H$14,4,)</f>
        <v>01North Puget Sound</v>
      </c>
      <c r="P913" s="80">
        <v>14.1111111111111</v>
      </c>
      <c r="Q913" s="102">
        <v>14.1111111111111</v>
      </c>
      <c r="R913" s="74">
        <f>VLOOKUP(B913,Readme!A$40:C$52,3,)*Q913</f>
        <v>120.50888888888878</v>
      </c>
    </row>
    <row r="914" spans="1:18" ht="12" customHeight="1" x14ac:dyDescent="0.35">
      <c r="A914" s="75">
        <v>742</v>
      </c>
      <c r="B914" s="80">
        <v>2012</v>
      </c>
      <c r="C914" s="80">
        <v>12</v>
      </c>
      <c r="D914" s="80">
        <f t="shared" si="53"/>
        <v>2012</v>
      </c>
      <c r="E914" t="s">
        <v>38</v>
      </c>
      <c r="F914" t="s">
        <v>143</v>
      </c>
      <c r="G914" t="s">
        <v>86</v>
      </c>
      <c r="H914" s="72" t="s">
        <v>201</v>
      </c>
      <c r="I914" s="72" t="s">
        <v>43</v>
      </c>
      <c r="J914" t="str">
        <f t="shared" si="52"/>
        <v>Dungeness River</v>
      </c>
      <c r="K914" t="str">
        <f>IFERROR(VLOOKUP(J914,LUTs!$A$1:$C$73,2,FALSE),"NA")</f>
        <v>Clallam</v>
      </c>
      <c r="L914" t="str">
        <f>IFERROR(VLOOKUP(J914,LUTs!$A$1:$C$73,3,FALSE),"NA")</f>
        <v>0Strait of Juan de Fuca</v>
      </c>
      <c r="M914" s="72" t="s">
        <v>24</v>
      </c>
      <c r="N914" t="str">
        <f>VLOOKUP(M914,LUTs!E$2:H$14,3,)</f>
        <v>11Clallam</v>
      </c>
      <c r="O914" t="str">
        <f>VLOOKUP(M914,LUTs!E$2:H$14,4,)</f>
        <v>03Strait of Juan de Fuca</v>
      </c>
      <c r="P914" s="80">
        <v>35.200000000000003</v>
      </c>
      <c r="Q914" s="102">
        <v>35.200000000000003</v>
      </c>
      <c r="R914" s="74">
        <f>VLOOKUP(B914,Readme!A$40:C$52,3,)*Q914</f>
        <v>300.608</v>
      </c>
    </row>
    <row r="915" spans="1:18" ht="12" customHeight="1" x14ac:dyDescent="0.35">
      <c r="A915" s="75">
        <v>743</v>
      </c>
      <c r="B915" s="80">
        <v>2012</v>
      </c>
      <c r="C915" s="80">
        <v>12</v>
      </c>
      <c r="D915" s="80">
        <f t="shared" si="53"/>
        <v>2012</v>
      </c>
      <c r="E915" t="s">
        <v>38</v>
      </c>
      <c r="F915" t="s">
        <v>143</v>
      </c>
      <c r="G915" t="s">
        <v>86</v>
      </c>
      <c r="H915" s="72" t="s">
        <v>201</v>
      </c>
      <c r="I915" s="72" t="s">
        <v>43</v>
      </c>
      <c r="J915" t="str">
        <f t="shared" si="52"/>
        <v>Dungeness River</v>
      </c>
      <c r="K915" t="str">
        <f>IFERROR(VLOOKUP(J915,LUTs!$A$1:$C$73,2,FALSE),"NA")</f>
        <v>Clallam</v>
      </c>
      <c r="L915" t="str">
        <f>IFERROR(VLOOKUP(J915,LUTs!$A$1:$C$73,3,FALSE),"NA")</f>
        <v>0Strait of Juan de Fuca</v>
      </c>
      <c r="M915" s="72" t="s">
        <v>25</v>
      </c>
      <c r="N915" t="str">
        <f>VLOOKUP(M915,LUTs!E$2:H$14,3,)</f>
        <v>12Jefferson</v>
      </c>
      <c r="O915" t="str">
        <f>VLOOKUP(M915,LUTs!E$2:H$14,4,)</f>
        <v>03Strait of Juan de Fuca</v>
      </c>
      <c r="P915" s="80">
        <v>3.2</v>
      </c>
      <c r="Q915" s="102">
        <v>3.2</v>
      </c>
      <c r="R915" s="74">
        <f>VLOOKUP(B915,Readme!A$40:C$52,3,)*Q915</f>
        <v>27.327999999999999</v>
      </c>
    </row>
    <row r="916" spans="1:18" ht="12" customHeight="1" x14ac:dyDescent="0.35">
      <c r="A916" s="75">
        <v>744</v>
      </c>
      <c r="B916" s="80">
        <v>2012</v>
      </c>
      <c r="C916" s="80">
        <v>12</v>
      </c>
      <c r="D916" s="80">
        <f t="shared" si="53"/>
        <v>2012</v>
      </c>
      <c r="E916" t="s">
        <v>38</v>
      </c>
      <c r="F916" t="s">
        <v>143</v>
      </c>
      <c r="G916" t="s">
        <v>86</v>
      </c>
      <c r="H916" s="72" t="s">
        <v>201</v>
      </c>
      <c r="I916" s="72" t="s">
        <v>43</v>
      </c>
      <c r="J916" t="str">
        <f t="shared" si="52"/>
        <v>Dungeness River</v>
      </c>
      <c r="K916" t="str">
        <f>IFERROR(VLOOKUP(J916,LUTs!$A$1:$C$73,2,FALSE),"NA")</f>
        <v>Clallam</v>
      </c>
      <c r="L916" t="str">
        <f>IFERROR(VLOOKUP(J916,LUTs!$A$1:$C$73,3,FALSE),"NA")</f>
        <v>0Strait of Juan de Fuca</v>
      </c>
      <c r="M916" s="72" t="s">
        <v>13</v>
      </c>
      <c r="N916" t="str">
        <f>VLOOKUP(M916,LUTs!E$2:H$14,3,)</f>
        <v>01Whatcom</v>
      </c>
      <c r="O916" t="str">
        <f>VLOOKUP(M916,LUTs!E$2:H$14,4,)</f>
        <v>01North Puget Sound</v>
      </c>
      <c r="P916" s="80">
        <v>9.6</v>
      </c>
      <c r="Q916" s="102">
        <v>9.6</v>
      </c>
      <c r="R916" s="74">
        <f>VLOOKUP(B916,Readme!A$40:C$52,3,)*Q916</f>
        <v>81.983999999999995</v>
      </c>
    </row>
    <row r="917" spans="1:18" ht="12" customHeight="1" x14ac:dyDescent="0.35">
      <c r="A917" s="75">
        <v>761</v>
      </c>
      <c r="B917" s="80">
        <v>2012</v>
      </c>
      <c r="C917" s="80">
        <v>12</v>
      </c>
      <c r="D917" s="80">
        <f t="shared" si="53"/>
        <v>2012</v>
      </c>
      <c r="E917" t="s">
        <v>38</v>
      </c>
      <c r="F917" t="s">
        <v>143</v>
      </c>
      <c r="G917" t="s">
        <v>86</v>
      </c>
      <c r="H917" s="72" t="s">
        <v>203</v>
      </c>
      <c r="I917" s="72" t="s">
        <v>89</v>
      </c>
      <c r="J917" s="84" t="s">
        <v>45</v>
      </c>
      <c r="K917" t="str">
        <f>IFERROR(VLOOKUP(J917,LUTs!$A$1:$C$73,2,FALSE),"NA")</f>
        <v>King</v>
      </c>
      <c r="L917" t="str">
        <f>IFERROR(VLOOKUP(J917,LUTs!$A$1:$C$73,3,FALSE),"NA")</f>
        <v>3South Puget Sound</v>
      </c>
      <c r="M917" s="72" t="s">
        <v>18</v>
      </c>
      <c r="N917" t="str">
        <f>VLOOKUP(M917,LUTs!E$2:H$14,3,)</f>
        <v>06King</v>
      </c>
      <c r="O917" t="str">
        <f>VLOOKUP(M917,LUTs!E$2:H$14,4,)</f>
        <v>02South Puget Sound</v>
      </c>
      <c r="P917" s="80">
        <v>78.513513513513502</v>
      </c>
      <c r="Q917" s="102">
        <v>78.513513513513502</v>
      </c>
      <c r="R917" s="74">
        <f>VLOOKUP(B917,Readme!A$40:C$52,3,)*Q917</f>
        <v>670.50540540540521</v>
      </c>
    </row>
    <row r="918" spans="1:18" ht="12" customHeight="1" x14ac:dyDescent="0.35">
      <c r="A918" s="75">
        <v>762</v>
      </c>
      <c r="B918" s="80">
        <v>2012</v>
      </c>
      <c r="C918" s="80">
        <v>12</v>
      </c>
      <c r="D918" s="80">
        <f t="shared" si="53"/>
        <v>2012</v>
      </c>
      <c r="E918" t="s">
        <v>38</v>
      </c>
      <c r="F918" t="s">
        <v>143</v>
      </c>
      <c r="G918" t="s">
        <v>86</v>
      </c>
      <c r="H918" s="72" t="s">
        <v>203</v>
      </c>
      <c r="I918" s="72" t="s">
        <v>89</v>
      </c>
      <c r="J918" s="84" t="s">
        <v>45</v>
      </c>
      <c r="K918" t="str">
        <f>IFERROR(VLOOKUP(J918,LUTs!$A$1:$C$73,2,FALSE),"NA")</f>
        <v>King</v>
      </c>
      <c r="L918" t="str">
        <f>IFERROR(VLOOKUP(J918,LUTs!$A$1:$C$73,3,FALSE),"NA")</f>
        <v>3South Puget Sound</v>
      </c>
      <c r="M918" s="72" t="s">
        <v>20</v>
      </c>
      <c r="N918" t="str">
        <f>VLOOKUP(M918,LUTs!E$2:H$14,3,)</f>
        <v>07Pierce</v>
      </c>
      <c r="O918" t="str">
        <f>VLOOKUP(M918,LUTs!E$2:H$14,4,)</f>
        <v>02South Puget Sound</v>
      </c>
      <c r="P918" s="80">
        <v>4.4864864864864904</v>
      </c>
      <c r="Q918" s="102">
        <v>4.4864864864864904</v>
      </c>
      <c r="R918" s="74">
        <f>VLOOKUP(B918,Readme!A$40:C$52,3,)*Q918</f>
        <v>38.314594594594624</v>
      </c>
    </row>
    <row r="919" spans="1:18" ht="12" customHeight="1" x14ac:dyDescent="0.35">
      <c r="A919" s="75">
        <v>768</v>
      </c>
      <c r="B919" s="80">
        <v>2012</v>
      </c>
      <c r="C919" s="80">
        <v>12</v>
      </c>
      <c r="D919" s="80">
        <f t="shared" si="53"/>
        <v>2012</v>
      </c>
      <c r="E919" t="s">
        <v>38</v>
      </c>
      <c r="F919" t="s">
        <v>143</v>
      </c>
      <c r="G919" t="s">
        <v>86</v>
      </c>
      <c r="H919" s="72" t="s">
        <v>204</v>
      </c>
      <c r="I919" s="72" t="s">
        <v>46</v>
      </c>
      <c r="J919" t="str">
        <f t="shared" ref="J919:J950" si="54">I919</f>
        <v>Hoko River</v>
      </c>
      <c r="K919" t="str">
        <f>IFERROR(VLOOKUP(J919,LUTs!$A$1:$C$73,2,FALSE),"NA")</f>
        <v>Clallam</v>
      </c>
      <c r="L919" t="str">
        <f>IFERROR(VLOOKUP(J919,LUTs!$A$1:$C$73,3,FALSE),"NA")</f>
        <v>0Strait of Juan de Fuca</v>
      </c>
      <c r="M919" s="72" t="s">
        <v>24</v>
      </c>
      <c r="N919" t="str">
        <f>VLOOKUP(M919,LUTs!E$2:H$14,3,)</f>
        <v>11Clallam</v>
      </c>
      <c r="O919" t="str">
        <f>VLOOKUP(M919,LUTs!E$2:H$14,4,)</f>
        <v>03Strait of Juan de Fuca</v>
      </c>
      <c r="P919" s="80">
        <v>55.2</v>
      </c>
      <c r="Q919" s="102">
        <v>55.2</v>
      </c>
      <c r="R919" s="74">
        <f>VLOOKUP(B919,Readme!A$40:C$52,3,)*Q919</f>
        <v>471.40799999999996</v>
      </c>
    </row>
    <row r="920" spans="1:18" ht="12" customHeight="1" x14ac:dyDescent="0.35">
      <c r="A920" s="75">
        <v>769</v>
      </c>
      <c r="B920" s="80">
        <v>2012</v>
      </c>
      <c r="C920" s="80">
        <v>12</v>
      </c>
      <c r="D920" s="80">
        <f t="shared" si="53"/>
        <v>2012</v>
      </c>
      <c r="E920" t="s">
        <v>38</v>
      </c>
      <c r="F920" t="s">
        <v>143</v>
      </c>
      <c r="G920" t="s">
        <v>86</v>
      </c>
      <c r="H920" s="72" t="s">
        <v>204</v>
      </c>
      <c r="I920" s="72" t="s">
        <v>46</v>
      </c>
      <c r="J920" t="str">
        <f t="shared" si="54"/>
        <v>Hoko River</v>
      </c>
      <c r="K920" t="str">
        <f>IFERROR(VLOOKUP(J920,LUTs!$A$1:$C$73,2,FALSE),"NA")</f>
        <v>Clallam</v>
      </c>
      <c r="L920" t="str">
        <f>IFERROR(VLOOKUP(J920,LUTs!$A$1:$C$73,3,FALSE),"NA")</f>
        <v>0Strait of Juan de Fuca</v>
      </c>
      <c r="M920" s="72" t="s">
        <v>17</v>
      </c>
      <c r="N920" t="str">
        <f>VLOOKUP(M920,LUTs!E$2:H$14,3,)</f>
        <v>04Island</v>
      </c>
      <c r="O920" t="str">
        <f>VLOOKUP(M920,LUTs!E$2:H$14,4,)</f>
        <v>01North Puget Sound</v>
      </c>
      <c r="P920" s="80">
        <v>4.8</v>
      </c>
      <c r="Q920" s="102">
        <v>4.8</v>
      </c>
      <c r="R920" s="74">
        <f>VLOOKUP(B920,Readme!A$40:C$52,3,)*Q920</f>
        <v>40.991999999999997</v>
      </c>
    </row>
    <row r="921" spans="1:18" ht="12" customHeight="1" x14ac:dyDescent="0.35">
      <c r="A921" s="75">
        <v>770</v>
      </c>
      <c r="B921" s="80">
        <v>2012</v>
      </c>
      <c r="C921" s="80">
        <v>12</v>
      </c>
      <c r="D921" s="80">
        <f t="shared" si="53"/>
        <v>2012</v>
      </c>
      <c r="E921" t="s">
        <v>38</v>
      </c>
      <c r="F921" t="s">
        <v>143</v>
      </c>
      <c r="G921" t="s">
        <v>86</v>
      </c>
      <c r="H921" s="72" t="s">
        <v>204</v>
      </c>
      <c r="I921" s="72" t="s">
        <v>46</v>
      </c>
      <c r="J921" t="str">
        <f t="shared" si="54"/>
        <v>Hoko River</v>
      </c>
      <c r="K921" t="str">
        <f>IFERROR(VLOOKUP(J921,LUTs!$A$1:$C$73,2,FALSE),"NA")</f>
        <v>Clallam</v>
      </c>
      <c r="L921" t="str">
        <f>IFERROR(VLOOKUP(J921,LUTs!$A$1:$C$73,3,FALSE),"NA")</f>
        <v>0Strait of Juan de Fuca</v>
      </c>
      <c r="M921" s="72" t="s">
        <v>18</v>
      </c>
      <c r="N921" t="str">
        <f>VLOOKUP(M921,LUTs!E$2:H$14,3,)</f>
        <v>06King</v>
      </c>
      <c r="O921" t="str">
        <f>VLOOKUP(M921,LUTs!E$2:H$14,4,)</f>
        <v>02South Puget Sound</v>
      </c>
      <c r="P921" s="80">
        <v>7.2</v>
      </c>
      <c r="Q921" s="102">
        <v>7.2</v>
      </c>
      <c r="R921" s="74">
        <f>VLOOKUP(B921,Readme!A$40:C$52,3,)*Q921</f>
        <v>61.487999999999992</v>
      </c>
    </row>
    <row r="922" spans="1:18" ht="12" customHeight="1" x14ac:dyDescent="0.35">
      <c r="A922" s="75">
        <v>771</v>
      </c>
      <c r="B922" s="80">
        <v>2012</v>
      </c>
      <c r="C922" s="80">
        <v>12</v>
      </c>
      <c r="D922" s="80">
        <f t="shared" si="53"/>
        <v>2012</v>
      </c>
      <c r="E922" t="s">
        <v>38</v>
      </c>
      <c r="F922" t="s">
        <v>143</v>
      </c>
      <c r="G922" t="s">
        <v>86</v>
      </c>
      <c r="H922" s="72" t="s">
        <v>204</v>
      </c>
      <c r="I922" s="72" t="s">
        <v>46</v>
      </c>
      <c r="J922" t="str">
        <f t="shared" si="54"/>
        <v>Hoko River</v>
      </c>
      <c r="K922" t="str">
        <f>IFERROR(VLOOKUP(J922,LUTs!$A$1:$C$73,2,FALSE),"NA")</f>
        <v>Clallam</v>
      </c>
      <c r="L922" t="str">
        <f>IFERROR(VLOOKUP(J922,LUTs!$A$1:$C$73,3,FALSE),"NA")</f>
        <v>0Strait of Juan de Fuca</v>
      </c>
      <c r="M922" s="72" t="s">
        <v>20</v>
      </c>
      <c r="N922" t="str">
        <f>VLOOKUP(M922,LUTs!E$2:H$14,3,)</f>
        <v>07Pierce</v>
      </c>
      <c r="O922" t="str">
        <f>VLOOKUP(M922,LUTs!E$2:H$14,4,)</f>
        <v>02South Puget Sound</v>
      </c>
      <c r="P922" s="80">
        <v>26.4</v>
      </c>
      <c r="Q922" s="102">
        <v>26.4</v>
      </c>
      <c r="R922" s="74">
        <f>VLOOKUP(B922,Readme!A$40:C$52,3,)*Q922</f>
        <v>225.45599999999996</v>
      </c>
    </row>
    <row r="923" spans="1:18" ht="12" customHeight="1" x14ac:dyDescent="0.35">
      <c r="A923" s="75">
        <v>772</v>
      </c>
      <c r="B923" s="80">
        <v>2012</v>
      </c>
      <c r="C923" s="80">
        <v>12</v>
      </c>
      <c r="D923" s="80">
        <f t="shared" si="53"/>
        <v>2012</v>
      </c>
      <c r="E923" t="s">
        <v>38</v>
      </c>
      <c r="F923" t="s">
        <v>143</v>
      </c>
      <c r="G923" t="s">
        <v>86</v>
      </c>
      <c r="H923" s="72" t="s">
        <v>204</v>
      </c>
      <c r="I923" s="72" t="s">
        <v>46</v>
      </c>
      <c r="J923" t="str">
        <f t="shared" si="54"/>
        <v>Hoko River</v>
      </c>
      <c r="K923" t="str">
        <f>IFERROR(VLOOKUP(J923,LUTs!$A$1:$C$73,2,FALSE),"NA")</f>
        <v>Clallam</v>
      </c>
      <c r="L923" t="str">
        <f>IFERROR(VLOOKUP(J923,LUTs!$A$1:$C$73,3,FALSE),"NA")</f>
        <v>0Strait of Juan de Fuca</v>
      </c>
      <c r="M923" s="72" t="s">
        <v>15</v>
      </c>
      <c r="N923" t="str">
        <f>VLOOKUP(M923,LUTs!E$2:H$14,3,)</f>
        <v>02Skagit</v>
      </c>
      <c r="O923" t="str">
        <f>VLOOKUP(M923,LUTs!E$2:H$14,4,)</f>
        <v>01North Puget Sound</v>
      </c>
      <c r="P923" s="80">
        <v>2.4</v>
      </c>
      <c r="Q923" s="102">
        <v>2.4</v>
      </c>
      <c r="R923" s="74">
        <f>VLOOKUP(B923,Readme!A$40:C$52,3,)*Q923</f>
        <v>20.495999999999999</v>
      </c>
    </row>
    <row r="924" spans="1:18" ht="12" customHeight="1" x14ac:dyDescent="0.35">
      <c r="A924" s="75">
        <v>783</v>
      </c>
      <c r="B924" s="80">
        <v>2012</v>
      </c>
      <c r="C924" s="80">
        <v>12</v>
      </c>
      <c r="D924" s="80">
        <f t="shared" si="53"/>
        <v>2012</v>
      </c>
      <c r="E924" t="s">
        <v>38</v>
      </c>
      <c r="F924" t="s">
        <v>143</v>
      </c>
      <c r="G924" t="s">
        <v>86</v>
      </c>
      <c r="H924" s="72" t="s">
        <v>237</v>
      </c>
      <c r="I924" s="72" t="s">
        <v>79</v>
      </c>
      <c r="J924" t="str">
        <f t="shared" si="54"/>
        <v>Lyre River</v>
      </c>
      <c r="K924" t="str">
        <f>IFERROR(VLOOKUP(J924,LUTs!$A$1:$C$73,2,FALSE),"NA")</f>
        <v>Clallam</v>
      </c>
      <c r="L924" t="str">
        <f>IFERROR(VLOOKUP(J924,LUTs!$A$1:$C$73,3,FALSE),"NA")</f>
        <v>0Strait of Juan de Fuca</v>
      </c>
      <c r="M924" s="72" t="s">
        <v>24</v>
      </c>
      <c r="N924" t="str">
        <f>VLOOKUP(M924,LUTs!E$2:H$14,3,)</f>
        <v>11Clallam</v>
      </c>
      <c r="O924" t="str">
        <f>VLOOKUP(M924,LUTs!E$2:H$14,4,)</f>
        <v>03Strait of Juan de Fuca</v>
      </c>
      <c r="P924" s="80">
        <v>6.5</v>
      </c>
      <c r="Q924" s="102">
        <v>6.5</v>
      </c>
      <c r="R924" s="74">
        <f>VLOOKUP(B924,Readme!A$40:C$52,3,)*Q924</f>
        <v>55.509999999999991</v>
      </c>
    </row>
    <row r="925" spans="1:18" ht="12" customHeight="1" x14ac:dyDescent="0.35">
      <c r="A925" s="75">
        <v>784</v>
      </c>
      <c r="B925" s="80">
        <v>2012</v>
      </c>
      <c r="C925" s="80">
        <v>12</v>
      </c>
      <c r="D925" s="80">
        <f t="shared" si="53"/>
        <v>2012</v>
      </c>
      <c r="E925" t="s">
        <v>38</v>
      </c>
      <c r="F925" t="s">
        <v>143</v>
      </c>
      <c r="G925" t="s">
        <v>86</v>
      </c>
      <c r="H925" s="72" t="s">
        <v>237</v>
      </c>
      <c r="I925" s="72" t="s">
        <v>79</v>
      </c>
      <c r="J925" t="str">
        <f t="shared" si="54"/>
        <v>Lyre River</v>
      </c>
      <c r="K925" t="str">
        <f>IFERROR(VLOOKUP(J925,LUTs!$A$1:$C$73,2,FALSE),"NA")</f>
        <v>Clallam</v>
      </c>
      <c r="L925" t="str">
        <f>IFERROR(VLOOKUP(J925,LUTs!$A$1:$C$73,3,FALSE),"NA")</f>
        <v>0Strait of Juan de Fuca</v>
      </c>
      <c r="M925" s="72" t="s">
        <v>17</v>
      </c>
      <c r="N925" t="str">
        <f>VLOOKUP(M925,LUTs!E$2:H$14,3,)</f>
        <v>04Island</v>
      </c>
      <c r="O925" t="str">
        <f>VLOOKUP(M925,LUTs!E$2:H$14,4,)</f>
        <v>01North Puget Sound</v>
      </c>
      <c r="P925" s="80">
        <v>6.5</v>
      </c>
      <c r="Q925" s="102">
        <v>6.5</v>
      </c>
      <c r="R925" s="74">
        <f>VLOOKUP(B925,Readme!A$40:C$52,3,)*Q925</f>
        <v>55.509999999999991</v>
      </c>
    </row>
    <row r="926" spans="1:18" ht="12" customHeight="1" x14ac:dyDescent="0.35">
      <c r="A926" s="75">
        <v>787</v>
      </c>
      <c r="B926" s="80">
        <v>2012</v>
      </c>
      <c r="C926" s="80">
        <v>12</v>
      </c>
      <c r="D926" s="80">
        <f t="shared" si="53"/>
        <v>2012</v>
      </c>
      <c r="E926" t="s">
        <v>38</v>
      </c>
      <c r="F926" t="s">
        <v>143</v>
      </c>
      <c r="G926" t="s">
        <v>86</v>
      </c>
      <c r="H926" s="72" t="s">
        <v>238</v>
      </c>
      <c r="I926" s="72" t="s">
        <v>91</v>
      </c>
      <c r="J926" t="str">
        <f t="shared" si="54"/>
        <v>Morse Creek (Clallam Co.)</v>
      </c>
      <c r="K926" t="str">
        <f>IFERROR(VLOOKUP(J926,LUTs!$A$1:$C$73,2,FALSE),"NA")</f>
        <v>Clallam</v>
      </c>
      <c r="L926" t="str">
        <f>IFERROR(VLOOKUP(J926,LUTs!$A$1:$C$73,3,FALSE),"NA")</f>
        <v>0Strait of Juan de Fuca</v>
      </c>
      <c r="M926" s="72" t="s">
        <v>24</v>
      </c>
      <c r="N926" t="str">
        <f>VLOOKUP(M926,LUTs!E$2:H$14,3,)</f>
        <v>11Clallam</v>
      </c>
      <c r="O926" t="str">
        <f>VLOOKUP(M926,LUTs!E$2:H$14,4,)</f>
        <v>03Strait of Juan de Fuca</v>
      </c>
      <c r="P926" s="80">
        <v>6</v>
      </c>
      <c r="Q926" s="102">
        <v>6</v>
      </c>
      <c r="R926" s="74">
        <f>VLOOKUP(B926,Readme!A$40:C$52,3,)*Q926</f>
        <v>51.239999999999995</v>
      </c>
    </row>
    <row r="927" spans="1:18" ht="12" customHeight="1" x14ac:dyDescent="0.35">
      <c r="A927" s="75">
        <v>793</v>
      </c>
      <c r="B927" s="80">
        <v>2012</v>
      </c>
      <c r="C927" s="80">
        <v>12</v>
      </c>
      <c r="D927" s="80">
        <f t="shared" si="53"/>
        <v>2012</v>
      </c>
      <c r="E927" t="s">
        <v>38</v>
      </c>
      <c r="F927" t="s">
        <v>143</v>
      </c>
      <c r="G927" t="s">
        <v>86</v>
      </c>
      <c r="H927" s="72" t="s">
        <v>241</v>
      </c>
      <c r="I927" s="72" t="s">
        <v>83</v>
      </c>
      <c r="J927" t="str">
        <f t="shared" si="54"/>
        <v>Nooksack River, below North Fork</v>
      </c>
      <c r="K927" t="str">
        <f>IFERROR(VLOOKUP(J927,LUTs!$A$1:$C$73,2,FALSE),"NA")</f>
        <v>Whatcom</v>
      </c>
      <c r="L927" t="str">
        <f>IFERROR(VLOOKUP(J927,LUTs!$A$1:$C$73,3,FALSE),"NA")</f>
        <v>1North Puget Sound</v>
      </c>
      <c r="M927" s="72" t="s">
        <v>13</v>
      </c>
      <c r="N927" t="str">
        <f>VLOOKUP(M927,LUTs!E$2:H$14,3,)</f>
        <v>01Whatcom</v>
      </c>
      <c r="O927" t="str">
        <f>VLOOKUP(M927,LUTs!E$2:H$14,4,)</f>
        <v>01North Puget Sound</v>
      </c>
      <c r="P927" s="80">
        <v>13</v>
      </c>
      <c r="Q927" s="102">
        <v>13</v>
      </c>
      <c r="R927" s="74">
        <f>VLOOKUP(B927,Readme!A$40:C$52,3,)*Q927</f>
        <v>111.01999999999998</v>
      </c>
    </row>
    <row r="928" spans="1:18" ht="12" customHeight="1" x14ac:dyDescent="0.35">
      <c r="A928" s="75">
        <v>790</v>
      </c>
      <c r="B928" s="80">
        <v>2012</v>
      </c>
      <c r="C928" s="80">
        <v>12</v>
      </c>
      <c r="D928" s="80">
        <f t="shared" si="53"/>
        <v>2012</v>
      </c>
      <c r="E928" t="s">
        <v>38</v>
      </c>
      <c r="F928" t="s">
        <v>143</v>
      </c>
      <c r="G928" t="s">
        <v>86</v>
      </c>
      <c r="H928" s="72" t="s">
        <v>239</v>
      </c>
      <c r="I928" s="72" t="s">
        <v>92</v>
      </c>
      <c r="J928" t="str">
        <f t="shared" si="54"/>
        <v>Nooksack River, No. Fork</v>
      </c>
      <c r="K928" t="str">
        <f>IFERROR(VLOOKUP(J928,LUTs!$A$1:$C$73,2,FALSE),"NA")</f>
        <v>Whatcom</v>
      </c>
      <c r="L928" t="str">
        <f>IFERROR(VLOOKUP(J928,LUTs!$A$1:$C$73,3,FALSE),"NA")</f>
        <v>1North Puget Sound</v>
      </c>
      <c r="M928" s="72" t="s">
        <v>13</v>
      </c>
      <c r="N928" t="str">
        <f>VLOOKUP(M928,LUTs!E$2:H$14,3,)</f>
        <v>01Whatcom</v>
      </c>
      <c r="O928" t="str">
        <f>VLOOKUP(M928,LUTs!E$2:H$14,4,)</f>
        <v>01North Puget Sound</v>
      </c>
      <c r="P928" s="80">
        <v>13</v>
      </c>
      <c r="Q928" s="102">
        <v>13</v>
      </c>
      <c r="R928" s="74">
        <f>VLOOKUP(B928,Readme!A$40:C$52,3,)*Q928</f>
        <v>111.01999999999998</v>
      </c>
    </row>
    <row r="929" spans="1:18" ht="12" customHeight="1" x14ac:dyDescent="0.35">
      <c r="A929" s="75">
        <v>852</v>
      </c>
      <c r="B929" s="80">
        <v>2012</v>
      </c>
      <c r="C929" s="80">
        <v>12</v>
      </c>
      <c r="D929" s="80">
        <f t="shared" si="53"/>
        <v>2012</v>
      </c>
      <c r="E929" t="s">
        <v>38</v>
      </c>
      <c r="F929" t="s">
        <v>143</v>
      </c>
      <c r="G929" t="s">
        <v>86</v>
      </c>
      <c r="H929" s="72" t="s">
        <v>228</v>
      </c>
      <c r="I929" s="72" t="s">
        <v>70</v>
      </c>
      <c r="J929" t="str">
        <f t="shared" si="54"/>
        <v>Pilchuck River (Snohomish System)</v>
      </c>
      <c r="K929" t="str">
        <f>IFERROR(VLOOKUP(J929,LUTs!$A$1:$C$73,2,FALSE),"NA")</f>
        <v>Snohomish</v>
      </c>
      <c r="L929" t="str">
        <f>IFERROR(VLOOKUP(J929,LUTs!$A$1:$C$73,3,FALSE),"NA")</f>
        <v>2Central Puget Sound</v>
      </c>
      <c r="M929" s="72" t="s">
        <v>16</v>
      </c>
      <c r="N929" t="str">
        <f>VLOOKUP(M929,LUTs!E$2:H$14,3,)</f>
        <v>03Snohomish</v>
      </c>
      <c r="O929" t="str">
        <f>VLOOKUP(M929,LUTs!E$2:H$14,4,)</f>
        <v>01North Puget Sound</v>
      </c>
      <c r="P929" s="80">
        <v>18</v>
      </c>
      <c r="Q929" s="102">
        <v>18</v>
      </c>
      <c r="R929" s="74">
        <f>VLOOKUP(B929,Readme!A$40:C$52,3,)*Q929</f>
        <v>153.71999999999997</v>
      </c>
    </row>
    <row r="930" spans="1:18" ht="12" customHeight="1" x14ac:dyDescent="0.35">
      <c r="A930" s="75">
        <v>799</v>
      </c>
      <c r="B930" s="80">
        <v>2012</v>
      </c>
      <c r="C930" s="80">
        <v>12</v>
      </c>
      <c r="D930" s="80">
        <f t="shared" si="53"/>
        <v>2012</v>
      </c>
      <c r="E930" t="s">
        <v>38</v>
      </c>
      <c r="F930" t="s">
        <v>143</v>
      </c>
      <c r="G930" t="s">
        <v>86</v>
      </c>
      <c r="H930" s="72" t="s">
        <v>227</v>
      </c>
      <c r="I930" s="72" t="s">
        <v>69</v>
      </c>
      <c r="J930" t="str">
        <f t="shared" si="54"/>
        <v>Pysht River</v>
      </c>
      <c r="K930" t="str">
        <f>IFERROR(VLOOKUP(J930,LUTs!$A$1:$C$73,2,FALSE),"NA")</f>
        <v>Clallam</v>
      </c>
      <c r="L930" t="str">
        <f>IFERROR(VLOOKUP(J930,LUTs!$A$1:$C$73,3,FALSE),"NA")</f>
        <v>0Strait of Juan de Fuca</v>
      </c>
      <c r="M930" s="72" t="s">
        <v>24</v>
      </c>
      <c r="N930" t="str">
        <f>VLOOKUP(M930,LUTs!E$2:H$14,3,)</f>
        <v>11Clallam</v>
      </c>
      <c r="O930" t="str">
        <f>VLOOKUP(M930,LUTs!E$2:H$14,4,)</f>
        <v>03Strait of Juan de Fuca</v>
      </c>
      <c r="P930" s="80">
        <v>3</v>
      </c>
      <c r="Q930" s="102">
        <v>3</v>
      </c>
      <c r="R930" s="74">
        <f>VLOOKUP(B930,Readme!A$40:C$52,3,)*Q930</f>
        <v>25.619999999999997</v>
      </c>
    </row>
    <row r="931" spans="1:18" ht="12" customHeight="1" x14ac:dyDescent="0.35">
      <c r="A931" s="75">
        <v>803</v>
      </c>
      <c r="B931" s="80">
        <v>2012</v>
      </c>
      <c r="C931" s="80">
        <v>12</v>
      </c>
      <c r="D931" s="80">
        <f t="shared" si="53"/>
        <v>2012</v>
      </c>
      <c r="E931" t="s">
        <v>38</v>
      </c>
      <c r="F931" t="s">
        <v>143</v>
      </c>
      <c r="G931" t="s">
        <v>86</v>
      </c>
      <c r="H931" s="72" t="s">
        <v>244</v>
      </c>
      <c r="I931" s="72" t="s">
        <v>95</v>
      </c>
      <c r="J931" t="str">
        <f t="shared" si="54"/>
        <v>Sekiu River</v>
      </c>
      <c r="K931" t="str">
        <f>IFERROR(VLOOKUP(J931,LUTs!$A$1:$C$73,2,FALSE),"NA")</f>
        <v>Clallam</v>
      </c>
      <c r="L931" t="str">
        <f>IFERROR(VLOOKUP(J931,LUTs!$A$1:$C$73,3,FALSE),"NA")</f>
        <v>0Strait of Juan de Fuca</v>
      </c>
      <c r="M931" s="72" t="s">
        <v>24</v>
      </c>
      <c r="N931" t="str">
        <f>VLOOKUP(M931,LUTs!E$2:H$14,3,)</f>
        <v>11Clallam</v>
      </c>
      <c r="O931" t="str">
        <f>VLOOKUP(M931,LUTs!E$2:H$14,4,)</f>
        <v>03Strait of Juan de Fuca</v>
      </c>
      <c r="P931" s="80">
        <v>3</v>
      </c>
      <c r="Q931" s="102">
        <v>3</v>
      </c>
      <c r="R931" s="74">
        <f>VLOOKUP(B931,Readme!A$40:C$52,3,)*Q931</f>
        <v>25.619999999999997</v>
      </c>
    </row>
    <row r="932" spans="1:18" ht="12" customHeight="1" x14ac:dyDescent="0.35">
      <c r="A932" s="75">
        <v>843</v>
      </c>
      <c r="B932" s="80">
        <v>2012</v>
      </c>
      <c r="C932" s="80">
        <v>12</v>
      </c>
      <c r="D932" s="80">
        <f t="shared" si="53"/>
        <v>2012</v>
      </c>
      <c r="E932" t="s">
        <v>38</v>
      </c>
      <c r="F932" t="s">
        <v>143</v>
      </c>
      <c r="G932" t="s">
        <v>86</v>
      </c>
      <c r="H932" s="72" t="s">
        <v>218</v>
      </c>
      <c r="I932" s="72" t="s">
        <v>60</v>
      </c>
      <c r="J932" t="str">
        <f t="shared" si="54"/>
        <v>Skagit River</v>
      </c>
      <c r="K932" t="str">
        <f>IFERROR(VLOOKUP(J932,LUTs!$A$1:$C$73,2,FALSE),"NA")</f>
        <v>Skagit/Whatcom</v>
      </c>
      <c r="L932" t="str">
        <f>IFERROR(VLOOKUP(J932,LUTs!$A$1:$C$73,3,FALSE),"NA")</f>
        <v>2Central Puget Sound</v>
      </c>
      <c r="M932" s="72" t="s">
        <v>18</v>
      </c>
      <c r="N932" t="str">
        <f>VLOOKUP(M932,LUTs!E$2:H$14,3,)</f>
        <v>06King</v>
      </c>
      <c r="O932" t="str">
        <f>VLOOKUP(M932,LUTs!E$2:H$14,4,)</f>
        <v>02South Puget Sound</v>
      </c>
      <c r="P932" s="80">
        <v>9.4736842105263204</v>
      </c>
      <c r="Q932" s="102">
        <v>9.4736842105263204</v>
      </c>
      <c r="R932" s="74">
        <f>VLOOKUP(B932,Readme!A$40:C$52,3,)*Q932</f>
        <v>80.905263157894765</v>
      </c>
    </row>
    <row r="933" spans="1:18" ht="12" customHeight="1" x14ac:dyDescent="0.35">
      <c r="A933" s="75">
        <v>844</v>
      </c>
      <c r="B933" s="80">
        <v>2012</v>
      </c>
      <c r="C933" s="80">
        <v>12</v>
      </c>
      <c r="D933" s="80">
        <f t="shared" si="53"/>
        <v>2012</v>
      </c>
      <c r="E933" t="s">
        <v>38</v>
      </c>
      <c r="F933" t="s">
        <v>143</v>
      </c>
      <c r="G933" t="s">
        <v>86</v>
      </c>
      <c r="H933" s="72" t="s">
        <v>218</v>
      </c>
      <c r="I933" s="72" t="s">
        <v>60</v>
      </c>
      <c r="J933" t="str">
        <f t="shared" si="54"/>
        <v>Skagit River</v>
      </c>
      <c r="K933" t="str">
        <f>IFERROR(VLOOKUP(J933,LUTs!$A$1:$C$73,2,FALSE),"NA")</f>
        <v>Skagit/Whatcom</v>
      </c>
      <c r="L933" t="str">
        <f>IFERROR(VLOOKUP(J933,LUTs!$A$1:$C$73,3,FALSE),"NA")</f>
        <v>2Central Puget Sound</v>
      </c>
      <c r="M933" s="72" t="s">
        <v>20</v>
      </c>
      <c r="N933" t="str">
        <f>VLOOKUP(M933,LUTs!E$2:H$14,3,)</f>
        <v>07Pierce</v>
      </c>
      <c r="O933" t="str">
        <f>VLOOKUP(M933,LUTs!E$2:H$14,4,)</f>
        <v>02South Puget Sound</v>
      </c>
      <c r="P933" s="80">
        <v>2.3684210526315801</v>
      </c>
      <c r="Q933" s="102">
        <v>2.3684210526315801</v>
      </c>
      <c r="R933" s="74">
        <f>VLOOKUP(B933,Readme!A$40:C$52,3,)*Q933</f>
        <v>20.226315789473691</v>
      </c>
    </row>
    <row r="934" spans="1:18" ht="12" customHeight="1" x14ac:dyDescent="0.35">
      <c r="A934" s="75">
        <v>845</v>
      </c>
      <c r="B934" s="80">
        <v>2012</v>
      </c>
      <c r="C934" s="80">
        <v>12</v>
      </c>
      <c r="D934" s="80">
        <f t="shared" si="53"/>
        <v>2012</v>
      </c>
      <c r="E934" t="s">
        <v>38</v>
      </c>
      <c r="F934" t="s">
        <v>143</v>
      </c>
      <c r="G934" t="s">
        <v>86</v>
      </c>
      <c r="H934" s="72" t="s">
        <v>218</v>
      </c>
      <c r="I934" s="72" t="s">
        <v>60</v>
      </c>
      <c r="J934" t="str">
        <f t="shared" si="54"/>
        <v>Skagit River</v>
      </c>
      <c r="K934" t="str">
        <f>IFERROR(VLOOKUP(J934,LUTs!$A$1:$C$73,2,FALSE),"NA")</f>
        <v>Skagit/Whatcom</v>
      </c>
      <c r="L934" t="str">
        <f>IFERROR(VLOOKUP(J934,LUTs!$A$1:$C$73,3,FALSE),"NA")</f>
        <v>2Central Puget Sound</v>
      </c>
      <c r="M934" s="72" t="s">
        <v>15</v>
      </c>
      <c r="N934" t="str">
        <f>VLOOKUP(M934,LUTs!E$2:H$14,3,)</f>
        <v>02Skagit</v>
      </c>
      <c r="O934" t="str">
        <f>VLOOKUP(M934,LUTs!E$2:H$14,4,)</f>
        <v>01North Puget Sound</v>
      </c>
      <c r="P934" s="80">
        <v>28.421052631578998</v>
      </c>
      <c r="Q934" s="102">
        <v>28.421052631578998</v>
      </c>
      <c r="R934" s="74">
        <f>VLOOKUP(B934,Readme!A$40:C$52,3,)*Q934</f>
        <v>242.71578947368462</v>
      </c>
    </row>
    <row r="935" spans="1:18" ht="12" customHeight="1" x14ac:dyDescent="0.35">
      <c r="A935" s="75">
        <v>846</v>
      </c>
      <c r="B935" s="80">
        <v>2012</v>
      </c>
      <c r="C935" s="80">
        <v>12</v>
      </c>
      <c r="D935" s="80">
        <f t="shared" si="53"/>
        <v>2012</v>
      </c>
      <c r="E935" t="s">
        <v>38</v>
      </c>
      <c r="F935" t="s">
        <v>143</v>
      </c>
      <c r="G935" t="s">
        <v>86</v>
      </c>
      <c r="H935" s="72" t="s">
        <v>218</v>
      </c>
      <c r="I935" s="72" t="s">
        <v>60</v>
      </c>
      <c r="J935" t="str">
        <f t="shared" si="54"/>
        <v>Skagit River</v>
      </c>
      <c r="K935" t="str">
        <f>IFERROR(VLOOKUP(J935,LUTs!$A$1:$C$73,2,FALSE),"NA")</f>
        <v>Skagit/Whatcom</v>
      </c>
      <c r="L935" t="str">
        <f>IFERROR(VLOOKUP(J935,LUTs!$A$1:$C$73,3,FALSE),"NA")</f>
        <v>2Central Puget Sound</v>
      </c>
      <c r="M935" s="72" t="s">
        <v>16</v>
      </c>
      <c r="N935" t="str">
        <f>VLOOKUP(M935,LUTs!E$2:H$14,3,)</f>
        <v>03Snohomish</v>
      </c>
      <c r="O935" t="str">
        <f>VLOOKUP(M935,LUTs!E$2:H$14,4,)</f>
        <v>01North Puget Sound</v>
      </c>
      <c r="P935" s="80">
        <v>2.3684210526315801</v>
      </c>
      <c r="Q935" s="102">
        <v>2.3684210526315801</v>
      </c>
      <c r="R935" s="74">
        <f>VLOOKUP(B935,Readme!A$40:C$52,3,)*Q935</f>
        <v>20.226315789473691</v>
      </c>
    </row>
    <row r="936" spans="1:18" ht="12" customHeight="1" x14ac:dyDescent="0.35">
      <c r="A936" s="75">
        <v>847</v>
      </c>
      <c r="B936" s="80">
        <v>2012</v>
      </c>
      <c r="C936" s="80">
        <v>12</v>
      </c>
      <c r="D936" s="80">
        <f t="shared" si="53"/>
        <v>2012</v>
      </c>
      <c r="E936" t="s">
        <v>38</v>
      </c>
      <c r="F936" t="s">
        <v>143</v>
      </c>
      <c r="G936" t="s">
        <v>86</v>
      </c>
      <c r="H936" s="72" t="s">
        <v>218</v>
      </c>
      <c r="I936" s="72" t="s">
        <v>60</v>
      </c>
      <c r="J936" t="str">
        <f t="shared" si="54"/>
        <v>Skagit River</v>
      </c>
      <c r="K936" t="str">
        <f>IFERROR(VLOOKUP(J936,LUTs!$A$1:$C$73,2,FALSE),"NA")</f>
        <v>Skagit/Whatcom</v>
      </c>
      <c r="L936" t="str">
        <f>IFERROR(VLOOKUP(J936,LUTs!$A$1:$C$73,3,FALSE),"NA")</f>
        <v>2Central Puget Sound</v>
      </c>
      <c r="M936" s="72" t="s">
        <v>13</v>
      </c>
      <c r="N936" t="str">
        <f>VLOOKUP(M936,LUTs!E$2:H$14,3,)</f>
        <v>01Whatcom</v>
      </c>
      <c r="O936" t="str">
        <f>VLOOKUP(M936,LUTs!E$2:H$14,4,)</f>
        <v>01North Puget Sound</v>
      </c>
      <c r="P936" s="80">
        <v>2.3684210526315801</v>
      </c>
      <c r="Q936" s="102">
        <v>2.3684210526315801</v>
      </c>
      <c r="R936" s="74">
        <f>VLOOKUP(B936,Readme!A$40:C$52,3,)*Q936</f>
        <v>20.226315789473691</v>
      </c>
    </row>
    <row r="937" spans="1:18" ht="12" customHeight="1" x14ac:dyDescent="0.35">
      <c r="A937" s="75">
        <v>888</v>
      </c>
      <c r="B937" s="80">
        <v>2012</v>
      </c>
      <c r="C937" s="80">
        <v>12</v>
      </c>
      <c r="D937" s="80">
        <f t="shared" si="53"/>
        <v>2012</v>
      </c>
      <c r="E937" t="s">
        <v>38</v>
      </c>
      <c r="F937" t="s">
        <v>143</v>
      </c>
      <c r="G937" t="s">
        <v>86</v>
      </c>
      <c r="H937" s="72" t="s">
        <v>220</v>
      </c>
      <c r="I937" s="72" t="s">
        <v>62</v>
      </c>
      <c r="J937" t="str">
        <f t="shared" si="54"/>
        <v>Skykomish River</v>
      </c>
      <c r="K937" t="str">
        <f>IFERROR(VLOOKUP(J937,LUTs!$A$1:$C$73,2,FALSE),"NA")</f>
        <v>Snohomish</v>
      </c>
      <c r="L937" t="str">
        <f>IFERROR(VLOOKUP(J937,LUTs!$A$1:$C$73,3,FALSE),"NA")</f>
        <v>2Central Puget Sound</v>
      </c>
      <c r="M937" s="72" t="s">
        <v>17</v>
      </c>
      <c r="N937" t="str">
        <f>VLOOKUP(M937,LUTs!E$2:H$14,3,)</f>
        <v>04Island</v>
      </c>
      <c r="O937" t="str">
        <f>VLOOKUP(M937,LUTs!E$2:H$14,4,)</f>
        <v>01North Puget Sound</v>
      </c>
      <c r="P937" s="80">
        <v>2.9440993788819898</v>
      </c>
      <c r="Q937" s="102">
        <v>2.9440993788819898</v>
      </c>
      <c r="R937" s="74">
        <f>VLOOKUP(B937,Readme!A$40:C$52,3,)*Q937</f>
        <v>25.142608695652189</v>
      </c>
    </row>
    <row r="938" spans="1:18" ht="12" customHeight="1" x14ac:dyDescent="0.35">
      <c r="A938" s="75">
        <v>889</v>
      </c>
      <c r="B938" s="80">
        <v>2012</v>
      </c>
      <c r="C938" s="80">
        <v>12</v>
      </c>
      <c r="D938" s="80">
        <f t="shared" si="53"/>
        <v>2012</v>
      </c>
      <c r="E938" t="s">
        <v>38</v>
      </c>
      <c r="F938" t="s">
        <v>143</v>
      </c>
      <c r="G938" t="s">
        <v>86</v>
      </c>
      <c r="H938" s="72" t="s">
        <v>220</v>
      </c>
      <c r="I938" s="72" t="s">
        <v>62</v>
      </c>
      <c r="J938" t="str">
        <f t="shared" si="54"/>
        <v>Skykomish River</v>
      </c>
      <c r="K938" t="str">
        <f>IFERROR(VLOOKUP(J938,LUTs!$A$1:$C$73,2,FALSE),"NA")</f>
        <v>Snohomish</v>
      </c>
      <c r="L938" t="str">
        <f>IFERROR(VLOOKUP(J938,LUTs!$A$1:$C$73,3,FALSE),"NA")</f>
        <v>2Central Puget Sound</v>
      </c>
      <c r="M938" s="72" t="s">
        <v>18</v>
      </c>
      <c r="N938" t="str">
        <f>VLOOKUP(M938,LUTs!E$2:H$14,3,)</f>
        <v>06King</v>
      </c>
      <c r="O938" t="str">
        <f>VLOOKUP(M938,LUTs!E$2:H$14,4,)</f>
        <v>02South Puget Sound</v>
      </c>
      <c r="P938" s="80">
        <v>385.67701863354</v>
      </c>
      <c r="Q938" s="102">
        <v>385.67701863354</v>
      </c>
      <c r="R938" s="74">
        <f>VLOOKUP(B938,Readme!A$40:C$52,3,)*Q938</f>
        <v>3293.6817391304312</v>
      </c>
    </row>
    <row r="939" spans="1:18" ht="12" customHeight="1" x14ac:dyDescent="0.35">
      <c r="A939" s="75">
        <v>890</v>
      </c>
      <c r="B939" s="80">
        <v>2012</v>
      </c>
      <c r="C939" s="80">
        <v>12</v>
      </c>
      <c r="D939" s="80">
        <f t="shared" si="53"/>
        <v>2012</v>
      </c>
      <c r="E939" t="s">
        <v>38</v>
      </c>
      <c r="F939" t="s">
        <v>143</v>
      </c>
      <c r="G939" t="s">
        <v>86</v>
      </c>
      <c r="H939" s="72" t="s">
        <v>220</v>
      </c>
      <c r="I939" s="72" t="s">
        <v>62</v>
      </c>
      <c r="J939" t="str">
        <f t="shared" si="54"/>
        <v>Skykomish River</v>
      </c>
      <c r="K939" t="str">
        <f>IFERROR(VLOOKUP(J939,LUTs!$A$1:$C$73,2,FALSE),"NA")</f>
        <v>Snohomish</v>
      </c>
      <c r="L939" t="str">
        <f>IFERROR(VLOOKUP(J939,LUTs!$A$1:$C$73,3,FALSE),"NA")</f>
        <v>2Central Puget Sound</v>
      </c>
      <c r="M939" s="72" t="s">
        <v>23</v>
      </c>
      <c r="N939" t="str">
        <f>VLOOKUP(M939,LUTs!E$2:H$14,3,)</f>
        <v>10Kitsap</v>
      </c>
      <c r="O939" t="str">
        <f>VLOOKUP(M939,LUTs!E$2:H$14,4,)</f>
        <v>02South Puget Sound</v>
      </c>
      <c r="P939" s="80">
        <v>5.8881987577639796</v>
      </c>
      <c r="Q939" s="102">
        <v>5.8881987577639796</v>
      </c>
      <c r="R939" s="74">
        <f>VLOOKUP(B939,Readme!A$40:C$52,3,)*Q939</f>
        <v>50.285217391304379</v>
      </c>
    </row>
    <row r="940" spans="1:18" ht="12" customHeight="1" x14ac:dyDescent="0.35">
      <c r="A940" s="75">
        <v>891</v>
      </c>
      <c r="B940" s="80">
        <v>2012</v>
      </c>
      <c r="C940" s="80">
        <v>12</v>
      </c>
      <c r="D940" s="80">
        <f t="shared" si="53"/>
        <v>2012</v>
      </c>
      <c r="E940" t="s">
        <v>38</v>
      </c>
      <c r="F940" t="s">
        <v>143</v>
      </c>
      <c r="G940" t="s">
        <v>86</v>
      </c>
      <c r="H940" s="72" t="s">
        <v>220</v>
      </c>
      <c r="I940" s="72" t="s">
        <v>62</v>
      </c>
      <c r="J940" t="str">
        <f t="shared" si="54"/>
        <v>Skykomish River</v>
      </c>
      <c r="K940" t="str">
        <f>IFERROR(VLOOKUP(J940,LUTs!$A$1:$C$73,2,FALSE),"NA")</f>
        <v>Snohomish</v>
      </c>
      <c r="L940" t="str">
        <f>IFERROR(VLOOKUP(J940,LUTs!$A$1:$C$73,3,FALSE),"NA")</f>
        <v>2Central Puget Sound</v>
      </c>
      <c r="M940" s="72" t="s">
        <v>26</v>
      </c>
      <c r="N940" t="str">
        <f>VLOOKUP(M940,LUTs!E$2:H$14,3,)</f>
        <v>20Other</v>
      </c>
      <c r="O940" t="str">
        <f>VLOOKUP(M940,LUTs!E$2:H$14,4,)</f>
        <v>07Non Puget Sound</v>
      </c>
      <c r="P940" s="80">
        <v>29.440993788819899</v>
      </c>
      <c r="Q940" s="102">
        <v>29.440993788819899</v>
      </c>
      <c r="R940" s="74">
        <f>VLOOKUP(B940,Readme!A$40:C$52,3,)*Q940</f>
        <v>251.42608695652191</v>
      </c>
    </row>
    <row r="941" spans="1:18" ht="12" customHeight="1" x14ac:dyDescent="0.35">
      <c r="A941" s="75">
        <v>892</v>
      </c>
      <c r="B941" s="80">
        <v>2012</v>
      </c>
      <c r="C941" s="80">
        <v>12</v>
      </c>
      <c r="D941" s="80">
        <f t="shared" si="53"/>
        <v>2012</v>
      </c>
      <c r="E941" t="s">
        <v>38</v>
      </c>
      <c r="F941" t="s">
        <v>143</v>
      </c>
      <c r="G941" t="s">
        <v>86</v>
      </c>
      <c r="H941" s="72" t="s">
        <v>220</v>
      </c>
      <c r="I941" s="72" t="s">
        <v>62</v>
      </c>
      <c r="J941" t="str">
        <f t="shared" si="54"/>
        <v>Skykomish River</v>
      </c>
      <c r="K941" t="str">
        <f>IFERROR(VLOOKUP(J941,LUTs!$A$1:$C$73,2,FALSE),"NA")</f>
        <v>Snohomish</v>
      </c>
      <c r="L941" t="str">
        <f>IFERROR(VLOOKUP(J941,LUTs!$A$1:$C$73,3,FALSE),"NA")</f>
        <v>2Central Puget Sound</v>
      </c>
      <c r="M941" s="72" t="s">
        <v>15</v>
      </c>
      <c r="N941" t="str">
        <f>VLOOKUP(M941,LUTs!E$2:H$14,3,)</f>
        <v>02Skagit</v>
      </c>
      <c r="O941" t="str">
        <f>VLOOKUP(M941,LUTs!E$2:H$14,4,)</f>
        <v>01North Puget Sound</v>
      </c>
      <c r="P941" s="80">
        <v>2.9440993788819898</v>
      </c>
      <c r="Q941" s="102">
        <v>2.9440993788819898</v>
      </c>
      <c r="R941" s="74">
        <f>VLOOKUP(B941,Readme!A$40:C$52,3,)*Q941</f>
        <v>25.142608695652189</v>
      </c>
    </row>
    <row r="942" spans="1:18" ht="12" customHeight="1" x14ac:dyDescent="0.35">
      <c r="A942" s="75">
        <v>893</v>
      </c>
      <c r="B942" s="80">
        <v>2012</v>
      </c>
      <c r="C942" s="80">
        <v>12</v>
      </c>
      <c r="D942" s="80">
        <f t="shared" si="53"/>
        <v>2012</v>
      </c>
      <c r="E942" t="s">
        <v>38</v>
      </c>
      <c r="F942" t="s">
        <v>143</v>
      </c>
      <c r="G942" t="s">
        <v>86</v>
      </c>
      <c r="H942" s="72" t="s">
        <v>220</v>
      </c>
      <c r="I942" s="72" t="s">
        <v>62</v>
      </c>
      <c r="J942" t="str">
        <f t="shared" si="54"/>
        <v>Skykomish River</v>
      </c>
      <c r="K942" t="str">
        <f>IFERROR(VLOOKUP(J942,LUTs!$A$1:$C$73,2,FALSE),"NA")</f>
        <v>Snohomish</v>
      </c>
      <c r="L942" t="str">
        <f>IFERROR(VLOOKUP(J942,LUTs!$A$1:$C$73,3,FALSE),"NA")</f>
        <v>2Central Puget Sound</v>
      </c>
      <c r="M942" s="72" t="s">
        <v>16</v>
      </c>
      <c r="N942" t="str">
        <f>VLOOKUP(M942,LUTs!E$2:H$14,3,)</f>
        <v>03Snohomish</v>
      </c>
      <c r="O942" t="str">
        <f>VLOOKUP(M942,LUTs!E$2:H$14,4,)</f>
        <v>01North Puget Sound</v>
      </c>
      <c r="P942" s="80">
        <v>518.16149068323</v>
      </c>
      <c r="Q942" s="102">
        <v>518.16149068323</v>
      </c>
      <c r="R942" s="74">
        <f>VLOOKUP(B942,Readme!A$40:C$52,3,)*Q942</f>
        <v>4425.0991304347835</v>
      </c>
    </row>
    <row r="943" spans="1:18" ht="12" customHeight="1" x14ac:dyDescent="0.35">
      <c r="A943" s="75">
        <v>894</v>
      </c>
      <c r="B943" s="80">
        <v>2012</v>
      </c>
      <c r="C943" s="80">
        <v>12</v>
      </c>
      <c r="D943" s="80">
        <f t="shared" si="53"/>
        <v>2012</v>
      </c>
      <c r="E943" t="s">
        <v>38</v>
      </c>
      <c r="F943" t="s">
        <v>143</v>
      </c>
      <c r="G943" t="s">
        <v>86</v>
      </c>
      <c r="H943" s="72" t="s">
        <v>220</v>
      </c>
      <c r="I943" s="72" t="s">
        <v>62</v>
      </c>
      <c r="J943" t="str">
        <f t="shared" si="54"/>
        <v>Skykomish River</v>
      </c>
      <c r="K943" t="str">
        <f>IFERROR(VLOOKUP(J943,LUTs!$A$1:$C$73,2,FALSE),"NA")</f>
        <v>Snohomish</v>
      </c>
      <c r="L943" t="str">
        <f>IFERROR(VLOOKUP(J943,LUTs!$A$1:$C$73,3,FALSE),"NA")</f>
        <v>2Central Puget Sound</v>
      </c>
      <c r="M943" s="72" t="s">
        <v>13</v>
      </c>
      <c r="N943" t="str">
        <f>VLOOKUP(M943,LUTs!E$2:H$14,3,)</f>
        <v>01Whatcom</v>
      </c>
      <c r="O943" t="str">
        <f>VLOOKUP(M943,LUTs!E$2:H$14,4,)</f>
        <v>01North Puget Sound</v>
      </c>
      <c r="P943" s="80">
        <v>2.9440993788819898</v>
      </c>
      <c r="Q943" s="102">
        <v>2.9440993788819898</v>
      </c>
      <c r="R943" s="74">
        <f>VLOOKUP(B943,Readme!A$40:C$52,3,)*Q943</f>
        <v>25.142608695652189</v>
      </c>
    </row>
    <row r="944" spans="1:18" ht="12" customHeight="1" x14ac:dyDescent="0.35">
      <c r="A944" s="75">
        <v>911</v>
      </c>
      <c r="B944" s="80">
        <v>2012</v>
      </c>
      <c r="C944" s="80">
        <v>12</v>
      </c>
      <c r="D944" s="80">
        <f t="shared" si="53"/>
        <v>2012</v>
      </c>
      <c r="E944" t="s">
        <v>38</v>
      </c>
      <c r="F944" t="s">
        <v>143</v>
      </c>
      <c r="G944" t="s">
        <v>86</v>
      </c>
      <c r="H944" s="72" t="s">
        <v>247</v>
      </c>
      <c r="I944" s="72" t="s">
        <v>98</v>
      </c>
      <c r="J944" t="str">
        <f t="shared" si="54"/>
        <v>Skykomish River, No. Fork</v>
      </c>
      <c r="K944" t="str">
        <f>IFERROR(VLOOKUP(J944,LUTs!$A$1:$C$73,2,FALSE),"NA")</f>
        <v>Snohomish</v>
      </c>
      <c r="L944" t="str">
        <f>IFERROR(VLOOKUP(J944,LUTs!$A$1:$C$73,3,FALSE),"NA")</f>
        <v>2Central Puget Sound</v>
      </c>
      <c r="M944" s="72" t="s">
        <v>18</v>
      </c>
      <c r="N944" t="str">
        <f>VLOOKUP(M944,LUTs!E$2:H$14,3,)</f>
        <v>06King</v>
      </c>
      <c r="O944" t="str">
        <f>VLOOKUP(M944,LUTs!E$2:H$14,4,)</f>
        <v>02South Puget Sound</v>
      </c>
      <c r="P944" s="80">
        <v>3</v>
      </c>
      <c r="Q944" s="102">
        <v>3</v>
      </c>
      <c r="R944" s="74">
        <f>VLOOKUP(B944,Readme!A$40:C$52,3,)*Q944</f>
        <v>25.619999999999997</v>
      </c>
    </row>
    <row r="945" spans="1:18" ht="12" customHeight="1" x14ac:dyDescent="0.35">
      <c r="A945" s="75">
        <v>912</v>
      </c>
      <c r="B945" s="80">
        <v>2012</v>
      </c>
      <c r="C945" s="80">
        <v>12</v>
      </c>
      <c r="D945" s="80">
        <f t="shared" si="53"/>
        <v>2012</v>
      </c>
      <c r="E945" t="s">
        <v>38</v>
      </c>
      <c r="F945" t="s">
        <v>143</v>
      </c>
      <c r="G945" t="s">
        <v>86</v>
      </c>
      <c r="H945" s="72" t="s">
        <v>247</v>
      </c>
      <c r="I945" s="72" t="s">
        <v>98</v>
      </c>
      <c r="J945" t="str">
        <f t="shared" si="54"/>
        <v>Skykomish River, No. Fork</v>
      </c>
      <c r="K945" t="str">
        <f>IFERROR(VLOOKUP(J945,LUTs!$A$1:$C$73,2,FALSE),"NA")</f>
        <v>Snohomish</v>
      </c>
      <c r="L945" t="str">
        <f>IFERROR(VLOOKUP(J945,LUTs!$A$1:$C$73,3,FALSE),"NA")</f>
        <v>2Central Puget Sound</v>
      </c>
      <c r="M945" s="72" t="s">
        <v>16</v>
      </c>
      <c r="N945" t="str">
        <f>VLOOKUP(M945,LUTs!E$2:H$14,3,)</f>
        <v>03Snohomish</v>
      </c>
      <c r="O945" t="str">
        <f>VLOOKUP(M945,LUTs!E$2:H$14,4,)</f>
        <v>01North Puget Sound</v>
      </c>
      <c r="P945" s="80">
        <v>9</v>
      </c>
      <c r="Q945" s="102">
        <v>9</v>
      </c>
      <c r="R945" s="74">
        <f>VLOOKUP(B945,Readme!A$40:C$52,3,)*Q945</f>
        <v>76.859999999999985</v>
      </c>
    </row>
    <row r="946" spans="1:18" ht="12" customHeight="1" x14ac:dyDescent="0.35">
      <c r="A946" s="75">
        <v>913</v>
      </c>
      <c r="B946" s="80">
        <v>2012</v>
      </c>
      <c r="C946" s="80">
        <v>12</v>
      </c>
      <c r="D946" s="80">
        <f t="shared" si="53"/>
        <v>2012</v>
      </c>
      <c r="E946" t="s">
        <v>38</v>
      </c>
      <c r="F946" t="s">
        <v>143</v>
      </c>
      <c r="G946" t="s">
        <v>86</v>
      </c>
      <c r="H946" s="72" t="s">
        <v>247</v>
      </c>
      <c r="I946" s="72" t="s">
        <v>98</v>
      </c>
      <c r="J946" t="str">
        <f t="shared" si="54"/>
        <v>Skykomish River, No. Fork</v>
      </c>
      <c r="K946" t="str">
        <f>IFERROR(VLOOKUP(J946,LUTs!$A$1:$C$73,2,FALSE),"NA")</f>
        <v>Snohomish</v>
      </c>
      <c r="L946" t="str">
        <f>IFERROR(VLOOKUP(J946,LUTs!$A$1:$C$73,3,FALSE),"NA")</f>
        <v>2Central Puget Sound</v>
      </c>
      <c r="M946" s="72" t="s">
        <v>13</v>
      </c>
      <c r="N946" t="str">
        <f>VLOOKUP(M946,LUTs!E$2:H$14,3,)</f>
        <v>01Whatcom</v>
      </c>
      <c r="O946" t="str">
        <f>VLOOKUP(M946,LUTs!E$2:H$14,4,)</f>
        <v>01North Puget Sound</v>
      </c>
      <c r="P946" s="80">
        <v>6</v>
      </c>
      <c r="Q946" s="102">
        <v>6</v>
      </c>
      <c r="R946" s="74">
        <f>VLOOKUP(B946,Readme!A$40:C$52,3,)*Q946</f>
        <v>51.239999999999995</v>
      </c>
    </row>
    <row r="947" spans="1:18" ht="12" customHeight="1" x14ac:dyDescent="0.35">
      <c r="A947" s="75">
        <v>920</v>
      </c>
      <c r="B947" s="80">
        <v>2012</v>
      </c>
      <c r="C947" s="80">
        <v>12</v>
      </c>
      <c r="D947" s="80">
        <f t="shared" si="53"/>
        <v>2012</v>
      </c>
      <c r="E947" t="s">
        <v>38</v>
      </c>
      <c r="F947" t="s">
        <v>143</v>
      </c>
      <c r="G947" t="s">
        <v>86</v>
      </c>
      <c r="H947" s="72" t="s">
        <v>248</v>
      </c>
      <c r="I947" s="72" t="s">
        <v>99</v>
      </c>
      <c r="J947" t="str">
        <f t="shared" si="54"/>
        <v>Skykomish River, So. Fork</v>
      </c>
      <c r="K947" t="str">
        <f>IFERROR(VLOOKUP(J947,LUTs!$A$1:$C$73,2,FALSE),"NA")</f>
        <v>Snohomish/King</v>
      </c>
      <c r="L947" t="str">
        <f>IFERROR(VLOOKUP(J947,LUTs!$A$1:$C$73,3,FALSE),"NA")</f>
        <v>2Central Puget Sound</v>
      </c>
      <c r="M947" s="72" t="s">
        <v>16</v>
      </c>
      <c r="N947" t="str">
        <f>VLOOKUP(M947,LUTs!E$2:H$14,3,)</f>
        <v>03Snohomish</v>
      </c>
      <c r="O947" t="str">
        <f>VLOOKUP(M947,LUTs!E$2:H$14,4,)</f>
        <v>01North Puget Sound</v>
      </c>
      <c r="P947" s="80">
        <v>3</v>
      </c>
      <c r="Q947" s="102">
        <v>3</v>
      </c>
      <c r="R947" s="74">
        <f>VLOOKUP(B947,Readme!A$40:C$52,3,)*Q947</f>
        <v>25.619999999999997</v>
      </c>
    </row>
    <row r="948" spans="1:18" ht="12" customHeight="1" x14ac:dyDescent="0.35">
      <c r="A948" s="75">
        <v>934</v>
      </c>
      <c r="B948" s="80">
        <v>2012</v>
      </c>
      <c r="C948" s="80">
        <v>12</v>
      </c>
      <c r="D948" s="80">
        <f t="shared" si="53"/>
        <v>2012</v>
      </c>
      <c r="E948" t="s">
        <v>38</v>
      </c>
      <c r="F948" t="s">
        <v>143</v>
      </c>
      <c r="G948" t="s">
        <v>86</v>
      </c>
      <c r="H948" s="72" t="s">
        <v>221</v>
      </c>
      <c r="I948" s="72" t="s">
        <v>63</v>
      </c>
      <c r="J948" t="str">
        <f t="shared" si="54"/>
        <v>Snohomish River</v>
      </c>
      <c r="K948" t="str">
        <f>IFERROR(VLOOKUP(J948,LUTs!$A$1:$C$73,2,FALSE),"NA")</f>
        <v>Snohomish</v>
      </c>
      <c r="L948" t="str">
        <f>IFERROR(VLOOKUP(J948,LUTs!$A$1:$C$73,3,FALSE),"NA")</f>
        <v>2Central Puget Sound</v>
      </c>
      <c r="M948" s="72" t="s">
        <v>18</v>
      </c>
      <c r="N948" t="str">
        <f>VLOOKUP(M948,LUTs!E$2:H$14,3,)</f>
        <v>06King</v>
      </c>
      <c r="O948" t="str">
        <f>VLOOKUP(M948,LUTs!E$2:H$14,4,)</f>
        <v>02South Puget Sound</v>
      </c>
      <c r="P948" s="80">
        <v>2.9729729729729701</v>
      </c>
      <c r="Q948" s="102">
        <v>2.9729729729729701</v>
      </c>
      <c r="R948" s="74">
        <f>VLOOKUP(B948,Readme!A$40:C$52,3,)*Q948</f>
        <v>25.389189189189164</v>
      </c>
    </row>
    <row r="949" spans="1:18" ht="12" customHeight="1" x14ac:dyDescent="0.35">
      <c r="A949" s="75">
        <v>935</v>
      </c>
      <c r="B949" s="80">
        <v>2012</v>
      </c>
      <c r="C949" s="80">
        <v>12</v>
      </c>
      <c r="D949" s="80">
        <f t="shared" si="53"/>
        <v>2012</v>
      </c>
      <c r="E949" t="s">
        <v>38</v>
      </c>
      <c r="F949" t="s">
        <v>143</v>
      </c>
      <c r="G949" t="s">
        <v>86</v>
      </c>
      <c r="H949" s="72" t="s">
        <v>221</v>
      </c>
      <c r="I949" s="72" t="s">
        <v>63</v>
      </c>
      <c r="J949" t="str">
        <f t="shared" si="54"/>
        <v>Snohomish River</v>
      </c>
      <c r="K949" t="str">
        <f>IFERROR(VLOOKUP(J949,LUTs!$A$1:$C$73,2,FALSE),"NA")</f>
        <v>Snohomish</v>
      </c>
      <c r="L949" t="str">
        <f>IFERROR(VLOOKUP(J949,LUTs!$A$1:$C$73,3,FALSE),"NA")</f>
        <v>2Central Puget Sound</v>
      </c>
      <c r="M949" s="72" t="s">
        <v>16</v>
      </c>
      <c r="N949" t="str">
        <f>VLOOKUP(M949,LUTs!E$2:H$14,3,)</f>
        <v>03Snohomish</v>
      </c>
      <c r="O949" t="str">
        <f>VLOOKUP(M949,LUTs!E$2:H$14,4,)</f>
        <v>01North Puget Sound</v>
      </c>
      <c r="P949" s="80">
        <v>104.05405405405401</v>
      </c>
      <c r="Q949" s="102">
        <v>104.05405405405401</v>
      </c>
      <c r="R949" s="74">
        <f>VLOOKUP(B949,Readme!A$40:C$52,3,)*Q949</f>
        <v>888.6216216216211</v>
      </c>
    </row>
    <row r="950" spans="1:18" ht="12" customHeight="1" x14ac:dyDescent="0.35">
      <c r="A950" s="75">
        <v>936</v>
      </c>
      <c r="B950" s="80">
        <v>2012</v>
      </c>
      <c r="C950" s="80">
        <v>12</v>
      </c>
      <c r="D950" s="80">
        <f t="shared" si="53"/>
        <v>2012</v>
      </c>
      <c r="E950" t="s">
        <v>38</v>
      </c>
      <c r="F950" t="s">
        <v>143</v>
      </c>
      <c r="G950" t="s">
        <v>86</v>
      </c>
      <c r="H950" s="72" t="s">
        <v>221</v>
      </c>
      <c r="I950" s="72" t="s">
        <v>63</v>
      </c>
      <c r="J950" t="str">
        <f t="shared" si="54"/>
        <v>Snohomish River</v>
      </c>
      <c r="K950" t="str">
        <f>IFERROR(VLOOKUP(J950,LUTs!$A$1:$C$73,2,FALSE),"NA")</f>
        <v>Snohomish</v>
      </c>
      <c r="L950" t="str">
        <f>IFERROR(VLOOKUP(J950,LUTs!$A$1:$C$73,3,FALSE),"NA")</f>
        <v>2Central Puget Sound</v>
      </c>
      <c r="M950" s="72" t="s">
        <v>21</v>
      </c>
      <c r="N950" t="str">
        <f>VLOOKUP(M950,LUTs!E$2:H$14,3,)</f>
        <v>08Thurston</v>
      </c>
      <c r="O950" t="str">
        <f>VLOOKUP(M950,LUTs!E$2:H$14,4,)</f>
        <v>02South Puget Sound</v>
      </c>
      <c r="P950" s="80">
        <v>2.9729729729729701</v>
      </c>
      <c r="Q950" s="102">
        <v>2.9729729729729701</v>
      </c>
      <c r="R950" s="74">
        <f>VLOOKUP(B950,Readme!A$40:C$52,3,)*Q950</f>
        <v>25.389189189189164</v>
      </c>
    </row>
    <row r="951" spans="1:18" ht="12" customHeight="1" x14ac:dyDescent="0.35">
      <c r="A951" s="75">
        <v>945</v>
      </c>
      <c r="B951" s="80">
        <v>2012</v>
      </c>
      <c r="C951" s="80">
        <v>12</v>
      </c>
      <c r="D951" s="80">
        <f t="shared" si="53"/>
        <v>2012</v>
      </c>
      <c r="E951" t="s">
        <v>38</v>
      </c>
      <c r="F951" t="s">
        <v>143</v>
      </c>
      <c r="G951" t="s">
        <v>86</v>
      </c>
      <c r="H951" s="72" t="s">
        <v>222</v>
      </c>
      <c r="I951" s="72" t="s">
        <v>64</v>
      </c>
      <c r="J951" t="str">
        <f t="shared" ref="J951:J980" si="55">I951</f>
        <v>Snoqualmie River</v>
      </c>
      <c r="K951" t="str">
        <f>IFERROR(VLOOKUP(J951,LUTs!$A$1:$C$73,2,FALSE),"NA")</f>
        <v>Snohomish/King</v>
      </c>
      <c r="L951" t="str">
        <f>IFERROR(VLOOKUP(J951,LUTs!$A$1:$C$73,3,FALSE),"NA")</f>
        <v>2Central Puget Sound</v>
      </c>
      <c r="M951" s="72" t="s">
        <v>18</v>
      </c>
      <c r="N951" t="str">
        <f>VLOOKUP(M951,LUTs!E$2:H$14,3,)</f>
        <v>06King</v>
      </c>
      <c r="O951" t="str">
        <f>VLOOKUP(M951,LUTs!E$2:H$14,4,)</f>
        <v>02South Puget Sound</v>
      </c>
      <c r="P951" s="80">
        <v>699.32954545454504</v>
      </c>
      <c r="Q951" s="102">
        <v>699.32954545454504</v>
      </c>
      <c r="R951" s="74">
        <f>VLOOKUP(B951,Readme!A$40:C$52,3,)*Q951</f>
        <v>5972.2743181818141</v>
      </c>
    </row>
    <row r="952" spans="1:18" ht="12" customHeight="1" x14ac:dyDescent="0.35">
      <c r="A952" s="75">
        <v>946</v>
      </c>
      <c r="B952" s="80">
        <v>2012</v>
      </c>
      <c r="C952" s="80">
        <v>12</v>
      </c>
      <c r="D952" s="80">
        <f t="shared" si="53"/>
        <v>2012</v>
      </c>
      <c r="E952" t="s">
        <v>38</v>
      </c>
      <c r="F952" t="s">
        <v>143</v>
      </c>
      <c r="G952" t="s">
        <v>86</v>
      </c>
      <c r="H952" s="72" t="s">
        <v>222</v>
      </c>
      <c r="I952" s="72" t="s">
        <v>64</v>
      </c>
      <c r="J952" t="str">
        <f t="shared" si="55"/>
        <v>Snoqualmie River</v>
      </c>
      <c r="K952" t="str">
        <f>IFERROR(VLOOKUP(J952,LUTs!$A$1:$C$73,2,FALSE),"NA")</f>
        <v>Snohomish/King</v>
      </c>
      <c r="L952" t="str">
        <f>IFERROR(VLOOKUP(J952,LUTs!$A$1:$C$73,3,FALSE),"NA")</f>
        <v>2Central Puget Sound</v>
      </c>
      <c r="M952" s="72" t="s">
        <v>23</v>
      </c>
      <c r="N952" t="str">
        <f>VLOOKUP(M952,LUTs!E$2:H$14,3,)</f>
        <v>10Kitsap</v>
      </c>
      <c r="O952" t="str">
        <f>VLOOKUP(M952,LUTs!E$2:H$14,4,)</f>
        <v>02South Puget Sound</v>
      </c>
      <c r="P952" s="80">
        <v>2.9507575757575801</v>
      </c>
      <c r="Q952" s="102">
        <v>2.9507575757575801</v>
      </c>
      <c r="R952" s="74">
        <f>VLOOKUP(B952,Readme!A$40:C$52,3,)*Q952</f>
        <v>25.199469696969732</v>
      </c>
    </row>
    <row r="953" spans="1:18" ht="12" customHeight="1" x14ac:dyDescent="0.35">
      <c r="A953" s="75">
        <v>947</v>
      </c>
      <c r="B953" s="80">
        <v>2012</v>
      </c>
      <c r="C953" s="80">
        <v>12</v>
      </c>
      <c r="D953" s="80">
        <f t="shared" si="53"/>
        <v>2012</v>
      </c>
      <c r="E953" t="s">
        <v>38</v>
      </c>
      <c r="F953" t="s">
        <v>143</v>
      </c>
      <c r="G953" t="s">
        <v>86</v>
      </c>
      <c r="H953" s="72" t="s">
        <v>222</v>
      </c>
      <c r="I953" s="72" t="s">
        <v>64</v>
      </c>
      <c r="J953" t="str">
        <f t="shared" si="55"/>
        <v>Snoqualmie River</v>
      </c>
      <c r="K953" t="str">
        <f>IFERROR(VLOOKUP(J953,LUTs!$A$1:$C$73,2,FALSE),"NA")</f>
        <v>Snohomish/King</v>
      </c>
      <c r="L953" t="str">
        <f>IFERROR(VLOOKUP(J953,LUTs!$A$1:$C$73,3,FALSE),"NA")</f>
        <v>2Central Puget Sound</v>
      </c>
      <c r="M953" s="72" t="s">
        <v>26</v>
      </c>
      <c r="N953" t="str">
        <f>VLOOKUP(M953,LUTs!E$2:H$14,3,)</f>
        <v>20Other</v>
      </c>
      <c r="O953" t="str">
        <f>VLOOKUP(M953,LUTs!E$2:H$14,4,)</f>
        <v>07Non Puget Sound</v>
      </c>
      <c r="P953" s="80">
        <v>8.8522727272727302</v>
      </c>
      <c r="Q953" s="102">
        <v>8.8522727272727302</v>
      </c>
      <c r="R953" s="74">
        <f>VLOOKUP(B953,Readme!A$40:C$52,3,)*Q953</f>
        <v>75.598409090909115</v>
      </c>
    </row>
    <row r="954" spans="1:18" ht="12" customHeight="1" x14ac:dyDescent="0.35">
      <c r="A954" s="75">
        <v>948</v>
      </c>
      <c r="B954" s="80">
        <v>2012</v>
      </c>
      <c r="C954" s="80">
        <v>12</v>
      </c>
      <c r="D954" s="80">
        <f t="shared" si="53"/>
        <v>2012</v>
      </c>
      <c r="E954" t="s">
        <v>38</v>
      </c>
      <c r="F954" t="s">
        <v>143</v>
      </c>
      <c r="G954" t="s">
        <v>86</v>
      </c>
      <c r="H954" s="72" t="s">
        <v>222</v>
      </c>
      <c r="I954" s="72" t="s">
        <v>64</v>
      </c>
      <c r="J954" t="str">
        <f t="shared" si="55"/>
        <v>Snoqualmie River</v>
      </c>
      <c r="K954" t="str">
        <f>IFERROR(VLOOKUP(J954,LUTs!$A$1:$C$73,2,FALSE),"NA")</f>
        <v>Snohomish/King</v>
      </c>
      <c r="L954" t="str">
        <f>IFERROR(VLOOKUP(J954,LUTs!$A$1:$C$73,3,FALSE),"NA")</f>
        <v>2Central Puget Sound</v>
      </c>
      <c r="M954" s="72" t="s">
        <v>20</v>
      </c>
      <c r="N954" t="str">
        <f>VLOOKUP(M954,LUTs!E$2:H$14,3,)</f>
        <v>07Pierce</v>
      </c>
      <c r="O954" t="str">
        <f>VLOOKUP(M954,LUTs!E$2:H$14,4,)</f>
        <v>02South Puget Sound</v>
      </c>
      <c r="P954" s="80">
        <v>35.409090909090899</v>
      </c>
      <c r="Q954" s="102">
        <v>35.409090909090899</v>
      </c>
      <c r="R954" s="74">
        <f>VLOOKUP(B954,Readme!A$40:C$52,3,)*Q954</f>
        <v>302.39363636363623</v>
      </c>
    </row>
    <row r="955" spans="1:18" ht="12" customHeight="1" x14ac:dyDescent="0.35">
      <c r="A955" s="75">
        <v>949</v>
      </c>
      <c r="B955" s="80">
        <v>2012</v>
      </c>
      <c r="C955" s="80">
        <v>12</v>
      </c>
      <c r="D955" s="80">
        <f t="shared" si="53"/>
        <v>2012</v>
      </c>
      <c r="E955" t="s">
        <v>38</v>
      </c>
      <c r="F955" t="s">
        <v>143</v>
      </c>
      <c r="G955" t="s">
        <v>86</v>
      </c>
      <c r="H955" s="72" t="s">
        <v>222</v>
      </c>
      <c r="I955" s="72" t="s">
        <v>64</v>
      </c>
      <c r="J955" t="str">
        <f t="shared" si="55"/>
        <v>Snoqualmie River</v>
      </c>
      <c r="K955" t="str">
        <f>IFERROR(VLOOKUP(J955,LUTs!$A$1:$C$73,2,FALSE),"NA")</f>
        <v>Snohomish/King</v>
      </c>
      <c r="L955" t="str">
        <f>IFERROR(VLOOKUP(J955,LUTs!$A$1:$C$73,3,FALSE),"NA")</f>
        <v>2Central Puget Sound</v>
      </c>
      <c r="M955" s="72" t="s">
        <v>16</v>
      </c>
      <c r="N955" t="str">
        <f>VLOOKUP(M955,LUTs!E$2:H$14,3,)</f>
        <v>03Snohomish</v>
      </c>
      <c r="O955" t="str">
        <f>VLOOKUP(M955,LUTs!E$2:H$14,4,)</f>
        <v>01North Puget Sound</v>
      </c>
      <c r="P955" s="80">
        <v>32.4583333333333</v>
      </c>
      <c r="Q955" s="102">
        <v>32.4583333333333</v>
      </c>
      <c r="R955" s="74">
        <f>VLOOKUP(B955,Readme!A$40:C$52,3,)*Q955</f>
        <v>277.19416666666638</v>
      </c>
    </row>
    <row r="956" spans="1:18" ht="12" customHeight="1" x14ac:dyDescent="0.35">
      <c r="A956" s="75">
        <v>1011</v>
      </c>
      <c r="B956" s="80">
        <v>2012</v>
      </c>
      <c r="C956" s="80">
        <v>12</v>
      </c>
      <c r="D956" s="80">
        <f t="shared" si="53"/>
        <v>2012</v>
      </c>
      <c r="E956" t="s">
        <v>38</v>
      </c>
      <c r="F956" t="s">
        <v>143</v>
      </c>
      <c r="G956" t="s">
        <v>86</v>
      </c>
      <c r="H956" s="72" t="s">
        <v>223</v>
      </c>
      <c r="I956" s="72" t="s">
        <v>103</v>
      </c>
      <c r="J956" t="str">
        <f t="shared" si="55"/>
        <v>Stillaguamish R, No. Fork</v>
      </c>
      <c r="K956" t="str">
        <f>IFERROR(VLOOKUP(J956,LUTs!$A$1:$C$73,2,FALSE),"NA")</f>
        <v>Snohomish</v>
      </c>
      <c r="L956" t="str">
        <f>IFERROR(VLOOKUP(J956,LUTs!$A$1:$C$73,3,FALSE),"NA")</f>
        <v>2Central Puget Sound</v>
      </c>
      <c r="M956" s="72" t="s">
        <v>18</v>
      </c>
      <c r="N956" t="str">
        <f>VLOOKUP(M956,LUTs!E$2:H$14,3,)</f>
        <v>06King</v>
      </c>
      <c r="O956" t="str">
        <f>VLOOKUP(M956,LUTs!E$2:H$14,4,)</f>
        <v>02South Puget Sound</v>
      </c>
      <c r="P956" s="80">
        <v>2.92537313432836</v>
      </c>
      <c r="Q956" s="102">
        <v>2.92537313432836</v>
      </c>
      <c r="R956" s="74">
        <f>VLOOKUP(B956,Readme!A$40:C$52,3,)*Q956</f>
        <v>24.98268656716419</v>
      </c>
    </row>
    <row r="957" spans="1:18" ht="12" customHeight="1" x14ac:dyDescent="0.35">
      <c r="A957" s="75">
        <v>1012</v>
      </c>
      <c r="B957" s="80">
        <v>2012</v>
      </c>
      <c r="C957" s="80">
        <v>12</v>
      </c>
      <c r="D957" s="80">
        <f t="shared" si="53"/>
        <v>2012</v>
      </c>
      <c r="E957" t="s">
        <v>38</v>
      </c>
      <c r="F957" t="s">
        <v>143</v>
      </c>
      <c r="G957" t="s">
        <v>86</v>
      </c>
      <c r="H957" s="72" t="s">
        <v>223</v>
      </c>
      <c r="I957" s="72" t="s">
        <v>103</v>
      </c>
      <c r="J957" t="str">
        <f t="shared" si="55"/>
        <v>Stillaguamish R, No. Fork</v>
      </c>
      <c r="K957" t="str">
        <f>IFERROR(VLOOKUP(J957,LUTs!$A$1:$C$73,2,FALSE),"NA")</f>
        <v>Snohomish</v>
      </c>
      <c r="L957" t="str">
        <f>IFERROR(VLOOKUP(J957,LUTs!$A$1:$C$73,3,FALSE),"NA")</f>
        <v>2Central Puget Sound</v>
      </c>
      <c r="M957" s="72" t="s">
        <v>15</v>
      </c>
      <c r="N957" t="str">
        <f>VLOOKUP(M957,LUTs!E$2:H$14,3,)</f>
        <v>02Skagit</v>
      </c>
      <c r="O957" t="str">
        <f>VLOOKUP(M957,LUTs!E$2:H$14,4,)</f>
        <v>01North Puget Sound</v>
      </c>
      <c r="P957" s="80">
        <v>2.92537313432836</v>
      </c>
      <c r="Q957" s="102">
        <v>2.92537313432836</v>
      </c>
      <c r="R957" s="74">
        <f>VLOOKUP(B957,Readme!A$40:C$52,3,)*Q957</f>
        <v>24.98268656716419</v>
      </c>
    </row>
    <row r="958" spans="1:18" ht="12" customHeight="1" x14ac:dyDescent="0.35">
      <c r="A958" s="75">
        <v>1013</v>
      </c>
      <c r="B958" s="80">
        <v>2012</v>
      </c>
      <c r="C958" s="80">
        <v>12</v>
      </c>
      <c r="D958" s="80">
        <f t="shared" si="53"/>
        <v>2012</v>
      </c>
      <c r="E958" t="s">
        <v>38</v>
      </c>
      <c r="F958" t="s">
        <v>143</v>
      </c>
      <c r="G958" t="s">
        <v>86</v>
      </c>
      <c r="H958" s="72" t="s">
        <v>223</v>
      </c>
      <c r="I958" s="72" t="s">
        <v>103</v>
      </c>
      <c r="J958" t="str">
        <f t="shared" si="55"/>
        <v>Stillaguamish R, No. Fork</v>
      </c>
      <c r="K958" t="str">
        <f>IFERROR(VLOOKUP(J958,LUTs!$A$1:$C$73,2,FALSE),"NA")</f>
        <v>Snohomish</v>
      </c>
      <c r="L958" t="str">
        <f>IFERROR(VLOOKUP(J958,LUTs!$A$1:$C$73,3,FALSE),"NA")</f>
        <v>2Central Puget Sound</v>
      </c>
      <c r="M958" s="72" t="s">
        <v>16</v>
      </c>
      <c r="N958" t="str">
        <f>VLOOKUP(M958,LUTs!E$2:H$14,3,)</f>
        <v>03Snohomish</v>
      </c>
      <c r="O958" t="str">
        <f>VLOOKUP(M958,LUTs!E$2:H$14,4,)</f>
        <v>01North Puget Sound</v>
      </c>
      <c r="P958" s="80">
        <v>187.22388059701501</v>
      </c>
      <c r="Q958" s="102">
        <v>187.22388059701501</v>
      </c>
      <c r="R958" s="74">
        <f>VLOOKUP(B958,Readme!A$40:C$52,3,)*Q958</f>
        <v>1598.891940298508</v>
      </c>
    </row>
    <row r="959" spans="1:18" ht="12" customHeight="1" x14ac:dyDescent="0.35">
      <c r="A959" s="75">
        <v>1014</v>
      </c>
      <c r="B959" s="80">
        <v>2012</v>
      </c>
      <c r="C959" s="80">
        <v>12</v>
      </c>
      <c r="D959" s="80">
        <f t="shared" si="53"/>
        <v>2012</v>
      </c>
      <c r="E959" t="s">
        <v>38</v>
      </c>
      <c r="F959" t="s">
        <v>143</v>
      </c>
      <c r="G959" t="s">
        <v>86</v>
      </c>
      <c r="H959" s="72" t="s">
        <v>223</v>
      </c>
      <c r="I959" s="72" t="s">
        <v>103</v>
      </c>
      <c r="J959" t="str">
        <f t="shared" si="55"/>
        <v>Stillaguamish R, No. Fork</v>
      </c>
      <c r="K959" t="str">
        <f>IFERROR(VLOOKUP(J959,LUTs!$A$1:$C$73,2,FALSE),"NA")</f>
        <v>Snohomish</v>
      </c>
      <c r="L959" t="str">
        <f>IFERROR(VLOOKUP(J959,LUTs!$A$1:$C$73,3,FALSE),"NA")</f>
        <v>2Central Puget Sound</v>
      </c>
      <c r="M959" s="72" t="s">
        <v>13</v>
      </c>
      <c r="N959" t="str">
        <f>VLOOKUP(M959,LUTs!E$2:H$14,3,)</f>
        <v>01Whatcom</v>
      </c>
      <c r="O959" t="str">
        <f>VLOOKUP(M959,LUTs!E$2:H$14,4,)</f>
        <v>01North Puget Sound</v>
      </c>
      <c r="P959" s="80">
        <v>2.92537313432836</v>
      </c>
      <c r="Q959" s="102">
        <v>2.92537313432836</v>
      </c>
      <c r="R959" s="74">
        <f>VLOOKUP(B959,Readme!A$40:C$52,3,)*Q959</f>
        <v>24.98268656716419</v>
      </c>
    </row>
    <row r="960" spans="1:18" ht="12" customHeight="1" x14ac:dyDescent="0.35">
      <c r="A960" s="75">
        <v>1029</v>
      </c>
      <c r="B960" s="80">
        <v>2012</v>
      </c>
      <c r="C960" s="80">
        <v>12</v>
      </c>
      <c r="D960" s="80">
        <f t="shared" si="53"/>
        <v>2012</v>
      </c>
      <c r="E960" t="s">
        <v>38</v>
      </c>
      <c r="F960" t="s">
        <v>143</v>
      </c>
      <c r="G960" t="s">
        <v>86</v>
      </c>
      <c r="H960" s="72" t="s">
        <v>253</v>
      </c>
      <c r="I960" s="72" t="s">
        <v>65</v>
      </c>
      <c r="J960" t="str">
        <f t="shared" si="55"/>
        <v>Stillaguamish River</v>
      </c>
      <c r="K960" t="str">
        <f>IFERROR(VLOOKUP(J960,LUTs!$A$1:$C$73,2,FALSE),"NA")</f>
        <v>Snohomish</v>
      </c>
      <c r="L960" t="str">
        <f>IFERROR(VLOOKUP(J960,LUTs!$A$1:$C$73,3,FALSE),"NA")</f>
        <v>2Central Puget Sound</v>
      </c>
      <c r="M960" s="72" t="s">
        <v>16</v>
      </c>
      <c r="N960" t="str">
        <f>VLOOKUP(M960,LUTs!E$2:H$14,3,)</f>
        <v>03Snohomish</v>
      </c>
      <c r="O960" t="str">
        <f>VLOOKUP(M960,LUTs!E$2:H$14,4,)</f>
        <v>01North Puget Sound</v>
      </c>
      <c r="P960" s="80">
        <v>20</v>
      </c>
      <c r="Q960" s="102">
        <v>20</v>
      </c>
      <c r="R960" s="74">
        <f>VLOOKUP(B960,Readme!A$40:C$52,3,)*Q960</f>
        <v>170.79999999999998</v>
      </c>
    </row>
    <row r="961" spans="1:18" ht="12" customHeight="1" x14ac:dyDescent="0.35">
      <c r="A961" s="75">
        <v>957</v>
      </c>
      <c r="B961" s="80">
        <v>2012</v>
      </c>
      <c r="C961" s="80">
        <v>12</v>
      </c>
      <c r="D961" s="80">
        <f t="shared" si="53"/>
        <v>2012</v>
      </c>
      <c r="E961" t="s">
        <v>38</v>
      </c>
      <c r="F961" t="s">
        <v>143</v>
      </c>
      <c r="G961" t="s">
        <v>86</v>
      </c>
      <c r="H961" s="72" t="s">
        <v>249</v>
      </c>
      <c r="I961" s="72" t="s">
        <v>100</v>
      </c>
      <c r="J961" t="str">
        <f t="shared" si="55"/>
        <v>Sultan River</v>
      </c>
      <c r="K961" t="str">
        <f>IFERROR(VLOOKUP(J961,LUTs!$A$1:$C$73,2,FALSE),"NA")</f>
        <v>Snohomish</v>
      </c>
      <c r="L961" t="str">
        <f>IFERROR(VLOOKUP(J961,LUTs!$A$1:$C$73,3,FALSE),"NA")</f>
        <v>2Central Puget Sound</v>
      </c>
      <c r="M961" s="72" t="s">
        <v>26</v>
      </c>
      <c r="N961" t="str">
        <f>VLOOKUP(M961,LUTs!E$2:H$14,3,)</f>
        <v>20Other</v>
      </c>
      <c r="O961" t="str">
        <f>VLOOKUP(M961,LUTs!E$2:H$14,4,)</f>
        <v>07Non Puget Sound</v>
      </c>
      <c r="P961" s="80">
        <v>3</v>
      </c>
      <c r="Q961" s="102">
        <v>3</v>
      </c>
      <c r="R961" s="74">
        <f>VLOOKUP(B961,Readme!A$40:C$52,3,)*Q961</f>
        <v>25.619999999999997</v>
      </c>
    </row>
    <row r="962" spans="1:18" ht="12" customHeight="1" x14ac:dyDescent="0.35">
      <c r="A962" s="75">
        <v>958</v>
      </c>
      <c r="B962" s="80">
        <v>2012</v>
      </c>
      <c r="C962" s="80">
        <v>12</v>
      </c>
      <c r="D962" s="80">
        <f t="shared" ref="D962:D1025" si="56">IF(C962&gt;3,B962,B962-1)</f>
        <v>2012</v>
      </c>
      <c r="E962" t="s">
        <v>38</v>
      </c>
      <c r="F962" t="s">
        <v>143</v>
      </c>
      <c r="G962" t="s">
        <v>86</v>
      </c>
      <c r="H962" s="72" t="s">
        <v>249</v>
      </c>
      <c r="I962" s="72" t="s">
        <v>100</v>
      </c>
      <c r="J962" t="str">
        <f t="shared" si="55"/>
        <v>Sultan River</v>
      </c>
      <c r="K962" t="str">
        <f>IFERROR(VLOOKUP(J962,LUTs!$A$1:$C$73,2,FALSE),"NA")</f>
        <v>Snohomish</v>
      </c>
      <c r="L962" t="str">
        <f>IFERROR(VLOOKUP(J962,LUTs!$A$1:$C$73,3,FALSE),"NA")</f>
        <v>2Central Puget Sound</v>
      </c>
      <c r="M962" s="72" t="s">
        <v>16</v>
      </c>
      <c r="N962" t="str">
        <f>VLOOKUP(M962,LUTs!E$2:H$14,3,)</f>
        <v>03Snohomish</v>
      </c>
      <c r="O962" t="str">
        <f>VLOOKUP(M962,LUTs!E$2:H$14,4,)</f>
        <v>01North Puget Sound</v>
      </c>
      <c r="P962" s="80">
        <v>3</v>
      </c>
      <c r="Q962" s="102">
        <v>3</v>
      </c>
      <c r="R962" s="74">
        <f>VLOOKUP(B962,Readme!A$40:C$52,3,)*Q962</f>
        <v>25.619999999999997</v>
      </c>
    </row>
    <row r="963" spans="1:18" ht="12" customHeight="1" x14ac:dyDescent="0.35">
      <c r="A963" s="75">
        <v>962</v>
      </c>
      <c r="B963" s="80">
        <v>2012</v>
      </c>
      <c r="C963" s="80">
        <v>12</v>
      </c>
      <c r="D963" s="80">
        <f t="shared" si="56"/>
        <v>2012</v>
      </c>
      <c r="E963" t="s">
        <v>38</v>
      </c>
      <c r="F963" t="s">
        <v>143</v>
      </c>
      <c r="G963" t="s">
        <v>86</v>
      </c>
      <c r="H963" s="72" t="s">
        <v>250</v>
      </c>
      <c r="I963" s="72" t="s">
        <v>101</v>
      </c>
      <c r="J963" t="str">
        <f t="shared" si="55"/>
        <v>Tokul Creek</v>
      </c>
      <c r="K963" t="str">
        <f>IFERROR(VLOOKUP(J963,LUTs!$A$1:$C$73,2,FALSE),"NA")</f>
        <v>King</v>
      </c>
      <c r="L963" t="str">
        <f>IFERROR(VLOOKUP(J963,LUTs!$A$1:$C$73,3,FALSE),"NA")</f>
        <v>2Central Puget Sound</v>
      </c>
      <c r="M963" s="72" t="s">
        <v>18</v>
      </c>
      <c r="N963" t="str">
        <f>VLOOKUP(M963,LUTs!E$2:H$14,3,)</f>
        <v>06King</v>
      </c>
      <c r="O963" t="str">
        <f>VLOOKUP(M963,LUTs!E$2:H$14,4,)</f>
        <v>02South Puget Sound</v>
      </c>
      <c r="P963" s="80">
        <v>175.8125</v>
      </c>
      <c r="Q963" s="102">
        <v>175.8125</v>
      </c>
      <c r="R963" s="74">
        <f>VLOOKUP(B963,Readme!A$40:C$52,3,)*Q963</f>
        <v>1501.4387499999998</v>
      </c>
    </row>
    <row r="964" spans="1:18" ht="12" customHeight="1" x14ac:dyDescent="0.35">
      <c r="A964" s="75">
        <v>963</v>
      </c>
      <c r="B964" s="80">
        <v>2012</v>
      </c>
      <c r="C964" s="80">
        <v>12</v>
      </c>
      <c r="D964" s="80">
        <f t="shared" si="56"/>
        <v>2012</v>
      </c>
      <c r="E964" t="s">
        <v>38</v>
      </c>
      <c r="F964" t="s">
        <v>143</v>
      </c>
      <c r="G964" t="s">
        <v>86</v>
      </c>
      <c r="H964" s="72" t="s">
        <v>250</v>
      </c>
      <c r="I964" s="72" t="s">
        <v>101</v>
      </c>
      <c r="J964" t="str">
        <f t="shared" si="55"/>
        <v>Tokul Creek</v>
      </c>
      <c r="K964" t="str">
        <f>IFERROR(VLOOKUP(J964,LUTs!$A$1:$C$73,2,FALSE),"NA")</f>
        <v>King</v>
      </c>
      <c r="L964" t="str">
        <f>IFERROR(VLOOKUP(J964,LUTs!$A$1:$C$73,3,FALSE),"NA")</f>
        <v>2Central Puget Sound</v>
      </c>
      <c r="M964" s="72" t="s">
        <v>16</v>
      </c>
      <c r="N964" t="str">
        <f>VLOOKUP(M964,LUTs!E$2:H$14,3,)</f>
        <v>03Snohomish</v>
      </c>
      <c r="O964" t="str">
        <f>VLOOKUP(M964,LUTs!E$2:H$14,4,)</f>
        <v>01North Puget Sound</v>
      </c>
      <c r="P964" s="80">
        <v>18.1875</v>
      </c>
      <c r="Q964" s="102">
        <v>18.1875</v>
      </c>
      <c r="R964" s="74">
        <f>VLOOKUP(B964,Readme!A$40:C$52,3,)*Q964</f>
        <v>155.32124999999999</v>
      </c>
    </row>
    <row r="965" spans="1:18" ht="12" customHeight="1" x14ac:dyDescent="0.35">
      <c r="A965" s="75">
        <v>971</v>
      </c>
      <c r="B965" s="80">
        <v>2012</v>
      </c>
      <c r="C965" s="80">
        <v>12</v>
      </c>
      <c r="D965" s="80">
        <f t="shared" si="56"/>
        <v>2012</v>
      </c>
      <c r="E965" t="s">
        <v>38</v>
      </c>
      <c r="F965" t="s">
        <v>143</v>
      </c>
      <c r="G965" t="s">
        <v>86</v>
      </c>
      <c r="H965" s="72" t="s">
        <v>229</v>
      </c>
      <c r="I965" s="72" t="s">
        <v>71</v>
      </c>
      <c r="J965" t="str">
        <f t="shared" si="55"/>
        <v>Tolt River</v>
      </c>
      <c r="K965" t="str">
        <f>IFERROR(VLOOKUP(J965,LUTs!$A$1:$C$73,2,FALSE),"NA")</f>
        <v>King</v>
      </c>
      <c r="L965" t="str">
        <f>IFERROR(VLOOKUP(J965,LUTs!$A$1:$C$73,3,FALSE),"NA")</f>
        <v>2Central Puget Sound</v>
      </c>
      <c r="M965" s="72" t="s">
        <v>18</v>
      </c>
      <c r="N965" t="str">
        <f>VLOOKUP(M965,LUTs!E$2:H$14,3,)</f>
        <v>06King</v>
      </c>
      <c r="O965" t="str">
        <f>VLOOKUP(M965,LUTs!E$2:H$14,4,)</f>
        <v>02South Puget Sound</v>
      </c>
      <c r="P965" s="80">
        <v>3</v>
      </c>
      <c r="Q965" s="102">
        <v>3</v>
      </c>
      <c r="R965" s="74">
        <f>VLOOKUP(B965,Readme!A$40:C$52,3,)*Q965</f>
        <v>25.619999999999997</v>
      </c>
    </row>
    <row r="966" spans="1:18" ht="12" customHeight="1" x14ac:dyDescent="0.35">
      <c r="A966" s="75">
        <v>972</v>
      </c>
      <c r="B966" s="80">
        <v>2012</v>
      </c>
      <c r="C966" s="80">
        <v>12</v>
      </c>
      <c r="D966" s="80">
        <f t="shared" si="56"/>
        <v>2012</v>
      </c>
      <c r="E966" t="s">
        <v>38</v>
      </c>
      <c r="F966" t="s">
        <v>143</v>
      </c>
      <c r="G966" t="s">
        <v>86</v>
      </c>
      <c r="H966" s="72" t="s">
        <v>229</v>
      </c>
      <c r="I966" s="72" t="s">
        <v>71</v>
      </c>
      <c r="J966" t="str">
        <f t="shared" si="55"/>
        <v>Tolt River</v>
      </c>
      <c r="K966" t="str">
        <f>IFERROR(VLOOKUP(J966,LUTs!$A$1:$C$73,2,FALSE),"NA")</f>
        <v>King</v>
      </c>
      <c r="L966" t="str">
        <f>IFERROR(VLOOKUP(J966,LUTs!$A$1:$C$73,3,FALSE),"NA")</f>
        <v>2Central Puget Sound</v>
      </c>
      <c r="M966" s="72" t="s">
        <v>16</v>
      </c>
      <c r="N966" t="str">
        <f>VLOOKUP(M966,LUTs!E$2:H$14,3,)</f>
        <v>03Snohomish</v>
      </c>
      <c r="O966" t="str">
        <f>VLOOKUP(M966,LUTs!E$2:H$14,4,)</f>
        <v>01North Puget Sound</v>
      </c>
      <c r="P966" s="80">
        <v>3</v>
      </c>
      <c r="Q966" s="102">
        <v>3</v>
      </c>
      <c r="R966" s="74">
        <f>VLOOKUP(B966,Readme!A$40:C$52,3,)*Q966</f>
        <v>25.619999999999997</v>
      </c>
    </row>
    <row r="967" spans="1:18" ht="12" customHeight="1" x14ac:dyDescent="0.35">
      <c r="A967" s="75">
        <v>982</v>
      </c>
      <c r="B967" s="80">
        <v>2012</v>
      </c>
      <c r="C967" s="80">
        <v>12</v>
      </c>
      <c r="D967" s="80">
        <f t="shared" si="56"/>
        <v>2012</v>
      </c>
      <c r="E967" t="s">
        <v>38</v>
      </c>
      <c r="F967" t="s">
        <v>143</v>
      </c>
      <c r="G967" t="s">
        <v>86</v>
      </c>
      <c r="H967" s="72" t="s">
        <v>233</v>
      </c>
      <c r="I967" s="72" t="s">
        <v>76</v>
      </c>
      <c r="J967" t="str">
        <f t="shared" si="55"/>
        <v>Wallace River</v>
      </c>
      <c r="K967" t="str">
        <f>IFERROR(VLOOKUP(J967,LUTs!$A$1:$C$73,2,FALSE),"NA")</f>
        <v>Snohomish</v>
      </c>
      <c r="L967" t="str">
        <f>IFERROR(VLOOKUP(J967,LUTs!$A$1:$C$73,3,FALSE),"NA")</f>
        <v>2Central Puget Sound</v>
      </c>
      <c r="M967" s="72" t="s">
        <v>18</v>
      </c>
      <c r="N967" t="str">
        <f>VLOOKUP(M967,LUTs!E$2:H$14,3,)</f>
        <v>06King</v>
      </c>
      <c r="O967" t="str">
        <f>VLOOKUP(M967,LUTs!E$2:H$14,4,)</f>
        <v>02South Puget Sound</v>
      </c>
      <c r="P967" s="80">
        <v>5.8823529411764701</v>
      </c>
      <c r="Q967" s="102">
        <v>5.8823529411764701</v>
      </c>
      <c r="R967" s="74">
        <f>VLOOKUP(B967,Readme!A$40:C$52,3,)*Q967</f>
        <v>50.235294117647051</v>
      </c>
    </row>
    <row r="968" spans="1:18" ht="12" customHeight="1" x14ac:dyDescent="0.35">
      <c r="A968" s="75">
        <v>983</v>
      </c>
      <c r="B968" s="80">
        <v>2012</v>
      </c>
      <c r="C968" s="80">
        <v>12</v>
      </c>
      <c r="D968" s="80">
        <f t="shared" si="56"/>
        <v>2012</v>
      </c>
      <c r="E968" t="s">
        <v>38</v>
      </c>
      <c r="F968" t="s">
        <v>143</v>
      </c>
      <c r="G968" t="s">
        <v>86</v>
      </c>
      <c r="H968" s="72" t="s">
        <v>233</v>
      </c>
      <c r="I968" s="72" t="s">
        <v>76</v>
      </c>
      <c r="J968" t="str">
        <f t="shared" si="55"/>
        <v>Wallace River</v>
      </c>
      <c r="K968" t="str">
        <f>IFERROR(VLOOKUP(J968,LUTs!$A$1:$C$73,2,FALSE),"NA")</f>
        <v>Snohomish</v>
      </c>
      <c r="L968" t="str">
        <f>IFERROR(VLOOKUP(J968,LUTs!$A$1:$C$73,3,FALSE),"NA")</f>
        <v>2Central Puget Sound</v>
      </c>
      <c r="M968" s="72" t="s">
        <v>26</v>
      </c>
      <c r="N968" t="str">
        <f>VLOOKUP(M968,LUTs!E$2:H$14,3,)</f>
        <v>20Other</v>
      </c>
      <c r="O968" t="str">
        <f>VLOOKUP(M968,LUTs!E$2:H$14,4,)</f>
        <v>07Non Puget Sound</v>
      </c>
      <c r="P968" s="80">
        <v>2.9411764705882399</v>
      </c>
      <c r="Q968" s="102">
        <v>2.9411764705882399</v>
      </c>
      <c r="R968" s="74">
        <f>VLOOKUP(B968,Readme!A$40:C$52,3,)*Q968</f>
        <v>25.117647058823568</v>
      </c>
    </row>
    <row r="969" spans="1:18" ht="12" customHeight="1" x14ac:dyDescent="0.35">
      <c r="A969" s="75">
        <v>984</v>
      </c>
      <c r="B969" s="80">
        <v>2012</v>
      </c>
      <c r="C969" s="80">
        <v>12</v>
      </c>
      <c r="D969" s="80">
        <f t="shared" si="56"/>
        <v>2012</v>
      </c>
      <c r="E969" t="s">
        <v>38</v>
      </c>
      <c r="F969" t="s">
        <v>143</v>
      </c>
      <c r="G969" t="s">
        <v>86</v>
      </c>
      <c r="H969" s="72" t="s">
        <v>233</v>
      </c>
      <c r="I969" s="72" t="s">
        <v>76</v>
      </c>
      <c r="J969" t="str">
        <f t="shared" si="55"/>
        <v>Wallace River</v>
      </c>
      <c r="K969" t="str">
        <f>IFERROR(VLOOKUP(J969,LUTs!$A$1:$C$73,2,FALSE),"NA")</f>
        <v>Snohomish</v>
      </c>
      <c r="L969" t="str">
        <f>IFERROR(VLOOKUP(J969,LUTs!$A$1:$C$73,3,FALSE),"NA")</f>
        <v>2Central Puget Sound</v>
      </c>
      <c r="M969" s="72" t="s">
        <v>16</v>
      </c>
      <c r="N969" t="str">
        <f>VLOOKUP(M969,LUTs!E$2:H$14,3,)</f>
        <v>03Snohomish</v>
      </c>
      <c r="O969" t="str">
        <f>VLOOKUP(M969,LUTs!E$2:H$14,4,)</f>
        <v>01North Puget Sound</v>
      </c>
      <c r="P969" s="80">
        <v>41.176470588235297</v>
      </c>
      <c r="Q969" s="102">
        <v>41.176470588235297</v>
      </c>
      <c r="R969" s="74">
        <f>VLOOKUP(B969,Readme!A$40:C$52,3,)*Q969</f>
        <v>351.64705882352939</v>
      </c>
    </row>
    <row r="970" spans="1:18" ht="12" customHeight="1" x14ac:dyDescent="0.35">
      <c r="A970" s="75">
        <v>1045</v>
      </c>
      <c r="B970" s="80">
        <v>2013</v>
      </c>
      <c r="C970" s="80">
        <v>1</v>
      </c>
      <c r="D970" s="80">
        <f t="shared" si="56"/>
        <v>2012</v>
      </c>
      <c r="E970" t="s">
        <v>38</v>
      </c>
      <c r="F970" t="s">
        <v>143</v>
      </c>
      <c r="G970" t="s">
        <v>86</v>
      </c>
      <c r="H970" s="72" t="s">
        <v>254</v>
      </c>
      <c r="I970" s="72" t="s">
        <v>33</v>
      </c>
      <c r="J970" t="str">
        <f t="shared" si="55"/>
        <v>Area 9: Admiralty Inlet</v>
      </c>
      <c r="K970" t="str">
        <f>IFERROR(VLOOKUP(J970,LUTs!$A$1:$C$73,2,FALSE),"NA")</f>
        <v>NA</v>
      </c>
      <c r="L970" t="str">
        <f>IFERROR(VLOOKUP(J970,LUTs!$A$1:$C$73,3,FALSE),"NA")</f>
        <v>2Central Puget Sound</v>
      </c>
      <c r="M970" s="72" t="s">
        <v>18</v>
      </c>
      <c r="N970" t="str">
        <f>VLOOKUP(M970,LUTs!E$2:H$14,3,)</f>
        <v>06King</v>
      </c>
      <c r="O970" t="str">
        <f>VLOOKUP(M970,LUTs!E$2:H$14,4,)</f>
        <v>02South Puget Sound</v>
      </c>
      <c r="P970" s="80">
        <v>4</v>
      </c>
      <c r="Q970" s="102">
        <v>4</v>
      </c>
      <c r="R970" s="74">
        <f>VLOOKUP(B970,Readme!A$40:C$52,3,)*Q970</f>
        <v>74.2</v>
      </c>
    </row>
    <row r="971" spans="1:18" ht="12" customHeight="1" x14ac:dyDescent="0.35">
      <c r="A971" s="75">
        <v>991</v>
      </c>
      <c r="B971" s="80">
        <v>2013</v>
      </c>
      <c r="C971" s="80">
        <v>1</v>
      </c>
      <c r="D971" s="80">
        <f t="shared" si="56"/>
        <v>2012</v>
      </c>
      <c r="E971" t="s">
        <v>38</v>
      </c>
      <c r="F971" t="s">
        <v>143</v>
      </c>
      <c r="G971" t="s">
        <v>86</v>
      </c>
      <c r="H971" s="72" t="s">
        <v>251</v>
      </c>
      <c r="I971" s="72" t="s">
        <v>102</v>
      </c>
      <c r="J971" t="str">
        <f t="shared" si="55"/>
        <v>Canyon Creek</v>
      </c>
      <c r="K971" t="str">
        <f>IFERROR(VLOOKUP(J971,LUTs!$A$1:$C$73,2,FALSE),"NA")</f>
        <v>Snohomish</v>
      </c>
      <c r="L971" t="str">
        <f>IFERROR(VLOOKUP(J971,LUTs!$A$1:$C$73,3,FALSE),"NA")</f>
        <v>2Central Puget Sound</v>
      </c>
      <c r="M971" s="72" t="s">
        <v>16</v>
      </c>
      <c r="N971" t="str">
        <f>VLOOKUP(M971,LUTs!E$2:H$14,3,)</f>
        <v>03Snohomish</v>
      </c>
      <c r="O971" t="str">
        <f>VLOOKUP(M971,LUTs!E$2:H$14,4,)</f>
        <v>01North Puget Sound</v>
      </c>
      <c r="P971" s="80">
        <v>12</v>
      </c>
      <c r="Q971" s="102">
        <v>12</v>
      </c>
      <c r="R971" s="74">
        <f>VLOOKUP(B971,Readme!A$40:C$52,3,)*Q971</f>
        <v>222.60000000000002</v>
      </c>
    </row>
    <row r="972" spans="1:18" ht="12" customHeight="1" x14ac:dyDescent="0.35">
      <c r="A972" s="75">
        <v>824</v>
      </c>
      <c r="B972" s="80">
        <v>2013</v>
      </c>
      <c r="C972" s="80">
        <v>1</v>
      </c>
      <c r="D972" s="80">
        <f t="shared" si="56"/>
        <v>2012</v>
      </c>
      <c r="E972" t="s">
        <v>38</v>
      </c>
      <c r="F972" t="s">
        <v>143</v>
      </c>
      <c r="G972" t="s">
        <v>86</v>
      </c>
      <c r="H972" s="72" t="s">
        <v>217</v>
      </c>
      <c r="I972" s="72" t="s">
        <v>59</v>
      </c>
      <c r="J972" t="str">
        <f t="shared" si="55"/>
        <v>Cascade River</v>
      </c>
      <c r="K972" t="str">
        <f>IFERROR(VLOOKUP(J972,LUTs!$A$1:$C$73,2,FALSE),"NA")</f>
        <v>Skagit</v>
      </c>
      <c r="L972" t="str">
        <f>IFERROR(VLOOKUP(J972,LUTs!$A$1:$C$73,3,FALSE),"NA")</f>
        <v>1North Puget Sound</v>
      </c>
      <c r="M972" s="72" t="s">
        <v>17</v>
      </c>
      <c r="N972" t="str">
        <f>VLOOKUP(M972,LUTs!E$2:H$14,3,)</f>
        <v>04Island</v>
      </c>
      <c r="O972" t="str">
        <f>VLOOKUP(M972,LUTs!E$2:H$14,4,)</f>
        <v>01North Puget Sound</v>
      </c>
      <c r="P972" s="80">
        <v>7.0588235294117698</v>
      </c>
      <c r="Q972" s="102">
        <v>7.0588235294117698</v>
      </c>
      <c r="R972" s="74">
        <f>VLOOKUP(B972,Readme!A$40:C$52,3,)*Q972</f>
        <v>130.94117647058835</v>
      </c>
    </row>
    <row r="973" spans="1:18" ht="12" customHeight="1" x14ac:dyDescent="0.35">
      <c r="A973" s="75">
        <v>825</v>
      </c>
      <c r="B973" s="80">
        <v>2013</v>
      </c>
      <c r="C973" s="80">
        <v>1</v>
      </c>
      <c r="D973" s="80">
        <f t="shared" si="56"/>
        <v>2012</v>
      </c>
      <c r="E973" t="s">
        <v>38</v>
      </c>
      <c r="F973" t="s">
        <v>143</v>
      </c>
      <c r="G973" t="s">
        <v>86</v>
      </c>
      <c r="H973" s="72" t="s">
        <v>217</v>
      </c>
      <c r="I973" s="72" t="s">
        <v>59</v>
      </c>
      <c r="J973" t="str">
        <f t="shared" si="55"/>
        <v>Cascade River</v>
      </c>
      <c r="K973" t="str">
        <f>IFERROR(VLOOKUP(J973,LUTs!$A$1:$C$73,2,FALSE),"NA")</f>
        <v>Skagit</v>
      </c>
      <c r="L973" t="str">
        <f>IFERROR(VLOOKUP(J973,LUTs!$A$1:$C$73,3,FALSE),"NA")</f>
        <v>1North Puget Sound</v>
      </c>
      <c r="M973" s="72" t="s">
        <v>18</v>
      </c>
      <c r="N973" t="str">
        <f>VLOOKUP(M973,LUTs!E$2:H$14,3,)</f>
        <v>06King</v>
      </c>
      <c r="O973" t="str">
        <f>VLOOKUP(M973,LUTs!E$2:H$14,4,)</f>
        <v>02South Puget Sound</v>
      </c>
      <c r="P973" s="80">
        <v>4.7058823529411802</v>
      </c>
      <c r="Q973" s="102">
        <v>4.7058823529411802</v>
      </c>
      <c r="R973" s="74">
        <f>VLOOKUP(B973,Readme!A$40:C$52,3,)*Q973</f>
        <v>87.294117647058897</v>
      </c>
    </row>
    <row r="974" spans="1:18" ht="12" customHeight="1" x14ac:dyDescent="0.35">
      <c r="A974" s="75">
        <v>826</v>
      </c>
      <c r="B974" s="80">
        <v>2013</v>
      </c>
      <c r="C974" s="80">
        <v>1</v>
      </c>
      <c r="D974" s="80">
        <f t="shared" si="56"/>
        <v>2012</v>
      </c>
      <c r="E974" t="s">
        <v>38</v>
      </c>
      <c r="F974" t="s">
        <v>143</v>
      </c>
      <c r="G974" t="s">
        <v>86</v>
      </c>
      <c r="H974" s="72" t="s">
        <v>217</v>
      </c>
      <c r="I974" s="72" t="s">
        <v>59</v>
      </c>
      <c r="J974" t="str">
        <f t="shared" si="55"/>
        <v>Cascade River</v>
      </c>
      <c r="K974" t="str">
        <f>IFERROR(VLOOKUP(J974,LUTs!$A$1:$C$73,2,FALSE),"NA")</f>
        <v>Skagit</v>
      </c>
      <c r="L974" t="str">
        <f>IFERROR(VLOOKUP(J974,LUTs!$A$1:$C$73,3,FALSE),"NA")</f>
        <v>1North Puget Sound</v>
      </c>
      <c r="M974" s="72" t="s">
        <v>23</v>
      </c>
      <c r="N974" t="str">
        <f>VLOOKUP(M974,LUTs!E$2:H$14,3,)</f>
        <v>10Kitsap</v>
      </c>
      <c r="O974" t="str">
        <f>VLOOKUP(M974,LUTs!E$2:H$14,4,)</f>
        <v>02South Puget Sound</v>
      </c>
      <c r="P974" s="80">
        <v>11.764705882352899</v>
      </c>
      <c r="Q974" s="102">
        <v>11.764705882352899</v>
      </c>
      <c r="R974" s="74">
        <f>VLOOKUP(B974,Readme!A$40:C$52,3,)*Q974</f>
        <v>218.2352941176463</v>
      </c>
    </row>
    <row r="975" spans="1:18" ht="12" customHeight="1" x14ac:dyDescent="0.35">
      <c r="A975" s="75">
        <v>827</v>
      </c>
      <c r="B975" s="80">
        <v>2013</v>
      </c>
      <c r="C975" s="80">
        <v>1</v>
      </c>
      <c r="D975" s="80">
        <f t="shared" si="56"/>
        <v>2012</v>
      </c>
      <c r="E975" t="s">
        <v>38</v>
      </c>
      <c r="F975" t="s">
        <v>143</v>
      </c>
      <c r="G975" t="s">
        <v>86</v>
      </c>
      <c r="H975" s="72" t="s">
        <v>217</v>
      </c>
      <c r="I975" s="72" t="s">
        <v>59</v>
      </c>
      <c r="J975" t="str">
        <f t="shared" si="55"/>
        <v>Cascade River</v>
      </c>
      <c r="K975" t="str">
        <f>IFERROR(VLOOKUP(J975,LUTs!$A$1:$C$73,2,FALSE),"NA")</f>
        <v>Skagit</v>
      </c>
      <c r="L975" t="str">
        <f>IFERROR(VLOOKUP(J975,LUTs!$A$1:$C$73,3,FALSE),"NA")</f>
        <v>1North Puget Sound</v>
      </c>
      <c r="M975" s="72" t="s">
        <v>15</v>
      </c>
      <c r="N975" t="str">
        <f>VLOOKUP(M975,LUTs!E$2:H$14,3,)</f>
        <v>02Skagit</v>
      </c>
      <c r="O975" t="str">
        <f>VLOOKUP(M975,LUTs!E$2:H$14,4,)</f>
        <v>01North Puget Sound</v>
      </c>
      <c r="P975" s="80">
        <v>75.294117647058798</v>
      </c>
      <c r="Q975" s="102">
        <v>75.294117647058798</v>
      </c>
      <c r="R975" s="74">
        <f>VLOOKUP(B975,Readme!A$40:C$52,3,)*Q975</f>
        <v>1396.7058823529408</v>
      </c>
    </row>
    <row r="976" spans="1:18" ht="12" customHeight="1" x14ac:dyDescent="0.35">
      <c r="A976" s="75">
        <v>828</v>
      </c>
      <c r="B976" s="80">
        <v>2013</v>
      </c>
      <c r="C976" s="80">
        <v>1</v>
      </c>
      <c r="D976" s="80">
        <f t="shared" si="56"/>
        <v>2012</v>
      </c>
      <c r="E976" t="s">
        <v>38</v>
      </c>
      <c r="F976" t="s">
        <v>143</v>
      </c>
      <c r="G976" t="s">
        <v>86</v>
      </c>
      <c r="H976" s="72" t="s">
        <v>217</v>
      </c>
      <c r="I976" s="72" t="s">
        <v>59</v>
      </c>
      <c r="J976" t="str">
        <f t="shared" si="55"/>
        <v>Cascade River</v>
      </c>
      <c r="K976" t="str">
        <f>IFERROR(VLOOKUP(J976,LUTs!$A$1:$C$73,2,FALSE),"NA")</f>
        <v>Skagit</v>
      </c>
      <c r="L976" t="str">
        <f>IFERROR(VLOOKUP(J976,LUTs!$A$1:$C$73,3,FALSE),"NA")</f>
        <v>1North Puget Sound</v>
      </c>
      <c r="M976" s="72" t="s">
        <v>16</v>
      </c>
      <c r="N976" t="str">
        <f>VLOOKUP(M976,LUTs!E$2:H$14,3,)</f>
        <v>03Snohomish</v>
      </c>
      <c r="O976" t="str">
        <f>VLOOKUP(M976,LUTs!E$2:H$14,4,)</f>
        <v>01North Puget Sound</v>
      </c>
      <c r="P976" s="80">
        <v>14.117647058823501</v>
      </c>
      <c r="Q976" s="102">
        <v>14.117647058823501</v>
      </c>
      <c r="R976" s="74">
        <f>VLOOKUP(B976,Readme!A$40:C$52,3,)*Q976</f>
        <v>261.88235294117595</v>
      </c>
    </row>
    <row r="977" spans="1:18" ht="12" customHeight="1" x14ac:dyDescent="0.35">
      <c r="A977" s="75">
        <v>829</v>
      </c>
      <c r="B977" s="80">
        <v>2013</v>
      </c>
      <c r="C977" s="80">
        <v>1</v>
      </c>
      <c r="D977" s="80">
        <f t="shared" si="56"/>
        <v>2012</v>
      </c>
      <c r="E977" t="s">
        <v>38</v>
      </c>
      <c r="F977" t="s">
        <v>143</v>
      </c>
      <c r="G977" t="s">
        <v>86</v>
      </c>
      <c r="H977" s="72" t="s">
        <v>217</v>
      </c>
      <c r="I977" s="72" t="s">
        <v>59</v>
      </c>
      <c r="J977" t="str">
        <f t="shared" si="55"/>
        <v>Cascade River</v>
      </c>
      <c r="K977" t="str">
        <f>IFERROR(VLOOKUP(J977,LUTs!$A$1:$C$73,2,FALSE),"NA")</f>
        <v>Skagit</v>
      </c>
      <c r="L977" t="str">
        <f>IFERROR(VLOOKUP(J977,LUTs!$A$1:$C$73,3,FALSE),"NA")</f>
        <v>1North Puget Sound</v>
      </c>
      <c r="M977" s="72" t="s">
        <v>13</v>
      </c>
      <c r="N977" t="str">
        <f>VLOOKUP(M977,LUTs!E$2:H$14,3,)</f>
        <v>01Whatcom</v>
      </c>
      <c r="O977" t="str">
        <f>VLOOKUP(M977,LUTs!E$2:H$14,4,)</f>
        <v>01North Puget Sound</v>
      </c>
      <c r="P977" s="80">
        <v>7.0588235294117698</v>
      </c>
      <c r="Q977" s="102">
        <v>7.0588235294117698</v>
      </c>
      <c r="R977" s="74">
        <f>VLOOKUP(B977,Readme!A$40:C$52,3,)*Q977</f>
        <v>130.94117647058835</v>
      </c>
    </row>
    <row r="978" spans="1:18" ht="12" customHeight="1" x14ac:dyDescent="0.35">
      <c r="A978" s="75">
        <v>738</v>
      </c>
      <c r="B978" s="80">
        <v>2013</v>
      </c>
      <c r="C978" s="80">
        <v>1</v>
      </c>
      <c r="D978" s="80">
        <f t="shared" si="56"/>
        <v>2012</v>
      </c>
      <c r="E978" t="s">
        <v>38</v>
      </c>
      <c r="F978" t="s">
        <v>143</v>
      </c>
      <c r="G978" t="s">
        <v>86</v>
      </c>
      <c r="H978" s="72" t="s">
        <v>234</v>
      </c>
      <c r="I978" s="72" t="s">
        <v>87</v>
      </c>
      <c r="J978" t="str">
        <f t="shared" si="55"/>
        <v>Clallam River</v>
      </c>
      <c r="K978" t="str">
        <f>IFERROR(VLOOKUP(J978,LUTs!$A$1:$C$73,2,FALSE),"NA")</f>
        <v>Clallam</v>
      </c>
      <c r="L978" t="str">
        <f>IFERROR(VLOOKUP(J978,LUTs!$A$1:$C$73,3,FALSE),"NA")</f>
        <v>0Strait of Juan de Fuca</v>
      </c>
      <c r="M978" s="72" t="s">
        <v>24</v>
      </c>
      <c r="N978" t="str">
        <f>VLOOKUP(M978,LUTs!E$2:H$14,3,)</f>
        <v>11Clallam</v>
      </c>
      <c r="O978" t="str">
        <f>VLOOKUP(M978,LUTs!E$2:H$14,4,)</f>
        <v>03Strait of Juan de Fuca</v>
      </c>
      <c r="P978" s="80">
        <v>13</v>
      </c>
      <c r="Q978" s="102">
        <v>13</v>
      </c>
      <c r="R978" s="74">
        <f>VLOOKUP(B978,Readme!A$40:C$52,3,)*Q978</f>
        <v>241.15</v>
      </c>
    </row>
    <row r="979" spans="1:18" ht="12" customHeight="1" x14ac:dyDescent="0.35">
      <c r="A979" s="75">
        <v>745</v>
      </c>
      <c r="B979" s="80">
        <v>2013</v>
      </c>
      <c r="C979" s="80">
        <v>1</v>
      </c>
      <c r="D979" s="80">
        <f t="shared" si="56"/>
        <v>2012</v>
      </c>
      <c r="E979" t="s">
        <v>38</v>
      </c>
      <c r="F979" t="s">
        <v>143</v>
      </c>
      <c r="G979" t="s">
        <v>86</v>
      </c>
      <c r="H979" s="72" t="s">
        <v>201</v>
      </c>
      <c r="I979" s="72" t="s">
        <v>43</v>
      </c>
      <c r="J979" t="str">
        <f t="shared" si="55"/>
        <v>Dungeness River</v>
      </c>
      <c r="K979" t="str">
        <f>IFERROR(VLOOKUP(J979,LUTs!$A$1:$C$73,2,FALSE),"NA")</f>
        <v>Clallam</v>
      </c>
      <c r="L979" t="str">
        <f>IFERROR(VLOOKUP(J979,LUTs!$A$1:$C$73,3,FALSE),"NA")</f>
        <v>0Strait of Juan de Fuca</v>
      </c>
      <c r="M979" s="72" t="s">
        <v>24</v>
      </c>
      <c r="N979" t="str">
        <f>VLOOKUP(M979,LUTs!E$2:H$14,3,)</f>
        <v>11Clallam</v>
      </c>
      <c r="O979" t="str">
        <f>VLOOKUP(M979,LUTs!E$2:H$14,4,)</f>
        <v>03Strait of Juan de Fuca</v>
      </c>
      <c r="P979" s="80">
        <v>28.8</v>
      </c>
      <c r="Q979" s="102">
        <v>28.8</v>
      </c>
      <c r="R979" s="74">
        <f>VLOOKUP(B979,Readme!A$40:C$52,3,)*Q979</f>
        <v>534.24</v>
      </c>
    </row>
    <row r="980" spans="1:18" ht="12" customHeight="1" x14ac:dyDescent="0.35">
      <c r="A980" s="75">
        <v>746</v>
      </c>
      <c r="B980" s="80">
        <v>2013</v>
      </c>
      <c r="C980" s="80">
        <v>1</v>
      </c>
      <c r="D980" s="80">
        <f t="shared" si="56"/>
        <v>2012</v>
      </c>
      <c r="E980" t="s">
        <v>38</v>
      </c>
      <c r="F980" t="s">
        <v>143</v>
      </c>
      <c r="G980" t="s">
        <v>86</v>
      </c>
      <c r="H980" s="72" t="s">
        <v>201</v>
      </c>
      <c r="I980" s="72" t="s">
        <v>43</v>
      </c>
      <c r="J980" t="str">
        <f t="shared" si="55"/>
        <v>Dungeness River</v>
      </c>
      <c r="K980" t="str">
        <f>IFERROR(VLOOKUP(J980,LUTs!$A$1:$C$73,2,FALSE),"NA")</f>
        <v>Clallam</v>
      </c>
      <c r="L980" t="str">
        <f>IFERROR(VLOOKUP(J980,LUTs!$A$1:$C$73,3,FALSE),"NA")</f>
        <v>0Strait of Juan de Fuca</v>
      </c>
      <c r="M980" s="72" t="s">
        <v>23</v>
      </c>
      <c r="N980" t="str">
        <f>VLOOKUP(M980,LUTs!E$2:H$14,3,)</f>
        <v>10Kitsap</v>
      </c>
      <c r="O980" t="str">
        <f>VLOOKUP(M980,LUTs!E$2:H$14,4,)</f>
        <v>02South Puget Sound</v>
      </c>
      <c r="P980" s="80">
        <v>3.2</v>
      </c>
      <c r="Q980" s="102">
        <v>3.2</v>
      </c>
      <c r="R980" s="74">
        <f>VLOOKUP(B980,Readme!A$40:C$52,3,)*Q980</f>
        <v>59.360000000000007</v>
      </c>
    </row>
    <row r="981" spans="1:18" ht="12" customHeight="1" x14ac:dyDescent="0.35">
      <c r="A981" s="75">
        <v>763</v>
      </c>
      <c r="B981" s="80">
        <v>2013</v>
      </c>
      <c r="C981" s="80">
        <v>1</v>
      </c>
      <c r="D981" s="80">
        <f t="shared" si="56"/>
        <v>2012</v>
      </c>
      <c r="E981" t="s">
        <v>38</v>
      </c>
      <c r="F981" t="s">
        <v>143</v>
      </c>
      <c r="G981" t="s">
        <v>86</v>
      </c>
      <c r="H981" s="72" t="s">
        <v>203</v>
      </c>
      <c r="I981" s="72" t="s">
        <v>89</v>
      </c>
      <c r="J981" s="84" t="s">
        <v>45</v>
      </c>
      <c r="K981" t="str">
        <f>IFERROR(VLOOKUP(J981,LUTs!$A$1:$C$73,2,FALSE),"NA")</f>
        <v>King</v>
      </c>
      <c r="L981" t="str">
        <f>IFERROR(VLOOKUP(J981,LUTs!$A$1:$C$73,3,FALSE),"NA")</f>
        <v>3South Puget Sound</v>
      </c>
      <c r="M981" s="72" t="s">
        <v>18</v>
      </c>
      <c r="N981" t="str">
        <f>VLOOKUP(M981,LUTs!E$2:H$14,3,)</f>
        <v>06King</v>
      </c>
      <c r="O981" t="str">
        <f>VLOOKUP(M981,LUTs!E$2:H$14,4,)</f>
        <v>02South Puget Sound</v>
      </c>
      <c r="P981" s="80">
        <v>24.4444444444445</v>
      </c>
      <c r="Q981" s="102">
        <v>24.4444444444445</v>
      </c>
      <c r="R981" s="74">
        <f>VLOOKUP(B981,Readme!A$40:C$52,3,)*Q981</f>
        <v>453.44444444444548</v>
      </c>
    </row>
    <row r="982" spans="1:18" ht="12" customHeight="1" x14ac:dyDescent="0.35">
      <c r="A982" s="75">
        <v>764</v>
      </c>
      <c r="B982" s="80">
        <v>2013</v>
      </c>
      <c r="C982" s="80">
        <v>1</v>
      </c>
      <c r="D982" s="80">
        <f t="shared" si="56"/>
        <v>2012</v>
      </c>
      <c r="E982" t="s">
        <v>38</v>
      </c>
      <c r="F982" t="s">
        <v>143</v>
      </c>
      <c r="G982" t="s">
        <v>86</v>
      </c>
      <c r="H982" s="72" t="s">
        <v>203</v>
      </c>
      <c r="I982" s="72" t="s">
        <v>89</v>
      </c>
      <c r="J982" s="84" t="s">
        <v>45</v>
      </c>
      <c r="K982" t="str">
        <f>IFERROR(VLOOKUP(J982,LUTs!$A$1:$C$73,2,FALSE),"NA")</f>
        <v>King</v>
      </c>
      <c r="L982" t="str">
        <f>IFERROR(VLOOKUP(J982,LUTs!$A$1:$C$73,3,FALSE),"NA")</f>
        <v>3South Puget Sound</v>
      </c>
      <c r="M982" s="72" t="s">
        <v>20</v>
      </c>
      <c r="N982" t="str">
        <f>VLOOKUP(M982,LUTs!E$2:H$14,3,)</f>
        <v>07Pierce</v>
      </c>
      <c r="O982" t="str">
        <f>VLOOKUP(M982,LUTs!E$2:H$14,4,)</f>
        <v>02South Puget Sound</v>
      </c>
      <c r="P982" s="80">
        <v>13.3333333333333</v>
      </c>
      <c r="Q982" s="102">
        <v>13.3333333333333</v>
      </c>
      <c r="R982" s="74">
        <f>VLOOKUP(B982,Readme!A$40:C$52,3,)*Q982</f>
        <v>247.33333333333272</v>
      </c>
    </row>
    <row r="983" spans="1:18" ht="12" customHeight="1" x14ac:dyDescent="0.35">
      <c r="A983" s="75">
        <v>765</v>
      </c>
      <c r="B983" s="80">
        <v>2013</v>
      </c>
      <c r="C983" s="80">
        <v>1</v>
      </c>
      <c r="D983" s="80">
        <f t="shared" si="56"/>
        <v>2012</v>
      </c>
      <c r="E983" t="s">
        <v>38</v>
      </c>
      <c r="F983" t="s">
        <v>143</v>
      </c>
      <c r="G983" t="s">
        <v>86</v>
      </c>
      <c r="H983" s="72" t="s">
        <v>203</v>
      </c>
      <c r="I983" s="72" t="s">
        <v>89</v>
      </c>
      <c r="J983" s="84" t="s">
        <v>45</v>
      </c>
      <c r="K983" t="str">
        <f>IFERROR(VLOOKUP(J983,LUTs!$A$1:$C$73,2,FALSE),"NA")</f>
        <v>King</v>
      </c>
      <c r="L983" t="str">
        <f>IFERROR(VLOOKUP(J983,LUTs!$A$1:$C$73,3,FALSE),"NA")</f>
        <v>3South Puget Sound</v>
      </c>
      <c r="M983" s="72" t="s">
        <v>16</v>
      </c>
      <c r="N983" t="str">
        <f>VLOOKUP(M983,LUTs!E$2:H$14,3,)</f>
        <v>03Snohomish</v>
      </c>
      <c r="O983" t="str">
        <f>VLOOKUP(M983,LUTs!E$2:H$14,4,)</f>
        <v>01North Puget Sound</v>
      </c>
      <c r="P983" s="80">
        <v>2.2222222222222201</v>
      </c>
      <c r="Q983" s="102">
        <v>2.2222222222222201</v>
      </c>
      <c r="R983" s="74">
        <f>VLOOKUP(B983,Readme!A$40:C$52,3,)*Q983</f>
        <v>41.222222222222186</v>
      </c>
    </row>
    <row r="984" spans="1:18" ht="12" customHeight="1" x14ac:dyDescent="0.35">
      <c r="A984" s="75">
        <v>773</v>
      </c>
      <c r="B984" s="80">
        <v>2013</v>
      </c>
      <c r="C984" s="80">
        <v>1</v>
      </c>
      <c r="D984" s="80">
        <f t="shared" si="56"/>
        <v>2012</v>
      </c>
      <c r="E984" t="s">
        <v>38</v>
      </c>
      <c r="F984" t="s">
        <v>143</v>
      </c>
      <c r="G984" t="s">
        <v>86</v>
      </c>
      <c r="H984" s="72" t="s">
        <v>204</v>
      </c>
      <c r="I984" s="72" t="s">
        <v>46</v>
      </c>
      <c r="J984" t="str">
        <f t="shared" ref="J984:J1015" si="57">I984</f>
        <v>Hoko River</v>
      </c>
      <c r="K984" t="str">
        <f>IFERROR(VLOOKUP(J984,LUTs!$A$1:$C$73,2,FALSE),"NA")</f>
        <v>Clallam</v>
      </c>
      <c r="L984" t="str">
        <f>IFERROR(VLOOKUP(J984,LUTs!$A$1:$C$73,3,FALSE),"NA")</f>
        <v>0Strait of Juan de Fuca</v>
      </c>
      <c r="M984" s="72" t="s">
        <v>24</v>
      </c>
      <c r="N984" t="str">
        <f>VLOOKUP(M984,LUTs!E$2:H$14,3,)</f>
        <v>11Clallam</v>
      </c>
      <c r="O984" t="str">
        <f>VLOOKUP(M984,LUTs!E$2:H$14,4,)</f>
        <v>03Strait of Juan de Fuca</v>
      </c>
      <c r="P984" s="80">
        <v>38.6666666666667</v>
      </c>
      <c r="Q984" s="102">
        <v>38.6666666666667</v>
      </c>
      <c r="R984" s="74">
        <f>VLOOKUP(B984,Readme!A$40:C$52,3,)*Q984</f>
        <v>717.26666666666733</v>
      </c>
    </row>
    <row r="985" spans="1:18" ht="12" customHeight="1" x14ac:dyDescent="0.35">
      <c r="A985" s="75">
        <v>774</v>
      </c>
      <c r="B985" s="80">
        <v>2013</v>
      </c>
      <c r="C985" s="80">
        <v>1</v>
      </c>
      <c r="D985" s="80">
        <f t="shared" si="56"/>
        <v>2012</v>
      </c>
      <c r="E985" t="s">
        <v>38</v>
      </c>
      <c r="F985" t="s">
        <v>143</v>
      </c>
      <c r="G985" t="s">
        <v>86</v>
      </c>
      <c r="H985" s="72" t="s">
        <v>204</v>
      </c>
      <c r="I985" s="72" t="s">
        <v>46</v>
      </c>
      <c r="J985" t="str">
        <f t="shared" si="57"/>
        <v>Hoko River</v>
      </c>
      <c r="K985" t="str">
        <f>IFERROR(VLOOKUP(J985,LUTs!$A$1:$C$73,2,FALSE),"NA")</f>
        <v>Clallam</v>
      </c>
      <c r="L985" t="str">
        <f>IFERROR(VLOOKUP(J985,LUTs!$A$1:$C$73,3,FALSE),"NA")</f>
        <v>0Strait of Juan de Fuca</v>
      </c>
      <c r="M985" s="72" t="s">
        <v>18</v>
      </c>
      <c r="N985" t="str">
        <f>VLOOKUP(M985,LUTs!E$2:H$14,3,)</f>
        <v>06King</v>
      </c>
      <c r="O985" t="str">
        <f>VLOOKUP(M985,LUTs!E$2:H$14,4,)</f>
        <v>02South Puget Sound</v>
      </c>
      <c r="P985" s="80">
        <v>9.6666666666666696</v>
      </c>
      <c r="Q985" s="102">
        <v>9.6666666666666696</v>
      </c>
      <c r="R985" s="74">
        <f>VLOOKUP(B985,Readme!A$40:C$52,3,)*Q985</f>
        <v>179.31666666666672</v>
      </c>
    </row>
    <row r="986" spans="1:18" ht="12" customHeight="1" x14ac:dyDescent="0.35">
      <c r="A986" s="75">
        <v>775</v>
      </c>
      <c r="B986" s="80">
        <v>2013</v>
      </c>
      <c r="C986" s="80">
        <v>1</v>
      </c>
      <c r="D986" s="80">
        <f t="shared" si="56"/>
        <v>2012</v>
      </c>
      <c r="E986" t="s">
        <v>38</v>
      </c>
      <c r="F986" t="s">
        <v>143</v>
      </c>
      <c r="G986" t="s">
        <v>86</v>
      </c>
      <c r="H986" s="72" t="s">
        <v>204</v>
      </c>
      <c r="I986" s="72" t="s">
        <v>46</v>
      </c>
      <c r="J986" t="str">
        <f t="shared" si="57"/>
        <v>Hoko River</v>
      </c>
      <c r="K986" t="str">
        <f>IFERROR(VLOOKUP(J986,LUTs!$A$1:$C$73,2,FALSE),"NA")</f>
        <v>Clallam</v>
      </c>
      <c r="L986" t="str">
        <f>IFERROR(VLOOKUP(J986,LUTs!$A$1:$C$73,3,FALSE),"NA")</f>
        <v>0Strait of Juan de Fuca</v>
      </c>
      <c r="M986" s="72" t="s">
        <v>26</v>
      </c>
      <c r="N986" t="str">
        <f>VLOOKUP(M986,LUTs!E$2:H$14,3,)</f>
        <v>20Other</v>
      </c>
      <c r="O986" t="str">
        <f>VLOOKUP(M986,LUTs!E$2:H$14,4,)</f>
        <v>07Non Puget Sound</v>
      </c>
      <c r="P986" s="80">
        <v>2.4166666666666701</v>
      </c>
      <c r="Q986" s="102">
        <v>2.4166666666666701</v>
      </c>
      <c r="R986" s="74">
        <f>VLOOKUP(B986,Readme!A$40:C$52,3,)*Q986</f>
        <v>44.82916666666673</v>
      </c>
    </row>
    <row r="987" spans="1:18" ht="12" customHeight="1" x14ac:dyDescent="0.35">
      <c r="A987" s="75">
        <v>776</v>
      </c>
      <c r="B987" s="80">
        <v>2013</v>
      </c>
      <c r="C987" s="80">
        <v>1</v>
      </c>
      <c r="D987" s="80">
        <f t="shared" si="56"/>
        <v>2012</v>
      </c>
      <c r="E987" t="s">
        <v>38</v>
      </c>
      <c r="F987" t="s">
        <v>143</v>
      </c>
      <c r="G987" t="s">
        <v>86</v>
      </c>
      <c r="H987" s="72" t="s">
        <v>204</v>
      </c>
      <c r="I987" s="72" t="s">
        <v>46</v>
      </c>
      <c r="J987" t="str">
        <f t="shared" si="57"/>
        <v>Hoko River</v>
      </c>
      <c r="K987" t="str">
        <f>IFERROR(VLOOKUP(J987,LUTs!$A$1:$C$73,2,FALSE),"NA")</f>
        <v>Clallam</v>
      </c>
      <c r="L987" t="str">
        <f>IFERROR(VLOOKUP(J987,LUTs!$A$1:$C$73,3,FALSE),"NA")</f>
        <v>0Strait of Juan de Fuca</v>
      </c>
      <c r="M987" s="72" t="s">
        <v>20</v>
      </c>
      <c r="N987" t="str">
        <f>VLOOKUP(M987,LUTs!E$2:H$14,3,)</f>
        <v>07Pierce</v>
      </c>
      <c r="O987" t="str">
        <f>VLOOKUP(M987,LUTs!E$2:H$14,4,)</f>
        <v>02South Puget Sound</v>
      </c>
      <c r="P987" s="80">
        <v>7.25</v>
      </c>
      <c r="Q987" s="102">
        <v>7.25</v>
      </c>
      <c r="R987" s="74">
        <f>VLOOKUP(B987,Readme!A$40:C$52,3,)*Q987</f>
        <v>134.48750000000001</v>
      </c>
    </row>
    <row r="988" spans="1:18" ht="12" customHeight="1" x14ac:dyDescent="0.35">
      <c r="A988" s="75">
        <v>785</v>
      </c>
      <c r="B988" s="80">
        <v>2013</v>
      </c>
      <c r="C988" s="80">
        <v>1</v>
      </c>
      <c r="D988" s="80">
        <f t="shared" si="56"/>
        <v>2012</v>
      </c>
      <c r="E988" t="s">
        <v>38</v>
      </c>
      <c r="F988" t="s">
        <v>143</v>
      </c>
      <c r="G988" t="s">
        <v>86</v>
      </c>
      <c r="H988" s="72" t="s">
        <v>237</v>
      </c>
      <c r="I988" s="72" t="s">
        <v>79</v>
      </c>
      <c r="J988" t="str">
        <f t="shared" si="57"/>
        <v>Lyre River</v>
      </c>
      <c r="K988" t="str">
        <f>IFERROR(VLOOKUP(J988,LUTs!$A$1:$C$73,2,FALSE),"NA")</f>
        <v>Clallam</v>
      </c>
      <c r="L988" t="str">
        <f>IFERROR(VLOOKUP(J988,LUTs!$A$1:$C$73,3,FALSE),"NA")</f>
        <v>0Strait of Juan de Fuca</v>
      </c>
      <c r="M988" s="72" t="s">
        <v>24</v>
      </c>
      <c r="N988" t="str">
        <f>VLOOKUP(M988,LUTs!E$2:H$14,3,)</f>
        <v>11Clallam</v>
      </c>
      <c r="O988" t="str">
        <f>VLOOKUP(M988,LUTs!E$2:H$14,4,)</f>
        <v>03Strait of Juan de Fuca</v>
      </c>
      <c r="P988" s="80">
        <v>3</v>
      </c>
      <c r="Q988" s="102">
        <v>3</v>
      </c>
      <c r="R988" s="74">
        <f>VLOOKUP(B988,Readme!A$40:C$52,3,)*Q988</f>
        <v>55.650000000000006</v>
      </c>
    </row>
    <row r="989" spans="1:18" ht="12" customHeight="1" x14ac:dyDescent="0.35">
      <c r="A989" s="75">
        <v>788</v>
      </c>
      <c r="B989" s="80">
        <v>2013</v>
      </c>
      <c r="C989" s="80">
        <v>1</v>
      </c>
      <c r="D989" s="80">
        <f t="shared" si="56"/>
        <v>2012</v>
      </c>
      <c r="E989" t="s">
        <v>38</v>
      </c>
      <c r="F989" t="s">
        <v>143</v>
      </c>
      <c r="G989" t="s">
        <v>86</v>
      </c>
      <c r="H989" s="72" t="s">
        <v>238</v>
      </c>
      <c r="I989" s="72" t="s">
        <v>91</v>
      </c>
      <c r="J989" t="str">
        <f t="shared" si="57"/>
        <v>Morse Creek (Clallam Co.)</v>
      </c>
      <c r="K989" t="str">
        <f>IFERROR(VLOOKUP(J989,LUTs!$A$1:$C$73,2,FALSE),"NA")</f>
        <v>Clallam</v>
      </c>
      <c r="L989" t="str">
        <f>IFERROR(VLOOKUP(J989,LUTs!$A$1:$C$73,3,FALSE),"NA")</f>
        <v>0Strait of Juan de Fuca</v>
      </c>
      <c r="M989" s="72" t="s">
        <v>24</v>
      </c>
      <c r="N989" t="str">
        <f>VLOOKUP(M989,LUTs!E$2:H$14,3,)</f>
        <v>11Clallam</v>
      </c>
      <c r="O989" t="str">
        <f>VLOOKUP(M989,LUTs!E$2:H$14,4,)</f>
        <v>03Strait of Juan de Fuca</v>
      </c>
      <c r="P989" s="80">
        <v>3</v>
      </c>
      <c r="Q989" s="102">
        <v>3</v>
      </c>
      <c r="R989" s="74">
        <f>VLOOKUP(B989,Readme!A$40:C$52,3,)*Q989</f>
        <v>55.650000000000006</v>
      </c>
    </row>
    <row r="990" spans="1:18" ht="12" customHeight="1" x14ac:dyDescent="0.35">
      <c r="A990" s="75">
        <v>789</v>
      </c>
      <c r="B990" s="80">
        <v>2013</v>
      </c>
      <c r="C990" s="80">
        <v>1</v>
      </c>
      <c r="D990" s="80">
        <f t="shared" si="56"/>
        <v>2012</v>
      </c>
      <c r="E990" t="s">
        <v>38</v>
      </c>
      <c r="F990" t="s">
        <v>143</v>
      </c>
      <c r="G990" t="s">
        <v>86</v>
      </c>
      <c r="H990" s="72" t="s">
        <v>209</v>
      </c>
      <c r="I990" s="72" t="s">
        <v>51</v>
      </c>
      <c r="J990" t="str">
        <f t="shared" si="57"/>
        <v>Nisqually River</v>
      </c>
      <c r="K990" t="str">
        <f>IFERROR(VLOOKUP(J990,LUTs!$A$1:$C$73,2,FALSE),"NA")</f>
        <v>Thurston/Pierce</v>
      </c>
      <c r="L990" t="str">
        <f>IFERROR(VLOOKUP(J990,LUTs!$A$1:$C$73,3,FALSE),"NA")</f>
        <v>3South Puget Sound</v>
      </c>
      <c r="M990" s="72" t="s">
        <v>26</v>
      </c>
      <c r="N990" t="str">
        <f>VLOOKUP(M990,LUTs!E$2:H$14,3,)</f>
        <v>20Other</v>
      </c>
      <c r="O990" t="str">
        <f>VLOOKUP(M990,LUTs!E$2:H$14,4,)</f>
        <v>07Non Puget Sound</v>
      </c>
      <c r="P990" s="80">
        <v>6</v>
      </c>
      <c r="Q990" s="102">
        <v>6</v>
      </c>
      <c r="R990" s="74">
        <f>VLOOKUP(B990,Readme!A$40:C$52,3,)*Q990</f>
        <v>111.30000000000001</v>
      </c>
    </row>
    <row r="991" spans="1:18" ht="12" customHeight="1" x14ac:dyDescent="0.35">
      <c r="A991" s="75">
        <v>794</v>
      </c>
      <c r="B991" s="80">
        <v>2013</v>
      </c>
      <c r="C991" s="80">
        <v>1</v>
      </c>
      <c r="D991" s="80">
        <f t="shared" si="56"/>
        <v>2012</v>
      </c>
      <c r="E991" t="s">
        <v>38</v>
      </c>
      <c r="F991" t="s">
        <v>143</v>
      </c>
      <c r="G991" t="s">
        <v>86</v>
      </c>
      <c r="H991" s="72" t="s">
        <v>241</v>
      </c>
      <c r="I991" s="72" t="s">
        <v>83</v>
      </c>
      <c r="J991" t="str">
        <f t="shared" si="57"/>
        <v>Nooksack River, below North Fork</v>
      </c>
      <c r="K991" t="str">
        <f>IFERROR(VLOOKUP(J991,LUTs!$A$1:$C$73,2,FALSE),"NA")</f>
        <v>Whatcom</v>
      </c>
      <c r="L991" t="str">
        <f>IFERROR(VLOOKUP(J991,LUTs!$A$1:$C$73,3,FALSE),"NA")</f>
        <v>1North Puget Sound</v>
      </c>
      <c r="M991" s="72" t="s">
        <v>15</v>
      </c>
      <c r="N991" t="str">
        <f>VLOOKUP(M991,LUTs!E$2:H$14,3,)</f>
        <v>02Skagit</v>
      </c>
      <c r="O991" t="str">
        <f>VLOOKUP(M991,LUTs!E$2:H$14,4,)</f>
        <v>01North Puget Sound</v>
      </c>
      <c r="P991" s="80">
        <v>3.2</v>
      </c>
      <c r="Q991" s="102">
        <v>3.2</v>
      </c>
      <c r="R991" s="74">
        <f>VLOOKUP(B991,Readme!A$40:C$52,3,)*Q991</f>
        <v>59.360000000000007</v>
      </c>
    </row>
    <row r="992" spans="1:18" ht="12" customHeight="1" x14ac:dyDescent="0.35">
      <c r="A992" s="75">
        <v>795</v>
      </c>
      <c r="B992" s="80">
        <v>2013</v>
      </c>
      <c r="C992" s="80">
        <v>1</v>
      </c>
      <c r="D992" s="80">
        <f t="shared" si="56"/>
        <v>2012</v>
      </c>
      <c r="E992" t="s">
        <v>38</v>
      </c>
      <c r="F992" t="s">
        <v>143</v>
      </c>
      <c r="G992" t="s">
        <v>86</v>
      </c>
      <c r="H992" s="72" t="s">
        <v>241</v>
      </c>
      <c r="I992" s="72" t="s">
        <v>83</v>
      </c>
      <c r="J992" t="str">
        <f t="shared" si="57"/>
        <v>Nooksack River, below North Fork</v>
      </c>
      <c r="K992" t="str">
        <f>IFERROR(VLOOKUP(J992,LUTs!$A$1:$C$73,2,FALSE),"NA")</f>
        <v>Whatcom</v>
      </c>
      <c r="L992" t="str">
        <f>IFERROR(VLOOKUP(J992,LUTs!$A$1:$C$73,3,FALSE),"NA")</f>
        <v>1North Puget Sound</v>
      </c>
      <c r="M992" s="72" t="s">
        <v>13</v>
      </c>
      <c r="N992" t="str">
        <f>VLOOKUP(M992,LUTs!E$2:H$14,3,)</f>
        <v>01Whatcom</v>
      </c>
      <c r="O992" t="str">
        <f>VLOOKUP(M992,LUTs!E$2:H$14,4,)</f>
        <v>01North Puget Sound</v>
      </c>
      <c r="P992" s="80">
        <v>12.8</v>
      </c>
      <c r="Q992" s="102">
        <v>12.8</v>
      </c>
      <c r="R992" s="74">
        <f>VLOOKUP(B992,Readme!A$40:C$52,3,)*Q992</f>
        <v>237.44000000000003</v>
      </c>
    </row>
    <row r="993" spans="1:18" ht="12" customHeight="1" x14ac:dyDescent="0.35">
      <c r="A993" s="75">
        <v>791</v>
      </c>
      <c r="B993" s="80">
        <v>2013</v>
      </c>
      <c r="C993" s="80">
        <v>1</v>
      </c>
      <c r="D993" s="80">
        <f t="shared" si="56"/>
        <v>2012</v>
      </c>
      <c r="E993" t="s">
        <v>38</v>
      </c>
      <c r="F993" t="s">
        <v>143</v>
      </c>
      <c r="G993" t="s">
        <v>86</v>
      </c>
      <c r="H993" s="72" t="s">
        <v>239</v>
      </c>
      <c r="I993" s="72" t="s">
        <v>92</v>
      </c>
      <c r="J993" t="str">
        <f t="shared" si="57"/>
        <v>Nooksack River, No. Fork</v>
      </c>
      <c r="K993" t="str">
        <f>IFERROR(VLOOKUP(J993,LUTs!$A$1:$C$73,2,FALSE),"NA")</f>
        <v>Whatcom</v>
      </c>
      <c r="L993" t="str">
        <f>IFERROR(VLOOKUP(J993,LUTs!$A$1:$C$73,3,FALSE),"NA")</f>
        <v>1North Puget Sound</v>
      </c>
      <c r="M993" s="72" t="s">
        <v>13</v>
      </c>
      <c r="N993" t="str">
        <f>VLOOKUP(M993,LUTs!E$2:H$14,3,)</f>
        <v>01Whatcom</v>
      </c>
      <c r="O993" t="str">
        <f>VLOOKUP(M993,LUTs!E$2:H$14,4,)</f>
        <v>01North Puget Sound</v>
      </c>
      <c r="P993" s="80">
        <v>19</v>
      </c>
      <c r="Q993" s="102">
        <v>19</v>
      </c>
      <c r="R993" s="74">
        <f>VLOOKUP(B993,Readme!A$40:C$52,3,)*Q993</f>
        <v>352.45</v>
      </c>
    </row>
    <row r="994" spans="1:18" ht="12" customHeight="1" x14ac:dyDescent="0.35">
      <c r="A994" s="75">
        <v>853</v>
      </c>
      <c r="B994" s="80">
        <v>2013</v>
      </c>
      <c r="C994" s="80">
        <v>1</v>
      </c>
      <c r="D994" s="80">
        <f t="shared" si="56"/>
        <v>2012</v>
      </c>
      <c r="E994" t="s">
        <v>38</v>
      </c>
      <c r="F994" t="s">
        <v>143</v>
      </c>
      <c r="G994" t="s">
        <v>86</v>
      </c>
      <c r="H994" s="72" t="s">
        <v>228</v>
      </c>
      <c r="I994" s="72" t="s">
        <v>70</v>
      </c>
      <c r="J994" t="str">
        <f t="shared" si="57"/>
        <v>Pilchuck River (Snohomish System)</v>
      </c>
      <c r="K994" t="str">
        <f>IFERROR(VLOOKUP(J994,LUTs!$A$1:$C$73,2,FALSE),"NA")</f>
        <v>Snohomish</v>
      </c>
      <c r="L994" t="str">
        <f>IFERROR(VLOOKUP(J994,LUTs!$A$1:$C$73,3,FALSE),"NA")</f>
        <v>2Central Puget Sound</v>
      </c>
      <c r="M994" s="72" t="s">
        <v>18</v>
      </c>
      <c r="N994" t="str">
        <f>VLOOKUP(M994,LUTs!E$2:H$14,3,)</f>
        <v>06King</v>
      </c>
      <c r="O994" t="str">
        <f>VLOOKUP(M994,LUTs!E$2:H$14,4,)</f>
        <v>02South Puget Sound</v>
      </c>
      <c r="P994" s="80">
        <v>3</v>
      </c>
      <c r="Q994" s="102">
        <v>3</v>
      </c>
      <c r="R994" s="74">
        <f>VLOOKUP(B994,Readme!A$40:C$52,3,)*Q994</f>
        <v>55.650000000000006</v>
      </c>
    </row>
    <row r="995" spans="1:18" ht="12" customHeight="1" x14ac:dyDescent="0.35">
      <c r="A995" s="75">
        <v>854</v>
      </c>
      <c r="B995" s="80">
        <v>2013</v>
      </c>
      <c r="C995" s="80">
        <v>1</v>
      </c>
      <c r="D995" s="80">
        <f t="shared" si="56"/>
        <v>2012</v>
      </c>
      <c r="E995" t="s">
        <v>38</v>
      </c>
      <c r="F995" t="s">
        <v>143</v>
      </c>
      <c r="G995" t="s">
        <v>86</v>
      </c>
      <c r="H995" s="72" t="s">
        <v>228</v>
      </c>
      <c r="I995" s="72" t="s">
        <v>70</v>
      </c>
      <c r="J995" t="str">
        <f t="shared" si="57"/>
        <v>Pilchuck River (Snohomish System)</v>
      </c>
      <c r="K995" t="str">
        <f>IFERROR(VLOOKUP(J995,LUTs!$A$1:$C$73,2,FALSE),"NA")</f>
        <v>Snohomish</v>
      </c>
      <c r="L995" t="str">
        <f>IFERROR(VLOOKUP(J995,LUTs!$A$1:$C$73,3,FALSE),"NA")</f>
        <v>2Central Puget Sound</v>
      </c>
      <c r="M995" s="72" t="s">
        <v>16</v>
      </c>
      <c r="N995" t="str">
        <f>VLOOKUP(M995,LUTs!E$2:H$14,3,)</f>
        <v>03Snohomish</v>
      </c>
      <c r="O995" t="str">
        <f>VLOOKUP(M995,LUTs!E$2:H$14,4,)</f>
        <v>01North Puget Sound</v>
      </c>
      <c r="P995" s="80">
        <v>6</v>
      </c>
      <c r="Q995" s="102">
        <v>6</v>
      </c>
      <c r="R995" s="74">
        <f>VLOOKUP(B995,Readme!A$40:C$52,3,)*Q995</f>
        <v>111.30000000000001</v>
      </c>
    </row>
    <row r="996" spans="1:18" ht="12" customHeight="1" x14ac:dyDescent="0.35">
      <c r="A996" s="75">
        <v>800</v>
      </c>
      <c r="B996" s="80">
        <v>2013</v>
      </c>
      <c r="C996" s="80">
        <v>1</v>
      </c>
      <c r="D996" s="80">
        <f t="shared" si="56"/>
        <v>2012</v>
      </c>
      <c r="E996" t="s">
        <v>38</v>
      </c>
      <c r="F996" t="s">
        <v>143</v>
      </c>
      <c r="G996" t="s">
        <v>86</v>
      </c>
      <c r="H996" s="72" t="s">
        <v>227</v>
      </c>
      <c r="I996" s="72" t="s">
        <v>69</v>
      </c>
      <c r="J996" t="str">
        <f t="shared" si="57"/>
        <v>Pysht River</v>
      </c>
      <c r="K996" t="str">
        <f>IFERROR(VLOOKUP(J996,LUTs!$A$1:$C$73,2,FALSE),"NA")</f>
        <v>Clallam</v>
      </c>
      <c r="L996" t="str">
        <f>IFERROR(VLOOKUP(J996,LUTs!$A$1:$C$73,3,FALSE),"NA")</f>
        <v>0Strait of Juan de Fuca</v>
      </c>
      <c r="M996" s="72" t="s">
        <v>24</v>
      </c>
      <c r="N996" t="str">
        <f>VLOOKUP(M996,LUTs!E$2:H$14,3,)</f>
        <v>11Clallam</v>
      </c>
      <c r="O996" t="str">
        <f>VLOOKUP(M996,LUTs!E$2:H$14,4,)</f>
        <v>03Strait of Juan de Fuca</v>
      </c>
      <c r="P996" s="80">
        <v>19</v>
      </c>
      <c r="Q996" s="102">
        <v>19</v>
      </c>
      <c r="R996" s="74">
        <f>VLOOKUP(B996,Readme!A$40:C$52,3,)*Q996</f>
        <v>352.45</v>
      </c>
    </row>
    <row r="997" spans="1:18" ht="12" customHeight="1" x14ac:dyDescent="0.35">
      <c r="A997" s="75">
        <v>848</v>
      </c>
      <c r="B997" s="80">
        <v>2013</v>
      </c>
      <c r="C997" s="80">
        <v>1</v>
      </c>
      <c r="D997" s="80">
        <f t="shared" si="56"/>
        <v>2012</v>
      </c>
      <c r="E997" t="s">
        <v>38</v>
      </c>
      <c r="F997" t="s">
        <v>143</v>
      </c>
      <c r="G997" t="s">
        <v>86</v>
      </c>
      <c r="H997" s="72" t="s">
        <v>218</v>
      </c>
      <c r="I997" s="72" t="s">
        <v>60</v>
      </c>
      <c r="J997" t="str">
        <f t="shared" si="57"/>
        <v>Skagit River</v>
      </c>
      <c r="K997" t="str">
        <f>IFERROR(VLOOKUP(J997,LUTs!$A$1:$C$73,2,FALSE),"NA")</f>
        <v>Skagit/Whatcom</v>
      </c>
      <c r="L997" t="str">
        <f>IFERROR(VLOOKUP(J997,LUTs!$A$1:$C$73,3,FALSE),"NA")</f>
        <v>2Central Puget Sound</v>
      </c>
      <c r="M997" s="72" t="s">
        <v>15</v>
      </c>
      <c r="N997" t="str">
        <f>VLOOKUP(M997,LUTs!E$2:H$14,3,)</f>
        <v>02Skagit</v>
      </c>
      <c r="O997" t="str">
        <f>VLOOKUP(M997,LUTs!E$2:H$14,4,)</f>
        <v>01North Puget Sound</v>
      </c>
      <c r="P997" s="80">
        <v>39.6666666666667</v>
      </c>
      <c r="Q997" s="102">
        <v>39.6666666666667</v>
      </c>
      <c r="R997" s="74">
        <f>VLOOKUP(B997,Readme!A$40:C$52,3,)*Q997</f>
        <v>735.81666666666729</v>
      </c>
    </row>
    <row r="998" spans="1:18" ht="12" customHeight="1" x14ac:dyDescent="0.35">
      <c r="A998" s="75">
        <v>849</v>
      </c>
      <c r="B998" s="80">
        <v>2013</v>
      </c>
      <c r="C998" s="80">
        <v>1</v>
      </c>
      <c r="D998" s="80">
        <f t="shared" si="56"/>
        <v>2012</v>
      </c>
      <c r="E998" t="s">
        <v>38</v>
      </c>
      <c r="F998" t="s">
        <v>143</v>
      </c>
      <c r="G998" t="s">
        <v>86</v>
      </c>
      <c r="H998" s="72" t="s">
        <v>218</v>
      </c>
      <c r="I998" s="72" t="s">
        <v>60</v>
      </c>
      <c r="J998" t="str">
        <f t="shared" si="57"/>
        <v>Skagit River</v>
      </c>
      <c r="K998" t="str">
        <f>IFERROR(VLOOKUP(J998,LUTs!$A$1:$C$73,2,FALSE),"NA")</f>
        <v>Skagit/Whatcom</v>
      </c>
      <c r="L998" t="str">
        <f>IFERROR(VLOOKUP(J998,LUTs!$A$1:$C$73,3,FALSE),"NA")</f>
        <v>2Central Puget Sound</v>
      </c>
      <c r="M998" s="72" t="s">
        <v>13</v>
      </c>
      <c r="N998" t="str">
        <f>VLOOKUP(M998,LUTs!E$2:H$14,3,)</f>
        <v>01Whatcom</v>
      </c>
      <c r="O998" t="str">
        <f>VLOOKUP(M998,LUTs!E$2:H$14,4,)</f>
        <v>01North Puget Sound</v>
      </c>
      <c r="P998" s="80">
        <v>2.3333333333333299</v>
      </c>
      <c r="Q998" s="102">
        <v>2.3333333333333299</v>
      </c>
      <c r="R998" s="74">
        <f>VLOOKUP(B998,Readme!A$40:C$52,3,)*Q998</f>
        <v>43.283333333333275</v>
      </c>
    </row>
    <row r="999" spans="1:18" ht="12" customHeight="1" x14ac:dyDescent="0.35">
      <c r="A999" s="75">
        <v>895</v>
      </c>
      <c r="B999" s="80">
        <v>2013</v>
      </c>
      <c r="C999" s="80">
        <v>1</v>
      </c>
      <c r="D999" s="80">
        <f t="shared" si="56"/>
        <v>2012</v>
      </c>
      <c r="E999" t="s">
        <v>38</v>
      </c>
      <c r="F999" t="s">
        <v>143</v>
      </c>
      <c r="G999" t="s">
        <v>86</v>
      </c>
      <c r="H999" s="72" t="s">
        <v>220</v>
      </c>
      <c r="I999" s="72" t="s">
        <v>62</v>
      </c>
      <c r="J999" t="str">
        <f t="shared" si="57"/>
        <v>Skykomish River</v>
      </c>
      <c r="K999" t="str">
        <f>IFERROR(VLOOKUP(J999,LUTs!$A$1:$C$73,2,FALSE),"NA")</f>
        <v>Snohomish</v>
      </c>
      <c r="L999" t="str">
        <f>IFERROR(VLOOKUP(J999,LUTs!$A$1:$C$73,3,FALSE),"NA")</f>
        <v>2Central Puget Sound</v>
      </c>
      <c r="M999" s="72" t="s">
        <v>18</v>
      </c>
      <c r="N999" t="str">
        <f>VLOOKUP(M999,LUTs!E$2:H$14,3,)</f>
        <v>06King</v>
      </c>
      <c r="O999" t="str">
        <f>VLOOKUP(M999,LUTs!E$2:H$14,4,)</f>
        <v>02South Puget Sound</v>
      </c>
      <c r="P999" s="80">
        <v>206.13496932515301</v>
      </c>
      <c r="Q999" s="102">
        <v>206.13496932515301</v>
      </c>
      <c r="R999" s="74">
        <f>VLOOKUP(B999,Readme!A$40:C$52,3,)*Q999</f>
        <v>3823.8036809815885</v>
      </c>
    </row>
    <row r="1000" spans="1:18" ht="12" customHeight="1" x14ac:dyDescent="0.35">
      <c r="A1000" s="75">
        <v>896</v>
      </c>
      <c r="B1000" s="80">
        <v>2013</v>
      </c>
      <c r="C1000" s="80">
        <v>1</v>
      </c>
      <c r="D1000" s="80">
        <f t="shared" si="56"/>
        <v>2012</v>
      </c>
      <c r="E1000" t="s">
        <v>38</v>
      </c>
      <c r="F1000" t="s">
        <v>143</v>
      </c>
      <c r="G1000" t="s">
        <v>86</v>
      </c>
      <c r="H1000" s="72" t="s">
        <v>220</v>
      </c>
      <c r="I1000" s="72" t="s">
        <v>62</v>
      </c>
      <c r="J1000" t="str">
        <f t="shared" si="57"/>
        <v>Skykomish River</v>
      </c>
      <c r="K1000" t="str">
        <f>IFERROR(VLOOKUP(J1000,LUTs!$A$1:$C$73,2,FALSE),"NA")</f>
        <v>Snohomish</v>
      </c>
      <c r="L1000" t="str">
        <f>IFERROR(VLOOKUP(J1000,LUTs!$A$1:$C$73,3,FALSE),"NA")</f>
        <v>2Central Puget Sound</v>
      </c>
      <c r="M1000" s="72" t="s">
        <v>26</v>
      </c>
      <c r="N1000" t="str">
        <f>VLOOKUP(M1000,LUTs!E$2:H$14,3,)</f>
        <v>20Other</v>
      </c>
      <c r="O1000" t="str">
        <f>VLOOKUP(M1000,LUTs!E$2:H$14,4,)</f>
        <v>07Non Puget Sound</v>
      </c>
      <c r="P1000" s="80">
        <v>5.8895705521472399</v>
      </c>
      <c r="Q1000" s="102">
        <v>5.8895705521472399</v>
      </c>
      <c r="R1000" s="74">
        <f>VLOOKUP(B1000,Readme!A$40:C$52,3,)*Q1000</f>
        <v>109.2515337423313</v>
      </c>
    </row>
    <row r="1001" spans="1:18" ht="12" customHeight="1" x14ac:dyDescent="0.35">
      <c r="A1001" s="75">
        <v>897</v>
      </c>
      <c r="B1001" s="80">
        <v>2013</v>
      </c>
      <c r="C1001" s="80">
        <v>1</v>
      </c>
      <c r="D1001" s="80">
        <f t="shared" si="56"/>
        <v>2012</v>
      </c>
      <c r="E1001" t="s">
        <v>38</v>
      </c>
      <c r="F1001" t="s">
        <v>143</v>
      </c>
      <c r="G1001" t="s">
        <v>86</v>
      </c>
      <c r="H1001" s="72" t="s">
        <v>220</v>
      </c>
      <c r="I1001" s="72" t="s">
        <v>62</v>
      </c>
      <c r="J1001" t="str">
        <f t="shared" si="57"/>
        <v>Skykomish River</v>
      </c>
      <c r="K1001" t="str">
        <f>IFERROR(VLOOKUP(J1001,LUTs!$A$1:$C$73,2,FALSE),"NA")</f>
        <v>Snohomish</v>
      </c>
      <c r="L1001" t="str">
        <f>IFERROR(VLOOKUP(J1001,LUTs!$A$1:$C$73,3,FALSE),"NA")</f>
        <v>2Central Puget Sound</v>
      </c>
      <c r="M1001" s="72" t="s">
        <v>15</v>
      </c>
      <c r="N1001" t="str">
        <f>VLOOKUP(M1001,LUTs!E$2:H$14,3,)</f>
        <v>02Skagit</v>
      </c>
      <c r="O1001" t="str">
        <f>VLOOKUP(M1001,LUTs!E$2:H$14,4,)</f>
        <v>01North Puget Sound</v>
      </c>
      <c r="P1001" s="80">
        <v>2.94478527607362</v>
      </c>
      <c r="Q1001" s="102">
        <v>2.94478527607362</v>
      </c>
      <c r="R1001" s="74">
        <f>VLOOKUP(B1001,Readme!A$40:C$52,3,)*Q1001</f>
        <v>54.625766871165652</v>
      </c>
    </row>
    <row r="1002" spans="1:18" ht="12" customHeight="1" x14ac:dyDescent="0.35">
      <c r="A1002" s="75">
        <v>898</v>
      </c>
      <c r="B1002" s="80">
        <v>2013</v>
      </c>
      <c r="C1002" s="80">
        <v>1</v>
      </c>
      <c r="D1002" s="80">
        <f t="shared" si="56"/>
        <v>2012</v>
      </c>
      <c r="E1002" t="s">
        <v>38</v>
      </c>
      <c r="F1002" t="s">
        <v>143</v>
      </c>
      <c r="G1002" t="s">
        <v>86</v>
      </c>
      <c r="H1002" s="72" t="s">
        <v>220</v>
      </c>
      <c r="I1002" s="72" t="s">
        <v>62</v>
      </c>
      <c r="J1002" t="str">
        <f t="shared" si="57"/>
        <v>Skykomish River</v>
      </c>
      <c r="K1002" t="str">
        <f>IFERROR(VLOOKUP(J1002,LUTs!$A$1:$C$73,2,FALSE),"NA")</f>
        <v>Snohomish</v>
      </c>
      <c r="L1002" t="str">
        <f>IFERROR(VLOOKUP(J1002,LUTs!$A$1:$C$73,3,FALSE),"NA")</f>
        <v>2Central Puget Sound</v>
      </c>
      <c r="M1002" s="72" t="s">
        <v>16</v>
      </c>
      <c r="N1002" t="str">
        <f>VLOOKUP(M1002,LUTs!E$2:H$14,3,)</f>
        <v>03Snohomish</v>
      </c>
      <c r="O1002" t="str">
        <f>VLOOKUP(M1002,LUTs!E$2:H$14,4,)</f>
        <v>01North Puget Sound</v>
      </c>
      <c r="P1002" s="80">
        <v>259.14110429447902</v>
      </c>
      <c r="Q1002" s="102">
        <v>259.14110429447902</v>
      </c>
      <c r="R1002" s="74">
        <f>VLOOKUP(B1002,Readme!A$40:C$52,3,)*Q1002</f>
        <v>4807.0674846625861</v>
      </c>
    </row>
    <row r="1003" spans="1:18" ht="12" customHeight="1" x14ac:dyDescent="0.35">
      <c r="A1003" s="75">
        <v>899</v>
      </c>
      <c r="B1003" s="80">
        <v>2013</v>
      </c>
      <c r="C1003" s="80">
        <v>1</v>
      </c>
      <c r="D1003" s="80">
        <f t="shared" si="56"/>
        <v>2012</v>
      </c>
      <c r="E1003" t="s">
        <v>38</v>
      </c>
      <c r="F1003" t="s">
        <v>143</v>
      </c>
      <c r="G1003" t="s">
        <v>86</v>
      </c>
      <c r="H1003" s="72" t="s">
        <v>220</v>
      </c>
      <c r="I1003" s="72" t="s">
        <v>62</v>
      </c>
      <c r="J1003" t="str">
        <f t="shared" si="57"/>
        <v>Skykomish River</v>
      </c>
      <c r="K1003" t="str">
        <f>IFERROR(VLOOKUP(J1003,LUTs!$A$1:$C$73,2,FALSE),"NA")</f>
        <v>Snohomish</v>
      </c>
      <c r="L1003" t="str">
        <f>IFERROR(VLOOKUP(J1003,LUTs!$A$1:$C$73,3,FALSE),"NA")</f>
        <v>2Central Puget Sound</v>
      </c>
      <c r="M1003" s="72" t="s">
        <v>21</v>
      </c>
      <c r="N1003" t="str">
        <f>VLOOKUP(M1003,LUTs!E$2:H$14,3,)</f>
        <v>08Thurston</v>
      </c>
      <c r="O1003" t="str">
        <f>VLOOKUP(M1003,LUTs!E$2:H$14,4,)</f>
        <v>02South Puget Sound</v>
      </c>
      <c r="P1003" s="80">
        <v>5.8895705521472399</v>
      </c>
      <c r="Q1003" s="102">
        <v>5.8895705521472399</v>
      </c>
      <c r="R1003" s="74">
        <f>VLOOKUP(B1003,Readme!A$40:C$52,3,)*Q1003</f>
        <v>109.2515337423313</v>
      </c>
    </row>
    <row r="1004" spans="1:18" ht="12" customHeight="1" x14ac:dyDescent="0.35">
      <c r="A1004" s="75">
        <v>914</v>
      </c>
      <c r="B1004" s="80">
        <v>2013</v>
      </c>
      <c r="C1004" s="80">
        <v>1</v>
      </c>
      <c r="D1004" s="80">
        <f t="shared" si="56"/>
        <v>2012</v>
      </c>
      <c r="E1004" t="s">
        <v>38</v>
      </c>
      <c r="F1004" t="s">
        <v>143</v>
      </c>
      <c r="G1004" t="s">
        <v>86</v>
      </c>
      <c r="H1004" s="72" t="s">
        <v>247</v>
      </c>
      <c r="I1004" s="72" t="s">
        <v>98</v>
      </c>
      <c r="J1004" t="str">
        <f t="shared" si="57"/>
        <v>Skykomish River, No. Fork</v>
      </c>
      <c r="K1004" t="str">
        <f>IFERROR(VLOOKUP(J1004,LUTs!$A$1:$C$73,2,FALSE),"NA")</f>
        <v>Snohomish</v>
      </c>
      <c r="L1004" t="str">
        <f>IFERROR(VLOOKUP(J1004,LUTs!$A$1:$C$73,3,FALSE),"NA")</f>
        <v>2Central Puget Sound</v>
      </c>
      <c r="M1004" s="72" t="s">
        <v>18</v>
      </c>
      <c r="N1004" t="str">
        <f>VLOOKUP(M1004,LUTs!E$2:H$14,3,)</f>
        <v>06King</v>
      </c>
      <c r="O1004" t="str">
        <f>VLOOKUP(M1004,LUTs!E$2:H$14,4,)</f>
        <v>02South Puget Sound</v>
      </c>
      <c r="P1004" s="80">
        <v>24</v>
      </c>
      <c r="Q1004" s="102">
        <v>24</v>
      </c>
      <c r="R1004" s="74">
        <f>VLOOKUP(B1004,Readme!A$40:C$52,3,)*Q1004</f>
        <v>445.20000000000005</v>
      </c>
    </row>
    <row r="1005" spans="1:18" ht="12" customHeight="1" x14ac:dyDescent="0.35">
      <c r="A1005" s="75">
        <v>921</v>
      </c>
      <c r="B1005" s="80">
        <v>2013</v>
      </c>
      <c r="C1005" s="80">
        <v>1</v>
      </c>
      <c r="D1005" s="80">
        <f t="shared" si="56"/>
        <v>2012</v>
      </c>
      <c r="E1005" t="s">
        <v>38</v>
      </c>
      <c r="F1005" t="s">
        <v>143</v>
      </c>
      <c r="G1005" t="s">
        <v>86</v>
      </c>
      <c r="H1005" s="72" t="s">
        <v>248</v>
      </c>
      <c r="I1005" s="72" t="s">
        <v>99</v>
      </c>
      <c r="J1005" t="str">
        <f t="shared" si="57"/>
        <v>Skykomish River, So. Fork</v>
      </c>
      <c r="K1005" t="str">
        <f>IFERROR(VLOOKUP(J1005,LUTs!$A$1:$C$73,2,FALSE),"NA")</f>
        <v>Snohomish/King</v>
      </c>
      <c r="L1005" t="str">
        <f>IFERROR(VLOOKUP(J1005,LUTs!$A$1:$C$73,3,FALSE),"NA")</f>
        <v>2Central Puget Sound</v>
      </c>
      <c r="M1005" s="72" t="s">
        <v>16</v>
      </c>
      <c r="N1005" t="str">
        <f>VLOOKUP(M1005,LUTs!E$2:H$14,3,)</f>
        <v>03Snohomish</v>
      </c>
      <c r="O1005" t="str">
        <f>VLOOKUP(M1005,LUTs!E$2:H$14,4,)</f>
        <v>01North Puget Sound</v>
      </c>
      <c r="P1005" s="80">
        <v>3</v>
      </c>
      <c r="Q1005" s="102">
        <v>3</v>
      </c>
      <c r="R1005" s="74">
        <f>VLOOKUP(B1005,Readme!A$40:C$52,3,)*Q1005</f>
        <v>55.650000000000006</v>
      </c>
    </row>
    <row r="1006" spans="1:18" ht="12" customHeight="1" x14ac:dyDescent="0.35">
      <c r="A1006" s="75">
        <v>937</v>
      </c>
      <c r="B1006" s="80">
        <v>2013</v>
      </c>
      <c r="C1006" s="80">
        <v>1</v>
      </c>
      <c r="D1006" s="80">
        <f t="shared" si="56"/>
        <v>2012</v>
      </c>
      <c r="E1006" t="s">
        <v>38</v>
      </c>
      <c r="F1006" t="s">
        <v>143</v>
      </c>
      <c r="G1006" t="s">
        <v>86</v>
      </c>
      <c r="H1006" s="72" t="s">
        <v>221</v>
      </c>
      <c r="I1006" s="72" t="s">
        <v>63</v>
      </c>
      <c r="J1006" t="str">
        <f t="shared" si="57"/>
        <v>Snohomish River</v>
      </c>
      <c r="K1006" t="str">
        <f>IFERROR(VLOOKUP(J1006,LUTs!$A$1:$C$73,2,FALSE),"NA")</f>
        <v>Snohomish</v>
      </c>
      <c r="L1006" t="str">
        <f>IFERROR(VLOOKUP(J1006,LUTs!$A$1:$C$73,3,FALSE),"NA")</f>
        <v>2Central Puget Sound</v>
      </c>
      <c r="M1006" s="72" t="s">
        <v>18</v>
      </c>
      <c r="N1006" t="str">
        <f>VLOOKUP(M1006,LUTs!E$2:H$14,3,)</f>
        <v>06King</v>
      </c>
      <c r="O1006" t="str">
        <f>VLOOKUP(M1006,LUTs!E$2:H$14,4,)</f>
        <v>02South Puget Sound</v>
      </c>
      <c r="P1006" s="80">
        <v>3</v>
      </c>
      <c r="Q1006" s="102">
        <v>3</v>
      </c>
      <c r="R1006" s="74">
        <f>VLOOKUP(B1006,Readme!A$40:C$52,3,)*Q1006</f>
        <v>55.650000000000006</v>
      </c>
    </row>
    <row r="1007" spans="1:18" ht="12" customHeight="1" x14ac:dyDescent="0.35">
      <c r="A1007" s="75">
        <v>938</v>
      </c>
      <c r="B1007" s="80">
        <v>2013</v>
      </c>
      <c r="C1007" s="80">
        <v>1</v>
      </c>
      <c r="D1007" s="80">
        <f t="shared" si="56"/>
        <v>2012</v>
      </c>
      <c r="E1007" t="s">
        <v>38</v>
      </c>
      <c r="F1007" t="s">
        <v>143</v>
      </c>
      <c r="G1007" t="s">
        <v>86</v>
      </c>
      <c r="H1007" s="72" t="s">
        <v>221</v>
      </c>
      <c r="I1007" s="72" t="s">
        <v>63</v>
      </c>
      <c r="J1007" t="str">
        <f t="shared" si="57"/>
        <v>Snohomish River</v>
      </c>
      <c r="K1007" t="str">
        <f>IFERROR(VLOOKUP(J1007,LUTs!$A$1:$C$73,2,FALSE),"NA")</f>
        <v>Snohomish</v>
      </c>
      <c r="L1007" t="str">
        <f>IFERROR(VLOOKUP(J1007,LUTs!$A$1:$C$73,3,FALSE),"NA")</f>
        <v>2Central Puget Sound</v>
      </c>
      <c r="M1007" s="72" t="s">
        <v>16</v>
      </c>
      <c r="N1007" t="str">
        <f>VLOOKUP(M1007,LUTs!E$2:H$14,3,)</f>
        <v>03Snohomish</v>
      </c>
      <c r="O1007" t="str">
        <f>VLOOKUP(M1007,LUTs!E$2:H$14,4,)</f>
        <v>01North Puget Sound</v>
      </c>
      <c r="P1007" s="80">
        <v>30</v>
      </c>
      <c r="Q1007" s="102">
        <v>30</v>
      </c>
      <c r="R1007" s="74">
        <f>VLOOKUP(B1007,Readme!A$40:C$52,3,)*Q1007</f>
        <v>556.5</v>
      </c>
    </row>
    <row r="1008" spans="1:18" ht="12" customHeight="1" x14ac:dyDescent="0.35">
      <c r="A1008" s="75">
        <v>939</v>
      </c>
      <c r="B1008" s="80">
        <v>2013</v>
      </c>
      <c r="C1008" s="80">
        <v>1</v>
      </c>
      <c r="D1008" s="80">
        <f t="shared" si="56"/>
        <v>2012</v>
      </c>
      <c r="E1008" t="s">
        <v>38</v>
      </c>
      <c r="F1008" t="s">
        <v>143</v>
      </c>
      <c r="G1008" t="s">
        <v>86</v>
      </c>
      <c r="H1008" s="72" t="s">
        <v>221</v>
      </c>
      <c r="I1008" s="72" t="s">
        <v>63</v>
      </c>
      <c r="J1008" t="str">
        <f t="shared" si="57"/>
        <v>Snohomish River</v>
      </c>
      <c r="K1008" t="str">
        <f>IFERROR(VLOOKUP(J1008,LUTs!$A$1:$C$73,2,FALSE),"NA")</f>
        <v>Snohomish</v>
      </c>
      <c r="L1008" t="str">
        <f>IFERROR(VLOOKUP(J1008,LUTs!$A$1:$C$73,3,FALSE),"NA")</f>
        <v>2Central Puget Sound</v>
      </c>
      <c r="M1008" s="72" t="s">
        <v>13</v>
      </c>
      <c r="N1008" t="str">
        <f>VLOOKUP(M1008,LUTs!E$2:H$14,3,)</f>
        <v>01Whatcom</v>
      </c>
      <c r="O1008" t="str">
        <f>VLOOKUP(M1008,LUTs!E$2:H$14,4,)</f>
        <v>01North Puget Sound</v>
      </c>
      <c r="P1008" s="80">
        <v>3</v>
      </c>
      <c r="Q1008" s="102">
        <v>3</v>
      </c>
      <c r="R1008" s="74">
        <f>VLOOKUP(B1008,Readme!A$40:C$52,3,)*Q1008</f>
        <v>55.650000000000006</v>
      </c>
    </row>
    <row r="1009" spans="1:18" ht="12" customHeight="1" x14ac:dyDescent="0.35">
      <c r="A1009" s="75">
        <v>950</v>
      </c>
      <c r="B1009" s="80">
        <v>2013</v>
      </c>
      <c r="C1009" s="80">
        <v>1</v>
      </c>
      <c r="D1009" s="80">
        <f t="shared" si="56"/>
        <v>2012</v>
      </c>
      <c r="E1009" t="s">
        <v>38</v>
      </c>
      <c r="F1009" t="s">
        <v>143</v>
      </c>
      <c r="G1009" t="s">
        <v>86</v>
      </c>
      <c r="H1009" s="72" t="s">
        <v>222</v>
      </c>
      <c r="I1009" s="72" t="s">
        <v>64</v>
      </c>
      <c r="J1009" t="str">
        <f t="shared" si="57"/>
        <v>Snoqualmie River</v>
      </c>
      <c r="K1009" t="str">
        <f>IFERROR(VLOOKUP(J1009,LUTs!$A$1:$C$73,2,FALSE),"NA")</f>
        <v>Snohomish/King</v>
      </c>
      <c r="L1009" t="str">
        <f>IFERROR(VLOOKUP(J1009,LUTs!$A$1:$C$73,3,FALSE),"NA")</f>
        <v>2Central Puget Sound</v>
      </c>
      <c r="M1009" s="72" t="s">
        <v>18</v>
      </c>
      <c r="N1009" t="str">
        <f>VLOOKUP(M1009,LUTs!E$2:H$14,3,)</f>
        <v>06King</v>
      </c>
      <c r="O1009" t="str">
        <f>VLOOKUP(M1009,LUTs!E$2:H$14,4,)</f>
        <v>02South Puget Sound</v>
      </c>
      <c r="P1009" s="80">
        <v>239.232558139535</v>
      </c>
      <c r="Q1009" s="102">
        <v>239.232558139535</v>
      </c>
      <c r="R1009" s="74">
        <f>VLOOKUP(B1009,Readme!A$40:C$52,3,)*Q1009</f>
        <v>4437.7639534883747</v>
      </c>
    </row>
    <row r="1010" spans="1:18" ht="12" customHeight="1" x14ac:dyDescent="0.35">
      <c r="A1010" s="75">
        <v>951</v>
      </c>
      <c r="B1010" s="80">
        <v>2013</v>
      </c>
      <c r="C1010" s="80">
        <v>1</v>
      </c>
      <c r="D1010" s="80">
        <f t="shared" si="56"/>
        <v>2012</v>
      </c>
      <c r="E1010" t="s">
        <v>38</v>
      </c>
      <c r="F1010" t="s">
        <v>143</v>
      </c>
      <c r="G1010" t="s">
        <v>86</v>
      </c>
      <c r="H1010" s="72" t="s">
        <v>222</v>
      </c>
      <c r="I1010" s="72" t="s">
        <v>64</v>
      </c>
      <c r="J1010" t="str">
        <f t="shared" si="57"/>
        <v>Snoqualmie River</v>
      </c>
      <c r="K1010" t="str">
        <f>IFERROR(VLOOKUP(J1010,LUTs!$A$1:$C$73,2,FALSE),"NA")</f>
        <v>Snohomish/King</v>
      </c>
      <c r="L1010" t="str">
        <f>IFERROR(VLOOKUP(J1010,LUTs!$A$1:$C$73,3,FALSE),"NA")</f>
        <v>2Central Puget Sound</v>
      </c>
      <c r="M1010" s="72" t="s">
        <v>26</v>
      </c>
      <c r="N1010" t="str">
        <f>VLOOKUP(M1010,LUTs!E$2:H$14,3,)</f>
        <v>20Other</v>
      </c>
      <c r="O1010" t="str">
        <f>VLOOKUP(M1010,LUTs!E$2:H$14,4,)</f>
        <v>07Non Puget Sound</v>
      </c>
      <c r="P1010" s="80">
        <v>2.9534883720930201</v>
      </c>
      <c r="Q1010" s="102">
        <v>2.9534883720930201</v>
      </c>
      <c r="R1010" s="74">
        <f>VLOOKUP(B1010,Readme!A$40:C$52,3,)*Q1010</f>
        <v>54.787209302325522</v>
      </c>
    </row>
    <row r="1011" spans="1:18" ht="12" customHeight="1" x14ac:dyDescent="0.35">
      <c r="A1011" s="75">
        <v>952</v>
      </c>
      <c r="B1011" s="80">
        <v>2013</v>
      </c>
      <c r="C1011" s="80">
        <v>1</v>
      </c>
      <c r="D1011" s="80">
        <f t="shared" si="56"/>
        <v>2012</v>
      </c>
      <c r="E1011" t="s">
        <v>38</v>
      </c>
      <c r="F1011" t="s">
        <v>143</v>
      </c>
      <c r="G1011" t="s">
        <v>86</v>
      </c>
      <c r="H1011" s="72" t="s">
        <v>222</v>
      </c>
      <c r="I1011" s="72" t="s">
        <v>64</v>
      </c>
      <c r="J1011" t="str">
        <f t="shared" si="57"/>
        <v>Snoqualmie River</v>
      </c>
      <c r="K1011" t="str">
        <f>IFERROR(VLOOKUP(J1011,LUTs!$A$1:$C$73,2,FALSE),"NA")</f>
        <v>Snohomish/King</v>
      </c>
      <c r="L1011" t="str">
        <f>IFERROR(VLOOKUP(J1011,LUTs!$A$1:$C$73,3,FALSE),"NA")</f>
        <v>2Central Puget Sound</v>
      </c>
      <c r="M1011" s="72" t="s">
        <v>16</v>
      </c>
      <c r="N1011" t="str">
        <f>VLOOKUP(M1011,LUTs!E$2:H$14,3,)</f>
        <v>03Snohomish</v>
      </c>
      <c r="O1011" t="str">
        <f>VLOOKUP(M1011,LUTs!E$2:H$14,4,)</f>
        <v>01North Puget Sound</v>
      </c>
      <c r="P1011" s="80">
        <v>8.8604651162790695</v>
      </c>
      <c r="Q1011" s="102">
        <v>8.8604651162790695</v>
      </c>
      <c r="R1011" s="74">
        <f>VLOOKUP(B1011,Readme!A$40:C$52,3,)*Q1011</f>
        <v>164.36162790697674</v>
      </c>
    </row>
    <row r="1012" spans="1:18" ht="12" customHeight="1" x14ac:dyDescent="0.35">
      <c r="A1012" s="75">
        <v>953</v>
      </c>
      <c r="B1012" s="80">
        <v>2013</v>
      </c>
      <c r="C1012" s="80">
        <v>1</v>
      </c>
      <c r="D1012" s="80">
        <f t="shared" si="56"/>
        <v>2012</v>
      </c>
      <c r="E1012" t="s">
        <v>38</v>
      </c>
      <c r="F1012" t="s">
        <v>143</v>
      </c>
      <c r="G1012" t="s">
        <v>86</v>
      </c>
      <c r="H1012" s="72" t="s">
        <v>222</v>
      </c>
      <c r="I1012" s="72" t="s">
        <v>64</v>
      </c>
      <c r="J1012" t="str">
        <f t="shared" si="57"/>
        <v>Snoqualmie River</v>
      </c>
      <c r="K1012" t="str">
        <f>IFERROR(VLOOKUP(J1012,LUTs!$A$1:$C$73,2,FALSE),"NA")</f>
        <v>Snohomish/King</v>
      </c>
      <c r="L1012" t="str">
        <f>IFERROR(VLOOKUP(J1012,LUTs!$A$1:$C$73,3,FALSE),"NA")</f>
        <v>2Central Puget Sound</v>
      </c>
      <c r="M1012" s="72" t="s">
        <v>21</v>
      </c>
      <c r="N1012" t="str">
        <f>VLOOKUP(M1012,LUTs!E$2:H$14,3,)</f>
        <v>08Thurston</v>
      </c>
      <c r="O1012" t="str">
        <f>VLOOKUP(M1012,LUTs!E$2:H$14,4,)</f>
        <v>02South Puget Sound</v>
      </c>
      <c r="P1012" s="80">
        <v>2.9534883720930201</v>
      </c>
      <c r="Q1012" s="102">
        <v>2.9534883720930201</v>
      </c>
      <c r="R1012" s="74">
        <f>VLOOKUP(B1012,Readme!A$40:C$52,3,)*Q1012</f>
        <v>54.787209302325522</v>
      </c>
    </row>
    <row r="1013" spans="1:18" ht="12" customHeight="1" x14ac:dyDescent="0.35">
      <c r="A1013" s="75">
        <v>1015</v>
      </c>
      <c r="B1013" s="80">
        <v>2013</v>
      </c>
      <c r="C1013" s="80">
        <v>1</v>
      </c>
      <c r="D1013" s="80">
        <f t="shared" si="56"/>
        <v>2012</v>
      </c>
      <c r="E1013" t="s">
        <v>38</v>
      </c>
      <c r="F1013" t="s">
        <v>143</v>
      </c>
      <c r="G1013" t="s">
        <v>86</v>
      </c>
      <c r="H1013" s="72" t="s">
        <v>223</v>
      </c>
      <c r="I1013" s="72" t="s">
        <v>103</v>
      </c>
      <c r="J1013" t="str">
        <f t="shared" si="57"/>
        <v>Stillaguamish R, No. Fork</v>
      </c>
      <c r="K1013" t="str">
        <f>IFERROR(VLOOKUP(J1013,LUTs!$A$1:$C$73,2,FALSE),"NA")</f>
        <v>Snohomish</v>
      </c>
      <c r="L1013" t="str">
        <f>IFERROR(VLOOKUP(J1013,LUTs!$A$1:$C$73,3,FALSE),"NA")</f>
        <v>2Central Puget Sound</v>
      </c>
      <c r="M1013" s="72" t="s">
        <v>30</v>
      </c>
      <c r="N1013" t="str">
        <f>VLOOKUP(M1013,LUTs!E$2:H$14,3,)</f>
        <v>05San Juan</v>
      </c>
      <c r="O1013" t="str">
        <f>VLOOKUP(M1013,LUTs!E$2:H$14,4,)</f>
        <v>01North Puget Sound</v>
      </c>
      <c r="P1013" s="80">
        <v>8.7692307692307701</v>
      </c>
      <c r="Q1013" s="102">
        <v>8.7692307692307701</v>
      </c>
      <c r="R1013" s="74">
        <f>VLOOKUP(B1013,Readme!A$40:C$52,3,)*Q1013</f>
        <v>162.66923076923078</v>
      </c>
    </row>
    <row r="1014" spans="1:18" ht="12" customHeight="1" x14ac:dyDescent="0.35">
      <c r="A1014" s="75">
        <v>1016</v>
      </c>
      <c r="B1014" s="80">
        <v>2013</v>
      </c>
      <c r="C1014" s="80">
        <v>1</v>
      </c>
      <c r="D1014" s="80">
        <f t="shared" si="56"/>
        <v>2012</v>
      </c>
      <c r="E1014" t="s">
        <v>38</v>
      </c>
      <c r="F1014" t="s">
        <v>143</v>
      </c>
      <c r="G1014" t="s">
        <v>86</v>
      </c>
      <c r="H1014" s="72" t="s">
        <v>223</v>
      </c>
      <c r="I1014" s="72" t="s">
        <v>103</v>
      </c>
      <c r="J1014" t="str">
        <f t="shared" si="57"/>
        <v>Stillaguamish R, No. Fork</v>
      </c>
      <c r="K1014" t="str">
        <f>IFERROR(VLOOKUP(J1014,LUTs!$A$1:$C$73,2,FALSE),"NA")</f>
        <v>Snohomish</v>
      </c>
      <c r="L1014" t="str">
        <f>IFERROR(VLOOKUP(J1014,LUTs!$A$1:$C$73,3,FALSE),"NA")</f>
        <v>2Central Puget Sound</v>
      </c>
      <c r="M1014" s="72" t="s">
        <v>16</v>
      </c>
      <c r="N1014" t="str">
        <f>VLOOKUP(M1014,LUTs!E$2:H$14,3,)</f>
        <v>03Snohomish</v>
      </c>
      <c r="O1014" t="str">
        <f>VLOOKUP(M1014,LUTs!E$2:H$14,4,)</f>
        <v>01North Puget Sound</v>
      </c>
      <c r="P1014" s="80">
        <v>105.230769230769</v>
      </c>
      <c r="Q1014" s="102">
        <v>105.230769230769</v>
      </c>
      <c r="R1014" s="74">
        <f>VLOOKUP(B1014,Readme!A$40:C$52,3,)*Q1014</f>
        <v>1952.0307692307649</v>
      </c>
    </row>
    <row r="1015" spans="1:18" ht="12" customHeight="1" x14ac:dyDescent="0.35">
      <c r="A1015" s="75">
        <v>1022</v>
      </c>
      <c r="B1015" s="80">
        <v>2013</v>
      </c>
      <c r="C1015" s="80">
        <v>1</v>
      </c>
      <c r="D1015" s="80">
        <f t="shared" si="56"/>
        <v>2012</v>
      </c>
      <c r="E1015" t="s">
        <v>38</v>
      </c>
      <c r="F1015" t="s">
        <v>143</v>
      </c>
      <c r="G1015" t="s">
        <v>86</v>
      </c>
      <c r="H1015" s="72" t="s">
        <v>252</v>
      </c>
      <c r="I1015" s="72" t="s">
        <v>104</v>
      </c>
      <c r="J1015" t="str">
        <f t="shared" si="57"/>
        <v>Stillaguamish R, So. Fork</v>
      </c>
      <c r="K1015" t="str">
        <f>IFERROR(VLOOKUP(J1015,LUTs!$A$1:$C$73,2,FALSE),"NA")</f>
        <v>Snohomish</v>
      </c>
      <c r="L1015" t="str">
        <f>IFERROR(VLOOKUP(J1015,LUTs!$A$1:$C$73,3,FALSE),"NA")</f>
        <v>2Central Puget Sound</v>
      </c>
      <c r="M1015" s="72" t="s">
        <v>16</v>
      </c>
      <c r="N1015" t="str">
        <f>VLOOKUP(M1015,LUTs!E$2:H$14,3,)</f>
        <v>03Snohomish</v>
      </c>
      <c r="O1015" t="str">
        <f>VLOOKUP(M1015,LUTs!E$2:H$14,4,)</f>
        <v>01North Puget Sound</v>
      </c>
      <c r="P1015" s="80">
        <v>3</v>
      </c>
      <c r="Q1015" s="102">
        <v>3</v>
      </c>
      <c r="R1015" s="74">
        <f>VLOOKUP(B1015,Readme!A$40:C$52,3,)*Q1015</f>
        <v>55.650000000000006</v>
      </c>
    </row>
    <row r="1016" spans="1:18" ht="12" customHeight="1" x14ac:dyDescent="0.35">
      <c r="A1016" s="75">
        <v>1030</v>
      </c>
      <c r="B1016" s="80">
        <v>2013</v>
      </c>
      <c r="C1016" s="80">
        <v>1</v>
      </c>
      <c r="D1016" s="80">
        <f t="shared" si="56"/>
        <v>2012</v>
      </c>
      <c r="E1016" t="s">
        <v>38</v>
      </c>
      <c r="F1016" t="s">
        <v>143</v>
      </c>
      <c r="G1016" t="s">
        <v>86</v>
      </c>
      <c r="H1016" s="72" t="s">
        <v>253</v>
      </c>
      <c r="I1016" s="72" t="s">
        <v>65</v>
      </c>
      <c r="J1016" t="str">
        <f t="shared" ref="J1016:J1047" si="58">I1016</f>
        <v>Stillaguamish River</v>
      </c>
      <c r="K1016" t="str">
        <f>IFERROR(VLOOKUP(J1016,LUTs!$A$1:$C$73,2,FALSE),"NA")</f>
        <v>Snohomish</v>
      </c>
      <c r="L1016" t="str">
        <f>IFERROR(VLOOKUP(J1016,LUTs!$A$1:$C$73,3,FALSE),"NA")</f>
        <v>2Central Puget Sound</v>
      </c>
      <c r="M1016" s="72" t="s">
        <v>16</v>
      </c>
      <c r="N1016" t="str">
        <f>VLOOKUP(M1016,LUTs!E$2:H$14,3,)</f>
        <v>03Snohomish</v>
      </c>
      <c r="O1016" t="str">
        <f>VLOOKUP(M1016,LUTs!E$2:H$14,4,)</f>
        <v>01North Puget Sound</v>
      </c>
      <c r="P1016" s="80">
        <v>3</v>
      </c>
      <c r="Q1016" s="102">
        <v>3</v>
      </c>
      <c r="R1016" s="74">
        <f>VLOOKUP(B1016,Readme!A$40:C$52,3,)*Q1016</f>
        <v>55.650000000000006</v>
      </c>
    </row>
    <row r="1017" spans="1:18" ht="12" customHeight="1" x14ac:dyDescent="0.35">
      <c r="A1017" s="75">
        <v>959</v>
      </c>
      <c r="B1017" s="80">
        <v>2013</v>
      </c>
      <c r="C1017" s="80">
        <v>1</v>
      </c>
      <c r="D1017" s="80">
        <f t="shared" si="56"/>
        <v>2012</v>
      </c>
      <c r="E1017" t="s">
        <v>38</v>
      </c>
      <c r="F1017" t="s">
        <v>143</v>
      </c>
      <c r="G1017" t="s">
        <v>86</v>
      </c>
      <c r="H1017" s="72" t="s">
        <v>249</v>
      </c>
      <c r="I1017" s="72" t="s">
        <v>100</v>
      </c>
      <c r="J1017" t="str">
        <f t="shared" si="58"/>
        <v>Sultan River</v>
      </c>
      <c r="K1017" t="str">
        <f>IFERROR(VLOOKUP(J1017,LUTs!$A$1:$C$73,2,FALSE),"NA")</f>
        <v>Snohomish</v>
      </c>
      <c r="L1017" t="str">
        <f>IFERROR(VLOOKUP(J1017,LUTs!$A$1:$C$73,3,FALSE),"NA")</f>
        <v>2Central Puget Sound</v>
      </c>
      <c r="M1017" s="72" t="s">
        <v>18</v>
      </c>
      <c r="N1017" t="str">
        <f>VLOOKUP(M1017,LUTs!E$2:H$14,3,)</f>
        <v>06King</v>
      </c>
      <c r="O1017" t="str">
        <f>VLOOKUP(M1017,LUTs!E$2:H$14,4,)</f>
        <v>02South Puget Sound</v>
      </c>
      <c r="P1017" s="80">
        <v>3</v>
      </c>
      <c r="Q1017" s="102">
        <v>3</v>
      </c>
      <c r="R1017" s="74">
        <f>VLOOKUP(B1017,Readme!A$40:C$52,3,)*Q1017</f>
        <v>55.650000000000006</v>
      </c>
    </row>
    <row r="1018" spans="1:18" ht="12" customHeight="1" x14ac:dyDescent="0.35">
      <c r="A1018" s="75">
        <v>960</v>
      </c>
      <c r="B1018" s="80">
        <v>2013</v>
      </c>
      <c r="C1018" s="80">
        <v>1</v>
      </c>
      <c r="D1018" s="80">
        <f t="shared" si="56"/>
        <v>2012</v>
      </c>
      <c r="E1018" t="s">
        <v>38</v>
      </c>
      <c r="F1018" t="s">
        <v>143</v>
      </c>
      <c r="G1018" t="s">
        <v>86</v>
      </c>
      <c r="H1018" s="72" t="s">
        <v>249</v>
      </c>
      <c r="I1018" s="72" t="s">
        <v>100</v>
      </c>
      <c r="J1018" t="str">
        <f t="shared" si="58"/>
        <v>Sultan River</v>
      </c>
      <c r="K1018" t="str">
        <f>IFERROR(VLOOKUP(J1018,LUTs!$A$1:$C$73,2,FALSE),"NA")</f>
        <v>Snohomish</v>
      </c>
      <c r="L1018" t="str">
        <f>IFERROR(VLOOKUP(J1018,LUTs!$A$1:$C$73,3,FALSE),"NA")</f>
        <v>2Central Puget Sound</v>
      </c>
      <c r="M1018" s="72" t="s">
        <v>26</v>
      </c>
      <c r="N1018" t="str">
        <f>VLOOKUP(M1018,LUTs!E$2:H$14,3,)</f>
        <v>20Other</v>
      </c>
      <c r="O1018" t="str">
        <f>VLOOKUP(M1018,LUTs!E$2:H$14,4,)</f>
        <v>07Non Puget Sound</v>
      </c>
      <c r="P1018" s="80">
        <v>3</v>
      </c>
      <c r="Q1018" s="102">
        <v>3</v>
      </c>
      <c r="R1018" s="74">
        <f>VLOOKUP(B1018,Readme!A$40:C$52,3,)*Q1018</f>
        <v>55.650000000000006</v>
      </c>
    </row>
    <row r="1019" spans="1:18" ht="12" customHeight="1" x14ac:dyDescent="0.35">
      <c r="A1019" s="75">
        <v>961</v>
      </c>
      <c r="B1019" s="80">
        <v>2013</v>
      </c>
      <c r="C1019" s="80">
        <v>1</v>
      </c>
      <c r="D1019" s="80">
        <f t="shared" si="56"/>
        <v>2012</v>
      </c>
      <c r="E1019" t="s">
        <v>38</v>
      </c>
      <c r="F1019" t="s">
        <v>143</v>
      </c>
      <c r="G1019" t="s">
        <v>86</v>
      </c>
      <c r="H1019" s="72" t="s">
        <v>249</v>
      </c>
      <c r="I1019" s="72" t="s">
        <v>100</v>
      </c>
      <c r="J1019" t="str">
        <f t="shared" si="58"/>
        <v>Sultan River</v>
      </c>
      <c r="K1019" t="str">
        <f>IFERROR(VLOOKUP(J1019,LUTs!$A$1:$C$73,2,FALSE),"NA")</f>
        <v>Snohomish</v>
      </c>
      <c r="L1019" t="str">
        <f>IFERROR(VLOOKUP(J1019,LUTs!$A$1:$C$73,3,FALSE),"NA")</f>
        <v>2Central Puget Sound</v>
      </c>
      <c r="M1019" s="72" t="s">
        <v>16</v>
      </c>
      <c r="N1019" t="str">
        <f>VLOOKUP(M1019,LUTs!E$2:H$14,3,)</f>
        <v>03Snohomish</v>
      </c>
      <c r="O1019" t="str">
        <f>VLOOKUP(M1019,LUTs!E$2:H$14,4,)</f>
        <v>01North Puget Sound</v>
      </c>
      <c r="P1019" s="80">
        <v>3</v>
      </c>
      <c r="Q1019" s="102">
        <v>3</v>
      </c>
      <c r="R1019" s="74">
        <f>VLOOKUP(B1019,Readme!A$40:C$52,3,)*Q1019</f>
        <v>55.650000000000006</v>
      </c>
    </row>
    <row r="1020" spans="1:18" ht="12" customHeight="1" x14ac:dyDescent="0.35">
      <c r="A1020" s="75">
        <v>964</v>
      </c>
      <c r="B1020" s="80">
        <v>2013</v>
      </c>
      <c r="C1020" s="80">
        <v>1</v>
      </c>
      <c r="D1020" s="80">
        <f t="shared" si="56"/>
        <v>2012</v>
      </c>
      <c r="E1020" t="s">
        <v>38</v>
      </c>
      <c r="F1020" t="s">
        <v>143</v>
      </c>
      <c r="G1020" t="s">
        <v>86</v>
      </c>
      <c r="H1020" s="72" t="s">
        <v>250</v>
      </c>
      <c r="I1020" s="72" t="s">
        <v>101</v>
      </c>
      <c r="J1020" t="str">
        <f t="shared" si="58"/>
        <v>Tokul Creek</v>
      </c>
      <c r="K1020" t="str">
        <f>IFERROR(VLOOKUP(J1020,LUTs!$A$1:$C$73,2,FALSE),"NA")</f>
        <v>King</v>
      </c>
      <c r="L1020" t="str">
        <f>IFERROR(VLOOKUP(J1020,LUTs!$A$1:$C$73,3,FALSE),"NA")</f>
        <v>2Central Puget Sound</v>
      </c>
      <c r="M1020" s="72" t="s">
        <v>18</v>
      </c>
      <c r="N1020" t="str">
        <f>VLOOKUP(M1020,LUTs!E$2:H$14,3,)</f>
        <v>06King</v>
      </c>
      <c r="O1020" t="str">
        <f>VLOOKUP(M1020,LUTs!E$2:H$14,4,)</f>
        <v>02South Puget Sound</v>
      </c>
      <c r="P1020" s="80">
        <v>205.86301369863</v>
      </c>
      <c r="Q1020" s="102">
        <v>205.86301369863</v>
      </c>
      <c r="R1020" s="74">
        <f>VLOOKUP(B1020,Readme!A$40:C$52,3,)*Q1020</f>
        <v>3818.7589041095866</v>
      </c>
    </row>
    <row r="1021" spans="1:18" ht="12" customHeight="1" x14ac:dyDescent="0.35">
      <c r="A1021" s="75">
        <v>965</v>
      </c>
      <c r="B1021" s="80">
        <v>2013</v>
      </c>
      <c r="C1021" s="80">
        <v>1</v>
      </c>
      <c r="D1021" s="80">
        <f t="shared" si="56"/>
        <v>2012</v>
      </c>
      <c r="E1021" t="s">
        <v>38</v>
      </c>
      <c r="F1021" t="s">
        <v>143</v>
      </c>
      <c r="G1021" t="s">
        <v>86</v>
      </c>
      <c r="H1021" s="72" t="s">
        <v>250</v>
      </c>
      <c r="I1021" s="72" t="s">
        <v>101</v>
      </c>
      <c r="J1021" t="str">
        <f t="shared" si="58"/>
        <v>Tokul Creek</v>
      </c>
      <c r="K1021" t="str">
        <f>IFERROR(VLOOKUP(J1021,LUTs!$A$1:$C$73,2,FALSE),"NA")</f>
        <v>King</v>
      </c>
      <c r="L1021" t="str">
        <f>IFERROR(VLOOKUP(J1021,LUTs!$A$1:$C$73,3,FALSE),"NA")</f>
        <v>2Central Puget Sound</v>
      </c>
      <c r="M1021" s="72" t="s">
        <v>26</v>
      </c>
      <c r="N1021" t="str">
        <f>VLOOKUP(M1021,LUTs!E$2:H$14,3,)</f>
        <v>20Other</v>
      </c>
      <c r="O1021" t="str">
        <f>VLOOKUP(M1021,LUTs!E$2:H$14,4,)</f>
        <v>07Non Puget Sound</v>
      </c>
      <c r="P1021" s="80">
        <v>6.0547945205479499</v>
      </c>
      <c r="Q1021" s="102">
        <v>6.0547945205479499</v>
      </c>
      <c r="R1021" s="74">
        <f>VLOOKUP(B1021,Readme!A$40:C$52,3,)*Q1021</f>
        <v>112.31643835616447</v>
      </c>
    </row>
    <row r="1022" spans="1:18" ht="12" customHeight="1" x14ac:dyDescent="0.35">
      <c r="A1022" s="75">
        <v>966</v>
      </c>
      <c r="B1022" s="80">
        <v>2013</v>
      </c>
      <c r="C1022" s="80">
        <v>1</v>
      </c>
      <c r="D1022" s="80">
        <f t="shared" si="56"/>
        <v>2012</v>
      </c>
      <c r="E1022" t="s">
        <v>38</v>
      </c>
      <c r="F1022" t="s">
        <v>143</v>
      </c>
      <c r="G1022" t="s">
        <v>86</v>
      </c>
      <c r="H1022" s="72" t="s">
        <v>250</v>
      </c>
      <c r="I1022" s="72" t="s">
        <v>101</v>
      </c>
      <c r="J1022" t="str">
        <f t="shared" si="58"/>
        <v>Tokul Creek</v>
      </c>
      <c r="K1022" t="str">
        <f>IFERROR(VLOOKUP(J1022,LUTs!$A$1:$C$73,2,FALSE),"NA")</f>
        <v>King</v>
      </c>
      <c r="L1022" t="str">
        <f>IFERROR(VLOOKUP(J1022,LUTs!$A$1:$C$73,3,FALSE),"NA")</f>
        <v>2Central Puget Sound</v>
      </c>
      <c r="M1022" s="72" t="s">
        <v>20</v>
      </c>
      <c r="N1022" t="str">
        <f>VLOOKUP(M1022,LUTs!E$2:H$14,3,)</f>
        <v>07Pierce</v>
      </c>
      <c r="O1022" t="str">
        <f>VLOOKUP(M1022,LUTs!E$2:H$14,4,)</f>
        <v>02South Puget Sound</v>
      </c>
      <c r="P1022" s="80">
        <v>6.0547945205479499</v>
      </c>
      <c r="Q1022" s="102">
        <v>6.0547945205479499</v>
      </c>
      <c r="R1022" s="74">
        <f>VLOOKUP(B1022,Readme!A$40:C$52,3,)*Q1022</f>
        <v>112.31643835616447</v>
      </c>
    </row>
    <row r="1023" spans="1:18" ht="12" customHeight="1" x14ac:dyDescent="0.35">
      <c r="A1023" s="75">
        <v>967</v>
      </c>
      <c r="B1023" s="80">
        <v>2013</v>
      </c>
      <c r="C1023" s="80">
        <v>1</v>
      </c>
      <c r="D1023" s="80">
        <f t="shared" si="56"/>
        <v>2012</v>
      </c>
      <c r="E1023" t="s">
        <v>38</v>
      </c>
      <c r="F1023" t="s">
        <v>143</v>
      </c>
      <c r="G1023" t="s">
        <v>86</v>
      </c>
      <c r="H1023" s="72" t="s">
        <v>250</v>
      </c>
      <c r="I1023" s="72" t="s">
        <v>101</v>
      </c>
      <c r="J1023" t="str">
        <f t="shared" si="58"/>
        <v>Tokul Creek</v>
      </c>
      <c r="K1023" t="str">
        <f>IFERROR(VLOOKUP(J1023,LUTs!$A$1:$C$73,2,FALSE),"NA")</f>
        <v>King</v>
      </c>
      <c r="L1023" t="str">
        <f>IFERROR(VLOOKUP(J1023,LUTs!$A$1:$C$73,3,FALSE),"NA")</f>
        <v>2Central Puget Sound</v>
      </c>
      <c r="M1023" s="72" t="s">
        <v>16</v>
      </c>
      <c r="N1023" t="str">
        <f>VLOOKUP(M1023,LUTs!E$2:H$14,3,)</f>
        <v>03Snohomish</v>
      </c>
      <c r="O1023" t="str">
        <f>VLOOKUP(M1023,LUTs!E$2:H$14,4,)</f>
        <v>01North Puget Sound</v>
      </c>
      <c r="P1023" s="80">
        <v>3.02739726027397</v>
      </c>
      <c r="Q1023" s="102">
        <v>3.02739726027397</v>
      </c>
      <c r="R1023" s="74">
        <f>VLOOKUP(B1023,Readme!A$40:C$52,3,)*Q1023</f>
        <v>56.158219178082149</v>
      </c>
    </row>
    <row r="1024" spans="1:18" ht="12" customHeight="1" x14ac:dyDescent="0.35">
      <c r="A1024" s="75">
        <v>985</v>
      </c>
      <c r="B1024" s="80">
        <v>2013</v>
      </c>
      <c r="C1024" s="80">
        <v>1</v>
      </c>
      <c r="D1024" s="80">
        <f t="shared" si="56"/>
        <v>2012</v>
      </c>
      <c r="E1024" t="s">
        <v>38</v>
      </c>
      <c r="F1024" t="s">
        <v>143</v>
      </c>
      <c r="G1024" t="s">
        <v>86</v>
      </c>
      <c r="H1024" s="72" t="s">
        <v>233</v>
      </c>
      <c r="I1024" s="72" t="s">
        <v>76</v>
      </c>
      <c r="J1024" t="str">
        <f t="shared" si="58"/>
        <v>Wallace River</v>
      </c>
      <c r="K1024" t="str">
        <f>IFERROR(VLOOKUP(J1024,LUTs!$A$1:$C$73,2,FALSE),"NA")</f>
        <v>Snohomish</v>
      </c>
      <c r="L1024" t="str">
        <f>IFERROR(VLOOKUP(J1024,LUTs!$A$1:$C$73,3,FALSE),"NA")</f>
        <v>2Central Puget Sound</v>
      </c>
      <c r="M1024" s="72" t="s">
        <v>26</v>
      </c>
      <c r="N1024" t="str">
        <f>VLOOKUP(M1024,LUTs!E$2:H$14,3,)</f>
        <v>20Other</v>
      </c>
      <c r="O1024" t="str">
        <f>VLOOKUP(M1024,LUTs!E$2:H$14,4,)</f>
        <v>07Non Puget Sound</v>
      </c>
      <c r="P1024" s="80">
        <v>2.9090909090909101</v>
      </c>
      <c r="Q1024" s="102">
        <v>2.9090909090909101</v>
      </c>
      <c r="R1024" s="74">
        <f>VLOOKUP(B1024,Readme!A$40:C$52,3,)*Q1024</f>
        <v>53.963636363636382</v>
      </c>
    </row>
    <row r="1025" spans="1:18" ht="12" customHeight="1" x14ac:dyDescent="0.35">
      <c r="A1025" s="75">
        <v>986</v>
      </c>
      <c r="B1025" s="80">
        <v>2013</v>
      </c>
      <c r="C1025" s="80">
        <v>1</v>
      </c>
      <c r="D1025" s="80">
        <f t="shared" si="56"/>
        <v>2012</v>
      </c>
      <c r="E1025" t="s">
        <v>38</v>
      </c>
      <c r="F1025" t="s">
        <v>143</v>
      </c>
      <c r="G1025" t="s">
        <v>86</v>
      </c>
      <c r="H1025" s="72" t="s">
        <v>233</v>
      </c>
      <c r="I1025" s="72" t="s">
        <v>76</v>
      </c>
      <c r="J1025" t="str">
        <f t="shared" si="58"/>
        <v>Wallace River</v>
      </c>
      <c r="K1025" t="str">
        <f>IFERROR(VLOOKUP(J1025,LUTs!$A$1:$C$73,2,FALSE),"NA")</f>
        <v>Snohomish</v>
      </c>
      <c r="L1025" t="str">
        <f>IFERROR(VLOOKUP(J1025,LUTs!$A$1:$C$73,3,FALSE),"NA")</f>
        <v>2Central Puget Sound</v>
      </c>
      <c r="M1025" s="72" t="s">
        <v>16</v>
      </c>
      <c r="N1025" t="str">
        <f>VLOOKUP(M1025,LUTs!E$2:H$14,3,)</f>
        <v>03Snohomish</v>
      </c>
      <c r="O1025" t="str">
        <f>VLOOKUP(M1025,LUTs!E$2:H$14,4,)</f>
        <v>01North Puget Sound</v>
      </c>
      <c r="P1025" s="80">
        <v>29.090909090909101</v>
      </c>
      <c r="Q1025" s="102">
        <v>29.090909090909101</v>
      </c>
      <c r="R1025" s="74">
        <f>VLOOKUP(B1025,Readme!A$40:C$52,3,)*Q1025</f>
        <v>539.63636363636385</v>
      </c>
    </row>
    <row r="1026" spans="1:18" ht="12" customHeight="1" x14ac:dyDescent="0.35">
      <c r="A1026" s="75">
        <v>798</v>
      </c>
      <c r="B1026" s="80">
        <v>2013</v>
      </c>
      <c r="C1026" s="80">
        <v>2</v>
      </c>
      <c r="D1026" s="80">
        <f t="shared" ref="D1026:D1089" si="59">IF(C1026&gt;3,B1026,B1026-1)</f>
        <v>2012</v>
      </c>
      <c r="E1026" t="s">
        <v>38</v>
      </c>
      <c r="F1026" t="s">
        <v>143</v>
      </c>
      <c r="G1026" t="s">
        <v>86</v>
      </c>
      <c r="H1026" s="72" t="s">
        <v>257</v>
      </c>
      <c r="I1026" s="72" t="s">
        <v>31</v>
      </c>
      <c r="J1026" t="str">
        <f t="shared" si="58"/>
        <v>Area 8-1: Skagit Bay-Saratoga Psg.</v>
      </c>
      <c r="K1026" t="str">
        <f>IFERROR(VLOOKUP(J1026,LUTs!$A$1:$C$73,2,FALSE),"NA")</f>
        <v>NA</v>
      </c>
      <c r="L1026" t="str">
        <f>IFERROR(VLOOKUP(J1026,LUTs!$A$1:$C$73,3,FALSE),"NA")</f>
        <v>2Central Puget Sound</v>
      </c>
      <c r="M1026" s="72" t="s">
        <v>21</v>
      </c>
      <c r="N1026" t="str">
        <f>VLOOKUP(M1026,LUTs!E$2:H$14,3,)</f>
        <v>08Thurston</v>
      </c>
      <c r="O1026" t="str">
        <f>VLOOKUP(M1026,LUTs!E$2:H$14,4,)</f>
        <v>02South Puget Sound</v>
      </c>
      <c r="P1026" s="80">
        <v>4</v>
      </c>
      <c r="Q1026" s="102">
        <v>4</v>
      </c>
      <c r="R1026" s="74">
        <f>VLOOKUP(B1026,Readme!A$40:C$52,3,)*Q1026</f>
        <v>74.2</v>
      </c>
    </row>
    <row r="1027" spans="1:18" ht="12" customHeight="1" x14ac:dyDescent="0.35">
      <c r="A1027" s="75">
        <v>830</v>
      </c>
      <c r="B1027" s="80">
        <v>2013</v>
      </c>
      <c r="C1027" s="80">
        <v>2</v>
      </c>
      <c r="D1027" s="80">
        <f t="shared" si="59"/>
        <v>2012</v>
      </c>
      <c r="E1027" t="s">
        <v>38</v>
      </c>
      <c r="F1027" t="s">
        <v>143</v>
      </c>
      <c r="G1027" t="s">
        <v>86</v>
      </c>
      <c r="H1027" s="72" t="s">
        <v>217</v>
      </c>
      <c r="I1027" s="72" t="s">
        <v>59</v>
      </c>
      <c r="J1027" t="str">
        <f t="shared" si="58"/>
        <v>Cascade River</v>
      </c>
      <c r="K1027" t="str">
        <f>IFERROR(VLOOKUP(J1027,LUTs!$A$1:$C$73,2,FALSE),"NA")</f>
        <v>Skagit</v>
      </c>
      <c r="L1027" t="str">
        <f>IFERROR(VLOOKUP(J1027,LUTs!$A$1:$C$73,3,FALSE),"NA")</f>
        <v>1North Puget Sound</v>
      </c>
      <c r="M1027" s="72" t="s">
        <v>26</v>
      </c>
      <c r="N1027" t="str">
        <f>VLOOKUP(M1027,LUTs!E$2:H$14,3,)</f>
        <v>20Other</v>
      </c>
      <c r="O1027" t="str">
        <f>VLOOKUP(M1027,LUTs!E$2:H$14,4,)</f>
        <v>07Non Puget Sound</v>
      </c>
      <c r="P1027" s="80">
        <v>2.3684210526315801</v>
      </c>
      <c r="Q1027" s="102">
        <v>2.3684210526315801</v>
      </c>
      <c r="R1027" s="74">
        <f>VLOOKUP(B1027,Readme!A$40:C$52,3,)*Q1027</f>
        <v>43.934210526315809</v>
      </c>
    </row>
    <row r="1028" spans="1:18" ht="12" customHeight="1" x14ac:dyDescent="0.35">
      <c r="A1028" s="75">
        <v>831</v>
      </c>
      <c r="B1028" s="80">
        <v>2013</v>
      </c>
      <c r="C1028" s="80">
        <v>2</v>
      </c>
      <c r="D1028" s="80">
        <f t="shared" si="59"/>
        <v>2012</v>
      </c>
      <c r="E1028" t="s">
        <v>38</v>
      </c>
      <c r="F1028" t="s">
        <v>143</v>
      </c>
      <c r="G1028" t="s">
        <v>86</v>
      </c>
      <c r="H1028" s="72" t="s">
        <v>217</v>
      </c>
      <c r="I1028" s="72" t="s">
        <v>59</v>
      </c>
      <c r="J1028" t="str">
        <f t="shared" si="58"/>
        <v>Cascade River</v>
      </c>
      <c r="K1028" t="str">
        <f>IFERROR(VLOOKUP(J1028,LUTs!$A$1:$C$73,2,FALSE),"NA")</f>
        <v>Skagit</v>
      </c>
      <c r="L1028" t="str">
        <f>IFERROR(VLOOKUP(J1028,LUTs!$A$1:$C$73,3,FALSE),"NA")</f>
        <v>1North Puget Sound</v>
      </c>
      <c r="M1028" s="72" t="s">
        <v>15</v>
      </c>
      <c r="N1028" t="str">
        <f>VLOOKUP(M1028,LUTs!E$2:H$14,3,)</f>
        <v>02Skagit</v>
      </c>
      <c r="O1028" t="str">
        <f>VLOOKUP(M1028,LUTs!E$2:H$14,4,)</f>
        <v>01North Puget Sound</v>
      </c>
      <c r="P1028" s="80">
        <v>35.526315789473699</v>
      </c>
      <c r="Q1028" s="102">
        <v>35.526315789473699</v>
      </c>
      <c r="R1028" s="74">
        <f>VLOOKUP(B1028,Readme!A$40:C$52,3,)*Q1028</f>
        <v>659.01315789473711</v>
      </c>
    </row>
    <row r="1029" spans="1:18" ht="12" customHeight="1" x14ac:dyDescent="0.35">
      <c r="A1029" s="75">
        <v>832</v>
      </c>
      <c r="B1029" s="80">
        <v>2013</v>
      </c>
      <c r="C1029" s="80">
        <v>2</v>
      </c>
      <c r="D1029" s="80">
        <f t="shared" si="59"/>
        <v>2012</v>
      </c>
      <c r="E1029" t="s">
        <v>38</v>
      </c>
      <c r="F1029" t="s">
        <v>143</v>
      </c>
      <c r="G1029" t="s">
        <v>86</v>
      </c>
      <c r="H1029" s="72" t="s">
        <v>217</v>
      </c>
      <c r="I1029" s="72" t="s">
        <v>59</v>
      </c>
      <c r="J1029" t="str">
        <f t="shared" si="58"/>
        <v>Cascade River</v>
      </c>
      <c r="K1029" t="str">
        <f>IFERROR(VLOOKUP(J1029,LUTs!$A$1:$C$73,2,FALSE),"NA")</f>
        <v>Skagit</v>
      </c>
      <c r="L1029" t="str">
        <f>IFERROR(VLOOKUP(J1029,LUTs!$A$1:$C$73,3,FALSE),"NA")</f>
        <v>1North Puget Sound</v>
      </c>
      <c r="M1029" s="72" t="s">
        <v>13</v>
      </c>
      <c r="N1029" t="str">
        <f>VLOOKUP(M1029,LUTs!E$2:H$14,3,)</f>
        <v>01Whatcom</v>
      </c>
      <c r="O1029" t="str">
        <f>VLOOKUP(M1029,LUTs!E$2:H$14,4,)</f>
        <v>01North Puget Sound</v>
      </c>
      <c r="P1029" s="80">
        <v>7.1052631578947398</v>
      </c>
      <c r="Q1029" s="102">
        <v>7.1052631578947398</v>
      </c>
      <c r="R1029" s="74">
        <f>VLOOKUP(B1029,Readme!A$40:C$52,3,)*Q1029</f>
        <v>131.80263157894743</v>
      </c>
    </row>
    <row r="1030" spans="1:18" ht="12" customHeight="1" x14ac:dyDescent="0.35">
      <c r="A1030" s="75">
        <v>777</v>
      </c>
      <c r="B1030" s="80">
        <v>2013</v>
      </c>
      <c r="C1030" s="80">
        <v>2</v>
      </c>
      <c r="D1030" s="80">
        <f t="shared" si="59"/>
        <v>2012</v>
      </c>
      <c r="E1030" t="s">
        <v>38</v>
      </c>
      <c r="F1030" t="s">
        <v>143</v>
      </c>
      <c r="G1030" t="s">
        <v>86</v>
      </c>
      <c r="H1030" s="72" t="s">
        <v>204</v>
      </c>
      <c r="I1030" s="72" t="s">
        <v>46</v>
      </c>
      <c r="J1030" t="str">
        <f t="shared" si="58"/>
        <v>Hoko River</v>
      </c>
      <c r="K1030" t="str">
        <f>IFERROR(VLOOKUP(J1030,LUTs!$A$1:$C$73,2,FALSE),"NA")</f>
        <v>Clallam</v>
      </c>
      <c r="L1030" t="str">
        <f>IFERROR(VLOOKUP(J1030,LUTs!$A$1:$C$73,3,FALSE),"NA")</f>
        <v>0Strait of Juan de Fuca</v>
      </c>
      <c r="M1030" s="72" t="s">
        <v>24</v>
      </c>
      <c r="N1030" t="str">
        <f>VLOOKUP(M1030,LUTs!E$2:H$14,3,)</f>
        <v>11Clallam</v>
      </c>
      <c r="O1030" t="str">
        <f>VLOOKUP(M1030,LUTs!E$2:H$14,4,)</f>
        <v>03Strait of Juan de Fuca</v>
      </c>
      <c r="P1030" s="80">
        <v>19.2</v>
      </c>
      <c r="Q1030" s="102">
        <v>19.2</v>
      </c>
      <c r="R1030" s="74">
        <f>VLOOKUP(B1030,Readme!A$40:C$52,3,)*Q1030</f>
        <v>356.16</v>
      </c>
    </row>
    <row r="1031" spans="1:18" ht="12" customHeight="1" x14ac:dyDescent="0.35">
      <c r="A1031" s="75">
        <v>778</v>
      </c>
      <c r="B1031" s="80">
        <v>2013</v>
      </c>
      <c r="C1031" s="80">
        <v>2</v>
      </c>
      <c r="D1031" s="80">
        <f t="shared" si="59"/>
        <v>2012</v>
      </c>
      <c r="E1031" t="s">
        <v>38</v>
      </c>
      <c r="F1031" t="s">
        <v>143</v>
      </c>
      <c r="G1031" t="s">
        <v>86</v>
      </c>
      <c r="H1031" s="72" t="s">
        <v>204</v>
      </c>
      <c r="I1031" s="72" t="s">
        <v>46</v>
      </c>
      <c r="J1031" t="str">
        <f t="shared" si="58"/>
        <v>Hoko River</v>
      </c>
      <c r="K1031" t="str">
        <f>IFERROR(VLOOKUP(J1031,LUTs!$A$1:$C$73,2,FALSE),"NA")</f>
        <v>Clallam</v>
      </c>
      <c r="L1031" t="str">
        <f>IFERROR(VLOOKUP(J1031,LUTs!$A$1:$C$73,3,FALSE),"NA")</f>
        <v>0Strait of Juan de Fuca</v>
      </c>
      <c r="M1031" s="72" t="s">
        <v>18</v>
      </c>
      <c r="N1031" t="str">
        <f>VLOOKUP(M1031,LUTs!E$2:H$14,3,)</f>
        <v>06King</v>
      </c>
      <c r="O1031" t="str">
        <f>VLOOKUP(M1031,LUTs!E$2:H$14,4,)</f>
        <v>02South Puget Sound</v>
      </c>
      <c r="P1031" s="80">
        <v>2.4</v>
      </c>
      <c r="Q1031" s="102">
        <v>2.4</v>
      </c>
      <c r="R1031" s="74">
        <f>VLOOKUP(B1031,Readme!A$40:C$52,3,)*Q1031</f>
        <v>44.52</v>
      </c>
    </row>
    <row r="1032" spans="1:18" ht="12" customHeight="1" x14ac:dyDescent="0.35">
      <c r="A1032" s="75">
        <v>779</v>
      </c>
      <c r="B1032" s="80">
        <v>2013</v>
      </c>
      <c r="C1032" s="80">
        <v>2</v>
      </c>
      <c r="D1032" s="80">
        <f t="shared" si="59"/>
        <v>2012</v>
      </c>
      <c r="E1032" t="s">
        <v>38</v>
      </c>
      <c r="F1032" t="s">
        <v>143</v>
      </c>
      <c r="G1032" t="s">
        <v>86</v>
      </c>
      <c r="H1032" s="72" t="s">
        <v>204</v>
      </c>
      <c r="I1032" s="72" t="s">
        <v>46</v>
      </c>
      <c r="J1032" t="str">
        <f t="shared" si="58"/>
        <v>Hoko River</v>
      </c>
      <c r="K1032" t="str">
        <f>IFERROR(VLOOKUP(J1032,LUTs!$A$1:$C$73,2,FALSE),"NA")</f>
        <v>Clallam</v>
      </c>
      <c r="L1032" t="str">
        <f>IFERROR(VLOOKUP(J1032,LUTs!$A$1:$C$73,3,FALSE),"NA")</f>
        <v>0Strait of Juan de Fuca</v>
      </c>
      <c r="M1032" s="72" t="s">
        <v>16</v>
      </c>
      <c r="N1032" t="str">
        <f>VLOOKUP(M1032,LUTs!E$2:H$14,3,)</f>
        <v>03Snohomish</v>
      </c>
      <c r="O1032" t="str">
        <f>VLOOKUP(M1032,LUTs!E$2:H$14,4,)</f>
        <v>01North Puget Sound</v>
      </c>
      <c r="P1032" s="80">
        <v>2.4</v>
      </c>
      <c r="Q1032" s="102">
        <v>2.4</v>
      </c>
      <c r="R1032" s="74">
        <f>VLOOKUP(B1032,Readme!A$40:C$52,3,)*Q1032</f>
        <v>44.52</v>
      </c>
    </row>
    <row r="1033" spans="1:18" ht="12" customHeight="1" x14ac:dyDescent="0.35">
      <c r="A1033" s="75">
        <v>796</v>
      </c>
      <c r="B1033" s="80">
        <v>2013</v>
      </c>
      <c r="C1033" s="80">
        <v>2</v>
      </c>
      <c r="D1033" s="80">
        <f t="shared" si="59"/>
        <v>2012</v>
      </c>
      <c r="E1033" t="s">
        <v>38</v>
      </c>
      <c r="F1033" t="s">
        <v>143</v>
      </c>
      <c r="G1033" t="s">
        <v>86</v>
      </c>
      <c r="H1033" s="72" t="s">
        <v>241</v>
      </c>
      <c r="I1033" s="72" t="s">
        <v>83</v>
      </c>
      <c r="J1033" t="str">
        <f t="shared" si="58"/>
        <v>Nooksack River, below North Fork</v>
      </c>
      <c r="K1033" t="str">
        <f>IFERROR(VLOOKUP(J1033,LUTs!$A$1:$C$73,2,FALSE),"NA")</f>
        <v>Whatcom</v>
      </c>
      <c r="L1033" t="str">
        <f>IFERROR(VLOOKUP(J1033,LUTs!$A$1:$C$73,3,FALSE),"NA")</f>
        <v>1North Puget Sound</v>
      </c>
      <c r="M1033" s="72" t="s">
        <v>13</v>
      </c>
      <c r="N1033" t="str">
        <f>VLOOKUP(M1033,LUTs!E$2:H$14,3,)</f>
        <v>01Whatcom</v>
      </c>
      <c r="O1033" t="str">
        <f>VLOOKUP(M1033,LUTs!E$2:H$14,4,)</f>
        <v>01North Puget Sound</v>
      </c>
      <c r="P1033" s="80">
        <v>3</v>
      </c>
      <c r="Q1033" s="102">
        <v>3</v>
      </c>
      <c r="R1033" s="74">
        <f>VLOOKUP(B1033,Readme!A$40:C$52,3,)*Q1033</f>
        <v>55.650000000000006</v>
      </c>
    </row>
    <row r="1034" spans="1:18" ht="12" customHeight="1" x14ac:dyDescent="0.35">
      <c r="A1034" s="75">
        <v>792</v>
      </c>
      <c r="B1034" s="80">
        <v>2013</v>
      </c>
      <c r="C1034" s="80">
        <v>2</v>
      </c>
      <c r="D1034" s="80">
        <f t="shared" si="59"/>
        <v>2012</v>
      </c>
      <c r="E1034" t="s">
        <v>38</v>
      </c>
      <c r="F1034" t="s">
        <v>143</v>
      </c>
      <c r="G1034" t="s">
        <v>86</v>
      </c>
      <c r="H1034" s="72" t="s">
        <v>239</v>
      </c>
      <c r="I1034" s="72" t="s">
        <v>92</v>
      </c>
      <c r="J1034" t="str">
        <f t="shared" si="58"/>
        <v>Nooksack River, No. Fork</v>
      </c>
      <c r="K1034" t="str">
        <f>IFERROR(VLOOKUP(J1034,LUTs!$A$1:$C$73,2,FALSE),"NA")</f>
        <v>Whatcom</v>
      </c>
      <c r="L1034" t="str">
        <f>IFERROR(VLOOKUP(J1034,LUTs!$A$1:$C$73,3,FALSE),"NA")</f>
        <v>1North Puget Sound</v>
      </c>
      <c r="M1034" s="72" t="s">
        <v>13</v>
      </c>
      <c r="N1034" t="str">
        <f>VLOOKUP(M1034,LUTs!E$2:H$14,3,)</f>
        <v>01Whatcom</v>
      </c>
      <c r="O1034" t="str">
        <f>VLOOKUP(M1034,LUTs!E$2:H$14,4,)</f>
        <v>01North Puget Sound</v>
      </c>
      <c r="P1034" s="80">
        <v>19</v>
      </c>
      <c r="Q1034" s="102">
        <v>19</v>
      </c>
      <c r="R1034" s="74">
        <f>VLOOKUP(B1034,Readme!A$40:C$52,3,)*Q1034</f>
        <v>352.45</v>
      </c>
    </row>
    <row r="1035" spans="1:18" ht="12" customHeight="1" x14ac:dyDescent="0.35">
      <c r="A1035" s="75">
        <v>850</v>
      </c>
      <c r="B1035" s="80">
        <v>2013</v>
      </c>
      <c r="C1035" s="80">
        <v>2</v>
      </c>
      <c r="D1035" s="80">
        <f t="shared" si="59"/>
        <v>2012</v>
      </c>
      <c r="E1035" t="s">
        <v>38</v>
      </c>
      <c r="F1035" t="s">
        <v>143</v>
      </c>
      <c r="G1035" t="s">
        <v>86</v>
      </c>
      <c r="H1035" s="72" t="s">
        <v>218</v>
      </c>
      <c r="I1035" s="72" t="s">
        <v>60</v>
      </c>
      <c r="J1035" t="str">
        <f t="shared" si="58"/>
        <v>Skagit River</v>
      </c>
      <c r="K1035" t="str">
        <f>IFERROR(VLOOKUP(J1035,LUTs!$A$1:$C$73,2,FALSE),"NA")</f>
        <v>Skagit/Whatcom</v>
      </c>
      <c r="L1035" t="str">
        <f>IFERROR(VLOOKUP(J1035,LUTs!$A$1:$C$73,3,FALSE),"NA")</f>
        <v>2Central Puget Sound</v>
      </c>
      <c r="M1035" s="72" t="s">
        <v>15</v>
      </c>
      <c r="N1035" t="str">
        <f>VLOOKUP(M1035,LUTs!E$2:H$14,3,)</f>
        <v>02Skagit</v>
      </c>
      <c r="O1035" t="str">
        <f>VLOOKUP(M1035,LUTs!E$2:H$14,4,)</f>
        <v>01North Puget Sound</v>
      </c>
      <c r="P1035" s="80">
        <v>9</v>
      </c>
      <c r="Q1035" s="102">
        <v>9</v>
      </c>
      <c r="R1035" s="74">
        <f>VLOOKUP(B1035,Readme!A$40:C$52,3,)*Q1035</f>
        <v>166.95000000000002</v>
      </c>
    </row>
    <row r="1036" spans="1:18" ht="12" customHeight="1" x14ac:dyDescent="0.35">
      <c r="A1036" s="75">
        <v>900</v>
      </c>
      <c r="B1036" s="80">
        <v>2013</v>
      </c>
      <c r="C1036" s="80">
        <v>2</v>
      </c>
      <c r="D1036" s="80">
        <f t="shared" si="59"/>
        <v>2012</v>
      </c>
      <c r="E1036" t="s">
        <v>38</v>
      </c>
      <c r="F1036" t="s">
        <v>143</v>
      </c>
      <c r="G1036" t="s">
        <v>86</v>
      </c>
      <c r="H1036" s="72" t="s">
        <v>220</v>
      </c>
      <c r="I1036" s="72" t="s">
        <v>62</v>
      </c>
      <c r="J1036" t="str">
        <f t="shared" si="58"/>
        <v>Skykomish River</v>
      </c>
      <c r="K1036" t="str">
        <f>IFERROR(VLOOKUP(J1036,LUTs!$A$1:$C$73,2,FALSE),"NA")</f>
        <v>Snohomish</v>
      </c>
      <c r="L1036" t="str">
        <f>IFERROR(VLOOKUP(J1036,LUTs!$A$1:$C$73,3,FALSE),"NA")</f>
        <v>2Central Puget Sound</v>
      </c>
      <c r="M1036" s="72" t="s">
        <v>18</v>
      </c>
      <c r="N1036" t="str">
        <f>VLOOKUP(M1036,LUTs!E$2:H$14,3,)</f>
        <v>06King</v>
      </c>
      <c r="O1036" t="str">
        <f>VLOOKUP(M1036,LUTs!E$2:H$14,4,)</f>
        <v>02South Puget Sound</v>
      </c>
      <c r="P1036" s="80">
        <v>29.4444444444445</v>
      </c>
      <c r="Q1036" s="102">
        <v>29.4444444444445</v>
      </c>
      <c r="R1036" s="74">
        <f>VLOOKUP(B1036,Readme!A$40:C$52,3,)*Q1036</f>
        <v>546.19444444444548</v>
      </c>
    </row>
    <row r="1037" spans="1:18" ht="12" customHeight="1" x14ac:dyDescent="0.35">
      <c r="A1037" s="75">
        <v>901</v>
      </c>
      <c r="B1037" s="80">
        <v>2013</v>
      </c>
      <c r="C1037" s="80">
        <v>2</v>
      </c>
      <c r="D1037" s="80">
        <f t="shared" si="59"/>
        <v>2012</v>
      </c>
      <c r="E1037" t="s">
        <v>38</v>
      </c>
      <c r="F1037" t="s">
        <v>143</v>
      </c>
      <c r="G1037" t="s">
        <v>86</v>
      </c>
      <c r="H1037" s="72" t="s">
        <v>220</v>
      </c>
      <c r="I1037" s="72" t="s">
        <v>62</v>
      </c>
      <c r="J1037" t="str">
        <f t="shared" si="58"/>
        <v>Skykomish River</v>
      </c>
      <c r="K1037" t="str">
        <f>IFERROR(VLOOKUP(J1037,LUTs!$A$1:$C$73,2,FALSE),"NA")</f>
        <v>Snohomish</v>
      </c>
      <c r="L1037" t="str">
        <f>IFERROR(VLOOKUP(J1037,LUTs!$A$1:$C$73,3,FALSE),"NA")</f>
        <v>2Central Puget Sound</v>
      </c>
      <c r="M1037" s="72" t="s">
        <v>26</v>
      </c>
      <c r="N1037" t="str">
        <f>VLOOKUP(M1037,LUTs!E$2:H$14,3,)</f>
        <v>20Other</v>
      </c>
      <c r="O1037" t="str">
        <f>VLOOKUP(M1037,LUTs!E$2:H$14,4,)</f>
        <v>07Non Puget Sound</v>
      </c>
      <c r="P1037" s="80">
        <v>5.8888888888888902</v>
      </c>
      <c r="Q1037" s="102">
        <v>5.8888888888888902</v>
      </c>
      <c r="R1037" s="74">
        <f>VLOOKUP(B1037,Readme!A$40:C$52,3,)*Q1037</f>
        <v>109.23888888888892</v>
      </c>
    </row>
    <row r="1038" spans="1:18" ht="12" customHeight="1" x14ac:dyDescent="0.35">
      <c r="A1038" s="75">
        <v>902</v>
      </c>
      <c r="B1038" s="80">
        <v>2013</v>
      </c>
      <c r="C1038" s="80">
        <v>2</v>
      </c>
      <c r="D1038" s="80">
        <f t="shared" si="59"/>
        <v>2012</v>
      </c>
      <c r="E1038" t="s">
        <v>38</v>
      </c>
      <c r="F1038" t="s">
        <v>143</v>
      </c>
      <c r="G1038" t="s">
        <v>86</v>
      </c>
      <c r="H1038" s="72" t="s">
        <v>220</v>
      </c>
      <c r="I1038" s="72" t="s">
        <v>62</v>
      </c>
      <c r="J1038" t="str">
        <f t="shared" si="58"/>
        <v>Skykomish River</v>
      </c>
      <c r="K1038" t="str">
        <f>IFERROR(VLOOKUP(J1038,LUTs!$A$1:$C$73,2,FALSE),"NA")</f>
        <v>Snohomish</v>
      </c>
      <c r="L1038" t="str">
        <f>IFERROR(VLOOKUP(J1038,LUTs!$A$1:$C$73,3,FALSE),"NA")</f>
        <v>2Central Puget Sound</v>
      </c>
      <c r="M1038" s="72" t="s">
        <v>16</v>
      </c>
      <c r="N1038" t="str">
        <f>VLOOKUP(M1038,LUTs!E$2:H$14,3,)</f>
        <v>03Snohomish</v>
      </c>
      <c r="O1038" t="str">
        <f>VLOOKUP(M1038,LUTs!E$2:H$14,4,)</f>
        <v>01North Puget Sound</v>
      </c>
      <c r="P1038" s="80">
        <v>70.6666666666667</v>
      </c>
      <c r="Q1038" s="102">
        <v>70.6666666666667</v>
      </c>
      <c r="R1038" s="74">
        <f>VLOOKUP(B1038,Readme!A$40:C$52,3,)*Q1038</f>
        <v>1310.8666666666672</v>
      </c>
    </row>
    <row r="1039" spans="1:18" ht="12" customHeight="1" x14ac:dyDescent="0.35">
      <c r="A1039" s="75">
        <v>954</v>
      </c>
      <c r="B1039" s="80">
        <v>2013</v>
      </c>
      <c r="C1039" s="80">
        <v>2</v>
      </c>
      <c r="D1039" s="80">
        <f t="shared" si="59"/>
        <v>2012</v>
      </c>
      <c r="E1039" t="s">
        <v>38</v>
      </c>
      <c r="F1039" t="s">
        <v>143</v>
      </c>
      <c r="G1039" t="s">
        <v>86</v>
      </c>
      <c r="H1039" s="72" t="s">
        <v>222</v>
      </c>
      <c r="I1039" s="72" t="s">
        <v>64</v>
      </c>
      <c r="J1039" t="str">
        <f t="shared" si="58"/>
        <v>Snoqualmie River</v>
      </c>
      <c r="K1039" t="str">
        <f>IFERROR(VLOOKUP(J1039,LUTs!$A$1:$C$73,2,FALSE),"NA")</f>
        <v>Snohomish/King</v>
      </c>
      <c r="L1039" t="str">
        <f>IFERROR(VLOOKUP(J1039,LUTs!$A$1:$C$73,3,FALSE),"NA")</f>
        <v>2Central Puget Sound</v>
      </c>
      <c r="M1039" s="72" t="s">
        <v>18</v>
      </c>
      <c r="N1039" t="str">
        <f>VLOOKUP(M1039,LUTs!E$2:H$14,3,)</f>
        <v>06King</v>
      </c>
      <c r="O1039" t="str">
        <f>VLOOKUP(M1039,LUTs!E$2:H$14,4,)</f>
        <v>02South Puget Sound</v>
      </c>
      <c r="P1039" s="80">
        <v>12</v>
      </c>
      <c r="Q1039" s="102">
        <v>12</v>
      </c>
      <c r="R1039" s="74">
        <f>VLOOKUP(B1039,Readme!A$40:C$52,3,)*Q1039</f>
        <v>222.60000000000002</v>
      </c>
    </row>
    <row r="1040" spans="1:18" ht="12" customHeight="1" x14ac:dyDescent="0.35">
      <c r="A1040" s="75">
        <v>1017</v>
      </c>
      <c r="B1040" s="80">
        <v>2013</v>
      </c>
      <c r="C1040" s="80">
        <v>2</v>
      </c>
      <c r="D1040" s="80">
        <f t="shared" si="59"/>
        <v>2012</v>
      </c>
      <c r="E1040" t="s">
        <v>38</v>
      </c>
      <c r="F1040" t="s">
        <v>143</v>
      </c>
      <c r="G1040" t="s">
        <v>86</v>
      </c>
      <c r="H1040" s="72" t="s">
        <v>223</v>
      </c>
      <c r="I1040" s="72" t="s">
        <v>103</v>
      </c>
      <c r="J1040" t="str">
        <f t="shared" si="58"/>
        <v>Stillaguamish R, No. Fork</v>
      </c>
      <c r="K1040" t="str">
        <f>IFERROR(VLOOKUP(J1040,LUTs!$A$1:$C$73,2,FALSE),"NA")</f>
        <v>Snohomish</v>
      </c>
      <c r="L1040" t="str">
        <f>IFERROR(VLOOKUP(J1040,LUTs!$A$1:$C$73,3,FALSE),"NA")</f>
        <v>2Central Puget Sound</v>
      </c>
      <c r="M1040" s="72" t="s">
        <v>16</v>
      </c>
      <c r="N1040" t="str">
        <f>VLOOKUP(M1040,LUTs!E$2:H$14,3,)</f>
        <v>03Snohomish</v>
      </c>
      <c r="O1040" t="str">
        <f>VLOOKUP(M1040,LUTs!E$2:H$14,4,)</f>
        <v>01North Puget Sound</v>
      </c>
      <c r="P1040" s="80">
        <v>23</v>
      </c>
      <c r="Q1040" s="102">
        <v>23</v>
      </c>
      <c r="R1040" s="74">
        <f>VLOOKUP(B1040,Readme!A$40:C$52,3,)*Q1040</f>
        <v>426.65000000000003</v>
      </c>
    </row>
    <row r="1041" spans="1:18" ht="12" customHeight="1" x14ac:dyDescent="0.35">
      <c r="A1041" s="75">
        <v>968</v>
      </c>
      <c r="B1041" s="80">
        <v>2013</v>
      </c>
      <c r="C1041" s="80">
        <v>2</v>
      </c>
      <c r="D1041" s="80">
        <f t="shared" si="59"/>
        <v>2012</v>
      </c>
      <c r="E1041" t="s">
        <v>38</v>
      </c>
      <c r="F1041" t="s">
        <v>143</v>
      </c>
      <c r="G1041" t="s">
        <v>86</v>
      </c>
      <c r="H1041" s="72" t="s">
        <v>250</v>
      </c>
      <c r="I1041" s="72" t="s">
        <v>101</v>
      </c>
      <c r="J1041" t="str">
        <f t="shared" si="58"/>
        <v>Tokul Creek</v>
      </c>
      <c r="K1041" t="str">
        <f>IFERROR(VLOOKUP(J1041,LUTs!$A$1:$C$73,2,FALSE),"NA")</f>
        <v>King</v>
      </c>
      <c r="L1041" t="str">
        <f>IFERROR(VLOOKUP(J1041,LUTs!$A$1:$C$73,3,FALSE),"NA")</f>
        <v>2Central Puget Sound</v>
      </c>
      <c r="M1041" s="72" t="s">
        <v>18</v>
      </c>
      <c r="N1041" t="str">
        <f>VLOOKUP(M1041,LUTs!E$2:H$14,3,)</f>
        <v>06King</v>
      </c>
      <c r="O1041" t="str">
        <f>VLOOKUP(M1041,LUTs!E$2:H$14,4,)</f>
        <v>02South Puget Sound</v>
      </c>
      <c r="P1041" s="80">
        <v>84.933333333333394</v>
      </c>
      <c r="Q1041" s="102">
        <v>84.933333333333394</v>
      </c>
      <c r="R1041" s="74">
        <f>VLOOKUP(B1041,Readme!A$40:C$52,3,)*Q1041</f>
        <v>1575.5133333333345</v>
      </c>
    </row>
    <row r="1042" spans="1:18" ht="12" customHeight="1" x14ac:dyDescent="0.35">
      <c r="A1042" s="75">
        <v>969</v>
      </c>
      <c r="B1042" s="80">
        <v>2013</v>
      </c>
      <c r="C1042" s="80">
        <v>2</v>
      </c>
      <c r="D1042" s="80">
        <f t="shared" si="59"/>
        <v>2012</v>
      </c>
      <c r="E1042" t="s">
        <v>38</v>
      </c>
      <c r="F1042" t="s">
        <v>143</v>
      </c>
      <c r="G1042" t="s">
        <v>86</v>
      </c>
      <c r="H1042" s="72" t="s">
        <v>250</v>
      </c>
      <c r="I1042" s="72" t="s">
        <v>101</v>
      </c>
      <c r="J1042" t="str">
        <f t="shared" si="58"/>
        <v>Tokul Creek</v>
      </c>
      <c r="K1042" t="str">
        <f>IFERROR(VLOOKUP(J1042,LUTs!$A$1:$C$73,2,FALSE),"NA")</f>
        <v>King</v>
      </c>
      <c r="L1042" t="str">
        <f>IFERROR(VLOOKUP(J1042,LUTs!$A$1:$C$73,3,FALSE),"NA")</f>
        <v>2Central Puget Sound</v>
      </c>
      <c r="M1042" s="72" t="s">
        <v>20</v>
      </c>
      <c r="N1042" t="str">
        <f>VLOOKUP(M1042,LUTs!E$2:H$14,3,)</f>
        <v>07Pierce</v>
      </c>
      <c r="O1042" t="str">
        <f>VLOOKUP(M1042,LUTs!E$2:H$14,4,)</f>
        <v>02South Puget Sound</v>
      </c>
      <c r="P1042" s="80">
        <v>3.0333333333333301</v>
      </c>
      <c r="Q1042" s="102">
        <v>3.0333333333333301</v>
      </c>
      <c r="R1042" s="74">
        <f>VLOOKUP(B1042,Readme!A$40:C$52,3,)*Q1042</f>
        <v>56.268333333333274</v>
      </c>
    </row>
    <row r="1043" spans="1:18" ht="12" customHeight="1" x14ac:dyDescent="0.35">
      <c r="A1043" s="75">
        <v>970</v>
      </c>
      <c r="B1043" s="80">
        <v>2013</v>
      </c>
      <c r="C1043" s="80">
        <v>2</v>
      </c>
      <c r="D1043" s="80">
        <f t="shared" si="59"/>
        <v>2012</v>
      </c>
      <c r="E1043" t="s">
        <v>38</v>
      </c>
      <c r="F1043" t="s">
        <v>143</v>
      </c>
      <c r="G1043" t="s">
        <v>86</v>
      </c>
      <c r="H1043" s="72" t="s">
        <v>250</v>
      </c>
      <c r="I1043" s="72" t="s">
        <v>101</v>
      </c>
      <c r="J1043" t="str">
        <f t="shared" si="58"/>
        <v>Tokul Creek</v>
      </c>
      <c r="K1043" t="str">
        <f>IFERROR(VLOOKUP(J1043,LUTs!$A$1:$C$73,2,FALSE),"NA")</f>
        <v>King</v>
      </c>
      <c r="L1043" t="str">
        <f>IFERROR(VLOOKUP(J1043,LUTs!$A$1:$C$73,3,FALSE),"NA")</f>
        <v>2Central Puget Sound</v>
      </c>
      <c r="M1043" s="72" t="s">
        <v>16</v>
      </c>
      <c r="N1043" t="str">
        <f>VLOOKUP(M1043,LUTs!E$2:H$14,3,)</f>
        <v>03Snohomish</v>
      </c>
      <c r="O1043" t="str">
        <f>VLOOKUP(M1043,LUTs!E$2:H$14,4,)</f>
        <v>01North Puget Sound</v>
      </c>
      <c r="P1043" s="80">
        <v>3.0333333333333301</v>
      </c>
      <c r="Q1043" s="102">
        <v>3.0333333333333301</v>
      </c>
      <c r="R1043" s="74">
        <f>VLOOKUP(B1043,Readme!A$40:C$52,3,)*Q1043</f>
        <v>56.268333333333274</v>
      </c>
    </row>
    <row r="1044" spans="1:18" ht="12" customHeight="1" x14ac:dyDescent="0.35">
      <c r="A1044" s="75">
        <v>987</v>
      </c>
      <c r="B1044" s="80">
        <v>2013</v>
      </c>
      <c r="C1044" s="80">
        <v>2</v>
      </c>
      <c r="D1044" s="80">
        <f t="shared" si="59"/>
        <v>2012</v>
      </c>
      <c r="E1044" t="s">
        <v>38</v>
      </c>
      <c r="F1044" t="s">
        <v>143</v>
      </c>
      <c r="G1044" t="s">
        <v>86</v>
      </c>
      <c r="H1044" s="72" t="s">
        <v>233</v>
      </c>
      <c r="I1044" s="72" t="s">
        <v>76</v>
      </c>
      <c r="J1044" t="str">
        <f t="shared" si="58"/>
        <v>Wallace River</v>
      </c>
      <c r="K1044" t="str">
        <f>IFERROR(VLOOKUP(J1044,LUTs!$A$1:$C$73,2,FALSE),"NA")</f>
        <v>Snohomish</v>
      </c>
      <c r="L1044" t="str">
        <f>IFERROR(VLOOKUP(J1044,LUTs!$A$1:$C$73,3,FALSE),"NA")</f>
        <v>2Central Puget Sound</v>
      </c>
      <c r="M1044" s="72" t="s">
        <v>16</v>
      </c>
      <c r="N1044" t="str">
        <f>VLOOKUP(M1044,LUTs!E$2:H$14,3,)</f>
        <v>03Snohomish</v>
      </c>
      <c r="O1044" t="str">
        <f>VLOOKUP(M1044,LUTs!E$2:H$14,4,)</f>
        <v>01North Puget Sound</v>
      </c>
      <c r="P1044" s="80">
        <v>6</v>
      </c>
      <c r="Q1044" s="102">
        <v>6</v>
      </c>
      <c r="R1044" s="74">
        <f>VLOOKUP(B1044,Readme!A$40:C$52,3,)*Q1044</f>
        <v>111.30000000000001</v>
      </c>
    </row>
    <row r="1045" spans="1:18" ht="12" customHeight="1" x14ac:dyDescent="0.35">
      <c r="A1045" s="75">
        <v>805</v>
      </c>
      <c r="B1045" s="80">
        <v>2013</v>
      </c>
      <c r="C1045" s="80">
        <v>3</v>
      </c>
      <c r="D1045" s="80">
        <f t="shared" si="59"/>
        <v>2012</v>
      </c>
      <c r="E1045" t="s">
        <v>38</v>
      </c>
      <c r="F1045" t="s">
        <v>143</v>
      </c>
      <c r="G1045" t="s">
        <v>86</v>
      </c>
      <c r="H1045" s="72" t="s">
        <v>258</v>
      </c>
      <c r="I1045" s="72" t="s">
        <v>32</v>
      </c>
      <c r="J1045" t="str">
        <f t="shared" si="58"/>
        <v>Area 8-2: Port Susan-Port Gardner</v>
      </c>
      <c r="K1045" t="str">
        <f>IFERROR(VLOOKUP(J1045,LUTs!$A$1:$C$73,2,FALSE),"NA")</f>
        <v>NA</v>
      </c>
      <c r="L1045" t="str">
        <f>IFERROR(VLOOKUP(J1045,LUTs!$A$1:$C$73,3,FALSE),"NA")</f>
        <v>2Central Puget Sound</v>
      </c>
      <c r="M1045" s="72" t="s">
        <v>16</v>
      </c>
      <c r="N1045" t="str">
        <f>VLOOKUP(M1045,LUTs!E$2:H$14,3,)</f>
        <v>03Snohomish</v>
      </c>
      <c r="O1045" t="str">
        <f>VLOOKUP(M1045,LUTs!E$2:H$14,4,)</f>
        <v>01North Puget Sound</v>
      </c>
      <c r="P1045" s="80">
        <v>4</v>
      </c>
      <c r="Q1045" s="102">
        <v>4</v>
      </c>
      <c r="R1045" s="74">
        <f>VLOOKUP(B1045,Readme!A$40:C$52,3,)*Q1045</f>
        <v>74.2</v>
      </c>
    </row>
    <row r="1046" spans="1:18" ht="12" customHeight="1" x14ac:dyDescent="0.35">
      <c r="A1046" s="75">
        <v>1046</v>
      </c>
      <c r="B1046" s="80">
        <v>2013</v>
      </c>
      <c r="C1046" s="80">
        <v>3</v>
      </c>
      <c r="D1046" s="80">
        <f t="shared" si="59"/>
        <v>2012</v>
      </c>
      <c r="E1046" t="s">
        <v>38</v>
      </c>
      <c r="F1046" t="s">
        <v>143</v>
      </c>
      <c r="G1046" t="s">
        <v>86</v>
      </c>
      <c r="H1046" s="72" t="s">
        <v>254</v>
      </c>
      <c r="I1046" s="72" t="s">
        <v>33</v>
      </c>
      <c r="J1046" t="str">
        <f t="shared" si="58"/>
        <v>Area 9: Admiralty Inlet</v>
      </c>
      <c r="K1046" t="str">
        <f>IFERROR(VLOOKUP(J1046,LUTs!$A$1:$C$73,2,FALSE),"NA")</f>
        <v>NA</v>
      </c>
      <c r="L1046" t="str">
        <f>IFERROR(VLOOKUP(J1046,LUTs!$A$1:$C$73,3,FALSE),"NA")</f>
        <v>2Central Puget Sound</v>
      </c>
      <c r="M1046" s="72" t="s">
        <v>17</v>
      </c>
      <c r="N1046" t="str">
        <f>VLOOKUP(M1046,LUTs!E$2:H$14,3,)</f>
        <v>04Island</v>
      </c>
      <c r="O1046" t="str">
        <f>VLOOKUP(M1046,LUTs!E$2:H$14,4,)</f>
        <v>01North Puget Sound</v>
      </c>
      <c r="P1046" s="80">
        <v>4</v>
      </c>
      <c r="Q1046" s="102">
        <v>4</v>
      </c>
      <c r="R1046" s="74">
        <f>VLOOKUP(B1046,Readme!A$40:C$52,3,)*Q1046</f>
        <v>74.2</v>
      </c>
    </row>
    <row r="1047" spans="1:18" ht="12" customHeight="1" x14ac:dyDescent="0.35">
      <c r="A1047" s="75">
        <v>780</v>
      </c>
      <c r="B1047" s="80">
        <v>2013</v>
      </c>
      <c r="C1047" s="80">
        <v>3</v>
      </c>
      <c r="D1047" s="80">
        <f t="shared" si="59"/>
        <v>2012</v>
      </c>
      <c r="E1047" t="s">
        <v>38</v>
      </c>
      <c r="F1047" t="s">
        <v>143</v>
      </c>
      <c r="G1047" t="s">
        <v>86</v>
      </c>
      <c r="H1047" s="72" t="s">
        <v>204</v>
      </c>
      <c r="I1047" s="72" t="s">
        <v>46</v>
      </c>
      <c r="J1047" t="str">
        <f t="shared" si="58"/>
        <v>Hoko River</v>
      </c>
      <c r="K1047" t="str">
        <f>IFERROR(VLOOKUP(J1047,LUTs!$A$1:$C$73,2,FALSE),"NA")</f>
        <v>Clallam</v>
      </c>
      <c r="L1047" t="str">
        <f>IFERROR(VLOOKUP(J1047,LUTs!$A$1:$C$73,3,FALSE),"NA")</f>
        <v>0Strait of Juan de Fuca</v>
      </c>
      <c r="M1047" s="72" t="s">
        <v>24</v>
      </c>
      <c r="N1047" t="str">
        <f>VLOOKUP(M1047,LUTs!E$2:H$14,3,)</f>
        <v>11Clallam</v>
      </c>
      <c r="O1047" t="str">
        <f>VLOOKUP(M1047,LUTs!E$2:H$14,4,)</f>
        <v>03Strait of Juan de Fuca</v>
      </c>
      <c r="P1047" s="80">
        <v>5</v>
      </c>
      <c r="Q1047" s="102">
        <v>5</v>
      </c>
      <c r="R1047" s="74">
        <f>VLOOKUP(B1047,Readme!A$40:C$52,3,)*Q1047</f>
        <v>92.75</v>
      </c>
    </row>
    <row r="1048" spans="1:18" ht="12" customHeight="1" x14ac:dyDescent="0.35">
      <c r="A1048" s="75">
        <v>1317</v>
      </c>
      <c r="B1048" s="80">
        <v>2013</v>
      </c>
      <c r="C1048" s="80">
        <v>4</v>
      </c>
      <c r="D1048" s="80">
        <f t="shared" si="59"/>
        <v>2013</v>
      </c>
      <c r="E1048" t="s">
        <v>38</v>
      </c>
      <c r="F1048" t="s">
        <v>143</v>
      </c>
      <c r="G1048" t="s">
        <v>86</v>
      </c>
      <c r="H1048" s="72" t="s">
        <v>254</v>
      </c>
      <c r="I1048" s="72" t="s">
        <v>33</v>
      </c>
      <c r="J1048" t="str">
        <f t="shared" ref="J1048:J1052" si="60">I1048</f>
        <v>Area 9: Admiralty Inlet</v>
      </c>
      <c r="K1048" t="str">
        <f>IFERROR(VLOOKUP(J1048,LUTs!$A$1:$C$73,2,FALSE),"NA")</f>
        <v>NA</v>
      </c>
      <c r="L1048" t="str">
        <f>IFERROR(VLOOKUP(J1048,LUTs!$A$1:$C$73,3,FALSE),"NA")</f>
        <v>2Central Puget Sound</v>
      </c>
      <c r="M1048" s="72" t="s">
        <v>17</v>
      </c>
      <c r="N1048" t="str">
        <f>VLOOKUP(M1048,LUTs!E$2:H$14,3,)</f>
        <v>04Island</v>
      </c>
      <c r="O1048" t="str">
        <f>VLOOKUP(M1048,LUTs!E$2:H$14,4,)</f>
        <v>01North Puget Sound</v>
      </c>
      <c r="P1048" s="80">
        <v>3.3333333333333299</v>
      </c>
      <c r="Q1048" s="103">
        <v>1.6666666666666701</v>
      </c>
      <c r="R1048" s="74">
        <f>VLOOKUP(B1048,Readme!A$40:C$52,3,)*Q1048</f>
        <v>30.916666666666732</v>
      </c>
    </row>
    <row r="1049" spans="1:18" ht="12" customHeight="1" x14ac:dyDescent="0.35">
      <c r="A1049" s="75">
        <v>1318</v>
      </c>
      <c r="B1049" s="80">
        <v>2013</v>
      </c>
      <c r="C1049" s="80">
        <v>4</v>
      </c>
      <c r="D1049" s="80">
        <f t="shared" si="59"/>
        <v>2013</v>
      </c>
      <c r="E1049" t="s">
        <v>38</v>
      </c>
      <c r="F1049" t="s">
        <v>143</v>
      </c>
      <c r="G1049" t="s">
        <v>86</v>
      </c>
      <c r="H1049" s="72" t="s">
        <v>254</v>
      </c>
      <c r="I1049" s="72" t="s">
        <v>33</v>
      </c>
      <c r="J1049" t="str">
        <f t="shared" si="60"/>
        <v>Area 9: Admiralty Inlet</v>
      </c>
      <c r="K1049" t="str">
        <f>IFERROR(VLOOKUP(J1049,LUTs!$A$1:$C$73,2,FALSE),"NA")</f>
        <v>NA</v>
      </c>
      <c r="L1049" t="str">
        <f>IFERROR(VLOOKUP(J1049,LUTs!$A$1:$C$73,3,FALSE),"NA")</f>
        <v>2Central Puget Sound</v>
      </c>
      <c r="M1049" s="72" t="s">
        <v>16</v>
      </c>
      <c r="N1049" t="str">
        <f>VLOOKUP(M1049,LUTs!E$2:H$14,3,)</f>
        <v>03Snohomish</v>
      </c>
      <c r="O1049" t="str">
        <f>VLOOKUP(M1049,LUTs!E$2:H$14,4,)</f>
        <v>01North Puget Sound</v>
      </c>
      <c r="P1049" s="80">
        <v>3.3333333333333299</v>
      </c>
      <c r="Q1049" s="103">
        <v>1.6666666666666701</v>
      </c>
      <c r="R1049" s="74">
        <f>VLOOKUP(B1049,Readme!A$40:C$52,3,)*Q1049</f>
        <v>30.916666666666732</v>
      </c>
    </row>
    <row r="1050" spans="1:18" ht="12" customHeight="1" x14ac:dyDescent="0.35">
      <c r="A1050" s="75">
        <v>1319</v>
      </c>
      <c r="B1050" s="80">
        <v>2013</v>
      </c>
      <c r="C1050" s="80">
        <v>4</v>
      </c>
      <c r="D1050" s="80">
        <f t="shared" si="59"/>
        <v>2013</v>
      </c>
      <c r="E1050" t="s">
        <v>38</v>
      </c>
      <c r="F1050" t="s">
        <v>143</v>
      </c>
      <c r="G1050" t="s">
        <v>86</v>
      </c>
      <c r="H1050" s="72" t="s">
        <v>254</v>
      </c>
      <c r="I1050" s="72" t="s">
        <v>33</v>
      </c>
      <c r="J1050" t="str">
        <f t="shared" si="60"/>
        <v>Area 9: Admiralty Inlet</v>
      </c>
      <c r="K1050" t="str">
        <f>IFERROR(VLOOKUP(J1050,LUTs!$A$1:$C$73,2,FALSE),"NA")</f>
        <v>NA</v>
      </c>
      <c r="L1050" t="str">
        <f>IFERROR(VLOOKUP(J1050,LUTs!$A$1:$C$73,3,FALSE),"NA")</f>
        <v>2Central Puget Sound</v>
      </c>
      <c r="M1050" s="72" t="s">
        <v>21</v>
      </c>
      <c r="N1050" t="str">
        <f>VLOOKUP(M1050,LUTs!E$2:H$14,3,)</f>
        <v>08Thurston</v>
      </c>
      <c r="O1050" t="str">
        <f>VLOOKUP(M1050,LUTs!E$2:H$14,4,)</f>
        <v>02South Puget Sound</v>
      </c>
      <c r="P1050" s="80">
        <v>3.3333333333333299</v>
      </c>
      <c r="Q1050" s="103">
        <v>1.6666666666666701</v>
      </c>
      <c r="R1050" s="74">
        <f>VLOOKUP(B1050,Readme!A$40:C$52,3,)*Q1050</f>
        <v>30.916666666666732</v>
      </c>
    </row>
    <row r="1051" spans="1:18" ht="12" customHeight="1" x14ac:dyDescent="0.35">
      <c r="A1051" s="75">
        <v>1139</v>
      </c>
      <c r="B1051" s="80">
        <v>2013</v>
      </c>
      <c r="C1051" s="80">
        <v>4</v>
      </c>
      <c r="D1051" s="80">
        <f t="shared" si="59"/>
        <v>2013</v>
      </c>
      <c r="E1051" t="s">
        <v>38</v>
      </c>
      <c r="F1051" t="s">
        <v>143</v>
      </c>
      <c r="G1051" t="s">
        <v>86</v>
      </c>
      <c r="H1051" s="72" t="s">
        <v>218</v>
      </c>
      <c r="I1051" s="72" t="s">
        <v>60</v>
      </c>
      <c r="J1051" t="str">
        <f t="shared" si="60"/>
        <v>Skagit River</v>
      </c>
      <c r="K1051" t="str">
        <f>IFERROR(VLOOKUP(J1051,LUTs!$A$1:$C$73,2,FALSE),"NA")</f>
        <v>Skagit/Whatcom</v>
      </c>
      <c r="L1051" t="str">
        <f>IFERROR(VLOOKUP(J1051,LUTs!$A$1:$C$73,3,FALSE),"NA")</f>
        <v>2Central Puget Sound</v>
      </c>
      <c r="M1051" s="72" t="s">
        <v>15</v>
      </c>
      <c r="N1051" t="str">
        <f>VLOOKUP(M1051,LUTs!E$2:H$14,3,)</f>
        <v>02Skagit</v>
      </c>
      <c r="O1051" t="str">
        <f>VLOOKUP(M1051,LUTs!E$2:H$14,4,)</f>
        <v>01North Puget Sound</v>
      </c>
      <c r="P1051" s="80">
        <v>6</v>
      </c>
      <c r="Q1051" s="103">
        <v>0</v>
      </c>
      <c r="R1051" s="74">
        <f>VLOOKUP(B1051,Readme!A$40:C$52,3,)*Q1051</f>
        <v>0</v>
      </c>
    </row>
    <row r="1052" spans="1:18" ht="12" customHeight="1" x14ac:dyDescent="0.35">
      <c r="A1052" s="75">
        <v>1168</v>
      </c>
      <c r="B1052" s="80">
        <v>2013</v>
      </c>
      <c r="C1052" s="80">
        <v>4</v>
      </c>
      <c r="D1052" s="80">
        <f t="shared" si="59"/>
        <v>2013</v>
      </c>
      <c r="E1052" t="s">
        <v>38</v>
      </c>
      <c r="F1052" t="s">
        <v>143</v>
      </c>
      <c r="G1052" t="s">
        <v>86</v>
      </c>
      <c r="H1052" s="72" t="s">
        <v>220</v>
      </c>
      <c r="I1052" s="72" t="s">
        <v>62</v>
      </c>
      <c r="J1052" t="str">
        <f t="shared" si="60"/>
        <v>Skykomish River</v>
      </c>
      <c r="K1052" t="str">
        <f>IFERROR(VLOOKUP(J1052,LUTs!$A$1:$C$73,2,FALSE),"NA")</f>
        <v>Snohomish</v>
      </c>
      <c r="L1052" t="str">
        <f>IFERROR(VLOOKUP(J1052,LUTs!$A$1:$C$73,3,FALSE),"NA")</f>
        <v>2Central Puget Sound</v>
      </c>
      <c r="M1052" s="72" t="s">
        <v>16</v>
      </c>
      <c r="N1052" t="str">
        <f>VLOOKUP(M1052,LUTs!E$2:H$14,3,)</f>
        <v>03Snohomish</v>
      </c>
      <c r="O1052" t="str">
        <f>VLOOKUP(M1052,LUTs!E$2:H$14,4,)</f>
        <v>01North Puget Sound</v>
      </c>
      <c r="P1052" s="80">
        <v>24</v>
      </c>
      <c r="Q1052" s="103">
        <v>0</v>
      </c>
      <c r="R1052" s="74">
        <f>VLOOKUP(B1052,Readme!A$40:C$52,3,)*Q1052</f>
        <v>0</v>
      </c>
    </row>
    <row r="1053" spans="1:18" ht="12" customHeight="1" x14ac:dyDescent="0.35">
      <c r="A1053" s="75">
        <v>1059</v>
      </c>
      <c r="B1053" s="80">
        <v>2013</v>
      </c>
      <c r="C1053" s="80">
        <v>6</v>
      </c>
      <c r="D1053" s="80">
        <f t="shared" si="59"/>
        <v>2013</v>
      </c>
      <c r="E1053" t="s">
        <v>38</v>
      </c>
      <c r="F1053" t="s">
        <v>143</v>
      </c>
      <c r="G1053" t="s">
        <v>86</v>
      </c>
      <c r="H1053" s="72" t="s">
        <v>203</v>
      </c>
      <c r="I1053" s="72" t="s">
        <v>89</v>
      </c>
      <c r="J1053" s="84" t="s">
        <v>45</v>
      </c>
      <c r="K1053" t="str">
        <f>IFERROR(VLOOKUP(J1053,LUTs!$A$1:$C$73,2,FALSE),"NA")</f>
        <v>King</v>
      </c>
      <c r="L1053" t="str">
        <f>IFERROR(VLOOKUP(J1053,LUTs!$A$1:$C$73,3,FALSE),"NA")</f>
        <v>3South Puget Sound</v>
      </c>
      <c r="M1053" s="72" t="s">
        <v>18</v>
      </c>
      <c r="N1053" t="str">
        <f>VLOOKUP(M1053,LUTs!E$2:H$14,3,)</f>
        <v>06King</v>
      </c>
      <c r="O1053" t="str">
        <f>VLOOKUP(M1053,LUTs!E$2:H$14,4,)</f>
        <v>02South Puget Sound</v>
      </c>
      <c r="P1053" s="80">
        <v>322.36363636363598</v>
      </c>
      <c r="Q1053" s="103">
        <v>161.18181818181799</v>
      </c>
      <c r="R1053" s="74">
        <f>VLOOKUP(B1053,Readme!A$40:C$52,3,)*Q1053</f>
        <v>2989.9227272727239</v>
      </c>
    </row>
    <row r="1054" spans="1:18" ht="12" customHeight="1" x14ac:dyDescent="0.35">
      <c r="A1054" s="75">
        <v>1060</v>
      </c>
      <c r="B1054" s="80">
        <v>2013</v>
      </c>
      <c r="C1054" s="80">
        <v>6</v>
      </c>
      <c r="D1054" s="80">
        <f t="shared" si="59"/>
        <v>2013</v>
      </c>
      <c r="E1054" t="s">
        <v>38</v>
      </c>
      <c r="F1054" t="s">
        <v>143</v>
      </c>
      <c r="G1054" t="s">
        <v>86</v>
      </c>
      <c r="H1054" s="72" t="s">
        <v>203</v>
      </c>
      <c r="I1054" s="72" t="s">
        <v>89</v>
      </c>
      <c r="J1054" s="84" t="s">
        <v>45</v>
      </c>
      <c r="K1054" t="str">
        <f>IFERROR(VLOOKUP(J1054,LUTs!$A$1:$C$73,2,FALSE),"NA")</f>
        <v>King</v>
      </c>
      <c r="L1054" t="str">
        <f>IFERROR(VLOOKUP(J1054,LUTs!$A$1:$C$73,3,FALSE),"NA")</f>
        <v>3South Puget Sound</v>
      </c>
      <c r="M1054" s="72" t="s">
        <v>26</v>
      </c>
      <c r="N1054" t="str">
        <f>VLOOKUP(M1054,LUTs!E$2:H$14,3,)</f>
        <v>20Other</v>
      </c>
      <c r="O1054" t="str">
        <f>VLOOKUP(M1054,LUTs!E$2:H$14,4,)</f>
        <v>07Non Puget Sound</v>
      </c>
      <c r="P1054" s="80">
        <v>8.9545454545454604</v>
      </c>
      <c r="Q1054" s="103">
        <v>4.4772727272727302</v>
      </c>
      <c r="R1054" s="74">
        <f>VLOOKUP(B1054,Readme!A$40:C$52,3,)*Q1054</f>
        <v>83.053409090909142</v>
      </c>
    </row>
    <row r="1055" spans="1:18" ht="12" customHeight="1" x14ac:dyDescent="0.35">
      <c r="A1055" s="75">
        <v>1061</v>
      </c>
      <c r="B1055" s="80">
        <v>2013</v>
      </c>
      <c r="C1055" s="80">
        <v>6</v>
      </c>
      <c r="D1055" s="80">
        <f t="shared" si="59"/>
        <v>2013</v>
      </c>
      <c r="E1055" t="s">
        <v>38</v>
      </c>
      <c r="F1055" t="s">
        <v>143</v>
      </c>
      <c r="G1055" t="s">
        <v>86</v>
      </c>
      <c r="H1055" s="72" t="s">
        <v>203</v>
      </c>
      <c r="I1055" s="72" t="s">
        <v>89</v>
      </c>
      <c r="J1055" s="84" t="s">
        <v>45</v>
      </c>
      <c r="K1055" t="str">
        <f>IFERROR(VLOOKUP(J1055,LUTs!$A$1:$C$73,2,FALSE),"NA")</f>
        <v>King</v>
      </c>
      <c r="L1055" t="str">
        <f>IFERROR(VLOOKUP(J1055,LUTs!$A$1:$C$73,3,FALSE),"NA")</f>
        <v>3South Puget Sound</v>
      </c>
      <c r="M1055" s="72" t="s">
        <v>20</v>
      </c>
      <c r="N1055" t="str">
        <f>VLOOKUP(M1055,LUTs!E$2:H$14,3,)</f>
        <v>07Pierce</v>
      </c>
      <c r="O1055" t="str">
        <f>VLOOKUP(M1055,LUTs!E$2:H$14,4,)</f>
        <v>02South Puget Sound</v>
      </c>
      <c r="P1055" s="80">
        <v>62.681818181818201</v>
      </c>
      <c r="Q1055" s="103">
        <v>31.340909090909101</v>
      </c>
      <c r="R1055" s="74">
        <f>VLOOKUP(B1055,Readme!A$40:C$52,3,)*Q1055</f>
        <v>581.37386363636381</v>
      </c>
    </row>
    <row r="1056" spans="1:18" ht="12" customHeight="1" x14ac:dyDescent="0.35">
      <c r="A1056" s="75">
        <v>1288</v>
      </c>
      <c r="B1056" s="80">
        <v>2013</v>
      </c>
      <c r="C1056" s="80">
        <v>6</v>
      </c>
      <c r="D1056" s="80">
        <f t="shared" si="59"/>
        <v>2013</v>
      </c>
      <c r="E1056" t="s">
        <v>38</v>
      </c>
      <c r="F1056" t="s">
        <v>143</v>
      </c>
      <c r="G1056" t="s">
        <v>86</v>
      </c>
      <c r="H1056" s="72" t="s">
        <v>262</v>
      </c>
      <c r="I1056" s="72" t="s">
        <v>105</v>
      </c>
      <c r="J1056" t="str">
        <f>I1056</f>
        <v>Pilchuck Creek (Stillaguamish System)</v>
      </c>
      <c r="K1056" t="str">
        <f>IFERROR(VLOOKUP(J1056,LUTs!$A$1:$C$73,2,FALSE),"NA")</f>
        <v>Skagit/Snohomish</v>
      </c>
      <c r="L1056" t="str">
        <f>IFERROR(VLOOKUP(J1056,LUTs!$A$1:$C$73,3,FALSE),"NA")</f>
        <v>2Central Puget Sound</v>
      </c>
      <c r="M1056" s="72" t="s">
        <v>16</v>
      </c>
      <c r="N1056" t="str">
        <f>VLOOKUP(M1056,LUTs!E$2:H$14,3,)</f>
        <v>03Snohomish</v>
      </c>
      <c r="O1056" t="str">
        <f>VLOOKUP(M1056,LUTs!E$2:H$14,4,)</f>
        <v>01North Puget Sound</v>
      </c>
      <c r="P1056" s="80">
        <v>10</v>
      </c>
      <c r="Q1056" s="103">
        <v>0</v>
      </c>
      <c r="R1056" s="74">
        <f>VLOOKUP(B1056,Readme!A$40:C$52,3,)*Q1056</f>
        <v>0</v>
      </c>
    </row>
    <row r="1057" spans="1:18" ht="12" customHeight="1" x14ac:dyDescent="0.35">
      <c r="A1057" s="75">
        <v>1164</v>
      </c>
      <c r="B1057" s="80">
        <v>2013</v>
      </c>
      <c r="C1057" s="80">
        <v>6</v>
      </c>
      <c r="D1057" s="80">
        <f t="shared" si="59"/>
        <v>2013</v>
      </c>
      <c r="E1057" t="s">
        <v>38</v>
      </c>
      <c r="F1057" t="s">
        <v>143</v>
      </c>
      <c r="G1057" t="s">
        <v>86</v>
      </c>
      <c r="H1057" s="72" t="s">
        <v>246</v>
      </c>
      <c r="I1057" s="72" t="s">
        <v>97</v>
      </c>
      <c r="J1057" t="str">
        <f>I1057</f>
        <v>Raging River</v>
      </c>
      <c r="K1057" t="str">
        <f>IFERROR(VLOOKUP(J1057,LUTs!$A$1:$C$73,2,FALSE),"NA")</f>
        <v>King</v>
      </c>
      <c r="L1057" t="str">
        <f>IFERROR(VLOOKUP(J1057,LUTs!$A$1:$C$73,3,FALSE),"NA")</f>
        <v>2Central Puget Sound</v>
      </c>
      <c r="M1057" s="72" t="s">
        <v>18</v>
      </c>
      <c r="N1057" t="str">
        <f>VLOOKUP(M1057,LUTs!E$2:H$14,3,)</f>
        <v>06King</v>
      </c>
      <c r="O1057" t="str">
        <f>VLOOKUP(M1057,LUTs!E$2:H$14,4,)</f>
        <v>02South Puget Sound</v>
      </c>
      <c r="P1057" s="80">
        <v>38</v>
      </c>
      <c r="Q1057" s="103">
        <v>0</v>
      </c>
      <c r="R1057" s="74">
        <f>VLOOKUP(B1057,Readme!A$40:C$52,3,)*Q1057</f>
        <v>0</v>
      </c>
    </row>
    <row r="1058" spans="1:18" ht="12" customHeight="1" x14ac:dyDescent="0.35">
      <c r="A1058" s="75">
        <v>1140</v>
      </c>
      <c r="B1058" s="80">
        <v>2013</v>
      </c>
      <c r="C1058" s="80">
        <v>6</v>
      </c>
      <c r="D1058" s="80">
        <f t="shared" si="59"/>
        <v>2013</v>
      </c>
      <c r="E1058" t="s">
        <v>38</v>
      </c>
      <c r="F1058" t="s">
        <v>143</v>
      </c>
      <c r="G1058" t="s">
        <v>86</v>
      </c>
      <c r="H1058" s="72" t="s">
        <v>218</v>
      </c>
      <c r="I1058" s="72" t="s">
        <v>60</v>
      </c>
      <c r="J1058" t="str">
        <f>I1058</f>
        <v>Skagit River</v>
      </c>
      <c r="K1058" t="str">
        <f>IFERROR(VLOOKUP(J1058,LUTs!$A$1:$C$73,2,FALSE),"NA")</f>
        <v>Skagit/Whatcom</v>
      </c>
      <c r="L1058" t="str">
        <f>IFERROR(VLOOKUP(J1058,LUTs!$A$1:$C$73,3,FALSE),"NA")</f>
        <v>2Central Puget Sound</v>
      </c>
      <c r="M1058" s="72" t="s">
        <v>15</v>
      </c>
      <c r="N1058" t="str">
        <f>VLOOKUP(M1058,LUTs!E$2:H$14,3,)</f>
        <v>02Skagit</v>
      </c>
      <c r="O1058" t="str">
        <f>VLOOKUP(M1058,LUTs!E$2:H$14,4,)</f>
        <v>01North Puget Sound</v>
      </c>
      <c r="P1058" s="80">
        <v>0</v>
      </c>
      <c r="Q1058" s="103">
        <v>0</v>
      </c>
      <c r="R1058" s="74">
        <f>VLOOKUP(B1058,Readme!A$40:C$52,3,)*Q1058</f>
        <v>0</v>
      </c>
    </row>
    <row r="1059" spans="1:18" ht="12" customHeight="1" x14ac:dyDescent="0.35">
      <c r="A1059" s="75">
        <v>1141</v>
      </c>
      <c r="B1059" s="80">
        <v>2013</v>
      </c>
      <c r="C1059" s="80">
        <v>6</v>
      </c>
      <c r="D1059" s="80">
        <f t="shared" si="59"/>
        <v>2013</v>
      </c>
      <c r="E1059" t="s">
        <v>38</v>
      </c>
      <c r="F1059" t="s">
        <v>143</v>
      </c>
      <c r="G1059" t="s">
        <v>86</v>
      </c>
      <c r="H1059" s="72" t="s">
        <v>218</v>
      </c>
      <c r="I1059" s="72" t="s">
        <v>60</v>
      </c>
      <c r="J1059" t="str">
        <f>I1059</f>
        <v>Skagit River</v>
      </c>
      <c r="K1059" t="str">
        <f>IFERROR(VLOOKUP(J1059,LUTs!$A$1:$C$73,2,FALSE),"NA")</f>
        <v>Skagit/Whatcom</v>
      </c>
      <c r="L1059" t="str">
        <f>IFERROR(VLOOKUP(J1059,LUTs!$A$1:$C$73,3,FALSE),"NA")</f>
        <v>2Central Puget Sound</v>
      </c>
      <c r="M1059" s="72" t="s">
        <v>16</v>
      </c>
      <c r="N1059" t="str">
        <f>VLOOKUP(M1059,LUTs!E$2:H$14,3,)</f>
        <v>03Snohomish</v>
      </c>
      <c r="O1059" t="str">
        <f>VLOOKUP(M1059,LUTs!E$2:H$14,4,)</f>
        <v>01North Puget Sound</v>
      </c>
      <c r="P1059" s="80">
        <v>0</v>
      </c>
      <c r="Q1059" s="103">
        <v>0</v>
      </c>
      <c r="R1059" s="74">
        <f>VLOOKUP(B1059,Readme!A$40:C$52,3,)*Q1059</f>
        <v>0</v>
      </c>
    </row>
    <row r="1060" spans="1:18" ht="12" customHeight="1" x14ac:dyDescent="0.35">
      <c r="A1060" s="75">
        <v>1159</v>
      </c>
      <c r="B1060" s="80">
        <v>2013</v>
      </c>
      <c r="C1060" s="80">
        <v>6</v>
      </c>
      <c r="D1060" s="80">
        <f t="shared" si="59"/>
        <v>2013</v>
      </c>
      <c r="E1060" t="s">
        <v>38</v>
      </c>
      <c r="F1060" t="s">
        <v>143</v>
      </c>
      <c r="G1060" t="s">
        <v>86</v>
      </c>
      <c r="H1060" s="72" t="s">
        <v>219</v>
      </c>
      <c r="I1060" s="72" t="s">
        <v>259</v>
      </c>
      <c r="J1060" s="84" t="s">
        <v>61</v>
      </c>
      <c r="K1060" t="str">
        <f>IFERROR(VLOOKUP(J1060,LUTs!$A$1:$C$73,2,FALSE),"NA")</f>
        <v>Mason</v>
      </c>
      <c r="L1060" t="str">
        <f>IFERROR(VLOOKUP(J1060,LUTs!$A$1:$C$73,3,FALSE),"NA")</f>
        <v>4 Hood Canal</v>
      </c>
      <c r="M1060" s="72" t="s">
        <v>18</v>
      </c>
      <c r="N1060" t="str">
        <f>VLOOKUP(M1060,LUTs!E$2:H$14,3,)</f>
        <v>06King</v>
      </c>
      <c r="O1060" t="str">
        <f>VLOOKUP(M1060,LUTs!E$2:H$14,4,)</f>
        <v>02South Puget Sound</v>
      </c>
      <c r="P1060" s="80">
        <v>6</v>
      </c>
      <c r="Q1060" s="103">
        <v>0</v>
      </c>
      <c r="R1060" s="74">
        <f>VLOOKUP(B1060,Readme!A$40:C$52,3,)*Q1060</f>
        <v>0</v>
      </c>
    </row>
    <row r="1061" spans="1:18" ht="12" customHeight="1" x14ac:dyDescent="0.35">
      <c r="A1061" s="75">
        <v>1169</v>
      </c>
      <c r="B1061" s="80">
        <v>2013</v>
      </c>
      <c r="C1061" s="80">
        <v>6</v>
      </c>
      <c r="D1061" s="80">
        <f t="shared" si="59"/>
        <v>2013</v>
      </c>
      <c r="E1061" t="s">
        <v>38</v>
      </c>
      <c r="F1061" t="s">
        <v>143</v>
      </c>
      <c r="G1061" t="s">
        <v>86</v>
      </c>
      <c r="H1061" s="72" t="s">
        <v>220</v>
      </c>
      <c r="I1061" s="72" t="s">
        <v>62</v>
      </c>
      <c r="J1061" t="str">
        <f t="shared" ref="J1061:J1081" si="61">I1061</f>
        <v>Skykomish River</v>
      </c>
      <c r="K1061" t="str">
        <f>IFERROR(VLOOKUP(J1061,LUTs!$A$1:$C$73,2,FALSE),"NA")</f>
        <v>Snohomish</v>
      </c>
      <c r="L1061" t="str">
        <f>IFERROR(VLOOKUP(J1061,LUTs!$A$1:$C$73,3,FALSE),"NA")</f>
        <v>2Central Puget Sound</v>
      </c>
      <c r="M1061" s="72" t="s">
        <v>18</v>
      </c>
      <c r="N1061" t="str">
        <f>VLOOKUP(M1061,LUTs!E$2:H$14,3,)</f>
        <v>06King</v>
      </c>
      <c r="O1061" t="str">
        <f>VLOOKUP(M1061,LUTs!E$2:H$14,4,)</f>
        <v>02South Puget Sound</v>
      </c>
      <c r="P1061" s="80">
        <v>1585.92</v>
      </c>
      <c r="Q1061" s="103">
        <v>807.66</v>
      </c>
      <c r="R1061" s="74">
        <f>VLOOKUP(B1061,Readme!A$40:C$52,3,)*Q1061</f>
        <v>14982.093000000001</v>
      </c>
    </row>
    <row r="1062" spans="1:18" ht="12" customHeight="1" x14ac:dyDescent="0.35">
      <c r="A1062" s="75">
        <v>1170</v>
      </c>
      <c r="B1062" s="80">
        <v>2013</v>
      </c>
      <c r="C1062" s="80">
        <v>6</v>
      </c>
      <c r="D1062" s="80">
        <f t="shared" si="59"/>
        <v>2013</v>
      </c>
      <c r="E1062" t="s">
        <v>38</v>
      </c>
      <c r="F1062" t="s">
        <v>143</v>
      </c>
      <c r="G1062" t="s">
        <v>86</v>
      </c>
      <c r="H1062" s="72" t="s">
        <v>220</v>
      </c>
      <c r="I1062" s="72" t="s">
        <v>62</v>
      </c>
      <c r="J1062" t="str">
        <f t="shared" si="61"/>
        <v>Skykomish River</v>
      </c>
      <c r="K1062" t="str">
        <f>IFERROR(VLOOKUP(J1062,LUTs!$A$1:$C$73,2,FALSE),"NA")</f>
        <v>Snohomish</v>
      </c>
      <c r="L1062" t="str">
        <f>IFERROR(VLOOKUP(J1062,LUTs!$A$1:$C$73,3,FALSE),"NA")</f>
        <v>2Central Puget Sound</v>
      </c>
      <c r="M1062" s="72" t="s">
        <v>23</v>
      </c>
      <c r="N1062" t="str">
        <f>VLOOKUP(M1062,LUTs!E$2:H$14,3,)</f>
        <v>10Kitsap</v>
      </c>
      <c r="O1062" t="str">
        <f>VLOOKUP(M1062,LUTs!E$2:H$14,4,)</f>
        <v>02South Puget Sound</v>
      </c>
      <c r="P1062" s="80">
        <v>52.863999999999997</v>
      </c>
      <c r="Q1062" s="103">
        <v>26.922000000000001</v>
      </c>
      <c r="R1062" s="74">
        <f>VLOOKUP(B1062,Readme!A$40:C$52,3,)*Q1062</f>
        <v>499.40310000000005</v>
      </c>
    </row>
    <row r="1063" spans="1:18" ht="12" customHeight="1" x14ac:dyDescent="0.35">
      <c r="A1063" s="75">
        <v>1171</v>
      </c>
      <c r="B1063" s="80">
        <v>2013</v>
      </c>
      <c r="C1063" s="80">
        <v>6</v>
      </c>
      <c r="D1063" s="80">
        <f t="shared" si="59"/>
        <v>2013</v>
      </c>
      <c r="E1063" t="s">
        <v>38</v>
      </c>
      <c r="F1063" t="s">
        <v>143</v>
      </c>
      <c r="G1063" t="s">
        <v>86</v>
      </c>
      <c r="H1063" s="72" t="s">
        <v>220</v>
      </c>
      <c r="I1063" s="72" t="s">
        <v>62</v>
      </c>
      <c r="J1063" t="str">
        <f t="shared" si="61"/>
        <v>Skykomish River</v>
      </c>
      <c r="K1063" t="str">
        <f>IFERROR(VLOOKUP(J1063,LUTs!$A$1:$C$73,2,FALSE),"NA")</f>
        <v>Snohomish</v>
      </c>
      <c r="L1063" t="str">
        <f>IFERROR(VLOOKUP(J1063,LUTs!$A$1:$C$73,3,FALSE),"NA")</f>
        <v>2Central Puget Sound</v>
      </c>
      <c r="M1063" s="72" t="s">
        <v>26</v>
      </c>
      <c r="N1063" t="str">
        <f>VLOOKUP(M1063,LUTs!E$2:H$14,3,)</f>
        <v>20Other</v>
      </c>
      <c r="O1063" t="str">
        <f>VLOOKUP(M1063,LUTs!E$2:H$14,4,)</f>
        <v>07Non Puget Sound</v>
      </c>
      <c r="P1063" s="80">
        <v>105.72799999999999</v>
      </c>
      <c r="Q1063" s="103">
        <v>53.844000000000001</v>
      </c>
      <c r="R1063" s="74">
        <f>VLOOKUP(B1063,Readme!A$40:C$52,3,)*Q1063</f>
        <v>998.8062000000001</v>
      </c>
    </row>
    <row r="1064" spans="1:18" ht="12" customHeight="1" x14ac:dyDescent="0.35">
      <c r="A1064" s="75">
        <v>1172</v>
      </c>
      <c r="B1064" s="80">
        <v>2013</v>
      </c>
      <c r="C1064" s="80">
        <v>6</v>
      </c>
      <c r="D1064" s="80">
        <f t="shared" si="59"/>
        <v>2013</v>
      </c>
      <c r="E1064" t="s">
        <v>38</v>
      </c>
      <c r="F1064" t="s">
        <v>143</v>
      </c>
      <c r="G1064" t="s">
        <v>86</v>
      </c>
      <c r="H1064" s="72" t="s">
        <v>220</v>
      </c>
      <c r="I1064" s="72" t="s">
        <v>62</v>
      </c>
      <c r="J1064" t="str">
        <f t="shared" si="61"/>
        <v>Skykomish River</v>
      </c>
      <c r="K1064" t="str">
        <f>IFERROR(VLOOKUP(J1064,LUTs!$A$1:$C$73,2,FALSE),"NA")</f>
        <v>Snohomish</v>
      </c>
      <c r="L1064" t="str">
        <f>IFERROR(VLOOKUP(J1064,LUTs!$A$1:$C$73,3,FALSE),"NA")</f>
        <v>2Central Puget Sound</v>
      </c>
      <c r="M1064" s="72" t="s">
        <v>20</v>
      </c>
      <c r="N1064" t="str">
        <f>VLOOKUP(M1064,LUTs!E$2:H$14,3,)</f>
        <v>07Pierce</v>
      </c>
      <c r="O1064" t="str">
        <f>VLOOKUP(M1064,LUTs!E$2:H$14,4,)</f>
        <v>02South Puget Sound</v>
      </c>
      <c r="P1064" s="80">
        <v>75.52</v>
      </c>
      <c r="Q1064" s="103">
        <v>38.46</v>
      </c>
      <c r="R1064" s="74">
        <f>VLOOKUP(B1064,Readme!A$40:C$52,3,)*Q1064</f>
        <v>713.43299999999999</v>
      </c>
    </row>
    <row r="1065" spans="1:18" ht="12" customHeight="1" x14ac:dyDescent="0.35">
      <c r="A1065" s="75">
        <v>1173</v>
      </c>
      <c r="B1065" s="80">
        <v>2013</v>
      </c>
      <c r="C1065" s="80">
        <v>6</v>
      </c>
      <c r="D1065" s="80">
        <f t="shared" si="59"/>
        <v>2013</v>
      </c>
      <c r="E1065" t="s">
        <v>38</v>
      </c>
      <c r="F1065" t="s">
        <v>143</v>
      </c>
      <c r="G1065" t="s">
        <v>86</v>
      </c>
      <c r="H1065" s="72" t="s">
        <v>220</v>
      </c>
      <c r="I1065" s="72" t="s">
        <v>62</v>
      </c>
      <c r="J1065" t="str">
        <f t="shared" si="61"/>
        <v>Skykomish River</v>
      </c>
      <c r="K1065" t="str">
        <f>IFERROR(VLOOKUP(J1065,LUTs!$A$1:$C$73,2,FALSE),"NA")</f>
        <v>Snohomish</v>
      </c>
      <c r="L1065" t="str">
        <f>IFERROR(VLOOKUP(J1065,LUTs!$A$1:$C$73,3,FALSE),"NA")</f>
        <v>2Central Puget Sound</v>
      </c>
      <c r="M1065" s="72" t="s">
        <v>15</v>
      </c>
      <c r="N1065" t="str">
        <f>VLOOKUP(M1065,LUTs!E$2:H$14,3,)</f>
        <v>02Skagit</v>
      </c>
      <c r="O1065" t="str">
        <f>VLOOKUP(M1065,LUTs!E$2:H$14,4,)</f>
        <v>01North Puget Sound</v>
      </c>
      <c r="P1065" s="80">
        <v>30.207999999999998</v>
      </c>
      <c r="Q1065" s="103">
        <v>15.384</v>
      </c>
      <c r="R1065" s="74">
        <f>VLOOKUP(B1065,Readme!A$40:C$52,3,)*Q1065</f>
        <v>285.3732</v>
      </c>
    </row>
    <row r="1066" spans="1:18" ht="12" customHeight="1" x14ac:dyDescent="0.35">
      <c r="A1066" s="75">
        <v>1174</v>
      </c>
      <c r="B1066" s="80">
        <v>2013</v>
      </c>
      <c r="C1066" s="80">
        <v>6</v>
      </c>
      <c r="D1066" s="80">
        <f t="shared" si="59"/>
        <v>2013</v>
      </c>
      <c r="E1066" t="s">
        <v>38</v>
      </c>
      <c r="F1066" t="s">
        <v>143</v>
      </c>
      <c r="G1066" t="s">
        <v>86</v>
      </c>
      <c r="H1066" s="72" t="s">
        <v>220</v>
      </c>
      <c r="I1066" s="72" t="s">
        <v>62</v>
      </c>
      <c r="J1066" t="str">
        <f t="shared" si="61"/>
        <v>Skykomish River</v>
      </c>
      <c r="K1066" t="str">
        <f>IFERROR(VLOOKUP(J1066,LUTs!$A$1:$C$73,2,FALSE),"NA")</f>
        <v>Snohomish</v>
      </c>
      <c r="L1066" t="str">
        <f>IFERROR(VLOOKUP(J1066,LUTs!$A$1:$C$73,3,FALSE),"NA")</f>
        <v>2Central Puget Sound</v>
      </c>
      <c r="M1066" s="72" t="s">
        <v>16</v>
      </c>
      <c r="N1066" t="str">
        <f>VLOOKUP(M1066,LUTs!E$2:H$14,3,)</f>
        <v>03Snohomish</v>
      </c>
      <c r="O1066" t="str">
        <f>VLOOKUP(M1066,LUTs!E$2:H$14,4,)</f>
        <v>01North Puget Sound</v>
      </c>
      <c r="P1066" s="80">
        <v>1880.4480000000001</v>
      </c>
      <c r="Q1066" s="103">
        <v>957.654</v>
      </c>
      <c r="R1066" s="74">
        <f>VLOOKUP(B1066,Readme!A$40:C$52,3,)*Q1066</f>
        <v>17764.4817</v>
      </c>
    </row>
    <row r="1067" spans="1:18" ht="12" customHeight="1" x14ac:dyDescent="0.35">
      <c r="A1067" s="75">
        <v>1175</v>
      </c>
      <c r="B1067" s="80">
        <v>2013</v>
      </c>
      <c r="C1067" s="80">
        <v>6</v>
      </c>
      <c r="D1067" s="80">
        <f t="shared" si="59"/>
        <v>2013</v>
      </c>
      <c r="E1067" t="s">
        <v>38</v>
      </c>
      <c r="F1067" t="s">
        <v>143</v>
      </c>
      <c r="G1067" t="s">
        <v>86</v>
      </c>
      <c r="H1067" s="72" t="s">
        <v>220</v>
      </c>
      <c r="I1067" s="72" t="s">
        <v>62</v>
      </c>
      <c r="J1067" t="str">
        <f t="shared" si="61"/>
        <v>Skykomish River</v>
      </c>
      <c r="K1067" t="str">
        <f>IFERROR(VLOOKUP(J1067,LUTs!$A$1:$C$73,2,FALSE),"NA")</f>
        <v>Snohomish</v>
      </c>
      <c r="L1067" t="str">
        <f>IFERROR(VLOOKUP(J1067,LUTs!$A$1:$C$73,3,FALSE),"NA")</f>
        <v>2Central Puget Sound</v>
      </c>
      <c r="M1067" s="72" t="s">
        <v>21</v>
      </c>
      <c r="N1067" t="str">
        <f>VLOOKUP(M1067,LUTs!E$2:H$14,3,)</f>
        <v>08Thurston</v>
      </c>
      <c r="O1067" t="str">
        <f>VLOOKUP(M1067,LUTs!E$2:H$14,4,)</f>
        <v>02South Puget Sound</v>
      </c>
      <c r="P1067" s="80">
        <v>45.311999999999998</v>
      </c>
      <c r="Q1067" s="103">
        <v>23.076000000000001</v>
      </c>
      <c r="R1067" s="74">
        <f>VLOOKUP(B1067,Readme!A$40:C$52,3,)*Q1067</f>
        <v>428.05980000000005</v>
      </c>
    </row>
    <row r="1068" spans="1:18" ht="12" customHeight="1" x14ac:dyDescent="0.35">
      <c r="A1068" s="75">
        <v>1213</v>
      </c>
      <c r="B1068" s="80">
        <v>2013</v>
      </c>
      <c r="C1068" s="80">
        <v>6</v>
      </c>
      <c r="D1068" s="80">
        <f t="shared" si="59"/>
        <v>2013</v>
      </c>
      <c r="E1068" t="s">
        <v>38</v>
      </c>
      <c r="F1068" t="s">
        <v>143</v>
      </c>
      <c r="G1068" t="s">
        <v>86</v>
      </c>
      <c r="H1068" s="72" t="s">
        <v>247</v>
      </c>
      <c r="I1068" s="72" t="s">
        <v>98</v>
      </c>
      <c r="J1068" t="str">
        <f t="shared" si="61"/>
        <v>Skykomish River, No. Fork</v>
      </c>
      <c r="K1068" t="str">
        <f>IFERROR(VLOOKUP(J1068,LUTs!$A$1:$C$73,2,FALSE),"NA")</f>
        <v>Snohomish</v>
      </c>
      <c r="L1068" t="str">
        <f>IFERROR(VLOOKUP(J1068,LUTs!$A$1:$C$73,3,FALSE),"NA")</f>
        <v>2Central Puget Sound</v>
      </c>
      <c r="M1068" s="72" t="s">
        <v>18</v>
      </c>
      <c r="N1068" t="str">
        <f>VLOOKUP(M1068,LUTs!E$2:H$14,3,)</f>
        <v>06King</v>
      </c>
      <c r="O1068" t="str">
        <f>VLOOKUP(M1068,LUTs!E$2:H$14,4,)</f>
        <v>02South Puget Sound</v>
      </c>
      <c r="P1068" s="80">
        <v>22.615384615384599</v>
      </c>
      <c r="Q1068" s="103">
        <v>11.307692307692299</v>
      </c>
      <c r="R1068" s="74">
        <f>VLOOKUP(B1068,Readme!A$40:C$52,3,)*Q1068</f>
        <v>209.75769230769217</v>
      </c>
    </row>
    <row r="1069" spans="1:18" ht="12" customHeight="1" x14ac:dyDescent="0.35">
      <c r="A1069" s="75">
        <v>1214</v>
      </c>
      <c r="B1069" s="80">
        <v>2013</v>
      </c>
      <c r="C1069" s="80">
        <v>6</v>
      </c>
      <c r="D1069" s="80">
        <f t="shared" si="59"/>
        <v>2013</v>
      </c>
      <c r="E1069" t="s">
        <v>38</v>
      </c>
      <c r="F1069" t="s">
        <v>143</v>
      </c>
      <c r="G1069" t="s">
        <v>86</v>
      </c>
      <c r="H1069" s="72" t="s">
        <v>247</v>
      </c>
      <c r="I1069" s="72" t="s">
        <v>98</v>
      </c>
      <c r="J1069" t="str">
        <f t="shared" si="61"/>
        <v>Skykomish River, No. Fork</v>
      </c>
      <c r="K1069" t="str">
        <f>IFERROR(VLOOKUP(J1069,LUTs!$A$1:$C$73,2,FALSE),"NA")</f>
        <v>Snohomish</v>
      </c>
      <c r="L1069" t="str">
        <f>IFERROR(VLOOKUP(J1069,LUTs!$A$1:$C$73,3,FALSE),"NA")</f>
        <v>2Central Puget Sound</v>
      </c>
      <c r="M1069" s="72" t="s">
        <v>26</v>
      </c>
      <c r="N1069" t="str">
        <f>VLOOKUP(M1069,LUTs!E$2:H$14,3,)</f>
        <v>20Other</v>
      </c>
      <c r="O1069" t="str">
        <f>VLOOKUP(M1069,LUTs!E$2:H$14,4,)</f>
        <v>07Non Puget Sound</v>
      </c>
      <c r="P1069" s="80">
        <v>15.0769230769231</v>
      </c>
      <c r="Q1069" s="103">
        <v>7.5384615384615401</v>
      </c>
      <c r="R1069" s="74">
        <f>VLOOKUP(B1069,Readme!A$40:C$52,3,)*Q1069</f>
        <v>139.83846153846159</v>
      </c>
    </row>
    <row r="1070" spans="1:18" ht="12" customHeight="1" x14ac:dyDescent="0.35">
      <c r="A1070" s="75">
        <v>1215</v>
      </c>
      <c r="B1070" s="80">
        <v>2013</v>
      </c>
      <c r="C1070" s="80">
        <v>6</v>
      </c>
      <c r="D1070" s="80">
        <f t="shared" si="59"/>
        <v>2013</v>
      </c>
      <c r="E1070" t="s">
        <v>38</v>
      </c>
      <c r="F1070" t="s">
        <v>143</v>
      </c>
      <c r="G1070" t="s">
        <v>86</v>
      </c>
      <c r="H1070" s="72" t="s">
        <v>247</v>
      </c>
      <c r="I1070" s="72" t="s">
        <v>98</v>
      </c>
      <c r="J1070" t="str">
        <f t="shared" si="61"/>
        <v>Skykomish River, No. Fork</v>
      </c>
      <c r="K1070" t="str">
        <f>IFERROR(VLOOKUP(J1070,LUTs!$A$1:$C$73,2,FALSE),"NA")</f>
        <v>Snohomish</v>
      </c>
      <c r="L1070" t="str">
        <f>IFERROR(VLOOKUP(J1070,LUTs!$A$1:$C$73,3,FALSE),"NA")</f>
        <v>2Central Puget Sound</v>
      </c>
      <c r="M1070" s="72" t="s">
        <v>16</v>
      </c>
      <c r="N1070" t="str">
        <f>VLOOKUP(M1070,LUTs!E$2:H$14,3,)</f>
        <v>03Snohomish</v>
      </c>
      <c r="O1070" t="str">
        <f>VLOOKUP(M1070,LUTs!E$2:H$14,4,)</f>
        <v>01North Puget Sound</v>
      </c>
      <c r="P1070" s="80">
        <v>60.307692307692299</v>
      </c>
      <c r="Q1070" s="103">
        <v>30.153846153846199</v>
      </c>
      <c r="R1070" s="74">
        <f>VLOOKUP(B1070,Readme!A$40:C$52,3,)*Q1070</f>
        <v>559.35384615384703</v>
      </c>
    </row>
    <row r="1071" spans="1:18" ht="12" customHeight="1" x14ac:dyDescent="0.35">
      <c r="A1071" s="75">
        <v>1225</v>
      </c>
      <c r="B1071" s="80">
        <v>2013</v>
      </c>
      <c r="C1071" s="80">
        <v>6</v>
      </c>
      <c r="D1071" s="80">
        <f t="shared" si="59"/>
        <v>2013</v>
      </c>
      <c r="E1071" t="s">
        <v>38</v>
      </c>
      <c r="F1071" t="s">
        <v>143</v>
      </c>
      <c r="G1071" t="s">
        <v>86</v>
      </c>
      <c r="H1071" s="72" t="s">
        <v>248</v>
      </c>
      <c r="I1071" s="72" t="s">
        <v>99</v>
      </c>
      <c r="J1071" t="str">
        <f t="shared" si="61"/>
        <v>Skykomish River, So. Fork</v>
      </c>
      <c r="K1071" t="str">
        <f>IFERROR(VLOOKUP(J1071,LUTs!$A$1:$C$73,2,FALSE),"NA")</f>
        <v>Snohomish/King</v>
      </c>
      <c r="L1071" t="str">
        <f>IFERROR(VLOOKUP(J1071,LUTs!$A$1:$C$73,3,FALSE),"NA")</f>
        <v>2Central Puget Sound</v>
      </c>
      <c r="M1071" s="72" t="s">
        <v>21</v>
      </c>
      <c r="N1071" t="str">
        <f>VLOOKUP(M1071,LUTs!E$2:H$14,3,)</f>
        <v>08Thurston</v>
      </c>
      <c r="O1071" t="str">
        <f>VLOOKUP(M1071,LUTs!E$2:H$14,4,)</f>
        <v>02South Puget Sound</v>
      </c>
      <c r="P1071" s="80">
        <v>8</v>
      </c>
      <c r="Q1071" s="103">
        <v>4</v>
      </c>
      <c r="R1071" s="74">
        <f>VLOOKUP(B1071,Readme!A$40:C$52,3,)*Q1071</f>
        <v>74.2</v>
      </c>
    </row>
    <row r="1072" spans="1:18" ht="12" customHeight="1" x14ac:dyDescent="0.35">
      <c r="A1072" s="75">
        <v>1230</v>
      </c>
      <c r="B1072" s="80">
        <v>2013</v>
      </c>
      <c r="C1072" s="80">
        <v>6</v>
      </c>
      <c r="D1072" s="80">
        <f t="shared" si="59"/>
        <v>2013</v>
      </c>
      <c r="E1072" t="s">
        <v>38</v>
      </c>
      <c r="F1072" t="s">
        <v>143</v>
      </c>
      <c r="G1072" t="s">
        <v>86</v>
      </c>
      <c r="H1072" s="72" t="s">
        <v>221</v>
      </c>
      <c r="I1072" s="72" t="s">
        <v>63</v>
      </c>
      <c r="J1072" t="str">
        <f t="shared" si="61"/>
        <v>Snohomish River</v>
      </c>
      <c r="K1072" t="str">
        <f>IFERROR(VLOOKUP(J1072,LUTs!$A$1:$C$73,2,FALSE),"NA")</f>
        <v>Snohomish</v>
      </c>
      <c r="L1072" t="str">
        <f>IFERROR(VLOOKUP(J1072,LUTs!$A$1:$C$73,3,FALSE),"NA")</f>
        <v>2Central Puget Sound</v>
      </c>
      <c r="M1072" s="72" t="s">
        <v>18</v>
      </c>
      <c r="N1072" t="str">
        <f>VLOOKUP(M1072,LUTs!E$2:H$14,3,)</f>
        <v>06King</v>
      </c>
      <c r="O1072" t="str">
        <f>VLOOKUP(M1072,LUTs!E$2:H$14,4,)</f>
        <v>02South Puget Sound</v>
      </c>
      <c r="P1072" s="80">
        <v>15.068493150684899</v>
      </c>
      <c r="Q1072" s="103">
        <v>7.6438356164383601</v>
      </c>
      <c r="R1072" s="74">
        <f>VLOOKUP(B1072,Readme!A$40:C$52,3,)*Q1072</f>
        <v>141.79315068493159</v>
      </c>
    </row>
    <row r="1073" spans="1:18" ht="12" customHeight="1" x14ac:dyDescent="0.35">
      <c r="A1073" s="75">
        <v>1231</v>
      </c>
      <c r="B1073" s="80">
        <v>2013</v>
      </c>
      <c r="C1073" s="80">
        <v>6</v>
      </c>
      <c r="D1073" s="80">
        <f t="shared" si="59"/>
        <v>2013</v>
      </c>
      <c r="E1073" t="s">
        <v>38</v>
      </c>
      <c r="F1073" t="s">
        <v>143</v>
      </c>
      <c r="G1073" t="s">
        <v>86</v>
      </c>
      <c r="H1073" s="72" t="s">
        <v>221</v>
      </c>
      <c r="I1073" s="72" t="s">
        <v>63</v>
      </c>
      <c r="J1073" t="str">
        <f t="shared" si="61"/>
        <v>Snohomish River</v>
      </c>
      <c r="K1073" t="str">
        <f>IFERROR(VLOOKUP(J1073,LUTs!$A$1:$C$73,2,FALSE),"NA")</f>
        <v>Snohomish</v>
      </c>
      <c r="L1073" t="str">
        <f>IFERROR(VLOOKUP(J1073,LUTs!$A$1:$C$73,3,FALSE),"NA")</f>
        <v>2Central Puget Sound</v>
      </c>
      <c r="M1073" s="72" t="s">
        <v>16</v>
      </c>
      <c r="N1073" t="str">
        <f>VLOOKUP(M1073,LUTs!E$2:H$14,3,)</f>
        <v>03Snohomish</v>
      </c>
      <c r="O1073" t="str">
        <f>VLOOKUP(M1073,LUTs!E$2:H$14,4,)</f>
        <v>01North Puget Sound</v>
      </c>
      <c r="P1073" s="80">
        <v>534.93150684931504</v>
      </c>
      <c r="Q1073" s="103">
        <v>271.35616438356197</v>
      </c>
      <c r="R1073" s="74">
        <f>VLOOKUP(B1073,Readme!A$40:C$52,3,)*Q1073</f>
        <v>5033.6568493150744</v>
      </c>
    </row>
    <row r="1074" spans="1:18" ht="12" customHeight="1" x14ac:dyDescent="0.35">
      <c r="A1074" s="75">
        <v>1247</v>
      </c>
      <c r="B1074" s="80">
        <v>2013</v>
      </c>
      <c r="C1074" s="80">
        <v>6</v>
      </c>
      <c r="D1074" s="80">
        <f t="shared" si="59"/>
        <v>2013</v>
      </c>
      <c r="E1074" t="s">
        <v>38</v>
      </c>
      <c r="F1074" t="s">
        <v>143</v>
      </c>
      <c r="G1074" t="s">
        <v>86</v>
      </c>
      <c r="H1074" s="72" t="s">
        <v>222</v>
      </c>
      <c r="I1074" s="72" t="s">
        <v>64</v>
      </c>
      <c r="J1074" t="str">
        <f t="shared" si="61"/>
        <v>Snoqualmie River</v>
      </c>
      <c r="K1074" t="str">
        <f>IFERROR(VLOOKUP(J1074,LUTs!$A$1:$C$73,2,FALSE),"NA")</f>
        <v>Snohomish/King</v>
      </c>
      <c r="L1074" t="str">
        <f>IFERROR(VLOOKUP(J1074,LUTs!$A$1:$C$73,3,FALSE),"NA")</f>
        <v>2Central Puget Sound</v>
      </c>
      <c r="M1074" s="72" t="s">
        <v>18</v>
      </c>
      <c r="N1074" t="str">
        <f>VLOOKUP(M1074,LUTs!E$2:H$14,3,)</f>
        <v>06King</v>
      </c>
      <c r="O1074" t="str">
        <f>VLOOKUP(M1074,LUTs!E$2:H$14,4,)</f>
        <v>02South Puget Sound</v>
      </c>
      <c r="P1074" s="80">
        <v>38.3333333333333</v>
      </c>
      <c r="Q1074" s="103">
        <v>19.1666666666667</v>
      </c>
      <c r="R1074" s="74">
        <f>VLOOKUP(B1074,Readme!A$40:C$52,3,)*Q1074</f>
        <v>355.54166666666731</v>
      </c>
    </row>
    <row r="1075" spans="1:18" ht="12" customHeight="1" x14ac:dyDescent="0.35">
      <c r="A1075" s="75">
        <v>1248</v>
      </c>
      <c r="B1075" s="80">
        <v>2013</v>
      </c>
      <c r="C1075" s="80">
        <v>6</v>
      </c>
      <c r="D1075" s="80">
        <f t="shared" si="59"/>
        <v>2013</v>
      </c>
      <c r="E1075" t="s">
        <v>38</v>
      </c>
      <c r="F1075" t="s">
        <v>143</v>
      </c>
      <c r="G1075" t="s">
        <v>86</v>
      </c>
      <c r="H1075" s="72" t="s">
        <v>222</v>
      </c>
      <c r="I1075" s="72" t="s">
        <v>64</v>
      </c>
      <c r="J1075" t="str">
        <f t="shared" si="61"/>
        <v>Snoqualmie River</v>
      </c>
      <c r="K1075" t="str">
        <f>IFERROR(VLOOKUP(J1075,LUTs!$A$1:$C$73,2,FALSE),"NA")</f>
        <v>Snohomish/King</v>
      </c>
      <c r="L1075" t="str">
        <f>IFERROR(VLOOKUP(J1075,LUTs!$A$1:$C$73,3,FALSE),"NA")</f>
        <v>2Central Puget Sound</v>
      </c>
      <c r="M1075" s="72" t="s">
        <v>16</v>
      </c>
      <c r="N1075" t="str">
        <f>VLOOKUP(M1075,LUTs!E$2:H$14,3,)</f>
        <v>03Snohomish</v>
      </c>
      <c r="O1075" t="str">
        <f>VLOOKUP(M1075,LUTs!E$2:H$14,4,)</f>
        <v>01North Puget Sound</v>
      </c>
      <c r="P1075" s="80">
        <v>7.6666666666666696</v>
      </c>
      <c r="Q1075" s="103">
        <v>3.8333333333333299</v>
      </c>
      <c r="R1075" s="74">
        <f>VLOOKUP(B1075,Readme!A$40:C$52,3,)*Q1075</f>
        <v>71.108333333333277</v>
      </c>
    </row>
    <row r="1076" spans="1:18" ht="12" customHeight="1" x14ac:dyDescent="0.35">
      <c r="A1076" s="75">
        <v>1078</v>
      </c>
      <c r="B1076" s="80">
        <v>2013</v>
      </c>
      <c r="C1076" s="80">
        <v>6</v>
      </c>
      <c r="D1076" s="80">
        <f t="shared" si="59"/>
        <v>2013</v>
      </c>
      <c r="E1076" t="s">
        <v>38</v>
      </c>
      <c r="F1076" t="s">
        <v>143</v>
      </c>
      <c r="G1076" t="s">
        <v>86</v>
      </c>
      <c r="H1076" s="72" t="s">
        <v>236</v>
      </c>
      <c r="I1076" s="72" t="s">
        <v>90</v>
      </c>
      <c r="J1076" t="str">
        <f t="shared" si="61"/>
        <v>Soos Creek</v>
      </c>
      <c r="K1076" t="str">
        <f>IFERROR(VLOOKUP(J1076,LUTs!$A$1:$C$73,2,FALSE),"NA")</f>
        <v>King</v>
      </c>
      <c r="L1076" t="str">
        <f>IFERROR(VLOOKUP(J1076,LUTs!$A$1:$C$73,3,FALSE),"NA")</f>
        <v>3South Puget Sound</v>
      </c>
      <c r="M1076" s="72" t="s">
        <v>18</v>
      </c>
      <c r="N1076" t="str">
        <f>VLOOKUP(M1076,LUTs!E$2:H$14,3,)</f>
        <v>06King</v>
      </c>
      <c r="O1076" t="str">
        <f>VLOOKUP(M1076,LUTs!E$2:H$14,4,)</f>
        <v>02South Puget Sound</v>
      </c>
      <c r="P1076" s="80">
        <v>17.3333333333333</v>
      </c>
      <c r="Q1076" s="103">
        <v>8.6666666666666696</v>
      </c>
      <c r="R1076" s="74">
        <f>VLOOKUP(B1076,Readme!A$40:C$52,3,)*Q1076</f>
        <v>160.76666666666674</v>
      </c>
    </row>
    <row r="1077" spans="1:18" ht="12" customHeight="1" x14ac:dyDescent="0.35">
      <c r="A1077" s="75">
        <v>1079</v>
      </c>
      <c r="B1077" s="80">
        <v>2013</v>
      </c>
      <c r="C1077" s="80">
        <v>6</v>
      </c>
      <c r="D1077" s="80">
        <f t="shared" si="59"/>
        <v>2013</v>
      </c>
      <c r="E1077" t="s">
        <v>38</v>
      </c>
      <c r="F1077" t="s">
        <v>143</v>
      </c>
      <c r="G1077" t="s">
        <v>86</v>
      </c>
      <c r="H1077" s="72" t="s">
        <v>236</v>
      </c>
      <c r="I1077" s="72" t="s">
        <v>90</v>
      </c>
      <c r="J1077" t="str">
        <f t="shared" si="61"/>
        <v>Soos Creek</v>
      </c>
      <c r="K1077" t="str">
        <f>IFERROR(VLOOKUP(J1077,LUTs!$A$1:$C$73,2,FALSE),"NA")</f>
        <v>King</v>
      </c>
      <c r="L1077" t="str">
        <f>IFERROR(VLOOKUP(J1077,LUTs!$A$1:$C$73,3,FALSE),"NA")</f>
        <v>3South Puget Sound</v>
      </c>
      <c r="M1077" s="72" t="s">
        <v>20</v>
      </c>
      <c r="N1077" t="str">
        <f>VLOOKUP(M1077,LUTs!E$2:H$14,3,)</f>
        <v>07Pierce</v>
      </c>
      <c r="O1077" t="str">
        <f>VLOOKUP(M1077,LUTs!E$2:H$14,4,)</f>
        <v>02South Puget Sound</v>
      </c>
      <c r="P1077" s="80">
        <v>8.6666666666666696</v>
      </c>
      <c r="Q1077" s="103">
        <v>4.3333333333333304</v>
      </c>
      <c r="R1077" s="74">
        <f>VLOOKUP(B1077,Readme!A$40:C$52,3,)*Q1077</f>
        <v>80.383333333333283</v>
      </c>
    </row>
    <row r="1078" spans="1:18" ht="12" customHeight="1" x14ac:dyDescent="0.35">
      <c r="A1078" s="75">
        <v>1289</v>
      </c>
      <c r="B1078" s="80">
        <v>2013</v>
      </c>
      <c r="C1078" s="80">
        <v>6</v>
      </c>
      <c r="D1078" s="80">
        <f t="shared" si="59"/>
        <v>2013</v>
      </c>
      <c r="E1078" t="s">
        <v>38</v>
      </c>
      <c r="F1078" t="s">
        <v>143</v>
      </c>
      <c r="G1078" t="s">
        <v>86</v>
      </c>
      <c r="H1078" s="72" t="s">
        <v>223</v>
      </c>
      <c r="I1078" s="72" t="s">
        <v>103</v>
      </c>
      <c r="J1078" t="str">
        <f t="shared" si="61"/>
        <v>Stillaguamish R, No. Fork</v>
      </c>
      <c r="K1078" t="str">
        <f>IFERROR(VLOOKUP(J1078,LUTs!$A$1:$C$73,2,FALSE),"NA")</f>
        <v>Snohomish</v>
      </c>
      <c r="L1078" t="str">
        <f>IFERROR(VLOOKUP(J1078,LUTs!$A$1:$C$73,3,FALSE),"NA")</f>
        <v>2Central Puget Sound</v>
      </c>
      <c r="M1078" s="72" t="s">
        <v>18</v>
      </c>
      <c r="N1078" t="str">
        <f>VLOOKUP(M1078,LUTs!E$2:H$14,3,)</f>
        <v>06King</v>
      </c>
      <c r="O1078" t="str">
        <f>VLOOKUP(M1078,LUTs!E$2:H$14,4,)</f>
        <v>02South Puget Sound</v>
      </c>
      <c r="P1078" s="80">
        <v>18.6666666666667</v>
      </c>
      <c r="Q1078" s="103">
        <v>9.3333333333333304</v>
      </c>
      <c r="R1078" s="74">
        <f>VLOOKUP(B1078,Readme!A$40:C$52,3,)*Q1078</f>
        <v>173.1333333333333</v>
      </c>
    </row>
    <row r="1079" spans="1:18" ht="12" customHeight="1" x14ac:dyDescent="0.35">
      <c r="A1079" s="75">
        <v>1290</v>
      </c>
      <c r="B1079" s="80">
        <v>2013</v>
      </c>
      <c r="C1079" s="80">
        <v>6</v>
      </c>
      <c r="D1079" s="80">
        <f t="shared" si="59"/>
        <v>2013</v>
      </c>
      <c r="E1079" t="s">
        <v>38</v>
      </c>
      <c r="F1079" t="s">
        <v>143</v>
      </c>
      <c r="G1079" t="s">
        <v>86</v>
      </c>
      <c r="H1079" s="72" t="s">
        <v>223</v>
      </c>
      <c r="I1079" s="72" t="s">
        <v>103</v>
      </c>
      <c r="J1079" t="str">
        <f t="shared" si="61"/>
        <v>Stillaguamish R, No. Fork</v>
      </c>
      <c r="K1079" t="str">
        <f>IFERROR(VLOOKUP(J1079,LUTs!$A$1:$C$73,2,FALSE),"NA")</f>
        <v>Snohomish</v>
      </c>
      <c r="L1079" t="str">
        <f>IFERROR(VLOOKUP(J1079,LUTs!$A$1:$C$73,3,FALSE),"NA")</f>
        <v>2Central Puget Sound</v>
      </c>
      <c r="M1079" s="72" t="s">
        <v>13</v>
      </c>
      <c r="N1079" t="str">
        <f>VLOOKUP(M1079,LUTs!E$2:H$14,3,)</f>
        <v>01Whatcom</v>
      </c>
      <c r="O1079" t="str">
        <f>VLOOKUP(M1079,LUTs!E$2:H$14,4,)</f>
        <v>01North Puget Sound</v>
      </c>
      <c r="P1079" s="80">
        <v>9.3333333333333304</v>
      </c>
      <c r="Q1079" s="103">
        <v>4.6666666666666696</v>
      </c>
      <c r="R1079" s="74">
        <f>VLOOKUP(B1079,Readme!A$40:C$52,3,)*Q1079</f>
        <v>86.56666666666672</v>
      </c>
    </row>
    <row r="1080" spans="1:18" ht="12" customHeight="1" x14ac:dyDescent="0.35">
      <c r="A1080" s="75">
        <v>1306</v>
      </c>
      <c r="B1080" s="80">
        <v>2013</v>
      </c>
      <c r="C1080" s="80">
        <v>6</v>
      </c>
      <c r="D1080" s="80">
        <f t="shared" si="59"/>
        <v>2013</v>
      </c>
      <c r="E1080" t="s">
        <v>38</v>
      </c>
      <c r="F1080" t="s">
        <v>143</v>
      </c>
      <c r="G1080" t="s">
        <v>86</v>
      </c>
      <c r="H1080" s="72" t="s">
        <v>253</v>
      </c>
      <c r="I1080" s="72" t="s">
        <v>65</v>
      </c>
      <c r="J1080" t="str">
        <f t="shared" si="61"/>
        <v>Stillaguamish River</v>
      </c>
      <c r="K1080" t="str">
        <f>IFERROR(VLOOKUP(J1080,LUTs!$A$1:$C$73,2,FALSE),"NA")</f>
        <v>Snohomish</v>
      </c>
      <c r="L1080" t="str">
        <f>IFERROR(VLOOKUP(J1080,LUTs!$A$1:$C$73,3,FALSE),"NA")</f>
        <v>2Central Puget Sound</v>
      </c>
      <c r="M1080" s="72" t="s">
        <v>16</v>
      </c>
      <c r="N1080" t="str">
        <f>VLOOKUP(M1080,LUTs!E$2:H$14,3,)</f>
        <v>03Snohomish</v>
      </c>
      <c r="O1080" t="str">
        <f>VLOOKUP(M1080,LUTs!E$2:H$14,4,)</f>
        <v>01North Puget Sound</v>
      </c>
      <c r="P1080" s="80">
        <v>18</v>
      </c>
      <c r="Q1080" s="103">
        <v>9</v>
      </c>
      <c r="R1080" s="74">
        <f>VLOOKUP(B1080,Readme!A$40:C$52,3,)*Q1080</f>
        <v>166.95000000000002</v>
      </c>
    </row>
    <row r="1081" spans="1:18" ht="12" customHeight="1" x14ac:dyDescent="0.35">
      <c r="A1081" s="75">
        <v>1049</v>
      </c>
      <c r="B1081" s="80">
        <v>2013</v>
      </c>
      <c r="C1081" s="80">
        <v>7</v>
      </c>
      <c r="D1081" s="80">
        <f t="shared" si="59"/>
        <v>2013</v>
      </c>
      <c r="E1081" t="s">
        <v>38</v>
      </c>
      <c r="F1081" t="s">
        <v>143</v>
      </c>
      <c r="G1081" t="s">
        <v>86</v>
      </c>
      <c r="H1081" s="72" t="s">
        <v>201</v>
      </c>
      <c r="I1081" s="72" t="s">
        <v>43</v>
      </c>
      <c r="J1081" t="str">
        <f t="shared" si="61"/>
        <v>Dungeness River</v>
      </c>
      <c r="K1081" t="str">
        <f>IFERROR(VLOOKUP(J1081,LUTs!$A$1:$C$73,2,FALSE),"NA")</f>
        <v>Clallam</v>
      </c>
      <c r="L1081" t="str">
        <f>IFERROR(VLOOKUP(J1081,LUTs!$A$1:$C$73,3,FALSE),"NA")</f>
        <v>0Strait of Juan de Fuca</v>
      </c>
      <c r="M1081" s="72" t="s">
        <v>24</v>
      </c>
      <c r="N1081" t="str">
        <f>VLOOKUP(M1081,LUTs!E$2:H$14,3,)</f>
        <v>11Clallam</v>
      </c>
      <c r="O1081" t="str">
        <f>VLOOKUP(M1081,LUTs!E$2:H$14,4,)</f>
        <v>03Strait of Juan de Fuca</v>
      </c>
      <c r="P1081" s="80">
        <v>6</v>
      </c>
      <c r="Q1081" s="103">
        <v>3</v>
      </c>
      <c r="R1081" s="74">
        <f>VLOOKUP(B1081,Readme!A$40:C$52,3,)*Q1081</f>
        <v>55.650000000000006</v>
      </c>
    </row>
    <row r="1082" spans="1:18" ht="12" customHeight="1" x14ac:dyDescent="0.35">
      <c r="A1082" s="75">
        <v>1062</v>
      </c>
      <c r="B1082" s="80">
        <v>2013</v>
      </c>
      <c r="C1082" s="80">
        <v>7</v>
      </c>
      <c r="D1082" s="80">
        <f t="shared" si="59"/>
        <v>2013</v>
      </c>
      <c r="E1082" t="s">
        <v>38</v>
      </c>
      <c r="F1082" t="s">
        <v>143</v>
      </c>
      <c r="G1082" t="s">
        <v>86</v>
      </c>
      <c r="H1082" s="72" t="s">
        <v>203</v>
      </c>
      <c r="I1082" s="72" t="s">
        <v>89</v>
      </c>
      <c r="J1082" s="84" t="s">
        <v>45</v>
      </c>
      <c r="K1082" t="str">
        <f>IFERROR(VLOOKUP(J1082,LUTs!$A$1:$C$73,2,FALSE),"NA")</f>
        <v>King</v>
      </c>
      <c r="L1082" t="str">
        <f>IFERROR(VLOOKUP(J1082,LUTs!$A$1:$C$73,3,FALSE),"NA")</f>
        <v>3South Puget Sound</v>
      </c>
      <c r="M1082" s="72" t="s">
        <v>18</v>
      </c>
      <c r="N1082" t="str">
        <f>VLOOKUP(M1082,LUTs!E$2:H$14,3,)</f>
        <v>06King</v>
      </c>
      <c r="O1082" t="str">
        <f>VLOOKUP(M1082,LUTs!E$2:H$14,4,)</f>
        <v>02South Puget Sound</v>
      </c>
      <c r="P1082" s="80">
        <v>357.33333333333297</v>
      </c>
      <c r="Q1082" s="103">
        <v>178.666666666667</v>
      </c>
      <c r="R1082" s="74">
        <f>VLOOKUP(B1082,Readme!A$40:C$52,3,)*Q1082</f>
        <v>3314.2666666666728</v>
      </c>
    </row>
    <row r="1083" spans="1:18" ht="12" customHeight="1" x14ac:dyDescent="0.35">
      <c r="A1083" s="75">
        <v>1063</v>
      </c>
      <c r="B1083" s="80">
        <v>2013</v>
      </c>
      <c r="C1083" s="80">
        <v>7</v>
      </c>
      <c r="D1083" s="80">
        <f t="shared" si="59"/>
        <v>2013</v>
      </c>
      <c r="E1083" t="s">
        <v>38</v>
      </c>
      <c r="F1083" t="s">
        <v>143</v>
      </c>
      <c r="G1083" t="s">
        <v>86</v>
      </c>
      <c r="H1083" s="72" t="s">
        <v>203</v>
      </c>
      <c r="I1083" s="72" t="s">
        <v>89</v>
      </c>
      <c r="J1083" s="84" t="s">
        <v>45</v>
      </c>
      <c r="K1083" t="str">
        <f>IFERROR(VLOOKUP(J1083,LUTs!$A$1:$C$73,2,FALSE),"NA")</f>
        <v>King</v>
      </c>
      <c r="L1083" t="str">
        <f>IFERROR(VLOOKUP(J1083,LUTs!$A$1:$C$73,3,FALSE),"NA")</f>
        <v>3South Puget Sound</v>
      </c>
      <c r="M1083" s="72" t="s">
        <v>26</v>
      </c>
      <c r="N1083" t="str">
        <f>VLOOKUP(M1083,LUTs!E$2:H$14,3,)</f>
        <v>20Other</v>
      </c>
      <c r="O1083" t="str">
        <f>VLOOKUP(M1083,LUTs!E$2:H$14,4,)</f>
        <v>07Non Puget Sound</v>
      </c>
      <c r="P1083" s="80">
        <v>8.9333333333333407</v>
      </c>
      <c r="Q1083" s="103">
        <v>4.4666666666666703</v>
      </c>
      <c r="R1083" s="74">
        <f>VLOOKUP(B1083,Readme!A$40:C$52,3,)*Q1083</f>
        <v>82.85666666666674</v>
      </c>
    </row>
    <row r="1084" spans="1:18" ht="12" customHeight="1" x14ac:dyDescent="0.35">
      <c r="A1084" s="75">
        <v>1064</v>
      </c>
      <c r="B1084" s="80">
        <v>2013</v>
      </c>
      <c r="C1084" s="80">
        <v>7</v>
      </c>
      <c r="D1084" s="80">
        <f t="shared" si="59"/>
        <v>2013</v>
      </c>
      <c r="E1084" t="s">
        <v>38</v>
      </c>
      <c r="F1084" t="s">
        <v>143</v>
      </c>
      <c r="G1084" t="s">
        <v>86</v>
      </c>
      <c r="H1084" s="72" t="s">
        <v>203</v>
      </c>
      <c r="I1084" s="72" t="s">
        <v>89</v>
      </c>
      <c r="J1084" s="84" t="s">
        <v>45</v>
      </c>
      <c r="K1084" t="str">
        <f>IFERROR(VLOOKUP(J1084,LUTs!$A$1:$C$73,2,FALSE),"NA")</f>
        <v>King</v>
      </c>
      <c r="L1084" t="str">
        <f>IFERROR(VLOOKUP(J1084,LUTs!$A$1:$C$73,3,FALSE),"NA")</f>
        <v>3South Puget Sound</v>
      </c>
      <c r="M1084" s="72" t="s">
        <v>20</v>
      </c>
      <c r="N1084" t="str">
        <f>VLOOKUP(M1084,LUTs!E$2:H$14,3,)</f>
        <v>07Pierce</v>
      </c>
      <c r="O1084" t="str">
        <f>VLOOKUP(M1084,LUTs!E$2:H$14,4,)</f>
        <v>02South Puget Sound</v>
      </c>
      <c r="P1084" s="80">
        <v>35.733333333333299</v>
      </c>
      <c r="Q1084" s="103">
        <v>17.866666666666699</v>
      </c>
      <c r="R1084" s="74">
        <f>VLOOKUP(B1084,Readme!A$40:C$52,3,)*Q1084</f>
        <v>331.4266666666673</v>
      </c>
    </row>
    <row r="1085" spans="1:18" ht="12" customHeight="1" x14ac:dyDescent="0.35">
      <c r="A1085" s="75">
        <v>1165</v>
      </c>
      <c r="B1085" s="80">
        <v>2013</v>
      </c>
      <c r="C1085" s="80">
        <v>7</v>
      </c>
      <c r="D1085" s="80">
        <f t="shared" si="59"/>
        <v>2013</v>
      </c>
      <c r="E1085" t="s">
        <v>38</v>
      </c>
      <c r="F1085" t="s">
        <v>143</v>
      </c>
      <c r="G1085" t="s">
        <v>86</v>
      </c>
      <c r="H1085" s="72" t="s">
        <v>246</v>
      </c>
      <c r="I1085" s="72" t="s">
        <v>97</v>
      </c>
      <c r="J1085" t="str">
        <f t="shared" ref="J1085:J1108" si="62">I1085</f>
        <v>Raging River</v>
      </c>
      <c r="K1085" t="str">
        <f>IFERROR(VLOOKUP(J1085,LUTs!$A$1:$C$73,2,FALSE),"NA")</f>
        <v>King</v>
      </c>
      <c r="L1085" t="str">
        <f>IFERROR(VLOOKUP(J1085,LUTs!$A$1:$C$73,3,FALSE),"NA")</f>
        <v>2Central Puget Sound</v>
      </c>
      <c r="M1085" s="72" t="s">
        <v>18</v>
      </c>
      <c r="N1085" t="str">
        <f>VLOOKUP(M1085,LUTs!E$2:H$14,3,)</f>
        <v>06King</v>
      </c>
      <c r="O1085" t="str">
        <f>VLOOKUP(M1085,LUTs!E$2:H$14,4,)</f>
        <v>02South Puget Sound</v>
      </c>
      <c r="P1085" s="80">
        <v>16</v>
      </c>
      <c r="Q1085" s="103">
        <v>0</v>
      </c>
      <c r="R1085" s="74">
        <f>VLOOKUP(B1085,Readme!A$40:C$52,3,)*Q1085</f>
        <v>0</v>
      </c>
    </row>
    <row r="1086" spans="1:18" ht="12" customHeight="1" x14ac:dyDescent="0.35">
      <c r="A1086" s="75">
        <v>1114</v>
      </c>
      <c r="B1086" s="80">
        <v>2013</v>
      </c>
      <c r="C1086" s="80">
        <v>7</v>
      </c>
      <c r="D1086" s="80">
        <f t="shared" si="59"/>
        <v>2013</v>
      </c>
      <c r="E1086" t="s">
        <v>38</v>
      </c>
      <c r="F1086" t="s">
        <v>143</v>
      </c>
      <c r="G1086" t="s">
        <v>86</v>
      </c>
      <c r="H1086" s="72" t="s">
        <v>243</v>
      </c>
      <c r="I1086" s="72" t="s">
        <v>94</v>
      </c>
      <c r="J1086" t="str">
        <f t="shared" si="62"/>
        <v>Salt Creek (Clallam Co.)</v>
      </c>
      <c r="K1086" t="str">
        <f>IFERROR(VLOOKUP(J1086,LUTs!$A$1:$C$73,2,FALSE),"NA")</f>
        <v>Clallam</v>
      </c>
      <c r="L1086" t="str">
        <f>IFERROR(VLOOKUP(J1086,LUTs!$A$1:$C$73,3,FALSE),"NA")</f>
        <v>0Strait of Juan de Fuca</v>
      </c>
      <c r="M1086" s="72" t="s">
        <v>16</v>
      </c>
      <c r="N1086" t="str">
        <f>VLOOKUP(M1086,LUTs!E$2:H$14,3,)</f>
        <v>03Snohomish</v>
      </c>
      <c r="O1086" t="str">
        <f>VLOOKUP(M1086,LUTs!E$2:H$14,4,)</f>
        <v>01North Puget Sound</v>
      </c>
      <c r="P1086" s="80">
        <v>6</v>
      </c>
      <c r="Q1086" s="103">
        <v>0</v>
      </c>
      <c r="R1086" s="74">
        <f>VLOOKUP(B1086,Readme!A$40:C$52,3,)*Q1086</f>
        <v>0</v>
      </c>
    </row>
    <row r="1087" spans="1:18" ht="12" customHeight="1" x14ac:dyDescent="0.35">
      <c r="A1087" s="75">
        <v>1176</v>
      </c>
      <c r="B1087" s="80">
        <v>2013</v>
      </c>
      <c r="C1087" s="80">
        <v>7</v>
      </c>
      <c r="D1087" s="80">
        <f t="shared" si="59"/>
        <v>2013</v>
      </c>
      <c r="E1087" t="s">
        <v>38</v>
      </c>
      <c r="F1087" t="s">
        <v>143</v>
      </c>
      <c r="G1087" t="s">
        <v>86</v>
      </c>
      <c r="H1087" s="72" t="s">
        <v>220</v>
      </c>
      <c r="I1087" s="72" t="s">
        <v>62</v>
      </c>
      <c r="J1087" t="str">
        <f t="shared" si="62"/>
        <v>Skykomish River</v>
      </c>
      <c r="K1087" t="str">
        <f>IFERROR(VLOOKUP(J1087,LUTs!$A$1:$C$73,2,FALSE),"NA")</f>
        <v>Snohomish</v>
      </c>
      <c r="L1087" t="str">
        <f>IFERROR(VLOOKUP(J1087,LUTs!$A$1:$C$73,3,FALSE),"NA")</f>
        <v>2Central Puget Sound</v>
      </c>
      <c r="M1087" s="72" t="s">
        <v>18</v>
      </c>
      <c r="N1087" t="str">
        <f>VLOOKUP(M1087,LUTs!E$2:H$14,3,)</f>
        <v>06King</v>
      </c>
      <c r="O1087" t="str">
        <f>VLOOKUP(M1087,LUTs!E$2:H$14,4,)</f>
        <v>02South Puget Sound</v>
      </c>
      <c r="P1087" s="80">
        <v>769.91111111111104</v>
      </c>
      <c r="Q1087" s="103">
        <v>390.24444444444498</v>
      </c>
      <c r="R1087" s="74">
        <f>VLOOKUP(B1087,Readme!A$40:C$52,3,)*Q1087</f>
        <v>7239.0344444444545</v>
      </c>
    </row>
    <row r="1088" spans="1:18" ht="12" customHeight="1" x14ac:dyDescent="0.35">
      <c r="A1088" s="75">
        <v>1177</v>
      </c>
      <c r="B1088" s="80">
        <v>2013</v>
      </c>
      <c r="C1088" s="80">
        <v>7</v>
      </c>
      <c r="D1088" s="80">
        <f t="shared" si="59"/>
        <v>2013</v>
      </c>
      <c r="E1088" t="s">
        <v>38</v>
      </c>
      <c r="F1088" t="s">
        <v>143</v>
      </c>
      <c r="G1088" t="s">
        <v>86</v>
      </c>
      <c r="H1088" s="72" t="s">
        <v>220</v>
      </c>
      <c r="I1088" s="72" t="s">
        <v>62</v>
      </c>
      <c r="J1088" t="str">
        <f t="shared" si="62"/>
        <v>Skykomish River</v>
      </c>
      <c r="K1088" t="str">
        <f>IFERROR(VLOOKUP(J1088,LUTs!$A$1:$C$73,2,FALSE),"NA")</f>
        <v>Snohomish</v>
      </c>
      <c r="L1088" t="str">
        <f>IFERROR(VLOOKUP(J1088,LUTs!$A$1:$C$73,3,FALSE),"NA")</f>
        <v>2Central Puget Sound</v>
      </c>
      <c r="M1088" s="72" t="s">
        <v>23</v>
      </c>
      <c r="N1088" t="str">
        <f>VLOOKUP(M1088,LUTs!E$2:H$14,3,)</f>
        <v>10Kitsap</v>
      </c>
      <c r="O1088" t="str">
        <f>VLOOKUP(M1088,LUTs!E$2:H$14,4,)</f>
        <v>02South Puget Sound</v>
      </c>
      <c r="P1088" s="80">
        <v>7.54814814814815</v>
      </c>
      <c r="Q1088" s="103">
        <v>3.8259259259259299</v>
      </c>
      <c r="R1088" s="74">
        <f>VLOOKUP(B1088,Readme!A$40:C$52,3,)*Q1088</f>
        <v>70.970925925925997</v>
      </c>
    </row>
    <row r="1089" spans="1:18" ht="12" customHeight="1" x14ac:dyDescent="0.35">
      <c r="A1089" s="75">
        <v>1178</v>
      </c>
      <c r="B1089" s="80">
        <v>2013</v>
      </c>
      <c r="C1089" s="80">
        <v>7</v>
      </c>
      <c r="D1089" s="80">
        <f t="shared" si="59"/>
        <v>2013</v>
      </c>
      <c r="E1089" t="s">
        <v>38</v>
      </c>
      <c r="F1089" t="s">
        <v>143</v>
      </c>
      <c r="G1089" t="s">
        <v>86</v>
      </c>
      <c r="H1089" s="72" t="s">
        <v>220</v>
      </c>
      <c r="I1089" s="72" t="s">
        <v>62</v>
      </c>
      <c r="J1089" t="str">
        <f t="shared" si="62"/>
        <v>Skykomish River</v>
      </c>
      <c r="K1089" t="str">
        <f>IFERROR(VLOOKUP(J1089,LUTs!$A$1:$C$73,2,FALSE),"NA")</f>
        <v>Snohomish</v>
      </c>
      <c r="L1089" t="str">
        <f>IFERROR(VLOOKUP(J1089,LUTs!$A$1:$C$73,3,FALSE),"NA")</f>
        <v>2Central Puget Sound</v>
      </c>
      <c r="M1089" s="72" t="s">
        <v>26</v>
      </c>
      <c r="N1089" t="str">
        <f>VLOOKUP(M1089,LUTs!E$2:H$14,3,)</f>
        <v>20Other</v>
      </c>
      <c r="O1089" t="str">
        <f>VLOOKUP(M1089,LUTs!E$2:H$14,4,)</f>
        <v>07Non Puget Sound</v>
      </c>
      <c r="P1089" s="80">
        <v>90.577777777777797</v>
      </c>
      <c r="Q1089" s="103">
        <v>45.911111111111097</v>
      </c>
      <c r="R1089" s="74">
        <f>VLOOKUP(B1089,Readme!A$40:C$52,3,)*Q1089</f>
        <v>851.65111111111094</v>
      </c>
    </row>
    <row r="1090" spans="1:18" ht="12" customHeight="1" x14ac:dyDescent="0.35">
      <c r="A1090" s="75">
        <v>1179</v>
      </c>
      <c r="B1090" s="80">
        <v>2013</v>
      </c>
      <c r="C1090" s="80">
        <v>7</v>
      </c>
      <c r="D1090" s="80">
        <f t="shared" ref="D1090:D1153" si="63">IF(C1090&gt;3,B1090,B1090-1)</f>
        <v>2013</v>
      </c>
      <c r="E1090" t="s">
        <v>38</v>
      </c>
      <c r="F1090" t="s">
        <v>143</v>
      </c>
      <c r="G1090" t="s">
        <v>86</v>
      </c>
      <c r="H1090" s="72" t="s">
        <v>220</v>
      </c>
      <c r="I1090" s="72" t="s">
        <v>62</v>
      </c>
      <c r="J1090" t="str">
        <f t="shared" si="62"/>
        <v>Skykomish River</v>
      </c>
      <c r="K1090" t="str">
        <f>IFERROR(VLOOKUP(J1090,LUTs!$A$1:$C$73,2,FALSE),"NA")</f>
        <v>Snohomish</v>
      </c>
      <c r="L1090" t="str">
        <f>IFERROR(VLOOKUP(J1090,LUTs!$A$1:$C$73,3,FALSE),"NA")</f>
        <v>2Central Puget Sound</v>
      </c>
      <c r="M1090" s="72" t="s">
        <v>20</v>
      </c>
      <c r="N1090" t="str">
        <f>VLOOKUP(M1090,LUTs!E$2:H$14,3,)</f>
        <v>07Pierce</v>
      </c>
      <c r="O1090" t="str">
        <f>VLOOKUP(M1090,LUTs!E$2:H$14,4,)</f>
        <v>02South Puget Sound</v>
      </c>
      <c r="P1090" s="80">
        <v>7.54814814814815</v>
      </c>
      <c r="Q1090" s="103">
        <v>3.8259259259259299</v>
      </c>
      <c r="R1090" s="74">
        <f>VLOOKUP(B1090,Readme!A$40:C$52,3,)*Q1090</f>
        <v>70.970925925925997</v>
      </c>
    </row>
    <row r="1091" spans="1:18" ht="12" customHeight="1" x14ac:dyDescent="0.35">
      <c r="A1091" s="75">
        <v>1180</v>
      </c>
      <c r="B1091" s="80">
        <v>2013</v>
      </c>
      <c r="C1091" s="80">
        <v>7</v>
      </c>
      <c r="D1091" s="80">
        <f t="shared" si="63"/>
        <v>2013</v>
      </c>
      <c r="E1091" t="s">
        <v>38</v>
      </c>
      <c r="F1091" t="s">
        <v>143</v>
      </c>
      <c r="G1091" t="s">
        <v>86</v>
      </c>
      <c r="H1091" s="72" t="s">
        <v>220</v>
      </c>
      <c r="I1091" s="72" t="s">
        <v>62</v>
      </c>
      <c r="J1091" t="str">
        <f t="shared" si="62"/>
        <v>Skykomish River</v>
      </c>
      <c r="K1091" t="str">
        <f>IFERROR(VLOOKUP(J1091,LUTs!$A$1:$C$73,2,FALSE),"NA")</f>
        <v>Snohomish</v>
      </c>
      <c r="L1091" t="str">
        <f>IFERROR(VLOOKUP(J1091,LUTs!$A$1:$C$73,3,FALSE),"NA")</f>
        <v>2Central Puget Sound</v>
      </c>
      <c r="M1091" s="72" t="s">
        <v>15</v>
      </c>
      <c r="N1091" t="str">
        <f>VLOOKUP(M1091,LUTs!E$2:H$14,3,)</f>
        <v>02Skagit</v>
      </c>
      <c r="O1091" t="str">
        <f>VLOOKUP(M1091,LUTs!E$2:H$14,4,)</f>
        <v>01North Puget Sound</v>
      </c>
      <c r="P1091" s="80">
        <v>7.54814814814815</v>
      </c>
      <c r="Q1091" s="103">
        <v>3.8259259259259299</v>
      </c>
      <c r="R1091" s="74">
        <f>VLOOKUP(B1091,Readme!A$40:C$52,3,)*Q1091</f>
        <v>70.970925925925997</v>
      </c>
    </row>
    <row r="1092" spans="1:18" ht="12" customHeight="1" x14ac:dyDescent="0.35">
      <c r="A1092" s="75">
        <v>1181</v>
      </c>
      <c r="B1092" s="80">
        <v>2013</v>
      </c>
      <c r="C1092" s="80">
        <v>7</v>
      </c>
      <c r="D1092" s="80">
        <f t="shared" si="63"/>
        <v>2013</v>
      </c>
      <c r="E1092" t="s">
        <v>38</v>
      </c>
      <c r="F1092" t="s">
        <v>143</v>
      </c>
      <c r="G1092" t="s">
        <v>86</v>
      </c>
      <c r="H1092" s="72" t="s">
        <v>220</v>
      </c>
      <c r="I1092" s="72" t="s">
        <v>62</v>
      </c>
      <c r="J1092" t="str">
        <f t="shared" si="62"/>
        <v>Skykomish River</v>
      </c>
      <c r="K1092" t="str">
        <f>IFERROR(VLOOKUP(J1092,LUTs!$A$1:$C$73,2,FALSE),"NA")</f>
        <v>Snohomish</v>
      </c>
      <c r="L1092" t="str">
        <f>IFERROR(VLOOKUP(J1092,LUTs!$A$1:$C$73,3,FALSE),"NA")</f>
        <v>2Central Puget Sound</v>
      </c>
      <c r="M1092" s="72" t="s">
        <v>16</v>
      </c>
      <c r="N1092" t="str">
        <f>VLOOKUP(M1092,LUTs!E$2:H$14,3,)</f>
        <v>03Snohomish</v>
      </c>
      <c r="O1092" t="str">
        <f>VLOOKUP(M1092,LUTs!E$2:H$14,4,)</f>
        <v>01North Puget Sound</v>
      </c>
      <c r="P1092" s="80">
        <v>1056.74074074074</v>
      </c>
      <c r="Q1092" s="103">
        <v>535.62962962963002</v>
      </c>
      <c r="R1092" s="74">
        <f>VLOOKUP(B1092,Readme!A$40:C$52,3,)*Q1092</f>
        <v>9935.9296296296379</v>
      </c>
    </row>
    <row r="1093" spans="1:18" ht="12" customHeight="1" x14ac:dyDescent="0.35">
      <c r="A1093" s="75">
        <v>1182</v>
      </c>
      <c r="B1093" s="80">
        <v>2013</v>
      </c>
      <c r="C1093" s="80">
        <v>7</v>
      </c>
      <c r="D1093" s="80">
        <f t="shared" si="63"/>
        <v>2013</v>
      </c>
      <c r="E1093" t="s">
        <v>38</v>
      </c>
      <c r="F1093" t="s">
        <v>143</v>
      </c>
      <c r="G1093" t="s">
        <v>86</v>
      </c>
      <c r="H1093" s="72" t="s">
        <v>220</v>
      </c>
      <c r="I1093" s="72" t="s">
        <v>62</v>
      </c>
      <c r="J1093" t="str">
        <f t="shared" si="62"/>
        <v>Skykomish River</v>
      </c>
      <c r="K1093" t="str">
        <f>IFERROR(VLOOKUP(J1093,LUTs!$A$1:$C$73,2,FALSE),"NA")</f>
        <v>Snohomish</v>
      </c>
      <c r="L1093" t="str">
        <f>IFERROR(VLOOKUP(J1093,LUTs!$A$1:$C$73,3,FALSE),"NA")</f>
        <v>2Central Puget Sound</v>
      </c>
      <c r="M1093" s="72" t="s">
        <v>13</v>
      </c>
      <c r="N1093" t="str">
        <f>VLOOKUP(M1093,LUTs!E$2:H$14,3,)</f>
        <v>01Whatcom</v>
      </c>
      <c r="O1093" t="str">
        <f>VLOOKUP(M1093,LUTs!E$2:H$14,4,)</f>
        <v>01North Puget Sound</v>
      </c>
      <c r="P1093" s="80">
        <v>98.125925925925998</v>
      </c>
      <c r="Q1093" s="103">
        <v>49.737037037036998</v>
      </c>
      <c r="R1093" s="74">
        <f>VLOOKUP(B1093,Readme!A$40:C$52,3,)*Q1093</f>
        <v>922.62203703703631</v>
      </c>
    </row>
    <row r="1094" spans="1:18" ht="12" customHeight="1" x14ac:dyDescent="0.35">
      <c r="A1094" s="75">
        <v>1216</v>
      </c>
      <c r="B1094" s="80">
        <v>2013</v>
      </c>
      <c r="C1094" s="80">
        <v>7</v>
      </c>
      <c r="D1094" s="80">
        <f t="shared" si="63"/>
        <v>2013</v>
      </c>
      <c r="E1094" t="s">
        <v>38</v>
      </c>
      <c r="F1094" t="s">
        <v>143</v>
      </c>
      <c r="G1094" t="s">
        <v>86</v>
      </c>
      <c r="H1094" s="72" t="s">
        <v>247</v>
      </c>
      <c r="I1094" s="72" t="s">
        <v>98</v>
      </c>
      <c r="J1094" t="str">
        <f t="shared" si="62"/>
        <v>Skykomish River, No. Fork</v>
      </c>
      <c r="K1094" t="str">
        <f>IFERROR(VLOOKUP(J1094,LUTs!$A$1:$C$73,2,FALSE),"NA")</f>
        <v>Snohomish</v>
      </c>
      <c r="L1094" t="str">
        <f>IFERROR(VLOOKUP(J1094,LUTs!$A$1:$C$73,3,FALSE),"NA")</f>
        <v>2Central Puget Sound</v>
      </c>
      <c r="M1094" s="72" t="s">
        <v>18</v>
      </c>
      <c r="N1094" t="str">
        <f>VLOOKUP(M1094,LUTs!E$2:H$14,3,)</f>
        <v>06King</v>
      </c>
      <c r="O1094" t="str">
        <f>VLOOKUP(M1094,LUTs!E$2:H$14,4,)</f>
        <v>02South Puget Sound</v>
      </c>
      <c r="P1094" s="80">
        <v>7.5555555555555598</v>
      </c>
      <c r="Q1094" s="103">
        <v>3.7777777777777799</v>
      </c>
      <c r="R1094" s="74">
        <f>VLOOKUP(B1094,Readme!A$40:C$52,3,)*Q1094</f>
        <v>70.077777777777825</v>
      </c>
    </row>
    <row r="1095" spans="1:18" ht="12" customHeight="1" x14ac:dyDescent="0.35">
      <c r="A1095" s="75">
        <v>1217</v>
      </c>
      <c r="B1095" s="80">
        <v>2013</v>
      </c>
      <c r="C1095" s="80">
        <v>7</v>
      </c>
      <c r="D1095" s="80">
        <f t="shared" si="63"/>
        <v>2013</v>
      </c>
      <c r="E1095" t="s">
        <v>38</v>
      </c>
      <c r="F1095" t="s">
        <v>143</v>
      </c>
      <c r="G1095" t="s">
        <v>86</v>
      </c>
      <c r="H1095" s="72" t="s">
        <v>247</v>
      </c>
      <c r="I1095" s="72" t="s">
        <v>98</v>
      </c>
      <c r="J1095" t="str">
        <f t="shared" si="62"/>
        <v>Skykomish River, No. Fork</v>
      </c>
      <c r="K1095" t="str">
        <f>IFERROR(VLOOKUP(J1095,LUTs!$A$1:$C$73,2,FALSE),"NA")</f>
        <v>Snohomish</v>
      </c>
      <c r="L1095" t="str">
        <f>IFERROR(VLOOKUP(J1095,LUTs!$A$1:$C$73,3,FALSE),"NA")</f>
        <v>2Central Puget Sound</v>
      </c>
      <c r="M1095" s="72" t="s">
        <v>16</v>
      </c>
      <c r="N1095" t="str">
        <f>VLOOKUP(M1095,LUTs!E$2:H$14,3,)</f>
        <v>03Snohomish</v>
      </c>
      <c r="O1095" t="str">
        <f>VLOOKUP(M1095,LUTs!E$2:H$14,4,)</f>
        <v>01North Puget Sound</v>
      </c>
      <c r="P1095" s="80">
        <v>60.4444444444445</v>
      </c>
      <c r="Q1095" s="103">
        <v>30.2222222222222</v>
      </c>
      <c r="R1095" s="74">
        <f>VLOOKUP(B1095,Readme!A$40:C$52,3,)*Q1095</f>
        <v>560.62222222222181</v>
      </c>
    </row>
    <row r="1096" spans="1:18" ht="12" customHeight="1" x14ac:dyDescent="0.35">
      <c r="A1096" s="75">
        <v>1226</v>
      </c>
      <c r="B1096" s="80">
        <v>2013</v>
      </c>
      <c r="C1096" s="80">
        <v>7</v>
      </c>
      <c r="D1096" s="80">
        <f t="shared" si="63"/>
        <v>2013</v>
      </c>
      <c r="E1096" t="s">
        <v>38</v>
      </c>
      <c r="F1096" t="s">
        <v>143</v>
      </c>
      <c r="G1096" t="s">
        <v>86</v>
      </c>
      <c r="H1096" s="72" t="s">
        <v>248</v>
      </c>
      <c r="I1096" s="72" t="s">
        <v>99</v>
      </c>
      <c r="J1096" t="str">
        <f t="shared" si="62"/>
        <v>Skykomish River, So. Fork</v>
      </c>
      <c r="K1096" t="str">
        <f>IFERROR(VLOOKUP(J1096,LUTs!$A$1:$C$73,2,FALSE),"NA")</f>
        <v>Snohomish/King</v>
      </c>
      <c r="L1096" t="str">
        <f>IFERROR(VLOOKUP(J1096,LUTs!$A$1:$C$73,3,FALSE),"NA")</f>
        <v>2Central Puget Sound</v>
      </c>
      <c r="M1096" s="72" t="s">
        <v>18</v>
      </c>
      <c r="N1096" t="str">
        <f>VLOOKUP(M1096,LUTs!E$2:H$14,3,)</f>
        <v>06King</v>
      </c>
      <c r="O1096" t="str">
        <f>VLOOKUP(M1096,LUTs!E$2:H$14,4,)</f>
        <v>02South Puget Sound</v>
      </c>
      <c r="P1096" s="80">
        <v>38</v>
      </c>
      <c r="Q1096" s="103">
        <v>19</v>
      </c>
      <c r="R1096" s="74">
        <f>VLOOKUP(B1096,Readme!A$40:C$52,3,)*Q1096</f>
        <v>352.45</v>
      </c>
    </row>
    <row r="1097" spans="1:18" ht="12" customHeight="1" x14ac:dyDescent="0.35">
      <c r="A1097" s="75">
        <v>1232</v>
      </c>
      <c r="B1097" s="80">
        <v>2013</v>
      </c>
      <c r="C1097" s="80">
        <v>7</v>
      </c>
      <c r="D1097" s="80">
        <f t="shared" si="63"/>
        <v>2013</v>
      </c>
      <c r="E1097" t="s">
        <v>38</v>
      </c>
      <c r="F1097" t="s">
        <v>143</v>
      </c>
      <c r="G1097" t="s">
        <v>86</v>
      </c>
      <c r="H1097" s="72" t="s">
        <v>221</v>
      </c>
      <c r="I1097" s="72" t="s">
        <v>63</v>
      </c>
      <c r="J1097" t="str">
        <f t="shared" si="62"/>
        <v>Snohomish River</v>
      </c>
      <c r="K1097" t="str">
        <f>IFERROR(VLOOKUP(J1097,LUTs!$A$1:$C$73,2,FALSE),"NA")</f>
        <v>Snohomish</v>
      </c>
      <c r="L1097" t="str">
        <f>IFERROR(VLOOKUP(J1097,LUTs!$A$1:$C$73,3,FALSE),"NA")</f>
        <v>2Central Puget Sound</v>
      </c>
      <c r="M1097" s="72" t="s">
        <v>18</v>
      </c>
      <c r="N1097" t="str">
        <f>VLOOKUP(M1097,LUTs!E$2:H$14,3,)</f>
        <v>06King</v>
      </c>
      <c r="O1097" t="str">
        <f>VLOOKUP(M1097,LUTs!E$2:H$14,4,)</f>
        <v>02South Puget Sound</v>
      </c>
      <c r="P1097" s="80">
        <v>7.5238095238095299</v>
      </c>
      <c r="Q1097" s="103">
        <v>3.7619047619047601</v>
      </c>
      <c r="R1097" s="74">
        <f>VLOOKUP(B1097,Readme!A$40:C$52,3,)*Q1097</f>
        <v>69.783333333333303</v>
      </c>
    </row>
    <row r="1098" spans="1:18" ht="12" customHeight="1" x14ac:dyDescent="0.35">
      <c r="A1098" s="75">
        <v>1233</v>
      </c>
      <c r="B1098" s="80">
        <v>2013</v>
      </c>
      <c r="C1098" s="80">
        <v>7</v>
      </c>
      <c r="D1098" s="80">
        <f t="shared" si="63"/>
        <v>2013</v>
      </c>
      <c r="E1098" t="s">
        <v>38</v>
      </c>
      <c r="F1098" t="s">
        <v>143</v>
      </c>
      <c r="G1098" t="s">
        <v>86</v>
      </c>
      <c r="H1098" s="72" t="s">
        <v>221</v>
      </c>
      <c r="I1098" s="72" t="s">
        <v>63</v>
      </c>
      <c r="J1098" t="str">
        <f t="shared" si="62"/>
        <v>Snohomish River</v>
      </c>
      <c r="K1098" t="str">
        <f>IFERROR(VLOOKUP(J1098,LUTs!$A$1:$C$73,2,FALSE),"NA")</f>
        <v>Snohomish</v>
      </c>
      <c r="L1098" t="str">
        <f>IFERROR(VLOOKUP(J1098,LUTs!$A$1:$C$73,3,FALSE),"NA")</f>
        <v>2Central Puget Sound</v>
      </c>
      <c r="M1098" s="72" t="s">
        <v>16</v>
      </c>
      <c r="N1098" t="str">
        <f>VLOOKUP(M1098,LUTs!E$2:H$14,3,)</f>
        <v>03Snohomish</v>
      </c>
      <c r="O1098" t="str">
        <f>VLOOKUP(M1098,LUTs!E$2:H$14,4,)</f>
        <v>01North Puget Sound</v>
      </c>
      <c r="P1098" s="80">
        <v>150.47619047619099</v>
      </c>
      <c r="Q1098" s="103">
        <v>75.238095238095298</v>
      </c>
      <c r="R1098" s="74">
        <f>VLOOKUP(B1098,Readme!A$40:C$52,3,)*Q1098</f>
        <v>1395.6666666666679</v>
      </c>
    </row>
    <row r="1099" spans="1:18" ht="12" customHeight="1" x14ac:dyDescent="0.35">
      <c r="A1099" s="75">
        <v>1080</v>
      </c>
      <c r="B1099" s="80">
        <v>2013</v>
      </c>
      <c r="C1099" s="80">
        <v>7</v>
      </c>
      <c r="D1099" s="80">
        <f t="shared" si="63"/>
        <v>2013</v>
      </c>
      <c r="E1099" t="s">
        <v>38</v>
      </c>
      <c r="F1099" t="s">
        <v>143</v>
      </c>
      <c r="G1099" t="s">
        <v>86</v>
      </c>
      <c r="H1099" s="72" t="s">
        <v>236</v>
      </c>
      <c r="I1099" s="72" t="s">
        <v>90</v>
      </c>
      <c r="J1099" t="str">
        <f t="shared" si="62"/>
        <v>Soos Creek</v>
      </c>
      <c r="K1099" t="str">
        <f>IFERROR(VLOOKUP(J1099,LUTs!$A$1:$C$73,2,FALSE),"NA")</f>
        <v>King</v>
      </c>
      <c r="L1099" t="str">
        <f>IFERROR(VLOOKUP(J1099,LUTs!$A$1:$C$73,3,FALSE),"NA")</f>
        <v>3South Puget Sound</v>
      </c>
      <c r="M1099" s="72" t="s">
        <v>18</v>
      </c>
      <c r="N1099" t="str">
        <f>VLOOKUP(M1099,LUTs!E$2:H$14,3,)</f>
        <v>06King</v>
      </c>
      <c r="O1099" t="str">
        <f>VLOOKUP(M1099,LUTs!E$2:H$14,4,)</f>
        <v>02South Puget Sound</v>
      </c>
      <c r="P1099" s="80">
        <v>26.5</v>
      </c>
      <c r="Q1099" s="103">
        <v>13.25</v>
      </c>
      <c r="R1099" s="74">
        <f>VLOOKUP(B1099,Readme!A$40:C$52,3,)*Q1099</f>
        <v>245.78750000000002</v>
      </c>
    </row>
    <row r="1100" spans="1:18" ht="12" customHeight="1" x14ac:dyDescent="0.35">
      <c r="A1100" s="75">
        <v>1081</v>
      </c>
      <c r="B1100" s="80">
        <v>2013</v>
      </c>
      <c r="C1100" s="80">
        <v>7</v>
      </c>
      <c r="D1100" s="80">
        <f t="shared" si="63"/>
        <v>2013</v>
      </c>
      <c r="E1100" t="s">
        <v>38</v>
      </c>
      <c r="F1100" t="s">
        <v>143</v>
      </c>
      <c r="G1100" t="s">
        <v>86</v>
      </c>
      <c r="H1100" s="72" t="s">
        <v>236</v>
      </c>
      <c r="I1100" s="72" t="s">
        <v>90</v>
      </c>
      <c r="J1100" t="str">
        <f t="shared" si="62"/>
        <v>Soos Creek</v>
      </c>
      <c r="K1100" t="str">
        <f>IFERROR(VLOOKUP(J1100,LUTs!$A$1:$C$73,2,FALSE),"NA")</f>
        <v>King</v>
      </c>
      <c r="L1100" t="str">
        <f>IFERROR(VLOOKUP(J1100,LUTs!$A$1:$C$73,3,FALSE),"NA")</f>
        <v>3South Puget Sound</v>
      </c>
      <c r="M1100" s="72" t="s">
        <v>20</v>
      </c>
      <c r="N1100" t="str">
        <f>VLOOKUP(M1100,LUTs!E$2:H$14,3,)</f>
        <v>07Pierce</v>
      </c>
      <c r="O1100" t="str">
        <f>VLOOKUP(M1100,LUTs!E$2:H$14,4,)</f>
        <v>02South Puget Sound</v>
      </c>
      <c r="P1100" s="80">
        <v>79.5</v>
      </c>
      <c r="Q1100" s="103">
        <v>39.75</v>
      </c>
      <c r="R1100" s="74">
        <f>VLOOKUP(B1100,Readme!A$40:C$52,3,)*Q1100</f>
        <v>737.36250000000007</v>
      </c>
    </row>
    <row r="1101" spans="1:18" ht="12" customHeight="1" x14ac:dyDescent="0.35">
      <c r="A1101" s="75">
        <v>1291</v>
      </c>
      <c r="B1101" s="80">
        <v>2013</v>
      </c>
      <c r="C1101" s="80">
        <v>7</v>
      </c>
      <c r="D1101" s="80">
        <f t="shared" si="63"/>
        <v>2013</v>
      </c>
      <c r="E1101" t="s">
        <v>38</v>
      </c>
      <c r="F1101" t="s">
        <v>143</v>
      </c>
      <c r="G1101" t="s">
        <v>86</v>
      </c>
      <c r="H1101" s="72" t="s">
        <v>223</v>
      </c>
      <c r="I1101" s="72" t="s">
        <v>103</v>
      </c>
      <c r="J1101" t="str">
        <f t="shared" si="62"/>
        <v>Stillaguamish R, No. Fork</v>
      </c>
      <c r="K1101" t="str">
        <f>IFERROR(VLOOKUP(J1101,LUTs!$A$1:$C$73,2,FALSE),"NA")</f>
        <v>Snohomish</v>
      </c>
      <c r="L1101" t="str">
        <f>IFERROR(VLOOKUP(J1101,LUTs!$A$1:$C$73,3,FALSE),"NA")</f>
        <v>2Central Puget Sound</v>
      </c>
      <c r="M1101" s="72" t="s">
        <v>26</v>
      </c>
      <c r="N1101" t="str">
        <f>VLOOKUP(M1101,LUTs!E$2:H$14,3,)</f>
        <v>20Other</v>
      </c>
      <c r="O1101" t="str">
        <f>VLOOKUP(M1101,LUTs!E$2:H$14,4,)</f>
        <v>07Non Puget Sound</v>
      </c>
      <c r="P1101" s="80">
        <v>18</v>
      </c>
      <c r="Q1101" s="103">
        <v>9</v>
      </c>
      <c r="R1101" s="74">
        <f>VLOOKUP(B1101,Readme!A$40:C$52,3,)*Q1101</f>
        <v>166.95000000000002</v>
      </c>
    </row>
    <row r="1102" spans="1:18" ht="12" customHeight="1" x14ac:dyDescent="0.35">
      <c r="A1102" s="75">
        <v>1307</v>
      </c>
      <c r="B1102" s="80">
        <v>2013</v>
      </c>
      <c r="C1102" s="80">
        <v>7</v>
      </c>
      <c r="D1102" s="80">
        <f t="shared" si="63"/>
        <v>2013</v>
      </c>
      <c r="E1102" t="s">
        <v>38</v>
      </c>
      <c r="F1102" t="s">
        <v>143</v>
      </c>
      <c r="G1102" t="s">
        <v>86</v>
      </c>
      <c r="H1102" s="72" t="s">
        <v>253</v>
      </c>
      <c r="I1102" s="72" t="s">
        <v>65</v>
      </c>
      <c r="J1102" t="str">
        <f t="shared" si="62"/>
        <v>Stillaguamish River</v>
      </c>
      <c r="K1102" t="str">
        <f>IFERROR(VLOOKUP(J1102,LUTs!$A$1:$C$73,2,FALSE),"NA")</f>
        <v>Snohomish</v>
      </c>
      <c r="L1102" t="str">
        <f>IFERROR(VLOOKUP(J1102,LUTs!$A$1:$C$73,3,FALSE),"NA")</f>
        <v>2Central Puget Sound</v>
      </c>
      <c r="M1102" s="72" t="s">
        <v>15</v>
      </c>
      <c r="N1102" t="str">
        <f>VLOOKUP(M1102,LUTs!E$2:H$14,3,)</f>
        <v>02Skagit</v>
      </c>
      <c r="O1102" t="str">
        <f>VLOOKUP(M1102,LUTs!E$2:H$14,4,)</f>
        <v>01North Puget Sound</v>
      </c>
      <c r="P1102" s="80">
        <v>10</v>
      </c>
      <c r="Q1102" s="103">
        <v>5</v>
      </c>
      <c r="R1102" s="74">
        <f>VLOOKUP(B1102,Readme!A$40:C$52,3,)*Q1102</f>
        <v>92.75</v>
      </c>
    </row>
    <row r="1103" spans="1:18" ht="12" customHeight="1" x14ac:dyDescent="0.35">
      <c r="A1103" s="75">
        <v>1265</v>
      </c>
      <c r="B1103" s="80">
        <v>2013</v>
      </c>
      <c r="C1103" s="80">
        <v>7</v>
      </c>
      <c r="D1103" s="80">
        <f t="shared" si="63"/>
        <v>2013</v>
      </c>
      <c r="E1103" t="s">
        <v>38</v>
      </c>
      <c r="F1103" t="s">
        <v>143</v>
      </c>
      <c r="G1103" t="s">
        <v>86</v>
      </c>
      <c r="H1103" s="72" t="s">
        <v>249</v>
      </c>
      <c r="I1103" s="72" t="s">
        <v>100</v>
      </c>
      <c r="J1103" t="str">
        <f t="shared" si="62"/>
        <v>Sultan River</v>
      </c>
      <c r="K1103" t="str">
        <f>IFERROR(VLOOKUP(J1103,LUTs!$A$1:$C$73,2,FALSE),"NA")</f>
        <v>Snohomish</v>
      </c>
      <c r="L1103" t="str">
        <f>IFERROR(VLOOKUP(J1103,LUTs!$A$1:$C$73,3,FALSE),"NA")</f>
        <v>2Central Puget Sound</v>
      </c>
      <c r="M1103" s="72" t="s">
        <v>16</v>
      </c>
      <c r="N1103" t="str">
        <f>VLOOKUP(M1103,LUTs!E$2:H$14,3,)</f>
        <v>03Snohomish</v>
      </c>
      <c r="O1103" t="str">
        <f>VLOOKUP(M1103,LUTs!E$2:H$14,4,)</f>
        <v>01North Puget Sound</v>
      </c>
      <c r="P1103" s="80">
        <v>8</v>
      </c>
      <c r="Q1103" s="103">
        <v>4</v>
      </c>
      <c r="R1103" s="74">
        <f>VLOOKUP(B1103,Readme!A$40:C$52,3,)*Q1103</f>
        <v>74.2</v>
      </c>
    </row>
    <row r="1104" spans="1:18" ht="12" customHeight="1" x14ac:dyDescent="0.35">
      <c r="A1104" s="75">
        <v>1320</v>
      </c>
      <c r="B1104" s="80">
        <v>2013</v>
      </c>
      <c r="C1104" s="80">
        <v>8</v>
      </c>
      <c r="D1104" s="80">
        <f t="shared" si="63"/>
        <v>2013</v>
      </c>
      <c r="E1104" t="s">
        <v>38</v>
      </c>
      <c r="F1104" t="s">
        <v>143</v>
      </c>
      <c r="G1104" t="s">
        <v>86</v>
      </c>
      <c r="H1104" s="72" t="s">
        <v>254</v>
      </c>
      <c r="I1104" s="72" t="s">
        <v>33</v>
      </c>
      <c r="J1104" t="str">
        <f t="shared" si="62"/>
        <v>Area 9: Admiralty Inlet</v>
      </c>
      <c r="K1104" t="str">
        <f>IFERROR(VLOOKUP(J1104,LUTs!$A$1:$C$73,2,FALSE),"NA")</f>
        <v>NA</v>
      </c>
      <c r="L1104" t="str">
        <f>IFERROR(VLOOKUP(J1104,LUTs!$A$1:$C$73,3,FALSE),"NA")</f>
        <v>2Central Puget Sound</v>
      </c>
      <c r="M1104" s="72" t="s">
        <v>17</v>
      </c>
      <c r="N1104" t="str">
        <f>VLOOKUP(M1104,LUTs!E$2:H$14,3,)</f>
        <v>04Island</v>
      </c>
      <c r="O1104" t="str">
        <f>VLOOKUP(M1104,LUTs!E$2:H$14,4,)</f>
        <v>01North Puget Sound</v>
      </c>
      <c r="P1104" s="80">
        <v>0</v>
      </c>
      <c r="Q1104" s="103">
        <v>0</v>
      </c>
      <c r="R1104" s="74">
        <f>VLOOKUP(B1104,Readme!A$40:C$52,3,)*Q1104</f>
        <v>0</v>
      </c>
    </row>
    <row r="1105" spans="1:18" ht="12" customHeight="1" x14ac:dyDescent="0.35">
      <c r="A1105" s="75">
        <v>1321</v>
      </c>
      <c r="B1105" s="80">
        <v>2013</v>
      </c>
      <c r="C1105" s="80">
        <v>8</v>
      </c>
      <c r="D1105" s="80">
        <f t="shared" si="63"/>
        <v>2013</v>
      </c>
      <c r="E1105" t="s">
        <v>38</v>
      </c>
      <c r="F1105" t="s">
        <v>143</v>
      </c>
      <c r="G1105" t="s">
        <v>86</v>
      </c>
      <c r="H1105" s="72" t="s">
        <v>254</v>
      </c>
      <c r="I1105" s="72" t="s">
        <v>33</v>
      </c>
      <c r="J1105" t="str">
        <f t="shared" si="62"/>
        <v>Area 9: Admiralty Inlet</v>
      </c>
      <c r="K1105" t="str">
        <f>IFERROR(VLOOKUP(J1105,LUTs!$A$1:$C$73,2,FALSE),"NA")</f>
        <v>NA</v>
      </c>
      <c r="L1105" t="str">
        <f>IFERROR(VLOOKUP(J1105,LUTs!$A$1:$C$73,3,FALSE),"NA")</f>
        <v>2Central Puget Sound</v>
      </c>
      <c r="M1105" s="72" t="s">
        <v>25</v>
      </c>
      <c r="N1105" t="str">
        <f>VLOOKUP(M1105,LUTs!E$2:H$14,3,)</f>
        <v>12Jefferson</v>
      </c>
      <c r="O1105" t="str">
        <f>VLOOKUP(M1105,LUTs!E$2:H$14,4,)</f>
        <v>03Strait of Juan de Fuca</v>
      </c>
      <c r="P1105" s="80">
        <v>12</v>
      </c>
      <c r="Q1105" s="103">
        <v>6</v>
      </c>
      <c r="R1105" s="74">
        <f>VLOOKUP(B1105,Readme!A$40:C$52,3,)*Q1105</f>
        <v>111.30000000000001</v>
      </c>
    </row>
    <row r="1106" spans="1:18" ht="12" customHeight="1" x14ac:dyDescent="0.35">
      <c r="A1106" s="75">
        <v>1322</v>
      </c>
      <c r="B1106" s="80">
        <v>2013</v>
      </c>
      <c r="C1106" s="80">
        <v>8</v>
      </c>
      <c r="D1106" s="80">
        <f t="shared" si="63"/>
        <v>2013</v>
      </c>
      <c r="E1106" t="s">
        <v>38</v>
      </c>
      <c r="F1106" t="s">
        <v>143</v>
      </c>
      <c r="G1106" t="s">
        <v>86</v>
      </c>
      <c r="H1106" s="72" t="s">
        <v>254</v>
      </c>
      <c r="I1106" s="72" t="s">
        <v>33</v>
      </c>
      <c r="J1106" t="str">
        <f t="shared" si="62"/>
        <v>Area 9: Admiralty Inlet</v>
      </c>
      <c r="K1106" t="str">
        <f>IFERROR(VLOOKUP(J1106,LUTs!$A$1:$C$73,2,FALSE),"NA")</f>
        <v>NA</v>
      </c>
      <c r="L1106" t="str">
        <f>IFERROR(VLOOKUP(J1106,LUTs!$A$1:$C$73,3,FALSE),"NA")</f>
        <v>2Central Puget Sound</v>
      </c>
      <c r="M1106" s="72" t="s">
        <v>18</v>
      </c>
      <c r="N1106" t="str">
        <f>VLOOKUP(M1106,LUTs!E$2:H$14,3,)</f>
        <v>06King</v>
      </c>
      <c r="O1106" t="str">
        <f>VLOOKUP(M1106,LUTs!E$2:H$14,4,)</f>
        <v>02South Puget Sound</v>
      </c>
      <c r="P1106" s="80">
        <v>0</v>
      </c>
      <c r="Q1106" s="103">
        <v>0</v>
      </c>
      <c r="R1106" s="74">
        <f>VLOOKUP(B1106,Readme!A$40:C$52,3,)*Q1106</f>
        <v>0</v>
      </c>
    </row>
    <row r="1107" spans="1:18" ht="12" customHeight="1" x14ac:dyDescent="0.35">
      <c r="A1107" s="75">
        <v>1323</v>
      </c>
      <c r="B1107" s="80">
        <v>2013</v>
      </c>
      <c r="C1107" s="80">
        <v>8</v>
      </c>
      <c r="D1107" s="80">
        <f t="shared" si="63"/>
        <v>2013</v>
      </c>
      <c r="E1107" t="s">
        <v>38</v>
      </c>
      <c r="F1107" t="s">
        <v>143</v>
      </c>
      <c r="G1107" t="s">
        <v>86</v>
      </c>
      <c r="H1107" s="72" t="s">
        <v>254</v>
      </c>
      <c r="I1107" s="72" t="s">
        <v>33</v>
      </c>
      <c r="J1107" t="str">
        <f t="shared" si="62"/>
        <v>Area 9: Admiralty Inlet</v>
      </c>
      <c r="K1107" t="str">
        <f>IFERROR(VLOOKUP(J1107,LUTs!$A$1:$C$73,2,FALSE),"NA")</f>
        <v>NA</v>
      </c>
      <c r="L1107" t="str">
        <f>IFERROR(VLOOKUP(J1107,LUTs!$A$1:$C$73,3,FALSE),"NA")</f>
        <v>2Central Puget Sound</v>
      </c>
      <c r="M1107" s="72" t="s">
        <v>26</v>
      </c>
      <c r="N1107" t="str">
        <f>VLOOKUP(M1107,LUTs!E$2:H$14,3,)</f>
        <v>20Other</v>
      </c>
      <c r="O1107" t="str">
        <f>VLOOKUP(M1107,LUTs!E$2:H$14,4,)</f>
        <v>07Non Puget Sound</v>
      </c>
      <c r="P1107" s="80">
        <v>0</v>
      </c>
      <c r="Q1107" s="103">
        <v>0</v>
      </c>
      <c r="R1107" s="74">
        <f>VLOOKUP(B1107,Readme!A$40:C$52,3,)*Q1107</f>
        <v>0</v>
      </c>
    </row>
    <row r="1108" spans="1:18" ht="12" customHeight="1" x14ac:dyDescent="0.35">
      <c r="A1108" s="75">
        <v>1324</v>
      </c>
      <c r="B1108" s="80">
        <v>2013</v>
      </c>
      <c r="C1108" s="80">
        <v>8</v>
      </c>
      <c r="D1108" s="80">
        <f t="shared" si="63"/>
        <v>2013</v>
      </c>
      <c r="E1108" t="s">
        <v>38</v>
      </c>
      <c r="F1108" t="s">
        <v>143</v>
      </c>
      <c r="G1108" t="s">
        <v>86</v>
      </c>
      <c r="H1108" s="72" t="s">
        <v>254</v>
      </c>
      <c r="I1108" s="72" t="s">
        <v>33</v>
      </c>
      <c r="J1108" t="str">
        <f t="shared" si="62"/>
        <v>Area 9: Admiralty Inlet</v>
      </c>
      <c r="K1108" t="str">
        <f>IFERROR(VLOOKUP(J1108,LUTs!$A$1:$C$73,2,FALSE),"NA")</f>
        <v>NA</v>
      </c>
      <c r="L1108" t="str">
        <f>IFERROR(VLOOKUP(J1108,LUTs!$A$1:$C$73,3,FALSE),"NA")</f>
        <v>2Central Puget Sound</v>
      </c>
      <c r="M1108" s="72" t="s">
        <v>16</v>
      </c>
      <c r="N1108" t="str">
        <f>VLOOKUP(M1108,LUTs!E$2:H$14,3,)</f>
        <v>03Snohomish</v>
      </c>
      <c r="O1108" t="str">
        <f>VLOOKUP(M1108,LUTs!E$2:H$14,4,)</f>
        <v>01North Puget Sound</v>
      </c>
      <c r="P1108" s="80">
        <v>0</v>
      </c>
      <c r="Q1108" s="103">
        <v>0</v>
      </c>
      <c r="R1108" s="74">
        <f>VLOOKUP(B1108,Readme!A$40:C$52,3,)*Q1108</f>
        <v>0</v>
      </c>
    </row>
    <row r="1109" spans="1:18" ht="12" customHeight="1" x14ac:dyDescent="0.35">
      <c r="A1109" s="75">
        <v>1065</v>
      </c>
      <c r="B1109" s="80">
        <v>2013</v>
      </c>
      <c r="C1109" s="80">
        <v>8</v>
      </c>
      <c r="D1109" s="80">
        <f t="shared" si="63"/>
        <v>2013</v>
      </c>
      <c r="E1109" t="s">
        <v>38</v>
      </c>
      <c r="F1109" t="s">
        <v>143</v>
      </c>
      <c r="G1109" t="s">
        <v>86</v>
      </c>
      <c r="H1109" s="72" t="s">
        <v>203</v>
      </c>
      <c r="I1109" s="72" t="s">
        <v>89</v>
      </c>
      <c r="J1109" s="84" t="s">
        <v>45</v>
      </c>
      <c r="K1109" t="str">
        <f>IFERROR(VLOOKUP(J1109,LUTs!$A$1:$C$73,2,FALSE),"NA")</f>
        <v>King</v>
      </c>
      <c r="L1109" t="str">
        <f>IFERROR(VLOOKUP(J1109,LUTs!$A$1:$C$73,3,FALSE),"NA")</f>
        <v>3South Puget Sound</v>
      </c>
      <c r="M1109" s="72" t="s">
        <v>18</v>
      </c>
      <c r="N1109" t="str">
        <f>VLOOKUP(M1109,LUTs!E$2:H$14,3,)</f>
        <v>06King</v>
      </c>
      <c r="O1109" t="str">
        <f>VLOOKUP(M1109,LUTs!E$2:H$14,4,)</f>
        <v>02South Puget Sound</v>
      </c>
      <c r="P1109" s="80">
        <v>197.18518518518499</v>
      </c>
      <c r="Q1109" s="103">
        <v>98.592592592592595</v>
      </c>
      <c r="R1109" s="74">
        <f>VLOOKUP(B1109,Readme!A$40:C$52,3,)*Q1109</f>
        <v>1828.8925925925928</v>
      </c>
    </row>
    <row r="1110" spans="1:18" ht="12" customHeight="1" x14ac:dyDescent="0.35">
      <c r="A1110" s="75">
        <v>1066</v>
      </c>
      <c r="B1110" s="80">
        <v>2013</v>
      </c>
      <c r="C1110" s="80">
        <v>8</v>
      </c>
      <c r="D1110" s="80">
        <f t="shared" si="63"/>
        <v>2013</v>
      </c>
      <c r="E1110" t="s">
        <v>38</v>
      </c>
      <c r="F1110" t="s">
        <v>143</v>
      </c>
      <c r="G1110" t="s">
        <v>86</v>
      </c>
      <c r="H1110" s="72" t="s">
        <v>203</v>
      </c>
      <c r="I1110" s="72" t="s">
        <v>89</v>
      </c>
      <c r="J1110" s="84" t="s">
        <v>45</v>
      </c>
      <c r="K1110" t="str">
        <f>IFERROR(VLOOKUP(J1110,LUTs!$A$1:$C$73,2,FALSE),"NA")</f>
        <v>King</v>
      </c>
      <c r="L1110" t="str">
        <f>IFERROR(VLOOKUP(J1110,LUTs!$A$1:$C$73,3,FALSE),"NA")</f>
        <v>3South Puget Sound</v>
      </c>
      <c r="M1110" s="72" t="s">
        <v>20</v>
      </c>
      <c r="N1110" t="str">
        <f>VLOOKUP(M1110,LUTs!E$2:H$14,3,)</f>
        <v>07Pierce</v>
      </c>
      <c r="O1110" t="str">
        <f>VLOOKUP(M1110,LUTs!E$2:H$14,4,)</f>
        <v>02South Puget Sound</v>
      </c>
      <c r="P1110" s="80">
        <v>35.851851851851897</v>
      </c>
      <c r="Q1110" s="103">
        <v>17.925925925925899</v>
      </c>
      <c r="R1110" s="74">
        <f>VLOOKUP(B1110,Readme!A$40:C$52,3,)*Q1110</f>
        <v>332.52592592592543</v>
      </c>
    </row>
    <row r="1111" spans="1:18" ht="12" customHeight="1" x14ac:dyDescent="0.35">
      <c r="A1111" s="75">
        <v>1067</v>
      </c>
      <c r="B1111" s="80">
        <v>2013</v>
      </c>
      <c r="C1111" s="80">
        <v>8</v>
      </c>
      <c r="D1111" s="80">
        <f t="shared" si="63"/>
        <v>2013</v>
      </c>
      <c r="E1111" t="s">
        <v>38</v>
      </c>
      <c r="F1111" t="s">
        <v>143</v>
      </c>
      <c r="G1111" t="s">
        <v>86</v>
      </c>
      <c r="H1111" s="72" t="s">
        <v>203</v>
      </c>
      <c r="I1111" s="72" t="s">
        <v>89</v>
      </c>
      <c r="J1111" s="84" t="s">
        <v>45</v>
      </c>
      <c r="K1111" t="str">
        <f>IFERROR(VLOOKUP(J1111,LUTs!$A$1:$C$73,2,FALSE),"NA")</f>
        <v>King</v>
      </c>
      <c r="L1111" t="str">
        <f>IFERROR(VLOOKUP(J1111,LUTs!$A$1:$C$73,3,FALSE),"NA")</f>
        <v>3South Puget Sound</v>
      </c>
      <c r="M1111" s="72" t="s">
        <v>16</v>
      </c>
      <c r="N1111" t="str">
        <f>VLOOKUP(M1111,LUTs!E$2:H$14,3,)</f>
        <v>03Snohomish</v>
      </c>
      <c r="O1111" t="str">
        <f>VLOOKUP(M1111,LUTs!E$2:H$14,4,)</f>
        <v>01North Puget Sound</v>
      </c>
      <c r="P1111" s="80">
        <v>8.9629629629629601</v>
      </c>
      <c r="Q1111" s="103">
        <v>4.4814814814814801</v>
      </c>
      <c r="R1111" s="74">
        <f>VLOOKUP(B1111,Readme!A$40:C$52,3,)*Q1111</f>
        <v>83.131481481481458</v>
      </c>
    </row>
    <row r="1112" spans="1:18" ht="12" customHeight="1" x14ac:dyDescent="0.35">
      <c r="A1112" s="75">
        <v>1094</v>
      </c>
      <c r="B1112" s="80">
        <v>2013</v>
      </c>
      <c r="C1112" s="80">
        <v>8</v>
      </c>
      <c r="D1112" s="80">
        <f t="shared" si="63"/>
        <v>2013</v>
      </c>
      <c r="E1112" t="s">
        <v>38</v>
      </c>
      <c r="F1112" t="s">
        <v>143</v>
      </c>
      <c r="G1112" t="s">
        <v>86</v>
      </c>
      <c r="H1112" s="72" t="s">
        <v>209</v>
      </c>
      <c r="I1112" s="72" t="s">
        <v>51</v>
      </c>
      <c r="J1112" t="str">
        <f t="shared" ref="J1112:J1123" si="64">I1112</f>
        <v>Nisqually River</v>
      </c>
      <c r="K1112" t="str">
        <f>IFERROR(VLOOKUP(J1112,LUTs!$A$1:$C$73,2,FALSE),"NA")</f>
        <v>Thurston/Pierce</v>
      </c>
      <c r="L1112" t="str">
        <f>IFERROR(VLOOKUP(J1112,LUTs!$A$1:$C$73,3,FALSE),"NA")</f>
        <v>3South Puget Sound</v>
      </c>
      <c r="M1112" s="72" t="s">
        <v>21</v>
      </c>
      <c r="N1112" t="str">
        <f>VLOOKUP(M1112,LUTs!E$2:H$14,3,)</f>
        <v>08Thurston</v>
      </c>
      <c r="O1112" t="str">
        <f>VLOOKUP(M1112,LUTs!E$2:H$14,4,)</f>
        <v>02South Puget Sound</v>
      </c>
      <c r="P1112" s="80">
        <v>6</v>
      </c>
      <c r="Q1112" s="103">
        <v>0</v>
      </c>
      <c r="R1112" s="74">
        <f>VLOOKUP(B1112,Readme!A$40:C$52,3,)*Q1112</f>
        <v>0</v>
      </c>
    </row>
    <row r="1113" spans="1:18" ht="12" customHeight="1" x14ac:dyDescent="0.35">
      <c r="A1113" s="75">
        <v>1104</v>
      </c>
      <c r="B1113" s="80">
        <v>2013</v>
      </c>
      <c r="C1113" s="80">
        <v>8</v>
      </c>
      <c r="D1113" s="80">
        <f t="shared" si="63"/>
        <v>2013</v>
      </c>
      <c r="E1113" t="s">
        <v>38</v>
      </c>
      <c r="F1113" t="s">
        <v>143</v>
      </c>
      <c r="G1113" t="s">
        <v>86</v>
      </c>
      <c r="H1113" s="72" t="s">
        <v>212</v>
      </c>
      <c r="I1113" s="72" t="s">
        <v>54</v>
      </c>
      <c r="J1113" t="str">
        <f t="shared" si="64"/>
        <v>Puyallup River</v>
      </c>
      <c r="K1113" t="str">
        <f>IFERROR(VLOOKUP(J1113,LUTs!$A$1:$C$73,2,FALSE),"NA")</f>
        <v>Pierce</v>
      </c>
      <c r="L1113" t="str">
        <f>IFERROR(VLOOKUP(J1113,LUTs!$A$1:$C$73,3,FALSE),"NA")</f>
        <v>3South Puget Sound</v>
      </c>
      <c r="M1113" s="72" t="s">
        <v>18</v>
      </c>
      <c r="N1113" t="str">
        <f>VLOOKUP(M1113,LUTs!E$2:H$14,3,)</f>
        <v>06King</v>
      </c>
      <c r="O1113" t="str">
        <f>VLOOKUP(M1113,LUTs!E$2:H$14,4,)</f>
        <v>02South Puget Sound</v>
      </c>
      <c r="P1113" s="80">
        <v>0</v>
      </c>
      <c r="Q1113" s="103">
        <v>0</v>
      </c>
      <c r="R1113" s="74">
        <f>VLOOKUP(B1113,Readme!A$40:C$52,3,)*Q1113</f>
        <v>0</v>
      </c>
    </row>
    <row r="1114" spans="1:18" ht="12" customHeight="1" x14ac:dyDescent="0.35">
      <c r="A1114" s="75">
        <v>1105</v>
      </c>
      <c r="B1114" s="80">
        <v>2013</v>
      </c>
      <c r="C1114" s="80">
        <v>8</v>
      </c>
      <c r="D1114" s="80">
        <f t="shared" si="63"/>
        <v>2013</v>
      </c>
      <c r="E1114" t="s">
        <v>38</v>
      </c>
      <c r="F1114" t="s">
        <v>143</v>
      </c>
      <c r="G1114" t="s">
        <v>86</v>
      </c>
      <c r="H1114" s="72" t="s">
        <v>212</v>
      </c>
      <c r="I1114" s="72" t="s">
        <v>54</v>
      </c>
      <c r="J1114" t="str">
        <f t="shared" si="64"/>
        <v>Puyallup River</v>
      </c>
      <c r="K1114" t="str">
        <f>IFERROR(VLOOKUP(J1114,LUTs!$A$1:$C$73,2,FALSE),"NA")</f>
        <v>Pierce</v>
      </c>
      <c r="L1114" t="str">
        <f>IFERROR(VLOOKUP(J1114,LUTs!$A$1:$C$73,3,FALSE),"NA")</f>
        <v>3South Puget Sound</v>
      </c>
      <c r="M1114" s="72" t="s">
        <v>26</v>
      </c>
      <c r="N1114" t="str">
        <f>VLOOKUP(M1114,LUTs!E$2:H$14,3,)</f>
        <v>20Other</v>
      </c>
      <c r="O1114" t="str">
        <f>VLOOKUP(M1114,LUTs!E$2:H$14,4,)</f>
        <v>07Non Puget Sound</v>
      </c>
      <c r="P1114" s="80">
        <v>0</v>
      </c>
      <c r="Q1114" s="103">
        <v>0</v>
      </c>
      <c r="R1114" s="74">
        <f>VLOOKUP(B1114,Readme!A$40:C$52,3,)*Q1114</f>
        <v>0</v>
      </c>
    </row>
    <row r="1115" spans="1:18" ht="12" customHeight="1" x14ac:dyDescent="0.35">
      <c r="A1115" s="75">
        <v>1106</v>
      </c>
      <c r="B1115" s="80">
        <v>2013</v>
      </c>
      <c r="C1115" s="80">
        <v>8</v>
      </c>
      <c r="D1115" s="80">
        <f t="shared" si="63"/>
        <v>2013</v>
      </c>
      <c r="E1115" t="s">
        <v>38</v>
      </c>
      <c r="F1115" t="s">
        <v>143</v>
      </c>
      <c r="G1115" t="s">
        <v>86</v>
      </c>
      <c r="H1115" s="72" t="s">
        <v>212</v>
      </c>
      <c r="I1115" s="72" t="s">
        <v>54</v>
      </c>
      <c r="J1115" t="str">
        <f t="shared" si="64"/>
        <v>Puyallup River</v>
      </c>
      <c r="K1115" t="str">
        <f>IFERROR(VLOOKUP(J1115,LUTs!$A$1:$C$73,2,FALSE),"NA")</f>
        <v>Pierce</v>
      </c>
      <c r="L1115" t="str">
        <f>IFERROR(VLOOKUP(J1115,LUTs!$A$1:$C$73,3,FALSE),"NA")</f>
        <v>3South Puget Sound</v>
      </c>
      <c r="M1115" s="72" t="s">
        <v>20</v>
      </c>
      <c r="N1115" t="str">
        <f>VLOOKUP(M1115,LUTs!E$2:H$14,3,)</f>
        <v>07Pierce</v>
      </c>
      <c r="O1115" t="str">
        <f>VLOOKUP(M1115,LUTs!E$2:H$14,4,)</f>
        <v>02South Puget Sound</v>
      </c>
      <c r="P1115" s="80">
        <v>10</v>
      </c>
      <c r="Q1115" s="103">
        <v>0</v>
      </c>
      <c r="R1115" s="74">
        <f>VLOOKUP(B1115,Readme!A$40:C$52,3,)*Q1115</f>
        <v>0</v>
      </c>
    </row>
    <row r="1116" spans="1:18" ht="12" customHeight="1" x14ac:dyDescent="0.35">
      <c r="A1116" s="75">
        <v>1107</v>
      </c>
      <c r="B1116" s="80">
        <v>2013</v>
      </c>
      <c r="C1116" s="80">
        <v>8</v>
      </c>
      <c r="D1116" s="80">
        <f t="shared" si="63"/>
        <v>2013</v>
      </c>
      <c r="E1116" t="s">
        <v>38</v>
      </c>
      <c r="F1116" t="s">
        <v>143</v>
      </c>
      <c r="G1116" t="s">
        <v>86</v>
      </c>
      <c r="H1116" s="72" t="s">
        <v>212</v>
      </c>
      <c r="I1116" s="72" t="s">
        <v>54</v>
      </c>
      <c r="J1116" t="str">
        <f t="shared" si="64"/>
        <v>Puyallup River</v>
      </c>
      <c r="K1116" t="str">
        <f>IFERROR(VLOOKUP(J1116,LUTs!$A$1:$C$73,2,FALSE),"NA")</f>
        <v>Pierce</v>
      </c>
      <c r="L1116" t="str">
        <f>IFERROR(VLOOKUP(J1116,LUTs!$A$1:$C$73,3,FALSE),"NA")</f>
        <v>3South Puget Sound</v>
      </c>
      <c r="M1116" s="72" t="s">
        <v>21</v>
      </c>
      <c r="N1116" t="str">
        <f>VLOOKUP(M1116,LUTs!E$2:H$14,3,)</f>
        <v>08Thurston</v>
      </c>
      <c r="O1116" t="str">
        <f>VLOOKUP(M1116,LUTs!E$2:H$14,4,)</f>
        <v>02South Puget Sound</v>
      </c>
      <c r="P1116" s="80">
        <v>0</v>
      </c>
      <c r="Q1116" s="103">
        <v>0</v>
      </c>
      <c r="R1116" s="74">
        <f>VLOOKUP(B1116,Readme!A$40:C$52,3,)*Q1116</f>
        <v>0</v>
      </c>
    </row>
    <row r="1117" spans="1:18" ht="12" customHeight="1" x14ac:dyDescent="0.35">
      <c r="A1117" s="75">
        <v>1166</v>
      </c>
      <c r="B1117" s="80">
        <v>2013</v>
      </c>
      <c r="C1117" s="80">
        <v>8</v>
      </c>
      <c r="D1117" s="80">
        <f t="shared" si="63"/>
        <v>2013</v>
      </c>
      <c r="E1117" t="s">
        <v>38</v>
      </c>
      <c r="F1117" t="s">
        <v>143</v>
      </c>
      <c r="G1117" t="s">
        <v>86</v>
      </c>
      <c r="H1117" s="72" t="s">
        <v>246</v>
      </c>
      <c r="I1117" s="72" t="s">
        <v>97</v>
      </c>
      <c r="J1117" t="str">
        <f t="shared" si="64"/>
        <v>Raging River</v>
      </c>
      <c r="K1117" t="str">
        <f>IFERROR(VLOOKUP(J1117,LUTs!$A$1:$C$73,2,FALSE),"NA")</f>
        <v>King</v>
      </c>
      <c r="L1117" t="str">
        <f>IFERROR(VLOOKUP(J1117,LUTs!$A$1:$C$73,3,FALSE),"NA")</f>
        <v>2Central Puget Sound</v>
      </c>
      <c r="M1117" s="72" t="s">
        <v>18</v>
      </c>
      <c r="N1117" t="str">
        <f>VLOOKUP(M1117,LUTs!E$2:H$14,3,)</f>
        <v>06King</v>
      </c>
      <c r="O1117" t="str">
        <f>VLOOKUP(M1117,LUTs!E$2:H$14,4,)</f>
        <v>02South Puget Sound</v>
      </c>
      <c r="P1117" s="80">
        <v>22</v>
      </c>
      <c r="Q1117" s="103">
        <v>11</v>
      </c>
      <c r="R1117" s="74">
        <f>VLOOKUP(B1117,Readme!A$40:C$52,3,)*Q1117</f>
        <v>204.05</v>
      </c>
    </row>
    <row r="1118" spans="1:18" ht="12" customHeight="1" x14ac:dyDescent="0.35">
      <c r="A1118" s="75">
        <v>1142</v>
      </c>
      <c r="B1118" s="80">
        <v>2013</v>
      </c>
      <c r="C1118" s="80">
        <v>8</v>
      </c>
      <c r="D1118" s="80">
        <f t="shared" si="63"/>
        <v>2013</v>
      </c>
      <c r="E1118" t="s">
        <v>38</v>
      </c>
      <c r="F1118" t="s">
        <v>143</v>
      </c>
      <c r="G1118" t="s">
        <v>86</v>
      </c>
      <c r="H1118" s="72" t="s">
        <v>218</v>
      </c>
      <c r="I1118" s="72" t="s">
        <v>60</v>
      </c>
      <c r="J1118" t="str">
        <f t="shared" si="64"/>
        <v>Skagit River</v>
      </c>
      <c r="K1118" t="str">
        <f>IFERROR(VLOOKUP(J1118,LUTs!$A$1:$C$73,2,FALSE),"NA")</f>
        <v>Skagit/Whatcom</v>
      </c>
      <c r="L1118" t="str">
        <f>IFERROR(VLOOKUP(J1118,LUTs!$A$1:$C$73,3,FALSE),"NA")</f>
        <v>2Central Puget Sound</v>
      </c>
      <c r="M1118" s="72" t="s">
        <v>17</v>
      </c>
      <c r="N1118" t="str">
        <f>VLOOKUP(M1118,LUTs!E$2:H$14,3,)</f>
        <v>04Island</v>
      </c>
      <c r="O1118" t="str">
        <f>VLOOKUP(M1118,LUTs!E$2:H$14,4,)</f>
        <v>01North Puget Sound</v>
      </c>
      <c r="P1118" s="80">
        <v>0</v>
      </c>
      <c r="Q1118" s="103">
        <v>0</v>
      </c>
      <c r="R1118" s="74">
        <f>VLOOKUP(B1118,Readme!A$40:C$52,3,)*Q1118</f>
        <v>0</v>
      </c>
    </row>
    <row r="1119" spans="1:18" ht="12" customHeight="1" x14ac:dyDescent="0.35">
      <c r="A1119" s="75">
        <v>1143</v>
      </c>
      <c r="B1119" s="80">
        <v>2013</v>
      </c>
      <c r="C1119" s="80">
        <v>8</v>
      </c>
      <c r="D1119" s="80">
        <f t="shared" si="63"/>
        <v>2013</v>
      </c>
      <c r="E1119" t="s">
        <v>38</v>
      </c>
      <c r="F1119" t="s">
        <v>143</v>
      </c>
      <c r="G1119" t="s">
        <v>86</v>
      </c>
      <c r="H1119" s="72" t="s">
        <v>218</v>
      </c>
      <c r="I1119" s="72" t="s">
        <v>60</v>
      </c>
      <c r="J1119" t="str">
        <f t="shared" si="64"/>
        <v>Skagit River</v>
      </c>
      <c r="K1119" t="str">
        <f>IFERROR(VLOOKUP(J1119,LUTs!$A$1:$C$73,2,FALSE),"NA")</f>
        <v>Skagit/Whatcom</v>
      </c>
      <c r="L1119" t="str">
        <f>IFERROR(VLOOKUP(J1119,LUTs!$A$1:$C$73,3,FALSE),"NA")</f>
        <v>2Central Puget Sound</v>
      </c>
      <c r="M1119" s="72" t="s">
        <v>18</v>
      </c>
      <c r="N1119" t="str">
        <f>VLOOKUP(M1119,LUTs!E$2:H$14,3,)</f>
        <v>06King</v>
      </c>
      <c r="O1119" t="str">
        <f>VLOOKUP(M1119,LUTs!E$2:H$14,4,)</f>
        <v>02South Puget Sound</v>
      </c>
      <c r="P1119" s="80">
        <v>0</v>
      </c>
      <c r="Q1119" s="103">
        <v>0</v>
      </c>
      <c r="R1119" s="74">
        <f>VLOOKUP(B1119,Readme!A$40:C$52,3,)*Q1119</f>
        <v>0</v>
      </c>
    </row>
    <row r="1120" spans="1:18" ht="12" customHeight="1" x14ac:dyDescent="0.35">
      <c r="A1120" s="75">
        <v>1144</v>
      </c>
      <c r="B1120" s="80">
        <v>2013</v>
      </c>
      <c r="C1120" s="80">
        <v>8</v>
      </c>
      <c r="D1120" s="80">
        <f t="shared" si="63"/>
        <v>2013</v>
      </c>
      <c r="E1120" t="s">
        <v>38</v>
      </c>
      <c r="F1120" t="s">
        <v>143</v>
      </c>
      <c r="G1120" t="s">
        <v>86</v>
      </c>
      <c r="H1120" s="72" t="s">
        <v>218</v>
      </c>
      <c r="I1120" s="72" t="s">
        <v>60</v>
      </c>
      <c r="J1120" t="str">
        <f t="shared" si="64"/>
        <v>Skagit River</v>
      </c>
      <c r="K1120" t="str">
        <f>IFERROR(VLOOKUP(J1120,LUTs!$A$1:$C$73,2,FALSE),"NA")</f>
        <v>Skagit/Whatcom</v>
      </c>
      <c r="L1120" t="str">
        <f>IFERROR(VLOOKUP(J1120,LUTs!$A$1:$C$73,3,FALSE),"NA")</f>
        <v>2Central Puget Sound</v>
      </c>
      <c r="M1120" s="72" t="s">
        <v>26</v>
      </c>
      <c r="N1120" t="str">
        <f>VLOOKUP(M1120,LUTs!E$2:H$14,3,)</f>
        <v>20Other</v>
      </c>
      <c r="O1120" t="str">
        <f>VLOOKUP(M1120,LUTs!E$2:H$14,4,)</f>
        <v>07Non Puget Sound</v>
      </c>
      <c r="P1120" s="80">
        <v>0</v>
      </c>
      <c r="Q1120" s="103">
        <v>0</v>
      </c>
      <c r="R1120" s="74">
        <f>VLOOKUP(B1120,Readme!A$40:C$52,3,)*Q1120</f>
        <v>0</v>
      </c>
    </row>
    <row r="1121" spans="1:18" ht="12" customHeight="1" x14ac:dyDescent="0.35">
      <c r="A1121" s="75">
        <v>1145</v>
      </c>
      <c r="B1121" s="80">
        <v>2013</v>
      </c>
      <c r="C1121" s="80">
        <v>8</v>
      </c>
      <c r="D1121" s="80">
        <f t="shared" si="63"/>
        <v>2013</v>
      </c>
      <c r="E1121" t="s">
        <v>38</v>
      </c>
      <c r="F1121" t="s">
        <v>143</v>
      </c>
      <c r="G1121" t="s">
        <v>86</v>
      </c>
      <c r="H1121" s="72" t="s">
        <v>218</v>
      </c>
      <c r="I1121" s="72" t="s">
        <v>60</v>
      </c>
      <c r="J1121" t="str">
        <f t="shared" si="64"/>
        <v>Skagit River</v>
      </c>
      <c r="K1121" t="str">
        <f>IFERROR(VLOOKUP(J1121,LUTs!$A$1:$C$73,2,FALSE),"NA")</f>
        <v>Skagit/Whatcom</v>
      </c>
      <c r="L1121" t="str">
        <f>IFERROR(VLOOKUP(J1121,LUTs!$A$1:$C$73,3,FALSE),"NA")</f>
        <v>2Central Puget Sound</v>
      </c>
      <c r="M1121" s="72" t="s">
        <v>20</v>
      </c>
      <c r="N1121" t="str">
        <f>VLOOKUP(M1121,LUTs!E$2:H$14,3,)</f>
        <v>07Pierce</v>
      </c>
      <c r="O1121" t="str">
        <f>VLOOKUP(M1121,LUTs!E$2:H$14,4,)</f>
        <v>02South Puget Sound</v>
      </c>
      <c r="P1121" s="80">
        <v>0</v>
      </c>
      <c r="Q1121" s="103">
        <v>0</v>
      </c>
      <c r="R1121" s="74">
        <f>VLOOKUP(B1121,Readme!A$40:C$52,3,)*Q1121</f>
        <v>0</v>
      </c>
    </row>
    <row r="1122" spans="1:18" ht="12" customHeight="1" x14ac:dyDescent="0.35">
      <c r="A1122" s="75">
        <v>1146</v>
      </c>
      <c r="B1122" s="80">
        <v>2013</v>
      </c>
      <c r="C1122" s="80">
        <v>8</v>
      </c>
      <c r="D1122" s="80">
        <f t="shared" si="63"/>
        <v>2013</v>
      </c>
      <c r="E1122" t="s">
        <v>38</v>
      </c>
      <c r="F1122" t="s">
        <v>143</v>
      </c>
      <c r="G1122" t="s">
        <v>86</v>
      </c>
      <c r="H1122" s="72" t="s">
        <v>218</v>
      </c>
      <c r="I1122" s="72" t="s">
        <v>60</v>
      </c>
      <c r="J1122" t="str">
        <f t="shared" si="64"/>
        <v>Skagit River</v>
      </c>
      <c r="K1122" t="str">
        <f>IFERROR(VLOOKUP(J1122,LUTs!$A$1:$C$73,2,FALSE),"NA")</f>
        <v>Skagit/Whatcom</v>
      </c>
      <c r="L1122" t="str">
        <f>IFERROR(VLOOKUP(J1122,LUTs!$A$1:$C$73,3,FALSE),"NA")</f>
        <v>2Central Puget Sound</v>
      </c>
      <c r="M1122" s="72" t="s">
        <v>15</v>
      </c>
      <c r="N1122" t="str">
        <f>VLOOKUP(M1122,LUTs!E$2:H$14,3,)</f>
        <v>02Skagit</v>
      </c>
      <c r="O1122" t="str">
        <f>VLOOKUP(M1122,LUTs!E$2:H$14,4,)</f>
        <v>01North Puget Sound</v>
      </c>
      <c r="P1122" s="80">
        <v>0</v>
      </c>
      <c r="Q1122" s="103">
        <v>0</v>
      </c>
      <c r="R1122" s="74">
        <f>VLOOKUP(B1122,Readme!A$40:C$52,3,)*Q1122</f>
        <v>0</v>
      </c>
    </row>
    <row r="1123" spans="1:18" ht="12" customHeight="1" x14ac:dyDescent="0.35">
      <c r="A1123" s="75">
        <v>1147</v>
      </c>
      <c r="B1123" s="80">
        <v>2013</v>
      </c>
      <c r="C1123" s="80">
        <v>8</v>
      </c>
      <c r="D1123" s="80">
        <f t="shared" si="63"/>
        <v>2013</v>
      </c>
      <c r="E1123" t="s">
        <v>38</v>
      </c>
      <c r="F1123" t="s">
        <v>143</v>
      </c>
      <c r="G1123" t="s">
        <v>86</v>
      </c>
      <c r="H1123" s="72" t="s">
        <v>218</v>
      </c>
      <c r="I1123" s="72" t="s">
        <v>60</v>
      </c>
      <c r="J1123" t="str">
        <f t="shared" si="64"/>
        <v>Skagit River</v>
      </c>
      <c r="K1123" t="str">
        <f>IFERROR(VLOOKUP(J1123,LUTs!$A$1:$C$73,2,FALSE),"NA")</f>
        <v>Skagit/Whatcom</v>
      </c>
      <c r="L1123" t="str">
        <f>IFERROR(VLOOKUP(J1123,LUTs!$A$1:$C$73,3,FALSE),"NA")</f>
        <v>2Central Puget Sound</v>
      </c>
      <c r="M1123" s="72" t="s">
        <v>16</v>
      </c>
      <c r="N1123" t="str">
        <f>VLOOKUP(M1123,LUTs!E$2:H$14,3,)</f>
        <v>03Snohomish</v>
      </c>
      <c r="O1123" t="str">
        <f>VLOOKUP(M1123,LUTs!E$2:H$14,4,)</f>
        <v>01North Puget Sound</v>
      </c>
      <c r="P1123" s="80">
        <v>0</v>
      </c>
      <c r="Q1123" s="103">
        <v>0</v>
      </c>
      <c r="R1123" s="74">
        <f>VLOOKUP(B1123,Readme!A$40:C$52,3,)*Q1123</f>
        <v>0</v>
      </c>
    </row>
    <row r="1124" spans="1:18" ht="12" customHeight="1" x14ac:dyDescent="0.35">
      <c r="A1124" s="75">
        <v>1160</v>
      </c>
      <c r="B1124" s="80">
        <v>2013</v>
      </c>
      <c r="C1124" s="80">
        <v>8</v>
      </c>
      <c r="D1124" s="80">
        <f t="shared" si="63"/>
        <v>2013</v>
      </c>
      <c r="E1124" t="s">
        <v>38</v>
      </c>
      <c r="F1124" t="s">
        <v>143</v>
      </c>
      <c r="G1124" t="s">
        <v>86</v>
      </c>
      <c r="H1124" s="72" t="s">
        <v>219</v>
      </c>
      <c r="I1124" s="72" t="s">
        <v>259</v>
      </c>
      <c r="J1124" s="84" t="s">
        <v>61</v>
      </c>
      <c r="K1124" t="str">
        <f>IFERROR(VLOOKUP(J1124,LUTs!$A$1:$C$73,2,FALSE),"NA")</f>
        <v>Mason</v>
      </c>
      <c r="L1124" t="str">
        <f>IFERROR(VLOOKUP(J1124,LUTs!$A$1:$C$73,3,FALSE),"NA")</f>
        <v>4 Hood Canal</v>
      </c>
      <c r="M1124" s="72" t="s">
        <v>22</v>
      </c>
      <c r="N1124" t="str">
        <f>VLOOKUP(M1124,LUTs!E$2:H$14,3,)</f>
        <v>09Mason</v>
      </c>
      <c r="O1124" t="str">
        <f>VLOOKUP(M1124,LUTs!E$2:H$14,4,)</f>
        <v>02South Puget Sound</v>
      </c>
      <c r="P1124" s="80">
        <v>6</v>
      </c>
      <c r="Q1124" s="103">
        <v>0</v>
      </c>
      <c r="R1124" s="74">
        <f>VLOOKUP(B1124,Readme!A$40:C$52,3,)*Q1124</f>
        <v>0</v>
      </c>
    </row>
    <row r="1125" spans="1:18" ht="12" customHeight="1" x14ac:dyDescent="0.35">
      <c r="A1125" s="75">
        <v>1161</v>
      </c>
      <c r="B1125" s="80">
        <v>2013</v>
      </c>
      <c r="C1125" s="80">
        <v>8</v>
      </c>
      <c r="D1125" s="80">
        <f t="shared" si="63"/>
        <v>2013</v>
      </c>
      <c r="E1125" t="s">
        <v>38</v>
      </c>
      <c r="F1125" t="s">
        <v>143</v>
      </c>
      <c r="G1125" t="s">
        <v>86</v>
      </c>
      <c r="H1125" s="72" t="s">
        <v>219</v>
      </c>
      <c r="I1125" s="72" t="s">
        <v>259</v>
      </c>
      <c r="J1125" s="84" t="s">
        <v>61</v>
      </c>
      <c r="K1125" t="str">
        <f>IFERROR(VLOOKUP(J1125,LUTs!$A$1:$C$73,2,FALSE),"NA")</f>
        <v>Mason</v>
      </c>
      <c r="L1125" t="str">
        <f>IFERROR(VLOOKUP(J1125,LUTs!$A$1:$C$73,3,FALSE),"NA")</f>
        <v>4 Hood Canal</v>
      </c>
      <c r="M1125" s="72" t="s">
        <v>20</v>
      </c>
      <c r="N1125" t="str">
        <f>VLOOKUP(M1125,LUTs!E$2:H$14,3,)</f>
        <v>07Pierce</v>
      </c>
      <c r="O1125" t="str">
        <f>VLOOKUP(M1125,LUTs!E$2:H$14,4,)</f>
        <v>02South Puget Sound</v>
      </c>
      <c r="P1125" s="80">
        <v>6</v>
      </c>
      <c r="Q1125" s="103">
        <v>0</v>
      </c>
      <c r="R1125" s="74">
        <f>VLOOKUP(B1125,Readme!A$40:C$52,3,)*Q1125</f>
        <v>0</v>
      </c>
    </row>
    <row r="1126" spans="1:18" ht="12" customHeight="1" x14ac:dyDescent="0.35">
      <c r="A1126" s="75">
        <v>1183</v>
      </c>
      <c r="B1126" s="80">
        <v>2013</v>
      </c>
      <c r="C1126" s="80">
        <v>8</v>
      </c>
      <c r="D1126" s="80">
        <f t="shared" si="63"/>
        <v>2013</v>
      </c>
      <c r="E1126" t="s">
        <v>38</v>
      </c>
      <c r="F1126" t="s">
        <v>143</v>
      </c>
      <c r="G1126" t="s">
        <v>86</v>
      </c>
      <c r="H1126" s="72" t="s">
        <v>220</v>
      </c>
      <c r="I1126" s="72" t="s">
        <v>62</v>
      </c>
      <c r="J1126" t="str">
        <f t="shared" ref="J1126:J1141" si="65">I1126</f>
        <v>Skykomish River</v>
      </c>
      <c r="K1126" t="str">
        <f>IFERROR(VLOOKUP(J1126,LUTs!$A$1:$C$73,2,FALSE),"NA")</f>
        <v>Snohomish</v>
      </c>
      <c r="L1126" t="str">
        <f>IFERROR(VLOOKUP(J1126,LUTs!$A$1:$C$73,3,FALSE),"NA")</f>
        <v>2Central Puget Sound</v>
      </c>
      <c r="M1126" s="72" t="s">
        <v>18</v>
      </c>
      <c r="N1126" t="str">
        <f>VLOOKUP(M1126,LUTs!E$2:H$14,3,)</f>
        <v>06King</v>
      </c>
      <c r="O1126" t="str">
        <f>VLOOKUP(M1126,LUTs!E$2:H$14,4,)</f>
        <v>02South Puget Sound</v>
      </c>
      <c r="P1126" s="80">
        <v>166.222222222222</v>
      </c>
      <c r="Q1126" s="103">
        <v>83.1111111111111</v>
      </c>
      <c r="R1126" s="74">
        <f>VLOOKUP(B1126,Readme!A$40:C$52,3,)*Q1126</f>
        <v>1541.711111111111</v>
      </c>
    </row>
    <row r="1127" spans="1:18" ht="12" customHeight="1" x14ac:dyDescent="0.35">
      <c r="A1127" s="75">
        <v>1184</v>
      </c>
      <c r="B1127" s="80">
        <v>2013</v>
      </c>
      <c r="C1127" s="80">
        <v>8</v>
      </c>
      <c r="D1127" s="80">
        <f t="shared" si="63"/>
        <v>2013</v>
      </c>
      <c r="E1127" t="s">
        <v>38</v>
      </c>
      <c r="F1127" t="s">
        <v>143</v>
      </c>
      <c r="G1127" t="s">
        <v>86</v>
      </c>
      <c r="H1127" s="72" t="s">
        <v>220</v>
      </c>
      <c r="I1127" s="72" t="s">
        <v>62</v>
      </c>
      <c r="J1127" t="str">
        <f t="shared" si="65"/>
        <v>Skykomish River</v>
      </c>
      <c r="K1127" t="str">
        <f>IFERROR(VLOOKUP(J1127,LUTs!$A$1:$C$73,2,FALSE),"NA")</f>
        <v>Snohomish</v>
      </c>
      <c r="L1127" t="str">
        <f>IFERROR(VLOOKUP(J1127,LUTs!$A$1:$C$73,3,FALSE),"NA")</f>
        <v>2Central Puget Sound</v>
      </c>
      <c r="M1127" s="72" t="s">
        <v>26</v>
      </c>
      <c r="N1127" t="str">
        <f>VLOOKUP(M1127,LUTs!E$2:H$14,3,)</f>
        <v>20Other</v>
      </c>
      <c r="O1127" t="str">
        <f>VLOOKUP(M1127,LUTs!E$2:H$14,4,)</f>
        <v>07Non Puget Sound</v>
      </c>
      <c r="P1127" s="80">
        <v>7.5555555555555598</v>
      </c>
      <c r="Q1127" s="103">
        <v>3.7777777777777799</v>
      </c>
      <c r="R1127" s="74">
        <f>VLOOKUP(B1127,Readme!A$40:C$52,3,)*Q1127</f>
        <v>70.077777777777825</v>
      </c>
    </row>
    <row r="1128" spans="1:18" ht="12" customHeight="1" x14ac:dyDescent="0.35">
      <c r="A1128" s="75">
        <v>1185</v>
      </c>
      <c r="B1128" s="80">
        <v>2013</v>
      </c>
      <c r="C1128" s="80">
        <v>8</v>
      </c>
      <c r="D1128" s="80">
        <f t="shared" si="63"/>
        <v>2013</v>
      </c>
      <c r="E1128" t="s">
        <v>38</v>
      </c>
      <c r="F1128" t="s">
        <v>143</v>
      </c>
      <c r="G1128" t="s">
        <v>86</v>
      </c>
      <c r="H1128" s="72" t="s">
        <v>220</v>
      </c>
      <c r="I1128" s="72" t="s">
        <v>62</v>
      </c>
      <c r="J1128" t="str">
        <f t="shared" si="65"/>
        <v>Skykomish River</v>
      </c>
      <c r="K1128" t="str">
        <f>IFERROR(VLOOKUP(J1128,LUTs!$A$1:$C$73,2,FALSE),"NA")</f>
        <v>Snohomish</v>
      </c>
      <c r="L1128" t="str">
        <f>IFERROR(VLOOKUP(J1128,LUTs!$A$1:$C$73,3,FALSE),"NA")</f>
        <v>2Central Puget Sound</v>
      </c>
      <c r="M1128" s="72" t="s">
        <v>20</v>
      </c>
      <c r="N1128" t="str">
        <f>VLOOKUP(M1128,LUTs!E$2:H$14,3,)</f>
        <v>07Pierce</v>
      </c>
      <c r="O1128" t="str">
        <f>VLOOKUP(M1128,LUTs!E$2:H$14,4,)</f>
        <v>02South Puget Sound</v>
      </c>
      <c r="P1128" s="80">
        <v>7.5555555555555598</v>
      </c>
      <c r="Q1128" s="103">
        <v>3.7777777777777799</v>
      </c>
      <c r="R1128" s="74">
        <f>VLOOKUP(B1128,Readme!A$40:C$52,3,)*Q1128</f>
        <v>70.077777777777825</v>
      </c>
    </row>
    <row r="1129" spans="1:18" ht="12" customHeight="1" x14ac:dyDescent="0.35">
      <c r="A1129" s="75">
        <v>1186</v>
      </c>
      <c r="B1129" s="80">
        <v>2013</v>
      </c>
      <c r="C1129" s="80">
        <v>8</v>
      </c>
      <c r="D1129" s="80">
        <f t="shared" si="63"/>
        <v>2013</v>
      </c>
      <c r="E1129" t="s">
        <v>38</v>
      </c>
      <c r="F1129" t="s">
        <v>143</v>
      </c>
      <c r="G1129" t="s">
        <v>86</v>
      </c>
      <c r="H1129" s="72" t="s">
        <v>220</v>
      </c>
      <c r="I1129" s="72" t="s">
        <v>62</v>
      </c>
      <c r="J1129" t="str">
        <f t="shared" si="65"/>
        <v>Skykomish River</v>
      </c>
      <c r="K1129" t="str">
        <f>IFERROR(VLOOKUP(J1129,LUTs!$A$1:$C$73,2,FALSE),"NA")</f>
        <v>Snohomish</v>
      </c>
      <c r="L1129" t="str">
        <f>IFERROR(VLOOKUP(J1129,LUTs!$A$1:$C$73,3,FALSE),"NA")</f>
        <v>2Central Puget Sound</v>
      </c>
      <c r="M1129" s="72" t="s">
        <v>15</v>
      </c>
      <c r="N1129" t="str">
        <f>VLOOKUP(M1129,LUTs!E$2:H$14,3,)</f>
        <v>02Skagit</v>
      </c>
      <c r="O1129" t="str">
        <f>VLOOKUP(M1129,LUTs!E$2:H$14,4,)</f>
        <v>01North Puget Sound</v>
      </c>
      <c r="P1129" s="80">
        <v>7.5555555555555598</v>
      </c>
      <c r="Q1129" s="103">
        <v>3.7777777777777799</v>
      </c>
      <c r="R1129" s="74">
        <f>VLOOKUP(B1129,Readme!A$40:C$52,3,)*Q1129</f>
        <v>70.077777777777825</v>
      </c>
    </row>
    <row r="1130" spans="1:18" ht="12" customHeight="1" x14ac:dyDescent="0.35">
      <c r="A1130" s="75">
        <v>1187</v>
      </c>
      <c r="B1130" s="80">
        <v>2013</v>
      </c>
      <c r="C1130" s="80">
        <v>8</v>
      </c>
      <c r="D1130" s="80">
        <f t="shared" si="63"/>
        <v>2013</v>
      </c>
      <c r="E1130" t="s">
        <v>38</v>
      </c>
      <c r="F1130" t="s">
        <v>143</v>
      </c>
      <c r="G1130" t="s">
        <v>86</v>
      </c>
      <c r="H1130" s="72" t="s">
        <v>220</v>
      </c>
      <c r="I1130" s="72" t="s">
        <v>62</v>
      </c>
      <c r="J1130" t="str">
        <f t="shared" si="65"/>
        <v>Skykomish River</v>
      </c>
      <c r="K1130" t="str">
        <f>IFERROR(VLOOKUP(J1130,LUTs!$A$1:$C$73,2,FALSE),"NA")</f>
        <v>Snohomish</v>
      </c>
      <c r="L1130" t="str">
        <f>IFERROR(VLOOKUP(J1130,LUTs!$A$1:$C$73,3,FALSE),"NA")</f>
        <v>2Central Puget Sound</v>
      </c>
      <c r="M1130" s="72" t="s">
        <v>16</v>
      </c>
      <c r="N1130" t="str">
        <f>VLOOKUP(M1130,LUTs!E$2:H$14,3,)</f>
        <v>03Snohomish</v>
      </c>
      <c r="O1130" t="str">
        <f>VLOOKUP(M1130,LUTs!E$2:H$14,4,)</f>
        <v>01North Puget Sound</v>
      </c>
      <c r="P1130" s="80">
        <v>430.66666666666703</v>
      </c>
      <c r="Q1130" s="103">
        <v>215.333333333333</v>
      </c>
      <c r="R1130" s="74">
        <f>VLOOKUP(B1130,Readme!A$40:C$52,3,)*Q1130</f>
        <v>3994.4333333333275</v>
      </c>
    </row>
    <row r="1131" spans="1:18" ht="12" customHeight="1" x14ac:dyDescent="0.35">
      <c r="A1131" s="75">
        <v>1188</v>
      </c>
      <c r="B1131" s="80">
        <v>2013</v>
      </c>
      <c r="C1131" s="80">
        <v>8</v>
      </c>
      <c r="D1131" s="80">
        <f t="shared" si="63"/>
        <v>2013</v>
      </c>
      <c r="E1131" t="s">
        <v>38</v>
      </c>
      <c r="F1131" t="s">
        <v>143</v>
      </c>
      <c r="G1131" t="s">
        <v>86</v>
      </c>
      <c r="H1131" s="72" t="s">
        <v>220</v>
      </c>
      <c r="I1131" s="72" t="s">
        <v>62</v>
      </c>
      <c r="J1131" t="str">
        <f t="shared" si="65"/>
        <v>Skykomish River</v>
      </c>
      <c r="K1131" t="str">
        <f>IFERROR(VLOOKUP(J1131,LUTs!$A$1:$C$73,2,FALSE),"NA")</f>
        <v>Snohomish</v>
      </c>
      <c r="L1131" t="str">
        <f>IFERROR(VLOOKUP(J1131,LUTs!$A$1:$C$73,3,FALSE),"NA")</f>
        <v>2Central Puget Sound</v>
      </c>
      <c r="M1131" s="72" t="s">
        <v>13</v>
      </c>
      <c r="N1131" t="str">
        <f>VLOOKUP(M1131,LUTs!E$2:H$14,3,)</f>
        <v>01Whatcom</v>
      </c>
      <c r="O1131" t="str">
        <f>VLOOKUP(M1131,LUTs!E$2:H$14,4,)</f>
        <v>01North Puget Sound</v>
      </c>
      <c r="P1131" s="80">
        <v>60.4444444444445</v>
      </c>
      <c r="Q1131" s="103">
        <v>30.2222222222222</v>
      </c>
      <c r="R1131" s="74">
        <f>VLOOKUP(B1131,Readme!A$40:C$52,3,)*Q1131</f>
        <v>560.62222222222181</v>
      </c>
    </row>
    <row r="1132" spans="1:18" ht="12" customHeight="1" x14ac:dyDescent="0.35">
      <c r="A1132" s="75">
        <v>1218</v>
      </c>
      <c r="B1132" s="80">
        <v>2013</v>
      </c>
      <c r="C1132" s="80">
        <v>8</v>
      </c>
      <c r="D1132" s="80">
        <f t="shared" si="63"/>
        <v>2013</v>
      </c>
      <c r="E1132" t="s">
        <v>38</v>
      </c>
      <c r="F1132" t="s">
        <v>143</v>
      </c>
      <c r="G1132" t="s">
        <v>86</v>
      </c>
      <c r="H1132" s="72" t="s">
        <v>247</v>
      </c>
      <c r="I1132" s="72" t="s">
        <v>98</v>
      </c>
      <c r="J1132" t="str">
        <f t="shared" si="65"/>
        <v>Skykomish River, No. Fork</v>
      </c>
      <c r="K1132" t="str">
        <f>IFERROR(VLOOKUP(J1132,LUTs!$A$1:$C$73,2,FALSE),"NA")</f>
        <v>Snohomish</v>
      </c>
      <c r="L1132" t="str">
        <f>IFERROR(VLOOKUP(J1132,LUTs!$A$1:$C$73,3,FALSE),"NA")</f>
        <v>2Central Puget Sound</v>
      </c>
      <c r="M1132" s="72" t="s">
        <v>18</v>
      </c>
      <c r="N1132" t="str">
        <f>VLOOKUP(M1132,LUTs!E$2:H$14,3,)</f>
        <v>06King</v>
      </c>
      <c r="O1132" t="str">
        <f>VLOOKUP(M1132,LUTs!E$2:H$14,4,)</f>
        <v>02South Puget Sound</v>
      </c>
      <c r="P1132" s="80">
        <v>8</v>
      </c>
      <c r="Q1132" s="103">
        <v>4</v>
      </c>
      <c r="R1132" s="74">
        <f>VLOOKUP(B1132,Readme!A$40:C$52,3,)*Q1132</f>
        <v>74.2</v>
      </c>
    </row>
    <row r="1133" spans="1:18" ht="12" customHeight="1" x14ac:dyDescent="0.35">
      <c r="A1133" s="75">
        <v>1227</v>
      </c>
      <c r="B1133" s="80">
        <v>2013</v>
      </c>
      <c r="C1133" s="80">
        <v>8</v>
      </c>
      <c r="D1133" s="80">
        <f t="shared" si="63"/>
        <v>2013</v>
      </c>
      <c r="E1133" t="s">
        <v>38</v>
      </c>
      <c r="F1133" t="s">
        <v>143</v>
      </c>
      <c r="G1133" t="s">
        <v>86</v>
      </c>
      <c r="H1133" s="72" t="s">
        <v>248</v>
      </c>
      <c r="I1133" s="72" t="s">
        <v>99</v>
      </c>
      <c r="J1133" t="str">
        <f t="shared" si="65"/>
        <v>Skykomish River, So. Fork</v>
      </c>
      <c r="K1133" t="str">
        <f>IFERROR(VLOOKUP(J1133,LUTs!$A$1:$C$73,2,FALSE),"NA")</f>
        <v>Snohomish/King</v>
      </c>
      <c r="L1133" t="str">
        <f>IFERROR(VLOOKUP(J1133,LUTs!$A$1:$C$73,3,FALSE),"NA")</f>
        <v>2Central Puget Sound</v>
      </c>
      <c r="M1133" s="72" t="s">
        <v>16</v>
      </c>
      <c r="N1133" t="str">
        <f>VLOOKUP(M1133,LUTs!E$2:H$14,3,)</f>
        <v>03Snohomish</v>
      </c>
      <c r="O1133" t="str">
        <f>VLOOKUP(M1133,LUTs!E$2:H$14,4,)</f>
        <v>01North Puget Sound</v>
      </c>
      <c r="P1133" s="80">
        <v>22</v>
      </c>
      <c r="Q1133" s="103">
        <v>11</v>
      </c>
      <c r="R1133" s="74">
        <f>VLOOKUP(B1133,Readme!A$40:C$52,3,)*Q1133</f>
        <v>204.05</v>
      </c>
    </row>
    <row r="1134" spans="1:18" ht="12" customHeight="1" x14ac:dyDescent="0.35">
      <c r="A1134" s="75">
        <v>1234</v>
      </c>
      <c r="B1134" s="80">
        <v>2013</v>
      </c>
      <c r="C1134" s="80">
        <v>8</v>
      </c>
      <c r="D1134" s="80">
        <f t="shared" si="63"/>
        <v>2013</v>
      </c>
      <c r="E1134" t="s">
        <v>38</v>
      </c>
      <c r="F1134" t="s">
        <v>143</v>
      </c>
      <c r="G1134" t="s">
        <v>86</v>
      </c>
      <c r="H1134" s="72" t="s">
        <v>221</v>
      </c>
      <c r="I1134" s="72" t="s">
        <v>63</v>
      </c>
      <c r="J1134" t="str">
        <f t="shared" si="65"/>
        <v>Snohomish River</v>
      </c>
      <c r="K1134" t="str">
        <f>IFERROR(VLOOKUP(J1134,LUTs!$A$1:$C$73,2,FALSE),"NA")</f>
        <v>Snohomish</v>
      </c>
      <c r="L1134" t="str">
        <f>IFERROR(VLOOKUP(J1134,LUTs!$A$1:$C$73,3,FALSE),"NA")</f>
        <v>2Central Puget Sound</v>
      </c>
      <c r="M1134" s="72" t="s">
        <v>18</v>
      </c>
      <c r="N1134" t="str">
        <f>VLOOKUP(M1134,LUTs!E$2:H$14,3,)</f>
        <v>06King</v>
      </c>
      <c r="O1134" t="str">
        <f>VLOOKUP(M1134,LUTs!E$2:H$14,4,)</f>
        <v>02South Puget Sound</v>
      </c>
      <c r="P1134" s="80">
        <v>22.363636363636399</v>
      </c>
      <c r="Q1134" s="103">
        <v>11.181818181818199</v>
      </c>
      <c r="R1134" s="74">
        <f>VLOOKUP(B1134,Readme!A$40:C$52,3,)*Q1134</f>
        <v>207.4227272727276</v>
      </c>
    </row>
    <row r="1135" spans="1:18" ht="12" customHeight="1" x14ac:dyDescent="0.35">
      <c r="A1135" s="75">
        <v>1235</v>
      </c>
      <c r="B1135" s="80">
        <v>2013</v>
      </c>
      <c r="C1135" s="80">
        <v>8</v>
      </c>
      <c r="D1135" s="80">
        <f t="shared" si="63"/>
        <v>2013</v>
      </c>
      <c r="E1135" t="s">
        <v>38</v>
      </c>
      <c r="F1135" t="s">
        <v>143</v>
      </c>
      <c r="G1135" t="s">
        <v>86</v>
      </c>
      <c r="H1135" s="72" t="s">
        <v>221</v>
      </c>
      <c r="I1135" s="72" t="s">
        <v>63</v>
      </c>
      <c r="J1135" t="str">
        <f t="shared" si="65"/>
        <v>Snohomish River</v>
      </c>
      <c r="K1135" t="str">
        <f>IFERROR(VLOOKUP(J1135,LUTs!$A$1:$C$73,2,FALSE),"NA")</f>
        <v>Snohomish</v>
      </c>
      <c r="L1135" t="str">
        <f>IFERROR(VLOOKUP(J1135,LUTs!$A$1:$C$73,3,FALSE),"NA")</f>
        <v>2Central Puget Sound</v>
      </c>
      <c r="M1135" s="72" t="s">
        <v>16</v>
      </c>
      <c r="N1135" t="str">
        <f>VLOOKUP(M1135,LUTs!E$2:H$14,3,)</f>
        <v>03Snohomish</v>
      </c>
      <c r="O1135" t="str">
        <f>VLOOKUP(M1135,LUTs!E$2:H$14,4,)</f>
        <v>01North Puget Sound</v>
      </c>
      <c r="P1135" s="80">
        <v>59.636363636363697</v>
      </c>
      <c r="Q1135" s="103">
        <v>29.818181818181799</v>
      </c>
      <c r="R1135" s="74">
        <f>VLOOKUP(B1135,Readme!A$40:C$52,3,)*Q1135</f>
        <v>553.12727272727238</v>
      </c>
    </row>
    <row r="1136" spans="1:18" ht="12" customHeight="1" x14ac:dyDescent="0.35">
      <c r="A1136" s="75">
        <v>1274</v>
      </c>
      <c r="B1136" s="80">
        <v>2013</v>
      </c>
      <c r="C1136" s="80">
        <v>8</v>
      </c>
      <c r="D1136" s="80">
        <f t="shared" si="63"/>
        <v>2013</v>
      </c>
      <c r="E1136" t="s">
        <v>38</v>
      </c>
      <c r="F1136" t="s">
        <v>143</v>
      </c>
      <c r="G1136" t="s">
        <v>86</v>
      </c>
      <c r="H1136" s="72" t="s">
        <v>233</v>
      </c>
      <c r="I1136" s="72" t="s">
        <v>76</v>
      </c>
      <c r="J1136" t="str">
        <f t="shared" si="65"/>
        <v>Wallace River</v>
      </c>
      <c r="K1136" t="str">
        <f>IFERROR(VLOOKUP(J1136,LUTs!$A$1:$C$73,2,FALSE),"NA")</f>
        <v>Snohomish</v>
      </c>
      <c r="L1136" t="str">
        <f>IFERROR(VLOOKUP(J1136,LUTs!$A$1:$C$73,3,FALSE),"NA")</f>
        <v>2Central Puget Sound</v>
      </c>
      <c r="M1136" s="72" t="s">
        <v>16</v>
      </c>
      <c r="N1136" t="str">
        <f>VLOOKUP(M1136,LUTs!E$2:H$14,3,)</f>
        <v>03Snohomish</v>
      </c>
      <c r="O1136" t="str">
        <f>VLOOKUP(M1136,LUTs!E$2:H$14,4,)</f>
        <v>01North Puget Sound</v>
      </c>
      <c r="P1136" s="80">
        <v>8</v>
      </c>
      <c r="Q1136" s="103">
        <v>4</v>
      </c>
      <c r="R1136" s="74">
        <f>VLOOKUP(B1136,Readme!A$40:C$52,3,)*Q1136</f>
        <v>74.2</v>
      </c>
    </row>
    <row r="1137" spans="1:18" ht="12" customHeight="1" x14ac:dyDescent="0.35">
      <c r="A1137" s="75">
        <v>1325</v>
      </c>
      <c r="B1137" s="80">
        <v>2013</v>
      </c>
      <c r="C1137" s="80">
        <v>9</v>
      </c>
      <c r="D1137" s="80">
        <f t="shared" si="63"/>
        <v>2013</v>
      </c>
      <c r="E1137" t="s">
        <v>38</v>
      </c>
      <c r="F1137" t="s">
        <v>143</v>
      </c>
      <c r="G1137" t="s">
        <v>86</v>
      </c>
      <c r="H1137" s="72" t="s">
        <v>254</v>
      </c>
      <c r="I1137" s="72" t="s">
        <v>33</v>
      </c>
      <c r="J1137" t="str">
        <f t="shared" si="65"/>
        <v>Area 9: Admiralty Inlet</v>
      </c>
      <c r="K1137" t="str">
        <f>IFERROR(VLOOKUP(J1137,LUTs!$A$1:$C$73,2,FALSE),"NA")</f>
        <v>NA</v>
      </c>
      <c r="L1137" t="str">
        <f>IFERROR(VLOOKUP(J1137,LUTs!$A$1:$C$73,3,FALSE),"NA")</f>
        <v>2Central Puget Sound</v>
      </c>
      <c r="M1137" s="72" t="s">
        <v>17</v>
      </c>
      <c r="N1137" t="str">
        <f>VLOOKUP(M1137,LUTs!E$2:H$14,3,)</f>
        <v>04Island</v>
      </c>
      <c r="O1137" t="str">
        <f>VLOOKUP(M1137,LUTs!E$2:H$14,4,)</f>
        <v>01North Puget Sound</v>
      </c>
      <c r="P1137" s="80">
        <v>12</v>
      </c>
      <c r="Q1137" s="103">
        <v>6</v>
      </c>
      <c r="R1137" s="74">
        <f>VLOOKUP(B1137,Readme!A$40:C$52,3,)*Q1137</f>
        <v>111.30000000000001</v>
      </c>
    </row>
    <row r="1138" spans="1:18" ht="12" customHeight="1" x14ac:dyDescent="0.35">
      <c r="A1138" s="75">
        <v>1326</v>
      </c>
      <c r="B1138" s="80">
        <v>2013</v>
      </c>
      <c r="C1138" s="80">
        <v>9</v>
      </c>
      <c r="D1138" s="80">
        <f t="shared" si="63"/>
        <v>2013</v>
      </c>
      <c r="E1138" t="s">
        <v>38</v>
      </c>
      <c r="F1138" t="s">
        <v>143</v>
      </c>
      <c r="G1138" t="s">
        <v>86</v>
      </c>
      <c r="H1138" s="72" t="s">
        <v>254</v>
      </c>
      <c r="I1138" s="72" t="s">
        <v>33</v>
      </c>
      <c r="J1138" t="str">
        <f t="shared" si="65"/>
        <v>Area 9: Admiralty Inlet</v>
      </c>
      <c r="K1138" t="str">
        <f>IFERROR(VLOOKUP(J1138,LUTs!$A$1:$C$73,2,FALSE),"NA")</f>
        <v>NA</v>
      </c>
      <c r="L1138" t="str">
        <f>IFERROR(VLOOKUP(J1138,LUTs!$A$1:$C$73,3,FALSE),"NA")</f>
        <v>2Central Puget Sound</v>
      </c>
      <c r="M1138" s="72" t="s">
        <v>23</v>
      </c>
      <c r="N1138" t="str">
        <f>VLOOKUP(M1138,LUTs!E$2:H$14,3,)</f>
        <v>10Kitsap</v>
      </c>
      <c r="O1138" t="str">
        <f>VLOOKUP(M1138,LUTs!E$2:H$14,4,)</f>
        <v>02South Puget Sound</v>
      </c>
      <c r="P1138" s="80">
        <v>0</v>
      </c>
      <c r="Q1138" s="103">
        <v>0</v>
      </c>
      <c r="R1138" s="74">
        <f>VLOOKUP(B1138,Readme!A$40:C$52,3,)*Q1138</f>
        <v>0</v>
      </c>
    </row>
    <row r="1139" spans="1:18" ht="12" customHeight="1" x14ac:dyDescent="0.35">
      <c r="A1139" s="75">
        <v>1327</v>
      </c>
      <c r="B1139" s="80">
        <v>2013</v>
      </c>
      <c r="C1139" s="80">
        <v>9</v>
      </c>
      <c r="D1139" s="80">
        <f t="shared" si="63"/>
        <v>2013</v>
      </c>
      <c r="E1139" t="s">
        <v>38</v>
      </c>
      <c r="F1139" t="s">
        <v>143</v>
      </c>
      <c r="G1139" t="s">
        <v>86</v>
      </c>
      <c r="H1139" s="72" t="s">
        <v>254</v>
      </c>
      <c r="I1139" s="72" t="s">
        <v>33</v>
      </c>
      <c r="J1139" t="str">
        <f t="shared" si="65"/>
        <v>Area 9: Admiralty Inlet</v>
      </c>
      <c r="K1139" t="str">
        <f>IFERROR(VLOOKUP(J1139,LUTs!$A$1:$C$73,2,FALSE),"NA")</f>
        <v>NA</v>
      </c>
      <c r="L1139" t="str">
        <f>IFERROR(VLOOKUP(J1139,LUTs!$A$1:$C$73,3,FALSE),"NA")</f>
        <v>2Central Puget Sound</v>
      </c>
      <c r="M1139" s="72" t="s">
        <v>16</v>
      </c>
      <c r="N1139" t="str">
        <f>VLOOKUP(M1139,LUTs!E$2:H$14,3,)</f>
        <v>03Snohomish</v>
      </c>
      <c r="O1139" t="str">
        <f>VLOOKUP(M1139,LUTs!E$2:H$14,4,)</f>
        <v>01North Puget Sound</v>
      </c>
      <c r="P1139" s="80">
        <v>0</v>
      </c>
      <c r="Q1139" s="103">
        <v>0</v>
      </c>
      <c r="R1139" s="74">
        <f>VLOOKUP(B1139,Readme!A$40:C$52,3,)*Q1139</f>
        <v>0</v>
      </c>
    </row>
    <row r="1140" spans="1:18" ht="12" customHeight="1" x14ac:dyDescent="0.35">
      <c r="A1140" s="75">
        <v>1119</v>
      </c>
      <c r="B1140" s="80">
        <v>2013</v>
      </c>
      <c r="C1140" s="80">
        <v>9</v>
      </c>
      <c r="D1140" s="80">
        <f t="shared" si="63"/>
        <v>2013</v>
      </c>
      <c r="E1140" t="s">
        <v>38</v>
      </c>
      <c r="F1140" t="s">
        <v>143</v>
      </c>
      <c r="G1140" t="s">
        <v>86</v>
      </c>
      <c r="H1140" s="72" t="s">
        <v>217</v>
      </c>
      <c r="I1140" s="72" t="s">
        <v>59</v>
      </c>
      <c r="J1140" t="str">
        <f t="shared" si="65"/>
        <v>Cascade River</v>
      </c>
      <c r="K1140" t="str">
        <f>IFERROR(VLOOKUP(J1140,LUTs!$A$1:$C$73,2,FALSE),"NA")</f>
        <v>Skagit</v>
      </c>
      <c r="L1140" t="str">
        <f>IFERROR(VLOOKUP(J1140,LUTs!$A$1:$C$73,3,FALSE),"NA")</f>
        <v>1North Puget Sound</v>
      </c>
      <c r="M1140" s="72" t="s">
        <v>16</v>
      </c>
      <c r="N1140" t="str">
        <f>VLOOKUP(M1140,LUTs!E$2:H$14,3,)</f>
        <v>03Snohomish</v>
      </c>
      <c r="O1140" t="str">
        <f>VLOOKUP(M1140,LUTs!E$2:H$14,4,)</f>
        <v>01North Puget Sound</v>
      </c>
      <c r="P1140" s="80">
        <v>0</v>
      </c>
      <c r="Q1140" s="103">
        <v>0</v>
      </c>
      <c r="R1140" s="74">
        <f>VLOOKUP(B1140,Readme!A$40:C$52,3,)*Q1140</f>
        <v>0</v>
      </c>
    </row>
    <row r="1141" spans="1:18" ht="12" customHeight="1" x14ac:dyDescent="0.35">
      <c r="A1141" s="75">
        <v>1120</v>
      </c>
      <c r="B1141" s="80">
        <v>2013</v>
      </c>
      <c r="C1141" s="80">
        <v>9</v>
      </c>
      <c r="D1141" s="80">
        <f t="shared" si="63"/>
        <v>2013</v>
      </c>
      <c r="E1141" t="s">
        <v>38</v>
      </c>
      <c r="F1141" t="s">
        <v>143</v>
      </c>
      <c r="G1141" t="s">
        <v>86</v>
      </c>
      <c r="H1141" s="72" t="s">
        <v>217</v>
      </c>
      <c r="I1141" s="72" t="s">
        <v>59</v>
      </c>
      <c r="J1141" t="str">
        <f t="shared" si="65"/>
        <v>Cascade River</v>
      </c>
      <c r="K1141" t="str">
        <f>IFERROR(VLOOKUP(J1141,LUTs!$A$1:$C$73,2,FALSE),"NA")</f>
        <v>Skagit</v>
      </c>
      <c r="L1141" t="str">
        <f>IFERROR(VLOOKUP(J1141,LUTs!$A$1:$C$73,3,FALSE),"NA")</f>
        <v>1North Puget Sound</v>
      </c>
      <c r="M1141" s="72" t="s">
        <v>13</v>
      </c>
      <c r="N1141" t="str">
        <f>VLOOKUP(M1141,LUTs!E$2:H$14,3,)</f>
        <v>01Whatcom</v>
      </c>
      <c r="O1141" t="str">
        <f>VLOOKUP(M1141,LUTs!E$2:H$14,4,)</f>
        <v>01North Puget Sound</v>
      </c>
      <c r="P1141" s="80">
        <v>0</v>
      </c>
      <c r="Q1141" s="103">
        <v>0</v>
      </c>
      <c r="R1141" s="74">
        <f>VLOOKUP(B1141,Readme!A$40:C$52,3,)*Q1141</f>
        <v>0</v>
      </c>
    </row>
    <row r="1142" spans="1:18" ht="12" customHeight="1" x14ac:dyDescent="0.35">
      <c r="A1142" s="75">
        <v>1068</v>
      </c>
      <c r="B1142" s="80">
        <v>2013</v>
      </c>
      <c r="C1142" s="80">
        <v>9</v>
      </c>
      <c r="D1142" s="80">
        <f t="shared" si="63"/>
        <v>2013</v>
      </c>
      <c r="E1142" t="s">
        <v>38</v>
      </c>
      <c r="F1142" t="s">
        <v>143</v>
      </c>
      <c r="G1142" t="s">
        <v>86</v>
      </c>
      <c r="H1142" s="72" t="s">
        <v>203</v>
      </c>
      <c r="I1142" s="72" t="s">
        <v>89</v>
      </c>
      <c r="J1142" s="84" t="s">
        <v>45</v>
      </c>
      <c r="K1142" t="str">
        <f>IFERROR(VLOOKUP(J1142,LUTs!$A$1:$C$73,2,FALSE),"NA")</f>
        <v>King</v>
      </c>
      <c r="L1142" t="str">
        <f>IFERROR(VLOOKUP(J1142,LUTs!$A$1:$C$73,3,FALSE),"NA")</f>
        <v>3South Puget Sound</v>
      </c>
      <c r="M1142" s="72" t="s">
        <v>18</v>
      </c>
      <c r="N1142" t="str">
        <f>VLOOKUP(M1142,LUTs!E$2:H$14,3,)</f>
        <v>06King</v>
      </c>
      <c r="O1142" t="str">
        <f>VLOOKUP(M1142,LUTs!E$2:H$14,4,)</f>
        <v>02South Puget Sound</v>
      </c>
      <c r="P1142" s="80">
        <v>143.304347826087</v>
      </c>
      <c r="Q1142" s="103">
        <v>71.652173913043498</v>
      </c>
      <c r="R1142" s="74">
        <f>VLOOKUP(B1142,Readme!A$40:C$52,3,)*Q1142</f>
        <v>1329.1478260869569</v>
      </c>
    </row>
    <row r="1143" spans="1:18" ht="12" customHeight="1" x14ac:dyDescent="0.35">
      <c r="A1143" s="75">
        <v>1069</v>
      </c>
      <c r="B1143" s="80">
        <v>2013</v>
      </c>
      <c r="C1143" s="80">
        <v>9</v>
      </c>
      <c r="D1143" s="80">
        <f t="shared" si="63"/>
        <v>2013</v>
      </c>
      <c r="E1143" t="s">
        <v>38</v>
      </c>
      <c r="F1143" t="s">
        <v>143</v>
      </c>
      <c r="G1143" t="s">
        <v>86</v>
      </c>
      <c r="H1143" s="72" t="s">
        <v>203</v>
      </c>
      <c r="I1143" s="72" t="s">
        <v>89</v>
      </c>
      <c r="J1143" s="84" t="s">
        <v>45</v>
      </c>
      <c r="K1143" t="str">
        <f>IFERROR(VLOOKUP(J1143,LUTs!$A$1:$C$73,2,FALSE),"NA")</f>
        <v>King</v>
      </c>
      <c r="L1143" t="str">
        <f>IFERROR(VLOOKUP(J1143,LUTs!$A$1:$C$73,3,FALSE),"NA")</f>
        <v>3South Puget Sound</v>
      </c>
      <c r="M1143" s="72" t="s">
        <v>26</v>
      </c>
      <c r="N1143" t="str">
        <f>VLOOKUP(M1143,LUTs!E$2:H$14,3,)</f>
        <v>20Other</v>
      </c>
      <c r="O1143" t="str">
        <f>VLOOKUP(M1143,LUTs!E$2:H$14,4,)</f>
        <v>07Non Puget Sound</v>
      </c>
      <c r="P1143" s="80">
        <v>8.9565217391304408</v>
      </c>
      <c r="Q1143" s="103">
        <v>4.4782608695652204</v>
      </c>
      <c r="R1143" s="74">
        <f>VLOOKUP(B1143,Readme!A$40:C$52,3,)*Q1143</f>
        <v>83.071739130434835</v>
      </c>
    </row>
    <row r="1144" spans="1:18" ht="12" customHeight="1" x14ac:dyDescent="0.35">
      <c r="A1144" s="75">
        <v>1070</v>
      </c>
      <c r="B1144" s="80">
        <v>2013</v>
      </c>
      <c r="C1144" s="80">
        <v>9</v>
      </c>
      <c r="D1144" s="80">
        <f t="shared" si="63"/>
        <v>2013</v>
      </c>
      <c r="E1144" t="s">
        <v>38</v>
      </c>
      <c r="F1144" t="s">
        <v>143</v>
      </c>
      <c r="G1144" t="s">
        <v>86</v>
      </c>
      <c r="H1144" s="72" t="s">
        <v>203</v>
      </c>
      <c r="I1144" s="72" t="s">
        <v>89</v>
      </c>
      <c r="J1144" s="84" t="s">
        <v>45</v>
      </c>
      <c r="K1144" t="str">
        <f>IFERROR(VLOOKUP(J1144,LUTs!$A$1:$C$73,2,FALSE),"NA")</f>
        <v>King</v>
      </c>
      <c r="L1144" t="str">
        <f>IFERROR(VLOOKUP(J1144,LUTs!$A$1:$C$73,3,FALSE),"NA")</f>
        <v>3South Puget Sound</v>
      </c>
      <c r="M1144" s="72" t="s">
        <v>20</v>
      </c>
      <c r="N1144" t="str">
        <f>VLOOKUP(M1144,LUTs!E$2:H$14,3,)</f>
        <v>07Pierce</v>
      </c>
      <c r="O1144" t="str">
        <f>VLOOKUP(M1144,LUTs!E$2:H$14,4,)</f>
        <v>02South Puget Sound</v>
      </c>
      <c r="P1144" s="80">
        <v>53.739130434782602</v>
      </c>
      <c r="Q1144" s="103">
        <v>26.869565217391301</v>
      </c>
      <c r="R1144" s="74">
        <f>VLOOKUP(B1144,Readme!A$40:C$52,3,)*Q1144</f>
        <v>498.43043478260864</v>
      </c>
    </row>
    <row r="1145" spans="1:18" ht="12" customHeight="1" x14ac:dyDescent="0.35">
      <c r="A1145" s="75">
        <v>1095</v>
      </c>
      <c r="B1145" s="80">
        <v>2013</v>
      </c>
      <c r="C1145" s="80">
        <v>9</v>
      </c>
      <c r="D1145" s="80">
        <f t="shared" si="63"/>
        <v>2013</v>
      </c>
      <c r="E1145" t="s">
        <v>38</v>
      </c>
      <c r="F1145" t="s">
        <v>143</v>
      </c>
      <c r="G1145" t="s">
        <v>86</v>
      </c>
      <c r="H1145" s="72" t="s">
        <v>209</v>
      </c>
      <c r="I1145" s="72" t="s">
        <v>51</v>
      </c>
      <c r="J1145" t="str">
        <f t="shared" ref="J1145:J1164" si="66">I1145</f>
        <v>Nisqually River</v>
      </c>
      <c r="K1145" t="str">
        <f>IFERROR(VLOOKUP(J1145,LUTs!$A$1:$C$73,2,FALSE),"NA")</f>
        <v>Thurston/Pierce</v>
      </c>
      <c r="L1145" t="str">
        <f>IFERROR(VLOOKUP(J1145,LUTs!$A$1:$C$73,3,FALSE),"NA")</f>
        <v>3South Puget Sound</v>
      </c>
      <c r="M1145" s="72" t="s">
        <v>26</v>
      </c>
      <c r="N1145" t="str">
        <f>VLOOKUP(M1145,LUTs!E$2:H$14,3,)</f>
        <v>20Other</v>
      </c>
      <c r="O1145" t="str">
        <f>VLOOKUP(M1145,LUTs!E$2:H$14,4,)</f>
        <v>07Non Puget Sound</v>
      </c>
      <c r="P1145" s="80">
        <v>0</v>
      </c>
      <c r="Q1145" s="103">
        <v>0</v>
      </c>
      <c r="R1145" s="74">
        <f>VLOOKUP(B1145,Readme!A$40:C$52,3,)*Q1145</f>
        <v>0</v>
      </c>
    </row>
    <row r="1146" spans="1:18" ht="12" customHeight="1" x14ac:dyDescent="0.35">
      <c r="A1146" s="75">
        <v>1096</v>
      </c>
      <c r="B1146" s="80">
        <v>2013</v>
      </c>
      <c r="C1146" s="80">
        <v>9</v>
      </c>
      <c r="D1146" s="80">
        <f t="shared" si="63"/>
        <v>2013</v>
      </c>
      <c r="E1146" t="s">
        <v>38</v>
      </c>
      <c r="F1146" t="s">
        <v>143</v>
      </c>
      <c r="G1146" t="s">
        <v>86</v>
      </c>
      <c r="H1146" s="72" t="s">
        <v>209</v>
      </c>
      <c r="I1146" s="72" t="s">
        <v>51</v>
      </c>
      <c r="J1146" t="str">
        <f t="shared" si="66"/>
        <v>Nisqually River</v>
      </c>
      <c r="K1146" t="str">
        <f>IFERROR(VLOOKUP(J1146,LUTs!$A$1:$C$73,2,FALSE),"NA")</f>
        <v>Thurston/Pierce</v>
      </c>
      <c r="L1146" t="str">
        <f>IFERROR(VLOOKUP(J1146,LUTs!$A$1:$C$73,3,FALSE),"NA")</f>
        <v>3South Puget Sound</v>
      </c>
      <c r="M1146" s="72" t="s">
        <v>20</v>
      </c>
      <c r="N1146" t="str">
        <f>VLOOKUP(M1146,LUTs!E$2:H$14,3,)</f>
        <v>07Pierce</v>
      </c>
      <c r="O1146" t="str">
        <f>VLOOKUP(M1146,LUTs!E$2:H$14,4,)</f>
        <v>02South Puget Sound</v>
      </c>
      <c r="P1146" s="80">
        <v>6</v>
      </c>
      <c r="Q1146" s="103">
        <v>0</v>
      </c>
      <c r="R1146" s="74">
        <f>VLOOKUP(B1146,Readme!A$40:C$52,3,)*Q1146</f>
        <v>0</v>
      </c>
    </row>
    <row r="1147" spans="1:18" ht="12" customHeight="1" x14ac:dyDescent="0.35">
      <c r="A1147" s="75">
        <v>1097</v>
      </c>
      <c r="B1147" s="80">
        <v>2013</v>
      </c>
      <c r="C1147" s="80">
        <v>9</v>
      </c>
      <c r="D1147" s="80">
        <f t="shared" si="63"/>
        <v>2013</v>
      </c>
      <c r="E1147" t="s">
        <v>38</v>
      </c>
      <c r="F1147" t="s">
        <v>143</v>
      </c>
      <c r="G1147" t="s">
        <v>86</v>
      </c>
      <c r="H1147" s="72" t="s">
        <v>209</v>
      </c>
      <c r="I1147" s="72" t="s">
        <v>51</v>
      </c>
      <c r="J1147" t="str">
        <f t="shared" si="66"/>
        <v>Nisqually River</v>
      </c>
      <c r="K1147" t="str">
        <f>IFERROR(VLOOKUP(J1147,LUTs!$A$1:$C$73,2,FALSE),"NA")</f>
        <v>Thurston/Pierce</v>
      </c>
      <c r="L1147" t="str">
        <f>IFERROR(VLOOKUP(J1147,LUTs!$A$1:$C$73,3,FALSE),"NA")</f>
        <v>3South Puget Sound</v>
      </c>
      <c r="M1147" s="72" t="s">
        <v>21</v>
      </c>
      <c r="N1147" t="str">
        <f>VLOOKUP(M1147,LUTs!E$2:H$14,3,)</f>
        <v>08Thurston</v>
      </c>
      <c r="O1147" t="str">
        <f>VLOOKUP(M1147,LUTs!E$2:H$14,4,)</f>
        <v>02South Puget Sound</v>
      </c>
      <c r="P1147" s="80">
        <v>0</v>
      </c>
      <c r="Q1147" s="103">
        <v>0</v>
      </c>
      <c r="R1147" s="74">
        <f>VLOOKUP(B1147,Readme!A$40:C$52,3,)*Q1147</f>
        <v>0</v>
      </c>
    </row>
    <row r="1148" spans="1:18" ht="12" customHeight="1" x14ac:dyDescent="0.35">
      <c r="A1148" s="75">
        <v>1162</v>
      </c>
      <c r="B1148" s="80">
        <v>2013</v>
      </c>
      <c r="C1148" s="80">
        <v>9</v>
      </c>
      <c r="D1148" s="80">
        <f t="shared" si="63"/>
        <v>2013</v>
      </c>
      <c r="E1148" t="s">
        <v>38</v>
      </c>
      <c r="F1148" t="s">
        <v>143</v>
      </c>
      <c r="G1148" t="s">
        <v>86</v>
      </c>
      <c r="H1148" s="72" t="s">
        <v>228</v>
      </c>
      <c r="I1148" s="72" t="s">
        <v>70</v>
      </c>
      <c r="J1148" t="str">
        <f t="shared" si="66"/>
        <v>Pilchuck River (Snohomish System)</v>
      </c>
      <c r="K1148" t="str">
        <f>IFERROR(VLOOKUP(J1148,LUTs!$A$1:$C$73,2,FALSE),"NA")</f>
        <v>Snohomish</v>
      </c>
      <c r="L1148" t="str">
        <f>IFERROR(VLOOKUP(J1148,LUTs!$A$1:$C$73,3,FALSE),"NA")</f>
        <v>2Central Puget Sound</v>
      </c>
      <c r="M1148" s="72" t="s">
        <v>16</v>
      </c>
      <c r="N1148" t="str">
        <f>VLOOKUP(M1148,LUTs!E$2:H$14,3,)</f>
        <v>03Snohomish</v>
      </c>
      <c r="O1148" t="str">
        <f>VLOOKUP(M1148,LUTs!E$2:H$14,4,)</f>
        <v>01North Puget Sound</v>
      </c>
      <c r="P1148" s="80">
        <v>8</v>
      </c>
      <c r="Q1148" s="103">
        <v>0</v>
      </c>
      <c r="R1148" s="74">
        <f>VLOOKUP(B1148,Readme!A$40:C$52,3,)*Q1148</f>
        <v>0</v>
      </c>
    </row>
    <row r="1149" spans="1:18" ht="12" customHeight="1" x14ac:dyDescent="0.35">
      <c r="A1149" s="75">
        <v>1167</v>
      </c>
      <c r="B1149" s="80">
        <v>2013</v>
      </c>
      <c r="C1149" s="80">
        <v>9</v>
      </c>
      <c r="D1149" s="80">
        <f t="shared" si="63"/>
        <v>2013</v>
      </c>
      <c r="E1149" t="s">
        <v>38</v>
      </c>
      <c r="F1149" t="s">
        <v>143</v>
      </c>
      <c r="G1149" t="s">
        <v>86</v>
      </c>
      <c r="H1149" s="72" t="s">
        <v>246</v>
      </c>
      <c r="I1149" s="72" t="s">
        <v>97</v>
      </c>
      <c r="J1149" t="str">
        <f t="shared" si="66"/>
        <v>Raging River</v>
      </c>
      <c r="K1149" t="str">
        <f>IFERROR(VLOOKUP(J1149,LUTs!$A$1:$C$73,2,FALSE),"NA")</f>
        <v>King</v>
      </c>
      <c r="L1149" t="str">
        <f>IFERROR(VLOOKUP(J1149,LUTs!$A$1:$C$73,3,FALSE),"NA")</f>
        <v>2Central Puget Sound</v>
      </c>
      <c r="M1149" s="72" t="s">
        <v>18</v>
      </c>
      <c r="N1149" t="str">
        <f>VLOOKUP(M1149,LUTs!E$2:H$14,3,)</f>
        <v>06King</v>
      </c>
      <c r="O1149" t="str">
        <f>VLOOKUP(M1149,LUTs!E$2:H$14,4,)</f>
        <v>02South Puget Sound</v>
      </c>
      <c r="P1149" s="80">
        <v>8</v>
      </c>
      <c r="Q1149" s="103">
        <v>4</v>
      </c>
      <c r="R1149" s="74">
        <f>VLOOKUP(B1149,Readme!A$40:C$52,3,)*Q1149</f>
        <v>74.2</v>
      </c>
    </row>
    <row r="1150" spans="1:18" ht="12" customHeight="1" x14ac:dyDescent="0.35">
      <c r="A1150" s="75">
        <v>1148</v>
      </c>
      <c r="B1150" s="80">
        <v>2013</v>
      </c>
      <c r="C1150" s="80">
        <v>9</v>
      </c>
      <c r="D1150" s="80">
        <f t="shared" si="63"/>
        <v>2013</v>
      </c>
      <c r="E1150" t="s">
        <v>38</v>
      </c>
      <c r="F1150" t="s">
        <v>143</v>
      </c>
      <c r="G1150" t="s">
        <v>86</v>
      </c>
      <c r="H1150" s="72" t="s">
        <v>218</v>
      </c>
      <c r="I1150" s="72" t="s">
        <v>60</v>
      </c>
      <c r="J1150" t="str">
        <f t="shared" si="66"/>
        <v>Skagit River</v>
      </c>
      <c r="K1150" t="str">
        <f>IFERROR(VLOOKUP(J1150,LUTs!$A$1:$C$73,2,FALSE),"NA")</f>
        <v>Skagit/Whatcom</v>
      </c>
      <c r="L1150" t="str">
        <f>IFERROR(VLOOKUP(J1150,LUTs!$A$1:$C$73,3,FALSE),"NA")</f>
        <v>2Central Puget Sound</v>
      </c>
      <c r="M1150" s="72" t="s">
        <v>26</v>
      </c>
      <c r="N1150" t="str">
        <f>VLOOKUP(M1150,LUTs!E$2:H$14,3,)</f>
        <v>20Other</v>
      </c>
      <c r="O1150" t="str">
        <f>VLOOKUP(M1150,LUTs!E$2:H$14,4,)</f>
        <v>07Non Puget Sound</v>
      </c>
      <c r="P1150" s="80">
        <v>0</v>
      </c>
      <c r="Q1150" s="103">
        <v>0</v>
      </c>
      <c r="R1150" s="74">
        <f>VLOOKUP(B1150,Readme!A$40:C$52,3,)*Q1150</f>
        <v>0</v>
      </c>
    </row>
    <row r="1151" spans="1:18" ht="12" customHeight="1" x14ac:dyDescent="0.35">
      <c r="A1151" s="75">
        <v>1149</v>
      </c>
      <c r="B1151" s="80">
        <v>2013</v>
      </c>
      <c r="C1151" s="80">
        <v>9</v>
      </c>
      <c r="D1151" s="80">
        <f t="shared" si="63"/>
        <v>2013</v>
      </c>
      <c r="E1151" t="s">
        <v>38</v>
      </c>
      <c r="F1151" t="s">
        <v>143</v>
      </c>
      <c r="G1151" t="s">
        <v>86</v>
      </c>
      <c r="H1151" s="72" t="s">
        <v>218</v>
      </c>
      <c r="I1151" s="72" t="s">
        <v>60</v>
      </c>
      <c r="J1151" t="str">
        <f t="shared" si="66"/>
        <v>Skagit River</v>
      </c>
      <c r="K1151" t="str">
        <f>IFERROR(VLOOKUP(J1151,LUTs!$A$1:$C$73,2,FALSE),"NA")</f>
        <v>Skagit/Whatcom</v>
      </c>
      <c r="L1151" t="str">
        <f>IFERROR(VLOOKUP(J1151,LUTs!$A$1:$C$73,3,FALSE),"NA")</f>
        <v>2Central Puget Sound</v>
      </c>
      <c r="M1151" s="72" t="s">
        <v>15</v>
      </c>
      <c r="N1151" t="str">
        <f>VLOOKUP(M1151,LUTs!E$2:H$14,3,)</f>
        <v>02Skagit</v>
      </c>
      <c r="O1151" t="str">
        <f>VLOOKUP(M1151,LUTs!E$2:H$14,4,)</f>
        <v>01North Puget Sound</v>
      </c>
      <c r="P1151" s="80">
        <v>0</v>
      </c>
      <c r="Q1151" s="103">
        <v>0</v>
      </c>
      <c r="R1151" s="74">
        <f>VLOOKUP(B1151,Readme!A$40:C$52,3,)*Q1151</f>
        <v>0</v>
      </c>
    </row>
    <row r="1152" spans="1:18" ht="12" customHeight="1" x14ac:dyDescent="0.35">
      <c r="A1152" s="75">
        <v>1150</v>
      </c>
      <c r="B1152" s="80">
        <v>2013</v>
      </c>
      <c r="C1152" s="80">
        <v>9</v>
      </c>
      <c r="D1152" s="80">
        <f t="shared" si="63"/>
        <v>2013</v>
      </c>
      <c r="E1152" t="s">
        <v>38</v>
      </c>
      <c r="F1152" t="s">
        <v>143</v>
      </c>
      <c r="G1152" t="s">
        <v>86</v>
      </c>
      <c r="H1152" s="72" t="s">
        <v>218</v>
      </c>
      <c r="I1152" s="72" t="s">
        <v>60</v>
      </c>
      <c r="J1152" t="str">
        <f t="shared" si="66"/>
        <v>Skagit River</v>
      </c>
      <c r="K1152" t="str">
        <f>IFERROR(VLOOKUP(J1152,LUTs!$A$1:$C$73,2,FALSE),"NA")</f>
        <v>Skagit/Whatcom</v>
      </c>
      <c r="L1152" t="str">
        <f>IFERROR(VLOOKUP(J1152,LUTs!$A$1:$C$73,3,FALSE),"NA")</f>
        <v>2Central Puget Sound</v>
      </c>
      <c r="M1152" s="72" t="s">
        <v>16</v>
      </c>
      <c r="N1152" t="str">
        <f>VLOOKUP(M1152,LUTs!E$2:H$14,3,)</f>
        <v>03Snohomish</v>
      </c>
      <c r="O1152" t="str">
        <f>VLOOKUP(M1152,LUTs!E$2:H$14,4,)</f>
        <v>01North Puget Sound</v>
      </c>
      <c r="P1152" s="80">
        <v>0</v>
      </c>
      <c r="Q1152" s="103">
        <v>0</v>
      </c>
      <c r="R1152" s="74">
        <f>VLOOKUP(B1152,Readme!A$40:C$52,3,)*Q1152</f>
        <v>0</v>
      </c>
    </row>
    <row r="1153" spans="1:18" ht="12" customHeight="1" x14ac:dyDescent="0.35">
      <c r="A1153" s="75">
        <v>1151</v>
      </c>
      <c r="B1153" s="80">
        <v>2013</v>
      </c>
      <c r="C1153" s="80">
        <v>9</v>
      </c>
      <c r="D1153" s="80">
        <f t="shared" si="63"/>
        <v>2013</v>
      </c>
      <c r="E1153" t="s">
        <v>38</v>
      </c>
      <c r="F1153" t="s">
        <v>143</v>
      </c>
      <c r="G1153" t="s">
        <v>86</v>
      </c>
      <c r="H1153" s="72" t="s">
        <v>218</v>
      </c>
      <c r="I1153" s="72" t="s">
        <v>60</v>
      </c>
      <c r="J1153" t="str">
        <f t="shared" si="66"/>
        <v>Skagit River</v>
      </c>
      <c r="K1153" t="str">
        <f>IFERROR(VLOOKUP(J1153,LUTs!$A$1:$C$73,2,FALSE),"NA")</f>
        <v>Skagit/Whatcom</v>
      </c>
      <c r="L1153" t="str">
        <f>IFERROR(VLOOKUP(J1153,LUTs!$A$1:$C$73,3,FALSE),"NA")</f>
        <v>2Central Puget Sound</v>
      </c>
      <c r="M1153" s="72" t="s">
        <v>13</v>
      </c>
      <c r="N1153" t="str">
        <f>VLOOKUP(M1153,LUTs!E$2:H$14,3,)</f>
        <v>01Whatcom</v>
      </c>
      <c r="O1153" t="str">
        <f>VLOOKUP(M1153,LUTs!E$2:H$14,4,)</f>
        <v>01North Puget Sound</v>
      </c>
      <c r="P1153" s="80">
        <v>0</v>
      </c>
      <c r="Q1153" s="103">
        <v>0</v>
      </c>
      <c r="R1153" s="74">
        <f>VLOOKUP(B1153,Readme!A$40:C$52,3,)*Q1153</f>
        <v>0</v>
      </c>
    </row>
    <row r="1154" spans="1:18" ht="12" customHeight="1" x14ac:dyDescent="0.35">
      <c r="A1154" s="75">
        <v>1189</v>
      </c>
      <c r="B1154" s="80">
        <v>2013</v>
      </c>
      <c r="C1154" s="80">
        <v>9</v>
      </c>
      <c r="D1154" s="80">
        <f t="shared" ref="D1154:D1217" si="67">IF(C1154&gt;3,B1154,B1154-1)</f>
        <v>2013</v>
      </c>
      <c r="E1154" t="s">
        <v>38</v>
      </c>
      <c r="F1154" t="s">
        <v>143</v>
      </c>
      <c r="G1154" t="s">
        <v>86</v>
      </c>
      <c r="H1154" s="72" t="s">
        <v>220</v>
      </c>
      <c r="I1154" s="72" t="s">
        <v>62</v>
      </c>
      <c r="J1154" t="str">
        <f t="shared" si="66"/>
        <v>Skykomish River</v>
      </c>
      <c r="K1154" t="str">
        <f>IFERROR(VLOOKUP(J1154,LUTs!$A$1:$C$73,2,FALSE),"NA")</f>
        <v>Snohomish</v>
      </c>
      <c r="L1154" t="str">
        <f>IFERROR(VLOOKUP(J1154,LUTs!$A$1:$C$73,3,FALSE),"NA")</f>
        <v>2Central Puget Sound</v>
      </c>
      <c r="M1154" s="72" t="s">
        <v>18</v>
      </c>
      <c r="N1154" t="str">
        <f>VLOOKUP(M1154,LUTs!E$2:H$14,3,)</f>
        <v>06King</v>
      </c>
      <c r="O1154" t="str">
        <f>VLOOKUP(M1154,LUTs!E$2:H$14,4,)</f>
        <v>02South Puget Sound</v>
      </c>
      <c r="P1154" s="80">
        <v>211.62790697674399</v>
      </c>
      <c r="Q1154" s="103">
        <v>105.81395348837199</v>
      </c>
      <c r="R1154" s="74">
        <f>VLOOKUP(B1154,Readme!A$40:C$52,3,)*Q1154</f>
        <v>1962.8488372093007</v>
      </c>
    </row>
    <row r="1155" spans="1:18" ht="12" customHeight="1" x14ac:dyDescent="0.35">
      <c r="A1155" s="75">
        <v>1190</v>
      </c>
      <c r="B1155" s="80">
        <v>2013</v>
      </c>
      <c r="C1155" s="80">
        <v>9</v>
      </c>
      <c r="D1155" s="80">
        <f t="shared" si="67"/>
        <v>2013</v>
      </c>
      <c r="E1155" t="s">
        <v>38</v>
      </c>
      <c r="F1155" t="s">
        <v>143</v>
      </c>
      <c r="G1155" t="s">
        <v>86</v>
      </c>
      <c r="H1155" s="72" t="s">
        <v>220</v>
      </c>
      <c r="I1155" s="72" t="s">
        <v>62</v>
      </c>
      <c r="J1155" t="str">
        <f t="shared" si="66"/>
        <v>Skykomish River</v>
      </c>
      <c r="K1155" t="str">
        <f>IFERROR(VLOOKUP(J1155,LUTs!$A$1:$C$73,2,FALSE),"NA")</f>
        <v>Snohomish</v>
      </c>
      <c r="L1155" t="str">
        <f>IFERROR(VLOOKUP(J1155,LUTs!$A$1:$C$73,3,FALSE),"NA")</f>
        <v>2Central Puget Sound</v>
      </c>
      <c r="M1155" s="72" t="s">
        <v>26</v>
      </c>
      <c r="N1155" t="str">
        <f>VLOOKUP(M1155,LUTs!E$2:H$14,3,)</f>
        <v>20Other</v>
      </c>
      <c r="O1155" t="str">
        <f>VLOOKUP(M1155,LUTs!E$2:H$14,4,)</f>
        <v>07Non Puget Sound</v>
      </c>
      <c r="P1155" s="80">
        <v>7.5581395348837201</v>
      </c>
      <c r="Q1155" s="103">
        <v>3.7790697674418601</v>
      </c>
      <c r="R1155" s="74">
        <f>VLOOKUP(B1155,Readme!A$40:C$52,3,)*Q1155</f>
        <v>70.101744186046503</v>
      </c>
    </row>
    <row r="1156" spans="1:18" ht="12" customHeight="1" x14ac:dyDescent="0.35">
      <c r="A1156" s="75">
        <v>1191</v>
      </c>
      <c r="B1156" s="80">
        <v>2013</v>
      </c>
      <c r="C1156" s="80">
        <v>9</v>
      </c>
      <c r="D1156" s="80">
        <f t="shared" si="67"/>
        <v>2013</v>
      </c>
      <c r="E1156" t="s">
        <v>38</v>
      </c>
      <c r="F1156" t="s">
        <v>143</v>
      </c>
      <c r="G1156" t="s">
        <v>86</v>
      </c>
      <c r="H1156" s="72" t="s">
        <v>220</v>
      </c>
      <c r="I1156" s="72" t="s">
        <v>62</v>
      </c>
      <c r="J1156" t="str">
        <f t="shared" si="66"/>
        <v>Skykomish River</v>
      </c>
      <c r="K1156" t="str">
        <f>IFERROR(VLOOKUP(J1156,LUTs!$A$1:$C$73,2,FALSE),"NA")</f>
        <v>Snohomish</v>
      </c>
      <c r="L1156" t="str">
        <f>IFERROR(VLOOKUP(J1156,LUTs!$A$1:$C$73,3,FALSE),"NA")</f>
        <v>2Central Puget Sound</v>
      </c>
      <c r="M1156" s="72" t="s">
        <v>16</v>
      </c>
      <c r="N1156" t="str">
        <f>VLOOKUP(M1156,LUTs!E$2:H$14,3,)</f>
        <v>03Snohomish</v>
      </c>
      <c r="O1156" t="str">
        <f>VLOOKUP(M1156,LUTs!E$2:H$14,4,)</f>
        <v>01North Puget Sound</v>
      </c>
      <c r="P1156" s="80">
        <v>430.81395348837202</v>
      </c>
      <c r="Q1156" s="103">
        <v>215.40697674418601</v>
      </c>
      <c r="R1156" s="74">
        <f>VLOOKUP(B1156,Readme!A$40:C$52,3,)*Q1156</f>
        <v>3995.7994186046508</v>
      </c>
    </row>
    <row r="1157" spans="1:18" ht="12" customHeight="1" x14ac:dyDescent="0.35">
      <c r="A1157" s="75">
        <v>1219</v>
      </c>
      <c r="B1157" s="80">
        <v>2013</v>
      </c>
      <c r="C1157" s="80">
        <v>9</v>
      </c>
      <c r="D1157" s="80">
        <f t="shared" si="67"/>
        <v>2013</v>
      </c>
      <c r="E1157" t="s">
        <v>38</v>
      </c>
      <c r="F1157" t="s">
        <v>143</v>
      </c>
      <c r="G1157" t="s">
        <v>86</v>
      </c>
      <c r="H1157" s="72" t="s">
        <v>247</v>
      </c>
      <c r="I1157" s="72" t="s">
        <v>98</v>
      </c>
      <c r="J1157" t="str">
        <f t="shared" si="66"/>
        <v>Skykomish River, No. Fork</v>
      </c>
      <c r="K1157" t="str">
        <f>IFERROR(VLOOKUP(J1157,LUTs!$A$1:$C$73,2,FALSE),"NA")</f>
        <v>Snohomish</v>
      </c>
      <c r="L1157" t="str">
        <f>IFERROR(VLOOKUP(J1157,LUTs!$A$1:$C$73,3,FALSE),"NA")</f>
        <v>2Central Puget Sound</v>
      </c>
      <c r="M1157" s="72" t="s">
        <v>18</v>
      </c>
      <c r="N1157" t="str">
        <f>VLOOKUP(M1157,LUTs!E$2:H$14,3,)</f>
        <v>06King</v>
      </c>
      <c r="O1157" t="str">
        <f>VLOOKUP(M1157,LUTs!E$2:H$14,4,)</f>
        <v>02South Puget Sound</v>
      </c>
      <c r="P1157" s="80">
        <v>22</v>
      </c>
      <c r="Q1157" s="103">
        <v>11</v>
      </c>
      <c r="R1157" s="74">
        <f>VLOOKUP(B1157,Readme!A$40:C$52,3,)*Q1157</f>
        <v>204.05</v>
      </c>
    </row>
    <row r="1158" spans="1:18" ht="12" customHeight="1" x14ac:dyDescent="0.35">
      <c r="A1158" s="75">
        <v>1236</v>
      </c>
      <c r="B1158" s="80">
        <v>2013</v>
      </c>
      <c r="C1158" s="80">
        <v>9</v>
      </c>
      <c r="D1158" s="80">
        <f t="shared" si="67"/>
        <v>2013</v>
      </c>
      <c r="E1158" t="s">
        <v>38</v>
      </c>
      <c r="F1158" t="s">
        <v>143</v>
      </c>
      <c r="G1158" t="s">
        <v>86</v>
      </c>
      <c r="H1158" s="72" t="s">
        <v>221</v>
      </c>
      <c r="I1158" s="72" t="s">
        <v>63</v>
      </c>
      <c r="J1158" t="str">
        <f t="shared" si="66"/>
        <v>Snohomish River</v>
      </c>
      <c r="K1158" t="str">
        <f>IFERROR(VLOOKUP(J1158,LUTs!$A$1:$C$73,2,FALSE),"NA")</f>
        <v>Snohomish</v>
      </c>
      <c r="L1158" t="str">
        <f>IFERROR(VLOOKUP(J1158,LUTs!$A$1:$C$73,3,FALSE),"NA")</f>
        <v>2Central Puget Sound</v>
      </c>
      <c r="M1158" s="72" t="s">
        <v>18</v>
      </c>
      <c r="N1158" t="str">
        <f>VLOOKUP(M1158,LUTs!E$2:H$14,3,)</f>
        <v>06King</v>
      </c>
      <c r="O1158" t="str">
        <f>VLOOKUP(M1158,LUTs!E$2:H$14,4,)</f>
        <v>02South Puget Sound</v>
      </c>
      <c r="P1158" s="80">
        <v>7.5625</v>
      </c>
      <c r="Q1158" s="103">
        <v>3.78125</v>
      </c>
      <c r="R1158" s="74">
        <f>VLOOKUP(B1158,Readme!A$40:C$52,3,)*Q1158</f>
        <v>70.142187500000006</v>
      </c>
    </row>
    <row r="1159" spans="1:18" ht="12" customHeight="1" x14ac:dyDescent="0.35">
      <c r="A1159" s="75">
        <v>1237</v>
      </c>
      <c r="B1159" s="80">
        <v>2013</v>
      </c>
      <c r="C1159" s="80">
        <v>9</v>
      </c>
      <c r="D1159" s="80">
        <f t="shared" si="67"/>
        <v>2013</v>
      </c>
      <c r="E1159" t="s">
        <v>38</v>
      </c>
      <c r="F1159" t="s">
        <v>143</v>
      </c>
      <c r="G1159" t="s">
        <v>86</v>
      </c>
      <c r="H1159" s="72" t="s">
        <v>221</v>
      </c>
      <c r="I1159" s="72" t="s">
        <v>63</v>
      </c>
      <c r="J1159" t="str">
        <f t="shared" si="66"/>
        <v>Snohomish River</v>
      </c>
      <c r="K1159" t="str">
        <f>IFERROR(VLOOKUP(J1159,LUTs!$A$1:$C$73,2,FALSE),"NA")</f>
        <v>Snohomish</v>
      </c>
      <c r="L1159" t="str">
        <f>IFERROR(VLOOKUP(J1159,LUTs!$A$1:$C$73,3,FALSE),"NA")</f>
        <v>2Central Puget Sound</v>
      </c>
      <c r="M1159" s="72" t="s">
        <v>16</v>
      </c>
      <c r="N1159" t="str">
        <f>VLOOKUP(M1159,LUTs!E$2:H$14,3,)</f>
        <v>03Snohomish</v>
      </c>
      <c r="O1159" t="str">
        <f>VLOOKUP(M1159,LUTs!E$2:H$14,4,)</f>
        <v>01North Puget Sound</v>
      </c>
      <c r="P1159" s="80">
        <v>234.4375</v>
      </c>
      <c r="Q1159" s="103">
        <v>117.21875</v>
      </c>
      <c r="R1159" s="74">
        <f>VLOOKUP(B1159,Readme!A$40:C$52,3,)*Q1159</f>
        <v>2174.4078125000001</v>
      </c>
    </row>
    <row r="1160" spans="1:18" ht="12" customHeight="1" x14ac:dyDescent="0.35">
      <c r="A1160" s="75">
        <v>1292</v>
      </c>
      <c r="B1160" s="80">
        <v>2013</v>
      </c>
      <c r="C1160" s="80">
        <v>9</v>
      </c>
      <c r="D1160" s="80">
        <f t="shared" si="67"/>
        <v>2013</v>
      </c>
      <c r="E1160" t="s">
        <v>38</v>
      </c>
      <c r="F1160" t="s">
        <v>143</v>
      </c>
      <c r="G1160" t="s">
        <v>86</v>
      </c>
      <c r="H1160" s="72" t="s">
        <v>223</v>
      </c>
      <c r="I1160" s="72" t="s">
        <v>103</v>
      </c>
      <c r="J1160" t="str">
        <f t="shared" si="66"/>
        <v>Stillaguamish R, No. Fork</v>
      </c>
      <c r="K1160" t="str">
        <f>IFERROR(VLOOKUP(J1160,LUTs!$A$1:$C$73,2,FALSE),"NA")</f>
        <v>Snohomish</v>
      </c>
      <c r="L1160" t="str">
        <f>IFERROR(VLOOKUP(J1160,LUTs!$A$1:$C$73,3,FALSE),"NA")</f>
        <v>2Central Puget Sound</v>
      </c>
      <c r="M1160" s="72" t="s">
        <v>16</v>
      </c>
      <c r="N1160" t="str">
        <f>VLOOKUP(M1160,LUTs!E$2:H$14,3,)</f>
        <v>03Snohomish</v>
      </c>
      <c r="O1160" t="str">
        <f>VLOOKUP(M1160,LUTs!E$2:H$14,4,)</f>
        <v>01North Puget Sound</v>
      </c>
      <c r="P1160" s="80">
        <v>10</v>
      </c>
      <c r="Q1160" s="103">
        <v>5</v>
      </c>
      <c r="R1160" s="74">
        <f>VLOOKUP(B1160,Readme!A$40:C$52,3,)*Q1160</f>
        <v>92.75</v>
      </c>
    </row>
    <row r="1161" spans="1:18" ht="12" customHeight="1" x14ac:dyDescent="0.35">
      <c r="A1161" s="75">
        <v>1308</v>
      </c>
      <c r="B1161" s="80">
        <v>2013</v>
      </c>
      <c r="C1161" s="80">
        <v>9</v>
      </c>
      <c r="D1161" s="80">
        <f t="shared" si="67"/>
        <v>2013</v>
      </c>
      <c r="E1161" t="s">
        <v>38</v>
      </c>
      <c r="F1161" t="s">
        <v>143</v>
      </c>
      <c r="G1161" t="s">
        <v>86</v>
      </c>
      <c r="H1161" s="72" t="s">
        <v>253</v>
      </c>
      <c r="I1161" s="72" t="s">
        <v>65</v>
      </c>
      <c r="J1161" t="str">
        <f t="shared" si="66"/>
        <v>Stillaguamish River</v>
      </c>
      <c r="K1161" t="str">
        <f>IFERROR(VLOOKUP(J1161,LUTs!$A$1:$C$73,2,FALSE),"NA")</f>
        <v>Snohomish</v>
      </c>
      <c r="L1161" t="str">
        <f>IFERROR(VLOOKUP(J1161,LUTs!$A$1:$C$73,3,FALSE),"NA")</f>
        <v>2Central Puget Sound</v>
      </c>
      <c r="M1161" s="72" t="s">
        <v>18</v>
      </c>
      <c r="N1161" t="str">
        <f>VLOOKUP(M1161,LUTs!E$2:H$14,3,)</f>
        <v>06King</v>
      </c>
      <c r="O1161" t="str">
        <f>VLOOKUP(M1161,LUTs!E$2:H$14,4,)</f>
        <v>02South Puget Sound</v>
      </c>
      <c r="P1161" s="80">
        <v>18</v>
      </c>
      <c r="Q1161" s="103">
        <v>9</v>
      </c>
      <c r="R1161" s="74">
        <f>VLOOKUP(B1161,Readme!A$40:C$52,3,)*Q1161</f>
        <v>166.95000000000002</v>
      </c>
    </row>
    <row r="1162" spans="1:18" ht="12" customHeight="1" x14ac:dyDescent="0.35">
      <c r="A1162" s="75">
        <v>1275</v>
      </c>
      <c r="B1162" s="80">
        <v>2013</v>
      </c>
      <c r="C1162" s="80">
        <v>9</v>
      </c>
      <c r="D1162" s="80">
        <f t="shared" si="67"/>
        <v>2013</v>
      </c>
      <c r="E1162" t="s">
        <v>38</v>
      </c>
      <c r="F1162" t="s">
        <v>143</v>
      </c>
      <c r="G1162" t="s">
        <v>86</v>
      </c>
      <c r="H1162" s="72" t="s">
        <v>233</v>
      </c>
      <c r="I1162" s="72" t="s">
        <v>76</v>
      </c>
      <c r="J1162" t="str">
        <f t="shared" si="66"/>
        <v>Wallace River</v>
      </c>
      <c r="K1162" t="str">
        <f>IFERROR(VLOOKUP(J1162,LUTs!$A$1:$C$73,2,FALSE),"NA")</f>
        <v>Snohomish</v>
      </c>
      <c r="L1162" t="str">
        <f>IFERROR(VLOOKUP(J1162,LUTs!$A$1:$C$73,3,FALSE),"NA")</f>
        <v>2Central Puget Sound</v>
      </c>
      <c r="M1162" s="72" t="s">
        <v>18</v>
      </c>
      <c r="N1162" t="str">
        <f>VLOOKUP(M1162,LUTs!E$2:H$14,3,)</f>
        <v>06King</v>
      </c>
      <c r="O1162" t="str">
        <f>VLOOKUP(M1162,LUTs!E$2:H$14,4,)</f>
        <v>02South Puget Sound</v>
      </c>
      <c r="P1162" s="80">
        <v>16</v>
      </c>
      <c r="Q1162" s="103">
        <v>8</v>
      </c>
      <c r="R1162" s="74">
        <f>VLOOKUP(B1162,Readme!A$40:C$52,3,)*Q1162</f>
        <v>148.4</v>
      </c>
    </row>
    <row r="1163" spans="1:18" ht="12" customHeight="1" x14ac:dyDescent="0.35">
      <c r="A1163" s="75">
        <v>1286</v>
      </c>
      <c r="B1163" s="80">
        <v>2013</v>
      </c>
      <c r="C1163" s="80">
        <v>9</v>
      </c>
      <c r="D1163" s="80">
        <f t="shared" si="67"/>
        <v>2013</v>
      </c>
      <c r="E1163" t="s">
        <v>38</v>
      </c>
      <c r="F1163" t="s">
        <v>143</v>
      </c>
      <c r="G1163" t="s">
        <v>86</v>
      </c>
      <c r="H1163" s="72" t="s">
        <v>263</v>
      </c>
      <c r="I1163" s="72" t="s">
        <v>264</v>
      </c>
      <c r="J1163" s="84" t="str">
        <f t="shared" si="66"/>
        <v>Woods Creek</v>
      </c>
      <c r="K1163" t="str">
        <f>IFERROR(VLOOKUP(J1163,LUTs!$A$1:$C$73,2,FALSE),"NA")</f>
        <v>Snohomish</v>
      </c>
      <c r="L1163" t="str">
        <f>IFERROR(VLOOKUP(J1163,LUTs!$A$1:$C$73,3,FALSE),"NA")</f>
        <v>2Central Puget Sound</v>
      </c>
      <c r="M1163" s="72" t="s">
        <v>16</v>
      </c>
      <c r="N1163" t="str">
        <f>VLOOKUP(M1163,LUTs!E$2:H$14,3,)</f>
        <v>03Snohomish</v>
      </c>
      <c r="O1163" t="str">
        <f>VLOOKUP(M1163,LUTs!E$2:H$14,4,)</f>
        <v>01North Puget Sound</v>
      </c>
      <c r="P1163" s="80">
        <v>8</v>
      </c>
      <c r="Q1163" s="103">
        <v>0</v>
      </c>
      <c r="R1163" s="74">
        <f>VLOOKUP(B1163,Readme!A$40:C$52,3,)*Q1163</f>
        <v>0</v>
      </c>
    </row>
    <row r="1164" spans="1:18" ht="12" customHeight="1" x14ac:dyDescent="0.35">
      <c r="A1164" s="75">
        <v>1121</v>
      </c>
      <c r="B1164" s="80">
        <v>2013</v>
      </c>
      <c r="C1164" s="80">
        <v>10</v>
      </c>
      <c r="D1164" s="80">
        <f t="shared" si="67"/>
        <v>2013</v>
      </c>
      <c r="E1164" t="s">
        <v>38</v>
      </c>
      <c r="F1164" t="s">
        <v>143</v>
      </c>
      <c r="G1164" t="s">
        <v>86</v>
      </c>
      <c r="H1164" s="72" t="s">
        <v>217</v>
      </c>
      <c r="I1164" s="72" t="s">
        <v>59</v>
      </c>
      <c r="J1164" t="str">
        <f t="shared" si="66"/>
        <v>Cascade River</v>
      </c>
      <c r="K1164" t="str">
        <f>IFERROR(VLOOKUP(J1164,LUTs!$A$1:$C$73,2,FALSE),"NA")</f>
        <v>Skagit</v>
      </c>
      <c r="L1164" t="str">
        <f>IFERROR(VLOOKUP(J1164,LUTs!$A$1:$C$73,3,FALSE),"NA")</f>
        <v>1North Puget Sound</v>
      </c>
      <c r="M1164" s="72" t="s">
        <v>15</v>
      </c>
      <c r="N1164" t="str">
        <f>VLOOKUP(M1164,LUTs!E$2:H$14,3,)</f>
        <v>02Skagit</v>
      </c>
      <c r="O1164" t="str">
        <f>VLOOKUP(M1164,LUTs!E$2:H$14,4,)</f>
        <v>01North Puget Sound</v>
      </c>
      <c r="P1164" s="80">
        <v>0</v>
      </c>
      <c r="Q1164" s="103">
        <v>0</v>
      </c>
      <c r="R1164" s="74">
        <f>VLOOKUP(B1164,Readme!A$40:C$52,3,)*Q1164</f>
        <v>0</v>
      </c>
    </row>
    <row r="1165" spans="1:18" ht="12" customHeight="1" x14ac:dyDescent="0.35">
      <c r="A1165" s="75">
        <v>1071</v>
      </c>
      <c r="B1165" s="80">
        <v>2013</v>
      </c>
      <c r="C1165" s="80">
        <v>10</v>
      </c>
      <c r="D1165" s="80">
        <f t="shared" si="67"/>
        <v>2013</v>
      </c>
      <c r="E1165" t="s">
        <v>38</v>
      </c>
      <c r="F1165" t="s">
        <v>143</v>
      </c>
      <c r="G1165" t="s">
        <v>86</v>
      </c>
      <c r="H1165" s="72" t="s">
        <v>203</v>
      </c>
      <c r="I1165" s="72" t="s">
        <v>89</v>
      </c>
      <c r="J1165" s="84" t="s">
        <v>45</v>
      </c>
      <c r="K1165" t="str">
        <f>IFERROR(VLOOKUP(J1165,LUTs!$A$1:$C$73,2,FALSE),"NA")</f>
        <v>King</v>
      </c>
      <c r="L1165" t="str">
        <f>IFERROR(VLOOKUP(J1165,LUTs!$A$1:$C$73,3,FALSE),"NA")</f>
        <v>3South Puget Sound</v>
      </c>
      <c r="M1165" s="72" t="s">
        <v>18</v>
      </c>
      <c r="N1165" t="str">
        <f>VLOOKUP(M1165,LUTs!E$2:H$14,3,)</f>
        <v>06King</v>
      </c>
      <c r="O1165" t="str">
        <f>VLOOKUP(M1165,LUTs!E$2:H$14,4,)</f>
        <v>02South Puget Sound</v>
      </c>
      <c r="P1165" s="80">
        <v>151.30000000000001</v>
      </c>
      <c r="Q1165" s="103">
        <v>75.650000000000006</v>
      </c>
      <c r="R1165" s="74">
        <f>VLOOKUP(B1165,Readme!A$40:C$52,3,)*Q1165</f>
        <v>1403.3075000000001</v>
      </c>
    </row>
    <row r="1166" spans="1:18" ht="12" customHeight="1" x14ac:dyDescent="0.35">
      <c r="A1166" s="75">
        <v>1072</v>
      </c>
      <c r="B1166" s="80">
        <v>2013</v>
      </c>
      <c r="C1166" s="80">
        <v>10</v>
      </c>
      <c r="D1166" s="80">
        <f t="shared" si="67"/>
        <v>2013</v>
      </c>
      <c r="E1166" t="s">
        <v>38</v>
      </c>
      <c r="F1166" t="s">
        <v>143</v>
      </c>
      <c r="G1166" t="s">
        <v>86</v>
      </c>
      <c r="H1166" s="72" t="s">
        <v>203</v>
      </c>
      <c r="I1166" s="72" t="s">
        <v>89</v>
      </c>
      <c r="J1166" s="84" t="s">
        <v>45</v>
      </c>
      <c r="K1166" t="str">
        <f>IFERROR(VLOOKUP(J1166,LUTs!$A$1:$C$73,2,FALSE),"NA")</f>
        <v>King</v>
      </c>
      <c r="L1166" t="str">
        <f>IFERROR(VLOOKUP(J1166,LUTs!$A$1:$C$73,3,FALSE),"NA")</f>
        <v>3South Puget Sound</v>
      </c>
      <c r="M1166" s="72" t="s">
        <v>20</v>
      </c>
      <c r="N1166" t="str">
        <f>VLOOKUP(M1166,LUTs!E$2:H$14,3,)</f>
        <v>07Pierce</v>
      </c>
      <c r="O1166" t="str">
        <f>VLOOKUP(M1166,LUTs!E$2:H$14,4,)</f>
        <v>02South Puget Sound</v>
      </c>
      <c r="P1166" s="80">
        <v>26.7</v>
      </c>
      <c r="Q1166" s="103">
        <v>13.35</v>
      </c>
      <c r="R1166" s="74">
        <f>VLOOKUP(B1166,Readme!A$40:C$52,3,)*Q1166</f>
        <v>247.64250000000001</v>
      </c>
    </row>
    <row r="1167" spans="1:18" ht="12" customHeight="1" x14ac:dyDescent="0.35">
      <c r="A1167" s="75">
        <v>1192</v>
      </c>
      <c r="B1167" s="80">
        <v>2013</v>
      </c>
      <c r="C1167" s="80">
        <v>10</v>
      </c>
      <c r="D1167" s="80">
        <f t="shared" si="67"/>
        <v>2013</v>
      </c>
      <c r="E1167" t="s">
        <v>38</v>
      </c>
      <c r="F1167" t="s">
        <v>143</v>
      </c>
      <c r="G1167" t="s">
        <v>86</v>
      </c>
      <c r="H1167" s="72" t="s">
        <v>220</v>
      </c>
      <c r="I1167" s="72" t="s">
        <v>62</v>
      </c>
      <c r="J1167" t="str">
        <f t="shared" ref="J1167:J1187" si="68">I1167</f>
        <v>Skykomish River</v>
      </c>
      <c r="K1167" t="str">
        <f>IFERROR(VLOOKUP(J1167,LUTs!$A$1:$C$73,2,FALSE),"NA")</f>
        <v>Snohomish</v>
      </c>
      <c r="L1167" t="str">
        <f>IFERROR(VLOOKUP(J1167,LUTs!$A$1:$C$73,3,FALSE),"NA")</f>
        <v>2Central Puget Sound</v>
      </c>
      <c r="M1167" s="72" t="s">
        <v>18</v>
      </c>
      <c r="N1167" t="str">
        <f>VLOOKUP(M1167,LUTs!E$2:H$14,3,)</f>
        <v>06King</v>
      </c>
      <c r="O1167" t="str">
        <f>VLOOKUP(M1167,LUTs!E$2:H$14,4,)</f>
        <v>02South Puget Sound</v>
      </c>
      <c r="P1167" s="80">
        <v>105.583333333333</v>
      </c>
      <c r="Q1167" s="103">
        <v>52.7916666666667</v>
      </c>
      <c r="R1167" s="74">
        <f>VLOOKUP(B1167,Readme!A$40:C$52,3,)*Q1167</f>
        <v>979.28541666666729</v>
      </c>
    </row>
    <row r="1168" spans="1:18" ht="12" customHeight="1" x14ac:dyDescent="0.35">
      <c r="A1168" s="75">
        <v>1193</v>
      </c>
      <c r="B1168" s="80">
        <v>2013</v>
      </c>
      <c r="C1168" s="80">
        <v>10</v>
      </c>
      <c r="D1168" s="80">
        <f t="shared" si="67"/>
        <v>2013</v>
      </c>
      <c r="E1168" t="s">
        <v>38</v>
      </c>
      <c r="F1168" t="s">
        <v>143</v>
      </c>
      <c r="G1168" t="s">
        <v>86</v>
      </c>
      <c r="H1168" s="72" t="s">
        <v>220</v>
      </c>
      <c r="I1168" s="72" t="s">
        <v>62</v>
      </c>
      <c r="J1168" t="str">
        <f t="shared" si="68"/>
        <v>Skykomish River</v>
      </c>
      <c r="K1168" t="str">
        <f>IFERROR(VLOOKUP(J1168,LUTs!$A$1:$C$73,2,FALSE),"NA")</f>
        <v>Snohomish</v>
      </c>
      <c r="L1168" t="str">
        <f>IFERROR(VLOOKUP(J1168,LUTs!$A$1:$C$73,3,FALSE),"NA")</f>
        <v>2Central Puget Sound</v>
      </c>
      <c r="M1168" s="72" t="s">
        <v>26</v>
      </c>
      <c r="N1168" t="str">
        <f>VLOOKUP(M1168,LUTs!E$2:H$14,3,)</f>
        <v>20Other</v>
      </c>
      <c r="O1168" t="str">
        <f>VLOOKUP(M1168,LUTs!E$2:H$14,4,)</f>
        <v>07Non Puget Sound</v>
      </c>
      <c r="P1168" s="80">
        <v>30.1666666666667</v>
      </c>
      <c r="Q1168" s="103">
        <v>15.0833333333333</v>
      </c>
      <c r="R1168" s="74">
        <f>VLOOKUP(B1168,Readme!A$40:C$52,3,)*Q1168</f>
        <v>279.79583333333272</v>
      </c>
    </row>
    <row r="1169" spans="1:18" ht="12" customHeight="1" x14ac:dyDescent="0.35">
      <c r="A1169" s="75">
        <v>1194</v>
      </c>
      <c r="B1169" s="80">
        <v>2013</v>
      </c>
      <c r="C1169" s="80">
        <v>10</v>
      </c>
      <c r="D1169" s="80">
        <f t="shared" si="67"/>
        <v>2013</v>
      </c>
      <c r="E1169" t="s">
        <v>38</v>
      </c>
      <c r="F1169" t="s">
        <v>143</v>
      </c>
      <c r="G1169" t="s">
        <v>86</v>
      </c>
      <c r="H1169" s="72" t="s">
        <v>220</v>
      </c>
      <c r="I1169" s="72" t="s">
        <v>62</v>
      </c>
      <c r="J1169" t="str">
        <f t="shared" si="68"/>
        <v>Skykomish River</v>
      </c>
      <c r="K1169" t="str">
        <f>IFERROR(VLOOKUP(J1169,LUTs!$A$1:$C$73,2,FALSE),"NA")</f>
        <v>Snohomish</v>
      </c>
      <c r="L1169" t="str">
        <f>IFERROR(VLOOKUP(J1169,LUTs!$A$1:$C$73,3,FALSE),"NA")</f>
        <v>2Central Puget Sound</v>
      </c>
      <c r="M1169" s="72" t="s">
        <v>16</v>
      </c>
      <c r="N1169" t="str">
        <f>VLOOKUP(M1169,LUTs!E$2:H$14,3,)</f>
        <v>03Snohomish</v>
      </c>
      <c r="O1169" t="str">
        <f>VLOOKUP(M1169,LUTs!E$2:H$14,4,)</f>
        <v>01North Puget Sound</v>
      </c>
      <c r="P1169" s="80">
        <v>226.25</v>
      </c>
      <c r="Q1169" s="103">
        <v>113.125</v>
      </c>
      <c r="R1169" s="74">
        <f>VLOOKUP(B1169,Readme!A$40:C$52,3,)*Q1169</f>
        <v>2098.46875</v>
      </c>
    </row>
    <row r="1170" spans="1:18" ht="12" customHeight="1" x14ac:dyDescent="0.35">
      <c r="A1170" s="75">
        <v>1220</v>
      </c>
      <c r="B1170" s="80">
        <v>2013</v>
      </c>
      <c r="C1170" s="80">
        <v>10</v>
      </c>
      <c r="D1170" s="80">
        <f t="shared" si="67"/>
        <v>2013</v>
      </c>
      <c r="E1170" t="s">
        <v>38</v>
      </c>
      <c r="F1170" t="s">
        <v>143</v>
      </c>
      <c r="G1170" t="s">
        <v>86</v>
      </c>
      <c r="H1170" s="72" t="s">
        <v>247</v>
      </c>
      <c r="I1170" s="72" t="s">
        <v>98</v>
      </c>
      <c r="J1170" t="str">
        <f t="shared" si="68"/>
        <v>Skykomish River, No. Fork</v>
      </c>
      <c r="K1170" t="str">
        <f>IFERROR(VLOOKUP(J1170,LUTs!$A$1:$C$73,2,FALSE),"NA")</f>
        <v>Snohomish</v>
      </c>
      <c r="L1170" t="str">
        <f>IFERROR(VLOOKUP(J1170,LUTs!$A$1:$C$73,3,FALSE),"NA")</f>
        <v>2Central Puget Sound</v>
      </c>
      <c r="M1170" s="72" t="s">
        <v>18</v>
      </c>
      <c r="N1170" t="str">
        <f>VLOOKUP(M1170,LUTs!E$2:H$14,3,)</f>
        <v>06King</v>
      </c>
      <c r="O1170" t="str">
        <f>VLOOKUP(M1170,LUTs!E$2:H$14,4,)</f>
        <v>02South Puget Sound</v>
      </c>
      <c r="P1170" s="80">
        <v>30</v>
      </c>
      <c r="Q1170" s="103">
        <v>15</v>
      </c>
      <c r="R1170" s="74">
        <f>VLOOKUP(B1170,Readme!A$40:C$52,3,)*Q1170</f>
        <v>278.25</v>
      </c>
    </row>
    <row r="1171" spans="1:18" ht="12" customHeight="1" x14ac:dyDescent="0.35">
      <c r="A1171" s="75">
        <v>1238</v>
      </c>
      <c r="B1171" s="80">
        <v>2013</v>
      </c>
      <c r="C1171" s="80">
        <v>10</v>
      </c>
      <c r="D1171" s="80">
        <f t="shared" si="67"/>
        <v>2013</v>
      </c>
      <c r="E1171" t="s">
        <v>38</v>
      </c>
      <c r="F1171" t="s">
        <v>143</v>
      </c>
      <c r="G1171" t="s">
        <v>86</v>
      </c>
      <c r="H1171" s="72" t="s">
        <v>221</v>
      </c>
      <c r="I1171" s="72" t="s">
        <v>63</v>
      </c>
      <c r="J1171" t="str">
        <f t="shared" si="68"/>
        <v>Snohomish River</v>
      </c>
      <c r="K1171" t="str">
        <f>IFERROR(VLOOKUP(J1171,LUTs!$A$1:$C$73,2,FALSE),"NA")</f>
        <v>Snohomish</v>
      </c>
      <c r="L1171" t="str">
        <f>IFERROR(VLOOKUP(J1171,LUTs!$A$1:$C$73,3,FALSE),"NA")</f>
        <v>2Central Puget Sound</v>
      </c>
      <c r="M1171" s="72" t="s">
        <v>18</v>
      </c>
      <c r="N1171" t="str">
        <f>VLOOKUP(M1171,LUTs!E$2:H$14,3,)</f>
        <v>06King</v>
      </c>
      <c r="O1171" t="str">
        <f>VLOOKUP(M1171,LUTs!E$2:H$14,4,)</f>
        <v>02South Puget Sound</v>
      </c>
      <c r="P1171" s="80">
        <v>7.5</v>
      </c>
      <c r="Q1171" s="103">
        <v>3.75</v>
      </c>
      <c r="R1171" s="74">
        <f>VLOOKUP(B1171,Readme!A$40:C$52,3,)*Q1171</f>
        <v>69.5625</v>
      </c>
    </row>
    <row r="1172" spans="1:18" ht="12" customHeight="1" x14ac:dyDescent="0.35">
      <c r="A1172" s="75">
        <v>1239</v>
      </c>
      <c r="B1172" s="80">
        <v>2013</v>
      </c>
      <c r="C1172" s="80">
        <v>10</v>
      </c>
      <c r="D1172" s="80">
        <f t="shared" si="67"/>
        <v>2013</v>
      </c>
      <c r="E1172" t="s">
        <v>38</v>
      </c>
      <c r="F1172" t="s">
        <v>143</v>
      </c>
      <c r="G1172" t="s">
        <v>86</v>
      </c>
      <c r="H1172" s="72" t="s">
        <v>221</v>
      </c>
      <c r="I1172" s="72" t="s">
        <v>63</v>
      </c>
      <c r="J1172" t="str">
        <f t="shared" si="68"/>
        <v>Snohomish River</v>
      </c>
      <c r="K1172" t="str">
        <f>IFERROR(VLOOKUP(J1172,LUTs!$A$1:$C$73,2,FALSE),"NA")</f>
        <v>Snohomish</v>
      </c>
      <c r="L1172" t="str">
        <f>IFERROR(VLOOKUP(J1172,LUTs!$A$1:$C$73,3,FALSE),"NA")</f>
        <v>2Central Puget Sound</v>
      </c>
      <c r="M1172" s="72" t="s">
        <v>16</v>
      </c>
      <c r="N1172" t="str">
        <f>VLOOKUP(M1172,LUTs!E$2:H$14,3,)</f>
        <v>03Snohomish</v>
      </c>
      <c r="O1172" t="str">
        <f>VLOOKUP(M1172,LUTs!E$2:H$14,4,)</f>
        <v>01North Puget Sound</v>
      </c>
      <c r="P1172" s="80">
        <v>15</v>
      </c>
      <c r="Q1172" s="103">
        <v>7.5</v>
      </c>
      <c r="R1172" s="74">
        <f>VLOOKUP(B1172,Readme!A$40:C$52,3,)*Q1172</f>
        <v>139.125</v>
      </c>
    </row>
    <row r="1173" spans="1:18" ht="12" customHeight="1" x14ac:dyDescent="0.35">
      <c r="A1173" s="75">
        <v>1240</v>
      </c>
      <c r="B1173" s="80">
        <v>2013</v>
      </c>
      <c r="C1173" s="80">
        <v>10</v>
      </c>
      <c r="D1173" s="80">
        <f t="shared" si="67"/>
        <v>2013</v>
      </c>
      <c r="E1173" t="s">
        <v>38</v>
      </c>
      <c r="F1173" t="s">
        <v>143</v>
      </c>
      <c r="G1173" t="s">
        <v>86</v>
      </c>
      <c r="H1173" s="72" t="s">
        <v>221</v>
      </c>
      <c r="I1173" s="72" t="s">
        <v>63</v>
      </c>
      <c r="J1173" t="str">
        <f t="shared" si="68"/>
        <v>Snohomish River</v>
      </c>
      <c r="K1173" t="str">
        <f>IFERROR(VLOOKUP(J1173,LUTs!$A$1:$C$73,2,FALSE),"NA")</f>
        <v>Snohomish</v>
      </c>
      <c r="L1173" t="str">
        <f>IFERROR(VLOOKUP(J1173,LUTs!$A$1:$C$73,3,FALSE),"NA")</f>
        <v>2Central Puget Sound</v>
      </c>
      <c r="M1173" s="72" t="s">
        <v>13</v>
      </c>
      <c r="N1173" t="str">
        <f>VLOOKUP(M1173,LUTs!E$2:H$14,3,)</f>
        <v>01Whatcom</v>
      </c>
      <c r="O1173" t="str">
        <f>VLOOKUP(M1173,LUTs!E$2:H$14,4,)</f>
        <v>01North Puget Sound</v>
      </c>
      <c r="P1173" s="80">
        <v>7.5</v>
      </c>
      <c r="Q1173" s="103">
        <v>3.75</v>
      </c>
      <c r="R1173" s="74">
        <f>VLOOKUP(B1173,Readme!A$40:C$52,3,)*Q1173</f>
        <v>69.5625</v>
      </c>
    </row>
    <row r="1174" spans="1:18" ht="12" customHeight="1" x14ac:dyDescent="0.35">
      <c r="A1174" s="75">
        <v>1249</v>
      </c>
      <c r="B1174" s="80">
        <v>2013</v>
      </c>
      <c r="C1174" s="80">
        <v>10</v>
      </c>
      <c r="D1174" s="80">
        <f t="shared" si="67"/>
        <v>2013</v>
      </c>
      <c r="E1174" t="s">
        <v>38</v>
      </c>
      <c r="F1174" t="s">
        <v>143</v>
      </c>
      <c r="G1174" t="s">
        <v>86</v>
      </c>
      <c r="H1174" s="72" t="s">
        <v>222</v>
      </c>
      <c r="I1174" s="72" t="s">
        <v>64</v>
      </c>
      <c r="J1174" t="str">
        <f t="shared" si="68"/>
        <v>Snoqualmie River</v>
      </c>
      <c r="K1174" t="str">
        <f>IFERROR(VLOOKUP(J1174,LUTs!$A$1:$C$73,2,FALSE),"NA")</f>
        <v>Snohomish/King</v>
      </c>
      <c r="L1174" t="str">
        <f>IFERROR(VLOOKUP(J1174,LUTs!$A$1:$C$73,3,FALSE),"NA")</f>
        <v>2Central Puget Sound</v>
      </c>
      <c r="M1174" s="72" t="s">
        <v>16</v>
      </c>
      <c r="N1174" t="str">
        <f>VLOOKUP(M1174,LUTs!E$2:H$14,3,)</f>
        <v>03Snohomish</v>
      </c>
      <c r="O1174" t="str">
        <f>VLOOKUP(M1174,LUTs!E$2:H$14,4,)</f>
        <v>01North Puget Sound</v>
      </c>
      <c r="P1174" s="80">
        <v>8</v>
      </c>
      <c r="Q1174" s="103">
        <v>4</v>
      </c>
      <c r="R1174" s="74">
        <f>VLOOKUP(B1174,Readme!A$40:C$52,3,)*Q1174</f>
        <v>74.2</v>
      </c>
    </row>
    <row r="1175" spans="1:18" ht="12" customHeight="1" x14ac:dyDescent="0.35">
      <c r="A1175" s="75">
        <v>1293</v>
      </c>
      <c r="B1175" s="80">
        <v>2013</v>
      </c>
      <c r="C1175" s="80">
        <v>10</v>
      </c>
      <c r="D1175" s="80">
        <f t="shared" si="67"/>
        <v>2013</v>
      </c>
      <c r="E1175" t="s">
        <v>38</v>
      </c>
      <c r="F1175" t="s">
        <v>143</v>
      </c>
      <c r="G1175" t="s">
        <v>86</v>
      </c>
      <c r="H1175" s="72" t="s">
        <v>223</v>
      </c>
      <c r="I1175" s="72" t="s">
        <v>103</v>
      </c>
      <c r="J1175" t="str">
        <f t="shared" si="68"/>
        <v>Stillaguamish R, No. Fork</v>
      </c>
      <c r="K1175" t="str">
        <f>IFERROR(VLOOKUP(J1175,LUTs!$A$1:$C$73,2,FALSE),"NA")</f>
        <v>Snohomish</v>
      </c>
      <c r="L1175" t="str">
        <f>IFERROR(VLOOKUP(J1175,LUTs!$A$1:$C$73,3,FALSE),"NA")</f>
        <v>2Central Puget Sound</v>
      </c>
      <c r="M1175" s="72" t="s">
        <v>17</v>
      </c>
      <c r="N1175" t="str">
        <f>VLOOKUP(M1175,LUTs!E$2:H$14,3,)</f>
        <v>04Island</v>
      </c>
      <c r="O1175" t="str">
        <f>VLOOKUP(M1175,LUTs!E$2:H$14,4,)</f>
        <v>01North Puget Sound</v>
      </c>
      <c r="P1175" s="80">
        <v>9</v>
      </c>
      <c r="Q1175" s="103">
        <v>4.5</v>
      </c>
      <c r="R1175" s="74">
        <f>VLOOKUP(B1175,Readme!A$40:C$52,3,)*Q1175</f>
        <v>83.475000000000009</v>
      </c>
    </row>
    <row r="1176" spans="1:18" ht="12" customHeight="1" x14ac:dyDescent="0.35">
      <c r="A1176" s="75">
        <v>1294</v>
      </c>
      <c r="B1176" s="80">
        <v>2013</v>
      </c>
      <c r="C1176" s="80">
        <v>10</v>
      </c>
      <c r="D1176" s="80">
        <f t="shared" si="67"/>
        <v>2013</v>
      </c>
      <c r="E1176" t="s">
        <v>38</v>
      </c>
      <c r="F1176" t="s">
        <v>143</v>
      </c>
      <c r="G1176" t="s">
        <v>86</v>
      </c>
      <c r="H1176" s="72" t="s">
        <v>223</v>
      </c>
      <c r="I1176" s="72" t="s">
        <v>103</v>
      </c>
      <c r="J1176" t="str">
        <f t="shared" si="68"/>
        <v>Stillaguamish R, No. Fork</v>
      </c>
      <c r="K1176" t="str">
        <f>IFERROR(VLOOKUP(J1176,LUTs!$A$1:$C$73,2,FALSE),"NA")</f>
        <v>Snohomish</v>
      </c>
      <c r="L1176" t="str">
        <f>IFERROR(VLOOKUP(J1176,LUTs!$A$1:$C$73,3,FALSE),"NA")</f>
        <v>2Central Puget Sound</v>
      </c>
      <c r="M1176" s="72" t="s">
        <v>18</v>
      </c>
      <c r="N1176" t="str">
        <f>VLOOKUP(M1176,LUTs!E$2:H$14,3,)</f>
        <v>06King</v>
      </c>
      <c r="O1176" t="str">
        <f>VLOOKUP(M1176,LUTs!E$2:H$14,4,)</f>
        <v>02South Puget Sound</v>
      </c>
      <c r="P1176" s="80">
        <v>27</v>
      </c>
      <c r="Q1176" s="103">
        <v>13.5</v>
      </c>
      <c r="R1176" s="74">
        <f>VLOOKUP(B1176,Readme!A$40:C$52,3,)*Q1176</f>
        <v>250.42500000000001</v>
      </c>
    </row>
    <row r="1177" spans="1:18" ht="12" customHeight="1" x14ac:dyDescent="0.35">
      <c r="A1177" s="75">
        <v>1295</v>
      </c>
      <c r="B1177" s="80">
        <v>2013</v>
      </c>
      <c r="C1177" s="80">
        <v>10</v>
      </c>
      <c r="D1177" s="80">
        <f t="shared" si="67"/>
        <v>2013</v>
      </c>
      <c r="E1177" t="s">
        <v>38</v>
      </c>
      <c r="F1177" t="s">
        <v>143</v>
      </c>
      <c r="G1177" t="s">
        <v>86</v>
      </c>
      <c r="H1177" s="72" t="s">
        <v>223</v>
      </c>
      <c r="I1177" s="72" t="s">
        <v>103</v>
      </c>
      <c r="J1177" t="str">
        <f t="shared" si="68"/>
        <v>Stillaguamish R, No. Fork</v>
      </c>
      <c r="K1177" t="str">
        <f>IFERROR(VLOOKUP(J1177,LUTs!$A$1:$C$73,2,FALSE),"NA")</f>
        <v>Snohomish</v>
      </c>
      <c r="L1177" t="str">
        <f>IFERROR(VLOOKUP(J1177,LUTs!$A$1:$C$73,3,FALSE),"NA")</f>
        <v>2Central Puget Sound</v>
      </c>
      <c r="M1177" s="72" t="s">
        <v>16</v>
      </c>
      <c r="N1177" t="str">
        <f>VLOOKUP(M1177,LUTs!E$2:H$14,3,)</f>
        <v>03Snohomish</v>
      </c>
      <c r="O1177" t="str">
        <f>VLOOKUP(M1177,LUTs!E$2:H$14,4,)</f>
        <v>01North Puget Sound</v>
      </c>
      <c r="P1177" s="80">
        <v>18</v>
      </c>
      <c r="Q1177" s="103">
        <v>9</v>
      </c>
      <c r="R1177" s="74">
        <f>VLOOKUP(B1177,Readme!A$40:C$52,3,)*Q1177</f>
        <v>166.95000000000002</v>
      </c>
    </row>
    <row r="1178" spans="1:18" ht="12" customHeight="1" x14ac:dyDescent="0.35">
      <c r="A1178" s="75">
        <v>1309</v>
      </c>
      <c r="B1178" s="80">
        <v>2013</v>
      </c>
      <c r="C1178" s="80">
        <v>10</v>
      </c>
      <c r="D1178" s="80">
        <f t="shared" si="67"/>
        <v>2013</v>
      </c>
      <c r="E1178" t="s">
        <v>38</v>
      </c>
      <c r="F1178" t="s">
        <v>143</v>
      </c>
      <c r="G1178" t="s">
        <v>86</v>
      </c>
      <c r="H1178" s="72" t="s">
        <v>253</v>
      </c>
      <c r="I1178" s="72" t="s">
        <v>65</v>
      </c>
      <c r="J1178" t="str">
        <f t="shared" si="68"/>
        <v>Stillaguamish River</v>
      </c>
      <c r="K1178" t="str">
        <f>IFERROR(VLOOKUP(J1178,LUTs!$A$1:$C$73,2,FALSE),"NA")</f>
        <v>Snohomish</v>
      </c>
      <c r="L1178" t="str">
        <f>IFERROR(VLOOKUP(J1178,LUTs!$A$1:$C$73,3,FALSE),"NA")</f>
        <v>2Central Puget Sound</v>
      </c>
      <c r="M1178" s="72" t="s">
        <v>16</v>
      </c>
      <c r="N1178" t="str">
        <f>VLOOKUP(M1178,LUTs!E$2:H$14,3,)</f>
        <v>03Snohomish</v>
      </c>
      <c r="O1178" t="str">
        <f>VLOOKUP(M1178,LUTs!E$2:H$14,4,)</f>
        <v>01North Puget Sound</v>
      </c>
      <c r="P1178" s="80">
        <v>18</v>
      </c>
      <c r="Q1178" s="103">
        <v>9</v>
      </c>
      <c r="R1178" s="74">
        <f>VLOOKUP(B1178,Readme!A$40:C$52,3,)*Q1178</f>
        <v>166.95000000000002</v>
      </c>
    </row>
    <row r="1179" spans="1:18" ht="12" customHeight="1" x14ac:dyDescent="0.35">
      <c r="A1179" s="75">
        <v>1276</v>
      </c>
      <c r="B1179" s="80">
        <v>2013</v>
      </c>
      <c r="C1179" s="80">
        <v>10</v>
      </c>
      <c r="D1179" s="80">
        <f t="shared" si="67"/>
        <v>2013</v>
      </c>
      <c r="E1179" t="s">
        <v>38</v>
      </c>
      <c r="F1179" t="s">
        <v>143</v>
      </c>
      <c r="G1179" t="s">
        <v>86</v>
      </c>
      <c r="H1179" s="72" t="s">
        <v>233</v>
      </c>
      <c r="I1179" s="72" t="s">
        <v>76</v>
      </c>
      <c r="J1179" t="str">
        <f t="shared" si="68"/>
        <v>Wallace River</v>
      </c>
      <c r="K1179" t="str">
        <f>IFERROR(VLOOKUP(J1179,LUTs!$A$1:$C$73,2,FALSE),"NA")</f>
        <v>Snohomish</v>
      </c>
      <c r="L1179" t="str">
        <f>IFERROR(VLOOKUP(J1179,LUTs!$A$1:$C$73,3,FALSE),"NA")</f>
        <v>2Central Puget Sound</v>
      </c>
      <c r="M1179" s="72" t="s">
        <v>18</v>
      </c>
      <c r="N1179" t="str">
        <f>VLOOKUP(M1179,LUTs!E$2:H$14,3,)</f>
        <v>06King</v>
      </c>
      <c r="O1179" t="str">
        <f>VLOOKUP(M1179,LUTs!E$2:H$14,4,)</f>
        <v>02South Puget Sound</v>
      </c>
      <c r="P1179" s="80">
        <v>7.5</v>
      </c>
      <c r="Q1179" s="103">
        <v>3.75</v>
      </c>
      <c r="R1179" s="74">
        <f>VLOOKUP(B1179,Readme!A$40:C$52,3,)*Q1179</f>
        <v>69.5625</v>
      </c>
    </row>
    <row r="1180" spans="1:18" ht="12" customHeight="1" x14ac:dyDescent="0.35">
      <c r="A1180" s="75">
        <v>1277</v>
      </c>
      <c r="B1180" s="80">
        <v>2013</v>
      </c>
      <c r="C1180" s="80">
        <v>10</v>
      </c>
      <c r="D1180" s="80">
        <f t="shared" si="67"/>
        <v>2013</v>
      </c>
      <c r="E1180" t="s">
        <v>38</v>
      </c>
      <c r="F1180" t="s">
        <v>143</v>
      </c>
      <c r="G1180" t="s">
        <v>86</v>
      </c>
      <c r="H1180" s="72" t="s">
        <v>233</v>
      </c>
      <c r="I1180" s="72" t="s">
        <v>76</v>
      </c>
      <c r="J1180" t="str">
        <f t="shared" si="68"/>
        <v>Wallace River</v>
      </c>
      <c r="K1180" t="str">
        <f>IFERROR(VLOOKUP(J1180,LUTs!$A$1:$C$73,2,FALSE),"NA")</f>
        <v>Snohomish</v>
      </c>
      <c r="L1180" t="str">
        <f>IFERROR(VLOOKUP(J1180,LUTs!$A$1:$C$73,3,FALSE),"NA")</f>
        <v>2Central Puget Sound</v>
      </c>
      <c r="M1180" s="72" t="s">
        <v>16</v>
      </c>
      <c r="N1180" t="str">
        <f>VLOOKUP(M1180,LUTs!E$2:H$14,3,)</f>
        <v>03Snohomish</v>
      </c>
      <c r="O1180" t="str">
        <f>VLOOKUP(M1180,LUTs!E$2:H$14,4,)</f>
        <v>01North Puget Sound</v>
      </c>
      <c r="P1180" s="80">
        <v>22.5</v>
      </c>
      <c r="Q1180" s="103">
        <v>11.25</v>
      </c>
      <c r="R1180" s="74">
        <f>VLOOKUP(B1180,Readme!A$40:C$52,3,)*Q1180</f>
        <v>208.6875</v>
      </c>
    </row>
    <row r="1181" spans="1:18" ht="12" customHeight="1" x14ac:dyDescent="0.35">
      <c r="A1181" s="75">
        <v>1122</v>
      </c>
      <c r="B1181" s="80">
        <v>2013</v>
      </c>
      <c r="C1181" s="80">
        <v>11</v>
      </c>
      <c r="D1181" s="80">
        <f t="shared" si="67"/>
        <v>2013</v>
      </c>
      <c r="E1181" t="s">
        <v>38</v>
      </c>
      <c r="F1181" t="s">
        <v>143</v>
      </c>
      <c r="G1181" t="s">
        <v>86</v>
      </c>
      <c r="H1181" s="72" t="s">
        <v>217</v>
      </c>
      <c r="I1181" s="72" t="s">
        <v>59</v>
      </c>
      <c r="J1181" t="str">
        <f t="shared" si="68"/>
        <v>Cascade River</v>
      </c>
      <c r="K1181" t="str">
        <f>IFERROR(VLOOKUP(J1181,LUTs!$A$1:$C$73,2,FALSE),"NA")</f>
        <v>Skagit</v>
      </c>
      <c r="L1181" t="str">
        <f>IFERROR(VLOOKUP(J1181,LUTs!$A$1:$C$73,3,FALSE),"NA")</f>
        <v>1North Puget Sound</v>
      </c>
      <c r="M1181" s="72" t="s">
        <v>17</v>
      </c>
      <c r="N1181" t="str">
        <f>VLOOKUP(M1181,LUTs!E$2:H$14,3,)</f>
        <v>04Island</v>
      </c>
      <c r="O1181" t="str">
        <f>VLOOKUP(M1181,LUTs!E$2:H$14,4,)</f>
        <v>01North Puget Sound</v>
      </c>
      <c r="P1181" s="80">
        <v>6.2666666666666702</v>
      </c>
      <c r="Q1181" s="103">
        <v>3.1333333333333302</v>
      </c>
      <c r="R1181" s="74">
        <f>VLOOKUP(B1181,Readme!A$40:C$52,3,)*Q1181</f>
        <v>58.123333333333278</v>
      </c>
    </row>
    <row r="1182" spans="1:18" ht="12" customHeight="1" x14ac:dyDescent="0.35">
      <c r="A1182" s="75">
        <v>1123</v>
      </c>
      <c r="B1182" s="80">
        <v>2013</v>
      </c>
      <c r="C1182" s="80">
        <v>11</v>
      </c>
      <c r="D1182" s="80">
        <f t="shared" si="67"/>
        <v>2013</v>
      </c>
      <c r="E1182" t="s">
        <v>38</v>
      </c>
      <c r="F1182" t="s">
        <v>143</v>
      </c>
      <c r="G1182" t="s">
        <v>86</v>
      </c>
      <c r="H1182" s="72" t="s">
        <v>217</v>
      </c>
      <c r="I1182" s="72" t="s">
        <v>59</v>
      </c>
      <c r="J1182" t="str">
        <f t="shared" si="68"/>
        <v>Cascade River</v>
      </c>
      <c r="K1182" t="str">
        <f>IFERROR(VLOOKUP(J1182,LUTs!$A$1:$C$73,2,FALSE),"NA")</f>
        <v>Skagit</v>
      </c>
      <c r="L1182" t="str">
        <f>IFERROR(VLOOKUP(J1182,LUTs!$A$1:$C$73,3,FALSE),"NA")</f>
        <v>1North Puget Sound</v>
      </c>
      <c r="M1182" s="72" t="s">
        <v>18</v>
      </c>
      <c r="N1182" t="str">
        <f>VLOOKUP(M1182,LUTs!E$2:H$14,3,)</f>
        <v>06King</v>
      </c>
      <c r="O1182" t="str">
        <f>VLOOKUP(M1182,LUTs!E$2:H$14,4,)</f>
        <v>02South Puget Sound</v>
      </c>
      <c r="P1182" s="80">
        <v>6.2666666666666702</v>
      </c>
      <c r="Q1182" s="103">
        <v>3.1333333333333302</v>
      </c>
      <c r="R1182" s="74">
        <f>VLOOKUP(B1182,Readme!A$40:C$52,3,)*Q1182</f>
        <v>58.123333333333278</v>
      </c>
    </row>
    <row r="1183" spans="1:18" ht="12" customHeight="1" x14ac:dyDescent="0.35">
      <c r="A1183" s="75">
        <v>1124</v>
      </c>
      <c r="B1183" s="80">
        <v>2013</v>
      </c>
      <c r="C1183" s="80">
        <v>11</v>
      </c>
      <c r="D1183" s="80">
        <f t="shared" si="67"/>
        <v>2013</v>
      </c>
      <c r="E1183" t="s">
        <v>38</v>
      </c>
      <c r="F1183" t="s">
        <v>143</v>
      </c>
      <c r="G1183" t="s">
        <v>86</v>
      </c>
      <c r="H1183" s="72" t="s">
        <v>217</v>
      </c>
      <c r="I1183" s="72" t="s">
        <v>59</v>
      </c>
      <c r="J1183" t="str">
        <f t="shared" si="68"/>
        <v>Cascade River</v>
      </c>
      <c r="K1183" t="str">
        <f>IFERROR(VLOOKUP(J1183,LUTs!$A$1:$C$73,2,FALSE),"NA")</f>
        <v>Skagit</v>
      </c>
      <c r="L1183" t="str">
        <f>IFERROR(VLOOKUP(J1183,LUTs!$A$1:$C$73,3,FALSE),"NA")</f>
        <v>1North Puget Sound</v>
      </c>
      <c r="M1183" s="72" t="s">
        <v>15</v>
      </c>
      <c r="N1183" t="str">
        <f>VLOOKUP(M1183,LUTs!E$2:H$14,3,)</f>
        <v>02Skagit</v>
      </c>
      <c r="O1183" t="str">
        <f>VLOOKUP(M1183,LUTs!E$2:H$14,4,)</f>
        <v>01North Puget Sound</v>
      </c>
      <c r="P1183" s="80">
        <v>56.4</v>
      </c>
      <c r="Q1183" s="103">
        <v>28.2</v>
      </c>
      <c r="R1183" s="74">
        <f>VLOOKUP(B1183,Readme!A$40:C$52,3,)*Q1183</f>
        <v>523.11</v>
      </c>
    </row>
    <row r="1184" spans="1:18" ht="12" customHeight="1" x14ac:dyDescent="0.35">
      <c r="A1184" s="75">
        <v>1125</v>
      </c>
      <c r="B1184" s="80">
        <v>2013</v>
      </c>
      <c r="C1184" s="80">
        <v>11</v>
      </c>
      <c r="D1184" s="80">
        <f t="shared" si="67"/>
        <v>2013</v>
      </c>
      <c r="E1184" t="s">
        <v>38</v>
      </c>
      <c r="F1184" t="s">
        <v>143</v>
      </c>
      <c r="G1184" t="s">
        <v>86</v>
      </c>
      <c r="H1184" s="72" t="s">
        <v>217</v>
      </c>
      <c r="I1184" s="72" t="s">
        <v>59</v>
      </c>
      <c r="J1184" t="str">
        <f t="shared" si="68"/>
        <v>Cascade River</v>
      </c>
      <c r="K1184" t="str">
        <f>IFERROR(VLOOKUP(J1184,LUTs!$A$1:$C$73,2,FALSE),"NA")</f>
        <v>Skagit</v>
      </c>
      <c r="L1184" t="str">
        <f>IFERROR(VLOOKUP(J1184,LUTs!$A$1:$C$73,3,FALSE),"NA")</f>
        <v>1North Puget Sound</v>
      </c>
      <c r="M1184" s="72" t="s">
        <v>16</v>
      </c>
      <c r="N1184" t="str">
        <f>VLOOKUP(M1184,LUTs!E$2:H$14,3,)</f>
        <v>03Snohomish</v>
      </c>
      <c r="O1184" t="str">
        <f>VLOOKUP(M1184,LUTs!E$2:H$14,4,)</f>
        <v>01North Puget Sound</v>
      </c>
      <c r="P1184" s="80">
        <v>6.2666666666666702</v>
      </c>
      <c r="Q1184" s="103">
        <v>3.1333333333333302</v>
      </c>
      <c r="R1184" s="74">
        <f>VLOOKUP(B1184,Readme!A$40:C$52,3,)*Q1184</f>
        <v>58.123333333333278</v>
      </c>
    </row>
    <row r="1185" spans="1:18" ht="12" customHeight="1" x14ac:dyDescent="0.35">
      <c r="A1185" s="75">
        <v>1126</v>
      </c>
      <c r="B1185" s="80">
        <v>2013</v>
      </c>
      <c r="C1185" s="80">
        <v>11</v>
      </c>
      <c r="D1185" s="80">
        <f t="shared" si="67"/>
        <v>2013</v>
      </c>
      <c r="E1185" t="s">
        <v>38</v>
      </c>
      <c r="F1185" t="s">
        <v>143</v>
      </c>
      <c r="G1185" t="s">
        <v>86</v>
      </c>
      <c r="H1185" s="72" t="s">
        <v>217</v>
      </c>
      <c r="I1185" s="72" t="s">
        <v>59</v>
      </c>
      <c r="J1185" t="str">
        <f t="shared" si="68"/>
        <v>Cascade River</v>
      </c>
      <c r="K1185" t="str">
        <f>IFERROR(VLOOKUP(J1185,LUTs!$A$1:$C$73,2,FALSE),"NA")</f>
        <v>Skagit</v>
      </c>
      <c r="L1185" t="str">
        <f>IFERROR(VLOOKUP(J1185,LUTs!$A$1:$C$73,3,FALSE),"NA")</f>
        <v>1North Puget Sound</v>
      </c>
      <c r="M1185" s="72" t="s">
        <v>13</v>
      </c>
      <c r="N1185" t="str">
        <f>VLOOKUP(M1185,LUTs!E$2:H$14,3,)</f>
        <v>01Whatcom</v>
      </c>
      <c r="O1185" t="str">
        <f>VLOOKUP(M1185,LUTs!E$2:H$14,4,)</f>
        <v>01North Puget Sound</v>
      </c>
      <c r="P1185" s="80">
        <v>18.8</v>
      </c>
      <c r="Q1185" s="103">
        <v>9.4</v>
      </c>
      <c r="R1185" s="74">
        <f>VLOOKUP(B1185,Readme!A$40:C$52,3,)*Q1185</f>
        <v>174.37</v>
      </c>
    </row>
    <row r="1186" spans="1:18" ht="12" customHeight="1" x14ac:dyDescent="0.35">
      <c r="A1186" s="75">
        <v>1050</v>
      </c>
      <c r="B1186" s="80">
        <v>2013</v>
      </c>
      <c r="C1186" s="80">
        <v>11</v>
      </c>
      <c r="D1186" s="80">
        <f t="shared" si="67"/>
        <v>2013</v>
      </c>
      <c r="E1186" t="s">
        <v>38</v>
      </c>
      <c r="F1186" t="s">
        <v>143</v>
      </c>
      <c r="G1186" t="s">
        <v>86</v>
      </c>
      <c r="H1186" s="72" t="s">
        <v>201</v>
      </c>
      <c r="I1186" s="72" t="s">
        <v>43</v>
      </c>
      <c r="J1186" t="str">
        <f t="shared" si="68"/>
        <v>Dungeness River</v>
      </c>
      <c r="K1186" t="str">
        <f>IFERROR(VLOOKUP(J1186,LUTs!$A$1:$C$73,2,FALSE),"NA")</f>
        <v>Clallam</v>
      </c>
      <c r="L1186" t="str">
        <f>IFERROR(VLOOKUP(J1186,LUTs!$A$1:$C$73,3,FALSE),"NA")</f>
        <v>0Strait of Juan de Fuca</v>
      </c>
      <c r="M1186" s="72" t="s">
        <v>24</v>
      </c>
      <c r="N1186" t="str">
        <f>VLOOKUP(M1186,LUTs!E$2:H$14,3,)</f>
        <v>11Clallam</v>
      </c>
      <c r="O1186" t="str">
        <f>VLOOKUP(M1186,LUTs!E$2:H$14,4,)</f>
        <v>03Strait of Juan de Fuca</v>
      </c>
      <c r="P1186" s="80">
        <v>13.3333333333333</v>
      </c>
      <c r="Q1186" s="103">
        <v>6.6666666666666696</v>
      </c>
      <c r="R1186" s="74">
        <f>VLOOKUP(B1186,Readme!A$40:C$52,3,)*Q1186</f>
        <v>123.66666666666673</v>
      </c>
    </row>
    <row r="1187" spans="1:18" ht="12" customHeight="1" x14ac:dyDescent="0.35">
      <c r="A1187" s="75">
        <v>1051</v>
      </c>
      <c r="B1187" s="80">
        <v>2013</v>
      </c>
      <c r="C1187" s="80">
        <v>11</v>
      </c>
      <c r="D1187" s="80">
        <f t="shared" si="67"/>
        <v>2013</v>
      </c>
      <c r="E1187" t="s">
        <v>38</v>
      </c>
      <c r="F1187" t="s">
        <v>143</v>
      </c>
      <c r="G1187" t="s">
        <v>86</v>
      </c>
      <c r="H1187" s="72" t="s">
        <v>201</v>
      </c>
      <c r="I1187" s="72" t="s">
        <v>43</v>
      </c>
      <c r="J1187" t="str">
        <f t="shared" si="68"/>
        <v>Dungeness River</v>
      </c>
      <c r="K1187" t="str">
        <f>IFERROR(VLOOKUP(J1187,LUTs!$A$1:$C$73,2,FALSE),"NA")</f>
        <v>Clallam</v>
      </c>
      <c r="L1187" t="str">
        <f>IFERROR(VLOOKUP(J1187,LUTs!$A$1:$C$73,3,FALSE),"NA")</f>
        <v>0Strait of Juan de Fuca</v>
      </c>
      <c r="M1187" s="72" t="s">
        <v>23</v>
      </c>
      <c r="N1187" t="str">
        <f>VLOOKUP(M1187,LUTs!E$2:H$14,3,)</f>
        <v>10Kitsap</v>
      </c>
      <c r="O1187" t="str">
        <f>VLOOKUP(M1187,LUTs!E$2:H$14,4,)</f>
        <v>02South Puget Sound</v>
      </c>
      <c r="P1187" s="80">
        <v>6.6666666666666696</v>
      </c>
      <c r="Q1187" s="103">
        <v>3.3333333333333299</v>
      </c>
      <c r="R1187" s="74">
        <f>VLOOKUP(B1187,Readme!A$40:C$52,3,)*Q1187</f>
        <v>61.833333333333272</v>
      </c>
    </row>
    <row r="1188" spans="1:18" ht="12" customHeight="1" x14ac:dyDescent="0.35">
      <c r="A1188" s="75">
        <v>1073</v>
      </c>
      <c r="B1188" s="80">
        <v>2013</v>
      </c>
      <c r="C1188" s="80">
        <v>11</v>
      </c>
      <c r="D1188" s="80">
        <f t="shared" si="67"/>
        <v>2013</v>
      </c>
      <c r="E1188" t="s">
        <v>38</v>
      </c>
      <c r="F1188" t="s">
        <v>143</v>
      </c>
      <c r="G1188" t="s">
        <v>86</v>
      </c>
      <c r="H1188" s="72" t="s">
        <v>203</v>
      </c>
      <c r="I1188" s="72" t="s">
        <v>89</v>
      </c>
      <c r="J1188" s="84" t="s">
        <v>45</v>
      </c>
      <c r="K1188" t="str">
        <f>IFERROR(VLOOKUP(J1188,LUTs!$A$1:$C$73,2,FALSE),"NA")</f>
        <v>King</v>
      </c>
      <c r="L1188" t="str">
        <f>IFERROR(VLOOKUP(J1188,LUTs!$A$1:$C$73,3,FALSE),"NA")</f>
        <v>3South Puget Sound</v>
      </c>
      <c r="M1188" s="72" t="s">
        <v>18</v>
      </c>
      <c r="N1188" t="str">
        <f>VLOOKUP(M1188,LUTs!E$2:H$14,3,)</f>
        <v>06King</v>
      </c>
      <c r="O1188" t="str">
        <f>VLOOKUP(M1188,LUTs!E$2:H$14,4,)</f>
        <v>02South Puget Sound</v>
      </c>
      <c r="P1188" s="80">
        <v>50.6666666666667</v>
      </c>
      <c r="Q1188" s="103">
        <v>25.3333333333333</v>
      </c>
      <c r="R1188" s="74">
        <f>VLOOKUP(B1188,Readme!A$40:C$52,3,)*Q1188</f>
        <v>469.93333333333271</v>
      </c>
    </row>
    <row r="1189" spans="1:18" ht="12" customHeight="1" x14ac:dyDescent="0.35">
      <c r="A1189" s="75">
        <v>1074</v>
      </c>
      <c r="B1189" s="80">
        <v>2013</v>
      </c>
      <c r="C1189" s="80">
        <v>11</v>
      </c>
      <c r="D1189" s="80">
        <f t="shared" si="67"/>
        <v>2013</v>
      </c>
      <c r="E1189" t="s">
        <v>38</v>
      </c>
      <c r="F1189" t="s">
        <v>143</v>
      </c>
      <c r="G1189" t="s">
        <v>86</v>
      </c>
      <c r="H1189" s="72" t="s">
        <v>203</v>
      </c>
      <c r="I1189" s="72" t="s">
        <v>89</v>
      </c>
      <c r="J1189" s="84" t="s">
        <v>45</v>
      </c>
      <c r="K1189" t="str">
        <f>IFERROR(VLOOKUP(J1189,LUTs!$A$1:$C$73,2,FALSE),"NA")</f>
        <v>King</v>
      </c>
      <c r="L1189" t="str">
        <f>IFERROR(VLOOKUP(J1189,LUTs!$A$1:$C$73,3,FALSE),"NA")</f>
        <v>3South Puget Sound</v>
      </c>
      <c r="M1189" s="72" t="s">
        <v>20</v>
      </c>
      <c r="N1189" t="str">
        <f>VLOOKUP(M1189,LUTs!E$2:H$14,3,)</f>
        <v>07Pierce</v>
      </c>
      <c r="O1189" t="str">
        <f>VLOOKUP(M1189,LUTs!E$2:H$14,4,)</f>
        <v>02South Puget Sound</v>
      </c>
      <c r="P1189" s="80">
        <v>5.3333333333333304</v>
      </c>
      <c r="Q1189" s="103">
        <v>2.6666666666666701</v>
      </c>
      <c r="R1189" s="74">
        <f>VLOOKUP(B1189,Readme!A$40:C$52,3,)*Q1189</f>
        <v>49.466666666666733</v>
      </c>
    </row>
    <row r="1190" spans="1:18" ht="12" customHeight="1" x14ac:dyDescent="0.35">
      <c r="A1190" s="75">
        <v>1092</v>
      </c>
      <c r="B1190" s="80">
        <v>2013</v>
      </c>
      <c r="C1190" s="80">
        <v>11</v>
      </c>
      <c r="D1190" s="80">
        <f t="shared" si="67"/>
        <v>2013</v>
      </c>
      <c r="E1190" t="s">
        <v>38</v>
      </c>
      <c r="F1190" t="s">
        <v>143</v>
      </c>
      <c r="G1190" t="s">
        <v>86</v>
      </c>
      <c r="H1190" s="72" t="s">
        <v>208</v>
      </c>
      <c r="I1190" s="72" t="s">
        <v>256</v>
      </c>
      <c r="J1190" s="84" t="s">
        <v>50</v>
      </c>
      <c r="K1190" t="str">
        <f>IFERROR(VLOOKUP(J1190,LUTs!$A$1:$C$73,2,FALSE),"NA")</f>
        <v>Kitsap/Pierce</v>
      </c>
      <c r="L1190" t="str">
        <f>IFERROR(VLOOKUP(J1190,LUTs!$A$1:$C$73,3,FALSE),"NA")</f>
        <v>3South Puget Sound</v>
      </c>
      <c r="M1190" s="72" t="s">
        <v>20</v>
      </c>
      <c r="N1190" t="str">
        <f>VLOOKUP(M1190,LUTs!E$2:H$14,3,)</f>
        <v>07Pierce</v>
      </c>
      <c r="O1190" t="str">
        <f>VLOOKUP(M1190,LUTs!E$2:H$14,4,)</f>
        <v>02South Puget Sound</v>
      </c>
      <c r="P1190" s="80">
        <v>14</v>
      </c>
      <c r="Q1190" s="103">
        <v>0</v>
      </c>
      <c r="R1190" s="74">
        <f>VLOOKUP(B1190,Readme!A$40:C$52,3,)*Q1190</f>
        <v>0</v>
      </c>
    </row>
    <row r="1191" spans="1:18" ht="12" customHeight="1" x14ac:dyDescent="0.35">
      <c r="A1191" s="75">
        <v>1163</v>
      </c>
      <c r="B1191" s="80">
        <v>2013</v>
      </c>
      <c r="C1191" s="80">
        <v>11</v>
      </c>
      <c r="D1191" s="80">
        <f t="shared" si="67"/>
        <v>2013</v>
      </c>
      <c r="E1191" t="s">
        <v>38</v>
      </c>
      <c r="F1191" t="s">
        <v>143</v>
      </c>
      <c r="G1191" t="s">
        <v>86</v>
      </c>
      <c r="H1191" s="72" t="s">
        <v>228</v>
      </c>
      <c r="I1191" s="72" t="s">
        <v>70</v>
      </c>
      <c r="J1191" t="str">
        <f t="shared" ref="J1191:J1223" si="69">I1191</f>
        <v>Pilchuck River (Snohomish System)</v>
      </c>
      <c r="K1191" t="str">
        <f>IFERROR(VLOOKUP(J1191,LUTs!$A$1:$C$73,2,FALSE),"NA")</f>
        <v>Snohomish</v>
      </c>
      <c r="L1191" t="str">
        <f>IFERROR(VLOOKUP(J1191,LUTs!$A$1:$C$73,3,FALSE),"NA")</f>
        <v>2Central Puget Sound</v>
      </c>
      <c r="M1191" s="72" t="s">
        <v>16</v>
      </c>
      <c r="N1191" t="str">
        <f>VLOOKUP(M1191,LUTs!E$2:H$14,3,)</f>
        <v>03Snohomish</v>
      </c>
      <c r="O1191" t="str">
        <f>VLOOKUP(M1191,LUTs!E$2:H$14,4,)</f>
        <v>01North Puget Sound</v>
      </c>
      <c r="P1191" s="80">
        <v>6</v>
      </c>
      <c r="Q1191" s="103">
        <v>0</v>
      </c>
      <c r="R1191" s="74">
        <f>VLOOKUP(B1191,Readme!A$40:C$52,3,)*Q1191</f>
        <v>0</v>
      </c>
    </row>
    <row r="1192" spans="1:18" ht="12" customHeight="1" x14ac:dyDescent="0.35">
      <c r="A1192" s="75">
        <v>1113</v>
      </c>
      <c r="B1192" s="80">
        <v>2013</v>
      </c>
      <c r="C1192" s="80">
        <v>11</v>
      </c>
      <c r="D1192" s="80">
        <f t="shared" si="67"/>
        <v>2013</v>
      </c>
      <c r="E1192" t="s">
        <v>38</v>
      </c>
      <c r="F1192" t="s">
        <v>143</v>
      </c>
      <c r="G1192" t="s">
        <v>86</v>
      </c>
      <c r="H1192" s="72" t="s">
        <v>227</v>
      </c>
      <c r="I1192" s="72" t="s">
        <v>69</v>
      </c>
      <c r="J1192" t="str">
        <f t="shared" si="69"/>
        <v>Pysht River</v>
      </c>
      <c r="K1192" t="str">
        <f>IFERROR(VLOOKUP(J1192,LUTs!$A$1:$C$73,2,FALSE),"NA")</f>
        <v>Clallam</v>
      </c>
      <c r="L1192" t="str">
        <f>IFERROR(VLOOKUP(J1192,LUTs!$A$1:$C$73,3,FALSE),"NA")</f>
        <v>0Strait of Juan de Fuca</v>
      </c>
      <c r="M1192" s="72" t="s">
        <v>23</v>
      </c>
      <c r="N1192" t="str">
        <f>VLOOKUP(M1192,LUTs!E$2:H$14,3,)</f>
        <v>10Kitsap</v>
      </c>
      <c r="O1192" t="str">
        <f>VLOOKUP(M1192,LUTs!E$2:H$14,4,)</f>
        <v>02South Puget Sound</v>
      </c>
      <c r="P1192" s="80">
        <v>6</v>
      </c>
      <c r="Q1192" s="103">
        <v>3</v>
      </c>
      <c r="R1192" s="74">
        <f>VLOOKUP(B1192,Readme!A$40:C$52,3,)*Q1192</f>
        <v>55.650000000000006</v>
      </c>
    </row>
    <row r="1193" spans="1:18" ht="12" customHeight="1" x14ac:dyDescent="0.35">
      <c r="A1193" s="75">
        <v>1152</v>
      </c>
      <c r="B1193" s="80">
        <v>2013</v>
      </c>
      <c r="C1193" s="80">
        <v>11</v>
      </c>
      <c r="D1193" s="80">
        <f t="shared" si="67"/>
        <v>2013</v>
      </c>
      <c r="E1193" t="s">
        <v>38</v>
      </c>
      <c r="F1193" t="s">
        <v>143</v>
      </c>
      <c r="G1193" t="s">
        <v>86</v>
      </c>
      <c r="H1193" s="72" t="s">
        <v>218</v>
      </c>
      <c r="I1193" s="72" t="s">
        <v>60</v>
      </c>
      <c r="J1193" t="str">
        <f t="shared" si="69"/>
        <v>Skagit River</v>
      </c>
      <c r="K1193" t="str">
        <f>IFERROR(VLOOKUP(J1193,LUTs!$A$1:$C$73,2,FALSE),"NA")</f>
        <v>Skagit/Whatcom</v>
      </c>
      <c r="L1193" t="str">
        <f>IFERROR(VLOOKUP(J1193,LUTs!$A$1:$C$73,3,FALSE),"NA")</f>
        <v>2Central Puget Sound</v>
      </c>
      <c r="M1193" s="72" t="s">
        <v>15</v>
      </c>
      <c r="N1193" t="str">
        <f>VLOOKUP(M1193,LUTs!E$2:H$14,3,)</f>
        <v>02Skagit</v>
      </c>
      <c r="O1193" t="str">
        <f>VLOOKUP(M1193,LUTs!E$2:H$14,4,)</f>
        <v>01North Puget Sound</v>
      </c>
      <c r="P1193" s="80">
        <v>6</v>
      </c>
      <c r="Q1193" s="103">
        <v>6</v>
      </c>
      <c r="R1193" s="74">
        <f>VLOOKUP(B1193,Readme!A$40:C$52,3,)*Q1193</f>
        <v>111.30000000000001</v>
      </c>
    </row>
    <row r="1194" spans="1:18" ht="12" customHeight="1" x14ac:dyDescent="0.35">
      <c r="A1194" s="75">
        <v>1153</v>
      </c>
      <c r="B1194" s="80">
        <v>2013</v>
      </c>
      <c r="C1194" s="80">
        <v>11</v>
      </c>
      <c r="D1194" s="80">
        <f t="shared" si="67"/>
        <v>2013</v>
      </c>
      <c r="E1194" t="s">
        <v>38</v>
      </c>
      <c r="F1194" t="s">
        <v>143</v>
      </c>
      <c r="G1194" t="s">
        <v>86</v>
      </c>
      <c r="H1194" s="72" t="s">
        <v>218</v>
      </c>
      <c r="I1194" s="72" t="s">
        <v>60</v>
      </c>
      <c r="J1194" t="str">
        <f t="shared" si="69"/>
        <v>Skagit River</v>
      </c>
      <c r="K1194" t="str">
        <f>IFERROR(VLOOKUP(J1194,LUTs!$A$1:$C$73,2,FALSE),"NA")</f>
        <v>Skagit/Whatcom</v>
      </c>
      <c r="L1194" t="str">
        <f>IFERROR(VLOOKUP(J1194,LUTs!$A$1:$C$73,3,FALSE),"NA")</f>
        <v>2Central Puget Sound</v>
      </c>
      <c r="M1194" s="72" t="s">
        <v>16</v>
      </c>
      <c r="N1194" t="str">
        <f>VLOOKUP(M1194,LUTs!E$2:H$14,3,)</f>
        <v>03Snohomish</v>
      </c>
      <c r="O1194" t="str">
        <f>VLOOKUP(M1194,LUTs!E$2:H$14,4,)</f>
        <v>01North Puget Sound</v>
      </c>
      <c r="P1194" s="80">
        <v>6</v>
      </c>
      <c r="Q1194" s="103">
        <v>6</v>
      </c>
      <c r="R1194" s="74">
        <f>VLOOKUP(B1194,Readme!A$40:C$52,3,)*Q1194</f>
        <v>111.30000000000001</v>
      </c>
    </row>
    <row r="1195" spans="1:18" ht="12" customHeight="1" x14ac:dyDescent="0.35">
      <c r="A1195" s="75">
        <v>1195</v>
      </c>
      <c r="B1195" s="80">
        <v>2013</v>
      </c>
      <c r="C1195" s="80">
        <v>11</v>
      </c>
      <c r="D1195" s="80">
        <f t="shared" si="67"/>
        <v>2013</v>
      </c>
      <c r="E1195" t="s">
        <v>38</v>
      </c>
      <c r="F1195" t="s">
        <v>143</v>
      </c>
      <c r="G1195" t="s">
        <v>86</v>
      </c>
      <c r="H1195" s="72" t="s">
        <v>220</v>
      </c>
      <c r="I1195" s="72" t="s">
        <v>62</v>
      </c>
      <c r="J1195" t="str">
        <f t="shared" si="69"/>
        <v>Skykomish River</v>
      </c>
      <c r="K1195" t="str">
        <f>IFERROR(VLOOKUP(J1195,LUTs!$A$1:$C$73,2,FALSE),"NA")</f>
        <v>Snohomish</v>
      </c>
      <c r="L1195" t="str">
        <f>IFERROR(VLOOKUP(J1195,LUTs!$A$1:$C$73,3,FALSE),"NA")</f>
        <v>2Central Puget Sound</v>
      </c>
      <c r="M1195" s="72" t="s">
        <v>17</v>
      </c>
      <c r="N1195" t="str">
        <f>VLOOKUP(M1195,LUTs!E$2:H$14,3,)</f>
        <v>04Island</v>
      </c>
      <c r="O1195" t="str">
        <f>VLOOKUP(M1195,LUTs!E$2:H$14,4,)</f>
        <v>01North Puget Sound</v>
      </c>
      <c r="P1195" s="80">
        <v>6.1098901098901104</v>
      </c>
      <c r="Q1195" s="103">
        <v>3.1318681318681301</v>
      </c>
      <c r="R1195" s="74">
        <f>VLOOKUP(B1195,Readme!A$40:C$52,3,)*Q1195</f>
        <v>58.096153846153818</v>
      </c>
    </row>
    <row r="1196" spans="1:18" ht="12" customHeight="1" x14ac:dyDescent="0.35">
      <c r="A1196" s="75">
        <v>1196</v>
      </c>
      <c r="B1196" s="80">
        <v>2013</v>
      </c>
      <c r="C1196" s="80">
        <v>11</v>
      </c>
      <c r="D1196" s="80">
        <f t="shared" si="67"/>
        <v>2013</v>
      </c>
      <c r="E1196" t="s">
        <v>38</v>
      </c>
      <c r="F1196" t="s">
        <v>143</v>
      </c>
      <c r="G1196" t="s">
        <v>86</v>
      </c>
      <c r="H1196" s="72" t="s">
        <v>220</v>
      </c>
      <c r="I1196" s="72" t="s">
        <v>62</v>
      </c>
      <c r="J1196" t="str">
        <f t="shared" si="69"/>
        <v>Skykomish River</v>
      </c>
      <c r="K1196" t="str">
        <f>IFERROR(VLOOKUP(J1196,LUTs!$A$1:$C$73,2,FALSE),"NA")</f>
        <v>Snohomish</v>
      </c>
      <c r="L1196" t="str">
        <f>IFERROR(VLOOKUP(J1196,LUTs!$A$1:$C$73,3,FALSE),"NA")</f>
        <v>2Central Puget Sound</v>
      </c>
      <c r="M1196" s="72" t="s">
        <v>18</v>
      </c>
      <c r="N1196" t="str">
        <f>VLOOKUP(M1196,LUTs!E$2:H$14,3,)</f>
        <v>06King</v>
      </c>
      <c r="O1196" t="str">
        <f>VLOOKUP(M1196,LUTs!E$2:H$14,4,)</f>
        <v>02South Puget Sound</v>
      </c>
      <c r="P1196" s="80">
        <v>146.637362637363</v>
      </c>
      <c r="Q1196" s="103">
        <v>75.164835164835196</v>
      </c>
      <c r="R1196" s="74">
        <f>VLOOKUP(B1196,Readme!A$40:C$52,3,)*Q1196</f>
        <v>1394.3076923076928</v>
      </c>
    </row>
    <row r="1197" spans="1:18" ht="12" customHeight="1" x14ac:dyDescent="0.35">
      <c r="A1197" s="75">
        <v>1197</v>
      </c>
      <c r="B1197" s="80">
        <v>2013</v>
      </c>
      <c r="C1197" s="80">
        <v>11</v>
      </c>
      <c r="D1197" s="80">
        <f t="shared" si="67"/>
        <v>2013</v>
      </c>
      <c r="E1197" t="s">
        <v>38</v>
      </c>
      <c r="F1197" t="s">
        <v>143</v>
      </c>
      <c r="G1197" t="s">
        <v>86</v>
      </c>
      <c r="H1197" s="72" t="s">
        <v>220</v>
      </c>
      <c r="I1197" s="72" t="s">
        <v>62</v>
      </c>
      <c r="J1197" t="str">
        <f t="shared" si="69"/>
        <v>Skykomish River</v>
      </c>
      <c r="K1197" t="str">
        <f>IFERROR(VLOOKUP(J1197,LUTs!$A$1:$C$73,2,FALSE),"NA")</f>
        <v>Snohomish</v>
      </c>
      <c r="L1197" t="str">
        <f>IFERROR(VLOOKUP(J1197,LUTs!$A$1:$C$73,3,FALSE),"NA")</f>
        <v>2Central Puget Sound</v>
      </c>
      <c r="M1197" s="72" t="s">
        <v>26</v>
      </c>
      <c r="N1197" t="str">
        <f>VLOOKUP(M1197,LUTs!E$2:H$14,3,)</f>
        <v>20Other</v>
      </c>
      <c r="O1197" t="str">
        <f>VLOOKUP(M1197,LUTs!E$2:H$14,4,)</f>
        <v>07Non Puget Sound</v>
      </c>
      <c r="P1197" s="80">
        <v>6.1098901098901104</v>
      </c>
      <c r="Q1197" s="103">
        <v>3.1318681318681301</v>
      </c>
      <c r="R1197" s="74">
        <f>VLOOKUP(B1197,Readme!A$40:C$52,3,)*Q1197</f>
        <v>58.096153846153818</v>
      </c>
    </row>
    <row r="1198" spans="1:18" ht="12" customHeight="1" x14ac:dyDescent="0.35">
      <c r="A1198" s="75">
        <v>1198</v>
      </c>
      <c r="B1198" s="80">
        <v>2013</v>
      </c>
      <c r="C1198" s="80">
        <v>11</v>
      </c>
      <c r="D1198" s="80">
        <f t="shared" si="67"/>
        <v>2013</v>
      </c>
      <c r="E1198" t="s">
        <v>38</v>
      </c>
      <c r="F1198" t="s">
        <v>143</v>
      </c>
      <c r="G1198" t="s">
        <v>86</v>
      </c>
      <c r="H1198" s="72" t="s">
        <v>220</v>
      </c>
      <c r="I1198" s="72" t="s">
        <v>62</v>
      </c>
      <c r="J1198" t="str">
        <f t="shared" si="69"/>
        <v>Skykomish River</v>
      </c>
      <c r="K1198" t="str">
        <f>IFERROR(VLOOKUP(J1198,LUTs!$A$1:$C$73,2,FALSE),"NA")</f>
        <v>Snohomish</v>
      </c>
      <c r="L1198" t="str">
        <f>IFERROR(VLOOKUP(J1198,LUTs!$A$1:$C$73,3,FALSE),"NA")</f>
        <v>2Central Puget Sound</v>
      </c>
      <c r="M1198" s="72" t="s">
        <v>20</v>
      </c>
      <c r="N1198" t="str">
        <f>VLOOKUP(M1198,LUTs!E$2:H$14,3,)</f>
        <v>07Pierce</v>
      </c>
      <c r="O1198" t="str">
        <f>VLOOKUP(M1198,LUTs!E$2:H$14,4,)</f>
        <v>02South Puget Sound</v>
      </c>
      <c r="P1198" s="80">
        <v>18.3296703296703</v>
      </c>
      <c r="Q1198" s="103">
        <v>9.3956043956043995</v>
      </c>
      <c r="R1198" s="74">
        <f>VLOOKUP(B1198,Readme!A$40:C$52,3,)*Q1198</f>
        <v>174.2884615384616</v>
      </c>
    </row>
    <row r="1199" spans="1:18" ht="12" customHeight="1" x14ac:dyDescent="0.35">
      <c r="A1199" s="75">
        <v>1199</v>
      </c>
      <c r="B1199" s="80">
        <v>2013</v>
      </c>
      <c r="C1199" s="80">
        <v>11</v>
      </c>
      <c r="D1199" s="80">
        <f t="shared" si="67"/>
        <v>2013</v>
      </c>
      <c r="E1199" t="s">
        <v>38</v>
      </c>
      <c r="F1199" t="s">
        <v>143</v>
      </c>
      <c r="G1199" t="s">
        <v>86</v>
      </c>
      <c r="H1199" s="72" t="s">
        <v>220</v>
      </c>
      <c r="I1199" s="72" t="s">
        <v>62</v>
      </c>
      <c r="J1199" t="str">
        <f t="shared" si="69"/>
        <v>Skykomish River</v>
      </c>
      <c r="K1199" t="str">
        <f>IFERROR(VLOOKUP(J1199,LUTs!$A$1:$C$73,2,FALSE),"NA")</f>
        <v>Snohomish</v>
      </c>
      <c r="L1199" t="str">
        <f>IFERROR(VLOOKUP(J1199,LUTs!$A$1:$C$73,3,FALSE),"NA")</f>
        <v>2Central Puget Sound</v>
      </c>
      <c r="M1199" s="72" t="s">
        <v>16</v>
      </c>
      <c r="N1199" t="str">
        <f>VLOOKUP(M1199,LUTs!E$2:H$14,3,)</f>
        <v>03Snohomish</v>
      </c>
      <c r="O1199" t="str">
        <f>VLOOKUP(M1199,LUTs!E$2:H$14,4,)</f>
        <v>01North Puget Sound</v>
      </c>
      <c r="P1199" s="80">
        <v>378.81318681318697</v>
      </c>
      <c r="Q1199" s="103">
        <v>194.175824175824</v>
      </c>
      <c r="R1199" s="74">
        <f>VLOOKUP(B1199,Readme!A$40:C$52,3,)*Q1199</f>
        <v>3601.9615384615354</v>
      </c>
    </row>
    <row r="1200" spans="1:18" ht="12" customHeight="1" x14ac:dyDescent="0.35">
      <c r="A1200" s="75">
        <v>1221</v>
      </c>
      <c r="B1200" s="80">
        <v>2013</v>
      </c>
      <c r="C1200" s="80">
        <v>11</v>
      </c>
      <c r="D1200" s="80">
        <f t="shared" si="67"/>
        <v>2013</v>
      </c>
      <c r="E1200" t="s">
        <v>38</v>
      </c>
      <c r="F1200" t="s">
        <v>143</v>
      </c>
      <c r="G1200" t="s">
        <v>86</v>
      </c>
      <c r="H1200" s="72" t="s">
        <v>247</v>
      </c>
      <c r="I1200" s="72" t="s">
        <v>98</v>
      </c>
      <c r="J1200" t="str">
        <f t="shared" si="69"/>
        <v>Skykomish River, No. Fork</v>
      </c>
      <c r="K1200" t="str">
        <f>IFERROR(VLOOKUP(J1200,LUTs!$A$1:$C$73,2,FALSE),"NA")</f>
        <v>Snohomish</v>
      </c>
      <c r="L1200" t="str">
        <f>IFERROR(VLOOKUP(J1200,LUTs!$A$1:$C$73,3,FALSE),"NA")</f>
        <v>2Central Puget Sound</v>
      </c>
      <c r="M1200" s="72" t="s">
        <v>18</v>
      </c>
      <c r="N1200" t="str">
        <f>VLOOKUP(M1200,LUTs!E$2:H$14,3,)</f>
        <v>06King</v>
      </c>
      <c r="O1200" t="str">
        <f>VLOOKUP(M1200,LUTs!E$2:H$14,4,)</f>
        <v>02South Puget Sound</v>
      </c>
      <c r="P1200" s="80">
        <v>12</v>
      </c>
      <c r="Q1200" s="103">
        <v>6</v>
      </c>
      <c r="R1200" s="74">
        <f>VLOOKUP(B1200,Readme!A$40:C$52,3,)*Q1200</f>
        <v>111.30000000000001</v>
      </c>
    </row>
    <row r="1201" spans="1:18" ht="12" customHeight="1" x14ac:dyDescent="0.35">
      <c r="A1201" s="75">
        <v>1228</v>
      </c>
      <c r="B1201" s="80">
        <v>2013</v>
      </c>
      <c r="C1201" s="80">
        <v>11</v>
      </c>
      <c r="D1201" s="80">
        <f t="shared" si="67"/>
        <v>2013</v>
      </c>
      <c r="E1201" t="s">
        <v>38</v>
      </c>
      <c r="F1201" t="s">
        <v>143</v>
      </c>
      <c r="G1201" t="s">
        <v>86</v>
      </c>
      <c r="H1201" s="72" t="s">
        <v>248</v>
      </c>
      <c r="I1201" s="72" t="s">
        <v>99</v>
      </c>
      <c r="J1201" t="str">
        <f t="shared" si="69"/>
        <v>Skykomish River, So. Fork</v>
      </c>
      <c r="K1201" t="str">
        <f>IFERROR(VLOOKUP(J1201,LUTs!$A$1:$C$73,2,FALSE),"NA")</f>
        <v>Snohomish/King</v>
      </c>
      <c r="L1201" t="str">
        <f>IFERROR(VLOOKUP(J1201,LUTs!$A$1:$C$73,3,FALSE),"NA")</f>
        <v>2Central Puget Sound</v>
      </c>
      <c r="M1201" s="72" t="s">
        <v>26</v>
      </c>
      <c r="N1201" t="str">
        <f>VLOOKUP(M1201,LUTs!E$2:H$14,3,)</f>
        <v>20Other</v>
      </c>
      <c r="O1201" t="str">
        <f>VLOOKUP(M1201,LUTs!E$2:H$14,4,)</f>
        <v>07Non Puget Sound</v>
      </c>
      <c r="P1201" s="80">
        <v>6</v>
      </c>
      <c r="Q1201" s="103">
        <v>3</v>
      </c>
      <c r="R1201" s="74">
        <f>VLOOKUP(B1201,Readme!A$40:C$52,3,)*Q1201</f>
        <v>55.650000000000006</v>
      </c>
    </row>
    <row r="1202" spans="1:18" ht="12" customHeight="1" x14ac:dyDescent="0.35">
      <c r="A1202" s="75">
        <v>1241</v>
      </c>
      <c r="B1202" s="80">
        <v>2013</v>
      </c>
      <c r="C1202" s="80">
        <v>11</v>
      </c>
      <c r="D1202" s="80">
        <f t="shared" si="67"/>
        <v>2013</v>
      </c>
      <c r="E1202" t="s">
        <v>38</v>
      </c>
      <c r="F1202" t="s">
        <v>143</v>
      </c>
      <c r="G1202" t="s">
        <v>86</v>
      </c>
      <c r="H1202" s="72" t="s">
        <v>221</v>
      </c>
      <c r="I1202" s="72" t="s">
        <v>63</v>
      </c>
      <c r="J1202" t="str">
        <f t="shared" si="69"/>
        <v>Snohomish River</v>
      </c>
      <c r="K1202" t="str">
        <f>IFERROR(VLOOKUP(J1202,LUTs!$A$1:$C$73,2,FALSE),"NA")</f>
        <v>Snohomish</v>
      </c>
      <c r="L1202" t="str">
        <f>IFERROR(VLOOKUP(J1202,LUTs!$A$1:$C$73,3,FALSE),"NA")</f>
        <v>2Central Puget Sound</v>
      </c>
      <c r="M1202" s="72" t="s">
        <v>18</v>
      </c>
      <c r="N1202" t="str">
        <f>VLOOKUP(M1202,LUTs!E$2:H$14,3,)</f>
        <v>06King</v>
      </c>
      <c r="O1202" t="str">
        <f>VLOOKUP(M1202,LUTs!E$2:H$14,4,)</f>
        <v>02South Puget Sound</v>
      </c>
      <c r="P1202" s="80">
        <v>6</v>
      </c>
      <c r="Q1202" s="103">
        <v>3</v>
      </c>
      <c r="R1202" s="74">
        <f>VLOOKUP(B1202,Readme!A$40:C$52,3,)*Q1202</f>
        <v>55.650000000000006</v>
      </c>
    </row>
    <row r="1203" spans="1:18" ht="12" customHeight="1" x14ac:dyDescent="0.35">
      <c r="A1203" s="75">
        <v>1242</v>
      </c>
      <c r="B1203" s="80">
        <v>2013</v>
      </c>
      <c r="C1203" s="80">
        <v>11</v>
      </c>
      <c r="D1203" s="80">
        <f t="shared" si="67"/>
        <v>2013</v>
      </c>
      <c r="E1203" t="s">
        <v>38</v>
      </c>
      <c r="F1203" t="s">
        <v>143</v>
      </c>
      <c r="G1203" t="s">
        <v>86</v>
      </c>
      <c r="H1203" s="72" t="s">
        <v>221</v>
      </c>
      <c r="I1203" s="72" t="s">
        <v>63</v>
      </c>
      <c r="J1203" t="str">
        <f t="shared" si="69"/>
        <v>Snohomish River</v>
      </c>
      <c r="K1203" t="str">
        <f>IFERROR(VLOOKUP(J1203,LUTs!$A$1:$C$73,2,FALSE),"NA")</f>
        <v>Snohomish</v>
      </c>
      <c r="L1203" t="str">
        <f>IFERROR(VLOOKUP(J1203,LUTs!$A$1:$C$73,3,FALSE),"NA")</f>
        <v>2Central Puget Sound</v>
      </c>
      <c r="M1203" s="72" t="s">
        <v>16</v>
      </c>
      <c r="N1203" t="str">
        <f>VLOOKUP(M1203,LUTs!E$2:H$14,3,)</f>
        <v>03Snohomish</v>
      </c>
      <c r="O1203" t="str">
        <f>VLOOKUP(M1203,LUTs!E$2:H$14,4,)</f>
        <v>01North Puget Sound</v>
      </c>
      <c r="P1203" s="80">
        <v>48</v>
      </c>
      <c r="Q1203" s="103">
        <v>24</v>
      </c>
      <c r="R1203" s="74">
        <f>VLOOKUP(B1203,Readme!A$40:C$52,3,)*Q1203</f>
        <v>445.20000000000005</v>
      </c>
    </row>
    <row r="1204" spans="1:18" ht="12" customHeight="1" x14ac:dyDescent="0.35">
      <c r="A1204" s="75">
        <v>1250</v>
      </c>
      <c r="B1204" s="80">
        <v>2013</v>
      </c>
      <c r="C1204" s="80">
        <v>11</v>
      </c>
      <c r="D1204" s="80">
        <f t="shared" si="67"/>
        <v>2013</v>
      </c>
      <c r="E1204" t="s">
        <v>38</v>
      </c>
      <c r="F1204" t="s">
        <v>143</v>
      </c>
      <c r="G1204" t="s">
        <v>86</v>
      </c>
      <c r="H1204" s="72" t="s">
        <v>222</v>
      </c>
      <c r="I1204" s="72" t="s">
        <v>64</v>
      </c>
      <c r="J1204" t="str">
        <f t="shared" si="69"/>
        <v>Snoqualmie River</v>
      </c>
      <c r="K1204" t="str">
        <f>IFERROR(VLOOKUP(J1204,LUTs!$A$1:$C$73,2,FALSE),"NA")</f>
        <v>Snohomish/King</v>
      </c>
      <c r="L1204" t="str">
        <f>IFERROR(VLOOKUP(J1204,LUTs!$A$1:$C$73,3,FALSE),"NA")</f>
        <v>2Central Puget Sound</v>
      </c>
      <c r="M1204" s="72" t="s">
        <v>18</v>
      </c>
      <c r="N1204" t="str">
        <f>VLOOKUP(M1204,LUTs!E$2:H$14,3,)</f>
        <v>06King</v>
      </c>
      <c r="O1204" t="str">
        <f>VLOOKUP(M1204,LUTs!E$2:H$14,4,)</f>
        <v>02South Puget Sound</v>
      </c>
      <c r="P1204" s="80">
        <v>55.5</v>
      </c>
      <c r="Q1204" s="103">
        <v>27.75</v>
      </c>
      <c r="R1204" s="74">
        <f>VLOOKUP(B1204,Readme!A$40:C$52,3,)*Q1204</f>
        <v>514.76250000000005</v>
      </c>
    </row>
    <row r="1205" spans="1:18" ht="12" customHeight="1" x14ac:dyDescent="0.35">
      <c r="A1205" s="75">
        <v>1251</v>
      </c>
      <c r="B1205" s="80">
        <v>2013</v>
      </c>
      <c r="C1205" s="80">
        <v>11</v>
      </c>
      <c r="D1205" s="80">
        <f t="shared" si="67"/>
        <v>2013</v>
      </c>
      <c r="E1205" t="s">
        <v>38</v>
      </c>
      <c r="F1205" t="s">
        <v>143</v>
      </c>
      <c r="G1205" t="s">
        <v>86</v>
      </c>
      <c r="H1205" s="72" t="s">
        <v>222</v>
      </c>
      <c r="I1205" s="72" t="s">
        <v>64</v>
      </c>
      <c r="J1205" t="str">
        <f t="shared" si="69"/>
        <v>Snoqualmie River</v>
      </c>
      <c r="K1205" t="str">
        <f>IFERROR(VLOOKUP(J1205,LUTs!$A$1:$C$73,2,FALSE),"NA")</f>
        <v>Snohomish/King</v>
      </c>
      <c r="L1205" t="str">
        <f>IFERROR(VLOOKUP(J1205,LUTs!$A$1:$C$73,3,FALSE),"NA")</f>
        <v>2Central Puget Sound</v>
      </c>
      <c r="M1205" s="72" t="s">
        <v>20</v>
      </c>
      <c r="N1205" t="str">
        <f>VLOOKUP(M1205,LUTs!E$2:H$14,3,)</f>
        <v>07Pierce</v>
      </c>
      <c r="O1205" t="str">
        <f>VLOOKUP(M1205,LUTs!E$2:H$14,4,)</f>
        <v>02South Puget Sound</v>
      </c>
      <c r="P1205" s="80">
        <v>6.1666666666666696</v>
      </c>
      <c r="Q1205" s="103">
        <v>3.0833333333333299</v>
      </c>
      <c r="R1205" s="74">
        <f>VLOOKUP(B1205,Readme!A$40:C$52,3,)*Q1205</f>
        <v>57.195833333333269</v>
      </c>
    </row>
    <row r="1206" spans="1:18" ht="12" customHeight="1" x14ac:dyDescent="0.35">
      <c r="A1206" s="75">
        <v>1252</v>
      </c>
      <c r="B1206" s="80">
        <v>2013</v>
      </c>
      <c r="C1206" s="80">
        <v>11</v>
      </c>
      <c r="D1206" s="80">
        <f t="shared" si="67"/>
        <v>2013</v>
      </c>
      <c r="E1206" t="s">
        <v>38</v>
      </c>
      <c r="F1206" t="s">
        <v>143</v>
      </c>
      <c r="G1206" t="s">
        <v>86</v>
      </c>
      <c r="H1206" s="72" t="s">
        <v>222</v>
      </c>
      <c r="I1206" s="72" t="s">
        <v>64</v>
      </c>
      <c r="J1206" t="str">
        <f t="shared" si="69"/>
        <v>Snoqualmie River</v>
      </c>
      <c r="K1206" t="str">
        <f>IFERROR(VLOOKUP(J1206,LUTs!$A$1:$C$73,2,FALSE),"NA")</f>
        <v>Snohomish/King</v>
      </c>
      <c r="L1206" t="str">
        <f>IFERROR(VLOOKUP(J1206,LUTs!$A$1:$C$73,3,FALSE),"NA")</f>
        <v>2Central Puget Sound</v>
      </c>
      <c r="M1206" s="72" t="s">
        <v>16</v>
      </c>
      <c r="N1206" t="str">
        <f>VLOOKUP(M1206,LUTs!E$2:H$14,3,)</f>
        <v>03Snohomish</v>
      </c>
      <c r="O1206" t="str">
        <f>VLOOKUP(M1206,LUTs!E$2:H$14,4,)</f>
        <v>01North Puget Sound</v>
      </c>
      <c r="P1206" s="80">
        <v>6.1666666666666696</v>
      </c>
      <c r="Q1206" s="103">
        <v>3.0833333333333299</v>
      </c>
      <c r="R1206" s="74">
        <f>VLOOKUP(B1206,Readme!A$40:C$52,3,)*Q1206</f>
        <v>57.195833333333269</v>
      </c>
    </row>
    <row r="1207" spans="1:18" ht="12" customHeight="1" x14ac:dyDescent="0.35">
      <c r="A1207" s="75">
        <v>1253</v>
      </c>
      <c r="B1207" s="80">
        <v>2013</v>
      </c>
      <c r="C1207" s="80">
        <v>11</v>
      </c>
      <c r="D1207" s="80">
        <f t="shared" si="67"/>
        <v>2013</v>
      </c>
      <c r="E1207" t="s">
        <v>38</v>
      </c>
      <c r="F1207" t="s">
        <v>143</v>
      </c>
      <c r="G1207" t="s">
        <v>86</v>
      </c>
      <c r="H1207" s="72" t="s">
        <v>222</v>
      </c>
      <c r="I1207" s="72" t="s">
        <v>64</v>
      </c>
      <c r="J1207" t="str">
        <f t="shared" si="69"/>
        <v>Snoqualmie River</v>
      </c>
      <c r="K1207" t="str">
        <f>IFERROR(VLOOKUP(J1207,LUTs!$A$1:$C$73,2,FALSE),"NA")</f>
        <v>Snohomish/King</v>
      </c>
      <c r="L1207" t="str">
        <f>IFERROR(VLOOKUP(J1207,LUTs!$A$1:$C$73,3,FALSE),"NA")</f>
        <v>2Central Puget Sound</v>
      </c>
      <c r="M1207" s="72" t="s">
        <v>21</v>
      </c>
      <c r="N1207" t="str">
        <f>VLOOKUP(M1207,LUTs!E$2:H$14,3,)</f>
        <v>08Thurston</v>
      </c>
      <c r="O1207" t="str">
        <f>VLOOKUP(M1207,LUTs!E$2:H$14,4,)</f>
        <v>02South Puget Sound</v>
      </c>
      <c r="P1207" s="80">
        <v>6.1666666666666696</v>
      </c>
      <c r="Q1207" s="103">
        <v>3.0833333333333299</v>
      </c>
      <c r="R1207" s="74">
        <f>VLOOKUP(B1207,Readme!A$40:C$52,3,)*Q1207</f>
        <v>57.195833333333269</v>
      </c>
    </row>
    <row r="1208" spans="1:18" ht="12" customHeight="1" x14ac:dyDescent="0.35">
      <c r="A1208" s="75">
        <v>1296</v>
      </c>
      <c r="B1208" s="80">
        <v>2013</v>
      </c>
      <c r="C1208" s="80">
        <v>11</v>
      </c>
      <c r="D1208" s="80">
        <f t="shared" si="67"/>
        <v>2013</v>
      </c>
      <c r="E1208" t="s">
        <v>38</v>
      </c>
      <c r="F1208" t="s">
        <v>143</v>
      </c>
      <c r="G1208" t="s">
        <v>86</v>
      </c>
      <c r="H1208" s="72" t="s">
        <v>223</v>
      </c>
      <c r="I1208" s="72" t="s">
        <v>103</v>
      </c>
      <c r="J1208" t="str">
        <f t="shared" si="69"/>
        <v>Stillaguamish R, No. Fork</v>
      </c>
      <c r="K1208" t="str">
        <f>IFERROR(VLOOKUP(J1208,LUTs!$A$1:$C$73,2,FALSE),"NA")</f>
        <v>Snohomish</v>
      </c>
      <c r="L1208" t="str">
        <f>IFERROR(VLOOKUP(J1208,LUTs!$A$1:$C$73,3,FALSE),"NA")</f>
        <v>2Central Puget Sound</v>
      </c>
      <c r="M1208" s="72" t="s">
        <v>18</v>
      </c>
      <c r="N1208" t="str">
        <f>VLOOKUP(M1208,LUTs!E$2:H$14,3,)</f>
        <v>06King</v>
      </c>
      <c r="O1208" t="str">
        <f>VLOOKUP(M1208,LUTs!E$2:H$14,4,)</f>
        <v>02South Puget Sound</v>
      </c>
      <c r="P1208" s="80">
        <v>12</v>
      </c>
      <c r="Q1208" s="103">
        <v>6</v>
      </c>
      <c r="R1208" s="74">
        <f>VLOOKUP(B1208,Readme!A$40:C$52,3,)*Q1208</f>
        <v>111.30000000000001</v>
      </c>
    </row>
    <row r="1209" spans="1:18" ht="12" customHeight="1" x14ac:dyDescent="0.35">
      <c r="A1209" s="75">
        <v>1297</v>
      </c>
      <c r="B1209" s="80">
        <v>2013</v>
      </c>
      <c r="C1209" s="80">
        <v>11</v>
      </c>
      <c r="D1209" s="80">
        <f t="shared" si="67"/>
        <v>2013</v>
      </c>
      <c r="E1209" t="s">
        <v>38</v>
      </c>
      <c r="F1209" t="s">
        <v>143</v>
      </c>
      <c r="G1209" t="s">
        <v>86</v>
      </c>
      <c r="H1209" s="72" t="s">
        <v>223</v>
      </c>
      <c r="I1209" s="72" t="s">
        <v>103</v>
      </c>
      <c r="J1209" t="str">
        <f t="shared" si="69"/>
        <v>Stillaguamish R, No. Fork</v>
      </c>
      <c r="K1209" t="str">
        <f>IFERROR(VLOOKUP(J1209,LUTs!$A$1:$C$73,2,FALSE),"NA")</f>
        <v>Snohomish</v>
      </c>
      <c r="L1209" t="str">
        <f>IFERROR(VLOOKUP(J1209,LUTs!$A$1:$C$73,3,FALSE),"NA")</f>
        <v>2Central Puget Sound</v>
      </c>
      <c r="M1209" s="72" t="s">
        <v>16</v>
      </c>
      <c r="N1209" t="str">
        <f>VLOOKUP(M1209,LUTs!E$2:H$14,3,)</f>
        <v>03Snohomish</v>
      </c>
      <c r="O1209" t="str">
        <f>VLOOKUP(M1209,LUTs!E$2:H$14,4,)</f>
        <v>01North Puget Sound</v>
      </c>
      <c r="P1209" s="80">
        <v>6</v>
      </c>
      <c r="Q1209" s="103">
        <v>3</v>
      </c>
      <c r="R1209" s="74">
        <f>VLOOKUP(B1209,Readme!A$40:C$52,3,)*Q1209</f>
        <v>55.650000000000006</v>
      </c>
    </row>
    <row r="1210" spans="1:18" ht="12" customHeight="1" x14ac:dyDescent="0.35">
      <c r="A1210" s="75">
        <v>1310</v>
      </c>
      <c r="B1210" s="80">
        <v>2013</v>
      </c>
      <c r="C1210" s="80">
        <v>11</v>
      </c>
      <c r="D1210" s="80">
        <f t="shared" si="67"/>
        <v>2013</v>
      </c>
      <c r="E1210" t="s">
        <v>38</v>
      </c>
      <c r="F1210" t="s">
        <v>143</v>
      </c>
      <c r="G1210" t="s">
        <v>86</v>
      </c>
      <c r="H1210" s="72" t="s">
        <v>253</v>
      </c>
      <c r="I1210" s="72" t="s">
        <v>65</v>
      </c>
      <c r="J1210" t="str">
        <f t="shared" si="69"/>
        <v>Stillaguamish River</v>
      </c>
      <c r="K1210" t="str">
        <f>IFERROR(VLOOKUP(J1210,LUTs!$A$1:$C$73,2,FALSE),"NA")</f>
        <v>Snohomish</v>
      </c>
      <c r="L1210" t="str">
        <f>IFERROR(VLOOKUP(J1210,LUTs!$A$1:$C$73,3,FALSE),"NA")</f>
        <v>2Central Puget Sound</v>
      </c>
      <c r="M1210" s="72" t="s">
        <v>16</v>
      </c>
      <c r="N1210" t="str">
        <f>VLOOKUP(M1210,LUTs!E$2:H$14,3,)</f>
        <v>03Snohomish</v>
      </c>
      <c r="O1210" t="str">
        <f>VLOOKUP(M1210,LUTs!E$2:H$14,4,)</f>
        <v>01North Puget Sound</v>
      </c>
      <c r="P1210" s="80">
        <v>6</v>
      </c>
      <c r="Q1210" s="103">
        <v>3</v>
      </c>
      <c r="R1210" s="74">
        <f>VLOOKUP(B1210,Readme!A$40:C$52,3,)*Q1210</f>
        <v>55.650000000000006</v>
      </c>
    </row>
    <row r="1211" spans="1:18" ht="12" customHeight="1" x14ac:dyDescent="0.35">
      <c r="A1211" s="75">
        <v>1110</v>
      </c>
      <c r="B1211" s="80">
        <v>2013</v>
      </c>
      <c r="C1211" s="80">
        <v>11</v>
      </c>
      <c r="D1211" s="80">
        <f t="shared" si="67"/>
        <v>2013</v>
      </c>
      <c r="E1211" t="s">
        <v>38</v>
      </c>
      <c r="F1211" t="s">
        <v>143</v>
      </c>
      <c r="G1211" t="s">
        <v>86</v>
      </c>
      <c r="H1211" s="72" t="s">
        <v>242</v>
      </c>
      <c r="I1211" s="72" t="s">
        <v>85</v>
      </c>
      <c r="J1211" t="str">
        <f t="shared" si="69"/>
        <v>White (Stuck) River</v>
      </c>
      <c r="K1211" t="str">
        <f>IFERROR(VLOOKUP(J1211,LUTs!$A$1:$C$73,2,FALSE),"NA")</f>
        <v>Pierce</v>
      </c>
      <c r="L1211" t="str">
        <f>IFERROR(VLOOKUP(J1211,LUTs!$A$1:$C$73,3,FALSE),"NA")</f>
        <v>3South Puget Sound</v>
      </c>
      <c r="M1211" s="72" t="s">
        <v>16</v>
      </c>
      <c r="N1211" t="str">
        <f>VLOOKUP(M1211,LUTs!E$2:H$14,3,)</f>
        <v>03Snohomish</v>
      </c>
      <c r="O1211" t="str">
        <f>VLOOKUP(M1211,LUTs!E$2:H$14,4,)</f>
        <v>01North Puget Sound</v>
      </c>
      <c r="P1211" s="80">
        <v>14</v>
      </c>
      <c r="Q1211" s="103">
        <v>0</v>
      </c>
      <c r="R1211" s="74">
        <f>VLOOKUP(B1211,Readme!A$40:C$52,3,)*Q1211</f>
        <v>0</v>
      </c>
    </row>
    <row r="1212" spans="1:18" ht="12" customHeight="1" x14ac:dyDescent="0.35">
      <c r="A1212" s="75">
        <v>1118</v>
      </c>
      <c r="B1212" s="80">
        <v>2013</v>
      </c>
      <c r="C1212" s="80">
        <v>12</v>
      </c>
      <c r="D1212" s="80">
        <f t="shared" si="67"/>
        <v>2013</v>
      </c>
      <c r="E1212" t="s">
        <v>38</v>
      </c>
      <c r="F1212" t="s">
        <v>143</v>
      </c>
      <c r="G1212" t="s">
        <v>86</v>
      </c>
      <c r="H1212" s="72" t="s">
        <v>258</v>
      </c>
      <c r="I1212" s="72" t="s">
        <v>32</v>
      </c>
      <c r="J1212" t="str">
        <f t="shared" si="69"/>
        <v>Area 8-2: Port Susan-Port Gardner</v>
      </c>
      <c r="K1212" t="str">
        <f>IFERROR(VLOOKUP(J1212,LUTs!$A$1:$C$73,2,FALSE),"NA")</f>
        <v>NA</v>
      </c>
      <c r="L1212" t="str">
        <f>IFERROR(VLOOKUP(J1212,LUTs!$A$1:$C$73,3,FALSE),"NA")</f>
        <v>2Central Puget Sound</v>
      </c>
      <c r="M1212" s="72" t="s">
        <v>26</v>
      </c>
      <c r="N1212" t="str">
        <f>VLOOKUP(M1212,LUTs!E$2:H$14,3,)</f>
        <v>20Other</v>
      </c>
      <c r="O1212" t="str">
        <f>VLOOKUP(M1212,LUTs!E$2:H$14,4,)</f>
        <v>07Non Puget Sound</v>
      </c>
      <c r="P1212" s="80">
        <v>8</v>
      </c>
      <c r="Q1212" s="103">
        <v>4</v>
      </c>
      <c r="R1212" s="74">
        <f>VLOOKUP(B1212,Readme!A$40:C$52,3,)*Q1212</f>
        <v>74.2</v>
      </c>
    </row>
    <row r="1213" spans="1:18" ht="12" customHeight="1" x14ac:dyDescent="0.35">
      <c r="A1213" s="75">
        <v>1328</v>
      </c>
      <c r="B1213" s="80">
        <v>2013</v>
      </c>
      <c r="C1213" s="80">
        <v>12</v>
      </c>
      <c r="D1213" s="80">
        <f t="shared" si="67"/>
        <v>2013</v>
      </c>
      <c r="E1213" t="s">
        <v>38</v>
      </c>
      <c r="F1213" t="s">
        <v>143</v>
      </c>
      <c r="G1213" t="s">
        <v>86</v>
      </c>
      <c r="H1213" s="72" t="s">
        <v>254</v>
      </c>
      <c r="I1213" s="72" t="s">
        <v>33</v>
      </c>
      <c r="J1213" t="str">
        <f t="shared" si="69"/>
        <v>Area 9: Admiralty Inlet</v>
      </c>
      <c r="K1213" t="str">
        <f>IFERROR(VLOOKUP(J1213,LUTs!$A$1:$C$73,2,FALSE),"NA")</f>
        <v>NA</v>
      </c>
      <c r="L1213" t="str">
        <f>IFERROR(VLOOKUP(J1213,LUTs!$A$1:$C$73,3,FALSE),"NA")</f>
        <v>2Central Puget Sound</v>
      </c>
      <c r="M1213" s="72" t="s">
        <v>17</v>
      </c>
      <c r="N1213" t="str">
        <f>VLOOKUP(M1213,LUTs!E$2:H$14,3,)</f>
        <v>04Island</v>
      </c>
      <c r="O1213" t="str">
        <f>VLOOKUP(M1213,LUTs!E$2:H$14,4,)</f>
        <v>01North Puget Sound</v>
      </c>
      <c r="P1213" s="80">
        <v>4</v>
      </c>
      <c r="Q1213" s="103">
        <v>2</v>
      </c>
      <c r="R1213" s="74">
        <f>VLOOKUP(B1213,Readme!A$40:C$52,3,)*Q1213</f>
        <v>37.1</v>
      </c>
    </row>
    <row r="1214" spans="1:18" ht="12" customHeight="1" x14ac:dyDescent="0.35">
      <c r="A1214" s="75">
        <v>1103</v>
      </c>
      <c r="B1214" s="80">
        <v>2013</v>
      </c>
      <c r="C1214" s="80">
        <v>12</v>
      </c>
      <c r="D1214" s="80">
        <f t="shared" si="67"/>
        <v>2013</v>
      </c>
      <c r="E1214" t="s">
        <v>38</v>
      </c>
      <c r="F1214" t="s">
        <v>143</v>
      </c>
      <c r="G1214" t="s">
        <v>86</v>
      </c>
      <c r="H1214" s="72" t="s">
        <v>211</v>
      </c>
      <c r="I1214" s="72" t="s">
        <v>53</v>
      </c>
      <c r="J1214" t="str">
        <f t="shared" si="69"/>
        <v>Carbon River</v>
      </c>
      <c r="K1214" t="str">
        <f>IFERROR(VLOOKUP(J1214,LUTs!$A$1:$C$73,2,FALSE),"NA")</f>
        <v>Pierce</v>
      </c>
      <c r="L1214" t="str">
        <f>IFERROR(VLOOKUP(J1214,LUTs!$A$1:$C$73,3,FALSE),"NA")</f>
        <v>3South Puget Sound</v>
      </c>
      <c r="M1214" s="72" t="s">
        <v>18</v>
      </c>
      <c r="N1214" t="str">
        <f>VLOOKUP(M1214,LUTs!E$2:H$14,3,)</f>
        <v>06King</v>
      </c>
      <c r="O1214" t="str">
        <f>VLOOKUP(M1214,LUTs!E$2:H$14,4,)</f>
        <v>02South Puget Sound</v>
      </c>
      <c r="P1214" s="80">
        <v>6</v>
      </c>
      <c r="Q1214" s="103">
        <v>0</v>
      </c>
      <c r="R1214" s="74">
        <f>VLOOKUP(B1214,Readme!A$40:C$52,3,)*Q1214</f>
        <v>0</v>
      </c>
    </row>
    <row r="1215" spans="1:18" ht="12" customHeight="1" x14ac:dyDescent="0.35">
      <c r="A1215" s="75">
        <v>1127</v>
      </c>
      <c r="B1215" s="80">
        <v>2013</v>
      </c>
      <c r="C1215" s="80">
        <v>12</v>
      </c>
      <c r="D1215" s="80">
        <f t="shared" si="67"/>
        <v>2013</v>
      </c>
      <c r="E1215" t="s">
        <v>38</v>
      </c>
      <c r="F1215" t="s">
        <v>143</v>
      </c>
      <c r="G1215" t="s">
        <v>86</v>
      </c>
      <c r="H1215" s="72" t="s">
        <v>217</v>
      </c>
      <c r="I1215" s="72" t="s">
        <v>59</v>
      </c>
      <c r="J1215" t="str">
        <f t="shared" si="69"/>
        <v>Cascade River</v>
      </c>
      <c r="K1215" t="str">
        <f>IFERROR(VLOOKUP(J1215,LUTs!$A$1:$C$73,2,FALSE),"NA")</f>
        <v>Skagit</v>
      </c>
      <c r="L1215" t="str">
        <f>IFERROR(VLOOKUP(J1215,LUTs!$A$1:$C$73,3,FALSE),"NA")</f>
        <v>1North Puget Sound</v>
      </c>
      <c r="M1215" s="72" t="s">
        <v>17</v>
      </c>
      <c r="N1215" t="str">
        <f>VLOOKUP(M1215,LUTs!E$2:H$14,3,)</f>
        <v>04Island</v>
      </c>
      <c r="O1215" t="str">
        <f>VLOOKUP(M1215,LUTs!E$2:H$14,4,)</f>
        <v>01North Puget Sound</v>
      </c>
      <c r="P1215" s="80">
        <v>6.2222222222222197</v>
      </c>
      <c r="Q1215" s="103">
        <v>3.1111111111111098</v>
      </c>
      <c r="R1215" s="74">
        <f>VLOOKUP(B1215,Readme!A$40:C$52,3,)*Q1215</f>
        <v>57.711111111111087</v>
      </c>
    </row>
    <row r="1216" spans="1:18" ht="12" customHeight="1" x14ac:dyDescent="0.35">
      <c r="A1216" s="75">
        <v>1128</v>
      </c>
      <c r="B1216" s="80">
        <v>2013</v>
      </c>
      <c r="C1216" s="80">
        <v>12</v>
      </c>
      <c r="D1216" s="80">
        <f t="shared" si="67"/>
        <v>2013</v>
      </c>
      <c r="E1216" t="s">
        <v>38</v>
      </c>
      <c r="F1216" t="s">
        <v>143</v>
      </c>
      <c r="G1216" t="s">
        <v>86</v>
      </c>
      <c r="H1216" s="72" t="s">
        <v>217</v>
      </c>
      <c r="I1216" s="72" t="s">
        <v>59</v>
      </c>
      <c r="J1216" t="str">
        <f t="shared" si="69"/>
        <v>Cascade River</v>
      </c>
      <c r="K1216" t="str">
        <f>IFERROR(VLOOKUP(J1216,LUTs!$A$1:$C$73,2,FALSE),"NA")</f>
        <v>Skagit</v>
      </c>
      <c r="L1216" t="str">
        <f>IFERROR(VLOOKUP(J1216,LUTs!$A$1:$C$73,3,FALSE),"NA")</f>
        <v>1North Puget Sound</v>
      </c>
      <c r="M1216" s="72" t="s">
        <v>20</v>
      </c>
      <c r="N1216" t="str">
        <f>VLOOKUP(M1216,LUTs!E$2:H$14,3,)</f>
        <v>07Pierce</v>
      </c>
      <c r="O1216" t="str">
        <f>VLOOKUP(M1216,LUTs!E$2:H$14,4,)</f>
        <v>02South Puget Sound</v>
      </c>
      <c r="P1216" s="80">
        <v>6.2222222222222197</v>
      </c>
      <c r="Q1216" s="103">
        <v>3.1111111111111098</v>
      </c>
      <c r="R1216" s="74">
        <f>VLOOKUP(B1216,Readme!A$40:C$52,3,)*Q1216</f>
        <v>57.711111111111087</v>
      </c>
    </row>
    <row r="1217" spans="1:18" ht="12" customHeight="1" x14ac:dyDescent="0.35">
      <c r="A1217" s="75">
        <v>1129</v>
      </c>
      <c r="B1217" s="80">
        <v>2013</v>
      </c>
      <c r="C1217" s="80">
        <v>12</v>
      </c>
      <c r="D1217" s="80">
        <f t="shared" si="67"/>
        <v>2013</v>
      </c>
      <c r="E1217" t="s">
        <v>38</v>
      </c>
      <c r="F1217" t="s">
        <v>143</v>
      </c>
      <c r="G1217" t="s">
        <v>86</v>
      </c>
      <c r="H1217" s="72" t="s">
        <v>217</v>
      </c>
      <c r="I1217" s="72" t="s">
        <v>59</v>
      </c>
      <c r="J1217" t="str">
        <f t="shared" si="69"/>
        <v>Cascade River</v>
      </c>
      <c r="K1217" t="str">
        <f>IFERROR(VLOOKUP(J1217,LUTs!$A$1:$C$73,2,FALSE),"NA")</f>
        <v>Skagit</v>
      </c>
      <c r="L1217" t="str">
        <f>IFERROR(VLOOKUP(J1217,LUTs!$A$1:$C$73,3,FALSE),"NA")</f>
        <v>1North Puget Sound</v>
      </c>
      <c r="M1217" s="72" t="s">
        <v>15</v>
      </c>
      <c r="N1217" t="str">
        <f>VLOOKUP(M1217,LUTs!E$2:H$14,3,)</f>
        <v>02Skagit</v>
      </c>
      <c r="O1217" t="str">
        <f>VLOOKUP(M1217,LUTs!E$2:H$14,4,)</f>
        <v>01North Puget Sound</v>
      </c>
      <c r="P1217" s="80">
        <v>68.4444444444445</v>
      </c>
      <c r="Q1217" s="103">
        <v>34.2222222222222</v>
      </c>
      <c r="R1217" s="74">
        <f>VLOOKUP(B1217,Readme!A$40:C$52,3,)*Q1217</f>
        <v>634.82222222222185</v>
      </c>
    </row>
    <row r="1218" spans="1:18" ht="12" customHeight="1" x14ac:dyDescent="0.35">
      <c r="A1218" s="75">
        <v>1130</v>
      </c>
      <c r="B1218" s="80">
        <v>2013</v>
      </c>
      <c r="C1218" s="80">
        <v>12</v>
      </c>
      <c r="D1218" s="80">
        <f t="shared" ref="D1218:D1281" si="70">IF(C1218&gt;3,B1218,B1218-1)</f>
        <v>2013</v>
      </c>
      <c r="E1218" t="s">
        <v>38</v>
      </c>
      <c r="F1218" t="s">
        <v>143</v>
      </c>
      <c r="G1218" t="s">
        <v>86</v>
      </c>
      <c r="H1218" s="72" t="s">
        <v>217</v>
      </c>
      <c r="I1218" s="72" t="s">
        <v>59</v>
      </c>
      <c r="J1218" t="str">
        <f t="shared" si="69"/>
        <v>Cascade River</v>
      </c>
      <c r="K1218" t="str">
        <f>IFERROR(VLOOKUP(J1218,LUTs!$A$1:$C$73,2,FALSE),"NA")</f>
        <v>Skagit</v>
      </c>
      <c r="L1218" t="str">
        <f>IFERROR(VLOOKUP(J1218,LUTs!$A$1:$C$73,3,FALSE),"NA")</f>
        <v>1North Puget Sound</v>
      </c>
      <c r="M1218" s="72" t="s">
        <v>16</v>
      </c>
      <c r="N1218" t="str">
        <f>VLOOKUP(M1218,LUTs!E$2:H$14,3,)</f>
        <v>03Snohomish</v>
      </c>
      <c r="O1218" t="str">
        <f>VLOOKUP(M1218,LUTs!E$2:H$14,4,)</f>
        <v>01North Puget Sound</v>
      </c>
      <c r="P1218" s="80">
        <v>31.1111111111111</v>
      </c>
      <c r="Q1218" s="103">
        <v>15.5555555555556</v>
      </c>
      <c r="R1218" s="74">
        <f>VLOOKUP(B1218,Readme!A$40:C$52,3,)*Q1218</f>
        <v>288.5555555555564</v>
      </c>
    </row>
    <row r="1219" spans="1:18" ht="12" customHeight="1" x14ac:dyDescent="0.35">
      <c r="A1219" s="75">
        <v>1131</v>
      </c>
      <c r="B1219" s="80">
        <v>2013</v>
      </c>
      <c r="C1219" s="80">
        <v>12</v>
      </c>
      <c r="D1219" s="80">
        <f t="shared" si="70"/>
        <v>2013</v>
      </c>
      <c r="E1219" t="s">
        <v>38</v>
      </c>
      <c r="F1219" t="s">
        <v>143</v>
      </c>
      <c r="G1219" t="s">
        <v>86</v>
      </c>
      <c r="H1219" s="72" t="s">
        <v>217</v>
      </c>
      <c r="I1219" s="72" t="s">
        <v>59</v>
      </c>
      <c r="J1219" t="str">
        <f t="shared" si="69"/>
        <v>Cascade River</v>
      </c>
      <c r="K1219" t="str">
        <f>IFERROR(VLOOKUP(J1219,LUTs!$A$1:$C$73,2,FALSE),"NA")</f>
        <v>Skagit</v>
      </c>
      <c r="L1219" t="str">
        <f>IFERROR(VLOOKUP(J1219,LUTs!$A$1:$C$73,3,FALSE),"NA")</f>
        <v>1North Puget Sound</v>
      </c>
      <c r="M1219" s="72" t="s">
        <v>13</v>
      </c>
      <c r="N1219" t="str">
        <f>VLOOKUP(M1219,LUTs!E$2:H$14,3,)</f>
        <v>01Whatcom</v>
      </c>
      <c r="O1219" t="str">
        <f>VLOOKUP(M1219,LUTs!E$2:H$14,4,)</f>
        <v>01North Puget Sound</v>
      </c>
      <c r="P1219" s="80">
        <v>56</v>
      </c>
      <c r="Q1219" s="103">
        <v>28</v>
      </c>
      <c r="R1219" s="74">
        <f>VLOOKUP(B1219,Readme!A$40:C$52,3,)*Q1219</f>
        <v>519.4</v>
      </c>
    </row>
    <row r="1220" spans="1:18" ht="12" customHeight="1" x14ac:dyDescent="0.35">
      <c r="A1220" s="75">
        <v>1047</v>
      </c>
      <c r="B1220" s="80">
        <v>2013</v>
      </c>
      <c r="C1220" s="80">
        <v>12</v>
      </c>
      <c r="D1220" s="80">
        <f t="shared" si="70"/>
        <v>2013</v>
      </c>
      <c r="E1220" t="s">
        <v>38</v>
      </c>
      <c r="F1220" t="s">
        <v>143</v>
      </c>
      <c r="G1220" t="s">
        <v>86</v>
      </c>
      <c r="H1220" s="72" t="s">
        <v>234</v>
      </c>
      <c r="I1220" s="72" t="s">
        <v>87</v>
      </c>
      <c r="J1220" t="str">
        <f t="shared" si="69"/>
        <v>Clallam River</v>
      </c>
      <c r="K1220" t="str">
        <f>IFERROR(VLOOKUP(J1220,LUTs!$A$1:$C$73,2,FALSE),"NA")</f>
        <v>Clallam</v>
      </c>
      <c r="L1220" t="str">
        <f>IFERROR(VLOOKUP(J1220,LUTs!$A$1:$C$73,3,FALSE),"NA")</f>
        <v>0Strait of Juan de Fuca</v>
      </c>
      <c r="M1220" s="72" t="s">
        <v>24</v>
      </c>
      <c r="N1220" t="str">
        <f>VLOOKUP(M1220,LUTs!E$2:H$14,3,)</f>
        <v>11Clallam</v>
      </c>
      <c r="O1220" t="str">
        <f>VLOOKUP(M1220,LUTs!E$2:H$14,4,)</f>
        <v>03Strait of Juan de Fuca</v>
      </c>
      <c r="P1220" s="80">
        <v>6</v>
      </c>
      <c r="Q1220" s="103">
        <v>3</v>
      </c>
      <c r="R1220" s="74">
        <f>VLOOKUP(B1220,Readme!A$40:C$52,3,)*Q1220</f>
        <v>55.650000000000006</v>
      </c>
    </row>
    <row r="1221" spans="1:18" ht="12" customHeight="1" x14ac:dyDescent="0.35">
      <c r="A1221" s="75">
        <v>1052</v>
      </c>
      <c r="B1221" s="80">
        <v>2013</v>
      </c>
      <c r="C1221" s="80">
        <v>12</v>
      </c>
      <c r="D1221" s="80">
        <f t="shared" si="70"/>
        <v>2013</v>
      </c>
      <c r="E1221" t="s">
        <v>38</v>
      </c>
      <c r="F1221" t="s">
        <v>143</v>
      </c>
      <c r="G1221" t="s">
        <v>86</v>
      </c>
      <c r="H1221" s="72" t="s">
        <v>201</v>
      </c>
      <c r="I1221" s="72" t="s">
        <v>43</v>
      </c>
      <c r="J1221" t="str">
        <f t="shared" si="69"/>
        <v>Dungeness River</v>
      </c>
      <c r="K1221" t="str">
        <f>IFERROR(VLOOKUP(J1221,LUTs!$A$1:$C$73,2,FALSE),"NA")</f>
        <v>Clallam</v>
      </c>
      <c r="L1221" t="str">
        <f>IFERROR(VLOOKUP(J1221,LUTs!$A$1:$C$73,3,FALSE),"NA")</f>
        <v>0Strait of Juan de Fuca</v>
      </c>
      <c r="M1221" s="72" t="s">
        <v>24</v>
      </c>
      <c r="N1221" t="str">
        <f>VLOOKUP(M1221,LUTs!E$2:H$14,3,)</f>
        <v>11Clallam</v>
      </c>
      <c r="O1221" t="str">
        <f>VLOOKUP(M1221,LUTs!E$2:H$14,4,)</f>
        <v>03Strait of Juan de Fuca</v>
      </c>
      <c r="P1221" s="80">
        <v>21</v>
      </c>
      <c r="Q1221" s="103">
        <v>10.5</v>
      </c>
      <c r="R1221" s="74">
        <f>VLOOKUP(B1221,Readme!A$40:C$52,3,)*Q1221</f>
        <v>194.77500000000001</v>
      </c>
    </row>
    <row r="1222" spans="1:18" ht="12" customHeight="1" x14ac:dyDescent="0.35">
      <c r="A1222" s="75">
        <v>1053</v>
      </c>
      <c r="B1222" s="80">
        <v>2013</v>
      </c>
      <c r="C1222" s="80">
        <v>12</v>
      </c>
      <c r="D1222" s="80">
        <f t="shared" si="70"/>
        <v>2013</v>
      </c>
      <c r="E1222" t="s">
        <v>38</v>
      </c>
      <c r="F1222" t="s">
        <v>143</v>
      </c>
      <c r="G1222" t="s">
        <v>86</v>
      </c>
      <c r="H1222" s="72" t="s">
        <v>201</v>
      </c>
      <c r="I1222" s="72" t="s">
        <v>43</v>
      </c>
      <c r="J1222" t="str">
        <f t="shared" si="69"/>
        <v>Dungeness River</v>
      </c>
      <c r="K1222" t="str">
        <f>IFERROR(VLOOKUP(J1222,LUTs!$A$1:$C$73,2,FALSE),"NA")</f>
        <v>Clallam</v>
      </c>
      <c r="L1222" t="str">
        <f>IFERROR(VLOOKUP(J1222,LUTs!$A$1:$C$73,3,FALSE),"NA")</f>
        <v>0Strait of Juan de Fuca</v>
      </c>
      <c r="M1222" s="72" t="s">
        <v>18</v>
      </c>
      <c r="N1222" t="str">
        <f>VLOOKUP(M1222,LUTs!E$2:H$14,3,)</f>
        <v>06King</v>
      </c>
      <c r="O1222" t="str">
        <f>VLOOKUP(M1222,LUTs!E$2:H$14,4,)</f>
        <v>02South Puget Sound</v>
      </c>
      <c r="P1222" s="80">
        <v>7</v>
      </c>
      <c r="Q1222" s="103">
        <v>3.5</v>
      </c>
      <c r="R1222" s="74">
        <f>VLOOKUP(B1222,Readme!A$40:C$52,3,)*Q1222</f>
        <v>64.924999999999997</v>
      </c>
    </row>
    <row r="1223" spans="1:18" ht="12" customHeight="1" x14ac:dyDescent="0.35">
      <c r="A1223" s="75">
        <v>1058</v>
      </c>
      <c r="B1223" s="80">
        <v>2013</v>
      </c>
      <c r="C1223" s="80">
        <v>12</v>
      </c>
      <c r="D1223" s="80">
        <f t="shared" si="70"/>
        <v>2013</v>
      </c>
      <c r="E1223" t="s">
        <v>38</v>
      </c>
      <c r="F1223" t="s">
        <v>143</v>
      </c>
      <c r="G1223" t="s">
        <v>86</v>
      </c>
      <c r="H1223" s="72" t="s">
        <v>202</v>
      </c>
      <c r="I1223" s="72" t="s">
        <v>44</v>
      </c>
      <c r="J1223" t="str">
        <f t="shared" si="69"/>
        <v>Elwha River</v>
      </c>
      <c r="K1223" t="str">
        <f>IFERROR(VLOOKUP(J1223,LUTs!$A$1:$C$73,2,FALSE),"NA")</f>
        <v>Clallam</v>
      </c>
      <c r="L1223" t="str">
        <f>IFERROR(VLOOKUP(J1223,LUTs!$A$1:$C$73,3,FALSE),"NA")</f>
        <v>0Strait of Juan de Fuca</v>
      </c>
      <c r="M1223" s="72" t="s">
        <v>24</v>
      </c>
      <c r="N1223" t="str">
        <f>VLOOKUP(M1223,LUTs!E$2:H$14,3,)</f>
        <v>11Clallam</v>
      </c>
      <c r="O1223" t="str">
        <f>VLOOKUP(M1223,LUTs!E$2:H$14,4,)</f>
        <v>03Strait of Juan de Fuca</v>
      </c>
      <c r="P1223" s="80">
        <v>6</v>
      </c>
      <c r="Q1223" s="103">
        <v>1</v>
      </c>
      <c r="R1223" s="74">
        <f>VLOOKUP(B1223,Readme!A$40:C$52,3,)*Q1223</f>
        <v>18.55</v>
      </c>
    </row>
    <row r="1224" spans="1:18" ht="12" customHeight="1" x14ac:dyDescent="0.35">
      <c r="A1224" s="75">
        <v>1075</v>
      </c>
      <c r="B1224" s="80">
        <v>2013</v>
      </c>
      <c r="C1224" s="80">
        <v>12</v>
      </c>
      <c r="D1224" s="80">
        <f t="shared" si="70"/>
        <v>2013</v>
      </c>
      <c r="E1224" t="s">
        <v>38</v>
      </c>
      <c r="F1224" t="s">
        <v>143</v>
      </c>
      <c r="G1224" t="s">
        <v>86</v>
      </c>
      <c r="H1224" s="72" t="s">
        <v>203</v>
      </c>
      <c r="I1224" s="72" t="s">
        <v>89</v>
      </c>
      <c r="J1224" s="84" t="s">
        <v>45</v>
      </c>
      <c r="K1224" t="str">
        <f>IFERROR(VLOOKUP(J1224,LUTs!$A$1:$C$73,2,FALSE),"NA")</f>
        <v>King</v>
      </c>
      <c r="L1224" t="str">
        <f>IFERROR(VLOOKUP(J1224,LUTs!$A$1:$C$73,3,FALSE),"NA")</f>
        <v>3South Puget Sound</v>
      </c>
      <c r="M1224" s="72" t="s">
        <v>18</v>
      </c>
      <c r="N1224" t="str">
        <f>VLOOKUP(M1224,LUTs!E$2:H$14,3,)</f>
        <v>06King</v>
      </c>
      <c r="O1224" t="str">
        <f>VLOOKUP(M1224,LUTs!E$2:H$14,4,)</f>
        <v>02South Puget Sound</v>
      </c>
      <c r="P1224" s="80">
        <v>44</v>
      </c>
      <c r="Q1224" s="103">
        <v>22</v>
      </c>
      <c r="R1224" s="74">
        <f>VLOOKUP(B1224,Readme!A$40:C$52,3,)*Q1224</f>
        <v>408.1</v>
      </c>
    </row>
    <row r="1225" spans="1:18" ht="12" customHeight="1" x14ac:dyDescent="0.35">
      <c r="A1225" s="75">
        <v>1082</v>
      </c>
      <c r="B1225" s="80">
        <v>2013</v>
      </c>
      <c r="C1225" s="80">
        <v>12</v>
      </c>
      <c r="D1225" s="80">
        <f t="shared" si="70"/>
        <v>2013</v>
      </c>
      <c r="E1225" t="s">
        <v>38</v>
      </c>
      <c r="F1225" t="s">
        <v>143</v>
      </c>
      <c r="G1225" t="s">
        <v>86</v>
      </c>
      <c r="H1225" s="72" t="s">
        <v>204</v>
      </c>
      <c r="I1225" s="72" t="s">
        <v>46</v>
      </c>
      <c r="J1225" t="str">
        <f t="shared" ref="J1225:J1256" si="71">I1225</f>
        <v>Hoko River</v>
      </c>
      <c r="K1225" t="str">
        <f>IFERROR(VLOOKUP(J1225,LUTs!$A$1:$C$73,2,FALSE),"NA")</f>
        <v>Clallam</v>
      </c>
      <c r="L1225" t="str">
        <f>IFERROR(VLOOKUP(J1225,LUTs!$A$1:$C$73,3,FALSE),"NA")</f>
        <v>0Strait of Juan de Fuca</v>
      </c>
      <c r="M1225" s="72" t="s">
        <v>24</v>
      </c>
      <c r="N1225" t="str">
        <f>VLOOKUP(M1225,LUTs!E$2:H$14,3,)</f>
        <v>11Clallam</v>
      </c>
      <c r="O1225" t="str">
        <f>VLOOKUP(M1225,LUTs!E$2:H$14,4,)</f>
        <v>03Strait of Juan de Fuca</v>
      </c>
      <c r="P1225" s="80">
        <v>28</v>
      </c>
      <c r="Q1225" s="103">
        <v>14</v>
      </c>
      <c r="R1225" s="74">
        <f>VLOOKUP(B1225,Readme!A$40:C$52,3,)*Q1225</f>
        <v>259.7</v>
      </c>
    </row>
    <row r="1226" spans="1:18" ht="12" customHeight="1" x14ac:dyDescent="0.35">
      <c r="A1226" s="75">
        <v>1083</v>
      </c>
      <c r="B1226" s="80">
        <v>2013</v>
      </c>
      <c r="C1226" s="80">
        <v>12</v>
      </c>
      <c r="D1226" s="80">
        <f t="shared" si="70"/>
        <v>2013</v>
      </c>
      <c r="E1226" t="s">
        <v>38</v>
      </c>
      <c r="F1226" t="s">
        <v>143</v>
      </c>
      <c r="G1226" t="s">
        <v>86</v>
      </c>
      <c r="H1226" s="72" t="s">
        <v>204</v>
      </c>
      <c r="I1226" s="72" t="s">
        <v>46</v>
      </c>
      <c r="J1226" t="str">
        <f t="shared" si="71"/>
        <v>Hoko River</v>
      </c>
      <c r="K1226" t="str">
        <f>IFERROR(VLOOKUP(J1226,LUTs!$A$1:$C$73,2,FALSE),"NA")</f>
        <v>Clallam</v>
      </c>
      <c r="L1226" t="str">
        <f>IFERROR(VLOOKUP(J1226,LUTs!$A$1:$C$73,3,FALSE),"NA")</f>
        <v>0Strait of Juan de Fuca</v>
      </c>
      <c r="M1226" s="72" t="s">
        <v>17</v>
      </c>
      <c r="N1226" t="str">
        <f>VLOOKUP(M1226,LUTs!E$2:H$14,3,)</f>
        <v>04Island</v>
      </c>
      <c r="O1226" t="str">
        <f>VLOOKUP(M1226,LUTs!E$2:H$14,4,)</f>
        <v>01North Puget Sound</v>
      </c>
      <c r="P1226" s="80">
        <v>14</v>
      </c>
      <c r="Q1226" s="103">
        <v>7</v>
      </c>
      <c r="R1226" s="74">
        <f>VLOOKUP(B1226,Readme!A$40:C$52,3,)*Q1226</f>
        <v>129.85</v>
      </c>
    </row>
    <row r="1227" spans="1:18" ht="12" customHeight="1" x14ac:dyDescent="0.35">
      <c r="A1227" s="75">
        <v>1084</v>
      </c>
      <c r="B1227" s="80">
        <v>2013</v>
      </c>
      <c r="C1227" s="80">
        <v>12</v>
      </c>
      <c r="D1227" s="80">
        <f t="shared" si="70"/>
        <v>2013</v>
      </c>
      <c r="E1227" t="s">
        <v>38</v>
      </c>
      <c r="F1227" t="s">
        <v>143</v>
      </c>
      <c r="G1227" t="s">
        <v>86</v>
      </c>
      <c r="H1227" s="72" t="s">
        <v>204</v>
      </c>
      <c r="I1227" s="72" t="s">
        <v>46</v>
      </c>
      <c r="J1227" t="str">
        <f t="shared" si="71"/>
        <v>Hoko River</v>
      </c>
      <c r="K1227" t="str">
        <f>IFERROR(VLOOKUP(J1227,LUTs!$A$1:$C$73,2,FALSE),"NA")</f>
        <v>Clallam</v>
      </c>
      <c r="L1227" t="str">
        <f>IFERROR(VLOOKUP(J1227,LUTs!$A$1:$C$73,3,FALSE),"NA")</f>
        <v>0Strait of Juan de Fuca</v>
      </c>
      <c r="M1227" s="72" t="s">
        <v>18</v>
      </c>
      <c r="N1227" t="str">
        <f>VLOOKUP(M1227,LUTs!E$2:H$14,3,)</f>
        <v>06King</v>
      </c>
      <c r="O1227" t="str">
        <f>VLOOKUP(M1227,LUTs!E$2:H$14,4,)</f>
        <v>02South Puget Sound</v>
      </c>
      <c r="P1227" s="80">
        <v>7</v>
      </c>
      <c r="Q1227" s="103">
        <v>3.5</v>
      </c>
      <c r="R1227" s="74">
        <f>VLOOKUP(B1227,Readme!A$40:C$52,3,)*Q1227</f>
        <v>64.924999999999997</v>
      </c>
    </row>
    <row r="1228" spans="1:18" ht="12" customHeight="1" x14ac:dyDescent="0.35">
      <c r="A1228" s="75">
        <v>1085</v>
      </c>
      <c r="B1228" s="80">
        <v>2013</v>
      </c>
      <c r="C1228" s="80">
        <v>12</v>
      </c>
      <c r="D1228" s="80">
        <f t="shared" si="70"/>
        <v>2013</v>
      </c>
      <c r="E1228" t="s">
        <v>38</v>
      </c>
      <c r="F1228" t="s">
        <v>143</v>
      </c>
      <c r="G1228" t="s">
        <v>86</v>
      </c>
      <c r="H1228" s="72" t="s">
        <v>204</v>
      </c>
      <c r="I1228" s="72" t="s">
        <v>46</v>
      </c>
      <c r="J1228" t="str">
        <f t="shared" si="71"/>
        <v>Hoko River</v>
      </c>
      <c r="K1228" t="str">
        <f>IFERROR(VLOOKUP(J1228,LUTs!$A$1:$C$73,2,FALSE),"NA")</f>
        <v>Clallam</v>
      </c>
      <c r="L1228" t="str">
        <f>IFERROR(VLOOKUP(J1228,LUTs!$A$1:$C$73,3,FALSE),"NA")</f>
        <v>0Strait of Juan de Fuca</v>
      </c>
      <c r="M1228" s="72" t="s">
        <v>20</v>
      </c>
      <c r="N1228" t="str">
        <f>VLOOKUP(M1228,LUTs!E$2:H$14,3,)</f>
        <v>07Pierce</v>
      </c>
      <c r="O1228" t="str">
        <f>VLOOKUP(M1228,LUTs!E$2:H$14,4,)</f>
        <v>02South Puget Sound</v>
      </c>
      <c r="P1228" s="80">
        <v>7</v>
      </c>
      <c r="Q1228" s="103">
        <v>3.5</v>
      </c>
      <c r="R1228" s="74">
        <f>VLOOKUP(B1228,Readme!A$40:C$52,3,)*Q1228</f>
        <v>64.924999999999997</v>
      </c>
    </row>
    <row r="1229" spans="1:18" ht="12" customHeight="1" x14ac:dyDescent="0.35">
      <c r="A1229" s="75">
        <v>1089</v>
      </c>
      <c r="B1229" s="80">
        <v>2013</v>
      </c>
      <c r="C1229" s="80">
        <v>12</v>
      </c>
      <c r="D1229" s="80">
        <f t="shared" si="70"/>
        <v>2013</v>
      </c>
      <c r="E1229" t="s">
        <v>38</v>
      </c>
      <c r="F1229" t="s">
        <v>143</v>
      </c>
      <c r="G1229" t="s">
        <v>86</v>
      </c>
      <c r="H1229" s="72" t="s">
        <v>255</v>
      </c>
      <c r="I1229" s="72" t="s">
        <v>49</v>
      </c>
      <c r="J1229" t="str">
        <f t="shared" si="71"/>
        <v>Lake Sammamish</v>
      </c>
      <c r="K1229" t="str">
        <f>IFERROR(VLOOKUP(J1229,LUTs!$A$1:$C$73,2,FALSE),"NA")</f>
        <v>King</v>
      </c>
      <c r="L1229" t="str">
        <f>IFERROR(VLOOKUP(J1229,LUTs!$A$1:$C$73,3,FALSE),"NA")</f>
        <v>2Central Puget Sound</v>
      </c>
      <c r="M1229" s="72" t="s">
        <v>20</v>
      </c>
      <c r="N1229" t="str">
        <f>VLOOKUP(M1229,LUTs!E$2:H$14,3,)</f>
        <v>07Pierce</v>
      </c>
      <c r="O1229" t="str">
        <f>VLOOKUP(M1229,LUTs!E$2:H$14,4,)</f>
        <v>02South Puget Sound</v>
      </c>
      <c r="P1229" s="80">
        <v>6</v>
      </c>
      <c r="Q1229" s="103">
        <v>0</v>
      </c>
      <c r="R1229" s="74">
        <f>VLOOKUP(B1229,Readme!A$40:C$52,3,)*Q1229</f>
        <v>0</v>
      </c>
    </row>
    <row r="1230" spans="1:18" ht="12" customHeight="1" x14ac:dyDescent="0.35">
      <c r="A1230" s="75">
        <v>1090</v>
      </c>
      <c r="B1230" s="80">
        <v>2013</v>
      </c>
      <c r="C1230" s="80">
        <v>12</v>
      </c>
      <c r="D1230" s="80">
        <f t="shared" si="70"/>
        <v>2013</v>
      </c>
      <c r="E1230" t="s">
        <v>38</v>
      </c>
      <c r="F1230" t="s">
        <v>143</v>
      </c>
      <c r="G1230" t="s">
        <v>86</v>
      </c>
      <c r="H1230" s="72" t="s">
        <v>237</v>
      </c>
      <c r="I1230" s="72" t="s">
        <v>79</v>
      </c>
      <c r="J1230" t="str">
        <f t="shared" si="71"/>
        <v>Lyre River</v>
      </c>
      <c r="K1230" t="str">
        <f>IFERROR(VLOOKUP(J1230,LUTs!$A$1:$C$73,2,FALSE),"NA")</f>
        <v>Clallam</v>
      </c>
      <c r="L1230" t="str">
        <f>IFERROR(VLOOKUP(J1230,LUTs!$A$1:$C$73,3,FALSE),"NA")</f>
        <v>0Strait of Juan de Fuca</v>
      </c>
      <c r="M1230" s="72" t="s">
        <v>24</v>
      </c>
      <c r="N1230" t="str">
        <f>VLOOKUP(M1230,LUTs!E$2:H$14,3,)</f>
        <v>11Clallam</v>
      </c>
      <c r="O1230" t="str">
        <f>VLOOKUP(M1230,LUTs!E$2:H$14,4,)</f>
        <v>03Strait of Juan de Fuca</v>
      </c>
      <c r="P1230" s="80">
        <v>6</v>
      </c>
      <c r="Q1230" s="103">
        <v>3</v>
      </c>
      <c r="R1230" s="74">
        <f>VLOOKUP(B1230,Readme!A$40:C$52,3,)*Q1230</f>
        <v>55.650000000000006</v>
      </c>
    </row>
    <row r="1231" spans="1:18" ht="12" customHeight="1" x14ac:dyDescent="0.35">
      <c r="A1231" s="75">
        <v>1098</v>
      </c>
      <c r="B1231" s="80">
        <v>2013</v>
      </c>
      <c r="C1231" s="80">
        <v>12</v>
      </c>
      <c r="D1231" s="80">
        <f t="shared" si="70"/>
        <v>2013</v>
      </c>
      <c r="E1231" t="s">
        <v>38</v>
      </c>
      <c r="F1231" t="s">
        <v>143</v>
      </c>
      <c r="G1231" t="s">
        <v>86</v>
      </c>
      <c r="H1231" s="72" t="s">
        <v>239</v>
      </c>
      <c r="I1231" s="72" t="s">
        <v>92</v>
      </c>
      <c r="J1231" t="str">
        <f t="shared" si="71"/>
        <v>Nooksack River, No. Fork</v>
      </c>
      <c r="K1231" t="str">
        <f>IFERROR(VLOOKUP(J1231,LUTs!$A$1:$C$73,2,FALSE),"NA")</f>
        <v>Whatcom</v>
      </c>
      <c r="L1231" t="str">
        <f>IFERROR(VLOOKUP(J1231,LUTs!$A$1:$C$73,3,FALSE),"NA")</f>
        <v>1North Puget Sound</v>
      </c>
      <c r="M1231" s="72" t="s">
        <v>13</v>
      </c>
      <c r="N1231" t="str">
        <f>VLOOKUP(M1231,LUTs!E$2:H$14,3,)</f>
        <v>01Whatcom</v>
      </c>
      <c r="O1231" t="str">
        <f>VLOOKUP(M1231,LUTs!E$2:H$14,4,)</f>
        <v>01North Puget Sound</v>
      </c>
      <c r="P1231" s="80">
        <v>14</v>
      </c>
      <c r="Q1231" s="103">
        <v>7</v>
      </c>
      <c r="R1231" s="74">
        <f>VLOOKUP(B1231,Readme!A$40:C$52,3,)*Q1231</f>
        <v>129.85</v>
      </c>
    </row>
    <row r="1232" spans="1:18" ht="12" customHeight="1" x14ac:dyDescent="0.35">
      <c r="A1232" s="75">
        <v>1154</v>
      </c>
      <c r="B1232" s="80">
        <v>2013</v>
      </c>
      <c r="C1232" s="80">
        <v>12</v>
      </c>
      <c r="D1232" s="80">
        <f t="shared" si="70"/>
        <v>2013</v>
      </c>
      <c r="E1232" t="s">
        <v>38</v>
      </c>
      <c r="F1232" t="s">
        <v>143</v>
      </c>
      <c r="G1232" t="s">
        <v>86</v>
      </c>
      <c r="H1232" s="72" t="s">
        <v>218</v>
      </c>
      <c r="I1232" s="72" t="s">
        <v>60</v>
      </c>
      <c r="J1232" t="str">
        <f t="shared" si="71"/>
        <v>Skagit River</v>
      </c>
      <c r="K1232" t="str">
        <f>IFERROR(VLOOKUP(J1232,LUTs!$A$1:$C$73,2,FALSE),"NA")</f>
        <v>Skagit/Whatcom</v>
      </c>
      <c r="L1232" t="str">
        <f>IFERROR(VLOOKUP(J1232,LUTs!$A$1:$C$73,3,FALSE),"NA")</f>
        <v>2Central Puget Sound</v>
      </c>
      <c r="M1232" s="72" t="s">
        <v>18</v>
      </c>
      <c r="N1232" t="str">
        <f>VLOOKUP(M1232,LUTs!E$2:H$14,3,)</f>
        <v>06King</v>
      </c>
      <c r="O1232" t="str">
        <f>VLOOKUP(M1232,LUTs!E$2:H$14,4,)</f>
        <v>02South Puget Sound</v>
      </c>
      <c r="P1232" s="80">
        <v>6.1333333333333302</v>
      </c>
      <c r="Q1232" s="103">
        <v>3.06666666666667</v>
      </c>
      <c r="R1232" s="74">
        <f>VLOOKUP(B1232,Readme!A$40:C$52,3,)*Q1232</f>
        <v>56.886666666666727</v>
      </c>
    </row>
    <row r="1233" spans="1:18" ht="12" customHeight="1" x14ac:dyDescent="0.35">
      <c r="A1233" s="75">
        <v>1155</v>
      </c>
      <c r="B1233" s="80">
        <v>2013</v>
      </c>
      <c r="C1233" s="80">
        <v>12</v>
      </c>
      <c r="D1233" s="80">
        <f t="shared" si="70"/>
        <v>2013</v>
      </c>
      <c r="E1233" t="s">
        <v>38</v>
      </c>
      <c r="F1233" t="s">
        <v>143</v>
      </c>
      <c r="G1233" t="s">
        <v>86</v>
      </c>
      <c r="H1233" s="72" t="s">
        <v>218</v>
      </c>
      <c r="I1233" s="72" t="s">
        <v>60</v>
      </c>
      <c r="J1233" t="str">
        <f t="shared" si="71"/>
        <v>Skagit River</v>
      </c>
      <c r="K1233" t="str">
        <f>IFERROR(VLOOKUP(J1233,LUTs!$A$1:$C$73,2,FALSE),"NA")</f>
        <v>Skagit/Whatcom</v>
      </c>
      <c r="L1233" t="str">
        <f>IFERROR(VLOOKUP(J1233,LUTs!$A$1:$C$73,3,FALSE),"NA")</f>
        <v>2Central Puget Sound</v>
      </c>
      <c r="M1233" s="72" t="s">
        <v>26</v>
      </c>
      <c r="N1233" t="str">
        <f>VLOOKUP(M1233,LUTs!E$2:H$14,3,)</f>
        <v>20Other</v>
      </c>
      <c r="O1233" t="str">
        <f>VLOOKUP(M1233,LUTs!E$2:H$14,4,)</f>
        <v>07Non Puget Sound</v>
      </c>
      <c r="P1233" s="80">
        <v>12.266666666666699</v>
      </c>
      <c r="Q1233" s="103">
        <v>6.1333333333333302</v>
      </c>
      <c r="R1233" s="74">
        <f>VLOOKUP(B1233,Readme!A$40:C$52,3,)*Q1233</f>
        <v>113.77333333333328</v>
      </c>
    </row>
    <row r="1234" spans="1:18" ht="12" customHeight="1" x14ac:dyDescent="0.35">
      <c r="A1234" s="75">
        <v>1156</v>
      </c>
      <c r="B1234" s="80">
        <v>2013</v>
      </c>
      <c r="C1234" s="80">
        <v>12</v>
      </c>
      <c r="D1234" s="80">
        <f t="shared" si="70"/>
        <v>2013</v>
      </c>
      <c r="E1234" t="s">
        <v>38</v>
      </c>
      <c r="F1234" t="s">
        <v>143</v>
      </c>
      <c r="G1234" t="s">
        <v>86</v>
      </c>
      <c r="H1234" s="72" t="s">
        <v>218</v>
      </c>
      <c r="I1234" s="72" t="s">
        <v>60</v>
      </c>
      <c r="J1234" t="str">
        <f t="shared" si="71"/>
        <v>Skagit River</v>
      </c>
      <c r="K1234" t="str">
        <f>IFERROR(VLOOKUP(J1234,LUTs!$A$1:$C$73,2,FALSE),"NA")</f>
        <v>Skagit/Whatcom</v>
      </c>
      <c r="L1234" t="str">
        <f>IFERROR(VLOOKUP(J1234,LUTs!$A$1:$C$73,3,FALSE),"NA")</f>
        <v>2Central Puget Sound</v>
      </c>
      <c r="M1234" s="72" t="s">
        <v>15</v>
      </c>
      <c r="N1234" t="str">
        <f>VLOOKUP(M1234,LUTs!E$2:H$14,3,)</f>
        <v>02Skagit</v>
      </c>
      <c r="O1234" t="str">
        <f>VLOOKUP(M1234,LUTs!E$2:H$14,4,)</f>
        <v>01North Puget Sound</v>
      </c>
      <c r="P1234" s="80">
        <v>61.3333333333333</v>
      </c>
      <c r="Q1234" s="103">
        <v>30.6666666666667</v>
      </c>
      <c r="R1234" s="74">
        <f>VLOOKUP(B1234,Readme!A$40:C$52,3,)*Q1234</f>
        <v>568.86666666666736</v>
      </c>
    </row>
    <row r="1235" spans="1:18" ht="12" customHeight="1" x14ac:dyDescent="0.35">
      <c r="A1235" s="75">
        <v>1157</v>
      </c>
      <c r="B1235" s="80">
        <v>2013</v>
      </c>
      <c r="C1235" s="80">
        <v>12</v>
      </c>
      <c r="D1235" s="80">
        <f t="shared" si="70"/>
        <v>2013</v>
      </c>
      <c r="E1235" t="s">
        <v>38</v>
      </c>
      <c r="F1235" t="s">
        <v>143</v>
      </c>
      <c r="G1235" t="s">
        <v>86</v>
      </c>
      <c r="H1235" s="72" t="s">
        <v>218</v>
      </c>
      <c r="I1235" s="72" t="s">
        <v>60</v>
      </c>
      <c r="J1235" t="str">
        <f t="shared" si="71"/>
        <v>Skagit River</v>
      </c>
      <c r="K1235" t="str">
        <f>IFERROR(VLOOKUP(J1235,LUTs!$A$1:$C$73,2,FALSE),"NA")</f>
        <v>Skagit/Whatcom</v>
      </c>
      <c r="L1235" t="str">
        <f>IFERROR(VLOOKUP(J1235,LUTs!$A$1:$C$73,3,FALSE),"NA")</f>
        <v>2Central Puget Sound</v>
      </c>
      <c r="M1235" s="72" t="s">
        <v>16</v>
      </c>
      <c r="N1235" t="str">
        <f>VLOOKUP(M1235,LUTs!E$2:H$14,3,)</f>
        <v>03Snohomish</v>
      </c>
      <c r="O1235" t="str">
        <f>VLOOKUP(M1235,LUTs!E$2:H$14,4,)</f>
        <v>01North Puget Sound</v>
      </c>
      <c r="P1235" s="80">
        <v>12.266666666666699</v>
      </c>
      <c r="Q1235" s="103">
        <v>6.1333333333333302</v>
      </c>
      <c r="R1235" s="74">
        <f>VLOOKUP(B1235,Readme!A$40:C$52,3,)*Q1235</f>
        <v>113.77333333333328</v>
      </c>
    </row>
    <row r="1236" spans="1:18" ht="12" customHeight="1" x14ac:dyDescent="0.35">
      <c r="A1236" s="75">
        <v>1200</v>
      </c>
      <c r="B1236" s="80">
        <v>2013</v>
      </c>
      <c r="C1236" s="80">
        <v>12</v>
      </c>
      <c r="D1236" s="80">
        <f t="shared" si="70"/>
        <v>2013</v>
      </c>
      <c r="E1236" t="s">
        <v>38</v>
      </c>
      <c r="F1236" t="s">
        <v>143</v>
      </c>
      <c r="G1236" t="s">
        <v>86</v>
      </c>
      <c r="H1236" s="72" t="s">
        <v>220</v>
      </c>
      <c r="I1236" s="72" t="s">
        <v>62</v>
      </c>
      <c r="J1236" t="str">
        <f t="shared" si="71"/>
        <v>Skykomish River</v>
      </c>
      <c r="K1236" t="str">
        <f>IFERROR(VLOOKUP(J1236,LUTs!$A$1:$C$73,2,FALSE),"NA")</f>
        <v>Snohomish</v>
      </c>
      <c r="L1236" t="str">
        <f>IFERROR(VLOOKUP(J1236,LUTs!$A$1:$C$73,3,FALSE),"NA")</f>
        <v>2Central Puget Sound</v>
      </c>
      <c r="M1236" s="72" t="s">
        <v>17</v>
      </c>
      <c r="N1236" t="str">
        <f>VLOOKUP(M1236,LUTs!E$2:H$14,3,)</f>
        <v>04Island</v>
      </c>
      <c r="O1236" t="str">
        <f>VLOOKUP(M1236,LUTs!E$2:H$14,4,)</f>
        <v>01North Puget Sound</v>
      </c>
      <c r="P1236" s="80">
        <v>6.1149425287356296</v>
      </c>
      <c r="Q1236" s="103">
        <v>3.07471264367816</v>
      </c>
      <c r="R1236" s="74">
        <f>VLOOKUP(B1236,Readme!A$40:C$52,3,)*Q1236</f>
        <v>57.03591954022987</v>
      </c>
    </row>
    <row r="1237" spans="1:18" ht="12" customHeight="1" x14ac:dyDescent="0.35">
      <c r="A1237" s="75">
        <v>1201</v>
      </c>
      <c r="B1237" s="80">
        <v>2013</v>
      </c>
      <c r="C1237" s="80">
        <v>12</v>
      </c>
      <c r="D1237" s="80">
        <f t="shared" si="70"/>
        <v>2013</v>
      </c>
      <c r="E1237" t="s">
        <v>38</v>
      </c>
      <c r="F1237" t="s">
        <v>143</v>
      </c>
      <c r="G1237" t="s">
        <v>86</v>
      </c>
      <c r="H1237" s="72" t="s">
        <v>220</v>
      </c>
      <c r="I1237" s="72" t="s">
        <v>62</v>
      </c>
      <c r="J1237" t="str">
        <f t="shared" si="71"/>
        <v>Skykomish River</v>
      </c>
      <c r="K1237" t="str">
        <f>IFERROR(VLOOKUP(J1237,LUTs!$A$1:$C$73,2,FALSE),"NA")</f>
        <v>Snohomish</v>
      </c>
      <c r="L1237" t="str">
        <f>IFERROR(VLOOKUP(J1237,LUTs!$A$1:$C$73,3,FALSE),"NA")</f>
        <v>2Central Puget Sound</v>
      </c>
      <c r="M1237" s="72" t="s">
        <v>18</v>
      </c>
      <c r="N1237" t="str">
        <f>VLOOKUP(M1237,LUTs!E$2:H$14,3,)</f>
        <v>06King</v>
      </c>
      <c r="O1237" t="str">
        <f>VLOOKUP(M1237,LUTs!E$2:H$14,4,)</f>
        <v>02South Puget Sound</v>
      </c>
      <c r="P1237" s="80">
        <v>379.12643678160902</v>
      </c>
      <c r="Q1237" s="103">
        <v>190.63218390804599</v>
      </c>
      <c r="R1237" s="74">
        <f>VLOOKUP(B1237,Readme!A$40:C$52,3,)*Q1237</f>
        <v>3536.227011494253</v>
      </c>
    </row>
    <row r="1238" spans="1:18" ht="12" customHeight="1" x14ac:dyDescent="0.35">
      <c r="A1238" s="75">
        <v>1202</v>
      </c>
      <c r="B1238" s="80">
        <v>2013</v>
      </c>
      <c r="C1238" s="80">
        <v>12</v>
      </c>
      <c r="D1238" s="80">
        <f t="shared" si="70"/>
        <v>2013</v>
      </c>
      <c r="E1238" t="s">
        <v>38</v>
      </c>
      <c r="F1238" t="s">
        <v>143</v>
      </c>
      <c r="G1238" t="s">
        <v>86</v>
      </c>
      <c r="H1238" s="72" t="s">
        <v>220</v>
      </c>
      <c r="I1238" s="72" t="s">
        <v>62</v>
      </c>
      <c r="J1238" t="str">
        <f t="shared" si="71"/>
        <v>Skykomish River</v>
      </c>
      <c r="K1238" t="str">
        <f>IFERROR(VLOOKUP(J1238,LUTs!$A$1:$C$73,2,FALSE),"NA")</f>
        <v>Snohomish</v>
      </c>
      <c r="L1238" t="str">
        <f>IFERROR(VLOOKUP(J1238,LUTs!$A$1:$C$73,3,FALSE),"NA")</f>
        <v>2Central Puget Sound</v>
      </c>
      <c r="M1238" s="72" t="s">
        <v>26</v>
      </c>
      <c r="N1238" t="str">
        <f>VLOOKUP(M1238,LUTs!E$2:H$14,3,)</f>
        <v>20Other</v>
      </c>
      <c r="O1238" t="str">
        <f>VLOOKUP(M1238,LUTs!E$2:H$14,4,)</f>
        <v>07Non Puget Sound</v>
      </c>
      <c r="P1238" s="80">
        <v>12.2298850574713</v>
      </c>
      <c r="Q1238" s="103">
        <v>6.14942528735632</v>
      </c>
      <c r="R1238" s="74">
        <f>VLOOKUP(B1238,Readme!A$40:C$52,3,)*Q1238</f>
        <v>114.07183908045974</v>
      </c>
    </row>
    <row r="1239" spans="1:18" ht="12" customHeight="1" x14ac:dyDescent="0.35">
      <c r="A1239" s="75">
        <v>1203</v>
      </c>
      <c r="B1239" s="80">
        <v>2013</v>
      </c>
      <c r="C1239" s="80">
        <v>12</v>
      </c>
      <c r="D1239" s="80">
        <f t="shared" si="70"/>
        <v>2013</v>
      </c>
      <c r="E1239" t="s">
        <v>38</v>
      </c>
      <c r="F1239" t="s">
        <v>143</v>
      </c>
      <c r="G1239" t="s">
        <v>86</v>
      </c>
      <c r="H1239" s="72" t="s">
        <v>220</v>
      </c>
      <c r="I1239" s="72" t="s">
        <v>62</v>
      </c>
      <c r="J1239" t="str">
        <f t="shared" si="71"/>
        <v>Skykomish River</v>
      </c>
      <c r="K1239" t="str">
        <f>IFERROR(VLOOKUP(J1239,LUTs!$A$1:$C$73,2,FALSE),"NA")</f>
        <v>Snohomish</v>
      </c>
      <c r="L1239" t="str">
        <f>IFERROR(VLOOKUP(J1239,LUTs!$A$1:$C$73,3,FALSE),"NA")</f>
        <v>2Central Puget Sound</v>
      </c>
      <c r="M1239" s="72" t="s">
        <v>16</v>
      </c>
      <c r="N1239" t="str">
        <f>VLOOKUP(M1239,LUTs!E$2:H$14,3,)</f>
        <v>03Snohomish</v>
      </c>
      <c r="O1239" t="str">
        <f>VLOOKUP(M1239,LUTs!E$2:H$14,4,)</f>
        <v>01North Puget Sound</v>
      </c>
      <c r="P1239" s="80">
        <v>666.52873563218395</v>
      </c>
      <c r="Q1239" s="103">
        <v>335.14367816091999</v>
      </c>
      <c r="R1239" s="74">
        <f>VLOOKUP(B1239,Readme!A$40:C$52,3,)*Q1239</f>
        <v>6216.9152298850659</v>
      </c>
    </row>
    <row r="1240" spans="1:18" ht="12" customHeight="1" x14ac:dyDescent="0.35">
      <c r="A1240" s="75">
        <v>1222</v>
      </c>
      <c r="B1240" s="80">
        <v>2013</v>
      </c>
      <c r="C1240" s="80">
        <v>12</v>
      </c>
      <c r="D1240" s="80">
        <f t="shared" si="70"/>
        <v>2013</v>
      </c>
      <c r="E1240" t="s">
        <v>38</v>
      </c>
      <c r="F1240" t="s">
        <v>143</v>
      </c>
      <c r="G1240" t="s">
        <v>86</v>
      </c>
      <c r="H1240" s="72" t="s">
        <v>247</v>
      </c>
      <c r="I1240" s="72" t="s">
        <v>98</v>
      </c>
      <c r="J1240" t="str">
        <f t="shared" si="71"/>
        <v>Skykomish River, No. Fork</v>
      </c>
      <c r="K1240" t="str">
        <f>IFERROR(VLOOKUP(J1240,LUTs!$A$1:$C$73,2,FALSE),"NA")</f>
        <v>Snohomish</v>
      </c>
      <c r="L1240" t="str">
        <f>IFERROR(VLOOKUP(J1240,LUTs!$A$1:$C$73,3,FALSE),"NA")</f>
        <v>2Central Puget Sound</v>
      </c>
      <c r="M1240" s="72" t="s">
        <v>18</v>
      </c>
      <c r="N1240" t="str">
        <f>VLOOKUP(M1240,LUTs!E$2:H$14,3,)</f>
        <v>06King</v>
      </c>
      <c r="O1240" t="str">
        <f>VLOOKUP(M1240,LUTs!E$2:H$14,4,)</f>
        <v>02South Puget Sound</v>
      </c>
      <c r="P1240" s="80">
        <v>12</v>
      </c>
      <c r="Q1240" s="103">
        <v>6</v>
      </c>
      <c r="R1240" s="74">
        <f>VLOOKUP(B1240,Readme!A$40:C$52,3,)*Q1240</f>
        <v>111.30000000000001</v>
      </c>
    </row>
    <row r="1241" spans="1:18" ht="12" customHeight="1" x14ac:dyDescent="0.35">
      <c r="A1241" s="75">
        <v>1223</v>
      </c>
      <c r="B1241" s="80">
        <v>2013</v>
      </c>
      <c r="C1241" s="80">
        <v>12</v>
      </c>
      <c r="D1241" s="80">
        <f t="shared" si="70"/>
        <v>2013</v>
      </c>
      <c r="E1241" t="s">
        <v>38</v>
      </c>
      <c r="F1241" t="s">
        <v>143</v>
      </c>
      <c r="G1241" t="s">
        <v>86</v>
      </c>
      <c r="H1241" s="72" t="s">
        <v>247</v>
      </c>
      <c r="I1241" s="72" t="s">
        <v>98</v>
      </c>
      <c r="J1241" t="str">
        <f t="shared" si="71"/>
        <v>Skykomish River, No. Fork</v>
      </c>
      <c r="K1241" t="str">
        <f>IFERROR(VLOOKUP(J1241,LUTs!$A$1:$C$73,2,FALSE),"NA")</f>
        <v>Snohomish</v>
      </c>
      <c r="L1241" t="str">
        <f>IFERROR(VLOOKUP(J1241,LUTs!$A$1:$C$73,3,FALSE),"NA")</f>
        <v>2Central Puget Sound</v>
      </c>
      <c r="M1241" s="72" t="s">
        <v>16</v>
      </c>
      <c r="N1241" t="str">
        <f>VLOOKUP(M1241,LUTs!E$2:H$14,3,)</f>
        <v>03Snohomish</v>
      </c>
      <c r="O1241" t="str">
        <f>VLOOKUP(M1241,LUTs!E$2:H$14,4,)</f>
        <v>01North Puget Sound</v>
      </c>
      <c r="P1241" s="80">
        <v>12</v>
      </c>
      <c r="Q1241" s="103">
        <v>6</v>
      </c>
      <c r="R1241" s="74">
        <f>VLOOKUP(B1241,Readme!A$40:C$52,3,)*Q1241</f>
        <v>111.30000000000001</v>
      </c>
    </row>
    <row r="1242" spans="1:18" ht="12" customHeight="1" x14ac:dyDescent="0.35">
      <c r="A1242" s="75">
        <v>1229</v>
      </c>
      <c r="B1242" s="80">
        <v>2013</v>
      </c>
      <c r="C1242" s="80">
        <v>12</v>
      </c>
      <c r="D1242" s="80">
        <f t="shared" si="70"/>
        <v>2013</v>
      </c>
      <c r="E1242" t="s">
        <v>38</v>
      </c>
      <c r="F1242" t="s">
        <v>143</v>
      </c>
      <c r="G1242" t="s">
        <v>86</v>
      </c>
      <c r="H1242" s="72" t="s">
        <v>248</v>
      </c>
      <c r="I1242" s="72" t="s">
        <v>99</v>
      </c>
      <c r="J1242" t="str">
        <f t="shared" si="71"/>
        <v>Skykomish River, So. Fork</v>
      </c>
      <c r="K1242" t="str">
        <f>IFERROR(VLOOKUP(J1242,LUTs!$A$1:$C$73,2,FALSE),"NA")</f>
        <v>Snohomish/King</v>
      </c>
      <c r="L1242" t="str">
        <f>IFERROR(VLOOKUP(J1242,LUTs!$A$1:$C$73,3,FALSE),"NA")</f>
        <v>2Central Puget Sound</v>
      </c>
      <c r="M1242" s="72" t="s">
        <v>16</v>
      </c>
      <c r="N1242" t="str">
        <f>VLOOKUP(M1242,LUTs!E$2:H$14,3,)</f>
        <v>03Snohomish</v>
      </c>
      <c r="O1242" t="str">
        <f>VLOOKUP(M1242,LUTs!E$2:H$14,4,)</f>
        <v>01North Puget Sound</v>
      </c>
      <c r="P1242" s="80">
        <v>6</v>
      </c>
      <c r="Q1242" s="103">
        <v>3</v>
      </c>
      <c r="R1242" s="74">
        <f>VLOOKUP(B1242,Readme!A$40:C$52,3,)*Q1242</f>
        <v>55.650000000000006</v>
      </c>
    </row>
    <row r="1243" spans="1:18" ht="12" customHeight="1" x14ac:dyDescent="0.35">
      <c r="A1243" s="75">
        <v>1243</v>
      </c>
      <c r="B1243" s="80">
        <v>2013</v>
      </c>
      <c r="C1243" s="80">
        <v>12</v>
      </c>
      <c r="D1243" s="80">
        <f t="shared" si="70"/>
        <v>2013</v>
      </c>
      <c r="E1243" t="s">
        <v>38</v>
      </c>
      <c r="F1243" t="s">
        <v>143</v>
      </c>
      <c r="G1243" t="s">
        <v>86</v>
      </c>
      <c r="H1243" s="72" t="s">
        <v>221</v>
      </c>
      <c r="I1243" s="72" t="s">
        <v>63</v>
      </c>
      <c r="J1243" t="str">
        <f t="shared" si="71"/>
        <v>Snohomish River</v>
      </c>
      <c r="K1243" t="str">
        <f>IFERROR(VLOOKUP(J1243,LUTs!$A$1:$C$73,2,FALSE),"NA")</f>
        <v>Snohomish</v>
      </c>
      <c r="L1243" t="str">
        <f>IFERROR(VLOOKUP(J1243,LUTs!$A$1:$C$73,3,FALSE),"NA")</f>
        <v>2Central Puget Sound</v>
      </c>
      <c r="M1243" s="72" t="s">
        <v>18</v>
      </c>
      <c r="N1243" t="str">
        <f>VLOOKUP(M1243,LUTs!E$2:H$14,3,)</f>
        <v>06King</v>
      </c>
      <c r="O1243" t="str">
        <f>VLOOKUP(M1243,LUTs!E$2:H$14,4,)</f>
        <v>02South Puget Sound</v>
      </c>
      <c r="P1243" s="80">
        <v>6.1333333333333302</v>
      </c>
      <c r="Q1243" s="103">
        <v>3.06666666666667</v>
      </c>
      <c r="R1243" s="74">
        <f>VLOOKUP(B1243,Readme!A$40:C$52,3,)*Q1243</f>
        <v>56.886666666666727</v>
      </c>
    </row>
    <row r="1244" spans="1:18" ht="12" customHeight="1" x14ac:dyDescent="0.35">
      <c r="A1244" s="75">
        <v>1244</v>
      </c>
      <c r="B1244" s="80">
        <v>2013</v>
      </c>
      <c r="C1244" s="80">
        <v>12</v>
      </c>
      <c r="D1244" s="80">
        <f t="shared" si="70"/>
        <v>2013</v>
      </c>
      <c r="E1244" t="s">
        <v>38</v>
      </c>
      <c r="F1244" t="s">
        <v>143</v>
      </c>
      <c r="G1244" t="s">
        <v>86</v>
      </c>
      <c r="H1244" s="72" t="s">
        <v>221</v>
      </c>
      <c r="I1244" s="72" t="s">
        <v>63</v>
      </c>
      <c r="J1244" t="str">
        <f t="shared" si="71"/>
        <v>Snohomish River</v>
      </c>
      <c r="K1244" t="str">
        <f>IFERROR(VLOOKUP(J1244,LUTs!$A$1:$C$73,2,FALSE),"NA")</f>
        <v>Snohomish</v>
      </c>
      <c r="L1244" t="str">
        <f>IFERROR(VLOOKUP(J1244,LUTs!$A$1:$C$73,3,FALSE),"NA")</f>
        <v>2Central Puget Sound</v>
      </c>
      <c r="M1244" s="72" t="s">
        <v>16</v>
      </c>
      <c r="N1244" t="str">
        <f>VLOOKUP(M1244,LUTs!E$2:H$14,3,)</f>
        <v>03Snohomish</v>
      </c>
      <c r="O1244" t="str">
        <f>VLOOKUP(M1244,LUTs!E$2:H$14,4,)</f>
        <v>01North Puget Sound</v>
      </c>
      <c r="P1244" s="80">
        <v>177.86666666666699</v>
      </c>
      <c r="Q1244" s="103">
        <v>88.933333333333394</v>
      </c>
      <c r="R1244" s="74">
        <f>VLOOKUP(B1244,Readme!A$40:C$52,3,)*Q1244</f>
        <v>1649.7133333333345</v>
      </c>
    </row>
    <row r="1245" spans="1:18" ht="12" customHeight="1" x14ac:dyDescent="0.35">
      <c r="A1245" s="75">
        <v>1254</v>
      </c>
      <c r="B1245" s="80">
        <v>2013</v>
      </c>
      <c r="C1245" s="80">
        <v>12</v>
      </c>
      <c r="D1245" s="80">
        <f t="shared" si="70"/>
        <v>2013</v>
      </c>
      <c r="E1245" t="s">
        <v>38</v>
      </c>
      <c r="F1245" t="s">
        <v>143</v>
      </c>
      <c r="G1245" t="s">
        <v>86</v>
      </c>
      <c r="H1245" s="72" t="s">
        <v>222</v>
      </c>
      <c r="I1245" s="72" t="s">
        <v>64</v>
      </c>
      <c r="J1245" t="str">
        <f t="shared" si="71"/>
        <v>Snoqualmie River</v>
      </c>
      <c r="K1245" t="str">
        <f>IFERROR(VLOOKUP(J1245,LUTs!$A$1:$C$73,2,FALSE),"NA")</f>
        <v>Snohomish/King</v>
      </c>
      <c r="L1245" t="str">
        <f>IFERROR(VLOOKUP(J1245,LUTs!$A$1:$C$73,3,FALSE),"NA")</f>
        <v>2Central Puget Sound</v>
      </c>
      <c r="M1245" s="72" t="s">
        <v>17</v>
      </c>
      <c r="N1245" t="str">
        <f>VLOOKUP(M1245,LUTs!E$2:H$14,3,)</f>
        <v>04Island</v>
      </c>
      <c r="O1245" t="str">
        <f>VLOOKUP(M1245,LUTs!E$2:H$14,4,)</f>
        <v>01North Puget Sound</v>
      </c>
      <c r="P1245" s="80">
        <v>6.1081081081081097</v>
      </c>
      <c r="Q1245" s="103">
        <v>3.0945945945946001</v>
      </c>
      <c r="R1245" s="74">
        <f>VLOOKUP(B1245,Readme!A$40:C$52,3,)*Q1245</f>
        <v>57.40472972972983</v>
      </c>
    </row>
    <row r="1246" spans="1:18" ht="12" customHeight="1" x14ac:dyDescent="0.35">
      <c r="A1246" s="75">
        <v>1255</v>
      </c>
      <c r="B1246" s="80">
        <v>2013</v>
      </c>
      <c r="C1246" s="80">
        <v>12</v>
      </c>
      <c r="D1246" s="80">
        <f t="shared" si="70"/>
        <v>2013</v>
      </c>
      <c r="E1246" t="s">
        <v>38</v>
      </c>
      <c r="F1246" t="s">
        <v>143</v>
      </c>
      <c r="G1246" t="s">
        <v>86</v>
      </c>
      <c r="H1246" s="72" t="s">
        <v>222</v>
      </c>
      <c r="I1246" s="72" t="s">
        <v>64</v>
      </c>
      <c r="J1246" t="str">
        <f t="shared" si="71"/>
        <v>Snoqualmie River</v>
      </c>
      <c r="K1246" t="str">
        <f>IFERROR(VLOOKUP(J1246,LUTs!$A$1:$C$73,2,FALSE),"NA")</f>
        <v>Snohomish/King</v>
      </c>
      <c r="L1246" t="str">
        <f>IFERROR(VLOOKUP(J1246,LUTs!$A$1:$C$73,3,FALSE),"NA")</f>
        <v>2Central Puget Sound</v>
      </c>
      <c r="M1246" s="72" t="s">
        <v>18</v>
      </c>
      <c r="N1246" t="str">
        <f>VLOOKUP(M1246,LUTs!E$2:H$14,3,)</f>
        <v>06King</v>
      </c>
      <c r="O1246" t="str">
        <f>VLOOKUP(M1246,LUTs!E$2:H$14,4,)</f>
        <v>02South Puget Sound</v>
      </c>
      <c r="P1246" s="80">
        <v>836.81081081081095</v>
      </c>
      <c r="Q1246" s="103">
        <v>423.95945945945999</v>
      </c>
      <c r="R1246" s="74">
        <f>VLOOKUP(B1246,Readme!A$40:C$52,3,)*Q1246</f>
        <v>7864.4479729729828</v>
      </c>
    </row>
    <row r="1247" spans="1:18" ht="12" customHeight="1" x14ac:dyDescent="0.35">
      <c r="A1247" s="75">
        <v>1256</v>
      </c>
      <c r="B1247" s="80">
        <v>2013</v>
      </c>
      <c r="C1247" s="80">
        <v>12</v>
      </c>
      <c r="D1247" s="80">
        <f t="shared" si="70"/>
        <v>2013</v>
      </c>
      <c r="E1247" t="s">
        <v>38</v>
      </c>
      <c r="F1247" t="s">
        <v>143</v>
      </c>
      <c r="G1247" t="s">
        <v>86</v>
      </c>
      <c r="H1247" s="72" t="s">
        <v>222</v>
      </c>
      <c r="I1247" s="72" t="s">
        <v>64</v>
      </c>
      <c r="J1247" t="str">
        <f t="shared" si="71"/>
        <v>Snoqualmie River</v>
      </c>
      <c r="K1247" t="str">
        <f>IFERROR(VLOOKUP(J1247,LUTs!$A$1:$C$73,2,FALSE),"NA")</f>
        <v>Snohomish/King</v>
      </c>
      <c r="L1247" t="str">
        <f>IFERROR(VLOOKUP(J1247,LUTs!$A$1:$C$73,3,FALSE),"NA")</f>
        <v>2Central Puget Sound</v>
      </c>
      <c r="M1247" s="72" t="s">
        <v>26</v>
      </c>
      <c r="N1247" t="str">
        <f>VLOOKUP(M1247,LUTs!E$2:H$14,3,)</f>
        <v>20Other</v>
      </c>
      <c r="O1247" t="str">
        <f>VLOOKUP(M1247,LUTs!E$2:H$14,4,)</f>
        <v>07Non Puget Sound</v>
      </c>
      <c r="P1247" s="80">
        <v>12.2162162162162</v>
      </c>
      <c r="Q1247" s="103">
        <v>6.1891891891891904</v>
      </c>
      <c r="R1247" s="74">
        <f>VLOOKUP(B1247,Readme!A$40:C$52,3,)*Q1247</f>
        <v>114.80945945945949</v>
      </c>
    </row>
    <row r="1248" spans="1:18" ht="12" customHeight="1" x14ac:dyDescent="0.35">
      <c r="A1248" s="75">
        <v>1257</v>
      </c>
      <c r="B1248" s="80">
        <v>2013</v>
      </c>
      <c r="C1248" s="80">
        <v>12</v>
      </c>
      <c r="D1248" s="80">
        <f t="shared" si="70"/>
        <v>2013</v>
      </c>
      <c r="E1248" t="s">
        <v>38</v>
      </c>
      <c r="F1248" t="s">
        <v>143</v>
      </c>
      <c r="G1248" t="s">
        <v>86</v>
      </c>
      <c r="H1248" s="72" t="s">
        <v>222</v>
      </c>
      <c r="I1248" s="72" t="s">
        <v>64</v>
      </c>
      <c r="J1248" t="str">
        <f t="shared" si="71"/>
        <v>Snoqualmie River</v>
      </c>
      <c r="K1248" t="str">
        <f>IFERROR(VLOOKUP(J1248,LUTs!$A$1:$C$73,2,FALSE),"NA")</f>
        <v>Snohomish/King</v>
      </c>
      <c r="L1248" t="str">
        <f>IFERROR(VLOOKUP(J1248,LUTs!$A$1:$C$73,3,FALSE),"NA")</f>
        <v>2Central Puget Sound</v>
      </c>
      <c r="M1248" s="72" t="s">
        <v>20</v>
      </c>
      <c r="N1248" t="str">
        <f>VLOOKUP(M1248,LUTs!E$2:H$14,3,)</f>
        <v>07Pierce</v>
      </c>
      <c r="O1248" t="str">
        <f>VLOOKUP(M1248,LUTs!E$2:H$14,4,)</f>
        <v>02South Puget Sound</v>
      </c>
      <c r="P1248" s="80">
        <v>24.4324324324324</v>
      </c>
      <c r="Q1248" s="103">
        <v>12.3783783783784</v>
      </c>
      <c r="R1248" s="74">
        <f>VLOOKUP(B1248,Readme!A$40:C$52,3,)*Q1248</f>
        <v>229.61891891891932</v>
      </c>
    </row>
    <row r="1249" spans="1:18" ht="12" customHeight="1" x14ac:dyDescent="0.35">
      <c r="A1249" s="75">
        <v>1258</v>
      </c>
      <c r="B1249" s="80">
        <v>2013</v>
      </c>
      <c r="C1249" s="80">
        <v>12</v>
      </c>
      <c r="D1249" s="80">
        <f t="shared" si="70"/>
        <v>2013</v>
      </c>
      <c r="E1249" t="s">
        <v>38</v>
      </c>
      <c r="F1249" t="s">
        <v>143</v>
      </c>
      <c r="G1249" t="s">
        <v>86</v>
      </c>
      <c r="H1249" s="72" t="s">
        <v>222</v>
      </c>
      <c r="I1249" s="72" t="s">
        <v>64</v>
      </c>
      <c r="J1249" t="str">
        <f t="shared" si="71"/>
        <v>Snoqualmie River</v>
      </c>
      <c r="K1249" t="str">
        <f>IFERROR(VLOOKUP(J1249,LUTs!$A$1:$C$73,2,FALSE),"NA")</f>
        <v>Snohomish/King</v>
      </c>
      <c r="L1249" t="str">
        <f>IFERROR(VLOOKUP(J1249,LUTs!$A$1:$C$73,3,FALSE),"NA")</f>
        <v>2Central Puget Sound</v>
      </c>
      <c r="M1249" s="72" t="s">
        <v>16</v>
      </c>
      <c r="N1249" t="str">
        <f>VLOOKUP(M1249,LUTs!E$2:H$14,3,)</f>
        <v>03Snohomish</v>
      </c>
      <c r="O1249" t="str">
        <f>VLOOKUP(M1249,LUTs!E$2:H$14,4,)</f>
        <v>01North Puget Sound</v>
      </c>
      <c r="P1249" s="80">
        <v>18.324324324324301</v>
      </c>
      <c r="Q1249" s="103">
        <v>9.2837837837837895</v>
      </c>
      <c r="R1249" s="74">
        <f>VLOOKUP(B1249,Readme!A$40:C$52,3,)*Q1249</f>
        <v>172.21418918918931</v>
      </c>
    </row>
    <row r="1250" spans="1:18" ht="12" customHeight="1" x14ac:dyDescent="0.35">
      <c r="A1250" s="75">
        <v>1259</v>
      </c>
      <c r="B1250" s="80">
        <v>2013</v>
      </c>
      <c r="C1250" s="80">
        <v>12</v>
      </c>
      <c r="D1250" s="80">
        <f t="shared" si="70"/>
        <v>2013</v>
      </c>
      <c r="E1250" t="s">
        <v>38</v>
      </c>
      <c r="F1250" t="s">
        <v>143</v>
      </c>
      <c r="G1250" t="s">
        <v>86</v>
      </c>
      <c r="H1250" s="72" t="s">
        <v>222</v>
      </c>
      <c r="I1250" s="72" t="s">
        <v>64</v>
      </c>
      <c r="J1250" t="str">
        <f t="shared" si="71"/>
        <v>Snoqualmie River</v>
      </c>
      <c r="K1250" t="str">
        <f>IFERROR(VLOOKUP(J1250,LUTs!$A$1:$C$73,2,FALSE),"NA")</f>
        <v>Snohomish/King</v>
      </c>
      <c r="L1250" t="str">
        <f>IFERROR(VLOOKUP(J1250,LUTs!$A$1:$C$73,3,FALSE),"NA")</f>
        <v>2Central Puget Sound</v>
      </c>
      <c r="M1250" s="72" t="s">
        <v>21</v>
      </c>
      <c r="N1250" t="str">
        <f>VLOOKUP(M1250,LUTs!E$2:H$14,3,)</f>
        <v>08Thurston</v>
      </c>
      <c r="O1250" t="str">
        <f>VLOOKUP(M1250,LUTs!E$2:H$14,4,)</f>
        <v>02South Puget Sound</v>
      </c>
      <c r="P1250" s="80">
        <v>6.1081081081081097</v>
      </c>
      <c r="Q1250" s="103">
        <v>3.0945945945946001</v>
      </c>
      <c r="R1250" s="74">
        <f>VLOOKUP(B1250,Readme!A$40:C$52,3,)*Q1250</f>
        <v>57.40472972972983</v>
      </c>
    </row>
    <row r="1251" spans="1:18" ht="12" customHeight="1" x14ac:dyDescent="0.35">
      <c r="A1251" s="75">
        <v>1298</v>
      </c>
      <c r="B1251" s="80">
        <v>2013</v>
      </c>
      <c r="C1251" s="80">
        <v>12</v>
      </c>
      <c r="D1251" s="80">
        <f t="shared" si="70"/>
        <v>2013</v>
      </c>
      <c r="E1251" t="s">
        <v>38</v>
      </c>
      <c r="F1251" t="s">
        <v>143</v>
      </c>
      <c r="G1251" t="s">
        <v>86</v>
      </c>
      <c r="H1251" s="72" t="s">
        <v>223</v>
      </c>
      <c r="I1251" s="72" t="s">
        <v>103</v>
      </c>
      <c r="J1251" t="str">
        <f t="shared" si="71"/>
        <v>Stillaguamish R, No. Fork</v>
      </c>
      <c r="K1251" t="str">
        <f>IFERROR(VLOOKUP(J1251,LUTs!$A$1:$C$73,2,FALSE),"NA")</f>
        <v>Snohomish</v>
      </c>
      <c r="L1251" t="str">
        <f>IFERROR(VLOOKUP(J1251,LUTs!$A$1:$C$73,3,FALSE),"NA")</f>
        <v>2Central Puget Sound</v>
      </c>
      <c r="M1251" s="72" t="s">
        <v>17</v>
      </c>
      <c r="N1251" t="str">
        <f>VLOOKUP(M1251,LUTs!E$2:H$14,3,)</f>
        <v>04Island</v>
      </c>
      <c r="O1251" t="str">
        <f>VLOOKUP(M1251,LUTs!E$2:H$14,4,)</f>
        <v>01North Puget Sound</v>
      </c>
      <c r="P1251" s="80">
        <v>18.105263157894701</v>
      </c>
      <c r="Q1251" s="103">
        <v>9.0526315789473699</v>
      </c>
      <c r="R1251" s="74">
        <f>VLOOKUP(B1251,Readme!A$40:C$52,3,)*Q1251</f>
        <v>167.9263157894737</v>
      </c>
    </row>
    <row r="1252" spans="1:18" ht="12" customHeight="1" x14ac:dyDescent="0.35">
      <c r="A1252" s="75">
        <v>1299</v>
      </c>
      <c r="B1252" s="80">
        <v>2013</v>
      </c>
      <c r="C1252" s="80">
        <v>12</v>
      </c>
      <c r="D1252" s="80">
        <f t="shared" si="70"/>
        <v>2013</v>
      </c>
      <c r="E1252" t="s">
        <v>38</v>
      </c>
      <c r="F1252" t="s">
        <v>143</v>
      </c>
      <c r="G1252" t="s">
        <v>86</v>
      </c>
      <c r="H1252" s="72" t="s">
        <v>223</v>
      </c>
      <c r="I1252" s="72" t="s">
        <v>103</v>
      </c>
      <c r="J1252" t="str">
        <f t="shared" si="71"/>
        <v>Stillaguamish R, No. Fork</v>
      </c>
      <c r="K1252" t="str">
        <f>IFERROR(VLOOKUP(J1252,LUTs!$A$1:$C$73,2,FALSE),"NA")</f>
        <v>Snohomish</v>
      </c>
      <c r="L1252" t="str">
        <f>IFERROR(VLOOKUP(J1252,LUTs!$A$1:$C$73,3,FALSE),"NA")</f>
        <v>2Central Puget Sound</v>
      </c>
      <c r="M1252" s="72" t="s">
        <v>18</v>
      </c>
      <c r="N1252" t="str">
        <f>VLOOKUP(M1252,LUTs!E$2:H$14,3,)</f>
        <v>06King</v>
      </c>
      <c r="O1252" t="str">
        <f>VLOOKUP(M1252,LUTs!E$2:H$14,4,)</f>
        <v>02South Puget Sound</v>
      </c>
      <c r="P1252" s="80">
        <v>12.0701754385965</v>
      </c>
      <c r="Q1252" s="103">
        <v>6.0350877192982502</v>
      </c>
      <c r="R1252" s="74">
        <f>VLOOKUP(B1252,Readme!A$40:C$52,3,)*Q1252</f>
        <v>111.95087719298255</v>
      </c>
    </row>
    <row r="1253" spans="1:18" ht="12" customHeight="1" x14ac:dyDescent="0.35">
      <c r="A1253" s="75">
        <v>1300</v>
      </c>
      <c r="B1253" s="80">
        <v>2013</v>
      </c>
      <c r="C1253" s="80">
        <v>12</v>
      </c>
      <c r="D1253" s="80">
        <f t="shared" si="70"/>
        <v>2013</v>
      </c>
      <c r="E1253" t="s">
        <v>38</v>
      </c>
      <c r="F1253" t="s">
        <v>143</v>
      </c>
      <c r="G1253" t="s">
        <v>86</v>
      </c>
      <c r="H1253" s="72" t="s">
        <v>223</v>
      </c>
      <c r="I1253" s="72" t="s">
        <v>103</v>
      </c>
      <c r="J1253" t="str">
        <f t="shared" si="71"/>
        <v>Stillaguamish R, No. Fork</v>
      </c>
      <c r="K1253" t="str">
        <f>IFERROR(VLOOKUP(J1253,LUTs!$A$1:$C$73,2,FALSE),"NA")</f>
        <v>Snohomish</v>
      </c>
      <c r="L1253" t="str">
        <f>IFERROR(VLOOKUP(J1253,LUTs!$A$1:$C$73,3,FALSE),"NA")</f>
        <v>2Central Puget Sound</v>
      </c>
      <c r="M1253" s="72" t="s">
        <v>15</v>
      </c>
      <c r="N1253" t="str">
        <f>VLOOKUP(M1253,LUTs!E$2:H$14,3,)</f>
        <v>02Skagit</v>
      </c>
      <c r="O1253" t="str">
        <f>VLOOKUP(M1253,LUTs!E$2:H$14,4,)</f>
        <v>01North Puget Sound</v>
      </c>
      <c r="P1253" s="80">
        <v>42.245614035087698</v>
      </c>
      <c r="Q1253" s="103">
        <v>21.122807017543899</v>
      </c>
      <c r="R1253" s="74">
        <f>VLOOKUP(B1253,Readme!A$40:C$52,3,)*Q1253</f>
        <v>391.82807017543934</v>
      </c>
    </row>
    <row r="1254" spans="1:18" ht="12" customHeight="1" x14ac:dyDescent="0.35">
      <c r="A1254" s="75">
        <v>1301</v>
      </c>
      <c r="B1254" s="80">
        <v>2013</v>
      </c>
      <c r="C1254" s="80">
        <v>12</v>
      </c>
      <c r="D1254" s="80">
        <f t="shared" si="70"/>
        <v>2013</v>
      </c>
      <c r="E1254" t="s">
        <v>38</v>
      </c>
      <c r="F1254" t="s">
        <v>143</v>
      </c>
      <c r="G1254" t="s">
        <v>86</v>
      </c>
      <c r="H1254" s="72" t="s">
        <v>223</v>
      </c>
      <c r="I1254" s="72" t="s">
        <v>103</v>
      </c>
      <c r="J1254" t="str">
        <f t="shared" si="71"/>
        <v>Stillaguamish R, No. Fork</v>
      </c>
      <c r="K1254" t="str">
        <f>IFERROR(VLOOKUP(J1254,LUTs!$A$1:$C$73,2,FALSE),"NA")</f>
        <v>Snohomish</v>
      </c>
      <c r="L1254" t="str">
        <f>IFERROR(VLOOKUP(J1254,LUTs!$A$1:$C$73,3,FALSE),"NA")</f>
        <v>2Central Puget Sound</v>
      </c>
      <c r="M1254" s="72" t="s">
        <v>16</v>
      </c>
      <c r="N1254" t="str">
        <f>VLOOKUP(M1254,LUTs!E$2:H$14,3,)</f>
        <v>03Snohomish</v>
      </c>
      <c r="O1254" t="str">
        <f>VLOOKUP(M1254,LUTs!E$2:H$14,4,)</f>
        <v>01North Puget Sound</v>
      </c>
      <c r="P1254" s="80">
        <v>247.438596491228</v>
      </c>
      <c r="Q1254" s="103">
        <v>123.719298245614</v>
      </c>
      <c r="R1254" s="74">
        <f>VLOOKUP(B1254,Readme!A$40:C$52,3,)*Q1254</f>
        <v>2294.9929824561395</v>
      </c>
    </row>
    <row r="1255" spans="1:18" ht="12" customHeight="1" x14ac:dyDescent="0.35">
      <c r="A1255" s="75">
        <v>1302</v>
      </c>
      <c r="B1255" s="80">
        <v>2013</v>
      </c>
      <c r="C1255" s="80">
        <v>12</v>
      </c>
      <c r="D1255" s="80">
        <f t="shared" si="70"/>
        <v>2013</v>
      </c>
      <c r="E1255" t="s">
        <v>38</v>
      </c>
      <c r="F1255" t="s">
        <v>143</v>
      </c>
      <c r="G1255" t="s">
        <v>86</v>
      </c>
      <c r="H1255" s="72" t="s">
        <v>223</v>
      </c>
      <c r="I1255" s="72" t="s">
        <v>103</v>
      </c>
      <c r="J1255" t="str">
        <f t="shared" si="71"/>
        <v>Stillaguamish R, No. Fork</v>
      </c>
      <c r="K1255" t="str">
        <f>IFERROR(VLOOKUP(J1255,LUTs!$A$1:$C$73,2,FALSE),"NA")</f>
        <v>Snohomish</v>
      </c>
      <c r="L1255" t="str">
        <f>IFERROR(VLOOKUP(J1255,LUTs!$A$1:$C$73,3,FALSE),"NA")</f>
        <v>2Central Puget Sound</v>
      </c>
      <c r="M1255" s="72" t="s">
        <v>13</v>
      </c>
      <c r="N1255" t="str">
        <f>VLOOKUP(M1255,LUTs!E$2:H$14,3,)</f>
        <v>01Whatcom</v>
      </c>
      <c r="O1255" t="str">
        <f>VLOOKUP(M1255,LUTs!E$2:H$14,4,)</f>
        <v>01North Puget Sound</v>
      </c>
      <c r="P1255" s="80">
        <v>24.140350877193001</v>
      </c>
      <c r="Q1255" s="103">
        <v>12.0701754385965</v>
      </c>
      <c r="R1255" s="74">
        <f>VLOOKUP(B1255,Readme!A$40:C$52,3,)*Q1255</f>
        <v>223.90175438596509</v>
      </c>
    </row>
    <row r="1256" spans="1:18" ht="12" customHeight="1" x14ac:dyDescent="0.35">
      <c r="A1256" s="75">
        <v>1311</v>
      </c>
      <c r="B1256" s="80">
        <v>2013</v>
      </c>
      <c r="C1256" s="80">
        <v>12</v>
      </c>
      <c r="D1256" s="80">
        <f t="shared" si="70"/>
        <v>2013</v>
      </c>
      <c r="E1256" t="s">
        <v>38</v>
      </c>
      <c r="F1256" t="s">
        <v>143</v>
      </c>
      <c r="G1256" t="s">
        <v>86</v>
      </c>
      <c r="H1256" s="72" t="s">
        <v>253</v>
      </c>
      <c r="I1256" s="72" t="s">
        <v>65</v>
      </c>
      <c r="J1256" t="str">
        <f t="shared" si="71"/>
        <v>Stillaguamish River</v>
      </c>
      <c r="K1256" t="str">
        <f>IFERROR(VLOOKUP(J1256,LUTs!$A$1:$C$73,2,FALSE),"NA")</f>
        <v>Snohomish</v>
      </c>
      <c r="L1256" t="str">
        <f>IFERROR(VLOOKUP(J1256,LUTs!$A$1:$C$73,3,FALSE),"NA")</f>
        <v>2Central Puget Sound</v>
      </c>
      <c r="M1256" s="72" t="s">
        <v>16</v>
      </c>
      <c r="N1256" t="str">
        <f>VLOOKUP(M1256,LUTs!E$2:H$14,3,)</f>
        <v>03Snohomish</v>
      </c>
      <c r="O1256" t="str">
        <f>VLOOKUP(M1256,LUTs!E$2:H$14,4,)</f>
        <v>01North Puget Sound</v>
      </c>
      <c r="P1256" s="80">
        <v>6</v>
      </c>
      <c r="Q1256" s="103">
        <v>3</v>
      </c>
      <c r="R1256" s="74">
        <f>VLOOKUP(B1256,Readme!A$40:C$52,3,)*Q1256</f>
        <v>55.650000000000006</v>
      </c>
    </row>
    <row r="1257" spans="1:18" ht="12" customHeight="1" x14ac:dyDescent="0.35">
      <c r="A1257" s="75">
        <v>1266</v>
      </c>
      <c r="B1257" s="80">
        <v>2013</v>
      </c>
      <c r="C1257" s="80">
        <v>12</v>
      </c>
      <c r="D1257" s="80">
        <f t="shared" si="70"/>
        <v>2013</v>
      </c>
      <c r="E1257" t="s">
        <v>38</v>
      </c>
      <c r="F1257" t="s">
        <v>143</v>
      </c>
      <c r="G1257" t="s">
        <v>86</v>
      </c>
      <c r="H1257" s="72" t="s">
        <v>250</v>
      </c>
      <c r="I1257" s="72" t="s">
        <v>101</v>
      </c>
      <c r="J1257" t="str">
        <f t="shared" ref="J1257:J1276" si="72">I1257</f>
        <v>Tokul Creek</v>
      </c>
      <c r="K1257" t="str">
        <f>IFERROR(VLOOKUP(J1257,LUTs!$A$1:$C$73,2,FALSE),"NA")</f>
        <v>King</v>
      </c>
      <c r="L1257" t="str">
        <f>IFERROR(VLOOKUP(J1257,LUTs!$A$1:$C$73,3,FALSE),"NA")</f>
        <v>2Central Puget Sound</v>
      </c>
      <c r="M1257" s="72" t="s">
        <v>18</v>
      </c>
      <c r="N1257" t="str">
        <f>VLOOKUP(M1257,LUTs!E$2:H$14,3,)</f>
        <v>06King</v>
      </c>
      <c r="O1257" t="str">
        <f>VLOOKUP(M1257,LUTs!E$2:H$14,4,)</f>
        <v>02South Puget Sound</v>
      </c>
      <c r="P1257" s="80">
        <v>30</v>
      </c>
      <c r="Q1257" s="103">
        <v>15</v>
      </c>
      <c r="R1257" s="74">
        <f>VLOOKUP(B1257,Readme!A$40:C$52,3,)*Q1257</f>
        <v>278.25</v>
      </c>
    </row>
    <row r="1258" spans="1:18" ht="12" customHeight="1" x14ac:dyDescent="0.35">
      <c r="A1258" s="75">
        <v>1278</v>
      </c>
      <c r="B1258" s="80">
        <v>2013</v>
      </c>
      <c r="C1258" s="80">
        <v>12</v>
      </c>
      <c r="D1258" s="80">
        <f t="shared" si="70"/>
        <v>2013</v>
      </c>
      <c r="E1258" t="s">
        <v>38</v>
      </c>
      <c r="F1258" t="s">
        <v>143</v>
      </c>
      <c r="G1258" t="s">
        <v>86</v>
      </c>
      <c r="H1258" s="72" t="s">
        <v>233</v>
      </c>
      <c r="I1258" s="72" t="s">
        <v>76</v>
      </c>
      <c r="J1258" t="str">
        <f t="shared" si="72"/>
        <v>Wallace River</v>
      </c>
      <c r="K1258" t="str">
        <f>IFERROR(VLOOKUP(J1258,LUTs!$A$1:$C$73,2,FALSE),"NA")</f>
        <v>Snohomish</v>
      </c>
      <c r="L1258" t="str">
        <f>IFERROR(VLOOKUP(J1258,LUTs!$A$1:$C$73,3,FALSE),"NA")</f>
        <v>2Central Puget Sound</v>
      </c>
      <c r="M1258" s="72" t="s">
        <v>17</v>
      </c>
      <c r="N1258" t="str">
        <f>VLOOKUP(M1258,LUTs!E$2:H$14,3,)</f>
        <v>04Island</v>
      </c>
      <c r="O1258" t="str">
        <f>VLOOKUP(M1258,LUTs!E$2:H$14,4,)</f>
        <v>01North Puget Sound</v>
      </c>
      <c r="P1258" s="80">
        <v>6.1052631578947398</v>
      </c>
      <c r="Q1258" s="103">
        <v>3.0526315789473699</v>
      </c>
      <c r="R1258" s="74">
        <f>VLOOKUP(B1258,Readme!A$40:C$52,3,)*Q1258</f>
        <v>56.626315789473715</v>
      </c>
    </row>
    <row r="1259" spans="1:18" ht="12" customHeight="1" x14ac:dyDescent="0.35">
      <c r="A1259" s="75">
        <v>1279</v>
      </c>
      <c r="B1259" s="80">
        <v>2013</v>
      </c>
      <c r="C1259" s="80">
        <v>12</v>
      </c>
      <c r="D1259" s="80">
        <f t="shared" si="70"/>
        <v>2013</v>
      </c>
      <c r="E1259" t="s">
        <v>38</v>
      </c>
      <c r="F1259" t="s">
        <v>143</v>
      </c>
      <c r="G1259" t="s">
        <v>86</v>
      </c>
      <c r="H1259" s="72" t="s">
        <v>233</v>
      </c>
      <c r="I1259" s="72" t="s">
        <v>76</v>
      </c>
      <c r="J1259" t="str">
        <f t="shared" si="72"/>
        <v>Wallace River</v>
      </c>
      <c r="K1259" t="str">
        <f>IFERROR(VLOOKUP(J1259,LUTs!$A$1:$C$73,2,FALSE),"NA")</f>
        <v>Snohomish</v>
      </c>
      <c r="L1259" t="str">
        <f>IFERROR(VLOOKUP(J1259,LUTs!$A$1:$C$73,3,FALSE),"NA")</f>
        <v>2Central Puget Sound</v>
      </c>
      <c r="M1259" s="72" t="s">
        <v>18</v>
      </c>
      <c r="N1259" t="str">
        <f>VLOOKUP(M1259,LUTs!E$2:H$14,3,)</f>
        <v>06King</v>
      </c>
      <c r="O1259" t="str">
        <f>VLOOKUP(M1259,LUTs!E$2:H$14,4,)</f>
        <v>02South Puget Sound</v>
      </c>
      <c r="P1259" s="80">
        <v>18.315789473684202</v>
      </c>
      <c r="Q1259" s="103">
        <v>9.1578947368421098</v>
      </c>
      <c r="R1259" s="74">
        <f>VLOOKUP(B1259,Readme!A$40:C$52,3,)*Q1259</f>
        <v>169.87894736842114</v>
      </c>
    </row>
    <row r="1260" spans="1:18" ht="12" customHeight="1" x14ac:dyDescent="0.35">
      <c r="A1260" s="75">
        <v>1280</v>
      </c>
      <c r="B1260" s="80">
        <v>2013</v>
      </c>
      <c r="C1260" s="80">
        <v>12</v>
      </c>
      <c r="D1260" s="80">
        <f t="shared" si="70"/>
        <v>2013</v>
      </c>
      <c r="E1260" t="s">
        <v>38</v>
      </c>
      <c r="F1260" t="s">
        <v>143</v>
      </c>
      <c r="G1260" t="s">
        <v>86</v>
      </c>
      <c r="H1260" s="72" t="s">
        <v>233</v>
      </c>
      <c r="I1260" s="72" t="s">
        <v>76</v>
      </c>
      <c r="J1260" t="str">
        <f t="shared" si="72"/>
        <v>Wallace River</v>
      </c>
      <c r="K1260" t="str">
        <f>IFERROR(VLOOKUP(J1260,LUTs!$A$1:$C$73,2,FALSE),"NA")</f>
        <v>Snohomish</v>
      </c>
      <c r="L1260" t="str">
        <f>IFERROR(VLOOKUP(J1260,LUTs!$A$1:$C$73,3,FALSE),"NA")</f>
        <v>2Central Puget Sound</v>
      </c>
      <c r="M1260" s="72" t="s">
        <v>26</v>
      </c>
      <c r="N1260" t="str">
        <f>VLOOKUP(M1260,LUTs!E$2:H$14,3,)</f>
        <v>20Other</v>
      </c>
      <c r="O1260" t="str">
        <f>VLOOKUP(M1260,LUTs!E$2:H$14,4,)</f>
        <v>07Non Puget Sound</v>
      </c>
      <c r="P1260" s="80">
        <v>12.210526315789499</v>
      </c>
      <c r="Q1260" s="103">
        <v>6.1052631578947398</v>
      </c>
      <c r="R1260" s="74">
        <f>VLOOKUP(B1260,Readme!A$40:C$52,3,)*Q1260</f>
        <v>113.25263157894743</v>
      </c>
    </row>
    <row r="1261" spans="1:18" ht="12" customHeight="1" x14ac:dyDescent="0.35">
      <c r="A1261" s="75">
        <v>1281</v>
      </c>
      <c r="B1261" s="80">
        <v>2013</v>
      </c>
      <c r="C1261" s="80">
        <v>12</v>
      </c>
      <c r="D1261" s="80">
        <f t="shared" si="70"/>
        <v>2013</v>
      </c>
      <c r="E1261" t="s">
        <v>38</v>
      </c>
      <c r="F1261" t="s">
        <v>143</v>
      </c>
      <c r="G1261" t="s">
        <v>86</v>
      </c>
      <c r="H1261" s="72" t="s">
        <v>233</v>
      </c>
      <c r="I1261" s="72" t="s">
        <v>76</v>
      </c>
      <c r="J1261" t="str">
        <f t="shared" si="72"/>
        <v>Wallace River</v>
      </c>
      <c r="K1261" t="str">
        <f>IFERROR(VLOOKUP(J1261,LUTs!$A$1:$C$73,2,FALSE),"NA")</f>
        <v>Snohomish</v>
      </c>
      <c r="L1261" t="str">
        <f>IFERROR(VLOOKUP(J1261,LUTs!$A$1:$C$73,3,FALSE),"NA")</f>
        <v>2Central Puget Sound</v>
      </c>
      <c r="M1261" s="72" t="s">
        <v>16</v>
      </c>
      <c r="N1261" t="str">
        <f>VLOOKUP(M1261,LUTs!E$2:H$14,3,)</f>
        <v>03Snohomish</v>
      </c>
      <c r="O1261" t="str">
        <f>VLOOKUP(M1261,LUTs!E$2:H$14,4,)</f>
        <v>01North Puget Sound</v>
      </c>
      <c r="P1261" s="80">
        <v>79.368421052631604</v>
      </c>
      <c r="Q1261" s="103">
        <v>39.684210526315802</v>
      </c>
      <c r="R1261" s="74">
        <f>VLOOKUP(B1261,Readme!A$40:C$52,3,)*Q1261</f>
        <v>736.1421052631581</v>
      </c>
    </row>
    <row r="1262" spans="1:18" ht="12" customHeight="1" x14ac:dyDescent="0.35">
      <c r="A1262" s="75">
        <v>1312</v>
      </c>
      <c r="B1262" s="80">
        <v>2013</v>
      </c>
      <c r="C1262" s="80">
        <v>12</v>
      </c>
      <c r="D1262" s="80">
        <f t="shared" si="70"/>
        <v>2013</v>
      </c>
      <c r="E1262" t="s">
        <v>38</v>
      </c>
      <c r="F1262" t="s">
        <v>143</v>
      </c>
      <c r="G1262" t="s">
        <v>86</v>
      </c>
      <c r="H1262" s="72" t="s">
        <v>224</v>
      </c>
      <c r="I1262" s="72" t="s">
        <v>66</v>
      </c>
      <c r="J1262" t="str">
        <f t="shared" si="72"/>
        <v>Whatcom Creek</v>
      </c>
      <c r="K1262" t="str">
        <f>IFERROR(VLOOKUP(J1262,LUTs!$A$1:$C$73,2,FALSE),"NA")</f>
        <v>Whatcom</v>
      </c>
      <c r="L1262" t="str">
        <f>IFERROR(VLOOKUP(J1262,LUTs!$A$1:$C$73,3,FALSE),"NA")</f>
        <v>1North Puget Sound</v>
      </c>
      <c r="M1262" s="72" t="s">
        <v>16</v>
      </c>
      <c r="N1262" t="str">
        <f>VLOOKUP(M1262,LUTs!E$2:H$14,3,)</f>
        <v>03Snohomish</v>
      </c>
      <c r="O1262" t="str">
        <f>VLOOKUP(M1262,LUTs!E$2:H$14,4,)</f>
        <v>01North Puget Sound</v>
      </c>
      <c r="P1262" s="80">
        <v>7</v>
      </c>
      <c r="Q1262" s="103">
        <v>3.5</v>
      </c>
      <c r="R1262" s="74">
        <f>VLOOKUP(B1262,Readme!A$40:C$52,3,)*Q1262</f>
        <v>64.924999999999997</v>
      </c>
    </row>
    <row r="1263" spans="1:18" ht="12" customHeight="1" x14ac:dyDescent="0.35">
      <c r="A1263" s="75">
        <v>1313</v>
      </c>
      <c r="B1263" s="80">
        <v>2013</v>
      </c>
      <c r="C1263" s="80">
        <v>12</v>
      </c>
      <c r="D1263" s="80">
        <f t="shared" si="70"/>
        <v>2013</v>
      </c>
      <c r="E1263" t="s">
        <v>38</v>
      </c>
      <c r="F1263" t="s">
        <v>143</v>
      </c>
      <c r="G1263" t="s">
        <v>86</v>
      </c>
      <c r="H1263" s="72" t="s">
        <v>224</v>
      </c>
      <c r="I1263" s="72" t="s">
        <v>66</v>
      </c>
      <c r="J1263" t="str">
        <f t="shared" si="72"/>
        <v>Whatcom Creek</v>
      </c>
      <c r="K1263" t="str">
        <f>IFERROR(VLOOKUP(J1263,LUTs!$A$1:$C$73,2,FALSE),"NA")</f>
        <v>Whatcom</v>
      </c>
      <c r="L1263" t="str">
        <f>IFERROR(VLOOKUP(J1263,LUTs!$A$1:$C$73,3,FALSE),"NA")</f>
        <v>1North Puget Sound</v>
      </c>
      <c r="M1263" s="72" t="s">
        <v>13</v>
      </c>
      <c r="N1263" t="str">
        <f>VLOOKUP(M1263,LUTs!E$2:H$14,3,)</f>
        <v>01Whatcom</v>
      </c>
      <c r="O1263" t="str">
        <f>VLOOKUP(M1263,LUTs!E$2:H$14,4,)</f>
        <v>01North Puget Sound</v>
      </c>
      <c r="P1263" s="80">
        <v>7</v>
      </c>
      <c r="Q1263" s="103">
        <v>3.5</v>
      </c>
      <c r="R1263" s="74">
        <f>VLOOKUP(B1263,Readme!A$40:C$52,3,)*Q1263</f>
        <v>64.924999999999997</v>
      </c>
    </row>
    <row r="1264" spans="1:18" ht="12" customHeight="1" x14ac:dyDescent="0.35">
      <c r="A1264" s="75">
        <v>1111</v>
      </c>
      <c r="B1264" s="80">
        <v>2013</v>
      </c>
      <c r="C1264" s="80">
        <v>12</v>
      </c>
      <c r="D1264" s="80">
        <f t="shared" si="70"/>
        <v>2013</v>
      </c>
      <c r="E1264" t="s">
        <v>38</v>
      </c>
      <c r="F1264" t="s">
        <v>143</v>
      </c>
      <c r="G1264" t="s">
        <v>86</v>
      </c>
      <c r="H1264" s="72" t="s">
        <v>242</v>
      </c>
      <c r="I1264" s="72" t="s">
        <v>85</v>
      </c>
      <c r="J1264" t="str">
        <f t="shared" si="72"/>
        <v>White (Stuck) River</v>
      </c>
      <c r="K1264" t="str">
        <f>IFERROR(VLOOKUP(J1264,LUTs!$A$1:$C$73,2,FALSE),"NA")</f>
        <v>Pierce</v>
      </c>
      <c r="L1264" t="str">
        <f>IFERROR(VLOOKUP(J1264,LUTs!$A$1:$C$73,3,FALSE),"NA")</f>
        <v>3South Puget Sound</v>
      </c>
      <c r="M1264" s="72" t="s">
        <v>16</v>
      </c>
      <c r="N1264" t="str">
        <f>VLOOKUP(M1264,LUTs!E$2:H$14,3,)</f>
        <v>03Snohomish</v>
      </c>
      <c r="O1264" t="str">
        <f>VLOOKUP(M1264,LUTs!E$2:H$14,4,)</f>
        <v>01North Puget Sound</v>
      </c>
      <c r="P1264" s="80">
        <v>6</v>
      </c>
      <c r="Q1264" s="103">
        <v>0</v>
      </c>
      <c r="R1264" s="74">
        <f>VLOOKUP(B1264,Readme!A$40:C$52,3,)*Q1264</f>
        <v>0</v>
      </c>
    </row>
    <row r="1265" spans="1:18" ht="12" customHeight="1" x14ac:dyDescent="0.35">
      <c r="A1265" s="75">
        <v>1287</v>
      </c>
      <c r="B1265" s="80">
        <v>2013</v>
      </c>
      <c r="C1265" s="80">
        <v>12</v>
      </c>
      <c r="D1265" s="80">
        <f t="shared" si="70"/>
        <v>2013</v>
      </c>
      <c r="E1265" t="s">
        <v>38</v>
      </c>
      <c r="F1265" t="s">
        <v>143</v>
      </c>
      <c r="G1265" t="s">
        <v>86</v>
      </c>
      <c r="H1265" s="72" t="s">
        <v>263</v>
      </c>
      <c r="I1265" s="72" t="s">
        <v>264</v>
      </c>
      <c r="J1265" s="84" t="str">
        <f t="shared" si="72"/>
        <v>Woods Creek</v>
      </c>
      <c r="K1265" t="str">
        <f>IFERROR(VLOOKUP(J1265,LUTs!$A$1:$C$73,2,FALSE),"NA")</f>
        <v>Snohomish</v>
      </c>
      <c r="L1265" t="str">
        <f>IFERROR(VLOOKUP(J1265,LUTs!$A$1:$C$73,3,FALSE),"NA")</f>
        <v>2Central Puget Sound</v>
      </c>
      <c r="M1265" s="72" t="s">
        <v>18</v>
      </c>
      <c r="N1265" t="str">
        <f>VLOOKUP(M1265,LUTs!E$2:H$14,3,)</f>
        <v>06King</v>
      </c>
      <c r="O1265" t="str">
        <f>VLOOKUP(M1265,LUTs!E$2:H$14,4,)</f>
        <v>02South Puget Sound</v>
      </c>
      <c r="P1265" s="80">
        <v>6</v>
      </c>
      <c r="Q1265" s="103">
        <v>0</v>
      </c>
      <c r="R1265" s="74">
        <f>VLOOKUP(B1265,Readme!A$40:C$52,3,)*Q1265</f>
        <v>0</v>
      </c>
    </row>
    <row r="1266" spans="1:18" ht="12" customHeight="1" x14ac:dyDescent="0.35">
      <c r="A1266" s="75">
        <v>1329</v>
      </c>
      <c r="B1266" s="80">
        <v>2014</v>
      </c>
      <c r="C1266" s="80">
        <v>1</v>
      </c>
      <c r="D1266" s="80">
        <f t="shared" si="70"/>
        <v>2013</v>
      </c>
      <c r="E1266" t="s">
        <v>38</v>
      </c>
      <c r="F1266" t="s">
        <v>143</v>
      </c>
      <c r="G1266" t="s">
        <v>86</v>
      </c>
      <c r="H1266" s="72" t="s">
        <v>254</v>
      </c>
      <c r="I1266" s="72" t="s">
        <v>33</v>
      </c>
      <c r="J1266" t="str">
        <f t="shared" si="72"/>
        <v>Area 9: Admiralty Inlet</v>
      </c>
      <c r="K1266" t="str">
        <f>IFERROR(VLOOKUP(J1266,LUTs!$A$1:$C$73,2,FALSE),"NA")</f>
        <v>NA</v>
      </c>
      <c r="L1266" t="str">
        <f>IFERROR(VLOOKUP(J1266,LUTs!$A$1:$C$73,3,FALSE),"NA")</f>
        <v>2Central Puget Sound</v>
      </c>
      <c r="M1266" s="72" t="s">
        <v>17</v>
      </c>
      <c r="N1266" t="str">
        <f>VLOOKUP(M1266,LUTs!E$2:H$14,3,)</f>
        <v>04Island</v>
      </c>
      <c r="O1266" t="str">
        <f>VLOOKUP(M1266,LUTs!E$2:H$14,4,)</f>
        <v>01North Puget Sound</v>
      </c>
      <c r="P1266" s="80">
        <v>3.3333333333333299</v>
      </c>
      <c r="Q1266" s="103">
        <v>1.6666666666666701</v>
      </c>
      <c r="R1266" s="74">
        <f>VLOOKUP(B1266,Readme!A$40:C$52,3,)*Q1266</f>
        <v>14.233333333333361</v>
      </c>
    </row>
    <row r="1267" spans="1:18" ht="12" customHeight="1" x14ac:dyDescent="0.35">
      <c r="A1267" s="75">
        <v>1330</v>
      </c>
      <c r="B1267" s="80">
        <v>2014</v>
      </c>
      <c r="C1267" s="80">
        <v>1</v>
      </c>
      <c r="D1267" s="80">
        <f t="shared" si="70"/>
        <v>2013</v>
      </c>
      <c r="E1267" t="s">
        <v>38</v>
      </c>
      <c r="F1267" t="s">
        <v>143</v>
      </c>
      <c r="G1267" t="s">
        <v>86</v>
      </c>
      <c r="H1267" s="72" t="s">
        <v>254</v>
      </c>
      <c r="I1267" s="72" t="s">
        <v>33</v>
      </c>
      <c r="J1267" t="str">
        <f t="shared" si="72"/>
        <v>Area 9: Admiralty Inlet</v>
      </c>
      <c r="K1267" t="str">
        <f>IFERROR(VLOOKUP(J1267,LUTs!$A$1:$C$73,2,FALSE),"NA")</f>
        <v>NA</v>
      </c>
      <c r="L1267" t="str">
        <f>IFERROR(VLOOKUP(J1267,LUTs!$A$1:$C$73,3,FALSE),"NA")</f>
        <v>2Central Puget Sound</v>
      </c>
      <c r="M1267" s="72" t="s">
        <v>16</v>
      </c>
      <c r="N1267" t="str">
        <f>VLOOKUP(M1267,LUTs!E$2:H$14,3,)</f>
        <v>03Snohomish</v>
      </c>
      <c r="O1267" t="str">
        <f>VLOOKUP(M1267,LUTs!E$2:H$14,4,)</f>
        <v>01North Puget Sound</v>
      </c>
      <c r="P1267" s="80">
        <v>6.6666666666666696</v>
      </c>
      <c r="Q1267" s="103">
        <v>3.3333333333333299</v>
      </c>
      <c r="R1267" s="74">
        <f>VLOOKUP(B1267,Readme!A$40:C$52,3,)*Q1267</f>
        <v>28.466666666666633</v>
      </c>
    </row>
    <row r="1268" spans="1:18" ht="12" customHeight="1" x14ac:dyDescent="0.35">
      <c r="A1268" s="75">
        <v>1132</v>
      </c>
      <c r="B1268" s="80">
        <v>2014</v>
      </c>
      <c r="C1268" s="80">
        <v>1</v>
      </c>
      <c r="D1268" s="80">
        <f t="shared" si="70"/>
        <v>2013</v>
      </c>
      <c r="E1268" t="s">
        <v>38</v>
      </c>
      <c r="F1268" t="s">
        <v>143</v>
      </c>
      <c r="G1268" t="s">
        <v>86</v>
      </c>
      <c r="H1268" s="72" t="s">
        <v>217</v>
      </c>
      <c r="I1268" s="72" t="s">
        <v>59</v>
      </c>
      <c r="J1268" t="str">
        <f t="shared" si="72"/>
        <v>Cascade River</v>
      </c>
      <c r="K1268" t="str">
        <f>IFERROR(VLOOKUP(J1268,LUTs!$A$1:$C$73,2,FALSE),"NA")</f>
        <v>Skagit</v>
      </c>
      <c r="L1268" t="str">
        <f>IFERROR(VLOOKUP(J1268,LUTs!$A$1:$C$73,3,FALSE),"NA")</f>
        <v>1North Puget Sound</v>
      </c>
      <c r="M1268" s="72" t="s">
        <v>18</v>
      </c>
      <c r="N1268" t="str">
        <f>VLOOKUP(M1268,LUTs!E$2:H$14,3,)</f>
        <v>06King</v>
      </c>
      <c r="O1268" t="str">
        <f>VLOOKUP(M1268,LUTs!E$2:H$14,4,)</f>
        <v>02South Puget Sound</v>
      </c>
      <c r="P1268" s="80">
        <v>6.2222222222222197</v>
      </c>
      <c r="Q1268" s="103">
        <v>3.4444444444444402</v>
      </c>
      <c r="R1268" s="74">
        <f>VLOOKUP(B1268,Readme!A$40:C$52,3,)*Q1268</f>
        <v>29.415555555555517</v>
      </c>
    </row>
    <row r="1269" spans="1:18" ht="12" customHeight="1" x14ac:dyDescent="0.35">
      <c r="A1269" s="75">
        <v>1133</v>
      </c>
      <c r="B1269" s="80">
        <v>2014</v>
      </c>
      <c r="C1269" s="80">
        <v>1</v>
      </c>
      <c r="D1269" s="80">
        <f t="shared" si="70"/>
        <v>2013</v>
      </c>
      <c r="E1269" t="s">
        <v>38</v>
      </c>
      <c r="F1269" t="s">
        <v>143</v>
      </c>
      <c r="G1269" t="s">
        <v>86</v>
      </c>
      <c r="H1269" s="72" t="s">
        <v>217</v>
      </c>
      <c r="I1269" s="72" t="s">
        <v>59</v>
      </c>
      <c r="J1269" t="str">
        <f t="shared" si="72"/>
        <v>Cascade River</v>
      </c>
      <c r="K1269" t="str">
        <f>IFERROR(VLOOKUP(J1269,LUTs!$A$1:$C$73,2,FALSE),"NA")</f>
        <v>Skagit</v>
      </c>
      <c r="L1269" t="str">
        <f>IFERROR(VLOOKUP(J1269,LUTs!$A$1:$C$73,3,FALSE),"NA")</f>
        <v>1North Puget Sound</v>
      </c>
      <c r="M1269" s="72" t="s">
        <v>15</v>
      </c>
      <c r="N1269" t="str">
        <f>VLOOKUP(M1269,LUTs!E$2:H$14,3,)</f>
        <v>02Skagit</v>
      </c>
      <c r="O1269" t="str">
        <f>VLOOKUP(M1269,LUTs!E$2:H$14,4,)</f>
        <v>01North Puget Sound</v>
      </c>
      <c r="P1269" s="80">
        <v>18.6666666666667</v>
      </c>
      <c r="Q1269" s="103">
        <v>10.3333333333333</v>
      </c>
      <c r="R1269" s="74">
        <f>VLOOKUP(B1269,Readme!A$40:C$52,3,)*Q1269</f>
        <v>88.246666666666371</v>
      </c>
    </row>
    <row r="1270" spans="1:18" ht="12" customHeight="1" x14ac:dyDescent="0.35">
      <c r="A1270" s="75">
        <v>1134</v>
      </c>
      <c r="B1270" s="80">
        <v>2014</v>
      </c>
      <c r="C1270" s="80">
        <v>1</v>
      </c>
      <c r="D1270" s="80">
        <f t="shared" si="70"/>
        <v>2013</v>
      </c>
      <c r="E1270" t="s">
        <v>38</v>
      </c>
      <c r="F1270" t="s">
        <v>143</v>
      </c>
      <c r="G1270" t="s">
        <v>86</v>
      </c>
      <c r="H1270" s="72" t="s">
        <v>217</v>
      </c>
      <c r="I1270" s="72" t="s">
        <v>59</v>
      </c>
      <c r="J1270" t="str">
        <f t="shared" si="72"/>
        <v>Cascade River</v>
      </c>
      <c r="K1270" t="str">
        <f>IFERROR(VLOOKUP(J1270,LUTs!$A$1:$C$73,2,FALSE),"NA")</f>
        <v>Skagit</v>
      </c>
      <c r="L1270" t="str">
        <f>IFERROR(VLOOKUP(J1270,LUTs!$A$1:$C$73,3,FALSE),"NA")</f>
        <v>1North Puget Sound</v>
      </c>
      <c r="M1270" s="72" t="s">
        <v>16</v>
      </c>
      <c r="N1270" t="str">
        <f>VLOOKUP(M1270,LUTs!E$2:H$14,3,)</f>
        <v>03Snohomish</v>
      </c>
      <c r="O1270" t="str">
        <f>VLOOKUP(M1270,LUTs!E$2:H$14,4,)</f>
        <v>01North Puget Sound</v>
      </c>
      <c r="P1270" s="80">
        <v>6.2222222222222197</v>
      </c>
      <c r="Q1270" s="103">
        <v>3.4444444444444402</v>
      </c>
      <c r="R1270" s="74">
        <f>VLOOKUP(B1270,Readme!A$40:C$52,3,)*Q1270</f>
        <v>29.415555555555517</v>
      </c>
    </row>
    <row r="1271" spans="1:18" ht="12" customHeight="1" x14ac:dyDescent="0.35">
      <c r="A1271" s="75">
        <v>1135</v>
      </c>
      <c r="B1271" s="80">
        <v>2014</v>
      </c>
      <c r="C1271" s="80">
        <v>1</v>
      </c>
      <c r="D1271" s="80">
        <f t="shared" si="70"/>
        <v>2013</v>
      </c>
      <c r="E1271" t="s">
        <v>38</v>
      </c>
      <c r="F1271" t="s">
        <v>143</v>
      </c>
      <c r="G1271" t="s">
        <v>86</v>
      </c>
      <c r="H1271" s="72" t="s">
        <v>217</v>
      </c>
      <c r="I1271" s="72" t="s">
        <v>59</v>
      </c>
      <c r="J1271" t="str">
        <f t="shared" si="72"/>
        <v>Cascade River</v>
      </c>
      <c r="K1271" t="str">
        <f>IFERROR(VLOOKUP(J1271,LUTs!$A$1:$C$73,2,FALSE),"NA")</f>
        <v>Skagit</v>
      </c>
      <c r="L1271" t="str">
        <f>IFERROR(VLOOKUP(J1271,LUTs!$A$1:$C$73,3,FALSE),"NA")</f>
        <v>1North Puget Sound</v>
      </c>
      <c r="M1271" s="72" t="s">
        <v>13</v>
      </c>
      <c r="N1271" t="str">
        <f>VLOOKUP(M1271,LUTs!E$2:H$14,3,)</f>
        <v>01Whatcom</v>
      </c>
      <c r="O1271" t="str">
        <f>VLOOKUP(M1271,LUTs!E$2:H$14,4,)</f>
        <v>01North Puget Sound</v>
      </c>
      <c r="P1271" s="80">
        <v>24.8888888888889</v>
      </c>
      <c r="Q1271" s="103">
        <v>13.7777777777778</v>
      </c>
      <c r="R1271" s="74">
        <f>VLOOKUP(B1271,Readme!A$40:C$52,3,)*Q1271</f>
        <v>117.6622222222224</v>
      </c>
    </row>
    <row r="1272" spans="1:18" ht="12" customHeight="1" x14ac:dyDescent="0.35">
      <c r="A1272" s="75">
        <v>1048</v>
      </c>
      <c r="B1272" s="80">
        <v>2014</v>
      </c>
      <c r="C1272" s="80">
        <v>1</v>
      </c>
      <c r="D1272" s="80">
        <f t="shared" si="70"/>
        <v>2013</v>
      </c>
      <c r="E1272" t="s">
        <v>38</v>
      </c>
      <c r="F1272" t="s">
        <v>143</v>
      </c>
      <c r="G1272" t="s">
        <v>86</v>
      </c>
      <c r="H1272" s="72" t="s">
        <v>234</v>
      </c>
      <c r="I1272" s="72" t="s">
        <v>87</v>
      </c>
      <c r="J1272" t="str">
        <f t="shared" si="72"/>
        <v>Clallam River</v>
      </c>
      <c r="K1272" t="str">
        <f>IFERROR(VLOOKUP(J1272,LUTs!$A$1:$C$73,2,FALSE),"NA")</f>
        <v>Clallam</v>
      </c>
      <c r="L1272" t="str">
        <f>IFERROR(VLOOKUP(J1272,LUTs!$A$1:$C$73,3,FALSE),"NA")</f>
        <v>0Strait of Juan de Fuca</v>
      </c>
      <c r="M1272" s="72" t="s">
        <v>24</v>
      </c>
      <c r="N1272" t="str">
        <f>VLOOKUP(M1272,LUTs!E$2:H$14,3,)</f>
        <v>11Clallam</v>
      </c>
      <c r="O1272" t="str">
        <f>VLOOKUP(M1272,LUTs!E$2:H$14,4,)</f>
        <v>03Strait of Juan de Fuca</v>
      </c>
      <c r="P1272" s="80">
        <v>6</v>
      </c>
      <c r="Q1272" s="103">
        <v>3</v>
      </c>
      <c r="R1272" s="74">
        <f>VLOOKUP(B1272,Readme!A$40:C$52,3,)*Q1272</f>
        <v>25.619999999999997</v>
      </c>
    </row>
    <row r="1273" spans="1:18" ht="12" customHeight="1" x14ac:dyDescent="0.35">
      <c r="A1273" s="75">
        <v>1054</v>
      </c>
      <c r="B1273" s="80">
        <v>2014</v>
      </c>
      <c r="C1273" s="80">
        <v>1</v>
      </c>
      <c r="D1273" s="80">
        <f t="shared" si="70"/>
        <v>2013</v>
      </c>
      <c r="E1273" t="s">
        <v>38</v>
      </c>
      <c r="F1273" t="s">
        <v>143</v>
      </c>
      <c r="G1273" t="s">
        <v>86</v>
      </c>
      <c r="H1273" s="72" t="s">
        <v>201</v>
      </c>
      <c r="I1273" s="72" t="s">
        <v>43</v>
      </c>
      <c r="J1273" t="str">
        <f t="shared" si="72"/>
        <v>Dungeness River</v>
      </c>
      <c r="K1273" t="str">
        <f>IFERROR(VLOOKUP(J1273,LUTs!$A$1:$C$73,2,FALSE),"NA")</f>
        <v>Clallam</v>
      </c>
      <c r="L1273" t="str">
        <f>IFERROR(VLOOKUP(J1273,LUTs!$A$1:$C$73,3,FALSE),"NA")</f>
        <v>0Strait of Juan de Fuca</v>
      </c>
      <c r="M1273" s="72" t="s">
        <v>24</v>
      </c>
      <c r="N1273" t="str">
        <f>VLOOKUP(M1273,LUTs!E$2:H$14,3,)</f>
        <v>11Clallam</v>
      </c>
      <c r="O1273" t="str">
        <f>VLOOKUP(M1273,LUTs!E$2:H$14,4,)</f>
        <v>03Strait of Juan de Fuca</v>
      </c>
      <c r="P1273" s="80">
        <v>117.454545454545</v>
      </c>
      <c r="Q1273" s="103">
        <v>58.727272727272698</v>
      </c>
      <c r="R1273" s="74">
        <f>VLOOKUP(B1273,Readme!A$40:C$52,3,)*Q1273</f>
        <v>501.53090909090878</v>
      </c>
    </row>
    <row r="1274" spans="1:18" ht="12" customHeight="1" x14ac:dyDescent="0.35">
      <c r="A1274" s="75">
        <v>1055</v>
      </c>
      <c r="B1274" s="80">
        <v>2014</v>
      </c>
      <c r="C1274" s="80">
        <v>1</v>
      </c>
      <c r="D1274" s="80">
        <f t="shared" si="70"/>
        <v>2013</v>
      </c>
      <c r="E1274" t="s">
        <v>38</v>
      </c>
      <c r="F1274" t="s">
        <v>143</v>
      </c>
      <c r="G1274" t="s">
        <v>86</v>
      </c>
      <c r="H1274" s="72" t="s">
        <v>201</v>
      </c>
      <c r="I1274" s="72" t="s">
        <v>43</v>
      </c>
      <c r="J1274" t="str">
        <f t="shared" si="72"/>
        <v>Dungeness River</v>
      </c>
      <c r="K1274" t="str">
        <f>IFERROR(VLOOKUP(J1274,LUTs!$A$1:$C$73,2,FALSE),"NA")</f>
        <v>Clallam</v>
      </c>
      <c r="L1274" t="str">
        <f>IFERROR(VLOOKUP(J1274,LUTs!$A$1:$C$73,3,FALSE),"NA")</f>
        <v>0Strait of Juan de Fuca</v>
      </c>
      <c r="M1274" s="72" t="s">
        <v>25</v>
      </c>
      <c r="N1274" t="str">
        <f>VLOOKUP(M1274,LUTs!E$2:H$14,3,)</f>
        <v>12Jefferson</v>
      </c>
      <c r="O1274" t="str">
        <f>VLOOKUP(M1274,LUTs!E$2:H$14,4,)</f>
        <v>03Strait of Juan de Fuca</v>
      </c>
      <c r="P1274" s="80">
        <v>6.9090909090909101</v>
      </c>
      <c r="Q1274" s="103">
        <v>3.4545454545454599</v>
      </c>
      <c r="R1274" s="74">
        <f>VLOOKUP(B1274,Readme!A$40:C$52,3,)*Q1274</f>
        <v>29.501818181818226</v>
      </c>
    </row>
    <row r="1275" spans="1:18" ht="12" customHeight="1" x14ac:dyDescent="0.35">
      <c r="A1275" s="75">
        <v>1056</v>
      </c>
      <c r="B1275" s="80">
        <v>2014</v>
      </c>
      <c r="C1275" s="80">
        <v>1</v>
      </c>
      <c r="D1275" s="80">
        <f t="shared" si="70"/>
        <v>2013</v>
      </c>
      <c r="E1275" t="s">
        <v>38</v>
      </c>
      <c r="F1275" t="s">
        <v>143</v>
      </c>
      <c r="G1275" t="s">
        <v>86</v>
      </c>
      <c r="H1275" s="72" t="s">
        <v>201</v>
      </c>
      <c r="I1275" s="72" t="s">
        <v>43</v>
      </c>
      <c r="J1275" t="str">
        <f t="shared" si="72"/>
        <v>Dungeness River</v>
      </c>
      <c r="K1275" t="str">
        <f>IFERROR(VLOOKUP(J1275,LUTs!$A$1:$C$73,2,FALSE),"NA")</f>
        <v>Clallam</v>
      </c>
      <c r="L1275" t="str">
        <f>IFERROR(VLOOKUP(J1275,LUTs!$A$1:$C$73,3,FALSE),"NA")</f>
        <v>0Strait of Juan de Fuca</v>
      </c>
      <c r="M1275" s="72" t="s">
        <v>23</v>
      </c>
      <c r="N1275" t="str">
        <f>VLOOKUP(M1275,LUTs!E$2:H$14,3,)</f>
        <v>10Kitsap</v>
      </c>
      <c r="O1275" t="str">
        <f>VLOOKUP(M1275,LUTs!E$2:H$14,4,)</f>
        <v>02South Puget Sound</v>
      </c>
      <c r="P1275" s="80">
        <v>6.9090909090909101</v>
      </c>
      <c r="Q1275" s="103">
        <v>3.4545454545454599</v>
      </c>
      <c r="R1275" s="74">
        <f>VLOOKUP(B1275,Readme!A$40:C$52,3,)*Q1275</f>
        <v>29.501818181818226</v>
      </c>
    </row>
    <row r="1276" spans="1:18" ht="12" customHeight="1" x14ac:dyDescent="0.35">
      <c r="A1276" s="75">
        <v>1057</v>
      </c>
      <c r="B1276" s="80">
        <v>2014</v>
      </c>
      <c r="C1276" s="80">
        <v>1</v>
      </c>
      <c r="D1276" s="80">
        <f t="shared" si="70"/>
        <v>2013</v>
      </c>
      <c r="E1276" t="s">
        <v>38</v>
      </c>
      <c r="F1276" t="s">
        <v>143</v>
      </c>
      <c r="G1276" t="s">
        <v>86</v>
      </c>
      <c r="H1276" s="72" t="s">
        <v>201</v>
      </c>
      <c r="I1276" s="72" t="s">
        <v>43</v>
      </c>
      <c r="J1276" t="str">
        <f t="shared" si="72"/>
        <v>Dungeness River</v>
      </c>
      <c r="K1276" t="str">
        <f>IFERROR(VLOOKUP(J1276,LUTs!$A$1:$C$73,2,FALSE),"NA")</f>
        <v>Clallam</v>
      </c>
      <c r="L1276" t="str">
        <f>IFERROR(VLOOKUP(J1276,LUTs!$A$1:$C$73,3,FALSE),"NA")</f>
        <v>0Strait of Juan de Fuca</v>
      </c>
      <c r="M1276" s="72" t="s">
        <v>26</v>
      </c>
      <c r="N1276" t="str">
        <f>VLOOKUP(M1276,LUTs!E$2:H$14,3,)</f>
        <v>20Other</v>
      </c>
      <c r="O1276" t="str">
        <f>VLOOKUP(M1276,LUTs!E$2:H$14,4,)</f>
        <v>07Non Puget Sound</v>
      </c>
      <c r="P1276" s="80">
        <v>20.727272727272702</v>
      </c>
      <c r="Q1276" s="103">
        <v>10.363636363636401</v>
      </c>
      <c r="R1276" s="74">
        <f>VLOOKUP(B1276,Readme!A$40:C$52,3,)*Q1276</f>
        <v>88.505454545454853</v>
      </c>
    </row>
    <row r="1277" spans="1:18" ht="12" customHeight="1" x14ac:dyDescent="0.35">
      <c r="A1277" s="75">
        <v>1076</v>
      </c>
      <c r="B1277" s="80">
        <v>2014</v>
      </c>
      <c r="C1277" s="80">
        <v>1</v>
      </c>
      <c r="D1277" s="80">
        <f t="shared" si="70"/>
        <v>2013</v>
      </c>
      <c r="E1277" t="s">
        <v>38</v>
      </c>
      <c r="F1277" t="s">
        <v>143</v>
      </c>
      <c r="G1277" t="s">
        <v>86</v>
      </c>
      <c r="H1277" s="72" t="s">
        <v>203</v>
      </c>
      <c r="I1277" s="72" t="s">
        <v>89</v>
      </c>
      <c r="J1277" s="84" t="s">
        <v>45</v>
      </c>
      <c r="K1277" t="str">
        <f>IFERROR(VLOOKUP(J1277,LUTs!$A$1:$C$73,2,FALSE),"NA")</f>
        <v>King</v>
      </c>
      <c r="L1277" t="str">
        <f>IFERROR(VLOOKUP(J1277,LUTs!$A$1:$C$73,3,FALSE),"NA")</f>
        <v>3South Puget Sound</v>
      </c>
      <c r="M1277" s="72" t="s">
        <v>18</v>
      </c>
      <c r="N1277" t="str">
        <f>VLOOKUP(M1277,LUTs!E$2:H$14,3,)</f>
        <v>06King</v>
      </c>
      <c r="O1277" t="str">
        <f>VLOOKUP(M1277,LUTs!E$2:H$14,4,)</f>
        <v>02South Puget Sound</v>
      </c>
      <c r="P1277" s="80">
        <v>29.8571428571429</v>
      </c>
      <c r="Q1277" s="103">
        <v>14.9285714285714</v>
      </c>
      <c r="R1277" s="74">
        <f>VLOOKUP(B1277,Readme!A$40:C$52,3,)*Q1277</f>
        <v>127.48999999999975</v>
      </c>
    </row>
    <row r="1278" spans="1:18" ht="12" customHeight="1" x14ac:dyDescent="0.35">
      <c r="A1278" s="75">
        <v>1077</v>
      </c>
      <c r="B1278" s="80">
        <v>2014</v>
      </c>
      <c r="C1278" s="80">
        <v>1</v>
      </c>
      <c r="D1278" s="80">
        <f t="shared" si="70"/>
        <v>2013</v>
      </c>
      <c r="E1278" t="s">
        <v>38</v>
      </c>
      <c r="F1278" t="s">
        <v>143</v>
      </c>
      <c r="G1278" t="s">
        <v>86</v>
      </c>
      <c r="H1278" s="72" t="s">
        <v>203</v>
      </c>
      <c r="I1278" s="72" t="s">
        <v>89</v>
      </c>
      <c r="J1278" s="84" t="s">
        <v>45</v>
      </c>
      <c r="K1278" t="str">
        <f>IFERROR(VLOOKUP(J1278,LUTs!$A$1:$C$73,2,FALSE),"NA")</f>
        <v>King</v>
      </c>
      <c r="L1278" t="str">
        <f>IFERROR(VLOOKUP(J1278,LUTs!$A$1:$C$73,3,FALSE),"NA")</f>
        <v>3South Puget Sound</v>
      </c>
      <c r="M1278" s="72" t="s">
        <v>20</v>
      </c>
      <c r="N1278" t="str">
        <f>VLOOKUP(M1278,LUTs!E$2:H$14,3,)</f>
        <v>07Pierce</v>
      </c>
      <c r="O1278" t="str">
        <f>VLOOKUP(M1278,LUTs!E$2:H$14,4,)</f>
        <v>02South Puget Sound</v>
      </c>
      <c r="P1278" s="80">
        <v>8.1428571428571406</v>
      </c>
      <c r="Q1278" s="103">
        <v>4.0714285714285703</v>
      </c>
      <c r="R1278" s="74">
        <f>VLOOKUP(B1278,Readme!A$40:C$52,3,)*Q1278</f>
        <v>34.769999999999989</v>
      </c>
    </row>
    <row r="1279" spans="1:18" ht="12" customHeight="1" x14ac:dyDescent="0.35">
      <c r="A1279" s="75">
        <v>1086</v>
      </c>
      <c r="B1279" s="80">
        <v>2014</v>
      </c>
      <c r="C1279" s="80">
        <v>1</v>
      </c>
      <c r="D1279" s="80">
        <f t="shared" si="70"/>
        <v>2013</v>
      </c>
      <c r="E1279" t="s">
        <v>38</v>
      </c>
      <c r="F1279" t="s">
        <v>143</v>
      </c>
      <c r="G1279" t="s">
        <v>86</v>
      </c>
      <c r="H1279" s="72" t="s">
        <v>204</v>
      </c>
      <c r="I1279" s="72" t="s">
        <v>46</v>
      </c>
      <c r="J1279" t="str">
        <f t="shared" ref="J1279:J1310" si="73">I1279</f>
        <v>Hoko River</v>
      </c>
      <c r="K1279" t="str">
        <f>IFERROR(VLOOKUP(J1279,LUTs!$A$1:$C$73,2,FALSE),"NA")</f>
        <v>Clallam</v>
      </c>
      <c r="L1279" t="str">
        <f>IFERROR(VLOOKUP(J1279,LUTs!$A$1:$C$73,3,FALSE),"NA")</f>
        <v>0Strait of Juan de Fuca</v>
      </c>
      <c r="M1279" s="72" t="s">
        <v>24</v>
      </c>
      <c r="N1279" t="str">
        <f>VLOOKUP(M1279,LUTs!E$2:H$14,3,)</f>
        <v>11Clallam</v>
      </c>
      <c r="O1279" t="str">
        <f>VLOOKUP(M1279,LUTs!E$2:H$14,4,)</f>
        <v>03Strait of Juan de Fuca</v>
      </c>
      <c r="P1279" s="80">
        <v>7</v>
      </c>
      <c r="Q1279" s="103">
        <v>3.5</v>
      </c>
      <c r="R1279" s="74">
        <f>VLOOKUP(B1279,Readme!A$40:C$52,3,)*Q1279</f>
        <v>29.889999999999997</v>
      </c>
    </row>
    <row r="1280" spans="1:18" ht="12" customHeight="1" x14ac:dyDescent="0.35">
      <c r="A1280" s="75">
        <v>1087</v>
      </c>
      <c r="B1280" s="80">
        <v>2014</v>
      </c>
      <c r="C1280" s="80">
        <v>1</v>
      </c>
      <c r="D1280" s="80">
        <f t="shared" si="70"/>
        <v>2013</v>
      </c>
      <c r="E1280" t="s">
        <v>38</v>
      </c>
      <c r="F1280" t="s">
        <v>143</v>
      </c>
      <c r="G1280" t="s">
        <v>86</v>
      </c>
      <c r="H1280" s="72" t="s">
        <v>204</v>
      </c>
      <c r="I1280" s="72" t="s">
        <v>46</v>
      </c>
      <c r="J1280" t="str">
        <f t="shared" si="73"/>
        <v>Hoko River</v>
      </c>
      <c r="K1280" t="str">
        <f>IFERROR(VLOOKUP(J1280,LUTs!$A$1:$C$73,2,FALSE),"NA")</f>
        <v>Clallam</v>
      </c>
      <c r="L1280" t="str">
        <f>IFERROR(VLOOKUP(J1280,LUTs!$A$1:$C$73,3,FALSE),"NA")</f>
        <v>0Strait of Juan de Fuca</v>
      </c>
      <c r="M1280" s="72" t="s">
        <v>20</v>
      </c>
      <c r="N1280" t="str">
        <f>VLOOKUP(M1280,LUTs!E$2:H$14,3,)</f>
        <v>07Pierce</v>
      </c>
      <c r="O1280" t="str">
        <f>VLOOKUP(M1280,LUTs!E$2:H$14,4,)</f>
        <v>02South Puget Sound</v>
      </c>
      <c r="P1280" s="80">
        <v>7</v>
      </c>
      <c r="Q1280" s="103">
        <v>3.5</v>
      </c>
      <c r="R1280" s="74">
        <f>VLOOKUP(B1280,Readme!A$40:C$52,3,)*Q1280</f>
        <v>29.889999999999997</v>
      </c>
    </row>
    <row r="1281" spans="1:18" ht="12" customHeight="1" x14ac:dyDescent="0.35">
      <c r="A1281" s="75">
        <v>1091</v>
      </c>
      <c r="B1281" s="80">
        <v>2014</v>
      </c>
      <c r="C1281" s="80">
        <v>1</v>
      </c>
      <c r="D1281" s="80">
        <f t="shared" si="70"/>
        <v>2013</v>
      </c>
      <c r="E1281" t="s">
        <v>38</v>
      </c>
      <c r="F1281" t="s">
        <v>143</v>
      </c>
      <c r="G1281" t="s">
        <v>86</v>
      </c>
      <c r="H1281" s="72" t="s">
        <v>237</v>
      </c>
      <c r="I1281" s="72" t="s">
        <v>79</v>
      </c>
      <c r="J1281" t="str">
        <f t="shared" si="73"/>
        <v>Lyre River</v>
      </c>
      <c r="K1281" t="str">
        <f>IFERROR(VLOOKUP(J1281,LUTs!$A$1:$C$73,2,FALSE),"NA")</f>
        <v>Clallam</v>
      </c>
      <c r="L1281" t="str">
        <f>IFERROR(VLOOKUP(J1281,LUTs!$A$1:$C$73,3,FALSE),"NA")</f>
        <v>0Strait of Juan de Fuca</v>
      </c>
      <c r="M1281" s="72" t="s">
        <v>24</v>
      </c>
      <c r="N1281" t="str">
        <f>VLOOKUP(M1281,LUTs!E$2:H$14,3,)</f>
        <v>11Clallam</v>
      </c>
      <c r="O1281" t="str">
        <f>VLOOKUP(M1281,LUTs!E$2:H$14,4,)</f>
        <v>03Strait of Juan de Fuca</v>
      </c>
      <c r="P1281" s="80">
        <v>14</v>
      </c>
      <c r="Q1281" s="103">
        <v>7</v>
      </c>
      <c r="R1281" s="74">
        <f>VLOOKUP(B1281,Readme!A$40:C$52,3,)*Q1281</f>
        <v>59.779999999999994</v>
      </c>
    </row>
    <row r="1282" spans="1:18" ht="12" customHeight="1" x14ac:dyDescent="0.35">
      <c r="A1282" s="75">
        <v>1093</v>
      </c>
      <c r="B1282" s="80">
        <v>2014</v>
      </c>
      <c r="C1282" s="80">
        <v>1</v>
      </c>
      <c r="D1282" s="80">
        <f t="shared" ref="D1282:D1345" si="74">IF(C1282&gt;3,B1282,B1282-1)</f>
        <v>2013</v>
      </c>
      <c r="E1282" t="s">
        <v>38</v>
      </c>
      <c r="F1282" t="s">
        <v>143</v>
      </c>
      <c r="G1282" t="s">
        <v>86</v>
      </c>
      <c r="H1282" s="72" t="s">
        <v>238</v>
      </c>
      <c r="I1282" s="72" t="s">
        <v>91</v>
      </c>
      <c r="J1282" t="str">
        <f t="shared" si="73"/>
        <v>Morse Creek (Clallam Co.)</v>
      </c>
      <c r="K1282" t="str">
        <f>IFERROR(VLOOKUP(J1282,LUTs!$A$1:$C$73,2,FALSE),"NA")</f>
        <v>Clallam</v>
      </c>
      <c r="L1282" t="str">
        <f>IFERROR(VLOOKUP(J1282,LUTs!$A$1:$C$73,3,FALSE),"NA")</f>
        <v>0Strait of Juan de Fuca</v>
      </c>
      <c r="M1282" s="72" t="s">
        <v>24</v>
      </c>
      <c r="N1282" t="str">
        <f>VLOOKUP(M1282,LUTs!E$2:H$14,3,)</f>
        <v>11Clallam</v>
      </c>
      <c r="O1282" t="str">
        <f>VLOOKUP(M1282,LUTs!E$2:H$14,4,)</f>
        <v>03Strait of Juan de Fuca</v>
      </c>
      <c r="P1282" s="80">
        <v>6</v>
      </c>
      <c r="Q1282" s="103">
        <v>3</v>
      </c>
      <c r="R1282" s="74">
        <f>VLOOKUP(B1282,Readme!A$40:C$52,3,)*Q1282</f>
        <v>25.619999999999997</v>
      </c>
    </row>
    <row r="1283" spans="1:18" ht="12" customHeight="1" x14ac:dyDescent="0.35">
      <c r="A1283" s="75">
        <v>1102</v>
      </c>
      <c r="B1283" s="80">
        <v>2014</v>
      </c>
      <c r="C1283" s="80">
        <v>1</v>
      </c>
      <c r="D1283" s="80">
        <f t="shared" si="74"/>
        <v>2013</v>
      </c>
      <c r="E1283" t="s">
        <v>38</v>
      </c>
      <c r="F1283" t="s">
        <v>143</v>
      </c>
      <c r="G1283" t="s">
        <v>86</v>
      </c>
      <c r="H1283" s="72" t="s">
        <v>241</v>
      </c>
      <c r="I1283" s="72" t="s">
        <v>83</v>
      </c>
      <c r="J1283" t="str">
        <f t="shared" si="73"/>
        <v>Nooksack River, below North Fork</v>
      </c>
      <c r="K1283" t="str">
        <f>IFERROR(VLOOKUP(J1283,LUTs!$A$1:$C$73,2,FALSE),"NA")</f>
        <v>Whatcom</v>
      </c>
      <c r="L1283" t="str">
        <f>IFERROR(VLOOKUP(J1283,LUTs!$A$1:$C$73,3,FALSE),"NA")</f>
        <v>1North Puget Sound</v>
      </c>
      <c r="M1283" s="72" t="s">
        <v>13</v>
      </c>
      <c r="N1283" t="str">
        <f>VLOOKUP(M1283,LUTs!E$2:H$14,3,)</f>
        <v>01Whatcom</v>
      </c>
      <c r="O1283" t="str">
        <f>VLOOKUP(M1283,LUTs!E$2:H$14,4,)</f>
        <v>01North Puget Sound</v>
      </c>
      <c r="P1283" s="80">
        <v>42</v>
      </c>
      <c r="Q1283" s="103">
        <v>21</v>
      </c>
      <c r="R1283" s="74">
        <f>VLOOKUP(B1283,Readme!A$40:C$52,3,)*Q1283</f>
        <v>179.33999999999997</v>
      </c>
    </row>
    <row r="1284" spans="1:18" ht="12" customHeight="1" x14ac:dyDescent="0.35">
      <c r="A1284" s="75">
        <v>1099</v>
      </c>
      <c r="B1284" s="80">
        <v>2014</v>
      </c>
      <c r="C1284" s="80">
        <v>1</v>
      </c>
      <c r="D1284" s="80">
        <f t="shared" si="74"/>
        <v>2013</v>
      </c>
      <c r="E1284" t="s">
        <v>38</v>
      </c>
      <c r="F1284" t="s">
        <v>143</v>
      </c>
      <c r="G1284" t="s">
        <v>86</v>
      </c>
      <c r="H1284" s="72" t="s">
        <v>239</v>
      </c>
      <c r="I1284" s="72" t="s">
        <v>92</v>
      </c>
      <c r="J1284" t="str">
        <f t="shared" si="73"/>
        <v>Nooksack River, No. Fork</v>
      </c>
      <c r="K1284" t="str">
        <f>IFERROR(VLOOKUP(J1284,LUTs!$A$1:$C$73,2,FALSE),"NA")</f>
        <v>Whatcom</v>
      </c>
      <c r="L1284" t="str">
        <f>IFERROR(VLOOKUP(J1284,LUTs!$A$1:$C$73,3,FALSE),"NA")</f>
        <v>1North Puget Sound</v>
      </c>
      <c r="M1284" s="72" t="s">
        <v>13</v>
      </c>
      <c r="N1284" t="str">
        <f>VLOOKUP(M1284,LUTs!E$2:H$14,3,)</f>
        <v>01Whatcom</v>
      </c>
      <c r="O1284" t="str">
        <f>VLOOKUP(M1284,LUTs!E$2:H$14,4,)</f>
        <v>01North Puget Sound</v>
      </c>
      <c r="P1284" s="80">
        <v>62</v>
      </c>
      <c r="Q1284" s="103">
        <v>31</v>
      </c>
      <c r="R1284" s="74">
        <f>VLOOKUP(B1284,Readme!A$40:C$52,3,)*Q1284</f>
        <v>264.73999999999995</v>
      </c>
    </row>
    <row r="1285" spans="1:18" ht="12" customHeight="1" x14ac:dyDescent="0.35">
      <c r="A1285" s="75">
        <v>1108</v>
      </c>
      <c r="B1285" s="80">
        <v>2014</v>
      </c>
      <c r="C1285" s="80">
        <v>1</v>
      </c>
      <c r="D1285" s="80">
        <f t="shared" si="74"/>
        <v>2013</v>
      </c>
      <c r="E1285" t="s">
        <v>38</v>
      </c>
      <c r="F1285" t="s">
        <v>143</v>
      </c>
      <c r="G1285" t="s">
        <v>86</v>
      </c>
      <c r="H1285" s="72" t="s">
        <v>212</v>
      </c>
      <c r="I1285" s="72" t="s">
        <v>54</v>
      </c>
      <c r="J1285" t="str">
        <f t="shared" si="73"/>
        <v>Puyallup River</v>
      </c>
      <c r="K1285" t="str">
        <f>IFERROR(VLOOKUP(J1285,LUTs!$A$1:$C$73,2,FALSE),"NA")</f>
        <v>Pierce</v>
      </c>
      <c r="L1285" t="str">
        <f>IFERROR(VLOOKUP(J1285,LUTs!$A$1:$C$73,3,FALSE),"NA")</f>
        <v>3South Puget Sound</v>
      </c>
      <c r="M1285" s="72" t="s">
        <v>18</v>
      </c>
      <c r="N1285" t="str">
        <f>VLOOKUP(M1285,LUTs!E$2:H$14,3,)</f>
        <v>06King</v>
      </c>
      <c r="O1285" t="str">
        <f>VLOOKUP(M1285,LUTs!E$2:H$14,4,)</f>
        <v>02South Puget Sound</v>
      </c>
      <c r="P1285" s="80">
        <v>11</v>
      </c>
      <c r="Q1285" s="103">
        <v>2.5</v>
      </c>
      <c r="R1285" s="74">
        <f>VLOOKUP(B1285,Readme!A$40:C$52,3,)*Q1285</f>
        <v>21.349999999999998</v>
      </c>
    </row>
    <row r="1286" spans="1:18" ht="12" customHeight="1" x14ac:dyDescent="0.35">
      <c r="A1286" s="75">
        <v>1109</v>
      </c>
      <c r="B1286" s="80">
        <v>2014</v>
      </c>
      <c r="C1286" s="80">
        <v>1</v>
      </c>
      <c r="D1286" s="80">
        <f t="shared" si="74"/>
        <v>2013</v>
      </c>
      <c r="E1286" t="s">
        <v>38</v>
      </c>
      <c r="F1286" t="s">
        <v>143</v>
      </c>
      <c r="G1286" t="s">
        <v>86</v>
      </c>
      <c r="H1286" s="72" t="s">
        <v>212</v>
      </c>
      <c r="I1286" s="72" t="s">
        <v>54</v>
      </c>
      <c r="J1286" t="str">
        <f t="shared" si="73"/>
        <v>Puyallup River</v>
      </c>
      <c r="K1286" t="str">
        <f>IFERROR(VLOOKUP(J1286,LUTs!$A$1:$C$73,2,FALSE),"NA")</f>
        <v>Pierce</v>
      </c>
      <c r="L1286" t="str">
        <f>IFERROR(VLOOKUP(J1286,LUTs!$A$1:$C$73,3,FALSE),"NA")</f>
        <v>3South Puget Sound</v>
      </c>
      <c r="M1286" s="72" t="s">
        <v>20</v>
      </c>
      <c r="N1286" t="str">
        <f>VLOOKUP(M1286,LUTs!E$2:H$14,3,)</f>
        <v>07Pierce</v>
      </c>
      <c r="O1286" t="str">
        <f>VLOOKUP(M1286,LUTs!E$2:H$14,4,)</f>
        <v>02South Puget Sound</v>
      </c>
      <c r="P1286" s="80">
        <v>11</v>
      </c>
      <c r="Q1286" s="103">
        <v>2.5</v>
      </c>
      <c r="R1286" s="74">
        <f>VLOOKUP(B1286,Readme!A$40:C$52,3,)*Q1286</f>
        <v>21.349999999999998</v>
      </c>
    </row>
    <row r="1287" spans="1:18" ht="12" customHeight="1" x14ac:dyDescent="0.35">
      <c r="A1287" s="75">
        <v>1115</v>
      </c>
      <c r="B1287" s="80">
        <v>2014</v>
      </c>
      <c r="C1287" s="80">
        <v>1</v>
      </c>
      <c r="D1287" s="80">
        <f t="shared" si="74"/>
        <v>2013</v>
      </c>
      <c r="E1287" t="s">
        <v>38</v>
      </c>
      <c r="F1287" t="s">
        <v>143</v>
      </c>
      <c r="G1287" t="s">
        <v>86</v>
      </c>
      <c r="H1287" s="72" t="s">
        <v>214</v>
      </c>
      <c r="I1287" s="72" t="s">
        <v>56</v>
      </c>
      <c r="J1287" t="str">
        <f t="shared" si="73"/>
        <v>Samish River</v>
      </c>
      <c r="K1287" t="str">
        <f>IFERROR(VLOOKUP(J1287,LUTs!$A$1:$C$73,2,FALSE),"NA")</f>
        <v>Skagit</v>
      </c>
      <c r="L1287" t="str">
        <f>IFERROR(VLOOKUP(J1287,LUTs!$A$1:$C$73,3,FALSE),"NA")</f>
        <v>1North Puget Sound</v>
      </c>
      <c r="M1287" s="72" t="s">
        <v>15</v>
      </c>
      <c r="N1287" t="str">
        <f>VLOOKUP(M1287,LUTs!E$2:H$14,3,)</f>
        <v>02Skagit</v>
      </c>
      <c r="O1287" t="str">
        <f>VLOOKUP(M1287,LUTs!E$2:H$14,4,)</f>
        <v>01North Puget Sound</v>
      </c>
      <c r="P1287" s="80">
        <v>6</v>
      </c>
      <c r="Q1287" s="103">
        <v>0</v>
      </c>
      <c r="R1287" s="74">
        <f>VLOOKUP(B1287,Readme!A$40:C$52,3,)*Q1287</f>
        <v>0</v>
      </c>
    </row>
    <row r="1288" spans="1:18" ht="12" customHeight="1" x14ac:dyDescent="0.35">
      <c r="A1288" s="75">
        <v>1116</v>
      </c>
      <c r="B1288" s="80">
        <v>2014</v>
      </c>
      <c r="C1288" s="80">
        <v>1</v>
      </c>
      <c r="D1288" s="80">
        <f t="shared" si="74"/>
        <v>2013</v>
      </c>
      <c r="E1288" t="s">
        <v>38</v>
      </c>
      <c r="F1288" t="s">
        <v>143</v>
      </c>
      <c r="G1288" t="s">
        <v>86</v>
      </c>
      <c r="H1288" s="72" t="s">
        <v>244</v>
      </c>
      <c r="I1288" s="72" t="s">
        <v>95</v>
      </c>
      <c r="J1288" t="str">
        <f t="shared" si="73"/>
        <v>Sekiu River</v>
      </c>
      <c r="K1288" t="str">
        <f>IFERROR(VLOOKUP(J1288,LUTs!$A$1:$C$73,2,FALSE),"NA")</f>
        <v>Clallam</v>
      </c>
      <c r="L1288" t="str">
        <f>IFERROR(VLOOKUP(J1288,LUTs!$A$1:$C$73,3,FALSE),"NA")</f>
        <v>0Strait of Juan de Fuca</v>
      </c>
      <c r="M1288" s="72" t="s">
        <v>24</v>
      </c>
      <c r="N1288" t="str">
        <f>VLOOKUP(M1288,LUTs!E$2:H$14,3,)</f>
        <v>11Clallam</v>
      </c>
      <c r="O1288" t="str">
        <f>VLOOKUP(M1288,LUTs!E$2:H$14,4,)</f>
        <v>03Strait of Juan de Fuca</v>
      </c>
      <c r="P1288" s="80">
        <v>7</v>
      </c>
      <c r="Q1288" s="103">
        <v>3.5</v>
      </c>
      <c r="R1288" s="74">
        <f>VLOOKUP(B1288,Readme!A$40:C$52,3,)*Q1288</f>
        <v>29.889999999999997</v>
      </c>
    </row>
    <row r="1289" spans="1:18" ht="12" customHeight="1" x14ac:dyDescent="0.35">
      <c r="A1289" s="75">
        <v>1117</v>
      </c>
      <c r="B1289" s="80">
        <v>2014</v>
      </c>
      <c r="C1289" s="80">
        <v>1</v>
      </c>
      <c r="D1289" s="80">
        <f t="shared" si="74"/>
        <v>2013</v>
      </c>
      <c r="E1289" t="s">
        <v>38</v>
      </c>
      <c r="F1289" t="s">
        <v>143</v>
      </c>
      <c r="G1289" t="s">
        <v>86</v>
      </c>
      <c r="H1289" s="72" t="s">
        <v>244</v>
      </c>
      <c r="I1289" s="72" t="s">
        <v>95</v>
      </c>
      <c r="J1289" t="str">
        <f t="shared" si="73"/>
        <v>Sekiu River</v>
      </c>
      <c r="K1289" t="str">
        <f>IFERROR(VLOOKUP(J1289,LUTs!$A$1:$C$73,2,FALSE),"NA")</f>
        <v>Clallam</v>
      </c>
      <c r="L1289" t="str">
        <f>IFERROR(VLOOKUP(J1289,LUTs!$A$1:$C$73,3,FALSE),"NA")</f>
        <v>0Strait of Juan de Fuca</v>
      </c>
      <c r="M1289" s="72" t="s">
        <v>20</v>
      </c>
      <c r="N1289" t="str">
        <f>VLOOKUP(M1289,LUTs!E$2:H$14,3,)</f>
        <v>07Pierce</v>
      </c>
      <c r="O1289" t="str">
        <f>VLOOKUP(M1289,LUTs!E$2:H$14,4,)</f>
        <v>02South Puget Sound</v>
      </c>
      <c r="P1289" s="80">
        <v>7</v>
      </c>
      <c r="Q1289" s="103">
        <v>3.5</v>
      </c>
      <c r="R1289" s="74">
        <f>VLOOKUP(B1289,Readme!A$40:C$52,3,)*Q1289</f>
        <v>29.889999999999997</v>
      </c>
    </row>
    <row r="1290" spans="1:18" ht="12" customHeight="1" x14ac:dyDescent="0.35">
      <c r="A1290" s="75">
        <v>1158</v>
      </c>
      <c r="B1290" s="80">
        <v>2014</v>
      </c>
      <c r="C1290" s="80">
        <v>1</v>
      </c>
      <c r="D1290" s="80">
        <f t="shared" si="74"/>
        <v>2013</v>
      </c>
      <c r="E1290" t="s">
        <v>38</v>
      </c>
      <c r="F1290" t="s">
        <v>143</v>
      </c>
      <c r="G1290" t="s">
        <v>86</v>
      </c>
      <c r="H1290" s="72" t="s">
        <v>218</v>
      </c>
      <c r="I1290" s="72" t="s">
        <v>60</v>
      </c>
      <c r="J1290" t="str">
        <f t="shared" si="73"/>
        <v>Skagit River</v>
      </c>
      <c r="K1290" t="str">
        <f>IFERROR(VLOOKUP(J1290,LUTs!$A$1:$C$73,2,FALSE),"NA")</f>
        <v>Skagit/Whatcom</v>
      </c>
      <c r="L1290" t="str">
        <f>IFERROR(VLOOKUP(J1290,LUTs!$A$1:$C$73,3,FALSE),"NA")</f>
        <v>2Central Puget Sound</v>
      </c>
      <c r="M1290" s="72" t="s">
        <v>15</v>
      </c>
      <c r="N1290" t="str">
        <f>VLOOKUP(M1290,LUTs!E$2:H$14,3,)</f>
        <v>02Skagit</v>
      </c>
      <c r="O1290" t="str">
        <f>VLOOKUP(M1290,LUTs!E$2:H$14,4,)</f>
        <v>01North Puget Sound</v>
      </c>
      <c r="P1290" s="80">
        <v>48</v>
      </c>
      <c r="Q1290" s="103">
        <v>24</v>
      </c>
      <c r="R1290" s="74">
        <f>VLOOKUP(B1290,Readme!A$40:C$52,3,)*Q1290</f>
        <v>204.95999999999998</v>
      </c>
    </row>
    <row r="1291" spans="1:18" ht="12" customHeight="1" x14ac:dyDescent="0.35">
      <c r="A1291" s="75">
        <v>1204</v>
      </c>
      <c r="B1291" s="80">
        <v>2014</v>
      </c>
      <c r="C1291" s="80">
        <v>1</v>
      </c>
      <c r="D1291" s="80">
        <f t="shared" si="74"/>
        <v>2013</v>
      </c>
      <c r="E1291" t="s">
        <v>38</v>
      </c>
      <c r="F1291" t="s">
        <v>143</v>
      </c>
      <c r="G1291" t="s">
        <v>86</v>
      </c>
      <c r="H1291" s="72" t="s">
        <v>220</v>
      </c>
      <c r="I1291" s="72" t="s">
        <v>62</v>
      </c>
      <c r="J1291" t="str">
        <f t="shared" si="73"/>
        <v>Skykomish River</v>
      </c>
      <c r="K1291" t="str">
        <f>IFERROR(VLOOKUP(J1291,LUTs!$A$1:$C$73,2,FALSE),"NA")</f>
        <v>Snohomish</v>
      </c>
      <c r="L1291" t="str">
        <f>IFERROR(VLOOKUP(J1291,LUTs!$A$1:$C$73,3,FALSE),"NA")</f>
        <v>2Central Puget Sound</v>
      </c>
      <c r="M1291" s="72" t="s">
        <v>18</v>
      </c>
      <c r="N1291" t="str">
        <f>VLOOKUP(M1291,LUTs!E$2:H$14,3,)</f>
        <v>06King</v>
      </c>
      <c r="O1291" t="str">
        <f>VLOOKUP(M1291,LUTs!E$2:H$14,4,)</f>
        <v>02South Puget Sound</v>
      </c>
      <c r="P1291" s="80">
        <v>458.37563451776703</v>
      </c>
      <c r="Q1291" s="103">
        <v>230.32994923857899</v>
      </c>
      <c r="R1291" s="74">
        <f>VLOOKUP(B1291,Readme!A$40:C$52,3,)*Q1291</f>
        <v>1967.0177664974644</v>
      </c>
    </row>
    <row r="1292" spans="1:18" ht="12" customHeight="1" x14ac:dyDescent="0.35">
      <c r="A1292" s="75">
        <v>1205</v>
      </c>
      <c r="B1292" s="80">
        <v>2014</v>
      </c>
      <c r="C1292" s="80">
        <v>1</v>
      </c>
      <c r="D1292" s="80">
        <f t="shared" si="74"/>
        <v>2013</v>
      </c>
      <c r="E1292" t="s">
        <v>38</v>
      </c>
      <c r="F1292" t="s">
        <v>143</v>
      </c>
      <c r="G1292" t="s">
        <v>86</v>
      </c>
      <c r="H1292" s="72" t="s">
        <v>220</v>
      </c>
      <c r="I1292" s="72" t="s">
        <v>62</v>
      </c>
      <c r="J1292" t="str">
        <f t="shared" si="73"/>
        <v>Skykomish River</v>
      </c>
      <c r="K1292" t="str">
        <f>IFERROR(VLOOKUP(J1292,LUTs!$A$1:$C$73,2,FALSE),"NA")</f>
        <v>Snohomish</v>
      </c>
      <c r="L1292" t="str">
        <f>IFERROR(VLOOKUP(J1292,LUTs!$A$1:$C$73,3,FALSE),"NA")</f>
        <v>2Central Puget Sound</v>
      </c>
      <c r="M1292" s="72" t="s">
        <v>23</v>
      </c>
      <c r="N1292" t="str">
        <f>VLOOKUP(M1292,LUTs!E$2:H$14,3,)</f>
        <v>10Kitsap</v>
      </c>
      <c r="O1292" t="str">
        <f>VLOOKUP(M1292,LUTs!E$2:H$14,4,)</f>
        <v>02South Puget Sound</v>
      </c>
      <c r="P1292" s="80">
        <v>6.1116751269035499</v>
      </c>
      <c r="Q1292" s="103">
        <v>3.0710659898477202</v>
      </c>
      <c r="R1292" s="74">
        <f>VLOOKUP(B1292,Readme!A$40:C$52,3,)*Q1292</f>
        <v>26.226903553299529</v>
      </c>
    </row>
    <row r="1293" spans="1:18" ht="12" customHeight="1" x14ac:dyDescent="0.35">
      <c r="A1293" s="75">
        <v>1206</v>
      </c>
      <c r="B1293" s="80">
        <v>2014</v>
      </c>
      <c r="C1293" s="80">
        <v>1</v>
      </c>
      <c r="D1293" s="80">
        <f t="shared" si="74"/>
        <v>2013</v>
      </c>
      <c r="E1293" t="s">
        <v>38</v>
      </c>
      <c r="F1293" t="s">
        <v>143</v>
      </c>
      <c r="G1293" t="s">
        <v>86</v>
      </c>
      <c r="H1293" s="72" t="s">
        <v>220</v>
      </c>
      <c r="I1293" s="72" t="s">
        <v>62</v>
      </c>
      <c r="J1293" t="str">
        <f t="shared" si="73"/>
        <v>Skykomish River</v>
      </c>
      <c r="K1293" t="str">
        <f>IFERROR(VLOOKUP(J1293,LUTs!$A$1:$C$73,2,FALSE),"NA")</f>
        <v>Snohomish</v>
      </c>
      <c r="L1293" t="str">
        <f>IFERROR(VLOOKUP(J1293,LUTs!$A$1:$C$73,3,FALSE),"NA")</f>
        <v>2Central Puget Sound</v>
      </c>
      <c r="M1293" s="72" t="s">
        <v>26</v>
      </c>
      <c r="N1293" t="str">
        <f>VLOOKUP(M1293,LUTs!E$2:H$14,3,)</f>
        <v>20Other</v>
      </c>
      <c r="O1293" t="str">
        <f>VLOOKUP(M1293,LUTs!E$2:H$14,4,)</f>
        <v>07Non Puget Sound</v>
      </c>
      <c r="P1293" s="80">
        <v>6.1116751269035499</v>
      </c>
      <c r="Q1293" s="103">
        <v>3.0710659898477202</v>
      </c>
      <c r="R1293" s="74">
        <f>VLOOKUP(B1293,Readme!A$40:C$52,3,)*Q1293</f>
        <v>26.226903553299529</v>
      </c>
    </row>
    <row r="1294" spans="1:18" ht="12" customHeight="1" x14ac:dyDescent="0.35">
      <c r="A1294" s="75">
        <v>1207</v>
      </c>
      <c r="B1294" s="80">
        <v>2014</v>
      </c>
      <c r="C1294" s="80">
        <v>1</v>
      </c>
      <c r="D1294" s="80">
        <f t="shared" si="74"/>
        <v>2013</v>
      </c>
      <c r="E1294" t="s">
        <v>38</v>
      </c>
      <c r="F1294" t="s">
        <v>143</v>
      </c>
      <c r="G1294" t="s">
        <v>86</v>
      </c>
      <c r="H1294" s="72" t="s">
        <v>220</v>
      </c>
      <c r="I1294" s="72" t="s">
        <v>62</v>
      </c>
      <c r="J1294" t="str">
        <f t="shared" si="73"/>
        <v>Skykomish River</v>
      </c>
      <c r="K1294" t="str">
        <f>IFERROR(VLOOKUP(J1294,LUTs!$A$1:$C$73,2,FALSE),"NA")</f>
        <v>Snohomish</v>
      </c>
      <c r="L1294" t="str">
        <f>IFERROR(VLOOKUP(J1294,LUTs!$A$1:$C$73,3,FALSE),"NA")</f>
        <v>2Central Puget Sound</v>
      </c>
      <c r="M1294" s="72" t="s">
        <v>20</v>
      </c>
      <c r="N1294" t="str">
        <f>VLOOKUP(M1294,LUTs!E$2:H$14,3,)</f>
        <v>07Pierce</v>
      </c>
      <c r="O1294" t="str">
        <f>VLOOKUP(M1294,LUTs!E$2:H$14,4,)</f>
        <v>02South Puget Sound</v>
      </c>
      <c r="P1294" s="80">
        <v>6.1116751269035499</v>
      </c>
      <c r="Q1294" s="103">
        <v>3.0710659898477202</v>
      </c>
      <c r="R1294" s="74">
        <f>VLOOKUP(B1294,Readme!A$40:C$52,3,)*Q1294</f>
        <v>26.226903553299529</v>
      </c>
    </row>
    <row r="1295" spans="1:18" ht="12" customHeight="1" x14ac:dyDescent="0.35">
      <c r="A1295" s="75">
        <v>1208</v>
      </c>
      <c r="B1295" s="80">
        <v>2014</v>
      </c>
      <c r="C1295" s="80">
        <v>1</v>
      </c>
      <c r="D1295" s="80">
        <f t="shared" si="74"/>
        <v>2013</v>
      </c>
      <c r="E1295" t="s">
        <v>38</v>
      </c>
      <c r="F1295" t="s">
        <v>143</v>
      </c>
      <c r="G1295" t="s">
        <v>86</v>
      </c>
      <c r="H1295" s="72" t="s">
        <v>220</v>
      </c>
      <c r="I1295" s="72" t="s">
        <v>62</v>
      </c>
      <c r="J1295" t="str">
        <f t="shared" si="73"/>
        <v>Skykomish River</v>
      </c>
      <c r="K1295" t="str">
        <f>IFERROR(VLOOKUP(J1295,LUTs!$A$1:$C$73,2,FALSE),"NA")</f>
        <v>Snohomish</v>
      </c>
      <c r="L1295" t="str">
        <f>IFERROR(VLOOKUP(J1295,LUTs!$A$1:$C$73,3,FALSE),"NA")</f>
        <v>2Central Puget Sound</v>
      </c>
      <c r="M1295" s="72" t="s">
        <v>15</v>
      </c>
      <c r="N1295" t="str">
        <f>VLOOKUP(M1295,LUTs!E$2:H$14,3,)</f>
        <v>02Skagit</v>
      </c>
      <c r="O1295" t="str">
        <f>VLOOKUP(M1295,LUTs!E$2:H$14,4,)</f>
        <v>01North Puget Sound</v>
      </c>
      <c r="P1295" s="80">
        <v>6.1116751269035499</v>
      </c>
      <c r="Q1295" s="103">
        <v>3.0710659898477202</v>
      </c>
      <c r="R1295" s="74">
        <f>VLOOKUP(B1295,Readme!A$40:C$52,3,)*Q1295</f>
        <v>26.226903553299529</v>
      </c>
    </row>
    <row r="1296" spans="1:18" ht="12" customHeight="1" x14ac:dyDescent="0.35">
      <c r="A1296" s="75">
        <v>1209</v>
      </c>
      <c r="B1296" s="80">
        <v>2014</v>
      </c>
      <c r="C1296" s="80">
        <v>1</v>
      </c>
      <c r="D1296" s="80">
        <f t="shared" si="74"/>
        <v>2013</v>
      </c>
      <c r="E1296" t="s">
        <v>38</v>
      </c>
      <c r="F1296" t="s">
        <v>143</v>
      </c>
      <c r="G1296" t="s">
        <v>86</v>
      </c>
      <c r="H1296" s="72" t="s">
        <v>220</v>
      </c>
      <c r="I1296" s="72" t="s">
        <v>62</v>
      </c>
      <c r="J1296" t="str">
        <f t="shared" si="73"/>
        <v>Skykomish River</v>
      </c>
      <c r="K1296" t="str">
        <f>IFERROR(VLOOKUP(J1296,LUTs!$A$1:$C$73,2,FALSE),"NA")</f>
        <v>Snohomish</v>
      </c>
      <c r="L1296" t="str">
        <f>IFERROR(VLOOKUP(J1296,LUTs!$A$1:$C$73,3,FALSE),"NA")</f>
        <v>2Central Puget Sound</v>
      </c>
      <c r="M1296" s="72" t="s">
        <v>16</v>
      </c>
      <c r="N1296" t="str">
        <f>VLOOKUP(M1296,LUTs!E$2:H$14,3,)</f>
        <v>03Snohomish</v>
      </c>
      <c r="O1296" t="str">
        <f>VLOOKUP(M1296,LUTs!E$2:H$14,4,)</f>
        <v>01North Puget Sound</v>
      </c>
      <c r="P1296" s="80">
        <v>715.06598984771597</v>
      </c>
      <c r="Q1296" s="103">
        <v>359.314720812183</v>
      </c>
      <c r="R1296" s="74">
        <f>VLOOKUP(B1296,Readme!A$40:C$52,3,)*Q1296</f>
        <v>3068.5477157360424</v>
      </c>
    </row>
    <row r="1297" spans="1:18" ht="12" customHeight="1" x14ac:dyDescent="0.35">
      <c r="A1297" s="75">
        <v>1210</v>
      </c>
      <c r="B1297" s="80">
        <v>2014</v>
      </c>
      <c r="C1297" s="80">
        <v>1</v>
      </c>
      <c r="D1297" s="80">
        <f t="shared" si="74"/>
        <v>2013</v>
      </c>
      <c r="E1297" t="s">
        <v>38</v>
      </c>
      <c r="F1297" t="s">
        <v>143</v>
      </c>
      <c r="G1297" t="s">
        <v>86</v>
      </c>
      <c r="H1297" s="72" t="s">
        <v>220</v>
      </c>
      <c r="I1297" s="72" t="s">
        <v>62</v>
      </c>
      <c r="J1297" t="str">
        <f t="shared" si="73"/>
        <v>Skykomish River</v>
      </c>
      <c r="K1297" t="str">
        <f>IFERROR(VLOOKUP(J1297,LUTs!$A$1:$C$73,2,FALSE),"NA")</f>
        <v>Snohomish</v>
      </c>
      <c r="L1297" t="str">
        <f>IFERROR(VLOOKUP(J1297,LUTs!$A$1:$C$73,3,FALSE),"NA")</f>
        <v>2Central Puget Sound</v>
      </c>
      <c r="M1297" s="72" t="s">
        <v>13</v>
      </c>
      <c r="N1297" t="str">
        <f>VLOOKUP(M1297,LUTs!E$2:H$14,3,)</f>
        <v>01Whatcom</v>
      </c>
      <c r="O1297" t="str">
        <f>VLOOKUP(M1297,LUTs!E$2:H$14,4,)</f>
        <v>01North Puget Sound</v>
      </c>
      <c r="P1297" s="80">
        <v>6.1116751269035499</v>
      </c>
      <c r="Q1297" s="103">
        <v>3.0710659898477202</v>
      </c>
      <c r="R1297" s="74">
        <f>VLOOKUP(B1297,Readme!A$40:C$52,3,)*Q1297</f>
        <v>26.226903553299529</v>
      </c>
    </row>
    <row r="1298" spans="1:18" ht="12" customHeight="1" x14ac:dyDescent="0.35">
      <c r="A1298" s="75">
        <v>1224</v>
      </c>
      <c r="B1298" s="80">
        <v>2014</v>
      </c>
      <c r="C1298" s="80">
        <v>1</v>
      </c>
      <c r="D1298" s="80">
        <f t="shared" si="74"/>
        <v>2013</v>
      </c>
      <c r="E1298" t="s">
        <v>38</v>
      </c>
      <c r="F1298" t="s">
        <v>143</v>
      </c>
      <c r="G1298" t="s">
        <v>86</v>
      </c>
      <c r="H1298" s="72" t="s">
        <v>247</v>
      </c>
      <c r="I1298" s="72" t="s">
        <v>98</v>
      </c>
      <c r="J1298" t="str">
        <f t="shared" si="73"/>
        <v>Skykomish River, No. Fork</v>
      </c>
      <c r="K1298" t="str">
        <f>IFERROR(VLOOKUP(J1298,LUTs!$A$1:$C$73,2,FALSE),"NA")</f>
        <v>Snohomish</v>
      </c>
      <c r="L1298" t="str">
        <f>IFERROR(VLOOKUP(J1298,LUTs!$A$1:$C$73,3,FALSE),"NA")</f>
        <v>2Central Puget Sound</v>
      </c>
      <c r="M1298" s="72" t="s">
        <v>16</v>
      </c>
      <c r="N1298" t="str">
        <f>VLOOKUP(M1298,LUTs!E$2:H$14,3,)</f>
        <v>03Snohomish</v>
      </c>
      <c r="O1298" t="str">
        <f>VLOOKUP(M1298,LUTs!E$2:H$14,4,)</f>
        <v>01North Puget Sound</v>
      </c>
      <c r="P1298" s="80">
        <v>6</v>
      </c>
      <c r="Q1298" s="103">
        <v>3</v>
      </c>
      <c r="R1298" s="74">
        <f>VLOOKUP(B1298,Readme!A$40:C$52,3,)*Q1298</f>
        <v>25.619999999999997</v>
      </c>
    </row>
    <row r="1299" spans="1:18" ht="12" customHeight="1" x14ac:dyDescent="0.35">
      <c r="A1299" s="75">
        <v>1245</v>
      </c>
      <c r="B1299" s="80">
        <v>2014</v>
      </c>
      <c r="C1299" s="80">
        <v>1</v>
      </c>
      <c r="D1299" s="80">
        <f t="shared" si="74"/>
        <v>2013</v>
      </c>
      <c r="E1299" t="s">
        <v>38</v>
      </c>
      <c r="F1299" t="s">
        <v>143</v>
      </c>
      <c r="G1299" t="s">
        <v>86</v>
      </c>
      <c r="H1299" s="72" t="s">
        <v>221</v>
      </c>
      <c r="I1299" s="72" t="s">
        <v>63</v>
      </c>
      <c r="J1299" t="str">
        <f t="shared" si="73"/>
        <v>Snohomish River</v>
      </c>
      <c r="K1299" t="str">
        <f>IFERROR(VLOOKUP(J1299,LUTs!$A$1:$C$73,2,FALSE),"NA")</f>
        <v>Snohomish</v>
      </c>
      <c r="L1299" t="str">
        <f>IFERROR(VLOOKUP(J1299,LUTs!$A$1:$C$73,3,FALSE),"NA")</f>
        <v>2Central Puget Sound</v>
      </c>
      <c r="M1299" s="72" t="s">
        <v>18</v>
      </c>
      <c r="N1299" t="str">
        <f>VLOOKUP(M1299,LUTs!E$2:H$14,3,)</f>
        <v>06King</v>
      </c>
      <c r="O1299" t="str">
        <f>VLOOKUP(M1299,LUTs!E$2:H$14,4,)</f>
        <v>02South Puget Sound</v>
      </c>
      <c r="P1299" s="80">
        <v>12.266666666666699</v>
      </c>
      <c r="Q1299" s="103">
        <v>6.1333333333333302</v>
      </c>
      <c r="R1299" s="74">
        <f>VLOOKUP(B1299,Readme!A$40:C$52,3,)*Q1299</f>
        <v>52.378666666666632</v>
      </c>
    </row>
    <row r="1300" spans="1:18" ht="12" customHeight="1" x14ac:dyDescent="0.35">
      <c r="A1300" s="75">
        <v>1246</v>
      </c>
      <c r="B1300" s="80">
        <v>2014</v>
      </c>
      <c r="C1300" s="80">
        <v>1</v>
      </c>
      <c r="D1300" s="80">
        <f t="shared" si="74"/>
        <v>2013</v>
      </c>
      <c r="E1300" t="s">
        <v>38</v>
      </c>
      <c r="F1300" t="s">
        <v>143</v>
      </c>
      <c r="G1300" t="s">
        <v>86</v>
      </c>
      <c r="H1300" s="72" t="s">
        <v>221</v>
      </c>
      <c r="I1300" s="72" t="s">
        <v>63</v>
      </c>
      <c r="J1300" t="str">
        <f t="shared" si="73"/>
        <v>Snohomish River</v>
      </c>
      <c r="K1300" t="str">
        <f>IFERROR(VLOOKUP(J1300,LUTs!$A$1:$C$73,2,FALSE),"NA")</f>
        <v>Snohomish</v>
      </c>
      <c r="L1300" t="str">
        <f>IFERROR(VLOOKUP(J1300,LUTs!$A$1:$C$73,3,FALSE),"NA")</f>
        <v>2Central Puget Sound</v>
      </c>
      <c r="M1300" s="72" t="s">
        <v>16</v>
      </c>
      <c r="N1300" t="str">
        <f>VLOOKUP(M1300,LUTs!E$2:H$14,3,)</f>
        <v>03Snohomish</v>
      </c>
      <c r="O1300" t="str">
        <f>VLOOKUP(M1300,LUTs!E$2:H$14,4,)</f>
        <v>01North Puget Sound</v>
      </c>
      <c r="P1300" s="80">
        <v>79.733333333333405</v>
      </c>
      <c r="Q1300" s="103">
        <v>39.866666666666703</v>
      </c>
      <c r="R1300" s="74">
        <f>VLOOKUP(B1300,Readme!A$40:C$52,3,)*Q1300</f>
        <v>340.46133333333358</v>
      </c>
    </row>
    <row r="1301" spans="1:18" ht="12" customHeight="1" x14ac:dyDescent="0.35">
      <c r="A1301" s="75">
        <v>1260</v>
      </c>
      <c r="B1301" s="80">
        <v>2014</v>
      </c>
      <c r="C1301" s="80">
        <v>1</v>
      </c>
      <c r="D1301" s="80">
        <f t="shared" si="74"/>
        <v>2013</v>
      </c>
      <c r="E1301" t="s">
        <v>38</v>
      </c>
      <c r="F1301" t="s">
        <v>143</v>
      </c>
      <c r="G1301" t="s">
        <v>86</v>
      </c>
      <c r="H1301" s="72" t="s">
        <v>222</v>
      </c>
      <c r="I1301" s="72" t="s">
        <v>64</v>
      </c>
      <c r="J1301" t="str">
        <f t="shared" si="73"/>
        <v>Snoqualmie River</v>
      </c>
      <c r="K1301" t="str">
        <f>IFERROR(VLOOKUP(J1301,LUTs!$A$1:$C$73,2,FALSE),"NA")</f>
        <v>Snohomish/King</v>
      </c>
      <c r="L1301" t="str">
        <f>IFERROR(VLOOKUP(J1301,LUTs!$A$1:$C$73,3,FALSE),"NA")</f>
        <v>2Central Puget Sound</v>
      </c>
      <c r="M1301" s="72" t="s">
        <v>18</v>
      </c>
      <c r="N1301" t="str">
        <f>VLOOKUP(M1301,LUTs!E$2:H$14,3,)</f>
        <v>06King</v>
      </c>
      <c r="O1301" t="str">
        <f>VLOOKUP(M1301,LUTs!E$2:H$14,4,)</f>
        <v>02South Puget Sound</v>
      </c>
      <c r="P1301" s="80">
        <v>365.37313432835799</v>
      </c>
      <c r="Q1301" s="103">
        <v>182.686567164179</v>
      </c>
      <c r="R1301" s="74">
        <f>VLOOKUP(B1301,Readme!A$40:C$52,3,)*Q1301</f>
        <v>1560.1432835820885</v>
      </c>
    </row>
    <row r="1302" spans="1:18" ht="12" customHeight="1" x14ac:dyDescent="0.35">
      <c r="A1302" s="75">
        <v>1261</v>
      </c>
      <c r="B1302" s="80">
        <v>2014</v>
      </c>
      <c r="C1302" s="80">
        <v>1</v>
      </c>
      <c r="D1302" s="80">
        <f t="shared" si="74"/>
        <v>2013</v>
      </c>
      <c r="E1302" t="s">
        <v>38</v>
      </c>
      <c r="F1302" t="s">
        <v>143</v>
      </c>
      <c r="G1302" t="s">
        <v>86</v>
      </c>
      <c r="H1302" s="72" t="s">
        <v>222</v>
      </c>
      <c r="I1302" s="72" t="s">
        <v>64</v>
      </c>
      <c r="J1302" t="str">
        <f t="shared" si="73"/>
        <v>Snoqualmie River</v>
      </c>
      <c r="K1302" t="str">
        <f>IFERROR(VLOOKUP(J1302,LUTs!$A$1:$C$73,2,FALSE),"NA")</f>
        <v>Snohomish/King</v>
      </c>
      <c r="L1302" t="str">
        <f>IFERROR(VLOOKUP(J1302,LUTs!$A$1:$C$73,3,FALSE),"NA")</f>
        <v>2Central Puget Sound</v>
      </c>
      <c r="M1302" s="72" t="s">
        <v>26</v>
      </c>
      <c r="N1302" t="str">
        <f>VLOOKUP(M1302,LUTs!E$2:H$14,3,)</f>
        <v>20Other</v>
      </c>
      <c r="O1302" t="str">
        <f>VLOOKUP(M1302,LUTs!E$2:H$14,4,)</f>
        <v>07Non Puget Sound</v>
      </c>
      <c r="P1302" s="80">
        <v>18.268656716417901</v>
      </c>
      <c r="Q1302" s="103">
        <v>9.1343283582089594</v>
      </c>
      <c r="R1302" s="74">
        <f>VLOOKUP(B1302,Readme!A$40:C$52,3,)*Q1302</f>
        <v>78.007164179104507</v>
      </c>
    </row>
    <row r="1303" spans="1:18" ht="12" customHeight="1" x14ac:dyDescent="0.35">
      <c r="A1303" s="75">
        <v>1262</v>
      </c>
      <c r="B1303" s="80">
        <v>2014</v>
      </c>
      <c r="C1303" s="80">
        <v>1</v>
      </c>
      <c r="D1303" s="80">
        <f t="shared" si="74"/>
        <v>2013</v>
      </c>
      <c r="E1303" t="s">
        <v>38</v>
      </c>
      <c r="F1303" t="s">
        <v>143</v>
      </c>
      <c r="G1303" t="s">
        <v>86</v>
      </c>
      <c r="H1303" s="72" t="s">
        <v>222</v>
      </c>
      <c r="I1303" s="72" t="s">
        <v>64</v>
      </c>
      <c r="J1303" t="str">
        <f t="shared" si="73"/>
        <v>Snoqualmie River</v>
      </c>
      <c r="K1303" t="str">
        <f>IFERROR(VLOOKUP(J1303,LUTs!$A$1:$C$73,2,FALSE),"NA")</f>
        <v>Snohomish/King</v>
      </c>
      <c r="L1303" t="str">
        <f>IFERROR(VLOOKUP(J1303,LUTs!$A$1:$C$73,3,FALSE),"NA")</f>
        <v>2Central Puget Sound</v>
      </c>
      <c r="M1303" s="72" t="s">
        <v>20</v>
      </c>
      <c r="N1303" t="str">
        <f>VLOOKUP(M1303,LUTs!E$2:H$14,3,)</f>
        <v>07Pierce</v>
      </c>
      <c r="O1303" t="str">
        <f>VLOOKUP(M1303,LUTs!E$2:H$14,4,)</f>
        <v>02South Puget Sound</v>
      </c>
      <c r="P1303" s="80">
        <v>18.268656716417901</v>
      </c>
      <c r="Q1303" s="103">
        <v>9.1343283582089594</v>
      </c>
      <c r="R1303" s="74">
        <f>VLOOKUP(B1303,Readme!A$40:C$52,3,)*Q1303</f>
        <v>78.007164179104507</v>
      </c>
    </row>
    <row r="1304" spans="1:18" ht="12" customHeight="1" x14ac:dyDescent="0.35">
      <c r="A1304" s="75">
        <v>1263</v>
      </c>
      <c r="B1304" s="80">
        <v>2014</v>
      </c>
      <c r="C1304" s="80">
        <v>1</v>
      </c>
      <c r="D1304" s="80">
        <f t="shared" si="74"/>
        <v>2013</v>
      </c>
      <c r="E1304" t="s">
        <v>38</v>
      </c>
      <c r="F1304" t="s">
        <v>143</v>
      </c>
      <c r="G1304" t="s">
        <v>86</v>
      </c>
      <c r="H1304" s="72" t="s">
        <v>222</v>
      </c>
      <c r="I1304" s="72" t="s">
        <v>64</v>
      </c>
      <c r="J1304" t="str">
        <f t="shared" si="73"/>
        <v>Snoqualmie River</v>
      </c>
      <c r="K1304" t="str">
        <f>IFERROR(VLOOKUP(J1304,LUTs!$A$1:$C$73,2,FALSE),"NA")</f>
        <v>Snohomish/King</v>
      </c>
      <c r="L1304" t="str">
        <f>IFERROR(VLOOKUP(J1304,LUTs!$A$1:$C$73,3,FALSE),"NA")</f>
        <v>2Central Puget Sound</v>
      </c>
      <c r="M1304" s="72" t="s">
        <v>16</v>
      </c>
      <c r="N1304" t="str">
        <f>VLOOKUP(M1304,LUTs!E$2:H$14,3,)</f>
        <v>03Snohomish</v>
      </c>
      <c r="O1304" t="str">
        <f>VLOOKUP(M1304,LUTs!E$2:H$14,4,)</f>
        <v>01North Puget Sound</v>
      </c>
      <c r="P1304" s="80">
        <v>6.08955223880597</v>
      </c>
      <c r="Q1304" s="103">
        <v>3.0447761194029899</v>
      </c>
      <c r="R1304" s="74">
        <f>VLOOKUP(B1304,Readme!A$40:C$52,3,)*Q1304</f>
        <v>26.002388059701531</v>
      </c>
    </row>
    <row r="1305" spans="1:18" ht="12" customHeight="1" x14ac:dyDescent="0.35">
      <c r="A1305" s="75">
        <v>1303</v>
      </c>
      <c r="B1305" s="80">
        <v>2014</v>
      </c>
      <c r="C1305" s="80">
        <v>1</v>
      </c>
      <c r="D1305" s="80">
        <f t="shared" si="74"/>
        <v>2013</v>
      </c>
      <c r="E1305" t="s">
        <v>38</v>
      </c>
      <c r="F1305" t="s">
        <v>143</v>
      </c>
      <c r="G1305" t="s">
        <v>86</v>
      </c>
      <c r="H1305" s="72" t="s">
        <v>223</v>
      </c>
      <c r="I1305" s="72" t="s">
        <v>103</v>
      </c>
      <c r="J1305" t="str">
        <f t="shared" si="73"/>
        <v>Stillaguamish R, No. Fork</v>
      </c>
      <c r="K1305" t="str">
        <f>IFERROR(VLOOKUP(J1305,LUTs!$A$1:$C$73,2,FALSE),"NA")</f>
        <v>Snohomish</v>
      </c>
      <c r="L1305" t="str">
        <f>IFERROR(VLOOKUP(J1305,LUTs!$A$1:$C$73,3,FALSE),"NA")</f>
        <v>2Central Puget Sound</v>
      </c>
      <c r="M1305" s="72" t="s">
        <v>30</v>
      </c>
      <c r="N1305" t="str">
        <f>VLOOKUP(M1305,LUTs!E$2:H$14,3,)</f>
        <v>05San Juan</v>
      </c>
      <c r="O1305" t="str">
        <f>VLOOKUP(M1305,LUTs!E$2:H$14,4,)</f>
        <v>01North Puget Sound</v>
      </c>
      <c r="P1305" s="80">
        <v>12.16</v>
      </c>
      <c r="Q1305" s="103">
        <v>6.08</v>
      </c>
      <c r="R1305" s="74">
        <f>VLOOKUP(B1305,Readme!A$40:C$52,3,)*Q1305</f>
        <v>51.923199999999994</v>
      </c>
    </row>
    <row r="1306" spans="1:18" ht="12" customHeight="1" x14ac:dyDescent="0.35">
      <c r="A1306" s="75">
        <v>1304</v>
      </c>
      <c r="B1306" s="80">
        <v>2014</v>
      </c>
      <c r="C1306" s="80">
        <v>1</v>
      </c>
      <c r="D1306" s="80">
        <f t="shared" si="74"/>
        <v>2013</v>
      </c>
      <c r="E1306" t="s">
        <v>38</v>
      </c>
      <c r="F1306" t="s">
        <v>143</v>
      </c>
      <c r="G1306" t="s">
        <v>86</v>
      </c>
      <c r="H1306" s="72" t="s">
        <v>223</v>
      </c>
      <c r="I1306" s="72" t="s">
        <v>103</v>
      </c>
      <c r="J1306" t="str">
        <f t="shared" si="73"/>
        <v>Stillaguamish R, No. Fork</v>
      </c>
      <c r="K1306" t="str">
        <f>IFERROR(VLOOKUP(J1306,LUTs!$A$1:$C$73,2,FALSE),"NA")</f>
        <v>Snohomish</v>
      </c>
      <c r="L1306" t="str">
        <f>IFERROR(VLOOKUP(J1306,LUTs!$A$1:$C$73,3,FALSE),"NA")</f>
        <v>2Central Puget Sound</v>
      </c>
      <c r="M1306" s="72" t="s">
        <v>16</v>
      </c>
      <c r="N1306" t="str">
        <f>VLOOKUP(M1306,LUTs!E$2:H$14,3,)</f>
        <v>03Snohomish</v>
      </c>
      <c r="O1306" t="str">
        <f>VLOOKUP(M1306,LUTs!E$2:H$14,4,)</f>
        <v>01North Puget Sound</v>
      </c>
      <c r="P1306" s="80">
        <v>139.84</v>
      </c>
      <c r="Q1306" s="103">
        <v>69.92</v>
      </c>
      <c r="R1306" s="74">
        <f>VLOOKUP(B1306,Readme!A$40:C$52,3,)*Q1306</f>
        <v>597.1167999999999</v>
      </c>
    </row>
    <row r="1307" spans="1:18" ht="12" customHeight="1" x14ac:dyDescent="0.35">
      <c r="A1307" s="75">
        <v>1267</v>
      </c>
      <c r="B1307" s="80">
        <v>2014</v>
      </c>
      <c r="C1307" s="80">
        <v>1</v>
      </c>
      <c r="D1307" s="80">
        <f t="shared" si="74"/>
        <v>2013</v>
      </c>
      <c r="E1307" t="s">
        <v>38</v>
      </c>
      <c r="F1307" t="s">
        <v>143</v>
      </c>
      <c r="G1307" t="s">
        <v>86</v>
      </c>
      <c r="H1307" s="72" t="s">
        <v>250</v>
      </c>
      <c r="I1307" s="72" t="s">
        <v>101</v>
      </c>
      <c r="J1307" t="str">
        <f t="shared" si="73"/>
        <v>Tokul Creek</v>
      </c>
      <c r="K1307" t="str">
        <f>IFERROR(VLOOKUP(J1307,LUTs!$A$1:$C$73,2,FALSE),"NA")</f>
        <v>King</v>
      </c>
      <c r="L1307" t="str">
        <f>IFERROR(VLOOKUP(J1307,LUTs!$A$1:$C$73,3,FALSE),"NA")</f>
        <v>2Central Puget Sound</v>
      </c>
      <c r="M1307" s="72" t="s">
        <v>17</v>
      </c>
      <c r="N1307" t="str">
        <f>VLOOKUP(M1307,LUTs!E$2:H$14,3,)</f>
        <v>04Island</v>
      </c>
      <c r="O1307" t="str">
        <f>VLOOKUP(M1307,LUTs!E$2:H$14,4,)</f>
        <v>01North Puget Sound</v>
      </c>
      <c r="P1307" s="80">
        <v>6.1081081081081097</v>
      </c>
      <c r="Q1307" s="103">
        <v>3.0540540540540602</v>
      </c>
      <c r="R1307" s="74">
        <f>VLOOKUP(B1307,Readme!A$40:C$52,3,)*Q1307</f>
        <v>26.081621621621672</v>
      </c>
    </row>
    <row r="1308" spans="1:18" ht="12" customHeight="1" x14ac:dyDescent="0.35">
      <c r="A1308" s="75">
        <v>1268</v>
      </c>
      <c r="B1308" s="80">
        <v>2014</v>
      </c>
      <c r="C1308" s="80">
        <v>1</v>
      </c>
      <c r="D1308" s="80">
        <f t="shared" si="74"/>
        <v>2013</v>
      </c>
      <c r="E1308" t="s">
        <v>38</v>
      </c>
      <c r="F1308" t="s">
        <v>143</v>
      </c>
      <c r="G1308" t="s">
        <v>86</v>
      </c>
      <c r="H1308" s="72" t="s">
        <v>250</v>
      </c>
      <c r="I1308" s="72" t="s">
        <v>101</v>
      </c>
      <c r="J1308" t="str">
        <f t="shared" si="73"/>
        <v>Tokul Creek</v>
      </c>
      <c r="K1308" t="str">
        <f>IFERROR(VLOOKUP(J1308,LUTs!$A$1:$C$73,2,FALSE),"NA")</f>
        <v>King</v>
      </c>
      <c r="L1308" t="str">
        <f>IFERROR(VLOOKUP(J1308,LUTs!$A$1:$C$73,3,FALSE),"NA")</f>
        <v>2Central Puget Sound</v>
      </c>
      <c r="M1308" s="72" t="s">
        <v>18</v>
      </c>
      <c r="N1308" t="str">
        <f>VLOOKUP(M1308,LUTs!E$2:H$14,3,)</f>
        <v>06King</v>
      </c>
      <c r="O1308" t="str">
        <f>VLOOKUP(M1308,LUTs!E$2:H$14,4,)</f>
        <v>02South Puget Sound</v>
      </c>
      <c r="P1308" s="80">
        <v>415.35135135135101</v>
      </c>
      <c r="Q1308" s="103">
        <v>207.67567567567599</v>
      </c>
      <c r="R1308" s="74">
        <f>VLOOKUP(B1308,Readme!A$40:C$52,3,)*Q1308</f>
        <v>1773.5502702702727</v>
      </c>
    </row>
    <row r="1309" spans="1:18" ht="12" customHeight="1" x14ac:dyDescent="0.35">
      <c r="A1309" s="75">
        <v>1269</v>
      </c>
      <c r="B1309" s="80">
        <v>2014</v>
      </c>
      <c r="C1309" s="80">
        <v>1</v>
      </c>
      <c r="D1309" s="80">
        <f t="shared" si="74"/>
        <v>2013</v>
      </c>
      <c r="E1309" t="s">
        <v>38</v>
      </c>
      <c r="F1309" t="s">
        <v>143</v>
      </c>
      <c r="G1309" t="s">
        <v>86</v>
      </c>
      <c r="H1309" s="72" t="s">
        <v>250</v>
      </c>
      <c r="I1309" s="72" t="s">
        <v>101</v>
      </c>
      <c r="J1309" t="str">
        <f t="shared" si="73"/>
        <v>Tokul Creek</v>
      </c>
      <c r="K1309" t="str">
        <f>IFERROR(VLOOKUP(J1309,LUTs!$A$1:$C$73,2,FALSE),"NA")</f>
        <v>King</v>
      </c>
      <c r="L1309" t="str">
        <f>IFERROR(VLOOKUP(J1309,LUTs!$A$1:$C$73,3,FALSE),"NA")</f>
        <v>2Central Puget Sound</v>
      </c>
      <c r="M1309" s="72" t="s">
        <v>20</v>
      </c>
      <c r="N1309" t="str">
        <f>VLOOKUP(M1309,LUTs!E$2:H$14,3,)</f>
        <v>07Pierce</v>
      </c>
      <c r="O1309" t="str">
        <f>VLOOKUP(M1309,LUTs!E$2:H$14,4,)</f>
        <v>02South Puget Sound</v>
      </c>
      <c r="P1309" s="80">
        <v>6.1081081081081097</v>
      </c>
      <c r="Q1309" s="103">
        <v>3.0540540540540602</v>
      </c>
      <c r="R1309" s="74">
        <f>VLOOKUP(B1309,Readme!A$40:C$52,3,)*Q1309</f>
        <v>26.081621621621672</v>
      </c>
    </row>
    <row r="1310" spans="1:18" ht="12" customHeight="1" x14ac:dyDescent="0.35">
      <c r="A1310" s="75">
        <v>1270</v>
      </c>
      <c r="B1310" s="80">
        <v>2014</v>
      </c>
      <c r="C1310" s="80">
        <v>1</v>
      </c>
      <c r="D1310" s="80">
        <f t="shared" si="74"/>
        <v>2013</v>
      </c>
      <c r="E1310" t="s">
        <v>38</v>
      </c>
      <c r="F1310" t="s">
        <v>143</v>
      </c>
      <c r="G1310" t="s">
        <v>86</v>
      </c>
      <c r="H1310" s="72" t="s">
        <v>250</v>
      </c>
      <c r="I1310" s="72" t="s">
        <v>101</v>
      </c>
      <c r="J1310" t="str">
        <f t="shared" si="73"/>
        <v>Tokul Creek</v>
      </c>
      <c r="K1310" t="str">
        <f>IFERROR(VLOOKUP(J1310,LUTs!$A$1:$C$73,2,FALSE),"NA")</f>
        <v>King</v>
      </c>
      <c r="L1310" t="str">
        <f>IFERROR(VLOOKUP(J1310,LUTs!$A$1:$C$73,3,FALSE),"NA")</f>
        <v>2Central Puget Sound</v>
      </c>
      <c r="M1310" s="72" t="s">
        <v>16</v>
      </c>
      <c r="N1310" t="str">
        <f>VLOOKUP(M1310,LUTs!E$2:H$14,3,)</f>
        <v>03Snohomish</v>
      </c>
      <c r="O1310" t="str">
        <f>VLOOKUP(M1310,LUTs!E$2:H$14,4,)</f>
        <v>01North Puget Sound</v>
      </c>
      <c r="P1310" s="80">
        <v>18.324324324324301</v>
      </c>
      <c r="Q1310" s="103">
        <v>9.1621621621621703</v>
      </c>
      <c r="R1310" s="74">
        <f>VLOOKUP(B1310,Readme!A$40:C$52,3,)*Q1310</f>
        <v>78.244864864864923</v>
      </c>
    </row>
    <row r="1311" spans="1:18" ht="12" customHeight="1" x14ac:dyDescent="0.35">
      <c r="A1311" s="75">
        <v>1271</v>
      </c>
      <c r="B1311" s="80">
        <v>2014</v>
      </c>
      <c r="C1311" s="80">
        <v>1</v>
      </c>
      <c r="D1311" s="80">
        <f t="shared" si="74"/>
        <v>2013</v>
      </c>
      <c r="E1311" t="s">
        <v>38</v>
      </c>
      <c r="F1311" t="s">
        <v>143</v>
      </c>
      <c r="G1311" t="s">
        <v>86</v>
      </c>
      <c r="H1311" s="72" t="s">
        <v>250</v>
      </c>
      <c r="I1311" s="72" t="s">
        <v>101</v>
      </c>
      <c r="J1311" t="str">
        <f t="shared" ref="J1311:J1339" si="75">I1311</f>
        <v>Tokul Creek</v>
      </c>
      <c r="K1311" t="str">
        <f>IFERROR(VLOOKUP(J1311,LUTs!$A$1:$C$73,2,FALSE),"NA")</f>
        <v>King</v>
      </c>
      <c r="L1311" t="str">
        <f>IFERROR(VLOOKUP(J1311,LUTs!$A$1:$C$73,3,FALSE),"NA")</f>
        <v>2Central Puget Sound</v>
      </c>
      <c r="M1311" s="72" t="s">
        <v>21</v>
      </c>
      <c r="N1311" t="str">
        <f>VLOOKUP(M1311,LUTs!E$2:H$14,3,)</f>
        <v>08Thurston</v>
      </c>
      <c r="O1311" t="str">
        <f>VLOOKUP(M1311,LUTs!E$2:H$14,4,)</f>
        <v>02South Puget Sound</v>
      </c>
      <c r="P1311" s="80">
        <v>6.1081081081081097</v>
      </c>
      <c r="Q1311" s="103">
        <v>3.0540540540540602</v>
      </c>
      <c r="R1311" s="74">
        <f>VLOOKUP(B1311,Readme!A$40:C$52,3,)*Q1311</f>
        <v>26.081621621621672</v>
      </c>
    </row>
    <row r="1312" spans="1:18" ht="12" customHeight="1" x14ac:dyDescent="0.35">
      <c r="A1312" s="75">
        <v>1282</v>
      </c>
      <c r="B1312" s="80">
        <v>2014</v>
      </c>
      <c r="C1312" s="80">
        <v>1</v>
      </c>
      <c r="D1312" s="80">
        <f t="shared" si="74"/>
        <v>2013</v>
      </c>
      <c r="E1312" t="s">
        <v>38</v>
      </c>
      <c r="F1312" t="s">
        <v>143</v>
      </c>
      <c r="G1312" t="s">
        <v>86</v>
      </c>
      <c r="H1312" s="72" t="s">
        <v>233</v>
      </c>
      <c r="I1312" s="72" t="s">
        <v>76</v>
      </c>
      <c r="J1312" t="str">
        <f t="shared" si="75"/>
        <v>Wallace River</v>
      </c>
      <c r="K1312" t="str">
        <f>IFERROR(VLOOKUP(J1312,LUTs!$A$1:$C$73,2,FALSE),"NA")</f>
        <v>Snohomish</v>
      </c>
      <c r="L1312" t="str">
        <f>IFERROR(VLOOKUP(J1312,LUTs!$A$1:$C$73,3,FALSE),"NA")</f>
        <v>2Central Puget Sound</v>
      </c>
      <c r="M1312" s="72" t="s">
        <v>18</v>
      </c>
      <c r="N1312" t="str">
        <f>VLOOKUP(M1312,LUTs!E$2:H$14,3,)</f>
        <v>06King</v>
      </c>
      <c r="O1312" t="str">
        <f>VLOOKUP(M1312,LUTs!E$2:H$14,4,)</f>
        <v>02South Puget Sound</v>
      </c>
      <c r="P1312" s="80">
        <v>24.380952380952401</v>
      </c>
      <c r="Q1312" s="103">
        <v>12.1904761904762</v>
      </c>
      <c r="R1312" s="74">
        <f>VLOOKUP(B1312,Readme!A$40:C$52,3,)*Q1312</f>
        <v>104.10666666666674</v>
      </c>
    </row>
    <row r="1313" spans="1:18" ht="12" customHeight="1" x14ac:dyDescent="0.35">
      <c r="A1313" s="75">
        <v>1283</v>
      </c>
      <c r="B1313" s="80">
        <v>2014</v>
      </c>
      <c r="C1313" s="80">
        <v>1</v>
      </c>
      <c r="D1313" s="80">
        <f t="shared" si="74"/>
        <v>2013</v>
      </c>
      <c r="E1313" t="s">
        <v>38</v>
      </c>
      <c r="F1313" t="s">
        <v>143</v>
      </c>
      <c r="G1313" t="s">
        <v>86</v>
      </c>
      <c r="H1313" s="72" t="s">
        <v>233</v>
      </c>
      <c r="I1313" s="72" t="s">
        <v>76</v>
      </c>
      <c r="J1313" t="str">
        <f t="shared" si="75"/>
        <v>Wallace River</v>
      </c>
      <c r="K1313" t="str">
        <f>IFERROR(VLOOKUP(J1313,LUTs!$A$1:$C$73,2,FALSE),"NA")</f>
        <v>Snohomish</v>
      </c>
      <c r="L1313" t="str">
        <f>IFERROR(VLOOKUP(J1313,LUTs!$A$1:$C$73,3,FALSE),"NA")</f>
        <v>2Central Puget Sound</v>
      </c>
      <c r="M1313" s="72" t="s">
        <v>15</v>
      </c>
      <c r="N1313" t="str">
        <f>VLOOKUP(M1313,LUTs!E$2:H$14,3,)</f>
        <v>02Skagit</v>
      </c>
      <c r="O1313" t="str">
        <f>VLOOKUP(M1313,LUTs!E$2:H$14,4,)</f>
        <v>01North Puget Sound</v>
      </c>
      <c r="P1313" s="80">
        <v>6.0952380952381002</v>
      </c>
      <c r="Q1313" s="103">
        <v>3.0476190476190501</v>
      </c>
      <c r="R1313" s="74">
        <f>VLOOKUP(B1313,Readme!A$40:C$52,3,)*Q1313</f>
        <v>26.026666666666685</v>
      </c>
    </row>
    <row r="1314" spans="1:18" ht="12" customHeight="1" x14ac:dyDescent="0.35">
      <c r="A1314" s="75">
        <v>1284</v>
      </c>
      <c r="B1314" s="80">
        <v>2014</v>
      </c>
      <c r="C1314" s="80">
        <v>1</v>
      </c>
      <c r="D1314" s="80">
        <f t="shared" si="74"/>
        <v>2013</v>
      </c>
      <c r="E1314" t="s">
        <v>38</v>
      </c>
      <c r="F1314" t="s">
        <v>143</v>
      </c>
      <c r="G1314" t="s">
        <v>86</v>
      </c>
      <c r="H1314" s="72" t="s">
        <v>233</v>
      </c>
      <c r="I1314" s="72" t="s">
        <v>76</v>
      </c>
      <c r="J1314" t="str">
        <f t="shared" si="75"/>
        <v>Wallace River</v>
      </c>
      <c r="K1314" t="str">
        <f>IFERROR(VLOOKUP(J1314,LUTs!$A$1:$C$73,2,FALSE),"NA")</f>
        <v>Snohomish</v>
      </c>
      <c r="L1314" t="str">
        <f>IFERROR(VLOOKUP(J1314,LUTs!$A$1:$C$73,3,FALSE),"NA")</f>
        <v>2Central Puget Sound</v>
      </c>
      <c r="M1314" s="72" t="s">
        <v>16</v>
      </c>
      <c r="N1314" t="str">
        <f>VLOOKUP(M1314,LUTs!E$2:H$14,3,)</f>
        <v>03Snohomish</v>
      </c>
      <c r="O1314" t="str">
        <f>VLOOKUP(M1314,LUTs!E$2:H$14,4,)</f>
        <v>01North Puget Sound</v>
      </c>
      <c r="P1314" s="80">
        <v>97.523809523809604</v>
      </c>
      <c r="Q1314" s="103">
        <v>48.761904761904802</v>
      </c>
      <c r="R1314" s="74">
        <f>VLOOKUP(B1314,Readme!A$40:C$52,3,)*Q1314</f>
        <v>416.42666666666696</v>
      </c>
    </row>
    <row r="1315" spans="1:18" ht="12" customHeight="1" x14ac:dyDescent="0.35">
      <c r="A1315" s="75">
        <v>1314</v>
      </c>
      <c r="B1315" s="80">
        <v>2014</v>
      </c>
      <c r="C1315" s="80">
        <v>1</v>
      </c>
      <c r="D1315" s="80">
        <f t="shared" si="74"/>
        <v>2013</v>
      </c>
      <c r="E1315" t="s">
        <v>38</v>
      </c>
      <c r="F1315" t="s">
        <v>143</v>
      </c>
      <c r="G1315" t="s">
        <v>86</v>
      </c>
      <c r="H1315" s="72" t="s">
        <v>224</v>
      </c>
      <c r="I1315" s="72" t="s">
        <v>66</v>
      </c>
      <c r="J1315" t="str">
        <f t="shared" si="75"/>
        <v>Whatcom Creek</v>
      </c>
      <c r="K1315" t="str">
        <f>IFERROR(VLOOKUP(J1315,LUTs!$A$1:$C$73,2,FALSE),"NA")</f>
        <v>Whatcom</v>
      </c>
      <c r="L1315" t="str">
        <f>IFERROR(VLOOKUP(J1315,LUTs!$A$1:$C$73,3,FALSE),"NA")</f>
        <v>1North Puget Sound</v>
      </c>
      <c r="M1315" s="72" t="s">
        <v>16</v>
      </c>
      <c r="N1315" t="str">
        <f>VLOOKUP(M1315,LUTs!E$2:H$14,3,)</f>
        <v>03Snohomish</v>
      </c>
      <c r="O1315" t="str">
        <f>VLOOKUP(M1315,LUTs!E$2:H$14,4,)</f>
        <v>01North Puget Sound</v>
      </c>
      <c r="P1315" s="80">
        <v>6.8</v>
      </c>
      <c r="Q1315" s="103">
        <v>3.4</v>
      </c>
      <c r="R1315" s="74">
        <f>VLOOKUP(B1315,Readme!A$40:C$52,3,)*Q1315</f>
        <v>29.035999999999998</v>
      </c>
    </row>
    <row r="1316" spans="1:18" ht="12" customHeight="1" x14ac:dyDescent="0.35">
      <c r="A1316" s="75">
        <v>1315</v>
      </c>
      <c r="B1316" s="80">
        <v>2014</v>
      </c>
      <c r="C1316" s="80">
        <v>1</v>
      </c>
      <c r="D1316" s="80">
        <f t="shared" si="74"/>
        <v>2013</v>
      </c>
      <c r="E1316" t="s">
        <v>38</v>
      </c>
      <c r="F1316" t="s">
        <v>143</v>
      </c>
      <c r="G1316" t="s">
        <v>86</v>
      </c>
      <c r="H1316" s="72" t="s">
        <v>224</v>
      </c>
      <c r="I1316" s="72" t="s">
        <v>66</v>
      </c>
      <c r="J1316" t="str">
        <f t="shared" si="75"/>
        <v>Whatcom Creek</v>
      </c>
      <c r="K1316" t="str">
        <f>IFERROR(VLOOKUP(J1316,LUTs!$A$1:$C$73,2,FALSE),"NA")</f>
        <v>Whatcom</v>
      </c>
      <c r="L1316" t="str">
        <f>IFERROR(VLOOKUP(J1316,LUTs!$A$1:$C$73,3,FALSE),"NA")</f>
        <v>1North Puget Sound</v>
      </c>
      <c r="M1316" s="72" t="s">
        <v>13</v>
      </c>
      <c r="N1316" t="str">
        <f>VLOOKUP(M1316,LUTs!E$2:H$14,3,)</f>
        <v>01Whatcom</v>
      </c>
      <c r="O1316" t="str">
        <f>VLOOKUP(M1316,LUTs!E$2:H$14,4,)</f>
        <v>01North Puget Sound</v>
      </c>
      <c r="P1316" s="80">
        <v>61.2</v>
      </c>
      <c r="Q1316" s="103">
        <v>30.6</v>
      </c>
      <c r="R1316" s="74">
        <f>VLOOKUP(B1316,Readme!A$40:C$52,3,)*Q1316</f>
        <v>261.32400000000001</v>
      </c>
    </row>
    <row r="1317" spans="1:18" ht="12" customHeight="1" x14ac:dyDescent="0.35">
      <c r="A1317" s="75">
        <v>1112</v>
      </c>
      <c r="B1317" s="80">
        <v>2014</v>
      </c>
      <c r="C1317" s="80">
        <v>1</v>
      </c>
      <c r="D1317" s="80">
        <f t="shared" si="74"/>
        <v>2013</v>
      </c>
      <c r="E1317" t="s">
        <v>38</v>
      </c>
      <c r="F1317" t="s">
        <v>143</v>
      </c>
      <c r="G1317" t="s">
        <v>86</v>
      </c>
      <c r="H1317" s="72" t="s">
        <v>242</v>
      </c>
      <c r="I1317" s="72" t="s">
        <v>85</v>
      </c>
      <c r="J1317" t="str">
        <f t="shared" si="75"/>
        <v>White (Stuck) River</v>
      </c>
      <c r="K1317" t="str">
        <f>IFERROR(VLOOKUP(J1317,LUTs!$A$1:$C$73,2,FALSE),"NA")</f>
        <v>Pierce</v>
      </c>
      <c r="L1317" t="str">
        <f>IFERROR(VLOOKUP(J1317,LUTs!$A$1:$C$73,3,FALSE),"NA")</f>
        <v>3South Puget Sound</v>
      </c>
      <c r="M1317" s="72" t="s">
        <v>16</v>
      </c>
      <c r="N1317" t="str">
        <f>VLOOKUP(M1317,LUTs!E$2:H$14,3,)</f>
        <v>03Snohomish</v>
      </c>
      <c r="O1317" t="str">
        <f>VLOOKUP(M1317,LUTs!E$2:H$14,4,)</f>
        <v>01North Puget Sound</v>
      </c>
      <c r="P1317" s="80">
        <v>6</v>
      </c>
      <c r="Q1317" s="103">
        <v>0</v>
      </c>
      <c r="R1317" s="74">
        <f>VLOOKUP(B1317,Readme!A$40:C$52,3,)*Q1317</f>
        <v>0</v>
      </c>
    </row>
    <row r="1318" spans="1:18" ht="12" customHeight="1" x14ac:dyDescent="0.35">
      <c r="A1318" s="75">
        <v>1331</v>
      </c>
      <c r="B1318" s="80">
        <v>2014</v>
      </c>
      <c r="C1318" s="80">
        <v>2</v>
      </c>
      <c r="D1318" s="80">
        <f t="shared" si="74"/>
        <v>2013</v>
      </c>
      <c r="E1318" t="s">
        <v>38</v>
      </c>
      <c r="F1318" t="s">
        <v>143</v>
      </c>
      <c r="G1318" t="s">
        <v>86</v>
      </c>
      <c r="H1318" s="72" t="s">
        <v>254</v>
      </c>
      <c r="I1318" s="72" t="s">
        <v>33</v>
      </c>
      <c r="J1318" t="str">
        <f t="shared" si="75"/>
        <v>Area 9: Admiralty Inlet</v>
      </c>
      <c r="K1318" t="str">
        <f>IFERROR(VLOOKUP(J1318,LUTs!$A$1:$C$73,2,FALSE),"NA")</f>
        <v>NA</v>
      </c>
      <c r="L1318" t="str">
        <f>IFERROR(VLOOKUP(J1318,LUTs!$A$1:$C$73,3,FALSE),"NA")</f>
        <v>2Central Puget Sound</v>
      </c>
      <c r="M1318" s="72" t="s">
        <v>17</v>
      </c>
      <c r="N1318" t="str">
        <f>VLOOKUP(M1318,LUTs!E$2:H$14,3,)</f>
        <v>04Island</v>
      </c>
      <c r="O1318" t="str">
        <f>VLOOKUP(M1318,LUTs!E$2:H$14,4,)</f>
        <v>01North Puget Sound</v>
      </c>
      <c r="P1318" s="80">
        <v>10</v>
      </c>
      <c r="Q1318" s="103">
        <v>5</v>
      </c>
      <c r="R1318" s="74">
        <f>VLOOKUP(B1318,Readme!A$40:C$52,3,)*Q1318</f>
        <v>42.699999999999996</v>
      </c>
    </row>
    <row r="1319" spans="1:18" ht="12" customHeight="1" x14ac:dyDescent="0.35">
      <c r="A1319" s="75">
        <v>1136</v>
      </c>
      <c r="B1319" s="80">
        <v>2014</v>
      </c>
      <c r="C1319" s="80">
        <v>2</v>
      </c>
      <c r="D1319" s="80">
        <f t="shared" si="74"/>
        <v>2013</v>
      </c>
      <c r="E1319" t="s">
        <v>38</v>
      </c>
      <c r="F1319" t="s">
        <v>143</v>
      </c>
      <c r="G1319" t="s">
        <v>86</v>
      </c>
      <c r="H1319" s="72" t="s">
        <v>217</v>
      </c>
      <c r="I1319" s="72" t="s">
        <v>59</v>
      </c>
      <c r="J1319" t="str">
        <f t="shared" si="75"/>
        <v>Cascade River</v>
      </c>
      <c r="K1319" t="str">
        <f>IFERROR(VLOOKUP(J1319,LUTs!$A$1:$C$73,2,FALSE),"NA")</f>
        <v>Skagit</v>
      </c>
      <c r="L1319" t="str">
        <f>IFERROR(VLOOKUP(J1319,LUTs!$A$1:$C$73,3,FALSE),"NA")</f>
        <v>1North Puget Sound</v>
      </c>
      <c r="M1319" s="72" t="s">
        <v>15</v>
      </c>
      <c r="N1319" t="str">
        <f>VLOOKUP(M1319,LUTs!E$2:H$14,3,)</f>
        <v>02Skagit</v>
      </c>
      <c r="O1319" t="str">
        <f>VLOOKUP(M1319,LUTs!E$2:H$14,4,)</f>
        <v>01North Puget Sound</v>
      </c>
      <c r="P1319" s="80">
        <v>19.2</v>
      </c>
      <c r="Q1319" s="103">
        <v>9.6</v>
      </c>
      <c r="R1319" s="74">
        <f>VLOOKUP(B1319,Readme!A$40:C$52,3,)*Q1319</f>
        <v>81.983999999999995</v>
      </c>
    </row>
    <row r="1320" spans="1:18" ht="12" customHeight="1" x14ac:dyDescent="0.35">
      <c r="A1320" s="75">
        <v>1137</v>
      </c>
      <c r="B1320" s="80">
        <v>2014</v>
      </c>
      <c r="C1320" s="80">
        <v>2</v>
      </c>
      <c r="D1320" s="80">
        <f t="shared" si="74"/>
        <v>2013</v>
      </c>
      <c r="E1320" t="s">
        <v>38</v>
      </c>
      <c r="F1320" t="s">
        <v>143</v>
      </c>
      <c r="G1320" t="s">
        <v>86</v>
      </c>
      <c r="H1320" s="72" t="s">
        <v>217</v>
      </c>
      <c r="I1320" s="72" t="s">
        <v>59</v>
      </c>
      <c r="J1320" t="str">
        <f t="shared" si="75"/>
        <v>Cascade River</v>
      </c>
      <c r="K1320" t="str">
        <f>IFERROR(VLOOKUP(J1320,LUTs!$A$1:$C$73,2,FALSE),"NA")</f>
        <v>Skagit</v>
      </c>
      <c r="L1320" t="str">
        <f>IFERROR(VLOOKUP(J1320,LUTs!$A$1:$C$73,3,FALSE),"NA")</f>
        <v>1North Puget Sound</v>
      </c>
      <c r="M1320" s="72" t="s">
        <v>16</v>
      </c>
      <c r="N1320" t="str">
        <f>VLOOKUP(M1320,LUTs!E$2:H$14,3,)</f>
        <v>03Snohomish</v>
      </c>
      <c r="O1320" t="str">
        <f>VLOOKUP(M1320,LUTs!E$2:H$14,4,)</f>
        <v>01North Puget Sound</v>
      </c>
      <c r="P1320" s="80">
        <v>6.4</v>
      </c>
      <c r="Q1320" s="103">
        <v>3.2</v>
      </c>
      <c r="R1320" s="74">
        <f>VLOOKUP(B1320,Readme!A$40:C$52,3,)*Q1320</f>
        <v>27.327999999999999</v>
      </c>
    </row>
    <row r="1321" spans="1:18" ht="12" customHeight="1" x14ac:dyDescent="0.35">
      <c r="A1321" s="75">
        <v>1138</v>
      </c>
      <c r="B1321" s="80">
        <v>2014</v>
      </c>
      <c r="C1321" s="80">
        <v>2</v>
      </c>
      <c r="D1321" s="80">
        <f t="shared" si="74"/>
        <v>2013</v>
      </c>
      <c r="E1321" t="s">
        <v>38</v>
      </c>
      <c r="F1321" t="s">
        <v>143</v>
      </c>
      <c r="G1321" t="s">
        <v>86</v>
      </c>
      <c r="H1321" s="72" t="s">
        <v>217</v>
      </c>
      <c r="I1321" s="72" t="s">
        <v>59</v>
      </c>
      <c r="J1321" t="str">
        <f t="shared" si="75"/>
        <v>Cascade River</v>
      </c>
      <c r="K1321" t="str">
        <f>IFERROR(VLOOKUP(J1321,LUTs!$A$1:$C$73,2,FALSE),"NA")</f>
        <v>Skagit</v>
      </c>
      <c r="L1321" t="str">
        <f>IFERROR(VLOOKUP(J1321,LUTs!$A$1:$C$73,3,FALSE),"NA")</f>
        <v>1North Puget Sound</v>
      </c>
      <c r="M1321" s="72" t="s">
        <v>13</v>
      </c>
      <c r="N1321" t="str">
        <f>VLOOKUP(M1321,LUTs!E$2:H$14,3,)</f>
        <v>01Whatcom</v>
      </c>
      <c r="O1321" t="str">
        <f>VLOOKUP(M1321,LUTs!E$2:H$14,4,)</f>
        <v>01North Puget Sound</v>
      </c>
      <c r="P1321" s="80">
        <v>6.4</v>
      </c>
      <c r="Q1321" s="103">
        <v>3.2</v>
      </c>
      <c r="R1321" s="74">
        <f>VLOOKUP(B1321,Readme!A$40:C$52,3,)*Q1321</f>
        <v>27.327999999999999</v>
      </c>
    </row>
    <row r="1322" spans="1:18" ht="12" customHeight="1" x14ac:dyDescent="0.35">
      <c r="A1322" s="75">
        <v>1088</v>
      </c>
      <c r="B1322" s="80">
        <v>2014</v>
      </c>
      <c r="C1322" s="80">
        <v>2</v>
      </c>
      <c r="D1322" s="80">
        <f t="shared" si="74"/>
        <v>2013</v>
      </c>
      <c r="E1322" t="s">
        <v>38</v>
      </c>
      <c r="F1322" t="s">
        <v>143</v>
      </c>
      <c r="G1322" t="s">
        <v>86</v>
      </c>
      <c r="H1322" s="72" t="s">
        <v>204</v>
      </c>
      <c r="I1322" s="72" t="s">
        <v>46</v>
      </c>
      <c r="J1322" t="str">
        <f t="shared" si="75"/>
        <v>Hoko River</v>
      </c>
      <c r="K1322" t="str">
        <f>IFERROR(VLOOKUP(J1322,LUTs!$A$1:$C$73,2,FALSE),"NA")</f>
        <v>Clallam</v>
      </c>
      <c r="L1322" t="str">
        <f>IFERROR(VLOOKUP(J1322,LUTs!$A$1:$C$73,3,FALSE),"NA")</f>
        <v>0Strait of Juan de Fuca</v>
      </c>
      <c r="M1322" s="72" t="s">
        <v>24</v>
      </c>
      <c r="N1322" t="str">
        <f>VLOOKUP(M1322,LUTs!E$2:H$14,3,)</f>
        <v>11Clallam</v>
      </c>
      <c r="O1322" t="str">
        <f>VLOOKUP(M1322,LUTs!E$2:H$14,4,)</f>
        <v>03Strait of Juan de Fuca</v>
      </c>
      <c r="P1322" s="80">
        <v>6</v>
      </c>
      <c r="Q1322" s="103">
        <v>3</v>
      </c>
      <c r="R1322" s="74">
        <f>VLOOKUP(B1322,Readme!A$40:C$52,3,)*Q1322</f>
        <v>25.619999999999997</v>
      </c>
    </row>
    <row r="1323" spans="1:18" ht="12" customHeight="1" x14ac:dyDescent="0.35">
      <c r="A1323" s="75">
        <v>1100</v>
      </c>
      <c r="B1323" s="80">
        <v>2014</v>
      </c>
      <c r="C1323" s="80">
        <v>2</v>
      </c>
      <c r="D1323" s="80">
        <f t="shared" si="74"/>
        <v>2013</v>
      </c>
      <c r="E1323" t="s">
        <v>38</v>
      </c>
      <c r="F1323" t="s">
        <v>143</v>
      </c>
      <c r="G1323" t="s">
        <v>86</v>
      </c>
      <c r="H1323" s="72" t="s">
        <v>239</v>
      </c>
      <c r="I1323" s="72" t="s">
        <v>92</v>
      </c>
      <c r="J1323" t="str">
        <f t="shared" si="75"/>
        <v>Nooksack River, No. Fork</v>
      </c>
      <c r="K1323" t="str">
        <f>IFERROR(VLOOKUP(J1323,LUTs!$A$1:$C$73,2,FALSE),"NA")</f>
        <v>Whatcom</v>
      </c>
      <c r="L1323" t="str">
        <f>IFERROR(VLOOKUP(J1323,LUTs!$A$1:$C$73,3,FALSE),"NA")</f>
        <v>1North Puget Sound</v>
      </c>
      <c r="M1323" s="72" t="s">
        <v>13</v>
      </c>
      <c r="N1323" t="str">
        <f>VLOOKUP(M1323,LUTs!E$2:H$14,3,)</f>
        <v>01Whatcom</v>
      </c>
      <c r="O1323" t="str">
        <f>VLOOKUP(M1323,LUTs!E$2:H$14,4,)</f>
        <v>01North Puget Sound</v>
      </c>
      <c r="P1323" s="80">
        <v>76</v>
      </c>
      <c r="Q1323" s="103">
        <v>45</v>
      </c>
      <c r="R1323" s="74">
        <f>VLOOKUP(B1323,Readme!A$40:C$52,3,)*Q1323</f>
        <v>384.29999999999995</v>
      </c>
    </row>
    <row r="1324" spans="1:18" ht="12" customHeight="1" x14ac:dyDescent="0.35">
      <c r="A1324" s="75">
        <v>1101</v>
      </c>
      <c r="B1324" s="80">
        <v>2014</v>
      </c>
      <c r="C1324" s="80">
        <v>2</v>
      </c>
      <c r="D1324" s="80">
        <f t="shared" si="74"/>
        <v>2013</v>
      </c>
      <c r="E1324" t="s">
        <v>38</v>
      </c>
      <c r="F1324" t="s">
        <v>143</v>
      </c>
      <c r="G1324" t="s">
        <v>86</v>
      </c>
      <c r="H1324" s="72" t="s">
        <v>240</v>
      </c>
      <c r="I1324" s="72" t="s">
        <v>93</v>
      </c>
      <c r="J1324" t="str">
        <f t="shared" si="75"/>
        <v>Nooksack River, So. Fork</v>
      </c>
      <c r="K1324" t="str">
        <f>IFERROR(VLOOKUP(J1324,LUTs!$A$1:$C$73,2,FALSE),"NA")</f>
        <v>Whatcom</v>
      </c>
      <c r="L1324" t="str">
        <f>IFERROR(VLOOKUP(J1324,LUTs!$A$1:$C$73,3,FALSE),"NA")</f>
        <v>1North Puget Sound</v>
      </c>
      <c r="M1324" s="72" t="s">
        <v>13</v>
      </c>
      <c r="N1324" t="str">
        <f>VLOOKUP(M1324,LUTs!E$2:H$14,3,)</f>
        <v>01Whatcom</v>
      </c>
      <c r="O1324" t="str">
        <f>VLOOKUP(M1324,LUTs!E$2:H$14,4,)</f>
        <v>01North Puget Sound</v>
      </c>
      <c r="P1324" s="80">
        <v>14</v>
      </c>
      <c r="Q1324" s="103">
        <v>0</v>
      </c>
      <c r="R1324" s="74">
        <f>VLOOKUP(B1324,Readme!A$40:C$52,3,)*Q1324</f>
        <v>0</v>
      </c>
    </row>
    <row r="1325" spans="1:18" ht="12" customHeight="1" x14ac:dyDescent="0.35">
      <c r="A1325" s="75">
        <v>1211</v>
      </c>
      <c r="B1325" s="80">
        <v>2014</v>
      </c>
      <c r="C1325" s="80">
        <v>2</v>
      </c>
      <c r="D1325" s="80">
        <f t="shared" si="74"/>
        <v>2013</v>
      </c>
      <c r="E1325" t="s">
        <v>38</v>
      </c>
      <c r="F1325" t="s">
        <v>143</v>
      </c>
      <c r="G1325" t="s">
        <v>86</v>
      </c>
      <c r="H1325" s="72" t="s">
        <v>220</v>
      </c>
      <c r="I1325" s="72" t="s">
        <v>62</v>
      </c>
      <c r="J1325" t="str">
        <f t="shared" si="75"/>
        <v>Skykomish River</v>
      </c>
      <c r="K1325" t="str">
        <f>IFERROR(VLOOKUP(J1325,LUTs!$A$1:$C$73,2,FALSE),"NA")</f>
        <v>Snohomish</v>
      </c>
      <c r="L1325" t="str">
        <f>IFERROR(VLOOKUP(J1325,LUTs!$A$1:$C$73,3,FALSE),"NA")</f>
        <v>2Central Puget Sound</v>
      </c>
      <c r="M1325" s="72" t="s">
        <v>18</v>
      </c>
      <c r="N1325" t="str">
        <f>VLOOKUP(M1325,LUTs!E$2:H$14,3,)</f>
        <v>06King</v>
      </c>
      <c r="O1325" t="str">
        <f>VLOOKUP(M1325,LUTs!E$2:H$14,4,)</f>
        <v>02South Puget Sound</v>
      </c>
      <c r="P1325" s="80">
        <v>24</v>
      </c>
      <c r="Q1325" s="103">
        <v>12</v>
      </c>
      <c r="R1325" s="74">
        <f>VLOOKUP(B1325,Readme!A$40:C$52,3,)*Q1325</f>
        <v>102.47999999999999</v>
      </c>
    </row>
    <row r="1326" spans="1:18" ht="12" customHeight="1" x14ac:dyDescent="0.35">
      <c r="A1326" s="75">
        <v>1212</v>
      </c>
      <c r="B1326" s="80">
        <v>2014</v>
      </c>
      <c r="C1326" s="80">
        <v>2</v>
      </c>
      <c r="D1326" s="80">
        <f t="shared" si="74"/>
        <v>2013</v>
      </c>
      <c r="E1326" t="s">
        <v>38</v>
      </c>
      <c r="F1326" t="s">
        <v>143</v>
      </c>
      <c r="G1326" t="s">
        <v>86</v>
      </c>
      <c r="H1326" s="72" t="s">
        <v>220</v>
      </c>
      <c r="I1326" s="72" t="s">
        <v>62</v>
      </c>
      <c r="J1326" t="str">
        <f t="shared" si="75"/>
        <v>Skykomish River</v>
      </c>
      <c r="K1326" t="str">
        <f>IFERROR(VLOOKUP(J1326,LUTs!$A$1:$C$73,2,FALSE),"NA")</f>
        <v>Snohomish</v>
      </c>
      <c r="L1326" t="str">
        <f>IFERROR(VLOOKUP(J1326,LUTs!$A$1:$C$73,3,FALSE),"NA")</f>
        <v>2Central Puget Sound</v>
      </c>
      <c r="M1326" s="72" t="s">
        <v>16</v>
      </c>
      <c r="N1326" t="str">
        <f>VLOOKUP(M1326,LUTs!E$2:H$14,3,)</f>
        <v>03Snohomish</v>
      </c>
      <c r="O1326" t="str">
        <f>VLOOKUP(M1326,LUTs!E$2:H$14,4,)</f>
        <v>01North Puget Sound</v>
      </c>
      <c r="P1326" s="80">
        <v>24</v>
      </c>
      <c r="Q1326" s="103">
        <v>12</v>
      </c>
      <c r="R1326" s="74">
        <f>VLOOKUP(B1326,Readme!A$40:C$52,3,)*Q1326</f>
        <v>102.47999999999999</v>
      </c>
    </row>
    <row r="1327" spans="1:18" ht="12" customHeight="1" x14ac:dyDescent="0.35">
      <c r="A1327" s="75">
        <v>1264</v>
      </c>
      <c r="B1327" s="80">
        <v>2014</v>
      </c>
      <c r="C1327" s="80">
        <v>2</v>
      </c>
      <c r="D1327" s="80">
        <f t="shared" si="74"/>
        <v>2013</v>
      </c>
      <c r="E1327" t="s">
        <v>38</v>
      </c>
      <c r="F1327" t="s">
        <v>143</v>
      </c>
      <c r="G1327" t="s">
        <v>86</v>
      </c>
      <c r="H1327" s="72" t="s">
        <v>222</v>
      </c>
      <c r="I1327" s="72" t="s">
        <v>64</v>
      </c>
      <c r="J1327" t="str">
        <f t="shared" si="75"/>
        <v>Snoqualmie River</v>
      </c>
      <c r="K1327" t="str">
        <f>IFERROR(VLOOKUP(J1327,LUTs!$A$1:$C$73,2,FALSE),"NA")</f>
        <v>Snohomish/King</v>
      </c>
      <c r="L1327" t="str">
        <f>IFERROR(VLOOKUP(J1327,LUTs!$A$1:$C$73,3,FALSE),"NA")</f>
        <v>2Central Puget Sound</v>
      </c>
      <c r="M1327" s="72" t="s">
        <v>18</v>
      </c>
      <c r="N1327" t="str">
        <f>VLOOKUP(M1327,LUTs!E$2:H$14,3,)</f>
        <v>06King</v>
      </c>
      <c r="O1327" t="str">
        <f>VLOOKUP(M1327,LUTs!E$2:H$14,4,)</f>
        <v>02South Puget Sound</v>
      </c>
      <c r="P1327" s="80">
        <v>42</v>
      </c>
      <c r="Q1327" s="103">
        <v>21</v>
      </c>
      <c r="R1327" s="74">
        <f>VLOOKUP(B1327,Readme!A$40:C$52,3,)*Q1327</f>
        <v>179.33999999999997</v>
      </c>
    </row>
    <row r="1328" spans="1:18" ht="12" customHeight="1" x14ac:dyDescent="0.35">
      <c r="A1328" s="75">
        <v>1305</v>
      </c>
      <c r="B1328" s="80">
        <v>2014</v>
      </c>
      <c r="C1328" s="80">
        <v>2</v>
      </c>
      <c r="D1328" s="80">
        <f t="shared" si="74"/>
        <v>2013</v>
      </c>
      <c r="E1328" t="s">
        <v>38</v>
      </c>
      <c r="F1328" t="s">
        <v>143</v>
      </c>
      <c r="G1328" t="s">
        <v>86</v>
      </c>
      <c r="H1328" s="72" t="s">
        <v>223</v>
      </c>
      <c r="I1328" s="72" t="s">
        <v>103</v>
      </c>
      <c r="J1328" t="str">
        <f t="shared" si="75"/>
        <v>Stillaguamish R, No. Fork</v>
      </c>
      <c r="K1328" t="str">
        <f>IFERROR(VLOOKUP(J1328,LUTs!$A$1:$C$73,2,FALSE),"NA")</f>
        <v>Snohomish</v>
      </c>
      <c r="L1328" t="str">
        <f>IFERROR(VLOOKUP(J1328,LUTs!$A$1:$C$73,3,FALSE),"NA")</f>
        <v>2Central Puget Sound</v>
      </c>
      <c r="M1328" s="72" t="s">
        <v>16</v>
      </c>
      <c r="N1328" t="str">
        <f>VLOOKUP(M1328,LUTs!E$2:H$14,3,)</f>
        <v>03Snohomish</v>
      </c>
      <c r="O1328" t="str">
        <f>VLOOKUP(M1328,LUTs!E$2:H$14,4,)</f>
        <v>01North Puget Sound</v>
      </c>
      <c r="P1328" s="80">
        <v>6</v>
      </c>
      <c r="Q1328" s="103">
        <v>3</v>
      </c>
      <c r="R1328" s="74">
        <f>VLOOKUP(B1328,Readme!A$40:C$52,3,)*Q1328</f>
        <v>25.619999999999997</v>
      </c>
    </row>
    <row r="1329" spans="1:18" ht="12" customHeight="1" x14ac:dyDescent="0.35">
      <c r="A1329" s="75">
        <v>1272</v>
      </c>
      <c r="B1329" s="80">
        <v>2014</v>
      </c>
      <c r="C1329" s="80">
        <v>2</v>
      </c>
      <c r="D1329" s="80">
        <f t="shared" si="74"/>
        <v>2013</v>
      </c>
      <c r="E1329" t="s">
        <v>38</v>
      </c>
      <c r="F1329" t="s">
        <v>143</v>
      </c>
      <c r="G1329" t="s">
        <v>86</v>
      </c>
      <c r="H1329" s="72" t="s">
        <v>250</v>
      </c>
      <c r="I1329" s="72" t="s">
        <v>101</v>
      </c>
      <c r="J1329" t="str">
        <f t="shared" si="75"/>
        <v>Tokul Creek</v>
      </c>
      <c r="K1329" t="str">
        <f>IFERROR(VLOOKUP(J1329,LUTs!$A$1:$C$73,2,FALSE),"NA")</f>
        <v>King</v>
      </c>
      <c r="L1329" t="str">
        <f>IFERROR(VLOOKUP(J1329,LUTs!$A$1:$C$73,3,FALSE),"NA")</f>
        <v>2Central Puget Sound</v>
      </c>
      <c r="M1329" s="72" t="s">
        <v>18</v>
      </c>
      <c r="N1329" t="str">
        <f>VLOOKUP(M1329,LUTs!E$2:H$14,3,)</f>
        <v>06King</v>
      </c>
      <c r="O1329" t="str">
        <f>VLOOKUP(M1329,LUTs!E$2:H$14,4,)</f>
        <v>02South Puget Sound</v>
      </c>
      <c r="P1329" s="80">
        <v>42</v>
      </c>
      <c r="Q1329" s="103">
        <v>21</v>
      </c>
      <c r="R1329" s="74">
        <f>VLOOKUP(B1329,Readme!A$40:C$52,3,)*Q1329</f>
        <v>179.33999999999997</v>
      </c>
    </row>
    <row r="1330" spans="1:18" ht="12" customHeight="1" x14ac:dyDescent="0.35">
      <c r="A1330" s="75">
        <v>1273</v>
      </c>
      <c r="B1330" s="80">
        <v>2014</v>
      </c>
      <c r="C1330" s="80">
        <v>2</v>
      </c>
      <c r="D1330" s="80">
        <f t="shared" si="74"/>
        <v>2013</v>
      </c>
      <c r="E1330" t="s">
        <v>38</v>
      </c>
      <c r="F1330" t="s">
        <v>143</v>
      </c>
      <c r="G1330" t="s">
        <v>86</v>
      </c>
      <c r="H1330" s="72" t="s">
        <v>250</v>
      </c>
      <c r="I1330" s="72" t="s">
        <v>101</v>
      </c>
      <c r="J1330" t="str">
        <f t="shared" si="75"/>
        <v>Tokul Creek</v>
      </c>
      <c r="K1330" t="str">
        <f>IFERROR(VLOOKUP(J1330,LUTs!$A$1:$C$73,2,FALSE),"NA")</f>
        <v>King</v>
      </c>
      <c r="L1330" t="str">
        <f>IFERROR(VLOOKUP(J1330,LUTs!$A$1:$C$73,3,FALSE),"NA")</f>
        <v>2Central Puget Sound</v>
      </c>
      <c r="M1330" s="72" t="s">
        <v>16</v>
      </c>
      <c r="N1330" t="str">
        <f>VLOOKUP(M1330,LUTs!E$2:H$14,3,)</f>
        <v>03Snohomish</v>
      </c>
      <c r="O1330" t="str">
        <f>VLOOKUP(M1330,LUTs!E$2:H$14,4,)</f>
        <v>01North Puget Sound</v>
      </c>
      <c r="P1330" s="80">
        <v>6</v>
      </c>
      <c r="Q1330" s="103">
        <v>3</v>
      </c>
      <c r="R1330" s="74">
        <f>VLOOKUP(B1330,Readme!A$40:C$52,3,)*Q1330</f>
        <v>25.619999999999997</v>
      </c>
    </row>
    <row r="1331" spans="1:18" ht="12" customHeight="1" x14ac:dyDescent="0.35">
      <c r="A1331" s="75">
        <v>1285</v>
      </c>
      <c r="B1331" s="80">
        <v>2014</v>
      </c>
      <c r="C1331" s="80">
        <v>2</v>
      </c>
      <c r="D1331" s="80">
        <f t="shared" si="74"/>
        <v>2013</v>
      </c>
      <c r="E1331" t="s">
        <v>38</v>
      </c>
      <c r="F1331" t="s">
        <v>143</v>
      </c>
      <c r="G1331" t="s">
        <v>86</v>
      </c>
      <c r="H1331" s="72" t="s">
        <v>233</v>
      </c>
      <c r="I1331" s="72" t="s">
        <v>76</v>
      </c>
      <c r="J1331" t="str">
        <f t="shared" si="75"/>
        <v>Wallace River</v>
      </c>
      <c r="K1331" t="str">
        <f>IFERROR(VLOOKUP(J1331,LUTs!$A$1:$C$73,2,FALSE),"NA")</f>
        <v>Snohomish</v>
      </c>
      <c r="L1331" t="str">
        <f>IFERROR(VLOOKUP(J1331,LUTs!$A$1:$C$73,3,FALSE),"NA")</f>
        <v>2Central Puget Sound</v>
      </c>
      <c r="M1331" s="72" t="s">
        <v>16</v>
      </c>
      <c r="N1331" t="str">
        <f>VLOOKUP(M1331,LUTs!E$2:H$14,3,)</f>
        <v>03Snohomish</v>
      </c>
      <c r="O1331" t="str">
        <f>VLOOKUP(M1331,LUTs!E$2:H$14,4,)</f>
        <v>01North Puget Sound</v>
      </c>
      <c r="P1331" s="80">
        <v>12</v>
      </c>
      <c r="Q1331" s="103">
        <v>6</v>
      </c>
      <c r="R1331" s="74">
        <f>VLOOKUP(B1331,Readme!A$40:C$52,3,)*Q1331</f>
        <v>51.239999999999995</v>
      </c>
    </row>
    <row r="1332" spans="1:18" ht="12" customHeight="1" x14ac:dyDescent="0.35">
      <c r="A1332" s="75">
        <v>1316</v>
      </c>
      <c r="B1332" s="80">
        <v>2014</v>
      </c>
      <c r="C1332" s="80">
        <v>2</v>
      </c>
      <c r="D1332" s="80">
        <f t="shared" si="74"/>
        <v>2013</v>
      </c>
      <c r="E1332" t="s">
        <v>38</v>
      </c>
      <c r="F1332" t="s">
        <v>143</v>
      </c>
      <c r="G1332" t="s">
        <v>86</v>
      </c>
      <c r="H1332" s="72" t="s">
        <v>224</v>
      </c>
      <c r="I1332" s="72" t="s">
        <v>66</v>
      </c>
      <c r="J1332" t="str">
        <f t="shared" si="75"/>
        <v>Whatcom Creek</v>
      </c>
      <c r="K1332" t="str">
        <f>IFERROR(VLOOKUP(J1332,LUTs!$A$1:$C$73,2,FALSE),"NA")</f>
        <v>Whatcom</v>
      </c>
      <c r="L1332" t="str">
        <f>IFERROR(VLOOKUP(J1332,LUTs!$A$1:$C$73,3,FALSE),"NA")</f>
        <v>1North Puget Sound</v>
      </c>
      <c r="M1332" s="72" t="s">
        <v>13</v>
      </c>
      <c r="N1332" t="str">
        <f>VLOOKUP(M1332,LUTs!E$2:H$14,3,)</f>
        <v>01Whatcom</v>
      </c>
      <c r="O1332" t="str">
        <f>VLOOKUP(M1332,LUTs!E$2:H$14,4,)</f>
        <v>01North Puget Sound</v>
      </c>
      <c r="P1332" s="80">
        <v>14</v>
      </c>
      <c r="Q1332" s="103">
        <v>7</v>
      </c>
      <c r="R1332" s="74">
        <f>VLOOKUP(B1332,Readme!A$40:C$52,3,)*Q1332</f>
        <v>59.779999999999994</v>
      </c>
    </row>
    <row r="1333" spans="1:18" ht="12" customHeight="1" x14ac:dyDescent="0.35">
      <c r="A1333" s="75">
        <v>1332</v>
      </c>
      <c r="B1333" s="80">
        <v>2014</v>
      </c>
      <c r="C1333" s="80">
        <v>3</v>
      </c>
      <c r="D1333" s="80">
        <f t="shared" si="74"/>
        <v>2013</v>
      </c>
      <c r="E1333" t="s">
        <v>38</v>
      </c>
      <c r="F1333" t="s">
        <v>143</v>
      </c>
      <c r="G1333" t="s">
        <v>86</v>
      </c>
      <c r="H1333" s="72" t="s">
        <v>254</v>
      </c>
      <c r="I1333" s="72" t="s">
        <v>33</v>
      </c>
      <c r="J1333" t="str">
        <f t="shared" si="75"/>
        <v>Area 9: Admiralty Inlet</v>
      </c>
      <c r="K1333" t="str">
        <f>IFERROR(VLOOKUP(J1333,LUTs!$A$1:$C$73,2,FALSE),"NA")</f>
        <v>NA</v>
      </c>
      <c r="L1333" t="str">
        <f>IFERROR(VLOOKUP(J1333,LUTs!$A$1:$C$73,3,FALSE),"NA")</f>
        <v>2Central Puget Sound</v>
      </c>
      <c r="M1333" s="72" t="s">
        <v>17</v>
      </c>
      <c r="N1333" t="str">
        <f>VLOOKUP(M1333,LUTs!E$2:H$14,3,)</f>
        <v>04Island</v>
      </c>
      <c r="O1333" t="str">
        <f>VLOOKUP(M1333,LUTs!E$2:H$14,4,)</f>
        <v>01North Puget Sound</v>
      </c>
      <c r="P1333" s="80">
        <v>14.4</v>
      </c>
      <c r="Q1333" s="103">
        <v>7.2</v>
      </c>
      <c r="R1333" s="74">
        <f>VLOOKUP(B1333,Readme!A$40:C$52,3,)*Q1333</f>
        <v>61.487999999999992</v>
      </c>
    </row>
    <row r="1334" spans="1:18" ht="12" customHeight="1" x14ac:dyDescent="0.35">
      <c r="A1334" s="75">
        <v>1333</v>
      </c>
      <c r="B1334" s="80">
        <v>2014</v>
      </c>
      <c r="C1334" s="80">
        <v>3</v>
      </c>
      <c r="D1334" s="80">
        <f t="shared" si="74"/>
        <v>2013</v>
      </c>
      <c r="E1334" t="s">
        <v>38</v>
      </c>
      <c r="F1334" t="s">
        <v>143</v>
      </c>
      <c r="G1334" t="s">
        <v>86</v>
      </c>
      <c r="H1334" s="72" t="s">
        <v>254</v>
      </c>
      <c r="I1334" s="72" t="s">
        <v>33</v>
      </c>
      <c r="J1334" t="str">
        <f t="shared" si="75"/>
        <v>Area 9: Admiralty Inlet</v>
      </c>
      <c r="K1334" t="str">
        <f>IFERROR(VLOOKUP(J1334,LUTs!$A$1:$C$73,2,FALSE),"NA")</f>
        <v>NA</v>
      </c>
      <c r="L1334" t="str">
        <f>IFERROR(VLOOKUP(J1334,LUTs!$A$1:$C$73,3,FALSE),"NA")</f>
        <v>2Central Puget Sound</v>
      </c>
      <c r="M1334" s="72" t="s">
        <v>16</v>
      </c>
      <c r="N1334" t="str">
        <f>VLOOKUP(M1334,LUTs!E$2:H$14,3,)</f>
        <v>03Snohomish</v>
      </c>
      <c r="O1334" t="str">
        <f>VLOOKUP(M1334,LUTs!E$2:H$14,4,)</f>
        <v>01North Puget Sound</v>
      </c>
      <c r="P1334" s="80">
        <v>3.6</v>
      </c>
      <c r="Q1334" s="103">
        <v>1.8</v>
      </c>
      <c r="R1334" s="74">
        <f>VLOOKUP(B1334,Readme!A$40:C$52,3,)*Q1334</f>
        <v>15.371999999999998</v>
      </c>
    </row>
    <row r="1335" spans="1:18" ht="12" customHeight="1" x14ac:dyDescent="0.35">
      <c r="A1335" s="75">
        <v>1567</v>
      </c>
      <c r="B1335" s="80">
        <v>2014</v>
      </c>
      <c r="C1335" s="80">
        <v>4</v>
      </c>
      <c r="D1335" s="80">
        <f t="shared" si="74"/>
        <v>2014</v>
      </c>
      <c r="E1335" t="s">
        <v>38</v>
      </c>
      <c r="F1335" t="s">
        <v>143</v>
      </c>
      <c r="G1335" t="s">
        <v>86</v>
      </c>
      <c r="H1335" s="72" t="s">
        <v>254</v>
      </c>
      <c r="I1335" s="72" t="s">
        <v>33</v>
      </c>
      <c r="J1335" t="str">
        <f t="shared" si="75"/>
        <v>Area 9: Admiralty Inlet</v>
      </c>
      <c r="K1335" t="str">
        <f>IFERROR(VLOOKUP(J1335,LUTs!$A$1:$C$73,2,FALSE),"NA")</f>
        <v>NA</v>
      </c>
      <c r="L1335" t="str">
        <f>IFERROR(VLOOKUP(J1335,LUTs!$A$1:$C$73,3,FALSE),"NA")</f>
        <v>2Central Puget Sound</v>
      </c>
      <c r="M1335" s="72" t="s">
        <v>17</v>
      </c>
      <c r="N1335" t="str">
        <f>VLOOKUP(M1335,LUTs!E$2:H$14,3,)</f>
        <v>04Island</v>
      </c>
      <c r="O1335" t="str">
        <f>VLOOKUP(M1335,LUTs!E$2:H$14,4,)</f>
        <v>01North Puget Sound</v>
      </c>
      <c r="P1335" s="80">
        <v>1</v>
      </c>
      <c r="Q1335" s="103">
        <v>0.5</v>
      </c>
      <c r="R1335" s="74">
        <f>VLOOKUP(B1335,Readme!A$40:C$52,3,)*Q1335</f>
        <v>4.2699999999999996</v>
      </c>
    </row>
    <row r="1336" spans="1:18" ht="12" customHeight="1" x14ac:dyDescent="0.35">
      <c r="A1336" s="75">
        <v>1568</v>
      </c>
      <c r="B1336" s="80">
        <v>2014</v>
      </c>
      <c r="C1336" s="80">
        <v>4</v>
      </c>
      <c r="D1336" s="80">
        <f t="shared" si="74"/>
        <v>2014</v>
      </c>
      <c r="E1336" t="s">
        <v>38</v>
      </c>
      <c r="F1336" t="s">
        <v>143</v>
      </c>
      <c r="G1336" t="s">
        <v>86</v>
      </c>
      <c r="H1336" s="72" t="s">
        <v>254</v>
      </c>
      <c r="I1336" s="72" t="s">
        <v>33</v>
      </c>
      <c r="J1336" t="str">
        <f t="shared" si="75"/>
        <v>Area 9: Admiralty Inlet</v>
      </c>
      <c r="K1336" t="str">
        <f>IFERROR(VLOOKUP(J1336,LUTs!$A$1:$C$73,2,FALSE),"NA")</f>
        <v>NA</v>
      </c>
      <c r="L1336" t="str">
        <f>IFERROR(VLOOKUP(J1336,LUTs!$A$1:$C$73,3,FALSE),"NA")</f>
        <v>2Central Puget Sound</v>
      </c>
      <c r="M1336" s="72" t="s">
        <v>16</v>
      </c>
      <c r="N1336" t="str">
        <f>VLOOKUP(M1336,LUTs!E$2:H$14,3,)</f>
        <v>03Snohomish</v>
      </c>
      <c r="O1336" t="str">
        <f>VLOOKUP(M1336,LUTs!E$2:H$14,4,)</f>
        <v>01North Puget Sound</v>
      </c>
      <c r="P1336" s="80">
        <v>3</v>
      </c>
      <c r="Q1336" s="103">
        <v>1.5</v>
      </c>
      <c r="R1336" s="74">
        <f>VLOOKUP(B1336,Readme!A$40:C$52,3,)*Q1336</f>
        <v>12.809999999999999</v>
      </c>
    </row>
    <row r="1337" spans="1:18" ht="12" customHeight="1" x14ac:dyDescent="0.35">
      <c r="A1337" s="75">
        <v>1569</v>
      </c>
      <c r="B1337" s="80">
        <v>2014</v>
      </c>
      <c r="C1337" s="80">
        <v>5</v>
      </c>
      <c r="D1337" s="80">
        <f t="shared" si="74"/>
        <v>2014</v>
      </c>
      <c r="E1337" t="s">
        <v>38</v>
      </c>
      <c r="F1337" t="s">
        <v>143</v>
      </c>
      <c r="G1337" t="s">
        <v>86</v>
      </c>
      <c r="H1337" s="72" t="s">
        <v>254</v>
      </c>
      <c r="I1337" s="72" t="s">
        <v>33</v>
      </c>
      <c r="J1337" t="str">
        <f t="shared" si="75"/>
        <v>Area 9: Admiralty Inlet</v>
      </c>
      <c r="K1337" t="str">
        <f>IFERROR(VLOOKUP(J1337,LUTs!$A$1:$C$73,2,FALSE),"NA")</f>
        <v>NA</v>
      </c>
      <c r="L1337" t="str">
        <f>IFERROR(VLOOKUP(J1337,LUTs!$A$1:$C$73,3,FALSE),"NA")</f>
        <v>2Central Puget Sound</v>
      </c>
      <c r="M1337" s="72" t="s">
        <v>17</v>
      </c>
      <c r="N1337" t="str">
        <f>VLOOKUP(M1337,LUTs!E$2:H$14,3,)</f>
        <v>04Island</v>
      </c>
      <c r="O1337" t="str">
        <f>VLOOKUP(M1337,LUTs!E$2:H$14,4,)</f>
        <v>01North Puget Sound</v>
      </c>
      <c r="P1337" s="80">
        <v>4</v>
      </c>
      <c r="Q1337" s="103">
        <v>2</v>
      </c>
      <c r="R1337" s="74">
        <f>VLOOKUP(B1337,Readme!A$40:C$52,3,)*Q1337</f>
        <v>17.079999999999998</v>
      </c>
    </row>
    <row r="1338" spans="1:18" ht="12" customHeight="1" x14ac:dyDescent="0.35">
      <c r="A1338" s="75">
        <v>1570</v>
      </c>
      <c r="B1338" s="80">
        <v>2014</v>
      </c>
      <c r="C1338" s="80">
        <v>6</v>
      </c>
      <c r="D1338" s="80">
        <f t="shared" si="74"/>
        <v>2014</v>
      </c>
      <c r="E1338" t="s">
        <v>38</v>
      </c>
      <c r="F1338" t="s">
        <v>143</v>
      </c>
      <c r="G1338" t="s">
        <v>86</v>
      </c>
      <c r="H1338" s="72" t="s">
        <v>254</v>
      </c>
      <c r="I1338" s="72" t="s">
        <v>33</v>
      </c>
      <c r="J1338" t="str">
        <f t="shared" si="75"/>
        <v>Area 9: Admiralty Inlet</v>
      </c>
      <c r="K1338" t="str">
        <f>IFERROR(VLOOKUP(J1338,LUTs!$A$1:$C$73,2,FALSE),"NA")</f>
        <v>NA</v>
      </c>
      <c r="L1338" t="str">
        <f>IFERROR(VLOOKUP(J1338,LUTs!$A$1:$C$73,3,FALSE),"NA")</f>
        <v>2Central Puget Sound</v>
      </c>
      <c r="M1338" s="72" t="s">
        <v>17</v>
      </c>
      <c r="N1338" t="str">
        <f>VLOOKUP(M1338,LUTs!E$2:H$14,3,)</f>
        <v>04Island</v>
      </c>
      <c r="O1338" t="str">
        <f>VLOOKUP(M1338,LUTs!E$2:H$14,4,)</f>
        <v>01North Puget Sound</v>
      </c>
      <c r="P1338" s="80">
        <v>4</v>
      </c>
      <c r="Q1338" s="103">
        <v>2</v>
      </c>
      <c r="R1338" s="74">
        <f>VLOOKUP(B1338,Readme!A$40:C$52,3,)*Q1338</f>
        <v>17.079999999999998</v>
      </c>
    </row>
    <row r="1339" spans="1:18" ht="12" customHeight="1" x14ac:dyDescent="0.35">
      <c r="A1339" s="75">
        <v>1546</v>
      </c>
      <c r="B1339" s="80">
        <v>2014</v>
      </c>
      <c r="C1339" s="80">
        <v>6</v>
      </c>
      <c r="D1339" s="80">
        <f t="shared" si="74"/>
        <v>2014</v>
      </c>
      <c r="E1339" t="s">
        <v>38</v>
      </c>
      <c r="F1339" t="s">
        <v>143</v>
      </c>
      <c r="G1339" t="s">
        <v>86</v>
      </c>
      <c r="H1339" s="72" t="s">
        <v>251</v>
      </c>
      <c r="I1339" s="72" t="s">
        <v>102</v>
      </c>
      <c r="J1339" t="str">
        <f t="shared" si="75"/>
        <v>Canyon Creek</v>
      </c>
      <c r="K1339" t="str">
        <f>IFERROR(VLOOKUP(J1339,LUTs!$A$1:$C$73,2,FALSE),"NA")</f>
        <v>Snohomish</v>
      </c>
      <c r="L1339" t="str">
        <f>IFERROR(VLOOKUP(J1339,LUTs!$A$1:$C$73,3,FALSE),"NA")</f>
        <v>2Central Puget Sound</v>
      </c>
      <c r="M1339" s="72" t="s">
        <v>16</v>
      </c>
      <c r="N1339" t="str">
        <f>VLOOKUP(M1339,LUTs!E$2:H$14,3,)</f>
        <v>03Snohomish</v>
      </c>
      <c r="O1339" t="str">
        <f>VLOOKUP(M1339,LUTs!E$2:H$14,4,)</f>
        <v>01North Puget Sound</v>
      </c>
      <c r="P1339" s="80">
        <v>8</v>
      </c>
      <c r="Q1339" s="103">
        <v>4</v>
      </c>
      <c r="R1339" s="74">
        <f>VLOOKUP(B1339,Readme!A$40:C$52,3,)*Q1339</f>
        <v>34.159999999999997</v>
      </c>
    </row>
    <row r="1340" spans="1:18" ht="12" customHeight="1" x14ac:dyDescent="0.35">
      <c r="A1340" s="75">
        <v>1348</v>
      </c>
      <c r="B1340" s="80">
        <v>2014</v>
      </c>
      <c r="C1340" s="80">
        <v>6</v>
      </c>
      <c r="D1340" s="80">
        <f t="shared" si="74"/>
        <v>2014</v>
      </c>
      <c r="E1340" t="s">
        <v>38</v>
      </c>
      <c r="F1340" t="s">
        <v>143</v>
      </c>
      <c r="G1340" t="s">
        <v>86</v>
      </c>
      <c r="H1340" s="72" t="s">
        <v>203</v>
      </c>
      <c r="I1340" s="72" t="s">
        <v>89</v>
      </c>
      <c r="J1340" s="84" t="s">
        <v>45</v>
      </c>
      <c r="K1340" t="str">
        <f>IFERROR(VLOOKUP(J1340,LUTs!$A$1:$C$73,2,FALSE),"NA")</f>
        <v>King</v>
      </c>
      <c r="L1340" t="str">
        <f>IFERROR(VLOOKUP(J1340,LUTs!$A$1:$C$73,3,FALSE),"NA")</f>
        <v>3South Puget Sound</v>
      </c>
      <c r="M1340" s="72" t="s">
        <v>18</v>
      </c>
      <c r="N1340" t="str">
        <f>VLOOKUP(M1340,LUTs!E$2:H$14,3,)</f>
        <v>06King</v>
      </c>
      <c r="O1340" t="str">
        <f>VLOOKUP(M1340,LUTs!E$2:H$14,4,)</f>
        <v>02South Puget Sound</v>
      </c>
      <c r="P1340" s="80">
        <v>66.857142857142904</v>
      </c>
      <c r="Q1340" s="103">
        <v>33.428571428571402</v>
      </c>
      <c r="R1340" s="74">
        <f>VLOOKUP(B1340,Readme!A$40:C$52,3,)*Q1340</f>
        <v>285.47999999999973</v>
      </c>
    </row>
    <row r="1341" spans="1:18" ht="12" customHeight="1" x14ac:dyDescent="0.35">
      <c r="A1341" s="75">
        <v>1349</v>
      </c>
      <c r="B1341" s="80">
        <v>2014</v>
      </c>
      <c r="C1341" s="80">
        <v>6</v>
      </c>
      <c r="D1341" s="80">
        <f t="shared" si="74"/>
        <v>2014</v>
      </c>
      <c r="E1341" t="s">
        <v>38</v>
      </c>
      <c r="F1341" t="s">
        <v>143</v>
      </c>
      <c r="G1341" t="s">
        <v>86</v>
      </c>
      <c r="H1341" s="72" t="s">
        <v>203</v>
      </c>
      <c r="I1341" s="72" t="s">
        <v>89</v>
      </c>
      <c r="J1341" s="84" t="s">
        <v>45</v>
      </c>
      <c r="K1341" t="str">
        <f>IFERROR(VLOOKUP(J1341,LUTs!$A$1:$C$73,2,FALSE),"NA")</f>
        <v>King</v>
      </c>
      <c r="L1341" t="str">
        <f>IFERROR(VLOOKUP(J1341,LUTs!$A$1:$C$73,3,FALSE),"NA")</f>
        <v>3South Puget Sound</v>
      </c>
      <c r="M1341" s="72" t="s">
        <v>20</v>
      </c>
      <c r="N1341" t="str">
        <f>VLOOKUP(M1341,LUTs!E$2:H$14,3,)</f>
        <v>07Pierce</v>
      </c>
      <c r="O1341" t="str">
        <f>VLOOKUP(M1341,LUTs!E$2:H$14,4,)</f>
        <v>02South Puget Sound</v>
      </c>
      <c r="P1341" s="80">
        <v>11.1428571428571</v>
      </c>
      <c r="Q1341" s="103">
        <v>5.5714285714285703</v>
      </c>
      <c r="R1341" s="74">
        <f>VLOOKUP(B1341,Readme!A$40:C$52,3,)*Q1341</f>
        <v>47.579999999999984</v>
      </c>
    </row>
    <row r="1342" spans="1:18" ht="12" customHeight="1" x14ac:dyDescent="0.35">
      <c r="A1342" s="75">
        <v>1432</v>
      </c>
      <c r="B1342" s="80">
        <v>2014</v>
      </c>
      <c r="C1342" s="80">
        <v>6</v>
      </c>
      <c r="D1342" s="80">
        <f t="shared" si="74"/>
        <v>2014</v>
      </c>
      <c r="E1342" t="s">
        <v>38</v>
      </c>
      <c r="F1342" t="s">
        <v>143</v>
      </c>
      <c r="G1342" t="s">
        <v>86</v>
      </c>
      <c r="H1342" s="72" t="s">
        <v>220</v>
      </c>
      <c r="I1342" s="72" t="s">
        <v>62</v>
      </c>
      <c r="J1342" t="str">
        <f t="shared" ref="J1342:J1359" si="76">I1342</f>
        <v>Skykomish River</v>
      </c>
      <c r="K1342" t="str">
        <f>IFERROR(VLOOKUP(J1342,LUTs!$A$1:$C$73,2,FALSE),"NA")</f>
        <v>Snohomish</v>
      </c>
      <c r="L1342" t="str">
        <f>IFERROR(VLOOKUP(J1342,LUTs!$A$1:$C$73,3,FALSE),"NA")</f>
        <v>2Central Puget Sound</v>
      </c>
      <c r="M1342" s="72" t="s">
        <v>24</v>
      </c>
      <c r="N1342" t="str">
        <f>VLOOKUP(M1342,LUTs!E$2:H$14,3,)</f>
        <v>11Clallam</v>
      </c>
      <c r="O1342" t="str">
        <f>VLOOKUP(M1342,LUTs!E$2:H$14,4,)</f>
        <v>03Strait of Juan de Fuca</v>
      </c>
      <c r="P1342" s="80">
        <v>12.8390596745027</v>
      </c>
      <c r="Q1342" s="103">
        <v>6.4195298372513596</v>
      </c>
      <c r="R1342" s="74">
        <f>VLOOKUP(B1342,Readme!A$40:C$52,3,)*Q1342</f>
        <v>54.822784810126606</v>
      </c>
    </row>
    <row r="1343" spans="1:18" ht="12" customHeight="1" x14ac:dyDescent="0.35">
      <c r="A1343" s="75">
        <v>1433</v>
      </c>
      <c r="B1343" s="80">
        <v>2014</v>
      </c>
      <c r="C1343" s="80">
        <v>6</v>
      </c>
      <c r="D1343" s="80">
        <f t="shared" si="74"/>
        <v>2014</v>
      </c>
      <c r="E1343" t="s">
        <v>38</v>
      </c>
      <c r="F1343" t="s">
        <v>143</v>
      </c>
      <c r="G1343" t="s">
        <v>86</v>
      </c>
      <c r="H1343" s="72" t="s">
        <v>220</v>
      </c>
      <c r="I1343" s="72" t="s">
        <v>62</v>
      </c>
      <c r="J1343" t="str">
        <f t="shared" si="76"/>
        <v>Skykomish River</v>
      </c>
      <c r="K1343" t="str">
        <f>IFERROR(VLOOKUP(J1343,LUTs!$A$1:$C$73,2,FALSE),"NA")</f>
        <v>Snohomish</v>
      </c>
      <c r="L1343" t="str">
        <f>IFERROR(VLOOKUP(J1343,LUTs!$A$1:$C$73,3,FALSE),"NA")</f>
        <v>2Central Puget Sound</v>
      </c>
      <c r="M1343" s="72" t="s">
        <v>17</v>
      </c>
      <c r="N1343" t="str">
        <f>VLOOKUP(M1343,LUTs!E$2:H$14,3,)</f>
        <v>04Island</v>
      </c>
      <c r="O1343" t="str">
        <f>VLOOKUP(M1343,LUTs!E$2:H$14,4,)</f>
        <v>01North Puget Sound</v>
      </c>
      <c r="P1343" s="80">
        <v>12.8390596745027</v>
      </c>
      <c r="Q1343" s="103">
        <v>6.4195298372513596</v>
      </c>
      <c r="R1343" s="74">
        <f>VLOOKUP(B1343,Readme!A$40:C$52,3,)*Q1343</f>
        <v>54.822784810126606</v>
      </c>
    </row>
    <row r="1344" spans="1:18" ht="12" customHeight="1" x14ac:dyDescent="0.35">
      <c r="A1344" s="75">
        <v>1434</v>
      </c>
      <c r="B1344" s="80">
        <v>2014</v>
      </c>
      <c r="C1344" s="80">
        <v>6</v>
      </c>
      <c r="D1344" s="80">
        <f t="shared" si="74"/>
        <v>2014</v>
      </c>
      <c r="E1344" t="s">
        <v>38</v>
      </c>
      <c r="F1344" t="s">
        <v>143</v>
      </c>
      <c r="G1344" t="s">
        <v>86</v>
      </c>
      <c r="H1344" s="72" t="s">
        <v>220</v>
      </c>
      <c r="I1344" s="72" t="s">
        <v>62</v>
      </c>
      <c r="J1344" t="str">
        <f t="shared" si="76"/>
        <v>Skykomish River</v>
      </c>
      <c r="K1344" t="str">
        <f>IFERROR(VLOOKUP(J1344,LUTs!$A$1:$C$73,2,FALSE),"NA")</f>
        <v>Snohomish</v>
      </c>
      <c r="L1344" t="str">
        <f>IFERROR(VLOOKUP(J1344,LUTs!$A$1:$C$73,3,FALSE),"NA")</f>
        <v>2Central Puget Sound</v>
      </c>
      <c r="M1344" s="72" t="s">
        <v>18</v>
      </c>
      <c r="N1344" t="str">
        <f>VLOOKUP(M1344,LUTs!E$2:H$14,3,)</f>
        <v>06King</v>
      </c>
      <c r="O1344" t="str">
        <f>VLOOKUP(M1344,LUTs!E$2:H$14,4,)</f>
        <v>02South Puget Sound</v>
      </c>
      <c r="P1344" s="80">
        <v>1675.4972875225999</v>
      </c>
      <c r="Q1344" s="103">
        <v>837.74864376130199</v>
      </c>
      <c r="R1344" s="74">
        <f>VLOOKUP(B1344,Readme!A$40:C$52,3,)*Q1344</f>
        <v>7154.3734177215183</v>
      </c>
    </row>
    <row r="1345" spans="1:18" ht="12" customHeight="1" x14ac:dyDescent="0.35">
      <c r="A1345" s="75">
        <v>1435</v>
      </c>
      <c r="B1345" s="80">
        <v>2014</v>
      </c>
      <c r="C1345" s="80">
        <v>6</v>
      </c>
      <c r="D1345" s="80">
        <f t="shared" si="74"/>
        <v>2014</v>
      </c>
      <c r="E1345" t="s">
        <v>38</v>
      </c>
      <c r="F1345" t="s">
        <v>143</v>
      </c>
      <c r="G1345" t="s">
        <v>86</v>
      </c>
      <c r="H1345" s="72" t="s">
        <v>220</v>
      </c>
      <c r="I1345" s="72" t="s">
        <v>62</v>
      </c>
      <c r="J1345" t="str">
        <f t="shared" si="76"/>
        <v>Skykomish River</v>
      </c>
      <c r="K1345" t="str">
        <f>IFERROR(VLOOKUP(J1345,LUTs!$A$1:$C$73,2,FALSE),"NA")</f>
        <v>Snohomish</v>
      </c>
      <c r="L1345" t="str">
        <f>IFERROR(VLOOKUP(J1345,LUTs!$A$1:$C$73,3,FALSE),"NA")</f>
        <v>2Central Puget Sound</v>
      </c>
      <c r="M1345" s="72" t="s">
        <v>23</v>
      </c>
      <c r="N1345" t="str">
        <f>VLOOKUP(M1345,LUTs!E$2:H$14,3,)</f>
        <v>10Kitsap</v>
      </c>
      <c r="O1345" t="str">
        <f>VLOOKUP(M1345,LUTs!E$2:H$14,4,)</f>
        <v>02South Puget Sound</v>
      </c>
      <c r="P1345" s="80">
        <v>64.195298372513605</v>
      </c>
      <c r="Q1345" s="103">
        <v>32.097649186256803</v>
      </c>
      <c r="R1345" s="74">
        <f>VLOOKUP(B1345,Readme!A$40:C$52,3,)*Q1345</f>
        <v>274.11392405063305</v>
      </c>
    </row>
    <row r="1346" spans="1:18" ht="12" customHeight="1" x14ac:dyDescent="0.35">
      <c r="A1346" s="75">
        <v>1436</v>
      </c>
      <c r="B1346" s="80">
        <v>2014</v>
      </c>
      <c r="C1346" s="80">
        <v>6</v>
      </c>
      <c r="D1346" s="80">
        <f t="shared" ref="D1346:D1409" si="77">IF(C1346&gt;3,B1346,B1346-1)</f>
        <v>2014</v>
      </c>
      <c r="E1346" t="s">
        <v>38</v>
      </c>
      <c r="F1346" t="s">
        <v>143</v>
      </c>
      <c r="G1346" t="s">
        <v>86</v>
      </c>
      <c r="H1346" s="72" t="s">
        <v>220</v>
      </c>
      <c r="I1346" s="72" t="s">
        <v>62</v>
      </c>
      <c r="J1346" t="str">
        <f t="shared" si="76"/>
        <v>Skykomish River</v>
      </c>
      <c r="K1346" t="str">
        <f>IFERROR(VLOOKUP(J1346,LUTs!$A$1:$C$73,2,FALSE),"NA")</f>
        <v>Snohomish</v>
      </c>
      <c r="L1346" t="str">
        <f>IFERROR(VLOOKUP(J1346,LUTs!$A$1:$C$73,3,FALSE),"NA")</f>
        <v>2Central Puget Sound</v>
      </c>
      <c r="M1346" s="72" t="s">
        <v>26</v>
      </c>
      <c r="N1346" t="str">
        <f>VLOOKUP(M1346,LUTs!E$2:H$14,3,)</f>
        <v>20Other</v>
      </c>
      <c r="O1346" t="str">
        <f>VLOOKUP(M1346,LUTs!E$2:H$14,4,)</f>
        <v>07Non Puget Sound</v>
      </c>
      <c r="P1346" s="80">
        <v>89.873417721519004</v>
      </c>
      <c r="Q1346" s="103">
        <v>44.936708860759502</v>
      </c>
      <c r="R1346" s="74">
        <f>VLOOKUP(B1346,Readme!A$40:C$52,3,)*Q1346</f>
        <v>383.75949367088612</v>
      </c>
    </row>
    <row r="1347" spans="1:18" ht="12" customHeight="1" x14ac:dyDescent="0.35">
      <c r="A1347" s="75">
        <v>1437</v>
      </c>
      <c r="B1347" s="80">
        <v>2014</v>
      </c>
      <c r="C1347" s="80">
        <v>6</v>
      </c>
      <c r="D1347" s="80">
        <f t="shared" si="77"/>
        <v>2014</v>
      </c>
      <c r="E1347" t="s">
        <v>38</v>
      </c>
      <c r="F1347" t="s">
        <v>143</v>
      </c>
      <c r="G1347" t="s">
        <v>86</v>
      </c>
      <c r="H1347" s="72" t="s">
        <v>220</v>
      </c>
      <c r="I1347" s="72" t="s">
        <v>62</v>
      </c>
      <c r="J1347" t="str">
        <f t="shared" si="76"/>
        <v>Skykomish River</v>
      </c>
      <c r="K1347" t="str">
        <f>IFERROR(VLOOKUP(J1347,LUTs!$A$1:$C$73,2,FALSE),"NA")</f>
        <v>Snohomish</v>
      </c>
      <c r="L1347" t="str">
        <f>IFERROR(VLOOKUP(J1347,LUTs!$A$1:$C$73,3,FALSE),"NA")</f>
        <v>2Central Puget Sound</v>
      </c>
      <c r="M1347" s="72" t="s">
        <v>20</v>
      </c>
      <c r="N1347" t="str">
        <f>VLOOKUP(M1347,LUTs!E$2:H$14,3,)</f>
        <v>07Pierce</v>
      </c>
      <c r="O1347" t="str">
        <f>VLOOKUP(M1347,LUTs!E$2:H$14,4,)</f>
        <v>02South Puget Sound</v>
      </c>
      <c r="P1347" s="80">
        <v>83.453887884267701</v>
      </c>
      <c r="Q1347" s="103">
        <v>41.726943942133801</v>
      </c>
      <c r="R1347" s="74">
        <f>VLOOKUP(B1347,Readme!A$40:C$52,3,)*Q1347</f>
        <v>356.34810126582261</v>
      </c>
    </row>
    <row r="1348" spans="1:18" ht="12" customHeight="1" x14ac:dyDescent="0.35">
      <c r="A1348" s="75">
        <v>1438</v>
      </c>
      <c r="B1348" s="80">
        <v>2014</v>
      </c>
      <c r="C1348" s="80">
        <v>6</v>
      </c>
      <c r="D1348" s="80">
        <f t="shared" si="77"/>
        <v>2014</v>
      </c>
      <c r="E1348" t="s">
        <v>38</v>
      </c>
      <c r="F1348" t="s">
        <v>143</v>
      </c>
      <c r="G1348" t="s">
        <v>86</v>
      </c>
      <c r="H1348" s="72" t="s">
        <v>220</v>
      </c>
      <c r="I1348" s="72" t="s">
        <v>62</v>
      </c>
      <c r="J1348" t="str">
        <f t="shared" si="76"/>
        <v>Skykomish River</v>
      </c>
      <c r="K1348" t="str">
        <f>IFERROR(VLOOKUP(J1348,LUTs!$A$1:$C$73,2,FALSE),"NA")</f>
        <v>Snohomish</v>
      </c>
      <c r="L1348" t="str">
        <f>IFERROR(VLOOKUP(J1348,LUTs!$A$1:$C$73,3,FALSE),"NA")</f>
        <v>2Central Puget Sound</v>
      </c>
      <c r="M1348" s="72" t="s">
        <v>15</v>
      </c>
      <c r="N1348" t="str">
        <f>VLOOKUP(M1348,LUTs!E$2:H$14,3,)</f>
        <v>02Skagit</v>
      </c>
      <c r="O1348" t="str">
        <f>VLOOKUP(M1348,LUTs!E$2:H$14,4,)</f>
        <v>01North Puget Sound</v>
      </c>
      <c r="P1348" s="80">
        <v>25.678119349005399</v>
      </c>
      <c r="Q1348" s="103">
        <v>12.8390596745027</v>
      </c>
      <c r="R1348" s="74">
        <f>VLOOKUP(B1348,Readme!A$40:C$52,3,)*Q1348</f>
        <v>109.64556962025304</v>
      </c>
    </row>
    <row r="1349" spans="1:18" ht="12" customHeight="1" x14ac:dyDescent="0.35">
      <c r="A1349" s="75">
        <v>1439</v>
      </c>
      <c r="B1349" s="80">
        <v>2014</v>
      </c>
      <c r="C1349" s="80">
        <v>6</v>
      </c>
      <c r="D1349" s="80">
        <f t="shared" si="77"/>
        <v>2014</v>
      </c>
      <c r="E1349" t="s">
        <v>38</v>
      </c>
      <c r="F1349" t="s">
        <v>143</v>
      </c>
      <c r="G1349" t="s">
        <v>86</v>
      </c>
      <c r="H1349" s="72" t="s">
        <v>220</v>
      </c>
      <c r="I1349" s="72" t="s">
        <v>62</v>
      </c>
      <c r="J1349" t="str">
        <f t="shared" si="76"/>
        <v>Skykomish River</v>
      </c>
      <c r="K1349" t="str">
        <f>IFERROR(VLOOKUP(J1349,LUTs!$A$1:$C$73,2,FALSE),"NA")</f>
        <v>Snohomish</v>
      </c>
      <c r="L1349" t="str">
        <f>IFERROR(VLOOKUP(J1349,LUTs!$A$1:$C$73,3,FALSE),"NA")</f>
        <v>2Central Puget Sound</v>
      </c>
      <c r="M1349" s="72" t="s">
        <v>16</v>
      </c>
      <c r="N1349" t="str">
        <f>VLOOKUP(M1349,LUTs!E$2:H$14,3,)</f>
        <v>03Snohomish</v>
      </c>
      <c r="O1349" t="str">
        <f>VLOOKUP(M1349,LUTs!E$2:H$14,4,)</f>
        <v>01North Puget Sound</v>
      </c>
      <c r="P1349" s="80">
        <v>1547.1066907775801</v>
      </c>
      <c r="Q1349" s="103">
        <v>773.55334538878901</v>
      </c>
      <c r="R1349" s="74">
        <f>VLOOKUP(B1349,Readme!A$40:C$52,3,)*Q1349</f>
        <v>6606.1455696202574</v>
      </c>
    </row>
    <row r="1350" spans="1:18" ht="12" customHeight="1" x14ac:dyDescent="0.35">
      <c r="A1350" s="75">
        <v>1440</v>
      </c>
      <c r="B1350" s="80">
        <v>2014</v>
      </c>
      <c r="C1350" s="80">
        <v>6</v>
      </c>
      <c r="D1350" s="80">
        <f t="shared" si="77"/>
        <v>2014</v>
      </c>
      <c r="E1350" t="s">
        <v>38</v>
      </c>
      <c r="F1350" t="s">
        <v>143</v>
      </c>
      <c r="G1350" t="s">
        <v>86</v>
      </c>
      <c r="H1350" s="72" t="s">
        <v>220</v>
      </c>
      <c r="I1350" s="72" t="s">
        <v>62</v>
      </c>
      <c r="J1350" t="str">
        <f t="shared" si="76"/>
        <v>Skykomish River</v>
      </c>
      <c r="K1350" t="str">
        <f>IFERROR(VLOOKUP(J1350,LUTs!$A$1:$C$73,2,FALSE),"NA")</f>
        <v>Snohomish</v>
      </c>
      <c r="L1350" t="str">
        <f>IFERROR(VLOOKUP(J1350,LUTs!$A$1:$C$73,3,FALSE),"NA")</f>
        <v>2Central Puget Sound</v>
      </c>
      <c r="M1350" s="72" t="s">
        <v>21</v>
      </c>
      <c r="N1350" t="str">
        <f>VLOOKUP(M1350,LUTs!E$2:H$14,3,)</f>
        <v>08Thurston</v>
      </c>
      <c r="O1350" t="str">
        <f>VLOOKUP(M1350,LUTs!E$2:H$14,4,)</f>
        <v>02South Puget Sound</v>
      </c>
      <c r="P1350" s="80">
        <v>19.258589511754099</v>
      </c>
      <c r="Q1350" s="103">
        <v>9.6292947558770408</v>
      </c>
      <c r="R1350" s="74">
        <f>VLOOKUP(B1350,Readme!A$40:C$52,3,)*Q1350</f>
        <v>82.234177215189916</v>
      </c>
    </row>
    <row r="1351" spans="1:18" ht="12" customHeight="1" x14ac:dyDescent="0.35">
      <c r="A1351" s="75">
        <v>1441</v>
      </c>
      <c r="B1351" s="80">
        <v>2014</v>
      </c>
      <c r="C1351" s="80">
        <v>6</v>
      </c>
      <c r="D1351" s="80">
        <f t="shared" si="77"/>
        <v>2014</v>
      </c>
      <c r="E1351" t="s">
        <v>38</v>
      </c>
      <c r="F1351" t="s">
        <v>143</v>
      </c>
      <c r="G1351" t="s">
        <v>86</v>
      </c>
      <c r="H1351" s="72" t="s">
        <v>220</v>
      </c>
      <c r="I1351" s="72" t="s">
        <v>62</v>
      </c>
      <c r="J1351" t="str">
        <f t="shared" si="76"/>
        <v>Skykomish River</v>
      </c>
      <c r="K1351" t="str">
        <f>IFERROR(VLOOKUP(J1351,LUTs!$A$1:$C$73,2,FALSE),"NA")</f>
        <v>Snohomish</v>
      </c>
      <c r="L1351" t="str">
        <f>IFERROR(VLOOKUP(J1351,LUTs!$A$1:$C$73,3,FALSE),"NA")</f>
        <v>2Central Puget Sound</v>
      </c>
      <c r="M1351" s="72" t="s">
        <v>13</v>
      </c>
      <c r="N1351" t="str">
        <f>VLOOKUP(M1351,LUTs!E$2:H$14,3,)</f>
        <v>01Whatcom</v>
      </c>
      <c r="O1351" t="str">
        <f>VLOOKUP(M1351,LUTs!E$2:H$14,4,)</f>
        <v>01North Puget Sound</v>
      </c>
      <c r="P1351" s="80">
        <v>19.258589511754099</v>
      </c>
      <c r="Q1351" s="103">
        <v>9.6292947558770408</v>
      </c>
      <c r="R1351" s="74">
        <f>VLOOKUP(B1351,Readme!A$40:C$52,3,)*Q1351</f>
        <v>82.234177215189916</v>
      </c>
    </row>
    <row r="1352" spans="1:18" ht="12" customHeight="1" x14ac:dyDescent="0.35">
      <c r="A1352" s="75">
        <v>1473</v>
      </c>
      <c r="B1352" s="80">
        <v>2014</v>
      </c>
      <c r="C1352" s="80">
        <v>6</v>
      </c>
      <c r="D1352" s="80">
        <f t="shared" si="77"/>
        <v>2014</v>
      </c>
      <c r="E1352" t="s">
        <v>38</v>
      </c>
      <c r="F1352" t="s">
        <v>143</v>
      </c>
      <c r="G1352" t="s">
        <v>86</v>
      </c>
      <c r="H1352" s="72" t="s">
        <v>247</v>
      </c>
      <c r="I1352" s="72" t="s">
        <v>98</v>
      </c>
      <c r="J1352" t="str">
        <f t="shared" si="76"/>
        <v>Skykomish River, No. Fork</v>
      </c>
      <c r="K1352" t="str">
        <f>IFERROR(VLOOKUP(J1352,LUTs!$A$1:$C$73,2,FALSE),"NA")</f>
        <v>Snohomish</v>
      </c>
      <c r="L1352" t="str">
        <f>IFERROR(VLOOKUP(J1352,LUTs!$A$1:$C$73,3,FALSE),"NA")</f>
        <v>2Central Puget Sound</v>
      </c>
      <c r="M1352" s="72" t="s">
        <v>18</v>
      </c>
      <c r="N1352" t="str">
        <f>VLOOKUP(M1352,LUTs!E$2:H$14,3,)</f>
        <v>06King</v>
      </c>
      <c r="O1352" t="str">
        <f>VLOOKUP(M1352,LUTs!E$2:H$14,4,)</f>
        <v>02South Puget Sound</v>
      </c>
      <c r="P1352" s="80">
        <v>51.764705882352999</v>
      </c>
      <c r="Q1352" s="103">
        <v>25.882352941176499</v>
      </c>
      <c r="R1352" s="74">
        <f>VLOOKUP(B1352,Readme!A$40:C$52,3,)*Q1352</f>
        <v>221.03529411764728</v>
      </c>
    </row>
    <row r="1353" spans="1:18" ht="12" customHeight="1" x14ac:dyDescent="0.35">
      <c r="A1353" s="75">
        <v>1474</v>
      </c>
      <c r="B1353" s="80">
        <v>2014</v>
      </c>
      <c r="C1353" s="80">
        <v>6</v>
      </c>
      <c r="D1353" s="80">
        <f t="shared" si="77"/>
        <v>2014</v>
      </c>
      <c r="E1353" t="s">
        <v>38</v>
      </c>
      <c r="F1353" t="s">
        <v>143</v>
      </c>
      <c r="G1353" t="s">
        <v>86</v>
      </c>
      <c r="H1353" s="72" t="s">
        <v>247</v>
      </c>
      <c r="I1353" s="72" t="s">
        <v>98</v>
      </c>
      <c r="J1353" t="str">
        <f t="shared" si="76"/>
        <v>Skykomish River, No. Fork</v>
      </c>
      <c r="K1353" t="str">
        <f>IFERROR(VLOOKUP(J1353,LUTs!$A$1:$C$73,2,FALSE),"NA")</f>
        <v>Snohomish</v>
      </c>
      <c r="L1353" t="str">
        <f>IFERROR(VLOOKUP(J1353,LUTs!$A$1:$C$73,3,FALSE),"NA")</f>
        <v>2Central Puget Sound</v>
      </c>
      <c r="M1353" s="72" t="s">
        <v>26</v>
      </c>
      <c r="N1353" t="str">
        <f>VLOOKUP(M1353,LUTs!E$2:H$14,3,)</f>
        <v>20Other</v>
      </c>
      <c r="O1353" t="str">
        <f>VLOOKUP(M1353,LUTs!E$2:H$14,4,)</f>
        <v>07Non Puget Sound</v>
      </c>
      <c r="P1353" s="80">
        <v>6.4705882352941204</v>
      </c>
      <c r="Q1353" s="103">
        <v>3.2352941176470602</v>
      </c>
      <c r="R1353" s="74">
        <f>VLOOKUP(B1353,Readme!A$40:C$52,3,)*Q1353</f>
        <v>27.629411764705893</v>
      </c>
    </row>
    <row r="1354" spans="1:18" ht="12" customHeight="1" x14ac:dyDescent="0.35">
      <c r="A1354" s="75">
        <v>1475</v>
      </c>
      <c r="B1354" s="80">
        <v>2014</v>
      </c>
      <c r="C1354" s="80">
        <v>6</v>
      </c>
      <c r="D1354" s="80">
        <f t="shared" si="77"/>
        <v>2014</v>
      </c>
      <c r="E1354" t="s">
        <v>38</v>
      </c>
      <c r="F1354" t="s">
        <v>143</v>
      </c>
      <c r="G1354" t="s">
        <v>86</v>
      </c>
      <c r="H1354" s="72" t="s">
        <v>247</v>
      </c>
      <c r="I1354" s="72" t="s">
        <v>98</v>
      </c>
      <c r="J1354" t="str">
        <f t="shared" si="76"/>
        <v>Skykomish River, No. Fork</v>
      </c>
      <c r="K1354" t="str">
        <f>IFERROR(VLOOKUP(J1354,LUTs!$A$1:$C$73,2,FALSE),"NA")</f>
        <v>Snohomish</v>
      </c>
      <c r="L1354" t="str">
        <f>IFERROR(VLOOKUP(J1354,LUTs!$A$1:$C$73,3,FALSE),"NA")</f>
        <v>2Central Puget Sound</v>
      </c>
      <c r="M1354" s="72" t="s">
        <v>16</v>
      </c>
      <c r="N1354" t="str">
        <f>VLOOKUP(M1354,LUTs!E$2:H$14,3,)</f>
        <v>03Snohomish</v>
      </c>
      <c r="O1354" t="str">
        <f>VLOOKUP(M1354,LUTs!E$2:H$14,4,)</f>
        <v>01North Puget Sound</v>
      </c>
      <c r="P1354" s="80">
        <v>51.764705882352999</v>
      </c>
      <c r="Q1354" s="103">
        <v>25.882352941176499</v>
      </c>
      <c r="R1354" s="74">
        <f>VLOOKUP(B1354,Readme!A$40:C$52,3,)*Q1354</f>
        <v>221.03529411764728</v>
      </c>
    </row>
    <row r="1355" spans="1:18" ht="12" customHeight="1" x14ac:dyDescent="0.35">
      <c r="A1355" s="75">
        <v>1489</v>
      </c>
      <c r="B1355" s="80">
        <v>2014</v>
      </c>
      <c r="C1355" s="80">
        <v>6</v>
      </c>
      <c r="D1355" s="80">
        <f t="shared" si="77"/>
        <v>2014</v>
      </c>
      <c r="E1355" t="s">
        <v>38</v>
      </c>
      <c r="F1355" t="s">
        <v>143</v>
      </c>
      <c r="G1355" t="s">
        <v>86</v>
      </c>
      <c r="H1355" s="72" t="s">
        <v>248</v>
      </c>
      <c r="I1355" s="72" t="s">
        <v>99</v>
      </c>
      <c r="J1355" t="str">
        <f t="shared" si="76"/>
        <v>Skykomish River, So. Fork</v>
      </c>
      <c r="K1355" t="str">
        <f>IFERROR(VLOOKUP(J1355,LUTs!$A$1:$C$73,2,FALSE),"NA")</f>
        <v>Snohomish/King</v>
      </c>
      <c r="L1355" t="str">
        <f>IFERROR(VLOOKUP(J1355,LUTs!$A$1:$C$73,3,FALSE),"NA")</f>
        <v>2Central Puget Sound</v>
      </c>
      <c r="M1355" s="72" t="s">
        <v>16</v>
      </c>
      <c r="N1355" t="str">
        <f>VLOOKUP(M1355,LUTs!E$2:H$14,3,)</f>
        <v>03Snohomish</v>
      </c>
      <c r="O1355" t="str">
        <f>VLOOKUP(M1355,LUTs!E$2:H$14,4,)</f>
        <v>01North Puget Sound</v>
      </c>
      <c r="P1355" s="80">
        <v>12</v>
      </c>
      <c r="Q1355" s="103">
        <v>6</v>
      </c>
      <c r="R1355" s="74">
        <f>VLOOKUP(B1355,Readme!A$40:C$52,3,)*Q1355</f>
        <v>51.239999999999995</v>
      </c>
    </row>
    <row r="1356" spans="1:18" ht="12" customHeight="1" x14ac:dyDescent="0.35">
      <c r="A1356" s="75">
        <v>1498</v>
      </c>
      <c r="B1356" s="80">
        <v>2014</v>
      </c>
      <c r="C1356" s="80">
        <v>6</v>
      </c>
      <c r="D1356" s="80">
        <f t="shared" si="77"/>
        <v>2014</v>
      </c>
      <c r="E1356" t="s">
        <v>38</v>
      </c>
      <c r="F1356" t="s">
        <v>143</v>
      </c>
      <c r="G1356" t="s">
        <v>86</v>
      </c>
      <c r="H1356" s="72" t="s">
        <v>221</v>
      </c>
      <c r="I1356" s="72" t="s">
        <v>63</v>
      </c>
      <c r="J1356" t="str">
        <f t="shared" si="76"/>
        <v>Snohomish River</v>
      </c>
      <c r="K1356" t="str">
        <f>IFERROR(VLOOKUP(J1356,LUTs!$A$1:$C$73,2,FALSE),"NA")</f>
        <v>Snohomish</v>
      </c>
      <c r="L1356" t="str">
        <f>IFERROR(VLOOKUP(J1356,LUTs!$A$1:$C$73,3,FALSE),"NA")</f>
        <v>2Central Puget Sound</v>
      </c>
      <c r="M1356" s="72" t="s">
        <v>16</v>
      </c>
      <c r="N1356" t="str">
        <f>VLOOKUP(M1356,LUTs!E$2:H$14,3,)</f>
        <v>03Snohomish</v>
      </c>
      <c r="O1356" t="str">
        <f>VLOOKUP(M1356,LUTs!E$2:H$14,4,)</f>
        <v>01North Puget Sound</v>
      </c>
      <c r="P1356" s="80">
        <v>186</v>
      </c>
      <c r="Q1356" s="103">
        <v>93</v>
      </c>
      <c r="R1356" s="74">
        <f>VLOOKUP(B1356,Readme!A$40:C$52,3,)*Q1356</f>
        <v>794.21999999999991</v>
      </c>
    </row>
    <row r="1357" spans="1:18" ht="12" customHeight="1" x14ac:dyDescent="0.35">
      <c r="A1357" s="75">
        <v>1506</v>
      </c>
      <c r="B1357" s="80">
        <v>2014</v>
      </c>
      <c r="C1357" s="80">
        <v>6</v>
      </c>
      <c r="D1357" s="80">
        <f t="shared" si="77"/>
        <v>2014</v>
      </c>
      <c r="E1357" t="s">
        <v>38</v>
      </c>
      <c r="F1357" t="s">
        <v>143</v>
      </c>
      <c r="G1357" t="s">
        <v>86</v>
      </c>
      <c r="H1357" s="72" t="s">
        <v>222</v>
      </c>
      <c r="I1357" s="72" t="s">
        <v>64</v>
      </c>
      <c r="J1357" t="str">
        <f t="shared" si="76"/>
        <v>Snoqualmie River</v>
      </c>
      <c r="K1357" t="str">
        <f>IFERROR(VLOOKUP(J1357,LUTs!$A$1:$C$73,2,FALSE),"NA")</f>
        <v>Snohomish/King</v>
      </c>
      <c r="L1357" t="str">
        <f>IFERROR(VLOOKUP(J1357,LUTs!$A$1:$C$73,3,FALSE),"NA")</f>
        <v>2Central Puget Sound</v>
      </c>
      <c r="M1357" s="72" t="s">
        <v>18</v>
      </c>
      <c r="N1357" t="str">
        <f>VLOOKUP(M1357,LUTs!E$2:H$14,3,)</f>
        <v>06King</v>
      </c>
      <c r="O1357" t="str">
        <f>VLOOKUP(M1357,LUTs!E$2:H$14,4,)</f>
        <v>02South Puget Sound</v>
      </c>
      <c r="P1357" s="80">
        <v>38</v>
      </c>
      <c r="Q1357" s="103">
        <v>19</v>
      </c>
      <c r="R1357" s="74">
        <f>VLOOKUP(B1357,Readme!A$40:C$52,3,)*Q1357</f>
        <v>162.26</v>
      </c>
    </row>
    <row r="1358" spans="1:18" ht="12" customHeight="1" x14ac:dyDescent="0.35">
      <c r="A1358" s="75">
        <v>1549</v>
      </c>
      <c r="B1358" s="80">
        <v>2014</v>
      </c>
      <c r="C1358" s="80">
        <v>6</v>
      </c>
      <c r="D1358" s="80">
        <f t="shared" si="77"/>
        <v>2014</v>
      </c>
      <c r="E1358" t="s">
        <v>38</v>
      </c>
      <c r="F1358" t="s">
        <v>143</v>
      </c>
      <c r="G1358" t="s">
        <v>86</v>
      </c>
      <c r="H1358" s="72" t="s">
        <v>223</v>
      </c>
      <c r="I1358" s="72" t="s">
        <v>103</v>
      </c>
      <c r="J1358" t="str">
        <f t="shared" si="76"/>
        <v>Stillaguamish R, No. Fork</v>
      </c>
      <c r="K1358" t="str">
        <f>IFERROR(VLOOKUP(J1358,LUTs!$A$1:$C$73,2,FALSE),"NA")</f>
        <v>Snohomish</v>
      </c>
      <c r="L1358" t="str">
        <f>IFERROR(VLOOKUP(J1358,LUTs!$A$1:$C$73,3,FALSE),"NA")</f>
        <v>2Central Puget Sound</v>
      </c>
      <c r="M1358" s="72" t="s">
        <v>16</v>
      </c>
      <c r="N1358" t="str">
        <f>VLOOKUP(M1358,LUTs!E$2:H$14,3,)</f>
        <v>03Snohomish</v>
      </c>
      <c r="O1358" t="str">
        <f>VLOOKUP(M1358,LUTs!E$2:H$14,4,)</f>
        <v>01North Puget Sound</v>
      </c>
      <c r="P1358" s="80">
        <v>24</v>
      </c>
      <c r="Q1358" s="103">
        <v>12</v>
      </c>
      <c r="R1358" s="74">
        <f>VLOOKUP(B1358,Readme!A$40:C$52,3,)*Q1358</f>
        <v>102.47999999999999</v>
      </c>
    </row>
    <row r="1359" spans="1:18" ht="12" customHeight="1" x14ac:dyDescent="0.35">
      <c r="A1359" s="75">
        <v>1571</v>
      </c>
      <c r="B1359" s="80">
        <v>2014</v>
      </c>
      <c r="C1359" s="80">
        <v>7</v>
      </c>
      <c r="D1359" s="80">
        <f t="shared" si="77"/>
        <v>2014</v>
      </c>
      <c r="E1359" t="s">
        <v>38</v>
      </c>
      <c r="F1359" t="s">
        <v>143</v>
      </c>
      <c r="G1359" t="s">
        <v>86</v>
      </c>
      <c r="H1359" s="72" t="s">
        <v>254</v>
      </c>
      <c r="I1359" s="72" t="s">
        <v>33</v>
      </c>
      <c r="J1359" t="str">
        <f t="shared" si="76"/>
        <v>Area 9: Admiralty Inlet</v>
      </c>
      <c r="K1359" t="str">
        <f>IFERROR(VLOOKUP(J1359,LUTs!$A$1:$C$73,2,FALSE),"NA")</f>
        <v>NA</v>
      </c>
      <c r="L1359" t="str">
        <f>IFERROR(VLOOKUP(J1359,LUTs!$A$1:$C$73,3,FALSE),"NA")</f>
        <v>2Central Puget Sound</v>
      </c>
      <c r="M1359" s="72" t="s">
        <v>18</v>
      </c>
      <c r="N1359" t="str">
        <f>VLOOKUP(M1359,LUTs!E$2:H$14,3,)</f>
        <v>06King</v>
      </c>
      <c r="O1359" t="str">
        <f>VLOOKUP(M1359,LUTs!E$2:H$14,4,)</f>
        <v>02South Puget Sound</v>
      </c>
      <c r="P1359" s="80">
        <v>6</v>
      </c>
      <c r="Q1359" s="103">
        <v>3</v>
      </c>
      <c r="R1359" s="74">
        <f>VLOOKUP(B1359,Readme!A$40:C$52,3,)*Q1359</f>
        <v>25.619999999999997</v>
      </c>
    </row>
    <row r="1360" spans="1:18" ht="12" customHeight="1" x14ac:dyDescent="0.35">
      <c r="A1360" s="75">
        <v>1350</v>
      </c>
      <c r="B1360" s="80">
        <v>2014</v>
      </c>
      <c r="C1360" s="80">
        <v>7</v>
      </c>
      <c r="D1360" s="80">
        <f t="shared" si="77"/>
        <v>2014</v>
      </c>
      <c r="E1360" t="s">
        <v>38</v>
      </c>
      <c r="F1360" t="s">
        <v>143</v>
      </c>
      <c r="G1360" t="s">
        <v>86</v>
      </c>
      <c r="H1360" s="72" t="s">
        <v>203</v>
      </c>
      <c r="I1360" s="72" t="s">
        <v>89</v>
      </c>
      <c r="J1360" s="84" t="s">
        <v>45</v>
      </c>
      <c r="K1360" t="str">
        <f>IFERROR(VLOOKUP(J1360,LUTs!$A$1:$C$73,2,FALSE),"NA")</f>
        <v>King</v>
      </c>
      <c r="L1360" t="str">
        <f>IFERROR(VLOOKUP(J1360,LUTs!$A$1:$C$73,3,FALSE),"NA")</f>
        <v>3South Puget Sound</v>
      </c>
      <c r="M1360" s="72" t="s">
        <v>18</v>
      </c>
      <c r="N1360" t="str">
        <f>VLOOKUP(M1360,LUTs!E$2:H$14,3,)</f>
        <v>06King</v>
      </c>
      <c r="O1360" t="str">
        <f>VLOOKUP(M1360,LUTs!E$2:H$14,4,)</f>
        <v>02South Puget Sound</v>
      </c>
      <c r="P1360" s="80">
        <v>19.090909090909101</v>
      </c>
      <c r="Q1360" s="103">
        <v>9.5454545454545503</v>
      </c>
      <c r="R1360" s="74">
        <f>VLOOKUP(B1360,Readme!A$40:C$52,3,)*Q1360</f>
        <v>81.518181818181858</v>
      </c>
    </row>
    <row r="1361" spans="1:18" ht="12" customHeight="1" x14ac:dyDescent="0.35">
      <c r="A1361" s="75">
        <v>1351</v>
      </c>
      <c r="B1361" s="80">
        <v>2014</v>
      </c>
      <c r="C1361" s="80">
        <v>7</v>
      </c>
      <c r="D1361" s="80">
        <f t="shared" si="77"/>
        <v>2014</v>
      </c>
      <c r="E1361" t="s">
        <v>38</v>
      </c>
      <c r="F1361" t="s">
        <v>143</v>
      </c>
      <c r="G1361" t="s">
        <v>86</v>
      </c>
      <c r="H1361" s="72" t="s">
        <v>203</v>
      </c>
      <c r="I1361" s="72" t="s">
        <v>89</v>
      </c>
      <c r="J1361" s="84" t="s">
        <v>45</v>
      </c>
      <c r="K1361" t="str">
        <f>IFERROR(VLOOKUP(J1361,LUTs!$A$1:$C$73,2,FALSE),"NA")</f>
        <v>King</v>
      </c>
      <c r="L1361" t="str">
        <f>IFERROR(VLOOKUP(J1361,LUTs!$A$1:$C$73,3,FALSE),"NA")</f>
        <v>3South Puget Sound</v>
      </c>
      <c r="M1361" s="72" t="s">
        <v>26</v>
      </c>
      <c r="N1361" t="str">
        <f>VLOOKUP(M1361,LUTs!E$2:H$14,3,)</f>
        <v>20Other</v>
      </c>
      <c r="O1361" t="str">
        <f>VLOOKUP(M1361,LUTs!E$2:H$14,4,)</f>
        <v>07Non Puget Sound</v>
      </c>
      <c r="P1361" s="80">
        <v>3.8181818181818201</v>
      </c>
      <c r="Q1361" s="103">
        <v>1.9090909090909101</v>
      </c>
      <c r="R1361" s="74">
        <f>VLOOKUP(B1361,Readme!A$40:C$52,3,)*Q1361</f>
        <v>16.303636363636372</v>
      </c>
    </row>
    <row r="1362" spans="1:18" ht="12" customHeight="1" x14ac:dyDescent="0.35">
      <c r="A1362" s="75">
        <v>1352</v>
      </c>
      <c r="B1362" s="80">
        <v>2014</v>
      </c>
      <c r="C1362" s="80">
        <v>7</v>
      </c>
      <c r="D1362" s="80">
        <f t="shared" si="77"/>
        <v>2014</v>
      </c>
      <c r="E1362" t="s">
        <v>38</v>
      </c>
      <c r="F1362" t="s">
        <v>143</v>
      </c>
      <c r="G1362" t="s">
        <v>86</v>
      </c>
      <c r="H1362" s="72" t="s">
        <v>203</v>
      </c>
      <c r="I1362" s="72" t="s">
        <v>89</v>
      </c>
      <c r="J1362" s="84" t="s">
        <v>45</v>
      </c>
      <c r="K1362" t="str">
        <f>IFERROR(VLOOKUP(J1362,LUTs!$A$1:$C$73,2,FALSE),"NA")</f>
        <v>King</v>
      </c>
      <c r="L1362" t="str">
        <f>IFERROR(VLOOKUP(J1362,LUTs!$A$1:$C$73,3,FALSE),"NA")</f>
        <v>3South Puget Sound</v>
      </c>
      <c r="M1362" s="72" t="s">
        <v>20</v>
      </c>
      <c r="N1362" t="str">
        <f>VLOOKUP(M1362,LUTs!E$2:H$14,3,)</f>
        <v>07Pierce</v>
      </c>
      <c r="O1362" t="str">
        <f>VLOOKUP(M1362,LUTs!E$2:H$14,4,)</f>
        <v>02South Puget Sound</v>
      </c>
      <c r="P1362" s="80">
        <v>19.090909090909101</v>
      </c>
      <c r="Q1362" s="103">
        <v>9.5454545454545503</v>
      </c>
      <c r="R1362" s="74">
        <f>VLOOKUP(B1362,Readme!A$40:C$52,3,)*Q1362</f>
        <v>81.518181818181858</v>
      </c>
    </row>
    <row r="1363" spans="1:18" ht="12" customHeight="1" x14ac:dyDescent="0.35">
      <c r="A1363" s="75">
        <v>1442</v>
      </c>
      <c r="B1363" s="80">
        <v>2014</v>
      </c>
      <c r="C1363" s="80">
        <v>7</v>
      </c>
      <c r="D1363" s="80">
        <f t="shared" si="77"/>
        <v>2014</v>
      </c>
      <c r="E1363" t="s">
        <v>38</v>
      </c>
      <c r="F1363" t="s">
        <v>143</v>
      </c>
      <c r="G1363" t="s">
        <v>86</v>
      </c>
      <c r="H1363" s="72" t="s">
        <v>220</v>
      </c>
      <c r="I1363" s="72" t="s">
        <v>62</v>
      </c>
      <c r="J1363" t="str">
        <f t="shared" ref="J1363:J1377" si="78">I1363</f>
        <v>Skykomish River</v>
      </c>
      <c r="K1363" t="str">
        <f>IFERROR(VLOOKUP(J1363,LUTs!$A$1:$C$73,2,FALSE),"NA")</f>
        <v>Snohomish</v>
      </c>
      <c r="L1363" t="str">
        <f>IFERROR(VLOOKUP(J1363,LUTs!$A$1:$C$73,3,FALSE),"NA")</f>
        <v>2Central Puget Sound</v>
      </c>
      <c r="M1363" s="72" t="s">
        <v>24</v>
      </c>
      <c r="N1363" t="str">
        <f>VLOOKUP(M1363,LUTs!E$2:H$14,3,)</f>
        <v>11Clallam</v>
      </c>
      <c r="O1363" t="str">
        <f>VLOOKUP(M1363,LUTs!E$2:H$14,4,)</f>
        <v>03Strait of Juan de Fuca</v>
      </c>
      <c r="P1363" s="80">
        <v>6.4255319148936199</v>
      </c>
      <c r="Q1363" s="103">
        <v>3.2127659574468099</v>
      </c>
      <c r="R1363" s="74">
        <f>VLOOKUP(B1363,Readme!A$40:C$52,3,)*Q1363</f>
        <v>27.437021276595754</v>
      </c>
    </row>
    <row r="1364" spans="1:18" ht="12" customHeight="1" x14ac:dyDescent="0.35">
      <c r="A1364" s="75">
        <v>1443</v>
      </c>
      <c r="B1364" s="80">
        <v>2014</v>
      </c>
      <c r="C1364" s="80">
        <v>7</v>
      </c>
      <c r="D1364" s="80">
        <f t="shared" si="77"/>
        <v>2014</v>
      </c>
      <c r="E1364" t="s">
        <v>38</v>
      </c>
      <c r="F1364" t="s">
        <v>143</v>
      </c>
      <c r="G1364" t="s">
        <v>86</v>
      </c>
      <c r="H1364" s="72" t="s">
        <v>220</v>
      </c>
      <c r="I1364" s="72" t="s">
        <v>62</v>
      </c>
      <c r="J1364" t="str">
        <f t="shared" si="78"/>
        <v>Skykomish River</v>
      </c>
      <c r="K1364" t="str">
        <f>IFERROR(VLOOKUP(J1364,LUTs!$A$1:$C$73,2,FALSE),"NA")</f>
        <v>Snohomish</v>
      </c>
      <c r="L1364" t="str">
        <f>IFERROR(VLOOKUP(J1364,LUTs!$A$1:$C$73,3,FALSE),"NA")</f>
        <v>2Central Puget Sound</v>
      </c>
      <c r="M1364" s="72" t="s">
        <v>18</v>
      </c>
      <c r="N1364" t="str">
        <f>VLOOKUP(M1364,LUTs!E$2:H$14,3,)</f>
        <v>06King</v>
      </c>
      <c r="O1364" t="str">
        <f>VLOOKUP(M1364,LUTs!E$2:H$14,4,)</f>
        <v>02South Puget Sound</v>
      </c>
      <c r="P1364" s="80">
        <v>250.595744680851</v>
      </c>
      <c r="Q1364" s="103">
        <v>125.297872340426</v>
      </c>
      <c r="R1364" s="74">
        <f>VLOOKUP(B1364,Readme!A$40:C$52,3,)*Q1364</f>
        <v>1070.0438297872379</v>
      </c>
    </row>
    <row r="1365" spans="1:18" ht="12" customHeight="1" x14ac:dyDescent="0.35">
      <c r="A1365" s="75">
        <v>1444</v>
      </c>
      <c r="B1365" s="80">
        <v>2014</v>
      </c>
      <c r="C1365" s="80">
        <v>7</v>
      </c>
      <c r="D1365" s="80">
        <f t="shared" si="77"/>
        <v>2014</v>
      </c>
      <c r="E1365" t="s">
        <v>38</v>
      </c>
      <c r="F1365" t="s">
        <v>143</v>
      </c>
      <c r="G1365" t="s">
        <v>86</v>
      </c>
      <c r="H1365" s="72" t="s">
        <v>220</v>
      </c>
      <c r="I1365" s="72" t="s">
        <v>62</v>
      </c>
      <c r="J1365" t="str">
        <f t="shared" si="78"/>
        <v>Skykomish River</v>
      </c>
      <c r="K1365" t="str">
        <f>IFERROR(VLOOKUP(J1365,LUTs!$A$1:$C$73,2,FALSE),"NA")</f>
        <v>Snohomish</v>
      </c>
      <c r="L1365" t="str">
        <f>IFERROR(VLOOKUP(J1365,LUTs!$A$1:$C$73,3,FALSE),"NA")</f>
        <v>2Central Puget Sound</v>
      </c>
      <c r="M1365" s="72" t="s">
        <v>23</v>
      </c>
      <c r="N1365" t="str">
        <f>VLOOKUP(M1365,LUTs!E$2:H$14,3,)</f>
        <v>10Kitsap</v>
      </c>
      <c r="O1365" t="str">
        <f>VLOOKUP(M1365,LUTs!E$2:H$14,4,)</f>
        <v>02South Puget Sound</v>
      </c>
      <c r="P1365" s="80">
        <v>6.4255319148936199</v>
      </c>
      <c r="Q1365" s="103">
        <v>3.2127659574468099</v>
      </c>
      <c r="R1365" s="74">
        <f>VLOOKUP(B1365,Readme!A$40:C$52,3,)*Q1365</f>
        <v>27.437021276595754</v>
      </c>
    </row>
    <row r="1366" spans="1:18" ht="12" customHeight="1" x14ac:dyDescent="0.35">
      <c r="A1366" s="75">
        <v>1445</v>
      </c>
      <c r="B1366" s="80">
        <v>2014</v>
      </c>
      <c r="C1366" s="80">
        <v>7</v>
      </c>
      <c r="D1366" s="80">
        <f t="shared" si="77"/>
        <v>2014</v>
      </c>
      <c r="E1366" t="s">
        <v>38</v>
      </c>
      <c r="F1366" t="s">
        <v>143</v>
      </c>
      <c r="G1366" t="s">
        <v>86</v>
      </c>
      <c r="H1366" s="72" t="s">
        <v>220</v>
      </c>
      <c r="I1366" s="72" t="s">
        <v>62</v>
      </c>
      <c r="J1366" t="str">
        <f t="shared" si="78"/>
        <v>Skykomish River</v>
      </c>
      <c r="K1366" t="str">
        <f>IFERROR(VLOOKUP(J1366,LUTs!$A$1:$C$73,2,FALSE),"NA")</f>
        <v>Snohomish</v>
      </c>
      <c r="L1366" t="str">
        <f>IFERROR(VLOOKUP(J1366,LUTs!$A$1:$C$73,3,FALSE),"NA")</f>
        <v>2Central Puget Sound</v>
      </c>
      <c r="M1366" s="72" t="s">
        <v>26</v>
      </c>
      <c r="N1366" t="str">
        <f>VLOOKUP(M1366,LUTs!E$2:H$14,3,)</f>
        <v>20Other</v>
      </c>
      <c r="O1366" t="str">
        <f>VLOOKUP(M1366,LUTs!E$2:H$14,4,)</f>
        <v>07Non Puget Sound</v>
      </c>
      <c r="P1366" s="80">
        <v>12.851063829787201</v>
      </c>
      <c r="Q1366" s="103">
        <v>6.4255319148936199</v>
      </c>
      <c r="R1366" s="74">
        <f>VLOOKUP(B1366,Readme!A$40:C$52,3,)*Q1366</f>
        <v>54.874042553191508</v>
      </c>
    </row>
    <row r="1367" spans="1:18" ht="12" customHeight="1" x14ac:dyDescent="0.35">
      <c r="A1367" s="75">
        <v>1446</v>
      </c>
      <c r="B1367" s="80">
        <v>2014</v>
      </c>
      <c r="C1367" s="80">
        <v>7</v>
      </c>
      <c r="D1367" s="80">
        <f t="shared" si="77"/>
        <v>2014</v>
      </c>
      <c r="E1367" t="s">
        <v>38</v>
      </c>
      <c r="F1367" t="s">
        <v>143</v>
      </c>
      <c r="G1367" t="s">
        <v>86</v>
      </c>
      <c r="H1367" s="72" t="s">
        <v>220</v>
      </c>
      <c r="I1367" s="72" t="s">
        <v>62</v>
      </c>
      <c r="J1367" t="str">
        <f t="shared" si="78"/>
        <v>Skykomish River</v>
      </c>
      <c r="K1367" t="str">
        <f>IFERROR(VLOOKUP(J1367,LUTs!$A$1:$C$73,2,FALSE),"NA")</f>
        <v>Snohomish</v>
      </c>
      <c r="L1367" t="str">
        <f>IFERROR(VLOOKUP(J1367,LUTs!$A$1:$C$73,3,FALSE),"NA")</f>
        <v>2Central Puget Sound</v>
      </c>
      <c r="M1367" s="72" t="s">
        <v>20</v>
      </c>
      <c r="N1367" t="str">
        <f>VLOOKUP(M1367,LUTs!E$2:H$14,3,)</f>
        <v>07Pierce</v>
      </c>
      <c r="O1367" t="str">
        <f>VLOOKUP(M1367,LUTs!E$2:H$14,4,)</f>
        <v>02South Puget Sound</v>
      </c>
      <c r="P1367" s="80">
        <v>19.2765957446809</v>
      </c>
      <c r="Q1367" s="103">
        <v>9.6382978723404307</v>
      </c>
      <c r="R1367" s="74">
        <f>VLOOKUP(B1367,Readme!A$40:C$52,3,)*Q1367</f>
        <v>82.311063829787273</v>
      </c>
    </row>
    <row r="1368" spans="1:18" ht="12" customHeight="1" x14ac:dyDescent="0.35">
      <c r="A1368" s="75">
        <v>1447</v>
      </c>
      <c r="B1368" s="80">
        <v>2014</v>
      </c>
      <c r="C1368" s="80">
        <v>7</v>
      </c>
      <c r="D1368" s="80">
        <f t="shared" si="77"/>
        <v>2014</v>
      </c>
      <c r="E1368" t="s">
        <v>38</v>
      </c>
      <c r="F1368" t="s">
        <v>143</v>
      </c>
      <c r="G1368" t="s">
        <v>86</v>
      </c>
      <c r="H1368" s="72" t="s">
        <v>220</v>
      </c>
      <c r="I1368" s="72" t="s">
        <v>62</v>
      </c>
      <c r="J1368" t="str">
        <f t="shared" si="78"/>
        <v>Skykomish River</v>
      </c>
      <c r="K1368" t="str">
        <f>IFERROR(VLOOKUP(J1368,LUTs!$A$1:$C$73,2,FALSE),"NA")</f>
        <v>Snohomish</v>
      </c>
      <c r="L1368" t="str">
        <f>IFERROR(VLOOKUP(J1368,LUTs!$A$1:$C$73,3,FALSE),"NA")</f>
        <v>2Central Puget Sound</v>
      </c>
      <c r="M1368" s="72" t="s">
        <v>16</v>
      </c>
      <c r="N1368" t="str">
        <f>VLOOKUP(M1368,LUTs!E$2:H$14,3,)</f>
        <v>03Snohomish</v>
      </c>
      <c r="O1368" t="str">
        <f>VLOOKUP(M1368,LUTs!E$2:H$14,4,)</f>
        <v>01North Puget Sound</v>
      </c>
      <c r="P1368" s="80">
        <v>308.42553191489401</v>
      </c>
      <c r="Q1368" s="103">
        <v>154.212765957447</v>
      </c>
      <c r="R1368" s="74">
        <f>VLOOKUP(B1368,Readme!A$40:C$52,3,)*Q1368</f>
        <v>1316.9770212765973</v>
      </c>
    </row>
    <row r="1369" spans="1:18" ht="12" customHeight="1" x14ac:dyDescent="0.35">
      <c r="A1369" s="75">
        <v>1476</v>
      </c>
      <c r="B1369" s="80">
        <v>2014</v>
      </c>
      <c r="C1369" s="80">
        <v>7</v>
      </c>
      <c r="D1369" s="80">
        <f t="shared" si="77"/>
        <v>2014</v>
      </c>
      <c r="E1369" t="s">
        <v>38</v>
      </c>
      <c r="F1369" t="s">
        <v>143</v>
      </c>
      <c r="G1369" t="s">
        <v>86</v>
      </c>
      <c r="H1369" s="72" t="s">
        <v>247</v>
      </c>
      <c r="I1369" s="72" t="s">
        <v>98</v>
      </c>
      <c r="J1369" t="str">
        <f t="shared" si="78"/>
        <v>Skykomish River, No. Fork</v>
      </c>
      <c r="K1369" t="str">
        <f>IFERROR(VLOOKUP(J1369,LUTs!$A$1:$C$73,2,FALSE),"NA")</f>
        <v>Snohomish</v>
      </c>
      <c r="L1369" t="str">
        <f>IFERROR(VLOOKUP(J1369,LUTs!$A$1:$C$73,3,FALSE),"NA")</f>
        <v>2Central Puget Sound</v>
      </c>
      <c r="M1369" s="72" t="s">
        <v>18</v>
      </c>
      <c r="N1369" t="str">
        <f>VLOOKUP(M1369,LUTs!E$2:H$14,3,)</f>
        <v>06King</v>
      </c>
      <c r="O1369" t="str">
        <f>VLOOKUP(M1369,LUTs!E$2:H$14,4,)</f>
        <v>02South Puget Sound</v>
      </c>
      <c r="P1369" s="80">
        <v>6.6666666666666696</v>
      </c>
      <c r="Q1369" s="103">
        <v>3.3333333333333299</v>
      </c>
      <c r="R1369" s="74">
        <f>VLOOKUP(B1369,Readme!A$40:C$52,3,)*Q1369</f>
        <v>28.466666666666633</v>
      </c>
    </row>
    <row r="1370" spans="1:18" ht="12" customHeight="1" x14ac:dyDescent="0.35">
      <c r="A1370" s="75">
        <v>1477</v>
      </c>
      <c r="B1370" s="80">
        <v>2014</v>
      </c>
      <c r="C1370" s="80">
        <v>7</v>
      </c>
      <c r="D1370" s="80">
        <f t="shared" si="77"/>
        <v>2014</v>
      </c>
      <c r="E1370" t="s">
        <v>38</v>
      </c>
      <c r="F1370" t="s">
        <v>143</v>
      </c>
      <c r="G1370" t="s">
        <v>86</v>
      </c>
      <c r="H1370" s="72" t="s">
        <v>247</v>
      </c>
      <c r="I1370" s="72" t="s">
        <v>98</v>
      </c>
      <c r="J1370" t="str">
        <f t="shared" si="78"/>
        <v>Skykomish River, No. Fork</v>
      </c>
      <c r="K1370" t="str">
        <f>IFERROR(VLOOKUP(J1370,LUTs!$A$1:$C$73,2,FALSE),"NA")</f>
        <v>Snohomish</v>
      </c>
      <c r="L1370" t="str">
        <f>IFERROR(VLOOKUP(J1370,LUTs!$A$1:$C$73,3,FALSE),"NA")</f>
        <v>2Central Puget Sound</v>
      </c>
      <c r="M1370" s="72" t="s">
        <v>16</v>
      </c>
      <c r="N1370" t="str">
        <f>VLOOKUP(M1370,LUTs!E$2:H$14,3,)</f>
        <v>03Snohomish</v>
      </c>
      <c r="O1370" t="str">
        <f>VLOOKUP(M1370,LUTs!E$2:H$14,4,)</f>
        <v>01North Puget Sound</v>
      </c>
      <c r="P1370" s="80">
        <v>13.3333333333333</v>
      </c>
      <c r="Q1370" s="103">
        <v>6.6666666666666696</v>
      </c>
      <c r="R1370" s="74">
        <f>VLOOKUP(B1370,Readme!A$40:C$52,3,)*Q1370</f>
        <v>56.933333333333351</v>
      </c>
    </row>
    <row r="1371" spans="1:18" ht="12" customHeight="1" x14ac:dyDescent="0.35">
      <c r="A1371" s="75">
        <v>1490</v>
      </c>
      <c r="B1371" s="80">
        <v>2014</v>
      </c>
      <c r="C1371" s="80">
        <v>7</v>
      </c>
      <c r="D1371" s="80">
        <f t="shared" si="77"/>
        <v>2014</v>
      </c>
      <c r="E1371" t="s">
        <v>38</v>
      </c>
      <c r="F1371" t="s">
        <v>143</v>
      </c>
      <c r="G1371" t="s">
        <v>86</v>
      </c>
      <c r="H1371" s="72" t="s">
        <v>248</v>
      </c>
      <c r="I1371" s="72" t="s">
        <v>99</v>
      </c>
      <c r="J1371" t="str">
        <f t="shared" si="78"/>
        <v>Skykomish River, So. Fork</v>
      </c>
      <c r="K1371" t="str">
        <f>IFERROR(VLOOKUP(J1371,LUTs!$A$1:$C$73,2,FALSE),"NA")</f>
        <v>Snohomish/King</v>
      </c>
      <c r="L1371" t="str">
        <f>IFERROR(VLOOKUP(J1371,LUTs!$A$1:$C$73,3,FALSE),"NA")</f>
        <v>2Central Puget Sound</v>
      </c>
      <c r="M1371" s="72" t="s">
        <v>18</v>
      </c>
      <c r="N1371" t="str">
        <f>VLOOKUP(M1371,LUTs!E$2:H$14,3,)</f>
        <v>06King</v>
      </c>
      <c r="O1371" t="str">
        <f>VLOOKUP(M1371,LUTs!E$2:H$14,4,)</f>
        <v>02South Puget Sound</v>
      </c>
      <c r="P1371" s="80">
        <v>6.6666666666666696</v>
      </c>
      <c r="Q1371" s="103">
        <v>3.3333333333333299</v>
      </c>
      <c r="R1371" s="74">
        <f>VLOOKUP(B1371,Readme!A$40:C$52,3,)*Q1371</f>
        <v>28.466666666666633</v>
      </c>
    </row>
    <row r="1372" spans="1:18" ht="12" customHeight="1" x14ac:dyDescent="0.35">
      <c r="A1372" s="75">
        <v>1491</v>
      </c>
      <c r="B1372" s="80">
        <v>2014</v>
      </c>
      <c r="C1372" s="80">
        <v>7</v>
      </c>
      <c r="D1372" s="80">
        <f t="shared" si="77"/>
        <v>2014</v>
      </c>
      <c r="E1372" t="s">
        <v>38</v>
      </c>
      <c r="F1372" t="s">
        <v>143</v>
      </c>
      <c r="G1372" t="s">
        <v>86</v>
      </c>
      <c r="H1372" s="72" t="s">
        <v>248</v>
      </c>
      <c r="I1372" s="72" t="s">
        <v>99</v>
      </c>
      <c r="J1372" t="str">
        <f t="shared" si="78"/>
        <v>Skykomish River, So. Fork</v>
      </c>
      <c r="K1372" t="str">
        <f>IFERROR(VLOOKUP(J1372,LUTs!$A$1:$C$73,2,FALSE),"NA")</f>
        <v>Snohomish/King</v>
      </c>
      <c r="L1372" t="str">
        <f>IFERROR(VLOOKUP(J1372,LUTs!$A$1:$C$73,3,FALSE),"NA")</f>
        <v>2Central Puget Sound</v>
      </c>
      <c r="M1372" s="72" t="s">
        <v>16</v>
      </c>
      <c r="N1372" t="str">
        <f>VLOOKUP(M1372,LUTs!E$2:H$14,3,)</f>
        <v>03Snohomish</v>
      </c>
      <c r="O1372" t="str">
        <f>VLOOKUP(M1372,LUTs!E$2:H$14,4,)</f>
        <v>01North Puget Sound</v>
      </c>
      <c r="P1372" s="80">
        <v>13.3333333333333</v>
      </c>
      <c r="Q1372" s="103">
        <v>6.6666666666666696</v>
      </c>
      <c r="R1372" s="74">
        <f>VLOOKUP(B1372,Readme!A$40:C$52,3,)*Q1372</f>
        <v>56.933333333333351</v>
      </c>
    </row>
    <row r="1373" spans="1:18" ht="12" customHeight="1" x14ac:dyDescent="0.35">
      <c r="A1373" s="75">
        <v>1499</v>
      </c>
      <c r="B1373" s="80">
        <v>2014</v>
      </c>
      <c r="C1373" s="80">
        <v>7</v>
      </c>
      <c r="D1373" s="80">
        <f t="shared" si="77"/>
        <v>2014</v>
      </c>
      <c r="E1373" t="s">
        <v>38</v>
      </c>
      <c r="F1373" t="s">
        <v>143</v>
      </c>
      <c r="G1373" t="s">
        <v>86</v>
      </c>
      <c r="H1373" s="72" t="s">
        <v>221</v>
      </c>
      <c r="I1373" s="72" t="s">
        <v>63</v>
      </c>
      <c r="J1373" t="str">
        <f t="shared" si="78"/>
        <v>Snohomish River</v>
      </c>
      <c r="K1373" t="str">
        <f>IFERROR(VLOOKUP(J1373,LUTs!$A$1:$C$73,2,FALSE),"NA")</f>
        <v>Snohomish</v>
      </c>
      <c r="L1373" t="str">
        <f>IFERROR(VLOOKUP(J1373,LUTs!$A$1:$C$73,3,FALSE),"NA")</f>
        <v>2Central Puget Sound</v>
      </c>
      <c r="M1373" s="72" t="s">
        <v>16</v>
      </c>
      <c r="N1373" t="str">
        <f>VLOOKUP(M1373,LUTs!E$2:H$14,3,)</f>
        <v>03Snohomish</v>
      </c>
      <c r="O1373" t="str">
        <f>VLOOKUP(M1373,LUTs!E$2:H$14,4,)</f>
        <v>01North Puget Sound</v>
      </c>
      <c r="P1373" s="80">
        <v>12</v>
      </c>
      <c r="Q1373" s="103">
        <v>6</v>
      </c>
      <c r="R1373" s="74">
        <f>VLOOKUP(B1373,Readme!A$40:C$52,3,)*Q1373</f>
        <v>51.239999999999995</v>
      </c>
    </row>
    <row r="1374" spans="1:18" ht="12" customHeight="1" x14ac:dyDescent="0.35">
      <c r="A1374" s="75">
        <v>1364</v>
      </c>
      <c r="B1374" s="80">
        <v>2014</v>
      </c>
      <c r="C1374" s="80">
        <v>7</v>
      </c>
      <c r="D1374" s="80">
        <f t="shared" si="77"/>
        <v>2014</v>
      </c>
      <c r="E1374" t="s">
        <v>38</v>
      </c>
      <c r="F1374" t="s">
        <v>143</v>
      </c>
      <c r="G1374" t="s">
        <v>86</v>
      </c>
      <c r="H1374" s="72" t="s">
        <v>236</v>
      </c>
      <c r="I1374" s="72" t="s">
        <v>90</v>
      </c>
      <c r="J1374" t="str">
        <f t="shared" si="78"/>
        <v>Soos Creek</v>
      </c>
      <c r="K1374" t="str">
        <f>IFERROR(VLOOKUP(J1374,LUTs!$A$1:$C$73,2,FALSE),"NA")</f>
        <v>King</v>
      </c>
      <c r="L1374" t="str">
        <f>IFERROR(VLOOKUP(J1374,LUTs!$A$1:$C$73,3,FALSE),"NA")</f>
        <v>3South Puget Sound</v>
      </c>
      <c r="M1374" s="72" t="s">
        <v>20</v>
      </c>
      <c r="N1374" t="str">
        <f>VLOOKUP(M1374,LUTs!E$2:H$14,3,)</f>
        <v>07Pierce</v>
      </c>
      <c r="O1374" t="str">
        <f>VLOOKUP(M1374,LUTs!E$2:H$14,4,)</f>
        <v>02South Puget Sound</v>
      </c>
      <c r="P1374" s="80">
        <v>14</v>
      </c>
      <c r="Q1374" s="103">
        <v>7</v>
      </c>
      <c r="R1374" s="74">
        <f>VLOOKUP(B1374,Readme!A$40:C$52,3,)*Q1374</f>
        <v>59.779999999999994</v>
      </c>
    </row>
    <row r="1375" spans="1:18" ht="12" customHeight="1" x14ac:dyDescent="0.35">
      <c r="A1375" s="75">
        <v>1532</v>
      </c>
      <c r="B1375" s="80">
        <v>2014</v>
      </c>
      <c r="C1375" s="80">
        <v>7</v>
      </c>
      <c r="D1375" s="80">
        <f t="shared" si="77"/>
        <v>2014</v>
      </c>
      <c r="E1375" t="s">
        <v>38</v>
      </c>
      <c r="F1375" t="s">
        <v>143</v>
      </c>
      <c r="G1375" t="s">
        <v>86</v>
      </c>
      <c r="H1375" s="72" t="s">
        <v>233</v>
      </c>
      <c r="I1375" s="72" t="s">
        <v>76</v>
      </c>
      <c r="J1375" t="str">
        <f t="shared" si="78"/>
        <v>Wallace River</v>
      </c>
      <c r="K1375" t="str">
        <f>IFERROR(VLOOKUP(J1375,LUTs!$A$1:$C$73,2,FALSE),"NA")</f>
        <v>Snohomish</v>
      </c>
      <c r="L1375" t="str">
        <f>IFERROR(VLOOKUP(J1375,LUTs!$A$1:$C$73,3,FALSE),"NA")</f>
        <v>2Central Puget Sound</v>
      </c>
      <c r="M1375" s="72" t="s">
        <v>18</v>
      </c>
      <c r="N1375" t="str">
        <f>VLOOKUP(M1375,LUTs!E$2:H$14,3,)</f>
        <v>06King</v>
      </c>
      <c r="O1375" t="str">
        <f>VLOOKUP(M1375,LUTs!E$2:H$14,4,)</f>
        <v>02South Puget Sound</v>
      </c>
      <c r="P1375" s="80">
        <v>6</v>
      </c>
      <c r="Q1375" s="103">
        <v>3</v>
      </c>
      <c r="R1375" s="74">
        <f>VLOOKUP(B1375,Readme!A$40:C$52,3,)*Q1375</f>
        <v>25.619999999999997</v>
      </c>
    </row>
    <row r="1376" spans="1:18" ht="12" customHeight="1" x14ac:dyDescent="0.35">
      <c r="A1376" s="75">
        <v>1533</v>
      </c>
      <c r="B1376" s="80">
        <v>2014</v>
      </c>
      <c r="C1376" s="80">
        <v>7</v>
      </c>
      <c r="D1376" s="80">
        <f t="shared" si="77"/>
        <v>2014</v>
      </c>
      <c r="E1376" t="s">
        <v>38</v>
      </c>
      <c r="F1376" t="s">
        <v>143</v>
      </c>
      <c r="G1376" t="s">
        <v>86</v>
      </c>
      <c r="H1376" s="72" t="s">
        <v>233</v>
      </c>
      <c r="I1376" s="72" t="s">
        <v>76</v>
      </c>
      <c r="J1376" t="str">
        <f t="shared" si="78"/>
        <v>Wallace River</v>
      </c>
      <c r="K1376" t="str">
        <f>IFERROR(VLOOKUP(J1376,LUTs!$A$1:$C$73,2,FALSE),"NA")</f>
        <v>Snohomish</v>
      </c>
      <c r="L1376" t="str">
        <f>IFERROR(VLOOKUP(J1376,LUTs!$A$1:$C$73,3,FALSE),"NA")</f>
        <v>2Central Puget Sound</v>
      </c>
      <c r="M1376" s="72" t="s">
        <v>16</v>
      </c>
      <c r="N1376" t="str">
        <f>VLOOKUP(M1376,LUTs!E$2:H$14,3,)</f>
        <v>03Snohomish</v>
      </c>
      <c r="O1376" t="str">
        <f>VLOOKUP(M1376,LUTs!E$2:H$14,4,)</f>
        <v>01North Puget Sound</v>
      </c>
      <c r="P1376" s="80">
        <v>6</v>
      </c>
      <c r="Q1376" s="103">
        <v>3</v>
      </c>
      <c r="R1376" s="74">
        <f>VLOOKUP(B1376,Readme!A$40:C$52,3,)*Q1376</f>
        <v>25.619999999999997</v>
      </c>
    </row>
    <row r="1377" spans="1:18" ht="12" customHeight="1" x14ac:dyDescent="0.35">
      <c r="A1377" s="75">
        <v>1335</v>
      </c>
      <c r="B1377" s="80">
        <v>2014</v>
      </c>
      <c r="C1377" s="80">
        <v>8</v>
      </c>
      <c r="D1377" s="80">
        <f t="shared" si="77"/>
        <v>2014</v>
      </c>
      <c r="E1377" t="s">
        <v>38</v>
      </c>
      <c r="F1377" t="s">
        <v>143</v>
      </c>
      <c r="G1377" t="s">
        <v>86</v>
      </c>
      <c r="H1377" s="72" t="s">
        <v>265</v>
      </c>
      <c r="I1377" s="72" t="s">
        <v>107</v>
      </c>
      <c r="J1377" t="str">
        <f t="shared" si="78"/>
        <v>Burley Creek (Kitsap Co.)</v>
      </c>
      <c r="K1377" t="str">
        <f>IFERROR(VLOOKUP(J1377,LUTs!$A$1:$C$73,2,FALSE),"NA")</f>
        <v>Kitsap</v>
      </c>
      <c r="L1377" t="str">
        <f>IFERROR(VLOOKUP(J1377,LUTs!$A$1:$C$73,3,FALSE),"NA")</f>
        <v>3South Puget Sound</v>
      </c>
      <c r="M1377" s="72" t="s">
        <v>26</v>
      </c>
      <c r="N1377" t="str">
        <f>VLOOKUP(M1377,LUTs!E$2:H$14,3,)</f>
        <v>20Other</v>
      </c>
      <c r="O1377" t="str">
        <f>VLOOKUP(M1377,LUTs!E$2:H$14,4,)</f>
        <v>07Non Puget Sound</v>
      </c>
      <c r="P1377" s="80">
        <v>8</v>
      </c>
      <c r="Q1377" s="103">
        <v>4</v>
      </c>
      <c r="R1377" s="74">
        <f>VLOOKUP(B1377,Readme!A$40:C$52,3,)*Q1377</f>
        <v>34.159999999999997</v>
      </c>
    </row>
    <row r="1378" spans="1:18" ht="12" customHeight="1" x14ac:dyDescent="0.35">
      <c r="A1378" s="75">
        <v>1353</v>
      </c>
      <c r="B1378" s="80">
        <v>2014</v>
      </c>
      <c r="C1378" s="80">
        <v>8</v>
      </c>
      <c r="D1378" s="80">
        <f t="shared" si="77"/>
        <v>2014</v>
      </c>
      <c r="E1378" t="s">
        <v>38</v>
      </c>
      <c r="F1378" t="s">
        <v>143</v>
      </c>
      <c r="G1378" t="s">
        <v>86</v>
      </c>
      <c r="H1378" s="72" t="s">
        <v>203</v>
      </c>
      <c r="I1378" s="72" t="s">
        <v>89</v>
      </c>
      <c r="J1378" s="84" t="s">
        <v>45</v>
      </c>
      <c r="K1378" t="str">
        <f>IFERROR(VLOOKUP(J1378,LUTs!$A$1:$C$73,2,FALSE),"NA")</f>
        <v>King</v>
      </c>
      <c r="L1378" t="str">
        <f>IFERROR(VLOOKUP(J1378,LUTs!$A$1:$C$73,3,FALSE),"NA")</f>
        <v>3South Puget Sound</v>
      </c>
      <c r="M1378" s="72" t="s">
        <v>20</v>
      </c>
      <c r="N1378" t="str">
        <f>VLOOKUP(M1378,LUTs!E$2:H$14,3,)</f>
        <v>07Pierce</v>
      </c>
      <c r="O1378" t="str">
        <f>VLOOKUP(M1378,LUTs!E$2:H$14,4,)</f>
        <v>02South Puget Sound</v>
      </c>
      <c r="P1378" s="80">
        <v>38</v>
      </c>
      <c r="Q1378" s="103">
        <v>19</v>
      </c>
      <c r="R1378" s="74">
        <f>VLOOKUP(B1378,Readme!A$40:C$52,3,)*Q1378</f>
        <v>162.26</v>
      </c>
    </row>
    <row r="1379" spans="1:18" ht="12" customHeight="1" x14ac:dyDescent="0.35">
      <c r="A1379" s="75">
        <v>1448</v>
      </c>
      <c r="B1379" s="80">
        <v>2014</v>
      </c>
      <c r="C1379" s="80">
        <v>8</v>
      </c>
      <c r="D1379" s="80">
        <f t="shared" si="77"/>
        <v>2014</v>
      </c>
      <c r="E1379" t="s">
        <v>38</v>
      </c>
      <c r="F1379" t="s">
        <v>143</v>
      </c>
      <c r="G1379" t="s">
        <v>86</v>
      </c>
      <c r="H1379" s="72" t="s">
        <v>220</v>
      </c>
      <c r="I1379" s="72" t="s">
        <v>62</v>
      </c>
      <c r="J1379" t="str">
        <f t="shared" ref="J1379:J1395" si="79">I1379</f>
        <v>Skykomish River</v>
      </c>
      <c r="K1379" t="str">
        <f>IFERROR(VLOOKUP(J1379,LUTs!$A$1:$C$73,2,FALSE),"NA")</f>
        <v>Snohomish</v>
      </c>
      <c r="L1379" t="str">
        <f>IFERROR(VLOOKUP(J1379,LUTs!$A$1:$C$73,3,FALSE),"NA")</f>
        <v>2Central Puget Sound</v>
      </c>
      <c r="M1379" s="72" t="s">
        <v>24</v>
      </c>
      <c r="N1379" t="str">
        <f>VLOOKUP(M1379,LUTs!E$2:H$14,3,)</f>
        <v>11Clallam</v>
      </c>
      <c r="O1379" t="str">
        <f>VLOOKUP(M1379,LUTs!E$2:H$14,4,)</f>
        <v>03Strait of Juan de Fuca</v>
      </c>
      <c r="P1379" s="80">
        <v>12.8888888888889</v>
      </c>
      <c r="Q1379" s="103">
        <v>6.44444444444445</v>
      </c>
      <c r="R1379" s="74">
        <f>VLOOKUP(B1379,Readme!A$40:C$52,3,)*Q1379</f>
        <v>55.035555555555597</v>
      </c>
    </row>
    <row r="1380" spans="1:18" ht="12" customHeight="1" x14ac:dyDescent="0.35">
      <c r="A1380" s="75">
        <v>1449</v>
      </c>
      <c r="B1380" s="80">
        <v>2014</v>
      </c>
      <c r="C1380" s="80">
        <v>8</v>
      </c>
      <c r="D1380" s="80">
        <f t="shared" si="77"/>
        <v>2014</v>
      </c>
      <c r="E1380" t="s">
        <v>38</v>
      </c>
      <c r="F1380" t="s">
        <v>143</v>
      </c>
      <c r="G1380" t="s">
        <v>86</v>
      </c>
      <c r="H1380" s="72" t="s">
        <v>220</v>
      </c>
      <c r="I1380" s="72" t="s">
        <v>62</v>
      </c>
      <c r="J1380" t="str">
        <f t="shared" si="79"/>
        <v>Skykomish River</v>
      </c>
      <c r="K1380" t="str">
        <f>IFERROR(VLOOKUP(J1380,LUTs!$A$1:$C$73,2,FALSE),"NA")</f>
        <v>Snohomish</v>
      </c>
      <c r="L1380" t="str">
        <f>IFERROR(VLOOKUP(J1380,LUTs!$A$1:$C$73,3,FALSE),"NA")</f>
        <v>2Central Puget Sound</v>
      </c>
      <c r="M1380" s="72" t="s">
        <v>18</v>
      </c>
      <c r="N1380" t="str">
        <f>VLOOKUP(M1380,LUTs!E$2:H$14,3,)</f>
        <v>06King</v>
      </c>
      <c r="O1380" t="str">
        <f>VLOOKUP(M1380,LUTs!E$2:H$14,4,)</f>
        <v>02South Puget Sound</v>
      </c>
      <c r="P1380" s="80">
        <v>64.4444444444445</v>
      </c>
      <c r="Q1380" s="103">
        <v>32.2222222222222</v>
      </c>
      <c r="R1380" s="74">
        <f>VLOOKUP(B1380,Readme!A$40:C$52,3,)*Q1380</f>
        <v>275.17777777777758</v>
      </c>
    </row>
    <row r="1381" spans="1:18" ht="12" customHeight="1" x14ac:dyDescent="0.35">
      <c r="A1381" s="75">
        <v>1450</v>
      </c>
      <c r="B1381" s="80">
        <v>2014</v>
      </c>
      <c r="C1381" s="80">
        <v>8</v>
      </c>
      <c r="D1381" s="80">
        <f t="shared" si="77"/>
        <v>2014</v>
      </c>
      <c r="E1381" t="s">
        <v>38</v>
      </c>
      <c r="F1381" t="s">
        <v>143</v>
      </c>
      <c r="G1381" t="s">
        <v>86</v>
      </c>
      <c r="H1381" s="72" t="s">
        <v>220</v>
      </c>
      <c r="I1381" s="72" t="s">
        <v>62</v>
      </c>
      <c r="J1381" t="str">
        <f t="shared" si="79"/>
        <v>Skykomish River</v>
      </c>
      <c r="K1381" t="str">
        <f>IFERROR(VLOOKUP(J1381,LUTs!$A$1:$C$73,2,FALSE),"NA")</f>
        <v>Snohomish</v>
      </c>
      <c r="L1381" t="str">
        <f>IFERROR(VLOOKUP(J1381,LUTs!$A$1:$C$73,3,FALSE),"NA")</f>
        <v>2Central Puget Sound</v>
      </c>
      <c r="M1381" s="72" t="s">
        <v>26</v>
      </c>
      <c r="N1381" t="str">
        <f>VLOOKUP(M1381,LUTs!E$2:H$14,3,)</f>
        <v>20Other</v>
      </c>
      <c r="O1381" t="str">
        <f>VLOOKUP(M1381,LUTs!E$2:H$14,4,)</f>
        <v>07Non Puget Sound</v>
      </c>
      <c r="P1381" s="80">
        <v>19.3333333333333</v>
      </c>
      <c r="Q1381" s="103">
        <v>9.6666666666666696</v>
      </c>
      <c r="R1381" s="74">
        <f>VLOOKUP(B1381,Readme!A$40:C$52,3,)*Q1381</f>
        <v>82.553333333333356</v>
      </c>
    </row>
    <row r="1382" spans="1:18" ht="12" customHeight="1" x14ac:dyDescent="0.35">
      <c r="A1382" s="75">
        <v>1451</v>
      </c>
      <c r="B1382" s="80">
        <v>2014</v>
      </c>
      <c r="C1382" s="80">
        <v>8</v>
      </c>
      <c r="D1382" s="80">
        <f t="shared" si="77"/>
        <v>2014</v>
      </c>
      <c r="E1382" t="s">
        <v>38</v>
      </c>
      <c r="F1382" t="s">
        <v>143</v>
      </c>
      <c r="G1382" t="s">
        <v>86</v>
      </c>
      <c r="H1382" s="72" t="s">
        <v>220</v>
      </c>
      <c r="I1382" s="72" t="s">
        <v>62</v>
      </c>
      <c r="J1382" t="str">
        <f t="shared" si="79"/>
        <v>Skykomish River</v>
      </c>
      <c r="K1382" t="str">
        <f>IFERROR(VLOOKUP(J1382,LUTs!$A$1:$C$73,2,FALSE),"NA")</f>
        <v>Snohomish</v>
      </c>
      <c r="L1382" t="str">
        <f>IFERROR(VLOOKUP(J1382,LUTs!$A$1:$C$73,3,FALSE),"NA")</f>
        <v>2Central Puget Sound</v>
      </c>
      <c r="M1382" s="72" t="s">
        <v>16</v>
      </c>
      <c r="N1382" t="str">
        <f>VLOOKUP(M1382,LUTs!E$2:H$14,3,)</f>
        <v>03Snohomish</v>
      </c>
      <c r="O1382" t="str">
        <f>VLOOKUP(M1382,LUTs!E$2:H$14,4,)</f>
        <v>01North Puget Sound</v>
      </c>
      <c r="P1382" s="80">
        <v>77.3333333333333</v>
      </c>
      <c r="Q1382" s="103">
        <v>38.6666666666667</v>
      </c>
      <c r="R1382" s="74">
        <f>VLOOKUP(B1382,Readme!A$40:C$52,3,)*Q1382</f>
        <v>330.21333333333359</v>
      </c>
    </row>
    <row r="1383" spans="1:18" ht="12" customHeight="1" x14ac:dyDescent="0.35">
      <c r="A1383" s="75">
        <v>1478</v>
      </c>
      <c r="B1383" s="80">
        <v>2014</v>
      </c>
      <c r="C1383" s="80">
        <v>8</v>
      </c>
      <c r="D1383" s="80">
        <f t="shared" si="77"/>
        <v>2014</v>
      </c>
      <c r="E1383" t="s">
        <v>38</v>
      </c>
      <c r="F1383" t="s">
        <v>143</v>
      </c>
      <c r="G1383" t="s">
        <v>86</v>
      </c>
      <c r="H1383" s="72" t="s">
        <v>247</v>
      </c>
      <c r="I1383" s="72" t="s">
        <v>98</v>
      </c>
      <c r="J1383" t="str">
        <f t="shared" si="79"/>
        <v>Skykomish River, No. Fork</v>
      </c>
      <c r="K1383" t="str">
        <f>IFERROR(VLOOKUP(J1383,LUTs!$A$1:$C$73,2,FALSE),"NA")</f>
        <v>Snohomish</v>
      </c>
      <c r="L1383" t="str">
        <f>IFERROR(VLOOKUP(J1383,LUTs!$A$1:$C$73,3,FALSE),"NA")</f>
        <v>2Central Puget Sound</v>
      </c>
      <c r="M1383" s="72" t="s">
        <v>18</v>
      </c>
      <c r="N1383" t="str">
        <f>VLOOKUP(M1383,LUTs!E$2:H$14,3,)</f>
        <v>06King</v>
      </c>
      <c r="O1383" t="str">
        <f>VLOOKUP(M1383,LUTs!E$2:H$14,4,)</f>
        <v>02South Puget Sound</v>
      </c>
      <c r="P1383" s="80">
        <v>32</v>
      </c>
      <c r="Q1383" s="103">
        <v>16</v>
      </c>
      <c r="R1383" s="74">
        <f>VLOOKUP(B1383,Readme!A$40:C$52,3,)*Q1383</f>
        <v>136.63999999999999</v>
      </c>
    </row>
    <row r="1384" spans="1:18" ht="12" customHeight="1" x14ac:dyDescent="0.35">
      <c r="A1384" s="75">
        <v>1479</v>
      </c>
      <c r="B1384" s="80">
        <v>2014</v>
      </c>
      <c r="C1384" s="80">
        <v>8</v>
      </c>
      <c r="D1384" s="80">
        <f t="shared" si="77"/>
        <v>2014</v>
      </c>
      <c r="E1384" t="s">
        <v>38</v>
      </c>
      <c r="F1384" t="s">
        <v>143</v>
      </c>
      <c r="G1384" t="s">
        <v>86</v>
      </c>
      <c r="H1384" s="72" t="s">
        <v>247</v>
      </c>
      <c r="I1384" s="72" t="s">
        <v>98</v>
      </c>
      <c r="J1384" t="str">
        <f t="shared" si="79"/>
        <v>Skykomish River, No. Fork</v>
      </c>
      <c r="K1384" t="str">
        <f>IFERROR(VLOOKUP(J1384,LUTs!$A$1:$C$73,2,FALSE),"NA")</f>
        <v>Snohomish</v>
      </c>
      <c r="L1384" t="str">
        <f>IFERROR(VLOOKUP(J1384,LUTs!$A$1:$C$73,3,FALSE),"NA")</f>
        <v>2Central Puget Sound</v>
      </c>
      <c r="M1384" s="72" t="s">
        <v>26</v>
      </c>
      <c r="N1384" t="str">
        <f>VLOOKUP(M1384,LUTs!E$2:H$14,3,)</f>
        <v>20Other</v>
      </c>
      <c r="O1384" t="str">
        <f>VLOOKUP(M1384,LUTs!E$2:H$14,4,)</f>
        <v>07Non Puget Sound</v>
      </c>
      <c r="P1384" s="80">
        <v>12.8</v>
      </c>
      <c r="Q1384" s="103">
        <v>6.4</v>
      </c>
      <c r="R1384" s="74">
        <f>VLOOKUP(B1384,Readme!A$40:C$52,3,)*Q1384</f>
        <v>54.655999999999999</v>
      </c>
    </row>
    <row r="1385" spans="1:18" ht="12" customHeight="1" x14ac:dyDescent="0.35">
      <c r="A1385" s="75">
        <v>1480</v>
      </c>
      <c r="B1385" s="80">
        <v>2014</v>
      </c>
      <c r="C1385" s="80">
        <v>8</v>
      </c>
      <c r="D1385" s="80">
        <f t="shared" si="77"/>
        <v>2014</v>
      </c>
      <c r="E1385" t="s">
        <v>38</v>
      </c>
      <c r="F1385" t="s">
        <v>143</v>
      </c>
      <c r="G1385" t="s">
        <v>86</v>
      </c>
      <c r="H1385" s="72" t="s">
        <v>247</v>
      </c>
      <c r="I1385" s="72" t="s">
        <v>98</v>
      </c>
      <c r="J1385" t="str">
        <f t="shared" si="79"/>
        <v>Skykomish River, No. Fork</v>
      </c>
      <c r="K1385" t="str">
        <f>IFERROR(VLOOKUP(J1385,LUTs!$A$1:$C$73,2,FALSE),"NA")</f>
        <v>Snohomish</v>
      </c>
      <c r="L1385" t="str">
        <f>IFERROR(VLOOKUP(J1385,LUTs!$A$1:$C$73,3,FALSE),"NA")</f>
        <v>2Central Puget Sound</v>
      </c>
      <c r="M1385" s="72" t="s">
        <v>16</v>
      </c>
      <c r="N1385" t="str">
        <f>VLOOKUP(M1385,LUTs!E$2:H$14,3,)</f>
        <v>03Snohomish</v>
      </c>
      <c r="O1385" t="str">
        <f>VLOOKUP(M1385,LUTs!E$2:H$14,4,)</f>
        <v>01North Puget Sound</v>
      </c>
      <c r="P1385" s="80">
        <v>19.2</v>
      </c>
      <c r="Q1385" s="103">
        <v>9.6</v>
      </c>
      <c r="R1385" s="74">
        <f>VLOOKUP(B1385,Readme!A$40:C$52,3,)*Q1385</f>
        <v>81.983999999999995</v>
      </c>
    </row>
    <row r="1386" spans="1:18" ht="12" customHeight="1" x14ac:dyDescent="0.35">
      <c r="A1386" s="75">
        <v>1492</v>
      </c>
      <c r="B1386" s="80">
        <v>2014</v>
      </c>
      <c r="C1386" s="80">
        <v>8</v>
      </c>
      <c r="D1386" s="80">
        <f t="shared" si="77"/>
        <v>2014</v>
      </c>
      <c r="E1386" t="s">
        <v>38</v>
      </c>
      <c r="F1386" t="s">
        <v>143</v>
      </c>
      <c r="G1386" t="s">
        <v>86</v>
      </c>
      <c r="H1386" s="72" t="s">
        <v>248</v>
      </c>
      <c r="I1386" s="72" t="s">
        <v>99</v>
      </c>
      <c r="J1386" t="str">
        <f t="shared" si="79"/>
        <v>Skykomish River, So. Fork</v>
      </c>
      <c r="K1386" t="str">
        <f>IFERROR(VLOOKUP(J1386,LUTs!$A$1:$C$73,2,FALSE),"NA")</f>
        <v>Snohomish/King</v>
      </c>
      <c r="L1386" t="str">
        <f>IFERROR(VLOOKUP(J1386,LUTs!$A$1:$C$73,3,FALSE),"NA")</f>
        <v>2Central Puget Sound</v>
      </c>
      <c r="M1386" s="72" t="s">
        <v>18</v>
      </c>
      <c r="N1386" t="str">
        <f>VLOOKUP(M1386,LUTs!E$2:H$14,3,)</f>
        <v>06King</v>
      </c>
      <c r="O1386" t="str">
        <f>VLOOKUP(M1386,LUTs!E$2:H$14,4,)</f>
        <v>02South Puget Sound</v>
      </c>
      <c r="P1386" s="80">
        <v>6.5</v>
      </c>
      <c r="Q1386" s="103">
        <v>3.25</v>
      </c>
      <c r="R1386" s="74">
        <f>VLOOKUP(B1386,Readme!A$40:C$52,3,)*Q1386</f>
        <v>27.754999999999995</v>
      </c>
    </row>
    <row r="1387" spans="1:18" ht="12" customHeight="1" x14ac:dyDescent="0.35">
      <c r="A1387" s="75">
        <v>1493</v>
      </c>
      <c r="B1387" s="80">
        <v>2014</v>
      </c>
      <c r="C1387" s="80">
        <v>8</v>
      </c>
      <c r="D1387" s="80">
        <f t="shared" si="77"/>
        <v>2014</v>
      </c>
      <c r="E1387" t="s">
        <v>38</v>
      </c>
      <c r="F1387" t="s">
        <v>143</v>
      </c>
      <c r="G1387" t="s">
        <v>86</v>
      </c>
      <c r="H1387" s="72" t="s">
        <v>248</v>
      </c>
      <c r="I1387" s="72" t="s">
        <v>99</v>
      </c>
      <c r="J1387" t="str">
        <f t="shared" si="79"/>
        <v>Skykomish River, So. Fork</v>
      </c>
      <c r="K1387" t="str">
        <f>IFERROR(VLOOKUP(J1387,LUTs!$A$1:$C$73,2,FALSE),"NA")</f>
        <v>Snohomish/King</v>
      </c>
      <c r="L1387" t="str">
        <f>IFERROR(VLOOKUP(J1387,LUTs!$A$1:$C$73,3,FALSE),"NA")</f>
        <v>2Central Puget Sound</v>
      </c>
      <c r="M1387" s="72" t="s">
        <v>22</v>
      </c>
      <c r="N1387" t="str">
        <f>VLOOKUP(M1387,LUTs!E$2:H$14,3,)</f>
        <v>09Mason</v>
      </c>
      <c r="O1387" t="str">
        <f>VLOOKUP(M1387,LUTs!E$2:H$14,4,)</f>
        <v>02South Puget Sound</v>
      </c>
      <c r="P1387" s="80">
        <v>6.5</v>
      </c>
      <c r="Q1387" s="103">
        <v>3.25</v>
      </c>
      <c r="R1387" s="74">
        <f>VLOOKUP(B1387,Readme!A$40:C$52,3,)*Q1387</f>
        <v>27.754999999999995</v>
      </c>
    </row>
    <row r="1388" spans="1:18" ht="12" customHeight="1" x14ac:dyDescent="0.35">
      <c r="A1388" s="75">
        <v>1494</v>
      </c>
      <c r="B1388" s="80">
        <v>2014</v>
      </c>
      <c r="C1388" s="80">
        <v>8</v>
      </c>
      <c r="D1388" s="80">
        <f t="shared" si="77"/>
        <v>2014</v>
      </c>
      <c r="E1388" t="s">
        <v>38</v>
      </c>
      <c r="F1388" t="s">
        <v>143</v>
      </c>
      <c r="G1388" t="s">
        <v>86</v>
      </c>
      <c r="H1388" s="72" t="s">
        <v>248</v>
      </c>
      <c r="I1388" s="72" t="s">
        <v>99</v>
      </c>
      <c r="J1388" t="str">
        <f t="shared" si="79"/>
        <v>Skykomish River, So. Fork</v>
      </c>
      <c r="K1388" t="str">
        <f>IFERROR(VLOOKUP(J1388,LUTs!$A$1:$C$73,2,FALSE),"NA")</f>
        <v>Snohomish/King</v>
      </c>
      <c r="L1388" t="str">
        <f>IFERROR(VLOOKUP(J1388,LUTs!$A$1:$C$73,3,FALSE),"NA")</f>
        <v>2Central Puget Sound</v>
      </c>
      <c r="M1388" s="72" t="s">
        <v>16</v>
      </c>
      <c r="N1388" t="str">
        <f>VLOOKUP(M1388,LUTs!E$2:H$14,3,)</f>
        <v>03Snohomish</v>
      </c>
      <c r="O1388" t="str">
        <f>VLOOKUP(M1388,LUTs!E$2:H$14,4,)</f>
        <v>01North Puget Sound</v>
      </c>
      <c r="P1388" s="80">
        <v>13</v>
      </c>
      <c r="Q1388" s="103">
        <v>6.5</v>
      </c>
      <c r="R1388" s="74">
        <f>VLOOKUP(B1388,Readme!A$40:C$52,3,)*Q1388</f>
        <v>55.509999999999991</v>
      </c>
    </row>
    <row r="1389" spans="1:18" ht="12" customHeight="1" x14ac:dyDescent="0.35">
      <c r="A1389" s="75">
        <v>1500</v>
      </c>
      <c r="B1389" s="80">
        <v>2014</v>
      </c>
      <c r="C1389" s="80">
        <v>8</v>
      </c>
      <c r="D1389" s="80">
        <f t="shared" si="77"/>
        <v>2014</v>
      </c>
      <c r="E1389" t="s">
        <v>38</v>
      </c>
      <c r="F1389" t="s">
        <v>143</v>
      </c>
      <c r="G1389" t="s">
        <v>86</v>
      </c>
      <c r="H1389" s="72" t="s">
        <v>221</v>
      </c>
      <c r="I1389" s="72" t="s">
        <v>63</v>
      </c>
      <c r="J1389" t="str">
        <f t="shared" si="79"/>
        <v>Snohomish River</v>
      </c>
      <c r="K1389" t="str">
        <f>IFERROR(VLOOKUP(J1389,LUTs!$A$1:$C$73,2,FALSE),"NA")</f>
        <v>Snohomish</v>
      </c>
      <c r="L1389" t="str">
        <f>IFERROR(VLOOKUP(J1389,LUTs!$A$1:$C$73,3,FALSE),"NA")</f>
        <v>2Central Puget Sound</v>
      </c>
      <c r="M1389" s="72" t="s">
        <v>26</v>
      </c>
      <c r="N1389" t="str">
        <f>VLOOKUP(M1389,LUTs!E$2:H$14,3,)</f>
        <v>20Other</v>
      </c>
      <c r="O1389" t="str">
        <f>VLOOKUP(M1389,LUTs!E$2:H$14,4,)</f>
        <v>07Non Puget Sound</v>
      </c>
      <c r="P1389" s="80">
        <v>6</v>
      </c>
      <c r="Q1389" s="103">
        <v>3</v>
      </c>
      <c r="R1389" s="74">
        <f>VLOOKUP(B1389,Readme!A$40:C$52,3,)*Q1389</f>
        <v>25.619999999999997</v>
      </c>
    </row>
    <row r="1390" spans="1:18" ht="12" customHeight="1" x14ac:dyDescent="0.35">
      <c r="A1390" s="75">
        <v>1501</v>
      </c>
      <c r="B1390" s="80">
        <v>2014</v>
      </c>
      <c r="C1390" s="80">
        <v>8</v>
      </c>
      <c r="D1390" s="80">
        <f t="shared" si="77"/>
        <v>2014</v>
      </c>
      <c r="E1390" t="s">
        <v>38</v>
      </c>
      <c r="F1390" t="s">
        <v>143</v>
      </c>
      <c r="G1390" t="s">
        <v>86</v>
      </c>
      <c r="H1390" s="72" t="s">
        <v>221</v>
      </c>
      <c r="I1390" s="72" t="s">
        <v>63</v>
      </c>
      <c r="J1390" t="str">
        <f t="shared" si="79"/>
        <v>Snohomish River</v>
      </c>
      <c r="K1390" t="str">
        <f>IFERROR(VLOOKUP(J1390,LUTs!$A$1:$C$73,2,FALSE),"NA")</f>
        <v>Snohomish</v>
      </c>
      <c r="L1390" t="str">
        <f>IFERROR(VLOOKUP(J1390,LUTs!$A$1:$C$73,3,FALSE),"NA")</f>
        <v>2Central Puget Sound</v>
      </c>
      <c r="M1390" s="72" t="s">
        <v>16</v>
      </c>
      <c r="N1390" t="str">
        <f>VLOOKUP(M1390,LUTs!E$2:H$14,3,)</f>
        <v>03Snohomish</v>
      </c>
      <c r="O1390" t="str">
        <f>VLOOKUP(M1390,LUTs!E$2:H$14,4,)</f>
        <v>01North Puget Sound</v>
      </c>
      <c r="P1390" s="80">
        <v>6</v>
      </c>
      <c r="Q1390" s="103">
        <v>3</v>
      </c>
      <c r="R1390" s="74">
        <f>VLOOKUP(B1390,Readme!A$40:C$52,3,)*Q1390</f>
        <v>25.619999999999997</v>
      </c>
    </row>
    <row r="1391" spans="1:18" ht="12" customHeight="1" x14ac:dyDescent="0.35">
      <c r="A1391" s="75">
        <v>1507</v>
      </c>
      <c r="B1391" s="80">
        <v>2014</v>
      </c>
      <c r="C1391" s="80">
        <v>8</v>
      </c>
      <c r="D1391" s="80">
        <f t="shared" si="77"/>
        <v>2014</v>
      </c>
      <c r="E1391" t="s">
        <v>38</v>
      </c>
      <c r="F1391" t="s">
        <v>143</v>
      </c>
      <c r="G1391" t="s">
        <v>86</v>
      </c>
      <c r="H1391" s="72" t="s">
        <v>222</v>
      </c>
      <c r="I1391" s="72" t="s">
        <v>64</v>
      </c>
      <c r="J1391" t="str">
        <f t="shared" si="79"/>
        <v>Snoqualmie River</v>
      </c>
      <c r="K1391" t="str">
        <f>IFERROR(VLOOKUP(J1391,LUTs!$A$1:$C$73,2,FALSE),"NA")</f>
        <v>Snohomish/King</v>
      </c>
      <c r="L1391" t="str">
        <f>IFERROR(VLOOKUP(J1391,LUTs!$A$1:$C$73,3,FALSE),"NA")</f>
        <v>2Central Puget Sound</v>
      </c>
      <c r="M1391" s="72" t="s">
        <v>18</v>
      </c>
      <c r="N1391" t="str">
        <f>VLOOKUP(M1391,LUTs!E$2:H$14,3,)</f>
        <v>06King</v>
      </c>
      <c r="O1391" t="str">
        <f>VLOOKUP(M1391,LUTs!E$2:H$14,4,)</f>
        <v>02South Puget Sound</v>
      </c>
      <c r="P1391" s="80">
        <v>6</v>
      </c>
      <c r="Q1391" s="103">
        <v>3</v>
      </c>
      <c r="R1391" s="74">
        <f>VLOOKUP(B1391,Readme!A$40:C$52,3,)*Q1391</f>
        <v>25.619999999999997</v>
      </c>
    </row>
    <row r="1392" spans="1:18" ht="12" customHeight="1" x14ac:dyDescent="0.35">
      <c r="A1392" s="75">
        <v>1365</v>
      </c>
      <c r="B1392" s="80">
        <v>2014</v>
      </c>
      <c r="C1392" s="80">
        <v>8</v>
      </c>
      <c r="D1392" s="80">
        <f t="shared" si="77"/>
        <v>2014</v>
      </c>
      <c r="E1392" t="s">
        <v>38</v>
      </c>
      <c r="F1392" t="s">
        <v>143</v>
      </c>
      <c r="G1392" t="s">
        <v>86</v>
      </c>
      <c r="H1392" s="72" t="s">
        <v>236</v>
      </c>
      <c r="I1392" s="72" t="s">
        <v>90</v>
      </c>
      <c r="J1392" t="str">
        <f t="shared" si="79"/>
        <v>Soos Creek</v>
      </c>
      <c r="K1392" t="str">
        <f>IFERROR(VLOOKUP(J1392,LUTs!$A$1:$C$73,2,FALSE),"NA")</f>
        <v>King</v>
      </c>
      <c r="L1392" t="str">
        <f>IFERROR(VLOOKUP(J1392,LUTs!$A$1:$C$73,3,FALSE),"NA")</f>
        <v>3South Puget Sound</v>
      </c>
      <c r="M1392" s="72" t="s">
        <v>20</v>
      </c>
      <c r="N1392" t="str">
        <f>VLOOKUP(M1392,LUTs!E$2:H$14,3,)</f>
        <v>07Pierce</v>
      </c>
      <c r="O1392" t="str">
        <f>VLOOKUP(M1392,LUTs!E$2:H$14,4,)</f>
        <v>02South Puget Sound</v>
      </c>
      <c r="P1392" s="80">
        <v>4</v>
      </c>
      <c r="Q1392" s="103">
        <v>2</v>
      </c>
      <c r="R1392" s="74">
        <f>VLOOKUP(B1392,Readme!A$40:C$52,3,)*Q1392</f>
        <v>17.079999999999998</v>
      </c>
    </row>
    <row r="1393" spans="1:18" ht="12" customHeight="1" x14ac:dyDescent="0.35">
      <c r="A1393" s="75">
        <v>1550</v>
      </c>
      <c r="B1393" s="80">
        <v>2014</v>
      </c>
      <c r="C1393" s="80">
        <v>8</v>
      </c>
      <c r="D1393" s="80">
        <f t="shared" si="77"/>
        <v>2014</v>
      </c>
      <c r="E1393" t="s">
        <v>38</v>
      </c>
      <c r="F1393" t="s">
        <v>143</v>
      </c>
      <c r="G1393" t="s">
        <v>86</v>
      </c>
      <c r="H1393" s="72" t="s">
        <v>223</v>
      </c>
      <c r="I1393" s="72" t="s">
        <v>103</v>
      </c>
      <c r="J1393" t="str">
        <f t="shared" si="79"/>
        <v>Stillaguamish R, No. Fork</v>
      </c>
      <c r="K1393" t="str">
        <f>IFERROR(VLOOKUP(J1393,LUTs!$A$1:$C$73,2,FALSE),"NA")</f>
        <v>Snohomish</v>
      </c>
      <c r="L1393" t="str">
        <f>IFERROR(VLOOKUP(J1393,LUTs!$A$1:$C$73,3,FALSE),"NA")</f>
        <v>2Central Puget Sound</v>
      </c>
      <c r="M1393" s="72" t="s">
        <v>15</v>
      </c>
      <c r="N1393" t="str">
        <f>VLOOKUP(M1393,LUTs!E$2:H$14,3,)</f>
        <v>02Skagit</v>
      </c>
      <c r="O1393" t="str">
        <f>VLOOKUP(M1393,LUTs!E$2:H$14,4,)</f>
        <v>01North Puget Sound</v>
      </c>
      <c r="P1393" s="80">
        <v>8</v>
      </c>
      <c r="Q1393" s="103">
        <v>4</v>
      </c>
      <c r="R1393" s="74">
        <f>VLOOKUP(B1393,Readme!A$40:C$52,3,)*Q1393</f>
        <v>34.159999999999997</v>
      </c>
    </row>
    <row r="1394" spans="1:18" ht="12" customHeight="1" x14ac:dyDescent="0.35">
      <c r="A1394" s="75">
        <v>1572</v>
      </c>
      <c r="B1394" s="80">
        <v>2014</v>
      </c>
      <c r="C1394" s="80">
        <v>9</v>
      </c>
      <c r="D1394" s="80">
        <f t="shared" si="77"/>
        <v>2014</v>
      </c>
      <c r="E1394" t="s">
        <v>38</v>
      </c>
      <c r="F1394" t="s">
        <v>143</v>
      </c>
      <c r="G1394" t="s">
        <v>86</v>
      </c>
      <c r="H1394" s="72" t="s">
        <v>254</v>
      </c>
      <c r="I1394" s="72" t="s">
        <v>33</v>
      </c>
      <c r="J1394" t="str">
        <f t="shared" si="79"/>
        <v>Area 9: Admiralty Inlet</v>
      </c>
      <c r="K1394" t="str">
        <f>IFERROR(VLOOKUP(J1394,LUTs!$A$1:$C$73,2,FALSE),"NA")</f>
        <v>NA</v>
      </c>
      <c r="L1394" t="str">
        <f>IFERROR(VLOOKUP(J1394,LUTs!$A$1:$C$73,3,FALSE),"NA")</f>
        <v>2Central Puget Sound</v>
      </c>
      <c r="M1394" s="72" t="s">
        <v>17</v>
      </c>
      <c r="N1394" t="str">
        <f>VLOOKUP(M1394,LUTs!E$2:H$14,3,)</f>
        <v>04Island</v>
      </c>
      <c r="O1394" t="str">
        <f>VLOOKUP(M1394,LUTs!E$2:H$14,4,)</f>
        <v>01North Puget Sound</v>
      </c>
      <c r="P1394" s="80">
        <v>3</v>
      </c>
      <c r="Q1394" s="103">
        <v>1.5</v>
      </c>
      <c r="R1394" s="74">
        <f>VLOOKUP(B1394,Readme!A$40:C$52,3,)*Q1394</f>
        <v>12.809999999999999</v>
      </c>
    </row>
    <row r="1395" spans="1:18" ht="12" customHeight="1" x14ac:dyDescent="0.35">
      <c r="A1395" s="75">
        <v>1573</v>
      </c>
      <c r="B1395" s="80">
        <v>2014</v>
      </c>
      <c r="C1395" s="80">
        <v>9</v>
      </c>
      <c r="D1395" s="80">
        <f t="shared" si="77"/>
        <v>2014</v>
      </c>
      <c r="E1395" t="s">
        <v>38</v>
      </c>
      <c r="F1395" t="s">
        <v>143</v>
      </c>
      <c r="G1395" t="s">
        <v>86</v>
      </c>
      <c r="H1395" s="72" t="s">
        <v>254</v>
      </c>
      <c r="I1395" s="72" t="s">
        <v>33</v>
      </c>
      <c r="J1395" t="str">
        <f t="shared" si="79"/>
        <v>Area 9: Admiralty Inlet</v>
      </c>
      <c r="K1395" t="str">
        <f>IFERROR(VLOOKUP(J1395,LUTs!$A$1:$C$73,2,FALSE),"NA")</f>
        <v>NA</v>
      </c>
      <c r="L1395" t="str">
        <f>IFERROR(VLOOKUP(J1395,LUTs!$A$1:$C$73,3,FALSE),"NA")</f>
        <v>2Central Puget Sound</v>
      </c>
      <c r="M1395" s="72" t="s">
        <v>18</v>
      </c>
      <c r="N1395" t="str">
        <f>VLOOKUP(M1395,LUTs!E$2:H$14,3,)</f>
        <v>06King</v>
      </c>
      <c r="O1395" t="str">
        <f>VLOOKUP(M1395,LUTs!E$2:H$14,4,)</f>
        <v>02South Puget Sound</v>
      </c>
      <c r="P1395" s="80">
        <v>3</v>
      </c>
      <c r="Q1395" s="103">
        <v>1.5</v>
      </c>
      <c r="R1395" s="74">
        <f>VLOOKUP(B1395,Readme!A$40:C$52,3,)*Q1395</f>
        <v>12.809999999999999</v>
      </c>
    </row>
    <row r="1396" spans="1:18" ht="12" customHeight="1" x14ac:dyDescent="0.35">
      <c r="A1396" s="75">
        <v>1334</v>
      </c>
      <c r="B1396" s="80">
        <v>2014</v>
      </c>
      <c r="C1396" s="80">
        <v>9</v>
      </c>
      <c r="D1396" s="80">
        <f t="shared" si="77"/>
        <v>2014</v>
      </c>
      <c r="E1396" t="s">
        <v>38</v>
      </c>
      <c r="F1396" t="s">
        <v>143</v>
      </c>
      <c r="G1396" t="s">
        <v>86</v>
      </c>
      <c r="H1396" s="72" t="s">
        <v>232</v>
      </c>
      <c r="I1396" s="72" t="s">
        <v>106</v>
      </c>
      <c r="J1396" s="84" t="s">
        <v>75</v>
      </c>
      <c r="K1396" t="str">
        <f>IFERROR(VLOOKUP(J1396,LUTs!$A$1:$C$73,2,FALSE),"NA")</f>
        <v>Thurston</v>
      </c>
      <c r="L1396" t="str">
        <f>IFERROR(VLOOKUP(J1396,LUTs!$A$1:$C$73,3,FALSE),"NA")</f>
        <v>3South Puget Sound</v>
      </c>
      <c r="M1396" s="72" t="s">
        <v>26</v>
      </c>
      <c r="N1396" t="str">
        <f>VLOOKUP(M1396,LUTs!E$2:H$14,3,)</f>
        <v>20Other</v>
      </c>
      <c r="O1396" t="str">
        <f>VLOOKUP(M1396,LUTs!E$2:H$14,4,)</f>
        <v>07Non Puget Sound</v>
      </c>
      <c r="P1396" s="80">
        <v>8</v>
      </c>
      <c r="Q1396" s="103">
        <v>4</v>
      </c>
      <c r="R1396" s="74">
        <f>VLOOKUP(B1396,Readme!A$40:C$52,3,)*Q1396</f>
        <v>34.159999999999997</v>
      </c>
    </row>
    <row r="1397" spans="1:18" ht="12" customHeight="1" x14ac:dyDescent="0.35">
      <c r="A1397" s="75">
        <v>1401</v>
      </c>
      <c r="B1397" s="80">
        <v>2014</v>
      </c>
      <c r="C1397" s="80">
        <v>9</v>
      </c>
      <c r="D1397" s="80">
        <f t="shared" si="77"/>
        <v>2014</v>
      </c>
      <c r="E1397" t="s">
        <v>38</v>
      </c>
      <c r="F1397" t="s">
        <v>143</v>
      </c>
      <c r="G1397" t="s">
        <v>86</v>
      </c>
      <c r="H1397" s="72" t="s">
        <v>217</v>
      </c>
      <c r="I1397" s="72" t="s">
        <v>59</v>
      </c>
      <c r="J1397" t="str">
        <f>I1397</f>
        <v>Cascade River</v>
      </c>
      <c r="K1397" t="str">
        <f>IFERROR(VLOOKUP(J1397,LUTs!$A$1:$C$73,2,FALSE),"NA")</f>
        <v>Skagit</v>
      </c>
      <c r="L1397" t="str">
        <f>IFERROR(VLOOKUP(J1397,LUTs!$A$1:$C$73,3,FALSE),"NA")</f>
        <v>1North Puget Sound</v>
      </c>
      <c r="M1397" s="72" t="s">
        <v>13</v>
      </c>
      <c r="N1397" t="str">
        <f>VLOOKUP(M1397,LUTs!E$2:H$14,3,)</f>
        <v>01Whatcom</v>
      </c>
      <c r="O1397" t="str">
        <f>VLOOKUP(M1397,LUTs!E$2:H$14,4,)</f>
        <v>01North Puget Sound</v>
      </c>
      <c r="P1397" s="80">
        <v>6</v>
      </c>
      <c r="Q1397" s="103">
        <v>3</v>
      </c>
      <c r="R1397" s="74">
        <f>VLOOKUP(B1397,Readme!A$40:C$52,3,)*Q1397</f>
        <v>25.619999999999997</v>
      </c>
    </row>
    <row r="1398" spans="1:18" ht="12" customHeight="1" x14ac:dyDescent="0.35">
      <c r="A1398" s="75">
        <v>1354</v>
      </c>
      <c r="B1398" s="80">
        <v>2014</v>
      </c>
      <c r="C1398" s="80">
        <v>9</v>
      </c>
      <c r="D1398" s="80">
        <f t="shared" si="77"/>
        <v>2014</v>
      </c>
      <c r="E1398" t="s">
        <v>38</v>
      </c>
      <c r="F1398" t="s">
        <v>143</v>
      </c>
      <c r="G1398" t="s">
        <v>86</v>
      </c>
      <c r="H1398" s="72" t="s">
        <v>203</v>
      </c>
      <c r="I1398" s="72" t="s">
        <v>89</v>
      </c>
      <c r="J1398" s="84" t="s">
        <v>45</v>
      </c>
      <c r="K1398" t="str">
        <f>IFERROR(VLOOKUP(J1398,LUTs!$A$1:$C$73,2,FALSE),"NA")</f>
        <v>King</v>
      </c>
      <c r="L1398" t="str">
        <f>IFERROR(VLOOKUP(J1398,LUTs!$A$1:$C$73,3,FALSE),"NA")</f>
        <v>3South Puget Sound</v>
      </c>
      <c r="M1398" s="72" t="s">
        <v>18</v>
      </c>
      <c r="N1398" t="str">
        <f>VLOOKUP(M1398,LUTs!E$2:H$14,3,)</f>
        <v>06King</v>
      </c>
      <c r="O1398" t="str">
        <f>VLOOKUP(M1398,LUTs!E$2:H$14,4,)</f>
        <v>02South Puget Sound</v>
      </c>
      <c r="P1398" s="80">
        <v>11.1428571428571</v>
      </c>
      <c r="Q1398" s="103">
        <v>5.5714285714285703</v>
      </c>
      <c r="R1398" s="74">
        <f>VLOOKUP(B1398,Readme!A$40:C$52,3,)*Q1398</f>
        <v>47.579999999999984</v>
      </c>
    </row>
    <row r="1399" spans="1:18" ht="12" customHeight="1" x14ac:dyDescent="0.35">
      <c r="A1399" s="75">
        <v>1355</v>
      </c>
      <c r="B1399" s="80">
        <v>2014</v>
      </c>
      <c r="C1399" s="80">
        <v>9</v>
      </c>
      <c r="D1399" s="80">
        <f t="shared" si="77"/>
        <v>2014</v>
      </c>
      <c r="E1399" t="s">
        <v>38</v>
      </c>
      <c r="F1399" t="s">
        <v>143</v>
      </c>
      <c r="G1399" t="s">
        <v>86</v>
      </c>
      <c r="H1399" s="72" t="s">
        <v>203</v>
      </c>
      <c r="I1399" s="72" t="s">
        <v>89</v>
      </c>
      <c r="J1399" s="84" t="s">
        <v>45</v>
      </c>
      <c r="K1399" t="str">
        <f>IFERROR(VLOOKUP(J1399,LUTs!$A$1:$C$73,2,FALSE),"NA")</f>
        <v>King</v>
      </c>
      <c r="L1399" t="str">
        <f>IFERROR(VLOOKUP(J1399,LUTs!$A$1:$C$73,3,FALSE),"NA")</f>
        <v>3South Puget Sound</v>
      </c>
      <c r="M1399" s="72" t="s">
        <v>20</v>
      </c>
      <c r="N1399" t="str">
        <f>VLOOKUP(M1399,LUTs!E$2:H$14,3,)</f>
        <v>07Pierce</v>
      </c>
      <c r="O1399" t="str">
        <f>VLOOKUP(M1399,LUTs!E$2:H$14,4,)</f>
        <v>02South Puget Sound</v>
      </c>
      <c r="P1399" s="80">
        <v>11.1428571428571</v>
      </c>
      <c r="Q1399" s="103">
        <v>5.5714285714285703</v>
      </c>
      <c r="R1399" s="74">
        <f>VLOOKUP(B1399,Readme!A$40:C$52,3,)*Q1399</f>
        <v>47.579999999999984</v>
      </c>
    </row>
    <row r="1400" spans="1:18" ht="12" customHeight="1" x14ac:dyDescent="0.35">
      <c r="A1400" s="75">
        <v>1356</v>
      </c>
      <c r="B1400" s="80">
        <v>2014</v>
      </c>
      <c r="C1400" s="80">
        <v>9</v>
      </c>
      <c r="D1400" s="80">
        <f t="shared" si="77"/>
        <v>2014</v>
      </c>
      <c r="E1400" t="s">
        <v>38</v>
      </c>
      <c r="F1400" t="s">
        <v>143</v>
      </c>
      <c r="G1400" t="s">
        <v>86</v>
      </c>
      <c r="H1400" s="72" t="s">
        <v>203</v>
      </c>
      <c r="I1400" s="72" t="s">
        <v>89</v>
      </c>
      <c r="J1400" s="84" t="s">
        <v>45</v>
      </c>
      <c r="K1400" t="str">
        <f>IFERROR(VLOOKUP(J1400,LUTs!$A$1:$C$73,2,FALSE),"NA")</f>
        <v>King</v>
      </c>
      <c r="L1400" t="str">
        <f>IFERROR(VLOOKUP(J1400,LUTs!$A$1:$C$73,3,FALSE),"NA")</f>
        <v>3South Puget Sound</v>
      </c>
      <c r="M1400" s="72" t="s">
        <v>16</v>
      </c>
      <c r="N1400" t="str">
        <f>VLOOKUP(M1400,LUTs!E$2:H$14,3,)</f>
        <v>03Snohomish</v>
      </c>
      <c r="O1400" t="str">
        <f>VLOOKUP(M1400,LUTs!E$2:H$14,4,)</f>
        <v>01North Puget Sound</v>
      </c>
      <c r="P1400" s="80">
        <v>3.71428571428571</v>
      </c>
      <c r="Q1400" s="103">
        <v>1.8571428571428601</v>
      </c>
      <c r="R1400" s="74">
        <f>VLOOKUP(B1400,Readme!A$40:C$52,3,)*Q1400</f>
        <v>15.860000000000024</v>
      </c>
    </row>
    <row r="1401" spans="1:18" ht="12" customHeight="1" x14ac:dyDescent="0.35">
      <c r="A1401" s="75">
        <v>1418</v>
      </c>
      <c r="B1401" s="80">
        <v>2014</v>
      </c>
      <c r="C1401" s="80">
        <v>9</v>
      </c>
      <c r="D1401" s="80">
        <f t="shared" si="77"/>
        <v>2014</v>
      </c>
      <c r="E1401" t="s">
        <v>38</v>
      </c>
      <c r="F1401" t="s">
        <v>143</v>
      </c>
      <c r="G1401" t="s">
        <v>86</v>
      </c>
      <c r="H1401" s="72" t="s">
        <v>218</v>
      </c>
      <c r="I1401" s="72" t="s">
        <v>60</v>
      </c>
      <c r="J1401" t="str">
        <f t="shared" ref="J1401:J1427" si="80">I1401</f>
        <v>Skagit River</v>
      </c>
      <c r="K1401" t="str">
        <f>IFERROR(VLOOKUP(J1401,LUTs!$A$1:$C$73,2,FALSE),"NA")</f>
        <v>Skagit/Whatcom</v>
      </c>
      <c r="L1401" t="str">
        <f>IFERROR(VLOOKUP(J1401,LUTs!$A$1:$C$73,3,FALSE),"NA")</f>
        <v>2Central Puget Sound</v>
      </c>
      <c r="M1401" s="72" t="s">
        <v>18</v>
      </c>
      <c r="N1401" t="str">
        <f>VLOOKUP(M1401,LUTs!E$2:H$14,3,)</f>
        <v>06King</v>
      </c>
      <c r="O1401" t="str">
        <f>VLOOKUP(M1401,LUTs!E$2:H$14,4,)</f>
        <v>02South Puget Sound</v>
      </c>
      <c r="P1401" s="80">
        <v>2</v>
      </c>
      <c r="Q1401" s="103">
        <v>1</v>
      </c>
      <c r="R1401" s="74">
        <f>VLOOKUP(B1401,Readme!A$40:C$52,3,)*Q1401</f>
        <v>8.5399999999999991</v>
      </c>
    </row>
    <row r="1402" spans="1:18" ht="12" customHeight="1" x14ac:dyDescent="0.35">
      <c r="A1402" s="75">
        <v>1419</v>
      </c>
      <c r="B1402" s="80">
        <v>2014</v>
      </c>
      <c r="C1402" s="80">
        <v>9</v>
      </c>
      <c r="D1402" s="80">
        <f t="shared" si="77"/>
        <v>2014</v>
      </c>
      <c r="E1402" t="s">
        <v>38</v>
      </c>
      <c r="F1402" t="s">
        <v>143</v>
      </c>
      <c r="G1402" t="s">
        <v>86</v>
      </c>
      <c r="H1402" s="72" t="s">
        <v>218</v>
      </c>
      <c r="I1402" s="72" t="s">
        <v>60</v>
      </c>
      <c r="J1402" t="str">
        <f t="shared" si="80"/>
        <v>Skagit River</v>
      </c>
      <c r="K1402" t="str">
        <f>IFERROR(VLOOKUP(J1402,LUTs!$A$1:$C$73,2,FALSE),"NA")</f>
        <v>Skagit/Whatcom</v>
      </c>
      <c r="L1402" t="str">
        <f>IFERROR(VLOOKUP(J1402,LUTs!$A$1:$C$73,3,FALSE),"NA")</f>
        <v>2Central Puget Sound</v>
      </c>
      <c r="M1402" s="72" t="s">
        <v>22</v>
      </c>
      <c r="N1402" t="str">
        <f>VLOOKUP(M1402,LUTs!E$2:H$14,3,)</f>
        <v>09Mason</v>
      </c>
      <c r="O1402" t="str">
        <f>VLOOKUP(M1402,LUTs!E$2:H$14,4,)</f>
        <v>02South Puget Sound</v>
      </c>
      <c r="P1402" s="80">
        <v>4</v>
      </c>
      <c r="Q1402" s="103">
        <v>2</v>
      </c>
      <c r="R1402" s="74">
        <f>VLOOKUP(B1402,Readme!A$40:C$52,3,)*Q1402</f>
        <v>17.079999999999998</v>
      </c>
    </row>
    <row r="1403" spans="1:18" ht="12" customHeight="1" x14ac:dyDescent="0.35">
      <c r="A1403" s="75">
        <v>1420</v>
      </c>
      <c r="B1403" s="80">
        <v>2014</v>
      </c>
      <c r="C1403" s="80">
        <v>9</v>
      </c>
      <c r="D1403" s="80">
        <f t="shared" si="77"/>
        <v>2014</v>
      </c>
      <c r="E1403" t="s">
        <v>38</v>
      </c>
      <c r="F1403" t="s">
        <v>143</v>
      </c>
      <c r="G1403" t="s">
        <v>86</v>
      </c>
      <c r="H1403" s="72" t="s">
        <v>218</v>
      </c>
      <c r="I1403" s="72" t="s">
        <v>60</v>
      </c>
      <c r="J1403" t="str">
        <f t="shared" si="80"/>
        <v>Skagit River</v>
      </c>
      <c r="K1403" t="str">
        <f>IFERROR(VLOOKUP(J1403,LUTs!$A$1:$C$73,2,FALSE),"NA")</f>
        <v>Skagit/Whatcom</v>
      </c>
      <c r="L1403" t="str">
        <f>IFERROR(VLOOKUP(J1403,LUTs!$A$1:$C$73,3,FALSE),"NA")</f>
        <v>2Central Puget Sound</v>
      </c>
      <c r="M1403" s="72" t="s">
        <v>13</v>
      </c>
      <c r="N1403" t="str">
        <f>VLOOKUP(M1403,LUTs!E$2:H$14,3,)</f>
        <v>01Whatcom</v>
      </c>
      <c r="O1403" t="str">
        <f>VLOOKUP(M1403,LUTs!E$2:H$14,4,)</f>
        <v>01North Puget Sound</v>
      </c>
      <c r="P1403" s="80">
        <v>2</v>
      </c>
      <c r="Q1403" s="103">
        <v>1</v>
      </c>
      <c r="R1403" s="74">
        <f>VLOOKUP(B1403,Readme!A$40:C$52,3,)*Q1403</f>
        <v>8.5399999999999991</v>
      </c>
    </row>
    <row r="1404" spans="1:18" ht="12" customHeight="1" x14ac:dyDescent="0.35">
      <c r="A1404" s="75">
        <v>1452</v>
      </c>
      <c r="B1404" s="80">
        <v>2014</v>
      </c>
      <c r="C1404" s="80">
        <v>9</v>
      </c>
      <c r="D1404" s="80">
        <f t="shared" si="77"/>
        <v>2014</v>
      </c>
      <c r="E1404" t="s">
        <v>38</v>
      </c>
      <c r="F1404" t="s">
        <v>143</v>
      </c>
      <c r="G1404" t="s">
        <v>86</v>
      </c>
      <c r="H1404" s="72" t="s">
        <v>220</v>
      </c>
      <c r="I1404" s="72" t="s">
        <v>62</v>
      </c>
      <c r="J1404" t="str">
        <f t="shared" si="80"/>
        <v>Skykomish River</v>
      </c>
      <c r="K1404" t="str">
        <f>IFERROR(VLOOKUP(J1404,LUTs!$A$1:$C$73,2,FALSE),"NA")</f>
        <v>Snohomish</v>
      </c>
      <c r="L1404" t="str">
        <f>IFERROR(VLOOKUP(J1404,LUTs!$A$1:$C$73,3,FALSE),"NA")</f>
        <v>2Central Puget Sound</v>
      </c>
      <c r="M1404" s="72" t="s">
        <v>18</v>
      </c>
      <c r="N1404" t="str">
        <f>VLOOKUP(M1404,LUTs!E$2:H$14,3,)</f>
        <v>06King</v>
      </c>
      <c r="O1404" t="str">
        <f>VLOOKUP(M1404,LUTs!E$2:H$14,4,)</f>
        <v>02South Puget Sound</v>
      </c>
      <c r="P1404" s="80">
        <v>57.75</v>
      </c>
      <c r="Q1404" s="103">
        <v>28.875</v>
      </c>
      <c r="R1404" s="74">
        <f>VLOOKUP(B1404,Readme!A$40:C$52,3,)*Q1404</f>
        <v>246.59249999999997</v>
      </c>
    </row>
    <row r="1405" spans="1:18" ht="12" customHeight="1" x14ac:dyDescent="0.35">
      <c r="A1405" s="75">
        <v>1453</v>
      </c>
      <c r="B1405" s="80">
        <v>2014</v>
      </c>
      <c r="C1405" s="80">
        <v>9</v>
      </c>
      <c r="D1405" s="80">
        <f t="shared" si="77"/>
        <v>2014</v>
      </c>
      <c r="E1405" t="s">
        <v>38</v>
      </c>
      <c r="F1405" t="s">
        <v>143</v>
      </c>
      <c r="G1405" t="s">
        <v>86</v>
      </c>
      <c r="H1405" s="72" t="s">
        <v>220</v>
      </c>
      <c r="I1405" s="72" t="s">
        <v>62</v>
      </c>
      <c r="J1405" t="str">
        <f t="shared" si="80"/>
        <v>Skykomish River</v>
      </c>
      <c r="K1405" t="str">
        <f>IFERROR(VLOOKUP(J1405,LUTs!$A$1:$C$73,2,FALSE),"NA")</f>
        <v>Snohomish</v>
      </c>
      <c r="L1405" t="str">
        <f>IFERROR(VLOOKUP(J1405,LUTs!$A$1:$C$73,3,FALSE),"NA")</f>
        <v>2Central Puget Sound</v>
      </c>
      <c r="M1405" s="72" t="s">
        <v>20</v>
      </c>
      <c r="N1405" t="str">
        <f>VLOOKUP(M1405,LUTs!E$2:H$14,3,)</f>
        <v>07Pierce</v>
      </c>
      <c r="O1405" t="str">
        <f>VLOOKUP(M1405,LUTs!E$2:H$14,4,)</f>
        <v>02South Puget Sound</v>
      </c>
      <c r="P1405" s="80">
        <v>19.25</v>
      </c>
      <c r="Q1405" s="103">
        <v>9.625</v>
      </c>
      <c r="R1405" s="74">
        <f>VLOOKUP(B1405,Readme!A$40:C$52,3,)*Q1405</f>
        <v>82.197499999999991</v>
      </c>
    </row>
    <row r="1406" spans="1:18" ht="12" customHeight="1" x14ac:dyDescent="0.35">
      <c r="A1406" s="75">
        <v>1454</v>
      </c>
      <c r="B1406" s="80">
        <v>2014</v>
      </c>
      <c r="C1406" s="80">
        <v>9</v>
      </c>
      <c r="D1406" s="80">
        <f t="shared" si="77"/>
        <v>2014</v>
      </c>
      <c r="E1406" t="s">
        <v>38</v>
      </c>
      <c r="F1406" t="s">
        <v>143</v>
      </c>
      <c r="G1406" t="s">
        <v>86</v>
      </c>
      <c r="H1406" s="72" t="s">
        <v>220</v>
      </c>
      <c r="I1406" s="72" t="s">
        <v>62</v>
      </c>
      <c r="J1406" t="str">
        <f t="shared" si="80"/>
        <v>Skykomish River</v>
      </c>
      <c r="K1406" t="str">
        <f>IFERROR(VLOOKUP(J1406,LUTs!$A$1:$C$73,2,FALSE),"NA")</f>
        <v>Snohomish</v>
      </c>
      <c r="L1406" t="str">
        <f>IFERROR(VLOOKUP(J1406,LUTs!$A$1:$C$73,3,FALSE),"NA")</f>
        <v>2Central Puget Sound</v>
      </c>
      <c r="M1406" s="72" t="s">
        <v>16</v>
      </c>
      <c r="N1406" t="str">
        <f>VLOOKUP(M1406,LUTs!E$2:H$14,3,)</f>
        <v>03Snohomish</v>
      </c>
      <c r="O1406" t="str">
        <f>VLOOKUP(M1406,LUTs!E$2:H$14,4,)</f>
        <v>01North Puget Sound</v>
      </c>
      <c r="P1406" s="80">
        <v>77</v>
      </c>
      <c r="Q1406" s="103">
        <v>38.5</v>
      </c>
      <c r="R1406" s="74">
        <f>VLOOKUP(B1406,Readme!A$40:C$52,3,)*Q1406</f>
        <v>328.78999999999996</v>
      </c>
    </row>
    <row r="1407" spans="1:18" ht="12" customHeight="1" x14ac:dyDescent="0.35">
      <c r="A1407" s="75">
        <v>1481</v>
      </c>
      <c r="B1407" s="80">
        <v>2014</v>
      </c>
      <c r="C1407" s="80">
        <v>9</v>
      </c>
      <c r="D1407" s="80">
        <f t="shared" si="77"/>
        <v>2014</v>
      </c>
      <c r="E1407" t="s">
        <v>38</v>
      </c>
      <c r="F1407" t="s">
        <v>143</v>
      </c>
      <c r="G1407" t="s">
        <v>86</v>
      </c>
      <c r="H1407" s="72" t="s">
        <v>247</v>
      </c>
      <c r="I1407" s="72" t="s">
        <v>98</v>
      </c>
      <c r="J1407" t="str">
        <f t="shared" si="80"/>
        <v>Skykomish River, No. Fork</v>
      </c>
      <c r="K1407" t="str">
        <f>IFERROR(VLOOKUP(J1407,LUTs!$A$1:$C$73,2,FALSE),"NA")</f>
        <v>Snohomish</v>
      </c>
      <c r="L1407" t="str">
        <f>IFERROR(VLOOKUP(J1407,LUTs!$A$1:$C$73,3,FALSE),"NA")</f>
        <v>2Central Puget Sound</v>
      </c>
      <c r="M1407" s="72" t="s">
        <v>18</v>
      </c>
      <c r="N1407" t="str">
        <f>VLOOKUP(M1407,LUTs!E$2:H$14,3,)</f>
        <v>06King</v>
      </c>
      <c r="O1407" t="str">
        <f>VLOOKUP(M1407,LUTs!E$2:H$14,4,)</f>
        <v>02South Puget Sound</v>
      </c>
      <c r="P1407" s="80">
        <v>13</v>
      </c>
      <c r="Q1407" s="103">
        <v>6.5</v>
      </c>
      <c r="R1407" s="74">
        <f>VLOOKUP(B1407,Readme!A$40:C$52,3,)*Q1407</f>
        <v>55.509999999999991</v>
      </c>
    </row>
    <row r="1408" spans="1:18" ht="12" customHeight="1" x14ac:dyDescent="0.35">
      <c r="A1408" s="75">
        <v>1482</v>
      </c>
      <c r="B1408" s="80">
        <v>2014</v>
      </c>
      <c r="C1408" s="80">
        <v>9</v>
      </c>
      <c r="D1408" s="80">
        <f t="shared" si="77"/>
        <v>2014</v>
      </c>
      <c r="E1408" t="s">
        <v>38</v>
      </c>
      <c r="F1408" t="s">
        <v>143</v>
      </c>
      <c r="G1408" t="s">
        <v>86</v>
      </c>
      <c r="H1408" s="72" t="s">
        <v>247</v>
      </c>
      <c r="I1408" s="72" t="s">
        <v>98</v>
      </c>
      <c r="J1408" t="str">
        <f t="shared" si="80"/>
        <v>Skykomish River, No. Fork</v>
      </c>
      <c r="K1408" t="str">
        <f>IFERROR(VLOOKUP(J1408,LUTs!$A$1:$C$73,2,FALSE),"NA")</f>
        <v>Snohomish</v>
      </c>
      <c r="L1408" t="str">
        <f>IFERROR(VLOOKUP(J1408,LUTs!$A$1:$C$73,3,FALSE),"NA")</f>
        <v>2Central Puget Sound</v>
      </c>
      <c r="M1408" s="72" t="s">
        <v>16</v>
      </c>
      <c r="N1408" t="str">
        <f>VLOOKUP(M1408,LUTs!E$2:H$14,3,)</f>
        <v>03Snohomish</v>
      </c>
      <c r="O1408" t="str">
        <f>VLOOKUP(M1408,LUTs!E$2:H$14,4,)</f>
        <v>01North Puget Sound</v>
      </c>
      <c r="P1408" s="80">
        <v>13</v>
      </c>
      <c r="Q1408" s="103">
        <v>6.5</v>
      </c>
      <c r="R1408" s="74">
        <f>VLOOKUP(B1408,Readme!A$40:C$52,3,)*Q1408</f>
        <v>55.509999999999991</v>
      </c>
    </row>
    <row r="1409" spans="1:18" ht="12" customHeight="1" x14ac:dyDescent="0.35">
      <c r="A1409" s="75">
        <v>1508</v>
      </c>
      <c r="B1409" s="80">
        <v>2014</v>
      </c>
      <c r="C1409" s="80">
        <v>9</v>
      </c>
      <c r="D1409" s="80">
        <f t="shared" si="77"/>
        <v>2014</v>
      </c>
      <c r="E1409" t="s">
        <v>38</v>
      </c>
      <c r="F1409" t="s">
        <v>143</v>
      </c>
      <c r="G1409" t="s">
        <v>86</v>
      </c>
      <c r="H1409" s="72" t="s">
        <v>222</v>
      </c>
      <c r="I1409" s="72" t="s">
        <v>64</v>
      </c>
      <c r="J1409" t="str">
        <f t="shared" si="80"/>
        <v>Snoqualmie River</v>
      </c>
      <c r="K1409" t="str">
        <f>IFERROR(VLOOKUP(J1409,LUTs!$A$1:$C$73,2,FALSE),"NA")</f>
        <v>Snohomish/King</v>
      </c>
      <c r="L1409" t="str">
        <f>IFERROR(VLOOKUP(J1409,LUTs!$A$1:$C$73,3,FALSE),"NA")</f>
        <v>2Central Puget Sound</v>
      </c>
      <c r="M1409" s="72" t="s">
        <v>16</v>
      </c>
      <c r="N1409" t="str">
        <f>VLOOKUP(M1409,LUTs!E$2:H$14,3,)</f>
        <v>03Snohomish</v>
      </c>
      <c r="O1409" t="str">
        <f>VLOOKUP(M1409,LUTs!E$2:H$14,4,)</f>
        <v>01North Puget Sound</v>
      </c>
      <c r="P1409" s="80">
        <v>6</v>
      </c>
      <c r="Q1409" s="103">
        <v>3</v>
      </c>
      <c r="R1409" s="74">
        <f>VLOOKUP(B1409,Readme!A$40:C$52,3,)*Q1409</f>
        <v>25.619999999999997</v>
      </c>
    </row>
    <row r="1410" spans="1:18" ht="12" customHeight="1" x14ac:dyDescent="0.35">
      <c r="A1410" s="75">
        <v>1534</v>
      </c>
      <c r="B1410" s="80">
        <v>2014</v>
      </c>
      <c r="C1410" s="80">
        <v>9</v>
      </c>
      <c r="D1410" s="80">
        <f t="shared" ref="D1410:D1473" si="81">IF(C1410&gt;3,B1410,B1410-1)</f>
        <v>2014</v>
      </c>
      <c r="E1410" t="s">
        <v>38</v>
      </c>
      <c r="F1410" t="s">
        <v>143</v>
      </c>
      <c r="G1410" t="s">
        <v>86</v>
      </c>
      <c r="H1410" s="72" t="s">
        <v>233</v>
      </c>
      <c r="I1410" s="72" t="s">
        <v>76</v>
      </c>
      <c r="J1410" t="str">
        <f t="shared" si="80"/>
        <v>Wallace River</v>
      </c>
      <c r="K1410" t="str">
        <f>IFERROR(VLOOKUP(J1410,LUTs!$A$1:$C$73,2,FALSE),"NA")</f>
        <v>Snohomish</v>
      </c>
      <c r="L1410" t="str">
        <f>IFERROR(VLOOKUP(J1410,LUTs!$A$1:$C$73,3,FALSE),"NA")</f>
        <v>2Central Puget Sound</v>
      </c>
      <c r="M1410" s="72" t="s">
        <v>18</v>
      </c>
      <c r="N1410" t="str">
        <f>VLOOKUP(M1410,LUTs!E$2:H$14,3,)</f>
        <v>06King</v>
      </c>
      <c r="O1410" t="str">
        <f>VLOOKUP(M1410,LUTs!E$2:H$14,4,)</f>
        <v>02South Puget Sound</v>
      </c>
      <c r="P1410" s="80">
        <v>6</v>
      </c>
      <c r="Q1410" s="103">
        <v>3</v>
      </c>
      <c r="R1410" s="74">
        <f>VLOOKUP(B1410,Readme!A$40:C$52,3,)*Q1410</f>
        <v>25.619999999999997</v>
      </c>
    </row>
    <row r="1411" spans="1:18" ht="12" customHeight="1" x14ac:dyDescent="0.35">
      <c r="A1411" s="75">
        <v>1535</v>
      </c>
      <c r="B1411" s="80">
        <v>2014</v>
      </c>
      <c r="C1411" s="80">
        <v>9</v>
      </c>
      <c r="D1411" s="80">
        <f t="shared" si="81"/>
        <v>2014</v>
      </c>
      <c r="E1411" t="s">
        <v>38</v>
      </c>
      <c r="F1411" t="s">
        <v>143</v>
      </c>
      <c r="G1411" t="s">
        <v>86</v>
      </c>
      <c r="H1411" s="72" t="s">
        <v>233</v>
      </c>
      <c r="I1411" s="72" t="s">
        <v>76</v>
      </c>
      <c r="J1411" t="str">
        <f t="shared" si="80"/>
        <v>Wallace River</v>
      </c>
      <c r="K1411" t="str">
        <f>IFERROR(VLOOKUP(J1411,LUTs!$A$1:$C$73,2,FALSE),"NA")</f>
        <v>Snohomish</v>
      </c>
      <c r="L1411" t="str">
        <f>IFERROR(VLOOKUP(J1411,LUTs!$A$1:$C$73,3,FALSE),"NA")</f>
        <v>2Central Puget Sound</v>
      </c>
      <c r="M1411" s="72" t="s">
        <v>16</v>
      </c>
      <c r="N1411" t="str">
        <f>VLOOKUP(M1411,LUTs!E$2:H$14,3,)</f>
        <v>03Snohomish</v>
      </c>
      <c r="O1411" t="str">
        <f>VLOOKUP(M1411,LUTs!E$2:H$14,4,)</f>
        <v>01North Puget Sound</v>
      </c>
      <c r="P1411" s="80">
        <v>6</v>
      </c>
      <c r="Q1411" s="103">
        <v>3</v>
      </c>
      <c r="R1411" s="74">
        <f>VLOOKUP(B1411,Readme!A$40:C$52,3,)*Q1411</f>
        <v>25.619999999999997</v>
      </c>
    </row>
    <row r="1412" spans="1:18" ht="12" customHeight="1" x14ac:dyDescent="0.35">
      <c r="A1412" s="75">
        <v>1336</v>
      </c>
      <c r="B1412" s="80">
        <v>2014</v>
      </c>
      <c r="C1412" s="80">
        <v>10</v>
      </c>
      <c r="D1412" s="80">
        <f t="shared" si="81"/>
        <v>2014</v>
      </c>
      <c r="E1412" t="s">
        <v>38</v>
      </c>
      <c r="F1412" t="s">
        <v>143</v>
      </c>
      <c r="G1412" t="s">
        <v>86</v>
      </c>
      <c r="H1412" s="72" t="s">
        <v>265</v>
      </c>
      <c r="I1412" s="72" t="s">
        <v>107</v>
      </c>
      <c r="J1412" t="str">
        <f t="shared" si="80"/>
        <v>Burley Creek (Kitsap Co.)</v>
      </c>
      <c r="K1412" t="str">
        <f>IFERROR(VLOOKUP(J1412,LUTs!$A$1:$C$73,2,FALSE),"NA")</f>
        <v>Kitsap</v>
      </c>
      <c r="L1412" t="str">
        <f>IFERROR(VLOOKUP(J1412,LUTs!$A$1:$C$73,3,FALSE),"NA")</f>
        <v>3South Puget Sound</v>
      </c>
      <c r="M1412" s="72" t="s">
        <v>26</v>
      </c>
      <c r="N1412" t="str">
        <f>VLOOKUP(M1412,LUTs!E$2:H$14,3,)</f>
        <v>20Other</v>
      </c>
      <c r="O1412" t="str">
        <f>VLOOKUP(M1412,LUTs!E$2:H$14,4,)</f>
        <v>07Non Puget Sound</v>
      </c>
      <c r="P1412" s="80">
        <v>16</v>
      </c>
      <c r="Q1412" s="103">
        <v>8</v>
      </c>
      <c r="R1412" s="74">
        <f>VLOOKUP(B1412,Readme!A$40:C$52,3,)*Q1412</f>
        <v>68.319999999999993</v>
      </c>
    </row>
    <row r="1413" spans="1:18" ht="12" customHeight="1" x14ac:dyDescent="0.35">
      <c r="A1413" s="75">
        <v>1402</v>
      </c>
      <c r="B1413" s="80">
        <v>2014</v>
      </c>
      <c r="C1413" s="80">
        <v>10</v>
      </c>
      <c r="D1413" s="80">
        <f t="shared" si="81"/>
        <v>2014</v>
      </c>
      <c r="E1413" t="s">
        <v>38</v>
      </c>
      <c r="F1413" t="s">
        <v>143</v>
      </c>
      <c r="G1413" t="s">
        <v>86</v>
      </c>
      <c r="H1413" s="72" t="s">
        <v>217</v>
      </c>
      <c r="I1413" s="72" t="s">
        <v>59</v>
      </c>
      <c r="J1413" t="str">
        <f t="shared" si="80"/>
        <v>Cascade River</v>
      </c>
      <c r="K1413" t="str">
        <f>IFERROR(VLOOKUP(J1413,LUTs!$A$1:$C$73,2,FALSE),"NA")</f>
        <v>Skagit</v>
      </c>
      <c r="L1413" t="str">
        <f>IFERROR(VLOOKUP(J1413,LUTs!$A$1:$C$73,3,FALSE),"NA")</f>
        <v>1North Puget Sound</v>
      </c>
      <c r="M1413" s="72" t="s">
        <v>16</v>
      </c>
      <c r="N1413" t="str">
        <f>VLOOKUP(M1413,LUTs!E$2:H$14,3,)</f>
        <v>03Snohomish</v>
      </c>
      <c r="O1413" t="str">
        <f>VLOOKUP(M1413,LUTs!E$2:H$14,4,)</f>
        <v>01North Puget Sound</v>
      </c>
      <c r="P1413" s="80">
        <v>6</v>
      </c>
      <c r="Q1413" s="103">
        <v>3</v>
      </c>
      <c r="R1413" s="74">
        <f>VLOOKUP(B1413,Readme!A$40:C$52,3,)*Q1413</f>
        <v>25.619999999999997</v>
      </c>
    </row>
    <row r="1414" spans="1:18" ht="12" customHeight="1" x14ac:dyDescent="0.35">
      <c r="A1414" s="75">
        <v>1417</v>
      </c>
      <c r="B1414" s="80">
        <v>2014</v>
      </c>
      <c r="C1414" s="80">
        <v>10</v>
      </c>
      <c r="D1414" s="80">
        <f t="shared" si="81"/>
        <v>2014</v>
      </c>
      <c r="E1414" t="s">
        <v>38</v>
      </c>
      <c r="F1414" t="s">
        <v>143</v>
      </c>
      <c r="G1414" t="s">
        <v>86</v>
      </c>
      <c r="H1414" s="72" t="s">
        <v>245</v>
      </c>
      <c r="I1414" s="72" t="s">
        <v>96</v>
      </c>
      <c r="J1414" t="str">
        <f t="shared" si="80"/>
        <v>Sauk River</v>
      </c>
      <c r="K1414" t="str">
        <f>IFERROR(VLOOKUP(J1414,LUTs!$A$1:$C$73,2,FALSE),"NA")</f>
        <v>Skagit/Snohomish</v>
      </c>
      <c r="L1414" t="str">
        <f>IFERROR(VLOOKUP(J1414,LUTs!$A$1:$C$73,3,FALSE),"NA")</f>
        <v>2Central Puget Sound</v>
      </c>
      <c r="M1414" s="72" t="s">
        <v>18</v>
      </c>
      <c r="N1414" t="str">
        <f>VLOOKUP(M1414,LUTs!E$2:H$14,3,)</f>
        <v>06King</v>
      </c>
      <c r="O1414" t="str">
        <f>VLOOKUP(M1414,LUTs!E$2:H$14,4,)</f>
        <v>02South Puget Sound</v>
      </c>
      <c r="P1414" s="80">
        <v>4</v>
      </c>
      <c r="Q1414" s="103">
        <v>2</v>
      </c>
      <c r="R1414" s="74">
        <f>VLOOKUP(B1414,Readme!A$40:C$52,3,)*Q1414</f>
        <v>17.079999999999998</v>
      </c>
    </row>
    <row r="1415" spans="1:18" ht="12" customHeight="1" x14ac:dyDescent="0.35">
      <c r="A1415" s="75">
        <v>1421</v>
      </c>
      <c r="B1415" s="80">
        <v>2014</v>
      </c>
      <c r="C1415" s="80">
        <v>10</v>
      </c>
      <c r="D1415" s="80">
        <f t="shared" si="81"/>
        <v>2014</v>
      </c>
      <c r="E1415" t="s">
        <v>38</v>
      </c>
      <c r="F1415" t="s">
        <v>143</v>
      </c>
      <c r="G1415" t="s">
        <v>86</v>
      </c>
      <c r="H1415" s="72" t="s">
        <v>218</v>
      </c>
      <c r="I1415" s="72" t="s">
        <v>60</v>
      </c>
      <c r="J1415" t="str">
        <f t="shared" si="80"/>
        <v>Skagit River</v>
      </c>
      <c r="K1415" t="str">
        <f>IFERROR(VLOOKUP(J1415,LUTs!$A$1:$C$73,2,FALSE),"NA")</f>
        <v>Skagit/Whatcom</v>
      </c>
      <c r="L1415" t="str">
        <f>IFERROR(VLOOKUP(J1415,LUTs!$A$1:$C$73,3,FALSE),"NA")</f>
        <v>2Central Puget Sound</v>
      </c>
      <c r="M1415" s="72" t="s">
        <v>15</v>
      </c>
      <c r="N1415" t="str">
        <f>VLOOKUP(M1415,LUTs!E$2:H$14,3,)</f>
        <v>02Skagit</v>
      </c>
      <c r="O1415" t="str">
        <f>VLOOKUP(M1415,LUTs!E$2:H$14,4,)</f>
        <v>01North Puget Sound</v>
      </c>
      <c r="P1415" s="80">
        <v>2</v>
      </c>
      <c r="Q1415" s="103">
        <v>1</v>
      </c>
      <c r="R1415" s="74">
        <f>VLOOKUP(B1415,Readme!A$40:C$52,3,)*Q1415</f>
        <v>8.5399999999999991</v>
      </c>
    </row>
    <row r="1416" spans="1:18" ht="12" customHeight="1" x14ac:dyDescent="0.35">
      <c r="A1416" s="75">
        <v>1455</v>
      </c>
      <c r="B1416" s="80">
        <v>2014</v>
      </c>
      <c r="C1416" s="80">
        <v>10</v>
      </c>
      <c r="D1416" s="80">
        <f t="shared" si="81"/>
        <v>2014</v>
      </c>
      <c r="E1416" t="s">
        <v>38</v>
      </c>
      <c r="F1416" t="s">
        <v>143</v>
      </c>
      <c r="G1416" t="s">
        <v>86</v>
      </c>
      <c r="H1416" s="72" t="s">
        <v>220</v>
      </c>
      <c r="I1416" s="72" t="s">
        <v>62</v>
      </c>
      <c r="J1416" t="str">
        <f t="shared" si="80"/>
        <v>Skykomish River</v>
      </c>
      <c r="K1416" t="str">
        <f>IFERROR(VLOOKUP(J1416,LUTs!$A$1:$C$73,2,FALSE),"NA")</f>
        <v>Snohomish</v>
      </c>
      <c r="L1416" t="str">
        <f>IFERROR(VLOOKUP(J1416,LUTs!$A$1:$C$73,3,FALSE),"NA")</f>
        <v>2Central Puget Sound</v>
      </c>
      <c r="M1416" s="72" t="s">
        <v>18</v>
      </c>
      <c r="N1416" t="str">
        <f>VLOOKUP(M1416,LUTs!E$2:H$14,3,)</f>
        <v>06King</v>
      </c>
      <c r="O1416" t="str">
        <f>VLOOKUP(M1416,LUTs!E$2:H$14,4,)</f>
        <v>02South Puget Sound</v>
      </c>
      <c r="P1416" s="80">
        <v>19.411764705882401</v>
      </c>
      <c r="Q1416" s="103">
        <v>9.7058823529411793</v>
      </c>
      <c r="R1416" s="74">
        <f>VLOOKUP(B1416,Readme!A$40:C$52,3,)*Q1416</f>
        <v>82.888235294117663</v>
      </c>
    </row>
    <row r="1417" spans="1:18" ht="12" customHeight="1" x14ac:dyDescent="0.35">
      <c r="A1417" s="75">
        <v>1456</v>
      </c>
      <c r="B1417" s="80">
        <v>2014</v>
      </c>
      <c r="C1417" s="80">
        <v>10</v>
      </c>
      <c r="D1417" s="80">
        <f t="shared" si="81"/>
        <v>2014</v>
      </c>
      <c r="E1417" t="s">
        <v>38</v>
      </c>
      <c r="F1417" t="s">
        <v>143</v>
      </c>
      <c r="G1417" t="s">
        <v>86</v>
      </c>
      <c r="H1417" s="72" t="s">
        <v>220</v>
      </c>
      <c r="I1417" s="72" t="s">
        <v>62</v>
      </c>
      <c r="J1417" t="str">
        <f t="shared" si="80"/>
        <v>Skykomish River</v>
      </c>
      <c r="K1417" t="str">
        <f>IFERROR(VLOOKUP(J1417,LUTs!$A$1:$C$73,2,FALSE),"NA")</f>
        <v>Snohomish</v>
      </c>
      <c r="L1417" t="str">
        <f>IFERROR(VLOOKUP(J1417,LUTs!$A$1:$C$73,3,FALSE),"NA")</f>
        <v>2Central Puget Sound</v>
      </c>
      <c r="M1417" s="72" t="s">
        <v>16</v>
      </c>
      <c r="N1417" t="str">
        <f>VLOOKUP(M1417,LUTs!E$2:H$14,3,)</f>
        <v>03Snohomish</v>
      </c>
      <c r="O1417" t="str">
        <f>VLOOKUP(M1417,LUTs!E$2:H$14,4,)</f>
        <v>01North Puget Sound</v>
      </c>
      <c r="P1417" s="80">
        <v>90.588235294117695</v>
      </c>
      <c r="Q1417" s="103">
        <v>45.294117647058798</v>
      </c>
      <c r="R1417" s="74">
        <f>VLOOKUP(B1417,Readme!A$40:C$52,3,)*Q1417</f>
        <v>386.81176470588207</v>
      </c>
    </row>
    <row r="1418" spans="1:18" ht="12" customHeight="1" x14ac:dyDescent="0.35">
      <c r="A1418" s="75">
        <v>1483</v>
      </c>
      <c r="B1418" s="80">
        <v>2014</v>
      </c>
      <c r="C1418" s="80">
        <v>10</v>
      </c>
      <c r="D1418" s="80">
        <f t="shared" si="81"/>
        <v>2014</v>
      </c>
      <c r="E1418" t="s">
        <v>38</v>
      </c>
      <c r="F1418" t="s">
        <v>143</v>
      </c>
      <c r="G1418" t="s">
        <v>86</v>
      </c>
      <c r="H1418" s="72" t="s">
        <v>247</v>
      </c>
      <c r="I1418" s="72" t="s">
        <v>98</v>
      </c>
      <c r="J1418" t="str">
        <f t="shared" si="80"/>
        <v>Skykomish River, No. Fork</v>
      </c>
      <c r="K1418" t="str">
        <f>IFERROR(VLOOKUP(J1418,LUTs!$A$1:$C$73,2,FALSE),"NA")</f>
        <v>Snohomish</v>
      </c>
      <c r="L1418" t="str">
        <f>IFERROR(VLOOKUP(J1418,LUTs!$A$1:$C$73,3,FALSE),"NA")</f>
        <v>2Central Puget Sound</v>
      </c>
      <c r="M1418" s="72" t="s">
        <v>16</v>
      </c>
      <c r="N1418" t="str">
        <f>VLOOKUP(M1418,LUTs!E$2:H$14,3,)</f>
        <v>03Snohomish</v>
      </c>
      <c r="O1418" t="str">
        <f>VLOOKUP(M1418,LUTs!E$2:H$14,4,)</f>
        <v>01North Puget Sound</v>
      </c>
      <c r="P1418" s="80">
        <v>32</v>
      </c>
      <c r="Q1418" s="103">
        <v>16</v>
      </c>
      <c r="R1418" s="74">
        <f>VLOOKUP(B1418,Readme!A$40:C$52,3,)*Q1418</f>
        <v>136.63999999999999</v>
      </c>
    </row>
    <row r="1419" spans="1:18" ht="12" customHeight="1" x14ac:dyDescent="0.35">
      <c r="A1419" s="75">
        <v>1509</v>
      </c>
      <c r="B1419" s="80">
        <v>2014</v>
      </c>
      <c r="C1419" s="80">
        <v>10</v>
      </c>
      <c r="D1419" s="80">
        <f t="shared" si="81"/>
        <v>2014</v>
      </c>
      <c r="E1419" t="s">
        <v>38</v>
      </c>
      <c r="F1419" t="s">
        <v>143</v>
      </c>
      <c r="G1419" t="s">
        <v>86</v>
      </c>
      <c r="H1419" s="72" t="s">
        <v>222</v>
      </c>
      <c r="I1419" s="72" t="s">
        <v>64</v>
      </c>
      <c r="J1419" t="str">
        <f t="shared" si="80"/>
        <v>Snoqualmie River</v>
      </c>
      <c r="K1419" t="str">
        <f>IFERROR(VLOOKUP(J1419,LUTs!$A$1:$C$73,2,FALSE),"NA")</f>
        <v>Snohomish/King</v>
      </c>
      <c r="L1419" t="str">
        <f>IFERROR(VLOOKUP(J1419,LUTs!$A$1:$C$73,3,FALSE),"NA")</f>
        <v>2Central Puget Sound</v>
      </c>
      <c r="M1419" s="72" t="s">
        <v>26</v>
      </c>
      <c r="N1419" t="str">
        <f>VLOOKUP(M1419,LUTs!E$2:H$14,3,)</f>
        <v>20Other</v>
      </c>
      <c r="O1419" t="str">
        <f>VLOOKUP(M1419,LUTs!E$2:H$14,4,)</f>
        <v>07Non Puget Sound</v>
      </c>
      <c r="P1419" s="80">
        <v>6</v>
      </c>
      <c r="Q1419" s="103">
        <v>3</v>
      </c>
      <c r="R1419" s="74">
        <f>VLOOKUP(B1419,Readme!A$40:C$52,3,)*Q1419</f>
        <v>25.619999999999997</v>
      </c>
    </row>
    <row r="1420" spans="1:18" ht="12" customHeight="1" x14ac:dyDescent="0.35">
      <c r="A1420" s="75">
        <v>1551</v>
      </c>
      <c r="B1420" s="80">
        <v>2014</v>
      </c>
      <c r="C1420" s="80">
        <v>10</v>
      </c>
      <c r="D1420" s="80">
        <f t="shared" si="81"/>
        <v>2014</v>
      </c>
      <c r="E1420" t="s">
        <v>38</v>
      </c>
      <c r="F1420" t="s">
        <v>143</v>
      </c>
      <c r="G1420" t="s">
        <v>86</v>
      </c>
      <c r="H1420" s="72" t="s">
        <v>223</v>
      </c>
      <c r="I1420" s="72" t="s">
        <v>103</v>
      </c>
      <c r="J1420" t="str">
        <f t="shared" si="80"/>
        <v>Stillaguamish R, No. Fork</v>
      </c>
      <c r="K1420" t="str">
        <f>IFERROR(VLOOKUP(J1420,LUTs!$A$1:$C$73,2,FALSE),"NA")</f>
        <v>Snohomish</v>
      </c>
      <c r="L1420" t="str">
        <f>IFERROR(VLOOKUP(J1420,LUTs!$A$1:$C$73,3,FALSE),"NA")</f>
        <v>2Central Puget Sound</v>
      </c>
      <c r="M1420" s="72" t="s">
        <v>18</v>
      </c>
      <c r="N1420" t="str">
        <f>VLOOKUP(M1420,LUTs!E$2:H$14,3,)</f>
        <v>06King</v>
      </c>
      <c r="O1420" t="str">
        <f>VLOOKUP(M1420,LUTs!E$2:H$14,4,)</f>
        <v>02South Puget Sound</v>
      </c>
      <c r="P1420" s="80">
        <v>8</v>
      </c>
      <c r="Q1420" s="103">
        <v>4</v>
      </c>
      <c r="R1420" s="74">
        <f>VLOOKUP(B1420,Readme!A$40:C$52,3,)*Q1420</f>
        <v>34.159999999999997</v>
      </c>
    </row>
    <row r="1421" spans="1:18" ht="12" customHeight="1" x14ac:dyDescent="0.35">
      <c r="A1421" s="75">
        <v>1552</v>
      </c>
      <c r="B1421" s="80">
        <v>2014</v>
      </c>
      <c r="C1421" s="80">
        <v>10</v>
      </c>
      <c r="D1421" s="80">
        <f t="shared" si="81"/>
        <v>2014</v>
      </c>
      <c r="E1421" t="s">
        <v>38</v>
      </c>
      <c r="F1421" t="s">
        <v>143</v>
      </c>
      <c r="G1421" t="s">
        <v>86</v>
      </c>
      <c r="H1421" s="72" t="s">
        <v>223</v>
      </c>
      <c r="I1421" s="72" t="s">
        <v>103</v>
      </c>
      <c r="J1421" t="str">
        <f t="shared" si="80"/>
        <v>Stillaguamish R, No. Fork</v>
      </c>
      <c r="K1421" t="str">
        <f>IFERROR(VLOOKUP(J1421,LUTs!$A$1:$C$73,2,FALSE),"NA")</f>
        <v>Snohomish</v>
      </c>
      <c r="L1421" t="str">
        <f>IFERROR(VLOOKUP(J1421,LUTs!$A$1:$C$73,3,FALSE),"NA")</f>
        <v>2Central Puget Sound</v>
      </c>
      <c r="M1421" s="72" t="s">
        <v>16</v>
      </c>
      <c r="N1421" t="str">
        <f>VLOOKUP(M1421,LUTs!E$2:H$14,3,)</f>
        <v>03Snohomish</v>
      </c>
      <c r="O1421" t="str">
        <f>VLOOKUP(M1421,LUTs!E$2:H$14,4,)</f>
        <v>01North Puget Sound</v>
      </c>
      <c r="P1421" s="80">
        <v>16</v>
      </c>
      <c r="Q1421" s="103">
        <v>8</v>
      </c>
      <c r="R1421" s="74">
        <f>VLOOKUP(B1421,Readme!A$40:C$52,3,)*Q1421</f>
        <v>68.319999999999993</v>
      </c>
    </row>
    <row r="1422" spans="1:18" ht="12" customHeight="1" x14ac:dyDescent="0.35">
      <c r="A1422" s="75">
        <v>1536</v>
      </c>
      <c r="B1422" s="80">
        <v>2014</v>
      </c>
      <c r="C1422" s="80">
        <v>10</v>
      </c>
      <c r="D1422" s="80">
        <f t="shared" si="81"/>
        <v>2014</v>
      </c>
      <c r="E1422" t="s">
        <v>38</v>
      </c>
      <c r="F1422" t="s">
        <v>143</v>
      </c>
      <c r="G1422" t="s">
        <v>86</v>
      </c>
      <c r="H1422" s="72" t="s">
        <v>233</v>
      </c>
      <c r="I1422" s="72" t="s">
        <v>76</v>
      </c>
      <c r="J1422" t="str">
        <f t="shared" si="80"/>
        <v>Wallace River</v>
      </c>
      <c r="K1422" t="str">
        <f>IFERROR(VLOOKUP(J1422,LUTs!$A$1:$C$73,2,FALSE),"NA")</f>
        <v>Snohomish</v>
      </c>
      <c r="L1422" t="str">
        <f>IFERROR(VLOOKUP(J1422,LUTs!$A$1:$C$73,3,FALSE),"NA")</f>
        <v>2Central Puget Sound</v>
      </c>
      <c r="M1422" s="72" t="s">
        <v>18</v>
      </c>
      <c r="N1422" t="str">
        <f>VLOOKUP(M1422,LUTs!E$2:H$14,3,)</f>
        <v>06King</v>
      </c>
      <c r="O1422" t="str">
        <f>VLOOKUP(M1422,LUTs!E$2:H$14,4,)</f>
        <v>02South Puget Sound</v>
      </c>
      <c r="P1422" s="80">
        <v>6.5</v>
      </c>
      <c r="Q1422" s="103">
        <v>3.25</v>
      </c>
      <c r="R1422" s="74">
        <f>VLOOKUP(B1422,Readme!A$40:C$52,3,)*Q1422</f>
        <v>27.754999999999995</v>
      </c>
    </row>
    <row r="1423" spans="1:18" ht="12" customHeight="1" x14ac:dyDescent="0.35">
      <c r="A1423" s="75">
        <v>1537</v>
      </c>
      <c r="B1423" s="80">
        <v>2014</v>
      </c>
      <c r="C1423" s="80">
        <v>10</v>
      </c>
      <c r="D1423" s="80">
        <f t="shared" si="81"/>
        <v>2014</v>
      </c>
      <c r="E1423" t="s">
        <v>38</v>
      </c>
      <c r="F1423" t="s">
        <v>143</v>
      </c>
      <c r="G1423" t="s">
        <v>86</v>
      </c>
      <c r="H1423" s="72" t="s">
        <v>233</v>
      </c>
      <c r="I1423" s="72" t="s">
        <v>76</v>
      </c>
      <c r="J1423" t="str">
        <f t="shared" si="80"/>
        <v>Wallace River</v>
      </c>
      <c r="K1423" t="str">
        <f>IFERROR(VLOOKUP(J1423,LUTs!$A$1:$C$73,2,FALSE),"NA")</f>
        <v>Snohomish</v>
      </c>
      <c r="L1423" t="str">
        <f>IFERROR(VLOOKUP(J1423,LUTs!$A$1:$C$73,3,FALSE),"NA")</f>
        <v>2Central Puget Sound</v>
      </c>
      <c r="M1423" s="72" t="s">
        <v>16</v>
      </c>
      <c r="N1423" t="str">
        <f>VLOOKUP(M1423,LUTs!E$2:H$14,3,)</f>
        <v>03Snohomish</v>
      </c>
      <c r="O1423" t="str">
        <f>VLOOKUP(M1423,LUTs!E$2:H$14,4,)</f>
        <v>01North Puget Sound</v>
      </c>
      <c r="P1423" s="80">
        <v>19.5</v>
      </c>
      <c r="Q1423" s="103">
        <v>9.75</v>
      </c>
      <c r="R1423" s="74">
        <f>VLOOKUP(B1423,Readme!A$40:C$52,3,)*Q1423</f>
        <v>83.264999999999986</v>
      </c>
    </row>
    <row r="1424" spans="1:18" ht="12" customHeight="1" x14ac:dyDescent="0.35">
      <c r="A1424" s="75">
        <v>1403</v>
      </c>
      <c r="B1424" s="80">
        <v>2014</v>
      </c>
      <c r="C1424" s="80">
        <v>11</v>
      </c>
      <c r="D1424" s="80">
        <f t="shared" si="81"/>
        <v>2014</v>
      </c>
      <c r="E1424" t="s">
        <v>38</v>
      </c>
      <c r="F1424" t="s">
        <v>143</v>
      </c>
      <c r="G1424" t="s">
        <v>86</v>
      </c>
      <c r="H1424" s="72" t="s">
        <v>217</v>
      </c>
      <c r="I1424" s="72" t="s">
        <v>59</v>
      </c>
      <c r="J1424" t="str">
        <f t="shared" si="80"/>
        <v>Cascade River</v>
      </c>
      <c r="K1424" t="str">
        <f>IFERROR(VLOOKUP(J1424,LUTs!$A$1:$C$73,2,FALSE),"NA")</f>
        <v>Skagit</v>
      </c>
      <c r="L1424" t="str">
        <f>IFERROR(VLOOKUP(J1424,LUTs!$A$1:$C$73,3,FALSE),"NA")</f>
        <v>1North Puget Sound</v>
      </c>
      <c r="M1424" s="72" t="s">
        <v>15</v>
      </c>
      <c r="N1424" t="str">
        <f>VLOOKUP(M1424,LUTs!E$2:H$14,3,)</f>
        <v>02Skagit</v>
      </c>
      <c r="O1424" t="str">
        <f>VLOOKUP(M1424,LUTs!E$2:H$14,4,)</f>
        <v>01North Puget Sound</v>
      </c>
      <c r="P1424" s="80">
        <v>6.8</v>
      </c>
      <c r="Q1424" s="103">
        <v>3.4</v>
      </c>
      <c r="R1424" s="74">
        <f>VLOOKUP(B1424,Readme!A$40:C$52,3,)*Q1424</f>
        <v>29.035999999999998</v>
      </c>
    </row>
    <row r="1425" spans="1:18" ht="12" customHeight="1" x14ac:dyDescent="0.35">
      <c r="A1425" s="75">
        <v>1404</v>
      </c>
      <c r="B1425" s="80">
        <v>2014</v>
      </c>
      <c r="C1425" s="80">
        <v>11</v>
      </c>
      <c r="D1425" s="80">
        <f t="shared" si="81"/>
        <v>2014</v>
      </c>
      <c r="E1425" t="s">
        <v>38</v>
      </c>
      <c r="F1425" t="s">
        <v>143</v>
      </c>
      <c r="G1425" t="s">
        <v>86</v>
      </c>
      <c r="H1425" s="72" t="s">
        <v>217</v>
      </c>
      <c r="I1425" s="72" t="s">
        <v>59</v>
      </c>
      <c r="J1425" t="str">
        <f t="shared" si="80"/>
        <v>Cascade River</v>
      </c>
      <c r="K1425" t="str">
        <f>IFERROR(VLOOKUP(J1425,LUTs!$A$1:$C$73,2,FALSE),"NA")</f>
        <v>Skagit</v>
      </c>
      <c r="L1425" t="str">
        <f>IFERROR(VLOOKUP(J1425,LUTs!$A$1:$C$73,3,FALSE),"NA")</f>
        <v>1North Puget Sound</v>
      </c>
      <c r="M1425" s="72" t="s">
        <v>16</v>
      </c>
      <c r="N1425" t="str">
        <f>VLOOKUP(M1425,LUTs!E$2:H$14,3,)</f>
        <v>03Snohomish</v>
      </c>
      <c r="O1425" t="str">
        <f>VLOOKUP(M1425,LUTs!E$2:H$14,4,)</f>
        <v>01North Puget Sound</v>
      </c>
      <c r="P1425" s="80">
        <v>6.8</v>
      </c>
      <c r="Q1425" s="103">
        <v>3.4</v>
      </c>
      <c r="R1425" s="74">
        <f>VLOOKUP(B1425,Readme!A$40:C$52,3,)*Q1425</f>
        <v>29.035999999999998</v>
      </c>
    </row>
    <row r="1426" spans="1:18" ht="12" customHeight="1" x14ac:dyDescent="0.35">
      <c r="A1426" s="75">
        <v>1405</v>
      </c>
      <c r="B1426" s="80">
        <v>2014</v>
      </c>
      <c r="C1426" s="80">
        <v>11</v>
      </c>
      <c r="D1426" s="80">
        <f t="shared" si="81"/>
        <v>2014</v>
      </c>
      <c r="E1426" t="s">
        <v>38</v>
      </c>
      <c r="F1426" t="s">
        <v>143</v>
      </c>
      <c r="G1426" t="s">
        <v>86</v>
      </c>
      <c r="H1426" s="72" t="s">
        <v>217</v>
      </c>
      <c r="I1426" s="72" t="s">
        <v>59</v>
      </c>
      <c r="J1426" t="str">
        <f t="shared" si="80"/>
        <v>Cascade River</v>
      </c>
      <c r="K1426" t="str">
        <f>IFERROR(VLOOKUP(J1426,LUTs!$A$1:$C$73,2,FALSE),"NA")</f>
        <v>Skagit</v>
      </c>
      <c r="L1426" t="str">
        <f>IFERROR(VLOOKUP(J1426,LUTs!$A$1:$C$73,3,FALSE),"NA")</f>
        <v>1North Puget Sound</v>
      </c>
      <c r="M1426" s="72" t="s">
        <v>13</v>
      </c>
      <c r="N1426" t="str">
        <f>VLOOKUP(M1426,LUTs!E$2:H$14,3,)</f>
        <v>01Whatcom</v>
      </c>
      <c r="O1426" t="str">
        <f>VLOOKUP(M1426,LUTs!E$2:H$14,4,)</f>
        <v>01North Puget Sound</v>
      </c>
      <c r="P1426" s="80">
        <v>20.399999999999999</v>
      </c>
      <c r="Q1426" s="103">
        <v>10.199999999999999</v>
      </c>
      <c r="R1426" s="74">
        <f>VLOOKUP(B1426,Readme!A$40:C$52,3,)*Q1426</f>
        <v>87.10799999999999</v>
      </c>
    </row>
    <row r="1427" spans="1:18" ht="12" customHeight="1" x14ac:dyDescent="0.35">
      <c r="A1427" s="75">
        <v>1341</v>
      </c>
      <c r="B1427" s="80">
        <v>2014</v>
      </c>
      <c r="C1427" s="80">
        <v>11</v>
      </c>
      <c r="D1427" s="80">
        <f t="shared" si="81"/>
        <v>2014</v>
      </c>
      <c r="E1427" t="s">
        <v>38</v>
      </c>
      <c r="F1427" t="s">
        <v>143</v>
      </c>
      <c r="G1427" t="s">
        <v>86</v>
      </c>
      <c r="H1427" s="72" t="s">
        <v>201</v>
      </c>
      <c r="I1427" s="72" t="s">
        <v>43</v>
      </c>
      <c r="J1427" t="str">
        <f t="shared" si="80"/>
        <v>Dungeness River</v>
      </c>
      <c r="K1427" t="str">
        <f>IFERROR(VLOOKUP(J1427,LUTs!$A$1:$C$73,2,FALSE),"NA")</f>
        <v>Clallam</v>
      </c>
      <c r="L1427" t="str">
        <f>IFERROR(VLOOKUP(J1427,LUTs!$A$1:$C$73,3,FALSE),"NA")</f>
        <v>0Strait of Juan de Fuca</v>
      </c>
      <c r="M1427" s="72" t="s">
        <v>24</v>
      </c>
      <c r="N1427" t="str">
        <f>VLOOKUP(M1427,LUTs!E$2:H$14,3,)</f>
        <v>11Clallam</v>
      </c>
      <c r="O1427" t="str">
        <f>VLOOKUP(M1427,LUTs!E$2:H$14,4,)</f>
        <v>03Strait of Juan de Fuca</v>
      </c>
      <c r="P1427" s="80">
        <v>12</v>
      </c>
      <c r="Q1427" s="103">
        <v>6</v>
      </c>
      <c r="R1427" s="74">
        <f>VLOOKUP(B1427,Readme!A$40:C$52,3,)*Q1427</f>
        <v>51.239999999999995</v>
      </c>
    </row>
    <row r="1428" spans="1:18" ht="12" customHeight="1" x14ac:dyDescent="0.35">
      <c r="A1428" s="75">
        <v>1357</v>
      </c>
      <c r="B1428" s="80">
        <v>2014</v>
      </c>
      <c r="C1428" s="80">
        <v>11</v>
      </c>
      <c r="D1428" s="80">
        <f t="shared" si="81"/>
        <v>2014</v>
      </c>
      <c r="E1428" t="s">
        <v>38</v>
      </c>
      <c r="F1428" t="s">
        <v>143</v>
      </c>
      <c r="G1428" t="s">
        <v>86</v>
      </c>
      <c r="H1428" s="72" t="s">
        <v>203</v>
      </c>
      <c r="I1428" s="72" t="s">
        <v>89</v>
      </c>
      <c r="J1428" s="84" t="s">
        <v>45</v>
      </c>
      <c r="K1428" t="str">
        <f>IFERROR(VLOOKUP(J1428,LUTs!$A$1:$C$73,2,FALSE),"NA")</f>
        <v>King</v>
      </c>
      <c r="L1428" t="str">
        <f>IFERROR(VLOOKUP(J1428,LUTs!$A$1:$C$73,3,FALSE),"NA")</f>
        <v>3South Puget Sound</v>
      </c>
      <c r="M1428" s="72" t="s">
        <v>18</v>
      </c>
      <c r="N1428" t="str">
        <f>VLOOKUP(M1428,LUTs!E$2:H$14,3,)</f>
        <v>06King</v>
      </c>
      <c r="O1428" t="str">
        <f>VLOOKUP(M1428,LUTs!E$2:H$14,4,)</f>
        <v>02South Puget Sound</v>
      </c>
      <c r="P1428" s="80">
        <v>80</v>
      </c>
      <c r="Q1428" s="103">
        <v>40</v>
      </c>
      <c r="R1428" s="74">
        <f>VLOOKUP(B1428,Readme!A$40:C$52,3,)*Q1428</f>
        <v>341.59999999999997</v>
      </c>
    </row>
    <row r="1429" spans="1:18" ht="12" customHeight="1" x14ac:dyDescent="0.35">
      <c r="A1429" s="75">
        <v>1366</v>
      </c>
      <c r="B1429" s="80">
        <v>2014</v>
      </c>
      <c r="C1429" s="80">
        <v>11</v>
      </c>
      <c r="D1429" s="80">
        <f t="shared" si="81"/>
        <v>2014</v>
      </c>
      <c r="E1429" t="s">
        <v>38</v>
      </c>
      <c r="F1429" t="s">
        <v>143</v>
      </c>
      <c r="G1429" t="s">
        <v>86</v>
      </c>
      <c r="H1429" s="72" t="s">
        <v>204</v>
      </c>
      <c r="I1429" s="72" t="s">
        <v>46</v>
      </c>
      <c r="J1429" t="str">
        <f t="shared" ref="J1429:J1453" si="82">I1429</f>
        <v>Hoko River</v>
      </c>
      <c r="K1429" t="str">
        <f>IFERROR(VLOOKUP(J1429,LUTs!$A$1:$C$73,2,FALSE),"NA")</f>
        <v>Clallam</v>
      </c>
      <c r="L1429" t="str">
        <f>IFERROR(VLOOKUP(J1429,LUTs!$A$1:$C$73,3,FALSE),"NA")</f>
        <v>0Strait of Juan de Fuca</v>
      </c>
      <c r="M1429" s="72" t="s">
        <v>24</v>
      </c>
      <c r="N1429" t="str">
        <f>VLOOKUP(M1429,LUTs!E$2:H$14,3,)</f>
        <v>11Clallam</v>
      </c>
      <c r="O1429" t="str">
        <f>VLOOKUP(M1429,LUTs!E$2:H$14,4,)</f>
        <v>03Strait of Juan de Fuca</v>
      </c>
      <c r="P1429" s="80">
        <v>22</v>
      </c>
      <c r="Q1429" s="103">
        <v>11</v>
      </c>
      <c r="R1429" s="74">
        <f>VLOOKUP(B1429,Readme!A$40:C$52,3,)*Q1429</f>
        <v>93.94</v>
      </c>
    </row>
    <row r="1430" spans="1:18" ht="12" customHeight="1" x14ac:dyDescent="0.35">
      <c r="A1430" s="75">
        <v>1388</v>
      </c>
      <c r="B1430" s="80">
        <v>2014</v>
      </c>
      <c r="C1430" s="80">
        <v>11</v>
      </c>
      <c r="D1430" s="80">
        <f t="shared" si="81"/>
        <v>2014</v>
      </c>
      <c r="E1430" t="s">
        <v>38</v>
      </c>
      <c r="F1430" t="s">
        <v>143</v>
      </c>
      <c r="G1430" t="s">
        <v>86</v>
      </c>
      <c r="H1430" s="72" t="s">
        <v>241</v>
      </c>
      <c r="I1430" s="72" t="s">
        <v>83</v>
      </c>
      <c r="J1430" t="str">
        <f t="shared" si="82"/>
        <v>Nooksack River, below North Fork</v>
      </c>
      <c r="K1430" t="str">
        <f>IFERROR(VLOOKUP(J1430,LUTs!$A$1:$C$73,2,FALSE),"NA")</f>
        <v>Whatcom</v>
      </c>
      <c r="L1430" t="str">
        <f>IFERROR(VLOOKUP(J1430,LUTs!$A$1:$C$73,3,FALSE),"NA")</f>
        <v>1North Puget Sound</v>
      </c>
      <c r="M1430" s="72" t="s">
        <v>13</v>
      </c>
      <c r="N1430" t="str">
        <f>VLOOKUP(M1430,LUTs!E$2:H$14,3,)</f>
        <v>01Whatcom</v>
      </c>
      <c r="O1430" t="str">
        <f>VLOOKUP(M1430,LUTs!E$2:H$14,4,)</f>
        <v>01North Puget Sound</v>
      </c>
      <c r="P1430" s="80">
        <v>6</v>
      </c>
      <c r="Q1430" s="103">
        <v>3</v>
      </c>
      <c r="R1430" s="74">
        <f>VLOOKUP(B1430,Readme!A$40:C$52,3,)*Q1430</f>
        <v>25.619999999999997</v>
      </c>
    </row>
    <row r="1431" spans="1:18" ht="12" customHeight="1" x14ac:dyDescent="0.35">
      <c r="A1431" s="75">
        <v>1383</v>
      </c>
      <c r="B1431" s="80">
        <v>2014</v>
      </c>
      <c r="C1431" s="80">
        <v>11</v>
      </c>
      <c r="D1431" s="80">
        <f t="shared" si="81"/>
        <v>2014</v>
      </c>
      <c r="E1431" t="s">
        <v>38</v>
      </c>
      <c r="F1431" t="s">
        <v>143</v>
      </c>
      <c r="G1431" t="s">
        <v>86</v>
      </c>
      <c r="H1431" s="72" t="s">
        <v>239</v>
      </c>
      <c r="I1431" s="72" t="s">
        <v>92</v>
      </c>
      <c r="J1431" t="str">
        <f t="shared" si="82"/>
        <v>Nooksack River, No. Fork</v>
      </c>
      <c r="K1431" t="str">
        <f>IFERROR(VLOOKUP(J1431,LUTs!$A$1:$C$73,2,FALSE),"NA")</f>
        <v>Whatcom</v>
      </c>
      <c r="L1431" t="str">
        <f>IFERROR(VLOOKUP(J1431,LUTs!$A$1:$C$73,3,FALSE),"NA")</f>
        <v>1North Puget Sound</v>
      </c>
      <c r="M1431" s="72" t="s">
        <v>13</v>
      </c>
      <c r="N1431" t="str">
        <f>VLOOKUP(M1431,LUTs!E$2:H$14,3,)</f>
        <v>01Whatcom</v>
      </c>
      <c r="O1431" t="str">
        <f>VLOOKUP(M1431,LUTs!E$2:H$14,4,)</f>
        <v>01North Puget Sound</v>
      </c>
      <c r="P1431" s="80">
        <v>6</v>
      </c>
      <c r="Q1431" s="103">
        <v>3</v>
      </c>
      <c r="R1431" s="74">
        <f>VLOOKUP(B1431,Readme!A$40:C$52,3,)*Q1431</f>
        <v>25.619999999999997</v>
      </c>
    </row>
    <row r="1432" spans="1:18" ht="12" customHeight="1" x14ac:dyDescent="0.35">
      <c r="A1432" s="75">
        <v>1422</v>
      </c>
      <c r="B1432" s="80">
        <v>2014</v>
      </c>
      <c r="C1432" s="80">
        <v>11</v>
      </c>
      <c r="D1432" s="80">
        <f t="shared" si="81"/>
        <v>2014</v>
      </c>
      <c r="E1432" t="s">
        <v>38</v>
      </c>
      <c r="F1432" t="s">
        <v>143</v>
      </c>
      <c r="G1432" t="s">
        <v>86</v>
      </c>
      <c r="H1432" s="72" t="s">
        <v>218</v>
      </c>
      <c r="I1432" s="72" t="s">
        <v>60</v>
      </c>
      <c r="J1432" t="str">
        <f t="shared" si="82"/>
        <v>Skagit River</v>
      </c>
      <c r="K1432" t="str">
        <f>IFERROR(VLOOKUP(J1432,LUTs!$A$1:$C$73,2,FALSE),"NA")</f>
        <v>Skagit/Whatcom</v>
      </c>
      <c r="L1432" t="str">
        <f>IFERROR(VLOOKUP(J1432,LUTs!$A$1:$C$73,3,FALSE),"NA")</f>
        <v>2Central Puget Sound</v>
      </c>
      <c r="M1432" s="72" t="s">
        <v>13</v>
      </c>
      <c r="N1432" t="str">
        <f>VLOOKUP(M1432,LUTs!E$2:H$14,3,)</f>
        <v>01Whatcom</v>
      </c>
      <c r="O1432" t="str">
        <f>VLOOKUP(M1432,LUTs!E$2:H$14,4,)</f>
        <v>01North Puget Sound</v>
      </c>
      <c r="P1432" s="80">
        <v>6</v>
      </c>
      <c r="Q1432" s="103">
        <v>3</v>
      </c>
      <c r="R1432" s="74">
        <f>VLOOKUP(B1432,Readme!A$40:C$52,3,)*Q1432</f>
        <v>25.619999999999997</v>
      </c>
    </row>
    <row r="1433" spans="1:18" ht="12" customHeight="1" x14ac:dyDescent="0.35">
      <c r="A1433" s="75">
        <v>1457</v>
      </c>
      <c r="B1433" s="80">
        <v>2014</v>
      </c>
      <c r="C1433" s="80">
        <v>11</v>
      </c>
      <c r="D1433" s="80">
        <f t="shared" si="81"/>
        <v>2014</v>
      </c>
      <c r="E1433" t="s">
        <v>38</v>
      </c>
      <c r="F1433" t="s">
        <v>143</v>
      </c>
      <c r="G1433" t="s">
        <v>86</v>
      </c>
      <c r="H1433" s="72" t="s">
        <v>220</v>
      </c>
      <c r="I1433" s="72" t="s">
        <v>62</v>
      </c>
      <c r="J1433" t="str">
        <f t="shared" si="82"/>
        <v>Skykomish River</v>
      </c>
      <c r="K1433" t="str">
        <f>IFERROR(VLOOKUP(J1433,LUTs!$A$1:$C$73,2,FALSE),"NA")</f>
        <v>Snohomish</v>
      </c>
      <c r="L1433" t="str">
        <f>IFERROR(VLOOKUP(J1433,LUTs!$A$1:$C$73,3,FALSE),"NA")</f>
        <v>2Central Puget Sound</v>
      </c>
      <c r="M1433" s="72" t="s">
        <v>18</v>
      </c>
      <c r="N1433" t="str">
        <f>VLOOKUP(M1433,LUTs!E$2:H$14,3,)</f>
        <v>06King</v>
      </c>
      <c r="O1433" t="str">
        <f>VLOOKUP(M1433,LUTs!E$2:H$14,4,)</f>
        <v>02South Puget Sound</v>
      </c>
      <c r="P1433" s="80">
        <v>19.5</v>
      </c>
      <c r="Q1433" s="103">
        <v>9.75</v>
      </c>
      <c r="R1433" s="74">
        <f>VLOOKUP(B1433,Readme!A$40:C$52,3,)*Q1433</f>
        <v>83.264999999999986</v>
      </c>
    </row>
    <row r="1434" spans="1:18" ht="12" customHeight="1" x14ac:dyDescent="0.35">
      <c r="A1434" s="75">
        <v>1458</v>
      </c>
      <c r="B1434" s="80">
        <v>2014</v>
      </c>
      <c r="C1434" s="80">
        <v>11</v>
      </c>
      <c r="D1434" s="80">
        <f t="shared" si="81"/>
        <v>2014</v>
      </c>
      <c r="E1434" t="s">
        <v>38</v>
      </c>
      <c r="F1434" t="s">
        <v>143</v>
      </c>
      <c r="G1434" t="s">
        <v>86</v>
      </c>
      <c r="H1434" s="72" t="s">
        <v>220</v>
      </c>
      <c r="I1434" s="72" t="s">
        <v>62</v>
      </c>
      <c r="J1434" t="str">
        <f t="shared" si="82"/>
        <v>Skykomish River</v>
      </c>
      <c r="K1434" t="str">
        <f>IFERROR(VLOOKUP(J1434,LUTs!$A$1:$C$73,2,FALSE),"NA")</f>
        <v>Snohomish</v>
      </c>
      <c r="L1434" t="str">
        <f>IFERROR(VLOOKUP(J1434,LUTs!$A$1:$C$73,3,FALSE),"NA")</f>
        <v>2Central Puget Sound</v>
      </c>
      <c r="M1434" s="72" t="s">
        <v>16</v>
      </c>
      <c r="N1434" t="str">
        <f>VLOOKUP(M1434,LUTs!E$2:H$14,3,)</f>
        <v>03Snohomish</v>
      </c>
      <c r="O1434" t="str">
        <f>VLOOKUP(M1434,LUTs!E$2:H$14,4,)</f>
        <v>01North Puget Sound</v>
      </c>
      <c r="P1434" s="80">
        <v>58.5</v>
      </c>
      <c r="Q1434" s="103">
        <v>29.25</v>
      </c>
      <c r="R1434" s="74">
        <f>VLOOKUP(B1434,Readme!A$40:C$52,3,)*Q1434</f>
        <v>249.79499999999999</v>
      </c>
    </row>
    <row r="1435" spans="1:18" ht="12" customHeight="1" x14ac:dyDescent="0.35">
      <c r="A1435" s="75">
        <v>1484</v>
      </c>
      <c r="B1435" s="80">
        <v>2014</v>
      </c>
      <c r="C1435" s="80">
        <v>11</v>
      </c>
      <c r="D1435" s="80">
        <f t="shared" si="81"/>
        <v>2014</v>
      </c>
      <c r="E1435" t="s">
        <v>38</v>
      </c>
      <c r="F1435" t="s">
        <v>143</v>
      </c>
      <c r="G1435" t="s">
        <v>86</v>
      </c>
      <c r="H1435" s="72" t="s">
        <v>247</v>
      </c>
      <c r="I1435" s="72" t="s">
        <v>98</v>
      </c>
      <c r="J1435" t="str">
        <f t="shared" si="82"/>
        <v>Skykomish River, No. Fork</v>
      </c>
      <c r="K1435" t="str">
        <f>IFERROR(VLOOKUP(J1435,LUTs!$A$1:$C$73,2,FALSE),"NA")</f>
        <v>Snohomish</v>
      </c>
      <c r="L1435" t="str">
        <f>IFERROR(VLOOKUP(J1435,LUTs!$A$1:$C$73,3,FALSE),"NA")</f>
        <v>2Central Puget Sound</v>
      </c>
      <c r="M1435" s="72" t="s">
        <v>16</v>
      </c>
      <c r="N1435" t="str">
        <f>VLOOKUP(M1435,LUTs!E$2:H$14,3,)</f>
        <v>03Snohomish</v>
      </c>
      <c r="O1435" t="str">
        <f>VLOOKUP(M1435,LUTs!E$2:H$14,4,)</f>
        <v>01North Puget Sound</v>
      </c>
      <c r="P1435" s="80">
        <v>6</v>
      </c>
      <c r="Q1435" s="103">
        <v>3</v>
      </c>
      <c r="R1435" s="74">
        <f>VLOOKUP(B1435,Readme!A$40:C$52,3,)*Q1435</f>
        <v>25.619999999999997</v>
      </c>
    </row>
    <row r="1436" spans="1:18" ht="12" customHeight="1" x14ac:dyDescent="0.35">
      <c r="A1436" s="75">
        <v>1502</v>
      </c>
      <c r="B1436" s="80">
        <v>2014</v>
      </c>
      <c r="C1436" s="80">
        <v>11</v>
      </c>
      <c r="D1436" s="80">
        <f t="shared" si="81"/>
        <v>2014</v>
      </c>
      <c r="E1436" t="s">
        <v>38</v>
      </c>
      <c r="F1436" t="s">
        <v>143</v>
      </c>
      <c r="G1436" t="s">
        <v>86</v>
      </c>
      <c r="H1436" s="72" t="s">
        <v>221</v>
      </c>
      <c r="I1436" s="72" t="s">
        <v>63</v>
      </c>
      <c r="J1436" t="str">
        <f t="shared" si="82"/>
        <v>Snohomish River</v>
      </c>
      <c r="K1436" t="str">
        <f>IFERROR(VLOOKUP(J1436,LUTs!$A$1:$C$73,2,FALSE),"NA")</f>
        <v>Snohomish</v>
      </c>
      <c r="L1436" t="str">
        <f>IFERROR(VLOOKUP(J1436,LUTs!$A$1:$C$73,3,FALSE),"NA")</f>
        <v>2Central Puget Sound</v>
      </c>
      <c r="M1436" s="72" t="s">
        <v>16</v>
      </c>
      <c r="N1436" t="str">
        <f>VLOOKUP(M1436,LUTs!E$2:H$14,3,)</f>
        <v>03Snohomish</v>
      </c>
      <c r="O1436" t="str">
        <f>VLOOKUP(M1436,LUTs!E$2:H$14,4,)</f>
        <v>01North Puget Sound</v>
      </c>
      <c r="P1436" s="80">
        <v>20</v>
      </c>
      <c r="Q1436" s="103">
        <v>10</v>
      </c>
      <c r="R1436" s="74">
        <f>VLOOKUP(B1436,Readme!A$40:C$52,3,)*Q1436</f>
        <v>85.399999999999991</v>
      </c>
    </row>
    <row r="1437" spans="1:18" ht="12" customHeight="1" x14ac:dyDescent="0.35">
      <c r="A1437" s="75">
        <v>1510</v>
      </c>
      <c r="B1437" s="80">
        <v>2014</v>
      </c>
      <c r="C1437" s="80">
        <v>11</v>
      </c>
      <c r="D1437" s="80">
        <f t="shared" si="81"/>
        <v>2014</v>
      </c>
      <c r="E1437" t="s">
        <v>38</v>
      </c>
      <c r="F1437" t="s">
        <v>143</v>
      </c>
      <c r="G1437" t="s">
        <v>86</v>
      </c>
      <c r="H1437" s="72" t="s">
        <v>222</v>
      </c>
      <c r="I1437" s="72" t="s">
        <v>64</v>
      </c>
      <c r="J1437" t="str">
        <f t="shared" si="82"/>
        <v>Snoqualmie River</v>
      </c>
      <c r="K1437" t="str">
        <f>IFERROR(VLOOKUP(J1437,LUTs!$A$1:$C$73,2,FALSE),"NA")</f>
        <v>Snohomish/King</v>
      </c>
      <c r="L1437" t="str">
        <f>IFERROR(VLOOKUP(J1437,LUTs!$A$1:$C$73,3,FALSE),"NA")</f>
        <v>2Central Puget Sound</v>
      </c>
      <c r="M1437" s="72" t="s">
        <v>18</v>
      </c>
      <c r="N1437" t="str">
        <f>VLOOKUP(M1437,LUTs!E$2:H$14,3,)</f>
        <v>06King</v>
      </c>
      <c r="O1437" t="str">
        <f>VLOOKUP(M1437,LUTs!E$2:H$14,4,)</f>
        <v>02South Puget Sound</v>
      </c>
      <c r="P1437" s="80">
        <v>20</v>
      </c>
      <c r="Q1437" s="103">
        <v>10</v>
      </c>
      <c r="R1437" s="74">
        <f>VLOOKUP(B1437,Readme!A$40:C$52,3,)*Q1437</f>
        <v>85.399999999999991</v>
      </c>
    </row>
    <row r="1438" spans="1:18" ht="12" customHeight="1" x14ac:dyDescent="0.35">
      <c r="A1438" s="75">
        <v>1553</v>
      </c>
      <c r="B1438" s="80">
        <v>2014</v>
      </c>
      <c r="C1438" s="80">
        <v>11</v>
      </c>
      <c r="D1438" s="80">
        <f t="shared" si="81"/>
        <v>2014</v>
      </c>
      <c r="E1438" t="s">
        <v>38</v>
      </c>
      <c r="F1438" t="s">
        <v>143</v>
      </c>
      <c r="G1438" t="s">
        <v>86</v>
      </c>
      <c r="H1438" s="72" t="s">
        <v>223</v>
      </c>
      <c r="I1438" s="72" t="s">
        <v>103</v>
      </c>
      <c r="J1438" t="str">
        <f t="shared" si="82"/>
        <v>Stillaguamish R, No. Fork</v>
      </c>
      <c r="K1438" t="str">
        <f>IFERROR(VLOOKUP(J1438,LUTs!$A$1:$C$73,2,FALSE),"NA")</f>
        <v>Snohomish</v>
      </c>
      <c r="L1438" t="str">
        <f>IFERROR(VLOOKUP(J1438,LUTs!$A$1:$C$73,3,FALSE),"NA")</f>
        <v>2Central Puget Sound</v>
      </c>
      <c r="M1438" s="72" t="s">
        <v>15</v>
      </c>
      <c r="N1438" t="str">
        <f>VLOOKUP(M1438,LUTs!E$2:H$14,3,)</f>
        <v>02Skagit</v>
      </c>
      <c r="O1438" t="str">
        <f>VLOOKUP(M1438,LUTs!E$2:H$14,4,)</f>
        <v>01North Puget Sound</v>
      </c>
      <c r="P1438" s="80">
        <v>6</v>
      </c>
      <c r="Q1438" s="103">
        <v>3</v>
      </c>
      <c r="R1438" s="74">
        <f>VLOOKUP(B1438,Readme!A$40:C$52,3,)*Q1438</f>
        <v>25.619999999999997</v>
      </c>
    </row>
    <row r="1439" spans="1:18" ht="12" customHeight="1" x14ac:dyDescent="0.35">
      <c r="A1439" s="75">
        <v>1554</v>
      </c>
      <c r="B1439" s="80">
        <v>2014</v>
      </c>
      <c r="C1439" s="80">
        <v>11</v>
      </c>
      <c r="D1439" s="80">
        <f t="shared" si="81"/>
        <v>2014</v>
      </c>
      <c r="E1439" t="s">
        <v>38</v>
      </c>
      <c r="F1439" t="s">
        <v>143</v>
      </c>
      <c r="G1439" t="s">
        <v>86</v>
      </c>
      <c r="H1439" s="72" t="s">
        <v>223</v>
      </c>
      <c r="I1439" s="72" t="s">
        <v>103</v>
      </c>
      <c r="J1439" t="str">
        <f t="shared" si="82"/>
        <v>Stillaguamish R, No. Fork</v>
      </c>
      <c r="K1439" t="str">
        <f>IFERROR(VLOOKUP(J1439,LUTs!$A$1:$C$73,2,FALSE),"NA")</f>
        <v>Snohomish</v>
      </c>
      <c r="L1439" t="str">
        <f>IFERROR(VLOOKUP(J1439,LUTs!$A$1:$C$73,3,FALSE),"NA")</f>
        <v>2Central Puget Sound</v>
      </c>
      <c r="M1439" s="72" t="s">
        <v>16</v>
      </c>
      <c r="N1439" t="str">
        <f>VLOOKUP(M1439,LUTs!E$2:H$14,3,)</f>
        <v>03Snohomish</v>
      </c>
      <c r="O1439" t="str">
        <f>VLOOKUP(M1439,LUTs!E$2:H$14,4,)</f>
        <v>01North Puget Sound</v>
      </c>
      <c r="P1439" s="80">
        <v>18</v>
      </c>
      <c r="Q1439" s="103">
        <v>9</v>
      </c>
      <c r="R1439" s="74">
        <f>VLOOKUP(B1439,Readme!A$40:C$52,3,)*Q1439</f>
        <v>76.859999999999985</v>
      </c>
    </row>
    <row r="1440" spans="1:18" ht="12" customHeight="1" x14ac:dyDescent="0.35">
      <c r="A1440" s="75">
        <v>1528</v>
      </c>
      <c r="B1440" s="80">
        <v>2014</v>
      </c>
      <c r="C1440" s="80">
        <v>11</v>
      </c>
      <c r="D1440" s="80">
        <f t="shared" si="81"/>
        <v>2014</v>
      </c>
      <c r="E1440" t="s">
        <v>38</v>
      </c>
      <c r="F1440" t="s">
        <v>143</v>
      </c>
      <c r="G1440" t="s">
        <v>86</v>
      </c>
      <c r="H1440" s="72" t="s">
        <v>229</v>
      </c>
      <c r="I1440" s="72" t="s">
        <v>71</v>
      </c>
      <c r="J1440" t="str">
        <f t="shared" si="82"/>
        <v>Tolt River</v>
      </c>
      <c r="K1440" t="str">
        <f>IFERROR(VLOOKUP(J1440,LUTs!$A$1:$C$73,2,FALSE),"NA")</f>
        <v>King</v>
      </c>
      <c r="L1440" t="str">
        <f>IFERROR(VLOOKUP(J1440,LUTs!$A$1:$C$73,3,FALSE),"NA")</f>
        <v>2Central Puget Sound</v>
      </c>
      <c r="M1440" s="72" t="s">
        <v>18</v>
      </c>
      <c r="N1440" t="str">
        <f>VLOOKUP(M1440,LUTs!E$2:H$14,3,)</f>
        <v>06King</v>
      </c>
      <c r="O1440" t="str">
        <f>VLOOKUP(M1440,LUTs!E$2:H$14,4,)</f>
        <v>02South Puget Sound</v>
      </c>
      <c r="P1440" s="80">
        <v>6</v>
      </c>
      <c r="Q1440" s="103">
        <v>3</v>
      </c>
      <c r="R1440" s="74">
        <f>VLOOKUP(B1440,Readme!A$40:C$52,3,)*Q1440</f>
        <v>25.619999999999997</v>
      </c>
    </row>
    <row r="1441" spans="1:18" ht="12" customHeight="1" x14ac:dyDescent="0.35">
      <c r="A1441" s="75">
        <v>1538</v>
      </c>
      <c r="B1441" s="80">
        <v>2014</v>
      </c>
      <c r="C1441" s="80">
        <v>11</v>
      </c>
      <c r="D1441" s="80">
        <f t="shared" si="81"/>
        <v>2014</v>
      </c>
      <c r="E1441" t="s">
        <v>38</v>
      </c>
      <c r="F1441" t="s">
        <v>143</v>
      </c>
      <c r="G1441" t="s">
        <v>86</v>
      </c>
      <c r="H1441" s="72" t="s">
        <v>233</v>
      </c>
      <c r="I1441" s="72" t="s">
        <v>76</v>
      </c>
      <c r="J1441" t="str">
        <f t="shared" si="82"/>
        <v>Wallace River</v>
      </c>
      <c r="K1441" t="str">
        <f>IFERROR(VLOOKUP(J1441,LUTs!$A$1:$C$73,2,FALSE),"NA")</f>
        <v>Snohomish</v>
      </c>
      <c r="L1441" t="str">
        <f>IFERROR(VLOOKUP(J1441,LUTs!$A$1:$C$73,3,FALSE),"NA")</f>
        <v>2Central Puget Sound</v>
      </c>
      <c r="M1441" s="72" t="s">
        <v>16</v>
      </c>
      <c r="N1441" t="str">
        <f>VLOOKUP(M1441,LUTs!E$2:H$14,3,)</f>
        <v>03Snohomish</v>
      </c>
      <c r="O1441" t="str">
        <f>VLOOKUP(M1441,LUTs!E$2:H$14,4,)</f>
        <v>01North Puget Sound</v>
      </c>
      <c r="P1441" s="80">
        <v>6</v>
      </c>
      <c r="Q1441" s="103">
        <v>3</v>
      </c>
      <c r="R1441" s="74">
        <f>VLOOKUP(B1441,Readme!A$40:C$52,3,)*Q1441</f>
        <v>25.619999999999997</v>
      </c>
    </row>
    <row r="1442" spans="1:18" ht="12" customHeight="1" x14ac:dyDescent="0.35">
      <c r="A1442" s="75">
        <v>1574</v>
      </c>
      <c r="B1442" s="80">
        <v>2014</v>
      </c>
      <c r="C1442" s="80">
        <v>12</v>
      </c>
      <c r="D1442" s="80">
        <f t="shared" si="81"/>
        <v>2014</v>
      </c>
      <c r="E1442" t="s">
        <v>38</v>
      </c>
      <c r="F1442" t="s">
        <v>143</v>
      </c>
      <c r="G1442" t="s">
        <v>86</v>
      </c>
      <c r="H1442" s="72" t="s">
        <v>254</v>
      </c>
      <c r="I1442" s="72" t="s">
        <v>33</v>
      </c>
      <c r="J1442" t="str">
        <f t="shared" si="82"/>
        <v>Area 9: Admiralty Inlet</v>
      </c>
      <c r="K1442" t="str">
        <f>IFERROR(VLOOKUP(J1442,LUTs!$A$1:$C$73,2,FALSE),"NA")</f>
        <v>NA</v>
      </c>
      <c r="L1442" t="str">
        <f>IFERROR(VLOOKUP(J1442,LUTs!$A$1:$C$73,3,FALSE),"NA")</f>
        <v>2Central Puget Sound</v>
      </c>
      <c r="M1442" s="72" t="s">
        <v>17</v>
      </c>
      <c r="N1442" t="str">
        <f>VLOOKUP(M1442,LUTs!E$2:H$14,3,)</f>
        <v>04Island</v>
      </c>
      <c r="O1442" t="str">
        <f>VLOOKUP(M1442,LUTs!E$2:H$14,4,)</f>
        <v>01North Puget Sound</v>
      </c>
      <c r="P1442" s="80">
        <v>3</v>
      </c>
      <c r="Q1442" s="103">
        <v>1.5</v>
      </c>
      <c r="R1442" s="74">
        <f>VLOOKUP(B1442,Readme!A$40:C$52,3,)*Q1442</f>
        <v>12.809999999999999</v>
      </c>
    </row>
    <row r="1443" spans="1:18" ht="12" customHeight="1" x14ac:dyDescent="0.35">
      <c r="A1443" s="75">
        <v>1575</v>
      </c>
      <c r="B1443" s="80">
        <v>2014</v>
      </c>
      <c r="C1443" s="80">
        <v>12</v>
      </c>
      <c r="D1443" s="80">
        <f t="shared" si="81"/>
        <v>2014</v>
      </c>
      <c r="E1443" t="s">
        <v>38</v>
      </c>
      <c r="F1443" t="s">
        <v>143</v>
      </c>
      <c r="G1443" t="s">
        <v>86</v>
      </c>
      <c r="H1443" s="72" t="s">
        <v>254</v>
      </c>
      <c r="I1443" s="72" t="s">
        <v>33</v>
      </c>
      <c r="J1443" t="str">
        <f t="shared" si="82"/>
        <v>Area 9: Admiralty Inlet</v>
      </c>
      <c r="K1443" t="str">
        <f>IFERROR(VLOOKUP(J1443,LUTs!$A$1:$C$73,2,FALSE),"NA")</f>
        <v>NA</v>
      </c>
      <c r="L1443" t="str">
        <f>IFERROR(VLOOKUP(J1443,LUTs!$A$1:$C$73,3,FALSE),"NA")</f>
        <v>2Central Puget Sound</v>
      </c>
      <c r="M1443" s="72" t="s">
        <v>16</v>
      </c>
      <c r="N1443" t="str">
        <f>VLOOKUP(M1443,LUTs!E$2:H$14,3,)</f>
        <v>03Snohomish</v>
      </c>
      <c r="O1443" t="str">
        <f>VLOOKUP(M1443,LUTs!E$2:H$14,4,)</f>
        <v>01North Puget Sound</v>
      </c>
      <c r="P1443" s="80">
        <v>3</v>
      </c>
      <c r="Q1443" s="103">
        <v>1.5</v>
      </c>
      <c r="R1443" s="74">
        <f>VLOOKUP(B1443,Readme!A$40:C$52,3,)*Q1443</f>
        <v>12.809999999999999</v>
      </c>
    </row>
    <row r="1444" spans="1:18" ht="12" customHeight="1" x14ac:dyDescent="0.35">
      <c r="A1444" s="75">
        <v>1406</v>
      </c>
      <c r="B1444" s="80">
        <v>2014</v>
      </c>
      <c r="C1444" s="80">
        <v>12</v>
      </c>
      <c r="D1444" s="80">
        <f t="shared" si="81"/>
        <v>2014</v>
      </c>
      <c r="E1444" t="s">
        <v>38</v>
      </c>
      <c r="F1444" t="s">
        <v>143</v>
      </c>
      <c r="G1444" t="s">
        <v>86</v>
      </c>
      <c r="H1444" s="72" t="s">
        <v>217</v>
      </c>
      <c r="I1444" s="72" t="s">
        <v>59</v>
      </c>
      <c r="J1444" t="str">
        <f t="shared" si="82"/>
        <v>Cascade River</v>
      </c>
      <c r="K1444" t="str">
        <f>IFERROR(VLOOKUP(J1444,LUTs!$A$1:$C$73,2,FALSE),"NA")</f>
        <v>Skagit</v>
      </c>
      <c r="L1444" t="str">
        <f>IFERROR(VLOOKUP(J1444,LUTs!$A$1:$C$73,3,FALSE),"NA")</f>
        <v>1North Puget Sound</v>
      </c>
      <c r="M1444" s="72" t="s">
        <v>17</v>
      </c>
      <c r="N1444" t="str">
        <f>VLOOKUP(M1444,LUTs!E$2:H$14,3,)</f>
        <v>04Island</v>
      </c>
      <c r="O1444" t="str">
        <f>VLOOKUP(M1444,LUTs!E$2:H$14,4,)</f>
        <v>01North Puget Sound</v>
      </c>
      <c r="P1444" s="80">
        <v>6.64</v>
      </c>
      <c r="Q1444" s="103">
        <v>3.32</v>
      </c>
      <c r="R1444" s="74">
        <f>VLOOKUP(B1444,Readme!A$40:C$52,3,)*Q1444</f>
        <v>28.352799999999995</v>
      </c>
    </row>
    <row r="1445" spans="1:18" ht="12" customHeight="1" x14ac:dyDescent="0.35">
      <c r="A1445" s="75">
        <v>1407</v>
      </c>
      <c r="B1445" s="80">
        <v>2014</v>
      </c>
      <c r="C1445" s="80">
        <v>12</v>
      </c>
      <c r="D1445" s="80">
        <f t="shared" si="81"/>
        <v>2014</v>
      </c>
      <c r="E1445" t="s">
        <v>38</v>
      </c>
      <c r="F1445" t="s">
        <v>143</v>
      </c>
      <c r="G1445" t="s">
        <v>86</v>
      </c>
      <c r="H1445" s="72" t="s">
        <v>217</v>
      </c>
      <c r="I1445" s="72" t="s">
        <v>59</v>
      </c>
      <c r="J1445" t="str">
        <f t="shared" si="82"/>
        <v>Cascade River</v>
      </c>
      <c r="K1445" t="str">
        <f>IFERROR(VLOOKUP(J1445,LUTs!$A$1:$C$73,2,FALSE),"NA")</f>
        <v>Skagit</v>
      </c>
      <c r="L1445" t="str">
        <f>IFERROR(VLOOKUP(J1445,LUTs!$A$1:$C$73,3,FALSE),"NA")</f>
        <v>1North Puget Sound</v>
      </c>
      <c r="M1445" s="72" t="s">
        <v>18</v>
      </c>
      <c r="N1445" t="str">
        <f>VLOOKUP(M1445,LUTs!E$2:H$14,3,)</f>
        <v>06King</v>
      </c>
      <c r="O1445" t="str">
        <f>VLOOKUP(M1445,LUTs!E$2:H$14,4,)</f>
        <v>02South Puget Sound</v>
      </c>
      <c r="P1445" s="80">
        <v>19.920000000000002</v>
      </c>
      <c r="Q1445" s="103">
        <v>9.9600000000000009</v>
      </c>
      <c r="R1445" s="74">
        <f>VLOOKUP(B1445,Readme!A$40:C$52,3,)*Q1445</f>
        <v>85.058399999999992</v>
      </c>
    </row>
    <row r="1446" spans="1:18" ht="12" customHeight="1" x14ac:dyDescent="0.35">
      <c r="A1446" s="75">
        <v>1408</v>
      </c>
      <c r="B1446" s="80">
        <v>2014</v>
      </c>
      <c r="C1446" s="80">
        <v>12</v>
      </c>
      <c r="D1446" s="80">
        <f t="shared" si="81"/>
        <v>2014</v>
      </c>
      <c r="E1446" t="s">
        <v>38</v>
      </c>
      <c r="F1446" t="s">
        <v>143</v>
      </c>
      <c r="G1446" t="s">
        <v>86</v>
      </c>
      <c r="H1446" s="72" t="s">
        <v>217</v>
      </c>
      <c r="I1446" s="72" t="s">
        <v>59</v>
      </c>
      <c r="J1446" t="str">
        <f t="shared" si="82"/>
        <v>Cascade River</v>
      </c>
      <c r="K1446" t="str">
        <f>IFERROR(VLOOKUP(J1446,LUTs!$A$1:$C$73,2,FALSE),"NA")</f>
        <v>Skagit</v>
      </c>
      <c r="L1446" t="str">
        <f>IFERROR(VLOOKUP(J1446,LUTs!$A$1:$C$73,3,FALSE),"NA")</f>
        <v>1North Puget Sound</v>
      </c>
      <c r="M1446" s="72" t="s">
        <v>30</v>
      </c>
      <c r="N1446" t="str">
        <f>VLOOKUP(M1446,LUTs!E$2:H$14,3,)</f>
        <v>05San Juan</v>
      </c>
      <c r="O1446" t="str">
        <f>VLOOKUP(M1446,LUTs!E$2:H$14,4,)</f>
        <v>01North Puget Sound</v>
      </c>
      <c r="P1446" s="80">
        <v>26.56</v>
      </c>
      <c r="Q1446" s="103">
        <v>13.28</v>
      </c>
      <c r="R1446" s="74">
        <f>VLOOKUP(B1446,Readme!A$40:C$52,3,)*Q1446</f>
        <v>113.41119999999998</v>
      </c>
    </row>
    <row r="1447" spans="1:18" ht="12" customHeight="1" x14ac:dyDescent="0.35">
      <c r="A1447" s="75">
        <v>1409</v>
      </c>
      <c r="B1447" s="80">
        <v>2014</v>
      </c>
      <c r="C1447" s="80">
        <v>12</v>
      </c>
      <c r="D1447" s="80">
        <f t="shared" si="81"/>
        <v>2014</v>
      </c>
      <c r="E1447" t="s">
        <v>38</v>
      </c>
      <c r="F1447" t="s">
        <v>143</v>
      </c>
      <c r="G1447" t="s">
        <v>86</v>
      </c>
      <c r="H1447" s="72" t="s">
        <v>217</v>
      </c>
      <c r="I1447" s="72" t="s">
        <v>59</v>
      </c>
      <c r="J1447" t="str">
        <f t="shared" si="82"/>
        <v>Cascade River</v>
      </c>
      <c r="K1447" t="str">
        <f>IFERROR(VLOOKUP(J1447,LUTs!$A$1:$C$73,2,FALSE),"NA")</f>
        <v>Skagit</v>
      </c>
      <c r="L1447" t="str">
        <f>IFERROR(VLOOKUP(J1447,LUTs!$A$1:$C$73,3,FALSE),"NA")</f>
        <v>1North Puget Sound</v>
      </c>
      <c r="M1447" s="72" t="s">
        <v>15</v>
      </c>
      <c r="N1447" t="str">
        <f>VLOOKUP(M1447,LUTs!E$2:H$14,3,)</f>
        <v>02Skagit</v>
      </c>
      <c r="O1447" t="str">
        <f>VLOOKUP(M1447,LUTs!E$2:H$14,4,)</f>
        <v>01North Puget Sound</v>
      </c>
      <c r="P1447" s="80">
        <v>132.80000000000001</v>
      </c>
      <c r="Q1447" s="103">
        <v>66.400000000000006</v>
      </c>
      <c r="R1447" s="74">
        <f>VLOOKUP(B1447,Readme!A$40:C$52,3,)*Q1447</f>
        <v>567.05600000000004</v>
      </c>
    </row>
    <row r="1448" spans="1:18" ht="12" customHeight="1" x14ac:dyDescent="0.35">
      <c r="A1448" s="75">
        <v>1410</v>
      </c>
      <c r="B1448" s="80">
        <v>2014</v>
      </c>
      <c r="C1448" s="80">
        <v>12</v>
      </c>
      <c r="D1448" s="80">
        <f t="shared" si="81"/>
        <v>2014</v>
      </c>
      <c r="E1448" t="s">
        <v>38</v>
      </c>
      <c r="F1448" t="s">
        <v>143</v>
      </c>
      <c r="G1448" t="s">
        <v>86</v>
      </c>
      <c r="H1448" s="72" t="s">
        <v>217</v>
      </c>
      <c r="I1448" s="72" t="s">
        <v>59</v>
      </c>
      <c r="J1448" t="str">
        <f t="shared" si="82"/>
        <v>Cascade River</v>
      </c>
      <c r="K1448" t="str">
        <f>IFERROR(VLOOKUP(J1448,LUTs!$A$1:$C$73,2,FALSE),"NA")</f>
        <v>Skagit</v>
      </c>
      <c r="L1448" t="str">
        <f>IFERROR(VLOOKUP(J1448,LUTs!$A$1:$C$73,3,FALSE),"NA")</f>
        <v>1North Puget Sound</v>
      </c>
      <c r="M1448" s="72" t="s">
        <v>16</v>
      </c>
      <c r="N1448" t="str">
        <f>VLOOKUP(M1448,LUTs!E$2:H$14,3,)</f>
        <v>03Snohomish</v>
      </c>
      <c r="O1448" t="str">
        <f>VLOOKUP(M1448,LUTs!E$2:H$14,4,)</f>
        <v>01North Puget Sound</v>
      </c>
      <c r="P1448" s="80">
        <v>46.48</v>
      </c>
      <c r="Q1448" s="103">
        <v>23.24</v>
      </c>
      <c r="R1448" s="74">
        <f>VLOOKUP(B1448,Readme!A$40:C$52,3,)*Q1448</f>
        <v>198.46959999999996</v>
      </c>
    </row>
    <row r="1449" spans="1:18" ht="12" customHeight="1" x14ac:dyDescent="0.35">
      <c r="A1449" s="75">
        <v>1411</v>
      </c>
      <c r="B1449" s="80">
        <v>2014</v>
      </c>
      <c r="C1449" s="80">
        <v>12</v>
      </c>
      <c r="D1449" s="80">
        <f t="shared" si="81"/>
        <v>2014</v>
      </c>
      <c r="E1449" t="s">
        <v>38</v>
      </c>
      <c r="F1449" t="s">
        <v>143</v>
      </c>
      <c r="G1449" t="s">
        <v>86</v>
      </c>
      <c r="H1449" s="72" t="s">
        <v>217</v>
      </c>
      <c r="I1449" s="72" t="s">
        <v>59</v>
      </c>
      <c r="J1449" t="str">
        <f t="shared" si="82"/>
        <v>Cascade River</v>
      </c>
      <c r="K1449" t="str">
        <f>IFERROR(VLOOKUP(J1449,LUTs!$A$1:$C$73,2,FALSE),"NA")</f>
        <v>Skagit</v>
      </c>
      <c r="L1449" t="str">
        <f>IFERROR(VLOOKUP(J1449,LUTs!$A$1:$C$73,3,FALSE),"NA")</f>
        <v>1North Puget Sound</v>
      </c>
      <c r="M1449" s="72" t="s">
        <v>13</v>
      </c>
      <c r="N1449" t="str">
        <f>VLOOKUP(M1449,LUTs!E$2:H$14,3,)</f>
        <v>01Whatcom</v>
      </c>
      <c r="O1449" t="str">
        <f>VLOOKUP(M1449,LUTs!E$2:H$14,4,)</f>
        <v>01North Puget Sound</v>
      </c>
      <c r="P1449" s="80">
        <v>99.6</v>
      </c>
      <c r="Q1449" s="103">
        <v>49.8</v>
      </c>
      <c r="R1449" s="74">
        <f>VLOOKUP(B1449,Readme!A$40:C$52,3,)*Q1449</f>
        <v>425.29199999999992</v>
      </c>
    </row>
    <row r="1450" spans="1:18" ht="12" customHeight="1" x14ac:dyDescent="0.35">
      <c r="A1450" s="75">
        <v>1337</v>
      </c>
      <c r="B1450" s="80">
        <v>2014</v>
      </c>
      <c r="C1450" s="80">
        <v>12</v>
      </c>
      <c r="D1450" s="80">
        <f t="shared" si="81"/>
        <v>2014</v>
      </c>
      <c r="E1450" t="s">
        <v>38</v>
      </c>
      <c r="F1450" t="s">
        <v>143</v>
      </c>
      <c r="G1450" t="s">
        <v>86</v>
      </c>
      <c r="H1450" s="72" t="s">
        <v>234</v>
      </c>
      <c r="I1450" s="72" t="s">
        <v>87</v>
      </c>
      <c r="J1450" t="str">
        <f t="shared" si="82"/>
        <v>Clallam River</v>
      </c>
      <c r="K1450" t="str">
        <f>IFERROR(VLOOKUP(J1450,LUTs!$A$1:$C$73,2,FALSE),"NA")</f>
        <v>Clallam</v>
      </c>
      <c r="L1450" t="str">
        <f>IFERROR(VLOOKUP(J1450,LUTs!$A$1:$C$73,3,FALSE),"NA")</f>
        <v>0Strait of Juan de Fuca</v>
      </c>
      <c r="M1450" s="72" t="s">
        <v>24</v>
      </c>
      <c r="N1450" t="str">
        <f>VLOOKUP(M1450,LUTs!E$2:H$14,3,)</f>
        <v>11Clallam</v>
      </c>
      <c r="O1450" t="str">
        <f>VLOOKUP(M1450,LUTs!E$2:H$14,4,)</f>
        <v>03Strait of Juan de Fuca</v>
      </c>
      <c r="P1450" s="80">
        <v>12</v>
      </c>
      <c r="Q1450" s="103">
        <v>6</v>
      </c>
      <c r="R1450" s="74">
        <f>VLOOKUP(B1450,Readme!A$40:C$52,3,)*Q1450</f>
        <v>51.239999999999995</v>
      </c>
    </row>
    <row r="1451" spans="1:18" ht="12" customHeight="1" x14ac:dyDescent="0.35">
      <c r="A1451" s="75">
        <v>1338</v>
      </c>
      <c r="B1451" s="80">
        <v>2014</v>
      </c>
      <c r="C1451" s="80">
        <v>12</v>
      </c>
      <c r="D1451" s="80">
        <f t="shared" si="81"/>
        <v>2014</v>
      </c>
      <c r="E1451" t="s">
        <v>38</v>
      </c>
      <c r="F1451" t="s">
        <v>143</v>
      </c>
      <c r="G1451" t="s">
        <v>86</v>
      </c>
      <c r="H1451" s="72" t="s">
        <v>234</v>
      </c>
      <c r="I1451" s="72" t="s">
        <v>87</v>
      </c>
      <c r="J1451" t="str">
        <f t="shared" si="82"/>
        <v>Clallam River</v>
      </c>
      <c r="K1451" t="str">
        <f>IFERROR(VLOOKUP(J1451,LUTs!$A$1:$C$73,2,FALSE),"NA")</f>
        <v>Clallam</v>
      </c>
      <c r="L1451" t="str">
        <f>IFERROR(VLOOKUP(J1451,LUTs!$A$1:$C$73,3,FALSE),"NA")</f>
        <v>0Strait of Juan de Fuca</v>
      </c>
      <c r="M1451" s="72" t="s">
        <v>13</v>
      </c>
      <c r="N1451" t="str">
        <f>VLOOKUP(M1451,LUTs!E$2:H$14,3,)</f>
        <v>01Whatcom</v>
      </c>
      <c r="O1451" t="str">
        <f>VLOOKUP(M1451,LUTs!E$2:H$14,4,)</f>
        <v>01North Puget Sound</v>
      </c>
      <c r="P1451" s="80">
        <v>12</v>
      </c>
      <c r="Q1451" s="103">
        <v>6</v>
      </c>
      <c r="R1451" s="74">
        <f>VLOOKUP(B1451,Readme!A$40:C$52,3,)*Q1451</f>
        <v>51.239999999999995</v>
      </c>
    </row>
    <row r="1452" spans="1:18" ht="12" customHeight="1" x14ac:dyDescent="0.35">
      <c r="A1452" s="75">
        <v>1342</v>
      </c>
      <c r="B1452" s="80">
        <v>2014</v>
      </c>
      <c r="C1452" s="80">
        <v>12</v>
      </c>
      <c r="D1452" s="80">
        <f t="shared" si="81"/>
        <v>2014</v>
      </c>
      <c r="E1452" t="s">
        <v>38</v>
      </c>
      <c r="F1452" t="s">
        <v>143</v>
      </c>
      <c r="G1452" t="s">
        <v>86</v>
      </c>
      <c r="H1452" s="72" t="s">
        <v>201</v>
      </c>
      <c r="I1452" s="72" t="s">
        <v>43</v>
      </c>
      <c r="J1452" t="str">
        <f t="shared" si="82"/>
        <v>Dungeness River</v>
      </c>
      <c r="K1452" t="str">
        <f>IFERROR(VLOOKUP(J1452,LUTs!$A$1:$C$73,2,FALSE),"NA")</f>
        <v>Clallam</v>
      </c>
      <c r="L1452" t="str">
        <f>IFERROR(VLOOKUP(J1452,LUTs!$A$1:$C$73,3,FALSE),"NA")</f>
        <v>0Strait of Juan de Fuca</v>
      </c>
      <c r="M1452" s="72" t="s">
        <v>24</v>
      </c>
      <c r="N1452" t="str">
        <f>VLOOKUP(M1452,LUTs!E$2:H$14,3,)</f>
        <v>11Clallam</v>
      </c>
      <c r="O1452" t="str">
        <f>VLOOKUP(M1452,LUTs!E$2:H$14,4,)</f>
        <v>03Strait of Juan de Fuca</v>
      </c>
      <c r="P1452" s="80">
        <v>6</v>
      </c>
      <c r="Q1452" s="103">
        <v>3</v>
      </c>
      <c r="R1452" s="74">
        <f>VLOOKUP(B1452,Readme!A$40:C$52,3,)*Q1452</f>
        <v>25.619999999999997</v>
      </c>
    </row>
    <row r="1453" spans="1:18" ht="12" customHeight="1" x14ac:dyDescent="0.35">
      <c r="A1453" s="75">
        <v>1343</v>
      </c>
      <c r="B1453" s="80">
        <v>2014</v>
      </c>
      <c r="C1453" s="80">
        <v>12</v>
      </c>
      <c r="D1453" s="80">
        <f t="shared" si="81"/>
        <v>2014</v>
      </c>
      <c r="E1453" t="s">
        <v>38</v>
      </c>
      <c r="F1453" t="s">
        <v>143</v>
      </c>
      <c r="G1453" t="s">
        <v>86</v>
      </c>
      <c r="H1453" s="72" t="s">
        <v>201</v>
      </c>
      <c r="I1453" s="72" t="s">
        <v>43</v>
      </c>
      <c r="J1453" t="str">
        <f t="shared" si="82"/>
        <v>Dungeness River</v>
      </c>
      <c r="K1453" t="str">
        <f>IFERROR(VLOOKUP(J1453,LUTs!$A$1:$C$73,2,FALSE),"NA")</f>
        <v>Clallam</v>
      </c>
      <c r="L1453" t="str">
        <f>IFERROR(VLOOKUP(J1453,LUTs!$A$1:$C$73,3,FALSE),"NA")</f>
        <v>0Strait of Juan de Fuca</v>
      </c>
      <c r="M1453" s="72" t="s">
        <v>26</v>
      </c>
      <c r="N1453" t="str">
        <f>VLOOKUP(M1453,LUTs!E$2:H$14,3,)</f>
        <v>20Other</v>
      </c>
      <c r="O1453" t="str">
        <f>VLOOKUP(M1453,LUTs!E$2:H$14,4,)</f>
        <v>07Non Puget Sound</v>
      </c>
      <c r="P1453" s="80">
        <v>12</v>
      </c>
      <c r="Q1453" s="103">
        <v>6</v>
      </c>
      <c r="R1453" s="74">
        <f>VLOOKUP(B1453,Readme!A$40:C$52,3,)*Q1453</f>
        <v>51.239999999999995</v>
      </c>
    </row>
    <row r="1454" spans="1:18" ht="12" customHeight="1" x14ac:dyDescent="0.35">
      <c r="A1454" s="75">
        <v>1358</v>
      </c>
      <c r="B1454" s="80">
        <v>2014</v>
      </c>
      <c r="C1454" s="80">
        <v>12</v>
      </c>
      <c r="D1454" s="80">
        <f t="shared" si="81"/>
        <v>2014</v>
      </c>
      <c r="E1454" t="s">
        <v>38</v>
      </c>
      <c r="F1454" t="s">
        <v>143</v>
      </c>
      <c r="G1454" t="s">
        <v>86</v>
      </c>
      <c r="H1454" s="72" t="s">
        <v>203</v>
      </c>
      <c r="I1454" s="72" t="s">
        <v>89</v>
      </c>
      <c r="J1454" s="84" t="s">
        <v>45</v>
      </c>
      <c r="K1454" t="str">
        <f>IFERROR(VLOOKUP(J1454,LUTs!$A$1:$C$73,2,FALSE),"NA")</f>
        <v>King</v>
      </c>
      <c r="L1454" t="str">
        <f>IFERROR(VLOOKUP(J1454,LUTs!$A$1:$C$73,3,FALSE),"NA")</f>
        <v>3South Puget Sound</v>
      </c>
      <c r="M1454" s="72" t="s">
        <v>18</v>
      </c>
      <c r="N1454" t="str">
        <f>VLOOKUP(M1454,LUTs!E$2:H$14,3,)</f>
        <v>06King</v>
      </c>
      <c r="O1454" t="str">
        <f>VLOOKUP(M1454,LUTs!E$2:H$14,4,)</f>
        <v>02South Puget Sound</v>
      </c>
      <c r="P1454" s="80">
        <v>78.571428571428598</v>
      </c>
      <c r="Q1454" s="103">
        <v>39.285714285714299</v>
      </c>
      <c r="R1454" s="74">
        <f>VLOOKUP(B1454,Readme!A$40:C$52,3,)*Q1454</f>
        <v>335.50000000000006</v>
      </c>
    </row>
    <row r="1455" spans="1:18" ht="12" customHeight="1" x14ac:dyDescent="0.35">
      <c r="A1455" s="75">
        <v>1359</v>
      </c>
      <c r="B1455" s="80">
        <v>2014</v>
      </c>
      <c r="C1455" s="80">
        <v>12</v>
      </c>
      <c r="D1455" s="80">
        <f t="shared" si="81"/>
        <v>2014</v>
      </c>
      <c r="E1455" t="s">
        <v>38</v>
      </c>
      <c r="F1455" t="s">
        <v>143</v>
      </c>
      <c r="G1455" t="s">
        <v>86</v>
      </c>
      <c r="H1455" s="72" t="s">
        <v>203</v>
      </c>
      <c r="I1455" s="72" t="s">
        <v>89</v>
      </c>
      <c r="J1455" s="84" t="s">
        <v>45</v>
      </c>
      <c r="K1455" t="str">
        <f>IFERROR(VLOOKUP(J1455,LUTs!$A$1:$C$73,2,FALSE),"NA")</f>
        <v>King</v>
      </c>
      <c r="L1455" t="str">
        <f>IFERROR(VLOOKUP(J1455,LUTs!$A$1:$C$73,3,FALSE),"NA")</f>
        <v>3South Puget Sound</v>
      </c>
      <c r="M1455" s="72" t="s">
        <v>20</v>
      </c>
      <c r="N1455" t="str">
        <f>VLOOKUP(M1455,LUTs!E$2:H$14,3,)</f>
        <v>07Pierce</v>
      </c>
      <c r="O1455" t="str">
        <f>VLOOKUP(M1455,LUTs!E$2:H$14,4,)</f>
        <v>02South Puget Sound</v>
      </c>
      <c r="P1455" s="80">
        <v>23.571428571428601</v>
      </c>
      <c r="Q1455" s="103">
        <v>11.785714285714301</v>
      </c>
      <c r="R1455" s="74">
        <f>VLOOKUP(B1455,Readme!A$40:C$52,3,)*Q1455</f>
        <v>100.65000000000012</v>
      </c>
    </row>
    <row r="1456" spans="1:18" ht="12" customHeight="1" x14ac:dyDescent="0.35">
      <c r="A1456" s="75">
        <v>1360</v>
      </c>
      <c r="B1456" s="80">
        <v>2014</v>
      </c>
      <c r="C1456" s="80">
        <v>12</v>
      </c>
      <c r="D1456" s="80">
        <f t="shared" si="81"/>
        <v>2014</v>
      </c>
      <c r="E1456" t="s">
        <v>38</v>
      </c>
      <c r="F1456" t="s">
        <v>143</v>
      </c>
      <c r="G1456" t="s">
        <v>86</v>
      </c>
      <c r="H1456" s="72" t="s">
        <v>203</v>
      </c>
      <c r="I1456" s="72" t="s">
        <v>89</v>
      </c>
      <c r="J1456" s="84" t="s">
        <v>45</v>
      </c>
      <c r="K1456" t="str">
        <f>IFERROR(VLOOKUP(J1456,LUTs!$A$1:$C$73,2,FALSE),"NA")</f>
        <v>King</v>
      </c>
      <c r="L1456" t="str">
        <f>IFERROR(VLOOKUP(J1456,LUTs!$A$1:$C$73,3,FALSE),"NA")</f>
        <v>3South Puget Sound</v>
      </c>
      <c r="M1456" s="72" t="s">
        <v>16</v>
      </c>
      <c r="N1456" t="str">
        <f>VLOOKUP(M1456,LUTs!E$2:H$14,3,)</f>
        <v>03Snohomish</v>
      </c>
      <c r="O1456" t="str">
        <f>VLOOKUP(M1456,LUTs!E$2:H$14,4,)</f>
        <v>01North Puget Sound</v>
      </c>
      <c r="P1456" s="80">
        <v>7.8571428571428603</v>
      </c>
      <c r="Q1456" s="103">
        <v>3.9285714285714302</v>
      </c>
      <c r="R1456" s="74">
        <f>VLOOKUP(B1456,Readme!A$40:C$52,3,)*Q1456</f>
        <v>33.550000000000011</v>
      </c>
    </row>
    <row r="1457" spans="1:18" ht="12" customHeight="1" x14ac:dyDescent="0.35">
      <c r="A1457" s="75">
        <v>1367</v>
      </c>
      <c r="B1457" s="80">
        <v>2014</v>
      </c>
      <c r="C1457" s="80">
        <v>12</v>
      </c>
      <c r="D1457" s="80">
        <f t="shared" si="81"/>
        <v>2014</v>
      </c>
      <c r="E1457" t="s">
        <v>38</v>
      </c>
      <c r="F1457" t="s">
        <v>143</v>
      </c>
      <c r="G1457" t="s">
        <v>86</v>
      </c>
      <c r="H1457" s="72" t="s">
        <v>204</v>
      </c>
      <c r="I1457" s="72" t="s">
        <v>46</v>
      </c>
      <c r="J1457" t="str">
        <f t="shared" ref="J1457:J1488" si="83">I1457</f>
        <v>Hoko River</v>
      </c>
      <c r="K1457" t="str">
        <f>IFERROR(VLOOKUP(J1457,LUTs!$A$1:$C$73,2,FALSE),"NA")</f>
        <v>Clallam</v>
      </c>
      <c r="L1457" t="str">
        <f>IFERROR(VLOOKUP(J1457,LUTs!$A$1:$C$73,3,FALSE),"NA")</f>
        <v>0Strait of Juan de Fuca</v>
      </c>
      <c r="M1457" s="72" t="s">
        <v>24</v>
      </c>
      <c r="N1457" t="str">
        <f>VLOOKUP(M1457,LUTs!E$2:H$14,3,)</f>
        <v>11Clallam</v>
      </c>
      <c r="O1457" t="str">
        <f>VLOOKUP(M1457,LUTs!E$2:H$14,4,)</f>
        <v>03Strait of Juan de Fuca</v>
      </c>
      <c r="P1457" s="80">
        <v>168.12121212121201</v>
      </c>
      <c r="Q1457" s="103">
        <v>84.060606060606105</v>
      </c>
      <c r="R1457" s="74">
        <f>VLOOKUP(B1457,Readme!A$40:C$52,3,)*Q1457</f>
        <v>717.8775757575761</v>
      </c>
    </row>
    <row r="1458" spans="1:18" ht="12" customHeight="1" x14ac:dyDescent="0.35">
      <c r="A1458" s="75">
        <v>1368</v>
      </c>
      <c r="B1458" s="80">
        <v>2014</v>
      </c>
      <c r="C1458" s="80">
        <v>12</v>
      </c>
      <c r="D1458" s="80">
        <f t="shared" si="81"/>
        <v>2014</v>
      </c>
      <c r="E1458" t="s">
        <v>38</v>
      </c>
      <c r="F1458" t="s">
        <v>143</v>
      </c>
      <c r="G1458" t="s">
        <v>86</v>
      </c>
      <c r="H1458" s="72" t="s">
        <v>204</v>
      </c>
      <c r="I1458" s="72" t="s">
        <v>46</v>
      </c>
      <c r="J1458" t="str">
        <f t="shared" si="83"/>
        <v>Hoko River</v>
      </c>
      <c r="K1458" t="str">
        <f>IFERROR(VLOOKUP(J1458,LUTs!$A$1:$C$73,2,FALSE),"NA")</f>
        <v>Clallam</v>
      </c>
      <c r="L1458" t="str">
        <f>IFERROR(VLOOKUP(J1458,LUTs!$A$1:$C$73,3,FALSE),"NA")</f>
        <v>0Strait of Juan de Fuca</v>
      </c>
      <c r="M1458" s="72" t="s">
        <v>17</v>
      </c>
      <c r="N1458" t="str">
        <f>VLOOKUP(M1458,LUTs!E$2:H$14,3,)</f>
        <v>04Island</v>
      </c>
      <c r="O1458" t="str">
        <f>VLOOKUP(M1458,LUTs!E$2:H$14,4,)</f>
        <v>01North Puget Sound</v>
      </c>
      <c r="P1458" s="80">
        <v>26.5454545454546</v>
      </c>
      <c r="Q1458" s="103">
        <v>13.2727272727273</v>
      </c>
      <c r="R1458" s="74">
        <f>VLOOKUP(B1458,Readme!A$40:C$52,3,)*Q1458</f>
        <v>113.34909090909113</v>
      </c>
    </row>
    <row r="1459" spans="1:18" ht="12" customHeight="1" x14ac:dyDescent="0.35">
      <c r="A1459" s="75">
        <v>1369</v>
      </c>
      <c r="B1459" s="80">
        <v>2014</v>
      </c>
      <c r="C1459" s="80">
        <v>12</v>
      </c>
      <c r="D1459" s="80">
        <f t="shared" si="81"/>
        <v>2014</v>
      </c>
      <c r="E1459" t="s">
        <v>38</v>
      </c>
      <c r="F1459" t="s">
        <v>143</v>
      </c>
      <c r="G1459" t="s">
        <v>86</v>
      </c>
      <c r="H1459" s="72" t="s">
        <v>204</v>
      </c>
      <c r="I1459" s="72" t="s">
        <v>46</v>
      </c>
      <c r="J1459" t="str">
        <f t="shared" si="83"/>
        <v>Hoko River</v>
      </c>
      <c r="K1459" t="str">
        <f>IFERROR(VLOOKUP(J1459,LUTs!$A$1:$C$73,2,FALSE),"NA")</f>
        <v>Clallam</v>
      </c>
      <c r="L1459" t="str">
        <f>IFERROR(VLOOKUP(J1459,LUTs!$A$1:$C$73,3,FALSE),"NA")</f>
        <v>0Strait of Juan de Fuca</v>
      </c>
      <c r="M1459" s="72" t="s">
        <v>26</v>
      </c>
      <c r="N1459" t="str">
        <f>VLOOKUP(M1459,LUTs!E$2:H$14,3,)</f>
        <v>20Other</v>
      </c>
      <c r="O1459" t="str">
        <f>VLOOKUP(M1459,LUTs!E$2:H$14,4,)</f>
        <v>07Non Puget Sound</v>
      </c>
      <c r="P1459" s="80">
        <v>8.8484848484848495</v>
      </c>
      <c r="Q1459" s="103">
        <v>4.4242424242424301</v>
      </c>
      <c r="R1459" s="74">
        <f>VLOOKUP(B1459,Readme!A$40:C$52,3,)*Q1459</f>
        <v>37.783030303030351</v>
      </c>
    </row>
    <row r="1460" spans="1:18" ht="12" customHeight="1" x14ac:dyDescent="0.35">
      <c r="A1460" s="75">
        <v>1370</v>
      </c>
      <c r="B1460" s="80">
        <v>2014</v>
      </c>
      <c r="C1460" s="80">
        <v>12</v>
      </c>
      <c r="D1460" s="80">
        <f t="shared" si="81"/>
        <v>2014</v>
      </c>
      <c r="E1460" t="s">
        <v>38</v>
      </c>
      <c r="F1460" t="s">
        <v>143</v>
      </c>
      <c r="G1460" t="s">
        <v>86</v>
      </c>
      <c r="H1460" s="72" t="s">
        <v>204</v>
      </c>
      <c r="I1460" s="72" t="s">
        <v>46</v>
      </c>
      <c r="J1460" t="str">
        <f t="shared" si="83"/>
        <v>Hoko River</v>
      </c>
      <c r="K1460" t="str">
        <f>IFERROR(VLOOKUP(J1460,LUTs!$A$1:$C$73,2,FALSE),"NA")</f>
        <v>Clallam</v>
      </c>
      <c r="L1460" t="str">
        <f>IFERROR(VLOOKUP(J1460,LUTs!$A$1:$C$73,3,FALSE),"NA")</f>
        <v>0Strait of Juan de Fuca</v>
      </c>
      <c r="M1460" s="72" t="s">
        <v>20</v>
      </c>
      <c r="N1460" t="str">
        <f>VLOOKUP(M1460,LUTs!E$2:H$14,3,)</f>
        <v>07Pierce</v>
      </c>
      <c r="O1460" t="str">
        <f>VLOOKUP(M1460,LUTs!E$2:H$14,4,)</f>
        <v>02South Puget Sound</v>
      </c>
      <c r="P1460" s="80">
        <v>61.939393939394002</v>
      </c>
      <c r="Q1460" s="103">
        <v>30.969696969697001</v>
      </c>
      <c r="R1460" s="74">
        <f>VLOOKUP(B1460,Readme!A$40:C$52,3,)*Q1460</f>
        <v>264.48121212121237</v>
      </c>
    </row>
    <row r="1461" spans="1:18" ht="12" customHeight="1" x14ac:dyDescent="0.35">
      <c r="A1461" s="75">
        <v>1371</v>
      </c>
      <c r="B1461" s="80">
        <v>2014</v>
      </c>
      <c r="C1461" s="80">
        <v>12</v>
      </c>
      <c r="D1461" s="80">
        <f t="shared" si="81"/>
        <v>2014</v>
      </c>
      <c r="E1461" t="s">
        <v>38</v>
      </c>
      <c r="F1461" t="s">
        <v>143</v>
      </c>
      <c r="G1461" t="s">
        <v>86</v>
      </c>
      <c r="H1461" s="72" t="s">
        <v>204</v>
      </c>
      <c r="I1461" s="72" t="s">
        <v>46</v>
      </c>
      <c r="J1461" t="str">
        <f t="shared" si="83"/>
        <v>Hoko River</v>
      </c>
      <c r="K1461" t="str">
        <f>IFERROR(VLOOKUP(J1461,LUTs!$A$1:$C$73,2,FALSE),"NA")</f>
        <v>Clallam</v>
      </c>
      <c r="L1461" t="str">
        <f>IFERROR(VLOOKUP(J1461,LUTs!$A$1:$C$73,3,FALSE),"NA")</f>
        <v>0Strait of Juan de Fuca</v>
      </c>
      <c r="M1461" s="72" t="s">
        <v>16</v>
      </c>
      <c r="N1461" t="str">
        <f>VLOOKUP(M1461,LUTs!E$2:H$14,3,)</f>
        <v>03Snohomish</v>
      </c>
      <c r="O1461" t="str">
        <f>VLOOKUP(M1461,LUTs!E$2:H$14,4,)</f>
        <v>01North Puget Sound</v>
      </c>
      <c r="P1461" s="80">
        <v>17.696969696969699</v>
      </c>
      <c r="Q1461" s="103">
        <v>8.8484848484848495</v>
      </c>
      <c r="R1461" s="74">
        <f>VLOOKUP(B1461,Readme!A$40:C$52,3,)*Q1461</f>
        <v>75.566060606060603</v>
      </c>
    </row>
    <row r="1462" spans="1:18" ht="12" customHeight="1" x14ac:dyDescent="0.35">
      <c r="A1462" s="75">
        <v>1372</v>
      </c>
      <c r="B1462" s="80">
        <v>2014</v>
      </c>
      <c r="C1462" s="80">
        <v>12</v>
      </c>
      <c r="D1462" s="80">
        <f t="shared" si="81"/>
        <v>2014</v>
      </c>
      <c r="E1462" t="s">
        <v>38</v>
      </c>
      <c r="F1462" t="s">
        <v>143</v>
      </c>
      <c r="G1462" t="s">
        <v>86</v>
      </c>
      <c r="H1462" s="72" t="s">
        <v>204</v>
      </c>
      <c r="I1462" s="72" t="s">
        <v>46</v>
      </c>
      <c r="J1462" t="str">
        <f t="shared" si="83"/>
        <v>Hoko River</v>
      </c>
      <c r="K1462" t="str">
        <f>IFERROR(VLOOKUP(J1462,LUTs!$A$1:$C$73,2,FALSE),"NA")</f>
        <v>Clallam</v>
      </c>
      <c r="L1462" t="str">
        <f>IFERROR(VLOOKUP(J1462,LUTs!$A$1:$C$73,3,FALSE),"NA")</f>
        <v>0Strait of Juan de Fuca</v>
      </c>
      <c r="M1462" s="72" t="s">
        <v>21</v>
      </c>
      <c r="N1462" t="str">
        <f>VLOOKUP(M1462,LUTs!E$2:H$14,3,)</f>
        <v>08Thurston</v>
      </c>
      <c r="O1462" t="str">
        <f>VLOOKUP(M1462,LUTs!E$2:H$14,4,)</f>
        <v>02South Puget Sound</v>
      </c>
      <c r="P1462" s="80">
        <v>8.8484848484848495</v>
      </c>
      <c r="Q1462" s="103">
        <v>4.4242424242424301</v>
      </c>
      <c r="R1462" s="74">
        <f>VLOOKUP(B1462,Readme!A$40:C$52,3,)*Q1462</f>
        <v>37.783030303030351</v>
      </c>
    </row>
    <row r="1463" spans="1:18" ht="12" customHeight="1" x14ac:dyDescent="0.35">
      <c r="A1463" s="75">
        <v>1381</v>
      </c>
      <c r="B1463" s="80">
        <v>2014</v>
      </c>
      <c r="C1463" s="80">
        <v>12</v>
      </c>
      <c r="D1463" s="80">
        <f t="shared" si="81"/>
        <v>2014</v>
      </c>
      <c r="E1463" t="s">
        <v>38</v>
      </c>
      <c r="F1463" t="s">
        <v>143</v>
      </c>
      <c r="G1463" t="s">
        <v>86</v>
      </c>
      <c r="H1463" s="72" t="s">
        <v>237</v>
      </c>
      <c r="I1463" s="72" t="s">
        <v>79</v>
      </c>
      <c r="J1463" t="str">
        <f t="shared" si="83"/>
        <v>Lyre River</v>
      </c>
      <c r="K1463" t="str">
        <f>IFERROR(VLOOKUP(J1463,LUTs!$A$1:$C$73,2,FALSE),"NA")</f>
        <v>Clallam</v>
      </c>
      <c r="L1463" t="str">
        <f>IFERROR(VLOOKUP(J1463,LUTs!$A$1:$C$73,3,FALSE),"NA")</f>
        <v>0Strait of Juan de Fuca</v>
      </c>
      <c r="M1463" s="72" t="s">
        <v>24</v>
      </c>
      <c r="N1463" t="str">
        <f>VLOOKUP(M1463,LUTs!E$2:H$14,3,)</f>
        <v>11Clallam</v>
      </c>
      <c r="O1463" t="str">
        <f>VLOOKUP(M1463,LUTs!E$2:H$14,4,)</f>
        <v>03Strait of Juan de Fuca</v>
      </c>
      <c r="P1463" s="80">
        <v>6</v>
      </c>
      <c r="Q1463" s="103">
        <v>3</v>
      </c>
      <c r="R1463" s="74">
        <f>VLOOKUP(B1463,Readme!A$40:C$52,3,)*Q1463</f>
        <v>25.619999999999997</v>
      </c>
    </row>
    <row r="1464" spans="1:18" ht="12" customHeight="1" x14ac:dyDescent="0.35">
      <c r="A1464" s="75">
        <v>1389</v>
      </c>
      <c r="B1464" s="80">
        <v>2014</v>
      </c>
      <c r="C1464" s="80">
        <v>12</v>
      </c>
      <c r="D1464" s="80">
        <f t="shared" si="81"/>
        <v>2014</v>
      </c>
      <c r="E1464" t="s">
        <v>38</v>
      </c>
      <c r="F1464" t="s">
        <v>143</v>
      </c>
      <c r="G1464" t="s">
        <v>86</v>
      </c>
      <c r="H1464" s="72" t="s">
        <v>241</v>
      </c>
      <c r="I1464" s="72" t="s">
        <v>83</v>
      </c>
      <c r="J1464" t="str">
        <f t="shared" si="83"/>
        <v>Nooksack River, below North Fork</v>
      </c>
      <c r="K1464" t="str">
        <f>IFERROR(VLOOKUP(J1464,LUTs!$A$1:$C$73,2,FALSE),"NA")</f>
        <v>Whatcom</v>
      </c>
      <c r="L1464" t="str">
        <f>IFERROR(VLOOKUP(J1464,LUTs!$A$1:$C$73,3,FALSE),"NA")</f>
        <v>1North Puget Sound</v>
      </c>
      <c r="M1464" s="72" t="s">
        <v>13</v>
      </c>
      <c r="N1464" t="str">
        <f>VLOOKUP(M1464,LUTs!E$2:H$14,3,)</f>
        <v>01Whatcom</v>
      </c>
      <c r="O1464" t="str">
        <f>VLOOKUP(M1464,LUTs!E$2:H$14,4,)</f>
        <v>01North Puget Sound</v>
      </c>
      <c r="P1464" s="80">
        <v>6</v>
      </c>
      <c r="Q1464" s="103">
        <v>3</v>
      </c>
      <c r="R1464" s="74">
        <f>VLOOKUP(B1464,Readme!A$40:C$52,3,)*Q1464</f>
        <v>25.619999999999997</v>
      </c>
    </row>
    <row r="1465" spans="1:18" ht="12" customHeight="1" x14ac:dyDescent="0.35">
      <c r="A1465" s="75">
        <v>1429</v>
      </c>
      <c r="B1465" s="80">
        <v>2014</v>
      </c>
      <c r="C1465" s="80">
        <v>12</v>
      </c>
      <c r="D1465" s="80">
        <f t="shared" si="81"/>
        <v>2014</v>
      </c>
      <c r="E1465" t="s">
        <v>38</v>
      </c>
      <c r="F1465" t="s">
        <v>143</v>
      </c>
      <c r="G1465" t="s">
        <v>86</v>
      </c>
      <c r="H1465" s="72" t="s">
        <v>228</v>
      </c>
      <c r="I1465" s="72" t="s">
        <v>70</v>
      </c>
      <c r="J1465" t="str">
        <f t="shared" si="83"/>
        <v>Pilchuck River (Snohomish System)</v>
      </c>
      <c r="K1465" t="str">
        <f>IFERROR(VLOOKUP(J1465,LUTs!$A$1:$C$73,2,FALSE),"NA")</f>
        <v>Snohomish</v>
      </c>
      <c r="L1465" t="str">
        <f>IFERROR(VLOOKUP(J1465,LUTs!$A$1:$C$73,3,FALSE),"NA")</f>
        <v>2Central Puget Sound</v>
      </c>
      <c r="M1465" s="72" t="s">
        <v>18</v>
      </c>
      <c r="N1465" t="str">
        <f>VLOOKUP(M1465,LUTs!E$2:H$14,3,)</f>
        <v>06King</v>
      </c>
      <c r="O1465" t="str">
        <f>VLOOKUP(M1465,LUTs!E$2:H$14,4,)</f>
        <v>02South Puget Sound</v>
      </c>
      <c r="P1465" s="80">
        <v>19.5</v>
      </c>
      <c r="Q1465" s="103">
        <v>9.75</v>
      </c>
      <c r="R1465" s="74">
        <f>VLOOKUP(B1465,Readme!A$40:C$52,3,)*Q1465</f>
        <v>83.264999999999986</v>
      </c>
    </row>
    <row r="1466" spans="1:18" ht="12" customHeight="1" x14ac:dyDescent="0.35">
      <c r="A1466" s="75">
        <v>1430</v>
      </c>
      <c r="B1466" s="80">
        <v>2014</v>
      </c>
      <c r="C1466" s="80">
        <v>12</v>
      </c>
      <c r="D1466" s="80">
        <f t="shared" si="81"/>
        <v>2014</v>
      </c>
      <c r="E1466" t="s">
        <v>38</v>
      </c>
      <c r="F1466" t="s">
        <v>143</v>
      </c>
      <c r="G1466" t="s">
        <v>86</v>
      </c>
      <c r="H1466" s="72" t="s">
        <v>228</v>
      </c>
      <c r="I1466" s="72" t="s">
        <v>70</v>
      </c>
      <c r="J1466" t="str">
        <f t="shared" si="83"/>
        <v>Pilchuck River (Snohomish System)</v>
      </c>
      <c r="K1466" t="str">
        <f>IFERROR(VLOOKUP(J1466,LUTs!$A$1:$C$73,2,FALSE),"NA")</f>
        <v>Snohomish</v>
      </c>
      <c r="L1466" t="str">
        <f>IFERROR(VLOOKUP(J1466,LUTs!$A$1:$C$73,3,FALSE),"NA")</f>
        <v>2Central Puget Sound</v>
      </c>
      <c r="M1466" s="72" t="s">
        <v>26</v>
      </c>
      <c r="N1466" t="str">
        <f>VLOOKUP(M1466,LUTs!E$2:H$14,3,)</f>
        <v>20Other</v>
      </c>
      <c r="O1466" t="str">
        <f>VLOOKUP(M1466,LUTs!E$2:H$14,4,)</f>
        <v>07Non Puget Sound</v>
      </c>
      <c r="P1466" s="80">
        <v>6.5</v>
      </c>
      <c r="Q1466" s="103">
        <v>3.25</v>
      </c>
      <c r="R1466" s="74">
        <f>VLOOKUP(B1466,Readme!A$40:C$52,3,)*Q1466</f>
        <v>27.754999999999995</v>
      </c>
    </row>
    <row r="1467" spans="1:18" ht="12" customHeight="1" x14ac:dyDescent="0.35">
      <c r="A1467" s="75">
        <v>1391</v>
      </c>
      <c r="B1467" s="80">
        <v>2014</v>
      </c>
      <c r="C1467" s="80">
        <v>12</v>
      </c>
      <c r="D1467" s="80">
        <f t="shared" si="81"/>
        <v>2014</v>
      </c>
      <c r="E1467" t="s">
        <v>38</v>
      </c>
      <c r="F1467" t="s">
        <v>143</v>
      </c>
      <c r="G1467" t="s">
        <v>86</v>
      </c>
      <c r="H1467" s="72" t="s">
        <v>212</v>
      </c>
      <c r="I1467" s="72" t="s">
        <v>54</v>
      </c>
      <c r="J1467" t="str">
        <f t="shared" si="83"/>
        <v>Puyallup River</v>
      </c>
      <c r="K1467" t="str">
        <f>IFERROR(VLOOKUP(J1467,LUTs!$A$1:$C$73,2,FALSE),"NA")</f>
        <v>Pierce</v>
      </c>
      <c r="L1467" t="str">
        <f>IFERROR(VLOOKUP(J1467,LUTs!$A$1:$C$73,3,FALSE),"NA")</f>
        <v>3South Puget Sound</v>
      </c>
      <c r="M1467" s="72" t="s">
        <v>26</v>
      </c>
      <c r="N1467" t="str">
        <f>VLOOKUP(M1467,LUTs!E$2:H$14,3,)</f>
        <v>20Other</v>
      </c>
      <c r="O1467" t="str">
        <f>VLOOKUP(M1467,LUTs!E$2:H$14,4,)</f>
        <v>07Non Puget Sound</v>
      </c>
      <c r="P1467" s="80">
        <v>6</v>
      </c>
      <c r="Q1467" s="103">
        <v>3</v>
      </c>
      <c r="R1467" s="74">
        <f>VLOOKUP(B1467,Readme!A$40:C$52,3,)*Q1467</f>
        <v>25.619999999999997</v>
      </c>
    </row>
    <row r="1468" spans="1:18" ht="12" customHeight="1" x14ac:dyDescent="0.35">
      <c r="A1468" s="75">
        <v>1392</v>
      </c>
      <c r="B1468" s="80">
        <v>2014</v>
      </c>
      <c r="C1468" s="80">
        <v>12</v>
      </c>
      <c r="D1468" s="80">
        <f t="shared" si="81"/>
        <v>2014</v>
      </c>
      <c r="E1468" t="s">
        <v>38</v>
      </c>
      <c r="F1468" t="s">
        <v>143</v>
      </c>
      <c r="G1468" t="s">
        <v>86</v>
      </c>
      <c r="H1468" s="72" t="s">
        <v>212</v>
      </c>
      <c r="I1468" s="72" t="s">
        <v>54</v>
      </c>
      <c r="J1468" t="str">
        <f t="shared" si="83"/>
        <v>Puyallup River</v>
      </c>
      <c r="K1468" t="str">
        <f>IFERROR(VLOOKUP(J1468,LUTs!$A$1:$C$73,2,FALSE),"NA")</f>
        <v>Pierce</v>
      </c>
      <c r="L1468" t="str">
        <f>IFERROR(VLOOKUP(J1468,LUTs!$A$1:$C$73,3,FALSE),"NA")</f>
        <v>3South Puget Sound</v>
      </c>
      <c r="M1468" s="72" t="s">
        <v>20</v>
      </c>
      <c r="N1468" t="str">
        <f>VLOOKUP(M1468,LUTs!E$2:H$14,3,)</f>
        <v>07Pierce</v>
      </c>
      <c r="O1468" t="str">
        <f>VLOOKUP(M1468,LUTs!E$2:H$14,4,)</f>
        <v>02South Puget Sound</v>
      </c>
      <c r="P1468" s="80">
        <v>12</v>
      </c>
      <c r="Q1468" s="103">
        <v>6</v>
      </c>
      <c r="R1468" s="74">
        <f>VLOOKUP(B1468,Readme!A$40:C$52,3,)*Q1468</f>
        <v>51.239999999999995</v>
      </c>
    </row>
    <row r="1469" spans="1:18" ht="12" customHeight="1" x14ac:dyDescent="0.35">
      <c r="A1469" s="75">
        <v>1395</v>
      </c>
      <c r="B1469" s="80">
        <v>2014</v>
      </c>
      <c r="C1469" s="80">
        <v>12</v>
      </c>
      <c r="D1469" s="80">
        <f t="shared" si="81"/>
        <v>2014</v>
      </c>
      <c r="E1469" t="s">
        <v>38</v>
      </c>
      <c r="F1469" t="s">
        <v>143</v>
      </c>
      <c r="G1469" t="s">
        <v>86</v>
      </c>
      <c r="H1469" s="72" t="s">
        <v>227</v>
      </c>
      <c r="I1469" s="72" t="s">
        <v>69</v>
      </c>
      <c r="J1469" t="str">
        <f t="shared" si="83"/>
        <v>Pysht River</v>
      </c>
      <c r="K1469" t="str">
        <f>IFERROR(VLOOKUP(J1469,LUTs!$A$1:$C$73,2,FALSE),"NA")</f>
        <v>Clallam</v>
      </c>
      <c r="L1469" t="str">
        <f>IFERROR(VLOOKUP(J1469,LUTs!$A$1:$C$73,3,FALSE),"NA")</f>
        <v>0Strait of Juan de Fuca</v>
      </c>
      <c r="M1469" s="72" t="s">
        <v>24</v>
      </c>
      <c r="N1469" t="str">
        <f>VLOOKUP(M1469,LUTs!E$2:H$14,3,)</f>
        <v>11Clallam</v>
      </c>
      <c r="O1469" t="str">
        <f>VLOOKUP(M1469,LUTs!E$2:H$14,4,)</f>
        <v>03Strait of Juan de Fuca</v>
      </c>
      <c r="P1469" s="80">
        <v>18</v>
      </c>
      <c r="Q1469" s="103">
        <v>9</v>
      </c>
      <c r="R1469" s="74">
        <f>VLOOKUP(B1469,Readme!A$40:C$52,3,)*Q1469</f>
        <v>76.859999999999985</v>
      </c>
    </row>
    <row r="1470" spans="1:18" ht="12" customHeight="1" x14ac:dyDescent="0.35">
      <c r="A1470" s="75">
        <v>1397</v>
      </c>
      <c r="B1470" s="80">
        <v>2014</v>
      </c>
      <c r="C1470" s="80">
        <v>12</v>
      </c>
      <c r="D1470" s="80">
        <f t="shared" si="81"/>
        <v>2014</v>
      </c>
      <c r="E1470" t="s">
        <v>38</v>
      </c>
      <c r="F1470" t="s">
        <v>143</v>
      </c>
      <c r="G1470" t="s">
        <v>86</v>
      </c>
      <c r="H1470" s="72" t="s">
        <v>243</v>
      </c>
      <c r="I1470" s="72" t="s">
        <v>94</v>
      </c>
      <c r="J1470" t="str">
        <f t="shared" si="83"/>
        <v>Salt Creek (Clallam Co.)</v>
      </c>
      <c r="K1470" t="str">
        <f>IFERROR(VLOOKUP(J1470,LUTs!$A$1:$C$73,2,FALSE),"NA")</f>
        <v>Clallam</v>
      </c>
      <c r="L1470" t="str">
        <f>IFERROR(VLOOKUP(J1470,LUTs!$A$1:$C$73,3,FALSE),"NA")</f>
        <v>0Strait of Juan de Fuca</v>
      </c>
      <c r="M1470" s="72" t="s">
        <v>16</v>
      </c>
      <c r="N1470" t="str">
        <f>VLOOKUP(M1470,LUTs!E$2:H$14,3,)</f>
        <v>03Snohomish</v>
      </c>
      <c r="O1470" t="str">
        <f>VLOOKUP(M1470,LUTs!E$2:H$14,4,)</f>
        <v>01North Puget Sound</v>
      </c>
      <c r="P1470" s="80">
        <v>24</v>
      </c>
      <c r="Q1470" s="103">
        <v>12</v>
      </c>
      <c r="R1470" s="74">
        <f>VLOOKUP(B1470,Readme!A$40:C$52,3,)*Q1470</f>
        <v>102.47999999999999</v>
      </c>
    </row>
    <row r="1471" spans="1:18" ht="12" customHeight="1" x14ac:dyDescent="0.35">
      <c r="A1471" s="75">
        <v>1398</v>
      </c>
      <c r="B1471" s="80">
        <v>2014</v>
      </c>
      <c r="C1471" s="80">
        <v>12</v>
      </c>
      <c r="D1471" s="80">
        <f t="shared" si="81"/>
        <v>2014</v>
      </c>
      <c r="E1471" t="s">
        <v>38</v>
      </c>
      <c r="F1471" t="s">
        <v>143</v>
      </c>
      <c r="G1471" t="s">
        <v>86</v>
      </c>
      <c r="H1471" s="72" t="s">
        <v>214</v>
      </c>
      <c r="I1471" s="72" t="s">
        <v>56</v>
      </c>
      <c r="J1471" t="str">
        <f t="shared" si="83"/>
        <v>Samish River</v>
      </c>
      <c r="K1471" t="str">
        <f>IFERROR(VLOOKUP(J1471,LUTs!$A$1:$C$73,2,FALSE),"NA")</f>
        <v>Skagit</v>
      </c>
      <c r="L1471" t="str">
        <f>IFERROR(VLOOKUP(J1471,LUTs!$A$1:$C$73,3,FALSE),"NA")</f>
        <v>1North Puget Sound</v>
      </c>
      <c r="M1471" s="72" t="s">
        <v>18</v>
      </c>
      <c r="N1471" t="str">
        <f>VLOOKUP(M1471,LUTs!E$2:H$14,3,)</f>
        <v>06King</v>
      </c>
      <c r="O1471" t="str">
        <f>VLOOKUP(M1471,LUTs!E$2:H$14,4,)</f>
        <v>02South Puget Sound</v>
      </c>
      <c r="P1471" s="80">
        <v>6</v>
      </c>
      <c r="Q1471" s="103">
        <v>3</v>
      </c>
      <c r="R1471" s="74">
        <f>VLOOKUP(B1471,Readme!A$40:C$52,3,)*Q1471</f>
        <v>25.619999999999997</v>
      </c>
    </row>
    <row r="1472" spans="1:18" ht="12" customHeight="1" x14ac:dyDescent="0.35">
      <c r="A1472" s="75">
        <v>1399</v>
      </c>
      <c r="B1472" s="80">
        <v>2014</v>
      </c>
      <c r="C1472" s="80">
        <v>12</v>
      </c>
      <c r="D1472" s="80">
        <f t="shared" si="81"/>
        <v>2014</v>
      </c>
      <c r="E1472" t="s">
        <v>38</v>
      </c>
      <c r="F1472" t="s">
        <v>143</v>
      </c>
      <c r="G1472" t="s">
        <v>86</v>
      </c>
      <c r="H1472" s="72" t="s">
        <v>244</v>
      </c>
      <c r="I1472" s="72" t="s">
        <v>95</v>
      </c>
      <c r="J1472" t="str">
        <f t="shared" si="83"/>
        <v>Sekiu River</v>
      </c>
      <c r="K1472" t="str">
        <f>IFERROR(VLOOKUP(J1472,LUTs!$A$1:$C$73,2,FALSE),"NA")</f>
        <v>Clallam</v>
      </c>
      <c r="L1472" t="str">
        <f>IFERROR(VLOOKUP(J1472,LUTs!$A$1:$C$73,3,FALSE),"NA")</f>
        <v>0Strait of Juan de Fuca</v>
      </c>
      <c r="M1472" s="72" t="s">
        <v>20</v>
      </c>
      <c r="N1472" t="str">
        <f>VLOOKUP(M1472,LUTs!E$2:H$14,3,)</f>
        <v>07Pierce</v>
      </c>
      <c r="O1472" t="str">
        <f>VLOOKUP(M1472,LUTs!E$2:H$14,4,)</f>
        <v>02South Puget Sound</v>
      </c>
      <c r="P1472" s="80">
        <v>24</v>
      </c>
      <c r="Q1472" s="103">
        <v>12</v>
      </c>
      <c r="R1472" s="74">
        <f>VLOOKUP(B1472,Readme!A$40:C$52,3,)*Q1472</f>
        <v>102.47999999999999</v>
      </c>
    </row>
    <row r="1473" spans="1:18" ht="12" customHeight="1" x14ac:dyDescent="0.35">
      <c r="A1473" s="75">
        <v>1423</v>
      </c>
      <c r="B1473" s="80">
        <v>2014</v>
      </c>
      <c r="C1473" s="80">
        <v>12</v>
      </c>
      <c r="D1473" s="80">
        <f t="shared" si="81"/>
        <v>2014</v>
      </c>
      <c r="E1473" t="s">
        <v>38</v>
      </c>
      <c r="F1473" t="s">
        <v>143</v>
      </c>
      <c r="G1473" t="s">
        <v>86</v>
      </c>
      <c r="H1473" s="72" t="s">
        <v>218</v>
      </c>
      <c r="I1473" s="72" t="s">
        <v>60</v>
      </c>
      <c r="J1473" t="str">
        <f t="shared" si="83"/>
        <v>Skagit River</v>
      </c>
      <c r="K1473" t="str">
        <f>IFERROR(VLOOKUP(J1473,LUTs!$A$1:$C$73,2,FALSE),"NA")</f>
        <v>Skagit/Whatcom</v>
      </c>
      <c r="L1473" t="str">
        <f>IFERROR(VLOOKUP(J1473,LUTs!$A$1:$C$73,3,FALSE),"NA")</f>
        <v>2Central Puget Sound</v>
      </c>
      <c r="M1473" s="72" t="s">
        <v>26</v>
      </c>
      <c r="N1473" t="str">
        <f>VLOOKUP(M1473,LUTs!E$2:H$14,3,)</f>
        <v>20Other</v>
      </c>
      <c r="O1473" t="str">
        <f>VLOOKUP(M1473,LUTs!E$2:H$14,4,)</f>
        <v>07Non Puget Sound</v>
      </c>
      <c r="P1473" s="80">
        <v>6.5</v>
      </c>
      <c r="Q1473" s="103">
        <v>3.25</v>
      </c>
      <c r="R1473" s="74">
        <f>VLOOKUP(B1473,Readme!A$40:C$52,3,)*Q1473</f>
        <v>27.754999999999995</v>
      </c>
    </row>
    <row r="1474" spans="1:18" ht="12" customHeight="1" x14ac:dyDescent="0.35">
      <c r="A1474" s="75">
        <v>1424</v>
      </c>
      <c r="B1474" s="80">
        <v>2014</v>
      </c>
      <c r="C1474" s="80">
        <v>12</v>
      </c>
      <c r="D1474" s="80">
        <f t="shared" ref="D1474:D1537" si="84">IF(C1474&gt;3,B1474,B1474-1)</f>
        <v>2014</v>
      </c>
      <c r="E1474" t="s">
        <v>38</v>
      </c>
      <c r="F1474" t="s">
        <v>143</v>
      </c>
      <c r="G1474" t="s">
        <v>86</v>
      </c>
      <c r="H1474" s="72" t="s">
        <v>218</v>
      </c>
      <c r="I1474" s="72" t="s">
        <v>60</v>
      </c>
      <c r="J1474" t="str">
        <f t="shared" si="83"/>
        <v>Skagit River</v>
      </c>
      <c r="K1474" t="str">
        <f>IFERROR(VLOOKUP(J1474,LUTs!$A$1:$C$73,2,FALSE),"NA")</f>
        <v>Skagit/Whatcom</v>
      </c>
      <c r="L1474" t="str">
        <f>IFERROR(VLOOKUP(J1474,LUTs!$A$1:$C$73,3,FALSE),"NA")</f>
        <v>2Central Puget Sound</v>
      </c>
      <c r="M1474" s="72" t="s">
        <v>15</v>
      </c>
      <c r="N1474" t="str">
        <f>VLOOKUP(M1474,LUTs!E$2:H$14,3,)</f>
        <v>02Skagit</v>
      </c>
      <c r="O1474" t="str">
        <f>VLOOKUP(M1474,LUTs!E$2:H$14,4,)</f>
        <v>01North Puget Sound</v>
      </c>
      <c r="P1474" s="80">
        <v>19.5</v>
      </c>
      <c r="Q1474" s="103">
        <v>9.75</v>
      </c>
      <c r="R1474" s="74">
        <f>VLOOKUP(B1474,Readme!A$40:C$52,3,)*Q1474</f>
        <v>83.264999999999986</v>
      </c>
    </row>
    <row r="1475" spans="1:18" ht="12" customHeight="1" x14ac:dyDescent="0.35">
      <c r="A1475" s="75">
        <v>1459</v>
      </c>
      <c r="B1475" s="80">
        <v>2014</v>
      </c>
      <c r="C1475" s="80">
        <v>12</v>
      </c>
      <c r="D1475" s="80">
        <f t="shared" si="84"/>
        <v>2014</v>
      </c>
      <c r="E1475" t="s">
        <v>38</v>
      </c>
      <c r="F1475" t="s">
        <v>143</v>
      </c>
      <c r="G1475" t="s">
        <v>86</v>
      </c>
      <c r="H1475" s="72" t="s">
        <v>220</v>
      </c>
      <c r="I1475" s="72" t="s">
        <v>62</v>
      </c>
      <c r="J1475" t="str">
        <f t="shared" si="83"/>
        <v>Skykomish River</v>
      </c>
      <c r="K1475" t="str">
        <f>IFERROR(VLOOKUP(J1475,LUTs!$A$1:$C$73,2,FALSE),"NA")</f>
        <v>Snohomish</v>
      </c>
      <c r="L1475" t="str">
        <f>IFERROR(VLOOKUP(J1475,LUTs!$A$1:$C$73,3,FALSE),"NA")</f>
        <v>2Central Puget Sound</v>
      </c>
      <c r="M1475" s="72" t="s">
        <v>24</v>
      </c>
      <c r="N1475" t="str">
        <f>VLOOKUP(M1475,LUTs!E$2:H$14,3,)</f>
        <v>11Clallam</v>
      </c>
      <c r="O1475" t="str">
        <f>VLOOKUP(M1475,LUTs!E$2:H$14,4,)</f>
        <v>03Strait of Juan de Fuca</v>
      </c>
      <c r="P1475" s="80">
        <v>6.5122807017543902</v>
      </c>
      <c r="Q1475" s="103">
        <v>3.2561403508771898</v>
      </c>
      <c r="R1475" s="74">
        <f>VLOOKUP(B1475,Readme!A$40:C$52,3,)*Q1475</f>
        <v>27.807438596491199</v>
      </c>
    </row>
    <row r="1476" spans="1:18" ht="12" customHeight="1" x14ac:dyDescent="0.35">
      <c r="A1476" s="75">
        <v>1460</v>
      </c>
      <c r="B1476" s="80">
        <v>2014</v>
      </c>
      <c r="C1476" s="80">
        <v>12</v>
      </c>
      <c r="D1476" s="80">
        <f t="shared" si="84"/>
        <v>2014</v>
      </c>
      <c r="E1476" t="s">
        <v>38</v>
      </c>
      <c r="F1476" t="s">
        <v>143</v>
      </c>
      <c r="G1476" t="s">
        <v>86</v>
      </c>
      <c r="H1476" s="72" t="s">
        <v>220</v>
      </c>
      <c r="I1476" s="72" t="s">
        <v>62</v>
      </c>
      <c r="J1476" t="str">
        <f t="shared" si="83"/>
        <v>Skykomish River</v>
      </c>
      <c r="K1476" t="str">
        <f>IFERROR(VLOOKUP(J1476,LUTs!$A$1:$C$73,2,FALSE),"NA")</f>
        <v>Snohomish</v>
      </c>
      <c r="L1476" t="str">
        <f>IFERROR(VLOOKUP(J1476,LUTs!$A$1:$C$73,3,FALSE),"NA")</f>
        <v>2Central Puget Sound</v>
      </c>
      <c r="M1476" s="72" t="s">
        <v>18</v>
      </c>
      <c r="N1476" t="str">
        <f>VLOOKUP(M1476,LUTs!E$2:H$14,3,)</f>
        <v>06King</v>
      </c>
      <c r="O1476" t="str">
        <f>VLOOKUP(M1476,LUTs!E$2:H$14,4,)</f>
        <v>02South Puget Sound</v>
      </c>
      <c r="P1476" s="80">
        <v>846.59649122807002</v>
      </c>
      <c r="Q1476" s="103">
        <v>423.29824561403501</v>
      </c>
      <c r="R1476" s="74">
        <f>VLOOKUP(B1476,Readme!A$40:C$52,3,)*Q1476</f>
        <v>3614.9670175438587</v>
      </c>
    </row>
    <row r="1477" spans="1:18" ht="12" customHeight="1" x14ac:dyDescent="0.35">
      <c r="A1477" s="75">
        <v>1461</v>
      </c>
      <c r="B1477" s="80">
        <v>2014</v>
      </c>
      <c r="C1477" s="80">
        <v>12</v>
      </c>
      <c r="D1477" s="80">
        <f t="shared" si="84"/>
        <v>2014</v>
      </c>
      <c r="E1477" t="s">
        <v>38</v>
      </c>
      <c r="F1477" t="s">
        <v>143</v>
      </c>
      <c r="G1477" t="s">
        <v>86</v>
      </c>
      <c r="H1477" s="72" t="s">
        <v>220</v>
      </c>
      <c r="I1477" s="72" t="s">
        <v>62</v>
      </c>
      <c r="J1477" t="str">
        <f t="shared" si="83"/>
        <v>Skykomish River</v>
      </c>
      <c r="K1477" t="str">
        <f>IFERROR(VLOOKUP(J1477,LUTs!$A$1:$C$73,2,FALSE),"NA")</f>
        <v>Snohomish</v>
      </c>
      <c r="L1477" t="str">
        <f>IFERROR(VLOOKUP(J1477,LUTs!$A$1:$C$73,3,FALSE),"NA")</f>
        <v>2Central Puget Sound</v>
      </c>
      <c r="M1477" s="72" t="s">
        <v>26</v>
      </c>
      <c r="N1477" t="str">
        <f>VLOOKUP(M1477,LUTs!E$2:H$14,3,)</f>
        <v>20Other</v>
      </c>
      <c r="O1477" t="str">
        <f>VLOOKUP(M1477,LUTs!E$2:H$14,4,)</f>
        <v>07Non Puget Sound</v>
      </c>
      <c r="P1477" s="80">
        <v>45.585964912280701</v>
      </c>
      <c r="Q1477" s="103">
        <v>22.7929824561404</v>
      </c>
      <c r="R1477" s="74">
        <f>VLOOKUP(B1477,Readme!A$40:C$52,3,)*Q1477</f>
        <v>194.65207017543901</v>
      </c>
    </row>
    <row r="1478" spans="1:18" ht="12" customHeight="1" x14ac:dyDescent="0.35">
      <c r="A1478" s="75">
        <v>1462</v>
      </c>
      <c r="B1478" s="80">
        <v>2014</v>
      </c>
      <c r="C1478" s="80">
        <v>12</v>
      </c>
      <c r="D1478" s="80">
        <f t="shared" si="84"/>
        <v>2014</v>
      </c>
      <c r="E1478" t="s">
        <v>38</v>
      </c>
      <c r="F1478" t="s">
        <v>143</v>
      </c>
      <c r="G1478" t="s">
        <v>86</v>
      </c>
      <c r="H1478" s="72" t="s">
        <v>220</v>
      </c>
      <c r="I1478" s="72" t="s">
        <v>62</v>
      </c>
      <c r="J1478" t="str">
        <f t="shared" si="83"/>
        <v>Skykomish River</v>
      </c>
      <c r="K1478" t="str">
        <f>IFERROR(VLOOKUP(J1478,LUTs!$A$1:$C$73,2,FALSE),"NA")</f>
        <v>Snohomish</v>
      </c>
      <c r="L1478" t="str">
        <f>IFERROR(VLOOKUP(J1478,LUTs!$A$1:$C$73,3,FALSE),"NA")</f>
        <v>2Central Puget Sound</v>
      </c>
      <c r="M1478" s="72" t="s">
        <v>20</v>
      </c>
      <c r="N1478" t="str">
        <f>VLOOKUP(M1478,LUTs!E$2:H$14,3,)</f>
        <v>07Pierce</v>
      </c>
      <c r="O1478" t="str">
        <f>VLOOKUP(M1478,LUTs!E$2:H$14,4,)</f>
        <v>02South Puget Sound</v>
      </c>
      <c r="P1478" s="80">
        <v>39.073684210526302</v>
      </c>
      <c r="Q1478" s="103">
        <v>19.536842105263201</v>
      </c>
      <c r="R1478" s="74">
        <f>VLOOKUP(B1478,Readme!A$40:C$52,3,)*Q1478</f>
        <v>166.84463157894771</v>
      </c>
    </row>
    <row r="1479" spans="1:18" ht="12" customHeight="1" x14ac:dyDescent="0.35">
      <c r="A1479" s="75">
        <v>1463</v>
      </c>
      <c r="B1479" s="80">
        <v>2014</v>
      </c>
      <c r="C1479" s="80">
        <v>12</v>
      </c>
      <c r="D1479" s="80">
        <f t="shared" si="84"/>
        <v>2014</v>
      </c>
      <c r="E1479" t="s">
        <v>38</v>
      </c>
      <c r="F1479" t="s">
        <v>143</v>
      </c>
      <c r="G1479" t="s">
        <v>86</v>
      </c>
      <c r="H1479" s="72" t="s">
        <v>220</v>
      </c>
      <c r="I1479" s="72" t="s">
        <v>62</v>
      </c>
      <c r="J1479" t="str">
        <f t="shared" si="83"/>
        <v>Skykomish River</v>
      </c>
      <c r="K1479" t="str">
        <f>IFERROR(VLOOKUP(J1479,LUTs!$A$1:$C$73,2,FALSE),"NA")</f>
        <v>Snohomish</v>
      </c>
      <c r="L1479" t="str">
        <f>IFERROR(VLOOKUP(J1479,LUTs!$A$1:$C$73,3,FALSE),"NA")</f>
        <v>2Central Puget Sound</v>
      </c>
      <c r="M1479" s="72" t="s">
        <v>16</v>
      </c>
      <c r="N1479" t="str">
        <f>VLOOKUP(M1479,LUTs!E$2:H$14,3,)</f>
        <v>03Snohomish</v>
      </c>
      <c r="O1479" t="str">
        <f>VLOOKUP(M1479,LUTs!E$2:H$14,4,)</f>
        <v>01North Puget Sound</v>
      </c>
      <c r="P1479" s="80">
        <v>911.71929824561403</v>
      </c>
      <c r="Q1479" s="103">
        <v>455.85964912280701</v>
      </c>
      <c r="R1479" s="74">
        <f>VLOOKUP(B1479,Readme!A$40:C$52,3,)*Q1479</f>
        <v>3893.0414035087715</v>
      </c>
    </row>
    <row r="1480" spans="1:18" ht="12" customHeight="1" x14ac:dyDescent="0.35">
      <c r="A1480" s="75">
        <v>1464</v>
      </c>
      <c r="B1480" s="80">
        <v>2014</v>
      </c>
      <c r="C1480" s="80">
        <v>12</v>
      </c>
      <c r="D1480" s="80">
        <f t="shared" si="84"/>
        <v>2014</v>
      </c>
      <c r="E1480" t="s">
        <v>38</v>
      </c>
      <c r="F1480" t="s">
        <v>143</v>
      </c>
      <c r="G1480" t="s">
        <v>86</v>
      </c>
      <c r="H1480" s="72" t="s">
        <v>220</v>
      </c>
      <c r="I1480" s="72" t="s">
        <v>62</v>
      </c>
      <c r="J1480" t="str">
        <f t="shared" si="83"/>
        <v>Skykomish River</v>
      </c>
      <c r="K1480" t="str">
        <f>IFERROR(VLOOKUP(J1480,LUTs!$A$1:$C$73,2,FALSE),"NA")</f>
        <v>Snohomish</v>
      </c>
      <c r="L1480" t="str">
        <f>IFERROR(VLOOKUP(J1480,LUTs!$A$1:$C$73,3,FALSE),"NA")</f>
        <v>2Central Puget Sound</v>
      </c>
      <c r="M1480" s="72" t="s">
        <v>13</v>
      </c>
      <c r="N1480" t="str">
        <f>VLOOKUP(M1480,LUTs!E$2:H$14,3,)</f>
        <v>01Whatcom</v>
      </c>
      <c r="O1480" t="str">
        <f>VLOOKUP(M1480,LUTs!E$2:H$14,4,)</f>
        <v>01North Puget Sound</v>
      </c>
      <c r="P1480" s="80">
        <v>6.5122807017543902</v>
      </c>
      <c r="Q1480" s="103">
        <v>3.2561403508771898</v>
      </c>
      <c r="R1480" s="74">
        <f>VLOOKUP(B1480,Readme!A$40:C$52,3,)*Q1480</f>
        <v>27.807438596491199</v>
      </c>
    </row>
    <row r="1481" spans="1:18" ht="12" customHeight="1" x14ac:dyDescent="0.35">
      <c r="A1481" s="75">
        <v>1485</v>
      </c>
      <c r="B1481" s="80">
        <v>2014</v>
      </c>
      <c r="C1481" s="80">
        <v>12</v>
      </c>
      <c r="D1481" s="80">
        <f t="shared" si="84"/>
        <v>2014</v>
      </c>
      <c r="E1481" t="s">
        <v>38</v>
      </c>
      <c r="F1481" t="s">
        <v>143</v>
      </c>
      <c r="G1481" t="s">
        <v>86</v>
      </c>
      <c r="H1481" s="72" t="s">
        <v>247</v>
      </c>
      <c r="I1481" s="72" t="s">
        <v>98</v>
      </c>
      <c r="J1481" t="str">
        <f t="shared" si="83"/>
        <v>Skykomish River, No. Fork</v>
      </c>
      <c r="K1481" t="str">
        <f>IFERROR(VLOOKUP(J1481,LUTs!$A$1:$C$73,2,FALSE),"NA")</f>
        <v>Snohomish</v>
      </c>
      <c r="L1481" t="str">
        <f>IFERROR(VLOOKUP(J1481,LUTs!$A$1:$C$73,3,FALSE),"NA")</f>
        <v>2Central Puget Sound</v>
      </c>
      <c r="M1481" s="72" t="s">
        <v>18</v>
      </c>
      <c r="N1481" t="str">
        <f>VLOOKUP(M1481,LUTs!E$2:H$14,3,)</f>
        <v>06King</v>
      </c>
      <c r="O1481" t="str">
        <f>VLOOKUP(M1481,LUTs!E$2:H$14,4,)</f>
        <v>02South Puget Sound</v>
      </c>
      <c r="P1481" s="80">
        <v>6.5185185185185199</v>
      </c>
      <c r="Q1481" s="103">
        <v>3.25925925925926</v>
      </c>
      <c r="R1481" s="74">
        <f>VLOOKUP(B1481,Readme!A$40:C$52,3,)*Q1481</f>
        <v>27.834074074074078</v>
      </c>
    </row>
    <row r="1482" spans="1:18" ht="12" customHeight="1" x14ac:dyDescent="0.35">
      <c r="A1482" s="75">
        <v>1486</v>
      </c>
      <c r="B1482" s="80">
        <v>2014</v>
      </c>
      <c r="C1482" s="80">
        <v>12</v>
      </c>
      <c r="D1482" s="80">
        <f t="shared" si="84"/>
        <v>2014</v>
      </c>
      <c r="E1482" t="s">
        <v>38</v>
      </c>
      <c r="F1482" t="s">
        <v>143</v>
      </c>
      <c r="G1482" t="s">
        <v>86</v>
      </c>
      <c r="H1482" s="72" t="s">
        <v>247</v>
      </c>
      <c r="I1482" s="72" t="s">
        <v>98</v>
      </c>
      <c r="J1482" t="str">
        <f t="shared" si="83"/>
        <v>Skykomish River, No. Fork</v>
      </c>
      <c r="K1482" t="str">
        <f>IFERROR(VLOOKUP(J1482,LUTs!$A$1:$C$73,2,FALSE),"NA")</f>
        <v>Snohomish</v>
      </c>
      <c r="L1482" t="str">
        <f>IFERROR(VLOOKUP(J1482,LUTs!$A$1:$C$73,3,FALSE),"NA")</f>
        <v>2Central Puget Sound</v>
      </c>
      <c r="M1482" s="72" t="s">
        <v>16</v>
      </c>
      <c r="N1482" t="str">
        <f>VLOOKUP(M1482,LUTs!E$2:H$14,3,)</f>
        <v>03Snohomish</v>
      </c>
      <c r="O1482" t="str">
        <f>VLOOKUP(M1482,LUTs!E$2:H$14,4,)</f>
        <v>01North Puget Sound</v>
      </c>
      <c r="P1482" s="80">
        <v>169.48148148148201</v>
      </c>
      <c r="Q1482" s="103">
        <v>84.740740740740804</v>
      </c>
      <c r="R1482" s="74">
        <f>VLOOKUP(B1482,Readme!A$40:C$52,3,)*Q1482</f>
        <v>723.68592592592643</v>
      </c>
    </row>
    <row r="1483" spans="1:18" ht="12" customHeight="1" x14ac:dyDescent="0.35">
      <c r="A1483" s="75">
        <v>1495</v>
      </c>
      <c r="B1483" s="80">
        <v>2014</v>
      </c>
      <c r="C1483" s="80">
        <v>12</v>
      </c>
      <c r="D1483" s="80">
        <f t="shared" si="84"/>
        <v>2014</v>
      </c>
      <c r="E1483" t="s">
        <v>38</v>
      </c>
      <c r="F1483" t="s">
        <v>143</v>
      </c>
      <c r="G1483" t="s">
        <v>86</v>
      </c>
      <c r="H1483" s="72" t="s">
        <v>248</v>
      </c>
      <c r="I1483" s="72" t="s">
        <v>99</v>
      </c>
      <c r="J1483" t="str">
        <f t="shared" si="83"/>
        <v>Skykomish River, So. Fork</v>
      </c>
      <c r="K1483" t="str">
        <f>IFERROR(VLOOKUP(J1483,LUTs!$A$1:$C$73,2,FALSE),"NA")</f>
        <v>Snohomish/King</v>
      </c>
      <c r="L1483" t="str">
        <f>IFERROR(VLOOKUP(J1483,LUTs!$A$1:$C$73,3,FALSE),"NA")</f>
        <v>2Central Puget Sound</v>
      </c>
      <c r="M1483" s="72" t="s">
        <v>18</v>
      </c>
      <c r="N1483" t="str">
        <f>VLOOKUP(M1483,LUTs!E$2:H$14,3,)</f>
        <v>06King</v>
      </c>
      <c r="O1483" t="str">
        <f>VLOOKUP(M1483,LUTs!E$2:H$14,4,)</f>
        <v>02South Puget Sound</v>
      </c>
      <c r="P1483" s="80">
        <v>6</v>
      </c>
      <c r="Q1483" s="103">
        <v>3</v>
      </c>
      <c r="R1483" s="74">
        <f>VLOOKUP(B1483,Readme!A$40:C$52,3,)*Q1483</f>
        <v>25.619999999999997</v>
      </c>
    </row>
    <row r="1484" spans="1:18" ht="12" customHeight="1" x14ac:dyDescent="0.35">
      <c r="A1484" s="75">
        <v>1503</v>
      </c>
      <c r="B1484" s="80">
        <v>2014</v>
      </c>
      <c r="C1484" s="80">
        <v>12</v>
      </c>
      <c r="D1484" s="80">
        <f t="shared" si="84"/>
        <v>2014</v>
      </c>
      <c r="E1484" t="s">
        <v>38</v>
      </c>
      <c r="F1484" t="s">
        <v>143</v>
      </c>
      <c r="G1484" t="s">
        <v>86</v>
      </c>
      <c r="H1484" s="72" t="s">
        <v>221</v>
      </c>
      <c r="I1484" s="72" t="s">
        <v>63</v>
      </c>
      <c r="J1484" t="str">
        <f t="shared" si="83"/>
        <v>Snohomish River</v>
      </c>
      <c r="K1484" t="str">
        <f>IFERROR(VLOOKUP(J1484,LUTs!$A$1:$C$73,2,FALSE),"NA")</f>
        <v>Snohomish</v>
      </c>
      <c r="L1484" t="str">
        <f>IFERROR(VLOOKUP(J1484,LUTs!$A$1:$C$73,3,FALSE),"NA")</f>
        <v>2Central Puget Sound</v>
      </c>
      <c r="M1484" s="72" t="s">
        <v>18</v>
      </c>
      <c r="N1484" t="str">
        <f>VLOOKUP(M1484,LUTs!E$2:H$14,3,)</f>
        <v>06King</v>
      </c>
      <c r="O1484" t="str">
        <f>VLOOKUP(M1484,LUTs!E$2:H$14,4,)</f>
        <v>02South Puget Sound</v>
      </c>
      <c r="P1484" s="80">
        <v>6.5238095238095299</v>
      </c>
      <c r="Q1484" s="103">
        <v>3.2619047619047601</v>
      </c>
      <c r="R1484" s="74">
        <f>VLOOKUP(B1484,Readme!A$40:C$52,3,)*Q1484</f>
        <v>27.856666666666648</v>
      </c>
    </row>
    <row r="1485" spans="1:18" ht="12" customHeight="1" x14ac:dyDescent="0.35">
      <c r="A1485" s="75">
        <v>1504</v>
      </c>
      <c r="B1485" s="80">
        <v>2014</v>
      </c>
      <c r="C1485" s="80">
        <v>12</v>
      </c>
      <c r="D1485" s="80">
        <f t="shared" si="84"/>
        <v>2014</v>
      </c>
      <c r="E1485" t="s">
        <v>38</v>
      </c>
      <c r="F1485" t="s">
        <v>143</v>
      </c>
      <c r="G1485" t="s">
        <v>86</v>
      </c>
      <c r="H1485" s="72" t="s">
        <v>221</v>
      </c>
      <c r="I1485" s="72" t="s">
        <v>63</v>
      </c>
      <c r="J1485" t="str">
        <f t="shared" si="83"/>
        <v>Snohomish River</v>
      </c>
      <c r="K1485" t="str">
        <f>IFERROR(VLOOKUP(J1485,LUTs!$A$1:$C$73,2,FALSE),"NA")</f>
        <v>Snohomish</v>
      </c>
      <c r="L1485" t="str">
        <f>IFERROR(VLOOKUP(J1485,LUTs!$A$1:$C$73,3,FALSE),"NA")</f>
        <v>2Central Puget Sound</v>
      </c>
      <c r="M1485" s="72" t="s">
        <v>16</v>
      </c>
      <c r="N1485" t="str">
        <f>VLOOKUP(M1485,LUTs!E$2:H$14,3,)</f>
        <v>03Snohomish</v>
      </c>
      <c r="O1485" t="str">
        <f>VLOOKUP(M1485,LUTs!E$2:H$14,4,)</f>
        <v>01North Puget Sound</v>
      </c>
      <c r="P1485" s="80">
        <v>267.47619047619099</v>
      </c>
      <c r="Q1485" s="103">
        <v>133.73809523809501</v>
      </c>
      <c r="R1485" s="74">
        <f>VLOOKUP(B1485,Readme!A$40:C$52,3,)*Q1485</f>
        <v>1142.1233333333314</v>
      </c>
    </row>
    <row r="1486" spans="1:18" ht="12" customHeight="1" x14ac:dyDescent="0.35">
      <c r="A1486" s="75">
        <v>1511</v>
      </c>
      <c r="B1486" s="80">
        <v>2014</v>
      </c>
      <c r="C1486" s="80">
        <v>12</v>
      </c>
      <c r="D1486" s="80">
        <f t="shared" si="84"/>
        <v>2014</v>
      </c>
      <c r="E1486" t="s">
        <v>38</v>
      </c>
      <c r="F1486" t="s">
        <v>143</v>
      </c>
      <c r="G1486" t="s">
        <v>86</v>
      </c>
      <c r="H1486" s="72" t="s">
        <v>222</v>
      </c>
      <c r="I1486" s="72" t="s">
        <v>64</v>
      </c>
      <c r="J1486" t="str">
        <f t="shared" si="83"/>
        <v>Snoqualmie River</v>
      </c>
      <c r="K1486" t="str">
        <f>IFERROR(VLOOKUP(J1486,LUTs!$A$1:$C$73,2,FALSE),"NA")</f>
        <v>Snohomish/King</v>
      </c>
      <c r="L1486" t="str">
        <f>IFERROR(VLOOKUP(J1486,LUTs!$A$1:$C$73,3,FALSE),"NA")</f>
        <v>2Central Puget Sound</v>
      </c>
      <c r="M1486" s="72" t="s">
        <v>18</v>
      </c>
      <c r="N1486" t="str">
        <f>VLOOKUP(M1486,LUTs!E$2:H$14,3,)</f>
        <v>06King</v>
      </c>
      <c r="O1486" t="str">
        <f>VLOOKUP(M1486,LUTs!E$2:H$14,4,)</f>
        <v>02South Puget Sound</v>
      </c>
      <c r="P1486" s="80">
        <v>859.44525547445301</v>
      </c>
      <c r="Q1486" s="103">
        <v>429.72262773722599</v>
      </c>
      <c r="R1486" s="74">
        <f>VLOOKUP(B1486,Readme!A$40:C$52,3,)*Q1486</f>
        <v>3669.8312408759098</v>
      </c>
    </row>
    <row r="1487" spans="1:18" ht="12" customHeight="1" x14ac:dyDescent="0.35">
      <c r="A1487" s="75">
        <v>1512</v>
      </c>
      <c r="B1487" s="80">
        <v>2014</v>
      </c>
      <c r="C1487" s="80">
        <v>12</v>
      </c>
      <c r="D1487" s="80">
        <f t="shared" si="84"/>
        <v>2014</v>
      </c>
      <c r="E1487" t="s">
        <v>38</v>
      </c>
      <c r="F1487" t="s">
        <v>143</v>
      </c>
      <c r="G1487" t="s">
        <v>86</v>
      </c>
      <c r="H1487" s="72" t="s">
        <v>222</v>
      </c>
      <c r="I1487" s="72" t="s">
        <v>64</v>
      </c>
      <c r="J1487" t="str">
        <f t="shared" si="83"/>
        <v>Snoqualmie River</v>
      </c>
      <c r="K1487" t="str">
        <f>IFERROR(VLOOKUP(J1487,LUTs!$A$1:$C$73,2,FALSE),"NA")</f>
        <v>Snohomish/King</v>
      </c>
      <c r="L1487" t="str">
        <f>IFERROR(VLOOKUP(J1487,LUTs!$A$1:$C$73,3,FALSE),"NA")</f>
        <v>2Central Puget Sound</v>
      </c>
      <c r="M1487" s="72" t="s">
        <v>26</v>
      </c>
      <c r="N1487" t="str">
        <f>VLOOKUP(M1487,LUTs!E$2:H$14,3,)</f>
        <v>20Other</v>
      </c>
      <c r="O1487" t="str">
        <f>VLOOKUP(M1487,LUTs!E$2:H$14,4,)</f>
        <v>07Non Puget Sound</v>
      </c>
      <c r="P1487" s="80">
        <v>13.021897810219</v>
      </c>
      <c r="Q1487" s="103">
        <v>6.5109489051094904</v>
      </c>
      <c r="R1487" s="74">
        <f>VLOOKUP(B1487,Readme!A$40:C$52,3,)*Q1487</f>
        <v>55.603503649635044</v>
      </c>
    </row>
    <row r="1488" spans="1:18" ht="12" customHeight="1" x14ac:dyDescent="0.35">
      <c r="A1488" s="75">
        <v>1513</v>
      </c>
      <c r="B1488" s="80">
        <v>2014</v>
      </c>
      <c r="C1488" s="80">
        <v>12</v>
      </c>
      <c r="D1488" s="80">
        <f t="shared" si="84"/>
        <v>2014</v>
      </c>
      <c r="E1488" t="s">
        <v>38</v>
      </c>
      <c r="F1488" t="s">
        <v>143</v>
      </c>
      <c r="G1488" t="s">
        <v>86</v>
      </c>
      <c r="H1488" s="72" t="s">
        <v>222</v>
      </c>
      <c r="I1488" s="72" t="s">
        <v>64</v>
      </c>
      <c r="J1488" t="str">
        <f t="shared" si="83"/>
        <v>Snoqualmie River</v>
      </c>
      <c r="K1488" t="str">
        <f>IFERROR(VLOOKUP(J1488,LUTs!$A$1:$C$73,2,FALSE),"NA")</f>
        <v>Snohomish/King</v>
      </c>
      <c r="L1488" t="str">
        <f>IFERROR(VLOOKUP(J1488,LUTs!$A$1:$C$73,3,FALSE),"NA")</f>
        <v>2Central Puget Sound</v>
      </c>
      <c r="M1488" s="72" t="s">
        <v>20</v>
      </c>
      <c r="N1488" t="str">
        <f>VLOOKUP(M1488,LUTs!E$2:H$14,3,)</f>
        <v>07Pierce</v>
      </c>
      <c r="O1488" t="str">
        <f>VLOOKUP(M1488,LUTs!E$2:H$14,4,)</f>
        <v>02South Puget Sound</v>
      </c>
      <c r="P1488" s="80">
        <v>13.021897810219</v>
      </c>
      <c r="Q1488" s="103">
        <v>6.5109489051094904</v>
      </c>
      <c r="R1488" s="74">
        <f>VLOOKUP(B1488,Readme!A$40:C$52,3,)*Q1488</f>
        <v>55.603503649635044</v>
      </c>
    </row>
    <row r="1489" spans="1:18" ht="12" customHeight="1" x14ac:dyDescent="0.35">
      <c r="A1489" s="75">
        <v>1514</v>
      </c>
      <c r="B1489" s="80">
        <v>2014</v>
      </c>
      <c r="C1489" s="80">
        <v>12</v>
      </c>
      <c r="D1489" s="80">
        <f t="shared" si="84"/>
        <v>2014</v>
      </c>
      <c r="E1489" t="s">
        <v>38</v>
      </c>
      <c r="F1489" t="s">
        <v>143</v>
      </c>
      <c r="G1489" t="s">
        <v>86</v>
      </c>
      <c r="H1489" s="72" t="s">
        <v>222</v>
      </c>
      <c r="I1489" s="72" t="s">
        <v>64</v>
      </c>
      <c r="J1489" t="str">
        <f t="shared" ref="J1489:J1516" si="85">I1489</f>
        <v>Snoqualmie River</v>
      </c>
      <c r="K1489" t="str">
        <f>IFERROR(VLOOKUP(J1489,LUTs!$A$1:$C$73,2,FALSE),"NA")</f>
        <v>Snohomish/King</v>
      </c>
      <c r="L1489" t="str">
        <f>IFERROR(VLOOKUP(J1489,LUTs!$A$1:$C$73,3,FALSE),"NA")</f>
        <v>2Central Puget Sound</v>
      </c>
      <c r="M1489" s="72" t="s">
        <v>16</v>
      </c>
      <c r="N1489" t="str">
        <f>VLOOKUP(M1489,LUTs!E$2:H$14,3,)</f>
        <v>03Snohomish</v>
      </c>
      <c r="O1489" t="str">
        <f>VLOOKUP(M1489,LUTs!E$2:H$14,4,)</f>
        <v>01North Puget Sound</v>
      </c>
      <c r="P1489" s="80">
        <v>6.5109489051094904</v>
      </c>
      <c r="Q1489" s="103">
        <v>3.2554744525547501</v>
      </c>
      <c r="R1489" s="74">
        <f>VLOOKUP(B1489,Readme!A$40:C$52,3,)*Q1489</f>
        <v>27.801751824817565</v>
      </c>
    </row>
    <row r="1490" spans="1:18" ht="12" customHeight="1" x14ac:dyDescent="0.35">
      <c r="A1490" s="75">
        <v>1555</v>
      </c>
      <c r="B1490" s="80">
        <v>2014</v>
      </c>
      <c r="C1490" s="80">
        <v>12</v>
      </c>
      <c r="D1490" s="80">
        <f t="shared" si="84"/>
        <v>2014</v>
      </c>
      <c r="E1490" t="s">
        <v>38</v>
      </c>
      <c r="F1490" t="s">
        <v>143</v>
      </c>
      <c r="G1490" t="s">
        <v>86</v>
      </c>
      <c r="H1490" s="72" t="s">
        <v>223</v>
      </c>
      <c r="I1490" s="72" t="s">
        <v>103</v>
      </c>
      <c r="J1490" t="str">
        <f t="shared" si="85"/>
        <v>Stillaguamish R, No. Fork</v>
      </c>
      <c r="K1490" t="str">
        <f>IFERROR(VLOOKUP(J1490,LUTs!$A$1:$C$73,2,FALSE),"NA")</f>
        <v>Snohomish</v>
      </c>
      <c r="L1490" t="str">
        <f>IFERROR(VLOOKUP(J1490,LUTs!$A$1:$C$73,3,FALSE),"NA")</f>
        <v>2Central Puget Sound</v>
      </c>
      <c r="M1490" s="72" t="s">
        <v>18</v>
      </c>
      <c r="N1490" t="str">
        <f>VLOOKUP(M1490,LUTs!E$2:H$14,3,)</f>
        <v>06King</v>
      </c>
      <c r="O1490" t="str">
        <f>VLOOKUP(M1490,LUTs!E$2:H$14,4,)</f>
        <v>02South Puget Sound</v>
      </c>
      <c r="P1490" s="80">
        <v>12.3333333333333</v>
      </c>
      <c r="Q1490" s="103">
        <v>6.1666666666666696</v>
      </c>
      <c r="R1490" s="74">
        <f>VLOOKUP(B1490,Readme!A$40:C$52,3,)*Q1490</f>
        <v>52.663333333333355</v>
      </c>
    </row>
    <row r="1491" spans="1:18" ht="12" customHeight="1" x14ac:dyDescent="0.35">
      <c r="A1491" s="75">
        <v>1556</v>
      </c>
      <c r="B1491" s="80">
        <v>2014</v>
      </c>
      <c r="C1491" s="80">
        <v>12</v>
      </c>
      <c r="D1491" s="80">
        <f t="shared" si="84"/>
        <v>2014</v>
      </c>
      <c r="E1491" t="s">
        <v>38</v>
      </c>
      <c r="F1491" t="s">
        <v>143</v>
      </c>
      <c r="G1491" t="s">
        <v>86</v>
      </c>
      <c r="H1491" s="72" t="s">
        <v>223</v>
      </c>
      <c r="I1491" s="72" t="s">
        <v>103</v>
      </c>
      <c r="J1491" t="str">
        <f t="shared" si="85"/>
        <v>Stillaguamish R, No. Fork</v>
      </c>
      <c r="K1491" t="str">
        <f>IFERROR(VLOOKUP(J1491,LUTs!$A$1:$C$73,2,FALSE),"NA")</f>
        <v>Snohomish</v>
      </c>
      <c r="L1491" t="str">
        <f>IFERROR(VLOOKUP(J1491,LUTs!$A$1:$C$73,3,FALSE),"NA")</f>
        <v>2Central Puget Sound</v>
      </c>
      <c r="M1491" s="72" t="s">
        <v>15</v>
      </c>
      <c r="N1491" t="str">
        <f>VLOOKUP(M1491,LUTs!E$2:H$14,3,)</f>
        <v>02Skagit</v>
      </c>
      <c r="O1491" t="str">
        <f>VLOOKUP(M1491,LUTs!E$2:H$14,4,)</f>
        <v>01North Puget Sound</v>
      </c>
      <c r="P1491" s="80">
        <v>6.1666666666666696</v>
      </c>
      <c r="Q1491" s="103">
        <v>3.0833333333333299</v>
      </c>
      <c r="R1491" s="74">
        <f>VLOOKUP(B1491,Readme!A$40:C$52,3,)*Q1491</f>
        <v>26.331666666666635</v>
      </c>
    </row>
    <row r="1492" spans="1:18" ht="12" customHeight="1" x14ac:dyDescent="0.35">
      <c r="A1492" s="75">
        <v>1557</v>
      </c>
      <c r="B1492" s="80">
        <v>2014</v>
      </c>
      <c r="C1492" s="80">
        <v>12</v>
      </c>
      <c r="D1492" s="80">
        <f t="shared" si="84"/>
        <v>2014</v>
      </c>
      <c r="E1492" t="s">
        <v>38</v>
      </c>
      <c r="F1492" t="s">
        <v>143</v>
      </c>
      <c r="G1492" t="s">
        <v>86</v>
      </c>
      <c r="H1492" s="72" t="s">
        <v>223</v>
      </c>
      <c r="I1492" s="72" t="s">
        <v>103</v>
      </c>
      <c r="J1492" t="str">
        <f t="shared" si="85"/>
        <v>Stillaguamish R, No. Fork</v>
      </c>
      <c r="K1492" t="str">
        <f>IFERROR(VLOOKUP(J1492,LUTs!$A$1:$C$73,2,FALSE),"NA")</f>
        <v>Snohomish</v>
      </c>
      <c r="L1492" t="str">
        <f>IFERROR(VLOOKUP(J1492,LUTs!$A$1:$C$73,3,FALSE),"NA")</f>
        <v>2Central Puget Sound</v>
      </c>
      <c r="M1492" s="72" t="s">
        <v>16</v>
      </c>
      <c r="N1492" t="str">
        <f>VLOOKUP(M1492,LUTs!E$2:H$14,3,)</f>
        <v>03Snohomish</v>
      </c>
      <c r="O1492" t="str">
        <f>VLOOKUP(M1492,LUTs!E$2:H$14,4,)</f>
        <v>01North Puget Sound</v>
      </c>
      <c r="P1492" s="80">
        <v>55.5</v>
      </c>
      <c r="Q1492" s="103">
        <v>27.75</v>
      </c>
      <c r="R1492" s="74">
        <f>VLOOKUP(B1492,Readme!A$40:C$52,3,)*Q1492</f>
        <v>236.98499999999999</v>
      </c>
    </row>
    <row r="1493" spans="1:18" ht="12" customHeight="1" x14ac:dyDescent="0.35">
      <c r="A1493" s="75">
        <v>1518</v>
      </c>
      <c r="B1493" s="80">
        <v>2014</v>
      </c>
      <c r="C1493" s="80">
        <v>12</v>
      </c>
      <c r="D1493" s="80">
        <f t="shared" si="84"/>
        <v>2014</v>
      </c>
      <c r="E1493" t="s">
        <v>38</v>
      </c>
      <c r="F1493" t="s">
        <v>143</v>
      </c>
      <c r="G1493" t="s">
        <v>86</v>
      </c>
      <c r="H1493" s="72" t="s">
        <v>250</v>
      </c>
      <c r="I1493" s="72" t="s">
        <v>101</v>
      </c>
      <c r="J1493" t="str">
        <f t="shared" si="85"/>
        <v>Tokul Creek</v>
      </c>
      <c r="K1493" t="str">
        <f>IFERROR(VLOOKUP(J1493,LUTs!$A$1:$C$73,2,FALSE),"NA")</f>
        <v>King</v>
      </c>
      <c r="L1493" t="str">
        <f>IFERROR(VLOOKUP(J1493,LUTs!$A$1:$C$73,3,FALSE),"NA")</f>
        <v>2Central Puget Sound</v>
      </c>
      <c r="M1493" s="72" t="s">
        <v>18</v>
      </c>
      <c r="N1493" t="str">
        <f>VLOOKUP(M1493,LUTs!E$2:H$14,3,)</f>
        <v>06King</v>
      </c>
      <c r="O1493" t="str">
        <f>VLOOKUP(M1493,LUTs!E$2:H$14,4,)</f>
        <v>02South Puget Sound</v>
      </c>
      <c r="P1493" s="80">
        <v>905.74193548387098</v>
      </c>
      <c r="Q1493" s="103">
        <v>452.870967741936</v>
      </c>
      <c r="R1493" s="74">
        <f>VLOOKUP(B1493,Readme!A$40:C$52,3,)*Q1493</f>
        <v>3867.5180645161331</v>
      </c>
    </row>
    <row r="1494" spans="1:18" ht="12" customHeight="1" x14ac:dyDescent="0.35">
      <c r="A1494" s="75">
        <v>1519</v>
      </c>
      <c r="B1494" s="80">
        <v>2014</v>
      </c>
      <c r="C1494" s="80">
        <v>12</v>
      </c>
      <c r="D1494" s="80">
        <f t="shared" si="84"/>
        <v>2014</v>
      </c>
      <c r="E1494" t="s">
        <v>38</v>
      </c>
      <c r="F1494" t="s">
        <v>143</v>
      </c>
      <c r="G1494" t="s">
        <v>86</v>
      </c>
      <c r="H1494" s="72" t="s">
        <v>250</v>
      </c>
      <c r="I1494" s="72" t="s">
        <v>101</v>
      </c>
      <c r="J1494" t="str">
        <f t="shared" si="85"/>
        <v>Tokul Creek</v>
      </c>
      <c r="K1494" t="str">
        <f>IFERROR(VLOOKUP(J1494,LUTs!$A$1:$C$73,2,FALSE),"NA")</f>
        <v>King</v>
      </c>
      <c r="L1494" t="str">
        <f>IFERROR(VLOOKUP(J1494,LUTs!$A$1:$C$73,3,FALSE),"NA")</f>
        <v>2Central Puget Sound</v>
      </c>
      <c r="M1494" s="72" t="s">
        <v>20</v>
      </c>
      <c r="N1494" t="str">
        <f>VLOOKUP(M1494,LUTs!E$2:H$14,3,)</f>
        <v>07Pierce</v>
      </c>
      <c r="O1494" t="str">
        <f>VLOOKUP(M1494,LUTs!E$2:H$14,4,)</f>
        <v>02South Puget Sound</v>
      </c>
      <c r="P1494" s="80">
        <v>32.580645161290299</v>
      </c>
      <c r="Q1494" s="103">
        <v>16.290322580645199</v>
      </c>
      <c r="R1494" s="74">
        <f>VLOOKUP(B1494,Readme!A$40:C$52,3,)*Q1494</f>
        <v>139.11935483871</v>
      </c>
    </row>
    <row r="1495" spans="1:18" ht="12" customHeight="1" x14ac:dyDescent="0.35">
      <c r="A1495" s="75">
        <v>1520</v>
      </c>
      <c r="B1495" s="80">
        <v>2014</v>
      </c>
      <c r="C1495" s="80">
        <v>12</v>
      </c>
      <c r="D1495" s="80">
        <f t="shared" si="84"/>
        <v>2014</v>
      </c>
      <c r="E1495" t="s">
        <v>38</v>
      </c>
      <c r="F1495" t="s">
        <v>143</v>
      </c>
      <c r="G1495" t="s">
        <v>86</v>
      </c>
      <c r="H1495" s="72" t="s">
        <v>250</v>
      </c>
      <c r="I1495" s="72" t="s">
        <v>101</v>
      </c>
      <c r="J1495" t="str">
        <f t="shared" si="85"/>
        <v>Tokul Creek</v>
      </c>
      <c r="K1495" t="str">
        <f>IFERROR(VLOOKUP(J1495,LUTs!$A$1:$C$73,2,FALSE),"NA")</f>
        <v>King</v>
      </c>
      <c r="L1495" t="str">
        <f>IFERROR(VLOOKUP(J1495,LUTs!$A$1:$C$73,3,FALSE),"NA")</f>
        <v>2Central Puget Sound</v>
      </c>
      <c r="M1495" s="72" t="s">
        <v>16</v>
      </c>
      <c r="N1495" t="str">
        <f>VLOOKUP(M1495,LUTs!E$2:H$14,3,)</f>
        <v>03Snohomish</v>
      </c>
      <c r="O1495" t="str">
        <f>VLOOKUP(M1495,LUTs!E$2:H$14,4,)</f>
        <v>01North Puget Sound</v>
      </c>
      <c r="P1495" s="80">
        <v>71.677419354838705</v>
      </c>
      <c r="Q1495" s="103">
        <v>35.838709677419402</v>
      </c>
      <c r="R1495" s="74">
        <f>VLOOKUP(B1495,Readme!A$40:C$52,3,)*Q1495</f>
        <v>306.06258064516169</v>
      </c>
    </row>
    <row r="1496" spans="1:18" ht="12" customHeight="1" x14ac:dyDescent="0.35">
      <c r="A1496" s="75">
        <v>1529</v>
      </c>
      <c r="B1496" s="80">
        <v>2014</v>
      </c>
      <c r="C1496" s="80">
        <v>12</v>
      </c>
      <c r="D1496" s="80">
        <f t="shared" si="84"/>
        <v>2014</v>
      </c>
      <c r="E1496" t="s">
        <v>38</v>
      </c>
      <c r="F1496" t="s">
        <v>143</v>
      </c>
      <c r="G1496" t="s">
        <v>86</v>
      </c>
      <c r="H1496" s="72" t="s">
        <v>229</v>
      </c>
      <c r="I1496" s="72" t="s">
        <v>71</v>
      </c>
      <c r="J1496" t="str">
        <f t="shared" si="85"/>
        <v>Tolt River</v>
      </c>
      <c r="K1496" t="str">
        <f>IFERROR(VLOOKUP(J1496,LUTs!$A$1:$C$73,2,FALSE),"NA")</f>
        <v>King</v>
      </c>
      <c r="L1496" t="str">
        <f>IFERROR(VLOOKUP(J1496,LUTs!$A$1:$C$73,3,FALSE),"NA")</f>
        <v>2Central Puget Sound</v>
      </c>
      <c r="M1496" s="72" t="s">
        <v>24</v>
      </c>
      <c r="N1496" t="str">
        <f>VLOOKUP(M1496,LUTs!E$2:H$14,3,)</f>
        <v>11Clallam</v>
      </c>
      <c r="O1496" t="str">
        <f>VLOOKUP(M1496,LUTs!E$2:H$14,4,)</f>
        <v>03Strait of Juan de Fuca</v>
      </c>
      <c r="P1496" s="80">
        <v>19.2</v>
      </c>
      <c r="Q1496" s="103">
        <v>9.6</v>
      </c>
      <c r="R1496" s="74">
        <f>VLOOKUP(B1496,Readme!A$40:C$52,3,)*Q1496</f>
        <v>81.983999999999995</v>
      </c>
    </row>
    <row r="1497" spans="1:18" ht="12" customHeight="1" x14ac:dyDescent="0.35">
      <c r="A1497" s="75">
        <v>1530</v>
      </c>
      <c r="B1497" s="80">
        <v>2014</v>
      </c>
      <c r="C1497" s="80">
        <v>12</v>
      </c>
      <c r="D1497" s="80">
        <f t="shared" si="84"/>
        <v>2014</v>
      </c>
      <c r="E1497" t="s">
        <v>38</v>
      </c>
      <c r="F1497" t="s">
        <v>143</v>
      </c>
      <c r="G1497" t="s">
        <v>86</v>
      </c>
      <c r="H1497" s="72" t="s">
        <v>229</v>
      </c>
      <c r="I1497" s="72" t="s">
        <v>71</v>
      </c>
      <c r="J1497" t="str">
        <f t="shared" si="85"/>
        <v>Tolt River</v>
      </c>
      <c r="K1497" t="str">
        <f>IFERROR(VLOOKUP(J1497,LUTs!$A$1:$C$73,2,FALSE),"NA")</f>
        <v>King</v>
      </c>
      <c r="L1497" t="str">
        <f>IFERROR(VLOOKUP(J1497,LUTs!$A$1:$C$73,3,FALSE),"NA")</f>
        <v>2Central Puget Sound</v>
      </c>
      <c r="M1497" s="72" t="s">
        <v>18</v>
      </c>
      <c r="N1497" t="str">
        <f>VLOOKUP(M1497,LUTs!E$2:H$14,3,)</f>
        <v>06King</v>
      </c>
      <c r="O1497" t="str">
        <f>VLOOKUP(M1497,LUTs!E$2:H$14,4,)</f>
        <v>02South Puget Sound</v>
      </c>
      <c r="P1497" s="80">
        <v>12.8</v>
      </c>
      <c r="Q1497" s="103">
        <v>6.4</v>
      </c>
      <c r="R1497" s="74">
        <f>VLOOKUP(B1497,Readme!A$40:C$52,3,)*Q1497</f>
        <v>54.655999999999999</v>
      </c>
    </row>
    <row r="1498" spans="1:18" ht="12" customHeight="1" x14ac:dyDescent="0.35">
      <c r="A1498" s="75">
        <v>1539</v>
      </c>
      <c r="B1498" s="80">
        <v>2014</v>
      </c>
      <c r="C1498" s="80">
        <v>12</v>
      </c>
      <c r="D1498" s="80">
        <f t="shared" si="84"/>
        <v>2014</v>
      </c>
      <c r="E1498" t="s">
        <v>38</v>
      </c>
      <c r="F1498" t="s">
        <v>143</v>
      </c>
      <c r="G1498" t="s">
        <v>86</v>
      </c>
      <c r="H1498" s="72" t="s">
        <v>233</v>
      </c>
      <c r="I1498" s="72" t="s">
        <v>76</v>
      </c>
      <c r="J1498" t="str">
        <f t="shared" si="85"/>
        <v>Wallace River</v>
      </c>
      <c r="K1498" t="str">
        <f>IFERROR(VLOOKUP(J1498,LUTs!$A$1:$C$73,2,FALSE),"NA")</f>
        <v>Snohomish</v>
      </c>
      <c r="L1498" t="str">
        <f>IFERROR(VLOOKUP(J1498,LUTs!$A$1:$C$73,3,FALSE),"NA")</f>
        <v>2Central Puget Sound</v>
      </c>
      <c r="M1498" s="72" t="s">
        <v>18</v>
      </c>
      <c r="N1498" t="str">
        <f>VLOOKUP(M1498,LUTs!E$2:H$14,3,)</f>
        <v>06King</v>
      </c>
      <c r="O1498" t="str">
        <f>VLOOKUP(M1498,LUTs!E$2:H$14,4,)</f>
        <v>02South Puget Sound</v>
      </c>
      <c r="P1498" s="80">
        <v>117</v>
      </c>
      <c r="Q1498" s="103">
        <v>58.5</v>
      </c>
      <c r="R1498" s="74">
        <f>VLOOKUP(B1498,Readme!A$40:C$52,3,)*Q1498</f>
        <v>499.59</v>
      </c>
    </row>
    <row r="1499" spans="1:18" ht="12" customHeight="1" x14ac:dyDescent="0.35">
      <c r="A1499" s="75">
        <v>1540</v>
      </c>
      <c r="B1499" s="80">
        <v>2014</v>
      </c>
      <c r="C1499" s="80">
        <v>12</v>
      </c>
      <c r="D1499" s="80">
        <f t="shared" si="84"/>
        <v>2014</v>
      </c>
      <c r="E1499" t="s">
        <v>38</v>
      </c>
      <c r="F1499" t="s">
        <v>143</v>
      </c>
      <c r="G1499" t="s">
        <v>86</v>
      </c>
      <c r="H1499" s="72" t="s">
        <v>233</v>
      </c>
      <c r="I1499" s="72" t="s">
        <v>76</v>
      </c>
      <c r="J1499" t="str">
        <f t="shared" si="85"/>
        <v>Wallace River</v>
      </c>
      <c r="K1499" t="str">
        <f>IFERROR(VLOOKUP(J1499,LUTs!$A$1:$C$73,2,FALSE),"NA")</f>
        <v>Snohomish</v>
      </c>
      <c r="L1499" t="str">
        <f>IFERROR(VLOOKUP(J1499,LUTs!$A$1:$C$73,3,FALSE),"NA")</f>
        <v>2Central Puget Sound</v>
      </c>
      <c r="M1499" s="72" t="s">
        <v>16</v>
      </c>
      <c r="N1499" t="str">
        <f>VLOOKUP(M1499,LUTs!E$2:H$14,3,)</f>
        <v>03Snohomish</v>
      </c>
      <c r="O1499" t="str">
        <f>VLOOKUP(M1499,LUTs!E$2:H$14,4,)</f>
        <v>01North Puget Sound</v>
      </c>
      <c r="P1499" s="80">
        <v>195</v>
      </c>
      <c r="Q1499" s="103">
        <v>97.5</v>
      </c>
      <c r="R1499" s="74">
        <f>VLOOKUP(B1499,Readme!A$40:C$52,3,)*Q1499</f>
        <v>832.64999999999986</v>
      </c>
    </row>
    <row r="1500" spans="1:18" ht="12" customHeight="1" x14ac:dyDescent="0.35">
      <c r="A1500" s="75">
        <v>1564</v>
      </c>
      <c r="B1500" s="80">
        <v>2014</v>
      </c>
      <c r="C1500" s="80">
        <v>12</v>
      </c>
      <c r="D1500" s="80">
        <f t="shared" si="84"/>
        <v>2014</v>
      </c>
      <c r="E1500" t="s">
        <v>38</v>
      </c>
      <c r="F1500" t="s">
        <v>143</v>
      </c>
      <c r="G1500" t="s">
        <v>86</v>
      </c>
      <c r="H1500" s="72" t="s">
        <v>224</v>
      </c>
      <c r="I1500" s="72" t="s">
        <v>66</v>
      </c>
      <c r="J1500" t="str">
        <f t="shared" si="85"/>
        <v>Whatcom Creek</v>
      </c>
      <c r="K1500" t="str">
        <f>IFERROR(VLOOKUP(J1500,LUTs!$A$1:$C$73,2,FALSE),"NA")</f>
        <v>Whatcom</v>
      </c>
      <c r="L1500" t="str">
        <f>IFERROR(VLOOKUP(J1500,LUTs!$A$1:$C$73,3,FALSE),"NA")</f>
        <v>1North Puget Sound</v>
      </c>
      <c r="M1500" s="72" t="s">
        <v>16</v>
      </c>
      <c r="N1500" t="str">
        <f>VLOOKUP(M1500,LUTs!E$2:H$14,3,)</f>
        <v>03Snohomish</v>
      </c>
      <c r="O1500" t="str">
        <f>VLOOKUP(M1500,LUTs!E$2:H$14,4,)</f>
        <v>01North Puget Sound</v>
      </c>
      <c r="P1500" s="80">
        <v>6</v>
      </c>
      <c r="Q1500" s="103">
        <v>3</v>
      </c>
      <c r="R1500" s="74">
        <f>VLOOKUP(B1500,Readme!A$40:C$52,3,)*Q1500</f>
        <v>25.619999999999997</v>
      </c>
    </row>
    <row r="1501" spans="1:18" ht="12" customHeight="1" x14ac:dyDescent="0.35">
      <c r="A1501" s="75">
        <v>1565</v>
      </c>
      <c r="B1501" s="80">
        <v>2014</v>
      </c>
      <c r="C1501" s="80">
        <v>12</v>
      </c>
      <c r="D1501" s="80">
        <f t="shared" si="84"/>
        <v>2014</v>
      </c>
      <c r="E1501" t="s">
        <v>38</v>
      </c>
      <c r="F1501" t="s">
        <v>143</v>
      </c>
      <c r="G1501" t="s">
        <v>86</v>
      </c>
      <c r="H1501" s="72" t="s">
        <v>224</v>
      </c>
      <c r="I1501" s="72" t="s">
        <v>66</v>
      </c>
      <c r="J1501" t="str">
        <f t="shared" si="85"/>
        <v>Whatcom Creek</v>
      </c>
      <c r="K1501" t="str">
        <f>IFERROR(VLOOKUP(J1501,LUTs!$A$1:$C$73,2,FALSE),"NA")</f>
        <v>Whatcom</v>
      </c>
      <c r="L1501" t="str">
        <f>IFERROR(VLOOKUP(J1501,LUTs!$A$1:$C$73,3,FALSE),"NA")</f>
        <v>1North Puget Sound</v>
      </c>
      <c r="M1501" s="72" t="s">
        <v>13</v>
      </c>
      <c r="N1501" t="str">
        <f>VLOOKUP(M1501,LUTs!E$2:H$14,3,)</f>
        <v>01Whatcom</v>
      </c>
      <c r="O1501" t="str">
        <f>VLOOKUP(M1501,LUTs!E$2:H$14,4,)</f>
        <v>01North Puget Sound</v>
      </c>
      <c r="P1501" s="80">
        <v>12</v>
      </c>
      <c r="Q1501" s="103">
        <v>6</v>
      </c>
      <c r="R1501" s="74">
        <f>VLOOKUP(B1501,Readme!A$40:C$52,3,)*Q1501</f>
        <v>51.239999999999995</v>
      </c>
    </row>
    <row r="1502" spans="1:18" ht="12" customHeight="1" x14ac:dyDescent="0.35">
      <c r="A1502" s="75">
        <v>1394</v>
      </c>
      <c r="B1502" s="80">
        <v>2015</v>
      </c>
      <c r="C1502" s="80">
        <v>1</v>
      </c>
      <c r="D1502" s="80">
        <f t="shared" si="84"/>
        <v>2014</v>
      </c>
      <c r="E1502" t="s">
        <v>38</v>
      </c>
      <c r="F1502" t="s">
        <v>143</v>
      </c>
      <c r="G1502" t="s">
        <v>86</v>
      </c>
      <c r="H1502" s="72" t="s">
        <v>257</v>
      </c>
      <c r="I1502" s="72" t="s">
        <v>31</v>
      </c>
      <c r="J1502" t="str">
        <f t="shared" si="85"/>
        <v>Area 8-1: Skagit Bay-Saratoga Psg.</v>
      </c>
      <c r="K1502" t="str">
        <f>IFERROR(VLOOKUP(J1502,LUTs!$A$1:$C$73,2,FALSE),"NA")</f>
        <v>NA</v>
      </c>
      <c r="L1502" t="str">
        <f>IFERROR(VLOOKUP(J1502,LUTs!$A$1:$C$73,3,FALSE),"NA")</f>
        <v>2Central Puget Sound</v>
      </c>
      <c r="M1502" s="72" t="s">
        <v>16</v>
      </c>
      <c r="N1502" t="str">
        <f>VLOOKUP(M1502,LUTs!E$2:H$14,3,)</f>
        <v>03Snohomish</v>
      </c>
      <c r="O1502" t="str">
        <f>VLOOKUP(M1502,LUTs!E$2:H$14,4,)</f>
        <v>01North Puget Sound</v>
      </c>
      <c r="P1502" s="80">
        <v>2</v>
      </c>
      <c r="Q1502" s="103">
        <v>1</v>
      </c>
      <c r="R1502" s="74">
        <f>VLOOKUP(B1502,Readme!A$40:C$52,3,)*Q1502</f>
        <v>18.55</v>
      </c>
    </row>
    <row r="1503" spans="1:18" ht="12" customHeight="1" x14ac:dyDescent="0.35">
      <c r="A1503" s="75">
        <v>1576</v>
      </c>
      <c r="B1503" s="80">
        <v>2015</v>
      </c>
      <c r="C1503" s="80">
        <v>1</v>
      </c>
      <c r="D1503" s="80">
        <f t="shared" si="84"/>
        <v>2014</v>
      </c>
      <c r="E1503" t="s">
        <v>38</v>
      </c>
      <c r="F1503" t="s">
        <v>143</v>
      </c>
      <c r="G1503" t="s">
        <v>86</v>
      </c>
      <c r="H1503" s="72" t="s">
        <v>254</v>
      </c>
      <c r="I1503" s="72" t="s">
        <v>33</v>
      </c>
      <c r="J1503" t="str">
        <f t="shared" si="85"/>
        <v>Area 9: Admiralty Inlet</v>
      </c>
      <c r="K1503" t="str">
        <f>IFERROR(VLOOKUP(J1503,LUTs!$A$1:$C$73,2,FALSE),"NA")</f>
        <v>NA</v>
      </c>
      <c r="L1503" t="str">
        <f>IFERROR(VLOOKUP(J1503,LUTs!$A$1:$C$73,3,FALSE),"NA")</f>
        <v>2Central Puget Sound</v>
      </c>
      <c r="M1503" s="72" t="s">
        <v>17</v>
      </c>
      <c r="N1503" t="str">
        <f>VLOOKUP(M1503,LUTs!E$2:H$14,3,)</f>
        <v>04Island</v>
      </c>
      <c r="O1503" t="str">
        <f>VLOOKUP(M1503,LUTs!E$2:H$14,4,)</f>
        <v>01North Puget Sound</v>
      </c>
      <c r="P1503" s="80">
        <v>2</v>
      </c>
      <c r="Q1503" s="103">
        <v>1</v>
      </c>
      <c r="R1503" s="74">
        <f>VLOOKUP(B1503,Readme!A$40:C$52,3,)*Q1503</f>
        <v>18.55</v>
      </c>
    </row>
    <row r="1504" spans="1:18" ht="12" customHeight="1" x14ac:dyDescent="0.35">
      <c r="A1504" s="75">
        <v>1577</v>
      </c>
      <c r="B1504" s="80">
        <v>2015</v>
      </c>
      <c r="C1504" s="80">
        <v>1</v>
      </c>
      <c r="D1504" s="80">
        <f t="shared" si="84"/>
        <v>2014</v>
      </c>
      <c r="E1504" t="s">
        <v>38</v>
      </c>
      <c r="F1504" t="s">
        <v>143</v>
      </c>
      <c r="G1504" t="s">
        <v>86</v>
      </c>
      <c r="H1504" s="72" t="s">
        <v>254</v>
      </c>
      <c r="I1504" s="72" t="s">
        <v>33</v>
      </c>
      <c r="J1504" t="str">
        <f t="shared" si="85"/>
        <v>Area 9: Admiralty Inlet</v>
      </c>
      <c r="K1504" t="str">
        <f>IFERROR(VLOOKUP(J1504,LUTs!$A$1:$C$73,2,FALSE),"NA")</f>
        <v>NA</v>
      </c>
      <c r="L1504" t="str">
        <f>IFERROR(VLOOKUP(J1504,LUTs!$A$1:$C$73,3,FALSE),"NA")</f>
        <v>2Central Puget Sound</v>
      </c>
      <c r="M1504" s="72" t="s">
        <v>18</v>
      </c>
      <c r="N1504" t="str">
        <f>VLOOKUP(M1504,LUTs!E$2:H$14,3,)</f>
        <v>06King</v>
      </c>
      <c r="O1504" t="str">
        <f>VLOOKUP(M1504,LUTs!E$2:H$14,4,)</f>
        <v>02South Puget Sound</v>
      </c>
      <c r="P1504" s="80">
        <v>2</v>
      </c>
      <c r="Q1504" s="103">
        <v>1</v>
      </c>
      <c r="R1504" s="74">
        <f>VLOOKUP(B1504,Readme!A$40:C$52,3,)*Q1504</f>
        <v>18.55</v>
      </c>
    </row>
    <row r="1505" spans="1:18" ht="12" customHeight="1" x14ac:dyDescent="0.35">
      <c r="A1505" s="75">
        <v>1578</v>
      </c>
      <c r="B1505" s="80">
        <v>2015</v>
      </c>
      <c r="C1505" s="80">
        <v>1</v>
      </c>
      <c r="D1505" s="80">
        <f t="shared" si="84"/>
        <v>2014</v>
      </c>
      <c r="E1505" t="s">
        <v>38</v>
      </c>
      <c r="F1505" t="s">
        <v>143</v>
      </c>
      <c r="G1505" t="s">
        <v>86</v>
      </c>
      <c r="H1505" s="72" t="s">
        <v>254</v>
      </c>
      <c r="I1505" s="72" t="s">
        <v>33</v>
      </c>
      <c r="J1505" t="str">
        <f t="shared" si="85"/>
        <v>Area 9: Admiralty Inlet</v>
      </c>
      <c r="K1505" t="str">
        <f>IFERROR(VLOOKUP(J1505,LUTs!$A$1:$C$73,2,FALSE),"NA")</f>
        <v>NA</v>
      </c>
      <c r="L1505" t="str">
        <f>IFERROR(VLOOKUP(J1505,LUTs!$A$1:$C$73,3,FALSE),"NA")</f>
        <v>2Central Puget Sound</v>
      </c>
      <c r="M1505" s="72" t="s">
        <v>16</v>
      </c>
      <c r="N1505" t="str">
        <f>VLOOKUP(M1505,LUTs!E$2:H$14,3,)</f>
        <v>03Snohomish</v>
      </c>
      <c r="O1505" t="str">
        <f>VLOOKUP(M1505,LUTs!E$2:H$14,4,)</f>
        <v>01North Puget Sound</v>
      </c>
      <c r="P1505" s="80">
        <v>2</v>
      </c>
      <c r="Q1505" s="103">
        <v>1</v>
      </c>
      <c r="R1505" s="74">
        <f>VLOOKUP(B1505,Readme!A$40:C$52,3,)*Q1505</f>
        <v>18.55</v>
      </c>
    </row>
    <row r="1506" spans="1:18" ht="12" customHeight="1" x14ac:dyDescent="0.35">
      <c r="A1506" s="75">
        <v>1547</v>
      </c>
      <c r="B1506" s="80">
        <v>2015</v>
      </c>
      <c r="C1506" s="80">
        <v>1</v>
      </c>
      <c r="D1506" s="80">
        <f t="shared" si="84"/>
        <v>2014</v>
      </c>
      <c r="E1506" t="s">
        <v>38</v>
      </c>
      <c r="F1506" t="s">
        <v>143</v>
      </c>
      <c r="G1506" t="s">
        <v>86</v>
      </c>
      <c r="H1506" s="72" t="s">
        <v>251</v>
      </c>
      <c r="I1506" s="72" t="s">
        <v>102</v>
      </c>
      <c r="J1506" t="str">
        <f t="shared" si="85"/>
        <v>Canyon Creek</v>
      </c>
      <c r="K1506" t="str">
        <f>IFERROR(VLOOKUP(J1506,LUTs!$A$1:$C$73,2,FALSE),"NA")</f>
        <v>Snohomish</v>
      </c>
      <c r="L1506" t="str">
        <f>IFERROR(VLOOKUP(J1506,LUTs!$A$1:$C$73,3,FALSE),"NA")</f>
        <v>2Central Puget Sound</v>
      </c>
      <c r="M1506" s="72" t="s">
        <v>26</v>
      </c>
      <c r="N1506" t="str">
        <f>VLOOKUP(M1506,LUTs!E$2:H$14,3,)</f>
        <v>20Other</v>
      </c>
      <c r="O1506" t="str">
        <f>VLOOKUP(M1506,LUTs!E$2:H$14,4,)</f>
        <v>07Non Puget Sound</v>
      </c>
      <c r="P1506" s="80">
        <v>6</v>
      </c>
      <c r="Q1506" s="103">
        <v>3</v>
      </c>
      <c r="R1506" s="74">
        <f>VLOOKUP(B1506,Readme!A$40:C$52,3,)*Q1506</f>
        <v>55.650000000000006</v>
      </c>
    </row>
    <row r="1507" spans="1:18" ht="12" customHeight="1" x14ac:dyDescent="0.35">
      <c r="A1507" s="75">
        <v>1548</v>
      </c>
      <c r="B1507" s="80">
        <v>2015</v>
      </c>
      <c r="C1507" s="80">
        <v>1</v>
      </c>
      <c r="D1507" s="80">
        <f t="shared" si="84"/>
        <v>2014</v>
      </c>
      <c r="E1507" t="s">
        <v>38</v>
      </c>
      <c r="F1507" t="s">
        <v>143</v>
      </c>
      <c r="G1507" t="s">
        <v>86</v>
      </c>
      <c r="H1507" s="72" t="s">
        <v>251</v>
      </c>
      <c r="I1507" s="72" t="s">
        <v>102</v>
      </c>
      <c r="J1507" t="str">
        <f t="shared" si="85"/>
        <v>Canyon Creek</v>
      </c>
      <c r="K1507" t="str">
        <f>IFERROR(VLOOKUP(J1507,LUTs!$A$1:$C$73,2,FALSE),"NA")</f>
        <v>Snohomish</v>
      </c>
      <c r="L1507" t="str">
        <f>IFERROR(VLOOKUP(J1507,LUTs!$A$1:$C$73,3,FALSE),"NA")</f>
        <v>2Central Puget Sound</v>
      </c>
      <c r="M1507" s="72" t="s">
        <v>16</v>
      </c>
      <c r="N1507" t="str">
        <f>VLOOKUP(M1507,LUTs!E$2:H$14,3,)</f>
        <v>03Snohomish</v>
      </c>
      <c r="O1507" t="str">
        <f>VLOOKUP(M1507,LUTs!E$2:H$14,4,)</f>
        <v>01North Puget Sound</v>
      </c>
      <c r="P1507" s="80">
        <v>12</v>
      </c>
      <c r="Q1507" s="103">
        <v>6</v>
      </c>
      <c r="R1507" s="74">
        <f>VLOOKUP(B1507,Readme!A$40:C$52,3,)*Q1507</f>
        <v>111.30000000000001</v>
      </c>
    </row>
    <row r="1508" spans="1:18" ht="12" customHeight="1" x14ac:dyDescent="0.35">
      <c r="A1508" s="75">
        <v>1412</v>
      </c>
      <c r="B1508" s="80">
        <v>2015</v>
      </c>
      <c r="C1508" s="80">
        <v>1</v>
      </c>
      <c r="D1508" s="80">
        <f t="shared" si="84"/>
        <v>2014</v>
      </c>
      <c r="E1508" t="s">
        <v>38</v>
      </c>
      <c r="F1508" t="s">
        <v>143</v>
      </c>
      <c r="G1508" t="s">
        <v>86</v>
      </c>
      <c r="H1508" s="72" t="s">
        <v>217</v>
      </c>
      <c r="I1508" s="72" t="s">
        <v>59</v>
      </c>
      <c r="J1508" t="str">
        <f t="shared" si="85"/>
        <v>Cascade River</v>
      </c>
      <c r="K1508" t="str">
        <f>IFERROR(VLOOKUP(J1508,LUTs!$A$1:$C$73,2,FALSE),"NA")</f>
        <v>Skagit</v>
      </c>
      <c r="L1508" t="str">
        <f>IFERROR(VLOOKUP(J1508,LUTs!$A$1:$C$73,3,FALSE),"NA")</f>
        <v>1North Puget Sound</v>
      </c>
      <c r="M1508" s="72" t="s">
        <v>18</v>
      </c>
      <c r="N1508" t="str">
        <f>VLOOKUP(M1508,LUTs!E$2:H$14,3,)</f>
        <v>06King</v>
      </c>
      <c r="O1508" t="str">
        <f>VLOOKUP(M1508,LUTs!E$2:H$14,4,)</f>
        <v>02South Puget Sound</v>
      </c>
      <c r="P1508" s="80">
        <v>6.6382978723404298</v>
      </c>
      <c r="Q1508" s="103">
        <v>3.31914893617021</v>
      </c>
      <c r="R1508" s="74">
        <f>VLOOKUP(B1508,Readme!A$40:C$52,3,)*Q1508</f>
        <v>61.5702127659574</v>
      </c>
    </row>
    <row r="1509" spans="1:18" ht="12" customHeight="1" x14ac:dyDescent="0.35">
      <c r="A1509" s="75">
        <v>1413</v>
      </c>
      <c r="B1509" s="80">
        <v>2015</v>
      </c>
      <c r="C1509" s="80">
        <v>1</v>
      </c>
      <c r="D1509" s="80">
        <f t="shared" si="84"/>
        <v>2014</v>
      </c>
      <c r="E1509" t="s">
        <v>38</v>
      </c>
      <c r="F1509" t="s">
        <v>143</v>
      </c>
      <c r="G1509" t="s">
        <v>86</v>
      </c>
      <c r="H1509" s="72" t="s">
        <v>217</v>
      </c>
      <c r="I1509" s="72" t="s">
        <v>59</v>
      </c>
      <c r="J1509" t="str">
        <f t="shared" si="85"/>
        <v>Cascade River</v>
      </c>
      <c r="K1509" t="str">
        <f>IFERROR(VLOOKUP(J1509,LUTs!$A$1:$C$73,2,FALSE),"NA")</f>
        <v>Skagit</v>
      </c>
      <c r="L1509" t="str">
        <f>IFERROR(VLOOKUP(J1509,LUTs!$A$1:$C$73,3,FALSE),"NA")</f>
        <v>1North Puget Sound</v>
      </c>
      <c r="M1509" s="72" t="s">
        <v>15</v>
      </c>
      <c r="N1509" t="str">
        <f>VLOOKUP(M1509,LUTs!E$2:H$14,3,)</f>
        <v>02Skagit</v>
      </c>
      <c r="O1509" t="str">
        <f>VLOOKUP(M1509,LUTs!E$2:H$14,4,)</f>
        <v>01North Puget Sound</v>
      </c>
      <c r="P1509" s="80">
        <v>238.97872340425499</v>
      </c>
      <c r="Q1509" s="103">
        <v>119.48936170212799</v>
      </c>
      <c r="R1509" s="74">
        <f>VLOOKUP(B1509,Readme!A$40:C$52,3,)*Q1509</f>
        <v>2216.5276595744745</v>
      </c>
    </row>
    <row r="1510" spans="1:18" ht="12" customHeight="1" x14ac:dyDescent="0.35">
      <c r="A1510" s="75">
        <v>1414</v>
      </c>
      <c r="B1510" s="80">
        <v>2015</v>
      </c>
      <c r="C1510" s="80">
        <v>1</v>
      </c>
      <c r="D1510" s="80">
        <f t="shared" si="84"/>
        <v>2014</v>
      </c>
      <c r="E1510" t="s">
        <v>38</v>
      </c>
      <c r="F1510" t="s">
        <v>143</v>
      </c>
      <c r="G1510" t="s">
        <v>86</v>
      </c>
      <c r="H1510" s="72" t="s">
        <v>217</v>
      </c>
      <c r="I1510" s="72" t="s">
        <v>59</v>
      </c>
      <c r="J1510" t="str">
        <f t="shared" si="85"/>
        <v>Cascade River</v>
      </c>
      <c r="K1510" t="str">
        <f>IFERROR(VLOOKUP(J1510,LUTs!$A$1:$C$73,2,FALSE),"NA")</f>
        <v>Skagit</v>
      </c>
      <c r="L1510" t="str">
        <f>IFERROR(VLOOKUP(J1510,LUTs!$A$1:$C$73,3,FALSE),"NA")</f>
        <v>1North Puget Sound</v>
      </c>
      <c r="M1510" s="72" t="s">
        <v>16</v>
      </c>
      <c r="N1510" t="str">
        <f>VLOOKUP(M1510,LUTs!E$2:H$14,3,)</f>
        <v>03Snohomish</v>
      </c>
      <c r="O1510" t="str">
        <f>VLOOKUP(M1510,LUTs!E$2:H$14,4,)</f>
        <v>01North Puget Sound</v>
      </c>
      <c r="P1510" s="80">
        <v>6.6382978723404298</v>
      </c>
      <c r="Q1510" s="103">
        <v>3.31914893617021</v>
      </c>
      <c r="R1510" s="74">
        <f>VLOOKUP(B1510,Readme!A$40:C$52,3,)*Q1510</f>
        <v>61.5702127659574</v>
      </c>
    </row>
    <row r="1511" spans="1:18" ht="12" customHeight="1" x14ac:dyDescent="0.35">
      <c r="A1511" s="75">
        <v>1415</v>
      </c>
      <c r="B1511" s="80">
        <v>2015</v>
      </c>
      <c r="C1511" s="80">
        <v>1</v>
      </c>
      <c r="D1511" s="80">
        <f t="shared" si="84"/>
        <v>2014</v>
      </c>
      <c r="E1511" t="s">
        <v>38</v>
      </c>
      <c r="F1511" t="s">
        <v>143</v>
      </c>
      <c r="G1511" t="s">
        <v>86</v>
      </c>
      <c r="H1511" s="72" t="s">
        <v>217</v>
      </c>
      <c r="I1511" s="72" t="s">
        <v>59</v>
      </c>
      <c r="J1511" t="str">
        <f t="shared" si="85"/>
        <v>Cascade River</v>
      </c>
      <c r="K1511" t="str">
        <f>IFERROR(VLOOKUP(J1511,LUTs!$A$1:$C$73,2,FALSE),"NA")</f>
        <v>Skagit</v>
      </c>
      <c r="L1511" t="str">
        <f>IFERROR(VLOOKUP(J1511,LUTs!$A$1:$C$73,3,FALSE),"NA")</f>
        <v>1North Puget Sound</v>
      </c>
      <c r="M1511" s="72" t="s">
        <v>13</v>
      </c>
      <c r="N1511" t="str">
        <f>VLOOKUP(M1511,LUTs!E$2:H$14,3,)</f>
        <v>01Whatcom</v>
      </c>
      <c r="O1511" t="str">
        <f>VLOOKUP(M1511,LUTs!E$2:H$14,4,)</f>
        <v>01North Puget Sound</v>
      </c>
      <c r="P1511" s="80">
        <v>59.744680851063798</v>
      </c>
      <c r="Q1511" s="103">
        <v>29.872340425531899</v>
      </c>
      <c r="R1511" s="74">
        <f>VLOOKUP(B1511,Readme!A$40:C$52,3,)*Q1511</f>
        <v>554.13191489361679</v>
      </c>
    </row>
    <row r="1512" spans="1:18" ht="12" customHeight="1" x14ac:dyDescent="0.35">
      <c r="A1512" s="75">
        <v>1339</v>
      </c>
      <c r="B1512" s="80">
        <v>2015</v>
      </c>
      <c r="C1512" s="80">
        <v>1</v>
      </c>
      <c r="D1512" s="80">
        <f t="shared" si="84"/>
        <v>2014</v>
      </c>
      <c r="E1512" t="s">
        <v>38</v>
      </c>
      <c r="F1512" t="s">
        <v>143</v>
      </c>
      <c r="G1512" t="s">
        <v>86</v>
      </c>
      <c r="H1512" s="72" t="s">
        <v>234</v>
      </c>
      <c r="I1512" s="72" t="s">
        <v>87</v>
      </c>
      <c r="J1512" t="str">
        <f t="shared" si="85"/>
        <v>Clallam River</v>
      </c>
      <c r="K1512" t="str">
        <f>IFERROR(VLOOKUP(J1512,LUTs!$A$1:$C$73,2,FALSE),"NA")</f>
        <v>Clallam</v>
      </c>
      <c r="L1512" t="str">
        <f>IFERROR(VLOOKUP(J1512,LUTs!$A$1:$C$73,3,FALSE),"NA")</f>
        <v>0Strait of Juan de Fuca</v>
      </c>
      <c r="M1512" s="72" t="s">
        <v>13</v>
      </c>
      <c r="N1512" t="str">
        <f>VLOOKUP(M1512,LUTs!E$2:H$14,3,)</f>
        <v>01Whatcom</v>
      </c>
      <c r="O1512" t="str">
        <f>VLOOKUP(M1512,LUTs!E$2:H$14,4,)</f>
        <v>01North Puget Sound</v>
      </c>
      <c r="P1512" s="80">
        <v>12</v>
      </c>
      <c r="Q1512" s="103">
        <v>6</v>
      </c>
      <c r="R1512" s="74">
        <f>VLOOKUP(B1512,Readme!A$40:C$52,3,)*Q1512</f>
        <v>111.30000000000001</v>
      </c>
    </row>
    <row r="1513" spans="1:18" ht="12" customHeight="1" x14ac:dyDescent="0.35">
      <c r="A1513" s="75">
        <v>1340</v>
      </c>
      <c r="B1513" s="80">
        <v>2015</v>
      </c>
      <c r="C1513" s="80">
        <v>1</v>
      </c>
      <c r="D1513" s="80">
        <f t="shared" si="84"/>
        <v>2014</v>
      </c>
      <c r="E1513" t="s">
        <v>38</v>
      </c>
      <c r="F1513" t="s">
        <v>143</v>
      </c>
      <c r="G1513" t="s">
        <v>86</v>
      </c>
      <c r="H1513" s="72" t="s">
        <v>235</v>
      </c>
      <c r="I1513" s="72" t="s">
        <v>88</v>
      </c>
      <c r="J1513" t="str">
        <f t="shared" si="85"/>
        <v>Deep Creek (Clallam Co.)</v>
      </c>
      <c r="K1513" t="str">
        <f>IFERROR(VLOOKUP(J1513,LUTs!$A$1:$C$73,2,FALSE),"NA")</f>
        <v>Clallam</v>
      </c>
      <c r="L1513" t="str">
        <f>IFERROR(VLOOKUP(J1513,LUTs!$A$1:$C$73,3,FALSE),"NA")</f>
        <v>0Strait of Juan de Fuca</v>
      </c>
      <c r="M1513" s="72" t="s">
        <v>24</v>
      </c>
      <c r="N1513" t="str">
        <f>VLOOKUP(M1513,LUTs!E$2:H$14,3,)</f>
        <v>11Clallam</v>
      </c>
      <c r="O1513" t="str">
        <f>VLOOKUP(M1513,LUTs!E$2:H$14,4,)</f>
        <v>03Strait of Juan de Fuca</v>
      </c>
      <c r="P1513" s="80">
        <v>18</v>
      </c>
      <c r="Q1513" s="103">
        <v>9</v>
      </c>
      <c r="R1513" s="74">
        <f>VLOOKUP(B1513,Readme!A$40:C$52,3,)*Q1513</f>
        <v>166.95000000000002</v>
      </c>
    </row>
    <row r="1514" spans="1:18" ht="12" customHeight="1" x14ac:dyDescent="0.35">
      <c r="A1514" s="75">
        <v>1344</v>
      </c>
      <c r="B1514" s="80">
        <v>2015</v>
      </c>
      <c r="C1514" s="80">
        <v>1</v>
      </c>
      <c r="D1514" s="80">
        <f t="shared" si="84"/>
        <v>2014</v>
      </c>
      <c r="E1514" t="s">
        <v>38</v>
      </c>
      <c r="F1514" t="s">
        <v>143</v>
      </c>
      <c r="G1514" t="s">
        <v>86</v>
      </c>
      <c r="H1514" s="72" t="s">
        <v>201</v>
      </c>
      <c r="I1514" s="72" t="s">
        <v>43</v>
      </c>
      <c r="J1514" t="str">
        <f t="shared" si="85"/>
        <v>Dungeness River</v>
      </c>
      <c r="K1514" t="str">
        <f>IFERROR(VLOOKUP(J1514,LUTs!$A$1:$C$73,2,FALSE),"NA")</f>
        <v>Clallam</v>
      </c>
      <c r="L1514" t="str">
        <f>IFERROR(VLOOKUP(J1514,LUTs!$A$1:$C$73,3,FALSE),"NA")</f>
        <v>0Strait of Juan de Fuca</v>
      </c>
      <c r="M1514" s="72" t="s">
        <v>24</v>
      </c>
      <c r="N1514" t="str">
        <f>VLOOKUP(M1514,LUTs!E$2:H$14,3,)</f>
        <v>11Clallam</v>
      </c>
      <c r="O1514" t="str">
        <f>VLOOKUP(M1514,LUTs!E$2:H$14,4,)</f>
        <v>03Strait of Juan de Fuca</v>
      </c>
      <c r="P1514" s="80">
        <v>43.5555555555556</v>
      </c>
      <c r="Q1514" s="103">
        <v>21.7777777777778</v>
      </c>
      <c r="R1514" s="74">
        <f>VLOOKUP(B1514,Readme!A$40:C$52,3,)*Q1514</f>
        <v>403.97777777777821</v>
      </c>
    </row>
    <row r="1515" spans="1:18" ht="12" customHeight="1" x14ac:dyDescent="0.35">
      <c r="A1515" s="75">
        <v>1345</v>
      </c>
      <c r="B1515" s="80">
        <v>2015</v>
      </c>
      <c r="C1515" s="80">
        <v>1</v>
      </c>
      <c r="D1515" s="80">
        <f t="shared" si="84"/>
        <v>2014</v>
      </c>
      <c r="E1515" t="s">
        <v>38</v>
      </c>
      <c r="F1515" t="s">
        <v>143</v>
      </c>
      <c r="G1515" t="s">
        <v>86</v>
      </c>
      <c r="H1515" s="72" t="s">
        <v>201</v>
      </c>
      <c r="I1515" s="72" t="s">
        <v>43</v>
      </c>
      <c r="J1515" t="str">
        <f t="shared" si="85"/>
        <v>Dungeness River</v>
      </c>
      <c r="K1515" t="str">
        <f>IFERROR(VLOOKUP(J1515,LUTs!$A$1:$C$73,2,FALSE),"NA")</f>
        <v>Clallam</v>
      </c>
      <c r="L1515" t="str">
        <f>IFERROR(VLOOKUP(J1515,LUTs!$A$1:$C$73,3,FALSE),"NA")</f>
        <v>0Strait of Juan de Fuca</v>
      </c>
      <c r="M1515" s="72" t="s">
        <v>18</v>
      </c>
      <c r="N1515" t="str">
        <f>VLOOKUP(M1515,LUTs!E$2:H$14,3,)</f>
        <v>06King</v>
      </c>
      <c r="O1515" t="str">
        <f>VLOOKUP(M1515,LUTs!E$2:H$14,4,)</f>
        <v>02South Puget Sound</v>
      </c>
      <c r="P1515" s="80">
        <v>6.2222222222222197</v>
      </c>
      <c r="Q1515" s="103">
        <v>3.1111111111111098</v>
      </c>
      <c r="R1515" s="74">
        <f>VLOOKUP(B1515,Readme!A$40:C$52,3,)*Q1515</f>
        <v>57.711111111111087</v>
      </c>
    </row>
    <row r="1516" spans="1:18" ht="12" customHeight="1" x14ac:dyDescent="0.35">
      <c r="A1516" s="75">
        <v>1346</v>
      </c>
      <c r="B1516" s="80">
        <v>2015</v>
      </c>
      <c r="C1516" s="80">
        <v>1</v>
      </c>
      <c r="D1516" s="80">
        <f t="shared" si="84"/>
        <v>2014</v>
      </c>
      <c r="E1516" t="s">
        <v>38</v>
      </c>
      <c r="F1516" t="s">
        <v>143</v>
      </c>
      <c r="G1516" t="s">
        <v>86</v>
      </c>
      <c r="H1516" s="72" t="s">
        <v>201</v>
      </c>
      <c r="I1516" s="72" t="s">
        <v>43</v>
      </c>
      <c r="J1516" t="str">
        <f t="shared" si="85"/>
        <v>Dungeness River</v>
      </c>
      <c r="K1516" t="str">
        <f>IFERROR(VLOOKUP(J1516,LUTs!$A$1:$C$73,2,FALSE),"NA")</f>
        <v>Clallam</v>
      </c>
      <c r="L1516" t="str">
        <f>IFERROR(VLOOKUP(J1516,LUTs!$A$1:$C$73,3,FALSE),"NA")</f>
        <v>0Strait of Juan de Fuca</v>
      </c>
      <c r="M1516" s="72" t="s">
        <v>16</v>
      </c>
      <c r="N1516" t="str">
        <f>VLOOKUP(M1516,LUTs!E$2:H$14,3,)</f>
        <v>03Snohomish</v>
      </c>
      <c r="O1516" t="str">
        <f>VLOOKUP(M1516,LUTs!E$2:H$14,4,)</f>
        <v>01North Puget Sound</v>
      </c>
      <c r="P1516" s="80">
        <v>6.2222222222222197</v>
      </c>
      <c r="Q1516" s="103">
        <v>3.1111111111111098</v>
      </c>
      <c r="R1516" s="74">
        <f>VLOOKUP(B1516,Readme!A$40:C$52,3,)*Q1516</f>
        <v>57.711111111111087</v>
      </c>
    </row>
    <row r="1517" spans="1:18" ht="12" customHeight="1" x14ac:dyDescent="0.35">
      <c r="A1517" s="75">
        <v>1361</v>
      </c>
      <c r="B1517" s="80">
        <v>2015</v>
      </c>
      <c r="C1517" s="80">
        <v>1</v>
      </c>
      <c r="D1517" s="80">
        <f t="shared" si="84"/>
        <v>2014</v>
      </c>
      <c r="E1517" t="s">
        <v>38</v>
      </c>
      <c r="F1517" t="s">
        <v>143</v>
      </c>
      <c r="G1517" t="s">
        <v>86</v>
      </c>
      <c r="H1517" s="72" t="s">
        <v>203</v>
      </c>
      <c r="I1517" s="72" t="s">
        <v>89</v>
      </c>
      <c r="J1517" s="84" t="s">
        <v>45</v>
      </c>
      <c r="K1517" t="str">
        <f>IFERROR(VLOOKUP(J1517,LUTs!$A$1:$C$73,2,FALSE),"NA")</f>
        <v>King</v>
      </c>
      <c r="L1517" t="str">
        <f>IFERROR(VLOOKUP(J1517,LUTs!$A$1:$C$73,3,FALSE),"NA")</f>
        <v>3South Puget Sound</v>
      </c>
      <c r="M1517" s="72" t="s">
        <v>18</v>
      </c>
      <c r="N1517" t="str">
        <f>VLOOKUP(M1517,LUTs!E$2:H$14,3,)</f>
        <v>06King</v>
      </c>
      <c r="O1517" t="str">
        <f>VLOOKUP(M1517,LUTs!E$2:H$14,4,)</f>
        <v>02South Puget Sound</v>
      </c>
      <c r="P1517" s="80">
        <v>86.307692307692307</v>
      </c>
      <c r="Q1517" s="103">
        <v>43.153846153846203</v>
      </c>
      <c r="R1517" s="74">
        <f>VLOOKUP(B1517,Readme!A$40:C$52,3,)*Q1517</f>
        <v>800.50384615384712</v>
      </c>
    </row>
    <row r="1518" spans="1:18" ht="12" customHeight="1" x14ac:dyDescent="0.35">
      <c r="A1518" s="75">
        <v>1362</v>
      </c>
      <c r="B1518" s="80">
        <v>2015</v>
      </c>
      <c r="C1518" s="80">
        <v>1</v>
      </c>
      <c r="D1518" s="80">
        <f t="shared" si="84"/>
        <v>2014</v>
      </c>
      <c r="E1518" t="s">
        <v>38</v>
      </c>
      <c r="F1518" t="s">
        <v>143</v>
      </c>
      <c r="G1518" t="s">
        <v>86</v>
      </c>
      <c r="H1518" s="72" t="s">
        <v>203</v>
      </c>
      <c r="I1518" s="72" t="s">
        <v>89</v>
      </c>
      <c r="J1518" s="84" t="s">
        <v>45</v>
      </c>
      <c r="K1518" t="str">
        <f>IFERROR(VLOOKUP(J1518,LUTs!$A$1:$C$73,2,FALSE),"NA")</f>
        <v>King</v>
      </c>
      <c r="L1518" t="str">
        <f>IFERROR(VLOOKUP(J1518,LUTs!$A$1:$C$73,3,FALSE),"NA")</f>
        <v>3South Puget Sound</v>
      </c>
      <c r="M1518" s="72" t="s">
        <v>20</v>
      </c>
      <c r="N1518" t="str">
        <f>VLOOKUP(M1518,LUTs!E$2:H$14,3,)</f>
        <v>07Pierce</v>
      </c>
      <c r="O1518" t="str">
        <f>VLOOKUP(M1518,LUTs!E$2:H$14,4,)</f>
        <v>02South Puget Sound</v>
      </c>
      <c r="P1518" s="80">
        <v>7.8461538461538503</v>
      </c>
      <c r="Q1518" s="103">
        <v>3.9230769230769198</v>
      </c>
      <c r="R1518" s="74">
        <f>VLOOKUP(B1518,Readme!A$40:C$52,3,)*Q1518</f>
        <v>72.773076923076871</v>
      </c>
    </row>
    <row r="1519" spans="1:18" ht="12" customHeight="1" x14ac:dyDescent="0.35">
      <c r="A1519" s="75">
        <v>1363</v>
      </c>
      <c r="B1519" s="80">
        <v>2015</v>
      </c>
      <c r="C1519" s="80">
        <v>1</v>
      </c>
      <c r="D1519" s="80">
        <f t="shared" si="84"/>
        <v>2014</v>
      </c>
      <c r="E1519" t="s">
        <v>38</v>
      </c>
      <c r="F1519" t="s">
        <v>143</v>
      </c>
      <c r="G1519" t="s">
        <v>86</v>
      </c>
      <c r="H1519" s="72" t="s">
        <v>203</v>
      </c>
      <c r="I1519" s="72" t="s">
        <v>89</v>
      </c>
      <c r="J1519" s="84" t="s">
        <v>45</v>
      </c>
      <c r="K1519" t="str">
        <f>IFERROR(VLOOKUP(J1519,LUTs!$A$1:$C$73,2,FALSE),"NA")</f>
        <v>King</v>
      </c>
      <c r="L1519" t="str">
        <f>IFERROR(VLOOKUP(J1519,LUTs!$A$1:$C$73,3,FALSE),"NA")</f>
        <v>3South Puget Sound</v>
      </c>
      <c r="M1519" s="72" t="s">
        <v>16</v>
      </c>
      <c r="N1519" t="str">
        <f>VLOOKUP(M1519,LUTs!E$2:H$14,3,)</f>
        <v>03Snohomish</v>
      </c>
      <c r="O1519" t="str">
        <f>VLOOKUP(M1519,LUTs!E$2:H$14,4,)</f>
        <v>01North Puget Sound</v>
      </c>
      <c r="P1519" s="80">
        <v>7.8461538461538503</v>
      </c>
      <c r="Q1519" s="103">
        <v>3.9230769230769198</v>
      </c>
      <c r="R1519" s="74">
        <f>VLOOKUP(B1519,Readme!A$40:C$52,3,)*Q1519</f>
        <v>72.773076923076871</v>
      </c>
    </row>
    <row r="1520" spans="1:18" ht="12" customHeight="1" x14ac:dyDescent="0.35">
      <c r="A1520" s="75">
        <v>1373</v>
      </c>
      <c r="B1520" s="80">
        <v>2015</v>
      </c>
      <c r="C1520" s="80">
        <v>1</v>
      </c>
      <c r="D1520" s="80">
        <f t="shared" si="84"/>
        <v>2014</v>
      </c>
      <c r="E1520" t="s">
        <v>38</v>
      </c>
      <c r="F1520" t="s">
        <v>143</v>
      </c>
      <c r="G1520" t="s">
        <v>86</v>
      </c>
      <c r="H1520" s="72" t="s">
        <v>204</v>
      </c>
      <c r="I1520" s="72" t="s">
        <v>46</v>
      </c>
      <c r="J1520" t="str">
        <f t="shared" ref="J1520:J1551" si="86">I1520</f>
        <v>Hoko River</v>
      </c>
      <c r="K1520" t="str">
        <f>IFERROR(VLOOKUP(J1520,LUTs!$A$1:$C$73,2,FALSE),"NA")</f>
        <v>Clallam</v>
      </c>
      <c r="L1520" t="str">
        <f>IFERROR(VLOOKUP(J1520,LUTs!$A$1:$C$73,3,FALSE),"NA")</f>
        <v>0Strait of Juan de Fuca</v>
      </c>
      <c r="M1520" s="72" t="s">
        <v>24</v>
      </c>
      <c r="N1520" t="str">
        <f>VLOOKUP(M1520,LUTs!E$2:H$14,3,)</f>
        <v>11Clallam</v>
      </c>
      <c r="O1520" t="str">
        <f>VLOOKUP(M1520,LUTs!E$2:H$14,4,)</f>
        <v>03Strait of Juan de Fuca</v>
      </c>
      <c r="P1520" s="80">
        <v>92.615384615384599</v>
      </c>
      <c r="Q1520" s="103">
        <v>46.307692307692299</v>
      </c>
      <c r="R1520" s="74">
        <f>VLOOKUP(B1520,Readme!A$40:C$52,3,)*Q1520</f>
        <v>859.0076923076922</v>
      </c>
    </row>
    <row r="1521" spans="1:18" ht="12" customHeight="1" x14ac:dyDescent="0.35">
      <c r="A1521" s="75">
        <v>1374</v>
      </c>
      <c r="B1521" s="80">
        <v>2015</v>
      </c>
      <c r="C1521" s="80">
        <v>1</v>
      </c>
      <c r="D1521" s="80">
        <f t="shared" si="84"/>
        <v>2014</v>
      </c>
      <c r="E1521" t="s">
        <v>38</v>
      </c>
      <c r="F1521" t="s">
        <v>143</v>
      </c>
      <c r="G1521" t="s">
        <v>86</v>
      </c>
      <c r="H1521" s="72" t="s">
        <v>204</v>
      </c>
      <c r="I1521" s="72" t="s">
        <v>46</v>
      </c>
      <c r="J1521" t="str">
        <f t="shared" si="86"/>
        <v>Hoko River</v>
      </c>
      <c r="K1521" t="str">
        <f>IFERROR(VLOOKUP(J1521,LUTs!$A$1:$C$73,2,FALSE),"NA")</f>
        <v>Clallam</v>
      </c>
      <c r="L1521" t="str">
        <f>IFERROR(VLOOKUP(J1521,LUTs!$A$1:$C$73,3,FALSE),"NA")</f>
        <v>0Strait of Juan de Fuca</v>
      </c>
      <c r="M1521" s="72" t="s">
        <v>25</v>
      </c>
      <c r="N1521" t="str">
        <f>VLOOKUP(M1521,LUTs!E$2:H$14,3,)</f>
        <v>12Jefferson</v>
      </c>
      <c r="O1521" t="str">
        <f>VLOOKUP(M1521,LUTs!E$2:H$14,4,)</f>
        <v>03Strait of Juan de Fuca</v>
      </c>
      <c r="P1521" s="80">
        <v>4.4102564102564097</v>
      </c>
      <c r="Q1521" s="103">
        <v>2.2051282051282102</v>
      </c>
      <c r="R1521" s="74">
        <f>VLOOKUP(B1521,Readme!A$40:C$52,3,)*Q1521</f>
        <v>40.9051282051283</v>
      </c>
    </row>
    <row r="1522" spans="1:18" ht="12" customHeight="1" x14ac:dyDescent="0.35">
      <c r="A1522" s="75">
        <v>1375</v>
      </c>
      <c r="B1522" s="80">
        <v>2015</v>
      </c>
      <c r="C1522" s="80">
        <v>1</v>
      </c>
      <c r="D1522" s="80">
        <f t="shared" si="84"/>
        <v>2014</v>
      </c>
      <c r="E1522" t="s">
        <v>38</v>
      </c>
      <c r="F1522" t="s">
        <v>143</v>
      </c>
      <c r="G1522" t="s">
        <v>86</v>
      </c>
      <c r="H1522" s="72" t="s">
        <v>204</v>
      </c>
      <c r="I1522" s="72" t="s">
        <v>46</v>
      </c>
      <c r="J1522" t="str">
        <f t="shared" si="86"/>
        <v>Hoko River</v>
      </c>
      <c r="K1522" t="str">
        <f>IFERROR(VLOOKUP(J1522,LUTs!$A$1:$C$73,2,FALSE),"NA")</f>
        <v>Clallam</v>
      </c>
      <c r="L1522" t="str">
        <f>IFERROR(VLOOKUP(J1522,LUTs!$A$1:$C$73,3,FALSE),"NA")</f>
        <v>0Strait of Juan de Fuca</v>
      </c>
      <c r="M1522" s="72" t="s">
        <v>23</v>
      </c>
      <c r="N1522" t="str">
        <f>VLOOKUP(M1522,LUTs!E$2:H$14,3,)</f>
        <v>10Kitsap</v>
      </c>
      <c r="O1522" t="str">
        <f>VLOOKUP(M1522,LUTs!E$2:H$14,4,)</f>
        <v>02South Puget Sound</v>
      </c>
      <c r="P1522" s="80">
        <v>8.8205128205128194</v>
      </c>
      <c r="Q1522" s="103">
        <v>4.4102564102564097</v>
      </c>
      <c r="R1522" s="74">
        <f>VLOOKUP(B1522,Readme!A$40:C$52,3,)*Q1522</f>
        <v>81.8102564102564</v>
      </c>
    </row>
    <row r="1523" spans="1:18" ht="12" customHeight="1" x14ac:dyDescent="0.35">
      <c r="A1523" s="75">
        <v>1376</v>
      </c>
      <c r="B1523" s="80">
        <v>2015</v>
      </c>
      <c r="C1523" s="80">
        <v>1</v>
      </c>
      <c r="D1523" s="80">
        <f t="shared" si="84"/>
        <v>2014</v>
      </c>
      <c r="E1523" t="s">
        <v>38</v>
      </c>
      <c r="F1523" t="s">
        <v>143</v>
      </c>
      <c r="G1523" t="s">
        <v>86</v>
      </c>
      <c r="H1523" s="72" t="s">
        <v>204</v>
      </c>
      <c r="I1523" s="72" t="s">
        <v>46</v>
      </c>
      <c r="J1523" t="str">
        <f t="shared" si="86"/>
        <v>Hoko River</v>
      </c>
      <c r="K1523" t="str">
        <f>IFERROR(VLOOKUP(J1523,LUTs!$A$1:$C$73,2,FALSE),"NA")</f>
        <v>Clallam</v>
      </c>
      <c r="L1523" t="str">
        <f>IFERROR(VLOOKUP(J1523,LUTs!$A$1:$C$73,3,FALSE),"NA")</f>
        <v>0Strait of Juan de Fuca</v>
      </c>
      <c r="M1523" s="72" t="s">
        <v>26</v>
      </c>
      <c r="N1523" t="str">
        <f>VLOOKUP(M1523,LUTs!E$2:H$14,3,)</f>
        <v>20Other</v>
      </c>
      <c r="O1523" t="str">
        <f>VLOOKUP(M1523,LUTs!E$2:H$14,4,)</f>
        <v>07Non Puget Sound</v>
      </c>
      <c r="P1523" s="80">
        <v>22.051282051282101</v>
      </c>
      <c r="Q1523" s="103">
        <v>11.025641025641001</v>
      </c>
      <c r="R1523" s="74">
        <f>VLOOKUP(B1523,Readme!A$40:C$52,3,)*Q1523</f>
        <v>204.52564102564057</v>
      </c>
    </row>
    <row r="1524" spans="1:18" ht="12" customHeight="1" x14ac:dyDescent="0.35">
      <c r="A1524" s="75">
        <v>1377</v>
      </c>
      <c r="B1524" s="80">
        <v>2015</v>
      </c>
      <c r="C1524" s="80">
        <v>1</v>
      </c>
      <c r="D1524" s="80">
        <f t="shared" si="84"/>
        <v>2014</v>
      </c>
      <c r="E1524" t="s">
        <v>38</v>
      </c>
      <c r="F1524" t="s">
        <v>143</v>
      </c>
      <c r="G1524" t="s">
        <v>86</v>
      </c>
      <c r="H1524" s="72" t="s">
        <v>204</v>
      </c>
      <c r="I1524" s="72" t="s">
        <v>46</v>
      </c>
      <c r="J1524" t="str">
        <f t="shared" si="86"/>
        <v>Hoko River</v>
      </c>
      <c r="K1524" t="str">
        <f>IFERROR(VLOOKUP(J1524,LUTs!$A$1:$C$73,2,FALSE),"NA")</f>
        <v>Clallam</v>
      </c>
      <c r="L1524" t="str">
        <f>IFERROR(VLOOKUP(J1524,LUTs!$A$1:$C$73,3,FALSE),"NA")</f>
        <v>0Strait of Juan de Fuca</v>
      </c>
      <c r="M1524" s="72" t="s">
        <v>20</v>
      </c>
      <c r="N1524" t="str">
        <f>VLOOKUP(M1524,LUTs!E$2:H$14,3,)</f>
        <v>07Pierce</v>
      </c>
      <c r="O1524" t="str">
        <f>VLOOKUP(M1524,LUTs!E$2:H$14,4,)</f>
        <v>02South Puget Sound</v>
      </c>
      <c r="P1524" s="80">
        <v>44.102564102564102</v>
      </c>
      <c r="Q1524" s="103">
        <v>22.051282051282101</v>
      </c>
      <c r="R1524" s="74">
        <f>VLOOKUP(B1524,Readme!A$40:C$52,3,)*Q1524</f>
        <v>409.05128205128301</v>
      </c>
    </row>
    <row r="1525" spans="1:18" ht="12" customHeight="1" x14ac:dyDescent="0.35">
      <c r="A1525" s="75">
        <v>1382</v>
      </c>
      <c r="B1525" s="80">
        <v>2015</v>
      </c>
      <c r="C1525" s="80">
        <v>1</v>
      </c>
      <c r="D1525" s="80">
        <f t="shared" si="84"/>
        <v>2014</v>
      </c>
      <c r="E1525" t="s">
        <v>38</v>
      </c>
      <c r="F1525" t="s">
        <v>143</v>
      </c>
      <c r="G1525" t="s">
        <v>86</v>
      </c>
      <c r="H1525" s="72" t="s">
        <v>237</v>
      </c>
      <c r="I1525" s="72" t="s">
        <v>79</v>
      </c>
      <c r="J1525" t="str">
        <f t="shared" si="86"/>
        <v>Lyre River</v>
      </c>
      <c r="K1525" t="str">
        <f>IFERROR(VLOOKUP(J1525,LUTs!$A$1:$C$73,2,FALSE),"NA")</f>
        <v>Clallam</v>
      </c>
      <c r="L1525" t="str">
        <f>IFERROR(VLOOKUP(J1525,LUTs!$A$1:$C$73,3,FALSE),"NA")</f>
        <v>0Strait of Juan de Fuca</v>
      </c>
      <c r="M1525" s="72" t="s">
        <v>24</v>
      </c>
      <c r="N1525" t="str">
        <f>VLOOKUP(M1525,LUTs!E$2:H$14,3,)</f>
        <v>11Clallam</v>
      </c>
      <c r="O1525" t="str">
        <f>VLOOKUP(M1525,LUTs!E$2:H$14,4,)</f>
        <v>03Strait of Juan de Fuca</v>
      </c>
      <c r="P1525" s="80">
        <v>6</v>
      </c>
      <c r="Q1525" s="103">
        <v>3</v>
      </c>
      <c r="R1525" s="74">
        <f>VLOOKUP(B1525,Readme!A$40:C$52,3,)*Q1525</f>
        <v>55.650000000000006</v>
      </c>
    </row>
    <row r="1526" spans="1:18" ht="12" customHeight="1" x14ac:dyDescent="0.35">
      <c r="A1526" s="75">
        <v>1390</v>
      </c>
      <c r="B1526" s="80">
        <v>2015</v>
      </c>
      <c r="C1526" s="80">
        <v>1</v>
      </c>
      <c r="D1526" s="80">
        <f t="shared" si="84"/>
        <v>2014</v>
      </c>
      <c r="E1526" t="s">
        <v>38</v>
      </c>
      <c r="F1526" t="s">
        <v>143</v>
      </c>
      <c r="G1526" t="s">
        <v>86</v>
      </c>
      <c r="H1526" s="72" t="s">
        <v>241</v>
      </c>
      <c r="I1526" s="72" t="s">
        <v>83</v>
      </c>
      <c r="J1526" t="str">
        <f t="shared" si="86"/>
        <v>Nooksack River, below North Fork</v>
      </c>
      <c r="K1526" t="str">
        <f>IFERROR(VLOOKUP(J1526,LUTs!$A$1:$C$73,2,FALSE),"NA")</f>
        <v>Whatcom</v>
      </c>
      <c r="L1526" t="str">
        <f>IFERROR(VLOOKUP(J1526,LUTs!$A$1:$C$73,3,FALSE),"NA")</f>
        <v>1North Puget Sound</v>
      </c>
      <c r="M1526" s="72" t="s">
        <v>13</v>
      </c>
      <c r="N1526" t="str">
        <f>VLOOKUP(M1526,LUTs!E$2:H$14,3,)</f>
        <v>01Whatcom</v>
      </c>
      <c r="O1526" t="str">
        <f>VLOOKUP(M1526,LUTs!E$2:H$14,4,)</f>
        <v>01North Puget Sound</v>
      </c>
      <c r="P1526" s="80">
        <v>74</v>
      </c>
      <c r="Q1526" s="103">
        <v>37</v>
      </c>
      <c r="R1526" s="74">
        <f>VLOOKUP(B1526,Readme!A$40:C$52,3,)*Q1526</f>
        <v>686.35</v>
      </c>
    </row>
    <row r="1527" spans="1:18" ht="12" customHeight="1" x14ac:dyDescent="0.35">
      <c r="A1527" s="75">
        <v>1384</v>
      </c>
      <c r="B1527" s="80">
        <v>2015</v>
      </c>
      <c r="C1527" s="80">
        <v>1</v>
      </c>
      <c r="D1527" s="80">
        <f t="shared" si="84"/>
        <v>2014</v>
      </c>
      <c r="E1527" t="s">
        <v>38</v>
      </c>
      <c r="F1527" t="s">
        <v>143</v>
      </c>
      <c r="G1527" t="s">
        <v>86</v>
      </c>
      <c r="H1527" s="72" t="s">
        <v>239</v>
      </c>
      <c r="I1527" s="72" t="s">
        <v>92</v>
      </c>
      <c r="J1527" t="str">
        <f t="shared" si="86"/>
        <v>Nooksack River, No. Fork</v>
      </c>
      <c r="K1527" t="str">
        <f>IFERROR(VLOOKUP(J1527,LUTs!$A$1:$C$73,2,FALSE),"NA")</f>
        <v>Whatcom</v>
      </c>
      <c r="L1527" t="str">
        <f>IFERROR(VLOOKUP(J1527,LUTs!$A$1:$C$73,3,FALSE),"NA")</f>
        <v>1North Puget Sound</v>
      </c>
      <c r="M1527" s="72" t="s">
        <v>20</v>
      </c>
      <c r="N1527" t="str">
        <f>VLOOKUP(M1527,LUTs!E$2:H$14,3,)</f>
        <v>07Pierce</v>
      </c>
      <c r="O1527" t="str">
        <f>VLOOKUP(M1527,LUTs!E$2:H$14,4,)</f>
        <v>02South Puget Sound</v>
      </c>
      <c r="P1527" s="80">
        <v>6.1111111111111098</v>
      </c>
      <c r="Q1527" s="103">
        <v>3.0555555555555598</v>
      </c>
      <c r="R1527" s="74">
        <f>VLOOKUP(B1527,Readme!A$40:C$52,3,)*Q1527</f>
        <v>56.680555555555635</v>
      </c>
    </row>
    <row r="1528" spans="1:18" ht="12" customHeight="1" x14ac:dyDescent="0.35">
      <c r="A1528" s="75">
        <v>1385</v>
      </c>
      <c r="B1528" s="80">
        <v>2015</v>
      </c>
      <c r="C1528" s="80">
        <v>1</v>
      </c>
      <c r="D1528" s="80">
        <f t="shared" si="84"/>
        <v>2014</v>
      </c>
      <c r="E1528" t="s">
        <v>38</v>
      </c>
      <c r="F1528" t="s">
        <v>143</v>
      </c>
      <c r="G1528" t="s">
        <v>86</v>
      </c>
      <c r="H1528" s="72" t="s">
        <v>239</v>
      </c>
      <c r="I1528" s="72" t="s">
        <v>92</v>
      </c>
      <c r="J1528" t="str">
        <f t="shared" si="86"/>
        <v>Nooksack River, No. Fork</v>
      </c>
      <c r="K1528" t="str">
        <f>IFERROR(VLOOKUP(J1528,LUTs!$A$1:$C$73,2,FALSE),"NA")</f>
        <v>Whatcom</v>
      </c>
      <c r="L1528" t="str">
        <f>IFERROR(VLOOKUP(J1528,LUTs!$A$1:$C$73,3,FALSE),"NA")</f>
        <v>1North Puget Sound</v>
      </c>
      <c r="M1528" s="72" t="s">
        <v>13</v>
      </c>
      <c r="N1528" t="str">
        <f>VLOOKUP(M1528,LUTs!E$2:H$14,3,)</f>
        <v>01Whatcom</v>
      </c>
      <c r="O1528" t="str">
        <f>VLOOKUP(M1528,LUTs!E$2:H$14,4,)</f>
        <v>01North Puget Sound</v>
      </c>
      <c r="P1528" s="80">
        <v>103.888888888889</v>
      </c>
      <c r="Q1528" s="103">
        <v>51.9444444444445</v>
      </c>
      <c r="R1528" s="74">
        <f>VLOOKUP(B1528,Readme!A$40:C$52,3,)*Q1528</f>
        <v>963.56944444444548</v>
      </c>
    </row>
    <row r="1529" spans="1:18" ht="12" customHeight="1" x14ac:dyDescent="0.35">
      <c r="A1529" s="75">
        <v>1387</v>
      </c>
      <c r="B1529" s="80">
        <v>2015</v>
      </c>
      <c r="C1529" s="80">
        <v>1</v>
      </c>
      <c r="D1529" s="80">
        <f t="shared" si="84"/>
        <v>2014</v>
      </c>
      <c r="E1529" t="s">
        <v>38</v>
      </c>
      <c r="F1529" t="s">
        <v>143</v>
      </c>
      <c r="G1529" t="s">
        <v>86</v>
      </c>
      <c r="H1529" s="72" t="s">
        <v>240</v>
      </c>
      <c r="I1529" s="72" t="s">
        <v>93</v>
      </c>
      <c r="J1529" t="str">
        <f t="shared" si="86"/>
        <v>Nooksack River, So. Fork</v>
      </c>
      <c r="K1529" t="str">
        <f>IFERROR(VLOOKUP(J1529,LUTs!$A$1:$C$73,2,FALSE),"NA")</f>
        <v>Whatcom</v>
      </c>
      <c r="L1529" t="str">
        <f>IFERROR(VLOOKUP(J1529,LUTs!$A$1:$C$73,3,FALSE),"NA")</f>
        <v>1North Puget Sound</v>
      </c>
      <c r="M1529" s="72" t="s">
        <v>16</v>
      </c>
      <c r="N1529" t="str">
        <f>VLOOKUP(M1529,LUTs!E$2:H$14,3,)</f>
        <v>03Snohomish</v>
      </c>
      <c r="O1529" t="str">
        <f>VLOOKUP(M1529,LUTs!E$2:H$14,4,)</f>
        <v>01North Puget Sound</v>
      </c>
      <c r="P1529" s="80">
        <v>6</v>
      </c>
      <c r="Q1529" s="103">
        <v>3</v>
      </c>
      <c r="R1529" s="74">
        <f>VLOOKUP(B1529,Readme!A$40:C$52,3,)*Q1529</f>
        <v>55.650000000000006</v>
      </c>
    </row>
    <row r="1530" spans="1:18" ht="12" customHeight="1" x14ac:dyDescent="0.35">
      <c r="A1530" s="75">
        <v>1431</v>
      </c>
      <c r="B1530" s="80">
        <v>2015</v>
      </c>
      <c r="C1530" s="80">
        <v>1</v>
      </c>
      <c r="D1530" s="80">
        <f t="shared" si="84"/>
        <v>2014</v>
      </c>
      <c r="E1530" t="s">
        <v>38</v>
      </c>
      <c r="F1530" t="s">
        <v>143</v>
      </c>
      <c r="G1530" t="s">
        <v>86</v>
      </c>
      <c r="H1530" s="72" t="s">
        <v>228</v>
      </c>
      <c r="I1530" s="72" t="s">
        <v>70</v>
      </c>
      <c r="J1530" t="str">
        <f t="shared" si="86"/>
        <v>Pilchuck River (Snohomish System)</v>
      </c>
      <c r="K1530" t="str">
        <f>IFERROR(VLOOKUP(J1530,LUTs!$A$1:$C$73,2,FALSE),"NA")</f>
        <v>Snohomish</v>
      </c>
      <c r="L1530" t="str">
        <f>IFERROR(VLOOKUP(J1530,LUTs!$A$1:$C$73,3,FALSE),"NA")</f>
        <v>2Central Puget Sound</v>
      </c>
      <c r="M1530" s="72" t="s">
        <v>18</v>
      </c>
      <c r="N1530" t="str">
        <f>VLOOKUP(M1530,LUTs!E$2:H$14,3,)</f>
        <v>06King</v>
      </c>
      <c r="O1530" t="str">
        <f>VLOOKUP(M1530,LUTs!E$2:H$14,4,)</f>
        <v>02South Puget Sound</v>
      </c>
      <c r="P1530" s="80">
        <v>14</v>
      </c>
      <c r="Q1530" s="103">
        <v>7</v>
      </c>
      <c r="R1530" s="74">
        <f>VLOOKUP(B1530,Readme!A$40:C$52,3,)*Q1530</f>
        <v>129.85</v>
      </c>
    </row>
    <row r="1531" spans="1:18" ht="12" customHeight="1" x14ac:dyDescent="0.35">
      <c r="A1531" s="75">
        <v>1396</v>
      </c>
      <c r="B1531" s="80">
        <v>2015</v>
      </c>
      <c r="C1531" s="80">
        <v>1</v>
      </c>
      <c r="D1531" s="80">
        <f t="shared" si="84"/>
        <v>2014</v>
      </c>
      <c r="E1531" t="s">
        <v>38</v>
      </c>
      <c r="F1531" t="s">
        <v>143</v>
      </c>
      <c r="G1531" t="s">
        <v>86</v>
      </c>
      <c r="H1531" s="72" t="s">
        <v>227</v>
      </c>
      <c r="I1531" s="72" t="s">
        <v>69</v>
      </c>
      <c r="J1531" t="str">
        <f t="shared" si="86"/>
        <v>Pysht River</v>
      </c>
      <c r="K1531" t="str">
        <f>IFERROR(VLOOKUP(J1531,LUTs!$A$1:$C$73,2,FALSE),"NA")</f>
        <v>Clallam</v>
      </c>
      <c r="L1531" t="str">
        <f>IFERROR(VLOOKUP(J1531,LUTs!$A$1:$C$73,3,FALSE),"NA")</f>
        <v>0Strait of Juan de Fuca</v>
      </c>
      <c r="M1531" s="72" t="s">
        <v>24</v>
      </c>
      <c r="N1531" t="str">
        <f>VLOOKUP(M1531,LUTs!E$2:H$14,3,)</f>
        <v>11Clallam</v>
      </c>
      <c r="O1531" t="str">
        <f>VLOOKUP(M1531,LUTs!E$2:H$14,4,)</f>
        <v>03Strait of Juan de Fuca</v>
      </c>
      <c r="P1531" s="80">
        <v>18</v>
      </c>
      <c r="Q1531" s="103">
        <v>9</v>
      </c>
      <c r="R1531" s="74">
        <f>VLOOKUP(B1531,Readme!A$40:C$52,3,)*Q1531</f>
        <v>166.95000000000002</v>
      </c>
    </row>
    <row r="1532" spans="1:18" ht="12" customHeight="1" x14ac:dyDescent="0.35">
      <c r="A1532" s="75">
        <v>1400</v>
      </c>
      <c r="B1532" s="80">
        <v>2015</v>
      </c>
      <c r="C1532" s="80">
        <v>1</v>
      </c>
      <c r="D1532" s="80">
        <f t="shared" si="84"/>
        <v>2014</v>
      </c>
      <c r="E1532" t="s">
        <v>38</v>
      </c>
      <c r="F1532" t="s">
        <v>143</v>
      </c>
      <c r="G1532" t="s">
        <v>86</v>
      </c>
      <c r="H1532" s="72" t="s">
        <v>244</v>
      </c>
      <c r="I1532" s="72" t="s">
        <v>95</v>
      </c>
      <c r="J1532" t="str">
        <f t="shared" si="86"/>
        <v>Sekiu River</v>
      </c>
      <c r="K1532" t="str">
        <f>IFERROR(VLOOKUP(J1532,LUTs!$A$1:$C$73,2,FALSE),"NA")</f>
        <v>Clallam</v>
      </c>
      <c r="L1532" t="str">
        <f>IFERROR(VLOOKUP(J1532,LUTs!$A$1:$C$73,3,FALSE),"NA")</f>
        <v>0Strait of Juan de Fuca</v>
      </c>
      <c r="M1532" s="72" t="s">
        <v>24</v>
      </c>
      <c r="N1532" t="str">
        <f>VLOOKUP(M1532,LUTs!E$2:H$14,3,)</f>
        <v>11Clallam</v>
      </c>
      <c r="O1532" t="str">
        <f>VLOOKUP(M1532,LUTs!E$2:H$14,4,)</f>
        <v>03Strait of Juan de Fuca</v>
      </c>
      <c r="P1532" s="80">
        <v>6</v>
      </c>
      <c r="Q1532" s="103">
        <v>3</v>
      </c>
      <c r="R1532" s="74">
        <f>VLOOKUP(B1532,Readme!A$40:C$52,3,)*Q1532</f>
        <v>55.650000000000006</v>
      </c>
    </row>
    <row r="1533" spans="1:18" ht="12" customHeight="1" x14ac:dyDescent="0.35">
      <c r="A1533" s="75">
        <v>1425</v>
      </c>
      <c r="B1533" s="80">
        <v>2015</v>
      </c>
      <c r="C1533" s="80">
        <v>1</v>
      </c>
      <c r="D1533" s="80">
        <f t="shared" si="84"/>
        <v>2014</v>
      </c>
      <c r="E1533" t="s">
        <v>38</v>
      </c>
      <c r="F1533" t="s">
        <v>143</v>
      </c>
      <c r="G1533" t="s">
        <v>86</v>
      </c>
      <c r="H1533" s="72" t="s">
        <v>218</v>
      </c>
      <c r="I1533" s="72" t="s">
        <v>60</v>
      </c>
      <c r="J1533" t="str">
        <f t="shared" si="86"/>
        <v>Skagit River</v>
      </c>
      <c r="K1533" t="str">
        <f>IFERROR(VLOOKUP(J1533,LUTs!$A$1:$C$73,2,FALSE),"NA")</f>
        <v>Skagit/Whatcom</v>
      </c>
      <c r="L1533" t="str">
        <f>IFERROR(VLOOKUP(J1533,LUTs!$A$1:$C$73,3,FALSE),"NA")</f>
        <v>2Central Puget Sound</v>
      </c>
      <c r="M1533" s="72" t="s">
        <v>17</v>
      </c>
      <c r="N1533" t="str">
        <f>VLOOKUP(M1533,LUTs!E$2:H$14,3,)</f>
        <v>04Island</v>
      </c>
      <c r="O1533" t="str">
        <f>VLOOKUP(M1533,LUTs!E$2:H$14,4,)</f>
        <v>01North Puget Sound</v>
      </c>
      <c r="P1533" s="80">
        <v>6.5</v>
      </c>
      <c r="Q1533" s="103">
        <v>3.25</v>
      </c>
      <c r="R1533" s="74">
        <f>VLOOKUP(B1533,Readme!A$40:C$52,3,)*Q1533</f>
        <v>60.287500000000001</v>
      </c>
    </row>
    <row r="1534" spans="1:18" ht="12" customHeight="1" x14ac:dyDescent="0.35">
      <c r="A1534" s="75">
        <v>1426</v>
      </c>
      <c r="B1534" s="80">
        <v>2015</v>
      </c>
      <c r="C1534" s="80">
        <v>1</v>
      </c>
      <c r="D1534" s="80">
        <f t="shared" si="84"/>
        <v>2014</v>
      </c>
      <c r="E1534" t="s">
        <v>38</v>
      </c>
      <c r="F1534" t="s">
        <v>143</v>
      </c>
      <c r="G1534" t="s">
        <v>86</v>
      </c>
      <c r="H1534" s="72" t="s">
        <v>218</v>
      </c>
      <c r="I1534" s="72" t="s">
        <v>60</v>
      </c>
      <c r="J1534" t="str">
        <f t="shared" si="86"/>
        <v>Skagit River</v>
      </c>
      <c r="K1534" t="str">
        <f>IFERROR(VLOOKUP(J1534,LUTs!$A$1:$C$73,2,FALSE),"NA")</f>
        <v>Skagit/Whatcom</v>
      </c>
      <c r="L1534" t="str">
        <f>IFERROR(VLOOKUP(J1534,LUTs!$A$1:$C$73,3,FALSE),"NA")</f>
        <v>2Central Puget Sound</v>
      </c>
      <c r="M1534" s="72" t="s">
        <v>18</v>
      </c>
      <c r="N1534" t="str">
        <f>VLOOKUP(M1534,LUTs!E$2:H$14,3,)</f>
        <v>06King</v>
      </c>
      <c r="O1534" t="str">
        <f>VLOOKUP(M1534,LUTs!E$2:H$14,4,)</f>
        <v>02South Puget Sound</v>
      </c>
      <c r="P1534" s="80">
        <v>6.5</v>
      </c>
      <c r="Q1534" s="103">
        <v>3.25</v>
      </c>
      <c r="R1534" s="74">
        <f>VLOOKUP(B1534,Readme!A$40:C$52,3,)*Q1534</f>
        <v>60.287500000000001</v>
      </c>
    </row>
    <row r="1535" spans="1:18" ht="12" customHeight="1" x14ac:dyDescent="0.35">
      <c r="A1535" s="75">
        <v>1427</v>
      </c>
      <c r="B1535" s="80">
        <v>2015</v>
      </c>
      <c r="C1535" s="80">
        <v>1</v>
      </c>
      <c r="D1535" s="80">
        <f t="shared" si="84"/>
        <v>2014</v>
      </c>
      <c r="E1535" t="s">
        <v>38</v>
      </c>
      <c r="F1535" t="s">
        <v>143</v>
      </c>
      <c r="G1535" t="s">
        <v>86</v>
      </c>
      <c r="H1535" s="72" t="s">
        <v>218</v>
      </c>
      <c r="I1535" s="72" t="s">
        <v>60</v>
      </c>
      <c r="J1535" t="str">
        <f t="shared" si="86"/>
        <v>Skagit River</v>
      </c>
      <c r="K1535" t="str">
        <f>IFERROR(VLOOKUP(J1535,LUTs!$A$1:$C$73,2,FALSE),"NA")</f>
        <v>Skagit/Whatcom</v>
      </c>
      <c r="L1535" t="str">
        <f>IFERROR(VLOOKUP(J1535,LUTs!$A$1:$C$73,3,FALSE),"NA")</f>
        <v>2Central Puget Sound</v>
      </c>
      <c r="M1535" s="72" t="s">
        <v>15</v>
      </c>
      <c r="N1535" t="str">
        <f>VLOOKUP(M1535,LUTs!E$2:H$14,3,)</f>
        <v>02Skagit</v>
      </c>
      <c r="O1535" t="str">
        <f>VLOOKUP(M1535,LUTs!E$2:H$14,4,)</f>
        <v>01North Puget Sound</v>
      </c>
      <c r="P1535" s="80">
        <v>13</v>
      </c>
      <c r="Q1535" s="103">
        <v>6.5</v>
      </c>
      <c r="R1535" s="74">
        <f>VLOOKUP(B1535,Readme!A$40:C$52,3,)*Q1535</f>
        <v>120.575</v>
      </c>
    </row>
    <row r="1536" spans="1:18" ht="12" customHeight="1" x14ac:dyDescent="0.35">
      <c r="A1536" s="75">
        <v>1465</v>
      </c>
      <c r="B1536" s="80">
        <v>2015</v>
      </c>
      <c r="C1536" s="80">
        <v>1</v>
      </c>
      <c r="D1536" s="80">
        <f t="shared" si="84"/>
        <v>2014</v>
      </c>
      <c r="E1536" t="s">
        <v>38</v>
      </c>
      <c r="F1536" t="s">
        <v>143</v>
      </c>
      <c r="G1536" t="s">
        <v>86</v>
      </c>
      <c r="H1536" s="72" t="s">
        <v>220</v>
      </c>
      <c r="I1536" s="72" t="s">
        <v>62</v>
      </c>
      <c r="J1536" t="str">
        <f t="shared" si="86"/>
        <v>Skykomish River</v>
      </c>
      <c r="K1536" t="str">
        <f>IFERROR(VLOOKUP(J1536,LUTs!$A$1:$C$73,2,FALSE),"NA")</f>
        <v>Snohomish</v>
      </c>
      <c r="L1536" t="str">
        <f>IFERROR(VLOOKUP(J1536,LUTs!$A$1:$C$73,3,FALSE),"NA")</f>
        <v>2Central Puget Sound</v>
      </c>
      <c r="M1536" s="72" t="s">
        <v>18</v>
      </c>
      <c r="N1536" t="str">
        <f>VLOOKUP(M1536,LUTs!E$2:H$14,3,)</f>
        <v>06King</v>
      </c>
      <c r="O1536" t="str">
        <f>VLOOKUP(M1536,LUTs!E$2:H$14,4,)</f>
        <v>02South Puget Sound</v>
      </c>
      <c r="P1536" s="80">
        <v>488.46153846153902</v>
      </c>
      <c r="Q1536" s="103">
        <v>244.230769230769</v>
      </c>
      <c r="R1536" s="74">
        <f>VLOOKUP(B1536,Readme!A$40:C$52,3,)*Q1536</f>
        <v>4530.480769230765</v>
      </c>
    </row>
    <row r="1537" spans="1:18" ht="12" customHeight="1" x14ac:dyDescent="0.35">
      <c r="A1537" s="75">
        <v>1466</v>
      </c>
      <c r="B1537" s="80">
        <v>2015</v>
      </c>
      <c r="C1537" s="80">
        <v>1</v>
      </c>
      <c r="D1537" s="80">
        <f t="shared" si="84"/>
        <v>2014</v>
      </c>
      <c r="E1537" t="s">
        <v>38</v>
      </c>
      <c r="F1537" t="s">
        <v>143</v>
      </c>
      <c r="G1537" t="s">
        <v>86</v>
      </c>
      <c r="H1537" s="72" t="s">
        <v>220</v>
      </c>
      <c r="I1537" s="72" t="s">
        <v>62</v>
      </c>
      <c r="J1537" t="str">
        <f t="shared" si="86"/>
        <v>Skykomish River</v>
      </c>
      <c r="K1537" t="str">
        <f>IFERROR(VLOOKUP(J1537,LUTs!$A$1:$C$73,2,FALSE),"NA")</f>
        <v>Snohomish</v>
      </c>
      <c r="L1537" t="str">
        <f>IFERROR(VLOOKUP(J1537,LUTs!$A$1:$C$73,3,FALSE),"NA")</f>
        <v>2Central Puget Sound</v>
      </c>
      <c r="M1537" s="72" t="s">
        <v>23</v>
      </c>
      <c r="N1537" t="str">
        <f>VLOOKUP(M1537,LUTs!E$2:H$14,3,)</f>
        <v>10Kitsap</v>
      </c>
      <c r="O1537" t="str">
        <f>VLOOKUP(M1537,LUTs!E$2:H$14,4,)</f>
        <v>02South Puget Sound</v>
      </c>
      <c r="P1537" s="80">
        <v>19.538461538461501</v>
      </c>
      <c r="Q1537" s="103">
        <v>9.7692307692307701</v>
      </c>
      <c r="R1537" s="74">
        <f>VLOOKUP(B1537,Readme!A$40:C$52,3,)*Q1537</f>
        <v>181.21923076923079</v>
      </c>
    </row>
    <row r="1538" spans="1:18" ht="12" customHeight="1" x14ac:dyDescent="0.35">
      <c r="A1538" s="75">
        <v>1467</v>
      </c>
      <c r="B1538" s="80">
        <v>2015</v>
      </c>
      <c r="C1538" s="80">
        <v>1</v>
      </c>
      <c r="D1538" s="80">
        <f t="shared" ref="D1538:D1601" si="87">IF(C1538&gt;3,B1538,B1538-1)</f>
        <v>2014</v>
      </c>
      <c r="E1538" t="s">
        <v>38</v>
      </c>
      <c r="F1538" t="s">
        <v>143</v>
      </c>
      <c r="G1538" t="s">
        <v>86</v>
      </c>
      <c r="H1538" s="72" t="s">
        <v>220</v>
      </c>
      <c r="I1538" s="72" t="s">
        <v>62</v>
      </c>
      <c r="J1538" t="str">
        <f t="shared" si="86"/>
        <v>Skykomish River</v>
      </c>
      <c r="K1538" t="str">
        <f>IFERROR(VLOOKUP(J1538,LUTs!$A$1:$C$73,2,FALSE),"NA")</f>
        <v>Snohomish</v>
      </c>
      <c r="L1538" t="str">
        <f>IFERROR(VLOOKUP(J1538,LUTs!$A$1:$C$73,3,FALSE),"NA")</f>
        <v>2Central Puget Sound</v>
      </c>
      <c r="M1538" s="72" t="s">
        <v>26</v>
      </c>
      <c r="N1538" t="str">
        <f>VLOOKUP(M1538,LUTs!E$2:H$14,3,)</f>
        <v>20Other</v>
      </c>
      <c r="O1538" t="str">
        <f>VLOOKUP(M1538,LUTs!E$2:H$14,4,)</f>
        <v>07Non Puget Sound</v>
      </c>
      <c r="P1538" s="80">
        <v>32.564102564102598</v>
      </c>
      <c r="Q1538" s="103">
        <v>16.282051282051299</v>
      </c>
      <c r="R1538" s="74">
        <f>VLOOKUP(B1538,Readme!A$40:C$52,3,)*Q1538</f>
        <v>302.03205128205161</v>
      </c>
    </row>
    <row r="1539" spans="1:18" ht="12" customHeight="1" x14ac:dyDescent="0.35">
      <c r="A1539" s="75">
        <v>1468</v>
      </c>
      <c r="B1539" s="80">
        <v>2015</v>
      </c>
      <c r="C1539" s="80">
        <v>1</v>
      </c>
      <c r="D1539" s="80">
        <f t="shared" si="87"/>
        <v>2014</v>
      </c>
      <c r="E1539" t="s">
        <v>38</v>
      </c>
      <c r="F1539" t="s">
        <v>143</v>
      </c>
      <c r="G1539" t="s">
        <v>86</v>
      </c>
      <c r="H1539" s="72" t="s">
        <v>220</v>
      </c>
      <c r="I1539" s="72" t="s">
        <v>62</v>
      </c>
      <c r="J1539" t="str">
        <f t="shared" si="86"/>
        <v>Skykomish River</v>
      </c>
      <c r="K1539" t="str">
        <f>IFERROR(VLOOKUP(J1539,LUTs!$A$1:$C$73,2,FALSE),"NA")</f>
        <v>Snohomish</v>
      </c>
      <c r="L1539" t="str">
        <f>IFERROR(VLOOKUP(J1539,LUTs!$A$1:$C$73,3,FALSE),"NA")</f>
        <v>2Central Puget Sound</v>
      </c>
      <c r="M1539" s="72" t="s">
        <v>20</v>
      </c>
      <c r="N1539" t="str">
        <f>VLOOKUP(M1539,LUTs!E$2:H$14,3,)</f>
        <v>07Pierce</v>
      </c>
      <c r="O1539" t="str">
        <f>VLOOKUP(M1539,LUTs!E$2:H$14,4,)</f>
        <v>02South Puget Sound</v>
      </c>
      <c r="P1539" s="80">
        <v>32.564102564102598</v>
      </c>
      <c r="Q1539" s="103">
        <v>16.282051282051299</v>
      </c>
      <c r="R1539" s="74">
        <f>VLOOKUP(B1539,Readme!A$40:C$52,3,)*Q1539</f>
        <v>302.03205128205161</v>
      </c>
    </row>
    <row r="1540" spans="1:18" ht="12" customHeight="1" x14ac:dyDescent="0.35">
      <c r="A1540" s="75">
        <v>1469</v>
      </c>
      <c r="B1540" s="80">
        <v>2015</v>
      </c>
      <c r="C1540" s="80">
        <v>1</v>
      </c>
      <c r="D1540" s="80">
        <f t="shared" si="87"/>
        <v>2014</v>
      </c>
      <c r="E1540" t="s">
        <v>38</v>
      </c>
      <c r="F1540" t="s">
        <v>143</v>
      </c>
      <c r="G1540" t="s">
        <v>86</v>
      </c>
      <c r="H1540" s="72" t="s">
        <v>220</v>
      </c>
      <c r="I1540" s="72" t="s">
        <v>62</v>
      </c>
      <c r="J1540" t="str">
        <f t="shared" si="86"/>
        <v>Skykomish River</v>
      </c>
      <c r="K1540" t="str">
        <f>IFERROR(VLOOKUP(J1540,LUTs!$A$1:$C$73,2,FALSE),"NA")</f>
        <v>Snohomish</v>
      </c>
      <c r="L1540" t="str">
        <f>IFERROR(VLOOKUP(J1540,LUTs!$A$1:$C$73,3,FALSE),"NA")</f>
        <v>2Central Puget Sound</v>
      </c>
      <c r="M1540" s="72" t="s">
        <v>16</v>
      </c>
      <c r="N1540" t="str">
        <f>VLOOKUP(M1540,LUTs!E$2:H$14,3,)</f>
        <v>03Snohomish</v>
      </c>
      <c r="O1540" t="str">
        <f>VLOOKUP(M1540,LUTs!E$2:H$14,4,)</f>
        <v>01North Puget Sound</v>
      </c>
      <c r="P1540" s="80">
        <v>690.35897435897402</v>
      </c>
      <c r="Q1540" s="103">
        <v>345.17948717948701</v>
      </c>
      <c r="R1540" s="74">
        <f>VLOOKUP(B1540,Readme!A$40:C$52,3,)*Q1540</f>
        <v>6403.0794871794842</v>
      </c>
    </row>
    <row r="1541" spans="1:18" ht="12" customHeight="1" x14ac:dyDescent="0.35">
      <c r="A1541" s="75">
        <v>1470</v>
      </c>
      <c r="B1541" s="80">
        <v>2015</v>
      </c>
      <c r="C1541" s="80">
        <v>1</v>
      </c>
      <c r="D1541" s="80">
        <f t="shared" si="87"/>
        <v>2014</v>
      </c>
      <c r="E1541" t="s">
        <v>38</v>
      </c>
      <c r="F1541" t="s">
        <v>143</v>
      </c>
      <c r="G1541" t="s">
        <v>86</v>
      </c>
      <c r="H1541" s="72" t="s">
        <v>220</v>
      </c>
      <c r="I1541" s="72" t="s">
        <v>62</v>
      </c>
      <c r="J1541" t="str">
        <f t="shared" si="86"/>
        <v>Skykomish River</v>
      </c>
      <c r="K1541" t="str">
        <f>IFERROR(VLOOKUP(J1541,LUTs!$A$1:$C$73,2,FALSE),"NA")</f>
        <v>Snohomish</v>
      </c>
      <c r="L1541" t="str">
        <f>IFERROR(VLOOKUP(J1541,LUTs!$A$1:$C$73,3,FALSE),"NA")</f>
        <v>2Central Puget Sound</v>
      </c>
      <c r="M1541" s="72" t="s">
        <v>13</v>
      </c>
      <c r="N1541" t="str">
        <f>VLOOKUP(M1541,LUTs!E$2:H$14,3,)</f>
        <v>01Whatcom</v>
      </c>
      <c r="O1541" t="str">
        <f>VLOOKUP(M1541,LUTs!E$2:H$14,4,)</f>
        <v>01North Puget Sound</v>
      </c>
      <c r="P1541" s="80">
        <v>6.5128205128205101</v>
      </c>
      <c r="Q1541" s="103">
        <v>3.2564102564102599</v>
      </c>
      <c r="R1541" s="74">
        <f>VLOOKUP(B1541,Readme!A$40:C$52,3,)*Q1541</f>
        <v>60.406410256410325</v>
      </c>
    </row>
    <row r="1542" spans="1:18" ht="12" customHeight="1" x14ac:dyDescent="0.35">
      <c r="A1542" s="75">
        <v>1487</v>
      </c>
      <c r="B1542" s="80">
        <v>2015</v>
      </c>
      <c r="C1542" s="80">
        <v>1</v>
      </c>
      <c r="D1542" s="80">
        <f t="shared" si="87"/>
        <v>2014</v>
      </c>
      <c r="E1542" t="s">
        <v>38</v>
      </c>
      <c r="F1542" t="s">
        <v>143</v>
      </c>
      <c r="G1542" t="s">
        <v>86</v>
      </c>
      <c r="H1542" s="72" t="s">
        <v>247</v>
      </c>
      <c r="I1542" s="72" t="s">
        <v>98</v>
      </c>
      <c r="J1542" t="str">
        <f t="shared" si="86"/>
        <v>Skykomish River, No. Fork</v>
      </c>
      <c r="K1542" t="str">
        <f>IFERROR(VLOOKUP(J1542,LUTs!$A$1:$C$73,2,FALSE),"NA")</f>
        <v>Snohomish</v>
      </c>
      <c r="L1542" t="str">
        <f>IFERROR(VLOOKUP(J1542,LUTs!$A$1:$C$73,3,FALSE),"NA")</f>
        <v>2Central Puget Sound</v>
      </c>
      <c r="M1542" s="72" t="s">
        <v>18</v>
      </c>
      <c r="N1542" t="str">
        <f>VLOOKUP(M1542,LUTs!E$2:H$14,3,)</f>
        <v>06King</v>
      </c>
      <c r="O1542" t="str">
        <f>VLOOKUP(M1542,LUTs!E$2:H$14,4,)</f>
        <v>02South Puget Sound</v>
      </c>
      <c r="P1542" s="80">
        <v>19.6666666666667</v>
      </c>
      <c r="Q1542" s="103">
        <v>9.8333333333333304</v>
      </c>
      <c r="R1542" s="74">
        <f>VLOOKUP(B1542,Readme!A$40:C$52,3,)*Q1542</f>
        <v>182.40833333333327</v>
      </c>
    </row>
    <row r="1543" spans="1:18" ht="12" customHeight="1" x14ac:dyDescent="0.35">
      <c r="A1543" s="75">
        <v>1488</v>
      </c>
      <c r="B1543" s="80">
        <v>2015</v>
      </c>
      <c r="C1543" s="80">
        <v>1</v>
      </c>
      <c r="D1543" s="80">
        <f t="shared" si="87"/>
        <v>2014</v>
      </c>
      <c r="E1543" t="s">
        <v>38</v>
      </c>
      <c r="F1543" t="s">
        <v>143</v>
      </c>
      <c r="G1543" t="s">
        <v>86</v>
      </c>
      <c r="H1543" s="72" t="s">
        <v>247</v>
      </c>
      <c r="I1543" s="72" t="s">
        <v>98</v>
      </c>
      <c r="J1543" t="str">
        <f t="shared" si="86"/>
        <v>Skykomish River, No. Fork</v>
      </c>
      <c r="K1543" t="str">
        <f>IFERROR(VLOOKUP(J1543,LUTs!$A$1:$C$73,2,FALSE),"NA")</f>
        <v>Snohomish</v>
      </c>
      <c r="L1543" t="str">
        <f>IFERROR(VLOOKUP(J1543,LUTs!$A$1:$C$73,3,FALSE),"NA")</f>
        <v>2Central Puget Sound</v>
      </c>
      <c r="M1543" s="72" t="s">
        <v>16</v>
      </c>
      <c r="N1543" t="str">
        <f>VLOOKUP(M1543,LUTs!E$2:H$14,3,)</f>
        <v>03Snohomish</v>
      </c>
      <c r="O1543" t="str">
        <f>VLOOKUP(M1543,LUTs!E$2:H$14,4,)</f>
        <v>01North Puget Sound</v>
      </c>
      <c r="P1543" s="80">
        <v>98.3333333333334</v>
      </c>
      <c r="Q1543" s="103">
        <v>49.1666666666667</v>
      </c>
      <c r="R1543" s="74">
        <f>VLOOKUP(B1543,Readme!A$40:C$52,3,)*Q1543</f>
        <v>912.04166666666731</v>
      </c>
    </row>
    <row r="1544" spans="1:18" ht="12" customHeight="1" x14ac:dyDescent="0.35">
      <c r="A1544" s="75">
        <v>1496</v>
      </c>
      <c r="B1544" s="80">
        <v>2015</v>
      </c>
      <c r="C1544" s="80">
        <v>1</v>
      </c>
      <c r="D1544" s="80">
        <f t="shared" si="87"/>
        <v>2014</v>
      </c>
      <c r="E1544" t="s">
        <v>38</v>
      </c>
      <c r="F1544" t="s">
        <v>143</v>
      </c>
      <c r="G1544" t="s">
        <v>86</v>
      </c>
      <c r="H1544" s="72" t="s">
        <v>248</v>
      </c>
      <c r="I1544" s="72" t="s">
        <v>99</v>
      </c>
      <c r="J1544" t="str">
        <f t="shared" si="86"/>
        <v>Skykomish River, So. Fork</v>
      </c>
      <c r="K1544" t="str">
        <f>IFERROR(VLOOKUP(J1544,LUTs!$A$1:$C$73,2,FALSE),"NA")</f>
        <v>Snohomish/King</v>
      </c>
      <c r="L1544" t="str">
        <f>IFERROR(VLOOKUP(J1544,LUTs!$A$1:$C$73,3,FALSE),"NA")</f>
        <v>2Central Puget Sound</v>
      </c>
      <c r="M1544" s="72" t="s">
        <v>16</v>
      </c>
      <c r="N1544" t="str">
        <f>VLOOKUP(M1544,LUTs!E$2:H$14,3,)</f>
        <v>03Snohomish</v>
      </c>
      <c r="O1544" t="str">
        <f>VLOOKUP(M1544,LUTs!E$2:H$14,4,)</f>
        <v>01North Puget Sound</v>
      </c>
      <c r="P1544" s="80">
        <v>7</v>
      </c>
      <c r="Q1544" s="103">
        <v>3.5</v>
      </c>
      <c r="R1544" s="74">
        <f>VLOOKUP(B1544,Readme!A$40:C$52,3,)*Q1544</f>
        <v>64.924999999999997</v>
      </c>
    </row>
    <row r="1545" spans="1:18" ht="12" customHeight="1" x14ac:dyDescent="0.35">
      <c r="A1545" s="75">
        <v>1497</v>
      </c>
      <c r="B1545" s="80">
        <v>2015</v>
      </c>
      <c r="C1545" s="80">
        <v>1</v>
      </c>
      <c r="D1545" s="80">
        <f t="shared" si="87"/>
        <v>2014</v>
      </c>
      <c r="E1545" t="s">
        <v>38</v>
      </c>
      <c r="F1545" t="s">
        <v>143</v>
      </c>
      <c r="G1545" t="s">
        <v>86</v>
      </c>
      <c r="H1545" s="72" t="s">
        <v>248</v>
      </c>
      <c r="I1545" s="72" t="s">
        <v>99</v>
      </c>
      <c r="J1545" t="str">
        <f t="shared" si="86"/>
        <v>Skykomish River, So. Fork</v>
      </c>
      <c r="K1545" t="str">
        <f>IFERROR(VLOOKUP(J1545,LUTs!$A$1:$C$73,2,FALSE),"NA")</f>
        <v>Snohomish/King</v>
      </c>
      <c r="L1545" t="str">
        <f>IFERROR(VLOOKUP(J1545,LUTs!$A$1:$C$73,3,FALSE),"NA")</f>
        <v>2Central Puget Sound</v>
      </c>
      <c r="M1545" s="72" t="s">
        <v>21</v>
      </c>
      <c r="N1545" t="str">
        <f>VLOOKUP(M1545,LUTs!E$2:H$14,3,)</f>
        <v>08Thurston</v>
      </c>
      <c r="O1545" t="str">
        <f>VLOOKUP(M1545,LUTs!E$2:H$14,4,)</f>
        <v>02South Puget Sound</v>
      </c>
      <c r="P1545" s="80">
        <v>7</v>
      </c>
      <c r="Q1545" s="103">
        <v>3.5</v>
      </c>
      <c r="R1545" s="74">
        <f>VLOOKUP(B1545,Readme!A$40:C$52,3,)*Q1545</f>
        <v>64.924999999999997</v>
      </c>
    </row>
    <row r="1546" spans="1:18" ht="12" customHeight="1" x14ac:dyDescent="0.35">
      <c r="A1546" s="75">
        <v>1505</v>
      </c>
      <c r="B1546" s="80">
        <v>2015</v>
      </c>
      <c r="C1546" s="80">
        <v>1</v>
      </c>
      <c r="D1546" s="80">
        <f t="shared" si="87"/>
        <v>2014</v>
      </c>
      <c r="E1546" t="s">
        <v>38</v>
      </c>
      <c r="F1546" t="s">
        <v>143</v>
      </c>
      <c r="G1546" t="s">
        <v>86</v>
      </c>
      <c r="H1546" s="72" t="s">
        <v>221</v>
      </c>
      <c r="I1546" s="72" t="s">
        <v>63</v>
      </c>
      <c r="J1546" t="str">
        <f t="shared" si="86"/>
        <v>Snohomish River</v>
      </c>
      <c r="K1546" t="str">
        <f>IFERROR(VLOOKUP(J1546,LUTs!$A$1:$C$73,2,FALSE),"NA")</f>
        <v>Snohomish</v>
      </c>
      <c r="L1546" t="str">
        <f>IFERROR(VLOOKUP(J1546,LUTs!$A$1:$C$73,3,FALSE),"NA")</f>
        <v>2Central Puget Sound</v>
      </c>
      <c r="M1546" s="72" t="s">
        <v>16</v>
      </c>
      <c r="N1546" t="str">
        <f>VLOOKUP(M1546,LUTs!E$2:H$14,3,)</f>
        <v>03Snohomish</v>
      </c>
      <c r="O1546" t="str">
        <f>VLOOKUP(M1546,LUTs!E$2:H$14,4,)</f>
        <v>01North Puget Sound</v>
      </c>
      <c r="P1546" s="80">
        <v>124</v>
      </c>
      <c r="Q1546" s="103">
        <v>62</v>
      </c>
      <c r="R1546" s="74">
        <f>VLOOKUP(B1546,Readme!A$40:C$52,3,)*Q1546</f>
        <v>1150.1000000000001</v>
      </c>
    </row>
    <row r="1547" spans="1:18" ht="12" customHeight="1" x14ac:dyDescent="0.35">
      <c r="A1547" s="75">
        <v>1515</v>
      </c>
      <c r="B1547" s="80">
        <v>2015</v>
      </c>
      <c r="C1547" s="80">
        <v>1</v>
      </c>
      <c r="D1547" s="80">
        <f t="shared" si="87"/>
        <v>2014</v>
      </c>
      <c r="E1547" t="s">
        <v>38</v>
      </c>
      <c r="F1547" t="s">
        <v>143</v>
      </c>
      <c r="G1547" t="s">
        <v>86</v>
      </c>
      <c r="H1547" s="72" t="s">
        <v>222</v>
      </c>
      <c r="I1547" s="72" t="s">
        <v>64</v>
      </c>
      <c r="J1547" t="str">
        <f t="shared" si="86"/>
        <v>Snoqualmie River</v>
      </c>
      <c r="K1547" t="str">
        <f>IFERROR(VLOOKUP(J1547,LUTs!$A$1:$C$73,2,FALSE),"NA")</f>
        <v>Snohomish/King</v>
      </c>
      <c r="L1547" t="str">
        <f>IFERROR(VLOOKUP(J1547,LUTs!$A$1:$C$73,3,FALSE),"NA")</f>
        <v>2Central Puget Sound</v>
      </c>
      <c r="M1547" s="72" t="s">
        <v>18</v>
      </c>
      <c r="N1547" t="str">
        <f>VLOOKUP(M1547,LUTs!E$2:H$14,3,)</f>
        <v>06King</v>
      </c>
      <c r="O1547" t="str">
        <f>VLOOKUP(M1547,LUTs!E$2:H$14,4,)</f>
        <v>02South Puget Sound</v>
      </c>
      <c r="P1547" s="80">
        <v>331.5</v>
      </c>
      <c r="Q1547" s="103">
        <v>165.75</v>
      </c>
      <c r="R1547" s="74">
        <f>VLOOKUP(B1547,Readme!A$40:C$52,3,)*Q1547</f>
        <v>3074.6624999999999</v>
      </c>
    </row>
    <row r="1548" spans="1:18" ht="12" customHeight="1" x14ac:dyDescent="0.35">
      <c r="A1548" s="75">
        <v>1516</v>
      </c>
      <c r="B1548" s="80">
        <v>2015</v>
      </c>
      <c r="C1548" s="80">
        <v>1</v>
      </c>
      <c r="D1548" s="80">
        <f t="shared" si="87"/>
        <v>2014</v>
      </c>
      <c r="E1548" t="s">
        <v>38</v>
      </c>
      <c r="F1548" t="s">
        <v>143</v>
      </c>
      <c r="G1548" t="s">
        <v>86</v>
      </c>
      <c r="H1548" s="72" t="s">
        <v>222</v>
      </c>
      <c r="I1548" s="72" t="s">
        <v>64</v>
      </c>
      <c r="J1548" t="str">
        <f t="shared" si="86"/>
        <v>Snoqualmie River</v>
      </c>
      <c r="K1548" t="str">
        <f>IFERROR(VLOOKUP(J1548,LUTs!$A$1:$C$73,2,FALSE),"NA")</f>
        <v>Snohomish/King</v>
      </c>
      <c r="L1548" t="str">
        <f>IFERROR(VLOOKUP(J1548,LUTs!$A$1:$C$73,3,FALSE),"NA")</f>
        <v>2Central Puget Sound</v>
      </c>
      <c r="M1548" s="72" t="s">
        <v>26</v>
      </c>
      <c r="N1548" t="str">
        <f>VLOOKUP(M1548,LUTs!E$2:H$14,3,)</f>
        <v>20Other</v>
      </c>
      <c r="O1548" t="str">
        <f>VLOOKUP(M1548,LUTs!E$2:H$14,4,)</f>
        <v>07Non Puget Sound</v>
      </c>
      <c r="P1548" s="80">
        <v>13</v>
      </c>
      <c r="Q1548" s="103">
        <v>6.5</v>
      </c>
      <c r="R1548" s="74">
        <f>VLOOKUP(B1548,Readme!A$40:C$52,3,)*Q1548</f>
        <v>120.575</v>
      </c>
    </row>
    <row r="1549" spans="1:18" ht="12" customHeight="1" x14ac:dyDescent="0.35">
      <c r="A1549" s="75">
        <v>1517</v>
      </c>
      <c r="B1549" s="80">
        <v>2015</v>
      </c>
      <c r="C1549" s="80">
        <v>1</v>
      </c>
      <c r="D1549" s="80">
        <f t="shared" si="87"/>
        <v>2014</v>
      </c>
      <c r="E1549" t="s">
        <v>38</v>
      </c>
      <c r="F1549" t="s">
        <v>143</v>
      </c>
      <c r="G1549" t="s">
        <v>86</v>
      </c>
      <c r="H1549" s="72" t="s">
        <v>222</v>
      </c>
      <c r="I1549" s="72" t="s">
        <v>64</v>
      </c>
      <c r="J1549" t="str">
        <f t="shared" si="86"/>
        <v>Snoqualmie River</v>
      </c>
      <c r="K1549" t="str">
        <f>IFERROR(VLOOKUP(J1549,LUTs!$A$1:$C$73,2,FALSE),"NA")</f>
        <v>Snohomish/King</v>
      </c>
      <c r="L1549" t="str">
        <f>IFERROR(VLOOKUP(J1549,LUTs!$A$1:$C$73,3,FALSE),"NA")</f>
        <v>2Central Puget Sound</v>
      </c>
      <c r="M1549" s="72" t="s">
        <v>16</v>
      </c>
      <c r="N1549" t="str">
        <f>VLOOKUP(M1549,LUTs!E$2:H$14,3,)</f>
        <v>03Snohomish</v>
      </c>
      <c r="O1549" t="str">
        <f>VLOOKUP(M1549,LUTs!E$2:H$14,4,)</f>
        <v>01North Puget Sound</v>
      </c>
      <c r="P1549" s="80">
        <v>19.5</v>
      </c>
      <c r="Q1549" s="103">
        <v>9.75</v>
      </c>
      <c r="R1549" s="74">
        <f>VLOOKUP(B1549,Readme!A$40:C$52,3,)*Q1549</f>
        <v>180.86250000000001</v>
      </c>
    </row>
    <row r="1550" spans="1:18" ht="12" customHeight="1" x14ac:dyDescent="0.35">
      <c r="A1550" s="75">
        <v>1558</v>
      </c>
      <c r="B1550" s="80">
        <v>2015</v>
      </c>
      <c r="C1550" s="80">
        <v>1</v>
      </c>
      <c r="D1550" s="80">
        <f t="shared" si="87"/>
        <v>2014</v>
      </c>
      <c r="E1550" t="s">
        <v>38</v>
      </c>
      <c r="F1550" t="s">
        <v>143</v>
      </c>
      <c r="G1550" t="s">
        <v>86</v>
      </c>
      <c r="H1550" s="72" t="s">
        <v>223</v>
      </c>
      <c r="I1550" s="72" t="s">
        <v>103</v>
      </c>
      <c r="J1550" t="str">
        <f t="shared" si="86"/>
        <v>Stillaguamish R, No. Fork</v>
      </c>
      <c r="K1550" t="str">
        <f>IFERROR(VLOOKUP(J1550,LUTs!$A$1:$C$73,2,FALSE),"NA")</f>
        <v>Snohomish</v>
      </c>
      <c r="L1550" t="str">
        <f>IFERROR(VLOOKUP(J1550,LUTs!$A$1:$C$73,3,FALSE),"NA")</f>
        <v>2Central Puget Sound</v>
      </c>
      <c r="M1550" s="72" t="s">
        <v>17</v>
      </c>
      <c r="N1550" t="str">
        <f>VLOOKUP(M1550,LUTs!E$2:H$14,3,)</f>
        <v>04Island</v>
      </c>
      <c r="O1550" t="str">
        <f>VLOOKUP(M1550,LUTs!E$2:H$14,4,)</f>
        <v>01North Puget Sound</v>
      </c>
      <c r="P1550" s="80">
        <v>6.25</v>
      </c>
      <c r="Q1550" s="103">
        <v>3.125</v>
      </c>
      <c r="R1550" s="74">
        <f>VLOOKUP(B1550,Readme!A$40:C$52,3,)*Q1550</f>
        <v>57.96875</v>
      </c>
    </row>
    <row r="1551" spans="1:18" ht="12" customHeight="1" x14ac:dyDescent="0.35">
      <c r="A1551" s="75">
        <v>1559</v>
      </c>
      <c r="B1551" s="80">
        <v>2015</v>
      </c>
      <c r="C1551" s="80">
        <v>1</v>
      </c>
      <c r="D1551" s="80">
        <f t="shared" si="87"/>
        <v>2014</v>
      </c>
      <c r="E1551" t="s">
        <v>38</v>
      </c>
      <c r="F1551" t="s">
        <v>143</v>
      </c>
      <c r="G1551" t="s">
        <v>86</v>
      </c>
      <c r="H1551" s="72" t="s">
        <v>223</v>
      </c>
      <c r="I1551" s="72" t="s">
        <v>103</v>
      </c>
      <c r="J1551" t="str">
        <f t="shared" si="86"/>
        <v>Stillaguamish R, No. Fork</v>
      </c>
      <c r="K1551" t="str">
        <f>IFERROR(VLOOKUP(J1551,LUTs!$A$1:$C$73,2,FALSE),"NA")</f>
        <v>Snohomish</v>
      </c>
      <c r="L1551" t="str">
        <f>IFERROR(VLOOKUP(J1551,LUTs!$A$1:$C$73,3,FALSE),"NA")</f>
        <v>2Central Puget Sound</v>
      </c>
      <c r="M1551" s="72" t="s">
        <v>15</v>
      </c>
      <c r="N1551" t="str">
        <f>VLOOKUP(M1551,LUTs!E$2:H$14,3,)</f>
        <v>02Skagit</v>
      </c>
      <c r="O1551" t="str">
        <f>VLOOKUP(M1551,LUTs!E$2:H$14,4,)</f>
        <v>01North Puget Sound</v>
      </c>
      <c r="P1551" s="80">
        <v>6.25</v>
      </c>
      <c r="Q1551" s="103">
        <v>3.125</v>
      </c>
      <c r="R1551" s="74">
        <f>VLOOKUP(B1551,Readme!A$40:C$52,3,)*Q1551</f>
        <v>57.96875</v>
      </c>
    </row>
    <row r="1552" spans="1:18" ht="12" customHeight="1" x14ac:dyDescent="0.35">
      <c r="A1552" s="75">
        <v>1560</v>
      </c>
      <c r="B1552" s="80">
        <v>2015</v>
      </c>
      <c r="C1552" s="80">
        <v>1</v>
      </c>
      <c r="D1552" s="80">
        <f t="shared" si="87"/>
        <v>2014</v>
      </c>
      <c r="E1552" t="s">
        <v>38</v>
      </c>
      <c r="F1552" t="s">
        <v>143</v>
      </c>
      <c r="G1552" t="s">
        <v>86</v>
      </c>
      <c r="H1552" s="72" t="s">
        <v>223</v>
      </c>
      <c r="I1552" s="72" t="s">
        <v>103</v>
      </c>
      <c r="J1552" t="str">
        <f t="shared" ref="J1552:J1583" si="88">I1552</f>
        <v>Stillaguamish R, No. Fork</v>
      </c>
      <c r="K1552" t="str">
        <f>IFERROR(VLOOKUP(J1552,LUTs!$A$1:$C$73,2,FALSE),"NA")</f>
        <v>Snohomish</v>
      </c>
      <c r="L1552" t="str">
        <f>IFERROR(VLOOKUP(J1552,LUTs!$A$1:$C$73,3,FALSE),"NA")</f>
        <v>2Central Puget Sound</v>
      </c>
      <c r="M1552" s="72" t="s">
        <v>16</v>
      </c>
      <c r="N1552" t="str">
        <f>VLOOKUP(M1552,LUTs!E$2:H$14,3,)</f>
        <v>03Snohomish</v>
      </c>
      <c r="O1552" t="str">
        <f>VLOOKUP(M1552,LUTs!E$2:H$14,4,)</f>
        <v>01North Puget Sound</v>
      </c>
      <c r="P1552" s="80">
        <v>31.25</v>
      </c>
      <c r="Q1552" s="103">
        <v>15.625</v>
      </c>
      <c r="R1552" s="74">
        <f>VLOOKUP(B1552,Readme!A$40:C$52,3,)*Q1552</f>
        <v>289.84375</v>
      </c>
    </row>
    <row r="1553" spans="1:18" ht="12" customHeight="1" x14ac:dyDescent="0.35">
      <c r="A1553" s="75">
        <v>1561</v>
      </c>
      <c r="B1553" s="80">
        <v>2015</v>
      </c>
      <c r="C1553" s="80">
        <v>1</v>
      </c>
      <c r="D1553" s="80">
        <f t="shared" si="87"/>
        <v>2014</v>
      </c>
      <c r="E1553" t="s">
        <v>38</v>
      </c>
      <c r="F1553" t="s">
        <v>143</v>
      </c>
      <c r="G1553" t="s">
        <v>86</v>
      </c>
      <c r="H1553" s="72" t="s">
        <v>223</v>
      </c>
      <c r="I1553" s="72" t="s">
        <v>103</v>
      </c>
      <c r="J1553" t="str">
        <f t="shared" si="88"/>
        <v>Stillaguamish R, No. Fork</v>
      </c>
      <c r="K1553" t="str">
        <f>IFERROR(VLOOKUP(J1553,LUTs!$A$1:$C$73,2,FALSE),"NA")</f>
        <v>Snohomish</v>
      </c>
      <c r="L1553" t="str">
        <f>IFERROR(VLOOKUP(J1553,LUTs!$A$1:$C$73,3,FALSE),"NA")</f>
        <v>2Central Puget Sound</v>
      </c>
      <c r="M1553" s="72" t="s">
        <v>13</v>
      </c>
      <c r="N1553" t="str">
        <f>VLOOKUP(M1553,LUTs!E$2:H$14,3,)</f>
        <v>01Whatcom</v>
      </c>
      <c r="O1553" t="str">
        <f>VLOOKUP(M1553,LUTs!E$2:H$14,4,)</f>
        <v>01North Puget Sound</v>
      </c>
      <c r="P1553" s="80">
        <v>6.25</v>
      </c>
      <c r="Q1553" s="103">
        <v>3.125</v>
      </c>
      <c r="R1553" s="74">
        <f>VLOOKUP(B1553,Readme!A$40:C$52,3,)*Q1553</f>
        <v>57.96875</v>
      </c>
    </row>
    <row r="1554" spans="1:18" ht="12" customHeight="1" x14ac:dyDescent="0.35">
      <c r="A1554" s="75">
        <v>1563</v>
      </c>
      <c r="B1554" s="80">
        <v>2015</v>
      </c>
      <c r="C1554" s="80">
        <v>1</v>
      </c>
      <c r="D1554" s="80">
        <f t="shared" si="87"/>
        <v>2014</v>
      </c>
      <c r="E1554" t="s">
        <v>38</v>
      </c>
      <c r="F1554" t="s">
        <v>143</v>
      </c>
      <c r="G1554" t="s">
        <v>86</v>
      </c>
      <c r="H1554" s="72" t="s">
        <v>252</v>
      </c>
      <c r="I1554" s="72" t="s">
        <v>104</v>
      </c>
      <c r="J1554" t="str">
        <f t="shared" si="88"/>
        <v>Stillaguamish R, So. Fork</v>
      </c>
      <c r="K1554" t="str">
        <f>IFERROR(VLOOKUP(J1554,LUTs!$A$1:$C$73,2,FALSE),"NA")</f>
        <v>Snohomish</v>
      </c>
      <c r="L1554" t="str">
        <f>IFERROR(VLOOKUP(J1554,LUTs!$A$1:$C$73,3,FALSE),"NA")</f>
        <v>2Central Puget Sound</v>
      </c>
      <c r="M1554" s="72" t="s">
        <v>26</v>
      </c>
      <c r="N1554" t="str">
        <f>VLOOKUP(M1554,LUTs!E$2:H$14,3,)</f>
        <v>20Other</v>
      </c>
      <c r="O1554" t="str">
        <f>VLOOKUP(M1554,LUTs!E$2:H$14,4,)</f>
        <v>07Non Puget Sound</v>
      </c>
      <c r="P1554" s="80">
        <v>6</v>
      </c>
      <c r="Q1554" s="103">
        <v>3</v>
      </c>
      <c r="R1554" s="74">
        <f>VLOOKUP(B1554,Readme!A$40:C$52,3,)*Q1554</f>
        <v>55.650000000000006</v>
      </c>
    </row>
    <row r="1555" spans="1:18" ht="12" customHeight="1" x14ac:dyDescent="0.35">
      <c r="A1555" s="75">
        <v>1521</v>
      </c>
      <c r="B1555" s="80">
        <v>2015</v>
      </c>
      <c r="C1555" s="80">
        <v>1</v>
      </c>
      <c r="D1555" s="80">
        <f t="shared" si="87"/>
        <v>2014</v>
      </c>
      <c r="E1555" t="s">
        <v>38</v>
      </c>
      <c r="F1555" t="s">
        <v>143</v>
      </c>
      <c r="G1555" t="s">
        <v>86</v>
      </c>
      <c r="H1555" s="72" t="s">
        <v>250</v>
      </c>
      <c r="I1555" s="72" t="s">
        <v>101</v>
      </c>
      <c r="J1555" t="str">
        <f t="shared" si="88"/>
        <v>Tokul Creek</v>
      </c>
      <c r="K1555" t="str">
        <f>IFERROR(VLOOKUP(J1555,LUTs!$A$1:$C$73,2,FALSE),"NA")</f>
        <v>King</v>
      </c>
      <c r="L1555" t="str">
        <f>IFERROR(VLOOKUP(J1555,LUTs!$A$1:$C$73,3,FALSE),"NA")</f>
        <v>2Central Puget Sound</v>
      </c>
      <c r="M1555" s="72" t="s">
        <v>18</v>
      </c>
      <c r="N1555" t="str">
        <f>VLOOKUP(M1555,LUTs!E$2:H$14,3,)</f>
        <v>06King</v>
      </c>
      <c r="O1555" t="str">
        <f>VLOOKUP(M1555,LUTs!E$2:H$14,4,)</f>
        <v>02South Puget Sound</v>
      </c>
      <c r="P1555" s="80">
        <v>1374.25217391304</v>
      </c>
      <c r="Q1555" s="103">
        <v>687.12608695652204</v>
      </c>
      <c r="R1555" s="74">
        <f>VLOOKUP(B1555,Readme!A$40:C$52,3,)*Q1555</f>
        <v>12746.188913043485</v>
      </c>
    </row>
    <row r="1556" spans="1:18" ht="12" customHeight="1" x14ac:dyDescent="0.35">
      <c r="A1556" s="75">
        <v>1522</v>
      </c>
      <c r="B1556" s="80">
        <v>2015</v>
      </c>
      <c r="C1556" s="80">
        <v>1</v>
      </c>
      <c r="D1556" s="80">
        <f t="shared" si="87"/>
        <v>2014</v>
      </c>
      <c r="E1556" t="s">
        <v>38</v>
      </c>
      <c r="F1556" t="s">
        <v>143</v>
      </c>
      <c r="G1556" t="s">
        <v>86</v>
      </c>
      <c r="H1556" s="72" t="s">
        <v>250</v>
      </c>
      <c r="I1556" s="72" t="s">
        <v>101</v>
      </c>
      <c r="J1556" t="str">
        <f t="shared" si="88"/>
        <v>Tokul Creek</v>
      </c>
      <c r="K1556" t="str">
        <f>IFERROR(VLOOKUP(J1556,LUTs!$A$1:$C$73,2,FALSE),"NA")</f>
        <v>King</v>
      </c>
      <c r="L1556" t="str">
        <f>IFERROR(VLOOKUP(J1556,LUTs!$A$1:$C$73,3,FALSE),"NA")</f>
        <v>2Central Puget Sound</v>
      </c>
      <c r="M1556" s="72" t="s">
        <v>26</v>
      </c>
      <c r="N1556" t="str">
        <f>VLOOKUP(M1556,LUTs!E$2:H$14,3,)</f>
        <v>20Other</v>
      </c>
      <c r="O1556" t="str">
        <f>VLOOKUP(M1556,LUTs!E$2:H$14,4,)</f>
        <v>07Non Puget Sound</v>
      </c>
      <c r="P1556" s="80">
        <v>39.078260869565199</v>
      </c>
      <c r="Q1556" s="103">
        <v>19.539130434782599</v>
      </c>
      <c r="R1556" s="74">
        <f>VLOOKUP(B1556,Readme!A$40:C$52,3,)*Q1556</f>
        <v>362.45086956521726</v>
      </c>
    </row>
    <row r="1557" spans="1:18" ht="12" customHeight="1" x14ac:dyDescent="0.35">
      <c r="A1557" s="75">
        <v>1523</v>
      </c>
      <c r="B1557" s="80">
        <v>2015</v>
      </c>
      <c r="C1557" s="80">
        <v>1</v>
      </c>
      <c r="D1557" s="80">
        <f t="shared" si="87"/>
        <v>2014</v>
      </c>
      <c r="E1557" t="s">
        <v>38</v>
      </c>
      <c r="F1557" t="s">
        <v>143</v>
      </c>
      <c r="G1557" t="s">
        <v>86</v>
      </c>
      <c r="H1557" s="72" t="s">
        <v>250</v>
      </c>
      <c r="I1557" s="72" t="s">
        <v>101</v>
      </c>
      <c r="J1557" t="str">
        <f t="shared" si="88"/>
        <v>Tokul Creek</v>
      </c>
      <c r="K1557" t="str">
        <f>IFERROR(VLOOKUP(J1557,LUTs!$A$1:$C$73,2,FALSE),"NA")</f>
        <v>King</v>
      </c>
      <c r="L1557" t="str">
        <f>IFERROR(VLOOKUP(J1557,LUTs!$A$1:$C$73,3,FALSE),"NA")</f>
        <v>2Central Puget Sound</v>
      </c>
      <c r="M1557" s="72" t="s">
        <v>20</v>
      </c>
      <c r="N1557" t="str">
        <f>VLOOKUP(M1557,LUTs!E$2:H$14,3,)</f>
        <v>07Pierce</v>
      </c>
      <c r="O1557" t="str">
        <f>VLOOKUP(M1557,LUTs!E$2:H$14,4,)</f>
        <v>02South Puget Sound</v>
      </c>
      <c r="P1557" s="80">
        <v>13.0260869565217</v>
      </c>
      <c r="Q1557" s="103">
        <v>6.5130434782608697</v>
      </c>
      <c r="R1557" s="74">
        <f>VLOOKUP(B1557,Readme!A$40:C$52,3,)*Q1557</f>
        <v>120.81695652173914</v>
      </c>
    </row>
    <row r="1558" spans="1:18" ht="12" customHeight="1" x14ac:dyDescent="0.35">
      <c r="A1558" s="75">
        <v>1524</v>
      </c>
      <c r="B1558" s="80">
        <v>2015</v>
      </c>
      <c r="C1558" s="80">
        <v>1</v>
      </c>
      <c r="D1558" s="80">
        <f t="shared" si="87"/>
        <v>2014</v>
      </c>
      <c r="E1558" t="s">
        <v>38</v>
      </c>
      <c r="F1558" t="s">
        <v>143</v>
      </c>
      <c r="G1558" t="s">
        <v>86</v>
      </c>
      <c r="H1558" s="72" t="s">
        <v>250</v>
      </c>
      <c r="I1558" s="72" t="s">
        <v>101</v>
      </c>
      <c r="J1558" t="str">
        <f t="shared" si="88"/>
        <v>Tokul Creek</v>
      </c>
      <c r="K1558" t="str">
        <f>IFERROR(VLOOKUP(J1558,LUTs!$A$1:$C$73,2,FALSE),"NA")</f>
        <v>King</v>
      </c>
      <c r="L1558" t="str">
        <f>IFERROR(VLOOKUP(J1558,LUTs!$A$1:$C$73,3,FALSE),"NA")</f>
        <v>2Central Puget Sound</v>
      </c>
      <c r="M1558" s="72" t="s">
        <v>16</v>
      </c>
      <c r="N1558" t="str">
        <f>VLOOKUP(M1558,LUTs!E$2:H$14,3,)</f>
        <v>03Snohomish</v>
      </c>
      <c r="O1558" t="str">
        <f>VLOOKUP(M1558,LUTs!E$2:H$14,4,)</f>
        <v>01North Puget Sound</v>
      </c>
      <c r="P1558" s="80">
        <v>65.130434782608702</v>
      </c>
      <c r="Q1558" s="103">
        <v>32.565217391304401</v>
      </c>
      <c r="R1558" s="74">
        <f>VLOOKUP(B1558,Readme!A$40:C$52,3,)*Q1558</f>
        <v>604.08478260869663</v>
      </c>
    </row>
    <row r="1559" spans="1:18" ht="12" customHeight="1" x14ac:dyDescent="0.35">
      <c r="A1559" s="75">
        <v>1525</v>
      </c>
      <c r="B1559" s="80">
        <v>2015</v>
      </c>
      <c r="C1559" s="80">
        <v>1</v>
      </c>
      <c r="D1559" s="80">
        <f t="shared" si="87"/>
        <v>2014</v>
      </c>
      <c r="E1559" t="s">
        <v>38</v>
      </c>
      <c r="F1559" t="s">
        <v>143</v>
      </c>
      <c r="G1559" t="s">
        <v>86</v>
      </c>
      <c r="H1559" s="72" t="s">
        <v>250</v>
      </c>
      <c r="I1559" s="72" t="s">
        <v>101</v>
      </c>
      <c r="J1559" t="str">
        <f t="shared" si="88"/>
        <v>Tokul Creek</v>
      </c>
      <c r="K1559" t="str">
        <f>IFERROR(VLOOKUP(J1559,LUTs!$A$1:$C$73,2,FALSE),"NA")</f>
        <v>King</v>
      </c>
      <c r="L1559" t="str">
        <f>IFERROR(VLOOKUP(J1559,LUTs!$A$1:$C$73,3,FALSE),"NA")</f>
        <v>2Central Puget Sound</v>
      </c>
      <c r="M1559" s="72" t="s">
        <v>21</v>
      </c>
      <c r="N1559" t="str">
        <f>VLOOKUP(M1559,LUTs!E$2:H$14,3,)</f>
        <v>08Thurston</v>
      </c>
      <c r="O1559" t="str">
        <f>VLOOKUP(M1559,LUTs!E$2:H$14,4,)</f>
        <v>02South Puget Sound</v>
      </c>
      <c r="P1559" s="80">
        <v>6.5130434782608697</v>
      </c>
      <c r="Q1559" s="103">
        <v>3.2565217391304402</v>
      </c>
      <c r="R1559" s="74">
        <f>VLOOKUP(B1559,Readme!A$40:C$52,3,)*Q1559</f>
        <v>60.408478260869664</v>
      </c>
    </row>
    <row r="1560" spans="1:18" ht="12" customHeight="1" x14ac:dyDescent="0.35">
      <c r="A1560" s="75">
        <v>1531</v>
      </c>
      <c r="B1560" s="80">
        <v>2015</v>
      </c>
      <c r="C1560" s="80">
        <v>1</v>
      </c>
      <c r="D1560" s="80">
        <f t="shared" si="87"/>
        <v>2014</v>
      </c>
      <c r="E1560" t="s">
        <v>38</v>
      </c>
      <c r="F1560" t="s">
        <v>143</v>
      </c>
      <c r="G1560" t="s">
        <v>86</v>
      </c>
      <c r="H1560" s="72" t="s">
        <v>229</v>
      </c>
      <c r="I1560" s="72" t="s">
        <v>71</v>
      </c>
      <c r="J1560" t="str">
        <f t="shared" si="88"/>
        <v>Tolt River</v>
      </c>
      <c r="K1560" t="str">
        <f>IFERROR(VLOOKUP(J1560,LUTs!$A$1:$C$73,2,FALSE),"NA")</f>
        <v>King</v>
      </c>
      <c r="L1560" t="str">
        <f>IFERROR(VLOOKUP(J1560,LUTs!$A$1:$C$73,3,FALSE),"NA")</f>
        <v>2Central Puget Sound</v>
      </c>
      <c r="M1560" s="72" t="s">
        <v>18</v>
      </c>
      <c r="N1560" t="str">
        <f>VLOOKUP(M1560,LUTs!E$2:H$14,3,)</f>
        <v>06King</v>
      </c>
      <c r="O1560" t="str">
        <f>VLOOKUP(M1560,LUTs!E$2:H$14,4,)</f>
        <v>02South Puget Sound</v>
      </c>
      <c r="P1560" s="80">
        <v>26</v>
      </c>
      <c r="Q1560" s="103">
        <v>13</v>
      </c>
      <c r="R1560" s="74">
        <f>VLOOKUP(B1560,Readme!A$40:C$52,3,)*Q1560</f>
        <v>241.15</v>
      </c>
    </row>
    <row r="1561" spans="1:18" ht="12" customHeight="1" x14ac:dyDescent="0.35">
      <c r="A1561" s="75">
        <v>1541</v>
      </c>
      <c r="B1561" s="80">
        <v>2015</v>
      </c>
      <c r="C1561" s="80">
        <v>1</v>
      </c>
      <c r="D1561" s="80">
        <f t="shared" si="87"/>
        <v>2014</v>
      </c>
      <c r="E1561" t="s">
        <v>38</v>
      </c>
      <c r="F1561" t="s">
        <v>143</v>
      </c>
      <c r="G1561" t="s">
        <v>86</v>
      </c>
      <c r="H1561" s="72" t="s">
        <v>233</v>
      </c>
      <c r="I1561" s="72" t="s">
        <v>76</v>
      </c>
      <c r="J1561" t="str">
        <f t="shared" si="88"/>
        <v>Wallace River</v>
      </c>
      <c r="K1561" t="str">
        <f>IFERROR(VLOOKUP(J1561,LUTs!$A$1:$C$73,2,FALSE),"NA")</f>
        <v>Snohomish</v>
      </c>
      <c r="L1561" t="str">
        <f>IFERROR(VLOOKUP(J1561,LUTs!$A$1:$C$73,3,FALSE),"NA")</f>
        <v>2Central Puget Sound</v>
      </c>
      <c r="M1561" s="72" t="s">
        <v>18</v>
      </c>
      <c r="N1561" t="str">
        <f>VLOOKUP(M1561,LUTs!E$2:H$14,3,)</f>
        <v>06King</v>
      </c>
      <c r="O1561" t="str">
        <f>VLOOKUP(M1561,LUTs!E$2:H$14,4,)</f>
        <v>02South Puget Sound</v>
      </c>
      <c r="P1561" s="80">
        <v>103.68</v>
      </c>
      <c r="Q1561" s="103">
        <v>51.84</v>
      </c>
      <c r="R1561" s="74">
        <f>VLOOKUP(B1561,Readme!A$40:C$52,3,)*Q1561</f>
        <v>961.63200000000006</v>
      </c>
    </row>
    <row r="1562" spans="1:18" ht="12" customHeight="1" x14ac:dyDescent="0.35">
      <c r="A1562" s="75">
        <v>1542</v>
      </c>
      <c r="B1562" s="80">
        <v>2015</v>
      </c>
      <c r="C1562" s="80">
        <v>1</v>
      </c>
      <c r="D1562" s="80">
        <f t="shared" si="87"/>
        <v>2014</v>
      </c>
      <c r="E1562" t="s">
        <v>38</v>
      </c>
      <c r="F1562" t="s">
        <v>143</v>
      </c>
      <c r="G1562" t="s">
        <v>86</v>
      </c>
      <c r="H1562" s="72" t="s">
        <v>233</v>
      </c>
      <c r="I1562" s="72" t="s">
        <v>76</v>
      </c>
      <c r="J1562" t="str">
        <f t="shared" si="88"/>
        <v>Wallace River</v>
      </c>
      <c r="K1562" t="str">
        <f>IFERROR(VLOOKUP(J1562,LUTs!$A$1:$C$73,2,FALSE),"NA")</f>
        <v>Snohomish</v>
      </c>
      <c r="L1562" t="str">
        <f>IFERROR(VLOOKUP(J1562,LUTs!$A$1:$C$73,3,FALSE),"NA")</f>
        <v>2Central Puget Sound</v>
      </c>
      <c r="M1562" s="72" t="s">
        <v>16</v>
      </c>
      <c r="N1562" t="str">
        <f>VLOOKUP(M1562,LUTs!E$2:H$14,3,)</f>
        <v>03Snohomish</v>
      </c>
      <c r="O1562" t="str">
        <f>VLOOKUP(M1562,LUTs!E$2:H$14,4,)</f>
        <v>01North Puget Sound</v>
      </c>
      <c r="P1562" s="80">
        <v>51.84</v>
      </c>
      <c r="Q1562" s="103">
        <v>25.92</v>
      </c>
      <c r="R1562" s="74">
        <f>VLOOKUP(B1562,Readme!A$40:C$52,3,)*Q1562</f>
        <v>480.81600000000003</v>
      </c>
    </row>
    <row r="1563" spans="1:18" ht="12" customHeight="1" x14ac:dyDescent="0.35">
      <c r="A1563" s="75">
        <v>1543</v>
      </c>
      <c r="B1563" s="80">
        <v>2015</v>
      </c>
      <c r="C1563" s="80">
        <v>1</v>
      </c>
      <c r="D1563" s="80">
        <f t="shared" si="87"/>
        <v>2014</v>
      </c>
      <c r="E1563" t="s">
        <v>38</v>
      </c>
      <c r="F1563" t="s">
        <v>143</v>
      </c>
      <c r="G1563" t="s">
        <v>86</v>
      </c>
      <c r="H1563" s="72" t="s">
        <v>233</v>
      </c>
      <c r="I1563" s="72" t="s">
        <v>76</v>
      </c>
      <c r="J1563" t="str">
        <f t="shared" si="88"/>
        <v>Wallace River</v>
      </c>
      <c r="K1563" t="str">
        <f>IFERROR(VLOOKUP(J1563,LUTs!$A$1:$C$73,2,FALSE),"NA")</f>
        <v>Snohomish</v>
      </c>
      <c r="L1563" t="str">
        <f>IFERROR(VLOOKUP(J1563,LUTs!$A$1:$C$73,3,FALSE),"NA")</f>
        <v>2Central Puget Sound</v>
      </c>
      <c r="M1563" s="72" t="s">
        <v>13</v>
      </c>
      <c r="N1563" t="str">
        <f>VLOOKUP(M1563,LUTs!E$2:H$14,3,)</f>
        <v>01Whatcom</v>
      </c>
      <c r="O1563" t="str">
        <f>VLOOKUP(M1563,LUTs!E$2:H$14,4,)</f>
        <v>01North Puget Sound</v>
      </c>
      <c r="P1563" s="80">
        <v>6.48</v>
      </c>
      <c r="Q1563" s="103">
        <v>3.24</v>
      </c>
      <c r="R1563" s="74">
        <f>VLOOKUP(B1563,Readme!A$40:C$52,3,)*Q1563</f>
        <v>60.102000000000004</v>
      </c>
    </row>
    <row r="1564" spans="1:18" ht="12" customHeight="1" x14ac:dyDescent="0.35">
      <c r="A1564" s="75">
        <v>1566</v>
      </c>
      <c r="B1564" s="80">
        <v>2015</v>
      </c>
      <c r="C1564" s="80">
        <v>1</v>
      </c>
      <c r="D1564" s="80">
        <f t="shared" si="87"/>
        <v>2014</v>
      </c>
      <c r="E1564" t="s">
        <v>38</v>
      </c>
      <c r="F1564" t="s">
        <v>143</v>
      </c>
      <c r="G1564" t="s">
        <v>86</v>
      </c>
      <c r="H1564" s="72" t="s">
        <v>224</v>
      </c>
      <c r="I1564" s="72" t="s">
        <v>66</v>
      </c>
      <c r="J1564" t="str">
        <f t="shared" si="88"/>
        <v>Whatcom Creek</v>
      </c>
      <c r="K1564" t="str">
        <f>IFERROR(VLOOKUP(J1564,LUTs!$A$1:$C$73,2,FALSE),"NA")</f>
        <v>Whatcom</v>
      </c>
      <c r="L1564" t="str">
        <f>IFERROR(VLOOKUP(J1564,LUTs!$A$1:$C$73,3,FALSE),"NA")</f>
        <v>1North Puget Sound</v>
      </c>
      <c r="M1564" s="72" t="s">
        <v>13</v>
      </c>
      <c r="N1564" t="str">
        <f>VLOOKUP(M1564,LUTs!E$2:H$14,3,)</f>
        <v>01Whatcom</v>
      </c>
      <c r="O1564" t="str">
        <f>VLOOKUP(M1564,LUTs!E$2:H$14,4,)</f>
        <v>01North Puget Sound</v>
      </c>
      <c r="P1564" s="80">
        <v>12</v>
      </c>
      <c r="Q1564" s="103">
        <v>6</v>
      </c>
      <c r="R1564" s="74">
        <f>VLOOKUP(B1564,Readme!A$40:C$52,3,)*Q1564</f>
        <v>111.30000000000001</v>
      </c>
    </row>
    <row r="1565" spans="1:18" ht="12" customHeight="1" x14ac:dyDescent="0.35">
      <c r="A1565" s="75">
        <v>1393</v>
      </c>
      <c r="B1565" s="80">
        <v>2015</v>
      </c>
      <c r="C1565" s="80">
        <v>1</v>
      </c>
      <c r="D1565" s="80">
        <f t="shared" si="87"/>
        <v>2014</v>
      </c>
      <c r="E1565" t="s">
        <v>38</v>
      </c>
      <c r="F1565" t="s">
        <v>143</v>
      </c>
      <c r="G1565" t="s">
        <v>86</v>
      </c>
      <c r="H1565" s="72" t="s">
        <v>242</v>
      </c>
      <c r="I1565" s="72" t="s">
        <v>85</v>
      </c>
      <c r="J1565" t="str">
        <f t="shared" si="88"/>
        <v>White (Stuck) River</v>
      </c>
      <c r="K1565" t="str">
        <f>IFERROR(VLOOKUP(J1565,LUTs!$A$1:$C$73,2,FALSE),"NA")</f>
        <v>Pierce</v>
      </c>
      <c r="L1565" t="str">
        <f>IFERROR(VLOOKUP(J1565,LUTs!$A$1:$C$73,3,FALSE),"NA")</f>
        <v>3South Puget Sound</v>
      </c>
      <c r="M1565" s="72" t="s">
        <v>18</v>
      </c>
      <c r="N1565" t="str">
        <f>VLOOKUP(M1565,LUTs!E$2:H$14,3,)</f>
        <v>06King</v>
      </c>
      <c r="O1565" t="str">
        <f>VLOOKUP(M1565,LUTs!E$2:H$14,4,)</f>
        <v>02South Puget Sound</v>
      </c>
      <c r="P1565" s="80">
        <v>6</v>
      </c>
      <c r="Q1565" s="103">
        <v>3</v>
      </c>
      <c r="R1565" s="74">
        <f>VLOOKUP(B1565,Readme!A$40:C$52,3,)*Q1565</f>
        <v>55.650000000000006</v>
      </c>
    </row>
    <row r="1566" spans="1:18" ht="12" customHeight="1" x14ac:dyDescent="0.35">
      <c r="A1566" s="75">
        <v>1416</v>
      </c>
      <c r="B1566" s="80">
        <v>2015</v>
      </c>
      <c r="C1566" s="80">
        <v>2</v>
      </c>
      <c r="D1566" s="80">
        <f t="shared" si="87"/>
        <v>2014</v>
      </c>
      <c r="E1566" t="s">
        <v>38</v>
      </c>
      <c r="F1566" t="s">
        <v>143</v>
      </c>
      <c r="G1566" t="s">
        <v>86</v>
      </c>
      <c r="H1566" s="72" t="s">
        <v>217</v>
      </c>
      <c r="I1566" s="72" t="s">
        <v>59</v>
      </c>
      <c r="J1566" t="str">
        <f t="shared" si="88"/>
        <v>Cascade River</v>
      </c>
      <c r="K1566" t="str">
        <f>IFERROR(VLOOKUP(J1566,LUTs!$A$1:$C$73,2,FALSE),"NA")</f>
        <v>Skagit</v>
      </c>
      <c r="L1566" t="str">
        <f>IFERROR(VLOOKUP(J1566,LUTs!$A$1:$C$73,3,FALSE),"NA")</f>
        <v>1North Puget Sound</v>
      </c>
      <c r="M1566" s="72" t="s">
        <v>15</v>
      </c>
      <c r="N1566" t="str">
        <f>VLOOKUP(M1566,LUTs!E$2:H$14,3,)</f>
        <v>02Skagit</v>
      </c>
      <c r="O1566" t="str">
        <f>VLOOKUP(M1566,LUTs!E$2:H$14,4,)</f>
        <v>01North Puget Sound</v>
      </c>
      <c r="P1566" s="80">
        <v>34</v>
      </c>
      <c r="Q1566" s="103">
        <v>17</v>
      </c>
      <c r="R1566" s="74">
        <f>VLOOKUP(B1566,Readme!A$40:C$52,3,)*Q1566</f>
        <v>315.35000000000002</v>
      </c>
    </row>
    <row r="1567" spans="1:18" ht="12" customHeight="1" x14ac:dyDescent="0.35">
      <c r="A1567" s="75">
        <v>1347</v>
      </c>
      <c r="B1567" s="80">
        <v>2015</v>
      </c>
      <c r="C1567" s="80">
        <v>2</v>
      </c>
      <c r="D1567" s="80">
        <f t="shared" si="87"/>
        <v>2014</v>
      </c>
      <c r="E1567" t="s">
        <v>38</v>
      </c>
      <c r="F1567" t="s">
        <v>143</v>
      </c>
      <c r="G1567" t="s">
        <v>86</v>
      </c>
      <c r="H1567" s="72" t="s">
        <v>201</v>
      </c>
      <c r="I1567" s="72" t="s">
        <v>43</v>
      </c>
      <c r="J1567" t="str">
        <f t="shared" si="88"/>
        <v>Dungeness River</v>
      </c>
      <c r="K1567" t="str">
        <f>IFERROR(VLOOKUP(J1567,LUTs!$A$1:$C$73,2,FALSE),"NA")</f>
        <v>Clallam</v>
      </c>
      <c r="L1567" t="str">
        <f>IFERROR(VLOOKUP(J1567,LUTs!$A$1:$C$73,3,FALSE),"NA")</f>
        <v>0Strait of Juan de Fuca</v>
      </c>
      <c r="M1567" s="72" t="s">
        <v>24</v>
      </c>
      <c r="N1567" t="str">
        <f>VLOOKUP(M1567,LUTs!E$2:H$14,3,)</f>
        <v>11Clallam</v>
      </c>
      <c r="O1567" t="str">
        <f>VLOOKUP(M1567,LUTs!E$2:H$14,4,)</f>
        <v>03Strait of Juan de Fuca</v>
      </c>
      <c r="P1567" s="80">
        <v>6</v>
      </c>
      <c r="Q1567" s="103">
        <v>3</v>
      </c>
      <c r="R1567" s="74">
        <f>VLOOKUP(B1567,Readme!A$40:C$52,3,)*Q1567</f>
        <v>55.650000000000006</v>
      </c>
    </row>
    <row r="1568" spans="1:18" ht="12" customHeight="1" x14ac:dyDescent="0.35">
      <c r="A1568" s="75">
        <v>1378</v>
      </c>
      <c r="B1568" s="80">
        <v>2015</v>
      </c>
      <c r="C1568" s="80">
        <v>2</v>
      </c>
      <c r="D1568" s="80">
        <f t="shared" si="87"/>
        <v>2014</v>
      </c>
      <c r="E1568" t="s">
        <v>38</v>
      </c>
      <c r="F1568" t="s">
        <v>143</v>
      </c>
      <c r="G1568" t="s">
        <v>86</v>
      </c>
      <c r="H1568" s="72" t="s">
        <v>204</v>
      </c>
      <c r="I1568" s="72" t="s">
        <v>46</v>
      </c>
      <c r="J1568" t="str">
        <f t="shared" si="88"/>
        <v>Hoko River</v>
      </c>
      <c r="K1568" t="str">
        <f>IFERROR(VLOOKUP(J1568,LUTs!$A$1:$C$73,2,FALSE),"NA")</f>
        <v>Clallam</v>
      </c>
      <c r="L1568" t="str">
        <f>IFERROR(VLOOKUP(J1568,LUTs!$A$1:$C$73,3,FALSE),"NA")</f>
        <v>0Strait of Juan de Fuca</v>
      </c>
      <c r="M1568" s="72" t="s">
        <v>24</v>
      </c>
      <c r="N1568" t="str">
        <f>VLOOKUP(M1568,LUTs!E$2:H$14,3,)</f>
        <v>11Clallam</v>
      </c>
      <c r="O1568" t="str">
        <f>VLOOKUP(M1568,LUTs!E$2:H$14,4,)</f>
        <v>03Strait of Juan de Fuca</v>
      </c>
      <c r="P1568" s="80">
        <v>21.6666666666667</v>
      </c>
      <c r="Q1568" s="103">
        <v>10.8333333333333</v>
      </c>
      <c r="R1568" s="74">
        <f>VLOOKUP(B1568,Readme!A$40:C$52,3,)*Q1568</f>
        <v>200.95833333333272</v>
      </c>
    </row>
    <row r="1569" spans="1:18" ht="12" customHeight="1" x14ac:dyDescent="0.35">
      <c r="A1569" s="75">
        <v>1379</v>
      </c>
      <c r="B1569" s="80">
        <v>2015</v>
      </c>
      <c r="C1569" s="80">
        <v>2</v>
      </c>
      <c r="D1569" s="80">
        <f t="shared" si="87"/>
        <v>2014</v>
      </c>
      <c r="E1569" t="s">
        <v>38</v>
      </c>
      <c r="F1569" t="s">
        <v>143</v>
      </c>
      <c r="G1569" t="s">
        <v>86</v>
      </c>
      <c r="H1569" s="72" t="s">
        <v>204</v>
      </c>
      <c r="I1569" s="72" t="s">
        <v>46</v>
      </c>
      <c r="J1569" t="str">
        <f t="shared" si="88"/>
        <v>Hoko River</v>
      </c>
      <c r="K1569" t="str">
        <f>IFERROR(VLOOKUP(J1569,LUTs!$A$1:$C$73,2,FALSE),"NA")</f>
        <v>Clallam</v>
      </c>
      <c r="L1569" t="str">
        <f>IFERROR(VLOOKUP(J1569,LUTs!$A$1:$C$73,3,FALSE),"NA")</f>
        <v>0Strait of Juan de Fuca</v>
      </c>
      <c r="M1569" s="72" t="s">
        <v>16</v>
      </c>
      <c r="N1569" t="str">
        <f>VLOOKUP(M1569,LUTs!E$2:H$14,3,)</f>
        <v>03Snohomish</v>
      </c>
      <c r="O1569" t="str">
        <f>VLOOKUP(M1569,LUTs!E$2:H$14,4,)</f>
        <v>01North Puget Sound</v>
      </c>
      <c r="P1569" s="80">
        <v>4.3333333333333304</v>
      </c>
      <c r="Q1569" s="103">
        <v>2.1666666666666701</v>
      </c>
      <c r="R1569" s="74">
        <f>VLOOKUP(B1569,Readme!A$40:C$52,3,)*Q1569</f>
        <v>40.191666666666734</v>
      </c>
    </row>
    <row r="1570" spans="1:18" ht="12" customHeight="1" x14ac:dyDescent="0.35">
      <c r="A1570" s="75">
        <v>1386</v>
      </c>
      <c r="B1570" s="80">
        <v>2015</v>
      </c>
      <c r="C1570" s="80">
        <v>2</v>
      </c>
      <c r="D1570" s="80">
        <f t="shared" si="87"/>
        <v>2014</v>
      </c>
      <c r="E1570" t="s">
        <v>38</v>
      </c>
      <c r="F1570" t="s">
        <v>143</v>
      </c>
      <c r="G1570" t="s">
        <v>86</v>
      </c>
      <c r="H1570" s="72" t="s">
        <v>239</v>
      </c>
      <c r="I1570" s="72" t="s">
        <v>92</v>
      </c>
      <c r="J1570" t="str">
        <f t="shared" si="88"/>
        <v>Nooksack River, No. Fork</v>
      </c>
      <c r="K1570" t="str">
        <f>IFERROR(VLOOKUP(J1570,LUTs!$A$1:$C$73,2,FALSE),"NA")</f>
        <v>Whatcom</v>
      </c>
      <c r="L1570" t="str">
        <f>IFERROR(VLOOKUP(J1570,LUTs!$A$1:$C$73,3,FALSE),"NA")</f>
        <v>1North Puget Sound</v>
      </c>
      <c r="M1570" s="72" t="s">
        <v>13</v>
      </c>
      <c r="N1570" t="str">
        <f>VLOOKUP(M1570,LUTs!E$2:H$14,3,)</f>
        <v>01Whatcom</v>
      </c>
      <c r="O1570" t="str">
        <f>VLOOKUP(M1570,LUTs!E$2:H$14,4,)</f>
        <v>01North Puget Sound</v>
      </c>
      <c r="P1570" s="80">
        <v>12</v>
      </c>
      <c r="Q1570" s="103">
        <v>6</v>
      </c>
      <c r="R1570" s="74">
        <f>VLOOKUP(B1570,Readme!A$40:C$52,3,)*Q1570</f>
        <v>111.30000000000001</v>
      </c>
    </row>
    <row r="1571" spans="1:18" ht="12" customHeight="1" x14ac:dyDescent="0.35">
      <c r="A1571" s="75">
        <v>1428</v>
      </c>
      <c r="B1571" s="80">
        <v>2015</v>
      </c>
      <c r="C1571" s="80">
        <v>2</v>
      </c>
      <c r="D1571" s="80">
        <f t="shared" si="87"/>
        <v>2014</v>
      </c>
      <c r="E1571" t="s">
        <v>38</v>
      </c>
      <c r="F1571" t="s">
        <v>143</v>
      </c>
      <c r="G1571" t="s">
        <v>86</v>
      </c>
      <c r="H1571" s="72" t="s">
        <v>218</v>
      </c>
      <c r="I1571" s="72" t="s">
        <v>60</v>
      </c>
      <c r="J1571" t="str">
        <f t="shared" si="88"/>
        <v>Skagit River</v>
      </c>
      <c r="K1571" t="str">
        <f>IFERROR(VLOOKUP(J1571,LUTs!$A$1:$C$73,2,FALSE),"NA")</f>
        <v>Skagit/Whatcom</v>
      </c>
      <c r="L1571" t="str">
        <f>IFERROR(VLOOKUP(J1571,LUTs!$A$1:$C$73,3,FALSE),"NA")</f>
        <v>2Central Puget Sound</v>
      </c>
      <c r="M1571" s="72" t="s">
        <v>15</v>
      </c>
      <c r="N1571" t="str">
        <f>VLOOKUP(M1571,LUTs!E$2:H$14,3,)</f>
        <v>02Skagit</v>
      </c>
      <c r="O1571" t="str">
        <f>VLOOKUP(M1571,LUTs!E$2:H$14,4,)</f>
        <v>01North Puget Sound</v>
      </c>
      <c r="P1571" s="80">
        <v>6</v>
      </c>
      <c r="Q1571" s="103">
        <v>3</v>
      </c>
      <c r="R1571" s="74">
        <f>VLOOKUP(B1571,Readme!A$40:C$52,3,)*Q1571</f>
        <v>55.650000000000006</v>
      </c>
    </row>
    <row r="1572" spans="1:18" ht="12" customHeight="1" x14ac:dyDescent="0.35">
      <c r="A1572" s="75">
        <v>1471</v>
      </c>
      <c r="B1572" s="80">
        <v>2015</v>
      </c>
      <c r="C1572" s="80">
        <v>2</v>
      </c>
      <c r="D1572" s="80">
        <f t="shared" si="87"/>
        <v>2014</v>
      </c>
      <c r="E1572" t="s">
        <v>38</v>
      </c>
      <c r="F1572" t="s">
        <v>143</v>
      </c>
      <c r="G1572" t="s">
        <v>86</v>
      </c>
      <c r="H1572" s="72" t="s">
        <v>220</v>
      </c>
      <c r="I1572" s="72" t="s">
        <v>62</v>
      </c>
      <c r="J1572" t="str">
        <f t="shared" si="88"/>
        <v>Skykomish River</v>
      </c>
      <c r="K1572" t="str">
        <f>IFERROR(VLOOKUP(J1572,LUTs!$A$1:$C$73,2,FALSE),"NA")</f>
        <v>Snohomish</v>
      </c>
      <c r="L1572" t="str">
        <f>IFERROR(VLOOKUP(J1572,LUTs!$A$1:$C$73,3,FALSE),"NA")</f>
        <v>2Central Puget Sound</v>
      </c>
      <c r="M1572" s="72" t="s">
        <v>18</v>
      </c>
      <c r="N1572" t="str">
        <f>VLOOKUP(M1572,LUTs!E$2:H$14,3,)</f>
        <v>06King</v>
      </c>
      <c r="O1572" t="str">
        <f>VLOOKUP(M1572,LUTs!E$2:H$14,4,)</f>
        <v>02South Puget Sound</v>
      </c>
      <c r="P1572" s="80">
        <v>6.5454545454545503</v>
      </c>
      <c r="Q1572" s="103">
        <v>3.2727272727272698</v>
      </c>
      <c r="R1572" s="74">
        <f>VLOOKUP(B1572,Readme!A$40:C$52,3,)*Q1572</f>
        <v>60.709090909090861</v>
      </c>
    </row>
    <row r="1573" spans="1:18" ht="12" customHeight="1" x14ac:dyDescent="0.35">
      <c r="A1573" s="75">
        <v>1472</v>
      </c>
      <c r="B1573" s="80">
        <v>2015</v>
      </c>
      <c r="C1573" s="80">
        <v>2</v>
      </c>
      <c r="D1573" s="80">
        <f t="shared" si="87"/>
        <v>2014</v>
      </c>
      <c r="E1573" t="s">
        <v>38</v>
      </c>
      <c r="F1573" t="s">
        <v>143</v>
      </c>
      <c r="G1573" t="s">
        <v>86</v>
      </c>
      <c r="H1573" s="72" t="s">
        <v>220</v>
      </c>
      <c r="I1573" s="72" t="s">
        <v>62</v>
      </c>
      <c r="J1573" t="str">
        <f t="shared" si="88"/>
        <v>Skykomish River</v>
      </c>
      <c r="K1573" t="str">
        <f>IFERROR(VLOOKUP(J1573,LUTs!$A$1:$C$73,2,FALSE),"NA")</f>
        <v>Snohomish</v>
      </c>
      <c r="L1573" t="str">
        <f>IFERROR(VLOOKUP(J1573,LUTs!$A$1:$C$73,3,FALSE),"NA")</f>
        <v>2Central Puget Sound</v>
      </c>
      <c r="M1573" s="72" t="s">
        <v>16</v>
      </c>
      <c r="N1573" t="str">
        <f>VLOOKUP(M1573,LUTs!E$2:H$14,3,)</f>
        <v>03Snohomish</v>
      </c>
      <c r="O1573" t="str">
        <f>VLOOKUP(M1573,LUTs!E$2:H$14,4,)</f>
        <v>01North Puget Sound</v>
      </c>
      <c r="P1573" s="80">
        <v>65.454545454545496</v>
      </c>
      <c r="Q1573" s="103">
        <v>32.727272727272698</v>
      </c>
      <c r="R1573" s="74">
        <f>VLOOKUP(B1573,Readme!A$40:C$52,3,)*Q1573</f>
        <v>607.09090909090855</v>
      </c>
    </row>
    <row r="1574" spans="1:18" ht="12" customHeight="1" x14ac:dyDescent="0.35">
      <c r="A1574" s="75">
        <v>1562</v>
      </c>
      <c r="B1574" s="80">
        <v>2015</v>
      </c>
      <c r="C1574" s="80">
        <v>2</v>
      </c>
      <c r="D1574" s="80">
        <f t="shared" si="87"/>
        <v>2014</v>
      </c>
      <c r="E1574" t="s">
        <v>38</v>
      </c>
      <c r="F1574" t="s">
        <v>143</v>
      </c>
      <c r="G1574" t="s">
        <v>86</v>
      </c>
      <c r="H1574" s="72" t="s">
        <v>223</v>
      </c>
      <c r="I1574" s="72" t="s">
        <v>103</v>
      </c>
      <c r="J1574" t="str">
        <f t="shared" si="88"/>
        <v>Stillaguamish R, No. Fork</v>
      </c>
      <c r="K1574" t="str">
        <f>IFERROR(VLOOKUP(J1574,LUTs!$A$1:$C$73,2,FALSE),"NA")</f>
        <v>Snohomish</v>
      </c>
      <c r="L1574" t="str">
        <f>IFERROR(VLOOKUP(J1574,LUTs!$A$1:$C$73,3,FALSE),"NA")</f>
        <v>2Central Puget Sound</v>
      </c>
      <c r="M1574" s="72" t="s">
        <v>15</v>
      </c>
      <c r="N1574" t="str">
        <f>VLOOKUP(M1574,LUTs!E$2:H$14,3,)</f>
        <v>02Skagit</v>
      </c>
      <c r="O1574" t="str">
        <f>VLOOKUP(M1574,LUTs!E$2:H$14,4,)</f>
        <v>01North Puget Sound</v>
      </c>
      <c r="P1574" s="80">
        <v>6</v>
      </c>
      <c r="Q1574" s="103">
        <v>3</v>
      </c>
      <c r="R1574" s="74">
        <f>VLOOKUP(B1574,Readme!A$40:C$52,3,)*Q1574</f>
        <v>55.650000000000006</v>
      </c>
    </row>
    <row r="1575" spans="1:18" ht="12" customHeight="1" x14ac:dyDescent="0.35">
      <c r="A1575" s="75">
        <v>1526</v>
      </c>
      <c r="B1575" s="80">
        <v>2015</v>
      </c>
      <c r="C1575" s="80">
        <v>2</v>
      </c>
      <c r="D1575" s="80">
        <f t="shared" si="87"/>
        <v>2014</v>
      </c>
      <c r="E1575" t="s">
        <v>38</v>
      </c>
      <c r="F1575" t="s">
        <v>143</v>
      </c>
      <c r="G1575" t="s">
        <v>86</v>
      </c>
      <c r="H1575" s="72" t="s">
        <v>250</v>
      </c>
      <c r="I1575" s="72" t="s">
        <v>101</v>
      </c>
      <c r="J1575" t="str">
        <f t="shared" si="88"/>
        <v>Tokul Creek</v>
      </c>
      <c r="K1575" t="str">
        <f>IFERROR(VLOOKUP(J1575,LUTs!$A$1:$C$73,2,FALSE),"NA")</f>
        <v>King</v>
      </c>
      <c r="L1575" t="str">
        <f>IFERROR(VLOOKUP(J1575,LUTs!$A$1:$C$73,3,FALSE),"NA")</f>
        <v>2Central Puget Sound</v>
      </c>
      <c r="M1575" s="72" t="s">
        <v>18</v>
      </c>
      <c r="N1575" t="str">
        <f>VLOOKUP(M1575,LUTs!E$2:H$14,3,)</f>
        <v>06King</v>
      </c>
      <c r="O1575" t="str">
        <f>VLOOKUP(M1575,LUTs!E$2:H$14,4,)</f>
        <v>02South Puget Sound</v>
      </c>
      <c r="P1575" s="80">
        <v>169</v>
      </c>
      <c r="Q1575" s="103">
        <v>84.5</v>
      </c>
      <c r="R1575" s="74">
        <f>VLOOKUP(B1575,Readme!A$40:C$52,3,)*Q1575</f>
        <v>1567.4750000000001</v>
      </c>
    </row>
    <row r="1576" spans="1:18" ht="12" customHeight="1" x14ac:dyDescent="0.35">
      <c r="A1576" s="75">
        <v>1527</v>
      </c>
      <c r="B1576" s="80">
        <v>2015</v>
      </c>
      <c r="C1576" s="80">
        <v>2</v>
      </c>
      <c r="D1576" s="80">
        <f t="shared" si="87"/>
        <v>2014</v>
      </c>
      <c r="E1576" t="s">
        <v>38</v>
      </c>
      <c r="F1576" t="s">
        <v>143</v>
      </c>
      <c r="G1576" t="s">
        <v>86</v>
      </c>
      <c r="H1576" s="72" t="s">
        <v>250</v>
      </c>
      <c r="I1576" s="72" t="s">
        <v>101</v>
      </c>
      <c r="J1576" t="str">
        <f t="shared" si="88"/>
        <v>Tokul Creek</v>
      </c>
      <c r="K1576" t="str">
        <f>IFERROR(VLOOKUP(J1576,LUTs!$A$1:$C$73,2,FALSE),"NA")</f>
        <v>King</v>
      </c>
      <c r="L1576" t="str">
        <f>IFERROR(VLOOKUP(J1576,LUTs!$A$1:$C$73,3,FALSE),"NA")</f>
        <v>2Central Puget Sound</v>
      </c>
      <c r="M1576" s="72" t="s">
        <v>16</v>
      </c>
      <c r="N1576" t="str">
        <f>VLOOKUP(M1576,LUTs!E$2:H$14,3,)</f>
        <v>03Snohomish</v>
      </c>
      <c r="O1576" t="str">
        <f>VLOOKUP(M1576,LUTs!E$2:H$14,4,)</f>
        <v>01North Puget Sound</v>
      </c>
      <c r="P1576" s="80">
        <v>13</v>
      </c>
      <c r="Q1576" s="103">
        <v>6.5</v>
      </c>
      <c r="R1576" s="74">
        <f>VLOOKUP(B1576,Readme!A$40:C$52,3,)*Q1576</f>
        <v>120.575</v>
      </c>
    </row>
    <row r="1577" spans="1:18" ht="12" customHeight="1" x14ac:dyDescent="0.35">
      <c r="A1577" s="75">
        <v>1544</v>
      </c>
      <c r="B1577" s="80">
        <v>2015</v>
      </c>
      <c r="C1577" s="80">
        <v>2</v>
      </c>
      <c r="D1577" s="80">
        <f t="shared" si="87"/>
        <v>2014</v>
      </c>
      <c r="E1577" t="s">
        <v>38</v>
      </c>
      <c r="F1577" t="s">
        <v>143</v>
      </c>
      <c r="G1577" t="s">
        <v>86</v>
      </c>
      <c r="H1577" s="72" t="s">
        <v>233</v>
      </c>
      <c r="I1577" s="72" t="s">
        <v>76</v>
      </c>
      <c r="J1577" t="str">
        <f t="shared" si="88"/>
        <v>Wallace River</v>
      </c>
      <c r="K1577" t="str">
        <f>IFERROR(VLOOKUP(J1577,LUTs!$A$1:$C$73,2,FALSE),"NA")</f>
        <v>Snohomish</v>
      </c>
      <c r="L1577" t="str">
        <f>IFERROR(VLOOKUP(J1577,LUTs!$A$1:$C$73,3,FALSE),"NA")</f>
        <v>2Central Puget Sound</v>
      </c>
      <c r="M1577" s="72" t="s">
        <v>18</v>
      </c>
      <c r="N1577" t="str">
        <f>VLOOKUP(M1577,LUTs!E$2:H$14,3,)</f>
        <v>06King</v>
      </c>
      <c r="O1577" t="str">
        <f>VLOOKUP(M1577,LUTs!E$2:H$14,4,)</f>
        <v>02South Puget Sound</v>
      </c>
      <c r="P1577" s="80">
        <v>7</v>
      </c>
      <c r="Q1577" s="103">
        <v>3.5</v>
      </c>
      <c r="R1577" s="74">
        <f>VLOOKUP(B1577,Readme!A$40:C$52,3,)*Q1577</f>
        <v>64.924999999999997</v>
      </c>
    </row>
    <row r="1578" spans="1:18" ht="12" customHeight="1" x14ac:dyDescent="0.35">
      <c r="A1578" s="75">
        <v>1545</v>
      </c>
      <c r="B1578" s="80">
        <v>2015</v>
      </c>
      <c r="C1578" s="80">
        <v>2</v>
      </c>
      <c r="D1578" s="80">
        <f t="shared" si="87"/>
        <v>2014</v>
      </c>
      <c r="E1578" t="s">
        <v>38</v>
      </c>
      <c r="F1578" t="s">
        <v>143</v>
      </c>
      <c r="G1578" t="s">
        <v>86</v>
      </c>
      <c r="H1578" s="72" t="s">
        <v>233</v>
      </c>
      <c r="I1578" s="72" t="s">
        <v>76</v>
      </c>
      <c r="J1578" t="str">
        <f t="shared" si="88"/>
        <v>Wallace River</v>
      </c>
      <c r="K1578" t="str">
        <f>IFERROR(VLOOKUP(J1578,LUTs!$A$1:$C$73,2,FALSE),"NA")</f>
        <v>Snohomish</v>
      </c>
      <c r="L1578" t="str">
        <f>IFERROR(VLOOKUP(J1578,LUTs!$A$1:$C$73,3,FALSE),"NA")</f>
        <v>2Central Puget Sound</v>
      </c>
      <c r="M1578" s="72" t="s">
        <v>16</v>
      </c>
      <c r="N1578" t="str">
        <f>VLOOKUP(M1578,LUTs!E$2:H$14,3,)</f>
        <v>03Snohomish</v>
      </c>
      <c r="O1578" t="str">
        <f>VLOOKUP(M1578,LUTs!E$2:H$14,4,)</f>
        <v>01North Puget Sound</v>
      </c>
      <c r="P1578" s="80">
        <v>7</v>
      </c>
      <c r="Q1578" s="103">
        <v>3.5</v>
      </c>
      <c r="R1578" s="74">
        <f>VLOOKUP(B1578,Readme!A$40:C$52,3,)*Q1578</f>
        <v>64.924999999999997</v>
      </c>
    </row>
    <row r="1579" spans="1:18" ht="12" customHeight="1" x14ac:dyDescent="0.35">
      <c r="A1579" s="75">
        <v>1380</v>
      </c>
      <c r="B1579" s="80">
        <v>2015</v>
      </c>
      <c r="C1579" s="80">
        <v>3</v>
      </c>
      <c r="D1579" s="80">
        <f t="shared" si="87"/>
        <v>2014</v>
      </c>
      <c r="E1579" t="s">
        <v>38</v>
      </c>
      <c r="F1579" t="s">
        <v>143</v>
      </c>
      <c r="G1579" t="s">
        <v>86</v>
      </c>
      <c r="H1579" s="72" t="s">
        <v>204</v>
      </c>
      <c r="I1579" s="72" t="s">
        <v>46</v>
      </c>
      <c r="J1579" t="str">
        <f t="shared" si="88"/>
        <v>Hoko River</v>
      </c>
      <c r="K1579" t="str">
        <f>IFERROR(VLOOKUP(J1579,LUTs!$A$1:$C$73,2,FALSE),"NA")</f>
        <v>Clallam</v>
      </c>
      <c r="L1579" t="str">
        <f>IFERROR(VLOOKUP(J1579,LUTs!$A$1:$C$73,3,FALSE),"NA")</f>
        <v>0Strait of Juan de Fuca</v>
      </c>
      <c r="M1579" s="72" t="s">
        <v>24</v>
      </c>
      <c r="N1579" t="str">
        <f>VLOOKUP(M1579,LUTs!E$2:H$14,3,)</f>
        <v>11Clallam</v>
      </c>
      <c r="O1579" t="str">
        <f>VLOOKUP(M1579,LUTs!E$2:H$14,4,)</f>
        <v>03Strait of Juan de Fuca</v>
      </c>
      <c r="P1579" s="80">
        <v>14</v>
      </c>
      <c r="Q1579" s="103">
        <v>7</v>
      </c>
      <c r="R1579" s="74">
        <f>VLOOKUP(B1579,Readme!A$40:C$52,3,)*Q1579</f>
        <v>129.85</v>
      </c>
    </row>
    <row r="1580" spans="1:18" ht="12" customHeight="1" x14ac:dyDescent="0.35">
      <c r="A1580" s="75">
        <v>1730</v>
      </c>
      <c r="B1580" s="80">
        <v>2015</v>
      </c>
      <c r="C1580" s="80">
        <v>4</v>
      </c>
      <c r="D1580" s="80">
        <f t="shared" si="87"/>
        <v>2015</v>
      </c>
      <c r="E1580" t="s">
        <v>38</v>
      </c>
      <c r="F1580" t="s">
        <v>143</v>
      </c>
      <c r="G1580" t="s">
        <v>86</v>
      </c>
      <c r="H1580" s="72" t="s">
        <v>254</v>
      </c>
      <c r="I1580" s="72" t="s">
        <v>33</v>
      </c>
      <c r="J1580" t="str">
        <f t="shared" si="88"/>
        <v>Area 9: Admiralty Inlet</v>
      </c>
      <c r="K1580" t="str">
        <f>IFERROR(VLOOKUP(J1580,LUTs!$A$1:$C$73,2,FALSE),"NA")</f>
        <v>NA</v>
      </c>
      <c r="L1580" t="str">
        <f>IFERROR(VLOOKUP(J1580,LUTs!$A$1:$C$73,3,FALSE),"NA")</f>
        <v>2Central Puget Sound</v>
      </c>
      <c r="M1580" s="72" t="s">
        <v>16</v>
      </c>
      <c r="N1580" t="str">
        <f>VLOOKUP(M1580,LUTs!E$2:H$14,3,)</f>
        <v>03Snohomish</v>
      </c>
      <c r="O1580" t="str">
        <f>VLOOKUP(M1580,LUTs!E$2:H$14,4,)</f>
        <v>01North Puget Sound</v>
      </c>
      <c r="P1580" s="80">
        <v>114</v>
      </c>
      <c r="Q1580" s="103">
        <v>57</v>
      </c>
      <c r="R1580" s="74">
        <f>VLOOKUP(B1580,Readme!A$40:C$52,3,)*Q1580</f>
        <v>1057.3500000000001</v>
      </c>
    </row>
    <row r="1581" spans="1:18" ht="12" customHeight="1" x14ac:dyDescent="0.35">
      <c r="A1581" s="75">
        <v>1731</v>
      </c>
      <c r="B1581" s="80">
        <v>2015</v>
      </c>
      <c r="C1581" s="80">
        <v>5</v>
      </c>
      <c r="D1581" s="80">
        <f t="shared" si="87"/>
        <v>2015</v>
      </c>
      <c r="E1581" t="s">
        <v>38</v>
      </c>
      <c r="F1581" t="s">
        <v>143</v>
      </c>
      <c r="G1581" t="s">
        <v>86</v>
      </c>
      <c r="H1581" s="72" t="s">
        <v>254</v>
      </c>
      <c r="I1581" s="72" t="s">
        <v>33</v>
      </c>
      <c r="J1581" t="str">
        <f t="shared" si="88"/>
        <v>Area 9: Admiralty Inlet</v>
      </c>
      <c r="K1581" t="str">
        <f>IFERROR(VLOOKUP(J1581,LUTs!$A$1:$C$73,2,FALSE),"NA")</f>
        <v>NA</v>
      </c>
      <c r="L1581" t="str">
        <f>IFERROR(VLOOKUP(J1581,LUTs!$A$1:$C$73,3,FALSE),"NA")</f>
        <v>2Central Puget Sound</v>
      </c>
      <c r="M1581" s="72" t="s">
        <v>17</v>
      </c>
      <c r="N1581" t="str">
        <f>VLOOKUP(M1581,LUTs!E$2:H$14,3,)</f>
        <v>04Island</v>
      </c>
      <c r="O1581" t="str">
        <f>VLOOKUP(M1581,LUTs!E$2:H$14,4,)</f>
        <v>01North Puget Sound</v>
      </c>
      <c r="P1581" s="80">
        <v>17</v>
      </c>
      <c r="Q1581" s="103">
        <v>8.5</v>
      </c>
      <c r="R1581" s="74">
        <f>VLOOKUP(B1581,Readme!A$40:C$52,3,)*Q1581</f>
        <v>157.67500000000001</v>
      </c>
    </row>
    <row r="1582" spans="1:18" ht="12" customHeight="1" x14ac:dyDescent="0.35">
      <c r="A1582" s="75">
        <v>1732</v>
      </c>
      <c r="B1582" s="80">
        <v>2015</v>
      </c>
      <c r="C1582" s="80">
        <v>5</v>
      </c>
      <c r="D1582" s="80">
        <f t="shared" si="87"/>
        <v>2015</v>
      </c>
      <c r="E1582" t="s">
        <v>38</v>
      </c>
      <c r="F1582" t="s">
        <v>143</v>
      </c>
      <c r="G1582" t="s">
        <v>86</v>
      </c>
      <c r="H1582" s="72" t="s">
        <v>254</v>
      </c>
      <c r="I1582" s="72" t="s">
        <v>33</v>
      </c>
      <c r="J1582" t="str">
        <f t="shared" si="88"/>
        <v>Area 9: Admiralty Inlet</v>
      </c>
      <c r="K1582" t="str">
        <f>IFERROR(VLOOKUP(J1582,LUTs!$A$1:$C$73,2,FALSE),"NA")</f>
        <v>NA</v>
      </c>
      <c r="L1582" t="str">
        <f>IFERROR(VLOOKUP(J1582,LUTs!$A$1:$C$73,3,FALSE),"NA")</f>
        <v>2Central Puget Sound</v>
      </c>
      <c r="M1582" s="72" t="s">
        <v>16</v>
      </c>
      <c r="N1582" t="str">
        <f>VLOOKUP(M1582,LUTs!E$2:H$14,3,)</f>
        <v>03Snohomish</v>
      </c>
      <c r="O1582" t="str">
        <f>VLOOKUP(M1582,LUTs!E$2:H$14,4,)</f>
        <v>01North Puget Sound</v>
      </c>
      <c r="P1582" s="80">
        <v>51</v>
      </c>
      <c r="Q1582" s="103">
        <v>25.5</v>
      </c>
      <c r="R1582" s="74">
        <f>VLOOKUP(B1582,Readme!A$40:C$52,3,)*Q1582</f>
        <v>473.02500000000003</v>
      </c>
    </row>
    <row r="1583" spans="1:18" ht="12" customHeight="1" x14ac:dyDescent="0.35">
      <c r="A1583" s="75">
        <v>1721</v>
      </c>
      <c r="B1583" s="80">
        <v>2015</v>
      </c>
      <c r="C1583" s="80">
        <v>6</v>
      </c>
      <c r="D1583" s="80">
        <f t="shared" si="87"/>
        <v>2015</v>
      </c>
      <c r="E1583" t="s">
        <v>38</v>
      </c>
      <c r="F1583" t="s">
        <v>143</v>
      </c>
      <c r="G1583" t="s">
        <v>86</v>
      </c>
      <c r="H1583" s="72" t="s">
        <v>251</v>
      </c>
      <c r="I1583" s="72" t="s">
        <v>102</v>
      </c>
      <c r="J1583" t="str">
        <f t="shared" si="88"/>
        <v>Canyon Creek</v>
      </c>
      <c r="K1583" t="str">
        <f>IFERROR(VLOOKUP(J1583,LUTs!$A$1:$C$73,2,FALSE),"NA")</f>
        <v>Snohomish</v>
      </c>
      <c r="L1583" t="str">
        <f>IFERROR(VLOOKUP(J1583,LUTs!$A$1:$C$73,3,FALSE),"NA")</f>
        <v>2Central Puget Sound</v>
      </c>
      <c r="M1583" s="72" t="s">
        <v>16</v>
      </c>
      <c r="N1583" t="str">
        <f>VLOOKUP(M1583,LUTs!E$2:H$14,3,)</f>
        <v>03Snohomish</v>
      </c>
      <c r="O1583" t="str">
        <f>VLOOKUP(M1583,LUTs!E$2:H$14,4,)</f>
        <v>01North Puget Sound</v>
      </c>
      <c r="P1583" s="80">
        <v>8</v>
      </c>
      <c r="Q1583" s="103">
        <v>4</v>
      </c>
      <c r="R1583" s="74">
        <f>VLOOKUP(B1583,Readme!A$40:C$52,3,)*Q1583</f>
        <v>74.2</v>
      </c>
    </row>
    <row r="1584" spans="1:18" ht="12" customHeight="1" x14ac:dyDescent="0.35">
      <c r="A1584" s="75">
        <v>1585</v>
      </c>
      <c r="B1584" s="80">
        <v>2015</v>
      </c>
      <c r="C1584" s="80">
        <v>6</v>
      </c>
      <c r="D1584" s="80">
        <f t="shared" si="87"/>
        <v>2015</v>
      </c>
      <c r="E1584" t="s">
        <v>38</v>
      </c>
      <c r="F1584" t="s">
        <v>143</v>
      </c>
      <c r="G1584" t="s">
        <v>86</v>
      </c>
      <c r="H1584" s="72" t="s">
        <v>203</v>
      </c>
      <c r="I1584" s="72" t="s">
        <v>89</v>
      </c>
      <c r="J1584" s="84" t="s">
        <v>45</v>
      </c>
      <c r="K1584" t="str">
        <f>IFERROR(VLOOKUP(J1584,LUTs!$A$1:$C$73,2,FALSE),"NA")</f>
        <v>King</v>
      </c>
      <c r="L1584" t="str">
        <f>IFERROR(VLOOKUP(J1584,LUTs!$A$1:$C$73,3,FALSE),"NA")</f>
        <v>3South Puget Sound</v>
      </c>
      <c r="M1584" s="72" t="s">
        <v>20</v>
      </c>
      <c r="N1584" t="str">
        <f>VLOOKUP(M1584,LUTs!E$2:H$14,3,)</f>
        <v>07Pierce</v>
      </c>
      <c r="O1584" t="str">
        <f>VLOOKUP(M1584,LUTs!E$2:H$14,4,)</f>
        <v>02South Puget Sound</v>
      </c>
      <c r="P1584" s="80">
        <v>8</v>
      </c>
      <c r="Q1584" s="103">
        <v>4</v>
      </c>
      <c r="R1584" s="74">
        <f>VLOOKUP(B1584,Readme!A$40:C$52,3,)*Q1584</f>
        <v>74.2</v>
      </c>
    </row>
    <row r="1585" spans="1:18" ht="12" customHeight="1" x14ac:dyDescent="0.35">
      <c r="A1585" s="75">
        <v>1636</v>
      </c>
      <c r="B1585" s="80">
        <v>2015</v>
      </c>
      <c r="C1585" s="80">
        <v>6</v>
      </c>
      <c r="D1585" s="80">
        <f t="shared" si="87"/>
        <v>2015</v>
      </c>
      <c r="E1585" t="s">
        <v>38</v>
      </c>
      <c r="F1585" t="s">
        <v>143</v>
      </c>
      <c r="G1585" t="s">
        <v>86</v>
      </c>
      <c r="H1585" s="72" t="s">
        <v>220</v>
      </c>
      <c r="I1585" s="72" t="s">
        <v>62</v>
      </c>
      <c r="J1585" t="str">
        <f t="shared" ref="J1585:J1594" si="89">I1585</f>
        <v>Skykomish River</v>
      </c>
      <c r="K1585" t="str">
        <f>IFERROR(VLOOKUP(J1585,LUTs!$A$1:$C$73,2,FALSE),"NA")</f>
        <v>Snohomish</v>
      </c>
      <c r="L1585" t="str">
        <f>IFERROR(VLOOKUP(J1585,LUTs!$A$1:$C$73,3,FALSE),"NA")</f>
        <v>2Central Puget Sound</v>
      </c>
      <c r="M1585" s="72" t="s">
        <v>18</v>
      </c>
      <c r="N1585" t="str">
        <f>VLOOKUP(M1585,LUTs!E$2:H$14,3,)</f>
        <v>06King</v>
      </c>
      <c r="O1585" t="str">
        <f>VLOOKUP(M1585,LUTs!E$2:H$14,4,)</f>
        <v>02South Puget Sound</v>
      </c>
      <c r="P1585" s="80">
        <v>360.38709677419399</v>
      </c>
      <c r="Q1585" s="103">
        <v>180.193548387097</v>
      </c>
      <c r="R1585" s="74">
        <f>VLOOKUP(B1585,Readme!A$40:C$52,3,)*Q1585</f>
        <v>3342.5903225806496</v>
      </c>
    </row>
    <row r="1586" spans="1:18" ht="12" customHeight="1" x14ac:dyDescent="0.35">
      <c r="A1586" s="75">
        <v>1637</v>
      </c>
      <c r="B1586" s="80">
        <v>2015</v>
      </c>
      <c r="C1586" s="80">
        <v>6</v>
      </c>
      <c r="D1586" s="80">
        <f t="shared" si="87"/>
        <v>2015</v>
      </c>
      <c r="E1586" t="s">
        <v>38</v>
      </c>
      <c r="F1586" t="s">
        <v>143</v>
      </c>
      <c r="G1586" t="s">
        <v>86</v>
      </c>
      <c r="H1586" s="72" t="s">
        <v>220</v>
      </c>
      <c r="I1586" s="72" t="s">
        <v>62</v>
      </c>
      <c r="J1586" t="str">
        <f t="shared" si="89"/>
        <v>Skykomish River</v>
      </c>
      <c r="K1586" t="str">
        <f>IFERROR(VLOOKUP(J1586,LUTs!$A$1:$C$73,2,FALSE),"NA")</f>
        <v>Snohomish</v>
      </c>
      <c r="L1586" t="str">
        <f>IFERROR(VLOOKUP(J1586,LUTs!$A$1:$C$73,3,FALSE),"NA")</f>
        <v>2Central Puget Sound</v>
      </c>
      <c r="M1586" s="72" t="s">
        <v>26</v>
      </c>
      <c r="N1586" t="str">
        <f>VLOOKUP(M1586,LUTs!E$2:H$14,3,)</f>
        <v>20Other</v>
      </c>
      <c r="O1586" t="str">
        <f>VLOOKUP(M1586,LUTs!E$2:H$14,4,)</f>
        <v>07Non Puget Sound</v>
      </c>
      <c r="P1586" s="80">
        <v>19.306451612903199</v>
      </c>
      <c r="Q1586" s="103">
        <v>9.6532258064516103</v>
      </c>
      <c r="R1586" s="74">
        <f>VLOOKUP(B1586,Readme!A$40:C$52,3,)*Q1586</f>
        <v>179.06733870967739</v>
      </c>
    </row>
    <row r="1587" spans="1:18" ht="12" customHeight="1" x14ac:dyDescent="0.35">
      <c r="A1587" s="75">
        <v>1638</v>
      </c>
      <c r="B1587" s="80">
        <v>2015</v>
      </c>
      <c r="C1587" s="80">
        <v>6</v>
      </c>
      <c r="D1587" s="80">
        <f t="shared" si="87"/>
        <v>2015</v>
      </c>
      <c r="E1587" t="s">
        <v>38</v>
      </c>
      <c r="F1587" t="s">
        <v>143</v>
      </c>
      <c r="G1587" t="s">
        <v>86</v>
      </c>
      <c r="H1587" s="72" t="s">
        <v>220</v>
      </c>
      <c r="I1587" s="72" t="s">
        <v>62</v>
      </c>
      <c r="J1587" t="str">
        <f t="shared" si="89"/>
        <v>Skykomish River</v>
      </c>
      <c r="K1587" t="str">
        <f>IFERROR(VLOOKUP(J1587,LUTs!$A$1:$C$73,2,FALSE),"NA")</f>
        <v>Snohomish</v>
      </c>
      <c r="L1587" t="str">
        <f>IFERROR(VLOOKUP(J1587,LUTs!$A$1:$C$73,3,FALSE),"NA")</f>
        <v>2Central Puget Sound</v>
      </c>
      <c r="M1587" s="72" t="s">
        <v>20</v>
      </c>
      <c r="N1587" t="str">
        <f>VLOOKUP(M1587,LUTs!E$2:H$14,3,)</f>
        <v>07Pierce</v>
      </c>
      <c r="O1587" t="str">
        <f>VLOOKUP(M1587,LUTs!E$2:H$14,4,)</f>
        <v>02South Puget Sound</v>
      </c>
      <c r="P1587" s="80">
        <v>25.741935483871</v>
      </c>
      <c r="Q1587" s="103">
        <v>12.8709677419355</v>
      </c>
      <c r="R1587" s="74">
        <f>VLOOKUP(B1587,Readme!A$40:C$52,3,)*Q1587</f>
        <v>238.75645161290353</v>
      </c>
    </row>
    <row r="1588" spans="1:18" ht="12" customHeight="1" x14ac:dyDescent="0.35">
      <c r="A1588" s="75">
        <v>1639</v>
      </c>
      <c r="B1588" s="80">
        <v>2015</v>
      </c>
      <c r="C1588" s="80">
        <v>6</v>
      </c>
      <c r="D1588" s="80">
        <f t="shared" si="87"/>
        <v>2015</v>
      </c>
      <c r="E1588" t="s">
        <v>38</v>
      </c>
      <c r="F1588" t="s">
        <v>143</v>
      </c>
      <c r="G1588" t="s">
        <v>86</v>
      </c>
      <c r="H1588" s="72" t="s">
        <v>220</v>
      </c>
      <c r="I1588" s="72" t="s">
        <v>62</v>
      </c>
      <c r="J1588" t="str">
        <f t="shared" si="89"/>
        <v>Skykomish River</v>
      </c>
      <c r="K1588" t="str">
        <f>IFERROR(VLOOKUP(J1588,LUTs!$A$1:$C$73,2,FALSE),"NA")</f>
        <v>Snohomish</v>
      </c>
      <c r="L1588" t="str">
        <f>IFERROR(VLOOKUP(J1588,LUTs!$A$1:$C$73,3,FALSE),"NA")</f>
        <v>2Central Puget Sound</v>
      </c>
      <c r="M1588" s="72" t="s">
        <v>15</v>
      </c>
      <c r="N1588" t="str">
        <f>VLOOKUP(M1588,LUTs!E$2:H$14,3,)</f>
        <v>02Skagit</v>
      </c>
      <c r="O1588" t="str">
        <f>VLOOKUP(M1588,LUTs!E$2:H$14,4,)</f>
        <v>01North Puget Sound</v>
      </c>
      <c r="P1588" s="80">
        <v>6.4354838709677402</v>
      </c>
      <c r="Q1588" s="103">
        <v>3.2177419354838701</v>
      </c>
      <c r="R1588" s="74">
        <f>VLOOKUP(B1588,Readme!A$40:C$52,3,)*Q1588</f>
        <v>59.689112903225791</v>
      </c>
    </row>
    <row r="1589" spans="1:18" ht="12" customHeight="1" x14ac:dyDescent="0.35">
      <c r="A1589" s="75">
        <v>1640</v>
      </c>
      <c r="B1589" s="80">
        <v>2015</v>
      </c>
      <c r="C1589" s="80">
        <v>6</v>
      </c>
      <c r="D1589" s="80">
        <f t="shared" si="87"/>
        <v>2015</v>
      </c>
      <c r="E1589" t="s">
        <v>38</v>
      </c>
      <c r="F1589" t="s">
        <v>143</v>
      </c>
      <c r="G1589" t="s">
        <v>86</v>
      </c>
      <c r="H1589" s="72" t="s">
        <v>220</v>
      </c>
      <c r="I1589" s="72" t="s">
        <v>62</v>
      </c>
      <c r="J1589" t="str">
        <f t="shared" si="89"/>
        <v>Skykomish River</v>
      </c>
      <c r="K1589" t="str">
        <f>IFERROR(VLOOKUP(J1589,LUTs!$A$1:$C$73,2,FALSE),"NA")</f>
        <v>Snohomish</v>
      </c>
      <c r="L1589" t="str">
        <f>IFERROR(VLOOKUP(J1589,LUTs!$A$1:$C$73,3,FALSE),"NA")</f>
        <v>2Central Puget Sound</v>
      </c>
      <c r="M1589" s="72" t="s">
        <v>16</v>
      </c>
      <c r="N1589" t="str">
        <f>VLOOKUP(M1589,LUTs!E$2:H$14,3,)</f>
        <v>03Snohomish</v>
      </c>
      <c r="O1589" t="str">
        <f>VLOOKUP(M1589,LUTs!E$2:H$14,4,)</f>
        <v>01North Puget Sound</v>
      </c>
      <c r="P1589" s="80">
        <v>386.12903225806502</v>
      </c>
      <c r="Q1589" s="103">
        <v>193.064516129032</v>
      </c>
      <c r="R1589" s="74">
        <f>VLOOKUP(B1589,Readme!A$40:C$52,3,)*Q1589</f>
        <v>3581.3467741935438</v>
      </c>
    </row>
    <row r="1590" spans="1:18" ht="12" customHeight="1" x14ac:dyDescent="0.35">
      <c r="A1590" s="75">
        <v>1668</v>
      </c>
      <c r="B1590" s="80">
        <v>2015</v>
      </c>
      <c r="C1590" s="80">
        <v>6</v>
      </c>
      <c r="D1590" s="80">
        <f t="shared" si="87"/>
        <v>2015</v>
      </c>
      <c r="E1590" t="s">
        <v>38</v>
      </c>
      <c r="F1590" t="s">
        <v>143</v>
      </c>
      <c r="G1590" t="s">
        <v>86</v>
      </c>
      <c r="H1590" s="72" t="s">
        <v>247</v>
      </c>
      <c r="I1590" s="72" t="s">
        <v>98</v>
      </c>
      <c r="J1590" t="str">
        <f t="shared" si="89"/>
        <v>Skykomish River, No. Fork</v>
      </c>
      <c r="K1590" t="str">
        <f>IFERROR(VLOOKUP(J1590,LUTs!$A$1:$C$73,2,FALSE),"NA")</f>
        <v>Snohomish</v>
      </c>
      <c r="L1590" t="str">
        <f>IFERROR(VLOOKUP(J1590,LUTs!$A$1:$C$73,3,FALSE),"NA")</f>
        <v>2Central Puget Sound</v>
      </c>
      <c r="M1590" s="72" t="s">
        <v>16</v>
      </c>
      <c r="N1590" t="str">
        <f>VLOOKUP(M1590,LUTs!E$2:H$14,3,)</f>
        <v>03Snohomish</v>
      </c>
      <c r="O1590" t="str">
        <f>VLOOKUP(M1590,LUTs!E$2:H$14,4,)</f>
        <v>01North Puget Sound</v>
      </c>
      <c r="P1590" s="80">
        <v>12</v>
      </c>
      <c r="Q1590" s="103">
        <v>6</v>
      </c>
      <c r="R1590" s="74">
        <f>VLOOKUP(B1590,Readme!A$40:C$52,3,)*Q1590</f>
        <v>111.30000000000001</v>
      </c>
    </row>
    <row r="1591" spans="1:18" ht="12" customHeight="1" x14ac:dyDescent="0.35">
      <c r="A1591" s="75">
        <v>1675</v>
      </c>
      <c r="B1591" s="80">
        <v>2015</v>
      </c>
      <c r="C1591" s="80">
        <v>6</v>
      </c>
      <c r="D1591" s="80">
        <f t="shared" si="87"/>
        <v>2015</v>
      </c>
      <c r="E1591" t="s">
        <v>38</v>
      </c>
      <c r="F1591" t="s">
        <v>143</v>
      </c>
      <c r="G1591" t="s">
        <v>86</v>
      </c>
      <c r="H1591" s="72" t="s">
        <v>248</v>
      </c>
      <c r="I1591" s="72" t="s">
        <v>99</v>
      </c>
      <c r="J1591" t="str">
        <f t="shared" si="89"/>
        <v>Skykomish River, So. Fork</v>
      </c>
      <c r="K1591" t="str">
        <f>IFERROR(VLOOKUP(J1591,LUTs!$A$1:$C$73,2,FALSE),"NA")</f>
        <v>Snohomish/King</v>
      </c>
      <c r="L1591" t="str">
        <f>IFERROR(VLOOKUP(J1591,LUTs!$A$1:$C$73,3,FALSE),"NA")</f>
        <v>2Central Puget Sound</v>
      </c>
      <c r="M1591" s="72" t="s">
        <v>13</v>
      </c>
      <c r="N1591" t="str">
        <f>VLOOKUP(M1591,LUTs!E$2:H$14,3,)</f>
        <v>01Whatcom</v>
      </c>
      <c r="O1591" t="str">
        <f>VLOOKUP(M1591,LUTs!E$2:H$14,4,)</f>
        <v>01North Puget Sound</v>
      </c>
      <c r="P1591" s="80">
        <v>6</v>
      </c>
      <c r="Q1591" s="103">
        <v>3</v>
      </c>
      <c r="R1591" s="74">
        <f>VLOOKUP(B1591,Readme!A$40:C$52,3,)*Q1591</f>
        <v>55.650000000000006</v>
      </c>
    </row>
    <row r="1592" spans="1:18" ht="12" customHeight="1" x14ac:dyDescent="0.35">
      <c r="A1592" s="75">
        <v>1682</v>
      </c>
      <c r="B1592" s="80">
        <v>2015</v>
      </c>
      <c r="C1592" s="80">
        <v>6</v>
      </c>
      <c r="D1592" s="80">
        <f t="shared" si="87"/>
        <v>2015</v>
      </c>
      <c r="E1592" t="s">
        <v>38</v>
      </c>
      <c r="F1592" t="s">
        <v>143</v>
      </c>
      <c r="G1592" t="s">
        <v>86</v>
      </c>
      <c r="H1592" s="72" t="s">
        <v>221</v>
      </c>
      <c r="I1592" s="72" t="s">
        <v>63</v>
      </c>
      <c r="J1592" t="str">
        <f t="shared" si="89"/>
        <v>Snohomish River</v>
      </c>
      <c r="K1592" t="str">
        <f>IFERROR(VLOOKUP(J1592,LUTs!$A$1:$C$73,2,FALSE),"NA")</f>
        <v>Snohomish</v>
      </c>
      <c r="L1592" t="str">
        <f>IFERROR(VLOOKUP(J1592,LUTs!$A$1:$C$73,3,FALSE),"NA")</f>
        <v>2Central Puget Sound</v>
      </c>
      <c r="M1592" s="72" t="s">
        <v>16</v>
      </c>
      <c r="N1592" t="str">
        <f>VLOOKUP(M1592,LUTs!E$2:H$14,3,)</f>
        <v>03Snohomish</v>
      </c>
      <c r="O1592" t="str">
        <f>VLOOKUP(M1592,LUTs!E$2:H$14,4,)</f>
        <v>01North Puget Sound</v>
      </c>
      <c r="P1592" s="80">
        <v>32</v>
      </c>
      <c r="Q1592" s="103">
        <v>16</v>
      </c>
      <c r="R1592" s="74">
        <f>VLOOKUP(B1592,Readme!A$40:C$52,3,)*Q1592</f>
        <v>296.8</v>
      </c>
    </row>
    <row r="1593" spans="1:18" ht="12" customHeight="1" x14ac:dyDescent="0.35">
      <c r="A1593" s="75">
        <v>1691</v>
      </c>
      <c r="B1593" s="80">
        <v>2015</v>
      </c>
      <c r="C1593" s="80">
        <v>6</v>
      </c>
      <c r="D1593" s="80">
        <f t="shared" si="87"/>
        <v>2015</v>
      </c>
      <c r="E1593" t="s">
        <v>38</v>
      </c>
      <c r="F1593" t="s">
        <v>143</v>
      </c>
      <c r="G1593" t="s">
        <v>86</v>
      </c>
      <c r="H1593" s="72" t="s">
        <v>222</v>
      </c>
      <c r="I1593" s="72" t="s">
        <v>64</v>
      </c>
      <c r="J1593" t="str">
        <f t="shared" si="89"/>
        <v>Snoqualmie River</v>
      </c>
      <c r="K1593" t="str">
        <f>IFERROR(VLOOKUP(J1593,LUTs!$A$1:$C$73,2,FALSE),"NA")</f>
        <v>Snohomish/King</v>
      </c>
      <c r="L1593" t="str">
        <f>IFERROR(VLOOKUP(J1593,LUTs!$A$1:$C$73,3,FALSE),"NA")</f>
        <v>2Central Puget Sound</v>
      </c>
      <c r="M1593" s="72" t="s">
        <v>18</v>
      </c>
      <c r="N1593" t="str">
        <f>VLOOKUP(M1593,LUTs!E$2:H$14,3,)</f>
        <v>06King</v>
      </c>
      <c r="O1593" t="str">
        <f>VLOOKUP(M1593,LUTs!E$2:H$14,4,)</f>
        <v>02South Puget Sound</v>
      </c>
      <c r="P1593" s="80">
        <v>6</v>
      </c>
      <c r="Q1593" s="103">
        <v>3</v>
      </c>
      <c r="R1593" s="74">
        <f>VLOOKUP(B1593,Readme!A$40:C$52,3,)*Q1593</f>
        <v>55.650000000000006</v>
      </c>
    </row>
    <row r="1594" spans="1:18" ht="12" customHeight="1" x14ac:dyDescent="0.35">
      <c r="A1594" s="75">
        <v>1733</v>
      </c>
      <c r="B1594" s="80">
        <v>2015</v>
      </c>
      <c r="C1594" s="80">
        <v>7</v>
      </c>
      <c r="D1594" s="80">
        <f t="shared" si="87"/>
        <v>2015</v>
      </c>
      <c r="E1594" t="s">
        <v>38</v>
      </c>
      <c r="F1594" t="s">
        <v>143</v>
      </c>
      <c r="G1594" t="s">
        <v>86</v>
      </c>
      <c r="H1594" s="72" t="s">
        <v>254</v>
      </c>
      <c r="I1594" s="72" t="s">
        <v>33</v>
      </c>
      <c r="J1594" t="str">
        <f t="shared" si="89"/>
        <v>Area 9: Admiralty Inlet</v>
      </c>
      <c r="K1594" t="str">
        <f>IFERROR(VLOOKUP(J1594,LUTs!$A$1:$C$73,2,FALSE),"NA")</f>
        <v>NA</v>
      </c>
      <c r="L1594" t="str">
        <f>IFERROR(VLOOKUP(J1594,LUTs!$A$1:$C$73,3,FALSE),"NA")</f>
        <v>2Central Puget Sound</v>
      </c>
      <c r="M1594" s="72" t="s">
        <v>16</v>
      </c>
      <c r="N1594" t="str">
        <f>VLOOKUP(M1594,LUTs!E$2:H$14,3,)</f>
        <v>03Snohomish</v>
      </c>
      <c r="O1594" t="str">
        <f>VLOOKUP(M1594,LUTs!E$2:H$14,4,)</f>
        <v>01North Puget Sound</v>
      </c>
      <c r="P1594" s="80">
        <v>16</v>
      </c>
      <c r="Q1594" s="103">
        <v>8</v>
      </c>
      <c r="R1594" s="74">
        <f>VLOOKUP(B1594,Readme!A$40:C$52,3,)*Q1594</f>
        <v>148.4</v>
      </c>
    </row>
    <row r="1595" spans="1:18" ht="12" customHeight="1" x14ac:dyDescent="0.35">
      <c r="A1595" s="75">
        <v>1586</v>
      </c>
      <c r="B1595" s="80">
        <v>2015</v>
      </c>
      <c r="C1595" s="80">
        <v>7</v>
      </c>
      <c r="D1595" s="80">
        <f t="shared" si="87"/>
        <v>2015</v>
      </c>
      <c r="E1595" t="s">
        <v>38</v>
      </c>
      <c r="F1595" t="s">
        <v>143</v>
      </c>
      <c r="G1595" t="s">
        <v>86</v>
      </c>
      <c r="H1595" s="72" t="s">
        <v>203</v>
      </c>
      <c r="I1595" s="72" t="s">
        <v>89</v>
      </c>
      <c r="J1595" s="84" t="s">
        <v>45</v>
      </c>
      <c r="K1595" t="str">
        <f>IFERROR(VLOOKUP(J1595,LUTs!$A$1:$C$73,2,FALSE),"NA")</f>
        <v>King</v>
      </c>
      <c r="L1595" t="str">
        <f>IFERROR(VLOOKUP(J1595,LUTs!$A$1:$C$73,3,FALSE),"NA")</f>
        <v>3South Puget Sound</v>
      </c>
      <c r="M1595" s="72" t="s">
        <v>18</v>
      </c>
      <c r="N1595" t="str">
        <f>VLOOKUP(M1595,LUTs!E$2:H$14,3,)</f>
        <v>06King</v>
      </c>
      <c r="O1595" t="str">
        <f>VLOOKUP(M1595,LUTs!E$2:H$14,4,)</f>
        <v>02South Puget Sound</v>
      </c>
      <c r="P1595" s="80">
        <v>37.142857142857203</v>
      </c>
      <c r="Q1595" s="103">
        <v>18.571428571428601</v>
      </c>
      <c r="R1595" s="74">
        <f>VLOOKUP(B1595,Readme!A$40:C$52,3,)*Q1595</f>
        <v>344.50000000000057</v>
      </c>
    </row>
    <row r="1596" spans="1:18" ht="12" customHeight="1" x14ac:dyDescent="0.35">
      <c r="A1596" s="75">
        <v>1587</v>
      </c>
      <c r="B1596" s="80">
        <v>2015</v>
      </c>
      <c r="C1596" s="80">
        <v>7</v>
      </c>
      <c r="D1596" s="80">
        <f t="shared" si="87"/>
        <v>2015</v>
      </c>
      <c r="E1596" t="s">
        <v>38</v>
      </c>
      <c r="F1596" t="s">
        <v>143</v>
      </c>
      <c r="G1596" t="s">
        <v>86</v>
      </c>
      <c r="H1596" s="72" t="s">
        <v>203</v>
      </c>
      <c r="I1596" s="72" t="s">
        <v>89</v>
      </c>
      <c r="J1596" s="84" t="s">
        <v>45</v>
      </c>
      <c r="K1596" t="str">
        <f>IFERROR(VLOOKUP(J1596,LUTs!$A$1:$C$73,2,FALSE),"NA")</f>
        <v>King</v>
      </c>
      <c r="L1596" t="str">
        <f>IFERROR(VLOOKUP(J1596,LUTs!$A$1:$C$73,3,FALSE),"NA")</f>
        <v>3South Puget Sound</v>
      </c>
      <c r="M1596" s="72" t="s">
        <v>26</v>
      </c>
      <c r="N1596" t="str">
        <f>VLOOKUP(M1596,LUTs!E$2:H$14,3,)</f>
        <v>20Other</v>
      </c>
      <c r="O1596" t="str">
        <f>VLOOKUP(M1596,LUTs!E$2:H$14,4,)</f>
        <v>07Non Puget Sound</v>
      </c>
      <c r="P1596" s="80">
        <v>14.8571428571429</v>
      </c>
      <c r="Q1596" s="103">
        <v>7.4285714285714297</v>
      </c>
      <c r="R1596" s="74">
        <f>VLOOKUP(B1596,Readme!A$40:C$52,3,)*Q1596</f>
        <v>137.80000000000004</v>
      </c>
    </row>
    <row r="1597" spans="1:18" ht="12" customHeight="1" x14ac:dyDescent="0.35">
      <c r="A1597" s="75">
        <v>1641</v>
      </c>
      <c r="B1597" s="80">
        <v>2015</v>
      </c>
      <c r="C1597" s="80">
        <v>7</v>
      </c>
      <c r="D1597" s="80">
        <f t="shared" si="87"/>
        <v>2015</v>
      </c>
      <c r="E1597" t="s">
        <v>38</v>
      </c>
      <c r="F1597" t="s">
        <v>143</v>
      </c>
      <c r="G1597" t="s">
        <v>86</v>
      </c>
      <c r="H1597" s="72" t="s">
        <v>220</v>
      </c>
      <c r="I1597" s="72" t="s">
        <v>62</v>
      </c>
      <c r="J1597" t="str">
        <f>I1597</f>
        <v>Skykomish River</v>
      </c>
      <c r="K1597" t="str">
        <f>IFERROR(VLOOKUP(J1597,LUTs!$A$1:$C$73,2,FALSE),"NA")</f>
        <v>Snohomish</v>
      </c>
      <c r="L1597" t="str">
        <f>IFERROR(VLOOKUP(J1597,LUTs!$A$1:$C$73,3,FALSE),"NA")</f>
        <v>2Central Puget Sound</v>
      </c>
      <c r="M1597" s="72" t="s">
        <v>18</v>
      </c>
      <c r="N1597" t="str">
        <f>VLOOKUP(M1597,LUTs!E$2:H$14,3,)</f>
        <v>06King</v>
      </c>
      <c r="O1597" t="str">
        <f>VLOOKUP(M1597,LUTs!E$2:H$14,4,)</f>
        <v>02South Puget Sound</v>
      </c>
      <c r="P1597" s="80">
        <v>109.846153846154</v>
      </c>
      <c r="Q1597" s="103">
        <v>54.923076923076898</v>
      </c>
      <c r="R1597" s="74">
        <f>VLOOKUP(B1597,Readme!A$40:C$52,3,)*Q1597</f>
        <v>1018.8230769230765</v>
      </c>
    </row>
    <row r="1598" spans="1:18" ht="12" customHeight="1" x14ac:dyDescent="0.35">
      <c r="A1598" s="75">
        <v>1642</v>
      </c>
      <c r="B1598" s="80">
        <v>2015</v>
      </c>
      <c r="C1598" s="80">
        <v>7</v>
      </c>
      <c r="D1598" s="80">
        <f t="shared" si="87"/>
        <v>2015</v>
      </c>
      <c r="E1598" t="s">
        <v>38</v>
      </c>
      <c r="F1598" t="s">
        <v>143</v>
      </c>
      <c r="G1598" t="s">
        <v>86</v>
      </c>
      <c r="H1598" s="72" t="s">
        <v>220</v>
      </c>
      <c r="I1598" s="72" t="s">
        <v>62</v>
      </c>
      <c r="J1598" t="str">
        <f>I1598</f>
        <v>Skykomish River</v>
      </c>
      <c r="K1598" t="str">
        <f>IFERROR(VLOOKUP(J1598,LUTs!$A$1:$C$73,2,FALSE),"NA")</f>
        <v>Snohomish</v>
      </c>
      <c r="L1598" t="str">
        <f>IFERROR(VLOOKUP(J1598,LUTs!$A$1:$C$73,3,FALSE),"NA")</f>
        <v>2Central Puget Sound</v>
      </c>
      <c r="M1598" s="72" t="s">
        <v>16</v>
      </c>
      <c r="N1598" t="str">
        <f>VLOOKUP(M1598,LUTs!E$2:H$14,3,)</f>
        <v>03Snohomish</v>
      </c>
      <c r="O1598" t="str">
        <f>VLOOKUP(M1598,LUTs!E$2:H$14,4,)</f>
        <v>01North Puget Sound</v>
      </c>
      <c r="P1598" s="80">
        <v>142.15384615384599</v>
      </c>
      <c r="Q1598" s="103">
        <v>71.076923076923094</v>
      </c>
      <c r="R1598" s="74">
        <f>VLOOKUP(B1598,Readme!A$40:C$52,3,)*Q1598</f>
        <v>1318.4769230769234</v>
      </c>
    </row>
    <row r="1599" spans="1:18" ht="12" customHeight="1" x14ac:dyDescent="0.35">
      <c r="A1599" s="75">
        <v>1669</v>
      </c>
      <c r="B1599" s="80">
        <v>2015</v>
      </c>
      <c r="C1599" s="80">
        <v>7</v>
      </c>
      <c r="D1599" s="80">
        <f t="shared" si="87"/>
        <v>2015</v>
      </c>
      <c r="E1599" t="s">
        <v>38</v>
      </c>
      <c r="F1599" t="s">
        <v>143</v>
      </c>
      <c r="G1599" t="s">
        <v>86</v>
      </c>
      <c r="H1599" s="72" t="s">
        <v>247</v>
      </c>
      <c r="I1599" s="72" t="s">
        <v>98</v>
      </c>
      <c r="J1599" t="str">
        <f>I1599</f>
        <v>Skykomish River, No. Fork</v>
      </c>
      <c r="K1599" t="str">
        <f>IFERROR(VLOOKUP(J1599,LUTs!$A$1:$C$73,2,FALSE),"NA")</f>
        <v>Snohomish</v>
      </c>
      <c r="L1599" t="str">
        <f>IFERROR(VLOOKUP(J1599,LUTs!$A$1:$C$73,3,FALSE),"NA")</f>
        <v>2Central Puget Sound</v>
      </c>
      <c r="M1599" s="72" t="s">
        <v>18</v>
      </c>
      <c r="N1599" t="str">
        <f>VLOOKUP(M1599,LUTs!E$2:H$14,3,)</f>
        <v>06King</v>
      </c>
      <c r="O1599" t="str">
        <f>VLOOKUP(M1599,LUTs!E$2:H$14,4,)</f>
        <v>02South Puget Sound</v>
      </c>
      <c r="P1599" s="80">
        <v>20</v>
      </c>
      <c r="Q1599" s="103">
        <v>10</v>
      </c>
      <c r="R1599" s="74">
        <f>VLOOKUP(B1599,Readme!A$40:C$52,3,)*Q1599</f>
        <v>185.5</v>
      </c>
    </row>
    <row r="1600" spans="1:18" ht="12" customHeight="1" x14ac:dyDescent="0.35">
      <c r="A1600" s="75">
        <v>1599</v>
      </c>
      <c r="B1600" s="80">
        <v>2015</v>
      </c>
      <c r="C1600" s="80">
        <v>7</v>
      </c>
      <c r="D1600" s="80">
        <f t="shared" si="87"/>
        <v>2015</v>
      </c>
      <c r="E1600" t="s">
        <v>38</v>
      </c>
      <c r="F1600" t="s">
        <v>143</v>
      </c>
      <c r="G1600" t="s">
        <v>86</v>
      </c>
      <c r="H1600" s="72" t="s">
        <v>236</v>
      </c>
      <c r="I1600" s="72" t="s">
        <v>90</v>
      </c>
      <c r="J1600" t="str">
        <f>I1600</f>
        <v>Soos Creek</v>
      </c>
      <c r="K1600" t="str">
        <f>IFERROR(VLOOKUP(J1600,LUTs!$A$1:$C$73,2,FALSE),"NA")</f>
        <v>King</v>
      </c>
      <c r="L1600" t="str">
        <f>IFERROR(VLOOKUP(J1600,LUTs!$A$1:$C$73,3,FALSE),"NA")</f>
        <v>3South Puget Sound</v>
      </c>
      <c r="M1600" s="72" t="s">
        <v>20</v>
      </c>
      <c r="N1600" t="str">
        <f>VLOOKUP(M1600,LUTs!E$2:H$14,3,)</f>
        <v>07Pierce</v>
      </c>
      <c r="O1600" t="str">
        <f>VLOOKUP(M1600,LUTs!E$2:H$14,4,)</f>
        <v>02South Puget Sound</v>
      </c>
      <c r="P1600" s="80">
        <v>8</v>
      </c>
      <c r="Q1600" s="103">
        <v>4</v>
      </c>
      <c r="R1600" s="74">
        <f>VLOOKUP(B1600,Readme!A$40:C$52,3,)*Q1600</f>
        <v>74.2</v>
      </c>
    </row>
    <row r="1601" spans="1:18" ht="12" customHeight="1" x14ac:dyDescent="0.35">
      <c r="A1601" s="75">
        <v>1588</v>
      </c>
      <c r="B1601" s="80">
        <v>2015</v>
      </c>
      <c r="C1601" s="80">
        <v>8</v>
      </c>
      <c r="D1601" s="80">
        <f t="shared" si="87"/>
        <v>2015</v>
      </c>
      <c r="E1601" t="s">
        <v>38</v>
      </c>
      <c r="F1601" t="s">
        <v>143</v>
      </c>
      <c r="G1601" t="s">
        <v>86</v>
      </c>
      <c r="H1601" s="72" t="s">
        <v>203</v>
      </c>
      <c r="I1601" s="72" t="s">
        <v>89</v>
      </c>
      <c r="J1601" s="84" t="s">
        <v>45</v>
      </c>
      <c r="K1601" t="str">
        <f>IFERROR(VLOOKUP(J1601,LUTs!$A$1:$C$73,2,FALSE),"NA")</f>
        <v>King</v>
      </c>
      <c r="L1601" t="str">
        <f>IFERROR(VLOOKUP(J1601,LUTs!$A$1:$C$73,3,FALSE),"NA")</f>
        <v>3South Puget Sound</v>
      </c>
      <c r="M1601" s="72" t="s">
        <v>20</v>
      </c>
      <c r="N1601" t="str">
        <f>VLOOKUP(M1601,LUTs!E$2:H$14,3,)</f>
        <v>07Pierce</v>
      </c>
      <c r="O1601" t="str">
        <f>VLOOKUP(M1601,LUTs!E$2:H$14,4,)</f>
        <v>02South Puget Sound</v>
      </c>
      <c r="P1601" s="80">
        <v>8</v>
      </c>
      <c r="Q1601" s="103">
        <v>4</v>
      </c>
      <c r="R1601" s="74">
        <f>VLOOKUP(B1601,Readme!A$40:C$52,3,)*Q1601</f>
        <v>74.2</v>
      </c>
    </row>
    <row r="1602" spans="1:18" ht="12" customHeight="1" x14ac:dyDescent="0.35">
      <c r="A1602" s="75">
        <v>1643</v>
      </c>
      <c r="B1602" s="80">
        <v>2015</v>
      </c>
      <c r="C1602" s="80">
        <v>8</v>
      </c>
      <c r="D1602" s="80">
        <f t="shared" ref="D1602:D1665" si="90">IF(C1602&gt;3,B1602,B1602-1)</f>
        <v>2015</v>
      </c>
      <c r="E1602" t="s">
        <v>38</v>
      </c>
      <c r="F1602" t="s">
        <v>143</v>
      </c>
      <c r="G1602" t="s">
        <v>86</v>
      </c>
      <c r="H1602" s="72" t="s">
        <v>220</v>
      </c>
      <c r="I1602" s="72" t="s">
        <v>62</v>
      </c>
      <c r="J1602" t="str">
        <f t="shared" ref="J1602:J1610" si="91">I1602</f>
        <v>Skykomish River</v>
      </c>
      <c r="K1602" t="str">
        <f>IFERROR(VLOOKUP(J1602,LUTs!$A$1:$C$73,2,FALSE),"NA")</f>
        <v>Snohomish</v>
      </c>
      <c r="L1602" t="str">
        <f>IFERROR(VLOOKUP(J1602,LUTs!$A$1:$C$73,3,FALSE),"NA")</f>
        <v>2Central Puget Sound</v>
      </c>
      <c r="M1602" s="72" t="s">
        <v>18</v>
      </c>
      <c r="N1602" t="str">
        <f>VLOOKUP(M1602,LUTs!E$2:H$14,3,)</f>
        <v>06King</v>
      </c>
      <c r="O1602" t="str">
        <f>VLOOKUP(M1602,LUTs!E$2:H$14,4,)</f>
        <v>02South Puget Sound</v>
      </c>
      <c r="P1602" s="80">
        <v>270.375</v>
      </c>
      <c r="Q1602" s="103">
        <v>135.1875</v>
      </c>
      <c r="R1602" s="74">
        <f>VLOOKUP(B1602,Readme!A$40:C$52,3,)*Q1602</f>
        <v>2507.7281250000001</v>
      </c>
    </row>
    <row r="1603" spans="1:18" ht="12" customHeight="1" x14ac:dyDescent="0.35">
      <c r="A1603" s="75">
        <v>1644</v>
      </c>
      <c r="B1603" s="80">
        <v>2015</v>
      </c>
      <c r="C1603" s="80">
        <v>8</v>
      </c>
      <c r="D1603" s="80">
        <f t="shared" si="90"/>
        <v>2015</v>
      </c>
      <c r="E1603" t="s">
        <v>38</v>
      </c>
      <c r="F1603" t="s">
        <v>143</v>
      </c>
      <c r="G1603" t="s">
        <v>86</v>
      </c>
      <c r="H1603" s="72" t="s">
        <v>220</v>
      </c>
      <c r="I1603" s="72" t="s">
        <v>62</v>
      </c>
      <c r="J1603" t="str">
        <f t="shared" si="91"/>
        <v>Skykomish River</v>
      </c>
      <c r="K1603" t="str">
        <f>IFERROR(VLOOKUP(J1603,LUTs!$A$1:$C$73,2,FALSE),"NA")</f>
        <v>Snohomish</v>
      </c>
      <c r="L1603" t="str">
        <f>IFERROR(VLOOKUP(J1603,LUTs!$A$1:$C$73,3,FALSE),"NA")</f>
        <v>2Central Puget Sound</v>
      </c>
      <c r="M1603" s="72" t="s">
        <v>16</v>
      </c>
      <c r="N1603" t="str">
        <f>VLOOKUP(M1603,LUTs!E$2:H$14,3,)</f>
        <v>03Snohomish</v>
      </c>
      <c r="O1603" t="str">
        <f>VLOOKUP(M1603,LUTs!E$2:H$14,4,)</f>
        <v>01North Puget Sound</v>
      </c>
      <c r="P1603" s="80">
        <v>521.4375</v>
      </c>
      <c r="Q1603" s="103">
        <v>260.71875</v>
      </c>
      <c r="R1603" s="74">
        <f>VLOOKUP(B1603,Readme!A$40:C$52,3,)*Q1603</f>
        <v>4836.3328124999998</v>
      </c>
    </row>
    <row r="1604" spans="1:18" ht="12" customHeight="1" x14ac:dyDescent="0.35">
      <c r="A1604" s="75">
        <v>1645</v>
      </c>
      <c r="B1604" s="80">
        <v>2015</v>
      </c>
      <c r="C1604" s="80">
        <v>8</v>
      </c>
      <c r="D1604" s="80">
        <f t="shared" si="90"/>
        <v>2015</v>
      </c>
      <c r="E1604" t="s">
        <v>38</v>
      </c>
      <c r="F1604" t="s">
        <v>143</v>
      </c>
      <c r="G1604" t="s">
        <v>86</v>
      </c>
      <c r="H1604" s="72" t="s">
        <v>220</v>
      </c>
      <c r="I1604" s="72" t="s">
        <v>62</v>
      </c>
      <c r="J1604" t="str">
        <f t="shared" si="91"/>
        <v>Skykomish River</v>
      </c>
      <c r="K1604" t="str">
        <f>IFERROR(VLOOKUP(J1604,LUTs!$A$1:$C$73,2,FALSE),"NA")</f>
        <v>Snohomish</v>
      </c>
      <c r="L1604" t="str">
        <f>IFERROR(VLOOKUP(J1604,LUTs!$A$1:$C$73,3,FALSE),"NA")</f>
        <v>2Central Puget Sound</v>
      </c>
      <c r="M1604" s="72" t="s">
        <v>21</v>
      </c>
      <c r="N1604" t="str">
        <f>VLOOKUP(M1604,LUTs!E$2:H$14,3,)</f>
        <v>08Thurston</v>
      </c>
      <c r="O1604" t="str">
        <f>VLOOKUP(M1604,LUTs!E$2:H$14,4,)</f>
        <v>02South Puget Sound</v>
      </c>
      <c r="P1604" s="80">
        <v>32.1875</v>
      </c>
      <c r="Q1604" s="103">
        <v>16.09375</v>
      </c>
      <c r="R1604" s="74">
        <f>VLOOKUP(B1604,Readme!A$40:C$52,3,)*Q1604</f>
        <v>298.5390625</v>
      </c>
    </row>
    <row r="1605" spans="1:18" ht="12" customHeight="1" x14ac:dyDescent="0.35">
      <c r="A1605" s="75">
        <v>1670</v>
      </c>
      <c r="B1605" s="80">
        <v>2015</v>
      </c>
      <c r="C1605" s="80">
        <v>8</v>
      </c>
      <c r="D1605" s="80">
        <f t="shared" si="90"/>
        <v>2015</v>
      </c>
      <c r="E1605" t="s">
        <v>38</v>
      </c>
      <c r="F1605" t="s">
        <v>143</v>
      </c>
      <c r="G1605" t="s">
        <v>86</v>
      </c>
      <c r="H1605" s="72" t="s">
        <v>247</v>
      </c>
      <c r="I1605" s="72" t="s">
        <v>98</v>
      </c>
      <c r="J1605" t="str">
        <f t="shared" si="91"/>
        <v>Skykomish River, No. Fork</v>
      </c>
      <c r="K1605" t="str">
        <f>IFERROR(VLOOKUP(J1605,LUTs!$A$1:$C$73,2,FALSE),"NA")</f>
        <v>Snohomish</v>
      </c>
      <c r="L1605" t="str">
        <f>IFERROR(VLOOKUP(J1605,LUTs!$A$1:$C$73,3,FALSE),"NA")</f>
        <v>2Central Puget Sound</v>
      </c>
      <c r="M1605" s="72" t="s">
        <v>16</v>
      </c>
      <c r="N1605" t="str">
        <f>VLOOKUP(M1605,LUTs!E$2:H$14,3,)</f>
        <v>03Snohomish</v>
      </c>
      <c r="O1605" t="str">
        <f>VLOOKUP(M1605,LUTs!E$2:H$14,4,)</f>
        <v>01North Puget Sound</v>
      </c>
      <c r="P1605" s="80">
        <v>12</v>
      </c>
      <c r="Q1605" s="103">
        <v>6</v>
      </c>
      <c r="R1605" s="74">
        <f>VLOOKUP(B1605,Readme!A$40:C$52,3,)*Q1605</f>
        <v>111.30000000000001</v>
      </c>
    </row>
    <row r="1606" spans="1:18" ht="12" customHeight="1" x14ac:dyDescent="0.35">
      <c r="A1606" s="75">
        <v>1676</v>
      </c>
      <c r="B1606" s="80">
        <v>2015</v>
      </c>
      <c r="C1606" s="80">
        <v>8</v>
      </c>
      <c r="D1606" s="80">
        <f t="shared" si="90"/>
        <v>2015</v>
      </c>
      <c r="E1606" t="s">
        <v>38</v>
      </c>
      <c r="F1606" t="s">
        <v>143</v>
      </c>
      <c r="G1606" t="s">
        <v>86</v>
      </c>
      <c r="H1606" s="72" t="s">
        <v>248</v>
      </c>
      <c r="I1606" s="72" t="s">
        <v>99</v>
      </c>
      <c r="J1606" t="str">
        <f t="shared" si="91"/>
        <v>Skykomish River, So. Fork</v>
      </c>
      <c r="K1606" t="str">
        <f>IFERROR(VLOOKUP(J1606,LUTs!$A$1:$C$73,2,FALSE),"NA")</f>
        <v>Snohomish/King</v>
      </c>
      <c r="L1606" t="str">
        <f>IFERROR(VLOOKUP(J1606,LUTs!$A$1:$C$73,3,FALSE),"NA")</f>
        <v>2Central Puget Sound</v>
      </c>
      <c r="M1606" s="72" t="s">
        <v>18</v>
      </c>
      <c r="N1606" t="str">
        <f>VLOOKUP(M1606,LUTs!E$2:H$14,3,)</f>
        <v>06King</v>
      </c>
      <c r="O1606" t="str">
        <f>VLOOKUP(M1606,LUTs!E$2:H$14,4,)</f>
        <v>02South Puget Sound</v>
      </c>
      <c r="P1606" s="80">
        <v>6</v>
      </c>
      <c r="Q1606" s="103">
        <v>3</v>
      </c>
      <c r="R1606" s="74">
        <f>VLOOKUP(B1606,Readme!A$40:C$52,3,)*Q1606</f>
        <v>55.650000000000006</v>
      </c>
    </row>
    <row r="1607" spans="1:18" ht="12" customHeight="1" x14ac:dyDescent="0.35">
      <c r="A1607" s="75">
        <v>1683</v>
      </c>
      <c r="B1607" s="80">
        <v>2015</v>
      </c>
      <c r="C1607" s="80">
        <v>8</v>
      </c>
      <c r="D1607" s="80">
        <f t="shared" si="90"/>
        <v>2015</v>
      </c>
      <c r="E1607" t="s">
        <v>38</v>
      </c>
      <c r="F1607" t="s">
        <v>143</v>
      </c>
      <c r="G1607" t="s">
        <v>86</v>
      </c>
      <c r="H1607" s="72" t="s">
        <v>221</v>
      </c>
      <c r="I1607" s="72" t="s">
        <v>63</v>
      </c>
      <c r="J1607" t="str">
        <f t="shared" si="91"/>
        <v>Snohomish River</v>
      </c>
      <c r="K1607" t="str">
        <f>IFERROR(VLOOKUP(J1607,LUTs!$A$1:$C$73,2,FALSE),"NA")</f>
        <v>Snohomish</v>
      </c>
      <c r="L1607" t="str">
        <f>IFERROR(VLOOKUP(J1607,LUTs!$A$1:$C$73,3,FALSE),"NA")</f>
        <v>2Central Puget Sound</v>
      </c>
      <c r="M1607" s="72" t="s">
        <v>18</v>
      </c>
      <c r="N1607" t="str">
        <f>VLOOKUP(M1607,LUTs!E$2:H$14,3,)</f>
        <v>06King</v>
      </c>
      <c r="O1607" t="str">
        <f>VLOOKUP(M1607,LUTs!E$2:H$14,4,)</f>
        <v>02South Puget Sound</v>
      </c>
      <c r="P1607" s="80">
        <v>6.5</v>
      </c>
      <c r="Q1607" s="103">
        <v>3.25</v>
      </c>
      <c r="R1607" s="74">
        <f>VLOOKUP(B1607,Readme!A$40:C$52,3,)*Q1607</f>
        <v>60.287500000000001</v>
      </c>
    </row>
    <row r="1608" spans="1:18" ht="12" customHeight="1" x14ac:dyDescent="0.35">
      <c r="A1608" s="75">
        <v>1684</v>
      </c>
      <c r="B1608" s="80">
        <v>2015</v>
      </c>
      <c r="C1608" s="80">
        <v>8</v>
      </c>
      <c r="D1608" s="80">
        <f t="shared" si="90"/>
        <v>2015</v>
      </c>
      <c r="E1608" t="s">
        <v>38</v>
      </c>
      <c r="F1608" t="s">
        <v>143</v>
      </c>
      <c r="G1608" t="s">
        <v>86</v>
      </c>
      <c r="H1608" s="72" t="s">
        <v>221</v>
      </c>
      <c r="I1608" s="72" t="s">
        <v>63</v>
      </c>
      <c r="J1608" t="str">
        <f t="shared" si="91"/>
        <v>Snohomish River</v>
      </c>
      <c r="K1608" t="str">
        <f>IFERROR(VLOOKUP(J1608,LUTs!$A$1:$C$73,2,FALSE),"NA")</f>
        <v>Snohomish</v>
      </c>
      <c r="L1608" t="str">
        <f>IFERROR(VLOOKUP(J1608,LUTs!$A$1:$C$73,3,FALSE),"NA")</f>
        <v>2Central Puget Sound</v>
      </c>
      <c r="M1608" s="72" t="s">
        <v>16</v>
      </c>
      <c r="N1608" t="str">
        <f>VLOOKUP(M1608,LUTs!E$2:H$14,3,)</f>
        <v>03Snohomish</v>
      </c>
      <c r="O1608" t="str">
        <f>VLOOKUP(M1608,LUTs!E$2:H$14,4,)</f>
        <v>01North Puget Sound</v>
      </c>
      <c r="P1608" s="80">
        <v>19.5</v>
      </c>
      <c r="Q1608" s="103">
        <v>9.75</v>
      </c>
      <c r="R1608" s="74">
        <f>VLOOKUP(B1608,Readme!A$40:C$52,3,)*Q1608</f>
        <v>180.86250000000001</v>
      </c>
    </row>
    <row r="1609" spans="1:18" ht="12" customHeight="1" x14ac:dyDescent="0.35">
      <c r="A1609" s="75">
        <v>1692</v>
      </c>
      <c r="B1609" s="80">
        <v>2015</v>
      </c>
      <c r="C1609" s="80">
        <v>8</v>
      </c>
      <c r="D1609" s="80">
        <f t="shared" si="90"/>
        <v>2015</v>
      </c>
      <c r="E1609" t="s">
        <v>38</v>
      </c>
      <c r="F1609" t="s">
        <v>143</v>
      </c>
      <c r="G1609" t="s">
        <v>86</v>
      </c>
      <c r="H1609" s="72" t="s">
        <v>222</v>
      </c>
      <c r="I1609" s="72" t="s">
        <v>64</v>
      </c>
      <c r="J1609" t="str">
        <f t="shared" si="91"/>
        <v>Snoqualmie River</v>
      </c>
      <c r="K1609" t="str">
        <f>IFERROR(VLOOKUP(J1609,LUTs!$A$1:$C$73,2,FALSE),"NA")</f>
        <v>Snohomish/King</v>
      </c>
      <c r="L1609" t="str">
        <f>IFERROR(VLOOKUP(J1609,LUTs!$A$1:$C$73,3,FALSE),"NA")</f>
        <v>2Central Puget Sound</v>
      </c>
      <c r="M1609" s="72" t="s">
        <v>18</v>
      </c>
      <c r="N1609" t="str">
        <f>VLOOKUP(M1609,LUTs!E$2:H$14,3,)</f>
        <v>06King</v>
      </c>
      <c r="O1609" t="str">
        <f>VLOOKUP(M1609,LUTs!E$2:H$14,4,)</f>
        <v>02South Puget Sound</v>
      </c>
      <c r="P1609" s="80">
        <v>6</v>
      </c>
      <c r="Q1609" s="103">
        <v>3</v>
      </c>
      <c r="R1609" s="74">
        <f>VLOOKUP(B1609,Readme!A$40:C$52,3,)*Q1609</f>
        <v>55.650000000000006</v>
      </c>
    </row>
    <row r="1610" spans="1:18" ht="12" customHeight="1" x14ac:dyDescent="0.35">
      <c r="A1610" s="75">
        <v>1600</v>
      </c>
      <c r="B1610" s="80">
        <v>2015</v>
      </c>
      <c r="C1610" s="80">
        <v>8</v>
      </c>
      <c r="D1610" s="80">
        <f t="shared" si="90"/>
        <v>2015</v>
      </c>
      <c r="E1610" t="s">
        <v>38</v>
      </c>
      <c r="F1610" t="s">
        <v>143</v>
      </c>
      <c r="G1610" t="s">
        <v>86</v>
      </c>
      <c r="H1610" s="72" t="s">
        <v>236</v>
      </c>
      <c r="I1610" s="72" t="s">
        <v>90</v>
      </c>
      <c r="J1610" t="str">
        <f t="shared" si="91"/>
        <v>Soos Creek</v>
      </c>
      <c r="K1610" t="str">
        <f>IFERROR(VLOOKUP(J1610,LUTs!$A$1:$C$73,2,FALSE),"NA")</f>
        <v>King</v>
      </c>
      <c r="L1610" t="str">
        <f>IFERROR(VLOOKUP(J1610,LUTs!$A$1:$C$73,3,FALSE),"NA")</f>
        <v>3South Puget Sound</v>
      </c>
      <c r="M1610" s="72" t="s">
        <v>20</v>
      </c>
      <c r="N1610" t="str">
        <f>VLOOKUP(M1610,LUTs!E$2:H$14,3,)</f>
        <v>07Pierce</v>
      </c>
      <c r="O1610" t="str">
        <f>VLOOKUP(M1610,LUTs!E$2:H$14,4,)</f>
        <v>02South Puget Sound</v>
      </c>
      <c r="P1610" s="80">
        <v>8</v>
      </c>
      <c r="Q1610" s="103">
        <v>4</v>
      </c>
      <c r="R1610" s="74">
        <f>VLOOKUP(B1610,Readme!A$40:C$52,3,)*Q1610</f>
        <v>74.2</v>
      </c>
    </row>
    <row r="1611" spans="1:18" ht="12" customHeight="1" x14ac:dyDescent="0.35">
      <c r="A1611" s="75">
        <v>1589</v>
      </c>
      <c r="B1611" s="80">
        <v>2015</v>
      </c>
      <c r="C1611" s="80">
        <v>9</v>
      </c>
      <c r="D1611" s="80">
        <f t="shared" si="90"/>
        <v>2015</v>
      </c>
      <c r="E1611" t="s">
        <v>38</v>
      </c>
      <c r="F1611" t="s">
        <v>143</v>
      </c>
      <c r="G1611" t="s">
        <v>86</v>
      </c>
      <c r="H1611" s="72" t="s">
        <v>203</v>
      </c>
      <c r="I1611" s="72" t="s">
        <v>89</v>
      </c>
      <c r="J1611" s="84" t="s">
        <v>45</v>
      </c>
      <c r="K1611" t="str">
        <f>IFERROR(VLOOKUP(J1611,LUTs!$A$1:$C$73,2,FALSE),"NA")</f>
        <v>King</v>
      </c>
      <c r="L1611" t="str">
        <f>IFERROR(VLOOKUP(J1611,LUTs!$A$1:$C$73,3,FALSE),"NA")</f>
        <v>3South Puget Sound</v>
      </c>
      <c r="M1611" s="72" t="s">
        <v>18</v>
      </c>
      <c r="N1611" t="str">
        <f>VLOOKUP(M1611,LUTs!E$2:H$14,3,)</f>
        <v>06King</v>
      </c>
      <c r="O1611" t="str">
        <f>VLOOKUP(M1611,LUTs!E$2:H$14,4,)</f>
        <v>02South Puget Sound</v>
      </c>
      <c r="P1611" s="80">
        <v>7.2</v>
      </c>
      <c r="Q1611" s="103">
        <v>3.6</v>
      </c>
      <c r="R1611" s="74">
        <f>VLOOKUP(B1611,Readme!A$40:C$52,3,)*Q1611</f>
        <v>66.78</v>
      </c>
    </row>
    <row r="1612" spans="1:18" ht="12" customHeight="1" x14ac:dyDescent="0.35">
      <c r="A1612" s="75">
        <v>1590</v>
      </c>
      <c r="B1612" s="80">
        <v>2015</v>
      </c>
      <c r="C1612" s="80">
        <v>9</v>
      </c>
      <c r="D1612" s="80">
        <f t="shared" si="90"/>
        <v>2015</v>
      </c>
      <c r="E1612" t="s">
        <v>38</v>
      </c>
      <c r="F1612" t="s">
        <v>143</v>
      </c>
      <c r="G1612" t="s">
        <v>86</v>
      </c>
      <c r="H1612" s="72" t="s">
        <v>203</v>
      </c>
      <c r="I1612" s="72" t="s">
        <v>89</v>
      </c>
      <c r="J1612" s="84" t="s">
        <v>45</v>
      </c>
      <c r="K1612" t="str">
        <f>IFERROR(VLOOKUP(J1612,LUTs!$A$1:$C$73,2,FALSE),"NA")</f>
        <v>King</v>
      </c>
      <c r="L1612" t="str">
        <f>IFERROR(VLOOKUP(J1612,LUTs!$A$1:$C$73,3,FALSE),"NA")</f>
        <v>3South Puget Sound</v>
      </c>
      <c r="M1612" s="72" t="s">
        <v>26</v>
      </c>
      <c r="N1612" t="str">
        <f>VLOOKUP(M1612,LUTs!E$2:H$14,3,)</f>
        <v>20Other</v>
      </c>
      <c r="O1612" t="str">
        <f>VLOOKUP(M1612,LUTs!E$2:H$14,4,)</f>
        <v>07Non Puget Sound</v>
      </c>
      <c r="P1612" s="80">
        <v>7.2</v>
      </c>
      <c r="Q1612" s="103">
        <v>3.6</v>
      </c>
      <c r="R1612" s="74">
        <f>VLOOKUP(B1612,Readme!A$40:C$52,3,)*Q1612</f>
        <v>66.78</v>
      </c>
    </row>
    <row r="1613" spans="1:18" ht="12" customHeight="1" x14ac:dyDescent="0.35">
      <c r="A1613" s="75">
        <v>1591</v>
      </c>
      <c r="B1613" s="80">
        <v>2015</v>
      </c>
      <c r="C1613" s="80">
        <v>9</v>
      </c>
      <c r="D1613" s="80">
        <f t="shared" si="90"/>
        <v>2015</v>
      </c>
      <c r="E1613" t="s">
        <v>38</v>
      </c>
      <c r="F1613" t="s">
        <v>143</v>
      </c>
      <c r="G1613" t="s">
        <v>86</v>
      </c>
      <c r="H1613" s="72" t="s">
        <v>203</v>
      </c>
      <c r="I1613" s="72" t="s">
        <v>89</v>
      </c>
      <c r="J1613" s="84" t="s">
        <v>45</v>
      </c>
      <c r="K1613" t="str">
        <f>IFERROR(VLOOKUP(J1613,LUTs!$A$1:$C$73,2,FALSE),"NA")</f>
        <v>King</v>
      </c>
      <c r="L1613" t="str">
        <f>IFERROR(VLOOKUP(J1613,LUTs!$A$1:$C$73,3,FALSE),"NA")</f>
        <v>3South Puget Sound</v>
      </c>
      <c r="M1613" s="72" t="s">
        <v>20</v>
      </c>
      <c r="N1613" t="str">
        <f>VLOOKUP(M1613,LUTs!E$2:H$14,3,)</f>
        <v>07Pierce</v>
      </c>
      <c r="O1613" t="str">
        <f>VLOOKUP(M1613,LUTs!E$2:H$14,4,)</f>
        <v>02South Puget Sound</v>
      </c>
      <c r="P1613" s="80">
        <v>21.6</v>
      </c>
      <c r="Q1613" s="103">
        <v>10.8</v>
      </c>
      <c r="R1613" s="74">
        <f>VLOOKUP(B1613,Readme!A$40:C$52,3,)*Q1613</f>
        <v>200.34000000000003</v>
      </c>
    </row>
    <row r="1614" spans="1:18" ht="12" customHeight="1" x14ac:dyDescent="0.35">
      <c r="A1614" s="75">
        <v>1612</v>
      </c>
      <c r="B1614" s="80">
        <v>2015</v>
      </c>
      <c r="C1614" s="80">
        <v>9</v>
      </c>
      <c r="D1614" s="80">
        <f t="shared" si="90"/>
        <v>2015</v>
      </c>
      <c r="E1614" t="s">
        <v>38</v>
      </c>
      <c r="F1614" t="s">
        <v>143</v>
      </c>
      <c r="G1614" t="s">
        <v>86</v>
      </c>
      <c r="H1614" s="72" t="s">
        <v>209</v>
      </c>
      <c r="I1614" s="72" t="s">
        <v>51</v>
      </c>
      <c r="J1614" t="str">
        <f t="shared" ref="J1614:J1629" si="92">I1614</f>
        <v>Nisqually River</v>
      </c>
      <c r="K1614" t="str">
        <f>IFERROR(VLOOKUP(J1614,LUTs!$A$1:$C$73,2,FALSE),"NA")</f>
        <v>Thurston/Pierce</v>
      </c>
      <c r="L1614" t="str">
        <f>IFERROR(VLOOKUP(J1614,LUTs!$A$1:$C$73,3,FALSE),"NA")</f>
        <v>3South Puget Sound</v>
      </c>
      <c r="M1614" s="72" t="s">
        <v>26</v>
      </c>
      <c r="N1614" t="str">
        <f>VLOOKUP(M1614,LUTs!E$2:H$14,3,)</f>
        <v>20Other</v>
      </c>
      <c r="O1614" t="str">
        <f>VLOOKUP(M1614,LUTs!E$2:H$14,4,)</f>
        <v>07Non Puget Sound</v>
      </c>
      <c r="P1614" s="80">
        <v>0</v>
      </c>
      <c r="Q1614" s="103">
        <v>0</v>
      </c>
      <c r="R1614" s="74">
        <f>VLOOKUP(B1614,Readme!A$40:C$52,3,)*Q1614</f>
        <v>0</v>
      </c>
    </row>
    <row r="1615" spans="1:18" ht="12" customHeight="1" x14ac:dyDescent="0.35">
      <c r="A1615" s="75">
        <v>1613</v>
      </c>
      <c r="B1615" s="80">
        <v>2015</v>
      </c>
      <c r="C1615" s="80">
        <v>9</v>
      </c>
      <c r="D1615" s="80">
        <f t="shared" si="90"/>
        <v>2015</v>
      </c>
      <c r="E1615" t="s">
        <v>38</v>
      </c>
      <c r="F1615" t="s">
        <v>143</v>
      </c>
      <c r="G1615" t="s">
        <v>86</v>
      </c>
      <c r="H1615" s="72" t="s">
        <v>209</v>
      </c>
      <c r="I1615" s="72" t="s">
        <v>51</v>
      </c>
      <c r="J1615" t="str">
        <f t="shared" si="92"/>
        <v>Nisqually River</v>
      </c>
      <c r="K1615" t="str">
        <f>IFERROR(VLOOKUP(J1615,LUTs!$A$1:$C$73,2,FALSE),"NA")</f>
        <v>Thurston/Pierce</v>
      </c>
      <c r="L1615" t="str">
        <f>IFERROR(VLOOKUP(J1615,LUTs!$A$1:$C$73,3,FALSE),"NA")</f>
        <v>3South Puget Sound</v>
      </c>
      <c r="M1615" s="72" t="s">
        <v>21</v>
      </c>
      <c r="N1615" t="str">
        <f>VLOOKUP(M1615,LUTs!E$2:H$14,3,)</f>
        <v>08Thurston</v>
      </c>
      <c r="O1615" t="str">
        <f>VLOOKUP(M1615,LUTs!E$2:H$14,4,)</f>
        <v>02South Puget Sound</v>
      </c>
      <c r="P1615" s="80">
        <v>8</v>
      </c>
      <c r="Q1615" s="103">
        <v>4</v>
      </c>
      <c r="R1615" s="74">
        <f>VLOOKUP(B1615,Readme!A$40:C$52,3,)*Q1615</f>
        <v>74.2</v>
      </c>
    </row>
    <row r="1616" spans="1:18" ht="12" customHeight="1" x14ac:dyDescent="0.35">
      <c r="A1616" s="75">
        <v>1646</v>
      </c>
      <c r="B1616" s="80">
        <v>2015</v>
      </c>
      <c r="C1616" s="80">
        <v>9</v>
      </c>
      <c r="D1616" s="80">
        <f t="shared" si="90"/>
        <v>2015</v>
      </c>
      <c r="E1616" t="s">
        <v>38</v>
      </c>
      <c r="F1616" t="s">
        <v>143</v>
      </c>
      <c r="G1616" t="s">
        <v>86</v>
      </c>
      <c r="H1616" s="72" t="s">
        <v>220</v>
      </c>
      <c r="I1616" s="72" t="s">
        <v>62</v>
      </c>
      <c r="J1616" t="str">
        <f t="shared" si="92"/>
        <v>Skykomish River</v>
      </c>
      <c r="K1616" t="str">
        <f>IFERROR(VLOOKUP(J1616,LUTs!$A$1:$C$73,2,FALSE),"NA")</f>
        <v>Snohomish</v>
      </c>
      <c r="L1616" t="str">
        <f>IFERROR(VLOOKUP(J1616,LUTs!$A$1:$C$73,3,FALSE),"NA")</f>
        <v>2Central Puget Sound</v>
      </c>
      <c r="M1616" s="72" t="s">
        <v>17</v>
      </c>
      <c r="N1616" t="str">
        <f>VLOOKUP(M1616,LUTs!E$2:H$14,3,)</f>
        <v>04Island</v>
      </c>
      <c r="O1616" t="str">
        <f>VLOOKUP(M1616,LUTs!E$2:H$14,4,)</f>
        <v>01North Puget Sound</v>
      </c>
      <c r="P1616" s="80">
        <v>13.0731707317073</v>
      </c>
      <c r="Q1616" s="103">
        <v>6.5365853658536599</v>
      </c>
      <c r="R1616" s="74">
        <f>VLOOKUP(B1616,Readme!A$40:C$52,3,)*Q1616</f>
        <v>121.25365853658539</v>
      </c>
    </row>
    <row r="1617" spans="1:18" ht="12" customHeight="1" x14ac:dyDescent="0.35">
      <c r="A1617" s="75">
        <v>1647</v>
      </c>
      <c r="B1617" s="80">
        <v>2015</v>
      </c>
      <c r="C1617" s="80">
        <v>9</v>
      </c>
      <c r="D1617" s="80">
        <f t="shared" si="90"/>
        <v>2015</v>
      </c>
      <c r="E1617" t="s">
        <v>38</v>
      </c>
      <c r="F1617" t="s">
        <v>143</v>
      </c>
      <c r="G1617" t="s">
        <v>86</v>
      </c>
      <c r="H1617" s="72" t="s">
        <v>220</v>
      </c>
      <c r="I1617" s="72" t="s">
        <v>62</v>
      </c>
      <c r="J1617" t="str">
        <f t="shared" si="92"/>
        <v>Skykomish River</v>
      </c>
      <c r="K1617" t="str">
        <f>IFERROR(VLOOKUP(J1617,LUTs!$A$1:$C$73,2,FALSE),"NA")</f>
        <v>Snohomish</v>
      </c>
      <c r="L1617" t="str">
        <f>IFERROR(VLOOKUP(J1617,LUTs!$A$1:$C$73,3,FALSE),"NA")</f>
        <v>2Central Puget Sound</v>
      </c>
      <c r="M1617" s="72" t="s">
        <v>18</v>
      </c>
      <c r="N1617" t="str">
        <f>VLOOKUP(M1617,LUTs!E$2:H$14,3,)</f>
        <v>06King</v>
      </c>
      <c r="O1617" t="str">
        <f>VLOOKUP(M1617,LUTs!E$2:H$14,4,)</f>
        <v>02South Puget Sound</v>
      </c>
      <c r="P1617" s="80">
        <v>215.707317073171</v>
      </c>
      <c r="Q1617" s="103">
        <v>107.853658536585</v>
      </c>
      <c r="R1617" s="74">
        <f>VLOOKUP(B1617,Readme!A$40:C$52,3,)*Q1617</f>
        <v>2000.6853658536518</v>
      </c>
    </row>
    <row r="1618" spans="1:18" ht="12" customHeight="1" x14ac:dyDescent="0.35">
      <c r="A1618" s="75">
        <v>1648</v>
      </c>
      <c r="B1618" s="80">
        <v>2015</v>
      </c>
      <c r="C1618" s="80">
        <v>9</v>
      </c>
      <c r="D1618" s="80">
        <f t="shared" si="90"/>
        <v>2015</v>
      </c>
      <c r="E1618" t="s">
        <v>38</v>
      </c>
      <c r="F1618" t="s">
        <v>143</v>
      </c>
      <c r="G1618" t="s">
        <v>86</v>
      </c>
      <c r="H1618" s="72" t="s">
        <v>220</v>
      </c>
      <c r="I1618" s="72" t="s">
        <v>62</v>
      </c>
      <c r="J1618" t="str">
        <f t="shared" si="92"/>
        <v>Skykomish River</v>
      </c>
      <c r="K1618" t="str">
        <f>IFERROR(VLOOKUP(J1618,LUTs!$A$1:$C$73,2,FALSE),"NA")</f>
        <v>Snohomish</v>
      </c>
      <c r="L1618" t="str">
        <f>IFERROR(VLOOKUP(J1618,LUTs!$A$1:$C$73,3,FALSE),"NA")</f>
        <v>2Central Puget Sound</v>
      </c>
      <c r="M1618" s="72" t="s">
        <v>23</v>
      </c>
      <c r="N1618" t="str">
        <f>VLOOKUP(M1618,LUTs!E$2:H$14,3,)</f>
        <v>10Kitsap</v>
      </c>
      <c r="O1618" t="str">
        <f>VLOOKUP(M1618,LUTs!E$2:H$14,4,)</f>
        <v>02South Puget Sound</v>
      </c>
      <c r="P1618" s="80">
        <v>6.5365853658536599</v>
      </c>
      <c r="Q1618" s="103">
        <v>3.26829268292683</v>
      </c>
      <c r="R1618" s="74">
        <f>VLOOKUP(B1618,Readme!A$40:C$52,3,)*Q1618</f>
        <v>60.626829268292695</v>
      </c>
    </row>
    <row r="1619" spans="1:18" ht="12" customHeight="1" x14ac:dyDescent="0.35">
      <c r="A1619" s="75">
        <v>1649</v>
      </c>
      <c r="B1619" s="80">
        <v>2015</v>
      </c>
      <c r="C1619" s="80">
        <v>9</v>
      </c>
      <c r="D1619" s="80">
        <f t="shared" si="90"/>
        <v>2015</v>
      </c>
      <c r="E1619" t="s">
        <v>38</v>
      </c>
      <c r="F1619" t="s">
        <v>143</v>
      </c>
      <c r="G1619" t="s">
        <v>86</v>
      </c>
      <c r="H1619" s="72" t="s">
        <v>220</v>
      </c>
      <c r="I1619" s="72" t="s">
        <v>62</v>
      </c>
      <c r="J1619" t="str">
        <f t="shared" si="92"/>
        <v>Skykomish River</v>
      </c>
      <c r="K1619" t="str">
        <f>IFERROR(VLOOKUP(J1619,LUTs!$A$1:$C$73,2,FALSE),"NA")</f>
        <v>Snohomish</v>
      </c>
      <c r="L1619" t="str">
        <f>IFERROR(VLOOKUP(J1619,LUTs!$A$1:$C$73,3,FALSE),"NA")</f>
        <v>2Central Puget Sound</v>
      </c>
      <c r="M1619" s="72" t="s">
        <v>26</v>
      </c>
      <c r="N1619" t="str">
        <f>VLOOKUP(M1619,LUTs!E$2:H$14,3,)</f>
        <v>20Other</v>
      </c>
      <c r="O1619" t="str">
        <f>VLOOKUP(M1619,LUTs!E$2:H$14,4,)</f>
        <v>07Non Puget Sound</v>
      </c>
      <c r="P1619" s="80">
        <v>26.146341463414601</v>
      </c>
      <c r="Q1619" s="103">
        <v>13.0731707317073</v>
      </c>
      <c r="R1619" s="74">
        <f>VLOOKUP(B1619,Readme!A$40:C$52,3,)*Q1619</f>
        <v>242.50731707317044</v>
      </c>
    </row>
    <row r="1620" spans="1:18" ht="12" customHeight="1" x14ac:dyDescent="0.35">
      <c r="A1620" s="75">
        <v>1650</v>
      </c>
      <c r="B1620" s="80">
        <v>2015</v>
      </c>
      <c r="C1620" s="80">
        <v>9</v>
      </c>
      <c r="D1620" s="80">
        <f t="shared" si="90"/>
        <v>2015</v>
      </c>
      <c r="E1620" t="s">
        <v>38</v>
      </c>
      <c r="F1620" t="s">
        <v>143</v>
      </c>
      <c r="G1620" t="s">
        <v>86</v>
      </c>
      <c r="H1620" s="72" t="s">
        <v>220</v>
      </c>
      <c r="I1620" s="72" t="s">
        <v>62</v>
      </c>
      <c r="J1620" t="str">
        <f t="shared" si="92"/>
        <v>Skykomish River</v>
      </c>
      <c r="K1620" t="str">
        <f>IFERROR(VLOOKUP(J1620,LUTs!$A$1:$C$73,2,FALSE),"NA")</f>
        <v>Snohomish</v>
      </c>
      <c r="L1620" t="str">
        <f>IFERROR(VLOOKUP(J1620,LUTs!$A$1:$C$73,3,FALSE),"NA")</f>
        <v>2Central Puget Sound</v>
      </c>
      <c r="M1620" s="72" t="s">
        <v>16</v>
      </c>
      <c r="N1620" t="str">
        <f>VLOOKUP(M1620,LUTs!E$2:H$14,3,)</f>
        <v>03Snohomish</v>
      </c>
      <c r="O1620" t="str">
        <f>VLOOKUP(M1620,LUTs!E$2:H$14,4,)</f>
        <v>01North Puget Sound</v>
      </c>
      <c r="P1620" s="80">
        <v>542.53658536585397</v>
      </c>
      <c r="Q1620" s="103">
        <v>271.26829268292698</v>
      </c>
      <c r="R1620" s="74">
        <f>VLOOKUP(B1620,Readme!A$40:C$52,3,)*Q1620</f>
        <v>5032.0268292682958</v>
      </c>
    </row>
    <row r="1621" spans="1:18" ht="12" customHeight="1" x14ac:dyDescent="0.35">
      <c r="A1621" s="75">
        <v>1677</v>
      </c>
      <c r="B1621" s="80">
        <v>2015</v>
      </c>
      <c r="C1621" s="80">
        <v>9</v>
      </c>
      <c r="D1621" s="80">
        <f t="shared" si="90"/>
        <v>2015</v>
      </c>
      <c r="E1621" t="s">
        <v>38</v>
      </c>
      <c r="F1621" t="s">
        <v>143</v>
      </c>
      <c r="G1621" t="s">
        <v>86</v>
      </c>
      <c r="H1621" s="72" t="s">
        <v>248</v>
      </c>
      <c r="I1621" s="72" t="s">
        <v>99</v>
      </c>
      <c r="J1621" t="str">
        <f t="shared" si="92"/>
        <v>Skykomish River, So. Fork</v>
      </c>
      <c r="K1621" t="str">
        <f>IFERROR(VLOOKUP(J1621,LUTs!$A$1:$C$73,2,FALSE),"NA")</f>
        <v>Snohomish/King</v>
      </c>
      <c r="L1621" t="str">
        <f>IFERROR(VLOOKUP(J1621,LUTs!$A$1:$C$73,3,FALSE),"NA")</f>
        <v>2Central Puget Sound</v>
      </c>
      <c r="M1621" s="72" t="s">
        <v>18</v>
      </c>
      <c r="N1621" t="str">
        <f>VLOOKUP(M1621,LUTs!E$2:H$14,3,)</f>
        <v>06King</v>
      </c>
      <c r="O1621" t="str">
        <f>VLOOKUP(M1621,LUTs!E$2:H$14,4,)</f>
        <v>02South Puget Sound</v>
      </c>
      <c r="P1621" s="80">
        <v>12</v>
      </c>
      <c r="Q1621" s="103">
        <v>6</v>
      </c>
      <c r="R1621" s="74">
        <f>VLOOKUP(B1621,Readme!A$40:C$52,3,)*Q1621</f>
        <v>111.30000000000001</v>
      </c>
    </row>
    <row r="1622" spans="1:18" ht="12" customHeight="1" x14ac:dyDescent="0.35">
      <c r="A1622" s="75">
        <v>1685</v>
      </c>
      <c r="B1622" s="80">
        <v>2015</v>
      </c>
      <c r="C1622" s="80">
        <v>9</v>
      </c>
      <c r="D1622" s="80">
        <f t="shared" si="90"/>
        <v>2015</v>
      </c>
      <c r="E1622" t="s">
        <v>38</v>
      </c>
      <c r="F1622" t="s">
        <v>143</v>
      </c>
      <c r="G1622" t="s">
        <v>86</v>
      </c>
      <c r="H1622" s="72" t="s">
        <v>221</v>
      </c>
      <c r="I1622" s="72" t="s">
        <v>63</v>
      </c>
      <c r="J1622" t="str">
        <f t="shared" si="92"/>
        <v>Snohomish River</v>
      </c>
      <c r="K1622" t="str">
        <f>IFERROR(VLOOKUP(J1622,LUTs!$A$1:$C$73,2,FALSE),"NA")</f>
        <v>Snohomish</v>
      </c>
      <c r="L1622" t="str">
        <f>IFERROR(VLOOKUP(J1622,LUTs!$A$1:$C$73,3,FALSE),"NA")</f>
        <v>2Central Puget Sound</v>
      </c>
      <c r="M1622" s="72" t="s">
        <v>18</v>
      </c>
      <c r="N1622" t="str">
        <f>VLOOKUP(M1622,LUTs!E$2:H$14,3,)</f>
        <v>06King</v>
      </c>
      <c r="O1622" t="str">
        <f>VLOOKUP(M1622,LUTs!E$2:H$14,4,)</f>
        <v>02South Puget Sound</v>
      </c>
      <c r="P1622" s="80">
        <v>12.8</v>
      </c>
      <c r="Q1622" s="103">
        <v>6.4</v>
      </c>
      <c r="R1622" s="74">
        <f>VLOOKUP(B1622,Readme!A$40:C$52,3,)*Q1622</f>
        <v>118.72000000000001</v>
      </c>
    </row>
    <row r="1623" spans="1:18" ht="12" customHeight="1" x14ac:dyDescent="0.35">
      <c r="A1623" s="75">
        <v>1686</v>
      </c>
      <c r="B1623" s="80">
        <v>2015</v>
      </c>
      <c r="C1623" s="80">
        <v>9</v>
      </c>
      <c r="D1623" s="80">
        <f t="shared" si="90"/>
        <v>2015</v>
      </c>
      <c r="E1623" t="s">
        <v>38</v>
      </c>
      <c r="F1623" t="s">
        <v>143</v>
      </c>
      <c r="G1623" t="s">
        <v>86</v>
      </c>
      <c r="H1623" s="72" t="s">
        <v>221</v>
      </c>
      <c r="I1623" s="72" t="s">
        <v>63</v>
      </c>
      <c r="J1623" t="str">
        <f t="shared" si="92"/>
        <v>Snohomish River</v>
      </c>
      <c r="K1623" t="str">
        <f>IFERROR(VLOOKUP(J1623,LUTs!$A$1:$C$73,2,FALSE),"NA")</f>
        <v>Snohomish</v>
      </c>
      <c r="L1623" t="str">
        <f>IFERROR(VLOOKUP(J1623,LUTs!$A$1:$C$73,3,FALSE),"NA")</f>
        <v>2Central Puget Sound</v>
      </c>
      <c r="M1623" s="72" t="s">
        <v>16</v>
      </c>
      <c r="N1623" t="str">
        <f>VLOOKUP(M1623,LUTs!E$2:H$14,3,)</f>
        <v>03Snohomish</v>
      </c>
      <c r="O1623" t="str">
        <f>VLOOKUP(M1623,LUTs!E$2:H$14,4,)</f>
        <v>01North Puget Sound</v>
      </c>
      <c r="P1623" s="80">
        <v>19.2</v>
      </c>
      <c r="Q1623" s="103">
        <v>9.6</v>
      </c>
      <c r="R1623" s="74">
        <f>VLOOKUP(B1623,Readme!A$40:C$52,3,)*Q1623</f>
        <v>178.08</v>
      </c>
    </row>
    <row r="1624" spans="1:18" ht="12" customHeight="1" x14ac:dyDescent="0.35">
      <c r="A1624" s="75">
        <v>1693</v>
      </c>
      <c r="B1624" s="80">
        <v>2015</v>
      </c>
      <c r="C1624" s="80">
        <v>9</v>
      </c>
      <c r="D1624" s="80">
        <f t="shared" si="90"/>
        <v>2015</v>
      </c>
      <c r="E1624" t="s">
        <v>38</v>
      </c>
      <c r="F1624" t="s">
        <v>143</v>
      </c>
      <c r="G1624" t="s">
        <v>86</v>
      </c>
      <c r="H1624" s="72" t="s">
        <v>222</v>
      </c>
      <c r="I1624" s="72" t="s">
        <v>64</v>
      </c>
      <c r="J1624" t="str">
        <f t="shared" si="92"/>
        <v>Snoqualmie River</v>
      </c>
      <c r="K1624" t="str">
        <f>IFERROR(VLOOKUP(J1624,LUTs!$A$1:$C$73,2,FALSE),"NA")</f>
        <v>Snohomish/King</v>
      </c>
      <c r="L1624" t="str">
        <f>IFERROR(VLOOKUP(J1624,LUTs!$A$1:$C$73,3,FALSE),"NA")</f>
        <v>2Central Puget Sound</v>
      </c>
      <c r="M1624" s="72" t="s">
        <v>18</v>
      </c>
      <c r="N1624" t="str">
        <f>VLOOKUP(M1624,LUTs!E$2:H$14,3,)</f>
        <v>06King</v>
      </c>
      <c r="O1624" t="str">
        <f>VLOOKUP(M1624,LUTs!E$2:H$14,4,)</f>
        <v>02South Puget Sound</v>
      </c>
      <c r="P1624" s="80">
        <v>6</v>
      </c>
      <c r="Q1624" s="103">
        <v>3</v>
      </c>
      <c r="R1624" s="74">
        <f>VLOOKUP(B1624,Readme!A$40:C$52,3,)*Q1624</f>
        <v>55.650000000000006</v>
      </c>
    </row>
    <row r="1625" spans="1:18" ht="12" customHeight="1" x14ac:dyDescent="0.35">
      <c r="A1625" s="75">
        <v>1722</v>
      </c>
      <c r="B1625" s="80">
        <v>2015</v>
      </c>
      <c r="C1625" s="80">
        <v>9</v>
      </c>
      <c r="D1625" s="80">
        <f t="shared" si="90"/>
        <v>2015</v>
      </c>
      <c r="E1625" t="s">
        <v>38</v>
      </c>
      <c r="F1625" t="s">
        <v>143</v>
      </c>
      <c r="G1625" t="s">
        <v>86</v>
      </c>
      <c r="H1625" s="72" t="s">
        <v>223</v>
      </c>
      <c r="I1625" s="72" t="s">
        <v>103</v>
      </c>
      <c r="J1625" t="str">
        <f t="shared" si="92"/>
        <v>Stillaguamish R, No. Fork</v>
      </c>
      <c r="K1625" t="str">
        <f>IFERROR(VLOOKUP(J1625,LUTs!$A$1:$C$73,2,FALSE),"NA")</f>
        <v>Snohomish</v>
      </c>
      <c r="L1625" t="str">
        <f>IFERROR(VLOOKUP(J1625,LUTs!$A$1:$C$73,3,FALSE),"NA")</f>
        <v>2Central Puget Sound</v>
      </c>
      <c r="M1625" s="72" t="s">
        <v>18</v>
      </c>
      <c r="N1625" t="str">
        <f>VLOOKUP(M1625,LUTs!E$2:H$14,3,)</f>
        <v>06King</v>
      </c>
      <c r="O1625" t="str">
        <f>VLOOKUP(M1625,LUTs!E$2:H$14,4,)</f>
        <v>02South Puget Sound</v>
      </c>
      <c r="P1625" s="80">
        <v>7.5</v>
      </c>
      <c r="Q1625" s="103">
        <v>3.75</v>
      </c>
      <c r="R1625" s="74">
        <f>VLOOKUP(B1625,Readme!A$40:C$52,3,)*Q1625</f>
        <v>69.5625</v>
      </c>
    </row>
    <row r="1626" spans="1:18" ht="12" customHeight="1" x14ac:dyDescent="0.35">
      <c r="A1626" s="75">
        <v>1723</v>
      </c>
      <c r="B1626" s="80">
        <v>2015</v>
      </c>
      <c r="C1626" s="80">
        <v>9</v>
      </c>
      <c r="D1626" s="80">
        <f t="shared" si="90"/>
        <v>2015</v>
      </c>
      <c r="E1626" t="s">
        <v>38</v>
      </c>
      <c r="F1626" t="s">
        <v>143</v>
      </c>
      <c r="G1626" t="s">
        <v>86</v>
      </c>
      <c r="H1626" s="72" t="s">
        <v>223</v>
      </c>
      <c r="I1626" s="72" t="s">
        <v>103</v>
      </c>
      <c r="J1626" t="str">
        <f t="shared" si="92"/>
        <v>Stillaguamish R, No. Fork</v>
      </c>
      <c r="K1626" t="str">
        <f>IFERROR(VLOOKUP(J1626,LUTs!$A$1:$C$73,2,FALSE),"NA")</f>
        <v>Snohomish</v>
      </c>
      <c r="L1626" t="str">
        <f>IFERROR(VLOOKUP(J1626,LUTs!$A$1:$C$73,3,FALSE),"NA")</f>
        <v>2Central Puget Sound</v>
      </c>
      <c r="M1626" s="72" t="s">
        <v>16</v>
      </c>
      <c r="N1626" t="str">
        <f>VLOOKUP(M1626,LUTs!E$2:H$14,3,)</f>
        <v>03Snohomish</v>
      </c>
      <c r="O1626" t="str">
        <f>VLOOKUP(M1626,LUTs!E$2:H$14,4,)</f>
        <v>01North Puget Sound</v>
      </c>
      <c r="P1626" s="80">
        <v>22.5</v>
      </c>
      <c r="Q1626" s="103">
        <v>11.25</v>
      </c>
      <c r="R1626" s="74">
        <f>VLOOKUP(B1626,Readme!A$40:C$52,3,)*Q1626</f>
        <v>208.6875</v>
      </c>
    </row>
    <row r="1627" spans="1:18" ht="12" customHeight="1" x14ac:dyDescent="0.35">
      <c r="A1627" s="75">
        <v>1726</v>
      </c>
      <c r="B1627" s="80">
        <v>2015</v>
      </c>
      <c r="C1627" s="80">
        <v>9</v>
      </c>
      <c r="D1627" s="80">
        <f t="shared" si="90"/>
        <v>2015</v>
      </c>
      <c r="E1627" t="s">
        <v>38</v>
      </c>
      <c r="F1627" t="s">
        <v>143</v>
      </c>
      <c r="G1627" t="s">
        <v>86</v>
      </c>
      <c r="H1627" s="72" t="s">
        <v>253</v>
      </c>
      <c r="I1627" s="72" t="s">
        <v>65</v>
      </c>
      <c r="J1627" t="str">
        <f t="shared" si="92"/>
        <v>Stillaguamish River</v>
      </c>
      <c r="K1627" t="str">
        <f>IFERROR(VLOOKUP(J1627,LUTs!$A$1:$C$73,2,FALSE),"NA")</f>
        <v>Snohomish</v>
      </c>
      <c r="L1627" t="str">
        <f>IFERROR(VLOOKUP(J1627,LUTs!$A$1:$C$73,3,FALSE),"NA")</f>
        <v>2Central Puget Sound</v>
      </c>
      <c r="M1627" s="72" t="s">
        <v>18</v>
      </c>
      <c r="N1627" t="str">
        <f>VLOOKUP(M1627,LUTs!E$2:H$14,3,)</f>
        <v>06King</v>
      </c>
      <c r="O1627" t="str">
        <f>VLOOKUP(M1627,LUTs!E$2:H$14,4,)</f>
        <v>02South Puget Sound</v>
      </c>
      <c r="P1627" s="80">
        <v>8</v>
      </c>
      <c r="Q1627" s="103">
        <v>4</v>
      </c>
      <c r="R1627" s="74">
        <f>VLOOKUP(B1627,Readme!A$40:C$52,3,)*Q1627</f>
        <v>74.2</v>
      </c>
    </row>
    <row r="1628" spans="1:18" ht="12" customHeight="1" x14ac:dyDescent="0.35">
      <c r="A1628" s="75">
        <v>1622</v>
      </c>
      <c r="B1628" s="80">
        <v>2015</v>
      </c>
      <c r="C1628" s="80">
        <v>10</v>
      </c>
      <c r="D1628" s="80">
        <f t="shared" si="90"/>
        <v>2015</v>
      </c>
      <c r="E1628" t="s">
        <v>38</v>
      </c>
      <c r="F1628" t="s">
        <v>143</v>
      </c>
      <c r="G1628" t="s">
        <v>86</v>
      </c>
      <c r="H1628" s="72" t="s">
        <v>217</v>
      </c>
      <c r="I1628" s="72" t="s">
        <v>59</v>
      </c>
      <c r="J1628" t="str">
        <f t="shared" si="92"/>
        <v>Cascade River</v>
      </c>
      <c r="K1628" t="str">
        <f>IFERROR(VLOOKUP(J1628,LUTs!$A$1:$C$73,2,FALSE),"NA")</f>
        <v>Skagit</v>
      </c>
      <c r="L1628" t="str">
        <f>IFERROR(VLOOKUP(J1628,LUTs!$A$1:$C$73,3,FALSE),"NA")</f>
        <v>1North Puget Sound</v>
      </c>
      <c r="M1628" s="72" t="s">
        <v>18</v>
      </c>
      <c r="N1628" t="str">
        <f>VLOOKUP(M1628,LUTs!E$2:H$14,3,)</f>
        <v>06King</v>
      </c>
      <c r="O1628" t="str">
        <f>VLOOKUP(M1628,LUTs!E$2:H$14,4,)</f>
        <v>02South Puget Sound</v>
      </c>
      <c r="P1628" s="80">
        <v>7.3333333333333401</v>
      </c>
      <c r="Q1628" s="103">
        <v>3.6666666666666701</v>
      </c>
      <c r="R1628" s="74">
        <f>VLOOKUP(B1628,Readme!A$40:C$52,3,)*Q1628</f>
        <v>68.016666666666737</v>
      </c>
    </row>
    <row r="1629" spans="1:18" ht="12" customHeight="1" x14ac:dyDescent="0.35">
      <c r="A1629" s="75">
        <v>1623</v>
      </c>
      <c r="B1629" s="80">
        <v>2015</v>
      </c>
      <c r="C1629" s="80">
        <v>10</v>
      </c>
      <c r="D1629" s="80">
        <f t="shared" si="90"/>
        <v>2015</v>
      </c>
      <c r="E1629" t="s">
        <v>38</v>
      </c>
      <c r="F1629" t="s">
        <v>143</v>
      </c>
      <c r="G1629" t="s">
        <v>86</v>
      </c>
      <c r="H1629" s="72" t="s">
        <v>217</v>
      </c>
      <c r="I1629" s="72" t="s">
        <v>59</v>
      </c>
      <c r="J1629" t="str">
        <f t="shared" si="92"/>
        <v>Cascade River</v>
      </c>
      <c r="K1629" t="str">
        <f>IFERROR(VLOOKUP(J1629,LUTs!$A$1:$C$73,2,FALSE),"NA")</f>
        <v>Skagit</v>
      </c>
      <c r="L1629" t="str">
        <f>IFERROR(VLOOKUP(J1629,LUTs!$A$1:$C$73,3,FALSE),"NA")</f>
        <v>1North Puget Sound</v>
      </c>
      <c r="M1629" s="72" t="s">
        <v>15</v>
      </c>
      <c r="N1629" t="str">
        <f>VLOOKUP(M1629,LUTs!E$2:H$14,3,)</f>
        <v>02Skagit</v>
      </c>
      <c r="O1629" t="str">
        <f>VLOOKUP(M1629,LUTs!E$2:H$14,4,)</f>
        <v>01North Puget Sound</v>
      </c>
      <c r="P1629" s="80">
        <v>14.6666666666667</v>
      </c>
      <c r="Q1629" s="103">
        <v>7.3333333333333401</v>
      </c>
      <c r="R1629" s="74">
        <f>VLOOKUP(B1629,Readme!A$40:C$52,3,)*Q1629</f>
        <v>136.03333333333347</v>
      </c>
    </row>
    <row r="1630" spans="1:18" ht="12" customHeight="1" x14ac:dyDescent="0.35">
      <c r="A1630" s="75">
        <v>1592</v>
      </c>
      <c r="B1630" s="80">
        <v>2015</v>
      </c>
      <c r="C1630" s="80">
        <v>10</v>
      </c>
      <c r="D1630" s="80">
        <f t="shared" si="90"/>
        <v>2015</v>
      </c>
      <c r="E1630" t="s">
        <v>38</v>
      </c>
      <c r="F1630" t="s">
        <v>143</v>
      </c>
      <c r="G1630" t="s">
        <v>86</v>
      </c>
      <c r="H1630" s="72" t="s">
        <v>203</v>
      </c>
      <c r="I1630" s="72" t="s">
        <v>89</v>
      </c>
      <c r="J1630" s="84" t="s">
        <v>45</v>
      </c>
      <c r="K1630" t="str">
        <f>IFERROR(VLOOKUP(J1630,LUTs!$A$1:$C$73,2,FALSE),"NA")</f>
        <v>King</v>
      </c>
      <c r="L1630" t="str">
        <f>IFERROR(VLOOKUP(J1630,LUTs!$A$1:$C$73,3,FALSE),"NA")</f>
        <v>3South Puget Sound</v>
      </c>
      <c r="M1630" s="72" t="s">
        <v>18</v>
      </c>
      <c r="N1630" t="str">
        <f>VLOOKUP(M1630,LUTs!E$2:H$14,3,)</f>
        <v>06King</v>
      </c>
      <c r="O1630" t="str">
        <f>VLOOKUP(M1630,LUTs!E$2:H$14,4,)</f>
        <v>02South Puget Sound</v>
      </c>
      <c r="P1630" s="80">
        <v>7.5</v>
      </c>
      <c r="Q1630" s="103">
        <v>3.75</v>
      </c>
      <c r="R1630" s="74">
        <f>VLOOKUP(B1630,Readme!A$40:C$52,3,)*Q1630</f>
        <v>69.5625</v>
      </c>
    </row>
    <row r="1631" spans="1:18" ht="12" customHeight="1" x14ac:dyDescent="0.35">
      <c r="A1631" s="75">
        <v>1593</v>
      </c>
      <c r="B1631" s="80">
        <v>2015</v>
      </c>
      <c r="C1631" s="80">
        <v>10</v>
      </c>
      <c r="D1631" s="80">
        <f t="shared" si="90"/>
        <v>2015</v>
      </c>
      <c r="E1631" t="s">
        <v>38</v>
      </c>
      <c r="F1631" t="s">
        <v>143</v>
      </c>
      <c r="G1631" t="s">
        <v>86</v>
      </c>
      <c r="H1631" s="72" t="s">
        <v>203</v>
      </c>
      <c r="I1631" s="72" t="s">
        <v>89</v>
      </c>
      <c r="J1631" s="84" t="s">
        <v>45</v>
      </c>
      <c r="K1631" t="str">
        <f>IFERROR(VLOOKUP(J1631,LUTs!$A$1:$C$73,2,FALSE),"NA")</f>
        <v>King</v>
      </c>
      <c r="L1631" t="str">
        <f>IFERROR(VLOOKUP(J1631,LUTs!$A$1:$C$73,3,FALSE),"NA")</f>
        <v>3South Puget Sound</v>
      </c>
      <c r="M1631" s="72" t="s">
        <v>20</v>
      </c>
      <c r="N1631" t="str">
        <f>VLOOKUP(M1631,LUTs!E$2:H$14,3,)</f>
        <v>07Pierce</v>
      </c>
      <c r="O1631" t="str">
        <f>VLOOKUP(M1631,LUTs!E$2:H$14,4,)</f>
        <v>02South Puget Sound</v>
      </c>
      <c r="P1631" s="80">
        <v>22.5</v>
      </c>
      <c r="Q1631" s="103">
        <v>11.25</v>
      </c>
      <c r="R1631" s="74">
        <f>VLOOKUP(B1631,Readme!A$40:C$52,3,)*Q1631</f>
        <v>208.6875</v>
      </c>
    </row>
    <row r="1632" spans="1:18" ht="12" customHeight="1" x14ac:dyDescent="0.35">
      <c r="A1632" s="75">
        <v>1617</v>
      </c>
      <c r="B1632" s="80">
        <v>2015</v>
      </c>
      <c r="C1632" s="80">
        <v>10</v>
      </c>
      <c r="D1632" s="80">
        <f t="shared" si="90"/>
        <v>2015</v>
      </c>
      <c r="E1632" t="s">
        <v>38</v>
      </c>
      <c r="F1632" t="s">
        <v>143</v>
      </c>
      <c r="G1632" t="s">
        <v>86</v>
      </c>
      <c r="H1632" s="72" t="s">
        <v>212</v>
      </c>
      <c r="I1632" s="72" t="s">
        <v>54</v>
      </c>
      <c r="J1632" t="str">
        <f t="shared" ref="J1632:J1643" si="93">I1632</f>
        <v>Puyallup River</v>
      </c>
      <c r="K1632" t="str">
        <f>IFERROR(VLOOKUP(J1632,LUTs!$A$1:$C$73,2,FALSE),"NA")</f>
        <v>Pierce</v>
      </c>
      <c r="L1632" t="str">
        <f>IFERROR(VLOOKUP(J1632,LUTs!$A$1:$C$73,3,FALSE),"NA")</f>
        <v>3South Puget Sound</v>
      </c>
      <c r="M1632" s="72" t="s">
        <v>20</v>
      </c>
      <c r="N1632" t="str">
        <f>VLOOKUP(M1632,LUTs!E$2:H$14,3,)</f>
        <v>07Pierce</v>
      </c>
      <c r="O1632" t="str">
        <f>VLOOKUP(M1632,LUTs!E$2:H$14,4,)</f>
        <v>02South Puget Sound</v>
      </c>
      <c r="P1632" s="80">
        <v>14</v>
      </c>
      <c r="Q1632" s="103">
        <v>7</v>
      </c>
      <c r="R1632" s="74">
        <f>VLOOKUP(B1632,Readme!A$40:C$52,3,)*Q1632</f>
        <v>129.85</v>
      </c>
    </row>
    <row r="1633" spans="1:18" ht="12" customHeight="1" x14ac:dyDescent="0.35">
      <c r="A1633" s="75">
        <v>1651</v>
      </c>
      <c r="B1633" s="80">
        <v>2015</v>
      </c>
      <c r="C1633" s="80">
        <v>10</v>
      </c>
      <c r="D1633" s="80">
        <f t="shared" si="90"/>
        <v>2015</v>
      </c>
      <c r="E1633" t="s">
        <v>38</v>
      </c>
      <c r="F1633" t="s">
        <v>143</v>
      </c>
      <c r="G1633" t="s">
        <v>86</v>
      </c>
      <c r="H1633" s="72" t="s">
        <v>220</v>
      </c>
      <c r="I1633" s="72" t="s">
        <v>62</v>
      </c>
      <c r="J1633" t="str">
        <f t="shared" si="93"/>
        <v>Skykomish River</v>
      </c>
      <c r="K1633" t="str">
        <f>IFERROR(VLOOKUP(J1633,LUTs!$A$1:$C$73,2,FALSE),"NA")</f>
        <v>Snohomish</v>
      </c>
      <c r="L1633" t="str">
        <f>IFERROR(VLOOKUP(J1633,LUTs!$A$1:$C$73,3,FALSE),"NA")</f>
        <v>2Central Puget Sound</v>
      </c>
      <c r="M1633" s="72" t="s">
        <v>18</v>
      </c>
      <c r="N1633" t="str">
        <f>VLOOKUP(M1633,LUTs!E$2:H$14,3,)</f>
        <v>06King</v>
      </c>
      <c r="O1633" t="str">
        <f>VLOOKUP(M1633,LUTs!E$2:H$14,4,)</f>
        <v>02South Puget Sound</v>
      </c>
      <c r="P1633" s="80">
        <v>83.886792452830207</v>
      </c>
      <c r="Q1633" s="103">
        <v>41.943396226415103</v>
      </c>
      <c r="R1633" s="74">
        <f>VLOOKUP(B1633,Readme!A$40:C$52,3,)*Q1633</f>
        <v>778.05000000000018</v>
      </c>
    </row>
    <row r="1634" spans="1:18" ht="12" customHeight="1" x14ac:dyDescent="0.35">
      <c r="A1634" s="75">
        <v>1652</v>
      </c>
      <c r="B1634" s="80">
        <v>2015</v>
      </c>
      <c r="C1634" s="80">
        <v>10</v>
      </c>
      <c r="D1634" s="80">
        <f t="shared" si="90"/>
        <v>2015</v>
      </c>
      <c r="E1634" t="s">
        <v>38</v>
      </c>
      <c r="F1634" t="s">
        <v>143</v>
      </c>
      <c r="G1634" t="s">
        <v>86</v>
      </c>
      <c r="H1634" s="72" t="s">
        <v>220</v>
      </c>
      <c r="I1634" s="72" t="s">
        <v>62</v>
      </c>
      <c r="J1634" t="str">
        <f t="shared" si="93"/>
        <v>Skykomish River</v>
      </c>
      <c r="K1634" t="str">
        <f>IFERROR(VLOOKUP(J1634,LUTs!$A$1:$C$73,2,FALSE),"NA")</f>
        <v>Snohomish</v>
      </c>
      <c r="L1634" t="str">
        <f>IFERROR(VLOOKUP(J1634,LUTs!$A$1:$C$73,3,FALSE),"NA")</f>
        <v>2Central Puget Sound</v>
      </c>
      <c r="M1634" s="72" t="s">
        <v>16</v>
      </c>
      <c r="N1634" t="str">
        <f>VLOOKUP(M1634,LUTs!E$2:H$14,3,)</f>
        <v>03Snohomish</v>
      </c>
      <c r="O1634" t="str">
        <f>VLOOKUP(M1634,LUTs!E$2:H$14,4,)</f>
        <v>01North Puget Sound</v>
      </c>
      <c r="P1634" s="80">
        <v>258.11320754717002</v>
      </c>
      <c r="Q1634" s="103">
        <v>129.05660377358501</v>
      </c>
      <c r="R1634" s="74">
        <f>VLOOKUP(B1634,Readme!A$40:C$52,3,)*Q1634</f>
        <v>2394.0000000000018</v>
      </c>
    </row>
    <row r="1635" spans="1:18" ht="12" customHeight="1" x14ac:dyDescent="0.35">
      <c r="A1635" s="75">
        <v>1671</v>
      </c>
      <c r="B1635" s="80">
        <v>2015</v>
      </c>
      <c r="C1635" s="80">
        <v>10</v>
      </c>
      <c r="D1635" s="80">
        <f t="shared" si="90"/>
        <v>2015</v>
      </c>
      <c r="E1635" t="s">
        <v>38</v>
      </c>
      <c r="F1635" t="s">
        <v>143</v>
      </c>
      <c r="G1635" t="s">
        <v>86</v>
      </c>
      <c r="H1635" s="72" t="s">
        <v>247</v>
      </c>
      <c r="I1635" s="72" t="s">
        <v>98</v>
      </c>
      <c r="J1635" t="str">
        <f t="shared" si="93"/>
        <v>Skykomish River, No. Fork</v>
      </c>
      <c r="K1635" t="str">
        <f>IFERROR(VLOOKUP(J1635,LUTs!$A$1:$C$73,2,FALSE),"NA")</f>
        <v>Snohomish</v>
      </c>
      <c r="L1635" t="str">
        <f>IFERROR(VLOOKUP(J1635,LUTs!$A$1:$C$73,3,FALSE),"NA")</f>
        <v>2Central Puget Sound</v>
      </c>
      <c r="M1635" s="72" t="s">
        <v>18</v>
      </c>
      <c r="N1635" t="str">
        <f>VLOOKUP(M1635,LUTs!E$2:H$14,3,)</f>
        <v>06King</v>
      </c>
      <c r="O1635" t="str">
        <f>VLOOKUP(M1635,LUTs!E$2:H$14,4,)</f>
        <v>02South Puget Sound</v>
      </c>
      <c r="P1635" s="80">
        <v>6.6666666666666696</v>
      </c>
      <c r="Q1635" s="103">
        <v>3.3333333333333299</v>
      </c>
      <c r="R1635" s="74">
        <f>VLOOKUP(B1635,Readme!A$40:C$52,3,)*Q1635</f>
        <v>61.833333333333272</v>
      </c>
    </row>
    <row r="1636" spans="1:18" ht="12" customHeight="1" x14ac:dyDescent="0.35">
      <c r="A1636" s="75">
        <v>1672</v>
      </c>
      <c r="B1636" s="80">
        <v>2015</v>
      </c>
      <c r="C1636" s="80">
        <v>10</v>
      </c>
      <c r="D1636" s="80">
        <f t="shared" si="90"/>
        <v>2015</v>
      </c>
      <c r="E1636" t="s">
        <v>38</v>
      </c>
      <c r="F1636" t="s">
        <v>143</v>
      </c>
      <c r="G1636" t="s">
        <v>86</v>
      </c>
      <c r="H1636" s="72" t="s">
        <v>247</v>
      </c>
      <c r="I1636" s="72" t="s">
        <v>98</v>
      </c>
      <c r="J1636" t="str">
        <f t="shared" si="93"/>
        <v>Skykomish River, No. Fork</v>
      </c>
      <c r="K1636" t="str">
        <f>IFERROR(VLOOKUP(J1636,LUTs!$A$1:$C$73,2,FALSE),"NA")</f>
        <v>Snohomish</v>
      </c>
      <c r="L1636" t="str">
        <f>IFERROR(VLOOKUP(J1636,LUTs!$A$1:$C$73,3,FALSE),"NA")</f>
        <v>2Central Puget Sound</v>
      </c>
      <c r="M1636" s="72" t="s">
        <v>16</v>
      </c>
      <c r="N1636" t="str">
        <f>VLOOKUP(M1636,LUTs!E$2:H$14,3,)</f>
        <v>03Snohomish</v>
      </c>
      <c r="O1636" t="str">
        <f>VLOOKUP(M1636,LUTs!E$2:H$14,4,)</f>
        <v>01North Puget Sound</v>
      </c>
      <c r="P1636" s="80">
        <v>13.3333333333333</v>
      </c>
      <c r="Q1636" s="103">
        <v>6.6666666666666696</v>
      </c>
      <c r="R1636" s="74">
        <f>VLOOKUP(B1636,Readme!A$40:C$52,3,)*Q1636</f>
        <v>123.66666666666673</v>
      </c>
    </row>
    <row r="1637" spans="1:18" ht="12" customHeight="1" x14ac:dyDescent="0.35">
      <c r="A1637" s="75">
        <v>1687</v>
      </c>
      <c r="B1637" s="80">
        <v>2015</v>
      </c>
      <c r="C1637" s="80">
        <v>10</v>
      </c>
      <c r="D1637" s="80">
        <f t="shared" si="90"/>
        <v>2015</v>
      </c>
      <c r="E1637" t="s">
        <v>38</v>
      </c>
      <c r="F1637" t="s">
        <v>143</v>
      </c>
      <c r="G1637" t="s">
        <v>86</v>
      </c>
      <c r="H1637" s="72" t="s">
        <v>221</v>
      </c>
      <c r="I1637" s="72" t="s">
        <v>63</v>
      </c>
      <c r="J1637" t="str">
        <f t="shared" si="93"/>
        <v>Snohomish River</v>
      </c>
      <c r="K1637" t="str">
        <f>IFERROR(VLOOKUP(J1637,LUTs!$A$1:$C$73,2,FALSE),"NA")</f>
        <v>Snohomish</v>
      </c>
      <c r="L1637" t="str">
        <f>IFERROR(VLOOKUP(J1637,LUTs!$A$1:$C$73,3,FALSE),"NA")</f>
        <v>2Central Puget Sound</v>
      </c>
      <c r="M1637" s="72" t="s">
        <v>18</v>
      </c>
      <c r="N1637" t="str">
        <f>VLOOKUP(M1637,LUTs!E$2:H$14,3,)</f>
        <v>06King</v>
      </c>
      <c r="O1637" t="str">
        <f>VLOOKUP(M1637,LUTs!E$2:H$14,4,)</f>
        <v>02South Puget Sound</v>
      </c>
      <c r="P1637" s="80">
        <v>6</v>
      </c>
      <c r="Q1637" s="103">
        <v>3</v>
      </c>
      <c r="R1637" s="74">
        <f>VLOOKUP(B1637,Readme!A$40:C$52,3,)*Q1637</f>
        <v>55.650000000000006</v>
      </c>
    </row>
    <row r="1638" spans="1:18" ht="12" customHeight="1" x14ac:dyDescent="0.35">
      <c r="A1638" s="75">
        <v>1688</v>
      </c>
      <c r="B1638" s="80">
        <v>2015</v>
      </c>
      <c r="C1638" s="80">
        <v>10</v>
      </c>
      <c r="D1638" s="80">
        <f t="shared" si="90"/>
        <v>2015</v>
      </c>
      <c r="E1638" t="s">
        <v>38</v>
      </c>
      <c r="F1638" t="s">
        <v>143</v>
      </c>
      <c r="G1638" t="s">
        <v>86</v>
      </c>
      <c r="H1638" s="72" t="s">
        <v>221</v>
      </c>
      <c r="I1638" s="72" t="s">
        <v>63</v>
      </c>
      <c r="J1638" t="str">
        <f t="shared" si="93"/>
        <v>Snohomish River</v>
      </c>
      <c r="K1638" t="str">
        <f>IFERROR(VLOOKUP(J1638,LUTs!$A$1:$C$73,2,FALSE),"NA")</f>
        <v>Snohomish</v>
      </c>
      <c r="L1638" t="str">
        <f>IFERROR(VLOOKUP(J1638,LUTs!$A$1:$C$73,3,FALSE),"NA")</f>
        <v>2Central Puget Sound</v>
      </c>
      <c r="M1638" s="72" t="s">
        <v>16</v>
      </c>
      <c r="N1638" t="str">
        <f>VLOOKUP(M1638,LUTs!E$2:H$14,3,)</f>
        <v>03Snohomish</v>
      </c>
      <c r="O1638" t="str">
        <f>VLOOKUP(M1638,LUTs!E$2:H$14,4,)</f>
        <v>01North Puget Sound</v>
      </c>
      <c r="P1638" s="80">
        <v>6</v>
      </c>
      <c r="Q1638" s="103">
        <v>3</v>
      </c>
      <c r="R1638" s="74">
        <f>VLOOKUP(B1638,Readme!A$40:C$52,3,)*Q1638</f>
        <v>55.650000000000006</v>
      </c>
    </row>
    <row r="1639" spans="1:18" ht="12" customHeight="1" x14ac:dyDescent="0.35">
      <c r="A1639" s="75">
        <v>1710</v>
      </c>
      <c r="B1639" s="80">
        <v>2015</v>
      </c>
      <c r="C1639" s="80">
        <v>10</v>
      </c>
      <c r="D1639" s="80">
        <f t="shared" si="90"/>
        <v>2015</v>
      </c>
      <c r="E1639" t="s">
        <v>38</v>
      </c>
      <c r="F1639" t="s">
        <v>143</v>
      </c>
      <c r="G1639" t="s">
        <v>86</v>
      </c>
      <c r="H1639" s="72" t="s">
        <v>233</v>
      </c>
      <c r="I1639" s="72" t="s">
        <v>76</v>
      </c>
      <c r="J1639" t="str">
        <f t="shared" si="93"/>
        <v>Wallace River</v>
      </c>
      <c r="K1639" t="str">
        <f>IFERROR(VLOOKUP(J1639,LUTs!$A$1:$C$73,2,FALSE),"NA")</f>
        <v>Snohomish</v>
      </c>
      <c r="L1639" t="str">
        <f>IFERROR(VLOOKUP(J1639,LUTs!$A$1:$C$73,3,FALSE),"NA")</f>
        <v>2Central Puget Sound</v>
      </c>
      <c r="M1639" s="72" t="s">
        <v>18</v>
      </c>
      <c r="N1639" t="str">
        <f>VLOOKUP(M1639,LUTs!E$2:H$14,3,)</f>
        <v>06King</v>
      </c>
      <c r="O1639" t="str">
        <f>VLOOKUP(M1639,LUTs!E$2:H$14,4,)</f>
        <v>02South Puget Sound</v>
      </c>
      <c r="P1639" s="80">
        <v>38.4</v>
      </c>
      <c r="Q1639" s="103">
        <v>19.2</v>
      </c>
      <c r="R1639" s="74">
        <f>VLOOKUP(B1639,Readme!A$40:C$52,3,)*Q1639</f>
        <v>356.16</v>
      </c>
    </row>
    <row r="1640" spans="1:18" ht="12" customHeight="1" x14ac:dyDescent="0.35">
      <c r="A1640" s="75">
        <v>1711</v>
      </c>
      <c r="B1640" s="80">
        <v>2015</v>
      </c>
      <c r="C1640" s="80">
        <v>10</v>
      </c>
      <c r="D1640" s="80">
        <f t="shared" si="90"/>
        <v>2015</v>
      </c>
      <c r="E1640" t="s">
        <v>38</v>
      </c>
      <c r="F1640" t="s">
        <v>143</v>
      </c>
      <c r="G1640" t="s">
        <v>86</v>
      </c>
      <c r="H1640" s="72" t="s">
        <v>233</v>
      </c>
      <c r="I1640" s="72" t="s">
        <v>76</v>
      </c>
      <c r="J1640" t="str">
        <f t="shared" si="93"/>
        <v>Wallace River</v>
      </c>
      <c r="K1640" t="str">
        <f>IFERROR(VLOOKUP(J1640,LUTs!$A$1:$C$73,2,FALSE),"NA")</f>
        <v>Snohomish</v>
      </c>
      <c r="L1640" t="str">
        <f>IFERROR(VLOOKUP(J1640,LUTs!$A$1:$C$73,3,FALSE),"NA")</f>
        <v>2Central Puget Sound</v>
      </c>
      <c r="M1640" s="72" t="s">
        <v>16</v>
      </c>
      <c r="N1640" t="str">
        <f>VLOOKUP(M1640,LUTs!E$2:H$14,3,)</f>
        <v>03Snohomish</v>
      </c>
      <c r="O1640" t="str">
        <f>VLOOKUP(M1640,LUTs!E$2:H$14,4,)</f>
        <v>01North Puget Sound</v>
      </c>
      <c r="P1640" s="80">
        <v>57.6</v>
      </c>
      <c r="Q1640" s="103">
        <v>28.8</v>
      </c>
      <c r="R1640" s="74">
        <f>VLOOKUP(B1640,Readme!A$40:C$52,3,)*Q1640</f>
        <v>534.24</v>
      </c>
    </row>
    <row r="1641" spans="1:18" ht="12" customHeight="1" x14ac:dyDescent="0.35">
      <c r="A1641" s="75">
        <v>1624</v>
      </c>
      <c r="B1641" s="80">
        <v>2015</v>
      </c>
      <c r="C1641" s="80">
        <v>11</v>
      </c>
      <c r="D1641" s="80">
        <f t="shared" si="90"/>
        <v>2015</v>
      </c>
      <c r="E1641" t="s">
        <v>38</v>
      </c>
      <c r="F1641" t="s">
        <v>143</v>
      </c>
      <c r="G1641" t="s">
        <v>86</v>
      </c>
      <c r="H1641" s="72" t="s">
        <v>217</v>
      </c>
      <c r="I1641" s="72" t="s">
        <v>59</v>
      </c>
      <c r="J1641" t="str">
        <f t="shared" si="93"/>
        <v>Cascade River</v>
      </c>
      <c r="K1641" t="str">
        <f>IFERROR(VLOOKUP(J1641,LUTs!$A$1:$C$73,2,FALSE),"NA")</f>
        <v>Skagit</v>
      </c>
      <c r="L1641" t="str">
        <f>IFERROR(VLOOKUP(J1641,LUTs!$A$1:$C$73,3,FALSE),"NA")</f>
        <v>1North Puget Sound</v>
      </c>
      <c r="M1641" s="72" t="s">
        <v>30</v>
      </c>
      <c r="N1641" t="str">
        <f>VLOOKUP(M1641,LUTs!E$2:H$14,3,)</f>
        <v>05San Juan</v>
      </c>
      <c r="O1641" t="str">
        <f>VLOOKUP(M1641,LUTs!E$2:H$14,4,)</f>
        <v>01North Puget Sound</v>
      </c>
      <c r="P1641" s="80">
        <v>13.6</v>
      </c>
      <c r="Q1641" s="103">
        <v>6.8</v>
      </c>
      <c r="R1641" s="74">
        <f>VLOOKUP(B1641,Readme!A$40:C$52,3,)*Q1641</f>
        <v>126.14</v>
      </c>
    </row>
    <row r="1642" spans="1:18" ht="12" customHeight="1" x14ac:dyDescent="0.35">
      <c r="A1642" s="75">
        <v>1625</v>
      </c>
      <c r="B1642" s="80">
        <v>2015</v>
      </c>
      <c r="C1642" s="80">
        <v>11</v>
      </c>
      <c r="D1642" s="80">
        <f t="shared" si="90"/>
        <v>2015</v>
      </c>
      <c r="E1642" t="s">
        <v>38</v>
      </c>
      <c r="F1642" t="s">
        <v>143</v>
      </c>
      <c r="G1642" t="s">
        <v>86</v>
      </c>
      <c r="H1642" s="72" t="s">
        <v>217</v>
      </c>
      <c r="I1642" s="72" t="s">
        <v>59</v>
      </c>
      <c r="J1642" t="str">
        <f t="shared" si="93"/>
        <v>Cascade River</v>
      </c>
      <c r="K1642" t="str">
        <f>IFERROR(VLOOKUP(J1642,LUTs!$A$1:$C$73,2,FALSE),"NA")</f>
        <v>Skagit</v>
      </c>
      <c r="L1642" t="str">
        <f>IFERROR(VLOOKUP(J1642,LUTs!$A$1:$C$73,3,FALSE),"NA")</f>
        <v>1North Puget Sound</v>
      </c>
      <c r="M1642" s="72" t="s">
        <v>15</v>
      </c>
      <c r="N1642" t="str">
        <f>VLOOKUP(M1642,LUTs!E$2:H$14,3,)</f>
        <v>02Skagit</v>
      </c>
      <c r="O1642" t="str">
        <f>VLOOKUP(M1642,LUTs!E$2:H$14,4,)</f>
        <v>01North Puget Sound</v>
      </c>
      <c r="P1642" s="80">
        <v>20.399999999999999</v>
      </c>
      <c r="Q1642" s="103">
        <v>10.199999999999999</v>
      </c>
      <c r="R1642" s="74">
        <f>VLOOKUP(B1642,Readme!A$40:C$52,3,)*Q1642</f>
        <v>189.21</v>
      </c>
    </row>
    <row r="1643" spans="1:18" ht="12" customHeight="1" x14ac:dyDescent="0.35">
      <c r="A1643" s="75">
        <v>1579</v>
      </c>
      <c r="B1643" s="80">
        <v>2015</v>
      </c>
      <c r="C1643" s="80">
        <v>11</v>
      </c>
      <c r="D1643" s="80">
        <f t="shared" si="90"/>
        <v>2015</v>
      </c>
      <c r="E1643" t="s">
        <v>38</v>
      </c>
      <c r="F1643" t="s">
        <v>143</v>
      </c>
      <c r="G1643" t="s">
        <v>86</v>
      </c>
      <c r="H1643" s="72" t="s">
        <v>234</v>
      </c>
      <c r="I1643" s="72" t="s">
        <v>87</v>
      </c>
      <c r="J1643" t="str">
        <f t="shared" si="93"/>
        <v>Clallam River</v>
      </c>
      <c r="K1643" t="str">
        <f>IFERROR(VLOOKUP(J1643,LUTs!$A$1:$C$73,2,FALSE),"NA")</f>
        <v>Clallam</v>
      </c>
      <c r="L1643" t="str">
        <f>IFERROR(VLOOKUP(J1643,LUTs!$A$1:$C$73,3,FALSE),"NA")</f>
        <v>0Strait of Juan de Fuca</v>
      </c>
      <c r="M1643" s="72" t="s">
        <v>24</v>
      </c>
      <c r="N1643" t="str">
        <f>VLOOKUP(M1643,LUTs!E$2:H$14,3,)</f>
        <v>11Clallam</v>
      </c>
      <c r="O1643" t="str">
        <f>VLOOKUP(M1643,LUTs!E$2:H$14,4,)</f>
        <v>03Strait of Juan de Fuca</v>
      </c>
      <c r="P1643" s="80">
        <v>6</v>
      </c>
      <c r="Q1643" s="103">
        <v>3</v>
      </c>
      <c r="R1643" s="74">
        <f>VLOOKUP(B1643,Readme!A$40:C$52,3,)*Q1643</f>
        <v>55.650000000000006</v>
      </c>
    </row>
    <row r="1644" spans="1:18" ht="12" customHeight="1" x14ac:dyDescent="0.35">
      <c r="A1644" s="75">
        <v>1594</v>
      </c>
      <c r="B1644" s="80">
        <v>2015</v>
      </c>
      <c r="C1644" s="80">
        <v>11</v>
      </c>
      <c r="D1644" s="80">
        <f t="shared" si="90"/>
        <v>2015</v>
      </c>
      <c r="E1644" t="s">
        <v>38</v>
      </c>
      <c r="F1644" t="s">
        <v>143</v>
      </c>
      <c r="G1644" t="s">
        <v>86</v>
      </c>
      <c r="H1644" s="72" t="s">
        <v>203</v>
      </c>
      <c r="I1644" s="72" t="s">
        <v>89</v>
      </c>
      <c r="J1644" s="84" t="s">
        <v>45</v>
      </c>
      <c r="K1644" t="str">
        <f>IFERROR(VLOOKUP(J1644,LUTs!$A$1:$C$73,2,FALSE),"NA")</f>
        <v>King</v>
      </c>
      <c r="L1644" t="str">
        <f>IFERROR(VLOOKUP(J1644,LUTs!$A$1:$C$73,3,FALSE),"NA")</f>
        <v>3South Puget Sound</v>
      </c>
      <c r="M1644" s="72" t="s">
        <v>13</v>
      </c>
      <c r="N1644" t="str">
        <f>VLOOKUP(M1644,LUTs!E$2:H$14,3,)</f>
        <v>01Whatcom</v>
      </c>
      <c r="O1644" t="str">
        <f>VLOOKUP(M1644,LUTs!E$2:H$14,4,)</f>
        <v>01North Puget Sound</v>
      </c>
      <c r="P1644" s="80">
        <v>6</v>
      </c>
      <c r="Q1644" s="103">
        <v>3</v>
      </c>
      <c r="R1644" s="74">
        <f>VLOOKUP(B1644,Readme!A$40:C$52,3,)*Q1644</f>
        <v>55.650000000000006</v>
      </c>
    </row>
    <row r="1645" spans="1:18" ht="12" customHeight="1" x14ac:dyDescent="0.35">
      <c r="A1645" s="75">
        <v>1601</v>
      </c>
      <c r="B1645" s="80">
        <v>2015</v>
      </c>
      <c r="C1645" s="80">
        <v>11</v>
      </c>
      <c r="D1645" s="80">
        <f t="shared" si="90"/>
        <v>2015</v>
      </c>
      <c r="E1645" t="s">
        <v>38</v>
      </c>
      <c r="F1645" t="s">
        <v>143</v>
      </c>
      <c r="G1645" t="s">
        <v>86</v>
      </c>
      <c r="H1645" s="72" t="s">
        <v>204</v>
      </c>
      <c r="I1645" s="72" t="s">
        <v>46</v>
      </c>
      <c r="J1645" t="str">
        <f t="shared" ref="J1645:J1662" si="94">I1645</f>
        <v>Hoko River</v>
      </c>
      <c r="K1645" t="str">
        <f>IFERROR(VLOOKUP(J1645,LUTs!$A$1:$C$73,2,FALSE),"NA")</f>
        <v>Clallam</v>
      </c>
      <c r="L1645" t="str">
        <f>IFERROR(VLOOKUP(J1645,LUTs!$A$1:$C$73,3,FALSE),"NA")</f>
        <v>0Strait of Juan de Fuca</v>
      </c>
      <c r="M1645" s="72" t="s">
        <v>24</v>
      </c>
      <c r="N1645" t="str">
        <f>VLOOKUP(M1645,LUTs!E$2:H$14,3,)</f>
        <v>11Clallam</v>
      </c>
      <c r="O1645" t="str">
        <f>VLOOKUP(M1645,LUTs!E$2:H$14,4,)</f>
        <v>03Strait of Juan de Fuca</v>
      </c>
      <c r="P1645" s="80">
        <v>26</v>
      </c>
      <c r="Q1645" s="103">
        <v>13</v>
      </c>
      <c r="R1645" s="74">
        <f>VLOOKUP(B1645,Readme!A$40:C$52,3,)*Q1645</f>
        <v>241.15</v>
      </c>
    </row>
    <row r="1646" spans="1:18" ht="12" customHeight="1" x14ac:dyDescent="0.35">
      <c r="A1646" s="75">
        <v>1631</v>
      </c>
      <c r="B1646" s="80">
        <v>2015</v>
      </c>
      <c r="C1646" s="80">
        <v>11</v>
      </c>
      <c r="D1646" s="80">
        <f t="shared" si="90"/>
        <v>2015</v>
      </c>
      <c r="E1646" t="s">
        <v>38</v>
      </c>
      <c r="F1646" t="s">
        <v>143</v>
      </c>
      <c r="G1646" t="s">
        <v>86</v>
      </c>
      <c r="H1646" s="72" t="s">
        <v>218</v>
      </c>
      <c r="I1646" s="72" t="s">
        <v>60</v>
      </c>
      <c r="J1646" t="str">
        <f t="shared" si="94"/>
        <v>Skagit River</v>
      </c>
      <c r="K1646" t="str">
        <f>IFERROR(VLOOKUP(J1646,LUTs!$A$1:$C$73,2,FALSE),"NA")</f>
        <v>Skagit/Whatcom</v>
      </c>
      <c r="L1646" t="str">
        <f>IFERROR(VLOOKUP(J1646,LUTs!$A$1:$C$73,3,FALSE),"NA")</f>
        <v>2Central Puget Sound</v>
      </c>
      <c r="M1646" s="72" t="s">
        <v>16</v>
      </c>
      <c r="N1646" t="str">
        <f>VLOOKUP(M1646,LUTs!E$2:H$14,3,)</f>
        <v>03Snohomish</v>
      </c>
      <c r="O1646" t="str">
        <f>VLOOKUP(M1646,LUTs!E$2:H$14,4,)</f>
        <v>01North Puget Sound</v>
      </c>
      <c r="P1646" s="80">
        <v>14</v>
      </c>
      <c r="Q1646" s="103">
        <v>7</v>
      </c>
      <c r="R1646" s="74">
        <f>VLOOKUP(B1646,Readme!A$40:C$52,3,)*Q1646</f>
        <v>129.85</v>
      </c>
    </row>
    <row r="1647" spans="1:18" ht="12" customHeight="1" x14ac:dyDescent="0.35">
      <c r="A1647" s="75">
        <v>1653</v>
      </c>
      <c r="B1647" s="80">
        <v>2015</v>
      </c>
      <c r="C1647" s="80">
        <v>11</v>
      </c>
      <c r="D1647" s="80">
        <f t="shared" si="90"/>
        <v>2015</v>
      </c>
      <c r="E1647" t="s">
        <v>38</v>
      </c>
      <c r="F1647" t="s">
        <v>143</v>
      </c>
      <c r="G1647" t="s">
        <v>86</v>
      </c>
      <c r="H1647" s="72" t="s">
        <v>220</v>
      </c>
      <c r="I1647" s="72" t="s">
        <v>62</v>
      </c>
      <c r="J1647" t="str">
        <f t="shared" si="94"/>
        <v>Skykomish River</v>
      </c>
      <c r="K1647" t="str">
        <f>IFERROR(VLOOKUP(J1647,LUTs!$A$1:$C$73,2,FALSE),"NA")</f>
        <v>Snohomish</v>
      </c>
      <c r="L1647" t="str">
        <f>IFERROR(VLOOKUP(J1647,LUTs!$A$1:$C$73,3,FALSE),"NA")</f>
        <v>2Central Puget Sound</v>
      </c>
      <c r="M1647" s="72" t="s">
        <v>18</v>
      </c>
      <c r="N1647" t="str">
        <f>VLOOKUP(M1647,LUTs!E$2:H$14,3,)</f>
        <v>06King</v>
      </c>
      <c r="O1647" t="str">
        <f>VLOOKUP(M1647,LUTs!E$2:H$14,4,)</f>
        <v>02South Puget Sound</v>
      </c>
      <c r="P1647" s="80">
        <v>132.79245283018901</v>
      </c>
      <c r="Q1647" s="103">
        <v>66.396226415094404</v>
      </c>
      <c r="R1647" s="74">
        <f>VLOOKUP(B1647,Readme!A$40:C$52,3,)*Q1647</f>
        <v>1231.6500000000012</v>
      </c>
    </row>
    <row r="1648" spans="1:18" ht="12" customHeight="1" x14ac:dyDescent="0.35">
      <c r="A1648" s="75">
        <v>1654</v>
      </c>
      <c r="B1648" s="80">
        <v>2015</v>
      </c>
      <c r="C1648" s="80">
        <v>11</v>
      </c>
      <c r="D1648" s="80">
        <f t="shared" si="90"/>
        <v>2015</v>
      </c>
      <c r="E1648" t="s">
        <v>38</v>
      </c>
      <c r="F1648" t="s">
        <v>143</v>
      </c>
      <c r="G1648" t="s">
        <v>86</v>
      </c>
      <c r="H1648" s="72" t="s">
        <v>220</v>
      </c>
      <c r="I1648" s="72" t="s">
        <v>62</v>
      </c>
      <c r="J1648" t="str">
        <f t="shared" si="94"/>
        <v>Skykomish River</v>
      </c>
      <c r="K1648" t="str">
        <f>IFERROR(VLOOKUP(J1648,LUTs!$A$1:$C$73,2,FALSE),"NA")</f>
        <v>Snohomish</v>
      </c>
      <c r="L1648" t="str">
        <f>IFERROR(VLOOKUP(J1648,LUTs!$A$1:$C$73,3,FALSE),"NA")</f>
        <v>2Central Puget Sound</v>
      </c>
      <c r="M1648" s="72" t="s">
        <v>20</v>
      </c>
      <c r="N1648" t="str">
        <f>VLOOKUP(M1648,LUTs!E$2:H$14,3,)</f>
        <v>07Pierce</v>
      </c>
      <c r="O1648" t="str">
        <f>VLOOKUP(M1648,LUTs!E$2:H$14,4,)</f>
        <v>02South Puget Sound</v>
      </c>
      <c r="P1648" s="80">
        <v>7.8113207547169798</v>
      </c>
      <c r="Q1648" s="103">
        <v>3.9056603773584899</v>
      </c>
      <c r="R1648" s="74">
        <f>VLOOKUP(B1648,Readme!A$40:C$52,3,)*Q1648</f>
        <v>72.449999999999989</v>
      </c>
    </row>
    <row r="1649" spans="1:18" ht="12" customHeight="1" x14ac:dyDescent="0.35">
      <c r="A1649" s="75">
        <v>1655</v>
      </c>
      <c r="B1649" s="80">
        <v>2015</v>
      </c>
      <c r="C1649" s="80">
        <v>11</v>
      </c>
      <c r="D1649" s="80">
        <f t="shared" si="90"/>
        <v>2015</v>
      </c>
      <c r="E1649" t="s">
        <v>38</v>
      </c>
      <c r="F1649" t="s">
        <v>143</v>
      </c>
      <c r="G1649" t="s">
        <v>86</v>
      </c>
      <c r="H1649" s="72" t="s">
        <v>220</v>
      </c>
      <c r="I1649" s="72" t="s">
        <v>62</v>
      </c>
      <c r="J1649" t="str">
        <f t="shared" si="94"/>
        <v>Skykomish River</v>
      </c>
      <c r="K1649" t="str">
        <f>IFERROR(VLOOKUP(J1649,LUTs!$A$1:$C$73,2,FALSE),"NA")</f>
        <v>Snohomish</v>
      </c>
      <c r="L1649" t="str">
        <f>IFERROR(VLOOKUP(J1649,LUTs!$A$1:$C$73,3,FALSE),"NA")</f>
        <v>2Central Puget Sound</v>
      </c>
      <c r="M1649" s="72" t="s">
        <v>16</v>
      </c>
      <c r="N1649" t="str">
        <f>VLOOKUP(M1649,LUTs!E$2:H$14,3,)</f>
        <v>03Snohomish</v>
      </c>
      <c r="O1649" t="str">
        <f>VLOOKUP(M1649,LUTs!E$2:H$14,4,)</f>
        <v>01North Puget Sound</v>
      </c>
      <c r="P1649" s="80">
        <v>273.39622641509402</v>
      </c>
      <c r="Q1649" s="103">
        <v>136.69811320754701</v>
      </c>
      <c r="R1649" s="74">
        <f>VLOOKUP(B1649,Readme!A$40:C$52,3,)*Q1649</f>
        <v>2535.7499999999973</v>
      </c>
    </row>
    <row r="1650" spans="1:18" ht="12" customHeight="1" x14ac:dyDescent="0.35">
      <c r="A1650" s="75">
        <v>1673</v>
      </c>
      <c r="B1650" s="80">
        <v>2015</v>
      </c>
      <c r="C1650" s="80">
        <v>11</v>
      </c>
      <c r="D1650" s="80">
        <f t="shared" si="90"/>
        <v>2015</v>
      </c>
      <c r="E1650" t="s">
        <v>38</v>
      </c>
      <c r="F1650" t="s">
        <v>143</v>
      </c>
      <c r="G1650" t="s">
        <v>86</v>
      </c>
      <c r="H1650" s="72" t="s">
        <v>247</v>
      </c>
      <c r="I1650" s="72" t="s">
        <v>98</v>
      </c>
      <c r="J1650" t="str">
        <f t="shared" si="94"/>
        <v>Skykomish River, No. Fork</v>
      </c>
      <c r="K1650" t="str">
        <f>IFERROR(VLOOKUP(J1650,LUTs!$A$1:$C$73,2,FALSE),"NA")</f>
        <v>Snohomish</v>
      </c>
      <c r="L1650" t="str">
        <f>IFERROR(VLOOKUP(J1650,LUTs!$A$1:$C$73,3,FALSE),"NA")</f>
        <v>2Central Puget Sound</v>
      </c>
      <c r="M1650" s="72" t="s">
        <v>26</v>
      </c>
      <c r="N1650" t="str">
        <f>VLOOKUP(M1650,LUTs!E$2:H$14,3,)</f>
        <v>20Other</v>
      </c>
      <c r="O1650" t="str">
        <f>VLOOKUP(M1650,LUTs!E$2:H$14,4,)</f>
        <v>07Non Puget Sound</v>
      </c>
      <c r="P1650" s="80">
        <v>8</v>
      </c>
      <c r="Q1650" s="103">
        <v>4</v>
      </c>
      <c r="R1650" s="74">
        <f>VLOOKUP(B1650,Readme!A$40:C$52,3,)*Q1650</f>
        <v>74.2</v>
      </c>
    </row>
    <row r="1651" spans="1:18" ht="12" customHeight="1" x14ac:dyDescent="0.35">
      <c r="A1651" s="75">
        <v>1694</v>
      </c>
      <c r="B1651" s="80">
        <v>2015</v>
      </c>
      <c r="C1651" s="80">
        <v>11</v>
      </c>
      <c r="D1651" s="80">
        <f t="shared" si="90"/>
        <v>2015</v>
      </c>
      <c r="E1651" t="s">
        <v>38</v>
      </c>
      <c r="F1651" t="s">
        <v>143</v>
      </c>
      <c r="G1651" t="s">
        <v>86</v>
      </c>
      <c r="H1651" s="72" t="s">
        <v>222</v>
      </c>
      <c r="I1651" s="72" t="s">
        <v>64</v>
      </c>
      <c r="J1651" t="str">
        <f t="shared" si="94"/>
        <v>Snoqualmie River</v>
      </c>
      <c r="K1651" t="str">
        <f>IFERROR(VLOOKUP(J1651,LUTs!$A$1:$C$73,2,FALSE),"NA")</f>
        <v>Snohomish/King</v>
      </c>
      <c r="L1651" t="str">
        <f>IFERROR(VLOOKUP(J1651,LUTs!$A$1:$C$73,3,FALSE),"NA")</f>
        <v>2Central Puget Sound</v>
      </c>
      <c r="M1651" s="72" t="s">
        <v>18</v>
      </c>
      <c r="N1651" t="str">
        <f>VLOOKUP(M1651,LUTs!E$2:H$14,3,)</f>
        <v>06King</v>
      </c>
      <c r="O1651" t="str">
        <f>VLOOKUP(M1651,LUTs!E$2:H$14,4,)</f>
        <v>02South Puget Sound</v>
      </c>
      <c r="P1651" s="80">
        <v>24</v>
      </c>
      <c r="Q1651" s="103">
        <v>12</v>
      </c>
      <c r="R1651" s="74">
        <f>VLOOKUP(B1651,Readme!A$40:C$52,3,)*Q1651</f>
        <v>222.60000000000002</v>
      </c>
    </row>
    <row r="1652" spans="1:18" ht="12" customHeight="1" x14ac:dyDescent="0.35">
      <c r="A1652" s="75">
        <v>1724</v>
      </c>
      <c r="B1652" s="80">
        <v>2015</v>
      </c>
      <c r="C1652" s="80">
        <v>11</v>
      </c>
      <c r="D1652" s="80">
        <f t="shared" si="90"/>
        <v>2015</v>
      </c>
      <c r="E1652" t="s">
        <v>38</v>
      </c>
      <c r="F1652" t="s">
        <v>143</v>
      </c>
      <c r="G1652" t="s">
        <v>86</v>
      </c>
      <c r="H1652" s="72" t="s">
        <v>223</v>
      </c>
      <c r="I1652" s="72" t="s">
        <v>103</v>
      </c>
      <c r="J1652" t="str">
        <f t="shared" si="94"/>
        <v>Stillaguamish R, No. Fork</v>
      </c>
      <c r="K1652" t="str">
        <f>IFERROR(VLOOKUP(J1652,LUTs!$A$1:$C$73,2,FALSE),"NA")</f>
        <v>Snohomish</v>
      </c>
      <c r="L1652" t="str">
        <f>IFERROR(VLOOKUP(J1652,LUTs!$A$1:$C$73,3,FALSE),"NA")</f>
        <v>2Central Puget Sound</v>
      </c>
      <c r="M1652" s="72" t="s">
        <v>16</v>
      </c>
      <c r="N1652" t="str">
        <f>VLOOKUP(M1652,LUTs!E$2:H$14,3,)</f>
        <v>03Snohomish</v>
      </c>
      <c r="O1652" t="str">
        <f>VLOOKUP(M1652,LUTs!E$2:H$14,4,)</f>
        <v>01North Puget Sound</v>
      </c>
      <c r="P1652" s="80">
        <v>14</v>
      </c>
      <c r="Q1652" s="103">
        <v>7</v>
      </c>
      <c r="R1652" s="74">
        <f>VLOOKUP(B1652,Readme!A$40:C$52,3,)*Q1652</f>
        <v>129.85</v>
      </c>
    </row>
    <row r="1653" spans="1:18" ht="12" customHeight="1" x14ac:dyDescent="0.35">
      <c r="A1653" s="75">
        <v>1700</v>
      </c>
      <c r="B1653" s="80">
        <v>2015</v>
      </c>
      <c r="C1653" s="80">
        <v>11</v>
      </c>
      <c r="D1653" s="80">
        <f t="shared" si="90"/>
        <v>2015</v>
      </c>
      <c r="E1653" t="s">
        <v>38</v>
      </c>
      <c r="F1653" t="s">
        <v>143</v>
      </c>
      <c r="G1653" t="s">
        <v>86</v>
      </c>
      <c r="H1653" s="72" t="s">
        <v>249</v>
      </c>
      <c r="I1653" s="72" t="s">
        <v>100</v>
      </c>
      <c r="J1653" t="str">
        <f t="shared" si="94"/>
        <v>Sultan River</v>
      </c>
      <c r="K1653" t="str">
        <f>IFERROR(VLOOKUP(J1653,LUTs!$A$1:$C$73,2,FALSE),"NA")</f>
        <v>Snohomish</v>
      </c>
      <c r="L1653" t="str">
        <f>IFERROR(VLOOKUP(J1653,LUTs!$A$1:$C$73,3,FALSE),"NA")</f>
        <v>2Central Puget Sound</v>
      </c>
      <c r="M1653" s="72" t="s">
        <v>26</v>
      </c>
      <c r="N1653" t="str">
        <f>VLOOKUP(M1653,LUTs!E$2:H$14,3,)</f>
        <v>20Other</v>
      </c>
      <c r="O1653" t="str">
        <f>VLOOKUP(M1653,LUTs!E$2:H$14,4,)</f>
        <v>07Non Puget Sound</v>
      </c>
      <c r="P1653" s="80">
        <v>8</v>
      </c>
      <c r="Q1653" s="103">
        <v>4</v>
      </c>
      <c r="R1653" s="74">
        <f>VLOOKUP(B1653,Readme!A$40:C$52,3,)*Q1653</f>
        <v>74.2</v>
      </c>
    </row>
    <row r="1654" spans="1:18" ht="12" customHeight="1" x14ac:dyDescent="0.35">
      <c r="A1654" s="75">
        <v>1712</v>
      </c>
      <c r="B1654" s="80">
        <v>2015</v>
      </c>
      <c r="C1654" s="80">
        <v>11</v>
      </c>
      <c r="D1654" s="80">
        <f t="shared" si="90"/>
        <v>2015</v>
      </c>
      <c r="E1654" t="s">
        <v>38</v>
      </c>
      <c r="F1654" t="s">
        <v>143</v>
      </c>
      <c r="G1654" t="s">
        <v>86</v>
      </c>
      <c r="H1654" s="72" t="s">
        <v>233</v>
      </c>
      <c r="I1654" s="72" t="s">
        <v>76</v>
      </c>
      <c r="J1654" t="str">
        <f t="shared" si="94"/>
        <v>Wallace River</v>
      </c>
      <c r="K1654" t="str">
        <f>IFERROR(VLOOKUP(J1654,LUTs!$A$1:$C$73,2,FALSE),"NA")</f>
        <v>Snohomish</v>
      </c>
      <c r="L1654" t="str">
        <f>IFERROR(VLOOKUP(J1654,LUTs!$A$1:$C$73,3,FALSE),"NA")</f>
        <v>2Central Puget Sound</v>
      </c>
      <c r="M1654" s="72" t="s">
        <v>18</v>
      </c>
      <c r="N1654" t="str">
        <f>VLOOKUP(M1654,LUTs!E$2:H$14,3,)</f>
        <v>06King</v>
      </c>
      <c r="O1654" t="str">
        <f>VLOOKUP(M1654,LUTs!E$2:H$14,4,)</f>
        <v>02South Puget Sound</v>
      </c>
      <c r="P1654" s="80">
        <v>54.526315789473699</v>
      </c>
      <c r="Q1654" s="103">
        <v>27.2631578947368</v>
      </c>
      <c r="R1654" s="74">
        <f>VLOOKUP(B1654,Readme!A$40:C$52,3,)*Q1654</f>
        <v>505.73157894736767</v>
      </c>
    </row>
    <row r="1655" spans="1:18" ht="12" customHeight="1" x14ac:dyDescent="0.35">
      <c r="A1655" s="75">
        <v>1713</v>
      </c>
      <c r="B1655" s="80">
        <v>2015</v>
      </c>
      <c r="C1655" s="80">
        <v>11</v>
      </c>
      <c r="D1655" s="80">
        <f t="shared" si="90"/>
        <v>2015</v>
      </c>
      <c r="E1655" t="s">
        <v>38</v>
      </c>
      <c r="F1655" t="s">
        <v>143</v>
      </c>
      <c r="G1655" t="s">
        <v>86</v>
      </c>
      <c r="H1655" s="72" t="s">
        <v>233</v>
      </c>
      <c r="I1655" s="72" t="s">
        <v>76</v>
      </c>
      <c r="J1655" t="str">
        <f t="shared" si="94"/>
        <v>Wallace River</v>
      </c>
      <c r="K1655" t="str">
        <f>IFERROR(VLOOKUP(J1655,LUTs!$A$1:$C$73,2,FALSE),"NA")</f>
        <v>Snohomish</v>
      </c>
      <c r="L1655" t="str">
        <f>IFERROR(VLOOKUP(J1655,LUTs!$A$1:$C$73,3,FALSE),"NA")</f>
        <v>2Central Puget Sound</v>
      </c>
      <c r="M1655" s="72" t="s">
        <v>16</v>
      </c>
      <c r="N1655" t="str">
        <f>VLOOKUP(M1655,LUTs!E$2:H$14,3,)</f>
        <v>03Snohomish</v>
      </c>
      <c r="O1655" t="str">
        <f>VLOOKUP(M1655,LUTs!E$2:H$14,4,)</f>
        <v>01North Puget Sound</v>
      </c>
      <c r="P1655" s="80">
        <v>93.473684210526301</v>
      </c>
      <c r="Q1655" s="103">
        <v>46.7368421052632</v>
      </c>
      <c r="R1655" s="74">
        <f>VLOOKUP(B1655,Readme!A$40:C$52,3,)*Q1655</f>
        <v>866.96842105263238</v>
      </c>
    </row>
    <row r="1656" spans="1:18" ht="12" customHeight="1" x14ac:dyDescent="0.35">
      <c r="A1656" s="75">
        <v>1734</v>
      </c>
      <c r="B1656" s="80">
        <v>2015</v>
      </c>
      <c r="C1656" s="80">
        <v>12</v>
      </c>
      <c r="D1656" s="80">
        <f t="shared" si="90"/>
        <v>2015</v>
      </c>
      <c r="E1656" t="s">
        <v>38</v>
      </c>
      <c r="F1656" t="s">
        <v>143</v>
      </c>
      <c r="G1656" t="s">
        <v>86</v>
      </c>
      <c r="H1656" s="72" t="s">
        <v>254</v>
      </c>
      <c r="I1656" s="72" t="s">
        <v>33</v>
      </c>
      <c r="J1656" t="str">
        <f t="shared" si="94"/>
        <v>Area 9: Admiralty Inlet</v>
      </c>
      <c r="K1656" t="str">
        <f>IFERROR(VLOOKUP(J1656,LUTs!$A$1:$C$73,2,FALSE),"NA")</f>
        <v>NA</v>
      </c>
      <c r="L1656" t="str">
        <f>IFERROR(VLOOKUP(J1656,LUTs!$A$1:$C$73,3,FALSE),"NA")</f>
        <v>2Central Puget Sound</v>
      </c>
      <c r="M1656" s="72" t="s">
        <v>15</v>
      </c>
      <c r="N1656" t="str">
        <f>VLOOKUP(M1656,LUTs!E$2:H$14,3,)</f>
        <v>02Skagit</v>
      </c>
      <c r="O1656" t="str">
        <f>VLOOKUP(M1656,LUTs!E$2:H$14,4,)</f>
        <v>01North Puget Sound</v>
      </c>
      <c r="P1656" s="80">
        <v>23</v>
      </c>
      <c r="Q1656" s="103">
        <v>11.5</v>
      </c>
      <c r="R1656" s="74">
        <f>VLOOKUP(B1656,Readme!A$40:C$52,3,)*Q1656</f>
        <v>213.32500000000002</v>
      </c>
    </row>
    <row r="1657" spans="1:18" ht="12" customHeight="1" x14ac:dyDescent="0.35">
      <c r="A1657" s="75">
        <v>1735</v>
      </c>
      <c r="B1657" s="80">
        <v>2015</v>
      </c>
      <c r="C1657" s="80">
        <v>12</v>
      </c>
      <c r="D1657" s="80">
        <f t="shared" si="90"/>
        <v>2015</v>
      </c>
      <c r="E1657" t="s">
        <v>38</v>
      </c>
      <c r="F1657" t="s">
        <v>143</v>
      </c>
      <c r="G1657" t="s">
        <v>86</v>
      </c>
      <c r="H1657" s="72" t="s">
        <v>254</v>
      </c>
      <c r="I1657" s="72" t="s">
        <v>33</v>
      </c>
      <c r="J1657" t="str">
        <f t="shared" si="94"/>
        <v>Area 9: Admiralty Inlet</v>
      </c>
      <c r="K1657" t="str">
        <f>IFERROR(VLOOKUP(J1657,LUTs!$A$1:$C$73,2,FALSE),"NA")</f>
        <v>NA</v>
      </c>
      <c r="L1657" t="str">
        <f>IFERROR(VLOOKUP(J1657,LUTs!$A$1:$C$73,3,FALSE),"NA")</f>
        <v>2Central Puget Sound</v>
      </c>
      <c r="M1657" s="72" t="s">
        <v>16</v>
      </c>
      <c r="N1657" t="str">
        <f>VLOOKUP(M1657,LUTs!E$2:H$14,3,)</f>
        <v>03Snohomish</v>
      </c>
      <c r="O1657" t="str">
        <f>VLOOKUP(M1657,LUTs!E$2:H$14,4,)</f>
        <v>01North Puget Sound</v>
      </c>
      <c r="P1657" s="80">
        <v>23</v>
      </c>
      <c r="Q1657" s="103">
        <v>11.5</v>
      </c>
      <c r="R1657" s="74">
        <f>VLOOKUP(B1657,Readme!A$40:C$52,3,)*Q1657</f>
        <v>213.32500000000002</v>
      </c>
    </row>
    <row r="1658" spans="1:18" ht="12" customHeight="1" x14ac:dyDescent="0.35">
      <c r="A1658" s="75">
        <v>1626</v>
      </c>
      <c r="B1658" s="80">
        <v>2015</v>
      </c>
      <c r="C1658" s="80">
        <v>12</v>
      </c>
      <c r="D1658" s="80">
        <f t="shared" si="90"/>
        <v>2015</v>
      </c>
      <c r="E1658" t="s">
        <v>38</v>
      </c>
      <c r="F1658" t="s">
        <v>143</v>
      </c>
      <c r="G1658" t="s">
        <v>86</v>
      </c>
      <c r="H1658" s="72" t="s">
        <v>217</v>
      </c>
      <c r="I1658" s="72" t="s">
        <v>59</v>
      </c>
      <c r="J1658" t="str">
        <f t="shared" si="94"/>
        <v>Cascade River</v>
      </c>
      <c r="K1658" t="str">
        <f>IFERROR(VLOOKUP(J1658,LUTs!$A$1:$C$73,2,FALSE),"NA")</f>
        <v>Skagit</v>
      </c>
      <c r="L1658" t="str">
        <f>IFERROR(VLOOKUP(J1658,LUTs!$A$1:$C$73,3,FALSE),"NA")</f>
        <v>1North Puget Sound</v>
      </c>
      <c r="M1658" s="72" t="s">
        <v>23</v>
      </c>
      <c r="N1658" t="str">
        <f>VLOOKUP(M1658,LUTs!E$2:H$14,3,)</f>
        <v>10Kitsap</v>
      </c>
      <c r="O1658" t="str">
        <f>VLOOKUP(M1658,LUTs!E$2:H$14,4,)</f>
        <v>02South Puget Sound</v>
      </c>
      <c r="P1658" s="80">
        <v>6.6666666666666696</v>
      </c>
      <c r="Q1658" s="103">
        <v>3.3333333333333299</v>
      </c>
      <c r="R1658" s="74">
        <f>VLOOKUP(B1658,Readme!A$40:C$52,3,)*Q1658</f>
        <v>61.833333333333272</v>
      </c>
    </row>
    <row r="1659" spans="1:18" ht="12" customHeight="1" x14ac:dyDescent="0.35">
      <c r="A1659" s="75">
        <v>1627</v>
      </c>
      <c r="B1659" s="80">
        <v>2015</v>
      </c>
      <c r="C1659" s="80">
        <v>12</v>
      </c>
      <c r="D1659" s="80">
        <f t="shared" si="90"/>
        <v>2015</v>
      </c>
      <c r="E1659" t="s">
        <v>38</v>
      </c>
      <c r="F1659" t="s">
        <v>143</v>
      </c>
      <c r="G1659" t="s">
        <v>86</v>
      </c>
      <c r="H1659" s="72" t="s">
        <v>217</v>
      </c>
      <c r="I1659" s="72" t="s">
        <v>59</v>
      </c>
      <c r="J1659" t="str">
        <f t="shared" si="94"/>
        <v>Cascade River</v>
      </c>
      <c r="K1659" t="str">
        <f>IFERROR(VLOOKUP(J1659,LUTs!$A$1:$C$73,2,FALSE),"NA")</f>
        <v>Skagit</v>
      </c>
      <c r="L1659" t="str">
        <f>IFERROR(VLOOKUP(J1659,LUTs!$A$1:$C$73,3,FALSE),"NA")</f>
        <v>1North Puget Sound</v>
      </c>
      <c r="M1659" s="72" t="s">
        <v>15</v>
      </c>
      <c r="N1659" t="str">
        <f>VLOOKUP(M1659,LUTs!E$2:H$14,3,)</f>
        <v>02Skagit</v>
      </c>
      <c r="O1659" t="str">
        <f>VLOOKUP(M1659,LUTs!E$2:H$14,4,)</f>
        <v>01North Puget Sound</v>
      </c>
      <c r="P1659" s="80">
        <v>33.3333333333333</v>
      </c>
      <c r="Q1659" s="103">
        <v>16.6666666666667</v>
      </c>
      <c r="R1659" s="74">
        <f>VLOOKUP(B1659,Readme!A$40:C$52,3,)*Q1659</f>
        <v>309.16666666666731</v>
      </c>
    </row>
    <row r="1660" spans="1:18" ht="12" customHeight="1" x14ac:dyDescent="0.35">
      <c r="A1660" s="75">
        <v>1628</v>
      </c>
      <c r="B1660" s="80">
        <v>2015</v>
      </c>
      <c r="C1660" s="80">
        <v>12</v>
      </c>
      <c r="D1660" s="80">
        <f t="shared" si="90"/>
        <v>2015</v>
      </c>
      <c r="E1660" t="s">
        <v>38</v>
      </c>
      <c r="F1660" t="s">
        <v>143</v>
      </c>
      <c r="G1660" t="s">
        <v>86</v>
      </c>
      <c r="H1660" s="72" t="s">
        <v>217</v>
      </c>
      <c r="I1660" s="72" t="s">
        <v>59</v>
      </c>
      <c r="J1660" t="str">
        <f t="shared" si="94"/>
        <v>Cascade River</v>
      </c>
      <c r="K1660" t="str">
        <f>IFERROR(VLOOKUP(J1660,LUTs!$A$1:$C$73,2,FALSE),"NA")</f>
        <v>Skagit</v>
      </c>
      <c r="L1660" t="str">
        <f>IFERROR(VLOOKUP(J1660,LUTs!$A$1:$C$73,3,FALSE),"NA")</f>
        <v>1North Puget Sound</v>
      </c>
      <c r="M1660" s="72" t="s">
        <v>16</v>
      </c>
      <c r="N1660" t="str">
        <f>VLOOKUP(M1660,LUTs!E$2:H$14,3,)</f>
        <v>03Snohomish</v>
      </c>
      <c r="O1660" t="str">
        <f>VLOOKUP(M1660,LUTs!E$2:H$14,4,)</f>
        <v>01North Puget Sound</v>
      </c>
      <c r="P1660" s="80">
        <v>13.3333333333333</v>
      </c>
      <c r="Q1660" s="103">
        <v>6.6666666666666696</v>
      </c>
      <c r="R1660" s="74">
        <f>VLOOKUP(B1660,Readme!A$40:C$52,3,)*Q1660</f>
        <v>123.66666666666673</v>
      </c>
    </row>
    <row r="1661" spans="1:18" ht="12" customHeight="1" x14ac:dyDescent="0.35">
      <c r="A1661" s="75">
        <v>1629</v>
      </c>
      <c r="B1661" s="80">
        <v>2015</v>
      </c>
      <c r="C1661" s="80">
        <v>12</v>
      </c>
      <c r="D1661" s="80">
        <f t="shared" si="90"/>
        <v>2015</v>
      </c>
      <c r="E1661" t="s">
        <v>38</v>
      </c>
      <c r="F1661" t="s">
        <v>143</v>
      </c>
      <c r="G1661" t="s">
        <v>86</v>
      </c>
      <c r="H1661" s="72" t="s">
        <v>217</v>
      </c>
      <c r="I1661" s="72" t="s">
        <v>59</v>
      </c>
      <c r="J1661" t="str">
        <f t="shared" si="94"/>
        <v>Cascade River</v>
      </c>
      <c r="K1661" t="str">
        <f>IFERROR(VLOOKUP(J1661,LUTs!$A$1:$C$73,2,FALSE),"NA")</f>
        <v>Skagit</v>
      </c>
      <c r="L1661" t="str">
        <f>IFERROR(VLOOKUP(J1661,LUTs!$A$1:$C$73,3,FALSE),"NA")</f>
        <v>1North Puget Sound</v>
      </c>
      <c r="M1661" s="72" t="s">
        <v>13</v>
      </c>
      <c r="N1661" t="str">
        <f>VLOOKUP(M1661,LUTs!E$2:H$14,3,)</f>
        <v>01Whatcom</v>
      </c>
      <c r="O1661" t="str">
        <f>VLOOKUP(M1661,LUTs!E$2:H$14,4,)</f>
        <v>01North Puget Sound</v>
      </c>
      <c r="P1661" s="80">
        <v>6.6666666666666696</v>
      </c>
      <c r="Q1661" s="103">
        <v>3.3333333333333299</v>
      </c>
      <c r="R1661" s="74">
        <f>VLOOKUP(B1661,Readme!A$40:C$52,3,)*Q1661</f>
        <v>61.833333333333272</v>
      </c>
    </row>
    <row r="1662" spans="1:18" ht="12" customHeight="1" x14ac:dyDescent="0.35">
      <c r="A1662" s="75">
        <v>1582</v>
      </c>
      <c r="B1662" s="80">
        <v>2015</v>
      </c>
      <c r="C1662" s="80">
        <v>12</v>
      </c>
      <c r="D1662" s="80">
        <f t="shared" si="90"/>
        <v>2015</v>
      </c>
      <c r="E1662" t="s">
        <v>38</v>
      </c>
      <c r="F1662" t="s">
        <v>143</v>
      </c>
      <c r="G1662" t="s">
        <v>86</v>
      </c>
      <c r="H1662" s="72" t="s">
        <v>201</v>
      </c>
      <c r="I1662" s="72" t="s">
        <v>43</v>
      </c>
      <c r="J1662" t="str">
        <f t="shared" si="94"/>
        <v>Dungeness River</v>
      </c>
      <c r="K1662" t="str">
        <f>IFERROR(VLOOKUP(J1662,LUTs!$A$1:$C$73,2,FALSE),"NA")</f>
        <v>Clallam</v>
      </c>
      <c r="L1662" t="str">
        <f>IFERROR(VLOOKUP(J1662,LUTs!$A$1:$C$73,3,FALSE),"NA")</f>
        <v>0Strait of Juan de Fuca</v>
      </c>
      <c r="M1662" s="72" t="s">
        <v>24</v>
      </c>
      <c r="N1662" t="str">
        <f>VLOOKUP(M1662,LUTs!E$2:H$14,3,)</f>
        <v>11Clallam</v>
      </c>
      <c r="O1662" t="str">
        <f>VLOOKUP(M1662,LUTs!E$2:H$14,4,)</f>
        <v>03Strait of Juan de Fuca</v>
      </c>
      <c r="P1662" s="80">
        <v>6</v>
      </c>
      <c r="Q1662" s="103">
        <v>3</v>
      </c>
      <c r="R1662" s="74">
        <f>VLOOKUP(B1662,Readme!A$40:C$52,3,)*Q1662</f>
        <v>55.650000000000006</v>
      </c>
    </row>
    <row r="1663" spans="1:18" ht="12" customHeight="1" x14ac:dyDescent="0.35">
      <c r="A1663" s="75">
        <v>1595</v>
      </c>
      <c r="B1663" s="80">
        <v>2015</v>
      </c>
      <c r="C1663" s="80">
        <v>12</v>
      </c>
      <c r="D1663" s="80">
        <f t="shared" si="90"/>
        <v>2015</v>
      </c>
      <c r="E1663" t="s">
        <v>38</v>
      </c>
      <c r="F1663" t="s">
        <v>143</v>
      </c>
      <c r="G1663" t="s">
        <v>86</v>
      </c>
      <c r="H1663" s="72" t="s">
        <v>203</v>
      </c>
      <c r="I1663" s="72" t="s">
        <v>89</v>
      </c>
      <c r="J1663" s="84" t="s">
        <v>45</v>
      </c>
      <c r="K1663" t="str">
        <f>IFERROR(VLOOKUP(J1663,LUTs!$A$1:$C$73,2,FALSE),"NA")</f>
        <v>King</v>
      </c>
      <c r="L1663" t="str">
        <f>IFERROR(VLOOKUP(J1663,LUTs!$A$1:$C$73,3,FALSE),"NA")</f>
        <v>3South Puget Sound</v>
      </c>
      <c r="M1663" s="72" t="s">
        <v>18</v>
      </c>
      <c r="N1663" t="str">
        <f>VLOOKUP(M1663,LUTs!E$2:H$14,3,)</f>
        <v>06King</v>
      </c>
      <c r="O1663" t="str">
        <f>VLOOKUP(M1663,LUTs!E$2:H$14,4,)</f>
        <v>02South Puget Sound</v>
      </c>
      <c r="P1663" s="80">
        <v>19.5</v>
      </c>
      <c r="Q1663" s="103">
        <v>9.75</v>
      </c>
      <c r="R1663" s="74">
        <f>VLOOKUP(B1663,Readme!A$40:C$52,3,)*Q1663</f>
        <v>180.86250000000001</v>
      </c>
    </row>
    <row r="1664" spans="1:18" ht="12" customHeight="1" x14ac:dyDescent="0.35">
      <c r="A1664" s="75">
        <v>1596</v>
      </c>
      <c r="B1664" s="80">
        <v>2015</v>
      </c>
      <c r="C1664" s="80">
        <v>12</v>
      </c>
      <c r="D1664" s="80">
        <f t="shared" si="90"/>
        <v>2015</v>
      </c>
      <c r="E1664" t="s">
        <v>38</v>
      </c>
      <c r="F1664" t="s">
        <v>143</v>
      </c>
      <c r="G1664" t="s">
        <v>86</v>
      </c>
      <c r="H1664" s="72" t="s">
        <v>203</v>
      </c>
      <c r="I1664" s="72" t="s">
        <v>89</v>
      </c>
      <c r="J1664" s="84" t="s">
        <v>45</v>
      </c>
      <c r="K1664" t="str">
        <f>IFERROR(VLOOKUP(J1664,LUTs!$A$1:$C$73,2,FALSE),"NA")</f>
        <v>King</v>
      </c>
      <c r="L1664" t="str">
        <f>IFERROR(VLOOKUP(J1664,LUTs!$A$1:$C$73,3,FALSE),"NA")</f>
        <v>3South Puget Sound</v>
      </c>
      <c r="M1664" s="72" t="s">
        <v>26</v>
      </c>
      <c r="N1664" t="str">
        <f>VLOOKUP(M1664,LUTs!E$2:H$14,3,)</f>
        <v>20Other</v>
      </c>
      <c r="O1664" t="str">
        <f>VLOOKUP(M1664,LUTs!E$2:H$14,4,)</f>
        <v>07Non Puget Sound</v>
      </c>
      <c r="P1664" s="80">
        <v>6.5</v>
      </c>
      <c r="Q1664" s="103">
        <v>3.25</v>
      </c>
      <c r="R1664" s="74">
        <f>VLOOKUP(B1664,Readme!A$40:C$52,3,)*Q1664</f>
        <v>60.287500000000001</v>
      </c>
    </row>
    <row r="1665" spans="1:18" ht="12" customHeight="1" x14ac:dyDescent="0.35">
      <c r="A1665" s="75">
        <v>1602</v>
      </c>
      <c r="B1665" s="80">
        <v>2015</v>
      </c>
      <c r="C1665" s="80">
        <v>12</v>
      </c>
      <c r="D1665" s="80">
        <f t="shared" si="90"/>
        <v>2015</v>
      </c>
      <c r="E1665" t="s">
        <v>38</v>
      </c>
      <c r="F1665" t="s">
        <v>143</v>
      </c>
      <c r="G1665" t="s">
        <v>86</v>
      </c>
      <c r="H1665" s="72" t="s">
        <v>204</v>
      </c>
      <c r="I1665" s="72" t="s">
        <v>46</v>
      </c>
      <c r="J1665" t="str">
        <f t="shared" ref="J1665:J1703" si="95">I1665</f>
        <v>Hoko River</v>
      </c>
      <c r="K1665" t="str">
        <f>IFERROR(VLOOKUP(J1665,LUTs!$A$1:$C$73,2,FALSE),"NA")</f>
        <v>Clallam</v>
      </c>
      <c r="L1665" t="str">
        <f>IFERROR(VLOOKUP(J1665,LUTs!$A$1:$C$73,3,FALSE),"NA")</f>
        <v>0Strait of Juan de Fuca</v>
      </c>
      <c r="M1665" s="72" t="s">
        <v>24</v>
      </c>
      <c r="N1665" t="str">
        <f>VLOOKUP(M1665,LUTs!E$2:H$14,3,)</f>
        <v>11Clallam</v>
      </c>
      <c r="O1665" t="str">
        <f>VLOOKUP(M1665,LUTs!E$2:H$14,4,)</f>
        <v>03Strait of Juan de Fuca</v>
      </c>
      <c r="P1665" s="80">
        <v>80.8888888888889</v>
      </c>
      <c r="Q1665" s="103">
        <v>40.4444444444444</v>
      </c>
      <c r="R1665" s="74">
        <f>VLOOKUP(B1665,Readme!A$40:C$52,3,)*Q1665</f>
        <v>750.24444444444362</v>
      </c>
    </row>
    <row r="1666" spans="1:18" ht="12" customHeight="1" x14ac:dyDescent="0.35">
      <c r="A1666" s="75">
        <v>1603</v>
      </c>
      <c r="B1666" s="80">
        <v>2015</v>
      </c>
      <c r="C1666" s="80">
        <v>12</v>
      </c>
      <c r="D1666" s="80">
        <f t="shared" ref="D1666:D1729" si="96">IF(C1666&gt;3,B1666,B1666-1)</f>
        <v>2015</v>
      </c>
      <c r="E1666" t="s">
        <v>38</v>
      </c>
      <c r="F1666" t="s">
        <v>143</v>
      </c>
      <c r="G1666" t="s">
        <v>86</v>
      </c>
      <c r="H1666" s="72" t="s">
        <v>204</v>
      </c>
      <c r="I1666" s="72" t="s">
        <v>46</v>
      </c>
      <c r="J1666" t="str">
        <f t="shared" si="95"/>
        <v>Hoko River</v>
      </c>
      <c r="K1666" t="str">
        <f>IFERROR(VLOOKUP(J1666,LUTs!$A$1:$C$73,2,FALSE),"NA")</f>
        <v>Clallam</v>
      </c>
      <c r="L1666" t="str">
        <f>IFERROR(VLOOKUP(J1666,LUTs!$A$1:$C$73,3,FALSE),"NA")</f>
        <v>0Strait of Juan de Fuca</v>
      </c>
      <c r="M1666" s="72" t="s">
        <v>17</v>
      </c>
      <c r="N1666" t="str">
        <f>VLOOKUP(M1666,LUTs!E$2:H$14,3,)</f>
        <v>04Island</v>
      </c>
      <c r="O1666" t="str">
        <f>VLOOKUP(M1666,LUTs!E$2:H$14,4,)</f>
        <v>01North Puget Sound</v>
      </c>
      <c r="P1666" s="80">
        <v>6.7407407407407396</v>
      </c>
      <c r="Q1666" s="103">
        <v>3.3703703703703698</v>
      </c>
      <c r="R1666" s="74">
        <f>VLOOKUP(B1666,Readme!A$40:C$52,3,)*Q1666</f>
        <v>62.520370370370365</v>
      </c>
    </row>
    <row r="1667" spans="1:18" ht="12" customHeight="1" x14ac:dyDescent="0.35">
      <c r="A1667" s="75">
        <v>1604</v>
      </c>
      <c r="B1667" s="80">
        <v>2015</v>
      </c>
      <c r="C1667" s="80">
        <v>12</v>
      </c>
      <c r="D1667" s="80">
        <f t="shared" si="96"/>
        <v>2015</v>
      </c>
      <c r="E1667" t="s">
        <v>38</v>
      </c>
      <c r="F1667" t="s">
        <v>143</v>
      </c>
      <c r="G1667" t="s">
        <v>86</v>
      </c>
      <c r="H1667" s="72" t="s">
        <v>204</v>
      </c>
      <c r="I1667" s="72" t="s">
        <v>46</v>
      </c>
      <c r="J1667" t="str">
        <f t="shared" si="95"/>
        <v>Hoko River</v>
      </c>
      <c r="K1667" t="str">
        <f>IFERROR(VLOOKUP(J1667,LUTs!$A$1:$C$73,2,FALSE),"NA")</f>
        <v>Clallam</v>
      </c>
      <c r="L1667" t="str">
        <f>IFERROR(VLOOKUP(J1667,LUTs!$A$1:$C$73,3,FALSE),"NA")</f>
        <v>0Strait of Juan de Fuca</v>
      </c>
      <c r="M1667" s="72" t="s">
        <v>18</v>
      </c>
      <c r="N1667" t="str">
        <f>VLOOKUP(M1667,LUTs!E$2:H$14,3,)</f>
        <v>06King</v>
      </c>
      <c r="O1667" t="str">
        <f>VLOOKUP(M1667,LUTs!E$2:H$14,4,)</f>
        <v>02South Puget Sound</v>
      </c>
      <c r="P1667" s="80">
        <v>40.4444444444444</v>
      </c>
      <c r="Q1667" s="103">
        <v>20.2222222222222</v>
      </c>
      <c r="R1667" s="74">
        <f>VLOOKUP(B1667,Readme!A$40:C$52,3,)*Q1667</f>
        <v>375.12222222222181</v>
      </c>
    </row>
    <row r="1668" spans="1:18" ht="12" customHeight="1" x14ac:dyDescent="0.35">
      <c r="A1668" s="75">
        <v>1605</v>
      </c>
      <c r="B1668" s="80">
        <v>2015</v>
      </c>
      <c r="C1668" s="80">
        <v>12</v>
      </c>
      <c r="D1668" s="80">
        <f t="shared" si="96"/>
        <v>2015</v>
      </c>
      <c r="E1668" t="s">
        <v>38</v>
      </c>
      <c r="F1668" t="s">
        <v>143</v>
      </c>
      <c r="G1668" t="s">
        <v>86</v>
      </c>
      <c r="H1668" s="72" t="s">
        <v>204</v>
      </c>
      <c r="I1668" s="72" t="s">
        <v>46</v>
      </c>
      <c r="J1668" t="str">
        <f t="shared" si="95"/>
        <v>Hoko River</v>
      </c>
      <c r="K1668" t="str">
        <f>IFERROR(VLOOKUP(J1668,LUTs!$A$1:$C$73,2,FALSE),"NA")</f>
        <v>Clallam</v>
      </c>
      <c r="L1668" t="str">
        <f>IFERROR(VLOOKUP(J1668,LUTs!$A$1:$C$73,3,FALSE),"NA")</f>
        <v>0Strait of Juan de Fuca</v>
      </c>
      <c r="M1668" s="72" t="s">
        <v>23</v>
      </c>
      <c r="N1668" t="str">
        <f>VLOOKUP(M1668,LUTs!E$2:H$14,3,)</f>
        <v>10Kitsap</v>
      </c>
      <c r="O1668" t="str">
        <f>VLOOKUP(M1668,LUTs!E$2:H$14,4,)</f>
        <v>02South Puget Sound</v>
      </c>
      <c r="P1668" s="80">
        <v>6.7407407407407396</v>
      </c>
      <c r="Q1668" s="103">
        <v>3.3703703703703698</v>
      </c>
      <c r="R1668" s="74">
        <f>VLOOKUP(B1668,Readme!A$40:C$52,3,)*Q1668</f>
        <v>62.520370370370365</v>
      </c>
    </row>
    <row r="1669" spans="1:18" ht="12" customHeight="1" x14ac:dyDescent="0.35">
      <c r="A1669" s="75">
        <v>1606</v>
      </c>
      <c r="B1669" s="80">
        <v>2015</v>
      </c>
      <c r="C1669" s="80">
        <v>12</v>
      </c>
      <c r="D1669" s="80">
        <f t="shared" si="96"/>
        <v>2015</v>
      </c>
      <c r="E1669" t="s">
        <v>38</v>
      </c>
      <c r="F1669" t="s">
        <v>143</v>
      </c>
      <c r="G1669" t="s">
        <v>86</v>
      </c>
      <c r="H1669" s="72" t="s">
        <v>204</v>
      </c>
      <c r="I1669" s="72" t="s">
        <v>46</v>
      </c>
      <c r="J1669" t="str">
        <f t="shared" si="95"/>
        <v>Hoko River</v>
      </c>
      <c r="K1669" t="str">
        <f>IFERROR(VLOOKUP(J1669,LUTs!$A$1:$C$73,2,FALSE),"NA")</f>
        <v>Clallam</v>
      </c>
      <c r="L1669" t="str">
        <f>IFERROR(VLOOKUP(J1669,LUTs!$A$1:$C$73,3,FALSE),"NA")</f>
        <v>0Strait of Juan de Fuca</v>
      </c>
      <c r="M1669" s="72" t="s">
        <v>20</v>
      </c>
      <c r="N1669" t="str">
        <f>VLOOKUP(M1669,LUTs!E$2:H$14,3,)</f>
        <v>07Pierce</v>
      </c>
      <c r="O1669" t="str">
        <f>VLOOKUP(M1669,LUTs!E$2:H$14,4,)</f>
        <v>02South Puget Sound</v>
      </c>
      <c r="P1669" s="80">
        <v>40.4444444444444</v>
      </c>
      <c r="Q1669" s="103">
        <v>20.2222222222222</v>
      </c>
      <c r="R1669" s="74">
        <f>VLOOKUP(B1669,Readme!A$40:C$52,3,)*Q1669</f>
        <v>375.12222222222181</v>
      </c>
    </row>
    <row r="1670" spans="1:18" ht="12" customHeight="1" x14ac:dyDescent="0.35">
      <c r="A1670" s="75">
        <v>1607</v>
      </c>
      <c r="B1670" s="80">
        <v>2015</v>
      </c>
      <c r="C1670" s="80">
        <v>12</v>
      </c>
      <c r="D1670" s="80">
        <f t="shared" si="96"/>
        <v>2015</v>
      </c>
      <c r="E1670" t="s">
        <v>38</v>
      </c>
      <c r="F1670" t="s">
        <v>143</v>
      </c>
      <c r="G1670" t="s">
        <v>86</v>
      </c>
      <c r="H1670" s="72" t="s">
        <v>204</v>
      </c>
      <c r="I1670" s="72" t="s">
        <v>46</v>
      </c>
      <c r="J1670" t="str">
        <f t="shared" si="95"/>
        <v>Hoko River</v>
      </c>
      <c r="K1670" t="str">
        <f>IFERROR(VLOOKUP(J1670,LUTs!$A$1:$C$73,2,FALSE),"NA")</f>
        <v>Clallam</v>
      </c>
      <c r="L1670" t="str">
        <f>IFERROR(VLOOKUP(J1670,LUTs!$A$1:$C$73,3,FALSE),"NA")</f>
        <v>0Strait of Juan de Fuca</v>
      </c>
      <c r="M1670" s="72" t="s">
        <v>16</v>
      </c>
      <c r="N1670" t="str">
        <f>VLOOKUP(M1670,LUTs!E$2:H$14,3,)</f>
        <v>03Snohomish</v>
      </c>
      <c r="O1670" t="str">
        <f>VLOOKUP(M1670,LUTs!E$2:H$14,4,)</f>
        <v>01North Puget Sound</v>
      </c>
      <c r="P1670" s="80">
        <v>6.7407407407407396</v>
      </c>
      <c r="Q1670" s="103">
        <v>3.3703703703703698</v>
      </c>
      <c r="R1670" s="74">
        <f>VLOOKUP(B1670,Readme!A$40:C$52,3,)*Q1670</f>
        <v>62.520370370370365</v>
      </c>
    </row>
    <row r="1671" spans="1:18" ht="12" customHeight="1" x14ac:dyDescent="0.35">
      <c r="A1671" s="75">
        <v>1611</v>
      </c>
      <c r="B1671" s="80">
        <v>2015</v>
      </c>
      <c r="C1671" s="80">
        <v>12</v>
      </c>
      <c r="D1671" s="80">
        <f t="shared" si="96"/>
        <v>2015</v>
      </c>
      <c r="E1671" t="s">
        <v>38</v>
      </c>
      <c r="F1671" t="s">
        <v>143</v>
      </c>
      <c r="G1671" t="s">
        <v>86</v>
      </c>
      <c r="H1671" s="72" t="s">
        <v>238</v>
      </c>
      <c r="I1671" s="72" t="s">
        <v>91</v>
      </c>
      <c r="J1671" t="str">
        <f t="shared" si="95"/>
        <v>Morse Creek (Clallam Co.)</v>
      </c>
      <c r="K1671" t="str">
        <f>IFERROR(VLOOKUP(J1671,LUTs!$A$1:$C$73,2,FALSE),"NA")</f>
        <v>Clallam</v>
      </c>
      <c r="L1671" t="str">
        <f>IFERROR(VLOOKUP(J1671,LUTs!$A$1:$C$73,3,FALSE),"NA")</f>
        <v>0Strait of Juan de Fuca</v>
      </c>
      <c r="M1671" s="72" t="s">
        <v>24</v>
      </c>
      <c r="N1671" t="str">
        <f>VLOOKUP(M1671,LUTs!E$2:H$14,3,)</f>
        <v>11Clallam</v>
      </c>
      <c r="O1671" t="str">
        <f>VLOOKUP(M1671,LUTs!E$2:H$14,4,)</f>
        <v>03Strait of Juan de Fuca</v>
      </c>
      <c r="P1671" s="80">
        <v>26</v>
      </c>
      <c r="Q1671" s="103">
        <v>13</v>
      </c>
      <c r="R1671" s="74">
        <f>VLOOKUP(B1671,Readme!A$40:C$52,3,)*Q1671</f>
        <v>241.15</v>
      </c>
    </row>
    <row r="1672" spans="1:18" ht="12" customHeight="1" x14ac:dyDescent="0.35">
      <c r="A1672" s="75">
        <v>1615</v>
      </c>
      <c r="B1672" s="80">
        <v>2015</v>
      </c>
      <c r="C1672" s="80">
        <v>12</v>
      </c>
      <c r="D1672" s="80">
        <f t="shared" si="96"/>
        <v>2015</v>
      </c>
      <c r="E1672" t="s">
        <v>38</v>
      </c>
      <c r="F1672" t="s">
        <v>143</v>
      </c>
      <c r="G1672" t="s">
        <v>86</v>
      </c>
      <c r="H1672" s="72" t="s">
        <v>241</v>
      </c>
      <c r="I1672" s="72" t="s">
        <v>83</v>
      </c>
      <c r="J1672" t="str">
        <f t="shared" si="95"/>
        <v>Nooksack River, below North Fork</v>
      </c>
      <c r="K1672" t="str">
        <f>IFERROR(VLOOKUP(J1672,LUTs!$A$1:$C$73,2,FALSE),"NA")</f>
        <v>Whatcom</v>
      </c>
      <c r="L1672" t="str">
        <f>IFERROR(VLOOKUP(J1672,LUTs!$A$1:$C$73,3,FALSE),"NA")</f>
        <v>1North Puget Sound</v>
      </c>
      <c r="M1672" s="72" t="s">
        <v>13</v>
      </c>
      <c r="N1672" t="str">
        <f>VLOOKUP(M1672,LUTs!E$2:H$14,3,)</f>
        <v>01Whatcom</v>
      </c>
      <c r="O1672" t="str">
        <f>VLOOKUP(M1672,LUTs!E$2:H$14,4,)</f>
        <v>01North Puget Sound</v>
      </c>
      <c r="P1672" s="80">
        <v>6</v>
      </c>
      <c r="Q1672" s="103">
        <v>3</v>
      </c>
      <c r="R1672" s="74">
        <f>VLOOKUP(B1672,Readme!A$40:C$52,3,)*Q1672</f>
        <v>55.650000000000006</v>
      </c>
    </row>
    <row r="1673" spans="1:18" ht="12" customHeight="1" x14ac:dyDescent="0.35">
      <c r="A1673" s="75">
        <v>1618</v>
      </c>
      <c r="B1673" s="80">
        <v>2015</v>
      </c>
      <c r="C1673" s="80">
        <v>12</v>
      </c>
      <c r="D1673" s="80">
        <f t="shared" si="96"/>
        <v>2015</v>
      </c>
      <c r="E1673" t="s">
        <v>38</v>
      </c>
      <c r="F1673" t="s">
        <v>143</v>
      </c>
      <c r="G1673" t="s">
        <v>86</v>
      </c>
      <c r="H1673" s="72" t="s">
        <v>212</v>
      </c>
      <c r="I1673" s="72" t="s">
        <v>54</v>
      </c>
      <c r="J1673" t="str">
        <f t="shared" si="95"/>
        <v>Puyallup River</v>
      </c>
      <c r="K1673" t="str">
        <f>IFERROR(VLOOKUP(J1673,LUTs!$A$1:$C$73,2,FALSE),"NA")</f>
        <v>Pierce</v>
      </c>
      <c r="L1673" t="str">
        <f>IFERROR(VLOOKUP(J1673,LUTs!$A$1:$C$73,3,FALSE),"NA")</f>
        <v>3South Puget Sound</v>
      </c>
      <c r="M1673" s="72" t="s">
        <v>20</v>
      </c>
      <c r="N1673" t="str">
        <f>VLOOKUP(M1673,LUTs!E$2:H$14,3,)</f>
        <v>07Pierce</v>
      </c>
      <c r="O1673" t="str">
        <f>VLOOKUP(M1673,LUTs!E$2:H$14,4,)</f>
        <v>02South Puget Sound</v>
      </c>
      <c r="P1673" s="80">
        <v>14</v>
      </c>
      <c r="Q1673" s="103">
        <v>7</v>
      </c>
      <c r="R1673" s="74">
        <f>VLOOKUP(B1673,Readme!A$40:C$52,3,)*Q1673</f>
        <v>129.85</v>
      </c>
    </row>
    <row r="1674" spans="1:18" ht="12" customHeight="1" x14ac:dyDescent="0.35">
      <c r="A1674" s="75">
        <v>1619</v>
      </c>
      <c r="B1674" s="80">
        <v>2015</v>
      </c>
      <c r="C1674" s="80">
        <v>12</v>
      </c>
      <c r="D1674" s="80">
        <f t="shared" si="96"/>
        <v>2015</v>
      </c>
      <c r="E1674" t="s">
        <v>38</v>
      </c>
      <c r="F1674" t="s">
        <v>143</v>
      </c>
      <c r="G1674" t="s">
        <v>86</v>
      </c>
      <c r="H1674" s="72" t="s">
        <v>243</v>
      </c>
      <c r="I1674" s="72" t="s">
        <v>94</v>
      </c>
      <c r="J1674" t="str">
        <f t="shared" si="95"/>
        <v>Salt Creek (Clallam Co.)</v>
      </c>
      <c r="K1674" t="str">
        <f>IFERROR(VLOOKUP(J1674,LUTs!$A$1:$C$73,2,FALSE),"NA")</f>
        <v>Clallam</v>
      </c>
      <c r="L1674" t="str">
        <f>IFERROR(VLOOKUP(J1674,LUTs!$A$1:$C$73,3,FALSE),"NA")</f>
        <v>0Strait of Juan de Fuca</v>
      </c>
      <c r="M1674" s="72" t="s">
        <v>16</v>
      </c>
      <c r="N1674" t="str">
        <f>VLOOKUP(M1674,LUTs!E$2:H$14,3,)</f>
        <v>03Snohomish</v>
      </c>
      <c r="O1674" t="str">
        <f>VLOOKUP(M1674,LUTs!E$2:H$14,4,)</f>
        <v>01North Puget Sound</v>
      </c>
      <c r="P1674" s="80">
        <v>14</v>
      </c>
      <c r="Q1674" s="103">
        <v>7</v>
      </c>
      <c r="R1674" s="74">
        <f>VLOOKUP(B1674,Readme!A$40:C$52,3,)*Q1674</f>
        <v>129.85</v>
      </c>
    </row>
    <row r="1675" spans="1:18" ht="12" customHeight="1" x14ac:dyDescent="0.35">
      <c r="A1675" s="75">
        <v>1620</v>
      </c>
      <c r="B1675" s="80">
        <v>2015</v>
      </c>
      <c r="C1675" s="80">
        <v>12</v>
      </c>
      <c r="D1675" s="80">
        <f t="shared" si="96"/>
        <v>2015</v>
      </c>
      <c r="E1675" t="s">
        <v>38</v>
      </c>
      <c r="F1675" t="s">
        <v>143</v>
      </c>
      <c r="G1675" t="s">
        <v>86</v>
      </c>
      <c r="H1675" s="72" t="s">
        <v>244</v>
      </c>
      <c r="I1675" s="72" t="s">
        <v>95</v>
      </c>
      <c r="J1675" t="str">
        <f t="shared" si="95"/>
        <v>Sekiu River</v>
      </c>
      <c r="K1675" t="str">
        <f>IFERROR(VLOOKUP(J1675,LUTs!$A$1:$C$73,2,FALSE),"NA")</f>
        <v>Clallam</v>
      </c>
      <c r="L1675" t="str">
        <f>IFERROR(VLOOKUP(J1675,LUTs!$A$1:$C$73,3,FALSE),"NA")</f>
        <v>0Strait of Juan de Fuca</v>
      </c>
      <c r="M1675" s="72" t="s">
        <v>24</v>
      </c>
      <c r="N1675" t="str">
        <f>VLOOKUP(M1675,LUTs!E$2:H$14,3,)</f>
        <v>11Clallam</v>
      </c>
      <c r="O1675" t="str">
        <f>VLOOKUP(M1675,LUTs!E$2:H$14,4,)</f>
        <v>03Strait of Juan de Fuca</v>
      </c>
      <c r="P1675" s="80">
        <v>6</v>
      </c>
      <c r="Q1675" s="103">
        <v>3</v>
      </c>
      <c r="R1675" s="74">
        <f>VLOOKUP(B1675,Readme!A$40:C$52,3,)*Q1675</f>
        <v>55.650000000000006</v>
      </c>
    </row>
    <row r="1676" spans="1:18" ht="12" customHeight="1" x14ac:dyDescent="0.35">
      <c r="A1676" s="75">
        <v>1656</v>
      </c>
      <c r="B1676" s="80">
        <v>2015</v>
      </c>
      <c r="C1676" s="80">
        <v>12</v>
      </c>
      <c r="D1676" s="80">
        <f t="shared" si="96"/>
        <v>2015</v>
      </c>
      <c r="E1676" t="s">
        <v>38</v>
      </c>
      <c r="F1676" t="s">
        <v>143</v>
      </c>
      <c r="G1676" t="s">
        <v>86</v>
      </c>
      <c r="H1676" s="72" t="s">
        <v>220</v>
      </c>
      <c r="I1676" s="72" t="s">
        <v>62</v>
      </c>
      <c r="J1676" t="str">
        <f t="shared" si="95"/>
        <v>Skykomish River</v>
      </c>
      <c r="K1676" t="str">
        <f>IFERROR(VLOOKUP(J1676,LUTs!$A$1:$C$73,2,FALSE),"NA")</f>
        <v>Snohomish</v>
      </c>
      <c r="L1676" t="str">
        <f>IFERROR(VLOOKUP(J1676,LUTs!$A$1:$C$73,3,FALSE),"NA")</f>
        <v>2Central Puget Sound</v>
      </c>
      <c r="M1676" s="72" t="s">
        <v>17</v>
      </c>
      <c r="N1676" t="str">
        <f>VLOOKUP(M1676,LUTs!E$2:H$14,3,)</f>
        <v>04Island</v>
      </c>
      <c r="O1676" t="str">
        <f>VLOOKUP(M1676,LUTs!E$2:H$14,4,)</f>
        <v>01North Puget Sound</v>
      </c>
      <c r="P1676" s="80">
        <v>7.7934272300469498</v>
      </c>
      <c r="Q1676" s="103">
        <v>3.8967136150234798</v>
      </c>
      <c r="R1676" s="74">
        <f>VLOOKUP(B1676,Readme!A$40:C$52,3,)*Q1676</f>
        <v>72.284037558685554</v>
      </c>
    </row>
    <row r="1677" spans="1:18" ht="12" customHeight="1" x14ac:dyDescent="0.35">
      <c r="A1677" s="75">
        <v>1657</v>
      </c>
      <c r="B1677" s="80">
        <v>2015</v>
      </c>
      <c r="C1677" s="80">
        <v>12</v>
      </c>
      <c r="D1677" s="80">
        <f t="shared" si="96"/>
        <v>2015</v>
      </c>
      <c r="E1677" t="s">
        <v>38</v>
      </c>
      <c r="F1677" t="s">
        <v>143</v>
      </c>
      <c r="G1677" t="s">
        <v>86</v>
      </c>
      <c r="H1677" s="72" t="s">
        <v>220</v>
      </c>
      <c r="I1677" s="72" t="s">
        <v>62</v>
      </c>
      <c r="J1677" t="str">
        <f t="shared" si="95"/>
        <v>Skykomish River</v>
      </c>
      <c r="K1677" t="str">
        <f>IFERROR(VLOOKUP(J1677,LUTs!$A$1:$C$73,2,FALSE),"NA")</f>
        <v>Snohomish</v>
      </c>
      <c r="L1677" t="str">
        <f>IFERROR(VLOOKUP(J1677,LUTs!$A$1:$C$73,3,FALSE),"NA")</f>
        <v>2Central Puget Sound</v>
      </c>
      <c r="M1677" s="72" t="s">
        <v>18</v>
      </c>
      <c r="N1677" t="str">
        <f>VLOOKUP(M1677,LUTs!E$2:H$14,3,)</f>
        <v>06King</v>
      </c>
      <c r="O1677" t="str">
        <f>VLOOKUP(M1677,LUTs!E$2:H$14,4,)</f>
        <v>02South Puget Sound</v>
      </c>
      <c r="P1677" s="80">
        <v>732.58215962441295</v>
      </c>
      <c r="Q1677" s="103">
        <v>366.29107981220699</v>
      </c>
      <c r="R1677" s="74">
        <f>VLOOKUP(B1677,Readme!A$40:C$52,3,)*Q1677</f>
        <v>6794.6995305164401</v>
      </c>
    </row>
    <row r="1678" spans="1:18" ht="12" customHeight="1" x14ac:dyDescent="0.35">
      <c r="A1678" s="75">
        <v>1658</v>
      </c>
      <c r="B1678" s="80">
        <v>2015</v>
      </c>
      <c r="C1678" s="80">
        <v>12</v>
      </c>
      <c r="D1678" s="80">
        <f t="shared" si="96"/>
        <v>2015</v>
      </c>
      <c r="E1678" t="s">
        <v>38</v>
      </c>
      <c r="F1678" t="s">
        <v>143</v>
      </c>
      <c r="G1678" t="s">
        <v>86</v>
      </c>
      <c r="H1678" s="72" t="s">
        <v>220</v>
      </c>
      <c r="I1678" s="72" t="s">
        <v>62</v>
      </c>
      <c r="J1678" t="str">
        <f t="shared" si="95"/>
        <v>Skykomish River</v>
      </c>
      <c r="K1678" t="str">
        <f>IFERROR(VLOOKUP(J1678,LUTs!$A$1:$C$73,2,FALSE),"NA")</f>
        <v>Snohomish</v>
      </c>
      <c r="L1678" t="str">
        <f>IFERROR(VLOOKUP(J1678,LUTs!$A$1:$C$73,3,FALSE),"NA")</f>
        <v>2Central Puget Sound</v>
      </c>
      <c r="M1678" s="72" t="s">
        <v>23</v>
      </c>
      <c r="N1678" t="str">
        <f>VLOOKUP(M1678,LUTs!E$2:H$14,3,)</f>
        <v>10Kitsap</v>
      </c>
      <c r="O1678" t="str">
        <f>VLOOKUP(M1678,LUTs!E$2:H$14,4,)</f>
        <v>02South Puget Sound</v>
      </c>
      <c r="P1678" s="80">
        <v>31.173708920187799</v>
      </c>
      <c r="Q1678" s="103">
        <v>15.5868544600939</v>
      </c>
      <c r="R1678" s="74">
        <f>VLOOKUP(B1678,Readme!A$40:C$52,3,)*Q1678</f>
        <v>289.13615023474188</v>
      </c>
    </row>
    <row r="1679" spans="1:18" ht="12" customHeight="1" x14ac:dyDescent="0.35">
      <c r="A1679" s="75">
        <v>1659</v>
      </c>
      <c r="B1679" s="80">
        <v>2015</v>
      </c>
      <c r="C1679" s="80">
        <v>12</v>
      </c>
      <c r="D1679" s="80">
        <f t="shared" si="96"/>
        <v>2015</v>
      </c>
      <c r="E1679" t="s">
        <v>38</v>
      </c>
      <c r="F1679" t="s">
        <v>143</v>
      </c>
      <c r="G1679" t="s">
        <v>86</v>
      </c>
      <c r="H1679" s="72" t="s">
        <v>220</v>
      </c>
      <c r="I1679" s="72" t="s">
        <v>62</v>
      </c>
      <c r="J1679" t="str">
        <f t="shared" si="95"/>
        <v>Skykomish River</v>
      </c>
      <c r="K1679" t="str">
        <f>IFERROR(VLOOKUP(J1679,LUTs!$A$1:$C$73,2,FALSE),"NA")</f>
        <v>Snohomish</v>
      </c>
      <c r="L1679" t="str">
        <f>IFERROR(VLOOKUP(J1679,LUTs!$A$1:$C$73,3,FALSE),"NA")</f>
        <v>2Central Puget Sound</v>
      </c>
      <c r="M1679" s="72" t="s">
        <v>20</v>
      </c>
      <c r="N1679" t="str">
        <f>VLOOKUP(M1679,LUTs!E$2:H$14,3,)</f>
        <v>07Pierce</v>
      </c>
      <c r="O1679" t="str">
        <f>VLOOKUP(M1679,LUTs!E$2:H$14,4,)</f>
        <v>02South Puget Sound</v>
      </c>
      <c r="P1679" s="80">
        <v>7.7934272300469498</v>
      </c>
      <c r="Q1679" s="103">
        <v>3.8967136150234798</v>
      </c>
      <c r="R1679" s="74">
        <f>VLOOKUP(B1679,Readme!A$40:C$52,3,)*Q1679</f>
        <v>72.284037558685554</v>
      </c>
    </row>
    <row r="1680" spans="1:18" ht="12" customHeight="1" x14ac:dyDescent="0.35">
      <c r="A1680" s="75">
        <v>1660</v>
      </c>
      <c r="B1680" s="80">
        <v>2015</v>
      </c>
      <c r="C1680" s="80">
        <v>12</v>
      </c>
      <c r="D1680" s="80">
        <f t="shared" si="96"/>
        <v>2015</v>
      </c>
      <c r="E1680" t="s">
        <v>38</v>
      </c>
      <c r="F1680" t="s">
        <v>143</v>
      </c>
      <c r="G1680" t="s">
        <v>86</v>
      </c>
      <c r="H1680" s="72" t="s">
        <v>220</v>
      </c>
      <c r="I1680" s="72" t="s">
        <v>62</v>
      </c>
      <c r="J1680" t="str">
        <f t="shared" si="95"/>
        <v>Skykomish River</v>
      </c>
      <c r="K1680" t="str">
        <f>IFERROR(VLOOKUP(J1680,LUTs!$A$1:$C$73,2,FALSE),"NA")</f>
        <v>Snohomish</v>
      </c>
      <c r="L1680" t="str">
        <f>IFERROR(VLOOKUP(J1680,LUTs!$A$1:$C$73,3,FALSE),"NA")</f>
        <v>2Central Puget Sound</v>
      </c>
      <c r="M1680" s="72" t="s">
        <v>16</v>
      </c>
      <c r="N1680" t="str">
        <f>VLOOKUP(M1680,LUTs!E$2:H$14,3,)</f>
        <v>03Snohomish</v>
      </c>
      <c r="O1680" t="str">
        <f>VLOOKUP(M1680,LUTs!E$2:H$14,4,)</f>
        <v>01North Puget Sound</v>
      </c>
      <c r="P1680" s="80">
        <v>865.07042253521104</v>
      </c>
      <c r="Q1680" s="103">
        <v>432.53521126760597</v>
      </c>
      <c r="R1680" s="74">
        <f>VLOOKUP(B1680,Readme!A$40:C$52,3,)*Q1680</f>
        <v>8023.528169014091</v>
      </c>
    </row>
    <row r="1681" spans="1:18" ht="12" customHeight="1" x14ac:dyDescent="0.35">
      <c r="A1681" s="75">
        <v>1661</v>
      </c>
      <c r="B1681" s="80">
        <v>2015</v>
      </c>
      <c r="C1681" s="80">
        <v>12</v>
      </c>
      <c r="D1681" s="80">
        <f t="shared" si="96"/>
        <v>2015</v>
      </c>
      <c r="E1681" t="s">
        <v>38</v>
      </c>
      <c r="F1681" t="s">
        <v>143</v>
      </c>
      <c r="G1681" t="s">
        <v>86</v>
      </c>
      <c r="H1681" s="72" t="s">
        <v>220</v>
      </c>
      <c r="I1681" s="72" t="s">
        <v>62</v>
      </c>
      <c r="J1681" t="str">
        <f t="shared" si="95"/>
        <v>Skykomish River</v>
      </c>
      <c r="K1681" t="str">
        <f>IFERROR(VLOOKUP(J1681,LUTs!$A$1:$C$73,2,FALSE),"NA")</f>
        <v>Snohomish</v>
      </c>
      <c r="L1681" t="str">
        <f>IFERROR(VLOOKUP(J1681,LUTs!$A$1:$C$73,3,FALSE),"NA")</f>
        <v>2Central Puget Sound</v>
      </c>
      <c r="M1681" s="72" t="s">
        <v>13</v>
      </c>
      <c r="N1681" t="str">
        <f>VLOOKUP(M1681,LUTs!E$2:H$14,3,)</f>
        <v>01Whatcom</v>
      </c>
      <c r="O1681" t="str">
        <f>VLOOKUP(M1681,LUTs!E$2:H$14,4,)</f>
        <v>01North Puget Sound</v>
      </c>
      <c r="P1681" s="80">
        <v>15.5868544600939</v>
      </c>
      <c r="Q1681" s="103">
        <v>7.7934272300469498</v>
      </c>
      <c r="R1681" s="74">
        <f>VLOOKUP(B1681,Readme!A$40:C$52,3,)*Q1681</f>
        <v>144.56807511737094</v>
      </c>
    </row>
    <row r="1682" spans="1:18" ht="12" customHeight="1" x14ac:dyDescent="0.35">
      <c r="A1682" s="75">
        <v>1678</v>
      </c>
      <c r="B1682" s="80">
        <v>2015</v>
      </c>
      <c r="C1682" s="80">
        <v>12</v>
      </c>
      <c r="D1682" s="80">
        <f t="shared" si="96"/>
        <v>2015</v>
      </c>
      <c r="E1682" t="s">
        <v>38</v>
      </c>
      <c r="F1682" t="s">
        <v>143</v>
      </c>
      <c r="G1682" t="s">
        <v>86</v>
      </c>
      <c r="H1682" s="72" t="s">
        <v>248</v>
      </c>
      <c r="I1682" s="72" t="s">
        <v>99</v>
      </c>
      <c r="J1682" t="str">
        <f t="shared" si="95"/>
        <v>Skykomish River, So. Fork</v>
      </c>
      <c r="K1682" t="str">
        <f>IFERROR(VLOOKUP(J1682,LUTs!$A$1:$C$73,2,FALSE),"NA")</f>
        <v>Snohomish/King</v>
      </c>
      <c r="L1682" t="str">
        <f>IFERROR(VLOOKUP(J1682,LUTs!$A$1:$C$73,3,FALSE),"NA")</f>
        <v>2Central Puget Sound</v>
      </c>
      <c r="M1682" s="72" t="s">
        <v>18</v>
      </c>
      <c r="N1682" t="str">
        <f>VLOOKUP(M1682,LUTs!E$2:H$14,3,)</f>
        <v>06King</v>
      </c>
      <c r="O1682" t="str">
        <f>VLOOKUP(M1682,LUTs!E$2:H$14,4,)</f>
        <v>02South Puget Sound</v>
      </c>
      <c r="P1682" s="80">
        <v>16</v>
      </c>
      <c r="Q1682" s="103">
        <v>8</v>
      </c>
      <c r="R1682" s="74">
        <f>VLOOKUP(B1682,Readme!A$40:C$52,3,)*Q1682</f>
        <v>148.4</v>
      </c>
    </row>
    <row r="1683" spans="1:18" ht="12" customHeight="1" x14ac:dyDescent="0.35">
      <c r="A1683" s="75">
        <v>1689</v>
      </c>
      <c r="B1683" s="80">
        <v>2015</v>
      </c>
      <c r="C1683" s="80">
        <v>12</v>
      </c>
      <c r="D1683" s="80">
        <f t="shared" si="96"/>
        <v>2015</v>
      </c>
      <c r="E1683" t="s">
        <v>38</v>
      </c>
      <c r="F1683" t="s">
        <v>143</v>
      </c>
      <c r="G1683" t="s">
        <v>86</v>
      </c>
      <c r="H1683" s="72" t="s">
        <v>221</v>
      </c>
      <c r="I1683" s="72" t="s">
        <v>63</v>
      </c>
      <c r="J1683" t="str">
        <f t="shared" si="95"/>
        <v>Snohomish River</v>
      </c>
      <c r="K1683" t="str">
        <f>IFERROR(VLOOKUP(J1683,LUTs!$A$1:$C$73,2,FALSE),"NA")</f>
        <v>Snohomish</v>
      </c>
      <c r="L1683" t="str">
        <f>IFERROR(VLOOKUP(J1683,LUTs!$A$1:$C$73,3,FALSE),"NA")</f>
        <v>2Central Puget Sound</v>
      </c>
      <c r="M1683" s="72" t="s">
        <v>16</v>
      </c>
      <c r="N1683" t="str">
        <f>VLOOKUP(M1683,LUTs!E$2:H$14,3,)</f>
        <v>03Snohomish</v>
      </c>
      <c r="O1683" t="str">
        <f>VLOOKUP(M1683,LUTs!E$2:H$14,4,)</f>
        <v>01North Puget Sound</v>
      </c>
      <c r="P1683" s="80">
        <v>46</v>
      </c>
      <c r="Q1683" s="103">
        <v>23</v>
      </c>
      <c r="R1683" s="74">
        <f>VLOOKUP(B1683,Readme!A$40:C$52,3,)*Q1683</f>
        <v>426.65000000000003</v>
      </c>
    </row>
    <row r="1684" spans="1:18" ht="12" customHeight="1" x14ac:dyDescent="0.35">
      <c r="A1684" s="75">
        <v>1695</v>
      </c>
      <c r="B1684" s="80">
        <v>2015</v>
      </c>
      <c r="C1684" s="80">
        <v>12</v>
      </c>
      <c r="D1684" s="80">
        <f t="shared" si="96"/>
        <v>2015</v>
      </c>
      <c r="E1684" t="s">
        <v>38</v>
      </c>
      <c r="F1684" t="s">
        <v>143</v>
      </c>
      <c r="G1684" t="s">
        <v>86</v>
      </c>
      <c r="H1684" s="72" t="s">
        <v>222</v>
      </c>
      <c r="I1684" s="72" t="s">
        <v>64</v>
      </c>
      <c r="J1684" t="str">
        <f t="shared" si="95"/>
        <v>Snoqualmie River</v>
      </c>
      <c r="K1684" t="str">
        <f>IFERROR(VLOOKUP(J1684,LUTs!$A$1:$C$73,2,FALSE),"NA")</f>
        <v>Snohomish/King</v>
      </c>
      <c r="L1684" t="str">
        <f>IFERROR(VLOOKUP(J1684,LUTs!$A$1:$C$73,3,FALSE),"NA")</f>
        <v>2Central Puget Sound</v>
      </c>
      <c r="M1684" s="72" t="s">
        <v>18</v>
      </c>
      <c r="N1684" t="str">
        <f>VLOOKUP(M1684,LUTs!E$2:H$14,3,)</f>
        <v>06King</v>
      </c>
      <c r="O1684" t="str">
        <f>VLOOKUP(M1684,LUTs!E$2:H$14,4,)</f>
        <v>02South Puget Sound</v>
      </c>
      <c r="P1684" s="80">
        <v>55</v>
      </c>
      <c r="Q1684" s="103">
        <v>27.5</v>
      </c>
      <c r="R1684" s="74">
        <f>VLOOKUP(B1684,Readme!A$40:C$52,3,)*Q1684</f>
        <v>510.125</v>
      </c>
    </row>
    <row r="1685" spans="1:18" ht="12" customHeight="1" x14ac:dyDescent="0.35">
      <c r="A1685" s="75">
        <v>1696</v>
      </c>
      <c r="B1685" s="80">
        <v>2015</v>
      </c>
      <c r="C1685" s="80">
        <v>12</v>
      </c>
      <c r="D1685" s="80">
        <f t="shared" si="96"/>
        <v>2015</v>
      </c>
      <c r="E1685" t="s">
        <v>38</v>
      </c>
      <c r="F1685" t="s">
        <v>143</v>
      </c>
      <c r="G1685" t="s">
        <v>86</v>
      </c>
      <c r="H1685" s="72" t="s">
        <v>222</v>
      </c>
      <c r="I1685" s="72" t="s">
        <v>64</v>
      </c>
      <c r="J1685" t="str">
        <f t="shared" si="95"/>
        <v>Snoqualmie River</v>
      </c>
      <c r="K1685" t="str">
        <f>IFERROR(VLOOKUP(J1685,LUTs!$A$1:$C$73,2,FALSE),"NA")</f>
        <v>Snohomish/King</v>
      </c>
      <c r="L1685" t="str">
        <f>IFERROR(VLOOKUP(J1685,LUTs!$A$1:$C$73,3,FALSE),"NA")</f>
        <v>2Central Puget Sound</v>
      </c>
      <c r="M1685" s="72" t="s">
        <v>20</v>
      </c>
      <c r="N1685" t="str">
        <f>VLOOKUP(M1685,LUTs!E$2:H$14,3,)</f>
        <v>07Pierce</v>
      </c>
      <c r="O1685" t="str">
        <f>VLOOKUP(M1685,LUTs!E$2:H$14,4,)</f>
        <v>02South Puget Sound</v>
      </c>
      <c r="P1685" s="80">
        <v>31.428571428571399</v>
      </c>
      <c r="Q1685" s="103">
        <v>15.714285714285699</v>
      </c>
      <c r="R1685" s="74">
        <f>VLOOKUP(B1685,Readme!A$40:C$52,3,)*Q1685</f>
        <v>291.49999999999972</v>
      </c>
    </row>
    <row r="1686" spans="1:18" ht="12" customHeight="1" x14ac:dyDescent="0.35">
      <c r="A1686" s="75">
        <v>1697</v>
      </c>
      <c r="B1686" s="80">
        <v>2015</v>
      </c>
      <c r="C1686" s="80">
        <v>12</v>
      </c>
      <c r="D1686" s="80">
        <f t="shared" si="96"/>
        <v>2015</v>
      </c>
      <c r="E1686" t="s">
        <v>38</v>
      </c>
      <c r="F1686" t="s">
        <v>143</v>
      </c>
      <c r="G1686" t="s">
        <v>86</v>
      </c>
      <c r="H1686" s="72" t="s">
        <v>222</v>
      </c>
      <c r="I1686" s="72" t="s">
        <v>64</v>
      </c>
      <c r="J1686" t="str">
        <f t="shared" si="95"/>
        <v>Snoqualmie River</v>
      </c>
      <c r="K1686" t="str">
        <f>IFERROR(VLOOKUP(J1686,LUTs!$A$1:$C$73,2,FALSE),"NA")</f>
        <v>Snohomish/King</v>
      </c>
      <c r="L1686" t="str">
        <f>IFERROR(VLOOKUP(J1686,LUTs!$A$1:$C$73,3,FALSE),"NA")</f>
        <v>2Central Puget Sound</v>
      </c>
      <c r="M1686" s="72" t="s">
        <v>16</v>
      </c>
      <c r="N1686" t="str">
        <f>VLOOKUP(M1686,LUTs!E$2:H$14,3,)</f>
        <v>03Snohomish</v>
      </c>
      <c r="O1686" t="str">
        <f>VLOOKUP(M1686,LUTs!E$2:H$14,4,)</f>
        <v>01North Puget Sound</v>
      </c>
      <c r="P1686" s="80">
        <v>15.714285714285699</v>
      </c>
      <c r="Q1686" s="103">
        <v>7.8571428571428603</v>
      </c>
      <c r="R1686" s="74">
        <f>VLOOKUP(B1686,Readme!A$40:C$52,3,)*Q1686</f>
        <v>145.75000000000006</v>
      </c>
    </row>
    <row r="1687" spans="1:18" ht="12" customHeight="1" x14ac:dyDescent="0.35">
      <c r="A1687" s="75">
        <v>1698</v>
      </c>
      <c r="B1687" s="80">
        <v>2015</v>
      </c>
      <c r="C1687" s="80">
        <v>12</v>
      </c>
      <c r="D1687" s="80">
        <f t="shared" si="96"/>
        <v>2015</v>
      </c>
      <c r="E1687" t="s">
        <v>38</v>
      </c>
      <c r="F1687" t="s">
        <v>143</v>
      </c>
      <c r="G1687" t="s">
        <v>86</v>
      </c>
      <c r="H1687" s="72" t="s">
        <v>222</v>
      </c>
      <c r="I1687" s="72" t="s">
        <v>64</v>
      </c>
      <c r="J1687" t="str">
        <f t="shared" si="95"/>
        <v>Snoqualmie River</v>
      </c>
      <c r="K1687" t="str">
        <f>IFERROR(VLOOKUP(J1687,LUTs!$A$1:$C$73,2,FALSE),"NA")</f>
        <v>Snohomish/King</v>
      </c>
      <c r="L1687" t="str">
        <f>IFERROR(VLOOKUP(J1687,LUTs!$A$1:$C$73,3,FALSE),"NA")</f>
        <v>2Central Puget Sound</v>
      </c>
      <c r="M1687" s="72" t="s">
        <v>21</v>
      </c>
      <c r="N1687" t="str">
        <f>VLOOKUP(M1687,LUTs!E$2:H$14,3,)</f>
        <v>08Thurston</v>
      </c>
      <c r="O1687" t="str">
        <f>VLOOKUP(M1687,LUTs!E$2:H$14,4,)</f>
        <v>02South Puget Sound</v>
      </c>
      <c r="P1687" s="80">
        <v>7.8571428571428603</v>
      </c>
      <c r="Q1687" s="103">
        <v>3.9285714285714302</v>
      </c>
      <c r="R1687" s="74">
        <f>VLOOKUP(B1687,Readme!A$40:C$52,3,)*Q1687</f>
        <v>72.875000000000028</v>
      </c>
    </row>
    <row r="1688" spans="1:18" ht="12" customHeight="1" x14ac:dyDescent="0.35">
      <c r="A1688" s="75">
        <v>1727</v>
      </c>
      <c r="B1688" s="80">
        <v>2015</v>
      </c>
      <c r="C1688" s="80">
        <v>12</v>
      </c>
      <c r="D1688" s="80">
        <f t="shared" si="96"/>
        <v>2015</v>
      </c>
      <c r="E1688" t="s">
        <v>38</v>
      </c>
      <c r="F1688" t="s">
        <v>143</v>
      </c>
      <c r="G1688" t="s">
        <v>86</v>
      </c>
      <c r="H1688" s="72" t="s">
        <v>253</v>
      </c>
      <c r="I1688" s="72" t="s">
        <v>65</v>
      </c>
      <c r="J1688" t="str">
        <f t="shared" si="95"/>
        <v>Stillaguamish River</v>
      </c>
      <c r="K1688" t="str">
        <f>IFERROR(VLOOKUP(J1688,LUTs!$A$1:$C$73,2,FALSE),"NA")</f>
        <v>Snohomish</v>
      </c>
      <c r="L1688" t="str">
        <f>IFERROR(VLOOKUP(J1688,LUTs!$A$1:$C$73,3,FALSE),"NA")</f>
        <v>2Central Puget Sound</v>
      </c>
      <c r="M1688" s="72" t="s">
        <v>16</v>
      </c>
      <c r="N1688" t="str">
        <f>VLOOKUP(M1688,LUTs!E$2:H$14,3,)</f>
        <v>03Snohomish</v>
      </c>
      <c r="O1688" t="str">
        <f>VLOOKUP(M1688,LUTs!E$2:H$14,4,)</f>
        <v>01North Puget Sound</v>
      </c>
      <c r="P1688" s="80">
        <v>6</v>
      </c>
      <c r="Q1688" s="103">
        <v>3</v>
      </c>
      <c r="R1688" s="74">
        <f>VLOOKUP(B1688,Readme!A$40:C$52,3,)*Q1688</f>
        <v>55.650000000000006</v>
      </c>
    </row>
    <row r="1689" spans="1:18" ht="12" customHeight="1" x14ac:dyDescent="0.35">
      <c r="A1689" s="75">
        <v>1701</v>
      </c>
      <c r="B1689" s="80">
        <v>2015</v>
      </c>
      <c r="C1689" s="80">
        <v>12</v>
      </c>
      <c r="D1689" s="80">
        <f t="shared" si="96"/>
        <v>2015</v>
      </c>
      <c r="E1689" t="s">
        <v>38</v>
      </c>
      <c r="F1689" t="s">
        <v>143</v>
      </c>
      <c r="G1689" t="s">
        <v>86</v>
      </c>
      <c r="H1689" s="72" t="s">
        <v>249</v>
      </c>
      <c r="I1689" s="72" t="s">
        <v>100</v>
      </c>
      <c r="J1689" t="str">
        <f t="shared" si="95"/>
        <v>Sultan River</v>
      </c>
      <c r="K1689" t="str">
        <f>IFERROR(VLOOKUP(J1689,LUTs!$A$1:$C$73,2,FALSE),"NA")</f>
        <v>Snohomish</v>
      </c>
      <c r="L1689" t="str">
        <f>IFERROR(VLOOKUP(J1689,LUTs!$A$1:$C$73,3,FALSE),"NA")</f>
        <v>2Central Puget Sound</v>
      </c>
      <c r="M1689" s="72" t="s">
        <v>16</v>
      </c>
      <c r="N1689" t="str">
        <f>VLOOKUP(M1689,LUTs!E$2:H$14,3,)</f>
        <v>03Snohomish</v>
      </c>
      <c r="O1689" t="str">
        <f>VLOOKUP(M1689,LUTs!E$2:H$14,4,)</f>
        <v>01North Puget Sound</v>
      </c>
      <c r="P1689" s="80">
        <v>8</v>
      </c>
      <c r="Q1689" s="103">
        <v>4</v>
      </c>
      <c r="R1689" s="74">
        <f>VLOOKUP(B1689,Readme!A$40:C$52,3,)*Q1689</f>
        <v>74.2</v>
      </c>
    </row>
    <row r="1690" spans="1:18" ht="12" customHeight="1" x14ac:dyDescent="0.35">
      <c r="A1690" s="75">
        <v>1702</v>
      </c>
      <c r="B1690" s="80">
        <v>2015</v>
      </c>
      <c r="C1690" s="80">
        <v>12</v>
      </c>
      <c r="D1690" s="80">
        <f t="shared" si="96"/>
        <v>2015</v>
      </c>
      <c r="E1690" t="s">
        <v>38</v>
      </c>
      <c r="F1690" t="s">
        <v>143</v>
      </c>
      <c r="G1690" t="s">
        <v>86</v>
      </c>
      <c r="H1690" s="72" t="s">
        <v>250</v>
      </c>
      <c r="I1690" s="72" t="s">
        <v>101</v>
      </c>
      <c r="J1690" t="str">
        <f t="shared" si="95"/>
        <v>Tokul Creek</v>
      </c>
      <c r="K1690" t="str">
        <f>IFERROR(VLOOKUP(J1690,LUTs!$A$1:$C$73,2,FALSE),"NA")</f>
        <v>King</v>
      </c>
      <c r="L1690" t="str">
        <f>IFERROR(VLOOKUP(J1690,LUTs!$A$1:$C$73,3,FALSE),"NA")</f>
        <v>2Central Puget Sound</v>
      </c>
      <c r="M1690" s="72" t="s">
        <v>18</v>
      </c>
      <c r="N1690" t="str">
        <f>VLOOKUP(M1690,LUTs!E$2:H$14,3,)</f>
        <v>06King</v>
      </c>
      <c r="O1690" t="str">
        <f>VLOOKUP(M1690,LUTs!E$2:H$14,4,)</f>
        <v>02South Puget Sound</v>
      </c>
      <c r="P1690" s="80">
        <v>202.8</v>
      </c>
      <c r="Q1690" s="103">
        <v>101.4</v>
      </c>
      <c r="R1690" s="74">
        <f>VLOOKUP(B1690,Readme!A$40:C$52,3,)*Q1690</f>
        <v>1880.9700000000003</v>
      </c>
    </row>
    <row r="1691" spans="1:18" ht="12" customHeight="1" x14ac:dyDescent="0.35">
      <c r="A1691" s="75">
        <v>1703</v>
      </c>
      <c r="B1691" s="80">
        <v>2015</v>
      </c>
      <c r="C1691" s="80">
        <v>12</v>
      </c>
      <c r="D1691" s="80">
        <f t="shared" si="96"/>
        <v>2015</v>
      </c>
      <c r="E1691" t="s">
        <v>38</v>
      </c>
      <c r="F1691" t="s">
        <v>143</v>
      </c>
      <c r="G1691" t="s">
        <v>86</v>
      </c>
      <c r="H1691" s="72" t="s">
        <v>250</v>
      </c>
      <c r="I1691" s="72" t="s">
        <v>101</v>
      </c>
      <c r="J1691" t="str">
        <f t="shared" si="95"/>
        <v>Tokul Creek</v>
      </c>
      <c r="K1691" t="str">
        <f>IFERROR(VLOOKUP(J1691,LUTs!$A$1:$C$73,2,FALSE),"NA")</f>
        <v>King</v>
      </c>
      <c r="L1691" t="str">
        <f>IFERROR(VLOOKUP(J1691,LUTs!$A$1:$C$73,3,FALSE),"NA")</f>
        <v>2Central Puget Sound</v>
      </c>
      <c r="M1691" s="72" t="s">
        <v>26</v>
      </c>
      <c r="N1691" t="str">
        <f>VLOOKUP(M1691,LUTs!E$2:H$14,3,)</f>
        <v>20Other</v>
      </c>
      <c r="O1691" t="str">
        <f>VLOOKUP(M1691,LUTs!E$2:H$14,4,)</f>
        <v>07Non Puget Sound</v>
      </c>
      <c r="P1691" s="80">
        <v>23.4</v>
      </c>
      <c r="Q1691" s="103">
        <v>11.7</v>
      </c>
      <c r="R1691" s="74">
        <f>VLOOKUP(B1691,Readme!A$40:C$52,3,)*Q1691</f>
        <v>217.035</v>
      </c>
    </row>
    <row r="1692" spans="1:18" ht="12" customHeight="1" x14ac:dyDescent="0.35">
      <c r="A1692" s="75">
        <v>1704</v>
      </c>
      <c r="B1692" s="80">
        <v>2015</v>
      </c>
      <c r="C1692" s="80">
        <v>12</v>
      </c>
      <c r="D1692" s="80">
        <f t="shared" si="96"/>
        <v>2015</v>
      </c>
      <c r="E1692" t="s">
        <v>38</v>
      </c>
      <c r="F1692" t="s">
        <v>143</v>
      </c>
      <c r="G1692" t="s">
        <v>86</v>
      </c>
      <c r="H1692" s="72" t="s">
        <v>250</v>
      </c>
      <c r="I1692" s="72" t="s">
        <v>101</v>
      </c>
      <c r="J1692" t="str">
        <f t="shared" si="95"/>
        <v>Tokul Creek</v>
      </c>
      <c r="K1692" t="str">
        <f>IFERROR(VLOOKUP(J1692,LUTs!$A$1:$C$73,2,FALSE),"NA")</f>
        <v>King</v>
      </c>
      <c r="L1692" t="str">
        <f>IFERROR(VLOOKUP(J1692,LUTs!$A$1:$C$73,3,FALSE),"NA")</f>
        <v>2Central Puget Sound</v>
      </c>
      <c r="M1692" s="72" t="s">
        <v>20</v>
      </c>
      <c r="N1692" t="str">
        <f>VLOOKUP(M1692,LUTs!E$2:H$14,3,)</f>
        <v>07Pierce</v>
      </c>
      <c r="O1692" t="str">
        <f>VLOOKUP(M1692,LUTs!E$2:H$14,4,)</f>
        <v>02South Puget Sound</v>
      </c>
      <c r="P1692" s="80">
        <v>7.8</v>
      </c>
      <c r="Q1692" s="103">
        <v>3.9</v>
      </c>
      <c r="R1692" s="74">
        <f>VLOOKUP(B1692,Readme!A$40:C$52,3,)*Q1692</f>
        <v>72.344999999999999</v>
      </c>
    </row>
    <row r="1693" spans="1:18" ht="12" customHeight="1" x14ac:dyDescent="0.35">
      <c r="A1693" s="75">
        <v>1714</v>
      </c>
      <c r="B1693" s="80">
        <v>2015</v>
      </c>
      <c r="C1693" s="80">
        <v>12</v>
      </c>
      <c r="D1693" s="80">
        <f t="shared" si="96"/>
        <v>2015</v>
      </c>
      <c r="E1693" t="s">
        <v>38</v>
      </c>
      <c r="F1693" t="s">
        <v>143</v>
      </c>
      <c r="G1693" t="s">
        <v>86</v>
      </c>
      <c r="H1693" s="72" t="s">
        <v>233</v>
      </c>
      <c r="I1693" s="72" t="s">
        <v>76</v>
      </c>
      <c r="J1693" t="str">
        <f t="shared" si="95"/>
        <v>Wallace River</v>
      </c>
      <c r="K1693" t="str">
        <f>IFERROR(VLOOKUP(J1693,LUTs!$A$1:$C$73,2,FALSE),"NA")</f>
        <v>Snohomish</v>
      </c>
      <c r="L1693" t="str">
        <f>IFERROR(VLOOKUP(J1693,LUTs!$A$1:$C$73,3,FALSE),"NA")</f>
        <v>2Central Puget Sound</v>
      </c>
      <c r="M1693" s="72" t="s">
        <v>17</v>
      </c>
      <c r="N1693" t="str">
        <f>VLOOKUP(M1693,LUTs!E$2:H$14,3,)</f>
        <v>04Island</v>
      </c>
      <c r="O1693" t="str">
        <f>VLOOKUP(M1693,LUTs!E$2:H$14,4,)</f>
        <v>01North Puget Sound</v>
      </c>
      <c r="P1693" s="80">
        <v>15.6078431372549</v>
      </c>
      <c r="Q1693" s="103">
        <v>7.8039215686274499</v>
      </c>
      <c r="R1693" s="74">
        <f>VLOOKUP(B1693,Readme!A$40:C$52,3,)*Q1693</f>
        <v>144.7627450980392</v>
      </c>
    </row>
    <row r="1694" spans="1:18" ht="12" customHeight="1" x14ac:dyDescent="0.35">
      <c r="A1694" s="75">
        <v>1715</v>
      </c>
      <c r="B1694" s="80">
        <v>2015</v>
      </c>
      <c r="C1694" s="80">
        <v>12</v>
      </c>
      <c r="D1694" s="80">
        <f t="shared" si="96"/>
        <v>2015</v>
      </c>
      <c r="E1694" t="s">
        <v>38</v>
      </c>
      <c r="F1694" t="s">
        <v>143</v>
      </c>
      <c r="G1694" t="s">
        <v>86</v>
      </c>
      <c r="H1694" s="72" t="s">
        <v>233</v>
      </c>
      <c r="I1694" s="72" t="s">
        <v>76</v>
      </c>
      <c r="J1694" t="str">
        <f t="shared" si="95"/>
        <v>Wallace River</v>
      </c>
      <c r="K1694" t="str">
        <f>IFERROR(VLOOKUP(J1694,LUTs!$A$1:$C$73,2,FALSE),"NA")</f>
        <v>Snohomish</v>
      </c>
      <c r="L1694" t="str">
        <f>IFERROR(VLOOKUP(J1694,LUTs!$A$1:$C$73,3,FALSE),"NA")</f>
        <v>2Central Puget Sound</v>
      </c>
      <c r="M1694" s="72" t="s">
        <v>18</v>
      </c>
      <c r="N1694" t="str">
        <f>VLOOKUP(M1694,LUTs!E$2:H$14,3,)</f>
        <v>06King</v>
      </c>
      <c r="O1694" t="str">
        <f>VLOOKUP(M1694,LUTs!E$2:H$14,4,)</f>
        <v>02South Puget Sound</v>
      </c>
      <c r="P1694" s="80">
        <v>62.431372549019599</v>
      </c>
      <c r="Q1694" s="103">
        <v>31.2156862745098</v>
      </c>
      <c r="R1694" s="74">
        <f>VLOOKUP(B1694,Readme!A$40:C$52,3,)*Q1694</f>
        <v>579.05098039215682</v>
      </c>
    </row>
    <row r="1695" spans="1:18" ht="12" customHeight="1" x14ac:dyDescent="0.35">
      <c r="A1695" s="75">
        <v>1716</v>
      </c>
      <c r="B1695" s="80">
        <v>2015</v>
      </c>
      <c r="C1695" s="80">
        <v>12</v>
      </c>
      <c r="D1695" s="80">
        <f t="shared" si="96"/>
        <v>2015</v>
      </c>
      <c r="E1695" t="s">
        <v>38</v>
      </c>
      <c r="F1695" t="s">
        <v>143</v>
      </c>
      <c r="G1695" t="s">
        <v>86</v>
      </c>
      <c r="H1695" s="72" t="s">
        <v>233</v>
      </c>
      <c r="I1695" s="72" t="s">
        <v>76</v>
      </c>
      <c r="J1695" t="str">
        <f t="shared" si="95"/>
        <v>Wallace River</v>
      </c>
      <c r="K1695" t="str">
        <f>IFERROR(VLOOKUP(J1695,LUTs!$A$1:$C$73,2,FALSE),"NA")</f>
        <v>Snohomish</v>
      </c>
      <c r="L1695" t="str">
        <f>IFERROR(VLOOKUP(J1695,LUTs!$A$1:$C$73,3,FALSE),"NA")</f>
        <v>2Central Puget Sound</v>
      </c>
      <c r="M1695" s="72" t="s">
        <v>26</v>
      </c>
      <c r="N1695" t="str">
        <f>VLOOKUP(M1695,LUTs!E$2:H$14,3,)</f>
        <v>20Other</v>
      </c>
      <c r="O1695" t="str">
        <f>VLOOKUP(M1695,LUTs!E$2:H$14,4,)</f>
        <v>07Non Puget Sound</v>
      </c>
      <c r="P1695" s="80">
        <v>7.8039215686274499</v>
      </c>
      <c r="Q1695" s="103">
        <v>3.9019607843137298</v>
      </c>
      <c r="R1695" s="74">
        <f>VLOOKUP(B1695,Readme!A$40:C$52,3,)*Q1695</f>
        <v>72.381372549019687</v>
      </c>
    </row>
    <row r="1696" spans="1:18" ht="12" customHeight="1" x14ac:dyDescent="0.35">
      <c r="A1696" s="75">
        <v>1717</v>
      </c>
      <c r="B1696" s="80">
        <v>2015</v>
      </c>
      <c r="C1696" s="80">
        <v>12</v>
      </c>
      <c r="D1696" s="80">
        <f t="shared" si="96"/>
        <v>2015</v>
      </c>
      <c r="E1696" t="s">
        <v>38</v>
      </c>
      <c r="F1696" t="s">
        <v>143</v>
      </c>
      <c r="G1696" t="s">
        <v>86</v>
      </c>
      <c r="H1696" s="72" t="s">
        <v>233</v>
      </c>
      <c r="I1696" s="72" t="s">
        <v>76</v>
      </c>
      <c r="J1696" t="str">
        <f t="shared" si="95"/>
        <v>Wallace River</v>
      </c>
      <c r="K1696" t="str">
        <f>IFERROR(VLOOKUP(J1696,LUTs!$A$1:$C$73,2,FALSE),"NA")</f>
        <v>Snohomish</v>
      </c>
      <c r="L1696" t="str">
        <f>IFERROR(VLOOKUP(J1696,LUTs!$A$1:$C$73,3,FALSE),"NA")</f>
        <v>2Central Puget Sound</v>
      </c>
      <c r="M1696" s="72" t="s">
        <v>16</v>
      </c>
      <c r="N1696" t="str">
        <f>VLOOKUP(M1696,LUTs!E$2:H$14,3,)</f>
        <v>03Snohomish</v>
      </c>
      <c r="O1696" t="str">
        <f>VLOOKUP(M1696,LUTs!E$2:H$14,4,)</f>
        <v>01North Puget Sound</v>
      </c>
      <c r="P1696" s="80">
        <v>312.15686274509801</v>
      </c>
      <c r="Q1696" s="103">
        <v>156.07843137254901</v>
      </c>
      <c r="R1696" s="74">
        <f>VLOOKUP(B1696,Readme!A$40:C$52,3,)*Q1696</f>
        <v>2895.2549019607841</v>
      </c>
    </row>
    <row r="1697" spans="1:18" ht="12" customHeight="1" x14ac:dyDescent="0.35">
      <c r="A1697" s="75">
        <v>1736</v>
      </c>
      <c r="B1697" s="80">
        <v>2016</v>
      </c>
      <c r="C1697" s="80">
        <v>1</v>
      </c>
      <c r="D1697" s="80">
        <f t="shared" si="96"/>
        <v>2015</v>
      </c>
      <c r="E1697" t="s">
        <v>38</v>
      </c>
      <c r="F1697" t="s">
        <v>143</v>
      </c>
      <c r="G1697" t="s">
        <v>86</v>
      </c>
      <c r="H1697" s="72" t="s">
        <v>254</v>
      </c>
      <c r="I1697" s="72" t="s">
        <v>33</v>
      </c>
      <c r="J1697" t="str">
        <f t="shared" si="95"/>
        <v>Area 9: Admiralty Inlet</v>
      </c>
      <c r="K1697" t="str">
        <f>IFERROR(VLOOKUP(J1697,LUTs!$A$1:$C$73,2,FALSE),"NA")</f>
        <v>NA</v>
      </c>
      <c r="L1697" t="str">
        <f>IFERROR(VLOOKUP(J1697,LUTs!$A$1:$C$73,3,FALSE),"NA")</f>
        <v>2Central Puget Sound</v>
      </c>
      <c r="M1697" s="72" t="s">
        <v>17</v>
      </c>
      <c r="N1697" t="str">
        <f>VLOOKUP(M1697,LUTs!E$2:H$14,3,)</f>
        <v>04Island</v>
      </c>
      <c r="O1697" t="str">
        <f>VLOOKUP(M1697,LUTs!E$2:H$14,4,)</f>
        <v>01North Puget Sound</v>
      </c>
      <c r="P1697" s="80">
        <v>23</v>
      </c>
      <c r="Q1697" s="103">
        <v>11.5</v>
      </c>
      <c r="R1697" s="74">
        <f>VLOOKUP(B1697,Readme!A$40:C$52,3,)*Q1697</f>
        <v>98.21</v>
      </c>
    </row>
    <row r="1698" spans="1:18" ht="12" customHeight="1" x14ac:dyDescent="0.35">
      <c r="A1698" s="75">
        <v>1737</v>
      </c>
      <c r="B1698" s="80">
        <v>2016</v>
      </c>
      <c r="C1698" s="80">
        <v>1</v>
      </c>
      <c r="D1698" s="80">
        <f t="shared" si="96"/>
        <v>2015</v>
      </c>
      <c r="E1698" t="s">
        <v>38</v>
      </c>
      <c r="F1698" t="s">
        <v>143</v>
      </c>
      <c r="G1698" t="s">
        <v>86</v>
      </c>
      <c r="H1698" s="72" t="s">
        <v>254</v>
      </c>
      <c r="I1698" s="72" t="s">
        <v>33</v>
      </c>
      <c r="J1698" t="str">
        <f t="shared" si="95"/>
        <v>Area 9: Admiralty Inlet</v>
      </c>
      <c r="K1698" t="str">
        <f>IFERROR(VLOOKUP(J1698,LUTs!$A$1:$C$73,2,FALSE),"NA")</f>
        <v>NA</v>
      </c>
      <c r="L1698" t="str">
        <f>IFERROR(VLOOKUP(J1698,LUTs!$A$1:$C$73,3,FALSE),"NA")</f>
        <v>2Central Puget Sound</v>
      </c>
      <c r="M1698" s="72" t="s">
        <v>16</v>
      </c>
      <c r="N1698" t="str">
        <f>VLOOKUP(M1698,LUTs!E$2:H$14,3,)</f>
        <v>03Snohomish</v>
      </c>
      <c r="O1698" t="str">
        <f>VLOOKUP(M1698,LUTs!E$2:H$14,4,)</f>
        <v>01North Puget Sound</v>
      </c>
      <c r="P1698" s="80">
        <v>69</v>
      </c>
      <c r="Q1698" s="103">
        <v>34.5</v>
      </c>
      <c r="R1698" s="74">
        <f>VLOOKUP(B1698,Readme!A$40:C$52,3,)*Q1698</f>
        <v>294.63</v>
      </c>
    </row>
    <row r="1699" spans="1:18" ht="12" customHeight="1" x14ac:dyDescent="0.35">
      <c r="A1699" s="75">
        <v>1630</v>
      </c>
      <c r="B1699" s="80">
        <v>2016</v>
      </c>
      <c r="C1699" s="80">
        <v>1</v>
      </c>
      <c r="D1699" s="80">
        <f t="shared" si="96"/>
        <v>2015</v>
      </c>
      <c r="E1699" t="s">
        <v>38</v>
      </c>
      <c r="F1699" t="s">
        <v>143</v>
      </c>
      <c r="G1699" t="s">
        <v>86</v>
      </c>
      <c r="H1699" s="72" t="s">
        <v>217</v>
      </c>
      <c r="I1699" s="72" t="s">
        <v>59</v>
      </c>
      <c r="J1699" t="str">
        <f t="shared" si="95"/>
        <v>Cascade River</v>
      </c>
      <c r="K1699" t="str">
        <f>IFERROR(VLOOKUP(J1699,LUTs!$A$1:$C$73,2,FALSE),"NA")</f>
        <v>Skagit</v>
      </c>
      <c r="L1699" t="str">
        <f>IFERROR(VLOOKUP(J1699,LUTs!$A$1:$C$73,3,FALSE),"NA")</f>
        <v>1North Puget Sound</v>
      </c>
      <c r="M1699" s="72" t="s">
        <v>15</v>
      </c>
      <c r="N1699" t="str">
        <f>VLOOKUP(M1699,LUTs!E$2:H$14,3,)</f>
        <v>02Skagit</v>
      </c>
      <c r="O1699" t="str">
        <f>VLOOKUP(M1699,LUTs!E$2:H$14,4,)</f>
        <v>01North Puget Sound</v>
      </c>
      <c r="P1699" s="80">
        <v>108</v>
      </c>
      <c r="Q1699" s="103">
        <v>54</v>
      </c>
      <c r="R1699" s="74">
        <f>VLOOKUP(B1699,Readme!A$40:C$52,3,)*Q1699</f>
        <v>461.15999999999997</v>
      </c>
    </row>
    <row r="1700" spans="1:18" ht="12" customHeight="1" x14ac:dyDescent="0.35">
      <c r="A1700" s="75">
        <v>1580</v>
      </c>
      <c r="B1700" s="80">
        <v>2016</v>
      </c>
      <c r="C1700" s="80">
        <v>1</v>
      </c>
      <c r="D1700" s="80">
        <f t="shared" si="96"/>
        <v>2015</v>
      </c>
      <c r="E1700" t="s">
        <v>38</v>
      </c>
      <c r="F1700" t="s">
        <v>143</v>
      </c>
      <c r="G1700" t="s">
        <v>86</v>
      </c>
      <c r="H1700" s="72" t="s">
        <v>234</v>
      </c>
      <c r="I1700" s="72" t="s">
        <v>87</v>
      </c>
      <c r="J1700" t="str">
        <f t="shared" si="95"/>
        <v>Clallam River</v>
      </c>
      <c r="K1700" t="str">
        <f>IFERROR(VLOOKUP(J1700,LUTs!$A$1:$C$73,2,FALSE),"NA")</f>
        <v>Clallam</v>
      </c>
      <c r="L1700" t="str">
        <f>IFERROR(VLOOKUP(J1700,LUTs!$A$1:$C$73,3,FALSE),"NA")</f>
        <v>0Strait of Juan de Fuca</v>
      </c>
      <c r="M1700" s="72" t="s">
        <v>24</v>
      </c>
      <c r="N1700" t="str">
        <f>VLOOKUP(M1700,LUTs!E$2:H$14,3,)</f>
        <v>11Clallam</v>
      </c>
      <c r="O1700" t="str">
        <f>VLOOKUP(M1700,LUTs!E$2:H$14,4,)</f>
        <v>03Strait of Juan de Fuca</v>
      </c>
      <c r="P1700" s="80">
        <v>19.5</v>
      </c>
      <c r="Q1700" s="103">
        <v>9.75</v>
      </c>
      <c r="R1700" s="74">
        <f>VLOOKUP(B1700,Readme!A$40:C$52,3,)*Q1700</f>
        <v>83.264999999999986</v>
      </c>
    </row>
    <row r="1701" spans="1:18" ht="12" customHeight="1" x14ac:dyDescent="0.35">
      <c r="A1701" s="75">
        <v>1581</v>
      </c>
      <c r="B1701" s="80">
        <v>2016</v>
      </c>
      <c r="C1701" s="80">
        <v>1</v>
      </c>
      <c r="D1701" s="80">
        <f t="shared" si="96"/>
        <v>2015</v>
      </c>
      <c r="E1701" t="s">
        <v>38</v>
      </c>
      <c r="F1701" t="s">
        <v>143</v>
      </c>
      <c r="G1701" t="s">
        <v>86</v>
      </c>
      <c r="H1701" s="72" t="s">
        <v>234</v>
      </c>
      <c r="I1701" s="72" t="s">
        <v>87</v>
      </c>
      <c r="J1701" t="str">
        <f t="shared" si="95"/>
        <v>Clallam River</v>
      </c>
      <c r="K1701" t="str">
        <f>IFERROR(VLOOKUP(J1701,LUTs!$A$1:$C$73,2,FALSE),"NA")</f>
        <v>Clallam</v>
      </c>
      <c r="L1701" t="str">
        <f>IFERROR(VLOOKUP(J1701,LUTs!$A$1:$C$73,3,FALSE),"NA")</f>
        <v>0Strait of Juan de Fuca</v>
      </c>
      <c r="M1701" s="72" t="s">
        <v>18</v>
      </c>
      <c r="N1701" t="str">
        <f>VLOOKUP(M1701,LUTs!E$2:H$14,3,)</f>
        <v>06King</v>
      </c>
      <c r="O1701" t="str">
        <f>VLOOKUP(M1701,LUTs!E$2:H$14,4,)</f>
        <v>02South Puget Sound</v>
      </c>
      <c r="P1701" s="80">
        <v>6.5</v>
      </c>
      <c r="Q1701" s="103">
        <v>3.25</v>
      </c>
      <c r="R1701" s="74">
        <f>VLOOKUP(B1701,Readme!A$40:C$52,3,)*Q1701</f>
        <v>27.754999999999995</v>
      </c>
    </row>
    <row r="1702" spans="1:18" ht="12" customHeight="1" x14ac:dyDescent="0.35">
      <c r="A1702" s="75">
        <v>1583</v>
      </c>
      <c r="B1702" s="80">
        <v>2016</v>
      </c>
      <c r="C1702" s="80">
        <v>1</v>
      </c>
      <c r="D1702" s="80">
        <f t="shared" si="96"/>
        <v>2015</v>
      </c>
      <c r="E1702" t="s">
        <v>38</v>
      </c>
      <c r="F1702" t="s">
        <v>143</v>
      </c>
      <c r="G1702" t="s">
        <v>86</v>
      </c>
      <c r="H1702" s="72" t="s">
        <v>201</v>
      </c>
      <c r="I1702" s="72" t="s">
        <v>43</v>
      </c>
      <c r="J1702" t="str">
        <f t="shared" si="95"/>
        <v>Dungeness River</v>
      </c>
      <c r="K1702" t="str">
        <f>IFERROR(VLOOKUP(J1702,LUTs!$A$1:$C$73,2,FALSE),"NA")</f>
        <v>Clallam</v>
      </c>
      <c r="L1702" t="str">
        <f>IFERROR(VLOOKUP(J1702,LUTs!$A$1:$C$73,3,FALSE),"NA")</f>
        <v>0Strait of Juan de Fuca</v>
      </c>
      <c r="M1702" s="72" t="s">
        <v>24</v>
      </c>
      <c r="N1702" t="str">
        <f>VLOOKUP(M1702,LUTs!E$2:H$14,3,)</f>
        <v>11Clallam</v>
      </c>
      <c r="O1702" t="str">
        <f>VLOOKUP(M1702,LUTs!E$2:H$14,4,)</f>
        <v>03Strait of Juan de Fuca</v>
      </c>
      <c r="P1702" s="80">
        <v>7</v>
      </c>
      <c r="Q1702" s="103">
        <v>3.5</v>
      </c>
      <c r="R1702" s="74">
        <f>VLOOKUP(B1702,Readme!A$40:C$52,3,)*Q1702</f>
        <v>29.889999999999997</v>
      </c>
    </row>
    <row r="1703" spans="1:18" ht="12" customHeight="1" x14ac:dyDescent="0.35">
      <c r="A1703" s="75">
        <v>1584</v>
      </c>
      <c r="B1703" s="80">
        <v>2016</v>
      </c>
      <c r="C1703" s="80">
        <v>1</v>
      </c>
      <c r="D1703" s="80">
        <f t="shared" si="96"/>
        <v>2015</v>
      </c>
      <c r="E1703" t="s">
        <v>38</v>
      </c>
      <c r="F1703" t="s">
        <v>143</v>
      </c>
      <c r="G1703" t="s">
        <v>86</v>
      </c>
      <c r="H1703" s="72" t="s">
        <v>201</v>
      </c>
      <c r="I1703" s="72" t="s">
        <v>43</v>
      </c>
      <c r="J1703" t="str">
        <f t="shared" si="95"/>
        <v>Dungeness River</v>
      </c>
      <c r="K1703" t="str">
        <f>IFERROR(VLOOKUP(J1703,LUTs!$A$1:$C$73,2,FALSE),"NA")</f>
        <v>Clallam</v>
      </c>
      <c r="L1703" t="str">
        <f>IFERROR(VLOOKUP(J1703,LUTs!$A$1:$C$73,3,FALSE),"NA")</f>
        <v>0Strait of Juan de Fuca</v>
      </c>
      <c r="M1703" s="72" t="s">
        <v>26</v>
      </c>
      <c r="N1703" t="str">
        <f>VLOOKUP(M1703,LUTs!E$2:H$14,3,)</f>
        <v>20Other</v>
      </c>
      <c r="O1703" t="str">
        <f>VLOOKUP(M1703,LUTs!E$2:H$14,4,)</f>
        <v>07Non Puget Sound</v>
      </c>
      <c r="P1703" s="80">
        <v>7</v>
      </c>
      <c r="Q1703" s="103">
        <v>3.5</v>
      </c>
      <c r="R1703" s="74">
        <f>VLOOKUP(B1703,Readme!A$40:C$52,3,)*Q1703</f>
        <v>29.889999999999997</v>
      </c>
    </row>
    <row r="1704" spans="1:18" ht="12" customHeight="1" x14ac:dyDescent="0.35">
      <c r="A1704" s="75">
        <v>1597</v>
      </c>
      <c r="B1704" s="80">
        <v>2016</v>
      </c>
      <c r="C1704" s="80">
        <v>1</v>
      </c>
      <c r="D1704" s="80">
        <f t="shared" si="96"/>
        <v>2015</v>
      </c>
      <c r="E1704" t="s">
        <v>38</v>
      </c>
      <c r="F1704" t="s">
        <v>143</v>
      </c>
      <c r="G1704" t="s">
        <v>86</v>
      </c>
      <c r="H1704" s="72" t="s">
        <v>203</v>
      </c>
      <c r="I1704" s="72" t="s">
        <v>89</v>
      </c>
      <c r="J1704" s="84" t="s">
        <v>45</v>
      </c>
      <c r="K1704" t="str">
        <f>IFERROR(VLOOKUP(J1704,LUTs!$A$1:$C$73,2,FALSE),"NA")</f>
        <v>King</v>
      </c>
      <c r="L1704" t="str">
        <f>IFERROR(VLOOKUP(J1704,LUTs!$A$1:$C$73,3,FALSE),"NA")</f>
        <v>3South Puget Sound</v>
      </c>
      <c r="M1704" s="72" t="s">
        <v>18</v>
      </c>
      <c r="N1704" t="str">
        <f>VLOOKUP(M1704,LUTs!E$2:H$14,3,)</f>
        <v>06King</v>
      </c>
      <c r="O1704" t="str">
        <f>VLOOKUP(M1704,LUTs!E$2:H$14,4,)</f>
        <v>02South Puget Sound</v>
      </c>
      <c r="P1704" s="80">
        <v>74.25</v>
      </c>
      <c r="Q1704" s="103">
        <v>37.125</v>
      </c>
      <c r="R1704" s="74">
        <f>VLOOKUP(B1704,Readme!A$40:C$52,3,)*Q1704</f>
        <v>317.04749999999996</v>
      </c>
    </row>
    <row r="1705" spans="1:18" ht="12" customHeight="1" x14ac:dyDescent="0.35">
      <c r="A1705" s="75">
        <v>1598</v>
      </c>
      <c r="B1705" s="80">
        <v>2016</v>
      </c>
      <c r="C1705" s="80">
        <v>1</v>
      </c>
      <c r="D1705" s="80">
        <f t="shared" si="96"/>
        <v>2015</v>
      </c>
      <c r="E1705" t="s">
        <v>38</v>
      </c>
      <c r="F1705" t="s">
        <v>143</v>
      </c>
      <c r="G1705" t="s">
        <v>86</v>
      </c>
      <c r="H1705" s="72" t="s">
        <v>203</v>
      </c>
      <c r="I1705" s="72" t="s">
        <v>89</v>
      </c>
      <c r="J1705" s="84" t="s">
        <v>45</v>
      </c>
      <c r="K1705" t="str">
        <f>IFERROR(VLOOKUP(J1705,LUTs!$A$1:$C$73,2,FALSE),"NA")</f>
        <v>King</v>
      </c>
      <c r="L1705" t="str">
        <f>IFERROR(VLOOKUP(J1705,LUTs!$A$1:$C$73,3,FALSE),"NA")</f>
        <v>3South Puget Sound</v>
      </c>
      <c r="M1705" s="72" t="s">
        <v>20</v>
      </c>
      <c r="N1705" t="str">
        <f>VLOOKUP(M1705,LUTs!E$2:H$14,3,)</f>
        <v>07Pierce</v>
      </c>
      <c r="O1705" t="str">
        <f>VLOOKUP(M1705,LUTs!E$2:H$14,4,)</f>
        <v>02South Puget Sound</v>
      </c>
      <c r="P1705" s="80">
        <v>33.75</v>
      </c>
      <c r="Q1705" s="103">
        <v>16.875</v>
      </c>
      <c r="R1705" s="74">
        <f>VLOOKUP(B1705,Readme!A$40:C$52,3,)*Q1705</f>
        <v>144.11249999999998</v>
      </c>
    </row>
    <row r="1706" spans="1:18" ht="12" customHeight="1" x14ac:dyDescent="0.35">
      <c r="A1706" s="75">
        <v>1608</v>
      </c>
      <c r="B1706" s="80">
        <v>2016</v>
      </c>
      <c r="C1706" s="80">
        <v>1</v>
      </c>
      <c r="D1706" s="80">
        <f t="shared" si="96"/>
        <v>2015</v>
      </c>
      <c r="E1706" t="s">
        <v>38</v>
      </c>
      <c r="F1706" t="s">
        <v>143</v>
      </c>
      <c r="G1706" t="s">
        <v>86</v>
      </c>
      <c r="H1706" s="72" t="s">
        <v>204</v>
      </c>
      <c r="I1706" s="72" t="s">
        <v>46</v>
      </c>
      <c r="J1706" t="str">
        <f t="shared" ref="J1706:J1744" si="97">I1706</f>
        <v>Hoko River</v>
      </c>
      <c r="K1706" t="str">
        <f>IFERROR(VLOOKUP(J1706,LUTs!$A$1:$C$73,2,FALSE),"NA")</f>
        <v>Clallam</v>
      </c>
      <c r="L1706" t="str">
        <f>IFERROR(VLOOKUP(J1706,LUTs!$A$1:$C$73,3,FALSE),"NA")</f>
        <v>0Strait of Juan de Fuca</v>
      </c>
      <c r="M1706" s="72" t="s">
        <v>24</v>
      </c>
      <c r="N1706" t="str">
        <f>VLOOKUP(M1706,LUTs!E$2:H$14,3,)</f>
        <v>11Clallam</v>
      </c>
      <c r="O1706" t="str">
        <f>VLOOKUP(M1706,LUTs!E$2:H$14,4,)</f>
        <v>03Strait of Juan de Fuca</v>
      </c>
      <c r="P1706" s="80">
        <v>19.5</v>
      </c>
      <c r="Q1706" s="103">
        <v>9.75</v>
      </c>
      <c r="R1706" s="74">
        <f>VLOOKUP(B1706,Readme!A$40:C$52,3,)*Q1706</f>
        <v>83.264999999999986</v>
      </c>
    </row>
    <row r="1707" spans="1:18" ht="12" customHeight="1" x14ac:dyDescent="0.35">
      <c r="A1707" s="75">
        <v>1609</v>
      </c>
      <c r="B1707" s="80">
        <v>2016</v>
      </c>
      <c r="C1707" s="80">
        <v>1</v>
      </c>
      <c r="D1707" s="80">
        <f t="shared" si="96"/>
        <v>2015</v>
      </c>
      <c r="E1707" t="s">
        <v>38</v>
      </c>
      <c r="F1707" t="s">
        <v>143</v>
      </c>
      <c r="G1707" t="s">
        <v>86</v>
      </c>
      <c r="H1707" s="72" t="s">
        <v>204</v>
      </c>
      <c r="I1707" s="72" t="s">
        <v>46</v>
      </c>
      <c r="J1707" t="str">
        <f t="shared" si="97"/>
        <v>Hoko River</v>
      </c>
      <c r="K1707" t="str">
        <f>IFERROR(VLOOKUP(J1707,LUTs!$A$1:$C$73,2,FALSE),"NA")</f>
        <v>Clallam</v>
      </c>
      <c r="L1707" t="str">
        <f>IFERROR(VLOOKUP(J1707,LUTs!$A$1:$C$73,3,FALSE),"NA")</f>
        <v>0Strait of Juan de Fuca</v>
      </c>
      <c r="M1707" s="72" t="s">
        <v>26</v>
      </c>
      <c r="N1707" t="str">
        <f>VLOOKUP(M1707,LUTs!E$2:H$14,3,)</f>
        <v>20Other</v>
      </c>
      <c r="O1707" t="str">
        <f>VLOOKUP(M1707,LUTs!E$2:H$14,4,)</f>
        <v>07Non Puget Sound</v>
      </c>
      <c r="P1707" s="80">
        <v>6.5</v>
      </c>
      <c r="Q1707" s="103">
        <v>3.25</v>
      </c>
      <c r="R1707" s="74">
        <f>VLOOKUP(B1707,Readme!A$40:C$52,3,)*Q1707</f>
        <v>27.754999999999995</v>
      </c>
    </row>
    <row r="1708" spans="1:18" ht="12" customHeight="1" x14ac:dyDescent="0.35">
      <c r="A1708" s="75">
        <v>1616</v>
      </c>
      <c r="B1708" s="80">
        <v>2016</v>
      </c>
      <c r="C1708" s="80">
        <v>1</v>
      </c>
      <c r="D1708" s="80">
        <f t="shared" si="96"/>
        <v>2015</v>
      </c>
      <c r="E1708" t="s">
        <v>38</v>
      </c>
      <c r="F1708" t="s">
        <v>143</v>
      </c>
      <c r="G1708" t="s">
        <v>86</v>
      </c>
      <c r="H1708" s="72" t="s">
        <v>241</v>
      </c>
      <c r="I1708" s="72" t="s">
        <v>83</v>
      </c>
      <c r="J1708" t="str">
        <f t="shared" si="97"/>
        <v>Nooksack River, below North Fork</v>
      </c>
      <c r="K1708" t="str">
        <f>IFERROR(VLOOKUP(J1708,LUTs!$A$1:$C$73,2,FALSE),"NA")</f>
        <v>Whatcom</v>
      </c>
      <c r="L1708" t="str">
        <f>IFERROR(VLOOKUP(J1708,LUTs!$A$1:$C$73,3,FALSE),"NA")</f>
        <v>1North Puget Sound</v>
      </c>
      <c r="M1708" s="72" t="s">
        <v>13</v>
      </c>
      <c r="N1708" t="str">
        <f>VLOOKUP(M1708,LUTs!E$2:H$14,3,)</f>
        <v>01Whatcom</v>
      </c>
      <c r="O1708" t="str">
        <f>VLOOKUP(M1708,LUTs!E$2:H$14,4,)</f>
        <v>01North Puget Sound</v>
      </c>
      <c r="P1708" s="80">
        <v>14</v>
      </c>
      <c r="Q1708" s="103">
        <v>7</v>
      </c>
      <c r="R1708" s="74">
        <f>VLOOKUP(B1708,Readme!A$40:C$52,3,)*Q1708</f>
        <v>59.779999999999994</v>
      </c>
    </row>
    <row r="1709" spans="1:18" ht="12" customHeight="1" x14ac:dyDescent="0.35">
      <c r="A1709" s="75">
        <v>1614</v>
      </c>
      <c r="B1709" s="80">
        <v>2016</v>
      </c>
      <c r="C1709" s="80">
        <v>1</v>
      </c>
      <c r="D1709" s="80">
        <f t="shared" si="96"/>
        <v>2015</v>
      </c>
      <c r="E1709" t="s">
        <v>38</v>
      </c>
      <c r="F1709" t="s">
        <v>143</v>
      </c>
      <c r="G1709" t="s">
        <v>86</v>
      </c>
      <c r="H1709" s="72" t="s">
        <v>239</v>
      </c>
      <c r="I1709" s="72" t="s">
        <v>92</v>
      </c>
      <c r="J1709" t="str">
        <f t="shared" si="97"/>
        <v>Nooksack River, No. Fork</v>
      </c>
      <c r="K1709" t="str">
        <f>IFERROR(VLOOKUP(J1709,LUTs!$A$1:$C$73,2,FALSE),"NA")</f>
        <v>Whatcom</v>
      </c>
      <c r="L1709" t="str">
        <f>IFERROR(VLOOKUP(J1709,LUTs!$A$1:$C$73,3,FALSE),"NA")</f>
        <v>1North Puget Sound</v>
      </c>
      <c r="M1709" s="72" t="s">
        <v>13</v>
      </c>
      <c r="N1709" t="str">
        <f>VLOOKUP(M1709,LUTs!E$2:H$14,3,)</f>
        <v>01Whatcom</v>
      </c>
      <c r="O1709" t="str">
        <f>VLOOKUP(M1709,LUTs!E$2:H$14,4,)</f>
        <v>01North Puget Sound</v>
      </c>
      <c r="P1709" s="80">
        <v>14</v>
      </c>
      <c r="Q1709" s="103">
        <v>7</v>
      </c>
      <c r="R1709" s="74">
        <f>VLOOKUP(B1709,Readme!A$40:C$52,3,)*Q1709</f>
        <v>59.779999999999994</v>
      </c>
    </row>
    <row r="1710" spans="1:18" ht="12" customHeight="1" x14ac:dyDescent="0.35">
      <c r="A1710" s="75">
        <v>1635</v>
      </c>
      <c r="B1710" s="80">
        <v>2016</v>
      </c>
      <c r="C1710" s="80">
        <v>1</v>
      </c>
      <c r="D1710" s="80">
        <f t="shared" si="96"/>
        <v>2015</v>
      </c>
      <c r="E1710" t="s">
        <v>38</v>
      </c>
      <c r="F1710" t="s">
        <v>143</v>
      </c>
      <c r="G1710" t="s">
        <v>86</v>
      </c>
      <c r="H1710" s="72" t="s">
        <v>228</v>
      </c>
      <c r="I1710" s="72" t="s">
        <v>70</v>
      </c>
      <c r="J1710" t="str">
        <f t="shared" si="97"/>
        <v>Pilchuck River (Snohomish System)</v>
      </c>
      <c r="K1710" t="str">
        <f>IFERROR(VLOOKUP(J1710,LUTs!$A$1:$C$73,2,FALSE),"NA")</f>
        <v>Snohomish</v>
      </c>
      <c r="L1710" t="str">
        <f>IFERROR(VLOOKUP(J1710,LUTs!$A$1:$C$73,3,FALSE),"NA")</f>
        <v>2Central Puget Sound</v>
      </c>
      <c r="M1710" s="72" t="s">
        <v>16</v>
      </c>
      <c r="N1710" t="str">
        <f>VLOOKUP(M1710,LUTs!E$2:H$14,3,)</f>
        <v>03Snohomish</v>
      </c>
      <c r="O1710" t="str">
        <f>VLOOKUP(M1710,LUTs!E$2:H$14,4,)</f>
        <v>01North Puget Sound</v>
      </c>
      <c r="P1710" s="80">
        <v>8</v>
      </c>
      <c r="Q1710" s="103">
        <v>4</v>
      </c>
      <c r="R1710" s="74">
        <f>VLOOKUP(B1710,Readme!A$40:C$52,3,)*Q1710</f>
        <v>34.159999999999997</v>
      </c>
    </row>
    <row r="1711" spans="1:18" ht="12" customHeight="1" x14ac:dyDescent="0.35">
      <c r="A1711" s="75">
        <v>1621</v>
      </c>
      <c r="B1711" s="80">
        <v>2016</v>
      </c>
      <c r="C1711" s="80">
        <v>1</v>
      </c>
      <c r="D1711" s="80">
        <f t="shared" si="96"/>
        <v>2015</v>
      </c>
      <c r="E1711" t="s">
        <v>38</v>
      </c>
      <c r="F1711" t="s">
        <v>143</v>
      </c>
      <c r="G1711" t="s">
        <v>86</v>
      </c>
      <c r="H1711" s="72" t="s">
        <v>244</v>
      </c>
      <c r="I1711" s="72" t="s">
        <v>95</v>
      </c>
      <c r="J1711" t="str">
        <f t="shared" si="97"/>
        <v>Sekiu River</v>
      </c>
      <c r="K1711" t="str">
        <f>IFERROR(VLOOKUP(J1711,LUTs!$A$1:$C$73,2,FALSE),"NA")</f>
        <v>Clallam</v>
      </c>
      <c r="L1711" t="str">
        <f>IFERROR(VLOOKUP(J1711,LUTs!$A$1:$C$73,3,FALSE),"NA")</f>
        <v>0Strait of Juan de Fuca</v>
      </c>
      <c r="M1711" s="72" t="s">
        <v>24</v>
      </c>
      <c r="N1711" t="str">
        <f>VLOOKUP(M1711,LUTs!E$2:H$14,3,)</f>
        <v>11Clallam</v>
      </c>
      <c r="O1711" t="str">
        <f>VLOOKUP(M1711,LUTs!E$2:H$14,4,)</f>
        <v>03Strait of Juan de Fuca</v>
      </c>
      <c r="P1711" s="80">
        <v>6</v>
      </c>
      <c r="Q1711" s="103">
        <v>3</v>
      </c>
      <c r="R1711" s="74">
        <f>VLOOKUP(B1711,Readme!A$40:C$52,3,)*Q1711</f>
        <v>25.619999999999997</v>
      </c>
    </row>
    <row r="1712" spans="1:18" ht="12" customHeight="1" x14ac:dyDescent="0.35">
      <c r="A1712" s="75">
        <v>1632</v>
      </c>
      <c r="B1712" s="80">
        <v>2016</v>
      </c>
      <c r="C1712" s="80">
        <v>1</v>
      </c>
      <c r="D1712" s="80">
        <f t="shared" si="96"/>
        <v>2015</v>
      </c>
      <c r="E1712" t="s">
        <v>38</v>
      </c>
      <c r="F1712" t="s">
        <v>143</v>
      </c>
      <c r="G1712" t="s">
        <v>86</v>
      </c>
      <c r="H1712" s="72" t="s">
        <v>218</v>
      </c>
      <c r="I1712" s="72" t="s">
        <v>60</v>
      </c>
      <c r="J1712" t="str">
        <f t="shared" si="97"/>
        <v>Skagit River</v>
      </c>
      <c r="K1712" t="str">
        <f>IFERROR(VLOOKUP(J1712,LUTs!$A$1:$C$73,2,FALSE),"NA")</f>
        <v>Skagit/Whatcom</v>
      </c>
      <c r="L1712" t="str">
        <f>IFERROR(VLOOKUP(J1712,LUTs!$A$1:$C$73,3,FALSE),"NA")</f>
        <v>2Central Puget Sound</v>
      </c>
      <c r="M1712" s="72" t="s">
        <v>15</v>
      </c>
      <c r="N1712" t="str">
        <f>VLOOKUP(M1712,LUTs!E$2:H$14,3,)</f>
        <v>02Skagit</v>
      </c>
      <c r="O1712" t="str">
        <f>VLOOKUP(M1712,LUTs!E$2:H$14,4,)</f>
        <v>01North Puget Sound</v>
      </c>
      <c r="P1712" s="80">
        <v>13</v>
      </c>
      <c r="Q1712" s="103">
        <v>6.5</v>
      </c>
      <c r="R1712" s="74">
        <f>VLOOKUP(B1712,Readme!A$40:C$52,3,)*Q1712</f>
        <v>55.509999999999991</v>
      </c>
    </row>
    <row r="1713" spans="1:18" ht="12" customHeight="1" x14ac:dyDescent="0.35">
      <c r="A1713" s="75">
        <v>1633</v>
      </c>
      <c r="B1713" s="80">
        <v>2016</v>
      </c>
      <c r="C1713" s="80">
        <v>1</v>
      </c>
      <c r="D1713" s="80">
        <f t="shared" si="96"/>
        <v>2015</v>
      </c>
      <c r="E1713" t="s">
        <v>38</v>
      </c>
      <c r="F1713" t="s">
        <v>143</v>
      </c>
      <c r="G1713" t="s">
        <v>86</v>
      </c>
      <c r="H1713" s="72" t="s">
        <v>218</v>
      </c>
      <c r="I1713" s="72" t="s">
        <v>60</v>
      </c>
      <c r="J1713" t="str">
        <f t="shared" si="97"/>
        <v>Skagit River</v>
      </c>
      <c r="K1713" t="str">
        <f>IFERROR(VLOOKUP(J1713,LUTs!$A$1:$C$73,2,FALSE),"NA")</f>
        <v>Skagit/Whatcom</v>
      </c>
      <c r="L1713" t="str">
        <f>IFERROR(VLOOKUP(J1713,LUTs!$A$1:$C$73,3,FALSE),"NA")</f>
        <v>2Central Puget Sound</v>
      </c>
      <c r="M1713" s="72" t="s">
        <v>16</v>
      </c>
      <c r="N1713" t="str">
        <f>VLOOKUP(M1713,LUTs!E$2:H$14,3,)</f>
        <v>03Snohomish</v>
      </c>
      <c r="O1713" t="str">
        <f>VLOOKUP(M1713,LUTs!E$2:H$14,4,)</f>
        <v>01North Puget Sound</v>
      </c>
      <c r="P1713" s="80">
        <v>6.5</v>
      </c>
      <c r="Q1713" s="103">
        <v>3.25</v>
      </c>
      <c r="R1713" s="74">
        <f>VLOOKUP(B1713,Readme!A$40:C$52,3,)*Q1713</f>
        <v>27.754999999999995</v>
      </c>
    </row>
    <row r="1714" spans="1:18" ht="12" customHeight="1" x14ac:dyDescent="0.35">
      <c r="A1714" s="75">
        <v>1634</v>
      </c>
      <c r="B1714" s="80">
        <v>2016</v>
      </c>
      <c r="C1714" s="80">
        <v>1</v>
      </c>
      <c r="D1714" s="80">
        <f t="shared" si="96"/>
        <v>2015</v>
      </c>
      <c r="E1714" t="s">
        <v>38</v>
      </c>
      <c r="F1714" t="s">
        <v>143</v>
      </c>
      <c r="G1714" t="s">
        <v>86</v>
      </c>
      <c r="H1714" s="72" t="s">
        <v>218</v>
      </c>
      <c r="I1714" s="72" t="s">
        <v>60</v>
      </c>
      <c r="J1714" t="str">
        <f t="shared" si="97"/>
        <v>Skagit River</v>
      </c>
      <c r="K1714" t="str">
        <f>IFERROR(VLOOKUP(J1714,LUTs!$A$1:$C$73,2,FALSE),"NA")</f>
        <v>Skagit/Whatcom</v>
      </c>
      <c r="L1714" t="str">
        <f>IFERROR(VLOOKUP(J1714,LUTs!$A$1:$C$73,3,FALSE),"NA")</f>
        <v>2Central Puget Sound</v>
      </c>
      <c r="M1714" s="72" t="s">
        <v>13</v>
      </c>
      <c r="N1714" t="str">
        <f>VLOOKUP(M1714,LUTs!E$2:H$14,3,)</f>
        <v>01Whatcom</v>
      </c>
      <c r="O1714" t="str">
        <f>VLOOKUP(M1714,LUTs!E$2:H$14,4,)</f>
        <v>01North Puget Sound</v>
      </c>
      <c r="P1714" s="80">
        <v>6.5</v>
      </c>
      <c r="Q1714" s="103">
        <v>3.25</v>
      </c>
      <c r="R1714" s="74">
        <f>VLOOKUP(B1714,Readme!A$40:C$52,3,)*Q1714</f>
        <v>27.754999999999995</v>
      </c>
    </row>
    <row r="1715" spans="1:18" ht="12" customHeight="1" x14ac:dyDescent="0.35">
      <c r="A1715" s="75">
        <v>1662</v>
      </c>
      <c r="B1715" s="80">
        <v>2016</v>
      </c>
      <c r="C1715" s="80">
        <v>1</v>
      </c>
      <c r="D1715" s="80">
        <f t="shared" si="96"/>
        <v>2015</v>
      </c>
      <c r="E1715" t="s">
        <v>38</v>
      </c>
      <c r="F1715" t="s">
        <v>143</v>
      </c>
      <c r="G1715" t="s">
        <v>86</v>
      </c>
      <c r="H1715" s="72" t="s">
        <v>220</v>
      </c>
      <c r="I1715" s="72" t="s">
        <v>62</v>
      </c>
      <c r="J1715" t="str">
        <f t="shared" si="97"/>
        <v>Skykomish River</v>
      </c>
      <c r="K1715" t="str">
        <f>IFERROR(VLOOKUP(J1715,LUTs!$A$1:$C$73,2,FALSE),"NA")</f>
        <v>Snohomish</v>
      </c>
      <c r="L1715" t="str">
        <f>IFERROR(VLOOKUP(J1715,LUTs!$A$1:$C$73,3,FALSE),"NA")</f>
        <v>2Central Puget Sound</v>
      </c>
      <c r="M1715" s="72" t="s">
        <v>18</v>
      </c>
      <c r="N1715" t="str">
        <f>VLOOKUP(M1715,LUTs!E$2:H$14,3,)</f>
        <v>06King</v>
      </c>
      <c r="O1715" t="str">
        <f>VLOOKUP(M1715,LUTs!E$2:H$14,4,)</f>
        <v>02South Puget Sound</v>
      </c>
      <c r="P1715" s="80">
        <v>568.84153005464498</v>
      </c>
      <c r="Q1715" s="103">
        <v>284.420765027323</v>
      </c>
      <c r="R1715" s="74">
        <f>VLOOKUP(B1715,Readme!A$40:C$52,3,)*Q1715</f>
        <v>2428.9533333333384</v>
      </c>
    </row>
    <row r="1716" spans="1:18" ht="12" customHeight="1" x14ac:dyDescent="0.35">
      <c r="A1716" s="75">
        <v>1663</v>
      </c>
      <c r="B1716" s="80">
        <v>2016</v>
      </c>
      <c r="C1716" s="80">
        <v>1</v>
      </c>
      <c r="D1716" s="80">
        <f t="shared" si="96"/>
        <v>2015</v>
      </c>
      <c r="E1716" t="s">
        <v>38</v>
      </c>
      <c r="F1716" t="s">
        <v>143</v>
      </c>
      <c r="G1716" t="s">
        <v>86</v>
      </c>
      <c r="H1716" s="72" t="s">
        <v>220</v>
      </c>
      <c r="I1716" s="72" t="s">
        <v>62</v>
      </c>
      <c r="J1716" t="str">
        <f t="shared" si="97"/>
        <v>Skykomish River</v>
      </c>
      <c r="K1716" t="str">
        <f>IFERROR(VLOOKUP(J1716,LUTs!$A$1:$C$73,2,FALSE),"NA")</f>
        <v>Snohomish</v>
      </c>
      <c r="L1716" t="str">
        <f>IFERROR(VLOOKUP(J1716,LUTs!$A$1:$C$73,3,FALSE),"NA")</f>
        <v>2Central Puget Sound</v>
      </c>
      <c r="M1716" s="72" t="s">
        <v>20</v>
      </c>
      <c r="N1716" t="str">
        <f>VLOOKUP(M1716,LUTs!E$2:H$14,3,)</f>
        <v>07Pierce</v>
      </c>
      <c r="O1716" t="str">
        <f>VLOOKUP(M1716,LUTs!E$2:H$14,4,)</f>
        <v>02South Puget Sound</v>
      </c>
      <c r="P1716" s="80">
        <v>15.584699453551901</v>
      </c>
      <c r="Q1716" s="103">
        <v>7.7923497267759601</v>
      </c>
      <c r="R1716" s="74">
        <f>VLOOKUP(B1716,Readme!A$40:C$52,3,)*Q1716</f>
        <v>66.546666666666695</v>
      </c>
    </row>
    <row r="1717" spans="1:18" ht="12" customHeight="1" x14ac:dyDescent="0.35">
      <c r="A1717" s="75">
        <v>1664</v>
      </c>
      <c r="B1717" s="80">
        <v>2016</v>
      </c>
      <c r="C1717" s="80">
        <v>1</v>
      </c>
      <c r="D1717" s="80">
        <f t="shared" si="96"/>
        <v>2015</v>
      </c>
      <c r="E1717" t="s">
        <v>38</v>
      </c>
      <c r="F1717" t="s">
        <v>143</v>
      </c>
      <c r="G1717" t="s">
        <v>86</v>
      </c>
      <c r="H1717" s="72" t="s">
        <v>220</v>
      </c>
      <c r="I1717" s="72" t="s">
        <v>62</v>
      </c>
      <c r="J1717" t="str">
        <f t="shared" si="97"/>
        <v>Skykomish River</v>
      </c>
      <c r="K1717" t="str">
        <f>IFERROR(VLOOKUP(J1717,LUTs!$A$1:$C$73,2,FALSE),"NA")</f>
        <v>Snohomish</v>
      </c>
      <c r="L1717" t="str">
        <f>IFERROR(VLOOKUP(J1717,LUTs!$A$1:$C$73,3,FALSE),"NA")</f>
        <v>2Central Puget Sound</v>
      </c>
      <c r="M1717" s="72" t="s">
        <v>15</v>
      </c>
      <c r="N1717" t="str">
        <f>VLOOKUP(M1717,LUTs!E$2:H$14,3,)</f>
        <v>02Skagit</v>
      </c>
      <c r="O1717" t="str">
        <f>VLOOKUP(M1717,LUTs!E$2:H$14,4,)</f>
        <v>01North Puget Sound</v>
      </c>
      <c r="P1717" s="80">
        <v>7.7923497267759601</v>
      </c>
      <c r="Q1717" s="103">
        <v>3.89617486338798</v>
      </c>
      <c r="R1717" s="74">
        <f>VLOOKUP(B1717,Readme!A$40:C$52,3,)*Q1717</f>
        <v>33.273333333333348</v>
      </c>
    </row>
    <row r="1718" spans="1:18" ht="12" customHeight="1" x14ac:dyDescent="0.35">
      <c r="A1718" s="75">
        <v>1665</v>
      </c>
      <c r="B1718" s="80">
        <v>2016</v>
      </c>
      <c r="C1718" s="80">
        <v>1</v>
      </c>
      <c r="D1718" s="80">
        <f t="shared" si="96"/>
        <v>2015</v>
      </c>
      <c r="E1718" t="s">
        <v>38</v>
      </c>
      <c r="F1718" t="s">
        <v>143</v>
      </c>
      <c r="G1718" t="s">
        <v>86</v>
      </c>
      <c r="H1718" s="72" t="s">
        <v>220</v>
      </c>
      <c r="I1718" s="72" t="s">
        <v>62</v>
      </c>
      <c r="J1718" t="str">
        <f t="shared" si="97"/>
        <v>Skykomish River</v>
      </c>
      <c r="K1718" t="str">
        <f>IFERROR(VLOOKUP(J1718,LUTs!$A$1:$C$73,2,FALSE),"NA")</f>
        <v>Snohomish</v>
      </c>
      <c r="L1718" t="str">
        <f>IFERROR(VLOOKUP(J1718,LUTs!$A$1:$C$73,3,FALSE),"NA")</f>
        <v>2Central Puget Sound</v>
      </c>
      <c r="M1718" s="72" t="s">
        <v>16</v>
      </c>
      <c r="N1718" t="str">
        <f>VLOOKUP(M1718,LUTs!E$2:H$14,3,)</f>
        <v>03Snohomish</v>
      </c>
      <c r="O1718" t="str">
        <f>VLOOKUP(M1718,LUTs!E$2:H$14,4,)</f>
        <v>01North Puget Sound</v>
      </c>
      <c r="P1718" s="80">
        <v>833.78142076502695</v>
      </c>
      <c r="Q1718" s="103">
        <v>416.89071038251399</v>
      </c>
      <c r="R1718" s="74">
        <f>VLOOKUP(B1718,Readme!A$40:C$52,3,)*Q1718</f>
        <v>3560.2466666666692</v>
      </c>
    </row>
    <row r="1719" spans="1:18" ht="12" customHeight="1" x14ac:dyDescent="0.35">
      <c r="A1719" s="75">
        <v>1674</v>
      </c>
      <c r="B1719" s="80">
        <v>2016</v>
      </c>
      <c r="C1719" s="80">
        <v>1</v>
      </c>
      <c r="D1719" s="80">
        <f t="shared" si="96"/>
        <v>2015</v>
      </c>
      <c r="E1719" t="s">
        <v>38</v>
      </c>
      <c r="F1719" t="s">
        <v>143</v>
      </c>
      <c r="G1719" t="s">
        <v>86</v>
      </c>
      <c r="H1719" s="72" t="s">
        <v>247</v>
      </c>
      <c r="I1719" s="72" t="s">
        <v>98</v>
      </c>
      <c r="J1719" t="str">
        <f t="shared" si="97"/>
        <v>Skykomish River, No. Fork</v>
      </c>
      <c r="K1719" t="str">
        <f>IFERROR(VLOOKUP(J1719,LUTs!$A$1:$C$73,2,FALSE),"NA")</f>
        <v>Snohomish</v>
      </c>
      <c r="L1719" t="str">
        <f>IFERROR(VLOOKUP(J1719,LUTs!$A$1:$C$73,3,FALSE),"NA")</f>
        <v>2Central Puget Sound</v>
      </c>
      <c r="M1719" s="72" t="s">
        <v>16</v>
      </c>
      <c r="N1719" t="str">
        <f>VLOOKUP(M1719,LUTs!E$2:H$14,3,)</f>
        <v>03Snohomish</v>
      </c>
      <c r="O1719" t="str">
        <f>VLOOKUP(M1719,LUTs!E$2:H$14,4,)</f>
        <v>01North Puget Sound</v>
      </c>
      <c r="P1719" s="80">
        <v>8</v>
      </c>
      <c r="Q1719" s="103">
        <v>4</v>
      </c>
      <c r="R1719" s="74">
        <f>VLOOKUP(B1719,Readme!A$40:C$52,3,)*Q1719</f>
        <v>34.159999999999997</v>
      </c>
    </row>
    <row r="1720" spans="1:18" ht="12" customHeight="1" x14ac:dyDescent="0.35">
      <c r="A1720" s="75">
        <v>1679</v>
      </c>
      <c r="B1720" s="80">
        <v>2016</v>
      </c>
      <c r="C1720" s="80">
        <v>1</v>
      </c>
      <c r="D1720" s="80">
        <f t="shared" si="96"/>
        <v>2015</v>
      </c>
      <c r="E1720" t="s">
        <v>38</v>
      </c>
      <c r="F1720" t="s">
        <v>143</v>
      </c>
      <c r="G1720" t="s">
        <v>86</v>
      </c>
      <c r="H1720" s="72" t="s">
        <v>248</v>
      </c>
      <c r="I1720" s="72" t="s">
        <v>99</v>
      </c>
      <c r="J1720" t="str">
        <f t="shared" si="97"/>
        <v>Skykomish River, So. Fork</v>
      </c>
      <c r="K1720" t="str">
        <f>IFERROR(VLOOKUP(J1720,LUTs!$A$1:$C$73,2,FALSE),"NA")</f>
        <v>Snohomish/King</v>
      </c>
      <c r="L1720" t="str">
        <f>IFERROR(VLOOKUP(J1720,LUTs!$A$1:$C$73,3,FALSE),"NA")</f>
        <v>2Central Puget Sound</v>
      </c>
      <c r="M1720" s="72" t="s">
        <v>18</v>
      </c>
      <c r="N1720" t="str">
        <f>VLOOKUP(M1720,LUTs!E$2:H$14,3,)</f>
        <v>06King</v>
      </c>
      <c r="O1720" t="str">
        <f>VLOOKUP(M1720,LUTs!E$2:H$14,4,)</f>
        <v>02South Puget Sound</v>
      </c>
      <c r="P1720" s="80">
        <v>8</v>
      </c>
      <c r="Q1720" s="103">
        <v>4</v>
      </c>
      <c r="R1720" s="74">
        <f>VLOOKUP(B1720,Readme!A$40:C$52,3,)*Q1720</f>
        <v>34.159999999999997</v>
      </c>
    </row>
    <row r="1721" spans="1:18" ht="12" customHeight="1" x14ac:dyDescent="0.35">
      <c r="A1721" s="75">
        <v>1680</v>
      </c>
      <c r="B1721" s="80">
        <v>2016</v>
      </c>
      <c r="C1721" s="80">
        <v>1</v>
      </c>
      <c r="D1721" s="80">
        <f t="shared" si="96"/>
        <v>2015</v>
      </c>
      <c r="E1721" t="s">
        <v>38</v>
      </c>
      <c r="F1721" t="s">
        <v>143</v>
      </c>
      <c r="G1721" t="s">
        <v>86</v>
      </c>
      <c r="H1721" s="72" t="s">
        <v>248</v>
      </c>
      <c r="I1721" s="72" t="s">
        <v>99</v>
      </c>
      <c r="J1721" t="str">
        <f t="shared" si="97"/>
        <v>Skykomish River, So. Fork</v>
      </c>
      <c r="K1721" t="str">
        <f>IFERROR(VLOOKUP(J1721,LUTs!$A$1:$C$73,2,FALSE),"NA")</f>
        <v>Snohomish/King</v>
      </c>
      <c r="L1721" t="str">
        <f>IFERROR(VLOOKUP(J1721,LUTs!$A$1:$C$73,3,FALSE),"NA")</f>
        <v>2Central Puget Sound</v>
      </c>
      <c r="M1721" s="72" t="s">
        <v>23</v>
      </c>
      <c r="N1721" t="str">
        <f>VLOOKUP(M1721,LUTs!E$2:H$14,3,)</f>
        <v>10Kitsap</v>
      </c>
      <c r="O1721" t="str">
        <f>VLOOKUP(M1721,LUTs!E$2:H$14,4,)</f>
        <v>02South Puget Sound</v>
      </c>
      <c r="P1721" s="80">
        <v>8</v>
      </c>
      <c r="Q1721" s="103">
        <v>4</v>
      </c>
      <c r="R1721" s="74">
        <f>VLOOKUP(B1721,Readme!A$40:C$52,3,)*Q1721</f>
        <v>34.159999999999997</v>
      </c>
    </row>
    <row r="1722" spans="1:18" ht="12" customHeight="1" x14ac:dyDescent="0.35">
      <c r="A1722" s="75">
        <v>1681</v>
      </c>
      <c r="B1722" s="80">
        <v>2016</v>
      </c>
      <c r="C1722" s="80">
        <v>1</v>
      </c>
      <c r="D1722" s="80">
        <f t="shared" si="96"/>
        <v>2015</v>
      </c>
      <c r="E1722" t="s">
        <v>38</v>
      </c>
      <c r="F1722" t="s">
        <v>143</v>
      </c>
      <c r="G1722" t="s">
        <v>86</v>
      </c>
      <c r="H1722" s="72" t="s">
        <v>248</v>
      </c>
      <c r="I1722" s="72" t="s">
        <v>99</v>
      </c>
      <c r="J1722" t="str">
        <f t="shared" si="97"/>
        <v>Skykomish River, So. Fork</v>
      </c>
      <c r="K1722" t="str">
        <f>IFERROR(VLOOKUP(J1722,LUTs!$A$1:$C$73,2,FALSE),"NA")</f>
        <v>Snohomish/King</v>
      </c>
      <c r="L1722" t="str">
        <f>IFERROR(VLOOKUP(J1722,LUTs!$A$1:$C$73,3,FALSE),"NA")</f>
        <v>2Central Puget Sound</v>
      </c>
      <c r="M1722" s="72" t="s">
        <v>26</v>
      </c>
      <c r="N1722" t="str">
        <f>VLOOKUP(M1722,LUTs!E$2:H$14,3,)</f>
        <v>20Other</v>
      </c>
      <c r="O1722" t="str">
        <f>VLOOKUP(M1722,LUTs!E$2:H$14,4,)</f>
        <v>07Non Puget Sound</v>
      </c>
      <c r="P1722" s="80">
        <v>8</v>
      </c>
      <c r="Q1722" s="103">
        <v>4</v>
      </c>
      <c r="R1722" s="74">
        <f>VLOOKUP(B1722,Readme!A$40:C$52,3,)*Q1722</f>
        <v>34.159999999999997</v>
      </c>
    </row>
    <row r="1723" spans="1:18" ht="12" customHeight="1" x14ac:dyDescent="0.35">
      <c r="A1723" s="75">
        <v>1690</v>
      </c>
      <c r="B1723" s="80">
        <v>2016</v>
      </c>
      <c r="C1723" s="80">
        <v>1</v>
      </c>
      <c r="D1723" s="80">
        <f t="shared" si="96"/>
        <v>2015</v>
      </c>
      <c r="E1723" t="s">
        <v>38</v>
      </c>
      <c r="F1723" t="s">
        <v>143</v>
      </c>
      <c r="G1723" t="s">
        <v>86</v>
      </c>
      <c r="H1723" s="72" t="s">
        <v>221</v>
      </c>
      <c r="I1723" s="72" t="s">
        <v>63</v>
      </c>
      <c r="J1723" t="str">
        <f t="shared" si="97"/>
        <v>Snohomish River</v>
      </c>
      <c r="K1723" t="str">
        <f>IFERROR(VLOOKUP(J1723,LUTs!$A$1:$C$73,2,FALSE),"NA")</f>
        <v>Snohomish</v>
      </c>
      <c r="L1723" t="str">
        <f>IFERROR(VLOOKUP(J1723,LUTs!$A$1:$C$73,3,FALSE),"NA")</f>
        <v>2Central Puget Sound</v>
      </c>
      <c r="M1723" s="72" t="s">
        <v>16</v>
      </c>
      <c r="N1723" t="str">
        <f>VLOOKUP(M1723,LUTs!E$2:H$14,3,)</f>
        <v>03Snohomish</v>
      </c>
      <c r="O1723" t="str">
        <f>VLOOKUP(M1723,LUTs!E$2:H$14,4,)</f>
        <v>01North Puget Sound</v>
      </c>
      <c r="P1723" s="80">
        <v>62</v>
      </c>
      <c r="Q1723" s="103">
        <v>31</v>
      </c>
      <c r="R1723" s="74">
        <f>VLOOKUP(B1723,Readme!A$40:C$52,3,)*Q1723</f>
        <v>264.73999999999995</v>
      </c>
    </row>
    <row r="1724" spans="1:18" ht="12" customHeight="1" x14ac:dyDescent="0.35">
      <c r="A1724" s="75">
        <v>1699</v>
      </c>
      <c r="B1724" s="80">
        <v>2016</v>
      </c>
      <c r="C1724" s="80">
        <v>1</v>
      </c>
      <c r="D1724" s="80">
        <f t="shared" si="96"/>
        <v>2015</v>
      </c>
      <c r="E1724" t="s">
        <v>38</v>
      </c>
      <c r="F1724" t="s">
        <v>143</v>
      </c>
      <c r="G1724" t="s">
        <v>86</v>
      </c>
      <c r="H1724" s="72" t="s">
        <v>222</v>
      </c>
      <c r="I1724" s="72" t="s">
        <v>64</v>
      </c>
      <c r="J1724" t="str">
        <f t="shared" si="97"/>
        <v>Snoqualmie River</v>
      </c>
      <c r="K1724" t="str">
        <f>IFERROR(VLOOKUP(J1724,LUTs!$A$1:$C$73,2,FALSE),"NA")</f>
        <v>Snohomish/King</v>
      </c>
      <c r="L1724" t="str">
        <f>IFERROR(VLOOKUP(J1724,LUTs!$A$1:$C$73,3,FALSE),"NA")</f>
        <v>2Central Puget Sound</v>
      </c>
      <c r="M1724" s="72" t="s">
        <v>18</v>
      </c>
      <c r="N1724" t="str">
        <f>VLOOKUP(M1724,LUTs!E$2:H$14,3,)</f>
        <v>06King</v>
      </c>
      <c r="O1724" t="str">
        <f>VLOOKUP(M1724,LUTs!E$2:H$14,4,)</f>
        <v>02South Puget Sound</v>
      </c>
      <c r="P1724" s="80">
        <v>132</v>
      </c>
      <c r="Q1724" s="103">
        <v>66</v>
      </c>
      <c r="R1724" s="74">
        <f>VLOOKUP(B1724,Readme!A$40:C$52,3,)*Q1724</f>
        <v>563.64</v>
      </c>
    </row>
    <row r="1725" spans="1:18" ht="12" customHeight="1" x14ac:dyDescent="0.35">
      <c r="A1725" s="75">
        <v>1725</v>
      </c>
      <c r="B1725" s="80">
        <v>2016</v>
      </c>
      <c r="C1725" s="80">
        <v>1</v>
      </c>
      <c r="D1725" s="80">
        <f t="shared" si="96"/>
        <v>2015</v>
      </c>
      <c r="E1725" t="s">
        <v>38</v>
      </c>
      <c r="F1725" t="s">
        <v>143</v>
      </c>
      <c r="G1725" t="s">
        <v>86</v>
      </c>
      <c r="H1725" s="72" t="s">
        <v>252</v>
      </c>
      <c r="I1725" s="72" t="s">
        <v>104</v>
      </c>
      <c r="J1725" t="str">
        <f t="shared" si="97"/>
        <v>Stillaguamish R, So. Fork</v>
      </c>
      <c r="K1725" t="str">
        <f>IFERROR(VLOOKUP(J1725,LUTs!$A$1:$C$73,2,FALSE),"NA")</f>
        <v>Snohomish</v>
      </c>
      <c r="L1725" t="str">
        <f>IFERROR(VLOOKUP(J1725,LUTs!$A$1:$C$73,3,FALSE),"NA")</f>
        <v>2Central Puget Sound</v>
      </c>
      <c r="M1725" s="72" t="s">
        <v>16</v>
      </c>
      <c r="N1725" t="str">
        <f>VLOOKUP(M1725,LUTs!E$2:H$14,3,)</f>
        <v>03Snohomish</v>
      </c>
      <c r="O1725" t="str">
        <f>VLOOKUP(M1725,LUTs!E$2:H$14,4,)</f>
        <v>01North Puget Sound</v>
      </c>
      <c r="P1725" s="80">
        <v>6</v>
      </c>
      <c r="Q1725" s="103">
        <v>3</v>
      </c>
      <c r="R1725" s="74">
        <f>VLOOKUP(B1725,Readme!A$40:C$52,3,)*Q1725</f>
        <v>25.619999999999997</v>
      </c>
    </row>
    <row r="1726" spans="1:18" ht="12" customHeight="1" x14ac:dyDescent="0.35">
      <c r="A1726" s="75">
        <v>1728</v>
      </c>
      <c r="B1726" s="80">
        <v>2016</v>
      </c>
      <c r="C1726" s="80">
        <v>1</v>
      </c>
      <c r="D1726" s="80">
        <f t="shared" si="96"/>
        <v>2015</v>
      </c>
      <c r="E1726" t="s">
        <v>38</v>
      </c>
      <c r="F1726" t="s">
        <v>143</v>
      </c>
      <c r="G1726" t="s">
        <v>86</v>
      </c>
      <c r="H1726" s="72" t="s">
        <v>253</v>
      </c>
      <c r="I1726" s="72" t="s">
        <v>65</v>
      </c>
      <c r="J1726" t="str">
        <f t="shared" si="97"/>
        <v>Stillaguamish River</v>
      </c>
      <c r="K1726" t="str">
        <f>IFERROR(VLOOKUP(J1726,LUTs!$A$1:$C$73,2,FALSE),"NA")</f>
        <v>Snohomish</v>
      </c>
      <c r="L1726" t="str">
        <f>IFERROR(VLOOKUP(J1726,LUTs!$A$1:$C$73,3,FALSE),"NA")</f>
        <v>2Central Puget Sound</v>
      </c>
      <c r="M1726" s="72" t="s">
        <v>18</v>
      </c>
      <c r="N1726" t="str">
        <f>VLOOKUP(M1726,LUTs!E$2:H$14,3,)</f>
        <v>06King</v>
      </c>
      <c r="O1726" t="str">
        <f>VLOOKUP(M1726,LUTs!E$2:H$14,4,)</f>
        <v>02South Puget Sound</v>
      </c>
      <c r="P1726" s="80">
        <v>6.6666666666666696</v>
      </c>
      <c r="Q1726" s="103">
        <v>3.3333333333333299</v>
      </c>
      <c r="R1726" s="74">
        <f>VLOOKUP(B1726,Readme!A$40:C$52,3,)*Q1726</f>
        <v>28.466666666666633</v>
      </c>
    </row>
    <row r="1727" spans="1:18" ht="12" customHeight="1" x14ac:dyDescent="0.35">
      <c r="A1727" s="75">
        <v>1729</v>
      </c>
      <c r="B1727" s="80">
        <v>2016</v>
      </c>
      <c r="C1727" s="80">
        <v>1</v>
      </c>
      <c r="D1727" s="80">
        <f t="shared" si="96"/>
        <v>2015</v>
      </c>
      <c r="E1727" t="s">
        <v>38</v>
      </c>
      <c r="F1727" t="s">
        <v>143</v>
      </c>
      <c r="G1727" t="s">
        <v>86</v>
      </c>
      <c r="H1727" s="72" t="s">
        <v>253</v>
      </c>
      <c r="I1727" s="72" t="s">
        <v>65</v>
      </c>
      <c r="J1727" t="str">
        <f t="shared" si="97"/>
        <v>Stillaguamish River</v>
      </c>
      <c r="K1727" t="str">
        <f>IFERROR(VLOOKUP(J1727,LUTs!$A$1:$C$73,2,FALSE),"NA")</f>
        <v>Snohomish</v>
      </c>
      <c r="L1727" t="str">
        <f>IFERROR(VLOOKUP(J1727,LUTs!$A$1:$C$73,3,FALSE),"NA")</f>
        <v>2Central Puget Sound</v>
      </c>
      <c r="M1727" s="72" t="s">
        <v>16</v>
      </c>
      <c r="N1727" t="str">
        <f>VLOOKUP(M1727,LUTs!E$2:H$14,3,)</f>
        <v>03Snohomish</v>
      </c>
      <c r="O1727" t="str">
        <f>VLOOKUP(M1727,LUTs!E$2:H$14,4,)</f>
        <v>01North Puget Sound</v>
      </c>
      <c r="P1727" s="80">
        <v>13.3333333333333</v>
      </c>
      <c r="Q1727" s="103">
        <v>6.6666666666666696</v>
      </c>
      <c r="R1727" s="74">
        <f>VLOOKUP(B1727,Readme!A$40:C$52,3,)*Q1727</f>
        <v>56.933333333333351</v>
      </c>
    </row>
    <row r="1728" spans="1:18" ht="12" customHeight="1" x14ac:dyDescent="0.35">
      <c r="A1728" s="75">
        <v>1705</v>
      </c>
      <c r="B1728" s="80">
        <v>2016</v>
      </c>
      <c r="C1728" s="80">
        <v>1</v>
      </c>
      <c r="D1728" s="80">
        <f t="shared" si="96"/>
        <v>2015</v>
      </c>
      <c r="E1728" t="s">
        <v>38</v>
      </c>
      <c r="F1728" t="s">
        <v>143</v>
      </c>
      <c r="G1728" t="s">
        <v>86</v>
      </c>
      <c r="H1728" s="72" t="s">
        <v>250</v>
      </c>
      <c r="I1728" s="72" t="s">
        <v>101</v>
      </c>
      <c r="J1728" t="str">
        <f t="shared" si="97"/>
        <v>Tokul Creek</v>
      </c>
      <c r="K1728" t="str">
        <f>IFERROR(VLOOKUP(J1728,LUTs!$A$1:$C$73,2,FALSE),"NA")</f>
        <v>King</v>
      </c>
      <c r="L1728" t="str">
        <f>IFERROR(VLOOKUP(J1728,LUTs!$A$1:$C$73,3,FALSE),"NA")</f>
        <v>2Central Puget Sound</v>
      </c>
      <c r="M1728" s="72" t="s">
        <v>18</v>
      </c>
      <c r="N1728" t="str">
        <f>VLOOKUP(M1728,LUTs!E$2:H$14,3,)</f>
        <v>06King</v>
      </c>
      <c r="O1728" t="str">
        <f>VLOOKUP(M1728,LUTs!E$2:H$14,4,)</f>
        <v>02South Puget Sound</v>
      </c>
      <c r="P1728" s="80">
        <v>241.111111111111</v>
      </c>
      <c r="Q1728" s="103">
        <v>120.555555555556</v>
      </c>
      <c r="R1728" s="74">
        <f>VLOOKUP(B1728,Readme!A$40:C$52,3,)*Q1728</f>
        <v>1029.5444444444481</v>
      </c>
    </row>
    <row r="1729" spans="1:18" ht="12" customHeight="1" x14ac:dyDescent="0.35">
      <c r="A1729" s="75">
        <v>1706</v>
      </c>
      <c r="B1729" s="80">
        <v>2016</v>
      </c>
      <c r="C1729" s="80">
        <v>1</v>
      </c>
      <c r="D1729" s="80">
        <f t="shared" si="96"/>
        <v>2015</v>
      </c>
      <c r="E1729" t="s">
        <v>38</v>
      </c>
      <c r="F1729" t="s">
        <v>143</v>
      </c>
      <c r="G1729" t="s">
        <v>86</v>
      </c>
      <c r="H1729" s="72" t="s">
        <v>250</v>
      </c>
      <c r="I1729" s="72" t="s">
        <v>101</v>
      </c>
      <c r="J1729" t="str">
        <f t="shared" si="97"/>
        <v>Tokul Creek</v>
      </c>
      <c r="K1729" t="str">
        <f>IFERROR(VLOOKUP(J1729,LUTs!$A$1:$C$73,2,FALSE),"NA")</f>
        <v>King</v>
      </c>
      <c r="L1729" t="str">
        <f>IFERROR(VLOOKUP(J1729,LUTs!$A$1:$C$73,3,FALSE),"NA")</f>
        <v>2Central Puget Sound</v>
      </c>
      <c r="M1729" s="72" t="s">
        <v>20</v>
      </c>
      <c r="N1729" t="str">
        <f>VLOOKUP(M1729,LUTs!E$2:H$14,3,)</f>
        <v>07Pierce</v>
      </c>
      <c r="O1729" t="str">
        <f>VLOOKUP(M1729,LUTs!E$2:H$14,4,)</f>
        <v>02South Puget Sound</v>
      </c>
      <c r="P1729" s="80">
        <v>23.3333333333333</v>
      </c>
      <c r="Q1729" s="103">
        <v>11.6666666666667</v>
      </c>
      <c r="R1729" s="74">
        <f>VLOOKUP(B1729,Readme!A$40:C$52,3,)*Q1729</f>
        <v>99.63333333333361</v>
      </c>
    </row>
    <row r="1730" spans="1:18" ht="12" customHeight="1" x14ac:dyDescent="0.35">
      <c r="A1730" s="75">
        <v>1707</v>
      </c>
      <c r="B1730" s="80">
        <v>2016</v>
      </c>
      <c r="C1730" s="80">
        <v>1</v>
      </c>
      <c r="D1730" s="80">
        <f t="shared" ref="D1730:D1793" si="98">IF(C1730&gt;3,B1730,B1730-1)</f>
        <v>2015</v>
      </c>
      <c r="E1730" t="s">
        <v>38</v>
      </c>
      <c r="F1730" t="s">
        <v>143</v>
      </c>
      <c r="G1730" t="s">
        <v>86</v>
      </c>
      <c r="H1730" s="72" t="s">
        <v>250</v>
      </c>
      <c r="I1730" s="72" t="s">
        <v>101</v>
      </c>
      <c r="J1730" t="str">
        <f t="shared" si="97"/>
        <v>Tokul Creek</v>
      </c>
      <c r="K1730" t="str">
        <f>IFERROR(VLOOKUP(J1730,LUTs!$A$1:$C$73,2,FALSE),"NA")</f>
        <v>King</v>
      </c>
      <c r="L1730" t="str">
        <f>IFERROR(VLOOKUP(J1730,LUTs!$A$1:$C$73,3,FALSE),"NA")</f>
        <v>2Central Puget Sound</v>
      </c>
      <c r="M1730" s="72" t="s">
        <v>16</v>
      </c>
      <c r="N1730" t="str">
        <f>VLOOKUP(M1730,LUTs!E$2:H$14,3,)</f>
        <v>03Snohomish</v>
      </c>
      <c r="O1730" t="str">
        <f>VLOOKUP(M1730,LUTs!E$2:H$14,4,)</f>
        <v>01North Puget Sound</v>
      </c>
      <c r="P1730" s="80">
        <v>15.5555555555556</v>
      </c>
      <c r="Q1730" s="103">
        <v>7.7777777777777803</v>
      </c>
      <c r="R1730" s="74">
        <f>VLOOKUP(B1730,Readme!A$40:C$52,3,)*Q1730</f>
        <v>66.422222222222231</v>
      </c>
    </row>
    <row r="1731" spans="1:18" ht="12" customHeight="1" x14ac:dyDescent="0.35">
      <c r="A1731" s="75">
        <v>1718</v>
      </c>
      <c r="B1731" s="80">
        <v>2016</v>
      </c>
      <c r="C1731" s="80">
        <v>1</v>
      </c>
      <c r="D1731" s="80">
        <f t="shared" si="98"/>
        <v>2015</v>
      </c>
      <c r="E1731" t="s">
        <v>38</v>
      </c>
      <c r="F1731" t="s">
        <v>143</v>
      </c>
      <c r="G1731" t="s">
        <v>86</v>
      </c>
      <c r="H1731" s="72" t="s">
        <v>233</v>
      </c>
      <c r="I1731" s="72" t="s">
        <v>76</v>
      </c>
      <c r="J1731" t="str">
        <f t="shared" si="97"/>
        <v>Wallace River</v>
      </c>
      <c r="K1731" t="str">
        <f>IFERROR(VLOOKUP(J1731,LUTs!$A$1:$C$73,2,FALSE),"NA")</f>
        <v>Snohomish</v>
      </c>
      <c r="L1731" t="str">
        <f>IFERROR(VLOOKUP(J1731,LUTs!$A$1:$C$73,3,FALSE),"NA")</f>
        <v>2Central Puget Sound</v>
      </c>
      <c r="M1731" s="72" t="s">
        <v>18</v>
      </c>
      <c r="N1731" t="str">
        <f>VLOOKUP(M1731,LUTs!E$2:H$14,3,)</f>
        <v>06King</v>
      </c>
      <c r="O1731" t="str">
        <f>VLOOKUP(M1731,LUTs!E$2:H$14,4,)</f>
        <v>02South Puget Sound</v>
      </c>
      <c r="P1731" s="80">
        <v>116.756756756757</v>
      </c>
      <c r="Q1731" s="103">
        <v>58.3783783783784</v>
      </c>
      <c r="R1731" s="74">
        <f>VLOOKUP(B1731,Readme!A$40:C$52,3,)*Q1731</f>
        <v>498.55135135135151</v>
      </c>
    </row>
    <row r="1732" spans="1:18" ht="12" customHeight="1" x14ac:dyDescent="0.35">
      <c r="A1732" s="75">
        <v>1719</v>
      </c>
      <c r="B1732" s="80">
        <v>2016</v>
      </c>
      <c r="C1732" s="80">
        <v>1</v>
      </c>
      <c r="D1732" s="80">
        <f t="shared" si="98"/>
        <v>2015</v>
      </c>
      <c r="E1732" t="s">
        <v>38</v>
      </c>
      <c r="F1732" t="s">
        <v>143</v>
      </c>
      <c r="G1732" t="s">
        <v>86</v>
      </c>
      <c r="H1732" s="72" t="s">
        <v>233</v>
      </c>
      <c r="I1732" s="72" t="s">
        <v>76</v>
      </c>
      <c r="J1732" t="str">
        <f t="shared" si="97"/>
        <v>Wallace River</v>
      </c>
      <c r="K1732" t="str">
        <f>IFERROR(VLOOKUP(J1732,LUTs!$A$1:$C$73,2,FALSE),"NA")</f>
        <v>Snohomish</v>
      </c>
      <c r="L1732" t="str">
        <f>IFERROR(VLOOKUP(J1732,LUTs!$A$1:$C$73,3,FALSE),"NA")</f>
        <v>2Central Puget Sound</v>
      </c>
      <c r="M1732" s="72" t="s">
        <v>16</v>
      </c>
      <c r="N1732" t="str">
        <f>VLOOKUP(M1732,LUTs!E$2:H$14,3,)</f>
        <v>03Snohomish</v>
      </c>
      <c r="O1732" t="str">
        <f>VLOOKUP(M1732,LUTs!E$2:H$14,4,)</f>
        <v>01North Puget Sound</v>
      </c>
      <c r="P1732" s="80">
        <v>171.243243243243</v>
      </c>
      <c r="Q1732" s="103">
        <v>85.6216216216216</v>
      </c>
      <c r="R1732" s="74">
        <f>VLOOKUP(B1732,Readme!A$40:C$52,3,)*Q1732</f>
        <v>731.20864864864836</v>
      </c>
    </row>
    <row r="1733" spans="1:18" ht="12" customHeight="1" x14ac:dyDescent="0.35">
      <c r="A1733" s="75">
        <v>1738</v>
      </c>
      <c r="B1733" s="80">
        <v>2016</v>
      </c>
      <c r="C1733" s="80">
        <v>2</v>
      </c>
      <c r="D1733" s="80">
        <f t="shared" si="98"/>
        <v>2015</v>
      </c>
      <c r="E1733" t="s">
        <v>38</v>
      </c>
      <c r="F1733" t="s">
        <v>143</v>
      </c>
      <c r="G1733" t="s">
        <v>86</v>
      </c>
      <c r="H1733" s="72" t="s">
        <v>254</v>
      </c>
      <c r="I1733" s="72" t="s">
        <v>33</v>
      </c>
      <c r="J1733" t="str">
        <f t="shared" si="97"/>
        <v>Area 9: Admiralty Inlet</v>
      </c>
      <c r="K1733" t="str">
        <f>IFERROR(VLOOKUP(J1733,LUTs!$A$1:$C$73,2,FALSE),"NA")</f>
        <v>NA</v>
      </c>
      <c r="L1733" t="str">
        <f>IFERROR(VLOOKUP(J1733,LUTs!$A$1:$C$73,3,FALSE),"NA")</f>
        <v>2Central Puget Sound</v>
      </c>
      <c r="M1733" s="72" t="s">
        <v>26</v>
      </c>
      <c r="N1733" t="str">
        <f>VLOOKUP(M1733,LUTs!E$2:H$14,3,)</f>
        <v>20Other</v>
      </c>
      <c r="O1733" t="str">
        <f>VLOOKUP(M1733,LUTs!E$2:H$14,4,)</f>
        <v>07Non Puget Sound</v>
      </c>
      <c r="P1733" s="80">
        <v>45.3333333333333</v>
      </c>
      <c r="Q1733" s="103">
        <v>22.6666666666667</v>
      </c>
      <c r="R1733" s="74">
        <f>VLOOKUP(B1733,Readme!A$40:C$52,3,)*Q1733</f>
        <v>193.57333333333361</v>
      </c>
    </row>
    <row r="1734" spans="1:18" ht="12" customHeight="1" x14ac:dyDescent="0.35">
      <c r="A1734" s="75">
        <v>1739</v>
      </c>
      <c r="B1734" s="80">
        <v>2016</v>
      </c>
      <c r="C1734" s="80">
        <v>2</v>
      </c>
      <c r="D1734" s="80">
        <f t="shared" si="98"/>
        <v>2015</v>
      </c>
      <c r="E1734" t="s">
        <v>38</v>
      </c>
      <c r="F1734" t="s">
        <v>143</v>
      </c>
      <c r="G1734" t="s">
        <v>86</v>
      </c>
      <c r="H1734" s="72" t="s">
        <v>254</v>
      </c>
      <c r="I1734" s="72" t="s">
        <v>33</v>
      </c>
      <c r="J1734" t="str">
        <f t="shared" si="97"/>
        <v>Area 9: Admiralty Inlet</v>
      </c>
      <c r="K1734" t="str">
        <f>IFERROR(VLOOKUP(J1734,LUTs!$A$1:$C$73,2,FALSE),"NA")</f>
        <v>NA</v>
      </c>
      <c r="L1734" t="str">
        <f>IFERROR(VLOOKUP(J1734,LUTs!$A$1:$C$73,3,FALSE),"NA")</f>
        <v>2Central Puget Sound</v>
      </c>
      <c r="M1734" s="72" t="s">
        <v>16</v>
      </c>
      <c r="N1734" t="str">
        <f>VLOOKUP(M1734,LUTs!E$2:H$14,3,)</f>
        <v>03Snohomish</v>
      </c>
      <c r="O1734" t="str">
        <f>VLOOKUP(M1734,LUTs!E$2:H$14,4,)</f>
        <v>01North Puget Sound</v>
      </c>
      <c r="P1734" s="80">
        <v>22.6666666666667</v>
      </c>
      <c r="Q1734" s="103">
        <v>11.3333333333333</v>
      </c>
      <c r="R1734" s="74">
        <f>VLOOKUP(B1734,Readme!A$40:C$52,3,)*Q1734</f>
        <v>96.786666666666378</v>
      </c>
    </row>
    <row r="1735" spans="1:18" ht="12" customHeight="1" x14ac:dyDescent="0.35">
      <c r="A1735" s="75">
        <v>1610</v>
      </c>
      <c r="B1735" s="80">
        <v>2016</v>
      </c>
      <c r="C1735" s="80">
        <v>2</v>
      </c>
      <c r="D1735" s="80">
        <f t="shared" si="98"/>
        <v>2015</v>
      </c>
      <c r="E1735" t="s">
        <v>38</v>
      </c>
      <c r="F1735" t="s">
        <v>143</v>
      </c>
      <c r="G1735" t="s">
        <v>86</v>
      </c>
      <c r="H1735" s="72" t="s">
        <v>204</v>
      </c>
      <c r="I1735" s="72" t="s">
        <v>46</v>
      </c>
      <c r="J1735" t="str">
        <f t="shared" si="97"/>
        <v>Hoko River</v>
      </c>
      <c r="K1735" t="str">
        <f>IFERROR(VLOOKUP(J1735,LUTs!$A$1:$C$73,2,FALSE),"NA")</f>
        <v>Clallam</v>
      </c>
      <c r="L1735" t="str">
        <f>IFERROR(VLOOKUP(J1735,LUTs!$A$1:$C$73,3,FALSE),"NA")</f>
        <v>0Strait of Juan de Fuca</v>
      </c>
      <c r="M1735" s="72" t="s">
        <v>24</v>
      </c>
      <c r="N1735" t="str">
        <f>VLOOKUP(M1735,LUTs!E$2:H$14,3,)</f>
        <v>11Clallam</v>
      </c>
      <c r="O1735" t="str">
        <f>VLOOKUP(M1735,LUTs!E$2:H$14,4,)</f>
        <v>03Strait of Juan de Fuca</v>
      </c>
      <c r="P1735" s="80">
        <v>26</v>
      </c>
      <c r="Q1735" s="103">
        <v>13</v>
      </c>
      <c r="R1735" s="74">
        <f>VLOOKUP(B1735,Readme!A$40:C$52,3,)*Q1735</f>
        <v>111.01999999999998</v>
      </c>
    </row>
    <row r="1736" spans="1:18" ht="12" customHeight="1" x14ac:dyDescent="0.35">
      <c r="A1736" s="75">
        <v>1666</v>
      </c>
      <c r="B1736" s="80">
        <v>2016</v>
      </c>
      <c r="C1736" s="80">
        <v>2</v>
      </c>
      <c r="D1736" s="80">
        <f t="shared" si="98"/>
        <v>2015</v>
      </c>
      <c r="E1736" t="s">
        <v>38</v>
      </c>
      <c r="F1736" t="s">
        <v>143</v>
      </c>
      <c r="G1736" t="s">
        <v>86</v>
      </c>
      <c r="H1736" s="72" t="s">
        <v>220</v>
      </c>
      <c r="I1736" s="72" t="s">
        <v>62</v>
      </c>
      <c r="J1736" t="str">
        <f t="shared" si="97"/>
        <v>Skykomish River</v>
      </c>
      <c r="K1736" t="str">
        <f>IFERROR(VLOOKUP(J1736,LUTs!$A$1:$C$73,2,FALSE),"NA")</f>
        <v>Snohomish</v>
      </c>
      <c r="L1736" t="str">
        <f>IFERROR(VLOOKUP(J1736,LUTs!$A$1:$C$73,3,FALSE),"NA")</f>
        <v>2Central Puget Sound</v>
      </c>
      <c r="M1736" s="72" t="s">
        <v>18</v>
      </c>
      <c r="N1736" t="str">
        <f>VLOOKUP(M1736,LUTs!E$2:H$14,3,)</f>
        <v>06King</v>
      </c>
      <c r="O1736" t="str">
        <f>VLOOKUP(M1736,LUTs!E$2:H$14,4,)</f>
        <v>02South Puget Sound</v>
      </c>
      <c r="P1736" s="80">
        <v>39.285714285714299</v>
      </c>
      <c r="Q1736" s="103">
        <v>19.6428571428571</v>
      </c>
      <c r="R1736" s="74">
        <f>VLOOKUP(B1736,Readme!A$40:C$52,3,)*Q1736</f>
        <v>167.7499999999996</v>
      </c>
    </row>
    <row r="1737" spans="1:18" ht="12" customHeight="1" x14ac:dyDescent="0.35">
      <c r="A1737" s="75">
        <v>1667</v>
      </c>
      <c r="B1737" s="80">
        <v>2016</v>
      </c>
      <c r="C1737" s="80">
        <v>2</v>
      </c>
      <c r="D1737" s="80">
        <f t="shared" si="98"/>
        <v>2015</v>
      </c>
      <c r="E1737" t="s">
        <v>38</v>
      </c>
      <c r="F1737" t="s">
        <v>143</v>
      </c>
      <c r="G1737" t="s">
        <v>86</v>
      </c>
      <c r="H1737" s="72" t="s">
        <v>220</v>
      </c>
      <c r="I1737" s="72" t="s">
        <v>62</v>
      </c>
      <c r="J1737" t="str">
        <f t="shared" si="97"/>
        <v>Skykomish River</v>
      </c>
      <c r="K1737" t="str">
        <f>IFERROR(VLOOKUP(J1737,LUTs!$A$1:$C$73,2,FALSE),"NA")</f>
        <v>Snohomish</v>
      </c>
      <c r="L1737" t="str">
        <f>IFERROR(VLOOKUP(J1737,LUTs!$A$1:$C$73,3,FALSE),"NA")</f>
        <v>2Central Puget Sound</v>
      </c>
      <c r="M1737" s="72" t="s">
        <v>16</v>
      </c>
      <c r="N1737" t="str">
        <f>VLOOKUP(M1737,LUTs!E$2:H$14,3,)</f>
        <v>03Snohomish</v>
      </c>
      <c r="O1737" t="str">
        <f>VLOOKUP(M1737,LUTs!E$2:H$14,4,)</f>
        <v>01North Puget Sound</v>
      </c>
      <c r="P1737" s="80">
        <v>70.714285714285694</v>
      </c>
      <c r="Q1737" s="103">
        <v>35.357142857142897</v>
      </c>
      <c r="R1737" s="74">
        <f>VLOOKUP(B1737,Readme!A$40:C$52,3,)*Q1737</f>
        <v>301.95000000000033</v>
      </c>
    </row>
    <row r="1738" spans="1:18" ht="12" customHeight="1" x14ac:dyDescent="0.35">
      <c r="A1738" s="75">
        <v>1708</v>
      </c>
      <c r="B1738" s="80">
        <v>2016</v>
      </c>
      <c r="C1738" s="80">
        <v>2</v>
      </c>
      <c r="D1738" s="80">
        <f t="shared" si="98"/>
        <v>2015</v>
      </c>
      <c r="E1738" t="s">
        <v>38</v>
      </c>
      <c r="F1738" t="s">
        <v>143</v>
      </c>
      <c r="G1738" t="s">
        <v>86</v>
      </c>
      <c r="H1738" s="72" t="s">
        <v>250</v>
      </c>
      <c r="I1738" s="72" t="s">
        <v>101</v>
      </c>
      <c r="J1738" t="str">
        <f t="shared" si="97"/>
        <v>Tokul Creek</v>
      </c>
      <c r="K1738" t="str">
        <f>IFERROR(VLOOKUP(J1738,LUTs!$A$1:$C$73,2,FALSE),"NA")</f>
        <v>King</v>
      </c>
      <c r="L1738" t="str">
        <f>IFERROR(VLOOKUP(J1738,LUTs!$A$1:$C$73,3,FALSE),"NA")</f>
        <v>2Central Puget Sound</v>
      </c>
      <c r="M1738" s="72" t="s">
        <v>18</v>
      </c>
      <c r="N1738" t="str">
        <f>VLOOKUP(M1738,LUTs!E$2:H$14,3,)</f>
        <v>06King</v>
      </c>
      <c r="O1738" t="str">
        <f>VLOOKUP(M1738,LUTs!E$2:H$14,4,)</f>
        <v>02South Puget Sound</v>
      </c>
      <c r="P1738" s="80">
        <v>30.4</v>
      </c>
      <c r="Q1738" s="103">
        <v>15.2</v>
      </c>
      <c r="R1738" s="74">
        <f>VLOOKUP(B1738,Readme!A$40:C$52,3,)*Q1738</f>
        <v>129.80799999999999</v>
      </c>
    </row>
    <row r="1739" spans="1:18" ht="12" customHeight="1" x14ac:dyDescent="0.35">
      <c r="A1739" s="75">
        <v>1709</v>
      </c>
      <c r="B1739" s="80">
        <v>2016</v>
      </c>
      <c r="C1739" s="80">
        <v>2</v>
      </c>
      <c r="D1739" s="80">
        <f t="shared" si="98"/>
        <v>2015</v>
      </c>
      <c r="E1739" t="s">
        <v>38</v>
      </c>
      <c r="F1739" t="s">
        <v>143</v>
      </c>
      <c r="G1739" t="s">
        <v>86</v>
      </c>
      <c r="H1739" s="72" t="s">
        <v>250</v>
      </c>
      <c r="I1739" s="72" t="s">
        <v>101</v>
      </c>
      <c r="J1739" t="str">
        <f t="shared" si="97"/>
        <v>Tokul Creek</v>
      </c>
      <c r="K1739" t="str">
        <f>IFERROR(VLOOKUP(J1739,LUTs!$A$1:$C$73,2,FALSE),"NA")</f>
        <v>King</v>
      </c>
      <c r="L1739" t="str">
        <f>IFERROR(VLOOKUP(J1739,LUTs!$A$1:$C$73,3,FALSE),"NA")</f>
        <v>2Central Puget Sound</v>
      </c>
      <c r="M1739" s="72" t="s">
        <v>16</v>
      </c>
      <c r="N1739" t="str">
        <f>VLOOKUP(M1739,LUTs!E$2:H$14,3,)</f>
        <v>03Snohomish</v>
      </c>
      <c r="O1739" t="str">
        <f>VLOOKUP(M1739,LUTs!E$2:H$14,4,)</f>
        <v>01North Puget Sound</v>
      </c>
      <c r="P1739" s="80">
        <v>7.6</v>
      </c>
      <c r="Q1739" s="103">
        <v>3.8</v>
      </c>
      <c r="R1739" s="74">
        <f>VLOOKUP(B1739,Readme!A$40:C$52,3,)*Q1739</f>
        <v>32.451999999999998</v>
      </c>
    </row>
    <row r="1740" spans="1:18" ht="12" customHeight="1" x14ac:dyDescent="0.35">
      <c r="A1740" s="75">
        <v>1720</v>
      </c>
      <c r="B1740" s="80">
        <v>2016</v>
      </c>
      <c r="C1740" s="80">
        <v>2</v>
      </c>
      <c r="D1740" s="80">
        <f t="shared" si="98"/>
        <v>2015</v>
      </c>
      <c r="E1740" t="s">
        <v>38</v>
      </c>
      <c r="F1740" t="s">
        <v>143</v>
      </c>
      <c r="G1740" t="s">
        <v>86</v>
      </c>
      <c r="H1740" s="72" t="s">
        <v>233</v>
      </c>
      <c r="I1740" s="72" t="s">
        <v>76</v>
      </c>
      <c r="J1740" t="str">
        <f t="shared" si="97"/>
        <v>Wallace River</v>
      </c>
      <c r="K1740" t="str">
        <f>IFERROR(VLOOKUP(J1740,LUTs!$A$1:$C$73,2,FALSE),"NA")</f>
        <v>Snohomish</v>
      </c>
      <c r="L1740" t="str">
        <f>IFERROR(VLOOKUP(J1740,LUTs!$A$1:$C$73,3,FALSE),"NA")</f>
        <v>2Central Puget Sound</v>
      </c>
      <c r="M1740" s="72" t="s">
        <v>16</v>
      </c>
      <c r="N1740" t="str">
        <f>VLOOKUP(M1740,LUTs!E$2:H$14,3,)</f>
        <v>03Snohomish</v>
      </c>
      <c r="O1740" t="str">
        <f>VLOOKUP(M1740,LUTs!E$2:H$14,4,)</f>
        <v>01North Puget Sound</v>
      </c>
      <c r="P1740" s="80">
        <v>8</v>
      </c>
      <c r="Q1740" s="103">
        <v>4</v>
      </c>
      <c r="R1740" s="74">
        <f>VLOOKUP(B1740,Readme!A$40:C$52,3,)*Q1740</f>
        <v>34.159999999999997</v>
      </c>
    </row>
    <row r="1741" spans="1:18" ht="12" customHeight="1" x14ac:dyDescent="0.35">
      <c r="A1741" s="75">
        <v>1740</v>
      </c>
      <c r="B1741" s="80">
        <v>2016</v>
      </c>
      <c r="C1741" s="80">
        <v>3</v>
      </c>
      <c r="D1741" s="80">
        <f t="shared" si="98"/>
        <v>2015</v>
      </c>
      <c r="E1741" t="s">
        <v>38</v>
      </c>
      <c r="F1741" t="s">
        <v>143</v>
      </c>
      <c r="G1741" t="s">
        <v>86</v>
      </c>
      <c r="H1741" s="72" t="s">
        <v>254</v>
      </c>
      <c r="I1741" s="72" t="s">
        <v>33</v>
      </c>
      <c r="J1741" t="str">
        <f t="shared" si="97"/>
        <v>Area 9: Admiralty Inlet</v>
      </c>
      <c r="K1741" t="str">
        <f>IFERROR(VLOOKUP(J1741,LUTs!$A$1:$C$73,2,FALSE),"NA")</f>
        <v>NA</v>
      </c>
      <c r="L1741" t="str">
        <f>IFERROR(VLOOKUP(J1741,LUTs!$A$1:$C$73,3,FALSE),"NA")</f>
        <v>2Central Puget Sound</v>
      </c>
      <c r="M1741" s="72" t="s">
        <v>16</v>
      </c>
      <c r="N1741" t="str">
        <f>VLOOKUP(M1741,LUTs!E$2:H$14,3,)</f>
        <v>03Snohomish</v>
      </c>
      <c r="O1741" t="str">
        <f>VLOOKUP(M1741,LUTs!E$2:H$14,4,)</f>
        <v>01North Puget Sound</v>
      </c>
      <c r="P1741" s="80">
        <v>22</v>
      </c>
      <c r="Q1741" s="103">
        <v>11</v>
      </c>
      <c r="R1741" s="74">
        <f>VLOOKUP(B1741,Readme!A$40:C$52,3,)*Q1741</f>
        <v>93.94</v>
      </c>
    </row>
    <row r="1742" spans="1:18" ht="12" customHeight="1" x14ac:dyDescent="0.35">
      <c r="A1742" s="75">
        <v>1831</v>
      </c>
      <c r="B1742" s="80">
        <v>2016</v>
      </c>
      <c r="C1742" s="80">
        <v>4</v>
      </c>
      <c r="D1742" s="80">
        <f t="shared" si="98"/>
        <v>2016</v>
      </c>
      <c r="E1742" t="s">
        <v>38</v>
      </c>
      <c r="F1742" t="s">
        <v>143</v>
      </c>
      <c r="G1742" t="s">
        <v>86</v>
      </c>
      <c r="H1742" s="72" t="s">
        <v>254</v>
      </c>
      <c r="I1742" s="72" t="s">
        <v>33</v>
      </c>
      <c r="J1742" t="str">
        <f t="shared" si="97"/>
        <v>Area 9: Admiralty Inlet</v>
      </c>
      <c r="K1742" t="str">
        <f>IFERROR(VLOOKUP(J1742,LUTs!$A$1:$C$73,2,FALSE),"NA")</f>
        <v>NA</v>
      </c>
      <c r="L1742" t="str">
        <f>IFERROR(VLOOKUP(J1742,LUTs!$A$1:$C$73,3,FALSE),"NA")</f>
        <v>2Central Puget Sound</v>
      </c>
      <c r="M1742" s="72" t="s">
        <v>16</v>
      </c>
      <c r="N1742" t="str">
        <f>VLOOKUP(M1742,LUTs!E$2:H$14,3,)</f>
        <v>03Snohomish</v>
      </c>
      <c r="O1742" t="str">
        <f>VLOOKUP(M1742,LUTs!E$2:H$14,4,)</f>
        <v>01North Puget Sound</v>
      </c>
      <c r="P1742" s="80">
        <v>10</v>
      </c>
      <c r="Q1742" s="103">
        <v>5</v>
      </c>
      <c r="R1742" s="74">
        <f>VLOOKUP(B1742,Readme!A$40:C$52,3,)*Q1742</f>
        <v>42.699999999999996</v>
      </c>
    </row>
    <row r="1743" spans="1:18" ht="12" customHeight="1" x14ac:dyDescent="0.35">
      <c r="A1743" s="75">
        <v>1774</v>
      </c>
      <c r="B1743" s="80">
        <v>2016</v>
      </c>
      <c r="C1743" s="80">
        <v>5</v>
      </c>
      <c r="D1743" s="80">
        <f t="shared" si="98"/>
        <v>2016</v>
      </c>
      <c r="E1743" t="s">
        <v>38</v>
      </c>
      <c r="F1743" t="s">
        <v>143</v>
      </c>
      <c r="G1743" t="s">
        <v>86</v>
      </c>
      <c r="H1743" s="72" t="s">
        <v>220</v>
      </c>
      <c r="I1743" s="72" t="s">
        <v>62</v>
      </c>
      <c r="J1743" t="str">
        <f t="shared" si="97"/>
        <v>Skykomish River</v>
      </c>
      <c r="K1743" t="str">
        <f>IFERROR(VLOOKUP(J1743,LUTs!$A$1:$C$73,2,FALSE),"NA")</f>
        <v>Snohomish</v>
      </c>
      <c r="L1743" t="str">
        <f>IFERROR(VLOOKUP(J1743,LUTs!$A$1:$C$73,3,FALSE),"NA")</f>
        <v>2Central Puget Sound</v>
      </c>
      <c r="M1743" s="72" t="s">
        <v>16</v>
      </c>
      <c r="N1743" t="str">
        <f>VLOOKUP(M1743,LUTs!E$2:H$14,3,)</f>
        <v>03Snohomish</v>
      </c>
      <c r="O1743" t="str">
        <f>VLOOKUP(M1743,LUTs!E$2:H$14,4,)</f>
        <v>01North Puget Sound</v>
      </c>
      <c r="P1743" s="80">
        <v>6</v>
      </c>
      <c r="Q1743" s="103">
        <v>3</v>
      </c>
      <c r="R1743" s="74">
        <f>VLOOKUP(B1743,Readme!A$40:C$52,3,)*Q1743</f>
        <v>25.619999999999997</v>
      </c>
    </row>
    <row r="1744" spans="1:18" ht="12" customHeight="1" x14ac:dyDescent="0.35">
      <c r="A1744" s="75">
        <v>1832</v>
      </c>
      <c r="B1744" s="80">
        <v>2016</v>
      </c>
      <c r="C1744" s="80">
        <v>6</v>
      </c>
      <c r="D1744" s="80">
        <f t="shared" si="98"/>
        <v>2016</v>
      </c>
      <c r="E1744" t="s">
        <v>38</v>
      </c>
      <c r="F1744" t="s">
        <v>143</v>
      </c>
      <c r="G1744" t="s">
        <v>86</v>
      </c>
      <c r="H1744" s="72" t="s">
        <v>254</v>
      </c>
      <c r="I1744" s="72" t="s">
        <v>33</v>
      </c>
      <c r="J1744" t="str">
        <f t="shared" si="97"/>
        <v>Area 9: Admiralty Inlet</v>
      </c>
      <c r="K1744" t="str">
        <f>IFERROR(VLOOKUP(J1744,LUTs!$A$1:$C$73,2,FALSE),"NA")</f>
        <v>NA</v>
      </c>
      <c r="L1744" t="str">
        <f>IFERROR(VLOOKUP(J1744,LUTs!$A$1:$C$73,3,FALSE),"NA")</f>
        <v>2Central Puget Sound</v>
      </c>
      <c r="M1744" s="72" t="s">
        <v>16</v>
      </c>
      <c r="N1744" t="str">
        <f>VLOOKUP(M1744,LUTs!E$2:H$14,3,)</f>
        <v>03Snohomish</v>
      </c>
      <c r="O1744" t="str">
        <f>VLOOKUP(M1744,LUTs!E$2:H$14,4,)</f>
        <v>01North Puget Sound</v>
      </c>
      <c r="P1744" s="80">
        <v>10</v>
      </c>
      <c r="Q1744" s="103">
        <v>5</v>
      </c>
      <c r="R1744" s="74">
        <f>VLOOKUP(B1744,Readme!A$40:C$52,3,)*Q1744</f>
        <v>42.699999999999996</v>
      </c>
    </row>
    <row r="1745" spans="1:18" ht="12" customHeight="1" x14ac:dyDescent="0.35">
      <c r="A1745" s="75">
        <v>1743</v>
      </c>
      <c r="B1745" s="80">
        <v>2016</v>
      </c>
      <c r="C1745" s="80">
        <v>6</v>
      </c>
      <c r="D1745" s="80">
        <f t="shared" si="98"/>
        <v>2016</v>
      </c>
      <c r="E1745" t="s">
        <v>38</v>
      </c>
      <c r="F1745" t="s">
        <v>143</v>
      </c>
      <c r="G1745" t="s">
        <v>86</v>
      </c>
      <c r="H1745" s="72" t="s">
        <v>203</v>
      </c>
      <c r="I1745" s="72" t="s">
        <v>89</v>
      </c>
      <c r="J1745" s="84" t="s">
        <v>45</v>
      </c>
      <c r="K1745" t="str">
        <f>IFERROR(VLOOKUP(J1745,LUTs!$A$1:$C$73,2,FALSE),"NA")</f>
        <v>King</v>
      </c>
      <c r="L1745" t="str">
        <f>IFERROR(VLOOKUP(J1745,LUTs!$A$1:$C$73,3,FALSE),"NA")</f>
        <v>3South Puget Sound</v>
      </c>
      <c r="M1745" s="72" t="s">
        <v>18</v>
      </c>
      <c r="N1745" t="str">
        <f>VLOOKUP(M1745,LUTs!E$2:H$14,3,)</f>
        <v>06King</v>
      </c>
      <c r="O1745" t="str">
        <f>VLOOKUP(M1745,LUTs!E$2:H$14,4,)</f>
        <v>02South Puget Sound</v>
      </c>
      <c r="P1745" s="80">
        <v>54</v>
      </c>
      <c r="Q1745" s="103">
        <v>27</v>
      </c>
      <c r="R1745" s="74">
        <f>VLOOKUP(B1745,Readme!A$40:C$52,3,)*Q1745</f>
        <v>230.57999999999998</v>
      </c>
    </row>
    <row r="1746" spans="1:18" ht="12" customHeight="1" x14ac:dyDescent="0.35">
      <c r="A1746" s="75">
        <v>1775</v>
      </c>
      <c r="B1746" s="80">
        <v>2016</v>
      </c>
      <c r="C1746" s="80">
        <v>6</v>
      </c>
      <c r="D1746" s="80">
        <f t="shared" si="98"/>
        <v>2016</v>
      </c>
      <c r="E1746" t="s">
        <v>38</v>
      </c>
      <c r="F1746" t="s">
        <v>143</v>
      </c>
      <c r="G1746" t="s">
        <v>86</v>
      </c>
      <c r="H1746" s="72" t="s">
        <v>220</v>
      </c>
      <c r="I1746" s="72" t="s">
        <v>62</v>
      </c>
      <c r="J1746" t="str">
        <f>I1746</f>
        <v>Skykomish River</v>
      </c>
      <c r="K1746" t="str">
        <f>IFERROR(VLOOKUP(J1746,LUTs!$A$1:$C$73,2,FALSE),"NA")</f>
        <v>Snohomish</v>
      </c>
      <c r="L1746" t="str">
        <f>IFERROR(VLOOKUP(J1746,LUTs!$A$1:$C$73,3,FALSE),"NA")</f>
        <v>2Central Puget Sound</v>
      </c>
      <c r="M1746" s="72" t="s">
        <v>18</v>
      </c>
      <c r="N1746" t="str">
        <f>VLOOKUP(M1746,LUTs!E$2:H$14,3,)</f>
        <v>06King</v>
      </c>
      <c r="O1746" t="str">
        <f>VLOOKUP(M1746,LUTs!E$2:H$14,4,)</f>
        <v>02South Puget Sound</v>
      </c>
      <c r="P1746" s="80">
        <v>245.272727272727</v>
      </c>
      <c r="Q1746" s="103">
        <v>122.636363636364</v>
      </c>
      <c r="R1746" s="74">
        <f>VLOOKUP(B1746,Readme!A$40:C$52,3,)*Q1746</f>
        <v>1047.3145454545484</v>
      </c>
    </row>
    <row r="1747" spans="1:18" ht="12" customHeight="1" x14ac:dyDescent="0.35">
      <c r="A1747" s="75">
        <v>1776</v>
      </c>
      <c r="B1747" s="80">
        <v>2016</v>
      </c>
      <c r="C1747" s="80">
        <v>6</v>
      </c>
      <c r="D1747" s="80">
        <f t="shared" si="98"/>
        <v>2016</v>
      </c>
      <c r="E1747" t="s">
        <v>38</v>
      </c>
      <c r="F1747" t="s">
        <v>143</v>
      </c>
      <c r="G1747" t="s">
        <v>86</v>
      </c>
      <c r="H1747" s="72" t="s">
        <v>220</v>
      </c>
      <c r="I1747" s="72" t="s">
        <v>62</v>
      </c>
      <c r="J1747" t="str">
        <f>I1747</f>
        <v>Skykomish River</v>
      </c>
      <c r="K1747" t="str">
        <f>IFERROR(VLOOKUP(J1747,LUTs!$A$1:$C$73,2,FALSE),"NA")</f>
        <v>Snohomish</v>
      </c>
      <c r="L1747" t="str">
        <f>IFERROR(VLOOKUP(J1747,LUTs!$A$1:$C$73,3,FALSE),"NA")</f>
        <v>2Central Puget Sound</v>
      </c>
      <c r="M1747" s="72" t="s">
        <v>23</v>
      </c>
      <c r="N1747" t="str">
        <f>VLOOKUP(M1747,LUTs!E$2:H$14,3,)</f>
        <v>10Kitsap</v>
      </c>
      <c r="O1747" t="str">
        <f>VLOOKUP(M1747,LUTs!E$2:H$14,4,)</f>
        <v>02South Puget Sound</v>
      </c>
      <c r="P1747" s="80">
        <v>6.4545454545454604</v>
      </c>
      <c r="Q1747" s="103">
        <v>3.2272727272727302</v>
      </c>
      <c r="R1747" s="74">
        <f>VLOOKUP(B1747,Readme!A$40:C$52,3,)*Q1747</f>
        <v>27.560909090909114</v>
      </c>
    </row>
    <row r="1748" spans="1:18" ht="12" customHeight="1" x14ac:dyDescent="0.35">
      <c r="A1748" s="75">
        <v>1777</v>
      </c>
      <c r="B1748" s="80">
        <v>2016</v>
      </c>
      <c r="C1748" s="80">
        <v>6</v>
      </c>
      <c r="D1748" s="80">
        <f t="shared" si="98"/>
        <v>2016</v>
      </c>
      <c r="E1748" t="s">
        <v>38</v>
      </c>
      <c r="F1748" t="s">
        <v>143</v>
      </c>
      <c r="G1748" t="s">
        <v>86</v>
      </c>
      <c r="H1748" s="72" t="s">
        <v>220</v>
      </c>
      <c r="I1748" s="72" t="s">
        <v>62</v>
      </c>
      <c r="J1748" t="str">
        <f>I1748</f>
        <v>Skykomish River</v>
      </c>
      <c r="K1748" t="str">
        <f>IFERROR(VLOOKUP(J1748,LUTs!$A$1:$C$73,2,FALSE),"NA")</f>
        <v>Snohomish</v>
      </c>
      <c r="L1748" t="str">
        <f>IFERROR(VLOOKUP(J1748,LUTs!$A$1:$C$73,3,FALSE),"NA")</f>
        <v>2Central Puget Sound</v>
      </c>
      <c r="M1748" s="72" t="s">
        <v>16</v>
      </c>
      <c r="N1748" t="str">
        <f>VLOOKUP(M1748,LUTs!E$2:H$14,3,)</f>
        <v>03Snohomish</v>
      </c>
      <c r="O1748" t="str">
        <f>VLOOKUP(M1748,LUTs!E$2:H$14,4,)</f>
        <v>01North Puget Sound</v>
      </c>
      <c r="P1748" s="80">
        <v>174.272727272727</v>
      </c>
      <c r="Q1748" s="103">
        <v>87.136363636363697</v>
      </c>
      <c r="R1748" s="74">
        <f>VLOOKUP(B1748,Readme!A$40:C$52,3,)*Q1748</f>
        <v>744.14454545454589</v>
      </c>
    </row>
    <row r="1749" spans="1:18" ht="12" customHeight="1" x14ac:dyDescent="0.35">
      <c r="A1749" s="75">
        <v>1810</v>
      </c>
      <c r="B1749" s="80">
        <v>2016</v>
      </c>
      <c r="C1749" s="80">
        <v>6</v>
      </c>
      <c r="D1749" s="80">
        <f t="shared" si="98"/>
        <v>2016</v>
      </c>
      <c r="E1749" t="s">
        <v>38</v>
      </c>
      <c r="F1749" t="s">
        <v>143</v>
      </c>
      <c r="G1749" t="s">
        <v>86</v>
      </c>
      <c r="H1749" s="72" t="s">
        <v>221</v>
      </c>
      <c r="I1749" s="72" t="s">
        <v>63</v>
      </c>
      <c r="J1749" t="str">
        <f>I1749</f>
        <v>Snohomish River</v>
      </c>
      <c r="K1749" t="str">
        <f>IFERROR(VLOOKUP(J1749,LUTs!$A$1:$C$73,2,FALSE),"NA")</f>
        <v>Snohomish</v>
      </c>
      <c r="L1749" t="str">
        <f>IFERROR(VLOOKUP(J1749,LUTs!$A$1:$C$73,3,FALSE),"NA")</f>
        <v>2Central Puget Sound</v>
      </c>
      <c r="M1749" s="72" t="s">
        <v>16</v>
      </c>
      <c r="N1749" t="str">
        <f>VLOOKUP(M1749,LUTs!E$2:H$14,3,)</f>
        <v>03Snohomish</v>
      </c>
      <c r="O1749" t="str">
        <f>VLOOKUP(M1749,LUTs!E$2:H$14,4,)</f>
        <v>01North Puget Sound</v>
      </c>
      <c r="P1749" s="80">
        <v>32</v>
      </c>
      <c r="Q1749" s="103">
        <v>16</v>
      </c>
      <c r="R1749" s="74">
        <f>VLOOKUP(B1749,Readme!A$40:C$52,3,)*Q1749</f>
        <v>136.63999999999999</v>
      </c>
    </row>
    <row r="1750" spans="1:18" ht="12" customHeight="1" x14ac:dyDescent="0.35">
      <c r="A1750" s="75">
        <v>1744</v>
      </c>
      <c r="B1750" s="80">
        <v>2016</v>
      </c>
      <c r="C1750" s="80">
        <v>7</v>
      </c>
      <c r="D1750" s="80">
        <f t="shared" si="98"/>
        <v>2016</v>
      </c>
      <c r="E1750" t="s">
        <v>38</v>
      </c>
      <c r="F1750" t="s">
        <v>143</v>
      </c>
      <c r="G1750" t="s">
        <v>86</v>
      </c>
      <c r="H1750" s="72" t="s">
        <v>203</v>
      </c>
      <c r="I1750" s="72" t="s">
        <v>89</v>
      </c>
      <c r="J1750" s="84" t="s">
        <v>45</v>
      </c>
      <c r="K1750" t="str">
        <f>IFERROR(VLOOKUP(J1750,LUTs!$A$1:$C$73,2,FALSE),"NA")</f>
        <v>King</v>
      </c>
      <c r="L1750" t="str">
        <f>IFERROR(VLOOKUP(J1750,LUTs!$A$1:$C$73,3,FALSE),"NA")</f>
        <v>3South Puget Sound</v>
      </c>
      <c r="M1750" s="72" t="s">
        <v>18</v>
      </c>
      <c r="N1750" t="str">
        <f>VLOOKUP(M1750,LUTs!E$2:H$14,3,)</f>
        <v>06King</v>
      </c>
      <c r="O1750" t="str">
        <f>VLOOKUP(M1750,LUTs!E$2:H$14,4,)</f>
        <v>02South Puget Sound</v>
      </c>
      <c r="P1750" s="80">
        <v>54.285714285714299</v>
      </c>
      <c r="Q1750" s="103">
        <v>27.1428571428571</v>
      </c>
      <c r="R1750" s="74">
        <f>VLOOKUP(B1750,Readme!A$40:C$52,3,)*Q1750</f>
        <v>231.79999999999961</v>
      </c>
    </row>
    <row r="1751" spans="1:18" ht="12" customHeight="1" x14ac:dyDescent="0.35">
      <c r="A1751" s="75">
        <v>1745</v>
      </c>
      <c r="B1751" s="80">
        <v>2016</v>
      </c>
      <c r="C1751" s="80">
        <v>7</v>
      </c>
      <c r="D1751" s="80">
        <f t="shared" si="98"/>
        <v>2016</v>
      </c>
      <c r="E1751" t="s">
        <v>38</v>
      </c>
      <c r="F1751" t="s">
        <v>143</v>
      </c>
      <c r="G1751" t="s">
        <v>86</v>
      </c>
      <c r="H1751" s="72" t="s">
        <v>203</v>
      </c>
      <c r="I1751" s="72" t="s">
        <v>89</v>
      </c>
      <c r="J1751" s="84" t="s">
        <v>45</v>
      </c>
      <c r="K1751" t="str">
        <f>IFERROR(VLOOKUP(J1751,LUTs!$A$1:$C$73,2,FALSE),"NA")</f>
        <v>King</v>
      </c>
      <c r="L1751" t="str">
        <f>IFERROR(VLOOKUP(J1751,LUTs!$A$1:$C$73,3,FALSE),"NA")</f>
        <v>3South Puget Sound</v>
      </c>
      <c r="M1751" s="72" t="s">
        <v>20</v>
      </c>
      <c r="N1751" t="str">
        <f>VLOOKUP(M1751,LUTs!E$2:H$14,3,)</f>
        <v>07Pierce</v>
      </c>
      <c r="O1751" t="str">
        <f>VLOOKUP(M1751,LUTs!E$2:H$14,4,)</f>
        <v>02South Puget Sound</v>
      </c>
      <c r="P1751" s="80">
        <v>21.714285714285701</v>
      </c>
      <c r="Q1751" s="103">
        <v>10.8571428571429</v>
      </c>
      <c r="R1751" s="74">
        <f>VLOOKUP(B1751,Readme!A$40:C$52,3,)*Q1751</f>
        <v>92.720000000000354</v>
      </c>
    </row>
    <row r="1752" spans="1:18" ht="12" customHeight="1" x14ac:dyDescent="0.35">
      <c r="A1752" s="75">
        <v>1773</v>
      </c>
      <c r="B1752" s="80">
        <v>2016</v>
      </c>
      <c r="C1752" s="80">
        <v>7</v>
      </c>
      <c r="D1752" s="80">
        <f t="shared" si="98"/>
        <v>2016</v>
      </c>
      <c r="E1752" t="s">
        <v>38</v>
      </c>
      <c r="F1752" t="s">
        <v>143</v>
      </c>
      <c r="G1752" t="s">
        <v>86</v>
      </c>
      <c r="H1752" s="72" t="s">
        <v>246</v>
      </c>
      <c r="I1752" s="72" t="s">
        <v>97</v>
      </c>
      <c r="J1752" t="str">
        <f t="shared" ref="J1752:J1764" si="99">I1752</f>
        <v>Raging River</v>
      </c>
      <c r="K1752" t="str">
        <f>IFERROR(VLOOKUP(J1752,LUTs!$A$1:$C$73,2,FALSE),"NA")</f>
        <v>King</v>
      </c>
      <c r="L1752" t="str">
        <f>IFERROR(VLOOKUP(J1752,LUTs!$A$1:$C$73,3,FALSE),"NA")</f>
        <v>2Central Puget Sound</v>
      </c>
      <c r="M1752" s="72" t="s">
        <v>26</v>
      </c>
      <c r="N1752" t="str">
        <f>VLOOKUP(M1752,LUTs!E$2:H$14,3,)</f>
        <v>20Other</v>
      </c>
      <c r="O1752" t="str">
        <f>VLOOKUP(M1752,LUTs!E$2:H$14,4,)</f>
        <v>07Non Puget Sound</v>
      </c>
      <c r="P1752" s="80">
        <v>6</v>
      </c>
      <c r="Q1752" s="103">
        <v>3</v>
      </c>
      <c r="R1752" s="74">
        <f>VLOOKUP(B1752,Readme!A$40:C$52,3,)*Q1752</f>
        <v>25.619999999999997</v>
      </c>
    </row>
    <row r="1753" spans="1:18" ht="12" customHeight="1" x14ac:dyDescent="0.35">
      <c r="A1753" s="75">
        <v>1769</v>
      </c>
      <c r="B1753" s="80">
        <v>2016</v>
      </c>
      <c r="C1753" s="80">
        <v>7</v>
      </c>
      <c r="D1753" s="80">
        <f t="shared" si="98"/>
        <v>2016</v>
      </c>
      <c r="E1753" t="s">
        <v>38</v>
      </c>
      <c r="F1753" t="s">
        <v>143</v>
      </c>
      <c r="G1753" t="s">
        <v>86</v>
      </c>
      <c r="H1753" s="72" t="s">
        <v>218</v>
      </c>
      <c r="I1753" s="72" t="s">
        <v>60</v>
      </c>
      <c r="J1753" t="str">
        <f t="shared" si="99"/>
        <v>Skagit River</v>
      </c>
      <c r="K1753" t="str">
        <f>IFERROR(VLOOKUP(J1753,LUTs!$A$1:$C$73,2,FALSE),"NA")</f>
        <v>Skagit/Whatcom</v>
      </c>
      <c r="L1753" t="str">
        <f>IFERROR(VLOOKUP(J1753,LUTs!$A$1:$C$73,3,FALSE),"NA")</f>
        <v>2Central Puget Sound</v>
      </c>
      <c r="M1753" s="72" t="s">
        <v>26</v>
      </c>
      <c r="N1753" t="str">
        <f>VLOOKUP(M1753,LUTs!E$2:H$14,3,)</f>
        <v>20Other</v>
      </c>
      <c r="O1753" t="str">
        <f>VLOOKUP(M1753,LUTs!E$2:H$14,4,)</f>
        <v>07Non Puget Sound</v>
      </c>
      <c r="P1753" s="80">
        <v>28</v>
      </c>
      <c r="Q1753" s="103">
        <v>14</v>
      </c>
      <c r="R1753" s="74">
        <f>VLOOKUP(B1753,Readme!A$40:C$52,3,)*Q1753</f>
        <v>119.55999999999999</v>
      </c>
    </row>
    <row r="1754" spans="1:18" ht="12" customHeight="1" x14ac:dyDescent="0.35">
      <c r="A1754" s="75">
        <v>1778</v>
      </c>
      <c r="B1754" s="80">
        <v>2016</v>
      </c>
      <c r="C1754" s="80">
        <v>7</v>
      </c>
      <c r="D1754" s="80">
        <f t="shared" si="98"/>
        <v>2016</v>
      </c>
      <c r="E1754" t="s">
        <v>38</v>
      </c>
      <c r="F1754" t="s">
        <v>143</v>
      </c>
      <c r="G1754" t="s">
        <v>86</v>
      </c>
      <c r="H1754" s="72" t="s">
        <v>220</v>
      </c>
      <c r="I1754" s="72" t="s">
        <v>62</v>
      </c>
      <c r="J1754" t="str">
        <f t="shared" si="99"/>
        <v>Skykomish River</v>
      </c>
      <c r="K1754" t="str">
        <f>IFERROR(VLOOKUP(J1754,LUTs!$A$1:$C$73,2,FALSE),"NA")</f>
        <v>Snohomish</v>
      </c>
      <c r="L1754" t="str">
        <f>IFERROR(VLOOKUP(J1754,LUTs!$A$1:$C$73,3,FALSE),"NA")</f>
        <v>2Central Puget Sound</v>
      </c>
      <c r="M1754" s="72" t="s">
        <v>17</v>
      </c>
      <c r="N1754" t="str">
        <f>VLOOKUP(M1754,LUTs!E$2:H$14,3,)</f>
        <v>04Island</v>
      </c>
      <c r="O1754" t="str">
        <f>VLOOKUP(M1754,LUTs!E$2:H$14,4,)</f>
        <v>01North Puget Sound</v>
      </c>
      <c r="P1754" s="80">
        <v>6.4563758389261796</v>
      </c>
      <c r="Q1754" s="103">
        <v>3.2281879194630898</v>
      </c>
      <c r="R1754" s="74">
        <f>VLOOKUP(B1754,Readme!A$40:C$52,3,)*Q1754</f>
        <v>27.568724832214784</v>
      </c>
    </row>
    <row r="1755" spans="1:18" ht="12" customHeight="1" x14ac:dyDescent="0.35">
      <c r="A1755" s="75">
        <v>1779</v>
      </c>
      <c r="B1755" s="80">
        <v>2016</v>
      </c>
      <c r="C1755" s="80">
        <v>7</v>
      </c>
      <c r="D1755" s="80">
        <f t="shared" si="98"/>
        <v>2016</v>
      </c>
      <c r="E1755" t="s">
        <v>38</v>
      </c>
      <c r="F1755" t="s">
        <v>143</v>
      </c>
      <c r="G1755" t="s">
        <v>86</v>
      </c>
      <c r="H1755" s="72" t="s">
        <v>220</v>
      </c>
      <c r="I1755" s="72" t="s">
        <v>62</v>
      </c>
      <c r="J1755" t="str">
        <f t="shared" si="99"/>
        <v>Skykomish River</v>
      </c>
      <c r="K1755" t="str">
        <f>IFERROR(VLOOKUP(J1755,LUTs!$A$1:$C$73,2,FALSE),"NA")</f>
        <v>Snohomish</v>
      </c>
      <c r="L1755" t="str">
        <f>IFERROR(VLOOKUP(J1755,LUTs!$A$1:$C$73,3,FALSE),"NA")</f>
        <v>2Central Puget Sound</v>
      </c>
      <c r="M1755" s="72" t="s">
        <v>18</v>
      </c>
      <c r="N1755" t="str">
        <f>VLOOKUP(M1755,LUTs!E$2:H$14,3,)</f>
        <v>06King</v>
      </c>
      <c r="O1755" t="str">
        <f>VLOOKUP(M1755,LUTs!E$2:H$14,4,)</f>
        <v>02South Puget Sound</v>
      </c>
      <c r="P1755" s="80">
        <v>329.275167785235</v>
      </c>
      <c r="Q1755" s="103">
        <v>164.63758389261699</v>
      </c>
      <c r="R1755" s="74">
        <f>VLOOKUP(B1755,Readme!A$40:C$52,3,)*Q1755</f>
        <v>1406.0049664429489</v>
      </c>
    </row>
    <row r="1756" spans="1:18" ht="12" customHeight="1" x14ac:dyDescent="0.35">
      <c r="A1756" s="75">
        <v>1780</v>
      </c>
      <c r="B1756" s="80">
        <v>2016</v>
      </c>
      <c r="C1756" s="80">
        <v>7</v>
      </c>
      <c r="D1756" s="80">
        <f t="shared" si="98"/>
        <v>2016</v>
      </c>
      <c r="E1756" t="s">
        <v>38</v>
      </c>
      <c r="F1756" t="s">
        <v>143</v>
      </c>
      <c r="G1756" t="s">
        <v>86</v>
      </c>
      <c r="H1756" s="72" t="s">
        <v>220</v>
      </c>
      <c r="I1756" s="72" t="s">
        <v>62</v>
      </c>
      <c r="J1756" t="str">
        <f t="shared" si="99"/>
        <v>Skykomish River</v>
      </c>
      <c r="K1756" t="str">
        <f>IFERROR(VLOOKUP(J1756,LUTs!$A$1:$C$73,2,FALSE),"NA")</f>
        <v>Snohomish</v>
      </c>
      <c r="L1756" t="str">
        <f>IFERROR(VLOOKUP(J1756,LUTs!$A$1:$C$73,3,FALSE),"NA")</f>
        <v>2Central Puget Sound</v>
      </c>
      <c r="M1756" s="72" t="s">
        <v>23</v>
      </c>
      <c r="N1756" t="str">
        <f>VLOOKUP(M1756,LUTs!E$2:H$14,3,)</f>
        <v>10Kitsap</v>
      </c>
      <c r="O1756" t="str">
        <f>VLOOKUP(M1756,LUTs!E$2:H$14,4,)</f>
        <v>02South Puget Sound</v>
      </c>
      <c r="P1756" s="80">
        <v>25.825503355704701</v>
      </c>
      <c r="Q1756" s="103">
        <v>12.9127516778524</v>
      </c>
      <c r="R1756" s="74">
        <f>VLOOKUP(B1756,Readme!A$40:C$52,3,)*Q1756</f>
        <v>110.27489932885949</v>
      </c>
    </row>
    <row r="1757" spans="1:18" ht="12" customHeight="1" x14ac:dyDescent="0.35">
      <c r="A1757" s="75">
        <v>1781</v>
      </c>
      <c r="B1757" s="80">
        <v>2016</v>
      </c>
      <c r="C1757" s="80">
        <v>7</v>
      </c>
      <c r="D1757" s="80">
        <f t="shared" si="98"/>
        <v>2016</v>
      </c>
      <c r="E1757" t="s">
        <v>38</v>
      </c>
      <c r="F1757" t="s">
        <v>143</v>
      </c>
      <c r="G1757" t="s">
        <v>86</v>
      </c>
      <c r="H1757" s="72" t="s">
        <v>220</v>
      </c>
      <c r="I1757" s="72" t="s">
        <v>62</v>
      </c>
      <c r="J1757" t="str">
        <f t="shared" si="99"/>
        <v>Skykomish River</v>
      </c>
      <c r="K1757" t="str">
        <f>IFERROR(VLOOKUP(J1757,LUTs!$A$1:$C$73,2,FALSE),"NA")</f>
        <v>Snohomish</v>
      </c>
      <c r="L1757" t="str">
        <f>IFERROR(VLOOKUP(J1757,LUTs!$A$1:$C$73,3,FALSE),"NA")</f>
        <v>2Central Puget Sound</v>
      </c>
      <c r="M1757" s="72" t="s">
        <v>26</v>
      </c>
      <c r="N1757" t="str">
        <f>VLOOKUP(M1757,LUTs!E$2:H$14,3,)</f>
        <v>20Other</v>
      </c>
      <c r="O1757" t="str">
        <f>VLOOKUP(M1757,LUTs!E$2:H$14,4,)</f>
        <v>07Non Puget Sound</v>
      </c>
      <c r="P1757" s="80">
        <v>19.369127516778502</v>
      </c>
      <c r="Q1757" s="103">
        <v>9.6845637583892596</v>
      </c>
      <c r="R1757" s="74">
        <f>VLOOKUP(B1757,Readme!A$40:C$52,3,)*Q1757</f>
        <v>82.706174496644266</v>
      </c>
    </row>
    <row r="1758" spans="1:18" ht="12" customHeight="1" x14ac:dyDescent="0.35">
      <c r="A1758" s="75">
        <v>1782</v>
      </c>
      <c r="B1758" s="80">
        <v>2016</v>
      </c>
      <c r="C1758" s="80">
        <v>7</v>
      </c>
      <c r="D1758" s="80">
        <f t="shared" si="98"/>
        <v>2016</v>
      </c>
      <c r="E1758" t="s">
        <v>38</v>
      </c>
      <c r="F1758" t="s">
        <v>143</v>
      </c>
      <c r="G1758" t="s">
        <v>86</v>
      </c>
      <c r="H1758" s="72" t="s">
        <v>220</v>
      </c>
      <c r="I1758" s="72" t="s">
        <v>62</v>
      </c>
      <c r="J1758" t="str">
        <f t="shared" si="99"/>
        <v>Skykomish River</v>
      </c>
      <c r="K1758" t="str">
        <f>IFERROR(VLOOKUP(J1758,LUTs!$A$1:$C$73,2,FALSE),"NA")</f>
        <v>Snohomish</v>
      </c>
      <c r="L1758" t="str">
        <f>IFERROR(VLOOKUP(J1758,LUTs!$A$1:$C$73,3,FALSE),"NA")</f>
        <v>2Central Puget Sound</v>
      </c>
      <c r="M1758" s="72" t="s">
        <v>15</v>
      </c>
      <c r="N1758" t="str">
        <f>VLOOKUP(M1758,LUTs!E$2:H$14,3,)</f>
        <v>02Skagit</v>
      </c>
      <c r="O1758" t="str">
        <f>VLOOKUP(M1758,LUTs!E$2:H$14,4,)</f>
        <v>01North Puget Sound</v>
      </c>
      <c r="P1758" s="80">
        <v>25.825503355704701</v>
      </c>
      <c r="Q1758" s="103">
        <v>12.9127516778524</v>
      </c>
      <c r="R1758" s="74">
        <f>VLOOKUP(B1758,Readme!A$40:C$52,3,)*Q1758</f>
        <v>110.27489932885949</v>
      </c>
    </row>
    <row r="1759" spans="1:18" ht="12" customHeight="1" x14ac:dyDescent="0.35">
      <c r="A1759" s="75">
        <v>1783</v>
      </c>
      <c r="B1759" s="80">
        <v>2016</v>
      </c>
      <c r="C1759" s="80">
        <v>7</v>
      </c>
      <c r="D1759" s="80">
        <f t="shared" si="98"/>
        <v>2016</v>
      </c>
      <c r="E1759" t="s">
        <v>38</v>
      </c>
      <c r="F1759" t="s">
        <v>143</v>
      </c>
      <c r="G1759" t="s">
        <v>86</v>
      </c>
      <c r="H1759" s="72" t="s">
        <v>220</v>
      </c>
      <c r="I1759" s="72" t="s">
        <v>62</v>
      </c>
      <c r="J1759" t="str">
        <f t="shared" si="99"/>
        <v>Skykomish River</v>
      </c>
      <c r="K1759" t="str">
        <f>IFERROR(VLOOKUP(J1759,LUTs!$A$1:$C$73,2,FALSE),"NA")</f>
        <v>Snohomish</v>
      </c>
      <c r="L1759" t="str">
        <f>IFERROR(VLOOKUP(J1759,LUTs!$A$1:$C$73,3,FALSE),"NA")</f>
        <v>2Central Puget Sound</v>
      </c>
      <c r="M1759" s="72" t="s">
        <v>16</v>
      </c>
      <c r="N1759" t="str">
        <f>VLOOKUP(M1759,LUTs!E$2:H$14,3,)</f>
        <v>03Snohomish</v>
      </c>
      <c r="O1759" t="str">
        <f>VLOOKUP(M1759,LUTs!E$2:H$14,4,)</f>
        <v>01North Puget Sound</v>
      </c>
      <c r="P1759" s="80">
        <v>503.59731543624201</v>
      </c>
      <c r="Q1759" s="103">
        <v>251.79865771812101</v>
      </c>
      <c r="R1759" s="74">
        <f>VLOOKUP(B1759,Readme!A$40:C$52,3,)*Q1759</f>
        <v>2150.3605369127531</v>
      </c>
    </row>
    <row r="1760" spans="1:18" ht="12" customHeight="1" x14ac:dyDescent="0.35">
      <c r="A1760" s="75">
        <v>1784</v>
      </c>
      <c r="B1760" s="80">
        <v>2016</v>
      </c>
      <c r="C1760" s="80">
        <v>7</v>
      </c>
      <c r="D1760" s="80">
        <f t="shared" si="98"/>
        <v>2016</v>
      </c>
      <c r="E1760" t="s">
        <v>38</v>
      </c>
      <c r="F1760" t="s">
        <v>143</v>
      </c>
      <c r="G1760" t="s">
        <v>86</v>
      </c>
      <c r="H1760" s="72" t="s">
        <v>220</v>
      </c>
      <c r="I1760" s="72" t="s">
        <v>62</v>
      </c>
      <c r="J1760" t="str">
        <f t="shared" si="99"/>
        <v>Skykomish River</v>
      </c>
      <c r="K1760" t="str">
        <f>IFERROR(VLOOKUP(J1760,LUTs!$A$1:$C$73,2,FALSE),"NA")</f>
        <v>Snohomish</v>
      </c>
      <c r="L1760" t="str">
        <f>IFERROR(VLOOKUP(J1760,LUTs!$A$1:$C$73,3,FALSE),"NA")</f>
        <v>2Central Puget Sound</v>
      </c>
      <c r="M1760" s="72" t="s">
        <v>13</v>
      </c>
      <c r="N1760" t="str">
        <f>VLOOKUP(M1760,LUTs!E$2:H$14,3,)</f>
        <v>01Whatcom</v>
      </c>
      <c r="O1760" t="str">
        <f>VLOOKUP(M1760,LUTs!E$2:H$14,4,)</f>
        <v>01North Puget Sound</v>
      </c>
      <c r="P1760" s="80">
        <v>51.651006711409401</v>
      </c>
      <c r="Q1760" s="103">
        <v>25.825503355704701</v>
      </c>
      <c r="R1760" s="74">
        <f>VLOOKUP(B1760,Readme!A$40:C$52,3,)*Q1760</f>
        <v>220.54979865771813</v>
      </c>
    </row>
    <row r="1761" spans="1:18" ht="12" customHeight="1" x14ac:dyDescent="0.35">
      <c r="A1761" s="75">
        <v>1806</v>
      </c>
      <c r="B1761" s="80">
        <v>2016</v>
      </c>
      <c r="C1761" s="80">
        <v>7</v>
      </c>
      <c r="D1761" s="80">
        <f t="shared" si="98"/>
        <v>2016</v>
      </c>
      <c r="E1761" t="s">
        <v>38</v>
      </c>
      <c r="F1761" t="s">
        <v>143</v>
      </c>
      <c r="G1761" t="s">
        <v>86</v>
      </c>
      <c r="H1761" s="72" t="s">
        <v>247</v>
      </c>
      <c r="I1761" s="72" t="s">
        <v>98</v>
      </c>
      <c r="J1761" t="str">
        <f t="shared" si="99"/>
        <v>Skykomish River, No. Fork</v>
      </c>
      <c r="K1761" t="str">
        <f>IFERROR(VLOOKUP(J1761,LUTs!$A$1:$C$73,2,FALSE),"NA")</f>
        <v>Snohomish</v>
      </c>
      <c r="L1761" t="str">
        <f>IFERROR(VLOOKUP(J1761,LUTs!$A$1:$C$73,3,FALSE),"NA")</f>
        <v>2Central Puget Sound</v>
      </c>
      <c r="M1761" s="72" t="s">
        <v>26</v>
      </c>
      <c r="N1761" t="str">
        <f>VLOOKUP(M1761,LUTs!E$2:H$14,3,)</f>
        <v>20Other</v>
      </c>
      <c r="O1761" t="str">
        <f>VLOOKUP(M1761,LUTs!E$2:H$14,4,)</f>
        <v>07Non Puget Sound</v>
      </c>
      <c r="P1761" s="80">
        <v>12</v>
      </c>
      <c r="Q1761" s="103">
        <v>6</v>
      </c>
      <c r="R1761" s="74">
        <f>VLOOKUP(B1761,Readme!A$40:C$52,3,)*Q1761</f>
        <v>51.239999999999995</v>
      </c>
    </row>
    <row r="1762" spans="1:18" ht="12" customHeight="1" x14ac:dyDescent="0.35">
      <c r="A1762" s="75">
        <v>1811</v>
      </c>
      <c r="B1762" s="80">
        <v>2016</v>
      </c>
      <c r="C1762" s="80">
        <v>7</v>
      </c>
      <c r="D1762" s="80">
        <f t="shared" si="98"/>
        <v>2016</v>
      </c>
      <c r="E1762" t="s">
        <v>38</v>
      </c>
      <c r="F1762" t="s">
        <v>143</v>
      </c>
      <c r="G1762" t="s">
        <v>86</v>
      </c>
      <c r="H1762" s="72" t="s">
        <v>221</v>
      </c>
      <c r="I1762" s="72" t="s">
        <v>63</v>
      </c>
      <c r="J1762" t="str">
        <f t="shared" si="99"/>
        <v>Snohomish River</v>
      </c>
      <c r="K1762" t="str">
        <f>IFERROR(VLOOKUP(J1762,LUTs!$A$1:$C$73,2,FALSE),"NA")</f>
        <v>Snohomish</v>
      </c>
      <c r="L1762" t="str">
        <f>IFERROR(VLOOKUP(J1762,LUTs!$A$1:$C$73,3,FALSE),"NA")</f>
        <v>2Central Puget Sound</v>
      </c>
      <c r="M1762" s="72" t="s">
        <v>16</v>
      </c>
      <c r="N1762" t="str">
        <f>VLOOKUP(M1762,LUTs!E$2:H$14,3,)</f>
        <v>03Snohomish</v>
      </c>
      <c r="O1762" t="str">
        <f>VLOOKUP(M1762,LUTs!E$2:H$14,4,)</f>
        <v>01North Puget Sound</v>
      </c>
      <c r="P1762" s="80">
        <v>12</v>
      </c>
      <c r="Q1762" s="103">
        <v>6</v>
      </c>
      <c r="R1762" s="74">
        <f>VLOOKUP(B1762,Readme!A$40:C$52,3,)*Q1762</f>
        <v>51.239999999999995</v>
      </c>
    </row>
    <row r="1763" spans="1:18" ht="12" customHeight="1" x14ac:dyDescent="0.35">
      <c r="A1763" s="75">
        <v>1764</v>
      </c>
      <c r="B1763" s="80">
        <v>2016</v>
      </c>
      <c r="C1763" s="80">
        <v>8</v>
      </c>
      <c r="D1763" s="80">
        <f t="shared" si="98"/>
        <v>2016</v>
      </c>
      <c r="E1763" t="s">
        <v>38</v>
      </c>
      <c r="F1763" t="s">
        <v>143</v>
      </c>
      <c r="G1763" t="s">
        <v>86</v>
      </c>
      <c r="H1763" s="72" t="s">
        <v>216</v>
      </c>
      <c r="I1763" s="72" t="s">
        <v>58</v>
      </c>
      <c r="J1763" t="str">
        <f t="shared" si="99"/>
        <v>Baker Lake</v>
      </c>
      <c r="K1763" t="str">
        <f>IFERROR(VLOOKUP(J1763,LUTs!$A$1:$C$73,2,FALSE),"NA")</f>
        <v>Whatcom</v>
      </c>
      <c r="L1763" t="str">
        <f>IFERROR(VLOOKUP(J1763,LUTs!$A$1:$C$73,3,FALSE),"NA")</f>
        <v>1North Puget Sound</v>
      </c>
      <c r="M1763" s="72" t="s">
        <v>18</v>
      </c>
      <c r="N1763" t="str">
        <f>VLOOKUP(M1763,LUTs!E$2:H$14,3,)</f>
        <v>06King</v>
      </c>
      <c r="O1763" t="str">
        <f>VLOOKUP(M1763,LUTs!E$2:H$14,4,)</f>
        <v>02South Puget Sound</v>
      </c>
      <c r="P1763" s="80">
        <v>11</v>
      </c>
      <c r="Q1763" s="103">
        <v>0</v>
      </c>
      <c r="R1763" s="74">
        <f>VLOOKUP(B1763,Readme!A$40:C$52,3,)*Q1763</f>
        <v>0</v>
      </c>
    </row>
    <row r="1764" spans="1:18" ht="12" customHeight="1" x14ac:dyDescent="0.35">
      <c r="A1764" s="75">
        <v>1765</v>
      </c>
      <c r="B1764" s="80">
        <v>2016</v>
      </c>
      <c r="C1764" s="80">
        <v>8</v>
      </c>
      <c r="D1764" s="80">
        <f t="shared" si="98"/>
        <v>2016</v>
      </c>
      <c r="E1764" t="s">
        <v>38</v>
      </c>
      <c r="F1764" t="s">
        <v>143</v>
      </c>
      <c r="G1764" t="s">
        <v>86</v>
      </c>
      <c r="H1764" s="72" t="s">
        <v>216</v>
      </c>
      <c r="I1764" s="72" t="s">
        <v>58</v>
      </c>
      <c r="J1764" t="str">
        <f t="shared" si="99"/>
        <v>Baker Lake</v>
      </c>
      <c r="K1764" t="str">
        <f>IFERROR(VLOOKUP(J1764,LUTs!$A$1:$C$73,2,FALSE),"NA")</f>
        <v>Whatcom</v>
      </c>
      <c r="L1764" t="str">
        <f>IFERROR(VLOOKUP(J1764,LUTs!$A$1:$C$73,3,FALSE),"NA")</f>
        <v>1North Puget Sound</v>
      </c>
      <c r="M1764" s="72" t="s">
        <v>13</v>
      </c>
      <c r="N1764" t="str">
        <f>VLOOKUP(M1764,LUTs!E$2:H$14,3,)</f>
        <v>01Whatcom</v>
      </c>
      <c r="O1764" t="str">
        <f>VLOOKUP(M1764,LUTs!E$2:H$14,4,)</f>
        <v>01North Puget Sound</v>
      </c>
      <c r="P1764" s="80">
        <v>11</v>
      </c>
      <c r="Q1764" s="103">
        <v>0</v>
      </c>
      <c r="R1764" s="74">
        <f>VLOOKUP(B1764,Readme!A$40:C$52,3,)*Q1764</f>
        <v>0</v>
      </c>
    </row>
    <row r="1765" spans="1:18" ht="12" customHeight="1" x14ac:dyDescent="0.35">
      <c r="A1765" s="75">
        <v>1746</v>
      </c>
      <c r="B1765" s="80">
        <v>2016</v>
      </c>
      <c r="C1765" s="80">
        <v>8</v>
      </c>
      <c r="D1765" s="80">
        <f t="shared" si="98"/>
        <v>2016</v>
      </c>
      <c r="E1765" t="s">
        <v>38</v>
      </c>
      <c r="F1765" t="s">
        <v>143</v>
      </c>
      <c r="G1765" t="s">
        <v>86</v>
      </c>
      <c r="H1765" s="72" t="s">
        <v>203</v>
      </c>
      <c r="I1765" s="72" t="s">
        <v>89</v>
      </c>
      <c r="J1765" s="84" t="s">
        <v>45</v>
      </c>
      <c r="K1765" t="str">
        <f>IFERROR(VLOOKUP(J1765,LUTs!$A$1:$C$73,2,FALSE),"NA")</f>
        <v>King</v>
      </c>
      <c r="L1765" t="str">
        <f>IFERROR(VLOOKUP(J1765,LUTs!$A$1:$C$73,3,FALSE),"NA")</f>
        <v>3South Puget Sound</v>
      </c>
      <c r="M1765" s="72" t="s">
        <v>18</v>
      </c>
      <c r="N1765" t="str">
        <f>VLOOKUP(M1765,LUTs!E$2:H$14,3,)</f>
        <v>06King</v>
      </c>
      <c r="O1765" t="str">
        <f>VLOOKUP(M1765,LUTs!E$2:H$14,4,)</f>
        <v>02South Puget Sound</v>
      </c>
      <c r="P1765" s="80">
        <v>54.285714285714299</v>
      </c>
      <c r="Q1765" s="103">
        <v>27.1428571428571</v>
      </c>
      <c r="R1765" s="74">
        <f>VLOOKUP(B1765,Readme!A$40:C$52,3,)*Q1765</f>
        <v>231.79999999999961</v>
      </c>
    </row>
    <row r="1766" spans="1:18" ht="12" customHeight="1" x14ac:dyDescent="0.35">
      <c r="A1766" s="75">
        <v>1747</v>
      </c>
      <c r="B1766" s="80">
        <v>2016</v>
      </c>
      <c r="C1766" s="80">
        <v>8</v>
      </c>
      <c r="D1766" s="80">
        <f t="shared" si="98"/>
        <v>2016</v>
      </c>
      <c r="E1766" t="s">
        <v>38</v>
      </c>
      <c r="F1766" t="s">
        <v>143</v>
      </c>
      <c r="G1766" t="s">
        <v>86</v>
      </c>
      <c r="H1766" s="72" t="s">
        <v>203</v>
      </c>
      <c r="I1766" s="72" t="s">
        <v>89</v>
      </c>
      <c r="J1766" s="84" t="s">
        <v>45</v>
      </c>
      <c r="K1766" t="str">
        <f>IFERROR(VLOOKUP(J1766,LUTs!$A$1:$C$73,2,FALSE),"NA")</f>
        <v>King</v>
      </c>
      <c r="L1766" t="str">
        <f>IFERROR(VLOOKUP(J1766,LUTs!$A$1:$C$73,3,FALSE),"NA")</f>
        <v>3South Puget Sound</v>
      </c>
      <c r="M1766" s="72" t="s">
        <v>20</v>
      </c>
      <c r="N1766" t="str">
        <f>VLOOKUP(M1766,LUTs!E$2:H$14,3,)</f>
        <v>07Pierce</v>
      </c>
      <c r="O1766" t="str">
        <f>VLOOKUP(M1766,LUTs!E$2:H$14,4,)</f>
        <v>02South Puget Sound</v>
      </c>
      <c r="P1766" s="80">
        <v>21.714285714285701</v>
      </c>
      <c r="Q1766" s="103">
        <v>10.8571428571429</v>
      </c>
      <c r="R1766" s="74">
        <f>VLOOKUP(B1766,Readme!A$40:C$52,3,)*Q1766</f>
        <v>92.720000000000354</v>
      </c>
    </row>
    <row r="1767" spans="1:18" ht="12" customHeight="1" x14ac:dyDescent="0.35">
      <c r="A1767" s="75">
        <v>1762</v>
      </c>
      <c r="B1767" s="80">
        <v>2016</v>
      </c>
      <c r="C1767" s="80">
        <v>8</v>
      </c>
      <c r="D1767" s="80">
        <f t="shared" si="98"/>
        <v>2016</v>
      </c>
      <c r="E1767" t="s">
        <v>38</v>
      </c>
      <c r="F1767" t="s">
        <v>143</v>
      </c>
      <c r="G1767" t="s">
        <v>86</v>
      </c>
      <c r="H1767" s="72" t="s">
        <v>244</v>
      </c>
      <c r="I1767" s="72" t="s">
        <v>95</v>
      </c>
      <c r="J1767" t="str">
        <f t="shared" ref="J1767:J1773" si="100">I1767</f>
        <v>Sekiu River</v>
      </c>
      <c r="K1767" t="str">
        <f>IFERROR(VLOOKUP(J1767,LUTs!$A$1:$C$73,2,FALSE),"NA")</f>
        <v>Clallam</v>
      </c>
      <c r="L1767" t="str">
        <f>IFERROR(VLOOKUP(J1767,LUTs!$A$1:$C$73,3,FALSE),"NA")</f>
        <v>0Strait of Juan de Fuca</v>
      </c>
      <c r="M1767" s="72" t="s">
        <v>26</v>
      </c>
      <c r="N1767" t="str">
        <f>VLOOKUP(M1767,LUTs!E$2:H$14,3,)</f>
        <v>20Other</v>
      </c>
      <c r="O1767" t="str">
        <f>VLOOKUP(M1767,LUTs!E$2:H$14,4,)</f>
        <v>07Non Puget Sound</v>
      </c>
      <c r="P1767" s="80">
        <v>10</v>
      </c>
      <c r="Q1767" s="103">
        <v>5</v>
      </c>
      <c r="R1767" s="74">
        <f>VLOOKUP(B1767,Readme!A$40:C$52,3,)*Q1767</f>
        <v>42.699999999999996</v>
      </c>
    </row>
    <row r="1768" spans="1:18" ht="12" customHeight="1" x14ac:dyDescent="0.35">
      <c r="A1768" s="75">
        <v>1785</v>
      </c>
      <c r="B1768" s="80">
        <v>2016</v>
      </c>
      <c r="C1768" s="80">
        <v>8</v>
      </c>
      <c r="D1768" s="80">
        <f t="shared" si="98"/>
        <v>2016</v>
      </c>
      <c r="E1768" t="s">
        <v>38</v>
      </c>
      <c r="F1768" t="s">
        <v>143</v>
      </c>
      <c r="G1768" t="s">
        <v>86</v>
      </c>
      <c r="H1768" s="72" t="s">
        <v>220</v>
      </c>
      <c r="I1768" s="72" t="s">
        <v>62</v>
      </c>
      <c r="J1768" t="str">
        <f t="shared" si="100"/>
        <v>Skykomish River</v>
      </c>
      <c r="K1768" t="str">
        <f>IFERROR(VLOOKUP(J1768,LUTs!$A$1:$C$73,2,FALSE),"NA")</f>
        <v>Snohomish</v>
      </c>
      <c r="L1768" t="str">
        <f>IFERROR(VLOOKUP(J1768,LUTs!$A$1:$C$73,3,FALSE),"NA")</f>
        <v>2Central Puget Sound</v>
      </c>
      <c r="M1768" s="72" t="s">
        <v>18</v>
      </c>
      <c r="N1768" t="str">
        <f>VLOOKUP(M1768,LUTs!E$2:H$14,3,)</f>
        <v>06King</v>
      </c>
      <c r="O1768" t="str">
        <f>VLOOKUP(M1768,LUTs!E$2:H$14,4,)</f>
        <v>02South Puget Sound</v>
      </c>
      <c r="P1768" s="80">
        <v>141.777777777778</v>
      </c>
      <c r="Q1768" s="103">
        <v>70.8888888888889</v>
      </c>
      <c r="R1768" s="74">
        <f>VLOOKUP(B1768,Readme!A$40:C$52,3,)*Q1768</f>
        <v>605.39111111111117</v>
      </c>
    </row>
    <row r="1769" spans="1:18" ht="12" customHeight="1" x14ac:dyDescent="0.35">
      <c r="A1769" s="75">
        <v>1786</v>
      </c>
      <c r="B1769" s="80">
        <v>2016</v>
      </c>
      <c r="C1769" s="80">
        <v>8</v>
      </c>
      <c r="D1769" s="80">
        <f t="shared" si="98"/>
        <v>2016</v>
      </c>
      <c r="E1769" t="s">
        <v>38</v>
      </c>
      <c r="F1769" t="s">
        <v>143</v>
      </c>
      <c r="G1769" t="s">
        <v>86</v>
      </c>
      <c r="H1769" s="72" t="s">
        <v>220</v>
      </c>
      <c r="I1769" s="72" t="s">
        <v>62</v>
      </c>
      <c r="J1769" t="str">
        <f t="shared" si="100"/>
        <v>Skykomish River</v>
      </c>
      <c r="K1769" t="str">
        <f>IFERROR(VLOOKUP(J1769,LUTs!$A$1:$C$73,2,FALSE),"NA")</f>
        <v>Snohomish</v>
      </c>
      <c r="L1769" t="str">
        <f>IFERROR(VLOOKUP(J1769,LUTs!$A$1:$C$73,3,FALSE),"NA")</f>
        <v>2Central Puget Sound</v>
      </c>
      <c r="M1769" s="72" t="s">
        <v>16</v>
      </c>
      <c r="N1769" t="str">
        <f>VLOOKUP(M1769,LUTs!E$2:H$14,3,)</f>
        <v>03Snohomish</v>
      </c>
      <c r="O1769" t="str">
        <f>VLOOKUP(M1769,LUTs!E$2:H$14,4,)</f>
        <v>01North Puget Sound</v>
      </c>
      <c r="P1769" s="80">
        <v>90.2222222222222</v>
      </c>
      <c r="Q1769" s="103">
        <v>45.1111111111111</v>
      </c>
      <c r="R1769" s="74">
        <f>VLOOKUP(B1769,Readme!A$40:C$52,3,)*Q1769</f>
        <v>385.24888888888876</v>
      </c>
    </row>
    <row r="1770" spans="1:18" ht="12" customHeight="1" x14ac:dyDescent="0.35">
      <c r="A1770" s="75">
        <v>1766</v>
      </c>
      <c r="B1770" s="80">
        <v>2016</v>
      </c>
      <c r="C1770" s="80">
        <v>9</v>
      </c>
      <c r="D1770" s="80">
        <f t="shared" si="98"/>
        <v>2016</v>
      </c>
      <c r="E1770" t="s">
        <v>38</v>
      </c>
      <c r="F1770" t="s">
        <v>143</v>
      </c>
      <c r="G1770" t="s">
        <v>86</v>
      </c>
      <c r="H1770" s="72" t="s">
        <v>217</v>
      </c>
      <c r="I1770" s="72" t="s">
        <v>59</v>
      </c>
      <c r="J1770" t="str">
        <f t="shared" si="100"/>
        <v>Cascade River</v>
      </c>
      <c r="K1770" t="str">
        <f>IFERROR(VLOOKUP(J1770,LUTs!$A$1:$C$73,2,FALSE),"NA")</f>
        <v>Skagit</v>
      </c>
      <c r="L1770" t="str">
        <f>IFERROR(VLOOKUP(J1770,LUTs!$A$1:$C$73,3,FALSE),"NA")</f>
        <v>1North Puget Sound</v>
      </c>
      <c r="M1770" s="72" t="s">
        <v>16</v>
      </c>
      <c r="N1770" t="str">
        <f>VLOOKUP(M1770,LUTs!E$2:H$14,3,)</f>
        <v>03Snohomish</v>
      </c>
      <c r="O1770" t="str">
        <f>VLOOKUP(M1770,LUTs!E$2:H$14,4,)</f>
        <v>01North Puget Sound</v>
      </c>
      <c r="P1770" s="80">
        <v>10</v>
      </c>
      <c r="Q1770" s="103">
        <v>5</v>
      </c>
      <c r="R1770" s="74">
        <f>VLOOKUP(B1770,Readme!A$40:C$52,3,)*Q1770</f>
        <v>42.699999999999996</v>
      </c>
    </row>
    <row r="1771" spans="1:18" ht="12" customHeight="1" x14ac:dyDescent="0.35">
      <c r="A1771" s="75">
        <v>1787</v>
      </c>
      <c r="B1771" s="80">
        <v>2016</v>
      </c>
      <c r="C1771" s="80">
        <v>9</v>
      </c>
      <c r="D1771" s="80">
        <f t="shared" si="98"/>
        <v>2016</v>
      </c>
      <c r="E1771" t="s">
        <v>38</v>
      </c>
      <c r="F1771" t="s">
        <v>143</v>
      </c>
      <c r="G1771" t="s">
        <v>86</v>
      </c>
      <c r="H1771" s="72" t="s">
        <v>220</v>
      </c>
      <c r="I1771" s="72" t="s">
        <v>62</v>
      </c>
      <c r="J1771" t="str">
        <f t="shared" si="100"/>
        <v>Skykomish River</v>
      </c>
      <c r="K1771" t="str">
        <f>IFERROR(VLOOKUP(J1771,LUTs!$A$1:$C$73,2,FALSE),"NA")</f>
        <v>Snohomish</v>
      </c>
      <c r="L1771" t="str">
        <f>IFERROR(VLOOKUP(J1771,LUTs!$A$1:$C$73,3,FALSE),"NA")</f>
        <v>2Central Puget Sound</v>
      </c>
      <c r="M1771" s="72" t="s">
        <v>18</v>
      </c>
      <c r="N1771" t="str">
        <f>VLOOKUP(M1771,LUTs!E$2:H$14,3,)</f>
        <v>06King</v>
      </c>
      <c r="O1771" t="str">
        <f>VLOOKUP(M1771,LUTs!E$2:H$14,4,)</f>
        <v>02South Puget Sound</v>
      </c>
      <c r="P1771" s="80">
        <v>77.2173913043478</v>
      </c>
      <c r="Q1771" s="103">
        <v>38.6086956521739</v>
      </c>
      <c r="R1771" s="74">
        <f>VLOOKUP(B1771,Readme!A$40:C$52,3,)*Q1771</f>
        <v>329.71826086956509</v>
      </c>
    </row>
    <row r="1772" spans="1:18" ht="12" customHeight="1" x14ac:dyDescent="0.35">
      <c r="A1772" s="75">
        <v>1788</v>
      </c>
      <c r="B1772" s="80">
        <v>2016</v>
      </c>
      <c r="C1772" s="80">
        <v>9</v>
      </c>
      <c r="D1772" s="80">
        <f t="shared" si="98"/>
        <v>2016</v>
      </c>
      <c r="E1772" t="s">
        <v>38</v>
      </c>
      <c r="F1772" t="s">
        <v>143</v>
      </c>
      <c r="G1772" t="s">
        <v>86</v>
      </c>
      <c r="H1772" s="72" t="s">
        <v>220</v>
      </c>
      <c r="I1772" s="72" t="s">
        <v>62</v>
      </c>
      <c r="J1772" t="str">
        <f t="shared" si="100"/>
        <v>Skykomish River</v>
      </c>
      <c r="K1772" t="str">
        <f>IFERROR(VLOOKUP(J1772,LUTs!$A$1:$C$73,2,FALSE),"NA")</f>
        <v>Snohomish</v>
      </c>
      <c r="L1772" t="str">
        <f>IFERROR(VLOOKUP(J1772,LUTs!$A$1:$C$73,3,FALSE),"NA")</f>
        <v>2Central Puget Sound</v>
      </c>
      <c r="M1772" s="72" t="s">
        <v>16</v>
      </c>
      <c r="N1772" t="str">
        <f>VLOOKUP(M1772,LUTs!E$2:H$14,3,)</f>
        <v>03Snohomish</v>
      </c>
      <c r="O1772" t="str">
        <f>VLOOKUP(M1772,LUTs!E$2:H$14,4,)</f>
        <v>01North Puget Sound</v>
      </c>
      <c r="P1772" s="80">
        <v>70.7826086956522</v>
      </c>
      <c r="Q1772" s="103">
        <v>35.3913043478261</v>
      </c>
      <c r="R1772" s="74">
        <f>VLOOKUP(B1772,Readme!A$40:C$52,3,)*Q1772</f>
        <v>302.24173913043489</v>
      </c>
    </row>
    <row r="1773" spans="1:18" ht="12" customHeight="1" x14ac:dyDescent="0.35">
      <c r="A1773" s="75">
        <v>1807</v>
      </c>
      <c r="B1773" s="80">
        <v>2016</v>
      </c>
      <c r="C1773" s="80">
        <v>9</v>
      </c>
      <c r="D1773" s="80">
        <f t="shared" si="98"/>
        <v>2016</v>
      </c>
      <c r="E1773" t="s">
        <v>38</v>
      </c>
      <c r="F1773" t="s">
        <v>143</v>
      </c>
      <c r="G1773" t="s">
        <v>86</v>
      </c>
      <c r="H1773" s="72" t="s">
        <v>247</v>
      </c>
      <c r="I1773" s="72" t="s">
        <v>98</v>
      </c>
      <c r="J1773" t="str">
        <f t="shared" si="100"/>
        <v>Skykomish River, No. Fork</v>
      </c>
      <c r="K1773" t="str">
        <f>IFERROR(VLOOKUP(J1773,LUTs!$A$1:$C$73,2,FALSE),"NA")</f>
        <v>Snohomish</v>
      </c>
      <c r="L1773" t="str">
        <f>IFERROR(VLOOKUP(J1773,LUTs!$A$1:$C$73,3,FALSE),"NA")</f>
        <v>2Central Puget Sound</v>
      </c>
      <c r="M1773" s="72" t="s">
        <v>18</v>
      </c>
      <c r="N1773" t="str">
        <f>VLOOKUP(M1773,LUTs!E$2:H$14,3,)</f>
        <v>06King</v>
      </c>
      <c r="O1773" t="str">
        <f>VLOOKUP(M1773,LUTs!E$2:H$14,4,)</f>
        <v>02South Puget Sound</v>
      </c>
      <c r="P1773" s="80">
        <v>6</v>
      </c>
      <c r="Q1773" s="103">
        <v>3</v>
      </c>
      <c r="R1773" s="74">
        <f>VLOOKUP(B1773,Readme!A$40:C$52,3,)*Q1773</f>
        <v>25.619999999999997</v>
      </c>
    </row>
    <row r="1774" spans="1:18" ht="12" customHeight="1" x14ac:dyDescent="0.35">
      <c r="A1774" s="75">
        <v>1748</v>
      </c>
      <c r="B1774" s="80">
        <v>2016</v>
      </c>
      <c r="C1774" s="80">
        <v>10</v>
      </c>
      <c r="D1774" s="80">
        <f t="shared" si="98"/>
        <v>2016</v>
      </c>
      <c r="E1774" t="s">
        <v>38</v>
      </c>
      <c r="F1774" t="s">
        <v>143</v>
      </c>
      <c r="G1774" t="s">
        <v>86</v>
      </c>
      <c r="H1774" s="72" t="s">
        <v>203</v>
      </c>
      <c r="I1774" s="72" t="s">
        <v>89</v>
      </c>
      <c r="J1774" s="84" t="s">
        <v>45</v>
      </c>
      <c r="K1774" t="str">
        <f>IFERROR(VLOOKUP(J1774,LUTs!$A$1:$C$73,2,FALSE),"NA")</f>
        <v>King</v>
      </c>
      <c r="L1774" t="str">
        <f>IFERROR(VLOOKUP(J1774,LUTs!$A$1:$C$73,3,FALSE),"NA")</f>
        <v>3South Puget Sound</v>
      </c>
      <c r="M1774" s="72" t="s">
        <v>18</v>
      </c>
      <c r="N1774" t="str">
        <f>VLOOKUP(M1774,LUTs!E$2:H$14,3,)</f>
        <v>06King</v>
      </c>
      <c r="O1774" t="str">
        <f>VLOOKUP(M1774,LUTs!E$2:H$14,4,)</f>
        <v>02South Puget Sound</v>
      </c>
      <c r="P1774" s="80">
        <v>10</v>
      </c>
      <c r="Q1774" s="103">
        <v>5</v>
      </c>
      <c r="R1774" s="74">
        <f>VLOOKUP(B1774,Readme!A$40:C$52,3,)*Q1774</f>
        <v>42.699999999999996</v>
      </c>
    </row>
    <row r="1775" spans="1:18" ht="12" customHeight="1" x14ac:dyDescent="0.35">
      <c r="A1775" s="75">
        <v>1789</v>
      </c>
      <c r="B1775" s="80">
        <v>2016</v>
      </c>
      <c r="C1775" s="80">
        <v>10</v>
      </c>
      <c r="D1775" s="80">
        <f t="shared" si="98"/>
        <v>2016</v>
      </c>
      <c r="E1775" t="s">
        <v>38</v>
      </c>
      <c r="F1775" t="s">
        <v>143</v>
      </c>
      <c r="G1775" t="s">
        <v>86</v>
      </c>
      <c r="H1775" s="72" t="s">
        <v>220</v>
      </c>
      <c r="I1775" s="72" t="s">
        <v>62</v>
      </c>
      <c r="J1775" t="str">
        <f>I1775</f>
        <v>Skykomish River</v>
      </c>
      <c r="K1775" t="str">
        <f>IFERROR(VLOOKUP(J1775,LUTs!$A$1:$C$73,2,FALSE),"NA")</f>
        <v>Snohomish</v>
      </c>
      <c r="L1775" t="str">
        <f>IFERROR(VLOOKUP(J1775,LUTs!$A$1:$C$73,3,FALSE),"NA")</f>
        <v>2Central Puget Sound</v>
      </c>
      <c r="M1775" s="72" t="s">
        <v>18</v>
      </c>
      <c r="N1775" t="str">
        <f>VLOOKUP(M1775,LUTs!E$2:H$14,3,)</f>
        <v>06King</v>
      </c>
      <c r="O1775" t="str">
        <f>VLOOKUP(M1775,LUTs!E$2:H$14,4,)</f>
        <v>02South Puget Sound</v>
      </c>
      <c r="P1775" s="80">
        <v>77.189189189189193</v>
      </c>
      <c r="Q1775" s="103">
        <v>38.594594594594597</v>
      </c>
      <c r="R1775" s="74">
        <f>VLOOKUP(B1775,Readme!A$40:C$52,3,)*Q1775</f>
        <v>329.5978378378378</v>
      </c>
    </row>
    <row r="1776" spans="1:18" ht="12" customHeight="1" x14ac:dyDescent="0.35">
      <c r="A1776" s="75">
        <v>1790</v>
      </c>
      <c r="B1776" s="80">
        <v>2016</v>
      </c>
      <c r="C1776" s="80">
        <v>10</v>
      </c>
      <c r="D1776" s="80">
        <f t="shared" si="98"/>
        <v>2016</v>
      </c>
      <c r="E1776" t="s">
        <v>38</v>
      </c>
      <c r="F1776" t="s">
        <v>143</v>
      </c>
      <c r="G1776" t="s">
        <v>86</v>
      </c>
      <c r="H1776" s="72" t="s">
        <v>220</v>
      </c>
      <c r="I1776" s="72" t="s">
        <v>62</v>
      </c>
      <c r="J1776" t="str">
        <f>I1776</f>
        <v>Skykomish River</v>
      </c>
      <c r="K1776" t="str">
        <f>IFERROR(VLOOKUP(J1776,LUTs!$A$1:$C$73,2,FALSE),"NA")</f>
        <v>Snohomish</v>
      </c>
      <c r="L1776" t="str">
        <f>IFERROR(VLOOKUP(J1776,LUTs!$A$1:$C$73,3,FALSE),"NA")</f>
        <v>2Central Puget Sound</v>
      </c>
      <c r="M1776" s="72" t="s">
        <v>16</v>
      </c>
      <c r="N1776" t="str">
        <f>VLOOKUP(M1776,LUTs!E$2:H$14,3,)</f>
        <v>03Snohomish</v>
      </c>
      <c r="O1776" t="str">
        <f>VLOOKUP(M1776,LUTs!E$2:H$14,4,)</f>
        <v>01North Puget Sound</v>
      </c>
      <c r="P1776" s="80">
        <v>160.81081081081101</v>
      </c>
      <c r="Q1776" s="103">
        <v>80.405405405405403</v>
      </c>
      <c r="R1776" s="74">
        <f>VLOOKUP(B1776,Readme!A$40:C$52,3,)*Q1776</f>
        <v>686.66216216216208</v>
      </c>
    </row>
    <row r="1777" spans="1:18" ht="12" customHeight="1" x14ac:dyDescent="0.35">
      <c r="A1777" s="75">
        <v>1808</v>
      </c>
      <c r="B1777" s="80">
        <v>2016</v>
      </c>
      <c r="C1777" s="80">
        <v>10</v>
      </c>
      <c r="D1777" s="80">
        <f t="shared" si="98"/>
        <v>2016</v>
      </c>
      <c r="E1777" t="s">
        <v>38</v>
      </c>
      <c r="F1777" t="s">
        <v>143</v>
      </c>
      <c r="G1777" t="s">
        <v>86</v>
      </c>
      <c r="H1777" s="72" t="s">
        <v>247</v>
      </c>
      <c r="I1777" s="72" t="s">
        <v>98</v>
      </c>
      <c r="J1777" t="str">
        <f>I1777</f>
        <v>Skykomish River, No. Fork</v>
      </c>
      <c r="K1777" t="str">
        <f>IFERROR(VLOOKUP(J1777,LUTs!$A$1:$C$73,2,FALSE),"NA")</f>
        <v>Snohomish</v>
      </c>
      <c r="L1777" t="str">
        <f>IFERROR(VLOOKUP(J1777,LUTs!$A$1:$C$73,3,FALSE),"NA")</f>
        <v>2Central Puget Sound</v>
      </c>
      <c r="M1777" s="72" t="s">
        <v>26</v>
      </c>
      <c r="N1777" t="str">
        <f>VLOOKUP(M1777,LUTs!E$2:H$14,3,)</f>
        <v>20Other</v>
      </c>
      <c r="O1777" t="str">
        <f>VLOOKUP(M1777,LUTs!E$2:H$14,4,)</f>
        <v>07Non Puget Sound</v>
      </c>
      <c r="P1777" s="80">
        <v>6</v>
      </c>
      <c r="Q1777" s="103">
        <v>3</v>
      </c>
      <c r="R1777" s="74">
        <f>VLOOKUP(B1777,Readme!A$40:C$52,3,)*Q1777</f>
        <v>25.619999999999997</v>
      </c>
    </row>
    <row r="1778" spans="1:18" ht="12" customHeight="1" x14ac:dyDescent="0.35">
      <c r="A1778" s="75">
        <v>1817</v>
      </c>
      <c r="B1778" s="80">
        <v>2016</v>
      </c>
      <c r="C1778" s="80">
        <v>10</v>
      </c>
      <c r="D1778" s="80">
        <f t="shared" si="98"/>
        <v>2016</v>
      </c>
      <c r="E1778" t="s">
        <v>38</v>
      </c>
      <c r="F1778" t="s">
        <v>143</v>
      </c>
      <c r="G1778" t="s">
        <v>86</v>
      </c>
      <c r="H1778" s="72" t="s">
        <v>233</v>
      </c>
      <c r="I1778" s="72" t="s">
        <v>76</v>
      </c>
      <c r="J1778" t="str">
        <f>I1778</f>
        <v>Wallace River</v>
      </c>
      <c r="K1778" t="str">
        <f>IFERROR(VLOOKUP(J1778,LUTs!$A$1:$C$73,2,FALSE),"NA")</f>
        <v>Snohomish</v>
      </c>
      <c r="L1778" t="str">
        <f>IFERROR(VLOOKUP(J1778,LUTs!$A$1:$C$73,3,FALSE),"NA")</f>
        <v>2Central Puget Sound</v>
      </c>
      <c r="M1778" s="72" t="s">
        <v>16</v>
      </c>
      <c r="N1778" t="str">
        <f>VLOOKUP(M1778,LUTs!E$2:H$14,3,)</f>
        <v>03Snohomish</v>
      </c>
      <c r="O1778" t="str">
        <f>VLOOKUP(M1778,LUTs!E$2:H$14,4,)</f>
        <v>01North Puget Sound</v>
      </c>
      <c r="P1778" s="80">
        <v>12</v>
      </c>
      <c r="Q1778" s="103">
        <v>6</v>
      </c>
      <c r="R1778" s="74">
        <f>VLOOKUP(B1778,Readme!A$40:C$52,3,)*Q1778</f>
        <v>51.239999999999995</v>
      </c>
    </row>
    <row r="1779" spans="1:18" ht="12" customHeight="1" x14ac:dyDescent="0.35">
      <c r="A1779" s="75">
        <v>1749</v>
      </c>
      <c r="B1779" s="80">
        <v>2016</v>
      </c>
      <c r="C1779" s="80">
        <v>11</v>
      </c>
      <c r="D1779" s="80">
        <f t="shared" si="98"/>
        <v>2016</v>
      </c>
      <c r="E1779" t="s">
        <v>38</v>
      </c>
      <c r="F1779" t="s">
        <v>143</v>
      </c>
      <c r="G1779" t="s">
        <v>86</v>
      </c>
      <c r="H1779" s="72" t="s">
        <v>203</v>
      </c>
      <c r="I1779" s="72" t="s">
        <v>89</v>
      </c>
      <c r="J1779" s="84" t="s">
        <v>45</v>
      </c>
      <c r="K1779" t="str">
        <f>IFERROR(VLOOKUP(J1779,LUTs!$A$1:$C$73,2,FALSE),"NA")</f>
        <v>King</v>
      </c>
      <c r="L1779" t="str">
        <f>IFERROR(VLOOKUP(J1779,LUTs!$A$1:$C$73,3,FALSE),"NA")</f>
        <v>3South Puget Sound</v>
      </c>
      <c r="M1779" s="72" t="s">
        <v>18</v>
      </c>
      <c r="N1779" t="str">
        <f>VLOOKUP(M1779,LUTs!E$2:H$14,3,)</f>
        <v>06King</v>
      </c>
      <c r="O1779" t="str">
        <f>VLOOKUP(M1779,LUTs!E$2:H$14,4,)</f>
        <v>02South Puget Sound</v>
      </c>
      <c r="P1779" s="80">
        <v>10</v>
      </c>
      <c r="Q1779" s="103">
        <v>5</v>
      </c>
      <c r="R1779" s="74">
        <f>VLOOKUP(B1779,Readme!A$40:C$52,3,)*Q1779</f>
        <v>42.699999999999996</v>
      </c>
    </row>
    <row r="1780" spans="1:18" ht="12" customHeight="1" x14ac:dyDescent="0.35">
      <c r="A1780" s="75">
        <v>1791</v>
      </c>
      <c r="B1780" s="80">
        <v>2016</v>
      </c>
      <c r="C1780" s="80">
        <v>11</v>
      </c>
      <c r="D1780" s="80">
        <f t="shared" si="98"/>
        <v>2016</v>
      </c>
      <c r="E1780" t="s">
        <v>38</v>
      </c>
      <c r="F1780" t="s">
        <v>143</v>
      </c>
      <c r="G1780" t="s">
        <v>86</v>
      </c>
      <c r="H1780" s="72" t="s">
        <v>220</v>
      </c>
      <c r="I1780" s="72" t="s">
        <v>62</v>
      </c>
      <c r="J1780" t="str">
        <f t="shared" ref="J1780:J1816" si="101">I1780</f>
        <v>Skykomish River</v>
      </c>
      <c r="K1780" t="str">
        <f>IFERROR(VLOOKUP(J1780,LUTs!$A$1:$C$73,2,FALSE),"NA")</f>
        <v>Snohomish</v>
      </c>
      <c r="L1780" t="str">
        <f>IFERROR(VLOOKUP(J1780,LUTs!$A$1:$C$73,3,FALSE),"NA")</f>
        <v>2Central Puget Sound</v>
      </c>
      <c r="M1780" s="72" t="s">
        <v>18</v>
      </c>
      <c r="N1780" t="str">
        <f>VLOOKUP(M1780,LUTs!E$2:H$14,3,)</f>
        <v>06King</v>
      </c>
      <c r="O1780" t="str">
        <f>VLOOKUP(M1780,LUTs!E$2:H$14,4,)</f>
        <v>02South Puget Sound</v>
      </c>
      <c r="P1780" s="80">
        <v>31.428571428571399</v>
      </c>
      <c r="Q1780" s="103">
        <v>15.714285714285699</v>
      </c>
      <c r="R1780" s="74">
        <f>VLOOKUP(B1780,Readme!A$40:C$52,3,)*Q1780</f>
        <v>134.19999999999985</v>
      </c>
    </row>
    <row r="1781" spans="1:18" ht="12" customHeight="1" x14ac:dyDescent="0.35">
      <c r="A1781" s="75">
        <v>1792</v>
      </c>
      <c r="B1781" s="80">
        <v>2016</v>
      </c>
      <c r="C1781" s="80">
        <v>11</v>
      </c>
      <c r="D1781" s="80">
        <f t="shared" si="98"/>
        <v>2016</v>
      </c>
      <c r="E1781" t="s">
        <v>38</v>
      </c>
      <c r="F1781" t="s">
        <v>143</v>
      </c>
      <c r="G1781" t="s">
        <v>86</v>
      </c>
      <c r="H1781" s="72" t="s">
        <v>220</v>
      </c>
      <c r="I1781" s="72" t="s">
        <v>62</v>
      </c>
      <c r="J1781" t="str">
        <f t="shared" si="101"/>
        <v>Skykomish River</v>
      </c>
      <c r="K1781" t="str">
        <f>IFERROR(VLOOKUP(J1781,LUTs!$A$1:$C$73,2,FALSE),"NA")</f>
        <v>Snohomish</v>
      </c>
      <c r="L1781" t="str">
        <f>IFERROR(VLOOKUP(J1781,LUTs!$A$1:$C$73,3,FALSE),"NA")</f>
        <v>2Central Puget Sound</v>
      </c>
      <c r="M1781" s="72" t="s">
        <v>16</v>
      </c>
      <c r="N1781" t="str">
        <f>VLOOKUP(M1781,LUTs!E$2:H$14,3,)</f>
        <v>03Snohomish</v>
      </c>
      <c r="O1781" t="str">
        <f>VLOOKUP(M1781,LUTs!E$2:H$14,4,)</f>
        <v>01North Puget Sound</v>
      </c>
      <c r="P1781" s="80">
        <v>100.571428571429</v>
      </c>
      <c r="Q1781" s="103">
        <v>50.285714285714299</v>
      </c>
      <c r="R1781" s="74">
        <f>VLOOKUP(B1781,Readme!A$40:C$52,3,)*Q1781</f>
        <v>429.44000000000005</v>
      </c>
    </row>
    <row r="1782" spans="1:18" ht="12" customHeight="1" x14ac:dyDescent="0.35">
      <c r="A1782" s="75">
        <v>1812</v>
      </c>
      <c r="B1782" s="80">
        <v>2016</v>
      </c>
      <c r="C1782" s="80">
        <v>11</v>
      </c>
      <c r="D1782" s="80">
        <f t="shared" si="98"/>
        <v>2016</v>
      </c>
      <c r="E1782" t="s">
        <v>38</v>
      </c>
      <c r="F1782" t="s">
        <v>143</v>
      </c>
      <c r="G1782" t="s">
        <v>86</v>
      </c>
      <c r="H1782" s="72" t="s">
        <v>221</v>
      </c>
      <c r="I1782" s="72" t="s">
        <v>63</v>
      </c>
      <c r="J1782" t="str">
        <f t="shared" si="101"/>
        <v>Snohomish River</v>
      </c>
      <c r="K1782" t="str">
        <f>IFERROR(VLOOKUP(J1782,LUTs!$A$1:$C$73,2,FALSE),"NA")</f>
        <v>Snohomish</v>
      </c>
      <c r="L1782" t="str">
        <f>IFERROR(VLOOKUP(J1782,LUTs!$A$1:$C$73,3,FALSE),"NA")</f>
        <v>2Central Puget Sound</v>
      </c>
      <c r="M1782" s="72" t="s">
        <v>16</v>
      </c>
      <c r="N1782" t="str">
        <f>VLOOKUP(M1782,LUTs!E$2:H$14,3,)</f>
        <v>03Snohomish</v>
      </c>
      <c r="O1782" t="str">
        <f>VLOOKUP(M1782,LUTs!E$2:H$14,4,)</f>
        <v>01North Puget Sound</v>
      </c>
      <c r="P1782" s="80">
        <v>6</v>
      </c>
      <c r="Q1782" s="103">
        <v>3</v>
      </c>
      <c r="R1782" s="74">
        <f>VLOOKUP(B1782,Readme!A$40:C$52,3,)*Q1782</f>
        <v>25.619999999999997</v>
      </c>
    </row>
    <row r="1783" spans="1:18" ht="12" customHeight="1" x14ac:dyDescent="0.35">
      <c r="A1783" s="75">
        <v>1827</v>
      </c>
      <c r="B1783" s="80">
        <v>2016</v>
      </c>
      <c r="C1783" s="80">
        <v>11</v>
      </c>
      <c r="D1783" s="80">
        <f t="shared" si="98"/>
        <v>2016</v>
      </c>
      <c r="E1783" t="s">
        <v>38</v>
      </c>
      <c r="F1783" t="s">
        <v>143</v>
      </c>
      <c r="G1783" t="s">
        <v>86</v>
      </c>
      <c r="H1783" s="72" t="s">
        <v>223</v>
      </c>
      <c r="I1783" s="72" t="s">
        <v>103</v>
      </c>
      <c r="J1783" t="str">
        <f t="shared" si="101"/>
        <v>Stillaguamish R, No. Fork</v>
      </c>
      <c r="K1783" t="str">
        <f>IFERROR(VLOOKUP(J1783,LUTs!$A$1:$C$73,2,FALSE),"NA")</f>
        <v>Snohomish</v>
      </c>
      <c r="L1783" t="str">
        <f>IFERROR(VLOOKUP(J1783,LUTs!$A$1:$C$73,3,FALSE),"NA")</f>
        <v>2Central Puget Sound</v>
      </c>
      <c r="M1783" s="72" t="s">
        <v>16</v>
      </c>
      <c r="N1783" t="str">
        <f>VLOOKUP(M1783,LUTs!E$2:H$14,3,)</f>
        <v>03Snohomish</v>
      </c>
      <c r="O1783" t="str">
        <f>VLOOKUP(M1783,LUTs!E$2:H$14,4,)</f>
        <v>01North Puget Sound</v>
      </c>
      <c r="P1783" s="80">
        <v>42</v>
      </c>
      <c r="Q1783" s="103">
        <v>21</v>
      </c>
      <c r="R1783" s="74">
        <f>VLOOKUP(B1783,Readme!A$40:C$52,3,)*Q1783</f>
        <v>179.33999999999997</v>
      </c>
    </row>
    <row r="1784" spans="1:18" ht="12" customHeight="1" x14ac:dyDescent="0.35">
      <c r="A1784" s="75">
        <v>1828</v>
      </c>
      <c r="B1784" s="80">
        <v>2016</v>
      </c>
      <c r="C1784" s="80">
        <v>11</v>
      </c>
      <c r="D1784" s="80">
        <f t="shared" si="98"/>
        <v>2016</v>
      </c>
      <c r="E1784" t="s">
        <v>38</v>
      </c>
      <c r="F1784" t="s">
        <v>143</v>
      </c>
      <c r="G1784" t="s">
        <v>86</v>
      </c>
      <c r="H1784" s="72" t="s">
        <v>252</v>
      </c>
      <c r="I1784" s="72" t="s">
        <v>104</v>
      </c>
      <c r="J1784" t="str">
        <f t="shared" si="101"/>
        <v>Stillaguamish R, So. Fork</v>
      </c>
      <c r="K1784" t="str">
        <f>IFERROR(VLOOKUP(J1784,LUTs!$A$1:$C$73,2,FALSE),"NA")</f>
        <v>Snohomish</v>
      </c>
      <c r="L1784" t="str">
        <f>IFERROR(VLOOKUP(J1784,LUTs!$A$1:$C$73,3,FALSE),"NA")</f>
        <v>2Central Puget Sound</v>
      </c>
      <c r="M1784" s="72" t="s">
        <v>16</v>
      </c>
      <c r="N1784" t="str">
        <f>VLOOKUP(M1784,LUTs!E$2:H$14,3,)</f>
        <v>03Snohomish</v>
      </c>
      <c r="O1784" t="str">
        <f>VLOOKUP(M1784,LUTs!E$2:H$14,4,)</f>
        <v>01North Puget Sound</v>
      </c>
      <c r="P1784" s="80">
        <v>10</v>
      </c>
      <c r="Q1784" s="103">
        <v>5</v>
      </c>
      <c r="R1784" s="74">
        <f>VLOOKUP(B1784,Readme!A$40:C$52,3,)*Q1784</f>
        <v>42.699999999999996</v>
      </c>
    </row>
    <row r="1785" spans="1:18" ht="12" customHeight="1" x14ac:dyDescent="0.35">
      <c r="A1785" s="75">
        <v>1818</v>
      </c>
      <c r="B1785" s="80">
        <v>2016</v>
      </c>
      <c r="C1785" s="80">
        <v>11</v>
      </c>
      <c r="D1785" s="80">
        <f t="shared" si="98"/>
        <v>2016</v>
      </c>
      <c r="E1785" t="s">
        <v>38</v>
      </c>
      <c r="F1785" t="s">
        <v>143</v>
      </c>
      <c r="G1785" t="s">
        <v>86</v>
      </c>
      <c r="H1785" s="72" t="s">
        <v>233</v>
      </c>
      <c r="I1785" s="72" t="s">
        <v>76</v>
      </c>
      <c r="J1785" t="str">
        <f t="shared" si="101"/>
        <v>Wallace River</v>
      </c>
      <c r="K1785" t="str">
        <f>IFERROR(VLOOKUP(J1785,LUTs!$A$1:$C$73,2,FALSE),"NA")</f>
        <v>Snohomish</v>
      </c>
      <c r="L1785" t="str">
        <f>IFERROR(VLOOKUP(J1785,LUTs!$A$1:$C$73,3,FALSE),"NA")</f>
        <v>2Central Puget Sound</v>
      </c>
      <c r="M1785" s="72" t="s">
        <v>18</v>
      </c>
      <c r="N1785" t="str">
        <f>VLOOKUP(M1785,LUTs!E$2:H$14,3,)</f>
        <v>06King</v>
      </c>
      <c r="O1785" t="str">
        <f>VLOOKUP(M1785,LUTs!E$2:H$14,4,)</f>
        <v>02South Puget Sound</v>
      </c>
      <c r="P1785" s="80">
        <v>38</v>
      </c>
      <c r="Q1785" s="103">
        <v>19</v>
      </c>
      <c r="R1785" s="74">
        <f>VLOOKUP(B1785,Readme!A$40:C$52,3,)*Q1785</f>
        <v>162.26</v>
      </c>
    </row>
    <row r="1786" spans="1:18" ht="12" customHeight="1" x14ac:dyDescent="0.35">
      <c r="A1786" s="75">
        <v>1819</v>
      </c>
      <c r="B1786" s="80">
        <v>2016</v>
      </c>
      <c r="C1786" s="80">
        <v>11</v>
      </c>
      <c r="D1786" s="80">
        <f t="shared" si="98"/>
        <v>2016</v>
      </c>
      <c r="E1786" t="s">
        <v>38</v>
      </c>
      <c r="F1786" t="s">
        <v>143</v>
      </c>
      <c r="G1786" t="s">
        <v>86</v>
      </c>
      <c r="H1786" s="72" t="s">
        <v>233</v>
      </c>
      <c r="I1786" s="72" t="s">
        <v>76</v>
      </c>
      <c r="J1786" t="str">
        <f t="shared" si="101"/>
        <v>Wallace River</v>
      </c>
      <c r="K1786" t="str">
        <f>IFERROR(VLOOKUP(J1786,LUTs!$A$1:$C$73,2,FALSE),"NA")</f>
        <v>Snohomish</v>
      </c>
      <c r="L1786" t="str">
        <f>IFERROR(VLOOKUP(J1786,LUTs!$A$1:$C$73,3,FALSE),"NA")</f>
        <v>2Central Puget Sound</v>
      </c>
      <c r="M1786" s="72" t="s">
        <v>16</v>
      </c>
      <c r="N1786" t="str">
        <f>VLOOKUP(M1786,LUTs!E$2:H$14,3,)</f>
        <v>03Snohomish</v>
      </c>
      <c r="O1786" t="str">
        <f>VLOOKUP(M1786,LUTs!E$2:H$14,4,)</f>
        <v>01North Puget Sound</v>
      </c>
      <c r="P1786" s="80">
        <v>76</v>
      </c>
      <c r="Q1786" s="103">
        <v>38</v>
      </c>
      <c r="R1786" s="74">
        <f>VLOOKUP(B1786,Readme!A$40:C$52,3,)*Q1786</f>
        <v>324.52</v>
      </c>
    </row>
    <row r="1787" spans="1:18" ht="12" customHeight="1" x14ac:dyDescent="0.35">
      <c r="A1787" s="75">
        <v>1741</v>
      </c>
      <c r="B1787" s="80">
        <v>2016</v>
      </c>
      <c r="C1787" s="80">
        <v>12</v>
      </c>
      <c r="D1787" s="80">
        <f t="shared" si="98"/>
        <v>2016</v>
      </c>
      <c r="E1787" t="s">
        <v>38</v>
      </c>
      <c r="F1787" t="s">
        <v>143</v>
      </c>
      <c r="G1787" t="s">
        <v>86</v>
      </c>
      <c r="H1787" s="72" t="s">
        <v>235</v>
      </c>
      <c r="I1787" s="72" t="s">
        <v>88</v>
      </c>
      <c r="J1787" t="str">
        <f t="shared" si="101"/>
        <v>Deep Creek (Clallam Co.)</v>
      </c>
      <c r="K1787" t="str">
        <f>IFERROR(VLOOKUP(J1787,LUTs!$A$1:$C$73,2,FALSE),"NA")</f>
        <v>Clallam</v>
      </c>
      <c r="L1787" t="str">
        <f>IFERROR(VLOOKUP(J1787,LUTs!$A$1:$C$73,3,FALSE),"NA")</f>
        <v>0Strait of Juan de Fuca</v>
      </c>
      <c r="M1787" s="72" t="s">
        <v>24</v>
      </c>
      <c r="N1787" t="str">
        <f>VLOOKUP(M1787,LUTs!E$2:H$14,3,)</f>
        <v>11Clallam</v>
      </c>
      <c r="O1787" t="str">
        <f>VLOOKUP(M1787,LUTs!E$2:H$14,4,)</f>
        <v>03Strait of Juan de Fuca</v>
      </c>
      <c r="P1787" s="80">
        <v>10</v>
      </c>
      <c r="Q1787" s="103">
        <v>5</v>
      </c>
      <c r="R1787" s="74">
        <f>VLOOKUP(B1787,Readme!A$40:C$52,3,)*Q1787</f>
        <v>42.699999999999996</v>
      </c>
    </row>
    <row r="1788" spans="1:18" ht="12" customHeight="1" x14ac:dyDescent="0.35">
      <c r="A1788" s="75">
        <v>1742</v>
      </c>
      <c r="B1788" s="80">
        <v>2016</v>
      </c>
      <c r="C1788" s="80">
        <v>12</v>
      </c>
      <c r="D1788" s="80">
        <f t="shared" si="98"/>
        <v>2016</v>
      </c>
      <c r="E1788" t="s">
        <v>38</v>
      </c>
      <c r="F1788" t="s">
        <v>143</v>
      </c>
      <c r="G1788" t="s">
        <v>86</v>
      </c>
      <c r="H1788" s="72" t="s">
        <v>201</v>
      </c>
      <c r="I1788" s="72" t="s">
        <v>43</v>
      </c>
      <c r="J1788" t="str">
        <f t="shared" si="101"/>
        <v>Dungeness River</v>
      </c>
      <c r="K1788" t="str">
        <f>IFERROR(VLOOKUP(J1788,LUTs!$A$1:$C$73,2,FALSE),"NA")</f>
        <v>Clallam</v>
      </c>
      <c r="L1788" t="str">
        <f>IFERROR(VLOOKUP(J1788,LUTs!$A$1:$C$73,3,FALSE),"NA")</f>
        <v>0Strait of Juan de Fuca</v>
      </c>
      <c r="M1788" s="72" t="s">
        <v>24</v>
      </c>
      <c r="N1788" t="str">
        <f>VLOOKUP(M1788,LUTs!E$2:H$14,3,)</f>
        <v>11Clallam</v>
      </c>
      <c r="O1788" t="str">
        <f>VLOOKUP(M1788,LUTs!E$2:H$14,4,)</f>
        <v>03Strait of Juan de Fuca</v>
      </c>
      <c r="P1788" s="80">
        <v>10</v>
      </c>
      <c r="Q1788" s="103">
        <v>5</v>
      </c>
      <c r="R1788" s="74">
        <f>VLOOKUP(B1788,Readme!A$40:C$52,3,)*Q1788</f>
        <v>42.699999999999996</v>
      </c>
    </row>
    <row r="1789" spans="1:18" ht="12" customHeight="1" x14ac:dyDescent="0.35">
      <c r="A1789" s="75">
        <v>1751</v>
      </c>
      <c r="B1789" s="80">
        <v>2016</v>
      </c>
      <c r="C1789" s="80">
        <v>12</v>
      </c>
      <c r="D1789" s="80">
        <f t="shared" si="98"/>
        <v>2016</v>
      </c>
      <c r="E1789" t="s">
        <v>38</v>
      </c>
      <c r="F1789" t="s">
        <v>143</v>
      </c>
      <c r="G1789" t="s">
        <v>86</v>
      </c>
      <c r="H1789" s="72" t="s">
        <v>204</v>
      </c>
      <c r="I1789" s="72" t="s">
        <v>46</v>
      </c>
      <c r="J1789" t="str">
        <f t="shared" si="101"/>
        <v>Hoko River</v>
      </c>
      <c r="K1789" t="str">
        <f>IFERROR(VLOOKUP(J1789,LUTs!$A$1:$C$73,2,FALSE),"NA")</f>
        <v>Clallam</v>
      </c>
      <c r="L1789" t="str">
        <f>IFERROR(VLOOKUP(J1789,LUTs!$A$1:$C$73,3,FALSE),"NA")</f>
        <v>0Strait of Juan de Fuca</v>
      </c>
      <c r="M1789" s="72" t="s">
        <v>24</v>
      </c>
      <c r="N1789" t="str">
        <f>VLOOKUP(M1789,LUTs!E$2:H$14,3,)</f>
        <v>11Clallam</v>
      </c>
      <c r="O1789" t="str">
        <f>VLOOKUP(M1789,LUTs!E$2:H$14,4,)</f>
        <v>03Strait of Juan de Fuca</v>
      </c>
      <c r="P1789" s="80">
        <v>62.181818181818201</v>
      </c>
      <c r="Q1789" s="103">
        <v>31.090909090909101</v>
      </c>
      <c r="R1789" s="74">
        <f>VLOOKUP(B1789,Readme!A$40:C$52,3,)*Q1789</f>
        <v>265.51636363636368</v>
      </c>
    </row>
    <row r="1790" spans="1:18" ht="12" customHeight="1" x14ac:dyDescent="0.35">
      <c r="A1790" s="75">
        <v>1752</v>
      </c>
      <c r="B1790" s="80">
        <v>2016</v>
      </c>
      <c r="C1790" s="80">
        <v>12</v>
      </c>
      <c r="D1790" s="80">
        <f t="shared" si="98"/>
        <v>2016</v>
      </c>
      <c r="E1790" t="s">
        <v>38</v>
      </c>
      <c r="F1790" t="s">
        <v>143</v>
      </c>
      <c r="G1790" t="s">
        <v>86</v>
      </c>
      <c r="H1790" s="72" t="s">
        <v>204</v>
      </c>
      <c r="I1790" s="72" t="s">
        <v>46</v>
      </c>
      <c r="J1790" t="str">
        <f t="shared" si="101"/>
        <v>Hoko River</v>
      </c>
      <c r="K1790" t="str">
        <f>IFERROR(VLOOKUP(J1790,LUTs!$A$1:$C$73,2,FALSE),"NA")</f>
        <v>Clallam</v>
      </c>
      <c r="L1790" t="str">
        <f>IFERROR(VLOOKUP(J1790,LUTs!$A$1:$C$73,3,FALSE),"NA")</f>
        <v>0Strait of Juan de Fuca</v>
      </c>
      <c r="M1790" s="72" t="s">
        <v>23</v>
      </c>
      <c r="N1790" t="str">
        <f>VLOOKUP(M1790,LUTs!E$2:H$14,3,)</f>
        <v>10Kitsap</v>
      </c>
      <c r="O1790" t="str">
        <f>VLOOKUP(M1790,LUTs!E$2:H$14,4,)</f>
        <v>02South Puget Sound</v>
      </c>
      <c r="P1790" s="80">
        <v>10.363636363636401</v>
      </c>
      <c r="Q1790" s="103">
        <v>5.1818181818181799</v>
      </c>
      <c r="R1790" s="74">
        <f>VLOOKUP(B1790,Readme!A$40:C$52,3,)*Q1790</f>
        <v>44.252727272727249</v>
      </c>
    </row>
    <row r="1791" spans="1:18" ht="12" customHeight="1" x14ac:dyDescent="0.35">
      <c r="A1791" s="75">
        <v>1753</v>
      </c>
      <c r="B1791" s="80">
        <v>2016</v>
      </c>
      <c r="C1791" s="80">
        <v>12</v>
      </c>
      <c r="D1791" s="80">
        <f t="shared" si="98"/>
        <v>2016</v>
      </c>
      <c r="E1791" t="s">
        <v>38</v>
      </c>
      <c r="F1791" t="s">
        <v>143</v>
      </c>
      <c r="G1791" t="s">
        <v>86</v>
      </c>
      <c r="H1791" s="72" t="s">
        <v>204</v>
      </c>
      <c r="I1791" s="72" t="s">
        <v>46</v>
      </c>
      <c r="J1791" t="str">
        <f t="shared" si="101"/>
        <v>Hoko River</v>
      </c>
      <c r="K1791" t="str">
        <f>IFERROR(VLOOKUP(J1791,LUTs!$A$1:$C$73,2,FALSE),"NA")</f>
        <v>Clallam</v>
      </c>
      <c r="L1791" t="str">
        <f>IFERROR(VLOOKUP(J1791,LUTs!$A$1:$C$73,3,FALSE),"NA")</f>
        <v>0Strait of Juan de Fuca</v>
      </c>
      <c r="M1791" s="72" t="s">
        <v>22</v>
      </c>
      <c r="N1791" t="str">
        <f>VLOOKUP(M1791,LUTs!E$2:H$14,3,)</f>
        <v>09Mason</v>
      </c>
      <c r="O1791" t="str">
        <f>VLOOKUP(M1791,LUTs!E$2:H$14,4,)</f>
        <v>02South Puget Sound</v>
      </c>
      <c r="P1791" s="80">
        <v>10.363636363636401</v>
      </c>
      <c r="Q1791" s="103">
        <v>5.1818181818181799</v>
      </c>
      <c r="R1791" s="74">
        <f>VLOOKUP(B1791,Readme!A$40:C$52,3,)*Q1791</f>
        <v>44.252727272727249</v>
      </c>
    </row>
    <row r="1792" spans="1:18" ht="12" customHeight="1" x14ac:dyDescent="0.35">
      <c r="A1792" s="75">
        <v>1754</v>
      </c>
      <c r="B1792" s="80">
        <v>2016</v>
      </c>
      <c r="C1792" s="80">
        <v>12</v>
      </c>
      <c r="D1792" s="80">
        <f t="shared" si="98"/>
        <v>2016</v>
      </c>
      <c r="E1792" t="s">
        <v>38</v>
      </c>
      <c r="F1792" t="s">
        <v>143</v>
      </c>
      <c r="G1792" t="s">
        <v>86</v>
      </c>
      <c r="H1792" s="72" t="s">
        <v>204</v>
      </c>
      <c r="I1792" s="72" t="s">
        <v>46</v>
      </c>
      <c r="J1792" t="str">
        <f t="shared" si="101"/>
        <v>Hoko River</v>
      </c>
      <c r="K1792" t="str">
        <f>IFERROR(VLOOKUP(J1792,LUTs!$A$1:$C$73,2,FALSE),"NA")</f>
        <v>Clallam</v>
      </c>
      <c r="L1792" t="str">
        <f>IFERROR(VLOOKUP(J1792,LUTs!$A$1:$C$73,3,FALSE),"NA")</f>
        <v>0Strait of Juan de Fuca</v>
      </c>
      <c r="M1792" s="72" t="s">
        <v>26</v>
      </c>
      <c r="N1792" t="str">
        <f>VLOOKUP(M1792,LUTs!E$2:H$14,3,)</f>
        <v>20Other</v>
      </c>
      <c r="O1792" t="str">
        <f>VLOOKUP(M1792,LUTs!E$2:H$14,4,)</f>
        <v>07Non Puget Sound</v>
      </c>
      <c r="P1792" s="80">
        <v>10.363636363636401</v>
      </c>
      <c r="Q1792" s="103">
        <v>5.1818181818181799</v>
      </c>
      <c r="R1792" s="74">
        <f>VLOOKUP(B1792,Readme!A$40:C$52,3,)*Q1792</f>
        <v>44.252727272727249</v>
      </c>
    </row>
    <row r="1793" spans="1:18" ht="12" customHeight="1" x14ac:dyDescent="0.35">
      <c r="A1793" s="75">
        <v>1755</v>
      </c>
      <c r="B1793" s="80">
        <v>2016</v>
      </c>
      <c r="C1793" s="80">
        <v>12</v>
      </c>
      <c r="D1793" s="80">
        <f t="shared" si="98"/>
        <v>2016</v>
      </c>
      <c r="E1793" t="s">
        <v>38</v>
      </c>
      <c r="F1793" t="s">
        <v>143</v>
      </c>
      <c r="G1793" t="s">
        <v>86</v>
      </c>
      <c r="H1793" s="72" t="s">
        <v>204</v>
      </c>
      <c r="I1793" s="72" t="s">
        <v>46</v>
      </c>
      <c r="J1793" t="str">
        <f t="shared" si="101"/>
        <v>Hoko River</v>
      </c>
      <c r="K1793" t="str">
        <f>IFERROR(VLOOKUP(J1793,LUTs!$A$1:$C$73,2,FALSE),"NA")</f>
        <v>Clallam</v>
      </c>
      <c r="L1793" t="str">
        <f>IFERROR(VLOOKUP(J1793,LUTs!$A$1:$C$73,3,FALSE),"NA")</f>
        <v>0Strait of Juan de Fuca</v>
      </c>
      <c r="M1793" s="72" t="s">
        <v>20</v>
      </c>
      <c r="N1793" t="str">
        <f>VLOOKUP(M1793,LUTs!E$2:H$14,3,)</f>
        <v>07Pierce</v>
      </c>
      <c r="O1793" t="str">
        <f>VLOOKUP(M1793,LUTs!E$2:H$14,4,)</f>
        <v>02South Puget Sound</v>
      </c>
      <c r="P1793" s="80">
        <v>124.363636363636</v>
      </c>
      <c r="Q1793" s="103">
        <v>62.181818181818201</v>
      </c>
      <c r="R1793" s="74">
        <f>VLOOKUP(B1793,Readme!A$40:C$52,3,)*Q1793</f>
        <v>531.03272727272736</v>
      </c>
    </row>
    <row r="1794" spans="1:18" ht="12" customHeight="1" x14ac:dyDescent="0.35">
      <c r="A1794" s="75">
        <v>1756</v>
      </c>
      <c r="B1794" s="80">
        <v>2016</v>
      </c>
      <c r="C1794" s="80">
        <v>12</v>
      </c>
      <c r="D1794" s="80">
        <f t="shared" ref="D1794:D1857" si="102">IF(C1794&gt;3,B1794,B1794-1)</f>
        <v>2016</v>
      </c>
      <c r="E1794" t="s">
        <v>38</v>
      </c>
      <c r="F1794" t="s">
        <v>143</v>
      </c>
      <c r="G1794" t="s">
        <v>86</v>
      </c>
      <c r="H1794" s="72" t="s">
        <v>204</v>
      </c>
      <c r="I1794" s="72" t="s">
        <v>46</v>
      </c>
      <c r="J1794" t="str">
        <f t="shared" si="101"/>
        <v>Hoko River</v>
      </c>
      <c r="K1794" t="str">
        <f>IFERROR(VLOOKUP(J1794,LUTs!$A$1:$C$73,2,FALSE),"NA")</f>
        <v>Clallam</v>
      </c>
      <c r="L1794" t="str">
        <f>IFERROR(VLOOKUP(J1794,LUTs!$A$1:$C$73,3,FALSE),"NA")</f>
        <v>0Strait of Juan de Fuca</v>
      </c>
      <c r="M1794" s="72" t="s">
        <v>15</v>
      </c>
      <c r="N1794" t="str">
        <f>VLOOKUP(M1794,LUTs!E$2:H$14,3,)</f>
        <v>02Skagit</v>
      </c>
      <c r="O1794" t="str">
        <f>VLOOKUP(M1794,LUTs!E$2:H$14,4,)</f>
        <v>01North Puget Sound</v>
      </c>
      <c r="P1794" s="80">
        <v>10.363636363636401</v>
      </c>
      <c r="Q1794" s="103">
        <v>5.1818181818181799</v>
      </c>
      <c r="R1794" s="74">
        <f>VLOOKUP(B1794,Readme!A$40:C$52,3,)*Q1794</f>
        <v>44.252727272727249</v>
      </c>
    </row>
    <row r="1795" spans="1:18" ht="12" customHeight="1" x14ac:dyDescent="0.35">
      <c r="A1795" s="75">
        <v>1761</v>
      </c>
      <c r="B1795" s="80">
        <v>2016</v>
      </c>
      <c r="C1795" s="80">
        <v>12</v>
      </c>
      <c r="D1795" s="80">
        <f t="shared" si="102"/>
        <v>2016</v>
      </c>
      <c r="E1795" t="s">
        <v>38</v>
      </c>
      <c r="F1795" t="s">
        <v>143</v>
      </c>
      <c r="G1795" t="s">
        <v>86</v>
      </c>
      <c r="H1795" s="72" t="s">
        <v>227</v>
      </c>
      <c r="I1795" s="72" t="s">
        <v>69</v>
      </c>
      <c r="J1795" t="str">
        <f t="shared" si="101"/>
        <v>Pysht River</v>
      </c>
      <c r="K1795" t="str">
        <f>IFERROR(VLOOKUP(J1795,LUTs!$A$1:$C$73,2,FALSE),"NA")</f>
        <v>Clallam</v>
      </c>
      <c r="L1795" t="str">
        <f>IFERROR(VLOOKUP(J1795,LUTs!$A$1:$C$73,3,FALSE),"NA")</f>
        <v>0Strait of Juan de Fuca</v>
      </c>
      <c r="M1795" s="72" t="s">
        <v>24</v>
      </c>
      <c r="N1795" t="str">
        <f>VLOOKUP(M1795,LUTs!E$2:H$14,3,)</f>
        <v>11Clallam</v>
      </c>
      <c r="O1795" t="str">
        <f>VLOOKUP(M1795,LUTs!E$2:H$14,4,)</f>
        <v>03Strait of Juan de Fuca</v>
      </c>
      <c r="P1795" s="80">
        <v>42</v>
      </c>
      <c r="Q1795" s="103">
        <v>21</v>
      </c>
      <c r="R1795" s="74">
        <f>VLOOKUP(B1795,Readme!A$40:C$52,3,)*Q1795</f>
        <v>179.33999999999997</v>
      </c>
    </row>
    <row r="1796" spans="1:18" ht="12" customHeight="1" x14ac:dyDescent="0.35">
      <c r="A1796" s="75">
        <v>1767</v>
      </c>
      <c r="B1796" s="80">
        <v>2016</v>
      </c>
      <c r="C1796" s="80">
        <v>12</v>
      </c>
      <c r="D1796" s="80">
        <f t="shared" si="102"/>
        <v>2016</v>
      </c>
      <c r="E1796" t="s">
        <v>38</v>
      </c>
      <c r="F1796" t="s">
        <v>143</v>
      </c>
      <c r="G1796" t="s">
        <v>86</v>
      </c>
      <c r="H1796" s="72" t="s">
        <v>245</v>
      </c>
      <c r="I1796" s="72" t="s">
        <v>96</v>
      </c>
      <c r="J1796" t="str">
        <f t="shared" si="101"/>
        <v>Sauk River</v>
      </c>
      <c r="K1796" t="str">
        <f>IFERROR(VLOOKUP(J1796,LUTs!$A$1:$C$73,2,FALSE),"NA")</f>
        <v>Skagit/Snohomish</v>
      </c>
      <c r="L1796" t="str">
        <f>IFERROR(VLOOKUP(J1796,LUTs!$A$1:$C$73,3,FALSE),"NA")</f>
        <v>2Central Puget Sound</v>
      </c>
      <c r="M1796" s="72" t="s">
        <v>18</v>
      </c>
      <c r="N1796" t="str">
        <f>VLOOKUP(M1796,LUTs!E$2:H$14,3,)</f>
        <v>06King</v>
      </c>
      <c r="O1796" t="str">
        <f>VLOOKUP(M1796,LUTs!E$2:H$14,4,)</f>
        <v>02South Puget Sound</v>
      </c>
      <c r="P1796" s="80">
        <v>10</v>
      </c>
      <c r="Q1796" s="103">
        <v>5</v>
      </c>
      <c r="R1796" s="74">
        <f>VLOOKUP(B1796,Readme!A$40:C$52,3,)*Q1796</f>
        <v>42.699999999999996</v>
      </c>
    </row>
    <row r="1797" spans="1:18" ht="12" customHeight="1" x14ac:dyDescent="0.35">
      <c r="A1797" s="75">
        <v>1768</v>
      </c>
      <c r="B1797" s="80">
        <v>2016</v>
      </c>
      <c r="C1797" s="80">
        <v>12</v>
      </c>
      <c r="D1797" s="80">
        <f t="shared" si="102"/>
        <v>2016</v>
      </c>
      <c r="E1797" t="s">
        <v>38</v>
      </c>
      <c r="F1797" t="s">
        <v>143</v>
      </c>
      <c r="G1797" t="s">
        <v>86</v>
      </c>
      <c r="H1797" s="72" t="s">
        <v>245</v>
      </c>
      <c r="I1797" s="72" t="s">
        <v>96</v>
      </c>
      <c r="J1797" t="str">
        <f t="shared" si="101"/>
        <v>Sauk River</v>
      </c>
      <c r="K1797" t="str">
        <f>IFERROR(VLOOKUP(J1797,LUTs!$A$1:$C$73,2,FALSE),"NA")</f>
        <v>Skagit/Snohomish</v>
      </c>
      <c r="L1797" t="str">
        <f>IFERROR(VLOOKUP(J1797,LUTs!$A$1:$C$73,3,FALSE),"NA")</f>
        <v>2Central Puget Sound</v>
      </c>
      <c r="M1797" s="72" t="s">
        <v>16</v>
      </c>
      <c r="N1797" t="str">
        <f>VLOOKUP(M1797,LUTs!E$2:H$14,3,)</f>
        <v>03Snohomish</v>
      </c>
      <c r="O1797" t="str">
        <f>VLOOKUP(M1797,LUTs!E$2:H$14,4,)</f>
        <v>01North Puget Sound</v>
      </c>
      <c r="P1797" s="80">
        <v>10</v>
      </c>
      <c r="Q1797" s="103">
        <v>5</v>
      </c>
      <c r="R1797" s="74">
        <f>VLOOKUP(B1797,Readme!A$40:C$52,3,)*Q1797</f>
        <v>42.699999999999996</v>
      </c>
    </row>
    <row r="1798" spans="1:18" ht="12" customHeight="1" x14ac:dyDescent="0.35">
      <c r="A1798" s="75">
        <v>1763</v>
      </c>
      <c r="B1798" s="80">
        <v>2016</v>
      </c>
      <c r="C1798" s="80">
        <v>12</v>
      </c>
      <c r="D1798" s="80">
        <f t="shared" si="102"/>
        <v>2016</v>
      </c>
      <c r="E1798" t="s">
        <v>38</v>
      </c>
      <c r="F1798" t="s">
        <v>143</v>
      </c>
      <c r="G1798" t="s">
        <v>86</v>
      </c>
      <c r="H1798" s="72" t="s">
        <v>244</v>
      </c>
      <c r="I1798" s="72" t="s">
        <v>95</v>
      </c>
      <c r="J1798" t="str">
        <f t="shared" si="101"/>
        <v>Sekiu River</v>
      </c>
      <c r="K1798" t="str">
        <f>IFERROR(VLOOKUP(J1798,LUTs!$A$1:$C$73,2,FALSE),"NA")</f>
        <v>Clallam</v>
      </c>
      <c r="L1798" t="str">
        <f>IFERROR(VLOOKUP(J1798,LUTs!$A$1:$C$73,3,FALSE),"NA")</f>
        <v>0Strait of Juan de Fuca</v>
      </c>
      <c r="M1798" s="72" t="s">
        <v>24</v>
      </c>
      <c r="N1798" t="str">
        <f>VLOOKUP(M1798,LUTs!E$2:H$14,3,)</f>
        <v>11Clallam</v>
      </c>
      <c r="O1798" t="str">
        <f>VLOOKUP(M1798,LUTs!E$2:H$14,4,)</f>
        <v>03Strait of Juan de Fuca</v>
      </c>
      <c r="P1798" s="80">
        <v>10</v>
      </c>
      <c r="Q1798" s="103">
        <v>5</v>
      </c>
      <c r="R1798" s="74">
        <f>VLOOKUP(B1798,Readme!A$40:C$52,3,)*Q1798</f>
        <v>42.699999999999996</v>
      </c>
    </row>
    <row r="1799" spans="1:18" ht="12" customHeight="1" x14ac:dyDescent="0.35">
      <c r="A1799" s="75">
        <v>1793</v>
      </c>
      <c r="B1799" s="80">
        <v>2016</v>
      </c>
      <c r="C1799" s="80">
        <v>12</v>
      </c>
      <c r="D1799" s="80">
        <f t="shared" si="102"/>
        <v>2016</v>
      </c>
      <c r="E1799" t="s">
        <v>38</v>
      </c>
      <c r="F1799" t="s">
        <v>143</v>
      </c>
      <c r="G1799" t="s">
        <v>86</v>
      </c>
      <c r="H1799" s="72" t="s">
        <v>220</v>
      </c>
      <c r="I1799" s="72" t="s">
        <v>62</v>
      </c>
      <c r="J1799" t="str">
        <f t="shared" si="101"/>
        <v>Skykomish River</v>
      </c>
      <c r="K1799" t="str">
        <f>IFERROR(VLOOKUP(J1799,LUTs!$A$1:$C$73,2,FALSE),"NA")</f>
        <v>Snohomish</v>
      </c>
      <c r="L1799" t="str">
        <f>IFERROR(VLOOKUP(J1799,LUTs!$A$1:$C$73,3,FALSE),"NA")</f>
        <v>2Central Puget Sound</v>
      </c>
      <c r="M1799" s="72" t="s">
        <v>24</v>
      </c>
      <c r="N1799" t="str">
        <f>VLOOKUP(M1799,LUTs!E$2:H$14,3,)</f>
        <v>11Clallam</v>
      </c>
      <c r="O1799" t="str">
        <f>VLOOKUP(M1799,LUTs!E$2:H$14,4,)</f>
        <v>03Strait of Juan de Fuca</v>
      </c>
      <c r="P1799" s="80">
        <v>6.2896551724138003</v>
      </c>
      <c r="Q1799" s="103">
        <v>3.1793103448275901</v>
      </c>
      <c r="R1799" s="74">
        <f>VLOOKUP(B1799,Readme!A$40:C$52,3,)*Q1799</f>
        <v>27.151310344827618</v>
      </c>
    </row>
    <row r="1800" spans="1:18" ht="12" customHeight="1" x14ac:dyDescent="0.35">
      <c r="A1800" s="75">
        <v>1794</v>
      </c>
      <c r="B1800" s="80">
        <v>2016</v>
      </c>
      <c r="C1800" s="80">
        <v>12</v>
      </c>
      <c r="D1800" s="80">
        <f t="shared" si="102"/>
        <v>2016</v>
      </c>
      <c r="E1800" t="s">
        <v>38</v>
      </c>
      <c r="F1800" t="s">
        <v>143</v>
      </c>
      <c r="G1800" t="s">
        <v>86</v>
      </c>
      <c r="H1800" s="72" t="s">
        <v>220</v>
      </c>
      <c r="I1800" s="72" t="s">
        <v>62</v>
      </c>
      <c r="J1800" t="str">
        <f t="shared" si="101"/>
        <v>Skykomish River</v>
      </c>
      <c r="K1800" t="str">
        <f>IFERROR(VLOOKUP(J1800,LUTs!$A$1:$C$73,2,FALSE),"NA")</f>
        <v>Snohomish</v>
      </c>
      <c r="L1800" t="str">
        <f>IFERROR(VLOOKUP(J1800,LUTs!$A$1:$C$73,3,FALSE),"NA")</f>
        <v>2Central Puget Sound</v>
      </c>
      <c r="M1800" s="72" t="s">
        <v>17</v>
      </c>
      <c r="N1800" t="str">
        <f>VLOOKUP(M1800,LUTs!E$2:H$14,3,)</f>
        <v>04Island</v>
      </c>
      <c r="O1800" t="str">
        <f>VLOOKUP(M1800,LUTs!E$2:H$14,4,)</f>
        <v>01North Puget Sound</v>
      </c>
      <c r="P1800" s="80">
        <v>6.2896551724138003</v>
      </c>
      <c r="Q1800" s="103">
        <v>3.1793103448275901</v>
      </c>
      <c r="R1800" s="74">
        <f>VLOOKUP(B1800,Readme!A$40:C$52,3,)*Q1800</f>
        <v>27.151310344827618</v>
      </c>
    </row>
    <row r="1801" spans="1:18" ht="12" customHeight="1" x14ac:dyDescent="0.35">
      <c r="A1801" s="75">
        <v>1795</v>
      </c>
      <c r="B1801" s="80">
        <v>2016</v>
      </c>
      <c r="C1801" s="80">
        <v>12</v>
      </c>
      <c r="D1801" s="80">
        <f t="shared" si="102"/>
        <v>2016</v>
      </c>
      <c r="E1801" t="s">
        <v>38</v>
      </c>
      <c r="F1801" t="s">
        <v>143</v>
      </c>
      <c r="G1801" t="s">
        <v>86</v>
      </c>
      <c r="H1801" s="72" t="s">
        <v>220</v>
      </c>
      <c r="I1801" s="72" t="s">
        <v>62</v>
      </c>
      <c r="J1801" t="str">
        <f t="shared" si="101"/>
        <v>Skykomish River</v>
      </c>
      <c r="K1801" t="str">
        <f>IFERROR(VLOOKUP(J1801,LUTs!$A$1:$C$73,2,FALSE),"NA")</f>
        <v>Snohomish</v>
      </c>
      <c r="L1801" t="str">
        <f>IFERROR(VLOOKUP(J1801,LUTs!$A$1:$C$73,3,FALSE),"NA")</f>
        <v>2Central Puget Sound</v>
      </c>
      <c r="M1801" s="72" t="s">
        <v>18</v>
      </c>
      <c r="N1801" t="str">
        <f>VLOOKUP(M1801,LUTs!E$2:H$14,3,)</f>
        <v>06King</v>
      </c>
      <c r="O1801" t="str">
        <f>VLOOKUP(M1801,LUTs!E$2:H$14,4,)</f>
        <v>02South Puget Sound</v>
      </c>
      <c r="P1801" s="80">
        <v>364.8</v>
      </c>
      <c r="Q1801" s="103">
        <v>184.4</v>
      </c>
      <c r="R1801" s="74">
        <f>VLOOKUP(B1801,Readme!A$40:C$52,3,)*Q1801</f>
        <v>1574.7759999999998</v>
      </c>
    </row>
    <row r="1802" spans="1:18" ht="12" customHeight="1" x14ac:dyDescent="0.35">
      <c r="A1802" s="75">
        <v>1796</v>
      </c>
      <c r="B1802" s="80">
        <v>2016</v>
      </c>
      <c r="C1802" s="80">
        <v>12</v>
      </c>
      <c r="D1802" s="80">
        <f t="shared" si="102"/>
        <v>2016</v>
      </c>
      <c r="E1802" t="s">
        <v>38</v>
      </c>
      <c r="F1802" t="s">
        <v>143</v>
      </c>
      <c r="G1802" t="s">
        <v>86</v>
      </c>
      <c r="H1802" s="72" t="s">
        <v>220</v>
      </c>
      <c r="I1802" s="72" t="s">
        <v>62</v>
      </c>
      <c r="J1802" t="str">
        <f t="shared" si="101"/>
        <v>Skykomish River</v>
      </c>
      <c r="K1802" t="str">
        <f>IFERROR(VLOOKUP(J1802,LUTs!$A$1:$C$73,2,FALSE),"NA")</f>
        <v>Snohomish</v>
      </c>
      <c r="L1802" t="str">
        <f>IFERROR(VLOOKUP(J1802,LUTs!$A$1:$C$73,3,FALSE),"NA")</f>
        <v>2Central Puget Sound</v>
      </c>
      <c r="M1802" s="72" t="s">
        <v>23</v>
      </c>
      <c r="N1802" t="str">
        <f>VLOOKUP(M1802,LUTs!E$2:H$14,3,)</f>
        <v>10Kitsap</v>
      </c>
      <c r="O1802" t="str">
        <f>VLOOKUP(M1802,LUTs!E$2:H$14,4,)</f>
        <v>02South Puget Sound</v>
      </c>
      <c r="P1802" s="80">
        <v>6.2896551724138003</v>
      </c>
      <c r="Q1802" s="103">
        <v>3.1793103448275901</v>
      </c>
      <c r="R1802" s="74">
        <f>VLOOKUP(B1802,Readme!A$40:C$52,3,)*Q1802</f>
        <v>27.151310344827618</v>
      </c>
    </row>
    <row r="1803" spans="1:18" ht="12" customHeight="1" x14ac:dyDescent="0.35">
      <c r="A1803" s="75">
        <v>1797</v>
      </c>
      <c r="B1803" s="80">
        <v>2016</v>
      </c>
      <c r="C1803" s="80">
        <v>12</v>
      </c>
      <c r="D1803" s="80">
        <f t="shared" si="102"/>
        <v>2016</v>
      </c>
      <c r="E1803" t="s">
        <v>38</v>
      </c>
      <c r="F1803" t="s">
        <v>143</v>
      </c>
      <c r="G1803" t="s">
        <v>86</v>
      </c>
      <c r="H1803" s="72" t="s">
        <v>220</v>
      </c>
      <c r="I1803" s="72" t="s">
        <v>62</v>
      </c>
      <c r="J1803" t="str">
        <f t="shared" si="101"/>
        <v>Skykomish River</v>
      </c>
      <c r="K1803" t="str">
        <f>IFERROR(VLOOKUP(J1803,LUTs!$A$1:$C$73,2,FALSE),"NA")</f>
        <v>Snohomish</v>
      </c>
      <c r="L1803" t="str">
        <f>IFERROR(VLOOKUP(J1803,LUTs!$A$1:$C$73,3,FALSE),"NA")</f>
        <v>2Central Puget Sound</v>
      </c>
      <c r="M1803" s="72" t="s">
        <v>26</v>
      </c>
      <c r="N1803" t="str">
        <f>VLOOKUP(M1803,LUTs!E$2:H$14,3,)</f>
        <v>20Other</v>
      </c>
      <c r="O1803" t="str">
        <f>VLOOKUP(M1803,LUTs!E$2:H$14,4,)</f>
        <v>07Non Puget Sound</v>
      </c>
      <c r="P1803" s="80">
        <v>6.2896551724138003</v>
      </c>
      <c r="Q1803" s="103">
        <v>3.1793103448275901</v>
      </c>
      <c r="R1803" s="74">
        <f>VLOOKUP(B1803,Readme!A$40:C$52,3,)*Q1803</f>
        <v>27.151310344827618</v>
      </c>
    </row>
    <row r="1804" spans="1:18" ht="12" customHeight="1" x14ac:dyDescent="0.35">
      <c r="A1804" s="75">
        <v>1798</v>
      </c>
      <c r="B1804" s="80">
        <v>2016</v>
      </c>
      <c r="C1804" s="80">
        <v>12</v>
      </c>
      <c r="D1804" s="80">
        <f t="shared" si="102"/>
        <v>2016</v>
      </c>
      <c r="E1804" t="s">
        <v>38</v>
      </c>
      <c r="F1804" t="s">
        <v>143</v>
      </c>
      <c r="G1804" t="s">
        <v>86</v>
      </c>
      <c r="H1804" s="72" t="s">
        <v>220</v>
      </c>
      <c r="I1804" s="72" t="s">
        <v>62</v>
      </c>
      <c r="J1804" t="str">
        <f t="shared" si="101"/>
        <v>Skykomish River</v>
      </c>
      <c r="K1804" t="str">
        <f>IFERROR(VLOOKUP(J1804,LUTs!$A$1:$C$73,2,FALSE),"NA")</f>
        <v>Snohomish</v>
      </c>
      <c r="L1804" t="str">
        <f>IFERROR(VLOOKUP(J1804,LUTs!$A$1:$C$73,3,FALSE),"NA")</f>
        <v>2Central Puget Sound</v>
      </c>
      <c r="M1804" s="72" t="s">
        <v>20</v>
      </c>
      <c r="N1804" t="str">
        <f>VLOOKUP(M1804,LUTs!E$2:H$14,3,)</f>
        <v>07Pierce</v>
      </c>
      <c r="O1804" t="str">
        <f>VLOOKUP(M1804,LUTs!E$2:H$14,4,)</f>
        <v>02South Puget Sound</v>
      </c>
      <c r="P1804" s="80">
        <v>6.2896551724138003</v>
      </c>
      <c r="Q1804" s="103">
        <v>3.1793103448275901</v>
      </c>
      <c r="R1804" s="74">
        <f>VLOOKUP(B1804,Readme!A$40:C$52,3,)*Q1804</f>
        <v>27.151310344827618</v>
      </c>
    </row>
    <row r="1805" spans="1:18" ht="12" customHeight="1" x14ac:dyDescent="0.35">
      <c r="A1805" s="75">
        <v>1799</v>
      </c>
      <c r="B1805" s="80">
        <v>2016</v>
      </c>
      <c r="C1805" s="80">
        <v>12</v>
      </c>
      <c r="D1805" s="80">
        <f t="shared" si="102"/>
        <v>2016</v>
      </c>
      <c r="E1805" t="s">
        <v>38</v>
      </c>
      <c r="F1805" t="s">
        <v>143</v>
      </c>
      <c r="G1805" t="s">
        <v>86</v>
      </c>
      <c r="H1805" s="72" t="s">
        <v>220</v>
      </c>
      <c r="I1805" s="72" t="s">
        <v>62</v>
      </c>
      <c r="J1805" t="str">
        <f t="shared" si="101"/>
        <v>Skykomish River</v>
      </c>
      <c r="K1805" t="str">
        <f>IFERROR(VLOOKUP(J1805,LUTs!$A$1:$C$73,2,FALSE),"NA")</f>
        <v>Snohomish</v>
      </c>
      <c r="L1805" t="str">
        <f>IFERROR(VLOOKUP(J1805,LUTs!$A$1:$C$73,3,FALSE),"NA")</f>
        <v>2Central Puget Sound</v>
      </c>
      <c r="M1805" s="72" t="s">
        <v>15</v>
      </c>
      <c r="N1805" t="str">
        <f>VLOOKUP(M1805,LUTs!E$2:H$14,3,)</f>
        <v>02Skagit</v>
      </c>
      <c r="O1805" t="str">
        <f>VLOOKUP(M1805,LUTs!E$2:H$14,4,)</f>
        <v>01North Puget Sound</v>
      </c>
      <c r="P1805" s="80">
        <v>12.579310344827601</v>
      </c>
      <c r="Q1805" s="103">
        <v>6.3586206896551696</v>
      </c>
      <c r="R1805" s="74">
        <f>VLOOKUP(B1805,Readme!A$40:C$52,3,)*Q1805</f>
        <v>54.302620689655143</v>
      </c>
    </row>
    <row r="1806" spans="1:18" ht="12" customHeight="1" x14ac:dyDescent="0.35">
      <c r="A1806" s="75">
        <v>1800</v>
      </c>
      <c r="B1806" s="80">
        <v>2016</v>
      </c>
      <c r="C1806" s="80">
        <v>12</v>
      </c>
      <c r="D1806" s="80">
        <f t="shared" si="102"/>
        <v>2016</v>
      </c>
      <c r="E1806" t="s">
        <v>38</v>
      </c>
      <c r="F1806" t="s">
        <v>143</v>
      </c>
      <c r="G1806" t="s">
        <v>86</v>
      </c>
      <c r="H1806" s="72" t="s">
        <v>220</v>
      </c>
      <c r="I1806" s="72" t="s">
        <v>62</v>
      </c>
      <c r="J1806" t="str">
        <f t="shared" si="101"/>
        <v>Skykomish River</v>
      </c>
      <c r="K1806" t="str">
        <f>IFERROR(VLOOKUP(J1806,LUTs!$A$1:$C$73,2,FALSE),"NA")</f>
        <v>Snohomish</v>
      </c>
      <c r="L1806" t="str">
        <f>IFERROR(VLOOKUP(J1806,LUTs!$A$1:$C$73,3,FALSE),"NA")</f>
        <v>2Central Puget Sound</v>
      </c>
      <c r="M1806" s="72" t="s">
        <v>16</v>
      </c>
      <c r="N1806" t="str">
        <f>VLOOKUP(M1806,LUTs!E$2:H$14,3,)</f>
        <v>03Snohomish</v>
      </c>
      <c r="O1806" t="str">
        <f>VLOOKUP(M1806,LUTs!E$2:H$14,4,)</f>
        <v>01North Puget Sound</v>
      </c>
      <c r="P1806" s="80">
        <v>496.88275862069003</v>
      </c>
      <c r="Q1806" s="103">
        <v>251.16551724137901</v>
      </c>
      <c r="R1806" s="74">
        <f>VLOOKUP(B1806,Readme!A$40:C$52,3,)*Q1806</f>
        <v>2144.9535172413766</v>
      </c>
    </row>
    <row r="1807" spans="1:18" ht="12" customHeight="1" x14ac:dyDescent="0.35">
      <c r="A1807" s="75">
        <v>1801</v>
      </c>
      <c r="B1807" s="80">
        <v>2016</v>
      </c>
      <c r="C1807" s="80">
        <v>12</v>
      </c>
      <c r="D1807" s="80">
        <f t="shared" si="102"/>
        <v>2016</v>
      </c>
      <c r="E1807" t="s">
        <v>38</v>
      </c>
      <c r="F1807" t="s">
        <v>143</v>
      </c>
      <c r="G1807" t="s">
        <v>86</v>
      </c>
      <c r="H1807" s="72" t="s">
        <v>220</v>
      </c>
      <c r="I1807" s="72" t="s">
        <v>62</v>
      </c>
      <c r="J1807" t="str">
        <f t="shared" si="101"/>
        <v>Skykomish River</v>
      </c>
      <c r="K1807" t="str">
        <f>IFERROR(VLOOKUP(J1807,LUTs!$A$1:$C$73,2,FALSE),"NA")</f>
        <v>Snohomish</v>
      </c>
      <c r="L1807" t="str">
        <f>IFERROR(VLOOKUP(J1807,LUTs!$A$1:$C$73,3,FALSE),"NA")</f>
        <v>2Central Puget Sound</v>
      </c>
      <c r="M1807" s="72" t="s">
        <v>13</v>
      </c>
      <c r="N1807" t="str">
        <f>VLOOKUP(M1807,LUTs!E$2:H$14,3,)</f>
        <v>01Whatcom</v>
      </c>
      <c r="O1807" t="str">
        <f>VLOOKUP(M1807,LUTs!E$2:H$14,4,)</f>
        <v>01North Puget Sound</v>
      </c>
      <c r="P1807" s="80">
        <v>6.2896551724138003</v>
      </c>
      <c r="Q1807" s="103">
        <v>3.1793103448275901</v>
      </c>
      <c r="R1807" s="74">
        <f>VLOOKUP(B1807,Readme!A$40:C$52,3,)*Q1807</f>
        <v>27.151310344827618</v>
      </c>
    </row>
    <row r="1808" spans="1:18" ht="12" customHeight="1" x14ac:dyDescent="0.35">
      <c r="A1808" s="75">
        <v>1809</v>
      </c>
      <c r="B1808" s="80">
        <v>2016</v>
      </c>
      <c r="C1808" s="80">
        <v>12</v>
      </c>
      <c r="D1808" s="80">
        <f t="shared" si="102"/>
        <v>2016</v>
      </c>
      <c r="E1808" t="s">
        <v>38</v>
      </c>
      <c r="F1808" t="s">
        <v>143</v>
      </c>
      <c r="G1808" t="s">
        <v>86</v>
      </c>
      <c r="H1808" s="72" t="s">
        <v>247</v>
      </c>
      <c r="I1808" s="72" t="s">
        <v>98</v>
      </c>
      <c r="J1808" t="str">
        <f t="shared" si="101"/>
        <v>Skykomish River, No. Fork</v>
      </c>
      <c r="K1808" t="str">
        <f>IFERROR(VLOOKUP(J1808,LUTs!$A$1:$C$73,2,FALSE),"NA")</f>
        <v>Snohomish</v>
      </c>
      <c r="L1808" t="str">
        <f>IFERROR(VLOOKUP(J1808,LUTs!$A$1:$C$73,3,FALSE),"NA")</f>
        <v>2Central Puget Sound</v>
      </c>
      <c r="M1808" s="72" t="s">
        <v>18</v>
      </c>
      <c r="N1808" t="str">
        <f>VLOOKUP(M1808,LUTs!E$2:H$14,3,)</f>
        <v>06King</v>
      </c>
      <c r="O1808" t="str">
        <f>VLOOKUP(M1808,LUTs!E$2:H$14,4,)</f>
        <v>02South Puget Sound</v>
      </c>
      <c r="P1808" s="80">
        <v>6</v>
      </c>
      <c r="Q1808" s="103">
        <v>3</v>
      </c>
      <c r="R1808" s="74">
        <f>VLOOKUP(B1808,Readme!A$40:C$52,3,)*Q1808</f>
        <v>25.619999999999997</v>
      </c>
    </row>
    <row r="1809" spans="1:18" ht="12" customHeight="1" x14ac:dyDescent="0.35">
      <c r="A1809" s="75">
        <v>1813</v>
      </c>
      <c r="B1809" s="80">
        <v>2016</v>
      </c>
      <c r="C1809" s="80">
        <v>12</v>
      </c>
      <c r="D1809" s="80">
        <f t="shared" si="102"/>
        <v>2016</v>
      </c>
      <c r="E1809" t="s">
        <v>38</v>
      </c>
      <c r="F1809" t="s">
        <v>143</v>
      </c>
      <c r="G1809" t="s">
        <v>86</v>
      </c>
      <c r="H1809" s="72" t="s">
        <v>221</v>
      </c>
      <c r="I1809" s="72" t="s">
        <v>63</v>
      </c>
      <c r="J1809" t="str">
        <f t="shared" si="101"/>
        <v>Snohomish River</v>
      </c>
      <c r="K1809" t="str">
        <f>IFERROR(VLOOKUP(J1809,LUTs!$A$1:$C$73,2,FALSE),"NA")</f>
        <v>Snohomish</v>
      </c>
      <c r="L1809" t="str">
        <f>IFERROR(VLOOKUP(J1809,LUTs!$A$1:$C$73,3,FALSE),"NA")</f>
        <v>2Central Puget Sound</v>
      </c>
      <c r="M1809" s="72" t="s">
        <v>18</v>
      </c>
      <c r="N1809" t="str">
        <f>VLOOKUP(M1809,LUTs!E$2:H$14,3,)</f>
        <v>06King</v>
      </c>
      <c r="O1809" t="str">
        <f>VLOOKUP(M1809,LUTs!E$2:H$14,4,)</f>
        <v>02South Puget Sound</v>
      </c>
      <c r="P1809" s="80">
        <v>6.4</v>
      </c>
      <c r="Q1809" s="103">
        <v>3.2</v>
      </c>
      <c r="R1809" s="74">
        <f>VLOOKUP(B1809,Readme!A$40:C$52,3,)*Q1809</f>
        <v>27.327999999999999</v>
      </c>
    </row>
    <row r="1810" spans="1:18" ht="12" customHeight="1" x14ac:dyDescent="0.35">
      <c r="A1810" s="75">
        <v>1814</v>
      </c>
      <c r="B1810" s="80">
        <v>2016</v>
      </c>
      <c r="C1810" s="80">
        <v>12</v>
      </c>
      <c r="D1810" s="80">
        <f t="shared" si="102"/>
        <v>2016</v>
      </c>
      <c r="E1810" t="s">
        <v>38</v>
      </c>
      <c r="F1810" t="s">
        <v>143</v>
      </c>
      <c r="G1810" t="s">
        <v>86</v>
      </c>
      <c r="H1810" s="72" t="s">
        <v>221</v>
      </c>
      <c r="I1810" s="72" t="s">
        <v>63</v>
      </c>
      <c r="J1810" t="str">
        <f t="shared" si="101"/>
        <v>Snohomish River</v>
      </c>
      <c r="K1810" t="str">
        <f>IFERROR(VLOOKUP(J1810,LUTs!$A$1:$C$73,2,FALSE),"NA")</f>
        <v>Snohomish</v>
      </c>
      <c r="L1810" t="str">
        <f>IFERROR(VLOOKUP(J1810,LUTs!$A$1:$C$73,3,FALSE),"NA")</f>
        <v>2Central Puget Sound</v>
      </c>
      <c r="M1810" s="72" t="s">
        <v>16</v>
      </c>
      <c r="N1810" t="str">
        <f>VLOOKUP(M1810,LUTs!E$2:H$14,3,)</f>
        <v>03Snohomish</v>
      </c>
      <c r="O1810" t="str">
        <f>VLOOKUP(M1810,LUTs!E$2:H$14,4,)</f>
        <v>01North Puget Sound</v>
      </c>
      <c r="P1810" s="80">
        <v>25.6</v>
      </c>
      <c r="Q1810" s="103">
        <v>12.8</v>
      </c>
      <c r="R1810" s="74">
        <f>VLOOKUP(B1810,Readme!A$40:C$52,3,)*Q1810</f>
        <v>109.312</v>
      </c>
    </row>
    <row r="1811" spans="1:18" ht="12" customHeight="1" x14ac:dyDescent="0.35">
      <c r="A1811" s="75">
        <v>1829</v>
      </c>
      <c r="B1811" s="80">
        <v>2016</v>
      </c>
      <c r="C1811" s="80">
        <v>12</v>
      </c>
      <c r="D1811" s="80">
        <f t="shared" si="102"/>
        <v>2016</v>
      </c>
      <c r="E1811" t="s">
        <v>38</v>
      </c>
      <c r="F1811" t="s">
        <v>143</v>
      </c>
      <c r="G1811" t="s">
        <v>86</v>
      </c>
      <c r="H1811" s="72" t="s">
        <v>253</v>
      </c>
      <c r="I1811" s="72" t="s">
        <v>65</v>
      </c>
      <c r="J1811" t="str">
        <f t="shared" si="101"/>
        <v>Stillaguamish River</v>
      </c>
      <c r="K1811" t="str">
        <f>IFERROR(VLOOKUP(J1811,LUTs!$A$1:$C$73,2,FALSE),"NA")</f>
        <v>Snohomish</v>
      </c>
      <c r="L1811" t="str">
        <f>IFERROR(VLOOKUP(J1811,LUTs!$A$1:$C$73,3,FALSE),"NA")</f>
        <v>2Central Puget Sound</v>
      </c>
      <c r="M1811" s="72" t="s">
        <v>16</v>
      </c>
      <c r="N1811" t="str">
        <f>VLOOKUP(M1811,LUTs!E$2:H$14,3,)</f>
        <v>03Snohomish</v>
      </c>
      <c r="O1811" t="str">
        <f>VLOOKUP(M1811,LUTs!E$2:H$14,4,)</f>
        <v>01North Puget Sound</v>
      </c>
      <c r="P1811" s="80">
        <v>10</v>
      </c>
      <c r="Q1811" s="103">
        <v>5</v>
      </c>
      <c r="R1811" s="74">
        <f>VLOOKUP(B1811,Readme!A$40:C$52,3,)*Q1811</f>
        <v>42.699999999999996</v>
      </c>
    </row>
    <row r="1812" spans="1:18" ht="12" customHeight="1" x14ac:dyDescent="0.35">
      <c r="A1812" s="75">
        <v>1820</v>
      </c>
      <c r="B1812" s="80">
        <v>2016</v>
      </c>
      <c r="C1812" s="80">
        <v>12</v>
      </c>
      <c r="D1812" s="80">
        <f t="shared" si="102"/>
        <v>2016</v>
      </c>
      <c r="E1812" t="s">
        <v>38</v>
      </c>
      <c r="F1812" t="s">
        <v>143</v>
      </c>
      <c r="G1812" t="s">
        <v>86</v>
      </c>
      <c r="H1812" s="72" t="s">
        <v>233</v>
      </c>
      <c r="I1812" s="72" t="s">
        <v>76</v>
      </c>
      <c r="J1812" t="str">
        <f t="shared" si="101"/>
        <v>Wallace River</v>
      </c>
      <c r="K1812" t="str">
        <f>IFERROR(VLOOKUP(J1812,LUTs!$A$1:$C$73,2,FALSE),"NA")</f>
        <v>Snohomish</v>
      </c>
      <c r="L1812" t="str">
        <f>IFERROR(VLOOKUP(J1812,LUTs!$A$1:$C$73,3,FALSE),"NA")</f>
        <v>2Central Puget Sound</v>
      </c>
      <c r="M1812" s="72" t="s">
        <v>18</v>
      </c>
      <c r="N1812" t="str">
        <f>VLOOKUP(M1812,LUTs!E$2:H$14,3,)</f>
        <v>06King</v>
      </c>
      <c r="O1812" t="str">
        <f>VLOOKUP(M1812,LUTs!E$2:H$14,4,)</f>
        <v>02South Puget Sound</v>
      </c>
      <c r="P1812" s="80">
        <v>163.87878787878799</v>
      </c>
      <c r="Q1812" s="103">
        <v>81.939393939393995</v>
      </c>
      <c r="R1812" s="74">
        <f>VLOOKUP(B1812,Readme!A$40:C$52,3,)*Q1812</f>
        <v>699.76242424242469</v>
      </c>
    </row>
    <row r="1813" spans="1:18" ht="12" customHeight="1" x14ac:dyDescent="0.35">
      <c r="A1813" s="75">
        <v>1821</v>
      </c>
      <c r="B1813" s="80">
        <v>2016</v>
      </c>
      <c r="C1813" s="80">
        <v>12</v>
      </c>
      <c r="D1813" s="80">
        <f t="shared" si="102"/>
        <v>2016</v>
      </c>
      <c r="E1813" t="s">
        <v>38</v>
      </c>
      <c r="F1813" t="s">
        <v>143</v>
      </c>
      <c r="G1813" t="s">
        <v>86</v>
      </c>
      <c r="H1813" s="72" t="s">
        <v>233</v>
      </c>
      <c r="I1813" s="72" t="s">
        <v>76</v>
      </c>
      <c r="J1813" t="str">
        <f t="shared" si="101"/>
        <v>Wallace River</v>
      </c>
      <c r="K1813" t="str">
        <f>IFERROR(VLOOKUP(J1813,LUTs!$A$1:$C$73,2,FALSE),"NA")</f>
        <v>Snohomish</v>
      </c>
      <c r="L1813" t="str">
        <f>IFERROR(VLOOKUP(J1813,LUTs!$A$1:$C$73,3,FALSE),"NA")</f>
        <v>2Central Puget Sound</v>
      </c>
      <c r="M1813" s="72" t="s">
        <v>15</v>
      </c>
      <c r="N1813" t="str">
        <f>VLOOKUP(M1813,LUTs!E$2:H$14,3,)</f>
        <v>02Skagit</v>
      </c>
      <c r="O1813" t="str">
        <f>VLOOKUP(M1813,LUTs!E$2:H$14,4,)</f>
        <v>01North Puget Sound</v>
      </c>
      <c r="P1813" s="80">
        <v>6.3030303030303001</v>
      </c>
      <c r="Q1813" s="103">
        <v>3.15151515151515</v>
      </c>
      <c r="R1813" s="74">
        <f>VLOOKUP(B1813,Readme!A$40:C$52,3,)*Q1813</f>
        <v>26.91393939393938</v>
      </c>
    </row>
    <row r="1814" spans="1:18" ht="12" customHeight="1" x14ac:dyDescent="0.35">
      <c r="A1814" s="75">
        <v>1822</v>
      </c>
      <c r="B1814" s="80">
        <v>2016</v>
      </c>
      <c r="C1814" s="80">
        <v>12</v>
      </c>
      <c r="D1814" s="80">
        <f t="shared" si="102"/>
        <v>2016</v>
      </c>
      <c r="E1814" t="s">
        <v>38</v>
      </c>
      <c r="F1814" t="s">
        <v>143</v>
      </c>
      <c r="G1814" t="s">
        <v>86</v>
      </c>
      <c r="H1814" s="72" t="s">
        <v>233</v>
      </c>
      <c r="I1814" s="72" t="s">
        <v>76</v>
      </c>
      <c r="J1814" t="str">
        <f t="shared" si="101"/>
        <v>Wallace River</v>
      </c>
      <c r="K1814" t="str">
        <f>IFERROR(VLOOKUP(J1814,LUTs!$A$1:$C$73,2,FALSE),"NA")</f>
        <v>Snohomish</v>
      </c>
      <c r="L1814" t="str">
        <f>IFERROR(VLOOKUP(J1814,LUTs!$A$1:$C$73,3,FALSE),"NA")</f>
        <v>2Central Puget Sound</v>
      </c>
      <c r="M1814" s="72" t="s">
        <v>16</v>
      </c>
      <c r="N1814" t="str">
        <f>VLOOKUP(M1814,LUTs!E$2:H$14,3,)</f>
        <v>03Snohomish</v>
      </c>
      <c r="O1814" t="str">
        <f>VLOOKUP(M1814,LUTs!E$2:H$14,4,)</f>
        <v>01North Puget Sound</v>
      </c>
      <c r="P1814" s="80">
        <v>245.81818181818201</v>
      </c>
      <c r="Q1814" s="103">
        <v>122.90909090909101</v>
      </c>
      <c r="R1814" s="74">
        <f>VLOOKUP(B1814,Readme!A$40:C$52,3,)*Q1814</f>
        <v>1049.6436363636371</v>
      </c>
    </row>
    <row r="1815" spans="1:18" ht="12" customHeight="1" x14ac:dyDescent="0.35">
      <c r="A1815" s="75">
        <v>1830</v>
      </c>
      <c r="B1815" s="80">
        <v>2016</v>
      </c>
      <c r="C1815" s="80">
        <v>12</v>
      </c>
      <c r="D1815" s="80">
        <f t="shared" si="102"/>
        <v>2016</v>
      </c>
      <c r="E1815" t="s">
        <v>38</v>
      </c>
      <c r="F1815" t="s">
        <v>143</v>
      </c>
      <c r="G1815" t="s">
        <v>86</v>
      </c>
      <c r="H1815" s="72" t="s">
        <v>224</v>
      </c>
      <c r="I1815" s="72" t="s">
        <v>66</v>
      </c>
      <c r="J1815" t="str">
        <f t="shared" si="101"/>
        <v>Whatcom Creek</v>
      </c>
      <c r="K1815" t="str">
        <f>IFERROR(VLOOKUP(J1815,LUTs!$A$1:$C$73,2,FALSE),"NA")</f>
        <v>Whatcom</v>
      </c>
      <c r="L1815" t="str">
        <f>IFERROR(VLOOKUP(J1815,LUTs!$A$1:$C$73,3,FALSE),"NA")</f>
        <v>1North Puget Sound</v>
      </c>
      <c r="M1815" s="72" t="s">
        <v>16</v>
      </c>
      <c r="N1815" t="str">
        <f>VLOOKUP(M1815,LUTs!E$2:H$14,3,)</f>
        <v>03Snohomish</v>
      </c>
      <c r="O1815" t="str">
        <f>VLOOKUP(M1815,LUTs!E$2:H$14,4,)</f>
        <v>01North Puget Sound</v>
      </c>
      <c r="P1815" s="80">
        <v>10</v>
      </c>
      <c r="Q1815" s="103">
        <v>0</v>
      </c>
      <c r="R1815" s="74">
        <f>VLOOKUP(B1815,Readme!A$40:C$52,3,)*Q1815</f>
        <v>0</v>
      </c>
    </row>
    <row r="1816" spans="1:18" ht="12" customHeight="1" x14ac:dyDescent="0.35">
      <c r="A1816" s="75">
        <v>1833</v>
      </c>
      <c r="B1816" s="80">
        <v>2017</v>
      </c>
      <c r="C1816" s="80">
        <v>1</v>
      </c>
      <c r="D1816" s="80">
        <f t="shared" si="102"/>
        <v>2016</v>
      </c>
      <c r="E1816" t="s">
        <v>38</v>
      </c>
      <c r="F1816" t="s">
        <v>143</v>
      </c>
      <c r="G1816" t="s">
        <v>86</v>
      </c>
      <c r="H1816" s="72" t="s">
        <v>254</v>
      </c>
      <c r="I1816" s="72" t="s">
        <v>33</v>
      </c>
      <c r="J1816" t="str">
        <f t="shared" si="101"/>
        <v>Area 9: Admiralty Inlet</v>
      </c>
      <c r="K1816" t="str">
        <f>IFERROR(VLOOKUP(J1816,LUTs!$A$1:$C$73,2,FALSE),"NA")</f>
        <v>NA</v>
      </c>
      <c r="L1816" t="str">
        <f>IFERROR(VLOOKUP(J1816,LUTs!$A$1:$C$73,3,FALSE),"NA")</f>
        <v>2Central Puget Sound</v>
      </c>
      <c r="M1816" s="72" t="s">
        <v>17</v>
      </c>
      <c r="N1816" t="str">
        <f>VLOOKUP(M1816,LUTs!E$2:H$14,3,)</f>
        <v>04Island</v>
      </c>
      <c r="O1816" t="str">
        <f>VLOOKUP(M1816,LUTs!E$2:H$14,4,)</f>
        <v>01North Puget Sound</v>
      </c>
      <c r="P1816" s="80">
        <v>10</v>
      </c>
      <c r="Q1816" s="103">
        <v>5</v>
      </c>
      <c r="R1816" s="74">
        <f>VLOOKUP(B1816,Readme!A$40:C$52,3,)*Q1816</f>
        <v>92.75</v>
      </c>
    </row>
    <row r="1817" spans="1:18" ht="12" customHeight="1" x14ac:dyDescent="0.35">
      <c r="A1817" s="75">
        <v>1750</v>
      </c>
      <c r="B1817" s="80">
        <v>2017</v>
      </c>
      <c r="C1817" s="80">
        <v>1</v>
      </c>
      <c r="D1817" s="80">
        <f t="shared" si="102"/>
        <v>2016</v>
      </c>
      <c r="E1817" t="s">
        <v>38</v>
      </c>
      <c r="F1817" t="s">
        <v>143</v>
      </c>
      <c r="G1817" t="s">
        <v>86</v>
      </c>
      <c r="H1817" s="72" t="s">
        <v>203</v>
      </c>
      <c r="I1817" s="72" t="s">
        <v>89</v>
      </c>
      <c r="J1817" s="84" t="s">
        <v>45</v>
      </c>
      <c r="K1817" t="str">
        <f>IFERROR(VLOOKUP(J1817,LUTs!$A$1:$C$73,2,FALSE),"NA")</f>
        <v>King</v>
      </c>
      <c r="L1817" t="str">
        <f>IFERROR(VLOOKUP(J1817,LUTs!$A$1:$C$73,3,FALSE),"NA")</f>
        <v>3South Puget Sound</v>
      </c>
      <c r="M1817" s="72" t="s">
        <v>18</v>
      </c>
      <c r="N1817" t="str">
        <f>VLOOKUP(M1817,LUTs!E$2:H$14,3,)</f>
        <v>06King</v>
      </c>
      <c r="O1817" t="str">
        <f>VLOOKUP(M1817,LUTs!E$2:H$14,4,)</f>
        <v>02South Puget Sound</v>
      </c>
      <c r="P1817" s="80">
        <v>10</v>
      </c>
      <c r="Q1817" s="103">
        <v>5</v>
      </c>
      <c r="R1817" s="74">
        <f>VLOOKUP(B1817,Readme!A$40:C$52,3,)*Q1817</f>
        <v>92.75</v>
      </c>
    </row>
    <row r="1818" spans="1:18" ht="12" customHeight="1" x14ac:dyDescent="0.35">
      <c r="A1818" s="75">
        <v>1757</v>
      </c>
      <c r="B1818" s="80">
        <v>2017</v>
      </c>
      <c r="C1818" s="80">
        <v>1</v>
      </c>
      <c r="D1818" s="80">
        <f t="shared" si="102"/>
        <v>2016</v>
      </c>
      <c r="E1818" t="s">
        <v>38</v>
      </c>
      <c r="F1818" t="s">
        <v>143</v>
      </c>
      <c r="G1818" t="s">
        <v>86</v>
      </c>
      <c r="H1818" s="72" t="s">
        <v>204</v>
      </c>
      <c r="I1818" s="72" t="s">
        <v>46</v>
      </c>
      <c r="J1818" t="str">
        <f t="shared" ref="J1818:J1835" si="103">I1818</f>
        <v>Hoko River</v>
      </c>
      <c r="K1818" t="str">
        <f>IFERROR(VLOOKUP(J1818,LUTs!$A$1:$C$73,2,FALSE),"NA")</f>
        <v>Clallam</v>
      </c>
      <c r="L1818" t="str">
        <f>IFERROR(VLOOKUP(J1818,LUTs!$A$1:$C$73,3,FALSE),"NA")</f>
        <v>0Strait of Juan de Fuca</v>
      </c>
      <c r="M1818" s="72" t="s">
        <v>24</v>
      </c>
      <c r="N1818" t="str">
        <f>VLOOKUP(M1818,LUTs!E$2:H$14,3,)</f>
        <v>11Clallam</v>
      </c>
      <c r="O1818" t="str">
        <f>VLOOKUP(M1818,LUTs!E$2:H$14,4,)</f>
        <v>03Strait of Juan de Fuca</v>
      </c>
      <c r="P1818" s="80">
        <v>20</v>
      </c>
      <c r="Q1818" s="103">
        <v>10</v>
      </c>
      <c r="R1818" s="74">
        <f>VLOOKUP(B1818,Readme!A$40:C$52,3,)*Q1818</f>
        <v>185.5</v>
      </c>
    </row>
    <row r="1819" spans="1:18" ht="12" customHeight="1" x14ac:dyDescent="0.35">
      <c r="A1819" s="75">
        <v>1759</v>
      </c>
      <c r="B1819" s="80">
        <v>2017</v>
      </c>
      <c r="C1819" s="80">
        <v>1</v>
      </c>
      <c r="D1819" s="80">
        <f t="shared" si="102"/>
        <v>2016</v>
      </c>
      <c r="E1819" t="s">
        <v>38</v>
      </c>
      <c r="F1819" t="s">
        <v>143</v>
      </c>
      <c r="G1819" t="s">
        <v>86</v>
      </c>
      <c r="H1819" s="72" t="s">
        <v>237</v>
      </c>
      <c r="I1819" s="72" t="s">
        <v>79</v>
      </c>
      <c r="J1819" t="str">
        <f t="shared" si="103"/>
        <v>Lyre River</v>
      </c>
      <c r="K1819" t="str">
        <f>IFERROR(VLOOKUP(J1819,LUTs!$A$1:$C$73,2,FALSE),"NA")</f>
        <v>Clallam</v>
      </c>
      <c r="L1819" t="str">
        <f>IFERROR(VLOOKUP(J1819,LUTs!$A$1:$C$73,3,FALSE),"NA")</f>
        <v>0Strait of Juan de Fuca</v>
      </c>
      <c r="M1819" s="72" t="s">
        <v>24</v>
      </c>
      <c r="N1819" t="str">
        <f>VLOOKUP(M1819,LUTs!E$2:H$14,3,)</f>
        <v>11Clallam</v>
      </c>
      <c r="O1819" t="str">
        <f>VLOOKUP(M1819,LUTs!E$2:H$14,4,)</f>
        <v>03Strait of Juan de Fuca</v>
      </c>
      <c r="P1819" s="80">
        <v>10</v>
      </c>
      <c r="Q1819" s="103">
        <v>5</v>
      </c>
      <c r="R1819" s="74">
        <f>VLOOKUP(B1819,Readme!A$40:C$52,3,)*Q1819</f>
        <v>92.75</v>
      </c>
    </row>
    <row r="1820" spans="1:18" ht="12" customHeight="1" x14ac:dyDescent="0.35">
      <c r="A1820" s="75">
        <v>1772</v>
      </c>
      <c r="B1820" s="80">
        <v>2017</v>
      </c>
      <c r="C1820" s="80">
        <v>1</v>
      </c>
      <c r="D1820" s="80">
        <f t="shared" si="102"/>
        <v>2016</v>
      </c>
      <c r="E1820" t="s">
        <v>38</v>
      </c>
      <c r="F1820" t="s">
        <v>143</v>
      </c>
      <c r="G1820" t="s">
        <v>86</v>
      </c>
      <c r="H1820" s="72" t="s">
        <v>228</v>
      </c>
      <c r="I1820" s="72" t="s">
        <v>70</v>
      </c>
      <c r="J1820" t="str">
        <f t="shared" si="103"/>
        <v>Pilchuck River (Snohomish System)</v>
      </c>
      <c r="K1820" t="str">
        <f>IFERROR(VLOOKUP(J1820,LUTs!$A$1:$C$73,2,FALSE),"NA")</f>
        <v>Snohomish</v>
      </c>
      <c r="L1820" t="str">
        <f>IFERROR(VLOOKUP(J1820,LUTs!$A$1:$C$73,3,FALSE),"NA")</f>
        <v>2Central Puget Sound</v>
      </c>
      <c r="M1820" s="72" t="s">
        <v>16</v>
      </c>
      <c r="N1820" t="str">
        <f>VLOOKUP(M1820,LUTs!E$2:H$14,3,)</f>
        <v>03Snohomish</v>
      </c>
      <c r="O1820" t="str">
        <f>VLOOKUP(M1820,LUTs!E$2:H$14,4,)</f>
        <v>01North Puget Sound</v>
      </c>
      <c r="P1820" s="80">
        <v>6</v>
      </c>
      <c r="Q1820" s="103">
        <v>3</v>
      </c>
      <c r="R1820" s="74">
        <f>VLOOKUP(B1820,Readme!A$40:C$52,3,)*Q1820</f>
        <v>55.650000000000006</v>
      </c>
    </row>
    <row r="1821" spans="1:18" ht="12" customHeight="1" x14ac:dyDescent="0.35">
      <c r="A1821" s="75">
        <v>1770</v>
      </c>
      <c r="B1821" s="80">
        <v>2017</v>
      </c>
      <c r="C1821" s="80">
        <v>1</v>
      </c>
      <c r="D1821" s="80">
        <f t="shared" si="102"/>
        <v>2016</v>
      </c>
      <c r="E1821" t="s">
        <v>38</v>
      </c>
      <c r="F1821" t="s">
        <v>143</v>
      </c>
      <c r="G1821" t="s">
        <v>86</v>
      </c>
      <c r="H1821" s="72" t="s">
        <v>218</v>
      </c>
      <c r="I1821" s="72" t="s">
        <v>60</v>
      </c>
      <c r="J1821" t="str">
        <f t="shared" si="103"/>
        <v>Skagit River</v>
      </c>
      <c r="K1821" t="str">
        <f>IFERROR(VLOOKUP(J1821,LUTs!$A$1:$C$73,2,FALSE),"NA")</f>
        <v>Skagit/Whatcom</v>
      </c>
      <c r="L1821" t="str">
        <f>IFERROR(VLOOKUP(J1821,LUTs!$A$1:$C$73,3,FALSE),"NA")</f>
        <v>2Central Puget Sound</v>
      </c>
      <c r="M1821" s="72" t="s">
        <v>18</v>
      </c>
      <c r="N1821" t="str">
        <f>VLOOKUP(M1821,LUTs!E$2:H$14,3,)</f>
        <v>06King</v>
      </c>
      <c r="O1821" t="str">
        <f>VLOOKUP(M1821,LUTs!E$2:H$14,4,)</f>
        <v>02South Puget Sound</v>
      </c>
      <c r="P1821" s="80">
        <v>13</v>
      </c>
      <c r="Q1821" s="103">
        <v>6.5</v>
      </c>
      <c r="R1821" s="74">
        <f>VLOOKUP(B1821,Readme!A$40:C$52,3,)*Q1821</f>
        <v>120.575</v>
      </c>
    </row>
    <row r="1822" spans="1:18" ht="12" customHeight="1" x14ac:dyDescent="0.35">
      <c r="A1822" s="75">
        <v>1771</v>
      </c>
      <c r="B1822" s="80">
        <v>2017</v>
      </c>
      <c r="C1822" s="80">
        <v>1</v>
      </c>
      <c r="D1822" s="80">
        <f t="shared" si="102"/>
        <v>2016</v>
      </c>
      <c r="E1822" t="s">
        <v>38</v>
      </c>
      <c r="F1822" t="s">
        <v>143</v>
      </c>
      <c r="G1822" t="s">
        <v>86</v>
      </c>
      <c r="H1822" s="72" t="s">
        <v>218</v>
      </c>
      <c r="I1822" s="72" t="s">
        <v>60</v>
      </c>
      <c r="J1822" t="str">
        <f t="shared" si="103"/>
        <v>Skagit River</v>
      </c>
      <c r="K1822" t="str">
        <f>IFERROR(VLOOKUP(J1822,LUTs!$A$1:$C$73,2,FALSE),"NA")</f>
        <v>Skagit/Whatcom</v>
      </c>
      <c r="L1822" t="str">
        <f>IFERROR(VLOOKUP(J1822,LUTs!$A$1:$C$73,3,FALSE),"NA")</f>
        <v>2Central Puget Sound</v>
      </c>
      <c r="M1822" s="72" t="s">
        <v>15</v>
      </c>
      <c r="N1822" t="str">
        <f>VLOOKUP(M1822,LUTs!E$2:H$14,3,)</f>
        <v>02Skagit</v>
      </c>
      <c r="O1822" t="str">
        <f>VLOOKUP(M1822,LUTs!E$2:H$14,4,)</f>
        <v>01North Puget Sound</v>
      </c>
      <c r="P1822" s="80">
        <v>13</v>
      </c>
      <c r="Q1822" s="103">
        <v>6.5</v>
      </c>
      <c r="R1822" s="74">
        <f>VLOOKUP(B1822,Readme!A$40:C$52,3,)*Q1822</f>
        <v>120.575</v>
      </c>
    </row>
    <row r="1823" spans="1:18" ht="12" customHeight="1" x14ac:dyDescent="0.35">
      <c r="A1823" s="75">
        <v>1802</v>
      </c>
      <c r="B1823" s="80">
        <v>2017</v>
      </c>
      <c r="C1823" s="80">
        <v>1</v>
      </c>
      <c r="D1823" s="80">
        <f t="shared" si="102"/>
        <v>2016</v>
      </c>
      <c r="E1823" t="s">
        <v>38</v>
      </c>
      <c r="F1823" t="s">
        <v>143</v>
      </c>
      <c r="G1823" t="s">
        <v>86</v>
      </c>
      <c r="H1823" s="72" t="s">
        <v>220</v>
      </c>
      <c r="I1823" s="72" t="s">
        <v>62</v>
      </c>
      <c r="J1823" t="str">
        <f t="shared" si="103"/>
        <v>Skykomish River</v>
      </c>
      <c r="K1823" t="str">
        <f>IFERROR(VLOOKUP(J1823,LUTs!$A$1:$C$73,2,FALSE),"NA")</f>
        <v>Snohomish</v>
      </c>
      <c r="L1823" t="str">
        <f>IFERROR(VLOOKUP(J1823,LUTs!$A$1:$C$73,3,FALSE),"NA")</f>
        <v>2Central Puget Sound</v>
      </c>
      <c r="M1823" s="72" t="s">
        <v>18</v>
      </c>
      <c r="N1823" t="str">
        <f>VLOOKUP(M1823,LUTs!E$2:H$14,3,)</f>
        <v>06King</v>
      </c>
      <c r="O1823" t="str">
        <f>VLOOKUP(M1823,LUTs!E$2:H$14,4,)</f>
        <v>02South Puget Sound</v>
      </c>
      <c r="P1823" s="80">
        <v>126.153846153846</v>
      </c>
      <c r="Q1823" s="103">
        <v>63.076923076923102</v>
      </c>
      <c r="R1823" s="74">
        <f>VLOOKUP(B1823,Readme!A$40:C$52,3,)*Q1823</f>
        <v>1170.0769230769235</v>
      </c>
    </row>
    <row r="1824" spans="1:18" ht="12" customHeight="1" x14ac:dyDescent="0.35">
      <c r="A1824" s="75">
        <v>1803</v>
      </c>
      <c r="B1824" s="80">
        <v>2017</v>
      </c>
      <c r="C1824" s="80">
        <v>1</v>
      </c>
      <c r="D1824" s="80">
        <f t="shared" si="102"/>
        <v>2016</v>
      </c>
      <c r="E1824" t="s">
        <v>38</v>
      </c>
      <c r="F1824" t="s">
        <v>143</v>
      </c>
      <c r="G1824" t="s">
        <v>86</v>
      </c>
      <c r="H1824" s="72" t="s">
        <v>220</v>
      </c>
      <c r="I1824" s="72" t="s">
        <v>62</v>
      </c>
      <c r="J1824" t="str">
        <f t="shared" si="103"/>
        <v>Skykomish River</v>
      </c>
      <c r="K1824" t="str">
        <f>IFERROR(VLOOKUP(J1824,LUTs!$A$1:$C$73,2,FALSE),"NA")</f>
        <v>Snohomish</v>
      </c>
      <c r="L1824" t="str">
        <f>IFERROR(VLOOKUP(J1824,LUTs!$A$1:$C$73,3,FALSE),"NA")</f>
        <v>2Central Puget Sound</v>
      </c>
      <c r="M1824" s="72" t="s">
        <v>16</v>
      </c>
      <c r="N1824" t="str">
        <f>VLOOKUP(M1824,LUTs!E$2:H$14,3,)</f>
        <v>03Snohomish</v>
      </c>
      <c r="O1824" t="str">
        <f>VLOOKUP(M1824,LUTs!E$2:H$14,4,)</f>
        <v>01North Puget Sound</v>
      </c>
      <c r="P1824" s="80">
        <v>119.846153846154</v>
      </c>
      <c r="Q1824" s="103">
        <v>59.923076923076898</v>
      </c>
      <c r="R1824" s="74">
        <f>VLOOKUP(B1824,Readme!A$40:C$52,3,)*Q1824</f>
        <v>1111.5730769230765</v>
      </c>
    </row>
    <row r="1825" spans="1:18" ht="12" customHeight="1" x14ac:dyDescent="0.35">
      <c r="A1825" s="75">
        <v>1815</v>
      </c>
      <c r="B1825" s="80">
        <v>2017</v>
      </c>
      <c r="C1825" s="80">
        <v>1</v>
      </c>
      <c r="D1825" s="80">
        <f t="shared" si="102"/>
        <v>2016</v>
      </c>
      <c r="E1825" t="s">
        <v>38</v>
      </c>
      <c r="F1825" t="s">
        <v>143</v>
      </c>
      <c r="G1825" t="s">
        <v>86</v>
      </c>
      <c r="H1825" s="72" t="s">
        <v>250</v>
      </c>
      <c r="I1825" s="72" t="s">
        <v>101</v>
      </c>
      <c r="J1825" t="str">
        <f t="shared" si="103"/>
        <v>Tokul Creek</v>
      </c>
      <c r="K1825" t="str">
        <f>IFERROR(VLOOKUP(J1825,LUTs!$A$1:$C$73,2,FALSE),"NA")</f>
        <v>King</v>
      </c>
      <c r="L1825" t="str">
        <f>IFERROR(VLOOKUP(J1825,LUTs!$A$1:$C$73,3,FALSE),"NA")</f>
        <v>2Central Puget Sound</v>
      </c>
      <c r="M1825" s="72" t="s">
        <v>18</v>
      </c>
      <c r="N1825" t="str">
        <f>VLOOKUP(M1825,LUTs!E$2:H$14,3,)</f>
        <v>06King</v>
      </c>
      <c r="O1825" t="str">
        <f>VLOOKUP(M1825,LUTs!E$2:H$14,4,)</f>
        <v>02South Puget Sound</v>
      </c>
      <c r="P1825" s="80">
        <v>6</v>
      </c>
      <c r="Q1825" s="103">
        <v>3</v>
      </c>
      <c r="R1825" s="74">
        <f>VLOOKUP(B1825,Readme!A$40:C$52,3,)*Q1825</f>
        <v>55.650000000000006</v>
      </c>
    </row>
    <row r="1826" spans="1:18" ht="12" customHeight="1" x14ac:dyDescent="0.35">
      <c r="A1826" s="75">
        <v>1816</v>
      </c>
      <c r="B1826" s="80">
        <v>2017</v>
      </c>
      <c r="C1826" s="80">
        <v>1</v>
      </c>
      <c r="D1826" s="80">
        <f t="shared" si="102"/>
        <v>2016</v>
      </c>
      <c r="E1826" t="s">
        <v>38</v>
      </c>
      <c r="F1826" t="s">
        <v>143</v>
      </c>
      <c r="G1826" t="s">
        <v>86</v>
      </c>
      <c r="H1826" s="72" t="s">
        <v>250</v>
      </c>
      <c r="I1826" s="72" t="s">
        <v>101</v>
      </c>
      <c r="J1826" t="str">
        <f t="shared" si="103"/>
        <v>Tokul Creek</v>
      </c>
      <c r="K1826" t="str">
        <f>IFERROR(VLOOKUP(J1826,LUTs!$A$1:$C$73,2,FALSE),"NA")</f>
        <v>King</v>
      </c>
      <c r="L1826" t="str">
        <f>IFERROR(VLOOKUP(J1826,LUTs!$A$1:$C$73,3,FALSE),"NA")</f>
        <v>2Central Puget Sound</v>
      </c>
      <c r="M1826" s="72" t="s">
        <v>26</v>
      </c>
      <c r="N1826" t="str">
        <f>VLOOKUP(M1826,LUTs!E$2:H$14,3,)</f>
        <v>20Other</v>
      </c>
      <c r="O1826" t="str">
        <f>VLOOKUP(M1826,LUTs!E$2:H$14,4,)</f>
        <v>07Non Puget Sound</v>
      </c>
      <c r="P1826" s="80">
        <v>6</v>
      </c>
      <c r="Q1826" s="103">
        <v>3</v>
      </c>
      <c r="R1826" s="74">
        <f>VLOOKUP(B1826,Readme!A$40:C$52,3,)*Q1826</f>
        <v>55.650000000000006</v>
      </c>
    </row>
    <row r="1827" spans="1:18" ht="12" customHeight="1" x14ac:dyDescent="0.35">
      <c r="A1827" s="75">
        <v>1823</v>
      </c>
      <c r="B1827" s="80">
        <v>2017</v>
      </c>
      <c r="C1827" s="80">
        <v>1</v>
      </c>
      <c r="D1827" s="80">
        <f t="shared" si="102"/>
        <v>2016</v>
      </c>
      <c r="E1827" t="s">
        <v>38</v>
      </c>
      <c r="F1827" t="s">
        <v>143</v>
      </c>
      <c r="G1827" t="s">
        <v>86</v>
      </c>
      <c r="H1827" s="72" t="s">
        <v>233</v>
      </c>
      <c r="I1827" s="72" t="s">
        <v>76</v>
      </c>
      <c r="J1827" t="str">
        <f t="shared" si="103"/>
        <v>Wallace River</v>
      </c>
      <c r="K1827" t="str">
        <f>IFERROR(VLOOKUP(J1827,LUTs!$A$1:$C$73,2,FALSE),"NA")</f>
        <v>Snohomish</v>
      </c>
      <c r="L1827" t="str">
        <f>IFERROR(VLOOKUP(J1827,LUTs!$A$1:$C$73,3,FALSE),"NA")</f>
        <v>2Central Puget Sound</v>
      </c>
      <c r="M1827" s="72" t="s">
        <v>16</v>
      </c>
      <c r="N1827" t="str">
        <f>VLOOKUP(M1827,LUTs!E$2:H$14,3,)</f>
        <v>03Snohomish</v>
      </c>
      <c r="O1827" t="str">
        <f>VLOOKUP(M1827,LUTs!E$2:H$14,4,)</f>
        <v>01North Puget Sound</v>
      </c>
      <c r="P1827" s="80">
        <v>56</v>
      </c>
      <c r="Q1827" s="103">
        <v>28</v>
      </c>
      <c r="R1827" s="74">
        <f>VLOOKUP(B1827,Readme!A$40:C$52,3,)*Q1827</f>
        <v>519.4</v>
      </c>
    </row>
    <row r="1828" spans="1:18" ht="12" customHeight="1" x14ac:dyDescent="0.35">
      <c r="A1828" s="75">
        <v>1760</v>
      </c>
      <c r="B1828" s="80">
        <v>2017</v>
      </c>
      <c r="C1828" s="80">
        <v>1</v>
      </c>
      <c r="D1828" s="80">
        <f t="shared" si="102"/>
        <v>2016</v>
      </c>
      <c r="E1828" t="s">
        <v>38</v>
      </c>
      <c r="F1828" t="s">
        <v>143</v>
      </c>
      <c r="G1828" t="s">
        <v>86</v>
      </c>
      <c r="H1828" s="72" t="s">
        <v>242</v>
      </c>
      <c r="I1828" s="72" t="s">
        <v>85</v>
      </c>
      <c r="J1828" t="str">
        <f t="shared" si="103"/>
        <v>White (Stuck) River</v>
      </c>
      <c r="K1828" t="str">
        <f>IFERROR(VLOOKUP(J1828,LUTs!$A$1:$C$73,2,FALSE),"NA")</f>
        <v>Pierce</v>
      </c>
      <c r="L1828" t="str">
        <f>IFERROR(VLOOKUP(J1828,LUTs!$A$1:$C$73,3,FALSE),"NA")</f>
        <v>3South Puget Sound</v>
      </c>
      <c r="M1828" s="72" t="s">
        <v>20</v>
      </c>
      <c r="N1828" t="str">
        <f>VLOOKUP(M1828,LUTs!E$2:H$14,3,)</f>
        <v>07Pierce</v>
      </c>
      <c r="O1828" t="str">
        <f>VLOOKUP(M1828,LUTs!E$2:H$14,4,)</f>
        <v>02South Puget Sound</v>
      </c>
      <c r="P1828" s="80">
        <v>10</v>
      </c>
      <c r="Q1828" s="103">
        <v>5</v>
      </c>
      <c r="R1828" s="74">
        <f>VLOOKUP(B1828,Readme!A$40:C$52,3,)*Q1828</f>
        <v>92.75</v>
      </c>
    </row>
    <row r="1829" spans="1:18" ht="12" customHeight="1" x14ac:dyDescent="0.35">
      <c r="A1829" s="75">
        <v>1758</v>
      </c>
      <c r="B1829" s="80">
        <v>2017</v>
      </c>
      <c r="C1829" s="80">
        <v>2</v>
      </c>
      <c r="D1829" s="80">
        <f t="shared" si="102"/>
        <v>2016</v>
      </c>
      <c r="E1829" t="s">
        <v>38</v>
      </c>
      <c r="F1829" t="s">
        <v>143</v>
      </c>
      <c r="G1829" t="s">
        <v>86</v>
      </c>
      <c r="H1829" s="72" t="s">
        <v>204</v>
      </c>
      <c r="I1829" s="72" t="s">
        <v>46</v>
      </c>
      <c r="J1829" t="str">
        <f t="shared" si="103"/>
        <v>Hoko River</v>
      </c>
      <c r="K1829" t="str">
        <f>IFERROR(VLOOKUP(J1829,LUTs!$A$1:$C$73,2,FALSE),"NA")</f>
        <v>Clallam</v>
      </c>
      <c r="L1829" t="str">
        <f>IFERROR(VLOOKUP(J1829,LUTs!$A$1:$C$73,3,FALSE),"NA")</f>
        <v>0Strait of Juan de Fuca</v>
      </c>
      <c r="M1829" s="72" t="s">
        <v>24</v>
      </c>
      <c r="N1829" t="str">
        <f>VLOOKUP(M1829,LUTs!E$2:H$14,3,)</f>
        <v>11Clallam</v>
      </c>
      <c r="O1829" t="str">
        <f>VLOOKUP(M1829,LUTs!E$2:H$14,4,)</f>
        <v>03Strait of Juan de Fuca</v>
      </c>
      <c r="P1829" s="80">
        <v>10</v>
      </c>
      <c r="Q1829" s="103">
        <v>5</v>
      </c>
      <c r="R1829" s="74">
        <f>VLOOKUP(B1829,Readme!A$40:C$52,3,)*Q1829</f>
        <v>92.75</v>
      </c>
    </row>
    <row r="1830" spans="1:18" ht="12" customHeight="1" x14ac:dyDescent="0.35">
      <c r="A1830" s="75">
        <v>1804</v>
      </c>
      <c r="B1830" s="80">
        <v>2017</v>
      </c>
      <c r="C1830" s="80">
        <v>2</v>
      </c>
      <c r="D1830" s="80">
        <f t="shared" si="102"/>
        <v>2016</v>
      </c>
      <c r="E1830" t="s">
        <v>38</v>
      </c>
      <c r="F1830" t="s">
        <v>143</v>
      </c>
      <c r="G1830" t="s">
        <v>86</v>
      </c>
      <c r="H1830" s="72" t="s">
        <v>220</v>
      </c>
      <c r="I1830" s="72" t="s">
        <v>62</v>
      </c>
      <c r="J1830" t="str">
        <f t="shared" si="103"/>
        <v>Skykomish River</v>
      </c>
      <c r="K1830" t="str">
        <f>IFERROR(VLOOKUP(J1830,LUTs!$A$1:$C$73,2,FALSE),"NA")</f>
        <v>Snohomish</v>
      </c>
      <c r="L1830" t="str">
        <f>IFERROR(VLOOKUP(J1830,LUTs!$A$1:$C$73,3,FALSE),"NA")</f>
        <v>2Central Puget Sound</v>
      </c>
      <c r="M1830" s="72" t="s">
        <v>18</v>
      </c>
      <c r="N1830" t="str">
        <f>VLOOKUP(M1830,LUTs!E$2:H$14,3,)</f>
        <v>06King</v>
      </c>
      <c r="O1830" t="str">
        <f>VLOOKUP(M1830,LUTs!E$2:H$14,4,)</f>
        <v>02South Puget Sound</v>
      </c>
      <c r="P1830" s="80">
        <v>12.5714285714286</v>
      </c>
      <c r="Q1830" s="103">
        <v>6.28571428571429</v>
      </c>
      <c r="R1830" s="74">
        <f>VLOOKUP(B1830,Readme!A$40:C$52,3,)*Q1830</f>
        <v>116.60000000000008</v>
      </c>
    </row>
    <row r="1831" spans="1:18" ht="12" customHeight="1" x14ac:dyDescent="0.35">
      <c r="A1831" s="75">
        <v>1805</v>
      </c>
      <c r="B1831" s="80">
        <v>2017</v>
      </c>
      <c r="C1831" s="80">
        <v>2</v>
      </c>
      <c r="D1831" s="80">
        <f t="shared" si="102"/>
        <v>2016</v>
      </c>
      <c r="E1831" t="s">
        <v>38</v>
      </c>
      <c r="F1831" t="s">
        <v>143</v>
      </c>
      <c r="G1831" t="s">
        <v>86</v>
      </c>
      <c r="H1831" s="72" t="s">
        <v>220</v>
      </c>
      <c r="I1831" s="72" t="s">
        <v>62</v>
      </c>
      <c r="J1831" t="str">
        <f t="shared" si="103"/>
        <v>Skykomish River</v>
      </c>
      <c r="K1831" t="str">
        <f>IFERROR(VLOOKUP(J1831,LUTs!$A$1:$C$73,2,FALSE),"NA")</f>
        <v>Snohomish</v>
      </c>
      <c r="L1831" t="str">
        <f>IFERROR(VLOOKUP(J1831,LUTs!$A$1:$C$73,3,FALSE),"NA")</f>
        <v>2Central Puget Sound</v>
      </c>
      <c r="M1831" s="72" t="s">
        <v>16</v>
      </c>
      <c r="N1831" t="str">
        <f>VLOOKUP(M1831,LUTs!E$2:H$14,3,)</f>
        <v>03Snohomish</v>
      </c>
      <c r="O1831" t="str">
        <f>VLOOKUP(M1831,LUTs!E$2:H$14,4,)</f>
        <v>01North Puget Sound</v>
      </c>
      <c r="P1831" s="80">
        <v>31.428571428571399</v>
      </c>
      <c r="Q1831" s="103">
        <v>15.714285714285699</v>
      </c>
      <c r="R1831" s="74">
        <f>VLOOKUP(B1831,Readme!A$40:C$52,3,)*Q1831</f>
        <v>291.49999999999972</v>
      </c>
    </row>
    <row r="1832" spans="1:18" ht="12" customHeight="1" x14ac:dyDescent="0.35">
      <c r="A1832" s="75">
        <v>1824</v>
      </c>
      <c r="B1832" s="80">
        <v>2017</v>
      </c>
      <c r="C1832" s="80">
        <v>2</v>
      </c>
      <c r="D1832" s="80">
        <f t="shared" si="102"/>
        <v>2016</v>
      </c>
      <c r="E1832" t="s">
        <v>38</v>
      </c>
      <c r="F1832" t="s">
        <v>143</v>
      </c>
      <c r="G1832" t="s">
        <v>86</v>
      </c>
      <c r="H1832" s="72" t="s">
        <v>233</v>
      </c>
      <c r="I1832" s="72" t="s">
        <v>76</v>
      </c>
      <c r="J1832" t="str">
        <f t="shared" si="103"/>
        <v>Wallace River</v>
      </c>
      <c r="K1832" t="str">
        <f>IFERROR(VLOOKUP(J1832,LUTs!$A$1:$C$73,2,FALSE),"NA")</f>
        <v>Snohomish</v>
      </c>
      <c r="L1832" t="str">
        <f>IFERROR(VLOOKUP(J1832,LUTs!$A$1:$C$73,3,FALSE),"NA")</f>
        <v>2Central Puget Sound</v>
      </c>
      <c r="M1832" s="72" t="s">
        <v>17</v>
      </c>
      <c r="N1832" t="str">
        <f>VLOOKUP(M1832,LUTs!E$2:H$14,3,)</f>
        <v>04Island</v>
      </c>
      <c r="O1832" t="str">
        <f>VLOOKUP(M1832,LUTs!E$2:H$14,4,)</f>
        <v>01North Puget Sound</v>
      </c>
      <c r="P1832" s="80">
        <v>6.3333333333333401</v>
      </c>
      <c r="Q1832" s="103">
        <v>3.1666666666666701</v>
      </c>
      <c r="R1832" s="74">
        <f>VLOOKUP(B1832,Readme!A$40:C$52,3,)*Q1832</f>
        <v>58.741666666666731</v>
      </c>
    </row>
    <row r="1833" spans="1:18" ht="12" customHeight="1" x14ac:dyDescent="0.35">
      <c r="A1833" s="75">
        <v>1825</v>
      </c>
      <c r="B1833" s="80">
        <v>2017</v>
      </c>
      <c r="C1833" s="80">
        <v>2</v>
      </c>
      <c r="D1833" s="80">
        <f t="shared" si="102"/>
        <v>2016</v>
      </c>
      <c r="E1833" t="s">
        <v>38</v>
      </c>
      <c r="F1833" t="s">
        <v>143</v>
      </c>
      <c r="G1833" t="s">
        <v>86</v>
      </c>
      <c r="H1833" s="72" t="s">
        <v>233</v>
      </c>
      <c r="I1833" s="72" t="s">
        <v>76</v>
      </c>
      <c r="J1833" t="str">
        <f t="shared" si="103"/>
        <v>Wallace River</v>
      </c>
      <c r="K1833" t="str">
        <f>IFERROR(VLOOKUP(J1833,LUTs!$A$1:$C$73,2,FALSE),"NA")</f>
        <v>Snohomish</v>
      </c>
      <c r="L1833" t="str">
        <f>IFERROR(VLOOKUP(J1833,LUTs!$A$1:$C$73,3,FALSE),"NA")</f>
        <v>2Central Puget Sound</v>
      </c>
      <c r="M1833" s="72" t="s">
        <v>18</v>
      </c>
      <c r="N1833" t="str">
        <f>VLOOKUP(M1833,LUTs!E$2:H$14,3,)</f>
        <v>06King</v>
      </c>
      <c r="O1833" t="str">
        <f>VLOOKUP(M1833,LUTs!E$2:H$14,4,)</f>
        <v>02South Puget Sound</v>
      </c>
      <c r="P1833" s="80">
        <v>6.3333333333333401</v>
      </c>
      <c r="Q1833" s="103">
        <v>3.1666666666666701</v>
      </c>
      <c r="R1833" s="74">
        <f>VLOOKUP(B1833,Readme!A$40:C$52,3,)*Q1833</f>
        <v>58.741666666666731</v>
      </c>
    </row>
    <row r="1834" spans="1:18" ht="12" customHeight="1" x14ac:dyDescent="0.35">
      <c r="A1834" s="75">
        <v>1826</v>
      </c>
      <c r="B1834" s="80">
        <v>2017</v>
      </c>
      <c r="C1834" s="80">
        <v>2</v>
      </c>
      <c r="D1834" s="80">
        <f t="shared" si="102"/>
        <v>2016</v>
      </c>
      <c r="E1834" t="s">
        <v>38</v>
      </c>
      <c r="F1834" t="s">
        <v>143</v>
      </c>
      <c r="G1834" t="s">
        <v>86</v>
      </c>
      <c r="H1834" s="72" t="s">
        <v>233</v>
      </c>
      <c r="I1834" s="72" t="s">
        <v>76</v>
      </c>
      <c r="J1834" t="str">
        <f t="shared" si="103"/>
        <v>Wallace River</v>
      </c>
      <c r="K1834" t="str">
        <f>IFERROR(VLOOKUP(J1834,LUTs!$A$1:$C$73,2,FALSE),"NA")</f>
        <v>Snohomish</v>
      </c>
      <c r="L1834" t="str">
        <f>IFERROR(VLOOKUP(J1834,LUTs!$A$1:$C$73,3,FALSE),"NA")</f>
        <v>2Central Puget Sound</v>
      </c>
      <c r="M1834" s="72" t="s">
        <v>16</v>
      </c>
      <c r="N1834" t="str">
        <f>VLOOKUP(M1834,LUTs!E$2:H$14,3,)</f>
        <v>03Snohomish</v>
      </c>
      <c r="O1834" t="str">
        <f>VLOOKUP(M1834,LUTs!E$2:H$14,4,)</f>
        <v>01North Puget Sound</v>
      </c>
      <c r="P1834" s="80">
        <v>25.3333333333333</v>
      </c>
      <c r="Q1834" s="103">
        <v>12.6666666666667</v>
      </c>
      <c r="R1834" s="74">
        <f>VLOOKUP(B1834,Readme!A$40:C$52,3,)*Q1834</f>
        <v>234.96666666666729</v>
      </c>
    </row>
    <row r="1835" spans="1:18" ht="12" customHeight="1" x14ac:dyDescent="0.35">
      <c r="A1835" s="75">
        <v>1954</v>
      </c>
      <c r="B1835" s="80">
        <v>2017</v>
      </c>
      <c r="C1835" s="80">
        <v>4</v>
      </c>
      <c r="D1835" s="80">
        <f t="shared" si="102"/>
        <v>2017</v>
      </c>
      <c r="E1835" t="s">
        <v>38</v>
      </c>
      <c r="F1835" t="s">
        <v>143</v>
      </c>
      <c r="G1835" t="s">
        <v>86</v>
      </c>
      <c r="H1835" s="72" t="s">
        <v>254</v>
      </c>
      <c r="I1835" s="72" t="s">
        <v>33</v>
      </c>
      <c r="J1835" t="str">
        <f t="shared" si="103"/>
        <v>Area 9: Admiralty Inlet</v>
      </c>
      <c r="K1835" t="str">
        <f>IFERROR(VLOOKUP(J1835,LUTs!$A$1:$C$73,2,FALSE),"NA")</f>
        <v>NA</v>
      </c>
      <c r="L1835" t="str">
        <f>IFERROR(VLOOKUP(J1835,LUTs!$A$1:$C$73,3,FALSE),"NA")</f>
        <v>2Central Puget Sound</v>
      </c>
      <c r="M1835" s="72" t="s">
        <v>18</v>
      </c>
      <c r="N1835" t="str">
        <f>VLOOKUP(M1835,LUTs!E$2:H$14,3,)</f>
        <v>06King</v>
      </c>
      <c r="O1835" t="str">
        <f>VLOOKUP(M1835,LUTs!E$2:H$14,4,)</f>
        <v>02South Puget Sound</v>
      </c>
      <c r="P1835" s="80">
        <v>10</v>
      </c>
      <c r="Q1835" s="103">
        <v>5</v>
      </c>
      <c r="R1835" s="74">
        <f>VLOOKUP(B1835,Readme!A$40:C$52,3,)*Q1835</f>
        <v>92.75</v>
      </c>
    </row>
    <row r="1836" spans="1:18" ht="12" customHeight="1" x14ac:dyDescent="0.35">
      <c r="A1836" s="75">
        <v>1836</v>
      </c>
      <c r="B1836" s="80">
        <v>2017</v>
      </c>
      <c r="C1836" s="80">
        <v>6</v>
      </c>
      <c r="D1836" s="80">
        <f t="shared" si="102"/>
        <v>2017</v>
      </c>
      <c r="E1836" t="s">
        <v>38</v>
      </c>
      <c r="F1836" t="s">
        <v>143</v>
      </c>
      <c r="G1836" t="s">
        <v>86</v>
      </c>
      <c r="H1836" s="72" t="s">
        <v>203</v>
      </c>
      <c r="I1836" s="72" t="s">
        <v>89</v>
      </c>
      <c r="J1836" s="84" t="s">
        <v>45</v>
      </c>
      <c r="K1836" t="str">
        <f>IFERROR(VLOOKUP(J1836,LUTs!$A$1:$C$73,2,FALSE),"NA")</f>
        <v>King</v>
      </c>
      <c r="L1836" t="str">
        <f>IFERROR(VLOOKUP(J1836,LUTs!$A$1:$C$73,3,FALSE),"NA")</f>
        <v>3South Puget Sound</v>
      </c>
      <c r="M1836" s="72" t="s">
        <v>18</v>
      </c>
      <c r="N1836" t="str">
        <f>VLOOKUP(M1836,LUTs!E$2:H$14,3,)</f>
        <v>06King</v>
      </c>
      <c r="O1836" t="str">
        <f>VLOOKUP(M1836,LUTs!E$2:H$14,4,)</f>
        <v>02South Puget Sound</v>
      </c>
      <c r="P1836" s="80">
        <v>84.3333333333333</v>
      </c>
      <c r="Q1836" s="103">
        <v>42.1666666666667</v>
      </c>
      <c r="R1836" s="74">
        <f>VLOOKUP(B1836,Readme!A$40:C$52,3,)*Q1836</f>
        <v>782.19166666666729</v>
      </c>
    </row>
    <row r="1837" spans="1:18" ht="12" customHeight="1" x14ac:dyDescent="0.35">
      <c r="A1837" s="75">
        <v>1837</v>
      </c>
      <c r="B1837" s="80">
        <v>2017</v>
      </c>
      <c r="C1837" s="80">
        <v>6</v>
      </c>
      <c r="D1837" s="80">
        <f t="shared" si="102"/>
        <v>2017</v>
      </c>
      <c r="E1837" t="s">
        <v>38</v>
      </c>
      <c r="F1837" t="s">
        <v>143</v>
      </c>
      <c r="G1837" t="s">
        <v>86</v>
      </c>
      <c r="H1837" s="72" t="s">
        <v>203</v>
      </c>
      <c r="I1837" s="72" t="s">
        <v>89</v>
      </c>
      <c r="J1837" s="84" t="s">
        <v>45</v>
      </c>
      <c r="K1837" t="str">
        <f>IFERROR(VLOOKUP(J1837,LUTs!$A$1:$C$73,2,FALSE),"NA")</f>
        <v>King</v>
      </c>
      <c r="L1837" t="str">
        <f>IFERROR(VLOOKUP(J1837,LUTs!$A$1:$C$73,3,FALSE),"NA")</f>
        <v>3South Puget Sound</v>
      </c>
      <c r="M1837" s="72" t="s">
        <v>20</v>
      </c>
      <c r="N1837" t="str">
        <f>VLOOKUP(M1837,LUTs!E$2:H$14,3,)</f>
        <v>07Pierce</v>
      </c>
      <c r="O1837" t="str">
        <f>VLOOKUP(M1837,LUTs!E$2:H$14,4,)</f>
        <v>02South Puget Sound</v>
      </c>
      <c r="P1837" s="80">
        <v>7.6666666666666696</v>
      </c>
      <c r="Q1837" s="103">
        <v>3.8333333333333299</v>
      </c>
      <c r="R1837" s="74">
        <f>VLOOKUP(B1837,Readme!A$40:C$52,3,)*Q1837</f>
        <v>71.108333333333277</v>
      </c>
    </row>
    <row r="1838" spans="1:18" ht="12" customHeight="1" x14ac:dyDescent="0.35">
      <c r="A1838" s="75">
        <v>1950</v>
      </c>
      <c r="B1838" s="80">
        <v>2017</v>
      </c>
      <c r="C1838" s="80">
        <v>6</v>
      </c>
      <c r="D1838" s="80">
        <f t="shared" si="102"/>
        <v>2017</v>
      </c>
      <c r="E1838" t="s">
        <v>38</v>
      </c>
      <c r="F1838" t="s">
        <v>143</v>
      </c>
      <c r="G1838" t="s">
        <v>86</v>
      </c>
      <c r="H1838" s="72" t="s">
        <v>262</v>
      </c>
      <c r="I1838" s="72" t="s">
        <v>105</v>
      </c>
      <c r="J1838" t="str">
        <f t="shared" ref="J1838:J1851" si="104">I1838</f>
        <v>Pilchuck Creek (Stillaguamish System)</v>
      </c>
      <c r="K1838" t="str">
        <f>IFERROR(VLOOKUP(J1838,LUTs!$A$1:$C$73,2,FALSE),"NA")</f>
        <v>Skagit/Snohomish</v>
      </c>
      <c r="L1838" t="str">
        <f>IFERROR(VLOOKUP(J1838,LUTs!$A$1:$C$73,3,FALSE),"NA")</f>
        <v>2Central Puget Sound</v>
      </c>
      <c r="M1838" s="72" t="s">
        <v>18</v>
      </c>
      <c r="N1838" t="str">
        <f>VLOOKUP(M1838,LUTs!E$2:H$14,3,)</f>
        <v>06King</v>
      </c>
      <c r="O1838" t="str">
        <f>VLOOKUP(M1838,LUTs!E$2:H$14,4,)</f>
        <v>02South Puget Sound</v>
      </c>
      <c r="P1838" s="80">
        <v>10</v>
      </c>
      <c r="Q1838" s="103">
        <v>5</v>
      </c>
      <c r="R1838" s="74">
        <f>VLOOKUP(B1838,Readme!A$40:C$52,3,)*Q1838</f>
        <v>92.75</v>
      </c>
    </row>
    <row r="1839" spans="1:18" ht="12" customHeight="1" x14ac:dyDescent="0.35">
      <c r="A1839" s="75">
        <v>1873</v>
      </c>
      <c r="B1839" s="80">
        <v>2017</v>
      </c>
      <c r="C1839" s="80">
        <v>6</v>
      </c>
      <c r="D1839" s="80">
        <f t="shared" si="102"/>
        <v>2017</v>
      </c>
      <c r="E1839" t="s">
        <v>38</v>
      </c>
      <c r="F1839" t="s">
        <v>143</v>
      </c>
      <c r="G1839" t="s">
        <v>86</v>
      </c>
      <c r="H1839" s="72" t="s">
        <v>220</v>
      </c>
      <c r="I1839" s="72" t="s">
        <v>62</v>
      </c>
      <c r="J1839" t="str">
        <f t="shared" si="104"/>
        <v>Skykomish River</v>
      </c>
      <c r="K1839" t="str">
        <f>IFERROR(VLOOKUP(J1839,LUTs!$A$1:$C$73,2,FALSE),"NA")</f>
        <v>Snohomish</v>
      </c>
      <c r="L1839" t="str">
        <f>IFERROR(VLOOKUP(J1839,LUTs!$A$1:$C$73,3,FALSE),"NA")</f>
        <v>2Central Puget Sound</v>
      </c>
      <c r="M1839" s="72" t="s">
        <v>17</v>
      </c>
      <c r="N1839" t="str">
        <f>VLOOKUP(M1839,LUTs!E$2:H$14,3,)</f>
        <v>04Island</v>
      </c>
      <c r="O1839" t="str">
        <f>VLOOKUP(M1839,LUTs!E$2:H$14,4,)</f>
        <v>01North Puget Sound</v>
      </c>
      <c r="P1839" s="80">
        <v>8.3351351351351397</v>
      </c>
      <c r="Q1839" s="103">
        <v>4.1675675675675699</v>
      </c>
      <c r="R1839" s="74">
        <f>VLOOKUP(B1839,Readme!A$40:C$52,3,)*Q1839</f>
        <v>77.308378378378421</v>
      </c>
    </row>
    <row r="1840" spans="1:18" ht="12" customHeight="1" x14ac:dyDescent="0.35">
      <c r="A1840" s="75">
        <v>1874</v>
      </c>
      <c r="B1840" s="80">
        <v>2017</v>
      </c>
      <c r="C1840" s="80">
        <v>6</v>
      </c>
      <c r="D1840" s="80">
        <f t="shared" si="102"/>
        <v>2017</v>
      </c>
      <c r="E1840" t="s">
        <v>38</v>
      </c>
      <c r="F1840" t="s">
        <v>143</v>
      </c>
      <c r="G1840" t="s">
        <v>86</v>
      </c>
      <c r="H1840" s="72" t="s">
        <v>220</v>
      </c>
      <c r="I1840" s="72" t="s">
        <v>62</v>
      </c>
      <c r="J1840" t="str">
        <f t="shared" si="104"/>
        <v>Skykomish River</v>
      </c>
      <c r="K1840" t="str">
        <f>IFERROR(VLOOKUP(J1840,LUTs!$A$1:$C$73,2,FALSE),"NA")</f>
        <v>Snohomish</v>
      </c>
      <c r="L1840" t="str">
        <f>IFERROR(VLOOKUP(J1840,LUTs!$A$1:$C$73,3,FALSE),"NA")</f>
        <v>2Central Puget Sound</v>
      </c>
      <c r="M1840" s="72" t="s">
        <v>18</v>
      </c>
      <c r="N1840" t="str">
        <f>VLOOKUP(M1840,LUTs!E$2:H$14,3,)</f>
        <v>06King</v>
      </c>
      <c r="O1840" t="str">
        <f>VLOOKUP(M1840,LUTs!E$2:H$14,4,)</f>
        <v>02South Puget Sound</v>
      </c>
      <c r="P1840" s="80">
        <v>758.497297297297</v>
      </c>
      <c r="Q1840" s="103">
        <v>379.24864864864901</v>
      </c>
      <c r="R1840" s="74">
        <f>VLOOKUP(B1840,Readme!A$40:C$52,3,)*Q1840</f>
        <v>7035.062432432439</v>
      </c>
    </row>
    <row r="1841" spans="1:18" ht="12" customHeight="1" x14ac:dyDescent="0.35">
      <c r="A1841" s="75">
        <v>1875</v>
      </c>
      <c r="B1841" s="80">
        <v>2017</v>
      </c>
      <c r="C1841" s="80">
        <v>6</v>
      </c>
      <c r="D1841" s="80">
        <f t="shared" si="102"/>
        <v>2017</v>
      </c>
      <c r="E1841" t="s">
        <v>38</v>
      </c>
      <c r="F1841" t="s">
        <v>143</v>
      </c>
      <c r="G1841" t="s">
        <v>86</v>
      </c>
      <c r="H1841" s="72" t="s">
        <v>220</v>
      </c>
      <c r="I1841" s="72" t="s">
        <v>62</v>
      </c>
      <c r="J1841" t="str">
        <f t="shared" si="104"/>
        <v>Skykomish River</v>
      </c>
      <c r="K1841" t="str">
        <f>IFERROR(VLOOKUP(J1841,LUTs!$A$1:$C$73,2,FALSE),"NA")</f>
        <v>Snohomish</v>
      </c>
      <c r="L1841" t="str">
        <f>IFERROR(VLOOKUP(J1841,LUTs!$A$1:$C$73,3,FALSE),"NA")</f>
        <v>2Central Puget Sound</v>
      </c>
      <c r="M1841" s="72" t="s">
        <v>26</v>
      </c>
      <c r="N1841" t="str">
        <f>VLOOKUP(M1841,LUTs!E$2:H$14,3,)</f>
        <v>20Other</v>
      </c>
      <c r="O1841" t="str">
        <f>VLOOKUP(M1841,LUTs!E$2:H$14,4,)</f>
        <v>07Non Puget Sound</v>
      </c>
      <c r="P1841" s="80">
        <v>41.675675675675699</v>
      </c>
      <c r="Q1841" s="103">
        <v>20.8378378378378</v>
      </c>
      <c r="R1841" s="74">
        <f>VLOOKUP(B1841,Readme!A$40:C$52,3,)*Q1841</f>
        <v>386.54189189189117</v>
      </c>
    </row>
    <row r="1842" spans="1:18" ht="12" customHeight="1" x14ac:dyDescent="0.35">
      <c r="A1842" s="75">
        <v>1876</v>
      </c>
      <c r="B1842" s="80">
        <v>2017</v>
      </c>
      <c r="C1842" s="80">
        <v>6</v>
      </c>
      <c r="D1842" s="80">
        <f t="shared" si="102"/>
        <v>2017</v>
      </c>
      <c r="E1842" t="s">
        <v>38</v>
      </c>
      <c r="F1842" t="s">
        <v>143</v>
      </c>
      <c r="G1842" t="s">
        <v>86</v>
      </c>
      <c r="H1842" s="72" t="s">
        <v>220</v>
      </c>
      <c r="I1842" s="72" t="s">
        <v>62</v>
      </c>
      <c r="J1842" t="str">
        <f t="shared" si="104"/>
        <v>Skykomish River</v>
      </c>
      <c r="K1842" t="str">
        <f>IFERROR(VLOOKUP(J1842,LUTs!$A$1:$C$73,2,FALSE),"NA")</f>
        <v>Snohomish</v>
      </c>
      <c r="L1842" t="str">
        <f>IFERROR(VLOOKUP(J1842,LUTs!$A$1:$C$73,3,FALSE),"NA")</f>
        <v>2Central Puget Sound</v>
      </c>
      <c r="M1842" s="72" t="s">
        <v>20</v>
      </c>
      <c r="N1842" t="str">
        <f>VLOOKUP(M1842,LUTs!E$2:H$14,3,)</f>
        <v>07Pierce</v>
      </c>
      <c r="O1842" t="str">
        <f>VLOOKUP(M1842,LUTs!E$2:H$14,4,)</f>
        <v>02South Puget Sound</v>
      </c>
      <c r="P1842" s="80">
        <v>33.340540540540601</v>
      </c>
      <c r="Q1842" s="103">
        <v>16.670270270270301</v>
      </c>
      <c r="R1842" s="74">
        <f>VLOOKUP(B1842,Readme!A$40:C$52,3,)*Q1842</f>
        <v>309.23351351351408</v>
      </c>
    </row>
    <row r="1843" spans="1:18" ht="12" customHeight="1" x14ac:dyDescent="0.35">
      <c r="A1843" s="75">
        <v>1877</v>
      </c>
      <c r="B1843" s="80">
        <v>2017</v>
      </c>
      <c r="C1843" s="80">
        <v>6</v>
      </c>
      <c r="D1843" s="80">
        <f t="shared" si="102"/>
        <v>2017</v>
      </c>
      <c r="E1843" t="s">
        <v>38</v>
      </c>
      <c r="F1843" t="s">
        <v>143</v>
      </c>
      <c r="G1843" t="s">
        <v>86</v>
      </c>
      <c r="H1843" s="72" t="s">
        <v>220</v>
      </c>
      <c r="I1843" s="72" t="s">
        <v>62</v>
      </c>
      <c r="J1843" t="str">
        <f t="shared" si="104"/>
        <v>Skykomish River</v>
      </c>
      <c r="K1843" t="str">
        <f>IFERROR(VLOOKUP(J1843,LUTs!$A$1:$C$73,2,FALSE),"NA")</f>
        <v>Snohomish</v>
      </c>
      <c r="L1843" t="str">
        <f>IFERROR(VLOOKUP(J1843,LUTs!$A$1:$C$73,3,FALSE),"NA")</f>
        <v>2Central Puget Sound</v>
      </c>
      <c r="M1843" s="72" t="s">
        <v>15</v>
      </c>
      <c r="N1843" t="str">
        <f>VLOOKUP(M1843,LUTs!E$2:H$14,3,)</f>
        <v>02Skagit</v>
      </c>
      <c r="O1843" t="str">
        <f>VLOOKUP(M1843,LUTs!E$2:H$14,4,)</f>
        <v>01North Puget Sound</v>
      </c>
      <c r="P1843" s="80">
        <v>8.3351351351351397</v>
      </c>
      <c r="Q1843" s="103">
        <v>4.1675675675675699</v>
      </c>
      <c r="R1843" s="74">
        <f>VLOOKUP(B1843,Readme!A$40:C$52,3,)*Q1843</f>
        <v>77.308378378378421</v>
      </c>
    </row>
    <row r="1844" spans="1:18" ht="12" customHeight="1" x14ac:dyDescent="0.35">
      <c r="A1844" s="75">
        <v>1878</v>
      </c>
      <c r="B1844" s="80">
        <v>2017</v>
      </c>
      <c r="C1844" s="80">
        <v>6</v>
      </c>
      <c r="D1844" s="80">
        <f t="shared" si="102"/>
        <v>2017</v>
      </c>
      <c r="E1844" t="s">
        <v>38</v>
      </c>
      <c r="F1844" t="s">
        <v>143</v>
      </c>
      <c r="G1844" t="s">
        <v>86</v>
      </c>
      <c r="H1844" s="72" t="s">
        <v>220</v>
      </c>
      <c r="I1844" s="72" t="s">
        <v>62</v>
      </c>
      <c r="J1844" t="str">
        <f t="shared" si="104"/>
        <v>Skykomish River</v>
      </c>
      <c r="K1844" t="str">
        <f>IFERROR(VLOOKUP(J1844,LUTs!$A$1:$C$73,2,FALSE),"NA")</f>
        <v>Snohomish</v>
      </c>
      <c r="L1844" t="str">
        <f>IFERROR(VLOOKUP(J1844,LUTs!$A$1:$C$73,3,FALSE),"NA")</f>
        <v>2Central Puget Sound</v>
      </c>
      <c r="M1844" s="72" t="s">
        <v>16</v>
      </c>
      <c r="N1844" t="str">
        <f>VLOOKUP(M1844,LUTs!E$2:H$14,3,)</f>
        <v>03Snohomish</v>
      </c>
      <c r="O1844" t="str">
        <f>VLOOKUP(M1844,LUTs!E$2:H$14,4,)</f>
        <v>01North Puget Sound</v>
      </c>
      <c r="P1844" s="80">
        <v>683.48108108108102</v>
      </c>
      <c r="Q1844" s="103">
        <v>341.74054054054102</v>
      </c>
      <c r="R1844" s="74">
        <f>VLOOKUP(B1844,Readme!A$40:C$52,3,)*Q1844</f>
        <v>6339.2870270270359</v>
      </c>
    </row>
    <row r="1845" spans="1:18" ht="12" customHeight="1" x14ac:dyDescent="0.35">
      <c r="A1845" s="75">
        <v>1879</v>
      </c>
      <c r="B1845" s="80">
        <v>2017</v>
      </c>
      <c r="C1845" s="80">
        <v>6</v>
      </c>
      <c r="D1845" s="80">
        <f t="shared" si="102"/>
        <v>2017</v>
      </c>
      <c r="E1845" t="s">
        <v>38</v>
      </c>
      <c r="F1845" t="s">
        <v>143</v>
      </c>
      <c r="G1845" t="s">
        <v>86</v>
      </c>
      <c r="H1845" s="72" t="s">
        <v>220</v>
      </c>
      <c r="I1845" s="72" t="s">
        <v>62</v>
      </c>
      <c r="J1845" t="str">
        <f t="shared" si="104"/>
        <v>Skykomish River</v>
      </c>
      <c r="K1845" t="str">
        <f>IFERROR(VLOOKUP(J1845,LUTs!$A$1:$C$73,2,FALSE),"NA")</f>
        <v>Snohomish</v>
      </c>
      <c r="L1845" t="str">
        <f>IFERROR(VLOOKUP(J1845,LUTs!$A$1:$C$73,3,FALSE),"NA")</f>
        <v>2Central Puget Sound</v>
      </c>
      <c r="M1845" s="72" t="s">
        <v>21</v>
      </c>
      <c r="N1845" t="str">
        <f>VLOOKUP(M1845,LUTs!E$2:H$14,3,)</f>
        <v>08Thurston</v>
      </c>
      <c r="O1845" t="str">
        <f>VLOOKUP(M1845,LUTs!E$2:H$14,4,)</f>
        <v>02South Puget Sound</v>
      </c>
      <c r="P1845" s="80">
        <v>8.3351351351351397</v>
      </c>
      <c r="Q1845" s="103">
        <v>4.1675675675675699</v>
      </c>
      <c r="R1845" s="74">
        <f>VLOOKUP(B1845,Readme!A$40:C$52,3,)*Q1845</f>
        <v>77.308378378378421</v>
      </c>
    </row>
    <row r="1846" spans="1:18" ht="12" customHeight="1" x14ac:dyDescent="0.35">
      <c r="A1846" s="75">
        <v>1904</v>
      </c>
      <c r="B1846" s="80">
        <v>2017</v>
      </c>
      <c r="C1846" s="80">
        <v>6</v>
      </c>
      <c r="D1846" s="80">
        <f t="shared" si="102"/>
        <v>2017</v>
      </c>
      <c r="E1846" t="s">
        <v>38</v>
      </c>
      <c r="F1846" t="s">
        <v>143</v>
      </c>
      <c r="G1846" t="s">
        <v>86</v>
      </c>
      <c r="H1846" s="72" t="s">
        <v>247</v>
      </c>
      <c r="I1846" s="72" t="s">
        <v>98</v>
      </c>
      <c r="J1846" t="str">
        <f t="shared" si="104"/>
        <v>Skykomish River, No. Fork</v>
      </c>
      <c r="K1846" t="str">
        <f>IFERROR(VLOOKUP(J1846,LUTs!$A$1:$C$73,2,FALSE),"NA")</f>
        <v>Snohomish</v>
      </c>
      <c r="L1846" t="str">
        <f>IFERROR(VLOOKUP(J1846,LUTs!$A$1:$C$73,3,FALSE),"NA")</f>
        <v>2Central Puget Sound</v>
      </c>
      <c r="M1846" s="72" t="s">
        <v>16</v>
      </c>
      <c r="N1846" t="str">
        <f>VLOOKUP(M1846,LUTs!E$2:H$14,3,)</f>
        <v>03Snohomish</v>
      </c>
      <c r="O1846" t="str">
        <f>VLOOKUP(M1846,LUTs!E$2:H$14,4,)</f>
        <v>01North Puget Sound</v>
      </c>
      <c r="P1846" s="80">
        <v>16</v>
      </c>
      <c r="Q1846" s="103">
        <v>8</v>
      </c>
      <c r="R1846" s="74">
        <f>VLOOKUP(B1846,Readme!A$40:C$52,3,)*Q1846</f>
        <v>148.4</v>
      </c>
    </row>
    <row r="1847" spans="1:18" ht="12" customHeight="1" x14ac:dyDescent="0.35">
      <c r="A1847" s="75">
        <v>1909</v>
      </c>
      <c r="B1847" s="80">
        <v>2017</v>
      </c>
      <c r="C1847" s="80">
        <v>6</v>
      </c>
      <c r="D1847" s="80">
        <f t="shared" si="102"/>
        <v>2017</v>
      </c>
      <c r="E1847" t="s">
        <v>38</v>
      </c>
      <c r="F1847" t="s">
        <v>143</v>
      </c>
      <c r="G1847" t="s">
        <v>86</v>
      </c>
      <c r="H1847" s="72" t="s">
        <v>248</v>
      </c>
      <c r="I1847" s="72" t="s">
        <v>99</v>
      </c>
      <c r="J1847" t="str">
        <f t="shared" si="104"/>
        <v>Skykomish River, So. Fork</v>
      </c>
      <c r="K1847" t="str">
        <f>IFERROR(VLOOKUP(J1847,LUTs!$A$1:$C$73,2,FALSE),"NA")</f>
        <v>Snohomish/King</v>
      </c>
      <c r="L1847" t="str">
        <f>IFERROR(VLOOKUP(J1847,LUTs!$A$1:$C$73,3,FALSE),"NA")</f>
        <v>2Central Puget Sound</v>
      </c>
      <c r="M1847" s="72" t="s">
        <v>16</v>
      </c>
      <c r="N1847" t="str">
        <f>VLOOKUP(M1847,LUTs!E$2:H$14,3,)</f>
        <v>03Snohomish</v>
      </c>
      <c r="O1847" t="str">
        <f>VLOOKUP(M1847,LUTs!E$2:H$14,4,)</f>
        <v>01North Puget Sound</v>
      </c>
      <c r="P1847" s="80">
        <v>16</v>
      </c>
      <c r="Q1847" s="103">
        <v>8</v>
      </c>
      <c r="R1847" s="74">
        <f>VLOOKUP(B1847,Readme!A$40:C$52,3,)*Q1847</f>
        <v>148.4</v>
      </c>
    </row>
    <row r="1848" spans="1:18" ht="12" customHeight="1" x14ac:dyDescent="0.35">
      <c r="A1848" s="75">
        <v>1916</v>
      </c>
      <c r="B1848" s="80">
        <v>2017</v>
      </c>
      <c r="C1848" s="80">
        <v>6</v>
      </c>
      <c r="D1848" s="80">
        <f t="shared" si="102"/>
        <v>2017</v>
      </c>
      <c r="E1848" t="s">
        <v>38</v>
      </c>
      <c r="F1848" t="s">
        <v>143</v>
      </c>
      <c r="G1848" t="s">
        <v>86</v>
      </c>
      <c r="H1848" s="72" t="s">
        <v>221</v>
      </c>
      <c r="I1848" s="72" t="s">
        <v>63</v>
      </c>
      <c r="J1848" t="str">
        <f t="shared" si="104"/>
        <v>Snohomish River</v>
      </c>
      <c r="K1848" t="str">
        <f>IFERROR(VLOOKUP(J1848,LUTs!$A$1:$C$73,2,FALSE),"NA")</f>
        <v>Snohomish</v>
      </c>
      <c r="L1848" t="str">
        <f>IFERROR(VLOOKUP(J1848,LUTs!$A$1:$C$73,3,FALSE),"NA")</f>
        <v>2Central Puget Sound</v>
      </c>
      <c r="M1848" s="72" t="s">
        <v>16</v>
      </c>
      <c r="N1848" t="str">
        <f>VLOOKUP(M1848,LUTs!E$2:H$14,3,)</f>
        <v>03Snohomish</v>
      </c>
      <c r="O1848" t="str">
        <f>VLOOKUP(M1848,LUTs!E$2:H$14,4,)</f>
        <v>01North Puget Sound</v>
      </c>
      <c r="P1848" s="80">
        <v>92</v>
      </c>
      <c r="Q1848" s="103">
        <v>46</v>
      </c>
      <c r="R1848" s="74">
        <f>VLOOKUP(B1848,Readme!A$40:C$52,3,)*Q1848</f>
        <v>853.30000000000007</v>
      </c>
    </row>
    <row r="1849" spans="1:18" ht="12" customHeight="1" x14ac:dyDescent="0.35">
      <c r="A1849" s="75">
        <v>1922</v>
      </c>
      <c r="B1849" s="80">
        <v>2017</v>
      </c>
      <c r="C1849" s="80">
        <v>6</v>
      </c>
      <c r="D1849" s="80">
        <f t="shared" si="102"/>
        <v>2017</v>
      </c>
      <c r="E1849" t="s">
        <v>38</v>
      </c>
      <c r="F1849" t="s">
        <v>143</v>
      </c>
      <c r="G1849" t="s">
        <v>86</v>
      </c>
      <c r="H1849" s="72" t="s">
        <v>222</v>
      </c>
      <c r="I1849" s="72" t="s">
        <v>64</v>
      </c>
      <c r="J1849" t="str">
        <f t="shared" si="104"/>
        <v>Snoqualmie River</v>
      </c>
      <c r="K1849" t="str">
        <f>IFERROR(VLOOKUP(J1849,LUTs!$A$1:$C$73,2,FALSE),"NA")</f>
        <v>Snohomish/King</v>
      </c>
      <c r="L1849" t="str">
        <f>IFERROR(VLOOKUP(J1849,LUTs!$A$1:$C$73,3,FALSE),"NA")</f>
        <v>2Central Puget Sound</v>
      </c>
      <c r="M1849" s="72" t="s">
        <v>18</v>
      </c>
      <c r="N1849" t="str">
        <f>VLOOKUP(M1849,LUTs!E$2:H$14,3,)</f>
        <v>06King</v>
      </c>
      <c r="O1849" t="str">
        <f>VLOOKUP(M1849,LUTs!E$2:H$14,4,)</f>
        <v>02South Puget Sound</v>
      </c>
      <c r="P1849" s="80">
        <v>34</v>
      </c>
      <c r="Q1849" s="103">
        <v>17</v>
      </c>
      <c r="R1849" s="74">
        <f>VLOOKUP(B1849,Readme!A$40:C$52,3,)*Q1849</f>
        <v>315.35000000000002</v>
      </c>
    </row>
    <row r="1850" spans="1:18" ht="12" customHeight="1" x14ac:dyDescent="0.35">
      <c r="A1850" s="75">
        <v>1955</v>
      </c>
      <c r="B1850" s="80">
        <v>2017</v>
      </c>
      <c r="C1850" s="80">
        <v>7</v>
      </c>
      <c r="D1850" s="80">
        <f t="shared" si="102"/>
        <v>2017</v>
      </c>
      <c r="E1850" t="s">
        <v>38</v>
      </c>
      <c r="F1850" t="s">
        <v>143</v>
      </c>
      <c r="G1850" t="s">
        <v>86</v>
      </c>
      <c r="H1850" s="72" t="s">
        <v>254</v>
      </c>
      <c r="I1850" s="72" t="s">
        <v>33</v>
      </c>
      <c r="J1850" t="str">
        <f t="shared" si="104"/>
        <v>Area 9: Admiralty Inlet</v>
      </c>
      <c r="K1850" t="str">
        <f>IFERROR(VLOOKUP(J1850,LUTs!$A$1:$C$73,2,FALSE),"NA")</f>
        <v>NA</v>
      </c>
      <c r="L1850" t="str">
        <f>IFERROR(VLOOKUP(J1850,LUTs!$A$1:$C$73,3,FALSE),"NA")</f>
        <v>2Central Puget Sound</v>
      </c>
      <c r="M1850" s="72" t="s">
        <v>20</v>
      </c>
      <c r="N1850" t="str">
        <f>VLOOKUP(M1850,LUTs!E$2:H$14,3,)</f>
        <v>07Pierce</v>
      </c>
      <c r="O1850" t="str">
        <f>VLOOKUP(M1850,LUTs!E$2:H$14,4,)</f>
        <v>02South Puget Sound</v>
      </c>
      <c r="P1850" s="80">
        <v>10</v>
      </c>
      <c r="Q1850" s="103">
        <v>5</v>
      </c>
      <c r="R1850" s="74">
        <f>VLOOKUP(B1850,Readme!A$40:C$52,3,)*Q1850</f>
        <v>92.75</v>
      </c>
    </row>
    <row r="1851" spans="1:18" ht="12" customHeight="1" x14ac:dyDescent="0.35">
      <c r="A1851" s="75">
        <v>1956</v>
      </c>
      <c r="B1851" s="80">
        <v>2017</v>
      </c>
      <c r="C1851" s="80">
        <v>7</v>
      </c>
      <c r="D1851" s="80">
        <f t="shared" si="102"/>
        <v>2017</v>
      </c>
      <c r="E1851" t="s">
        <v>38</v>
      </c>
      <c r="F1851" t="s">
        <v>143</v>
      </c>
      <c r="G1851" t="s">
        <v>86</v>
      </c>
      <c r="H1851" s="72" t="s">
        <v>254</v>
      </c>
      <c r="I1851" s="72" t="s">
        <v>33</v>
      </c>
      <c r="J1851" t="str">
        <f t="shared" si="104"/>
        <v>Area 9: Admiralty Inlet</v>
      </c>
      <c r="K1851" t="str">
        <f>IFERROR(VLOOKUP(J1851,LUTs!$A$1:$C$73,2,FALSE),"NA")</f>
        <v>NA</v>
      </c>
      <c r="L1851" t="str">
        <f>IFERROR(VLOOKUP(J1851,LUTs!$A$1:$C$73,3,FALSE),"NA")</f>
        <v>2Central Puget Sound</v>
      </c>
      <c r="M1851" s="72" t="s">
        <v>16</v>
      </c>
      <c r="N1851" t="str">
        <f>VLOOKUP(M1851,LUTs!E$2:H$14,3,)</f>
        <v>03Snohomish</v>
      </c>
      <c r="O1851" t="str">
        <f>VLOOKUP(M1851,LUTs!E$2:H$14,4,)</f>
        <v>01North Puget Sound</v>
      </c>
      <c r="P1851" s="80">
        <v>10</v>
      </c>
      <c r="Q1851" s="103">
        <v>5</v>
      </c>
      <c r="R1851" s="74">
        <f>VLOOKUP(B1851,Readme!A$40:C$52,3,)*Q1851</f>
        <v>92.75</v>
      </c>
    </row>
    <row r="1852" spans="1:18" ht="12" customHeight="1" x14ac:dyDescent="0.35">
      <c r="A1852" s="75">
        <v>1838</v>
      </c>
      <c r="B1852" s="80">
        <v>2017</v>
      </c>
      <c r="C1852" s="80">
        <v>7</v>
      </c>
      <c r="D1852" s="80">
        <f t="shared" si="102"/>
        <v>2017</v>
      </c>
      <c r="E1852" t="s">
        <v>38</v>
      </c>
      <c r="F1852" t="s">
        <v>143</v>
      </c>
      <c r="G1852" t="s">
        <v>86</v>
      </c>
      <c r="H1852" s="72" t="s">
        <v>203</v>
      </c>
      <c r="I1852" s="72" t="s">
        <v>89</v>
      </c>
      <c r="J1852" s="84" t="s">
        <v>45</v>
      </c>
      <c r="K1852" t="str">
        <f>IFERROR(VLOOKUP(J1852,LUTs!$A$1:$C$73,2,FALSE),"NA")</f>
        <v>King</v>
      </c>
      <c r="L1852" t="str">
        <f>IFERROR(VLOOKUP(J1852,LUTs!$A$1:$C$73,3,FALSE),"NA")</f>
        <v>3South Puget Sound</v>
      </c>
      <c r="M1852" s="72" t="s">
        <v>18</v>
      </c>
      <c r="N1852" t="str">
        <f>VLOOKUP(M1852,LUTs!E$2:H$14,3,)</f>
        <v>06King</v>
      </c>
      <c r="O1852" t="str">
        <f>VLOOKUP(M1852,LUTs!E$2:H$14,4,)</f>
        <v>02South Puget Sound</v>
      </c>
      <c r="P1852" s="80">
        <v>61.090909090909101</v>
      </c>
      <c r="Q1852" s="103">
        <v>30.5454545454546</v>
      </c>
      <c r="R1852" s="74">
        <f>VLOOKUP(B1852,Readme!A$40:C$52,3,)*Q1852</f>
        <v>566.61818181818285</v>
      </c>
    </row>
    <row r="1853" spans="1:18" ht="12" customHeight="1" x14ac:dyDescent="0.35">
      <c r="A1853" s="75">
        <v>1839</v>
      </c>
      <c r="B1853" s="80">
        <v>2017</v>
      </c>
      <c r="C1853" s="80">
        <v>7</v>
      </c>
      <c r="D1853" s="80">
        <f t="shared" si="102"/>
        <v>2017</v>
      </c>
      <c r="E1853" t="s">
        <v>38</v>
      </c>
      <c r="F1853" t="s">
        <v>143</v>
      </c>
      <c r="G1853" t="s">
        <v>86</v>
      </c>
      <c r="H1853" s="72" t="s">
        <v>203</v>
      </c>
      <c r="I1853" s="72" t="s">
        <v>89</v>
      </c>
      <c r="J1853" s="84" t="s">
        <v>45</v>
      </c>
      <c r="K1853" t="str">
        <f>IFERROR(VLOOKUP(J1853,LUTs!$A$1:$C$73,2,FALSE),"NA")</f>
        <v>King</v>
      </c>
      <c r="L1853" t="str">
        <f>IFERROR(VLOOKUP(J1853,LUTs!$A$1:$C$73,3,FALSE),"NA")</f>
        <v>3South Puget Sound</v>
      </c>
      <c r="M1853" s="72" t="s">
        <v>20</v>
      </c>
      <c r="N1853" t="str">
        <f>VLOOKUP(M1853,LUTs!E$2:H$14,3,)</f>
        <v>07Pierce</v>
      </c>
      <c r="O1853" t="str">
        <f>VLOOKUP(M1853,LUTs!E$2:H$14,4,)</f>
        <v>02South Puget Sound</v>
      </c>
      <c r="P1853" s="80">
        <v>22.909090909090899</v>
      </c>
      <c r="Q1853" s="103">
        <v>11.454545454545499</v>
      </c>
      <c r="R1853" s="74">
        <f>VLOOKUP(B1853,Readme!A$40:C$52,3,)*Q1853</f>
        <v>212.48181818181902</v>
      </c>
    </row>
    <row r="1854" spans="1:18" ht="12" customHeight="1" x14ac:dyDescent="0.35">
      <c r="A1854" s="75">
        <v>1880</v>
      </c>
      <c r="B1854" s="80">
        <v>2017</v>
      </c>
      <c r="C1854" s="80">
        <v>7</v>
      </c>
      <c r="D1854" s="80">
        <f t="shared" si="102"/>
        <v>2017</v>
      </c>
      <c r="E1854" t="s">
        <v>38</v>
      </c>
      <c r="F1854" t="s">
        <v>143</v>
      </c>
      <c r="G1854" t="s">
        <v>86</v>
      </c>
      <c r="H1854" s="72" t="s">
        <v>220</v>
      </c>
      <c r="I1854" s="72" t="s">
        <v>62</v>
      </c>
      <c r="J1854" t="str">
        <f t="shared" ref="J1854:J1859" si="105">I1854</f>
        <v>Skykomish River</v>
      </c>
      <c r="K1854" t="str">
        <f>IFERROR(VLOOKUP(J1854,LUTs!$A$1:$C$73,2,FALSE),"NA")</f>
        <v>Snohomish</v>
      </c>
      <c r="L1854" t="str">
        <f>IFERROR(VLOOKUP(J1854,LUTs!$A$1:$C$73,3,FALSE),"NA")</f>
        <v>2Central Puget Sound</v>
      </c>
      <c r="M1854" s="72" t="s">
        <v>18</v>
      </c>
      <c r="N1854" t="str">
        <f>VLOOKUP(M1854,LUTs!E$2:H$14,3,)</f>
        <v>06King</v>
      </c>
      <c r="O1854" t="str">
        <f>VLOOKUP(M1854,LUTs!E$2:H$14,4,)</f>
        <v>02South Puget Sound</v>
      </c>
      <c r="P1854" s="80">
        <v>425.66929133858298</v>
      </c>
      <c r="Q1854" s="103">
        <v>212.83464566929101</v>
      </c>
      <c r="R1854" s="74">
        <f>VLOOKUP(B1854,Readme!A$40:C$52,3,)*Q1854</f>
        <v>3948.0826771653483</v>
      </c>
    </row>
    <row r="1855" spans="1:18" ht="12" customHeight="1" x14ac:dyDescent="0.35">
      <c r="A1855" s="75">
        <v>1881</v>
      </c>
      <c r="B1855" s="80">
        <v>2017</v>
      </c>
      <c r="C1855" s="80">
        <v>7</v>
      </c>
      <c r="D1855" s="80">
        <f t="shared" si="102"/>
        <v>2017</v>
      </c>
      <c r="E1855" t="s">
        <v>38</v>
      </c>
      <c r="F1855" t="s">
        <v>143</v>
      </c>
      <c r="G1855" t="s">
        <v>86</v>
      </c>
      <c r="H1855" s="72" t="s">
        <v>220</v>
      </c>
      <c r="I1855" s="72" t="s">
        <v>62</v>
      </c>
      <c r="J1855" t="str">
        <f t="shared" si="105"/>
        <v>Skykomish River</v>
      </c>
      <c r="K1855" t="str">
        <f>IFERROR(VLOOKUP(J1855,LUTs!$A$1:$C$73,2,FALSE),"NA")</f>
        <v>Snohomish</v>
      </c>
      <c r="L1855" t="str">
        <f>IFERROR(VLOOKUP(J1855,LUTs!$A$1:$C$73,3,FALSE),"NA")</f>
        <v>2Central Puget Sound</v>
      </c>
      <c r="M1855" s="72" t="s">
        <v>26</v>
      </c>
      <c r="N1855" t="str">
        <f>VLOOKUP(M1855,LUTs!E$2:H$14,3,)</f>
        <v>20Other</v>
      </c>
      <c r="O1855" t="str">
        <f>VLOOKUP(M1855,LUTs!E$2:H$14,4,)</f>
        <v>07Non Puget Sound</v>
      </c>
      <c r="P1855" s="80">
        <v>16.692913385826799</v>
      </c>
      <c r="Q1855" s="103">
        <v>8.3464566929133905</v>
      </c>
      <c r="R1855" s="74">
        <f>VLOOKUP(B1855,Readme!A$40:C$52,3,)*Q1855</f>
        <v>154.8267716535434</v>
      </c>
    </row>
    <row r="1856" spans="1:18" ht="12" customHeight="1" x14ac:dyDescent="0.35">
      <c r="A1856" s="75">
        <v>1882</v>
      </c>
      <c r="B1856" s="80">
        <v>2017</v>
      </c>
      <c r="C1856" s="80">
        <v>7</v>
      </c>
      <c r="D1856" s="80">
        <f t="shared" si="102"/>
        <v>2017</v>
      </c>
      <c r="E1856" t="s">
        <v>38</v>
      </c>
      <c r="F1856" t="s">
        <v>143</v>
      </c>
      <c r="G1856" t="s">
        <v>86</v>
      </c>
      <c r="H1856" s="72" t="s">
        <v>220</v>
      </c>
      <c r="I1856" s="72" t="s">
        <v>62</v>
      </c>
      <c r="J1856" t="str">
        <f t="shared" si="105"/>
        <v>Skykomish River</v>
      </c>
      <c r="K1856" t="str">
        <f>IFERROR(VLOOKUP(J1856,LUTs!$A$1:$C$73,2,FALSE),"NA")</f>
        <v>Snohomish</v>
      </c>
      <c r="L1856" t="str">
        <f>IFERROR(VLOOKUP(J1856,LUTs!$A$1:$C$73,3,FALSE),"NA")</f>
        <v>2Central Puget Sound</v>
      </c>
      <c r="M1856" s="72" t="s">
        <v>16</v>
      </c>
      <c r="N1856" t="str">
        <f>VLOOKUP(M1856,LUTs!E$2:H$14,3,)</f>
        <v>03Snohomish</v>
      </c>
      <c r="O1856" t="str">
        <f>VLOOKUP(M1856,LUTs!E$2:H$14,4,)</f>
        <v>01North Puget Sound</v>
      </c>
      <c r="P1856" s="80">
        <v>600.94488188976402</v>
      </c>
      <c r="Q1856" s="103">
        <v>300.47244094488201</v>
      </c>
      <c r="R1856" s="74">
        <f>VLOOKUP(B1856,Readme!A$40:C$52,3,)*Q1856</f>
        <v>5573.7637795275614</v>
      </c>
    </row>
    <row r="1857" spans="1:18" ht="12" customHeight="1" x14ac:dyDescent="0.35">
      <c r="A1857" s="75">
        <v>1883</v>
      </c>
      <c r="B1857" s="80">
        <v>2017</v>
      </c>
      <c r="C1857" s="80">
        <v>7</v>
      </c>
      <c r="D1857" s="80">
        <f t="shared" si="102"/>
        <v>2017</v>
      </c>
      <c r="E1857" t="s">
        <v>38</v>
      </c>
      <c r="F1857" t="s">
        <v>143</v>
      </c>
      <c r="G1857" t="s">
        <v>86</v>
      </c>
      <c r="H1857" s="72" t="s">
        <v>220</v>
      </c>
      <c r="I1857" s="72" t="s">
        <v>62</v>
      </c>
      <c r="J1857" t="str">
        <f t="shared" si="105"/>
        <v>Skykomish River</v>
      </c>
      <c r="K1857" t="str">
        <f>IFERROR(VLOOKUP(J1857,LUTs!$A$1:$C$73,2,FALSE),"NA")</f>
        <v>Snohomish</v>
      </c>
      <c r="L1857" t="str">
        <f>IFERROR(VLOOKUP(J1857,LUTs!$A$1:$C$73,3,FALSE),"NA")</f>
        <v>2Central Puget Sound</v>
      </c>
      <c r="M1857" s="72" t="s">
        <v>13</v>
      </c>
      <c r="N1857" t="str">
        <f>VLOOKUP(M1857,LUTs!E$2:H$14,3,)</f>
        <v>01Whatcom</v>
      </c>
      <c r="O1857" t="str">
        <f>VLOOKUP(M1857,LUTs!E$2:H$14,4,)</f>
        <v>01North Puget Sound</v>
      </c>
      <c r="P1857" s="80">
        <v>16.692913385826799</v>
      </c>
      <c r="Q1857" s="103">
        <v>8.3464566929133905</v>
      </c>
      <c r="R1857" s="74">
        <f>VLOOKUP(B1857,Readme!A$40:C$52,3,)*Q1857</f>
        <v>154.8267716535434</v>
      </c>
    </row>
    <row r="1858" spans="1:18" ht="12" customHeight="1" x14ac:dyDescent="0.35">
      <c r="A1858" s="75">
        <v>1917</v>
      </c>
      <c r="B1858" s="80">
        <v>2017</v>
      </c>
      <c r="C1858" s="80">
        <v>7</v>
      </c>
      <c r="D1858" s="80">
        <f t="shared" ref="D1858:D1921" si="106">IF(C1858&gt;3,B1858,B1858-1)</f>
        <v>2017</v>
      </c>
      <c r="E1858" t="s">
        <v>38</v>
      </c>
      <c r="F1858" t="s">
        <v>143</v>
      </c>
      <c r="G1858" t="s">
        <v>86</v>
      </c>
      <c r="H1858" s="72" t="s">
        <v>221</v>
      </c>
      <c r="I1858" s="72" t="s">
        <v>63</v>
      </c>
      <c r="J1858" t="str">
        <f t="shared" si="105"/>
        <v>Snohomish River</v>
      </c>
      <c r="K1858" t="str">
        <f>IFERROR(VLOOKUP(J1858,LUTs!$A$1:$C$73,2,FALSE),"NA")</f>
        <v>Snohomish</v>
      </c>
      <c r="L1858" t="str">
        <f>IFERROR(VLOOKUP(J1858,LUTs!$A$1:$C$73,3,FALSE),"NA")</f>
        <v>2Central Puget Sound</v>
      </c>
      <c r="M1858" s="72" t="s">
        <v>16</v>
      </c>
      <c r="N1858" t="str">
        <f>VLOOKUP(M1858,LUTs!E$2:H$14,3,)</f>
        <v>03Snohomish</v>
      </c>
      <c r="O1858" t="str">
        <f>VLOOKUP(M1858,LUTs!E$2:H$14,4,)</f>
        <v>01North Puget Sound</v>
      </c>
      <c r="P1858" s="80">
        <v>8</v>
      </c>
      <c r="Q1858" s="103">
        <v>4</v>
      </c>
      <c r="R1858" s="74">
        <f>VLOOKUP(B1858,Readme!A$40:C$52,3,)*Q1858</f>
        <v>74.2</v>
      </c>
    </row>
    <row r="1859" spans="1:18" ht="12" customHeight="1" x14ac:dyDescent="0.35">
      <c r="A1859" s="75">
        <v>1851</v>
      </c>
      <c r="B1859" s="80">
        <v>2017</v>
      </c>
      <c r="C1859" s="80">
        <v>7</v>
      </c>
      <c r="D1859" s="80">
        <f t="shared" si="106"/>
        <v>2017</v>
      </c>
      <c r="E1859" t="s">
        <v>38</v>
      </c>
      <c r="F1859" t="s">
        <v>143</v>
      </c>
      <c r="G1859" t="s">
        <v>86</v>
      </c>
      <c r="H1859" s="72" t="s">
        <v>236</v>
      </c>
      <c r="I1859" s="72" t="s">
        <v>90</v>
      </c>
      <c r="J1859" t="str">
        <f t="shared" si="105"/>
        <v>Soos Creek</v>
      </c>
      <c r="K1859" t="str">
        <f>IFERROR(VLOOKUP(J1859,LUTs!$A$1:$C$73,2,FALSE),"NA")</f>
        <v>King</v>
      </c>
      <c r="L1859" t="str">
        <f>IFERROR(VLOOKUP(J1859,LUTs!$A$1:$C$73,3,FALSE),"NA")</f>
        <v>3South Puget Sound</v>
      </c>
      <c r="M1859" s="72" t="s">
        <v>20</v>
      </c>
      <c r="N1859" t="str">
        <f>VLOOKUP(M1859,LUTs!E$2:H$14,3,)</f>
        <v>07Pierce</v>
      </c>
      <c r="O1859" t="str">
        <f>VLOOKUP(M1859,LUTs!E$2:H$14,4,)</f>
        <v>02South Puget Sound</v>
      </c>
      <c r="P1859" s="80">
        <v>8</v>
      </c>
      <c r="Q1859" s="103">
        <v>4</v>
      </c>
      <c r="R1859" s="74">
        <f>VLOOKUP(B1859,Readme!A$40:C$52,3,)*Q1859</f>
        <v>74.2</v>
      </c>
    </row>
    <row r="1860" spans="1:18" ht="12" customHeight="1" x14ac:dyDescent="0.35">
      <c r="A1860" s="75">
        <v>1840</v>
      </c>
      <c r="B1860" s="80">
        <v>2017</v>
      </c>
      <c r="C1860" s="80">
        <v>8</v>
      </c>
      <c r="D1860" s="80">
        <f t="shared" si="106"/>
        <v>2017</v>
      </c>
      <c r="E1860" t="s">
        <v>38</v>
      </c>
      <c r="F1860" t="s">
        <v>143</v>
      </c>
      <c r="G1860" t="s">
        <v>86</v>
      </c>
      <c r="H1860" s="72" t="s">
        <v>203</v>
      </c>
      <c r="I1860" s="72" t="s">
        <v>89</v>
      </c>
      <c r="J1860" s="84" t="s">
        <v>45</v>
      </c>
      <c r="K1860" t="str">
        <f>IFERROR(VLOOKUP(J1860,LUTs!$A$1:$C$73,2,FALSE),"NA")</f>
        <v>King</v>
      </c>
      <c r="L1860" t="str">
        <f>IFERROR(VLOOKUP(J1860,LUTs!$A$1:$C$73,3,FALSE),"NA")</f>
        <v>3South Puget Sound</v>
      </c>
      <c r="M1860" s="72" t="s">
        <v>18</v>
      </c>
      <c r="N1860" t="str">
        <f>VLOOKUP(M1860,LUTs!E$2:H$14,3,)</f>
        <v>06King</v>
      </c>
      <c r="O1860" t="str">
        <f>VLOOKUP(M1860,LUTs!E$2:H$14,4,)</f>
        <v>02South Puget Sound</v>
      </c>
      <c r="P1860" s="80">
        <v>15.1111111111111</v>
      </c>
      <c r="Q1860" s="103">
        <v>7.5555555555555598</v>
      </c>
      <c r="R1860" s="74">
        <f>VLOOKUP(B1860,Readme!A$40:C$52,3,)*Q1860</f>
        <v>140.15555555555565</v>
      </c>
    </row>
    <row r="1861" spans="1:18" ht="12" customHeight="1" x14ac:dyDescent="0.35">
      <c r="A1861" s="75">
        <v>1841</v>
      </c>
      <c r="B1861" s="80">
        <v>2017</v>
      </c>
      <c r="C1861" s="80">
        <v>8</v>
      </c>
      <c r="D1861" s="80">
        <f t="shared" si="106"/>
        <v>2017</v>
      </c>
      <c r="E1861" t="s">
        <v>38</v>
      </c>
      <c r="F1861" t="s">
        <v>143</v>
      </c>
      <c r="G1861" t="s">
        <v>86</v>
      </c>
      <c r="H1861" s="72" t="s">
        <v>203</v>
      </c>
      <c r="I1861" s="72" t="s">
        <v>89</v>
      </c>
      <c r="J1861" s="84" t="s">
        <v>45</v>
      </c>
      <c r="K1861" t="str">
        <f>IFERROR(VLOOKUP(J1861,LUTs!$A$1:$C$73,2,FALSE),"NA")</f>
        <v>King</v>
      </c>
      <c r="L1861" t="str">
        <f>IFERROR(VLOOKUP(J1861,LUTs!$A$1:$C$73,3,FALSE),"NA")</f>
        <v>3South Puget Sound</v>
      </c>
      <c r="M1861" s="72" t="s">
        <v>20</v>
      </c>
      <c r="N1861" t="str">
        <f>VLOOKUP(M1861,LUTs!E$2:H$14,3,)</f>
        <v>07Pierce</v>
      </c>
      <c r="O1861" t="str">
        <f>VLOOKUP(M1861,LUTs!E$2:H$14,4,)</f>
        <v>02South Puget Sound</v>
      </c>
      <c r="P1861" s="80">
        <v>52.8888888888889</v>
      </c>
      <c r="Q1861" s="103">
        <v>26.4444444444445</v>
      </c>
      <c r="R1861" s="74">
        <f>VLOOKUP(B1861,Readme!A$40:C$52,3,)*Q1861</f>
        <v>490.5444444444455</v>
      </c>
    </row>
    <row r="1862" spans="1:18" ht="12" customHeight="1" x14ac:dyDescent="0.35">
      <c r="A1862" s="75">
        <v>1884</v>
      </c>
      <c r="B1862" s="80">
        <v>2017</v>
      </c>
      <c r="C1862" s="80">
        <v>8</v>
      </c>
      <c r="D1862" s="80">
        <f t="shared" si="106"/>
        <v>2017</v>
      </c>
      <c r="E1862" t="s">
        <v>38</v>
      </c>
      <c r="F1862" t="s">
        <v>143</v>
      </c>
      <c r="G1862" t="s">
        <v>86</v>
      </c>
      <c r="H1862" s="72" t="s">
        <v>220</v>
      </c>
      <c r="I1862" s="72" t="s">
        <v>62</v>
      </c>
      <c r="J1862" t="str">
        <f>I1862</f>
        <v>Skykomish River</v>
      </c>
      <c r="K1862" t="str">
        <f>IFERROR(VLOOKUP(J1862,LUTs!$A$1:$C$73,2,FALSE),"NA")</f>
        <v>Snohomish</v>
      </c>
      <c r="L1862" t="str">
        <f>IFERROR(VLOOKUP(J1862,LUTs!$A$1:$C$73,3,FALSE),"NA")</f>
        <v>2Central Puget Sound</v>
      </c>
      <c r="M1862" s="72" t="s">
        <v>18</v>
      </c>
      <c r="N1862" t="str">
        <f>VLOOKUP(M1862,LUTs!E$2:H$14,3,)</f>
        <v>06King</v>
      </c>
      <c r="O1862" t="str">
        <f>VLOOKUP(M1862,LUTs!E$2:H$14,4,)</f>
        <v>02South Puget Sound</v>
      </c>
      <c r="P1862" s="80">
        <v>58.625</v>
      </c>
      <c r="Q1862" s="103">
        <v>29.3125</v>
      </c>
      <c r="R1862" s="74">
        <f>VLOOKUP(B1862,Readme!A$40:C$52,3,)*Q1862</f>
        <v>543.74687500000005</v>
      </c>
    </row>
    <row r="1863" spans="1:18" ht="12" customHeight="1" x14ac:dyDescent="0.35">
      <c r="A1863" s="75">
        <v>1885</v>
      </c>
      <c r="B1863" s="80">
        <v>2017</v>
      </c>
      <c r="C1863" s="80">
        <v>8</v>
      </c>
      <c r="D1863" s="80">
        <f t="shared" si="106"/>
        <v>2017</v>
      </c>
      <c r="E1863" t="s">
        <v>38</v>
      </c>
      <c r="F1863" t="s">
        <v>143</v>
      </c>
      <c r="G1863" t="s">
        <v>86</v>
      </c>
      <c r="H1863" s="72" t="s">
        <v>220</v>
      </c>
      <c r="I1863" s="72" t="s">
        <v>62</v>
      </c>
      <c r="J1863" t="str">
        <f>I1863</f>
        <v>Skykomish River</v>
      </c>
      <c r="K1863" t="str">
        <f>IFERROR(VLOOKUP(J1863,LUTs!$A$1:$C$73,2,FALSE),"NA")</f>
        <v>Snohomish</v>
      </c>
      <c r="L1863" t="str">
        <f>IFERROR(VLOOKUP(J1863,LUTs!$A$1:$C$73,3,FALSE),"NA")</f>
        <v>2Central Puget Sound</v>
      </c>
      <c r="M1863" s="72" t="s">
        <v>16</v>
      </c>
      <c r="N1863" t="str">
        <f>VLOOKUP(M1863,LUTs!E$2:H$14,3,)</f>
        <v>03Snohomish</v>
      </c>
      <c r="O1863" t="str">
        <f>VLOOKUP(M1863,LUTs!E$2:H$14,4,)</f>
        <v>01North Puget Sound</v>
      </c>
      <c r="P1863" s="80">
        <v>75.375</v>
      </c>
      <c r="Q1863" s="103">
        <v>37.6875</v>
      </c>
      <c r="R1863" s="74">
        <f>VLOOKUP(B1863,Readme!A$40:C$52,3,)*Q1863</f>
        <v>699.10312499999998</v>
      </c>
    </row>
    <row r="1864" spans="1:18" ht="12" customHeight="1" x14ac:dyDescent="0.35">
      <c r="A1864" s="75">
        <v>1905</v>
      </c>
      <c r="B1864" s="80">
        <v>2017</v>
      </c>
      <c r="C1864" s="80">
        <v>8</v>
      </c>
      <c r="D1864" s="80">
        <f t="shared" si="106"/>
        <v>2017</v>
      </c>
      <c r="E1864" t="s">
        <v>38</v>
      </c>
      <c r="F1864" t="s">
        <v>143</v>
      </c>
      <c r="G1864" t="s">
        <v>86</v>
      </c>
      <c r="H1864" s="72" t="s">
        <v>247</v>
      </c>
      <c r="I1864" s="72" t="s">
        <v>98</v>
      </c>
      <c r="J1864" t="str">
        <f>I1864</f>
        <v>Skykomish River, No. Fork</v>
      </c>
      <c r="K1864" t="str">
        <f>IFERROR(VLOOKUP(J1864,LUTs!$A$1:$C$73,2,FALSE),"NA")</f>
        <v>Snohomish</v>
      </c>
      <c r="L1864" t="str">
        <f>IFERROR(VLOOKUP(J1864,LUTs!$A$1:$C$73,3,FALSE),"NA")</f>
        <v>2Central Puget Sound</v>
      </c>
      <c r="M1864" s="72" t="s">
        <v>16</v>
      </c>
      <c r="N1864" t="str">
        <f>VLOOKUP(M1864,LUTs!E$2:H$14,3,)</f>
        <v>03Snohomish</v>
      </c>
      <c r="O1864" t="str">
        <f>VLOOKUP(M1864,LUTs!E$2:H$14,4,)</f>
        <v>01North Puget Sound</v>
      </c>
      <c r="P1864" s="80">
        <v>8</v>
      </c>
      <c r="Q1864" s="103">
        <v>4</v>
      </c>
      <c r="R1864" s="74">
        <f>VLOOKUP(B1864,Readme!A$40:C$52,3,)*Q1864</f>
        <v>74.2</v>
      </c>
    </row>
    <row r="1865" spans="1:18" ht="12" customHeight="1" x14ac:dyDescent="0.35">
      <c r="A1865" s="75">
        <v>1910</v>
      </c>
      <c r="B1865" s="80">
        <v>2017</v>
      </c>
      <c r="C1865" s="80">
        <v>8</v>
      </c>
      <c r="D1865" s="80">
        <f t="shared" si="106"/>
        <v>2017</v>
      </c>
      <c r="E1865" t="s">
        <v>38</v>
      </c>
      <c r="F1865" t="s">
        <v>143</v>
      </c>
      <c r="G1865" t="s">
        <v>86</v>
      </c>
      <c r="H1865" s="72" t="s">
        <v>248</v>
      </c>
      <c r="I1865" s="72" t="s">
        <v>99</v>
      </c>
      <c r="J1865" t="str">
        <f>I1865</f>
        <v>Skykomish River, So. Fork</v>
      </c>
      <c r="K1865" t="str">
        <f>IFERROR(VLOOKUP(J1865,LUTs!$A$1:$C$73,2,FALSE),"NA")</f>
        <v>Snohomish/King</v>
      </c>
      <c r="L1865" t="str">
        <f>IFERROR(VLOOKUP(J1865,LUTs!$A$1:$C$73,3,FALSE),"NA")</f>
        <v>2Central Puget Sound</v>
      </c>
      <c r="M1865" s="72" t="s">
        <v>18</v>
      </c>
      <c r="N1865" t="str">
        <f>VLOOKUP(M1865,LUTs!E$2:H$14,3,)</f>
        <v>06King</v>
      </c>
      <c r="O1865" t="str">
        <f>VLOOKUP(M1865,LUTs!E$2:H$14,4,)</f>
        <v>02South Puget Sound</v>
      </c>
      <c r="P1865" s="80">
        <v>8</v>
      </c>
      <c r="Q1865" s="103">
        <v>4</v>
      </c>
      <c r="R1865" s="74">
        <f>VLOOKUP(B1865,Readme!A$40:C$52,3,)*Q1865</f>
        <v>74.2</v>
      </c>
    </row>
    <row r="1866" spans="1:18" ht="12" customHeight="1" x14ac:dyDescent="0.35">
      <c r="A1866" s="75">
        <v>1842</v>
      </c>
      <c r="B1866" s="80">
        <v>2017</v>
      </c>
      <c r="C1866" s="80">
        <v>9</v>
      </c>
      <c r="D1866" s="80">
        <f t="shared" si="106"/>
        <v>2017</v>
      </c>
      <c r="E1866" t="s">
        <v>38</v>
      </c>
      <c r="F1866" t="s">
        <v>143</v>
      </c>
      <c r="G1866" t="s">
        <v>86</v>
      </c>
      <c r="H1866" s="72" t="s">
        <v>203</v>
      </c>
      <c r="I1866" s="72" t="s">
        <v>89</v>
      </c>
      <c r="J1866" s="84" t="s">
        <v>45</v>
      </c>
      <c r="K1866" t="str">
        <f>IFERROR(VLOOKUP(J1866,LUTs!$A$1:$C$73,2,FALSE),"NA")</f>
        <v>King</v>
      </c>
      <c r="L1866" t="str">
        <f>IFERROR(VLOOKUP(J1866,LUTs!$A$1:$C$73,3,FALSE),"NA")</f>
        <v>3South Puget Sound</v>
      </c>
      <c r="M1866" s="72" t="s">
        <v>18</v>
      </c>
      <c r="N1866" t="str">
        <f>VLOOKUP(M1866,LUTs!E$2:H$14,3,)</f>
        <v>06King</v>
      </c>
      <c r="O1866" t="str">
        <f>VLOOKUP(M1866,LUTs!E$2:H$14,4,)</f>
        <v>02South Puget Sound</v>
      </c>
      <c r="P1866" s="80">
        <v>46.2</v>
      </c>
      <c r="Q1866" s="103">
        <v>23.1</v>
      </c>
      <c r="R1866" s="74">
        <f>VLOOKUP(B1866,Readme!A$40:C$52,3,)*Q1866</f>
        <v>428.50500000000005</v>
      </c>
    </row>
    <row r="1867" spans="1:18" ht="12" customHeight="1" x14ac:dyDescent="0.35">
      <c r="A1867" s="75">
        <v>1843</v>
      </c>
      <c r="B1867" s="80">
        <v>2017</v>
      </c>
      <c r="C1867" s="80">
        <v>9</v>
      </c>
      <c r="D1867" s="80">
        <f t="shared" si="106"/>
        <v>2017</v>
      </c>
      <c r="E1867" t="s">
        <v>38</v>
      </c>
      <c r="F1867" t="s">
        <v>143</v>
      </c>
      <c r="G1867" t="s">
        <v>86</v>
      </c>
      <c r="H1867" s="72" t="s">
        <v>203</v>
      </c>
      <c r="I1867" s="72" t="s">
        <v>89</v>
      </c>
      <c r="J1867" s="84" t="s">
        <v>45</v>
      </c>
      <c r="K1867" t="str">
        <f>IFERROR(VLOOKUP(J1867,LUTs!$A$1:$C$73,2,FALSE),"NA")</f>
        <v>King</v>
      </c>
      <c r="L1867" t="str">
        <f>IFERROR(VLOOKUP(J1867,LUTs!$A$1:$C$73,3,FALSE),"NA")</f>
        <v>3South Puget Sound</v>
      </c>
      <c r="M1867" s="72" t="s">
        <v>20</v>
      </c>
      <c r="N1867" t="str">
        <f>VLOOKUP(M1867,LUTs!E$2:H$14,3,)</f>
        <v>07Pierce</v>
      </c>
      <c r="O1867" t="str">
        <f>VLOOKUP(M1867,LUTs!E$2:H$14,4,)</f>
        <v>02South Puget Sound</v>
      </c>
      <c r="P1867" s="80">
        <v>100.1</v>
      </c>
      <c r="Q1867" s="103">
        <v>50.05</v>
      </c>
      <c r="R1867" s="74">
        <f>VLOOKUP(B1867,Readme!A$40:C$52,3,)*Q1867</f>
        <v>928.42750000000001</v>
      </c>
    </row>
    <row r="1868" spans="1:18" ht="12" customHeight="1" x14ac:dyDescent="0.35">
      <c r="A1868" s="75">
        <v>1844</v>
      </c>
      <c r="B1868" s="80">
        <v>2017</v>
      </c>
      <c r="C1868" s="80">
        <v>9</v>
      </c>
      <c r="D1868" s="80">
        <f t="shared" si="106"/>
        <v>2017</v>
      </c>
      <c r="E1868" t="s">
        <v>38</v>
      </c>
      <c r="F1868" t="s">
        <v>143</v>
      </c>
      <c r="G1868" t="s">
        <v>86</v>
      </c>
      <c r="H1868" s="72" t="s">
        <v>203</v>
      </c>
      <c r="I1868" s="72" t="s">
        <v>89</v>
      </c>
      <c r="J1868" s="84" t="s">
        <v>45</v>
      </c>
      <c r="K1868" t="str">
        <f>IFERROR(VLOOKUP(J1868,LUTs!$A$1:$C$73,2,FALSE),"NA")</f>
        <v>King</v>
      </c>
      <c r="L1868" t="str">
        <f>IFERROR(VLOOKUP(J1868,LUTs!$A$1:$C$73,3,FALSE),"NA")</f>
        <v>3South Puget Sound</v>
      </c>
      <c r="M1868" s="72" t="s">
        <v>21</v>
      </c>
      <c r="N1868" t="str">
        <f>VLOOKUP(M1868,LUTs!E$2:H$14,3,)</f>
        <v>08Thurston</v>
      </c>
      <c r="O1868" t="str">
        <f>VLOOKUP(M1868,LUTs!E$2:H$14,4,)</f>
        <v>02South Puget Sound</v>
      </c>
      <c r="P1868" s="80">
        <v>7.7</v>
      </c>
      <c r="Q1868" s="103">
        <v>3.85</v>
      </c>
      <c r="R1868" s="74">
        <f>VLOOKUP(B1868,Readme!A$40:C$52,3,)*Q1868</f>
        <v>71.417500000000004</v>
      </c>
    </row>
    <row r="1869" spans="1:18" ht="12" customHeight="1" x14ac:dyDescent="0.35">
      <c r="A1869" s="75">
        <v>1886</v>
      </c>
      <c r="B1869" s="80">
        <v>2017</v>
      </c>
      <c r="C1869" s="80">
        <v>9</v>
      </c>
      <c r="D1869" s="80">
        <f t="shared" si="106"/>
        <v>2017</v>
      </c>
      <c r="E1869" t="s">
        <v>38</v>
      </c>
      <c r="F1869" t="s">
        <v>143</v>
      </c>
      <c r="G1869" t="s">
        <v>86</v>
      </c>
      <c r="H1869" s="72" t="s">
        <v>220</v>
      </c>
      <c r="I1869" s="72" t="s">
        <v>62</v>
      </c>
      <c r="J1869" t="str">
        <f t="shared" ref="J1869:J1875" si="107">I1869</f>
        <v>Skykomish River</v>
      </c>
      <c r="K1869" t="str">
        <f>IFERROR(VLOOKUP(J1869,LUTs!$A$1:$C$73,2,FALSE),"NA")</f>
        <v>Snohomish</v>
      </c>
      <c r="L1869" t="str">
        <f>IFERROR(VLOOKUP(J1869,LUTs!$A$1:$C$73,3,FALSE),"NA")</f>
        <v>2Central Puget Sound</v>
      </c>
      <c r="M1869" s="72" t="s">
        <v>18</v>
      </c>
      <c r="N1869" t="str">
        <f>VLOOKUP(M1869,LUTs!E$2:H$14,3,)</f>
        <v>06King</v>
      </c>
      <c r="O1869" t="str">
        <f>VLOOKUP(M1869,LUTs!E$2:H$14,4,)</f>
        <v>02South Puget Sound</v>
      </c>
      <c r="P1869" s="80">
        <v>83.636363636363697</v>
      </c>
      <c r="Q1869" s="103">
        <v>41.818181818181799</v>
      </c>
      <c r="R1869" s="74">
        <f>VLOOKUP(B1869,Readme!A$40:C$52,3,)*Q1869</f>
        <v>775.72727272727241</v>
      </c>
    </row>
    <row r="1870" spans="1:18" ht="12" customHeight="1" x14ac:dyDescent="0.35">
      <c r="A1870" s="75">
        <v>1887</v>
      </c>
      <c r="B1870" s="80">
        <v>2017</v>
      </c>
      <c r="C1870" s="80">
        <v>9</v>
      </c>
      <c r="D1870" s="80">
        <f t="shared" si="106"/>
        <v>2017</v>
      </c>
      <c r="E1870" t="s">
        <v>38</v>
      </c>
      <c r="F1870" t="s">
        <v>143</v>
      </c>
      <c r="G1870" t="s">
        <v>86</v>
      </c>
      <c r="H1870" s="72" t="s">
        <v>220</v>
      </c>
      <c r="I1870" s="72" t="s">
        <v>62</v>
      </c>
      <c r="J1870" t="str">
        <f t="shared" si="107"/>
        <v>Skykomish River</v>
      </c>
      <c r="K1870" t="str">
        <f>IFERROR(VLOOKUP(J1870,LUTs!$A$1:$C$73,2,FALSE),"NA")</f>
        <v>Snohomish</v>
      </c>
      <c r="L1870" t="str">
        <f>IFERROR(VLOOKUP(J1870,LUTs!$A$1:$C$73,3,FALSE),"NA")</f>
        <v>2Central Puget Sound</v>
      </c>
      <c r="M1870" s="72" t="s">
        <v>16</v>
      </c>
      <c r="N1870" t="str">
        <f>VLOOKUP(M1870,LUTs!E$2:H$14,3,)</f>
        <v>03Snohomish</v>
      </c>
      <c r="O1870" t="str">
        <f>VLOOKUP(M1870,LUTs!E$2:H$14,4,)</f>
        <v>01North Puget Sound</v>
      </c>
      <c r="P1870" s="80">
        <v>100.363636363636</v>
      </c>
      <c r="Q1870" s="103">
        <v>50.181818181818201</v>
      </c>
      <c r="R1870" s="74">
        <f>VLOOKUP(B1870,Readme!A$40:C$52,3,)*Q1870</f>
        <v>930.87272727272762</v>
      </c>
    </row>
    <row r="1871" spans="1:18" ht="12" customHeight="1" x14ac:dyDescent="0.35">
      <c r="A1871" s="75">
        <v>1911</v>
      </c>
      <c r="B1871" s="80">
        <v>2017</v>
      </c>
      <c r="C1871" s="80">
        <v>9</v>
      </c>
      <c r="D1871" s="80">
        <f t="shared" si="106"/>
        <v>2017</v>
      </c>
      <c r="E1871" t="s">
        <v>38</v>
      </c>
      <c r="F1871" t="s">
        <v>143</v>
      </c>
      <c r="G1871" t="s">
        <v>86</v>
      </c>
      <c r="H1871" s="72" t="s">
        <v>248</v>
      </c>
      <c r="I1871" s="72" t="s">
        <v>99</v>
      </c>
      <c r="J1871" t="str">
        <f t="shared" si="107"/>
        <v>Skykomish River, So. Fork</v>
      </c>
      <c r="K1871" t="str">
        <f>IFERROR(VLOOKUP(J1871,LUTs!$A$1:$C$73,2,FALSE),"NA")</f>
        <v>Snohomish/King</v>
      </c>
      <c r="L1871" t="str">
        <f>IFERROR(VLOOKUP(J1871,LUTs!$A$1:$C$73,3,FALSE),"NA")</f>
        <v>2Central Puget Sound</v>
      </c>
      <c r="M1871" s="72" t="s">
        <v>16</v>
      </c>
      <c r="N1871" t="str">
        <f>VLOOKUP(M1871,LUTs!E$2:H$14,3,)</f>
        <v>03Snohomish</v>
      </c>
      <c r="O1871" t="str">
        <f>VLOOKUP(M1871,LUTs!E$2:H$14,4,)</f>
        <v>01North Puget Sound</v>
      </c>
      <c r="P1871" s="80">
        <v>8</v>
      </c>
      <c r="Q1871" s="103">
        <v>4</v>
      </c>
      <c r="R1871" s="74">
        <f>VLOOKUP(B1871,Readme!A$40:C$52,3,)*Q1871</f>
        <v>74.2</v>
      </c>
    </row>
    <row r="1872" spans="1:18" ht="12" customHeight="1" x14ac:dyDescent="0.35">
      <c r="A1872" s="75">
        <v>1918</v>
      </c>
      <c r="B1872" s="80">
        <v>2017</v>
      </c>
      <c r="C1872" s="80">
        <v>9</v>
      </c>
      <c r="D1872" s="80">
        <f t="shared" si="106"/>
        <v>2017</v>
      </c>
      <c r="E1872" t="s">
        <v>38</v>
      </c>
      <c r="F1872" t="s">
        <v>143</v>
      </c>
      <c r="G1872" t="s">
        <v>86</v>
      </c>
      <c r="H1872" s="72" t="s">
        <v>221</v>
      </c>
      <c r="I1872" s="72" t="s">
        <v>63</v>
      </c>
      <c r="J1872" t="str">
        <f t="shared" si="107"/>
        <v>Snohomish River</v>
      </c>
      <c r="K1872" t="str">
        <f>IFERROR(VLOOKUP(J1872,LUTs!$A$1:$C$73,2,FALSE),"NA")</f>
        <v>Snohomish</v>
      </c>
      <c r="L1872" t="str">
        <f>IFERROR(VLOOKUP(J1872,LUTs!$A$1:$C$73,3,FALSE),"NA")</f>
        <v>2Central Puget Sound</v>
      </c>
      <c r="M1872" s="72" t="s">
        <v>26</v>
      </c>
      <c r="N1872" t="str">
        <f>VLOOKUP(M1872,LUTs!E$2:H$14,3,)</f>
        <v>20Other</v>
      </c>
      <c r="O1872" t="str">
        <f>VLOOKUP(M1872,LUTs!E$2:H$14,4,)</f>
        <v>07Non Puget Sound</v>
      </c>
      <c r="P1872" s="80">
        <v>8.6666666666666696</v>
      </c>
      <c r="Q1872" s="103">
        <v>4.3333333333333304</v>
      </c>
      <c r="R1872" s="74">
        <f>VLOOKUP(B1872,Readme!A$40:C$52,3,)*Q1872</f>
        <v>80.383333333333283</v>
      </c>
    </row>
    <row r="1873" spans="1:18" ht="12" customHeight="1" x14ac:dyDescent="0.35">
      <c r="A1873" s="75">
        <v>1919</v>
      </c>
      <c r="B1873" s="80">
        <v>2017</v>
      </c>
      <c r="C1873" s="80">
        <v>9</v>
      </c>
      <c r="D1873" s="80">
        <f t="shared" si="106"/>
        <v>2017</v>
      </c>
      <c r="E1873" t="s">
        <v>38</v>
      </c>
      <c r="F1873" t="s">
        <v>143</v>
      </c>
      <c r="G1873" t="s">
        <v>86</v>
      </c>
      <c r="H1873" s="72" t="s">
        <v>221</v>
      </c>
      <c r="I1873" s="72" t="s">
        <v>63</v>
      </c>
      <c r="J1873" t="str">
        <f t="shared" si="107"/>
        <v>Snohomish River</v>
      </c>
      <c r="K1873" t="str">
        <f>IFERROR(VLOOKUP(J1873,LUTs!$A$1:$C$73,2,FALSE),"NA")</f>
        <v>Snohomish</v>
      </c>
      <c r="L1873" t="str">
        <f>IFERROR(VLOOKUP(J1873,LUTs!$A$1:$C$73,3,FALSE),"NA")</f>
        <v>2Central Puget Sound</v>
      </c>
      <c r="M1873" s="72" t="s">
        <v>16</v>
      </c>
      <c r="N1873" t="str">
        <f>VLOOKUP(M1873,LUTs!E$2:H$14,3,)</f>
        <v>03Snohomish</v>
      </c>
      <c r="O1873" t="str">
        <f>VLOOKUP(M1873,LUTs!E$2:H$14,4,)</f>
        <v>01North Puget Sound</v>
      </c>
      <c r="P1873" s="80">
        <v>17.3333333333333</v>
      </c>
      <c r="Q1873" s="103">
        <v>8.6666666666666696</v>
      </c>
      <c r="R1873" s="74">
        <f>VLOOKUP(B1873,Readme!A$40:C$52,3,)*Q1873</f>
        <v>160.76666666666674</v>
      </c>
    </row>
    <row r="1874" spans="1:18" ht="12" customHeight="1" x14ac:dyDescent="0.35">
      <c r="A1874" s="75">
        <v>1938</v>
      </c>
      <c r="B1874" s="80">
        <v>2017</v>
      </c>
      <c r="C1874" s="80">
        <v>9</v>
      </c>
      <c r="D1874" s="80">
        <f t="shared" si="106"/>
        <v>2017</v>
      </c>
      <c r="E1874" t="s">
        <v>38</v>
      </c>
      <c r="F1874" t="s">
        <v>143</v>
      </c>
      <c r="G1874" t="s">
        <v>86</v>
      </c>
      <c r="H1874" s="72" t="s">
        <v>233</v>
      </c>
      <c r="I1874" s="72" t="s">
        <v>76</v>
      </c>
      <c r="J1874" t="str">
        <f t="shared" si="107"/>
        <v>Wallace River</v>
      </c>
      <c r="K1874" t="str">
        <f>IFERROR(VLOOKUP(J1874,LUTs!$A$1:$C$73,2,FALSE),"NA")</f>
        <v>Snohomish</v>
      </c>
      <c r="L1874" t="str">
        <f>IFERROR(VLOOKUP(J1874,LUTs!$A$1:$C$73,3,FALSE),"NA")</f>
        <v>2Central Puget Sound</v>
      </c>
      <c r="M1874" s="72" t="s">
        <v>16</v>
      </c>
      <c r="N1874" t="str">
        <f>VLOOKUP(M1874,LUTs!E$2:H$14,3,)</f>
        <v>03Snohomish</v>
      </c>
      <c r="O1874" t="str">
        <f>VLOOKUP(M1874,LUTs!E$2:H$14,4,)</f>
        <v>01North Puget Sound</v>
      </c>
      <c r="P1874" s="80">
        <v>8</v>
      </c>
      <c r="Q1874" s="103">
        <v>4</v>
      </c>
      <c r="R1874" s="74">
        <f>VLOOKUP(B1874,Readme!A$40:C$52,3,)*Q1874</f>
        <v>74.2</v>
      </c>
    </row>
    <row r="1875" spans="1:18" ht="12" customHeight="1" x14ac:dyDescent="0.35">
      <c r="A1875" s="75">
        <v>1957</v>
      </c>
      <c r="B1875" s="80">
        <v>2017</v>
      </c>
      <c r="C1875" s="80">
        <v>10</v>
      </c>
      <c r="D1875" s="80">
        <f t="shared" si="106"/>
        <v>2017</v>
      </c>
      <c r="E1875" t="s">
        <v>38</v>
      </c>
      <c r="F1875" t="s">
        <v>143</v>
      </c>
      <c r="G1875" t="s">
        <v>86</v>
      </c>
      <c r="H1875" s="72" t="s">
        <v>254</v>
      </c>
      <c r="I1875" s="72" t="s">
        <v>33</v>
      </c>
      <c r="J1875" t="str">
        <f t="shared" si="107"/>
        <v>Area 9: Admiralty Inlet</v>
      </c>
      <c r="K1875" t="str">
        <f>IFERROR(VLOOKUP(J1875,LUTs!$A$1:$C$73,2,FALSE),"NA")</f>
        <v>NA</v>
      </c>
      <c r="L1875" t="str">
        <f>IFERROR(VLOOKUP(J1875,LUTs!$A$1:$C$73,3,FALSE),"NA")</f>
        <v>2Central Puget Sound</v>
      </c>
      <c r="M1875" s="72" t="s">
        <v>26</v>
      </c>
      <c r="N1875" t="str">
        <f>VLOOKUP(M1875,LUTs!E$2:H$14,3,)</f>
        <v>20Other</v>
      </c>
      <c r="O1875" t="str">
        <f>VLOOKUP(M1875,LUTs!E$2:H$14,4,)</f>
        <v>07Non Puget Sound</v>
      </c>
      <c r="P1875" s="80">
        <v>10</v>
      </c>
      <c r="Q1875" s="103">
        <v>5</v>
      </c>
      <c r="R1875" s="74">
        <f>VLOOKUP(B1875,Readme!A$40:C$52,3,)*Q1875</f>
        <v>92.75</v>
      </c>
    </row>
    <row r="1876" spans="1:18" ht="12" customHeight="1" x14ac:dyDescent="0.35">
      <c r="A1876" s="75">
        <v>1845</v>
      </c>
      <c r="B1876" s="80">
        <v>2017</v>
      </c>
      <c r="C1876" s="80">
        <v>10</v>
      </c>
      <c r="D1876" s="80">
        <f t="shared" si="106"/>
        <v>2017</v>
      </c>
      <c r="E1876" t="s">
        <v>38</v>
      </c>
      <c r="F1876" t="s">
        <v>143</v>
      </c>
      <c r="G1876" t="s">
        <v>86</v>
      </c>
      <c r="H1876" s="72" t="s">
        <v>203</v>
      </c>
      <c r="I1876" s="72" t="s">
        <v>89</v>
      </c>
      <c r="J1876" s="84" t="s">
        <v>45</v>
      </c>
      <c r="K1876" t="str">
        <f>IFERROR(VLOOKUP(J1876,LUTs!$A$1:$C$73,2,FALSE),"NA")</f>
        <v>King</v>
      </c>
      <c r="L1876" t="str">
        <f>IFERROR(VLOOKUP(J1876,LUTs!$A$1:$C$73,3,FALSE),"NA")</f>
        <v>3South Puget Sound</v>
      </c>
      <c r="M1876" s="72" t="s">
        <v>18</v>
      </c>
      <c r="N1876" t="str">
        <f>VLOOKUP(M1876,LUTs!E$2:H$14,3,)</f>
        <v>06King</v>
      </c>
      <c r="O1876" t="str">
        <f>VLOOKUP(M1876,LUTs!E$2:H$14,4,)</f>
        <v>02South Puget Sound</v>
      </c>
      <c r="P1876" s="80">
        <v>53.2</v>
      </c>
      <c r="Q1876" s="103">
        <v>26.6</v>
      </c>
      <c r="R1876" s="74">
        <f>VLOOKUP(B1876,Readme!A$40:C$52,3,)*Q1876</f>
        <v>493.43000000000006</v>
      </c>
    </row>
    <row r="1877" spans="1:18" ht="12" customHeight="1" x14ac:dyDescent="0.35">
      <c r="A1877" s="75">
        <v>1846</v>
      </c>
      <c r="B1877" s="80">
        <v>2017</v>
      </c>
      <c r="C1877" s="80">
        <v>10</v>
      </c>
      <c r="D1877" s="80">
        <f t="shared" si="106"/>
        <v>2017</v>
      </c>
      <c r="E1877" t="s">
        <v>38</v>
      </c>
      <c r="F1877" t="s">
        <v>143</v>
      </c>
      <c r="G1877" t="s">
        <v>86</v>
      </c>
      <c r="H1877" s="72" t="s">
        <v>203</v>
      </c>
      <c r="I1877" s="72" t="s">
        <v>89</v>
      </c>
      <c r="J1877" s="84" t="s">
        <v>45</v>
      </c>
      <c r="K1877" t="str">
        <f>IFERROR(VLOOKUP(J1877,LUTs!$A$1:$C$73,2,FALSE),"NA")</f>
        <v>King</v>
      </c>
      <c r="L1877" t="str">
        <f>IFERROR(VLOOKUP(J1877,LUTs!$A$1:$C$73,3,FALSE),"NA")</f>
        <v>3South Puget Sound</v>
      </c>
      <c r="M1877" s="72" t="s">
        <v>20</v>
      </c>
      <c r="N1877" t="str">
        <f>VLOOKUP(M1877,LUTs!E$2:H$14,3,)</f>
        <v>07Pierce</v>
      </c>
      <c r="O1877" t="str">
        <f>VLOOKUP(M1877,LUTs!E$2:H$14,4,)</f>
        <v>02South Puget Sound</v>
      </c>
      <c r="P1877" s="80">
        <v>22.8</v>
      </c>
      <c r="Q1877" s="103">
        <v>11.4</v>
      </c>
      <c r="R1877" s="74">
        <f>VLOOKUP(B1877,Readme!A$40:C$52,3,)*Q1877</f>
        <v>211.47000000000003</v>
      </c>
    </row>
    <row r="1878" spans="1:18" ht="12" customHeight="1" x14ac:dyDescent="0.35">
      <c r="A1878" s="75">
        <v>1888</v>
      </c>
      <c r="B1878" s="80">
        <v>2017</v>
      </c>
      <c r="C1878" s="80">
        <v>10</v>
      </c>
      <c r="D1878" s="80">
        <f t="shared" si="106"/>
        <v>2017</v>
      </c>
      <c r="E1878" t="s">
        <v>38</v>
      </c>
      <c r="F1878" t="s">
        <v>143</v>
      </c>
      <c r="G1878" t="s">
        <v>86</v>
      </c>
      <c r="H1878" s="72" t="s">
        <v>220</v>
      </c>
      <c r="I1878" s="72" t="s">
        <v>62</v>
      </c>
      <c r="J1878" t="str">
        <f t="shared" ref="J1878:J1884" si="108">I1878</f>
        <v>Skykomish River</v>
      </c>
      <c r="K1878" t="str">
        <f>IFERROR(VLOOKUP(J1878,LUTs!$A$1:$C$73,2,FALSE),"NA")</f>
        <v>Snohomish</v>
      </c>
      <c r="L1878" t="str">
        <f>IFERROR(VLOOKUP(J1878,LUTs!$A$1:$C$73,3,FALSE),"NA")</f>
        <v>2Central Puget Sound</v>
      </c>
      <c r="M1878" s="72" t="s">
        <v>18</v>
      </c>
      <c r="N1878" t="str">
        <f>VLOOKUP(M1878,LUTs!E$2:H$14,3,)</f>
        <v>06King</v>
      </c>
      <c r="O1878" t="str">
        <f>VLOOKUP(M1878,LUTs!E$2:H$14,4,)</f>
        <v>02South Puget Sound</v>
      </c>
      <c r="P1878" s="80">
        <v>83.703703703703695</v>
      </c>
      <c r="Q1878" s="103">
        <v>41.851851851851897</v>
      </c>
      <c r="R1878" s="74">
        <f>VLOOKUP(B1878,Readme!A$40:C$52,3,)*Q1878</f>
        <v>776.35185185185276</v>
      </c>
    </row>
    <row r="1879" spans="1:18" ht="12" customHeight="1" x14ac:dyDescent="0.35">
      <c r="A1879" s="75">
        <v>1889</v>
      </c>
      <c r="B1879" s="80">
        <v>2017</v>
      </c>
      <c r="C1879" s="80">
        <v>10</v>
      </c>
      <c r="D1879" s="80">
        <f t="shared" si="106"/>
        <v>2017</v>
      </c>
      <c r="E1879" t="s">
        <v>38</v>
      </c>
      <c r="F1879" t="s">
        <v>143</v>
      </c>
      <c r="G1879" t="s">
        <v>86</v>
      </c>
      <c r="H1879" s="72" t="s">
        <v>220</v>
      </c>
      <c r="I1879" s="72" t="s">
        <v>62</v>
      </c>
      <c r="J1879" t="str">
        <f t="shared" si="108"/>
        <v>Skykomish River</v>
      </c>
      <c r="K1879" t="str">
        <f>IFERROR(VLOOKUP(J1879,LUTs!$A$1:$C$73,2,FALSE),"NA")</f>
        <v>Snohomish</v>
      </c>
      <c r="L1879" t="str">
        <f>IFERROR(VLOOKUP(J1879,LUTs!$A$1:$C$73,3,FALSE),"NA")</f>
        <v>2Central Puget Sound</v>
      </c>
      <c r="M1879" s="72" t="s">
        <v>16</v>
      </c>
      <c r="N1879" t="str">
        <f>VLOOKUP(M1879,LUTs!E$2:H$14,3,)</f>
        <v>03Snohomish</v>
      </c>
      <c r="O1879" t="str">
        <f>VLOOKUP(M1879,LUTs!E$2:H$14,4,)</f>
        <v>01North Puget Sound</v>
      </c>
      <c r="P1879" s="80">
        <v>142.29629629629599</v>
      </c>
      <c r="Q1879" s="103">
        <v>71.148148148148195</v>
      </c>
      <c r="R1879" s="74">
        <f>VLOOKUP(B1879,Readme!A$40:C$52,3,)*Q1879</f>
        <v>1319.798148148149</v>
      </c>
    </row>
    <row r="1880" spans="1:18" ht="12" customHeight="1" x14ac:dyDescent="0.35">
      <c r="A1880" s="75">
        <v>1923</v>
      </c>
      <c r="B1880" s="80">
        <v>2017</v>
      </c>
      <c r="C1880" s="80">
        <v>10</v>
      </c>
      <c r="D1880" s="80">
        <f t="shared" si="106"/>
        <v>2017</v>
      </c>
      <c r="E1880" t="s">
        <v>38</v>
      </c>
      <c r="F1880" t="s">
        <v>143</v>
      </c>
      <c r="G1880" t="s">
        <v>86</v>
      </c>
      <c r="H1880" s="72" t="s">
        <v>222</v>
      </c>
      <c r="I1880" s="72" t="s">
        <v>64</v>
      </c>
      <c r="J1880" t="str">
        <f t="shared" si="108"/>
        <v>Snoqualmie River</v>
      </c>
      <c r="K1880" t="str">
        <f>IFERROR(VLOOKUP(J1880,LUTs!$A$1:$C$73,2,FALSE),"NA")</f>
        <v>Snohomish/King</v>
      </c>
      <c r="L1880" t="str">
        <f>IFERROR(VLOOKUP(J1880,LUTs!$A$1:$C$73,3,FALSE),"NA")</f>
        <v>2Central Puget Sound</v>
      </c>
      <c r="M1880" s="72" t="s">
        <v>18</v>
      </c>
      <c r="N1880" t="str">
        <f>VLOOKUP(M1880,LUTs!E$2:H$14,3,)</f>
        <v>06King</v>
      </c>
      <c r="O1880" t="str">
        <f>VLOOKUP(M1880,LUTs!E$2:H$14,4,)</f>
        <v>02South Puget Sound</v>
      </c>
      <c r="P1880" s="80">
        <v>8</v>
      </c>
      <c r="Q1880" s="103">
        <v>4</v>
      </c>
      <c r="R1880" s="74">
        <f>VLOOKUP(B1880,Readme!A$40:C$52,3,)*Q1880</f>
        <v>74.2</v>
      </c>
    </row>
    <row r="1881" spans="1:18" ht="12" customHeight="1" x14ac:dyDescent="0.35">
      <c r="A1881" s="75">
        <v>1939</v>
      </c>
      <c r="B1881" s="80">
        <v>2017</v>
      </c>
      <c r="C1881" s="80">
        <v>10</v>
      </c>
      <c r="D1881" s="80">
        <f t="shared" si="106"/>
        <v>2017</v>
      </c>
      <c r="E1881" t="s">
        <v>38</v>
      </c>
      <c r="F1881" t="s">
        <v>143</v>
      </c>
      <c r="G1881" t="s">
        <v>86</v>
      </c>
      <c r="H1881" s="72" t="s">
        <v>233</v>
      </c>
      <c r="I1881" s="72" t="s">
        <v>76</v>
      </c>
      <c r="J1881" t="str">
        <f t="shared" si="108"/>
        <v>Wallace River</v>
      </c>
      <c r="K1881" t="str">
        <f>IFERROR(VLOOKUP(J1881,LUTs!$A$1:$C$73,2,FALSE),"NA")</f>
        <v>Snohomish</v>
      </c>
      <c r="L1881" t="str">
        <f>IFERROR(VLOOKUP(J1881,LUTs!$A$1:$C$73,3,FALSE),"NA")</f>
        <v>2Central Puget Sound</v>
      </c>
      <c r="M1881" s="72" t="s">
        <v>18</v>
      </c>
      <c r="N1881" t="str">
        <f>VLOOKUP(M1881,LUTs!E$2:H$14,3,)</f>
        <v>06King</v>
      </c>
      <c r="O1881" t="str">
        <f>VLOOKUP(M1881,LUTs!E$2:H$14,4,)</f>
        <v>02South Puget Sound</v>
      </c>
      <c r="P1881" s="80">
        <v>25.090909090909101</v>
      </c>
      <c r="Q1881" s="103">
        <v>12.545454545454501</v>
      </c>
      <c r="R1881" s="74">
        <f>VLOOKUP(B1881,Readme!A$40:C$52,3,)*Q1881</f>
        <v>232.71818181818099</v>
      </c>
    </row>
    <row r="1882" spans="1:18" ht="12" customHeight="1" x14ac:dyDescent="0.35">
      <c r="A1882" s="75">
        <v>1940</v>
      </c>
      <c r="B1882" s="80">
        <v>2017</v>
      </c>
      <c r="C1882" s="80">
        <v>10</v>
      </c>
      <c r="D1882" s="80">
        <f t="shared" si="106"/>
        <v>2017</v>
      </c>
      <c r="E1882" t="s">
        <v>38</v>
      </c>
      <c r="F1882" t="s">
        <v>143</v>
      </c>
      <c r="G1882" t="s">
        <v>86</v>
      </c>
      <c r="H1882" s="72" t="s">
        <v>233</v>
      </c>
      <c r="I1882" s="72" t="s">
        <v>76</v>
      </c>
      <c r="J1882" t="str">
        <f t="shared" si="108"/>
        <v>Wallace River</v>
      </c>
      <c r="K1882" t="str">
        <f>IFERROR(VLOOKUP(J1882,LUTs!$A$1:$C$73,2,FALSE),"NA")</f>
        <v>Snohomish</v>
      </c>
      <c r="L1882" t="str">
        <f>IFERROR(VLOOKUP(J1882,LUTs!$A$1:$C$73,3,FALSE),"NA")</f>
        <v>2Central Puget Sound</v>
      </c>
      <c r="M1882" s="72" t="s">
        <v>16</v>
      </c>
      <c r="N1882" t="str">
        <f>VLOOKUP(M1882,LUTs!E$2:H$14,3,)</f>
        <v>03Snohomish</v>
      </c>
      <c r="O1882" t="str">
        <f>VLOOKUP(M1882,LUTs!E$2:H$14,4,)</f>
        <v>01North Puget Sound</v>
      </c>
      <c r="P1882" s="80">
        <v>58.545454545454596</v>
      </c>
      <c r="Q1882" s="103">
        <v>29.272727272727298</v>
      </c>
      <c r="R1882" s="74">
        <f>VLOOKUP(B1882,Readme!A$40:C$52,3,)*Q1882</f>
        <v>543.00909090909136</v>
      </c>
    </row>
    <row r="1883" spans="1:18" ht="12" customHeight="1" x14ac:dyDescent="0.35">
      <c r="A1883" s="75">
        <v>1941</v>
      </c>
      <c r="B1883" s="80">
        <v>2017</v>
      </c>
      <c r="C1883" s="80">
        <v>10</v>
      </c>
      <c r="D1883" s="80">
        <f t="shared" si="106"/>
        <v>2017</v>
      </c>
      <c r="E1883" t="s">
        <v>38</v>
      </c>
      <c r="F1883" t="s">
        <v>143</v>
      </c>
      <c r="G1883" t="s">
        <v>86</v>
      </c>
      <c r="H1883" s="72" t="s">
        <v>233</v>
      </c>
      <c r="I1883" s="72" t="s">
        <v>76</v>
      </c>
      <c r="J1883" t="str">
        <f t="shared" si="108"/>
        <v>Wallace River</v>
      </c>
      <c r="K1883" t="str">
        <f>IFERROR(VLOOKUP(J1883,LUTs!$A$1:$C$73,2,FALSE),"NA")</f>
        <v>Snohomish</v>
      </c>
      <c r="L1883" t="str">
        <f>IFERROR(VLOOKUP(J1883,LUTs!$A$1:$C$73,3,FALSE),"NA")</f>
        <v>2Central Puget Sound</v>
      </c>
      <c r="M1883" s="72" t="s">
        <v>13</v>
      </c>
      <c r="N1883" t="str">
        <f>VLOOKUP(M1883,LUTs!E$2:H$14,3,)</f>
        <v>01Whatcom</v>
      </c>
      <c r="O1883" t="str">
        <f>VLOOKUP(M1883,LUTs!E$2:H$14,4,)</f>
        <v>01North Puget Sound</v>
      </c>
      <c r="P1883" s="80">
        <v>8.3636363636363704</v>
      </c>
      <c r="Q1883" s="103">
        <v>4.1818181818181799</v>
      </c>
      <c r="R1883" s="74">
        <f>VLOOKUP(B1883,Readme!A$40:C$52,3,)*Q1883</f>
        <v>77.572727272727235</v>
      </c>
    </row>
    <row r="1884" spans="1:18" ht="12" customHeight="1" x14ac:dyDescent="0.35">
      <c r="A1884" s="75">
        <v>1834</v>
      </c>
      <c r="B1884" s="80">
        <v>2017</v>
      </c>
      <c r="C1884" s="80">
        <v>11</v>
      </c>
      <c r="D1884" s="80">
        <f t="shared" si="106"/>
        <v>2017</v>
      </c>
      <c r="E1884" t="s">
        <v>38</v>
      </c>
      <c r="F1884" t="s">
        <v>143</v>
      </c>
      <c r="G1884" t="s">
        <v>86</v>
      </c>
      <c r="H1884" s="72" t="s">
        <v>201</v>
      </c>
      <c r="I1884" s="72" t="s">
        <v>43</v>
      </c>
      <c r="J1884" t="str">
        <f t="shared" si="108"/>
        <v>Dungeness River</v>
      </c>
      <c r="K1884" t="str">
        <f>IFERROR(VLOOKUP(J1884,LUTs!$A$1:$C$73,2,FALSE),"NA")</f>
        <v>Clallam</v>
      </c>
      <c r="L1884" t="str">
        <f>IFERROR(VLOOKUP(J1884,LUTs!$A$1:$C$73,3,FALSE),"NA")</f>
        <v>0Strait of Juan de Fuca</v>
      </c>
      <c r="M1884" s="72" t="s">
        <v>24</v>
      </c>
      <c r="N1884" t="str">
        <f>VLOOKUP(M1884,LUTs!E$2:H$14,3,)</f>
        <v>11Clallam</v>
      </c>
      <c r="O1884" t="str">
        <f>VLOOKUP(M1884,LUTs!E$2:H$14,4,)</f>
        <v>03Strait of Juan de Fuca</v>
      </c>
      <c r="P1884" s="80">
        <v>44</v>
      </c>
      <c r="Q1884" s="103">
        <v>22</v>
      </c>
      <c r="R1884" s="74">
        <f>VLOOKUP(B1884,Readme!A$40:C$52,3,)*Q1884</f>
        <v>408.1</v>
      </c>
    </row>
    <row r="1885" spans="1:18" ht="12" customHeight="1" x14ac:dyDescent="0.35">
      <c r="A1885" s="75">
        <v>1847</v>
      </c>
      <c r="B1885" s="80">
        <v>2017</v>
      </c>
      <c r="C1885" s="80">
        <v>11</v>
      </c>
      <c r="D1885" s="80">
        <f t="shared" si="106"/>
        <v>2017</v>
      </c>
      <c r="E1885" t="s">
        <v>38</v>
      </c>
      <c r="F1885" t="s">
        <v>143</v>
      </c>
      <c r="G1885" t="s">
        <v>86</v>
      </c>
      <c r="H1885" s="72" t="s">
        <v>203</v>
      </c>
      <c r="I1885" s="72" t="s">
        <v>89</v>
      </c>
      <c r="J1885" s="84" t="s">
        <v>45</v>
      </c>
      <c r="K1885" t="str">
        <f>IFERROR(VLOOKUP(J1885,LUTs!$A$1:$C$73,2,FALSE),"NA")</f>
        <v>King</v>
      </c>
      <c r="L1885" t="str">
        <f>IFERROR(VLOOKUP(J1885,LUTs!$A$1:$C$73,3,FALSE),"NA")</f>
        <v>3South Puget Sound</v>
      </c>
      <c r="M1885" s="72" t="s">
        <v>18</v>
      </c>
      <c r="N1885" t="str">
        <f>VLOOKUP(M1885,LUTs!E$2:H$14,3,)</f>
        <v>06King</v>
      </c>
      <c r="O1885" t="str">
        <f>VLOOKUP(M1885,LUTs!E$2:H$14,4,)</f>
        <v>02South Puget Sound</v>
      </c>
      <c r="P1885" s="80">
        <v>57.3333333333333</v>
      </c>
      <c r="Q1885" s="103">
        <v>28.6666666666667</v>
      </c>
      <c r="R1885" s="74">
        <f>VLOOKUP(B1885,Readme!A$40:C$52,3,)*Q1885</f>
        <v>531.76666666666733</v>
      </c>
    </row>
    <row r="1886" spans="1:18" ht="12" customHeight="1" x14ac:dyDescent="0.35">
      <c r="A1886" s="75">
        <v>1848</v>
      </c>
      <c r="B1886" s="80">
        <v>2017</v>
      </c>
      <c r="C1886" s="80">
        <v>11</v>
      </c>
      <c r="D1886" s="80">
        <f t="shared" si="106"/>
        <v>2017</v>
      </c>
      <c r="E1886" t="s">
        <v>38</v>
      </c>
      <c r="F1886" t="s">
        <v>143</v>
      </c>
      <c r="G1886" t="s">
        <v>86</v>
      </c>
      <c r="H1886" s="72" t="s">
        <v>203</v>
      </c>
      <c r="I1886" s="72" t="s">
        <v>89</v>
      </c>
      <c r="J1886" s="84" t="s">
        <v>45</v>
      </c>
      <c r="K1886" t="str">
        <f>IFERROR(VLOOKUP(J1886,LUTs!$A$1:$C$73,2,FALSE),"NA")</f>
        <v>King</v>
      </c>
      <c r="L1886" t="str">
        <f>IFERROR(VLOOKUP(J1886,LUTs!$A$1:$C$73,3,FALSE),"NA")</f>
        <v>3South Puget Sound</v>
      </c>
      <c r="M1886" s="72" t="s">
        <v>20</v>
      </c>
      <c r="N1886" t="str">
        <f>VLOOKUP(M1886,LUTs!E$2:H$14,3,)</f>
        <v>07Pierce</v>
      </c>
      <c r="O1886" t="str">
        <f>VLOOKUP(M1886,LUTs!E$2:H$14,4,)</f>
        <v>02South Puget Sound</v>
      </c>
      <c r="P1886" s="80">
        <v>28.6666666666667</v>
      </c>
      <c r="Q1886" s="103">
        <v>14.3333333333333</v>
      </c>
      <c r="R1886" s="74">
        <f>VLOOKUP(B1886,Readme!A$40:C$52,3,)*Q1886</f>
        <v>265.8833333333327</v>
      </c>
    </row>
    <row r="1887" spans="1:18" ht="12" customHeight="1" x14ac:dyDescent="0.35">
      <c r="A1887" s="75">
        <v>1890</v>
      </c>
      <c r="B1887" s="80">
        <v>2017</v>
      </c>
      <c r="C1887" s="80">
        <v>11</v>
      </c>
      <c r="D1887" s="80">
        <f t="shared" si="106"/>
        <v>2017</v>
      </c>
      <c r="E1887" t="s">
        <v>38</v>
      </c>
      <c r="F1887" t="s">
        <v>143</v>
      </c>
      <c r="G1887" t="s">
        <v>86</v>
      </c>
      <c r="H1887" s="72" t="s">
        <v>220</v>
      </c>
      <c r="I1887" s="72" t="s">
        <v>62</v>
      </c>
      <c r="J1887" t="str">
        <f t="shared" ref="J1887:J1897" si="109">I1887</f>
        <v>Skykomish River</v>
      </c>
      <c r="K1887" t="str">
        <f>IFERROR(VLOOKUP(J1887,LUTs!$A$1:$C$73,2,FALSE),"NA")</f>
        <v>Snohomish</v>
      </c>
      <c r="L1887" t="str">
        <f>IFERROR(VLOOKUP(J1887,LUTs!$A$1:$C$73,3,FALSE),"NA")</f>
        <v>2Central Puget Sound</v>
      </c>
      <c r="M1887" s="72" t="s">
        <v>18</v>
      </c>
      <c r="N1887" t="str">
        <f>VLOOKUP(M1887,LUTs!E$2:H$14,3,)</f>
        <v>06King</v>
      </c>
      <c r="O1887" t="str">
        <f>VLOOKUP(M1887,LUTs!E$2:H$14,4,)</f>
        <v>02South Puget Sound</v>
      </c>
      <c r="P1887" s="80">
        <v>53.538461538461597</v>
      </c>
      <c r="Q1887" s="103">
        <v>26.769230769230798</v>
      </c>
      <c r="R1887" s="74">
        <f>VLOOKUP(B1887,Readme!A$40:C$52,3,)*Q1887</f>
        <v>496.56923076923135</v>
      </c>
    </row>
    <row r="1888" spans="1:18" ht="12" customHeight="1" x14ac:dyDescent="0.35">
      <c r="A1888" s="75">
        <v>1891</v>
      </c>
      <c r="B1888" s="80">
        <v>2017</v>
      </c>
      <c r="C1888" s="80">
        <v>11</v>
      </c>
      <c r="D1888" s="80">
        <f t="shared" si="106"/>
        <v>2017</v>
      </c>
      <c r="E1888" t="s">
        <v>38</v>
      </c>
      <c r="F1888" t="s">
        <v>143</v>
      </c>
      <c r="G1888" t="s">
        <v>86</v>
      </c>
      <c r="H1888" s="72" t="s">
        <v>220</v>
      </c>
      <c r="I1888" s="72" t="s">
        <v>62</v>
      </c>
      <c r="J1888" t="str">
        <f t="shared" si="109"/>
        <v>Skykomish River</v>
      </c>
      <c r="K1888" t="str">
        <f>IFERROR(VLOOKUP(J1888,LUTs!$A$1:$C$73,2,FALSE),"NA")</f>
        <v>Snohomish</v>
      </c>
      <c r="L1888" t="str">
        <f>IFERROR(VLOOKUP(J1888,LUTs!$A$1:$C$73,3,FALSE),"NA")</f>
        <v>2Central Puget Sound</v>
      </c>
      <c r="M1888" s="72" t="s">
        <v>26</v>
      </c>
      <c r="N1888" t="str">
        <f>VLOOKUP(M1888,LUTs!E$2:H$14,3,)</f>
        <v>20Other</v>
      </c>
      <c r="O1888" t="str">
        <f>VLOOKUP(M1888,LUTs!E$2:H$14,4,)</f>
        <v>07Non Puget Sound</v>
      </c>
      <c r="P1888" s="80">
        <v>8.9230769230769305</v>
      </c>
      <c r="Q1888" s="103">
        <v>4.4615384615384599</v>
      </c>
      <c r="R1888" s="74">
        <f>VLOOKUP(B1888,Readme!A$40:C$52,3,)*Q1888</f>
        <v>82.761538461538436</v>
      </c>
    </row>
    <row r="1889" spans="1:18" ht="12" customHeight="1" x14ac:dyDescent="0.35">
      <c r="A1889" s="75">
        <v>1892</v>
      </c>
      <c r="B1889" s="80">
        <v>2017</v>
      </c>
      <c r="C1889" s="80">
        <v>11</v>
      </c>
      <c r="D1889" s="80">
        <f t="shared" si="106"/>
        <v>2017</v>
      </c>
      <c r="E1889" t="s">
        <v>38</v>
      </c>
      <c r="F1889" t="s">
        <v>143</v>
      </c>
      <c r="G1889" t="s">
        <v>86</v>
      </c>
      <c r="H1889" s="72" t="s">
        <v>220</v>
      </c>
      <c r="I1889" s="72" t="s">
        <v>62</v>
      </c>
      <c r="J1889" t="str">
        <f t="shared" si="109"/>
        <v>Skykomish River</v>
      </c>
      <c r="K1889" t="str">
        <f>IFERROR(VLOOKUP(J1889,LUTs!$A$1:$C$73,2,FALSE),"NA")</f>
        <v>Snohomish</v>
      </c>
      <c r="L1889" t="str">
        <f>IFERROR(VLOOKUP(J1889,LUTs!$A$1:$C$73,3,FALSE),"NA")</f>
        <v>2Central Puget Sound</v>
      </c>
      <c r="M1889" s="72" t="s">
        <v>16</v>
      </c>
      <c r="N1889" t="str">
        <f>VLOOKUP(M1889,LUTs!E$2:H$14,3,)</f>
        <v>03Snohomish</v>
      </c>
      <c r="O1889" t="str">
        <f>VLOOKUP(M1889,LUTs!E$2:H$14,4,)</f>
        <v>01North Puget Sound</v>
      </c>
      <c r="P1889" s="80">
        <v>169.538461538462</v>
      </c>
      <c r="Q1889" s="103">
        <v>84.769230769230802</v>
      </c>
      <c r="R1889" s="74">
        <f>VLOOKUP(B1889,Readme!A$40:C$52,3,)*Q1889</f>
        <v>1572.4692307692314</v>
      </c>
    </row>
    <row r="1890" spans="1:18" ht="12" customHeight="1" x14ac:dyDescent="0.35">
      <c r="A1890" s="75">
        <v>1912</v>
      </c>
      <c r="B1890" s="80">
        <v>2017</v>
      </c>
      <c r="C1890" s="80">
        <v>11</v>
      </c>
      <c r="D1890" s="80">
        <f t="shared" si="106"/>
        <v>2017</v>
      </c>
      <c r="E1890" t="s">
        <v>38</v>
      </c>
      <c r="F1890" t="s">
        <v>143</v>
      </c>
      <c r="G1890" t="s">
        <v>86</v>
      </c>
      <c r="H1890" s="72" t="s">
        <v>248</v>
      </c>
      <c r="I1890" s="72" t="s">
        <v>99</v>
      </c>
      <c r="J1890" t="str">
        <f t="shared" si="109"/>
        <v>Skykomish River, So. Fork</v>
      </c>
      <c r="K1890" t="str">
        <f>IFERROR(VLOOKUP(J1890,LUTs!$A$1:$C$73,2,FALSE),"NA")</f>
        <v>Snohomish/King</v>
      </c>
      <c r="L1890" t="str">
        <f>IFERROR(VLOOKUP(J1890,LUTs!$A$1:$C$73,3,FALSE),"NA")</f>
        <v>2Central Puget Sound</v>
      </c>
      <c r="M1890" s="72" t="s">
        <v>23</v>
      </c>
      <c r="N1890" t="str">
        <f>VLOOKUP(M1890,LUTs!E$2:H$14,3,)</f>
        <v>10Kitsap</v>
      </c>
      <c r="O1890" t="str">
        <f>VLOOKUP(M1890,LUTs!E$2:H$14,4,)</f>
        <v>02South Puget Sound</v>
      </c>
      <c r="P1890" s="80">
        <v>8</v>
      </c>
      <c r="Q1890" s="103">
        <v>4</v>
      </c>
      <c r="R1890" s="74">
        <f>VLOOKUP(B1890,Readme!A$40:C$52,3,)*Q1890</f>
        <v>74.2</v>
      </c>
    </row>
    <row r="1891" spans="1:18" ht="12" customHeight="1" x14ac:dyDescent="0.35">
      <c r="A1891" s="75">
        <v>1951</v>
      </c>
      <c r="B1891" s="80">
        <v>2017</v>
      </c>
      <c r="C1891" s="80">
        <v>11</v>
      </c>
      <c r="D1891" s="80">
        <f t="shared" si="106"/>
        <v>2017</v>
      </c>
      <c r="E1891" t="s">
        <v>38</v>
      </c>
      <c r="F1891" t="s">
        <v>143</v>
      </c>
      <c r="G1891" t="s">
        <v>86</v>
      </c>
      <c r="H1891" s="72" t="s">
        <v>223</v>
      </c>
      <c r="I1891" s="72" t="s">
        <v>103</v>
      </c>
      <c r="J1891" t="str">
        <f t="shared" si="109"/>
        <v>Stillaguamish R, No. Fork</v>
      </c>
      <c r="K1891" t="str">
        <f>IFERROR(VLOOKUP(J1891,LUTs!$A$1:$C$73,2,FALSE),"NA")</f>
        <v>Snohomish</v>
      </c>
      <c r="L1891" t="str">
        <f>IFERROR(VLOOKUP(J1891,LUTs!$A$1:$C$73,3,FALSE),"NA")</f>
        <v>2Central Puget Sound</v>
      </c>
      <c r="M1891" s="72" t="s">
        <v>16</v>
      </c>
      <c r="N1891" t="str">
        <f>VLOOKUP(M1891,LUTs!E$2:H$14,3,)</f>
        <v>03Snohomish</v>
      </c>
      <c r="O1891" t="str">
        <f>VLOOKUP(M1891,LUTs!E$2:H$14,4,)</f>
        <v>01North Puget Sound</v>
      </c>
      <c r="P1891" s="80">
        <v>10</v>
      </c>
      <c r="Q1891" s="103">
        <v>5</v>
      </c>
      <c r="R1891" s="74">
        <f>VLOOKUP(B1891,Readme!A$40:C$52,3,)*Q1891</f>
        <v>92.75</v>
      </c>
    </row>
    <row r="1892" spans="1:18" ht="12" customHeight="1" x14ac:dyDescent="0.35">
      <c r="A1892" s="75">
        <v>1942</v>
      </c>
      <c r="B1892" s="80">
        <v>2017</v>
      </c>
      <c r="C1892" s="80">
        <v>11</v>
      </c>
      <c r="D1892" s="80">
        <f t="shared" si="106"/>
        <v>2017</v>
      </c>
      <c r="E1892" t="s">
        <v>38</v>
      </c>
      <c r="F1892" t="s">
        <v>143</v>
      </c>
      <c r="G1892" t="s">
        <v>86</v>
      </c>
      <c r="H1892" s="72" t="s">
        <v>233</v>
      </c>
      <c r="I1892" s="72" t="s">
        <v>76</v>
      </c>
      <c r="J1892" t="str">
        <f t="shared" si="109"/>
        <v>Wallace River</v>
      </c>
      <c r="K1892" t="str">
        <f>IFERROR(VLOOKUP(J1892,LUTs!$A$1:$C$73,2,FALSE),"NA")</f>
        <v>Snohomish</v>
      </c>
      <c r="L1892" t="str">
        <f>IFERROR(VLOOKUP(J1892,LUTs!$A$1:$C$73,3,FALSE),"NA")</f>
        <v>2Central Puget Sound</v>
      </c>
      <c r="M1892" s="72" t="s">
        <v>18</v>
      </c>
      <c r="N1892" t="str">
        <f>VLOOKUP(M1892,LUTs!E$2:H$14,3,)</f>
        <v>06King</v>
      </c>
      <c r="O1892" t="str">
        <f>VLOOKUP(M1892,LUTs!E$2:H$14,4,)</f>
        <v>02South Puget Sound</v>
      </c>
      <c r="P1892" s="80">
        <v>18</v>
      </c>
      <c r="Q1892" s="103">
        <v>9</v>
      </c>
      <c r="R1892" s="74">
        <f>VLOOKUP(B1892,Readme!A$40:C$52,3,)*Q1892</f>
        <v>166.95000000000002</v>
      </c>
    </row>
    <row r="1893" spans="1:18" ht="12" customHeight="1" x14ac:dyDescent="0.35">
      <c r="A1893" s="75">
        <v>1943</v>
      </c>
      <c r="B1893" s="80">
        <v>2017</v>
      </c>
      <c r="C1893" s="80">
        <v>11</v>
      </c>
      <c r="D1893" s="80">
        <f t="shared" si="106"/>
        <v>2017</v>
      </c>
      <c r="E1893" t="s">
        <v>38</v>
      </c>
      <c r="F1893" t="s">
        <v>143</v>
      </c>
      <c r="G1893" t="s">
        <v>86</v>
      </c>
      <c r="H1893" s="72" t="s">
        <v>233</v>
      </c>
      <c r="I1893" s="72" t="s">
        <v>76</v>
      </c>
      <c r="J1893" t="str">
        <f t="shared" si="109"/>
        <v>Wallace River</v>
      </c>
      <c r="K1893" t="str">
        <f>IFERROR(VLOOKUP(J1893,LUTs!$A$1:$C$73,2,FALSE),"NA")</f>
        <v>Snohomish</v>
      </c>
      <c r="L1893" t="str">
        <f>IFERROR(VLOOKUP(J1893,LUTs!$A$1:$C$73,3,FALSE),"NA")</f>
        <v>2Central Puget Sound</v>
      </c>
      <c r="M1893" s="72" t="s">
        <v>26</v>
      </c>
      <c r="N1893" t="str">
        <f>VLOOKUP(M1893,LUTs!E$2:H$14,3,)</f>
        <v>20Other</v>
      </c>
      <c r="O1893" t="str">
        <f>VLOOKUP(M1893,LUTs!E$2:H$14,4,)</f>
        <v>07Non Puget Sound</v>
      </c>
      <c r="P1893" s="80">
        <v>9</v>
      </c>
      <c r="Q1893" s="103">
        <v>4.5</v>
      </c>
      <c r="R1893" s="74">
        <f>VLOOKUP(B1893,Readme!A$40:C$52,3,)*Q1893</f>
        <v>83.475000000000009</v>
      </c>
    </row>
    <row r="1894" spans="1:18" ht="12" customHeight="1" x14ac:dyDescent="0.35">
      <c r="A1894" s="75">
        <v>1944</v>
      </c>
      <c r="B1894" s="80">
        <v>2017</v>
      </c>
      <c r="C1894" s="80">
        <v>11</v>
      </c>
      <c r="D1894" s="80">
        <f t="shared" si="106"/>
        <v>2017</v>
      </c>
      <c r="E1894" t="s">
        <v>38</v>
      </c>
      <c r="F1894" t="s">
        <v>143</v>
      </c>
      <c r="G1894" t="s">
        <v>86</v>
      </c>
      <c r="H1894" s="72" t="s">
        <v>233</v>
      </c>
      <c r="I1894" s="72" t="s">
        <v>76</v>
      </c>
      <c r="J1894" t="str">
        <f t="shared" si="109"/>
        <v>Wallace River</v>
      </c>
      <c r="K1894" t="str">
        <f>IFERROR(VLOOKUP(J1894,LUTs!$A$1:$C$73,2,FALSE),"NA")</f>
        <v>Snohomish</v>
      </c>
      <c r="L1894" t="str">
        <f>IFERROR(VLOOKUP(J1894,LUTs!$A$1:$C$73,3,FALSE),"NA")</f>
        <v>2Central Puget Sound</v>
      </c>
      <c r="M1894" s="72" t="s">
        <v>16</v>
      </c>
      <c r="N1894" t="str">
        <f>VLOOKUP(M1894,LUTs!E$2:H$14,3,)</f>
        <v>03Snohomish</v>
      </c>
      <c r="O1894" t="str">
        <f>VLOOKUP(M1894,LUTs!E$2:H$14,4,)</f>
        <v>01North Puget Sound</v>
      </c>
      <c r="P1894" s="80">
        <v>27</v>
      </c>
      <c r="Q1894" s="103">
        <v>13.5</v>
      </c>
      <c r="R1894" s="74">
        <f>VLOOKUP(B1894,Readme!A$40:C$52,3,)*Q1894</f>
        <v>250.42500000000001</v>
      </c>
    </row>
    <row r="1895" spans="1:18" ht="12" customHeight="1" x14ac:dyDescent="0.35">
      <c r="A1895" s="75">
        <v>1958</v>
      </c>
      <c r="B1895" s="80">
        <v>2017</v>
      </c>
      <c r="C1895" s="80">
        <v>12</v>
      </c>
      <c r="D1895" s="80">
        <f t="shared" si="106"/>
        <v>2017</v>
      </c>
      <c r="E1895" t="s">
        <v>38</v>
      </c>
      <c r="F1895" t="s">
        <v>143</v>
      </c>
      <c r="G1895" t="s">
        <v>86</v>
      </c>
      <c r="H1895" s="72" t="s">
        <v>254</v>
      </c>
      <c r="I1895" s="72" t="s">
        <v>33</v>
      </c>
      <c r="J1895" t="str">
        <f t="shared" si="109"/>
        <v>Area 9: Admiralty Inlet</v>
      </c>
      <c r="K1895" t="str">
        <f>IFERROR(VLOOKUP(J1895,LUTs!$A$1:$C$73,2,FALSE),"NA")</f>
        <v>NA</v>
      </c>
      <c r="L1895" t="str">
        <f>IFERROR(VLOOKUP(J1895,LUTs!$A$1:$C$73,3,FALSE),"NA")</f>
        <v>2Central Puget Sound</v>
      </c>
      <c r="M1895" s="72" t="s">
        <v>17</v>
      </c>
      <c r="N1895" t="str">
        <f>VLOOKUP(M1895,LUTs!E$2:H$14,3,)</f>
        <v>04Island</v>
      </c>
      <c r="O1895" t="str">
        <f>VLOOKUP(M1895,LUTs!E$2:H$14,4,)</f>
        <v>01North Puget Sound</v>
      </c>
      <c r="P1895" s="80">
        <v>11</v>
      </c>
      <c r="Q1895" s="103">
        <v>5.5</v>
      </c>
      <c r="R1895" s="74">
        <f>VLOOKUP(B1895,Readme!A$40:C$52,3,)*Q1895</f>
        <v>102.02500000000001</v>
      </c>
    </row>
    <row r="1896" spans="1:18" ht="12" customHeight="1" x14ac:dyDescent="0.35">
      <c r="A1896" s="75">
        <v>1959</v>
      </c>
      <c r="B1896" s="80">
        <v>2017</v>
      </c>
      <c r="C1896" s="80">
        <v>12</v>
      </c>
      <c r="D1896" s="80">
        <f t="shared" si="106"/>
        <v>2017</v>
      </c>
      <c r="E1896" t="s">
        <v>38</v>
      </c>
      <c r="F1896" t="s">
        <v>143</v>
      </c>
      <c r="G1896" t="s">
        <v>86</v>
      </c>
      <c r="H1896" s="72" t="s">
        <v>254</v>
      </c>
      <c r="I1896" s="72" t="s">
        <v>33</v>
      </c>
      <c r="J1896" t="str">
        <f t="shared" si="109"/>
        <v>Area 9: Admiralty Inlet</v>
      </c>
      <c r="K1896" t="str">
        <f>IFERROR(VLOOKUP(J1896,LUTs!$A$1:$C$73,2,FALSE),"NA")</f>
        <v>NA</v>
      </c>
      <c r="L1896" t="str">
        <f>IFERROR(VLOOKUP(J1896,LUTs!$A$1:$C$73,3,FALSE),"NA")</f>
        <v>2Central Puget Sound</v>
      </c>
      <c r="M1896" s="72" t="s">
        <v>25</v>
      </c>
      <c r="N1896" t="str">
        <f>VLOOKUP(M1896,LUTs!E$2:H$14,3,)</f>
        <v>12Jefferson</v>
      </c>
      <c r="O1896" t="str">
        <f>VLOOKUP(M1896,LUTs!E$2:H$14,4,)</f>
        <v>03Strait of Juan de Fuca</v>
      </c>
      <c r="P1896" s="80">
        <v>11</v>
      </c>
      <c r="Q1896" s="103">
        <v>5.5</v>
      </c>
      <c r="R1896" s="74">
        <f>VLOOKUP(B1896,Readme!A$40:C$52,3,)*Q1896</f>
        <v>102.02500000000001</v>
      </c>
    </row>
    <row r="1897" spans="1:18" ht="12" customHeight="1" x14ac:dyDescent="0.35">
      <c r="A1897" s="75">
        <v>1960</v>
      </c>
      <c r="B1897" s="80">
        <v>2017</v>
      </c>
      <c r="C1897" s="80">
        <v>12</v>
      </c>
      <c r="D1897" s="80">
        <f t="shared" si="106"/>
        <v>2017</v>
      </c>
      <c r="E1897" t="s">
        <v>38</v>
      </c>
      <c r="F1897" t="s">
        <v>143</v>
      </c>
      <c r="G1897" t="s">
        <v>86</v>
      </c>
      <c r="H1897" s="72" t="s">
        <v>254</v>
      </c>
      <c r="I1897" s="72" t="s">
        <v>33</v>
      </c>
      <c r="J1897" t="str">
        <f t="shared" si="109"/>
        <v>Area 9: Admiralty Inlet</v>
      </c>
      <c r="K1897" t="str">
        <f>IFERROR(VLOOKUP(J1897,LUTs!$A$1:$C$73,2,FALSE),"NA")</f>
        <v>NA</v>
      </c>
      <c r="L1897" t="str">
        <f>IFERROR(VLOOKUP(J1897,LUTs!$A$1:$C$73,3,FALSE),"NA")</f>
        <v>2Central Puget Sound</v>
      </c>
      <c r="M1897" s="72" t="s">
        <v>16</v>
      </c>
      <c r="N1897" t="str">
        <f>VLOOKUP(M1897,LUTs!E$2:H$14,3,)</f>
        <v>03Snohomish</v>
      </c>
      <c r="O1897" t="str">
        <f>VLOOKUP(M1897,LUTs!E$2:H$14,4,)</f>
        <v>01North Puget Sound</v>
      </c>
      <c r="P1897" s="80">
        <v>22</v>
      </c>
      <c r="Q1897" s="103">
        <v>11</v>
      </c>
      <c r="R1897" s="74">
        <f>VLOOKUP(B1897,Readme!A$40:C$52,3,)*Q1897</f>
        <v>204.05</v>
      </c>
    </row>
    <row r="1898" spans="1:18" ht="12" customHeight="1" x14ac:dyDescent="0.35">
      <c r="A1898" s="75">
        <v>1849</v>
      </c>
      <c r="B1898" s="80">
        <v>2017</v>
      </c>
      <c r="C1898" s="80">
        <v>12</v>
      </c>
      <c r="D1898" s="80">
        <f t="shared" si="106"/>
        <v>2017</v>
      </c>
      <c r="E1898" t="s">
        <v>38</v>
      </c>
      <c r="F1898" t="s">
        <v>143</v>
      </c>
      <c r="G1898" t="s">
        <v>86</v>
      </c>
      <c r="H1898" s="72" t="s">
        <v>203</v>
      </c>
      <c r="I1898" s="72" t="s">
        <v>89</v>
      </c>
      <c r="J1898" s="84" t="s">
        <v>45</v>
      </c>
      <c r="K1898" t="str">
        <f>IFERROR(VLOOKUP(J1898,LUTs!$A$1:$C$73,2,FALSE),"NA")</f>
        <v>King</v>
      </c>
      <c r="L1898" t="str">
        <f>IFERROR(VLOOKUP(J1898,LUTs!$A$1:$C$73,3,FALSE),"NA")</f>
        <v>3South Puget Sound</v>
      </c>
      <c r="M1898" s="72" t="s">
        <v>18</v>
      </c>
      <c r="N1898" t="str">
        <f>VLOOKUP(M1898,LUTs!E$2:H$14,3,)</f>
        <v>06King</v>
      </c>
      <c r="O1898" t="str">
        <f>VLOOKUP(M1898,LUTs!E$2:H$14,4,)</f>
        <v>02South Puget Sound</v>
      </c>
      <c r="P1898" s="80">
        <v>127.8</v>
      </c>
      <c r="Q1898" s="103">
        <v>63.9</v>
      </c>
      <c r="R1898" s="74">
        <f>VLOOKUP(B1898,Readme!A$40:C$52,3,)*Q1898</f>
        <v>1185.345</v>
      </c>
    </row>
    <row r="1899" spans="1:18" ht="12" customHeight="1" x14ac:dyDescent="0.35">
      <c r="A1899" s="75">
        <v>1850</v>
      </c>
      <c r="B1899" s="80">
        <v>2017</v>
      </c>
      <c r="C1899" s="80">
        <v>12</v>
      </c>
      <c r="D1899" s="80">
        <f t="shared" si="106"/>
        <v>2017</v>
      </c>
      <c r="E1899" t="s">
        <v>38</v>
      </c>
      <c r="F1899" t="s">
        <v>143</v>
      </c>
      <c r="G1899" t="s">
        <v>86</v>
      </c>
      <c r="H1899" s="72" t="s">
        <v>203</v>
      </c>
      <c r="I1899" s="72" t="s">
        <v>89</v>
      </c>
      <c r="J1899" s="84" t="s">
        <v>45</v>
      </c>
      <c r="K1899" t="str">
        <f>IFERROR(VLOOKUP(J1899,LUTs!$A$1:$C$73,2,FALSE),"NA")</f>
        <v>King</v>
      </c>
      <c r="L1899" t="str">
        <f>IFERROR(VLOOKUP(J1899,LUTs!$A$1:$C$73,3,FALSE),"NA")</f>
        <v>3South Puget Sound</v>
      </c>
      <c r="M1899" s="72" t="s">
        <v>20</v>
      </c>
      <c r="N1899" t="str">
        <f>VLOOKUP(M1899,LUTs!E$2:H$14,3,)</f>
        <v>07Pierce</v>
      </c>
      <c r="O1899" t="str">
        <f>VLOOKUP(M1899,LUTs!E$2:H$14,4,)</f>
        <v>02South Puget Sound</v>
      </c>
      <c r="P1899" s="80">
        <v>14.2</v>
      </c>
      <c r="Q1899" s="103">
        <v>7.1</v>
      </c>
      <c r="R1899" s="74">
        <f>VLOOKUP(B1899,Readme!A$40:C$52,3,)*Q1899</f>
        <v>131.70500000000001</v>
      </c>
    </row>
    <row r="1900" spans="1:18" ht="12" customHeight="1" x14ac:dyDescent="0.35">
      <c r="A1900" s="75">
        <v>1852</v>
      </c>
      <c r="B1900" s="80">
        <v>2017</v>
      </c>
      <c r="C1900" s="80">
        <v>12</v>
      </c>
      <c r="D1900" s="80">
        <f t="shared" si="106"/>
        <v>2017</v>
      </c>
      <c r="E1900" t="s">
        <v>38</v>
      </c>
      <c r="F1900" t="s">
        <v>143</v>
      </c>
      <c r="G1900" t="s">
        <v>86</v>
      </c>
      <c r="H1900" s="72" t="s">
        <v>204</v>
      </c>
      <c r="I1900" s="72" t="s">
        <v>46</v>
      </c>
      <c r="J1900" t="str">
        <f t="shared" ref="J1900:J1905" si="110">I1900</f>
        <v>Hoko River</v>
      </c>
      <c r="K1900" t="str">
        <f>IFERROR(VLOOKUP(J1900,LUTs!$A$1:$C$73,2,FALSE),"NA")</f>
        <v>Clallam</v>
      </c>
      <c r="L1900" t="str">
        <f>IFERROR(VLOOKUP(J1900,LUTs!$A$1:$C$73,3,FALSE),"NA")</f>
        <v>0Strait of Juan de Fuca</v>
      </c>
      <c r="M1900" s="72" t="s">
        <v>24</v>
      </c>
      <c r="N1900" t="str">
        <f>VLOOKUP(M1900,LUTs!E$2:H$14,3,)</f>
        <v>11Clallam</v>
      </c>
      <c r="O1900" t="str">
        <f>VLOOKUP(M1900,LUTs!E$2:H$14,4,)</f>
        <v>03Strait of Juan de Fuca</v>
      </c>
      <c r="P1900" s="80">
        <v>153.26315789473699</v>
      </c>
      <c r="Q1900" s="103">
        <v>76.631578947368396</v>
      </c>
      <c r="R1900" s="74">
        <f>VLOOKUP(B1900,Readme!A$40:C$52,3,)*Q1900</f>
        <v>1421.5157894736838</v>
      </c>
    </row>
    <row r="1901" spans="1:18" ht="12" customHeight="1" x14ac:dyDescent="0.35">
      <c r="A1901" s="75">
        <v>1853</v>
      </c>
      <c r="B1901" s="80">
        <v>2017</v>
      </c>
      <c r="C1901" s="80">
        <v>12</v>
      </c>
      <c r="D1901" s="80">
        <f t="shared" si="106"/>
        <v>2017</v>
      </c>
      <c r="E1901" t="s">
        <v>38</v>
      </c>
      <c r="F1901" t="s">
        <v>143</v>
      </c>
      <c r="G1901" t="s">
        <v>86</v>
      </c>
      <c r="H1901" s="72" t="s">
        <v>204</v>
      </c>
      <c r="I1901" s="72" t="s">
        <v>46</v>
      </c>
      <c r="J1901" t="str">
        <f t="shared" si="110"/>
        <v>Hoko River</v>
      </c>
      <c r="K1901" t="str">
        <f>IFERROR(VLOOKUP(J1901,LUTs!$A$1:$C$73,2,FALSE),"NA")</f>
        <v>Clallam</v>
      </c>
      <c r="L1901" t="str">
        <f>IFERROR(VLOOKUP(J1901,LUTs!$A$1:$C$73,3,FALSE),"NA")</f>
        <v>0Strait of Juan de Fuca</v>
      </c>
      <c r="M1901" s="72" t="s">
        <v>18</v>
      </c>
      <c r="N1901" t="str">
        <f>VLOOKUP(M1901,LUTs!E$2:H$14,3,)</f>
        <v>06King</v>
      </c>
      <c r="O1901" t="str">
        <f>VLOOKUP(M1901,LUTs!E$2:H$14,4,)</f>
        <v>02South Puget Sound</v>
      </c>
      <c r="P1901" s="80">
        <v>21.894736842105299</v>
      </c>
      <c r="Q1901" s="103">
        <v>10.9473684210526</v>
      </c>
      <c r="R1901" s="74">
        <f>VLOOKUP(B1901,Readme!A$40:C$52,3,)*Q1901</f>
        <v>203.07368421052573</v>
      </c>
    </row>
    <row r="1902" spans="1:18" ht="12" customHeight="1" x14ac:dyDescent="0.35">
      <c r="A1902" s="75">
        <v>1854</v>
      </c>
      <c r="B1902" s="80">
        <v>2017</v>
      </c>
      <c r="C1902" s="80">
        <v>12</v>
      </c>
      <c r="D1902" s="80">
        <f t="shared" si="106"/>
        <v>2017</v>
      </c>
      <c r="E1902" t="s">
        <v>38</v>
      </c>
      <c r="F1902" t="s">
        <v>143</v>
      </c>
      <c r="G1902" t="s">
        <v>86</v>
      </c>
      <c r="H1902" s="72" t="s">
        <v>204</v>
      </c>
      <c r="I1902" s="72" t="s">
        <v>46</v>
      </c>
      <c r="J1902" t="str">
        <f t="shared" si="110"/>
        <v>Hoko River</v>
      </c>
      <c r="K1902" t="str">
        <f>IFERROR(VLOOKUP(J1902,LUTs!$A$1:$C$73,2,FALSE),"NA")</f>
        <v>Clallam</v>
      </c>
      <c r="L1902" t="str">
        <f>IFERROR(VLOOKUP(J1902,LUTs!$A$1:$C$73,3,FALSE),"NA")</f>
        <v>0Strait of Juan de Fuca</v>
      </c>
      <c r="M1902" s="72" t="s">
        <v>20</v>
      </c>
      <c r="N1902" t="str">
        <f>VLOOKUP(M1902,LUTs!E$2:H$14,3,)</f>
        <v>07Pierce</v>
      </c>
      <c r="O1902" t="str">
        <f>VLOOKUP(M1902,LUTs!E$2:H$14,4,)</f>
        <v>02South Puget Sound</v>
      </c>
      <c r="P1902" s="80">
        <v>21.894736842105299</v>
      </c>
      <c r="Q1902" s="103">
        <v>10.9473684210526</v>
      </c>
      <c r="R1902" s="74">
        <f>VLOOKUP(B1902,Readme!A$40:C$52,3,)*Q1902</f>
        <v>203.07368421052573</v>
      </c>
    </row>
    <row r="1903" spans="1:18" ht="12" customHeight="1" x14ac:dyDescent="0.35">
      <c r="A1903" s="75">
        <v>1855</v>
      </c>
      <c r="B1903" s="80">
        <v>2017</v>
      </c>
      <c r="C1903" s="80">
        <v>12</v>
      </c>
      <c r="D1903" s="80">
        <f t="shared" si="106"/>
        <v>2017</v>
      </c>
      <c r="E1903" t="s">
        <v>38</v>
      </c>
      <c r="F1903" t="s">
        <v>143</v>
      </c>
      <c r="G1903" t="s">
        <v>86</v>
      </c>
      <c r="H1903" s="72" t="s">
        <v>204</v>
      </c>
      <c r="I1903" s="72" t="s">
        <v>46</v>
      </c>
      <c r="J1903" t="str">
        <f t="shared" si="110"/>
        <v>Hoko River</v>
      </c>
      <c r="K1903" t="str">
        <f>IFERROR(VLOOKUP(J1903,LUTs!$A$1:$C$73,2,FALSE),"NA")</f>
        <v>Clallam</v>
      </c>
      <c r="L1903" t="str">
        <f>IFERROR(VLOOKUP(J1903,LUTs!$A$1:$C$73,3,FALSE),"NA")</f>
        <v>0Strait of Juan de Fuca</v>
      </c>
      <c r="M1903" s="72" t="s">
        <v>21</v>
      </c>
      <c r="N1903" t="str">
        <f>VLOOKUP(M1903,LUTs!E$2:H$14,3,)</f>
        <v>08Thurston</v>
      </c>
      <c r="O1903" t="str">
        <f>VLOOKUP(M1903,LUTs!E$2:H$14,4,)</f>
        <v>02South Puget Sound</v>
      </c>
      <c r="P1903" s="80">
        <v>10.9473684210526</v>
      </c>
      <c r="Q1903" s="103">
        <v>5.4736842105263204</v>
      </c>
      <c r="R1903" s="74">
        <f>VLOOKUP(B1903,Readme!A$40:C$52,3,)*Q1903</f>
        <v>101.53684210526325</v>
      </c>
    </row>
    <row r="1904" spans="1:18" ht="12" customHeight="1" x14ac:dyDescent="0.35">
      <c r="A1904" s="75">
        <v>1860</v>
      </c>
      <c r="B1904" s="80">
        <v>2017</v>
      </c>
      <c r="C1904" s="80">
        <v>12</v>
      </c>
      <c r="D1904" s="80">
        <f t="shared" si="106"/>
        <v>2017</v>
      </c>
      <c r="E1904" t="s">
        <v>38</v>
      </c>
      <c r="F1904" t="s">
        <v>143</v>
      </c>
      <c r="G1904" t="s">
        <v>86</v>
      </c>
      <c r="H1904" s="72" t="s">
        <v>238</v>
      </c>
      <c r="I1904" s="72" t="s">
        <v>91</v>
      </c>
      <c r="J1904" t="str">
        <f t="shared" si="110"/>
        <v>Morse Creek (Clallam Co.)</v>
      </c>
      <c r="K1904" t="str">
        <f>IFERROR(VLOOKUP(J1904,LUTs!$A$1:$C$73,2,FALSE),"NA")</f>
        <v>Clallam</v>
      </c>
      <c r="L1904" t="str">
        <f>IFERROR(VLOOKUP(J1904,LUTs!$A$1:$C$73,3,FALSE),"NA")</f>
        <v>0Strait of Juan de Fuca</v>
      </c>
      <c r="M1904" s="72" t="s">
        <v>24</v>
      </c>
      <c r="N1904" t="str">
        <f>VLOOKUP(M1904,LUTs!E$2:H$14,3,)</f>
        <v>11Clallam</v>
      </c>
      <c r="O1904" t="str">
        <f>VLOOKUP(M1904,LUTs!E$2:H$14,4,)</f>
        <v>03Strait of Juan de Fuca</v>
      </c>
      <c r="P1904" s="80">
        <v>10</v>
      </c>
      <c r="Q1904" s="103">
        <v>5</v>
      </c>
      <c r="R1904" s="74">
        <f>VLOOKUP(B1904,Readme!A$40:C$52,3,)*Q1904</f>
        <v>92.75</v>
      </c>
    </row>
    <row r="1905" spans="1:18" ht="12" customHeight="1" x14ac:dyDescent="0.35">
      <c r="A1905" s="75">
        <v>1866</v>
      </c>
      <c r="B1905" s="80">
        <v>2017</v>
      </c>
      <c r="C1905" s="80">
        <v>12</v>
      </c>
      <c r="D1905" s="80">
        <f t="shared" si="106"/>
        <v>2017</v>
      </c>
      <c r="E1905" t="s">
        <v>38</v>
      </c>
      <c r="F1905" t="s">
        <v>143</v>
      </c>
      <c r="G1905" t="s">
        <v>86</v>
      </c>
      <c r="H1905" s="72" t="s">
        <v>241</v>
      </c>
      <c r="I1905" s="72" t="s">
        <v>83</v>
      </c>
      <c r="J1905" t="str">
        <f t="shared" si="110"/>
        <v>Nooksack River, below North Fork</v>
      </c>
      <c r="K1905" t="str">
        <f>IFERROR(VLOOKUP(J1905,LUTs!$A$1:$C$73,2,FALSE),"NA")</f>
        <v>Whatcom</v>
      </c>
      <c r="L1905" t="str">
        <f>IFERROR(VLOOKUP(J1905,LUTs!$A$1:$C$73,3,FALSE),"NA")</f>
        <v>1North Puget Sound</v>
      </c>
      <c r="M1905" s="72" t="s">
        <v>13</v>
      </c>
      <c r="N1905" t="str">
        <f>VLOOKUP(M1905,LUTs!E$2:H$14,3,)</f>
        <v>01Whatcom</v>
      </c>
      <c r="O1905" t="str">
        <f>VLOOKUP(M1905,LUTs!E$2:H$14,4,)</f>
        <v>01North Puget Sound</v>
      </c>
      <c r="P1905" s="80">
        <v>54</v>
      </c>
      <c r="Q1905" s="103">
        <v>27</v>
      </c>
      <c r="R1905" s="74">
        <f>VLOOKUP(B1905,Readme!A$40:C$52,3,)*Q1905</f>
        <v>500.85</v>
      </c>
    </row>
    <row r="1906" spans="1:18" ht="12" customHeight="1" x14ac:dyDescent="0.35">
      <c r="A1906" s="75">
        <v>1861</v>
      </c>
      <c r="B1906" s="80">
        <v>2017</v>
      </c>
      <c r="C1906" s="80">
        <v>12</v>
      </c>
      <c r="D1906" s="80">
        <f t="shared" si="106"/>
        <v>2017</v>
      </c>
      <c r="E1906" t="s">
        <v>38</v>
      </c>
      <c r="F1906" t="s">
        <v>143</v>
      </c>
      <c r="G1906" t="s">
        <v>86</v>
      </c>
      <c r="H1906" s="72" t="s">
        <v>210</v>
      </c>
      <c r="I1906" s="72" t="s">
        <v>108</v>
      </c>
      <c r="J1906" s="84" t="s">
        <v>52</v>
      </c>
      <c r="K1906" t="str">
        <f>IFERROR(VLOOKUP(J1906,LUTs!$A$1:$C$73,2,FALSE),"NA")</f>
        <v>Whatcom</v>
      </c>
      <c r="L1906" t="str">
        <f>IFERROR(VLOOKUP(J1906,LUTs!$A$1:$C$73,3,FALSE),"NA")</f>
        <v>1North Puget Sound</v>
      </c>
      <c r="M1906" s="72" t="s">
        <v>13</v>
      </c>
      <c r="N1906" t="str">
        <f>VLOOKUP(M1906,LUTs!E$2:H$14,3,)</f>
        <v>01Whatcom</v>
      </c>
      <c r="O1906" t="str">
        <f>VLOOKUP(M1906,LUTs!E$2:H$14,4,)</f>
        <v>01North Puget Sound</v>
      </c>
      <c r="P1906" s="80">
        <v>22</v>
      </c>
      <c r="Q1906" s="103">
        <v>11</v>
      </c>
      <c r="R1906" s="74">
        <f>VLOOKUP(B1906,Readme!A$40:C$52,3,)*Q1906</f>
        <v>204.05</v>
      </c>
    </row>
    <row r="1907" spans="1:18" ht="12" customHeight="1" x14ac:dyDescent="0.35">
      <c r="A1907" s="75">
        <v>1863</v>
      </c>
      <c r="B1907" s="80">
        <v>2017</v>
      </c>
      <c r="C1907" s="80">
        <v>12</v>
      </c>
      <c r="D1907" s="80">
        <f t="shared" si="106"/>
        <v>2017</v>
      </c>
      <c r="E1907" t="s">
        <v>38</v>
      </c>
      <c r="F1907" t="s">
        <v>143</v>
      </c>
      <c r="G1907" t="s">
        <v>86</v>
      </c>
      <c r="H1907" s="72" t="s">
        <v>239</v>
      </c>
      <c r="I1907" s="72" t="s">
        <v>92</v>
      </c>
      <c r="J1907" t="str">
        <f t="shared" ref="J1907:J1936" si="111">I1907</f>
        <v>Nooksack River, No. Fork</v>
      </c>
      <c r="K1907" t="str">
        <f>IFERROR(VLOOKUP(J1907,LUTs!$A$1:$C$73,2,FALSE),"NA")</f>
        <v>Whatcom</v>
      </c>
      <c r="L1907" t="str">
        <f>IFERROR(VLOOKUP(J1907,LUTs!$A$1:$C$73,3,FALSE),"NA")</f>
        <v>1North Puget Sound</v>
      </c>
      <c r="M1907" s="72" t="s">
        <v>13</v>
      </c>
      <c r="N1907" t="str">
        <f>VLOOKUP(M1907,LUTs!E$2:H$14,3,)</f>
        <v>01Whatcom</v>
      </c>
      <c r="O1907" t="str">
        <f>VLOOKUP(M1907,LUTs!E$2:H$14,4,)</f>
        <v>01North Puget Sound</v>
      </c>
      <c r="P1907" s="80">
        <v>10</v>
      </c>
      <c r="Q1907" s="103">
        <v>5</v>
      </c>
      <c r="R1907" s="74">
        <f>VLOOKUP(B1907,Readme!A$40:C$52,3,)*Q1907</f>
        <v>92.75</v>
      </c>
    </row>
    <row r="1908" spans="1:18" ht="12" customHeight="1" x14ac:dyDescent="0.35">
      <c r="A1908" s="75">
        <v>1870</v>
      </c>
      <c r="B1908" s="80">
        <v>2017</v>
      </c>
      <c r="C1908" s="80">
        <v>12</v>
      </c>
      <c r="D1908" s="80">
        <f t="shared" si="106"/>
        <v>2017</v>
      </c>
      <c r="E1908" t="s">
        <v>38</v>
      </c>
      <c r="F1908" t="s">
        <v>143</v>
      </c>
      <c r="G1908" t="s">
        <v>86</v>
      </c>
      <c r="H1908" s="72" t="s">
        <v>218</v>
      </c>
      <c r="I1908" s="72" t="s">
        <v>60</v>
      </c>
      <c r="J1908" t="str">
        <f t="shared" si="111"/>
        <v>Skagit River</v>
      </c>
      <c r="K1908" t="str">
        <f>IFERROR(VLOOKUP(J1908,LUTs!$A$1:$C$73,2,FALSE),"NA")</f>
        <v>Skagit/Whatcom</v>
      </c>
      <c r="L1908" t="str">
        <f>IFERROR(VLOOKUP(J1908,LUTs!$A$1:$C$73,3,FALSE),"NA")</f>
        <v>2Central Puget Sound</v>
      </c>
      <c r="M1908" s="72" t="s">
        <v>18</v>
      </c>
      <c r="N1908" t="str">
        <f>VLOOKUP(M1908,LUTs!E$2:H$14,3,)</f>
        <v>06King</v>
      </c>
      <c r="O1908" t="str">
        <f>VLOOKUP(M1908,LUTs!E$2:H$14,4,)</f>
        <v>02South Puget Sound</v>
      </c>
      <c r="P1908" s="80">
        <v>11</v>
      </c>
      <c r="Q1908" s="103">
        <v>5.5</v>
      </c>
      <c r="R1908" s="74">
        <f>VLOOKUP(B1908,Readme!A$40:C$52,3,)*Q1908</f>
        <v>102.02500000000001</v>
      </c>
    </row>
    <row r="1909" spans="1:18" ht="12" customHeight="1" x14ac:dyDescent="0.35">
      <c r="A1909" s="75">
        <v>1871</v>
      </c>
      <c r="B1909" s="80">
        <v>2017</v>
      </c>
      <c r="C1909" s="80">
        <v>12</v>
      </c>
      <c r="D1909" s="80">
        <f t="shared" si="106"/>
        <v>2017</v>
      </c>
      <c r="E1909" t="s">
        <v>38</v>
      </c>
      <c r="F1909" t="s">
        <v>143</v>
      </c>
      <c r="G1909" t="s">
        <v>86</v>
      </c>
      <c r="H1909" s="72" t="s">
        <v>218</v>
      </c>
      <c r="I1909" s="72" t="s">
        <v>60</v>
      </c>
      <c r="J1909" t="str">
        <f t="shared" si="111"/>
        <v>Skagit River</v>
      </c>
      <c r="K1909" t="str">
        <f>IFERROR(VLOOKUP(J1909,LUTs!$A$1:$C$73,2,FALSE),"NA")</f>
        <v>Skagit/Whatcom</v>
      </c>
      <c r="L1909" t="str">
        <f>IFERROR(VLOOKUP(J1909,LUTs!$A$1:$C$73,3,FALSE),"NA")</f>
        <v>2Central Puget Sound</v>
      </c>
      <c r="M1909" s="72" t="s">
        <v>16</v>
      </c>
      <c r="N1909" t="str">
        <f>VLOOKUP(M1909,LUTs!E$2:H$14,3,)</f>
        <v>03Snohomish</v>
      </c>
      <c r="O1909" t="str">
        <f>VLOOKUP(M1909,LUTs!E$2:H$14,4,)</f>
        <v>01North Puget Sound</v>
      </c>
      <c r="P1909" s="80">
        <v>11</v>
      </c>
      <c r="Q1909" s="103">
        <v>5.5</v>
      </c>
      <c r="R1909" s="74">
        <f>VLOOKUP(B1909,Readme!A$40:C$52,3,)*Q1909</f>
        <v>102.02500000000001</v>
      </c>
    </row>
    <row r="1910" spans="1:18" ht="12" customHeight="1" x14ac:dyDescent="0.35">
      <c r="A1910" s="75">
        <v>1893</v>
      </c>
      <c r="B1910" s="80">
        <v>2017</v>
      </c>
      <c r="C1910" s="80">
        <v>12</v>
      </c>
      <c r="D1910" s="80">
        <f t="shared" si="106"/>
        <v>2017</v>
      </c>
      <c r="E1910" t="s">
        <v>38</v>
      </c>
      <c r="F1910" t="s">
        <v>143</v>
      </c>
      <c r="G1910" t="s">
        <v>86</v>
      </c>
      <c r="H1910" s="72" t="s">
        <v>220</v>
      </c>
      <c r="I1910" s="72" t="s">
        <v>62</v>
      </c>
      <c r="J1910" t="str">
        <f t="shared" si="111"/>
        <v>Skykomish River</v>
      </c>
      <c r="K1910" t="str">
        <f>IFERROR(VLOOKUP(J1910,LUTs!$A$1:$C$73,2,FALSE),"NA")</f>
        <v>Snohomish</v>
      </c>
      <c r="L1910" t="str">
        <f>IFERROR(VLOOKUP(J1910,LUTs!$A$1:$C$73,3,FALSE),"NA")</f>
        <v>2Central Puget Sound</v>
      </c>
      <c r="M1910" s="72" t="s">
        <v>17</v>
      </c>
      <c r="N1910" t="str">
        <f>VLOOKUP(M1910,LUTs!E$2:H$14,3,)</f>
        <v>04Island</v>
      </c>
      <c r="O1910" t="str">
        <f>VLOOKUP(M1910,LUTs!E$2:H$14,4,)</f>
        <v>01North Puget Sound</v>
      </c>
      <c r="P1910" s="80">
        <v>8.95614035087719</v>
      </c>
      <c r="Q1910" s="103">
        <v>4.4780701754386003</v>
      </c>
      <c r="R1910" s="74">
        <f>VLOOKUP(B1910,Readme!A$40:C$52,3,)*Q1910</f>
        <v>83.068201754386038</v>
      </c>
    </row>
    <row r="1911" spans="1:18" ht="12" customHeight="1" x14ac:dyDescent="0.35">
      <c r="A1911" s="75">
        <v>1894</v>
      </c>
      <c r="B1911" s="80">
        <v>2017</v>
      </c>
      <c r="C1911" s="80">
        <v>12</v>
      </c>
      <c r="D1911" s="80">
        <f t="shared" si="106"/>
        <v>2017</v>
      </c>
      <c r="E1911" t="s">
        <v>38</v>
      </c>
      <c r="F1911" t="s">
        <v>143</v>
      </c>
      <c r="G1911" t="s">
        <v>86</v>
      </c>
      <c r="H1911" s="72" t="s">
        <v>220</v>
      </c>
      <c r="I1911" s="72" t="s">
        <v>62</v>
      </c>
      <c r="J1911" t="str">
        <f t="shared" si="111"/>
        <v>Skykomish River</v>
      </c>
      <c r="K1911" t="str">
        <f>IFERROR(VLOOKUP(J1911,LUTs!$A$1:$C$73,2,FALSE),"NA")</f>
        <v>Snohomish</v>
      </c>
      <c r="L1911" t="str">
        <f>IFERROR(VLOOKUP(J1911,LUTs!$A$1:$C$73,3,FALSE),"NA")</f>
        <v>2Central Puget Sound</v>
      </c>
      <c r="M1911" s="72" t="s">
        <v>18</v>
      </c>
      <c r="N1911" t="str">
        <f>VLOOKUP(M1911,LUTs!E$2:H$14,3,)</f>
        <v>06King</v>
      </c>
      <c r="O1911" t="str">
        <f>VLOOKUP(M1911,LUTs!E$2:H$14,4,)</f>
        <v>02South Puget Sound</v>
      </c>
      <c r="P1911" s="80">
        <v>761.27192982456097</v>
      </c>
      <c r="Q1911" s="103">
        <v>380.635964912281</v>
      </c>
      <c r="R1911" s="74">
        <f>VLOOKUP(B1911,Readme!A$40:C$52,3,)*Q1911</f>
        <v>7060.7971491228127</v>
      </c>
    </row>
    <row r="1912" spans="1:18" ht="12" customHeight="1" x14ac:dyDescent="0.35">
      <c r="A1912" s="75">
        <v>1895</v>
      </c>
      <c r="B1912" s="80">
        <v>2017</v>
      </c>
      <c r="C1912" s="80">
        <v>12</v>
      </c>
      <c r="D1912" s="80">
        <f t="shared" si="106"/>
        <v>2017</v>
      </c>
      <c r="E1912" t="s">
        <v>38</v>
      </c>
      <c r="F1912" t="s">
        <v>143</v>
      </c>
      <c r="G1912" t="s">
        <v>86</v>
      </c>
      <c r="H1912" s="72" t="s">
        <v>220</v>
      </c>
      <c r="I1912" s="72" t="s">
        <v>62</v>
      </c>
      <c r="J1912" t="str">
        <f t="shared" si="111"/>
        <v>Skykomish River</v>
      </c>
      <c r="K1912" t="str">
        <f>IFERROR(VLOOKUP(J1912,LUTs!$A$1:$C$73,2,FALSE),"NA")</f>
        <v>Snohomish</v>
      </c>
      <c r="L1912" t="str">
        <f>IFERROR(VLOOKUP(J1912,LUTs!$A$1:$C$73,3,FALSE),"NA")</f>
        <v>2Central Puget Sound</v>
      </c>
      <c r="M1912" s="72" t="s">
        <v>26</v>
      </c>
      <c r="N1912" t="str">
        <f>VLOOKUP(M1912,LUTs!E$2:H$14,3,)</f>
        <v>20Other</v>
      </c>
      <c r="O1912" t="str">
        <f>VLOOKUP(M1912,LUTs!E$2:H$14,4,)</f>
        <v>07Non Puget Sound</v>
      </c>
      <c r="P1912" s="80">
        <v>116.429824561404</v>
      </c>
      <c r="Q1912" s="103">
        <v>58.214912280701803</v>
      </c>
      <c r="R1912" s="74">
        <f>VLOOKUP(B1912,Readme!A$40:C$52,3,)*Q1912</f>
        <v>1079.8866228070185</v>
      </c>
    </row>
    <row r="1913" spans="1:18" ht="12" customHeight="1" x14ac:dyDescent="0.35">
      <c r="A1913" s="75">
        <v>1896</v>
      </c>
      <c r="B1913" s="80">
        <v>2017</v>
      </c>
      <c r="C1913" s="80">
        <v>12</v>
      </c>
      <c r="D1913" s="80">
        <f t="shared" si="106"/>
        <v>2017</v>
      </c>
      <c r="E1913" t="s">
        <v>38</v>
      </c>
      <c r="F1913" t="s">
        <v>143</v>
      </c>
      <c r="G1913" t="s">
        <v>86</v>
      </c>
      <c r="H1913" s="72" t="s">
        <v>220</v>
      </c>
      <c r="I1913" s="72" t="s">
        <v>62</v>
      </c>
      <c r="J1913" t="str">
        <f t="shared" si="111"/>
        <v>Skykomish River</v>
      </c>
      <c r="K1913" t="str">
        <f>IFERROR(VLOOKUP(J1913,LUTs!$A$1:$C$73,2,FALSE),"NA")</f>
        <v>Snohomish</v>
      </c>
      <c r="L1913" t="str">
        <f>IFERROR(VLOOKUP(J1913,LUTs!$A$1:$C$73,3,FALSE),"NA")</f>
        <v>2Central Puget Sound</v>
      </c>
      <c r="M1913" s="72" t="s">
        <v>20</v>
      </c>
      <c r="N1913" t="str">
        <f>VLOOKUP(M1913,LUTs!E$2:H$14,3,)</f>
        <v>07Pierce</v>
      </c>
      <c r="O1913" t="str">
        <f>VLOOKUP(M1913,LUTs!E$2:H$14,4,)</f>
        <v>02South Puget Sound</v>
      </c>
      <c r="P1913" s="80">
        <v>26.8684210526316</v>
      </c>
      <c r="Q1913" s="103">
        <v>13.4342105263158</v>
      </c>
      <c r="R1913" s="74">
        <f>VLOOKUP(B1913,Readme!A$40:C$52,3,)*Q1913</f>
        <v>249.2046052631581</v>
      </c>
    </row>
    <row r="1914" spans="1:18" ht="12" customHeight="1" x14ac:dyDescent="0.35">
      <c r="A1914" s="75">
        <v>1897</v>
      </c>
      <c r="B1914" s="80">
        <v>2017</v>
      </c>
      <c r="C1914" s="80">
        <v>12</v>
      </c>
      <c r="D1914" s="80">
        <f t="shared" si="106"/>
        <v>2017</v>
      </c>
      <c r="E1914" t="s">
        <v>38</v>
      </c>
      <c r="F1914" t="s">
        <v>143</v>
      </c>
      <c r="G1914" t="s">
        <v>86</v>
      </c>
      <c r="H1914" s="72" t="s">
        <v>220</v>
      </c>
      <c r="I1914" s="72" t="s">
        <v>62</v>
      </c>
      <c r="J1914" t="str">
        <f t="shared" si="111"/>
        <v>Skykomish River</v>
      </c>
      <c r="K1914" t="str">
        <f>IFERROR(VLOOKUP(J1914,LUTs!$A$1:$C$73,2,FALSE),"NA")</f>
        <v>Snohomish</v>
      </c>
      <c r="L1914" t="str">
        <f>IFERROR(VLOOKUP(J1914,LUTs!$A$1:$C$73,3,FALSE),"NA")</f>
        <v>2Central Puget Sound</v>
      </c>
      <c r="M1914" s="72" t="s">
        <v>16</v>
      </c>
      <c r="N1914" t="str">
        <f>VLOOKUP(M1914,LUTs!E$2:H$14,3,)</f>
        <v>03Snohomish</v>
      </c>
      <c r="O1914" t="str">
        <f>VLOOKUP(M1914,LUTs!E$2:H$14,4,)</f>
        <v>01North Puget Sound</v>
      </c>
      <c r="P1914" s="80">
        <v>1128.4736842105301</v>
      </c>
      <c r="Q1914" s="103">
        <v>564.23684210526301</v>
      </c>
      <c r="R1914" s="74">
        <f>VLOOKUP(B1914,Readme!A$40:C$52,3,)*Q1914</f>
        <v>10466.593421052628</v>
      </c>
    </row>
    <row r="1915" spans="1:18" ht="12" customHeight="1" x14ac:dyDescent="0.35">
      <c r="A1915" s="75">
        <v>1906</v>
      </c>
      <c r="B1915" s="80">
        <v>2017</v>
      </c>
      <c r="C1915" s="80">
        <v>12</v>
      </c>
      <c r="D1915" s="80">
        <f t="shared" si="106"/>
        <v>2017</v>
      </c>
      <c r="E1915" t="s">
        <v>38</v>
      </c>
      <c r="F1915" t="s">
        <v>143</v>
      </c>
      <c r="G1915" t="s">
        <v>86</v>
      </c>
      <c r="H1915" s="72" t="s">
        <v>247</v>
      </c>
      <c r="I1915" s="72" t="s">
        <v>98</v>
      </c>
      <c r="J1915" t="str">
        <f t="shared" si="111"/>
        <v>Skykomish River, No. Fork</v>
      </c>
      <c r="K1915" t="str">
        <f>IFERROR(VLOOKUP(J1915,LUTs!$A$1:$C$73,2,FALSE),"NA")</f>
        <v>Snohomish</v>
      </c>
      <c r="L1915" t="str">
        <f>IFERROR(VLOOKUP(J1915,LUTs!$A$1:$C$73,3,FALSE),"NA")</f>
        <v>2Central Puget Sound</v>
      </c>
      <c r="M1915" s="72" t="s">
        <v>18</v>
      </c>
      <c r="N1915" t="str">
        <f>VLOOKUP(M1915,LUTs!E$2:H$14,3,)</f>
        <v>06King</v>
      </c>
      <c r="O1915" t="str">
        <f>VLOOKUP(M1915,LUTs!E$2:H$14,4,)</f>
        <v>02South Puget Sound</v>
      </c>
      <c r="P1915" s="80">
        <v>9</v>
      </c>
      <c r="Q1915" s="103">
        <v>4.5</v>
      </c>
      <c r="R1915" s="74">
        <f>VLOOKUP(B1915,Readme!A$40:C$52,3,)*Q1915</f>
        <v>83.475000000000009</v>
      </c>
    </row>
    <row r="1916" spans="1:18" ht="12" customHeight="1" x14ac:dyDescent="0.35">
      <c r="A1916" s="75">
        <v>1907</v>
      </c>
      <c r="B1916" s="80">
        <v>2017</v>
      </c>
      <c r="C1916" s="80">
        <v>12</v>
      </c>
      <c r="D1916" s="80">
        <f t="shared" si="106"/>
        <v>2017</v>
      </c>
      <c r="E1916" t="s">
        <v>38</v>
      </c>
      <c r="F1916" t="s">
        <v>143</v>
      </c>
      <c r="G1916" t="s">
        <v>86</v>
      </c>
      <c r="H1916" s="72" t="s">
        <v>247</v>
      </c>
      <c r="I1916" s="72" t="s">
        <v>98</v>
      </c>
      <c r="J1916" t="str">
        <f t="shared" si="111"/>
        <v>Skykomish River, No. Fork</v>
      </c>
      <c r="K1916" t="str">
        <f>IFERROR(VLOOKUP(J1916,LUTs!$A$1:$C$73,2,FALSE),"NA")</f>
        <v>Snohomish</v>
      </c>
      <c r="L1916" t="str">
        <f>IFERROR(VLOOKUP(J1916,LUTs!$A$1:$C$73,3,FALSE),"NA")</f>
        <v>2Central Puget Sound</v>
      </c>
      <c r="M1916" s="72" t="s">
        <v>15</v>
      </c>
      <c r="N1916" t="str">
        <f>VLOOKUP(M1916,LUTs!E$2:H$14,3,)</f>
        <v>02Skagit</v>
      </c>
      <c r="O1916" t="str">
        <f>VLOOKUP(M1916,LUTs!E$2:H$14,4,)</f>
        <v>01North Puget Sound</v>
      </c>
      <c r="P1916" s="80">
        <v>9</v>
      </c>
      <c r="Q1916" s="103">
        <v>4.5</v>
      </c>
      <c r="R1916" s="74">
        <f>VLOOKUP(B1916,Readme!A$40:C$52,3,)*Q1916</f>
        <v>83.475000000000009</v>
      </c>
    </row>
    <row r="1917" spans="1:18" ht="12" customHeight="1" x14ac:dyDescent="0.35">
      <c r="A1917" s="75">
        <v>1913</v>
      </c>
      <c r="B1917" s="80">
        <v>2017</v>
      </c>
      <c r="C1917" s="80">
        <v>12</v>
      </c>
      <c r="D1917" s="80">
        <f t="shared" si="106"/>
        <v>2017</v>
      </c>
      <c r="E1917" t="s">
        <v>38</v>
      </c>
      <c r="F1917" t="s">
        <v>143</v>
      </c>
      <c r="G1917" t="s">
        <v>86</v>
      </c>
      <c r="H1917" s="72" t="s">
        <v>248</v>
      </c>
      <c r="I1917" s="72" t="s">
        <v>99</v>
      </c>
      <c r="J1917" t="str">
        <f t="shared" si="111"/>
        <v>Skykomish River, So. Fork</v>
      </c>
      <c r="K1917" t="str">
        <f>IFERROR(VLOOKUP(J1917,LUTs!$A$1:$C$73,2,FALSE),"NA")</f>
        <v>Snohomish/King</v>
      </c>
      <c r="L1917" t="str">
        <f>IFERROR(VLOOKUP(J1917,LUTs!$A$1:$C$73,3,FALSE),"NA")</f>
        <v>2Central Puget Sound</v>
      </c>
      <c r="M1917" s="72" t="s">
        <v>18</v>
      </c>
      <c r="N1917" t="str">
        <f>VLOOKUP(M1917,LUTs!E$2:H$14,3,)</f>
        <v>06King</v>
      </c>
      <c r="O1917" t="str">
        <f>VLOOKUP(M1917,LUTs!E$2:H$14,4,)</f>
        <v>02South Puget Sound</v>
      </c>
      <c r="P1917" s="80">
        <v>18</v>
      </c>
      <c r="Q1917" s="103">
        <v>9</v>
      </c>
      <c r="R1917" s="74">
        <f>VLOOKUP(B1917,Readme!A$40:C$52,3,)*Q1917</f>
        <v>166.95000000000002</v>
      </c>
    </row>
    <row r="1918" spans="1:18" ht="12" customHeight="1" x14ac:dyDescent="0.35">
      <c r="A1918" s="75">
        <v>1914</v>
      </c>
      <c r="B1918" s="80">
        <v>2017</v>
      </c>
      <c r="C1918" s="80">
        <v>12</v>
      </c>
      <c r="D1918" s="80">
        <f t="shared" si="106"/>
        <v>2017</v>
      </c>
      <c r="E1918" t="s">
        <v>38</v>
      </c>
      <c r="F1918" t="s">
        <v>143</v>
      </c>
      <c r="G1918" t="s">
        <v>86</v>
      </c>
      <c r="H1918" s="72" t="s">
        <v>248</v>
      </c>
      <c r="I1918" s="72" t="s">
        <v>99</v>
      </c>
      <c r="J1918" t="str">
        <f t="shared" si="111"/>
        <v>Skykomish River, So. Fork</v>
      </c>
      <c r="K1918" t="str">
        <f>IFERROR(VLOOKUP(J1918,LUTs!$A$1:$C$73,2,FALSE),"NA")</f>
        <v>Snohomish/King</v>
      </c>
      <c r="L1918" t="str">
        <f>IFERROR(VLOOKUP(J1918,LUTs!$A$1:$C$73,3,FALSE),"NA")</f>
        <v>2Central Puget Sound</v>
      </c>
      <c r="M1918" s="72" t="s">
        <v>16</v>
      </c>
      <c r="N1918" t="str">
        <f>VLOOKUP(M1918,LUTs!E$2:H$14,3,)</f>
        <v>03Snohomish</v>
      </c>
      <c r="O1918" t="str">
        <f>VLOOKUP(M1918,LUTs!E$2:H$14,4,)</f>
        <v>01North Puget Sound</v>
      </c>
      <c r="P1918" s="80">
        <v>36</v>
      </c>
      <c r="Q1918" s="103">
        <v>18</v>
      </c>
      <c r="R1918" s="74">
        <f>VLOOKUP(B1918,Readme!A$40:C$52,3,)*Q1918</f>
        <v>333.90000000000003</v>
      </c>
    </row>
    <row r="1919" spans="1:18" ht="12" customHeight="1" x14ac:dyDescent="0.35">
      <c r="A1919" s="75">
        <v>1920</v>
      </c>
      <c r="B1919" s="80">
        <v>2017</v>
      </c>
      <c r="C1919" s="80">
        <v>12</v>
      </c>
      <c r="D1919" s="80">
        <f t="shared" si="106"/>
        <v>2017</v>
      </c>
      <c r="E1919" t="s">
        <v>38</v>
      </c>
      <c r="F1919" t="s">
        <v>143</v>
      </c>
      <c r="G1919" t="s">
        <v>86</v>
      </c>
      <c r="H1919" s="72" t="s">
        <v>221</v>
      </c>
      <c r="I1919" s="72" t="s">
        <v>63</v>
      </c>
      <c r="J1919" t="str">
        <f t="shared" si="111"/>
        <v>Snohomish River</v>
      </c>
      <c r="K1919" t="str">
        <f>IFERROR(VLOOKUP(J1919,LUTs!$A$1:$C$73,2,FALSE),"NA")</f>
        <v>Snohomish</v>
      </c>
      <c r="L1919" t="str">
        <f>IFERROR(VLOOKUP(J1919,LUTs!$A$1:$C$73,3,FALSE),"NA")</f>
        <v>2Central Puget Sound</v>
      </c>
      <c r="M1919" s="72" t="s">
        <v>16</v>
      </c>
      <c r="N1919" t="str">
        <f>VLOOKUP(M1919,LUTs!E$2:H$14,3,)</f>
        <v>03Snohomish</v>
      </c>
      <c r="O1919" t="str">
        <f>VLOOKUP(M1919,LUTs!E$2:H$14,4,)</f>
        <v>01North Puget Sound</v>
      </c>
      <c r="P1919" s="80">
        <v>98</v>
      </c>
      <c r="Q1919" s="103">
        <v>49</v>
      </c>
      <c r="R1919" s="74">
        <f>VLOOKUP(B1919,Readme!A$40:C$52,3,)*Q1919</f>
        <v>908.95</v>
      </c>
    </row>
    <row r="1920" spans="1:18" ht="12" customHeight="1" x14ac:dyDescent="0.35">
      <c r="A1920" s="75">
        <v>1924</v>
      </c>
      <c r="B1920" s="80">
        <v>2017</v>
      </c>
      <c r="C1920" s="80">
        <v>12</v>
      </c>
      <c r="D1920" s="80">
        <f t="shared" si="106"/>
        <v>2017</v>
      </c>
      <c r="E1920" t="s">
        <v>38</v>
      </c>
      <c r="F1920" t="s">
        <v>143</v>
      </c>
      <c r="G1920" t="s">
        <v>86</v>
      </c>
      <c r="H1920" s="72" t="s">
        <v>222</v>
      </c>
      <c r="I1920" s="72" t="s">
        <v>64</v>
      </c>
      <c r="J1920" t="str">
        <f t="shared" si="111"/>
        <v>Snoqualmie River</v>
      </c>
      <c r="K1920" t="str">
        <f>IFERROR(VLOOKUP(J1920,LUTs!$A$1:$C$73,2,FALSE),"NA")</f>
        <v>Snohomish/King</v>
      </c>
      <c r="L1920" t="str">
        <f>IFERROR(VLOOKUP(J1920,LUTs!$A$1:$C$73,3,FALSE),"NA")</f>
        <v>2Central Puget Sound</v>
      </c>
      <c r="M1920" s="72" t="s">
        <v>18</v>
      </c>
      <c r="N1920" t="str">
        <f>VLOOKUP(M1920,LUTs!E$2:H$14,3,)</f>
        <v>06King</v>
      </c>
      <c r="O1920" t="str">
        <f>VLOOKUP(M1920,LUTs!E$2:H$14,4,)</f>
        <v>02South Puget Sound</v>
      </c>
      <c r="P1920" s="80">
        <v>305.08108108108098</v>
      </c>
      <c r="Q1920" s="103">
        <v>152.540540540541</v>
      </c>
      <c r="R1920" s="74">
        <f>VLOOKUP(B1920,Readme!A$40:C$52,3,)*Q1920</f>
        <v>2829.6270270270356</v>
      </c>
    </row>
    <row r="1921" spans="1:18" ht="12" customHeight="1" x14ac:dyDescent="0.35">
      <c r="A1921" s="75">
        <v>1925</v>
      </c>
      <c r="B1921" s="80">
        <v>2017</v>
      </c>
      <c r="C1921" s="80">
        <v>12</v>
      </c>
      <c r="D1921" s="80">
        <f t="shared" si="106"/>
        <v>2017</v>
      </c>
      <c r="E1921" t="s">
        <v>38</v>
      </c>
      <c r="F1921" t="s">
        <v>143</v>
      </c>
      <c r="G1921" t="s">
        <v>86</v>
      </c>
      <c r="H1921" s="72" t="s">
        <v>222</v>
      </c>
      <c r="I1921" s="72" t="s">
        <v>64</v>
      </c>
      <c r="J1921" t="str">
        <f t="shared" si="111"/>
        <v>Snoqualmie River</v>
      </c>
      <c r="K1921" t="str">
        <f>IFERROR(VLOOKUP(J1921,LUTs!$A$1:$C$73,2,FALSE),"NA")</f>
        <v>Snohomish/King</v>
      </c>
      <c r="L1921" t="str">
        <f>IFERROR(VLOOKUP(J1921,LUTs!$A$1:$C$73,3,FALSE),"NA")</f>
        <v>2Central Puget Sound</v>
      </c>
      <c r="M1921" s="72" t="s">
        <v>16</v>
      </c>
      <c r="N1921" t="str">
        <f>VLOOKUP(M1921,LUTs!E$2:H$14,3,)</f>
        <v>03Snohomish</v>
      </c>
      <c r="O1921" t="str">
        <f>VLOOKUP(M1921,LUTs!E$2:H$14,4,)</f>
        <v>01North Puget Sound</v>
      </c>
      <c r="P1921" s="80">
        <v>26.918918918918902</v>
      </c>
      <c r="Q1921" s="103">
        <v>13.459459459459501</v>
      </c>
      <c r="R1921" s="74">
        <f>VLOOKUP(B1921,Readme!A$40:C$52,3,)*Q1921</f>
        <v>249.67297297297375</v>
      </c>
    </row>
    <row r="1922" spans="1:18" ht="12" customHeight="1" x14ac:dyDescent="0.35">
      <c r="A1922" s="75">
        <v>1952</v>
      </c>
      <c r="B1922" s="80">
        <v>2017</v>
      </c>
      <c r="C1922" s="80">
        <v>12</v>
      </c>
      <c r="D1922" s="80">
        <f t="shared" ref="D1922:D1985" si="112">IF(C1922&gt;3,B1922,B1922-1)</f>
        <v>2017</v>
      </c>
      <c r="E1922" t="s">
        <v>38</v>
      </c>
      <c r="F1922" t="s">
        <v>143</v>
      </c>
      <c r="G1922" t="s">
        <v>86</v>
      </c>
      <c r="H1922" s="72" t="s">
        <v>223</v>
      </c>
      <c r="I1922" s="72" t="s">
        <v>103</v>
      </c>
      <c r="J1922" t="str">
        <f t="shared" si="111"/>
        <v>Stillaguamish R, No. Fork</v>
      </c>
      <c r="K1922" t="str">
        <f>IFERROR(VLOOKUP(J1922,LUTs!$A$1:$C$73,2,FALSE),"NA")</f>
        <v>Snohomish</v>
      </c>
      <c r="L1922" t="str">
        <f>IFERROR(VLOOKUP(J1922,LUTs!$A$1:$C$73,3,FALSE),"NA")</f>
        <v>2Central Puget Sound</v>
      </c>
      <c r="M1922" s="72" t="s">
        <v>16</v>
      </c>
      <c r="N1922" t="str">
        <f>VLOOKUP(M1922,LUTs!E$2:H$14,3,)</f>
        <v>03Snohomish</v>
      </c>
      <c r="O1922" t="str">
        <f>VLOOKUP(M1922,LUTs!E$2:H$14,4,)</f>
        <v>01North Puget Sound</v>
      </c>
      <c r="P1922" s="80">
        <v>44</v>
      </c>
      <c r="Q1922" s="103">
        <v>22</v>
      </c>
      <c r="R1922" s="74">
        <f>VLOOKUP(B1922,Readme!A$40:C$52,3,)*Q1922</f>
        <v>408.1</v>
      </c>
    </row>
    <row r="1923" spans="1:18" ht="12" customHeight="1" x14ac:dyDescent="0.35">
      <c r="A1923" s="75">
        <v>1929</v>
      </c>
      <c r="B1923" s="80">
        <v>2017</v>
      </c>
      <c r="C1923" s="80">
        <v>12</v>
      </c>
      <c r="D1923" s="80">
        <f t="shared" si="112"/>
        <v>2017</v>
      </c>
      <c r="E1923" t="s">
        <v>38</v>
      </c>
      <c r="F1923" t="s">
        <v>143</v>
      </c>
      <c r="G1923" t="s">
        <v>86</v>
      </c>
      <c r="H1923" s="72" t="s">
        <v>250</v>
      </c>
      <c r="I1923" s="72" t="s">
        <v>101</v>
      </c>
      <c r="J1923" t="str">
        <f t="shared" si="111"/>
        <v>Tokul Creek</v>
      </c>
      <c r="K1923" t="str">
        <f>IFERROR(VLOOKUP(J1923,LUTs!$A$1:$C$73,2,FALSE),"NA")</f>
        <v>King</v>
      </c>
      <c r="L1923" t="str">
        <f>IFERROR(VLOOKUP(J1923,LUTs!$A$1:$C$73,3,FALSE),"NA")</f>
        <v>2Central Puget Sound</v>
      </c>
      <c r="M1923" s="72" t="s">
        <v>18</v>
      </c>
      <c r="N1923" t="str">
        <f>VLOOKUP(M1923,LUTs!E$2:H$14,3,)</f>
        <v>06King</v>
      </c>
      <c r="O1923" t="str">
        <f>VLOOKUP(M1923,LUTs!E$2:H$14,4,)</f>
        <v>02South Puget Sound</v>
      </c>
      <c r="P1923" s="80">
        <v>286.222222222222</v>
      </c>
      <c r="Q1923" s="103">
        <v>143.111111111111</v>
      </c>
      <c r="R1923" s="74">
        <f>VLOOKUP(B1923,Readme!A$40:C$52,3,)*Q1923</f>
        <v>2654.7111111111089</v>
      </c>
    </row>
    <row r="1924" spans="1:18" ht="12" customHeight="1" x14ac:dyDescent="0.35">
      <c r="A1924" s="75">
        <v>1930</v>
      </c>
      <c r="B1924" s="80">
        <v>2017</v>
      </c>
      <c r="C1924" s="80">
        <v>12</v>
      </c>
      <c r="D1924" s="80">
        <f t="shared" si="112"/>
        <v>2017</v>
      </c>
      <c r="E1924" t="s">
        <v>38</v>
      </c>
      <c r="F1924" t="s">
        <v>143</v>
      </c>
      <c r="G1924" t="s">
        <v>86</v>
      </c>
      <c r="H1924" s="72" t="s">
        <v>250</v>
      </c>
      <c r="I1924" s="72" t="s">
        <v>101</v>
      </c>
      <c r="J1924" t="str">
        <f t="shared" si="111"/>
        <v>Tokul Creek</v>
      </c>
      <c r="K1924" t="str">
        <f>IFERROR(VLOOKUP(J1924,LUTs!$A$1:$C$73,2,FALSE),"NA")</f>
        <v>King</v>
      </c>
      <c r="L1924" t="str">
        <f>IFERROR(VLOOKUP(J1924,LUTs!$A$1:$C$73,3,FALSE),"NA")</f>
        <v>2Central Puget Sound</v>
      </c>
      <c r="M1924" s="72" t="s">
        <v>20</v>
      </c>
      <c r="N1924" t="str">
        <f>VLOOKUP(M1924,LUTs!E$2:H$14,3,)</f>
        <v>07Pierce</v>
      </c>
      <c r="O1924" t="str">
        <f>VLOOKUP(M1924,LUTs!E$2:H$14,4,)</f>
        <v>02South Puget Sound</v>
      </c>
      <c r="P1924" s="80">
        <v>17.8888888888889</v>
      </c>
      <c r="Q1924" s="103">
        <v>8.94444444444445</v>
      </c>
      <c r="R1924" s="74">
        <f>VLOOKUP(B1924,Readme!A$40:C$52,3,)*Q1924</f>
        <v>165.91944444444457</v>
      </c>
    </row>
    <row r="1925" spans="1:18" ht="12" customHeight="1" x14ac:dyDescent="0.35">
      <c r="A1925" s="75">
        <v>1931</v>
      </c>
      <c r="B1925" s="80">
        <v>2017</v>
      </c>
      <c r="C1925" s="80">
        <v>12</v>
      </c>
      <c r="D1925" s="80">
        <f t="shared" si="112"/>
        <v>2017</v>
      </c>
      <c r="E1925" t="s">
        <v>38</v>
      </c>
      <c r="F1925" t="s">
        <v>143</v>
      </c>
      <c r="G1925" t="s">
        <v>86</v>
      </c>
      <c r="H1925" s="72" t="s">
        <v>250</v>
      </c>
      <c r="I1925" s="72" t="s">
        <v>101</v>
      </c>
      <c r="J1925" t="str">
        <f t="shared" si="111"/>
        <v>Tokul Creek</v>
      </c>
      <c r="K1925" t="str">
        <f>IFERROR(VLOOKUP(J1925,LUTs!$A$1:$C$73,2,FALSE),"NA")</f>
        <v>King</v>
      </c>
      <c r="L1925" t="str">
        <f>IFERROR(VLOOKUP(J1925,LUTs!$A$1:$C$73,3,FALSE),"NA")</f>
        <v>2Central Puget Sound</v>
      </c>
      <c r="M1925" s="72" t="s">
        <v>16</v>
      </c>
      <c r="N1925" t="str">
        <f>VLOOKUP(M1925,LUTs!E$2:H$14,3,)</f>
        <v>03Snohomish</v>
      </c>
      <c r="O1925" t="str">
        <f>VLOOKUP(M1925,LUTs!E$2:H$14,4,)</f>
        <v>01North Puget Sound</v>
      </c>
      <c r="P1925" s="80">
        <v>8.94444444444445</v>
      </c>
      <c r="Q1925" s="103">
        <v>4.4722222222222197</v>
      </c>
      <c r="R1925" s="74">
        <f>VLOOKUP(B1925,Readme!A$40:C$52,3,)*Q1925</f>
        <v>82.959722222222183</v>
      </c>
    </row>
    <row r="1926" spans="1:18" ht="12" customHeight="1" x14ac:dyDescent="0.35">
      <c r="A1926" s="75">
        <v>1932</v>
      </c>
      <c r="B1926" s="80">
        <v>2017</v>
      </c>
      <c r="C1926" s="80">
        <v>12</v>
      </c>
      <c r="D1926" s="80">
        <f t="shared" si="112"/>
        <v>2017</v>
      </c>
      <c r="E1926" t="s">
        <v>38</v>
      </c>
      <c r="F1926" t="s">
        <v>143</v>
      </c>
      <c r="G1926" t="s">
        <v>86</v>
      </c>
      <c r="H1926" s="72" t="s">
        <v>250</v>
      </c>
      <c r="I1926" s="72" t="s">
        <v>101</v>
      </c>
      <c r="J1926" t="str">
        <f t="shared" si="111"/>
        <v>Tokul Creek</v>
      </c>
      <c r="K1926" t="str">
        <f>IFERROR(VLOOKUP(J1926,LUTs!$A$1:$C$73,2,FALSE),"NA")</f>
        <v>King</v>
      </c>
      <c r="L1926" t="str">
        <f>IFERROR(VLOOKUP(J1926,LUTs!$A$1:$C$73,3,FALSE),"NA")</f>
        <v>2Central Puget Sound</v>
      </c>
      <c r="M1926" s="72" t="s">
        <v>13</v>
      </c>
      <c r="N1926" t="str">
        <f>VLOOKUP(M1926,LUTs!E$2:H$14,3,)</f>
        <v>01Whatcom</v>
      </c>
      <c r="O1926" t="str">
        <f>VLOOKUP(M1926,LUTs!E$2:H$14,4,)</f>
        <v>01North Puget Sound</v>
      </c>
      <c r="P1926" s="80">
        <v>8.94444444444445</v>
      </c>
      <c r="Q1926" s="103">
        <v>4.4722222222222197</v>
      </c>
      <c r="R1926" s="74">
        <f>VLOOKUP(B1926,Readme!A$40:C$52,3,)*Q1926</f>
        <v>82.959722222222183</v>
      </c>
    </row>
    <row r="1927" spans="1:18" ht="12" customHeight="1" x14ac:dyDescent="0.35">
      <c r="A1927" s="75">
        <v>1936</v>
      </c>
      <c r="B1927" s="80">
        <v>2017</v>
      </c>
      <c r="C1927" s="80">
        <v>12</v>
      </c>
      <c r="D1927" s="80">
        <f t="shared" si="112"/>
        <v>2017</v>
      </c>
      <c r="E1927" t="s">
        <v>38</v>
      </c>
      <c r="F1927" t="s">
        <v>143</v>
      </c>
      <c r="G1927" t="s">
        <v>86</v>
      </c>
      <c r="H1927" s="72" t="s">
        <v>229</v>
      </c>
      <c r="I1927" s="72" t="s">
        <v>71</v>
      </c>
      <c r="J1927" t="str">
        <f t="shared" si="111"/>
        <v>Tolt River</v>
      </c>
      <c r="K1927" t="str">
        <f>IFERROR(VLOOKUP(J1927,LUTs!$A$1:$C$73,2,FALSE),"NA")</f>
        <v>King</v>
      </c>
      <c r="L1927" t="str">
        <f>IFERROR(VLOOKUP(J1927,LUTs!$A$1:$C$73,3,FALSE),"NA")</f>
        <v>2Central Puget Sound</v>
      </c>
      <c r="M1927" s="72" t="s">
        <v>20</v>
      </c>
      <c r="N1927" t="str">
        <f>VLOOKUP(M1927,LUTs!E$2:H$14,3,)</f>
        <v>07Pierce</v>
      </c>
      <c r="O1927" t="str">
        <f>VLOOKUP(M1927,LUTs!E$2:H$14,4,)</f>
        <v>02South Puget Sound</v>
      </c>
      <c r="P1927" s="80">
        <v>8</v>
      </c>
      <c r="Q1927" s="103">
        <v>4</v>
      </c>
      <c r="R1927" s="74">
        <f>VLOOKUP(B1927,Readme!A$40:C$52,3,)*Q1927</f>
        <v>74.2</v>
      </c>
    </row>
    <row r="1928" spans="1:18" ht="12" customHeight="1" x14ac:dyDescent="0.35">
      <c r="A1928" s="75">
        <v>1945</v>
      </c>
      <c r="B1928" s="80">
        <v>2017</v>
      </c>
      <c r="C1928" s="80">
        <v>12</v>
      </c>
      <c r="D1928" s="80">
        <f t="shared" si="112"/>
        <v>2017</v>
      </c>
      <c r="E1928" t="s">
        <v>38</v>
      </c>
      <c r="F1928" t="s">
        <v>143</v>
      </c>
      <c r="G1928" t="s">
        <v>86</v>
      </c>
      <c r="H1928" s="72" t="s">
        <v>233</v>
      </c>
      <c r="I1928" s="72" t="s">
        <v>76</v>
      </c>
      <c r="J1928" t="str">
        <f t="shared" si="111"/>
        <v>Wallace River</v>
      </c>
      <c r="K1928" t="str">
        <f>IFERROR(VLOOKUP(J1928,LUTs!$A$1:$C$73,2,FALSE),"NA")</f>
        <v>Snohomish</v>
      </c>
      <c r="L1928" t="str">
        <f>IFERROR(VLOOKUP(J1928,LUTs!$A$1:$C$73,3,FALSE),"NA")</f>
        <v>2Central Puget Sound</v>
      </c>
      <c r="M1928" s="72" t="s">
        <v>18</v>
      </c>
      <c r="N1928" t="str">
        <f>VLOOKUP(M1928,LUTs!E$2:H$14,3,)</f>
        <v>06King</v>
      </c>
      <c r="O1928" t="str">
        <f>VLOOKUP(M1928,LUTs!E$2:H$14,4,)</f>
        <v>02South Puget Sound</v>
      </c>
      <c r="P1928" s="80">
        <v>277.65217391304401</v>
      </c>
      <c r="Q1928" s="103">
        <v>138.826086956522</v>
      </c>
      <c r="R1928" s="74">
        <f>VLOOKUP(B1928,Readme!A$40:C$52,3,)*Q1928</f>
        <v>2575.2239130434832</v>
      </c>
    </row>
    <row r="1929" spans="1:18" ht="12" customHeight="1" x14ac:dyDescent="0.35">
      <c r="A1929" s="75">
        <v>1946</v>
      </c>
      <c r="B1929" s="80">
        <v>2017</v>
      </c>
      <c r="C1929" s="80">
        <v>12</v>
      </c>
      <c r="D1929" s="80">
        <f t="shared" si="112"/>
        <v>2017</v>
      </c>
      <c r="E1929" t="s">
        <v>38</v>
      </c>
      <c r="F1929" t="s">
        <v>143</v>
      </c>
      <c r="G1929" t="s">
        <v>86</v>
      </c>
      <c r="H1929" s="72" t="s">
        <v>233</v>
      </c>
      <c r="I1929" s="72" t="s">
        <v>76</v>
      </c>
      <c r="J1929" t="str">
        <f t="shared" si="111"/>
        <v>Wallace River</v>
      </c>
      <c r="K1929" t="str">
        <f>IFERROR(VLOOKUP(J1929,LUTs!$A$1:$C$73,2,FALSE),"NA")</f>
        <v>Snohomish</v>
      </c>
      <c r="L1929" t="str">
        <f>IFERROR(VLOOKUP(J1929,LUTs!$A$1:$C$73,3,FALSE),"NA")</f>
        <v>2Central Puget Sound</v>
      </c>
      <c r="M1929" s="72" t="s">
        <v>16</v>
      </c>
      <c r="N1929" t="str">
        <f>VLOOKUP(M1929,LUTs!E$2:H$14,3,)</f>
        <v>03Snohomish</v>
      </c>
      <c r="O1929" t="str">
        <f>VLOOKUP(M1929,LUTs!E$2:H$14,4,)</f>
        <v>01North Puget Sound</v>
      </c>
      <c r="P1929" s="80">
        <v>134.34782608695701</v>
      </c>
      <c r="Q1929" s="103">
        <v>67.173913043478294</v>
      </c>
      <c r="R1929" s="74">
        <f>VLOOKUP(B1929,Readme!A$40:C$52,3,)*Q1929</f>
        <v>1246.0760869565224</v>
      </c>
    </row>
    <row r="1930" spans="1:18" ht="12" customHeight="1" x14ac:dyDescent="0.35">
      <c r="A1930" s="75">
        <v>1961</v>
      </c>
      <c r="B1930" s="80">
        <v>2018</v>
      </c>
      <c r="C1930" s="80">
        <v>1</v>
      </c>
      <c r="D1930" s="80">
        <f t="shared" si="112"/>
        <v>2017</v>
      </c>
      <c r="E1930" t="s">
        <v>38</v>
      </c>
      <c r="F1930" t="s">
        <v>143</v>
      </c>
      <c r="G1930" t="s">
        <v>86</v>
      </c>
      <c r="H1930" s="72" t="s">
        <v>254</v>
      </c>
      <c r="I1930" s="72" t="s">
        <v>33</v>
      </c>
      <c r="J1930" t="str">
        <f t="shared" si="111"/>
        <v>Area 9: Admiralty Inlet</v>
      </c>
      <c r="K1930" t="str">
        <f>IFERROR(VLOOKUP(J1930,LUTs!$A$1:$C$73,2,FALSE),"NA")</f>
        <v>NA</v>
      </c>
      <c r="L1930" t="str">
        <f>IFERROR(VLOOKUP(J1930,LUTs!$A$1:$C$73,3,FALSE),"NA")</f>
        <v>2Central Puget Sound</v>
      </c>
      <c r="M1930" s="72" t="s">
        <v>17</v>
      </c>
      <c r="N1930" t="str">
        <f>VLOOKUP(M1930,LUTs!E$2:H$14,3,)</f>
        <v>04Island</v>
      </c>
      <c r="O1930" t="str">
        <f>VLOOKUP(M1930,LUTs!E$2:H$14,4,)</f>
        <v>01North Puget Sound</v>
      </c>
      <c r="P1930" s="80">
        <v>22</v>
      </c>
      <c r="Q1930" s="103">
        <v>11</v>
      </c>
      <c r="R1930" s="74">
        <f>VLOOKUP(B1930,Readme!A$40:C$52,3,)*Q1930</f>
        <v>93.94</v>
      </c>
    </row>
    <row r="1931" spans="1:18" ht="12" customHeight="1" x14ac:dyDescent="0.35">
      <c r="A1931" s="75">
        <v>1962</v>
      </c>
      <c r="B1931" s="80">
        <v>2018</v>
      </c>
      <c r="C1931" s="80">
        <v>1</v>
      </c>
      <c r="D1931" s="80">
        <f t="shared" si="112"/>
        <v>2017</v>
      </c>
      <c r="E1931" t="s">
        <v>38</v>
      </c>
      <c r="F1931" t="s">
        <v>143</v>
      </c>
      <c r="G1931" t="s">
        <v>86</v>
      </c>
      <c r="H1931" s="72" t="s">
        <v>254</v>
      </c>
      <c r="I1931" s="72" t="s">
        <v>33</v>
      </c>
      <c r="J1931" t="str">
        <f t="shared" si="111"/>
        <v>Area 9: Admiralty Inlet</v>
      </c>
      <c r="K1931" t="str">
        <f>IFERROR(VLOOKUP(J1931,LUTs!$A$1:$C$73,2,FALSE),"NA")</f>
        <v>NA</v>
      </c>
      <c r="L1931" t="str">
        <f>IFERROR(VLOOKUP(J1931,LUTs!$A$1:$C$73,3,FALSE),"NA")</f>
        <v>2Central Puget Sound</v>
      </c>
      <c r="M1931" s="72" t="s">
        <v>16</v>
      </c>
      <c r="N1931" t="str">
        <f>VLOOKUP(M1931,LUTs!E$2:H$14,3,)</f>
        <v>03Snohomish</v>
      </c>
      <c r="O1931" t="str">
        <f>VLOOKUP(M1931,LUTs!E$2:H$14,4,)</f>
        <v>01North Puget Sound</v>
      </c>
      <c r="P1931" s="80">
        <v>22</v>
      </c>
      <c r="Q1931" s="103">
        <v>11</v>
      </c>
      <c r="R1931" s="74">
        <f>VLOOKUP(B1931,Readme!A$40:C$52,3,)*Q1931</f>
        <v>93.94</v>
      </c>
    </row>
    <row r="1932" spans="1:18" ht="12" customHeight="1" x14ac:dyDescent="0.35">
      <c r="A1932" s="75">
        <v>1869</v>
      </c>
      <c r="B1932" s="80">
        <v>2018</v>
      </c>
      <c r="C1932" s="80">
        <v>1</v>
      </c>
      <c r="D1932" s="80">
        <f t="shared" si="112"/>
        <v>2017</v>
      </c>
      <c r="E1932" t="s">
        <v>38</v>
      </c>
      <c r="F1932" t="s">
        <v>143</v>
      </c>
      <c r="G1932" t="s">
        <v>86</v>
      </c>
      <c r="H1932" s="72" t="s">
        <v>217</v>
      </c>
      <c r="I1932" s="72" t="s">
        <v>59</v>
      </c>
      <c r="J1932" t="str">
        <f t="shared" si="111"/>
        <v>Cascade River</v>
      </c>
      <c r="K1932" t="str">
        <f>IFERROR(VLOOKUP(J1932,LUTs!$A$1:$C$73,2,FALSE),"NA")</f>
        <v>Skagit</v>
      </c>
      <c r="L1932" t="str">
        <f>IFERROR(VLOOKUP(J1932,LUTs!$A$1:$C$73,3,FALSE),"NA")</f>
        <v>1North Puget Sound</v>
      </c>
      <c r="M1932" s="72" t="s">
        <v>20</v>
      </c>
      <c r="N1932" t="str">
        <f>VLOOKUP(M1932,LUTs!E$2:H$14,3,)</f>
        <v>07Pierce</v>
      </c>
      <c r="O1932" t="str">
        <f>VLOOKUP(M1932,LUTs!E$2:H$14,4,)</f>
        <v>02South Puget Sound</v>
      </c>
      <c r="P1932" s="80">
        <v>10</v>
      </c>
      <c r="Q1932" s="103">
        <v>5</v>
      </c>
      <c r="R1932" s="74">
        <f>VLOOKUP(B1932,Readme!A$40:C$52,3,)*Q1932</f>
        <v>42.699999999999996</v>
      </c>
    </row>
    <row r="1933" spans="1:18" ht="12" customHeight="1" x14ac:dyDescent="0.35">
      <c r="A1933" s="75">
        <v>1835</v>
      </c>
      <c r="B1933" s="80">
        <v>2018</v>
      </c>
      <c r="C1933" s="80">
        <v>1</v>
      </c>
      <c r="D1933" s="80">
        <f t="shared" si="112"/>
        <v>2017</v>
      </c>
      <c r="E1933" t="s">
        <v>38</v>
      </c>
      <c r="F1933" t="s">
        <v>143</v>
      </c>
      <c r="G1933" t="s">
        <v>86</v>
      </c>
      <c r="H1933" s="72" t="s">
        <v>201</v>
      </c>
      <c r="I1933" s="72" t="s">
        <v>43</v>
      </c>
      <c r="J1933" t="str">
        <f t="shared" si="111"/>
        <v>Dungeness River</v>
      </c>
      <c r="K1933" t="str">
        <f>IFERROR(VLOOKUP(J1933,LUTs!$A$1:$C$73,2,FALSE),"NA")</f>
        <v>Clallam</v>
      </c>
      <c r="L1933" t="str">
        <f>IFERROR(VLOOKUP(J1933,LUTs!$A$1:$C$73,3,FALSE),"NA")</f>
        <v>0Strait of Juan de Fuca</v>
      </c>
      <c r="M1933" s="72" t="s">
        <v>24</v>
      </c>
      <c r="N1933" t="str">
        <f>VLOOKUP(M1933,LUTs!E$2:H$14,3,)</f>
        <v>11Clallam</v>
      </c>
      <c r="O1933" t="str">
        <f>VLOOKUP(M1933,LUTs!E$2:H$14,4,)</f>
        <v>03Strait of Juan de Fuca</v>
      </c>
      <c r="P1933" s="80">
        <v>10</v>
      </c>
      <c r="Q1933" s="103">
        <v>5</v>
      </c>
      <c r="R1933" s="74">
        <f>VLOOKUP(B1933,Readme!A$40:C$52,3,)*Q1933</f>
        <v>42.699999999999996</v>
      </c>
    </row>
    <row r="1934" spans="1:18" ht="12" customHeight="1" x14ac:dyDescent="0.35">
      <c r="A1934" s="75">
        <v>1856</v>
      </c>
      <c r="B1934" s="80">
        <v>2018</v>
      </c>
      <c r="C1934" s="80">
        <v>1</v>
      </c>
      <c r="D1934" s="80">
        <f t="shared" si="112"/>
        <v>2017</v>
      </c>
      <c r="E1934" t="s">
        <v>38</v>
      </c>
      <c r="F1934" t="s">
        <v>143</v>
      </c>
      <c r="G1934" t="s">
        <v>86</v>
      </c>
      <c r="H1934" s="72" t="s">
        <v>204</v>
      </c>
      <c r="I1934" s="72" t="s">
        <v>46</v>
      </c>
      <c r="J1934" t="str">
        <f t="shared" si="111"/>
        <v>Hoko River</v>
      </c>
      <c r="K1934" t="str">
        <f>IFERROR(VLOOKUP(J1934,LUTs!$A$1:$C$73,2,FALSE),"NA")</f>
        <v>Clallam</v>
      </c>
      <c r="L1934" t="str">
        <f>IFERROR(VLOOKUP(J1934,LUTs!$A$1:$C$73,3,FALSE),"NA")</f>
        <v>0Strait of Juan de Fuca</v>
      </c>
      <c r="M1934" s="72" t="s">
        <v>24</v>
      </c>
      <c r="N1934" t="str">
        <f>VLOOKUP(M1934,LUTs!E$2:H$14,3,)</f>
        <v>11Clallam</v>
      </c>
      <c r="O1934" t="str">
        <f>VLOOKUP(M1934,LUTs!E$2:H$14,4,)</f>
        <v>03Strait of Juan de Fuca</v>
      </c>
      <c r="P1934" s="80">
        <v>44</v>
      </c>
      <c r="Q1934" s="103">
        <v>22</v>
      </c>
      <c r="R1934" s="74">
        <f>VLOOKUP(B1934,Readme!A$40:C$52,3,)*Q1934</f>
        <v>187.88</v>
      </c>
    </row>
    <row r="1935" spans="1:18" ht="12" customHeight="1" x14ac:dyDescent="0.35">
      <c r="A1935" s="75">
        <v>1867</v>
      </c>
      <c r="B1935" s="80">
        <v>2018</v>
      </c>
      <c r="C1935" s="80">
        <v>1</v>
      </c>
      <c r="D1935" s="80">
        <f t="shared" si="112"/>
        <v>2017</v>
      </c>
      <c r="E1935" t="s">
        <v>38</v>
      </c>
      <c r="F1935" t="s">
        <v>143</v>
      </c>
      <c r="G1935" t="s">
        <v>86</v>
      </c>
      <c r="H1935" s="72" t="s">
        <v>241</v>
      </c>
      <c r="I1935" s="72" t="s">
        <v>83</v>
      </c>
      <c r="J1935" t="str">
        <f t="shared" si="111"/>
        <v>Nooksack River, below North Fork</v>
      </c>
      <c r="K1935" t="str">
        <f>IFERROR(VLOOKUP(J1935,LUTs!$A$1:$C$73,2,FALSE),"NA")</f>
        <v>Whatcom</v>
      </c>
      <c r="L1935" t="str">
        <f>IFERROR(VLOOKUP(J1935,LUTs!$A$1:$C$73,3,FALSE),"NA")</f>
        <v>1North Puget Sound</v>
      </c>
      <c r="M1935" s="72" t="s">
        <v>18</v>
      </c>
      <c r="N1935" t="str">
        <f>VLOOKUP(M1935,LUTs!E$2:H$14,3,)</f>
        <v>06King</v>
      </c>
      <c r="O1935" t="str">
        <f>VLOOKUP(M1935,LUTs!E$2:H$14,4,)</f>
        <v>02South Puget Sound</v>
      </c>
      <c r="P1935" s="80">
        <v>11</v>
      </c>
      <c r="Q1935" s="103">
        <v>5.5</v>
      </c>
      <c r="R1935" s="74">
        <f>VLOOKUP(B1935,Readme!A$40:C$52,3,)*Q1935</f>
        <v>46.97</v>
      </c>
    </row>
    <row r="1936" spans="1:18" ht="12" customHeight="1" x14ac:dyDescent="0.35">
      <c r="A1936" s="75">
        <v>1868</v>
      </c>
      <c r="B1936" s="80">
        <v>2018</v>
      </c>
      <c r="C1936" s="80">
        <v>1</v>
      </c>
      <c r="D1936" s="80">
        <f t="shared" si="112"/>
        <v>2017</v>
      </c>
      <c r="E1936" t="s">
        <v>38</v>
      </c>
      <c r="F1936" t="s">
        <v>143</v>
      </c>
      <c r="G1936" t="s">
        <v>86</v>
      </c>
      <c r="H1936" s="72" t="s">
        <v>241</v>
      </c>
      <c r="I1936" s="72" t="s">
        <v>83</v>
      </c>
      <c r="J1936" t="str">
        <f t="shared" si="111"/>
        <v>Nooksack River, below North Fork</v>
      </c>
      <c r="K1936" t="str">
        <f>IFERROR(VLOOKUP(J1936,LUTs!$A$1:$C$73,2,FALSE),"NA")</f>
        <v>Whatcom</v>
      </c>
      <c r="L1936" t="str">
        <f>IFERROR(VLOOKUP(J1936,LUTs!$A$1:$C$73,3,FALSE),"NA")</f>
        <v>1North Puget Sound</v>
      </c>
      <c r="M1936" s="72" t="s">
        <v>13</v>
      </c>
      <c r="N1936" t="str">
        <f>VLOOKUP(M1936,LUTs!E$2:H$14,3,)</f>
        <v>01Whatcom</v>
      </c>
      <c r="O1936" t="str">
        <f>VLOOKUP(M1936,LUTs!E$2:H$14,4,)</f>
        <v>01North Puget Sound</v>
      </c>
      <c r="P1936" s="80">
        <v>11</v>
      </c>
      <c r="Q1936" s="103">
        <v>5.5</v>
      </c>
      <c r="R1936" s="74">
        <f>VLOOKUP(B1936,Readme!A$40:C$52,3,)*Q1936</f>
        <v>46.97</v>
      </c>
    </row>
    <row r="1937" spans="1:18" ht="12" customHeight="1" x14ac:dyDescent="0.35">
      <c r="A1937" s="75">
        <v>1862</v>
      </c>
      <c r="B1937" s="80">
        <v>2018</v>
      </c>
      <c r="C1937" s="80">
        <v>1</v>
      </c>
      <c r="D1937" s="80">
        <f t="shared" si="112"/>
        <v>2017</v>
      </c>
      <c r="E1937" t="s">
        <v>38</v>
      </c>
      <c r="F1937" t="s">
        <v>143</v>
      </c>
      <c r="G1937" t="s">
        <v>86</v>
      </c>
      <c r="H1937" s="72" t="s">
        <v>210</v>
      </c>
      <c r="I1937" s="72" t="s">
        <v>108</v>
      </c>
      <c r="J1937" s="84" t="s">
        <v>52</v>
      </c>
      <c r="K1937" t="str">
        <f>IFERROR(VLOOKUP(J1937,LUTs!$A$1:$C$73,2,FALSE),"NA")</f>
        <v>Whatcom</v>
      </c>
      <c r="L1937" t="str">
        <f>IFERROR(VLOOKUP(J1937,LUTs!$A$1:$C$73,3,FALSE),"NA")</f>
        <v>1North Puget Sound</v>
      </c>
      <c r="M1937" s="72" t="s">
        <v>13</v>
      </c>
      <c r="N1937" t="str">
        <f>VLOOKUP(M1937,LUTs!E$2:H$14,3,)</f>
        <v>01Whatcom</v>
      </c>
      <c r="O1937" t="str">
        <f>VLOOKUP(M1937,LUTs!E$2:H$14,4,)</f>
        <v>01North Puget Sound</v>
      </c>
      <c r="P1937" s="80">
        <v>22</v>
      </c>
      <c r="Q1937" s="103">
        <v>11</v>
      </c>
      <c r="R1937" s="74">
        <f>VLOOKUP(B1937,Readme!A$40:C$52,3,)*Q1937</f>
        <v>93.94</v>
      </c>
    </row>
    <row r="1938" spans="1:18" ht="12" customHeight="1" x14ac:dyDescent="0.35">
      <c r="A1938" s="75">
        <v>1864</v>
      </c>
      <c r="B1938" s="80">
        <v>2018</v>
      </c>
      <c r="C1938" s="80">
        <v>1</v>
      </c>
      <c r="D1938" s="80">
        <f t="shared" si="112"/>
        <v>2017</v>
      </c>
      <c r="E1938" t="s">
        <v>38</v>
      </c>
      <c r="F1938" t="s">
        <v>143</v>
      </c>
      <c r="G1938" t="s">
        <v>86</v>
      </c>
      <c r="H1938" s="72" t="s">
        <v>239</v>
      </c>
      <c r="I1938" s="72" t="s">
        <v>92</v>
      </c>
      <c r="J1938" t="str">
        <f t="shared" ref="J1938:J1969" si="113">I1938</f>
        <v>Nooksack River, No. Fork</v>
      </c>
      <c r="K1938" t="str">
        <f>IFERROR(VLOOKUP(J1938,LUTs!$A$1:$C$73,2,FALSE),"NA")</f>
        <v>Whatcom</v>
      </c>
      <c r="L1938" t="str">
        <f>IFERROR(VLOOKUP(J1938,LUTs!$A$1:$C$73,3,FALSE),"NA")</f>
        <v>1North Puget Sound</v>
      </c>
      <c r="M1938" s="72" t="s">
        <v>13</v>
      </c>
      <c r="N1938" t="str">
        <f>VLOOKUP(M1938,LUTs!E$2:H$14,3,)</f>
        <v>01Whatcom</v>
      </c>
      <c r="O1938" t="str">
        <f>VLOOKUP(M1938,LUTs!E$2:H$14,4,)</f>
        <v>01North Puget Sound</v>
      </c>
      <c r="P1938" s="80">
        <v>208</v>
      </c>
      <c r="Q1938" s="103">
        <v>104</v>
      </c>
      <c r="R1938" s="74">
        <f>VLOOKUP(B1938,Readme!A$40:C$52,3,)*Q1938</f>
        <v>888.15999999999985</v>
      </c>
    </row>
    <row r="1939" spans="1:18" ht="12" customHeight="1" x14ac:dyDescent="0.35">
      <c r="A1939" s="75">
        <v>1872</v>
      </c>
      <c r="B1939" s="80">
        <v>2018</v>
      </c>
      <c r="C1939" s="80">
        <v>1</v>
      </c>
      <c r="D1939" s="80">
        <f t="shared" si="112"/>
        <v>2017</v>
      </c>
      <c r="E1939" t="s">
        <v>38</v>
      </c>
      <c r="F1939" t="s">
        <v>143</v>
      </c>
      <c r="G1939" t="s">
        <v>86</v>
      </c>
      <c r="H1939" s="72" t="s">
        <v>218</v>
      </c>
      <c r="I1939" s="72" t="s">
        <v>60</v>
      </c>
      <c r="J1939" t="str">
        <f t="shared" si="113"/>
        <v>Skagit River</v>
      </c>
      <c r="K1939" t="str">
        <f>IFERROR(VLOOKUP(J1939,LUTs!$A$1:$C$73,2,FALSE),"NA")</f>
        <v>Skagit/Whatcom</v>
      </c>
      <c r="L1939" t="str">
        <f>IFERROR(VLOOKUP(J1939,LUTs!$A$1:$C$73,3,FALSE),"NA")</f>
        <v>2Central Puget Sound</v>
      </c>
      <c r="M1939" s="72" t="s">
        <v>15</v>
      </c>
      <c r="N1939" t="str">
        <f>VLOOKUP(M1939,LUTs!E$2:H$14,3,)</f>
        <v>02Skagit</v>
      </c>
      <c r="O1939" t="str">
        <f>VLOOKUP(M1939,LUTs!E$2:H$14,4,)</f>
        <v>01North Puget Sound</v>
      </c>
      <c r="P1939" s="80">
        <v>10</v>
      </c>
      <c r="Q1939" s="103">
        <v>5</v>
      </c>
      <c r="R1939" s="74">
        <f>VLOOKUP(B1939,Readme!A$40:C$52,3,)*Q1939</f>
        <v>42.699999999999996</v>
      </c>
    </row>
    <row r="1940" spans="1:18" ht="12" customHeight="1" x14ac:dyDescent="0.35">
      <c r="A1940" s="75">
        <v>1898</v>
      </c>
      <c r="B1940" s="80">
        <v>2018</v>
      </c>
      <c r="C1940" s="80">
        <v>1</v>
      </c>
      <c r="D1940" s="80">
        <f t="shared" si="112"/>
        <v>2017</v>
      </c>
      <c r="E1940" t="s">
        <v>38</v>
      </c>
      <c r="F1940" t="s">
        <v>143</v>
      </c>
      <c r="G1940" t="s">
        <v>86</v>
      </c>
      <c r="H1940" s="72" t="s">
        <v>220</v>
      </c>
      <c r="I1940" s="72" t="s">
        <v>62</v>
      </c>
      <c r="J1940" t="str">
        <f t="shared" si="113"/>
        <v>Skykomish River</v>
      </c>
      <c r="K1940" t="str">
        <f>IFERROR(VLOOKUP(J1940,LUTs!$A$1:$C$73,2,FALSE),"NA")</f>
        <v>Snohomish</v>
      </c>
      <c r="L1940" t="str">
        <f>IFERROR(VLOOKUP(J1940,LUTs!$A$1:$C$73,3,FALSE),"NA")</f>
        <v>2Central Puget Sound</v>
      </c>
      <c r="M1940" s="72" t="s">
        <v>18</v>
      </c>
      <c r="N1940" t="str">
        <f>VLOOKUP(M1940,LUTs!E$2:H$14,3,)</f>
        <v>06King</v>
      </c>
      <c r="O1940" t="str">
        <f>VLOOKUP(M1940,LUTs!E$2:H$14,4,)</f>
        <v>02South Puget Sound</v>
      </c>
      <c r="P1940" s="80">
        <v>618.24</v>
      </c>
      <c r="Q1940" s="103">
        <v>309.12</v>
      </c>
      <c r="R1940" s="74">
        <f>VLOOKUP(B1940,Readme!A$40:C$52,3,)*Q1940</f>
        <v>2639.8847999999998</v>
      </c>
    </row>
    <row r="1941" spans="1:18" ht="12" customHeight="1" x14ac:dyDescent="0.35">
      <c r="A1941" s="75">
        <v>1899</v>
      </c>
      <c r="B1941" s="80">
        <v>2018</v>
      </c>
      <c r="C1941" s="80">
        <v>1</v>
      </c>
      <c r="D1941" s="80">
        <f t="shared" si="112"/>
        <v>2017</v>
      </c>
      <c r="E1941" t="s">
        <v>38</v>
      </c>
      <c r="F1941" t="s">
        <v>143</v>
      </c>
      <c r="G1941" t="s">
        <v>86</v>
      </c>
      <c r="H1941" s="72" t="s">
        <v>220</v>
      </c>
      <c r="I1941" s="72" t="s">
        <v>62</v>
      </c>
      <c r="J1941" t="str">
        <f t="shared" si="113"/>
        <v>Skykomish River</v>
      </c>
      <c r="K1941" t="str">
        <f>IFERROR(VLOOKUP(J1941,LUTs!$A$1:$C$73,2,FALSE),"NA")</f>
        <v>Snohomish</v>
      </c>
      <c r="L1941" t="str">
        <f>IFERROR(VLOOKUP(J1941,LUTs!$A$1:$C$73,3,FALSE),"NA")</f>
        <v>2Central Puget Sound</v>
      </c>
      <c r="M1941" s="72" t="s">
        <v>26</v>
      </c>
      <c r="N1941" t="str">
        <f>VLOOKUP(M1941,LUTs!E$2:H$14,3,)</f>
        <v>20Other</v>
      </c>
      <c r="O1941" t="str">
        <f>VLOOKUP(M1941,LUTs!E$2:H$14,4,)</f>
        <v>07Non Puget Sound</v>
      </c>
      <c r="P1941" s="80">
        <v>35.840000000000003</v>
      </c>
      <c r="Q1941" s="103">
        <v>17.920000000000002</v>
      </c>
      <c r="R1941" s="74">
        <f>VLOOKUP(B1941,Readme!A$40:C$52,3,)*Q1941</f>
        <v>153.0368</v>
      </c>
    </row>
    <row r="1942" spans="1:18" ht="12" customHeight="1" x14ac:dyDescent="0.35">
      <c r="A1942" s="75">
        <v>1900</v>
      </c>
      <c r="B1942" s="80">
        <v>2018</v>
      </c>
      <c r="C1942" s="80">
        <v>1</v>
      </c>
      <c r="D1942" s="80">
        <f t="shared" si="112"/>
        <v>2017</v>
      </c>
      <c r="E1942" t="s">
        <v>38</v>
      </c>
      <c r="F1942" t="s">
        <v>143</v>
      </c>
      <c r="G1942" t="s">
        <v>86</v>
      </c>
      <c r="H1942" s="72" t="s">
        <v>220</v>
      </c>
      <c r="I1942" s="72" t="s">
        <v>62</v>
      </c>
      <c r="J1942" t="str">
        <f t="shared" si="113"/>
        <v>Skykomish River</v>
      </c>
      <c r="K1942" t="str">
        <f>IFERROR(VLOOKUP(J1942,LUTs!$A$1:$C$73,2,FALSE),"NA")</f>
        <v>Snohomish</v>
      </c>
      <c r="L1942" t="str">
        <f>IFERROR(VLOOKUP(J1942,LUTs!$A$1:$C$73,3,FALSE),"NA")</f>
        <v>2Central Puget Sound</v>
      </c>
      <c r="M1942" s="72" t="s">
        <v>16</v>
      </c>
      <c r="N1942" t="str">
        <f>VLOOKUP(M1942,LUTs!E$2:H$14,3,)</f>
        <v>03Snohomish</v>
      </c>
      <c r="O1942" t="str">
        <f>VLOOKUP(M1942,LUTs!E$2:H$14,4,)</f>
        <v>01North Puget Sound</v>
      </c>
      <c r="P1942" s="80">
        <v>689.92</v>
      </c>
      <c r="Q1942" s="103">
        <v>344.96</v>
      </c>
      <c r="R1942" s="74">
        <f>VLOOKUP(B1942,Readme!A$40:C$52,3,)*Q1942</f>
        <v>2945.9583999999995</v>
      </c>
    </row>
    <row r="1943" spans="1:18" ht="12" customHeight="1" x14ac:dyDescent="0.35">
      <c r="A1943" s="75">
        <v>1908</v>
      </c>
      <c r="B1943" s="80">
        <v>2018</v>
      </c>
      <c r="C1943" s="80">
        <v>1</v>
      </c>
      <c r="D1943" s="80">
        <f t="shared" si="112"/>
        <v>2017</v>
      </c>
      <c r="E1943" t="s">
        <v>38</v>
      </c>
      <c r="F1943" t="s">
        <v>143</v>
      </c>
      <c r="G1943" t="s">
        <v>86</v>
      </c>
      <c r="H1943" s="72" t="s">
        <v>247</v>
      </c>
      <c r="I1943" s="72" t="s">
        <v>98</v>
      </c>
      <c r="J1943" t="str">
        <f t="shared" si="113"/>
        <v>Skykomish River, No. Fork</v>
      </c>
      <c r="K1943" t="str">
        <f>IFERROR(VLOOKUP(J1943,LUTs!$A$1:$C$73,2,FALSE),"NA")</f>
        <v>Snohomish</v>
      </c>
      <c r="L1943" t="str">
        <f>IFERROR(VLOOKUP(J1943,LUTs!$A$1:$C$73,3,FALSE),"NA")</f>
        <v>2Central Puget Sound</v>
      </c>
      <c r="M1943" s="72" t="s">
        <v>18</v>
      </c>
      <c r="N1943" t="str">
        <f>VLOOKUP(M1943,LUTs!E$2:H$14,3,)</f>
        <v>06King</v>
      </c>
      <c r="O1943" t="str">
        <f>VLOOKUP(M1943,LUTs!E$2:H$14,4,)</f>
        <v>02South Puget Sound</v>
      </c>
      <c r="P1943" s="80">
        <v>8</v>
      </c>
      <c r="Q1943" s="103">
        <v>4</v>
      </c>
      <c r="R1943" s="74">
        <f>VLOOKUP(B1943,Readme!A$40:C$52,3,)*Q1943</f>
        <v>34.159999999999997</v>
      </c>
    </row>
    <row r="1944" spans="1:18" ht="12" customHeight="1" x14ac:dyDescent="0.35">
      <c r="A1944" s="75">
        <v>1915</v>
      </c>
      <c r="B1944" s="80">
        <v>2018</v>
      </c>
      <c r="C1944" s="80">
        <v>1</v>
      </c>
      <c r="D1944" s="80">
        <f t="shared" si="112"/>
        <v>2017</v>
      </c>
      <c r="E1944" t="s">
        <v>38</v>
      </c>
      <c r="F1944" t="s">
        <v>143</v>
      </c>
      <c r="G1944" t="s">
        <v>86</v>
      </c>
      <c r="H1944" s="72" t="s">
        <v>248</v>
      </c>
      <c r="I1944" s="72" t="s">
        <v>99</v>
      </c>
      <c r="J1944" t="str">
        <f t="shared" si="113"/>
        <v>Skykomish River, So. Fork</v>
      </c>
      <c r="K1944" t="str">
        <f>IFERROR(VLOOKUP(J1944,LUTs!$A$1:$C$73,2,FALSE),"NA")</f>
        <v>Snohomish/King</v>
      </c>
      <c r="L1944" t="str">
        <f>IFERROR(VLOOKUP(J1944,LUTs!$A$1:$C$73,3,FALSE),"NA")</f>
        <v>2Central Puget Sound</v>
      </c>
      <c r="M1944" s="72" t="s">
        <v>16</v>
      </c>
      <c r="N1944" t="str">
        <f>VLOOKUP(M1944,LUTs!E$2:H$14,3,)</f>
        <v>03Snohomish</v>
      </c>
      <c r="O1944" t="str">
        <f>VLOOKUP(M1944,LUTs!E$2:H$14,4,)</f>
        <v>01North Puget Sound</v>
      </c>
      <c r="P1944" s="80">
        <v>36</v>
      </c>
      <c r="Q1944" s="103">
        <v>18</v>
      </c>
      <c r="R1944" s="74">
        <f>VLOOKUP(B1944,Readme!A$40:C$52,3,)*Q1944</f>
        <v>153.71999999999997</v>
      </c>
    </row>
    <row r="1945" spans="1:18" ht="12" customHeight="1" x14ac:dyDescent="0.35">
      <c r="A1945" s="75">
        <v>1921</v>
      </c>
      <c r="B1945" s="80">
        <v>2018</v>
      </c>
      <c r="C1945" s="80">
        <v>1</v>
      </c>
      <c r="D1945" s="80">
        <f t="shared" si="112"/>
        <v>2017</v>
      </c>
      <c r="E1945" t="s">
        <v>38</v>
      </c>
      <c r="F1945" t="s">
        <v>143</v>
      </c>
      <c r="G1945" t="s">
        <v>86</v>
      </c>
      <c r="H1945" s="72" t="s">
        <v>221</v>
      </c>
      <c r="I1945" s="72" t="s">
        <v>63</v>
      </c>
      <c r="J1945" t="str">
        <f t="shared" si="113"/>
        <v>Snohomish River</v>
      </c>
      <c r="K1945" t="str">
        <f>IFERROR(VLOOKUP(J1945,LUTs!$A$1:$C$73,2,FALSE),"NA")</f>
        <v>Snohomish</v>
      </c>
      <c r="L1945" t="str">
        <f>IFERROR(VLOOKUP(J1945,LUTs!$A$1:$C$73,3,FALSE),"NA")</f>
        <v>2Central Puget Sound</v>
      </c>
      <c r="M1945" s="72" t="s">
        <v>16</v>
      </c>
      <c r="N1945" t="str">
        <f>VLOOKUP(M1945,LUTs!E$2:H$14,3,)</f>
        <v>03Snohomish</v>
      </c>
      <c r="O1945" t="str">
        <f>VLOOKUP(M1945,LUTs!E$2:H$14,4,)</f>
        <v>01North Puget Sound</v>
      </c>
      <c r="P1945" s="80">
        <v>144</v>
      </c>
      <c r="Q1945" s="103">
        <v>72</v>
      </c>
      <c r="R1945" s="74">
        <f>VLOOKUP(B1945,Readme!A$40:C$52,3,)*Q1945</f>
        <v>614.87999999999988</v>
      </c>
    </row>
    <row r="1946" spans="1:18" ht="12" customHeight="1" x14ac:dyDescent="0.35">
      <c r="A1946" s="75">
        <v>1926</v>
      </c>
      <c r="B1946" s="80">
        <v>2018</v>
      </c>
      <c r="C1946" s="80">
        <v>1</v>
      </c>
      <c r="D1946" s="80">
        <f t="shared" si="112"/>
        <v>2017</v>
      </c>
      <c r="E1946" t="s">
        <v>38</v>
      </c>
      <c r="F1946" t="s">
        <v>143</v>
      </c>
      <c r="G1946" t="s">
        <v>86</v>
      </c>
      <c r="H1946" s="72" t="s">
        <v>222</v>
      </c>
      <c r="I1946" s="72" t="s">
        <v>64</v>
      </c>
      <c r="J1946" t="str">
        <f t="shared" si="113"/>
        <v>Snoqualmie River</v>
      </c>
      <c r="K1946" t="str">
        <f>IFERROR(VLOOKUP(J1946,LUTs!$A$1:$C$73,2,FALSE),"NA")</f>
        <v>Snohomish/King</v>
      </c>
      <c r="L1946" t="str">
        <f>IFERROR(VLOOKUP(J1946,LUTs!$A$1:$C$73,3,FALSE),"NA")</f>
        <v>2Central Puget Sound</v>
      </c>
      <c r="M1946" s="72" t="s">
        <v>18</v>
      </c>
      <c r="N1946" t="str">
        <f>VLOOKUP(M1946,LUTs!E$2:H$14,3,)</f>
        <v>06King</v>
      </c>
      <c r="O1946" t="str">
        <f>VLOOKUP(M1946,LUTs!E$2:H$14,4,)</f>
        <v>02South Puget Sound</v>
      </c>
      <c r="P1946" s="80">
        <v>71.272727272727295</v>
      </c>
      <c r="Q1946" s="103">
        <v>35.636363636363598</v>
      </c>
      <c r="R1946" s="74">
        <f>VLOOKUP(B1946,Readme!A$40:C$52,3,)*Q1946</f>
        <v>304.33454545454509</v>
      </c>
    </row>
    <row r="1947" spans="1:18" ht="12" customHeight="1" x14ac:dyDescent="0.35">
      <c r="A1947" s="75">
        <v>1927</v>
      </c>
      <c r="B1947" s="80">
        <v>2018</v>
      </c>
      <c r="C1947" s="80">
        <v>1</v>
      </c>
      <c r="D1947" s="80">
        <f t="shared" si="112"/>
        <v>2017</v>
      </c>
      <c r="E1947" t="s">
        <v>38</v>
      </c>
      <c r="F1947" t="s">
        <v>143</v>
      </c>
      <c r="G1947" t="s">
        <v>86</v>
      </c>
      <c r="H1947" s="72" t="s">
        <v>222</v>
      </c>
      <c r="I1947" s="72" t="s">
        <v>64</v>
      </c>
      <c r="J1947" t="str">
        <f t="shared" si="113"/>
        <v>Snoqualmie River</v>
      </c>
      <c r="K1947" t="str">
        <f>IFERROR(VLOOKUP(J1947,LUTs!$A$1:$C$73,2,FALSE),"NA")</f>
        <v>Snohomish/King</v>
      </c>
      <c r="L1947" t="str">
        <f>IFERROR(VLOOKUP(J1947,LUTs!$A$1:$C$73,3,FALSE),"NA")</f>
        <v>2Central Puget Sound</v>
      </c>
      <c r="M1947" s="72" t="s">
        <v>26</v>
      </c>
      <c r="N1947" t="str">
        <f>VLOOKUP(M1947,LUTs!E$2:H$14,3,)</f>
        <v>20Other</v>
      </c>
      <c r="O1947" t="str">
        <f>VLOOKUP(M1947,LUTs!E$2:H$14,4,)</f>
        <v>07Non Puget Sound</v>
      </c>
      <c r="P1947" s="80">
        <v>17.818181818181799</v>
      </c>
      <c r="Q1947" s="103">
        <v>8.9090909090909101</v>
      </c>
      <c r="R1947" s="74">
        <f>VLOOKUP(B1947,Readme!A$40:C$52,3,)*Q1947</f>
        <v>76.083636363636359</v>
      </c>
    </row>
    <row r="1948" spans="1:18" ht="12" customHeight="1" x14ac:dyDescent="0.35">
      <c r="A1948" s="75">
        <v>1928</v>
      </c>
      <c r="B1948" s="80">
        <v>2018</v>
      </c>
      <c r="C1948" s="80">
        <v>1</v>
      </c>
      <c r="D1948" s="80">
        <f t="shared" si="112"/>
        <v>2017</v>
      </c>
      <c r="E1948" t="s">
        <v>38</v>
      </c>
      <c r="F1948" t="s">
        <v>143</v>
      </c>
      <c r="G1948" t="s">
        <v>86</v>
      </c>
      <c r="H1948" s="72" t="s">
        <v>222</v>
      </c>
      <c r="I1948" s="72" t="s">
        <v>64</v>
      </c>
      <c r="J1948" t="str">
        <f t="shared" si="113"/>
        <v>Snoqualmie River</v>
      </c>
      <c r="K1948" t="str">
        <f>IFERROR(VLOOKUP(J1948,LUTs!$A$1:$C$73,2,FALSE),"NA")</f>
        <v>Snohomish/King</v>
      </c>
      <c r="L1948" t="str">
        <f>IFERROR(VLOOKUP(J1948,LUTs!$A$1:$C$73,3,FALSE),"NA")</f>
        <v>2Central Puget Sound</v>
      </c>
      <c r="M1948" s="72" t="s">
        <v>16</v>
      </c>
      <c r="N1948" t="str">
        <f>VLOOKUP(M1948,LUTs!E$2:H$14,3,)</f>
        <v>03Snohomish</v>
      </c>
      <c r="O1948" t="str">
        <f>VLOOKUP(M1948,LUTs!E$2:H$14,4,)</f>
        <v>01North Puget Sound</v>
      </c>
      <c r="P1948" s="80">
        <v>8.9090909090909101</v>
      </c>
      <c r="Q1948" s="103">
        <v>4.4545454545454604</v>
      </c>
      <c r="R1948" s="74">
        <f>VLOOKUP(B1948,Readme!A$40:C$52,3,)*Q1948</f>
        <v>38.041818181818229</v>
      </c>
    </row>
    <row r="1949" spans="1:18" ht="12" customHeight="1" x14ac:dyDescent="0.35">
      <c r="A1949" s="75">
        <v>1953</v>
      </c>
      <c r="B1949" s="80">
        <v>2018</v>
      </c>
      <c r="C1949" s="80">
        <v>1</v>
      </c>
      <c r="D1949" s="80">
        <f t="shared" si="112"/>
        <v>2017</v>
      </c>
      <c r="E1949" t="s">
        <v>38</v>
      </c>
      <c r="F1949" t="s">
        <v>143</v>
      </c>
      <c r="G1949" t="s">
        <v>86</v>
      </c>
      <c r="H1949" s="72" t="s">
        <v>223</v>
      </c>
      <c r="I1949" s="72" t="s">
        <v>103</v>
      </c>
      <c r="J1949" t="str">
        <f t="shared" si="113"/>
        <v>Stillaguamish R, No. Fork</v>
      </c>
      <c r="K1949" t="str">
        <f>IFERROR(VLOOKUP(J1949,LUTs!$A$1:$C$73,2,FALSE),"NA")</f>
        <v>Snohomish</v>
      </c>
      <c r="L1949" t="str">
        <f>IFERROR(VLOOKUP(J1949,LUTs!$A$1:$C$73,3,FALSE),"NA")</f>
        <v>2Central Puget Sound</v>
      </c>
      <c r="M1949" s="72" t="s">
        <v>16</v>
      </c>
      <c r="N1949" t="str">
        <f>VLOOKUP(M1949,LUTs!E$2:H$14,3,)</f>
        <v>03Snohomish</v>
      </c>
      <c r="O1949" t="str">
        <f>VLOOKUP(M1949,LUTs!E$2:H$14,4,)</f>
        <v>01North Puget Sound</v>
      </c>
      <c r="P1949" s="80">
        <v>32</v>
      </c>
      <c r="Q1949" s="103">
        <v>16</v>
      </c>
      <c r="R1949" s="74">
        <f>VLOOKUP(B1949,Readme!A$40:C$52,3,)*Q1949</f>
        <v>136.63999999999999</v>
      </c>
    </row>
    <row r="1950" spans="1:18" ht="12" customHeight="1" x14ac:dyDescent="0.35">
      <c r="A1950" s="75">
        <v>1933</v>
      </c>
      <c r="B1950" s="80">
        <v>2018</v>
      </c>
      <c r="C1950" s="80">
        <v>1</v>
      </c>
      <c r="D1950" s="80">
        <f t="shared" si="112"/>
        <v>2017</v>
      </c>
      <c r="E1950" t="s">
        <v>38</v>
      </c>
      <c r="F1950" t="s">
        <v>143</v>
      </c>
      <c r="G1950" t="s">
        <v>86</v>
      </c>
      <c r="H1950" s="72" t="s">
        <v>250</v>
      </c>
      <c r="I1950" s="72" t="s">
        <v>101</v>
      </c>
      <c r="J1950" t="str">
        <f t="shared" si="113"/>
        <v>Tokul Creek</v>
      </c>
      <c r="K1950" t="str">
        <f>IFERROR(VLOOKUP(J1950,LUTs!$A$1:$C$73,2,FALSE),"NA")</f>
        <v>King</v>
      </c>
      <c r="L1950" t="str">
        <f>IFERROR(VLOOKUP(J1950,LUTs!$A$1:$C$73,3,FALSE),"NA")</f>
        <v>2Central Puget Sound</v>
      </c>
      <c r="M1950" s="72" t="s">
        <v>18</v>
      </c>
      <c r="N1950" t="str">
        <f>VLOOKUP(M1950,LUTs!E$2:H$14,3,)</f>
        <v>06King</v>
      </c>
      <c r="O1950" t="str">
        <f>VLOOKUP(M1950,LUTs!E$2:H$14,4,)</f>
        <v>02South Puget Sound</v>
      </c>
      <c r="P1950" s="80">
        <v>431.02040816326502</v>
      </c>
      <c r="Q1950" s="103">
        <v>215.51020408163299</v>
      </c>
      <c r="R1950" s="74">
        <f>VLOOKUP(B1950,Readme!A$40:C$52,3,)*Q1950</f>
        <v>1840.4571428571455</v>
      </c>
    </row>
    <row r="1951" spans="1:18" ht="12" customHeight="1" x14ac:dyDescent="0.35">
      <c r="A1951" s="75">
        <v>1934</v>
      </c>
      <c r="B1951" s="80">
        <v>2018</v>
      </c>
      <c r="C1951" s="80">
        <v>1</v>
      </c>
      <c r="D1951" s="80">
        <f t="shared" si="112"/>
        <v>2017</v>
      </c>
      <c r="E1951" t="s">
        <v>38</v>
      </c>
      <c r="F1951" t="s">
        <v>143</v>
      </c>
      <c r="G1951" t="s">
        <v>86</v>
      </c>
      <c r="H1951" s="72" t="s">
        <v>250</v>
      </c>
      <c r="I1951" s="72" t="s">
        <v>101</v>
      </c>
      <c r="J1951" t="str">
        <f t="shared" si="113"/>
        <v>Tokul Creek</v>
      </c>
      <c r="K1951" t="str">
        <f>IFERROR(VLOOKUP(J1951,LUTs!$A$1:$C$73,2,FALSE),"NA")</f>
        <v>King</v>
      </c>
      <c r="L1951" t="str">
        <f>IFERROR(VLOOKUP(J1951,LUTs!$A$1:$C$73,3,FALSE),"NA")</f>
        <v>2Central Puget Sound</v>
      </c>
      <c r="M1951" s="72" t="s">
        <v>20</v>
      </c>
      <c r="N1951" t="str">
        <f>VLOOKUP(M1951,LUTs!E$2:H$14,3,)</f>
        <v>07Pierce</v>
      </c>
      <c r="O1951" t="str">
        <f>VLOOKUP(M1951,LUTs!E$2:H$14,4,)</f>
        <v>02South Puget Sound</v>
      </c>
      <c r="P1951" s="80">
        <v>8.9795918367347003</v>
      </c>
      <c r="Q1951" s="103">
        <v>4.4897959183673501</v>
      </c>
      <c r="R1951" s="74">
        <f>VLOOKUP(B1951,Readme!A$40:C$52,3,)*Q1951</f>
        <v>38.342857142857163</v>
      </c>
    </row>
    <row r="1952" spans="1:18" ht="12" customHeight="1" x14ac:dyDescent="0.35">
      <c r="A1952" s="75">
        <v>1937</v>
      </c>
      <c r="B1952" s="80">
        <v>2018</v>
      </c>
      <c r="C1952" s="80">
        <v>1</v>
      </c>
      <c r="D1952" s="80">
        <f t="shared" si="112"/>
        <v>2017</v>
      </c>
      <c r="E1952" t="s">
        <v>38</v>
      </c>
      <c r="F1952" t="s">
        <v>143</v>
      </c>
      <c r="G1952" t="s">
        <v>86</v>
      </c>
      <c r="H1952" s="72" t="s">
        <v>229</v>
      </c>
      <c r="I1952" s="72" t="s">
        <v>71</v>
      </c>
      <c r="J1952" t="str">
        <f t="shared" si="113"/>
        <v>Tolt River</v>
      </c>
      <c r="K1952" t="str">
        <f>IFERROR(VLOOKUP(J1952,LUTs!$A$1:$C$73,2,FALSE),"NA")</f>
        <v>King</v>
      </c>
      <c r="L1952" t="str">
        <f>IFERROR(VLOOKUP(J1952,LUTs!$A$1:$C$73,3,FALSE),"NA")</f>
        <v>2Central Puget Sound</v>
      </c>
      <c r="M1952" s="72" t="s">
        <v>18</v>
      </c>
      <c r="N1952" t="str">
        <f>VLOOKUP(M1952,LUTs!E$2:H$14,3,)</f>
        <v>06King</v>
      </c>
      <c r="O1952" t="str">
        <f>VLOOKUP(M1952,LUTs!E$2:H$14,4,)</f>
        <v>02South Puget Sound</v>
      </c>
      <c r="P1952" s="80">
        <v>8</v>
      </c>
      <c r="Q1952" s="103">
        <v>4</v>
      </c>
      <c r="R1952" s="74">
        <f>VLOOKUP(B1952,Readme!A$40:C$52,3,)*Q1952</f>
        <v>34.159999999999997</v>
      </c>
    </row>
    <row r="1953" spans="1:18" ht="12" customHeight="1" x14ac:dyDescent="0.35">
      <c r="A1953" s="75">
        <v>1947</v>
      </c>
      <c r="B1953" s="80">
        <v>2018</v>
      </c>
      <c r="C1953" s="80">
        <v>1</v>
      </c>
      <c r="D1953" s="80">
        <f t="shared" si="112"/>
        <v>2017</v>
      </c>
      <c r="E1953" t="s">
        <v>38</v>
      </c>
      <c r="F1953" t="s">
        <v>143</v>
      </c>
      <c r="G1953" t="s">
        <v>86</v>
      </c>
      <c r="H1953" s="72" t="s">
        <v>233</v>
      </c>
      <c r="I1953" s="72" t="s">
        <v>76</v>
      </c>
      <c r="J1953" t="str">
        <f t="shared" si="113"/>
        <v>Wallace River</v>
      </c>
      <c r="K1953" t="str">
        <f>IFERROR(VLOOKUP(J1953,LUTs!$A$1:$C$73,2,FALSE),"NA")</f>
        <v>Snohomish</v>
      </c>
      <c r="L1953" t="str">
        <f>IFERROR(VLOOKUP(J1953,LUTs!$A$1:$C$73,3,FALSE),"NA")</f>
        <v>2Central Puget Sound</v>
      </c>
      <c r="M1953" s="72" t="s">
        <v>18</v>
      </c>
      <c r="N1953" t="str">
        <f>VLOOKUP(M1953,LUTs!E$2:H$14,3,)</f>
        <v>06King</v>
      </c>
      <c r="O1953" t="str">
        <f>VLOOKUP(M1953,LUTs!E$2:H$14,4,)</f>
        <v>02South Puget Sound</v>
      </c>
      <c r="P1953" s="80">
        <v>161.333333333333</v>
      </c>
      <c r="Q1953" s="103">
        <v>80.6666666666667</v>
      </c>
      <c r="R1953" s="74">
        <f>VLOOKUP(B1953,Readme!A$40:C$52,3,)*Q1953</f>
        <v>688.89333333333354</v>
      </c>
    </row>
    <row r="1954" spans="1:18" ht="12" customHeight="1" x14ac:dyDescent="0.35">
      <c r="A1954" s="75">
        <v>1948</v>
      </c>
      <c r="B1954" s="80">
        <v>2018</v>
      </c>
      <c r="C1954" s="80">
        <v>1</v>
      </c>
      <c r="D1954" s="80">
        <f t="shared" si="112"/>
        <v>2017</v>
      </c>
      <c r="E1954" t="s">
        <v>38</v>
      </c>
      <c r="F1954" t="s">
        <v>143</v>
      </c>
      <c r="G1954" t="s">
        <v>86</v>
      </c>
      <c r="H1954" s="72" t="s">
        <v>233</v>
      </c>
      <c r="I1954" s="72" t="s">
        <v>76</v>
      </c>
      <c r="J1954" t="str">
        <f t="shared" si="113"/>
        <v>Wallace River</v>
      </c>
      <c r="K1954" t="str">
        <f>IFERROR(VLOOKUP(J1954,LUTs!$A$1:$C$73,2,FALSE),"NA")</f>
        <v>Snohomish</v>
      </c>
      <c r="L1954" t="str">
        <f>IFERROR(VLOOKUP(J1954,LUTs!$A$1:$C$73,3,FALSE),"NA")</f>
        <v>2Central Puget Sound</v>
      </c>
      <c r="M1954" s="72" t="s">
        <v>16</v>
      </c>
      <c r="N1954" t="str">
        <f>VLOOKUP(M1954,LUTs!E$2:H$14,3,)</f>
        <v>03Snohomish</v>
      </c>
      <c r="O1954" t="str">
        <f>VLOOKUP(M1954,LUTs!E$2:H$14,4,)</f>
        <v>01North Puget Sound</v>
      </c>
      <c r="P1954" s="80">
        <v>80.6666666666667</v>
      </c>
      <c r="Q1954" s="103">
        <v>40.3333333333333</v>
      </c>
      <c r="R1954" s="74">
        <f>VLOOKUP(B1954,Readme!A$40:C$52,3,)*Q1954</f>
        <v>344.44666666666637</v>
      </c>
    </row>
    <row r="1955" spans="1:18" ht="12" customHeight="1" x14ac:dyDescent="0.35">
      <c r="A1955" s="75">
        <v>1857</v>
      </c>
      <c r="B1955" s="80">
        <v>2018</v>
      </c>
      <c r="C1955" s="80">
        <v>2</v>
      </c>
      <c r="D1955" s="80">
        <f t="shared" si="112"/>
        <v>2017</v>
      </c>
      <c r="E1955" t="s">
        <v>38</v>
      </c>
      <c r="F1955" t="s">
        <v>143</v>
      </c>
      <c r="G1955" t="s">
        <v>86</v>
      </c>
      <c r="H1955" s="72" t="s">
        <v>204</v>
      </c>
      <c r="I1955" s="72" t="s">
        <v>46</v>
      </c>
      <c r="J1955" t="str">
        <f t="shared" si="113"/>
        <v>Hoko River</v>
      </c>
      <c r="K1955" t="str">
        <f>IFERROR(VLOOKUP(J1955,LUTs!$A$1:$C$73,2,FALSE),"NA")</f>
        <v>Clallam</v>
      </c>
      <c r="L1955" t="str">
        <f>IFERROR(VLOOKUP(J1955,LUTs!$A$1:$C$73,3,FALSE),"NA")</f>
        <v>0Strait of Juan de Fuca</v>
      </c>
      <c r="M1955" s="72" t="s">
        <v>24</v>
      </c>
      <c r="N1955" t="str">
        <f>VLOOKUP(M1955,LUTs!E$2:H$14,3,)</f>
        <v>11Clallam</v>
      </c>
      <c r="O1955" t="str">
        <f>VLOOKUP(M1955,LUTs!E$2:H$14,4,)</f>
        <v>03Strait of Juan de Fuca</v>
      </c>
      <c r="P1955" s="80">
        <v>11</v>
      </c>
      <c r="Q1955" s="103">
        <v>5.5</v>
      </c>
      <c r="R1955" s="74">
        <f>VLOOKUP(B1955,Readme!A$40:C$52,3,)*Q1955</f>
        <v>46.97</v>
      </c>
    </row>
    <row r="1956" spans="1:18" ht="12" customHeight="1" x14ac:dyDescent="0.35">
      <c r="A1956" s="75">
        <v>1858</v>
      </c>
      <c r="B1956" s="80">
        <v>2018</v>
      </c>
      <c r="C1956" s="80">
        <v>2</v>
      </c>
      <c r="D1956" s="80">
        <f t="shared" si="112"/>
        <v>2017</v>
      </c>
      <c r="E1956" t="s">
        <v>38</v>
      </c>
      <c r="F1956" t="s">
        <v>143</v>
      </c>
      <c r="G1956" t="s">
        <v>86</v>
      </c>
      <c r="H1956" s="72" t="s">
        <v>204</v>
      </c>
      <c r="I1956" s="72" t="s">
        <v>46</v>
      </c>
      <c r="J1956" t="str">
        <f t="shared" si="113"/>
        <v>Hoko River</v>
      </c>
      <c r="K1956" t="str">
        <f>IFERROR(VLOOKUP(J1956,LUTs!$A$1:$C$73,2,FALSE),"NA")</f>
        <v>Clallam</v>
      </c>
      <c r="L1956" t="str">
        <f>IFERROR(VLOOKUP(J1956,LUTs!$A$1:$C$73,3,FALSE),"NA")</f>
        <v>0Strait of Juan de Fuca</v>
      </c>
      <c r="M1956" s="72" t="s">
        <v>23</v>
      </c>
      <c r="N1956" t="str">
        <f>VLOOKUP(M1956,LUTs!E$2:H$14,3,)</f>
        <v>10Kitsap</v>
      </c>
      <c r="O1956" t="str">
        <f>VLOOKUP(M1956,LUTs!E$2:H$14,4,)</f>
        <v>02South Puget Sound</v>
      </c>
      <c r="P1956" s="80">
        <v>11</v>
      </c>
      <c r="Q1956" s="103">
        <v>5.5</v>
      </c>
      <c r="R1956" s="74">
        <f>VLOOKUP(B1956,Readme!A$40:C$52,3,)*Q1956</f>
        <v>46.97</v>
      </c>
    </row>
    <row r="1957" spans="1:18" ht="12" customHeight="1" x14ac:dyDescent="0.35">
      <c r="A1957" s="75">
        <v>1865</v>
      </c>
      <c r="B1957" s="80">
        <v>2018</v>
      </c>
      <c r="C1957" s="80">
        <v>2</v>
      </c>
      <c r="D1957" s="80">
        <f t="shared" si="112"/>
        <v>2017</v>
      </c>
      <c r="E1957" t="s">
        <v>38</v>
      </c>
      <c r="F1957" t="s">
        <v>143</v>
      </c>
      <c r="G1957" t="s">
        <v>86</v>
      </c>
      <c r="H1957" s="72" t="s">
        <v>239</v>
      </c>
      <c r="I1957" s="72" t="s">
        <v>92</v>
      </c>
      <c r="J1957" t="str">
        <f t="shared" si="113"/>
        <v>Nooksack River, No. Fork</v>
      </c>
      <c r="K1957" t="str">
        <f>IFERROR(VLOOKUP(J1957,LUTs!$A$1:$C$73,2,FALSE),"NA")</f>
        <v>Whatcom</v>
      </c>
      <c r="L1957" t="str">
        <f>IFERROR(VLOOKUP(J1957,LUTs!$A$1:$C$73,3,FALSE),"NA")</f>
        <v>1North Puget Sound</v>
      </c>
      <c r="M1957" s="72" t="s">
        <v>13</v>
      </c>
      <c r="N1957" t="str">
        <f>VLOOKUP(M1957,LUTs!E$2:H$14,3,)</f>
        <v>01Whatcom</v>
      </c>
      <c r="O1957" t="str">
        <f>VLOOKUP(M1957,LUTs!E$2:H$14,4,)</f>
        <v>01North Puget Sound</v>
      </c>
      <c r="P1957" s="80">
        <v>10</v>
      </c>
      <c r="Q1957" s="103">
        <v>5</v>
      </c>
      <c r="R1957" s="74">
        <f>VLOOKUP(B1957,Readme!A$40:C$52,3,)*Q1957</f>
        <v>42.699999999999996</v>
      </c>
    </row>
    <row r="1958" spans="1:18" ht="12" customHeight="1" x14ac:dyDescent="0.35">
      <c r="A1958" s="75">
        <v>1901</v>
      </c>
      <c r="B1958" s="80">
        <v>2018</v>
      </c>
      <c r="C1958" s="80">
        <v>2</v>
      </c>
      <c r="D1958" s="80">
        <f t="shared" si="112"/>
        <v>2017</v>
      </c>
      <c r="E1958" t="s">
        <v>38</v>
      </c>
      <c r="F1958" t="s">
        <v>143</v>
      </c>
      <c r="G1958" t="s">
        <v>86</v>
      </c>
      <c r="H1958" s="72" t="s">
        <v>220</v>
      </c>
      <c r="I1958" s="72" t="s">
        <v>62</v>
      </c>
      <c r="J1958" t="str">
        <f t="shared" si="113"/>
        <v>Skykomish River</v>
      </c>
      <c r="K1958" t="str">
        <f>IFERROR(VLOOKUP(J1958,LUTs!$A$1:$C$73,2,FALSE),"NA")</f>
        <v>Snohomish</v>
      </c>
      <c r="L1958" t="str">
        <f>IFERROR(VLOOKUP(J1958,LUTs!$A$1:$C$73,3,FALSE),"NA")</f>
        <v>2Central Puget Sound</v>
      </c>
      <c r="M1958" s="72" t="s">
        <v>18</v>
      </c>
      <c r="N1958" t="str">
        <f>VLOOKUP(M1958,LUTs!E$2:H$14,3,)</f>
        <v>06King</v>
      </c>
      <c r="O1958" t="str">
        <f>VLOOKUP(M1958,LUTs!E$2:H$14,4,)</f>
        <v>02South Puget Sound</v>
      </c>
      <c r="P1958" s="80">
        <v>54</v>
      </c>
      <c r="Q1958" s="103">
        <v>27</v>
      </c>
      <c r="R1958" s="74">
        <f>VLOOKUP(B1958,Readme!A$40:C$52,3,)*Q1958</f>
        <v>230.57999999999998</v>
      </c>
    </row>
    <row r="1959" spans="1:18" ht="12" customHeight="1" x14ac:dyDescent="0.35">
      <c r="A1959" s="75">
        <v>1902</v>
      </c>
      <c r="B1959" s="80">
        <v>2018</v>
      </c>
      <c r="C1959" s="80">
        <v>2</v>
      </c>
      <c r="D1959" s="80">
        <f t="shared" si="112"/>
        <v>2017</v>
      </c>
      <c r="E1959" t="s">
        <v>38</v>
      </c>
      <c r="F1959" t="s">
        <v>143</v>
      </c>
      <c r="G1959" t="s">
        <v>86</v>
      </c>
      <c r="H1959" s="72" t="s">
        <v>220</v>
      </c>
      <c r="I1959" s="72" t="s">
        <v>62</v>
      </c>
      <c r="J1959" t="str">
        <f t="shared" si="113"/>
        <v>Skykomish River</v>
      </c>
      <c r="K1959" t="str">
        <f>IFERROR(VLOOKUP(J1959,LUTs!$A$1:$C$73,2,FALSE),"NA")</f>
        <v>Snohomish</v>
      </c>
      <c r="L1959" t="str">
        <f>IFERROR(VLOOKUP(J1959,LUTs!$A$1:$C$73,3,FALSE),"NA")</f>
        <v>2Central Puget Sound</v>
      </c>
      <c r="M1959" s="72" t="s">
        <v>16</v>
      </c>
      <c r="N1959" t="str">
        <f>VLOOKUP(M1959,LUTs!E$2:H$14,3,)</f>
        <v>03Snohomish</v>
      </c>
      <c r="O1959" t="str">
        <f>VLOOKUP(M1959,LUTs!E$2:H$14,4,)</f>
        <v>01North Puget Sound</v>
      </c>
      <c r="P1959" s="80">
        <v>45</v>
      </c>
      <c r="Q1959" s="103">
        <v>22.5</v>
      </c>
      <c r="R1959" s="74">
        <f>VLOOKUP(B1959,Readme!A$40:C$52,3,)*Q1959</f>
        <v>192.14999999999998</v>
      </c>
    </row>
    <row r="1960" spans="1:18" ht="12" customHeight="1" x14ac:dyDescent="0.35">
      <c r="A1960" s="75">
        <v>1903</v>
      </c>
      <c r="B1960" s="80">
        <v>2018</v>
      </c>
      <c r="C1960" s="80">
        <v>2</v>
      </c>
      <c r="D1960" s="80">
        <f t="shared" si="112"/>
        <v>2017</v>
      </c>
      <c r="E1960" t="s">
        <v>38</v>
      </c>
      <c r="F1960" t="s">
        <v>143</v>
      </c>
      <c r="G1960" t="s">
        <v>86</v>
      </c>
      <c r="H1960" s="72" t="s">
        <v>220</v>
      </c>
      <c r="I1960" s="72" t="s">
        <v>62</v>
      </c>
      <c r="J1960" t="str">
        <f t="shared" si="113"/>
        <v>Skykomish River</v>
      </c>
      <c r="K1960" t="str">
        <f>IFERROR(VLOOKUP(J1960,LUTs!$A$1:$C$73,2,FALSE),"NA")</f>
        <v>Snohomish</v>
      </c>
      <c r="L1960" t="str">
        <f>IFERROR(VLOOKUP(J1960,LUTs!$A$1:$C$73,3,FALSE),"NA")</f>
        <v>2Central Puget Sound</v>
      </c>
      <c r="M1960" s="72" t="s">
        <v>21</v>
      </c>
      <c r="N1960" t="str">
        <f>VLOOKUP(M1960,LUTs!E$2:H$14,3,)</f>
        <v>08Thurston</v>
      </c>
      <c r="O1960" t="str">
        <f>VLOOKUP(M1960,LUTs!E$2:H$14,4,)</f>
        <v>02South Puget Sound</v>
      </c>
      <c r="P1960" s="80">
        <v>9</v>
      </c>
      <c r="Q1960" s="103">
        <v>4.5</v>
      </c>
      <c r="R1960" s="74">
        <f>VLOOKUP(B1960,Readme!A$40:C$52,3,)*Q1960</f>
        <v>38.429999999999993</v>
      </c>
    </row>
    <row r="1961" spans="1:18" ht="12" customHeight="1" x14ac:dyDescent="0.35">
      <c r="A1961" s="75">
        <v>1935</v>
      </c>
      <c r="B1961" s="80">
        <v>2018</v>
      </c>
      <c r="C1961" s="80">
        <v>2</v>
      </c>
      <c r="D1961" s="80">
        <f t="shared" si="112"/>
        <v>2017</v>
      </c>
      <c r="E1961" t="s">
        <v>38</v>
      </c>
      <c r="F1961" t="s">
        <v>143</v>
      </c>
      <c r="G1961" t="s">
        <v>86</v>
      </c>
      <c r="H1961" s="72" t="s">
        <v>250</v>
      </c>
      <c r="I1961" s="72" t="s">
        <v>101</v>
      </c>
      <c r="J1961" t="str">
        <f t="shared" si="113"/>
        <v>Tokul Creek</v>
      </c>
      <c r="K1961" t="str">
        <f>IFERROR(VLOOKUP(J1961,LUTs!$A$1:$C$73,2,FALSE),"NA")</f>
        <v>King</v>
      </c>
      <c r="L1961" t="str">
        <f>IFERROR(VLOOKUP(J1961,LUTs!$A$1:$C$73,3,FALSE),"NA")</f>
        <v>2Central Puget Sound</v>
      </c>
      <c r="M1961" s="72" t="s">
        <v>18</v>
      </c>
      <c r="N1961" t="str">
        <f>VLOOKUP(M1961,LUTs!E$2:H$14,3,)</f>
        <v>06King</v>
      </c>
      <c r="O1961" t="str">
        <f>VLOOKUP(M1961,LUTs!E$2:H$14,4,)</f>
        <v>02South Puget Sound</v>
      </c>
      <c r="P1961" s="80">
        <v>18</v>
      </c>
      <c r="Q1961" s="103">
        <v>9</v>
      </c>
      <c r="R1961" s="74">
        <f>VLOOKUP(B1961,Readme!A$40:C$52,3,)*Q1961</f>
        <v>76.859999999999985</v>
      </c>
    </row>
    <row r="1962" spans="1:18" ht="12" customHeight="1" x14ac:dyDescent="0.35">
      <c r="A1962" s="75">
        <v>1949</v>
      </c>
      <c r="B1962" s="80">
        <v>2018</v>
      </c>
      <c r="C1962" s="80">
        <v>2</v>
      </c>
      <c r="D1962" s="80">
        <f t="shared" si="112"/>
        <v>2017</v>
      </c>
      <c r="E1962" t="s">
        <v>38</v>
      </c>
      <c r="F1962" t="s">
        <v>143</v>
      </c>
      <c r="G1962" t="s">
        <v>86</v>
      </c>
      <c r="H1962" s="72" t="s">
        <v>233</v>
      </c>
      <c r="I1962" s="72" t="s">
        <v>76</v>
      </c>
      <c r="J1962" t="str">
        <f t="shared" si="113"/>
        <v>Wallace River</v>
      </c>
      <c r="K1962" t="str">
        <f>IFERROR(VLOOKUP(J1962,LUTs!$A$1:$C$73,2,FALSE),"NA")</f>
        <v>Snohomish</v>
      </c>
      <c r="L1962" t="str">
        <f>IFERROR(VLOOKUP(J1962,LUTs!$A$1:$C$73,3,FALSE),"NA")</f>
        <v>2Central Puget Sound</v>
      </c>
      <c r="M1962" s="72" t="s">
        <v>16</v>
      </c>
      <c r="N1962" t="str">
        <f>VLOOKUP(M1962,LUTs!E$2:H$14,3,)</f>
        <v>03Snohomish</v>
      </c>
      <c r="O1962" t="str">
        <f>VLOOKUP(M1962,LUTs!E$2:H$14,4,)</f>
        <v>01North Puget Sound</v>
      </c>
      <c r="P1962" s="80">
        <v>8</v>
      </c>
      <c r="Q1962" s="103">
        <v>4</v>
      </c>
      <c r="R1962" s="74">
        <f>VLOOKUP(B1962,Readme!A$40:C$52,3,)*Q1962</f>
        <v>34.159999999999997</v>
      </c>
    </row>
    <row r="1963" spans="1:18" ht="12" customHeight="1" x14ac:dyDescent="0.35">
      <c r="A1963" s="75">
        <v>1963</v>
      </c>
      <c r="B1963" s="80">
        <v>2018</v>
      </c>
      <c r="C1963" s="80">
        <v>3</v>
      </c>
      <c r="D1963" s="80">
        <f t="shared" si="112"/>
        <v>2017</v>
      </c>
      <c r="E1963" t="s">
        <v>38</v>
      </c>
      <c r="F1963" t="s">
        <v>143</v>
      </c>
      <c r="G1963" t="s">
        <v>86</v>
      </c>
      <c r="H1963" s="72" t="s">
        <v>254</v>
      </c>
      <c r="I1963" s="72" t="s">
        <v>33</v>
      </c>
      <c r="J1963" t="str">
        <f t="shared" si="113"/>
        <v>Area 9: Admiralty Inlet</v>
      </c>
      <c r="K1963" t="str">
        <f>IFERROR(VLOOKUP(J1963,LUTs!$A$1:$C$73,2,FALSE),"NA")</f>
        <v>NA</v>
      </c>
      <c r="L1963" t="str">
        <f>IFERROR(VLOOKUP(J1963,LUTs!$A$1:$C$73,3,FALSE),"NA")</f>
        <v>2Central Puget Sound</v>
      </c>
      <c r="M1963" s="72" t="s">
        <v>17</v>
      </c>
      <c r="N1963" t="str">
        <f>VLOOKUP(M1963,LUTs!E$2:H$14,3,)</f>
        <v>04Island</v>
      </c>
      <c r="O1963" t="str">
        <f>VLOOKUP(M1963,LUTs!E$2:H$14,4,)</f>
        <v>01North Puget Sound</v>
      </c>
      <c r="P1963" s="80">
        <v>22</v>
      </c>
      <c r="Q1963" s="103">
        <v>11</v>
      </c>
      <c r="R1963" s="74">
        <f>VLOOKUP(B1963,Readme!A$40:C$52,3,)*Q1963</f>
        <v>93.94</v>
      </c>
    </row>
    <row r="1964" spans="1:18" ht="12" customHeight="1" x14ac:dyDescent="0.35">
      <c r="A1964" s="75">
        <v>1859</v>
      </c>
      <c r="B1964" s="80">
        <v>2018</v>
      </c>
      <c r="C1964" s="80">
        <v>3</v>
      </c>
      <c r="D1964" s="80">
        <f t="shared" si="112"/>
        <v>2017</v>
      </c>
      <c r="E1964" t="s">
        <v>38</v>
      </c>
      <c r="F1964" t="s">
        <v>143</v>
      </c>
      <c r="G1964" t="s">
        <v>86</v>
      </c>
      <c r="H1964" s="72" t="s">
        <v>204</v>
      </c>
      <c r="I1964" s="72" t="s">
        <v>46</v>
      </c>
      <c r="J1964" t="str">
        <f t="shared" si="113"/>
        <v>Hoko River</v>
      </c>
      <c r="K1964" t="str">
        <f>IFERROR(VLOOKUP(J1964,LUTs!$A$1:$C$73,2,FALSE),"NA")</f>
        <v>Clallam</v>
      </c>
      <c r="L1964" t="str">
        <f>IFERROR(VLOOKUP(J1964,LUTs!$A$1:$C$73,3,FALSE),"NA")</f>
        <v>0Strait of Juan de Fuca</v>
      </c>
      <c r="M1964" s="72" t="s">
        <v>24</v>
      </c>
      <c r="N1964" t="str">
        <f>VLOOKUP(M1964,LUTs!E$2:H$14,3,)</f>
        <v>11Clallam</v>
      </c>
      <c r="O1964" t="str">
        <f>VLOOKUP(M1964,LUTs!E$2:H$14,4,)</f>
        <v>03Strait of Juan de Fuca</v>
      </c>
      <c r="P1964" s="80">
        <v>88</v>
      </c>
      <c r="Q1964" s="103">
        <v>44</v>
      </c>
      <c r="R1964" s="74">
        <f>VLOOKUP(B1964,Readme!A$40:C$52,3,)*Q1964</f>
        <v>375.76</v>
      </c>
    </row>
    <row r="1965" spans="1:18" ht="12" customHeight="1" x14ac:dyDescent="0.35">
      <c r="A1965" s="75">
        <v>2051</v>
      </c>
      <c r="B1965" s="80">
        <v>2018</v>
      </c>
      <c r="C1965" s="80">
        <v>4</v>
      </c>
      <c r="D1965" s="80">
        <f t="shared" si="112"/>
        <v>2018</v>
      </c>
      <c r="E1965" t="s">
        <v>38</v>
      </c>
      <c r="F1965" t="s">
        <v>143</v>
      </c>
      <c r="G1965" t="s">
        <v>86</v>
      </c>
      <c r="H1965" s="72" t="s">
        <v>254</v>
      </c>
      <c r="I1965" s="72" t="s">
        <v>33</v>
      </c>
      <c r="J1965" t="str">
        <f t="shared" si="113"/>
        <v>Area 9: Admiralty Inlet</v>
      </c>
      <c r="K1965" t="str">
        <f>IFERROR(VLOOKUP(J1965,LUTs!$A$1:$C$73,2,FALSE),"NA")</f>
        <v>NA</v>
      </c>
      <c r="L1965" t="str">
        <f>IFERROR(VLOOKUP(J1965,LUTs!$A$1:$C$73,3,FALSE),"NA")</f>
        <v>2Central Puget Sound</v>
      </c>
      <c r="M1965" s="72" t="s">
        <v>17</v>
      </c>
      <c r="N1965" t="str">
        <f>VLOOKUP(M1965,LUTs!E$2:H$14,3,)</f>
        <v>04Island</v>
      </c>
      <c r="O1965" t="str">
        <f>VLOOKUP(M1965,LUTs!E$2:H$14,4,)</f>
        <v>01North Puget Sound</v>
      </c>
      <c r="P1965" s="80">
        <v>26.6666666666667</v>
      </c>
      <c r="Q1965" s="103">
        <v>13.3333333333333</v>
      </c>
      <c r="R1965" s="74">
        <f>VLOOKUP(B1965,Readme!A$40:C$52,3,)*Q1965</f>
        <v>113.86666666666638</v>
      </c>
    </row>
    <row r="1966" spans="1:18" ht="12" customHeight="1" x14ac:dyDescent="0.35">
      <c r="A1966" s="75">
        <v>2052</v>
      </c>
      <c r="B1966" s="80">
        <v>2018</v>
      </c>
      <c r="C1966" s="80">
        <v>4</v>
      </c>
      <c r="D1966" s="80">
        <f t="shared" si="112"/>
        <v>2018</v>
      </c>
      <c r="E1966" t="s">
        <v>38</v>
      </c>
      <c r="F1966" t="s">
        <v>143</v>
      </c>
      <c r="G1966" t="s">
        <v>86</v>
      </c>
      <c r="H1966" s="72" t="s">
        <v>254</v>
      </c>
      <c r="I1966" s="72" t="s">
        <v>33</v>
      </c>
      <c r="J1966" t="str">
        <f t="shared" si="113"/>
        <v>Area 9: Admiralty Inlet</v>
      </c>
      <c r="K1966" t="str">
        <f>IFERROR(VLOOKUP(J1966,LUTs!$A$1:$C$73,2,FALSE),"NA")</f>
        <v>NA</v>
      </c>
      <c r="L1966" t="str">
        <f>IFERROR(VLOOKUP(J1966,LUTs!$A$1:$C$73,3,FALSE),"NA")</f>
        <v>2Central Puget Sound</v>
      </c>
      <c r="M1966" s="72" t="s">
        <v>16</v>
      </c>
      <c r="N1966" t="str">
        <f>VLOOKUP(M1966,LUTs!E$2:H$14,3,)</f>
        <v>03Snohomish</v>
      </c>
      <c r="O1966" t="str">
        <f>VLOOKUP(M1966,LUTs!E$2:H$14,4,)</f>
        <v>01North Puget Sound</v>
      </c>
      <c r="P1966" s="80">
        <v>13.3333333333333</v>
      </c>
      <c r="Q1966" s="103">
        <v>6.6666666666666696</v>
      </c>
      <c r="R1966" s="74">
        <f>VLOOKUP(B1966,Readme!A$40:C$52,3,)*Q1966</f>
        <v>56.933333333333351</v>
      </c>
    </row>
    <row r="1967" spans="1:18" ht="14.5" x14ac:dyDescent="0.35">
      <c r="A1967" s="75">
        <v>2057</v>
      </c>
      <c r="B1967" s="80">
        <v>2018</v>
      </c>
      <c r="C1967" s="80">
        <v>4</v>
      </c>
      <c r="D1967" s="80">
        <f t="shared" si="112"/>
        <v>2018</v>
      </c>
      <c r="E1967" t="s">
        <v>38</v>
      </c>
      <c r="F1967" t="s">
        <v>143</v>
      </c>
      <c r="G1967" t="s">
        <v>86</v>
      </c>
      <c r="H1967" s="72" t="s">
        <v>266</v>
      </c>
      <c r="I1967" s="72" t="s">
        <v>109</v>
      </c>
      <c r="J1967" s="84" t="str">
        <f t="shared" si="113"/>
        <v>Other Lakes</v>
      </c>
      <c r="K1967" t="str">
        <f>IFERROR(VLOOKUP(J1967,LUTs!$A$1:$C$73,2,FALSE),"NA")</f>
        <v>NA</v>
      </c>
      <c r="L1967" t="str">
        <f>IFERROR(VLOOKUP(J1967,LUTs!$A$1:$C$73,3,FALSE),"NA")</f>
        <v>NA</v>
      </c>
      <c r="M1967" s="72" t="s">
        <v>26</v>
      </c>
      <c r="N1967" t="str">
        <f>VLOOKUP(M1967,LUTs!E$2:H$14,3,)</f>
        <v>20Other</v>
      </c>
      <c r="O1967" t="str">
        <f>VLOOKUP(M1967,LUTs!E$2:H$14,4,)</f>
        <v>07Non Puget Sound</v>
      </c>
      <c r="P1967" s="80">
        <v>0</v>
      </c>
      <c r="Q1967" s="103">
        <v>0</v>
      </c>
      <c r="R1967" s="74">
        <f>VLOOKUP(B1967,Readme!A$40:C$52,3,)*Q1967</f>
        <v>0</v>
      </c>
    </row>
    <row r="1968" spans="1:18" ht="12" customHeight="1" x14ac:dyDescent="0.35">
      <c r="A1968" s="75">
        <v>1986</v>
      </c>
      <c r="B1968" s="80">
        <v>2018</v>
      </c>
      <c r="C1968" s="80">
        <v>4</v>
      </c>
      <c r="D1968" s="80">
        <f t="shared" si="112"/>
        <v>2018</v>
      </c>
      <c r="E1968" t="s">
        <v>38</v>
      </c>
      <c r="F1968" t="s">
        <v>143</v>
      </c>
      <c r="G1968" t="s">
        <v>86</v>
      </c>
      <c r="H1968" s="72" t="s">
        <v>218</v>
      </c>
      <c r="I1968" s="72" t="s">
        <v>60</v>
      </c>
      <c r="J1968" t="str">
        <f t="shared" si="113"/>
        <v>Skagit River</v>
      </c>
      <c r="K1968" t="str">
        <f>IFERROR(VLOOKUP(J1968,LUTs!$A$1:$C$73,2,FALSE),"NA")</f>
        <v>Skagit/Whatcom</v>
      </c>
      <c r="L1968" t="str">
        <f>IFERROR(VLOOKUP(J1968,LUTs!$A$1:$C$73,3,FALSE),"NA")</f>
        <v>2Central Puget Sound</v>
      </c>
      <c r="M1968" s="72" t="s">
        <v>15</v>
      </c>
      <c r="N1968" t="str">
        <f>VLOOKUP(M1968,LUTs!E$2:H$14,3,)</f>
        <v>02Skagit</v>
      </c>
      <c r="O1968" t="str">
        <f>VLOOKUP(M1968,LUTs!E$2:H$14,4,)</f>
        <v>01North Puget Sound</v>
      </c>
      <c r="P1968" s="80">
        <v>0</v>
      </c>
      <c r="Q1968" s="103">
        <v>0</v>
      </c>
      <c r="R1968" s="74">
        <f>VLOOKUP(B1968,Readme!A$40:C$52,3,)*Q1968</f>
        <v>0</v>
      </c>
    </row>
    <row r="1969" spans="1:18" ht="12" customHeight="1" x14ac:dyDescent="0.35">
      <c r="A1969" s="75">
        <v>1987</v>
      </c>
      <c r="B1969" s="80">
        <v>2018</v>
      </c>
      <c r="C1969" s="80">
        <v>4</v>
      </c>
      <c r="D1969" s="80">
        <f t="shared" si="112"/>
        <v>2018</v>
      </c>
      <c r="E1969" t="s">
        <v>38</v>
      </c>
      <c r="F1969" t="s">
        <v>143</v>
      </c>
      <c r="G1969" t="s">
        <v>86</v>
      </c>
      <c r="H1969" s="72" t="s">
        <v>218</v>
      </c>
      <c r="I1969" s="72" t="s">
        <v>60</v>
      </c>
      <c r="J1969" t="str">
        <f t="shared" si="113"/>
        <v>Skagit River</v>
      </c>
      <c r="K1969" t="str">
        <f>IFERROR(VLOOKUP(J1969,LUTs!$A$1:$C$73,2,FALSE),"NA")</f>
        <v>Skagit/Whatcom</v>
      </c>
      <c r="L1969" t="str">
        <f>IFERROR(VLOOKUP(J1969,LUTs!$A$1:$C$73,3,FALSE),"NA")</f>
        <v>2Central Puget Sound</v>
      </c>
      <c r="M1969" s="72" t="s">
        <v>16</v>
      </c>
      <c r="N1969" t="str">
        <f>VLOOKUP(M1969,LUTs!E$2:H$14,3,)</f>
        <v>03Snohomish</v>
      </c>
      <c r="O1969" t="str">
        <f>VLOOKUP(M1969,LUTs!E$2:H$14,4,)</f>
        <v>01North Puget Sound</v>
      </c>
      <c r="P1969" s="80">
        <v>14</v>
      </c>
      <c r="Q1969" s="103">
        <v>7</v>
      </c>
      <c r="R1969" s="74">
        <f>VLOOKUP(B1969,Readme!A$40:C$52,3,)*Q1969</f>
        <v>59.779999999999994</v>
      </c>
    </row>
    <row r="1970" spans="1:18" ht="12" customHeight="1" x14ac:dyDescent="0.35">
      <c r="A1970" s="75">
        <v>2053</v>
      </c>
      <c r="B1970" s="80">
        <v>2018</v>
      </c>
      <c r="C1970" s="80">
        <v>5</v>
      </c>
      <c r="D1970" s="80">
        <f t="shared" si="112"/>
        <v>2018</v>
      </c>
      <c r="E1970" t="s">
        <v>38</v>
      </c>
      <c r="F1970" t="s">
        <v>143</v>
      </c>
      <c r="G1970" t="s">
        <v>86</v>
      </c>
      <c r="H1970" s="72" t="s">
        <v>254</v>
      </c>
      <c r="I1970" s="72" t="s">
        <v>33</v>
      </c>
      <c r="J1970" t="str">
        <f t="shared" ref="J1970:J1986" si="114">I1970</f>
        <v>Area 9: Admiralty Inlet</v>
      </c>
      <c r="K1970" t="str">
        <f>IFERROR(VLOOKUP(J1970,LUTs!$A$1:$C$73,2,FALSE),"NA")</f>
        <v>NA</v>
      </c>
      <c r="L1970" t="str">
        <f>IFERROR(VLOOKUP(J1970,LUTs!$A$1:$C$73,3,FALSE),"NA")</f>
        <v>2Central Puget Sound</v>
      </c>
      <c r="M1970" s="72" t="s">
        <v>17</v>
      </c>
      <c r="N1970" t="str">
        <f>VLOOKUP(M1970,LUTs!E$2:H$14,3,)</f>
        <v>04Island</v>
      </c>
      <c r="O1970" t="str">
        <f>VLOOKUP(M1970,LUTs!E$2:H$14,4,)</f>
        <v>01North Puget Sound</v>
      </c>
      <c r="P1970" s="80">
        <v>25.6</v>
      </c>
      <c r="Q1970" s="103">
        <v>12.8</v>
      </c>
      <c r="R1970" s="74">
        <f>VLOOKUP(B1970,Readme!A$40:C$52,3,)*Q1970</f>
        <v>109.312</v>
      </c>
    </row>
    <row r="1971" spans="1:18" ht="12" customHeight="1" x14ac:dyDescent="0.35">
      <c r="A1971" s="75">
        <v>2054</v>
      </c>
      <c r="B1971" s="80">
        <v>2018</v>
      </c>
      <c r="C1971" s="80">
        <v>5</v>
      </c>
      <c r="D1971" s="80">
        <f t="shared" si="112"/>
        <v>2018</v>
      </c>
      <c r="E1971" t="s">
        <v>38</v>
      </c>
      <c r="F1971" t="s">
        <v>143</v>
      </c>
      <c r="G1971" t="s">
        <v>86</v>
      </c>
      <c r="H1971" s="72" t="s">
        <v>254</v>
      </c>
      <c r="I1971" s="72" t="s">
        <v>33</v>
      </c>
      <c r="J1971" t="str">
        <f t="shared" si="114"/>
        <v>Area 9: Admiralty Inlet</v>
      </c>
      <c r="K1971" t="str">
        <f>IFERROR(VLOOKUP(J1971,LUTs!$A$1:$C$73,2,FALSE),"NA")</f>
        <v>NA</v>
      </c>
      <c r="L1971" t="str">
        <f>IFERROR(VLOOKUP(J1971,LUTs!$A$1:$C$73,3,FALSE),"NA")</f>
        <v>2Central Puget Sound</v>
      </c>
      <c r="M1971" s="72" t="s">
        <v>16</v>
      </c>
      <c r="N1971" t="str">
        <f>VLOOKUP(M1971,LUTs!E$2:H$14,3,)</f>
        <v>03Snohomish</v>
      </c>
      <c r="O1971" t="str">
        <f>VLOOKUP(M1971,LUTs!E$2:H$14,4,)</f>
        <v>01North Puget Sound</v>
      </c>
      <c r="P1971" s="80">
        <v>6.4</v>
      </c>
      <c r="Q1971" s="103">
        <v>3.2</v>
      </c>
      <c r="R1971" s="74">
        <f>VLOOKUP(B1971,Readme!A$40:C$52,3,)*Q1971</f>
        <v>27.327999999999999</v>
      </c>
    </row>
    <row r="1972" spans="1:18" ht="12" customHeight="1" x14ac:dyDescent="0.35">
      <c r="A1972" s="75">
        <v>2055</v>
      </c>
      <c r="B1972" s="80">
        <v>2018</v>
      </c>
      <c r="C1972" s="80">
        <v>6</v>
      </c>
      <c r="D1972" s="80">
        <f t="shared" si="112"/>
        <v>2018</v>
      </c>
      <c r="E1972" t="s">
        <v>38</v>
      </c>
      <c r="F1972" t="s">
        <v>143</v>
      </c>
      <c r="G1972" t="s">
        <v>86</v>
      </c>
      <c r="H1972" s="72" t="s">
        <v>254</v>
      </c>
      <c r="I1972" s="72" t="s">
        <v>33</v>
      </c>
      <c r="J1972" t="str">
        <f t="shared" si="114"/>
        <v>Area 9: Admiralty Inlet</v>
      </c>
      <c r="K1972" t="str">
        <f>IFERROR(VLOOKUP(J1972,LUTs!$A$1:$C$73,2,FALSE),"NA")</f>
        <v>NA</v>
      </c>
      <c r="L1972" t="str">
        <f>IFERROR(VLOOKUP(J1972,LUTs!$A$1:$C$73,3,FALSE),"NA")</f>
        <v>2Central Puget Sound</v>
      </c>
      <c r="M1972" s="72" t="s">
        <v>16</v>
      </c>
      <c r="N1972" t="str">
        <f>VLOOKUP(M1972,LUTs!E$2:H$14,3,)</f>
        <v>03Snohomish</v>
      </c>
      <c r="O1972" t="str">
        <f>VLOOKUP(M1972,LUTs!E$2:H$14,4,)</f>
        <v>01North Puget Sound</v>
      </c>
      <c r="P1972" s="80">
        <v>6</v>
      </c>
      <c r="Q1972" s="103">
        <v>3</v>
      </c>
      <c r="R1972" s="74">
        <f>VLOOKUP(B1972,Readme!A$40:C$52,3,)*Q1972</f>
        <v>25.619999999999997</v>
      </c>
    </row>
    <row r="1973" spans="1:18" ht="12" customHeight="1" x14ac:dyDescent="0.35">
      <c r="A1973" s="75">
        <v>1991</v>
      </c>
      <c r="B1973" s="80">
        <v>2018</v>
      </c>
      <c r="C1973" s="80">
        <v>6</v>
      </c>
      <c r="D1973" s="80">
        <f t="shared" si="112"/>
        <v>2018</v>
      </c>
      <c r="E1973" t="s">
        <v>38</v>
      </c>
      <c r="F1973" t="s">
        <v>143</v>
      </c>
      <c r="G1973" t="s">
        <v>86</v>
      </c>
      <c r="H1973" s="72" t="s">
        <v>220</v>
      </c>
      <c r="I1973" s="72" t="s">
        <v>62</v>
      </c>
      <c r="J1973" t="str">
        <f t="shared" si="114"/>
        <v>Skykomish River</v>
      </c>
      <c r="K1973" t="str">
        <f>IFERROR(VLOOKUP(J1973,LUTs!$A$1:$C$73,2,FALSE),"NA")</f>
        <v>Snohomish</v>
      </c>
      <c r="L1973" t="str">
        <f>IFERROR(VLOOKUP(J1973,LUTs!$A$1:$C$73,3,FALSE),"NA")</f>
        <v>2Central Puget Sound</v>
      </c>
      <c r="M1973" s="72" t="s">
        <v>24</v>
      </c>
      <c r="N1973" t="str">
        <f>VLOOKUP(M1973,LUTs!E$2:H$14,3,)</f>
        <v>11Clallam</v>
      </c>
      <c r="O1973" t="str">
        <f>VLOOKUP(M1973,LUTs!E$2:H$14,4,)</f>
        <v>03Strait of Juan de Fuca</v>
      </c>
      <c r="P1973" s="80">
        <v>14.2344322344322</v>
      </c>
      <c r="Q1973" s="103">
        <v>7.1172161172161204</v>
      </c>
      <c r="R1973" s="74">
        <f>VLOOKUP(B1973,Readme!A$40:C$52,3,)*Q1973</f>
        <v>60.781025641025664</v>
      </c>
    </row>
    <row r="1974" spans="1:18" ht="12" customHeight="1" x14ac:dyDescent="0.35">
      <c r="A1974" s="75">
        <v>1992</v>
      </c>
      <c r="B1974" s="80">
        <v>2018</v>
      </c>
      <c r="C1974" s="80">
        <v>6</v>
      </c>
      <c r="D1974" s="80">
        <f t="shared" si="112"/>
        <v>2018</v>
      </c>
      <c r="E1974" t="s">
        <v>38</v>
      </c>
      <c r="F1974" t="s">
        <v>143</v>
      </c>
      <c r="G1974" t="s">
        <v>86</v>
      </c>
      <c r="H1974" s="72" t="s">
        <v>220</v>
      </c>
      <c r="I1974" s="72" t="s">
        <v>62</v>
      </c>
      <c r="J1974" t="str">
        <f t="shared" si="114"/>
        <v>Skykomish River</v>
      </c>
      <c r="K1974" t="str">
        <f>IFERROR(VLOOKUP(J1974,LUTs!$A$1:$C$73,2,FALSE),"NA")</f>
        <v>Snohomish</v>
      </c>
      <c r="L1974" t="str">
        <f>IFERROR(VLOOKUP(J1974,LUTs!$A$1:$C$73,3,FALSE),"NA")</f>
        <v>2Central Puget Sound</v>
      </c>
      <c r="M1974" s="72" t="s">
        <v>17</v>
      </c>
      <c r="N1974" t="str">
        <f>VLOOKUP(M1974,LUTs!E$2:H$14,3,)</f>
        <v>04Island</v>
      </c>
      <c r="O1974" t="str">
        <f>VLOOKUP(M1974,LUTs!E$2:H$14,4,)</f>
        <v>01North Puget Sound</v>
      </c>
      <c r="P1974" s="80">
        <v>7.1172161172161204</v>
      </c>
      <c r="Q1974" s="103">
        <v>3.5586080586080602</v>
      </c>
      <c r="R1974" s="74">
        <f>VLOOKUP(B1974,Readme!A$40:C$52,3,)*Q1974</f>
        <v>30.390512820512832</v>
      </c>
    </row>
    <row r="1975" spans="1:18" ht="12" customHeight="1" x14ac:dyDescent="0.35">
      <c r="A1975" s="75">
        <v>1993</v>
      </c>
      <c r="B1975" s="80">
        <v>2018</v>
      </c>
      <c r="C1975" s="80">
        <v>6</v>
      </c>
      <c r="D1975" s="80">
        <f t="shared" si="112"/>
        <v>2018</v>
      </c>
      <c r="E1975" t="s">
        <v>38</v>
      </c>
      <c r="F1975" t="s">
        <v>143</v>
      </c>
      <c r="G1975" t="s">
        <v>86</v>
      </c>
      <c r="H1975" s="72" t="s">
        <v>220</v>
      </c>
      <c r="I1975" s="72" t="s">
        <v>62</v>
      </c>
      <c r="J1975" t="str">
        <f t="shared" si="114"/>
        <v>Skykomish River</v>
      </c>
      <c r="K1975" t="str">
        <f>IFERROR(VLOOKUP(J1975,LUTs!$A$1:$C$73,2,FALSE),"NA")</f>
        <v>Snohomish</v>
      </c>
      <c r="L1975" t="str">
        <f>IFERROR(VLOOKUP(J1975,LUTs!$A$1:$C$73,3,FALSE),"NA")</f>
        <v>2Central Puget Sound</v>
      </c>
      <c r="M1975" s="72" t="s">
        <v>18</v>
      </c>
      <c r="N1975" t="str">
        <f>VLOOKUP(M1975,LUTs!E$2:H$14,3,)</f>
        <v>06King</v>
      </c>
      <c r="O1975" t="str">
        <f>VLOOKUP(M1975,LUTs!E$2:H$14,4,)</f>
        <v>02South Puget Sound</v>
      </c>
      <c r="P1975" s="80">
        <v>1743.7179487179501</v>
      </c>
      <c r="Q1975" s="103">
        <v>871.85897435897505</v>
      </c>
      <c r="R1975" s="74">
        <f>VLOOKUP(B1975,Readme!A$40:C$52,3,)*Q1975</f>
        <v>7445.6756410256457</v>
      </c>
    </row>
    <row r="1976" spans="1:18" ht="12" customHeight="1" x14ac:dyDescent="0.35">
      <c r="A1976" s="75">
        <v>1994</v>
      </c>
      <c r="B1976" s="80">
        <v>2018</v>
      </c>
      <c r="C1976" s="80">
        <v>6</v>
      </c>
      <c r="D1976" s="80">
        <f t="shared" si="112"/>
        <v>2018</v>
      </c>
      <c r="E1976" t="s">
        <v>38</v>
      </c>
      <c r="F1976" t="s">
        <v>143</v>
      </c>
      <c r="G1976" t="s">
        <v>86</v>
      </c>
      <c r="H1976" s="72" t="s">
        <v>220</v>
      </c>
      <c r="I1976" s="72" t="s">
        <v>62</v>
      </c>
      <c r="J1976" t="str">
        <f t="shared" si="114"/>
        <v>Skykomish River</v>
      </c>
      <c r="K1976" t="str">
        <f>IFERROR(VLOOKUP(J1976,LUTs!$A$1:$C$73,2,FALSE),"NA")</f>
        <v>Snohomish</v>
      </c>
      <c r="L1976" t="str">
        <f>IFERROR(VLOOKUP(J1976,LUTs!$A$1:$C$73,3,FALSE),"NA")</f>
        <v>2Central Puget Sound</v>
      </c>
      <c r="M1976" s="72" t="s">
        <v>23</v>
      </c>
      <c r="N1976" t="str">
        <f>VLOOKUP(M1976,LUTs!E$2:H$14,3,)</f>
        <v>10Kitsap</v>
      </c>
      <c r="O1976" t="str">
        <f>VLOOKUP(M1976,LUTs!E$2:H$14,4,)</f>
        <v>02South Puget Sound</v>
      </c>
      <c r="P1976" s="80">
        <v>21.3516483516484</v>
      </c>
      <c r="Q1976" s="103">
        <v>10.6758241758242</v>
      </c>
      <c r="R1976" s="74">
        <f>VLOOKUP(B1976,Readme!A$40:C$52,3,)*Q1976</f>
        <v>91.17153846153866</v>
      </c>
    </row>
    <row r="1977" spans="1:18" ht="12" customHeight="1" x14ac:dyDescent="0.35">
      <c r="A1977" s="75">
        <v>1995</v>
      </c>
      <c r="B1977" s="80">
        <v>2018</v>
      </c>
      <c r="C1977" s="80">
        <v>6</v>
      </c>
      <c r="D1977" s="80">
        <f t="shared" si="112"/>
        <v>2018</v>
      </c>
      <c r="E1977" t="s">
        <v>38</v>
      </c>
      <c r="F1977" t="s">
        <v>143</v>
      </c>
      <c r="G1977" t="s">
        <v>86</v>
      </c>
      <c r="H1977" s="72" t="s">
        <v>220</v>
      </c>
      <c r="I1977" s="72" t="s">
        <v>62</v>
      </c>
      <c r="J1977" t="str">
        <f t="shared" si="114"/>
        <v>Skykomish River</v>
      </c>
      <c r="K1977" t="str">
        <f>IFERROR(VLOOKUP(J1977,LUTs!$A$1:$C$73,2,FALSE),"NA")</f>
        <v>Snohomish</v>
      </c>
      <c r="L1977" t="str">
        <f>IFERROR(VLOOKUP(J1977,LUTs!$A$1:$C$73,3,FALSE),"NA")</f>
        <v>2Central Puget Sound</v>
      </c>
      <c r="M1977" s="72" t="s">
        <v>26</v>
      </c>
      <c r="N1977" t="str">
        <f>VLOOKUP(M1977,LUTs!E$2:H$14,3,)</f>
        <v>20Other</v>
      </c>
      <c r="O1977" t="str">
        <f>VLOOKUP(M1977,LUTs!E$2:H$14,4,)</f>
        <v>07Non Puget Sound</v>
      </c>
      <c r="P1977" s="80">
        <v>42.703296703296701</v>
      </c>
      <c r="Q1977" s="103">
        <v>21.3516483516484</v>
      </c>
      <c r="R1977" s="74">
        <f>VLOOKUP(B1977,Readme!A$40:C$52,3,)*Q1977</f>
        <v>182.34307692307732</v>
      </c>
    </row>
    <row r="1978" spans="1:18" ht="12" customHeight="1" x14ac:dyDescent="0.35">
      <c r="A1978" s="75">
        <v>1996</v>
      </c>
      <c r="B1978" s="80">
        <v>2018</v>
      </c>
      <c r="C1978" s="80">
        <v>6</v>
      </c>
      <c r="D1978" s="80">
        <f t="shared" si="112"/>
        <v>2018</v>
      </c>
      <c r="E1978" t="s">
        <v>38</v>
      </c>
      <c r="F1978" t="s">
        <v>143</v>
      </c>
      <c r="G1978" t="s">
        <v>86</v>
      </c>
      <c r="H1978" s="72" t="s">
        <v>220</v>
      </c>
      <c r="I1978" s="72" t="s">
        <v>62</v>
      </c>
      <c r="J1978" t="str">
        <f t="shared" si="114"/>
        <v>Skykomish River</v>
      </c>
      <c r="K1978" t="str">
        <f>IFERROR(VLOOKUP(J1978,LUTs!$A$1:$C$73,2,FALSE),"NA")</f>
        <v>Snohomish</v>
      </c>
      <c r="L1978" t="str">
        <f>IFERROR(VLOOKUP(J1978,LUTs!$A$1:$C$73,3,FALSE),"NA")</f>
        <v>2Central Puget Sound</v>
      </c>
      <c r="M1978" s="72" t="s">
        <v>20</v>
      </c>
      <c r="N1978" t="str">
        <f>VLOOKUP(M1978,LUTs!E$2:H$14,3,)</f>
        <v>07Pierce</v>
      </c>
      <c r="O1978" t="str">
        <f>VLOOKUP(M1978,LUTs!E$2:H$14,4,)</f>
        <v>02South Puget Sound</v>
      </c>
      <c r="P1978" s="80">
        <v>199.28205128205099</v>
      </c>
      <c r="Q1978" s="103">
        <v>99.641025641025706</v>
      </c>
      <c r="R1978" s="74">
        <f>VLOOKUP(B1978,Readme!A$40:C$52,3,)*Q1978</f>
        <v>850.9343589743595</v>
      </c>
    </row>
    <row r="1979" spans="1:18" ht="12" customHeight="1" x14ac:dyDescent="0.35">
      <c r="A1979" s="75">
        <v>1997</v>
      </c>
      <c r="B1979" s="80">
        <v>2018</v>
      </c>
      <c r="C1979" s="80">
        <v>6</v>
      </c>
      <c r="D1979" s="80">
        <f t="shared" si="112"/>
        <v>2018</v>
      </c>
      <c r="E1979" t="s">
        <v>38</v>
      </c>
      <c r="F1979" t="s">
        <v>143</v>
      </c>
      <c r="G1979" t="s">
        <v>86</v>
      </c>
      <c r="H1979" s="72" t="s">
        <v>220</v>
      </c>
      <c r="I1979" s="72" t="s">
        <v>62</v>
      </c>
      <c r="J1979" t="str">
        <f t="shared" si="114"/>
        <v>Skykomish River</v>
      </c>
      <c r="K1979" t="str">
        <f>IFERROR(VLOOKUP(J1979,LUTs!$A$1:$C$73,2,FALSE),"NA")</f>
        <v>Snohomish</v>
      </c>
      <c r="L1979" t="str">
        <f>IFERROR(VLOOKUP(J1979,LUTs!$A$1:$C$73,3,FALSE),"NA")</f>
        <v>2Central Puget Sound</v>
      </c>
      <c r="M1979" s="72" t="s">
        <v>15</v>
      </c>
      <c r="N1979" t="str">
        <f>VLOOKUP(M1979,LUTs!E$2:H$14,3,)</f>
        <v>02Skagit</v>
      </c>
      <c r="O1979" t="str">
        <f>VLOOKUP(M1979,LUTs!E$2:H$14,4,)</f>
        <v>01North Puget Sound</v>
      </c>
      <c r="P1979" s="80">
        <v>99.641025641025706</v>
      </c>
      <c r="Q1979" s="103">
        <v>49.820512820512803</v>
      </c>
      <c r="R1979" s="74">
        <f>VLOOKUP(B1979,Readme!A$40:C$52,3,)*Q1979</f>
        <v>425.46717948717929</v>
      </c>
    </row>
    <row r="1980" spans="1:18" ht="12" customHeight="1" x14ac:dyDescent="0.35">
      <c r="A1980" s="75">
        <v>1998</v>
      </c>
      <c r="B1980" s="80">
        <v>2018</v>
      </c>
      <c r="C1980" s="80">
        <v>6</v>
      </c>
      <c r="D1980" s="80">
        <f t="shared" si="112"/>
        <v>2018</v>
      </c>
      <c r="E1980" t="s">
        <v>38</v>
      </c>
      <c r="F1980" t="s">
        <v>143</v>
      </c>
      <c r="G1980" t="s">
        <v>86</v>
      </c>
      <c r="H1980" s="72" t="s">
        <v>220</v>
      </c>
      <c r="I1980" s="72" t="s">
        <v>62</v>
      </c>
      <c r="J1980" t="str">
        <f t="shared" si="114"/>
        <v>Skykomish River</v>
      </c>
      <c r="K1980" t="str">
        <f>IFERROR(VLOOKUP(J1980,LUTs!$A$1:$C$73,2,FALSE),"NA")</f>
        <v>Snohomish</v>
      </c>
      <c r="L1980" t="str">
        <f>IFERROR(VLOOKUP(J1980,LUTs!$A$1:$C$73,3,FALSE),"NA")</f>
        <v>2Central Puget Sound</v>
      </c>
      <c r="M1980" s="72" t="s">
        <v>16</v>
      </c>
      <c r="N1980" t="str">
        <f>VLOOKUP(M1980,LUTs!E$2:H$14,3,)</f>
        <v>03Snohomish</v>
      </c>
      <c r="O1980" t="str">
        <f>VLOOKUP(M1980,LUTs!E$2:H$14,4,)</f>
        <v>01North Puget Sound</v>
      </c>
      <c r="P1980" s="80">
        <v>1757.9523809523801</v>
      </c>
      <c r="Q1980" s="103">
        <v>878.97619047619105</v>
      </c>
      <c r="R1980" s="74">
        <f>VLOOKUP(B1980,Readme!A$40:C$52,3,)*Q1980</f>
        <v>7506.4566666666706</v>
      </c>
    </row>
    <row r="1981" spans="1:18" ht="12" customHeight="1" x14ac:dyDescent="0.35">
      <c r="A1981" s="75">
        <v>2019</v>
      </c>
      <c r="B1981" s="80">
        <v>2018</v>
      </c>
      <c r="C1981" s="80">
        <v>6</v>
      </c>
      <c r="D1981" s="80">
        <f t="shared" si="112"/>
        <v>2018</v>
      </c>
      <c r="E1981" t="s">
        <v>38</v>
      </c>
      <c r="F1981" t="s">
        <v>143</v>
      </c>
      <c r="G1981" t="s">
        <v>86</v>
      </c>
      <c r="H1981" s="72" t="s">
        <v>247</v>
      </c>
      <c r="I1981" s="72" t="s">
        <v>98</v>
      </c>
      <c r="J1981" t="str">
        <f t="shared" si="114"/>
        <v>Skykomish River, No. Fork</v>
      </c>
      <c r="K1981" t="str">
        <f>IFERROR(VLOOKUP(J1981,LUTs!$A$1:$C$73,2,FALSE),"NA")</f>
        <v>Snohomish</v>
      </c>
      <c r="L1981" t="str">
        <f>IFERROR(VLOOKUP(J1981,LUTs!$A$1:$C$73,3,FALSE),"NA")</f>
        <v>2Central Puget Sound</v>
      </c>
      <c r="M1981" s="72" t="s">
        <v>18</v>
      </c>
      <c r="N1981" t="str">
        <f>VLOOKUP(M1981,LUTs!E$2:H$14,3,)</f>
        <v>06King</v>
      </c>
      <c r="O1981" t="str">
        <f>VLOOKUP(M1981,LUTs!E$2:H$14,4,)</f>
        <v>02South Puget Sound</v>
      </c>
      <c r="P1981" s="80">
        <v>84.923076923077005</v>
      </c>
      <c r="Q1981" s="103">
        <v>42.461538461538503</v>
      </c>
      <c r="R1981" s="74">
        <f>VLOOKUP(B1981,Readme!A$40:C$52,3,)*Q1981</f>
        <v>362.62153846153876</v>
      </c>
    </row>
    <row r="1982" spans="1:18" ht="12" customHeight="1" x14ac:dyDescent="0.35">
      <c r="A1982" s="75">
        <v>2020</v>
      </c>
      <c r="B1982" s="80">
        <v>2018</v>
      </c>
      <c r="C1982" s="80">
        <v>6</v>
      </c>
      <c r="D1982" s="80">
        <f t="shared" si="112"/>
        <v>2018</v>
      </c>
      <c r="E1982" t="s">
        <v>38</v>
      </c>
      <c r="F1982" t="s">
        <v>143</v>
      </c>
      <c r="G1982" t="s">
        <v>86</v>
      </c>
      <c r="H1982" s="72" t="s">
        <v>247</v>
      </c>
      <c r="I1982" s="72" t="s">
        <v>98</v>
      </c>
      <c r="J1982" t="str">
        <f t="shared" si="114"/>
        <v>Skykomish River, No. Fork</v>
      </c>
      <c r="K1982" t="str">
        <f>IFERROR(VLOOKUP(J1982,LUTs!$A$1:$C$73,2,FALSE),"NA")</f>
        <v>Snohomish</v>
      </c>
      <c r="L1982" t="str">
        <f>IFERROR(VLOOKUP(J1982,LUTs!$A$1:$C$73,3,FALSE),"NA")</f>
        <v>2Central Puget Sound</v>
      </c>
      <c r="M1982" s="72" t="s">
        <v>16</v>
      </c>
      <c r="N1982" t="str">
        <f>VLOOKUP(M1982,LUTs!E$2:H$14,3,)</f>
        <v>03Snohomish</v>
      </c>
      <c r="O1982" t="str">
        <f>VLOOKUP(M1982,LUTs!E$2:H$14,4,)</f>
        <v>01North Puget Sound</v>
      </c>
      <c r="P1982" s="80">
        <v>7.0769230769230802</v>
      </c>
      <c r="Q1982" s="103">
        <v>3.5384615384615401</v>
      </c>
      <c r="R1982" s="74">
        <f>VLOOKUP(B1982,Readme!A$40:C$52,3,)*Q1982</f>
        <v>30.21846153846155</v>
      </c>
    </row>
    <row r="1983" spans="1:18" ht="12" customHeight="1" x14ac:dyDescent="0.35">
      <c r="A1983" s="75">
        <v>2024</v>
      </c>
      <c r="B1983" s="80">
        <v>2018</v>
      </c>
      <c r="C1983" s="80">
        <v>6</v>
      </c>
      <c r="D1983" s="80">
        <f t="shared" si="112"/>
        <v>2018</v>
      </c>
      <c r="E1983" t="s">
        <v>38</v>
      </c>
      <c r="F1983" t="s">
        <v>143</v>
      </c>
      <c r="G1983" t="s">
        <v>86</v>
      </c>
      <c r="H1983" s="72" t="s">
        <v>248</v>
      </c>
      <c r="I1983" s="72" t="s">
        <v>99</v>
      </c>
      <c r="J1983" t="str">
        <f t="shared" si="114"/>
        <v>Skykomish River, So. Fork</v>
      </c>
      <c r="K1983" t="str">
        <f>IFERROR(VLOOKUP(J1983,LUTs!$A$1:$C$73,2,FALSE),"NA")</f>
        <v>Snohomish/King</v>
      </c>
      <c r="L1983" t="str">
        <f>IFERROR(VLOOKUP(J1983,LUTs!$A$1:$C$73,3,FALSE),"NA")</f>
        <v>2Central Puget Sound</v>
      </c>
      <c r="M1983" s="72" t="s">
        <v>20</v>
      </c>
      <c r="N1983" t="str">
        <f>VLOOKUP(M1983,LUTs!E$2:H$14,3,)</f>
        <v>07Pierce</v>
      </c>
      <c r="O1983" t="str">
        <f>VLOOKUP(M1983,LUTs!E$2:H$14,4,)</f>
        <v>02South Puget Sound</v>
      </c>
      <c r="P1983" s="80">
        <v>8</v>
      </c>
      <c r="Q1983" s="103">
        <v>4</v>
      </c>
      <c r="R1983" s="74">
        <f>VLOOKUP(B1983,Readme!A$40:C$52,3,)*Q1983</f>
        <v>34.159999999999997</v>
      </c>
    </row>
    <row r="1984" spans="1:18" ht="12" customHeight="1" x14ac:dyDescent="0.35">
      <c r="A1984" s="75">
        <v>2026</v>
      </c>
      <c r="B1984" s="80">
        <v>2018</v>
      </c>
      <c r="C1984" s="80">
        <v>6</v>
      </c>
      <c r="D1984" s="80">
        <f t="shared" si="112"/>
        <v>2018</v>
      </c>
      <c r="E1984" t="s">
        <v>38</v>
      </c>
      <c r="F1984" t="s">
        <v>143</v>
      </c>
      <c r="G1984" t="s">
        <v>86</v>
      </c>
      <c r="H1984" s="72" t="s">
        <v>221</v>
      </c>
      <c r="I1984" s="72" t="s">
        <v>63</v>
      </c>
      <c r="J1984" t="str">
        <f t="shared" si="114"/>
        <v>Snohomish River</v>
      </c>
      <c r="K1984" t="str">
        <f>IFERROR(VLOOKUP(J1984,LUTs!$A$1:$C$73,2,FALSE),"NA")</f>
        <v>Snohomish</v>
      </c>
      <c r="L1984" t="str">
        <f>IFERROR(VLOOKUP(J1984,LUTs!$A$1:$C$73,3,FALSE),"NA")</f>
        <v>2Central Puget Sound</v>
      </c>
      <c r="M1984" s="72" t="s">
        <v>16</v>
      </c>
      <c r="N1984" t="str">
        <f>VLOOKUP(M1984,LUTs!E$2:H$14,3,)</f>
        <v>03Snohomish</v>
      </c>
      <c r="O1984" t="str">
        <f>VLOOKUP(M1984,LUTs!E$2:H$14,4,)</f>
        <v>01North Puget Sound</v>
      </c>
      <c r="P1984" s="80">
        <v>64</v>
      </c>
      <c r="Q1984" s="103">
        <v>32</v>
      </c>
      <c r="R1984" s="74">
        <f>VLOOKUP(B1984,Readme!A$40:C$52,3,)*Q1984</f>
        <v>273.27999999999997</v>
      </c>
    </row>
    <row r="1985" spans="1:18" ht="12" customHeight="1" x14ac:dyDescent="0.35">
      <c r="A1985" s="75">
        <v>2056</v>
      </c>
      <c r="B1985" s="80">
        <v>2018</v>
      </c>
      <c r="C1985" s="80">
        <v>7</v>
      </c>
      <c r="D1985" s="80">
        <f t="shared" si="112"/>
        <v>2018</v>
      </c>
      <c r="E1985" t="s">
        <v>38</v>
      </c>
      <c r="F1985" t="s">
        <v>143</v>
      </c>
      <c r="G1985" t="s">
        <v>86</v>
      </c>
      <c r="H1985" s="72" t="s">
        <v>254</v>
      </c>
      <c r="I1985" s="72" t="s">
        <v>33</v>
      </c>
      <c r="J1985" t="str">
        <f t="shared" si="114"/>
        <v>Area 9: Admiralty Inlet</v>
      </c>
      <c r="K1985" t="str">
        <f>IFERROR(VLOOKUP(J1985,LUTs!$A$1:$C$73,2,FALSE),"NA")</f>
        <v>NA</v>
      </c>
      <c r="L1985" t="str">
        <f>IFERROR(VLOOKUP(J1985,LUTs!$A$1:$C$73,3,FALSE),"NA")</f>
        <v>2Central Puget Sound</v>
      </c>
      <c r="M1985" s="72" t="s">
        <v>17</v>
      </c>
      <c r="N1985" t="str">
        <f>VLOOKUP(M1985,LUTs!E$2:H$14,3,)</f>
        <v>04Island</v>
      </c>
      <c r="O1985" t="str">
        <f>VLOOKUP(M1985,LUTs!E$2:H$14,4,)</f>
        <v>01North Puget Sound</v>
      </c>
      <c r="P1985" s="80">
        <v>6</v>
      </c>
      <c r="Q1985" s="103">
        <v>3</v>
      </c>
      <c r="R1985" s="74">
        <f>VLOOKUP(B1985,Readme!A$40:C$52,3,)*Q1985</f>
        <v>25.619999999999997</v>
      </c>
    </row>
    <row r="1986" spans="1:18" ht="12" customHeight="1" x14ac:dyDescent="0.35">
      <c r="A1986" s="75">
        <v>2045</v>
      </c>
      <c r="B1986" s="80">
        <v>2018</v>
      </c>
      <c r="C1986" s="80">
        <v>7</v>
      </c>
      <c r="D1986" s="80">
        <f t="shared" ref="D1986:D2049" si="115">IF(C1986&gt;3,B1986,B1986-1)</f>
        <v>2018</v>
      </c>
      <c r="E1986" t="s">
        <v>38</v>
      </c>
      <c r="F1986" t="s">
        <v>143</v>
      </c>
      <c r="G1986" t="s">
        <v>86</v>
      </c>
      <c r="H1986" s="72" t="s">
        <v>251</v>
      </c>
      <c r="I1986" s="72" t="s">
        <v>102</v>
      </c>
      <c r="J1986" t="str">
        <f t="shared" si="114"/>
        <v>Canyon Creek</v>
      </c>
      <c r="K1986" t="str">
        <f>IFERROR(VLOOKUP(J1986,LUTs!$A$1:$C$73,2,FALSE),"NA")</f>
        <v>Snohomish</v>
      </c>
      <c r="L1986" t="str">
        <f>IFERROR(VLOOKUP(J1986,LUTs!$A$1:$C$73,3,FALSE),"NA")</f>
        <v>2Central Puget Sound</v>
      </c>
      <c r="M1986" s="72" t="s">
        <v>18</v>
      </c>
      <c r="N1986" t="str">
        <f>VLOOKUP(M1986,LUTs!E$2:H$14,3,)</f>
        <v>06King</v>
      </c>
      <c r="O1986" t="str">
        <f>VLOOKUP(M1986,LUTs!E$2:H$14,4,)</f>
        <v>02South Puget Sound</v>
      </c>
      <c r="P1986" s="80">
        <v>6</v>
      </c>
      <c r="Q1986" s="103">
        <v>3</v>
      </c>
      <c r="R1986" s="74">
        <f>VLOOKUP(B1986,Readme!A$40:C$52,3,)*Q1986</f>
        <v>25.619999999999997</v>
      </c>
    </row>
    <row r="1987" spans="1:18" ht="12" customHeight="1" x14ac:dyDescent="0.35">
      <c r="A1987" s="75">
        <v>1968</v>
      </c>
      <c r="B1987" s="80">
        <v>2018</v>
      </c>
      <c r="C1987" s="80">
        <v>7</v>
      </c>
      <c r="D1987" s="80">
        <f t="shared" si="115"/>
        <v>2018</v>
      </c>
      <c r="E1987" t="s">
        <v>38</v>
      </c>
      <c r="F1987" t="s">
        <v>143</v>
      </c>
      <c r="G1987" t="s">
        <v>86</v>
      </c>
      <c r="H1987" s="72" t="s">
        <v>203</v>
      </c>
      <c r="I1987" s="72" t="s">
        <v>89</v>
      </c>
      <c r="J1987" s="84" t="s">
        <v>45</v>
      </c>
      <c r="K1987" t="str">
        <f>IFERROR(VLOOKUP(J1987,LUTs!$A$1:$C$73,2,FALSE),"NA")</f>
        <v>King</v>
      </c>
      <c r="L1987" t="str">
        <f>IFERROR(VLOOKUP(J1987,LUTs!$A$1:$C$73,3,FALSE),"NA")</f>
        <v>3South Puget Sound</v>
      </c>
      <c r="M1987" s="72" t="s">
        <v>20</v>
      </c>
      <c r="N1987" t="str">
        <f>VLOOKUP(M1987,LUTs!E$2:H$14,3,)</f>
        <v>07Pierce</v>
      </c>
      <c r="O1987" t="str">
        <f>VLOOKUP(M1987,LUTs!E$2:H$14,4,)</f>
        <v>02South Puget Sound</v>
      </c>
      <c r="P1987" s="80">
        <v>6</v>
      </c>
      <c r="Q1987" s="103">
        <v>3</v>
      </c>
      <c r="R1987" s="74">
        <f>VLOOKUP(B1987,Readme!A$40:C$52,3,)*Q1987</f>
        <v>25.619999999999997</v>
      </c>
    </row>
    <row r="1988" spans="1:18" ht="12" customHeight="1" x14ac:dyDescent="0.35">
      <c r="A1988" s="75">
        <v>1999</v>
      </c>
      <c r="B1988" s="80">
        <v>2018</v>
      </c>
      <c r="C1988" s="80">
        <v>7</v>
      </c>
      <c r="D1988" s="80">
        <f t="shared" si="115"/>
        <v>2018</v>
      </c>
      <c r="E1988" t="s">
        <v>38</v>
      </c>
      <c r="F1988" t="s">
        <v>143</v>
      </c>
      <c r="G1988" t="s">
        <v>86</v>
      </c>
      <c r="H1988" s="72" t="s">
        <v>220</v>
      </c>
      <c r="I1988" s="72" t="s">
        <v>62</v>
      </c>
      <c r="J1988" t="str">
        <f t="shared" ref="J1988:J2015" si="116">I1988</f>
        <v>Skykomish River</v>
      </c>
      <c r="K1988" t="str">
        <f>IFERROR(VLOOKUP(J1988,LUTs!$A$1:$C$73,2,FALSE),"NA")</f>
        <v>Snohomish</v>
      </c>
      <c r="L1988" t="str">
        <f>IFERROR(VLOOKUP(J1988,LUTs!$A$1:$C$73,3,FALSE),"NA")</f>
        <v>2Central Puget Sound</v>
      </c>
      <c r="M1988" s="72" t="s">
        <v>18</v>
      </c>
      <c r="N1988" t="str">
        <f>VLOOKUP(M1988,LUTs!E$2:H$14,3,)</f>
        <v>06King</v>
      </c>
      <c r="O1988" t="str">
        <f>VLOOKUP(M1988,LUTs!E$2:H$14,4,)</f>
        <v>02South Puget Sound</v>
      </c>
      <c r="P1988" s="80">
        <v>292.02040816326502</v>
      </c>
      <c r="Q1988" s="103">
        <v>146.01020408163299</v>
      </c>
      <c r="R1988" s="74">
        <f>VLOOKUP(B1988,Readme!A$40:C$52,3,)*Q1988</f>
        <v>1246.9271428571456</v>
      </c>
    </row>
    <row r="1989" spans="1:18" ht="12" customHeight="1" x14ac:dyDescent="0.35">
      <c r="A1989" s="75">
        <v>2000</v>
      </c>
      <c r="B1989" s="80">
        <v>2018</v>
      </c>
      <c r="C1989" s="80">
        <v>7</v>
      </c>
      <c r="D1989" s="80">
        <f t="shared" si="115"/>
        <v>2018</v>
      </c>
      <c r="E1989" t="s">
        <v>38</v>
      </c>
      <c r="F1989" t="s">
        <v>143</v>
      </c>
      <c r="G1989" t="s">
        <v>86</v>
      </c>
      <c r="H1989" s="72" t="s">
        <v>220</v>
      </c>
      <c r="I1989" s="72" t="s">
        <v>62</v>
      </c>
      <c r="J1989" t="str">
        <f t="shared" si="116"/>
        <v>Skykomish River</v>
      </c>
      <c r="K1989" t="str">
        <f>IFERROR(VLOOKUP(J1989,LUTs!$A$1:$C$73,2,FALSE),"NA")</f>
        <v>Snohomish</v>
      </c>
      <c r="L1989" t="str">
        <f>IFERROR(VLOOKUP(J1989,LUTs!$A$1:$C$73,3,FALSE),"NA")</f>
        <v>2Central Puget Sound</v>
      </c>
      <c r="M1989" s="72" t="s">
        <v>23</v>
      </c>
      <c r="N1989" t="str">
        <f>VLOOKUP(M1989,LUTs!E$2:H$14,3,)</f>
        <v>10Kitsap</v>
      </c>
      <c r="O1989" t="str">
        <f>VLOOKUP(M1989,LUTs!E$2:H$14,4,)</f>
        <v>02South Puget Sound</v>
      </c>
      <c r="P1989" s="80">
        <v>7.12244897959184</v>
      </c>
      <c r="Q1989" s="103">
        <v>3.56122448979592</v>
      </c>
      <c r="R1989" s="74">
        <f>VLOOKUP(B1989,Readme!A$40:C$52,3,)*Q1989</f>
        <v>30.412857142857153</v>
      </c>
    </row>
    <row r="1990" spans="1:18" ht="12" customHeight="1" x14ac:dyDescent="0.35">
      <c r="A1990" s="75">
        <v>2001</v>
      </c>
      <c r="B1990" s="80">
        <v>2018</v>
      </c>
      <c r="C1990" s="80">
        <v>7</v>
      </c>
      <c r="D1990" s="80">
        <f t="shared" si="115"/>
        <v>2018</v>
      </c>
      <c r="E1990" t="s">
        <v>38</v>
      </c>
      <c r="F1990" t="s">
        <v>143</v>
      </c>
      <c r="G1990" t="s">
        <v>86</v>
      </c>
      <c r="H1990" s="72" t="s">
        <v>220</v>
      </c>
      <c r="I1990" s="72" t="s">
        <v>62</v>
      </c>
      <c r="J1990" t="str">
        <f t="shared" si="116"/>
        <v>Skykomish River</v>
      </c>
      <c r="K1990" t="str">
        <f>IFERROR(VLOOKUP(J1990,LUTs!$A$1:$C$73,2,FALSE),"NA")</f>
        <v>Snohomish</v>
      </c>
      <c r="L1990" t="str">
        <f>IFERROR(VLOOKUP(J1990,LUTs!$A$1:$C$73,3,FALSE),"NA")</f>
        <v>2Central Puget Sound</v>
      </c>
      <c r="M1990" s="72" t="s">
        <v>26</v>
      </c>
      <c r="N1990" t="str">
        <f>VLOOKUP(M1990,LUTs!E$2:H$14,3,)</f>
        <v>20Other</v>
      </c>
      <c r="O1990" t="str">
        <f>VLOOKUP(M1990,LUTs!E$2:H$14,4,)</f>
        <v>07Non Puget Sound</v>
      </c>
      <c r="P1990" s="80">
        <v>7.12244897959184</v>
      </c>
      <c r="Q1990" s="103">
        <v>3.56122448979592</v>
      </c>
      <c r="R1990" s="74">
        <f>VLOOKUP(B1990,Readme!A$40:C$52,3,)*Q1990</f>
        <v>30.412857142857153</v>
      </c>
    </row>
    <row r="1991" spans="1:18" ht="12" customHeight="1" x14ac:dyDescent="0.35">
      <c r="A1991" s="75">
        <v>2002</v>
      </c>
      <c r="B1991" s="80">
        <v>2018</v>
      </c>
      <c r="C1991" s="80">
        <v>7</v>
      </c>
      <c r="D1991" s="80">
        <f t="shared" si="115"/>
        <v>2018</v>
      </c>
      <c r="E1991" t="s">
        <v>38</v>
      </c>
      <c r="F1991" t="s">
        <v>143</v>
      </c>
      <c r="G1991" t="s">
        <v>86</v>
      </c>
      <c r="H1991" s="72" t="s">
        <v>220</v>
      </c>
      <c r="I1991" s="72" t="s">
        <v>62</v>
      </c>
      <c r="J1991" t="str">
        <f t="shared" si="116"/>
        <v>Skykomish River</v>
      </c>
      <c r="K1991" t="str">
        <f>IFERROR(VLOOKUP(J1991,LUTs!$A$1:$C$73,2,FALSE),"NA")</f>
        <v>Snohomish</v>
      </c>
      <c r="L1991" t="str">
        <f>IFERROR(VLOOKUP(J1991,LUTs!$A$1:$C$73,3,FALSE),"NA")</f>
        <v>2Central Puget Sound</v>
      </c>
      <c r="M1991" s="72" t="s">
        <v>20</v>
      </c>
      <c r="N1991" t="str">
        <f>VLOOKUP(M1991,LUTs!E$2:H$14,3,)</f>
        <v>07Pierce</v>
      </c>
      <c r="O1991" t="str">
        <f>VLOOKUP(M1991,LUTs!E$2:H$14,4,)</f>
        <v>02South Puget Sound</v>
      </c>
      <c r="P1991" s="80">
        <v>28.489795918367399</v>
      </c>
      <c r="Q1991" s="103">
        <v>14.244897959183699</v>
      </c>
      <c r="R1991" s="74">
        <f>VLOOKUP(B1991,Readme!A$40:C$52,3,)*Q1991</f>
        <v>121.65142857142878</v>
      </c>
    </row>
    <row r="1992" spans="1:18" ht="12" customHeight="1" x14ac:dyDescent="0.35">
      <c r="A1992" s="75">
        <v>2003</v>
      </c>
      <c r="B1992" s="80">
        <v>2018</v>
      </c>
      <c r="C1992" s="80">
        <v>7</v>
      </c>
      <c r="D1992" s="80">
        <f t="shared" si="115"/>
        <v>2018</v>
      </c>
      <c r="E1992" t="s">
        <v>38</v>
      </c>
      <c r="F1992" t="s">
        <v>143</v>
      </c>
      <c r="G1992" t="s">
        <v>86</v>
      </c>
      <c r="H1992" s="72" t="s">
        <v>220</v>
      </c>
      <c r="I1992" s="72" t="s">
        <v>62</v>
      </c>
      <c r="J1992" t="str">
        <f t="shared" si="116"/>
        <v>Skykomish River</v>
      </c>
      <c r="K1992" t="str">
        <f>IFERROR(VLOOKUP(J1992,LUTs!$A$1:$C$73,2,FALSE),"NA")</f>
        <v>Snohomish</v>
      </c>
      <c r="L1992" t="str">
        <f>IFERROR(VLOOKUP(J1992,LUTs!$A$1:$C$73,3,FALSE),"NA")</f>
        <v>2Central Puget Sound</v>
      </c>
      <c r="M1992" s="72" t="s">
        <v>15</v>
      </c>
      <c r="N1992" t="str">
        <f>VLOOKUP(M1992,LUTs!E$2:H$14,3,)</f>
        <v>02Skagit</v>
      </c>
      <c r="O1992" t="str">
        <f>VLOOKUP(M1992,LUTs!E$2:H$14,4,)</f>
        <v>01North Puget Sound</v>
      </c>
      <c r="P1992" s="80">
        <v>7.12244897959184</v>
      </c>
      <c r="Q1992" s="103">
        <v>3.56122448979592</v>
      </c>
      <c r="R1992" s="74">
        <f>VLOOKUP(B1992,Readme!A$40:C$52,3,)*Q1992</f>
        <v>30.412857142857153</v>
      </c>
    </row>
    <row r="1993" spans="1:18" ht="12" customHeight="1" x14ac:dyDescent="0.35">
      <c r="A1993" s="75">
        <v>2004</v>
      </c>
      <c r="B1993" s="80">
        <v>2018</v>
      </c>
      <c r="C1993" s="80">
        <v>7</v>
      </c>
      <c r="D1993" s="80">
        <f t="shared" si="115"/>
        <v>2018</v>
      </c>
      <c r="E1993" t="s">
        <v>38</v>
      </c>
      <c r="F1993" t="s">
        <v>143</v>
      </c>
      <c r="G1993" t="s">
        <v>86</v>
      </c>
      <c r="H1993" s="72" t="s">
        <v>220</v>
      </c>
      <c r="I1993" s="72" t="s">
        <v>62</v>
      </c>
      <c r="J1993" t="str">
        <f t="shared" si="116"/>
        <v>Skykomish River</v>
      </c>
      <c r="K1993" t="str">
        <f>IFERROR(VLOOKUP(J1993,LUTs!$A$1:$C$73,2,FALSE),"NA")</f>
        <v>Snohomish</v>
      </c>
      <c r="L1993" t="str">
        <f>IFERROR(VLOOKUP(J1993,LUTs!$A$1:$C$73,3,FALSE),"NA")</f>
        <v>2Central Puget Sound</v>
      </c>
      <c r="M1993" s="72" t="s">
        <v>16</v>
      </c>
      <c r="N1993" t="str">
        <f>VLOOKUP(M1993,LUTs!E$2:H$14,3,)</f>
        <v>03Snohomish</v>
      </c>
      <c r="O1993" t="str">
        <f>VLOOKUP(M1993,LUTs!E$2:H$14,4,)</f>
        <v>01North Puget Sound</v>
      </c>
      <c r="P1993" s="80">
        <v>356.12244897959198</v>
      </c>
      <c r="Q1993" s="103">
        <v>178.06122448979599</v>
      </c>
      <c r="R1993" s="74">
        <f>VLOOKUP(B1993,Readme!A$40:C$52,3,)*Q1993</f>
        <v>1520.6428571428576</v>
      </c>
    </row>
    <row r="1994" spans="1:18" ht="12" customHeight="1" x14ac:dyDescent="0.35">
      <c r="A1994" s="75">
        <v>2021</v>
      </c>
      <c r="B1994" s="80">
        <v>2018</v>
      </c>
      <c r="C1994" s="80">
        <v>7</v>
      </c>
      <c r="D1994" s="80">
        <f t="shared" si="115"/>
        <v>2018</v>
      </c>
      <c r="E1994" t="s">
        <v>38</v>
      </c>
      <c r="F1994" t="s">
        <v>143</v>
      </c>
      <c r="G1994" t="s">
        <v>86</v>
      </c>
      <c r="H1994" s="72" t="s">
        <v>247</v>
      </c>
      <c r="I1994" s="72" t="s">
        <v>98</v>
      </c>
      <c r="J1994" t="str">
        <f t="shared" si="116"/>
        <v>Skykomish River, No. Fork</v>
      </c>
      <c r="K1994" t="str">
        <f>IFERROR(VLOOKUP(J1994,LUTs!$A$1:$C$73,2,FALSE),"NA")</f>
        <v>Snohomish</v>
      </c>
      <c r="L1994" t="str">
        <f>IFERROR(VLOOKUP(J1994,LUTs!$A$1:$C$73,3,FALSE),"NA")</f>
        <v>2Central Puget Sound</v>
      </c>
      <c r="M1994" s="72" t="s">
        <v>18</v>
      </c>
      <c r="N1994" t="str">
        <f>VLOOKUP(M1994,LUTs!E$2:H$14,3,)</f>
        <v>06King</v>
      </c>
      <c r="O1994" t="str">
        <f>VLOOKUP(M1994,LUTs!E$2:H$14,4,)</f>
        <v>02South Puget Sound</v>
      </c>
      <c r="P1994" s="80">
        <v>56</v>
      </c>
      <c r="Q1994" s="103">
        <v>28</v>
      </c>
      <c r="R1994" s="74">
        <f>VLOOKUP(B1994,Readme!A$40:C$52,3,)*Q1994</f>
        <v>239.11999999999998</v>
      </c>
    </row>
    <row r="1995" spans="1:18" ht="12" customHeight="1" x14ac:dyDescent="0.35">
      <c r="A1995" s="75">
        <v>2027</v>
      </c>
      <c r="B1995" s="80">
        <v>2018</v>
      </c>
      <c r="C1995" s="80">
        <v>7</v>
      </c>
      <c r="D1995" s="80">
        <f t="shared" si="115"/>
        <v>2018</v>
      </c>
      <c r="E1995" t="s">
        <v>38</v>
      </c>
      <c r="F1995" t="s">
        <v>143</v>
      </c>
      <c r="G1995" t="s">
        <v>86</v>
      </c>
      <c r="H1995" s="72" t="s">
        <v>221</v>
      </c>
      <c r="I1995" s="72" t="s">
        <v>63</v>
      </c>
      <c r="J1995" t="str">
        <f t="shared" si="116"/>
        <v>Snohomish River</v>
      </c>
      <c r="K1995" t="str">
        <f>IFERROR(VLOOKUP(J1995,LUTs!$A$1:$C$73,2,FALSE),"NA")</f>
        <v>Snohomish</v>
      </c>
      <c r="L1995" t="str">
        <f>IFERROR(VLOOKUP(J1995,LUTs!$A$1:$C$73,3,FALSE),"NA")</f>
        <v>2Central Puget Sound</v>
      </c>
      <c r="M1995" s="72" t="s">
        <v>16</v>
      </c>
      <c r="N1995" t="str">
        <f>VLOOKUP(M1995,LUTs!E$2:H$14,3,)</f>
        <v>03Snohomish</v>
      </c>
      <c r="O1995" t="str">
        <f>VLOOKUP(M1995,LUTs!E$2:H$14,4,)</f>
        <v>01North Puget Sound</v>
      </c>
      <c r="P1995" s="80">
        <v>36</v>
      </c>
      <c r="Q1995" s="103">
        <v>18</v>
      </c>
      <c r="R1995" s="74">
        <f>VLOOKUP(B1995,Readme!A$40:C$52,3,)*Q1995</f>
        <v>153.71999999999997</v>
      </c>
    </row>
    <row r="1996" spans="1:18" ht="12" customHeight="1" x14ac:dyDescent="0.35">
      <c r="A1996" s="75">
        <v>1983</v>
      </c>
      <c r="B1996" s="80">
        <v>2018</v>
      </c>
      <c r="C1996" s="80">
        <v>8</v>
      </c>
      <c r="D1996" s="80">
        <f t="shared" si="115"/>
        <v>2018</v>
      </c>
      <c r="E1996" t="s">
        <v>38</v>
      </c>
      <c r="F1996" t="s">
        <v>143</v>
      </c>
      <c r="G1996" t="s">
        <v>86</v>
      </c>
      <c r="H1996" s="72" t="s">
        <v>245</v>
      </c>
      <c r="I1996" s="72" t="s">
        <v>96</v>
      </c>
      <c r="J1996" t="str">
        <f t="shared" si="116"/>
        <v>Sauk River</v>
      </c>
      <c r="K1996" t="str">
        <f>IFERROR(VLOOKUP(J1996,LUTs!$A$1:$C$73,2,FALSE),"NA")</f>
        <v>Skagit/Snohomish</v>
      </c>
      <c r="L1996" t="str">
        <f>IFERROR(VLOOKUP(J1996,LUTs!$A$1:$C$73,3,FALSE),"NA")</f>
        <v>2Central Puget Sound</v>
      </c>
      <c r="M1996" s="72" t="s">
        <v>13</v>
      </c>
      <c r="N1996" t="str">
        <f>VLOOKUP(M1996,LUTs!E$2:H$14,3,)</f>
        <v>01Whatcom</v>
      </c>
      <c r="O1996" t="str">
        <f>VLOOKUP(M1996,LUTs!E$2:H$14,4,)</f>
        <v>01North Puget Sound</v>
      </c>
      <c r="P1996" s="80">
        <v>12</v>
      </c>
      <c r="Q1996" s="103">
        <v>6</v>
      </c>
      <c r="R1996" s="74">
        <f>VLOOKUP(B1996,Readme!A$40:C$52,3,)*Q1996</f>
        <v>51.239999999999995</v>
      </c>
    </row>
    <row r="1997" spans="1:18" ht="12" customHeight="1" x14ac:dyDescent="0.35">
      <c r="A1997" s="75">
        <v>2005</v>
      </c>
      <c r="B1997" s="80">
        <v>2018</v>
      </c>
      <c r="C1997" s="80">
        <v>8</v>
      </c>
      <c r="D1997" s="80">
        <f t="shared" si="115"/>
        <v>2018</v>
      </c>
      <c r="E1997" t="s">
        <v>38</v>
      </c>
      <c r="F1997" t="s">
        <v>143</v>
      </c>
      <c r="G1997" t="s">
        <v>86</v>
      </c>
      <c r="H1997" s="72" t="s">
        <v>220</v>
      </c>
      <c r="I1997" s="72" t="s">
        <v>62</v>
      </c>
      <c r="J1997" t="str">
        <f t="shared" si="116"/>
        <v>Skykomish River</v>
      </c>
      <c r="K1997" t="str">
        <f>IFERROR(VLOOKUP(J1997,LUTs!$A$1:$C$73,2,FALSE),"NA")</f>
        <v>Snohomish</v>
      </c>
      <c r="L1997" t="str">
        <f>IFERROR(VLOOKUP(J1997,LUTs!$A$1:$C$73,3,FALSE),"NA")</f>
        <v>2Central Puget Sound</v>
      </c>
      <c r="M1997" s="72" t="s">
        <v>18</v>
      </c>
      <c r="N1997" t="str">
        <f>VLOOKUP(M1997,LUTs!E$2:H$14,3,)</f>
        <v>06King</v>
      </c>
      <c r="O1997" t="str">
        <f>VLOOKUP(M1997,LUTs!E$2:H$14,4,)</f>
        <v>02South Puget Sound</v>
      </c>
      <c r="P1997" s="80">
        <v>28.8</v>
      </c>
      <c r="Q1997" s="103">
        <v>14.4</v>
      </c>
      <c r="R1997" s="74">
        <f>VLOOKUP(B1997,Readme!A$40:C$52,3,)*Q1997</f>
        <v>122.97599999999998</v>
      </c>
    </row>
    <row r="1998" spans="1:18" ht="12" customHeight="1" x14ac:dyDescent="0.35">
      <c r="A1998" s="75">
        <v>2006</v>
      </c>
      <c r="B1998" s="80">
        <v>2018</v>
      </c>
      <c r="C1998" s="80">
        <v>8</v>
      </c>
      <c r="D1998" s="80">
        <f t="shared" si="115"/>
        <v>2018</v>
      </c>
      <c r="E1998" t="s">
        <v>38</v>
      </c>
      <c r="F1998" t="s">
        <v>143</v>
      </c>
      <c r="G1998" t="s">
        <v>86</v>
      </c>
      <c r="H1998" s="72" t="s">
        <v>220</v>
      </c>
      <c r="I1998" s="72" t="s">
        <v>62</v>
      </c>
      <c r="J1998" t="str">
        <f t="shared" si="116"/>
        <v>Skykomish River</v>
      </c>
      <c r="K1998" t="str">
        <f>IFERROR(VLOOKUP(J1998,LUTs!$A$1:$C$73,2,FALSE),"NA")</f>
        <v>Snohomish</v>
      </c>
      <c r="L1998" t="str">
        <f>IFERROR(VLOOKUP(J1998,LUTs!$A$1:$C$73,3,FALSE),"NA")</f>
        <v>2Central Puget Sound</v>
      </c>
      <c r="M1998" s="72" t="s">
        <v>16</v>
      </c>
      <c r="N1998" t="str">
        <f>VLOOKUP(M1998,LUTs!E$2:H$14,3,)</f>
        <v>03Snohomish</v>
      </c>
      <c r="O1998" t="str">
        <f>VLOOKUP(M1998,LUTs!E$2:H$14,4,)</f>
        <v>01North Puget Sound</v>
      </c>
      <c r="P1998" s="80">
        <v>43.2</v>
      </c>
      <c r="Q1998" s="103">
        <v>21.6</v>
      </c>
      <c r="R1998" s="74">
        <f>VLOOKUP(B1998,Readme!A$40:C$52,3,)*Q1998</f>
        <v>184.464</v>
      </c>
    </row>
    <row r="1999" spans="1:18" ht="12" customHeight="1" x14ac:dyDescent="0.35">
      <c r="A1999" s="75">
        <v>2022</v>
      </c>
      <c r="B1999" s="80">
        <v>2018</v>
      </c>
      <c r="C1999" s="80">
        <v>8</v>
      </c>
      <c r="D1999" s="80">
        <f t="shared" si="115"/>
        <v>2018</v>
      </c>
      <c r="E1999" t="s">
        <v>38</v>
      </c>
      <c r="F1999" t="s">
        <v>143</v>
      </c>
      <c r="G1999" t="s">
        <v>86</v>
      </c>
      <c r="H1999" s="72" t="s">
        <v>247</v>
      </c>
      <c r="I1999" s="72" t="s">
        <v>98</v>
      </c>
      <c r="J1999" t="str">
        <f t="shared" si="116"/>
        <v>Skykomish River, No. Fork</v>
      </c>
      <c r="K1999" t="str">
        <f>IFERROR(VLOOKUP(J1999,LUTs!$A$1:$C$73,2,FALSE),"NA")</f>
        <v>Snohomish</v>
      </c>
      <c r="L1999" t="str">
        <f>IFERROR(VLOOKUP(J1999,LUTs!$A$1:$C$73,3,FALSE),"NA")</f>
        <v>2Central Puget Sound</v>
      </c>
      <c r="M1999" s="72" t="s">
        <v>18</v>
      </c>
      <c r="N1999" t="str">
        <f>VLOOKUP(M1999,LUTs!E$2:H$14,3,)</f>
        <v>06King</v>
      </c>
      <c r="O1999" t="str">
        <f>VLOOKUP(M1999,LUTs!E$2:H$14,4,)</f>
        <v>02South Puget Sound</v>
      </c>
      <c r="P1999" s="80">
        <v>8</v>
      </c>
      <c r="Q1999" s="103">
        <v>4</v>
      </c>
      <c r="R1999" s="74">
        <f>VLOOKUP(B1999,Readme!A$40:C$52,3,)*Q1999</f>
        <v>34.159999999999997</v>
      </c>
    </row>
    <row r="2000" spans="1:18" ht="12" customHeight="1" x14ac:dyDescent="0.35">
      <c r="A2000" s="75">
        <v>2025</v>
      </c>
      <c r="B2000" s="80">
        <v>2018</v>
      </c>
      <c r="C2000" s="80">
        <v>8</v>
      </c>
      <c r="D2000" s="80">
        <f t="shared" si="115"/>
        <v>2018</v>
      </c>
      <c r="E2000" t="s">
        <v>38</v>
      </c>
      <c r="F2000" t="s">
        <v>143</v>
      </c>
      <c r="G2000" t="s">
        <v>86</v>
      </c>
      <c r="H2000" s="72" t="s">
        <v>248</v>
      </c>
      <c r="I2000" s="72" t="s">
        <v>99</v>
      </c>
      <c r="J2000" t="str">
        <f t="shared" si="116"/>
        <v>Skykomish River, So. Fork</v>
      </c>
      <c r="K2000" t="str">
        <f>IFERROR(VLOOKUP(J2000,LUTs!$A$1:$C$73,2,FALSE),"NA")</f>
        <v>Snohomish/King</v>
      </c>
      <c r="L2000" t="str">
        <f>IFERROR(VLOOKUP(J2000,LUTs!$A$1:$C$73,3,FALSE),"NA")</f>
        <v>2Central Puget Sound</v>
      </c>
      <c r="M2000" s="72" t="s">
        <v>18</v>
      </c>
      <c r="N2000" t="str">
        <f>VLOOKUP(M2000,LUTs!E$2:H$14,3,)</f>
        <v>06King</v>
      </c>
      <c r="O2000" t="str">
        <f>VLOOKUP(M2000,LUTs!E$2:H$14,4,)</f>
        <v>02South Puget Sound</v>
      </c>
      <c r="P2000" s="80">
        <v>14</v>
      </c>
      <c r="Q2000" s="103">
        <v>7</v>
      </c>
      <c r="R2000" s="74">
        <f>VLOOKUP(B2000,Readme!A$40:C$52,3,)*Q2000</f>
        <v>59.779999999999994</v>
      </c>
    </row>
    <row r="2001" spans="1:18" ht="12" customHeight="1" x14ac:dyDescent="0.35">
      <c r="A2001" s="75">
        <v>1984</v>
      </c>
      <c r="B2001" s="80">
        <v>2018</v>
      </c>
      <c r="C2001" s="80">
        <v>9</v>
      </c>
      <c r="D2001" s="80">
        <f t="shared" si="115"/>
        <v>2018</v>
      </c>
      <c r="E2001" t="s">
        <v>38</v>
      </c>
      <c r="F2001" t="s">
        <v>143</v>
      </c>
      <c r="G2001" t="s">
        <v>86</v>
      </c>
      <c r="H2001" s="72" t="s">
        <v>245</v>
      </c>
      <c r="I2001" s="72" t="s">
        <v>96</v>
      </c>
      <c r="J2001" t="str">
        <f t="shared" si="116"/>
        <v>Sauk River</v>
      </c>
      <c r="K2001" t="str">
        <f>IFERROR(VLOOKUP(J2001,LUTs!$A$1:$C$73,2,FALSE),"NA")</f>
        <v>Skagit/Snohomish</v>
      </c>
      <c r="L2001" t="str">
        <f>IFERROR(VLOOKUP(J2001,LUTs!$A$1:$C$73,3,FALSE),"NA")</f>
        <v>2Central Puget Sound</v>
      </c>
      <c r="M2001" s="72" t="s">
        <v>13</v>
      </c>
      <c r="N2001" t="str">
        <f>VLOOKUP(M2001,LUTs!E$2:H$14,3,)</f>
        <v>01Whatcom</v>
      </c>
      <c r="O2001" t="str">
        <f>VLOOKUP(M2001,LUTs!E$2:H$14,4,)</f>
        <v>01North Puget Sound</v>
      </c>
      <c r="P2001" s="80">
        <v>6</v>
      </c>
      <c r="Q2001" s="103">
        <v>3</v>
      </c>
      <c r="R2001" s="74">
        <f>VLOOKUP(B2001,Readme!A$40:C$52,3,)*Q2001</f>
        <v>25.619999999999997</v>
      </c>
    </row>
    <row r="2002" spans="1:18" ht="12" customHeight="1" x14ac:dyDescent="0.35">
      <c r="A2002" s="75">
        <v>2007</v>
      </c>
      <c r="B2002" s="80">
        <v>2018</v>
      </c>
      <c r="C2002" s="80">
        <v>9</v>
      </c>
      <c r="D2002" s="80">
        <f t="shared" si="115"/>
        <v>2018</v>
      </c>
      <c r="E2002" t="s">
        <v>38</v>
      </c>
      <c r="F2002" t="s">
        <v>143</v>
      </c>
      <c r="G2002" t="s">
        <v>86</v>
      </c>
      <c r="H2002" s="72" t="s">
        <v>220</v>
      </c>
      <c r="I2002" s="72" t="s">
        <v>62</v>
      </c>
      <c r="J2002" t="str">
        <f t="shared" si="116"/>
        <v>Skykomish River</v>
      </c>
      <c r="K2002" t="str">
        <f>IFERROR(VLOOKUP(J2002,LUTs!$A$1:$C$73,2,FALSE),"NA")</f>
        <v>Snohomish</v>
      </c>
      <c r="L2002" t="str">
        <f>IFERROR(VLOOKUP(J2002,LUTs!$A$1:$C$73,3,FALSE),"NA")</f>
        <v>2Central Puget Sound</v>
      </c>
      <c r="M2002" s="72" t="s">
        <v>18</v>
      </c>
      <c r="N2002" t="str">
        <f>VLOOKUP(M2002,LUTs!E$2:H$14,3,)</f>
        <v>06King</v>
      </c>
      <c r="O2002" t="str">
        <f>VLOOKUP(M2002,LUTs!E$2:H$14,4,)</f>
        <v>02South Puget Sound</v>
      </c>
      <c r="P2002" s="80">
        <v>85.714285714285694</v>
      </c>
      <c r="Q2002" s="103">
        <v>42.857142857142897</v>
      </c>
      <c r="R2002" s="74">
        <f>VLOOKUP(B2002,Readme!A$40:C$52,3,)*Q2002</f>
        <v>366.00000000000028</v>
      </c>
    </row>
    <row r="2003" spans="1:18" ht="12" customHeight="1" x14ac:dyDescent="0.35">
      <c r="A2003" s="75">
        <v>2008</v>
      </c>
      <c r="B2003" s="80">
        <v>2018</v>
      </c>
      <c r="C2003" s="80">
        <v>9</v>
      </c>
      <c r="D2003" s="80">
        <f t="shared" si="115"/>
        <v>2018</v>
      </c>
      <c r="E2003" t="s">
        <v>38</v>
      </c>
      <c r="F2003" t="s">
        <v>143</v>
      </c>
      <c r="G2003" t="s">
        <v>86</v>
      </c>
      <c r="H2003" s="72" t="s">
        <v>220</v>
      </c>
      <c r="I2003" s="72" t="s">
        <v>62</v>
      </c>
      <c r="J2003" t="str">
        <f t="shared" si="116"/>
        <v>Skykomish River</v>
      </c>
      <c r="K2003" t="str">
        <f>IFERROR(VLOOKUP(J2003,LUTs!$A$1:$C$73,2,FALSE),"NA")</f>
        <v>Snohomish</v>
      </c>
      <c r="L2003" t="str">
        <f>IFERROR(VLOOKUP(J2003,LUTs!$A$1:$C$73,3,FALSE),"NA")</f>
        <v>2Central Puget Sound</v>
      </c>
      <c r="M2003" s="72" t="s">
        <v>16</v>
      </c>
      <c r="N2003" t="str">
        <f>VLOOKUP(M2003,LUTs!E$2:H$14,3,)</f>
        <v>03Snohomish</v>
      </c>
      <c r="O2003" t="str">
        <f>VLOOKUP(M2003,LUTs!E$2:H$14,4,)</f>
        <v>01North Puget Sound</v>
      </c>
      <c r="P2003" s="80">
        <v>64.285714285714306</v>
      </c>
      <c r="Q2003" s="103">
        <v>32.142857142857103</v>
      </c>
      <c r="R2003" s="74">
        <f>VLOOKUP(B2003,Readme!A$40:C$52,3,)*Q2003</f>
        <v>274.49999999999966</v>
      </c>
    </row>
    <row r="2004" spans="1:18" ht="12" customHeight="1" x14ac:dyDescent="0.35">
      <c r="A2004" s="75">
        <v>2038</v>
      </c>
      <c r="B2004" s="80">
        <v>2018</v>
      </c>
      <c r="C2004" s="80">
        <v>9</v>
      </c>
      <c r="D2004" s="80">
        <f t="shared" si="115"/>
        <v>2018</v>
      </c>
      <c r="E2004" t="s">
        <v>38</v>
      </c>
      <c r="F2004" t="s">
        <v>143</v>
      </c>
      <c r="G2004" t="s">
        <v>86</v>
      </c>
      <c r="H2004" s="72" t="s">
        <v>233</v>
      </c>
      <c r="I2004" s="72" t="s">
        <v>76</v>
      </c>
      <c r="J2004" t="str">
        <f t="shared" si="116"/>
        <v>Wallace River</v>
      </c>
      <c r="K2004" t="str">
        <f>IFERROR(VLOOKUP(J2004,LUTs!$A$1:$C$73,2,FALSE),"NA")</f>
        <v>Snohomish</v>
      </c>
      <c r="L2004" t="str">
        <f>IFERROR(VLOOKUP(J2004,LUTs!$A$1:$C$73,3,FALSE),"NA")</f>
        <v>2Central Puget Sound</v>
      </c>
      <c r="M2004" s="72" t="s">
        <v>18</v>
      </c>
      <c r="N2004" t="str">
        <f>VLOOKUP(M2004,LUTs!E$2:H$14,3,)</f>
        <v>06King</v>
      </c>
      <c r="O2004" t="str">
        <f>VLOOKUP(M2004,LUTs!E$2:H$14,4,)</f>
        <v>02South Puget Sound</v>
      </c>
      <c r="P2004" s="80">
        <v>21</v>
      </c>
      <c r="Q2004" s="103">
        <v>10.5</v>
      </c>
      <c r="R2004" s="74">
        <f>VLOOKUP(B2004,Readme!A$40:C$52,3,)*Q2004</f>
        <v>89.669999999999987</v>
      </c>
    </row>
    <row r="2005" spans="1:18" ht="12" customHeight="1" x14ac:dyDescent="0.35">
      <c r="A2005" s="75">
        <v>2039</v>
      </c>
      <c r="B2005" s="80">
        <v>2018</v>
      </c>
      <c r="C2005" s="80">
        <v>9</v>
      </c>
      <c r="D2005" s="80">
        <f t="shared" si="115"/>
        <v>2018</v>
      </c>
      <c r="E2005" t="s">
        <v>38</v>
      </c>
      <c r="F2005" t="s">
        <v>143</v>
      </c>
      <c r="G2005" t="s">
        <v>86</v>
      </c>
      <c r="H2005" s="72" t="s">
        <v>233</v>
      </c>
      <c r="I2005" s="72" t="s">
        <v>76</v>
      </c>
      <c r="J2005" t="str">
        <f t="shared" si="116"/>
        <v>Wallace River</v>
      </c>
      <c r="K2005" t="str">
        <f>IFERROR(VLOOKUP(J2005,LUTs!$A$1:$C$73,2,FALSE),"NA")</f>
        <v>Snohomish</v>
      </c>
      <c r="L2005" t="str">
        <f>IFERROR(VLOOKUP(J2005,LUTs!$A$1:$C$73,3,FALSE),"NA")</f>
        <v>2Central Puget Sound</v>
      </c>
      <c r="M2005" s="72" t="s">
        <v>16</v>
      </c>
      <c r="N2005" t="str">
        <f>VLOOKUP(M2005,LUTs!E$2:H$14,3,)</f>
        <v>03Snohomish</v>
      </c>
      <c r="O2005" t="str">
        <f>VLOOKUP(M2005,LUTs!E$2:H$14,4,)</f>
        <v>01North Puget Sound</v>
      </c>
      <c r="P2005" s="80">
        <v>7</v>
      </c>
      <c r="Q2005" s="103">
        <v>3.5</v>
      </c>
      <c r="R2005" s="74">
        <f>VLOOKUP(B2005,Readme!A$40:C$52,3,)*Q2005</f>
        <v>29.889999999999997</v>
      </c>
    </row>
    <row r="2006" spans="1:18" ht="12" customHeight="1" x14ac:dyDescent="0.35">
      <c r="A2006" s="75">
        <v>1964</v>
      </c>
      <c r="B2006" s="80">
        <v>2018</v>
      </c>
      <c r="C2006" s="80">
        <v>10</v>
      </c>
      <c r="D2006" s="80">
        <f t="shared" si="115"/>
        <v>2018</v>
      </c>
      <c r="E2006" t="s">
        <v>38</v>
      </c>
      <c r="F2006" t="s">
        <v>143</v>
      </c>
      <c r="G2006" t="s">
        <v>86</v>
      </c>
      <c r="H2006" s="72" t="s">
        <v>201</v>
      </c>
      <c r="I2006" s="72" t="s">
        <v>43</v>
      </c>
      <c r="J2006" t="str">
        <f t="shared" si="116"/>
        <v>Dungeness River</v>
      </c>
      <c r="K2006" t="str">
        <f>IFERROR(VLOOKUP(J2006,LUTs!$A$1:$C$73,2,FALSE),"NA")</f>
        <v>Clallam</v>
      </c>
      <c r="L2006" t="str">
        <f>IFERROR(VLOOKUP(J2006,LUTs!$A$1:$C$73,3,FALSE),"NA")</f>
        <v>0Strait of Juan de Fuca</v>
      </c>
      <c r="M2006" s="72" t="s">
        <v>23</v>
      </c>
      <c r="N2006" t="str">
        <f>VLOOKUP(M2006,LUTs!E$2:H$14,3,)</f>
        <v>10Kitsap</v>
      </c>
      <c r="O2006" t="str">
        <f>VLOOKUP(M2006,LUTs!E$2:H$14,4,)</f>
        <v>02South Puget Sound</v>
      </c>
      <c r="P2006" s="80">
        <v>6</v>
      </c>
      <c r="Q2006" s="103">
        <v>3</v>
      </c>
      <c r="R2006" s="74">
        <f>VLOOKUP(B2006,Readme!A$40:C$52,3,)*Q2006</f>
        <v>25.619999999999997</v>
      </c>
    </row>
    <row r="2007" spans="1:18" ht="12" customHeight="1" x14ac:dyDescent="0.35">
      <c r="A2007" s="75">
        <v>1988</v>
      </c>
      <c r="B2007" s="80">
        <v>2018</v>
      </c>
      <c r="C2007" s="80">
        <v>10</v>
      </c>
      <c r="D2007" s="80">
        <f t="shared" si="115"/>
        <v>2018</v>
      </c>
      <c r="E2007" t="s">
        <v>38</v>
      </c>
      <c r="F2007" t="s">
        <v>143</v>
      </c>
      <c r="G2007" t="s">
        <v>86</v>
      </c>
      <c r="H2007" s="72" t="s">
        <v>218</v>
      </c>
      <c r="I2007" s="72" t="s">
        <v>60</v>
      </c>
      <c r="J2007" t="str">
        <f t="shared" si="116"/>
        <v>Skagit River</v>
      </c>
      <c r="K2007" t="str">
        <f>IFERROR(VLOOKUP(J2007,LUTs!$A$1:$C$73,2,FALSE),"NA")</f>
        <v>Skagit/Whatcom</v>
      </c>
      <c r="L2007" t="str">
        <f>IFERROR(VLOOKUP(J2007,LUTs!$A$1:$C$73,3,FALSE),"NA")</f>
        <v>2Central Puget Sound</v>
      </c>
      <c r="M2007" s="72" t="s">
        <v>18</v>
      </c>
      <c r="N2007" t="str">
        <f>VLOOKUP(M2007,LUTs!E$2:H$14,3,)</f>
        <v>06King</v>
      </c>
      <c r="O2007" t="str">
        <f>VLOOKUP(M2007,LUTs!E$2:H$14,4,)</f>
        <v>02South Puget Sound</v>
      </c>
      <c r="P2007" s="80">
        <v>6</v>
      </c>
      <c r="Q2007" s="103">
        <v>3</v>
      </c>
      <c r="R2007" s="74">
        <f>VLOOKUP(B2007,Readme!A$40:C$52,3,)*Q2007</f>
        <v>25.619999999999997</v>
      </c>
    </row>
    <row r="2008" spans="1:18" ht="12" customHeight="1" x14ac:dyDescent="0.35">
      <c r="A2008" s="75">
        <v>1989</v>
      </c>
      <c r="B2008" s="80">
        <v>2018</v>
      </c>
      <c r="C2008" s="80">
        <v>10</v>
      </c>
      <c r="D2008" s="80">
        <f t="shared" si="115"/>
        <v>2018</v>
      </c>
      <c r="E2008" t="s">
        <v>38</v>
      </c>
      <c r="F2008" t="s">
        <v>143</v>
      </c>
      <c r="G2008" t="s">
        <v>86</v>
      </c>
      <c r="H2008" s="72" t="s">
        <v>218</v>
      </c>
      <c r="I2008" s="72" t="s">
        <v>60</v>
      </c>
      <c r="J2008" t="str">
        <f t="shared" si="116"/>
        <v>Skagit River</v>
      </c>
      <c r="K2008" t="str">
        <f>IFERROR(VLOOKUP(J2008,LUTs!$A$1:$C$73,2,FALSE),"NA")</f>
        <v>Skagit/Whatcom</v>
      </c>
      <c r="L2008" t="str">
        <f>IFERROR(VLOOKUP(J2008,LUTs!$A$1:$C$73,3,FALSE),"NA")</f>
        <v>2Central Puget Sound</v>
      </c>
      <c r="M2008" s="72" t="s">
        <v>15</v>
      </c>
      <c r="N2008" t="str">
        <f>VLOOKUP(M2008,LUTs!E$2:H$14,3,)</f>
        <v>02Skagit</v>
      </c>
      <c r="O2008" t="str">
        <f>VLOOKUP(M2008,LUTs!E$2:H$14,4,)</f>
        <v>01North Puget Sound</v>
      </c>
      <c r="P2008" s="80">
        <v>6</v>
      </c>
      <c r="Q2008" s="103">
        <v>3</v>
      </c>
      <c r="R2008" s="74">
        <f>VLOOKUP(B2008,Readme!A$40:C$52,3,)*Q2008</f>
        <v>25.619999999999997</v>
      </c>
    </row>
    <row r="2009" spans="1:18" ht="12" customHeight="1" x14ac:dyDescent="0.35">
      <c r="A2009" s="75">
        <v>2009</v>
      </c>
      <c r="B2009" s="80">
        <v>2018</v>
      </c>
      <c r="C2009" s="80">
        <v>10</v>
      </c>
      <c r="D2009" s="80">
        <f t="shared" si="115"/>
        <v>2018</v>
      </c>
      <c r="E2009" t="s">
        <v>38</v>
      </c>
      <c r="F2009" t="s">
        <v>143</v>
      </c>
      <c r="G2009" t="s">
        <v>86</v>
      </c>
      <c r="H2009" s="72" t="s">
        <v>220</v>
      </c>
      <c r="I2009" s="72" t="s">
        <v>62</v>
      </c>
      <c r="J2009" t="str">
        <f t="shared" si="116"/>
        <v>Skykomish River</v>
      </c>
      <c r="K2009" t="str">
        <f>IFERROR(VLOOKUP(J2009,LUTs!$A$1:$C$73,2,FALSE),"NA")</f>
        <v>Snohomish</v>
      </c>
      <c r="L2009" t="str">
        <f>IFERROR(VLOOKUP(J2009,LUTs!$A$1:$C$73,3,FALSE),"NA")</f>
        <v>2Central Puget Sound</v>
      </c>
      <c r="M2009" s="72" t="s">
        <v>18</v>
      </c>
      <c r="N2009" t="str">
        <f>VLOOKUP(M2009,LUTs!E$2:H$14,3,)</f>
        <v>06King</v>
      </c>
      <c r="O2009" t="str">
        <f>VLOOKUP(M2009,LUTs!E$2:H$14,4,)</f>
        <v>02South Puget Sound</v>
      </c>
      <c r="P2009" s="80">
        <v>28.363636363636399</v>
      </c>
      <c r="Q2009" s="103">
        <v>14.181818181818199</v>
      </c>
      <c r="R2009" s="74">
        <f>VLOOKUP(B2009,Readme!A$40:C$52,3,)*Q2009</f>
        <v>121.11272727272741</v>
      </c>
    </row>
    <row r="2010" spans="1:18" ht="12" customHeight="1" x14ac:dyDescent="0.35">
      <c r="A2010" s="75">
        <v>2010</v>
      </c>
      <c r="B2010" s="80">
        <v>2018</v>
      </c>
      <c r="C2010" s="80">
        <v>10</v>
      </c>
      <c r="D2010" s="80">
        <f t="shared" si="115"/>
        <v>2018</v>
      </c>
      <c r="E2010" t="s">
        <v>38</v>
      </c>
      <c r="F2010" t="s">
        <v>143</v>
      </c>
      <c r="G2010" t="s">
        <v>86</v>
      </c>
      <c r="H2010" s="72" t="s">
        <v>220</v>
      </c>
      <c r="I2010" s="72" t="s">
        <v>62</v>
      </c>
      <c r="J2010" t="str">
        <f t="shared" si="116"/>
        <v>Skykomish River</v>
      </c>
      <c r="K2010" t="str">
        <f>IFERROR(VLOOKUP(J2010,LUTs!$A$1:$C$73,2,FALSE),"NA")</f>
        <v>Snohomish</v>
      </c>
      <c r="L2010" t="str">
        <f>IFERROR(VLOOKUP(J2010,LUTs!$A$1:$C$73,3,FALSE),"NA")</f>
        <v>2Central Puget Sound</v>
      </c>
      <c r="M2010" s="72" t="s">
        <v>20</v>
      </c>
      <c r="N2010" t="str">
        <f>VLOOKUP(M2010,LUTs!E$2:H$14,3,)</f>
        <v>07Pierce</v>
      </c>
      <c r="O2010" t="str">
        <f>VLOOKUP(M2010,LUTs!E$2:H$14,4,)</f>
        <v>02South Puget Sound</v>
      </c>
      <c r="P2010" s="80">
        <v>7.0909090909090899</v>
      </c>
      <c r="Q2010" s="103">
        <v>3.5454545454545499</v>
      </c>
      <c r="R2010" s="74">
        <f>VLOOKUP(B2010,Readme!A$40:C$52,3,)*Q2010</f>
        <v>30.278181818181853</v>
      </c>
    </row>
    <row r="2011" spans="1:18" ht="12" customHeight="1" x14ac:dyDescent="0.35">
      <c r="A2011" s="75">
        <v>2011</v>
      </c>
      <c r="B2011" s="80">
        <v>2018</v>
      </c>
      <c r="C2011" s="80">
        <v>10</v>
      </c>
      <c r="D2011" s="80">
        <f t="shared" si="115"/>
        <v>2018</v>
      </c>
      <c r="E2011" t="s">
        <v>38</v>
      </c>
      <c r="F2011" t="s">
        <v>143</v>
      </c>
      <c r="G2011" t="s">
        <v>86</v>
      </c>
      <c r="H2011" s="72" t="s">
        <v>220</v>
      </c>
      <c r="I2011" s="72" t="s">
        <v>62</v>
      </c>
      <c r="J2011" t="str">
        <f t="shared" si="116"/>
        <v>Skykomish River</v>
      </c>
      <c r="K2011" t="str">
        <f>IFERROR(VLOOKUP(J2011,LUTs!$A$1:$C$73,2,FALSE),"NA")</f>
        <v>Snohomish</v>
      </c>
      <c r="L2011" t="str">
        <f>IFERROR(VLOOKUP(J2011,LUTs!$A$1:$C$73,3,FALSE),"NA")</f>
        <v>2Central Puget Sound</v>
      </c>
      <c r="M2011" s="72" t="s">
        <v>16</v>
      </c>
      <c r="N2011" t="str">
        <f>VLOOKUP(M2011,LUTs!E$2:H$14,3,)</f>
        <v>03Snohomish</v>
      </c>
      <c r="O2011" t="str">
        <f>VLOOKUP(M2011,LUTs!E$2:H$14,4,)</f>
        <v>01North Puget Sound</v>
      </c>
      <c r="P2011" s="80">
        <v>120.545454545455</v>
      </c>
      <c r="Q2011" s="103">
        <v>60.272727272727302</v>
      </c>
      <c r="R2011" s="74">
        <f>VLOOKUP(B2011,Readme!A$40:C$52,3,)*Q2011</f>
        <v>514.72909090909116</v>
      </c>
    </row>
    <row r="2012" spans="1:18" ht="12" customHeight="1" x14ac:dyDescent="0.35">
      <c r="A2012" s="75">
        <v>2028</v>
      </c>
      <c r="B2012" s="80">
        <v>2018</v>
      </c>
      <c r="C2012" s="80">
        <v>10</v>
      </c>
      <c r="D2012" s="80">
        <f t="shared" si="115"/>
        <v>2018</v>
      </c>
      <c r="E2012" t="s">
        <v>38</v>
      </c>
      <c r="F2012" t="s">
        <v>143</v>
      </c>
      <c r="G2012" t="s">
        <v>86</v>
      </c>
      <c r="H2012" s="72" t="s">
        <v>221</v>
      </c>
      <c r="I2012" s="72" t="s">
        <v>63</v>
      </c>
      <c r="J2012" t="str">
        <f t="shared" si="116"/>
        <v>Snohomish River</v>
      </c>
      <c r="K2012" t="str">
        <f>IFERROR(VLOOKUP(J2012,LUTs!$A$1:$C$73,2,FALSE),"NA")</f>
        <v>Snohomish</v>
      </c>
      <c r="L2012" t="str">
        <f>IFERROR(VLOOKUP(J2012,LUTs!$A$1:$C$73,3,FALSE),"NA")</f>
        <v>2Central Puget Sound</v>
      </c>
      <c r="M2012" s="72" t="s">
        <v>16</v>
      </c>
      <c r="N2012" t="str">
        <f>VLOOKUP(M2012,LUTs!E$2:H$14,3,)</f>
        <v>03Snohomish</v>
      </c>
      <c r="O2012" t="str">
        <f>VLOOKUP(M2012,LUTs!E$2:H$14,4,)</f>
        <v>01North Puget Sound</v>
      </c>
      <c r="P2012" s="80">
        <v>22</v>
      </c>
      <c r="Q2012" s="103">
        <v>11</v>
      </c>
      <c r="R2012" s="74">
        <f>VLOOKUP(B2012,Readme!A$40:C$52,3,)*Q2012</f>
        <v>93.94</v>
      </c>
    </row>
    <row r="2013" spans="1:18" ht="12" customHeight="1" x14ac:dyDescent="0.35">
      <c r="A2013" s="75">
        <v>2040</v>
      </c>
      <c r="B2013" s="80">
        <v>2018</v>
      </c>
      <c r="C2013" s="80">
        <v>10</v>
      </c>
      <c r="D2013" s="80">
        <f t="shared" si="115"/>
        <v>2018</v>
      </c>
      <c r="E2013" t="s">
        <v>38</v>
      </c>
      <c r="F2013" t="s">
        <v>143</v>
      </c>
      <c r="G2013" t="s">
        <v>86</v>
      </c>
      <c r="H2013" s="72" t="s">
        <v>233</v>
      </c>
      <c r="I2013" s="72" t="s">
        <v>76</v>
      </c>
      <c r="J2013" t="str">
        <f t="shared" si="116"/>
        <v>Wallace River</v>
      </c>
      <c r="K2013" t="str">
        <f>IFERROR(VLOOKUP(J2013,LUTs!$A$1:$C$73,2,FALSE),"NA")</f>
        <v>Snohomish</v>
      </c>
      <c r="L2013" t="str">
        <f>IFERROR(VLOOKUP(J2013,LUTs!$A$1:$C$73,3,FALSE),"NA")</f>
        <v>2Central Puget Sound</v>
      </c>
      <c r="M2013" s="72" t="s">
        <v>16</v>
      </c>
      <c r="N2013" t="str">
        <f>VLOOKUP(M2013,LUTs!E$2:H$14,3,)</f>
        <v>03Snohomish</v>
      </c>
      <c r="O2013" t="str">
        <f>VLOOKUP(M2013,LUTs!E$2:H$14,4,)</f>
        <v>01North Puget Sound</v>
      </c>
      <c r="P2013" s="80">
        <v>8</v>
      </c>
      <c r="Q2013" s="103">
        <v>4</v>
      </c>
      <c r="R2013" s="74">
        <f>VLOOKUP(B2013,Readme!A$40:C$52,3,)*Q2013</f>
        <v>34.159999999999997</v>
      </c>
    </row>
    <row r="2014" spans="1:18" ht="12" customHeight="1" x14ac:dyDescent="0.35">
      <c r="A2014" s="75">
        <v>1982</v>
      </c>
      <c r="B2014" s="80">
        <v>2018</v>
      </c>
      <c r="C2014" s="80">
        <v>11</v>
      </c>
      <c r="D2014" s="80">
        <f t="shared" si="115"/>
        <v>2018</v>
      </c>
      <c r="E2014" t="s">
        <v>38</v>
      </c>
      <c r="F2014" t="s">
        <v>143</v>
      </c>
      <c r="G2014" t="s">
        <v>86</v>
      </c>
      <c r="H2014" s="72" t="s">
        <v>217</v>
      </c>
      <c r="I2014" s="72" t="s">
        <v>59</v>
      </c>
      <c r="J2014" t="str">
        <f t="shared" si="116"/>
        <v>Cascade River</v>
      </c>
      <c r="K2014" t="str">
        <f>IFERROR(VLOOKUP(J2014,LUTs!$A$1:$C$73,2,FALSE),"NA")</f>
        <v>Skagit</v>
      </c>
      <c r="L2014" t="str">
        <f>IFERROR(VLOOKUP(J2014,LUTs!$A$1:$C$73,3,FALSE),"NA")</f>
        <v>1North Puget Sound</v>
      </c>
      <c r="M2014" s="72" t="s">
        <v>18</v>
      </c>
      <c r="N2014" t="str">
        <f>VLOOKUP(M2014,LUTs!E$2:H$14,3,)</f>
        <v>06King</v>
      </c>
      <c r="O2014" t="str">
        <f>VLOOKUP(M2014,LUTs!E$2:H$14,4,)</f>
        <v>02South Puget Sound</v>
      </c>
      <c r="P2014" s="80">
        <v>14</v>
      </c>
      <c r="Q2014" s="103">
        <v>7</v>
      </c>
      <c r="R2014" s="74">
        <f>VLOOKUP(B2014,Readme!A$40:C$52,3,)*Q2014</f>
        <v>59.779999999999994</v>
      </c>
    </row>
    <row r="2015" spans="1:18" ht="12" customHeight="1" x14ac:dyDescent="0.35">
      <c r="A2015" s="75">
        <v>1965</v>
      </c>
      <c r="B2015" s="80">
        <v>2018</v>
      </c>
      <c r="C2015" s="80">
        <v>11</v>
      </c>
      <c r="D2015" s="80">
        <f t="shared" si="115"/>
        <v>2018</v>
      </c>
      <c r="E2015" t="s">
        <v>38</v>
      </c>
      <c r="F2015" t="s">
        <v>143</v>
      </c>
      <c r="G2015" t="s">
        <v>86</v>
      </c>
      <c r="H2015" s="72" t="s">
        <v>201</v>
      </c>
      <c r="I2015" s="72" t="s">
        <v>43</v>
      </c>
      <c r="J2015" t="str">
        <f t="shared" si="116"/>
        <v>Dungeness River</v>
      </c>
      <c r="K2015" t="str">
        <f>IFERROR(VLOOKUP(J2015,LUTs!$A$1:$C$73,2,FALSE),"NA")</f>
        <v>Clallam</v>
      </c>
      <c r="L2015" t="str">
        <f>IFERROR(VLOOKUP(J2015,LUTs!$A$1:$C$73,3,FALSE),"NA")</f>
        <v>0Strait of Juan de Fuca</v>
      </c>
      <c r="M2015" s="72" t="s">
        <v>24</v>
      </c>
      <c r="N2015" t="str">
        <f>VLOOKUP(M2015,LUTs!E$2:H$14,3,)</f>
        <v>11Clallam</v>
      </c>
      <c r="O2015" t="str">
        <f>VLOOKUP(M2015,LUTs!E$2:H$14,4,)</f>
        <v>03Strait of Juan de Fuca</v>
      </c>
      <c r="P2015" s="80">
        <v>40</v>
      </c>
      <c r="Q2015" s="103">
        <v>20</v>
      </c>
      <c r="R2015" s="74">
        <f>VLOOKUP(B2015,Readme!A$40:C$52,3,)*Q2015</f>
        <v>170.79999999999998</v>
      </c>
    </row>
    <row r="2016" spans="1:18" ht="12" customHeight="1" x14ac:dyDescent="0.35">
      <c r="A2016" s="75">
        <v>1969</v>
      </c>
      <c r="B2016" s="80">
        <v>2018</v>
      </c>
      <c r="C2016" s="80">
        <v>11</v>
      </c>
      <c r="D2016" s="80">
        <f t="shared" si="115"/>
        <v>2018</v>
      </c>
      <c r="E2016" t="s">
        <v>38</v>
      </c>
      <c r="F2016" t="s">
        <v>143</v>
      </c>
      <c r="G2016" t="s">
        <v>86</v>
      </c>
      <c r="H2016" s="72" t="s">
        <v>203</v>
      </c>
      <c r="I2016" s="72" t="s">
        <v>89</v>
      </c>
      <c r="J2016" s="84" t="s">
        <v>45</v>
      </c>
      <c r="K2016" t="str">
        <f>IFERROR(VLOOKUP(J2016,LUTs!$A$1:$C$73,2,FALSE),"NA")</f>
        <v>King</v>
      </c>
      <c r="L2016" t="str">
        <f>IFERROR(VLOOKUP(J2016,LUTs!$A$1:$C$73,3,FALSE),"NA")</f>
        <v>3South Puget Sound</v>
      </c>
      <c r="M2016" s="72" t="s">
        <v>20</v>
      </c>
      <c r="N2016" t="str">
        <f>VLOOKUP(M2016,LUTs!E$2:H$14,3,)</f>
        <v>07Pierce</v>
      </c>
      <c r="O2016" t="str">
        <f>VLOOKUP(M2016,LUTs!E$2:H$14,4,)</f>
        <v>02South Puget Sound</v>
      </c>
      <c r="P2016" s="80">
        <v>14</v>
      </c>
      <c r="Q2016" s="103">
        <v>1</v>
      </c>
      <c r="R2016" s="74">
        <f>VLOOKUP(B2016,Readme!A$40:C$52,3,)*Q2016</f>
        <v>8.5399999999999991</v>
      </c>
    </row>
    <row r="2017" spans="1:18" ht="12" customHeight="1" x14ac:dyDescent="0.35">
      <c r="A2017" s="75">
        <v>1978</v>
      </c>
      <c r="B2017" s="80">
        <v>2018</v>
      </c>
      <c r="C2017" s="80">
        <v>11</v>
      </c>
      <c r="D2017" s="80">
        <f t="shared" si="115"/>
        <v>2018</v>
      </c>
      <c r="E2017" t="s">
        <v>38</v>
      </c>
      <c r="F2017" t="s">
        <v>143</v>
      </c>
      <c r="G2017" t="s">
        <v>86</v>
      </c>
      <c r="H2017" s="72" t="s">
        <v>241</v>
      </c>
      <c r="I2017" s="72" t="s">
        <v>83</v>
      </c>
      <c r="J2017" t="str">
        <f t="shared" ref="J2017:J2027" si="117">I2017</f>
        <v>Nooksack River, below North Fork</v>
      </c>
      <c r="K2017" t="str">
        <f>IFERROR(VLOOKUP(J2017,LUTs!$A$1:$C$73,2,FALSE),"NA")</f>
        <v>Whatcom</v>
      </c>
      <c r="L2017" t="str">
        <f>IFERROR(VLOOKUP(J2017,LUTs!$A$1:$C$73,3,FALSE),"NA")</f>
        <v>1North Puget Sound</v>
      </c>
      <c r="M2017" s="72" t="s">
        <v>13</v>
      </c>
      <c r="N2017" t="str">
        <f>VLOOKUP(M2017,LUTs!E$2:H$14,3,)</f>
        <v>01Whatcom</v>
      </c>
      <c r="O2017" t="str">
        <f>VLOOKUP(M2017,LUTs!E$2:H$14,4,)</f>
        <v>01North Puget Sound</v>
      </c>
      <c r="P2017" s="80">
        <v>14</v>
      </c>
      <c r="Q2017" s="103">
        <v>7</v>
      </c>
      <c r="R2017" s="74">
        <f>VLOOKUP(B2017,Readme!A$40:C$52,3,)*Q2017</f>
        <v>59.779999999999994</v>
      </c>
    </row>
    <row r="2018" spans="1:18" ht="12" customHeight="1" x14ac:dyDescent="0.35">
      <c r="A2018" s="75">
        <v>1976</v>
      </c>
      <c r="B2018" s="80">
        <v>2018</v>
      </c>
      <c r="C2018" s="80">
        <v>11</v>
      </c>
      <c r="D2018" s="80">
        <f t="shared" si="115"/>
        <v>2018</v>
      </c>
      <c r="E2018" t="s">
        <v>38</v>
      </c>
      <c r="F2018" t="s">
        <v>143</v>
      </c>
      <c r="G2018" t="s">
        <v>86</v>
      </c>
      <c r="H2018" s="72" t="s">
        <v>239</v>
      </c>
      <c r="I2018" s="72" t="s">
        <v>92</v>
      </c>
      <c r="J2018" t="str">
        <f t="shared" si="117"/>
        <v>Nooksack River, No. Fork</v>
      </c>
      <c r="K2018" t="str">
        <f>IFERROR(VLOOKUP(J2018,LUTs!$A$1:$C$73,2,FALSE),"NA")</f>
        <v>Whatcom</v>
      </c>
      <c r="L2018" t="str">
        <f>IFERROR(VLOOKUP(J2018,LUTs!$A$1:$C$73,3,FALSE),"NA")</f>
        <v>1North Puget Sound</v>
      </c>
      <c r="M2018" s="72" t="s">
        <v>17</v>
      </c>
      <c r="N2018" t="str">
        <f>VLOOKUP(M2018,LUTs!E$2:H$14,3,)</f>
        <v>04Island</v>
      </c>
      <c r="O2018" t="str">
        <f>VLOOKUP(M2018,LUTs!E$2:H$14,4,)</f>
        <v>01North Puget Sound</v>
      </c>
      <c r="P2018" s="80">
        <v>14</v>
      </c>
      <c r="Q2018" s="103">
        <v>7</v>
      </c>
      <c r="R2018" s="74">
        <f>VLOOKUP(B2018,Readme!A$40:C$52,3,)*Q2018</f>
        <v>59.779999999999994</v>
      </c>
    </row>
    <row r="2019" spans="1:18" ht="12" customHeight="1" x14ac:dyDescent="0.35">
      <c r="A2019" s="75">
        <v>2012</v>
      </c>
      <c r="B2019" s="80">
        <v>2018</v>
      </c>
      <c r="C2019" s="80">
        <v>11</v>
      </c>
      <c r="D2019" s="80">
        <f t="shared" si="115"/>
        <v>2018</v>
      </c>
      <c r="E2019" t="s">
        <v>38</v>
      </c>
      <c r="F2019" t="s">
        <v>143</v>
      </c>
      <c r="G2019" t="s">
        <v>86</v>
      </c>
      <c r="H2019" s="72" t="s">
        <v>220</v>
      </c>
      <c r="I2019" s="72" t="s">
        <v>62</v>
      </c>
      <c r="J2019" t="str">
        <f t="shared" si="117"/>
        <v>Skykomish River</v>
      </c>
      <c r="K2019" t="str">
        <f>IFERROR(VLOOKUP(J2019,LUTs!$A$1:$C$73,2,FALSE),"NA")</f>
        <v>Snohomish</v>
      </c>
      <c r="L2019" t="str">
        <f>IFERROR(VLOOKUP(J2019,LUTs!$A$1:$C$73,3,FALSE),"NA")</f>
        <v>2Central Puget Sound</v>
      </c>
      <c r="M2019" s="72" t="s">
        <v>18</v>
      </c>
      <c r="N2019" t="str">
        <f>VLOOKUP(M2019,LUTs!E$2:H$14,3,)</f>
        <v>06King</v>
      </c>
      <c r="O2019" t="str">
        <f>VLOOKUP(M2019,LUTs!E$2:H$14,4,)</f>
        <v>02South Puget Sound</v>
      </c>
      <c r="P2019" s="80">
        <v>35.200000000000003</v>
      </c>
      <c r="Q2019" s="103">
        <v>17.600000000000001</v>
      </c>
      <c r="R2019" s="74">
        <f>VLOOKUP(B2019,Readme!A$40:C$52,3,)*Q2019</f>
        <v>150.304</v>
      </c>
    </row>
    <row r="2020" spans="1:18" ht="12" customHeight="1" x14ac:dyDescent="0.35">
      <c r="A2020" s="75">
        <v>2013</v>
      </c>
      <c r="B2020" s="80">
        <v>2018</v>
      </c>
      <c r="C2020" s="80">
        <v>11</v>
      </c>
      <c r="D2020" s="80">
        <f t="shared" si="115"/>
        <v>2018</v>
      </c>
      <c r="E2020" t="s">
        <v>38</v>
      </c>
      <c r="F2020" t="s">
        <v>143</v>
      </c>
      <c r="G2020" t="s">
        <v>86</v>
      </c>
      <c r="H2020" s="72" t="s">
        <v>220</v>
      </c>
      <c r="I2020" s="72" t="s">
        <v>62</v>
      </c>
      <c r="J2020" t="str">
        <f t="shared" si="117"/>
        <v>Skykomish River</v>
      </c>
      <c r="K2020" t="str">
        <f>IFERROR(VLOOKUP(J2020,LUTs!$A$1:$C$73,2,FALSE),"NA")</f>
        <v>Snohomish</v>
      </c>
      <c r="L2020" t="str">
        <f>IFERROR(VLOOKUP(J2020,LUTs!$A$1:$C$73,3,FALSE),"NA")</f>
        <v>2Central Puget Sound</v>
      </c>
      <c r="M2020" s="72" t="s">
        <v>16</v>
      </c>
      <c r="N2020" t="str">
        <f>VLOOKUP(M2020,LUTs!E$2:H$14,3,)</f>
        <v>03Snohomish</v>
      </c>
      <c r="O2020" t="str">
        <f>VLOOKUP(M2020,LUTs!E$2:H$14,4,)</f>
        <v>01North Puget Sound</v>
      </c>
      <c r="P2020" s="80">
        <v>52.8</v>
      </c>
      <c r="Q2020" s="103">
        <v>26.4</v>
      </c>
      <c r="R2020" s="74">
        <f>VLOOKUP(B2020,Readme!A$40:C$52,3,)*Q2020</f>
        <v>225.45599999999996</v>
      </c>
    </row>
    <row r="2021" spans="1:18" ht="12" customHeight="1" x14ac:dyDescent="0.35">
      <c r="A2021" s="75">
        <v>2029</v>
      </c>
      <c r="B2021" s="80">
        <v>2018</v>
      </c>
      <c r="C2021" s="80">
        <v>11</v>
      </c>
      <c r="D2021" s="80">
        <f t="shared" si="115"/>
        <v>2018</v>
      </c>
      <c r="E2021" t="s">
        <v>38</v>
      </c>
      <c r="F2021" t="s">
        <v>143</v>
      </c>
      <c r="G2021" t="s">
        <v>86</v>
      </c>
      <c r="H2021" s="72" t="s">
        <v>221</v>
      </c>
      <c r="I2021" s="72" t="s">
        <v>63</v>
      </c>
      <c r="J2021" t="str">
        <f t="shared" si="117"/>
        <v>Snohomish River</v>
      </c>
      <c r="K2021" t="str">
        <f>IFERROR(VLOOKUP(J2021,LUTs!$A$1:$C$73,2,FALSE),"NA")</f>
        <v>Snohomish</v>
      </c>
      <c r="L2021" t="str">
        <f>IFERROR(VLOOKUP(J2021,LUTs!$A$1:$C$73,3,FALSE),"NA")</f>
        <v>2Central Puget Sound</v>
      </c>
      <c r="M2021" s="72" t="s">
        <v>16</v>
      </c>
      <c r="N2021" t="str">
        <f>VLOOKUP(M2021,LUTs!E$2:H$14,3,)</f>
        <v>03Snohomish</v>
      </c>
      <c r="O2021" t="str">
        <f>VLOOKUP(M2021,LUTs!E$2:H$14,4,)</f>
        <v>01North Puget Sound</v>
      </c>
      <c r="P2021" s="80">
        <v>6</v>
      </c>
      <c r="Q2021" s="103">
        <v>3</v>
      </c>
      <c r="R2021" s="74">
        <f>VLOOKUP(B2021,Readme!A$40:C$52,3,)*Q2021</f>
        <v>25.619999999999997</v>
      </c>
    </row>
    <row r="2022" spans="1:18" ht="12" customHeight="1" x14ac:dyDescent="0.35">
      <c r="A2022" s="75">
        <v>2032</v>
      </c>
      <c r="B2022" s="80">
        <v>2018</v>
      </c>
      <c r="C2022" s="80">
        <v>11</v>
      </c>
      <c r="D2022" s="80">
        <f t="shared" si="115"/>
        <v>2018</v>
      </c>
      <c r="E2022" t="s">
        <v>38</v>
      </c>
      <c r="F2022" t="s">
        <v>143</v>
      </c>
      <c r="G2022" t="s">
        <v>86</v>
      </c>
      <c r="H2022" s="72" t="s">
        <v>222</v>
      </c>
      <c r="I2022" s="72" t="s">
        <v>64</v>
      </c>
      <c r="J2022" t="str">
        <f t="shared" si="117"/>
        <v>Snoqualmie River</v>
      </c>
      <c r="K2022" t="str">
        <f>IFERROR(VLOOKUP(J2022,LUTs!$A$1:$C$73,2,FALSE),"NA")</f>
        <v>Snohomish/King</v>
      </c>
      <c r="L2022" t="str">
        <f>IFERROR(VLOOKUP(J2022,LUTs!$A$1:$C$73,3,FALSE),"NA")</f>
        <v>2Central Puget Sound</v>
      </c>
      <c r="M2022" s="72" t="s">
        <v>18</v>
      </c>
      <c r="N2022" t="str">
        <f>VLOOKUP(M2022,LUTs!E$2:H$14,3,)</f>
        <v>06King</v>
      </c>
      <c r="O2022" t="str">
        <f>VLOOKUP(M2022,LUTs!E$2:H$14,4,)</f>
        <v>02South Puget Sound</v>
      </c>
      <c r="P2022" s="80">
        <v>6</v>
      </c>
      <c r="Q2022" s="103">
        <v>3</v>
      </c>
      <c r="R2022" s="74">
        <f>VLOOKUP(B2022,Readme!A$40:C$52,3,)*Q2022</f>
        <v>25.619999999999997</v>
      </c>
    </row>
    <row r="2023" spans="1:18" ht="12" customHeight="1" x14ac:dyDescent="0.35">
      <c r="A2023" s="75">
        <v>2048</v>
      </c>
      <c r="B2023" s="80">
        <v>2018</v>
      </c>
      <c r="C2023" s="80">
        <v>11</v>
      </c>
      <c r="D2023" s="80">
        <f t="shared" si="115"/>
        <v>2018</v>
      </c>
      <c r="E2023" t="s">
        <v>38</v>
      </c>
      <c r="F2023" t="s">
        <v>143</v>
      </c>
      <c r="G2023" t="s">
        <v>86</v>
      </c>
      <c r="H2023" s="72" t="s">
        <v>223</v>
      </c>
      <c r="I2023" s="72" t="s">
        <v>103</v>
      </c>
      <c r="J2023" t="str">
        <f t="shared" si="117"/>
        <v>Stillaguamish R, No. Fork</v>
      </c>
      <c r="K2023" t="str">
        <f>IFERROR(VLOOKUP(J2023,LUTs!$A$1:$C$73,2,FALSE),"NA")</f>
        <v>Snohomish</v>
      </c>
      <c r="L2023" t="str">
        <f>IFERROR(VLOOKUP(J2023,LUTs!$A$1:$C$73,3,FALSE),"NA")</f>
        <v>2Central Puget Sound</v>
      </c>
      <c r="M2023" s="72" t="s">
        <v>16</v>
      </c>
      <c r="N2023" t="str">
        <f>VLOOKUP(M2023,LUTs!E$2:H$14,3,)</f>
        <v>03Snohomish</v>
      </c>
      <c r="O2023" t="str">
        <f>VLOOKUP(M2023,LUTs!E$2:H$14,4,)</f>
        <v>01North Puget Sound</v>
      </c>
      <c r="P2023" s="80">
        <v>40</v>
      </c>
      <c r="Q2023" s="103">
        <v>20</v>
      </c>
      <c r="R2023" s="74">
        <f>VLOOKUP(B2023,Readme!A$40:C$52,3,)*Q2023</f>
        <v>170.79999999999998</v>
      </c>
    </row>
    <row r="2024" spans="1:18" ht="12" customHeight="1" x14ac:dyDescent="0.35">
      <c r="A2024" s="75">
        <v>2036</v>
      </c>
      <c r="B2024" s="80">
        <v>2018</v>
      </c>
      <c r="C2024" s="80">
        <v>11</v>
      </c>
      <c r="D2024" s="80">
        <f t="shared" si="115"/>
        <v>2018</v>
      </c>
      <c r="E2024" t="s">
        <v>38</v>
      </c>
      <c r="F2024" t="s">
        <v>143</v>
      </c>
      <c r="G2024" t="s">
        <v>86</v>
      </c>
      <c r="H2024" s="72" t="s">
        <v>250</v>
      </c>
      <c r="I2024" s="72" t="s">
        <v>101</v>
      </c>
      <c r="J2024" t="str">
        <f t="shared" si="117"/>
        <v>Tokul Creek</v>
      </c>
      <c r="K2024" t="str">
        <f>IFERROR(VLOOKUP(J2024,LUTs!$A$1:$C$73,2,FALSE),"NA")</f>
        <v>King</v>
      </c>
      <c r="L2024" t="str">
        <f>IFERROR(VLOOKUP(J2024,LUTs!$A$1:$C$73,3,FALSE),"NA")</f>
        <v>2Central Puget Sound</v>
      </c>
      <c r="M2024" s="72" t="s">
        <v>16</v>
      </c>
      <c r="N2024" t="str">
        <f>VLOOKUP(M2024,LUTs!E$2:H$14,3,)</f>
        <v>03Snohomish</v>
      </c>
      <c r="O2024" t="str">
        <f>VLOOKUP(M2024,LUTs!E$2:H$14,4,)</f>
        <v>01North Puget Sound</v>
      </c>
      <c r="P2024" s="80">
        <v>6</v>
      </c>
      <c r="Q2024" s="103">
        <v>3</v>
      </c>
      <c r="R2024" s="74">
        <f>VLOOKUP(B2024,Readme!A$40:C$52,3,)*Q2024</f>
        <v>25.619999999999997</v>
      </c>
    </row>
    <row r="2025" spans="1:18" ht="12" customHeight="1" x14ac:dyDescent="0.35">
      <c r="A2025" s="75">
        <v>2041</v>
      </c>
      <c r="B2025" s="80">
        <v>2018</v>
      </c>
      <c r="C2025" s="80">
        <v>11</v>
      </c>
      <c r="D2025" s="80">
        <f t="shared" si="115"/>
        <v>2018</v>
      </c>
      <c r="E2025" t="s">
        <v>38</v>
      </c>
      <c r="F2025" t="s">
        <v>143</v>
      </c>
      <c r="G2025" t="s">
        <v>86</v>
      </c>
      <c r="H2025" s="72" t="s">
        <v>233</v>
      </c>
      <c r="I2025" s="72" t="s">
        <v>76</v>
      </c>
      <c r="J2025" t="str">
        <f t="shared" si="117"/>
        <v>Wallace River</v>
      </c>
      <c r="K2025" t="str">
        <f>IFERROR(VLOOKUP(J2025,LUTs!$A$1:$C$73,2,FALSE),"NA")</f>
        <v>Snohomish</v>
      </c>
      <c r="L2025" t="str">
        <f>IFERROR(VLOOKUP(J2025,LUTs!$A$1:$C$73,3,FALSE),"NA")</f>
        <v>2Central Puget Sound</v>
      </c>
      <c r="M2025" s="72" t="s">
        <v>18</v>
      </c>
      <c r="N2025" t="str">
        <f>VLOOKUP(M2025,LUTs!E$2:H$14,3,)</f>
        <v>06King</v>
      </c>
      <c r="O2025" t="str">
        <f>VLOOKUP(M2025,LUTs!E$2:H$14,4,)</f>
        <v>02South Puget Sound</v>
      </c>
      <c r="P2025" s="80">
        <v>18</v>
      </c>
      <c r="Q2025" s="103">
        <v>9</v>
      </c>
      <c r="R2025" s="74">
        <f>VLOOKUP(B2025,Readme!A$40:C$52,3,)*Q2025</f>
        <v>76.859999999999985</v>
      </c>
    </row>
    <row r="2026" spans="1:18" ht="12" customHeight="1" x14ac:dyDescent="0.35">
      <c r="A2026" s="75">
        <v>2046</v>
      </c>
      <c r="B2026" s="80">
        <v>2018</v>
      </c>
      <c r="C2026" s="80">
        <v>12</v>
      </c>
      <c r="D2026" s="80">
        <f t="shared" si="115"/>
        <v>2018</v>
      </c>
      <c r="E2026" t="s">
        <v>38</v>
      </c>
      <c r="F2026" t="s">
        <v>143</v>
      </c>
      <c r="G2026" t="s">
        <v>86</v>
      </c>
      <c r="H2026" s="72" t="s">
        <v>251</v>
      </c>
      <c r="I2026" s="72" t="s">
        <v>102</v>
      </c>
      <c r="J2026" t="str">
        <f t="shared" si="117"/>
        <v>Canyon Creek</v>
      </c>
      <c r="K2026" t="str">
        <f>IFERROR(VLOOKUP(J2026,LUTs!$A$1:$C$73,2,FALSE),"NA")</f>
        <v>Snohomish</v>
      </c>
      <c r="L2026" t="str">
        <f>IFERROR(VLOOKUP(J2026,LUTs!$A$1:$C$73,3,FALSE),"NA")</f>
        <v>2Central Puget Sound</v>
      </c>
      <c r="M2026" s="72" t="s">
        <v>16</v>
      </c>
      <c r="N2026" t="str">
        <f>VLOOKUP(M2026,LUTs!E$2:H$14,3,)</f>
        <v>03Snohomish</v>
      </c>
      <c r="O2026" t="str">
        <f>VLOOKUP(M2026,LUTs!E$2:H$14,4,)</f>
        <v>01North Puget Sound</v>
      </c>
      <c r="P2026" s="80">
        <v>14</v>
      </c>
      <c r="Q2026" s="103">
        <v>7</v>
      </c>
      <c r="R2026" s="74">
        <f>VLOOKUP(B2026,Readme!A$40:C$52,3,)*Q2026</f>
        <v>59.779999999999994</v>
      </c>
    </row>
    <row r="2027" spans="1:18" ht="12" customHeight="1" x14ac:dyDescent="0.35">
      <c r="A2027" s="75">
        <v>1966</v>
      </c>
      <c r="B2027" s="80">
        <v>2018</v>
      </c>
      <c r="C2027" s="80">
        <v>12</v>
      </c>
      <c r="D2027" s="80">
        <f t="shared" si="115"/>
        <v>2018</v>
      </c>
      <c r="E2027" t="s">
        <v>38</v>
      </c>
      <c r="F2027" t="s">
        <v>143</v>
      </c>
      <c r="G2027" t="s">
        <v>86</v>
      </c>
      <c r="H2027" s="72" t="s">
        <v>201</v>
      </c>
      <c r="I2027" s="72" t="s">
        <v>43</v>
      </c>
      <c r="J2027" t="str">
        <f t="shared" si="117"/>
        <v>Dungeness River</v>
      </c>
      <c r="K2027" t="str">
        <f>IFERROR(VLOOKUP(J2027,LUTs!$A$1:$C$73,2,FALSE),"NA")</f>
        <v>Clallam</v>
      </c>
      <c r="L2027" t="str">
        <f>IFERROR(VLOOKUP(J2027,LUTs!$A$1:$C$73,3,FALSE),"NA")</f>
        <v>0Strait of Juan de Fuca</v>
      </c>
      <c r="M2027" s="72" t="s">
        <v>24</v>
      </c>
      <c r="N2027" t="str">
        <f>VLOOKUP(M2027,LUTs!E$2:H$14,3,)</f>
        <v>11Clallam</v>
      </c>
      <c r="O2027" t="str">
        <f>VLOOKUP(M2027,LUTs!E$2:H$14,4,)</f>
        <v>03Strait of Juan de Fuca</v>
      </c>
      <c r="P2027" s="80">
        <v>14</v>
      </c>
      <c r="Q2027" s="103">
        <v>7</v>
      </c>
      <c r="R2027" s="74">
        <f>VLOOKUP(B2027,Readme!A$40:C$52,3,)*Q2027</f>
        <v>59.779999999999994</v>
      </c>
    </row>
    <row r="2028" spans="1:18" ht="12" customHeight="1" x14ac:dyDescent="0.35">
      <c r="A2028" s="75">
        <v>1970</v>
      </c>
      <c r="B2028" s="80">
        <v>2018</v>
      </c>
      <c r="C2028" s="80">
        <v>12</v>
      </c>
      <c r="D2028" s="80">
        <f t="shared" si="115"/>
        <v>2018</v>
      </c>
      <c r="E2028" t="s">
        <v>38</v>
      </c>
      <c r="F2028" t="s">
        <v>143</v>
      </c>
      <c r="G2028" t="s">
        <v>86</v>
      </c>
      <c r="H2028" s="72" t="s">
        <v>203</v>
      </c>
      <c r="I2028" s="72" t="s">
        <v>89</v>
      </c>
      <c r="J2028" s="84" t="s">
        <v>45</v>
      </c>
      <c r="K2028" t="str">
        <f>IFERROR(VLOOKUP(J2028,LUTs!$A$1:$C$73,2,FALSE),"NA")</f>
        <v>King</v>
      </c>
      <c r="L2028" t="str">
        <f>IFERROR(VLOOKUP(J2028,LUTs!$A$1:$C$73,3,FALSE),"NA")</f>
        <v>3South Puget Sound</v>
      </c>
      <c r="M2028" s="72" t="s">
        <v>16</v>
      </c>
      <c r="N2028" t="str">
        <f>VLOOKUP(M2028,LUTs!E$2:H$14,3,)</f>
        <v>03Snohomish</v>
      </c>
      <c r="O2028" t="str">
        <f>VLOOKUP(M2028,LUTs!E$2:H$14,4,)</f>
        <v>01North Puget Sound</v>
      </c>
      <c r="P2028" s="80">
        <v>14</v>
      </c>
      <c r="Q2028" s="103">
        <v>1</v>
      </c>
      <c r="R2028" s="74">
        <f>VLOOKUP(B2028,Readme!A$40:C$52,3,)*Q2028</f>
        <v>8.5399999999999991</v>
      </c>
    </row>
    <row r="2029" spans="1:18" ht="12" customHeight="1" x14ac:dyDescent="0.35">
      <c r="A2029" s="75">
        <v>1971</v>
      </c>
      <c r="B2029" s="80">
        <v>2018</v>
      </c>
      <c r="C2029" s="80">
        <v>12</v>
      </c>
      <c r="D2029" s="80">
        <f t="shared" si="115"/>
        <v>2018</v>
      </c>
      <c r="E2029" t="s">
        <v>38</v>
      </c>
      <c r="F2029" t="s">
        <v>143</v>
      </c>
      <c r="G2029" t="s">
        <v>86</v>
      </c>
      <c r="H2029" s="72" t="s">
        <v>204</v>
      </c>
      <c r="I2029" s="72" t="s">
        <v>46</v>
      </c>
      <c r="J2029" t="str">
        <f t="shared" ref="J2029:J2059" si="118">I2029</f>
        <v>Hoko River</v>
      </c>
      <c r="K2029" t="str">
        <f>IFERROR(VLOOKUP(J2029,LUTs!$A$1:$C$73,2,FALSE),"NA")</f>
        <v>Clallam</v>
      </c>
      <c r="L2029" t="str">
        <f>IFERROR(VLOOKUP(J2029,LUTs!$A$1:$C$73,3,FALSE),"NA")</f>
        <v>0Strait of Juan de Fuca</v>
      </c>
      <c r="M2029" s="72" t="s">
        <v>26</v>
      </c>
      <c r="N2029" t="str">
        <f>VLOOKUP(M2029,LUTs!E$2:H$14,3,)</f>
        <v>20Other</v>
      </c>
      <c r="O2029" t="str">
        <f>VLOOKUP(M2029,LUTs!E$2:H$14,4,)</f>
        <v>07Non Puget Sound</v>
      </c>
      <c r="P2029" s="80">
        <v>14</v>
      </c>
      <c r="Q2029" s="103">
        <v>7</v>
      </c>
      <c r="R2029" s="74">
        <f>VLOOKUP(B2029,Readme!A$40:C$52,3,)*Q2029</f>
        <v>59.779999999999994</v>
      </c>
    </row>
    <row r="2030" spans="1:18" ht="12" customHeight="1" x14ac:dyDescent="0.35">
      <c r="A2030" s="75">
        <v>1975</v>
      </c>
      <c r="B2030" s="80">
        <v>2018</v>
      </c>
      <c r="C2030" s="80">
        <v>12</v>
      </c>
      <c r="D2030" s="80">
        <f t="shared" si="115"/>
        <v>2018</v>
      </c>
      <c r="E2030" t="s">
        <v>38</v>
      </c>
      <c r="F2030" t="s">
        <v>143</v>
      </c>
      <c r="G2030" t="s">
        <v>86</v>
      </c>
      <c r="H2030" s="72" t="s">
        <v>237</v>
      </c>
      <c r="I2030" s="72" t="s">
        <v>79</v>
      </c>
      <c r="J2030" t="str">
        <f t="shared" si="118"/>
        <v>Lyre River</v>
      </c>
      <c r="K2030" t="str">
        <f>IFERROR(VLOOKUP(J2030,LUTs!$A$1:$C$73,2,FALSE),"NA")</f>
        <v>Clallam</v>
      </c>
      <c r="L2030" t="str">
        <f>IFERROR(VLOOKUP(J2030,LUTs!$A$1:$C$73,3,FALSE),"NA")</f>
        <v>0Strait of Juan de Fuca</v>
      </c>
      <c r="M2030" s="72" t="s">
        <v>22</v>
      </c>
      <c r="N2030" t="str">
        <f>VLOOKUP(M2030,LUTs!E$2:H$14,3,)</f>
        <v>09Mason</v>
      </c>
      <c r="O2030" t="str">
        <f>VLOOKUP(M2030,LUTs!E$2:H$14,4,)</f>
        <v>02South Puget Sound</v>
      </c>
      <c r="P2030" s="80">
        <v>14</v>
      </c>
      <c r="Q2030" s="103">
        <v>7</v>
      </c>
      <c r="R2030" s="74">
        <f>VLOOKUP(B2030,Readme!A$40:C$52,3,)*Q2030</f>
        <v>59.779999999999994</v>
      </c>
    </row>
    <row r="2031" spans="1:18" ht="12" customHeight="1" x14ac:dyDescent="0.35">
      <c r="A2031" s="75">
        <v>2047</v>
      </c>
      <c r="B2031" s="80">
        <v>2018</v>
      </c>
      <c r="C2031" s="80">
        <v>12</v>
      </c>
      <c r="D2031" s="80">
        <f t="shared" si="115"/>
        <v>2018</v>
      </c>
      <c r="E2031" t="s">
        <v>38</v>
      </c>
      <c r="F2031" t="s">
        <v>143</v>
      </c>
      <c r="G2031" t="s">
        <v>86</v>
      </c>
      <c r="H2031" s="72" t="s">
        <v>262</v>
      </c>
      <c r="I2031" s="72" t="s">
        <v>105</v>
      </c>
      <c r="J2031" t="str">
        <f t="shared" si="118"/>
        <v>Pilchuck Creek (Stillaguamish System)</v>
      </c>
      <c r="K2031" t="str">
        <f>IFERROR(VLOOKUP(J2031,LUTs!$A$1:$C$73,2,FALSE),"NA")</f>
        <v>Skagit/Snohomish</v>
      </c>
      <c r="L2031" t="str">
        <f>IFERROR(VLOOKUP(J2031,LUTs!$A$1:$C$73,3,FALSE),"NA")</f>
        <v>2Central Puget Sound</v>
      </c>
      <c r="M2031" s="72" t="s">
        <v>16</v>
      </c>
      <c r="N2031" t="str">
        <f>VLOOKUP(M2031,LUTs!E$2:H$14,3,)</f>
        <v>03Snohomish</v>
      </c>
      <c r="O2031" t="str">
        <f>VLOOKUP(M2031,LUTs!E$2:H$14,4,)</f>
        <v>01North Puget Sound</v>
      </c>
      <c r="P2031" s="80">
        <v>40</v>
      </c>
      <c r="Q2031" s="103">
        <v>20</v>
      </c>
      <c r="R2031" s="74">
        <f>VLOOKUP(B2031,Readme!A$40:C$52,3,)*Q2031</f>
        <v>170.79999999999998</v>
      </c>
    </row>
    <row r="2032" spans="1:18" ht="12" customHeight="1" x14ac:dyDescent="0.35">
      <c r="A2032" s="75">
        <v>1980</v>
      </c>
      <c r="B2032" s="80">
        <v>2018</v>
      </c>
      <c r="C2032" s="80">
        <v>12</v>
      </c>
      <c r="D2032" s="80">
        <f t="shared" si="115"/>
        <v>2018</v>
      </c>
      <c r="E2032" t="s">
        <v>38</v>
      </c>
      <c r="F2032" t="s">
        <v>143</v>
      </c>
      <c r="G2032" t="s">
        <v>86</v>
      </c>
      <c r="H2032" s="72" t="s">
        <v>212</v>
      </c>
      <c r="I2032" s="72" t="s">
        <v>54</v>
      </c>
      <c r="J2032" t="str">
        <f t="shared" si="118"/>
        <v>Puyallup River</v>
      </c>
      <c r="K2032" t="str">
        <f>IFERROR(VLOOKUP(J2032,LUTs!$A$1:$C$73,2,FALSE),"NA")</f>
        <v>Pierce</v>
      </c>
      <c r="L2032" t="str">
        <f>IFERROR(VLOOKUP(J2032,LUTs!$A$1:$C$73,3,FALSE),"NA")</f>
        <v>3South Puget Sound</v>
      </c>
      <c r="M2032" s="72" t="s">
        <v>20</v>
      </c>
      <c r="N2032" t="str">
        <f>VLOOKUP(M2032,LUTs!E$2:H$14,3,)</f>
        <v>07Pierce</v>
      </c>
      <c r="O2032" t="str">
        <f>VLOOKUP(M2032,LUTs!E$2:H$14,4,)</f>
        <v>02South Puget Sound</v>
      </c>
      <c r="P2032" s="80">
        <v>68</v>
      </c>
      <c r="Q2032" s="103">
        <v>0</v>
      </c>
      <c r="R2032" s="74">
        <f>VLOOKUP(B2032,Readme!A$40:C$52,3,)*Q2032</f>
        <v>0</v>
      </c>
    </row>
    <row r="2033" spans="1:18" ht="12" customHeight="1" x14ac:dyDescent="0.35">
      <c r="A2033" s="75">
        <v>1981</v>
      </c>
      <c r="B2033" s="80">
        <v>2018</v>
      </c>
      <c r="C2033" s="80">
        <v>12</v>
      </c>
      <c r="D2033" s="80">
        <f t="shared" si="115"/>
        <v>2018</v>
      </c>
      <c r="E2033" t="s">
        <v>38</v>
      </c>
      <c r="F2033" t="s">
        <v>143</v>
      </c>
      <c r="G2033" t="s">
        <v>86</v>
      </c>
      <c r="H2033" s="72" t="s">
        <v>244</v>
      </c>
      <c r="I2033" s="72" t="s">
        <v>95</v>
      </c>
      <c r="J2033" t="str">
        <f t="shared" si="118"/>
        <v>Sekiu River</v>
      </c>
      <c r="K2033" t="str">
        <f>IFERROR(VLOOKUP(J2033,LUTs!$A$1:$C$73,2,FALSE),"NA")</f>
        <v>Clallam</v>
      </c>
      <c r="L2033" t="str">
        <f>IFERROR(VLOOKUP(J2033,LUTs!$A$1:$C$73,3,FALSE),"NA")</f>
        <v>0Strait of Juan de Fuca</v>
      </c>
      <c r="M2033" s="72" t="s">
        <v>24</v>
      </c>
      <c r="N2033" t="str">
        <f>VLOOKUP(M2033,LUTs!E$2:H$14,3,)</f>
        <v>11Clallam</v>
      </c>
      <c r="O2033" t="str">
        <f>VLOOKUP(M2033,LUTs!E$2:H$14,4,)</f>
        <v>03Strait of Juan de Fuca</v>
      </c>
      <c r="P2033" s="80">
        <v>14</v>
      </c>
      <c r="Q2033" s="103">
        <v>7</v>
      </c>
      <c r="R2033" s="74">
        <f>VLOOKUP(B2033,Readme!A$40:C$52,3,)*Q2033</f>
        <v>59.779999999999994</v>
      </c>
    </row>
    <row r="2034" spans="1:18" ht="12" customHeight="1" x14ac:dyDescent="0.35">
      <c r="A2034" s="75">
        <v>2014</v>
      </c>
      <c r="B2034" s="80">
        <v>2018</v>
      </c>
      <c r="C2034" s="80">
        <v>12</v>
      </c>
      <c r="D2034" s="80">
        <f t="shared" si="115"/>
        <v>2018</v>
      </c>
      <c r="E2034" t="s">
        <v>38</v>
      </c>
      <c r="F2034" t="s">
        <v>143</v>
      </c>
      <c r="G2034" t="s">
        <v>86</v>
      </c>
      <c r="H2034" s="72" t="s">
        <v>220</v>
      </c>
      <c r="I2034" s="72" t="s">
        <v>62</v>
      </c>
      <c r="J2034" t="str">
        <f t="shared" si="118"/>
        <v>Skykomish River</v>
      </c>
      <c r="K2034" t="str">
        <f>IFERROR(VLOOKUP(J2034,LUTs!$A$1:$C$73,2,FALSE),"NA")</f>
        <v>Snohomish</v>
      </c>
      <c r="L2034" t="str">
        <f>IFERROR(VLOOKUP(J2034,LUTs!$A$1:$C$73,3,FALSE),"NA")</f>
        <v>2Central Puget Sound</v>
      </c>
      <c r="M2034" s="72" t="s">
        <v>18</v>
      </c>
      <c r="N2034" t="str">
        <f>VLOOKUP(M2034,LUTs!E$2:H$14,3,)</f>
        <v>06King</v>
      </c>
      <c r="O2034" t="str">
        <f>VLOOKUP(M2034,LUTs!E$2:H$14,4,)</f>
        <v>02South Puget Sound</v>
      </c>
      <c r="P2034" s="80">
        <v>93</v>
      </c>
      <c r="Q2034" s="103">
        <v>46.5</v>
      </c>
      <c r="R2034" s="74">
        <f>VLOOKUP(B2034,Readme!A$40:C$52,3,)*Q2034</f>
        <v>397.10999999999996</v>
      </c>
    </row>
    <row r="2035" spans="1:18" ht="12" customHeight="1" x14ac:dyDescent="0.35">
      <c r="A2035" s="75">
        <v>2015</v>
      </c>
      <c r="B2035" s="80">
        <v>2018</v>
      </c>
      <c r="C2035" s="80">
        <v>12</v>
      </c>
      <c r="D2035" s="80">
        <f t="shared" si="115"/>
        <v>2018</v>
      </c>
      <c r="E2035" t="s">
        <v>38</v>
      </c>
      <c r="F2035" t="s">
        <v>143</v>
      </c>
      <c r="G2035" t="s">
        <v>86</v>
      </c>
      <c r="H2035" s="72" t="s">
        <v>220</v>
      </c>
      <c r="I2035" s="72" t="s">
        <v>62</v>
      </c>
      <c r="J2035" t="str">
        <f t="shared" si="118"/>
        <v>Skykomish River</v>
      </c>
      <c r="K2035" t="str">
        <f>IFERROR(VLOOKUP(J2035,LUTs!$A$1:$C$73,2,FALSE),"NA")</f>
        <v>Snohomish</v>
      </c>
      <c r="L2035" t="str">
        <f>IFERROR(VLOOKUP(J2035,LUTs!$A$1:$C$73,3,FALSE),"NA")</f>
        <v>2Central Puget Sound</v>
      </c>
      <c r="M2035" s="72" t="s">
        <v>16</v>
      </c>
      <c r="N2035" t="str">
        <f>VLOOKUP(M2035,LUTs!E$2:H$14,3,)</f>
        <v>03Snohomish</v>
      </c>
      <c r="O2035" t="str">
        <f>VLOOKUP(M2035,LUTs!E$2:H$14,4,)</f>
        <v>01North Puget Sound</v>
      </c>
      <c r="P2035" s="80">
        <v>93</v>
      </c>
      <c r="Q2035" s="103">
        <v>46.5</v>
      </c>
      <c r="R2035" s="74">
        <f>VLOOKUP(B2035,Readme!A$40:C$52,3,)*Q2035</f>
        <v>397.10999999999996</v>
      </c>
    </row>
    <row r="2036" spans="1:18" ht="12" customHeight="1" x14ac:dyDescent="0.35">
      <c r="A2036" s="75">
        <v>2023</v>
      </c>
      <c r="B2036" s="80">
        <v>2018</v>
      </c>
      <c r="C2036" s="80">
        <v>12</v>
      </c>
      <c r="D2036" s="80">
        <f t="shared" si="115"/>
        <v>2018</v>
      </c>
      <c r="E2036" t="s">
        <v>38</v>
      </c>
      <c r="F2036" t="s">
        <v>143</v>
      </c>
      <c r="G2036" t="s">
        <v>86</v>
      </c>
      <c r="H2036" s="72" t="s">
        <v>247</v>
      </c>
      <c r="I2036" s="72" t="s">
        <v>98</v>
      </c>
      <c r="J2036" t="str">
        <f t="shared" si="118"/>
        <v>Skykomish River, No. Fork</v>
      </c>
      <c r="K2036" t="str">
        <f>IFERROR(VLOOKUP(J2036,LUTs!$A$1:$C$73,2,FALSE),"NA")</f>
        <v>Snohomish</v>
      </c>
      <c r="L2036" t="str">
        <f>IFERROR(VLOOKUP(J2036,LUTs!$A$1:$C$73,3,FALSE),"NA")</f>
        <v>2Central Puget Sound</v>
      </c>
      <c r="M2036" s="72" t="s">
        <v>18</v>
      </c>
      <c r="N2036" t="str">
        <f>VLOOKUP(M2036,LUTs!E$2:H$14,3,)</f>
        <v>06King</v>
      </c>
      <c r="O2036" t="str">
        <f>VLOOKUP(M2036,LUTs!E$2:H$14,4,)</f>
        <v>02South Puget Sound</v>
      </c>
      <c r="P2036" s="80">
        <v>6</v>
      </c>
      <c r="Q2036" s="103">
        <v>3</v>
      </c>
      <c r="R2036" s="74">
        <f>VLOOKUP(B2036,Readme!A$40:C$52,3,)*Q2036</f>
        <v>25.619999999999997</v>
      </c>
    </row>
    <row r="2037" spans="1:18" ht="12" customHeight="1" x14ac:dyDescent="0.35">
      <c r="A2037" s="75">
        <v>2030</v>
      </c>
      <c r="B2037" s="80">
        <v>2018</v>
      </c>
      <c r="C2037" s="80">
        <v>12</v>
      </c>
      <c r="D2037" s="80">
        <f t="shared" si="115"/>
        <v>2018</v>
      </c>
      <c r="E2037" t="s">
        <v>38</v>
      </c>
      <c r="F2037" t="s">
        <v>143</v>
      </c>
      <c r="G2037" t="s">
        <v>86</v>
      </c>
      <c r="H2037" s="72" t="s">
        <v>221</v>
      </c>
      <c r="I2037" s="72" t="s">
        <v>63</v>
      </c>
      <c r="J2037" t="str">
        <f t="shared" si="118"/>
        <v>Snohomish River</v>
      </c>
      <c r="K2037" t="str">
        <f>IFERROR(VLOOKUP(J2037,LUTs!$A$1:$C$73,2,FALSE),"NA")</f>
        <v>Snohomish</v>
      </c>
      <c r="L2037" t="str">
        <f>IFERROR(VLOOKUP(J2037,LUTs!$A$1:$C$73,3,FALSE),"NA")</f>
        <v>2Central Puget Sound</v>
      </c>
      <c r="M2037" s="72" t="s">
        <v>16</v>
      </c>
      <c r="N2037" t="str">
        <f>VLOOKUP(M2037,LUTs!E$2:H$14,3,)</f>
        <v>03Snohomish</v>
      </c>
      <c r="O2037" t="str">
        <f>VLOOKUP(M2037,LUTs!E$2:H$14,4,)</f>
        <v>01North Puget Sound</v>
      </c>
      <c r="P2037" s="80">
        <v>18</v>
      </c>
      <c r="Q2037" s="103">
        <v>9</v>
      </c>
      <c r="R2037" s="74">
        <f>VLOOKUP(B2037,Readme!A$40:C$52,3,)*Q2037</f>
        <v>76.859999999999985</v>
      </c>
    </row>
    <row r="2038" spans="1:18" ht="12" customHeight="1" x14ac:dyDescent="0.35">
      <c r="A2038" s="75">
        <v>2033</v>
      </c>
      <c r="B2038" s="80">
        <v>2018</v>
      </c>
      <c r="C2038" s="80">
        <v>12</v>
      </c>
      <c r="D2038" s="80">
        <f t="shared" si="115"/>
        <v>2018</v>
      </c>
      <c r="E2038" t="s">
        <v>38</v>
      </c>
      <c r="F2038" t="s">
        <v>143</v>
      </c>
      <c r="G2038" t="s">
        <v>86</v>
      </c>
      <c r="H2038" s="72" t="s">
        <v>222</v>
      </c>
      <c r="I2038" s="72" t="s">
        <v>64</v>
      </c>
      <c r="J2038" t="str">
        <f t="shared" si="118"/>
        <v>Snoqualmie River</v>
      </c>
      <c r="K2038" t="str">
        <f>IFERROR(VLOOKUP(J2038,LUTs!$A$1:$C$73,2,FALSE),"NA")</f>
        <v>Snohomish/King</v>
      </c>
      <c r="L2038" t="str">
        <f>IFERROR(VLOOKUP(J2038,LUTs!$A$1:$C$73,3,FALSE),"NA")</f>
        <v>2Central Puget Sound</v>
      </c>
      <c r="M2038" s="72" t="s">
        <v>18</v>
      </c>
      <c r="N2038" t="str">
        <f>VLOOKUP(M2038,LUTs!E$2:H$14,3,)</f>
        <v>06King</v>
      </c>
      <c r="O2038" t="str">
        <f>VLOOKUP(M2038,LUTs!E$2:H$14,4,)</f>
        <v>02South Puget Sound</v>
      </c>
      <c r="P2038" s="80">
        <v>58.181818181818201</v>
      </c>
      <c r="Q2038" s="103">
        <v>29.090909090909101</v>
      </c>
      <c r="R2038" s="74">
        <f>VLOOKUP(B2038,Readme!A$40:C$52,3,)*Q2038</f>
        <v>248.43636363636369</v>
      </c>
    </row>
    <row r="2039" spans="1:18" ht="12" customHeight="1" x14ac:dyDescent="0.35">
      <c r="A2039" s="75">
        <v>2034</v>
      </c>
      <c r="B2039" s="80">
        <v>2018</v>
      </c>
      <c r="C2039" s="80">
        <v>12</v>
      </c>
      <c r="D2039" s="80">
        <f t="shared" si="115"/>
        <v>2018</v>
      </c>
      <c r="E2039" t="s">
        <v>38</v>
      </c>
      <c r="F2039" t="s">
        <v>143</v>
      </c>
      <c r="G2039" t="s">
        <v>86</v>
      </c>
      <c r="H2039" s="72" t="s">
        <v>222</v>
      </c>
      <c r="I2039" s="72" t="s">
        <v>64</v>
      </c>
      <c r="J2039" t="str">
        <f t="shared" si="118"/>
        <v>Snoqualmie River</v>
      </c>
      <c r="K2039" t="str">
        <f>IFERROR(VLOOKUP(J2039,LUTs!$A$1:$C$73,2,FALSE),"NA")</f>
        <v>Snohomish/King</v>
      </c>
      <c r="L2039" t="str">
        <f>IFERROR(VLOOKUP(J2039,LUTs!$A$1:$C$73,3,FALSE),"NA")</f>
        <v>2Central Puget Sound</v>
      </c>
      <c r="M2039" s="72" t="s">
        <v>20</v>
      </c>
      <c r="N2039" t="str">
        <f>VLOOKUP(M2039,LUTs!E$2:H$14,3,)</f>
        <v>07Pierce</v>
      </c>
      <c r="O2039" t="str">
        <f>VLOOKUP(M2039,LUTs!E$2:H$14,4,)</f>
        <v>02South Puget Sound</v>
      </c>
      <c r="P2039" s="80">
        <v>5.8181818181818201</v>
      </c>
      <c r="Q2039" s="103">
        <v>2.9090909090909101</v>
      </c>
      <c r="R2039" s="74">
        <f>VLOOKUP(B2039,Readme!A$40:C$52,3,)*Q2039</f>
        <v>24.843636363636371</v>
      </c>
    </row>
    <row r="2040" spans="1:18" ht="12" customHeight="1" x14ac:dyDescent="0.35">
      <c r="A2040" s="75">
        <v>2049</v>
      </c>
      <c r="B2040" s="80">
        <v>2018</v>
      </c>
      <c r="C2040" s="80">
        <v>12</v>
      </c>
      <c r="D2040" s="80">
        <f t="shared" si="115"/>
        <v>2018</v>
      </c>
      <c r="E2040" t="s">
        <v>38</v>
      </c>
      <c r="F2040" t="s">
        <v>143</v>
      </c>
      <c r="G2040" t="s">
        <v>86</v>
      </c>
      <c r="H2040" s="72" t="s">
        <v>223</v>
      </c>
      <c r="I2040" s="72" t="s">
        <v>103</v>
      </c>
      <c r="J2040" t="str">
        <f t="shared" si="118"/>
        <v>Stillaguamish R, No. Fork</v>
      </c>
      <c r="K2040" t="str">
        <f>IFERROR(VLOOKUP(J2040,LUTs!$A$1:$C$73,2,FALSE),"NA")</f>
        <v>Snohomish</v>
      </c>
      <c r="L2040" t="str">
        <f>IFERROR(VLOOKUP(J2040,LUTs!$A$1:$C$73,3,FALSE),"NA")</f>
        <v>2Central Puget Sound</v>
      </c>
      <c r="M2040" s="72" t="s">
        <v>16</v>
      </c>
      <c r="N2040" t="str">
        <f>VLOOKUP(M2040,LUTs!E$2:H$14,3,)</f>
        <v>03Snohomish</v>
      </c>
      <c r="O2040" t="str">
        <f>VLOOKUP(M2040,LUTs!E$2:H$14,4,)</f>
        <v>01North Puget Sound</v>
      </c>
      <c r="P2040" s="80">
        <v>40</v>
      </c>
      <c r="Q2040" s="103">
        <v>20</v>
      </c>
      <c r="R2040" s="74">
        <f>VLOOKUP(B2040,Readme!A$40:C$52,3,)*Q2040</f>
        <v>170.79999999999998</v>
      </c>
    </row>
    <row r="2041" spans="1:18" ht="12" customHeight="1" x14ac:dyDescent="0.35">
      <c r="A2041" s="75">
        <v>2042</v>
      </c>
      <c r="B2041" s="80">
        <v>2018</v>
      </c>
      <c r="C2041" s="80">
        <v>12</v>
      </c>
      <c r="D2041" s="80">
        <f t="shared" si="115"/>
        <v>2018</v>
      </c>
      <c r="E2041" t="s">
        <v>38</v>
      </c>
      <c r="F2041" t="s">
        <v>143</v>
      </c>
      <c r="G2041" t="s">
        <v>86</v>
      </c>
      <c r="H2041" s="72" t="s">
        <v>233</v>
      </c>
      <c r="I2041" s="72" t="s">
        <v>76</v>
      </c>
      <c r="J2041" t="str">
        <f t="shared" si="118"/>
        <v>Wallace River</v>
      </c>
      <c r="K2041" t="str">
        <f>IFERROR(VLOOKUP(J2041,LUTs!$A$1:$C$73,2,FALSE),"NA")</f>
        <v>Snohomish</v>
      </c>
      <c r="L2041" t="str">
        <f>IFERROR(VLOOKUP(J2041,LUTs!$A$1:$C$73,3,FALSE),"NA")</f>
        <v>2Central Puget Sound</v>
      </c>
      <c r="M2041" s="72" t="s">
        <v>16</v>
      </c>
      <c r="N2041" t="str">
        <f>VLOOKUP(M2041,LUTs!E$2:H$14,3,)</f>
        <v>03Snohomish</v>
      </c>
      <c r="O2041" t="str">
        <f>VLOOKUP(M2041,LUTs!E$2:H$14,4,)</f>
        <v>01North Puget Sound</v>
      </c>
      <c r="P2041" s="80">
        <v>18</v>
      </c>
      <c r="Q2041" s="103">
        <v>9</v>
      </c>
      <c r="R2041" s="74">
        <f>VLOOKUP(B2041,Readme!A$40:C$52,3,)*Q2041</f>
        <v>76.859999999999985</v>
      </c>
    </row>
    <row r="2042" spans="1:18" ht="12" customHeight="1" x14ac:dyDescent="0.35">
      <c r="A2042" s="75">
        <v>1967</v>
      </c>
      <c r="B2042" s="80">
        <v>2019</v>
      </c>
      <c r="C2042" s="80">
        <v>1</v>
      </c>
      <c r="D2042" s="80">
        <f t="shared" si="115"/>
        <v>2018</v>
      </c>
      <c r="E2042" t="s">
        <v>38</v>
      </c>
      <c r="F2042" t="s">
        <v>143</v>
      </c>
      <c r="G2042" t="s">
        <v>86</v>
      </c>
      <c r="H2042" s="72" t="s">
        <v>201</v>
      </c>
      <c r="I2042" s="72" t="s">
        <v>43</v>
      </c>
      <c r="J2042" t="str">
        <f t="shared" si="118"/>
        <v>Dungeness River</v>
      </c>
      <c r="K2042" t="str">
        <f>IFERROR(VLOOKUP(J2042,LUTs!$A$1:$C$73,2,FALSE),"NA")</f>
        <v>Clallam</v>
      </c>
      <c r="L2042" t="str">
        <f>IFERROR(VLOOKUP(J2042,LUTs!$A$1:$C$73,3,FALSE),"NA")</f>
        <v>0Strait of Juan de Fuca</v>
      </c>
      <c r="M2042" s="72" t="s">
        <v>24</v>
      </c>
      <c r="N2042" t="str">
        <f>VLOOKUP(M2042,LUTs!E$2:H$14,3,)</f>
        <v>11Clallam</v>
      </c>
      <c r="O2042" t="str">
        <f>VLOOKUP(M2042,LUTs!E$2:H$14,4,)</f>
        <v>03Strait of Juan de Fuca</v>
      </c>
      <c r="P2042" s="80">
        <v>14</v>
      </c>
      <c r="Q2042" s="103">
        <v>7</v>
      </c>
      <c r="R2042" s="74">
        <f>VLOOKUP(B2042,Readme!A$40:C$52,3,)*Q2042</f>
        <v>129.85</v>
      </c>
    </row>
    <row r="2043" spans="1:18" ht="12" customHeight="1" x14ac:dyDescent="0.35">
      <c r="A2043" s="75">
        <v>1972</v>
      </c>
      <c r="B2043" s="80">
        <v>2019</v>
      </c>
      <c r="C2043" s="80">
        <v>1</v>
      </c>
      <c r="D2043" s="80">
        <f t="shared" si="115"/>
        <v>2018</v>
      </c>
      <c r="E2043" t="s">
        <v>38</v>
      </c>
      <c r="F2043" t="s">
        <v>143</v>
      </c>
      <c r="G2043" t="s">
        <v>86</v>
      </c>
      <c r="H2043" s="72" t="s">
        <v>204</v>
      </c>
      <c r="I2043" s="72" t="s">
        <v>46</v>
      </c>
      <c r="J2043" t="str">
        <f t="shared" si="118"/>
        <v>Hoko River</v>
      </c>
      <c r="K2043" t="str">
        <f>IFERROR(VLOOKUP(J2043,LUTs!$A$1:$C$73,2,FALSE),"NA")</f>
        <v>Clallam</v>
      </c>
      <c r="L2043" t="str">
        <f>IFERROR(VLOOKUP(J2043,LUTs!$A$1:$C$73,3,FALSE),"NA")</f>
        <v>0Strait of Juan de Fuca</v>
      </c>
      <c r="M2043" s="72" t="s">
        <v>24</v>
      </c>
      <c r="N2043" t="str">
        <f>VLOOKUP(M2043,LUTs!E$2:H$14,3,)</f>
        <v>11Clallam</v>
      </c>
      <c r="O2043" t="str">
        <f>VLOOKUP(M2043,LUTs!E$2:H$14,4,)</f>
        <v>03Strait of Juan de Fuca</v>
      </c>
      <c r="P2043" s="80">
        <v>28</v>
      </c>
      <c r="Q2043" s="103">
        <v>14</v>
      </c>
      <c r="R2043" s="74">
        <f>VLOOKUP(B2043,Readme!A$40:C$52,3,)*Q2043</f>
        <v>259.7</v>
      </c>
    </row>
    <row r="2044" spans="1:18" ht="12" customHeight="1" x14ac:dyDescent="0.35">
      <c r="A2044" s="75">
        <v>1979</v>
      </c>
      <c r="B2044" s="80">
        <v>2019</v>
      </c>
      <c r="C2044" s="80">
        <v>1</v>
      </c>
      <c r="D2044" s="80">
        <f t="shared" si="115"/>
        <v>2018</v>
      </c>
      <c r="E2044" t="s">
        <v>38</v>
      </c>
      <c r="F2044" t="s">
        <v>143</v>
      </c>
      <c r="G2044" t="s">
        <v>86</v>
      </c>
      <c r="H2044" s="72" t="s">
        <v>241</v>
      </c>
      <c r="I2044" s="72" t="s">
        <v>83</v>
      </c>
      <c r="J2044" t="str">
        <f t="shared" si="118"/>
        <v>Nooksack River, below North Fork</v>
      </c>
      <c r="K2044" t="str">
        <f>IFERROR(VLOOKUP(J2044,LUTs!$A$1:$C$73,2,FALSE),"NA")</f>
        <v>Whatcom</v>
      </c>
      <c r="L2044" t="str">
        <f>IFERROR(VLOOKUP(J2044,LUTs!$A$1:$C$73,3,FALSE),"NA")</f>
        <v>1North Puget Sound</v>
      </c>
      <c r="M2044" s="72" t="s">
        <v>13</v>
      </c>
      <c r="N2044" t="str">
        <f>VLOOKUP(M2044,LUTs!E$2:H$14,3,)</f>
        <v>01Whatcom</v>
      </c>
      <c r="O2044" t="str">
        <f>VLOOKUP(M2044,LUTs!E$2:H$14,4,)</f>
        <v>01North Puget Sound</v>
      </c>
      <c r="P2044" s="80">
        <v>40</v>
      </c>
      <c r="Q2044" s="103">
        <v>20</v>
      </c>
      <c r="R2044" s="74">
        <f>VLOOKUP(B2044,Readme!A$40:C$52,3,)*Q2044</f>
        <v>371</v>
      </c>
    </row>
    <row r="2045" spans="1:18" ht="12" customHeight="1" x14ac:dyDescent="0.35">
      <c r="A2045" s="75">
        <v>1990</v>
      </c>
      <c r="B2045" s="80">
        <v>2019</v>
      </c>
      <c r="C2045" s="80">
        <v>1</v>
      </c>
      <c r="D2045" s="80">
        <f t="shared" si="115"/>
        <v>2018</v>
      </c>
      <c r="E2045" t="s">
        <v>38</v>
      </c>
      <c r="F2045" t="s">
        <v>143</v>
      </c>
      <c r="G2045" t="s">
        <v>86</v>
      </c>
      <c r="H2045" s="72" t="s">
        <v>218</v>
      </c>
      <c r="I2045" s="72" t="s">
        <v>60</v>
      </c>
      <c r="J2045" t="str">
        <f t="shared" si="118"/>
        <v>Skagit River</v>
      </c>
      <c r="K2045" t="str">
        <f>IFERROR(VLOOKUP(J2045,LUTs!$A$1:$C$73,2,FALSE),"NA")</f>
        <v>Skagit/Whatcom</v>
      </c>
      <c r="L2045" t="str">
        <f>IFERROR(VLOOKUP(J2045,LUTs!$A$1:$C$73,3,FALSE),"NA")</f>
        <v>2Central Puget Sound</v>
      </c>
      <c r="M2045" s="72" t="s">
        <v>18</v>
      </c>
      <c r="N2045" t="str">
        <f>VLOOKUP(M2045,LUTs!E$2:H$14,3,)</f>
        <v>06King</v>
      </c>
      <c r="O2045" t="str">
        <f>VLOOKUP(M2045,LUTs!E$2:H$14,4,)</f>
        <v>02South Puget Sound</v>
      </c>
      <c r="P2045" s="80">
        <v>14</v>
      </c>
      <c r="Q2045" s="103">
        <v>7</v>
      </c>
      <c r="R2045" s="74">
        <f>VLOOKUP(B2045,Readme!A$40:C$52,3,)*Q2045</f>
        <v>129.85</v>
      </c>
    </row>
    <row r="2046" spans="1:18" ht="12" customHeight="1" x14ac:dyDescent="0.35">
      <c r="A2046" s="75">
        <v>2016</v>
      </c>
      <c r="B2046" s="80">
        <v>2019</v>
      </c>
      <c r="C2046" s="80">
        <v>1</v>
      </c>
      <c r="D2046" s="80">
        <f t="shared" si="115"/>
        <v>2018</v>
      </c>
      <c r="E2046" t="s">
        <v>38</v>
      </c>
      <c r="F2046" t="s">
        <v>143</v>
      </c>
      <c r="G2046" t="s">
        <v>86</v>
      </c>
      <c r="H2046" s="72" t="s">
        <v>220</v>
      </c>
      <c r="I2046" s="72" t="s">
        <v>62</v>
      </c>
      <c r="J2046" t="str">
        <f t="shared" si="118"/>
        <v>Skykomish River</v>
      </c>
      <c r="K2046" t="str">
        <f>IFERROR(VLOOKUP(J2046,LUTs!$A$1:$C$73,2,FALSE),"NA")</f>
        <v>Snohomish</v>
      </c>
      <c r="L2046" t="str">
        <f>IFERROR(VLOOKUP(J2046,LUTs!$A$1:$C$73,3,FALSE),"NA")</f>
        <v>2Central Puget Sound</v>
      </c>
      <c r="M2046" s="72" t="s">
        <v>18</v>
      </c>
      <c r="N2046" t="str">
        <f>VLOOKUP(M2046,LUTs!E$2:H$14,3,)</f>
        <v>06King</v>
      </c>
      <c r="O2046" t="str">
        <f>VLOOKUP(M2046,LUTs!E$2:H$14,4,)</f>
        <v>02South Puget Sound</v>
      </c>
      <c r="P2046" s="80">
        <v>81.2</v>
      </c>
      <c r="Q2046" s="103">
        <v>40.6</v>
      </c>
      <c r="R2046" s="74">
        <f>VLOOKUP(B2046,Readme!A$40:C$52,3,)*Q2046</f>
        <v>753.13000000000011</v>
      </c>
    </row>
    <row r="2047" spans="1:18" ht="12" customHeight="1" x14ac:dyDescent="0.35">
      <c r="A2047" s="75">
        <v>2017</v>
      </c>
      <c r="B2047" s="80">
        <v>2019</v>
      </c>
      <c r="C2047" s="80">
        <v>1</v>
      </c>
      <c r="D2047" s="80">
        <f t="shared" si="115"/>
        <v>2018</v>
      </c>
      <c r="E2047" t="s">
        <v>38</v>
      </c>
      <c r="F2047" t="s">
        <v>143</v>
      </c>
      <c r="G2047" t="s">
        <v>86</v>
      </c>
      <c r="H2047" s="72" t="s">
        <v>220</v>
      </c>
      <c r="I2047" s="72" t="s">
        <v>62</v>
      </c>
      <c r="J2047" t="str">
        <f t="shared" si="118"/>
        <v>Skykomish River</v>
      </c>
      <c r="K2047" t="str">
        <f>IFERROR(VLOOKUP(J2047,LUTs!$A$1:$C$73,2,FALSE),"NA")</f>
        <v>Snohomish</v>
      </c>
      <c r="L2047" t="str">
        <f>IFERROR(VLOOKUP(J2047,LUTs!$A$1:$C$73,3,FALSE),"NA")</f>
        <v>2Central Puget Sound</v>
      </c>
      <c r="M2047" s="72" t="s">
        <v>16</v>
      </c>
      <c r="N2047" t="str">
        <f>VLOOKUP(M2047,LUTs!E$2:H$14,3,)</f>
        <v>03Snohomish</v>
      </c>
      <c r="O2047" t="str">
        <f>VLOOKUP(M2047,LUTs!E$2:H$14,4,)</f>
        <v>01North Puget Sound</v>
      </c>
      <c r="P2047" s="80">
        <v>92.8</v>
      </c>
      <c r="Q2047" s="103">
        <v>46.4</v>
      </c>
      <c r="R2047" s="74">
        <f>VLOOKUP(B2047,Readme!A$40:C$52,3,)*Q2047</f>
        <v>860.72</v>
      </c>
    </row>
    <row r="2048" spans="1:18" ht="12" customHeight="1" x14ac:dyDescent="0.35">
      <c r="A2048" s="75">
        <v>2031</v>
      </c>
      <c r="B2048" s="80">
        <v>2019</v>
      </c>
      <c r="C2048" s="80">
        <v>1</v>
      </c>
      <c r="D2048" s="80">
        <f t="shared" si="115"/>
        <v>2018</v>
      </c>
      <c r="E2048" t="s">
        <v>38</v>
      </c>
      <c r="F2048" t="s">
        <v>143</v>
      </c>
      <c r="G2048" t="s">
        <v>86</v>
      </c>
      <c r="H2048" s="72" t="s">
        <v>221</v>
      </c>
      <c r="I2048" s="72" t="s">
        <v>63</v>
      </c>
      <c r="J2048" t="str">
        <f t="shared" si="118"/>
        <v>Snohomish River</v>
      </c>
      <c r="K2048" t="str">
        <f>IFERROR(VLOOKUP(J2048,LUTs!$A$1:$C$73,2,FALSE),"NA")</f>
        <v>Snohomish</v>
      </c>
      <c r="L2048" t="str">
        <f>IFERROR(VLOOKUP(J2048,LUTs!$A$1:$C$73,3,FALSE),"NA")</f>
        <v>2Central Puget Sound</v>
      </c>
      <c r="M2048" s="72" t="s">
        <v>16</v>
      </c>
      <c r="N2048" t="str">
        <f>VLOOKUP(M2048,LUTs!E$2:H$14,3,)</f>
        <v>03Snohomish</v>
      </c>
      <c r="O2048" t="str">
        <f>VLOOKUP(M2048,LUTs!E$2:H$14,4,)</f>
        <v>01North Puget Sound</v>
      </c>
      <c r="P2048" s="80">
        <v>12</v>
      </c>
      <c r="Q2048" s="103">
        <v>6</v>
      </c>
      <c r="R2048" s="74">
        <f>VLOOKUP(B2048,Readme!A$40:C$52,3,)*Q2048</f>
        <v>111.30000000000001</v>
      </c>
    </row>
    <row r="2049" spans="1:18" ht="12" customHeight="1" x14ac:dyDescent="0.35">
      <c r="A2049" s="75">
        <v>2035</v>
      </c>
      <c r="B2049" s="80">
        <v>2019</v>
      </c>
      <c r="C2049" s="80">
        <v>1</v>
      </c>
      <c r="D2049" s="80">
        <f t="shared" si="115"/>
        <v>2018</v>
      </c>
      <c r="E2049" t="s">
        <v>38</v>
      </c>
      <c r="F2049" t="s">
        <v>143</v>
      </c>
      <c r="G2049" t="s">
        <v>86</v>
      </c>
      <c r="H2049" s="72" t="s">
        <v>222</v>
      </c>
      <c r="I2049" s="72" t="s">
        <v>64</v>
      </c>
      <c r="J2049" t="str">
        <f t="shared" si="118"/>
        <v>Snoqualmie River</v>
      </c>
      <c r="K2049" t="str">
        <f>IFERROR(VLOOKUP(J2049,LUTs!$A$1:$C$73,2,FALSE),"NA")</f>
        <v>Snohomish/King</v>
      </c>
      <c r="L2049" t="str">
        <f>IFERROR(VLOOKUP(J2049,LUTs!$A$1:$C$73,3,FALSE),"NA")</f>
        <v>2Central Puget Sound</v>
      </c>
      <c r="M2049" s="72" t="s">
        <v>18</v>
      </c>
      <c r="N2049" t="str">
        <f>VLOOKUP(M2049,LUTs!E$2:H$14,3,)</f>
        <v>06King</v>
      </c>
      <c r="O2049" t="str">
        <f>VLOOKUP(M2049,LUTs!E$2:H$14,4,)</f>
        <v>02South Puget Sound</v>
      </c>
      <c r="P2049" s="80">
        <v>6</v>
      </c>
      <c r="Q2049" s="103">
        <v>3</v>
      </c>
      <c r="R2049" s="74">
        <f>VLOOKUP(B2049,Readme!A$40:C$52,3,)*Q2049</f>
        <v>55.650000000000006</v>
      </c>
    </row>
    <row r="2050" spans="1:18" ht="12" customHeight="1" x14ac:dyDescent="0.35">
      <c r="A2050" s="75">
        <v>2037</v>
      </c>
      <c r="B2050" s="80">
        <v>2019</v>
      </c>
      <c r="C2050" s="80">
        <v>1</v>
      </c>
      <c r="D2050" s="80">
        <f t="shared" ref="D2050:D2113" si="119">IF(C2050&gt;3,B2050,B2050-1)</f>
        <v>2018</v>
      </c>
      <c r="E2050" t="s">
        <v>38</v>
      </c>
      <c r="F2050" t="s">
        <v>143</v>
      </c>
      <c r="G2050" t="s">
        <v>86</v>
      </c>
      <c r="H2050" s="72" t="s">
        <v>250</v>
      </c>
      <c r="I2050" s="72" t="s">
        <v>101</v>
      </c>
      <c r="J2050" t="str">
        <f t="shared" si="118"/>
        <v>Tokul Creek</v>
      </c>
      <c r="K2050" t="str">
        <f>IFERROR(VLOOKUP(J2050,LUTs!$A$1:$C$73,2,FALSE),"NA")</f>
        <v>King</v>
      </c>
      <c r="L2050" t="str">
        <f>IFERROR(VLOOKUP(J2050,LUTs!$A$1:$C$73,3,FALSE),"NA")</f>
        <v>2Central Puget Sound</v>
      </c>
      <c r="M2050" s="72" t="s">
        <v>18</v>
      </c>
      <c r="N2050" t="str">
        <f>VLOOKUP(M2050,LUTs!E$2:H$14,3,)</f>
        <v>06King</v>
      </c>
      <c r="O2050" t="str">
        <f>VLOOKUP(M2050,LUTs!E$2:H$14,4,)</f>
        <v>02South Puget Sound</v>
      </c>
      <c r="P2050" s="80">
        <v>34</v>
      </c>
      <c r="Q2050" s="103">
        <v>17</v>
      </c>
      <c r="R2050" s="74">
        <f>VLOOKUP(B2050,Readme!A$40:C$52,3,)*Q2050</f>
        <v>315.35000000000002</v>
      </c>
    </row>
    <row r="2051" spans="1:18" ht="12" customHeight="1" x14ac:dyDescent="0.35">
      <c r="A2051" s="75">
        <v>2043</v>
      </c>
      <c r="B2051" s="80">
        <v>2019</v>
      </c>
      <c r="C2051" s="80">
        <v>1</v>
      </c>
      <c r="D2051" s="80">
        <f t="shared" si="119"/>
        <v>2018</v>
      </c>
      <c r="E2051" t="s">
        <v>38</v>
      </c>
      <c r="F2051" t="s">
        <v>143</v>
      </c>
      <c r="G2051" t="s">
        <v>86</v>
      </c>
      <c r="H2051" s="72" t="s">
        <v>233</v>
      </c>
      <c r="I2051" s="72" t="s">
        <v>76</v>
      </c>
      <c r="J2051" t="str">
        <f t="shared" si="118"/>
        <v>Wallace River</v>
      </c>
      <c r="K2051" t="str">
        <f>IFERROR(VLOOKUP(J2051,LUTs!$A$1:$C$73,2,FALSE),"NA")</f>
        <v>Snohomish</v>
      </c>
      <c r="L2051" t="str">
        <f>IFERROR(VLOOKUP(J2051,LUTs!$A$1:$C$73,3,FALSE),"NA")</f>
        <v>2Central Puget Sound</v>
      </c>
      <c r="M2051" s="72" t="s">
        <v>18</v>
      </c>
      <c r="N2051" t="str">
        <f>VLOOKUP(M2051,LUTs!E$2:H$14,3,)</f>
        <v>06King</v>
      </c>
      <c r="O2051" t="str">
        <f>VLOOKUP(M2051,LUTs!E$2:H$14,4,)</f>
        <v>02South Puget Sound</v>
      </c>
      <c r="P2051" s="80">
        <v>12</v>
      </c>
      <c r="Q2051" s="103">
        <v>6</v>
      </c>
      <c r="R2051" s="74">
        <f>VLOOKUP(B2051,Readme!A$40:C$52,3,)*Q2051</f>
        <v>111.30000000000001</v>
      </c>
    </row>
    <row r="2052" spans="1:18" ht="12" customHeight="1" x14ac:dyDescent="0.35">
      <c r="A2052" s="75">
        <v>2044</v>
      </c>
      <c r="B2052" s="80">
        <v>2019</v>
      </c>
      <c r="C2052" s="80">
        <v>1</v>
      </c>
      <c r="D2052" s="80">
        <f t="shared" si="119"/>
        <v>2018</v>
      </c>
      <c r="E2052" t="s">
        <v>38</v>
      </c>
      <c r="F2052" t="s">
        <v>143</v>
      </c>
      <c r="G2052" t="s">
        <v>86</v>
      </c>
      <c r="H2052" s="72" t="s">
        <v>233</v>
      </c>
      <c r="I2052" s="72" t="s">
        <v>76</v>
      </c>
      <c r="J2052" t="str">
        <f t="shared" si="118"/>
        <v>Wallace River</v>
      </c>
      <c r="K2052" t="str">
        <f>IFERROR(VLOOKUP(J2052,LUTs!$A$1:$C$73,2,FALSE),"NA")</f>
        <v>Snohomish</v>
      </c>
      <c r="L2052" t="str">
        <f>IFERROR(VLOOKUP(J2052,LUTs!$A$1:$C$73,3,FALSE),"NA")</f>
        <v>2Central Puget Sound</v>
      </c>
      <c r="M2052" s="72" t="s">
        <v>16</v>
      </c>
      <c r="N2052" t="str">
        <f>VLOOKUP(M2052,LUTs!E$2:H$14,3,)</f>
        <v>03Snohomish</v>
      </c>
      <c r="O2052" t="str">
        <f>VLOOKUP(M2052,LUTs!E$2:H$14,4,)</f>
        <v>01North Puget Sound</v>
      </c>
      <c r="P2052" s="80">
        <v>6</v>
      </c>
      <c r="Q2052" s="103">
        <v>3</v>
      </c>
      <c r="R2052" s="74">
        <f>VLOOKUP(B2052,Readme!A$40:C$52,3,)*Q2052</f>
        <v>55.650000000000006</v>
      </c>
    </row>
    <row r="2053" spans="1:18" ht="12" customHeight="1" x14ac:dyDescent="0.35">
      <c r="A2053" s="75">
        <v>1973</v>
      </c>
      <c r="B2053" s="80">
        <v>2019</v>
      </c>
      <c r="C2053" s="80">
        <v>2</v>
      </c>
      <c r="D2053" s="80">
        <f t="shared" si="119"/>
        <v>2018</v>
      </c>
      <c r="E2053" t="s">
        <v>38</v>
      </c>
      <c r="F2053" t="s">
        <v>143</v>
      </c>
      <c r="G2053" t="s">
        <v>86</v>
      </c>
      <c r="H2053" s="72" t="s">
        <v>204</v>
      </c>
      <c r="I2053" s="72" t="s">
        <v>46</v>
      </c>
      <c r="J2053" t="str">
        <f t="shared" si="118"/>
        <v>Hoko River</v>
      </c>
      <c r="K2053" t="str">
        <f>IFERROR(VLOOKUP(J2053,LUTs!$A$1:$C$73,2,FALSE),"NA")</f>
        <v>Clallam</v>
      </c>
      <c r="L2053" t="str">
        <f>IFERROR(VLOOKUP(J2053,LUTs!$A$1:$C$73,3,FALSE),"NA")</f>
        <v>0Strait of Juan de Fuca</v>
      </c>
      <c r="M2053" s="72" t="s">
        <v>24</v>
      </c>
      <c r="N2053" t="str">
        <f>VLOOKUP(M2053,LUTs!E$2:H$14,3,)</f>
        <v>11Clallam</v>
      </c>
      <c r="O2053" t="str">
        <f>VLOOKUP(M2053,LUTs!E$2:H$14,4,)</f>
        <v>03Strait of Juan de Fuca</v>
      </c>
      <c r="P2053" s="80">
        <v>14</v>
      </c>
      <c r="Q2053" s="103">
        <v>7</v>
      </c>
      <c r="R2053" s="74">
        <f>VLOOKUP(B2053,Readme!A$40:C$52,3,)*Q2053</f>
        <v>129.85</v>
      </c>
    </row>
    <row r="2054" spans="1:18" ht="12" customHeight="1" x14ac:dyDescent="0.35">
      <c r="A2054" s="75">
        <v>1977</v>
      </c>
      <c r="B2054" s="80">
        <v>2019</v>
      </c>
      <c r="C2054" s="80">
        <v>2</v>
      </c>
      <c r="D2054" s="80">
        <f t="shared" si="119"/>
        <v>2018</v>
      </c>
      <c r="E2054" t="s">
        <v>38</v>
      </c>
      <c r="F2054" t="s">
        <v>143</v>
      </c>
      <c r="G2054" t="s">
        <v>86</v>
      </c>
      <c r="H2054" s="72" t="s">
        <v>239</v>
      </c>
      <c r="I2054" s="72" t="s">
        <v>92</v>
      </c>
      <c r="J2054" t="str">
        <f t="shared" si="118"/>
        <v>Nooksack River, No. Fork</v>
      </c>
      <c r="K2054" t="str">
        <f>IFERROR(VLOOKUP(J2054,LUTs!$A$1:$C$73,2,FALSE),"NA")</f>
        <v>Whatcom</v>
      </c>
      <c r="L2054" t="str">
        <f>IFERROR(VLOOKUP(J2054,LUTs!$A$1:$C$73,3,FALSE),"NA")</f>
        <v>1North Puget Sound</v>
      </c>
      <c r="M2054" s="72" t="s">
        <v>13</v>
      </c>
      <c r="N2054" t="str">
        <f>VLOOKUP(M2054,LUTs!E$2:H$14,3,)</f>
        <v>01Whatcom</v>
      </c>
      <c r="O2054" t="str">
        <f>VLOOKUP(M2054,LUTs!E$2:H$14,4,)</f>
        <v>01North Puget Sound</v>
      </c>
      <c r="P2054" s="80">
        <v>14</v>
      </c>
      <c r="Q2054" s="103">
        <v>7</v>
      </c>
      <c r="R2054" s="74">
        <f>VLOOKUP(B2054,Readme!A$40:C$52,3,)*Q2054</f>
        <v>129.85</v>
      </c>
    </row>
    <row r="2055" spans="1:18" ht="12" customHeight="1" x14ac:dyDescent="0.35">
      <c r="A2055" s="75">
        <v>2018</v>
      </c>
      <c r="B2055" s="80">
        <v>2019</v>
      </c>
      <c r="C2055" s="80">
        <v>2</v>
      </c>
      <c r="D2055" s="80">
        <f t="shared" si="119"/>
        <v>2018</v>
      </c>
      <c r="E2055" t="s">
        <v>38</v>
      </c>
      <c r="F2055" t="s">
        <v>143</v>
      </c>
      <c r="G2055" t="s">
        <v>86</v>
      </c>
      <c r="H2055" s="72" t="s">
        <v>220</v>
      </c>
      <c r="I2055" s="72" t="s">
        <v>62</v>
      </c>
      <c r="J2055" t="str">
        <f t="shared" si="118"/>
        <v>Skykomish River</v>
      </c>
      <c r="K2055" t="str">
        <f>IFERROR(VLOOKUP(J2055,LUTs!$A$1:$C$73,2,FALSE),"NA")</f>
        <v>Snohomish</v>
      </c>
      <c r="L2055" t="str">
        <f>IFERROR(VLOOKUP(J2055,LUTs!$A$1:$C$73,3,FALSE),"NA")</f>
        <v>2Central Puget Sound</v>
      </c>
      <c r="M2055" s="72" t="s">
        <v>18</v>
      </c>
      <c r="N2055" t="str">
        <f>VLOOKUP(M2055,LUTs!E$2:H$14,3,)</f>
        <v>06King</v>
      </c>
      <c r="O2055" t="str">
        <f>VLOOKUP(M2055,LUTs!E$2:H$14,4,)</f>
        <v>02South Puget Sound</v>
      </c>
      <c r="P2055" s="80">
        <v>6</v>
      </c>
      <c r="Q2055" s="103">
        <v>3</v>
      </c>
      <c r="R2055" s="74">
        <f>VLOOKUP(B2055,Readme!A$40:C$52,3,)*Q2055</f>
        <v>55.650000000000006</v>
      </c>
    </row>
    <row r="2056" spans="1:18" ht="12" customHeight="1" x14ac:dyDescent="0.35">
      <c r="A2056" s="75">
        <v>2050</v>
      </c>
      <c r="B2056" s="80">
        <v>2019</v>
      </c>
      <c r="C2056" s="80">
        <v>2</v>
      </c>
      <c r="D2056" s="80">
        <f t="shared" si="119"/>
        <v>2018</v>
      </c>
      <c r="E2056" t="s">
        <v>38</v>
      </c>
      <c r="F2056" t="s">
        <v>143</v>
      </c>
      <c r="G2056" t="s">
        <v>86</v>
      </c>
      <c r="H2056" s="72" t="s">
        <v>223</v>
      </c>
      <c r="I2056" s="72" t="s">
        <v>103</v>
      </c>
      <c r="J2056" t="str">
        <f t="shared" si="118"/>
        <v>Stillaguamish R, No. Fork</v>
      </c>
      <c r="K2056" t="str">
        <f>IFERROR(VLOOKUP(J2056,LUTs!$A$1:$C$73,2,FALSE),"NA")</f>
        <v>Snohomish</v>
      </c>
      <c r="L2056" t="str">
        <f>IFERROR(VLOOKUP(J2056,LUTs!$A$1:$C$73,3,FALSE),"NA")</f>
        <v>2Central Puget Sound</v>
      </c>
      <c r="M2056" s="72" t="s">
        <v>16</v>
      </c>
      <c r="N2056" t="str">
        <f>VLOOKUP(M2056,LUTs!E$2:H$14,3,)</f>
        <v>03Snohomish</v>
      </c>
      <c r="O2056" t="str">
        <f>VLOOKUP(M2056,LUTs!E$2:H$14,4,)</f>
        <v>01North Puget Sound</v>
      </c>
      <c r="P2056" s="80">
        <v>14</v>
      </c>
      <c r="Q2056" s="103">
        <v>7</v>
      </c>
      <c r="R2056" s="74">
        <f>VLOOKUP(B2056,Readme!A$40:C$52,3,)*Q2056</f>
        <v>129.85</v>
      </c>
    </row>
    <row r="2057" spans="1:18" ht="12" customHeight="1" x14ac:dyDescent="0.35">
      <c r="A2057" s="75">
        <v>1974</v>
      </c>
      <c r="B2057" s="80">
        <v>2019</v>
      </c>
      <c r="C2057" s="80">
        <v>3</v>
      </c>
      <c r="D2057" s="80">
        <f t="shared" si="119"/>
        <v>2018</v>
      </c>
      <c r="E2057" t="s">
        <v>38</v>
      </c>
      <c r="F2057" t="s">
        <v>143</v>
      </c>
      <c r="G2057" t="s">
        <v>86</v>
      </c>
      <c r="H2057" s="72" t="s">
        <v>204</v>
      </c>
      <c r="I2057" s="72" t="s">
        <v>46</v>
      </c>
      <c r="J2057" t="str">
        <f t="shared" si="118"/>
        <v>Hoko River</v>
      </c>
      <c r="K2057" t="str">
        <f>IFERROR(VLOOKUP(J2057,LUTs!$A$1:$C$73,2,FALSE),"NA")</f>
        <v>Clallam</v>
      </c>
      <c r="L2057" t="str">
        <f>IFERROR(VLOOKUP(J2057,LUTs!$A$1:$C$73,3,FALSE),"NA")</f>
        <v>0Strait of Juan de Fuca</v>
      </c>
      <c r="M2057" s="72" t="s">
        <v>24</v>
      </c>
      <c r="N2057" t="str">
        <f>VLOOKUP(M2057,LUTs!E$2:H$14,3,)</f>
        <v>11Clallam</v>
      </c>
      <c r="O2057" t="str">
        <f>VLOOKUP(M2057,LUTs!E$2:H$14,4,)</f>
        <v>03Strait of Juan de Fuca</v>
      </c>
      <c r="P2057" s="80">
        <v>14</v>
      </c>
      <c r="Q2057" s="103">
        <v>7</v>
      </c>
      <c r="R2057" s="74">
        <f>VLOOKUP(B2057,Readme!A$40:C$52,3,)*Q2057</f>
        <v>129.85</v>
      </c>
    </row>
    <row r="2058" spans="1:18" ht="12" customHeight="1" x14ac:dyDescent="0.35">
      <c r="A2058" s="75">
        <v>1985</v>
      </c>
      <c r="B2058" s="80">
        <v>2019</v>
      </c>
      <c r="C2058" s="80">
        <v>3</v>
      </c>
      <c r="D2058" s="80">
        <f t="shared" si="119"/>
        <v>2018</v>
      </c>
      <c r="E2058" t="s">
        <v>38</v>
      </c>
      <c r="F2058" t="s">
        <v>143</v>
      </c>
      <c r="G2058" t="s">
        <v>86</v>
      </c>
      <c r="H2058" s="72" t="s">
        <v>245</v>
      </c>
      <c r="I2058" s="72" t="s">
        <v>96</v>
      </c>
      <c r="J2058" t="str">
        <f t="shared" si="118"/>
        <v>Sauk River</v>
      </c>
      <c r="K2058" t="str">
        <f>IFERROR(VLOOKUP(J2058,LUTs!$A$1:$C$73,2,FALSE),"NA")</f>
        <v>Skagit/Snohomish</v>
      </c>
      <c r="L2058" t="str">
        <f>IFERROR(VLOOKUP(J2058,LUTs!$A$1:$C$73,3,FALSE),"NA")</f>
        <v>2Central Puget Sound</v>
      </c>
      <c r="M2058" s="72" t="s">
        <v>16</v>
      </c>
      <c r="N2058" t="str">
        <f>VLOOKUP(M2058,LUTs!E$2:H$14,3,)</f>
        <v>03Snohomish</v>
      </c>
      <c r="O2058" t="str">
        <f>VLOOKUP(M2058,LUTs!E$2:H$14,4,)</f>
        <v>01North Puget Sound</v>
      </c>
      <c r="P2058" s="80">
        <v>14</v>
      </c>
      <c r="Q2058" s="103">
        <v>7</v>
      </c>
      <c r="R2058" s="74">
        <f>VLOOKUP(B2058,Readme!A$40:C$52,3,)*Q2058</f>
        <v>129.85</v>
      </c>
    </row>
    <row r="2059" spans="1:18" ht="12" customHeight="1" x14ac:dyDescent="0.35">
      <c r="A2059" s="75">
        <v>2078</v>
      </c>
      <c r="B2059" s="80">
        <v>2019</v>
      </c>
      <c r="C2059" s="80">
        <v>4</v>
      </c>
      <c r="D2059" s="80">
        <f t="shared" si="119"/>
        <v>2019</v>
      </c>
      <c r="E2059" t="s">
        <v>38</v>
      </c>
      <c r="F2059" t="s">
        <v>143</v>
      </c>
      <c r="G2059" t="s">
        <v>86</v>
      </c>
      <c r="H2059" s="72" t="s">
        <v>218</v>
      </c>
      <c r="I2059" s="72" t="s">
        <v>60</v>
      </c>
      <c r="J2059" t="str">
        <f t="shared" si="118"/>
        <v>Skagit River</v>
      </c>
      <c r="K2059" t="str">
        <f>IFERROR(VLOOKUP(J2059,LUTs!$A$1:$C$73,2,FALSE),"NA")</f>
        <v>Skagit/Whatcom</v>
      </c>
      <c r="L2059" t="str">
        <f>IFERROR(VLOOKUP(J2059,LUTs!$A$1:$C$73,3,FALSE),"NA")</f>
        <v>2Central Puget Sound</v>
      </c>
      <c r="M2059" s="72" t="s">
        <v>15</v>
      </c>
      <c r="N2059" t="str">
        <f>VLOOKUP(M2059,LUTs!E$2:H$14,3,)</f>
        <v>02Skagit</v>
      </c>
      <c r="O2059" t="str">
        <f>VLOOKUP(M2059,LUTs!E$2:H$14,4,)</f>
        <v>01North Puget Sound</v>
      </c>
      <c r="P2059" s="80">
        <v>8</v>
      </c>
      <c r="Q2059" s="103">
        <v>4</v>
      </c>
      <c r="R2059" s="74">
        <f>VLOOKUP(B2059,Readme!A$40:C$52,3,)*Q2059</f>
        <v>74.2</v>
      </c>
    </row>
    <row r="2060" spans="1:18" ht="12" customHeight="1" x14ac:dyDescent="0.35">
      <c r="A2060" s="75">
        <v>2060</v>
      </c>
      <c r="B2060" s="80">
        <v>2019</v>
      </c>
      <c r="C2060" s="80">
        <v>5</v>
      </c>
      <c r="D2060" s="80">
        <f t="shared" si="119"/>
        <v>2019</v>
      </c>
      <c r="E2060" t="s">
        <v>38</v>
      </c>
      <c r="F2060" t="s">
        <v>143</v>
      </c>
      <c r="G2060" t="s">
        <v>86</v>
      </c>
      <c r="H2060" s="72" t="s">
        <v>203</v>
      </c>
      <c r="I2060" s="72" t="s">
        <v>89</v>
      </c>
      <c r="J2060" s="84" t="s">
        <v>45</v>
      </c>
      <c r="K2060" t="str">
        <f>IFERROR(VLOOKUP(J2060,LUTs!$A$1:$C$73,2,FALSE),"NA")</f>
        <v>King</v>
      </c>
      <c r="L2060" t="str">
        <f>IFERROR(VLOOKUP(J2060,LUTs!$A$1:$C$73,3,FALSE),"NA")</f>
        <v>3South Puget Sound</v>
      </c>
      <c r="M2060" s="72" t="s">
        <v>18</v>
      </c>
      <c r="N2060" t="str">
        <f>VLOOKUP(M2060,LUTs!E$2:H$14,3,)</f>
        <v>06King</v>
      </c>
      <c r="O2060" t="str">
        <f>VLOOKUP(M2060,LUTs!E$2:H$14,4,)</f>
        <v>02South Puget Sound</v>
      </c>
      <c r="P2060" s="80">
        <v>12</v>
      </c>
      <c r="Q2060" s="103">
        <v>6</v>
      </c>
      <c r="R2060" s="74">
        <f>VLOOKUP(B2060,Readme!A$40:C$52,3,)*Q2060</f>
        <v>111.30000000000001</v>
      </c>
    </row>
    <row r="2061" spans="1:18" ht="12" customHeight="1" x14ac:dyDescent="0.35">
      <c r="A2061" s="75">
        <v>2081</v>
      </c>
      <c r="B2061" s="80">
        <v>2019</v>
      </c>
      <c r="C2061" s="80">
        <v>5</v>
      </c>
      <c r="D2061" s="80">
        <f t="shared" si="119"/>
        <v>2019</v>
      </c>
      <c r="E2061" t="s">
        <v>38</v>
      </c>
      <c r="F2061" t="s">
        <v>143</v>
      </c>
      <c r="G2061" t="s">
        <v>86</v>
      </c>
      <c r="H2061" s="72" t="s">
        <v>220</v>
      </c>
      <c r="I2061" s="72" t="s">
        <v>62</v>
      </c>
      <c r="J2061" t="str">
        <f>I2061</f>
        <v>Skykomish River</v>
      </c>
      <c r="K2061" t="str">
        <f>IFERROR(VLOOKUP(J2061,LUTs!$A$1:$C$73,2,FALSE),"NA")</f>
        <v>Snohomish</v>
      </c>
      <c r="L2061" t="str">
        <f>IFERROR(VLOOKUP(J2061,LUTs!$A$1:$C$73,3,FALSE),"NA")</f>
        <v>2Central Puget Sound</v>
      </c>
      <c r="M2061" s="72" t="s">
        <v>18</v>
      </c>
      <c r="N2061" t="str">
        <f>VLOOKUP(M2061,LUTs!E$2:H$14,3,)</f>
        <v>06King</v>
      </c>
      <c r="O2061" t="str">
        <f>VLOOKUP(M2061,LUTs!E$2:H$14,4,)</f>
        <v>02South Puget Sound</v>
      </c>
      <c r="P2061" s="80">
        <v>31.3333333333333</v>
      </c>
      <c r="Q2061" s="103">
        <v>17</v>
      </c>
      <c r="R2061" s="74">
        <f>VLOOKUP(B2061,Readme!A$40:C$52,3,)*Q2061</f>
        <v>315.35000000000002</v>
      </c>
    </row>
    <row r="2062" spans="1:18" ht="12" customHeight="1" x14ac:dyDescent="0.35">
      <c r="A2062" s="75">
        <v>2082</v>
      </c>
      <c r="B2062" s="80">
        <v>2019</v>
      </c>
      <c r="C2062" s="80">
        <v>5</v>
      </c>
      <c r="D2062" s="80">
        <f t="shared" si="119"/>
        <v>2019</v>
      </c>
      <c r="E2062" t="s">
        <v>38</v>
      </c>
      <c r="F2062" t="s">
        <v>143</v>
      </c>
      <c r="G2062" t="s">
        <v>86</v>
      </c>
      <c r="H2062" s="72" t="s">
        <v>220</v>
      </c>
      <c r="I2062" s="72" t="s">
        <v>62</v>
      </c>
      <c r="J2062" t="str">
        <f>I2062</f>
        <v>Skykomish River</v>
      </c>
      <c r="K2062" t="str">
        <f>IFERROR(VLOOKUP(J2062,LUTs!$A$1:$C$73,2,FALSE),"NA")</f>
        <v>Snohomish</v>
      </c>
      <c r="L2062" t="str">
        <f>IFERROR(VLOOKUP(J2062,LUTs!$A$1:$C$73,3,FALSE),"NA")</f>
        <v>2Central Puget Sound</v>
      </c>
      <c r="M2062" s="72" t="s">
        <v>16</v>
      </c>
      <c r="N2062" t="str">
        <f>VLOOKUP(M2062,LUTs!E$2:H$14,3,)</f>
        <v>03Snohomish</v>
      </c>
      <c r="O2062" t="str">
        <f>VLOOKUP(M2062,LUTs!E$2:H$14,4,)</f>
        <v>01North Puget Sound</v>
      </c>
      <c r="P2062" s="80">
        <v>62.6666666666667</v>
      </c>
      <c r="Q2062" s="103">
        <v>34</v>
      </c>
      <c r="R2062" s="74">
        <f>VLOOKUP(B2062,Readme!A$40:C$52,3,)*Q2062</f>
        <v>630.70000000000005</v>
      </c>
    </row>
    <row r="2063" spans="1:18" ht="12" customHeight="1" x14ac:dyDescent="0.35">
      <c r="A2063" s="75">
        <v>2095</v>
      </c>
      <c r="B2063" s="80">
        <v>2019</v>
      </c>
      <c r="C2063" s="80">
        <v>5</v>
      </c>
      <c r="D2063" s="80">
        <f t="shared" si="119"/>
        <v>2019</v>
      </c>
      <c r="E2063" t="s">
        <v>38</v>
      </c>
      <c r="F2063" t="s">
        <v>143</v>
      </c>
      <c r="G2063" t="s">
        <v>86</v>
      </c>
      <c r="H2063" s="72" t="s">
        <v>221</v>
      </c>
      <c r="I2063" s="72" t="s">
        <v>63</v>
      </c>
      <c r="J2063" t="str">
        <f>I2063</f>
        <v>Snohomish River</v>
      </c>
      <c r="K2063" t="str">
        <f>IFERROR(VLOOKUP(J2063,LUTs!$A$1:$C$73,2,FALSE),"NA")</f>
        <v>Snohomish</v>
      </c>
      <c r="L2063" t="str">
        <f>IFERROR(VLOOKUP(J2063,LUTs!$A$1:$C$73,3,FALSE),"NA")</f>
        <v>2Central Puget Sound</v>
      </c>
      <c r="M2063" s="72" t="s">
        <v>16</v>
      </c>
      <c r="N2063" t="str">
        <f>VLOOKUP(M2063,LUTs!E$2:H$14,3,)</f>
        <v>03Snohomish</v>
      </c>
      <c r="O2063" t="str">
        <f>VLOOKUP(M2063,LUTs!E$2:H$14,4,)</f>
        <v>01North Puget Sound</v>
      </c>
      <c r="P2063" s="80">
        <v>10</v>
      </c>
      <c r="Q2063" s="103">
        <v>5</v>
      </c>
      <c r="R2063" s="74">
        <f>VLOOKUP(B2063,Readme!A$40:C$52,3,)*Q2063</f>
        <v>92.75</v>
      </c>
    </row>
    <row r="2064" spans="1:18" ht="12" customHeight="1" x14ac:dyDescent="0.35">
      <c r="A2064" s="75">
        <v>2061</v>
      </c>
      <c r="B2064" s="80">
        <v>2019</v>
      </c>
      <c r="C2064" s="80">
        <v>6</v>
      </c>
      <c r="D2064" s="80">
        <f t="shared" si="119"/>
        <v>2019</v>
      </c>
      <c r="E2064" t="s">
        <v>38</v>
      </c>
      <c r="F2064" t="s">
        <v>143</v>
      </c>
      <c r="G2064" t="s">
        <v>86</v>
      </c>
      <c r="H2064" s="72" t="s">
        <v>203</v>
      </c>
      <c r="I2064" s="72" t="s">
        <v>89</v>
      </c>
      <c r="J2064" s="84" t="s">
        <v>45</v>
      </c>
      <c r="K2064" t="str">
        <f>IFERROR(VLOOKUP(J2064,LUTs!$A$1:$C$73,2,FALSE),"NA")</f>
        <v>King</v>
      </c>
      <c r="L2064" t="str">
        <f>IFERROR(VLOOKUP(J2064,LUTs!$A$1:$C$73,3,FALSE),"NA")</f>
        <v>3South Puget Sound</v>
      </c>
      <c r="M2064" s="72" t="s">
        <v>18</v>
      </c>
      <c r="N2064" t="str">
        <f>VLOOKUP(M2064,LUTs!E$2:H$14,3,)</f>
        <v>06King</v>
      </c>
      <c r="O2064" t="str">
        <f>VLOOKUP(M2064,LUTs!E$2:H$14,4,)</f>
        <v>02South Puget Sound</v>
      </c>
      <c r="P2064" s="80">
        <v>36</v>
      </c>
      <c r="Q2064" s="103">
        <v>18</v>
      </c>
      <c r="R2064" s="74">
        <f>VLOOKUP(B2064,Readme!A$40:C$52,3,)*Q2064</f>
        <v>333.90000000000003</v>
      </c>
    </row>
    <row r="2065" spans="1:18" ht="12" customHeight="1" x14ac:dyDescent="0.35">
      <c r="A2065" s="75">
        <v>2062</v>
      </c>
      <c r="B2065" s="80">
        <v>2019</v>
      </c>
      <c r="C2065" s="80">
        <v>6</v>
      </c>
      <c r="D2065" s="80">
        <f t="shared" si="119"/>
        <v>2019</v>
      </c>
      <c r="E2065" t="s">
        <v>38</v>
      </c>
      <c r="F2065" t="s">
        <v>143</v>
      </c>
      <c r="G2065" t="s">
        <v>86</v>
      </c>
      <c r="H2065" s="72" t="s">
        <v>203</v>
      </c>
      <c r="I2065" s="72" t="s">
        <v>89</v>
      </c>
      <c r="J2065" s="84" t="s">
        <v>45</v>
      </c>
      <c r="K2065" t="str">
        <f>IFERROR(VLOOKUP(J2065,LUTs!$A$1:$C$73,2,FALSE),"NA")</f>
        <v>King</v>
      </c>
      <c r="L2065" t="str">
        <f>IFERROR(VLOOKUP(J2065,LUTs!$A$1:$C$73,3,FALSE),"NA")</f>
        <v>3South Puget Sound</v>
      </c>
      <c r="M2065" s="72" t="s">
        <v>20</v>
      </c>
      <c r="N2065" t="str">
        <f>VLOOKUP(M2065,LUTs!E$2:H$14,3,)</f>
        <v>07Pierce</v>
      </c>
      <c r="O2065" t="str">
        <f>VLOOKUP(M2065,LUTs!E$2:H$14,4,)</f>
        <v>02South Puget Sound</v>
      </c>
      <c r="P2065" s="80">
        <v>36</v>
      </c>
      <c r="Q2065" s="103">
        <v>18</v>
      </c>
      <c r="R2065" s="74">
        <f>VLOOKUP(B2065,Readme!A$40:C$52,3,)*Q2065</f>
        <v>333.90000000000003</v>
      </c>
    </row>
    <row r="2066" spans="1:18" ht="12" customHeight="1" x14ac:dyDescent="0.35">
      <c r="A2066" s="75">
        <v>2083</v>
      </c>
      <c r="B2066" s="80">
        <v>2019</v>
      </c>
      <c r="C2066" s="80">
        <v>6</v>
      </c>
      <c r="D2066" s="80">
        <f t="shared" si="119"/>
        <v>2019</v>
      </c>
      <c r="E2066" t="s">
        <v>38</v>
      </c>
      <c r="F2066" t="s">
        <v>143</v>
      </c>
      <c r="G2066" t="s">
        <v>86</v>
      </c>
      <c r="H2066" s="72" t="s">
        <v>220</v>
      </c>
      <c r="I2066" s="72" t="s">
        <v>62</v>
      </c>
      <c r="J2066" t="str">
        <f>I2066</f>
        <v>Skykomish River</v>
      </c>
      <c r="K2066" t="str">
        <f>IFERROR(VLOOKUP(J2066,LUTs!$A$1:$C$73,2,FALSE),"NA")</f>
        <v>Snohomish</v>
      </c>
      <c r="L2066" t="str">
        <f>IFERROR(VLOOKUP(J2066,LUTs!$A$1:$C$73,3,FALSE),"NA")</f>
        <v>2Central Puget Sound</v>
      </c>
      <c r="M2066" s="72" t="s">
        <v>18</v>
      </c>
      <c r="N2066" t="str">
        <f>VLOOKUP(M2066,LUTs!E$2:H$14,3,)</f>
        <v>06King</v>
      </c>
      <c r="O2066" t="str">
        <f>VLOOKUP(M2066,LUTs!E$2:H$14,4,)</f>
        <v>02South Puget Sound</v>
      </c>
      <c r="P2066" s="80">
        <v>67.5</v>
      </c>
      <c r="Q2066" s="103">
        <v>33.75</v>
      </c>
      <c r="R2066" s="74">
        <f>VLOOKUP(B2066,Readme!A$40:C$52,3,)*Q2066</f>
        <v>626.0625</v>
      </c>
    </row>
    <row r="2067" spans="1:18" ht="12" customHeight="1" x14ac:dyDescent="0.35">
      <c r="A2067" s="75">
        <v>2084</v>
      </c>
      <c r="B2067" s="80">
        <v>2019</v>
      </c>
      <c r="C2067" s="80">
        <v>6</v>
      </c>
      <c r="D2067" s="80">
        <f t="shared" si="119"/>
        <v>2019</v>
      </c>
      <c r="E2067" t="s">
        <v>38</v>
      </c>
      <c r="F2067" t="s">
        <v>143</v>
      </c>
      <c r="G2067" t="s">
        <v>86</v>
      </c>
      <c r="H2067" s="72" t="s">
        <v>220</v>
      </c>
      <c r="I2067" s="72" t="s">
        <v>62</v>
      </c>
      <c r="J2067" t="str">
        <f>I2067</f>
        <v>Skykomish River</v>
      </c>
      <c r="K2067" t="str">
        <f>IFERROR(VLOOKUP(J2067,LUTs!$A$1:$C$73,2,FALSE),"NA")</f>
        <v>Snohomish</v>
      </c>
      <c r="L2067" t="str">
        <f>IFERROR(VLOOKUP(J2067,LUTs!$A$1:$C$73,3,FALSE),"NA")</f>
        <v>2Central Puget Sound</v>
      </c>
      <c r="M2067" s="72" t="s">
        <v>20</v>
      </c>
      <c r="N2067" t="str">
        <f>VLOOKUP(M2067,LUTs!E$2:H$14,3,)</f>
        <v>07Pierce</v>
      </c>
      <c r="O2067" t="str">
        <f>VLOOKUP(M2067,LUTs!E$2:H$14,4,)</f>
        <v>02South Puget Sound</v>
      </c>
      <c r="P2067" s="80">
        <v>4.5</v>
      </c>
      <c r="Q2067" s="103">
        <v>2.25</v>
      </c>
      <c r="R2067" s="74">
        <f>VLOOKUP(B2067,Readme!A$40:C$52,3,)*Q2067</f>
        <v>41.737500000000004</v>
      </c>
    </row>
    <row r="2068" spans="1:18" ht="12" customHeight="1" x14ac:dyDescent="0.35">
      <c r="A2068" s="75">
        <v>2085</v>
      </c>
      <c r="B2068" s="80">
        <v>2019</v>
      </c>
      <c r="C2068" s="80">
        <v>6</v>
      </c>
      <c r="D2068" s="80">
        <f t="shared" si="119"/>
        <v>2019</v>
      </c>
      <c r="E2068" t="s">
        <v>38</v>
      </c>
      <c r="F2068" t="s">
        <v>143</v>
      </c>
      <c r="G2068" t="s">
        <v>86</v>
      </c>
      <c r="H2068" s="72" t="s">
        <v>220</v>
      </c>
      <c r="I2068" s="72" t="s">
        <v>62</v>
      </c>
      <c r="J2068" t="str">
        <f>I2068</f>
        <v>Skykomish River</v>
      </c>
      <c r="K2068" t="str">
        <f>IFERROR(VLOOKUP(J2068,LUTs!$A$1:$C$73,2,FALSE),"NA")</f>
        <v>Snohomish</v>
      </c>
      <c r="L2068" t="str">
        <f>IFERROR(VLOOKUP(J2068,LUTs!$A$1:$C$73,3,FALSE),"NA")</f>
        <v>2Central Puget Sound</v>
      </c>
      <c r="M2068" s="72" t="s">
        <v>16</v>
      </c>
      <c r="N2068" t="str">
        <f>VLOOKUP(M2068,LUTs!E$2:H$14,3,)</f>
        <v>03Snohomish</v>
      </c>
      <c r="O2068" t="str">
        <f>VLOOKUP(M2068,LUTs!E$2:H$14,4,)</f>
        <v>01North Puget Sound</v>
      </c>
      <c r="P2068" s="80">
        <v>108</v>
      </c>
      <c r="Q2068" s="103">
        <v>54</v>
      </c>
      <c r="R2068" s="74">
        <f>VLOOKUP(B2068,Readme!A$40:C$52,3,)*Q2068</f>
        <v>1001.7</v>
      </c>
    </row>
    <row r="2069" spans="1:18" ht="12" customHeight="1" x14ac:dyDescent="0.35">
      <c r="A2069" s="75">
        <v>2109</v>
      </c>
      <c r="B2069" s="80">
        <v>2019</v>
      </c>
      <c r="C2069" s="80">
        <v>7</v>
      </c>
      <c r="D2069" s="80">
        <f t="shared" si="119"/>
        <v>2019</v>
      </c>
      <c r="E2069" t="s">
        <v>38</v>
      </c>
      <c r="F2069" t="s">
        <v>143</v>
      </c>
      <c r="G2069" t="s">
        <v>86</v>
      </c>
      <c r="H2069" s="72" t="s">
        <v>254</v>
      </c>
      <c r="I2069" s="72" t="s">
        <v>33</v>
      </c>
      <c r="J2069" t="str">
        <f>I2069</f>
        <v>Area 9: Admiralty Inlet</v>
      </c>
      <c r="K2069" t="str">
        <f>IFERROR(VLOOKUP(J2069,LUTs!$A$1:$C$73,2,FALSE),"NA")</f>
        <v>NA</v>
      </c>
      <c r="L2069" t="str">
        <f>IFERROR(VLOOKUP(J2069,LUTs!$A$1:$C$73,3,FALSE),"NA")</f>
        <v>2Central Puget Sound</v>
      </c>
      <c r="M2069" s="72" t="s">
        <v>17</v>
      </c>
      <c r="N2069" t="str">
        <f>VLOOKUP(M2069,LUTs!E$2:H$14,3,)</f>
        <v>04Island</v>
      </c>
      <c r="O2069" t="str">
        <f>VLOOKUP(M2069,LUTs!E$2:H$14,4,)</f>
        <v>01North Puget Sound</v>
      </c>
      <c r="P2069" s="80">
        <v>10</v>
      </c>
      <c r="Q2069" s="103">
        <v>5</v>
      </c>
      <c r="R2069" s="74">
        <f>VLOOKUP(B2069,Readme!A$40:C$52,3,)*Q2069</f>
        <v>92.75</v>
      </c>
    </row>
    <row r="2070" spans="1:18" ht="12" customHeight="1" x14ac:dyDescent="0.35">
      <c r="A2070" s="75">
        <v>2063</v>
      </c>
      <c r="B2070" s="80">
        <v>2019</v>
      </c>
      <c r="C2070" s="80">
        <v>7</v>
      </c>
      <c r="D2070" s="80">
        <f t="shared" si="119"/>
        <v>2019</v>
      </c>
      <c r="E2070" t="s">
        <v>38</v>
      </c>
      <c r="F2070" t="s">
        <v>143</v>
      </c>
      <c r="G2070" t="s">
        <v>86</v>
      </c>
      <c r="H2070" s="72" t="s">
        <v>203</v>
      </c>
      <c r="I2070" s="72" t="s">
        <v>89</v>
      </c>
      <c r="J2070" s="84" t="s">
        <v>45</v>
      </c>
      <c r="K2070" t="str">
        <f>IFERROR(VLOOKUP(J2070,LUTs!$A$1:$C$73,2,FALSE),"NA")</f>
        <v>King</v>
      </c>
      <c r="L2070" t="str">
        <f>IFERROR(VLOOKUP(J2070,LUTs!$A$1:$C$73,3,FALSE),"NA")</f>
        <v>3South Puget Sound</v>
      </c>
      <c r="M2070" s="72" t="s">
        <v>18</v>
      </c>
      <c r="N2070" t="str">
        <f>VLOOKUP(M2070,LUTs!E$2:H$14,3,)</f>
        <v>06King</v>
      </c>
      <c r="O2070" t="str">
        <f>VLOOKUP(M2070,LUTs!E$2:H$14,4,)</f>
        <v>02South Puget Sound</v>
      </c>
      <c r="P2070" s="80">
        <v>48</v>
      </c>
      <c r="Q2070" s="103">
        <v>24</v>
      </c>
      <c r="R2070" s="74">
        <f>VLOOKUP(B2070,Readme!A$40:C$52,3,)*Q2070</f>
        <v>445.20000000000005</v>
      </c>
    </row>
    <row r="2071" spans="1:18" ht="12" customHeight="1" x14ac:dyDescent="0.35">
      <c r="A2071" s="75">
        <v>2064</v>
      </c>
      <c r="B2071" s="80">
        <v>2019</v>
      </c>
      <c r="C2071" s="80">
        <v>7</v>
      </c>
      <c r="D2071" s="80">
        <f t="shared" si="119"/>
        <v>2019</v>
      </c>
      <c r="E2071" t="s">
        <v>38</v>
      </c>
      <c r="F2071" t="s">
        <v>143</v>
      </c>
      <c r="G2071" t="s">
        <v>86</v>
      </c>
      <c r="H2071" s="72" t="s">
        <v>203</v>
      </c>
      <c r="I2071" s="72" t="s">
        <v>89</v>
      </c>
      <c r="J2071" s="84" t="s">
        <v>45</v>
      </c>
      <c r="K2071" t="str">
        <f>IFERROR(VLOOKUP(J2071,LUTs!$A$1:$C$73,2,FALSE),"NA")</f>
        <v>King</v>
      </c>
      <c r="L2071" t="str">
        <f>IFERROR(VLOOKUP(J2071,LUTs!$A$1:$C$73,3,FALSE),"NA")</f>
        <v>3South Puget Sound</v>
      </c>
      <c r="M2071" s="72" t="s">
        <v>20</v>
      </c>
      <c r="N2071" t="str">
        <f>VLOOKUP(M2071,LUTs!E$2:H$14,3,)</f>
        <v>07Pierce</v>
      </c>
      <c r="O2071" t="str">
        <f>VLOOKUP(M2071,LUTs!E$2:H$14,4,)</f>
        <v>02South Puget Sound</v>
      </c>
      <c r="P2071" s="80">
        <v>24</v>
      </c>
      <c r="Q2071" s="103">
        <v>12</v>
      </c>
      <c r="R2071" s="74">
        <f>VLOOKUP(B2071,Readme!A$40:C$52,3,)*Q2071</f>
        <v>222.60000000000002</v>
      </c>
    </row>
    <row r="2072" spans="1:18" ht="12" customHeight="1" x14ac:dyDescent="0.35">
      <c r="A2072" s="75">
        <v>2086</v>
      </c>
      <c r="B2072" s="80">
        <v>2019</v>
      </c>
      <c r="C2072" s="80">
        <v>7</v>
      </c>
      <c r="D2072" s="80">
        <f t="shared" si="119"/>
        <v>2019</v>
      </c>
      <c r="E2072" t="s">
        <v>38</v>
      </c>
      <c r="F2072" t="s">
        <v>143</v>
      </c>
      <c r="G2072" t="s">
        <v>86</v>
      </c>
      <c r="H2072" s="72" t="s">
        <v>220</v>
      </c>
      <c r="I2072" s="72" t="s">
        <v>62</v>
      </c>
      <c r="J2072" t="str">
        <f>I2072</f>
        <v>Skykomish River</v>
      </c>
      <c r="K2072" t="str">
        <f>IFERROR(VLOOKUP(J2072,LUTs!$A$1:$C$73,2,FALSE),"NA")</f>
        <v>Snohomish</v>
      </c>
      <c r="L2072" t="str">
        <f>IFERROR(VLOOKUP(J2072,LUTs!$A$1:$C$73,3,FALSE),"NA")</f>
        <v>2Central Puget Sound</v>
      </c>
      <c r="M2072" s="72" t="s">
        <v>18</v>
      </c>
      <c r="N2072" t="str">
        <f>VLOOKUP(M2072,LUTs!E$2:H$14,3,)</f>
        <v>06King</v>
      </c>
      <c r="O2072" t="str">
        <f>VLOOKUP(M2072,LUTs!E$2:H$14,4,)</f>
        <v>02South Puget Sound</v>
      </c>
      <c r="P2072" s="80">
        <v>40.32</v>
      </c>
      <c r="Q2072" s="103">
        <v>20.16</v>
      </c>
      <c r="R2072" s="74">
        <f>VLOOKUP(B2072,Readme!A$40:C$52,3,)*Q2072</f>
        <v>373.96800000000002</v>
      </c>
    </row>
    <row r="2073" spans="1:18" ht="12" customHeight="1" x14ac:dyDescent="0.35">
      <c r="A2073" s="75">
        <v>2087</v>
      </c>
      <c r="B2073" s="80">
        <v>2019</v>
      </c>
      <c r="C2073" s="80">
        <v>7</v>
      </c>
      <c r="D2073" s="80">
        <f t="shared" si="119"/>
        <v>2019</v>
      </c>
      <c r="E2073" t="s">
        <v>38</v>
      </c>
      <c r="F2073" t="s">
        <v>143</v>
      </c>
      <c r="G2073" t="s">
        <v>86</v>
      </c>
      <c r="H2073" s="72" t="s">
        <v>220</v>
      </c>
      <c r="I2073" s="72" t="s">
        <v>62</v>
      </c>
      <c r="J2073" t="str">
        <f>I2073</f>
        <v>Skykomish River</v>
      </c>
      <c r="K2073" t="str">
        <f>IFERROR(VLOOKUP(J2073,LUTs!$A$1:$C$73,2,FALSE),"NA")</f>
        <v>Snohomish</v>
      </c>
      <c r="L2073" t="str">
        <f>IFERROR(VLOOKUP(J2073,LUTs!$A$1:$C$73,3,FALSE),"NA")</f>
        <v>2Central Puget Sound</v>
      </c>
      <c r="M2073" s="72" t="s">
        <v>26</v>
      </c>
      <c r="N2073" t="str">
        <f>VLOOKUP(M2073,LUTs!E$2:H$14,3,)</f>
        <v>20Other</v>
      </c>
      <c r="O2073" t="str">
        <f>VLOOKUP(M2073,LUTs!E$2:H$14,4,)</f>
        <v>07Non Puget Sound</v>
      </c>
      <c r="P2073" s="80">
        <v>22.4</v>
      </c>
      <c r="Q2073" s="103">
        <v>11.2</v>
      </c>
      <c r="R2073" s="74">
        <f>VLOOKUP(B2073,Readme!A$40:C$52,3,)*Q2073</f>
        <v>207.76</v>
      </c>
    </row>
    <row r="2074" spans="1:18" ht="12" customHeight="1" x14ac:dyDescent="0.35">
      <c r="A2074" s="75">
        <v>2088</v>
      </c>
      <c r="B2074" s="80">
        <v>2019</v>
      </c>
      <c r="C2074" s="80">
        <v>7</v>
      </c>
      <c r="D2074" s="80">
        <f t="shared" si="119"/>
        <v>2019</v>
      </c>
      <c r="E2074" t="s">
        <v>38</v>
      </c>
      <c r="F2074" t="s">
        <v>143</v>
      </c>
      <c r="G2074" t="s">
        <v>86</v>
      </c>
      <c r="H2074" s="72" t="s">
        <v>220</v>
      </c>
      <c r="I2074" s="72" t="s">
        <v>62</v>
      </c>
      <c r="J2074" t="str">
        <f>I2074</f>
        <v>Skykomish River</v>
      </c>
      <c r="K2074" t="str">
        <f>IFERROR(VLOOKUP(J2074,LUTs!$A$1:$C$73,2,FALSE),"NA")</f>
        <v>Snohomish</v>
      </c>
      <c r="L2074" t="str">
        <f>IFERROR(VLOOKUP(J2074,LUTs!$A$1:$C$73,3,FALSE),"NA")</f>
        <v>2Central Puget Sound</v>
      </c>
      <c r="M2074" s="72" t="s">
        <v>16</v>
      </c>
      <c r="N2074" t="str">
        <f>VLOOKUP(M2074,LUTs!E$2:H$14,3,)</f>
        <v>03Snohomish</v>
      </c>
      <c r="O2074" t="str">
        <f>VLOOKUP(M2074,LUTs!E$2:H$14,4,)</f>
        <v>01North Puget Sound</v>
      </c>
      <c r="P2074" s="80">
        <v>49.28</v>
      </c>
      <c r="Q2074" s="103">
        <v>24.64</v>
      </c>
      <c r="R2074" s="74">
        <f>VLOOKUP(B2074,Readme!A$40:C$52,3,)*Q2074</f>
        <v>457.072</v>
      </c>
    </row>
    <row r="2075" spans="1:18" ht="12" customHeight="1" x14ac:dyDescent="0.35">
      <c r="A2075" s="75">
        <v>2065</v>
      </c>
      <c r="B2075" s="80">
        <v>2019</v>
      </c>
      <c r="C2075" s="80">
        <v>8</v>
      </c>
      <c r="D2075" s="80">
        <f t="shared" si="119"/>
        <v>2019</v>
      </c>
      <c r="E2075" t="s">
        <v>38</v>
      </c>
      <c r="F2075" t="s">
        <v>143</v>
      </c>
      <c r="G2075" t="s">
        <v>86</v>
      </c>
      <c r="H2075" s="72" t="s">
        <v>203</v>
      </c>
      <c r="I2075" s="72" t="s">
        <v>89</v>
      </c>
      <c r="J2075" s="84" t="s">
        <v>45</v>
      </c>
      <c r="K2075" t="str">
        <f>IFERROR(VLOOKUP(J2075,LUTs!$A$1:$C$73,2,FALSE),"NA")</f>
        <v>King</v>
      </c>
      <c r="L2075" t="str">
        <f>IFERROR(VLOOKUP(J2075,LUTs!$A$1:$C$73,3,FALSE),"NA")</f>
        <v>3South Puget Sound</v>
      </c>
      <c r="M2075" s="72" t="s">
        <v>18</v>
      </c>
      <c r="N2075" t="str">
        <f>VLOOKUP(M2075,LUTs!E$2:H$14,3,)</f>
        <v>06King</v>
      </c>
      <c r="O2075" t="str">
        <f>VLOOKUP(M2075,LUTs!E$2:H$14,4,)</f>
        <v>02South Puget Sound</v>
      </c>
      <c r="P2075" s="80">
        <v>24</v>
      </c>
      <c r="Q2075" s="103">
        <v>12</v>
      </c>
      <c r="R2075" s="74">
        <f>VLOOKUP(B2075,Readme!A$40:C$52,3,)*Q2075</f>
        <v>222.60000000000002</v>
      </c>
    </row>
    <row r="2076" spans="1:18" ht="12" customHeight="1" x14ac:dyDescent="0.35">
      <c r="A2076" s="75">
        <v>2066</v>
      </c>
      <c r="B2076" s="80">
        <v>2019</v>
      </c>
      <c r="C2076" s="80">
        <v>8</v>
      </c>
      <c r="D2076" s="80">
        <f t="shared" si="119"/>
        <v>2019</v>
      </c>
      <c r="E2076" t="s">
        <v>38</v>
      </c>
      <c r="F2076" t="s">
        <v>143</v>
      </c>
      <c r="G2076" t="s">
        <v>86</v>
      </c>
      <c r="H2076" s="72" t="s">
        <v>203</v>
      </c>
      <c r="I2076" s="72" t="s">
        <v>89</v>
      </c>
      <c r="J2076" s="84" t="s">
        <v>45</v>
      </c>
      <c r="K2076" t="str">
        <f>IFERROR(VLOOKUP(J2076,LUTs!$A$1:$C$73,2,FALSE),"NA")</f>
        <v>King</v>
      </c>
      <c r="L2076" t="str">
        <f>IFERROR(VLOOKUP(J2076,LUTs!$A$1:$C$73,3,FALSE),"NA")</f>
        <v>3South Puget Sound</v>
      </c>
      <c r="M2076" s="72" t="s">
        <v>20</v>
      </c>
      <c r="N2076" t="str">
        <f>VLOOKUP(M2076,LUTs!E$2:H$14,3,)</f>
        <v>07Pierce</v>
      </c>
      <c r="O2076" t="str">
        <f>VLOOKUP(M2076,LUTs!E$2:H$14,4,)</f>
        <v>02South Puget Sound</v>
      </c>
      <c r="P2076" s="80">
        <v>48</v>
      </c>
      <c r="Q2076" s="103">
        <v>24</v>
      </c>
      <c r="R2076" s="74">
        <f>VLOOKUP(B2076,Readme!A$40:C$52,3,)*Q2076</f>
        <v>445.20000000000005</v>
      </c>
    </row>
    <row r="2077" spans="1:18" ht="12" customHeight="1" x14ac:dyDescent="0.35">
      <c r="A2077" s="75">
        <v>2067</v>
      </c>
      <c r="B2077" s="80">
        <v>2019</v>
      </c>
      <c r="C2077" s="80">
        <v>8</v>
      </c>
      <c r="D2077" s="80">
        <f t="shared" si="119"/>
        <v>2019</v>
      </c>
      <c r="E2077" t="s">
        <v>38</v>
      </c>
      <c r="F2077" t="s">
        <v>143</v>
      </c>
      <c r="G2077" t="s">
        <v>86</v>
      </c>
      <c r="H2077" s="72" t="s">
        <v>203</v>
      </c>
      <c r="I2077" s="72" t="s">
        <v>89</v>
      </c>
      <c r="J2077" s="84" t="s">
        <v>45</v>
      </c>
      <c r="K2077" t="str">
        <f>IFERROR(VLOOKUP(J2077,LUTs!$A$1:$C$73,2,FALSE),"NA")</f>
        <v>King</v>
      </c>
      <c r="L2077" t="str">
        <f>IFERROR(VLOOKUP(J2077,LUTs!$A$1:$C$73,3,FALSE),"NA")</f>
        <v>3South Puget Sound</v>
      </c>
      <c r="M2077" s="72" t="s">
        <v>16</v>
      </c>
      <c r="N2077" t="str">
        <f>VLOOKUP(M2077,LUTs!E$2:H$14,3,)</f>
        <v>03Snohomish</v>
      </c>
      <c r="O2077" t="str">
        <f>VLOOKUP(M2077,LUTs!E$2:H$14,4,)</f>
        <v>01North Puget Sound</v>
      </c>
      <c r="P2077" s="80">
        <v>0</v>
      </c>
      <c r="Q2077" s="103">
        <v>0</v>
      </c>
      <c r="R2077" s="74">
        <f>VLOOKUP(B2077,Readme!A$40:C$52,3,)*Q2077</f>
        <v>0</v>
      </c>
    </row>
    <row r="2078" spans="1:18" ht="12" customHeight="1" x14ac:dyDescent="0.35">
      <c r="A2078" s="75">
        <v>2089</v>
      </c>
      <c r="B2078" s="80">
        <v>2019</v>
      </c>
      <c r="C2078" s="80">
        <v>8</v>
      </c>
      <c r="D2078" s="80">
        <f t="shared" si="119"/>
        <v>2019</v>
      </c>
      <c r="E2078" t="s">
        <v>38</v>
      </c>
      <c r="F2078" t="s">
        <v>143</v>
      </c>
      <c r="G2078" t="s">
        <v>86</v>
      </c>
      <c r="H2078" s="72" t="s">
        <v>220</v>
      </c>
      <c r="I2078" s="72" t="s">
        <v>62</v>
      </c>
      <c r="J2078" t="str">
        <f>I2078</f>
        <v>Skykomish River</v>
      </c>
      <c r="K2078" t="str">
        <f>IFERROR(VLOOKUP(J2078,LUTs!$A$1:$C$73,2,FALSE),"NA")</f>
        <v>Snohomish</v>
      </c>
      <c r="L2078" t="str">
        <f>IFERROR(VLOOKUP(J2078,LUTs!$A$1:$C$73,3,FALSE),"NA")</f>
        <v>2Central Puget Sound</v>
      </c>
      <c r="M2078" s="72" t="s">
        <v>18</v>
      </c>
      <c r="N2078" t="str">
        <f>VLOOKUP(M2078,LUTs!E$2:H$14,3,)</f>
        <v>06King</v>
      </c>
      <c r="O2078" t="str">
        <f>VLOOKUP(M2078,LUTs!E$2:H$14,4,)</f>
        <v>02South Puget Sound</v>
      </c>
      <c r="P2078" s="80">
        <v>4.4000000000000004</v>
      </c>
      <c r="Q2078" s="103">
        <v>2.2000000000000002</v>
      </c>
      <c r="R2078" s="74">
        <f>VLOOKUP(B2078,Readme!A$40:C$52,3,)*Q2078</f>
        <v>40.81</v>
      </c>
    </row>
    <row r="2079" spans="1:18" ht="12" customHeight="1" x14ac:dyDescent="0.35">
      <c r="A2079" s="75">
        <v>2090</v>
      </c>
      <c r="B2079" s="80">
        <v>2019</v>
      </c>
      <c r="C2079" s="80">
        <v>8</v>
      </c>
      <c r="D2079" s="80">
        <f t="shared" si="119"/>
        <v>2019</v>
      </c>
      <c r="E2079" t="s">
        <v>38</v>
      </c>
      <c r="F2079" t="s">
        <v>143</v>
      </c>
      <c r="G2079" t="s">
        <v>86</v>
      </c>
      <c r="H2079" s="72" t="s">
        <v>220</v>
      </c>
      <c r="I2079" s="72" t="s">
        <v>62</v>
      </c>
      <c r="J2079" t="str">
        <f>I2079</f>
        <v>Skykomish River</v>
      </c>
      <c r="K2079" t="str">
        <f>IFERROR(VLOOKUP(J2079,LUTs!$A$1:$C$73,2,FALSE),"NA")</f>
        <v>Snohomish</v>
      </c>
      <c r="L2079" t="str">
        <f>IFERROR(VLOOKUP(J2079,LUTs!$A$1:$C$73,3,FALSE),"NA")</f>
        <v>2Central Puget Sound</v>
      </c>
      <c r="M2079" s="72" t="s">
        <v>26</v>
      </c>
      <c r="N2079" t="str">
        <f>VLOOKUP(M2079,LUTs!E$2:H$14,3,)</f>
        <v>20Other</v>
      </c>
      <c r="O2079" t="str">
        <f>VLOOKUP(M2079,LUTs!E$2:H$14,4,)</f>
        <v>07Non Puget Sound</v>
      </c>
      <c r="P2079" s="80">
        <v>4.4000000000000004</v>
      </c>
      <c r="Q2079" s="103">
        <v>2.2000000000000002</v>
      </c>
      <c r="R2079" s="74">
        <f>VLOOKUP(B2079,Readme!A$40:C$52,3,)*Q2079</f>
        <v>40.81</v>
      </c>
    </row>
    <row r="2080" spans="1:18" ht="12" customHeight="1" x14ac:dyDescent="0.35">
      <c r="A2080" s="75">
        <v>2091</v>
      </c>
      <c r="B2080" s="80">
        <v>2019</v>
      </c>
      <c r="C2080" s="80">
        <v>8</v>
      </c>
      <c r="D2080" s="80">
        <f t="shared" si="119"/>
        <v>2019</v>
      </c>
      <c r="E2080" t="s">
        <v>38</v>
      </c>
      <c r="F2080" t="s">
        <v>143</v>
      </c>
      <c r="G2080" t="s">
        <v>86</v>
      </c>
      <c r="H2080" s="72" t="s">
        <v>220</v>
      </c>
      <c r="I2080" s="72" t="s">
        <v>62</v>
      </c>
      <c r="J2080" t="str">
        <f>I2080</f>
        <v>Skykomish River</v>
      </c>
      <c r="K2080" t="str">
        <f>IFERROR(VLOOKUP(J2080,LUTs!$A$1:$C$73,2,FALSE),"NA")</f>
        <v>Snohomish</v>
      </c>
      <c r="L2080" t="str">
        <f>IFERROR(VLOOKUP(J2080,LUTs!$A$1:$C$73,3,FALSE),"NA")</f>
        <v>2Central Puget Sound</v>
      </c>
      <c r="M2080" s="72" t="s">
        <v>16</v>
      </c>
      <c r="N2080" t="str">
        <f>VLOOKUP(M2080,LUTs!E$2:H$14,3,)</f>
        <v>03Snohomish</v>
      </c>
      <c r="O2080" t="str">
        <f>VLOOKUP(M2080,LUTs!E$2:H$14,4,)</f>
        <v>01North Puget Sound</v>
      </c>
      <c r="P2080" s="80">
        <v>13.2</v>
      </c>
      <c r="Q2080" s="103">
        <v>6.6</v>
      </c>
      <c r="R2080" s="74">
        <f>VLOOKUP(B2080,Readme!A$40:C$52,3,)*Q2080</f>
        <v>122.42999999999999</v>
      </c>
    </row>
    <row r="2081" spans="1:18" ht="12" customHeight="1" x14ac:dyDescent="0.35">
      <c r="A2081" s="75">
        <v>2068</v>
      </c>
      <c r="B2081" s="80">
        <v>2019</v>
      </c>
      <c r="C2081" s="80">
        <v>9</v>
      </c>
      <c r="D2081" s="80">
        <f t="shared" si="119"/>
        <v>2019</v>
      </c>
      <c r="E2081" t="s">
        <v>38</v>
      </c>
      <c r="F2081" t="s">
        <v>143</v>
      </c>
      <c r="G2081" t="s">
        <v>86</v>
      </c>
      <c r="H2081" s="72" t="s">
        <v>203</v>
      </c>
      <c r="I2081" s="72" t="s">
        <v>89</v>
      </c>
      <c r="J2081" s="84" t="s">
        <v>45</v>
      </c>
      <c r="K2081" t="str">
        <f>IFERROR(VLOOKUP(J2081,LUTs!$A$1:$C$73,2,FALSE),"NA")</f>
        <v>King</v>
      </c>
      <c r="L2081" t="str">
        <f>IFERROR(VLOOKUP(J2081,LUTs!$A$1:$C$73,3,FALSE),"NA")</f>
        <v>3South Puget Sound</v>
      </c>
      <c r="M2081" s="72" t="s">
        <v>18</v>
      </c>
      <c r="N2081" t="str">
        <f>VLOOKUP(M2081,LUTs!E$2:H$14,3,)</f>
        <v>06King</v>
      </c>
      <c r="O2081" t="str">
        <f>VLOOKUP(M2081,LUTs!E$2:H$14,4,)</f>
        <v>02South Puget Sound</v>
      </c>
      <c r="P2081" s="80">
        <v>107</v>
      </c>
      <c r="Q2081" s="103">
        <v>53.5</v>
      </c>
      <c r="R2081" s="74">
        <f>VLOOKUP(B2081,Readme!A$40:C$52,3,)*Q2081</f>
        <v>992.42500000000007</v>
      </c>
    </row>
    <row r="2082" spans="1:18" ht="12" customHeight="1" x14ac:dyDescent="0.35">
      <c r="A2082" s="75">
        <v>2069</v>
      </c>
      <c r="B2082" s="80">
        <v>2019</v>
      </c>
      <c r="C2082" s="80">
        <v>9</v>
      </c>
      <c r="D2082" s="80">
        <f t="shared" si="119"/>
        <v>2019</v>
      </c>
      <c r="E2082" t="s">
        <v>38</v>
      </c>
      <c r="F2082" t="s">
        <v>143</v>
      </c>
      <c r="G2082" t="s">
        <v>86</v>
      </c>
      <c r="H2082" s="72" t="s">
        <v>203</v>
      </c>
      <c r="I2082" s="72" t="s">
        <v>89</v>
      </c>
      <c r="J2082" s="84" t="s">
        <v>45</v>
      </c>
      <c r="K2082" t="str">
        <f>IFERROR(VLOOKUP(J2082,LUTs!$A$1:$C$73,2,FALSE),"NA")</f>
        <v>King</v>
      </c>
      <c r="L2082" t="str">
        <f>IFERROR(VLOOKUP(J2082,LUTs!$A$1:$C$73,3,FALSE),"NA")</f>
        <v>3South Puget Sound</v>
      </c>
      <c r="M2082" s="72" t="s">
        <v>20</v>
      </c>
      <c r="N2082" t="str">
        <f>VLOOKUP(M2082,LUTs!E$2:H$14,3,)</f>
        <v>07Pierce</v>
      </c>
      <c r="O2082" t="str">
        <f>VLOOKUP(M2082,LUTs!E$2:H$14,4,)</f>
        <v>02South Puget Sound</v>
      </c>
      <c r="P2082" s="80">
        <v>107</v>
      </c>
      <c r="Q2082" s="103">
        <v>53.5</v>
      </c>
      <c r="R2082" s="74">
        <f>VLOOKUP(B2082,Readme!A$40:C$52,3,)*Q2082</f>
        <v>992.42500000000007</v>
      </c>
    </row>
    <row r="2083" spans="1:18" ht="12" customHeight="1" x14ac:dyDescent="0.35">
      <c r="A2083" s="75">
        <v>2070</v>
      </c>
      <c r="B2083" s="80">
        <v>2019</v>
      </c>
      <c r="C2083" s="80">
        <v>9</v>
      </c>
      <c r="D2083" s="80">
        <f t="shared" si="119"/>
        <v>2019</v>
      </c>
      <c r="E2083" t="s">
        <v>38</v>
      </c>
      <c r="F2083" t="s">
        <v>143</v>
      </c>
      <c r="G2083" t="s">
        <v>86</v>
      </c>
      <c r="H2083" s="72" t="s">
        <v>203</v>
      </c>
      <c r="I2083" s="72" t="s">
        <v>89</v>
      </c>
      <c r="J2083" s="84" t="s">
        <v>45</v>
      </c>
      <c r="K2083" t="str">
        <f>IFERROR(VLOOKUP(J2083,LUTs!$A$1:$C$73,2,FALSE),"NA")</f>
        <v>King</v>
      </c>
      <c r="L2083" t="str">
        <f>IFERROR(VLOOKUP(J2083,LUTs!$A$1:$C$73,3,FALSE),"NA")</f>
        <v>3South Puget Sound</v>
      </c>
      <c r="M2083" s="72" t="s">
        <v>16</v>
      </c>
      <c r="N2083" t="str">
        <f>VLOOKUP(M2083,LUTs!E$2:H$14,3,)</f>
        <v>03Snohomish</v>
      </c>
      <c r="O2083" t="str">
        <f>VLOOKUP(M2083,LUTs!E$2:H$14,4,)</f>
        <v>01North Puget Sound</v>
      </c>
      <c r="P2083" s="80">
        <v>0</v>
      </c>
      <c r="Q2083" s="103">
        <v>0</v>
      </c>
      <c r="R2083" s="74">
        <f>VLOOKUP(B2083,Readme!A$40:C$52,3,)*Q2083</f>
        <v>0</v>
      </c>
    </row>
    <row r="2084" spans="1:18" ht="12" customHeight="1" x14ac:dyDescent="0.35">
      <c r="A2084" s="75">
        <v>2092</v>
      </c>
      <c r="B2084" s="80">
        <v>2019</v>
      </c>
      <c r="C2084" s="80">
        <v>9</v>
      </c>
      <c r="D2084" s="80">
        <f t="shared" si="119"/>
        <v>2019</v>
      </c>
      <c r="E2084" t="s">
        <v>38</v>
      </c>
      <c r="F2084" t="s">
        <v>143</v>
      </c>
      <c r="G2084" t="s">
        <v>86</v>
      </c>
      <c r="H2084" s="72" t="s">
        <v>220</v>
      </c>
      <c r="I2084" s="72" t="s">
        <v>62</v>
      </c>
      <c r="J2084" t="str">
        <f>I2084</f>
        <v>Skykomish River</v>
      </c>
      <c r="K2084" t="str">
        <f>IFERROR(VLOOKUP(J2084,LUTs!$A$1:$C$73,2,FALSE),"NA")</f>
        <v>Snohomish</v>
      </c>
      <c r="L2084" t="str">
        <f>IFERROR(VLOOKUP(J2084,LUTs!$A$1:$C$73,3,FALSE),"NA")</f>
        <v>2Central Puget Sound</v>
      </c>
      <c r="M2084" s="72" t="s">
        <v>16</v>
      </c>
      <c r="N2084" t="str">
        <f>VLOOKUP(M2084,LUTs!E$2:H$14,3,)</f>
        <v>03Snohomish</v>
      </c>
      <c r="O2084" t="str">
        <f>VLOOKUP(M2084,LUTs!E$2:H$14,4,)</f>
        <v>01North Puget Sound</v>
      </c>
      <c r="P2084" s="80">
        <v>14</v>
      </c>
      <c r="Q2084" s="103">
        <v>7</v>
      </c>
      <c r="R2084" s="74">
        <f>VLOOKUP(B2084,Readme!A$40:C$52,3,)*Q2084</f>
        <v>129.85</v>
      </c>
    </row>
    <row r="2085" spans="1:18" ht="12" customHeight="1" x14ac:dyDescent="0.35">
      <c r="A2085" s="75">
        <v>2096</v>
      </c>
      <c r="B2085" s="80">
        <v>2019</v>
      </c>
      <c r="C2085" s="80">
        <v>9</v>
      </c>
      <c r="D2085" s="80">
        <f t="shared" si="119"/>
        <v>2019</v>
      </c>
      <c r="E2085" t="s">
        <v>38</v>
      </c>
      <c r="F2085" t="s">
        <v>143</v>
      </c>
      <c r="G2085" t="s">
        <v>86</v>
      </c>
      <c r="H2085" s="72" t="s">
        <v>221</v>
      </c>
      <c r="I2085" s="72" t="s">
        <v>63</v>
      </c>
      <c r="J2085" t="str">
        <f>I2085</f>
        <v>Snohomish River</v>
      </c>
      <c r="K2085" t="str">
        <f>IFERROR(VLOOKUP(J2085,LUTs!$A$1:$C$73,2,FALSE),"NA")</f>
        <v>Snohomish</v>
      </c>
      <c r="L2085" t="str">
        <f>IFERROR(VLOOKUP(J2085,LUTs!$A$1:$C$73,3,FALSE),"NA")</f>
        <v>2Central Puget Sound</v>
      </c>
      <c r="M2085" s="72" t="s">
        <v>18</v>
      </c>
      <c r="N2085" t="str">
        <f>VLOOKUP(M2085,LUTs!E$2:H$14,3,)</f>
        <v>06King</v>
      </c>
      <c r="O2085" t="str">
        <f>VLOOKUP(M2085,LUTs!E$2:H$14,4,)</f>
        <v>02South Puget Sound</v>
      </c>
      <c r="P2085" s="80">
        <v>4</v>
      </c>
      <c r="Q2085" s="103">
        <v>2</v>
      </c>
      <c r="R2085" s="74">
        <f>VLOOKUP(B2085,Readme!A$40:C$52,3,)*Q2085</f>
        <v>37.1</v>
      </c>
    </row>
    <row r="2086" spans="1:18" ht="12" customHeight="1" x14ac:dyDescent="0.35">
      <c r="A2086" s="75">
        <v>2103</v>
      </c>
      <c r="B2086" s="80">
        <v>2019</v>
      </c>
      <c r="C2086" s="80">
        <v>9</v>
      </c>
      <c r="D2086" s="80">
        <f t="shared" si="119"/>
        <v>2019</v>
      </c>
      <c r="E2086" t="s">
        <v>38</v>
      </c>
      <c r="F2086" t="s">
        <v>143</v>
      </c>
      <c r="G2086" t="s">
        <v>86</v>
      </c>
      <c r="H2086" s="72" t="s">
        <v>223</v>
      </c>
      <c r="I2086" s="72" t="s">
        <v>103</v>
      </c>
      <c r="J2086" t="str">
        <f>I2086</f>
        <v>Stillaguamish R, No. Fork</v>
      </c>
      <c r="K2086" t="str">
        <f>IFERROR(VLOOKUP(J2086,LUTs!$A$1:$C$73,2,FALSE),"NA")</f>
        <v>Snohomish</v>
      </c>
      <c r="L2086" t="str">
        <f>IFERROR(VLOOKUP(J2086,LUTs!$A$1:$C$73,3,FALSE),"NA")</f>
        <v>2Central Puget Sound</v>
      </c>
      <c r="M2086" s="72" t="s">
        <v>16</v>
      </c>
      <c r="N2086" t="str">
        <f>VLOOKUP(M2086,LUTs!E$2:H$14,3,)</f>
        <v>03Snohomish</v>
      </c>
      <c r="O2086" t="str">
        <f>VLOOKUP(M2086,LUTs!E$2:H$14,4,)</f>
        <v>01North Puget Sound</v>
      </c>
      <c r="P2086" s="80">
        <v>20</v>
      </c>
      <c r="Q2086" s="103">
        <v>10</v>
      </c>
      <c r="R2086" s="74">
        <f>VLOOKUP(B2086,Readme!A$40:C$52,3,)*Q2086</f>
        <v>185.5</v>
      </c>
    </row>
    <row r="2087" spans="1:18" ht="12" customHeight="1" x14ac:dyDescent="0.35">
      <c r="A2087" s="75">
        <v>2100</v>
      </c>
      <c r="B2087" s="80">
        <v>2019</v>
      </c>
      <c r="C2087" s="80">
        <v>9</v>
      </c>
      <c r="D2087" s="80">
        <f t="shared" si="119"/>
        <v>2019</v>
      </c>
      <c r="E2087" t="s">
        <v>38</v>
      </c>
      <c r="F2087" t="s">
        <v>143</v>
      </c>
      <c r="G2087" t="s">
        <v>86</v>
      </c>
      <c r="H2087" s="72" t="s">
        <v>233</v>
      </c>
      <c r="I2087" s="72" t="s">
        <v>76</v>
      </c>
      <c r="J2087" t="str">
        <f>I2087</f>
        <v>Wallace River</v>
      </c>
      <c r="K2087" t="str">
        <f>IFERROR(VLOOKUP(J2087,LUTs!$A$1:$C$73,2,FALSE),"NA")</f>
        <v>Snohomish</v>
      </c>
      <c r="L2087" t="str">
        <f>IFERROR(VLOOKUP(J2087,LUTs!$A$1:$C$73,3,FALSE),"NA")</f>
        <v>2Central Puget Sound</v>
      </c>
      <c r="M2087" s="72" t="s">
        <v>16</v>
      </c>
      <c r="N2087" t="str">
        <f>VLOOKUP(M2087,LUTs!E$2:H$14,3,)</f>
        <v>03Snohomish</v>
      </c>
      <c r="O2087" t="str">
        <f>VLOOKUP(M2087,LUTs!E$2:H$14,4,)</f>
        <v>01North Puget Sound</v>
      </c>
      <c r="P2087" s="80">
        <v>4</v>
      </c>
      <c r="Q2087" s="103">
        <v>2</v>
      </c>
      <c r="R2087" s="74">
        <f>VLOOKUP(B2087,Readme!A$40:C$52,3,)*Q2087</f>
        <v>37.1</v>
      </c>
    </row>
    <row r="2088" spans="1:18" ht="12" customHeight="1" x14ac:dyDescent="0.35">
      <c r="A2088" s="75">
        <v>2058</v>
      </c>
      <c r="B2088" s="80">
        <v>2019</v>
      </c>
      <c r="C2088" s="80">
        <v>10</v>
      </c>
      <c r="D2088" s="80">
        <f t="shared" si="119"/>
        <v>2019</v>
      </c>
      <c r="E2088" t="s">
        <v>38</v>
      </c>
      <c r="F2088" t="s">
        <v>143</v>
      </c>
      <c r="G2088" t="s">
        <v>86</v>
      </c>
      <c r="H2088" s="72" t="s">
        <v>201</v>
      </c>
      <c r="I2088" s="72" t="s">
        <v>43</v>
      </c>
      <c r="J2088" t="str">
        <f>I2088</f>
        <v>Dungeness River</v>
      </c>
      <c r="K2088" t="str">
        <f>IFERROR(VLOOKUP(J2088,LUTs!$A$1:$C$73,2,FALSE),"NA")</f>
        <v>Clallam</v>
      </c>
      <c r="L2088" t="str">
        <f>IFERROR(VLOOKUP(J2088,LUTs!$A$1:$C$73,3,FALSE),"NA")</f>
        <v>0Strait of Juan de Fuca</v>
      </c>
      <c r="M2088" s="72" t="s">
        <v>26</v>
      </c>
      <c r="N2088" t="str">
        <f>VLOOKUP(M2088,LUTs!E$2:H$14,3,)</f>
        <v>20Other</v>
      </c>
      <c r="O2088" t="str">
        <f>VLOOKUP(M2088,LUTs!E$2:H$14,4,)</f>
        <v>07Non Puget Sound</v>
      </c>
      <c r="P2088" s="80">
        <v>10</v>
      </c>
      <c r="Q2088" s="103">
        <v>5</v>
      </c>
      <c r="R2088" s="74">
        <f>VLOOKUP(B2088,Readme!A$40:C$52,3,)*Q2088</f>
        <v>92.75</v>
      </c>
    </row>
    <row r="2089" spans="1:18" ht="12" customHeight="1" x14ac:dyDescent="0.35">
      <c r="A2089" s="75">
        <v>2071</v>
      </c>
      <c r="B2089" s="80">
        <v>2019</v>
      </c>
      <c r="C2089" s="80">
        <v>10</v>
      </c>
      <c r="D2089" s="80">
        <f t="shared" si="119"/>
        <v>2019</v>
      </c>
      <c r="E2089" t="s">
        <v>38</v>
      </c>
      <c r="F2089" t="s">
        <v>143</v>
      </c>
      <c r="G2089" t="s">
        <v>86</v>
      </c>
      <c r="H2089" s="72" t="s">
        <v>203</v>
      </c>
      <c r="I2089" s="72" t="s">
        <v>89</v>
      </c>
      <c r="J2089" s="84" t="s">
        <v>45</v>
      </c>
      <c r="K2089" t="str">
        <f>IFERROR(VLOOKUP(J2089,LUTs!$A$1:$C$73,2,FALSE),"NA")</f>
        <v>King</v>
      </c>
      <c r="L2089" t="str">
        <f>IFERROR(VLOOKUP(J2089,LUTs!$A$1:$C$73,3,FALSE),"NA")</f>
        <v>3South Puget Sound</v>
      </c>
      <c r="M2089" s="72" t="s">
        <v>18</v>
      </c>
      <c r="N2089" t="str">
        <f>VLOOKUP(M2089,LUTs!E$2:H$14,3,)</f>
        <v>06King</v>
      </c>
      <c r="O2089" t="str">
        <f>VLOOKUP(M2089,LUTs!E$2:H$14,4,)</f>
        <v>02South Puget Sound</v>
      </c>
      <c r="P2089" s="80">
        <v>238</v>
      </c>
      <c r="Q2089" s="103">
        <v>119</v>
      </c>
      <c r="R2089" s="74">
        <f>VLOOKUP(B2089,Readme!A$40:C$52,3,)*Q2089</f>
        <v>2207.4500000000003</v>
      </c>
    </row>
    <row r="2090" spans="1:18" ht="12" customHeight="1" x14ac:dyDescent="0.35">
      <c r="A2090" s="75">
        <v>2093</v>
      </c>
      <c r="B2090" s="80">
        <v>2019</v>
      </c>
      <c r="C2090" s="80">
        <v>10</v>
      </c>
      <c r="D2090" s="80">
        <f t="shared" si="119"/>
        <v>2019</v>
      </c>
      <c r="E2090" t="s">
        <v>38</v>
      </c>
      <c r="F2090" t="s">
        <v>143</v>
      </c>
      <c r="G2090" t="s">
        <v>86</v>
      </c>
      <c r="H2090" s="72" t="s">
        <v>220</v>
      </c>
      <c r="I2090" s="72" t="s">
        <v>62</v>
      </c>
      <c r="J2090" t="str">
        <f t="shared" ref="J2090:J2096" si="120">I2090</f>
        <v>Skykomish River</v>
      </c>
      <c r="K2090" t="str">
        <f>IFERROR(VLOOKUP(J2090,LUTs!$A$1:$C$73,2,FALSE),"NA")</f>
        <v>Snohomish</v>
      </c>
      <c r="L2090" t="str">
        <f>IFERROR(VLOOKUP(J2090,LUTs!$A$1:$C$73,3,FALSE),"NA")</f>
        <v>2Central Puget Sound</v>
      </c>
      <c r="M2090" s="72" t="s">
        <v>16</v>
      </c>
      <c r="N2090" t="str">
        <f>VLOOKUP(M2090,LUTs!E$2:H$14,3,)</f>
        <v>03Snohomish</v>
      </c>
      <c r="O2090" t="str">
        <f>VLOOKUP(M2090,LUTs!E$2:H$14,4,)</f>
        <v>01North Puget Sound</v>
      </c>
      <c r="P2090" s="80">
        <v>10</v>
      </c>
      <c r="Q2090" s="103">
        <v>5</v>
      </c>
      <c r="R2090" s="74">
        <f>VLOOKUP(B2090,Readme!A$40:C$52,3,)*Q2090</f>
        <v>92.75</v>
      </c>
    </row>
    <row r="2091" spans="1:18" ht="12" customHeight="1" x14ac:dyDescent="0.35">
      <c r="A2091" s="75">
        <v>2104</v>
      </c>
      <c r="B2091" s="80">
        <v>2019</v>
      </c>
      <c r="C2091" s="80">
        <v>10</v>
      </c>
      <c r="D2091" s="80">
        <f t="shared" si="119"/>
        <v>2019</v>
      </c>
      <c r="E2091" t="s">
        <v>38</v>
      </c>
      <c r="F2091" t="s">
        <v>143</v>
      </c>
      <c r="G2091" t="s">
        <v>86</v>
      </c>
      <c r="H2091" s="72" t="s">
        <v>223</v>
      </c>
      <c r="I2091" s="72" t="s">
        <v>103</v>
      </c>
      <c r="J2091" t="str">
        <f t="shared" si="120"/>
        <v>Stillaguamish R, No. Fork</v>
      </c>
      <c r="K2091" t="str">
        <f>IFERROR(VLOOKUP(J2091,LUTs!$A$1:$C$73,2,FALSE),"NA")</f>
        <v>Snohomish</v>
      </c>
      <c r="L2091" t="str">
        <f>IFERROR(VLOOKUP(J2091,LUTs!$A$1:$C$73,3,FALSE),"NA")</f>
        <v>2Central Puget Sound</v>
      </c>
      <c r="M2091" s="72" t="s">
        <v>18</v>
      </c>
      <c r="N2091" t="str">
        <f>VLOOKUP(M2091,LUTs!E$2:H$14,3,)</f>
        <v>06King</v>
      </c>
      <c r="O2091" t="str">
        <f>VLOOKUP(M2091,LUTs!E$2:H$14,4,)</f>
        <v>02South Puget Sound</v>
      </c>
      <c r="P2091" s="80">
        <v>10</v>
      </c>
      <c r="Q2091" s="103">
        <v>5</v>
      </c>
      <c r="R2091" s="74">
        <f>VLOOKUP(B2091,Readme!A$40:C$52,3,)*Q2091</f>
        <v>92.75</v>
      </c>
    </row>
    <row r="2092" spans="1:18" ht="12" customHeight="1" x14ac:dyDescent="0.35">
      <c r="A2092" s="75">
        <v>2105</v>
      </c>
      <c r="B2092" s="80">
        <v>2019</v>
      </c>
      <c r="C2092" s="80">
        <v>10</v>
      </c>
      <c r="D2092" s="80">
        <f t="shared" si="119"/>
        <v>2019</v>
      </c>
      <c r="E2092" t="s">
        <v>38</v>
      </c>
      <c r="F2092" t="s">
        <v>143</v>
      </c>
      <c r="G2092" t="s">
        <v>86</v>
      </c>
      <c r="H2092" s="72" t="s">
        <v>223</v>
      </c>
      <c r="I2092" s="72" t="s">
        <v>103</v>
      </c>
      <c r="J2092" t="str">
        <f t="shared" si="120"/>
        <v>Stillaguamish R, No. Fork</v>
      </c>
      <c r="K2092" t="str">
        <f>IFERROR(VLOOKUP(J2092,LUTs!$A$1:$C$73,2,FALSE),"NA")</f>
        <v>Snohomish</v>
      </c>
      <c r="L2092" t="str">
        <f>IFERROR(VLOOKUP(J2092,LUTs!$A$1:$C$73,3,FALSE),"NA")</f>
        <v>2Central Puget Sound</v>
      </c>
      <c r="M2092" s="72" t="s">
        <v>15</v>
      </c>
      <c r="N2092" t="str">
        <f>VLOOKUP(M2092,LUTs!E$2:H$14,3,)</f>
        <v>02Skagit</v>
      </c>
      <c r="O2092" t="str">
        <f>VLOOKUP(M2092,LUTs!E$2:H$14,4,)</f>
        <v>01North Puget Sound</v>
      </c>
      <c r="P2092" s="80">
        <v>10</v>
      </c>
      <c r="Q2092" s="103">
        <v>5</v>
      </c>
      <c r="R2092" s="74">
        <f>VLOOKUP(B2092,Readme!A$40:C$52,3,)*Q2092</f>
        <v>92.75</v>
      </c>
    </row>
    <row r="2093" spans="1:18" ht="12" customHeight="1" x14ac:dyDescent="0.35">
      <c r="A2093" s="75">
        <v>2106</v>
      </c>
      <c r="B2093" s="80">
        <v>2019</v>
      </c>
      <c r="C2093" s="80">
        <v>10</v>
      </c>
      <c r="D2093" s="80">
        <f t="shared" si="119"/>
        <v>2019</v>
      </c>
      <c r="E2093" t="s">
        <v>38</v>
      </c>
      <c r="F2093" t="s">
        <v>143</v>
      </c>
      <c r="G2093" t="s">
        <v>86</v>
      </c>
      <c r="H2093" s="72" t="s">
        <v>223</v>
      </c>
      <c r="I2093" s="72" t="s">
        <v>103</v>
      </c>
      <c r="J2093" t="str">
        <f t="shared" si="120"/>
        <v>Stillaguamish R, No. Fork</v>
      </c>
      <c r="K2093" t="str">
        <f>IFERROR(VLOOKUP(J2093,LUTs!$A$1:$C$73,2,FALSE),"NA")</f>
        <v>Snohomish</v>
      </c>
      <c r="L2093" t="str">
        <f>IFERROR(VLOOKUP(J2093,LUTs!$A$1:$C$73,3,FALSE),"NA")</f>
        <v>2Central Puget Sound</v>
      </c>
      <c r="M2093" s="72" t="s">
        <v>16</v>
      </c>
      <c r="N2093" t="str">
        <f>VLOOKUP(M2093,LUTs!E$2:H$14,3,)</f>
        <v>03Snohomish</v>
      </c>
      <c r="O2093" t="str">
        <f>VLOOKUP(M2093,LUTs!E$2:H$14,4,)</f>
        <v>01North Puget Sound</v>
      </c>
      <c r="P2093" s="80">
        <v>20</v>
      </c>
      <c r="Q2093" s="103">
        <v>10</v>
      </c>
      <c r="R2093" s="74">
        <f>VLOOKUP(B2093,Readme!A$40:C$52,3,)*Q2093</f>
        <v>185.5</v>
      </c>
    </row>
    <row r="2094" spans="1:18" ht="12" customHeight="1" x14ac:dyDescent="0.35">
      <c r="A2094" s="75">
        <v>2101</v>
      </c>
      <c r="B2094" s="80">
        <v>2019</v>
      </c>
      <c r="C2094" s="80">
        <v>10</v>
      </c>
      <c r="D2094" s="80">
        <f t="shared" si="119"/>
        <v>2019</v>
      </c>
      <c r="E2094" t="s">
        <v>38</v>
      </c>
      <c r="F2094" t="s">
        <v>143</v>
      </c>
      <c r="G2094" t="s">
        <v>86</v>
      </c>
      <c r="H2094" s="72" t="s">
        <v>233</v>
      </c>
      <c r="I2094" s="72" t="s">
        <v>76</v>
      </c>
      <c r="J2094" t="str">
        <f t="shared" si="120"/>
        <v>Wallace River</v>
      </c>
      <c r="K2094" t="str">
        <f>IFERROR(VLOOKUP(J2094,LUTs!$A$1:$C$73,2,FALSE),"NA")</f>
        <v>Snohomish</v>
      </c>
      <c r="L2094" t="str">
        <f>IFERROR(VLOOKUP(J2094,LUTs!$A$1:$C$73,3,FALSE),"NA")</f>
        <v>2Central Puget Sound</v>
      </c>
      <c r="M2094" s="72" t="s">
        <v>16</v>
      </c>
      <c r="N2094" t="str">
        <f>VLOOKUP(M2094,LUTs!E$2:H$14,3,)</f>
        <v>03Snohomish</v>
      </c>
      <c r="O2094" t="str">
        <f>VLOOKUP(M2094,LUTs!E$2:H$14,4,)</f>
        <v>01North Puget Sound</v>
      </c>
      <c r="P2094" s="80">
        <v>4</v>
      </c>
      <c r="Q2094" s="103">
        <v>2</v>
      </c>
      <c r="R2094" s="74">
        <f>VLOOKUP(B2094,Readme!A$40:C$52,3,)*Q2094</f>
        <v>37.1</v>
      </c>
    </row>
    <row r="2095" spans="1:18" ht="12" customHeight="1" x14ac:dyDescent="0.35">
      <c r="A2095" s="75">
        <v>2076</v>
      </c>
      <c r="B2095" s="80">
        <v>2019</v>
      </c>
      <c r="C2095" s="80">
        <v>11</v>
      </c>
      <c r="D2095" s="80">
        <f t="shared" si="119"/>
        <v>2019</v>
      </c>
      <c r="E2095" t="s">
        <v>38</v>
      </c>
      <c r="F2095" t="s">
        <v>143</v>
      </c>
      <c r="G2095" t="s">
        <v>86</v>
      </c>
      <c r="H2095" s="72" t="s">
        <v>217</v>
      </c>
      <c r="I2095" s="72" t="s">
        <v>59</v>
      </c>
      <c r="J2095" t="str">
        <f t="shared" si="120"/>
        <v>Cascade River</v>
      </c>
      <c r="K2095" t="str">
        <f>IFERROR(VLOOKUP(J2095,LUTs!$A$1:$C$73,2,FALSE),"NA")</f>
        <v>Skagit</v>
      </c>
      <c r="L2095" t="str">
        <f>IFERROR(VLOOKUP(J2095,LUTs!$A$1:$C$73,3,FALSE),"NA")</f>
        <v>1North Puget Sound</v>
      </c>
      <c r="M2095" s="72" t="s">
        <v>15</v>
      </c>
      <c r="N2095" t="str">
        <f>VLOOKUP(M2095,LUTs!E$2:H$14,3,)</f>
        <v>02Skagit</v>
      </c>
      <c r="O2095" t="str">
        <f>VLOOKUP(M2095,LUTs!E$2:H$14,4,)</f>
        <v>01North Puget Sound</v>
      </c>
      <c r="P2095" s="80">
        <v>8</v>
      </c>
      <c r="Q2095" s="103">
        <v>4</v>
      </c>
      <c r="R2095" s="74">
        <f>VLOOKUP(B2095,Readme!A$40:C$52,3,)*Q2095</f>
        <v>74.2</v>
      </c>
    </row>
    <row r="2096" spans="1:18" ht="12" customHeight="1" x14ac:dyDescent="0.35">
      <c r="A2096" s="75">
        <v>2059</v>
      </c>
      <c r="B2096" s="80">
        <v>2019</v>
      </c>
      <c r="C2096" s="80">
        <v>11</v>
      </c>
      <c r="D2096" s="80">
        <f t="shared" si="119"/>
        <v>2019</v>
      </c>
      <c r="E2096" t="s">
        <v>38</v>
      </c>
      <c r="F2096" t="s">
        <v>143</v>
      </c>
      <c r="G2096" t="s">
        <v>86</v>
      </c>
      <c r="H2096" s="72" t="s">
        <v>201</v>
      </c>
      <c r="I2096" s="72" t="s">
        <v>43</v>
      </c>
      <c r="J2096" t="str">
        <f t="shared" si="120"/>
        <v>Dungeness River</v>
      </c>
      <c r="K2096" t="str">
        <f>IFERROR(VLOOKUP(J2096,LUTs!$A$1:$C$73,2,FALSE),"NA")</f>
        <v>Clallam</v>
      </c>
      <c r="L2096" t="str">
        <f>IFERROR(VLOOKUP(J2096,LUTs!$A$1:$C$73,3,FALSE),"NA")</f>
        <v>0Strait of Juan de Fuca</v>
      </c>
      <c r="M2096" s="72" t="s">
        <v>24</v>
      </c>
      <c r="N2096" t="str">
        <f>VLOOKUP(M2096,LUTs!E$2:H$14,3,)</f>
        <v>11Clallam</v>
      </c>
      <c r="O2096" t="str">
        <f>VLOOKUP(M2096,LUTs!E$2:H$14,4,)</f>
        <v>03Strait of Juan de Fuca</v>
      </c>
      <c r="P2096" s="80">
        <v>8</v>
      </c>
      <c r="Q2096" s="103">
        <v>4</v>
      </c>
      <c r="R2096" s="74">
        <f>VLOOKUP(B2096,Readme!A$40:C$52,3,)*Q2096</f>
        <v>74.2</v>
      </c>
    </row>
    <row r="2097" spans="1:18" ht="12" customHeight="1" x14ac:dyDescent="0.35">
      <c r="A2097" s="75">
        <v>2072</v>
      </c>
      <c r="B2097" s="80">
        <v>2019</v>
      </c>
      <c r="C2097" s="80">
        <v>11</v>
      </c>
      <c r="D2097" s="80">
        <f t="shared" si="119"/>
        <v>2019</v>
      </c>
      <c r="E2097" t="s">
        <v>38</v>
      </c>
      <c r="F2097" t="s">
        <v>143</v>
      </c>
      <c r="G2097" t="s">
        <v>86</v>
      </c>
      <c r="H2097" s="72" t="s">
        <v>203</v>
      </c>
      <c r="I2097" s="72" t="s">
        <v>89</v>
      </c>
      <c r="J2097" s="84" t="s">
        <v>45</v>
      </c>
      <c r="K2097" t="str">
        <f>IFERROR(VLOOKUP(J2097,LUTs!$A$1:$C$73,2,FALSE),"NA")</f>
        <v>King</v>
      </c>
      <c r="L2097" t="str">
        <f>IFERROR(VLOOKUP(J2097,LUTs!$A$1:$C$73,3,FALSE),"NA")</f>
        <v>3South Puget Sound</v>
      </c>
      <c r="M2097" s="72" t="s">
        <v>18</v>
      </c>
      <c r="N2097" t="str">
        <f>VLOOKUP(M2097,LUTs!E$2:H$14,3,)</f>
        <v>06King</v>
      </c>
      <c r="O2097" t="str">
        <f>VLOOKUP(M2097,LUTs!E$2:H$14,4,)</f>
        <v>02South Puget Sound</v>
      </c>
      <c r="P2097" s="80">
        <v>0</v>
      </c>
      <c r="Q2097" s="103">
        <v>0</v>
      </c>
      <c r="R2097" s="74">
        <f>VLOOKUP(B2097,Readme!A$40:C$52,3,)*Q2097</f>
        <v>0</v>
      </c>
    </row>
    <row r="2098" spans="1:18" ht="12" customHeight="1" x14ac:dyDescent="0.35">
      <c r="A2098" s="75">
        <v>2073</v>
      </c>
      <c r="B2098" s="80">
        <v>2019</v>
      </c>
      <c r="C2098" s="80">
        <v>11</v>
      </c>
      <c r="D2098" s="80">
        <f t="shared" si="119"/>
        <v>2019</v>
      </c>
      <c r="E2098" t="s">
        <v>38</v>
      </c>
      <c r="F2098" t="s">
        <v>143</v>
      </c>
      <c r="G2098" t="s">
        <v>86</v>
      </c>
      <c r="H2098" s="72" t="s">
        <v>203</v>
      </c>
      <c r="I2098" s="72" t="s">
        <v>89</v>
      </c>
      <c r="J2098" s="84" t="s">
        <v>45</v>
      </c>
      <c r="K2098" t="str">
        <f>IFERROR(VLOOKUP(J2098,LUTs!$A$1:$C$73,2,FALSE),"NA")</f>
        <v>King</v>
      </c>
      <c r="L2098" t="str">
        <f>IFERROR(VLOOKUP(J2098,LUTs!$A$1:$C$73,3,FALSE),"NA")</f>
        <v>3South Puget Sound</v>
      </c>
      <c r="M2098" s="72" t="s">
        <v>20</v>
      </c>
      <c r="N2098" t="str">
        <f>VLOOKUP(M2098,LUTs!E$2:H$14,3,)</f>
        <v>07Pierce</v>
      </c>
      <c r="O2098" t="str">
        <f>VLOOKUP(M2098,LUTs!E$2:H$14,4,)</f>
        <v>02South Puget Sound</v>
      </c>
      <c r="P2098" s="80">
        <v>0</v>
      </c>
      <c r="Q2098" s="103">
        <v>0</v>
      </c>
      <c r="R2098" s="74">
        <f>VLOOKUP(B2098,Readme!A$40:C$52,3,)*Q2098</f>
        <v>0</v>
      </c>
    </row>
    <row r="2099" spans="1:18" ht="12" customHeight="1" x14ac:dyDescent="0.35">
      <c r="A2099" s="75">
        <v>2107</v>
      </c>
      <c r="B2099" s="80">
        <v>2019</v>
      </c>
      <c r="C2099" s="80">
        <v>11</v>
      </c>
      <c r="D2099" s="80">
        <f t="shared" si="119"/>
        <v>2019</v>
      </c>
      <c r="E2099" t="s">
        <v>38</v>
      </c>
      <c r="F2099" t="s">
        <v>143</v>
      </c>
      <c r="G2099" t="s">
        <v>86</v>
      </c>
      <c r="H2099" s="72" t="s">
        <v>223</v>
      </c>
      <c r="I2099" s="72" t="s">
        <v>103</v>
      </c>
      <c r="J2099" t="str">
        <f>I2099</f>
        <v>Stillaguamish R, No. Fork</v>
      </c>
      <c r="K2099" t="str">
        <f>IFERROR(VLOOKUP(J2099,LUTs!$A$1:$C$73,2,FALSE),"NA")</f>
        <v>Snohomish</v>
      </c>
      <c r="L2099" t="str">
        <f>IFERROR(VLOOKUP(J2099,LUTs!$A$1:$C$73,3,FALSE),"NA")</f>
        <v>2Central Puget Sound</v>
      </c>
      <c r="M2099" s="72" t="s">
        <v>17</v>
      </c>
      <c r="N2099" t="str">
        <f>VLOOKUP(M2099,LUTs!E$2:H$14,3,)</f>
        <v>04Island</v>
      </c>
      <c r="O2099" t="str">
        <f>VLOOKUP(M2099,LUTs!E$2:H$14,4,)</f>
        <v>01North Puget Sound</v>
      </c>
      <c r="P2099" s="80">
        <v>8</v>
      </c>
      <c r="Q2099" s="103">
        <v>4</v>
      </c>
      <c r="R2099" s="74">
        <f>VLOOKUP(B2099,Readme!A$40:C$52,3,)*Q2099</f>
        <v>74.2</v>
      </c>
    </row>
    <row r="2100" spans="1:18" ht="12" customHeight="1" x14ac:dyDescent="0.35">
      <c r="A2100" s="75">
        <v>2102</v>
      </c>
      <c r="B2100" s="80">
        <v>2019</v>
      </c>
      <c r="C2100" s="80">
        <v>11</v>
      </c>
      <c r="D2100" s="80">
        <f t="shared" si="119"/>
        <v>2019</v>
      </c>
      <c r="E2100" t="s">
        <v>38</v>
      </c>
      <c r="F2100" t="s">
        <v>143</v>
      </c>
      <c r="G2100" t="s">
        <v>86</v>
      </c>
      <c r="H2100" s="72" t="s">
        <v>233</v>
      </c>
      <c r="I2100" s="72" t="s">
        <v>76</v>
      </c>
      <c r="J2100" t="str">
        <f>I2100</f>
        <v>Wallace River</v>
      </c>
      <c r="K2100" t="str">
        <f>IFERROR(VLOOKUP(J2100,LUTs!$A$1:$C$73,2,FALSE),"NA")</f>
        <v>Snohomish</v>
      </c>
      <c r="L2100" t="str">
        <f>IFERROR(VLOOKUP(J2100,LUTs!$A$1:$C$73,3,FALSE),"NA")</f>
        <v>2Central Puget Sound</v>
      </c>
      <c r="M2100" s="72" t="s">
        <v>16</v>
      </c>
      <c r="N2100" t="str">
        <f>VLOOKUP(M2100,LUTs!E$2:H$14,3,)</f>
        <v>03Snohomish</v>
      </c>
      <c r="O2100" t="str">
        <f>VLOOKUP(M2100,LUTs!E$2:H$14,4,)</f>
        <v>01North Puget Sound</v>
      </c>
      <c r="P2100" s="80">
        <v>6</v>
      </c>
      <c r="Q2100" s="103">
        <v>3</v>
      </c>
      <c r="R2100" s="74">
        <f>VLOOKUP(B2100,Readme!A$40:C$52,3,)*Q2100</f>
        <v>55.650000000000006</v>
      </c>
    </row>
    <row r="2101" spans="1:18" ht="12" customHeight="1" x14ac:dyDescent="0.35">
      <c r="A2101" s="75">
        <v>2077</v>
      </c>
      <c r="B2101" s="80">
        <v>2019</v>
      </c>
      <c r="C2101" s="80">
        <v>12</v>
      </c>
      <c r="D2101" s="80">
        <f t="shared" si="119"/>
        <v>2019</v>
      </c>
      <c r="E2101" t="s">
        <v>38</v>
      </c>
      <c r="F2101" t="s">
        <v>143</v>
      </c>
      <c r="G2101" t="s">
        <v>86</v>
      </c>
      <c r="H2101" s="72" t="s">
        <v>217</v>
      </c>
      <c r="I2101" s="72" t="s">
        <v>59</v>
      </c>
      <c r="J2101" t="str">
        <f>I2101</f>
        <v>Cascade River</v>
      </c>
      <c r="K2101" t="str">
        <f>IFERROR(VLOOKUP(J2101,LUTs!$A$1:$C$73,2,FALSE),"NA")</f>
        <v>Skagit</v>
      </c>
      <c r="L2101" t="str">
        <f>IFERROR(VLOOKUP(J2101,LUTs!$A$1:$C$73,3,FALSE),"NA")</f>
        <v>1North Puget Sound</v>
      </c>
      <c r="M2101" s="72" t="s">
        <v>13</v>
      </c>
      <c r="N2101" t="str">
        <f>VLOOKUP(M2101,LUTs!E$2:H$14,3,)</f>
        <v>01Whatcom</v>
      </c>
      <c r="O2101" t="str">
        <f>VLOOKUP(M2101,LUTs!E$2:H$14,4,)</f>
        <v>01North Puget Sound</v>
      </c>
      <c r="P2101" s="80">
        <v>18</v>
      </c>
      <c r="Q2101" s="103">
        <v>9</v>
      </c>
      <c r="R2101" s="74">
        <f>VLOOKUP(B2101,Readme!A$40:C$52,3,)*Q2101</f>
        <v>166.95000000000002</v>
      </c>
    </row>
    <row r="2102" spans="1:18" ht="12" customHeight="1" x14ac:dyDescent="0.35">
      <c r="A2102" s="75">
        <v>2074</v>
      </c>
      <c r="B2102" s="80">
        <v>2019</v>
      </c>
      <c r="C2102" s="80">
        <v>12</v>
      </c>
      <c r="D2102" s="80">
        <f t="shared" si="119"/>
        <v>2019</v>
      </c>
      <c r="E2102" t="s">
        <v>38</v>
      </c>
      <c r="F2102" t="s">
        <v>143</v>
      </c>
      <c r="G2102" t="s">
        <v>86</v>
      </c>
      <c r="H2102" s="72" t="s">
        <v>203</v>
      </c>
      <c r="I2102" s="72" t="s">
        <v>89</v>
      </c>
      <c r="J2102" s="84" t="s">
        <v>45</v>
      </c>
      <c r="K2102" t="str">
        <f>IFERROR(VLOOKUP(J2102,LUTs!$A$1:$C$73,2,FALSE),"NA")</f>
        <v>King</v>
      </c>
      <c r="L2102" t="str">
        <f>IFERROR(VLOOKUP(J2102,LUTs!$A$1:$C$73,3,FALSE),"NA")</f>
        <v>3South Puget Sound</v>
      </c>
      <c r="M2102" s="72" t="s">
        <v>18</v>
      </c>
      <c r="N2102" t="str">
        <f>VLOOKUP(M2102,LUTs!E$2:H$14,3,)</f>
        <v>06King</v>
      </c>
      <c r="O2102" t="str">
        <f>VLOOKUP(M2102,LUTs!E$2:H$14,4,)</f>
        <v>02South Puget Sound</v>
      </c>
      <c r="P2102" s="80">
        <v>0</v>
      </c>
      <c r="Q2102" s="103">
        <v>0</v>
      </c>
      <c r="R2102" s="74">
        <f>VLOOKUP(B2102,Readme!A$40:C$52,3,)*Q2102</f>
        <v>0</v>
      </c>
    </row>
    <row r="2103" spans="1:18" ht="12" customHeight="1" x14ac:dyDescent="0.35">
      <c r="A2103" s="75">
        <v>2079</v>
      </c>
      <c r="B2103" s="80">
        <v>2019</v>
      </c>
      <c r="C2103" s="80">
        <v>12</v>
      </c>
      <c r="D2103" s="80">
        <f t="shared" si="119"/>
        <v>2019</v>
      </c>
      <c r="E2103" t="s">
        <v>38</v>
      </c>
      <c r="F2103" t="s">
        <v>143</v>
      </c>
      <c r="G2103" t="s">
        <v>86</v>
      </c>
      <c r="H2103" s="72" t="s">
        <v>218</v>
      </c>
      <c r="I2103" s="72" t="s">
        <v>60</v>
      </c>
      <c r="J2103" t="str">
        <f t="shared" ref="J2103:J2114" si="121">I2103</f>
        <v>Skagit River</v>
      </c>
      <c r="K2103" t="str">
        <f>IFERROR(VLOOKUP(J2103,LUTs!$A$1:$C$73,2,FALSE),"NA")</f>
        <v>Skagit/Whatcom</v>
      </c>
      <c r="L2103" t="str">
        <f>IFERROR(VLOOKUP(J2103,LUTs!$A$1:$C$73,3,FALSE),"NA")</f>
        <v>2Central Puget Sound</v>
      </c>
      <c r="M2103" s="72" t="s">
        <v>20</v>
      </c>
      <c r="N2103" t="str">
        <f>VLOOKUP(M2103,LUTs!E$2:H$14,3,)</f>
        <v>07Pierce</v>
      </c>
      <c r="O2103" t="str">
        <f>VLOOKUP(M2103,LUTs!E$2:H$14,4,)</f>
        <v>02South Puget Sound</v>
      </c>
      <c r="P2103" s="80">
        <v>9</v>
      </c>
      <c r="Q2103" s="103">
        <v>4.5</v>
      </c>
      <c r="R2103" s="74">
        <f>VLOOKUP(B2103,Readme!A$40:C$52,3,)*Q2103</f>
        <v>83.475000000000009</v>
      </c>
    </row>
    <row r="2104" spans="1:18" ht="12" customHeight="1" x14ac:dyDescent="0.35">
      <c r="A2104" s="75">
        <v>2080</v>
      </c>
      <c r="B2104" s="80">
        <v>2019</v>
      </c>
      <c r="C2104" s="80">
        <v>12</v>
      </c>
      <c r="D2104" s="80">
        <f t="shared" si="119"/>
        <v>2019</v>
      </c>
      <c r="E2104" t="s">
        <v>38</v>
      </c>
      <c r="F2104" t="s">
        <v>143</v>
      </c>
      <c r="G2104" t="s">
        <v>86</v>
      </c>
      <c r="H2104" s="72" t="s">
        <v>218</v>
      </c>
      <c r="I2104" s="72" t="s">
        <v>60</v>
      </c>
      <c r="J2104" t="str">
        <f t="shared" si="121"/>
        <v>Skagit River</v>
      </c>
      <c r="K2104" t="str">
        <f>IFERROR(VLOOKUP(J2104,LUTs!$A$1:$C$73,2,FALSE),"NA")</f>
        <v>Skagit/Whatcom</v>
      </c>
      <c r="L2104" t="str">
        <f>IFERROR(VLOOKUP(J2104,LUTs!$A$1:$C$73,3,FALSE),"NA")</f>
        <v>2Central Puget Sound</v>
      </c>
      <c r="M2104" s="72" t="s">
        <v>13</v>
      </c>
      <c r="N2104" t="str">
        <f>VLOOKUP(M2104,LUTs!E$2:H$14,3,)</f>
        <v>01Whatcom</v>
      </c>
      <c r="O2104" t="str">
        <f>VLOOKUP(M2104,LUTs!E$2:H$14,4,)</f>
        <v>01North Puget Sound</v>
      </c>
      <c r="P2104" s="80">
        <v>9</v>
      </c>
      <c r="Q2104" s="103">
        <v>4.5</v>
      </c>
      <c r="R2104" s="74">
        <f>VLOOKUP(B2104,Readme!A$40:C$52,3,)*Q2104</f>
        <v>83.475000000000009</v>
      </c>
    </row>
    <row r="2105" spans="1:18" ht="12" customHeight="1" x14ac:dyDescent="0.35">
      <c r="A2105" s="75">
        <v>2097</v>
      </c>
      <c r="B2105" s="80">
        <v>2019</v>
      </c>
      <c r="C2105" s="80">
        <v>12</v>
      </c>
      <c r="D2105" s="80">
        <f t="shared" si="119"/>
        <v>2019</v>
      </c>
      <c r="E2105" t="s">
        <v>38</v>
      </c>
      <c r="F2105" t="s">
        <v>143</v>
      </c>
      <c r="G2105" t="s">
        <v>86</v>
      </c>
      <c r="H2105" s="72" t="s">
        <v>221</v>
      </c>
      <c r="I2105" s="72" t="s">
        <v>63</v>
      </c>
      <c r="J2105" t="str">
        <f t="shared" si="121"/>
        <v>Snohomish River</v>
      </c>
      <c r="K2105" t="str">
        <f>IFERROR(VLOOKUP(J2105,LUTs!$A$1:$C$73,2,FALSE),"NA")</f>
        <v>Snohomish</v>
      </c>
      <c r="L2105" t="str">
        <f>IFERROR(VLOOKUP(J2105,LUTs!$A$1:$C$73,3,FALSE),"NA")</f>
        <v>2Central Puget Sound</v>
      </c>
      <c r="M2105" s="72" t="s">
        <v>16</v>
      </c>
      <c r="N2105" t="str">
        <f>VLOOKUP(M2105,LUTs!E$2:H$14,3,)</f>
        <v>03Snohomish</v>
      </c>
      <c r="O2105" t="str">
        <f>VLOOKUP(M2105,LUTs!E$2:H$14,4,)</f>
        <v>01North Puget Sound</v>
      </c>
      <c r="P2105" s="80">
        <v>6</v>
      </c>
      <c r="Q2105" s="103">
        <v>3</v>
      </c>
      <c r="R2105" s="74">
        <f>VLOOKUP(B2105,Readme!A$40:C$52,3,)*Q2105</f>
        <v>55.650000000000006</v>
      </c>
    </row>
    <row r="2106" spans="1:18" ht="12" customHeight="1" x14ac:dyDescent="0.35">
      <c r="A2106" s="75">
        <v>2098</v>
      </c>
      <c r="B2106" s="80">
        <v>2019</v>
      </c>
      <c r="C2106" s="80">
        <v>12</v>
      </c>
      <c r="D2106" s="80">
        <f t="shared" si="119"/>
        <v>2019</v>
      </c>
      <c r="E2106" t="s">
        <v>38</v>
      </c>
      <c r="F2106" t="s">
        <v>143</v>
      </c>
      <c r="G2106" t="s">
        <v>86</v>
      </c>
      <c r="H2106" s="72" t="s">
        <v>222</v>
      </c>
      <c r="I2106" s="72" t="s">
        <v>64</v>
      </c>
      <c r="J2106" t="str">
        <f t="shared" si="121"/>
        <v>Snoqualmie River</v>
      </c>
      <c r="K2106" t="str">
        <f>IFERROR(VLOOKUP(J2106,LUTs!$A$1:$C$73,2,FALSE),"NA")</f>
        <v>Snohomish/King</v>
      </c>
      <c r="L2106" t="str">
        <f>IFERROR(VLOOKUP(J2106,LUTs!$A$1:$C$73,3,FALSE),"NA")</f>
        <v>2Central Puget Sound</v>
      </c>
      <c r="M2106" s="72" t="s">
        <v>18</v>
      </c>
      <c r="N2106" t="str">
        <f>VLOOKUP(M2106,LUTs!E$2:H$14,3,)</f>
        <v>06King</v>
      </c>
      <c r="O2106" t="str">
        <f>VLOOKUP(M2106,LUTs!E$2:H$14,4,)</f>
        <v>02South Puget Sound</v>
      </c>
      <c r="P2106" s="80">
        <v>6</v>
      </c>
      <c r="Q2106" s="103">
        <v>3</v>
      </c>
      <c r="R2106" s="74">
        <f>VLOOKUP(B2106,Readme!A$40:C$52,3,)*Q2106</f>
        <v>55.650000000000006</v>
      </c>
    </row>
    <row r="2107" spans="1:18" ht="12" customHeight="1" x14ac:dyDescent="0.35">
      <c r="A2107" s="75">
        <v>2108</v>
      </c>
      <c r="B2107" s="80">
        <v>2019</v>
      </c>
      <c r="C2107" s="80">
        <v>12</v>
      </c>
      <c r="D2107" s="80">
        <f t="shared" si="119"/>
        <v>2019</v>
      </c>
      <c r="E2107" t="s">
        <v>38</v>
      </c>
      <c r="F2107" t="s">
        <v>143</v>
      </c>
      <c r="G2107" t="s">
        <v>86</v>
      </c>
      <c r="H2107" s="72" t="s">
        <v>223</v>
      </c>
      <c r="I2107" s="72" t="s">
        <v>103</v>
      </c>
      <c r="J2107" t="str">
        <f t="shared" si="121"/>
        <v>Stillaguamish R, No. Fork</v>
      </c>
      <c r="K2107" t="str">
        <f>IFERROR(VLOOKUP(J2107,LUTs!$A$1:$C$73,2,FALSE),"NA")</f>
        <v>Snohomish</v>
      </c>
      <c r="L2107" t="str">
        <f>IFERROR(VLOOKUP(J2107,LUTs!$A$1:$C$73,3,FALSE),"NA")</f>
        <v>2Central Puget Sound</v>
      </c>
      <c r="M2107" s="72" t="s">
        <v>26</v>
      </c>
      <c r="N2107" t="str">
        <f>VLOOKUP(M2107,LUTs!E$2:H$14,3,)</f>
        <v>20Other</v>
      </c>
      <c r="O2107" t="str">
        <f>VLOOKUP(M2107,LUTs!E$2:H$14,4,)</f>
        <v>07Non Puget Sound</v>
      </c>
      <c r="P2107" s="80">
        <v>8</v>
      </c>
      <c r="Q2107" s="103">
        <v>4</v>
      </c>
      <c r="R2107" s="74">
        <f>VLOOKUP(B2107,Readme!A$40:C$52,3,)*Q2107</f>
        <v>74.2</v>
      </c>
    </row>
    <row r="2108" spans="1:18" ht="12" customHeight="1" x14ac:dyDescent="0.35">
      <c r="A2108" s="75">
        <v>2110</v>
      </c>
      <c r="B2108" s="80">
        <v>2020</v>
      </c>
      <c r="C2108" s="80">
        <v>1</v>
      </c>
      <c r="D2108" s="80">
        <f t="shared" si="119"/>
        <v>2019</v>
      </c>
      <c r="E2108" t="s">
        <v>38</v>
      </c>
      <c r="F2108" t="s">
        <v>143</v>
      </c>
      <c r="G2108" t="s">
        <v>86</v>
      </c>
      <c r="H2108" s="72" t="s">
        <v>254</v>
      </c>
      <c r="I2108" s="72" t="s">
        <v>33</v>
      </c>
      <c r="J2108" t="str">
        <f t="shared" si="121"/>
        <v>Area 9: Admiralty Inlet</v>
      </c>
      <c r="K2108" t="str">
        <f>IFERROR(VLOOKUP(J2108,LUTs!$A$1:$C$73,2,FALSE),"NA")</f>
        <v>NA</v>
      </c>
      <c r="L2108" t="str">
        <f>IFERROR(VLOOKUP(J2108,LUTs!$A$1:$C$73,3,FALSE),"NA")</f>
        <v>2Central Puget Sound</v>
      </c>
      <c r="M2108" s="72" t="s">
        <v>18</v>
      </c>
      <c r="N2108" t="str">
        <f>VLOOKUP(M2108,LUTs!E$2:H$14,3,)</f>
        <v>06King</v>
      </c>
      <c r="O2108" t="str">
        <f>VLOOKUP(M2108,LUTs!E$2:H$14,4,)</f>
        <v>02South Puget Sound</v>
      </c>
      <c r="P2108" s="80">
        <v>18</v>
      </c>
      <c r="Q2108" s="103">
        <v>9</v>
      </c>
      <c r="R2108" s="74">
        <f>VLOOKUP(B2108,Readme!A$40:C$52,3,)*Q2108</f>
        <v>76.859999999999985</v>
      </c>
    </row>
    <row r="2109" spans="1:18" ht="12" customHeight="1" x14ac:dyDescent="0.35">
      <c r="A2109" s="75">
        <v>2111</v>
      </c>
      <c r="B2109" s="80">
        <v>2020</v>
      </c>
      <c r="C2109" s="80">
        <v>2</v>
      </c>
      <c r="D2109" s="80">
        <f t="shared" si="119"/>
        <v>2019</v>
      </c>
      <c r="E2109" t="s">
        <v>38</v>
      </c>
      <c r="F2109" t="s">
        <v>143</v>
      </c>
      <c r="G2109" t="s">
        <v>86</v>
      </c>
      <c r="H2109" s="72" t="s">
        <v>254</v>
      </c>
      <c r="I2109" s="72" t="s">
        <v>33</v>
      </c>
      <c r="J2109" t="str">
        <f t="shared" si="121"/>
        <v>Area 9: Admiralty Inlet</v>
      </c>
      <c r="K2109" t="str">
        <f>IFERROR(VLOOKUP(J2109,LUTs!$A$1:$C$73,2,FALSE),"NA")</f>
        <v>NA</v>
      </c>
      <c r="L2109" t="str">
        <f>IFERROR(VLOOKUP(J2109,LUTs!$A$1:$C$73,3,FALSE),"NA")</f>
        <v>2Central Puget Sound</v>
      </c>
      <c r="M2109" s="72" t="s">
        <v>17</v>
      </c>
      <c r="N2109" t="str">
        <f>VLOOKUP(M2109,LUTs!E$2:H$14,3,)</f>
        <v>04Island</v>
      </c>
      <c r="O2109" t="str">
        <f>VLOOKUP(M2109,LUTs!E$2:H$14,4,)</f>
        <v>01North Puget Sound</v>
      </c>
      <c r="P2109" s="80">
        <v>18</v>
      </c>
      <c r="Q2109" s="103">
        <v>9</v>
      </c>
      <c r="R2109" s="74">
        <f>VLOOKUP(B2109,Readme!A$40:C$52,3,)*Q2109</f>
        <v>76.859999999999985</v>
      </c>
    </row>
    <row r="2110" spans="1:18" ht="12" customHeight="1" x14ac:dyDescent="0.35">
      <c r="A2110" s="75">
        <v>2094</v>
      </c>
      <c r="B2110" s="80">
        <v>2020</v>
      </c>
      <c r="C2110" s="80">
        <v>2</v>
      </c>
      <c r="D2110" s="80">
        <f t="shared" si="119"/>
        <v>2019</v>
      </c>
      <c r="E2110" t="s">
        <v>38</v>
      </c>
      <c r="F2110" t="s">
        <v>143</v>
      </c>
      <c r="G2110" t="s">
        <v>86</v>
      </c>
      <c r="H2110" s="72" t="s">
        <v>220</v>
      </c>
      <c r="I2110" s="72" t="s">
        <v>62</v>
      </c>
      <c r="J2110" t="str">
        <f t="shared" si="121"/>
        <v>Skykomish River</v>
      </c>
      <c r="K2110" t="str">
        <f>IFERROR(VLOOKUP(J2110,LUTs!$A$1:$C$73,2,FALSE),"NA")</f>
        <v>Snohomish</v>
      </c>
      <c r="L2110" t="str">
        <f>IFERROR(VLOOKUP(J2110,LUTs!$A$1:$C$73,3,FALSE),"NA")</f>
        <v>2Central Puget Sound</v>
      </c>
      <c r="M2110" s="72" t="s">
        <v>18</v>
      </c>
      <c r="N2110" t="str">
        <f>VLOOKUP(M2110,LUTs!E$2:H$14,3,)</f>
        <v>06King</v>
      </c>
      <c r="O2110" t="str">
        <f>VLOOKUP(M2110,LUTs!E$2:H$14,4,)</f>
        <v>02South Puget Sound</v>
      </c>
      <c r="P2110" s="80">
        <v>6</v>
      </c>
      <c r="Q2110" s="103">
        <v>3</v>
      </c>
      <c r="R2110" s="74">
        <f>VLOOKUP(B2110,Readme!A$40:C$52,3,)*Q2110</f>
        <v>25.619999999999997</v>
      </c>
    </row>
    <row r="2111" spans="1:18" ht="12" customHeight="1" x14ac:dyDescent="0.35">
      <c r="A2111" s="75">
        <v>2099</v>
      </c>
      <c r="B2111" s="80">
        <v>2020</v>
      </c>
      <c r="C2111" s="80">
        <v>2</v>
      </c>
      <c r="D2111" s="80">
        <f t="shared" si="119"/>
        <v>2019</v>
      </c>
      <c r="E2111" t="s">
        <v>38</v>
      </c>
      <c r="F2111" t="s">
        <v>143</v>
      </c>
      <c r="G2111" t="s">
        <v>86</v>
      </c>
      <c r="H2111" s="72" t="s">
        <v>250</v>
      </c>
      <c r="I2111" s="72" t="s">
        <v>101</v>
      </c>
      <c r="J2111" t="str">
        <f t="shared" si="121"/>
        <v>Tokul Creek</v>
      </c>
      <c r="K2111" t="str">
        <f>IFERROR(VLOOKUP(J2111,LUTs!$A$1:$C$73,2,FALSE),"NA")</f>
        <v>King</v>
      </c>
      <c r="L2111" t="str">
        <f>IFERROR(VLOOKUP(J2111,LUTs!$A$1:$C$73,3,FALSE),"NA")</f>
        <v>2Central Puget Sound</v>
      </c>
      <c r="M2111" s="72" t="s">
        <v>16</v>
      </c>
      <c r="N2111" t="str">
        <f>VLOOKUP(M2111,LUTs!E$2:H$14,3,)</f>
        <v>03Snohomish</v>
      </c>
      <c r="O2111" t="str">
        <f>VLOOKUP(M2111,LUTs!E$2:H$14,4,)</f>
        <v>01North Puget Sound</v>
      </c>
      <c r="P2111" s="80">
        <v>6</v>
      </c>
      <c r="Q2111" s="103">
        <v>3</v>
      </c>
      <c r="R2111" s="74">
        <f>VLOOKUP(B2111,Readme!A$40:C$52,3,)*Q2111</f>
        <v>25.619999999999997</v>
      </c>
    </row>
    <row r="2112" spans="1:18" ht="12" customHeight="1" x14ac:dyDescent="0.35">
      <c r="A2112" s="75">
        <v>2112</v>
      </c>
      <c r="B2112" s="80">
        <v>2020</v>
      </c>
      <c r="C2112" s="80">
        <v>3</v>
      </c>
      <c r="D2112" s="80">
        <f t="shared" si="119"/>
        <v>2019</v>
      </c>
      <c r="E2112" t="s">
        <v>38</v>
      </c>
      <c r="F2112" t="s">
        <v>143</v>
      </c>
      <c r="G2112" t="s">
        <v>86</v>
      </c>
      <c r="H2112" s="72" t="s">
        <v>254</v>
      </c>
      <c r="I2112" s="72" t="s">
        <v>33</v>
      </c>
      <c r="J2112" t="str">
        <f t="shared" si="121"/>
        <v>Area 9: Admiralty Inlet</v>
      </c>
      <c r="K2112" t="str">
        <f>IFERROR(VLOOKUP(J2112,LUTs!$A$1:$C$73,2,FALSE),"NA")</f>
        <v>NA</v>
      </c>
      <c r="L2112" t="str">
        <f>IFERROR(VLOOKUP(J2112,LUTs!$A$1:$C$73,3,FALSE),"NA")</f>
        <v>2Central Puget Sound</v>
      </c>
      <c r="M2112" s="72" t="s">
        <v>17</v>
      </c>
      <c r="N2112" t="str">
        <f>VLOOKUP(M2112,LUTs!E$2:H$14,3,)</f>
        <v>04Island</v>
      </c>
      <c r="O2112" t="str">
        <f>VLOOKUP(M2112,LUTs!E$2:H$14,4,)</f>
        <v>01North Puget Sound</v>
      </c>
      <c r="P2112" s="80">
        <v>18</v>
      </c>
      <c r="Q2112" s="103">
        <v>9</v>
      </c>
      <c r="R2112" s="74">
        <f>VLOOKUP(B2112,Readme!A$40:C$52,3,)*Q2112</f>
        <v>76.859999999999985</v>
      </c>
    </row>
    <row r="2113" spans="1:18" ht="12" customHeight="1" x14ac:dyDescent="0.35">
      <c r="A2113" s="75">
        <v>2075</v>
      </c>
      <c r="B2113" s="80">
        <v>2020</v>
      </c>
      <c r="C2113" s="80">
        <v>3</v>
      </c>
      <c r="D2113" s="80">
        <f t="shared" si="119"/>
        <v>2019</v>
      </c>
      <c r="E2113" t="s">
        <v>38</v>
      </c>
      <c r="F2113" t="s">
        <v>143</v>
      </c>
      <c r="G2113" t="s">
        <v>86</v>
      </c>
      <c r="H2113" s="72" t="s">
        <v>212</v>
      </c>
      <c r="I2113" s="72" t="s">
        <v>54</v>
      </c>
      <c r="J2113" t="str">
        <f t="shared" si="121"/>
        <v>Puyallup River</v>
      </c>
      <c r="K2113" t="str">
        <f>IFERROR(VLOOKUP(J2113,LUTs!$A$1:$C$73,2,FALSE),"NA")</f>
        <v>Pierce</v>
      </c>
      <c r="L2113" t="str">
        <f>IFERROR(VLOOKUP(J2113,LUTs!$A$1:$C$73,3,FALSE),"NA")</f>
        <v>3South Puget Sound</v>
      </c>
      <c r="M2113" s="72" t="s">
        <v>18</v>
      </c>
      <c r="N2113" t="str">
        <f>VLOOKUP(M2113,LUTs!E$2:H$14,3,)</f>
        <v>06King</v>
      </c>
      <c r="O2113" t="str">
        <f>VLOOKUP(M2113,LUTs!E$2:H$14,4,)</f>
        <v>02South Puget Sound</v>
      </c>
      <c r="P2113" s="80">
        <v>8</v>
      </c>
      <c r="Q2113" s="103">
        <v>0</v>
      </c>
      <c r="R2113" s="74">
        <f>VLOOKUP(B2113,Readme!A$40:C$52,3,)*Q2113</f>
        <v>0</v>
      </c>
    </row>
    <row r="2114" spans="1:18" ht="12" customHeight="1" x14ac:dyDescent="0.35">
      <c r="A2114" s="75">
        <v>2128</v>
      </c>
      <c r="B2114" s="80">
        <v>2020</v>
      </c>
      <c r="C2114" s="80">
        <v>5</v>
      </c>
      <c r="D2114" s="80">
        <f t="shared" ref="D2114:D2177" si="122">IF(C2114&gt;3,B2114,B2114-1)</f>
        <v>2020</v>
      </c>
      <c r="E2114" t="s">
        <v>38</v>
      </c>
      <c r="F2114" t="s">
        <v>143</v>
      </c>
      <c r="G2114" t="s">
        <v>86</v>
      </c>
      <c r="H2114" s="72" t="s">
        <v>220</v>
      </c>
      <c r="I2114" s="72" t="s">
        <v>62</v>
      </c>
      <c r="J2114" t="str">
        <f t="shared" si="121"/>
        <v>Skykomish River</v>
      </c>
      <c r="K2114" t="str">
        <f>IFERROR(VLOOKUP(J2114,LUTs!$A$1:$C$73,2,FALSE),"NA")</f>
        <v>Snohomish</v>
      </c>
      <c r="L2114" t="str">
        <f>IFERROR(VLOOKUP(J2114,LUTs!$A$1:$C$73,3,FALSE),"NA")</f>
        <v>2Central Puget Sound</v>
      </c>
      <c r="M2114" s="72" t="s">
        <v>16</v>
      </c>
      <c r="N2114" t="str">
        <f>VLOOKUP(M2114,LUTs!E$2:H$14,3,)</f>
        <v>03Snohomish</v>
      </c>
      <c r="O2114" t="str">
        <f>VLOOKUP(M2114,LUTs!E$2:H$14,4,)</f>
        <v>01North Puget Sound</v>
      </c>
      <c r="P2114" s="80">
        <v>44</v>
      </c>
      <c r="Q2114" s="103">
        <v>22</v>
      </c>
      <c r="R2114" s="74">
        <f>VLOOKUP(B2114,Readme!A$40:C$52,3,)*Q2114</f>
        <v>187.88</v>
      </c>
    </row>
    <row r="2115" spans="1:18" ht="12" customHeight="1" x14ac:dyDescent="0.35">
      <c r="A2115" s="75">
        <v>2115</v>
      </c>
      <c r="B2115" s="80">
        <v>2020</v>
      </c>
      <c r="C2115" s="80">
        <v>6</v>
      </c>
      <c r="D2115" s="80">
        <f t="shared" si="122"/>
        <v>2020</v>
      </c>
      <c r="E2115" t="s">
        <v>38</v>
      </c>
      <c r="F2115" t="s">
        <v>143</v>
      </c>
      <c r="G2115" t="s">
        <v>86</v>
      </c>
      <c r="H2115" s="72" t="s">
        <v>203</v>
      </c>
      <c r="I2115" s="72" t="s">
        <v>89</v>
      </c>
      <c r="J2115" s="84" t="s">
        <v>45</v>
      </c>
      <c r="K2115" t="str">
        <f>IFERROR(VLOOKUP(J2115,LUTs!$A$1:$C$73,2,FALSE),"NA")</f>
        <v>King</v>
      </c>
      <c r="L2115" t="str">
        <f>IFERROR(VLOOKUP(J2115,LUTs!$A$1:$C$73,3,FALSE),"NA")</f>
        <v>3South Puget Sound</v>
      </c>
      <c r="M2115" s="72" t="s">
        <v>20</v>
      </c>
      <c r="N2115" t="str">
        <f>VLOOKUP(M2115,LUTs!E$2:H$14,3,)</f>
        <v>07Pierce</v>
      </c>
      <c r="O2115" t="str">
        <f>VLOOKUP(M2115,LUTs!E$2:H$14,4,)</f>
        <v>02South Puget Sound</v>
      </c>
      <c r="P2115" s="80">
        <v>22</v>
      </c>
      <c r="Q2115" s="103">
        <v>11</v>
      </c>
      <c r="R2115" s="74">
        <f>VLOOKUP(B2115,Readme!A$40:C$52,3,)*Q2115</f>
        <v>93.94</v>
      </c>
    </row>
    <row r="2116" spans="1:18" ht="12" customHeight="1" x14ac:dyDescent="0.35">
      <c r="A2116" s="75">
        <v>2129</v>
      </c>
      <c r="B2116" s="80">
        <v>2020</v>
      </c>
      <c r="C2116" s="80">
        <v>6</v>
      </c>
      <c r="D2116" s="80">
        <f t="shared" si="122"/>
        <v>2020</v>
      </c>
      <c r="E2116" t="s">
        <v>38</v>
      </c>
      <c r="F2116" t="s">
        <v>143</v>
      </c>
      <c r="G2116" t="s">
        <v>86</v>
      </c>
      <c r="H2116" s="72" t="s">
        <v>220</v>
      </c>
      <c r="I2116" s="72" t="s">
        <v>62</v>
      </c>
      <c r="J2116" t="str">
        <f t="shared" ref="J2116:J2122" si="123">I2116</f>
        <v>Skykomish River</v>
      </c>
      <c r="K2116" t="str">
        <f>IFERROR(VLOOKUP(J2116,LUTs!$A$1:$C$73,2,FALSE),"NA")</f>
        <v>Snohomish</v>
      </c>
      <c r="L2116" t="str">
        <f>IFERROR(VLOOKUP(J2116,LUTs!$A$1:$C$73,3,FALSE),"NA")</f>
        <v>2Central Puget Sound</v>
      </c>
      <c r="M2116" s="72" t="s">
        <v>17</v>
      </c>
      <c r="N2116" t="str">
        <f>VLOOKUP(M2116,LUTs!E$2:H$14,3,)</f>
        <v>04Island</v>
      </c>
      <c r="O2116" t="str">
        <f>VLOOKUP(M2116,LUTs!E$2:H$14,4,)</f>
        <v>01North Puget Sound</v>
      </c>
      <c r="P2116" s="80">
        <v>14.909090909090899</v>
      </c>
      <c r="Q2116" s="103">
        <v>7.4545454545454604</v>
      </c>
      <c r="R2116" s="74">
        <f>VLOOKUP(B2116,Readme!A$40:C$52,3,)*Q2116</f>
        <v>63.661818181818226</v>
      </c>
    </row>
    <row r="2117" spans="1:18" ht="12" customHeight="1" x14ac:dyDescent="0.35">
      <c r="A2117" s="75">
        <v>2130</v>
      </c>
      <c r="B2117" s="80">
        <v>2020</v>
      </c>
      <c r="C2117" s="80">
        <v>6</v>
      </c>
      <c r="D2117" s="80">
        <f t="shared" si="122"/>
        <v>2020</v>
      </c>
      <c r="E2117" t="s">
        <v>38</v>
      </c>
      <c r="F2117" t="s">
        <v>143</v>
      </c>
      <c r="G2117" t="s">
        <v>86</v>
      </c>
      <c r="H2117" s="72" t="s">
        <v>220</v>
      </c>
      <c r="I2117" s="72" t="s">
        <v>62</v>
      </c>
      <c r="J2117" t="str">
        <f t="shared" si="123"/>
        <v>Skykomish River</v>
      </c>
      <c r="K2117" t="str">
        <f>IFERROR(VLOOKUP(J2117,LUTs!$A$1:$C$73,2,FALSE),"NA")</f>
        <v>Snohomish</v>
      </c>
      <c r="L2117" t="str">
        <f>IFERROR(VLOOKUP(J2117,LUTs!$A$1:$C$73,3,FALSE),"NA")</f>
        <v>2Central Puget Sound</v>
      </c>
      <c r="M2117" s="72" t="s">
        <v>18</v>
      </c>
      <c r="N2117" t="str">
        <f>VLOOKUP(M2117,LUTs!E$2:H$14,3,)</f>
        <v>06King</v>
      </c>
      <c r="O2117" t="str">
        <f>VLOOKUP(M2117,LUTs!E$2:H$14,4,)</f>
        <v>02South Puget Sound</v>
      </c>
      <c r="P2117" s="80">
        <v>44.727272727272698</v>
      </c>
      <c r="Q2117" s="103">
        <v>22.363636363636399</v>
      </c>
      <c r="R2117" s="74">
        <f>VLOOKUP(B2117,Readme!A$40:C$52,3,)*Q2117</f>
        <v>190.98545454545481</v>
      </c>
    </row>
    <row r="2118" spans="1:18" ht="12" customHeight="1" x14ac:dyDescent="0.35">
      <c r="A2118" s="75">
        <v>2131</v>
      </c>
      <c r="B2118" s="80">
        <v>2020</v>
      </c>
      <c r="C2118" s="80">
        <v>6</v>
      </c>
      <c r="D2118" s="80">
        <f t="shared" si="122"/>
        <v>2020</v>
      </c>
      <c r="E2118" t="s">
        <v>38</v>
      </c>
      <c r="F2118" t="s">
        <v>143</v>
      </c>
      <c r="G2118" t="s">
        <v>86</v>
      </c>
      <c r="H2118" s="72" t="s">
        <v>220</v>
      </c>
      <c r="I2118" s="72" t="s">
        <v>62</v>
      </c>
      <c r="J2118" t="str">
        <f t="shared" si="123"/>
        <v>Skykomish River</v>
      </c>
      <c r="K2118" t="str">
        <f>IFERROR(VLOOKUP(J2118,LUTs!$A$1:$C$73,2,FALSE),"NA")</f>
        <v>Snohomish</v>
      </c>
      <c r="L2118" t="str">
        <f>IFERROR(VLOOKUP(J2118,LUTs!$A$1:$C$73,3,FALSE),"NA")</f>
        <v>2Central Puget Sound</v>
      </c>
      <c r="M2118" s="72" t="s">
        <v>16</v>
      </c>
      <c r="N2118" t="str">
        <f>VLOOKUP(M2118,LUTs!E$2:H$14,3,)</f>
        <v>03Snohomish</v>
      </c>
      <c r="O2118" t="str">
        <f>VLOOKUP(M2118,LUTs!E$2:H$14,4,)</f>
        <v>01North Puget Sound</v>
      </c>
      <c r="P2118" s="80">
        <v>104.363636363636</v>
      </c>
      <c r="Q2118" s="103">
        <v>52.181818181818201</v>
      </c>
      <c r="R2118" s="74">
        <f>VLOOKUP(B2118,Readme!A$40:C$52,3,)*Q2118</f>
        <v>445.63272727272738</v>
      </c>
    </row>
    <row r="2119" spans="1:18" ht="12" customHeight="1" x14ac:dyDescent="0.35">
      <c r="A2119" s="75">
        <v>2145</v>
      </c>
      <c r="B2119" s="80">
        <v>2020</v>
      </c>
      <c r="C2119" s="80">
        <v>6</v>
      </c>
      <c r="D2119" s="80">
        <f t="shared" si="122"/>
        <v>2020</v>
      </c>
      <c r="E2119" t="s">
        <v>38</v>
      </c>
      <c r="F2119" t="s">
        <v>143</v>
      </c>
      <c r="G2119" t="s">
        <v>86</v>
      </c>
      <c r="H2119" s="72" t="s">
        <v>221</v>
      </c>
      <c r="I2119" s="72" t="s">
        <v>63</v>
      </c>
      <c r="J2119" t="str">
        <f t="shared" si="123"/>
        <v>Snohomish River</v>
      </c>
      <c r="K2119" t="str">
        <f>IFERROR(VLOOKUP(J2119,LUTs!$A$1:$C$73,2,FALSE),"NA")</f>
        <v>Snohomish</v>
      </c>
      <c r="L2119" t="str">
        <f>IFERROR(VLOOKUP(J2119,LUTs!$A$1:$C$73,3,FALSE),"NA")</f>
        <v>2Central Puget Sound</v>
      </c>
      <c r="M2119" s="72" t="s">
        <v>26</v>
      </c>
      <c r="N2119" t="str">
        <f>VLOOKUP(M2119,LUTs!E$2:H$14,3,)</f>
        <v>20Other</v>
      </c>
      <c r="O2119" t="str">
        <f>VLOOKUP(M2119,LUTs!E$2:H$14,4,)</f>
        <v>07Non Puget Sound</v>
      </c>
      <c r="P2119" s="80">
        <v>15</v>
      </c>
      <c r="Q2119" s="103">
        <v>7.5</v>
      </c>
      <c r="R2119" s="74">
        <f>VLOOKUP(B2119,Readme!A$40:C$52,3,)*Q2119</f>
        <v>64.05</v>
      </c>
    </row>
    <row r="2120" spans="1:18" ht="12" customHeight="1" x14ac:dyDescent="0.35">
      <c r="A2120" s="75">
        <v>2146</v>
      </c>
      <c r="B2120" s="80">
        <v>2020</v>
      </c>
      <c r="C2120" s="80">
        <v>6</v>
      </c>
      <c r="D2120" s="80">
        <f t="shared" si="122"/>
        <v>2020</v>
      </c>
      <c r="E2120" t="s">
        <v>38</v>
      </c>
      <c r="F2120" t="s">
        <v>143</v>
      </c>
      <c r="G2120" t="s">
        <v>86</v>
      </c>
      <c r="H2120" s="72" t="s">
        <v>221</v>
      </c>
      <c r="I2120" s="72" t="s">
        <v>63</v>
      </c>
      <c r="J2120" t="str">
        <f t="shared" si="123"/>
        <v>Snohomish River</v>
      </c>
      <c r="K2120" t="str">
        <f>IFERROR(VLOOKUP(J2120,LUTs!$A$1:$C$73,2,FALSE),"NA")</f>
        <v>Snohomish</v>
      </c>
      <c r="L2120" t="str">
        <f>IFERROR(VLOOKUP(J2120,LUTs!$A$1:$C$73,3,FALSE),"NA")</f>
        <v>2Central Puget Sound</v>
      </c>
      <c r="M2120" s="72" t="s">
        <v>16</v>
      </c>
      <c r="N2120" t="str">
        <f>VLOOKUP(M2120,LUTs!E$2:H$14,3,)</f>
        <v>03Snohomish</v>
      </c>
      <c r="O2120" t="str">
        <f>VLOOKUP(M2120,LUTs!E$2:H$14,4,)</f>
        <v>01North Puget Sound</v>
      </c>
      <c r="P2120" s="80">
        <v>15</v>
      </c>
      <c r="Q2120" s="103">
        <v>7.5</v>
      </c>
      <c r="R2120" s="74">
        <f>VLOOKUP(B2120,Readme!A$40:C$52,3,)*Q2120</f>
        <v>64.05</v>
      </c>
    </row>
    <row r="2121" spans="1:18" ht="12" customHeight="1" x14ac:dyDescent="0.35">
      <c r="A2121" s="75">
        <v>2148</v>
      </c>
      <c r="B2121" s="80">
        <v>2020</v>
      </c>
      <c r="C2121" s="80">
        <v>6</v>
      </c>
      <c r="D2121" s="80">
        <f t="shared" si="122"/>
        <v>2020</v>
      </c>
      <c r="E2121" t="s">
        <v>38</v>
      </c>
      <c r="F2121" t="s">
        <v>143</v>
      </c>
      <c r="G2121" t="s">
        <v>86</v>
      </c>
      <c r="H2121" s="72" t="s">
        <v>222</v>
      </c>
      <c r="I2121" s="72" t="s">
        <v>64</v>
      </c>
      <c r="J2121" t="str">
        <f t="shared" si="123"/>
        <v>Snoqualmie River</v>
      </c>
      <c r="K2121" t="str">
        <f>IFERROR(VLOOKUP(J2121,LUTs!$A$1:$C$73,2,FALSE),"NA")</f>
        <v>Snohomish/King</v>
      </c>
      <c r="L2121" t="str">
        <f>IFERROR(VLOOKUP(J2121,LUTs!$A$1:$C$73,3,FALSE),"NA")</f>
        <v>2Central Puget Sound</v>
      </c>
      <c r="M2121" s="72" t="s">
        <v>18</v>
      </c>
      <c r="N2121" t="str">
        <f>VLOOKUP(M2121,LUTs!E$2:H$14,3,)</f>
        <v>06King</v>
      </c>
      <c r="O2121" t="str">
        <f>VLOOKUP(M2121,LUTs!E$2:H$14,4,)</f>
        <v>02South Puget Sound</v>
      </c>
      <c r="P2121" s="80">
        <v>30</v>
      </c>
      <c r="Q2121" s="103">
        <v>15</v>
      </c>
      <c r="R2121" s="74">
        <f>VLOOKUP(B2121,Readme!A$40:C$52,3,)*Q2121</f>
        <v>128.1</v>
      </c>
    </row>
    <row r="2122" spans="1:18" ht="12" customHeight="1" x14ac:dyDescent="0.35">
      <c r="A2122" s="75">
        <v>2163</v>
      </c>
      <c r="B2122" s="80">
        <v>2020</v>
      </c>
      <c r="C2122" s="80">
        <v>7</v>
      </c>
      <c r="D2122" s="80">
        <f t="shared" si="122"/>
        <v>2020</v>
      </c>
      <c r="E2122" t="s">
        <v>38</v>
      </c>
      <c r="F2122" t="s">
        <v>143</v>
      </c>
      <c r="G2122" t="s">
        <v>86</v>
      </c>
      <c r="H2122" s="72" t="s">
        <v>254</v>
      </c>
      <c r="I2122" s="72" t="s">
        <v>33</v>
      </c>
      <c r="J2122" t="str">
        <f t="shared" si="123"/>
        <v>Area 9: Admiralty Inlet</v>
      </c>
      <c r="K2122" t="str">
        <f>IFERROR(VLOOKUP(J2122,LUTs!$A$1:$C$73,2,FALSE),"NA")</f>
        <v>NA</v>
      </c>
      <c r="L2122" t="str">
        <f>IFERROR(VLOOKUP(J2122,LUTs!$A$1:$C$73,3,FALSE),"NA")</f>
        <v>2Central Puget Sound</v>
      </c>
      <c r="M2122" s="72" t="s">
        <v>26</v>
      </c>
      <c r="N2122" t="str">
        <f>VLOOKUP(M2122,LUTs!E$2:H$14,3,)</f>
        <v>20Other</v>
      </c>
      <c r="O2122" t="str">
        <f>VLOOKUP(M2122,LUTs!E$2:H$14,4,)</f>
        <v>07Non Puget Sound</v>
      </c>
      <c r="P2122" s="80">
        <v>16</v>
      </c>
      <c r="Q2122" s="103">
        <v>8</v>
      </c>
      <c r="R2122" s="74">
        <f>VLOOKUP(B2122,Readme!A$40:C$52,3,)*Q2122</f>
        <v>68.319999999999993</v>
      </c>
    </row>
    <row r="2123" spans="1:18" ht="12" customHeight="1" x14ac:dyDescent="0.35">
      <c r="A2123" s="75">
        <v>2116</v>
      </c>
      <c r="B2123" s="80">
        <v>2020</v>
      </c>
      <c r="C2123" s="80">
        <v>7</v>
      </c>
      <c r="D2123" s="80">
        <f t="shared" si="122"/>
        <v>2020</v>
      </c>
      <c r="E2123" t="s">
        <v>38</v>
      </c>
      <c r="F2123" t="s">
        <v>143</v>
      </c>
      <c r="G2123" t="s">
        <v>86</v>
      </c>
      <c r="H2123" s="72" t="s">
        <v>203</v>
      </c>
      <c r="I2123" s="72" t="s">
        <v>89</v>
      </c>
      <c r="J2123" s="84" t="s">
        <v>45</v>
      </c>
      <c r="K2123" t="str">
        <f>IFERROR(VLOOKUP(J2123,LUTs!$A$1:$C$73,2,FALSE),"NA")</f>
        <v>King</v>
      </c>
      <c r="L2123" t="str">
        <f>IFERROR(VLOOKUP(J2123,LUTs!$A$1:$C$73,3,FALSE),"NA")</f>
        <v>3South Puget Sound</v>
      </c>
      <c r="M2123" s="72" t="s">
        <v>20</v>
      </c>
      <c r="N2123" t="str">
        <f>VLOOKUP(M2123,LUTs!E$2:H$14,3,)</f>
        <v>07Pierce</v>
      </c>
      <c r="O2123" t="str">
        <f>VLOOKUP(M2123,LUTs!E$2:H$14,4,)</f>
        <v>02South Puget Sound</v>
      </c>
      <c r="P2123" s="80">
        <v>22</v>
      </c>
      <c r="Q2123" s="103">
        <v>11</v>
      </c>
      <c r="R2123" s="74">
        <f>VLOOKUP(B2123,Readme!A$40:C$52,3,)*Q2123</f>
        <v>93.94</v>
      </c>
    </row>
    <row r="2124" spans="1:18" ht="12" customHeight="1" x14ac:dyDescent="0.35">
      <c r="A2124" s="75">
        <v>2132</v>
      </c>
      <c r="B2124" s="80">
        <v>2020</v>
      </c>
      <c r="C2124" s="80">
        <v>7</v>
      </c>
      <c r="D2124" s="80">
        <f t="shared" si="122"/>
        <v>2020</v>
      </c>
      <c r="E2124" t="s">
        <v>38</v>
      </c>
      <c r="F2124" t="s">
        <v>143</v>
      </c>
      <c r="G2124" t="s">
        <v>86</v>
      </c>
      <c r="H2124" s="72" t="s">
        <v>220</v>
      </c>
      <c r="I2124" s="72" t="s">
        <v>62</v>
      </c>
      <c r="J2124" t="str">
        <f>I2124</f>
        <v>Skykomish River</v>
      </c>
      <c r="K2124" t="str">
        <f>IFERROR(VLOOKUP(J2124,LUTs!$A$1:$C$73,2,FALSE),"NA")</f>
        <v>Snohomish</v>
      </c>
      <c r="L2124" t="str">
        <f>IFERROR(VLOOKUP(J2124,LUTs!$A$1:$C$73,3,FALSE),"NA")</f>
        <v>2Central Puget Sound</v>
      </c>
      <c r="M2124" s="72" t="s">
        <v>18</v>
      </c>
      <c r="N2124" t="str">
        <f>VLOOKUP(M2124,LUTs!E$2:H$14,3,)</f>
        <v>06King</v>
      </c>
      <c r="O2124" t="str">
        <f>VLOOKUP(M2124,LUTs!E$2:H$14,4,)</f>
        <v>02South Puget Sound</v>
      </c>
      <c r="P2124" s="80">
        <v>207.84615384615401</v>
      </c>
      <c r="Q2124" s="103">
        <v>103.92307692307701</v>
      </c>
      <c r="R2124" s="74">
        <f>VLOOKUP(B2124,Readme!A$40:C$52,3,)*Q2124</f>
        <v>887.50307692307751</v>
      </c>
    </row>
    <row r="2125" spans="1:18" ht="12" customHeight="1" x14ac:dyDescent="0.35">
      <c r="A2125" s="75">
        <v>2133</v>
      </c>
      <c r="B2125" s="80">
        <v>2020</v>
      </c>
      <c r="C2125" s="80">
        <v>7</v>
      </c>
      <c r="D2125" s="80">
        <f t="shared" si="122"/>
        <v>2020</v>
      </c>
      <c r="E2125" t="s">
        <v>38</v>
      </c>
      <c r="F2125" t="s">
        <v>143</v>
      </c>
      <c r="G2125" t="s">
        <v>86</v>
      </c>
      <c r="H2125" s="72" t="s">
        <v>220</v>
      </c>
      <c r="I2125" s="72" t="s">
        <v>62</v>
      </c>
      <c r="J2125" t="str">
        <f>I2125</f>
        <v>Skykomish River</v>
      </c>
      <c r="K2125" t="str">
        <f>IFERROR(VLOOKUP(J2125,LUTs!$A$1:$C$73,2,FALSE),"NA")</f>
        <v>Snohomish</v>
      </c>
      <c r="L2125" t="str">
        <f>IFERROR(VLOOKUP(J2125,LUTs!$A$1:$C$73,3,FALSE),"NA")</f>
        <v>2Central Puget Sound</v>
      </c>
      <c r="M2125" s="72" t="s">
        <v>16</v>
      </c>
      <c r="N2125" t="str">
        <f>VLOOKUP(M2125,LUTs!E$2:H$14,3,)</f>
        <v>03Snohomish</v>
      </c>
      <c r="O2125" t="str">
        <f>VLOOKUP(M2125,LUTs!E$2:H$14,4,)</f>
        <v>01North Puget Sound</v>
      </c>
      <c r="P2125" s="80">
        <v>178.15384615384599</v>
      </c>
      <c r="Q2125" s="103">
        <v>89.076923076923094</v>
      </c>
      <c r="R2125" s="74">
        <f>VLOOKUP(B2125,Readme!A$40:C$52,3,)*Q2125</f>
        <v>760.71692307692319</v>
      </c>
    </row>
    <row r="2126" spans="1:18" ht="12" customHeight="1" x14ac:dyDescent="0.35">
      <c r="A2126" s="75">
        <v>2117</v>
      </c>
      <c r="B2126" s="80">
        <v>2020</v>
      </c>
      <c r="C2126" s="80">
        <v>8</v>
      </c>
      <c r="D2126" s="80">
        <f t="shared" si="122"/>
        <v>2020</v>
      </c>
      <c r="E2126" t="s">
        <v>38</v>
      </c>
      <c r="F2126" t="s">
        <v>143</v>
      </c>
      <c r="G2126" t="s">
        <v>86</v>
      </c>
      <c r="H2126" s="72" t="s">
        <v>203</v>
      </c>
      <c r="I2126" s="72" t="s">
        <v>89</v>
      </c>
      <c r="J2126" s="84" t="s">
        <v>45</v>
      </c>
      <c r="K2126" t="str">
        <f>IFERROR(VLOOKUP(J2126,LUTs!$A$1:$C$73,2,FALSE),"NA")</f>
        <v>King</v>
      </c>
      <c r="L2126" t="str">
        <f>IFERROR(VLOOKUP(J2126,LUTs!$A$1:$C$73,3,FALSE),"NA")</f>
        <v>3South Puget Sound</v>
      </c>
      <c r="M2126" s="72" t="s">
        <v>20</v>
      </c>
      <c r="N2126" t="str">
        <f>VLOOKUP(M2126,LUTs!E$2:H$14,3,)</f>
        <v>07Pierce</v>
      </c>
      <c r="O2126" t="str">
        <f>VLOOKUP(M2126,LUTs!E$2:H$14,4,)</f>
        <v>02South Puget Sound</v>
      </c>
      <c r="P2126" s="80">
        <v>16</v>
      </c>
      <c r="Q2126" s="103">
        <v>8</v>
      </c>
      <c r="R2126" s="74">
        <f>VLOOKUP(B2126,Readme!A$40:C$52,3,)*Q2126</f>
        <v>68.319999999999993</v>
      </c>
    </row>
    <row r="2127" spans="1:18" ht="12" customHeight="1" x14ac:dyDescent="0.35">
      <c r="A2127" s="75">
        <v>2125</v>
      </c>
      <c r="B2127" s="80">
        <v>2020</v>
      </c>
      <c r="C2127" s="80">
        <v>8</v>
      </c>
      <c r="D2127" s="80">
        <f t="shared" si="122"/>
        <v>2020</v>
      </c>
      <c r="E2127" t="s">
        <v>38</v>
      </c>
      <c r="F2127" t="s">
        <v>143</v>
      </c>
      <c r="G2127" t="s">
        <v>86</v>
      </c>
      <c r="H2127" s="72" t="s">
        <v>218</v>
      </c>
      <c r="I2127" s="72" t="s">
        <v>60</v>
      </c>
      <c r="J2127" t="str">
        <f>I2127</f>
        <v>Skagit River</v>
      </c>
      <c r="K2127" t="str">
        <f>IFERROR(VLOOKUP(J2127,LUTs!$A$1:$C$73,2,FALSE),"NA")</f>
        <v>Skagit/Whatcom</v>
      </c>
      <c r="L2127" t="str">
        <f>IFERROR(VLOOKUP(J2127,LUTs!$A$1:$C$73,3,FALSE),"NA")</f>
        <v>2Central Puget Sound</v>
      </c>
      <c r="M2127" s="72" t="s">
        <v>26</v>
      </c>
      <c r="N2127" t="str">
        <f>VLOOKUP(M2127,LUTs!E$2:H$14,3,)</f>
        <v>20Other</v>
      </c>
      <c r="O2127" t="str">
        <f>VLOOKUP(M2127,LUTs!E$2:H$14,4,)</f>
        <v>07Non Puget Sound</v>
      </c>
      <c r="P2127" s="80">
        <v>8</v>
      </c>
      <c r="Q2127" s="103">
        <v>4</v>
      </c>
      <c r="R2127" s="74">
        <f>VLOOKUP(B2127,Readme!A$40:C$52,3,)*Q2127</f>
        <v>34.159999999999997</v>
      </c>
    </row>
    <row r="2128" spans="1:18" ht="12" customHeight="1" x14ac:dyDescent="0.35">
      <c r="A2128" s="75">
        <v>2126</v>
      </c>
      <c r="B2128" s="80">
        <v>2020</v>
      </c>
      <c r="C2128" s="80">
        <v>8</v>
      </c>
      <c r="D2128" s="80">
        <f t="shared" si="122"/>
        <v>2020</v>
      </c>
      <c r="E2128" t="s">
        <v>38</v>
      </c>
      <c r="F2128" t="s">
        <v>143</v>
      </c>
      <c r="G2128" t="s">
        <v>86</v>
      </c>
      <c r="H2128" s="72" t="s">
        <v>218</v>
      </c>
      <c r="I2128" s="72" t="s">
        <v>60</v>
      </c>
      <c r="J2128" t="str">
        <f>I2128</f>
        <v>Skagit River</v>
      </c>
      <c r="K2128" t="str">
        <f>IFERROR(VLOOKUP(J2128,LUTs!$A$1:$C$73,2,FALSE),"NA")</f>
        <v>Skagit/Whatcom</v>
      </c>
      <c r="L2128" t="str">
        <f>IFERROR(VLOOKUP(J2128,LUTs!$A$1:$C$73,3,FALSE),"NA")</f>
        <v>2Central Puget Sound</v>
      </c>
      <c r="M2128" s="72" t="s">
        <v>16</v>
      </c>
      <c r="N2128" t="str">
        <f>VLOOKUP(M2128,LUTs!E$2:H$14,3,)</f>
        <v>03Snohomish</v>
      </c>
      <c r="O2128" t="str">
        <f>VLOOKUP(M2128,LUTs!E$2:H$14,4,)</f>
        <v>01North Puget Sound</v>
      </c>
      <c r="P2128" s="80">
        <v>8</v>
      </c>
      <c r="Q2128" s="103">
        <v>4</v>
      </c>
      <c r="R2128" s="74">
        <f>VLOOKUP(B2128,Readme!A$40:C$52,3,)*Q2128</f>
        <v>34.159999999999997</v>
      </c>
    </row>
    <row r="2129" spans="1:18" ht="12" customHeight="1" x14ac:dyDescent="0.35">
      <c r="A2129" s="75">
        <v>2134</v>
      </c>
      <c r="B2129" s="80">
        <v>2020</v>
      </c>
      <c r="C2129" s="80">
        <v>8</v>
      </c>
      <c r="D2129" s="80">
        <f t="shared" si="122"/>
        <v>2020</v>
      </c>
      <c r="E2129" t="s">
        <v>38</v>
      </c>
      <c r="F2129" t="s">
        <v>143</v>
      </c>
      <c r="G2129" t="s">
        <v>86</v>
      </c>
      <c r="H2129" s="72" t="s">
        <v>220</v>
      </c>
      <c r="I2129" s="72" t="s">
        <v>62</v>
      </c>
      <c r="J2129" t="str">
        <f>I2129</f>
        <v>Skykomish River</v>
      </c>
      <c r="K2129" t="str">
        <f>IFERROR(VLOOKUP(J2129,LUTs!$A$1:$C$73,2,FALSE),"NA")</f>
        <v>Snohomish</v>
      </c>
      <c r="L2129" t="str">
        <f>IFERROR(VLOOKUP(J2129,LUTs!$A$1:$C$73,3,FALSE),"NA")</f>
        <v>2Central Puget Sound</v>
      </c>
      <c r="M2129" s="72" t="s">
        <v>18</v>
      </c>
      <c r="N2129" t="str">
        <f>VLOOKUP(M2129,LUTs!E$2:H$14,3,)</f>
        <v>06King</v>
      </c>
      <c r="O2129" t="str">
        <f>VLOOKUP(M2129,LUTs!E$2:H$14,4,)</f>
        <v>02South Puget Sound</v>
      </c>
      <c r="P2129" s="80">
        <v>15</v>
      </c>
      <c r="Q2129" s="103">
        <v>7.5</v>
      </c>
      <c r="R2129" s="74">
        <f>VLOOKUP(B2129,Readme!A$40:C$52,3,)*Q2129</f>
        <v>64.05</v>
      </c>
    </row>
    <row r="2130" spans="1:18" ht="12" customHeight="1" x14ac:dyDescent="0.35">
      <c r="A2130" s="75">
        <v>2135</v>
      </c>
      <c r="B2130" s="80">
        <v>2020</v>
      </c>
      <c r="C2130" s="80">
        <v>8</v>
      </c>
      <c r="D2130" s="80">
        <f t="shared" si="122"/>
        <v>2020</v>
      </c>
      <c r="E2130" t="s">
        <v>38</v>
      </c>
      <c r="F2130" t="s">
        <v>143</v>
      </c>
      <c r="G2130" t="s">
        <v>86</v>
      </c>
      <c r="H2130" s="72" t="s">
        <v>220</v>
      </c>
      <c r="I2130" s="72" t="s">
        <v>62</v>
      </c>
      <c r="J2130" t="str">
        <f>I2130</f>
        <v>Skykomish River</v>
      </c>
      <c r="K2130" t="str">
        <f>IFERROR(VLOOKUP(J2130,LUTs!$A$1:$C$73,2,FALSE),"NA")</f>
        <v>Snohomish</v>
      </c>
      <c r="L2130" t="str">
        <f>IFERROR(VLOOKUP(J2130,LUTs!$A$1:$C$73,3,FALSE),"NA")</f>
        <v>2Central Puget Sound</v>
      </c>
      <c r="M2130" s="72" t="s">
        <v>16</v>
      </c>
      <c r="N2130" t="str">
        <f>VLOOKUP(M2130,LUTs!E$2:H$14,3,)</f>
        <v>03Snohomish</v>
      </c>
      <c r="O2130" t="str">
        <f>VLOOKUP(M2130,LUTs!E$2:H$14,4,)</f>
        <v>01North Puget Sound</v>
      </c>
      <c r="P2130" s="80">
        <v>15</v>
      </c>
      <c r="Q2130" s="103">
        <v>7.5</v>
      </c>
      <c r="R2130" s="74">
        <f>VLOOKUP(B2130,Readme!A$40:C$52,3,)*Q2130</f>
        <v>64.05</v>
      </c>
    </row>
    <row r="2131" spans="1:18" ht="12" customHeight="1" x14ac:dyDescent="0.35">
      <c r="A2131" s="75">
        <v>2118</v>
      </c>
      <c r="B2131" s="80">
        <v>2020</v>
      </c>
      <c r="C2131" s="80">
        <v>9</v>
      </c>
      <c r="D2131" s="80">
        <f t="shared" si="122"/>
        <v>2020</v>
      </c>
      <c r="E2131" t="s">
        <v>38</v>
      </c>
      <c r="F2131" t="s">
        <v>143</v>
      </c>
      <c r="G2131" t="s">
        <v>86</v>
      </c>
      <c r="H2131" s="72" t="s">
        <v>203</v>
      </c>
      <c r="I2131" s="72" t="s">
        <v>89</v>
      </c>
      <c r="J2131" s="84" t="s">
        <v>45</v>
      </c>
      <c r="K2131" t="str">
        <f>IFERROR(VLOOKUP(J2131,LUTs!$A$1:$C$73,2,FALSE),"NA")</f>
        <v>King</v>
      </c>
      <c r="L2131" t="str">
        <f>IFERROR(VLOOKUP(J2131,LUTs!$A$1:$C$73,3,FALSE),"NA")</f>
        <v>3South Puget Sound</v>
      </c>
      <c r="M2131" s="72" t="s">
        <v>20</v>
      </c>
      <c r="N2131" t="str">
        <f>VLOOKUP(M2131,LUTs!E$2:H$14,3,)</f>
        <v>07Pierce</v>
      </c>
      <c r="O2131" t="str">
        <f>VLOOKUP(M2131,LUTs!E$2:H$14,4,)</f>
        <v>02South Puget Sound</v>
      </c>
      <c r="P2131" s="80">
        <v>8</v>
      </c>
      <c r="Q2131" s="103">
        <v>4</v>
      </c>
      <c r="R2131" s="74">
        <f>VLOOKUP(B2131,Readme!A$40:C$52,3,)*Q2131</f>
        <v>34.159999999999997</v>
      </c>
    </row>
    <row r="2132" spans="1:18" ht="12" customHeight="1" x14ac:dyDescent="0.35">
      <c r="A2132" s="75">
        <v>2136</v>
      </c>
      <c r="B2132" s="80">
        <v>2020</v>
      </c>
      <c r="C2132" s="80">
        <v>9</v>
      </c>
      <c r="D2132" s="80">
        <f t="shared" si="122"/>
        <v>2020</v>
      </c>
      <c r="E2132" t="s">
        <v>38</v>
      </c>
      <c r="F2132" t="s">
        <v>143</v>
      </c>
      <c r="G2132" t="s">
        <v>86</v>
      </c>
      <c r="H2132" s="72" t="s">
        <v>220</v>
      </c>
      <c r="I2132" s="72" t="s">
        <v>62</v>
      </c>
      <c r="J2132" t="str">
        <f>I2132</f>
        <v>Skykomish River</v>
      </c>
      <c r="K2132" t="str">
        <f>IFERROR(VLOOKUP(J2132,LUTs!$A$1:$C$73,2,FALSE),"NA")</f>
        <v>Snohomish</v>
      </c>
      <c r="L2132" t="str">
        <f>IFERROR(VLOOKUP(J2132,LUTs!$A$1:$C$73,3,FALSE),"NA")</f>
        <v>2Central Puget Sound</v>
      </c>
      <c r="M2132" s="72" t="s">
        <v>18</v>
      </c>
      <c r="N2132" t="str">
        <f>VLOOKUP(M2132,LUTs!E$2:H$14,3,)</f>
        <v>06King</v>
      </c>
      <c r="O2132" t="str">
        <f>VLOOKUP(M2132,LUTs!E$2:H$14,4,)</f>
        <v>02South Puget Sound</v>
      </c>
      <c r="P2132" s="80">
        <v>14.6666666666667</v>
      </c>
      <c r="Q2132" s="103">
        <v>7.3333333333333401</v>
      </c>
      <c r="R2132" s="74">
        <f>VLOOKUP(B2132,Readme!A$40:C$52,3,)*Q2132</f>
        <v>62.626666666666722</v>
      </c>
    </row>
    <row r="2133" spans="1:18" ht="12" customHeight="1" x14ac:dyDescent="0.35">
      <c r="A2133" s="75">
        <v>2137</v>
      </c>
      <c r="B2133" s="80">
        <v>2020</v>
      </c>
      <c r="C2133" s="80">
        <v>9</v>
      </c>
      <c r="D2133" s="80">
        <f t="shared" si="122"/>
        <v>2020</v>
      </c>
      <c r="E2133" t="s">
        <v>38</v>
      </c>
      <c r="F2133" t="s">
        <v>143</v>
      </c>
      <c r="G2133" t="s">
        <v>86</v>
      </c>
      <c r="H2133" s="72" t="s">
        <v>220</v>
      </c>
      <c r="I2133" s="72" t="s">
        <v>62</v>
      </c>
      <c r="J2133" t="str">
        <f>I2133</f>
        <v>Skykomish River</v>
      </c>
      <c r="K2133" t="str">
        <f>IFERROR(VLOOKUP(J2133,LUTs!$A$1:$C$73,2,FALSE),"NA")</f>
        <v>Snohomish</v>
      </c>
      <c r="L2133" t="str">
        <f>IFERROR(VLOOKUP(J2133,LUTs!$A$1:$C$73,3,FALSE),"NA")</f>
        <v>2Central Puget Sound</v>
      </c>
      <c r="M2133" s="72" t="s">
        <v>16</v>
      </c>
      <c r="N2133" t="str">
        <f>VLOOKUP(M2133,LUTs!E$2:H$14,3,)</f>
        <v>03Snohomish</v>
      </c>
      <c r="O2133" t="str">
        <f>VLOOKUP(M2133,LUTs!E$2:H$14,4,)</f>
        <v>01North Puget Sound</v>
      </c>
      <c r="P2133" s="80">
        <v>29.3333333333333</v>
      </c>
      <c r="Q2133" s="103">
        <v>14.6666666666667</v>
      </c>
      <c r="R2133" s="74">
        <f>VLOOKUP(B2133,Readme!A$40:C$52,3,)*Q2133</f>
        <v>125.2533333333336</v>
      </c>
    </row>
    <row r="2134" spans="1:18" ht="12" customHeight="1" x14ac:dyDescent="0.35">
      <c r="A2134" s="75">
        <v>2149</v>
      </c>
      <c r="B2134" s="80">
        <v>2020</v>
      </c>
      <c r="C2134" s="80">
        <v>9</v>
      </c>
      <c r="D2134" s="80">
        <f t="shared" si="122"/>
        <v>2020</v>
      </c>
      <c r="E2134" t="s">
        <v>38</v>
      </c>
      <c r="F2134" t="s">
        <v>143</v>
      </c>
      <c r="G2134" t="s">
        <v>86</v>
      </c>
      <c r="H2134" s="72" t="s">
        <v>222</v>
      </c>
      <c r="I2134" s="72" t="s">
        <v>64</v>
      </c>
      <c r="J2134" t="str">
        <f>I2134</f>
        <v>Snoqualmie River</v>
      </c>
      <c r="K2134" t="str">
        <f>IFERROR(VLOOKUP(J2134,LUTs!$A$1:$C$73,2,FALSE),"NA")</f>
        <v>Snohomish/King</v>
      </c>
      <c r="L2134" t="str">
        <f>IFERROR(VLOOKUP(J2134,LUTs!$A$1:$C$73,3,FALSE),"NA")</f>
        <v>2Central Puget Sound</v>
      </c>
      <c r="M2134" s="72" t="s">
        <v>18</v>
      </c>
      <c r="N2134" t="str">
        <f>VLOOKUP(M2134,LUTs!E$2:H$14,3,)</f>
        <v>06King</v>
      </c>
      <c r="O2134" t="str">
        <f>VLOOKUP(M2134,LUTs!E$2:H$14,4,)</f>
        <v>02South Puget Sound</v>
      </c>
      <c r="P2134" s="80">
        <v>30</v>
      </c>
      <c r="Q2134" s="103">
        <v>15</v>
      </c>
      <c r="R2134" s="74">
        <f>VLOOKUP(B2134,Readme!A$40:C$52,3,)*Q2134</f>
        <v>128.1</v>
      </c>
    </row>
    <row r="2135" spans="1:18" ht="12" customHeight="1" x14ac:dyDescent="0.35">
      <c r="A2135" s="75">
        <v>2160</v>
      </c>
      <c r="B2135" s="80">
        <v>2020</v>
      </c>
      <c r="C2135" s="80">
        <v>9</v>
      </c>
      <c r="D2135" s="80">
        <f t="shared" si="122"/>
        <v>2020</v>
      </c>
      <c r="E2135" t="s">
        <v>38</v>
      </c>
      <c r="F2135" t="s">
        <v>143</v>
      </c>
      <c r="G2135" t="s">
        <v>86</v>
      </c>
      <c r="H2135" s="72" t="s">
        <v>253</v>
      </c>
      <c r="I2135" s="72" t="s">
        <v>65</v>
      </c>
      <c r="J2135" t="str">
        <f>I2135</f>
        <v>Stillaguamish River</v>
      </c>
      <c r="K2135" t="str">
        <f>IFERROR(VLOOKUP(J2135,LUTs!$A$1:$C$73,2,FALSE),"NA")</f>
        <v>Snohomish</v>
      </c>
      <c r="L2135" t="str">
        <f>IFERROR(VLOOKUP(J2135,LUTs!$A$1:$C$73,3,FALSE),"NA")</f>
        <v>2Central Puget Sound</v>
      </c>
      <c r="M2135" s="72" t="s">
        <v>17</v>
      </c>
      <c r="N2135" t="str">
        <f>VLOOKUP(M2135,LUTs!E$2:H$14,3,)</f>
        <v>04Island</v>
      </c>
      <c r="O2135" t="str">
        <f>VLOOKUP(M2135,LUTs!E$2:H$14,4,)</f>
        <v>01North Puget Sound</v>
      </c>
      <c r="P2135" s="80">
        <v>8</v>
      </c>
      <c r="Q2135" s="103">
        <v>4</v>
      </c>
      <c r="R2135" s="74">
        <f>VLOOKUP(B2135,Readme!A$40:C$52,3,)*Q2135</f>
        <v>34.159999999999997</v>
      </c>
    </row>
    <row r="2136" spans="1:18" ht="12" customHeight="1" x14ac:dyDescent="0.35">
      <c r="A2136" s="75">
        <v>2154</v>
      </c>
      <c r="B2136" s="80">
        <v>2020</v>
      </c>
      <c r="C2136" s="80">
        <v>9</v>
      </c>
      <c r="D2136" s="80">
        <f t="shared" si="122"/>
        <v>2020</v>
      </c>
      <c r="E2136" t="s">
        <v>38</v>
      </c>
      <c r="F2136" t="s">
        <v>143</v>
      </c>
      <c r="G2136" t="s">
        <v>86</v>
      </c>
      <c r="H2136" s="72" t="s">
        <v>233</v>
      </c>
      <c r="I2136" s="72" t="s">
        <v>76</v>
      </c>
      <c r="J2136" t="str">
        <f>I2136</f>
        <v>Wallace River</v>
      </c>
      <c r="K2136" t="str">
        <f>IFERROR(VLOOKUP(J2136,LUTs!$A$1:$C$73,2,FALSE),"NA")</f>
        <v>Snohomish</v>
      </c>
      <c r="L2136" t="str">
        <f>IFERROR(VLOOKUP(J2136,LUTs!$A$1:$C$73,3,FALSE),"NA")</f>
        <v>2Central Puget Sound</v>
      </c>
      <c r="M2136" s="72" t="s">
        <v>18</v>
      </c>
      <c r="N2136" t="str">
        <f>VLOOKUP(M2136,LUTs!E$2:H$14,3,)</f>
        <v>06King</v>
      </c>
      <c r="O2136" t="str">
        <f>VLOOKUP(M2136,LUTs!E$2:H$14,4,)</f>
        <v>02South Puget Sound</v>
      </c>
      <c r="P2136" s="80">
        <v>14</v>
      </c>
      <c r="Q2136" s="103">
        <v>7</v>
      </c>
      <c r="R2136" s="74">
        <f>VLOOKUP(B2136,Readme!A$40:C$52,3,)*Q2136</f>
        <v>59.779999999999994</v>
      </c>
    </row>
    <row r="2137" spans="1:18" ht="12" customHeight="1" x14ac:dyDescent="0.35">
      <c r="A2137" s="75">
        <v>2119</v>
      </c>
      <c r="B2137" s="80">
        <v>2020</v>
      </c>
      <c r="C2137" s="80">
        <v>10</v>
      </c>
      <c r="D2137" s="80">
        <f t="shared" si="122"/>
        <v>2020</v>
      </c>
      <c r="E2137" t="s">
        <v>38</v>
      </c>
      <c r="F2137" t="s">
        <v>143</v>
      </c>
      <c r="G2137" t="s">
        <v>86</v>
      </c>
      <c r="H2137" s="72" t="s">
        <v>203</v>
      </c>
      <c r="I2137" s="72" t="s">
        <v>89</v>
      </c>
      <c r="J2137" s="84" t="s">
        <v>45</v>
      </c>
      <c r="K2137" t="str">
        <f>IFERROR(VLOOKUP(J2137,LUTs!$A$1:$C$73,2,FALSE),"NA")</f>
        <v>King</v>
      </c>
      <c r="L2137" t="str">
        <f>IFERROR(VLOOKUP(J2137,LUTs!$A$1:$C$73,3,FALSE),"NA")</f>
        <v>3South Puget Sound</v>
      </c>
      <c r="M2137" s="72" t="s">
        <v>18</v>
      </c>
      <c r="N2137" t="str">
        <f>VLOOKUP(M2137,LUTs!E$2:H$14,3,)</f>
        <v>06King</v>
      </c>
      <c r="O2137" t="str">
        <f>VLOOKUP(M2137,LUTs!E$2:H$14,4,)</f>
        <v>02South Puget Sound</v>
      </c>
      <c r="P2137" s="80">
        <v>8</v>
      </c>
      <c r="Q2137" s="103">
        <v>4</v>
      </c>
      <c r="R2137" s="74">
        <f>VLOOKUP(B2137,Readme!A$40:C$52,3,)*Q2137</f>
        <v>34.159999999999997</v>
      </c>
    </row>
    <row r="2138" spans="1:18" ht="12" customHeight="1" x14ac:dyDescent="0.35">
      <c r="A2138" s="75">
        <v>2127</v>
      </c>
      <c r="B2138" s="80">
        <v>2020</v>
      </c>
      <c r="C2138" s="80">
        <v>10</v>
      </c>
      <c r="D2138" s="80">
        <f t="shared" si="122"/>
        <v>2020</v>
      </c>
      <c r="E2138" t="s">
        <v>38</v>
      </c>
      <c r="F2138" t="s">
        <v>143</v>
      </c>
      <c r="G2138" t="s">
        <v>86</v>
      </c>
      <c r="H2138" s="72" t="s">
        <v>218</v>
      </c>
      <c r="I2138" s="72" t="s">
        <v>60</v>
      </c>
      <c r="J2138" t="str">
        <f t="shared" ref="J2138:J2169" si="124">I2138</f>
        <v>Skagit River</v>
      </c>
      <c r="K2138" t="str">
        <f>IFERROR(VLOOKUP(J2138,LUTs!$A$1:$C$73,2,FALSE),"NA")</f>
        <v>Skagit/Whatcom</v>
      </c>
      <c r="L2138" t="str">
        <f>IFERROR(VLOOKUP(J2138,LUTs!$A$1:$C$73,3,FALSE),"NA")</f>
        <v>2Central Puget Sound</v>
      </c>
      <c r="M2138" s="72" t="s">
        <v>13</v>
      </c>
      <c r="N2138" t="str">
        <f>VLOOKUP(M2138,LUTs!E$2:H$14,3,)</f>
        <v>01Whatcom</v>
      </c>
      <c r="O2138" t="str">
        <f>VLOOKUP(M2138,LUTs!E$2:H$14,4,)</f>
        <v>01North Puget Sound</v>
      </c>
      <c r="P2138" s="80">
        <v>16</v>
      </c>
      <c r="Q2138" s="103">
        <v>8</v>
      </c>
      <c r="R2138" s="74">
        <f>VLOOKUP(B2138,Readme!A$40:C$52,3,)*Q2138</f>
        <v>68.319999999999993</v>
      </c>
    </row>
    <row r="2139" spans="1:18" ht="12" customHeight="1" x14ac:dyDescent="0.35">
      <c r="A2139" s="75">
        <v>2157</v>
      </c>
      <c r="B2139" s="80">
        <v>2020</v>
      </c>
      <c r="C2139" s="80">
        <v>10</v>
      </c>
      <c r="D2139" s="80">
        <f t="shared" si="122"/>
        <v>2020</v>
      </c>
      <c r="E2139" t="s">
        <v>38</v>
      </c>
      <c r="F2139" t="s">
        <v>143</v>
      </c>
      <c r="G2139" t="s">
        <v>86</v>
      </c>
      <c r="H2139" s="72" t="s">
        <v>223</v>
      </c>
      <c r="I2139" s="72" t="s">
        <v>103</v>
      </c>
      <c r="J2139" t="str">
        <f t="shared" si="124"/>
        <v>Stillaguamish R, No. Fork</v>
      </c>
      <c r="K2139" t="str">
        <f>IFERROR(VLOOKUP(J2139,LUTs!$A$1:$C$73,2,FALSE),"NA")</f>
        <v>Snohomish</v>
      </c>
      <c r="L2139" t="str">
        <f>IFERROR(VLOOKUP(J2139,LUTs!$A$1:$C$73,3,FALSE),"NA")</f>
        <v>2Central Puget Sound</v>
      </c>
      <c r="M2139" s="72" t="s">
        <v>18</v>
      </c>
      <c r="N2139" t="str">
        <f>VLOOKUP(M2139,LUTs!E$2:H$14,3,)</f>
        <v>06King</v>
      </c>
      <c r="O2139" t="str">
        <f>VLOOKUP(M2139,LUTs!E$2:H$14,4,)</f>
        <v>02South Puget Sound</v>
      </c>
      <c r="P2139" s="80">
        <v>22.5</v>
      </c>
      <c r="Q2139" s="103">
        <v>11.25</v>
      </c>
      <c r="R2139" s="74">
        <f>VLOOKUP(B2139,Readme!A$40:C$52,3,)*Q2139</f>
        <v>96.074999999999989</v>
      </c>
    </row>
    <row r="2140" spans="1:18" ht="12" customHeight="1" x14ac:dyDescent="0.35">
      <c r="A2140" s="75">
        <v>2158</v>
      </c>
      <c r="B2140" s="80">
        <v>2020</v>
      </c>
      <c r="C2140" s="80">
        <v>10</v>
      </c>
      <c r="D2140" s="80">
        <f t="shared" si="122"/>
        <v>2020</v>
      </c>
      <c r="E2140" t="s">
        <v>38</v>
      </c>
      <c r="F2140" t="s">
        <v>143</v>
      </c>
      <c r="G2140" t="s">
        <v>86</v>
      </c>
      <c r="H2140" s="72" t="s">
        <v>223</v>
      </c>
      <c r="I2140" s="72" t="s">
        <v>103</v>
      </c>
      <c r="J2140" t="str">
        <f t="shared" si="124"/>
        <v>Stillaguamish R, No. Fork</v>
      </c>
      <c r="K2140" t="str">
        <f>IFERROR(VLOOKUP(J2140,LUTs!$A$1:$C$73,2,FALSE),"NA")</f>
        <v>Snohomish</v>
      </c>
      <c r="L2140" t="str">
        <f>IFERROR(VLOOKUP(J2140,LUTs!$A$1:$C$73,3,FALSE),"NA")</f>
        <v>2Central Puget Sound</v>
      </c>
      <c r="M2140" s="72" t="s">
        <v>16</v>
      </c>
      <c r="N2140" t="str">
        <f>VLOOKUP(M2140,LUTs!E$2:H$14,3,)</f>
        <v>03Snohomish</v>
      </c>
      <c r="O2140" t="str">
        <f>VLOOKUP(M2140,LUTs!E$2:H$14,4,)</f>
        <v>01North Puget Sound</v>
      </c>
      <c r="P2140" s="80">
        <v>37.5</v>
      </c>
      <c r="Q2140" s="103">
        <v>18.75</v>
      </c>
      <c r="R2140" s="74">
        <f>VLOOKUP(B2140,Readme!A$40:C$52,3,)*Q2140</f>
        <v>160.12499999999997</v>
      </c>
    </row>
    <row r="2141" spans="1:18" ht="12" customHeight="1" x14ac:dyDescent="0.35">
      <c r="A2141" s="75">
        <v>2150</v>
      </c>
      <c r="B2141" s="80">
        <v>2020</v>
      </c>
      <c r="C2141" s="80">
        <v>11</v>
      </c>
      <c r="D2141" s="80">
        <f t="shared" si="122"/>
        <v>2020</v>
      </c>
      <c r="E2141" t="s">
        <v>38</v>
      </c>
      <c r="F2141" t="s">
        <v>143</v>
      </c>
      <c r="G2141" t="s">
        <v>86</v>
      </c>
      <c r="H2141" s="72" t="s">
        <v>222</v>
      </c>
      <c r="I2141" s="72" t="s">
        <v>64</v>
      </c>
      <c r="J2141" t="str">
        <f t="shared" si="124"/>
        <v>Snoqualmie River</v>
      </c>
      <c r="K2141" t="str">
        <f>IFERROR(VLOOKUP(J2141,LUTs!$A$1:$C$73,2,FALSE),"NA")</f>
        <v>Snohomish/King</v>
      </c>
      <c r="L2141" t="str">
        <f>IFERROR(VLOOKUP(J2141,LUTs!$A$1:$C$73,3,FALSE),"NA")</f>
        <v>2Central Puget Sound</v>
      </c>
      <c r="M2141" s="72" t="s">
        <v>18</v>
      </c>
      <c r="N2141" t="str">
        <f>VLOOKUP(M2141,LUTs!E$2:H$14,3,)</f>
        <v>06King</v>
      </c>
      <c r="O2141" t="str">
        <f>VLOOKUP(M2141,LUTs!E$2:H$14,4,)</f>
        <v>02South Puget Sound</v>
      </c>
      <c r="P2141" s="80">
        <v>16</v>
      </c>
      <c r="Q2141" s="103">
        <v>8</v>
      </c>
      <c r="R2141" s="74">
        <f>VLOOKUP(B2141,Readme!A$40:C$52,3,)*Q2141</f>
        <v>68.319999999999993</v>
      </c>
    </row>
    <row r="2142" spans="1:18" ht="12" customHeight="1" x14ac:dyDescent="0.35">
      <c r="A2142" s="75">
        <v>2159</v>
      </c>
      <c r="B2142" s="80">
        <v>2020</v>
      </c>
      <c r="C2142" s="80">
        <v>11</v>
      </c>
      <c r="D2142" s="80">
        <f t="shared" si="122"/>
        <v>2020</v>
      </c>
      <c r="E2142" t="s">
        <v>38</v>
      </c>
      <c r="F2142" t="s">
        <v>143</v>
      </c>
      <c r="G2142" t="s">
        <v>86</v>
      </c>
      <c r="H2142" s="72" t="s">
        <v>223</v>
      </c>
      <c r="I2142" s="72" t="s">
        <v>103</v>
      </c>
      <c r="J2142" t="str">
        <f t="shared" si="124"/>
        <v>Stillaguamish R, No. Fork</v>
      </c>
      <c r="K2142" t="str">
        <f>IFERROR(VLOOKUP(J2142,LUTs!$A$1:$C$73,2,FALSE),"NA")</f>
        <v>Snohomish</v>
      </c>
      <c r="L2142" t="str">
        <f>IFERROR(VLOOKUP(J2142,LUTs!$A$1:$C$73,3,FALSE),"NA")</f>
        <v>2Central Puget Sound</v>
      </c>
      <c r="M2142" s="72" t="s">
        <v>16</v>
      </c>
      <c r="N2142" t="str">
        <f>VLOOKUP(M2142,LUTs!E$2:H$14,3,)</f>
        <v>03Snohomish</v>
      </c>
      <c r="O2142" t="str">
        <f>VLOOKUP(M2142,LUTs!E$2:H$14,4,)</f>
        <v>01North Puget Sound</v>
      </c>
      <c r="P2142" s="80">
        <v>12</v>
      </c>
      <c r="Q2142" s="103">
        <v>6</v>
      </c>
      <c r="R2142" s="74">
        <f>VLOOKUP(B2142,Readme!A$40:C$52,3,)*Q2142</f>
        <v>51.239999999999995</v>
      </c>
    </row>
    <row r="2143" spans="1:18" ht="12" customHeight="1" x14ac:dyDescent="0.35">
      <c r="A2143" s="75">
        <v>2155</v>
      </c>
      <c r="B2143" s="80">
        <v>2020</v>
      </c>
      <c r="C2143" s="80">
        <v>11</v>
      </c>
      <c r="D2143" s="80">
        <f t="shared" si="122"/>
        <v>2020</v>
      </c>
      <c r="E2143" t="s">
        <v>38</v>
      </c>
      <c r="F2143" t="s">
        <v>143</v>
      </c>
      <c r="G2143" t="s">
        <v>86</v>
      </c>
      <c r="H2143" s="72" t="s">
        <v>233</v>
      </c>
      <c r="I2143" s="72" t="s">
        <v>76</v>
      </c>
      <c r="J2143" t="str">
        <f t="shared" si="124"/>
        <v>Wallace River</v>
      </c>
      <c r="K2143" t="str">
        <f>IFERROR(VLOOKUP(J2143,LUTs!$A$1:$C$73,2,FALSE),"NA")</f>
        <v>Snohomish</v>
      </c>
      <c r="L2143" t="str">
        <f>IFERROR(VLOOKUP(J2143,LUTs!$A$1:$C$73,3,FALSE),"NA")</f>
        <v>2Central Puget Sound</v>
      </c>
      <c r="M2143" s="72" t="s">
        <v>18</v>
      </c>
      <c r="N2143" t="str">
        <f>VLOOKUP(M2143,LUTs!E$2:H$14,3,)</f>
        <v>06King</v>
      </c>
      <c r="O2143" t="str">
        <f>VLOOKUP(M2143,LUTs!E$2:H$14,4,)</f>
        <v>02South Puget Sound</v>
      </c>
      <c r="P2143" s="80">
        <v>34</v>
      </c>
      <c r="Q2143" s="103">
        <v>17</v>
      </c>
      <c r="R2143" s="74">
        <f>VLOOKUP(B2143,Readme!A$40:C$52,3,)*Q2143</f>
        <v>145.17999999999998</v>
      </c>
    </row>
    <row r="2144" spans="1:18" ht="12" customHeight="1" x14ac:dyDescent="0.35">
      <c r="A2144" s="75">
        <v>2124</v>
      </c>
      <c r="B2144" s="80">
        <v>2020</v>
      </c>
      <c r="C2144" s="80">
        <v>12</v>
      </c>
      <c r="D2144" s="80">
        <f t="shared" si="122"/>
        <v>2020</v>
      </c>
      <c r="E2144" t="s">
        <v>38</v>
      </c>
      <c r="F2144" t="s">
        <v>143</v>
      </c>
      <c r="G2144" t="s">
        <v>86</v>
      </c>
      <c r="H2144" s="72" t="s">
        <v>217</v>
      </c>
      <c r="I2144" s="72" t="s">
        <v>59</v>
      </c>
      <c r="J2144" t="str">
        <f t="shared" si="124"/>
        <v>Cascade River</v>
      </c>
      <c r="K2144" t="str">
        <f>IFERROR(VLOOKUP(J2144,LUTs!$A$1:$C$73,2,FALSE),"NA")</f>
        <v>Skagit</v>
      </c>
      <c r="L2144" t="str">
        <f>IFERROR(VLOOKUP(J2144,LUTs!$A$1:$C$73,3,FALSE),"NA")</f>
        <v>1North Puget Sound</v>
      </c>
      <c r="M2144" s="72" t="s">
        <v>18</v>
      </c>
      <c r="N2144" t="str">
        <f>VLOOKUP(M2144,LUTs!E$2:H$14,3,)</f>
        <v>06King</v>
      </c>
      <c r="O2144" t="str">
        <f>VLOOKUP(M2144,LUTs!E$2:H$14,4,)</f>
        <v>02South Puget Sound</v>
      </c>
      <c r="P2144" s="80">
        <v>12</v>
      </c>
      <c r="Q2144" s="103">
        <v>6</v>
      </c>
      <c r="R2144" s="74">
        <f>VLOOKUP(B2144,Readme!A$40:C$52,3,)*Q2144</f>
        <v>51.239999999999995</v>
      </c>
    </row>
    <row r="2145" spans="1:18" ht="12" customHeight="1" x14ac:dyDescent="0.35">
      <c r="A2145" s="75">
        <v>2120</v>
      </c>
      <c r="B2145" s="80">
        <v>2020</v>
      </c>
      <c r="C2145" s="80">
        <v>12</v>
      </c>
      <c r="D2145" s="80">
        <f t="shared" si="122"/>
        <v>2020</v>
      </c>
      <c r="E2145" t="s">
        <v>38</v>
      </c>
      <c r="F2145" t="s">
        <v>143</v>
      </c>
      <c r="G2145" t="s">
        <v>86</v>
      </c>
      <c r="H2145" s="72" t="s">
        <v>204</v>
      </c>
      <c r="I2145" s="72" t="s">
        <v>46</v>
      </c>
      <c r="J2145" t="str">
        <f t="shared" si="124"/>
        <v>Hoko River</v>
      </c>
      <c r="K2145" t="str">
        <f>IFERROR(VLOOKUP(J2145,LUTs!$A$1:$C$73,2,FALSE),"NA")</f>
        <v>Clallam</v>
      </c>
      <c r="L2145" t="str">
        <f>IFERROR(VLOOKUP(J2145,LUTs!$A$1:$C$73,3,FALSE),"NA")</f>
        <v>0Strait of Juan de Fuca</v>
      </c>
      <c r="M2145" s="72" t="s">
        <v>24</v>
      </c>
      <c r="N2145" t="str">
        <f>VLOOKUP(M2145,LUTs!E$2:H$14,3,)</f>
        <v>11Clallam</v>
      </c>
      <c r="O2145" t="str">
        <f>VLOOKUP(M2145,LUTs!E$2:H$14,4,)</f>
        <v>03Strait of Juan de Fuca</v>
      </c>
      <c r="P2145" s="80">
        <v>34</v>
      </c>
      <c r="Q2145" s="103">
        <v>17</v>
      </c>
      <c r="R2145" s="74">
        <f>VLOOKUP(B2145,Readme!A$40:C$52,3,)*Q2145</f>
        <v>145.17999999999998</v>
      </c>
    </row>
    <row r="2146" spans="1:18" ht="12" customHeight="1" x14ac:dyDescent="0.35">
      <c r="A2146" s="75">
        <v>2121</v>
      </c>
      <c r="B2146" s="80">
        <v>2020</v>
      </c>
      <c r="C2146" s="80">
        <v>12</v>
      </c>
      <c r="D2146" s="80">
        <f t="shared" si="122"/>
        <v>2020</v>
      </c>
      <c r="E2146" t="s">
        <v>38</v>
      </c>
      <c r="F2146" t="s">
        <v>143</v>
      </c>
      <c r="G2146" t="s">
        <v>86</v>
      </c>
      <c r="H2146" s="72" t="s">
        <v>239</v>
      </c>
      <c r="I2146" s="72" t="s">
        <v>92</v>
      </c>
      <c r="J2146" t="str">
        <f t="shared" si="124"/>
        <v>Nooksack River, No. Fork</v>
      </c>
      <c r="K2146" t="str">
        <f>IFERROR(VLOOKUP(J2146,LUTs!$A$1:$C$73,2,FALSE),"NA")</f>
        <v>Whatcom</v>
      </c>
      <c r="L2146" t="str">
        <f>IFERROR(VLOOKUP(J2146,LUTs!$A$1:$C$73,3,FALSE),"NA")</f>
        <v>1North Puget Sound</v>
      </c>
      <c r="M2146" s="72" t="s">
        <v>13</v>
      </c>
      <c r="N2146" t="str">
        <f>VLOOKUP(M2146,LUTs!E$2:H$14,3,)</f>
        <v>01Whatcom</v>
      </c>
      <c r="O2146" t="str">
        <f>VLOOKUP(M2146,LUTs!E$2:H$14,4,)</f>
        <v>01North Puget Sound</v>
      </c>
      <c r="P2146" s="80">
        <v>12</v>
      </c>
      <c r="Q2146" s="103">
        <v>6</v>
      </c>
      <c r="R2146" s="74">
        <f>VLOOKUP(B2146,Readme!A$40:C$52,3,)*Q2146</f>
        <v>51.239999999999995</v>
      </c>
    </row>
    <row r="2147" spans="1:18" ht="12" customHeight="1" x14ac:dyDescent="0.35">
      <c r="A2147" s="75">
        <v>2138</v>
      </c>
      <c r="B2147" s="80">
        <v>2020</v>
      </c>
      <c r="C2147" s="80">
        <v>12</v>
      </c>
      <c r="D2147" s="80">
        <f t="shared" si="122"/>
        <v>2020</v>
      </c>
      <c r="E2147" t="s">
        <v>38</v>
      </c>
      <c r="F2147" t="s">
        <v>143</v>
      </c>
      <c r="G2147" t="s">
        <v>86</v>
      </c>
      <c r="H2147" s="72" t="s">
        <v>220</v>
      </c>
      <c r="I2147" s="72" t="s">
        <v>62</v>
      </c>
      <c r="J2147" t="str">
        <f t="shared" si="124"/>
        <v>Skykomish River</v>
      </c>
      <c r="K2147" t="str">
        <f>IFERROR(VLOOKUP(J2147,LUTs!$A$1:$C$73,2,FALSE),"NA")</f>
        <v>Snohomish</v>
      </c>
      <c r="L2147" t="str">
        <f>IFERROR(VLOOKUP(J2147,LUTs!$A$1:$C$73,3,FALSE),"NA")</f>
        <v>2Central Puget Sound</v>
      </c>
      <c r="M2147" s="72" t="s">
        <v>18</v>
      </c>
      <c r="N2147" t="str">
        <f>VLOOKUP(M2147,LUTs!E$2:H$14,3,)</f>
        <v>06King</v>
      </c>
      <c r="O2147" t="str">
        <f>VLOOKUP(M2147,LUTs!E$2:H$14,4,)</f>
        <v>02South Puget Sound</v>
      </c>
      <c r="P2147" s="80">
        <v>66.6666666666667</v>
      </c>
      <c r="Q2147" s="103">
        <v>33.3333333333333</v>
      </c>
      <c r="R2147" s="74">
        <f>VLOOKUP(B2147,Readme!A$40:C$52,3,)*Q2147</f>
        <v>284.66666666666634</v>
      </c>
    </row>
    <row r="2148" spans="1:18" ht="12" customHeight="1" x14ac:dyDescent="0.35">
      <c r="A2148" s="75">
        <v>2139</v>
      </c>
      <c r="B2148" s="80">
        <v>2020</v>
      </c>
      <c r="C2148" s="80">
        <v>12</v>
      </c>
      <c r="D2148" s="80">
        <f t="shared" si="122"/>
        <v>2020</v>
      </c>
      <c r="E2148" t="s">
        <v>38</v>
      </c>
      <c r="F2148" t="s">
        <v>143</v>
      </c>
      <c r="G2148" t="s">
        <v>86</v>
      </c>
      <c r="H2148" s="72" t="s">
        <v>220</v>
      </c>
      <c r="I2148" s="72" t="s">
        <v>62</v>
      </c>
      <c r="J2148" t="str">
        <f t="shared" si="124"/>
        <v>Skykomish River</v>
      </c>
      <c r="K2148" t="str">
        <f>IFERROR(VLOOKUP(J2148,LUTs!$A$1:$C$73,2,FALSE),"NA")</f>
        <v>Snohomish</v>
      </c>
      <c r="L2148" t="str">
        <f>IFERROR(VLOOKUP(J2148,LUTs!$A$1:$C$73,3,FALSE),"NA")</f>
        <v>2Central Puget Sound</v>
      </c>
      <c r="M2148" s="72" t="s">
        <v>16</v>
      </c>
      <c r="N2148" t="str">
        <f>VLOOKUP(M2148,LUTs!E$2:H$14,3,)</f>
        <v>03Snohomish</v>
      </c>
      <c r="O2148" t="str">
        <f>VLOOKUP(M2148,LUTs!E$2:H$14,4,)</f>
        <v>01North Puget Sound</v>
      </c>
      <c r="P2148" s="80">
        <v>83.3333333333334</v>
      </c>
      <c r="Q2148" s="103">
        <v>41.6666666666667</v>
      </c>
      <c r="R2148" s="74">
        <f>VLOOKUP(B2148,Readme!A$40:C$52,3,)*Q2148</f>
        <v>355.8333333333336</v>
      </c>
    </row>
    <row r="2149" spans="1:18" ht="12" customHeight="1" x14ac:dyDescent="0.35">
      <c r="A2149" s="75">
        <v>2144</v>
      </c>
      <c r="B2149" s="80">
        <v>2020</v>
      </c>
      <c r="C2149" s="80">
        <v>12</v>
      </c>
      <c r="D2149" s="80">
        <f t="shared" si="122"/>
        <v>2020</v>
      </c>
      <c r="E2149" t="s">
        <v>38</v>
      </c>
      <c r="F2149" t="s">
        <v>143</v>
      </c>
      <c r="G2149" t="s">
        <v>86</v>
      </c>
      <c r="H2149" s="72" t="s">
        <v>247</v>
      </c>
      <c r="I2149" s="72" t="s">
        <v>98</v>
      </c>
      <c r="J2149" t="str">
        <f t="shared" si="124"/>
        <v>Skykomish River, No. Fork</v>
      </c>
      <c r="K2149" t="str">
        <f>IFERROR(VLOOKUP(J2149,LUTs!$A$1:$C$73,2,FALSE),"NA")</f>
        <v>Snohomish</v>
      </c>
      <c r="L2149" t="str">
        <f>IFERROR(VLOOKUP(J2149,LUTs!$A$1:$C$73,3,FALSE),"NA")</f>
        <v>2Central Puget Sound</v>
      </c>
      <c r="M2149" s="72" t="s">
        <v>16</v>
      </c>
      <c r="N2149" t="str">
        <f>VLOOKUP(M2149,LUTs!E$2:H$14,3,)</f>
        <v>03Snohomish</v>
      </c>
      <c r="O2149" t="str">
        <f>VLOOKUP(M2149,LUTs!E$2:H$14,4,)</f>
        <v>01North Puget Sound</v>
      </c>
      <c r="P2149" s="80">
        <v>66</v>
      </c>
      <c r="Q2149" s="103">
        <v>33</v>
      </c>
      <c r="R2149" s="74">
        <f>VLOOKUP(B2149,Readme!A$40:C$52,3,)*Q2149</f>
        <v>281.82</v>
      </c>
    </row>
    <row r="2150" spans="1:18" ht="12" customHeight="1" x14ac:dyDescent="0.35">
      <c r="A2150" s="75">
        <v>2151</v>
      </c>
      <c r="B2150" s="80">
        <v>2020</v>
      </c>
      <c r="C2150" s="80">
        <v>12</v>
      </c>
      <c r="D2150" s="80">
        <f t="shared" si="122"/>
        <v>2020</v>
      </c>
      <c r="E2150" t="s">
        <v>38</v>
      </c>
      <c r="F2150" t="s">
        <v>143</v>
      </c>
      <c r="G2150" t="s">
        <v>86</v>
      </c>
      <c r="H2150" s="72" t="s">
        <v>222</v>
      </c>
      <c r="I2150" s="72" t="s">
        <v>64</v>
      </c>
      <c r="J2150" t="str">
        <f t="shared" si="124"/>
        <v>Snoqualmie River</v>
      </c>
      <c r="K2150" t="str">
        <f>IFERROR(VLOOKUP(J2150,LUTs!$A$1:$C$73,2,FALSE),"NA")</f>
        <v>Snohomish/King</v>
      </c>
      <c r="L2150" t="str">
        <f>IFERROR(VLOOKUP(J2150,LUTs!$A$1:$C$73,3,FALSE),"NA")</f>
        <v>2Central Puget Sound</v>
      </c>
      <c r="M2150" s="72" t="s">
        <v>18</v>
      </c>
      <c r="N2150" t="str">
        <f>VLOOKUP(M2150,LUTs!E$2:H$14,3,)</f>
        <v>06King</v>
      </c>
      <c r="O2150" t="str">
        <f>VLOOKUP(M2150,LUTs!E$2:H$14,4,)</f>
        <v>02South Puget Sound</v>
      </c>
      <c r="P2150" s="80">
        <v>16</v>
      </c>
      <c r="Q2150" s="103">
        <v>8</v>
      </c>
      <c r="R2150" s="74">
        <f>VLOOKUP(B2150,Readme!A$40:C$52,3,)*Q2150</f>
        <v>68.319999999999993</v>
      </c>
    </row>
    <row r="2151" spans="1:18" ht="12" customHeight="1" x14ac:dyDescent="0.35">
      <c r="A2151" s="75">
        <v>2161</v>
      </c>
      <c r="B2151" s="80">
        <v>2020</v>
      </c>
      <c r="C2151" s="80">
        <v>12</v>
      </c>
      <c r="D2151" s="80">
        <f t="shared" si="122"/>
        <v>2020</v>
      </c>
      <c r="E2151" t="s">
        <v>38</v>
      </c>
      <c r="F2151" t="s">
        <v>143</v>
      </c>
      <c r="G2151" t="s">
        <v>86</v>
      </c>
      <c r="H2151" s="72" t="s">
        <v>253</v>
      </c>
      <c r="I2151" s="72" t="s">
        <v>65</v>
      </c>
      <c r="J2151" t="str">
        <f t="shared" si="124"/>
        <v>Stillaguamish River</v>
      </c>
      <c r="K2151" t="str">
        <f>IFERROR(VLOOKUP(J2151,LUTs!$A$1:$C$73,2,FALSE),"NA")</f>
        <v>Snohomish</v>
      </c>
      <c r="L2151" t="str">
        <f>IFERROR(VLOOKUP(J2151,LUTs!$A$1:$C$73,3,FALSE),"NA")</f>
        <v>2Central Puget Sound</v>
      </c>
      <c r="M2151" s="72" t="s">
        <v>16</v>
      </c>
      <c r="N2151" t="str">
        <f>VLOOKUP(M2151,LUTs!E$2:H$14,3,)</f>
        <v>03Snohomish</v>
      </c>
      <c r="O2151" t="str">
        <f>VLOOKUP(M2151,LUTs!E$2:H$14,4,)</f>
        <v>01North Puget Sound</v>
      </c>
      <c r="P2151" s="80">
        <v>78</v>
      </c>
      <c r="Q2151" s="103">
        <v>39</v>
      </c>
      <c r="R2151" s="74">
        <f>VLOOKUP(B2151,Readme!A$40:C$52,3,)*Q2151</f>
        <v>333.05999999999995</v>
      </c>
    </row>
    <row r="2152" spans="1:18" ht="12" customHeight="1" x14ac:dyDescent="0.35">
      <c r="A2152" s="75">
        <v>2113</v>
      </c>
      <c r="B2152" s="80">
        <v>2021</v>
      </c>
      <c r="C2152" s="80">
        <v>1</v>
      </c>
      <c r="D2152" s="80">
        <f t="shared" si="122"/>
        <v>2020</v>
      </c>
      <c r="E2152" t="s">
        <v>38</v>
      </c>
      <c r="F2152" t="s">
        <v>143</v>
      </c>
      <c r="G2152" t="s">
        <v>86</v>
      </c>
      <c r="H2152" s="72" t="s">
        <v>225</v>
      </c>
      <c r="I2152" s="72" t="s">
        <v>67</v>
      </c>
      <c r="J2152" t="str">
        <f t="shared" si="124"/>
        <v>Dewatto River</v>
      </c>
      <c r="K2152" t="str">
        <f>IFERROR(VLOOKUP(J2152,LUTs!$A$1:$C$73,2,FALSE),"NA")</f>
        <v>Mason</v>
      </c>
      <c r="L2152" t="str">
        <f>IFERROR(VLOOKUP(J2152,LUTs!$A$1:$C$73,3,FALSE),"NA")</f>
        <v>4 Hood Canal</v>
      </c>
      <c r="M2152" s="72" t="s">
        <v>20</v>
      </c>
      <c r="N2152" t="str">
        <f>VLOOKUP(M2152,LUTs!E$2:H$14,3,)</f>
        <v>07Pierce</v>
      </c>
      <c r="O2152" t="str">
        <f>VLOOKUP(M2152,LUTs!E$2:H$14,4,)</f>
        <v>02South Puget Sound</v>
      </c>
      <c r="P2152" s="80">
        <v>12</v>
      </c>
      <c r="Q2152" s="103">
        <v>6</v>
      </c>
      <c r="R2152" s="74">
        <f>VLOOKUP(B2152,Readme!A$40:C$52,3,)*Q2152</f>
        <v>111.30000000000001</v>
      </c>
    </row>
    <row r="2153" spans="1:18" ht="12" customHeight="1" x14ac:dyDescent="0.35">
      <c r="A2153" s="75">
        <v>2114</v>
      </c>
      <c r="B2153" s="80">
        <v>2021</v>
      </c>
      <c r="C2153" s="80">
        <v>1</v>
      </c>
      <c r="D2153" s="80">
        <f t="shared" si="122"/>
        <v>2020</v>
      </c>
      <c r="E2153" t="s">
        <v>38</v>
      </c>
      <c r="F2153" t="s">
        <v>143</v>
      </c>
      <c r="G2153" t="s">
        <v>86</v>
      </c>
      <c r="H2153" s="72" t="s">
        <v>201</v>
      </c>
      <c r="I2153" s="72" t="s">
        <v>43</v>
      </c>
      <c r="J2153" t="str">
        <f t="shared" si="124"/>
        <v>Dungeness River</v>
      </c>
      <c r="K2153" t="str">
        <f>IFERROR(VLOOKUP(J2153,LUTs!$A$1:$C$73,2,FALSE),"NA")</f>
        <v>Clallam</v>
      </c>
      <c r="L2153" t="str">
        <f>IFERROR(VLOOKUP(J2153,LUTs!$A$1:$C$73,3,FALSE),"NA")</f>
        <v>0Strait of Juan de Fuca</v>
      </c>
      <c r="M2153" s="72" t="s">
        <v>23</v>
      </c>
      <c r="N2153" t="str">
        <f>VLOOKUP(M2153,LUTs!E$2:H$14,3,)</f>
        <v>10Kitsap</v>
      </c>
      <c r="O2153" t="str">
        <f>VLOOKUP(M2153,LUTs!E$2:H$14,4,)</f>
        <v>02South Puget Sound</v>
      </c>
      <c r="P2153" s="80">
        <v>12</v>
      </c>
      <c r="Q2153" s="103">
        <v>6</v>
      </c>
      <c r="R2153" s="74">
        <f>VLOOKUP(B2153,Readme!A$40:C$52,3,)*Q2153</f>
        <v>111.30000000000001</v>
      </c>
    </row>
    <row r="2154" spans="1:18" ht="12" customHeight="1" x14ac:dyDescent="0.35">
      <c r="A2154" s="75">
        <v>2122</v>
      </c>
      <c r="B2154" s="80">
        <v>2021</v>
      </c>
      <c r="C2154" s="80">
        <v>1</v>
      </c>
      <c r="D2154" s="80">
        <f t="shared" si="122"/>
        <v>2020</v>
      </c>
      <c r="E2154" t="s">
        <v>38</v>
      </c>
      <c r="F2154" t="s">
        <v>143</v>
      </c>
      <c r="G2154" t="s">
        <v>86</v>
      </c>
      <c r="H2154" s="72" t="s">
        <v>241</v>
      </c>
      <c r="I2154" s="72" t="s">
        <v>83</v>
      </c>
      <c r="J2154" t="str">
        <f t="shared" si="124"/>
        <v>Nooksack River, below North Fork</v>
      </c>
      <c r="K2154" t="str">
        <f>IFERROR(VLOOKUP(J2154,LUTs!$A$1:$C$73,2,FALSE),"NA")</f>
        <v>Whatcom</v>
      </c>
      <c r="L2154" t="str">
        <f>IFERROR(VLOOKUP(J2154,LUTs!$A$1:$C$73,3,FALSE),"NA")</f>
        <v>1North Puget Sound</v>
      </c>
      <c r="M2154" s="72" t="s">
        <v>18</v>
      </c>
      <c r="N2154" t="str">
        <f>VLOOKUP(M2154,LUTs!E$2:H$14,3,)</f>
        <v>06King</v>
      </c>
      <c r="O2154" t="str">
        <f>VLOOKUP(M2154,LUTs!E$2:H$14,4,)</f>
        <v>02South Puget Sound</v>
      </c>
      <c r="P2154" s="80">
        <v>12</v>
      </c>
      <c r="Q2154" s="103">
        <v>6</v>
      </c>
      <c r="R2154" s="74">
        <f>VLOOKUP(B2154,Readme!A$40:C$52,3,)*Q2154</f>
        <v>111.30000000000001</v>
      </c>
    </row>
    <row r="2155" spans="1:18" ht="12" customHeight="1" x14ac:dyDescent="0.35">
      <c r="A2155" s="75">
        <v>2123</v>
      </c>
      <c r="B2155" s="80">
        <v>2021</v>
      </c>
      <c r="C2155" s="80">
        <v>1</v>
      </c>
      <c r="D2155" s="80">
        <f t="shared" si="122"/>
        <v>2020</v>
      </c>
      <c r="E2155" t="s">
        <v>38</v>
      </c>
      <c r="F2155" t="s">
        <v>143</v>
      </c>
      <c r="G2155" t="s">
        <v>86</v>
      </c>
      <c r="H2155" s="72" t="s">
        <v>244</v>
      </c>
      <c r="I2155" s="72" t="s">
        <v>95</v>
      </c>
      <c r="J2155" t="str">
        <f t="shared" si="124"/>
        <v>Sekiu River</v>
      </c>
      <c r="K2155" t="str">
        <f>IFERROR(VLOOKUP(J2155,LUTs!$A$1:$C$73,2,FALSE),"NA")</f>
        <v>Clallam</v>
      </c>
      <c r="L2155" t="str">
        <f>IFERROR(VLOOKUP(J2155,LUTs!$A$1:$C$73,3,FALSE),"NA")</f>
        <v>0Strait of Juan de Fuca</v>
      </c>
      <c r="M2155" s="72" t="s">
        <v>23</v>
      </c>
      <c r="N2155" t="str">
        <f>VLOOKUP(M2155,LUTs!E$2:H$14,3,)</f>
        <v>10Kitsap</v>
      </c>
      <c r="O2155" t="str">
        <f>VLOOKUP(M2155,LUTs!E$2:H$14,4,)</f>
        <v>02South Puget Sound</v>
      </c>
      <c r="P2155" s="80">
        <v>12</v>
      </c>
      <c r="Q2155" s="103">
        <v>6</v>
      </c>
      <c r="R2155" s="74">
        <f>VLOOKUP(B2155,Readme!A$40:C$52,3,)*Q2155</f>
        <v>111.30000000000001</v>
      </c>
    </row>
    <row r="2156" spans="1:18" ht="12" customHeight="1" x14ac:dyDescent="0.35">
      <c r="A2156" s="75">
        <v>2140</v>
      </c>
      <c r="B2156" s="80">
        <v>2021</v>
      </c>
      <c r="C2156" s="80">
        <v>1</v>
      </c>
      <c r="D2156" s="80">
        <f t="shared" si="122"/>
        <v>2020</v>
      </c>
      <c r="E2156" t="s">
        <v>38</v>
      </c>
      <c r="F2156" t="s">
        <v>143</v>
      </c>
      <c r="G2156" t="s">
        <v>86</v>
      </c>
      <c r="H2156" s="72" t="s">
        <v>220</v>
      </c>
      <c r="I2156" s="72" t="s">
        <v>62</v>
      </c>
      <c r="J2156" t="str">
        <f t="shared" si="124"/>
        <v>Skykomish River</v>
      </c>
      <c r="K2156" t="str">
        <f>IFERROR(VLOOKUP(J2156,LUTs!$A$1:$C$73,2,FALSE),"NA")</f>
        <v>Snohomish</v>
      </c>
      <c r="L2156" t="str">
        <f>IFERROR(VLOOKUP(J2156,LUTs!$A$1:$C$73,3,FALSE),"NA")</f>
        <v>2Central Puget Sound</v>
      </c>
      <c r="M2156" s="72" t="s">
        <v>18</v>
      </c>
      <c r="N2156" t="str">
        <f>VLOOKUP(M2156,LUTs!E$2:H$14,3,)</f>
        <v>06King</v>
      </c>
      <c r="O2156" t="str">
        <f>VLOOKUP(M2156,LUTs!E$2:H$14,4,)</f>
        <v>02South Puget Sound</v>
      </c>
      <c r="P2156" s="80">
        <v>100</v>
      </c>
      <c r="Q2156" s="103">
        <v>50</v>
      </c>
      <c r="R2156" s="74">
        <f>VLOOKUP(B2156,Readme!A$40:C$52,3,)*Q2156</f>
        <v>927.5</v>
      </c>
    </row>
    <row r="2157" spans="1:18" ht="12" customHeight="1" x14ac:dyDescent="0.35">
      <c r="A2157" s="75">
        <v>2141</v>
      </c>
      <c r="B2157" s="80">
        <v>2021</v>
      </c>
      <c r="C2157" s="80">
        <v>1</v>
      </c>
      <c r="D2157" s="80">
        <f t="shared" si="122"/>
        <v>2020</v>
      </c>
      <c r="E2157" t="s">
        <v>38</v>
      </c>
      <c r="F2157" t="s">
        <v>143</v>
      </c>
      <c r="G2157" t="s">
        <v>86</v>
      </c>
      <c r="H2157" s="72" t="s">
        <v>220</v>
      </c>
      <c r="I2157" s="72" t="s">
        <v>62</v>
      </c>
      <c r="J2157" t="str">
        <f t="shared" si="124"/>
        <v>Skykomish River</v>
      </c>
      <c r="K2157" t="str">
        <f>IFERROR(VLOOKUP(J2157,LUTs!$A$1:$C$73,2,FALSE),"NA")</f>
        <v>Snohomish</v>
      </c>
      <c r="L2157" t="str">
        <f>IFERROR(VLOOKUP(J2157,LUTs!$A$1:$C$73,3,FALSE),"NA")</f>
        <v>2Central Puget Sound</v>
      </c>
      <c r="M2157" s="72" t="s">
        <v>26</v>
      </c>
      <c r="N2157" t="str">
        <f>VLOOKUP(M2157,LUTs!E$2:H$14,3,)</f>
        <v>20Other</v>
      </c>
      <c r="O2157" t="str">
        <f>VLOOKUP(M2157,LUTs!E$2:H$14,4,)</f>
        <v>07Non Puget Sound</v>
      </c>
      <c r="P2157" s="80">
        <v>16.6666666666667</v>
      </c>
      <c r="Q2157" s="103">
        <v>8.3333333333333304</v>
      </c>
      <c r="R2157" s="74">
        <f>VLOOKUP(B2157,Readme!A$40:C$52,3,)*Q2157</f>
        <v>154.58333333333329</v>
      </c>
    </row>
    <row r="2158" spans="1:18" ht="12" customHeight="1" x14ac:dyDescent="0.35">
      <c r="A2158" s="75">
        <v>2142</v>
      </c>
      <c r="B2158" s="80">
        <v>2021</v>
      </c>
      <c r="C2158" s="80">
        <v>1</v>
      </c>
      <c r="D2158" s="80">
        <f t="shared" si="122"/>
        <v>2020</v>
      </c>
      <c r="E2158" t="s">
        <v>38</v>
      </c>
      <c r="F2158" t="s">
        <v>143</v>
      </c>
      <c r="G2158" t="s">
        <v>86</v>
      </c>
      <c r="H2158" s="72" t="s">
        <v>220</v>
      </c>
      <c r="I2158" s="72" t="s">
        <v>62</v>
      </c>
      <c r="J2158" t="str">
        <f t="shared" si="124"/>
        <v>Skykomish River</v>
      </c>
      <c r="K2158" t="str">
        <f>IFERROR(VLOOKUP(J2158,LUTs!$A$1:$C$73,2,FALSE),"NA")</f>
        <v>Snohomish</v>
      </c>
      <c r="L2158" t="str">
        <f>IFERROR(VLOOKUP(J2158,LUTs!$A$1:$C$73,3,FALSE),"NA")</f>
        <v>2Central Puget Sound</v>
      </c>
      <c r="M2158" s="72" t="s">
        <v>16</v>
      </c>
      <c r="N2158" t="str">
        <f>VLOOKUP(M2158,LUTs!E$2:H$14,3,)</f>
        <v>03Snohomish</v>
      </c>
      <c r="O2158" t="str">
        <f>VLOOKUP(M2158,LUTs!E$2:H$14,4,)</f>
        <v>01North Puget Sound</v>
      </c>
      <c r="P2158" s="80">
        <v>83.3333333333334</v>
      </c>
      <c r="Q2158" s="103">
        <v>41.6666666666667</v>
      </c>
      <c r="R2158" s="74">
        <f>VLOOKUP(B2158,Readme!A$40:C$52,3,)*Q2158</f>
        <v>772.91666666666731</v>
      </c>
    </row>
    <row r="2159" spans="1:18" ht="12" customHeight="1" x14ac:dyDescent="0.35">
      <c r="A2159" s="75">
        <v>2147</v>
      </c>
      <c r="B2159" s="80">
        <v>2021</v>
      </c>
      <c r="C2159" s="80">
        <v>1</v>
      </c>
      <c r="D2159" s="80">
        <f t="shared" si="122"/>
        <v>2020</v>
      </c>
      <c r="E2159" t="s">
        <v>38</v>
      </c>
      <c r="F2159" t="s">
        <v>143</v>
      </c>
      <c r="G2159" t="s">
        <v>86</v>
      </c>
      <c r="H2159" s="72" t="s">
        <v>221</v>
      </c>
      <c r="I2159" s="72" t="s">
        <v>63</v>
      </c>
      <c r="J2159" t="str">
        <f t="shared" si="124"/>
        <v>Snohomish River</v>
      </c>
      <c r="K2159" t="str">
        <f>IFERROR(VLOOKUP(J2159,LUTs!$A$1:$C$73,2,FALSE),"NA")</f>
        <v>Snohomish</v>
      </c>
      <c r="L2159" t="str">
        <f>IFERROR(VLOOKUP(J2159,LUTs!$A$1:$C$73,3,FALSE),"NA")</f>
        <v>2Central Puget Sound</v>
      </c>
      <c r="M2159" s="72" t="s">
        <v>16</v>
      </c>
      <c r="N2159" t="str">
        <f>VLOOKUP(M2159,LUTs!E$2:H$14,3,)</f>
        <v>03Snohomish</v>
      </c>
      <c r="O2159" t="str">
        <f>VLOOKUP(M2159,LUTs!E$2:H$14,4,)</f>
        <v>01North Puget Sound</v>
      </c>
      <c r="P2159" s="80">
        <v>34</v>
      </c>
      <c r="Q2159" s="103">
        <v>17</v>
      </c>
      <c r="R2159" s="74">
        <f>VLOOKUP(B2159,Readme!A$40:C$52,3,)*Q2159</f>
        <v>315.35000000000002</v>
      </c>
    </row>
    <row r="2160" spans="1:18" ht="12" customHeight="1" x14ac:dyDescent="0.35">
      <c r="A2160" s="75">
        <v>2162</v>
      </c>
      <c r="B2160" s="80">
        <v>2021</v>
      </c>
      <c r="C2160" s="80">
        <v>1</v>
      </c>
      <c r="D2160" s="80">
        <f t="shared" si="122"/>
        <v>2020</v>
      </c>
      <c r="E2160" t="s">
        <v>38</v>
      </c>
      <c r="F2160" t="s">
        <v>143</v>
      </c>
      <c r="G2160" t="s">
        <v>86</v>
      </c>
      <c r="H2160" s="72" t="s">
        <v>253</v>
      </c>
      <c r="I2160" s="72" t="s">
        <v>65</v>
      </c>
      <c r="J2160" t="str">
        <f t="shared" si="124"/>
        <v>Stillaguamish River</v>
      </c>
      <c r="K2160" t="str">
        <f>IFERROR(VLOOKUP(J2160,LUTs!$A$1:$C$73,2,FALSE),"NA")</f>
        <v>Snohomish</v>
      </c>
      <c r="L2160" t="str">
        <f>IFERROR(VLOOKUP(J2160,LUTs!$A$1:$C$73,3,FALSE),"NA")</f>
        <v>2Central Puget Sound</v>
      </c>
      <c r="M2160" s="72" t="s">
        <v>16</v>
      </c>
      <c r="N2160" t="str">
        <f>VLOOKUP(M2160,LUTs!E$2:H$14,3,)</f>
        <v>03Snohomish</v>
      </c>
      <c r="O2160" t="str">
        <f>VLOOKUP(M2160,LUTs!E$2:H$14,4,)</f>
        <v>01North Puget Sound</v>
      </c>
      <c r="P2160" s="80">
        <v>34</v>
      </c>
      <c r="Q2160" s="103">
        <v>17</v>
      </c>
      <c r="R2160" s="74">
        <f>VLOOKUP(B2160,Readme!A$40:C$52,3,)*Q2160</f>
        <v>315.35000000000002</v>
      </c>
    </row>
    <row r="2161" spans="1:18" ht="12" customHeight="1" x14ac:dyDescent="0.35">
      <c r="A2161" s="75">
        <v>2152</v>
      </c>
      <c r="B2161" s="80">
        <v>2021</v>
      </c>
      <c r="C2161" s="80">
        <v>1</v>
      </c>
      <c r="D2161" s="80">
        <f t="shared" si="122"/>
        <v>2020</v>
      </c>
      <c r="E2161" t="s">
        <v>38</v>
      </c>
      <c r="F2161" t="s">
        <v>143</v>
      </c>
      <c r="G2161" t="s">
        <v>86</v>
      </c>
      <c r="H2161" s="72" t="s">
        <v>250</v>
      </c>
      <c r="I2161" s="72" t="s">
        <v>101</v>
      </c>
      <c r="J2161" t="str">
        <f t="shared" si="124"/>
        <v>Tokul Creek</v>
      </c>
      <c r="K2161" t="str">
        <f>IFERROR(VLOOKUP(J2161,LUTs!$A$1:$C$73,2,FALSE),"NA")</f>
        <v>King</v>
      </c>
      <c r="L2161" t="str">
        <f>IFERROR(VLOOKUP(J2161,LUTs!$A$1:$C$73,3,FALSE),"NA")</f>
        <v>2Central Puget Sound</v>
      </c>
      <c r="M2161" s="72" t="s">
        <v>18</v>
      </c>
      <c r="N2161" t="str">
        <f>VLOOKUP(M2161,LUTs!E$2:H$14,3,)</f>
        <v>06King</v>
      </c>
      <c r="O2161" t="str">
        <f>VLOOKUP(M2161,LUTs!E$2:H$14,4,)</f>
        <v>02South Puget Sound</v>
      </c>
      <c r="P2161" s="80">
        <v>34</v>
      </c>
      <c r="Q2161" s="103">
        <v>17</v>
      </c>
      <c r="R2161" s="74">
        <f>VLOOKUP(B2161,Readme!A$40:C$52,3,)*Q2161</f>
        <v>315.35000000000002</v>
      </c>
    </row>
    <row r="2162" spans="1:18" ht="12" customHeight="1" x14ac:dyDescent="0.35">
      <c r="A2162" s="75">
        <v>2156</v>
      </c>
      <c r="B2162" s="80">
        <v>2021</v>
      </c>
      <c r="C2162" s="80">
        <v>1</v>
      </c>
      <c r="D2162" s="80">
        <f t="shared" si="122"/>
        <v>2020</v>
      </c>
      <c r="E2162" t="s">
        <v>38</v>
      </c>
      <c r="F2162" t="s">
        <v>143</v>
      </c>
      <c r="G2162" t="s">
        <v>86</v>
      </c>
      <c r="H2162" s="72" t="s">
        <v>233</v>
      </c>
      <c r="I2162" s="72" t="s">
        <v>76</v>
      </c>
      <c r="J2162" t="str">
        <f t="shared" si="124"/>
        <v>Wallace River</v>
      </c>
      <c r="K2162" t="str">
        <f>IFERROR(VLOOKUP(J2162,LUTs!$A$1:$C$73,2,FALSE),"NA")</f>
        <v>Snohomish</v>
      </c>
      <c r="L2162" t="str">
        <f>IFERROR(VLOOKUP(J2162,LUTs!$A$1:$C$73,3,FALSE),"NA")</f>
        <v>2Central Puget Sound</v>
      </c>
      <c r="M2162" s="72" t="s">
        <v>16</v>
      </c>
      <c r="N2162" t="str">
        <f>VLOOKUP(M2162,LUTs!E$2:H$14,3,)</f>
        <v>03Snohomish</v>
      </c>
      <c r="O2162" t="str">
        <f>VLOOKUP(M2162,LUTs!E$2:H$14,4,)</f>
        <v>01North Puget Sound</v>
      </c>
      <c r="P2162" s="80">
        <v>16</v>
      </c>
      <c r="Q2162" s="103">
        <v>8</v>
      </c>
      <c r="R2162" s="74">
        <f>VLOOKUP(B2162,Readme!A$40:C$52,3,)*Q2162</f>
        <v>148.4</v>
      </c>
    </row>
    <row r="2163" spans="1:18" ht="12" customHeight="1" x14ac:dyDescent="0.35">
      <c r="A2163" s="75">
        <v>2143</v>
      </c>
      <c r="B2163" s="80">
        <v>2021</v>
      </c>
      <c r="C2163" s="80">
        <v>2</v>
      </c>
      <c r="D2163" s="80">
        <f t="shared" si="122"/>
        <v>2020</v>
      </c>
      <c r="E2163" t="s">
        <v>38</v>
      </c>
      <c r="F2163" t="s">
        <v>143</v>
      </c>
      <c r="G2163" t="s">
        <v>86</v>
      </c>
      <c r="H2163" s="72" t="s">
        <v>220</v>
      </c>
      <c r="I2163" s="72" t="s">
        <v>62</v>
      </c>
      <c r="J2163" t="str">
        <f t="shared" si="124"/>
        <v>Skykomish River</v>
      </c>
      <c r="K2163" t="str">
        <f>IFERROR(VLOOKUP(J2163,LUTs!$A$1:$C$73,2,FALSE),"NA")</f>
        <v>Snohomish</v>
      </c>
      <c r="L2163" t="str">
        <f>IFERROR(VLOOKUP(J2163,LUTs!$A$1:$C$73,3,FALSE),"NA")</f>
        <v>2Central Puget Sound</v>
      </c>
      <c r="M2163" s="72" t="s">
        <v>18</v>
      </c>
      <c r="N2163" t="str">
        <f>VLOOKUP(M2163,LUTs!E$2:H$14,3,)</f>
        <v>06King</v>
      </c>
      <c r="O2163" t="str">
        <f>VLOOKUP(M2163,LUTs!E$2:H$14,4,)</f>
        <v>02South Puget Sound</v>
      </c>
      <c r="P2163" s="80">
        <v>50</v>
      </c>
      <c r="Q2163" s="103">
        <v>25</v>
      </c>
      <c r="R2163" s="74">
        <f>VLOOKUP(B2163,Readme!A$40:C$52,3,)*Q2163</f>
        <v>463.75</v>
      </c>
    </row>
    <row r="2164" spans="1:18" ht="12" customHeight="1" x14ac:dyDescent="0.35">
      <c r="A2164" s="75">
        <v>2153</v>
      </c>
      <c r="B2164" s="80">
        <v>2021</v>
      </c>
      <c r="C2164" s="80">
        <v>2</v>
      </c>
      <c r="D2164" s="80">
        <f t="shared" si="122"/>
        <v>2020</v>
      </c>
      <c r="E2164" t="s">
        <v>38</v>
      </c>
      <c r="F2164" t="s">
        <v>143</v>
      </c>
      <c r="G2164" t="s">
        <v>86</v>
      </c>
      <c r="H2164" s="72" t="s">
        <v>250</v>
      </c>
      <c r="I2164" s="72" t="s">
        <v>101</v>
      </c>
      <c r="J2164" t="str">
        <f t="shared" si="124"/>
        <v>Tokul Creek</v>
      </c>
      <c r="K2164" t="str">
        <f>IFERROR(VLOOKUP(J2164,LUTs!$A$1:$C$73,2,FALSE),"NA")</f>
        <v>King</v>
      </c>
      <c r="L2164" t="str">
        <f>IFERROR(VLOOKUP(J2164,LUTs!$A$1:$C$73,3,FALSE),"NA")</f>
        <v>2Central Puget Sound</v>
      </c>
      <c r="M2164" s="72" t="s">
        <v>18</v>
      </c>
      <c r="N2164" t="str">
        <f>VLOOKUP(M2164,LUTs!E$2:H$14,3,)</f>
        <v>06King</v>
      </c>
      <c r="O2164" t="str">
        <f>VLOOKUP(M2164,LUTs!E$2:H$14,4,)</f>
        <v>02South Puget Sound</v>
      </c>
      <c r="P2164" s="80">
        <v>16</v>
      </c>
      <c r="Q2164" s="103">
        <v>8</v>
      </c>
      <c r="R2164" s="74">
        <f>VLOOKUP(B2164,Readme!A$40:C$52,3,)*Q2164</f>
        <v>148.4</v>
      </c>
    </row>
    <row r="2165" spans="1:18" ht="12" customHeight="1" x14ac:dyDescent="0.35">
      <c r="A2165" s="75">
        <v>2176</v>
      </c>
      <c r="B2165" s="80">
        <v>2021</v>
      </c>
      <c r="C2165" s="80">
        <v>5</v>
      </c>
      <c r="D2165" s="80">
        <f t="shared" si="122"/>
        <v>2021</v>
      </c>
      <c r="E2165" t="s">
        <v>38</v>
      </c>
      <c r="F2165" t="s">
        <v>143</v>
      </c>
      <c r="G2165" t="s">
        <v>86</v>
      </c>
      <c r="H2165" s="72" t="s">
        <v>220</v>
      </c>
      <c r="I2165" s="72" t="s">
        <v>62</v>
      </c>
      <c r="J2165" t="str">
        <f t="shared" si="124"/>
        <v>Skykomish River</v>
      </c>
      <c r="K2165" t="str">
        <f>IFERROR(VLOOKUP(J2165,LUTs!$A$1:$C$73,2,FALSE),"NA")</f>
        <v>Snohomish</v>
      </c>
      <c r="L2165" t="str">
        <f>IFERROR(VLOOKUP(J2165,LUTs!$A$1:$C$73,3,FALSE),"NA")</f>
        <v>2Central Puget Sound</v>
      </c>
      <c r="M2165" s="72" t="s">
        <v>18</v>
      </c>
      <c r="N2165" t="str">
        <f>VLOOKUP(M2165,LUTs!E$2:H$14,3,)</f>
        <v>06King</v>
      </c>
      <c r="O2165" t="str">
        <f>VLOOKUP(M2165,LUTs!E$2:H$14,4,)</f>
        <v>02South Puget Sound</v>
      </c>
      <c r="P2165" s="80">
        <v>27</v>
      </c>
      <c r="Q2165" s="103">
        <v>11.5</v>
      </c>
      <c r="R2165" s="74">
        <f>VLOOKUP(B2165,Readme!A$40:C$52,3,)*Q2165</f>
        <v>213.32500000000002</v>
      </c>
    </row>
    <row r="2166" spans="1:18" ht="12" customHeight="1" x14ac:dyDescent="0.35">
      <c r="A2166" s="75">
        <v>2177</v>
      </c>
      <c r="B2166" s="80">
        <v>2021</v>
      </c>
      <c r="C2166" s="80">
        <v>5</v>
      </c>
      <c r="D2166" s="80">
        <f t="shared" si="122"/>
        <v>2021</v>
      </c>
      <c r="E2166" t="s">
        <v>38</v>
      </c>
      <c r="F2166" t="s">
        <v>143</v>
      </c>
      <c r="G2166" t="s">
        <v>86</v>
      </c>
      <c r="H2166" s="72" t="s">
        <v>220</v>
      </c>
      <c r="I2166" s="72" t="s">
        <v>62</v>
      </c>
      <c r="J2166" t="str">
        <f t="shared" si="124"/>
        <v>Skykomish River</v>
      </c>
      <c r="K2166" t="str">
        <f>IFERROR(VLOOKUP(J2166,LUTs!$A$1:$C$73,2,FALSE),"NA")</f>
        <v>Snohomish</v>
      </c>
      <c r="L2166" t="str">
        <f>IFERROR(VLOOKUP(J2166,LUTs!$A$1:$C$73,3,FALSE),"NA")</f>
        <v>2Central Puget Sound</v>
      </c>
      <c r="M2166" s="72" t="s">
        <v>16</v>
      </c>
      <c r="N2166" t="str">
        <f>VLOOKUP(M2166,LUTs!E$2:H$14,3,)</f>
        <v>03Snohomish</v>
      </c>
      <c r="O2166" t="str">
        <f>VLOOKUP(M2166,LUTs!E$2:H$14,4,)</f>
        <v>01North Puget Sound</v>
      </c>
      <c r="P2166" s="80">
        <v>27</v>
      </c>
      <c r="Q2166" s="103">
        <v>11.5</v>
      </c>
      <c r="R2166" s="74">
        <f>VLOOKUP(B2166,Readme!A$40:C$52,3,)*Q2166</f>
        <v>213.32500000000002</v>
      </c>
    </row>
    <row r="2167" spans="1:18" ht="12" customHeight="1" x14ac:dyDescent="0.35">
      <c r="A2167" s="75">
        <v>2178</v>
      </c>
      <c r="B2167" s="80">
        <v>2021</v>
      </c>
      <c r="C2167" s="80">
        <v>6</v>
      </c>
      <c r="D2167" s="80">
        <f t="shared" si="122"/>
        <v>2021</v>
      </c>
      <c r="E2167" t="s">
        <v>38</v>
      </c>
      <c r="F2167" t="s">
        <v>143</v>
      </c>
      <c r="G2167" t="s">
        <v>86</v>
      </c>
      <c r="H2167" s="72" t="s">
        <v>220</v>
      </c>
      <c r="I2167" s="72" t="s">
        <v>62</v>
      </c>
      <c r="J2167" t="str">
        <f t="shared" si="124"/>
        <v>Skykomish River</v>
      </c>
      <c r="K2167" t="str">
        <f>IFERROR(VLOOKUP(J2167,LUTs!$A$1:$C$73,2,FALSE),"NA")</f>
        <v>Snohomish</v>
      </c>
      <c r="L2167" t="str">
        <f>IFERROR(VLOOKUP(J2167,LUTs!$A$1:$C$73,3,FALSE),"NA")</f>
        <v>2Central Puget Sound</v>
      </c>
      <c r="M2167" s="72" t="s">
        <v>18</v>
      </c>
      <c r="N2167" t="str">
        <f>VLOOKUP(M2167,LUTs!E$2:H$14,3,)</f>
        <v>06King</v>
      </c>
      <c r="O2167" t="str">
        <f>VLOOKUP(M2167,LUTs!E$2:H$14,4,)</f>
        <v>02South Puget Sound</v>
      </c>
      <c r="P2167" s="80">
        <v>53.3333333333333</v>
      </c>
      <c r="Q2167" s="103">
        <v>45.7777777777778</v>
      </c>
      <c r="R2167" s="74">
        <f>VLOOKUP(B2167,Readme!A$40:C$52,3,)*Q2167</f>
        <v>849.17777777777826</v>
      </c>
    </row>
    <row r="2168" spans="1:18" ht="12" customHeight="1" x14ac:dyDescent="0.35">
      <c r="A2168" s="75">
        <v>2179</v>
      </c>
      <c r="B2168" s="80">
        <v>2021</v>
      </c>
      <c r="C2168" s="80">
        <v>6</v>
      </c>
      <c r="D2168" s="80">
        <f t="shared" si="122"/>
        <v>2021</v>
      </c>
      <c r="E2168" t="s">
        <v>38</v>
      </c>
      <c r="F2168" t="s">
        <v>143</v>
      </c>
      <c r="G2168" t="s">
        <v>86</v>
      </c>
      <c r="H2168" s="72" t="s">
        <v>220</v>
      </c>
      <c r="I2168" s="72" t="s">
        <v>62</v>
      </c>
      <c r="J2168" t="str">
        <f t="shared" si="124"/>
        <v>Skykomish River</v>
      </c>
      <c r="K2168" t="str">
        <f>IFERROR(VLOOKUP(J2168,LUTs!$A$1:$C$73,2,FALSE),"NA")</f>
        <v>Snohomish</v>
      </c>
      <c r="L2168" t="str">
        <f>IFERROR(VLOOKUP(J2168,LUTs!$A$1:$C$73,3,FALSE),"NA")</f>
        <v>2Central Puget Sound</v>
      </c>
      <c r="M2168" s="72" t="s">
        <v>20</v>
      </c>
      <c r="N2168" t="str">
        <f>VLOOKUP(M2168,LUTs!E$2:H$14,3,)</f>
        <v>07Pierce</v>
      </c>
      <c r="O2168" t="str">
        <f>VLOOKUP(M2168,LUTs!E$2:H$14,4,)</f>
        <v>02South Puget Sound</v>
      </c>
      <c r="P2168" s="80">
        <v>13.3333333333333</v>
      </c>
      <c r="Q2168" s="103">
        <v>11.4444444444444</v>
      </c>
      <c r="R2168" s="74">
        <f>VLOOKUP(B2168,Readme!A$40:C$52,3,)*Q2168</f>
        <v>212.29444444444363</v>
      </c>
    </row>
    <row r="2169" spans="1:18" ht="12" customHeight="1" x14ac:dyDescent="0.35">
      <c r="A2169" s="75">
        <v>2180</v>
      </c>
      <c r="B2169" s="80">
        <v>2021</v>
      </c>
      <c r="C2169" s="80">
        <v>6</v>
      </c>
      <c r="D2169" s="80">
        <f t="shared" si="122"/>
        <v>2021</v>
      </c>
      <c r="E2169" t="s">
        <v>38</v>
      </c>
      <c r="F2169" t="s">
        <v>143</v>
      </c>
      <c r="G2169" t="s">
        <v>86</v>
      </c>
      <c r="H2169" s="72" t="s">
        <v>220</v>
      </c>
      <c r="I2169" s="72" t="s">
        <v>62</v>
      </c>
      <c r="J2169" t="str">
        <f t="shared" si="124"/>
        <v>Skykomish River</v>
      </c>
      <c r="K2169" t="str">
        <f>IFERROR(VLOOKUP(J2169,LUTs!$A$1:$C$73,2,FALSE),"NA")</f>
        <v>Snohomish</v>
      </c>
      <c r="L2169" t="str">
        <f>IFERROR(VLOOKUP(J2169,LUTs!$A$1:$C$73,3,FALSE),"NA")</f>
        <v>2Central Puget Sound</v>
      </c>
      <c r="M2169" s="72" t="s">
        <v>16</v>
      </c>
      <c r="N2169" t="str">
        <f>VLOOKUP(M2169,LUTs!E$2:H$14,3,)</f>
        <v>03Snohomish</v>
      </c>
      <c r="O2169" t="str">
        <f>VLOOKUP(M2169,LUTs!E$2:H$14,4,)</f>
        <v>01North Puget Sound</v>
      </c>
      <c r="P2169" s="80">
        <v>53.3333333333333</v>
      </c>
      <c r="Q2169" s="103">
        <v>45.7777777777778</v>
      </c>
      <c r="R2169" s="74">
        <f>VLOOKUP(B2169,Readme!A$40:C$52,3,)*Q2169</f>
        <v>849.17777777777826</v>
      </c>
    </row>
    <row r="2170" spans="1:18" ht="12" customHeight="1" x14ac:dyDescent="0.35">
      <c r="A2170" s="75">
        <v>2166</v>
      </c>
      <c r="B2170" s="80">
        <v>2021</v>
      </c>
      <c r="C2170" s="80">
        <v>7</v>
      </c>
      <c r="D2170" s="80">
        <f t="shared" si="122"/>
        <v>2021</v>
      </c>
      <c r="E2170" t="s">
        <v>38</v>
      </c>
      <c r="F2170" t="s">
        <v>143</v>
      </c>
      <c r="G2170" t="s">
        <v>86</v>
      </c>
      <c r="H2170" s="72" t="s">
        <v>203</v>
      </c>
      <c r="I2170" s="72" t="s">
        <v>89</v>
      </c>
      <c r="J2170" s="84" t="s">
        <v>45</v>
      </c>
      <c r="K2170" t="str">
        <f>IFERROR(VLOOKUP(J2170,LUTs!$A$1:$C$73,2,FALSE),"NA")</f>
        <v>King</v>
      </c>
      <c r="L2170" t="str">
        <f>IFERROR(VLOOKUP(J2170,LUTs!$A$1:$C$73,3,FALSE),"NA")</f>
        <v>3South Puget Sound</v>
      </c>
      <c r="M2170" s="72" t="s">
        <v>20</v>
      </c>
      <c r="N2170" t="str">
        <f>VLOOKUP(M2170,LUTs!E$2:H$14,3,)</f>
        <v>07Pierce</v>
      </c>
      <c r="O2170" t="str">
        <f>VLOOKUP(M2170,LUTs!E$2:H$14,4,)</f>
        <v>02South Puget Sound</v>
      </c>
      <c r="P2170" s="80">
        <v>22</v>
      </c>
      <c r="Q2170" s="103">
        <v>11</v>
      </c>
      <c r="R2170" s="74">
        <f>VLOOKUP(B2170,Readme!A$40:C$52,3,)*Q2170</f>
        <v>204.05</v>
      </c>
    </row>
    <row r="2171" spans="1:18" ht="12" customHeight="1" x14ac:dyDescent="0.35">
      <c r="A2171" s="75">
        <v>2181</v>
      </c>
      <c r="B2171" s="80">
        <v>2021</v>
      </c>
      <c r="C2171" s="80">
        <v>7</v>
      </c>
      <c r="D2171" s="80">
        <f t="shared" si="122"/>
        <v>2021</v>
      </c>
      <c r="E2171" t="s">
        <v>38</v>
      </c>
      <c r="F2171" t="s">
        <v>143</v>
      </c>
      <c r="G2171" t="s">
        <v>86</v>
      </c>
      <c r="H2171" s="72" t="s">
        <v>220</v>
      </c>
      <c r="I2171" s="72" t="s">
        <v>62</v>
      </c>
      <c r="J2171" t="str">
        <f>I2171</f>
        <v>Skykomish River</v>
      </c>
      <c r="K2171" t="str">
        <f>IFERROR(VLOOKUP(J2171,LUTs!$A$1:$C$73,2,FALSE),"NA")</f>
        <v>Snohomish</v>
      </c>
      <c r="L2171" t="str">
        <f>IFERROR(VLOOKUP(J2171,LUTs!$A$1:$C$73,3,FALSE),"NA")</f>
        <v>2Central Puget Sound</v>
      </c>
      <c r="M2171" s="72" t="s">
        <v>18</v>
      </c>
      <c r="N2171" t="str">
        <f>VLOOKUP(M2171,LUTs!E$2:H$14,3,)</f>
        <v>06King</v>
      </c>
      <c r="O2171" t="str">
        <f>VLOOKUP(M2171,LUTs!E$2:H$14,4,)</f>
        <v>02South Puget Sound</v>
      </c>
      <c r="P2171" s="80">
        <v>161.28</v>
      </c>
      <c r="Q2171" s="103">
        <v>11.04</v>
      </c>
      <c r="R2171" s="74">
        <f>VLOOKUP(B2171,Readme!A$40:C$52,3,)*Q2171</f>
        <v>204.792</v>
      </c>
    </row>
    <row r="2172" spans="1:18" ht="12" customHeight="1" x14ac:dyDescent="0.35">
      <c r="A2172" s="75">
        <v>2182</v>
      </c>
      <c r="B2172" s="80">
        <v>2021</v>
      </c>
      <c r="C2172" s="80">
        <v>7</v>
      </c>
      <c r="D2172" s="80">
        <f t="shared" si="122"/>
        <v>2021</v>
      </c>
      <c r="E2172" t="s">
        <v>38</v>
      </c>
      <c r="F2172" t="s">
        <v>143</v>
      </c>
      <c r="G2172" t="s">
        <v>86</v>
      </c>
      <c r="H2172" s="72" t="s">
        <v>220</v>
      </c>
      <c r="I2172" s="72" t="s">
        <v>62</v>
      </c>
      <c r="J2172" t="str">
        <f>I2172</f>
        <v>Skykomish River</v>
      </c>
      <c r="K2172" t="str">
        <f>IFERROR(VLOOKUP(J2172,LUTs!$A$1:$C$73,2,FALSE),"NA")</f>
        <v>Snohomish</v>
      </c>
      <c r="L2172" t="str">
        <f>IFERROR(VLOOKUP(J2172,LUTs!$A$1:$C$73,3,FALSE),"NA")</f>
        <v>2Central Puget Sound</v>
      </c>
      <c r="M2172" s="72" t="s">
        <v>20</v>
      </c>
      <c r="N2172" t="str">
        <f>VLOOKUP(M2172,LUTs!E$2:H$14,3,)</f>
        <v>07Pierce</v>
      </c>
      <c r="O2172" t="str">
        <f>VLOOKUP(M2172,LUTs!E$2:H$14,4,)</f>
        <v>02South Puget Sound</v>
      </c>
      <c r="P2172" s="80">
        <v>26.88</v>
      </c>
      <c r="Q2172" s="103">
        <v>1.84</v>
      </c>
      <c r="R2172" s="74">
        <f>VLOOKUP(B2172,Readme!A$40:C$52,3,)*Q2172</f>
        <v>34.132000000000005</v>
      </c>
    </row>
    <row r="2173" spans="1:18" ht="12" customHeight="1" x14ac:dyDescent="0.35">
      <c r="A2173" s="75">
        <v>2183</v>
      </c>
      <c r="B2173" s="80">
        <v>2021</v>
      </c>
      <c r="C2173" s="80">
        <v>7</v>
      </c>
      <c r="D2173" s="80">
        <f t="shared" si="122"/>
        <v>2021</v>
      </c>
      <c r="E2173" t="s">
        <v>38</v>
      </c>
      <c r="F2173" t="s">
        <v>143</v>
      </c>
      <c r="G2173" t="s">
        <v>86</v>
      </c>
      <c r="H2173" s="72" t="s">
        <v>220</v>
      </c>
      <c r="I2173" s="72" t="s">
        <v>62</v>
      </c>
      <c r="J2173" t="str">
        <f>I2173</f>
        <v>Skykomish River</v>
      </c>
      <c r="K2173" t="str">
        <f>IFERROR(VLOOKUP(J2173,LUTs!$A$1:$C$73,2,FALSE),"NA")</f>
        <v>Snohomish</v>
      </c>
      <c r="L2173" t="str">
        <f>IFERROR(VLOOKUP(J2173,LUTs!$A$1:$C$73,3,FALSE),"NA")</f>
        <v>2Central Puget Sound</v>
      </c>
      <c r="M2173" s="72" t="s">
        <v>16</v>
      </c>
      <c r="N2173" t="str">
        <f>VLOOKUP(M2173,LUTs!E$2:H$14,3,)</f>
        <v>03Snohomish</v>
      </c>
      <c r="O2173" t="str">
        <f>VLOOKUP(M2173,LUTs!E$2:H$14,4,)</f>
        <v>01North Puget Sound</v>
      </c>
      <c r="P2173" s="80">
        <v>147.84</v>
      </c>
      <c r="Q2173" s="103">
        <v>10.119999999999999</v>
      </c>
      <c r="R2173" s="74">
        <f>VLOOKUP(B2173,Readme!A$40:C$52,3,)*Q2173</f>
        <v>187.726</v>
      </c>
    </row>
    <row r="2174" spans="1:18" ht="12" customHeight="1" x14ac:dyDescent="0.35">
      <c r="A2174" s="75">
        <v>2230</v>
      </c>
      <c r="B2174" s="80">
        <v>2021</v>
      </c>
      <c r="C2174" s="80">
        <v>8</v>
      </c>
      <c r="D2174" s="80">
        <f t="shared" si="122"/>
        <v>2021</v>
      </c>
      <c r="E2174" t="s">
        <v>38</v>
      </c>
      <c r="F2174" t="s">
        <v>143</v>
      </c>
      <c r="G2174" t="s">
        <v>86</v>
      </c>
      <c r="H2174" s="72" t="s">
        <v>254</v>
      </c>
      <c r="I2174" s="72" t="s">
        <v>33</v>
      </c>
      <c r="J2174" t="str">
        <f>I2174</f>
        <v>Area 9: Admiralty Inlet</v>
      </c>
      <c r="K2174" t="str">
        <f>IFERROR(VLOOKUP(J2174,LUTs!$A$1:$C$73,2,FALSE),"NA")</f>
        <v>NA</v>
      </c>
      <c r="L2174" t="str">
        <f>IFERROR(VLOOKUP(J2174,LUTs!$A$1:$C$73,3,FALSE),"NA")</f>
        <v>2Central Puget Sound</v>
      </c>
      <c r="M2174" s="72" t="s">
        <v>16</v>
      </c>
      <c r="N2174" t="str">
        <f>VLOOKUP(M2174,LUTs!E$2:H$14,3,)</f>
        <v>03Snohomish</v>
      </c>
      <c r="O2174" t="str">
        <f>VLOOKUP(M2174,LUTs!E$2:H$14,4,)</f>
        <v>01North Puget Sound</v>
      </c>
      <c r="P2174" s="80">
        <v>12</v>
      </c>
      <c r="Q2174" s="103">
        <v>6</v>
      </c>
      <c r="R2174" s="74">
        <f>VLOOKUP(B2174,Readme!A$40:C$52,3,)*Q2174</f>
        <v>111.30000000000001</v>
      </c>
    </row>
    <row r="2175" spans="1:18" ht="12" customHeight="1" x14ac:dyDescent="0.35">
      <c r="A2175" s="75">
        <v>2167</v>
      </c>
      <c r="B2175" s="80">
        <v>2021</v>
      </c>
      <c r="C2175" s="80">
        <v>8</v>
      </c>
      <c r="D2175" s="80">
        <f t="shared" si="122"/>
        <v>2021</v>
      </c>
      <c r="E2175" t="s">
        <v>38</v>
      </c>
      <c r="F2175" t="s">
        <v>143</v>
      </c>
      <c r="G2175" t="s">
        <v>86</v>
      </c>
      <c r="H2175" s="72" t="s">
        <v>203</v>
      </c>
      <c r="I2175" s="72" t="s">
        <v>89</v>
      </c>
      <c r="J2175" s="84" t="s">
        <v>45</v>
      </c>
      <c r="K2175" t="str">
        <f>IFERROR(VLOOKUP(J2175,LUTs!$A$1:$C$73,2,FALSE),"NA")</f>
        <v>King</v>
      </c>
      <c r="L2175" t="str">
        <f>IFERROR(VLOOKUP(J2175,LUTs!$A$1:$C$73,3,FALSE),"NA")</f>
        <v>3South Puget Sound</v>
      </c>
      <c r="M2175" s="72" t="s">
        <v>18</v>
      </c>
      <c r="N2175" t="str">
        <f>VLOOKUP(M2175,LUTs!E$2:H$14,3,)</f>
        <v>06King</v>
      </c>
      <c r="O2175" t="str">
        <f>VLOOKUP(M2175,LUTs!E$2:H$14,4,)</f>
        <v>02South Puget Sound</v>
      </c>
      <c r="P2175" s="80">
        <v>33</v>
      </c>
      <c r="Q2175" s="103">
        <v>16.5</v>
      </c>
      <c r="R2175" s="74">
        <f>VLOOKUP(B2175,Readme!A$40:C$52,3,)*Q2175</f>
        <v>306.07499999999999</v>
      </c>
    </row>
    <row r="2176" spans="1:18" ht="12" customHeight="1" x14ac:dyDescent="0.35">
      <c r="A2176" s="75">
        <v>2168</v>
      </c>
      <c r="B2176" s="80">
        <v>2021</v>
      </c>
      <c r="C2176" s="80">
        <v>8</v>
      </c>
      <c r="D2176" s="80">
        <f t="shared" si="122"/>
        <v>2021</v>
      </c>
      <c r="E2176" t="s">
        <v>38</v>
      </c>
      <c r="F2176" t="s">
        <v>143</v>
      </c>
      <c r="G2176" t="s">
        <v>86</v>
      </c>
      <c r="H2176" s="72" t="s">
        <v>203</v>
      </c>
      <c r="I2176" s="72" t="s">
        <v>89</v>
      </c>
      <c r="J2176" s="84" t="s">
        <v>45</v>
      </c>
      <c r="K2176" t="str">
        <f>IFERROR(VLOOKUP(J2176,LUTs!$A$1:$C$73,2,FALSE),"NA")</f>
        <v>King</v>
      </c>
      <c r="L2176" t="str">
        <f>IFERROR(VLOOKUP(J2176,LUTs!$A$1:$C$73,3,FALSE),"NA")</f>
        <v>3South Puget Sound</v>
      </c>
      <c r="M2176" s="72" t="s">
        <v>20</v>
      </c>
      <c r="N2176" t="str">
        <f>VLOOKUP(M2176,LUTs!E$2:H$14,3,)</f>
        <v>07Pierce</v>
      </c>
      <c r="O2176" t="str">
        <f>VLOOKUP(M2176,LUTs!E$2:H$14,4,)</f>
        <v>02South Puget Sound</v>
      </c>
      <c r="P2176" s="80">
        <v>33</v>
      </c>
      <c r="Q2176" s="103">
        <v>16.5</v>
      </c>
      <c r="R2176" s="74">
        <f>VLOOKUP(B2176,Readme!A$40:C$52,3,)*Q2176</f>
        <v>306.07499999999999</v>
      </c>
    </row>
    <row r="2177" spans="1:18" ht="12" customHeight="1" x14ac:dyDescent="0.35">
      <c r="A2177" s="75">
        <v>2173</v>
      </c>
      <c r="B2177" s="80">
        <v>2021</v>
      </c>
      <c r="C2177" s="80">
        <v>8</v>
      </c>
      <c r="D2177" s="80">
        <f t="shared" si="122"/>
        <v>2021</v>
      </c>
      <c r="E2177" t="s">
        <v>38</v>
      </c>
      <c r="F2177" t="s">
        <v>143</v>
      </c>
      <c r="G2177" t="s">
        <v>86</v>
      </c>
      <c r="H2177" s="72" t="s">
        <v>212</v>
      </c>
      <c r="I2177" s="72" t="s">
        <v>54</v>
      </c>
      <c r="J2177" t="str">
        <f t="shared" ref="J2177:J2182" si="125">I2177</f>
        <v>Puyallup River</v>
      </c>
      <c r="K2177" t="str">
        <f>IFERROR(VLOOKUP(J2177,LUTs!$A$1:$C$73,2,FALSE),"NA")</f>
        <v>Pierce</v>
      </c>
      <c r="L2177" t="str">
        <f>IFERROR(VLOOKUP(J2177,LUTs!$A$1:$C$73,3,FALSE),"NA")</f>
        <v>3South Puget Sound</v>
      </c>
      <c r="M2177" s="72" t="s">
        <v>20</v>
      </c>
      <c r="N2177" t="str">
        <f>VLOOKUP(M2177,LUTs!E$2:H$14,3,)</f>
        <v>07Pierce</v>
      </c>
      <c r="O2177" t="str">
        <f>VLOOKUP(M2177,LUTs!E$2:H$14,4,)</f>
        <v>02South Puget Sound</v>
      </c>
      <c r="P2177" s="80">
        <v>12</v>
      </c>
      <c r="Q2177" s="103">
        <v>1</v>
      </c>
      <c r="R2177" s="74">
        <f>VLOOKUP(B2177,Readme!A$40:C$52,3,)*Q2177</f>
        <v>18.55</v>
      </c>
    </row>
    <row r="2178" spans="1:18" ht="12" customHeight="1" x14ac:dyDescent="0.35">
      <c r="A2178" s="75">
        <v>2174</v>
      </c>
      <c r="B2178" s="80">
        <v>2021</v>
      </c>
      <c r="C2178" s="80">
        <v>8</v>
      </c>
      <c r="D2178" s="80">
        <f t="shared" ref="D2178:D2233" si="126">IF(C2178&gt;3,B2178,B2178-1)</f>
        <v>2021</v>
      </c>
      <c r="E2178" t="s">
        <v>38</v>
      </c>
      <c r="F2178" t="s">
        <v>143</v>
      </c>
      <c r="G2178" t="s">
        <v>86</v>
      </c>
      <c r="H2178" s="72" t="s">
        <v>212</v>
      </c>
      <c r="I2178" s="72" t="s">
        <v>54</v>
      </c>
      <c r="J2178" t="str">
        <f t="shared" si="125"/>
        <v>Puyallup River</v>
      </c>
      <c r="K2178" t="str">
        <f>IFERROR(VLOOKUP(J2178,LUTs!$A$1:$C$73,2,FALSE),"NA")</f>
        <v>Pierce</v>
      </c>
      <c r="L2178" t="str">
        <f>IFERROR(VLOOKUP(J2178,LUTs!$A$1:$C$73,3,FALSE),"NA")</f>
        <v>3South Puget Sound</v>
      </c>
      <c r="M2178" s="72" t="s">
        <v>16</v>
      </c>
      <c r="N2178" t="str">
        <f>VLOOKUP(M2178,LUTs!E$2:H$14,3,)</f>
        <v>03Snohomish</v>
      </c>
      <c r="O2178" t="str">
        <f>VLOOKUP(M2178,LUTs!E$2:H$14,4,)</f>
        <v>01North Puget Sound</v>
      </c>
      <c r="P2178" s="80">
        <v>0</v>
      </c>
      <c r="Q2178" s="103">
        <v>0</v>
      </c>
      <c r="R2178" s="74">
        <f>VLOOKUP(B2178,Readme!A$40:C$52,3,)*Q2178</f>
        <v>0</v>
      </c>
    </row>
    <row r="2179" spans="1:18" ht="12" customHeight="1" x14ac:dyDescent="0.35">
      <c r="A2179" s="75">
        <v>2184</v>
      </c>
      <c r="B2179" s="80">
        <v>2021</v>
      </c>
      <c r="C2179" s="80">
        <v>8</v>
      </c>
      <c r="D2179" s="80">
        <f t="shared" si="126"/>
        <v>2021</v>
      </c>
      <c r="E2179" t="s">
        <v>38</v>
      </c>
      <c r="F2179" t="s">
        <v>143</v>
      </c>
      <c r="G2179" t="s">
        <v>86</v>
      </c>
      <c r="H2179" s="72" t="s">
        <v>220</v>
      </c>
      <c r="I2179" s="72" t="s">
        <v>62</v>
      </c>
      <c r="J2179" t="str">
        <f t="shared" si="125"/>
        <v>Skykomish River</v>
      </c>
      <c r="K2179" t="str">
        <f>IFERROR(VLOOKUP(J2179,LUTs!$A$1:$C$73,2,FALSE),"NA")</f>
        <v>Snohomish</v>
      </c>
      <c r="L2179" t="str">
        <f>IFERROR(VLOOKUP(J2179,LUTs!$A$1:$C$73,3,FALSE),"NA")</f>
        <v>2Central Puget Sound</v>
      </c>
      <c r="M2179" s="72" t="s">
        <v>18</v>
      </c>
      <c r="N2179" t="str">
        <f>VLOOKUP(M2179,LUTs!E$2:H$14,3,)</f>
        <v>06King</v>
      </c>
      <c r="O2179" t="str">
        <f>VLOOKUP(M2179,LUTs!E$2:H$14,4,)</f>
        <v>02South Puget Sound</v>
      </c>
      <c r="P2179" s="80">
        <v>93.3333333333333</v>
      </c>
      <c r="Q2179" s="103">
        <v>46.6666666666667</v>
      </c>
      <c r="R2179" s="74">
        <f>VLOOKUP(B2179,Readme!A$40:C$52,3,)*Q2179</f>
        <v>865.66666666666731</v>
      </c>
    </row>
    <row r="2180" spans="1:18" ht="12" customHeight="1" x14ac:dyDescent="0.35">
      <c r="A2180" s="75">
        <v>2185</v>
      </c>
      <c r="B2180" s="80">
        <v>2021</v>
      </c>
      <c r="C2180" s="80">
        <v>8</v>
      </c>
      <c r="D2180" s="80">
        <f t="shared" si="126"/>
        <v>2021</v>
      </c>
      <c r="E2180" t="s">
        <v>38</v>
      </c>
      <c r="F2180" t="s">
        <v>143</v>
      </c>
      <c r="G2180" t="s">
        <v>86</v>
      </c>
      <c r="H2180" s="72" t="s">
        <v>220</v>
      </c>
      <c r="I2180" s="72" t="s">
        <v>62</v>
      </c>
      <c r="J2180" t="str">
        <f t="shared" si="125"/>
        <v>Skykomish River</v>
      </c>
      <c r="K2180" t="str">
        <f>IFERROR(VLOOKUP(J2180,LUTs!$A$1:$C$73,2,FALSE),"NA")</f>
        <v>Snohomish</v>
      </c>
      <c r="L2180" t="str">
        <f>IFERROR(VLOOKUP(J2180,LUTs!$A$1:$C$73,3,FALSE),"NA")</f>
        <v>2Central Puget Sound</v>
      </c>
      <c r="M2180" s="72" t="s">
        <v>26</v>
      </c>
      <c r="N2180" t="str">
        <f>VLOOKUP(M2180,LUTs!E$2:H$14,3,)</f>
        <v>20Other</v>
      </c>
      <c r="O2180" t="str">
        <f>VLOOKUP(M2180,LUTs!E$2:H$14,4,)</f>
        <v>07Non Puget Sound</v>
      </c>
      <c r="P2180" s="80">
        <v>13.3333333333333</v>
      </c>
      <c r="Q2180" s="103">
        <v>6.6666666666666696</v>
      </c>
      <c r="R2180" s="74">
        <f>VLOOKUP(B2180,Readme!A$40:C$52,3,)*Q2180</f>
        <v>123.66666666666673</v>
      </c>
    </row>
    <row r="2181" spans="1:18" ht="12" customHeight="1" x14ac:dyDescent="0.35">
      <c r="A2181" s="75">
        <v>2186</v>
      </c>
      <c r="B2181" s="80">
        <v>2021</v>
      </c>
      <c r="C2181" s="80">
        <v>8</v>
      </c>
      <c r="D2181" s="80">
        <f t="shared" si="126"/>
        <v>2021</v>
      </c>
      <c r="E2181" t="s">
        <v>38</v>
      </c>
      <c r="F2181" t="s">
        <v>143</v>
      </c>
      <c r="G2181" t="s">
        <v>86</v>
      </c>
      <c r="H2181" s="72" t="s">
        <v>220</v>
      </c>
      <c r="I2181" s="72" t="s">
        <v>62</v>
      </c>
      <c r="J2181" t="str">
        <f t="shared" si="125"/>
        <v>Skykomish River</v>
      </c>
      <c r="K2181" t="str">
        <f>IFERROR(VLOOKUP(J2181,LUTs!$A$1:$C$73,2,FALSE),"NA")</f>
        <v>Snohomish</v>
      </c>
      <c r="L2181" t="str">
        <f>IFERROR(VLOOKUP(J2181,LUTs!$A$1:$C$73,3,FALSE),"NA")</f>
        <v>2Central Puget Sound</v>
      </c>
      <c r="M2181" s="72" t="s">
        <v>16</v>
      </c>
      <c r="N2181" t="str">
        <f>VLOOKUP(M2181,LUTs!E$2:H$14,3,)</f>
        <v>03Snohomish</v>
      </c>
      <c r="O2181" t="str">
        <f>VLOOKUP(M2181,LUTs!E$2:H$14,4,)</f>
        <v>01North Puget Sound</v>
      </c>
      <c r="P2181" s="80">
        <v>13.3333333333333</v>
      </c>
      <c r="Q2181" s="103">
        <v>6.6666666666666696</v>
      </c>
      <c r="R2181" s="74">
        <f>VLOOKUP(B2181,Readme!A$40:C$52,3,)*Q2181</f>
        <v>123.66666666666673</v>
      </c>
    </row>
    <row r="2182" spans="1:18" ht="12" customHeight="1" x14ac:dyDescent="0.35">
      <c r="A2182" s="75">
        <v>2206</v>
      </c>
      <c r="B2182" s="80">
        <v>2021</v>
      </c>
      <c r="C2182" s="80">
        <v>8</v>
      </c>
      <c r="D2182" s="80">
        <f t="shared" si="126"/>
        <v>2021</v>
      </c>
      <c r="E2182" t="s">
        <v>38</v>
      </c>
      <c r="F2182" t="s">
        <v>143</v>
      </c>
      <c r="G2182" t="s">
        <v>86</v>
      </c>
      <c r="H2182" s="72" t="s">
        <v>250</v>
      </c>
      <c r="I2182" s="72" t="s">
        <v>101</v>
      </c>
      <c r="J2182" t="str">
        <f t="shared" si="125"/>
        <v>Tokul Creek</v>
      </c>
      <c r="K2182" t="str">
        <f>IFERROR(VLOOKUP(J2182,LUTs!$A$1:$C$73,2,FALSE),"NA")</f>
        <v>King</v>
      </c>
      <c r="L2182" t="str">
        <f>IFERROR(VLOOKUP(J2182,LUTs!$A$1:$C$73,3,FALSE),"NA")</f>
        <v>2Central Puget Sound</v>
      </c>
      <c r="M2182" s="72" t="s">
        <v>18</v>
      </c>
      <c r="N2182" t="str">
        <f>VLOOKUP(M2182,LUTs!E$2:H$14,3,)</f>
        <v>06King</v>
      </c>
      <c r="O2182" t="str">
        <f>VLOOKUP(M2182,LUTs!E$2:H$14,4,)</f>
        <v>02South Puget Sound</v>
      </c>
      <c r="P2182" s="80">
        <v>14</v>
      </c>
      <c r="Q2182" s="103">
        <v>7</v>
      </c>
      <c r="R2182" s="74">
        <f>VLOOKUP(B2182,Readme!A$40:C$52,3,)*Q2182</f>
        <v>129.85</v>
      </c>
    </row>
    <row r="2183" spans="1:18" ht="12" customHeight="1" x14ac:dyDescent="0.35">
      <c r="A2183" s="75">
        <v>2169</v>
      </c>
      <c r="B2183" s="80">
        <v>2021</v>
      </c>
      <c r="C2183" s="80">
        <v>9</v>
      </c>
      <c r="D2183" s="80">
        <f t="shared" si="126"/>
        <v>2021</v>
      </c>
      <c r="E2183" t="s">
        <v>38</v>
      </c>
      <c r="F2183" t="s">
        <v>143</v>
      </c>
      <c r="G2183" t="s">
        <v>86</v>
      </c>
      <c r="H2183" s="72" t="s">
        <v>203</v>
      </c>
      <c r="I2183" s="72" t="s">
        <v>89</v>
      </c>
      <c r="J2183" s="84" t="s">
        <v>45</v>
      </c>
      <c r="K2183" t="str">
        <f>IFERROR(VLOOKUP(J2183,LUTs!$A$1:$C$73,2,FALSE),"NA")</f>
        <v>King</v>
      </c>
      <c r="L2183" t="str">
        <f>IFERROR(VLOOKUP(J2183,LUTs!$A$1:$C$73,3,FALSE),"NA")</f>
        <v>3South Puget Sound</v>
      </c>
      <c r="M2183" s="72" t="s">
        <v>20</v>
      </c>
      <c r="N2183" t="str">
        <f>VLOOKUP(M2183,LUTs!E$2:H$14,3,)</f>
        <v>07Pierce</v>
      </c>
      <c r="O2183" t="str">
        <f>VLOOKUP(M2183,LUTs!E$2:H$14,4,)</f>
        <v>02South Puget Sound</v>
      </c>
      <c r="P2183" s="80">
        <v>22</v>
      </c>
      <c r="Q2183" s="103">
        <v>11</v>
      </c>
      <c r="R2183" s="74">
        <f>VLOOKUP(B2183,Readme!A$40:C$52,3,)*Q2183</f>
        <v>204.05</v>
      </c>
    </row>
    <row r="2184" spans="1:18" ht="12" customHeight="1" x14ac:dyDescent="0.35">
      <c r="A2184" s="75">
        <v>2187</v>
      </c>
      <c r="B2184" s="80">
        <v>2021</v>
      </c>
      <c r="C2184" s="80">
        <v>9</v>
      </c>
      <c r="D2184" s="80">
        <f t="shared" si="126"/>
        <v>2021</v>
      </c>
      <c r="E2184" t="s">
        <v>38</v>
      </c>
      <c r="F2184" t="s">
        <v>143</v>
      </c>
      <c r="G2184" t="s">
        <v>86</v>
      </c>
      <c r="H2184" s="72" t="s">
        <v>220</v>
      </c>
      <c r="I2184" s="72" t="s">
        <v>62</v>
      </c>
      <c r="J2184" t="str">
        <f>I2184</f>
        <v>Skykomish River</v>
      </c>
      <c r="K2184" t="str">
        <f>IFERROR(VLOOKUP(J2184,LUTs!$A$1:$C$73,2,FALSE),"NA")</f>
        <v>Snohomish</v>
      </c>
      <c r="L2184" t="str">
        <f>IFERROR(VLOOKUP(J2184,LUTs!$A$1:$C$73,3,FALSE),"NA")</f>
        <v>2Central Puget Sound</v>
      </c>
      <c r="M2184" s="72" t="s">
        <v>16</v>
      </c>
      <c r="N2184" t="str">
        <f>VLOOKUP(M2184,LUTs!E$2:H$14,3,)</f>
        <v>03Snohomish</v>
      </c>
      <c r="O2184" t="str">
        <f>VLOOKUP(M2184,LUTs!E$2:H$14,4,)</f>
        <v>01North Puget Sound</v>
      </c>
      <c r="P2184" s="80">
        <v>68</v>
      </c>
      <c r="Q2184" s="103">
        <v>34</v>
      </c>
      <c r="R2184" s="74">
        <f>VLOOKUP(B2184,Readme!A$40:C$52,3,)*Q2184</f>
        <v>630.70000000000005</v>
      </c>
    </row>
    <row r="2185" spans="1:18" ht="12" customHeight="1" x14ac:dyDescent="0.35">
      <c r="A2185" s="75">
        <v>2197</v>
      </c>
      <c r="B2185" s="80">
        <v>2021</v>
      </c>
      <c r="C2185" s="80">
        <v>9</v>
      </c>
      <c r="D2185" s="80">
        <f t="shared" si="126"/>
        <v>2021</v>
      </c>
      <c r="E2185" t="s">
        <v>38</v>
      </c>
      <c r="F2185" t="s">
        <v>143</v>
      </c>
      <c r="G2185" t="s">
        <v>86</v>
      </c>
      <c r="H2185" s="72" t="s">
        <v>221</v>
      </c>
      <c r="I2185" s="72" t="s">
        <v>63</v>
      </c>
      <c r="J2185" t="str">
        <f>I2185</f>
        <v>Snohomish River</v>
      </c>
      <c r="K2185" t="str">
        <f>IFERROR(VLOOKUP(J2185,LUTs!$A$1:$C$73,2,FALSE),"NA")</f>
        <v>Snohomish</v>
      </c>
      <c r="L2185" t="str">
        <f>IFERROR(VLOOKUP(J2185,LUTs!$A$1:$C$73,3,FALSE),"NA")</f>
        <v>2Central Puget Sound</v>
      </c>
      <c r="M2185" s="72" t="s">
        <v>16</v>
      </c>
      <c r="N2185" t="str">
        <f>VLOOKUP(M2185,LUTs!E$2:H$14,3,)</f>
        <v>03Snohomish</v>
      </c>
      <c r="O2185" t="str">
        <f>VLOOKUP(M2185,LUTs!E$2:H$14,4,)</f>
        <v>01North Puget Sound</v>
      </c>
      <c r="P2185" s="80">
        <v>14</v>
      </c>
      <c r="Q2185" s="103">
        <v>7</v>
      </c>
      <c r="R2185" s="74">
        <f>VLOOKUP(B2185,Readme!A$40:C$52,3,)*Q2185</f>
        <v>129.85</v>
      </c>
    </row>
    <row r="2186" spans="1:18" ht="12" customHeight="1" x14ac:dyDescent="0.35">
      <c r="A2186" s="75">
        <v>2214</v>
      </c>
      <c r="B2186" s="80">
        <v>2021</v>
      </c>
      <c r="C2186" s="80">
        <v>9</v>
      </c>
      <c r="D2186" s="80">
        <f t="shared" si="126"/>
        <v>2021</v>
      </c>
      <c r="E2186" t="s">
        <v>38</v>
      </c>
      <c r="F2186" t="s">
        <v>143</v>
      </c>
      <c r="G2186" t="s">
        <v>86</v>
      </c>
      <c r="H2186" s="72" t="s">
        <v>233</v>
      </c>
      <c r="I2186" s="72" t="s">
        <v>76</v>
      </c>
      <c r="J2186" t="str">
        <f>I2186</f>
        <v>Wallace River</v>
      </c>
      <c r="K2186" t="str">
        <f>IFERROR(VLOOKUP(J2186,LUTs!$A$1:$C$73,2,FALSE),"NA")</f>
        <v>Snohomish</v>
      </c>
      <c r="L2186" t="str">
        <f>IFERROR(VLOOKUP(J2186,LUTs!$A$1:$C$73,3,FALSE),"NA")</f>
        <v>2Central Puget Sound</v>
      </c>
      <c r="M2186" s="72" t="s">
        <v>16</v>
      </c>
      <c r="N2186" t="str">
        <f>VLOOKUP(M2186,LUTs!E$2:H$14,3,)</f>
        <v>03Snohomish</v>
      </c>
      <c r="O2186" t="str">
        <f>VLOOKUP(M2186,LUTs!E$2:H$14,4,)</f>
        <v>01North Puget Sound</v>
      </c>
      <c r="P2186" s="80">
        <v>28</v>
      </c>
      <c r="Q2186" s="103">
        <v>14</v>
      </c>
      <c r="R2186" s="74">
        <f>VLOOKUP(B2186,Readme!A$40:C$52,3,)*Q2186</f>
        <v>259.7</v>
      </c>
    </row>
    <row r="2187" spans="1:18" ht="12" customHeight="1" x14ac:dyDescent="0.35">
      <c r="A2187" s="75">
        <v>2170</v>
      </c>
      <c r="B2187" s="80">
        <v>2021</v>
      </c>
      <c r="C2187" s="80">
        <v>10</v>
      </c>
      <c r="D2187" s="80">
        <f t="shared" si="126"/>
        <v>2021</v>
      </c>
      <c r="E2187" t="s">
        <v>38</v>
      </c>
      <c r="F2187" t="s">
        <v>143</v>
      </c>
      <c r="G2187" t="s">
        <v>86</v>
      </c>
      <c r="H2187" s="72" t="s">
        <v>203</v>
      </c>
      <c r="I2187" s="72" t="s">
        <v>89</v>
      </c>
      <c r="J2187" s="84" t="s">
        <v>45</v>
      </c>
      <c r="K2187" t="str">
        <f>IFERROR(VLOOKUP(J2187,LUTs!$A$1:$C$73,2,FALSE),"NA")</f>
        <v>King</v>
      </c>
      <c r="L2187" t="str">
        <f>IFERROR(VLOOKUP(J2187,LUTs!$A$1:$C$73,3,FALSE),"NA")</f>
        <v>3South Puget Sound</v>
      </c>
      <c r="M2187" s="72" t="s">
        <v>18</v>
      </c>
      <c r="N2187" t="str">
        <f>VLOOKUP(M2187,LUTs!E$2:H$14,3,)</f>
        <v>06King</v>
      </c>
      <c r="O2187" t="str">
        <f>VLOOKUP(M2187,LUTs!E$2:H$14,4,)</f>
        <v>02South Puget Sound</v>
      </c>
      <c r="P2187" s="80">
        <v>11</v>
      </c>
      <c r="Q2187" s="103">
        <v>5.5</v>
      </c>
      <c r="R2187" s="74">
        <f>VLOOKUP(B2187,Readme!A$40:C$52,3,)*Q2187</f>
        <v>102.02500000000001</v>
      </c>
    </row>
    <row r="2188" spans="1:18" ht="12" customHeight="1" x14ac:dyDescent="0.35">
      <c r="A2188" s="75">
        <v>2171</v>
      </c>
      <c r="B2188" s="80">
        <v>2021</v>
      </c>
      <c r="C2188" s="80">
        <v>10</v>
      </c>
      <c r="D2188" s="80">
        <f t="shared" si="126"/>
        <v>2021</v>
      </c>
      <c r="E2188" t="s">
        <v>38</v>
      </c>
      <c r="F2188" t="s">
        <v>143</v>
      </c>
      <c r="G2188" t="s">
        <v>86</v>
      </c>
      <c r="H2188" s="72" t="s">
        <v>203</v>
      </c>
      <c r="I2188" s="72" t="s">
        <v>89</v>
      </c>
      <c r="J2188" s="84" t="s">
        <v>45</v>
      </c>
      <c r="K2188" t="str">
        <f>IFERROR(VLOOKUP(J2188,LUTs!$A$1:$C$73,2,FALSE),"NA")</f>
        <v>King</v>
      </c>
      <c r="L2188" t="str">
        <f>IFERROR(VLOOKUP(J2188,LUTs!$A$1:$C$73,3,FALSE),"NA")</f>
        <v>3South Puget Sound</v>
      </c>
      <c r="M2188" s="72" t="s">
        <v>20</v>
      </c>
      <c r="N2188" t="str">
        <f>VLOOKUP(M2188,LUTs!E$2:H$14,3,)</f>
        <v>07Pierce</v>
      </c>
      <c r="O2188" t="str">
        <f>VLOOKUP(M2188,LUTs!E$2:H$14,4,)</f>
        <v>02South Puget Sound</v>
      </c>
      <c r="P2188" s="80">
        <v>11</v>
      </c>
      <c r="Q2188" s="103">
        <v>5.5</v>
      </c>
      <c r="R2188" s="74">
        <f>VLOOKUP(B2188,Readme!A$40:C$52,3,)*Q2188</f>
        <v>102.02500000000001</v>
      </c>
    </row>
    <row r="2189" spans="1:18" ht="12" customHeight="1" x14ac:dyDescent="0.35">
      <c r="A2189" s="75">
        <v>2188</v>
      </c>
      <c r="B2189" s="80">
        <v>2021</v>
      </c>
      <c r="C2189" s="80">
        <v>10</v>
      </c>
      <c r="D2189" s="80">
        <f t="shared" si="126"/>
        <v>2021</v>
      </c>
      <c r="E2189" t="s">
        <v>38</v>
      </c>
      <c r="F2189" t="s">
        <v>143</v>
      </c>
      <c r="G2189" t="s">
        <v>86</v>
      </c>
      <c r="H2189" s="72" t="s">
        <v>220</v>
      </c>
      <c r="I2189" s="72" t="s">
        <v>62</v>
      </c>
      <c r="J2189" t="str">
        <f>I2189</f>
        <v>Skykomish River</v>
      </c>
      <c r="K2189" t="str">
        <f>IFERROR(VLOOKUP(J2189,LUTs!$A$1:$C$73,2,FALSE),"NA")</f>
        <v>Snohomish</v>
      </c>
      <c r="L2189" t="str">
        <f>IFERROR(VLOOKUP(J2189,LUTs!$A$1:$C$73,3,FALSE),"NA")</f>
        <v>2Central Puget Sound</v>
      </c>
      <c r="M2189" s="72" t="s">
        <v>16</v>
      </c>
      <c r="N2189" t="str">
        <f>VLOOKUP(M2189,LUTs!E$2:H$14,3,)</f>
        <v>03Snohomish</v>
      </c>
      <c r="O2189" t="str">
        <f>VLOOKUP(M2189,LUTs!E$2:H$14,4,)</f>
        <v>01North Puget Sound</v>
      </c>
      <c r="P2189" s="80">
        <v>40</v>
      </c>
      <c r="Q2189" s="103">
        <v>20</v>
      </c>
      <c r="R2189" s="74">
        <f>VLOOKUP(B2189,Readme!A$40:C$52,3,)*Q2189</f>
        <v>371</v>
      </c>
    </row>
    <row r="2190" spans="1:18" ht="12" customHeight="1" x14ac:dyDescent="0.35">
      <c r="A2190" s="75">
        <v>2198</v>
      </c>
      <c r="B2190" s="80">
        <v>2021</v>
      </c>
      <c r="C2190" s="80">
        <v>10</v>
      </c>
      <c r="D2190" s="80">
        <f t="shared" si="126"/>
        <v>2021</v>
      </c>
      <c r="E2190" t="s">
        <v>38</v>
      </c>
      <c r="F2190" t="s">
        <v>143</v>
      </c>
      <c r="G2190" t="s">
        <v>86</v>
      </c>
      <c r="H2190" s="72" t="s">
        <v>221</v>
      </c>
      <c r="I2190" s="72" t="s">
        <v>63</v>
      </c>
      <c r="J2190" t="str">
        <f>I2190</f>
        <v>Snohomish River</v>
      </c>
      <c r="K2190" t="str">
        <f>IFERROR(VLOOKUP(J2190,LUTs!$A$1:$C$73,2,FALSE),"NA")</f>
        <v>Snohomish</v>
      </c>
      <c r="L2190" t="str">
        <f>IFERROR(VLOOKUP(J2190,LUTs!$A$1:$C$73,3,FALSE),"NA")</f>
        <v>2Central Puget Sound</v>
      </c>
      <c r="M2190" s="72" t="s">
        <v>16</v>
      </c>
      <c r="N2190" t="str">
        <f>VLOOKUP(M2190,LUTs!E$2:H$14,3,)</f>
        <v>03Snohomish</v>
      </c>
      <c r="O2190" t="str">
        <f>VLOOKUP(M2190,LUTs!E$2:H$14,4,)</f>
        <v>01North Puget Sound</v>
      </c>
      <c r="P2190" s="80">
        <v>14</v>
      </c>
      <c r="Q2190" s="103">
        <v>7</v>
      </c>
      <c r="R2190" s="74">
        <f>VLOOKUP(B2190,Readme!A$40:C$52,3,)*Q2190</f>
        <v>129.85</v>
      </c>
    </row>
    <row r="2191" spans="1:18" ht="12" customHeight="1" x14ac:dyDescent="0.35">
      <c r="A2191" s="75">
        <v>2223</v>
      </c>
      <c r="B2191" s="80">
        <v>2021</v>
      </c>
      <c r="C2191" s="80">
        <v>10</v>
      </c>
      <c r="D2191" s="80">
        <f t="shared" si="126"/>
        <v>2021</v>
      </c>
      <c r="E2191" t="s">
        <v>38</v>
      </c>
      <c r="F2191" t="s">
        <v>143</v>
      </c>
      <c r="G2191" t="s">
        <v>86</v>
      </c>
      <c r="H2191" s="72" t="s">
        <v>223</v>
      </c>
      <c r="I2191" s="72" t="s">
        <v>103</v>
      </c>
      <c r="J2191" t="str">
        <f>I2191</f>
        <v>Stillaguamish R, No. Fork</v>
      </c>
      <c r="K2191" t="str">
        <f>IFERROR(VLOOKUP(J2191,LUTs!$A$1:$C$73,2,FALSE),"NA")</f>
        <v>Snohomish</v>
      </c>
      <c r="L2191" t="str">
        <f>IFERROR(VLOOKUP(J2191,LUTs!$A$1:$C$73,3,FALSE),"NA")</f>
        <v>2Central Puget Sound</v>
      </c>
      <c r="M2191" s="72" t="s">
        <v>18</v>
      </c>
      <c r="N2191" t="str">
        <f>VLOOKUP(M2191,LUTs!E$2:H$14,3,)</f>
        <v>06King</v>
      </c>
      <c r="O2191" t="str">
        <f>VLOOKUP(M2191,LUTs!E$2:H$14,4,)</f>
        <v>02South Puget Sound</v>
      </c>
      <c r="P2191" s="80">
        <v>11.3333333333333</v>
      </c>
      <c r="Q2191" s="103">
        <v>5.6666666666666696</v>
      </c>
      <c r="R2191" s="74">
        <f>VLOOKUP(B2191,Readme!A$40:C$52,3,)*Q2191</f>
        <v>105.11666666666673</v>
      </c>
    </row>
    <row r="2192" spans="1:18" ht="12" customHeight="1" x14ac:dyDescent="0.35">
      <c r="A2192" s="75">
        <v>2224</v>
      </c>
      <c r="B2192" s="80">
        <v>2021</v>
      </c>
      <c r="C2192" s="80">
        <v>10</v>
      </c>
      <c r="D2192" s="80">
        <f t="shared" si="126"/>
        <v>2021</v>
      </c>
      <c r="E2192" t="s">
        <v>38</v>
      </c>
      <c r="F2192" t="s">
        <v>143</v>
      </c>
      <c r="G2192" t="s">
        <v>86</v>
      </c>
      <c r="H2192" s="72" t="s">
        <v>223</v>
      </c>
      <c r="I2192" s="72" t="s">
        <v>103</v>
      </c>
      <c r="J2192" t="str">
        <f>I2192</f>
        <v>Stillaguamish R, No. Fork</v>
      </c>
      <c r="K2192" t="str">
        <f>IFERROR(VLOOKUP(J2192,LUTs!$A$1:$C$73,2,FALSE),"NA")</f>
        <v>Snohomish</v>
      </c>
      <c r="L2192" t="str">
        <f>IFERROR(VLOOKUP(J2192,LUTs!$A$1:$C$73,3,FALSE),"NA")</f>
        <v>2Central Puget Sound</v>
      </c>
      <c r="M2192" s="72" t="s">
        <v>16</v>
      </c>
      <c r="N2192" t="str">
        <f>VLOOKUP(M2192,LUTs!E$2:H$14,3,)</f>
        <v>03Snohomish</v>
      </c>
      <c r="O2192" t="str">
        <f>VLOOKUP(M2192,LUTs!E$2:H$14,4,)</f>
        <v>01North Puget Sound</v>
      </c>
      <c r="P2192" s="80">
        <v>22.6666666666667</v>
      </c>
      <c r="Q2192" s="103">
        <v>11.3333333333333</v>
      </c>
      <c r="R2192" s="74">
        <f>VLOOKUP(B2192,Readme!A$40:C$52,3,)*Q2192</f>
        <v>210.23333333333272</v>
      </c>
    </row>
    <row r="2193" spans="1:18" ht="12" customHeight="1" x14ac:dyDescent="0.35">
      <c r="A2193" s="75">
        <v>2215</v>
      </c>
      <c r="B2193" s="80">
        <v>2021</v>
      </c>
      <c r="C2193" s="80">
        <v>10</v>
      </c>
      <c r="D2193" s="80">
        <f t="shared" si="126"/>
        <v>2021</v>
      </c>
      <c r="E2193" t="s">
        <v>38</v>
      </c>
      <c r="F2193" t="s">
        <v>143</v>
      </c>
      <c r="G2193" t="s">
        <v>86</v>
      </c>
      <c r="H2193" s="72" t="s">
        <v>233</v>
      </c>
      <c r="I2193" s="72" t="s">
        <v>76</v>
      </c>
      <c r="J2193" t="str">
        <f>I2193</f>
        <v>Wallace River</v>
      </c>
      <c r="K2193" t="str">
        <f>IFERROR(VLOOKUP(J2193,LUTs!$A$1:$C$73,2,FALSE),"NA")</f>
        <v>Snohomish</v>
      </c>
      <c r="L2193" t="str">
        <f>IFERROR(VLOOKUP(J2193,LUTs!$A$1:$C$73,3,FALSE),"NA")</f>
        <v>2Central Puget Sound</v>
      </c>
      <c r="M2193" s="72" t="s">
        <v>16</v>
      </c>
      <c r="N2193" t="str">
        <f>VLOOKUP(M2193,LUTs!E$2:H$14,3,)</f>
        <v>03Snohomish</v>
      </c>
      <c r="O2193" t="str">
        <f>VLOOKUP(M2193,LUTs!E$2:H$14,4,)</f>
        <v>01North Puget Sound</v>
      </c>
      <c r="P2193" s="80">
        <v>28</v>
      </c>
      <c r="Q2193" s="103">
        <v>14</v>
      </c>
      <c r="R2193" s="74">
        <f>VLOOKUP(B2193,Readme!A$40:C$52,3,)*Q2193</f>
        <v>259.7</v>
      </c>
    </row>
    <row r="2194" spans="1:18" ht="12" customHeight="1" x14ac:dyDescent="0.35">
      <c r="A2194" s="75">
        <v>2172</v>
      </c>
      <c r="B2194" s="80">
        <v>2021</v>
      </c>
      <c r="C2194" s="80">
        <v>11</v>
      </c>
      <c r="D2194" s="80">
        <f t="shared" si="126"/>
        <v>2021</v>
      </c>
      <c r="E2194" t="s">
        <v>38</v>
      </c>
      <c r="F2194" t="s">
        <v>143</v>
      </c>
      <c r="G2194" t="s">
        <v>86</v>
      </c>
      <c r="H2194" s="72" t="s">
        <v>203</v>
      </c>
      <c r="I2194" s="72" t="s">
        <v>89</v>
      </c>
      <c r="J2194" s="84" t="s">
        <v>45</v>
      </c>
      <c r="K2194" t="str">
        <f>IFERROR(VLOOKUP(J2194,LUTs!$A$1:$C$73,2,FALSE),"NA")</f>
        <v>King</v>
      </c>
      <c r="L2194" t="str">
        <f>IFERROR(VLOOKUP(J2194,LUTs!$A$1:$C$73,3,FALSE),"NA")</f>
        <v>3South Puget Sound</v>
      </c>
      <c r="M2194" s="72" t="s">
        <v>23</v>
      </c>
      <c r="N2194" t="str">
        <f>VLOOKUP(M2194,LUTs!E$2:H$14,3,)</f>
        <v>10Kitsap</v>
      </c>
      <c r="O2194" t="str">
        <f>VLOOKUP(M2194,LUTs!E$2:H$14,4,)</f>
        <v>02South Puget Sound</v>
      </c>
      <c r="P2194" s="80">
        <v>12</v>
      </c>
      <c r="Q2194" s="103">
        <v>6</v>
      </c>
      <c r="R2194" s="74">
        <f>VLOOKUP(B2194,Readme!A$40:C$52,3,)*Q2194</f>
        <v>111.30000000000001</v>
      </c>
    </row>
    <row r="2195" spans="1:18" ht="12" customHeight="1" x14ac:dyDescent="0.35">
      <c r="A2195" s="75">
        <v>2189</v>
      </c>
      <c r="B2195" s="80">
        <v>2021</v>
      </c>
      <c r="C2195" s="80">
        <v>11</v>
      </c>
      <c r="D2195" s="80">
        <f t="shared" si="126"/>
        <v>2021</v>
      </c>
      <c r="E2195" t="s">
        <v>38</v>
      </c>
      <c r="F2195" t="s">
        <v>143</v>
      </c>
      <c r="G2195" t="s">
        <v>86</v>
      </c>
      <c r="H2195" s="72" t="s">
        <v>220</v>
      </c>
      <c r="I2195" s="72" t="s">
        <v>62</v>
      </c>
      <c r="J2195" t="str">
        <f t="shared" ref="J2195:J2233" si="127">I2195</f>
        <v>Skykomish River</v>
      </c>
      <c r="K2195" t="str">
        <f>IFERROR(VLOOKUP(J2195,LUTs!$A$1:$C$73,2,FALSE),"NA")</f>
        <v>Snohomish</v>
      </c>
      <c r="L2195" t="str">
        <f>IFERROR(VLOOKUP(J2195,LUTs!$A$1:$C$73,3,FALSE),"NA")</f>
        <v>2Central Puget Sound</v>
      </c>
      <c r="M2195" s="72" t="s">
        <v>18</v>
      </c>
      <c r="N2195" t="str">
        <f>VLOOKUP(M2195,LUTs!E$2:H$14,3,)</f>
        <v>06King</v>
      </c>
      <c r="O2195" t="str">
        <f>VLOOKUP(M2195,LUTs!E$2:H$14,4,)</f>
        <v>02South Puget Sound</v>
      </c>
      <c r="P2195" s="80">
        <v>14.8</v>
      </c>
      <c r="Q2195" s="103">
        <v>7.4</v>
      </c>
      <c r="R2195" s="74">
        <f>VLOOKUP(B2195,Readme!A$40:C$52,3,)*Q2195</f>
        <v>137.27000000000001</v>
      </c>
    </row>
    <row r="2196" spans="1:18" ht="12" customHeight="1" x14ac:dyDescent="0.35">
      <c r="A2196" s="75">
        <v>2190</v>
      </c>
      <c r="B2196" s="80">
        <v>2021</v>
      </c>
      <c r="C2196" s="80">
        <v>11</v>
      </c>
      <c r="D2196" s="80">
        <f t="shared" si="126"/>
        <v>2021</v>
      </c>
      <c r="E2196" t="s">
        <v>38</v>
      </c>
      <c r="F2196" t="s">
        <v>143</v>
      </c>
      <c r="G2196" t="s">
        <v>86</v>
      </c>
      <c r="H2196" s="72" t="s">
        <v>220</v>
      </c>
      <c r="I2196" s="72" t="s">
        <v>62</v>
      </c>
      <c r="J2196" t="str">
        <f t="shared" si="127"/>
        <v>Skykomish River</v>
      </c>
      <c r="K2196" t="str">
        <f>IFERROR(VLOOKUP(J2196,LUTs!$A$1:$C$73,2,FALSE),"NA")</f>
        <v>Snohomish</v>
      </c>
      <c r="L2196" t="str">
        <f>IFERROR(VLOOKUP(J2196,LUTs!$A$1:$C$73,3,FALSE),"NA")</f>
        <v>2Central Puget Sound</v>
      </c>
      <c r="M2196" s="72" t="s">
        <v>16</v>
      </c>
      <c r="N2196" t="str">
        <f>VLOOKUP(M2196,LUTs!E$2:H$14,3,)</f>
        <v>03Snohomish</v>
      </c>
      <c r="O2196" t="str">
        <f>VLOOKUP(M2196,LUTs!E$2:H$14,4,)</f>
        <v>01North Puget Sound</v>
      </c>
      <c r="P2196" s="80">
        <v>59.2</v>
      </c>
      <c r="Q2196" s="103">
        <v>29.6</v>
      </c>
      <c r="R2196" s="74">
        <f>VLOOKUP(B2196,Readme!A$40:C$52,3,)*Q2196</f>
        <v>549.08000000000004</v>
      </c>
    </row>
    <row r="2197" spans="1:18" ht="12" customHeight="1" x14ac:dyDescent="0.35">
      <c r="A2197" s="75">
        <v>2199</v>
      </c>
      <c r="B2197" s="80">
        <v>2021</v>
      </c>
      <c r="C2197" s="80">
        <v>11</v>
      </c>
      <c r="D2197" s="80">
        <f t="shared" si="126"/>
        <v>2021</v>
      </c>
      <c r="E2197" t="s">
        <v>38</v>
      </c>
      <c r="F2197" t="s">
        <v>143</v>
      </c>
      <c r="G2197" t="s">
        <v>86</v>
      </c>
      <c r="H2197" s="72" t="s">
        <v>221</v>
      </c>
      <c r="I2197" s="72" t="s">
        <v>63</v>
      </c>
      <c r="J2197" t="str">
        <f t="shared" si="127"/>
        <v>Snohomish River</v>
      </c>
      <c r="K2197" t="str">
        <f>IFERROR(VLOOKUP(J2197,LUTs!$A$1:$C$73,2,FALSE),"NA")</f>
        <v>Snohomish</v>
      </c>
      <c r="L2197" t="str">
        <f>IFERROR(VLOOKUP(J2197,LUTs!$A$1:$C$73,3,FALSE),"NA")</f>
        <v>2Central Puget Sound</v>
      </c>
      <c r="M2197" s="72" t="s">
        <v>18</v>
      </c>
      <c r="N2197" t="str">
        <f>VLOOKUP(M2197,LUTs!E$2:H$14,3,)</f>
        <v>06King</v>
      </c>
      <c r="O2197" t="str">
        <f>VLOOKUP(M2197,LUTs!E$2:H$14,4,)</f>
        <v>02South Puget Sound</v>
      </c>
      <c r="P2197" s="80">
        <v>14</v>
      </c>
      <c r="Q2197" s="103">
        <v>7</v>
      </c>
      <c r="R2197" s="74">
        <f>VLOOKUP(B2197,Readme!A$40:C$52,3,)*Q2197</f>
        <v>129.85</v>
      </c>
    </row>
    <row r="2198" spans="1:18" ht="12" customHeight="1" x14ac:dyDescent="0.35">
      <c r="A2198" s="75">
        <v>2207</v>
      </c>
      <c r="B2198" s="80">
        <v>2021</v>
      </c>
      <c r="C2198" s="80">
        <v>11</v>
      </c>
      <c r="D2198" s="80">
        <f t="shared" si="126"/>
        <v>2021</v>
      </c>
      <c r="E2198" t="s">
        <v>38</v>
      </c>
      <c r="F2198" t="s">
        <v>143</v>
      </c>
      <c r="G2198" t="s">
        <v>86</v>
      </c>
      <c r="H2198" s="72" t="s">
        <v>250</v>
      </c>
      <c r="I2198" s="72" t="s">
        <v>101</v>
      </c>
      <c r="J2198" t="str">
        <f t="shared" si="127"/>
        <v>Tokul Creek</v>
      </c>
      <c r="K2198" t="str">
        <f>IFERROR(VLOOKUP(J2198,LUTs!$A$1:$C$73,2,FALSE),"NA")</f>
        <v>King</v>
      </c>
      <c r="L2198" t="str">
        <f>IFERROR(VLOOKUP(J2198,LUTs!$A$1:$C$73,3,FALSE),"NA")</f>
        <v>2Central Puget Sound</v>
      </c>
      <c r="M2198" s="72" t="s">
        <v>18</v>
      </c>
      <c r="N2198" t="str">
        <f>VLOOKUP(M2198,LUTs!E$2:H$14,3,)</f>
        <v>06King</v>
      </c>
      <c r="O2198" t="str">
        <f>VLOOKUP(M2198,LUTs!E$2:H$14,4,)</f>
        <v>02South Puget Sound</v>
      </c>
      <c r="P2198" s="80">
        <v>14</v>
      </c>
      <c r="Q2198" s="103">
        <v>7</v>
      </c>
      <c r="R2198" s="74">
        <f>VLOOKUP(B2198,Readme!A$40:C$52,3,)*Q2198</f>
        <v>129.85</v>
      </c>
    </row>
    <row r="2199" spans="1:18" ht="12" customHeight="1" x14ac:dyDescent="0.35">
      <c r="A2199" s="75">
        <v>2216</v>
      </c>
      <c r="B2199" s="80">
        <v>2021</v>
      </c>
      <c r="C2199" s="80">
        <v>11</v>
      </c>
      <c r="D2199" s="80">
        <f t="shared" si="126"/>
        <v>2021</v>
      </c>
      <c r="E2199" t="s">
        <v>38</v>
      </c>
      <c r="F2199" t="s">
        <v>143</v>
      </c>
      <c r="G2199" t="s">
        <v>86</v>
      </c>
      <c r="H2199" s="72" t="s">
        <v>233</v>
      </c>
      <c r="I2199" s="72" t="s">
        <v>76</v>
      </c>
      <c r="J2199" t="str">
        <f t="shared" si="127"/>
        <v>Wallace River</v>
      </c>
      <c r="K2199" t="str">
        <f>IFERROR(VLOOKUP(J2199,LUTs!$A$1:$C$73,2,FALSE),"NA")</f>
        <v>Snohomish</v>
      </c>
      <c r="L2199" t="str">
        <f>IFERROR(VLOOKUP(J2199,LUTs!$A$1:$C$73,3,FALSE),"NA")</f>
        <v>2Central Puget Sound</v>
      </c>
      <c r="M2199" s="72" t="s">
        <v>18</v>
      </c>
      <c r="N2199" t="str">
        <f>VLOOKUP(M2199,LUTs!E$2:H$14,3,)</f>
        <v>06King</v>
      </c>
      <c r="O2199" t="str">
        <f>VLOOKUP(M2199,LUTs!E$2:H$14,4,)</f>
        <v>02South Puget Sound</v>
      </c>
      <c r="P2199" s="80">
        <v>30</v>
      </c>
      <c r="Q2199" s="103">
        <v>15</v>
      </c>
      <c r="R2199" s="74">
        <f>VLOOKUP(B2199,Readme!A$40:C$52,3,)*Q2199</f>
        <v>278.25</v>
      </c>
    </row>
    <row r="2200" spans="1:18" ht="12" customHeight="1" x14ac:dyDescent="0.35">
      <c r="A2200" s="75">
        <v>2222</v>
      </c>
      <c r="B2200" s="80">
        <v>2021</v>
      </c>
      <c r="C2200" s="80">
        <v>12</v>
      </c>
      <c r="D2200" s="80">
        <f t="shared" si="126"/>
        <v>2021</v>
      </c>
      <c r="E2200" t="s">
        <v>38</v>
      </c>
      <c r="F2200" t="s">
        <v>143</v>
      </c>
      <c r="G2200" t="s">
        <v>86</v>
      </c>
      <c r="H2200" s="72" t="s">
        <v>251</v>
      </c>
      <c r="I2200" s="72" t="s">
        <v>102</v>
      </c>
      <c r="J2200" t="str">
        <f t="shared" si="127"/>
        <v>Canyon Creek</v>
      </c>
      <c r="K2200" t="str">
        <f>IFERROR(VLOOKUP(J2200,LUTs!$A$1:$C$73,2,FALSE),"NA")</f>
        <v>Snohomish</v>
      </c>
      <c r="L2200" t="str">
        <f>IFERROR(VLOOKUP(J2200,LUTs!$A$1:$C$73,3,FALSE),"NA")</f>
        <v>2Central Puget Sound</v>
      </c>
      <c r="M2200" s="72" t="s">
        <v>16</v>
      </c>
      <c r="N2200" t="str">
        <f>VLOOKUP(M2200,LUTs!E$2:H$14,3,)</f>
        <v>03Snohomish</v>
      </c>
      <c r="O2200" t="str">
        <f>VLOOKUP(M2200,LUTs!E$2:H$14,4,)</f>
        <v>01North Puget Sound</v>
      </c>
      <c r="P2200" s="80">
        <v>12</v>
      </c>
      <c r="Q2200" s="103">
        <v>6</v>
      </c>
      <c r="R2200" s="74">
        <f>VLOOKUP(B2200,Readme!A$40:C$52,3,)*Q2200</f>
        <v>111.30000000000001</v>
      </c>
    </row>
    <row r="2201" spans="1:18" ht="12" customHeight="1" x14ac:dyDescent="0.35">
      <c r="A2201" s="75">
        <v>2164</v>
      </c>
      <c r="B2201" s="80">
        <v>2021</v>
      </c>
      <c r="C2201" s="80">
        <v>12</v>
      </c>
      <c r="D2201" s="80">
        <f t="shared" si="126"/>
        <v>2021</v>
      </c>
      <c r="E2201" t="s">
        <v>38</v>
      </c>
      <c r="F2201" t="s">
        <v>143</v>
      </c>
      <c r="G2201" t="s">
        <v>86</v>
      </c>
      <c r="H2201" s="72" t="s">
        <v>201</v>
      </c>
      <c r="I2201" s="72" t="s">
        <v>43</v>
      </c>
      <c r="J2201" t="str">
        <f t="shared" si="127"/>
        <v>Dungeness River</v>
      </c>
      <c r="K2201" t="str">
        <f>IFERROR(VLOOKUP(J2201,LUTs!$A$1:$C$73,2,FALSE),"NA")</f>
        <v>Clallam</v>
      </c>
      <c r="L2201" t="str">
        <f>IFERROR(VLOOKUP(J2201,LUTs!$A$1:$C$73,3,FALSE),"NA")</f>
        <v>0Strait of Juan de Fuca</v>
      </c>
      <c r="M2201" s="72" t="s">
        <v>24</v>
      </c>
      <c r="N2201" t="str">
        <f>VLOOKUP(M2201,LUTs!E$2:H$14,3,)</f>
        <v>11Clallam</v>
      </c>
      <c r="O2201" t="str">
        <f>VLOOKUP(M2201,LUTs!E$2:H$14,4,)</f>
        <v>03Strait of Juan de Fuca</v>
      </c>
      <c r="P2201" s="80">
        <v>12</v>
      </c>
      <c r="Q2201" s="103">
        <v>6</v>
      </c>
      <c r="R2201" s="74">
        <f>VLOOKUP(B2201,Readme!A$40:C$52,3,)*Q2201</f>
        <v>111.30000000000001</v>
      </c>
    </row>
    <row r="2202" spans="1:18" ht="12" customHeight="1" x14ac:dyDescent="0.35">
      <c r="A2202" s="75">
        <v>2191</v>
      </c>
      <c r="B2202" s="80">
        <v>2021</v>
      </c>
      <c r="C2202" s="80">
        <v>12</v>
      </c>
      <c r="D2202" s="80">
        <f t="shared" si="126"/>
        <v>2021</v>
      </c>
      <c r="E2202" t="s">
        <v>38</v>
      </c>
      <c r="F2202" t="s">
        <v>143</v>
      </c>
      <c r="G2202" t="s">
        <v>86</v>
      </c>
      <c r="H2202" s="72" t="s">
        <v>220</v>
      </c>
      <c r="I2202" s="72" t="s">
        <v>62</v>
      </c>
      <c r="J2202" t="str">
        <f t="shared" si="127"/>
        <v>Skykomish River</v>
      </c>
      <c r="K2202" t="str">
        <f>IFERROR(VLOOKUP(J2202,LUTs!$A$1:$C$73,2,FALSE),"NA")</f>
        <v>Snohomish</v>
      </c>
      <c r="L2202" t="str">
        <f>IFERROR(VLOOKUP(J2202,LUTs!$A$1:$C$73,3,FALSE),"NA")</f>
        <v>2Central Puget Sound</v>
      </c>
      <c r="M2202" s="72" t="s">
        <v>18</v>
      </c>
      <c r="N2202" t="str">
        <f>VLOOKUP(M2202,LUTs!E$2:H$14,3,)</f>
        <v>06King</v>
      </c>
      <c r="O2202" t="str">
        <f>VLOOKUP(M2202,LUTs!E$2:H$14,4,)</f>
        <v>02South Puget Sound</v>
      </c>
      <c r="P2202" s="80">
        <v>404.06896551724202</v>
      </c>
      <c r="Q2202" s="103">
        <v>216</v>
      </c>
      <c r="R2202" s="74">
        <f>VLOOKUP(B2202,Readme!A$40:C$52,3,)*Q2202</f>
        <v>4006.8</v>
      </c>
    </row>
    <row r="2203" spans="1:18" ht="12" customHeight="1" x14ac:dyDescent="0.35">
      <c r="A2203" s="75">
        <v>2192</v>
      </c>
      <c r="B2203" s="80">
        <v>2021</v>
      </c>
      <c r="C2203" s="80">
        <v>12</v>
      </c>
      <c r="D2203" s="80">
        <f t="shared" si="126"/>
        <v>2021</v>
      </c>
      <c r="E2203" t="s">
        <v>38</v>
      </c>
      <c r="F2203" t="s">
        <v>143</v>
      </c>
      <c r="G2203" t="s">
        <v>86</v>
      </c>
      <c r="H2203" s="72" t="s">
        <v>220</v>
      </c>
      <c r="I2203" s="72" t="s">
        <v>62</v>
      </c>
      <c r="J2203" t="str">
        <f t="shared" si="127"/>
        <v>Skykomish River</v>
      </c>
      <c r="K2203" t="str">
        <f>IFERROR(VLOOKUP(J2203,LUTs!$A$1:$C$73,2,FALSE),"NA")</f>
        <v>Snohomish</v>
      </c>
      <c r="L2203" t="str">
        <f>IFERROR(VLOOKUP(J2203,LUTs!$A$1:$C$73,3,FALSE),"NA")</f>
        <v>2Central Puget Sound</v>
      </c>
      <c r="M2203" s="72" t="s">
        <v>20</v>
      </c>
      <c r="N2203" t="str">
        <f>VLOOKUP(M2203,LUTs!E$2:H$14,3,)</f>
        <v>07Pierce</v>
      </c>
      <c r="O2203" t="str">
        <f>VLOOKUP(M2203,LUTs!E$2:H$14,4,)</f>
        <v>02South Puget Sound</v>
      </c>
      <c r="P2203" s="80">
        <v>14.965517241379301</v>
      </c>
      <c r="Q2203" s="103">
        <v>8</v>
      </c>
      <c r="R2203" s="74">
        <f>VLOOKUP(B2203,Readme!A$40:C$52,3,)*Q2203</f>
        <v>148.4</v>
      </c>
    </row>
    <row r="2204" spans="1:18" ht="12" customHeight="1" x14ac:dyDescent="0.35">
      <c r="A2204" s="75">
        <v>2193</v>
      </c>
      <c r="B2204" s="80">
        <v>2021</v>
      </c>
      <c r="C2204" s="80">
        <v>12</v>
      </c>
      <c r="D2204" s="80">
        <f t="shared" si="126"/>
        <v>2021</v>
      </c>
      <c r="E2204" t="s">
        <v>38</v>
      </c>
      <c r="F2204" t="s">
        <v>143</v>
      </c>
      <c r="G2204" t="s">
        <v>86</v>
      </c>
      <c r="H2204" s="72" t="s">
        <v>220</v>
      </c>
      <c r="I2204" s="72" t="s">
        <v>62</v>
      </c>
      <c r="J2204" t="str">
        <f t="shared" si="127"/>
        <v>Skykomish River</v>
      </c>
      <c r="K2204" t="str">
        <f>IFERROR(VLOOKUP(J2204,LUTs!$A$1:$C$73,2,FALSE),"NA")</f>
        <v>Snohomish</v>
      </c>
      <c r="L2204" t="str">
        <f>IFERROR(VLOOKUP(J2204,LUTs!$A$1:$C$73,3,FALSE),"NA")</f>
        <v>2Central Puget Sound</v>
      </c>
      <c r="M2204" s="72" t="s">
        <v>16</v>
      </c>
      <c r="N2204" t="str">
        <f>VLOOKUP(M2204,LUTs!E$2:H$14,3,)</f>
        <v>03Snohomish</v>
      </c>
      <c r="O2204" t="str">
        <f>VLOOKUP(M2204,LUTs!E$2:H$14,4,)</f>
        <v>01North Puget Sound</v>
      </c>
      <c r="P2204" s="80">
        <v>448.96551724137902</v>
      </c>
      <c r="Q2204" s="103">
        <v>240</v>
      </c>
      <c r="R2204" s="74">
        <f>VLOOKUP(B2204,Readme!A$40:C$52,3,)*Q2204</f>
        <v>4452</v>
      </c>
    </row>
    <row r="2205" spans="1:18" ht="12" customHeight="1" x14ac:dyDescent="0.35">
      <c r="A2205" s="75">
        <v>2200</v>
      </c>
      <c r="B2205" s="80">
        <v>2021</v>
      </c>
      <c r="C2205" s="80">
        <v>12</v>
      </c>
      <c r="D2205" s="80">
        <f t="shared" si="126"/>
        <v>2021</v>
      </c>
      <c r="E2205" t="s">
        <v>38</v>
      </c>
      <c r="F2205" t="s">
        <v>143</v>
      </c>
      <c r="G2205" t="s">
        <v>86</v>
      </c>
      <c r="H2205" s="72" t="s">
        <v>221</v>
      </c>
      <c r="I2205" s="72" t="s">
        <v>63</v>
      </c>
      <c r="J2205" t="str">
        <f t="shared" si="127"/>
        <v>Snohomish River</v>
      </c>
      <c r="K2205" t="str">
        <f>IFERROR(VLOOKUP(J2205,LUTs!$A$1:$C$73,2,FALSE),"NA")</f>
        <v>Snohomish</v>
      </c>
      <c r="L2205" t="str">
        <f>IFERROR(VLOOKUP(J2205,LUTs!$A$1:$C$73,3,FALSE),"NA")</f>
        <v>2Central Puget Sound</v>
      </c>
      <c r="M2205" s="72" t="s">
        <v>16</v>
      </c>
      <c r="N2205" t="str">
        <f>VLOOKUP(M2205,LUTs!E$2:H$14,3,)</f>
        <v>03Snohomish</v>
      </c>
      <c r="O2205" t="str">
        <f>VLOOKUP(M2205,LUTs!E$2:H$14,4,)</f>
        <v>01North Puget Sound</v>
      </c>
      <c r="P2205" s="80">
        <v>164</v>
      </c>
      <c r="Q2205" s="103">
        <v>82</v>
      </c>
      <c r="R2205" s="74">
        <f>VLOOKUP(B2205,Readme!A$40:C$52,3,)*Q2205</f>
        <v>1521.1000000000001</v>
      </c>
    </row>
    <row r="2206" spans="1:18" ht="12" customHeight="1" x14ac:dyDescent="0.35">
      <c r="A2206" s="75">
        <v>2202</v>
      </c>
      <c r="B2206" s="80">
        <v>2021</v>
      </c>
      <c r="C2206" s="80">
        <v>12</v>
      </c>
      <c r="D2206" s="80">
        <f t="shared" si="126"/>
        <v>2021</v>
      </c>
      <c r="E2206" t="s">
        <v>38</v>
      </c>
      <c r="F2206" t="s">
        <v>143</v>
      </c>
      <c r="G2206" t="s">
        <v>86</v>
      </c>
      <c r="H2206" s="72" t="s">
        <v>222</v>
      </c>
      <c r="I2206" s="72" t="s">
        <v>64</v>
      </c>
      <c r="J2206" t="str">
        <f t="shared" si="127"/>
        <v>Snoqualmie River</v>
      </c>
      <c r="K2206" t="str">
        <f>IFERROR(VLOOKUP(J2206,LUTs!$A$1:$C$73,2,FALSE),"NA")</f>
        <v>Snohomish/King</v>
      </c>
      <c r="L2206" t="str">
        <f>IFERROR(VLOOKUP(J2206,LUTs!$A$1:$C$73,3,FALSE),"NA")</f>
        <v>2Central Puget Sound</v>
      </c>
      <c r="M2206" s="72" t="s">
        <v>18</v>
      </c>
      <c r="N2206" t="str">
        <f>VLOOKUP(M2206,LUTs!E$2:H$14,3,)</f>
        <v>06King</v>
      </c>
      <c r="O2206" t="str">
        <f>VLOOKUP(M2206,LUTs!E$2:H$14,4,)</f>
        <v>02South Puget Sound</v>
      </c>
      <c r="P2206" s="80">
        <v>418.13333333333298</v>
      </c>
      <c r="Q2206" s="103">
        <v>24.266666666666701</v>
      </c>
      <c r="R2206" s="74">
        <f>VLOOKUP(B2206,Readme!A$40:C$52,3,)*Q2206</f>
        <v>450.14666666666733</v>
      </c>
    </row>
    <row r="2207" spans="1:18" ht="12" customHeight="1" x14ac:dyDescent="0.35">
      <c r="A2207" s="75">
        <v>2203</v>
      </c>
      <c r="B2207" s="80">
        <v>2021</v>
      </c>
      <c r="C2207" s="80">
        <v>12</v>
      </c>
      <c r="D2207" s="80">
        <f t="shared" si="126"/>
        <v>2021</v>
      </c>
      <c r="E2207" t="s">
        <v>38</v>
      </c>
      <c r="F2207" t="s">
        <v>143</v>
      </c>
      <c r="G2207" t="s">
        <v>86</v>
      </c>
      <c r="H2207" s="72" t="s">
        <v>222</v>
      </c>
      <c r="I2207" s="72" t="s">
        <v>64</v>
      </c>
      <c r="J2207" t="str">
        <f t="shared" si="127"/>
        <v>Snoqualmie River</v>
      </c>
      <c r="K2207" t="str">
        <f>IFERROR(VLOOKUP(J2207,LUTs!$A$1:$C$73,2,FALSE),"NA")</f>
        <v>Snohomish/King</v>
      </c>
      <c r="L2207" t="str">
        <f>IFERROR(VLOOKUP(J2207,LUTs!$A$1:$C$73,3,FALSE),"NA")</f>
        <v>2Central Puget Sound</v>
      </c>
      <c r="M2207" s="72" t="s">
        <v>20</v>
      </c>
      <c r="N2207" t="str">
        <f>VLOOKUP(M2207,LUTs!E$2:H$14,3,)</f>
        <v>07Pierce</v>
      </c>
      <c r="O2207" t="str">
        <f>VLOOKUP(M2207,LUTs!E$2:H$14,4,)</f>
        <v>02South Puget Sound</v>
      </c>
      <c r="P2207" s="80">
        <v>29.866666666666699</v>
      </c>
      <c r="Q2207" s="103">
        <v>1.7333333333333301</v>
      </c>
      <c r="R2207" s="74">
        <f>VLOOKUP(B2207,Readme!A$40:C$52,3,)*Q2207</f>
        <v>32.153333333333272</v>
      </c>
    </row>
    <row r="2208" spans="1:18" ht="12" customHeight="1" x14ac:dyDescent="0.35">
      <c r="A2208" s="75">
        <v>2225</v>
      </c>
      <c r="B2208" s="80">
        <v>2021</v>
      </c>
      <c r="C2208" s="80">
        <v>12</v>
      </c>
      <c r="D2208" s="80">
        <f t="shared" si="126"/>
        <v>2021</v>
      </c>
      <c r="E2208" t="s">
        <v>38</v>
      </c>
      <c r="F2208" t="s">
        <v>143</v>
      </c>
      <c r="G2208" t="s">
        <v>86</v>
      </c>
      <c r="H2208" s="72" t="s">
        <v>223</v>
      </c>
      <c r="I2208" s="72" t="s">
        <v>103</v>
      </c>
      <c r="J2208" t="str">
        <f t="shared" si="127"/>
        <v>Stillaguamish R, No. Fork</v>
      </c>
      <c r="K2208" t="str">
        <f>IFERROR(VLOOKUP(J2208,LUTs!$A$1:$C$73,2,FALSE),"NA")</f>
        <v>Snohomish</v>
      </c>
      <c r="L2208" t="str">
        <f>IFERROR(VLOOKUP(J2208,LUTs!$A$1:$C$73,3,FALSE),"NA")</f>
        <v>2Central Puget Sound</v>
      </c>
      <c r="M2208" s="72" t="s">
        <v>16</v>
      </c>
      <c r="N2208" t="str">
        <f>VLOOKUP(M2208,LUTs!E$2:H$14,3,)</f>
        <v>03Snohomish</v>
      </c>
      <c r="O2208" t="str">
        <f>VLOOKUP(M2208,LUTs!E$2:H$14,4,)</f>
        <v>01North Puget Sound</v>
      </c>
      <c r="P2208" s="80">
        <v>240</v>
      </c>
      <c r="Q2208" s="103">
        <v>236</v>
      </c>
      <c r="R2208" s="74">
        <f>VLOOKUP(B2208,Readme!A$40:C$52,3,)*Q2208</f>
        <v>4377.8</v>
      </c>
    </row>
    <row r="2209" spans="1:18" ht="12" customHeight="1" x14ac:dyDescent="0.35">
      <c r="A2209" s="75">
        <v>2229</v>
      </c>
      <c r="B2209" s="80">
        <v>2021</v>
      </c>
      <c r="C2209" s="80">
        <v>12</v>
      </c>
      <c r="D2209" s="80">
        <f t="shared" si="126"/>
        <v>2021</v>
      </c>
      <c r="E2209" t="s">
        <v>38</v>
      </c>
      <c r="F2209" t="s">
        <v>143</v>
      </c>
      <c r="G2209" t="s">
        <v>86</v>
      </c>
      <c r="H2209" s="72" t="s">
        <v>253</v>
      </c>
      <c r="I2209" s="72" t="s">
        <v>65</v>
      </c>
      <c r="J2209" t="str">
        <f t="shared" si="127"/>
        <v>Stillaguamish River</v>
      </c>
      <c r="K2209" t="str">
        <f>IFERROR(VLOOKUP(J2209,LUTs!$A$1:$C$73,2,FALSE),"NA")</f>
        <v>Snohomish</v>
      </c>
      <c r="L2209" t="str">
        <f>IFERROR(VLOOKUP(J2209,LUTs!$A$1:$C$73,3,FALSE),"NA")</f>
        <v>2Central Puget Sound</v>
      </c>
      <c r="M2209" s="72" t="s">
        <v>16</v>
      </c>
      <c r="N2209" t="str">
        <f>VLOOKUP(M2209,LUTs!E$2:H$14,3,)</f>
        <v>03Snohomish</v>
      </c>
      <c r="O2209" t="str">
        <f>VLOOKUP(M2209,LUTs!E$2:H$14,4,)</f>
        <v>01North Puget Sound</v>
      </c>
      <c r="P2209" s="80">
        <v>156</v>
      </c>
      <c r="Q2209" s="103">
        <v>78</v>
      </c>
      <c r="R2209" s="74">
        <f>VLOOKUP(B2209,Readme!A$40:C$52,3,)*Q2209</f>
        <v>1446.9</v>
      </c>
    </row>
    <row r="2210" spans="1:18" ht="12" customHeight="1" x14ac:dyDescent="0.35">
      <c r="A2210" s="75">
        <v>2208</v>
      </c>
      <c r="B2210" s="80">
        <v>2021</v>
      </c>
      <c r="C2210" s="80">
        <v>12</v>
      </c>
      <c r="D2210" s="80">
        <f t="shared" si="126"/>
        <v>2021</v>
      </c>
      <c r="E2210" t="s">
        <v>38</v>
      </c>
      <c r="F2210" t="s">
        <v>143</v>
      </c>
      <c r="G2210" t="s">
        <v>86</v>
      </c>
      <c r="H2210" s="72" t="s">
        <v>250</v>
      </c>
      <c r="I2210" s="72" t="s">
        <v>101</v>
      </c>
      <c r="J2210" t="str">
        <f t="shared" si="127"/>
        <v>Tokul Creek</v>
      </c>
      <c r="K2210" t="str">
        <f>IFERROR(VLOOKUP(J2210,LUTs!$A$1:$C$73,2,FALSE),"NA")</f>
        <v>King</v>
      </c>
      <c r="L2210" t="str">
        <f>IFERROR(VLOOKUP(J2210,LUTs!$A$1:$C$73,3,FALSE),"NA")</f>
        <v>2Central Puget Sound</v>
      </c>
      <c r="M2210" s="72" t="s">
        <v>18</v>
      </c>
      <c r="N2210" t="str">
        <f>VLOOKUP(M2210,LUTs!E$2:H$14,3,)</f>
        <v>06King</v>
      </c>
      <c r="O2210" t="str">
        <f>VLOOKUP(M2210,LUTs!E$2:H$14,4,)</f>
        <v>02South Puget Sound</v>
      </c>
      <c r="P2210" s="80">
        <v>374.07407407407402</v>
      </c>
      <c r="Q2210" s="103">
        <v>218.51851851851899</v>
      </c>
      <c r="R2210" s="74">
        <f>VLOOKUP(B2210,Readme!A$40:C$52,3,)*Q2210</f>
        <v>4053.5185185185273</v>
      </c>
    </row>
    <row r="2211" spans="1:18" ht="12" customHeight="1" x14ac:dyDescent="0.35">
      <c r="A2211" s="75">
        <v>2209</v>
      </c>
      <c r="B2211" s="80">
        <v>2021</v>
      </c>
      <c r="C2211" s="80">
        <v>12</v>
      </c>
      <c r="D2211" s="80">
        <f t="shared" si="126"/>
        <v>2021</v>
      </c>
      <c r="E2211" t="s">
        <v>38</v>
      </c>
      <c r="F2211" t="s">
        <v>143</v>
      </c>
      <c r="G2211" t="s">
        <v>86</v>
      </c>
      <c r="H2211" s="72" t="s">
        <v>250</v>
      </c>
      <c r="I2211" s="72" t="s">
        <v>101</v>
      </c>
      <c r="J2211" t="str">
        <f t="shared" si="127"/>
        <v>Tokul Creek</v>
      </c>
      <c r="K2211" t="str">
        <f>IFERROR(VLOOKUP(J2211,LUTs!$A$1:$C$73,2,FALSE),"NA")</f>
        <v>King</v>
      </c>
      <c r="L2211" t="str">
        <f>IFERROR(VLOOKUP(J2211,LUTs!$A$1:$C$73,3,FALSE),"NA")</f>
        <v>2Central Puget Sound</v>
      </c>
      <c r="M2211" s="72" t="s">
        <v>16</v>
      </c>
      <c r="N2211" t="str">
        <f>VLOOKUP(M2211,LUTs!E$2:H$14,3,)</f>
        <v>03Snohomish</v>
      </c>
      <c r="O2211" t="str">
        <f>VLOOKUP(M2211,LUTs!E$2:H$14,4,)</f>
        <v>01North Puget Sound</v>
      </c>
      <c r="P2211" s="80">
        <v>29.925925925925899</v>
      </c>
      <c r="Q2211" s="103">
        <v>17.481481481481499</v>
      </c>
      <c r="R2211" s="74">
        <f>VLOOKUP(B2211,Readme!A$40:C$52,3,)*Q2211</f>
        <v>324.28148148148182</v>
      </c>
    </row>
    <row r="2212" spans="1:18" ht="12" customHeight="1" x14ac:dyDescent="0.35">
      <c r="A2212" s="75">
        <v>2217</v>
      </c>
      <c r="B2212" s="80">
        <v>2021</v>
      </c>
      <c r="C2212" s="80">
        <v>12</v>
      </c>
      <c r="D2212" s="80">
        <f t="shared" si="126"/>
        <v>2021</v>
      </c>
      <c r="E2212" t="s">
        <v>38</v>
      </c>
      <c r="F2212" t="s">
        <v>143</v>
      </c>
      <c r="G2212" t="s">
        <v>86</v>
      </c>
      <c r="H2212" s="72" t="s">
        <v>233</v>
      </c>
      <c r="I2212" s="72" t="s">
        <v>76</v>
      </c>
      <c r="J2212" t="str">
        <f t="shared" si="127"/>
        <v>Wallace River</v>
      </c>
      <c r="K2212" t="str">
        <f>IFERROR(VLOOKUP(J2212,LUTs!$A$1:$C$73,2,FALSE),"NA")</f>
        <v>Snohomish</v>
      </c>
      <c r="L2212" t="str">
        <f>IFERROR(VLOOKUP(J2212,LUTs!$A$1:$C$73,3,FALSE),"NA")</f>
        <v>2Central Puget Sound</v>
      </c>
      <c r="M2212" s="72" t="s">
        <v>18</v>
      </c>
      <c r="N2212" t="str">
        <f>VLOOKUP(M2212,LUTs!E$2:H$14,3,)</f>
        <v>06King</v>
      </c>
      <c r="O2212" t="str">
        <f>VLOOKUP(M2212,LUTs!E$2:H$14,4,)</f>
        <v>02South Puget Sound</v>
      </c>
      <c r="P2212" s="80">
        <v>123.130434782609</v>
      </c>
      <c r="Q2212" s="103">
        <v>33.3913043478261</v>
      </c>
      <c r="R2212" s="74">
        <f>VLOOKUP(B2212,Readme!A$40:C$52,3,)*Q2212</f>
        <v>619.40869565217417</v>
      </c>
    </row>
    <row r="2213" spans="1:18" ht="12" customHeight="1" x14ac:dyDescent="0.35">
      <c r="A2213" s="75">
        <v>2218</v>
      </c>
      <c r="B2213" s="80">
        <v>2021</v>
      </c>
      <c r="C2213" s="80">
        <v>12</v>
      </c>
      <c r="D2213" s="80">
        <f t="shared" si="126"/>
        <v>2021</v>
      </c>
      <c r="E2213" t="s">
        <v>38</v>
      </c>
      <c r="F2213" t="s">
        <v>143</v>
      </c>
      <c r="G2213" t="s">
        <v>86</v>
      </c>
      <c r="H2213" s="72" t="s">
        <v>233</v>
      </c>
      <c r="I2213" s="72" t="s">
        <v>76</v>
      </c>
      <c r="J2213" t="str">
        <f t="shared" si="127"/>
        <v>Wallace River</v>
      </c>
      <c r="K2213" t="str">
        <f>IFERROR(VLOOKUP(J2213,LUTs!$A$1:$C$73,2,FALSE),"NA")</f>
        <v>Snohomish</v>
      </c>
      <c r="L2213" t="str">
        <f>IFERROR(VLOOKUP(J2213,LUTs!$A$1:$C$73,3,FALSE),"NA")</f>
        <v>2Central Puget Sound</v>
      </c>
      <c r="M2213" s="72" t="s">
        <v>16</v>
      </c>
      <c r="N2213" t="str">
        <f>VLOOKUP(M2213,LUTs!E$2:H$14,3,)</f>
        <v>03Snohomish</v>
      </c>
      <c r="O2213" t="str">
        <f>VLOOKUP(M2213,LUTs!E$2:H$14,4,)</f>
        <v>01North Puget Sound</v>
      </c>
      <c r="P2213" s="80">
        <v>230.869565217391</v>
      </c>
      <c r="Q2213" s="103">
        <v>62.6086956521739</v>
      </c>
      <c r="R2213" s="74">
        <f>VLOOKUP(B2213,Readme!A$40:C$52,3,)*Q2213</f>
        <v>1161.3913043478258</v>
      </c>
    </row>
    <row r="2214" spans="1:18" ht="12" customHeight="1" x14ac:dyDescent="0.35">
      <c r="A2214" s="75">
        <v>2165</v>
      </c>
      <c r="B2214" s="80">
        <v>2022</v>
      </c>
      <c r="C2214" s="80">
        <v>1</v>
      </c>
      <c r="D2214" s="80">
        <f t="shared" si="126"/>
        <v>2021</v>
      </c>
      <c r="E2214" t="s">
        <v>38</v>
      </c>
      <c r="F2214" t="s">
        <v>143</v>
      </c>
      <c r="G2214" t="s">
        <v>86</v>
      </c>
      <c r="H2214" s="72" t="s">
        <v>201</v>
      </c>
      <c r="I2214" s="72" t="s">
        <v>43</v>
      </c>
      <c r="J2214" t="str">
        <f t="shared" si="127"/>
        <v>Dungeness River</v>
      </c>
      <c r="K2214" t="str">
        <f>IFERROR(VLOOKUP(J2214,LUTs!$A$1:$C$73,2,FALSE),"NA")</f>
        <v>Clallam</v>
      </c>
      <c r="L2214" t="str">
        <f>IFERROR(VLOOKUP(J2214,LUTs!$A$1:$C$73,3,FALSE),"NA")</f>
        <v>0Strait of Juan de Fuca</v>
      </c>
      <c r="M2214" s="72" t="s">
        <v>24</v>
      </c>
      <c r="N2214" t="str">
        <f>VLOOKUP(M2214,LUTs!E$2:H$14,3,)</f>
        <v>11Clallam</v>
      </c>
      <c r="O2214" t="str">
        <f>VLOOKUP(M2214,LUTs!E$2:H$14,4,)</f>
        <v>03Strait of Juan de Fuca</v>
      </c>
      <c r="P2214" s="80">
        <v>12</v>
      </c>
      <c r="Q2214" s="103">
        <v>6</v>
      </c>
      <c r="R2214" s="74">
        <f>VLOOKUP(B2214,Readme!A$40:C$52,3,)*Q2214</f>
        <v>51.239999999999995</v>
      </c>
    </row>
    <row r="2215" spans="1:18" ht="12" customHeight="1" x14ac:dyDescent="0.35">
      <c r="A2215" s="75">
        <v>2175</v>
      </c>
      <c r="B2215" s="80">
        <v>2022</v>
      </c>
      <c r="C2215" s="80">
        <v>1</v>
      </c>
      <c r="D2215" s="80">
        <f t="shared" si="126"/>
        <v>2021</v>
      </c>
      <c r="E2215" t="s">
        <v>38</v>
      </c>
      <c r="F2215" t="s">
        <v>143</v>
      </c>
      <c r="G2215" t="s">
        <v>86</v>
      </c>
      <c r="H2215" s="72" t="s">
        <v>244</v>
      </c>
      <c r="I2215" s="72" t="s">
        <v>95</v>
      </c>
      <c r="J2215" t="str">
        <f t="shared" si="127"/>
        <v>Sekiu River</v>
      </c>
      <c r="K2215" t="str">
        <f>IFERROR(VLOOKUP(J2215,LUTs!$A$1:$C$73,2,FALSE),"NA")</f>
        <v>Clallam</v>
      </c>
      <c r="L2215" t="str">
        <f>IFERROR(VLOOKUP(J2215,LUTs!$A$1:$C$73,3,FALSE),"NA")</f>
        <v>0Strait of Juan de Fuca</v>
      </c>
      <c r="M2215" s="72" t="s">
        <v>16</v>
      </c>
      <c r="N2215" t="str">
        <f>VLOOKUP(M2215,LUTs!E$2:H$14,3,)</f>
        <v>03Snohomish</v>
      </c>
      <c r="O2215" t="str">
        <f>VLOOKUP(M2215,LUTs!E$2:H$14,4,)</f>
        <v>01North Puget Sound</v>
      </c>
      <c r="P2215" s="80">
        <v>12</v>
      </c>
      <c r="Q2215" s="103">
        <v>6</v>
      </c>
      <c r="R2215" s="74">
        <f>VLOOKUP(B2215,Readme!A$40:C$52,3,)*Q2215</f>
        <v>51.239999999999995</v>
      </c>
    </row>
    <row r="2216" spans="1:18" ht="12" customHeight="1" x14ac:dyDescent="0.35">
      <c r="A2216" s="75">
        <v>2194</v>
      </c>
      <c r="B2216" s="80">
        <v>2022</v>
      </c>
      <c r="C2216" s="80">
        <v>1</v>
      </c>
      <c r="D2216" s="80">
        <f t="shared" si="126"/>
        <v>2021</v>
      </c>
      <c r="E2216" t="s">
        <v>38</v>
      </c>
      <c r="F2216" t="s">
        <v>143</v>
      </c>
      <c r="G2216" t="s">
        <v>86</v>
      </c>
      <c r="H2216" s="72" t="s">
        <v>220</v>
      </c>
      <c r="I2216" s="72" t="s">
        <v>62</v>
      </c>
      <c r="J2216" t="str">
        <f t="shared" si="127"/>
        <v>Skykomish River</v>
      </c>
      <c r="K2216" t="str">
        <f>IFERROR(VLOOKUP(J2216,LUTs!$A$1:$C$73,2,FALSE),"NA")</f>
        <v>Snohomish</v>
      </c>
      <c r="L2216" t="str">
        <f>IFERROR(VLOOKUP(J2216,LUTs!$A$1:$C$73,3,FALSE),"NA")</f>
        <v>2Central Puget Sound</v>
      </c>
      <c r="M2216" s="72" t="s">
        <v>18</v>
      </c>
      <c r="N2216" t="str">
        <f>VLOOKUP(M2216,LUTs!E$2:H$14,3,)</f>
        <v>06King</v>
      </c>
      <c r="O2216" t="str">
        <f>VLOOKUP(M2216,LUTs!E$2:H$14,4,)</f>
        <v>02South Puget Sound</v>
      </c>
      <c r="P2216" s="80">
        <v>165</v>
      </c>
      <c r="Q2216" s="103">
        <v>72.7222222222222</v>
      </c>
      <c r="R2216" s="74">
        <f>VLOOKUP(B2216,Readme!A$40:C$52,3,)*Q2216</f>
        <v>621.04777777777758</v>
      </c>
    </row>
    <row r="2217" spans="1:18" ht="12" customHeight="1" x14ac:dyDescent="0.35">
      <c r="A2217" s="75">
        <v>2195</v>
      </c>
      <c r="B2217" s="80">
        <v>2022</v>
      </c>
      <c r="C2217" s="80">
        <v>1</v>
      </c>
      <c r="D2217" s="80">
        <f t="shared" si="126"/>
        <v>2021</v>
      </c>
      <c r="E2217" t="s">
        <v>38</v>
      </c>
      <c r="F2217" t="s">
        <v>143</v>
      </c>
      <c r="G2217" t="s">
        <v>86</v>
      </c>
      <c r="H2217" s="72" t="s">
        <v>220</v>
      </c>
      <c r="I2217" s="72" t="s">
        <v>62</v>
      </c>
      <c r="J2217" t="str">
        <f t="shared" si="127"/>
        <v>Skykomish River</v>
      </c>
      <c r="K2217" t="str">
        <f>IFERROR(VLOOKUP(J2217,LUTs!$A$1:$C$73,2,FALSE),"NA")</f>
        <v>Snohomish</v>
      </c>
      <c r="L2217" t="str">
        <f>IFERROR(VLOOKUP(J2217,LUTs!$A$1:$C$73,3,FALSE),"NA")</f>
        <v>2Central Puget Sound</v>
      </c>
      <c r="M2217" s="72" t="s">
        <v>23</v>
      </c>
      <c r="N2217" t="str">
        <f>VLOOKUP(M2217,LUTs!E$2:H$14,3,)</f>
        <v>10Kitsap</v>
      </c>
      <c r="O2217" t="str">
        <f>VLOOKUP(M2217,LUTs!E$2:H$14,4,)</f>
        <v>02South Puget Sound</v>
      </c>
      <c r="P2217" s="80">
        <v>15</v>
      </c>
      <c r="Q2217" s="103">
        <v>6.6111111111111098</v>
      </c>
      <c r="R2217" s="74">
        <f>VLOOKUP(B2217,Readme!A$40:C$52,3,)*Q2217</f>
        <v>56.458888888888872</v>
      </c>
    </row>
    <row r="2218" spans="1:18" ht="12" customHeight="1" x14ac:dyDescent="0.35">
      <c r="A2218" s="75">
        <v>2196</v>
      </c>
      <c r="B2218" s="80">
        <v>2022</v>
      </c>
      <c r="C2218" s="80">
        <v>1</v>
      </c>
      <c r="D2218" s="80">
        <f t="shared" si="126"/>
        <v>2021</v>
      </c>
      <c r="E2218" t="s">
        <v>38</v>
      </c>
      <c r="F2218" t="s">
        <v>143</v>
      </c>
      <c r="G2218" t="s">
        <v>86</v>
      </c>
      <c r="H2218" s="72" t="s">
        <v>220</v>
      </c>
      <c r="I2218" s="72" t="s">
        <v>62</v>
      </c>
      <c r="J2218" t="str">
        <f t="shared" si="127"/>
        <v>Skykomish River</v>
      </c>
      <c r="K2218" t="str">
        <f>IFERROR(VLOOKUP(J2218,LUTs!$A$1:$C$73,2,FALSE),"NA")</f>
        <v>Snohomish</v>
      </c>
      <c r="L2218" t="str">
        <f>IFERROR(VLOOKUP(J2218,LUTs!$A$1:$C$73,3,FALSE),"NA")</f>
        <v>2Central Puget Sound</v>
      </c>
      <c r="M2218" s="72" t="s">
        <v>16</v>
      </c>
      <c r="N2218" t="str">
        <f>VLOOKUP(M2218,LUTs!E$2:H$14,3,)</f>
        <v>03Snohomish</v>
      </c>
      <c r="O2218" t="str">
        <f>VLOOKUP(M2218,LUTs!E$2:H$14,4,)</f>
        <v>01North Puget Sound</v>
      </c>
      <c r="P2218" s="80">
        <v>90</v>
      </c>
      <c r="Q2218" s="103">
        <v>39.6666666666667</v>
      </c>
      <c r="R2218" s="74">
        <f>VLOOKUP(B2218,Readme!A$40:C$52,3,)*Q2218</f>
        <v>338.75333333333356</v>
      </c>
    </row>
    <row r="2219" spans="1:18" ht="12" customHeight="1" x14ac:dyDescent="0.35">
      <c r="A2219" s="75">
        <v>2201</v>
      </c>
      <c r="B2219" s="80">
        <v>2022</v>
      </c>
      <c r="C2219" s="80">
        <v>1</v>
      </c>
      <c r="D2219" s="80">
        <f t="shared" si="126"/>
        <v>2021</v>
      </c>
      <c r="E2219" t="s">
        <v>38</v>
      </c>
      <c r="F2219" t="s">
        <v>143</v>
      </c>
      <c r="G2219" t="s">
        <v>86</v>
      </c>
      <c r="H2219" s="72" t="s">
        <v>221</v>
      </c>
      <c r="I2219" s="72" t="s">
        <v>63</v>
      </c>
      <c r="J2219" t="str">
        <f t="shared" si="127"/>
        <v>Snohomish River</v>
      </c>
      <c r="K2219" t="str">
        <f>IFERROR(VLOOKUP(J2219,LUTs!$A$1:$C$73,2,FALSE),"NA")</f>
        <v>Snohomish</v>
      </c>
      <c r="L2219" t="str">
        <f>IFERROR(VLOOKUP(J2219,LUTs!$A$1:$C$73,3,FALSE),"NA")</f>
        <v>2Central Puget Sound</v>
      </c>
      <c r="M2219" s="72" t="s">
        <v>16</v>
      </c>
      <c r="N2219" t="str">
        <f>VLOOKUP(M2219,LUTs!E$2:H$14,3,)</f>
        <v>03Snohomish</v>
      </c>
      <c r="O2219" t="str">
        <f>VLOOKUP(M2219,LUTs!E$2:H$14,4,)</f>
        <v>01North Puget Sound</v>
      </c>
      <c r="P2219" s="80">
        <v>60</v>
      </c>
      <c r="Q2219" s="103">
        <v>30</v>
      </c>
      <c r="R2219" s="74">
        <f>VLOOKUP(B2219,Readme!A$40:C$52,3,)*Q2219</f>
        <v>256.2</v>
      </c>
    </row>
    <row r="2220" spans="1:18" ht="12" customHeight="1" x14ac:dyDescent="0.35">
      <c r="A2220" s="75">
        <v>2204</v>
      </c>
      <c r="B2220" s="80">
        <v>2022</v>
      </c>
      <c r="C2220" s="80">
        <v>1</v>
      </c>
      <c r="D2220" s="80">
        <f t="shared" si="126"/>
        <v>2021</v>
      </c>
      <c r="E2220" t="s">
        <v>38</v>
      </c>
      <c r="F2220" t="s">
        <v>143</v>
      </c>
      <c r="G2220" t="s">
        <v>86</v>
      </c>
      <c r="H2220" s="72" t="s">
        <v>222</v>
      </c>
      <c r="I2220" s="72" t="s">
        <v>64</v>
      </c>
      <c r="J2220" t="str">
        <f t="shared" si="127"/>
        <v>Snoqualmie River</v>
      </c>
      <c r="K2220" t="str">
        <f>IFERROR(VLOOKUP(J2220,LUTs!$A$1:$C$73,2,FALSE),"NA")</f>
        <v>Snohomish/King</v>
      </c>
      <c r="L2220" t="str">
        <f>IFERROR(VLOOKUP(J2220,LUTs!$A$1:$C$73,3,FALSE),"NA")</f>
        <v>2Central Puget Sound</v>
      </c>
      <c r="M2220" s="72" t="s">
        <v>18</v>
      </c>
      <c r="N2220" t="str">
        <f>VLOOKUP(M2220,LUTs!E$2:H$14,3,)</f>
        <v>06King</v>
      </c>
      <c r="O2220" t="str">
        <f>VLOOKUP(M2220,LUTs!E$2:H$14,4,)</f>
        <v>02South Puget Sound</v>
      </c>
      <c r="P2220" s="80">
        <v>74</v>
      </c>
      <c r="Q2220" s="103">
        <v>37</v>
      </c>
      <c r="R2220" s="74">
        <f>VLOOKUP(B2220,Readme!A$40:C$52,3,)*Q2220</f>
        <v>315.97999999999996</v>
      </c>
    </row>
    <row r="2221" spans="1:18" ht="12" customHeight="1" x14ac:dyDescent="0.35">
      <c r="A2221" s="75">
        <v>2226</v>
      </c>
      <c r="B2221" s="80">
        <v>2022</v>
      </c>
      <c r="C2221" s="80">
        <v>1</v>
      </c>
      <c r="D2221" s="80">
        <f t="shared" si="126"/>
        <v>2021</v>
      </c>
      <c r="E2221" t="s">
        <v>38</v>
      </c>
      <c r="F2221" t="s">
        <v>143</v>
      </c>
      <c r="G2221" t="s">
        <v>86</v>
      </c>
      <c r="H2221" s="72" t="s">
        <v>223</v>
      </c>
      <c r="I2221" s="72" t="s">
        <v>103</v>
      </c>
      <c r="J2221" t="str">
        <f t="shared" si="127"/>
        <v>Stillaguamish R, No. Fork</v>
      </c>
      <c r="K2221" t="str">
        <f>IFERROR(VLOOKUP(J2221,LUTs!$A$1:$C$73,2,FALSE),"NA")</f>
        <v>Snohomish</v>
      </c>
      <c r="L2221" t="str">
        <f>IFERROR(VLOOKUP(J2221,LUTs!$A$1:$C$73,3,FALSE),"NA")</f>
        <v>2Central Puget Sound</v>
      </c>
      <c r="M2221" s="72" t="s">
        <v>18</v>
      </c>
      <c r="N2221" t="str">
        <f>VLOOKUP(M2221,LUTs!E$2:H$14,3,)</f>
        <v>06King</v>
      </c>
      <c r="O2221" t="str">
        <f>VLOOKUP(M2221,LUTs!E$2:H$14,4,)</f>
        <v>02South Puget Sound</v>
      </c>
      <c r="P2221" s="80">
        <v>12</v>
      </c>
      <c r="Q2221" s="103">
        <v>6.9230769230769296</v>
      </c>
      <c r="R2221" s="74">
        <f>VLOOKUP(B2221,Readme!A$40:C$52,3,)*Q2221</f>
        <v>59.123076923076972</v>
      </c>
    </row>
    <row r="2222" spans="1:18" ht="12" customHeight="1" x14ac:dyDescent="0.35">
      <c r="A2222" s="75">
        <v>2227</v>
      </c>
      <c r="B2222" s="80">
        <v>2022</v>
      </c>
      <c r="C2222" s="80">
        <v>1</v>
      </c>
      <c r="D2222" s="80">
        <f t="shared" si="126"/>
        <v>2021</v>
      </c>
      <c r="E2222" t="s">
        <v>38</v>
      </c>
      <c r="F2222" t="s">
        <v>143</v>
      </c>
      <c r="G2222" t="s">
        <v>86</v>
      </c>
      <c r="H2222" s="72" t="s">
        <v>223</v>
      </c>
      <c r="I2222" s="72" t="s">
        <v>103</v>
      </c>
      <c r="J2222" t="str">
        <f t="shared" si="127"/>
        <v>Stillaguamish R, No. Fork</v>
      </c>
      <c r="K2222" t="str">
        <f>IFERROR(VLOOKUP(J2222,LUTs!$A$1:$C$73,2,FALSE),"NA")</f>
        <v>Snohomish</v>
      </c>
      <c r="L2222" t="str">
        <f>IFERROR(VLOOKUP(J2222,LUTs!$A$1:$C$73,3,FALSE),"NA")</f>
        <v>2Central Puget Sound</v>
      </c>
      <c r="M2222" s="72" t="s">
        <v>16</v>
      </c>
      <c r="N2222" t="str">
        <f>VLOOKUP(M2222,LUTs!E$2:H$14,3,)</f>
        <v>03Snohomish</v>
      </c>
      <c r="O2222" t="str">
        <f>VLOOKUP(M2222,LUTs!E$2:H$14,4,)</f>
        <v>01North Puget Sound</v>
      </c>
      <c r="P2222" s="80">
        <v>144</v>
      </c>
      <c r="Q2222" s="103">
        <v>83.076923076923094</v>
      </c>
      <c r="R2222" s="74">
        <f>VLOOKUP(B2222,Readme!A$40:C$52,3,)*Q2222</f>
        <v>709.47692307692319</v>
      </c>
    </row>
    <row r="2223" spans="1:18" ht="12" customHeight="1" x14ac:dyDescent="0.35">
      <c r="A2223" s="75">
        <v>2210</v>
      </c>
      <c r="B2223" s="80">
        <v>2022</v>
      </c>
      <c r="C2223" s="80">
        <v>1</v>
      </c>
      <c r="D2223" s="80">
        <f t="shared" si="126"/>
        <v>2021</v>
      </c>
      <c r="E2223" t="s">
        <v>38</v>
      </c>
      <c r="F2223" t="s">
        <v>143</v>
      </c>
      <c r="G2223" t="s">
        <v>86</v>
      </c>
      <c r="H2223" s="72" t="s">
        <v>250</v>
      </c>
      <c r="I2223" s="72" t="s">
        <v>101</v>
      </c>
      <c r="J2223" t="str">
        <f t="shared" si="127"/>
        <v>Tokul Creek</v>
      </c>
      <c r="K2223" t="str">
        <f>IFERROR(VLOOKUP(J2223,LUTs!$A$1:$C$73,2,FALSE),"NA")</f>
        <v>King</v>
      </c>
      <c r="L2223" t="str">
        <f>IFERROR(VLOOKUP(J2223,LUTs!$A$1:$C$73,3,FALSE),"NA")</f>
        <v>2Central Puget Sound</v>
      </c>
      <c r="M2223" s="72" t="s">
        <v>18</v>
      </c>
      <c r="N2223" t="str">
        <f>VLOOKUP(M2223,LUTs!E$2:H$14,3,)</f>
        <v>06King</v>
      </c>
      <c r="O2223" t="str">
        <f>VLOOKUP(M2223,LUTs!E$2:H$14,4,)</f>
        <v>02South Puget Sound</v>
      </c>
      <c r="P2223" s="80">
        <v>358.28571428571399</v>
      </c>
      <c r="Q2223" s="103">
        <v>77.142857142857196</v>
      </c>
      <c r="R2223" s="74">
        <f>VLOOKUP(B2223,Readme!A$40:C$52,3,)*Q2223</f>
        <v>658.80000000000041</v>
      </c>
    </row>
    <row r="2224" spans="1:18" ht="12" customHeight="1" x14ac:dyDescent="0.35">
      <c r="A2224" s="75">
        <v>2211</v>
      </c>
      <c r="B2224" s="80">
        <v>2022</v>
      </c>
      <c r="C2224" s="80">
        <v>1</v>
      </c>
      <c r="D2224" s="80">
        <f t="shared" si="126"/>
        <v>2021</v>
      </c>
      <c r="E2224" t="s">
        <v>38</v>
      </c>
      <c r="F2224" t="s">
        <v>143</v>
      </c>
      <c r="G2224" t="s">
        <v>86</v>
      </c>
      <c r="H2224" s="72" t="s">
        <v>250</v>
      </c>
      <c r="I2224" s="72" t="s">
        <v>101</v>
      </c>
      <c r="J2224" t="str">
        <f t="shared" si="127"/>
        <v>Tokul Creek</v>
      </c>
      <c r="K2224" t="str">
        <f>IFERROR(VLOOKUP(J2224,LUTs!$A$1:$C$73,2,FALSE),"NA")</f>
        <v>King</v>
      </c>
      <c r="L2224" t="str">
        <f>IFERROR(VLOOKUP(J2224,LUTs!$A$1:$C$73,3,FALSE),"NA")</f>
        <v>2Central Puget Sound</v>
      </c>
      <c r="M2224" s="72" t="s">
        <v>16</v>
      </c>
      <c r="N2224" t="str">
        <f>VLOOKUP(M2224,LUTs!E$2:H$14,3,)</f>
        <v>03Snohomish</v>
      </c>
      <c r="O2224" t="str">
        <f>VLOOKUP(M2224,LUTs!E$2:H$14,4,)</f>
        <v>01North Puget Sound</v>
      </c>
      <c r="P2224" s="80">
        <v>59.714285714285701</v>
      </c>
      <c r="Q2224" s="103">
        <v>12.8571428571429</v>
      </c>
      <c r="R2224" s="74">
        <f>VLOOKUP(B2224,Readme!A$40:C$52,3,)*Q2224</f>
        <v>109.80000000000035</v>
      </c>
    </row>
    <row r="2225" spans="1:18" ht="12" customHeight="1" x14ac:dyDescent="0.35">
      <c r="A2225" s="75">
        <v>2219</v>
      </c>
      <c r="B2225" s="80">
        <v>2022</v>
      </c>
      <c r="C2225" s="80">
        <v>1</v>
      </c>
      <c r="D2225" s="80">
        <f t="shared" si="126"/>
        <v>2021</v>
      </c>
      <c r="E2225" t="s">
        <v>38</v>
      </c>
      <c r="F2225" t="s">
        <v>143</v>
      </c>
      <c r="G2225" t="s">
        <v>86</v>
      </c>
      <c r="H2225" s="72" t="s">
        <v>233</v>
      </c>
      <c r="I2225" s="72" t="s">
        <v>76</v>
      </c>
      <c r="J2225" t="str">
        <f t="shared" si="127"/>
        <v>Wallace River</v>
      </c>
      <c r="K2225" t="str">
        <f>IFERROR(VLOOKUP(J2225,LUTs!$A$1:$C$73,2,FALSE),"NA")</f>
        <v>Snohomish</v>
      </c>
      <c r="L2225" t="str">
        <f>IFERROR(VLOOKUP(J2225,LUTs!$A$1:$C$73,3,FALSE),"NA")</f>
        <v>2Central Puget Sound</v>
      </c>
      <c r="M2225" s="72" t="s">
        <v>18</v>
      </c>
      <c r="N2225" t="str">
        <f>VLOOKUP(M2225,LUTs!E$2:H$14,3,)</f>
        <v>06King</v>
      </c>
      <c r="O2225" t="str">
        <f>VLOOKUP(M2225,LUTs!E$2:H$14,4,)</f>
        <v>02South Puget Sound</v>
      </c>
      <c r="P2225" s="80">
        <v>16</v>
      </c>
      <c r="Q2225" s="103">
        <v>41</v>
      </c>
      <c r="R2225" s="74">
        <f>VLOOKUP(B2225,Readme!A$40:C$52,3,)*Q2225</f>
        <v>350.14</v>
      </c>
    </row>
    <row r="2226" spans="1:18" ht="12" customHeight="1" x14ac:dyDescent="0.35">
      <c r="A2226" s="75">
        <v>2231</v>
      </c>
      <c r="B2226" s="80">
        <v>2022</v>
      </c>
      <c r="C2226" s="80">
        <v>2</v>
      </c>
      <c r="D2226" s="80">
        <f t="shared" si="126"/>
        <v>2021</v>
      </c>
      <c r="E2226" t="s">
        <v>38</v>
      </c>
      <c r="F2226" t="s">
        <v>143</v>
      </c>
      <c r="G2226" t="s">
        <v>86</v>
      </c>
      <c r="H2226" s="72" t="s">
        <v>254</v>
      </c>
      <c r="I2226" s="72" t="s">
        <v>33</v>
      </c>
      <c r="J2226" t="str">
        <f t="shared" si="127"/>
        <v>Area 9: Admiralty Inlet</v>
      </c>
      <c r="K2226" t="str">
        <f>IFERROR(VLOOKUP(J2226,LUTs!$A$1:$C$73,2,FALSE),"NA")</f>
        <v>NA</v>
      </c>
      <c r="L2226" t="str">
        <f>IFERROR(VLOOKUP(J2226,LUTs!$A$1:$C$73,3,FALSE),"NA")</f>
        <v>2Central Puget Sound</v>
      </c>
      <c r="M2226" s="72" t="s">
        <v>17</v>
      </c>
      <c r="N2226" t="str">
        <f>VLOOKUP(M2226,LUTs!E$2:H$14,3,)</f>
        <v>04Island</v>
      </c>
      <c r="O2226" t="str">
        <f>VLOOKUP(M2226,LUTs!E$2:H$14,4,)</f>
        <v>01North Puget Sound</v>
      </c>
      <c r="P2226" s="80">
        <v>12</v>
      </c>
      <c r="Q2226" s="103">
        <v>6</v>
      </c>
      <c r="R2226" s="74">
        <f>VLOOKUP(B2226,Readme!A$40:C$52,3,)*Q2226</f>
        <v>51.239999999999995</v>
      </c>
    </row>
    <row r="2227" spans="1:18" ht="12" customHeight="1" x14ac:dyDescent="0.35">
      <c r="A2227" s="75">
        <v>2205</v>
      </c>
      <c r="B2227" s="80">
        <v>2022</v>
      </c>
      <c r="C2227" s="80">
        <v>2</v>
      </c>
      <c r="D2227" s="80">
        <f t="shared" si="126"/>
        <v>2021</v>
      </c>
      <c r="E2227" t="s">
        <v>38</v>
      </c>
      <c r="F2227" t="s">
        <v>143</v>
      </c>
      <c r="G2227" t="s">
        <v>86</v>
      </c>
      <c r="H2227" s="72" t="s">
        <v>222</v>
      </c>
      <c r="I2227" s="72" t="s">
        <v>64</v>
      </c>
      <c r="J2227" t="str">
        <f t="shared" si="127"/>
        <v>Snoqualmie River</v>
      </c>
      <c r="K2227" t="str">
        <f>IFERROR(VLOOKUP(J2227,LUTs!$A$1:$C$73,2,FALSE),"NA")</f>
        <v>Snohomish/King</v>
      </c>
      <c r="L2227" t="str">
        <f>IFERROR(VLOOKUP(J2227,LUTs!$A$1:$C$73,3,FALSE),"NA")</f>
        <v>2Central Puget Sound</v>
      </c>
      <c r="M2227" s="72" t="s">
        <v>18</v>
      </c>
      <c r="N2227" t="str">
        <f>VLOOKUP(M2227,LUTs!E$2:H$14,3,)</f>
        <v>06King</v>
      </c>
      <c r="O2227" t="str">
        <f>VLOOKUP(M2227,LUTs!E$2:H$14,4,)</f>
        <v>02South Puget Sound</v>
      </c>
      <c r="P2227" s="80">
        <v>14</v>
      </c>
      <c r="Q2227" s="103">
        <v>2</v>
      </c>
      <c r="R2227" s="74">
        <f>VLOOKUP(B2227,Readme!A$40:C$52,3,)*Q2227</f>
        <v>17.079999999999998</v>
      </c>
    </row>
    <row r="2228" spans="1:18" ht="12" customHeight="1" x14ac:dyDescent="0.35">
      <c r="A2228" s="75">
        <v>2228</v>
      </c>
      <c r="B2228" s="80">
        <v>2022</v>
      </c>
      <c r="C2228" s="80">
        <v>2</v>
      </c>
      <c r="D2228" s="80">
        <f t="shared" si="126"/>
        <v>2021</v>
      </c>
      <c r="E2228" t="s">
        <v>38</v>
      </c>
      <c r="F2228" t="s">
        <v>143</v>
      </c>
      <c r="G2228" t="s">
        <v>86</v>
      </c>
      <c r="H2228" s="72" t="s">
        <v>223</v>
      </c>
      <c r="I2228" s="72" t="s">
        <v>103</v>
      </c>
      <c r="J2228" t="str">
        <f t="shared" si="127"/>
        <v>Stillaguamish R, No. Fork</v>
      </c>
      <c r="K2228" t="str">
        <f>IFERROR(VLOOKUP(J2228,LUTs!$A$1:$C$73,2,FALSE),"NA")</f>
        <v>Snohomish</v>
      </c>
      <c r="L2228" t="str">
        <f>IFERROR(VLOOKUP(J2228,LUTs!$A$1:$C$73,3,FALSE),"NA")</f>
        <v>2Central Puget Sound</v>
      </c>
      <c r="M2228" s="72" t="s">
        <v>16</v>
      </c>
      <c r="N2228" t="str">
        <f>VLOOKUP(M2228,LUTs!E$2:H$14,3,)</f>
        <v>03Snohomish</v>
      </c>
      <c r="O2228" t="str">
        <f>VLOOKUP(M2228,LUTs!E$2:H$14,4,)</f>
        <v>01North Puget Sound</v>
      </c>
      <c r="P2228" s="80">
        <v>12</v>
      </c>
      <c r="Q2228" s="103">
        <v>2</v>
      </c>
      <c r="R2228" s="74">
        <f>VLOOKUP(B2228,Readme!A$40:C$52,3,)*Q2228</f>
        <v>17.079999999999998</v>
      </c>
    </row>
    <row r="2229" spans="1:18" ht="12" customHeight="1" x14ac:dyDescent="0.35">
      <c r="A2229" s="75">
        <v>2212</v>
      </c>
      <c r="B2229" s="80">
        <v>2022</v>
      </c>
      <c r="C2229" s="80">
        <v>2</v>
      </c>
      <c r="D2229" s="80">
        <f t="shared" si="126"/>
        <v>2021</v>
      </c>
      <c r="E2229" t="s">
        <v>38</v>
      </c>
      <c r="F2229" t="s">
        <v>143</v>
      </c>
      <c r="G2229" t="s">
        <v>86</v>
      </c>
      <c r="H2229" s="72" t="s">
        <v>250</v>
      </c>
      <c r="I2229" s="72" t="s">
        <v>101</v>
      </c>
      <c r="J2229" t="str">
        <f t="shared" si="127"/>
        <v>Tokul Creek</v>
      </c>
      <c r="K2229" t="str">
        <f>IFERROR(VLOOKUP(J2229,LUTs!$A$1:$C$73,2,FALSE),"NA")</f>
        <v>King</v>
      </c>
      <c r="L2229" t="str">
        <f>IFERROR(VLOOKUP(J2229,LUTs!$A$1:$C$73,3,FALSE),"NA")</f>
        <v>2Central Puget Sound</v>
      </c>
      <c r="M2229" s="72" t="s">
        <v>18</v>
      </c>
      <c r="N2229" t="str">
        <f>VLOOKUP(M2229,LUTs!E$2:H$14,3,)</f>
        <v>06King</v>
      </c>
      <c r="O2229" t="str">
        <f>VLOOKUP(M2229,LUTs!E$2:H$14,4,)</f>
        <v>02South Puget Sound</v>
      </c>
      <c r="P2229" s="80">
        <v>59.2</v>
      </c>
      <c r="Q2229" s="103">
        <v>1.6</v>
      </c>
      <c r="R2229" s="74">
        <f>VLOOKUP(B2229,Readme!A$40:C$52,3,)*Q2229</f>
        <v>13.664</v>
      </c>
    </row>
    <row r="2230" spans="1:18" ht="12" customHeight="1" x14ac:dyDescent="0.35">
      <c r="A2230" s="75">
        <v>2213</v>
      </c>
      <c r="B2230" s="80">
        <v>2022</v>
      </c>
      <c r="C2230" s="80">
        <v>2</v>
      </c>
      <c r="D2230" s="80">
        <f t="shared" si="126"/>
        <v>2021</v>
      </c>
      <c r="E2230" t="s">
        <v>38</v>
      </c>
      <c r="F2230" t="s">
        <v>143</v>
      </c>
      <c r="G2230" t="s">
        <v>86</v>
      </c>
      <c r="H2230" s="72" t="s">
        <v>250</v>
      </c>
      <c r="I2230" s="72" t="s">
        <v>101</v>
      </c>
      <c r="J2230" t="str">
        <f t="shared" si="127"/>
        <v>Tokul Creek</v>
      </c>
      <c r="K2230" t="str">
        <f>IFERROR(VLOOKUP(J2230,LUTs!$A$1:$C$73,2,FALSE),"NA")</f>
        <v>King</v>
      </c>
      <c r="L2230" t="str">
        <f>IFERROR(VLOOKUP(J2230,LUTs!$A$1:$C$73,3,FALSE),"NA")</f>
        <v>2Central Puget Sound</v>
      </c>
      <c r="M2230" s="72" t="s">
        <v>16</v>
      </c>
      <c r="N2230" t="str">
        <f>VLOOKUP(M2230,LUTs!E$2:H$14,3,)</f>
        <v>03Snohomish</v>
      </c>
      <c r="O2230" t="str">
        <f>VLOOKUP(M2230,LUTs!E$2:H$14,4,)</f>
        <v>01North Puget Sound</v>
      </c>
      <c r="P2230" s="80">
        <v>14.8</v>
      </c>
      <c r="Q2230" s="103">
        <v>0.4</v>
      </c>
      <c r="R2230" s="74">
        <f>VLOOKUP(B2230,Readme!A$40:C$52,3,)*Q2230</f>
        <v>3.4159999999999999</v>
      </c>
    </row>
    <row r="2231" spans="1:18" ht="12" customHeight="1" x14ac:dyDescent="0.35">
      <c r="A2231" s="75">
        <v>2220</v>
      </c>
      <c r="B2231" s="80">
        <v>2022</v>
      </c>
      <c r="C2231" s="80">
        <v>2</v>
      </c>
      <c r="D2231" s="80">
        <f t="shared" si="126"/>
        <v>2021</v>
      </c>
      <c r="E2231" t="s">
        <v>38</v>
      </c>
      <c r="F2231" t="s">
        <v>143</v>
      </c>
      <c r="G2231" t="s">
        <v>86</v>
      </c>
      <c r="H2231" s="72" t="s">
        <v>233</v>
      </c>
      <c r="I2231" s="72" t="s">
        <v>76</v>
      </c>
      <c r="J2231" t="str">
        <f t="shared" si="127"/>
        <v>Wallace River</v>
      </c>
      <c r="K2231" t="str">
        <f>IFERROR(VLOOKUP(J2231,LUTs!$A$1:$C$73,2,FALSE),"NA")</f>
        <v>Snohomish</v>
      </c>
      <c r="L2231" t="str">
        <f>IFERROR(VLOOKUP(J2231,LUTs!$A$1:$C$73,3,FALSE),"NA")</f>
        <v>2Central Puget Sound</v>
      </c>
      <c r="M2231" s="72" t="s">
        <v>18</v>
      </c>
      <c r="N2231" t="str">
        <f>VLOOKUP(M2231,LUTs!E$2:H$14,3,)</f>
        <v>06King</v>
      </c>
      <c r="O2231" t="str">
        <f>VLOOKUP(M2231,LUTs!E$2:H$14,4,)</f>
        <v>02South Puget Sound</v>
      </c>
      <c r="P2231" s="80">
        <v>15</v>
      </c>
      <c r="Q2231" s="103">
        <v>5</v>
      </c>
      <c r="R2231" s="74">
        <f>VLOOKUP(B2231,Readme!A$40:C$52,3,)*Q2231</f>
        <v>42.699999999999996</v>
      </c>
    </row>
    <row r="2232" spans="1:18" ht="12" customHeight="1" x14ac:dyDescent="0.35">
      <c r="A2232" s="75">
        <v>2221</v>
      </c>
      <c r="B2232" s="80">
        <v>2022</v>
      </c>
      <c r="C2232" s="80">
        <v>2</v>
      </c>
      <c r="D2232" s="80">
        <f t="shared" si="126"/>
        <v>2021</v>
      </c>
      <c r="E2232" t="s">
        <v>38</v>
      </c>
      <c r="F2232" t="s">
        <v>143</v>
      </c>
      <c r="G2232" t="s">
        <v>86</v>
      </c>
      <c r="H2232" s="72" t="s">
        <v>233</v>
      </c>
      <c r="I2232" s="72" t="s">
        <v>76</v>
      </c>
      <c r="J2232" t="str">
        <f t="shared" si="127"/>
        <v>Wallace River</v>
      </c>
      <c r="K2232" t="str">
        <f>IFERROR(VLOOKUP(J2232,LUTs!$A$1:$C$73,2,FALSE),"NA")</f>
        <v>Snohomish</v>
      </c>
      <c r="L2232" t="str">
        <f>IFERROR(VLOOKUP(J2232,LUTs!$A$1:$C$73,3,FALSE),"NA")</f>
        <v>2Central Puget Sound</v>
      </c>
      <c r="M2232" s="72" t="s">
        <v>16</v>
      </c>
      <c r="N2232" t="str">
        <f>VLOOKUP(M2232,LUTs!E$2:H$14,3,)</f>
        <v>03Snohomish</v>
      </c>
      <c r="O2232" t="str">
        <f>VLOOKUP(M2232,LUTs!E$2:H$14,4,)</f>
        <v>01North Puget Sound</v>
      </c>
      <c r="P2232" s="80">
        <v>15</v>
      </c>
      <c r="Q2232" s="103">
        <v>5</v>
      </c>
      <c r="R2232" s="74">
        <f>VLOOKUP(B2232,Readme!A$40:C$52,3,)*Q2232</f>
        <v>42.699999999999996</v>
      </c>
    </row>
    <row r="2233" spans="1:18" ht="12" customHeight="1" x14ac:dyDescent="0.35">
      <c r="A2233" s="75">
        <v>2232</v>
      </c>
      <c r="B2233" s="80">
        <v>2022</v>
      </c>
      <c r="C2233" s="80">
        <v>3</v>
      </c>
      <c r="D2233" s="80">
        <f t="shared" si="126"/>
        <v>2021</v>
      </c>
      <c r="E2233" t="s">
        <v>38</v>
      </c>
      <c r="F2233" t="s">
        <v>143</v>
      </c>
      <c r="G2233" t="s">
        <v>86</v>
      </c>
      <c r="H2233" s="72" t="s">
        <v>254</v>
      </c>
      <c r="I2233" s="72" t="s">
        <v>33</v>
      </c>
      <c r="J2233" t="str">
        <f t="shared" si="127"/>
        <v>Area 9: Admiralty Inlet</v>
      </c>
      <c r="K2233" t="str">
        <f>IFERROR(VLOOKUP(J2233,LUTs!$A$1:$C$73,2,FALSE),"NA")</f>
        <v>NA</v>
      </c>
      <c r="L2233" t="str">
        <f>IFERROR(VLOOKUP(J2233,LUTs!$A$1:$C$73,3,FALSE),"NA")</f>
        <v>2Central Puget Sound</v>
      </c>
      <c r="M2233" s="72" t="s">
        <v>17</v>
      </c>
      <c r="N2233" t="str">
        <f>VLOOKUP(M2233,LUTs!E$2:H$14,3,)</f>
        <v>04Island</v>
      </c>
      <c r="O2233" t="str">
        <f>VLOOKUP(M2233,LUTs!E$2:H$14,4,)</f>
        <v>01North Puget Sound</v>
      </c>
      <c r="P2233" s="80">
        <v>12</v>
      </c>
      <c r="Q2233" s="103">
        <v>6</v>
      </c>
      <c r="R2233" s="74">
        <f>VLOOKUP(B2233,Readme!A$40:C$52,3,)*Q2233</f>
        <v>51.239999999999995</v>
      </c>
    </row>
    <row r="2234" spans="1:18" ht="12" customHeight="1" x14ac:dyDescent="0.35">
      <c r="R2234" s="74"/>
    </row>
    <row r="2235" spans="1:18" ht="12" customHeight="1" x14ac:dyDescent="0.35">
      <c r="P2235" s="105">
        <f>SUM(P2:P2233)</f>
        <v>104745.99999999983</v>
      </c>
      <c r="Q2235" s="105">
        <f t="shared" ref="Q2235:R2235" si="128">SUM(Q2:Q2233)</f>
        <v>66221.999999999956</v>
      </c>
      <c r="R2235" s="105">
        <f t="shared" si="128"/>
        <v>880070.09999999893</v>
      </c>
    </row>
    <row r="2236" spans="1:18" ht="12" customHeight="1" x14ac:dyDescent="0.35">
      <c r="R2236" s="74"/>
    </row>
    <row r="2237" spans="1:18" ht="12" customHeight="1" x14ac:dyDescent="0.35">
      <c r="R2237" s="74"/>
    </row>
    <row r="2238" spans="1:18" ht="12" customHeight="1" x14ac:dyDescent="0.35">
      <c r="R2238" s="74"/>
    </row>
    <row r="2239" spans="1:18" ht="12" customHeight="1" x14ac:dyDescent="0.35">
      <c r="R2239" s="74"/>
    </row>
    <row r="2240" spans="1:18" ht="12" customHeight="1" x14ac:dyDescent="0.35">
      <c r="R2240" s="74"/>
    </row>
    <row r="2241" spans="18:18" ht="12" customHeight="1" x14ac:dyDescent="0.35">
      <c r="R2241" s="74"/>
    </row>
    <row r="2242" spans="18:18" ht="12" customHeight="1" x14ac:dyDescent="0.35">
      <c r="R2242" s="74"/>
    </row>
    <row r="2243" spans="18:18" ht="12" customHeight="1" x14ac:dyDescent="0.35">
      <c r="R2243" s="74"/>
    </row>
    <row r="2244" spans="18:18" ht="12" customHeight="1" x14ac:dyDescent="0.35">
      <c r="R2244" s="74"/>
    </row>
    <row r="2245" spans="18:18" ht="12" customHeight="1" x14ac:dyDescent="0.35">
      <c r="R2245" s="74"/>
    </row>
    <row r="2246" spans="18:18" ht="12" customHeight="1" x14ac:dyDescent="0.35">
      <c r="R2246" s="74"/>
    </row>
    <row r="2247" spans="18:18" ht="12" customHeight="1" x14ac:dyDescent="0.35">
      <c r="R2247" s="74"/>
    </row>
    <row r="2248" spans="18:18" ht="12" customHeight="1" x14ac:dyDescent="0.35">
      <c r="R2248" s="74"/>
    </row>
    <row r="2249" spans="18:18" ht="12" customHeight="1" x14ac:dyDescent="0.35">
      <c r="R2249" s="74"/>
    </row>
    <row r="2250" spans="18:18" ht="12" customHeight="1" x14ac:dyDescent="0.35">
      <c r="R2250" s="74"/>
    </row>
    <row r="2251" spans="18:18" ht="12" customHeight="1" x14ac:dyDescent="0.35">
      <c r="R2251" s="74"/>
    </row>
    <row r="2252" spans="18:18" ht="12" customHeight="1" x14ac:dyDescent="0.35">
      <c r="R2252" s="74"/>
    </row>
    <row r="2253" spans="18:18" ht="12" customHeight="1" x14ac:dyDescent="0.35">
      <c r="R2253" s="74"/>
    </row>
    <row r="2254" spans="18:18" ht="12" customHeight="1" x14ac:dyDescent="0.35">
      <c r="R2254" s="74"/>
    </row>
    <row r="2255" spans="18:18" ht="12" customHeight="1" x14ac:dyDescent="0.35">
      <c r="R2255" s="74"/>
    </row>
    <row r="2256" spans="18:18" ht="12" customHeight="1" x14ac:dyDescent="0.35">
      <c r="R2256" s="74"/>
    </row>
    <row r="2257" spans="18:18" ht="12" customHeight="1" x14ac:dyDescent="0.35">
      <c r="R2257" s="74"/>
    </row>
    <row r="2258" spans="18:18" ht="12" customHeight="1" x14ac:dyDescent="0.35">
      <c r="R2258" s="74"/>
    </row>
    <row r="2259" spans="18:18" ht="12" customHeight="1" x14ac:dyDescent="0.35">
      <c r="R2259" s="74"/>
    </row>
    <row r="2260" spans="18:18" ht="12" customHeight="1" x14ac:dyDescent="0.35">
      <c r="R2260" s="74"/>
    </row>
    <row r="2261" spans="18:18" ht="12" customHeight="1" x14ac:dyDescent="0.35">
      <c r="R2261" s="74"/>
    </row>
    <row r="2262" spans="18:18" ht="12" customHeight="1" x14ac:dyDescent="0.35">
      <c r="R2262" s="74"/>
    </row>
    <row r="2263" spans="18:18" ht="12" customHeight="1" x14ac:dyDescent="0.35">
      <c r="R2263" s="74"/>
    </row>
    <row r="2264" spans="18:18" ht="12" customHeight="1" x14ac:dyDescent="0.35">
      <c r="R2264" s="74"/>
    </row>
    <row r="2265" spans="18:18" ht="12" customHeight="1" x14ac:dyDescent="0.35">
      <c r="R2265" s="74"/>
    </row>
    <row r="2266" spans="18:18" ht="12" customHeight="1" x14ac:dyDescent="0.35">
      <c r="R2266" s="74"/>
    </row>
    <row r="2267" spans="18:18" ht="12" customHeight="1" x14ac:dyDescent="0.35">
      <c r="R2267" s="74"/>
    </row>
    <row r="2268" spans="18:18" ht="12" customHeight="1" x14ac:dyDescent="0.35">
      <c r="R2268" s="74"/>
    </row>
    <row r="2269" spans="18:18" ht="12" customHeight="1" x14ac:dyDescent="0.35">
      <c r="R2269" s="74"/>
    </row>
    <row r="2270" spans="18:18" ht="12" customHeight="1" x14ac:dyDescent="0.35">
      <c r="R2270" s="74"/>
    </row>
    <row r="2271" spans="18:18" ht="12" customHeight="1" x14ac:dyDescent="0.35">
      <c r="R2271" s="74"/>
    </row>
    <row r="2272" spans="18:18" ht="12" customHeight="1" x14ac:dyDescent="0.35">
      <c r="R2272" s="74"/>
    </row>
    <row r="2273" spans="18:18" ht="12" customHeight="1" x14ac:dyDescent="0.35">
      <c r="R2273" s="74"/>
    </row>
    <row r="2274" spans="18:18" ht="12" customHeight="1" x14ac:dyDescent="0.35">
      <c r="R2274" s="74"/>
    </row>
    <row r="2275" spans="18:18" ht="12" customHeight="1" x14ac:dyDescent="0.35">
      <c r="R2275" s="74"/>
    </row>
    <row r="2276" spans="18:18" ht="12" customHeight="1" x14ac:dyDescent="0.35">
      <c r="R2276" s="74"/>
    </row>
    <row r="2277" spans="18:18" ht="12" customHeight="1" x14ac:dyDescent="0.35">
      <c r="R2277" s="74"/>
    </row>
    <row r="2278" spans="18:18" ht="12" customHeight="1" x14ac:dyDescent="0.35">
      <c r="R2278" s="74"/>
    </row>
    <row r="2279" spans="18:18" ht="12" customHeight="1" x14ac:dyDescent="0.35">
      <c r="R2279" s="74"/>
    </row>
    <row r="2280" spans="18:18" ht="12" customHeight="1" x14ac:dyDescent="0.35">
      <c r="R2280" s="74"/>
    </row>
    <row r="2281" spans="18:18" ht="12" customHeight="1" x14ac:dyDescent="0.35">
      <c r="R2281" s="74"/>
    </row>
    <row r="2282" spans="18:18" ht="12" customHeight="1" x14ac:dyDescent="0.35">
      <c r="R2282" s="74"/>
    </row>
    <row r="2283" spans="18:18" ht="12" customHeight="1" x14ac:dyDescent="0.35">
      <c r="R2283" s="74"/>
    </row>
    <row r="2284" spans="18:18" ht="12" customHeight="1" x14ac:dyDescent="0.35">
      <c r="R2284" s="74"/>
    </row>
    <row r="2285" spans="18:18" ht="12" customHeight="1" x14ac:dyDescent="0.35">
      <c r="R2285" s="74"/>
    </row>
    <row r="2286" spans="18:18" ht="12" customHeight="1" x14ac:dyDescent="0.35">
      <c r="R2286" s="74"/>
    </row>
    <row r="2287" spans="18:18" ht="12" customHeight="1" x14ac:dyDescent="0.35">
      <c r="R2287" s="74"/>
    </row>
    <row r="2288" spans="18:18" ht="12" customHeight="1" x14ac:dyDescent="0.35">
      <c r="R2288" s="74"/>
    </row>
    <row r="2289" spans="18:18" ht="12" customHeight="1" x14ac:dyDescent="0.35">
      <c r="R2289" s="74"/>
    </row>
    <row r="2290" spans="18:18" ht="12" customHeight="1" x14ac:dyDescent="0.35">
      <c r="R2290" s="74"/>
    </row>
    <row r="2291" spans="18:18" ht="12" customHeight="1" x14ac:dyDescent="0.35">
      <c r="R2291" s="74"/>
    </row>
    <row r="2292" spans="18:18" ht="12" customHeight="1" x14ac:dyDescent="0.35">
      <c r="R2292" s="74"/>
    </row>
    <row r="2293" spans="18:18" ht="12" customHeight="1" x14ac:dyDescent="0.35">
      <c r="R2293" s="74"/>
    </row>
    <row r="2294" spans="18:18" ht="12" customHeight="1" x14ac:dyDescent="0.35">
      <c r="R2294" s="74"/>
    </row>
    <row r="2295" spans="18:18" ht="12" customHeight="1" x14ac:dyDescent="0.35">
      <c r="R2295" s="74"/>
    </row>
    <row r="2296" spans="18:18" ht="12" customHeight="1" x14ac:dyDescent="0.35">
      <c r="R2296" s="74"/>
    </row>
    <row r="2297" spans="18:18" ht="12" customHeight="1" x14ac:dyDescent="0.35">
      <c r="R2297" s="74"/>
    </row>
    <row r="2298" spans="18:18" ht="12" customHeight="1" x14ac:dyDescent="0.35">
      <c r="R2298" s="74"/>
    </row>
    <row r="2299" spans="18:18" ht="12" customHeight="1" x14ac:dyDescent="0.35">
      <c r="R2299" s="74"/>
    </row>
    <row r="2300" spans="18:18" ht="12" customHeight="1" x14ac:dyDescent="0.35">
      <c r="R2300" s="74"/>
    </row>
    <row r="2301" spans="18:18" ht="12" customHeight="1" x14ac:dyDescent="0.35">
      <c r="R2301" s="74"/>
    </row>
    <row r="2302" spans="18:18" ht="12" customHeight="1" x14ac:dyDescent="0.35">
      <c r="R2302" s="74"/>
    </row>
    <row r="2303" spans="18:18" ht="12" customHeight="1" x14ac:dyDescent="0.35">
      <c r="R2303" s="74"/>
    </row>
    <row r="2304" spans="18:18" ht="12" customHeight="1" x14ac:dyDescent="0.35">
      <c r="R2304" s="74"/>
    </row>
    <row r="2305" spans="18:18" ht="12" customHeight="1" x14ac:dyDescent="0.35">
      <c r="R2305" s="74"/>
    </row>
    <row r="2306" spans="18:18" ht="12" customHeight="1" x14ac:dyDescent="0.35">
      <c r="R2306" s="74"/>
    </row>
    <row r="2307" spans="18:18" ht="12" customHeight="1" x14ac:dyDescent="0.35">
      <c r="R2307" s="74"/>
    </row>
    <row r="2308" spans="18:18" ht="12" customHeight="1" x14ac:dyDescent="0.35">
      <c r="R2308" s="74"/>
    </row>
    <row r="2309" spans="18:18" ht="12" customHeight="1" x14ac:dyDescent="0.35">
      <c r="R2309" s="74"/>
    </row>
    <row r="2310" spans="18:18" ht="12" customHeight="1" x14ac:dyDescent="0.35">
      <c r="R2310" s="74"/>
    </row>
    <row r="2311" spans="18:18" ht="12" customHeight="1" x14ac:dyDescent="0.35">
      <c r="R2311" s="74"/>
    </row>
    <row r="2312" spans="18:18" ht="12" customHeight="1" x14ac:dyDescent="0.35">
      <c r="R2312" s="74"/>
    </row>
    <row r="2313" spans="18:18" ht="12" customHeight="1" x14ac:dyDescent="0.35">
      <c r="R2313" s="74"/>
    </row>
    <row r="2314" spans="18:18" ht="12" customHeight="1" x14ac:dyDescent="0.35">
      <c r="R2314" s="74"/>
    </row>
    <row r="2315" spans="18:18" ht="12" customHeight="1" x14ac:dyDescent="0.35">
      <c r="R2315" s="74"/>
    </row>
    <row r="2316" spans="18:18" ht="12" customHeight="1" x14ac:dyDescent="0.35">
      <c r="R2316" s="74"/>
    </row>
    <row r="2317" spans="18:18" ht="12" customHeight="1" x14ac:dyDescent="0.35">
      <c r="R2317" s="74"/>
    </row>
    <row r="2318" spans="18:18" ht="12" customHeight="1" x14ac:dyDescent="0.35">
      <c r="R2318" s="74"/>
    </row>
    <row r="2319" spans="18:18" ht="12" customHeight="1" x14ac:dyDescent="0.35">
      <c r="R2319" s="74"/>
    </row>
    <row r="2320" spans="18:18" ht="12" customHeight="1" x14ac:dyDescent="0.35">
      <c r="R2320" s="74"/>
    </row>
    <row r="2321" spans="18:18" ht="12" customHeight="1" x14ac:dyDescent="0.35">
      <c r="R2321" s="74"/>
    </row>
    <row r="2322" spans="18:18" ht="12" customHeight="1" x14ac:dyDescent="0.35">
      <c r="R2322" s="74"/>
    </row>
    <row r="2323" spans="18:18" ht="12" customHeight="1" x14ac:dyDescent="0.35">
      <c r="R2323" s="74"/>
    </row>
    <row r="2324" spans="18:18" ht="12" customHeight="1" x14ac:dyDescent="0.35">
      <c r="R2324" s="74"/>
    </row>
    <row r="2325" spans="18:18" ht="12" customHeight="1" x14ac:dyDescent="0.35">
      <c r="R2325" s="74"/>
    </row>
    <row r="2326" spans="18:18" ht="12" customHeight="1" x14ac:dyDescent="0.35">
      <c r="R2326" s="74"/>
    </row>
    <row r="2327" spans="18:18" ht="12" customHeight="1" x14ac:dyDescent="0.35">
      <c r="R2327" s="74"/>
    </row>
    <row r="2328" spans="18:18" ht="12" customHeight="1" x14ac:dyDescent="0.35">
      <c r="R2328" s="74"/>
    </row>
    <row r="2329" spans="18:18" ht="12" customHeight="1" x14ac:dyDescent="0.35">
      <c r="R2329" s="74"/>
    </row>
    <row r="2330" spans="18:18" ht="12" customHeight="1" x14ac:dyDescent="0.35">
      <c r="R2330" s="74"/>
    </row>
    <row r="2331" spans="18:18" ht="12" customHeight="1" x14ac:dyDescent="0.35">
      <c r="R2331" s="74"/>
    </row>
    <row r="2332" spans="18:18" ht="12" customHeight="1" x14ac:dyDescent="0.35">
      <c r="R2332" s="74"/>
    </row>
    <row r="2333" spans="18:18" ht="12" customHeight="1" x14ac:dyDescent="0.35">
      <c r="R2333" s="74"/>
    </row>
    <row r="2334" spans="18:18" ht="12" customHeight="1" x14ac:dyDescent="0.35">
      <c r="R2334" s="74"/>
    </row>
    <row r="2335" spans="18:18" ht="12" customHeight="1" x14ac:dyDescent="0.35">
      <c r="R2335" s="74"/>
    </row>
    <row r="2336" spans="18:18" ht="12" customHeight="1" x14ac:dyDescent="0.35">
      <c r="R2336" s="74"/>
    </row>
    <row r="2337" spans="18:18" ht="12" customHeight="1" x14ac:dyDescent="0.35">
      <c r="R2337" s="74"/>
    </row>
    <row r="2338" spans="18:18" ht="12" customHeight="1" x14ac:dyDescent="0.35">
      <c r="R2338" s="74"/>
    </row>
    <row r="2339" spans="18:18" ht="12" customHeight="1" x14ac:dyDescent="0.35">
      <c r="R2339" s="74"/>
    </row>
    <row r="2340" spans="18:18" ht="12" customHeight="1" x14ac:dyDescent="0.35">
      <c r="R2340" s="74"/>
    </row>
    <row r="2341" spans="18:18" ht="12" customHeight="1" x14ac:dyDescent="0.35">
      <c r="R2341" s="74"/>
    </row>
    <row r="2342" spans="18:18" ht="12" customHeight="1" x14ac:dyDescent="0.35">
      <c r="R2342" s="74"/>
    </row>
    <row r="2343" spans="18:18" ht="12" customHeight="1" x14ac:dyDescent="0.35">
      <c r="R2343" s="74"/>
    </row>
    <row r="2344" spans="18:18" ht="12" customHeight="1" x14ac:dyDescent="0.35">
      <c r="R2344" s="74"/>
    </row>
    <row r="2345" spans="18:18" ht="12" customHeight="1" x14ac:dyDescent="0.35">
      <c r="R2345" s="74"/>
    </row>
    <row r="2346" spans="18:18" ht="12" customHeight="1" x14ac:dyDescent="0.35">
      <c r="R2346" s="74"/>
    </row>
    <row r="2347" spans="18:18" ht="12" customHeight="1" x14ac:dyDescent="0.35">
      <c r="R2347" s="74"/>
    </row>
    <row r="2348" spans="18:18" ht="12" customHeight="1" x14ac:dyDescent="0.35">
      <c r="R2348" s="74"/>
    </row>
    <row r="2349" spans="18:18" ht="12" customHeight="1" x14ac:dyDescent="0.35">
      <c r="R2349" s="74"/>
    </row>
    <row r="2350" spans="18:18" ht="12" customHeight="1" x14ac:dyDescent="0.35">
      <c r="R2350" s="74"/>
    </row>
    <row r="2351" spans="18:18" ht="12" customHeight="1" x14ac:dyDescent="0.35">
      <c r="R2351" s="74"/>
    </row>
    <row r="2352" spans="18:18" ht="12" customHeight="1" x14ac:dyDescent="0.35">
      <c r="R2352" s="74"/>
    </row>
    <row r="2353" spans="18:18" ht="12" customHeight="1" x14ac:dyDescent="0.35">
      <c r="R2353" s="74"/>
    </row>
    <row r="2354" spans="18:18" ht="12" customHeight="1" x14ac:dyDescent="0.35">
      <c r="R2354" s="74"/>
    </row>
    <row r="2355" spans="18:18" ht="12" customHeight="1" x14ac:dyDescent="0.35">
      <c r="R2355" s="74"/>
    </row>
    <row r="2356" spans="18:18" ht="12" customHeight="1" x14ac:dyDescent="0.35">
      <c r="R2356" s="74"/>
    </row>
    <row r="2357" spans="18:18" ht="12" customHeight="1" x14ac:dyDescent="0.35">
      <c r="R2357" s="74"/>
    </row>
    <row r="2358" spans="18:18" ht="12" customHeight="1" x14ac:dyDescent="0.35">
      <c r="R2358" s="74"/>
    </row>
    <row r="2359" spans="18:18" ht="12" customHeight="1" x14ac:dyDescent="0.35">
      <c r="R2359" s="74"/>
    </row>
    <row r="2360" spans="18:18" ht="12" customHeight="1" x14ac:dyDescent="0.35">
      <c r="R2360" s="74"/>
    </row>
    <row r="2361" spans="18:18" ht="12" customHeight="1" x14ac:dyDescent="0.35">
      <c r="R2361" s="74"/>
    </row>
    <row r="2362" spans="18:18" ht="12" customHeight="1" x14ac:dyDescent="0.35">
      <c r="R2362" s="74"/>
    </row>
    <row r="2363" spans="18:18" ht="12" customHeight="1" x14ac:dyDescent="0.35">
      <c r="R2363" s="74"/>
    </row>
    <row r="2364" spans="18:18" ht="12" customHeight="1" x14ac:dyDescent="0.35">
      <c r="R2364" s="74"/>
    </row>
    <row r="2365" spans="18:18" ht="12" customHeight="1" x14ac:dyDescent="0.35">
      <c r="R2365" s="74"/>
    </row>
    <row r="2366" spans="18:18" ht="12" customHeight="1" x14ac:dyDescent="0.35">
      <c r="R2366" s="74"/>
    </row>
    <row r="2367" spans="18:18" ht="12" customHeight="1" x14ac:dyDescent="0.35">
      <c r="R2367" s="74"/>
    </row>
    <row r="2368" spans="18:18" ht="12" customHeight="1" x14ac:dyDescent="0.35">
      <c r="R2368" s="74"/>
    </row>
    <row r="2369" spans="18:18" ht="12" customHeight="1" x14ac:dyDescent="0.35">
      <c r="R2369" s="74"/>
    </row>
    <row r="2370" spans="18:18" ht="12" customHeight="1" x14ac:dyDescent="0.35">
      <c r="R2370" s="74"/>
    </row>
    <row r="2371" spans="18:18" ht="12" customHeight="1" x14ac:dyDescent="0.35">
      <c r="R2371" s="74"/>
    </row>
    <row r="2372" spans="18:18" ht="12" customHeight="1" x14ac:dyDescent="0.35">
      <c r="R2372" s="74"/>
    </row>
    <row r="2373" spans="18:18" ht="12" customHeight="1" x14ac:dyDescent="0.35">
      <c r="R2373" s="74"/>
    </row>
    <row r="2374" spans="18:18" ht="12" customHeight="1" x14ac:dyDescent="0.35">
      <c r="R2374" s="74"/>
    </row>
    <row r="2375" spans="18:18" ht="12" customHeight="1" x14ac:dyDescent="0.35">
      <c r="R2375" s="74"/>
    </row>
    <row r="2376" spans="18:18" ht="12" customHeight="1" x14ac:dyDescent="0.35">
      <c r="R2376" s="74"/>
    </row>
    <row r="2377" spans="18:18" ht="12" customHeight="1" x14ac:dyDescent="0.35">
      <c r="R2377" s="74"/>
    </row>
    <row r="2378" spans="18:18" ht="12" customHeight="1" x14ac:dyDescent="0.35">
      <c r="R2378" s="74"/>
    </row>
    <row r="2379" spans="18:18" ht="12" customHeight="1" x14ac:dyDescent="0.35">
      <c r="R2379" s="74"/>
    </row>
    <row r="2380" spans="18:18" ht="12" customHeight="1" x14ac:dyDescent="0.35">
      <c r="R2380" s="74"/>
    </row>
    <row r="2381" spans="18:18" ht="12" customHeight="1" x14ac:dyDescent="0.35">
      <c r="R2381" s="74"/>
    </row>
    <row r="2382" spans="18:18" ht="12" customHeight="1" x14ac:dyDescent="0.35">
      <c r="R2382" s="74"/>
    </row>
    <row r="2383" spans="18:18" ht="12" customHeight="1" x14ac:dyDescent="0.35">
      <c r="R2383" s="74"/>
    </row>
    <row r="2384" spans="18:18" ht="12" customHeight="1" x14ac:dyDescent="0.35">
      <c r="R2384" s="74"/>
    </row>
    <row r="2385" spans="18:18" ht="12" customHeight="1" x14ac:dyDescent="0.35">
      <c r="R2385" s="74"/>
    </row>
    <row r="2386" spans="18:18" ht="12" customHeight="1" x14ac:dyDescent="0.35">
      <c r="R2386" s="74"/>
    </row>
    <row r="2387" spans="18:18" ht="12" customHeight="1" x14ac:dyDescent="0.35">
      <c r="R2387" s="74"/>
    </row>
    <row r="2388" spans="18:18" ht="12" customHeight="1" x14ac:dyDescent="0.35">
      <c r="R2388" s="74"/>
    </row>
    <row r="2389" spans="18:18" ht="12" customHeight="1" x14ac:dyDescent="0.35">
      <c r="R2389" s="74"/>
    </row>
    <row r="2390" spans="18:18" ht="12" customHeight="1" x14ac:dyDescent="0.35">
      <c r="R2390" s="74"/>
    </row>
    <row r="2391" spans="18:18" ht="12" customHeight="1" x14ac:dyDescent="0.35">
      <c r="R2391" s="74"/>
    </row>
    <row r="2392" spans="18:18" ht="12" customHeight="1" x14ac:dyDescent="0.35">
      <c r="R2392" s="74"/>
    </row>
    <row r="2393" spans="18:18" ht="12" customHeight="1" x14ac:dyDescent="0.35">
      <c r="R2393" s="74"/>
    </row>
    <row r="2394" spans="18:18" ht="12" customHeight="1" x14ac:dyDescent="0.35">
      <c r="R2394" s="74"/>
    </row>
    <row r="2395" spans="18:18" ht="12" customHeight="1" x14ac:dyDescent="0.35">
      <c r="R2395" s="74"/>
    </row>
    <row r="2396" spans="18:18" ht="12" customHeight="1" x14ac:dyDescent="0.35">
      <c r="R2396" s="74"/>
    </row>
    <row r="2397" spans="18:18" ht="12" customHeight="1" x14ac:dyDescent="0.35">
      <c r="R2397" s="74"/>
    </row>
    <row r="2398" spans="18:18" ht="12" customHeight="1" x14ac:dyDescent="0.35">
      <c r="R2398" s="74"/>
    </row>
    <row r="2399" spans="18:18" ht="12" customHeight="1" x14ac:dyDescent="0.35">
      <c r="R2399" s="74"/>
    </row>
    <row r="2400" spans="18:18" ht="12" customHeight="1" x14ac:dyDescent="0.35">
      <c r="R2400" s="74"/>
    </row>
    <row r="2401" spans="18:18" ht="12" customHeight="1" x14ac:dyDescent="0.35">
      <c r="R2401" s="74"/>
    </row>
    <row r="2402" spans="18:18" ht="12" customHeight="1" x14ac:dyDescent="0.35">
      <c r="R2402" s="74"/>
    </row>
    <row r="2403" spans="18:18" ht="12" customHeight="1" x14ac:dyDescent="0.35">
      <c r="R2403" s="74"/>
    </row>
    <row r="2404" spans="18:18" ht="12" customHeight="1" x14ac:dyDescent="0.35">
      <c r="R2404" s="74"/>
    </row>
    <row r="2405" spans="18:18" ht="12" customHeight="1" x14ac:dyDescent="0.35">
      <c r="R2405" s="74"/>
    </row>
    <row r="2406" spans="18:18" ht="12" customHeight="1" x14ac:dyDescent="0.35">
      <c r="R2406" s="74"/>
    </row>
    <row r="2407" spans="18:18" ht="12" customHeight="1" x14ac:dyDescent="0.35">
      <c r="R2407" s="74"/>
    </row>
    <row r="2408" spans="18:18" ht="12" customHeight="1" x14ac:dyDescent="0.35">
      <c r="R2408" s="74"/>
    </row>
    <row r="2409" spans="18:18" ht="12" customHeight="1" x14ac:dyDescent="0.35">
      <c r="R2409" s="74"/>
    </row>
    <row r="2410" spans="18:18" ht="12" customHeight="1" x14ac:dyDescent="0.35">
      <c r="R2410" s="74"/>
    </row>
    <row r="2411" spans="18:18" ht="12" customHeight="1" x14ac:dyDescent="0.35">
      <c r="R2411" s="74"/>
    </row>
    <row r="2412" spans="18:18" ht="12" customHeight="1" x14ac:dyDescent="0.35">
      <c r="R2412" s="74"/>
    </row>
    <row r="2413" spans="18:18" ht="12" customHeight="1" x14ac:dyDescent="0.35">
      <c r="R2413" s="74"/>
    </row>
    <row r="2414" spans="18:18" ht="12" customHeight="1" x14ac:dyDescent="0.35">
      <c r="R2414" s="74"/>
    </row>
    <row r="2415" spans="18:18" ht="12" customHeight="1" x14ac:dyDescent="0.35">
      <c r="R2415" s="74"/>
    </row>
    <row r="2416" spans="18:18" ht="12" customHeight="1" x14ac:dyDescent="0.35">
      <c r="R2416" s="74"/>
    </row>
    <row r="2417" spans="18:18" ht="12" customHeight="1" x14ac:dyDescent="0.35">
      <c r="R2417" s="74"/>
    </row>
    <row r="2418" spans="18:18" ht="12" customHeight="1" x14ac:dyDescent="0.35">
      <c r="R2418" s="74"/>
    </row>
    <row r="2419" spans="18:18" ht="12" customHeight="1" x14ac:dyDescent="0.35">
      <c r="R2419" s="74"/>
    </row>
    <row r="2420" spans="18:18" ht="12" customHeight="1" x14ac:dyDescent="0.35">
      <c r="R2420" s="74"/>
    </row>
    <row r="2421" spans="18:18" ht="12" customHeight="1" x14ac:dyDescent="0.35">
      <c r="R2421" s="74"/>
    </row>
    <row r="2422" spans="18:18" ht="12" customHeight="1" x14ac:dyDescent="0.35">
      <c r="R2422" s="74"/>
    </row>
    <row r="2423" spans="18:18" ht="12" customHeight="1" x14ac:dyDescent="0.35">
      <c r="R2423" s="74"/>
    </row>
    <row r="2424" spans="18:18" ht="12" customHeight="1" x14ac:dyDescent="0.35">
      <c r="R2424" s="74"/>
    </row>
    <row r="2425" spans="18:18" ht="12" customHeight="1" x14ac:dyDescent="0.35">
      <c r="R2425" s="74"/>
    </row>
    <row r="2426" spans="18:18" ht="12" customHeight="1" x14ac:dyDescent="0.35">
      <c r="R2426" s="74"/>
    </row>
    <row r="2427" spans="18:18" ht="12" customHeight="1" x14ac:dyDescent="0.35">
      <c r="R2427" s="74"/>
    </row>
    <row r="2428" spans="18:18" ht="12" customHeight="1" x14ac:dyDescent="0.35">
      <c r="R2428" s="74"/>
    </row>
    <row r="2429" spans="18:18" ht="12" customHeight="1" x14ac:dyDescent="0.35">
      <c r="R2429" s="74"/>
    </row>
    <row r="2430" spans="18:18" ht="12" customHeight="1" x14ac:dyDescent="0.35">
      <c r="R2430" s="74"/>
    </row>
    <row r="2431" spans="18:18" ht="12" customHeight="1" x14ac:dyDescent="0.35">
      <c r="R2431" s="74"/>
    </row>
    <row r="2432" spans="18:18" ht="12" customHeight="1" x14ac:dyDescent="0.35">
      <c r="R2432" s="74"/>
    </row>
    <row r="2433" spans="18:18" ht="12" customHeight="1" x14ac:dyDescent="0.35">
      <c r="R2433" s="74"/>
    </row>
    <row r="2434" spans="18:18" ht="12" customHeight="1" x14ac:dyDescent="0.35">
      <c r="R2434" s="74"/>
    </row>
    <row r="2435" spans="18:18" ht="12" customHeight="1" x14ac:dyDescent="0.35">
      <c r="R2435" s="74"/>
    </row>
    <row r="2436" spans="18:18" ht="12" customHeight="1" x14ac:dyDescent="0.35">
      <c r="R2436" s="74"/>
    </row>
    <row r="2437" spans="18:18" ht="12" customHeight="1" x14ac:dyDescent="0.35">
      <c r="R2437" s="74"/>
    </row>
    <row r="2438" spans="18:18" ht="12" customHeight="1" x14ac:dyDescent="0.35">
      <c r="R2438" s="74"/>
    </row>
    <row r="2439" spans="18:18" ht="12" customHeight="1" x14ac:dyDescent="0.35">
      <c r="R2439" s="74"/>
    </row>
    <row r="2440" spans="18:18" ht="12" customHeight="1" x14ac:dyDescent="0.35">
      <c r="R2440" s="74"/>
    </row>
    <row r="2441" spans="18:18" ht="12" customHeight="1" x14ac:dyDescent="0.35">
      <c r="R2441" s="74"/>
    </row>
    <row r="2442" spans="18:18" ht="12" customHeight="1" x14ac:dyDescent="0.35">
      <c r="R2442" s="74"/>
    </row>
    <row r="2443" spans="18:18" ht="12" customHeight="1" x14ac:dyDescent="0.35">
      <c r="R2443" s="74"/>
    </row>
    <row r="2444" spans="18:18" ht="12" customHeight="1" x14ac:dyDescent="0.35">
      <c r="R2444" s="74"/>
    </row>
    <row r="2445" spans="18:18" ht="12" customHeight="1" x14ac:dyDescent="0.35">
      <c r="R2445" s="74"/>
    </row>
    <row r="2446" spans="18:18" ht="12" customHeight="1" x14ac:dyDescent="0.35">
      <c r="R2446" s="74"/>
    </row>
    <row r="2447" spans="18:18" ht="12" customHeight="1" x14ac:dyDescent="0.35">
      <c r="R2447" s="74"/>
    </row>
    <row r="2448" spans="18:18" ht="12" customHeight="1" x14ac:dyDescent="0.35">
      <c r="R2448" s="74"/>
    </row>
    <row r="2449" spans="18:18" ht="12" customHeight="1" x14ac:dyDescent="0.35">
      <c r="R2449" s="74"/>
    </row>
    <row r="2450" spans="18:18" ht="12" customHeight="1" x14ac:dyDescent="0.35">
      <c r="R2450" s="74"/>
    </row>
    <row r="2451" spans="18:18" ht="12" customHeight="1" x14ac:dyDescent="0.35">
      <c r="R2451" s="74"/>
    </row>
    <row r="2452" spans="18:18" ht="12" customHeight="1" x14ac:dyDescent="0.35">
      <c r="R2452" s="74"/>
    </row>
    <row r="2453" spans="18:18" ht="12" customHeight="1" x14ac:dyDescent="0.35">
      <c r="R2453" s="74"/>
    </row>
    <row r="2454" spans="18:18" ht="12" customHeight="1" x14ac:dyDescent="0.35">
      <c r="R2454" s="74"/>
    </row>
    <row r="2455" spans="18:18" ht="12" customHeight="1" x14ac:dyDescent="0.35">
      <c r="R2455" s="74"/>
    </row>
    <row r="2456" spans="18:18" ht="12" customHeight="1" x14ac:dyDescent="0.35">
      <c r="R2456" s="74"/>
    </row>
    <row r="2457" spans="18:18" ht="12" customHeight="1" x14ac:dyDescent="0.35">
      <c r="R2457" s="74"/>
    </row>
    <row r="2458" spans="18:18" ht="12" customHeight="1" x14ac:dyDescent="0.35">
      <c r="R2458" s="74"/>
    </row>
    <row r="2459" spans="18:18" ht="12" customHeight="1" x14ac:dyDescent="0.35">
      <c r="R2459" s="74"/>
    </row>
    <row r="2460" spans="18:18" ht="12" customHeight="1" x14ac:dyDescent="0.35">
      <c r="R2460" s="74"/>
    </row>
    <row r="2461" spans="18:18" ht="12" customHeight="1" x14ac:dyDescent="0.35">
      <c r="R2461" s="74"/>
    </row>
    <row r="2462" spans="18:18" ht="12" customHeight="1" x14ac:dyDescent="0.35">
      <c r="R2462" s="74"/>
    </row>
    <row r="2463" spans="18:18" ht="12" customHeight="1" x14ac:dyDescent="0.35">
      <c r="R2463" s="74"/>
    </row>
    <row r="2464" spans="18:18" ht="12" customHeight="1" x14ac:dyDescent="0.35">
      <c r="R2464" s="74"/>
    </row>
    <row r="2465" spans="18:18" ht="12" customHeight="1" x14ac:dyDescent="0.35">
      <c r="R2465" s="74"/>
    </row>
    <row r="2466" spans="18:18" ht="12" customHeight="1" x14ac:dyDescent="0.35">
      <c r="R2466" s="74"/>
    </row>
    <row r="2467" spans="18:18" ht="12" customHeight="1" x14ac:dyDescent="0.35">
      <c r="R2467" s="74"/>
    </row>
    <row r="2468" spans="18:18" ht="12" customHeight="1" x14ac:dyDescent="0.35">
      <c r="R2468" s="74"/>
    </row>
    <row r="2469" spans="18:18" ht="12" customHeight="1" x14ac:dyDescent="0.35">
      <c r="R2469" s="74"/>
    </row>
    <row r="2470" spans="18:18" ht="12" customHeight="1" x14ac:dyDescent="0.35">
      <c r="R2470" s="74"/>
    </row>
    <row r="2471" spans="18:18" ht="12" customHeight="1" x14ac:dyDescent="0.35">
      <c r="R2471" s="74"/>
    </row>
    <row r="2472" spans="18:18" ht="12" customHeight="1" x14ac:dyDescent="0.35">
      <c r="R2472" s="74"/>
    </row>
    <row r="2473" spans="18:18" ht="12" customHeight="1" x14ac:dyDescent="0.35">
      <c r="R2473" s="74"/>
    </row>
    <row r="2474" spans="18:18" ht="12" customHeight="1" x14ac:dyDescent="0.35">
      <c r="R2474" s="74"/>
    </row>
    <row r="2475" spans="18:18" ht="12" customHeight="1" x14ac:dyDescent="0.35">
      <c r="R2475" s="74"/>
    </row>
    <row r="2476" spans="18:18" ht="12" customHeight="1" x14ac:dyDescent="0.35">
      <c r="R2476" s="74"/>
    </row>
    <row r="2477" spans="18:18" ht="12" customHeight="1" x14ac:dyDescent="0.35">
      <c r="R2477" s="74"/>
    </row>
    <row r="2478" spans="18:18" ht="12" customHeight="1" x14ac:dyDescent="0.35">
      <c r="R2478" s="74"/>
    </row>
    <row r="2479" spans="18:18" ht="12" customHeight="1" x14ac:dyDescent="0.35">
      <c r="R2479" s="74"/>
    </row>
    <row r="2480" spans="18:18" ht="12" customHeight="1" x14ac:dyDescent="0.35">
      <c r="R2480" s="74"/>
    </row>
    <row r="2481" spans="18:18" ht="12" customHeight="1" x14ac:dyDescent="0.35">
      <c r="R2481" s="74"/>
    </row>
    <row r="2482" spans="18:18" ht="12" customHeight="1" x14ac:dyDescent="0.35">
      <c r="R2482" s="74"/>
    </row>
    <row r="2483" spans="18:18" ht="12" customHeight="1" x14ac:dyDescent="0.35">
      <c r="R2483" s="74"/>
    </row>
    <row r="2484" spans="18:18" ht="12" customHeight="1" x14ac:dyDescent="0.35">
      <c r="R2484" s="74"/>
    </row>
    <row r="2485" spans="18:18" ht="12" customHeight="1" x14ac:dyDescent="0.35">
      <c r="R2485" s="74"/>
    </row>
    <row r="2486" spans="18:18" ht="12" customHeight="1" x14ac:dyDescent="0.35">
      <c r="R2486" s="74"/>
    </row>
    <row r="2487" spans="18:18" ht="12" customHeight="1" x14ac:dyDescent="0.35">
      <c r="R2487" s="74"/>
    </row>
    <row r="2488" spans="18:18" ht="12" customHeight="1" x14ac:dyDescent="0.35">
      <c r="R2488" s="74"/>
    </row>
    <row r="2489" spans="18:18" ht="12" customHeight="1" x14ac:dyDescent="0.35">
      <c r="R2489" s="74"/>
    </row>
    <row r="2490" spans="18:18" ht="12" customHeight="1" x14ac:dyDescent="0.35">
      <c r="R2490" s="74"/>
    </row>
    <row r="2491" spans="18:18" ht="12" customHeight="1" x14ac:dyDescent="0.35">
      <c r="R2491" s="74"/>
    </row>
    <row r="2492" spans="18:18" ht="12" customHeight="1" x14ac:dyDescent="0.35">
      <c r="R2492" s="74"/>
    </row>
    <row r="2493" spans="18:18" ht="12" customHeight="1" x14ac:dyDescent="0.35">
      <c r="R2493" s="74"/>
    </row>
    <row r="2494" spans="18:18" ht="12" customHeight="1" x14ac:dyDescent="0.35">
      <c r="R2494" s="74"/>
    </row>
    <row r="2495" spans="18:18" ht="12" customHeight="1" x14ac:dyDescent="0.35">
      <c r="R2495" s="74"/>
    </row>
    <row r="2496" spans="18:18" ht="12" customHeight="1" x14ac:dyDescent="0.35">
      <c r="R2496" s="74"/>
    </row>
    <row r="2497" spans="18:18" ht="12" customHeight="1" x14ac:dyDescent="0.35">
      <c r="R2497" s="74"/>
    </row>
    <row r="2498" spans="18:18" ht="12" customHeight="1" x14ac:dyDescent="0.35">
      <c r="R2498" s="74"/>
    </row>
    <row r="2499" spans="18:18" ht="12" customHeight="1" x14ac:dyDescent="0.35">
      <c r="R2499" s="74"/>
    </row>
    <row r="2500" spans="18:18" ht="12" customHeight="1" x14ac:dyDescent="0.35">
      <c r="R2500" s="74"/>
    </row>
    <row r="2501" spans="18:18" ht="12" customHeight="1" x14ac:dyDescent="0.35">
      <c r="R2501" s="74"/>
    </row>
    <row r="2502" spans="18:18" ht="12" customHeight="1" x14ac:dyDescent="0.35">
      <c r="R2502" s="74"/>
    </row>
    <row r="2503" spans="18:18" ht="12" customHeight="1" x14ac:dyDescent="0.35">
      <c r="R2503" s="74"/>
    </row>
    <row r="2504" spans="18:18" ht="12" customHeight="1" x14ac:dyDescent="0.35">
      <c r="R2504" s="74"/>
    </row>
    <row r="2505" spans="18:18" ht="12" customHeight="1" x14ac:dyDescent="0.35">
      <c r="R2505" s="74"/>
    </row>
    <row r="2506" spans="18:18" ht="12" customHeight="1" x14ac:dyDescent="0.35">
      <c r="R2506" s="74"/>
    </row>
    <row r="2507" spans="18:18" ht="12" customHeight="1" x14ac:dyDescent="0.35">
      <c r="R2507" s="74"/>
    </row>
    <row r="2508" spans="18:18" ht="12" customHeight="1" x14ac:dyDescent="0.35">
      <c r="R2508" s="74"/>
    </row>
    <row r="2509" spans="18:18" ht="12" customHeight="1" x14ac:dyDescent="0.35">
      <c r="R2509" s="74"/>
    </row>
    <row r="2510" spans="18:18" ht="12" customHeight="1" x14ac:dyDescent="0.35">
      <c r="R2510" s="74"/>
    </row>
    <row r="2511" spans="18:18" ht="12" customHeight="1" x14ac:dyDescent="0.35">
      <c r="R2511" s="74"/>
    </row>
    <row r="2512" spans="18:18" ht="12" customHeight="1" x14ac:dyDescent="0.35">
      <c r="R2512" s="74"/>
    </row>
    <row r="2513" spans="18:18" ht="12" customHeight="1" x14ac:dyDescent="0.35">
      <c r="R2513" s="74"/>
    </row>
    <row r="2514" spans="18:18" ht="12" customHeight="1" x14ac:dyDescent="0.35">
      <c r="R2514" s="74"/>
    </row>
    <row r="2515" spans="18:18" ht="12" customHeight="1" x14ac:dyDescent="0.35">
      <c r="R2515" s="74"/>
    </row>
    <row r="2516" spans="18:18" ht="12" customHeight="1" x14ac:dyDescent="0.35">
      <c r="R2516" s="74"/>
    </row>
    <row r="2517" spans="18:18" ht="12" customHeight="1" x14ac:dyDescent="0.35">
      <c r="R2517" s="74"/>
    </row>
    <row r="2518" spans="18:18" ht="12" customHeight="1" x14ac:dyDescent="0.35">
      <c r="R2518" s="74"/>
    </row>
    <row r="2519" spans="18:18" ht="12" customHeight="1" x14ac:dyDescent="0.35">
      <c r="R2519" s="74"/>
    </row>
    <row r="2520" spans="18:18" ht="12" customHeight="1" x14ac:dyDescent="0.35">
      <c r="R2520" s="74"/>
    </row>
    <row r="2521" spans="18:18" ht="12" customHeight="1" x14ac:dyDescent="0.35">
      <c r="R2521" s="74"/>
    </row>
    <row r="2522" spans="18:18" ht="12" customHeight="1" x14ac:dyDescent="0.35">
      <c r="R2522" s="74"/>
    </row>
    <row r="2523" spans="18:18" ht="12" customHeight="1" x14ac:dyDescent="0.35">
      <c r="R2523" s="74"/>
    </row>
    <row r="2524" spans="18:18" ht="12" customHeight="1" x14ac:dyDescent="0.35">
      <c r="R2524" s="74"/>
    </row>
    <row r="2525" spans="18:18" ht="12" customHeight="1" x14ac:dyDescent="0.35">
      <c r="R2525" s="74"/>
    </row>
    <row r="2526" spans="18:18" ht="12" customHeight="1" x14ac:dyDescent="0.35">
      <c r="R2526" s="74"/>
    </row>
    <row r="2527" spans="18:18" ht="12" customHeight="1" x14ac:dyDescent="0.35">
      <c r="R2527" s="74"/>
    </row>
    <row r="2528" spans="18:18" ht="12" customHeight="1" x14ac:dyDescent="0.35">
      <c r="R2528" s="74"/>
    </row>
    <row r="2529" spans="18:18" ht="12" customHeight="1" x14ac:dyDescent="0.35">
      <c r="R2529" s="74"/>
    </row>
    <row r="2530" spans="18:18" ht="12" customHeight="1" x14ac:dyDescent="0.35">
      <c r="R2530" s="74"/>
    </row>
    <row r="2531" spans="18:18" ht="12" customHeight="1" x14ac:dyDescent="0.35">
      <c r="R2531" s="74"/>
    </row>
    <row r="2532" spans="18:18" ht="12" customHeight="1" x14ac:dyDescent="0.35">
      <c r="R2532" s="74"/>
    </row>
    <row r="2533" spans="18:18" ht="12" customHeight="1" x14ac:dyDescent="0.35">
      <c r="R2533" s="74"/>
    </row>
    <row r="2534" spans="18:18" ht="12" customHeight="1" x14ac:dyDescent="0.35">
      <c r="R2534" s="74"/>
    </row>
    <row r="2535" spans="18:18" ht="12" customHeight="1" x14ac:dyDescent="0.35">
      <c r="R2535" s="74"/>
    </row>
    <row r="2536" spans="18:18" ht="12" customHeight="1" x14ac:dyDescent="0.35">
      <c r="R2536" s="74"/>
    </row>
    <row r="2537" spans="18:18" ht="12" customHeight="1" x14ac:dyDescent="0.35">
      <c r="R2537" s="74"/>
    </row>
    <row r="2538" spans="18:18" ht="12" customHeight="1" x14ac:dyDescent="0.35">
      <c r="R2538" s="74"/>
    </row>
    <row r="2539" spans="18:18" ht="12" customHeight="1" x14ac:dyDescent="0.35">
      <c r="R2539" s="74"/>
    </row>
    <row r="2540" spans="18:18" ht="12" customHeight="1" x14ac:dyDescent="0.35">
      <c r="R2540" s="74"/>
    </row>
    <row r="2541" spans="18:18" ht="12" customHeight="1" x14ac:dyDescent="0.35">
      <c r="R2541" s="74"/>
    </row>
    <row r="2542" spans="18:18" ht="12" customHeight="1" x14ac:dyDescent="0.35">
      <c r="R2542" s="74"/>
    </row>
    <row r="2543" spans="18:18" ht="12" customHeight="1" x14ac:dyDescent="0.35">
      <c r="R2543" s="74"/>
    </row>
    <row r="2544" spans="18:18" ht="12" customHeight="1" x14ac:dyDescent="0.35">
      <c r="R2544" s="74"/>
    </row>
    <row r="2545" spans="18:18" ht="12" customHeight="1" x14ac:dyDescent="0.35">
      <c r="R2545" s="74"/>
    </row>
    <row r="2546" spans="18:18" ht="12" customHeight="1" x14ac:dyDescent="0.35">
      <c r="R2546" s="74"/>
    </row>
    <row r="2547" spans="18:18" ht="12" customHeight="1" x14ac:dyDescent="0.35">
      <c r="R2547" s="74"/>
    </row>
    <row r="2548" spans="18:18" ht="12" customHeight="1" x14ac:dyDescent="0.35">
      <c r="R2548" s="74"/>
    </row>
    <row r="2549" spans="18:18" ht="12" customHeight="1" x14ac:dyDescent="0.35">
      <c r="R2549" s="74"/>
    </row>
    <row r="2550" spans="18:18" ht="12" customHeight="1" x14ac:dyDescent="0.35">
      <c r="R2550" s="74"/>
    </row>
    <row r="2551" spans="18:18" ht="12" customHeight="1" x14ac:dyDescent="0.35">
      <c r="R2551" s="74"/>
    </row>
    <row r="2552" spans="18:18" ht="12" customHeight="1" x14ac:dyDescent="0.35">
      <c r="R2552" s="74"/>
    </row>
    <row r="2553" spans="18:18" ht="12" customHeight="1" x14ac:dyDescent="0.35">
      <c r="R2553" s="74"/>
    </row>
    <row r="2554" spans="18:18" ht="12" customHeight="1" x14ac:dyDescent="0.35">
      <c r="R2554" s="74"/>
    </row>
    <row r="2555" spans="18:18" ht="12" customHeight="1" x14ac:dyDescent="0.35">
      <c r="R2555" s="74"/>
    </row>
    <row r="2556" spans="18:18" ht="12" customHeight="1" x14ac:dyDescent="0.35">
      <c r="R2556" s="74"/>
    </row>
    <row r="2557" spans="18:18" ht="12" customHeight="1" x14ac:dyDescent="0.35">
      <c r="R2557" s="74"/>
    </row>
    <row r="2558" spans="18:18" ht="12" customHeight="1" x14ac:dyDescent="0.35">
      <c r="R2558" s="74"/>
    </row>
    <row r="2559" spans="18:18" ht="12" customHeight="1" x14ac:dyDescent="0.35">
      <c r="R2559" s="74"/>
    </row>
    <row r="2560" spans="18:18" ht="12" customHeight="1" x14ac:dyDescent="0.35">
      <c r="R2560" s="74"/>
    </row>
    <row r="2561" spans="18:18" ht="12" customHeight="1" x14ac:dyDescent="0.35">
      <c r="R2561" s="74"/>
    </row>
    <row r="2562" spans="18:18" ht="12" customHeight="1" x14ac:dyDescent="0.35">
      <c r="R2562" s="74"/>
    </row>
    <row r="2563" spans="18:18" ht="12" customHeight="1" x14ac:dyDescent="0.35">
      <c r="R2563" s="74"/>
    </row>
    <row r="2564" spans="18:18" ht="12" customHeight="1" x14ac:dyDescent="0.35">
      <c r="R2564" s="74"/>
    </row>
    <row r="2565" spans="18:18" ht="12" customHeight="1" x14ac:dyDescent="0.35">
      <c r="R2565" s="74"/>
    </row>
    <row r="2566" spans="18:18" ht="12" customHeight="1" x14ac:dyDescent="0.35">
      <c r="R2566" s="74"/>
    </row>
    <row r="2567" spans="18:18" ht="12" customHeight="1" x14ac:dyDescent="0.35">
      <c r="R2567" s="74"/>
    </row>
    <row r="2568" spans="18:18" ht="12" customHeight="1" x14ac:dyDescent="0.35">
      <c r="R2568" s="74"/>
    </row>
    <row r="2569" spans="18:18" ht="12" customHeight="1" x14ac:dyDescent="0.35">
      <c r="R2569" s="74"/>
    </row>
    <row r="2570" spans="18:18" ht="12" customHeight="1" x14ac:dyDescent="0.35">
      <c r="R2570" s="74"/>
    </row>
    <row r="2571" spans="18:18" ht="12" customHeight="1" x14ac:dyDescent="0.35">
      <c r="R2571" s="74"/>
    </row>
    <row r="2572" spans="18:18" ht="12" customHeight="1" x14ac:dyDescent="0.35">
      <c r="R2572" s="74"/>
    </row>
    <row r="2573" spans="18:18" ht="12" customHeight="1" x14ac:dyDescent="0.35">
      <c r="R2573" s="74"/>
    </row>
    <row r="2574" spans="18:18" ht="12" customHeight="1" x14ac:dyDescent="0.35">
      <c r="R2574" s="74"/>
    </row>
    <row r="2575" spans="18:18" ht="12" customHeight="1" x14ac:dyDescent="0.35">
      <c r="R2575" s="74"/>
    </row>
    <row r="2576" spans="18:18" ht="12" customHeight="1" x14ac:dyDescent="0.35">
      <c r="R2576" s="74"/>
    </row>
    <row r="2577" spans="18:18" ht="12" customHeight="1" x14ac:dyDescent="0.35">
      <c r="R2577" s="74"/>
    </row>
    <row r="2578" spans="18:18" ht="12" customHeight="1" x14ac:dyDescent="0.35">
      <c r="R2578" s="74"/>
    </row>
    <row r="2579" spans="18:18" ht="12" customHeight="1" x14ac:dyDescent="0.35">
      <c r="R2579" s="74"/>
    </row>
    <row r="2580" spans="18:18" ht="12" customHeight="1" x14ac:dyDescent="0.35">
      <c r="R2580" s="74"/>
    </row>
    <row r="2581" spans="18:18" ht="12" customHeight="1" x14ac:dyDescent="0.35">
      <c r="R2581" s="74"/>
    </row>
    <row r="2582" spans="18:18" ht="12" customHeight="1" x14ac:dyDescent="0.35">
      <c r="R2582" s="74"/>
    </row>
    <row r="2583" spans="18:18" ht="12" customHeight="1" x14ac:dyDescent="0.35">
      <c r="R2583" s="74"/>
    </row>
    <row r="2584" spans="18:18" ht="12" customHeight="1" x14ac:dyDescent="0.35">
      <c r="R2584" s="74"/>
    </row>
    <row r="2585" spans="18:18" ht="12" customHeight="1" x14ac:dyDescent="0.35">
      <c r="R2585" s="74"/>
    </row>
    <row r="2586" spans="18:18" ht="12" customHeight="1" x14ac:dyDescent="0.35">
      <c r="R2586" s="74"/>
    </row>
    <row r="2587" spans="18:18" ht="12" customHeight="1" x14ac:dyDescent="0.35">
      <c r="R2587" s="74"/>
    </row>
    <row r="2588" spans="18:18" ht="12" customHeight="1" x14ac:dyDescent="0.35">
      <c r="R2588" s="74"/>
    </row>
    <row r="2589" spans="18:18" ht="12" customHeight="1" x14ac:dyDescent="0.35">
      <c r="R2589" s="74"/>
    </row>
    <row r="2590" spans="18:18" ht="12" customHeight="1" x14ac:dyDescent="0.35">
      <c r="R2590" s="74"/>
    </row>
    <row r="2591" spans="18:18" ht="12" customHeight="1" x14ac:dyDescent="0.35">
      <c r="R2591" s="74"/>
    </row>
    <row r="2592" spans="18:18" ht="12" customHeight="1" x14ac:dyDescent="0.35">
      <c r="R2592" s="74"/>
    </row>
    <row r="2593" spans="18:18" ht="12" customHeight="1" x14ac:dyDescent="0.35">
      <c r="R2593" s="74"/>
    </row>
    <row r="2594" spans="18:18" ht="12" customHeight="1" x14ac:dyDescent="0.35">
      <c r="R2594" s="74"/>
    </row>
    <row r="2595" spans="18:18" ht="12" customHeight="1" x14ac:dyDescent="0.35">
      <c r="R2595" s="74"/>
    </row>
    <row r="2596" spans="18:18" ht="12" customHeight="1" x14ac:dyDescent="0.35">
      <c r="R2596" s="74"/>
    </row>
    <row r="2597" spans="18:18" ht="12" customHeight="1" x14ac:dyDescent="0.35">
      <c r="R2597" s="74"/>
    </row>
    <row r="2598" spans="18:18" ht="12" customHeight="1" x14ac:dyDescent="0.35">
      <c r="R2598" s="74"/>
    </row>
    <row r="2599" spans="18:18" ht="12" customHeight="1" x14ac:dyDescent="0.35">
      <c r="R2599" s="74"/>
    </row>
    <row r="2600" spans="18:18" ht="12" customHeight="1" x14ac:dyDescent="0.35">
      <c r="R2600" s="74"/>
    </row>
    <row r="2601" spans="18:18" ht="12" customHeight="1" x14ac:dyDescent="0.35">
      <c r="R2601" s="74"/>
    </row>
    <row r="2602" spans="18:18" ht="12" customHeight="1" x14ac:dyDescent="0.35">
      <c r="R2602" s="74"/>
    </row>
    <row r="2603" spans="18:18" ht="12" customHeight="1" x14ac:dyDescent="0.35">
      <c r="R2603" s="74"/>
    </row>
    <row r="2604" spans="18:18" ht="12" customHeight="1" x14ac:dyDescent="0.35">
      <c r="R2604" s="74"/>
    </row>
    <row r="2605" spans="18:18" ht="12" customHeight="1" x14ac:dyDescent="0.35">
      <c r="R2605" s="74"/>
    </row>
    <row r="2606" spans="18:18" ht="12" customHeight="1" x14ac:dyDescent="0.35">
      <c r="R2606" s="74"/>
    </row>
    <row r="2607" spans="18:18" ht="12" customHeight="1" x14ac:dyDescent="0.35">
      <c r="R2607" s="74"/>
    </row>
    <row r="2608" spans="18:18" ht="12" customHeight="1" x14ac:dyDescent="0.35">
      <c r="R2608" s="74"/>
    </row>
    <row r="2609" spans="18:18" ht="12" customHeight="1" x14ac:dyDescent="0.35">
      <c r="R2609" s="74"/>
    </row>
    <row r="2610" spans="18:18" ht="12" customHeight="1" x14ac:dyDescent="0.35">
      <c r="R2610" s="74"/>
    </row>
    <row r="2611" spans="18:18" ht="12" customHeight="1" x14ac:dyDescent="0.35">
      <c r="R2611" s="74"/>
    </row>
    <row r="2612" spans="18:18" ht="12" customHeight="1" x14ac:dyDescent="0.35">
      <c r="R2612" s="74"/>
    </row>
    <row r="2613" spans="18:18" ht="12" customHeight="1" x14ac:dyDescent="0.35">
      <c r="R2613" s="74"/>
    </row>
    <row r="2614" spans="18:18" ht="12" customHeight="1" x14ac:dyDescent="0.35">
      <c r="R2614" s="74"/>
    </row>
    <row r="2615" spans="18:18" ht="12" customHeight="1" x14ac:dyDescent="0.35">
      <c r="R2615" s="74"/>
    </row>
    <row r="2616" spans="18:18" ht="12" customHeight="1" x14ac:dyDescent="0.35">
      <c r="R2616" s="74"/>
    </row>
    <row r="2617" spans="18:18" ht="12" customHeight="1" x14ac:dyDescent="0.35">
      <c r="R2617" s="74"/>
    </row>
    <row r="2618" spans="18:18" ht="12" customHeight="1" x14ac:dyDescent="0.35">
      <c r="R2618" s="74"/>
    </row>
    <row r="2619" spans="18:18" ht="12" customHeight="1" x14ac:dyDescent="0.35">
      <c r="R2619" s="74"/>
    </row>
    <row r="2620" spans="18:18" ht="12" customHeight="1" x14ac:dyDescent="0.35">
      <c r="R2620" s="74"/>
    </row>
    <row r="2621" spans="18:18" ht="12" customHeight="1" x14ac:dyDescent="0.35">
      <c r="R2621" s="74"/>
    </row>
    <row r="2622" spans="18:18" ht="12" customHeight="1" x14ac:dyDescent="0.35">
      <c r="R2622" s="74"/>
    </row>
    <row r="2623" spans="18:18" ht="12" customHeight="1" x14ac:dyDescent="0.35">
      <c r="R2623" s="74"/>
    </row>
    <row r="2624" spans="18:18" ht="12" customHeight="1" x14ac:dyDescent="0.35">
      <c r="R2624" s="74"/>
    </row>
    <row r="2625" spans="18:18" ht="12" customHeight="1" x14ac:dyDescent="0.35">
      <c r="R2625" s="74"/>
    </row>
    <row r="2626" spans="18:18" ht="12" customHeight="1" x14ac:dyDescent="0.35">
      <c r="R2626" s="74"/>
    </row>
    <row r="2627" spans="18:18" ht="12" customHeight="1" x14ac:dyDescent="0.35">
      <c r="R2627" s="74"/>
    </row>
    <row r="2628" spans="18:18" ht="12" customHeight="1" x14ac:dyDescent="0.35">
      <c r="R2628" s="74"/>
    </row>
    <row r="2629" spans="18:18" ht="12" customHeight="1" x14ac:dyDescent="0.35">
      <c r="R2629" s="74"/>
    </row>
    <row r="2630" spans="18:18" ht="12" customHeight="1" x14ac:dyDescent="0.35">
      <c r="R2630" s="74"/>
    </row>
    <row r="2631" spans="18:18" ht="12" customHeight="1" x14ac:dyDescent="0.35">
      <c r="R2631" s="74"/>
    </row>
    <row r="2632" spans="18:18" ht="12" customHeight="1" x14ac:dyDescent="0.35">
      <c r="R2632" s="74"/>
    </row>
    <row r="2633" spans="18:18" ht="12" customHeight="1" x14ac:dyDescent="0.35">
      <c r="R2633" s="74"/>
    </row>
    <row r="2634" spans="18:18" ht="12" customHeight="1" x14ac:dyDescent="0.35">
      <c r="R2634" s="74"/>
    </row>
    <row r="2635" spans="18:18" ht="12" customHeight="1" x14ac:dyDescent="0.35">
      <c r="R2635" s="74"/>
    </row>
    <row r="2636" spans="18:18" ht="12" customHeight="1" x14ac:dyDescent="0.35">
      <c r="R2636" s="74"/>
    </row>
    <row r="2637" spans="18:18" ht="12" customHeight="1" x14ac:dyDescent="0.35">
      <c r="R2637" s="74"/>
    </row>
    <row r="2638" spans="18:18" ht="12" customHeight="1" x14ac:dyDescent="0.35">
      <c r="R2638" s="74"/>
    </row>
    <row r="2639" spans="18:18" ht="12" customHeight="1" x14ac:dyDescent="0.35">
      <c r="R2639" s="74"/>
    </row>
    <row r="2640" spans="18:18" ht="12" customHeight="1" x14ac:dyDescent="0.35">
      <c r="R2640" s="74"/>
    </row>
    <row r="2641" spans="18:18" ht="12" customHeight="1" x14ac:dyDescent="0.35">
      <c r="R2641" s="74"/>
    </row>
    <row r="2642" spans="18:18" ht="12" customHeight="1" x14ac:dyDescent="0.35">
      <c r="R2642" s="74"/>
    </row>
    <row r="2643" spans="18:18" ht="12" customHeight="1" x14ac:dyDescent="0.35">
      <c r="R2643" s="74"/>
    </row>
    <row r="2644" spans="18:18" ht="12" customHeight="1" x14ac:dyDescent="0.35">
      <c r="R2644" s="74"/>
    </row>
    <row r="2645" spans="18:18" ht="12" customHeight="1" x14ac:dyDescent="0.35">
      <c r="R2645" s="74"/>
    </row>
    <row r="2646" spans="18:18" ht="12" customHeight="1" x14ac:dyDescent="0.35">
      <c r="R2646" s="74"/>
    </row>
    <row r="2647" spans="18:18" ht="12" customHeight="1" x14ac:dyDescent="0.35">
      <c r="R2647" s="74"/>
    </row>
    <row r="2648" spans="18:18" ht="12" customHeight="1" x14ac:dyDescent="0.35">
      <c r="R2648" s="74"/>
    </row>
    <row r="2649" spans="18:18" ht="12" customHeight="1" x14ac:dyDescent="0.35">
      <c r="R2649" s="74"/>
    </row>
    <row r="2650" spans="18:18" ht="12" customHeight="1" x14ac:dyDescent="0.35">
      <c r="R2650" s="74"/>
    </row>
    <row r="2651" spans="18:18" ht="12" customHeight="1" x14ac:dyDescent="0.35">
      <c r="R2651" s="74"/>
    </row>
    <row r="2652" spans="18:18" ht="12" customHeight="1" x14ac:dyDescent="0.35">
      <c r="R2652" s="74"/>
    </row>
    <row r="2653" spans="18:18" ht="12" customHeight="1" x14ac:dyDescent="0.35">
      <c r="R2653" s="74"/>
    </row>
    <row r="2654" spans="18:18" ht="12" customHeight="1" x14ac:dyDescent="0.35">
      <c r="R2654" s="74"/>
    </row>
    <row r="2655" spans="18:18" ht="12" customHeight="1" x14ac:dyDescent="0.35">
      <c r="R2655" s="74"/>
    </row>
    <row r="2656" spans="18:18" ht="12" customHeight="1" x14ac:dyDescent="0.35">
      <c r="R2656" s="74"/>
    </row>
    <row r="2657" spans="18:18" ht="12" customHeight="1" x14ac:dyDescent="0.35">
      <c r="R2657" s="74"/>
    </row>
    <row r="2658" spans="18:18" ht="12" customHeight="1" x14ac:dyDescent="0.35">
      <c r="R2658" s="74"/>
    </row>
    <row r="2659" spans="18:18" ht="12" customHeight="1" x14ac:dyDescent="0.35">
      <c r="R2659" s="74"/>
    </row>
    <row r="2660" spans="18:18" ht="12" customHeight="1" x14ac:dyDescent="0.35">
      <c r="R2660" s="74"/>
    </row>
    <row r="2661" spans="18:18" ht="12" customHeight="1" x14ac:dyDescent="0.35">
      <c r="R2661" s="74"/>
    </row>
    <row r="2662" spans="18:18" ht="12" customHeight="1" x14ac:dyDescent="0.35">
      <c r="R2662" s="74"/>
    </row>
    <row r="2663" spans="18:18" ht="12" customHeight="1" x14ac:dyDescent="0.35">
      <c r="R2663" s="74"/>
    </row>
    <row r="2664" spans="18:18" ht="12" customHeight="1" x14ac:dyDescent="0.35">
      <c r="R2664" s="74"/>
    </row>
    <row r="2665" spans="18:18" ht="12" customHeight="1" x14ac:dyDescent="0.35">
      <c r="R2665" s="74"/>
    </row>
    <row r="2666" spans="18:18" ht="12" customHeight="1" x14ac:dyDescent="0.35">
      <c r="R2666" s="74"/>
    </row>
    <row r="2667" spans="18:18" ht="12" customHeight="1" x14ac:dyDescent="0.35">
      <c r="R2667" s="74"/>
    </row>
    <row r="2668" spans="18:18" ht="12" customHeight="1" x14ac:dyDescent="0.35">
      <c r="R2668" s="74"/>
    </row>
    <row r="2669" spans="18:18" ht="12" customHeight="1" x14ac:dyDescent="0.35">
      <c r="R2669" s="74"/>
    </row>
    <row r="2670" spans="18:18" ht="12" customHeight="1" x14ac:dyDescent="0.35">
      <c r="R2670" s="74"/>
    </row>
    <row r="2671" spans="18:18" ht="12" customHeight="1" x14ac:dyDescent="0.35">
      <c r="R2671" s="74"/>
    </row>
    <row r="2672" spans="18:18" ht="12" customHeight="1" x14ac:dyDescent="0.35">
      <c r="R2672" s="74"/>
    </row>
    <row r="2673" spans="18:18" ht="12" customHeight="1" x14ac:dyDescent="0.35">
      <c r="R2673" s="74"/>
    </row>
    <row r="2674" spans="18:18" ht="12" customHeight="1" x14ac:dyDescent="0.35">
      <c r="R2674" s="74"/>
    </row>
    <row r="2675" spans="18:18" ht="12" customHeight="1" x14ac:dyDescent="0.35">
      <c r="R2675" s="74"/>
    </row>
    <row r="2676" spans="18:18" ht="12" customHeight="1" x14ac:dyDescent="0.35">
      <c r="R2676" s="74"/>
    </row>
    <row r="2677" spans="18:18" ht="12" customHeight="1" x14ac:dyDescent="0.35">
      <c r="R2677" s="74"/>
    </row>
    <row r="2678" spans="18:18" ht="12" customHeight="1" x14ac:dyDescent="0.35">
      <c r="R2678" s="74"/>
    </row>
    <row r="2679" spans="18:18" ht="12" customHeight="1" x14ac:dyDescent="0.35">
      <c r="R2679" s="74"/>
    </row>
    <row r="2680" spans="18:18" ht="12" customHeight="1" x14ac:dyDescent="0.35">
      <c r="R2680" s="74"/>
    </row>
    <row r="2681" spans="18:18" ht="12" customHeight="1" x14ac:dyDescent="0.35">
      <c r="R2681" s="74"/>
    </row>
    <row r="2682" spans="18:18" ht="12" customHeight="1" x14ac:dyDescent="0.35">
      <c r="R2682" s="74"/>
    </row>
    <row r="2683" spans="18:18" ht="12" customHeight="1" x14ac:dyDescent="0.35">
      <c r="R2683" s="74"/>
    </row>
    <row r="2684" spans="18:18" ht="12" customHeight="1" x14ac:dyDescent="0.35">
      <c r="R2684" s="74"/>
    </row>
    <row r="2685" spans="18:18" ht="12" customHeight="1" x14ac:dyDescent="0.35">
      <c r="R2685" s="74"/>
    </row>
    <row r="2686" spans="18:18" ht="12" customHeight="1" x14ac:dyDescent="0.35">
      <c r="R2686" s="74"/>
    </row>
    <row r="2687" spans="18:18" ht="12" customHeight="1" x14ac:dyDescent="0.35">
      <c r="R2687" s="74"/>
    </row>
    <row r="2688" spans="18:18" ht="12" customHeight="1" x14ac:dyDescent="0.35">
      <c r="R2688" s="74"/>
    </row>
    <row r="2689" spans="18:18" ht="12" customHeight="1" x14ac:dyDescent="0.35">
      <c r="R2689" s="74"/>
    </row>
    <row r="2690" spans="18:18" ht="12" customHeight="1" x14ac:dyDescent="0.35">
      <c r="R2690" s="74"/>
    </row>
    <row r="2691" spans="18:18" ht="12" customHeight="1" x14ac:dyDescent="0.35">
      <c r="R2691" s="74"/>
    </row>
    <row r="2692" spans="18:18" ht="12" customHeight="1" x14ac:dyDescent="0.35">
      <c r="R2692" s="74"/>
    </row>
    <row r="2693" spans="18:18" ht="12" customHeight="1" x14ac:dyDescent="0.35">
      <c r="R2693" s="74"/>
    </row>
    <row r="2694" spans="18:18" ht="12" customHeight="1" x14ac:dyDescent="0.35">
      <c r="R2694" s="74"/>
    </row>
    <row r="2695" spans="18:18" ht="12" customHeight="1" x14ac:dyDescent="0.35">
      <c r="R2695" s="74"/>
    </row>
    <row r="2696" spans="18:18" ht="12" customHeight="1" x14ac:dyDescent="0.35">
      <c r="R2696" s="74"/>
    </row>
    <row r="2697" spans="18:18" ht="12" customHeight="1" x14ac:dyDescent="0.35">
      <c r="R2697" s="74"/>
    </row>
    <row r="2698" spans="18:18" ht="12" customHeight="1" x14ac:dyDescent="0.35">
      <c r="R2698" s="74"/>
    </row>
    <row r="2699" spans="18:18" ht="12" customHeight="1" x14ac:dyDescent="0.35">
      <c r="R2699" s="74"/>
    </row>
    <row r="2700" spans="18:18" ht="12" customHeight="1" x14ac:dyDescent="0.35">
      <c r="R2700" s="74"/>
    </row>
    <row r="2701" spans="18:18" ht="12" customHeight="1" x14ac:dyDescent="0.35">
      <c r="R2701" s="74"/>
    </row>
    <row r="2702" spans="18:18" ht="12" customHeight="1" x14ac:dyDescent="0.35">
      <c r="R2702" s="74"/>
    </row>
    <row r="2703" spans="18:18" ht="12" customHeight="1" x14ac:dyDescent="0.35">
      <c r="R2703" s="74"/>
    </row>
    <row r="2704" spans="18:18" ht="12" customHeight="1" x14ac:dyDescent="0.35">
      <c r="R2704" s="74"/>
    </row>
    <row r="2705" spans="18:18" ht="12" customHeight="1" x14ac:dyDescent="0.35">
      <c r="R2705" s="74"/>
    </row>
    <row r="2706" spans="18:18" ht="12" customHeight="1" x14ac:dyDescent="0.35">
      <c r="R2706" s="74"/>
    </row>
    <row r="2707" spans="18:18" ht="12" customHeight="1" x14ac:dyDescent="0.35">
      <c r="R2707" s="74"/>
    </row>
    <row r="2708" spans="18:18" ht="12" customHeight="1" x14ac:dyDescent="0.35">
      <c r="R2708" s="74"/>
    </row>
    <row r="2709" spans="18:18" ht="12" customHeight="1" x14ac:dyDescent="0.35">
      <c r="R2709" s="74"/>
    </row>
    <row r="2710" spans="18:18" ht="12" customHeight="1" x14ac:dyDescent="0.35">
      <c r="R2710" s="74"/>
    </row>
    <row r="2711" spans="18:18" ht="12" customHeight="1" x14ac:dyDescent="0.35">
      <c r="R2711" s="74"/>
    </row>
    <row r="2712" spans="18:18" ht="12" customHeight="1" x14ac:dyDescent="0.35">
      <c r="R2712" s="74"/>
    </row>
    <row r="2713" spans="18:18" ht="12" customHeight="1" x14ac:dyDescent="0.35">
      <c r="R2713" s="74"/>
    </row>
    <row r="2714" spans="18:18" ht="12" customHeight="1" x14ac:dyDescent="0.35">
      <c r="R2714" s="74"/>
    </row>
    <row r="2715" spans="18:18" ht="12" customHeight="1" x14ac:dyDescent="0.35">
      <c r="R2715" s="74"/>
    </row>
    <row r="2716" spans="18:18" ht="12" customHeight="1" x14ac:dyDescent="0.35">
      <c r="R2716" s="74"/>
    </row>
    <row r="2717" spans="18:18" ht="12" customHeight="1" x14ac:dyDescent="0.35">
      <c r="R2717" s="74"/>
    </row>
    <row r="2718" spans="18:18" ht="12" customHeight="1" x14ac:dyDescent="0.35">
      <c r="R2718" s="74"/>
    </row>
    <row r="2719" spans="18:18" ht="12" customHeight="1" x14ac:dyDescent="0.35">
      <c r="R2719" s="74"/>
    </row>
    <row r="2720" spans="18:18" ht="12" customHeight="1" x14ac:dyDescent="0.35">
      <c r="R2720" s="74"/>
    </row>
    <row r="2721" spans="18:18" ht="12" customHeight="1" x14ac:dyDescent="0.35">
      <c r="R2721" s="74"/>
    </row>
    <row r="2722" spans="18:18" ht="12" customHeight="1" x14ac:dyDescent="0.35">
      <c r="R2722" s="74"/>
    </row>
    <row r="2723" spans="18:18" ht="12" customHeight="1" x14ac:dyDescent="0.35">
      <c r="R2723" s="74"/>
    </row>
    <row r="2724" spans="18:18" ht="12" customHeight="1" x14ac:dyDescent="0.35">
      <c r="R2724" s="74"/>
    </row>
    <row r="2725" spans="18:18" ht="12" customHeight="1" x14ac:dyDescent="0.35">
      <c r="R2725" s="74"/>
    </row>
    <row r="2726" spans="18:18" ht="12" customHeight="1" x14ac:dyDescent="0.35">
      <c r="R2726" s="74"/>
    </row>
    <row r="2727" spans="18:18" ht="12" customHeight="1" x14ac:dyDescent="0.35">
      <c r="R2727" s="74"/>
    </row>
    <row r="2728" spans="18:18" ht="12" customHeight="1" x14ac:dyDescent="0.35">
      <c r="R2728" s="74"/>
    </row>
    <row r="2729" spans="18:18" ht="12" customHeight="1" x14ac:dyDescent="0.35">
      <c r="R2729" s="74"/>
    </row>
    <row r="2730" spans="18:18" ht="12" customHeight="1" x14ac:dyDescent="0.35">
      <c r="R2730" s="74"/>
    </row>
    <row r="2731" spans="18:18" ht="12" customHeight="1" x14ac:dyDescent="0.35">
      <c r="R2731" s="74"/>
    </row>
    <row r="2732" spans="18:18" ht="12" customHeight="1" x14ac:dyDescent="0.35">
      <c r="R2732" s="74"/>
    </row>
    <row r="2733" spans="18:18" ht="12" customHeight="1" x14ac:dyDescent="0.35">
      <c r="R2733" s="74"/>
    </row>
    <row r="2734" spans="18:18" ht="12" customHeight="1" x14ac:dyDescent="0.35">
      <c r="R2734" s="74"/>
    </row>
    <row r="2735" spans="18:18" ht="12" customHeight="1" x14ac:dyDescent="0.35">
      <c r="R2735" s="74"/>
    </row>
    <row r="2736" spans="18:18" ht="12" customHeight="1" x14ac:dyDescent="0.35">
      <c r="R2736" s="74"/>
    </row>
    <row r="2737" spans="18:18" ht="12" customHeight="1" x14ac:dyDescent="0.35">
      <c r="R2737" s="74"/>
    </row>
    <row r="2738" spans="18:18" ht="12" customHeight="1" x14ac:dyDescent="0.35">
      <c r="R2738" s="74"/>
    </row>
    <row r="2739" spans="18:18" ht="12" customHeight="1" x14ac:dyDescent="0.35">
      <c r="R2739" s="74"/>
    </row>
    <row r="2740" spans="18:18" ht="12" customHeight="1" x14ac:dyDescent="0.35">
      <c r="R2740" s="74"/>
    </row>
    <row r="2741" spans="18:18" ht="12" customHeight="1" x14ac:dyDescent="0.35">
      <c r="R2741" s="74"/>
    </row>
    <row r="2742" spans="18:18" ht="12" customHeight="1" x14ac:dyDescent="0.35">
      <c r="R2742" s="74"/>
    </row>
    <row r="2743" spans="18:18" ht="12" customHeight="1" x14ac:dyDescent="0.35">
      <c r="R2743" s="74"/>
    </row>
    <row r="2744" spans="18:18" ht="12" customHeight="1" x14ac:dyDescent="0.35">
      <c r="R2744" s="74"/>
    </row>
    <row r="2745" spans="18:18" ht="12" customHeight="1" x14ac:dyDescent="0.35">
      <c r="R2745" s="74"/>
    </row>
    <row r="2746" spans="18:18" ht="12" customHeight="1" x14ac:dyDescent="0.35">
      <c r="R2746" s="74"/>
    </row>
    <row r="2747" spans="18:18" ht="12" customHeight="1" x14ac:dyDescent="0.35">
      <c r="R2747" s="74"/>
    </row>
    <row r="2748" spans="18:18" ht="12" customHeight="1" x14ac:dyDescent="0.35">
      <c r="R2748" s="74"/>
    </row>
    <row r="2749" spans="18:18" ht="12" customHeight="1" x14ac:dyDescent="0.35">
      <c r="R2749" s="74"/>
    </row>
    <row r="2750" spans="18:18" ht="12" customHeight="1" x14ac:dyDescent="0.35">
      <c r="R2750" s="74"/>
    </row>
    <row r="2751" spans="18:18" ht="12" customHeight="1" x14ac:dyDescent="0.35">
      <c r="R2751" s="74"/>
    </row>
    <row r="2752" spans="18:18" ht="12" customHeight="1" x14ac:dyDescent="0.35">
      <c r="R2752" s="74"/>
    </row>
    <row r="2753" spans="18:18" ht="12" customHeight="1" x14ac:dyDescent="0.35">
      <c r="R2753" s="74"/>
    </row>
    <row r="2754" spans="18:18" ht="12" customHeight="1" x14ac:dyDescent="0.35">
      <c r="R2754" s="74"/>
    </row>
    <row r="2755" spans="18:18" ht="12" customHeight="1" x14ac:dyDescent="0.35">
      <c r="R2755" s="74"/>
    </row>
    <row r="2756" spans="18:18" ht="12" customHeight="1" x14ac:dyDescent="0.35">
      <c r="R2756" s="74"/>
    </row>
    <row r="2757" spans="18:18" ht="12" customHeight="1" x14ac:dyDescent="0.35">
      <c r="R2757" s="74"/>
    </row>
    <row r="2758" spans="18:18" ht="12" customHeight="1" x14ac:dyDescent="0.35">
      <c r="R2758" s="74"/>
    </row>
    <row r="2759" spans="18:18" ht="12" customHeight="1" x14ac:dyDescent="0.35">
      <c r="R2759" s="74"/>
    </row>
    <row r="2760" spans="18:18" ht="12" customHeight="1" x14ac:dyDescent="0.35">
      <c r="R2760" s="74"/>
    </row>
    <row r="2761" spans="18:18" ht="12" customHeight="1" x14ac:dyDescent="0.35">
      <c r="R2761" s="74"/>
    </row>
    <row r="2762" spans="18:18" ht="12" customHeight="1" x14ac:dyDescent="0.35">
      <c r="R2762" s="74"/>
    </row>
    <row r="2763" spans="18:18" ht="12" customHeight="1" x14ac:dyDescent="0.35">
      <c r="R2763" s="74"/>
    </row>
    <row r="2764" spans="18:18" ht="12" customHeight="1" x14ac:dyDescent="0.35">
      <c r="R2764" s="74"/>
    </row>
    <row r="2765" spans="18:18" ht="12" customHeight="1" x14ac:dyDescent="0.35">
      <c r="R2765" s="74"/>
    </row>
    <row r="2766" spans="18:18" ht="12" customHeight="1" x14ac:dyDescent="0.35">
      <c r="R2766" s="74"/>
    </row>
    <row r="2767" spans="18:18" ht="12" customHeight="1" x14ac:dyDescent="0.35">
      <c r="R2767" s="74"/>
    </row>
    <row r="2768" spans="18:18" ht="12" customHeight="1" x14ac:dyDescent="0.35">
      <c r="R2768" s="74"/>
    </row>
    <row r="2769" spans="18:18" ht="12" customHeight="1" x14ac:dyDescent="0.35">
      <c r="R2769" s="74"/>
    </row>
    <row r="2770" spans="18:18" ht="12" customHeight="1" x14ac:dyDescent="0.35">
      <c r="R2770" s="74"/>
    </row>
    <row r="2771" spans="18:18" ht="12" customHeight="1" x14ac:dyDescent="0.35">
      <c r="R2771" s="74"/>
    </row>
    <row r="2772" spans="18:18" ht="12" customHeight="1" x14ac:dyDescent="0.35">
      <c r="R2772" s="74"/>
    </row>
    <row r="2773" spans="18:18" ht="12" customHeight="1" x14ac:dyDescent="0.35">
      <c r="R2773" s="74"/>
    </row>
    <row r="2774" spans="18:18" ht="12" customHeight="1" x14ac:dyDescent="0.35">
      <c r="R2774" s="74"/>
    </row>
    <row r="2775" spans="18:18" ht="12" customHeight="1" x14ac:dyDescent="0.35">
      <c r="R2775" s="74"/>
    </row>
    <row r="2776" spans="18:18" ht="12" customHeight="1" x14ac:dyDescent="0.35">
      <c r="R2776" s="74"/>
    </row>
    <row r="2777" spans="18:18" ht="12" customHeight="1" x14ac:dyDescent="0.35">
      <c r="R2777" s="74"/>
    </row>
    <row r="2778" spans="18:18" ht="12" customHeight="1" x14ac:dyDescent="0.35">
      <c r="R2778" s="74"/>
    </row>
    <row r="2779" spans="18:18" ht="12" customHeight="1" x14ac:dyDescent="0.35">
      <c r="R2779" s="74"/>
    </row>
    <row r="2780" spans="18:18" ht="12" customHeight="1" x14ac:dyDescent="0.35">
      <c r="R2780" s="74"/>
    </row>
    <row r="2781" spans="18:18" ht="12" customHeight="1" x14ac:dyDescent="0.35">
      <c r="R2781" s="74"/>
    </row>
    <row r="2782" spans="18:18" ht="12" customHeight="1" x14ac:dyDescent="0.35">
      <c r="R2782" s="74"/>
    </row>
    <row r="2783" spans="18:18" ht="12" customHeight="1" x14ac:dyDescent="0.35">
      <c r="R2783" s="74"/>
    </row>
    <row r="2784" spans="18:18" ht="12" customHeight="1" x14ac:dyDescent="0.35">
      <c r="R2784" s="74"/>
    </row>
    <row r="2785" spans="18:18" ht="12" customHeight="1" x14ac:dyDescent="0.35">
      <c r="R2785" s="74"/>
    </row>
    <row r="2786" spans="18:18" ht="12" customHeight="1" x14ac:dyDescent="0.35">
      <c r="R2786" s="74"/>
    </row>
    <row r="2787" spans="18:18" ht="12" customHeight="1" x14ac:dyDescent="0.35">
      <c r="R2787" s="74"/>
    </row>
    <row r="2788" spans="18:18" ht="12" customHeight="1" x14ac:dyDescent="0.35">
      <c r="R2788" s="74"/>
    </row>
    <row r="2789" spans="18:18" ht="12" customHeight="1" x14ac:dyDescent="0.35">
      <c r="R2789" s="74"/>
    </row>
    <row r="2790" spans="18:18" ht="12" customHeight="1" x14ac:dyDescent="0.35">
      <c r="R2790" s="74"/>
    </row>
    <row r="2791" spans="18:18" ht="12" customHeight="1" x14ac:dyDescent="0.35">
      <c r="R2791" s="74"/>
    </row>
    <row r="2792" spans="18:18" ht="12" customHeight="1" x14ac:dyDescent="0.35">
      <c r="R2792" s="74"/>
    </row>
    <row r="2793" spans="18:18" ht="12" customHeight="1" x14ac:dyDescent="0.35">
      <c r="R2793" s="74"/>
    </row>
    <row r="2794" spans="18:18" ht="12" customHeight="1" x14ac:dyDescent="0.35">
      <c r="R2794" s="74"/>
    </row>
    <row r="2795" spans="18:18" ht="12" customHeight="1" x14ac:dyDescent="0.35">
      <c r="R2795" s="74"/>
    </row>
    <row r="2796" spans="18:18" ht="12" customHeight="1" x14ac:dyDescent="0.35">
      <c r="R2796" s="74"/>
    </row>
    <row r="2797" spans="18:18" ht="12" customHeight="1" x14ac:dyDescent="0.35">
      <c r="R2797" s="74"/>
    </row>
    <row r="2798" spans="18:18" ht="12" customHeight="1" x14ac:dyDescent="0.35">
      <c r="R2798" s="74"/>
    </row>
    <row r="2799" spans="18:18" ht="12" customHeight="1" x14ac:dyDescent="0.35">
      <c r="R2799" s="74"/>
    </row>
    <row r="2800" spans="18:18" ht="12" customHeight="1" x14ac:dyDescent="0.35">
      <c r="R2800" s="74"/>
    </row>
    <row r="2801" spans="18:18" ht="12" customHeight="1" x14ac:dyDescent="0.35">
      <c r="R2801" s="74"/>
    </row>
    <row r="2802" spans="18:18" ht="12" customHeight="1" x14ac:dyDescent="0.35">
      <c r="R2802" s="74"/>
    </row>
    <row r="2803" spans="18:18" ht="12" customHeight="1" x14ac:dyDescent="0.35">
      <c r="R2803" s="74"/>
    </row>
    <row r="2804" spans="18:18" ht="12" customHeight="1" x14ac:dyDescent="0.35">
      <c r="R2804" s="74"/>
    </row>
    <row r="2805" spans="18:18" ht="12" customHeight="1" x14ac:dyDescent="0.35">
      <c r="R2805" s="74"/>
    </row>
    <row r="2806" spans="18:18" ht="12" customHeight="1" x14ac:dyDescent="0.35">
      <c r="R2806" s="74"/>
    </row>
    <row r="2807" spans="18:18" ht="12" customHeight="1" x14ac:dyDescent="0.35">
      <c r="R2807" s="74"/>
    </row>
    <row r="2808" spans="18:18" ht="12" customHeight="1" x14ac:dyDescent="0.35">
      <c r="R2808" s="74"/>
    </row>
    <row r="2809" spans="18:18" ht="12" customHeight="1" x14ac:dyDescent="0.35">
      <c r="R2809" s="74"/>
    </row>
    <row r="2810" spans="18:18" ht="12" customHeight="1" x14ac:dyDescent="0.35">
      <c r="R2810" s="74"/>
    </row>
    <row r="2811" spans="18:18" ht="12" customHeight="1" x14ac:dyDescent="0.35">
      <c r="R2811" s="74"/>
    </row>
    <row r="2812" spans="18:18" ht="12" customHeight="1" x14ac:dyDescent="0.35">
      <c r="R2812" s="74"/>
    </row>
    <row r="2813" spans="18:18" ht="12" customHeight="1" x14ac:dyDescent="0.35">
      <c r="R2813" s="74"/>
    </row>
    <row r="2814" spans="18:18" ht="12" customHeight="1" x14ac:dyDescent="0.35">
      <c r="R2814" s="74"/>
    </row>
    <row r="2815" spans="18:18" ht="12" customHeight="1" x14ac:dyDescent="0.35">
      <c r="R2815" s="74"/>
    </row>
    <row r="2816" spans="18:18" ht="12" customHeight="1" x14ac:dyDescent="0.35">
      <c r="R2816" s="74"/>
    </row>
    <row r="2817" spans="18:18" ht="12" customHeight="1" x14ac:dyDescent="0.35">
      <c r="R2817" s="74"/>
    </row>
    <row r="2818" spans="18:18" ht="12" customHeight="1" x14ac:dyDescent="0.35">
      <c r="R2818" s="74"/>
    </row>
    <row r="2819" spans="18:18" ht="12" customHeight="1" x14ac:dyDescent="0.35">
      <c r="R2819" s="74"/>
    </row>
    <row r="2820" spans="18:18" ht="12" customHeight="1" x14ac:dyDescent="0.35">
      <c r="R2820" s="74"/>
    </row>
    <row r="2821" spans="18:18" ht="12" customHeight="1" x14ac:dyDescent="0.35">
      <c r="R2821" s="74"/>
    </row>
    <row r="2822" spans="18:18" ht="12" customHeight="1" x14ac:dyDescent="0.35">
      <c r="R2822" s="74"/>
    </row>
    <row r="2823" spans="18:18" ht="12" customHeight="1" x14ac:dyDescent="0.35">
      <c r="R2823" s="74"/>
    </row>
    <row r="2824" spans="18:18" ht="12" customHeight="1" x14ac:dyDescent="0.35">
      <c r="R2824" s="74"/>
    </row>
    <row r="2825" spans="18:18" ht="12" customHeight="1" x14ac:dyDescent="0.35">
      <c r="R2825" s="74"/>
    </row>
    <row r="2826" spans="18:18" ht="12" customHeight="1" x14ac:dyDescent="0.35">
      <c r="R2826" s="74"/>
    </row>
    <row r="2827" spans="18:18" ht="12" customHeight="1" x14ac:dyDescent="0.35">
      <c r="R2827" s="74"/>
    </row>
    <row r="2828" spans="18:18" ht="12" customHeight="1" x14ac:dyDescent="0.35">
      <c r="R2828" s="74"/>
    </row>
    <row r="2829" spans="18:18" ht="12" customHeight="1" x14ac:dyDescent="0.35">
      <c r="R2829" s="74"/>
    </row>
    <row r="2830" spans="18:18" ht="12" customHeight="1" x14ac:dyDescent="0.35">
      <c r="R2830" s="74"/>
    </row>
    <row r="2831" spans="18:18" ht="12" customHeight="1" x14ac:dyDescent="0.35">
      <c r="R2831" s="74"/>
    </row>
    <row r="2832" spans="18:18" ht="12" customHeight="1" x14ac:dyDescent="0.35">
      <c r="R2832" s="74"/>
    </row>
    <row r="2833" spans="18:18" ht="12" customHeight="1" x14ac:dyDescent="0.35">
      <c r="R2833" s="74"/>
    </row>
    <row r="2834" spans="18:18" ht="12" customHeight="1" x14ac:dyDescent="0.35">
      <c r="R2834" s="74"/>
    </row>
    <row r="2835" spans="18:18" ht="12" customHeight="1" x14ac:dyDescent="0.35">
      <c r="R2835" s="74"/>
    </row>
    <row r="2836" spans="18:18" ht="12" customHeight="1" x14ac:dyDescent="0.35">
      <c r="R2836" s="74"/>
    </row>
    <row r="2837" spans="18:18" ht="12" customHeight="1" x14ac:dyDescent="0.35">
      <c r="R2837" s="74"/>
    </row>
    <row r="2838" spans="18:18" ht="12" customHeight="1" x14ac:dyDescent="0.35">
      <c r="R2838" s="74"/>
    </row>
    <row r="2839" spans="18:18" ht="12" customHeight="1" x14ac:dyDescent="0.35">
      <c r="R2839" s="74"/>
    </row>
    <row r="2840" spans="18:18" ht="12" customHeight="1" x14ac:dyDescent="0.35">
      <c r="R2840" s="74"/>
    </row>
    <row r="2841" spans="18:18" ht="12" customHeight="1" x14ac:dyDescent="0.35">
      <c r="R2841" s="74"/>
    </row>
    <row r="2842" spans="18:18" ht="12" customHeight="1" x14ac:dyDescent="0.35">
      <c r="R2842" s="74"/>
    </row>
    <row r="2843" spans="18:18" ht="12" customHeight="1" x14ac:dyDescent="0.35">
      <c r="R2843" s="74"/>
    </row>
    <row r="2844" spans="18:18" ht="12" customHeight="1" x14ac:dyDescent="0.35">
      <c r="R2844" s="74"/>
    </row>
    <row r="2845" spans="18:18" ht="12" customHeight="1" x14ac:dyDescent="0.35">
      <c r="R2845" s="74"/>
    </row>
    <row r="2846" spans="18:18" ht="12" customHeight="1" x14ac:dyDescent="0.35">
      <c r="R2846" s="74"/>
    </row>
    <row r="2847" spans="18:18" ht="12" customHeight="1" x14ac:dyDescent="0.35">
      <c r="R2847" s="74"/>
    </row>
    <row r="2848" spans="18:18" ht="12" customHeight="1" x14ac:dyDescent="0.35">
      <c r="R2848" s="74"/>
    </row>
    <row r="2849" spans="18:18" ht="12" customHeight="1" x14ac:dyDescent="0.35">
      <c r="R2849" s="74"/>
    </row>
    <row r="2850" spans="18:18" ht="12" customHeight="1" x14ac:dyDescent="0.35">
      <c r="R2850" s="74"/>
    </row>
    <row r="2851" spans="18:18" ht="12" customHeight="1" x14ac:dyDescent="0.35">
      <c r="R2851" s="74"/>
    </row>
    <row r="2852" spans="18:18" ht="12" customHeight="1" x14ac:dyDescent="0.35">
      <c r="R2852" s="74"/>
    </row>
    <row r="2853" spans="18:18" ht="12" customHeight="1" x14ac:dyDescent="0.35">
      <c r="R2853" s="74"/>
    </row>
    <row r="2854" spans="18:18" ht="12" customHeight="1" x14ac:dyDescent="0.35">
      <c r="R2854" s="74"/>
    </row>
    <row r="2855" spans="18:18" ht="12" customHeight="1" x14ac:dyDescent="0.35">
      <c r="R2855" s="74"/>
    </row>
    <row r="2856" spans="18:18" ht="12" customHeight="1" x14ac:dyDescent="0.35">
      <c r="R2856" s="74"/>
    </row>
    <row r="2857" spans="18:18" ht="12" customHeight="1" x14ac:dyDescent="0.35">
      <c r="R2857" s="74"/>
    </row>
    <row r="2858" spans="18:18" ht="12" customHeight="1" x14ac:dyDescent="0.35">
      <c r="R2858" s="74"/>
    </row>
    <row r="2859" spans="18:18" ht="12" customHeight="1" x14ac:dyDescent="0.35">
      <c r="R2859" s="74"/>
    </row>
    <row r="2860" spans="18:18" ht="12" customHeight="1" x14ac:dyDescent="0.35">
      <c r="R2860" s="74"/>
    </row>
    <row r="2861" spans="18:18" ht="12" customHeight="1" x14ac:dyDescent="0.35">
      <c r="R2861" s="74"/>
    </row>
    <row r="2862" spans="18:18" ht="12" customHeight="1" x14ac:dyDescent="0.35">
      <c r="R2862" s="74"/>
    </row>
    <row r="2863" spans="18:18" ht="12" customHeight="1" x14ac:dyDescent="0.35">
      <c r="R2863" s="74"/>
    </row>
    <row r="2864" spans="18:18" ht="12" customHeight="1" x14ac:dyDescent="0.35">
      <c r="R2864" s="74"/>
    </row>
    <row r="2865" spans="18:18" ht="12" customHeight="1" x14ac:dyDescent="0.35">
      <c r="R2865" s="74"/>
    </row>
    <row r="2866" spans="18:18" ht="12" customHeight="1" x14ac:dyDescent="0.35">
      <c r="R2866" s="74"/>
    </row>
    <row r="2867" spans="18:18" ht="12" customHeight="1" x14ac:dyDescent="0.35">
      <c r="R2867" s="74"/>
    </row>
    <row r="2868" spans="18:18" ht="12" customHeight="1" x14ac:dyDescent="0.35">
      <c r="R2868" s="74"/>
    </row>
    <row r="2869" spans="18:18" ht="12" customHeight="1" x14ac:dyDescent="0.35">
      <c r="R2869" s="74"/>
    </row>
    <row r="2870" spans="18:18" ht="12" customHeight="1" x14ac:dyDescent="0.35">
      <c r="R2870" s="74"/>
    </row>
    <row r="2871" spans="18:18" ht="12" customHeight="1" x14ac:dyDescent="0.35">
      <c r="R2871" s="74"/>
    </row>
    <row r="2872" spans="18:18" ht="12" customHeight="1" x14ac:dyDescent="0.35">
      <c r="R2872" s="74"/>
    </row>
    <row r="2873" spans="18:18" ht="12" customHeight="1" x14ac:dyDescent="0.35">
      <c r="R2873" s="74"/>
    </row>
    <row r="2874" spans="18:18" ht="12" customHeight="1" x14ac:dyDescent="0.35">
      <c r="R2874" s="74"/>
    </row>
    <row r="2875" spans="18:18" ht="12" customHeight="1" x14ac:dyDescent="0.35">
      <c r="R2875" s="74"/>
    </row>
    <row r="2876" spans="18:18" ht="12" customHeight="1" x14ac:dyDescent="0.35">
      <c r="R2876" s="74"/>
    </row>
    <row r="2877" spans="18:18" ht="12" customHeight="1" x14ac:dyDescent="0.35">
      <c r="R2877" s="74"/>
    </row>
    <row r="2878" spans="18:18" ht="12" customHeight="1" x14ac:dyDescent="0.35">
      <c r="R2878" s="74"/>
    </row>
    <row r="2879" spans="18:18" ht="12" customHeight="1" x14ac:dyDescent="0.35">
      <c r="R2879" s="74"/>
    </row>
    <row r="2880" spans="18:18" ht="12" customHeight="1" x14ac:dyDescent="0.35">
      <c r="R2880" s="74"/>
    </row>
    <row r="2881" spans="18:18" ht="12" customHeight="1" x14ac:dyDescent="0.35">
      <c r="R2881" s="74"/>
    </row>
    <row r="2882" spans="18:18" ht="12" customHeight="1" x14ac:dyDescent="0.35">
      <c r="R2882" s="74"/>
    </row>
    <row r="2883" spans="18:18" ht="12" customHeight="1" x14ac:dyDescent="0.35">
      <c r="R2883" s="74"/>
    </row>
    <row r="2884" spans="18:18" ht="12" customHeight="1" x14ac:dyDescent="0.35">
      <c r="R2884" s="74"/>
    </row>
    <row r="2885" spans="18:18" ht="12" customHeight="1" x14ac:dyDescent="0.35">
      <c r="R2885" s="74"/>
    </row>
    <row r="2886" spans="18:18" ht="12" customHeight="1" x14ac:dyDescent="0.35">
      <c r="R2886" s="74"/>
    </row>
    <row r="2887" spans="18:18" ht="12" customHeight="1" x14ac:dyDescent="0.35">
      <c r="R2887" s="74"/>
    </row>
    <row r="2888" spans="18:18" ht="12" customHeight="1" x14ac:dyDescent="0.35">
      <c r="R2888" s="74"/>
    </row>
    <row r="2889" spans="18:18" ht="12" customHeight="1" x14ac:dyDescent="0.35">
      <c r="R2889" s="74"/>
    </row>
    <row r="2890" spans="18:18" ht="12" customHeight="1" x14ac:dyDescent="0.35">
      <c r="R2890" s="74"/>
    </row>
    <row r="2891" spans="18:18" ht="12" customHeight="1" x14ac:dyDescent="0.35">
      <c r="R2891" s="74"/>
    </row>
    <row r="2892" spans="18:18" ht="12" customHeight="1" x14ac:dyDescent="0.35">
      <c r="R2892" s="74"/>
    </row>
    <row r="2893" spans="18:18" ht="12" customHeight="1" x14ac:dyDescent="0.35">
      <c r="R2893" s="74"/>
    </row>
    <row r="2894" spans="18:18" ht="12" customHeight="1" x14ac:dyDescent="0.35">
      <c r="R2894" s="74"/>
    </row>
    <row r="2895" spans="18:18" ht="12" customHeight="1" x14ac:dyDescent="0.35">
      <c r="R2895" s="74"/>
    </row>
    <row r="2896" spans="18:18" ht="12" customHeight="1" x14ac:dyDescent="0.35">
      <c r="R2896" s="74"/>
    </row>
    <row r="2897" spans="18:18" ht="12" customHeight="1" x14ac:dyDescent="0.35">
      <c r="R2897" s="74"/>
    </row>
    <row r="2898" spans="18:18" ht="12" customHeight="1" x14ac:dyDescent="0.35">
      <c r="R2898" s="74"/>
    </row>
    <row r="2899" spans="18:18" ht="12" customHeight="1" x14ac:dyDescent="0.35">
      <c r="R2899" s="74"/>
    </row>
    <row r="2900" spans="18:18" ht="12" customHeight="1" x14ac:dyDescent="0.35">
      <c r="R2900" s="74"/>
    </row>
    <row r="2901" spans="18:18" ht="12" customHeight="1" x14ac:dyDescent="0.35">
      <c r="R2901" s="74"/>
    </row>
    <row r="2902" spans="18:18" ht="12" customHeight="1" x14ac:dyDescent="0.35">
      <c r="R2902" s="74"/>
    </row>
    <row r="2903" spans="18:18" ht="12" customHeight="1" x14ac:dyDescent="0.35">
      <c r="R2903" s="74"/>
    </row>
    <row r="2904" spans="18:18" ht="12" customHeight="1" x14ac:dyDescent="0.35">
      <c r="R2904" s="74"/>
    </row>
    <row r="2905" spans="18:18" ht="12" customHeight="1" x14ac:dyDescent="0.35">
      <c r="R2905" s="74"/>
    </row>
    <row r="2906" spans="18:18" ht="12" customHeight="1" x14ac:dyDescent="0.35">
      <c r="R2906" s="74"/>
    </row>
    <row r="2907" spans="18:18" ht="12" customHeight="1" x14ac:dyDescent="0.35">
      <c r="R2907" s="74"/>
    </row>
    <row r="2908" spans="18:18" ht="12" customHeight="1" x14ac:dyDescent="0.35">
      <c r="R2908" s="74"/>
    </row>
    <row r="2909" spans="18:18" ht="12" customHeight="1" x14ac:dyDescent="0.35">
      <c r="R2909" s="74"/>
    </row>
    <row r="2910" spans="18:18" ht="12" customHeight="1" x14ac:dyDescent="0.35">
      <c r="R2910" s="74"/>
    </row>
    <row r="2911" spans="18:18" ht="12" customHeight="1" x14ac:dyDescent="0.35">
      <c r="R2911" s="74"/>
    </row>
    <row r="2912" spans="18:18" ht="12" customHeight="1" x14ac:dyDescent="0.35">
      <c r="R2912" s="74"/>
    </row>
    <row r="2913" spans="18:18" ht="12" customHeight="1" x14ac:dyDescent="0.35">
      <c r="R2913" s="74"/>
    </row>
    <row r="2914" spans="18:18" ht="12" customHeight="1" x14ac:dyDescent="0.35">
      <c r="R2914" s="74"/>
    </row>
    <row r="2915" spans="18:18" ht="12" customHeight="1" x14ac:dyDescent="0.35">
      <c r="R2915" s="74"/>
    </row>
    <row r="2916" spans="18:18" ht="12" customHeight="1" x14ac:dyDescent="0.35">
      <c r="R2916" s="74"/>
    </row>
    <row r="2917" spans="18:18" ht="12" customHeight="1" x14ac:dyDescent="0.35">
      <c r="R2917" s="74"/>
    </row>
    <row r="2918" spans="18:18" ht="12" customHeight="1" x14ac:dyDescent="0.35">
      <c r="R2918" s="74"/>
    </row>
    <row r="2919" spans="18:18" ht="12" customHeight="1" x14ac:dyDescent="0.35">
      <c r="R2919" s="74"/>
    </row>
    <row r="2920" spans="18:18" ht="12" customHeight="1" x14ac:dyDescent="0.35">
      <c r="R2920" s="74"/>
    </row>
    <row r="2921" spans="18:18" ht="12" customHeight="1" x14ac:dyDescent="0.35">
      <c r="R2921" s="74"/>
    </row>
    <row r="2922" spans="18:18" ht="12" customHeight="1" x14ac:dyDescent="0.35">
      <c r="R2922" s="74"/>
    </row>
    <row r="2923" spans="18:18" ht="12" customHeight="1" x14ac:dyDescent="0.35">
      <c r="R2923" s="74"/>
    </row>
    <row r="2924" spans="18:18" ht="12" customHeight="1" x14ac:dyDescent="0.35">
      <c r="R2924" s="74"/>
    </row>
    <row r="2925" spans="18:18" ht="12" customHeight="1" x14ac:dyDescent="0.35">
      <c r="R2925" s="74"/>
    </row>
    <row r="2926" spans="18:18" ht="12" customHeight="1" x14ac:dyDescent="0.35">
      <c r="R2926" s="74"/>
    </row>
    <row r="2927" spans="18:18" ht="12" customHeight="1" x14ac:dyDescent="0.35">
      <c r="R2927" s="74"/>
    </row>
    <row r="2928" spans="18:18" ht="12" customHeight="1" x14ac:dyDescent="0.35">
      <c r="R2928" s="74"/>
    </row>
    <row r="2929" spans="18:18" ht="12" customHeight="1" x14ac:dyDescent="0.35">
      <c r="R2929" s="74"/>
    </row>
    <row r="2930" spans="18:18" ht="12" customHeight="1" x14ac:dyDescent="0.35">
      <c r="R2930" s="74"/>
    </row>
    <row r="2931" spans="18:18" ht="12" customHeight="1" x14ac:dyDescent="0.35">
      <c r="R2931" s="74"/>
    </row>
    <row r="2932" spans="18:18" ht="12" customHeight="1" x14ac:dyDescent="0.35">
      <c r="R2932" s="74"/>
    </row>
    <row r="2933" spans="18:18" ht="12" customHeight="1" x14ac:dyDescent="0.35">
      <c r="R2933" s="74"/>
    </row>
    <row r="2934" spans="18:18" ht="12" customHeight="1" x14ac:dyDescent="0.35">
      <c r="R2934" s="74"/>
    </row>
    <row r="2935" spans="18:18" ht="12" customHeight="1" x14ac:dyDescent="0.35">
      <c r="R2935" s="74"/>
    </row>
    <row r="2936" spans="18:18" ht="12" customHeight="1" x14ac:dyDescent="0.35">
      <c r="R2936" s="74"/>
    </row>
    <row r="2937" spans="18:18" ht="12" customHeight="1" x14ac:dyDescent="0.35">
      <c r="R2937" s="74"/>
    </row>
    <row r="2938" spans="18:18" ht="12" customHeight="1" x14ac:dyDescent="0.35">
      <c r="R2938" s="74"/>
    </row>
    <row r="2939" spans="18:18" ht="12" customHeight="1" x14ac:dyDescent="0.35">
      <c r="R2939" s="74"/>
    </row>
    <row r="2940" spans="18:18" ht="12" customHeight="1" x14ac:dyDescent="0.35">
      <c r="R2940" s="74"/>
    </row>
    <row r="2941" spans="18:18" ht="12" customHeight="1" x14ac:dyDescent="0.35">
      <c r="R2941" s="74"/>
    </row>
    <row r="2942" spans="18:18" ht="12" customHeight="1" x14ac:dyDescent="0.35">
      <c r="R2942" s="74"/>
    </row>
    <row r="2943" spans="18:18" ht="12" customHeight="1" x14ac:dyDescent="0.35">
      <c r="R2943" s="74"/>
    </row>
    <row r="2944" spans="18:18" ht="12" customHeight="1" x14ac:dyDescent="0.35">
      <c r="R2944" s="74"/>
    </row>
    <row r="2945" spans="18:18" ht="12" customHeight="1" x14ac:dyDescent="0.35">
      <c r="R2945" s="74"/>
    </row>
    <row r="2946" spans="18:18" ht="12" customHeight="1" x14ac:dyDescent="0.35">
      <c r="R2946" s="74"/>
    </row>
    <row r="2947" spans="18:18" ht="12" customHeight="1" x14ac:dyDescent="0.35">
      <c r="R2947" s="74"/>
    </row>
    <row r="2948" spans="18:18" ht="12" customHeight="1" x14ac:dyDescent="0.35">
      <c r="R2948" s="74"/>
    </row>
    <row r="2949" spans="18:18" ht="12" customHeight="1" x14ac:dyDescent="0.35">
      <c r="R2949" s="74"/>
    </row>
    <row r="2950" spans="18:18" ht="12" customHeight="1" x14ac:dyDescent="0.35">
      <c r="R2950" s="74"/>
    </row>
    <row r="2951" spans="18:18" ht="12" customHeight="1" x14ac:dyDescent="0.35">
      <c r="R2951" s="74"/>
    </row>
    <row r="2952" spans="18:18" ht="12" customHeight="1" x14ac:dyDescent="0.35">
      <c r="R2952" s="74"/>
    </row>
    <row r="2953" spans="18:18" ht="12" customHeight="1" x14ac:dyDescent="0.35">
      <c r="R2953" s="74"/>
    </row>
    <row r="2954" spans="18:18" ht="12" customHeight="1" x14ac:dyDescent="0.35">
      <c r="R2954" s="74"/>
    </row>
    <row r="2955" spans="18:18" ht="12" customHeight="1" x14ac:dyDescent="0.35">
      <c r="R2955" s="74"/>
    </row>
    <row r="2956" spans="18:18" ht="12" customHeight="1" x14ac:dyDescent="0.35">
      <c r="R2956" s="74"/>
    </row>
    <row r="2957" spans="18:18" ht="12" customHeight="1" x14ac:dyDescent="0.35">
      <c r="R2957" s="74"/>
    </row>
    <row r="2958" spans="18:18" ht="12" customHeight="1" x14ac:dyDescent="0.35">
      <c r="R2958" s="74"/>
    </row>
    <row r="2959" spans="18:18" ht="12" customHeight="1" x14ac:dyDescent="0.35">
      <c r="R2959" s="74"/>
    </row>
    <row r="2960" spans="18:18" ht="12" customHeight="1" x14ac:dyDescent="0.35">
      <c r="R2960" s="74"/>
    </row>
    <row r="2961" spans="18:18" ht="12" customHeight="1" x14ac:dyDescent="0.35">
      <c r="R2961" s="74"/>
    </row>
    <row r="2962" spans="18:18" ht="12" customHeight="1" x14ac:dyDescent="0.35">
      <c r="R2962" s="74"/>
    </row>
    <row r="2963" spans="18:18" ht="12" customHeight="1" x14ac:dyDescent="0.35">
      <c r="R2963" s="74"/>
    </row>
    <row r="2964" spans="18:18" ht="12" customHeight="1" x14ac:dyDescent="0.35">
      <c r="R2964" s="74"/>
    </row>
    <row r="2965" spans="18:18" ht="12" customHeight="1" x14ac:dyDescent="0.35">
      <c r="R2965" s="74"/>
    </row>
    <row r="2966" spans="18:18" ht="12" customHeight="1" x14ac:dyDescent="0.35">
      <c r="R2966" s="74"/>
    </row>
    <row r="2967" spans="18:18" ht="12" customHeight="1" x14ac:dyDescent="0.35">
      <c r="R2967" s="74"/>
    </row>
    <row r="2968" spans="18:18" ht="12" customHeight="1" x14ac:dyDescent="0.35">
      <c r="R2968" s="74"/>
    </row>
    <row r="2969" spans="18:18" ht="12" customHeight="1" x14ac:dyDescent="0.35">
      <c r="R2969" s="74"/>
    </row>
    <row r="2970" spans="18:18" ht="12" customHeight="1" x14ac:dyDescent="0.35">
      <c r="R2970" s="74"/>
    </row>
    <row r="2971" spans="18:18" ht="12" customHeight="1" x14ac:dyDescent="0.35">
      <c r="R2971" s="74"/>
    </row>
    <row r="2972" spans="18:18" ht="12" customHeight="1" x14ac:dyDescent="0.35">
      <c r="R2972" s="74"/>
    </row>
    <row r="2973" spans="18:18" ht="12" customHeight="1" x14ac:dyDescent="0.35">
      <c r="R2973" s="74"/>
    </row>
    <row r="2974" spans="18:18" ht="12" customHeight="1" x14ac:dyDescent="0.35">
      <c r="R2974" s="74"/>
    </row>
    <row r="2975" spans="18:18" ht="12" customHeight="1" x14ac:dyDescent="0.35">
      <c r="R2975" s="74"/>
    </row>
    <row r="2976" spans="18:18" ht="12" customHeight="1" x14ac:dyDescent="0.35">
      <c r="R2976" s="74"/>
    </row>
    <row r="2977" spans="18:18" ht="12" customHeight="1" x14ac:dyDescent="0.35">
      <c r="R2977" s="74"/>
    </row>
    <row r="2978" spans="18:18" ht="12" customHeight="1" x14ac:dyDescent="0.35">
      <c r="R2978" s="74"/>
    </row>
    <row r="2979" spans="18:18" ht="12" customHeight="1" x14ac:dyDescent="0.35">
      <c r="R2979" s="74"/>
    </row>
    <row r="2980" spans="18:18" ht="12" customHeight="1" x14ac:dyDescent="0.35">
      <c r="R2980" s="74"/>
    </row>
    <row r="2981" spans="18:18" ht="12" customHeight="1" x14ac:dyDescent="0.35">
      <c r="R2981" s="74"/>
    </row>
    <row r="2982" spans="18:18" ht="12" customHeight="1" x14ac:dyDescent="0.35">
      <c r="R2982" s="74"/>
    </row>
    <row r="2983" spans="18:18" ht="12" customHeight="1" x14ac:dyDescent="0.35">
      <c r="R2983" s="74"/>
    </row>
    <row r="2984" spans="18:18" ht="12" customHeight="1" x14ac:dyDescent="0.35">
      <c r="R2984" s="74"/>
    </row>
    <row r="2985" spans="18:18" ht="12" customHeight="1" x14ac:dyDescent="0.35">
      <c r="R2985" s="74"/>
    </row>
    <row r="2986" spans="18:18" ht="12" customHeight="1" x14ac:dyDescent="0.35">
      <c r="R2986" s="74"/>
    </row>
    <row r="2987" spans="18:18" ht="12" customHeight="1" x14ac:dyDescent="0.35">
      <c r="R2987" s="74"/>
    </row>
    <row r="2988" spans="18:18" ht="12" customHeight="1" x14ac:dyDescent="0.35">
      <c r="R2988" s="74"/>
    </row>
    <row r="2989" spans="18:18" ht="12" customHeight="1" x14ac:dyDescent="0.35">
      <c r="R2989" s="74"/>
    </row>
    <row r="2990" spans="18:18" ht="12" customHeight="1" x14ac:dyDescent="0.35">
      <c r="R2990" s="74"/>
    </row>
    <row r="2991" spans="18:18" ht="12" customHeight="1" x14ac:dyDescent="0.35">
      <c r="R2991" s="74"/>
    </row>
    <row r="2992" spans="18:18" ht="12" customHeight="1" x14ac:dyDescent="0.35">
      <c r="R2992" s="74"/>
    </row>
    <row r="2993" spans="18:18" ht="12" customHeight="1" x14ac:dyDescent="0.35">
      <c r="R2993" s="74"/>
    </row>
    <row r="2994" spans="18:18" ht="12" customHeight="1" x14ac:dyDescent="0.35">
      <c r="R2994" s="74"/>
    </row>
    <row r="2995" spans="18:18" ht="12" customHeight="1" x14ac:dyDescent="0.35">
      <c r="R2995" s="74"/>
    </row>
    <row r="2996" spans="18:18" ht="12" customHeight="1" x14ac:dyDescent="0.35">
      <c r="R2996" s="74"/>
    </row>
    <row r="2997" spans="18:18" ht="12" customHeight="1" x14ac:dyDescent="0.35">
      <c r="R2997" s="74"/>
    </row>
    <row r="2998" spans="18:18" ht="12" customHeight="1" x14ac:dyDescent="0.35">
      <c r="R2998" s="74"/>
    </row>
    <row r="2999" spans="18:18" ht="12" customHeight="1" x14ac:dyDescent="0.35">
      <c r="R2999" s="74"/>
    </row>
    <row r="3000" spans="18:18" ht="12" customHeight="1" x14ac:dyDescent="0.35">
      <c r="R3000" s="74"/>
    </row>
    <row r="3001" spans="18:18" ht="12" customHeight="1" x14ac:dyDescent="0.35">
      <c r="R3001" s="74"/>
    </row>
    <row r="3002" spans="18:18" ht="12" customHeight="1" x14ac:dyDescent="0.35">
      <c r="R3002" s="74"/>
    </row>
    <row r="3003" spans="18:18" ht="12" customHeight="1" x14ac:dyDescent="0.35">
      <c r="R3003" s="74"/>
    </row>
    <row r="3004" spans="18:18" ht="12" customHeight="1" x14ac:dyDescent="0.35">
      <c r="R3004" s="74"/>
    </row>
    <row r="3005" spans="18:18" ht="12" customHeight="1" x14ac:dyDescent="0.35">
      <c r="R3005" s="74"/>
    </row>
    <row r="3006" spans="18:18" ht="12" customHeight="1" x14ac:dyDescent="0.35">
      <c r="R3006" s="74"/>
    </row>
    <row r="3007" spans="18:18" ht="12" customHeight="1" x14ac:dyDescent="0.35">
      <c r="R3007" s="74"/>
    </row>
    <row r="3008" spans="18:18" ht="12" customHeight="1" x14ac:dyDescent="0.35">
      <c r="R3008" s="74"/>
    </row>
    <row r="3009" spans="18:18" ht="12" customHeight="1" x14ac:dyDescent="0.35">
      <c r="R3009" s="74"/>
    </row>
    <row r="3010" spans="18:18" ht="12" customHeight="1" x14ac:dyDescent="0.35">
      <c r="R3010" s="74"/>
    </row>
    <row r="3011" spans="18:18" ht="12" customHeight="1" x14ac:dyDescent="0.35">
      <c r="R3011" s="74"/>
    </row>
    <row r="3012" spans="18:18" ht="12" customHeight="1" x14ac:dyDescent="0.35">
      <c r="R3012" s="74"/>
    </row>
    <row r="3013" spans="18:18" ht="12" customHeight="1" x14ac:dyDescent="0.35">
      <c r="R3013" s="74"/>
    </row>
    <row r="3014" spans="18:18" ht="12" customHeight="1" x14ac:dyDescent="0.35">
      <c r="R3014" s="74"/>
    </row>
    <row r="3015" spans="18:18" ht="12" customHeight="1" x14ac:dyDescent="0.35">
      <c r="R3015" s="74"/>
    </row>
    <row r="3016" spans="18:18" ht="12" customHeight="1" x14ac:dyDescent="0.35">
      <c r="R3016" s="74"/>
    </row>
    <row r="3017" spans="18:18" ht="12" customHeight="1" x14ac:dyDescent="0.35">
      <c r="R3017" s="74"/>
    </row>
    <row r="3018" spans="18:18" ht="12" customHeight="1" x14ac:dyDescent="0.35">
      <c r="R3018" s="74"/>
    </row>
    <row r="3019" spans="18:18" ht="12" customHeight="1" x14ac:dyDescent="0.35">
      <c r="R3019" s="74"/>
    </row>
    <row r="3020" spans="18:18" ht="12" customHeight="1" x14ac:dyDescent="0.35">
      <c r="R3020" s="74"/>
    </row>
    <row r="3021" spans="18:18" ht="12" customHeight="1" x14ac:dyDescent="0.35">
      <c r="R3021" s="74"/>
    </row>
    <row r="3022" spans="18:18" ht="12" customHeight="1" x14ac:dyDescent="0.35">
      <c r="R3022" s="74"/>
    </row>
    <row r="3023" spans="18:18" ht="12" customHeight="1" x14ac:dyDescent="0.35">
      <c r="R3023" s="74"/>
    </row>
    <row r="3024" spans="18:18" ht="12" customHeight="1" x14ac:dyDescent="0.35">
      <c r="R3024" s="74"/>
    </row>
    <row r="3025" spans="18:18" ht="12" customHeight="1" x14ac:dyDescent="0.35">
      <c r="R3025" s="74"/>
    </row>
    <row r="3026" spans="18:18" ht="12" customHeight="1" x14ac:dyDescent="0.35">
      <c r="R3026" s="74"/>
    </row>
    <row r="3027" spans="18:18" ht="12" customHeight="1" x14ac:dyDescent="0.35">
      <c r="R3027" s="74"/>
    </row>
    <row r="3028" spans="18:18" ht="12" customHeight="1" x14ac:dyDescent="0.35">
      <c r="R3028" s="74"/>
    </row>
    <row r="3029" spans="18:18" ht="12" customHeight="1" x14ac:dyDescent="0.35">
      <c r="R3029" s="74"/>
    </row>
    <row r="3030" spans="18:18" ht="12" customHeight="1" x14ac:dyDescent="0.35">
      <c r="R3030" s="74"/>
    </row>
    <row r="3031" spans="18:18" ht="12" customHeight="1" x14ac:dyDescent="0.35">
      <c r="R3031" s="74"/>
    </row>
    <row r="3032" spans="18:18" ht="12" customHeight="1" x14ac:dyDescent="0.35">
      <c r="R3032" s="74"/>
    </row>
    <row r="3033" spans="18:18" ht="12" customHeight="1" x14ac:dyDescent="0.35">
      <c r="R3033" s="74"/>
    </row>
    <row r="3034" spans="18:18" ht="12" customHeight="1" x14ac:dyDescent="0.35">
      <c r="R3034" s="74"/>
    </row>
    <row r="3035" spans="18:18" ht="12" customHeight="1" x14ac:dyDescent="0.35">
      <c r="R3035" s="74"/>
    </row>
    <row r="3036" spans="18:18" ht="12" customHeight="1" x14ac:dyDescent="0.35">
      <c r="R3036" s="74"/>
    </row>
    <row r="3037" spans="18:18" ht="12" customHeight="1" x14ac:dyDescent="0.35">
      <c r="R3037" s="74"/>
    </row>
    <row r="3038" spans="18:18" ht="12" customHeight="1" x14ac:dyDescent="0.35">
      <c r="R3038" s="74"/>
    </row>
    <row r="3039" spans="18:18" ht="12" customHeight="1" x14ac:dyDescent="0.35">
      <c r="R3039" s="74"/>
    </row>
    <row r="3040" spans="18:18" ht="12" customHeight="1" x14ac:dyDescent="0.35">
      <c r="R3040" s="74"/>
    </row>
    <row r="3041" spans="18:18" ht="12" customHeight="1" x14ac:dyDescent="0.35">
      <c r="R3041" s="74"/>
    </row>
    <row r="3042" spans="18:18" ht="12" customHeight="1" x14ac:dyDescent="0.35">
      <c r="R3042" s="74"/>
    </row>
    <row r="3043" spans="18:18" ht="12" customHeight="1" x14ac:dyDescent="0.35">
      <c r="R3043" s="74"/>
    </row>
    <row r="3044" spans="18:18" ht="12" customHeight="1" x14ac:dyDescent="0.35">
      <c r="R3044" s="74"/>
    </row>
    <row r="3045" spans="18:18" ht="12" customHeight="1" x14ac:dyDescent="0.35">
      <c r="R3045" s="74"/>
    </row>
    <row r="3046" spans="18:18" ht="12" customHeight="1" x14ac:dyDescent="0.35">
      <c r="R3046" s="74"/>
    </row>
    <row r="3047" spans="18:18" ht="12" customHeight="1" x14ac:dyDescent="0.35">
      <c r="R3047" s="74"/>
    </row>
    <row r="3048" spans="18:18" ht="12" customHeight="1" x14ac:dyDescent="0.35">
      <c r="R3048" s="74"/>
    </row>
    <row r="3049" spans="18:18" ht="12" customHeight="1" x14ac:dyDescent="0.35">
      <c r="R3049" s="74"/>
    </row>
    <row r="3050" spans="18:18" ht="12" customHeight="1" x14ac:dyDescent="0.35">
      <c r="R3050" s="74"/>
    </row>
    <row r="3051" spans="18:18" ht="12" customHeight="1" x14ac:dyDescent="0.35">
      <c r="R3051" s="74"/>
    </row>
    <row r="3052" spans="18:18" ht="12" customHeight="1" x14ac:dyDescent="0.35">
      <c r="R3052" s="74"/>
    </row>
    <row r="3053" spans="18:18" ht="12" customHeight="1" x14ac:dyDescent="0.35">
      <c r="R3053" s="74"/>
    </row>
    <row r="3054" spans="18:18" ht="12" customHeight="1" x14ac:dyDescent="0.35">
      <c r="R3054" s="74"/>
    </row>
    <row r="3055" spans="18:18" ht="12" customHeight="1" x14ac:dyDescent="0.35">
      <c r="R3055" s="74"/>
    </row>
    <row r="3056" spans="18:18" ht="12" customHeight="1" x14ac:dyDescent="0.35">
      <c r="R3056" s="74"/>
    </row>
    <row r="3057" spans="18:18" ht="12" customHeight="1" x14ac:dyDescent="0.35">
      <c r="R3057" s="74"/>
    </row>
    <row r="3058" spans="18:18" ht="12" customHeight="1" x14ac:dyDescent="0.35">
      <c r="R3058" s="74"/>
    </row>
    <row r="3059" spans="18:18" ht="12" customHeight="1" x14ac:dyDescent="0.35">
      <c r="R3059" s="74"/>
    </row>
    <row r="3060" spans="18:18" ht="12" customHeight="1" x14ac:dyDescent="0.35">
      <c r="R3060" s="74"/>
    </row>
    <row r="3061" spans="18:18" ht="12" customHeight="1" x14ac:dyDescent="0.35">
      <c r="R3061" s="74"/>
    </row>
    <row r="3062" spans="18:18" ht="12" customHeight="1" x14ac:dyDescent="0.35">
      <c r="R3062" s="74"/>
    </row>
    <row r="3063" spans="18:18" ht="12" customHeight="1" x14ac:dyDescent="0.35">
      <c r="R3063" s="74"/>
    </row>
    <row r="3064" spans="18:18" ht="12" customHeight="1" x14ac:dyDescent="0.35">
      <c r="R3064" s="74"/>
    </row>
    <row r="3065" spans="18:18" ht="12" customHeight="1" x14ac:dyDescent="0.35">
      <c r="R3065" s="74"/>
    </row>
    <row r="3066" spans="18:18" ht="12" customHeight="1" x14ac:dyDescent="0.35">
      <c r="R3066" s="74"/>
    </row>
    <row r="3067" spans="18:18" ht="12" customHeight="1" x14ac:dyDescent="0.35">
      <c r="R3067" s="74"/>
    </row>
    <row r="3068" spans="18:18" ht="12" customHeight="1" x14ac:dyDescent="0.35">
      <c r="R3068" s="74"/>
    </row>
    <row r="3069" spans="18:18" ht="12" customHeight="1" x14ac:dyDescent="0.35">
      <c r="R3069" s="74"/>
    </row>
    <row r="3070" spans="18:18" ht="12" customHeight="1" x14ac:dyDescent="0.35">
      <c r="R3070" s="74"/>
    </row>
    <row r="3071" spans="18:18" ht="12" customHeight="1" x14ac:dyDescent="0.35">
      <c r="R3071" s="74"/>
    </row>
    <row r="3072" spans="18:18" ht="12" customHeight="1" x14ac:dyDescent="0.35">
      <c r="R3072" s="74"/>
    </row>
    <row r="3073" spans="18:18" ht="12" customHeight="1" x14ac:dyDescent="0.35">
      <c r="R3073" s="74"/>
    </row>
    <row r="3074" spans="18:18" ht="12" customHeight="1" x14ac:dyDescent="0.35">
      <c r="R3074" s="74"/>
    </row>
    <row r="3075" spans="18:18" ht="12" customHeight="1" x14ac:dyDescent="0.35">
      <c r="R3075" s="74"/>
    </row>
    <row r="3076" spans="18:18" ht="12" customHeight="1" x14ac:dyDescent="0.35">
      <c r="R3076" s="74"/>
    </row>
    <row r="3077" spans="18:18" ht="12" customHeight="1" x14ac:dyDescent="0.35">
      <c r="R3077" s="74"/>
    </row>
    <row r="3078" spans="18:18" ht="12" customHeight="1" x14ac:dyDescent="0.35">
      <c r="R3078" s="74"/>
    </row>
    <row r="3079" spans="18:18" ht="12" customHeight="1" x14ac:dyDescent="0.35">
      <c r="R3079" s="74"/>
    </row>
    <row r="3080" spans="18:18" ht="12" customHeight="1" x14ac:dyDescent="0.35">
      <c r="R3080" s="74"/>
    </row>
    <row r="3081" spans="18:18" ht="12" customHeight="1" x14ac:dyDescent="0.35">
      <c r="R3081" s="74"/>
    </row>
    <row r="3082" spans="18:18" ht="12" customHeight="1" x14ac:dyDescent="0.35">
      <c r="R3082" s="74"/>
    </row>
    <row r="3083" spans="18:18" ht="12" customHeight="1" x14ac:dyDescent="0.35">
      <c r="R3083" s="74"/>
    </row>
    <row r="3084" spans="18:18" ht="12" customHeight="1" x14ac:dyDescent="0.35">
      <c r="R3084" s="74"/>
    </row>
    <row r="3085" spans="18:18" ht="12" customHeight="1" x14ac:dyDescent="0.35">
      <c r="R3085" s="74"/>
    </row>
    <row r="3086" spans="18:18" ht="12" customHeight="1" x14ac:dyDescent="0.35">
      <c r="R3086" s="74"/>
    </row>
    <row r="3087" spans="18:18" ht="12" customHeight="1" x14ac:dyDescent="0.35">
      <c r="R3087" s="74"/>
    </row>
    <row r="3088" spans="18:18" ht="12" customHeight="1" x14ac:dyDescent="0.35">
      <c r="R3088" s="74"/>
    </row>
    <row r="3089" spans="18:18" ht="12" customHeight="1" x14ac:dyDescent="0.35">
      <c r="R3089" s="74"/>
    </row>
    <row r="3090" spans="18:18" ht="12" customHeight="1" x14ac:dyDescent="0.35">
      <c r="R3090" s="74"/>
    </row>
    <row r="3091" spans="18:18" ht="12" customHeight="1" x14ac:dyDescent="0.35">
      <c r="R3091" s="74"/>
    </row>
    <row r="3092" spans="18:18" ht="12" customHeight="1" x14ac:dyDescent="0.35">
      <c r="R3092" s="74"/>
    </row>
    <row r="3093" spans="18:18" ht="12" customHeight="1" x14ac:dyDescent="0.35">
      <c r="R3093" s="74"/>
    </row>
    <row r="3094" spans="18:18" ht="12" customHeight="1" x14ac:dyDescent="0.35">
      <c r="R3094" s="74"/>
    </row>
    <row r="3095" spans="18:18" ht="12" customHeight="1" x14ac:dyDescent="0.35">
      <c r="R3095" s="74"/>
    </row>
    <row r="3096" spans="18:18" ht="12" customHeight="1" x14ac:dyDescent="0.35">
      <c r="R3096" s="74"/>
    </row>
    <row r="3097" spans="18:18" ht="12" customHeight="1" x14ac:dyDescent="0.35">
      <c r="R3097" s="74"/>
    </row>
    <row r="3098" spans="18:18" ht="12" customHeight="1" x14ac:dyDescent="0.35">
      <c r="R3098" s="74"/>
    </row>
    <row r="3099" spans="18:18" ht="12" customHeight="1" x14ac:dyDescent="0.35">
      <c r="R3099" s="74"/>
    </row>
    <row r="3100" spans="18:18" ht="12" customHeight="1" x14ac:dyDescent="0.35">
      <c r="R3100" s="74"/>
    </row>
    <row r="3101" spans="18:18" ht="12" customHeight="1" x14ac:dyDescent="0.35">
      <c r="R3101" s="74"/>
    </row>
    <row r="3102" spans="18:18" ht="12" customHeight="1" x14ac:dyDescent="0.35">
      <c r="R3102" s="74"/>
    </row>
    <row r="3103" spans="18:18" ht="12" customHeight="1" x14ac:dyDescent="0.35">
      <c r="R3103" s="74"/>
    </row>
    <row r="3104" spans="18:18" ht="12" customHeight="1" x14ac:dyDescent="0.35">
      <c r="R3104" s="74"/>
    </row>
    <row r="3105" spans="18:18" ht="12" customHeight="1" x14ac:dyDescent="0.35">
      <c r="R3105" s="74"/>
    </row>
    <row r="3106" spans="18:18" ht="12" customHeight="1" x14ac:dyDescent="0.35">
      <c r="R3106" s="74"/>
    </row>
    <row r="3107" spans="18:18" ht="12" customHeight="1" x14ac:dyDescent="0.35">
      <c r="R3107" s="74"/>
    </row>
    <row r="3108" spans="18:18" ht="12" customHeight="1" x14ac:dyDescent="0.35">
      <c r="R3108" s="74"/>
    </row>
    <row r="3109" spans="18:18" ht="12" customHeight="1" x14ac:dyDescent="0.35">
      <c r="R3109" s="74"/>
    </row>
    <row r="3110" spans="18:18" ht="12" customHeight="1" x14ac:dyDescent="0.35">
      <c r="R3110" s="74"/>
    </row>
    <row r="3111" spans="18:18" ht="12" customHeight="1" x14ac:dyDescent="0.35">
      <c r="R3111" s="74"/>
    </row>
    <row r="3112" spans="18:18" ht="12" customHeight="1" x14ac:dyDescent="0.35">
      <c r="R3112" s="74"/>
    </row>
    <row r="3113" spans="18:18" ht="12" customHeight="1" x14ac:dyDescent="0.35">
      <c r="R3113" s="74"/>
    </row>
    <row r="3114" spans="18:18" ht="12" customHeight="1" x14ac:dyDescent="0.35">
      <c r="R3114" s="74"/>
    </row>
    <row r="3115" spans="18:18" ht="12" customHeight="1" x14ac:dyDescent="0.35">
      <c r="R3115" s="74"/>
    </row>
    <row r="3116" spans="18:18" ht="12" customHeight="1" x14ac:dyDescent="0.35">
      <c r="R3116" s="74"/>
    </row>
    <row r="3117" spans="18:18" ht="12" customHeight="1" x14ac:dyDescent="0.35">
      <c r="R3117" s="74"/>
    </row>
    <row r="3118" spans="18:18" ht="12" customHeight="1" x14ac:dyDescent="0.35">
      <c r="R3118" s="74"/>
    </row>
    <row r="3119" spans="18:18" ht="12" customHeight="1" x14ac:dyDescent="0.35">
      <c r="R3119" s="74"/>
    </row>
    <row r="3120" spans="18:18" ht="12" customHeight="1" x14ac:dyDescent="0.35">
      <c r="R3120" s="74"/>
    </row>
    <row r="3121" spans="18:18" ht="12" customHeight="1" x14ac:dyDescent="0.35">
      <c r="R3121" s="74"/>
    </row>
    <row r="3122" spans="18:18" ht="12" customHeight="1" x14ac:dyDescent="0.35">
      <c r="R3122" s="74"/>
    </row>
    <row r="3123" spans="18:18" ht="12" customHeight="1" x14ac:dyDescent="0.35">
      <c r="R3123" s="74"/>
    </row>
    <row r="3124" spans="18:18" ht="12" customHeight="1" x14ac:dyDescent="0.35">
      <c r="R3124" s="74"/>
    </row>
    <row r="3125" spans="18:18" ht="12" customHeight="1" x14ac:dyDescent="0.35">
      <c r="R3125" s="74"/>
    </row>
    <row r="3126" spans="18:18" ht="12" customHeight="1" x14ac:dyDescent="0.35">
      <c r="R3126" s="74"/>
    </row>
    <row r="3127" spans="18:18" ht="12" customHeight="1" x14ac:dyDescent="0.35">
      <c r="R3127" s="74"/>
    </row>
    <row r="3128" spans="18:18" ht="12" customHeight="1" x14ac:dyDescent="0.35">
      <c r="R3128" s="74"/>
    </row>
    <row r="3129" spans="18:18" ht="12" customHeight="1" x14ac:dyDescent="0.35">
      <c r="R3129" s="74"/>
    </row>
    <row r="3130" spans="18:18" ht="12" customHeight="1" x14ac:dyDescent="0.35">
      <c r="R3130" s="74"/>
    </row>
    <row r="3131" spans="18:18" ht="12" customHeight="1" x14ac:dyDescent="0.35">
      <c r="R3131" s="74"/>
    </row>
    <row r="3132" spans="18:18" ht="12" customHeight="1" x14ac:dyDescent="0.35">
      <c r="R3132" s="74"/>
    </row>
    <row r="3133" spans="18:18" ht="12" customHeight="1" x14ac:dyDescent="0.35">
      <c r="R3133" s="74"/>
    </row>
    <row r="3134" spans="18:18" ht="12" customHeight="1" x14ac:dyDescent="0.35">
      <c r="R3134" s="74"/>
    </row>
    <row r="3135" spans="18:18" ht="12" customHeight="1" x14ac:dyDescent="0.35">
      <c r="R3135" s="74"/>
    </row>
    <row r="3136" spans="18:18" ht="12" customHeight="1" x14ac:dyDescent="0.35">
      <c r="R3136" s="74"/>
    </row>
    <row r="3137" spans="18:18" ht="12" customHeight="1" x14ac:dyDescent="0.35">
      <c r="R3137" s="74"/>
    </row>
    <row r="3138" spans="18:18" ht="12" customHeight="1" x14ac:dyDescent="0.35">
      <c r="R3138" s="74"/>
    </row>
    <row r="3139" spans="18:18" ht="12" customHeight="1" x14ac:dyDescent="0.35">
      <c r="R3139" s="74"/>
    </row>
    <row r="3140" spans="18:18" ht="12" customHeight="1" x14ac:dyDescent="0.35">
      <c r="R3140" s="74"/>
    </row>
    <row r="3141" spans="18:18" ht="12" customHeight="1" x14ac:dyDescent="0.35">
      <c r="R3141" s="74"/>
    </row>
    <row r="3142" spans="18:18" ht="12" customHeight="1" x14ac:dyDescent="0.35">
      <c r="R3142" s="74"/>
    </row>
    <row r="3143" spans="18:18" ht="12" customHeight="1" x14ac:dyDescent="0.35">
      <c r="R3143" s="74"/>
    </row>
    <row r="3144" spans="18:18" ht="12" customHeight="1" x14ac:dyDescent="0.35">
      <c r="R3144" s="74"/>
    </row>
    <row r="3145" spans="18:18" ht="12" customHeight="1" x14ac:dyDescent="0.35">
      <c r="R3145" s="74"/>
    </row>
    <row r="3146" spans="18:18" ht="12" customHeight="1" x14ac:dyDescent="0.35">
      <c r="R3146" s="74"/>
    </row>
    <row r="3147" spans="18:18" ht="12" customHeight="1" x14ac:dyDescent="0.35">
      <c r="R3147" s="74"/>
    </row>
    <row r="3148" spans="18:18" ht="12" customHeight="1" x14ac:dyDescent="0.35">
      <c r="R3148" s="74"/>
    </row>
    <row r="3149" spans="18:18" ht="12" customHeight="1" x14ac:dyDescent="0.35">
      <c r="R3149" s="74"/>
    </row>
    <row r="3150" spans="18:18" ht="12" customHeight="1" x14ac:dyDescent="0.35">
      <c r="R3150" s="74"/>
    </row>
    <row r="3151" spans="18:18" ht="12" customHeight="1" x14ac:dyDescent="0.35">
      <c r="R3151" s="74"/>
    </row>
    <row r="3152" spans="18:18" ht="12" customHeight="1" x14ac:dyDescent="0.35">
      <c r="R3152" s="74"/>
    </row>
    <row r="3153" spans="18:18" ht="12" customHeight="1" x14ac:dyDescent="0.35">
      <c r="R3153" s="74"/>
    </row>
    <row r="3154" spans="18:18" ht="12" customHeight="1" x14ac:dyDescent="0.35">
      <c r="R3154" s="74"/>
    </row>
    <row r="3155" spans="18:18" ht="12" customHeight="1" x14ac:dyDescent="0.35">
      <c r="R3155" s="74"/>
    </row>
    <row r="3156" spans="18:18" ht="12" customHeight="1" x14ac:dyDescent="0.35">
      <c r="R3156" s="74"/>
    </row>
    <row r="3157" spans="18:18" ht="12" customHeight="1" x14ac:dyDescent="0.35">
      <c r="R3157" s="74"/>
    </row>
    <row r="3158" spans="18:18" ht="12" customHeight="1" x14ac:dyDescent="0.35">
      <c r="R3158" s="74"/>
    </row>
    <row r="3159" spans="18:18" ht="12" customHeight="1" x14ac:dyDescent="0.35">
      <c r="R3159" s="74"/>
    </row>
    <row r="3160" spans="18:18" ht="12" customHeight="1" x14ac:dyDescent="0.35">
      <c r="R3160" s="74"/>
    </row>
    <row r="3161" spans="18:18" ht="12" customHeight="1" x14ac:dyDescent="0.35">
      <c r="R3161" s="74"/>
    </row>
    <row r="3162" spans="18:18" ht="12" customHeight="1" x14ac:dyDescent="0.35">
      <c r="R3162" s="74"/>
    </row>
    <row r="3163" spans="18:18" ht="12" customHeight="1" x14ac:dyDescent="0.35">
      <c r="R3163" s="74"/>
    </row>
    <row r="3164" spans="18:18" ht="12" customHeight="1" x14ac:dyDescent="0.35">
      <c r="R3164" s="74"/>
    </row>
    <row r="3165" spans="18:18" ht="12" customHeight="1" x14ac:dyDescent="0.35">
      <c r="R3165" s="74"/>
    </row>
    <row r="3166" spans="18:18" ht="12" customHeight="1" x14ac:dyDescent="0.35">
      <c r="R3166" s="74"/>
    </row>
    <row r="3167" spans="18:18" ht="12" customHeight="1" x14ac:dyDescent="0.35">
      <c r="R3167" s="74"/>
    </row>
    <row r="3168" spans="18:18" ht="12" customHeight="1" x14ac:dyDescent="0.35">
      <c r="R3168" s="74"/>
    </row>
    <row r="3169" spans="18:18" ht="12" customHeight="1" x14ac:dyDescent="0.35">
      <c r="R3169" s="74"/>
    </row>
    <row r="3170" spans="18:18" ht="12" customHeight="1" x14ac:dyDescent="0.35">
      <c r="R3170" s="74"/>
    </row>
    <row r="3171" spans="18:18" ht="12" customHeight="1" x14ac:dyDescent="0.35">
      <c r="R3171" s="74"/>
    </row>
    <row r="3172" spans="18:18" ht="12" customHeight="1" x14ac:dyDescent="0.35">
      <c r="R3172" s="74"/>
    </row>
    <row r="3173" spans="18:18" ht="12" customHeight="1" x14ac:dyDescent="0.35">
      <c r="R3173" s="74"/>
    </row>
    <row r="3174" spans="18:18" ht="12" customHeight="1" x14ac:dyDescent="0.35">
      <c r="R3174" s="74"/>
    </row>
    <row r="3175" spans="18:18" ht="12" customHeight="1" x14ac:dyDescent="0.35">
      <c r="R3175" s="74"/>
    </row>
    <row r="3176" spans="18:18" ht="12" customHeight="1" x14ac:dyDescent="0.35">
      <c r="R3176" s="74"/>
    </row>
    <row r="3177" spans="18:18" ht="12" customHeight="1" x14ac:dyDescent="0.35">
      <c r="R3177" s="74"/>
    </row>
    <row r="3178" spans="18:18" ht="12" customHeight="1" x14ac:dyDescent="0.35">
      <c r="R3178" s="74"/>
    </row>
    <row r="3179" spans="18:18" ht="12" customHeight="1" x14ac:dyDescent="0.35">
      <c r="R3179" s="74"/>
    </row>
    <row r="3180" spans="18:18" ht="12" customHeight="1" x14ac:dyDescent="0.35">
      <c r="R3180" s="74"/>
    </row>
    <row r="3181" spans="18:18" ht="12" customHeight="1" x14ac:dyDescent="0.35">
      <c r="R3181" s="74"/>
    </row>
    <row r="3182" spans="18:18" ht="12" customHeight="1" x14ac:dyDescent="0.35">
      <c r="R3182" s="74"/>
    </row>
    <row r="3183" spans="18:18" ht="12" customHeight="1" x14ac:dyDescent="0.35">
      <c r="R3183" s="74"/>
    </row>
    <row r="3184" spans="18:18" ht="12" customHeight="1" x14ac:dyDescent="0.35">
      <c r="R3184" s="74"/>
    </row>
    <row r="3185" spans="18:18" ht="12" customHeight="1" x14ac:dyDescent="0.35">
      <c r="R3185" s="74"/>
    </row>
    <row r="3186" spans="18:18" ht="12" customHeight="1" x14ac:dyDescent="0.35">
      <c r="R3186" s="74"/>
    </row>
    <row r="3187" spans="18:18" ht="12" customHeight="1" x14ac:dyDescent="0.35">
      <c r="R3187" s="74"/>
    </row>
    <row r="3188" spans="18:18" ht="12" customHeight="1" x14ac:dyDescent="0.35">
      <c r="R3188" s="74"/>
    </row>
    <row r="3189" spans="18:18" ht="12" customHeight="1" x14ac:dyDescent="0.35">
      <c r="R3189" s="74"/>
    </row>
    <row r="3190" spans="18:18" ht="12" customHeight="1" x14ac:dyDescent="0.35">
      <c r="R3190" s="74"/>
    </row>
    <row r="3191" spans="18:18" ht="12" customHeight="1" x14ac:dyDescent="0.35">
      <c r="R3191" s="74"/>
    </row>
    <row r="3192" spans="18:18" ht="12" customHeight="1" x14ac:dyDescent="0.35">
      <c r="R3192" s="74"/>
    </row>
    <row r="3193" spans="18:18" ht="12" customHeight="1" x14ac:dyDescent="0.35">
      <c r="R3193" s="74"/>
    </row>
    <row r="3194" spans="18:18" ht="12" customHeight="1" x14ac:dyDescent="0.35">
      <c r="R3194" s="74"/>
    </row>
    <row r="3195" spans="18:18" ht="12" customHeight="1" x14ac:dyDescent="0.35">
      <c r="R3195" s="74"/>
    </row>
    <row r="3196" spans="18:18" ht="12" customHeight="1" x14ac:dyDescent="0.35">
      <c r="R3196" s="74"/>
    </row>
    <row r="3197" spans="18:18" ht="12" customHeight="1" x14ac:dyDescent="0.35">
      <c r="R3197" s="74"/>
    </row>
    <row r="3198" spans="18:18" ht="12" customHeight="1" x14ac:dyDescent="0.35">
      <c r="R3198" s="74"/>
    </row>
    <row r="3199" spans="18:18" ht="12" customHeight="1" x14ac:dyDescent="0.35">
      <c r="R3199" s="74"/>
    </row>
    <row r="3200" spans="18:18" ht="12" customHeight="1" x14ac:dyDescent="0.35">
      <c r="R3200" s="74"/>
    </row>
    <row r="3201" spans="18:18" ht="12" customHeight="1" x14ac:dyDescent="0.35">
      <c r="R3201" s="74"/>
    </row>
    <row r="3202" spans="18:18" ht="12" customHeight="1" x14ac:dyDescent="0.35">
      <c r="R3202" s="74"/>
    </row>
    <row r="3203" spans="18:18" ht="12" customHeight="1" x14ac:dyDescent="0.35">
      <c r="R3203" s="74"/>
    </row>
    <row r="3204" spans="18:18" ht="12" customHeight="1" x14ac:dyDescent="0.35">
      <c r="R3204" s="74"/>
    </row>
    <row r="3205" spans="18:18" ht="12" customHeight="1" x14ac:dyDescent="0.35">
      <c r="R3205" s="74"/>
    </row>
    <row r="3206" spans="18:18" ht="12" customHeight="1" x14ac:dyDescent="0.35">
      <c r="R3206" s="74"/>
    </row>
    <row r="3207" spans="18:18" ht="12" customHeight="1" x14ac:dyDescent="0.35">
      <c r="R3207" s="74"/>
    </row>
    <row r="3208" spans="18:18" ht="12" customHeight="1" x14ac:dyDescent="0.35">
      <c r="R3208" s="74"/>
    </row>
    <row r="3209" spans="18:18" ht="12" customHeight="1" x14ac:dyDescent="0.35">
      <c r="R3209" s="74"/>
    </row>
    <row r="3210" spans="18:18" ht="12" customHeight="1" x14ac:dyDescent="0.35">
      <c r="R3210" s="74"/>
    </row>
    <row r="3211" spans="18:18" ht="12" customHeight="1" x14ac:dyDescent="0.35">
      <c r="R3211" s="74"/>
    </row>
    <row r="3212" spans="18:18" ht="12" customHeight="1" x14ac:dyDescent="0.35">
      <c r="R3212" s="74"/>
    </row>
    <row r="3213" spans="18:18" ht="12" customHeight="1" x14ac:dyDescent="0.35">
      <c r="R3213" s="74"/>
    </row>
    <row r="3214" spans="18:18" ht="12" customHeight="1" x14ac:dyDescent="0.35">
      <c r="R3214" s="74"/>
    </row>
    <row r="3215" spans="18:18" ht="12" customHeight="1" x14ac:dyDescent="0.35">
      <c r="R3215" s="74"/>
    </row>
    <row r="3216" spans="18:18" ht="12" customHeight="1" x14ac:dyDescent="0.35">
      <c r="R3216" s="74"/>
    </row>
    <row r="3217" spans="18:18" ht="12" customHeight="1" x14ac:dyDescent="0.35">
      <c r="R3217" s="74"/>
    </row>
    <row r="3218" spans="18:18" ht="12" customHeight="1" x14ac:dyDescent="0.35">
      <c r="R3218" s="74"/>
    </row>
    <row r="3219" spans="18:18" ht="12" customHeight="1" x14ac:dyDescent="0.35">
      <c r="R3219" s="74"/>
    </row>
    <row r="3220" spans="18:18" ht="12" customHeight="1" x14ac:dyDescent="0.35">
      <c r="R3220" s="74"/>
    </row>
    <row r="3221" spans="18:18" ht="12" customHeight="1" x14ac:dyDescent="0.35">
      <c r="R3221" s="74"/>
    </row>
    <row r="3222" spans="18:18" ht="12" customHeight="1" x14ac:dyDescent="0.35">
      <c r="R3222" s="74"/>
    </row>
    <row r="3223" spans="18:18" ht="12" customHeight="1" x14ac:dyDescent="0.35">
      <c r="R3223" s="74"/>
    </row>
    <row r="3224" spans="18:18" ht="12" customHeight="1" x14ac:dyDescent="0.35">
      <c r="R3224" s="74"/>
    </row>
    <row r="3225" spans="18:18" ht="12" customHeight="1" x14ac:dyDescent="0.35">
      <c r="R3225" s="74"/>
    </row>
    <row r="3226" spans="18:18" ht="12" customHeight="1" x14ac:dyDescent="0.35">
      <c r="R3226" s="74"/>
    </row>
    <row r="3227" spans="18:18" ht="12" customHeight="1" x14ac:dyDescent="0.35">
      <c r="R3227" s="74"/>
    </row>
    <row r="3228" spans="18:18" ht="12" customHeight="1" x14ac:dyDescent="0.35">
      <c r="R3228" s="74"/>
    </row>
    <row r="3229" spans="18:18" ht="12" customHeight="1" x14ac:dyDescent="0.35">
      <c r="R3229" s="74"/>
    </row>
    <row r="3230" spans="18:18" ht="12" customHeight="1" x14ac:dyDescent="0.35">
      <c r="R3230" s="74"/>
    </row>
    <row r="3231" spans="18:18" ht="12" customHeight="1" x14ac:dyDescent="0.35">
      <c r="R3231" s="74"/>
    </row>
    <row r="3232" spans="18:18" ht="12" customHeight="1" x14ac:dyDescent="0.35">
      <c r="R3232" s="74"/>
    </row>
    <row r="3233" spans="18:18" ht="12" customHeight="1" x14ac:dyDescent="0.35">
      <c r="R3233" s="74"/>
    </row>
    <row r="3234" spans="18:18" ht="12" customHeight="1" x14ac:dyDescent="0.35">
      <c r="R3234" s="74"/>
    </row>
    <row r="3235" spans="18:18" ht="12" customHeight="1" x14ac:dyDescent="0.35">
      <c r="R3235" s="74"/>
    </row>
    <row r="3236" spans="18:18" ht="12" customHeight="1" x14ac:dyDescent="0.35">
      <c r="R3236" s="74"/>
    </row>
    <row r="3237" spans="18:18" ht="12" customHeight="1" x14ac:dyDescent="0.35">
      <c r="R3237" s="74"/>
    </row>
    <row r="3238" spans="18:18" ht="12" customHeight="1" x14ac:dyDescent="0.35">
      <c r="R3238" s="74"/>
    </row>
    <row r="3239" spans="18:18" ht="12" customHeight="1" x14ac:dyDescent="0.35">
      <c r="R3239" s="74"/>
    </row>
    <row r="3240" spans="18:18" ht="12" customHeight="1" x14ac:dyDescent="0.35">
      <c r="R3240" s="74"/>
    </row>
    <row r="3241" spans="18:18" ht="12" customHeight="1" x14ac:dyDescent="0.35">
      <c r="R3241" s="74"/>
    </row>
    <row r="3242" spans="18:18" ht="12" customHeight="1" x14ac:dyDescent="0.35">
      <c r="R3242" s="74"/>
    </row>
    <row r="3243" spans="18:18" ht="12" customHeight="1" x14ac:dyDescent="0.35">
      <c r="R3243" s="74"/>
    </row>
    <row r="3244" spans="18:18" ht="12" customHeight="1" x14ac:dyDescent="0.35">
      <c r="R3244" s="74"/>
    </row>
    <row r="3245" spans="18:18" ht="12" customHeight="1" x14ac:dyDescent="0.35">
      <c r="R3245" s="74"/>
    </row>
    <row r="3246" spans="18:18" ht="12" customHeight="1" x14ac:dyDescent="0.35">
      <c r="R3246" s="74"/>
    </row>
    <row r="3247" spans="18:18" ht="12" customHeight="1" x14ac:dyDescent="0.35">
      <c r="R3247" s="74"/>
    </row>
    <row r="3248" spans="18:18" ht="12" customHeight="1" x14ac:dyDescent="0.35">
      <c r="R3248" s="74"/>
    </row>
    <row r="3249" spans="18:18" ht="12" customHeight="1" x14ac:dyDescent="0.35">
      <c r="R3249" s="74"/>
    </row>
    <row r="3250" spans="18:18" ht="12" customHeight="1" x14ac:dyDescent="0.35">
      <c r="R3250" s="74"/>
    </row>
    <row r="3251" spans="18:18" ht="12" customHeight="1" x14ac:dyDescent="0.35">
      <c r="R3251" s="74"/>
    </row>
    <row r="3252" spans="18:18" ht="12" customHeight="1" x14ac:dyDescent="0.35">
      <c r="R3252" s="74"/>
    </row>
    <row r="3253" spans="18:18" ht="12" customHeight="1" x14ac:dyDescent="0.35">
      <c r="R3253" s="74"/>
    </row>
    <row r="3254" spans="18:18" ht="12" customHeight="1" x14ac:dyDescent="0.35">
      <c r="R3254" s="74"/>
    </row>
    <row r="3255" spans="18:18" ht="12" customHeight="1" x14ac:dyDescent="0.35">
      <c r="R3255" s="74"/>
    </row>
    <row r="3256" spans="18:18" ht="12" customHeight="1" x14ac:dyDescent="0.35">
      <c r="R3256" s="74"/>
    </row>
    <row r="3257" spans="18:18" ht="12" customHeight="1" x14ac:dyDescent="0.35">
      <c r="R3257" s="74"/>
    </row>
    <row r="3258" spans="18:18" ht="12" customHeight="1" x14ac:dyDescent="0.35">
      <c r="R3258" s="74"/>
    </row>
    <row r="3259" spans="18:18" ht="12" customHeight="1" x14ac:dyDescent="0.35">
      <c r="R3259" s="74"/>
    </row>
    <row r="3260" spans="18:18" ht="12" customHeight="1" x14ac:dyDescent="0.35">
      <c r="R3260" s="74"/>
    </row>
    <row r="3261" spans="18:18" ht="12" customHeight="1" x14ac:dyDescent="0.35">
      <c r="R3261" s="74"/>
    </row>
    <row r="3262" spans="18:18" ht="12" customHeight="1" x14ac:dyDescent="0.35">
      <c r="R3262" s="74"/>
    </row>
    <row r="3263" spans="18:18" ht="12" customHeight="1" x14ac:dyDescent="0.35">
      <c r="R3263" s="74"/>
    </row>
    <row r="3264" spans="18:18" ht="12" customHeight="1" x14ac:dyDescent="0.35">
      <c r="R3264" s="74"/>
    </row>
    <row r="3265" spans="18:18" ht="12" customHeight="1" x14ac:dyDescent="0.35">
      <c r="R3265" s="74"/>
    </row>
    <row r="3266" spans="18:18" ht="12" customHeight="1" x14ac:dyDescent="0.35">
      <c r="R3266" s="74"/>
    </row>
    <row r="3267" spans="18:18" ht="12" customHeight="1" x14ac:dyDescent="0.35">
      <c r="R3267" s="74"/>
    </row>
    <row r="3268" spans="18:18" ht="12" customHeight="1" x14ac:dyDescent="0.35">
      <c r="R3268" s="74"/>
    </row>
    <row r="3269" spans="18:18" ht="12" customHeight="1" x14ac:dyDescent="0.35">
      <c r="R3269" s="74"/>
    </row>
    <row r="3270" spans="18:18" ht="12" customHeight="1" x14ac:dyDescent="0.35">
      <c r="R3270" s="74"/>
    </row>
    <row r="3271" spans="18:18" ht="12" customHeight="1" x14ac:dyDescent="0.35">
      <c r="R3271" s="74"/>
    </row>
    <row r="3272" spans="18:18" ht="12" customHeight="1" x14ac:dyDescent="0.35">
      <c r="R3272" s="74"/>
    </row>
    <row r="3273" spans="18:18" ht="12" customHeight="1" x14ac:dyDescent="0.35">
      <c r="R3273" s="74"/>
    </row>
    <row r="3274" spans="18:18" ht="12" customHeight="1" x14ac:dyDescent="0.35">
      <c r="R3274" s="74"/>
    </row>
    <row r="3275" spans="18:18" ht="12" customHeight="1" x14ac:dyDescent="0.35">
      <c r="R3275" s="74"/>
    </row>
    <row r="3276" spans="18:18" ht="12" customHeight="1" x14ac:dyDescent="0.35">
      <c r="R3276" s="74"/>
    </row>
    <row r="3277" spans="18:18" ht="12" customHeight="1" x14ac:dyDescent="0.35">
      <c r="R3277" s="74"/>
    </row>
    <row r="3278" spans="18:18" ht="12" customHeight="1" x14ac:dyDescent="0.35">
      <c r="R3278" s="74"/>
    </row>
    <row r="3279" spans="18:18" ht="12" customHeight="1" x14ac:dyDescent="0.35">
      <c r="R3279" s="74"/>
    </row>
    <row r="3280" spans="18:18" ht="12" customHeight="1" x14ac:dyDescent="0.35">
      <c r="R3280" s="74"/>
    </row>
    <row r="3281" spans="18:18" ht="12" customHeight="1" x14ac:dyDescent="0.35">
      <c r="R3281" s="74"/>
    </row>
    <row r="3282" spans="18:18" ht="12" customHeight="1" x14ac:dyDescent="0.35">
      <c r="R3282" s="74"/>
    </row>
    <row r="3283" spans="18:18" ht="12" customHeight="1" x14ac:dyDescent="0.35">
      <c r="R3283" s="74"/>
    </row>
    <row r="3284" spans="18:18" ht="12" customHeight="1" x14ac:dyDescent="0.35">
      <c r="R3284" s="74"/>
    </row>
    <row r="3285" spans="18:18" ht="12" customHeight="1" x14ac:dyDescent="0.35">
      <c r="R3285" s="74"/>
    </row>
    <row r="3286" spans="18:18" ht="12" customHeight="1" x14ac:dyDescent="0.35">
      <c r="R3286" s="74"/>
    </row>
    <row r="3287" spans="18:18" ht="12" customHeight="1" x14ac:dyDescent="0.35">
      <c r="R3287" s="74"/>
    </row>
    <row r="3288" spans="18:18" ht="12" customHeight="1" x14ac:dyDescent="0.35">
      <c r="R3288" s="74"/>
    </row>
    <row r="3289" spans="18:18" ht="12" customHeight="1" x14ac:dyDescent="0.35">
      <c r="R3289" s="74"/>
    </row>
    <row r="3290" spans="18:18" ht="12" customHeight="1" x14ac:dyDescent="0.35">
      <c r="R3290" s="74"/>
    </row>
    <row r="3291" spans="18:18" ht="12" customHeight="1" x14ac:dyDescent="0.35">
      <c r="R3291" s="74"/>
    </row>
    <row r="3292" spans="18:18" ht="12" customHeight="1" x14ac:dyDescent="0.35">
      <c r="R3292" s="74"/>
    </row>
    <row r="3293" spans="18:18" ht="12" customHeight="1" x14ac:dyDescent="0.35">
      <c r="R3293" s="74"/>
    </row>
    <row r="3294" spans="18:18" ht="12" customHeight="1" x14ac:dyDescent="0.35">
      <c r="R3294" s="74"/>
    </row>
    <row r="3295" spans="18:18" ht="12" customHeight="1" x14ac:dyDescent="0.35">
      <c r="R3295" s="74"/>
    </row>
    <row r="3296" spans="18:18" ht="12" customHeight="1" x14ac:dyDescent="0.35">
      <c r="R3296" s="74"/>
    </row>
    <row r="3297" spans="18:18" ht="12" customHeight="1" x14ac:dyDescent="0.35">
      <c r="R3297" s="74"/>
    </row>
    <row r="3298" spans="18:18" ht="12" customHeight="1" x14ac:dyDescent="0.35">
      <c r="R3298" s="74"/>
    </row>
    <row r="3299" spans="18:18" ht="12" customHeight="1" x14ac:dyDescent="0.35">
      <c r="R3299" s="74"/>
    </row>
    <row r="3300" spans="18:18" ht="12" customHeight="1" x14ac:dyDescent="0.35">
      <c r="R3300" s="74"/>
    </row>
    <row r="3301" spans="18:18" ht="12" customHeight="1" x14ac:dyDescent="0.35">
      <c r="R3301" s="74"/>
    </row>
    <row r="3302" spans="18:18" ht="12" customHeight="1" x14ac:dyDescent="0.35">
      <c r="R3302" s="74"/>
    </row>
    <row r="3303" spans="18:18" ht="12" customHeight="1" x14ac:dyDescent="0.35">
      <c r="R3303" s="74"/>
    </row>
    <row r="3304" spans="18:18" ht="12" customHeight="1" x14ac:dyDescent="0.35">
      <c r="R3304" s="74"/>
    </row>
    <row r="3305" spans="18:18" ht="12" customHeight="1" x14ac:dyDescent="0.35">
      <c r="R3305" s="74"/>
    </row>
    <row r="3306" spans="18:18" ht="12" customHeight="1" x14ac:dyDescent="0.35">
      <c r="R3306" s="74"/>
    </row>
    <row r="3307" spans="18:18" ht="12" customHeight="1" x14ac:dyDescent="0.35">
      <c r="R3307" s="74"/>
    </row>
    <row r="3308" spans="18:18" ht="12" customHeight="1" x14ac:dyDescent="0.35">
      <c r="R3308" s="74"/>
    </row>
    <row r="3309" spans="18:18" ht="12" customHeight="1" x14ac:dyDescent="0.35">
      <c r="R3309" s="74"/>
    </row>
    <row r="3310" spans="18:18" ht="12" customHeight="1" x14ac:dyDescent="0.35">
      <c r="R3310" s="74"/>
    </row>
    <row r="3311" spans="18:18" ht="12" customHeight="1" x14ac:dyDescent="0.35">
      <c r="R3311" s="74"/>
    </row>
    <row r="3312" spans="18:18" ht="12" customHeight="1" x14ac:dyDescent="0.35">
      <c r="R3312" s="74"/>
    </row>
    <row r="3313" spans="18:18" ht="12" customHeight="1" x14ac:dyDescent="0.35">
      <c r="R3313" s="74"/>
    </row>
    <row r="3314" spans="18:18" ht="12" customHeight="1" x14ac:dyDescent="0.35">
      <c r="R3314" s="74"/>
    </row>
    <row r="3315" spans="18:18" ht="12" customHeight="1" x14ac:dyDescent="0.35">
      <c r="R3315" s="74"/>
    </row>
    <row r="3316" spans="18:18" ht="12" customHeight="1" x14ac:dyDescent="0.35">
      <c r="R3316" s="74"/>
    </row>
    <row r="3317" spans="18:18" ht="12" customHeight="1" x14ac:dyDescent="0.35">
      <c r="R3317" s="74"/>
    </row>
    <row r="3318" spans="18:18" ht="12" customHeight="1" x14ac:dyDescent="0.35">
      <c r="R3318" s="74"/>
    </row>
    <row r="3319" spans="18:18" ht="12" customHeight="1" x14ac:dyDescent="0.35">
      <c r="R3319" s="74"/>
    </row>
    <row r="3320" spans="18:18" ht="12" customHeight="1" x14ac:dyDescent="0.35">
      <c r="R3320" s="74"/>
    </row>
    <row r="3321" spans="18:18" ht="12" customHeight="1" x14ac:dyDescent="0.35">
      <c r="R3321" s="74"/>
    </row>
    <row r="3322" spans="18:18" ht="12" customHeight="1" x14ac:dyDescent="0.35">
      <c r="R3322" s="74"/>
    </row>
    <row r="3323" spans="18:18" ht="12" customHeight="1" x14ac:dyDescent="0.35">
      <c r="R3323" s="74"/>
    </row>
    <row r="3324" spans="18:18" ht="12" customHeight="1" x14ac:dyDescent="0.35">
      <c r="R3324" s="74"/>
    </row>
    <row r="3325" spans="18:18" ht="12" customHeight="1" x14ac:dyDescent="0.35">
      <c r="R3325" s="74"/>
    </row>
    <row r="3326" spans="18:18" ht="12" customHeight="1" x14ac:dyDescent="0.35">
      <c r="R3326" s="74"/>
    </row>
    <row r="3327" spans="18:18" ht="12" customHeight="1" x14ac:dyDescent="0.35">
      <c r="R3327" s="74"/>
    </row>
    <row r="3328" spans="18:18" ht="12" customHeight="1" x14ac:dyDescent="0.35">
      <c r="R3328" s="74"/>
    </row>
    <row r="3329" spans="18:18" ht="12" customHeight="1" x14ac:dyDescent="0.35">
      <c r="R3329" s="74"/>
    </row>
    <row r="3330" spans="18:18" ht="12" customHeight="1" x14ac:dyDescent="0.35">
      <c r="R3330" s="74"/>
    </row>
    <row r="3331" spans="18:18" ht="12" customHeight="1" x14ac:dyDescent="0.35">
      <c r="R3331" s="74"/>
    </row>
    <row r="3332" spans="18:18" ht="12" customHeight="1" x14ac:dyDescent="0.35">
      <c r="R3332" s="74"/>
    </row>
    <row r="3333" spans="18:18" ht="12" customHeight="1" x14ac:dyDescent="0.35">
      <c r="R3333" s="74"/>
    </row>
    <row r="3334" spans="18:18" ht="12" customHeight="1" x14ac:dyDescent="0.35">
      <c r="R3334" s="74"/>
    </row>
    <row r="3335" spans="18:18" ht="12" customHeight="1" x14ac:dyDescent="0.35">
      <c r="R3335" s="74"/>
    </row>
    <row r="3336" spans="18:18" ht="12" customHeight="1" x14ac:dyDescent="0.35">
      <c r="R3336" s="74"/>
    </row>
    <row r="3337" spans="18:18" ht="12" customHeight="1" x14ac:dyDescent="0.35">
      <c r="R3337" s="74"/>
    </row>
    <row r="3338" spans="18:18" ht="12" customHeight="1" x14ac:dyDescent="0.35">
      <c r="R3338" s="74"/>
    </row>
    <row r="3339" spans="18:18" ht="12" customHeight="1" x14ac:dyDescent="0.35">
      <c r="R3339" s="74"/>
    </row>
    <row r="3340" spans="18:18" ht="12" customHeight="1" x14ac:dyDescent="0.35">
      <c r="R3340" s="74"/>
    </row>
    <row r="3341" spans="18:18" ht="12" customHeight="1" x14ac:dyDescent="0.35">
      <c r="R3341" s="74"/>
    </row>
    <row r="3342" spans="18:18" ht="12" customHeight="1" x14ac:dyDescent="0.35">
      <c r="R3342" s="74"/>
    </row>
    <row r="3343" spans="18:18" ht="12" customHeight="1" x14ac:dyDescent="0.35">
      <c r="R3343" s="74"/>
    </row>
    <row r="3344" spans="18:18" ht="12" customHeight="1" x14ac:dyDescent="0.35">
      <c r="R3344" s="74"/>
    </row>
    <row r="3345" spans="18:18" ht="12" customHeight="1" x14ac:dyDescent="0.35">
      <c r="R3345" s="74"/>
    </row>
    <row r="3346" spans="18:18" ht="12" customHeight="1" x14ac:dyDescent="0.35">
      <c r="R3346" s="74"/>
    </row>
    <row r="3347" spans="18:18" ht="12" customHeight="1" x14ac:dyDescent="0.35">
      <c r="R3347" s="74"/>
    </row>
    <row r="3348" spans="18:18" ht="12" customHeight="1" x14ac:dyDescent="0.35">
      <c r="R3348" s="74"/>
    </row>
    <row r="3349" spans="18:18" ht="12" customHeight="1" x14ac:dyDescent="0.35">
      <c r="R3349" s="74"/>
    </row>
    <row r="3350" spans="18:18" ht="12" customHeight="1" x14ac:dyDescent="0.35">
      <c r="R3350" s="74"/>
    </row>
    <row r="3351" spans="18:18" ht="12" customHeight="1" x14ac:dyDescent="0.35">
      <c r="R3351" s="74"/>
    </row>
    <row r="3352" spans="18:18" ht="12" customHeight="1" x14ac:dyDescent="0.35">
      <c r="R3352" s="74"/>
    </row>
    <row r="3353" spans="18:18" ht="12" customHeight="1" x14ac:dyDescent="0.35">
      <c r="R3353" s="74"/>
    </row>
    <row r="3354" spans="18:18" ht="12" customHeight="1" x14ac:dyDescent="0.35">
      <c r="R3354" s="74"/>
    </row>
    <row r="3355" spans="18:18" ht="12" customHeight="1" x14ac:dyDescent="0.35">
      <c r="R3355" s="74"/>
    </row>
    <row r="3356" spans="18:18" ht="12" customHeight="1" x14ac:dyDescent="0.35">
      <c r="R3356" s="74"/>
    </row>
    <row r="3357" spans="18:18" ht="12" customHeight="1" x14ac:dyDescent="0.35">
      <c r="R3357" s="74"/>
    </row>
    <row r="3358" spans="18:18" ht="12" customHeight="1" x14ac:dyDescent="0.35">
      <c r="R3358" s="74"/>
    </row>
    <row r="3359" spans="18:18" ht="12" customHeight="1" x14ac:dyDescent="0.35">
      <c r="R3359" s="74"/>
    </row>
    <row r="3360" spans="18:18" ht="12" customHeight="1" x14ac:dyDescent="0.35">
      <c r="R3360" s="74"/>
    </row>
    <row r="3361" spans="18:18" ht="12" customHeight="1" x14ac:dyDescent="0.35">
      <c r="R3361" s="74"/>
    </row>
    <row r="3362" spans="18:18" ht="12" customHeight="1" x14ac:dyDescent="0.35">
      <c r="R3362" s="74"/>
    </row>
    <row r="3363" spans="18:18" ht="12" customHeight="1" x14ac:dyDescent="0.35">
      <c r="R3363" s="74"/>
    </row>
    <row r="3364" spans="18:18" ht="12" customHeight="1" x14ac:dyDescent="0.35">
      <c r="R3364" s="74"/>
    </row>
    <row r="3365" spans="18:18" ht="12" customHeight="1" x14ac:dyDescent="0.35">
      <c r="R3365" s="74"/>
    </row>
    <row r="3366" spans="18:18" ht="12" customHeight="1" x14ac:dyDescent="0.35">
      <c r="R3366" s="74"/>
    </row>
    <row r="3367" spans="18:18" ht="12" customHeight="1" x14ac:dyDescent="0.35">
      <c r="R3367" s="74"/>
    </row>
    <row r="3368" spans="18:18" ht="12" customHeight="1" x14ac:dyDescent="0.35">
      <c r="R3368" s="74"/>
    </row>
    <row r="3369" spans="18:18" ht="12" customHeight="1" x14ac:dyDescent="0.35">
      <c r="R3369" s="74"/>
    </row>
    <row r="3370" spans="18:18" ht="12" customHeight="1" x14ac:dyDescent="0.35">
      <c r="R3370" s="74"/>
    </row>
    <row r="3371" spans="18:18" ht="12" customHeight="1" x14ac:dyDescent="0.35">
      <c r="R3371" s="74"/>
    </row>
    <row r="3372" spans="18:18" ht="12" customHeight="1" x14ac:dyDescent="0.35">
      <c r="R3372" s="74"/>
    </row>
    <row r="3373" spans="18:18" ht="12" customHeight="1" x14ac:dyDescent="0.35">
      <c r="R3373" s="74"/>
    </row>
    <row r="3374" spans="18:18" ht="12" customHeight="1" x14ac:dyDescent="0.35">
      <c r="R3374" s="74"/>
    </row>
    <row r="3375" spans="18:18" ht="12" customHeight="1" x14ac:dyDescent="0.35">
      <c r="R3375" s="74"/>
    </row>
    <row r="3376" spans="18:18" ht="12" customHeight="1" x14ac:dyDescent="0.35">
      <c r="R3376" s="74"/>
    </row>
    <row r="3377" spans="18:18" ht="12" customHeight="1" x14ac:dyDescent="0.35">
      <c r="R3377" s="74"/>
    </row>
    <row r="3378" spans="18:18" ht="12" customHeight="1" x14ac:dyDescent="0.35">
      <c r="R3378" s="74"/>
    </row>
    <row r="3379" spans="18:18" ht="12" customHeight="1" x14ac:dyDescent="0.35">
      <c r="R3379" s="74"/>
    </row>
    <row r="3380" spans="18:18" ht="12" customHeight="1" x14ac:dyDescent="0.35">
      <c r="R3380" s="74"/>
    </row>
    <row r="3381" spans="18:18" ht="12" customHeight="1" x14ac:dyDescent="0.35">
      <c r="R3381" s="74"/>
    </row>
    <row r="3382" spans="18:18" ht="12" customHeight="1" x14ac:dyDescent="0.35">
      <c r="R3382" s="74"/>
    </row>
    <row r="3383" spans="18:18" ht="12" customHeight="1" x14ac:dyDescent="0.35">
      <c r="R3383" s="74"/>
    </row>
    <row r="3384" spans="18:18" ht="12" customHeight="1" x14ac:dyDescent="0.35">
      <c r="R3384" s="74"/>
    </row>
    <row r="3385" spans="18:18" ht="12" customHeight="1" x14ac:dyDescent="0.35">
      <c r="R3385" s="74"/>
    </row>
    <row r="3386" spans="18:18" ht="12" customHeight="1" x14ac:dyDescent="0.35">
      <c r="R3386" s="74"/>
    </row>
    <row r="3387" spans="18:18" ht="12" customHeight="1" x14ac:dyDescent="0.35">
      <c r="R3387" s="74"/>
    </row>
    <row r="3388" spans="18:18" ht="12" customHeight="1" x14ac:dyDescent="0.35">
      <c r="R3388" s="74"/>
    </row>
    <row r="3389" spans="18:18" ht="12" customHeight="1" x14ac:dyDescent="0.35">
      <c r="R3389" s="74"/>
    </row>
    <row r="3390" spans="18:18" ht="12" customHeight="1" x14ac:dyDescent="0.35">
      <c r="R3390" s="74"/>
    </row>
    <row r="3391" spans="18:18" ht="12" customHeight="1" x14ac:dyDescent="0.35">
      <c r="R3391" s="74"/>
    </row>
    <row r="3392" spans="18:18" ht="12" customHeight="1" x14ac:dyDescent="0.35">
      <c r="R3392" s="74"/>
    </row>
    <row r="3393" spans="18:18" ht="12" customHeight="1" x14ac:dyDescent="0.35">
      <c r="R3393" s="74"/>
    </row>
    <row r="3394" spans="18:18" ht="12" customHeight="1" x14ac:dyDescent="0.35">
      <c r="R3394" s="74"/>
    </row>
    <row r="3395" spans="18:18" ht="12" customHeight="1" x14ac:dyDescent="0.35">
      <c r="R3395" s="74"/>
    </row>
    <row r="3396" spans="18:18" ht="12" customHeight="1" x14ac:dyDescent="0.35">
      <c r="R3396" s="74"/>
    </row>
    <row r="3397" spans="18:18" ht="12" customHeight="1" x14ac:dyDescent="0.35">
      <c r="R3397" s="74"/>
    </row>
    <row r="3398" spans="18:18" ht="12" customHeight="1" x14ac:dyDescent="0.35">
      <c r="R3398" s="74"/>
    </row>
    <row r="3399" spans="18:18" ht="12" customHeight="1" x14ac:dyDescent="0.35">
      <c r="R3399" s="74"/>
    </row>
    <row r="3400" spans="18:18" ht="12" customHeight="1" x14ac:dyDescent="0.35">
      <c r="R3400" s="74"/>
    </row>
    <row r="3401" spans="18:18" ht="12" customHeight="1" x14ac:dyDescent="0.35">
      <c r="R3401" s="74"/>
    </row>
    <row r="3402" spans="18:18" ht="12" customHeight="1" x14ac:dyDescent="0.35">
      <c r="R3402" s="74"/>
    </row>
    <row r="3403" spans="18:18" ht="12" customHeight="1" x14ac:dyDescent="0.35">
      <c r="R3403" s="74"/>
    </row>
    <row r="3404" spans="18:18" ht="12" customHeight="1" x14ac:dyDescent="0.35">
      <c r="R3404" s="74"/>
    </row>
    <row r="3405" spans="18:18" ht="12" customHeight="1" x14ac:dyDescent="0.35">
      <c r="R3405" s="74"/>
    </row>
    <row r="3406" spans="18:18" ht="12" customHeight="1" x14ac:dyDescent="0.35">
      <c r="R3406" s="74"/>
    </row>
    <row r="3407" spans="18:18" ht="12" customHeight="1" x14ac:dyDescent="0.35">
      <c r="R3407" s="74"/>
    </row>
    <row r="3408" spans="18:18" ht="12" customHeight="1" x14ac:dyDescent="0.35">
      <c r="R3408" s="74"/>
    </row>
    <row r="3409" spans="18:18" ht="12" customHeight="1" x14ac:dyDescent="0.35">
      <c r="R3409" s="74"/>
    </row>
    <row r="3410" spans="18:18" ht="12" customHeight="1" x14ac:dyDescent="0.35">
      <c r="R3410" s="74"/>
    </row>
    <row r="3411" spans="18:18" ht="12" customHeight="1" x14ac:dyDescent="0.35">
      <c r="R3411" s="74"/>
    </row>
    <row r="3412" spans="18:18" ht="12" customHeight="1" x14ac:dyDescent="0.35">
      <c r="R3412" s="74"/>
    </row>
    <row r="3413" spans="18:18" ht="12" customHeight="1" x14ac:dyDescent="0.35">
      <c r="R3413" s="74"/>
    </row>
    <row r="3414" spans="18:18" ht="12" customHeight="1" x14ac:dyDescent="0.35">
      <c r="R3414" s="74"/>
    </row>
    <row r="3415" spans="18:18" ht="12" customHeight="1" x14ac:dyDescent="0.35">
      <c r="R3415" s="74"/>
    </row>
    <row r="3416" spans="18:18" ht="12" customHeight="1" x14ac:dyDescent="0.35">
      <c r="R3416" s="74"/>
    </row>
    <row r="3417" spans="18:18" ht="12" customHeight="1" x14ac:dyDescent="0.35">
      <c r="R3417" s="74"/>
    </row>
    <row r="3418" spans="18:18" ht="12" customHeight="1" x14ac:dyDescent="0.35">
      <c r="R3418" s="74"/>
    </row>
    <row r="3419" spans="18:18" ht="12" customHeight="1" x14ac:dyDescent="0.35">
      <c r="R3419" s="74"/>
    </row>
    <row r="3420" spans="18:18" ht="12" customHeight="1" x14ac:dyDescent="0.35">
      <c r="R3420" s="74"/>
    </row>
    <row r="3421" spans="18:18" ht="12" customHeight="1" x14ac:dyDescent="0.35">
      <c r="R3421" s="74"/>
    </row>
    <row r="3422" spans="18:18" ht="12" customHeight="1" x14ac:dyDescent="0.35">
      <c r="R3422" s="74"/>
    </row>
    <row r="3423" spans="18:18" ht="12" customHeight="1" x14ac:dyDescent="0.35">
      <c r="R3423" s="74"/>
    </row>
    <row r="3424" spans="18:18" ht="12" customHeight="1" x14ac:dyDescent="0.35">
      <c r="R3424" s="74"/>
    </row>
    <row r="3425" spans="18:18" ht="12" customHeight="1" x14ac:dyDescent="0.35">
      <c r="R3425" s="74"/>
    </row>
    <row r="3426" spans="18:18" ht="12" customHeight="1" x14ac:dyDescent="0.35">
      <c r="R3426" s="74"/>
    </row>
    <row r="3427" spans="18:18" ht="12" customHeight="1" x14ac:dyDescent="0.35">
      <c r="R3427" s="74"/>
    </row>
    <row r="3428" spans="18:18" ht="12" customHeight="1" x14ac:dyDescent="0.35">
      <c r="R3428" s="74"/>
    </row>
    <row r="3429" spans="18:18" ht="12" customHeight="1" x14ac:dyDescent="0.35">
      <c r="R3429" s="74"/>
    </row>
    <row r="3430" spans="18:18" ht="12" customHeight="1" x14ac:dyDescent="0.35">
      <c r="R3430" s="74"/>
    </row>
    <row r="3431" spans="18:18" ht="12" customHeight="1" x14ac:dyDescent="0.35">
      <c r="R3431" s="74"/>
    </row>
    <row r="3432" spans="18:18" ht="12" customHeight="1" x14ac:dyDescent="0.35">
      <c r="R3432" s="74"/>
    </row>
    <row r="3433" spans="18:18" ht="12" customHeight="1" x14ac:dyDescent="0.35">
      <c r="R3433" s="74"/>
    </row>
    <row r="3434" spans="18:18" ht="12" customHeight="1" x14ac:dyDescent="0.35">
      <c r="R3434" s="74"/>
    </row>
    <row r="3435" spans="18:18" ht="12" customHeight="1" x14ac:dyDescent="0.35">
      <c r="R3435" s="74"/>
    </row>
    <row r="3436" spans="18:18" ht="12" customHeight="1" x14ac:dyDescent="0.35">
      <c r="R3436" s="74"/>
    </row>
    <row r="3437" spans="18:18" ht="12" customHeight="1" x14ac:dyDescent="0.35">
      <c r="R3437" s="74"/>
    </row>
    <row r="3438" spans="18:18" ht="12" customHeight="1" x14ac:dyDescent="0.35">
      <c r="R3438" s="74"/>
    </row>
    <row r="3439" spans="18:18" ht="12" customHeight="1" x14ac:dyDescent="0.35">
      <c r="R3439" s="74"/>
    </row>
    <row r="3440" spans="18:18" ht="12" customHeight="1" x14ac:dyDescent="0.35">
      <c r="R3440" s="74"/>
    </row>
    <row r="3441" spans="18:18" ht="12" customHeight="1" x14ac:dyDescent="0.35">
      <c r="R3441" s="74"/>
    </row>
    <row r="3442" spans="18:18" ht="12" customHeight="1" x14ac:dyDescent="0.35">
      <c r="R3442" s="74"/>
    </row>
    <row r="3443" spans="18:18" ht="12" customHeight="1" x14ac:dyDescent="0.35">
      <c r="R3443" s="74"/>
    </row>
    <row r="3444" spans="18:18" ht="12" customHeight="1" x14ac:dyDescent="0.35">
      <c r="R3444" s="74"/>
    </row>
    <row r="3445" spans="18:18" ht="12" customHeight="1" x14ac:dyDescent="0.35">
      <c r="R3445" s="74"/>
    </row>
    <row r="3446" spans="18:18" ht="12" customHeight="1" x14ac:dyDescent="0.35">
      <c r="R3446" s="74"/>
    </row>
    <row r="3447" spans="18:18" ht="12" customHeight="1" x14ac:dyDescent="0.35">
      <c r="R3447" s="74"/>
    </row>
    <row r="3448" spans="18:18" ht="12" customHeight="1" x14ac:dyDescent="0.35">
      <c r="R3448" s="74"/>
    </row>
    <row r="3449" spans="18:18" ht="12" customHeight="1" x14ac:dyDescent="0.35">
      <c r="R3449" s="74"/>
    </row>
    <row r="3450" spans="18:18" ht="12" customHeight="1" x14ac:dyDescent="0.35">
      <c r="R3450" s="74"/>
    </row>
    <row r="3451" spans="18:18" ht="12" customHeight="1" x14ac:dyDescent="0.35">
      <c r="R3451" s="74"/>
    </row>
    <row r="3452" spans="18:18" ht="12" customHeight="1" x14ac:dyDescent="0.35">
      <c r="R3452" s="74"/>
    </row>
    <row r="3453" spans="18:18" ht="12" customHeight="1" x14ac:dyDescent="0.35">
      <c r="R3453" s="74"/>
    </row>
    <row r="3454" spans="18:18" ht="12" customHeight="1" x14ac:dyDescent="0.35">
      <c r="R3454" s="74"/>
    </row>
    <row r="3455" spans="18:18" ht="12" customHeight="1" x14ac:dyDescent="0.35">
      <c r="R3455" s="74"/>
    </row>
    <row r="3456" spans="18:18" ht="12" customHeight="1" x14ac:dyDescent="0.35">
      <c r="R3456" s="74"/>
    </row>
    <row r="3457" spans="18:18" ht="12" customHeight="1" x14ac:dyDescent="0.35">
      <c r="R3457" s="74"/>
    </row>
    <row r="3458" spans="18:18" ht="12" customHeight="1" x14ac:dyDescent="0.35">
      <c r="R3458" s="74"/>
    </row>
    <row r="3459" spans="18:18" ht="12" customHeight="1" x14ac:dyDescent="0.35">
      <c r="R3459" s="74"/>
    </row>
    <row r="3460" spans="18:18" ht="12" customHeight="1" x14ac:dyDescent="0.35">
      <c r="R3460" s="74"/>
    </row>
    <row r="3461" spans="18:18" ht="12" customHeight="1" x14ac:dyDescent="0.35">
      <c r="R3461" s="74"/>
    </row>
    <row r="3462" spans="18:18" ht="12" customHeight="1" x14ac:dyDescent="0.35">
      <c r="R3462" s="74"/>
    </row>
    <row r="3463" spans="18:18" ht="12" customHeight="1" x14ac:dyDescent="0.35">
      <c r="R3463" s="74"/>
    </row>
    <row r="3464" spans="18:18" ht="12" customHeight="1" x14ac:dyDescent="0.35">
      <c r="R3464" s="74"/>
    </row>
    <row r="3465" spans="18:18" ht="12" customHeight="1" x14ac:dyDescent="0.35">
      <c r="R3465" s="74"/>
    </row>
    <row r="3466" spans="18:18" ht="12" customHeight="1" x14ac:dyDescent="0.35">
      <c r="R3466" s="74"/>
    </row>
    <row r="3467" spans="18:18" ht="12" customHeight="1" x14ac:dyDescent="0.35">
      <c r="R3467" s="74"/>
    </row>
    <row r="3468" spans="18:18" ht="12" customHeight="1" x14ac:dyDescent="0.35">
      <c r="R3468" s="74"/>
    </row>
    <row r="3469" spans="18:18" ht="12" customHeight="1" x14ac:dyDescent="0.35">
      <c r="R3469" s="74"/>
    </row>
    <row r="3470" spans="18:18" ht="12" customHeight="1" x14ac:dyDescent="0.35">
      <c r="R3470" s="74"/>
    </row>
    <row r="3471" spans="18:18" ht="12" customHeight="1" x14ac:dyDescent="0.35">
      <c r="R3471" s="74"/>
    </row>
    <row r="3472" spans="18:18" ht="12" customHeight="1" x14ac:dyDescent="0.35">
      <c r="R3472" s="74"/>
    </row>
    <row r="3473" spans="18:18" ht="12" customHeight="1" x14ac:dyDescent="0.35">
      <c r="R3473" s="74"/>
    </row>
    <row r="3474" spans="18:18" ht="12" customHeight="1" x14ac:dyDescent="0.35">
      <c r="R3474" s="74"/>
    </row>
    <row r="3475" spans="18:18" ht="12" customHeight="1" x14ac:dyDescent="0.35">
      <c r="R3475" s="74"/>
    </row>
    <row r="3476" spans="18:18" ht="12" customHeight="1" x14ac:dyDescent="0.35">
      <c r="R3476" s="74"/>
    </row>
    <row r="3477" spans="18:18" ht="12" customHeight="1" x14ac:dyDescent="0.35">
      <c r="R3477" s="74"/>
    </row>
    <row r="3478" spans="18:18" ht="12" customHeight="1" x14ac:dyDescent="0.35">
      <c r="R3478" s="74"/>
    </row>
    <row r="3479" spans="18:18" ht="12" customHeight="1" x14ac:dyDescent="0.35">
      <c r="R3479" s="74"/>
    </row>
    <row r="3480" spans="18:18" ht="12" customHeight="1" x14ac:dyDescent="0.35">
      <c r="R3480" s="74"/>
    </row>
    <row r="3481" spans="18:18" ht="12" customHeight="1" x14ac:dyDescent="0.35">
      <c r="R3481" s="74"/>
    </row>
    <row r="3482" spans="18:18" ht="12" customHeight="1" x14ac:dyDescent="0.35">
      <c r="R3482" s="74"/>
    </row>
    <row r="3483" spans="18:18" ht="12" customHeight="1" x14ac:dyDescent="0.35">
      <c r="R3483" s="74"/>
    </row>
    <row r="3484" spans="18:18" ht="12" customHeight="1" x14ac:dyDescent="0.35">
      <c r="R3484" s="74"/>
    </row>
    <row r="3485" spans="18:18" ht="12" customHeight="1" x14ac:dyDescent="0.35">
      <c r="R3485" s="74"/>
    </row>
    <row r="3486" spans="18:18" ht="12" customHeight="1" x14ac:dyDescent="0.35">
      <c r="R3486" s="74"/>
    </row>
    <row r="3487" spans="18:18" ht="12" customHeight="1" x14ac:dyDescent="0.35">
      <c r="R3487" s="74"/>
    </row>
    <row r="3488" spans="18:18" ht="12" customHeight="1" x14ac:dyDescent="0.35">
      <c r="R3488" s="74"/>
    </row>
    <row r="3489" spans="18:18" ht="12" customHeight="1" x14ac:dyDescent="0.35">
      <c r="R3489" s="74"/>
    </row>
    <row r="3490" spans="18:18" ht="12" customHeight="1" x14ac:dyDescent="0.35">
      <c r="R3490" s="74"/>
    </row>
    <row r="3491" spans="18:18" ht="12" customHeight="1" x14ac:dyDescent="0.35">
      <c r="R3491" s="74"/>
    </row>
    <row r="3492" spans="18:18" ht="12" customHeight="1" x14ac:dyDescent="0.35">
      <c r="R3492" s="74"/>
    </row>
    <row r="3493" spans="18:18" ht="12" customHeight="1" x14ac:dyDescent="0.35">
      <c r="R3493" s="74"/>
    </row>
    <row r="3494" spans="18:18" ht="12" customHeight="1" x14ac:dyDescent="0.35">
      <c r="R3494" s="74"/>
    </row>
    <row r="3495" spans="18:18" ht="12" customHeight="1" x14ac:dyDescent="0.35">
      <c r="R3495" s="74"/>
    </row>
    <row r="3496" spans="18:18" ht="12" customHeight="1" x14ac:dyDescent="0.35">
      <c r="R3496" s="74"/>
    </row>
    <row r="3497" spans="18:18" ht="12" customHeight="1" x14ac:dyDescent="0.35">
      <c r="R3497" s="74"/>
    </row>
    <row r="3498" spans="18:18" ht="12" customHeight="1" x14ac:dyDescent="0.35">
      <c r="R3498" s="74"/>
    </row>
    <row r="3499" spans="18:18" ht="12" customHeight="1" x14ac:dyDescent="0.35">
      <c r="R3499" s="74"/>
    </row>
    <row r="3500" spans="18:18" ht="12" customHeight="1" x14ac:dyDescent="0.35">
      <c r="R3500" s="74"/>
    </row>
    <row r="3501" spans="18:18" ht="12" customHeight="1" x14ac:dyDescent="0.35">
      <c r="R3501" s="74"/>
    </row>
    <row r="3502" spans="18:18" ht="12" customHeight="1" x14ac:dyDescent="0.35">
      <c r="R3502" s="74"/>
    </row>
    <row r="3503" spans="18:18" ht="12" customHeight="1" x14ac:dyDescent="0.35">
      <c r="R3503" s="74"/>
    </row>
    <row r="3504" spans="18:18" ht="12" customHeight="1" x14ac:dyDescent="0.35">
      <c r="R3504" s="74"/>
    </row>
    <row r="3505" spans="18:18" ht="12" customHeight="1" x14ac:dyDescent="0.35">
      <c r="R3505" s="74"/>
    </row>
    <row r="3506" spans="18:18" ht="12" customHeight="1" x14ac:dyDescent="0.35">
      <c r="R3506" s="74"/>
    </row>
    <row r="3507" spans="18:18" ht="12" customHeight="1" x14ac:dyDescent="0.35">
      <c r="R3507" s="74"/>
    </row>
    <row r="3508" spans="18:18" ht="12" customHeight="1" x14ac:dyDescent="0.35">
      <c r="R3508" s="74"/>
    </row>
    <row r="3509" spans="18:18" ht="12" customHeight="1" x14ac:dyDescent="0.35">
      <c r="R3509" s="74"/>
    </row>
    <row r="3510" spans="18:18" ht="12" customHeight="1" x14ac:dyDescent="0.35">
      <c r="R3510" s="74"/>
    </row>
    <row r="3511" spans="18:18" ht="12" customHeight="1" x14ac:dyDescent="0.35">
      <c r="R3511" s="74"/>
    </row>
    <row r="3512" spans="18:18" ht="12" customHeight="1" x14ac:dyDescent="0.35">
      <c r="R3512" s="74"/>
    </row>
    <row r="3513" spans="18:18" ht="12" customHeight="1" x14ac:dyDescent="0.35">
      <c r="R3513" s="74"/>
    </row>
    <row r="3514" spans="18:18" ht="12" customHeight="1" x14ac:dyDescent="0.35">
      <c r="R3514" s="74"/>
    </row>
    <row r="3515" spans="18:18" ht="12" customHeight="1" x14ac:dyDescent="0.35">
      <c r="R3515" s="74"/>
    </row>
    <row r="3516" spans="18:18" ht="12" customHeight="1" x14ac:dyDescent="0.35">
      <c r="R3516" s="74"/>
    </row>
    <row r="3517" spans="18:18" ht="12" customHeight="1" x14ac:dyDescent="0.35">
      <c r="R3517" s="74"/>
    </row>
    <row r="3518" spans="18:18" ht="12" customHeight="1" x14ac:dyDescent="0.35">
      <c r="R3518" s="74"/>
    </row>
    <row r="3519" spans="18:18" ht="12" customHeight="1" x14ac:dyDescent="0.35">
      <c r="R3519" s="74"/>
    </row>
    <row r="3520" spans="18:18" ht="12" customHeight="1" x14ac:dyDescent="0.35">
      <c r="R3520" s="74"/>
    </row>
    <row r="3521" spans="18:18" ht="12" customHeight="1" x14ac:dyDescent="0.35">
      <c r="R3521" s="74"/>
    </row>
    <row r="3522" spans="18:18" ht="12" customHeight="1" x14ac:dyDescent="0.35">
      <c r="R3522" s="74"/>
    </row>
    <row r="3523" spans="18:18" ht="12" customHeight="1" x14ac:dyDescent="0.35">
      <c r="R3523" s="74"/>
    </row>
    <row r="3524" spans="18:18" ht="12" customHeight="1" x14ac:dyDescent="0.35">
      <c r="R3524" s="74"/>
    </row>
    <row r="3525" spans="18:18" ht="12" customHeight="1" x14ac:dyDescent="0.35">
      <c r="R3525" s="74"/>
    </row>
    <row r="3526" spans="18:18" ht="12" customHeight="1" x14ac:dyDescent="0.35">
      <c r="R3526" s="74"/>
    </row>
    <row r="3527" spans="18:18" ht="12" customHeight="1" x14ac:dyDescent="0.35">
      <c r="R3527" s="74"/>
    </row>
    <row r="3528" spans="18:18" ht="12" customHeight="1" x14ac:dyDescent="0.35">
      <c r="R3528" s="74"/>
    </row>
    <row r="3529" spans="18:18" ht="12" customHeight="1" x14ac:dyDescent="0.35">
      <c r="R3529" s="74"/>
    </row>
    <row r="3530" spans="18:18" ht="12" customHeight="1" x14ac:dyDescent="0.35">
      <c r="R3530" s="74"/>
    </row>
    <row r="3531" spans="18:18" ht="12" customHeight="1" x14ac:dyDescent="0.35">
      <c r="R3531" s="74"/>
    </row>
    <row r="3532" spans="18:18" ht="12" customHeight="1" x14ac:dyDescent="0.35">
      <c r="R3532" s="74"/>
    </row>
    <row r="3533" spans="18:18" ht="12" customHeight="1" x14ac:dyDescent="0.35">
      <c r="R3533" s="74"/>
    </row>
    <row r="3534" spans="18:18" ht="12" customHeight="1" x14ac:dyDescent="0.35">
      <c r="R3534" s="74"/>
    </row>
    <row r="3535" spans="18:18" ht="12" customHeight="1" x14ac:dyDescent="0.35">
      <c r="R3535" s="74"/>
    </row>
    <row r="3536" spans="18:18" ht="12" customHeight="1" x14ac:dyDescent="0.35">
      <c r="R3536" s="74"/>
    </row>
    <row r="3537" spans="18:18" ht="12" customHeight="1" x14ac:dyDescent="0.35">
      <c r="R3537" s="74"/>
    </row>
    <row r="3538" spans="18:18" ht="12" customHeight="1" x14ac:dyDescent="0.35">
      <c r="R3538" s="74"/>
    </row>
    <row r="3539" spans="18:18" ht="12" customHeight="1" x14ac:dyDescent="0.35">
      <c r="R3539" s="74"/>
    </row>
    <row r="3540" spans="18:18" ht="12" customHeight="1" x14ac:dyDescent="0.35">
      <c r="R3540" s="74"/>
    </row>
    <row r="3541" spans="18:18" ht="12" customHeight="1" x14ac:dyDescent="0.35">
      <c r="R3541" s="74"/>
    </row>
    <row r="3542" spans="18:18" ht="12" customHeight="1" x14ac:dyDescent="0.35">
      <c r="R3542" s="74"/>
    </row>
    <row r="3543" spans="18:18" ht="12" customHeight="1" x14ac:dyDescent="0.35">
      <c r="R3543" s="74"/>
    </row>
    <row r="3544" spans="18:18" ht="12" customHeight="1" x14ac:dyDescent="0.35">
      <c r="R3544" s="74"/>
    </row>
    <row r="3545" spans="18:18" ht="12" customHeight="1" x14ac:dyDescent="0.35">
      <c r="R3545" s="74"/>
    </row>
    <row r="3546" spans="18:18" ht="12" customHeight="1" x14ac:dyDescent="0.35">
      <c r="R3546" s="74"/>
    </row>
    <row r="3547" spans="18:18" ht="12" customHeight="1" x14ac:dyDescent="0.35">
      <c r="R3547" s="74"/>
    </row>
    <row r="3548" spans="18:18" ht="12" customHeight="1" x14ac:dyDescent="0.35">
      <c r="R3548" s="74"/>
    </row>
    <row r="3549" spans="18:18" ht="12" customHeight="1" x14ac:dyDescent="0.35">
      <c r="R3549" s="74"/>
    </row>
    <row r="3550" spans="18:18" ht="12" customHeight="1" x14ac:dyDescent="0.35">
      <c r="R3550" s="74"/>
    </row>
    <row r="3551" spans="18:18" ht="12" customHeight="1" x14ac:dyDescent="0.35">
      <c r="R3551" s="74"/>
    </row>
    <row r="3552" spans="18:18" ht="12" customHeight="1" x14ac:dyDescent="0.35">
      <c r="R3552" s="74"/>
    </row>
    <row r="3553" spans="18:18" ht="12" customHeight="1" x14ac:dyDescent="0.35">
      <c r="R3553" s="74"/>
    </row>
    <row r="3554" spans="18:18" ht="12" customHeight="1" x14ac:dyDescent="0.35">
      <c r="R3554" s="74"/>
    </row>
    <row r="3555" spans="18:18" ht="12" customHeight="1" x14ac:dyDescent="0.35">
      <c r="R3555" s="74"/>
    </row>
    <row r="3556" spans="18:18" ht="12" customHeight="1" x14ac:dyDescent="0.35">
      <c r="R3556" s="74"/>
    </row>
    <row r="3557" spans="18:18" ht="12" customHeight="1" x14ac:dyDescent="0.35">
      <c r="R3557" s="74"/>
    </row>
    <row r="3558" spans="18:18" ht="12" customHeight="1" x14ac:dyDescent="0.35">
      <c r="R3558" s="74"/>
    </row>
    <row r="3559" spans="18:18" ht="12" customHeight="1" x14ac:dyDescent="0.35">
      <c r="R3559" s="74"/>
    </row>
    <row r="3560" spans="18:18" ht="12" customHeight="1" x14ac:dyDescent="0.35">
      <c r="R3560" s="74"/>
    </row>
    <row r="3561" spans="18:18" ht="12" customHeight="1" x14ac:dyDescent="0.35">
      <c r="R3561" s="74"/>
    </row>
    <row r="3562" spans="18:18" ht="12" customHeight="1" x14ac:dyDescent="0.35">
      <c r="R3562" s="74"/>
    </row>
    <row r="3563" spans="18:18" ht="12" customHeight="1" x14ac:dyDescent="0.35">
      <c r="R3563" s="74"/>
    </row>
    <row r="3564" spans="18:18" ht="12" customHeight="1" x14ac:dyDescent="0.35">
      <c r="R3564" s="74"/>
    </row>
    <row r="3565" spans="18:18" ht="12" customHeight="1" x14ac:dyDescent="0.35">
      <c r="R3565" s="74"/>
    </row>
    <row r="3566" spans="18:18" ht="12" customHeight="1" x14ac:dyDescent="0.35">
      <c r="R3566" s="74"/>
    </row>
    <row r="3567" spans="18:18" ht="12" customHeight="1" x14ac:dyDescent="0.35">
      <c r="R3567" s="74"/>
    </row>
    <row r="3568" spans="18:18" ht="12" customHeight="1" x14ac:dyDescent="0.35">
      <c r="R3568" s="74"/>
    </row>
    <row r="3569" spans="18:18" ht="12" customHeight="1" x14ac:dyDescent="0.35">
      <c r="R3569" s="74"/>
    </row>
    <row r="3570" spans="18:18" ht="12" customHeight="1" x14ac:dyDescent="0.35">
      <c r="R3570" s="74"/>
    </row>
    <row r="3571" spans="18:18" ht="12" customHeight="1" x14ac:dyDescent="0.35">
      <c r="R3571" s="74"/>
    </row>
    <row r="3572" spans="18:18" ht="12" customHeight="1" x14ac:dyDescent="0.35">
      <c r="R3572" s="74"/>
    </row>
    <row r="3573" spans="18:18" ht="12" customHeight="1" x14ac:dyDescent="0.35">
      <c r="R3573" s="74"/>
    </row>
    <row r="3574" spans="18:18" ht="12" customHeight="1" x14ac:dyDescent="0.35">
      <c r="R3574" s="74"/>
    </row>
    <row r="3575" spans="18:18" ht="12" customHeight="1" x14ac:dyDescent="0.35">
      <c r="R3575" s="74"/>
    </row>
    <row r="3576" spans="18:18" ht="12" customHeight="1" x14ac:dyDescent="0.35">
      <c r="R3576" s="74"/>
    </row>
    <row r="3577" spans="18:18" ht="12" customHeight="1" x14ac:dyDescent="0.35">
      <c r="R3577" s="74"/>
    </row>
    <row r="3578" spans="18:18" ht="12" customHeight="1" x14ac:dyDescent="0.35">
      <c r="R3578" s="74"/>
    </row>
    <row r="3579" spans="18:18" ht="12" customHeight="1" x14ac:dyDescent="0.35">
      <c r="R3579" s="74"/>
    </row>
    <row r="3580" spans="18:18" ht="12" customHeight="1" x14ac:dyDescent="0.35">
      <c r="R3580" s="74"/>
    </row>
    <row r="3581" spans="18:18" ht="12" customHeight="1" x14ac:dyDescent="0.35">
      <c r="R3581" s="74"/>
    </row>
    <row r="3582" spans="18:18" ht="12" customHeight="1" x14ac:dyDescent="0.35">
      <c r="R3582" s="74"/>
    </row>
    <row r="3583" spans="18:18" ht="12" customHeight="1" x14ac:dyDescent="0.35">
      <c r="R3583" s="74"/>
    </row>
    <row r="3584" spans="18:18" ht="12" customHeight="1" x14ac:dyDescent="0.35">
      <c r="R3584" s="74"/>
    </row>
    <row r="3585" spans="18:18" ht="12" customHeight="1" x14ac:dyDescent="0.35">
      <c r="R3585" s="74"/>
    </row>
    <row r="3586" spans="18:18" ht="12" customHeight="1" x14ac:dyDescent="0.35">
      <c r="R3586" s="74"/>
    </row>
    <row r="3587" spans="18:18" ht="12" customHeight="1" x14ac:dyDescent="0.35">
      <c r="R3587" s="74"/>
    </row>
    <row r="3588" spans="18:18" ht="12" customHeight="1" x14ac:dyDescent="0.35">
      <c r="R3588" s="74"/>
    </row>
    <row r="3589" spans="18:18" ht="12" customHeight="1" x14ac:dyDescent="0.35">
      <c r="R3589" s="74"/>
    </row>
    <row r="3590" spans="18:18" ht="12" customHeight="1" x14ac:dyDescent="0.35">
      <c r="R3590" s="74"/>
    </row>
    <row r="3591" spans="18:18" ht="12" customHeight="1" x14ac:dyDescent="0.35">
      <c r="R3591" s="74"/>
    </row>
    <row r="3592" spans="18:18" ht="12" customHeight="1" x14ac:dyDescent="0.35">
      <c r="R3592" s="74"/>
    </row>
    <row r="3593" spans="18:18" ht="12" customHeight="1" x14ac:dyDescent="0.35">
      <c r="R3593" s="74"/>
    </row>
    <row r="3594" spans="18:18" ht="12" customHeight="1" x14ac:dyDescent="0.35">
      <c r="R3594" s="74"/>
    </row>
    <row r="3595" spans="18:18" ht="12" customHeight="1" x14ac:dyDescent="0.35">
      <c r="R3595" s="74"/>
    </row>
    <row r="3596" spans="18:18" ht="12" customHeight="1" x14ac:dyDescent="0.35">
      <c r="R3596" s="74"/>
    </row>
    <row r="3597" spans="18:18" ht="12" customHeight="1" x14ac:dyDescent="0.35">
      <c r="R3597" s="74"/>
    </row>
    <row r="3598" spans="18:18" ht="12" customHeight="1" x14ac:dyDescent="0.35">
      <c r="R3598" s="74"/>
    </row>
    <row r="3599" spans="18:18" ht="12" customHeight="1" x14ac:dyDescent="0.35">
      <c r="R3599" s="74"/>
    </row>
    <row r="3600" spans="18:18" ht="12" customHeight="1" x14ac:dyDescent="0.35">
      <c r="R3600" s="74"/>
    </row>
    <row r="3601" spans="18:18" ht="12" customHeight="1" x14ac:dyDescent="0.35">
      <c r="R3601" s="74"/>
    </row>
    <row r="3602" spans="18:18" ht="12" customHeight="1" x14ac:dyDescent="0.35">
      <c r="R3602" s="74"/>
    </row>
    <row r="3603" spans="18:18" ht="12" customHeight="1" x14ac:dyDescent="0.35">
      <c r="R3603" s="74"/>
    </row>
    <row r="3604" spans="18:18" ht="12" customHeight="1" x14ac:dyDescent="0.35">
      <c r="R3604" s="74"/>
    </row>
    <row r="3605" spans="18:18" ht="12" customHeight="1" x14ac:dyDescent="0.35">
      <c r="R3605" s="74"/>
    </row>
    <row r="3606" spans="18:18" ht="12" customHeight="1" x14ac:dyDescent="0.35">
      <c r="R3606" s="74"/>
    </row>
    <row r="3607" spans="18:18" ht="12" customHeight="1" x14ac:dyDescent="0.35">
      <c r="R3607" s="74"/>
    </row>
    <row r="3608" spans="18:18" ht="12" customHeight="1" x14ac:dyDescent="0.35">
      <c r="R3608" s="74"/>
    </row>
    <row r="3609" spans="18:18" ht="12" customHeight="1" x14ac:dyDescent="0.35">
      <c r="R3609" s="74"/>
    </row>
    <row r="3610" spans="18:18" ht="12" customHeight="1" x14ac:dyDescent="0.35">
      <c r="R3610" s="74"/>
    </row>
    <row r="3611" spans="18:18" ht="12" customHeight="1" x14ac:dyDescent="0.35">
      <c r="R3611" s="74"/>
    </row>
    <row r="3612" spans="18:18" ht="12" customHeight="1" x14ac:dyDescent="0.35">
      <c r="R3612" s="74"/>
    </row>
    <row r="3613" spans="18:18" ht="12" customHeight="1" x14ac:dyDescent="0.35">
      <c r="R3613" s="74"/>
    </row>
    <row r="3614" spans="18:18" ht="12" customHeight="1" x14ac:dyDescent="0.35">
      <c r="R3614" s="74"/>
    </row>
    <row r="3615" spans="18:18" ht="12" customHeight="1" x14ac:dyDescent="0.35">
      <c r="R3615" s="74"/>
    </row>
    <row r="3616" spans="18:18" ht="12" customHeight="1" x14ac:dyDescent="0.35">
      <c r="R3616" s="74"/>
    </row>
    <row r="3617" spans="18:18" ht="12" customHeight="1" x14ac:dyDescent="0.35">
      <c r="R3617" s="74"/>
    </row>
    <row r="3618" spans="18:18" ht="12" customHeight="1" x14ac:dyDescent="0.35">
      <c r="R3618" s="74"/>
    </row>
    <row r="3619" spans="18:18" ht="12" customHeight="1" x14ac:dyDescent="0.35">
      <c r="R3619" s="74"/>
    </row>
    <row r="3620" spans="18:18" ht="12" customHeight="1" x14ac:dyDescent="0.35">
      <c r="R3620" s="74"/>
    </row>
    <row r="3621" spans="18:18" ht="12" customHeight="1" x14ac:dyDescent="0.35">
      <c r="R3621" s="74"/>
    </row>
    <row r="3622" spans="18:18" ht="12" customHeight="1" x14ac:dyDescent="0.35">
      <c r="R3622" s="74"/>
    </row>
    <row r="3623" spans="18:18" ht="12" customHeight="1" x14ac:dyDescent="0.35">
      <c r="R3623" s="74"/>
    </row>
    <row r="3624" spans="18:18" ht="12" customHeight="1" x14ac:dyDescent="0.35">
      <c r="R3624" s="74"/>
    </row>
    <row r="3625" spans="18:18" ht="12" customHeight="1" x14ac:dyDescent="0.35">
      <c r="R3625" s="74"/>
    </row>
    <row r="3626" spans="18:18" ht="12" customHeight="1" x14ac:dyDescent="0.35">
      <c r="R3626" s="74"/>
    </row>
    <row r="3627" spans="18:18" ht="12" customHeight="1" x14ac:dyDescent="0.35">
      <c r="R3627" s="74"/>
    </row>
    <row r="3628" spans="18:18" ht="12" customHeight="1" x14ac:dyDescent="0.35">
      <c r="R3628" s="74"/>
    </row>
    <row r="3629" spans="18:18" ht="12" customHeight="1" x14ac:dyDescent="0.35">
      <c r="R3629" s="74"/>
    </row>
    <row r="3630" spans="18:18" ht="12" customHeight="1" x14ac:dyDescent="0.35">
      <c r="R3630" s="74"/>
    </row>
    <row r="3631" spans="18:18" ht="12" customHeight="1" x14ac:dyDescent="0.35">
      <c r="R3631" s="74"/>
    </row>
    <row r="3632" spans="18:18" ht="12" customHeight="1" x14ac:dyDescent="0.35">
      <c r="R3632" s="74"/>
    </row>
    <row r="3633" spans="18:18" ht="12" customHeight="1" x14ac:dyDescent="0.35">
      <c r="R3633" s="74"/>
    </row>
    <row r="3634" spans="18:18" ht="12" customHeight="1" x14ac:dyDescent="0.35">
      <c r="R3634" s="74"/>
    </row>
    <row r="3635" spans="18:18" ht="12" customHeight="1" x14ac:dyDescent="0.35">
      <c r="R3635" s="74"/>
    </row>
    <row r="3636" spans="18:18" ht="12" customHeight="1" x14ac:dyDescent="0.35">
      <c r="R3636" s="74"/>
    </row>
    <row r="3637" spans="18:18" ht="12" customHeight="1" x14ac:dyDescent="0.35">
      <c r="R3637" s="74"/>
    </row>
    <row r="3638" spans="18:18" ht="12" customHeight="1" x14ac:dyDescent="0.35">
      <c r="R3638" s="74"/>
    </row>
    <row r="3639" spans="18:18" ht="12" customHeight="1" x14ac:dyDescent="0.35">
      <c r="R3639" s="74"/>
    </row>
    <row r="3640" spans="18:18" ht="12" customHeight="1" x14ac:dyDescent="0.35">
      <c r="R3640" s="74"/>
    </row>
    <row r="3641" spans="18:18" ht="12" customHeight="1" x14ac:dyDescent="0.35">
      <c r="R3641" s="74"/>
    </row>
    <row r="3642" spans="18:18" ht="12" customHeight="1" x14ac:dyDescent="0.35">
      <c r="R3642" s="74"/>
    </row>
    <row r="3643" spans="18:18" ht="12" customHeight="1" x14ac:dyDescent="0.35">
      <c r="R3643" s="74"/>
    </row>
    <row r="3644" spans="18:18" ht="12" customHeight="1" x14ac:dyDescent="0.35">
      <c r="R3644" s="74"/>
    </row>
    <row r="3645" spans="18:18" ht="12" customHeight="1" x14ac:dyDescent="0.35">
      <c r="R3645" s="74"/>
    </row>
    <row r="3646" spans="18:18" ht="12" customHeight="1" x14ac:dyDescent="0.35">
      <c r="R3646" s="74"/>
    </row>
    <row r="3647" spans="18:18" ht="12" customHeight="1" x14ac:dyDescent="0.35">
      <c r="R3647" s="74"/>
    </row>
    <row r="3648" spans="18:18" ht="12" customHeight="1" x14ac:dyDescent="0.35">
      <c r="R3648" s="74"/>
    </row>
    <row r="3649" spans="18:18" ht="12" customHeight="1" x14ac:dyDescent="0.35">
      <c r="R3649" s="74"/>
    </row>
    <row r="3650" spans="18:18" ht="12" customHeight="1" x14ac:dyDescent="0.35">
      <c r="R3650" s="74"/>
    </row>
    <row r="3651" spans="18:18" ht="12" customHeight="1" x14ac:dyDescent="0.35">
      <c r="R3651" s="74"/>
    </row>
    <row r="3652" spans="18:18" ht="12" customHeight="1" x14ac:dyDescent="0.35">
      <c r="R3652" s="74"/>
    </row>
    <row r="3653" spans="18:18" ht="12" customHeight="1" x14ac:dyDescent="0.35">
      <c r="R3653" s="74"/>
    </row>
    <row r="3654" spans="18:18" ht="12" customHeight="1" x14ac:dyDescent="0.35">
      <c r="R3654" s="74"/>
    </row>
    <row r="3655" spans="18:18" ht="12" customHeight="1" x14ac:dyDescent="0.35">
      <c r="R3655" s="74"/>
    </row>
    <row r="3656" spans="18:18" ht="12" customHeight="1" x14ac:dyDescent="0.35">
      <c r="R3656" s="74"/>
    </row>
    <row r="3657" spans="18:18" ht="12" customHeight="1" x14ac:dyDescent="0.35">
      <c r="R3657" s="74"/>
    </row>
    <row r="3658" spans="18:18" ht="12" customHeight="1" x14ac:dyDescent="0.35">
      <c r="R3658" s="74"/>
    </row>
    <row r="3659" spans="18:18" ht="12" customHeight="1" x14ac:dyDescent="0.35">
      <c r="R3659" s="74"/>
    </row>
    <row r="3660" spans="18:18" ht="12" customHeight="1" x14ac:dyDescent="0.35">
      <c r="R3660" s="74"/>
    </row>
    <row r="3661" spans="18:18" ht="12" customHeight="1" x14ac:dyDescent="0.35">
      <c r="R3661" s="74"/>
    </row>
    <row r="3662" spans="18:18" ht="12" customHeight="1" x14ac:dyDescent="0.35">
      <c r="R3662" s="74"/>
    </row>
    <row r="3663" spans="18:18" ht="12" customHeight="1" x14ac:dyDescent="0.35">
      <c r="R3663" s="74"/>
    </row>
    <row r="3664" spans="18:18" ht="12" customHeight="1" x14ac:dyDescent="0.35">
      <c r="R3664" s="74"/>
    </row>
    <row r="3665" spans="18:18" ht="12" customHeight="1" x14ac:dyDescent="0.35">
      <c r="R3665" s="74"/>
    </row>
    <row r="3666" spans="18:18" ht="12" customHeight="1" x14ac:dyDescent="0.35">
      <c r="R3666" s="74"/>
    </row>
    <row r="3667" spans="18:18" ht="12" customHeight="1" x14ac:dyDescent="0.35">
      <c r="R3667" s="74"/>
    </row>
    <row r="3668" spans="18:18" ht="12" customHeight="1" x14ac:dyDescent="0.35">
      <c r="R3668" s="74"/>
    </row>
    <row r="3669" spans="18:18" ht="12" customHeight="1" x14ac:dyDescent="0.35">
      <c r="R3669" s="74"/>
    </row>
    <row r="3670" spans="18:18" ht="12" customHeight="1" x14ac:dyDescent="0.35">
      <c r="R3670" s="74"/>
    </row>
    <row r="3671" spans="18:18" ht="12" customHeight="1" x14ac:dyDescent="0.35">
      <c r="R3671" s="74"/>
    </row>
    <row r="3672" spans="18:18" ht="12" customHeight="1" x14ac:dyDescent="0.35">
      <c r="R3672" s="74"/>
    </row>
    <row r="3673" spans="18:18" ht="12" customHeight="1" x14ac:dyDescent="0.35">
      <c r="R3673" s="74"/>
    </row>
    <row r="3674" spans="18:18" ht="12" customHeight="1" x14ac:dyDescent="0.35">
      <c r="R3674" s="74"/>
    </row>
    <row r="3675" spans="18:18" ht="12" customHeight="1" x14ac:dyDescent="0.35">
      <c r="R3675" s="74"/>
    </row>
    <row r="3676" spans="18:18" ht="12" customHeight="1" x14ac:dyDescent="0.35">
      <c r="R3676" s="74"/>
    </row>
    <row r="3677" spans="18:18" ht="12" customHeight="1" x14ac:dyDescent="0.35">
      <c r="R3677" s="74"/>
    </row>
    <row r="3678" spans="18:18" ht="12" customHeight="1" x14ac:dyDescent="0.35">
      <c r="R3678" s="74"/>
    </row>
    <row r="3679" spans="18:18" ht="12" customHeight="1" x14ac:dyDescent="0.35">
      <c r="R3679" s="74"/>
    </row>
    <row r="3680" spans="18:18" ht="12" customHeight="1" x14ac:dyDescent="0.35">
      <c r="R3680" s="74"/>
    </row>
    <row r="3681" spans="18:18" ht="12" customHeight="1" x14ac:dyDescent="0.35">
      <c r="R3681" s="74"/>
    </row>
    <row r="3682" spans="18:18" ht="12" customHeight="1" x14ac:dyDescent="0.35">
      <c r="R3682" s="74"/>
    </row>
    <row r="3683" spans="18:18" ht="12" customHeight="1" x14ac:dyDescent="0.35">
      <c r="R3683" s="74"/>
    </row>
    <row r="3684" spans="18:18" ht="12" customHeight="1" x14ac:dyDescent="0.35">
      <c r="R3684" s="74"/>
    </row>
    <row r="3685" spans="18:18" ht="12" customHeight="1" x14ac:dyDescent="0.35">
      <c r="R3685" s="74"/>
    </row>
    <row r="3686" spans="18:18" ht="12" customHeight="1" x14ac:dyDescent="0.35">
      <c r="R3686" s="74"/>
    </row>
    <row r="3687" spans="18:18" ht="12" customHeight="1" x14ac:dyDescent="0.35">
      <c r="R3687" s="74"/>
    </row>
    <row r="3688" spans="18:18" ht="12" customHeight="1" x14ac:dyDescent="0.35">
      <c r="R3688" s="74"/>
    </row>
    <row r="3689" spans="18:18" ht="12" customHeight="1" x14ac:dyDescent="0.35">
      <c r="R3689" s="74"/>
    </row>
    <row r="3690" spans="18:18" ht="12" customHeight="1" x14ac:dyDescent="0.35">
      <c r="R3690" s="74"/>
    </row>
    <row r="3691" spans="18:18" ht="12" customHeight="1" x14ac:dyDescent="0.35">
      <c r="R3691" s="74"/>
    </row>
    <row r="3692" spans="18:18" ht="12" customHeight="1" x14ac:dyDescent="0.35">
      <c r="R3692" s="74"/>
    </row>
    <row r="3693" spans="18:18" ht="12" customHeight="1" x14ac:dyDescent="0.35">
      <c r="R3693" s="74"/>
    </row>
    <row r="3694" spans="18:18" ht="12" customHeight="1" x14ac:dyDescent="0.35">
      <c r="R3694" s="74"/>
    </row>
    <row r="3695" spans="18:18" ht="12" customHeight="1" x14ac:dyDescent="0.35">
      <c r="R3695" s="74"/>
    </row>
    <row r="3696" spans="18:18" ht="12" customHeight="1" x14ac:dyDescent="0.35">
      <c r="R3696" s="74"/>
    </row>
    <row r="3697" spans="18:18" ht="12" customHeight="1" x14ac:dyDescent="0.35">
      <c r="R3697" s="74"/>
    </row>
    <row r="3698" spans="18:18" ht="12" customHeight="1" x14ac:dyDescent="0.35">
      <c r="R3698" s="74"/>
    </row>
    <row r="3699" spans="18:18" ht="12" customHeight="1" x14ac:dyDescent="0.35">
      <c r="R3699" s="74"/>
    </row>
    <row r="3700" spans="18:18" ht="12" customHeight="1" x14ac:dyDescent="0.35">
      <c r="R3700" s="74"/>
    </row>
    <row r="3701" spans="18:18" ht="12" customHeight="1" x14ac:dyDescent="0.35">
      <c r="R3701" s="74"/>
    </row>
    <row r="3702" spans="18:18" ht="12" customHeight="1" x14ac:dyDescent="0.35">
      <c r="R3702" s="74"/>
    </row>
    <row r="3703" spans="18:18" ht="12" customHeight="1" x14ac:dyDescent="0.35">
      <c r="R3703" s="74"/>
    </row>
    <row r="3704" spans="18:18" ht="12" customHeight="1" x14ac:dyDescent="0.35">
      <c r="R3704" s="74"/>
    </row>
    <row r="3705" spans="18:18" ht="12" customHeight="1" x14ac:dyDescent="0.35">
      <c r="R3705" s="74"/>
    </row>
    <row r="3706" spans="18:18" ht="12" customHeight="1" x14ac:dyDescent="0.35">
      <c r="R3706" s="74"/>
    </row>
    <row r="3707" spans="18:18" ht="12" customHeight="1" x14ac:dyDescent="0.35">
      <c r="R3707" s="74"/>
    </row>
    <row r="3708" spans="18:18" ht="12" customHeight="1" x14ac:dyDescent="0.35">
      <c r="R3708" s="74"/>
    </row>
    <row r="3709" spans="18:18" ht="12" customHeight="1" x14ac:dyDescent="0.35">
      <c r="R3709" s="74"/>
    </row>
    <row r="3710" spans="18:18" ht="12" customHeight="1" x14ac:dyDescent="0.35">
      <c r="R3710" s="74"/>
    </row>
    <row r="3711" spans="18:18" ht="12" customHeight="1" x14ac:dyDescent="0.35">
      <c r="R3711" s="74"/>
    </row>
    <row r="3712" spans="18:18" ht="12" customHeight="1" x14ac:dyDescent="0.35">
      <c r="R3712" s="74"/>
    </row>
    <row r="3713" spans="18:18" ht="12" customHeight="1" x14ac:dyDescent="0.35">
      <c r="R3713" s="74"/>
    </row>
    <row r="3714" spans="18:18" ht="12" customHeight="1" x14ac:dyDescent="0.35">
      <c r="R3714" s="74"/>
    </row>
    <row r="3715" spans="18:18" ht="12" customHeight="1" x14ac:dyDescent="0.35">
      <c r="R3715" s="74"/>
    </row>
    <row r="3716" spans="18:18" ht="12" customHeight="1" x14ac:dyDescent="0.35">
      <c r="R3716" s="74"/>
    </row>
    <row r="3717" spans="18:18" ht="12" customHeight="1" x14ac:dyDescent="0.35">
      <c r="R3717" s="74"/>
    </row>
    <row r="3718" spans="18:18" ht="12" customHeight="1" x14ac:dyDescent="0.35">
      <c r="R3718" s="74"/>
    </row>
    <row r="3719" spans="18:18" ht="12" customHeight="1" x14ac:dyDescent="0.35">
      <c r="R3719" s="74"/>
    </row>
    <row r="3720" spans="18:18" ht="12" customHeight="1" x14ac:dyDescent="0.35">
      <c r="R3720" s="74"/>
    </row>
    <row r="3721" spans="18:18" ht="12" customHeight="1" x14ac:dyDescent="0.35">
      <c r="R3721" s="74"/>
    </row>
    <row r="3722" spans="18:18" ht="12" customHeight="1" x14ac:dyDescent="0.35">
      <c r="R3722" s="74"/>
    </row>
    <row r="3723" spans="18:18" ht="12" customHeight="1" x14ac:dyDescent="0.35">
      <c r="R3723" s="74"/>
    </row>
    <row r="3724" spans="18:18" ht="12" customHeight="1" x14ac:dyDescent="0.35">
      <c r="R3724" s="74"/>
    </row>
    <row r="3725" spans="18:18" ht="12" customHeight="1" x14ac:dyDescent="0.35">
      <c r="R3725" s="74"/>
    </row>
    <row r="3726" spans="18:18" ht="12" customHeight="1" x14ac:dyDescent="0.35">
      <c r="R3726" s="74"/>
    </row>
    <row r="3727" spans="18:18" ht="12" customHeight="1" x14ac:dyDescent="0.35">
      <c r="R3727" s="74"/>
    </row>
    <row r="3728" spans="18:18" ht="12" customHeight="1" x14ac:dyDescent="0.35">
      <c r="R3728" s="74"/>
    </row>
    <row r="3729" spans="18:18" ht="12" customHeight="1" x14ac:dyDescent="0.35">
      <c r="R3729" s="74"/>
    </row>
    <row r="3730" spans="18:18" ht="12" customHeight="1" x14ac:dyDescent="0.35">
      <c r="R3730" s="74"/>
    </row>
    <row r="3731" spans="18:18" ht="12" customHeight="1" x14ac:dyDescent="0.35">
      <c r="R3731" s="74"/>
    </row>
    <row r="3732" spans="18:18" ht="12" customHeight="1" x14ac:dyDescent="0.35">
      <c r="R3732" s="74"/>
    </row>
    <row r="3733" spans="18:18" ht="12" customHeight="1" x14ac:dyDescent="0.35">
      <c r="R3733" s="74"/>
    </row>
    <row r="3734" spans="18:18" ht="12" customHeight="1" x14ac:dyDescent="0.35">
      <c r="R3734" s="74"/>
    </row>
    <row r="3735" spans="18:18" ht="12" customHeight="1" x14ac:dyDescent="0.35">
      <c r="R3735" s="74"/>
    </row>
    <row r="3736" spans="18:18" ht="12" customHeight="1" x14ac:dyDescent="0.35">
      <c r="R3736" s="74"/>
    </row>
    <row r="3737" spans="18:18" ht="12" customHeight="1" x14ac:dyDescent="0.35">
      <c r="R3737" s="74"/>
    </row>
    <row r="3738" spans="18:18" ht="12" customHeight="1" x14ac:dyDescent="0.35">
      <c r="R3738" s="74"/>
    </row>
    <row r="3739" spans="18:18" ht="12" customHeight="1" x14ac:dyDescent="0.35">
      <c r="R3739" s="74"/>
    </row>
    <row r="3740" spans="18:18" ht="12" customHeight="1" x14ac:dyDescent="0.35">
      <c r="R3740" s="74"/>
    </row>
    <row r="3741" spans="18:18" ht="12" customHeight="1" x14ac:dyDescent="0.35">
      <c r="R3741" s="74"/>
    </row>
    <row r="3742" spans="18:18" ht="12" customHeight="1" x14ac:dyDescent="0.35">
      <c r="R3742" s="74"/>
    </row>
    <row r="3743" spans="18:18" ht="12" customHeight="1" x14ac:dyDescent="0.35">
      <c r="R3743" s="74"/>
    </row>
    <row r="3744" spans="18:18" ht="12" customHeight="1" x14ac:dyDescent="0.35">
      <c r="R3744" s="74"/>
    </row>
    <row r="3745" spans="18:18" ht="12" customHeight="1" x14ac:dyDescent="0.35">
      <c r="R3745" s="74"/>
    </row>
    <row r="3746" spans="18:18" ht="12" customHeight="1" x14ac:dyDescent="0.35">
      <c r="R3746" s="74"/>
    </row>
    <row r="3747" spans="18:18" ht="12" customHeight="1" x14ac:dyDescent="0.35">
      <c r="R3747" s="74"/>
    </row>
    <row r="3748" spans="18:18" ht="12" customHeight="1" x14ac:dyDescent="0.35">
      <c r="R3748" s="74"/>
    </row>
    <row r="3749" spans="18:18" ht="12" customHeight="1" x14ac:dyDescent="0.35">
      <c r="R3749" s="74"/>
    </row>
    <row r="3750" spans="18:18" ht="12" customHeight="1" x14ac:dyDescent="0.35">
      <c r="R3750" s="74"/>
    </row>
    <row r="3751" spans="18:18" ht="12" customHeight="1" x14ac:dyDescent="0.35">
      <c r="R3751" s="74"/>
    </row>
    <row r="3752" spans="18:18" ht="12" customHeight="1" x14ac:dyDescent="0.35">
      <c r="R3752" s="74"/>
    </row>
    <row r="3753" spans="18:18" ht="12" customHeight="1" x14ac:dyDescent="0.35">
      <c r="R3753" s="74"/>
    </row>
    <row r="3754" spans="18:18" ht="12" customHeight="1" x14ac:dyDescent="0.35">
      <c r="R3754" s="74"/>
    </row>
    <row r="3755" spans="18:18" ht="12" customHeight="1" x14ac:dyDescent="0.35">
      <c r="R3755" s="74"/>
    </row>
    <row r="3756" spans="18:18" ht="12" customHeight="1" x14ac:dyDescent="0.35">
      <c r="R3756" s="74"/>
    </row>
    <row r="3757" spans="18:18" ht="12" customHeight="1" x14ac:dyDescent="0.35">
      <c r="R3757" s="74"/>
    </row>
    <row r="3758" spans="18:18" ht="12" customHeight="1" x14ac:dyDescent="0.35">
      <c r="R3758" s="74"/>
    </row>
    <row r="3759" spans="18:18" ht="12" customHeight="1" x14ac:dyDescent="0.35">
      <c r="R3759" s="74"/>
    </row>
    <row r="3760" spans="18:18" ht="12" customHeight="1" x14ac:dyDescent="0.35">
      <c r="R3760" s="74"/>
    </row>
    <row r="3761" spans="18:18" ht="12" customHeight="1" x14ac:dyDescent="0.35">
      <c r="R3761" s="74"/>
    </row>
    <row r="3762" spans="18:18" ht="12" customHeight="1" x14ac:dyDescent="0.35">
      <c r="R3762" s="74"/>
    </row>
    <row r="3763" spans="18:18" ht="12" customHeight="1" x14ac:dyDescent="0.35">
      <c r="R3763" s="74"/>
    </row>
    <row r="3764" spans="18:18" ht="12" customHeight="1" x14ac:dyDescent="0.35">
      <c r="R3764" s="74"/>
    </row>
    <row r="3765" spans="18:18" ht="12" customHeight="1" x14ac:dyDescent="0.35">
      <c r="R3765" s="74"/>
    </row>
    <row r="3766" spans="18:18" ht="12" customHeight="1" x14ac:dyDescent="0.35">
      <c r="R3766" s="74"/>
    </row>
    <row r="3767" spans="18:18" ht="12" customHeight="1" x14ac:dyDescent="0.35">
      <c r="R3767" s="74"/>
    </row>
    <row r="3768" spans="18:18" ht="12" customHeight="1" x14ac:dyDescent="0.35">
      <c r="R3768" s="74"/>
    </row>
    <row r="3769" spans="18:18" ht="12" customHeight="1" x14ac:dyDescent="0.35">
      <c r="R3769" s="74"/>
    </row>
    <row r="3770" spans="18:18" ht="12" customHeight="1" x14ac:dyDescent="0.35">
      <c r="R3770" s="74"/>
    </row>
    <row r="3771" spans="18:18" ht="12" customHeight="1" x14ac:dyDescent="0.35">
      <c r="R3771" s="74"/>
    </row>
    <row r="3772" spans="18:18" ht="12" customHeight="1" x14ac:dyDescent="0.35">
      <c r="R3772" s="74"/>
    </row>
    <row r="3773" spans="18:18" ht="12" customHeight="1" x14ac:dyDescent="0.35">
      <c r="R3773" s="74"/>
    </row>
    <row r="3774" spans="18:18" ht="12" customHeight="1" x14ac:dyDescent="0.35">
      <c r="R3774" s="74"/>
    </row>
    <row r="3775" spans="18:18" ht="12" customHeight="1" x14ac:dyDescent="0.35">
      <c r="R3775" s="74"/>
    </row>
    <row r="3776" spans="18:18" ht="12" customHeight="1" x14ac:dyDescent="0.35">
      <c r="R3776" s="74"/>
    </row>
    <row r="3777" spans="18:18" ht="12" customHeight="1" x14ac:dyDescent="0.35">
      <c r="R3777" s="74"/>
    </row>
    <row r="3778" spans="18:18" ht="12" customHeight="1" x14ac:dyDescent="0.35">
      <c r="R3778" s="74"/>
    </row>
    <row r="3779" spans="18:18" ht="12" customHeight="1" x14ac:dyDescent="0.35">
      <c r="R3779" s="74"/>
    </row>
    <row r="3780" spans="18:18" ht="12" customHeight="1" x14ac:dyDescent="0.35">
      <c r="R3780" s="74"/>
    </row>
    <row r="3781" spans="18:18" ht="12" customHeight="1" x14ac:dyDescent="0.35">
      <c r="R3781" s="74"/>
    </row>
    <row r="3782" spans="18:18" ht="12" customHeight="1" x14ac:dyDescent="0.35">
      <c r="R3782" s="74"/>
    </row>
    <row r="3783" spans="18:18" ht="12" customHeight="1" x14ac:dyDescent="0.35">
      <c r="R3783" s="74"/>
    </row>
    <row r="3784" spans="18:18" ht="12" customHeight="1" x14ac:dyDescent="0.35">
      <c r="R3784" s="74"/>
    </row>
    <row r="3785" spans="18:18" ht="12" customHeight="1" x14ac:dyDescent="0.35">
      <c r="R3785" s="74"/>
    </row>
    <row r="3786" spans="18:18" ht="12" customHeight="1" x14ac:dyDescent="0.35">
      <c r="R3786" s="74"/>
    </row>
    <row r="3787" spans="18:18" ht="12" customHeight="1" x14ac:dyDescent="0.35">
      <c r="R3787" s="74"/>
    </row>
    <row r="3788" spans="18:18" ht="12" customHeight="1" x14ac:dyDescent="0.35">
      <c r="R3788" s="74"/>
    </row>
    <row r="3789" spans="18:18" ht="12" customHeight="1" x14ac:dyDescent="0.35">
      <c r="R3789" s="74"/>
    </row>
    <row r="3790" spans="18:18" ht="12" customHeight="1" x14ac:dyDescent="0.35">
      <c r="R3790" s="74"/>
    </row>
    <row r="3791" spans="18:18" ht="12" customHeight="1" x14ac:dyDescent="0.35">
      <c r="R3791" s="74"/>
    </row>
    <row r="3792" spans="18:18" ht="12" customHeight="1" x14ac:dyDescent="0.35">
      <c r="R3792" s="74"/>
    </row>
    <row r="3793" spans="18:18" ht="12" customHeight="1" x14ac:dyDescent="0.35">
      <c r="R3793" s="74"/>
    </row>
    <row r="3794" spans="18:18" ht="12" customHeight="1" x14ac:dyDescent="0.35">
      <c r="R3794" s="74"/>
    </row>
    <row r="3795" spans="18:18" ht="12" customHeight="1" x14ac:dyDescent="0.35">
      <c r="R3795" s="74"/>
    </row>
    <row r="3796" spans="18:18" ht="12" customHeight="1" x14ac:dyDescent="0.35">
      <c r="R3796" s="74"/>
    </row>
    <row r="3797" spans="18:18" ht="12" customHeight="1" x14ac:dyDescent="0.35">
      <c r="R3797" s="74"/>
    </row>
    <row r="3798" spans="18:18" ht="12" customHeight="1" x14ac:dyDescent="0.35">
      <c r="R3798" s="74"/>
    </row>
    <row r="3799" spans="18:18" ht="12" customHeight="1" x14ac:dyDescent="0.35">
      <c r="R3799" s="74"/>
    </row>
    <row r="3800" spans="18:18" ht="12" customHeight="1" x14ac:dyDescent="0.35">
      <c r="R3800" s="74"/>
    </row>
    <row r="3801" spans="18:18" ht="12" customHeight="1" x14ac:dyDescent="0.35">
      <c r="R3801" s="74"/>
    </row>
    <row r="3802" spans="18:18" ht="12" customHeight="1" x14ac:dyDescent="0.35">
      <c r="R3802" s="74"/>
    </row>
    <row r="3803" spans="18:18" ht="12" customHeight="1" x14ac:dyDescent="0.35">
      <c r="R3803" s="74"/>
    </row>
    <row r="3804" spans="18:18" ht="12" customHeight="1" x14ac:dyDescent="0.35">
      <c r="R3804" s="74"/>
    </row>
    <row r="3805" spans="18:18" ht="12" customHeight="1" x14ac:dyDescent="0.35">
      <c r="R3805" s="74"/>
    </row>
    <row r="3806" spans="18:18" ht="12" customHeight="1" x14ac:dyDescent="0.35">
      <c r="R3806" s="74"/>
    </row>
    <row r="3807" spans="18:18" ht="12" customHeight="1" x14ac:dyDescent="0.35">
      <c r="R3807" s="74"/>
    </row>
    <row r="3808" spans="18:18" ht="12" customHeight="1" x14ac:dyDescent="0.35">
      <c r="R3808" s="74"/>
    </row>
    <row r="3809" spans="18:18" ht="12" customHeight="1" x14ac:dyDescent="0.35">
      <c r="R3809" s="74"/>
    </row>
    <row r="3810" spans="18:18" ht="12" customHeight="1" x14ac:dyDescent="0.35">
      <c r="R3810" s="74"/>
    </row>
  </sheetData>
  <sortState xmlns:xlrd2="http://schemas.microsoft.com/office/spreadsheetml/2017/richdata2" ref="A2:R2233">
    <sortCondition ref="B2:B2233"/>
    <sortCondition ref="C2:C2233"/>
    <sortCondition ref="I2:I2233"/>
    <sortCondition ref="M2:M2233"/>
  </sortState>
  <pageMargins left="0.05" right="0.05" top="0.5" bottom="0.5" header="0" footer="0"/>
  <pageSetup orientation="portrait" horizontalDpi="300" verticalDpi="300"/>
  <legacy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40"/>
  <sheetViews>
    <sheetView workbookViewId="0">
      <selection activeCell="H2" sqref="H2"/>
    </sheetView>
  </sheetViews>
  <sheetFormatPr defaultRowHeight="14.5" x14ac:dyDescent="0.35"/>
  <cols>
    <col min="1" max="1" width="4.6328125" bestFit="1" customWidth="1"/>
    <col min="2" max="2" width="4.81640625" bestFit="1" customWidth="1"/>
    <col min="3" max="3" width="19.36328125" bestFit="1" customWidth="1"/>
    <col min="4" max="4" width="15.6328125" bestFit="1" customWidth="1"/>
    <col min="5" max="6" width="17.1796875" bestFit="1" customWidth="1"/>
    <col min="7" max="7" width="18.90625" bestFit="1" customWidth="1"/>
    <col min="8" max="8" width="11.81640625" bestFit="1" customWidth="1"/>
  </cols>
  <sheetData>
    <row r="1" spans="1:8" x14ac:dyDescent="0.35">
      <c r="A1" t="s">
        <v>110</v>
      </c>
      <c r="B1" t="s">
        <v>0</v>
      </c>
      <c r="C1" t="s">
        <v>5</v>
      </c>
      <c r="D1" s="50" t="s">
        <v>27</v>
      </c>
      <c r="E1" s="50" t="s">
        <v>14</v>
      </c>
      <c r="F1" s="50" t="s">
        <v>19</v>
      </c>
      <c r="G1" s="50" t="s">
        <v>12</v>
      </c>
      <c r="H1" s="50" t="s">
        <v>127</v>
      </c>
    </row>
    <row r="2" spans="1:8" x14ac:dyDescent="0.35">
      <c r="A2">
        <v>1</v>
      </c>
      <c r="B2">
        <v>2010</v>
      </c>
      <c r="C2" t="s">
        <v>14</v>
      </c>
      <c r="D2" s="12">
        <v>4.8000000000000001E-2</v>
      </c>
      <c r="E2" s="12">
        <v>0.73099999999999998</v>
      </c>
      <c r="F2" s="12">
        <v>0.2</v>
      </c>
      <c r="G2" s="12">
        <v>2.1999999999999999E-2</v>
      </c>
      <c r="H2">
        <v>329564.49</v>
      </c>
    </row>
    <row r="3" spans="1:8" x14ac:dyDescent="0.35">
      <c r="A3">
        <v>2</v>
      </c>
      <c r="B3">
        <v>2010</v>
      </c>
      <c r="C3" t="s">
        <v>19</v>
      </c>
      <c r="D3" s="12">
        <v>0.06</v>
      </c>
      <c r="E3" s="12">
        <v>0.04</v>
      </c>
      <c r="F3" s="12">
        <v>0.89200000000000002</v>
      </c>
      <c r="G3" s="12">
        <v>8.0000000000000002E-3</v>
      </c>
      <c r="H3">
        <v>331879.18</v>
      </c>
    </row>
    <row r="4" spans="1:8" x14ac:dyDescent="0.35">
      <c r="A4">
        <v>3</v>
      </c>
      <c r="B4">
        <v>2010</v>
      </c>
      <c r="C4" t="s">
        <v>12</v>
      </c>
      <c r="D4" s="12">
        <v>0.155</v>
      </c>
      <c r="E4" s="12">
        <v>8.6999999999999994E-2</v>
      </c>
      <c r="F4" s="12">
        <v>0.35399999999999998</v>
      </c>
      <c r="G4" s="12">
        <v>0.40400000000000003</v>
      </c>
      <c r="H4">
        <v>64166.18</v>
      </c>
    </row>
    <row r="5" spans="1:8" x14ac:dyDescent="0.35">
      <c r="A5">
        <v>4</v>
      </c>
      <c r="B5">
        <v>2011</v>
      </c>
      <c r="C5" t="s">
        <v>14</v>
      </c>
      <c r="D5" s="12">
        <v>6.5000000000000002E-2</v>
      </c>
      <c r="E5" s="12">
        <v>0.72899999999999998</v>
      </c>
      <c r="F5" s="12">
        <v>0.20100000000000001</v>
      </c>
      <c r="G5" s="12">
        <v>5.0000000000000001E-3</v>
      </c>
      <c r="H5">
        <v>995971.89225799905</v>
      </c>
    </row>
    <row r="6" spans="1:8" x14ac:dyDescent="0.35">
      <c r="A6">
        <v>5</v>
      </c>
      <c r="B6">
        <v>2011</v>
      </c>
      <c r="C6" t="s">
        <v>19</v>
      </c>
      <c r="D6" s="12">
        <v>5.8999999999999997E-2</v>
      </c>
      <c r="E6" s="12">
        <v>2.5000000000000001E-2</v>
      </c>
      <c r="F6" s="12">
        <v>0.90700000000000003</v>
      </c>
      <c r="G6" s="12">
        <v>0.01</v>
      </c>
      <c r="H6">
        <v>857174.95892558002</v>
      </c>
    </row>
    <row r="7" spans="1:8" x14ac:dyDescent="0.35">
      <c r="A7">
        <v>6</v>
      </c>
      <c r="B7">
        <v>2011</v>
      </c>
      <c r="C7" t="s">
        <v>12</v>
      </c>
      <c r="D7" s="12">
        <v>0.14599999999999999</v>
      </c>
      <c r="E7" s="12">
        <v>9.1999999999999998E-2</v>
      </c>
      <c r="F7" s="12">
        <v>0.34799999999999998</v>
      </c>
      <c r="G7" s="12">
        <v>0.41399999999999998</v>
      </c>
      <c r="H7">
        <v>115049.576976392</v>
      </c>
    </row>
    <row r="8" spans="1:8" x14ac:dyDescent="0.35">
      <c r="A8">
        <v>7</v>
      </c>
      <c r="B8">
        <v>2012</v>
      </c>
      <c r="C8" t="s">
        <v>14</v>
      </c>
      <c r="D8" s="12">
        <v>0.04</v>
      </c>
      <c r="E8" s="12">
        <v>0.751</v>
      </c>
      <c r="F8" s="12">
        <v>0.19500000000000001</v>
      </c>
      <c r="G8" s="12">
        <v>1.2999999999999999E-2</v>
      </c>
      <c r="H8">
        <v>634177.26</v>
      </c>
    </row>
    <row r="9" spans="1:8" x14ac:dyDescent="0.35">
      <c r="A9">
        <v>8</v>
      </c>
      <c r="B9">
        <v>2012</v>
      </c>
      <c r="C9" t="s">
        <v>19</v>
      </c>
      <c r="D9" s="12">
        <v>4.9000000000000002E-2</v>
      </c>
      <c r="E9" s="12">
        <v>3.3000000000000002E-2</v>
      </c>
      <c r="F9" s="12">
        <v>0.91</v>
      </c>
      <c r="G9" s="12">
        <v>8.0000000000000002E-3</v>
      </c>
      <c r="H9">
        <v>552979.62</v>
      </c>
    </row>
    <row r="10" spans="1:8" x14ac:dyDescent="0.35">
      <c r="A10">
        <v>9</v>
      </c>
      <c r="B10">
        <v>2012</v>
      </c>
      <c r="C10" t="s">
        <v>12</v>
      </c>
      <c r="D10" s="12">
        <v>0.13200000000000001</v>
      </c>
      <c r="E10" s="12">
        <v>7.1999999999999995E-2</v>
      </c>
      <c r="F10" s="12">
        <v>0.433</v>
      </c>
      <c r="G10" s="12">
        <v>0.36299999999999999</v>
      </c>
      <c r="H10">
        <v>153314.76999999999</v>
      </c>
    </row>
    <row r="11" spans="1:8" x14ac:dyDescent="0.35">
      <c r="A11">
        <v>10</v>
      </c>
      <c r="B11">
        <v>2012</v>
      </c>
      <c r="C11" t="s">
        <v>74</v>
      </c>
      <c r="D11" t="s">
        <v>74</v>
      </c>
      <c r="E11" t="s">
        <v>74</v>
      </c>
      <c r="F11" t="s">
        <v>74</v>
      </c>
      <c r="G11" t="s">
        <v>74</v>
      </c>
      <c r="H11" t="s">
        <v>74</v>
      </c>
    </row>
    <row r="12" spans="1:8" x14ac:dyDescent="0.35">
      <c r="A12">
        <v>11</v>
      </c>
      <c r="B12">
        <v>2013</v>
      </c>
      <c r="C12" t="s">
        <v>14</v>
      </c>
      <c r="D12" s="12">
        <v>7.0000000000000007E-2</v>
      </c>
      <c r="E12" s="12">
        <v>0.73499999999999999</v>
      </c>
      <c r="F12" s="12">
        <v>0.187</v>
      </c>
      <c r="G12" s="12">
        <v>8.0000000000000002E-3</v>
      </c>
      <c r="H12">
        <v>1175702</v>
      </c>
    </row>
    <row r="13" spans="1:8" x14ac:dyDescent="0.35">
      <c r="A13">
        <v>12</v>
      </c>
      <c r="B13">
        <v>2013</v>
      </c>
      <c r="C13" t="s">
        <v>19</v>
      </c>
      <c r="D13" s="12">
        <v>5.7000000000000002E-2</v>
      </c>
      <c r="E13" s="12">
        <v>2.1999999999999999E-2</v>
      </c>
      <c r="F13" s="12">
        <v>0.91600000000000004</v>
      </c>
      <c r="G13" s="12">
        <v>5.0000000000000001E-3</v>
      </c>
      <c r="H13">
        <v>1072593.99</v>
      </c>
    </row>
    <row r="14" spans="1:8" x14ac:dyDescent="0.35">
      <c r="A14">
        <v>13</v>
      </c>
      <c r="B14">
        <v>2013</v>
      </c>
      <c r="C14" t="s">
        <v>12</v>
      </c>
      <c r="D14" s="12">
        <v>0.18</v>
      </c>
      <c r="E14" s="12">
        <v>0.113</v>
      </c>
      <c r="F14" s="12">
        <v>0.374</v>
      </c>
      <c r="G14" s="12">
        <v>0.33300000000000002</v>
      </c>
      <c r="H14">
        <v>95767.38</v>
      </c>
    </row>
    <row r="15" spans="1:8" x14ac:dyDescent="0.35">
      <c r="A15">
        <v>14</v>
      </c>
      <c r="B15">
        <v>2013</v>
      </c>
      <c r="C15" t="s">
        <v>74</v>
      </c>
      <c r="D15" t="s">
        <v>74</v>
      </c>
      <c r="E15" t="s">
        <v>74</v>
      </c>
      <c r="F15" t="s">
        <v>74</v>
      </c>
      <c r="G15" t="s">
        <v>74</v>
      </c>
      <c r="H15" t="s">
        <v>74</v>
      </c>
    </row>
    <row r="16" spans="1:8" x14ac:dyDescent="0.35">
      <c r="A16">
        <v>15</v>
      </c>
      <c r="B16">
        <v>2014</v>
      </c>
      <c r="C16" t="s">
        <v>14</v>
      </c>
      <c r="D16" s="12">
        <v>5.2999999999999999E-2</v>
      </c>
      <c r="E16" s="12">
        <v>0.71599999999999997</v>
      </c>
      <c r="F16" s="12">
        <v>0.216</v>
      </c>
      <c r="G16" s="12">
        <v>1.4E-2</v>
      </c>
      <c r="H16">
        <v>467374.53</v>
      </c>
    </row>
    <row r="17" spans="1:8" x14ac:dyDescent="0.35">
      <c r="A17">
        <v>16</v>
      </c>
      <c r="B17">
        <v>2014</v>
      </c>
      <c r="C17" t="s">
        <v>19</v>
      </c>
      <c r="D17" s="12">
        <v>0.05</v>
      </c>
      <c r="E17" s="12">
        <v>5.5E-2</v>
      </c>
      <c r="F17" s="12">
        <v>0.89</v>
      </c>
      <c r="G17" s="12">
        <v>5.0000000000000001E-3</v>
      </c>
      <c r="H17">
        <v>312460.93</v>
      </c>
    </row>
    <row r="18" spans="1:8" x14ac:dyDescent="0.35">
      <c r="A18">
        <v>17</v>
      </c>
      <c r="B18">
        <v>2014</v>
      </c>
      <c r="C18" t="s">
        <v>12</v>
      </c>
      <c r="D18" s="12">
        <v>0.154</v>
      </c>
      <c r="E18" s="12">
        <v>8.4000000000000005E-2</v>
      </c>
      <c r="F18" s="12">
        <v>0.39500000000000002</v>
      </c>
      <c r="G18" s="12">
        <v>0.36599999999999999</v>
      </c>
      <c r="H18">
        <v>113134.85</v>
      </c>
    </row>
    <row r="19" spans="1:8" x14ac:dyDescent="0.35">
      <c r="A19">
        <v>18</v>
      </c>
      <c r="B19">
        <v>2015</v>
      </c>
      <c r="C19" t="s">
        <v>14</v>
      </c>
      <c r="D19" s="12">
        <v>8.7999999999999995E-2</v>
      </c>
      <c r="E19" s="12">
        <v>0.69799999999999995</v>
      </c>
      <c r="F19" s="12">
        <v>0.20100000000000001</v>
      </c>
      <c r="G19" s="12">
        <v>1.2E-2</v>
      </c>
      <c r="H19">
        <v>747612.56</v>
      </c>
    </row>
    <row r="20" spans="1:8" x14ac:dyDescent="0.35">
      <c r="A20">
        <v>19</v>
      </c>
      <c r="B20">
        <v>2015</v>
      </c>
      <c r="C20" t="s">
        <v>19</v>
      </c>
      <c r="D20" s="12">
        <v>6.3E-2</v>
      </c>
      <c r="E20" s="12">
        <v>1.7000000000000001E-2</v>
      </c>
      <c r="F20" s="12">
        <v>0.91400000000000003</v>
      </c>
      <c r="G20" s="12">
        <v>6.0000000000000001E-3</v>
      </c>
      <c r="H20">
        <v>666386.93999999994</v>
      </c>
    </row>
    <row r="21" spans="1:8" x14ac:dyDescent="0.35">
      <c r="A21">
        <v>20</v>
      </c>
      <c r="B21">
        <v>2015</v>
      </c>
      <c r="C21" t="s">
        <v>12</v>
      </c>
      <c r="D21" s="12">
        <v>0.20300000000000001</v>
      </c>
      <c r="E21" s="12">
        <v>9.9000000000000005E-2</v>
      </c>
      <c r="F21" s="12">
        <v>0.38400000000000001</v>
      </c>
      <c r="G21" s="12">
        <v>0.314</v>
      </c>
      <c r="H21">
        <v>98819.21</v>
      </c>
    </row>
    <row r="22" spans="1:8" x14ac:dyDescent="0.35">
      <c r="A22">
        <v>21</v>
      </c>
      <c r="B22">
        <v>2016</v>
      </c>
      <c r="C22" t="s">
        <v>14</v>
      </c>
      <c r="D22" s="12">
        <v>5.1999999999999998E-2</v>
      </c>
      <c r="E22" s="12">
        <v>0.75800000000000001</v>
      </c>
      <c r="F22" s="12">
        <v>0.17599999999999999</v>
      </c>
      <c r="G22" s="12">
        <v>1.2999999999999999E-2</v>
      </c>
      <c r="H22">
        <v>331186.78999999998</v>
      </c>
    </row>
    <row r="23" spans="1:8" x14ac:dyDescent="0.35">
      <c r="A23">
        <v>22</v>
      </c>
      <c r="B23">
        <v>2016</v>
      </c>
      <c r="C23" t="s">
        <v>19</v>
      </c>
      <c r="D23" s="12">
        <v>6.5000000000000002E-2</v>
      </c>
      <c r="E23" s="12">
        <v>3.6999999999999998E-2</v>
      </c>
      <c r="F23" s="12">
        <v>0.874</v>
      </c>
      <c r="G23" s="12">
        <v>2.3E-2</v>
      </c>
      <c r="H23">
        <v>202393.13</v>
      </c>
    </row>
    <row r="24" spans="1:8" x14ac:dyDescent="0.35">
      <c r="A24">
        <v>23</v>
      </c>
      <c r="B24">
        <v>2016</v>
      </c>
      <c r="C24" t="s">
        <v>12</v>
      </c>
      <c r="D24" s="12">
        <v>0.127</v>
      </c>
      <c r="E24" s="12">
        <v>5.1999999999999998E-2</v>
      </c>
      <c r="F24" s="12">
        <v>0.36499999999999999</v>
      </c>
      <c r="G24" s="12">
        <v>0.45600000000000002</v>
      </c>
      <c r="H24">
        <v>71889.53</v>
      </c>
    </row>
    <row r="25" spans="1:8" x14ac:dyDescent="0.35">
      <c r="A25">
        <v>24</v>
      </c>
      <c r="B25">
        <v>2017</v>
      </c>
      <c r="C25" t="s">
        <v>14</v>
      </c>
      <c r="D25" s="12">
        <v>4.4999999999999998E-2</v>
      </c>
      <c r="E25" s="12">
        <v>0.60899999999999999</v>
      </c>
      <c r="F25" s="12">
        <v>0.33600000000000002</v>
      </c>
      <c r="G25" s="12">
        <v>0.01</v>
      </c>
      <c r="H25">
        <v>379767.22676895402</v>
      </c>
    </row>
    <row r="26" spans="1:8" x14ac:dyDescent="0.35">
      <c r="A26">
        <v>25</v>
      </c>
      <c r="B26">
        <v>2017</v>
      </c>
      <c r="C26" t="s">
        <v>19</v>
      </c>
      <c r="D26" s="12">
        <v>6.3E-2</v>
      </c>
      <c r="E26" s="12">
        <v>5.6000000000000001E-2</v>
      </c>
      <c r="F26" s="12">
        <v>0.877</v>
      </c>
      <c r="G26" s="12">
        <v>4.0000000000000001E-3</v>
      </c>
      <c r="H26">
        <v>280747.92555694497</v>
      </c>
    </row>
    <row r="27" spans="1:8" x14ac:dyDescent="0.35">
      <c r="A27">
        <v>26</v>
      </c>
      <c r="B27">
        <v>2017</v>
      </c>
      <c r="C27" t="s">
        <v>12</v>
      </c>
      <c r="D27" s="12">
        <v>0.154</v>
      </c>
      <c r="E27" s="12">
        <v>6.6000000000000003E-2</v>
      </c>
      <c r="F27" s="12">
        <v>0.37</v>
      </c>
      <c r="G27" s="12">
        <v>0.41099999999999998</v>
      </c>
      <c r="H27">
        <v>51004.303478159803</v>
      </c>
    </row>
    <row r="28" spans="1:8" x14ac:dyDescent="0.35">
      <c r="A28">
        <v>27</v>
      </c>
      <c r="B28">
        <v>2018</v>
      </c>
      <c r="C28" t="s">
        <v>14</v>
      </c>
      <c r="D28" s="12">
        <v>0.06</v>
      </c>
      <c r="E28" s="12">
        <v>0.73399999999999999</v>
      </c>
      <c r="F28" s="12">
        <v>0.19400000000000001</v>
      </c>
      <c r="G28" s="12">
        <v>1.0999999999999999E-2</v>
      </c>
      <c r="H28">
        <v>356673.64963664801</v>
      </c>
    </row>
    <row r="29" spans="1:8" x14ac:dyDescent="0.35">
      <c r="A29">
        <v>28</v>
      </c>
      <c r="B29">
        <v>2018</v>
      </c>
      <c r="C29" t="s">
        <v>19</v>
      </c>
      <c r="D29" s="12">
        <v>4.5999999999999999E-2</v>
      </c>
      <c r="E29" s="12">
        <v>0.06</v>
      </c>
      <c r="F29" s="12">
        <v>0.89</v>
      </c>
      <c r="G29" s="12">
        <v>4.0000000000000001E-3</v>
      </c>
      <c r="H29">
        <v>295783.13971128099</v>
      </c>
    </row>
    <row r="30" spans="1:8" x14ac:dyDescent="0.35">
      <c r="A30">
        <v>29</v>
      </c>
      <c r="B30">
        <v>2018</v>
      </c>
      <c r="C30" t="s">
        <v>12</v>
      </c>
      <c r="D30" s="12">
        <v>0.13400000000000001</v>
      </c>
      <c r="E30" s="12">
        <v>4.5999999999999999E-2</v>
      </c>
      <c r="F30" s="12">
        <v>0.42699999999999999</v>
      </c>
      <c r="G30" s="12">
        <v>0.39400000000000002</v>
      </c>
      <c r="H30">
        <v>73964.481776003493</v>
      </c>
    </row>
    <row r="31" spans="1:8" x14ac:dyDescent="0.35">
      <c r="A31">
        <v>30</v>
      </c>
      <c r="B31">
        <v>2018</v>
      </c>
      <c r="C31" t="s">
        <v>74</v>
      </c>
      <c r="D31" t="s">
        <v>74</v>
      </c>
      <c r="E31" t="s">
        <v>74</v>
      </c>
      <c r="F31" t="s">
        <v>74</v>
      </c>
      <c r="G31" t="s">
        <v>74</v>
      </c>
      <c r="H31" t="s">
        <v>74</v>
      </c>
    </row>
    <row r="32" spans="1:8" x14ac:dyDescent="0.35">
      <c r="A32">
        <v>31</v>
      </c>
      <c r="B32">
        <v>2019</v>
      </c>
      <c r="C32" t="s">
        <v>14</v>
      </c>
      <c r="D32" s="12">
        <v>7.0999999999999994E-2</v>
      </c>
      <c r="E32" s="12">
        <v>0.73399999999999999</v>
      </c>
      <c r="F32" s="12">
        <v>0.18099999999999999</v>
      </c>
      <c r="G32" s="12">
        <v>1.4999999999999999E-2</v>
      </c>
      <c r="H32">
        <v>179642.096343404</v>
      </c>
    </row>
    <row r="33" spans="1:8" x14ac:dyDescent="0.35">
      <c r="A33">
        <v>32</v>
      </c>
      <c r="B33">
        <v>2019</v>
      </c>
      <c r="C33" t="s">
        <v>19</v>
      </c>
      <c r="D33" s="12">
        <v>4.8000000000000001E-2</v>
      </c>
      <c r="E33" s="12">
        <v>5.5E-2</v>
      </c>
      <c r="F33" s="12">
        <v>0.89200000000000002</v>
      </c>
      <c r="G33" s="12">
        <v>6.0000000000000001E-3</v>
      </c>
      <c r="H33">
        <v>332979.88159351202</v>
      </c>
    </row>
    <row r="34" spans="1:8" x14ac:dyDescent="0.35">
      <c r="A34">
        <v>33</v>
      </c>
      <c r="B34">
        <v>2019</v>
      </c>
      <c r="C34" t="s">
        <v>12</v>
      </c>
      <c r="D34" s="12">
        <v>0.186</v>
      </c>
      <c r="E34" s="12">
        <v>7.9000000000000001E-2</v>
      </c>
      <c r="F34" s="12">
        <v>0.38600000000000001</v>
      </c>
      <c r="G34" s="12">
        <v>0.34899999999999998</v>
      </c>
      <c r="H34">
        <v>53958.590075898697</v>
      </c>
    </row>
    <row r="35" spans="1:8" x14ac:dyDescent="0.35">
      <c r="A35">
        <v>34</v>
      </c>
      <c r="B35">
        <v>2020</v>
      </c>
      <c r="C35" t="s">
        <v>14</v>
      </c>
      <c r="D35" s="12">
        <v>3.7999999999999999E-2</v>
      </c>
      <c r="E35" s="12">
        <v>0.73499999999999999</v>
      </c>
      <c r="F35" s="12">
        <v>0.20699999999999999</v>
      </c>
      <c r="G35" s="12">
        <v>2.1000000000000001E-2</v>
      </c>
      <c r="H35">
        <v>323977.09213694697</v>
      </c>
    </row>
    <row r="36" spans="1:8" x14ac:dyDescent="0.35">
      <c r="A36">
        <v>35</v>
      </c>
      <c r="B36">
        <v>2020</v>
      </c>
      <c r="C36" t="s">
        <v>19</v>
      </c>
      <c r="D36" s="12">
        <v>5.5E-2</v>
      </c>
      <c r="E36" s="12">
        <v>9.7000000000000003E-2</v>
      </c>
      <c r="F36" s="12">
        <v>0.83099999999999996</v>
      </c>
      <c r="G36" s="12">
        <v>1.7000000000000001E-2</v>
      </c>
      <c r="H36">
        <v>251832.93877962901</v>
      </c>
    </row>
    <row r="37" spans="1:8" x14ac:dyDescent="0.35">
      <c r="A37">
        <v>36</v>
      </c>
      <c r="B37">
        <v>2020</v>
      </c>
      <c r="C37" t="s">
        <v>12</v>
      </c>
      <c r="D37" s="12">
        <v>0.115</v>
      </c>
      <c r="E37" s="12">
        <v>6.4000000000000001E-2</v>
      </c>
      <c r="F37" s="12">
        <v>0.51600000000000001</v>
      </c>
      <c r="G37" s="12">
        <v>0.30399999999999999</v>
      </c>
      <c r="H37">
        <v>82126.397471348304</v>
      </c>
    </row>
    <row r="38" spans="1:8" x14ac:dyDescent="0.35">
      <c r="A38">
        <v>37</v>
      </c>
      <c r="B38">
        <v>2021</v>
      </c>
      <c r="C38" t="s">
        <v>14</v>
      </c>
      <c r="D38" s="12">
        <v>5.8999999999999997E-2</v>
      </c>
      <c r="E38" s="12">
        <v>0.72899999999999998</v>
      </c>
      <c r="F38" s="12">
        <v>0.20899999999999999</v>
      </c>
      <c r="G38" s="12">
        <v>3.0000000000000001E-3</v>
      </c>
      <c r="H38">
        <v>668119.82475931197</v>
      </c>
    </row>
    <row r="39" spans="1:8" x14ac:dyDescent="0.35">
      <c r="A39">
        <v>38</v>
      </c>
      <c r="B39">
        <v>2021</v>
      </c>
      <c r="C39" t="s">
        <v>19</v>
      </c>
      <c r="D39" s="12">
        <v>0.05</v>
      </c>
      <c r="E39" s="12">
        <v>0.05</v>
      </c>
      <c r="F39" s="12">
        <v>0.89700000000000002</v>
      </c>
      <c r="G39" s="12">
        <v>2E-3</v>
      </c>
      <c r="H39">
        <v>430427.99915746303</v>
      </c>
    </row>
    <row r="40" spans="1:8" x14ac:dyDescent="0.35">
      <c r="A40">
        <v>39</v>
      </c>
      <c r="B40">
        <v>2021</v>
      </c>
      <c r="C40" t="s">
        <v>12</v>
      </c>
      <c r="D40" s="12">
        <v>0.13900000000000001</v>
      </c>
      <c r="E40" s="12">
        <v>8.5000000000000006E-2</v>
      </c>
      <c r="F40" s="12">
        <v>0.42699999999999999</v>
      </c>
      <c r="G40" s="12">
        <v>0.34899999999999998</v>
      </c>
      <c r="H40">
        <v>91515.508119519698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O5"/>
  <sheetViews>
    <sheetView workbookViewId="0">
      <selection activeCell="O2" sqref="O2"/>
    </sheetView>
  </sheetViews>
  <sheetFormatPr defaultRowHeight="14.5" x14ac:dyDescent="0.35"/>
  <cols>
    <col min="2" max="2" width="18.90625" bestFit="1" customWidth="1"/>
    <col min="3" max="3" width="8.54296875" bestFit="1" customWidth="1"/>
    <col min="4" max="4" width="10.08984375" bestFit="1" customWidth="1"/>
    <col min="5" max="5" width="8.54296875" bestFit="1" customWidth="1"/>
    <col min="6" max="6" width="10.08984375" bestFit="1" customWidth="1"/>
    <col min="7" max="15" width="8.54296875" bestFit="1" customWidth="1"/>
  </cols>
  <sheetData>
    <row r="1" spans="1:15" x14ac:dyDescent="0.35">
      <c r="B1" t="s">
        <v>6</v>
      </c>
      <c r="C1">
        <v>2010</v>
      </c>
      <c r="D1">
        <v>2011</v>
      </c>
      <c r="E1">
        <v>2012</v>
      </c>
      <c r="F1">
        <v>2013</v>
      </c>
      <c r="G1">
        <v>2014</v>
      </c>
      <c r="H1">
        <v>2015</v>
      </c>
      <c r="I1">
        <v>2016</v>
      </c>
      <c r="J1">
        <v>2017</v>
      </c>
      <c r="K1">
        <v>2018</v>
      </c>
      <c r="L1">
        <v>2019</v>
      </c>
      <c r="M1">
        <v>2020</v>
      </c>
      <c r="N1">
        <v>2021</v>
      </c>
      <c r="O1" s="50" t="s">
        <v>128</v>
      </c>
    </row>
    <row r="2" spans="1:15" x14ac:dyDescent="0.35">
      <c r="A2">
        <v>1</v>
      </c>
      <c r="B2" t="s">
        <v>27</v>
      </c>
      <c r="C2" s="17">
        <v>45538.482248039501</v>
      </c>
      <c r="D2" s="17">
        <v>131824.035183831</v>
      </c>
      <c r="E2" s="17">
        <v>72773.644418467695</v>
      </c>
      <c r="F2" s="17">
        <v>160788.87175494101</v>
      </c>
      <c r="G2" s="17">
        <v>57883.497806455198</v>
      </c>
      <c r="H2" s="17">
        <v>128398.76680832601</v>
      </c>
      <c r="I2" s="17">
        <v>39593.828090326402</v>
      </c>
      <c r="J2" s="17">
        <v>42752.992493535698</v>
      </c>
      <c r="K2" s="17">
        <v>44938.1272454508</v>
      </c>
      <c r="L2" s="17">
        <v>38623.637645486197</v>
      </c>
      <c r="M2" s="17">
        <v>35475.256727763997</v>
      </c>
      <c r="N2" s="17">
        <v>73706.170960762</v>
      </c>
      <c r="O2" s="17">
        <v>72691.442615282096</v>
      </c>
    </row>
    <row r="3" spans="1:15" x14ac:dyDescent="0.35">
      <c r="A3">
        <v>2</v>
      </c>
      <c r="B3" t="s">
        <v>14</v>
      </c>
      <c r="C3" s="17">
        <v>259785.95641846099</v>
      </c>
      <c r="D3" s="17">
        <v>757931.14095652697</v>
      </c>
      <c r="E3" s="17">
        <v>505495.35446402099</v>
      </c>
      <c r="F3" s="17">
        <v>899354.546357124</v>
      </c>
      <c r="G3" s="17">
        <v>361599.64070899598</v>
      </c>
      <c r="H3" s="17">
        <v>543424.47518936405</v>
      </c>
      <c r="I3" s="17">
        <v>262328.06612374098</v>
      </c>
      <c r="J3" s="17">
        <v>250320.49406369901</v>
      </c>
      <c r="K3" s="17">
        <v>283209.88888081198</v>
      </c>
      <c r="L3" s="17">
        <v>154235.631314408</v>
      </c>
      <c r="M3" s="17">
        <v>267824.25040055602</v>
      </c>
      <c r="N3" s="17">
        <v>516786.614484402</v>
      </c>
      <c r="O3" s="17">
        <v>421858.00494684197</v>
      </c>
    </row>
    <row r="4" spans="1:15" x14ac:dyDescent="0.35">
      <c r="A4">
        <v>3</v>
      </c>
      <c r="B4" t="s">
        <v>19</v>
      </c>
      <c r="C4" s="17">
        <v>384581.678543569</v>
      </c>
      <c r="D4" s="17">
        <v>1017498.00148068</v>
      </c>
      <c r="E4" s="17">
        <v>693525.75802017294</v>
      </c>
      <c r="F4" s="17">
        <v>1237363.14743542</v>
      </c>
      <c r="G4" s="17">
        <v>423875.97933702701</v>
      </c>
      <c r="H4" s="17">
        <v>796970.65875645098</v>
      </c>
      <c r="I4" s="17">
        <v>261655.71922754799</v>
      </c>
      <c r="J4" s="17">
        <v>392531.67296136502</v>
      </c>
      <c r="K4" s="17">
        <v>364079.617022736</v>
      </c>
      <c r="L4" s="17">
        <v>350347.93608214502</v>
      </c>
      <c r="M4" s="17">
        <v>318728.23048869101</v>
      </c>
      <c r="N4" s="17">
        <v>564463.77117111697</v>
      </c>
      <c r="O4" s="17">
        <v>567135.18087724305</v>
      </c>
    </row>
    <row r="5" spans="1:15" x14ac:dyDescent="0.35">
      <c r="A5">
        <v>4</v>
      </c>
      <c r="B5" t="s">
        <v>12</v>
      </c>
      <c r="C5" s="17">
        <v>35703.732789930502</v>
      </c>
      <c r="D5" s="17">
        <v>60943.250538938599</v>
      </c>
      <c r="E5" s="17">
        <v>68685.543097338203</v>
      </c>
      <c r="F5" s="17">
        <v>46556.804452517703</v>
      </c>
      <c r="G5" s="17">
        <v>49611.192147522597</v>
      </c>
      <c r="H5" s="17">
        <v>44024.8092458588</v>
      </c>
      <c r="I5" s="17">
        <v>41891.836558384202</v>
      </c>
      <c r="J5" s="17">
        <v>25914.296285458899</v>
      </c>
      <c r="K5" s="17">
        <v>34193.637974935104</v>
      </c>
      <c r="L5" s="17">
        <v>23373.3629707769</v>
      </c>
      <c r="M5" s="17">
        <v>35908.690770912399</v>
      </c>
      <c r="N5" s="17">
        <v>35106.775420013902</v>
      </c>
      <c r="O5" s="17">
        <v>41826.161021049003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LUTs</vt:lpstr>
      <vt:lpstr>Rec_raw_catch_effort_2010-2021</vt:lpstr>
      <vt:lpstr>Pivot</vt:lpstr>
      <vt:lpstr>Data_For_Appx_Table_C-4</vt:lpstr>
      <vt:lpstr>Existing_Conditions</vt:lpstr>
      <vt:lpstr>FW_Salmon_by_Month_2010-2021</vt:lpstr>
      <vt:lpstr>Sheet1</vt:lpstr>
      <vt:lpstr>FW_Steelhead_by_Month_2010-2021</vt:lpstr>
      <vt:lpstr>Pivot_trips_propor_subr_yr</vt:lpstr>
      <vt:lpstr>Pivot_trips_by_subregion_yr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Waters</dc:creator>
  <cp:lastModifiedBy>Edward Waters</cp:lastModifiedBy>
  <dcterms:created xsi:type="dcterms:W3CDTF">2023-08-23T23:04:32Z</dcterms:created>
  <dcterms:modified xsi:type="dcterms:W3CDTF">2024-06-14T02:28:33Z</dcterms:modified>
</cp:coreProperties>
</file>